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850" tabRatio="607"/>
  </bookViews>
  <sheets>
    <sheet name="新纳入" sheetId="3" r:id="rId1"/>
    <sheet name="调出" sheetId="4" r:id="rId2"/>
    <sheet name="Sheet3" sheetId="5" r:id="rId3"/>
  </sheets>
  <definedNames>
    <definedName name="_xlnm._FilterDatabase" localSheetId="0" hidden="1">新纳入!$A$2:$F$5992</definedName>
    <definedName name="_xlnm._FilterDatabase" localSheetId="1" hidden="1">调出!$A$2:$XEW$3854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C6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何建群为何定善之子，系统何定善为户主</t>
        </r>
      </text>
    </comment>
  </commentList>
</comments>
</file>

<file path=xl/sharedStrings.xml><?xml version="1.0" encoding="utf-8"?>
<sst xmlns="http://schemas.openxmlformats.org/spreadsheetml/2006/main" count="18989">
  <si>
    <t>房县易地扶贫搬迁对象动态调整（新纳入）花名册</t>
  </si>
  <si>
    <t>乡镇</t>
  </si>
  <si>
    <t>村组</t>
  </si>
  <si>
    <t>户主姓名</t>
  </si>
  <si>
    <t>家庭人口</t>
  </si>
  <si>
    <t>身份证号</t>
  </si>
  <si>
    <t>纳入</t>
  </si>
  <si>
    <t>合计</t>
  </si>
  <si>
    <t>城关镇</t>
  </si>
  <si>
    <t>桃园社区4组</t>
  </si>
  <si>
    <t>王兴玲</t>
  </si>
  <si>
    <t>新纳入</t>
  </si>
  <si>
    <t>桃园社区1组</t>
  </si>
  <si>
    <t>宋元成</t>
  </si>
  <si>
    <t>中西关社区三组</t>
  </si>
  <si>
    <t>邹清召</t>
  </si>
  <si>
    <t>422626196503250612</t>
  </si>
  <si>
    <t>蹇悦</t>
  </si>
  <si>
    <t>420325199104090024</t>
  </si>
  <si>
    <t>陈良勤</t>
  </si>
  <si>
    <t>422626194512300061</t>
  </si>
  <si>
    <t>叶文寿</t>
  </si>
  <si>
    <t>422626194902240017</t>
  </si>
  <si>
    <t>雷玉善</t>
  </si>
  <si>
    <t>422626194602170061</t>
  </si>
  <si>
    <t>张玉珍</t>
  </si>
  <si>
    <t>422626194912200043</t>
  </si>
  <si>
    <t>白彐云</t>
  </si>
  <si>
    <t>130527198501262221</t>
  </si>
  <si>
    <t>陆朋</t>
  </si>
  <si>
    <t>420325198304020114</t>
  </si>
  <si>
    <t>胡国风</t>
  </si>
  <si>
    <t>422626196501151522</t>
  </si>
  <si>
    <t>周绪忠</t>
  </si>
  <si>
    <t>420325197502160092</t>
  </si>
  <si>
    <t>冯静</t>
  </si>
  <si>
    <t>422626195501080109</t>
  </si>
  <si>
    <t>王仁炎</t>
  </si>
  <si>
    <t>422626196803027914</t>
  </si>
  <si>
    <t>北关三组</t>
  </si>
  <si>
    <t>魏家华</t>
  </si>
  <si>
    <t>420325195611160025</t>
  </si>
  <si>
    <t>龚传圣</t>
  </si>
  <si>
    <t>422626195902070016</t>
  </si>
  <si>
    <t>小西关四组</t>
  </si>
  <si>
    <t>付玉芳</t>
  </si>
  <si>
    <t>422626194908230063</t>
  </si>
  <si>
    <t>小西关五组</t>
  </si>
  <si>
    <t>张长钧</t>
  </si>
  <si>
    <t>422626195802190010</t>
  </si>
  <si>
    <t>莲花村一组</t>
  </si>
  <si>
    <t>雷 权</t>
  </si>
  <si>
    <t>422626196202140057</t>
  </si>
  <si>
    <t>莲花村三组</t>
  </si>
  <si>
    <t>贾先林</t>
  </si>
  <si>
    <t>420325198607053634</t>
  </si>
  <si>
    <t>莲花村四组</t>
  </si>
  <si>
    <t>罗克林</t>
  </si>
  <si>
    <t>422626195302050011</t>
  </si>
  <si>
    <t>莲花村六组</t>
  </si>
  <si>
    <t>李云梦</t>
  </si>
  <si>
    <t>420325199606010071</t>
  </si>
  <si>
    <t>莲花村五组</t>
  </si>
  <si>
    <t>张家勇</t>
  </si>
  <si>
    <t>420325197710240011</t>
  </si>
  <si>
    <t>许大田</t>
  </si>
  <si>
    <t>422626193101120010</t>
  </si>
  <si>
    <t>邓秀英</t>
  </si>
  <si>
    <t>422626196606010048</t>
  </si>
  <si>
    <t>莲花村二组</t>
  </si>
  <si>
    <t>雷立全</t>
  </si>
  <si>
    <t>42262619521030001X</t>
  </si>
  <si>
    <t>雷鸣科</t>
  </si>
  <si>
    <t>422626195812110037</t>
  </si>
  <si>
    <t>曾庆国</t>
  </si>
  <si>
    <t>422626196408120019</t>
  </si>
  <si>
    <t>杜启武</t>
  </si>
  <si>
    <t>422626195411300016</t>
  </si>
  <si>
    <t>下西关社区</t>
  </si>
  <si>
    <t>张先梅</t>
  </si>
  <si>
    <t>420325198501130021</t>
  </si>
  <si>
    <t>胡兰清</t>
  </si>
  <si>
    <t>422626196810280141</t>
  </si>
  <si>
    <t>刘承美</t>
  </si>
  <si>
    <t>422626194912210671</t>
  </si>
  <si>
    <t>孙希琴</t>
  </si>
  <si>
    <t>422626197208020026</t>
  </si>
  <si>
    <t>王小梅</t>
  </si>
  <si>
    <t>422626196305060068</t>
  </si>
  <si>
    <t>况成云</t>
  </si>
  <si>
    <t>422626193611150025</t>
  </si>
  <si>
    <t>来春德</t>
  </si>
  <si>
    <t>41130219500215453X</t>
  </si>
  <si>
    <t>夏荣昌</t>
  </si>
  <si>
    <t>422626195310310012</t>
  </si>
  <si>
    <t>赵行成</t>
  </si>
  <si>
    <t>422626195907150015</t>
  </si>
  <si>
    <t>王红兵</t>
  </si>
  <si>
    <t>422626196811100034</t>
  </si>
  <si>
    <t>晓阳村二组</t>
  </si>
  <si>
    <t>许淑芬</t>
  </si>
  <si>
    <t>晓阳村五组</t>
  </si>
  <si>
    <t>王行政</t>
  </si>
  <si>
    <t>420325194805280012</t>
  </si>
  <si>
    <t>晓阳村七组</t>
  </si>
  <si>
    <t>杜月娥</t>
  </si>
  <si>
    <t>422626197905290064</t>
  </si>
  <si>
    <t>三海村二组</t>
  </si>
  <si>
    <t>熊有林</t>
  </si>
  <si>
    <t>422626196201290037</t>
  </si>
  <si>
    <t>三海村三组</t>
  </si>
  <si>
    <t>卢道军</t>
  </si>
  <si>
    <t>422626196310260072</t>
  </si>
  <si>
    <t>何凤莲</t>
  </si>
  <si>
    <t>420325195504140029</t>
  </si>
  <si>
    <t>三海村四组</t>
  </si>
  <si>
    <t>常士树</t>
  </si>
  <si>
    <t>420325197803030013</t>
  </si>
  <si>
    <t>三海村六组</t>
  </si>
  <si>
    <t>祁兴田</t>
  </si>
  <si>
    <t>422626194708044514</t>
  </si>
  <si>
    <t>三海村八组</t>
  </si>
  <si>
    <t>姚雪丽</t>
  </si>
  <si>
    <t>420325198801013943</t>
  </si>
  <si>
    <t>饶正治</t>
  </si>
  <si>
    <t>422626195612174511</t>
  </si>
  <si>
    <t>李国平</t>
  </si>
  <si>
    <t>420325196508274213</t>
  </si>
  <si>
    <t>花宝3组</t>
  </si>
  <si>
    <t>刘明杰</t>
  </si>
  <si>
    <t>422626196509050072</t>
  </si>
  <si>
    <t>花宝8组</t>
  </si>
  <si>
    <t>张帮国</t>
  </si>
  <si>
    <t>422626195008220016</t>
  </si>
  <si>
    <t>花宝10组</t>
  </si>
  <si>
    <t>戢运青</t>
  </si>
  <si>
    <t>420325197903110010</t>
  </si>
  <si>
    <t>花宝11组</t>
  </si>
  <si>
    <t>刘正良</t>
  </si>
  <si>
    <t>422626193202010013</t>
  </si>
  <si>
    <t>戢逢智</t>
  </si>
  <si>
    <t>422626194204130013</t>
  </si>
  <si>
    <t>东关二组</t>
  </si>
  <si>
    <t>刘文华</t>
  </si>
  <si>
    <t>422626196701280126</t>
  </si>
  <si>
    <t>东关五组</t>
  </si>
  <si>
    <t>吴群</t>
  </si>
  <si>
    <t>420325197103114283</t>
  </si>
  <si>
    <t>东关一组</t>
  </si>
  <si>
    <t>许世清</t>
  </si>
  <si>
    <t>422626196707120019</t>
  </si>
  <si>
    <t>联观社区二组</t>
  </si>
  <si>
    <t>戢运明</t>
  </si>
  <si>
    <t>422626195802130034</t>
  </si>
  <si>
    <t>联观社区三组</t>
  </si>
  <si>
    <t>戢林</t>
  </si>
  <si>
    <t>420325198207200041</t>
  </si>
  <si>
    <t>联观社区七组</t>
  </si>
  <si>
    <t>徐敏</t>
  </si>
  <si>
    <t>420325198310090661</t>
  </si>
  <si>
    <t>联观社区一组</t>
  </si>
  <si>
    <t>蔡芹</t>
  </si>
  <si>
    <t>420325197803171529</t>
  </si>
  <si>
    <t>秦大江</t>
  </si>
  <si>
    <t>420325197005150133</t>
  </si>
  <si>
    <t>联观社区三缚</t>
  </si>
  <si>
    <t>戢金建</t>
  </si>
  <si>
    <t>422626197609050015</t>
  </si>
  <si>
    <t>联观社区五组</t>
  </si>
  <si>
    <t>刘金云</t>
  </si>
  <si>
    <t>422626197708110028</t>
  </si>
  <si>
    <t>八里九组</t>
  </si>
  <si>
    <t>童全新</t>
  </si>
  <si>
    <t>422626195806050031</t>
  </si>
  <si>
    <t>八里五组</t>
  </si>
  <si>
    <t>戢运胡</t>
  </si>
  <si>
    <t>42032519760318005X</t>
  </si>
  <si>
    <t>杜光红</t>
  </si>
  <si>
    <t>422626195008060075</t>
  </si>
  <si>
    <t>八里二组</t>
  </si>
  <si>
    <t>罗明武</t>
  </si>
  <si>
    <t>420325197906020010</t>
  </si>
  <si>
    <t>泉水社区</t>
  </si>
  <si>
    <t>孙金秀</t>
  </si>
  <si>
    <t>422626196908111127</t>
  </si>
  <si>
    <t>城关小计</t>
  </si>
  <si>
    <t>红塔镇</t>
  </si>
  <si>
    <t>潮汪村</t>
  </si>
  <si>
    <t>唐运珍</t>
  </si>
  <si>
    <t>422626196503110628</t>
  </si>
  <si>
    <t>万红喜</t>
  </si>
  <si>
    <t>422626197409230636</t>
  </si>
  <si>
    <t>戢逢清</t>
  </si>
  <si>
    <t>42262619460120061X</t>
  </si>
  <si>
    <t>方坤</t>
  </si>
  <si>
    <t>420325198603080678</t>
  </si>
  <si>
    <t>戈明全</t>
  </si>
  <si>
    <t>422626195602040616</t>
  </si>
  <si>
    <t>张明山</t>
  </si>
  <si>
    <t>420325198401050614</t>
  </si>
  <si>
    <t>方必贵</t>
  </si>
  <si>
    <t>422626197205084251</t>
  </si>
  <si>
    <t>李万兵</t>
  </si>
  <si>
    <t>420325198801090615</t>
  </si>
  <si>
    <t>鲍志华</t>
  </si>
  <si>
    <t>422626196505100618</t>
  </si>
  <si>
    <t>周正荣</t>
  </si>
  <si>
    <t>422626195608060618</t>
  </si>
  <si>
    <t>高会军</t>
  </si>
  <si>
    <t>420325198411060672</t>
  </si>
  <si>
    <t>大里村</t>
  </si>
  <si>
    <t>蒋敦权</t>
  </si>
  <si>
    <t>422626197403180615</t>
  </si>
  <si>
    <t>李建勇</t>
  </si>
  <si>
    <t>422626197710290654</t>
  </si>
  <si>
    <t>蹇德春</t>
  </si>
  <si>
    <t>422626195301030617</t>
  </si>
  <si>
    <t>周泽先</t>
  </si>
  <si>
    <t>422626194305220616</t>
  </si>
  <si>
    <t>蹇正林</t>
  </si>
  <si>
    <t>422626195612170633</t>
  </si>
  <si>
    <t>李世明</t>
  </si>
  <si>
    <t>422626195705120619</t>
  </si>
  <si>
    <t>王仲海</t>
  </si>
  <si>
    <t>420325196402280615</t>
  </si>
  <si>
    <t>李建友</t>
  </si>
  <si>
    <t>422626197205010658</t>
  </si>
  <si>
    <t>邹传进</t>
  </si>
  <si>
    <t>422626194607040637</t>
  </si>
  <si>
    <t>陈长兴</t>
  </si>
  <si>
    <t>42262619740421061X</t>
  </si>
  <si>
    <t>蒋学根</t>
  </si>
  <si>
    <t>42262619601114061X</t>
  </si>
  <si>
    <t>齐德喜</t>
  </si>
  <si>
    <t>420325196603220619</t>
  </si>
  <si>
    <t>卫本林</t>
  </si>
  <si>
    <t>422626196309163611</t>
  </si>
  <si>
    <t>何兆康</t>
  </si>
  <si>
    <t>422626195212060670</t>
  </si>
  <si>
    <t>何兆兴</t>
  </si>
  <si>
    <t>420325195508040615</t>
  </si>
  <si>
    <t>党湾村</t>
  </si>
  <si>
    <t>杨安帮</t>
  </si>
  <si>
    <t>420325198011060630</t>
  </si>
  <si>
    <t>高得学</t>
  </si>
  <si>
    <t>422626196201020619</t>
  </si>
  <si>
    <t>党国宏</t>
  </si>
  <si>
    <t>422626195207270614</t>
  </si>
  <si>
    <t>党国庆</t>
  </si>
  <si>
    <t>422626194810050611</t>
  </si>
  <si>
    <t>胡正夺</t>
  </si>
  <si>
    <t>422626195205100611</t>
  </si>
  <si>
    <t>黄帮青</t>
  </si>
  <si>
    <t>422626195706280614</t>
  </si>
  <si>
    <t>李树学</t>
  </si>
  <si>
    <t>422626195102060653</t>
  </si>
  <si>
    <t>卢中柱</t>
  </si>
  <si>
    <t>420325195306050612</t>
  </si>
  <si>
    <t>祁兴六</t>
  </si>
  <si>
    <t>422626193712230614</t>
  </si>
  <si>
    <t>魏士林</t>
  </si>
  <si>
    <t>420325196203050614</t>
  </si>
  <si>
    <t>杨传林</t>
  </si>
  <si>
    <t>422626195608190615</t>
  </si>
  <si>
    <t>余自勤</t>
  </si>
  <si>
    <t>422626195008200613</t>
  </si>
  <si>
    <t>党天真</t>
  </si>
  <si>
    <t>420325195411240610</t>
  </si>
  <si>
    <t>党兴旺</t>
  </si>
  <si>
    <t>420325195606120619</t>
  </si>
  <si>
    <t>邓营村</t>
  </si>
  <si>
    <t>邓平基</t>
  </si>
  <si>
    <t>422626197507250614</t>
  </si>
  <si>
    <t>邓发兵</t>
  </si>
  <si>
    <t>420325198011030634</t>
  </si>
  <si>
    <t>雷兴科</t>
  </si>
  <si>
    <t>42262619561009063X</t>
  </si>
  <si>
    <t>邓刚</t>
  </si>
  <si>
    <t>420325197702220619</t>
  </si>
  <si>
    <t>付畈村</t>
  </si>
  <si>
    <t>徐成昌</t>
  </si>
  <si>
    <t>422626193810010615</t>
  </si>
  <si>
    <t>付必宪</t>
  </si>
  <si>
    <t>422626195601270639</t>
  </si>
  <si>
    <t>高碑村</t>
  </si>
  <si>
    <t>张金凤</t>
  </si>
  <si>
    <t>422626196903120622</t>
  </si>
  <si>
    <t>李宏武</t>
  </si>
  <si>
    <t>422626197104040612</t>
  </si>
  <si>
    <t>阳家新</t>
  </si>
  <si>
    <t>422626196203070636</t>
  </si>
  <si>
    <t>任高芝</t>
  </si>
  <si>
    <t>422626197301150626</t>
  </si>
  <si>
    <t>邓永炳</t>
  </si>
  <si>
    <t>422626194803290617</t>
  </si>
  <si>
    <t>宋元枝</t>
  </si>
  <si>
    <t>422626194104190625</t>
  </si>
  <si>
    <t>熊友凤</t>
  </si>
  <si>
    <t>422626194510300623</t>
  </si>
  <si>
    <t>张德英</t>
  </si>
  <si>
    <t>422626195303120624</t>
  </si>
  <si>
    <t>赵从先</t>
  </si>
  <si>
    <t>422626195605290653</t>
  </si>
  <si>
    <t>李宏明</t>
  </si>
  <si>
    <t>422626195702280617</t>
  </si>
  <si>
    <t>古桥村</t>
  </si>
  <si>
    <t>杨古宇</t>
  </si>
  <si>
    <t>422626196505033312</t>
  </si>
  <si>
    <t>段光斌</t>
  </si>
  <si>
    <t>42262619571207063X</t>
  </si>
  <si>
    <t>桂坪村</t>
  </si>
  <si>
    <t>陈世珍</t>
  </si>
  <si>
    <t>422626195005030647</t>
  </si>
  <si>
    <t>张孝青</t>
  </si>
  <si>
    <t>422626197307150619</t>
  </si>
  <si>
    <t>李建全</t>
  </si>
  <si>
    <t>422626195006110614</t>
  </si>
  <si>
    <t>张孝富</t>
  </si>
  <si>
    <t>422626196901210632</t>
  </si>
  <si>
    <t>熊启林</t>
  </si>
  <si>
    <t>422626196908110634</t>
  </si>
  <si>
    <t>陈传志</t>
  </si>
  <si>
    <t>422626197105010618</t>
  </si>
  <si>
    <t>李先平</t>
  </si>
  <si>
    <t>422626196311150617</t>
  </si>
  <si>
    <t>熊启双</t>
  </si>
  <si>
    <t>422626196001100614</t>
  </si>
  <si>
    <t>李先成</t>
  </si>
  <si>
    <t>422626197110130614</t>
  </si>
  <si>
    <t>何立安</t>
  </si>
  <si>
    <t>422626196209250611</t>
  </si>
  <si>
    <t>姜席炳</t>
  </si>
  <si>
    <t>422626196109150613</t>
  </si>
  <si>
    <t>詹运平</t>
  </si>
  <si>
    <t>420325197311060611</t>
  </si>
  <si>
    <t>郭中学</t>
  </si>
  <si>
    <t>420325196701120654</t>
  </si>
  <si>
    <t>李行旺</t>
  </si>
  <si>
    <t>422626195104200613</t>
  </si>
  <si>
    <t>唐正义</t>
  </si>
  <si>
    <t>422626194812120636</t>
  </si>
  <si>
    <t>况成兴</t>
  </si>
  <si>
    <t>42262619720505065X</t>
  </si>
  <si>
    <t>况成国</t>
  </si>
  <si>
    <t>422626196703280656</t>
  </si>
  <si>
    <t>朱胜有</t>
  </si>
  <si>
    <t>422626197003210619</t>
  </si>
  <si>
    <t>詹凡</t>
  </si>
  <si>
    <t>422626196809260610</t>
  </si>
  <si>
    <t>陈鄂</t>
  </si>
  <si>
    <t>420325198412243913</t>
  </si>
  <si>
    <t>刘桂云</t>
  </si>
  <si>
    <t>422626195502020685</t>
  </si>
  <si>
    <t>旱粮场村</t>
  </si>
  <si>
    <t>刘继荣</t>
  </si>
  <si>
    <t>422626196005010624</t>
  </si>
  <si>
    <t>邓敏</t>
  </si>
  <si>
    <t>420325198310180640</t>
  </si>
  <si>
    <t>许士华</t>
  </si>
  <si>
    <t>422626196612020613</t>
  </si>
  <si>
    <t>黑沟村</t>
  </si>
  <si>
    <t>刘宏平</t>
  </si>
  <si>
    <t>422626196803020616</t>
  </si>
  <si>
    <t>刘先根</t>
  </si>
  <si>
    <t>422626196509100615</t>
  </si>
  <si>
    <t>邹英</t>
  </si>
  <si>
    <t>420325198608110645</t>
  </si>
  <si>
    <t>刘先艮</t>
  </si>
  <si>
    <t>422626196702030612</t>
  </si>
  <si>
    <t>董发成</t>
  </si>
  <si>
    <t>420325194902204257</t>
  </si>
  <si>
    <t>邹清点</t>
  </si>
  <si>
    <t>422626196206110613</t>
  </si>
  <si>
    <t>况营村</t>
  </si>
  <si>
    <t>胡中德</t>
  </si>
  <si>
    <t>422626194903210653</t>
  </si>
  <si>
    <t>郑先厚</t>
  </si>
  <si>
    <t>422626195409150610</t>
  </si>
  <si>
    <t>彭明国</t>
  </si>
  <si>
    <t>422626195508050615</t>
  </si>
  <si>
    <t>李运堂</t>
  </si>
  <si>
    <t>422626194306100616</t>
  </si>
  <si>
    <t>李湾村</t>
  </si>
  <si>
    <t>李宗尧</t>
  </si>
  <si>
    <t>422626193409040615</t>
  </si>
  <si>
    <t>宋发祖</t>
  </si>
  <si>
    <t>422626194911270613</t>
  </si>
  <si>
    <t>田明芳</t>
  </si>
  <si>
    <t>422626194010200626</t>
  </si>
  <si>
    <t>李宗兵</t>
  </si>
  <si>
    <t>422626196511190613</t>
  </si>
  <si>
    <t>王国生</t>
  </si>
  <si>
    <t>422626195404054232</t>
  </si>
  <si>
    <t>六谷村</t>
  </si>
  <si>
    <t>付廷恕</t>
  </si>
  <si>
    <t>42262619691206063X</t>
  </si>
  <si>
    <t>陈士见</t>
  </si>
  <si>
    <t>42262619640309063144</t>
  </si>
  <si>
    <t>付朝国</t>
  </si>
  <si>
    <t>422626197304140634</t>
  </si>
  <si>
    <t>付朝贵</t>
  </si>
  <si>
    <t>422626196211110618</t>
  </si>
  <si>
    <t>陆业芳</t>
  </si>
  <si>
    <t>420529197605173044</t>
  </si>
  <si>
    <t>付增启</t>
  </si>
  <si>
    <t>422626196308020619</t>
  </si>
  <si>
    <t>丁章英</t>
  </si>
  <si>
    <t>422626196407300624</t>
  </si>
  <si>
    <t>付平</t>
  </si>
  <si>
    <t>420325198011010617</t>
  </si>
  <si>
    <t>余礼珍</t>
  </si>
  <si>
    <t>422626197403110641</t>
  </si>
  <si>
    <t>余立珍</t>
  </si>
  <si>
    <t>422626195003050062</t>
  </si>
  <si>
    <t>付廷春</t>
  </si>
  <si>
    <t>422626194201010630</t>
  </si>
  <si>
    <t>袁学春</t>
  </si>
  <si>
    <t>422626195001310625</t>
  </si>
  <si>
    <t>马栏村</t>
  </si>
  <si>
    <t>李入芝</t>
  </si>
  <si>
    <t>422626195106150648</t>
  </si>
  <si>
    <t>张启华</t>
  </si>
  <si>
    <t>422626195205180623</t>
  </si>
  <si>
    <t>张家庭</t>
  </si>
  <si>
    <t>422626195611010638</t>
  </si>
  <si>
    <t>高得云</t>
  </si>
  <si>
    <t>422626193610290624</t>
  </si>
  <si>
    <t>谢登清</t>
  </si>
  <si>
    <t>422626195604090617</t>
  </si>
  <si>
    <t>黄志菊</t>
  </si>
  <si>
    <t>422626196603218126</t>
  </si>
  <si>
    <t>杜明儒</t>
  </si>
  <si>
    <t>422626194312040656</t>
  </si>
  <si>
    <t>张吉清</t>
  </si>
  <si>
    <t>422626196701270614</t>
  </si>
  <si>
    <t>高德胜</t>
  </si>
  <si>
    <t>420325194012300634</t>
  </si>
  <si>
    <t>余来兵</t>
  </si>
  <si>
    <t>422626193610060618</t>
  </si>
  <si>
    <t>宦忠明</t>
  </si>
  <si>
    <t>422626195412230638</t>
  </si>
  <si>
    <t>雷军科</t>
  </si>
  <si>
    <t>420325196008260616</t>
  </si>
  <si>
    <t>廖兴国</t>
  </si>
  <si>
    <t>422626195112280692</t>
  </si>
  <si>
    <t>杜明飞</t>
  </si>
  <si>
    <t>420325197801190611</t>
  </si>
  <si>
    <t>谢兴莲</t>
  </si>
  <si>
    <t>422626193502020627</t>
  </si>
  <si>
    <t>胡正芬</t>
  </si>
  <si>
    <t>422626196703260620</t>
  </si>
  <si>
    <t>孙仁东</t>
  </si>
  <si>
    <t>422626195002100638</t>
  </si>
  <si>
    <t>雷明山</t>
  </si>
  <si>
    <t>422626195611220651</t>
  </si>
  <si>
    <t>郭光华</t>
  </si>
  <si>
    <t>42032519480913061X</t>
  </si>
  <si>
    <t>廖顺喜</t>
  </si>
  <si>
    <t>420325197410300617</t>
  </si>
  <si>
    <t>张成祥</t>
  </si>
  <si>
    <t>422626195212280630</t>
  </si>
  <si>
    <t>黄志六</t>
  </si>
  <si>
    <t>420325194605220613</t>
  </si>
  <si>
    <t>余来海</t>
  </si>
  <si>
    <t>422626195110120636</t>
  </si>
  <si>
    <t>杜明全</t>
  </si>
  <si>
    <t>422626195206190639</t>
  </si>
  <si>
    <t>余来成</t>
  </si>
  <si>
    <t>420325195401090612</t>
  </si>
  <si>
    <t>党正祥</t>
  </si>
  <si>
    <t>420325194203230616</t>
  </si>
  <si>
    <t>廖正国</t>
  </si>
  <si>
    <t>422626194510250611</t>
  </si>
  <si>
    <t>陈永安</t>
  </si>
  <si>
    <t>420325197511220616</t>
  </si>
  <si>
    <t>邵天成</t>
  </si>
  <si>
    <t>422626194611300614</t>
  </si>
  <si>
    <t>谢兴强</t>
  </si>
  <si>
    <t>422626195212060697</t>
  </si>
  <si>
    <t>戢太福</t>
  </si>
  <si>
    <t>磨石村</t>
  </si>
  <si>
    <t>况建连</t>
  </si>
  <si>
    <t>422626194306070619</t>
  </si>
  <si>
    <t>魏全成</t>
  </si>
  <si>
    <t>422626194702200619</t>
  </si>
  <si>
    <t>尚秀林</t>
  </si>
  <si>
    <t>422626193811250629</t>
  </si>
  <si>
    <t>李世权</t>
  </si>
  <si>
    <t>422626194403150615</t>
  </si>
  <si>
    <t>欧阳本海</t>
  </si>
  <si>
    <t>422626195511250634</t>
  </si>
  <si>
    <t>尚家明</t>
  </si>
  <si>
    <t>422626195404150611</t>
  </si>
  <si>
    <t>李玖运</t>
  </si>
  <si>
    <t>422626195806010638</t>
  </si>
  <si>
    <t>甘永强</t>
  </si>
  <si>
    <t>42262619700411061X</t>
  </si>
  <si>
    <t>韩和国</t>
  </si>
  <si>
    <t>420325198206270638</t>
  </si>
  <si>
    <t>韩永成</t>
  </si>
  <si>
    <t>422626195608280637</t>
  </si>
  <si>
    <t>陈代根</t>
  </si>
  <si>
    <t>422626194708110614</t>
  </si>
  <si>
    <t>顾教提</t>
  </si>
  <si>
    <t>420325196203040619</t>
  </si>
  <si>
    <t>尚开柱</t>
  </si>
  <si>
    <t>422626194312140614</t>
  </si>
  <si>
    <t>张孝芝</t>
  </si>
  <si>
    <t>422626195303190665</t>
  </si>
  <si>
    <t>徐成全</t>
  </si>
  <si>
    <t>422626194209240617</t>
  </si>
  <si>
    <t>邓龙基</t>
  </si>
  <si>
    <t>422626194411250616</t>
  </si>
  <si>
    <t>余礼进</t>
  </si>
  <si>
    <t>422626196005120612</t>
  </si>
  <si>
    <t>张风兰</t>
  </si>
  <si>
    <t>422626196002080627</t>
  </si>
  <si>
    <t>南潭村</t>
  </si>
  <si>
    <t>魏兴兵</t>
  </si>
  <si>
    <t>422626197104250652</t>
  </si>
  <si>
    <t>沈永泉</t>
  </si>
  <si>
    <t>420325197610230617</t>
  </si>
  <si>
    <t>魏兴仁</t>
  </si>
  <si>
    <t>422626195705310658</t>
  </si>
  <si>
    <t>高光全</t>
  </si>
  <si>
    <t>422626196707010610</t>
  </si>
  <si>
    <t>陈运华</t>
  </si>
  <si>
    <t>422626195005110639</t>
  </si>
  <si>
    <t>高兴国</t>
  </si>
  <si>
    <t>422626195501010610</t>
  </si>
  <si>
    <t>徐天福</t>
  </si>
  <si>
    <t>422626196908180917</t>
  </si>
  <si>
    <t>黄开江</t>
  </si>
  <si>
    <t>422626197211250631</t>
  </si>
  <si>
    <t>沈传吉</t>
  </si>
  <si>
    <t>422626194010230614</t>
  </si>
  <si>
    <t>沈昌荣</t>
  </si>
  <si>
    <t>42262619621224065X</t>
  </si>
  <si>
    <t>彭明林</t>
  </si>
  <si>
    <t>422626197401200635</t>
  </si>
  <si>
    <t>沈义吉</t>
  </si>
  <si>
    <t>422626195112120613</t>
  </si>
  <si>
    <t>冯克柱</t>
  </si>
  <si>
    <t>422626195509020610</t>
  </si>
  <si>
    <t>汪春荣</t>
  </si>
  <si>
    <t>422626194211010618</t>
  </si>
  <si>
    <t>魏兴平</t>
  </si>
  <si>
    <t>422626196401080632</t>
  </si>
  <si>
    <t>文化兵</t>
  </si>
  <si>
    <t>422626196810280619</t>
  </si>
  <si>
    <t>杜明喜</t>
  </si>
  <si>
    <t>42262619611005061x</t>
  </si>
  <si>
    <t>文中林</t>
  </si>
  <si>
    <t>422626196508091518</t>
  </si>
  <si>
    <t>李泽兴</t>
  </si>
  <si>
    <t>422626195508300610</t>
  </si>
  <si>
    <t>李文启</t>
  </si>
  <si>
    <t>422626196512060618</t>
  </si>
  <si>
    <t>张可华</t>
  </si>
  <si>
    <t>420325195312010617</t>
  </si>
  <si>
    <t>文金山</t>
  </si>
  <si>
    <t>422626197204080611</t>
  </si>
  <si>
    <t>冯克兵</t>
  </si>
  <si>
    <t>422626196710170615</t>
  </si>
  <si>
    <t>张祖兰</t>
  </si>
  <si>
    <t>422626195606160623</t>
  </si>
  <si>
    <t>王先珍</t>
  </si>
  <si>
    <t>42262619520915422X</t>
  </si>
  <si>
    <t>戢逢云</t>
  </si>
  <si>
    <t>422626197005280645</t>
  </si>
  <si>
    <t>邓先明</t>
  </si>
  <si>
    <t>420325197703130615</t>
  </si>
  <si>
    <t>刘国旺</t>
  </si>
  <si>
    <t>422626193910180611</t>
  </si>
  <si>
    <t>高广春</t>
  </si>
  <si>
    <t>422626196110090611</t>
  </si>
  <si>
    <t>付军</t>
  </si>
  <si>
    <t>420325198307010616</t>
  </si>
  <si>
    <t>422626195705310615</t>
  </si>
  <si>
    <t>张国发</t>
  </si>
  <si>
    <t>422626195102220610</t>
  </si>
  <si>
    <t>七河村</t>
  </si>
  <si>
    <t>丁超</t>
  </si>
  <si>
    <t>422626195307270611</t>
  </si>
  <si>
    <t>查尔柱</t>
  </si>
  <si>
    <t>422626195503160612</t>
  </si>
  <si>
    <t>李实国</t>
  </si>
  <si>
    <t>420325195212040616</t>
  </si>
  <si>
    <t>杨兴秀</t>
  </si>
  <si>
    <t>420325194507303626</t>
  </si>
  <si>
    <t>沙坪村</t>
  </si>
  <si>
    <t>王学明</t>
  </si>
  <si>
    <t>422626196412080638</t>
  </si>
  <si>
    <t>蒋德成</t>
  </si>
  <si>
    <t>422626194407152618</t>
  </si>
  <si>
    <t>吕永兵</t>
  </si>
  <si>
    <t>42262619450424061X</t>
  </si>
  <si>
    <t>吕永茂</t>
  </si>
  <si>
    <t>420325194812230611</t>
  </si>
  <si>
    <t>吴合柱</t>
  </si>
  <si>
    <t>422626194803070630</t>
  </si>
  <si>
    <t>杨永全</t>
  </si>
  <si>
    <t>422626195604160611</t>
  </si>
  <si>
    <t>雷怀才</t>
  </si>
  <si>
    <t>42262619360306061X</t>
  </si>
  <si>
    <t>周道才</t>
  </si>
  <si>
    <t>422626193607220617</t>
  </si>
  <si>
    <t>钱尔祥</t>
  </si>
  <si>
    <t>422626195501040617</t>
  </si>
  <si>
    <t>曹志祥</t>
  </si>
  <si>
    <t>422626193106050613</t>
  </si>
  <si>
    <t>蒋大银</t>
  </si>
  <si>
    <t>422626196803080617</t>
  </si>
  <si>
    <t>胡正东</t>
  </si>
  <si>
    <t>420325198211107333</t>
  </si>
  <si>
    <t>宋必富</t>
  </si>
  <si>
    <t>422626195307060614</t>
  </si>
  <si>
    <t>张可荣</t>
  </si>
  <si>
    <t>422626195208070614</t>
  </si>
  <si>
    <t>彭良运</t>
  </si>
  <si>
    <t>422626194903220616</t>
  </si>
  <si>
    <t>双溪村</t>
  </si>
  <si>
    <t>张明</t>
  </si>
  <si>
    <t>420325198706140610</t>
  </si>
  <si>
    <t>周孔元</t>
  </si>
  <si>
    <t>422626195504280616</t>
  </si>
  <si>
    <t>任铜忠</t>
  </si>
  <si>
    <t>422626193901130612</t>
  </si>
  <si>
    <t>李德华</t>
  </si>
  <si>
    <t>422626195703090612</t>
  </si>
  <si>
    <t>徐基荣</t>
  </si>
  <si>
    <t>422626194811060619</t>
  </si>
  <si>
    <t>塘溪村</t>
  </si>
  <si>
    <t>唐义先</t>
  </si>
  <si>
    <t>422626196112080636</t>
  </si>
  <si>
    <t>许光敏</t>
  </si>
  <si>
    <t>422626195401250617</t>
  </si>
  <si>
    <t>陈菊</t>
  </si>
  <si>
    <t>420325197211188129</t>
  </si>
  <si>
    <t>许光丙</t>
  </si>
  <si>
    <t>422626194610060612</t>
  </si>
  <si>
    <t>何建英</t>
  </si>
  <si>
    <t>422626195609300660</t>
  </si>
  <si>
    <t>许明文</t>
  </si>
  <si>
    <t>422626196712300655</t>
  </si>
  <si>
    <t>杨启梅</t>
  </si>
  <si>
    <t>42262619721002064X</t>
  </si>
  <si>
    <t>付远林</t>
  </si>
  <si>
    <t>422626195509020637</t>
  </si>
  <si>
    <t>许光安</t>
  </si>
  <si>
    <t>422626195108170634</t>
  </si>
  <si>
    <t>许明付</t>
  </si>
  <si>
    <t>42032519520815061X</t>
  </si>
  <si>
    <t>付远定</t>
  </si>
  <si>
    <t>42262619621008063X</t>
  </si>
  <si>
    <t>卢广武</t>
  </si>
  <si>
    <t>422626195409160632</t>
  </si>
  <si>
    <t>许明海</t>
  </si>
  <si>
    <t>422626195507220635</t>
  </si>
  <si>
    <t>许大生</t>
  </si>
  <si>
    <t>422626194805140639</t>
  </si>
  <si>
    <t>饶士全</t>
  </si>
  <si>
    <t>422626195407250634</t>
  </si>
  <si>
    <t>卢学宏</t>
  </si>
  <si>
    <t>42262619740501061X</t>
  </si>
  <si>
    <t>五将村</t>
  </si>
  <si>
    <t>422626196702070614</t>
  </si>
  <si>
    <t>付必明</t>
  </si>
  <si>
    <t>422626194901030616</t>
  </si>
  <si>
    <t>况建均</t>
  </si>
  <si>
    <t>422626195512180615</t>
  </si>
  <si>
    <t>徐文平</t>
  </si>
  <si>
    <t>422626196501060671</t>
  </si>
  <si>
    <t>张仁贵</t>
  </si>
  <si>
    <t>42032519511126061X</t>
  </si>
  <si>
    <t>杨兴舟</t>
  </si>
  <si>
    <t>420325196610230612</t>
  </si>
  <si>
    <t>五龙村</t>
  </si>
  <si>
    <t>郭长银</t>
  </si>
  <si>
    <t>42262619431013061</t>
  </si>
  <si>
    <t>赵国荣</t>
  </si>
  <si>
    <t>42262619381028061</t>
  </si>
  <si>
    <t>郭长华</t>
  </si>
  <si>
    <t>42262619670404641</t>
  </si>
  <si>
    <t>郭东会</t>
  </si>
  <si>
    <t>42262619691113068</t>
  </si>
  <si>
    <t>李斌</t>
  </si>
  <si>
    <t>422626197203120634</t>
  </si>
  <si>
    <t>徐成中</t>
  </si>
  <si>
    <t>422626195607060616</t>
  </si>
  <si>
    <t>郭长海</t>
  </si>
  <si>
    <t>422626195612290619</t>
  </si>
  <si>
    <t>付培生</t>
  </si>
  <si>
    <t>422626195210230613</t>
  </si>
  <si>
    <t>谢湾村</t>
  </si>
  <si>
    <t>孙福仁</t>
  </si>
  <si>
    <t>422626194508170639</t>
  </si>
  <si>
    <t>余修德</t>
  </si>
  <si>
    <t>420325194502160611</t>
  </si>
  <si>
    <t>兴盛村</t>
  </si>
  <si>
    <t>李吉金</t>
  </si>
  <si>
    <t>422626194308310617</t>
  </si>
  <si>
    <t>周公明</t>
  </si>
  <si>
    <t>42262619731012063X</t>
  </si>
  <si>
    <t>解会林</t>
  </si>
  <si>
    <t>422626195310230610</t>
  </si>
  <si>
    <t>营盘村</t>
  </si>
  <si>
    <t>付建华</t>
  </si>
  <si>
    <t>422626196202180614</t>
  </si>
  <si>
    <t>胡传华</t>
  </si>
  <si>
    <t>422626195305070659</t>
  </si>
  <si>
    <t>何建国</t>
  </si>
  <si>
    <t>420325196801210614</t>
  </si>
  <si>
    <t>朱世杰</t>
  </si>
  <si>
    <t>422626194908110635</t>
  </si>
  <si>
    <t>何建强</t>
  </si>
  <si>
    <t>422626197001210658</t>
  </si>
  <si>
    <t>油坪村</t>
  </si>
  <si>
    <t>付红</t>
  </si>
  <si>
    <t>420325198003200634</t>
  </si>
  <si>
    <t>杨祖权</t>
  </si>
  <si>
    <t>422626195203200619</t>
  </si>
  <si>
    <t>陈立财</t>
  </si>
  <si>
    <t>422626195610070639</t>
  </si>
  <si>
    <t>任晓燕</t>
  </si>
  <si>
    <t>420325197601230682</t>
  </si>
  <si>
    <t>付家财</t>
  </si>
  <si>
    <t>422626194909240634</t>
  </si>
  <si>
    <t>任自奎</t>
  </si>
  <si>
    <t>420325198211278116</t>
  </si>
  <si>
    <t>付家明</t>
  </si>
  <si>
    <t>422626195206020613</t>
  </si>
  <si>
    <t>张纪荣</t>
  </si>
  <si>
    <t>422626194906120610</t>
  </si>
  <si>
    <t>杨银昌</t>
  </si>
  <si>
    <t>422626195602210611</t>
  </si>
  <si>
    <t>付家杰</t>
  </si>
  <si>
    <t>42262619480607061X</t>
  </si>
  <si>
    <t>朱湾村</t>
  </si>
  <si>
    <t>邓绪英</t>
  </si>
  <si>
    <t>422626195209120636</t>
  </si>
  <si>
    <t>陈家明</t>
  </si>
  <si>
    <t>420325198105070635</t>
  </si>
  <si>
    <t>张永祥</t>
  </si>
  <si>
    <t>422626195309080619</t>
  </si>
  <si>
    <t>李士清</t>
  </si>
  <si>
    <t>422626197205180614</t>
  </si>
  <si>
    <t>吴明仁</t>
  </si>
  <si>
    <t>42032519460525061X</t>
  </si>
  <si>
    <t>郑先阳</t>
  </si>
  <si>
    <t>422626194912290616</t>
  </si>
  <si>
    <t>郑文生</t>
  </si>
  <si>
    <t>422626194701020616</t>
  </si>
  <si>
    <t>杨松清</t>
  </si>
  <si>
    <t>422626197010310634</t>
  </si>
  <si>
    <t>刘德生</t>
  </si>
  <si>
    <t>422626195709020658</t>
  </si>
  <si>
    <t>徐守全</t>
  </si>
  <si>
    <t>422626197112260631</t>
  </si>
  <si>
    <t>任泽军</t>
  </si>
  <si>
    <t>422626196508080616</t>
  </si>
  <si>
    <t>黄成良</t>
  </si>
  <si>
    <t>422626196312130618</t>
  </si>
  <si>
    <t>刘长青</t>
  </si>
  <si>
    <t>422626194611270611</t>
  </si>
  <si>
    <t>刘永海</t>
  </si>
  <si>
    <t>422626196711210631</t>
  </si>
  <si>
    <t>王涛</t>
  </si>
  <si>
    <t>420325198404280618</t>
  </si>
  <si>
    <t>赵国福</t>
  </si>
  <si>
    <t>422626196307140619</t>
  </si>
  <si>
    <t>张孝燕</t>
  </si>
  <si>
    <t>422626197402280622</t>
  </si>
  <si>
    <t>吴明奎</t>
  </si>
  <si>
    <t>422626196301180636</t>
  </si>
  <si>
    <t>杨青合</t>
  </si>
  <si>
    <t>422626195011010618</t>
  </si>
  <si>
    <t>郭长举</t>
  </si>
  <si>
    <t>420325195210150619</t>
  </si>
  <si>
    <t>任泽华</t>
  </si>
  <si>
    <t>422626196502160615</t>
  </si>
  <si>
    <t>杨松乐</t>
  </si>
  <si>
    <t>420325196111280615</t>
  </si>
  <si>
    <t>邵子合</t>
  </si>
  <si>
    <t>422626195611020617</t>
  </si>
  <si>
    <t>刘支国</t>
  </si>
  <si>
    <t>422626197505290639</t>
  </si>
  <si>
    <t>赵明兴</t>
  </si>
  <si>
    <t>422626196102060631</t>
  </si>
  <si>
    <t>魏香成</t>
  </si>
  <si>
    <t>422626195801276728</t>
  </si>
  <si>
    <t>罗永兰</t>
  </si>
  <si>
    <t>420325195412030623</t>
  </si>
  <si>
    <t>杨松保</t>
  </si>
  <si>
    <t>422626194809090616</t>
  </si>
  <si>
    <t>雷传群</t>
  </si>
  <si>
    <t>422626196708090632</t>
  </si>
  <si>
    <t>王自真</t>
  </si>
  <si>
    <t>420325198211040618</t>
  </si>
  <si>
    <t>杨松喜</t>
  </si>
  <si>
    <t>422626196203270611</t>
  </si>
  <si>
    <t>杨松权</t>
  </si>
  <si>
    <t>422626195708110619</t>
  </si>
  <si>
    <t>杨松国</t>
  </si>
  <si>
    <t>42262619580402063X</t>
  </si>
  <si>
    <t>李士成</t>
  </si>
  <si>
    <t>422626196308150632</t>
  </si>
  <si>
    <t>杨林荣</t>
  </si>
  <si>
    <t>422626197006080610</t>
  </si>
  <si>
    <t>郑先益</t>
  </si>
  <si>
    <t>422626195005220619</t>
  </si>
  <si>
    <t>杨剑波</t>
  </si>
  <si>
    <t>420325198103050616</t>
  </si>
  <si>
    <t>吴明合</t>
  </si>
  <si>
    <t>422626197102010671</t>
  </si>
  <si>
    <t>刘支华</t>
  </si>
  <si>
    <t>422626196903240616</t>
  </si>
  <si>
    <t>刘生平</t>
  </si>
  <si>
    <t>422626195201030636</t>
  </si>
  <si>
    <t>郑先兵</t>
  </si>
  <si>
    <t>422626197112030633</t>
  </si>
  <si>
    <t>罗春明</t>
  </si>
  <si>
    <t>422626195010130634</t>
  </si>
  <si>
    <t>陈泽贵</t>
  </si>
  <si>
    <t>422626195311050670</t>
  </si>
  <si>
    <t>郭仑才</t>
  </si>
  <si>
    <t>422626193212300612</t>
  </si>
  <si>
    <t>谭学英</t>
  </si>
  <si>
    <t>422626192802200625</t>
  </si>
  <si>
    <t>杜登全</t>
  </si>
  <si>
    <t>42262619650212063X</t>
  </si>
  <si>
    <t>422626194612290614</t>
  </si>
  <si>
    <t>彭红印</t>
  </si>
  <si>
    <t>420325198611170630</t>
  </si>
  <si>
    <t>丁虎</t>
  </si>
  <si>
    <t>420325197905230630</t>
  </si>
  <si>
    <t>雷怀兵</t>
  </si>
  <si>
    <t>422626197007200637</t>
  </si>
  <si>
    <t>余礼权</t>
  </si>
  <si>
    <t>422626195309040617</t>
  </si>
  <si>
    <t>袁大珍</t>
  </si>
  <si>
    <t>422626194010140627</t>
  </si>
  <si>
    <t>张学成</t>
  </si>
  <si>
    <t>420325194606140615</t>
  </si>
  <si>
    <t>张学林</t>
  </si>
  <si>
    <t>422626195108190678</t>
  </si>
  <si>
    <t>朱圣海</t>
  </si>
  <si>
    <t>422626195706220638</t>
  </si>
  <si>
    <t>雷善清</t>
  </si>
  <si>
    <t>422626195402270652</t>
  </si>
  <si>
    <t>余贵林</t>
  </si>
  <si>
    <t>422626195504120647</t>
  </si>
  <si>
    <t>王福群</t>
  </si>
  <si>
    <t>422626195702080631</t>
  </si>
  <si>
    <t>红塔小计</t>
  </si>
  <si>
    <t>军店镇</t>
  </si>
  <si>
    <t>社区</t>
  </si>
  <si>
    <t>皮明</t>
  </si>
  <si>
    <t>422626196911191578</t>
  </si>
  <si>
    <t>中村村11组</t>
  </si>
  <si>
    <t>何继兵</t>
  </si>
  <si>
    <t>中村村9组</t>
  </si>
  <si>
    <t>刘志兴</t>
  </si>
  <si>
    <t>刘世荣</t>
  </si>
  <si>
    <t>中村村10组</t>
  </si>
  <si>
    <t>何银久</t>
  </si>
  <si>
    <t>何继会</t>
  </si>
  <si>
    <t>中村村13组</t>
  </si>
  <si>
    <t>向胜和</t>
  </si>
  <si>
    <t>宋宏秀</t>
  </si>
  <si>
    <t>中村村4组</t>
  </si>
  <si>
    <t>程长峰</t>
  </si>
  <si>
    <t>何继均</t>
  </si>
  <si>
    <t>刘运美</t>
  </si>
  <si>
    <t>何明清</t>
  </si>
  <si>
    <t>何明华</t>
  </si>
  <si>
    <t>何继林</t>
  </si>
  <si>
    <t>刘继兵</t>
  </si>
  <si>
    <t>刘兵</t>
  </si>
  <si>
    <t>中村村12组</t>
  </si>
  <si>
    <t>杨春辉</t>
  </si>
  <si>
    <t>杨吉武</t>
  </si>
  <si>
    <t>422626196609251517</t>
  </si>
  <si>
    <t>中村村5组</t>
  </si>
  <si>
    <t>程长寿</t>
  </si>
  <si>
    <t>422626196205251510</t>
  </si>
  <si>
    <t>中村村16组</t>
  </si>
  <si>
    <t>宋道堂</t>
  </si>
  <si>
    <t>422626195004161514</t>
  </si>
  <si>
    <t>中村村7组</t>
  </si>
  <si>
    <t>陈兆虎</t>
  </si>
  <si>
    <t>420325196212081519</t>
  </si>
  <si>
    <t>陈国风</t>
  </si>
  <si>
    <t>42032519570316151931</t>
  </si>
  <si>
    <t xml:space="preserve"> 陈国锋</t>
  </si>
  <si>
    <t>422626196012021516</t>
  </si>
  <si>
    <t>中村村15组</t>
  </si>
  <si>
    <t>袁宗跃</t>
  </si>
  <si>
    <t>42262619670127151063</t>
  </si>
  <si>
    <t>刘运常</t>
  </si>
  <si>
    <t>422626193005231917</t>
  </si>
  <si>
    <t>中村</t>
  </si>
  <si>
    <t>刘运兵</t>
  </si>
  <si>
    <t>422626196702091511</t>
  </si>
  <si>
    <t>上茅坪14组</t>
  </si>
  <si>
    <t>42262619630120151344</t>
  </si>
  <si>
    <t>周同林</t>
  </si>
  <si>
    <t>422626194707131528</t>
  </si>
  <si>
    <t>李兴全</t>
  </si>
  <si>
    <t>422626197407181578</t>
  </si>
  <si>
    <t>程传华</t>
  </si>
  <si>
    <t>42262619660907151644</t>
  </si>
  <si>
    <t>伍义合</t>
  </si>
  <si>
    <t>422626194805081536</t>
  </si>
  <si>
    <t>邓尚华</t>
  </si>
  <si>
    <t>42262619591216151X</t>
  </si>
  <si>
    <t>李长生</t>
  </si>
  <si>
    <t>42262619660228151044</t>
  </si>
  <si>
    <t>下茅坪村</t>
  </si>
  <si>
    <t>任乐生</t>
  </si>
  <si>
    <t>420325196601141511</t>
  </si>
  <si>
    <t>张小琴</t>
  </si>
  <si>
    <t>420325198012221512</t>
  </si>
  <si>
    <t>张运龙</t>
  </si>
  <si>
    <t>420325197411301558</t>
  </si>
  <si>
    <t>任彦中</t>
  </si>
  <si>
    <t>422626192801301512</t>
  </si>
  <si>
    <t>谭荣幸</t>
  </si>
  <si>
    <t>42032519860104151X11</t>
  </si>
  <si>
    <t>任志军</t>
  </si>
  <si>
    <t>420325197811051519</t>
  </si>
  <si>
    <t>余炳瑞</t>
  </si>
  <si>
    <t>422626194703167611</t>
  </si>
  <si>
    <t>张启林</t>
  </si>
  <si>
    <t>420325198103191531</t>
  </si>
  <si>
    <t>任苗</t>
  </si>
  <si>
    <t>420325198302141553</t>
  </si>
  <si>
    <t>何家村3组</t>
  </si>
  <si>
    <t>杨双燕</t>
  </si>
  <si>
    <t>420325200502031527</t>
  </si>
  <si>
    <t>何家村2组</t>
  </si>
  <si>
    <t>钟秀明</t>
  </si>
  <si>
    <t>420682197002262037</t>
  </si>
  <si>
    <t>何家村16组</t>
  </si>
  <si>
    <t>刘光明</t>
  </si>
  <si>
    <t>42262619550412153512</t>
  </si>
  <si>
    <t>向湾村</t>
  </si>
  <si>
    <t>向群</t>
  </si>
  <si>
    <t>陈学兴</t>
  </si>
  <si>
    <t>陈立兵</t>
  </si>
  <si>
    <t>陈立发</t>
  </si>
  <si>
    <t>刘运成</t>
  </si>
  <si>
    <t>宋小平</t>
  </si>
  <si>
    <t>孙九梅</t>
  </si>
  <si>
    <t>赵建秀</t>
  </si>
  <si>
    <t>刘继良</t>
  </si>
  <si>
    <t>刘继德</t>
  </si>
  <si>
    <t>杨晓全</t>
  </si>
  <si>
    <t>胡强</t>
  </si>
  <si>
    <t>42032519811122159311</t>
  </si>
  <si>
    <t>计德明</t>
  </si>
  <si>
    <t>刘继保</t>
  </si>
  <si>
    <t>郭典茂</t>
  </si>
  <si>
    <t>三溪沟村2组</t>
  </si>
  <si>
    <t>张宏合</t>
  </si>
  <si>
    <t>422626194507091517</t>
  </si>
  <si>
    <t>三溪沟村5组</t>
  </si>
  <si>
    <t>吴艳林</t>
  </si>
  <si>
    <t>420325197906231512</t>
  </si>
  <si>
    <t>喻建</t>
  </si>
  <si>
    <t>42262619680227151X</t>
  </si>
  <si>
    <t>三溪沟村3组</t>
  </si>
  <si>
    <t>吴斌昌</t>
  </si>
  <si>
    <t>422626194310231512</t>
  </si>
  <si>
    <t>三溪沟村7组</t>
  </si>
  <si>
    <t>杨太林</t>
  </si>
  <si>
    <t>422626195401301517</t>
  </si>
  <si>
    <t>郭道发</t>
  </si>
  <si>
    <t>422626193004141514</t>
  </si>
  <si>
    <t>三溪沟村6组</t>
  </si>
  <si>
    <t>吴秀英</t>
  </si>
  <si>
    <t>422626194303046722</t>
  </si>
  <si>
    <t>三溪沟村8组</t>
  </si>
  <si>
    <t>任志友</t>
  </si>
  <si>
    <t>422626195304111519</t>
  </si>
  <si>
    <t>三溪沟村17组</t>
  </si>
  <si>
    <t>宿传柱</t>
  </si>
  <si>
    <t>420325194405111535</t>
  </si>
  <si>
    <t>三溪沟村12组</t>
  </si>
  <si>
    <t>程道根</t>
  </si>
  <si>
    <t>422626194210161537</t>
  </si>
  <si>
    <t>三溪沟村11组</t>
  </si>
  <si>
    <t>喻传忠</t>
  </si>
  <si>
    <t>422626195511051512</t>
  </si>
  <si>
    <t>吴俊</t>
  </si>
  <si>
    <t>42262619600119151X</t>
  </si>
  <si>
    <t>吴兴燕</t>
  </si>
  <si>
    <t>420325198212061517</t>
  </si>
  <si>
    <t>曹盛友</t>
  </si>
  <si>
    <t>420325195507171533</t>
  </si>
  <si>
    <t>吴新平</t>
  </si>
  <si>
    <t>420325198804011556</t>
  </si>
  <si>
    <t>三溪沟村13组</t>
  </si>
  <si>
    <t>张宏全</t>
  </si>
  <si>
    <t>422626195610071519</t>
  </si>
  <si>
    <t>三溪沟村14组</t>
  </si>
  <si>
    <t>任传停</t>
  </si>
  <si>
    <t>422626196301171510</t>
  </si>
  <si>
    <t>三溪沟村15组</t>
  </si>
  <si>
    <t>高运玖</t>
  </si>
  <si>
    <t>422626196606061515</t>
  </si>
  <si>
    <t>刘长见</t>
  </si>
  <si>
    <t>422626195409241512</t>
  </si>
  <si>
    <t>黄元停</t>
  </si>
  <si>
    <t>422626193703081514</t>
  </si>
  <si>
    <t>查福贵</t>
  </si>
  <si>
    <t>422626195303271537</t>
  </si>
  <si>
    <t>查先进</t>
  </si>
  <si>
    <t>422626196005091516</t>
  </si>
  <si>
    <t>陈先友</t>
  </si>
  <si>
    <t>42262619610525153X</t>
  </si>
  <si>
    <t>三溪沟村18组</t>
  </si>
  <si>
    <t>齐汉林</t>
  </si>
  <si>
    <t>422626196808101511</t>
  </si>
  <si>
    <t>任传福</t>
  </si>
  <si>
    <t>422626195404291510</t>
  </si>
  <si>
    <t>孟成胡</t>
  </si>
  <si>
    <t>422626194703201517</t>
  </si>
  <si>
    <t>任传江</t>
  </si>
  <si>
    <t>422626195502271513</t>
  </si>
  <si>
    <t>王国财</t>
  </si>
  <si>
    <t>422626195310011514</t>
  </si>
  <si>
    <t>杨昌达</t>
  </si>
  <si>
    <t>422626194112201515</t>
  </si>
  <si>
    <t>孟成章</t>
  </si>
  <si>
    <t>42262619530421151X</t>
  </si>
  <si>
    <t>任传治</t>
  </si>
  <si>
    <t>42262619520418151X</t>
  </si>
  <si>
    <t>程传明</t>
  </si>
  <si>
    <t>422626193410241510</t>
  </si>
  <si>
    <t>孟成理</t>
  </si>
  <si>
    <t>422626194901291517</t>
  </si>
  <si>
    <t>高峰</t>
  </si>
  <si>
    <t>422626197302141510</t>
  </si>
  <si>
    <t>高照华</t>
  </si>
  <si>
    <t>422626197305311511</t>
  </si>
  <si>
    <t>三溪沟村4组</t>
  </si>
  <si>
    <t>422626197403131514</t>
  </si>
  <si>
    <t>何磊</t>
  </si>
  <si>
    <t>42032519800806151X</t>
  </si>
  <si>
    <t>三溪沟村10组</t>
  </si>
  <si>
    <t>吴华昌</t>
  </si>
  <si>
    <t>422626196604031515</t>
  </si>
  <si>
    <t>蔡林超</t>
  </si>
  <si>
    <t>420325198203301531</t>
  </si>
  <si>
    <t>三溪沟村9组</t>
  </si>
  <si>
    <t>胡俊</t>
  </si>
  <si>
    <t>420325198710061595</t>
  </si>
  <si>
    <t>三溪沟村16组</t>
  </si>
  <si>
    <t>任世福</t>
  </si>
  <si>
    <t>422626195501201556</t>
  </si>
  <si>
    <t>小峪村5组</t>
  </si>
  <si>
    <t>魏刚喜</t>
  </si>
  <si>
    <t>422626196702201573</t>
  </si>
  <si>
    <t>小峪村1组</t>
  </si>
  <si>
    <t>蔡自元</t>
  </si>
  <si>
    <t>422626195603271555</t>
  </si>
  <si>
    <t>军马村</t>
  </si>
  <si>
    <t>吴爱军</t>
  </si>
  <si>
    <t>42262619711025155542</t>
  </si>
  <si>
    <t>吴敦喜</t>
  </si>
  <si>
    <t>422626196304301536</t>
  </si>
  <si>
    <t>任传贵</t>
  </si>
  <si>
    <t>42262619560206151333</t>
  </si>
  <si>
    <t>胡方满</t>
  </si>
  <si>
    <t>42032519551024155531</t>
  </si>
  <si>
    <t>程长法</t>
  </si>
  <si>
    <t>422626196105061517</t>
  </si>
  <si>
    <t>何玉元</t>
  </si>
  <si>
    <t>422626195203091512</t>
  </si>
  <si>
    <t>魏世平</t>
  </si>
  <si>
    <t>422626197304112334</t>
  </si>
  <si>
    <t>吴绍运</t>
  </si>
  <si>
    <t>422626193612051539</t>
  </si>
  <si>
    <t>易沟村</t>
  </si>
  <si>
    <t>郭世明</t>
  </si>
  <si>
    <t>422626196704011511</t>
  </si>
  <si>
    <t>向春平</t>
  </si>
  <si>
    <t>420325196703131525</t>
  </si>
  <si>
    <t>马贵宇</t>
  </si>
  <si>
    <t>422626196407051533</t>
  </si>
  <si>
    <t>马贵学</t>
  </si>
  <si>
    <t>422626197009081539</t>
  </si>
  <si>
    <t>袁达凤</t>
  </si>
  <si>
    <t>422626195002081529</t>
  </si>
  <si>
    <t>张科荣</t>
  </si>
  <si>
    <t>422626196004076728</t>
  </si>
  <si>
    <t>宋成山</t>
  </si>
  <si>
    <t>422626194901041518</t>
  </si>
  <si>
    <t>陈士荣</t>
  </si>
  <si>
    <t>422626196505211529</t>
  </si>
  <si>
    <t>徐顺全</t>
  </si>
  <si>
    <t>422626196602041517</t>
  </si>
  <si>
    <t>刘运强</t>
  </si>
  <si>
    <t>422626195701301519</t>
  </si>
  <si>
    <t>刘运来</t>
  </si>
  <si>
    <t>422626195101251511</t>
  </si>
  <si>
    <t>刘恒</t>
  </si>
  <si>
    <t>420325198109011554</t>
  </si>
  <si>
    <t>杨科辉</t>
  </si>
  <si>
    <t>420325199203181538</t>
  </si>
  <si>
    <t>杨祖明</t>
  </si>
  <si>
    <t>42262619640804153X</t>
  </si>
  <si>
    <t>余芝富</t>
  </si>
  <si>
    <t>422626196307161532</t>
  </si>
  <si>
    <t>黄运华</t>
  </si>
  <si>
    <t>420325198011271550</t>
  </si>
  <si>
    <t>毛德凤</t>
  </si>
  <si>
    <t>422626195511031546</t>
  </si>
  <si>
    <t>刘成福</t>
  </si>
  <si>
    <t>42262619430922151X</t>
  </si>
  <si>
    <t>唐志兵</t>
  </si>
  <si>
    <t>612401197708181157</t>
  </si>
  <si>
    <t>王国军</t>
  </si>
  <si>
    <t>422626197510111519</t>
  </si>
  <si>
    <t>刘运清</t>
  </si>
  <si>
    <t>422626196511081513</t>
  </si>
  <si>
    <t>袁文同</t>
  </si>
  <si>
    <t>422626196610291516</t>
  </si>
  <si>
    <t>王守春</t>
  </si>
  <si>
    <t>422626195401071512</t>
  </si>
  <si>
    <t>王德柱</t>
  </si>
  <si>
    <t>422626195309281533</t>
  </si>
  <si>
    <t>许明生</t>
  </si>
  <si>
    <t>422626196211081538</t>
  </si>
  <si>
    <t>唐旭</t>
  </si>
  <si>
    <t>420325199112181559</t>
  </si>
  <si>
    <t>宋成珍</t>
  </si>
  <si>
    <t>42262619540326156342</t>
  </si>
  <si>
    <t>袁文宏</t>
  </si>
  <si>
    <t>422626196903071533</t>
  </si>
  <si>
    <t>唐义军</t>
  </si>
  <si>
    <t>420325198012091535</t>
  </si>
  <si>
    <t>袁文兵</t>
  </si>
  <si>
    <t>422626197306051539</t>
  </si>
  <si>
    <t>许光东</t>
  </si>
  <si>
    <t>420325197510081554</t>
  </si>
  <si>
    <t>杨兵</t>
  </si>
  <si>
    <t>420325198404271535</t>
  </si>
  <si>
    <t>刘长珍</t>
  </si>
  <si>
    <t>422626194612191528</t>
  </si>
  <si>
    <t>李胜全</t>
  </si>
  <si>
    <t>422626195901261531</t>
  </si>
  <si>
    <t>王洪</t>
  </si>
  <si>
    <t>420325198212221517</t>
  </si>
  <si>
    <t>周公林</t>
  </si>
  <si>
    <t>422626196710081559</t>
  </si>
  <si>
    <t>袁文成</t>
  </si>
  <si>
    <t>422626196506271531</t>
  </si>
  <si>
    <t>许光仁</t>
  </si>
  <si>
    <t>422626196004061518</t>
  </si>
  <si>
    <t>余芝成</t>
  </si>
  <si>
    <t>422626195502211510</t>
  </si>
  <si>
    <t>指北村6</t>
  </si>
  <si>
    <t>陈立英</t>
  </si>
  <si>
    <t>42262619531024152043</t>
  </si>
  <si>
    <t>指北村4</t>
  </si>
  <si>
    <t>郭乐华</t>
  </si>
  <si>
    <t>422626196805291516</t>
  </si>
  <si>
    <t>张孝华</t>
  </si>
  <si>
    <t>422626195311021511</t>
  </si>
  <si>
    <t>许大胜</t>
  </si>
  <si>
    <t>422626193704281534</t>
  </si>
  <si>
    <t>张宏业</t>
  </si>
  <si>
    <t>42262619540811153X</t>
  </si>
  <si>
    <t>任传武</t>
  </si>
  <si>
    <t>422626195802101516</t>
  </si>
  <si>
    <t>指北村5</t>
  </si>
  <si>
    <t>熊自仁</t>
  </si>
  <si>
    <t>422626195312191539</t>
  </si>
  <si>
    <t>吴德华</t>
  </si>
  <si>
    <t>42262619530429153X</t>
  </si>
  <si>
    <t>金海燕</t>
  </si>
  <si>
    <t>422626197006061516</t>
  </si>
  <si>
    <t>姜封兵</t>
  </si>
  <si>
    <t>42032519330816151X</t>
  </si>
  <si>
    <t>郑龙全</t>
  </si>
  <si>
    <t>422626193707231532</t>
  </si>
  <si>
    <t>刘宏贵</t>
  </si>
  <si>
    <t>422626195012111517</t>
  </si>
  <si>
    <t>吴合昌</t>
  </si>
  <si>
    <t>422626196602241519</t>
  </si>
  <si>
    <t>司大定</t>
  </si>
  <si>
    <t>422626195512261511</t>
  </si>
  <si>
    <t>陈学超</t>
  </si>
  <si>
    <t>422626194210091575</t>
  </si>
  <si>
    <t>指北村2</t>
  </si>
  <si>
    <t>申天均</t>
  </si>
  <si>
    <t>422626196903021536</t>
  </si>
  <si>
    <t>张正清</t>
  </si>
  <si>
    <t>422626194309151515</t>
  </si>
  <si>
    <t>指北村1</t>
  </si>
  <si>
    <t>刘运喜</t>
  </si>
  <si>
    <t>422626195301071515</t>
  </si>
  <si>
    <t>吴合琴</t>
  </si>
  <si>
    <t>422626195708071517</t>
  </si>
  <si>
    <t>任志华</t>
  </si>
  <si>
    <t>420325197410231543</t>
  </si>
  <si>
    <t>李绍明</t>
  </si>
  <si>
    <t>420325195507281556</t>
  </si>
  <si>
    <t>王青合</t>
  </si>
  <si>
    <t>420325195603251517</t>
  </si>
  <si>
    <t>陈士军</t>
  </si>
  <si>
    <t>422626196408221514</t>
  </si>
  <si>
    <t>李凤英</t>
  </si>
  <si>
    <t>422626194709271583</t>
  </si>
  <si>
    <t>宋群</t>
  </si>
  <si>
    <t>42032519810228161511</t>
  </si>
  <si>
    <t>陈士菊</t>
  </si>
  <si>
    <t>420325196103211564</t>
  </si>
  <si>
    <t>任清中</t>
  </si>
  <si>
    <t>422626195307091533</t>
  </si>
  <si>
    <t>张孝兰</t>
  </si>
  <si>
    <t>42262619450402152141</t>
  </si>
  <si>
    <t>指北村3</t>
  </si>
  <si>
    <t>向涛</t>
  </si>
  <si>
    <t>42262619760616151053</t>
  </si>
  <si>
    <t>胡永炳</t>
  </si>
  <si>
    <t>422626194404121517</t>
  </si>
  <si>
    <t>胡永龙</t>
  </si>
  <si>
    <t>422626195308191536</t>
  </si>
  <si>
    <t>韦成清</t>
  </si>
  <si>
    <t>422626194611096713</t>
  </si>
  <si>
    <t>杨秀英</t>
  </si>
  <si>
    <t>422626194603131523</t>
  </si>
  <si>
    <t>刘宏林</t>
  </si>
  <si>
    <t>420325196608211578</t>
  </si>
  <si>
    <t>李守明</t>
  </si>
  <si>
    <t>422626195605301519</t>
  </si>
  <si>
    <t>张第军</t>
  </si>
  <si>
    <t>420325198003051531</t>
  </si>
  <si>
    <t>蔡国平</t>
  </si>
  <si>
    <t>420325197608132612</t>
  </si>
  <si>
    <t>李绍秀</t>
  </si>
  <si>
    <t>420325194507161541</t>
  </si>
  <si>
    <t xml:space="preserve">刘士江 </t>
  </si>
  <si>
    <t>422626195707291518</t>
  </si>
  <si>
    <t>杨永斌</t>
  </si>
  <si>
    <t>42032519830524155X</t>
  </si>
  <si>
    <t>陈平洲</t>
  </si>
  <si>
    <t>422626196203201595</t>
  </si>
  <si>
    <t>指北村7</t>
  </si>
  <si>
    <t>吴朝明</t>
  </si>
  <si>
    <t>422301195410292612</t>
  </si>
  <si>
    <t>申天龙</t>
  </si>
  <si>
    <t>420325198208181575</t>
  </si>
  <si>
    <t>军店小计</t>
  </si>
  <si>
    <t>化龙堰镇</t>
  </si>
  <si>
    <t>古城村</t>
  </si>
  <si>
    <t>刘备</t>
  </si>
  <si>
    <t>422626195407181931</t>
  </si>
  <si>
    <t>杨明义</t>
  </si>
  <si>
    <t>422626194110161919</t>
  </si>
  <si>
    <t>江早芬</t>
  </si>
  <si>
    <t>422626196105201946</t>
  </si>
  <si>
    <t>邢方群</t>
  </si>
  <si>
    <t>420325196409111910</t>
  </si>
  <si>
    <t>刘大柱</t>
  </si>
  <si>
    <t>422626194402101918</t>
  </si>
  <si>
    <t>彭方青</t>
  </si>
  <si>
    <t>422626196108051920</t>
  </si>
  <si>
    <t>王关华</t>
  </si>
  <si>
    <t>420325197901121939</t>
  </si>
  <si>
    <t>刘运虎</t>
  </si>
  <si>
    <t>42032519800220193X</t>
  </si>
  <si>
    <t>常兴华</t>
  </si>
  <si>
    <t>42262619520527191231</t>
  </si>
  <si>
    <t>李堰3组</t>
  </si>
  <si>
    <t>李定传</t>
  </si>
  <si>
    <t>李堰2组</t>
  </si>
  <si>
    <t>李致磊</t>
  </si>
  <si>
    <t>422626194508161935</t>
  </si>
  <si>
    <t>邢喜道</t>
  </si>
  <si>
    <t>422626194803261912</t>
  </si>
  <si>
    <t>李堰5组</t>
  </si>
  <si>
    <t>汤玉根</t>
  </si>
  <si>
    <t>422626194612151913</t>
  </si>
  <si>
    <t>沈先国</t>
  </si>
  <si>
    <t>422626196305012330</t>
  </si>
  <si>
    <t>李身云</t>
  </si>
  <si>
    <t>42262619540802193X</t>
  </si>
  <si>
    <t>汤合友</t>
  </si>
  <si>
    <t>422626196902211936</t>
  </si>
  <si>
    <t>汤合陆</t>
  </si>
  <si>
    <t>42262619580524191X</t>
  </si>
  <si>
    <t>李堰6组</t>
  </si>
  <si>
    <t>饶秀运</t>
  </si>
  <si>
    <t>422626195304231916</t>
  </si>
  <si>
    <t>李堰4组</t>
  </si>
  <si>
    <t>刘立兰</t>
  </si>
  <si>
    <t>420325194006211926</t>
  </si>
  <si>
    <t>刘德明</t>
  </si>
  <si>
    <t>422626195711111911</t>
  </si>
  <si>
    <t>周顺江</t>
  </si>
  <si>
    <t>422626195411302310</t>
  </si>
  <si>
    <t>郑兴</t>
  </si>
  <si>
    <t>420325197909141918</t>
  </si>
  <si>
    <t>郑烁</t>
  </si>
  <si>
    <t>420325199104021918</t>
  </si>
  <si>
    <t>上营村</t>
  </si>
  <si>
    <t>昝青</t>
  </si>
  <si>
    <t>42262619730406191X</t>
  </si>
  <si>
    <t>任建菊</t>
  </si>
  <si>
    <t>422626196803160029</t>
  </si>
  <si>
    <t>马奇富</t>
  </si>
  <si>
    <t>422626194306051914</t>
  </si>
  <si>
    <t>贺华英</t>
  </si>
  <si>
    <t>422626194301141929</t>
  </si>
  <si>
    <t>汤峪村6组</t>
  </si>
  <si>
    <t>邹海军</t>
  </si>
  <si>
    <t>422626197708191913</t>
  </si>
  <si>
    <t>邹长云</t>
  </si>
  <si>
    <t>422626196209201916</t>
  </si>
  <si>
    <t>李凤娥</t>
  </si>
  <si>
    <t>420325197011251969</t>
  </si>
  <si>
    <t>汤峪村5组</t>
  </si>
  <si>
    <t>张明春</t>
  </si>
  <si>
    <t>422626195104201915</t>
  </si>
  <si>
    <t>桃园沟村一组</t>
  </si>
  <si>
    <t>向承贵</t>
  </si>
  <si>
    <t>420325197001231913</t>
  </si>
  <si>
    <t>化龙村</t>
  </si>
  <si>
    <t>刘立秀</t>
  </si>
  <si>
    <t>422626194901311987</t>
  </si>
  <si>
    <t>刘永荣</t>
  </si>
  <si>
    <t>42032519701105194062</t>
  </si>
  <si>
    <t>庄房村6组</t>
  </si>
  <si>
    <t>邢丹</t>
  </si>
  <si>
    <t>420325198406011964</t>
  </si>
  <si>
    <t>庄房村4组</t>
  </si>
  <si>
    <t>戚光付</t>
  </si>
  <si>
    <t>422626194609011936</t>
  </si>
  <si>
    <t>庄房村3组</t>
  </si>
  <si>
    <t>段存昌</t>
  </si>
  <si>
    <t>422626196004231919</t>
  </si>
  <si>
    <t>邢伟</t>
  </si>
  <si>
    <t>422626197510261939</t>
  </si>
  <si>
    <t>庄房村5组</t>
  </si>
  <si>
    <t>邢孔义</t>
  </si>
  <si>
    <t>422626194303251910</t>
  </si>
  <si>
    <t>庄房村1组</t>
  </si>
  <si>
    <t>邢雨道</t>
  </si>
  <si>
    <t>422626196803051914</t>
  </si>
  <si>
    <t>任世贵</t>
  </si>
  <si>
    <t>422626194106081916</t>
  </si>
  <si>
    <t>戚祖凤</t>
  </si>
  <si>
    <t>422626197005291926</t>
  </si>
  <si>
    <t>邢敏广</t>
  </si>
  <si>
    <t>422626195409301917</t>
  </si>
  <si>
    <t>邢大龙</t>
  </si>
  <si>
    <t>420325198504251910</t>
  </si>
  <si>
    <t>汪家河村</t>
  </si>
  <si>
    <t>官丙礼</t>
  </si>
  <si>
    <t>422626194412271937</t>
  </si>
  <si>
    <t>刘志香</t>
  </si>
  <si>
    <t>422626195301121914</t>
  </si>
  <si>
    <t>刘凤英</t>
  </si>
  <si>
    <t>42262619491111192X</t>
  </si>
  <si>
    <t>张正海</t>
  </si>
  <si>
    <t>422626195309251916</t>
  </si>
  <si>
    <t>任寿珍</t>
  </si>
  <si>
    <t>422626193910191927</t>
  </si>
  <si>
    <t>邹传福</t>
  </si>
  <si>
    <t>422626194802171915</t>
  </si>
  <si>
    <t>罗华</t>
  </si>
  <si>
    <t>420325197611021913</t>
  </si>
  <si>
    <t>宋宏金</t>
  </si>
  <si>
    <t>422626196612231912</t>
  </si>
  <si>
    <t>邢根义</t>
  </si>
  <si>
    <t>422626196006231912</t>
  </si>
  <si>
    <t>耿吉云</t>
  </si>
  <si>
    <t>422626195601221925</t>
  </si>
  <si>
    <t>卢立权</t>
  </si>
  <si>
    <t>422626196309121913</t>
  </si>
  <si>
    <t>刘正东</t>
  </si>
  <si>
    <t>422626196603061958</t>
  </si>
  <si>
    <t>陈松涛</t>
  </si>
  <si>
    <t>422626197209221938</t>
  </si>
  <si>
    <t>任世栋</t>
  </si>
  <si>
    <t>422626193905171913</t>
  </si>
  <si>
    <t>陈国海</t>
  </si>
  <si>
    <t>422626194805251910</t>
  </si>
  <si>
    <t>刘均</t>
  </si>
  <si>
    <t>422626197411071910</t>
  </si>
  <si>
    <t>王会军</t>
  </si>
  <si>
    <t>422626195210251916</t>
  </si>
  <si>
    <t>汪永虎</t>
  </si>
  <si>
    <t>420325198002241915</t>
  </si>
  <si>
    <t>王会成</t>
  </si>
  <si>
    <t>422626195502171950</t>
  </si>
  <si>
    <t>任传根</t>
  </si>
  <si>
    <t>42262619721120191X</t>
  </si>
  <si>
    <t>黎辉</t>
  </si>
  <si>
    <t>422626197011201931</t>
  </si>
  <si>
    <t>魏红林</t>
  </si>
  <si>
    <t>420325199101081931</t>
  </si>
  <si>
    <t>邢敦明</t>
  </si>
  <si>
    <t>422626196303261915</t>
  </si>
  <si>
    <t>向明才</t>
  </si>
  <si>
    <t>422626194308141913</t>
  </si>
  <si>
    <t>向怀金</t>
  </si>
  <si>
    <t>420325194802181916</t>
  </si>
  <si>
    <t>刘志元</t>
  </si>
  <si>
    <t>422626194703061956</t>
  </si>
  <si>
    <t>任传均</t>
  </si>
  <si>
    <t>422626195510271935</t>
  </si>
  <si>
    <t>官绪之</t>
  </si>
  <si>
    <t>42262619541103191X</t>
  </si>
  <si>
    <t>胡廷友</t>
  </si>
  <si>
    <t>422626193906101917</t>
  </si>
  <si>
    <t>422626195606101914</t>
  </si>
  <si>
    <t>熊建国</t>
  </si>
  <si>
    <t>422626196305181919</t>
  </si>
  <si>
    <t>杜士忠</t>
  </si>
  <si>
    <t>422626196004221913</t>
  </si>
  <si>
    <t>李祥志</t>
  </si>
  <si>
    <t>422626195701201913</t>
  </si>
  <si>
    <t>王继明</t>
  </si>
  <si>
    <t>422626197007221534</t>
  </si>
  <si>
    <t>陈小燕</t>
  </si>
  <si>
    <t>420325197811231982</t>
  </si>
  <si>
    <t>谢雄敏</t>
  </si>
  <si>
    <t>420325197309111969</t>
  </si>
  <si>
    <t>王各兴</t>
  </si>
  <si>
    <t>422626196401241918</t>
  </si>
  <si>
    <t>陈士兵</t>
  </si>
  <si>
    <t>420325197312201930</t>
  </si>
  <si>
    <t>吴绍辉</t>
  </si>
  <si>
    <t>422626197311061918</t>
  </si>
  <si>
    <t>吴宏权</t>
  </si>
  <si>
    <t>42262619571211193X</t>
  </si>
  <si>
    <t>尤志宏</t>
  </si>
  <si>
    <t>42262619540127191X</t>
  </si>
  <si>
    <t>聂秀英</t>
  </si>
  <si>
    <t>422626194211081926</t>
  </si>
  <si>
    <t>陈绪凡</t>
  </si>
  <si>
    <t>422626193510151918</t>
  </si>
  <si>
    <t>邢敦洋</t>
  </si>
  <si>
    <t>422626197303211912</t>
  </si>
  <si>
    <t>阮祖平</t>
  </si>
  <si>
    <t>420325198001171935</t>
  </si>
  <si>
    <t>王业进</t>
  </si>
  <si>
    <t>422626196307061910</t>
  </si>
  <si>
    <t>李兴成</t>
  </si>
  <si>
    <t>422626195212101911</t>
  </si>
  <si>
    <t>王学金</t>
  </si>
  <si>
    <t>422626193411141917</t>
  </si>
  <si>
    <t>王业宏</t>
  </si>
  <si>
    <t>422626196302271919</t>
  </si>
  <si>
    <t>周显华</t>
  </si>
  <si>
    <t>422626195810211918</t>
  </si>
  <si>
    <t>尤德禄</t>
  </si>
  <si>
    <t>422626194903071913</t>
  </si>
  <si>
    <t>吴和明</t>
  </si>
  <si>
    <t>422626193710151912</t>
  </si>
  <si>
    <t>王业高</t>
  </si>
  <si>
    <t>422626195308221934</t>
  </si>
  <si>
    <t>袁大根</t>
  </si>
  <si>
    <t>422626197503181914</t>
  </si>
  <si>
    <t>解成会</t>
  </si>
  <si>
    <t>422626194608141915</t>
  </si>
  <si>
    <t>邢郭杰</t>
  </si>
  <si>
    <t>422626196804191919</t>
  </si>
  <si>
    <t>王业云</t>
  </si>
  <si>
    <t>422626194310271944</t>
  </si>
  <si>
    <t>袁大宏</t>
  </si>
  <si>
    <t>420325197809100019</t>
  </si>
  <si>
    <t>邢敦林</t>
  </si>
  <si>
    <t>42262619541218191X</t>
  </si>
  <si>
    <t>姜照宏</t>
  </si>
  <si>
    <t>422626196911161918</t>
  </si>
  <si>
    <t>周显凯</t>
  </si>
  <si>
    <t>422626194710091918</t>
  </si>
  <si>
    <t>邢敦军</t>
  </si>
  <si>
    <t>422626197004171914</t>
  </si>
  <si>
    <t>邢敦国</t>
  </si>
  <si>
    <t>422626196710191918</t>
  </si>
  <si>
    <t>尚加平</t>
  </si>
  <si>
    <t>42262619600206191X</t>
  </si>
  <si>
    <t>解传成</t>
  </si>
  <si>
    <t>420325194902071917</t>
  </si>
  <si>
    <t>周培元</t>
  </si>
  <si>
    <t>422626194405141915</t>
  </si>
  <si>
    <t>吴永福</t>
  </si>
  <si>
    <t>42032519460617193X</t>
  </si>
  <si>
    <t>姜封福</t>
  </si>
  <si>
    <t>422626195702281919</t>
  </si>
  <si>
    <t>邢建军</t>
  </si>
  <si>
    <t>422626196509281946</t>
  </si>
  <si>
    <t>解传华</t>
  </si>
  <si>
    <t>422626196411131915</t>
  </si>
  <si>
    <t>李思六</t>
  </si>
  <si>
    <t>422626196309142335</t>
  </si>
  <si>
    <t>李身国</t>
  </si>
  <si>
    <t>422626196506161914</t>
  </si>
  <si>
    <t>袁文明</t>
  </si>
  <si>
    <t>42262619641227191X</t>
  </si>
  <si>
    <t>汪元兵</t>
  </si>
  <si>
    <t>420325198708271913</t>
  </si>
  <si>
    <t>王长均</t>
  </si>
  <si>
    <t>422626196512301936</t>
  </si>
  <si>
    <t>张道军</t>
  </si>
  <si>
    <t>420325196912301930</t>
  </si>
  <si>
    <t>汪勇</t>
  </si>
  <si>
    <t>42262619720408193X</t>
  </si>
  <si>
    <t>杨金山</t>
  </si>
  <si>
    <t>422626196110061917</t>
  </si>
  <si>
    <t>邢敦举</t>
  </si>
  <si>
    <t>422626194506261916</t>
  </si>
  <si>
    <t>李昌明</t>
  </si>
  <si>
    <t>42262619430916261X</t>
  </si>
  <si>
    <t>李华运</t>
  </si>
  <si>
    <t>422626195612021910</t>
  </si>
  <si>
    <t>汪本全</t>
  </si>
  <si>
    <t>422626196406221916</t>
  </si>
  <si>
    <t>汪永林</t>
  </si>
  <si>
    <t>422626196701301951</t>
  </si>
  <si>
    <t>万刚明</t>
  </si>
  <si>
    <t>422626195811061931</t>
  </si>
  <si>
    <t>李好</t>
  </si>
  <si>
    <t>422626196901097035</t>
  </si>
  <si>
    <t>杨金林</t>
  </si>
  <si>
    <t>422626195304091917</t>
  </si>
  <si>
    <t>汪本华</t>
  </si>
  <si>
    <t>422626194508161919</t>
  </si>
  <si>
    <t>万常国</t>
  </si>
  <si>
    <t>420325197502231954</t>
  </si>
  <si>
    <t>万常强</t>
  </si>
  <si>
    <t>422626197003091939</t>
  </si>
  <si>
    <t>汪永星</t>
  </si>
  <si>
    <t>42262619480320191X</t>
  </si>
  <si>
    <t>解传明</t>
  </si>
  <si>
    <t>422626196910211979</t>
  </si>
  <si>
    <t>刘才军</t>
  </si>
  <si>
    <t>420325197503131939</t>
  </si>
  <si>
    <t>陈迪银</t>
  </si>
  <si>
    <t>422626194408231916</t>
  </si>
  <si>
    <t>陈迪丙</t>
  </si>
  <si>
    <t>420325194105041918</t>
  </si>
  <si>
    <t>袁达江</t>
  </si>
  <si>
    <t>422626194702211916</t>
  </si>
  <si>
    <t>刘祥文</t>
  </si>
  <si>
    <t>422626195408041930</t>
  </si>
  <si>
    <t>绳家全</t>
  </si>
  <si>
    <t>42262619470907191X</t>
  </si>
  <si>
    <t>汪靓</t>
  </si>
  <si>
    <t>420325199010081960</t>
  </si>
  <si>
    <t>韩照林</t>
  </si>
  <si>
    <t>420325197910221931</t>
  </si>
  <si>
    <t>王永寿</t>
  </si>
  <si>
    <t>422626193306181917</t>
  </si>
  <si>
    <t>邢敦凯</t>
  </si>
  <si>
    <t>422626196906241913</t>
  </si>
  <si>
    <t>付必功</t>
  </si>
  <si>
    <t>422626195805211913</t>
  </si>
  <si>
    <t>邢友道</t>
  </si>
  <si>
    <t>422626194110281910</t>
  </si>
  <si>
    <t>刘士凯</t>
  </si>
  <si>
    <t>42262619470122191X</t>
  </si>
  <si>
    <t>王廷中</t>
  </si>
  <si>
    <t>422626197303281910</t>
  </si>
  <si>
    <t>张友贵</t>
  </si>
  <si>
    <t>42262619650115191X</t>
  </si>
  <si>
    <t>吴业昌</t>
  </si>
  <si>
    <t>420325197812311976</t>
  </si>
  <si>
    <t>汪达志</t>
  </si>
  <si>
    <t>422626194911111938</t>
  </si>
  <si>
    <t>周培香</t>
  </si>
  <si>
    <t>422626195103091929</t>
  </si>
  <si>
    <t>袁达虎</t>
  </si>
  <si>
    <t>422626197505261932</t>
  </si>
  <si>
    <t>王吉林</t>
  </si>
  <si>
    <t>420325197508311939</t>
  </si>
  <si>
    <t>王廷丙</t>
  </si>
  <si>
    <t>42262619690117191X</t>
  </si>
  <si>
    <t>杨亨成</t>
  </si>
  <si>
    <t>420325195901021912</t>
  </si>
  <si>
    <t>王业先</t>
  </si>
  <si>
    <t>422626195901261937</t>
  </si>
  <si>
    <t>孙成明</t>
  </si>
  <si>
    <t>422626195906041917</t>
  </si>
  <si>
    <t>程伟</t>
  </si>
  <si>
    <t>420325198103021911</t>
  </si>
  <si>
    <t>郑道金</t>
  </si>
  <si>
    <t>422626196701151930</t>
  </si>
  <si>
    <t>王业金</t>
  </si>
  <si>
    <t>42262619470325191X</t>
  </si>
  <si>
    <t>段中兴</t>
  </si>
  <si>
    <t>420325194904201930</t>
  </si>
  <si>
    <t>段中国</t>
  </si>
  <si>
    <t>420325195405041930</t>
  </si>
  <si>
    <t>段中保</t>
  </si>
  <si>
    <t>420325195108041934</t>
  </si>
  <si>
    <t>韦成英</t>
  </si>
  <si>
    <t>420325194104041924</t>
  </si>
  <si>
    <t>雷元清</t>
  </si>
  <si>
    <t>42262619380813191X</t>
  </si>
  <si>
    <t>雷元红</t>
  </si>
  <si>
    <t>422626194307121910</t>
  </si>
  <si>
    <t>罗高英</t>
  </si>
  <si>
    <t>420325193409261923</t>
  </si>
  <si>
    <t>王业江</t>
  </si>
  <si>
    <t>420325194801011915</t>
  </si>
  <si>
    <t>王业林</t>
  </si>
  <si>
    <t>422626194606011957</t>
  </si>
  <si>
    <t>郭友喜</t>
  </si>
  <si>
    <t>420325194504291930</t>
  </si>
  <si>
    <t>何建林</t>
  </si>
  <si>
    <t>422626194911261936</t>
  </si>
  <si>
    <t>郑兴六</t>
  </si>
  <si>
    <t>420325195104251918</t>
  </si>
  <si>
    <t>郑兴炎</t>
  </si>
  <si>
    <t>420325194912011934</t>
  </si>
  <si>
    <t>郑兴发</t>
  </si>
  <si>
    <t>422626195402081915</t>
  </si>
  <si>
    <t>汪永福</t>
  </si>
  <si>
    <t>422626196312021913</t>
  </si>
  <si>
    <t>汪永生</t>
  </si>
  <si>
    <t>422626195206051911</t>
  </si>
  <si>
    <t>李吉全</t>
  </si>
  <si>
    <t>422626195902241911</t>
  </si>
  <si>
    <t>孙万钱</t>
  </si>
  <si>
    <t>422626194909231914</t>
  </si>
  <si>
    <t>周哑女</t>
  </si>
  <si>
    <t>420325194903311927</t>
  </si>
  <si>
    <t>万刚权</t>
  </si>
  <si>
    <t>422626196202181916</t>
  </si>
  <si>
    <t>胡秀平</t>
  </si>
  <si>
    <t>422626196201151934</t>
  </si>
  <si>
    <t>王业福</t>
  </si>
  <si>
    <t>422626196807151912</t>
  </si>
  <si>
    <t>刘祥群</t>
  </si>
  <si>
    <t>422626194709021939</t>
  </si>
  <si>
    <t>毛秀芝</t>
  </si>
  <si>
    <t>422626194905081920</t>
  </si>
  <si>
    <t>汪永乔</t>
  </si>
  <si>
    <t>422626196403101919</t>
  </si>
  <si>
    <t>吴业新</t>
  </si>
  <si>
    <t>422626196905101919</t>
  </si>
  <si>
    <t>张宏英</t>
  </si>
  <si>
    <t>42262619650116194X</t>
  </si>
  <si>
    <t>董秀云</t>
  </si>
  <si>
    <t>422626194308081922</t>
  </si>
  <si>
    <t>郑士堂</t>
  </si>
  <si>
    <t>422626194908031910</t>
  </si>
  <si>
    <t>郭成林</t>
  </si>
  <si>
    <t>422626197608117011</t>
  </si>
  <si>
    <t>叶克举</t>
  </si>
  <si>
    <t>422626196706141918</t>
  </si>
  <si>
    <t>孙兆贵</t>
  </si>
  <si>
    <t>422626193709191933</t>
  </si>
  <si>
    <t>汪海东</t>
  </si>
  <si>
    <t>420325197104141937</t>
  </si>
  <si>
    <t>余军</t>
  </si>
  <si>
    <t>422626197010241931</t>
  </si>
  <si>
    <t>汪达铭</t>
  </si>
  <si>
    <t>422626196703241972</t>
  </si>
  <si>
    <t>黄兴春</t>
  </si>
  <si>
    <t>420325195303041921</t>
  </si>
  <si>
    <t>汪永丙</t>
  </si>
  <si>
    <t>422626196407041917</t>
  </si>
  <si>
    <t>余立凤</t>
  </si>
  <si>
    <t>422626196607181949</t>
  </si>
  <si>
    <t>邓学江</t>
  </si>
  <si>
    <t>422626195506171915</t>
  </si>
  <si>
    <t>袁大全</t>
  </si>
  <si>
    <t>422626196609271972</t>
  </si>
  <si>
    <t>李士明</t>
  </si>
  <si>
    <t>422626195407221913</t>
  </si>
  <si>
    <t>汪达军</t>
  </si>
  <si>
    <t>42262619690118193162</t>
  </si>
  <si>
    <t>童士柱</t>
  </si>
  <si>
    <t>422626197201271930</t>
  </si>
  <si>
    <t>邓学海</t>
  </si>
  <si>
    <t>422626196202141914</t>
  </si>
  <si>
    <t>陈宏才</t>
  </si>
  <si>
    <t>420325193807111912</t>
  </si>
  <si>
    <t>郝天林</t>
  </si>
  <si>
    <t>422626195411151911</t>
  </si>
  <si>
    <t>胡茂胜</t>
  </si>
  <si>
    <t>422626195501221936</t>
  </si>
  <si>
    <t>龚宜祥</t>
  </si>
  <si>
    <t>420325195003171935</t>
  </si>
  <si>
    <t>邢贵道</t>
  </si>
  <si>
    <t>422626195412281996</t>
  </si>
  <si>
    <t>刘文陆</t>
  </si>
  <si>
    <t>422626194903211912</t>
  </si>
  <si>
    <t>张大福</t>
  </si>
  <si>
    <t>422626194910031936</t>
  </si>
  <si>
    <t>吴修理</t>
  </si>
  <si>
    <t>420325195502251913</t>
  </si>
  <si>
    <t>江文朝</t>
  </si>
  <si>
    <t>422626194603211910</t>
  </si>
  <si>
    <t>刘士明</t>
  </si>
  <si>
    <t>420325194506241953</t>
  </si>
  <si>
    <t>周超</t>
  </si>
  <si>
    <t>420325198111271910</t>
  </si>
  <si>
    <t>高川村12组</t>
  </si>
  <si>
    <t>王明根</t>
  </si>
  <si>
    <t>向成兴</t>
  </si>
  <si>
    <t>刘应山</t>
  </si>
  <si>
    <t>高川村1组</t>
  </si>
  <si>
    <t>刘昌全</t>
  </si>
  <si>
    <t>422626196805241914</t>
  </si>
  <si>
    <t>高川村10组</t>
  </si>
  <si>
    <t>伍连炳</t>
  </si>
  <si>
    <t>422626196804011914</t>
  </si>
  <si>
    <t>高川村11组</t>
  </si>
  <si>
    <t>孙虎</t>
  </si>
  <si>
    <t>422626196408291934</t>
  </si>
  <si>
    <t>张从兰</t>
  </si>
  <si>
    <t>420325194508071943</t>
  </si>
  <si>
    <t>高川村8组</t>
  </si>
  <si>
    <t>江涛</t>
  </si>
  <si>
    <t>420325198612131916</t>
  </si>
  <si>
    <t>刘世明</t>
  </si>
  <si>
    <t>西街村</t>
  </si>
  <si>
    <t>胡廷玉</t>
  </si>
  <si>
    <t>420325194605181917</t>
  </si>
  <si>
    <t>徐成远</t>
  </si>
  <si>
    <t>422626193710191914</t>
  </si>
  <si>
    <t>杨守明</t>
  </si>
  <si>
    <t>420325197705091912</t>
  </si>
  <si>
    <t>胡秀福</t>
  </si>
  <si>
    <t>422626194806151938</t>
  </si>
  <si>
    <t>熊贤明</t>
  </si>
  <si>
    <t>420323197306135815</t>
  </si>
  <si>
    <t>秦大奎</t>
  </si>
  <si>
    <t>422626197301251910</t>
  </si>
  <si>
    <t>汪本禄</t>
  </si>
  <si>
    <t>422626194807131939</t>
  </si>
  <si>
    <t>胡秀奎</t>
  </si>
  <si>
    <t>420325195610101912</t>
  </si>
  <si>
    <t>曾代喜</t>
  </si>
  <si>
    <t>422626195302141917</t>
  </si>
  <si>
    <t>胡秀进</t>
  </si>
  <si>
    <t>422626196605281938</t>
  </si>
  <si>
    <t>杜德成</t>
  </si>
  <si>
    <t>422626193407041913</t>
  </si>
  <si>
    <t>徐家香</t>
  </si>
  <si>
    <t>422626195507021943</t>
  </si>
  <si>
    <t>胡科全</t>
  </si>
  <si>
    <t>422626194903241919</t>
  </si>
  <si>
    <t>422626197410231935</t>
  </si>
  <si>
    <t>张忠</t>
  </si>
  <si>
    <t>422626196402141919</t>
  </si>
  <si>
    <t>张辉</t>
  </si>
  <si>
    <t>422626196809031914</t>
  </si>
  <si>
    <t>何立方</t>
  </si>
  <si>
    <t>420325194609031940</t>
  </si>
  <si>
    <t>上湾六组</t>
  </si>
  <si>
    <t>昝继杲</t>
  </si>
  <si>
    <t>上湾五组</t>
  </si>
  <si>
    <t>霍富君</t>
  </si>
  <si>
    <t>422626197105031910</t>
  </si>
  <si>
    <t>渭沟村5组</t>
  </si>
  <si>
    <t>叶世民</t>
  </si>
  <si>
    <t>422626194404031917</t>
  </si>
  <si>
    <t>渭沟村9组</t>
  </si>
  <si>
    <t>何秀兰</t>
  </si>
  <si>
    <t>422626193712151924</t>
  </si>
  <si>
    <t>渭沟村3组</t>
  </si>
  <si>
    <t>许明宏</t>
  </si>
  <si>
    <t>422626196903011936</t>
  </si>
  <si>
    <t>刘继普</t>
  </si>
  <si>
    <t>420325196403231954</t>
  </si>
  <si>
    <t>渭沟村2组</t>
  </si>
  <si>
    <t>叶绪清</t>
  </si>
  <si>
    <t>420325195510151912</t>
  </si>
  <si>
    <t>郑家禄</t>
  </si>
  <si>
    <t>420325194712291935</t>
  </si>
  <si>
    <t>杨金章</t>
  </si>
  <si>
    <t>420325192902211917</t>
  </si>
  <si>
    <t>渭沟村6组</t>
  </si>
  <si>
    <t>郭新莲</t>
  </si>
  <si>
    <t>420325195902181926</t>
  </si>
  <si>
    <t>杨金金</t>
  </si>
  <si>
    <t>420325196403091912</t>
  </si>
  <si>
    <t>渭沟村4组</t>
  </si>
  <si>
    <t>叶林绍</t>
  </si>
  <si>
    <t>420325195307111931</t>
  </si>
  <si>
    <t>高桥村</t>
  </si>
  <si>
    <t>何宏</t>
  </si>
  <si>
    <t>422626197006131916</t>
  </si>
  <si>
    <t>邢方林</t>
  </si>
  <si>
    <t>422626194801291915</t>
  </si>
  <si>
    <t>作峪村</t>
  </si>
  <si>
    <t>卢定海</t>
  </si>
  <si>
    <t>422626196312201914</t>
  </si>
  <si>
    <t>万全秀</t>
  </si>
  <si>
    <t>422626195512311929</t>
  </si>
  <si>
    <t>叶绍美</t>
  </si>
  <si>
    <t>刘文科</t>
  </si>
  <si>
    <t>车玉菊</t>
  </si>
  <si>
    <t>420325197609151946</t>
  </si>
  <si>
    <t>赵文均</t>
  </si>
  <si>
    <t>422626195110241913</t>
  </si>
  <si>
    <t>昝大楚</t>
  </si>
  <si>
    <t>42262619390319197X</t>
  </si>
  <si>
    <t>卢定明</t>
  </si>
  <si>
    <t>422626195303011911</t>
  </si>
  <si>
    <t>化龙小计</t>
  </si>
  <si>
    <t>窑淮镇</t>
  </si>
  <si>
    <t>淮水一组</t>
  </si>
  <si>
    <t>杨守和</t>
  </si>
  <si>
    <t>胡学清</t>
  </si>
  <si>
    <t>陆保金</t>
  </si>
  <si>
    <t>姜贵权</t>
  </si>
  <si>
    <t>陆保池</t>
  </si>
  <si>
    <t>陆保强</t>
  </si>
  <si>
    <t>陆兴华</t>
  </si>
  <si>
    <t>陆兴生</t>
  </si>
  <si>
    <t>熊昌斌</t>
  </si>
  <si>
    <t>邓成华</t>
  </si>
  <si>
    <t>彭良英</t>
  </si>
  <si>
    <t>万日军</t>
  </si>
  <si>
    <t>陆晓燕</t>
  </si>
  <si>
    <t>淮水三组</t>
  </si>
  <si>
    <t>施明进</t>
  </si>
  <si>
    <t>淮水四组</t>
  </si>
  <si>
    <t>刘方兵</t>
  </si>
  <si>
    <t>黄欢</t>
  </si>
  <si>
    <t>杜光银</t>
  </si>
  <si>
    <t>淮水五组</t>
  </si>
  <si>
    <t>朱勇</t>
  </si>
  <si>
    <t>王铁银</t>
  </si>
  <si>
    <t>淮水六组</t>
  </si>
  <si>
    <t>任志平</t>
  </si>
  <si>
    <t>彭方兵</t>
  </si>
  <si>
    <t>彭方雨</t>
  </si>
  <si>
    <t>蔡锦堂</t>
  </si>
  <si>
    <t>乔付财</t>
  </si>
  <si>
    <t>淮水七组</t>
  </si>
  <si>
    <t>蔡秀金</t>
  </si>
  <si>
    <t>刘方忠</t>
  </si>
  <si>
    <t>王立贵</t>
  </si>
  <si>
    <t>东沟村一组</t>
  </si>
  <si>
    <t>徐映明</t>
  </si>
  <si>
    <t>422626195810092330</t>
  </si>
  <si>
    <t>汪均</t>
  </si>
  <si>
    <t>420325197511132333</t>
  </si>
  <si>
    <t>李如林</t>
  </si>
  <si>
    <t>420325196410222335</t>
  </si>
  <si>
    <t>422626197903122315</t>
  </si>
  <si>
    <t>邓之秀</t>
  </si>
  <si>
    <t>422626193712302323</t>
  </si>
  <si>
    <t>常兴成</t>
  </si>
  <si>
    <t>422626196404282336</t>
  </si>
  <si>
    <t>东沟村二组</t>
  </si>
  <si>
    <t>汪本会</t>
  </si>
  <si>
    <t>422626194902252317</t>
  </si>
  <si>
    <t>邢界道</t>
  </si>
  <si>
    <t>420325196710182371</t>
  </si>
  <si>
    <t>张道伟</t>
  </si>
  <si>
    <t>422626194908232333</t>
  </si>
  <si>
    <t>黄先龙</t>
  </si>
  <si>
    <t>422626195703122354</t>
  </si>
  <si>
    <t>黄先成</t>
  </si>
  <si>
    <t>422626196908102335</t>
  </si>
  <si>
    <t>柳绍山</t>
  </si>
  <si>
    <t>422626194711072313</t>
  </si>
  <si>
    <t>张大军</t>
  </si>
  <si>
    <t>42262619740429231X</t>
  </si>
  <si>
    <t>王家林</t>
  </si>
  <si>
    <t>420325198909242318</t>
  </si>
  <si>
    <t>卢定虎</t>
  </si>
  <si>
    <t>420325198009062354</t>
  </si>
  <si>
    <t>汪永鹏</t>
  </si>
  <si>
    <t>420325197710102313</t>
  </si>
  <si>
    <t>汪永广</t>
  </si>
  <si>
    <t>420325198001122375</t>
  </si>
  <si>
    <t>邢方财</t>
  </si>
  <si>
    <t>422626195411022319</t>
  </si>
  <si>
    <t>张道华</t>
  </si>
  <si>
    <t>42262619650212231X</t>
  </si>
  <si>
    <t>张秀珍</t>
  </si>
  <si>
    <t>420325196212202341</t>
  </si>
  <si>
    <t>邢敦芬</t>
  </si>
  <si>
    <t>420325196312162324</t>
  </si>
  <si>
    <t>邢博</t>
  </si>
  <si>
    <t>420325199505122314</t>
  </si>
  <si>
    <t>黄先林</t>
  </si>
  <si>
    <t>420325198702272317</t>
  </si>
  <si>
    <t>邢华道</t>
  </si>
  <si>
    <t>422626195902082316</t>
  </si>
  <si>
    <t>黄先保</t>
  </si>
  <si>
    <t>422626197005032334</t>
  </si>
  <si>
    <t>张世国</t>
  </si>
  <si>
    <t>422626196701142356</t>
  </si>
  <si>
    <t>方兆中</t>
  </si>
  <si>
    <t>422626194810062313</t>
  </si>
  <si>
    <t>赵光义</t>
  </si>
  <si>
    <t>422626195510142316</t>
  </si>
  <si>
    <t>邢合道</t>
  </si>
  <si>
    <t>42262619681115231X</t>
  </si>
  <si>
    <t>邢登红</t>
  </si>
  <si>
    <t>422626196612192319</t>
  </si>
  <si>
    <t>张士生</t>
  </si>
  <si>
    <t>422626196105012336</t>
  </si>
  <si>
    <t>方兆春</t>
  </si>
  <si>
    <t>422626196304152315</t>
  </si>
  <si>
    <t>郑艮华</t>
  </si>
  <si>
    <t>422626196606042330</t>
  </si>
  <si>
    <t>东沟村三组</t>
  </si>
  <si>
    <t>何勇</t>
  </si>
  <si>
    <t>420325198309022311</t>
  </si>
  <si>
    <t>刘先清</t>
  </si>
  <si>
    <t>420325197509252352</t>
  </si>
  <si>
    <t>谭荣奎</t>
  </si>
  <si>
    <t>422626194804292315</t>
  </si>
  <si>
    <t>刘根芳</t>
  </si>
  <si>
    <t>422626194901062319</t>
  </si>
  <si>
    <t>陈选友</t>
  </si>
  <si>
    <t>422626194802242314</t>
  </si>
  <si>
    <t>刘兴运</t>
  </si>
  <si>
    <t>422626196707132319</t>
  </si>
  <si>
    <t>杨定成</t>
  </si>
  <si>
    <t>420325198108302333</t>
  </si>
  <si>
    <t>黄勇</t>
  </si>
  <si>
    <t>420325196908152311</t>
  </si>
  <si>
    <t>李定明</t>
  </si>
  <si>
    <t>422626195906102337</t>
  </si>
  <si>
    <t>刘成厚</t>
  </si>
  <si>
    <t>422626194306132319</t>
  </si>
  <si>
    <t>余善停</t>
  </si>
  <si>
    <t>422626195210122313</t>
  </si>
  <si>
    <t>李定虎</t>
  </si>
  <si>
    <t>422626197105302311</t>
  </si>
  <si>
    <t>东沟村四组</t>
  </si>
  <si>
    <t>王元章</t>
  </si>
  <si>
    <t>422626193703242314</t>
  </si>
  <si>
    <t>王国柱</t>
  </si>
  <si>
    <t>422626195812242339</t>
  </si>
  <si>
    <t>罗林</t>
  </si>
  <si>
    <t>420325198207302339</t>
  </si>
  <si>
    <t>卢春香</t>
  </si>
  <si>
    <t>422626195303192329</t>
  </si>
  <si>
    <t>陈登高</t>
  </si>
  <si>
    <t>420325199001182348</t>
  </si>
  <si>
    <t>王国入</t>
  </si>
  <si>
    <t>422626196904052318</t>
  </si>
  <si>
    <t>昝继武</t>
  </si>
  <si>
    <t>420325198410132339</t>
  </si>
  <si>
    <t>王国海</t>
  </si>
  <si>
    <t>422626194812292315</t>
  </si>
  <si>
    <t>杨承宝</t>
  </si>
  <si>
    <t>422626195812112315</t>
  </si>
  <si>
    <t>陈广先</t>
  </si>
  <si>
    <t>422626197301022317</t>
  </si>
  <si>
    <t>邢军道</t>
  </si>
  <si>
    <t>420325197404272314</t>
  </si>
  <si>
    <t>邢望道</t>
  </si>
  <si>
    <t>422626197109102317</t>
  </si>
  <si>
    <t>盛洪英</t>
  </si>
  <si>
    <t>422626195108172322</t>
  </si>
  <si>
    <t>张道新</t>
  </si>
  <si>
    <t>422626194408132328</t>
  </si>
  <si>
    <t>杨先合</t>
  </si>
  <si>
    <t>420325194311212335</t>
  </si>
  <si>
    <t>宋元芬</t>
  </si>
  <si>
    <t>422626194710222367</t>
  </si>
  <si>
    <t>王开学</t>
  </si>
  <si>
    <t>422626196603132314</t>
  </si>
  <si>
    <t>王开玖</t>
  </si>
  <si>
    <t>422626195409082339</t>
  </si>
  <si>
    <t>东沟村五组</t>
  </si>
  <si>
    <t>吕德明</t>
  </si>
  <si>
    <t>42262619530528231X</t>
  </si>
  <si>
    <t>姜明华</t>
  </si>
  <si>
    <t>422626195104262339</t>
  </si>
  <si>
    <t>汪安明</t>
  </si>
  <si>
    <t>422626195601272319</t>
  </si>
  <si>
    <t>卫秀林</t>
  </si>
  <si>
    <t>422626196008242316</t>
  </si>
  <si>
    <t>张绍昌</t>
  </si>
  <si>
    <t>422626193604052312</t>
  </si>
  <si>
    <t>胡光明</t>
  </si>
  <si>
    <t>422626195809112330</t>
  </si>
  <si>
    <t>刘贵山</t>
  </si>
  <si>
    <t>422626197512302319</t>
  </si>
  <si>
    <t>陈广虎</t>
  </si>
  <si>
    <t>422626196705102319</t>
  </si>
  <si>
    <t>汪安成</t>
  </si>
  <si>
    <t>422626196206262350</t>
  </si>
  <si>
    <t>李定成</t>
  </si>
  <si>
    <t>422626194611272318</t>
  </si>
  <si>
    <t>吴德成</t>
  </si>
  <si>
    <t>420325197403102313</t>
  </si>
  <si>
    <t>东沟村六组</t>
  </si>
  <si>
    <t>杨金华</t>
  </si>
  <si>
    <t>422626197210022311</t>
  </si>
  <si>
    <t>昝继军</t>
  </si>
  <si>
    <t>422626196909122311</t>
  </si>
  <si>
    <t>邢敦区</t>
  </si>
  <si>
    <t>422626195404302339</t>
  </si>
  <si>
    <t>邢地广</t>
  </si>
  <si>
    <t>420325198807252312</t>
  </si>
  <si>
    <t>任双</t>
  </si>
  <si>
    <t>422626197607132316</t>
  </si>
  <si>
    <t>王永才</t>
  </si>
  <si>
    <t>420325195510162611</t>
  </si>
  <si>
    <t>昝大志</t>
  </si>
  <si>
    <t>422626195407022332</t>
  </si>
  <si>
    <t>邢银道</t>
  </si>
  <si>
    <t>422626195011022336</t>
  </si>
  <si>
    <t>东沟村七组</t>
  </si>
  <si>
    <t>邢广兵</t>
  </si>
  <si>
    <t>422626197705122314</t>
  </si>
  <si>
    <t>邢士广</t>
  </si>
  <si>
    <t>420325198002202318</t>
  </si>
  <si>
    <t>冯顺贵</t>
  </si>
  <si>
    <t>422626194309282312</t>
  </si>
  <si>
    <t>宋元宏</t>
  </si>
  <si>
    <t>422626196612262313</t>
  </si>
  <si>
    <t>孙长成</t>
  </si>
  <si>
    <t>422626196709282310</t>
  </si>
  <si>
    <t>付必坤</t>
  </si>
  <si>
    <t>422626195206192319</t>
  </si>
  <si>
    <t>付长华</t>
  </si>
  <si>
    <t>420325198012012331</t>
  </si>
  <si>
    <t>邢杰</t>
  </si>
  <si>
    <t>422626197311302312</t>
  </si>
  <si>
    <t>邢豪</t>
  </si>
  <si>
    <t>422626197005302357</t>
  </si>
  <si>
    <t>周帮平</t>
  </si>
  <si>
    <t>422626196912142313</t>
  </si>
  <si>
    <t>周帮成</t>
  </si>
  <si>
    <t>422626197111142318</t>
  </si>
  <si>
    <t>薛继东</t>
  </si>
  <si>
    <t>422626197109072314</t>
  </si>
  <si>
    <t>薛继成</t>
  </si>
  <si>
    <t>422626195609232338</t>
  </si>
  <si>
    <t>付必金</t>
  </si>
  <si>
    <t>3</t>
  </si>
  <si>
    <t>420325195807112316</t>
  </si>
  <si>
    <t>李勇</t>
  </si>
  <si>
    <t>1</t>
  </si>
  <si>
    <t>42032519800128231X</t>
  </si>
  <si>
    <t>肖本平</t>
  </si>
  <si>
    <t>42262619700419231X</t>
  </si>
  <si>
    <t>冯佳武</t>
  </si>
  <si>
    <t>422626197103222318</t>
  </si>
  <si>
    <t>高元芬</t>
  </si>
  <si>
    <t>4</t>
  </si>
  <si>
    <t>422626193808022326</t>
  </si>
  <si>
    <t>余忠成</t>
  </si>
  <si>
    <t>5</t>
  </si>
  <si>
    <t>422626196802232334</t>
  </si>
  <si>
    <t>邢敦山</t>
  </si>
  <si>
    <t>422626196205262332</t>
  </si>
  <si>
    <t>徐耀兵</t>
  </si>
  <si>
    <t>422626197205182310</t>
  </si>
  <si>
    <t>冯佳生</t>
  </si>
  <si>
    <t>422626195801202331</t>
  </si>
  <si>
    <t>昝啟珠</t>
  </si>
  <si>
    <t>2</t>
  </si>
  <si>
    <t>420325194708022310</t>
  </si>
  <si>
    <t>李如献</t>
  </si>
  <si>
    <t>422626196311142318</t>
  </si>
  <si>
    <t>任传军</t>
  </si>
  <si>
    <t>422626197209112336</t>
  </si>
  <si>
    <t>绳加炳</t>
  </si>
  <si>
    <t>422626195205152374</t>
  </si>
  <si>
    <t>黄先奎</t>
  </si>
  <si>
    <t>422626196201212338</t>
  </si>
  <si>
    <t>黄光先</t>
  </si>
  <si>
    <t>422626195702032330</t>
  </si>
  <si>
    <t>邢平道</t>
  </si>
  <si>
    <t>422626196202062351</t>
  </si>
  <si>
    <t>邢焕道</t>
  </si>
  <si>
    <t>422626196501102317</t>
  </si>
  <si>
    <t>邢富道</t>
  </si>
  <si>
    <t>422626196203162338</t>
  </si>
  <si>
    <t>邢方宏</t>
  </si>
  <si>
    <t>422626196007132318</t>
  </si>
  <si>
    <t>刘兴成</t>
  </si>
  <si>
    <t>422626196110112315</t>
  </si>
  <si>
    <t>王开金</t>
  </si>
  <si>
    <t>422626196302012335</t>
  </si>
  <si>
    <t>昝启均</t>
  </si>
  <si>
    <t>422626193302152318</t>
  </si>
  <si>
    <t>罗道武</t>
  </si>
  <si>
    <t>422626196303092330</t>
  </si>
  <si>
    <t>昝续江</t>
  </si>
  <si>
    <t>422626197406252311</t>
  </si>
  <si>
    <t>孙兴国</t>
  </si>
  <si>
    <t>422626193806142316</t>
  </si>
  <si>
    <t>邢桂兰</t>
  </si>
  <si>
    <t>422626194906022324</t>
  </si>
  <si>
    <t>铺沟村1组</t>
  </si>
  <si>
    <t>刘汉丙</t>
  </si>
  <si>
    <t>铺沟村2组</t>
  </si>
  <si>
    <t>邢春道</t>
  </si>
  <si>
    <t>铺沟村5组</t>
  </si>
  <si>
    <t>刘大喜</t>
  </si>
  <si>
    <t>铺沟村3组</t>
  </si>
  <si>
    <t>邢方生</t>
  </si>
  <si>
    <t>雷科平</t>
  </si>
  <si>
    <t>邢方山</t>
  </si>
  <si>
    <t>铺沟村6组</t>
  </si>
  <si>
    <t>刘玉凤</t>
  </si>
  <si>
    <t>420325199210042325</t>
  </si>
  <si>
    <t>铺沟村4组</t>
  </si>
  <si>
    <t>任仕虎</t>
  </si>
  <si>
    <t>李益明</t>
  </si>
  <si>
    <t>周代艳</t>
  </si>
  <si>
    <t>向昌梅</t>
  </si>
  <si>
    <t>车尤平</t>
  </si>
  <si>
    <t>420325197009162334</t>
  </si>
  <si>
    <t>胡科珍</t>
  </si>
  <si>
    <t>刘选杰</t>
  </si>
  <si>
    <t xml:space="preserve">邢敦海 </t>
  </si>
  <si>
    <t>长峪河村一组</t>
  </si>
  <si>
    <t>张程平</t>
  </si>
  <si>
    <t>彭方军</t>
  </si>
  <si>
    <t>张程清</t>
  </si>
  <si>
    <t>章善文</t>
  </si>
  <si>
    <t>钱国成</t>
  </si>
  <si>
    <t>彭方桥</t>
  </si>
  <si>
    <t>杨龙仁</t>
  </si>
  <si>
    <t>长峪河村五组</t>
  </si>
  <si>
    <t>钱国金</t>
  </si>
  <si>
    <t>钱国喜</t>
  </si>
  <si>
    <t>长峪河村二组</t>
  </si>
  <si>
    <t>彭易江</t>
  </si>
  <si>
    <t>黄治平</t>
  </si>
  <si>
    <t>杨绪庭</t>
  </si>
  <si>
    <t>王国顺</t>
  </si>
  <si>
    <t>赵华</t>
  </si>
  <si>
    <t>赵前林</t>
  </si>
  <si>
    <t>朱其龙</t>
  </si>
  <si>
    <t>朱其政</t>
  </si>
  <si>
    <t>长峪河村三组</t>
  </si>
  <si>
    <t>柯贤贵</t>
  </si>
  <si>
    <t>胡国文</t>
  </si>
  <si>
    <t>魏文林</t>
  </si>
  <si>
    <t>魏文友</t>
  </si>
  <si>
    <t>邢方元</t>
  </si>
  <si>
    <t>长峪河村四组</t>
  </si>
  <si>
    <t>卢立勤</t>
  </si>
  <si>
    <t>陶明亮</t>
  </si>
  <si>
    <t>柴龙林</t>
  </si>
  <si>
    <t>吴远英</t>
  </si>
  <si>
    <t>曾凡龙</t>
  </si>
  <si>
    <t>饶兵</t>
  </si>
  <si>
    <t>曾庆贵</t>
  </si>
  <si>
    <t>蔡秀清</t>
  </si>
  <si>
    <t>蔡灵友</t>
  </si>
  <si>
    <t>杨康元</t>
  </si>
  <si>
    <t>陈达贵</t>
  </si>
  <si>
    <t>熊先进</t>
  </si>
  <si>
    <t>段全华</t>
  </si>
  <si>
    <t>段全林</t>
  </si>
  <si>
    <t>曹定明</t>
  </si>
  <si>
    <t>王学林</t>
  </si>
  <si>
    <t>杨明清</t>
  </si>
  <si>
    <t>刘士华</t>
  </si>
  <si>
    <t>422626195406142316</t>
  </si>
  <si>
    <t>刘道海</t>
  </si>
  <si>
    <t>黄典宝</t>
  </si>
  <si>
    <t>杜柱华</t>
  </si>
  <si>
    <t>杨守会</t>
  </si>
  <si>
    <t>吴宏民</t>
  </si>
  <si>
    <t>彭方举</t>
  </si>
  <si>
    <t>贺祖文</t>
  </si>
  <si>
    <t>422626194606042315</t>
  </si>
  <si>
    <t>曹定贵</t>
  </si>
  <si>
    <t>422626196202152314</t>
  </si>
  <si>
    <t>杨明成</t>
  </si>
  <si>
    <t>422626196502232359</t>
  </si>
  <si>
    <t>彭方华</t>
  </si>
  <si>
    <t>420325195605302314</t>
  </si>
  <si>
    <t>彭朝明</t>
  </si>
  <si>
    <t>422626196011242333</t>
  </si>
  <si>
    <t>赵国权</t>
  </si>
  <si>
    <t>422626196510242311</t>
  </si>
  <si>
    <t>吴高英</t>
  </si>
  <si>
    <t>420325194306142328</t>
  </si>
  <si>
    <t>黄玉兰</t>
  </si>
  <si>
    <t>42262619570806232X</t>
  </si>
  <si>
    <t>后河村一组</t>
  </si>
  <si>
    <t>黄坤德</t>
  </si>
  <si>
    <t>杨光寿</t>
  </si>
  <si>
    <t>梁国富</t>
  </si>
  <si>
    <t>王定祥</t>
  </si>
  <si>
    <t>文国朝</t>
  </si>
  <si>
    <t>胡吉朗</t>
  </si>
  <si>
    <t>胡巧</t>
  </si>
  <si>
    <t>柯美坤</t>
  </si>
  <si>
    <t>柯善红</t>
  </si>
  <si>
    <t>柯玉全</t>
  </si>
  <si>
    <t>刘中文</t>
  </si>
  <si>
    <t>汪洋</t>
  </si>
  <si>
    <t>王艳</t>
  </si>
  <si>
    <t>闫义海</t>
  </si>
  <si>
    <t>张文根</t>
  </si>
  <si>
    <t>张兴文</t>
  </si>
  <si>
    <t>袁治平</t>
  </si>
  <si>
    <t>后河村二组</t>
  </si>
  <si>
    <t>郝天志</t>
  </si>
  <si>
    <t>胡学树</t>
  </si>
  <si>
    <t>柯昌奎</t>
  </si>
  <si>
    <t>刘兴春</t>
  </si>
  <si>
    <t>罗克勤</t>
  </si>
  <si>
    <t>王家华</t>
  </si>
  <si>
    <t>王寿虎</t>
  </si>
  <si>
    <t>徐发学</t>
  </si>
  <si>
    <t>422626194808172310</t>
  </si>
  <si>
    <t>孙长新</t>
  </si>
  <si>
    <t>420325195307022314</t>
  </si>
  <si>
    <t>涂常海</t>
  </si>
  <si>
    <t>张德训</t>
  </si>
  <si>
    <t>张明禄</t>
  </si>
  <si>
    <t>任御镁</t>
  </si>
  <si>
    <t>王灵明</t>
  </si>
  <si>
    <t>后河村三组</t>
  </si>
  <si>
    <t>王虎</t>
  </si>
  <si>
    <t>谢能合</t>
  </si>
  <si>
    <t>瞿道富</t>
  </si>
  <si>
    <t>刘兴强</t>
  </si>
  <si>
    <t>里乐城一组</t>
  </si>
  <si>
    <t>马兴荣</t>
  </si>
  <si>
    <t>42262619670811231×</t>
  </si>
  <si>
    <t>王学兵</t>
  </si>
  <si>
    <t>422626196812262318</t>
  </si>
  <si>
    <t>刘和德</t>
  </si>
  <si>
    <t>422626195705122315</t>
  </si>
  <si>
    <t>王学国</t>
  </si>
  <si>
    <t>422626195311152319</t>
  </si>
  <si>
    <t>谢光华</t>
  </si>
  <si>
    <t>422626194109142331</t>
  </si>
  <si>
    <t>谢光全</t>
  </si>
  <si>
    <t>422626195302222338</t>
  </si>
  <si>
    <t>高波</t>
  </si>
  <si>
    <t>422626197407192314</t>
  </si>
  <si>
    <t>许明全</t>
  </si>
  <si>
    <t>422626196305172334</t>
  </si>
  <si>
    <t>谢光成</t>
  </si>
  <si>
    <t>422626195506292311</t>
  </si>
  <si>
    <t>许明仁</t>
  </si>
  <si>
    <t>422626195412302355</t>
  </si>
  <si>
    <t>里乐城二组</t>
  </si>
  <si>
    <t>赵国兵</t>
  </si>
  <si>
    <t>422626197208222330</t>
  </si>
  <si>
    <t>陆垂武</t>
  </si>
  <si>
    <t>422626194712072315</t>
  </si>
  <si>
    <t>刘继友</t>
  </si>
  <si>
    <t>422626195408162310</t>
  </si>
  <si>
    <t>陈常群</t>
  </si>
  <si>
    <t>420325197603052314</t>
  </si>
  <si>
    <t>刘金德</t>
  </si>
  <si>
    <t>422626195404072318</t>
  </si>
  <si>
    <t>龚长菊</t>
  </si>
  <si>
    <t>420325194910082341</t>
  </si>
  <si>
    <t>何菊芬</t>
  </si>
  <si>
    <t>422626194611152340</t>
  </si>
  <si>
    <t>里乐城三组</t>
  </si>
  <si>
    <t>陆保全</t>
  </si>
  <si>
    <t>422626194412142318</t>
  </si>
  <si>
    <t>左自国</t>
  </si>
  <si>
    <t>422626194502192319</t>
  </si>
  <si>
    <t>左自禄</t>
  </si>
  <si>
    <t>422626193911162319</t>
  </si>
  <si>
    <t>马兴华</t>
  </si>
  <si>
    <t>422626195711162313</t>
  </si>
  <si>
    <t>王学奎</t>
  </si>
  <si>
    <t>422626195602112317</t>
  </si>
  <si>
    <t>马兴奎</t>
  </si>
  <si>
    <t>422626196204092319</t>
  </si>
  <si>
    <t>黄大成</t>
  </si>
  <si>
    <t>422626195901022311</t>
  </si>
  <si>
    <t>黄庆明</t>
  </si>
  <si>
    <t>422626194102012315</t>
  </si>
  <si>
    <t>何国元</t>
  </si>
  <si>
    <t>42262619460814231x</t>
  </si>
  <si>
    <t>郑义业</t>
  </si>
  <si>
    <t>420325198003162338</t>
  </si>
  <si>
    <t>郑天贵</t>
  </si>
  <si>
    <t>42262619550131231x</t>
  </si>
  <si>
    <t>向胜阳</t>
  </si>
  <si>
    <t>422626196104012318</t>
  </si>
  <si>
    <t>谢守国</t>
  </si>
  <si>
    <t>422626195406182318</t>
  </si>
  <si>
    <t>李绍论</t>
  </si>
  <si>
    <t>422626196801272318</t>
  </si>
  <si>
    <t>罗盛兴</t>
  </si>
  <si>
    <t>422626196605162314</t>
  </si>
  <si>
    <t>陆垂生</t>
  </si>
  <si>
    <t>422626195308052333</t>
  </si>
  <si>
    <t>谢光廷</t>
  </si>
  <si>
    <t>422626194401102310</t>
  </si>
  <si>
    <t>罗盛军</t>
  </si>
  <si>
    <t>422626197709142312</t>
  </si>
  <si>
    <t>罗道生</t>
  </si>
  <si>
    <t>422626194810272337</t>
  </si>
  <si>
    <t>李绍平</t>
  </si>
  <si>
    <t>422626196802162313</t>
  </si>
  <si>
    <t>陆青</t>
  </si>
  <si>
    <t>422626195612232339</t>
  </si>
  <si>
    <t>陆垂林</t>
  </si>
  <si>
    <t>42262619580920231×</t>
  </si>
  <si>
    <t>陆龙坦</t>
  </si>
  <si>
    <t>422626194311272316</t>
  </si>
  <si>
    <t>陆垂帮</t>
  </si>
  <si>
    <t>422626195212172314</t>
  </si>
  <si>
    <t>叶旭明</t>
  </si>
  <si>
    <t>422626195502132337</t>
  </si>
  <si>
    <t>陆兴成</t>
  </si>
  <si>
    <t>422626194307012335</t>
  </si>
  <si>
    <t>陆垂全</t>
  </si>
  <si>
    <t>420325194608272339</t>
  </si>
  <si>
    <t>邢方杰</t>
  </si>
  <si>
    <t>422626193802142335</t>
  </si>
  <si>
    <t>谢光武</t>
  </si>
  <si>
    <t>422626195407092330</t>
  </si>
  <si>
    <t>陆保成</t>
  </si>
  <si>
    <t>422626195707052314</t>
  </si>
  <si>
    <t>陆保华</t>
  </si>
  <si>
    <t>422626196508062311</t>
  </si>
  <si>
    <t>陆登旺</t>
  </si>
  <si>
    <t>420325194410252316</t>
  </si>
  <si>
    <t>陆虎</t>
  </si>
  <si>
    <t>420325197505292330</t>
  </si>
  <si>
    <t>420325197901132312</t>
  </si>
  <si>
    <t>丰先华</t>
  </si>
  <si>
    <t>422626196311092314</t>
  </si>
  <si>
    <t>陆保立</t>
  </si>
  <si>
    <t>42032519341013231×</t>
  </si>
  <si>
    <t>陈振祥</t>
  </si>
  <si>
    <t>422626194612072318</t>
  </si>
  <si>
    <t>邢礼道</t>
  </si>
  <si>
    <t>420325198105202310</t>
  </si>
  <si>
    <t>郑义兵</t>
  </si>
  <si>
    <t>420325196712132378</t>
  </si>
  <si>
    <t>陆垂运</t>
  </si>
  <si>
    <t>422626195711252319</t>
  </si>
  <si>
    <t>陆保永</t>
  </si>
  <si>
    <t>422626196011202315</t>
  </si>
  <si>
    <t>毛继云</t>
  </si>
  <si>
    <t>422626195804202329</t>
  </si>
  <si>
    <t>饶帮礼</t>
  </si>
  <si>
    <t>422626195505252318</t>
  </si>
  <si>
    <t>郑天富</t>
  </si>
  <si>
    <t>422626195707022318</t>
  </si>
  <si>
    <t>郑义军</t>
  </si>
  <si>
    <t>422626197107292313</t>
  </si>
  <si>
    <t>郑天才</t>
  </si>
  <si>
    <t>42262619730212231×</t>
  </si>
  <si>
    <t>陆保刚</t>
  </si>
  <si>
    <t>422626196809282334</t>
  </si>
  <si>
    <t>刘观明</t>
  </si>
  <si>
    <t>422626194910242311</t>
  </si>
  <si>
    <t>谢光明</t>
  </si>
  <si>
    <t>422626195211242317</t>
  </si>
  <si>
    <t>谢光凯</t>
  </si>
  <si>
    <t>422626195602292311</t>
  </si>
  <si>
    <t>向盛明</t>
  </si>
  <si>
    <t>422626195708012314</t>
  </si>
  <si>
    <t>左可风</t>
  </si>
  <si>
    <t>420325197506162351</t>
  </si>
  <si>
    <t>罗盛全</t>
  </si>
  <si>
    <t>422626196907042334</t>
  </si>
  <si>
    <t>陆龙运</t>
  </si>
  <si>
    <t>422626193608042330</t>
  </si>
  <si>
    <t>柯尊荣</t>
  </si>
  <si>
    <t>42262619621101233×</t>
  </si>
  <si>
    <t>谢刚</t>
  </si>
  <si>
    <t>422626197310022319</t>
  </si>
  <si>
    <t>方斌</t>
  </si>
  <si>
    <t>420325197011162317</t>
  </si>
  <si>
    <t>罗盛波</t>
  </si>
  <si>
    <t>422626197301192316</t>
  </si>
  <si>
    <t>刘观清</t>
  </si>
  <si>
    <t>422626195803012312</t>
  </si>
  <si>
    <t>陆保清</t>
  </si>
  <si>
    <t>42262619620419231×</t>
  </si>
  <si>
    <t>杨士汉</t>
  </si>
  <si>
    <t>422626193912272317</t>
  </si>
  <si>
    <t>黄大兵</t>
  </si>
  <si>
    <t>42262619661023233×</t>
  </si>
  <si>
    <t>陆金娥</t>
  </si>
  <si>
    <t>420325198805192328</t>
  </si>
  <si>
    <t>苏玉凤</t>
  </si>
  <si>
    <t>420325197404032329</t>
  </si>
  <si>
    <t>魏士英</t>
  </si>
  <si>
    <t>422626193701042343</t>
  </si>
  <si>
    <t>陆保杰</t>
  </si>
  <si>
    <t>422626197212112337</t>
  </si>
  <si>
    <t>左东曲</t>
  </si>
  <si>
    <t>420325197512272661</t>
  </si>
  <si>
    <t>罗盛龙</t>
  </si>
  <si>
    <t>420325198002272316</t>
  </si>
  <si>
    <t>阳坪</t>
  </si>
  <si>
    <t>张吉良</t>
  </si>
  <si>
    <t>422626196904062313</t>
  </si>
  <si>
    <t>屈光德</t>
  </si>
  <si>
    <t>422626194904242315</t>
  </si>
  <si>
    <t>万月志</t>
  </si>
  <si>
    <t>422626196712012338</t>
  </si>
  <si>
    <t>张梅</t>
  </si>
  <si>
    <t>422626197105092326</t>
  </si>
  <si>
    <t>刘国英</t>
  </si>
  <si>
    <t>42626193609242326</t>
  </si>
  <si>
    <t>袁成明</t>
  </si>
  <si>
    <t>420325198102242317</t>
  </si>
  <si>
    <t>万月安</t>
  </si>
  <si>
    <t>420325196704042313</t>
  </si>
  <si>
    <t>万月钦</t>
  </si>
  <si>
    <t>422626195501162358</t>
  </si>
  <si>
    <t>张传林</t>
  </si>
  <si>
    <t>422626196710092311</t>
  </si>
  <si>
    <t>周修成</t>
  </si>
  <si>
    <t>422626196309142319</t>
  </si>
  <si>
    <t>袁治秀</t>
  </si>
  <si>
    <t>422626197109222327</t>
  </si>
  <si>
    <t>吴高成</t>
  </si>
  <si>
    <t>422626195211142316</t>
  </si>
  <si>
    <t>张传保</t>
  </si>
  <si>
    <t>420325197006042310</t>
  </si>
  <si>
    <t>袁正敏</t>
  </si>
  <si>
    <t>422626196602042317</t>
  </si>
  <si>
    <t>万月春</t>
  </si>
  <si>
    <t>422626194111012317</t>
  </si>
  <si>
    <t>袁正兵</t>
  </si>
  <si>
    <t>422626197601272318</t>
  </si>
  <si>
    <t>孔祥福</t>
  </si>
  <si>
    <t>420325196905092317</t>
  </si>
  <si>
    <t>周修林</t>
  </si>
  <si>
    <t>422626194604212317</t>
  </si>
  <si>
    <t>章荣付</t>
  </si>
  <si>
    <t>422626195610132318</t>
  </si>
  <si>
    <t>柯玉兵</t>
  </si>
  <si>
    <t>420325197404252356</t>
  </si>
  <si>
    <t>万月凤</t>
  </si>
  <si>
    <t>422626195702062345</t>
  </si>
  <si>
    <t>翁祖明</t>
  </si>
  <si>
    <t>刘国宏</t>
  </si>
  <si>
    <t>422626194606232311</t>
  </si>
  <si>
    <t>廖修勇</t>
  </si>
  <si>
    <t>420325198709062312</t>
  </si>
  <si>
    <t>杨世伦</t>
  </si>
  <si>
    <t>42262619630123231x</t>
  </si>
  <si>
    <t>黄西明</t>
  </si>
  <si>
    <t>422626197203112335</t>
  </si>
  <si>
    <t>曾立学</t>
  </si>
  <si>
    <t>422626196903072317</t>
  </si>
  <si>
    <t>罗光辉</t>
  </si>
  <si>
    <t>422626196211112330</t>
  </si>
  <si>
    <t>闫寿银</t>
  </si>
  <si>
    <t>422626195810162319</t>
  </si>
  <si>
    <t>李超</t>
  </si>
  <si>
    <t>422626197102132310</t>
  </si>
  <si>
    <t>贾太平</t>
  </si>
  <si>
    <t>422626196208262311</t>
  </si>
  <si>
    <t>杨忠仁</t>
  </si>
  <si>
    <t>422626195810022359</t>
  </si>
  <si>
    <t>薛继春</t>
  </si>
  <si>
    <t>422626195308202311</t>
  </si>
  <si>
    <t>高长福</t>
  </si>
  <si>
    <t>422626195705082317</t>
  </si>
  <si>
    <t>涂武刚</t>
  </si>
  <si>
    <t>张传福</t>
  </si>
  <si>
    <t>422626197107222315</t>
  </si>
  <si>
    <t>柯玉朋</t>
  </si>
  <si>
    <t>422626194706282316</t>
  </si>
  <si>
    <t>袁兵龙</t>
  </si>
  <si>
    <t>422626195612152312</t>
  </si>
  <si>
    <t>杨金德</t>
  </si>
  <si>
    <t>422626194203152317</t>
  </si>
  <si>
    <t>张友成</t>
  </si>
  <si>
    <t>422626195805282316</t>
  </si>
  <si>
    <t>黄朝付</t>
  </si>
  <si>
    <t>422626197010062335</t>
  </si>
  <si>
    <t>范大华</t>
  </si>
  <si>
    <t>422626197305122315</t>
  </si>
  <si>
    <t>万月宏</t>
  </si>
  <si>
    <t>422626195801012335</t>
  </si>
  <si>
    <t xml:space="preserve">   舒胜军</t>
  </si>
  <si>
    <t>42032519851114235x</t>
  </si>
  <si>
    <t xml:space="preserve">   薛超</t>
  </si>
  <si>
    <t>42032519811214231x</t>
  </si>
  <si>
    <t>王军</t>
  </si>
  <si>
    <t>420325198008172332</t>
  </si>
  <si>
    <t>王斌</t>
  </si>
  <si>
    <t>420325197902142352</t>
  </si>
  <si>
    <t>贾春喜</t>
  </si>
  <si>
    <t>周得明</t>
  </si>
  <si>
    <t>422626196104232337</t>
  </si>
  <si>
    <t>曾立海</t>
  </si>
  <si>
    <t>422626197502142315</t>
  </si>
  <si>
    <t>陈世望</t>
  </si>
  <si>
    <t>422626192812102314</t>
  </si>
  <si>
    <t>熊国龙</t>
  </si>
  <si>
    <t>422626195810252314</t>
  </si>
  <si>
    <t>曾超</t>
  </si>
  <si>
    <t>420325197909152318</t>
  </si>
  <si>
    <t>周乾杰</t>
  </si>
  <si>
    <t>422626196107022319</t>
  </si>
  <si>
    <t>涂华海</t>
  </si>
  <si>
    <t>422626197006072311</t>
  </si>
  <si>
    <t>廖得平</t>
  </si>
  <si>
    <t>420325198703012314</t>
  </si>
  <si>
    <t>闫建华</t>
  </si>
  <si>
    <t>420325198507222330</t>
  </si>
  <si>
    <t>郭美和</t>
  </si>
  <si>
    <t>422626196302132310</t>
  </si>
  <si>
    <t>王启友</t>
  </si>
  <si>
    <t>420325194803212358</t>
  </si>
  <si>
    <t>张远成</t>
  </si>
  <si>
    <t>422626196801052331</t>
  </si>
  <si>
    <t>张成德</t>
  </si>
  <si>
    <t>422626196402292311</t>
  </si>
  <si>
    <t>张传禄</t>
  </si>
  <si>
    <t>422626196308312312</t>
  </si>
  <si>
    <t>涂友明</t>
  </si>
  <si>
    <t>陈加保</t>
  </si>
  <si>
    <t>422626196110012314</t>
  </si>
  <si>
    <t>徐兴民</t>
  </si>
  <si>
    <t>422626197211032319</t>
  </si>
  <si>
    <t>薛治清</t>
  </si>
  <si>
    <t>420325195906222318</t>
  </si>
  <si>
    <t>吴朝阳</t>
  </si>
  <si>
    <t>422626196711162318</t>
  </si>
  <si>
    <t>周得贵</t>
  </si>
  <si>
    <t>420325196603192339</t>
  </si>
  <si>
    <t>冯玉兰</t>
  </si>
  <si>
    <t>422626195509032363</t>
  </si>
  <si>
    <t>王显春</t>
  </si>
  <si>
    <t>420325195807142312</t>
  </si>
  <si>
    <t>屈永英</t>
  </si>
  <si>
    <t>422626195904182329</t>
  </si>
  <si>
    <t>万日金</t>
  </si>
  <si>
    <t>422626195008102319</t>
  </si>
  <si>
    <t>徐要权</t>
  </si>
  <si>
    <t>422626195804142311</t>
  </si>
  <si>
    <t>涂友林</t>
  </si>
  <si>
    <t>窑场村一组</t>
  </si>
  <si>
    <t>卢定和</t>
  </si>
  <si>
    <t>窑场村三组</t>
  </si>
  <si>
    <t>刘平</t>
  </si>
  <si>
    <t>赵建波</t>
  </si>
  <si>
    <t>邹长进</t>
  </si>
  <si>
    <t>李定红</t>
  </si>
  <si>
    <t>杨光贵</t>
  </si>
  <si>
    <t>卢定文</t>
  </si>
  <si>
    <t>徐官兵</t>
  </si>
  <si>
    <t>马金艮</t>
  </si>
  <si>
    <t>窑场村四组</t>
  </si>
  <si>
    <t>张传贵</t>
  </si>
  <si>
    <t>卢定国</t>
  </si>
  <si>
    <t>王铁菊</t>
  </si>
  <si>
    <t>刘德成</t>
  </si>
  <si>
    <t>窑场村二组</t>
  </si>
  <si>
    <t>熊伟</t>
  </si>
  <si>
    <t>张虎</t>
  </si>
  <si>
    <t>陆兴江</t>
  </si>
  <si>
    <t>朱立现</t>
  </si>
  <si>
    <t>窑场村五组</t>
  </si>
  <si>
    <t>聂志兵</t>
  </si>
  <si>
    <t>昝启运</t>
  </si>
  <si>
    <t>422626193912252316</t>
  </si>
  <si>
    <t>422626195012242314</t>
  </si>
  <si>
    <t>卢春华</t>
  </si>
  <si>
    <t>420325197405192367</t>
  </si>
  <si>
    <t>刘德兵</t>
  </si>
  <si>
    <t>422626196208242310</t>
  </si>
  <si>
    <t>卢山</t>
  </si>
  <si>
    <t>420325198606152331</t>
  </si>
  <si>
    <t>卢定信</t>
  </si>
  <si>
    <t>422626194505262335</t>
  </si>
  <si>
    <t>卢立桥</t>
  </si>
  <si>
    <t>夏进成</t>
  </si>
  <si>
    <t>邹发江</t>
  </si>
  <si>
    <t>卢立顶</t>
  </si>
  <si>
    <t>李昌菊</t>
  </si>
  <si>
    <t>别良成</t>
  </si>
  <si>
    <t>谭家生</t>
  </si>
  <si>
    <t>422626197011142337</t>
  </si>
  <si>
    <t>422626194606012319</t>
  </si>
  <si>
    <t>聂成学</t>
  </si>
  <si>
    <t>程应新</t>
  </si>
  <si>
    <t>422626195110232320</t>
  </si>
  <si>
    <t>杨龙华</t>
  </si>
  <si>
    <t>陆保兴</t>
  </si>
  <si>
    <t>罗昌明</t>
  </si>
  <si>
    <t>422626196311132611</t>
  </si>
  <si>
    <t>三岔村</t>
  </si>
  <si>
    <t>王金先</t>
  </si>
  <si>
    <t>王业明</t>
  </si>
  <si>
    <t>王守先</t>
  </si>
  <si>
    <t>王林</t>
  </si>
  <si>
    <t>谭克炎</t>
  </si>
  <si>
    <t>程道成</t>
  </si>
  <si>
    <t>谭启跃</t>
  </si>
  <si>
    <t>吴绍奎</t>
  </si>
  <si>
    <t>付兵</t>
  </si>
  <si>
    <t>程道功</t>
  </si>
  <si>
    <t>谭克成</t>
  </si>
  <si>
    <t>汪本贵</t>
  </si>
  <si>
    <t>吴绍平</t>
  </si>
  <si>
    <t>薛继明</t>
  </si>
  <si>
    <t>罗秀运</t>
  </si>
  <si>
    <t>向盛贤</t>
  </si>
  <si>
    <t>刘明华</t>
  </si>
  <si>
    <t>刘中国</t>
  </si>
  <si>
    <t>万月军</t>
  </si>
  <si>
    <t>周邦生</t>
  </si>
  <si>
    <t>邢运道</t>
  </si>
  <si>
    <t>周国文</t>
  </si>
  <si>
    <t>张士春</t>
  </si>
  <si>
    <t>王保先</t>
  </si>
  <si>
    <t>程传铎</t>
  </si>
  <si>
    <t>王春先</t>
  </si>
  <si>
    <t>王业六</t>
  </si>
  <si>
    <t>王成先</t>
  </si>
  <si>
    <t>任世春</t>
  </si>
  <si>
    <t>李益山</t>
  </si>
  <si>
    <t>程道远</t>
  </si>
  <si>
    <t>王宏先</t>
  </si>
  <si>
    <t>龙超</t>
  </si>
  <si>
    <t>吴永芳</t>
  </si>
  <si>
    <t>王明乾</t>
  </si>
  <si>
    <t>邢草英</t>
  </si>
  <si>
    <t>刘定林</t>
  </si>
  <si>
    <t>程学华</t>
  </si>
  <si>
    <t>何建凯</t>
  </si>
  <si>
    <t>谭绪凯</t>
  </si>
  <si>
    <t>向道谨</t>
  </si>
  <si>
    <t>梅大文</t>
  </si>
  <si>
    <t>吴桂芳</t>
  </si>
  <si>
    <t>曾清靖</t>
  </si>
  <si>
    <t>420325198909101929</t>
  </si>
  <si>
    <t>陈家铺6组</t>
  </si>
  <si>
    <t>李钢</t>
  </si>
  <si>
    <t>界山村1组</t>
  </si>
  <si>
    <t>文辉志</t>
  </si>
  <si>
    <t>界山村4组</t>
  </si>
  <si>
    <t>彭方成</t>
  </si>
  <si>
    <t>石大志</t>
  </si>
  <si>
    <t>万世全</t>
  </si>
  <si>
    <t>界山村5组</t>
  </si>
  <si>
    <t>彭方贵</t>
  </si>
  <si>
    <t>袁平生</t>
  </si>
  <si>
    <t>观音堂</t>
  </si>
  <si>
    <t>金英财</t>
  </si>
  <si>
    <t>刘永国</t>
  </si>
  <si>
    <t>42262619741114231X</t>
  </si>
  <si>
    <t>刘继烈</t>
  </si>
  <si>
    <t>韩世堂</t>
  </si>
  <si>
    <t>邢学道</t>
  </si>
  <si>
    <t>汤清宽</t>
  </si>
  <si>
    <t>赵永海</t>
  </si>
  <si>
    <t>熊大平</t>
  </si>
  <si>
    <t>曾照典</t>
  </si>
  <si>
    <t>常安虎</t>
  </si>
  <si>
    <t>杨代平</t>
  </si>
  <si>
    <t>化渔河村三组</t>
  </si>
  <si>
    <t>李昌继</t>
  </si>
  <si>
    <t>6</t>
  </si>
  <si>
    <t>422626194910132315</t>
  </si>
  <si>
    <t>化渔河村二组</t>
  </si>
  <si>
    <t>韦修伍</t>
  </si>
  <si>
    <t>420325197403142331</t>
  </si>
  <si>
    <t>屈光友</t>
  </si>
  <si>
    <t>422626195407272315</t>
  </si>
  <si>
    <t>石贤友</t>
  </si>
  <si>
    <t>422626195512282312</t>
  </si>
  <si>
    <t>化渔河村一组</t>
  </si>
  <si>
    <t>胡际贵</t>
  </si>
  <si>
    <t>42262619450528231X</t>
  </si>
  <si>
    <t>江章学</t>
  </si>
  <si>
    <t>422626195808212313</t>
  </si>
  <si>
    <t>涂华银</t>
  </si>
  <si>
    <t>420325193205292330</t>
  </si>
  <si>
    <t>李华先</t>
  </si>
  <si>
    <t>422626195207262331</t>
  </si>
  <si>
    <t>屈光田</t>
  </si>
  <si>
    <t>7</t>
  </si>
  <si>
    <t>422626196808132334</t>
  </si>
  <si>
    <t>沈崇珍</t>
  </si>
  <si>
    <t>422626196109282325</t>
  </si>
  <si>
    <t>王永英</t>
  </si>
  <si>
    <t>42032519510417234731</t>
  </si>
  <si>
    <t>李胜友</t>
  </si>
  <si>
    <t>422626195609222316</t>
  </si>
  <si>
    <t>闫兴顺</t>
  </si>
  <si>
    <t>422626195601152333</t>
  </si>
  <si>
    <t>张天兵</t>
  </si>
  <si>
    <t>42262619640516231X23</t>
  </si>
  <si>
    <t>王胜友</t>
  </si>
  <si>
    <t>42262619600519235X</t>
  </si>
  <si>
    <t>422626194008182318</t>
  </si>
  <si>
    <t>任我行</t>
  </si>
  <si>
    <t>420325197902282312</t>
  </si>
  <si>
    <t>屈光伍</t>
  </si>
  <si>
    <t>422626197104022334</t>
  </si>
  <si>
    <t>付必昌</t>
  </si>
  <si>
    <t>422626195502062316</t>
  </si>
  <si>
    <t>薛吉华</t>
  </si>
  <si>
    <t>422626196407102310</t>
  </si>
  <si>
    <t>屈光永</t>
  </si>
  <si>
    <t>42262619720305231X</t>
  </si>
  <si>
    <t>王传右</t>
  </si>
  <si>
    <t>422626197312162315</t>
  </si>
  <si>
    <t>张龙</t>
  </si>
  <si>
    <t>422626197101142330</t>
  </si>
  <si>
    <t>王长太</t>
  </si>
  <si>
    <t>422626194601182319</t>
  </si>
  <si>
    <t>沈从合</t>
  </si>
  <si>
    <t>422626196407272379</t>
  </si>
  <si>
    <t>万月恒</t>
  </si>
  <si>
    <t>422626195312242316</t>
  </si>
  <si>
    <t>文世忠</t>
  </si>
  <si>
    <t>420325195806262339</t>
  </si>
  <si>
    <t>邓乐富</t>
  </si>
  <si>
    <t>422626196705142310</t>
  </si>
  <si>
    <t>李文亭</t>
  </si>
  <si>
    <t>422626195907112318</t>
  </si>
  <si>
    <t>杨万华</t>
  </si>
  <si>
    <t>42262619681101235X</t>
  </si>
  <si>
    <t>江文成</t>
  </si>
  <si>
    <t>422626194603292319</t>
  </si>
  <si>
    <t>石贤明</t>
  </si>
  <si>
    <t>420325196501132319</t>
  </si>
  <si>
    <t>万月清</t>
  </si>
  <si>
    <t>422626195004302313</t>
  </si>
  <si>
    <t>秦芝贵</t>
  </si>
  <si>
    <t>42032519720515231X</t>
  </si>
  <si>
    <t>化鱼河村二组</t>
  </si>
  <si>
    <t>屈光辉</t>
  </si>
  <si>
    <t>42032519620920233243</t>
  </si>
  <si>
    <t>韦正友</t>
  </si>
  <si>
    <t>韦正江</t>
  </si>
  <si>
    <t>化鱼河村一组</t>
  </si>
  <si>
    <t>沈从海</t>
  </si>
  <si>
    <t>沈先福</t>
  </si>
  <si>
    <t>涂友义</t>
  </si>
  <si>
    <t>422626196412062317</t>
  </si>
  <si>
    <t>化鱼河村三组</t>
  </si>
  <si>
    <t>吴华兴</t>
  </si>
  <si>
    <t>卢定艳</t>
  </si>
  <si>
    <t>杨 波</t>
  </si>
  <si>
    <t>420325198210192353</t>
  </si>
  <si>
    <t>万月亮</t>
  </si>
  <si>
    <t>万字忠</t>
  </si>
  <si>
    <t>纪大富</t>
  </si>
  <si>
    <t>文士林</t>
  </si>
  <si>
    <t>422626196302162333</t>
  </si>
  <si>
    <t>万金昌</t>
  </si>
  <si>
    <t>42032519810921233x</t>
  </si>
  <si>
    <t>王永明</t>
  </si>
  <si>
    <t>何义理</t>
  </si>
  <si>
    <t>422626197105212316</t>
  </si>
  <si>
    <t>闫胜海</t>
  </si>
  <si>
    <t>420325198103242319</t>
  </si>
  <si>
    <t>万 斌</t>
  </si>
  <si>
    <t>420325198212162318</t>
  </si>
  <si>
    <t>魏  爽</t>
  </si>
  <si>
    <t>420325197206212329</t>
  </si>
  <si>
    <t>胡圣青</t>
  </si>
  <si>
    <t>422626197412012314</t>
  </si>
  <si>
    <t>涂友国</t>
  </si>
  <si>
    <t>涂友华</t>
  </si>
  <si>
    <t>蒋开强</t>
  </si>
  <si>
    <t>张明炎</t>
  </si>
  <si>
    <t>万月福</t>
  </si>
  <si>
    <t>王太正</t>
  </si>
  <si>
    <t>屈光后</t>
  </si>
  <si>
    <t>422626194111302314</t>
  </si>
  <si>
    <t>黄朝元</t>
  </si>
  <si>
    <t>文士强</t>
  </si>
  <si>
    <t>万月光</t>
  </si>
  <si>
    <t>蒋 菊</t>
  </si>
  <si>
    <t>420325197802272328</t>
  </si>
  <si>
    <t>王永洪</t>
  </si>
  <si>
    <t>沈从高</t>
  </si>
  <si>
    <t>422626194005292335</t>
  </si>
  <si>
    <t>孙长英</t>
  </si>
  <si>
    <t>422626193803112322</t>
  </si>
  <si>
    <t>贾正虎</t>
  </si>
  <si>
    <t>422626195711142312</t>
  </si>
  <si>
    <t>韦正兴</t>
  </si>
  <si>
    <t>韦正宝</t>
  </si>
  <si>
    <t>422626196301142314</t>
  </si>
  <si>
    <t>舒信明</t>
  </si>
  <si>
    <t>42262619550614233x</t>
  </si>
  <si>
    <t>沈财发</t>
  </si>
  <si>
    <t>丰远道</t>
  </si>
  <si>
    <t>黄太英</t>
  </si>
  <si>
    <t>李昌英</t>
  </si>
  <si>
    <t>郑道林</t>
  </si>
  <si>
    <t>422626194512102313</t>
  </si>
  <si>
    <t>舒兴春</t>
  </si>
  <si>
    <t>李文化</t>
  </si>
  <si>
    <t>贾正龙</t>
  </si>
  <si>
    <t>何贵理</t>
  </si>
  <si>
    <t>柯玉凤</t>
  </si>
  <si>
    <t>刘兴合</t>
  </si>
  <si>
    <t>王永堂</t>
  </si>
  <si>
    <t>任来堂</t>
  </si>
  <si>
    <t>410721195811212015</t>
  </si>
  <si>
    <t>刘兴奎</t>
  </si>
  <si>
    <t>李 超</t>
  </si>
  <si>
    <t>420325198410132312</t>
  </si>
  <si>
    <t>薛吉成</t>
  </si>
  <si>
    <t>屈光甲</t>
  </si>
  <si>
    <t>422626193609222317</t>
  </si>
  <si>
    <t>李昌清</t>
  </si>
  <si>
    <t>刘高海</t>
  </si>
  <si>
    <t>422626197403202319</t>
  </si>
  <si>
    <t>张兴华</t>
  </si>
  <si>
    <t>黄太林</t>
  </si>
  <si>
    <t>屈常高</t>
  </si>
  <si>
    <t>王长发</t>
  </si>
  <si>
    <t>刘学青</t>
  </si>
  <si>
    <t>屈光明</t>
  </si>
  <si>
    <t>张西林</t>
  </si>
  <si>
    <t>422626197612072311</t>
  </si>
  <si>
    <t>屈光富</t>
  </si>
  <si>
    <t>屈光财</t>
  </si>
  <si>
    <t>薛吉海</t>
  </si>
  <si>
    <t>吴秀云</t>
  </si>
  <si>
    <t>屈常运</t>
  </si>
  <si>
    <t>42262619580820231</t>
  </si>
  <si>
    <t>韦文权</t>
  </si>
  <si>
    <t>42262619461120231</t>
  </si>
  <si>
    <t>西沟村一组</t>
  </si>
  <si>
    <t>刘大运</t>
  </si>
  <si>
    <t>42262619530825231923</t>
  </si>
  <si>
    <t>赵宗林</t>
  </si>
  <si>
    <t>42262619370510231544</t>
  </si>
  <si>
    <t>彭大英</t>
  </si>
  <si>
    <t>422626195612272349</t>
  </si>
  <si>
    <t>卢定伟</t>
  </si>
  <si>
    <t>422626195606172317</t>
  </si>
  <si>
    <t>刘忠杰</t>
  </si>
  <si>
    <t>422626197408072314</t>
  </si>
  <si>
    <t>西沟村二组</t>
  </si>
  <si>
    <t>卢立汉</t>
  </si>
  <si>
    <t>422626195501132319</t>
  </si>
  <si>
    <t>卢定付</t>
  </si>
  <si>
    <t>422626194410282317</t>
  </si>
  <si>
    <t>任坤忠</t>
  </si>
  <si>
    <t>422626194002042314</t>
  </si>
  <si>
    <t>卢定贤</t>
  </si>
  <si>
    <t>422626196112072310</t>
  </si>
  <si>
    <t>霍亿宽</t>
  </si>
  <si>
    <t>420325197506162335</t>
  </si>
  <si>
    <t>西沟村三组</t>
  </si>
  <si>
    <t>邢提道</t>
  </si>
  <si>
    <t>422626193806202331</t>
  </si>
  <si>
    <t>刘从兰</t>
  </si>
  <si>
    <t>422626094608162329</t>
  </si>
  <si>
    <t>任哑中</t>
  </si>
  <si>
    <t>422626195511032338</t>
  </si>
  <si>
    <t>陈震田</t>
  </si>
  <si>
    <t>42262619571219233821</t>
  </si>
  <si>
    <t>陈常玉</t>
  </si>
  <si>
    <t>42262619621023231421</t>
  </si>
  <si>
    <t>卢德凯</t>
  </si>
  <si>
    <t>422626194210242310</t>
  </si>
  <si>
    <t>雷怀军</t>
  </si>
  <si>
    <t>422626197108182319</t>
  </si>
  <si>
    <t>西沟村四组</t>
  </si>
  <si>
    <t>吴瑞龙</t>
  </si>
  <si>
    <t>422626195403052315</t>
  </si>
  <si>
    <t>王开军</t>
  </si>
  <si>
    <t>42262619581122231x</t>
  </si>
  <si>
    <t>曾代荣</t>
  </si>
  <si>
    <t>422626194203122310</t>
  </si>
  <si>
    <t>王开会</t>
  </si>
  <si>
    <t>42262619561209233x</t>
  </si>
  <si>
    <t>邢敦华</t>
  </si>
  <si>
    <t>422626196108082313</t>
  </si>
  <si>
    <t>西沟村五组</t>
  </si>
  <si>
    <t>邓自国</t>
  </si>
  <si>
    <t>422626193401242319</t>
  </si>
  <si>
    <t>龙金光</t>
  </si>
  <si>
    <t>422626195205192317</t>
  </si>
  <si>
    <t>王德朝</t>
  </si>
  <si>
    <t>422626195910182333</t>
  </si>
  <si>
    <t>邢宏道</t>
  </si>
  <si>
    <t>422626193006232313</t>
  </si>
  <si>
    <t>422626194807092327</t>
  </si>
  <si>
    <t>蔡灵军</t>
  </si>
  <si>
    <t>422626196105222317</t>
  </si>
  <si>
    <t>任士荣</t>
  </si>
  <si>
    <t>42262619481228231x</t>
  </si>
  <si>
    <t>刘万华</t>
  </si>
  <si>
    <t>42262619410407232x</t>
  </si>
  <si>
    <t>李华成</t>
  </si>
  <si>
    <t>422626196305222311</t>
  </si>
  <si>
    <t>施生发</t>
  </si>
  <si>
    <t>422626194810262315</t>
  </si>
  <si>
    <t>任传凤</t>
  </si>
  <si>
    <t>422626194709272324</t>
  </si>
  <si>
    <t>王立英</t>
  </si>
  <si>
    <t>42032519460304234x</t>
  </si>
  <si>
    <t>邢远道</t>
  </si>
  <si>
    <t>422626195801172339</t>
  </si>
  <si>
    <t>何永积</t>
  </si>
  <si>
    <t>422626196705152316</t>
  </si>
  <si>
    <t>蔡灵芝</t>
  </si>
  <si>
    <t>422626195103142319</t>
  </si>
  <si>
    <t>刘作贵</t>
  </si>
  <si>
    <t>422626195303042312</t>
  </si>
  <si>
    <t>段久国</t>
  </si>
  <si>
    <t>420325197602052312</t>
  </si>
  <si>
    <t>窑淮小计</t>
  </si>
  <si>
    <t>门古寺镇</t>
  </si>
  <si>
    <t>秦口村</t>
  </si>
  <si>
    <t>贺泽林</t>
  </si>
  <si>
    <t>422626196201063010</t>
  </si>
  <si>
    <t>贺森龙</t>
  </si>
  <si>
    <t>420325197909263050</t>
  </si>
  <si>
    <t>张文义</t>
  </si>
  <si>
    <t>422626195812143015</t>
  </si>
  <si>
    <t>王久珍</t>
  </si>
  <si>
    <t>420325197208013020</t>
  </si>
  <si>
    <t>刘吉满</t>
  </si>
  <si>
    <t>422626196111143017</t>
  </si>
  <si>
    <t>饶刚</t>
  </si>
  <si>
    <t>420325198702063628</t>
  </si>
  <si>
    <t>胡其豪</t>
  </si>
  <si>
    <t>420325198601183016</t>
  </si>
  <si>
    <t>贺泽华</t>
  </si>
  <si>
    <t>422626196004133016</t>
  </si>
  <si>
    <t>欧功义</t>
  </si>
  <si>
    <t>422626196006083016</t>
  </si>
  <si>
    <t>陈宗超</t>
  </si>
  <si>
    <t>420325197806263015</t>
  </si>
  <si>
    <t>金虎</t>
  </si>
  <si>
    <t>420325197810143016</t>
  </si>
  <si>
    <t>谢到荣</t>
  </si>
  <si>
    <t>422626194908093011</t>
  </si>
  <si>
    <t>王道兵</t>
  </si>
  <si>
    <t>420325198002122617</t>
  </si>
  <si>
    <t>唐必喜</t>
  </si>
  <si>
    <t>42262619110206301X</t>
  </si>
  <si>
    <t>江贤明</t>
  </si>
  <si>
    <t>422626196508033019</t>
  </si>
  <si>
    <t>徐世海</t>
  </si>
  <si>
    <t>420325197605113037</t>
  </si>
  <si>
    <t>陈淑德</t>
  </si>
  <si>
    <t>422626194608073019</t>
  </si>
  <si>
    <t>皮尚兰</t>
  </si>
  <si>
    <t>422626196111073020</t>
  </si>
  <si>
    <t>孙长华</t>
  </si>
  <si>
    <t>422626197503013056</t>
  </si>
  <si>
    <t>金兆荣</t>
  </si>
  <si>
    <t>420325197801303014</t>
  </si>
  <si>
    <t>丁桂富</t>
  </si>
  <si>
    <t>4226226197311243017</t>
  </si>
  <si>
    <t>王秀荣</t>
  </si>
  <si>
    <t>422626197202093013</t>
  </si>
  <si>
    <t>金婷</t>
  </si>
  <si>
    <t>420325198604033021</t>
  </si>
  <si>
    <t>凡光荣</t>
  </si>
  <si>
    <t>42262619471227331X</t>
  </si>
  <si>
    <t>李玉国</t>
  </si>
  <si>
    <t>422626196003053014</t>
  </si>
  <si>
    <t>张兴云</t>
  </si>
  <si>
    <t>422626196404303026</t>
  </si>
  <si>
    <t>刘道贵</t>
  </si>
  <si>
    <t>422626196109243019</t>
  </si>
  <si>
    <t>刘友文</t>
  </si>
  <si>
    <t>422626194001223017</t>
  </si>
  <si>
    <t>422626197203273016</t>
  </si>
  <si>
    <t>余远合</t>
  </si>
  <si>
    <t>422626195106203017</t>
  </si>
  <si>
    <t>柯尊宝</t>
  </si>
  <si>
    <t>422626195802013014</t>
  </si>
  <si>
    <t>邓全明</t>
  </si>
  <si>
    <t>422626195701173019</t>
  </si>
  <si>
    <t>陈德明</t>
  </si>
  <si>
    <t>422626195911033030</t>
  </si>
  <si>
    <t>刘登银</t>
  </si>
  <si>
    <t>422626195604133015</t>
  </si>
  <si>
    <t>邓全春</t>
  </si>
  <si>
    <t>422626195708083016</t>
  </si>
  <si>
    <t>范士春</t>
  </si>
  <si>
    <t>422626195101153014</t>
  </si>
  <si>
    <t>邓全友</t>
  </si>
  <si>
    <t>422626196206163010</t>
  </si>
  <si>
    <t>彭国艳</t>
  </si>
  <si>
    <t>422626197212283312</t>
  </si>
  <si>
    <t>柯贤成</t>
  </si>
  <si>
    <t>422626195206203014</t>
  </si>
  <si>
    <t>马家河村</t>
  </si>
  <si>
    <t>向中隆</t>
  </si>
  <si>
    <t>420325197710253015</t>
  </si>
  <si>
    <t>柯昌春</t>
  </si>
  <si>
    <t>42262619340217301X</t>
  </si>
  <si>
    <t>柯元</t>
  </si>
  <si>
    <t>422626195802253018</t>
  </si>
  <si>
    <t>胡厚友</t>
  </si>
  <si>
    <t>422626196302083037</t>
  </si>
  <si>
    <t>胡大友</t>
  </si>
  <si>
    <t>422626194911173012</t>
  </si>
  <si>
    <t>柯华</t>
  </si>
  <si>
    <t>422626196202203038</t>
  </si>
  <si>
    <t>张兴弟</t>
  </si>
  <si>
    <t>422626196603083014</t>
  </si>
  <si>
    <t>丁桂云</t>
  </si>
  <si>
    <t>420325196308013027</t>
  </si>
  <si>
    <t>柯贤仁</t>
  </si>
  <si>
    <t>422626196708083010</t>
  </si>
  <si>
    <t>樊光凯</t>
  </si>
  <si>
    <t>420325198410122755</t>
  </si>
  <si>
    <t>柯贤艳</t>
  </si>
  <si>
    <t>422626197804123013</t>
  </si>
  <si>
    <t>雷传宏</t>
  </si>
  <si>
    <t>422626195305093017</t>
  </si>
  <si>
    <t>周维杰</t>
  </si>
  <si>
    <t>422626197901243017</t>
  </si>
  <si>
    <t>柯军</t>
  </si>
  <si>
    <t>420325197811103016</t>
  </si>
  <si>
    <t>柯锐</t>
  </si>
  <si>
    <t>422626197305233015</t>
  </si>
  <si>
    <t>贺泽明</t>
  </si>
  <si>
    <t>422626195412143016</t>
  </si>
  <si>
    <t>胡腾禄</t>
  </si>
  <si>
    <t>422626194203263017</t>
  </si>
  <si>
    <t>柯贤全</t>
  </si>
  <si>
    <t>422626195111103010</t>
  </si>
  <si>
    <t>柯贤付</t>
  </si>
  <si>
    <t>42262619570416301931</t>
  </si>
  <si>
    <t>石垭村</t>
  </si>
  <si>
    <t>陈同福</t>
  </si>
  <si>
    <t>422626195105132659</t>
  </si>
  <si>
    <t>张文明</t>
  </si>
  <si>
    <t>422626196110193012</t>
  </si>
  <si>
    <t>陆登军</t>
  </si>
  <si>
    <t>422626197805263018</t>
  </si>
  <si>
    <t>谭荣华</t>
  </si>
  <si>
    <t>422626196205143018</t>
  </si>
  <si>
    <t>彭方新</t>
  </si>
  <si>
    <t>42262619550716301X</t>
  </si>
  <si>
    <t>彭方美</t>
  </si>
  <si>
    <t>420325198002093035</t>
  </si>
  <si>
    <t>王隆斌</t>
  </si>
  <si>
    <t>422626196311053032</t>
  </si>
  <si>
    <t>吴少国</t>
  </si>
  <si>
    <t>422626197106083034</t>
  </si>
  <si>
    <t>吕善友</t>
  </si>
  <si>
    <t>422626196609023012</t>
  </si>
  <si>
    <t>罗顺友</t>
  </si>
  <si>
    <t>422626196109113011</t>
  </si>
  <si>
    <t>柯尊辉</t>
  </si>
  <si>
    <t>422626192703023010</t>
  </si>
  <si>
    <t>刘道荣</t>
  </si>
  <si>
    <t>422626195704023016</t>
  </si>
  <si>
    <t>罗顺宏</t>
  </si>
  <si>
    <t>422626194904193015</t>
  </si>
  <si>
    <t>柯尊杰</t>
  </si>
  <si>
    <t>422626196002113038</t>
  </si>
  <si>
    <t>柯尊群</t>
  </si>
  <si>
    <t>422626194901163013</t>
  </si>
  <si>
    <t>魏开举</t>
  </si>
  <si>
    <t>422626195406093016</t>
  </si>
  <si>
    <t>魏开明</t>
  </si>
  <si>
    <t>422626196805153017</t>
  </si>
  <si>
    <t>朱端凯</t>
  </si>
  <si>
    <t>422626195307183016</t>
  </si>
  <si>
    <t>贺菊连</t>
  </si>
  <si>
    <t>422626194706233020</t>
  </si>
  <si>
    <t>柯尊泽</t>
  </si>
  <si>
    <t>422626194301263010</t>
  </si>
  <si>
    <t>柯尊权</t>
  </si>
  <si>
    <t>422626196001043015</t>
  </si>
  <si>
    <t>422626197208223018</t>
  </si>
  <si>
    <t>熊发明</t>
  </si>
  <si>
    <t>422626195202020114</t>
  </si>
  <si>
    <t>詹秀成</t>
  </si>
  <si>
    <t>42032519810505301x</t>
  </si>
  <si>
    <t>李著文</t>
  </si>
  <si>
    <t>422626196905273016</t>
  </si>
  <si>
    <t>李柱明</t>
  </si>
  <si>
    <t>422626196005043012</t>
  </si>
  <si>
    <t>曾遗环</t>
  </si>
  <si>
    <t>422626196103123016</t>
  </si>
  <si>
    <t>吴志奎</t>
  </si>
  <si>
    <t>422626196212113036</t>
  </si>
  <si>
    <t>周义寿</t>
  </si>
  <si>
    <t>422626195312273032</t>
  </si>
  <si>
    <t>422626196708173016</t>
  </si>
  <si>
    <t>陈孝波</t>
  </si>
  <si>
    <t>420325198801123018</t>
  </si>
  <si>
    <t>朱端才</t>
  </si>
  <si>
    <t>422626194401063016</t>
  </si>
  <si>
    <t>蔡灵艮</t>
  </si>
  <si>
    <t>422626194706213011</t>
  </si>
  <si>
    <t>魏宗定</t>
  </si>
  <si>
    <t>422626195404243017</t>
  </si>
  <si>
    <t>何金元</t>
  </si>
  <si>
    <t>420325195904173014</t>
  </si>
  <si>
    <t>柯贤勇</t>
  </si>
  <si>
    <t>42032519871006303x</t>
  </si>
  <si>
    <t>张少杰</t>
  </si>
  <si>
    <t>422626193810043011</t>
  </si>
  <si>
    <t>张兴仁</t>
  </si>
  <si>
    <t>422626194901073018</t>
  </si>
  <si>
    <t>戈成林</t>
  </si>
  <si>
    <t>422626196206213014</t>
  </si>
  <si>
    <t>戈成兵</t>
  </si>
  <si>
    <t>422626197206193011</t>
  </si>
  <si>
    <t>柯尊学</t>
  </si>
  <si>
    <t>422626195305223037</t>
  </si>
  <si>
    <t>付毕华</t>
  </si>
  <si>
    <t>422626194603043021</t>
  </si>
  <si>
    <t>柯尊元</t>
  </si>
  <si>
    <t>42262619550801301342</t>
  </si>
  <si>
    <t>雷运海</t>
  </si>
  <si>
    <t>422626195802173018</t>
  </si>
  <si>
    <t>雷运珍</t>
  </si>
  <si>
    <t>422626196405283066</t>
  </si>
  <si>
    <t>陈同喜</t>
  </si>
  <si>
    <t>422626195803213018</t>
  </si>
  <si>
    <t>刘明强</t>
  </si>
  <si>
    <t>420325195403282618</t>
  </si>
  <si>
    <t>曾明强</t>
  </si>
  <si>
    <t>42262619530520301X</t>
  </si>
  <si>
    <t>任绍国</t>
  </si>
  <si>
    <t>42262619500209301X</t>
  </si>
  <si>
    <t>杨兴国</t>
  </si>
  <si>
    <t>422626195210073013</t>
  </si>
  <si>
    <t>唐家贵</t>
  </si>
  <si>
    <t>42262619490127301X</t>
  </si>
  <si>
    <t>柯尊炳</t>
  </si>
  <si>
    <t>42262619480316301X</t>
  </si>
  <si>
    <t>熊大成</t>
  </si>
  <si>
    <t>422626195011303015</t>
  </si>
  <si>
    <t>申保强</t>
  </si>
  <si>
    <t>422626195610023011</t>
  </si>
  <si>
    <t>周炳生</t>
  </si>
  <si>
    <t>420325195507122619</t>
  </si>
  <si>
    <t>巨峪村</t>
  </si>
  <si>
    <t>杨昌付</t>
  </si>
  <si>
    <t>42262619500406305X</t>
  </si>
  <si>
    <t>刘荣贵</t>
  </si>
  <si>
    <t>422626196206063036</t>
  </si>
  <si>
    <t>王昌明</t>
  </si>
  <si>
    <t>420325198105153037</t>
  </si>
  <si>
    <t>徐虎</t>
  </si>
  <si>
    <t>420325197709083012</t>
  </si>
  <si>
    <t>欧阳启全</t>
  </si>
  <si>
    <t>420325197212312617</t>
  </si>
  <si>
    <t>张海堂</t>
  </si>
  <si>
    <t>422626195911093017</t>
  </si>
  <si>
    <t>郑登华</t>
  </si>
  <si>
    <t>422626195001113031</t>
  </si>
  <si>
    <t>柯西红</t>
  </si>
  <si>
    <t>420325198504253035</t>
  </si>
  <si>
    <t>彭荣</t>
  </si>
  <si>
    <t>42262619700927308X</t>
  </si>
  <si>
    <t>任高平</t>
  </si>
  <si>
    <t>422626196505133014</t>
  </si>
  <si>
    <t>罗述林</t>
  </si>
  <si>
    <t>422626194704223013</t>
  </si>
  <si>
    <t>徐波</t>
  </si>
  <si>
    <t>422626196906233016</t>
  </si>
  <si>
    <t>422626195902223035</t>
  </si>
  <si>
    <t>甘应英</t>
  </si>
  <si>
    <t>422626195012202625</t>
  </si>
  <si>
    <t>舒中林</t>
  </si>
  <si>
    <t>422626195507203018</t>
  </si>
  <si>
    <t>袁正丙</t>
  </si>
  <si>
    <t>422626194808073013</t>
  </si>
  <si>
    <t>江文理</t>
  </si>
  <si>
    <t>422626195103213017</t>
  </si>
  <si>
    <t>朱其明</t>
  </si>
  <si>
    <t>422626197003053019</t>
  </si>
  <si>
    <t>张元富</t>
  </si>
  <si>
    <t>420325195304213115</t>
  </si>
  <si>
    <t>陈友进</t>
  </si>
  <si>
    <t>420325192903053017</t>
  </si>
  <si>
    <t>张兴山</t>
  </si>
  <si>
    <t>42262619460403301X</t>
  </si>
  <si>
    <t>胡胜华</t>
  </si>
  <si>
    <t>422626197301103037</t>
  </si>
  <si>
    <t>陈会先</t>
  </si>
  <si>
    <t>420325193610233019</t>
  </si>
  <si>
    <t>秦合胜</t>
  </si>
  <si>
    <t>422626194407063017</t>
  </si>
  <si>
    <t>付值友</t>
  </si>
  <si>
    <t>420325197711243011</t>
  </si>
  <si>
    <t>宦中青</t>
  </si>
  <si>
    <t>422626195302153010</t>
  </si>
  <si>
    <t>戢太春</t>
  </si>
  <si>
    <t>422626195708253038</t>
  </si>
  <si>
    <t>余立才</t>
  </si>
  <si>
    <t>422626195511303038</t>
  </si>
  <si>
    <t>邹运国</t>
  </si>
  <si>
    <t>422626197011143014</t>
  </si>
  <si>
    <t>董荣</t>
  </si>
  <si>
    <t>422626197304223042</t>
  </si>
  <si>
    <t>杨本秀</t>
  </si>
  <si>
    <t>422626195305313024</t>
  </si>
  <si>
    <t>肖佑伟</t>
  </si>
  <si>
    <t>42262619620910303X</t>
  </si>
  <si>
    <t>杨发英</t>
  </si>
  <si>
    <t>422626194101033624</t>
  </si>
  <si>
    <t>王兴权</t>
  </si>
  <si>
    <t>422626196511043015</t>
  </si>
  <si>
    <t>张建</t>
  </si>
  <si>
    <t>422626197505213019</t>
  </si>
  <si>
    <t>张华友</t>
  </si>
  <si>
    <t>422626196611183015</t>
  </si>
  <si>
    <t>向显伦</t>
  </si>
  <si>
    <t>422626196304083014</t>
  </si>
  <si>
    <t>柯贤才</t>
  </si>
  <si>
    <t>420325197111133011</t>
  </si>
  <si>
    <t>罗元海</t>
  </si>
  <si>
    <t>422626195208213013</t>
  </si>
  <si>
    <t>许 连</t>
  </si>
  <si>
    <t>420325198105163024</t>
  </si>
  <si>
    <t>张业友</t>
  </si>
  <si>
    <t>420323197502045833</t>
  </si>
  <si>
    <t>刘杰</t>
  </si>
  <si>
    <t>422626195009073011</t>
  </si>
  <si>
    <t>王跃平</t>
  </si>
  <si>
    <t>42032519750618303X</t>
  </si>
  <si>
    <t>胡志才</t>
  </si>
  <si>
    <t>422626196806293011</t>
  </si>
  <si>
    <t>丁扬平</t>
  </si>
  <si>
    <t>422626197209203051</t>
  </si>
  <si>
    <t>周文员</t>
  </si>
  <si>
    <t>420325196612093041</t>
  </si>
  <si>
    <t>周文富</t>
  </si>
  <si>
    <t>420325197905153014</t>
  </si>
  <si>
    <t>向显华</t>
  </si>
  <si>
    <t>420325197505213057</t>
  </si>
  <si>
    <t>向显林</t>
  </si>
  <si>
    <t>420325196611273016</t>
  </si>
  <si>
    <t>彭立权</t>
  </si>
  <si>
    <t>420325197310173155</t>
  </si>
  <si>
    <t>彭达文</t>
  </si>
  <si>
    <t>420325196310023056</t>
  </si>
  <si>
    <t>张文全</t>
  </si>
  <si>
    <t>422626194904013010</t>
  </si>
  <si>
    <t>徐顺太</t>
  </si>
  <si>
    <t>422626196407133037</t>
  </si>
  <si>
    <t>石光权</t>
  </si>
  <si>
    <t>422626195605143012</t>
  </si>
  <si>
    <t>周述元</t>
  </si>
  <si>
    <t>422626197005283010</t>
  </si>
  <si>
    <t>张彪</t>
  </si>
  <si>
    <t>422626195607283019</t>
  </si>
  <si>
    <t>苏保民</t>
  </si>
  <si>
    <t>422626197203103033</t>
  </si>
  <si>
    <t>严仁义</t>
  </si>
  <si>
    <t>422626192704083015</t>
  </si>
  <si>
    <t>王启州</t>
  </si>
  <si>
    <t>420325198611303018</t>
  </si>
  <si>
    <t>柯昌世</t>
  </si>
  <si>
    <t>420325196205262610</t>
  </si>
  <si>
    <t>明道成</t>
  </si>
  <si>
    <t>422626195608303034</t>
  </si>
  <si>
    <t>张忠秀</t>
  </si>
  <si>
    <t>422626192910213028</t>
  </si>
  <si>
    <t>陈祖建</t>
  </si>
  <si>
    <t>420325194003232617</t>
  </si>
  <si>
    <t>刘昌海</t>
  </si>
  <si>
    <t>422626195302153037</t>
  </si>
  <si>
    <t>方贵清</t>
  </si>
  <si>
    <t>42262619330406301X</t>
  </si>
  <si>
    <t>422626194808193015</t>
  </si>
  <si>
    <t>张业先</t>
  </si>
  <si>
    <t>420325193604042611</t>
  </si>
  <si>
    <t>张元明</t>
  </si>
  <si>
    <t>42262619420102301X</t>
  </si>
  <si>
    <t>张兴权</t>
  </si>
  <si>
    <t>422626195305143176</t>
  </si>
  <si>
    <t>江绪发</t>
  </si>
  <si>
    <t>422626195104063014</t>
  </si>
  <si>
    <t>舒中成</t>
  </si>
  <si>
    <t>422626194703073017</t>
  </si>
  <si>
    <t>范元理</t>
  </si>
  <si>
    <t>422626195307183032</t>
  </si>
  <si>
    <t>420325194812013019</t>
  </si>
  <si>
    <t>彭达先</t>
  </si>
  <si>
    <t>422626195211173016</t>
  </si>
  <si>
    <t>戢太明</t>
  </si>
  <si>
    <t>42262619540307301X</t>
  </si>
  <si>
    <t>金吉祥</t>
  </si>
  <si>
    <t>422626195501063018</t>
  </si>
  <si>
    <t>张元贵</t>
  </si>
  <si>
    <t>422626195504203039</t>
  </si>
  <si>
    <t>桂流梅</t>
  </si>
  <si>
    <t>422626194411013047</t>
  </si>
  <si>
    <t>刘万春</t>
  </si>
  <si>
    <t>422626194701283010</t>
  </si>
  <si>
    <t>冯正春</t>
  </si>
  <si>
    <t>422626194102033028</t>
  </si>
  <si>
    <t>李正英</t>
  </si>
  <si>
    <t xml:space="preserve"> 422626194812193026</t>
  </si>
  <si>
    <t>王明银</t>
  </si>
  <si>
    <t>42262619530416301X</t>
  </si>
  <si>
    <t>李昌进</t>
  </si>
  <si>
    <t>422626195001113015</t>
  </si>
  <si>
    <t>杨兴明</t>
  </si>
  <si>
    <t>422626193811293012</t>
  </si>
  <si>
    <t>张述英</t>
  </si>
  <si>
    <t>422626194110153046</t>
  </si>
  <si>
    <t>林玉炳</t>
  </si>
  <si>
    <t>422626194304133051</t>
  </si>
  <si>
    <t>王茂林</t>
  </si>
  <si>
    <t>422626195010133018</t>
  </si>
  <si>
    <t>杨万清</t>
  </si>
  <si>
    <t>420325195101033317</t>
  </si>
  <si>
    <t>曾广明</t>
  </si>
  <si>
    <t>420325195404052670</t>
  </si>
  <si>
    <t>高永才</t>
  </si>
  <si>
    <t>422626195509163013</t>
  </si>
  <si>
    <t>张光彩</t>
  </si>
  <si>
    <t>422626195001083039</t>
  </si>
  <si>
    <t>皮尚艮</t>
  </si>
  <si>
    <t>422626194808273015</t>
  </si>
  <si>
    <t>徐金贵</t>
  </si>
  <si>
    <t>422626194601273018</t>
  </si>
  <si>
    <t>张可元</t>
  </si>
  <si>
    <t>422626195106093014</t>
  </si>
  <si>
    <t>郑宏银</t>
  </si>
  <si>
    <t>422626194111073013</t>
  </si>
  <si>
    <t>王世林</t>
  </si>
  <si>
    <t>420325195008082616</t>
  </si>
  <si>
    <t>谢道全</t>
  </si>
  <si>
    <t>422626195504073019</t>
  </si>
  <si>
    <t>秦得先</t>
  </si>
  <si>
    <t>422626195412083017</t>
  </si>
  <si>
    <t>高塘河村</t>
  </si>
  <si>
    <t>柯希军</t>
  </si>
  <si>
    <t>420325197910243057</t>
  </si>
  <si>
    <t>杨传美</t>
  </si>
  <si>
    <t>422626194503313012</t>
  </si>
  <si>
    <t>方华清</t>
  </si>
  <si>
    <t>422626194605043017</t>
  </si>
  <si>
    <t>金吉文</t>
  </si>
  <si>
    <t>422626195709233012</t>
  </si>
  <si>
    <t>张道虎</t>
  </si>
  <si>
    <t>420325198504173019</t>
  </si>
  <si>
    <t>黄朝太</t>
  </si>
  <si>
    <t>42262619460529305922</t>
  </si>
  <si>
    <t>张永秀</t>
  </si>
  <si>
    <t>42262619360713302X</t>
  </si>
  <si>
    <t>朱致喜</t>
  </si>
  <si>
    <t>422626194905113013</t>
  </si>
  <si>
    <t>陈辉艮</t>
  </si>
  <si>
    <t>422626194605293016</t>
  </si>
  <si>
    <t>王再芝</t>
  </si>
  <si>
    <t>422626195903203028</t>
  </si>
  <si>
    <t>张明国</t>
  </si>
  <si>
    <t>42262619591127301832</t>
  </si>
  <si>
    <t>余述明</t>
  </si>
  <si>
    <t>420325194902252670</t>
  </si>
  <si>
    <t>刘强</t>
  </si>
  <si>
    <t>420325197807013018</t>
  </si>
  <si>
    <t>李宏陆</t>
  </si>
  <si>
    <t>422626193708153011</t>
  </si>
  <si>
    <t>郭良喜</t>
  </si>
  <si>
    <t>420325195004293010</t>
  </si>
  <si>
    <t>王吉明</t>
  </si>
  <si>
    <t>420325194402173095</t>
  </si>
  <si>
    <t>黄本付</t>
  </si>
  <si>
    <t>422626195502113013</t>
  </si>
  <si>
    <t>王道平</t>
  </si>
  <si>
    <t>422626196611293011</t>
  </si>
  <si>
    <t>梁世群</t>
  </si>
  <si>
    <t>422626197209113013</t>
  </si>
  <si>
    <t>刘志清</t>
  </si>
  <si>
    <t>42262619661030301143</t>
  </si>
  <si>
    <t>丁国寿</t>
  </si>
  <si>
    <t>422626194802193014</t>
  </si>
  <si>
    <t>刘克菊</t>
  </si>
  <si>
    <t>422626195609163045</t>
  </si>
  <si>
    <t>潘龙友</t>
  </si>
  <si>
    <t>陈仕宏</t>
  </si>
  <si>
    <t>严右先</t>
  </si>
  <si>
    <t>42032519720706302X</t>
  </si>
  <si>
    <t>杨祖伟</t>
  </si>
  <si>
    <t>420325197802232633</t>
  </si>
  <si>
    <t>杨永强</t>
  </si>
  <si>
    <t>陈辉清</t>
  </si>
  <si>
    <t>422626195706163311</t>
  </si>
  <si>
    <t>胡明先</t>
  </si>
  <si>
    <t>422626194404283014</t>
  </si>
  <si>
    <t>柯贤华</t>
  </si>
  <si>
    <t>422626196903083016</t>
  </si>
  <si>
    <t>李显</t>
  </si>
  <si>
    <t>420325198301043011</t>
  </si>
  <si>
    <t>张启志</t>
  </si>
  <si>
    <t>420325194010172616</t>
  </si>
  <si>
    <t>杉树村</t>
  </si>
  <si>
    <t>熊孝荣</t>
  </si>
  <si>
    <t>422626195503313033</t>
  </si>
  <si>
    <t>黄开伟</t>
  </si>
  <si>
    <t>422626196910253036</t>
  </si>
  <si>
    <t>金吉华</t>
  </si>
  <si>
    <t>42262619750304301X</t>
  </si>
  <si>
    <t>谢道军</t>
  </si>
  <si>
    <t>422626195503283057</t>
  </si>
  <si>
    <t>曹道芳</t>
  </si>
  <si>
    <t>422626194609282723</t>
  </si>
  <si>
    <t>全迎胜</t>
  </si>
  <si>
    <t>42262619430115301411</t>
  </si>
  <si>
    <t>朱端付</t>
  </si>
  <si>
    <t>422626195308233011</t>
  </si>
  <si>
    <t>江立章</t>
  </si>
  <si>
    <t>422626196111133011</t>
  </si>
  <si>
    <t>凡祖栋</t>
  </si>
  <si>
    <t>422626194301112677</t>
  </si>
  <si>
    <t>李成贵</t>
  </si>
  <si>
    <t>42262619620303303442</t>
  </si>
  <si>
    <t>朱端兵</t>
  </si>
  <si>
    <t>42262619671128303X</t>
  </si>
  <si>
    <t>朱端伟</t>
  </si>
  <si>
    <t>422626196805083012</t>
  </si>
  <si>
    <t>熊运英</t>
  </si>
  <si>
    <t>42262619440812302611</t>
  </si>
  <si>
    <t>向荣付</t>
  </si>
  <si>
    <t>422626195508153016</t>
  </si>
  <si>
    <t>柯贤文</t>
  </si>
  <si>
    <t>422626196009083011</t>
  </si>
  <si>
    <t>金吉成</t>
  </si>
  <si>
    <t>422626196402023015</t>
  </si>
  <si>
    <t>胡诗兵</t>
  </si>
  <si>
    <t>420325197703213031</t>
  </si>
  <si>
    <t>翟孝军</t>
  </si>
  <si>
    <t>420325197705143014</t>
  </si>
  <si>
    <t>张华</t>
  </si>
  <si>
    <t>42262619730319303x</t>
  </si>
  <si>
    <t>朱其儒</t>
  </si>
  <si>
    <t>42262619390804301x</t>
  </si>
  <si>
    <t>陈堂炳</t>
  </si>
  <si>
    <t>42032519811209301x</t>
  </si>
  <si>
    <t>樊光艳</t>
  </si>
  <si>
    <t>422626196611193037</t>
  </si>
  <si>
    <t>张涛</t>
  </si>
  <si>
    <t>420325198208023016</t>
  </si>
  <si>
    <t>翟友兵</t>
  </si>
  <si>
    <t>420325197503263034</t>
  </si>
  <si>
    <t>422626195511243012</t>
  </si>
  <si>
    <t>邓恩红</t>
  </si>
  <si>
    <t>422626197403203012</t>
  </si>
  <si>
    <t>邓付国</t>
  </si>
  <si>
    <t>42262619531005301X</t>
  </si>
  <si>
    <t>孙进强</t>
  </si>
  <si>
    <t>422626197212213015</t>
  </si>
  <si>
    <t>张甲方</t>
  </si>
  <si>
    <t>422626195512293011</t>
  </si>
  <si>
    <t>尚功平</t>
  </si>
  <si>
    <t>422626195604263039</t>
  </si>
  <si>
    <t>四方村</t>
  </si>
  <si>
    <t>叶文平</t>
  </si>
  <si>
    <t>42262619591024301X24</t>
  </si>
  <si>
    <t>刘成寿</t>
  </si>
  <si>
    <t>422626194501123012</t>
  </si>
  <si>
    <t>周文泉</t>
  </si>
  <si>
    <t>422626197809152614</t>
  </si>
  <si>
    <t>王永银</t>
  </si>
  <si>
    <t>420325197807113035</t>
  </si>
  <si>
    <t>叶久善</t>
  </si>
  <si>
    <t>42262619480105301x</t>
  </si>
  <si>
    <t>孙运奎</t>
  </si>
  <si>
    <t>422626195501163019</t>
  </si>
  <si>
    <t>刁耀友</t>
  </si>
  <si>
    <t>422626195810153017</t>
  </si>
  <si>
    <t>刁长寿</t>
  </si>
  <si>
    <t>422626194712143013</t>
  </si>
  <si>
    <t>陈振方</t>
  </si>
  <si>
    <t>42262619570901301X</t>
  </si>
  <si>
    <t>阮兴建</t>
  </si>
  <si>
    <t>422626197201113019</t>
  </si>
  <si>
    <t>彭月贤</t>
  </si>
  <si>
    <t>422626196704123011</t>
  </si>
  <si>
    <t>422626196902113033</t>
  </si>
  <si>
    <t>杨守胜</t>
  </si>
  <si>
    <t>422626194911083017</t>
  </si>
  <si>
    <t>杨波</t>
  </si>
  <si>
    <t>420325198002293037</t>
  </si>
  <si>
    <t>钱国安</t>
  </si>
  <si>
    <t>422626195905043013</t>
  </si>
  <si>
    <t>马秀龙</t>
  </si>
  <si>
    <t>422626197203133099</t>
  </si>
  <si>
    <t>朱本江</t>
  </si>
  <si>
    <t>杨守美</t>
  </si>
  <si>
    <t>420325195212182657</t>
  </si>
  <si>
    <t>钱国明</t>
  </si>
  <si>
    <t>吴绍友</t>
  </si>
  <si>
    <t>422626195401093033</t>
  </si>
  <si>
    <t>杨绪贵</t>
  </si>
  <si>
    <t>422626195902113151</t>
  </si>
  <si>
    <t>李泽兵</t>
  </si>
  <si>
    <t>422626195803043012</t>
  </si>
  <si>
    <t>杨绪富</t>
  </si>
  <si>
    <t>422626195502163010</t>
  </si>
  <si>
    <t>王永章</t>
  </si>
  <si>
    <t>422626193611213014</t>
  </si>
  <si>
    <t>月日村</t>
  </si>
  <si>
    <t>顾先贵</t>
  </si>
  <si>
    <t>422626195301243014</t>
  </si>
  <si>
    <t>唐家福</t>
  </si>
  <si>
    <t>422626194301113012</t>
  </si>
  <si>
    <t>黄哲炎</t>
  </si>
  <si>
    <t>422626194811183010</t>
  </si>
  <si>
    <t>肖建华</t>
  </si>
  <si>
    <t>422626196402073047</t>
  </si>
  <si>
    <t>吴少清</t>
  </si>
  <si>
    <t>黄哲满</t>
  </si>
  <si>
    <t>422626196111142612</t>
  </si>
  <si>
    <t>刘光宇</t>
  </si>
  <si>
    <t>422626195310233010</t>
  </si>
  <si>
    <t>常明义</t>
  </si>
  <si>
    <t>422626194005053019</t>
  </si>
  <si>
    <t>张 林</t>
  </si>
  <si>
    <t>422626197108063010</t>
  </si>
  <si>
    <t>422626196704013015</t>
  </si>
  <si>
    <t>邓 驳</t>
  </si>
  <si>
    <t>422626197403183015</t>
  </si>
  <si>
    <t>肖泽学</t>
  </si>
  <si>
    <t>420325196711153011</t>
  </si>
  <si>
    <t>周 涛</t>
  </si>
  <si>
    <t>420325197610193019</t>
  </si>
  <si>
    <t>吴正英</t>
  </si>
  <si>
    <t>422626195312243044</t>
  </si>
  <si>
    <t>张 兵</t>
  </si>
  <si>
    <t>420325198003123013</t>
  </si>
  <si>
    <t>方秀英</t>
  </si>
  <si>
    <t>422626192503093022</t>
  </si>
  <si>
    <t>顾先付</t>
  </si>
  <si>
    <t>422626195301233019</t>
  </si>
  <si>
    <t>柯希明</t>
  </si>
  <si>
    <t>420325197802053053</t>
  </si>
  <si>
    <t>唐家伦</t>
  </si>
  <si>
    <t>422626194905253016</t>
  </si>
  <si>
    <t>蹇正和</t>
  </si>
  <si>
    <t>422626194904023016</t>
  </si>
  <si>
    <t>肖才国</t>
  </si>
  <si>
    <t>420325196401312638</t>
  </si>
  <si>
    <t>周元平</t>
  </si>
  <si>
    <t>422626197101222613</t>
  </si>
  <si>
    <t>杨顺清</t>
  </si>
  <si>
    <t>422626195706153113</t>
  </si>
  <si>
    <t>朱安明</t>
  </si>
  <si>
    <t>42262619540622301X</t>
  </si>
  <si>
    <t>王官柱</t>
  </si>
  <si>
    <t>420325198503303010</t>
  </si>
  <si>
    <t>徐永明</t>
  </si>
  <si>
    <t>422626195012203032</t>
  </si>
  <si>
    <t>王永红</t>
  </si>
  <si>
    <t>422626196804182617</t>
  </si>
  <si>
    <t>徐昌禄</t>
  </si>
  <si>
    <t>422626196106152613</t>
  </si>
  <si>
    <t>柯 华</t>
  </si>
  <si>
    <t>422626197108253017</t>
  </si>
  <si>
    <t>陈志高</t>
  </si>
  <si>
    <t>42032519850213303X</t>
  </si>
  <si>
    <t>刘成儒</t>
  </si>
  <si>
    <t>422626194502083016</t>
  </si>
  <si>
    <t>王才贵</t>
  </si>
  <si>
    <t>422626194701153013</t>
  </si>
  <si>
    <t>董介华</t>
  </si>
  <si>
    <t>422626197410313017</t>
  </si>
  <si>
    <t>宋洪军</t>
  </si>
  <si>
    <t>420325196811043012</t>
  </si>
  <si>
    <t>江童军</t>
  </si>
  <si>
    <t>422626197803093019</t>
  </si>
  <si>
    <t>徐传中</t>
  </si>
  <si>
    <t>422626195012183019</t>
  </si>
  <si>
    <t>丁广全</t>
  </si>
  <si>
    <t>422626195806113012</t>
  </si>
  <si>
    <t>曹成炳</t>
  </si>
  <si>
    <t>420325195805222618</t>
  </si>
  <si>
    <t>周维连</t>
  </si>
  <si>
    <t>422626194412183021</t>
  </si>
  <si>
    <t>王 辉</t>
  </si>
  <si>
    <t>422626197201183017</t>
  </si>
  <si>
    <t>徐昌福</t>
  </si>
  <si>
    <t>422626195412122610</t>
  </si>
  <si>
    <t>江万银</t>
  </si>
  <si>
    <t>422626194803233014</t>
  </si>
  <si>
    <t>雷国进</t>
  </si>
  <si>
    <t>422626195304173015</t>
  </si>
  <si>
    <t>毛泽安</t>
  </si>
  <si>
    <t>422626197403233019</t>
  </si>
  <si>
    <t>东河村</t>
  </si>
  <si>
    <t>万尚宝</t>
  </si>
  <si>
    <t>420325198502272611</t>
  </si>
  <si>
    <t>刘枝兴</t>
  </si>
  <si>
    <t>422626197601252616</t>
  </si>
  <si>
    <t>柯尊平</t>
  </si>
  <si>
    <t>42032519730118261X</t>
  </si>
  <si>
    <t>李静</t>
  </si>
  <si>
    <t>420325197803152619</t>
  </si>
  <si>
    <t>贺茂华</t>
  </si>
  <si>
    <t>422626196106252614</t>
  </si>
  <si>
    <t>许连军</t>
  </si>
  <si>
    <t>422626197401202614</t>
  </si>
  <si>
    <t>金星儒</t>
  </si>
  <si>
    <t>422626197712182614</t>
  </si>
  <si>
    <t>陈兴林</t>
  </si>
  <si>
    <t>420325197905082631</t>
  </si>
  <si>
    <t>张寿君</t>
  </si>
  <si>
    <t>420325196502272655</t>
  </si>
  <si>
    <t>袁官定</t>
  </si>
  <si>
    <t>422626197209012618</t>
  </si>
  <si>
    <t>易先志</t>
  </si>
  <si>
    <t>422626196507182610</t>
  </si>
  <si>
    <t>向绍权</t>
  </si>
  <si>
    <t>420325198011122651</t>
  </si>
  <si>
    <t>张寿保</t>
  </si>
  <si>
    <t>422626195701192615</t>
  </si>
  <si>
    <t>常月生</t>
  </si>
  <si>
    <t>422626193211202615</t>
  </si>
  <si>
    <t>左右元</t>
  </si>
  <si>
    <t>420325194702072616</t>
  </si>
  <si>
    <t>杨兴君</t>
  </si>
  <si>
    <t>422626195510272612</t>
  </si>
  <si>
    <t>赵玉华</t>
  </si>
  <si>
    <t>420325194401292615</t>
  </si>
  <si>
    <t>陈保荣</t>
  </si>
  <si>
    <t>422626194802262614</t>
  </si>
  <si>
    <t>刘国喜</t>
  </si>
  <si>
    <t>422626194201202616</t>
  </si>
  <si>
    <t>刘玉香</t>
  </si>
  <si>
    <t>422626194612112623</t>
  </si>
  <si>
    <t>吴红友</t>
  </si>
  <si>
    <t>422626195309162614</t>
  </si>
  <si>
    <t>422626195510012618</t>
  </si>
  <si>
    <t>尹兴成</t>
  </si>
  <si>
    <t>422626195105012614</t>
  </si>
  <si>
    <t>袁官超</t>
  </si>
  <si>
    <t>420325198110232610</t>
  </si>
  <si>
    <t>任志强</t>
  </si>
  <si>
    <t>420325194307182639</t>
  </si>
  <si>
    <t>刘皇明</t>
  </si>
  <si>
    <t>42262619530306261244</t>
  </si>
  <si>
    <t>柯尊友</t>
  </si>
  <si>
    <t>422626193104292619</t>
  </si>
  <si>
    <t>王宗祥</t>
  </si>
  <si>
    <t>420325195807182656</t>
  </si>
  <si>
    <t>王宗福</t>
  </si>
  <si>
    <t>420325195306252636</t>
  </si>
  <si>
    <t>涂泽军</t>
  </si>
  <si>
    <t>422626194806072615</t>
  </si>
  <si>
    <t>魏士喜</t>
  </si>
  <si>
    <t>420325194401262619</t>
  </si>
  <si>
    <t>刘泽生</t>
  </si>
  <si>
    <t>42262619370908261443</t>
  </si>
  <si>
    <t>易波</t>
  </si>
  <si>
    <t>42032519761225265X</t>
  </si>
  <si>
    <t>余志贵</t>
  </si>
  <si>
    <t>422626196908272617</t>
  </si>
  <si>
    <t>徐立仁</t>
  </si>
  <si>
    <t>422626197311042610</t>
  </si>
  <si>
    <t>王治文</t>
  </si>
  <si>
    <t>422626196108132616</t>
  </si>
  <si>
    <t>42032519740430261631</t>
  </si>
  <si>
    <t>王茂礼</t>
  </si>
  <si>
    <t>42032519531017263931</t>
  </si>
  <si>
    <t>任传旺</t>
  </si>
  <si>
    <t>42032519531020261531</t>
  </si>
  <si>
    <t>周运山</t>
  </si>
  <si>
    <t>42262619530416261532</t>
  </si>
  <si>
    <t>程家禄</t>
  </si>
  <si>
    <t>420325194303122612</t>
  </si>
  <si>
    <t>曾青富</t>
  </si>
  <si>
    <t>422626194410012616</t>
  </si>
  <si>
    <t>程传旭</t>
  </si>
  <si>
    <t>42262619360927263X</t>
  </si>
  <si>
    <t>程道永</t>
  </si>
  <si>
    <t>420325195505222616</t>
  </si>
  <si>
    <t>万全六</t>
  </si>
  <si>
    <t>422626195502102613</t>
  </si>
  <si>
    <t>张孝年</t>
  </si>
  <si>
    <t>42032519451220261944</t>
  </si>
  <si>
    <t>陈辉六</t>
  </si>
  <si>
    <t>422626194312202619</t>
  </si>
  <si>
    <t>陈辉明</t>
  </si>
  <si>
    <t>42032519531016265X</t>
  </si>
  <si>
    <t>邓德龙</t>
  </si>
  <si>
    <t>422626195607312617</t>
  </si>
  <si>
    <t>张天久</t>
  </si>
  <si>
    <t>422626194303312613</t>
  </si>
  <si>
    <t>任国强</t>
  </si>
  <si>
    <t>420325192910312611</t>
  </si>
  <si>
    <t>黄英锐</t>
  </si>
  <si>
    <t>420325198909102614</t>
  </si>
  <si>
    <t>陈新奎</t>
  </si>
  <si>
    <t>420325198301032654</t>
  </si>
  <si>
    <t>草池村</t>
  </si>
  <si>
    <t>蹇正平</t>
  </si>
  <si>
    <t>420325198001022657</t>
  </si>
  <si>
    <t>彭高飞</t>
  </si>
  <si>
    <t>420325197511102716</t>
  </si>
  <si>
    <t>李身军</t>
  </si>
  <si>
    <t>422626196410202670</t>
  </si>
  <si>
    <t>谢祥国</t>
  </si>
  <si>
    <t>422626196310202614</t>
  </si>
  <si>
    <t>罗军</t>
  </si>
  <si>
    <t>420325198303282614</t>
  </si>
  <si>
    <t>谢志凤</t>
  </si>
  <si>
    <t>422626194604122629</t>
  </si>
  <si>
    <t>董世军</t>
  </si>
  <si>
    <t>420325197710182632</t>
  </si>
  <si>
    <t>王桂南</t>
  </si>
  <si>
    <t>420325198203302614</t>
  </si>
  <si>
    <t>邓德成</t>
  </si>
  <si>
    <t>42032519681014265X</t>
  </si>
  <si>
    <t>方绪银</t>
  </si>
  <si>
    <t>422626197012072617</t>
  </si>
  <si>
    <t>陈发云</t>
  </si>
  <si>
    <t>422626197009202628</t>
  </si>
  <si>
    <t>常月龙</t>
  </si>
  <si>
    <t>422626195605232656</t>
  </si>
  <si>
    <t>陈士贵</t>
  </si>
  <si>
    <t>420325195908052631</t>
  </si>
  <si>
    <t>罗保华</t>
  </si>
  <si>
    <t>422626195004202611</t>
  </si>
  <si>
    <t>张才林</t>
  </si>
  <si>
    <t>420323196301265819</t>
  </si>
  <si>
    <t>张文才</t>
  </si>
  <si>
    <t>422626195706292615</t>
  </si>
  <si>
    <t>常明龙</t>
  </si>
  <si>
    <t>422626196109102611</t>
  </si>
  <si>
    <t>董娥</t>
  </si>
  <si>
    <t>420325197610242642</t>
  </si>
  <si>
    <t>肖建国</t>
  </si>
  <si>
    <t>422626196001082612</t>
  </si>
  <si>
    <t>苏顶佑</t>
  </si>
  <si>
    <t>422626196909212616</t>
  </si>
  <si>
    <t>王金兰</t>
  </si>
  <si>
    <t>422626194808052634</t>
  </si>
  <si>
    <t>谢道义</t>
  </si>
  <si>
    <t>422626193710162611</t>
  </si>
  <si>
    <t>张文生</t>
  </si>
  <si>
    <t>422626194405062619</t>
  </si>
  <si>
    <t>孙从明</t>
  </si>
  <si>
    <t>422626194209112631</t>
  </si>
  <si>
    <t>苏显成</t>
  </si>
  <si>
    <t>422626195601262612</t>
  </si>
  <si>
    <t>周正龙</t>
  </si>
  <si>
    <t>422626195805132617</t>
  </si>
  <si>
    <t>蹇正清</t>
  </si>
  <si>
    <t>422626195711052632</t>
  </si>
  <si>
    <t>胡兴才</t>
  </si>
  <si>
    <t>422626195811292617</t>
  </si>
  <si>
    <t>孙严全</t>
  </si>
  <si>
    <t xml:space="preserve"> 422626195904042617</t>
  </si>
  <si>
    <t>王伦全</t>
  </si>
  <si>
    <t>422626195405262658</t>
  </si>
  <si>
    <t>叶绪福</t>
  </si>
  <si>
    <t>422626194805052639</t>
  </si>
  <si>
    <t>苏清海</t>
  </si>
  <si>
    <t>422626195008152615</t>
  </si>
  <si>
    <t>谢丛发</t>
  </si>
  <si>
    <t>422626194905072610</t>
  </si>
  <si>
    <t>谢祥成</t>
  </si>
  <si>
    <t>422626195804212631</t>
  </si>
  <si>
    <t>红星村</t>
  </si>
  <si>
    <t>陆龙全</t>
  </si>
  <si>
    <t>422626196803152619</t>
  </si>
  <si>
    <t>陆军</t>
  </si>
  <si>
    <t>420325197502082637</t>
  </si>
  <si>
    <t>王成根</t>
  </si>
  <si>
    <t>422626195211062615</t>
  </si>
  <si>
    <t>汪正奎</t>
  </si>
  <si>
    <t>42032519540208271031</t>
  </si>
  <si>
    <t>王成如</t>
  </si>
  <si>
    <t>42262619361231261243</t>
  </si>
  <si>
    <t>王成兴</t>
  </si>
  <si>
    <t>42262619521121261X</t>
  </si>
  <si>
    <t>仓峪村</t>
  </si>
  <si>
    <t>陆兴忠</t>
  </si>
  <si>
    <t>422626195108212611</t>
  </si>
  <si>
    <t>陆兴贵</t>
  </si>
  <si>
    <t>422626195409032614</t>
  </si>
  <si>
    <t>王建明</t>
  </si>
  <si>
    <t>420325197412242633</t>
  </si>
  <si>
    <t>肖大爱</t>
  </si>
  <si>
    <t>420325198511162617</t>
  </si>
  <si>
    <t>王超</t>
  </si>
  <si>
    <t>420325197504212634</t>
  </si>
  <si>
    <t>罗勇</t>
  </si>
  <si>
    <t>420325198511202615</t>
  </si>
  <si>
    <t>陆泉深</t>
  </si>
  <si>
    <t>420325197805292631</t>
  </si>
  <si>
    <t>王学财</t>
  </si>
  <si>
    <t>422626195707032612</t>
  </si>
  <si>
    <t>王成华</t>
  </si>
  <si>
    <t>422626196106072613</t>
  </si>
  <si>
    <t>常明成</t>
  </si>
  <si>
    <t>422626196309252630</t>
  </si>
  <si>
    <t>陈永虎</t>
  </si>
  <si>
    <t>420325197903172617</t>
  </si>
  <si>
    <t>常月盛</t>
  </si>
  <si>
    <t>422626194405132613</t>
  </si>
  <si>
    <t>王成群</t>
  </si>
  <si>
    <t>422626196108122610</t>
  </si>
  <si>
    <t>李吉成</t>
  </si>
  <si>
    <t>422626196402272636</t>
  </si>
  <si>
    <t>王关平</t>
  </si>
  <si>
    <t>420325197702262632</t>
  </si>
  <si>
    <t>孙国军</t>
  </si>
  <si>
    <t>422626197906192618</t>
  </si>
  <si>
    <t>陈志安</t>
  </si>
  <si>
    <t>422626195811182610</t>
  </si>
  <si>
    <t>刘永华</t>
  </si>
  <si>
    <t>422626197003092659</t>
  </si>
  <si>
    <t>代玉清</t>
  </si>
  <si>
    <t>420325193407112617</t>
  </si>
  <si>
    <t>王永兴</t>
  </si>
  <si>
    <t>422626196207132611</t>
  </si>
  <si>
    <t>罗道德</t>
  </si>
  <si>
    <t>422626194505262618</t>
  </si>
  <si>
    <t>王成现</t>
  </si>
  <si>
    <t>422626196407062611</t>
  </si>
  <si>
    <t>陈学金</t>
  </si>
  <si>
    <t>42262619550125261X</t>
  </si>
  <si>
    <t>王成金</t>
  </si>
  <si>
    <t>422626196003172611</t>
  </si>
  <si>
    <t>陆兴银</t>
  </si>
  <si>
    <t>42262619610706261X</t>
  </si>
  <si>
    <t>陆保坤</t>
  </si>
  <si>
    <t>422626195708312632</t>
  </si>
  <si>
    <t>吴宏运</t>
  </si>
  <si>
    <t>422626194203132615</t>
  </si>
  <si>
    <t>谭续国</t>
  </si>
  <si>
    <t>422626195707102617</t>
  </si>
  <si>
    <t>陆兴荣</t>
  </si>
  <si>
    <t>422626196703292622</t>
  </si>
  <si>
    <t>蔡加珍</t>
  </si>
  <si>
    <t>422626196201032628</t>
  </si>
  <si>
    <t>陆龙国</t>
  </si>
  <si>
    <t>422626194106072614</t>
  </si>
  <si>
    <t>刘纪华</t>
  </si>
  <si>
    <t>420325196002212613</t>
  </si>
  <si>
    <t>王成林</t>
  </si>
  <si>
    <t>422626195212032610</t>
  </si>
  <si>
    <t>胡家街村</t>
  </si>
  <si>
    <t>王国强</t>
  </si>
  <si>
    <t>422626195211202614</t>
  </si>
  <si>
    <t>422626196305112673</t>
  </si>
  <si>
    <t>张宏志</t>
  </si>
  <si>
    <t>422626193801152638</t>
  </si>
  <si>
    <t>苏宗枝</t>
  </si>
  <si>
    <t>422626194903142000</t>
  </si>
  <si>
    <t>苏清权</t>
  </si>
  <si>
    <t>422626197003032613</t>
  </si>
  <si>
    <t>别士学</t>
  </si>
  <si>
    <t>422626194312312631</t>
  </si>
  <si>
    <t>鲍元成</t>
  </si>
  <si>
    <t>422626195502282634</t>
  </si>
  <si>
    <t>陈志海</t>
  </si>
  <si>
    <t>422626195702252632</t>
  </si>
  <si>
    <t>金林先</t>
  </si>
  <si>
    <t>422626195003112614</t>
  </si>
  <si>
    <t>张兴胜</t>
  </si>
  <si>
    <t>420325194508202616</t>
  </si>
  <si>
    <t>王国成</t>
  </si>
  <si>
    <t>420325196104102634</t>
  </si>
  <si>
    <t>叶家河村</t>
  </si>
  <si>
    <t>陈布林</t>
  </si>
  <si>
    <t>422626195202262631</t>
  </si>
  <si>
    <t>邢宽道</t>
  </si>
  <si>
    <t>422626195612062632</t>
  </si>
  <si>
    <t>王天宇</t>
  </si>
  <si>
    <t>420325195412292631</t>
  </si>
  <si>
    <t>李立国</t>
  </si>
  <si>
    <t>420325197711232611</t>
  </si>
  <si>
    <t>何光军</t>
  </si>
  <si>
    <t>420325197502182611</t>
  </si>
  <si>
    <t>李国元</t>
  </si>
  <si>
    <t>420325197903042652</t>
  </si>
  <si>
    <t>李相林</t>
  </si>
  <si>
    <t>422626196501052612</t>
  </si>
  <si>
    <t>郑洪模</t>
  </si>
  <si>
    <t>422626194407242613</t>
  </si>
  <si>
    <t>何光生</t>
  </si>
  <si>
    <t>422626196711152611</t>
  </si>
  <si>
    <t>刘勇</t>
  </si>
  <si>
    <t>422626197010192631</t>
  </si>
  <si>
    <t>陶义林</t>
  </si>
  <si>
    <t>420325196211302631</t>
  </si>
  <si>
    <t>谢光奎</t>
  </si>
  <si>
    <t>422626197610302611</t>
  </si>
  <si>
    <t>王秀根</t>
  </si>
  <si>
    <t>422626197001042631</t>
  </si>
  <si>
    <t>任世成</t>
  </si>
  <si>
    <t>420325198510082615</t>
  </si>
  <si>
    <t>刘传华</t>
  </si>
  <si>
    <t>420325197808042611</t>
  </si>
  <si>
    <t>昝大礼</t>
  </si>
  <si>
    <t>422626196310112619</t>
  </si>
  <si>
    <t>昝大柒</t>
  </si>
  <si>
    <t>422626196103042638</t>
  </si>
  <si>
    <t>卢立群</t>
  </si>
  <si>
    <t>422626195911062616</t>
  </si>
  <si>
    <t>422626196610252621</t>
  </si>
  <si>
    <t>向成海</t>
  </si>
  <si>
    <t>422626196009192613</t>
  </si>
  <si>
    <t>李昌满</t>
  </si>
  <si>
    <t>422626194703252613</t>
  </si>
  <si>
    <t>钱贯富</t>
  </si>
  <si>
    <t>422626195407022690</t>
  </si>
  <si>
    <t>赵玉枝</t>
  </si>
  <si>
    <t>42262619610427262X</t>
  </si>
  <si>
    <t>叶绪生</t>
  </si>
  <si>
    <t>422626194910212614</t>
  </si>
  <si>
    <t>朱涛</t>
  </si>
  <si>
    <t>422626197605152655</t>
  </si>
  <si>
    <t>彭家明</t>
  </si>
  <si>
    <t>422626195007122617</t>
  </si>
  <si>
    <t>朱宏圣</t>
  </si>
  <si>
    <t>422626194805052655</t>
  </si>
  <si>
    <t>昝启仁</t>
  </si>
  <si>
    <t>422626194207192658</t>
  </si>
  <si>
    <t>向中辉</t>
  </si>
  <si>
    <t>420325198109222634</t>
  </si>
  <si>
    <t>何建全</t>
  </si>
  <si>
    <t>422626196104022612</t>
  </si>
  <si>
    <t>曾启海</t>
  </si>
  <si>
    <t>42262619520727261X</t>
  </si>
  <si>
    <t>宋红兵</t>
  </si>
  <si>
    <t>420325196503202616</t>
  </si>
  <si>
    <t>何成极</t>
  </si>
  <si>
    <t>422626196405022659</t>
  </si>
  <si>
    <t>席武</t>
  </si>
  <si>
    <t>420325198011172616</t>
  </si>
  <si>
    <t>陆清华</t>
  </si>
  <si>
    <t>422626195601032622</t>
  </si>
  <si>
    <t>曾奎</t>
  </si>
  <si>
    <t>420325197802062638</t>
  </si>
  <si>
    <t>何立柱</t>
  </si>
  <si>
    <t>422626196408162614</t>
  </si>
  <si>
    <t>陈烈兵</t>
  </si>
  <si>
    <t>422626196912062612</t>
  </si>
  <si>
    <t>陈烈友</t>
  </si>
  <si>
    <t>422626195104282612</t>
  </si>
  <si>
    <t>何立明</t>
  </si>
  <si>
    <t>422626196812072653</t>
  </si>
  <si>
    <t>何定元</t>
  </si>
  <si>
    <t>422626195006092612</t>
  </si>
  <si>
    <t>何勇极</t>
  </si>
  <si>
    <t>422626197204112636</t>
  </si>
  <si>
    <t>何立后</t>
  </si>
  <si>
    <t>420325195501272659</t>
  </si>
  <si>
    <t>林相春</t>
  </si>
  <si>
    <t>422626193201312626</t>
  </si>
  <si>
    <t>何立友</t>
  </si>
  <si>
    <t xml:space="preserve">420325195307182617 </t>
  </si>
  <si>
    <t>熊春生</t>
  </si>
  <si>
    <t>422626195407162618</t>
  </si>
  <si>
    <t>李身秀</t>
  </si>
  <si>
    <t>422626193309262624</t>
  </si>
  <si>
    <t>张明海</t>
  </si>
  <si>
    <t>420325195304012751</t>
  </si>
  <si>
    <t>张兴钱</t>
  </si>
  <si>
    <t>420325194803292730</t>
  </si>
  <si>
    <t>张兴良</t>
  </si>
  <si>
    <t>420325194502272752</t>
  </si>
  <si>
    <t>张启珍</t>
  </si>
  <si>
    <t>422626195312282617</t>
  </si>
  <si>
    <t>张兴志</t>
  </si>
  <si>
    <t>420325193702052610</t>
  </si>
  <si>
    <t>王正明</t>
  </si>
  <si>
    <t>422626195402262636</t>
  </si>
  <si>
    <t>郑云秀</t>
  </si>
  <si>
    <t>422626194111012640</t>
  </si>
  <si>
    <t>李绍满</t>
  </si>
  <si>
    <t>42262619380306261X</t>
  </si>
  <si>
    <t>章德忠</t>
  </si>
  <si>
    <t>422626194604212632</t>
  </si>
  <si>
    <t>谢先海</t>
  </si>
  <si>
    <t>422626195602222612</t>
  </si>
  <si>
    <t>向成汉</t>
  </si>
  <si>
    <t>422626195612202631</t>
  </si>
  <si>
    <t>饶自海</t>
  </si>
  <si>
    <t>422626195411102618</t>
  </si>
  <si>
    <t>林庭江</t>
  </si>
  <si>
    <t>42262619460717261331</t>
  </si>
  <si>
    <t>422626195305062616</t>
  </si>
  <si>
    <t>项家河村</t>
  </si>
  <si>
    <t>陈志华</t>
  </si>
  <si>
    <t>422626195310162638</t>
  </si>
  <si>
    <t>曾宁权</t>
  </si>
  <si>
    <t>422626197204232611</t>
  </si>
  <si>
    <t>陆鹏</t>
  </si>
  <si>
    <t>420325198703232616</t>
  </si>
  <si>
    <t>闻玉国</t>
  </si>
  <si>
    <t>422626195306302650</t>
  </si>
  <si>
    <t>谢自富</t>
  </si>
  <si>
    <t>422626195504182610</t>
  </si>
  <si>
    <t>胡秀民</t>
  </si>
  <si>
    <t>422626196604152632</t>
  </si>
  <si>
    <t>谢飞</t>
  </si>
  <si>
    <t>42032519841121263X</t>
  </si>
  <si>
    <t>郑家良</t>
  </si>
  <si>
    <t>420325197712192615</t>
  </si>
  <si>
    <t>梁祥翠</t>
  </si>
  <si>
    <t>420325196603242623</t>
  </si>
  <si>
    <t>刘大成</t>
  </si>
  <si>
    <t>422626195910042613</t>
  </si>
  <si>
    <t>杨树植</t>
  </si>
  <si>
    <t>422626195212222617</t>
  </si>
  <si>
    <t>吴高斌</t>
  </si>
  <si>
    <t>422626195608212618</t>
  </si>
  <si>
    <t>闻玉明</t>
  </si>
  <si>
    <t>422626195108032610</t>
  </si>
  <si>
    <t>李致全</t>
  </si>
  <si>
    <t>422626196408042612</t>
  </si>
  <si>
    <t>候甫成</t>
  </si>
  <si>
    <t>422626193608092610</t>
  </si>
  <si>
    <t>李身奎</t>
  </si>
  <si>
    <t>420325195505312611</t>
  </si>
  <si>
    <t>贺福运</t>
  </si>
  <si>
    <t>42262619460728261X</t>
  </si>
  <si>
    <t>胡国昌</t>
  </si>
  <si>
    <t>420325194505112615</t>
  </si>
  <si>
    <t>郑传刚</t>
  </si>
  <si>
    <t>420325195301132619</t>
  </si>
  <si>
    <t>吴光华</t>
  </si>
  <si>
    <t>422626194205032618</t>
  </si>
  <si>
    <t>程光保</t>
  </si>
  <si>
    <t>420325195304292634</t>
  </si>
  <si>
    <t>程光海</t>
  </si>
  <si>
    <t>420325195502282672</t>
  </si>
  <si>
    <t>程达宽</t>
  </si>
  <si>
    <t>422626194104112619</t>
  </si>
  <si>
    <t>熊大秀</t>
  </si>
  <si>
    <t>422626194705052623</t>
  </si>
  <si>
    <t>曾凡章</t>
  </si>
  <si>
    <t>422626193307112614</t>
  </si>
  <si>
    <t>汪兰英</t>
  </si>
  <si>
    <t>422626193306182629</t>
  </si>
  <si>
    <t>杨树合</t>
  </si>
  <si>
    <t>420325194606172676</t>
  </si>
  <si>
    <t>陆龙训</t>
  </si>
  <si>
    <t>420325194805042612</t>
  </si>
  <si>
    <t>龚长云</t>
  </si>
  <si>
    <t>422626195410112611</t>
  </si>
  <si>
    <t>邓平春</t>
  </si>
  <si>
    <t>420325195611212614</t>
  </si>
  <si>
    <t>谢光林</t>
  </si>
  <si>
    <t>422626195504112639</t>
  </si>
  <si>
    <t>彭良军</t>
  </si>
  <si>
    <t>42262619560526261X</t>
  </si>
  <si>
    <t>门古村</t>
  </si>
  <si>
    <t>任世明</t>
  </si>
  <si>
    <t>422626193806282618</t>
  </si>
  <si>
    <t>操忠任</t>
  </si>
  <si>
    <t>420323196712045837</t>
  </si>
  <si>
    <t>王天道</t>
  </si>
  <si>
    <t>422626194612012614</t>
  </si>
  <si>
    <t>李明娇</t>
  </si>
  <si>
    <t>420325198001114228</t>
  </si>
  <si>
    <t>涂兴权</t>
  </si>
  <si>
    <t>422626195011192618</t>
  </si>
  <si>
    <t>彭朝勇</t>
  </si>
  <si>
    <t>422626196911282613</t>
  </si>
  <si>
    <t>昝启林</t>
  </si>
  <si>
    <t>420325197108152617</t>
  </si>
  <si>
    <t>吴发清</t>
  </si>
  <si>
    <t>420325196512202618</t>
  </si>
  <si>
    <t>王光美</t>
  </si>
  <si>
    <t>422626194311242619</t>
  </si>
  <si>
    <t>车进先</t>
  </si>
  <si>
    <t>422626195507232636</t>
  </si>
  <si>
    <t>蔡德友</t>
  </si>
  <si>
    <t>420325195407272716</t>
  </si>
  <si>
    <t>高元杰</t>
  </si>
  <si>
    <t>420325195112292613</t>
  </si>
  <si>
    <t>张建明</t>
  </si>
  <si>
    <t>422626195710132614</t>
  </si>
  <si>
    <t>陆保大</t>
  </si>
  <si>
    <t>422626194108232618</t>
  </si>
  <si>
    <t>苏清艳</t>
  </si>
  <si>
    <t>420325193404172622</t>
  </si>
  <si>
    <t>任传新</t>
  </si>
  <si>
    <t>420325195302172612</t>
  </si>
  <si>
    <t>刘从国</t>
  </si>
  <si>
    <t>420325194612122659</t>
  </si>
  <si>
    <t>邢忠道</t>
  </si>
  <si>
    <t>422626194406282613</t>
  </si>
  <si>
    <t>赵开金</t>
  </si>
  <si>
    <t>422626195304212619</t>
  </si>
  <si>
    <t>罗永志</t>
  </si>
  <si>
    <t>42262619520531263031</t>
  </si>
  <si>
    <t>王成友</t>
  </si>
  <si>
    <t>42032519400710265X</t>
  </si>
  <si>
    <t>狮子岩村</t>
  </si>
  <si>
    <t>苏清林</t>
  </si>
  <si>
    <t>42262619531204263X</t>
  </si>
  <si>
    <t>宋庭兵</t>
  </si>
  <si>
    <t>422626196103232618</t>
  </si>
  <si>
    <t>郭兴菊</t>
  </si>
  <si>
    <t>422626196111262622</t>
  </si>
  <si>
    <t>李兴宏</t>
  </si>
  <si>
    <t>422626197211053072</t>
  </si>
  <si>
    <t>何立成</t>
  </si>
  <si>
    <t>422626196204202610</t>
  </si>
  <si>
    <t>彭大群</t>
  </si>
  <si>
    <t>420325197101092711</t>
  </si>
  <si>
    <t>谢道兵</t>
  </si>
  <si>
    <t>422626194512022612</t>
  </si>
  <si>
    <t>向昌炳</t>
  </si>
  <si>
    <t>420325195001202611</t>
  </si>
  <si>
    <t>宋庭六</t>
  </si>
  <si>
    <t>422626193603012634</t>
  </si>
  <si>
    <t>尹希望</t>
  </si>
  <si>
    <t>422626195303012631</t>
  </si>
  <si>
    <t>刘承栋</t>
  </si>
  <si>
    <t>42032519491128261X</t>
  </si>
  <si>
    <t>龚立刚</t>
  </si>
  <si>
    <t>422626196002222613</t>
  </si>
  <si>
    <t>李明军</t>
  </si>
  <si>
    <t>420325198001262634</t>
  </si>
  <si>
    <t>会子营村</t>
  </si>
  <si>
    <t>周兴昌</t>
  </si>
  <si>
    <t>422626195811242636</t>
  </si>
  <si>
    <t>宋传福</t>
  </si>
  <si>
    <t>422626196809122613</t>
  </si>
  <si>
    <t>刘荣富</t>
  </si>
  <si>
    <t>420325198003162610</t>
  </si>
  <si>
    <t>余德华</t>
  </si>
  <si>
    <t>42032519800929362X</t>
  </si>
  <si>
    <t>陈子贵</t>
  </si>
  <si>
    <t>422626194701152619</t>
  </si>
  <si>
    <t>周正员</t>
  </si>
  <si>
    <t>420325196005172610</t>
  </si>
  <si>
    <t>邹应福</t>
  </si>
  <si>
    <t>422626194607022615</t>
  </si>
  <si>
    <t>彭高友</t>
  </si>
  <si>
    <t>420325195201262619</t>
  </si>
  <si>
    <t>杨光海</t>
  </si>
  <si>
    <t>42032519540804263X</t>
  </si>
  <si>
    <t>彭维山</t>
  </si>
  <si>
    <t>420325194201052617</t>
  </si>
  <si>
    <t>胡明成</t>
  </si>
  <si>
    <t>420325195512172610</t>
  </si>
  <si>
    <t>付道成</t>
  </si>
  <si>
    <t>420325195611072615</t>
  </si>
  <si>
    <t>倪永龙</t>
  </si>
  <si>
    <t>42262619540316267X</t>
  </si>
  <si>
    <t>李世民</t>
  </si>
  <si>
    <t>422626194303052612</t>
  </si>
  <si>
    <t>彭朝清</t>
  </si>
  <si>
    <t>422626194605162630</t>
  </si>
  <si>
    <t>石龙沟村</t>
  </si>
  <si>
    <t>刘世方</t>
  </si>
  <si>
    <t>422626193701082628</t>
  </si>
  <si>
    <t>黄继平</t>
  </si>
  <si>
    <t>420325196807262618</t>
  </si>
  <si>
    <t>邹长杰</t>
  </si>
  <si>
    <t>420325197101172615</t>
  </si>
  <si>
    <t>42032519600317261x</t>
  </si>
  <si>
    <t>陈贵荣</t>
  </si>
  <si>
    <t>42262619541121264932</t>
  </si>
  <si>
    <t>张兴宏</t>
  </si>
  <si>
    <t>422626195707062635</t>
  </si>
  <si>
    <t>黄继香</t>
  </si>
  <si>
    <t>42032519480213266333</t>
  </si>
  <si>
    <t>420325193208012621</t>
  </si>
  <si>
    <t>张  勇</t>
  </si>
  <si>
    <t>420325198409072631</t>
  </si>
  <si>
    <t>黄继兵</t>
  </si>
  <si>
    <t>42262619500224261X</t>
  </si>
  <si>
    <t>邹应习</t>
  </si>
  <si>
    <t>422626196505182617</t>
  </si>
  <si>
    <t>况怀喜</t>
  </si>
  <si>
    <t>422626197211232695</t>
  </si>
  <si>
    <t>郑绪海</t>
  </si>
  <si>
    <t>420325197308262634</t>
  </si>
  <si>
    <t>汪兵</t>
  </si>
  <si>
    <t>420325198002292632</t>
  </si>
  <si>
    <t>杨飞</t>
  </si>
  <si>
    <t>423325199310212619</t>
  </si>
  <si>
    <t>雷秀丽</t>
  </si>
  <si>
    <t>420325198206302628</t>
  </si>
  <si>
    <t>张先文</t>
  </si>
  <si>
    <t>420325199212032614</t>
  </si>
  <si>
    <t>陈元泽</t>
  </si>
  <si>
    <t>422626193703152618</t>
  </si>
  <si>
    <t>杨先军</t>
  </si>
  <si>
    <t>422626197208032633</t>
  </si>
  <si>
    <t>雷世清</t>
  </si>
  <si>
    <t>422626195811112639</t>
  </si>
  <si>
    <t>王金华</t>
  </si>
  <si>
    <t>420325198701072620</t>
  </si>
  <si>
    <t>张成荒</t>
  </si>
  <si>
    <t>420325195009252613</t>
  </si>
  <si>
    <t>李德清</t>
  </si>
  <si>
    <t>422626195410302634</t>
  </si>
  <si>
    <t>郑先明</t>
  </si>
  <si>
    <t>42032519470308263X</t>
  </si>
  <si>
    <t>郑先合</t>
  </si>
  <si>
    <t>420325194504082637</t>
  </si>
  <si>
    <t>陶义论</t>
  </si>
  <si>
    <t>420325195406302610</t>
  </si>
  <si>
    <t>王国江</t>
  </si>
  <si>
    <t>422626193708052616</t>
  </si>
  <si>
    <t>王大英</t>
  </si>
  <si>
    <t>420325193312202628</t>
  </si>
  <si>
    <t>郑绪春</t>
  </si>
  <si>
    <t>420325195506282610</t>
  </si>
  <si>
    <t>苏仕发</t>
  </si>
  <si>
    <t>420325195105222617</t>
  </si>
  <si>
    <t>碑口村</t>
  </si>
  <si>
    <t>王明珍</t>
  </si>
  <si>
    <t>42262619620510262X</t>
  </si>
  <si>
    <t>胡勇发</t>
  </si>
  <si>
    <t>422626196611302619</t>
  </si>
  <si>
    <t>张明芝</t>
  </si>
  <si>
    <t>422626196404112628</t>
  </si>
  <si>
    <t>曾绍见</t>
  </si>
  <si>
    <t>422626192810202639</t>
  </si>
  <si>
    <t>王明忠</t>
  </si>
  <si>
    <t>422626194308092613</t>
  </si>
  <si>
    <t>胡才发</t>
  </si>
  <si>
    <t>42262619660220261642</t>
  </si>
  <si>
    <t>熊兴旺</t>
  </si>
  <si>
    <t>422626197105312632</t>
  </si>
  <si>
    <t>刘付华</t>
  </si>
  <si>
    <t>42032519820308264X</t>
  </si>
  <si>
    <t>邢道秀</t>
  </si>
  <si>
    <t>42262619490524262431</t>
  </si>
  <si>
    <t>张兴国</t>
  </si>
  <si>
    <t>422626194410312619</t>
  </si>
  <si>
    <t>422626193004132626</t>
  </si>
  <si>
    <t>王培元</t>
  </si>
  <si>
    <t>422626192706272610</t>
  </si>
  <si>
    <t>彭高军</t>
  </si>
  <si>
    <t>422626197304222613</t>
  </si>
  <si>
    <t>陈世林</t>
  </si>
  <si>
    <t>422626194802112616</t>
  </si>
  <si>
    <t>马奎善</t>
  </si>
  <si>
    <t>420325197505222615</t>
  </si>
  <si>
    <t>何菊陆</t>
  </si>
  <si>
    <t>42032519650316277331</t>
  </si>
  <si>
    <t>王哑子</t>
  </si>
  <si>
    <t>42032519650703262631</t>
  </si>
  <si>
    <t>徐传兴</t>
  </si>
  <si>
    <t>42262619680701263X</t>
  </si>
  <si>
    <t>宋士宏</t>
  </si>
  <si>
    <t>422626196001202653</t>
  </si>
  <si>
    <t>刘兴友</t>
  </si>
  <si>
    <t>42292119410703151X</t>
  </si>
  <si>
    <t>徐传国</t>
  </si>
  <si>
    <t>420325197703072638</t>
  </si>
  <si>
    <t>张文涛</t>
  </si>
  <si>
    <t>420325198501212633</t>
  </si>
  <si>
    <t>黄柏沟村</t>
  </si>
  <si>
    <t>代付银</t>
  </si>
  <si>
    <t>422626195512122634</t>
  </si>
  <si>
    <t>胡达金</t>
  </si>
  <si>
    <t>422626195305233614</t>
  </si>
  <si>
    <t>王绵秀</t>
  </si>
  <si>
    <t>422626194612262621</t>
  </si>
  <si>
    <t>冯瑞林</t>
  </si>
  <si>
    <t>422626194012252630</t>
  </si>
  <si>
    <t>张富银</t>
  </si>
  <si>
    <t>420325196301062678</t>
  </si>
  <si>
    <t>刘虎</t>
  </si>
  <si>
    <t>420325198210292610</t>
  </si>
  <si>
    <t>向家权</t>
  </si>
  <si>
    <t>420325195202242636</t>
  </si>
  <si>
    <t>张晓平</t>
  </si>
  <si>
    <t>420325198205112646</t>
  </si>
  <si>
    <t>夏友青</t>
  </si>
  <si>
    <t>4226194607152612</t>
  </si>
  <si>
    <t>姜明福</t>
  </si>
  <si>
    <t>422626194112182633</t>
  </si>
  <si>
    <t>冯明富</t>
  </si>
  <si>
    <t>420325194606142610</t>
  </si>
  <si>
    <t>冯瑞禄</t>
  </si>
  <si>
    <t>422626194810052619</t>
  </si>
  <si>
    <t>代付友</t>
  </si>
  <si>
    <t>422626195609142658</t>
  </si>
  <si>
    <t>刘明江</t>
  </si>
  <si>
    <t>422626195603122613</t>
  </si>
  <si>
    <t>冯瑞波</t>
  </si>
  <si>
    <t>420325197606252610</t>
  </si>
  <si>
    <t>姜明仁</t>
  </si>
  <si>
    <t>420325196503272630</t>
  </si>
  <si>
    <t>冯明志</t>
  </si>
  <si>
    <t>420325196106122612</t>
  </si>
  <si>
    <t>吴君</t>
  </si>
  <si>
    <t>420325197006142610</t>
  </si>
  <si>
    <t>杨岔山村</t>
  </si>
  <si>
    <t>许士进</t>
  </si>
  <si>
    <t>422626195205282638</t>
  </si>
  <si>
    <t>卢昌军</t>
  </si>
  <si>
    <t>422626196907302634</t>
  </si>
  <si>
    <t>王忠兴</t>
  </si>
  <si>
    <t>420325196107032619</t>
  </si>
  <si>
    <t>宋学喜</t>
  </si>
  <si>
    <t>422626195405182615</t>
  </si>
  <si>
    <t>卢立荣</t>
  </si>
  <si>
    <t>422626194212182622</t>
  </si>
  <si>
    <t>曹祥国</t>
  </si>
  <si>
    <t>42032519571110265831</t>
  </si>
  <si>
    <t>彭达贵</t>
  </si>
  <si>
    <t>420325195411232610</t>
  </si>
  <si>
    <t>柯昌元</t>
  </si>
  <si>
    <t>42262619500213263X</t>
  </si>
  <si>
    <t>任紹青</t>
  </si>
  <si>
    <t>42262619510502261X</t>
  </si>
  <si>
    <t>胡平山</t>
  </si>
  <si>
    <t>422626197210242613</t>
  </si>
  <si>
    <t>陈明才</t>
  </si>
  <si>
    <t>420325197709252613</t>
  </si>
  <si>
    <t>向阳</t>
  </si>
  <si>
    <t>420325197404282619</t>
  </si>
  <si>
    <t>吴忠良</t>
  </si>
  <si>
    <t>422626195003032630</t>
  </si>
  <si>
    <t>唐士均</t>
  </si>
  <si>
    <t>422626196403302614</t>
  </si>
  <si>
    <t>马先云</t>
  </si>
  <si>
    <t>420325196405042655</t>
  </si>
  <si>
    <t>陈金光</t>
  </si>
  <si>
    <t>422626196810112631</t>
  </si>
  <si>
    <t>王道华</t>
  </si>
  <si>
    <t>420325197502152631</t>
  </si>
  <si>
    <t>黄美莲</t>
  </si>
  <si>
    <t>420325192203172648</t>
  </si>
  <si>
    <t>土城村</t>
  </si>
  <si>
    <t>王兴兰</t>
  </si>
  <si>
    <t>422626195502252611</t>
  </si>
  <si>
    <t>李生江</t>
  </si>
  <si>
    <t>422626195107272612</t>
  </si>
  <si>
    <t>许业勋</t>
  </si>
  <si>
    <t>422626196601312610</t>
  </si>
  <si>
    <t>倪代国</t>
  </si>
  <si>
    <t>422626196111152618</t>
  </si>
  <si>
    <t>熊显才</t>
  </si>
  <si>
    <t>420325198010142618</t>
  </si>
  <si>
    <t>金星平</t>
  </si>
  <si>
    <t>420325198004202637</t>
  </si>
  <si>
    <t>李自友</t>
  </si>
  <si>
    <t>422626194606062615</t>
  </si>
  <si>
    <t>喻传明</t>
  </si>
  <si>
    <t>422626196202242619</t>
  </si>
  <si>
    <t>刘运福</t>
  </si>
  <si>
    <t>422626194710222615</t>
  </si>
  <si>
    <t>陈严学</t>
  </si>
  <si>
    <t>422626197111252613</t>
  </si>
  <si>
    <t>陈严明</t>
  </si>
  <si>
    <t>422626196902042618</t>
  </si>
  <si>
    <t>李启军</t>
  </si>
  <si>
    <t>420325200002102632</t>
  </si>
  <si>
    <t>何元成</t>
  </si>
  <si>
    <t>422626197506242612</t>
  </si>
  <si>
    <t>胡兴全</t>
  </si>
  <si>
    <t>422626196108182613</t>
  </si>
  <si>
    <t>喻传全</t>
  </si>
  <si>
    <t>42262619710408261X</t>
  </si>
  <si>
    <t>杨艳丽</t>
  </si>
  <si>
    <t>420325198402272622</t>
  </si>
  <si>
    <t>魏刚荣</t>
  </si>
  <si>
    <t>42262619581116261X</t>
  </si>
  <si>
    <t>李萍</t>
  </si>
  <si>
    <t>422626198010312327</t>
  </si>
  <si>
    <t>喻传福</t>
  </si>
  <si>
    <t>422626194809122614</t>
  </si>
  <si>
    <t>杨家贵</t>
  </si>
  <si>
    <t>420325194711222639</t>
  </si>
  <si>
    <t>汪世林</t>
  </si>
  <si>
    <t>420325195506092614</t>
  </si>
  <si>
    <t>左明华</t>
  </si>
  <si>
    <t>422626195611172610</t>
  </si>
  <si>
    <t>熊光发</t>
  </si>
  <si>
    <t>422626194702022613</t>
  </si>
  <si>
    <t>姜万友</t>
  </si>
  <si>
    <t>420325195607122712</t>
  </si>
  <si>
    <t>陈严堂</t>
  </si>
  <si>
    <t>422626195308052616</t>
  </si>
  <si>
    <t>陈炳武</t>
  </si>
  <si>
    <t>422626195205192616</t>
  </si>
  <si>
    <t>42032519740702261X31</t>
  </si>
  <si>
    <t>门古小计</t>
  </si>
  <si>
    <t>中坝乡</t>
  </si>
  <si>
    <t>宝石村</t>
  </si>
  <si>
    <t>白德金</t>
  </si>
  <si>
    <t>422626195512213317</t>
  </si>
  <si>
    <t>白祖雨</t>
  </si>
  <si>
    <t>422626196107213318</t>
  </si>
  <si>
    <t>陈光友</t>
  </si>
  <si>
    <t xml:space="preserve"> 422626194810173312</t>
  </si>
  <si>
    <t>陈守贵</t>
  </si>
  <si>
    <t xml:space="preserve"> 422626196103263318</t>
  </si>
  <si>
    <t>邓大全</t>
  </si>
  <si>
    <t>422626195904173318</t>
  </si>
  <si>
    <t>邓奕伟</t>
  </si>
  <si>
    <t>420325198412283317</t>
  </si>
  <si>
    <t>周建果</t>
  </si>
  <si>
    <t>420325199011053312</t>
  </si>
  <si>
    <t>贺显明</t>
  </si>
  <si>
    <t>422626195805013319</t>
  </si>
  <si>
    <t>彭国华</t>
  </si>
  <si>
    <t>420325198810153315</t>
  </si>
  <si>
    <t>王义林</t>
  </si>
  <si>
    <t>422626197511023334</t>
  </si>
  <si>
    <t>余致成</t>
  </si>
  <si>
    <t>422626197104023310</t>
  </si>
  <si>
    <t>张德华</t>
  </si>
  <si>
    <t>422626196912233311</t>
  </si>
  <si>
    <t>章日忠</t>
  </si>
  <si>
    <t>422626195702053318</t>
  </si>
  <si>
    <t>周绍贵</t>
  </si>
  <si>
    <t>422626195711143315</t>
  </si>
  <si>
    <t>周永华</t>
  </si>
  <si>
    <t>422626195103033315</t>
  </si>
  <si>
    <t>杜长兵</t>
  </si>
  <si>
    <t>420325198004013334</t>
  </si>
  <si>
    <t>下坝村</t>
  </si>
  <si>
    <t>何志根</t>
  </si>
  <si>
    <t>422626196909283318</t>
  </si>
  <si>
    <t>鄢兴兵</t>
  </si>
  <si>
    <t>42262619720502331X</t>
  </si>
  <si>
    <t>徐大梅</t>
  </si>
  <si>
    <t>42262619740210336X</t>
  </si>
  <si>
    <t>何志伦</t>
  </si>
  <si>
    <t>422626196403023316</t>
  </si>
  <si>
    <t>邓正元</t>
  </si>
  <si>
    <t>422626193405173314</t>
  </si>
  <si>
    <t>邓正祥</t>
  </si>
  <si>
    <t>420325192906103315</t>
  </si>
  <si>
    <t>黄明山</t>
  </si>
  <si>
    <t>42262619690331331X</t>
  </si>
  <si>
    <t>刘承殿</t>
  </si>
  <si>
    <t xml:space="preserve"> 42262619650602331943</t>
  </si>
  <si>
    <t>柯善春</t>
  </si>
  <si>
    <t>422626196310183310</t>
  </si>
  <si>
    <t>范自天</t>
  </si>
  <si>
    <t xml:space="preserve"> 422626194606223319</t>
  </si>
  <si>
    <t>李泽秀</t>
  </si>
  <si>
    <t>422626193011103321</t>
  </si>
  <si>
    <t>陈旭才</t>
  </si>
  <si>
    <t xml:space="preserve"> 422626195211023333</t>
  </si>
  <si>
    <t>都厚书</t>
  </si>
  <si>
    <t>422626196302133313</t>
  </si>
  <si>
    <t>陈钱树</t>
  </si>
  <si>
    <t>422626195605183313</t>
  </si>
  <si>
    <t>姜大银</t>
  </si>
  <si>
    <t>42032519520120331X</t>
  </si>
  <si>
    <t>龙滩村</t>
  </si>
  <si>
    <t>李刚炳</t>
  </si>
  <si>
    <t>422626197002043310</t>
  </si>
  <si>
    <t xml:space="preserve">新纳入 </t>
  </si>
  <si>
    <t>刘昌学</t>
  </si>
  <si>
    <t>422626194611133318</t>
  </si>
  <si>
    <t>赵发杨</t>
  </si>
  <si>
    <t>422626195804163315</t>
  </si>
  <si>
    <t>袁仁兵</t>
  </si>
  <si>
    <t>422626197501083333</t>
  </si>
  <si>
    <t>龙驹山村</t>
  </si>
  <si>
    <t>孙启志</t>
  </si>
  <si>
    <t>422626197008083313</t>
  </si>
  <si>
    <t>何志兵</t>
  </si>
  <si>
    <t>422626197101133311</t>
  </si>
  <si>
    <t>翟运全</t>
  </si>
  <si>
    <t>42032519581104335X44</t>
  </si>
  <si>
    <t>杨勇</t>
  </si>
  <si>
    <t>420325198104203311</t>
  </si>
  <si>
    <t>孙光玉</t>
  </si>
  <si>
    <t>422626194309113316</t>
  </si>
  <si>
    <t>翟军</t>
  </si>
  <si>
    <t>420325198011153351</t>
  </si>
  <si>
    <t>汤贵柱</t>
  </si>
  <si>
    <t>422626196910133317</t>
  </si>
  <si>
    <t>杨林章</t>
  </si>
  <si>
    <t>422626195010123338</t>
  </si>
  <si>
    <t>中坝村</t>
  </si>
  <si>
    <t>王迪荣</t>
  </si>
  <si>
    <t>422626194702283311</t>
  </si>
  <si>
    <t>范义平</t>
  </si>
  <si>
    <t>422626194905223319</t>
  </si>
  <si>
    <t>董先进</t>
  </si>
  <si>
    <t>422626194008273316</t>
  </si>
  <si>
    <t>王明宝</t>
  </si>
  <si>
    <t>422626195311063316</t>
  </si>
  <si>
    <t>余元发</t>
  </si>
  <si>
    <t>422626194409293318</t>
  </si>
  <si>
    <t>胡月山</t>
  </si>
  <si>
    <t>422626195104263315</t>
  </si>
  <si>
    <t>罗成</t>
  </si>
  <si>
    <t>422626197002273319</t>
  </si>
  <si>
    <t>三池村</t>
  </si>
  <si>
    <t>雷春生</t>
  </si>
  <si>
    <t>420325195208163314</t>
  </si>
  <si>
    <t>饶龙华</t>
  </si>
  <si>
    <t>422626197010223311</t>
  </si>
  <si>
    <t>陈胜文</t>
  </si>
  <si>
    <t>422626196403253314</t>
  </si>
  <si>
    <t>凡光兵</t>
  </si>
  <si>
    <t>422626197208103331</t>
  </si>
  <si>
    <t>李朝福</t>
  </si>
  <si>
    <t>422626196111223327</t>
  </si>
  <si>
    <t>刘继全</t>
  </si>
  <si>
    <t>422626195803183314</t>
  </si>
  <si>
    <t>程贤云</t>
  </si>
  <si>
    <t>422626196304073326</t>
  </si>
  <si>
    <t>甘叶贵</t>
  </si>
  <si>
    <t>422626196601273359</t>
  </si>
  <si>
    <t>天鹅村</t>
  </si>
  <si>
    <t>李家顺</t>
  </si>
  <si>
    <t>422626193801233315</t>
  </si>
  <si>
    <t>程贤树</t>
  </si>
  <si>
    <t>422626196604133335</t>
  </si>
  <si>
    <t>周才能</t>
  </si>
  <si>
    <t>42262619531226331x</t>
  </si>
  <si>
    <t>余万里</t>
  </si>
  <si>
    <t>420325198508193316</t>
  </si>
  <si>
    <t>闻国晏</t>
  </si>
  <si>
    <t>422626197305073317</t>
  </si>
  <si>
    <t>肖本理</t>
  </si>
  <si>
    <t>422626196912013319</t>
  </si>
  <si>
    <t>都厚兵</t>
  </si>
  <si>
    <t>422626197204073315</t>
  </si>
  <si>
    <t>陈旭富</t>
  </si>
  <si>
    <t>422626196904013319</t>
  </si>
  <si>
    <t>魏远柱</t>
  </si>
  <si>
    <t>422626194905193316</t>
  </si>
  <si>
    <t>王伦军</t>
  </si>
  <si>
    <t>420325197902153318</t>
  </si>
  <si>
    <t>龙驹山</t>
  </si>
  <si>
    <t>周兴普</t>
  </si>
  <si>
    <t>422626195303143332</t>
  </si>
  <si>
    <t>高胜强</t>
  </si>
  <si>
    <t>422626195306263313</t>
  </si>
  <si>
    <t>胡元林</t>
  </si>
  <si>
    <t>422626195712063317</t>
  </si>
  <si>
    <t>李生鸿</t>
  </si>
  <si>
    <t>422626195411113333</t>
  </si>
  <si>
    <t>汤和茂</t>
  </si>
  <si>
    <t>422626194703093333</t>
  </si>
  <si>
    <t>唐和平</t>
  </si>
  <si>
    <t>422626196001033319</t>
  </si>
  <si>
    <t>汤官保</t>
  </si>
  <si>
    <t>42262619610303331X</t>
  </si>
  <si>
    <t>唐和荣</t>
  </si>
  <si>
    <t>422626195511243311</t>
  </si>
  <si>
    <t>420325198101093313</t>
  </si>
  <si>
    <t>高平</t>
  </si>
  <si>
    <t>420325197804253315</t>
  </si>
  <si>
    <t>程功坤</t>
  </si>
  <si>
    <t>422626195702275815</t>
  </si>
  <si>
    <t>龙滩</t>
  </si>
  <si>
    <t>杨道清</t>
  </si>
  <si>
    <t>422626195704133338</t>
  </si>
  <si>
    <t>黄明春</t>
  </si>
  <si>
    <t>420325198605133315</t>
  </si>
  <si>
    <t>422626197310193310</t>
  </si>
  <si>
    <t>林会国</t>
  </si>
  <si>
    <t>420325196911023318</t>
  </si>
  <si>
    <t>刘德兴</t>
  </si>
  <si>
    <t>422626195712203316</t>
  </si>
  <si>
    <t>王龙陆</t>
  </si>
  <si>
    <t>422626195006073337</t>
  </si>
  <si>
    <t>孟立虹</t>
  </si>
  <si>
    <t>420325197312173319</t>
  </si>
  <si>
    <t>李世春</t>
  </si>
  <si>
    <t>422626196103203315</t>
  </si>
  <si>
    <t>龙春波</t>
  </si>
  <si>
    <t>422626197601213318</t>
  </si>
  <si>
    <t>何艳</t>
  </si>
  <si>
    <t>420325198203243327</t>
  </si>
  <si>
    <t>龙春林</t>
  </si>
  <si>
    <t>422626195701053316</t>
  </si>
  <si>
    <t>李文科</t>
  </si>
  <si>
    <t>420325198811093318</t>
  </si>
  <si>
    <t>袁运楚</t>
  </si>
  <si>
    <t>422626197404203313</t>
  </si>
  <si>
    <t>向宗雕</t>
  </si>
  <si>
    <t>420325198702133317</t>
  </si>
  <si>
    <t>陆宝军</t>
  </si>
  <si>
    <t>422626197003053334</t>
  </si>
  <si>
    <t>向昌喜</t>
  </si>
  <si>
    <t>42262619480131331X</t>
  </si>
  <si>
    <t>张文斗</t>
  </si>
  <si>
    <t>422626194303153317</t>
  </si>
  <si>
    <t>储茂军</t>
  </si>
  <si>
    <t>420325198104303312</t>
  </si>
  <si>
    <t>陈光寿</t>
  </si>
  <si>
    <t>422626194810103314</t>
  </si>
  <si>
    <t>曾杰</t>
  </si>
  <si>
    <t>420325199409213312</t>
  </si>
  <si>
    <t>刘帮友</t>
  </si>
  <si>
    <t>422626195708063314</t>
  </si>
  <si>
    <t>余之东</t>
  </si>
  <si>
    <t>420325196412203319</t>
  </si>
  <si>
    <t>曹伍兵</t>
  </si>
  <si>
    <t>422626197302123312</t>
  </si>
  <si>
    <t>曹伍坤</t>
  </si>
  <si>
    <t>422626195511093317</t>
  </si>
  <si>
    <t>杨华</t>
  </si>
  <si>
    <t>422626197002143311</t>
  </si>
  <si>
    <t>曹伍奎</t>
  </si>
  <si>
    <t>422626196604193311</t>
  </si>
  <si>
    <t>杨大春</t>
  </si>
  <si>
    <t>422626196312093319</t>
  </si>
  <si>
    <t>饶仕红</t>
  </si>
  <si>
    <t>422626193702133319</t>
  </si>
  <si>
    <t>谢诗林</t>
  </si>
  <si>
    <t>422626197503113313</t>
  </si>
  <si>
    <t>丁卫仁</t>
  </si>
  <si>
    <t>420325196104243314</t>
  </si>
  <si>
    <t>明洪</t>
  </si>
  <si>
    <t>422626197501283335</t>
  </si>
  <si>
    <t>何敦权</t>
  </si>
  <si>
    <t>422626195303203315</t>
  </si>
  <si>
    <t>陈兴也</t>
  </si>
  <si>
    <t>422626196507283315</t>
  </si>
  <si>
    <t>陈洪喜</t>
  </si>
  <si>
    <t>422626194911153310</t>
  </si>
  <si>
    <t>任传民</t>
  </si>
  <si>
    <t>420325195607273318</t>
  </si>
  <si>
    <t>罗显星</t>
  </si>
  <si>
    <t>42262619750127331</t>
  </si>
  <si>
    <t>何伟</t>
  </si>
  <si>
    <t>420325198802043319</t>
  </si>
  <si>
    <t>罗显江</t>
  </si>
  <si>
    <t>422626196407193312</t>
  </si>
  <si>
    <t>骆顺兵</t>
  </si>
  <si>
    <t>422626197303063315</t>
  </si>
  <si>
    <t>胡明山</t>
  </si>
  <si>
    <t>422626196502203312</t>
  </si>
  <si>
    <t>袁样群</t>
  </si>
  <si>
    <t>422626196811273330</t>
  </si>
  <si>
    <t>李继承</t>
  </si>
  <si>
    <t>420325199607033312</t>
  </si>
  <si>
    <t>中坝</t>
  </si>
  <si>
    <t>王迪春</t>
  </si>
  <si>
    <t>422626196302123318</t>
  </si>
  <si>
    <t>刘哲军</t>
  </si>
  <si>
    <t>42262619710128331X</t>
  </si>
  <si>
    <t>何伦运</t>
  </si>
  <si>
    <t>422626197002233317</t>
  </si>
  <si>
    <t>422626197311173311</t>
  </si>
  <si>
    <t>卢光华</t>
  </si>
  <si>
    <t>422626197512173350</t>
  </si>
  <si>
    <t>孔祥军</t>
  </si>
  <si>
    <t>420325197305263316</t>
  </si>
  <si>
    <t>李刚</t>
  </si>
  <si>
    <t>422626198401283311</t>
  </si>
  <si>
    <t>李贤政</t>
  </si>
  <si>
    <t>422626195512113316</t>
  </si>
  <si>
    <t>董继芳</t>
  </si>
  <si>
    <t>422626197612093323</t>
  </si>
  <si>
    <t>王迪贵</t>
  </si>
  <si>
    <t>422626195502203318</t>
  </si>
  <si>
    <t>贺泽伦</t>
  </si>
  <si>
    <t>420325195908243315</t>
  </si>
  <si>
    <t>何理</t>
  </si>
  <si>
    <t>42262619700202331X</t>
  </si>
  <si>
    <t>天鹅</t>
  </si>
  <si>
    <t>周才荣</t>
  </si>
  <si>
    <t>422626196006093329</t>
  </si>
  <si>
    <t>朱兴平</t>
  </si>
  <si>
    <t>422626197502273315</t>
  </si>
  <si>
    <t>吴凤志</t>
  </si>
  <si>
    <t>422626197308023312</t>
  </si>
  <si>
    <t>宝石</t>
  </si>
  <si>
    <t>任家成</t>
  </si>
  <si>
    <t>422626196409113312</t>
  </si>
  <si>
    <t>谭少华</t>
  </si>
  <si>
    <t>420325194412053310</t>
  </si>
  <si>
    <t>王学义</t>
  </si>
  <si>
    <t>422626194909203315</t>
  </si>
  <si>
    <t>王业成</t>
  </si>
  <si>
    <t>420325198008243313</t>
  </si>
  <si>
    <t>郭伦成</t>
  </si>
  <si>
    <t>422626195401053330</t>
  </si>
  <si>
    <t>桂细海</t>
  </si>
  <si>
    <t>422626196606133312</t>
  </si>
  <si>
    <t>卢厚运</t>
  </si>
  <si>
    <t>420325195104233314</t>
  </si>
  <si>
    <t>王学厚</t>
  </si>
  <si>
    <t>422626195408303312</t>
  </si>
  <si>
    <t>许祥国</t>
  </si>
  <si>
    <t>422626194703163338</t>
  </si>
  <si>
    <t>郑先全</t>
  </si>
  <si>
    <t>422626195902093314</t>
  </si>
  <si>
    <t>杜长军</t>
  </si>
  <si>
    <t>420325198801173314</t>
  </si>
  <si>
    <t>张付春</t>
  </si>
  <si>
    <t>422626197102283338</t>
  </si>
  <si>
    <t>高永江</t>
  </si>
  <si>
    <t>422626196006063319</t>
  </si>
  <si>
    <t>华传国</t>
  </si>
  <si>
    <t>422626197704163317</t>
  </si>
  <si>
    <t>华传斌</t>
  </si>
  <si>
    <t>422626197310133318</t>
  </si>
  <si>
    <t>冉明清</t>
  </si>
  <si>
    <t>422626195204243311</t>
  </si>
  <si>
    <t>郑明波</t>
  </si>
  <si>
    <t>422626197205113315</t>
  </si>
  <si>
    <t>周光运</t>
  </si>
  <si>
    <t>422626195407253317</t>
  </si>
  <si>
    <t>谢登全</t>
  </si>
  <si>
    <t>42262619680117331X</t>
  </si>
  <si>
    <t>党家全</t>
  </si>
  <si>
    <t>420325197906093316</t>
  </si>
  <si>
    <t>康红德</t>
  </si>
  <si>
    <t>422626195412103313</t>
  </si>
  <si>
    <t>陈清虎</t>
  </si>
  <si>
    <t>420325197903113334</t>
  </si>
  <si>
    <t>王华友</t>
  </si>
  <si>
    <t>422626196904043315</t>
  </si>
  <si>
    <t>王华安</t>
  </si>
  <si>
    <t>422626195703193312</t>
  </si>
  <si>
    <t>王国清</t>
  </si>
  <si>
    <t>422626197303113335</t>
  </si>
  <si>
    <t>陈清国</t>
  </si>
  <si>
    <t>422626197402103319</t>
  </si>
  <si>
    <t>柯友田</t>
  </si>
  <si>
    <t>420325198011293311</t>
  </si>
  <si>
    <t>康红军</t>
  </si>
  <si>
    <t>422626197211303318</t>
  </si>
  <si>
    <t>刘成英</t>
  </si>
  <si>
    <t>420325197306013327</t>
  </si>
  <si>
    <t>高永胜</t>
  </si>
  <si>
    <t>422626195010143312</t>
  </si>
  <si>
    <t>高顺礼</t>
  </si>
  <si>
    <t>422626195901073311</t>
  </si>
  <si>
    <t>周一江</t>
  </si>
  <si>
    <t>422626196701153311</t>
  </si>
  <si>
    <t>黄大华</t>
  </si>
  <si>
    <t>422626197304133311</t>
  </si>
  <si>
    <t>杨庭财</t>
  </si>
  <si>
    <t>422626196209063314</t>
  </si>
  <si>
    <t>凃大兵</t>
  </si>
  <si>
    <t>422626196707153312</t>
  </si>
  <si>
    <t>胡良田</t>
  </si>
  <si>
    <t>42262619710208331X</t>
  </si>
  <si>
    <t>党文胜</t>
  </si>
  <si>
    <t>422626196508223314</t>
  </si>
  <si>
    <t>尹宪军</t>
  </si>
  <si>
    <t>420325198112043311</t>
  </si>
  <si>
    <t>党家春</t>
  </si>
  <si>
    <t>422626196504053311</t>
  </si>
  <si>
    <t>程功海</t>
  </si>
  <si>
    <t>422626196701053310</t>
  </si>
  <si>
    <t>刘正华</t>
  </si>
  <si>
    <t>422626197009063314</t>
  </si>
  <si>
    <t>郭金成</t>
  </si>
  <si>
    <t>420325198002013314</t>
  </si>
  <si>
    <t>薛强</t>
  </si>
  <si>
    <t>420325197812203318</t>
  </si>
  <si>
    <t>刘继华</t>
  </si>
  <si>
    <t>422626195607273312</t>
  </si>
  <si>
    <t>刘成宏</t>
  </si>
  <si>
    <t>422626195401233315</t>
  </si>
  <si>
    <t>高昌清</t>
  </si>
  <si>
    <t>422626195210313312</t>
  </si>
  <si>
    <t>胡荣高</t>
  </si>
  <si>
    <t>422626193810133316</t>
  </si>
  <si>
    <t>程贤林</t>
  </si>
  <si>
    <t>422626196303013356</t>
  </si>
  <si>
    <t>刘胜</t>
  </si>
  <si>
    <t>42032519931031333X</t>
  </si>
  <si>
    <t>闫兴成</t>
  </si>
  <si>
    <t>422626195706223310</t>
  </si>
  <si>
    <t>钟国明</t>
  </si>
  <si>
    <t>422626197710143339</t>
  </si>
  <si>
    <t>李继军</t>
  </si>
  <si>
    <t>422626197212063379</t>
  </si>
  <si>
    <t>郭兴军</t>
  </si>
  <si>
    <t>422626196806263314</t>
  </si>
  <si>
    <t>程功富</t>
  </si>
  <si>
    <t>422626193604073316</t>
  </si>
  <si>
    <t>刘峰</t>
  </si>
  <si>
    <t>42262619760114333X</t>
  </si>
  <si>
    <t>刘双</t>
  </si>
  <si>
    <t>42032519850525331X</t>
  </si>
  <si>
    <t>白从华</t>
  </si>
  <si>
    <t xml:space="preserve">422626195903123319 </t>
  </si>
  <si>
    <t xml:space="preserve">422626197011213318 </t>
  </si>
  <si>
    <t>李文章</t>
  </si>
  <si>
    <t xml:space="preserve">422626194703073316 </t>
  </si>
  <si>
    <t>柯贤军</t>
  </si>
  <si>
    <t xml:space="preserve">422626196712303311 </t>
  </si>
  <si>
    <t>邹世生</t>
  </si>
  <si>
    <t>422626195007173318</t>
  </si>
  <si>
    <t xml:space="preserve">程功国 </t>
  </si>
  <si>
    <t xml:space="preserve">420325197805253317 </t>
  </si>
  <si>
    <t xml:space="preserve">李保中 </t>
  </si>
  <si>
    <t xml:space="preserve">42262419690404581X </t>
  </si>
  <si>
    <t xml:space="preserve">郑轩 </t>
  </si>
  <si>
    <t xml:space="preserve">42032519840909331X </t>
  </si>
  <si>
    <t xml:space="preserve">马桂兴 </t>
  </si>
  <si>
    <t xml:space="preserve">422626197206143313 </t>
  </si>
  <si>
    <t xml:space="preserve">邹元勋 </t>
  </si>
  <si>
    <t xml:space="preserve">420325198405273313 </t>
  </si>
  <si>
    <t xml:space="preserve">饶龙军 </t>
  </si>
  <si>
    <t xml:space="preserve">422626197404293312 </t>
  </si>
  <si>
    <t>田兴平</t>
  </si>
  <si>
    <t xml:space="preserve">422626197308023320 </t>
  </si>
  <si>
    <t>李文海</t>
  </si>
  <si>
    <t xml:space="preserve">420325197802063374 </t>
  </si>
  <si>
    <t xml:space="preserve">刘昌明 </t>
  </si>
  <si>
    <t xml:space="preserve">422626196211223313 </t>
  </si>
  <si>
    <t xml:space="preserve">刘正明 </t>
  </si>
  <si>
    <t xml:space="preserve">422626196801203312 </t>
  </si>
  <si>
    <t>熊飞</t>
  </si>
  <si>
    <t xml:space="preserve">42032519840204331X </t>
  </si>
  <si>
    <t>陈恒</t>
  </si>
  <si>
    <t xml:space="preserve">420325197912183318 </t>
  </si>
  <si>
    <t>罗显华</t>
  </si>
  <si>
    <t>422626196702023316</t>
  </si>
  <si>
    <t>田自立</t>
  </si>
  <si>
    <t xml:space="preserve">422626194805053316 </t>
  </si>
  <si>
    <t>胡强伟</t>
  </si>
  <si>
    <t>420325198010253318</t>
  </si>
  <si>
    <t>程良奎</t>
  </si>
  <si>
    <t>422626196901303310</t>
  </si>
  <si>
    <t>何志清</t>
  </si>
  <si>
    <t>422626197102283311</t>
  </si>
  <si>
    <t>李波</t>
  </si>
  <si>
    <t>420325198408073317</t>
  </si>
  <si>
    <t>桂长全</t>
  </si>
  <si>
    <t>422626197512203310</t>
  </si>
  <si>
    <t>熊先龙</t>
  </si>
  <si>
    <t>420325197902073318</t>
  </si>
  <si>
    <t>明安付</t>
  </si>
  <si>
    <t>422626197010053316</t>
  </si>
  <si>
    <t>操入勤</t>
  </si>
  <si>
    <t>422626197304233312</t>
  </si>
  <si>
    <t>邓付林</t>
  </si>
  <si>
    <t>422626196810223331</t>
  </si>
  <si>
    <t>熊汉林</t>
  </si>
  <si>
    <t>420325198707033315</t>
  </si>
  <si>
    <t>陈良明</t>
  </si>
  <si>
    <t>420325196411223372</t>
  </si>
  <si>
    <t>陈良兵</t>
  </si>
  <si>
    <t>420325197002213311</t>
  </si>
  <si>
    <t>鄢遵涌</t>
  </si>
  <si>
    <t>422626196605273313</t>
  </si>
  <si>
    <t>刘宗兴</t>
  </si>
  <si>
    <t>422626196506113314</t>
  </si>
  <si>
    <t>422626197112303312</t>
  </si>
  <si>
    <t>明道江</t>
  </si>
  <si>
    <t>420325198711063314</t>
  </si>
  <si>
    <t>明安国</t>
  </si>
  <si>
    <t>422626196202053316</t>
  </si>
  <si>
    <t>何建军</t>
  </si>
  <si>
    <t>422626196904183334</t>
  </si>
  <si>
    <t>刘自清</t>
  </si>
  <si>
    <t>422626195712243318</t>
  </si>
  <si>
    <t>刘文全</t>
  </si>
  <si>
    <t>422626195312013310</t>
  </si>
  <si>
    <t>刘承明</t>
  </si>
  <si>
    <t>422626195605263313</t>
  </si>
  <si>
    <t>王方亮</t>
  </si>
  <si>
    <t>422626196202073317</t>
  </si>
  <si>
    <t>钟兴国</t>
  </si>
  <si>
    <t>422626195304223318</t>
  </si>
  <si>
    <t>鄢兴亮</t>
  </si>
  <si>
    <t>420325198810293318</t>
  </si>
  <si>
    <t>陈胜贵</t>
  </si>
  <si>
    <t>422626195709013319</t>
  </si>
  <si>
    <t>周秀清</t>
  </si>
  <si>
    <t>420325198004193312</t>
  </si>
  <si>
    <t>中坝小计</t>
  </si>
  <si>
    <t>上龛乡</t>
  </si>
  <si>
    <t>荆竹村</t>
  </si>
  <si>
    <t>邱  勇</t>
  </si>
  <si>
    <t>420325199110053676</t>
  </si>
  <si>
    <t>湖溪村</t>
  </si>
  <si>
    <t>包月文</t>
  </si>
  <si>
    <t>420325197312153633</t>
  </si>
  <si>
    <t>包月堂</t>
  </si>
  <si>
    <t>422626195103153616</t>
  </si>
  <si>
    <t>包中明</t>
  </si>
  <si>
    <t>42032519830806363X</t>
  </si>
  <si>
    <t>包月春</t>
  </si>
  <si>
    <t>422626195502203617</t>
  </si>
  <si>
    <t>包中来</t>
  </si>
  <si>
    <t>420325198405163659</t>
  </si>
  <si>
    <t>张运华</t>
  </si>
  <si>
    <t>420325196001273633</t>
  </si>
  <si>
    <t>黄龙村</t>
  </si>
  <si>
    <t>常秀英</t>
  </si>
  <si>
    <t>422626194907133624</t>
  </si>
  <si>
    <t>李文英</t>
  </si>
  <si>
    <t>422626194311063629</t>
  </si>
  <si>
    <t>夏友权</t>
  </si>
  <si>
    <t>422626194311263612</t>
  </si>
  <si>
    <t>段文海</t>
  </si>
  <si>
    <t>422626193112293611</t>
  </si>
  <si>
    <t>二荒村</t>
  </si>
  <si>
    <t>刘俊兵</t>
  </si>
  <si>
    <t>420325198205103678</t>
  </si>
  <si>
    <t>赵泽成</t>
  </si>
  <si>
    <t>李永双</t>
  </si>
  <si>
    <t>420325197302183628</t>
  </si>
  <si>
    <t>仓坪村</t>
  </si>
  <si>
    <t>龙孟清</t>
  </si>
  <si>
    <t>422626196502073618</t>
  </si>
  <si>
    <t>周友华</t>
  </si>
  <si>
    <t>422626197303273611</t>
  </si>
  <si>
    <t>陈洪殿</t>
  </si>
  <si>
    <t>422626197410093659</t>
  </si>
  <si>
    <t>左立文</t>
  </si>
  <si>
    <t>420325198209123617</t>
  </si>
  <si>
    <t>丁选平</t>
  </si>
  <si>
    <t>422626197111293618</t>
  </si>
  <si>
    <t>陈万宝</t>
  </si>
  <si>
    <t>422626197105053618</t>
  </si>
  <si>
    <t>吴明贵</t>
  </si>
  <si>
    <t>422626197310163613</t>
  </si>
  <si>
    <t>张波</t>
  </si>
  <si>
    <t>422626197211013636</t>
  </si>
  <si>
    <t>肖俊</t>
  </si>
  <si>
    <t>420325198601213633</t>
  </si>
  <si>
    <t>范家垭</t>
  </si>
  <si>
    <t>周永辉</t>
  </si>
  <si>
    <t>420325197204033618</t>
  </si>
  <si>
    <t>张辉署</t>
  </si>
  <si>
    <t>422626197204113612</t>
  </si>
  <si>
    <t>刘永贵</t>
  </si>
  <si>
    <t>422626195602013917</t>
  </si>
  <si>
    <t>马中国</t>
  </si>
  <si>
    <t>422626195804213618</t>
  </si>
  <si>
    <t>郭光友</t>
  </si>
  <si>
    <t>422626194708173615</t>
  </si>
  <si>
    <t>黄祥华</t>
  </si>
  <si>
    <t>422626197202173611</t>
  </si>
  <si>
    <t>叶 兵</t>
  </si>
  <si>
    <t>422626197506223622</t>
  </si>
  <si>
    <t>肖高平</t>
  </si>
  <si>
    <t>422626196601013610</t>
  </si>
  <si>
    <t>黄世凤</t>
  </si>
  <si>
    <t>422626195410063629</t>
  </si>
  <si>
    <t>何兵</t>
  </si>
  <si>
    <t>420325197803083617</t>
  </si>
  <si>
    <t>李国华</t>
  </si>
  <si>
    <t>422626196907233616</t>
  </si>
  <si>
    <t>许世荣</t>
  </si>
  <si>
    <t>422626196003103624</t>
  </si>
  <si>
    <t>姚苏蓉</t>
  </si>
  <si>
    <t>52212219851110042X</t>
  </si>
  <si>
    <t>上龛小计</t>
  </si>
  <si>
    <t>九道乡</t>
  </si>
  <si>
    <t>卸甲坪村二组</t>
  </si>
  <si>
    <t>吴成龙</t>
  </si>
  <si>
    <t>422626196907033913</t>
  </si>
  <si>
    <t>胡泽金</t>
  </si>
  <si>
    <t>422626196811123914</t>
  </si>
  <si>
    <t>卸甲坪村一组</t>
  </si>
  <si>
    <t>肖盛兵</t>
  </si>
  <si>
    <t>42032519760507391X</t>
  </si>
  <si>
    <t>姚斌</t>
  </si>
  <si>
    <t>420325197006123938</t>
  </si>
  <si>
    <t>张光华</t>
  </si>
  <si>
    <t>422626194209243914</t>
  </si>
  <si>
    <t>李良军</t>
  </si>
  <si>
    <t>420325197604173636</t>
  </si>
  <si>
    <t>杨远寿</t>
  </si>
  <si>
    <t>422626195207273911</t>
  </si>
  <si>
    <t>吴世华</t>
  </si>
  <si>
    <t>420325197305033916</t>
  </si>
  <si>
    <t>杨义奎</t>
  </si>
  <si>
    <t>420325197511143913</t>
  </si>
  <si>
    <t>朱德秀</t>
  </si>
  <si>
    <t>420325198708193919</t>
  </si>
  <si>
    <t>卸甲坪村三组</t>
  </si>
  <si>
    <t>王峰宁</t>
  </si>
  <si>
    <t>422626197910153910</t>
  </si>
  <si>
    <t>王峰明</t>
  </si>
  <si>
    <t>420325197504103913</t>
  </si>
  <si>
    <t>420325194602163991</t>
  </si>
  <si>
    <t>王树贵</t>
  </si>
  <si>
    <t>420325196804223939</t>
  </si>
  <si>
    <t>刘益和</t>
  </si>
  <si>
    <t>422626194103083916</t>
  </si>
  <si>
    <t>董申香</t>
  </si>
  <si>
    <t>422626194610043927</t>
  </si>
  <si>
    <t>刘真权</t>
  </si>
  <si>
    <t>422626194611093918</t>
  </si>
  <si>
    <t>宋龙钦</t>
  </si>
  <si>
    <t>422626197005023913</t>
  </si>
  <si>
    <t>李长炎</t>
  </si>
  <si>
    <t>422626196712163910</t>
  </si>
  <si>
    <t>李辉荣</t>
  </si>
  <si>
    <t>420325198210083915</t>
  </si>
  <si>
    <t>李长江</t>
  </si>
  <si>
    <t>422626195201133918</t>
  </si>
  <si>
    <t>刘祥举</t>
  </si>
  <si>
    <t>422626197201243913</t>
  </si>
  <si>
    <t>闻维忠</t>
  </si>
  <si>
    <t>422626196107303911</t>
  </si>
  <si>
    <t>杨远兵</t>
  </si>
  <si>
    <t>422626197111223919</t>
  </si>
  <si>
    <t>李永明</t>
  </si>
  <si>
    <t>422626197006253913</t>
  </si>
  <si>
    <t>李长松</t>
  </si>
  <si>
    <t>422626197105173919</t>
  </si>
  <si>
    <t>唐登友</t>
  </si>
  <si>
    <t>422626196208183912</t>
  </si>
  <si>
    <t>胡召权</t>
  </si>
  <si>
    <t>422626195608313910</t>
  </si>
  <si>
    <t>八里坡村一组</t>
  </si>
  <si>
    <t>田良付</t>
  </si>
  <si>
    <t>420325195707213910</t>
  </si>
  <si>
    <t>李立军</t>
  </si>
  <si>
    <t>422626197310163912</t>
  </si>
  <si>
    <t>向世全</t>
  </si>
  <si>
    <t>422626195707133915</t>
  </si>
  <si>
    <t>肖辉坤</t>
  </si>
  <si>
    <t>422626197211233911</t>
  </si>
  <si>
    <t>向永贵</t>
  </si>
  <si>
    <t>422626194001293939</t>
  </si>
  <si>
    <t>田良清</t>
  </si>
  <si>
    <t>422626197101253911</t>
  </si>
  <si>
    <t>王会三</t>
  </si>
  <si>
    <t>422626195007203935</t>
  </si>
  <si>
    <t>肖元会</t>
  </si>
  <si>
    <t>422626194903313919</t>
  </si>
  <si>
    <t>贾永伍</t>
  </si>
  <si>
    <t>422626195501063915</t>
  </si>
  <si>
    <t>代光兵</t>
  </si>
  <si>
    <t>420325197301313910</t>
  </si>
  <si>
    <t>八里坡村二组</t>
  </si>
  <si>
    <t>金厚明</t>
  </si>
  <si>
    <t>422626196203283914</t>
  </si>
  <si>
    <t>赵言才</t>
  </si>
  <si>
    <t>422626195406203916</t>
  </si>
  <si>
    <t>唐中孝</t>
  </si>
  <si>
    <t>422626194907113914</t>
  </si>
  <si>
    <t>刘俊春</t>
  </si>
  <si>
    <t>42262619680708393X</t>
  </si>
  <si>
    <t>夏永成</t>
  </si>
  <si>
    <t>42262619680428391X</t>
  </si>
  <si>
    <t>吴大聪</t>
  </si>
  <si>
    <t>422626196502053932</t>
  </si>
  <si>
    <t>贾德权</t>
  </si>
  <si>
    <t>420325198011223911</t>
  </si>
  <si>
    <t>何启华</t>
  </si>
  <si>
    <t>42262619700521391X</t>
  </si>
  <si>
    <t>夏国满</t>
  </si>
  <si>
    <t>422626196201143918</t>
  </si>
  <si>
    <t>张周华</t>
  </si>
  <si>
    <t>422626196809253912</t>
  </si>
  <si>
    <t>吴大海</t>
  </si>
  <si>
    <t>422626197104303910</t>
  </si>
  <si>
    <t>唐开裕</t>
  </si>
  <si>
    <t>422626196401313336</t>
  </si>
  <si>
    <t>韩开军</t>
  </si>
  <si>
    <t>422626196810153935</t>
  </si>
  <si>
    <t>刘进兵</t>
  </si>
  <si>
    <t>420325197304123936</t>
  </si>
  <si>
    <t>袁孝虎</t>
  </si>
  <si>
    <t>42032519751221391X</t>
  </si>
  <si>
    <t>杨书文</t>
  </si>
  <si>
    <t>422626197204083919</t>
  </si>
  <si>
    <t>蒋元福</t>
  </si>
  <si>
    <t>422626195406053938</t>
  </si>
  <si>
    <t>张厚英</t>
  </si>
  <si>
    <t>422626195102103924</t>
  </si>
  <si>
    <t>夏永乾</t>
  </si>
  <si>
    <t>422626196602023933</t>
  </si>
  <si>
    <t>贾永斌</t>
  </si>
  <si>
    <t>420325198603013934</t>
  </si>
  <si>
    <t>邹吉群</t>
  </si>
  <si>
    <t>422626196005243911</t>
  </si>
  <si>
    <t>蔡光荣</t>
  </si>
  <si>
    <t>422626194803043915</t>
  </si>
  <si>
    <t>田洪春</t>
  </si>
  <si>
    <t>42032519820901391X</t>
  </si>
  <si>
    <t>邹吉成</t>
  </si>
  <si>
    <t>422626195503263910</t>
  </si>
  <si>
    <t>徐德富</t>
  </si>
  <si>
    <t>420325195604153919</t>
  </si>
  <si>
    <t>陈贤华</t>
  </si>
  <si>
    <t>422626196509033950</t>
  </si>
  <si>
    <t>八里坡村三组</t>
  </si>
  <si>
    <t>吴光明</t>
  </si>
  <si>
    <t>422921196406103519</t>
  </si>
  <si>
    <t>严新才</t>
  </si>
  <si>
    <t>422626196602233914</t>
  </si>
  <si>
    <t>420325199010063914</t>
  </si>
  <si>
    <t>刘成芳</t>
  </si>
  <si>
    <t>420325199302033928</t>
  </si>
  <si>
    <t>万绍伦</t>
  </si>
  <si>
    <t>422626195003033916</t>
  </si>
  <si>
    <t>王理明</t>
  </si>
  <si>
    <t>512324194903027317</t>
  </si>
  <si>
    <t>万喜</t>
  </si>
  <si>
    <t>420325197812203916</t>
  </si>
  <si>
    <t>向世新</t>
  </si>
  <si>
    <t>422626193901313910</t>
  </si>
  <si>
    <t>王远春</t>
  </si>
  <si>
    <t>420325197205153910</t>
  </si>
  <si>
    <t>韩克亮</t>
  </si>
  <si>
    <t>422626195910143916</t>
  </si>
  <si>
    <t>金厚成</t>
  </si>
  <si>
    <t>422626194402253911</t>
  </si>
  <si>
    <t>李坤</t>
  </si>
  <si>
    <t>420325198010013955</t>
  </si>
  <si>
    <t>黄定春</t>
  </si>
  <si>
    <t>42032519800118391X</t>
  </si>
  <si>
    <t>姚卫平</t>
  </si>
  <si>
    <t>422626196404133912</t>
  </si>
  <si>
    <t>廖大华</t>
  </si>
  <si>
    <t>42262619370227391X</t>
  </si>
  <si>
    <t>郑文光</t>
  </si>
  <si>
    <t>42262619560418391X</t>
  </si>
  <si>
    <t>黎胜龙</t>
  </si>
  <si>
    <t>420325196712153937</t>
  </si>
  <si>
    <t>敖阳贵</t>
  </si>
  <si>
    <t>422626196006283915</t>
  </si>
  <si>
    <t>贾德春</t>
  </si>
  <si>
    <t>422626196206243918</t>
  </si>
  <si>
    <t>赵大刚</t>
  </si>
  <si>
    <t>420325198501123913</t>
  </si>
  <si>
    <t>王德新</t>
  </si>
  <si>
    <t>422626195804063912</t>
  </si>
  <si>
    <t>唐仁权</t>
  </si>
  <si>
    <t>422626196812203932</t>
  </si>
  <si>
    <t>周玉堂</t>
  </si>
  <si>
    <t>420325197806103935</t>
  </si>
  <si>
    <t>夏国堂</t>
  </si>
  <si>
    <t>422626195401153956</t>
  </si>
  <si>
    <t>刘贤友</t>
  </si>
  <si>
    <t>420325194903093915</t>
  </si>
  <si>
    <t>吴义英</t>
  </si>
  <si>
    <t>422626196803143923</t>
  </si>
  <si>
    <t>向全斌</t>
  </si>
  <si>
    <t>422626197007113912</t>
  </si>
  <si>
    <t>马畔志</t>
  </si>
  <si>
    <t>42032519770414391X</t>
  </si>
  <si>
    <t>何开伦</t>
  </si>
  <si>
    <t>422626193808143937</t>
  </si>
  <si>
    <t>韩平</t>
  </si>
  <si>
    <t>420325197612303912</t>
  </si>
  <si>
    <t>向世军</t>
  </si>
  <si>
    <t>42626197007113912</t>
  </si>
  <si>
    <t>咸池沟村一组</t>
  </si>
  <si>
    <t>胡昌金</t>
  </si>
  <si>
    <t>422626195211033910</t>
  </si>
  <si>
    <t>贾永怀</t>
  </si>
  <si>
    <t>422626193907183918</t>
  </si>
  <si>
    <t>晏大华</t>
  </si>
  <si>
    <t>422626197102143917</t>
  </si>
  <si>
    <t>卢学春</t>
  </si>
  <si>
    <t>422626193602253911</t>
  </si>
  <si>
    <t>许大春</t>
  </si>
  <si>
    <t>422626195901043913</t>
  </si>
  <si>
    <t>晏大明</t>
  </si>
  <si>
    <t>420325195806183913</t>
  </si>
  <si>
    <t>姜光华</t>
  </si>
  <si>
    <t>42262619551108391X</t>
  </si>
  <si>
    <t>伍义超</t>
  </si>
  <si>
    <t>422626194606243934</t>
  </si>
  <si>
    <t>童玉香</t>
  </si>
  <si>
    <t>422626197204163943</t>
  </si>
  <si>
    <t>张明贵</t>
  </si>
  <si>
    <t>422626195512293919</t>
  </si>
  <si>
    <t>吴应明</t>
  </si>
  <si>
    <t>422626195606233917</t>
  </si>
  <si>
    <t>王德荣</t>
  </si>
  <si>
    <t>422626193506253938</t>
  </si>
  <si>
    <t>李玉翠</t>
  </si>
  <si>
    <t>422626194702113929</t>
  </si>
  <si>
    <t>李启水</t>
  </si>
  <si>
    <t>422626196704163910</t>
  </si>
  <si>
    <t>谭开如</t>
  </si>
  <si>
    <t>422626195210273955</t>
  </si>
  <si>
    <t>孙明翠</t>
  </si>
  <si>
    <t>422626195403203929</t>
  </si>
  <si>
    <t>杨平</t>
  </si>
  <si>
    <t>420325198501133951</t>
  </si>
  <si>
    <t>贾远山</t>
  </si>
  <si>
    <t>422626196712233931</t>
  </si>
  <si>
    <t>黄炳权</t>
  </si>
  <si>
    <t>42032519770307393X</t>
  </si>
  <si>
    <t>胡留兵</t>
  </si>
  <si>
    <t>422626196802173936</t>
  </si>
  <si>
    <t>黄万一</t>
  </si>
  <si>
    <t>422626196312193918</t>
  </si>
  <si>
    <t>肖光富</t>
  </si>
  <si>
    <t>422626196606063916</t>
  </si>
  <si>
    <t>肖光琼</t>
  </si>
  <si>
    <t>420325197304053931</t>
  </si>
  <si>
    <t>谭明义</t>
  </si>
  <si>
    <t>422626195301263955</t>
  </si>
  <si>
    <t>李永东</t>
  </si>
  <si>
    <t>42262619660208391x</t>
  </si>
  <si>
    <t>冉从芝</t>
  </si>
  <si>
    <t>422626194506163910</t>
  </si>
  <si>
    <t>韩开喜</t>
  </si>
  <si>
    <t>422626195608183917</t>
  </si>
  <si>
    <t>高金先</t>
  </si>
  <si>
    <t>422626196711233913</t>
  </si>
  <si>
    <t>张传江</t>
  </si>
  <si>
    <t>422626196812203916</t>
  </si>
  <si>
    <t>肖文忠</t>
  </si>
  <si>
    <t>422626196811273912</t>
  </si>
  <si>
    <t>张再云</t>
  </si>
  <si>
    <t>420325198310213916</t>
  </si>
  <si>
    <t>晏大贵</t>
  </si>
  <si>
    <t>42032519790409397x</t>
  </si>
  <si>
    <t>吴明亮</t>
  </si>
  <si>
    <t>422626196901203918</t>
  </si>
  <si>
    <t>陈和华</t>
  </si>
  <si>
    <t>422626197008213931</t>
  </si>
  <si>
    <t>黄文</t>
  </si>
  <si>
    <t>422626197202273911</t>
  </si>
  <si>
    <t>田仕云</t>
  </si>
  <si>
    <t>422626194501123936</t>
  </si>
  <si>
    <t>田吉文</t>
  </si>
  <si>
    <t>420325195309133990</t>
  </si>
  <si>
    <t>王厚满</t>
  </si>
  <si>
    <t>420325197403313911</t>
  </si>
  <si>
    <t>贾继权</t>
  </si>
  <si>
    <t>420325197404253930</t>
  </si>
  <si>
    <t>谭天信</t>
  </si>
  <si>
    <t>422626193512083939</t>
  </si>
  <si>
    <t>咸池沟村二组</t>
  </si>
  <si>
    <t>曾德奎</t>
  </si>
  <si>
    <t>422626196204083914</t>
  </si>
  <si>
    <t>王自国</t>
  </si>
  <si>
    <t>422626196609103936</t>
  </si>
  <si>
    <t>刘召军</t>
  </si>
  <si>
    <t>422626196610103933</t>
  </si>
  <si>
    <t>刘道全</t>
  </si>
  <si>
    <t>420325195807073919</t>
  </si>
  <si>
    <t>陈继国</t>
  </si>
  <si>
    <t>422626195502193914</t>
  </si>
  <si>
    <t>曾玉连</t>
  </si>
  <si>
    <t>420325195709193925</t>
  </si>
  <si>
    <t>徐克双</t>
  </si>
  <si>
    <t>420325197906163935</t>
  </si>
  <si>
    <t>姚卫军</t>
  </si>
  <si>
    <t>420325198308023910</t>
  </si>
  <si>
    <t>潘贵明</t>
  </si>
  <si>
    <t>422626196512093911</t>
  </si>
  <si>
    <t>郭普荣</t>
  </si>
  <si>
    <t>422626197007053948</t>
  </si>
  <si>
    <t>曾高友</t>
  </si>
  <si>
    <t>422626196811103956</t>
  </si>
  <si>
    <t>杜传翠</t>
  </si>
  <si>
    <t>422626195205283948</t>
  </si>
  <si>
    <t>童约成</t>
  </si>
  <si>
    <t>422626196309163910</t>
  </si>
  <si>
    <t>刘召</t>
  </si>
  <si>
    <t>422626197202283917</t>
  </si>
  <si>
    <t>王正东</t>
  </si>
  <si>
    <t>420325197905013935</t>
  </si>
  <si>
    <t>刘培喜</t>
  </si>
  <si>
    <t>422626194901103918</t>
  </si>
  <si>
    <t>曾雨建</t>
  </si>
  <si>
    <t>422626196409233912</t>
  </si>
  <si>
    <t>张启付</t>
  </si>
  <si>
    <t>420325197810283916</t>
  </si>
  <si>
    <t>咸池沟村三组</t>
  </si>
  <si>
    <t>陈文孝</t>
  </si>
  <si>
    <t>422626195609163918</t>
  </si>
  <si>
    <t>张学汉</t>
  </si>
  <si>
    <t>422626193111133915</t>
  </si>
  <si>
    <t>谢从合</t>
  </si>
  <si>
    <t>420325193001273912</t>
  </si>
  <si>
    <t>谢守保</t>
  </si>
  <si>
    <t>420325195002143916</t>
  </si>
  <si>
    <t>赵长菊</t>
  </si>
  <si>
    <t>420325194908053920</t>
  </si>
  <si>
    <t>胡序入</t>
  </si>
  <si>
    <t>422626194211143912</t>
  </si>
  <si>
    <t>陈传芝</t>
  </si>
  <si>
    <t>422626195007263946</t>
  </si>
  <si>
    <t>孙家权</t>
  </si>
  <si>
    <t>420325197607143918</t>
  </si>
  <si>
    <t>马畔富</t>
  </si>
  <si>
    <t>420325197003113910</t>
  </si>
  <si>
    <t>胡序榜</t>
  </si>
  <si>
    <t>422626197103073914</t>
  </si>
  <si>
    <t>陈绪华</t>
  </si>
  <si>
    <t>420325197009163919</t>
  </si>
  <si>
    <t>胡召胜</t>
  </si>
  <si>
    <t>420325198103113939</t>
  </si>
  <si>
    <t>贾斌</t>
  </si>
  <si>
    <t>420325198101193912</t>
  </si>
  <si>
    <t>胡召宝</t>
  </si>
  <si>
    <t>422626196112153911</t>
  </si>
  <si>
    <t>张宗树</t>
  </si>
  <si>
    <t>420325197803213936</t>
  </si>
  <si>
    <t>谭天兵</t>
  </si>
  <si>
    <t>42032519780502395X</t>
  </si>
  <si>
    <t>咸池沟村四组</t>
  </si>
  <si>
    <t>李清元</t>
  </si>
  <si>
    <t>422626196805143919</t>
  </si>
  <si>
    <t>周敬德</t>
  </si>
  <si>
    <t>422626196701163915</t>
  </si>
  <si>
    <t>唐远福</t>
  </si>
  <si>
    <t>422626194111173911</t>
  </si>
  <si>
    <t>周恩坤</t>
  </si>
  <si>
    <t>422626197306053956</t>
  </si>
  <si>
    <t>向子兰</t>
  </si>
  <si>
    <t>422626194508083930</t>
  </si>
  <si>
    <t>韩明坤</t>
  </si>
  <si>
    <t>422626194803223932</t>
  </si>
  <si>
    <t>张启才</t>
  </si>
  <si>
    <t>420325194401053972</t>
  </si>
  <si>
    <t>黎胜金</t>
  </si>
  <si>
    <t>42262619531019391X</t>
  </si>
  <si>
    <t>王瑞九</t>
  </si>
  <si>
    <t>422626195103173916</t>
  </si>
  <si>
    <t>谢守雨</t>
  </si>
  <si>
    <t>420325197811153910</t>
  </si>
  <si>
    <t>刘学虎</t>
  </si>
  <si>
    <t>420325198203123974</t>
  </si>
  <si>
    <t>张德成</t>
  </si>
  <si>
    <t>42262619620329391X</t>
  </si>
  <si>
    <t>吕家国</t>
  </si>
  <si>
    <t>422626197512103918</t>
  </si>
  <si>
    <t>左自华</t>
  </si>
  <si>
    <t>422626197301083910</t>
  </si>
  <si>
    <t>周长礼</t>
  </si>
  <si>
    <t>422626195711223956</t>
  </si>
  <si>
    <t>罗先才</t>
  </si>
  <si>
    <t>422626195007033913</t>
  </si>
  <si>
    <t>王继平</t>
  </si>
  <si>
    <t>420325197401063912</t>
  </si>
  <si>
    <t>谢先柱</t>
  </si>
  <si>
    <t>420325197805203918</t>
  </si>
  <si>
    <t>周恩兵</t>
  </si>
  <si>
    <t>422626197604033910</t>
  </si>
  <si>
    <t>向世平</t>
  </si>
  <si>
    <t>420325198203243917</t>
  </si>
  <si>
    <t>张道论</t>
  </si>
  <si>
    <t>422626196501213914</t>
  </si>
  <si>
    <t>朱洪华</t>
  </si>
  <si>
    <t>420325196411193919</t>
  </si>
  <si>
    <t>罗立财</t>
  </si>
  <si>
    <t>422626196304283913</t>
  </si>
  <si>
    <t>谭开智</t>
  </si>
  <si>
    <t>420325196208053910</t>
  </si>
  <si>
    <t>刘召坤</t>
  </si>
  <si>
    <t>420325197702053937</t>
  </si>
  <si>
    <t>肖付艳</t>
  </si>
  <si>
    <t>420325199002263940</t>
  </si>
  <si>
    <t>谭勇</t>
  </si>
  <si>
    <t>沈发国</t>
  </si>
  <si>
    <t>420325197706023938</t>
  </si>
  <si>
    <t>赵仕兵</t>
  </si>
  <si>
    <t>420325197802213934</t>
  </si>
  <si>
    <t>关坪村一组</t>
  </si>
  <si>
    <t>黎炎召</t>
  </si>
  <si>
    <t>420325200807163918</t>
  </si>
  <si>
    <t>肖光兰</t>
  </si>
  <si>
    <t>422626195205303937</t>
  </si>
  <si>
    <t>钟昌德</t>
  </si>
  <si>
    <t>420325196603173912</t>
  </si>
  <si>
    <t>关坪村二组</t>
  </si>
  <si>
    <t>李寿芝</t>
  </si>
  <si>
    <t>422626193703253910</t>
  </si>
  <si>
    <t>鄢敦翠</t>
  </si>
  <si>
    <t>422626195211293923</t>
  </si>
  <si>
    <t>关坪村三组</t>
  </si>
  <si>
    <t>席从超</t>
  </si>
  <si>
    <t>420325199012193915</t>
  </si>
  <si>
    <t>田大喜</t>
  </si>
  <si>
    <t>422326195511113920</t>
  </si>
  <si>
    <t>卢德友</t>
  </si>
  <si>
    <t>422626196511263915</t>
  </si>
  <si>
    <t>关坪村四组</t>
  </si>
  <si>
    <t>刘家仁</t>
  </si>
  <si>
    <t>422626194811183918</t>
  </si>
  <si>
    <t>何世翠</t>
  </si>
  <si>
    <t>422626196709063986</t>
  </si>
  <si>
    <t>闻家胜</t>
  </si>
  <si>
    <t>422626196003033910</t>
  </si>
  <si>
    <t>关坪村五组</t>
  </si>
  <si>
    <t>刘家垒</t>
  </si>
  <si>
    <t>422626196603063953</t>
  </si>
  <si>
    <t>陈远旭</t>
  </si>
  <si>
    <t>42262619720311391X</t>
  </si>
  <si>
    <t>周地迁</t>
  </si>
  <si>
    <t>422626197111033912</t>
  </si>
  <si>
    <t>韩清付</t>
  </si>
  <si>
    <t>422626196610263910</t>
  </si>
  <si>
    <t>闵利举</t>
  </si>
  <si>
    <t>422626195111033913</t>
  </si>
  <si>
    <t>舒吉香</t>
  </si>
  <si>
    <t>422626195801263927</t>
  </si>
  <si>
    <t>彭桂林</t>
  </si>
  <si>
    <t>420325198108293932</t>
  </si>
  <si>
    <t>曾高双</t>
  </si>
  <si>
    <t>422626196103133914</t>
  </si>
  <si>
    <t>刘兴波</t>
  </si>
  <si>
    <t>420325197811123914</t>
  </si>
  <si>
    <t>崔德举</t>
  </si>
  <si>
    <t>422626193811233917</t>
  </si>
  <si>
    <t>吴文清</t>
  </si>
  <si>
    <t>422626192912033936</t>
  </si>
  <si>
    <t>吴光学</t>
  </si>
  <si>
    <t>422626196708203916</t>
  </si>
  <si>
    <t>李玉章</t>
  </si>
  <si>
    <t>422626195103083910</t>
  </si>
  <si>
    <t>童章春</t>
  </si>
  <si>
    <t>422626195009063913</t>
  </si>
  <si>
    <t>许志雄</t>
  </si>
  <si>
    <t>42262619701118393X</t>
  </si>
  <si>
    <t>朱云书</t>
  </si>
  <si>
    <t>422626196303033939</t>
  </si>
  <si>
    <t>王绪山</t>
  </si>
  <si>
    <t>422626196602123918</t>
  </si>
  <si>
    <t>邓耀成</t>
  </si>
  <si>
    <t>422626197401243918</t>
  </si>
  <si>
    <t>王绪刚</t>
  </si>
  <si>
    <t>42262619560813391X</t>
  </si>
  <si>
    <t>明平柱</t>
  </si>
  <si>
    <t>422626196810073935</t>
  </si>
  <si>
    <t>义渡坪村一组</t>
  </si>
  <si>
    <t>刘启国</t>
  </si>
  <si>
    <t>42032519870217395X</t>
  </si>
  <si>
    <t>刘友高</t>
  </si>
  <si>
    <t>420325198410083936</t>
  </si>
  <si>
    <t>梅仕平</t>
  </si>
  <si>
    <t>420325197610093915</t>
  </si>
  <si>
    <t>义渡坪村二组</t>
  </si>
  <si>
    <t>陈常保</t>
  </si>
  <si>
    <t>420325196306213914</t>
  </si>
  <si>
    <t>全必喜</t>
  </si>
  <si>
    <t>422626196106043919</t>
  </si>
  <si>
    <t>刘云山</t>
  </si>
  <si>
    <t>422626194707013919</t>
  </si>
  <si>
    <t>全必先</t>
  </si>
  <si>
    <t>422626193708133918</t>
  </si>
  <si>
    <t>张尔龙</t>
  </si>
  <si>
    <t>420325195807033917</t>
  </si>
  <si>
    <t>张作铭</t>
  </si>
  <si>
    <t>420325198108303918</t>
  </si>
  <si>
    <t>陈茂林</t>
  </si>
  <si>
    <t>422626194305243914</t>
  </si>
  <si>
    <t>姚大武</t>
  </si>
  <si>
    <t>42262619661227391X</t>
  </si>
  <si>
    <t>义渡坪村四组</t>
  </si>
  <si>
    <t>丁吉鹏</t>
  </si>
  <si>
    <t>420325198307123936</t>
  </si>
  <si>
    <t>义渡坪村三组</t>
  </si>
  <si>
    <t>刘清文</t>
  </si>
  <si>
    <t>422626196310113910</t>
  </si>
  <si>
    <t>九道梁村二组</t>
  </si>
  <si>
    <t>尤维华</t>
  </si>
  <si>
    <t>422626197210163915</t>
  </si>
  <si>
    <t>九道梁村三组</t>
  </si>
  <si>
    <t>丁卫刚</t>
  </si>
  <si>
    <t>422626196403153911</t>
  </si>
  <si>
    <t>叶文山</t>
  </si>
  <si>
    <t>422626195310293910</t>
  </si>
  <si>
    <t>陈应坤</t>
  </si>
  <si>
    <t>422626197006133911</t>
  </si>
  <si>
    <t>计良全</t>
  </si>
  <si>
    <t>422626195605213914</t>
  </si>
  <si>
    <t>九道梁村一组</t>
  </si>
  <si>
    <t>姜万付</t>
  </si>
  <si>
    <t>422626195405123914</t>
  </si>
  <si>
    <t>张丙龙</t>
  </si>
  <si>
    <t>420325198011173918</t>
  </si>
  <si>
    <t>邓忠义</t>
  </si>
  <si>
    <t>422626195502013936</t>
  </si>
  <si>
    <t>九道梁村四组</t>
  </si>
  <si>
    <t>陈义平</t>
  </si>
  <si>
    <t>420325198012123920</t>
  </si>
  <si>
    <t>黎远清</t>
  </si>
  <si>
    <t>422626196901023917</t>
  </si>
  <si>
    <t>九道梁村四</t>
  </si>
  <si>
    <t>夏国清</t>
  </si>
  <si>
    <t>422626194901263911</t>
  </si>
  <si>
    <t>计良付</t>
  </si>
  <si>
    <t>422626194802053919</t>
  </si>
  <si>
    <t>刘孝权</t>
  </si>
  <si>
    <t>422626195402043919</t>
  </si>
  <si>
    <t>贾继坤</t>
  </si>
  <si>
    <t>422626195904183911</t>
  </si>
  <si>
    <t>刘永松</t>
  </si>
  <si>
    <t>422626196201293916</t>
  </si>
  <si>
    <t>陈代友</t>
  </si>
  <si>
    <t>422626196710153911</t>
  </si>
  <si>
    <t>程叶华</t>
  </si>
  <si>
    <t>422626193911233914</t>
  </si>
  <si>
    <t>唐仁锡</t>
  </si>
  <si>
    <t>422626196404033911</t>
  </si>
  <si>
    <t>计良玉</t>
  </si>
  <si>
    <t>422626195311203913</t>
  </si>
  <si>
    <t>张玉兵</t>
  </si>
  <si>
    <t>422626195409243913</t>
  </si>
  <si>
    <t>丁卫松</t>
  </si>
  <si>
    <t>422626195808253916</t>
  </si>
  <si>
    <t>李发国</t>
  </si>
  <si>
    <t>422626197504173916</t>
  </si>
  <si>
    <t>庙世洪</t>
  </si>
  <si>
    <t>420325198408253916</t>
  </si>
  <si>
    <t>朱以均</t>
  </si>
  <si>
    <t>422626195210293913</t>
  </si>
  <si>
    <t>郑昌平</t>
  </si>
  <si>
    <t>420325197210053914</t>
  </si>
  <si>
    <t>唐文波</t>
  </si>
  <si>
    <t>422626193303173911</t>
  </si>
  <si>
    <t>刘文艮</t>
  </si>
  <si>
    <t>422626196209103910</t>
  </si>
  <si>
    <t>张道满</t>
  </si>
  <si>
    <t>422626195611253912</t>
  </si>
  <si>
    <t>柳安全</t>
  </si>
  <si>
    <t>42032519630411391X</t>
  </si>
  <si>
    <t>黄伦海</t>
  </si>
  <si>
    <t>422626197311283916</t>
  </si>
  <si>
    <t>陈方才</t>
  </si>
  <si>
    <t>422626197212223918</t>
  </si>
  <si>
    <t>马正礼</t>
  </si>
  <si>
    <t>422626193912023919</t>
  </si>
  <si>
    <t>邓孝兵</t>
  </si>
  <si>
    <t>422626196703223918</t>
  </si>
  <si>
    <t>祝玉生</t>
  </si>
  <si>
    <t>422626196310243918</t>
  </si>
  <si>
    <t>何召文</t>
  </si>
  <si>
    <t>422626195508213912</t>
  </si>
  <si>
    <t>程叶云</t>
  </si>
  <si>
    <t>420325197707093911</t>
  </si>
  <si>
    <t>陈尚国</t>
  </si>
  <si>
    <t>420325197404263936</t>
  </si>
  <si>
    <t>文兴权</t>
  </si>
  <si>
    <t>422626196212163914</t>
  </si>
  <si>
    <t>袁孝举</t>
  </si>
  <si>
    <t>422626196107033915</t>
  </si>
  <si>
    <t>吴光满</t>
  </si>
  <si>
    <t>422626195910273913</t>
  </si>
  <si>
    <t>代光荣</t>
  </si>
  <si>
    <t>422626196404103916</t>
  </si>
  <si>
    <t>李吉军</t>
  </si>
  <si>
    <t>422626194802033918</t>
  </si>
  <si>
    <t>谭远清</t>
  </si>
  <si>
    <t>422626195606033915</t>
  </si>
  <si>
    <t>贾学兴</t>
  </si>
  <si>
    <t>422626194807143913</t>
  </si>
  <si>
    <t>蒯永学</t>
  </si>
  <si>
    <t>42262619601101391X</t>
  </si>
  <si>
    <t>陈杰祥</t>
  </si>
  <si>
    <t>422626195606223911</t>
  </si>
  <si>
    <t>徐在成</t>
  </si>
  <si>
    <t>42262619481103391X</t>
  </si>
  <si>
    <t>王合均</t>
  </si>
  <si>
    <t>422626195605273933</t>
  </si>
  <si>
    <t>王加伦</t>
  </si>
  <si>
    <t>422626196912303914</t>
  </si>
  <si>
    <t>汪禹</t>
  </si>
  <si>
    <t>420325197504123914</t>
  </si>
  <si>
    <t>田远华</t>
  </si>
  <si>
    <t>422626196403253939</t>
  </si>
  <si>
    <t>贾德财</t>
  </si>
  <si>
    <t>420325196203023915</t>
  </si>
  <si>
    <t>丁卫宝</t>
  </si>
  <si>
    <t>420325198903053946</t>
  </si>
  <si>
    <t>狄习香</t>
  </si>
  <si>
    <t>422626194612303921</t>
  </si>
  <si>
    <t>贺会春</t>
  </si>
  <si>
    <t>422626196211113915</t>
  </si>
  <si>
    <t>龚正元</t>
  </si>
  <si>
    <t>422626195104203945</t>
  </si>
  <si>
    <t>王正松</t>
  </si>
  <si>
    <t>422626196305073918</t>
  </si>
  <si>
    <t>覃仕林</t>
  </si>
  <si>
    <t>422626197404183914</t>
  </si>
  <si>
    <t>覃仕聪</t>
  </si>
  <si>
    <t>422626196904223914</t>
  </si>
  <si>
    <t>计成仁</t>
  </si>
  <si>
    <t>422626196805103917</t>
  </si>
  <si>
    <t>刘文金</t>
  </si>
  <si>
    <t>422626194805073915</t>
  </si>
  <si>
    <t>贺宗贵</t>
  </si>
  <si>
    <t>422626197002253916</t>
  </si>
  <si>
    <t>唐仁海</t>
  </si>
  <si>
    <t>420325198102033910</t>
  </si>
  <si>
    <t>唐伟</t>
  </si>
  <si>
    <t>420325198308213917</t>
  </si>
  <si>
    <t>唐开华</t>
  </si>
  <si>
    <t>42262195407073914</t>
  </si>
  <si>
    <t>陈正伍</t>
  </si>
  <si>
    <t>42032519410223399X</t>
  </si>
  <si>
    <t>陈大风</t>
  </si>
  <si>
    <t>422626193403143912</t>
  </si>
  <si>
    <t>肖涛奎</t>
  </si>
  <si>
    <t>420325198406043915</t>
  </si>
  <si>
    <t>李宗政</t>
  </si>
  <si>
    <t>422626195407223919</t>
  </si>
  <si>
    <t>刘世才</t>
  </si>
  <si>
    <t>422626195701233931</t>
  </si>
  <si>
    <t>李发东</t>
  </si>
  <si>
    <t>420325196405173938</t>
  </si>
  <si>
    <t>李瑞明</t>
  </si>
  <si>
    <t>422626195911303918</t>
  </si>
  <si>
    <t>易兴亮</t>
  </si>
  <si>
    <t>422626193312133911</t>
  </si>
  <si>
    <t>马正亮</t>
  </si>
  <si>
    <t>422626195202033919</t>
  </si>
  <si>
    <t>李发兴</t>
  </si>
  <si>
    <t>420325197602083936</t>
  </si>
  <si>
    <t>李宗宝</t>
  </si>
  <si>
    <t>422626196607163919</t>
  </si>
  <si>
    <t>邓孝庭</t>
  </si>
  <si>
    <t>422626195306243910</t>
  </si>
  <si>
    <t xml:space="preserve">许立清 </t>
  </si>
  <si>
    <t>420325198711083913</t>
  </si>
  <si>
    <t>肖友国</t>
  </si>
  <si>
    <t>422626196307023914</t>
  </si>
  <si>
    <t>陈宗山</t>
  </si>
  <si>
    <t>422626197207033917</t>
  </si>
  <si>
    <t>潘世华</t>
  </si>
  <si>
    <t>422626195805203913</t>
  </si>
  <si>
    <t>邓孝国</t>
  </si>
  <si>
    <t>422626196810073919</t>
  </si>
  <si>
    <t>王帮华</t>
  </si>
  <si>
    <t>422626193906013913</t>
  </si>
  <si>
    <t>陈友兰</t>
  </si>
  <si>
    <t>420323196002017567</t>
  </si>
  <si>
    <t>夏朝定</t>
  </si>
  <si>
    <t>420325196804113916</t>
  </si>
  <si>
    <t>夏朝军</t>
  </si>
  <si>
    <t>420325197803123914</t>
  </si>
  <si>
    <t>李红娟</t>
  </si>
  <si>
    <t>420325198402283962</t>
  </si>
  <si>
    <t>刘文山</t>
  </si>
  <si>
    <t>42262619690327391X</t>
  </si>
  <si>
    <t>杨顺国</t>
  </si>
  <si>
    <t>420325197604103937</t>
  </si>
  <si>
    <t>卢中印</t>
  </si>
  <si>
    <t>422626196110103910</t>
  </si>
  <si>
    <t>卢成华</t>
  </si>
  <si>
    <t>420325197710203931</t>
  </si>
  <si>
    <t>陈正翠</t>
  </si>
  <si>
    <t>422626194607033920</t>
  </si>
  <si>
    <t>何正香</t>
  </si>
  <si>
    <t>42262619630125392X</t>
  </si>
  <si>
    <t>赵振龙</t>
  </si>
  <si>
    <t>420325197505043916</t>
  </si>
  <si>
    <t>祝金文</t>
  </si>
  <si>
    <t>42262619460708391X</t>
  </si>
  <si>
    <t>丁   维</t>
  </si>
  <si>
    <t>420325197504063915</t>
  </si>
  <si>
    <t>彭泽辉</t>
  </si>
  <si>
    <t>420325197612143912</t>
  </si>
  <si>
    <t>杨开华</t>
  </si>
  <si>
    <t>422626197203233911</t>
  </si>
  <si>
    <t>陈义强</t>
  </si>
  <si>
    <t>422626197502243917</t>
  </si>
  <si>
    <t>田大财</t>
  </si>
  <si>
    <t>422626195307203937</t>
  </si>
  <si>
    <t>明平贵</t>
  </si>
  <si>
    <t>422626195504063910</t>
  </si>
  <si>
    <t>彭良喜</t>
  </si>
  <si>
    <t>422626195011143912</t>
  </si>
  <si>
    <t>陈玉东</t>
  </si>
  <si>
    <t>422626196202563910</t>
  </si>
  <si>
    <t>陈绍权</t>
  </si>
  <si>
    <t>420325194905123997</t>
  </si>
  <si>
    <t>谭顺云</t>
  </si>
  <si>
    <t>420325194307033916</t>
  </si>
  <si>
    <t>徐在元</t>
  </si>
  <si>
    <t>420325195303073911</t>
  </si>
  <si>
    <t>王永贵</t>
  </si>
  <si>
    <t>422626194904173911</t>
  </si>
  <si>
    <t>陈进知</t>
  </si>
  <si>
    <t>422626194311173916</t>
  </si>
  <si>
    <t>肖连分</t>
  </si>
  <si>
    <t>420325198902263925</t>
  </si>
  <si>
    <t>邓中荣</t>
  </si>
  <si>
    <t>422626194106253917</t>
  </si>
  <si>
    <t>田守英</t>
  </si>
  <si>
    <t>42262619371004392X</t>
  </si>
  <si>
    <t>肖文章</t>
  </si>
  <si>
    <t>422626194511243915</t>
  </si>
  <si>
    <t>余长云</t>
  </si>
  <si>
    <t>420325194307083913</t>
  </si>
  <si>
    <t>袁大寿</t>
  </si>
  <si>
    <t>42262619440512391X</t>
  </si>
  <si>
    <t>陈寿魁</t>
  </si>
  <si>
    <t>422626193611153912</t>
  </si>
  <si>
    <t>晏大春</t>
  </si>
  <si>
    <t>420325198208283918</t>
  </si>
  <si>
    <t>邓西元</t>
  </si>
  <si>
    <t>420325194005233912</t>
  </si>
  <si>
    <t>陈宗英</t>
  </si>
  <si>
    <t>420325195304013922</t>
  </si>
  <si>
    <t>李启云</t>
  </si>
  <si>
    <t>422626195102153913</t>
  </si>
  <si>
    <t>周天芝</t>
  </si>
  <si>
    <t>422626193802273925</t>
  </si>
  <si>
    <t>周占友</t>
  </si>
  <si>
    <t>420325195210153916</t>
  </si>
  <si>
    <t>杨元植</t>
  </si>
  <si>
    <t>422619642080639398</t>
  </si>
  <si>
    <t>肖文喜</t>
  </si>
  <si>
    <t>422626194301153946</t>
  </si>
  <si>
    <t>谭远春</t>
  </si>
  <si>
    <t>422626194003183928</t>
  </si>
  <si>
    <t>李金荣</t>
  </si>
  <si>
    <t>422626195008253918</t>
  </si>
  <si>
    <t>陈义生</t>
  </si>
  <si>
    <t>422626194112063917</t>
  </si>
  <si>
    <t>贾继友</t>
  </si>
  <si>
    <t>42262619451211391X</t>
  </si>
  <si>
    <t>俞泽清</t>
  </si>
  <si>
    <t>422626193106063916</t>
  </si>
  <si>
    <t>陈本友</t>
  </si>
  <si>
    <t>422626194404143919</t>
  </si>
  <si>
    <t>陈孝珍</t>
  </si>
  <si>
    <t>420325193910113924</t>
  </si>
  <si>
    <t>刘点举</t>
  </si>
  <si>
    <t>42032519410101391X</t>
  </si>
  <si>
    <t>杨坤举</t>
  </si>
  <si>
    <t>420325194704153911</t>
  </si>
  <si>
    <t>余长香</t>
  </si>
  <si>
    <t>42032519540401393X</t>
  </si>
  <si>
    <t>卢成英</t>
  </si>
  <si>
    <t>420325193604053919</t>
  </si>
  <si>
    <t>兰云开</t>
  </si>
  <si>
    <t>422626196510083912</t>
  </si>
  <si>
    <t>塘坊垭村一组</t>
  </si>
  <si>
    <t>田先举</t>
  </si>
  <si>
    <t>420325197612203954</t>
  </si>
  <si>
    <t>塘坊垭村二组</t>
  </si>
  <si>
    <t>贾德月</t>
  </si>
  <si>
    <t>42262619590318391X</t>
  </si>
  <si>
    <t>肖光青</t>
  </si>
  <si>
    <t>422624195411217519</t>
  </si>
  <si>
    <t>狄习友</t>
  </si>
  <si>
    <t>422626195812123911</t>
  </si>
  <si>
    <t>姜万双</t>
  </si>
  <si>
    <t>42262619631028391X</t>
  </si>
  <si>
    <t>段启云</t>
  </si>
  <si>
    <t>422921194411213510</t>
  </si>
  <si>
    <t>鲁洪华</t>
  </si>
  <si>
    <t>422626194710173913</t>
  </si>
  <si>
    <t>塘坊垭村三组</t>
  </si>
  <si>
    <t>陈方海</t>
  </si>
  <si>
    <t>422626197008133915</t>
  </si>
  <si>
    <t>卢厚平</t>
  </si>
  <si>
    <t>420325198404023910</t>
  </si>
  <si>
    <t>邓正国</t>
  </si>
  <si>
    <t>422626196602203918</t>
  </si>
  <si>
    <t>陈绍兰</t>
  </si>
  <si>
    <t>422626195905043910</t>
  </si>
  <si>
    <t>王平</t>
  </si>
  <si>
    <t>422626197008063937</t>
  </si>
  <si>
    <t>李春富</t>
  </si>
  <si>
    <t>42262619730321391841</t>
  </si>
  <si>
    <t>贾永琼</t>
  </si>
  <si>
    <t>420325198702173925</t>
  </si>
  <si>
    <t>响应沟村</t>
  </si>
  <si>
    <t>邵开军</t>
  </si>
  <si>
    <t>42032519730211397x</t>
  </si>
  <si>
    <t>彭庆国</t>
  </si>
  <si>
    <t>422626196411043915</t>
  </si>
  <si>
    <t>王书能</t>
  </si>
  <si>
    <t>42262619670326391X</t>
  </si>
  <si>
    <t>谢曾华</t>
  </si>
  <si>
    <t>420325198003033915</t>
  </si>
  <si>
    <t>陈昌军</t>
  </si>
  <si>
    <t>420325197712233931</t>
  </si>
  <si>
    <t>何泽明</t>
  </si>
  <si>
    <t>422626193501043915</t>
  </si>
  <si>
    <t>贾德银</t>
  </si>
  <si>
    <t>420325195107043954</t>
  </si>
  <si>
    <t>陈克刚</t>
  </si>
  <si>
    <t>422626194203233918</t>
  </si>
  <si>
    <t>黄礼国</t>
  </si>
  <si>
    <t>420325197906063918</t>
  </si>
  <si>
    <t>贾学成</t>
  </si>
  <si>
    <t>422626196910113914</t>
  </si>
  <si>
    <t>谭开知</t>
  </si>
  <si>
    <t>420325197504223931</t>
  </si>
  <si>
    <t>谭显军</t>
  </si>
  <si>
    <t>420325198001153913</t>
  </si>
  <si>
    <t>瓦房坪村</t>
  </si>
  <si>
    <t>张世民</t>
  </si>
  <si>
    <t>420325197504283918</t>
  </si>
  <si>
    <t>瓦房坪村一组</t>
  </si>
  <si>
    <t>王 俊</t>
  </si>
  <si>
    <t>422626196610123934</t>
  </si>
  <si>
    <t>瓦房坪村二组</t>
  </si>
  <si>
    <t>刘存双</t>
  </si>
  <si>
    <t>420325198305083918</t>
  </si>
  <si>
    <t>龚正喜</t>
  </si>
  <si>
    <t>420325197504023913</t>
  </si>
  <si>
    <t>卢光金</t>
  </si>
  <si>
    <t>422626196904193911</t>
  </si>
  <si>
    <t>程方才</t>
  </si>
  <si>
    <t>420325197302133911</t>
  </si>
  <si>
    <t>袁堂聪</t>
  </si>
  <si>
    <t>422626196901023933</t>
  </si>
  <si>
    <t>吴昌均</t>
  </si>
  <si>
    <t>422626195804123938</t>
  </si>
  <si>
    <t>詹先富</t>
  </si>
  <si>
    <t>422626195702203910</t>
  </si>
  <si>
    <t>严应斗</t>
  </si>
  <si>
    <t>422626194602103918</t>
  </si>
  <si>
    <t>熊照国</t>
  </si>
  <si>
    <t>422626194801013915</t>
  </si>
  <si>
    <t>云福军</t>
  </si>
  <si>
    <t>422626196806103919</t>
  </si>
  <si>
    <t>严应贵</t>
  </si>
  <si>
    <t>420325197612013915</t>
  </si>
  <si>
    <t>卢光才</t>
  </si>
  <si>
    <t>422626196705123910</t>
  </si>
  <si>
    <t>胡代点</t>
  </si>
  <si>
    <t>42262619400502391X</t>
  </si>
  <si>
    <t>袁发成</t>
  </si>
  <si>
    <t>420325197203033915</t>
  </si>
  <si>
    <t>沈昌莲</t>
  </si>
  <si>
    <t>42262619600417394X</t>
  </si>
  <si>
    <t>胡定海</t>
  </si>
  <si>
    <t>42032519900418391X</t>
  </si>
  <si>
    <t>黄全生</t>
  </si>
  <si>
    <t>420325198008033914</t>
  </si>
  <si>
    <t>九道小计</t>
  </si>
  <si>
    <t>野人谷镇</t>
  </si>
  <si>
    <t>西蒿坪1组</t>
  </si>
  <si>
    <t>舒礼海</t>
  </si>
  <si>
    <t>42262619450528421944</t>
  </si>
  <si>
    <t>秦胜海</t>
  </si>
  <si>
    <t>42032519510212421044</t>
  </si>
  <si>
    <t>西蒿坪3组</t>
  </si>
  <si>
    <t>戢勇</t>
  </si>
  <si>
    <t>420325198912264219</t>
  </si>
  <si>
    <t>驼鱼河五组</t>
  </si>
  <si>
    <t>杨光华</t>
  </si>
  <si>
    <t>420325198901224510</t>
  </si>
  <si>
    <t>驼鱼河四组</t>
  </si>
  <si>
    <t>唐  霖</t>
  </si>
  <si>
    <t>422626196803214517</t>
  </si>
  <si>
    <t>李吉林</t>
  </si>
  <si>
    <t>422626196601214519</t>
  </si>
  <si>
    <t>谭家湾村一组</t>
  </si>
  <si>
    <t>张国华</t>
  </si>
  <si>
    <t>422626196501014237</t>
  </si>
  <si>
    <t>邓国刚</t>
  </si>
  <si>
    <t>420325198606124218</t>
  </si>
  <si>
    <t>许成春</t>
  </si>
  <si>
    <t>422626195501254228</t>
  </si>
  <si>
    <t>谭祥兵</t>
  </si>
  <si>
    <t>422626197412054215</t>
  </si>
  <si>
    <t>杨世全</t>
  </si>
  <si>
    <t>420325196105264213</t>
  </si>
  <si>
    <t>程传英</t>
  </si>
  <si>
    <t>422626194212264222</t>
  </si>
  <si>
    <t>陈义伟</t>
  </si>
  <si>
    <t>420325198912054238</t>
  </si>
  <si>
    <t>戢逢金</t>
  </si>
  <si>
    <t>422626194210224219</t>
  </si>
  <si>
    <t>谭家湾村二组</t>
  </si>
  <si>
    <t>戢运华</t>
  </si>
  <si>
    <t>422626195211014218</t>
  </si>
  <si>
    <t>谭家湾村三组</t>
  </si>
  <si>
    <t>郭军</t>
  </si>
  <si>
    <t>422626197606094215</t>
  </si>
  <si>
    <t>谭家湾村五组</t>
  </si>
  <si>
    <t>王元兰</t>
  </si>
  <si>
    <t>422626195202284224</t>
  </si>
  <si>
    <t>戢逢根</t>
  </si>
  <si>
    <t>422626195001024215</t>
  </si>
  <si>
    <t>许承洪</t>
  </si>
  <si>
    <t>422626195009124210</t>
  </si>
  <si>
    <t>谭家湾村四组</t>
  </si>
  <si>
    <t>戢运寿</t>
  </si>
  <si>
    <t>42262619580125423824</t>
  </si>
  <si>
    <t>程传双</t>
  </si>
  <si>
    <t>42262619531207421X31</t>
  </si>
  <si>
    <t>杨平兴</t>
  </si>
  <si>
    <t>422626193707214214</t>
  </si>
  <si>
    <t>戢太林</t>
  </si>
  <si>
    <t>422626195508144216</t>
  </si>
  <si>
    <t>刘国亮</t>
  </si>
  <si>
    <t>42262619511022421624</t>
  </si>
  <si>
    <t>谭祥根</t>
  </si>
  <si>
    <t>422626195503294215</t>
  </si>
  <si>
    <t>戢铜山</t>
  </si>
  <si>
    <t>422626195705034235</t>
  </si>
  <si>
    <t>徐守林</t>
  </si>
  <si>
    <t>422626195609244216</t>
  </si>
  <si>
    <t>黄粮坪村四组</t>
  </si>
  <si>
    <t>周家旺</t>
  </si>
  <si>
    <t>42262619670217451X</t>
  </si>
  <si>
    <t>周家华</t>
  </si>
  <si>
    <t>422626197309174534</t>
  </si>
  <si>
    <t>尹兴文</t>
  </si>
  <si>
    <t>422626194907214539</t>
  </si>
  <si>
    <t>祁兴洲</t>
  </si>
  <si>
    <t>422626195412224510</t>
  </si>
  <si>
    <t>尹兴奎</t>
  </si>
  <si>
    <t>42262619370521451X</t>
  </si>
  <si>
    <t>桥上2组</t>
  </si>
  <si>
    <t>高勇</t>
  </si>
  <si>
    <t>42032519870304421X</t>
  </si>
  <si>
    <t>孙运贵</t>
  </si>
  <si>
    <t>422626194408264216</t>
  </si>
  <si>
    <t>蹇正军</t>
  </si>
  <si>
    <t>422626195908204214</t>
  </si>
  <si>
    <t>桥上3组</t>
  </si>
  <si>
    <t>李翠萍</t>
  </si>
  <si>
    <t>422626195612204223</t>
  </si>
  <si>
    <t>桥上4组</t>
  </si>
  <si>
    <t>王举红</t>
  </si>
  <si>
    <t>422626196210084219</t>
  </si>
  <si>
    <t>杜家川二组</t>
  </si>
  <si>
    <t>陈绪德</t>
  </si>
  <si>
    <t>422626195410164219</t>
  </si>
  <si>
    <t>陈绪良</t>
  </si>
  <si>
    <t>42262619530213421524</t>
  </si>
  <si>
    <t>杜家川三组</t>
  </si>
  <si>
    <t>王天寿</t>
  </si>
  <si>
    <t>420325194710024235</t>
  </si>
  <si>
    <t>杜家川一组</t>
  </si>
  <si>
    <t>何启成</t>
  </si>
  <si>
    <t>42032519550320421144</t>
  </si>
  <si>
    <t>杨守成</t>
  </si>
  <si>
    <t>42262619570117421434</t>
  </si>
  <si>
    <t>苏天福</t>
  </si>
  <si>
    <t>420325195505294230</t>
  </si>
  <si>
    <t>三座庵</t>
  </si>
  <si>
    <t>陈光福</t>
  </si>
  <si>
    <t>422626193604194214</t>
  </si>
  <si>
    <t>刘运兰</t>
  </si>
  <si>
    <t>42262619540316422922</t>
  </si>
  <si>
    <t>莫胜宏</t>
  </si>
  <si>
    <t>422626194408124213</t>
  </si>
  <si>
    <t>千家坪村三组</t>
  </si>
  <si>
    <t>余行洋</t>
  </si>
  <si>
    <t>422626195007284210</t>
  </si>
  <si>
    <t>千家坪村二组</t>
  </si>
  <si>
    <t>张普</t>
  </si>
  <si>
    <t>420325199210264227</t>
  </si>
  <si>
    <t>魏来</t>
  </si>
  <si>
    <t>420325199808094218</t>
  </si>
  <si>
    <t>唐维旭</t>
  </si>
  <si>
    <t>422626196110244510</t>
  </si>
  <si>
    <t>大庙2组</t>
  </si>
  <si>
    <t>王传洪</t>
  </si>
  <si>
    <t>420325195612044237</t>
  </si>
  <si>
    <t>甘霞一组</t>
  </si>
  <si>
    <t>胡学善</t>
  </si>
  <si>
    <t>422626197910114516</t>
  </si>
  <si>
    <t>甘霞四组</t>
  </si>
  <si>
    <t>刘天伍</t>
  </si>
  <si>
    <t>422626197106214516</t>
  </si>
  <si>
    <t>甘霞五组</t>
  </si>
  <si>
    <t>422626196610134510</t>
  </si>
  <si>
    <t>毛远生</t>
  </si>
  <si>
    <t>422626197105014512</t>
  </si>
  <si>
    <t>甘霞二组</t>
  </si>
  <si>
    <t>饶盛文</t>
  </si>
  <si>
    <t>422626194805294515</t>
  </si>
  <si>
    <t>张治成</t>
  </si>
  <si>
    <t>422626196601124513</t>
  </si>
  <si>
    <t>李忠文</t>
  </si>
  <si>
    <t>422626194206284518</t>
  </si>
  <si>
    <t>张学平</t>
  </si>
  <si>
    <t>420325197906044514</t>
  </si>
  <si>
    <t>胡学亮</t>
  </si>
  <si>
    <t>420325196704124239</t>
  </si>
  <si>
    <t>张学权</t>
  </si>
  <si>
    <t>422626197105084510</t>
  </si>
  <si>
    <t>胡道国</t>
  </si>
  <si>
    <t>420325196605094214</t>
  </si>
  <si>
    <t>邹升堂</t>
  </si>
  <si>
    <t>422626193703034515</t>
  </si>
  <si>
    <t>张仁青</t>
  </si>
  <si>
    <t>422626196105074510</t>
  </si>
  <si>
    <t>甘霞三组</t>
  </si>
  <si>
    <t>王重先</t>
  </si>
  <si>
    <t>422626194806224519</t>
  </si>
  <si>
    <t>邹升新</t>
  </si>
  <si>
    <t>422626193904164535</t>
  </si>
  <si>
    <t>阮家明</t>
  </si>
  <si>
    <t>42262619520308451531</t>
  </si>
  <si>
    <t>李光举</t>
  </si>
  <si>
    <t>422626197603174519</t>
  </si>
  <si>
    <t>安阳坪一组</t>
  </si>
  <si>
    <t>杨文学</t>
  </si>
  <si>
    <t>422626194112014517</t>
  </si>
  <si>
    <t>杨明发</t>
  </si>
  <si>
    <t>422626196410204510</t>
  </si>
  <si>
    <t>饶建</t>
  </si>
  <si>
    <t>422626196612124519</t>
  </si>
  <si>
    <t>吴学明</t>
  </si>
  <si>
    <t>422626195209274512</t>
  </si>
  <si>
    <t>饶正先</t>
  </si>
  <si>
    <t>422626194811104511</t>
  </si>
  <si>
    <t>饶正柄</t>
  </si>
  <si>
    <t>422626194708104513</t>
  </si>
  <si>
    <t>饶正礼</t>
  </si>
  <si>
    <t>422626195901054516</t>
  </si>
  <si>
    <t>肖帮权</t>
  </si>
  <si>
    <t>422626194703044515</t>
  </si>
  <si>
    <t>杨明贵</t>
  </si>
  <si>
    <t>420325198007274214</t>
  </si>
  <si>
    <t>肖帮林</t>
  </si>
  <si>
    <t>422626195310174516</t>
  </si>
  <si>
    <t>宦玉莲</t>
  </si>
  <si>
    <t>420325197202224525</t>
  </si>
  <si>
    <t>吴学山</t>
  </si>
  <si>
    <t>422626195002044517</t>
  </si>
  <si>
    <t>杨明财</t>
  </si>
  <si>
    <t>422626196610014519</t>
  </si>
  <si>
    <t>饶爽</t>
  </si>
  <si>
    <t>420325200309114224</t>
  </si>
  <si>
    <t>吴金兵</t>
  </si>
  <si>
    <t>422626197501134516</t>
  </si>
  <si>
    <t>饶楚旺</t>
  </si>
  <si>
    <t>422626196411014532</t>
  </si>
  <si>
    <t>东蒿坪一组</t>
  </si>
  <si>
    <t>宦廷良</t>
  </si>
  <si>
    <t>42262619441201421X</t>
  </si>
  <si>
    <t>东蒿坪六组</t>
  </si>
  <si>
    <t>祝治源</t>
  </si>
  <si>
    <t>422626194504124213</t>
  </si>
  <si>
    <t>漆场村一组</t>
  </si>
  <si>
    <t>罗丽</t>
  </si>
  <si>
    <t>422626197710174223</t>
  </si>
  <si>
    <t>伍能军</t>
  </si>
  <si>
    <t>422626197012194227</t>
  </si>
  <si>
    <t>阮班武</t>
  </si>
  <si>
    <t>420325198702214213</t>
  </si>
  <si>
    <t>漆场村二组</t>
  </si>
  <si>
    <t>卢永海</t>
  </si>
  <si>
    <t>422626195107124214</t>
  </si>
  <si>
    <t>杜士茂</t>
  </si>
  <si>
    <t>420325194910064215</t>
  </si>
  <si>
    <t>马兴龙</t>
  </si>
  <si>
    <t>422626196403054251</t>
  </si>
  <si>
    <t>马里村1组</t>
  </si>
  <si>
    <t>严克剑</t>
  </si>
  <si>
    <t>422626195201134216</t>
  </si>
  <si>
    <t>段兴平</t>
  </si>
  <si>
    <t>420325197910284238</t>
  </si>
  <si>
    <t>马里村2组</t>
  </si>
  <si>
    <t>严克春</t>
  </si>
  <si>
    <t>422626194907054221</t>
  </si>
  <si>
    <t>鱼鳃口村1组</t>
  </si>
  <si>
    <t>蔡心元</t>
  </si>
  <si>
    <t>420325197910074310</t>
  </si>
  <si>
    <t>鱼鳃口村4组</t>
  </si>
  <si>
    <t>龚应江</t>
  </si>
  <si>
    <t>422626195607274219</t>
  </si>
  <si>
    <t>蔡心炳</t>
  </si>
  <si>
    <t>420325197411104255</t>
  </si>
  <si>
    <t>姚光英</t>
  </si>
  <si>
    <t>422626195810254221</t>
  </si>
  <si>
    <t>邓先群</t>
  </si>
  <si>
    <t>422626196105224216</t>
  </si>
  <si>
    <t>邓先德</t>
  </si>
  <si>
    <t>42262619670717421X</t>
  </si>
  <si>
    <t>股泉一组</t>
  </si>
  <si>
    <t>谭明忠</t>
  </si>
  <si>
    <t>422626196205084214</t>
  </si>
  <si>
    <t>王兴武</t>
  </si>
  <si>
    <t>42032519580702421X</t>
  </si>
  <si>
    <t>股泉二组</t>
  </si>
  <si>
    <t>王兴才</t>
  </si>
  <si>
    <t>420325195410014216</t>
  </si>
  <si>
    <t>程东</t>
  </si>
  <si>
    <t>422626197205274215</t>
  </si>
  <si>
    <t>张祖德</t>
  </si>
  <si>
    <t>422626195802044216</t>
  </si>
  <si>
    <t>股泉三组</t>
  </si>
  <si>
    <t>张俊</t>
  </si>
  <si>
    <t>420325198811294232</t>
  </si>
  <si>
    <t>七里村4组</t>
  </si>
  <si>
    <t>王仁华</t>
  </si>
  <si>
    <t>422626196210044524</t>
  </si>
  <si>
    <t>七里村2组</t>
  </si>
  <si>
    <t>陈传树</t>
  </si>
  <si>
    <t>422626195107114518</t>
  </si>
  <si>
    <t>李才能</t>
  </si>
  <si>
    <t>422626195904274514</t>
  </si>
  <si>
    <t>七里村3组</t>
  </si>
  <si>
    <t>李孝明</t>
  </si>
  <si>
    <t>422626194705094516</t>
  </si>
  <si>
    <t>李温洪</t>
  </si>
  <si>
    <t>422626194210164519</t>
  </si>
  <si>
    <t>李海平</t>
  </si>
  <si>
    <t>420325195806154215</t>
  </si>
  <si>
    <t>422626196905164514</t>
  </si>
  <si>
    <t>杨大军</t>
  </si>
  <si>
    <t>422626195707304518</t>
  </si>
  <si>
    <t>李德胜</t>
  </si>
  <si>
    <t>422626195904224517</t>
  </si>
  <si>
    <t>七里村5组</t>
  </si>
  <si>
    <t>刘志宇</t>
  </si>
  <si>
    <t>422626197311234516</t>
  </si>
  <si>
    <t>刘伟</t>
  </si>
  <si>
    <t>420325199506154510</t>
  </si>
  <si>
    <t>七里村6组</t>
  </si>
  <si>
    <t>曾国贵</t>
  </si>
  <si>
    <t>42262619580501451431</t>
  </si>
  <si>
    <t>七里村7组</t>
  </si>
  <si>
    <t>冯家兵</t>
  </si>
  <si>
    <t>422626197005184514</t>
  </si>
  <si>
    <t>陈照付</t>
  </si>
  <si>
    <t>422626193610074518</t>
  </si>
  <si>
    <t>郑洪涛</t>
  </si>
  <si>
    <t>422626196212224510</t>
  </si>
  <si>
    <t>邓永江</t>
  </si>
  <si>
    <t>422626193705114519</t>
  </si>
  <si>
    <t>邓永海</t>
  </si>
  <si>
    <t>422626194009294514</t>
  </si>
  <si>
    <t>胡金祥</t>
  </si>
  <si>
    <t>420325195210154214</t>
  </si>
  <si>
    <t>肖全兵</t>
  </si>
  <si>
    <t>422626196709044515</t>
  </si>
  <si>
    <t>易光国</t>
  </si>
  <si>
    <t>422626195510024512</t>
  </si>
  <si>
    <t>王兴富</t>
  </si>
  <si>
    <t>422626196707314518</t>
  </si>
  <si>
    <t>陈道平</t>
  </si>
  <si>
    <t>422626196411124219</t>
  </si>
  <si>
    <t>李树生</t>
  </si>
  <si>
    <t>422626195606024517</t>
  </si>
  <si>
    <t>垭里坪村一组</t>
  </si>
  <si>
    <t>冯兴汉</t>
  </si>
  <si>
    <t>420325197910164535</t>
  </si>
  <si>
    <t>冯家元</t>
  </si>
  <si>
    <t>422626195912044516</t>
  </si>
  <si>
    <t>王小艳</t>
  </si>
  <si>
    <t>420325199012154529</t>
  </si>
  <si>
    <t>周震宇</t>
  </si>
  <si>
    <t>420325200910134218</t>
  </si>
  <si>
    <t>李文香</t>
  </si>
  <si>
    <t>420325195711104522</t>
  </si>
  <si>
    <t>刘天华</t>
  </si>
  <si>
    <t xml:space="preserve">42262619771227421X </t>
  </si>
  <si>
    <t>熊诗涵</t>
  </si>
  <si>
    <t>420325201109144220</t>
  </si>
  <si>
    <t>许金尧</t>
  </si>
  <si>
    <t>420325201201094211</t>
  </si>
  <si>
    <t>阮世根</t>
  </si>
  <si>
    <t>420325198109234213</t>
  </si>
  <si>
    <t>422626198005254214</t>
  </si>
  <si>
    <t>杨美琳</t>
  </si>
  <si>
    <t>42032520110429422X</t>
  </si>
  <si>
    <t>李宗艳</t>
  </si>
  <si>
    <t xml:space="preserve"> 42032519860127062X</t>
  </si>
  <si>
    <t>桥上1组</t>
  </si>
  <si>
    <t>刘贵香</t>
  </si>
  <si>
    <t>422626195202074227</t>
  </si>
  <si>
    <t>舒钰惠</t>
  </si>
  <si>
    <t>420325201302154228</t>
  </si>
  <si>
    <t>廖梦博</t>
  </si>
  <si>
    <t>420325201407150012</t>
  </si>
  <si>
    <t>杜世梅</t>
  </si>
  <si>
    <t>420325197711260065</t>
  </si>
  <si>
    <t>三座庵村</t>
  </si>
  <si>
    <t>陈廷龙</t>
  </si>
  <si>
    <t>422626193209044216</t>
  </si>
  <si>
    <t>邢道英</t>
  </si>
  <si>
    <t>三座庵村一组</t>
  </si>
  <si>
    <t>陈海云</t>
  </si>
  <si>
    <t>420325197704081528</t>
  </si>
  <si>
    <t>三座庵村二组</t>
  </si>
  <si>
    <t>任凤</t>
  </si>
  <si>
    <t>420325197805164226</t>
  </si>
  <si>
    <t>黄文静</t>
  </si>
  <si>
    <t>420325200512264228</t>
  </si>
  <si>
    <t>甘霞村一组</t>
  </si>
  <si>
    <t>陈彩莲</t>
  </si>
  <si>
    <t>362331197705034929</t>
  </si>
  <si>
    <t>胡云丽</t>
  </si>
  <si>
    <t>420325198704044545</t>
  </si>
  <si>
    <t>胡运婷</t>
  </si>
  <si>
    <t>420325200512264244</t>
  </si>
  <si>
    <t>徐正琴</t>
  </si>
  <si>
    <t>420325198610224529</t>
  </si>
  <si>
    <t>徐正平</t>
  </si>
  <si>
    <t>420325198808284519</t>
  </si>
  <si>
    <t>刘玉</t>
  </si>
  <si>
    <t>420325200608224220</t>
  </si>
  <si>
    <t xml:space="preserve"> 饶凡凡</t>
  </si>
  <si>
    <t>420325198901284521</t>
  </si>
  <si>
    <t>李洁</t>
  </si>
  <si>
    <t>420325199206174229</t>
  </si>
  <si>
    <t>蔡畅</t>
  </si>
  <si>
    <t xml:space="preserve"> 42032519811109423X</t>
  </si>
  <si>
    <t>420325198706163927</t>
  </si>
  <si>
    <t>刘守涵</t>
  </si>
  <si>
    <t>420325201605314217</t>
  </si>
  <si>
    <t>易炳森</t>
  </si>
  <si>
    <t>420325200711120016</t>
  </si>
  <si>
    <t>罗玉想</t>
  </si>
  <si>
    <t>420222198005171428</t>
  </si>
  <si>
    <t>贺芯冉</t>
  </si>
  <si>
    <t>420325201506294222</t>
  </si>
  <si>
    <t>430426201005300309</t>
  </si>
  <si>
    <t>王修言</t>
  </si>
  <si>
    <t>420325201602174212</t>
  </si>
  <si>
    <t>七里村1组</t>
  </si>
  <si>
    <t>周鑫娥</t>
  </si>
  <si>
    <t>420325201205144220</t>
  </si>
  <si>
    <t>周鑫春</t>
  </si>
  <si>
    <t>420325201304084227</t>
  </si>
  <si>
    <t>许红</t>
  </si>
  <si>
    <t>420325199507280615</t>
  </si>
  <si>
    <t>吴晓阳</t>
  </si>
  <si>
    <t>422626197106030645</t>
  </si>
  <si>
    <t>李雪茹</t>
  </si>
  <si>
    <t>420325201611224226</t>
  </si>
  <si>
    <t>千家坪村2组</t>
  </si>
  <si>
    <t>黎人秋</t>
  </si>
  <si>
    <t>360311199405300027</t>
  </si>
  <si>
    <t>张梓豪</t>
  </si>
  <si>
    <t>420325201607044214</t>
  </si>
  <si>
    <t>西蒿坪村1组</t>
  </si>
  <si>
    <t>龚秋香</t>
  </si>
  <si>
    <t>420325194604124224</t>
  </si>
  <si>
    <t>野人谷小计</t>
  </si>
  <si>
    <t>青峰镇</t>
  </si>
  <si>
    <t>白马沟村</t>
  </si>
  <si>
    <t>张启财</t>
  </si>
  <si>
    <t>422626193412025723</t>
  </si>
  <si>
    <t>熊国珍</t>
  </si>
  <si>
    <t>422626194306295724</t>
  </si>
  <si>
    <t>沈隆元</t>
  </si>
  <si>
    <t>422626195008305714</t>
  </si>
  <si>
    <t>沈隆举</t>
  </si>
  <si>
    <t>422626196212125715</t>
  </si>
  <si>
    <t>贺德军</t>
  </si>
  <si>
    <t>422626197001315716</t>
  </si>
  <si>
    <t>陈浩</t>
  </si>
  <si>
    <t>42032519791009571X</t>
  </si>
  <si>
    <t>张启仁</t>
  </si>
  <si>
    <t>422626195503055716</t>
  </si>
  <si>
    <t>王顺勤</t>
  </si>
  <si>
    <t>422626196902245714</t>
  </si>
  <si>
    <t>王兴堂</t>
  </si>
  <si>
    <t>422626193905115719</t>
  </si>
  <si>
    <t>张定贤</t>
  </si>
  <si>
    <t>422626195511285714</t>
  </si>
  <si>
    <t>沈隆国</t>
  </si>
  <si>
    <t>422626195312275732</t>
  </si>
  <si>
    <t>别有平</t>
  </si>
  <si>
    <t>420325196705085411</t>
  </si>
  <si>
    <t>王玉全</t>
  </si>
  <si>
    <t>42262619501110573X</t>
  </si>
  <si>
    <t>张云贤</t>
  </si>
  <si>
    <t>422626195806165736</t>
  </si>
  <si>
    <t>东西店村</t>
  </si>
  <si>
    <t>郑邦华</t>
  </si>
  <si>
    <t>42262619530427481X</t>
  </si>
  <si>
    <t>高义山</t>
  </si>
  <si>
    <t>422626193607254817</t>
  </si>
  <si>
    <t>柳邦达</t>
  </si>
  <si>
    <t>422626195606284837</t>
  </si>
  <si>
    <t>李明志</t>
  </si>
  <si>
    <t>422626196007304816</t>
  </si>
  <si>
    <t>李如群</t>
  </si>
  <si>
    <t>422626197106054813</t>
  </si>
  <si>
    <t>李明江</t>
  </si>
  <si>
    <t>422626194810134813</t>
  </si>
  <si>
    <t>李如卢</t>
  </si>
  <si>
    <t>422626195107134818</t>
  </si>
  <si>
    <t>张朝良</t>
  </si>
  <si>
    <t>422626197204134835</t>
  </si>
  <si>
    <t>李明惠</t>
  </si>
  <si>
    <t>422626194702034822</t>
  </si>
  <si>
    <t>丰传英</t>
  </si>
  <si>
    <t>420325195309155727</t>
  </si>
  <si>
    <t>袁志明</t>
  </si>
  <si>
    <t>42262619711017481X</t>
  </si>
  <si>
    <t>张正山</t>
  </si>
  <si>
    <t>422626195009144836</t>
  </si>
  <si>
    <t>蔡大新</t>
  </si>
  <si>
    <t>422626195106174818</t>
  </si>
  <si>
    <t>张朝忠</t>
  </si>
  <si>
    <t>422626195311014813</t>
  </si>
  <si>
    <t>董发菊</t>
  </si>
  <si>
    <t>422626196903204826</t>
  </si>
  <si>
    <t>蔡正雁</t>
  </si>
  <si>
    <t>420325198204084831</t>
  </si>
  <si>
    <t>袁付清</t>
  </si>
  <si>
    <t>422626196202154811</t>
  </si>
  <si>
    <t>姜宏芝</t>
  </si>
  <si>
    <t>422626195008164827</t>
  </si>
  <si>
    <t>薛祥清</t>
  </si>
  <si>
    <t>422626195310314814</t>
  </si>
  <si>
    <t>谭大折</t>
  </si>
  <si>
    <t>420325196212124830</t>
  </si>
  <si>
    <t>曾光新</t>
  </si>
  <si>
    <t>422626195305164815</t>
  </si>
  <si>
    <t>曽启清</t>
  </si>
  <si>
    <t>420325194807075717</t>
  </si>
  <si>
    <t>曽光勤</t>
  </si>
  <si>
    <t>422626194503274818</t>
  </si>
  <si>
    <t>代鹏飞</t>
  </si>
  <si>
    <t>420325198608224810</t>
  </si>
  <si>
    <t>曾大坤</t>
  </si>
  <si>
    <t>422626197302154813</t>
  </si>
  <si>
    <t>李建堂</t>
  </si>
  <si>
    <t>422626194803154818</t>
  </si>
  <si>
    <t>曾光辉</t>
  </si>
  <si>
    <t>422626194612094816</t>
  </si>
  <si>
    <t>曾光元</t>
  </si>
  <si>
    <t>422626194305234831</t>
  </si>
  <si>
    <t>曾启忠</t>
  </si>
  <si>
    <t>42262619500324481X</t>
  </si>
  <si>
    <t>董发明</t>
  </si>
  <si>
    <t>422626196408214875</t>
  </si>
  <si>
    <t>王贵恒</t>
  </si>
  <si>
    <t>422626195011114839</t>
  </si>
  <si>
    <t>余中根</t>
  </si>
  <si>
    <t>422626197001274838</t>
  </si>
  <si>
    <t>钱荣贵</t>
  </si>
  <si>
    <t>420325196308025714</t>
  </si>
  <si>
    <t>徐中明</t>
  </si>
  <si>
    <t>42262619540828481X</t>
  </si>
  <si>
    <t>420325198712144837</t>
  </si>
  <si>
    <t>刘万山</t>
  </si>
  <si>
    <t>422626194712014836</t>
  </si>
  <si>
    <t>齐正英</t>
  </si>
  <si>
    <t>422626197807144821</t>
  </si>
  <si>
    <t>徐中成</t>
  </si>
  <si>
    <t>422626196604184837</t>
  </si>
  <si>
    <t>代新荣</t>
  </si>
  <si>
    <t>422626194801044826</t>
  </si>
  <si>
    <t>杨开根</t>
  </si>
  <si>
    <t>422626196503044819</t>
  </si>
  <si>
    <t>李明友</t>
  </si>
  <si>
    <t>420325197808224837</t>
  </si>
  <si>
    <t>杨开清</t>
  </si>
  <si>
    <t>422626196303074853</t>
  </si>
  <si>
    <t>范德才</t>
  </si>
  <si>
    <t>422626194801094815</t>
  </si>
  <si>
    <t>汪祖虎</t>
  </si>
  <si>
    <t>422626197404044818</t>
  </si>
  <si>
    <t>廖吉山</t>
  </si>
  <si>
    <t>422626196704294857</t>
  </si>
  <si>
    <t>柳正付</t>
  </si>
  <si>
    <t>422626195006094810</t>
  </si>
  <si>
    <t>薛青云</t>
  </si>
  <si>
    <t>422626197604234827</t>
  </si>
  <si>
    <t>杨志先</t>
  </si>
  <si>
    <t>422626195810284834</t>
  </si>
  <si>
    <t>陈致祥</t>
  </si>
  <si>
    <t>422626195802094811</t>
  </si>
  <si>
    <t>付作江</t>
  </si>
  <si>
    <t>422626193604024813</t>
  </si>
  <si>
    <t>李如平</t>
  </si>
  <si>
    <t>422626196604154830</t>
  </si>
  <si>
    <t>横峪沟村</t>
  </si>
  <si>
    <t>王兴兵</t>
  </si>
  <si>
    <t>422626197411115717</t>
  </si>
  <si>
    <t>代新坤</t>
  </si>
  <si>
    <t>42032519460429571X</t>
  </si>
  <si>
    <t>陈启全</t>
  </si>
  <si>
    <t>422626194904075713</t>
  </si>
  <si>
    <t>莫有合</t>
  </si>
  <si>
    <t>422626193306025711</t>
  </si>
  <si>
    <t>刘庆忠</t>
  </si>
  <si>
    <t>422626196210115775</t>
  </si>
  <si>
    <t>刘山军</t>
  </si>
  <si>
    <t xml:space="preserve">422626196704175719 </t>
  </si>
  <si>
    <t>戢运平</t>
  </si>
  <si>
    <t>422626196404035714</t>
  </si>
  <si>
    <t>毛洪昌</t>
  </si>
  <si>
    <t>422626194210105711</t>
  </si>
  <si>
    <t>杜德华</t>
  </si>
  <si>
    <t>422626196611225756</t>
  </si>
  <si>
    <t>莫仕斌</t>
  </si>
  <si>
    <t>422626197207175771</t>
  </si>
  <si>
    <t>莫仕峰</t>
  </si>
  <si>
    <t>422626197705235773</t>
  </si>
  <si>
    <t>毛如苹</t>
  </si>
  <si>
    <t>422626196312185758</t>
  </si>
  <si>
    <t>廖绪国</t>
  </si>
  <si>
    <t>422626197401195733</t>
  </si>
  <si>
    <t>花园村</t>
  </si>
  <si>
    <t>张仁强</t>
  </si>
  <si>
    <t>422626193804295714</t>
  </si>
  <si>
    <t>刘志山</t>
  </si>
  <si>
    <t>422626196609215719</t>
  </si>
  <si>
    <t>张昌志</t>
  </si>
  <si>
    <t>422626194610315734</t>
  </si>
  <si>
    <t>杨万政</t>
  </si>
  <si>
    <t>422626194601245711</t>
  </si>
  <si>
    <t>张昌伦</t>
  </si>
  <si>
    <t>422626194510265717</t>
  </si>
  <si>
    <t>张昌发</t>
  </si>
  <si>
    <t>42262619690225571X</t>
  </si>
  <si>
    <t>张昌宪</t>
  </si>
  <si>
    <t>422626196207205710</t>
  </si>
  <si>
    <t>刘家河村</t>
  </si>
  <si>
    <t>刘家传</t>
  </si>
  <si>
    <t>422626194802064810</t>
  </si>
  <si>
    <t>唐少波</t>
  </si>
  <si>
    <t>420325198611204820</t>
  </si>
  <si>
    <t>龙王沟村</t>
  </si>
  <si>
    <t>赵平中</t>
  </si>
  <si>
    <t>422626194505014017</t>
  </si>
  <si>
    <t>薛金海</t>
  </si>
  <si>
    <t>422626194809194837</t>
  </si>
  <si>
    <t>程传陆</t>
  </si>
  <si>
    <t>422626196008084813</t>
  </si>
  <si>
    <t>郑朝军</t>
  </si>
  <si>
    <t>422626197811264834</t>
  </si>
  <si>
    <t>杨义根</t>
  </si>
  <si>
    <t>422626196701124836</t>
  </si>
  <si>
    <t>杨国平</t>
  </si>
  <si>
    <t>422626196711064814</t>
  </si>
  <si>
    <t>李明连</t>
  </si>
  <si>
    <t>42262619790318484X</t>
  </si>
  <si>
    <t>李如斌</t>
  </si>
  <si>
    <t>422626197103214836</t>
  </si>
  <si>
    <t>林运财</t>
  </si>
  <si>
    <t>422626194402224811</t>
  </si>
  <si>
    <t>刘庆兵</t>
  </si>
  <si>
    <t>422626197302244819</t>
  </si>
  <si>
    <t>冯文国</t>
  </si>
  <si>
    <t>422626197510254835</t>
  </si>
  <si>
    <t>田丰山</t>
  </si>
  <si>
    <t>422626194911114813</t>
  </si>
  <si>
    <t>胡启山</t>
  </si>
  <si>
    <t>422626194404234810</t>
  </si>
  <si>
    <t>刘国峰</t>
  </si>
  <si>
    <t>420325198109174839</t>
  </si>
  <si>
    <t>周顺银</t>
  </si>
  <si>
    <t>422626194104174828</t>
  </si>
  <si>
    <t>黄大军</t>
  </si>
  <si>
    <t>422626197602164810</t>
  </si>
  <si>
    <t>熊巨根</t>
  </si>
  <si>
    <t>422626196607034834</t>
  </si>
  <si>
    <t>黄朝华</t>
  </si>
  <si>
    <t>422626197212124813</t>
  </si>
  <si>
    <t>郭炳文</t>
  </si>
  <si>
    <t>420325197104025717</t>
  </si>
  <si>
    <t>黄开全</t>
  </si>
  <si>
    <t>422626196106244817</t>
  </si>
  <si>
    <t>余远新</t>
  </si>
  <si>
    <t>422626197210184839</t>
  </si>
  <si>
    <t>余兴江</t>
  </si>
  <si>
    <t>422626197607074814</t>
  </si>
  <si>
    <t>徐顺兵</t>
  </si>
  <si>
    <t>42262619750817481X</t>
  </si>
  <si>
    <t>余兴财</t>
  </si>
  <si>
    <t>42262619631011485X</t>
  </si>
  <si>
    <t>龚义明</t>
  </si>
  <si>
    <t>422626196212274817</t>
  </si>
  <si>
    <t>高修冰</t>
  </si>
  <si>
    <t>420325198305024811</t>
  </si>
  <si>
    <t>胡林山</t>
  </si>
  <si>
    <t>422626197007184817</t>
  </si>
  <si>
    <t>余永生</t>
  </si>
  <si>
    <t>422626194309184851</t>
  </si>
  <si>
    <t>景长安</t>
  </si>
  <si>
    <t>422626195505294817</t>
  </si>
  <si>
    <t>高举</t>
  </si>
  <si>
    <t>420325198512044815</t>
  </si>
  <si>
    <t>422626195708124818</t>
  </si>
  <si>
    <t>郭功均</t>
  </si>
  <si>
    <t>42032519860425481X</t>
  </si>
  <si>
    <t>张朝江</t>
  </si>
  <si>
    <t>422626195701184818</t>
  </si>
  <si>
    <t>张朝政</t>
  </si>
  <si>
    <t>422626196810244837</t>
  </si>
  <si>
    <t>会广文</t>
  </si>
  <si>
    <t>422626194303274813</t>
  </si>
  <si>
    <t>陈定贵</t>
  </si>
  <si>
    <t>422626196502084835</t>
  </si>
  <si>
    <t>明程祥</t>
  </si>
  <si>
    <t>422626196308164815</t>
  </si>
  <si>
    <t>景长保</t>
  </si>
  <si>
    <t>42262619600210481X</t>
  </si>
  <si>
    <t>叶明荣</t>
  </si>
  <si>
    <t>422626195512264843</t>
  </si>
  <si>
    <t>刘庆华</t>
  </si>
  <si>
    <t>422626197203034816</t>
  </si>
  <si>
    <t>黄天有</t>
  </si>
  <si>
    <t>422626195412294818</t>
  </si>
  <si>
    <t>刘庆学</t>
  </si>
  <si>
    <t>422626196412154879</t>
  </si>
  <si>
    <t>代坤</t>
  </si>
  <si>
    <t>422626197502104837</t>
  </si>
  <si>
    <t>王天宝</t>
  </si>
  <si>
    <t>422626196603244834</t>
  </si>
  <si>
    <t>曾大全</t>
  </si>
  <si>
    <t>422626196804084830</t>
  </si>
  <si>
    <t>邓邦生</t>
  </si>
  <si>
    <t>422626196311124814</t>
  </si>
  <si>
    <t>邓邦文</t>
  </si>
  <si>
    <t>422626195502234835</t>
  </si>
  <si>
    <t>李定清</t>
  </si>
  <si>
    <t>422626197809244850</t>
  </si>
  <si>
    <t>徐德成</t>
  </si>
  <si>
    <t>422626196806274857</t>
  </si>
  <si>
    <t>曾猛</t>
  </si>
  <si>
    <t>420325197411214876</t>
  </si>
  <si>
    <t>徐德全</t>
  </si>
  <si>
    <t>422626196606024831</t>
  </si>
  <si>
    <t>田胜道</t>
  </si>
  <si>
    <t>422626195107044812</t>
  </si>
  <si>
    <t>曾光文</t>
  </si>
  <si>
    <t>422626194611044817</t>
  </si>
  <si>
    <t>唐光成</t>
  </si>
  <si>
    <t>422626196303074896</t>
  </si>
  <si>
    <t>张才录</t>
  </si>
  <si>
    <t>422626196006294817</t>
  </si>
  <si>
    <t>唐光勇</t>
  </si>
  <si>
    <t>422626196206104838</t>
  </si>
  <si>
    <t>曾大春</t>
  </si>
  <si>
    <t>422626196503064836</t>
  </si>
  <si>
    <t>曾刚</t>
  </si>
  <si>
    <t>422626197711114812</t>
  </si>
  <si>
    <t>彭正学</t>
  </si>
  <si>
    <t>422626196210234838</t>
  </si>
  <si>
    <t>李明秀</t>
  </si>
  <si>
    <t>420325196409125722</t>
  </si>
  <si>
    <t>张同成</t>
  </si>
  <si>
    <t>422626194406184810</t>
  </si>
  <si>
    <t>张同连</t>
  </si>
  <si>
    <t>422626193605304825</t>
  </si>
  <si>
    <t>张士德</t>
  </si>
  <si>
    <t>422626195307034811</t>
  </si>
  <si>
    <t>张金财</t>
  </si>
  <si>
    <t>422626194206224814</t>
  </si>
  <si>
    <t>岳洪泽</t>
  </si>
  <si>
    <t>422626196303084832</t>
  </si>
  <si>
    <t>汪成亮</t>
  </si>
  <si>
    <t>422626197711094815</t>
  </si>
  <si>
    <t>曾金海</t>
  </si>
  <si>
    <t>422626195406064830</t>
  </si>
  <si>
    <t>高光奎</t>
  </si>
  <si>
    <t>422626195610204852</t>
  </si>
  <si>
    <t>周兴富</t>
  </si>
  <si>
    <t>422626196501204815</t>
  </si>
  <si>
    <t>景长友</t>
  </si>
  <si>
    <t>42262619460131481X</t>
  </si>
  <si>
    <t>周兴宝</t>
  </si>
  <si>
    <t>422626195305024839</t>
  </si>
  <si>
    <t>龙王坪村</t>
  </si>
  <si>
    <t>代克知</t>
  </si>
  <si>
    <t>422626193708125715</t>
  </si>
  <si>
    <t>柴金山</t>
  </si>
  <si>
    <t>42262619461211571X</t>
  </si>
  <si>
    <t>周明桂</t>
  </si>
  <si>
    <t>420325196812255711</t>
  </si>
  <si>
    <t>韩兴华</t>
  </si>
  <si>
    <t>422626195012086112</t>
  </si>
  <si>
    <t>周新忠</t>
  </si>
  <si>
    <t>422626193810165713</t>
  </si>
  <si>
    <t>周新明</t>
  </si>
  <si>
    <t>422626195410245713</t>
  </si>
  <si>
    <t>代克堂</t>
  </si>
  <si>
    <t>422626194405165714</t>
  </si>
  <si>
    <t>代明勤</t>
  </si>
  <si>
    <t>422626196902045712</t>
  </si>
  <si>
    <t>周明华</t>
  </si>
  <si>
    <t>422626195507115712</t>
  </si>
  <si>
    <t>郑朝东</t>
  </si>
  <si>
    <t>422626196803105732</t>
  </si>
  <si>
    <t>韩超</t>
  </si>
  <si>
    <t>420325198004096117</t>
  </si>
  <si>
    <t>代新乐</t>
  </si>
  <si>
    <t>422626195802115715</t>
  </si>
  <si>
    <t>代新洲</t>
  </si>
  <si>
    <t>420325197911255711</t>
  </si>
  <si>
    <t>代新华</t>
  </si>
  <si>
    <t>422626195011195712</t>
  </si>
  <si>
    <t>代新芝</t>
  </si>
  <si>
    <t>42262619480125572X</t>
  </si>
  <si>
    <t>卧牛观村</t>
  </si>
  <si>
    <t>黄朝颖</t>
  </si>
  <si>
    <t>422626194605264813</t>
  </si>
  <si>
    <t>吴自立</t>
  </si>
  <si>
    <t>422626196912064837</t>
  </si>
  <si>
    <t>王宏林</t>
  </si>
  <si>
    <t>422626196701144816</t>
  </si>
  <si>
    <t>张廷勇</t>
  </si>
  <si>
    <t>422626196504164816</t>
  </si>
  <si>
    <t>陈开明</t>
  </si>
  <si>
    <t>422626195301094810</t>
  </si>
  <si>
    <t>邓传贵</t>
  </si>
  <si>
    <t>422626194804304814</t>
  </si>
  <si>
    <t>张仕友</t>
  </si>
  <si>
    <t>422626197212134819</t>
  </si>
  <si>
    <t>徐梅</t>
  </si>
  <si>
    <t>341623198812255221</t>
  </si>
  <si>
    <t>唐明菊</t>
  </si>
  <si>
    <t>42262619570510482X</t>
  </si>
  <si>
    <t>422626197201084844</t>
  </si>
  <si>
    <t>华荣太</t>
  </si>
  <si>
    <t>422626195006264816</t>
  </si>
  <si>
    <t>杨海涛</t>
  </si>
  <si>
    <t>420325198810154836</t>
  </si>
  <si>
    <t>罗正保</t>
  </si>
  <si>
    <t>42262619660213481X</t>
  </si>
  <si>
    <t>刘群</t>
  </si>
  <si>
    <t>422626196907184818</t>
  </si>
  <si>
    <t>肖照云</t>
  </si>
  <si>
    <t>420325195909185722</t>
  </si>
  <si>
    <t>张大酉</t>
  </si>
  <si>
    <t>422626193811054812</t>
  </si>
  <si>
    <t>任庆斌</t>
  </si>
  <si>
    <t>422626196802174832</t>
  </si>
  <si>
    <t>杨德林</t>
  </si>
  <si>
    <t>42262619540806485X</t>
  </si>
  <si>
    <t>金世安</t>
  </si>
  <si>
    <t>422626197002164817</t>
  </si>
  <si>
    <t>王大粉</t>
  </si>
  <si>
    <t>422626197407304822</t>
  </si>
  <si>
    <t>邹宗江</t>
  </si>
  <si>
    <t>422626197605154810</t>
  </si>
  <si>
    <t>周建军</t>
  </si>
  <si>
    <t>420325199203154812</t>
  </si>
  <si>
    <t>杨正军</t>
  </si>
  <si>
    <t>422626195806014815</t>
  </si>
  <si>
    <t>王大容</t>
  </si>
  <si>
    <t>422626197504214810</t>
  </si>
  <si>
    <t>周明友</t>
  </si>
  <si>
    <t>422626196906174810</t>
  </si>
  <si>
    <t>邓基勇</t>
  </si>
  <si>
    <t>422626197601294816</t>
  </si>
  <si>
    <t>王宏兵</t>
  </si>
  <si>
    <t>422626194911094816</t>
  </si>
  <si>
    <t>王宏海</t>
  </si>
  <si>
    <t>422626195502234819</t>
  </si>
  <si>
    <t>贺德兵</t>
  </si>
  <si>
    <t>42262619751216485X</t>
  </si>
  <si>
    <t>姚大友</t>
  </si>
  <si>
    <t>422626197006164814</t>
  </si>
  <si>
    <t>代新红</t>
  </si>
  <si>
    <t>422626194905214818</t>
  </si>
  <si>
    <t>邵丁举</t>
  </si>
  <si>
    <t>422626196711254810</t>
  </si>
  <si>
    <t>代明武</t>
  </si>
  <si>
    <t>422626197604264815</t>
  </si>
  <si>
    <t>代克元</t>
  </si>
  <si>
    <t>422626194603294816</t>
  </si>
  <si>
    <t>齐登海</t>
  </si>
  <si>
    <t>422626196912234824</t>
  </si>
  <si>
    <t>王大均</t>
  </si>
  <si>
    <t>422626197208014814</t>
  </si>
  <si>
    <t>黄自忠</t>
  </si>
  <si>
    <t>42032519540306571X</t>
  </si>
  <si>
    <t>马吉兰</t>
  </si>
  <si>
    <t>422626195112024824</t>
  </si>
  <si>
    <t>任长江</t>
  </si>
  <si>
    <t>42262619550807481X</t>
  </si>
  <si>
    <t>尚长树</t>
  </si>
  <si>
    <t>420325195603095710</t>
  </si>
  <si>
    <t>下河村</t>
  </si>
  <si>
    <t>戴军</t>
  </si>
  <si>
    <t>420325199210065711</t>
  </si>
  <si>
    <t>刘淑辉</t>
  </si>
  <si>
    <t>360312197701050023</t>
  </si>
  <si>
    <t>代安堂</t>
  </si>
  <si>
    <t>42262619701021575X</t>
  </si>
  <si>
    <t>代全友</t>
  </si>
  <si>
    <t>422626197008285716</t>
  </si>
  <si>
    <t xml:space="preserve">代全海 </t>
  </si>
  <si>
    <t>422626196706095712</t>
  </si>
  <si>
    <t>张金贤</t>
  </si>
  <si>
    <t>422626194811075714</t>
  </si>
  <si>
    <t>张启全</t>
  </si>
  <si>
    <t>422626197105245716</t>
  </si>
  <si>
    <t>李永平</t>
  </si>
  <si>
    <t>422626197404185717</t>
  </si>
  <si>
    <t>石满生</t>
  </si>
  <si>
    <t>422626196909125715</t>
  </si>
  <si>
    <t>杨太福</t>
  </si>
  <si>
    <t>422626196507135718</t>
  </si>
  <si>
    <t>张修海</t>
  </si>
  <si>
    <t>42262619621008573X</t>
  </si>
  <si>
    <t>李如兵</t>
  </si>
  <si>
    <t>422626197512125711</t>
  </si>
  <si>
    <t>李洪义</t>
  </si>
  <si>
    <t>422626197202195730</t>
  </si>
  <si>
    <t>张启智</t>
  </si>
  <si>
    <t>422626195504285716</t>
  </si>
  <si>
    <t>张启军</t>
  </si>
  <si>
    <t>42262619700312573X</t>
  </si>
  <si>
    <t xml:space="preserve">马定友 </t>
  </si>
  <si>
    <t>420325198008245714</t>
  </si>
  <si>
    <t>张运宝</t>
  </si>
  <si>
    <t>422626196504055712</t>
  </si>
  <si>
    <t>阳坪村</t>
  </si>
  <si>
    <t>石教元</t>
  </si>
  <si>
    <t>422626194803014815</t>
  </si>
  <si>
    <t>邓照全</t>
  </si>
  <si>
    <t>422626197010124815</t>
  </si>
  <si>
    <t>毛将军</t>
  </si>
  <si>
    <t>420325198706274811</t>
  </si>
  <si>
    <t>毛吉康</t>
  </si>
  <si>
    <t>422626195703134814</t>
  </si>
  <si>
    <t>代安波</t>
  </si>
  <si>
    <t>420325198806244812</t>
  </si>
  <si>
    <t>张仕林</t>
  </si>
  <si>
    <t>42262619680120485X</t>
  </si>
  <si>
    <t>费喜华</t>
  </si>
  <si>
    <t>420325198405044836</t>
  </si>
  <si>
    <t>徐胜均</t>
  </si>
  <si>
    <t>422626193308224810</t>
  </si>
  <si>
    <t>易守国</t>
  </si>
  <si>
    <t>422626196512144811</t>
  </si>
  <si>
    <t>刘志林</t>
  </si>
  <si>
    <t>420325197805084832</t>
  </si>
  <si>
    <t>刘炳山</t>
  </si>
  <si>
    <t>422626197501114814</t>
  </si>
  <si>
    <t>陈传彦</t>
  </si>
  <si>
    <t>42262619481207481X</t>
  </si>
  <si>
    <t>刘庆均</t>
  </si>
  <si>
    <t>420325197904064837</t>
  </si>
  <si>
    <t>徐德付</t>
  </si>
  <si>
    <t>422626194506274813</t>
  </si>
  <si>
    <t>刘志强</t>
  </si>
  <si>
    <t>422626195411274815</t>
  </si>
  <si>
    <t>徐忠成</t>
  </si>
  <si>
    <t>422626194810074832</t>
  </si>
  <si>
    <t>刘家奎</t>
  </si>
  <si>
    <t>422626196908194815</t>
  </si>
  <si>
    <t>王朝清</t>
  </si>
  <si>
    <t>42032519540218571X</t>
  </si>
  <si>
    <t>齐国义</t>
  </si>
  <si>
    <t>422626197312044837</t>
  </si>
  <si>
    <t>毛吉成</t>
  </si>
  <si>
    <t>420325195907195438</t>
  </si>
  <si>
    <t>张明华</t>
  </si>
  <si>
    <t>42262619500703481X</t>
  </si>
  <si>
    <t>丰传学</t>
  </si>
  <si>
    <t>422626195007044815</t>
  </si>
  <si>
    <t>高付成</t>
  </si>
  <si>
    <t>422626196310214850</t>
  </si>
  <si>
    <t>王国兵</t>
  </si>
  <si>
    <t>420325198206134812</t>
  </si>
  <si>
    <t>芦正清</t>
  </si>
  <si>
    <t>422626195503034835</t>
  </si>
  <si>
    <t>王朝合</t>
  </si>
  <si>
    <t>422626196708264831</t>
  </si>
  <si>
    <t>徐洪华</t>
  </si>
  <si>
    <t>420381196306095015</t>
  </si>
  <si>
    <t>王友奎</t>
  </si>
  <si>
    <t>422626196809304839</t>
  </si>
  <si>
    <t>422626194306224845</t>
  </si>
  <si>
    <t>张啟军</t>
  </si>
  <si>
    <t>422626196011234819</t>
  </si>
  <si>
    <t>戈启明</t>
  </si>
  <si>
    <t>42262619471105481X</t>
  </si>
  <si>
    <t>张仕成</t>
  </si>
  <si>
    <t>422626195601134813</t>
  </si>
  <si>
    <t>齐登华</t>
  </si>
  <si>
    <t>422626194704244818</t>
  </si>
  <si>
    <t>戈启陆</t>
  </si>
  <si>
    <t>422626196209114812</t>
  </si>
  <si>
    <t>张启荣</t>
  </si>
  <si>
    <t>42262619500627482X</t>
  </si>
  <si>
    <t>李德生</t>
  </si>
  <si>
    <t>422626197104104815</t>
  </si>
  <si>
    <t>徐忠新</t>
  </si>
  <si>
    <t>422626196810244810</t>
  </si>
  <si>
    <t>徐忠华</t>
  </si>
  <si>
    <t>422626195702044817</t>
  </si>
  <si>
    <t>潘正平</t>
  </si>
  <si>
    <t>422626197603144811</t>
  </si>
  <si>
    <t>王朝明</t>
  </si>
  <si>
    <t>422626196702244813</t>
  </si>
  <si>
    <t>王朝华</t>
  </si>
  <si>
    <t>422626197003134839</t>
  </si>
  <si>
    <t>王厚成</t>
  </si>
  <si>
    <t>420325197201254810</t>
  </si>
  <si>
    <t>刘志奎</t>
  </si>
  <si>
    <t>422626196805034851</t>
  </si>
  <si>
    <t>徐新飞</t>
  </si>
  <si>
    <t>420325199108224819</t>
  </si>
  <si>
    <t>何涛</t>
  </si>
  <si>
    <t>420325198806144811</t>
  </si>
  <si>
    <t>刘志明</t>
  </si>
  <si>
    <t>422626194506294830</t>
  </si>
  <si>
    <t>陈知洪</t>
  </si>
  <si>
    <t>422626196704094812</t>
  </si>
  <si>
    <t>杨家院村</t>
  </si>
  <si>
    <t>李贵华</t>
  </si>
  <si>
    <t>422626196112144812</t>
  </si>
  <si>
    <t>任世菊</t>
  </si>
  <si>
    <t>422626196205304846</t>
  </si>
  <si>
    <t>胡启祥</t>
  </si>
  <si>
    <t>422626195607054830</t>
  </si>
  <si>
    <t>杨永军</t>
  </si>
  <si>
    <t>422626197502234818</t>
  </si>
  <si>
    <t>龚义才</t>
  </si>
  <si>
    <t>42032519600313483X</t>
  </si>
  <si>
    <t>散兴友</t>
  </si>
  <si>
    <t>422626197707144816</t>
  </si>
  <si>
    <t>郭朝清</t>
  </si>
  <si>
    <t>422626196607144814</t>
  </si>
  <si>
    <t>曾友先</t>
  </si>
  <si>
    <t>422626197209064813</t>
  </si>
  <si>
    <t>刘银国</t>
  </si>
  <si>
    <t>422626196306244811</t>
  </si>
  <si>
    <t>段照明</t>
  </si>
  <si>
    <t>422626196003134818</t>
  </si>
  <si>
    <t>段照停</t>
  </si>
  <si>
    <t>422626195706024813</t>
  </si>
  <si>
    <t>李新友</t>
  </si>
  <si>
    <t>422626196711304857</t>
  </si>
  <si>
    <t>金开兰</t>
  </si>
  <si>
    <t>422626194912216723</t>
  </si>
  <si>
    <t>王传柱</t>
  </si>
  <si>
    <t>422626196112224812</t>
  </si>
  <si>
    <t>李言金</t>
  </si>
  <si>
    <t>420325195903101115</t>
  </si>
  <si>
    <t>刘志华</t>
  </si>
  <si>
    <t>422626197107294810</t>
  </si>
  <si>
    <t>杨正全</t>
  </si>
  <si>
    <t>422626196001174816</t>
  </si>
  <si>
    <t>邹清贵</t>
  </si>
  <si>
    <t>422626196511094832</t>
  </si>
  <si>
    <t>散兴禄</t>
  </si>
  <si>
    <t>422626196308114834</t>
  </si>
  <si>
    <t>朱家林</t>
  </si>
  <si>
    <t>422626196301234817</t>
  </si>
  <si>
    <t>朱修双</t>
  </si>
  <si>
    <t>422626196211044817</t>
  </si>
  <si>
    <t>王成良</t>
  </si>
  <si>
    <t>422626197509024813</t>
  </si>
  <si>
    <t>毛入清</t>
  </si>
  <si>
    <t>422626197202104835</t>
  </si>
  <si>
    <t>朱胜军</t>
  </si>
  <si>
    <t>422626197511284817</t>
  </si>
  <si>
    <t>杨安明</t>
  </si>
  <si>
    <t>422626195310014811</t>
  </si>
  <si>
    <t>刘桂芝</t>
  </si>
  <si>
    <t>422626197102094821</t>
  </si>
  <si>
    <t>余建平</t>
  </si>
  <si>
    <t>422626197001244815</t>
  </si>
  <si>
    <t>王传道</t>
  </si>
  <si>
    <t>422626193504134812</t>
  </si>
  <si>
    <t>胡启成</t>
  </si>
  <si>
    <t>422626195707074812</t>
  </si>
  <si>
    <t>彭德成</t>
  </si>
  <si>
    <t>422626197001194811</t>
  </si>
  <si>
    <t>陈富军</t>
  </si>
  <si>
    <t>420325197906114850</t>
  </si>
  <si>
    <t>刘志炳</t>
  </si>
  <si>
    <t>422626195804044818</t>
  </si>
  <si>
    <t>杨正宏</t>
  </si>
  <si>
    <t>422626196401054835</t>
  </si>
  <si>
    <t>422626196802104850</t>
  </si>
  <si>
    <t>杨善兵</t>
  </si>
  <si>
    <t>422626195401274811</t>
  </si>
  <si>
    <t>朱家弟</t>
  </si>
  <si>
    <t>422626194309294815</t>
  </si>
  <si>
    <t>邓光芝</t>
  </si>
  <si>
    <t>422626195405174818</t>
  </si>
  <si>
    <t>崔德平</t>
  </si>
  <si>
    <t>422626197306284818</t>
  </si>
  <si>
    <t>杨善海</t>
  </si>
  <si>
    <t>422626194502174815</t>
  </si>
  <si>
    <t>杨善群</t>
  </si>
  <si>
    <t>422626196704214810</t>
  </si>
  <si>
    <t>杨善清</t>
  </si>
  <si>
    <t>422626195801084814</t>
  </si>
  <si>
    <t>刘仕清</t>
  </si>
  <si>
    <t>422626196311184817</t>
  </si>
  <si>
    <t>彭明让</t>
  </si>
  <si>
    <t>422626196911024817</t>
  </si>
  <si>
    <t>郑朝梅</t>
  </si>
  <si>
    <t>422626196750415482X</t>
  </si>
  <si>
    <t>邓兆华</t>
  </si>
  <si>
    <t>422626196108254816</t>
  </si>
  <si>
    <t>胡启明</t>
  </si>
  <si>
    <t>422626195808284819</t>
  </si>
  <si>
    <t>房成根</t>
  </si>
  <si>
    <t>422626195409014838</t>
  </si>
  <si>
    <t>童世平</t>
  </si>
  <si>
    <t>422626197310264836</t>
  </si>
  <si>
    <t>邹清洋</t>
  </si>
  <si>
    <t>422626196511094816</t>
  </si>
  <si>
    <t>八里扁村</t>
  </si>
  <si>
    <t>张吉贤</t>
  </si>
  <si>
    <t>422626195609195776</t>
  </si>
  <si>
    <t>余道华</t>
  </si>
  <si>
    <t>422626195510234819</t>
  </si>
  <si>
    <t>莫堂学</t>
  </si>
  <si>
    <t>42262619560201571X</t>
  </si>
  <si>
    <t>张广树</t>
  </si>
  <si>
    <t>420325197808115710</t>
  </si>
  <si>
    <t>贺茂义</t>
  </si>
  <si>
    <t>422626197103025736</t>
  </si>
  <si>
    <t>岳相宝</t>
  </si>
  <si>
    <t>42262619730506571X</t>
  </si>
  <si>
    <t>张仁余</t>
  </si>
  <si>
    <t>422626195701235718</t>
  </si>
  <si>
    <t>郭怀云</t>
  </si>
  <si>
    <t>422626195604245762</t>
  </si>
  <si>
    <t>张仁银</t>
  </si>
  <si>
    <t>422626197209195733</t>
  </si>
  <si>
    <t>陈启堂</t>
  </si>
  <si>
    <t>420325195108305717</t>
  </si>
  <si>
    <t>清河村</t>
  </si>
  <si>
    <t>李朝平</t>
  </si>
  <si>
    <t>422626196904084841</t>
  </si>
  <si>
    <t>张金如</t>
  </si>
  <si>
    <t>422626194401254816</t>
  </si>
  <si>
    <t>杨美华</t>
  </si>
  <si>
    <t>422626196001254838</t>
  </si>
  <si>
    <t>李圣华</t>
  </si>
  <si>
    <t>42262619640916481X</t>
  </si>
  <si>
    <t>李志学</t>
  </si>
  <si>
    <t>422626196402064859</t>
  </si>
  <si>
    <t>邹万金</t>
  </si>
  <si>
    <t>422626195809284859</t>
  </si>
  <si>
    <t>张梦姣</t>
  </si>
  <si>
    <t>422626199104264821</t>
  </si>
  <si>
    <t>齐爽</t>
  </si>
  <si>
    <t>422626199208284827</t>
  </si>
  <si>
    <t>丰传德</t>
  </si>
  <si>
    <t>422626195909174818</t>
  </si>
  <si>
    <t>罗天成</t>
  </si>
  <si>
    <t>422626195612186117</t>
  </si>
  <si>
    <t>李志生</t>
  </si>
  <si>
    <t>422626195611184857</t>
  </si>
  <si>
    <t>黄启根</t>
  </si>
  <si>
    <t>422626197401064813</t>
  </si>
  <si>
    <t>万振</t>
  </si>
  <si>
    <t>420325198511066115</t>
  </si>
  <si>
    <t>曹祥华</t>
  </si>
  <si>
    <t>422626197102034817</t>
  </si>
  <si>
    <t>齐国贵</t>
  </si>
  <si>
    <t>422626197202024819</t>
  </si>
  <si>
    <t>蔡新忠</t>
  </si>
  <si>
    <t>422626196212294818</t>
  </si>
  <si>
    <t>李德军</t>
  </si>
  <si>
    <t>422626197311254832</t>
  </si>
  <si>
    <t>张林旭</t>
  </si>
  <si>
    <t>422626196901094811</t>
  </si>
  <si>
    <t>张新入</t>
  </si>
  <si>
    <t>422626196509254817</t>
  </si>
  <si>
    <t>周涛</t>
  </si>
  <si>
    <t>420325198212215715</t>
  </si>
  <si>
    <t>深峪沟村</t>
  </si>
  <si>
    <t>陈信春</t>
  </si>
  <si>
    <t>422626195104244819</t>
  </si>
  <si>
    <t>赵大喜</t>
  </si>
  <si>
    <t>422626195511044830</t>
  </si>
  <si>
    <t>赵大聪</t>
  </si>
  <si>
    <t>422626195408044816</t>
  </si>
  <si>
    <t>代华</t>
  </si>
  <si>
    <t>422626196612234830</t>
  </si>
  <si>
    <t>邓新芝</t>
  </si>
  <si>
    <t>422626194811034824</t>
  </si>
  <si>
    <t>赵大发</t>
  </si>
  <si>
    <t>422626194802134831</t>
  </si>
  <si>
    <t>赵大香</t>
  </si>
  <si>
    <t>422626195207114822</t>
  </si>
  <si>
    <t>刘家朝</t>
  </si>
  <si>
    <t>422626193605064817</t>
  </si>
  <si>
    <t>赵天运</t>
  </si>
  <si>
    <t>422626195907234817</t>
  </si>
  <si>
    <t>代新成</t>
  </si>
  <si>
    <t>422626195601094831</t>
  </si>
  <si>
    <t>刘志刚</t>
  </si>
  <si>
    <t>422626195302144851</t>
  </si>
  <si>
    <t>李功进</t>
  </si>
  <si>
    <t>422626195408064817</t>
  </si>
  <si>
    <t>梁启明</t>
  </si>
  <si>
    <t>422626195506174812</t>
  </si>
  <si>
    <t>吕家英</t>
  </si>
  <si>
    <t>422626195607034827</t>
  </si>
  <si>
    <t>刘家明</t>
  </si>
  <si>
    <t>422626195508244815</t>
  </si>
  <si>
    <t>陈信忠</t>
  </si>
  <si>
    <t>422626194409144814</t>
  </si>
  <si>
    <t>周明学</t>
  </si>
  <si>
    <t>422626195508284833</t>
  </si>
  <si>
    <t>陈知财</t>
  </si>
  <si>
    <t>422626193901044810</t>
  </si>
  <si>
    <t>周明粉</t>
  </si>
  <si>
    <t>42262619510518482X</t>
  </si>
  <si>
    <t>代全文</t>
  </si>
  <si>
    <t>422626197603154817</t>
  </si>
  <si>
    <t>周明双</t>
  </si>
  <si>
    <t>422626195401284817</t>
  </si>
  <si>
    <t>李明进</t>
  </si>
  <si>
    <t>422626194212184812</t>
  </si>
  <si>
    <t>李明信</t>
  </si>
  <si>
    <t>422626194501274814</t>
  </si>
  <si>
    <t>刘家兵</t>
  </si>
  <si>
    <t>422626193709214816</t>
  </si>
  <si>
    <t>余广</t>
  </si>
  <si>
    <t>420325196603215713</t>
  </si>
  <si>
    <t>周新业</t>
  </si>
  <si>
    <t>422626194207024814</t>
  </si>
  <si>
    <t>河坪村</t>
  </si>
  <si>
    <t>杨顺华</t>
  </si>
  <si>
    <t>422626196703094810</t>
  </si>
  <si>
    <t>高修成</t>
  </si>
  <si>
    <t>422626196403026111</t>
  </si>
  <si>
    <t>422626194812164815</t>
  </si>
  <si>
    <t>孙相明</t>
  </si>
  <si>
    <t>422626195408144833</t>
  </si>
  <si>
    <t>叶明群</t>
  </si>
  <si>
    <t>422626195404304836</t>
  </si>
  <si>
    <t>王付强</t>
  </si>
  <si>
    <t>420325194512275711</t>
  </si>
  <si>
    <t>李合堂</t>
  </si>
  <si>
    <t>422626196704044815</t>
  </si>
  <si>
    <t>叶胜强</t>
  </si>
  <si>
    <t>422626195507314818</t>
  </si>
  <si>
    <t>何平香</t>
  </si>
  <si>
    <t>422626197004244845</t>
  </si>
  <si>
    <t>王贵安</t>
  </si>
  <si>
    <t>422626195412134814</t>
  </si>
  <si>
    <t>叶光权</t>
  </si>
  <si>
    <t>42262619570410481X</t>
  </si>
  <si>
    <t>曹光茂</t>
  </si>
  <si>
    <t>422626194402204810</t>
  </si>
  <si>
    <t>李明堂</t>
  </si>
  <si>
    <t>422626195112044833</t>
  </si>
  <si>
    <t>刘志彦</t>
  </si>
  <si>
    <t>420325195204205716</t>
  </si>
  <si>
    <t>贺德权</t>
  </si>
  <si>
    <t>422626194510114812</t>
  </si>
  <si>
    <t>叶明训</t>
  </si>
  <si>
    <t>422626195209304830</t>
  </si>
  <si>
    <t>徐涛</t>
  </si>
  <si>
    <t>422626197103044814</t>
  </si>
  <si>
    <t>叶明江</t>
  </si>
  <si>
    <t>422626195511274839</t>
  </si>
  <si>
    <t>邓家华</t>
  </si>
  <si>
    <t>422626195106654816</t>
  </si>
  <si>
    <t>王明华</t>
  </si>
  <si>
    <t>422626195611024837</t>
  </si>
  <si>
    <t>代明海</t>
  </si>
  <si>
    <t>422626196110054811</t>
  </si>
  <si>
    <t>刘志合</t>
  </si>
  <si>
    <t>422626196212184838</t>
  </si>
  <si>
    <t>叶胜兵</t>
  </si>
  <si>
    <t>422626197811104830</t>
  </si>
  <si>
    <t>徐新春</t>
  </si>
  <si>
    <t>422626195402034836</t>
  </si>
  <si>
    <t>刘志权</t>
  </si>
  <si>
    <t>422626194612054814</t>
  </si>
  <si>
    <t>徐新兵</t>
  </si>
  <si>
    <t>422626197602124819</t>
  </si>
  <si>
    <t>杨新义</t>
  </si>
  <si>
    <t>422626193812114813</t>
  </si>
  <si>
    <t>贺茂奎</t>
  </si>
  <si>
    <t>422626196902094872</t>
  </si>
  <si>
    <t>康家德</t>
  </si>
  <si>
    <t>422626195210274819</t>
  </si>
  <si>
    <t>代明恕</t>
  </si>
  <si>
    <t>422626195506244811</t>
  </si>
  <si>
    <t>金仕海</t>
  </si>
  <si>
    <t>422626197303104834</t>
  </si>
  <si>
    <t>代明学</t>
  </si>
  <si>
    <t>422626196109264813</t>
  </si>
  <si>
    <t>贺茂平</t>
  </si>
  <si>
    <t>420325197410164870</t>
  </si>
  <si>
    <t>吴正强</t>
  </si>
  <si>
    <t>422626197312204810</t>
  </si>
  <si>
    <t>刘志金</t>
  </si>
  <si>
    <t>42262619600923481X</t>
  </si>
  <si>
    <t>徐中汉</t>
  </si>
  <si>
    <t>42262619421018481943</t>
  </si>
  <si>
    <t>黄朝富</t>
  </si>
  <si>
    <t>422626196107034811</t>
  </si>
  <si>
    <t>李光珠</t>
  </si>
  <si>
    <t>422626196801294832</t>
  </si>
  <si>
    <t>叶明学</t>
  </si>
  <si>
    <t>422626194812274811</t>
  </si>
  <si>
    <t>叶明洲</t>
  </si>
  <si>
    <t>422626195203204812</t>
  </si>
  <si>
    <t>李光玉</t>
  </si>
  <si>
    <t>422626196905144831</t>
  </si>
  <si>
    <t>毛洪平</t>
  </si>
  <si>
    <t>422626196907204815</t>
  </si>
  <si>
    <t>黄朝进</t>
  </si>
  <si>
    <t>422626195410164833</t>
  </si>
  <si>
    <t>叶猛</t>
  </si>
  <si>
    <t>420325198010194813</t>
  </si>
  <si>
    <t>徐开银</t>
  </si>
  <si>
    <t>422626196703244831</t>
  </si>
  <si>
    <t>叶光炳</t>
  </si>
  <si>
    <t>422626193802094812</t>
  </si>
  <si>
    <t>422626194304284810</t>
  </si>
  <si>
    <t>叶明礼</t>
  </si>
  <si>
    <t>422626194610154811</t>
  </si>
  <si>
    <t>叶光兴</t>
  </si>
  <si>
    <t>422626194110054830</t>
  </si>
  <si>
    <t>邓家强</t>
  </si>
  <si>
    <t>422626196109134816</t>
  </si>
  <si>
    <t>李光海</t>
  </si>
  <si>
    <t>422262619531112481X</t>
  </si>
  <si>
    <t>龚庭香</t>
  </si>
  <si>
    <t>422626195512264827</t>
  </si>
  <si>
    <t>李会堂</t>
  </si>
  <si>
    <t>422626194906304815</t>
  </si>
  <si>
    <t>周新全</t>
  </si>
  <si>
    <t>422626196704104814</t>
  </si>
  <si>
    <t>青峰街村</t>
  </si>
  <si>
    <t>沈永江</t>
  </si>
  <si>
    <t>422626197603035711</t>
  </si>
  <si>
    <t>董清福</t>
  </si>
  <si>
    <t>420325195505225710</t>
  </si>
  <si>
    <t>代大成</t>
  </si>
  <si>
    <t>42032519640606571X</t>
  </si>
  <si>
    <t>高明均</t>
  </si>
  <si>
    <t>422626197406265753</t>
  </si>
  <si>
    <t>刘会华</t>
  </si>
  <si>
    <t>420325196405015729</t>
  </si>
  <si>
    <t>陈佰权</t>
  </si>
  <si>
    <t>422626195811276115</t>
  </si>
  <si>
    <t>刘金根</t>
  </si>
  <si>
    <t>42032519540531571931</t>
  </si>
  <si>
    <t>张启虎</t>
  </si>
  <si>
    <t>42032519720513571231</t>
  </si>
  <si>
    <t>张仁忠</t>
  </si>
  <si>
    <t>422626195107265711</t>
  </si>
  <si>
    <t>张富贤</t>
  </si>
  <si>
    <t>42262619501105571X31</t>
  </si>
  <si>
    <t>张举贤</t>
  </si>
  <si>
    <t>422626194602035716</t>
  </si>
  <si>
    <t>周学平</t>
  </si>
  <si>
    <t>420325195103085719</t>
  </si>
  <si>
    <t>张清贤</t>
  </si>
  <si>
    <t>422626194704295711</t>
  </si>
  <si>
    <t>尹义强</t>
  </si>
  <si>
    <t>42262619520808571X</t>
  </si>
  <si>
    <t>吴元政</t>
  </si>
  <si>
    <t>420325193701015711</t>
  </si>
  <si>
    <t>周义炳</t>
  </si>
  <si>
    <t>422626194610315718</t>
  </si>
  <si>
    <t>尚长兰</t>
  </si>
  <si>
    <t>422626194710306122</t>
  </si>
  <si>
    <t>莫学林</t>
  </si>
  <si>
    <t>42032519611216572331</t>
  </si>
  <si>
    <t>422626195609195717</t>
  </si>
  <si>
    <t>刘志文</t>
  </si>
  <si>
    <t>422626195302105713</t>
  </si>
  <si>
    <t>代明福</t>
  </si>
  <si>
    <t>42262619500831571X54</t>
  </si>
  <si>
    <t>张成贤</t>
  </si>
  <si>
    <t>42032519551009571144</t>
  </si>
  <si>
    <t>潘同心</t>
  </si>
  <si>
    <t>422626195410305712</t>
  </si>
  <si>
    <t>鲍贵华</t>
  </si>
  <si>
    <t>422626194712015716</t>
  </si>
  <si>
    <t>王汉章</t>
  </si>
  <si>
    <t>422626195905085715</t>
  </si>
  <si>
    <t>峪坪河村</t>
  </si>
  <si>
    <t>程配忠</t>
  </si>
  <si>
    <t>422626194806084819</t>
  </si>
  <si>
    <t>罗昌发</t>
  </si>
  <si>
    <t>420325194002185718</t>
  </si>
  <si>
    <t>刘光成</t>
  </si>
  <si>
    <t>422626195301215712</t>
  </si>
  <si>
    <t>胡兆荣</t>
  </si>
  <si>
    <t>422626195110102719</t>
  </si>
  <si>
    <t>代全涛</t>
  </si>
  <si>
    <t>42032519940315573X</t>
  </si>
  <si>
    <t>代新芬</t>
  </si>
  <si>
    <t>422626195309095722</t>
  </si>
  <si>
    <t>张仕平</t>
  </si>
  <si>
    <t>420325199007097929</t>
  </si>
  <si>
    <t>莫国政</t>
  </si>
  <si>
    <t>422626196204225716</t>
  </si>
  <si>
    <t>莫国军</t>
  </si>
  <si>
    <t>422626197202015752</t>
  </si>
  <si>
    <t>吴安林</t>
  </si>
  <si>
    <t>422626197201157556</t>
  </si>
  <si>
    <t>刘庆文</t>
  </si>
  <si>
    <t>42262619431004571X</t>
  </si>
  <si>
    <t>罗昌举</t>
  </si>
  <si>
    <t>422626194601145710</t>
  </si>
  <si>
    <t>汪安莲</t>
  </si>
  <si>
    <t>420325196701135725</t>
  </si>
  <si>
    <t>龚世龙</t>
  </si>
  <si>
    <t>42262619741021481X</t>
  </si>
  <si>
    <t>许光兵</t>
  </si>
  <si>
    <t>420325196712275715</t>
  </si>
  <si>
    <t>吴桂全</t>
  </si>
  <si>
    <t>422626196809185710</t>
  </si>
  <si>
    <t>代新富</t>
  </si>
  <si>
    <t>422626195203045719</t>
  </si>
  <si>
    <t>梅花山村</t>
  </si>
  <si>
    <t>胡华祥</t>
  </si>
  <si>
    <t>420325193711307910</t>
  </si>
  <si>
    <t>黄顺岗</t>
  </si>
  <si>
    <t>422626196711205736</t>
  </si>
  <si>
    <t>庄勇</t>
  </si>
  <si>
    <t>420325198408097917</t>
  </si>
  <si>
    <t>陈清华</t>
  </si>
  <si>
    <t>42032519730605791X</t>
  </si>
  <si>
    <t>代全汉</t>
  </si>
  <si>
    <t>422626194812025751</t>
  </si>
  <si>
    <t>马玉琴</t>
  </si>
  <si>
    <t>420325197911145723</t>
  </si>
  <si>
    <t>周启明</t>
  </si>
  <si>
    <t>422626196811175773</t>
  </si>
  <si>
    <t>张贵权</t>
  </si>
  <si>
    <t>422626195005195716</t>
  </si>
  <si>
    <t>桂兴庚</t>
  </si>
  <si>
    <t>42262619560412571X</t>
  </si>
  <si>
    <t>冯家坡村</t>
  </si>
  <si>
    <t>易望映</t>
  </si>
  <si>
    <t>422626192912115712</t>
  </si>
  <si>
    <t>张祝平</t>
  </si>
  <si>
    <t>422626197002235734</t>
  </si>
  <si>
    <t>张运奇</t>
  </si>
  <si>
    <t>422626194401045731</t>
  </si>
  <si>
    <t>汪安全</t>
  </si>
  <si>
    <t>420325197401105713</t>
  </si>
  <si>
    <t>杜成河</t>
  </si>
  <si>
    <t>422626197001215715</t>
  </si>
  <si>
    <t>张仁传</t>
  </si>
  <si>
    <t>422626196711045736</t>
  </si>
  <si>
    <t>张仁航</t>
  </si>
  <si>
    <t>422626197202145717</t>
  </si>
  <si>
    <t>张运连</t>
  </si>
  <si>
    <t>422626195403135727</t>
  </si>
  <si>
    <t>张宏林</t>
  </si>
  <si>
    <t>422626196106265714</t>
  </si>
  <si>
    <t>张仁龙</t>
  </si>
  <si>
    <t>422626196310215714</t>
  </si>
  <si>
    <t>杨薛</t>
  </si>
  <si>
    <t>42032519880722571X</t>
  </si>
  <si>
    <t>杨太敏</t>
  </si>
  <si>
    <t>422626195308025714</t>
  </si>
  <si>
    <t>杨顺治</t>
  </si>
  <si>
    <t>422626194005165715</t>
  </si>
  <si>
    <t>易仲星</t>
  </si>
  <si>
    <t>422626197101295716</t>
  </si>
  <si>
    <t>刘庆菊</t>
  </si>
  <si>
    <t>422626194106195745</t>
  </si>
  <si>
    <t>汪安军</t>
  </si>
  <si>
    <t>422626197202125716</t>
  </si>
  <si>
    <t>张运清</t>
  </si>
  <si>
    <t>422626196401225758</t>
  </si>
  <si>
    <t>杨关福</t>
  </si>
  <si>
    <t>422626195710175710</t>
  </si>
  <si>
    <t>黄荣翠</t>
  </si>
  <si>
    <t>42032519790102572X</t>
  </si>
  <si>
    <t>毛洪军</t>
  </si>
  <si>
    <t>422626196712105700</t>
  </si>
  <si>
    <t>422626196706205715</t>
  </si>
  <si>
    <t>蒋贵清</t>
  </si>
  <si>
    <t>422626196506265713</t>
  </si>
  <si>
    <t>代克兰</t>
  </si>
  <si>
    <t>420325194104065723</t>
  </si>
  <si>
    <t>莫国燕</t>
  </si>
  <si>
    <t>420325198012175747</t>
  </si>
  <si>
    <t>汪锐</t>
  </si>
  <si>
    <t>420325200203225719</t>
  </si>
  <si>
    <t>李青兵</t>
  </si>
  <si>
    <t>422626196611075719</t>
  </si>
  <si>
    <t>杨道礼</t>
  </si>
  <si>
    <t>422626194112155715</t>
  </si>
  <si>
    <t>张大菊</t>
  </si>
  <si>
    <t>420325194907175723</t>
  </si>
  <si>
    <t>杨太宏</t>
  </si>
  <si>
    <t>422626196106025710</t>
  </si>
  <si>
    <t>郑永宝</t>
  </si>
  <si>
    <t>422626195506095713</t>
  </si>
  <si>
    <t>郑永才</t>
  </si>
  <si>
    <t>42262619501025571X</t>
  </si>
  <si>
    <t>西山村</t>
  </si>
  <si>
    <t>许明国</t>
  </si>
  <si>
    <t>422626197209065736</t>
  </si>
  <si>
    <t>高德举</t>
  </si>
  <si>
    <t>422626194907285716</t>
  </si>
  <si>
    <t>高明锋</t>
  </si>
  <si>
    <t>422626196901075733</t>
  </si>
  <si>
    <t>葛天富</t>
  </si>
  <si>
    <t>420325197504035711</t>
  </si>
  <si>
    <t>肖选平</t>
  </si>
  <si>
    <t>420325197410315712</t>
  </si>
  <si>
    <t>双坪河村</t>
  </si>
  <si>
    <t>张国清</t>
  </si>
  <si>
    <t>42262619600309481X</t>
  </si>
  <si>
    <t>刘家重</t>
  </si>
  <si>
    <t>422626195712144811</t>
  </si>
  <si>
    <t>代晓峰</t>
  </si>
  <si>
    <t>420325198403114814</t>
  </si>
  <si>
    <t>李光生</t>
  </si>
  <si>
    <t>422626194904054816</t>
  </si>
  <si>
    <t>黄龙明</t>
  </si>
  <si>
    <t>422626196308145769</t>
  </si>
  <si>
    <t>刘家根</t>
  </si>
  <si>
    <t>422626194211224819</t>
  </si>
  <si>
    <t>赵克沛</t>
  </si>
  <si>
    <t>42262619390305481X</t>
  </si>
  <si>
    <t>周明陆</t>
  </si>
  <si>
    <t>422626196909154831</t>
  </si>
  <si>
    <t>刘志田</t>
  </si>
  <si>
    <t>422626195503264833</t>
  </si>
  <si>
    <t>吴自山</t>
  </si>
  <si>
    <t>422626195501044810</t>
  </si>
  <si>
    <t>王洪江</t>
  </si>
  <si>
    <t>422626194806054812</t>
  </si>
  <si>
    <t>余自江</t>
  </si>
  <si>
    <t>422626193103194814</t>
  </si>
  <si>
    <t>代明东</t>
  </si>
  <si>
    <t>420325198802214819</t>
  </si>
  <si>
    <t>彭国成</t>
  </si>
  <si>
    <t>422626196501104814</t>
  </si>
  <si>
    <t>赵辉群</t>
  </si>
  <si>
    <t>42262619700430481X</t>
  </si>
  <si>
    <t>楼房村</t>
  </si>
  <si>
    <t>王顺兵</t>
  </si>
  <si>
    <t>42032519860101573X</t>
  </si>
  <si>
    <t>422626196405055733</t>
  </si>
  <si>
    <t>杨明忠</t>
  </si>
  <si>
    <t>422626194811025717</t>
  </si>
  <si>
    <t>刘志地</t>
  </si>
  <si>
    <t>420325195710205719</t>
  </si>
  <si>
    <t>房承烈</t>
  </si>
  <si>
    <t>420325194703065717</t>
  </si>
  <si>
    <t>房承电</t>
  </si>
  <si>
    <t>422626194012285715</t>
  </si>
  <si>
    <t>周义树</t>
  </si>
  <si>
    <t>420325195209185718</t>
  </si>
  <si>
    <t>刘志喜</t>
  </si>
  <si>
    <t>420325195310285713</t>
  </si>
  <si>
    <t>毛清英</t>
  </si>
  <si>
    <t>420325194803085715</t>
  </si>
  <si>
    <t>易明权</t>
  </si>
  <si>
    <t>42032519841235715</t>
  </si>
  <si>
    <t>刘光全</t>
  </si>
  <si>
    <t>422626196410085750</t>
  </si>
  <si>
    <t>422626196401295713</t>
  </si>
  <si>
    <t>刘志高</t>
  </si>
  <si>
    <t>420325199004064830</t>
  </si>
  <si>
    <t xml:space="preserve">刘庆国 </t>
  </si>
  <si>
    <t>422626196903155710</t>
  </si>
  <si>
    <t>张家河村</t>
  </si>
  <si>
    <t>王世明</t>
  </si>
  <si>
    <t>422626194412265718</t>
  </si>
  <si>
    <t>马传林</t>
  </si>
  <si>
    <t>422626197510255715</t>
  </si>
  <si>
    <t>420325198901155754</t>
  </si>
  <si>
    <t>罗天军</t>
  </si>
  <si>
    <t>420325198006255715</t>
  </si>
  <si>
    <t>刘庆远</t>
  </si>
  <si>
    <t>422626194712205712</t>
  </si>
  <si>
    <t>赵正合</t>
  </si>
  <si>
    <t>422626194208055735</t>
  </si>
  <si>
    <t>李读兵</t>
  </si>
  <si>
    <t>422626197406265737</t>
  </si>
  <si>
    <t>代安军</t>
  </si>
  <si>
    <t>422626197404225715</t>
  </si>
  <si>
    <t>杨成启</t>
  </si>
  <si>
    <t>422626196406075736</t>
  </si>
  <si>
    <t>陡口村</t>
  </si>
  <si>
    <t>高德均</t>
  </si>
  <si>
    <t>422626194702285755</t>
  </si>
  <si>
    <t>戢运清</t>
  </si>
  <si>
    <t>42262619730306573X</t>
  </si>
  <si>
    <t>张桂林</t>
  </si>
  <si>
    <t>422626196402145733</t>
  </si>
  <si>
    <t>谭举明</t>
  </si>
  <si>
    <t>422626194807305716</t>
  </si>
  <si>
    <t>台口村</t>
  </si>
  <si>
    <t>未仕平</t>
  </si>
  <si>
    <t>420325198310235736</t>
  </si>
  <si>
    <t>陈朝祥</t>
  </si>
  <si>
    <t>420626196703052037</t>
  </si>
  <si>
    <t>李加文</t>
  </si>
  <si>
    <t>420325195403205719</t>
  </si>
  <si>
    <t>王开友</t>
  </si>
  <si>
    <t>420325196404245717</t>
  </si>
  <si>
    <t>罗大奎</t>
  </si>
  <si>
    <t>422626194202145713</t>
  </si>
  <si>
    <t>张永照</t>
  </si>
  <si>
    <t>422626195006105719</t>
  </si>
  <si>
    <t>陈华财</t>
  </si>
  <si>
    <t>422626195607205715</t>
  </si>
  <si>
    <t>李观奎</t>
  </si>
  <si>
    <t>42262619550118571X</t>
  </si>
  <si>
    <t>何启山</t>
  </si>
  <si>
    <t>422626196311285714</t>
  </si>
  <si>
    <t>周仁平</t>
  </si>
  <si>
    <t>422626196908285717</t>
  </si>
  <si>
    <t>周仁贵</t>
  </si>
  <si>
    <t>422626196205175714</t>
  </si>
  <si>
    <t>李长平</t>
  </si>
  <si>
    <t>422626196905305719</t>
  </si>
  <si>
    <t>熊开全</t>
  </si>
  <si>
    <t>422626196702265737</t>
  </si>
  <si>
    <t>何启平</t>
  </si>
  <si>
    <t>422626197002025710</t>
  </si>
  <si>
    <t>张仁陆</t>
  </si>
  <si>
    <t>422626196307095715</t>
  </si>
  <si>
    <t>刘加宝</t>
  </si>
  <si>
    <t>420626198310071017</t>
  </si>
  <si>
    <t>李长林</t>
  </si>
  <si>
    <t>422626197411275710</t>
  </si>
  <si>
    <t>张仁奎</t>
  </si>
  <si>
    <t>422626196305125773</t>
  </si>
  <si>
    <t>辛长均</t>
  </si>
  <si>
    <t>422626197112265790</t>
  </si>
  <si>
    <t>王开文</t>
  </si>
  <si>
    <t>115713044226261968</t>
  </si>
  <si>
    <t>张顶朝</t>
  </si>
  <si>
    <t>422626196510205756</t>
  </si>
  <si>
    <t>张仁义</t>
  </si>
  <si>
    <t>422626194203065715</t>
  </si>
  <si>
    <t>罗大明</t>
  </si>
  <si>
    <t>42262619460305571X</t>
  </si>
  <si>
    <t>罗大元</t>
  </si>
  <si>
    <t>422626194802015736</t>
  </si>
  <si>
    <t>柯长明</t>
  </si>
  <si>
    <t>422626195806085736</t>
  </si>
  <si>
    <t>张克贤</t>
  </si>
  <si>
    <t>422626195103215215</t>
  </si>
  <si>
    <t>王九书</t>
  </si>
  <si>
    <t>422626193703195730</t>
  </si>
  <si>
    <t>张桂华</t>
  </si>
  <si>
    <t>422626194301245736</t>
  </si>
  <si>
    <t>龚明进</t>
  </si>
  <si>
    <t>42262619480404571X</t>
  </si>
  <si>
    <t>许刚国</t>
  </si>
  <si>
    <t>420325197804045735</t>
  </si>
  <si>
    <t>中堰河村</t>
  </si>
  <si>
    <t>涂开云</t>
  </si>
  <si>
    <t>422626195702024824</t>
  </si>
  <si>
    <t>刘志勤</t>
  </si>
  <si>
    <t>422626197701144831</t>
  </si>
  <si>
    <t>刘波</t>
  </si>
  <si>
    <t>420325199506124813</t>
  </si>
  <si>
    <t>422626196603114810</t>
  </si>
  <si>
    <t>叶鑫</t>
  </si>
  <si>
    <t>42032519600815483X</t>
  </si>
  <si>
    <t>龚仕权</t>
  </si>
  <si>
    <t>420325198111244816</t>
  </si>
  <si>
    <t>贺德金</t>
  </si>
  <si>
    <t>420325196002105711</t>
  </si>
  <si>
    <t>刘宏举</t>
  </si>
  <si>
    <t>422626196504044810</t>
  </si>
  <si>
    <t>莫学红</t>
  </si>
  <si>
    <t>422626196109294813</t>
  </si>
  <si>
    <t>杨清树</t>
  </si>
  <si>
    <t>422626196905154814</t>
  </si>
  <si>
    <t>金世根</t>
  </si>
  <si>
    <t>422626195107264815</t>
  </si>
  <si>
    <t>吴成柱</t>
  </si>
  <si>
    <t>422626197011044819</t>
  </si>
  <si>
    <t>代明忠</t>
  </si>
  <si>
    <t>422626195808124815</t>
  </si>
  <si>
    <t>金家义</t>
  </si>
  <si>
    <t>422626195510194810</t>
  </si>
  <si>
    <t>金家领</t>
  </si>
  <si>
    <t>422626195105254815</t>
  </si>
  <si>
    <t>金国权</t>
  </si>
  <si>
    <t>422626195401174810</t>
  </si>
  <si>
    <t>刘志成</t>
  </si>
  <si>
    <t>422626194802084811</t>
  </si>
  <si>
    <t>刘志贵</t>
  </si>
  <si>
    <t>422626194711184817</t>
  </si>
  <si>
    <t>代明财</t>
  </si>
  <si>
    <t>422626194608364817</t>
  </si>
  <si>
    <t>代安勤</t>
  </si>
  <si>
    <t>422626196411014815</t>
  </si>
  <si>
    <t>422626195204254811</t>
  </si>
  <si>
    <t>刘家强</t>
  </si>
  <si>
    <t>422626195907034815</t>
  </si>
  <si>
    <t>刘吉云</t>
  </si>
  <si>
    <t>42262619521014482X</t>
  </si>
  <si>
    <t>代安钊</t>
  </si>
  <si>
    <t>422626196210194813</t>
  </si>
  <si>
    <t>张泽铭</t>
  </si>
  <si>
    <t>422626195301104815</t>
  </si>
  <si>
    <t>罗清高</t>
  </si>
  <si>
    <t>422626197904044830</t>
  </si>
  <si>
    <t>杨永科</t>
  </si>
  <si>
    <t>422626194903184811</t>
  </si>
  <si>
    <t>饶长春</t>
  </si>
  <si>
    <t>422626194902144834</t>
  </si>
  <si>
    <t>代新云</t>
  </si>
  <si>
    <t>422626194512274828</t>
  </si>
  <si>
    <t>蔡清立</t>
  </si>
  <si>
    <t>420325198005114831</t>
  </si>
  <si>
    <t>石义权</t>
  </si>
  <si>
    <t>422626195605054815</t>
  </si>
  <si>
    <t>周官安</t>
  </si>
  <si>
    <t>420325195911174837</t>
  </si>
  <si>
    <t>刘家余</t>
  </si>
  <si>
    <t>422626194610094812</t>
  </si>
  <si>
    <t>钱元地</t>
  </si>
  <si>
    <t>422626195510014816</t>
  </si>
  <si>
    <t>周清林</t>
  </si>
  <si>
    <t>422626196907054810</t>
  </si>
  <si>
    <t>吴明山</t>
  </si>
  <si>
    <t>422626197608164811</t>
  </si>
  <si>
    <t>席文礼</t>
  </si>
  <si>
    <t>42262619370224481X</t>
  </si>
  <si>
    <t>刘凤菊</t>
  </si>
  <si>
    <t>420325195607194847</t>
  </si>
  <si>
    <t>青峰小计</t>
  </si>
  <si>
    <t>尹吉甫镇</t>
  </si>
  <si>
    <t>榔口村</t>
  </si>
  <si>
    <t>李吉海</t>
  </si>
  <si>
    <t>422626195509295112</t>
  </si>
  <si>
    <t>李吉平</t>
  </si>
  <si>
    <t>422626197301065114</t>
  </si>
  <si>
    <t>代新竺</t>
  </si>
  <si>
    <t>42262619600124511914</t>
  </si>
  <si>
    <t>秦百政</t>
  </si>
  <si>
    <t>422626194206085113</t>
  </si>
  <si>
    <t>罗国西</t>
  </si>
  <si>
    <t>422626194706215113</t>
  </si>
  <si>
    <t>周开全</t>
  </si>
  <si>
    <t>422626196704085115</t>
  </si>
  <si>
    <t>李保国</t>
  </si>
  <si>
    <t>422626194908315411</t>
  </si>
  <si>
    <t>李清成</t>
  </si>
  <si>
    <t>42262619641122511044</t>
  </si>
  <si>
    <t>龚文禄</t>
  </si>
  <si>
    <t>42262619700129511043</t>
  </si>
  <si>
    <t>周新春</t>
  </si>
  <si>
    <t>42262619290223513914</t>
  </si>
  <si>
    <t>龚文齐</t>
  </si>
  <si>
    <t>422626195408155110</t>
  </si>
  <si>
    <t>周新兰</t>
  </si>
  <si>
    <t>42262619430723512511</t>
  </si>
  <si>
    <t>龚德海</t>
  </si>
  <si>
    <t>422626197512085115</t>
  </si>
  <si>
    <t>周照亮</t>
  </si>
  <si>
    <t>422626196803105118</t>
  </si>
  <si>
    <t>玉堤店村</t>
  </si>
  <si>
    <t>詹祥全</t>
  </si>
  <si>
    <t>422626196212135112</t>
  </si>
  <si>
    <t>高兴生</t>
  </si>
  <si>
    <t>422626194609135111</t>
  </si>
  <si>
    <t>李胜发</t>
  </si>
  <si>
    <t>42262619660831511X42</t>
  </si>
  <si>
    <t>胡发全</t>
  </si>
  <si>
    <t>422626196704125113</t>
  </si>
  <si>
    <t>双湾村</t>
  </si>
  <si>
    <t>代明全</t>
  </si>
  <si>
    <t>42262619500609511943</t>
  </si>
  <si>
    <t>赵兰东</t>
  </si>
  <si>
    <t>420325198307165116</t>
  </si>
  <si>
    <t>黄启海</t>
  </si>
  <si>
    <t>42262619500619511X</t>
  </si>
  <si>
    <t>422626194209245119</t>
  </si>
  <si>
    <t>袁盛江</t>
  </si>
  <si>
    <t>422626196504025118</t>
  </si>
  <si>
    <t>代明贵</t>
  </si>
  <si>
    <t>422626194707085111</t>
  </si>
  <si>
    <t>代全山</t>
  </si>
  <si>
    <t>42262619510831511923</t>
  </si>
  <si>
    <t>杜元保</t>
  </si>
  <si>
    <t>422626196604175113</t>
  </si>
  <si>
    <t>七星沟村</t>
  </si>
  <si>
    <t>罗天梅</t>
  </si>
  <si>
    <t>42262619760121512963</t>
  </si>
  <si>
    <t>赵知富</t>
  </si>
  <si>
    <t>422626193701175111</t>
  </si>
  <si>
    <t>42262619500814511643</t>
  </si>
  <si>
    <t>422626196809275118</t>
  </si>
  <si>
    <t>邹永钱</t>
  </si>
  <si>
    <t>422626196202265191</t>
  </si>
  <si>
    <t>代克会</t>
  </si>
  <si>
    <t>422626196006245113</t>
  </si>
  <si>
    <t>邹万传</t>
  </si>
  <si>
    <t>422626194111085196</t>
  </si>
  <si>
    <t>榔峪河村</t>
  </si>
  <si>
    <t>代安清</t>
  </si>
  <si>
    <t>420325195602095137</t>
  </si>
  <si>
    <t>刘庆国</t>
  </si>
  <si>
    <t>42262619721130511042</t>
  </si>
  <si>
    <t>刘朝德</t>
  </si>
  <si>
    <t>422626194611175139</t>
  </si>
  <si>
    <t>宋辉学</t>
  </si>
  <si>
    <t>422626194110025116</t>
  </si>
  <si>
    <t>刘朝连</t>
  </si>
  <si>
    <t>422626194611055145</t>
  </si>
  <si>
    <t>魏从炳</t>
  </si>
  <si>
    <t>422626194612055112</t>
  </si>
  <si>
    <t>余成英</t>
  </si>
  <si>
    <t>422626193810105120</t>
  </si>
  <si>
    <t>魏从元</t>
  </si>
  <si>
    <t>42262619551001511462</t>
  </si>
  <si>
    <t>刘永鄂</t>
  </si>
  <si>
    <t>422626196111175174</t>
  </si>
  <si>
    <t>宋宗银</t>
  </si>
  <si>
    <t>422626196811015112</t>
  </si>
  <si>
    <t>刘乾华</t>
  </si>
  <si>
    <t>422626197112075110</t>
  </si>
  <si>
    <t>刘永明</t>
  </si>
  <si>
    <t>422626194904085110</t>
  </si>
  <si>
    <t>张天华</t>
  </si>
  <si>
    <t>422626195002065115</t>
  </si>
  <si>
    <t>杨琴</t>
  </si>
  <si>
    <t>42262619790605512X</t>
  </si>
  <si>
    <t>魏从学</t>
  </si>
  <si>
    <t>422626196312025113</t>
  </si>
  <si>
    <t>高虎田</t>
  </si>
  <si>
    <t>42262619750114513544</t>
  </si>
  <si>
    <t>李盛普</t>
  </si>
  <si>
    <t>422626194301146113</t>
  </si>
  <si>
    <t>张自喜</t>
  </si>
  <si>
    <t>422626196412105110</t>
  </si>
  <si>
    <t>代全才</t>
  </si>
  <si>
    <t>422626195408025113</t>
  </si>
  <si>
    <t>邹顺华</t>
  </si>
  <si>
    <t>422626195006105110</t>
  </si>
  <si>
    <t>刘永忠</t>
  </si>
  <si>
    <t>422626195310245134</t>
  </si>
  <si>
    <t>罗天福</t>
  </si>
  <si>
    <t>422626194709275111</t>
  </si>
  <si>
    <t>刘朝清</t>
  </si>
  <si>
    <t>422626196606195134</t>
  </si>
  <si>
    <t>余大丙</t>
  </si>
  <si>
    <t>422626194901285117</t>
  </si>
  <si>
    <t>代安银</t>
  </si>
  <si>
    <t>422626196803175116</t>
  </si>
  <si>
    <t>沈家湾村</t>
  </si>
  <si>
    <t>高兴善</t>
  </si>
  <si>
    <t>420325200406295119</t>
  </si>
  <si>
    <t>张万权</t>
  </si>
  <si>
    <t>422626196209085118</t>
  </si>
  <si>
    <t>冯华财</t>
  </si>
  <si>
    <t>42262619460418511X</t>
  </si>
  <si>
    <t>珠藏洞村</t>
  </si>
  <si>
    <t>张百武</t>
  </si>
  <si>
    <t>422626197501265110</t>
  </si>
  <si>
    <t>张金龙</t>
  </si>
  <si>
    <t>422626193912035119</t>
  </si>
  <si>
    <t>422626195108135118</t>
  </si>
  <si>
    <t>张启友</t>
  </si>
  <si>
    <t>42032519840508511X</t>
  </si>
  <si>
    <t>张启贵</t>
  </si>
  <si>
    <t>422626196503061037</t>
  </si>
  <si>
    <t>张百忠</t>
  </si>
  <si>
    <t>422626194710145111</t>
  </si>
  <si>
    <t>张春生</t>
  </si>
  <si>
    <t>422626194309275139</t>
  </si>
  <si>
    <t>张千文</t>
  </si>
  <si>
    <t>422626194401095114</t>
  </si>
  <si>
    <t>唐场</t>
  </si>
  <si>
    <t>蔡仕清</t>
  </si>
  <si>
    <t>422626195209295110</t>
  </si>
  <si>
    <t>刘永福</t>
  </si>
  <si>
    <t>422626197309065135</t>
  </si>
  <si>
    <t>李泽章</t>
  </si>
  <si>
    <t>422626195612275136</t>
  </si>
  <si>
    <t>张启艳</t>
  </si>
  <si>
    <t>420325197510235154</t>
  </si>
  <si>
    <t>代安书</t>
  </si>
  <si>
    <t>422626196807105115</t>
  </si>
  <si>
    <t>李官书</t>
  </si>
  <si>
    <t>422626195312125136</t>
  </si>
  <si>
    <t>刘桂香</t>
  </si>
  <si>
    <t>422626195110155126</t>
  </si>
  <si>
    <t>张百远</t>
  </si>
  <si>
    <t>422626195907125119</t>
  </si>
  <si>
    <t>谢占菊</t>
  </si>
  <si>
    <t>422626195209305120</t>
  </si>
  <si>
    <t>龚文彦</t>
  </si>
  <si>
    <t>422626196610115117</t>
  </si>
  <si>
    <t>龚德华</t>
  </si>
  <si>
    <t>422626197003035136</t>
  </si>
  <si>
    <t>周开梅</t>
  </si>
  <si>
    <t>420325198501195124</t>
  </si>
  <si>
    <t>420325197810295116</t>
  </si>
  <si>
    <t>龚秀枝</t>
  </si>
  <si>
    <t>422626195112055129</t>
  </si>
  <si>
    <t>王永忠</t>
  </si>
  <si>
    <t>422626195005025119</t>
  </si>
  <si>
    <t>王金山</t>
  </si>
  <si>
    <t>420325197609065132</t>
  </si>
  <si>
    <t>宋辉权</t>
  </si>
  <si>
    <t>422626195301245116</t>
  </si>
  <si>
    <t>刘朝东</t>
  </si>
  <si>
    <t>42262619440505511x</t>
  </si>
  <si>
    <t>张自荣</t>
  </si>
  <si>
    <t>422626196208175111</t>
  </si>
  <si>
    <t>代全发</t>
  </si>
  <si>
    <t>42262619421005511x</t>
  </si>
  <si>
    <t>代明祝</t>
  </si>
  <si>
    <t>422626194703185115</t>
  </si>
  <si>
    <t>422626195309175116</t>
  </si>
  <si>
    <t>代安荣</t>
  </si>
  <si>
    <t>422626196404075118</t>
  </si>
  <si>
    <t>廖乐英</t>
  </si>
  <si>
    <t>420325193608285119</t>
  </si>
  <si>
    <t>周登有</t>
  </si>
  <si>
    <t>422626197311105132</t>
  </si>
  <si>
    <t>周广成</t>
  </si>
  <si>
    <t>422626195910215115</t>
  </si>
  <si>
    <t>刘光连</t>
  </si>
  <si>
    <t>422626196701145127</t>
  </si>
  <si>
    <t>陈祥明</t>
  </si>
  <si>
    <t>422626196211045115</t>
  </si>
  <si>
    <t>王永梅</t>
  </si>
  <si>
    <t>422626195704245129</t>
  </si>
  <si>
    <t>任士华</t>
  </si>
  <si>
    <t>422626195201035111</t>
  </si>
  <si>
    <t>高兴虎</t>
  </si>
  <si>
    <t>422626194910155111</t>
  </si>
  <si>
    <t>高兴平</t>
  </si>
  <si>
    <t>422626197008315110</t>
  </si>
  <si>
    <t>柴峰</t>
  </si>
  <si>
    <t>420325197805085114</t>
  </si>
  <si>
    <t>赵大英</t>
  </si>
  <si>
    <t>42262619650316612X</t>
  </si>
  <si>
    <t>徐武</t>
  </si>
  <si>
    <t>420325198408305114</t>
  </si>
  <si>
    <t>徐开明</t>
  </si>
  <si>
    <t>422626197404245134</t>
  </si>
  <si>
    <t>黄光友</t>
  </si>
  <si>
    <t>422626197506135112</t>
  </si>
  <si>
    <t>高龙全</t>
  </si>
  <si>
    <t>420325198808055134</t>
  </si>
  <si>
    <t>柴兰山</t>
  </si>
  <si>
    <t>422626195403085117</t>
  </si>
  <si>
    <t>高兴六</t>
  </si>
  <si>
    <t>422626195507305110</t>
  </si>
  <si>
    <t>罗金福</t>
  </si>
  <si>
    <t>422626195606045115</t>
  </si>
  <si>
    <t>代安生</t>
  </si>
  <si>
    <t>422626197410135118</t>
  </si>
  <si>
    <t>代全明</t>
  </si>
  <si>
    <t>422626197006095118</t>
  </si>
  <si>
    <t>代全奎</t>
  </si>
  <si>
    <t>422626197008245132</t>
  </si>
  <si>
    <t>张兴平</t>
  </si>
  <si>
    <t>422626196810295116</t>
  </si>
  <si>
    <t>余照华</t>
  </si>
  <si>
    <t>422626194808025118</t>
  </si>
  <si>
    <t>张礼学</t>
  </si>
  <si>
    <t>42262619350905511x</t>
  </si>
  <si>
    <t>张吉华</t>
  </si>
  <si>
    <t>422626197206205115</t>
  </si>
  <si>
    <t>张自绪</t>
  </si>
  <si>
    <t>422626196003125110</t>
  </si>
  <si>
    <t>王永华</t>
  </si>
  <si>
    <t>422626195410195111</t>
  </si>
  <si>
    <t>刘永成</t>
  </si>
  <si>
    <t>422626195610235114</t>
  </si>
  <si>
    <t>王吉东</t>
  </si>
  <si>
    <t>422626196004265115</t>
  </si>
  <si>
    <t>张自辉</t>
  </si>
  <si>
    <t>422626194602285117</t>
  </si>
  <si>
    <t>王吉成</t>
  </si>
  <si>
    <t>422626197403255111</t>
  </si>
  <si>
    <t>魏先锋</t>
  </si>
  <si>
    <t>420325197806225115</t>
  </si>
  <si>
    <t>鲁正福</t>
  </si>
  <si>
    <t>422626195208015113</t>
  </si>
  <si>
    <t>李家玉</t>
  </si>
  <si>
    <t>422626195507035130</t>
  </si>
  <si>
    <t>刘兴菊</t>
  </si>
  <si>
    <t>422626195209055125</t>
  </si>
  <si>
    <t>郑万朝</t>
  </si>
  <si>
    <t>422626196111275116</t>
  </si>
  <si>
    <t>代明山</t>
  </si>
  <si>
    <t>422626193908255119</t>
  </si>
  <si>
    <t>422626195109145115</t>
  </si>
  <si>
    <t>邹永明</t>
  </si>
  <si>
    <t>420325196405165137</t>
  </si>
  <si>
    <t>邹永江</t>
  </si>
  <si>
    <t>422626196206095150</t>
  </si>
  <si>
    <t>余长志</t>
  </si>
  <si>
    <t>422626196309165115</t>
  </si>
  <si>
    <t>余照喜</t>
  </si>
  <si>
    <t>422626196808175131</t>
  </si>
  <si>
    <t>代新树</t>
  </si>
  <si>
    <t>422626196206075117</t>
  </si>
  <si>
    <t>李家庆</t>
  </si>
  <si>
    <t>422626195604015115</t>
  </si>
  <si>
    <t>422626196910105113</t>
  </si>
  <si>
    <t>罗正军</t>
  </si>
  <si>
    <t>42262619480603511X</t>
  </si>
  <si>
    <t>蔡开荣</t>
  </si>
  <si>
    <t>422626196209145125</t>
  </si>
  <si>
    <t>葛家洪</t>
  </si>
  <si>
    <t>422626196608035118</t>
  </si>
  <si>
    <t>李盛凤</t>
  </si>
  <si>
    <t>422626195002205122</t>
  </si>
  <si>
    <t>高田虎</t>
  </si>
  <si>
    <t>42262619710210511X</t>
  </si>
  <si>
    <t>逯文才</t>
  </si>
  <si>
    <t>420325196202095116</t>
  </si>
  <si>
    <t>沈龙明</t>
  </si>
  <si>
    <t>422626194212305119</t>
  </si>
  <si>
    <t>李广明</t>
  </si>
  <si>
    <t>422626195506225119</t>
  </si>
  <si>
    <t>葛俊</t>
  </si>
  <si>
    <t>420325199004105161</t>
  </si>
  <si>
    <t>郭千银</t>
  </si>
  <si>
    <t>422626196610185131</t>
  </si>
  <si>
    <t>张万英</t>
  </si>
  <si>
    <t>422626192911245187</t>
  </si>
  <si>
    <t>吴万清</t>
  </si>
  <si>
    <t>422626194808215122</t>
  </si>
  <si>
    <t>张百英</t>
  </si>
  <si>
    <t>422626195405085129</t>
  </si>
  <si>
    <t>葛家明</t>
  </si>
  <si>
    <t>422626195805015138</t>
  </si>
  <si>
    <t>杨吉兰</t>
  </si>
  <si>
    <t>420325193803125145</t>
  </si>
  <si>
    <t>代金辉</t>
  </si>
  <si>
    <t>422626197604235117</t>
  </si>
  <si>
    <t>杜成根</t>
  </si>
  <si>
    <t>42262619660126791X</t>
  </si>
  <si>
    <t>杜元林</t>
  </si>
  <si>
    <t>422626196507195112</t>
  </si>
  <si>
    <t>万飞</t>
  </si>
  <si>
    <t>420325197511035138</t>
  </si>
  <si>
    <t>万大平</t>
  </si>
  <si>
    <t>422626195609215175</t>
  </si>
  <si>
    <t>万天明</t>
  </si>
  <si>
    <t>422626196401075112</t>
  </si>
  <si>
    <t>张自莲</t>
  </si>
  <si>
    <t>422626196106255129</t>
  </si>
  <si>
    <t>杜成军</t>
  </si>
  <si>
    <t>420325197709285159</t>
  </si>
  <si>
    <t>黄兴虎</t>
  </si>
  <si>
    <t>422626198104285112</t>
  </si>
  <si>
    <t>李有金</t>
  </si>
  <si>
    <t>422626196203255112</t>
  </si>
  <si>
    <t>袁盛孔</t>
  </si>
  <si>
    <t>422626194908075122</t>
  </si>
  <si>
    <t>万大芝</t>
  </si>
  <si>
    <t>422626194409055125</t>
  </si>
  <si>
    <t>邓兴荣</t>
  </si>
  <si>
    <t>420325195501215144</t>
  </si>
  <si>
    <t>刘光文</t>
  </si>
  <si>
    <t>422626193811155111</t>
  </si>
  <si>
    <t>刘光先</t>
  </si>
  <si>
    <t>422626194409295110</t>
  </si>
  <si>
    <t>刘光斌</t>
  </si>
  <si>
    <t>422626195503015116</t>
  </si>
  <si>
    <t>刘明友</t>
  </si>
  <si>
    <t>422626194906165114</t>
  </si>
  <si>
    <t>谢占发</t>
  </si>
  <si>
    <t>422626195205175111</t>
  </si>
  <si>
    <t>谢占银</t>
  </si>
  <si>
    <t>422626196107195113</t>
  </si>
  <si>
    <t>谢占宏</t>
  </si>
  <si>
    <t>42262619680815519X</t>
  </si>
  <si>
    <t>李有成</t>
  </si>
  <si>
    <t>422626196312185133</t>
  </si>
  <si>
    <t>代明兰</t>
  </si>
  <si>
    <t>422626196811255124</t>
  </si>
  <si>
    <t>谢占杨</t>
  </si>
  <si>
    <t>422626197210135113</t>
  </si>
  <si>
    <t>谢占德</t>
  </si>
  <si>
    <t>422626196310255118</t>
  </si>
  <si>
    <t>谢占金</t>
  </si>
  <si>
    <t>422626196106105112</t>
  </si>
  <si>
    <t>唐海龙</t>
  </si>
  <si>
    <t>420325198003175155</t>
  </si>
  <si>
    <t>谢风生</t>
  </si>
  <si>
    <t>422626193308075114</t>
  </si>
  <si>
    <t>刘强安</t>
  </si>
  <si>
    <t>422626196805305113</t>
  </si>
  <si>
    <t>杨华林</t>
  </si>
  <si>
    <t>422626197111185115</t>
  </si>
  <si>
    <t>谢占石</t>
  </si>
  <si>
    <t>422626197004155113</t>
  </si>
  <si>
    <t>玉堤村</t>
  </si>
  <si>
    <t>翟运川</t>
  </si>
  <si>
    <t>422626197408025112</t>
  </si>
  <si>
    <t>朱天磊</t>
  </si>
  <si>
    <t>420325199311225139</t>
  </si>
  <si>
    <t>李观生</t>
  </si>
  <si>
    <t>422626196304245116</t>
  </si>
  <si>
    <t>李秀林</t>
  </si>
  <si>
    <t>420324198410102782</t>
  </si>
  <si>
    <t>刘帮乾</t>
  </si>
  <si>
    <t>422626196106215119</t>
  </si>
  <si>
    <t>曾长武</t>
  </si>
  <si>
    <t>422626197402245114</t>
  </si>
  <si>
    <t>高兴芝</t>
  </si>
  <si>
    <t>42262619570514512X</t>
  </si>
  <si>
    <t>尹吉甫小计</t>
  </si>
  <si>
    <t>沙河乡</t>
  </si>
  <si>
    <t>邢家湾</t>
  </si>
  <si>
    <t>董德银</t>
  </si>
  <si>
    <t>4226261973110365410</t>
  </si>
  <si>
    <t>刘金华</t>
  </si>
  <si>
    <t>42032519800102541X</t>
  </si>
  <si>
    <t>程明军</t>
  </si>
  <si>
    <t>420325198007115416</t>
  </si>
  <si>
    <t>肖德付</t>
  </si>
  <si>
    <t>422626194707125427</t>
  </si>
  <si>
    <t>朱代友</t>
  </si>
  <si>
    <t>422626196409065437</t>
  </si>
  <si>
    <t>齐大鹏</t>
  </si>
  <si>
    <t>422626196008315415</t>
  </si>
  <si>
    <t>朱天海</t>
  </si>
  <si>
    <t>42262619741019541X</t>
  </si>
  <si>
    <t>程明清</t>
  </si>
  <si>
    <t>422626196512275416</t>
  </si>
  <si>
    <t>422626194705175412</t>
  </si>
  <si>
    <t>田家湾</t>
  </si>
  <si>
    <t>史成明</t>
  </si>
  <si>
    <t>422626196204095413</t>
  </si>
  <si>
    <t>史成学</t>
  </si>
  <si>
    <t>422626196704105411</t>
  </si>
  <si>
    <t>周登华</t>
  </si>
  <si>
    <t>422626193302195414</t>
  </si>
  <si>
    <t>李明菊</t>
  </si>
  <si>
    <t>422626195712215421</t>
  </si>
  <si>
    <t>周大林</t>
  </si>
  <si>
    <t>422626197504085414</t>
  </si>
  <si>
    <t>火光</t>
  </si>
  <si>
    <t>杨文力</t>
  </si>
  <si>
    <t>422626196907026115</t>
  </si>
  <si>
    <t>程传友</t>
  </si>
  <si>
    <t>42032519750426547X</t>
  </si>
  <si>
    <t>董祥军</t>
  </si>
  <si>
    <t>彭正友</t>
  </si>
  <si>
    <t>420325194309135414</t>
  </si>
  <si>
    <t>程先付</t>
  </si>
  <si>
    <t>422626194112315416</t>
  </si>
  <si>
    <t>420325197611095429</t>
  </si>
  <si>
    <t>李明国</t>
  </si>
  <si>
    <t>420325198905025412</t>
  </si>
  <si>
    <t>罗保富</t>
  </si>
  <si>
    <t>42262619730405551X</t>
  </si>
  <si>
    <t>沈龙国</t>
  </si>
  <si>
    <t>422626195404195414</t>
  </si>
  <si>
    <t>唐胜明</t>
  </si>
  <si>
    <t>42262619430210541x</t>
  </si>
  <si>
    <t>422626195411185433</t>
  </si>
  <si>
    <t>杨满平</t>
  </si>
  <si>
    <t>42262619780325541x</t>
  </si>
  <si>
    <t>吴传梅</t>
  </si>
  <si>
    <t>42032519620222546X</t>
  </si>
  <si>
    <t>422626195102255418</t>
  </si>
  <si>
    <t>刘正海</t>
  </si>
  <si>
    <t>422626195206055432</t>
  </si>
  <si>
    <t>邱克功</t>
  </si>
  <si>
    <t>422626195601275413</t>
  </si>
  <si>
    <t>罗正华</t>
  </si>
  <si>
    <t>420325195506075419</t>
  </si>
  <si>
    <t>李洪仙</t>
  </si>
  <si>
    <t>420325197912265495</t>
  </si>
  <si>
    <t>王青云</t>
  </si>
  <si>
    <t>420325196511023327</t>
  </si>
  <si>
    <t>罗天明</t>
  </si>
  <si>
    <t>422626196206095417</t>
  </si>
  <si>
    <t>陈昌发</t>
  </si>
  <si>
    <t>420325198501015453</t>
  </si>
  <si>
    <t>曹光海</t>
  </si>
  <si>
    <t>422626196602075418</t>
  </si>
  <si>
    <t>茅山</t>
  </si>
  <si>
    <t>王贵武</t>
  </si>
  <si>
    <t>422626195412145417</t>
  </si>
  <si>
    <t>王传银</t>
  </si>
  <si>
    <t>42262619688065434</t>
  </si>
  <si>
    <t>冯光华</t>
  </si>
  <si>
    <t>422626196608055434</t>
  </si>
  <si>
    <t>严勋朝</t>
  </si>
  <si>
    <t>422626196204165434</t>
  </si>
  <si>
    <t>杨全东</t>
  </si>
  <si>
    <t>422626197302205430</t>
  </si>
  <si>
    <t>王明秀</t>
  </si>
  <si>
    <t>422626194110075420</t>
  </si>
  <si>
    <t>罗明根</t>
  </si>
  <si>
    <t>422626195703215411</t>
  </si>
  <si>
    <t>刘 波</t>
  </si>
  <si>
    <t>420325197903015419</t>
  </si>
  <si>
    <t xml:space="preserve">严宝学 </t>
  </si>
  <si>
    <t>422626197001115415</t>
  </si>
  <si>
    <t>刘安芝</t>
  </si>
  <si>
    <t>42262619450506542X</t>
  </si>
  <si>
    <t>程光会</t>
  </si>
  <si>
    <t>420325194912055427</t>
  </si>
  <si>
    <t>严宝泽</t>
  </si>
  <si>
    <t>严国谦</t>
  </si>
  <si>
    <t>422626196108075412</t>
  </si>
  <si>
    <t>聂进财</t>
  </si>
  <si>
    <t>岳运国</t>
  </si>
  <si>
    <t>422626197501065418</t>
  </si>
  <si>
    <t>李明喜</t>
  </si>
  <si>
    <t>422626197912245429</t>
  </si>
  <si>
    <t>422626194601065454</t>
  </si>
  <si>
    <t>张明彦</t>
  </si>
  <si>
    <t>朱代国</t>
  </si>
  <si>
    <t>罗贤军</t>
  </si>
  <si>
    <t>420325198510155415</t>
  </si>
  <si>
    <t>冯毕国</t>
  </si>
  <si>
    <t>422626196303045411</t>
  </si>
  <si>
    <t>严国成</t>
  </si>
  <si>
    <t>422626196403115413</t>
  </si>
  <si>
    <t>唐开芝</t>
  </si>
  <si>
    <t>42262619480702544X</t>
  </si>
  <si>
    <t>李发贵</t>
  </si>
  <si>
    <t>422626195203085411</t>
  </si>
  <si>
    <t>42262619470917541X</t>
  </si>
  <si>
    <t>岳洪章</t>
  </si>
  <si>
    <t>422626195105215411</t>
  </si>
  <si>
    <t>竹园</t>
  </si>
  <si>
    <t>陈光秀</t>
  </si>
  <si>
    <t>李大成</t>
  </si>
  <si>
    <t>候启香</t>
  </si>
  <si>
    <t>420325195508205424</t>
  </si>
  <si>
    <t>朱明苍</t>
  </si>
  <si>
    <t>422626197501165451</t>
  </si>
  <si>
    <t>周茂成</t>
  </si>
  <si>
    <t>422626197510285439</t>
  </si>
  <si>
    <t>白沙河</t>
  </si>
  <si>
    <t>甘仕发</t>
  </si>
  <si>
    <t>422626196206145410</t>
  </si>
  <si>
    <t>贺云成</t>
  </si>
  <si>
    <t>420325195308245413</t>
  </si>
  <si>
    <t>吴吉学</t>
  </si>
  <si>
    <t>422626197312205434</t>
  </si>
  <si>
    <t>廖贵林</t>
  </si>
  <si>
    <t>420325198510165410</t>
  </si>
  <si>
    <t>王关道</t>
  </si>
  <si>
    <t>422626196302275418</t>
  </si>
  <si>
    <t>唐顺恒</t>
  </si>
  <si>
    <t>4226261944042654714</t>
  </si>
  <si>
    <t>唐景华</t>
  </si>
  <si>
    <t>42032519770112545X</t>
  </si>
  <si>
    <t>张兴发</t>
  </si>
  <si>
    <t>422626196708025419</t>
  </si>
  <si>
    <t>张立勇</t>
  </si>
  <si>
    <t>张付成</t>
  </si>
  <si>
    <t>卢家坪</t>
  </si>
  <si>
    <t>高  境</t>
  </si>
  <si>
    <t>丁荣香</t>
  </si>
  <si>
    <t>高传国</t>
  </si>
  <si>
    <t>赵永发</t>
  </si>
  <si>
    <t>420325195807235412</t>
  </si>
  <si>
    <t>唐祥芝</t>
  </si>
  <si>
    <t>谢振学</t>
  </si>
  <si>
    <t>高术田</t>
  </si>
  <si>
    <t>王国会</t>
  </si>
  <si>
    <t>丁祥国</t>
  </si>
  <si>
    <t>高吉权</t>
  </si>
  <si>
    <t>路士入</t>
  </si>
  <si>
    <t>42262619450107541X</t>
  </si>
  <si>
    <t>王广洲</t>
  </si>
  <si>
    <t>422626196411185411</t>
  </si>
  <si>
    <t>王选耀</t>
  </si>
  <si>
    <t>422626194903045432</t>
  </si>
  <si>
    <t>王世位</t>
  </si>
  <si>
    <t>422626195805015410</t>
  </si>
  <si>
    <t>肖子权</t>
  </si>
  <si>
    <t>422626197010135418</t>
  </si>
  <si>
    <t>李大全</t>
  </si>
  <si>
    <t>422626196901145412</t>
  </si>
  <si>
    <t>422626195504225430</t>
  </si>
  <si>
    <t>丁荣权</t>
  </si>
  <si>
    <t>422626194905265412</t>
  </si>
  <si>
    <t>姚传秀</t>
  </si>
  <si>
    <t>42262619511121542X</t>
  </si>
  <si>
    <t>刘延炳</t>
  </si>
  <si>
    <t>422626196304055419</t>
  </si>
  <si>
    <t>李胜荣</t>
  </si>
  <si>
    <t>422626195206065424</t>
  </si>
  <si>
    <t>李祥伦</t>
  </si>
  <si>
    <t>422626196601155416</t>
  </si>
  <si>
    <t>邓楚平</t>
  </si>
  <si>
    <t>422626196612155454</t>
  </si>
  <si>
    <t>赵正军</t>
  </si>
  <si>
    <t>422626196610265414</t>
  </si>
  <si>
    <t>王选群</t>
  </si>
  <si>
    <t>420325198001125410</t>
  </si>
  <si>
    <t>侯启菊</t>
  </si>
  <si>
    <t>422626196904085427</t>
  </si>
  <si>
    <t>422626197606275411</t>
  </si>
  <si>
    <t>王运龙</t>
  </si>
  <si>
    <t>422626196602265414</t>
  </si>
  <si>
    <t>422626196312165415</t>
  </si>
  <si>
    <t>朱家坪</t>
  </si>
  <si>
    <t>刘光荣</t>
  </si>
  <si>
    <t>422626195712255427</t>
  </si>
  <si>
    <t>吴德军</t>
  </si>
  <si>
    <t>422626197202225417</t>
  </si>
  <si>
    <t>杨仕军</t>
  </si>
  <si>
    <t>420325198607085417</t>
  </si>
  <si>
    <t>杨文华</t>
  </si>
  <si>
    <t>422626195506215439</t>
  </si>
  <si>
    <t>杨文炎</t>
  </si>
  <si>
    <t>422626194701315414</t>
  </si>
  <si>
    <t>柏荣林</t>
  </si>
  <si>
    <t>42262619711108543X</t>
  </si>
  <si>
    <t>刘光福</t>
  </si>
  <si>
    <t>422626194708265413</t>
  </si>
  <si>
    <t>柏兆权</t>
  </si>
  <si>
    <t>422626195905045414</t>
  </si>
  <si>
    <t>张付财</t>
  </si>
  <si>
    <t>422626193605245431</t>
  </si>
  <si>
    <t>杨光学</t>
  </si>
  <si>
    <t>422626196710115413</t>
  </si>
  <si>
    <t>叶立秀</t>
  </si>
  <si>
    <t>422626193007315428</t>
  </si>
  <si>
    <t>张富荣</t>
  </si>
  <si>
    <t>422626196112115448</t>
  </si>
  <si>
    <t>余文权</t>
  </si>
  <si>
    <t>422626197506055411</t>
  </si>
  <si>
    <t>叶立会</t>
  </si>
  <si>
    <t>422626196505295419</t>
  </si>
  <si>
    <t>刘国翠</t>
  </si>
  <si>
    <t>422626195009195422</t>
  </si>
  <si>
    <t>姚家祥</t>
  </si>
  <si>
    <t>422626196211125414</t>
  </si>
  <si>
    <t>王付明</t>
  </si>
  <si>
    <t>422626193412105416</t>
  </si>
  <si>
    <t>陈德政</t>
  </si>
  <si>
    <t>422626194503245419</t>
  </si>
  <si>
    <t>肖国华</t>
  </si>
  <si>
    <t>422626196404115415</t>
  </si>
  <si>
    <t>晏自新</t>
  </si>
  <si>
    <t>422626193804265419</t>
  </si>
  <si>
    <t>王立志</t>
  </si>
  <si>
    <t>422626195112065415</t>
  </si>
  <si>
    <t>王天均</t>
  </si>
  <si>
    <t>王付成</t>
  </si>
  <si>
    <t>42262619430819541X</t>
  </si>
  <si>
    <t>叶道福</t>
  </si>
  <si>
    <t>422626197211055414</t>
  </si>
  <si>
    <t>金贵升</t>
  </si>
  <si>
    <t>422626194401145417</t>
  </si>
  <si>
    <t>高良权</t>
  </si>
  <si>
    <t>422626195902035413</t>
  </si>
  <si>
    <t>万国芝</t>
  </si>
  <si>
    <t>422626197304295425</t>
  </si>
  <si>
    <t>陈斌</t>
  </si>
  <si>
    <t>422626197402245413</t>
  </si>
  <si>
    <t>万义香</t>
  </si>
  <si>
    <t>422626194406295414</t>
  </si>
  <si>
    <t>叶兴菊</t>
  </si>
  <si>
    <t>422626196508205423</t>
  </si>
  <si>
    <t>刘义国</t>
  </si>
  <si>
    <t>42032519750410545X</t>
  </si>
  <si>
    <t>周海军</t>
  </si>
  <si>
    <t>420625196607045615</t>
  </si>
  <si>
    <t>刘国菊</t>
  </si>
  <si>
    <t>42262619580925542X</t>
  </si>
  <si>
    <t>刘光林</t>
  </si>
  <si>
    <t>422626196003155428</t>
  </si>
  <si>
    <t>鹰嘴石</t>
  </si>
  <si>
    <t>万大林</t>
  </si>
  <si>
    <t>刘传福</t>
  </si>
  <si>
    <t>王本荣</t>
  </si>
  <si>
    <t>422626197408255428</t>
  </si>
  <si>
    <t>李光丙</t>
  </si>
  <si>
    <t>刘连权</t>
  </si>
  <si>
    <t>杜开友</t>
  </si>
  <si>
    <t>42262619650512541X</t>
  </si>
  <si>
    <t>曾光入</t>
  </si>
  <si>
    <t>422626195702115419</t>
  </si>
  <si>
    <t>黄志文</t>
  </si>
  <si>
    <t>422626196408255415</t>
  </si>
  <si>
    <t>沙河店</t>
  </si>
  <si>
    <t>刘建波</t>
  </si>
  <si>
    <t>422626197511205453</t>
  </si>
  <si>
    <t>刘学奎</t>
  </si>
  <si>
    <t>谢明友</t>
  </si>
  <si>
    <t>422626195510085411</t>
  </si>
  <si>
    <t>李  勇</t>
  </si>
  <si>
    <t>代元梅</t>
  </si>
  <si>
    <t>422626197011105448</t>
  </si>
  <si>
    <t>高 峰</t>
  </si>
  <si>
    <t>曾贵兵</t>
  </si>
  <si>
    <t>422626196612175412</t>
  </si>
  <si>
    <t>易明成</t>
  </si>
  <si>
    <t>420325197803065435</t>
  </si>
  <si>
    <t>杨宗贵</t>
  </si>
  <si>
    <t>422626195504175437</t>
  </si>
  <si>
    <t>叶生福</t>
  </si>
  <si>
    <t>422626196203225431</t>
  </si>
  <si>
    <t>王立清</t>
  </si>
  <si>
    <t>王本友</t>
  </si>
  <si>
    <t>叶道奎</t>
  </si>
  <si>
    <t>422626196308195419</t>
  </si>
  <si>
    <t>叶立方</t>
  </si>
  <si>
    <t>五塘</t>
  </si>
  <si>
    <t>王本祥</t>
  </si>
  <si>
    <t>42262619480525541X</t>
  </si>
  <si>
    <t>刘振</t>
  </si>
  <si>
    <t>420325198706305411</t>
  </si>
  <si>
    <t>曾大刚</t>
  </si>
  <si>
    <t>422626196402065450</t>
  </si>
  <si>
    <t>汤兴国</t>
  </si>
  <si>
    <t>420325197205055413</t>
  </si>
  <si>
    <t>朱本昌</t>
  </si>
  <si>
    <t>42262619620428541X</t>
  </si>
  <si>
    <t>王少成</t>
  </si>
  <si>
    <t>422626197106175414</t>
  </si>
  <si>
    <t>曾大兵</t>
  </si>
  <si>
    <t>422626196410275431</t>
  </si>
  <si>
    <t>刘超群</t>
  </si>
  <si>
    <t>422626197212245412</t>
  </si>
  <si>
    <t>张宗兵</t>
  </si>
  <si>
    <t>422626196604045415</t>
  </si>
  <si>
    <t>柴照文</t>
  </si>
  <si>
    <t>422626194405015417</t>
  </si>
  <si>
    <t>张先菊</t>
  </si>
  <si>
    <t>422626194404235426</t>
  </si>
  <si>
    <t>刘大兴</t>
  </si>
  <si>
    <t>422626195503165413</t>
  </si>
  <si>
    <t>沙河小计</t>
  </si>
  <si>
    <t>万峪河乡</t>
  </si>
  <si>
    <t>栗子坪</t>
  </si>
  <si>
    <t>王建军</t>
  </si>
  <si>
    <t>42262619630418611X</t>
  </si>
  <si>
    <t>佘英财</t>
  </si>
  <si>
    <t>422626195601226117</t>
  </si>
  <si>
    <t>刘彦生</t>
  </si>
  <si>
    <t>420325195606086115</t>
  </si>
  <si>
    <t>黄开甫</t>
  </si>
  <si>
    <t>422626196607146131</t>
  </si>
  <si>
    <t>杨士运</t>
  </si>
  <si>
    <t>422626195712196136</t>
  </si>
  <si>
    <t>邓仁普</t>
  </si>
  <si>
    <t>422626197507236118</t>
  </si>
  <si>
    <t>杨甫</t>
  </si>
  <si>
    <t>422626197501066130</t>
  </si>
  <si>
    <t>汪祖海</t>
  </si>
  <si>
    <t>422626197102036118</t>
  </si>
  <si>
    <t>王建财</t>
  </si>
  <si>
    <t>422626196907096113</t>
  </si>
  <si>
    <t>史立友</t>
  </si>
  <si>
    <t>422626194808026110</t>
  </si>
  <si>
    <t>赵士普</t>
  </si>
  <si>
    <t>422626195211276111</t>
  </si>
  <si>
    <t>罗仟华</t>
  </si>
  <si>
    <t>422626197106126110</t>
  </si>
  <si>
    <t>王洪全</t>
  </si>
  <si>
    <t>42262619620711611X</t>
  </si>
  <si>
    <t>肖玺杭</t>
  </si>
  <si>
    <t>420325200608316117</t>
  </si>
  <si>
    <t>王青秀</t>
  </si>
  <si>
    <t>422626194503096126</t>
  </si>
  <si>
    <t>王正英</t>
  </si>
  <si>
    <t>422626193002026125</t>
  </si>
  <si>
    <t>左存忠</t>
  </si>
  <si>
    <t>422626194611306119</t>
  </si>
  <si>
    <t>王必章</t>
  </si>
  <si>
    <t>422626196610246133</t>
  </si>
  <si>
    <t>罗贤云</t>
  </si>
  <si>
    <t>420325198511106148</t>
  </si>
  <si>
    <t>闻新国</t>
  </si>
  <si>
    <t>422626194404056110</t>
  </si>
  <si>
    <t>闻新海</t>
  </si>
  <si>
    <t>422626196403056118</t>
  </si>
  <si>
    <t>王选华</t>
  </si>
  <si>
    <t>张贵清</t>
  </si>
  <si>
    <t>娄明义</t>
  </si>
  <si>
    <t>422626197604066611X</t>
  </si>
  <si>
    <t>白米村</t>
  </si>
  <si>
    <t>钱勇</t>
  </si>
  <si>
    <t>422626197609026111</t>
  </si>
  <si>
    <t>张思贵</t>
  </si>
  <si>
    <t>422626194912066112</t>
  </si>
  <si>
    <t>韩兴合</t>
  </si>
  <si>
    <t>422626196601196111</t>
  </si>
  <si>
    <t>韩开权</t>
  </si>
  <si>
    <t>422626196908146119</t>
  </si>
  <si>
    <t>戴新成</t>
  </si>
  <si>
    <t>422626194809306114</t>
  </si>
  <si>
    <t>李世平</t>
  </si>
  <si>
    <t>422626194902136113</t>
  </si>
  <si>
    <t>韩兴龙</t>
  </si>
  <si>
    <t>422626193908286118</t>
  </si>
  <si>
    <t>422626196802166111</t>
  </si>
  <si>
    <t>曾光银</t>
  </si>
  <si>
    <t>422626196908046118</t>
  </si>
  <si>
    <t>郑红心</t>
  </si>
  <si>
    <t>420325195501116111</t>
  </si>
  <si>
    <t>郑定华</t>
  </si>
  <si>
    <t>420325195305016113</t>
  </si>
  <si>
    <t>张思均</t>
  </si>
  <si>
    <t>422626195705126113</t>
  </si>
  <si>
    <t>李世才</t>
  </si>
  <si>
    <t>422626196112046112</t>
  </si>
  <si>
    <t>尚长哑</t>
  </si>
  <si>
    <t>420325195105056110</t>
  </si>
  <si>
    <t>谷场村</t>
  </si>
  <si>
    <t>张大容</t>
  </si>
  <si>
    <t>422626196811106110</t>
  </si>
  <si>
    <t>戴秀芝</t>
  </si>
  <si>
    <t>422626195509036129</t>
  </si>
  <si>
    <t>张大秀</t>
  </si>
  <si>
    <t>422626195401106121</t>
  </si>
  <si>
    <t>戴明柱</t>
  </si>
  <si>
    <t>422626196503246138</t>
  </si>
  <si>
    <t>徐新海</t>
  </si>
  <si>
    <t>422626195602196135</t>
  </si>
  <si>
    <t>张青华</t>
  </si>
  <si>
    <t>422626196103086112</t>
  </si>
  <si>
    <t>张国贤</t>
  </si>
  <si>
    <t>422626195602196119</t>
  </si>
  <si>
    <t>刘志平</t>
  </si>
  <si>
    <t>422626195610176118</t>
  </si>
  <si>
    <t>王学勤</t>
  </si>
  <si>
    <t>422626194305116114</t>
  </si>
  <si>
    <t>刘庆章</t>
  </si>
  <si>
    <t>422626195002096114</t>
  </si>
  <si>
    <t>王金玉</t>
  </si>
  <si>
    <t>422626196203306119</t>
  </si>
  <si>
    <t>李世全</t>
  </si>
  <si>
    <t>422626195010056139</t>
  </si>
  <si>
    <t>刘家宽</t>
  </si>
  <si>
    <t>422626194708166116</t>
  </si>
  <si>
    <t>戴全明</t>
  </si>
  <si>
    <t>422626196911176116</t>
  </si>
  <si>
    <t>刘志奇</t>
  </si>
  <si>
    <t>422626195104306119</t>
  </si>
  <si>
    <t>刘志国</t>
  </si>
  <si>
    <t>422626195705146114</t>
  </si>
  <si>
    <t>李红成</t>
  </si>
  <si>
    <t>422626196801276116</t>
  </si>
  <si>
    <t>陈恒学</t>
  </si>
  <si>
    <t>422626196412026113</t>
  </si>
  <si>
    <t>邹万华</t>
  </si>
  <si>
    <t>422626195012266113</t>
  </si>
  <si>
    <t>刘发红</t>
  </si>
  <si>
    <t>422626196605246112</t>
  </si>
  <si>
    <t>王升清</t>
  </si>
  <si>
    <t>422626196511166111</t>
  </si>
  <si>
    <t>张大权</t>
  </si>
  <si>
    <t>422626196511286156</t>
  </si>
  <si>
    <t>刘长德</t>
  </si>
  <si>
    <t>420325194107206130</t>
  </si>
  <si>
    <t>邹万钧</t>
  </si>
  <si>
    <t>422626195505296118</t>
  </si>
  <si>
    <t>戴克功</t>
  </si>
  <si>
    <t>422626194210056112</t>
  </si>
  <si>
    <t>万占粉</t>
  </si>
  <si>
    <t>422626194610036129</t>
  </si>
  <si>
    <t>吴顺成</t>
  </si>
  <si>
    <t>422626196703226115</t>
  </si>
  <si>
    <t>戴新亮</t>
  </si>
  <si>
    <t>422626196003196111</t>
  </si>
  <si>
    <t>422626193704206112</t>
  </si>
  <si>
    <t>刘志兵</t>
  </si>
  <si>
    <t>422626196610216110</t>
  </si>
  <si>
    <t>张长生</t>
  </si>
  <si>
    <t>422626196808086112</t>
  </si>
  <si>
    <t>王忠芝</t>
  </si>
  <si>
    <t>422626195011096124</t>
  </si>
  <si>
    <t>张春贵</t>
  </si>
  <si>
    <t>422626196205186114</t>
  </si>
  <si>
    <t>张大清</t>
  </si>
  <si>
    <t>422626195108206115</t>
  </si>
  <si>
    <t>吴顺海</t>
  </si>
  <si>
    <t>422626196410076117</t>
  </si>
  <si>
    <t>戴明恕</t>
  </si>
  <si>
    <t>422626195602266113</t>
  </si>
  <si>
    <t>长滩河村</t>
  </si>
  <si>
    <t>周开清</t>
  </si>
  <si>
    <t>42262619680805611644</t>
  </si>
  <si>
    <t>姚光财</t>
  </si>
  <si>
    <t>422626195709286114</t>
  </si>
  <si>
    <t>汤兴卓</t>
  </si>
  <si>
    <t>422626197405026128</t>
  </si>
  <si>
    <t>汤成茂</t>
  </si>
  <si>
    <t>422626195301226118</t>
  </si>
  <si>
    <t>姚光芝</t>
  </si>
  <si>
    <t>422626196112186123</t>
  </si>
  <si>
    <t>唐祥山</t>
  </si>
  <si>
    <t>422626194904046111</t>
  </si>
  <si>
    <t>刘志道</t>
  </si>
  <si>
    <t>42032519460616611043</t>
  </si>
  <si>
    <t>陈恒选</t>
  </si>
  <si>
    <t>422626194811016116</t>
  </si>
  <si>
    <t>姜明益</t>
  </si>
  <si>
    <t>420325197011136135</t>
  </si>
  <si>
    <t>曾大定</t>
  </si>
  <si>
    <t>420325194904286137</t>
  </si>
  <si>
    <t>唐钧祥</t>
  </si>
  <si>
    <t>420325196701276114</t>
  </si>
  <si>
    <t>彭光斌</t>
  </si>
  <si>
    <t>420325197110166110</t>
  </si>
  <si>
    <t>许明聪</t>
  </si>
  <si>
    <t>42262619611209611X</t>
  </si>
  <si>
    <t>周广运</t>
  </si>
  <si>
    <t>422626195412126152</t>
  </si>
  <si>
    <t>唐盛平</t>
  </si>
  <si>
    <t>422626196802166138</t>
  </si>
  <si>
    <t>曾光卓</t>
  </si>
  <si>
    <t>42262619550217611072</t>
  </si>
  <si>
    <t>魏从春</t>
  </si>
  <si>
    <t>422626195805236117</t>
  </si>
  <si>
    <t>宋辉虎</t>
  </si>
  <si>
    <t>422626195701026115</t>
  </si>
  <si>
    <t>陈涛</t>
  </si>
  <si>
    <t>42032519860423611X</t>
  </si>
  <si>
    <t>丁章发</t>
  </si>
  <si>
    <t>422626196811146112</t>
  </si>
  <si>
    <t>杨宗勇</t>
  </si>
  <si>
    <t>420325198905126133</t>
  </si>
  <si>
    <t>唐磊</t>
  </si>
  <si>
    <t>420325198704206137</t>
  </si>
  <si>
    <t>422626196808096118</t>
  </si>
  <si>
    <t>谢来财</t>
  </si>
  <si>
    <t>42262619450820611X</t>
  </si>
  <si>
    <t>422626196206086115</t>
  </si>
  <si>
    <t>彭光成</t>
  </si>
  <si>
    <t>422626196501076112</t>
  </si>
  <si>
    <t>李培成</t>
  </si>
  <si>
    <t>422626197101186114</t>
  </si>
  <si>
    <t>高良维</t>
  </si>
  <si>
    <t>42262619331127611X</t>
  </si>
  <si>
    <t>唐盛昌</t>
  </si>
  <si>
    <t>422626197611246113</t>
  </si>
  <si>
    <t>杨官卓</t>
  </si>
  <si>
    <t>422626196207306116</t>
  </si>
  <si>
    <t>刘大忠</t>
  </si>
  <si>
    <t>422626195609146130</t>
  </si>
  <si>
    <t>高良停</t>
  </si>
  <si>
    <t>42262619490718611X</t>
  </si>
  <si>
    <t>唐盛忠</t>
  </si>
  <si>
    <t>420325196501206111</t>
  </si>
  <si>
    <t>周辉成</t>
  </si>
  <si>
    <t>42262619490822611X</t>
  </si>
  <si>
    <t>唐云祥</t>
  </si>
  <si>
    <t>42032519660528611X</t>
  </si>
  <si>
    <t>姚光朝</t>
  </si>
  <si>
    <t>422626195303256118</t>
  </si>
  <si>
    <t>杨贵全</t>
  </si>
  <si>
    <t>422626196204266112</t>
  </si>
  <si>
    <t>唐吉涛</t>
  </si>
  <si>
    <t>422626194506176113</t>
  </si>
  <si>
    <t>唐荣祥</t>
  </si>
  <si>
    <t>42262619501226613X</t>
  </si>
  <si>
    <t>刘大奎</t>
  </si>
  <si>
    <t>42262619510125611X</t>
  </si>
  <si>
    <t>刘清明</t>
  </si>
  <si>
    <t>422626195911146115</t>
  </si>
  <si>
    <t>高兴文</t>
  </si>
  <si>
    <t>422626197304186114</t>
  </si>
  <si>
    <t>唐盛旺</t>
  </si>
  <si>
    <t>422626196302226114</t>
  </si>
  <si>
    <t>曾光明</t>
  </si>
  <si>
    <t>422626195511186118</t>
  </si>
  <si>
    <t>周广钱</t>
  </si>
  <si>
    <t>422626196310176110</t>
  </si>
  <si>
    <t>王德洪</t>
  </si>
  <si>
    <t>420325195001036115</t>
  </si>
  <si>
    <t>张世昌</t>
  </si>
  <si>
    <t>422626196508206119</t>
  </si>
  <si>
    <t>杨宜俭</t>
  </si>
  <si>
    <t>420325197110105414</t>
  </si>
  <si>
    <t>吴立芝</t>
  </si>
  <si>
    <t>422626194109306121</t>
  </si>
  <si>
    <t>党烈银</t>
  </si>
  <si>
    <t>420325193307276112</t>
  </si>
  <si>
    <t>张佰均</t>
  </si>
  <si>
    <t>422626194901236112</t>
  </si>
  <si>
    <t>周开忠</t>
  </si>
  <si>
    <t>420325197211146179</t>
  </si>
  <si>
    <t>杨玉全</t>
  </si>
  <si>
    <t>422626195801136119</t>
  </si>
  <si>
    <t>唐盛友</t>
  </si>
  <si>
    <t>420325196901126110</t>
  </si>
  <si>
    <t>张百权</t>
  </si>
  <si>
    <t>422626194902266110</t>
  </si>
  <si>
    <t>汤儒国</t>
  </si>
  <si>
    <t>422626197512146117</t>
  </si>
  <si>
    <t>彭吉聪</t>
  </si>
  <si>
    <t>42262619530818613931</t>
  </si>
  <si>
    <t>魏从洪</t>
  </si>
  <si>
    <t>422626194712196115</t>
  </si>
  <si>
    <t>党世斌</t>
  </si>
  <si>
    <t>422626195108316111</t>
  </si>
  <si>
    <t>422626196712286136</t>
  </si>
  <si>
    <t>高良洪</t>
  </si>
  <si>
    <t>422626194107086137</t>
  </si>
  <si>
    <t>422626196610136110</t>
  </si>
  <si>
    <t>曾光平</t>
  </si>
  <si>
    <t>422626197507176119</t>
  </si>
  <si>
    <t>任自清</t>
  </si>
  <si>
    <t>422626196710286124</t>
  </si>
  <si>
    <t>党世明</t>
  </si>
  <si>
    <t>422626195506096118</t>
  </si>
  <si>
    <t>魏辉财</t>
  </si>
  <si>
    <t>420325197403236119</t>
  </si>
  <si>
    <t>高良友</t>
  </si>
  <si>
    <t>422626194410126111</t>
  </si>
  <si>
    <t>叶道权</t>
  </si>
  <si>
    <t>420325194208056119</t>
  </si>
  <si>
    <t>刘乾友</t>
  </si>
  <si>
    <t>42262619690123611144</t>
  </si>
  <si>
    <t>422626195412136190</t>
  </si>
  <si>
    <t>422626196211276175</t>
  </si>
  <si>
    <t>戴新东</t>
  </si>
  <si>
    <t>42262619560318611532</t>
  </si>
  <si>
    <t>唐盛军</t>
  </si>
  <si>
    <t>422626196804106139</t>
  </si>
  <si>
    <t>刘清乾</t>
  </si>
  <si>
    <t>42262619630814611532</t>
  </si>
  <si>
    <t>曾万寿</t>
  </si>
  <si>
    <t>42262619480712611X</t>
  </si>
  <si>
    <t>李光明</t>
  </si>
  <si>
    <t>422626195112185417</t>
  </si>
  <si>
    <t>42032519670718611X</t>
  </si>
  <si>
    <t>唐慧祥</t>
  </si>
  <si>
    <t>420325196405166113</t>
  </si>
  <si>
    <t>王保全</t>
  </si>
  <si>
    <t>422626195806036117</t>
  </si>
  <si>
    <t>赵超</t>
  </si>
  <si>
    <t>420325198805146110</t>
  </si>
  <si>
    <t>唐举祥</t>
  </si>
  <si>
    <t>422626196209266138</t>
  </si>
  <si>
    <t>曾光海</t>
  </si>
  <si>
    <t>422626196411236119</t>
  </si>
  <si>
    <t>422626196004166117</t>
  </si>
  <si>
    <t>陈江玉</t>
  </si>
  <si>
    <t>422626194701316118</t>
  </si>
  <si>
    <t>刘志云</t>
  </si>
  <si>
    <t>422626196208076113</t>
  </si>
  <si>
    <t>张世彦</t>
  </si>
  <si>
    <t>420325197802030375</t>
  </si>
  <si>
    <t>沈永兵</t>
  </si>
  <si>
    <t>422626197804106133</t>
  </si>
  <si>
    <t>唐付祥</t>
  </si>
  <si>
    <t>422626195805086112</t>
  </si>
  <si>
    <t>闻立财</t>
  </si>
  <si>
    <t>422626195702146119</t>
  </si>
  <si>
    <t>张天学</t>
  </si>
  <si>
    <t>42032519670305611X</t>
  </si>
  <si>
    <t>张先福</t>
  </si>
  <si>
    <t>420325195308106114</t>
  </si>
  <si>
    <t>汤兴富</t>
  </si>
  <si>
    <t>420325198206244136</t>
  </si>
  <si>
    <t>唐富祥</t>
  </si>
  <si>
    <t>422626195303166112</t>
  </si>
  <si>
    <t>张世金</t>
  </si>
  <si>
    <t>42262619740211611X</t>
  </si>
  <si>
    <t>刘家礼</t>
  </si>
  <si>
    <t>422626195105246111</t>
  </si>
  <si>
    <t>老人坪村</t>
  </si>
  <si>
    <t>曾鹏</t>
  </si>
  <si>
    <t>420325198603066112</t>
  </si>
  <si>
    <t>吴立保</t>
  </si>
  <si>
    <t>420325193211026119</t>
  </si>
  <si>
    <t>周照英</t>
  </si>
  <si>
    <t>422626193601276126</t>
  </si>
  <si>
    <t>冯荣春</t>
  </si>
  <si>
    <t>42262619541102611723</t>
  </si>
  <si>
    <t>王学英</t>
  </si>
  <si>
    <t>422626194407246120</t>
  </si>
  <si>
    <t>曾世忠</t>
  </si>
  <si>
    <t>422626195405106110</t>
  </si>
  <si>
    <t>陈百江</t>
  </si>
  <si>
    <t>422626195310116113</t>
  </si>
  <si>
    <t>422626195308026119</t>
  </si>
  <si>
    <t>杜忠茂</t>
  </si>
  <si>
    <t>422626193909056111</t>
  </si>
  <si>
    <t>黄朝明</t>
  </si>
  <si>
    <t>422626196505176110</t>
  </si>
  <si>
    <t>杜昌均</t>
  </si>
  <si>
    <t>422626195503086117</t>
  </si>
  <si>
    <t>戴克荣</t>
  </si>
  <si>
    <t>42262619540712614X</t>
  </si>
  <si>
    <t>屈官禄</t>
  </si>
  <si>
    <t>422626194803086114</t>
  </si>
  <si>
    <t>陈百清</t>
  </si>
  <si>
    <t>422626195902116117</t>
  </si>
  <si>
    <t>郑朝华</t>
  </si>
  <si>
    <t>42262619371225611X</t>
  </si>
  <si>
    <t>姚大权</t>
  </si>
  <si>
    <t>422626197405126110</t>
  </si>
  <si>
    <t>陈百云</t>
  </si>
  <si>
    <t>422626195007296115</t>
  </si>
  <si>
    <t>张大荣</t>
  </si>
  <si>
    <t>422626195803266128</t>
  </si>
  <si>
    <t>李家兵</t>
  </si>
  <si>
    <t>422626197211036117</t>
  </si>
  <si>
    <t>王正海</t>
  </si>
  <si>
    <t>420325195708096125</t>
  </si>
  <si>
    <t>旱田村</t>
  </si>
  <si>
    <t>田祥云</t>
  </si>
  <si>
    <t>422626194401106119</t>
  </si>
  <si>
    <t>422626195011166129</t>
  </si>
  <si>
    <t>李圣虎</t>
  </si>
  <si>
    <t>420325197109136117</t>
  </si>
  <si>
    <t>张大民</t>
  </si>
  <si>
    <t>422626195410096113</t>
  </si>
  <si>
    <t>邱泽炳</t>
  </si>
  <si>
    <t>422626195106216117</t>
  </si>
  <si>
    <t>戴全英</t>
  </si>
  <si>
    <t>422626195102196147</t>
  </si>
  <si>
    <t>杨全清</t>
  </si>
  <si>
    <t>422626194509186122</t>
  </si>
  <si>
    <t>戴海军</t>
  </si>
  <si>
    <t>420325198801056118</t>
  </si>
  <si>
    <t>周勇</t>
  </si>
  <si>
    <t>422626197301046116</t>
  </si>
  <si>
    <t>王成武</t>
  </si>
  <si>
    <t>422626195501286115</t>
  </si>
  <si>
    <t>邱远虎</t>
  </si>
  <si>
    <t>42032519791011611144</t>
  </si>
  <si>
    <t>邱世智</t>
  </si>
  <si>
    <t>42262619370310611X</t>
  </si>
  <si>
    <t>丁正清</t>
  </si>
  <si>
    <t>422626195401286118</t>
  </si>
  <si>
    <t>王升兰</t>
  </si>
  <si>
    <t>422626194709296123</t>
  </si>
  <si>
    <t>徐学平</t>
  </si>
  <si>
    <t>42262619720624611X</t>
  </si>
  <si>
    <t>王升林</t>
  </si>
  <si>
    <t>422626195411216113</t>
  </si>
  <si>
    <t>徐学华</t>
  </si>
  <si>
    <t>422626196003136119</t>
  </si>
  <si>
    <t>柏明君</t>
  </si>
  <si>
    <t>42262619410710611842</t>
  </si>
  <si>
    <t>王升华</t>
  </si>
  <si>
    <t>422626195801186116</t>
  </si>
  <si>
    <t>王升芝</t>
  </si>
  <si>
    <t>422626196311126123</t>
  </si>
  <si>
    <t>田明权</t>
  </si>
  <si>
    <t>422626196707306112</t>
  </si>
  <si>
    <t>王顺华</t>
  </si>
  <si>
    <t>422626194812126114</t>
  </si>
  <si>
    <t>陈清海</t>
  </si>
  <si>
    <t>422626196801186110</t>
  </si>
  <si>
    <t>张大东</t>
  </si>
  <si>
    <t>42262619630522611X</t>
  </si>
  <si>
    <t>刘守国</t>
  </si>
  <si>
    <t>422626194405136112</t>
  </si>
  <si>
    <t>邱泽成</t>
  </si>
  <si>
    <t>42262619430520611X</t>
  </si>
  <si>
    <t>戴小琴</t>
  </si>
  <si>
    <t>422626197701176120</t>
  </si>
  <si>
    <t>张清成</t>
  </si>
  <si>
    <t>422626196305156115</t>
  </si>
  <si>
    <t>李明颜</t>
  </si>
  <si>
    <t>422626196404096111</t>
  </si>
  <si>
    <t>李涛</t>
  </si>
  <si>
    <t>420325198201096132</t>
  </si>
  <si>
    <t>李启会</t>
  </si>
  <si>
    <t>无</t>
  </si>
  <si>
    <t>大堰村</t>
  </si>
  <si>
    <t>唐述祥</t>
  </si>
  <si>
    <t>422626195612146131</t>
  </si>
  <si>
    <t>戴坤</t>
  </si>
  <si>
    <t>422626196310146114</t>
  </si>
  <si>
    <t>周明堰</t>
  </si>
  <si>
    <t>420325198711176116</t>
  </si>
  <si>
    <t>唐魁祥</t>
  </si>
  <si>
    <t>422626196402016114</t>
  </si>
  <si>
    <t>刘朝明</t>
  </si>
  <si>
    <t>422626196502266110</t>
  </si>
  <si>
    <t>刘永斌</t>
  </si>
  <si>
    <t>422626196609156114</t>
  </si>
  <si>
    <t>代明先</t>
  </si>
  <si>
    <t>422626195603255715</t>
  </si>
  <si>
    <t>戴新朝</t>
  </si>
  <si>
    <t>422626197412176132</t>
  </si>
  <si>
    <t>张志远</t>
  </si>
  <si>
    <t>42262619411004611×</t>
  </si>
  <si>
    <t>唐奎</t>
  </si>
  <si>
    <t>420325198110286117</t>
  </si>
  <si>
    <t>唐盛燕</t>
  </si>
  <si>
    <t>420325198211106111</t>
  </si>
  <si>
    <t>唐丙祥</t>
  </si>
  <si>
    <t>422626195309216117</t>
  </si>
  <si>
    <t>唐民祥</t>
  </si>
  <si>
    <t>4222626194605246113</t>
  </si>
  <si>
    <t>刘世毅</t>
  </si>
  <si>
    <t>422626195503176112</t>
  </si>
  <si>
    <t>李培发</t>
  </si>
  <si>
    <t>422626195811296116</t>
  </si>
  <si>
    <t>李培举</t>
  </si>
  <si>
    <t>422626195512116111</t>
  </si>
  <si>
    <t>戴克合</t>
  </si>
  <si>
    <t>422626195307236114</t>
  </si>
  <si>
    <t>戴克恕</t>
  </si>
  <si>
    <t>420325194706086118</t>
  </si>
  <si>
    <t>陈丙先</t>
  </si>
  <si>
    <t>42032519360621611X</t>
  </si>
  <si>
    <t>戴新全</t>
  </si>
  <si>
    <t>422626196802226137</t>
  </si>
  <si>
    <t>戴新福</t>
  </si>
  <si>
    <t>422626195409036113</t>
  </si>
  <si>
    <t>422626196408146112</t>
  </si>
  <si>
    <t>420325198003136121</t>
  </si>
  <si>
    <t>朱洪权</t>
  </si>
  <si>
    <t>42032519810602611X</t>
  </si>
  <si>
    <t>刘永东</t>
  </si>
  <si>
    <t>420325197502186110</t>
  </si>
  <si>
    <t>陈连秀</t>
  </si>
  <si>
    <t>420325193809085420</t>
  </si>
  <si>
    <t>胡玉成</t>
  </si>
  <si>
    <t>422626195511136110</t>
  </si>
  <si>
    <t>唐祥陆</t>
  </si>
  <si>
    <t>420325196208236119</t>
  </si>
  <si>
    <t>曾光全</t>
  </si>
  <si>
    <t>422626196405275410</t>
  </si>
  <si>
    <t>朱帮军</t>
  </si>
  <si>
    <t>420325197902226118</t>
  </si>
  <si>
    <t>胡发均</t>
  </si>
  <si>
    <t>422626197501116115</t>
  </si>
  <si>
    <t>唐进祥</t>
  </si>
  <si>
    <t>42262619410128611X</t>
  </si>
  <si>
    <t>刘世和</t>
  </si>
  <si>
    <t>422626196206286117</t>
  </si>
  <si>
    <t>许世安</t>
  </si>
  <si>
    <t>422626195302086110</t>
  </si>
  <si>
    <t>唐礼祥</t>
  </si>
  <si>
    <t>422626196001196118</t>
  </si>
  <si>
    <t>柴照启</t>
  </si>
  <si>
    <t>422626195107116118</t>
  </si>
  <si>
    <t>张千秀</t>
  </si>
  <si>
    <t>422626195406176129</t>
  </si>
  <si>
    <t>李师明</t>
  </si>
  <si>
    <t>422626197209106112</t>
  </si>
  <si>
    <t>李盛知</t>
  </si>
  <si>
    <t>422626194610316112</t>
  </si>
  <si>
    <t>曾光耀</t>
  </si>
  <si>
    <t>422626195210236118</t>
  </si>
  <si>
    <t>刘世彦</t>
  </si>
  <si>
    <t>420325194603226114</t>
  </si>
  <si>
    <t>小坪村</t>
  </si>
  <si>
    <t>蔡举华</t>
  </si>
  <si>
    <t>422626195804086110</t>
  </si>
  <si>
    <t>蔡举祥</t>
  </si>
  <si>
    <t>422626195702146194</t>
  </si>
  <si>
    <t>黄成菊</t>
  </si>
  <si>
    <t>422626196707306120</t>
  </si>
  <si>
    <t>李启家</t>
  </si>
  <si>
    <t>422626195708286112</t>
  </si>
  <si>
    <t>凌文材</t>
  </si>
  <si>
    <t>422626195303036115</t>
  </si>
  <si>
    <t>刘帮海</t>
  </si>
  <si>
    <t>422626195002146118</t>
  </si>
  <si>
    <t>刘家英</t>
  </si>
  <si>
    <t>422626194701086121</t>
  </si>
  <si>
    <t>刘教进</t>
  </si>
  <si>
    <t>422626195208016116</t>
  </si>
  <si>
    <t>刘明祥</t>
  </si>
  <si>
    <t>422626195607226137</t>
  </si>
  <si>
    <t>刘永双</t>
  </si>
  <si>
    <t>422626196604146136</t>
  </si>
  <si>
    <t>史成东</t>
  </si>
  <si>
    <t>422626196706306110</t>
  </si>
  <si>
    <t>涂圣顶</t>
  </si>
  <si>
    <t>420325193405196116</t>
  </si>
  <si>
    <t>涂义清</t>
  </si>
  <si>
    <t>422626195202086113</t>
  </si>
  <si>
    <t>汪承波</t>
  </si>
  <si>
    <t>42262619691111613x</t>
  </si>
  <si>
    <t>汪承贵</t>
  </si>
  <si>
    <t>422626195403286111</t>
  </si>
  <si>
    <t>汪承江</t>
  </si>
  <si>
    <t>422626194808016115</t>
  </si>
  <si>
    <t>汪承绪</t>
  </si>
  <si>
    <t>422626194709046116</t>
  </si>
  <si>
    <t>汪大荣</t>
  </si>
  <si>
    <t>422626193302166111</t>
  </si>
  <si>
    <t>王立彦</t>
  </si>
  <si>
    <t>422626193511176113</t>
  </si>
  <si>
    <t>王清秀</t>
  </si>
  <si>
    <t>422626195704286123</t>
  </si>
  <si>
    <t>王运红</t>
  </si>
  <si>
    <t>422626196603085415</t>
  </si>
  <si>
    <t>王志山</t>
  </si>
  <si>
    <t>422626195006166116</t>
  </si>
  <si>
    <t>王治华</t>
  </si>
  <si>
    <t>422626193804266112</t>
  </si>
  <si>
    <t>杨启雨</t>
  </si>
  <si>
    <t>420325195209156116</t>
  </si>
  <si>
    <t>杨远付</t>
  </si>
  <si>
    <t>422626195611046112</t>
  </si>
  <si>
    <t>杨志国</t>
  </si>
  <si>
    <t>420325194312256110</t>
  </si>
  <si>
    <t>杨志会</t>
  </si>
  <si>
    <t>422626195902016116</t>
  </si>
  <si>
    <t>杨志明</t>
  </si>
  <si>
    <t>422626195309236118</t>
  </si>
  <si>
    <t>杨志强</t>
  </si>
  <si>
    <t>422626195310056114</t>
  </si>
  <si>
    <t>张守生</t>
  </si>
  <si>
    <t>422626195506246139</t>
  </si>
  <si>
    <t>赵明山</t>
  </si>
  <si>
    <t>422626194606226114</t>
  </si>
  <si>
    <t>汪玉莲</t>
  </si>
  <si>
    <t>422626196112236127</t>
  </si>
  <si>
    <t>杨仕礼</t>
  </si>
  <si>
    <t>422626195301086119</t>
  </si>
  <si>
    <t>黄朝先</t>
  </si>
  <si>
    <t>422626196406056113</t>
  </si>
  <si>
    <t>谢万荣</t>
  </si>
  <si>
    <t>422626195605146125</t>
  </si>
  <si>
    <t>汪承立</t>
  </si>
  <si>
    <t>422626194904176119</t>
  </si>
  <si>
    <t>王建贵</t>
  </si>
  <si>
    <t>420325195411176110</t>
  </si>
  <si>
    <t>王新华</t>
  </si>
  <si>
    <t>422626196602216137</t>
  </si>
  <si>
    <t>蔡贤兵</t>
  </si>
  <si>
    <t>420325197005246119</t>
  </si>
  <si>
    <t>张万海</t>
  </si>
  <si>
    <t>422626196906226115</t>
  </si>
  <si>
    <t>汪承根</t>
  </si>
  <si>
    <t>422626196902246135</t>
  </si>
  <si>
    <t>汪承粉</t>
  </si>
  <si>
    <t>422626195602196127</t>
  </si>
  <si>
    <t>中院村</t>
  </si>
  <si>
    <t>刘长军</t>
  </si>
  <si>
    <t>422626195403206118</t>
  </si>
  <si>
    <t>李青山</t>
  </si>
  <si>
    <t>422626197007146116</t>
  </si>
  <si>
    <t>张卫国</t>
  </si>
  <si>
    <t>422626194910284837</t>
  </si>
  <si>
    <t>刘世虎</t>
  </si>
  <si>
    <t>422626195007236112</t>
  </si>
  <si>
    <t>曾士权</t>
  </si>
  <si>
    <t>422626195301246119</t>
  </si>
  <si>
    <t>崔宏忠</t>
  </si>
  <si>
    <t>增加1人</t>
  </si>
  <si>
    <t>422626195205136112</t>
  </si>
  <si>
    <t>唐祥兰</t>
  </si>
  <si>
    <t>422626194205076127</t>
  </si>
  <si>
    <t>周猛</t>
  </si>
  <si>
    <t>增加2人</t>
  </si>
  <si>
    <t>420325199108106118</t>
  </si>
  <si>
    <t>刘绪华</t>
  </si>
  <si>
    <t>422626197005206111</t>
  </si>
  <si>
    <t>周明春</t>
  </si>
  <si>
    <t>420325198003036039</t>
  </si>
  <si>
    <t>肖成道</t>
  </si>
  <si>
    <t>422626194307216135</t>
  </si>
  <si>
    <t>陈金联</t>
  </si>
  <si>
    <t>422626195802236197</t>
  </si>
  <si>
    <t>唐盛宏</t>
  </si>
  <si>
    <t>420325199211156113</t>
  </si>
  <si>
    <t>李洪柱</t>
  </si>
  <si>
    <t>422626196206216119</t>
  </si>
  <si>
    <t>朱永祥</t>
  </si>
  <si>
    <t>422626195306126116</t>
  </si>
  <si>
    <t xml:space="preserve">  王继清</t>
  </si>
  <si>
    <t>增加4人</t>
  </si>
  <si>
    <t>422626195509186119</t>
  </si>
  <si>
    <t>万峪小计</t>
  </si>
  <si>
    <t>白鹤镇</t>
  </si>
  <si>
    <t>孙家湾</t>
  </si>
  <si>
    <t>王邦均</t>
  </si>
  <si>
    <t>420325197409101119</t>
  </si>
  <si>
    <t>吴安福</t>
  </si>
  <si>
    <t>420325197711025719</t>
  </si>
  <si>
    <t>杨德珍</t>
  </si>
  <si>
    <t>420325194105111103</t>
  </si>
  <si>
    <t>凡金林</t>
  </si>
  <si>
    <t>422626196908181117</t>
  </si>
  <si>
    <t>孙开德</t>
  </si>
  <si>
    <t>422626195408121113</t>
  </si>
  <si>
    <t>石堰河</t>
  </si>
  <si>
    <t>何顺发</t>
  </si>
  <si>
    <t>420325198406274211</t>
  </si>
  <si>
    <t>饶楚生</t>
  </si>
  <si>
    <t>42262619681223451X</t>
  </si>
  <si>
    <t>罗宗枝</t>
  </si>
  <si>
    <t>420325193107044245</t>
  </si>
  <si>
    <t>李孝富</t>
  </si>
  <si>
    <t>42262619730304451X</t>
  </si>
  <si>
    <t>罗贻鹏</t>
  </si>
  <si>
    <t>420325198108014518</t>
  </si>
  <si>
    <t>冯兴梅</t>
  </si>
  <si>
    <t>42032519820801454X</t>
  </si>
  <si>
    <t>杨生枝</t>
  </si>
  <si>
    <t>422626193409114514</t>
  </si>
  <si>
    <t>罗德金</t>
  </si>
  <si>
    <t>‘422626196411234519</t>
  </si>
  <si>
    <t>李西华</t>
  </si>
  <si>
    <t>42262619610521451X11</t>
  </si>
  <si>
    <t>长龙村</t>
  </si>
  <si>
    <t>冯士林</t>
  </si>
  <si>
    <t>422626195904211134</t>
  </si>
  <si>
    <t>祁正珍</t>
  </si>
  <si>
    <t>422626196503070048</t>
  </si>
  <si>
    <t>代安君</t>
  </si>
  <si>
    <t>赵国红</t>
  </si>
  <si>
    <t>赵国友</t>
  </si>
  <si>
    <t>解湾村</t>
  </si>
  <si>
    <t>张运芝</t>
  </si>
  <si>
    <t>宋政祖</t>
  </si>
  <si>
    <t>李坤学</t>
  </si>
  <si>
    <t>申纪成</t>
  </si>
  <si>
    <t>丁文建</t>
  </si>
  <si>
    <t>陈启辉</t>
  </si>
  <si>
    <t>曹胜英</t>
  </si>
  <si>
    <t>李吉银</t>
  </si>
  <si>
    <t>宋世清</t>
  </si>
  <si>
    <t>赤岩村</t>
  </si>
  <si>
    <t>胡传根</t>
  </si>
  <si>
    <t>420325197307291193</t>
  </si>
  <si>
    <t>吴有东</t>
  </si>
  <si>
    <t>422626196612301116</t>
  </si>
  <si>
    <t>李爱明</t>
  </si>
  <si>
    <t>42262619751110111X</t>
  </si>
  <si>
    <t>王天全</t>
  </si>
  <si>
    <t>422626197110141110</t>
  </si>
  <si>
    <t>吴文明</t>
  </si>
  <si>
    <t>422626197504281116</t>
  </si>
  <si>
    <t>解会然</t>
  </si>
  <si>
    <t>422626194707301128</t>
  </si>
  <si>
    <t>李军</t>
  </si>
  <si>
    <t>420325198610121116</t>
  </si>
  <si>
    <t>王天胜</t>
  </si>
  <si>
    <t>422626194901041112</t>
  </si>
  <si>
    <t>胡传海</t>
  </si>
  <si>
    <t>422626195709051139</t>
  </si>
  <si>
    <t>卢建富</t>
  </si>
  <si>
    <t>422626197007011115</t>
  </si>
  <si>
    <t>余礼林</t>
  </si>
  <si>
    <t xml:space="preserve">42262619630802111X
</t>
  </si>
  <si>
    <t>夏东明</t>
  </si>
  <si>
    <t xml:space="preserve">422626197112251137
</t>
  </si>
  <si>
    <t>白鹤村</t>
  </si>
  <si>
    <t>段家伟</t>
  </si>
  <si>
    <t>付必华</t>
  </si>
  <si>
    <t>付必军</t>
  </si>
  <si>
    <t>付家村</t>
  </si>
  <si>
    <t>陈自英</t>
  </si>
  <si>
    <t>422626194107201123</t>
  </si>
  <si>
    <t>付必和</t>
  </si>
  <si>
    <t>42262619431125111X</t>
  </si>
  <si>
    <t>代娟</t>
  </si>
  <si>
    <t>420325199303171126</t>
  </si>
  <si>
    <t>付梦玲</t>
  </si>
  <si>
    <t>李元良</t>
  </si>
  <si>
    <t>陈长合</t>
  </si>
  <si>
    <t>舒明国</t>
  </si>
  <si>
    <t>堰河村</t>
  </si>
  <si>
    <t>何良青</t>
  </si>
  <si>
    <t>422626194909091114</t>
  </si>
  <si>
    <t>邓发友</t>
  </si>
  <si>
    <t>422626194709011116</t>
  </si>
  <si>
    <t>姜自财</t>
  </si>
  <si>
    <t>42262619420526111144</t>
  </si>
  <si>
    <t>孙华梅</t>
  </si>
  <si>
    <t>齐化献</t>
  </si>
  <si>
    <t>熊涛</t>
  </si>
  <si>
    <t>420325197404131159</t>
  </si>
  <si>
    <t>胡献贵</t>
  </si>
  <si>
    <t>42262619671207113543</t>
  </si>
  <si>
    <t>熊顺田</t>
  </si>
  <si>
    <t>422626195208101118</t>
  </si>
  <si>
    <t>刘隋林</t>
  </si>
  <si>
    <t>422626196511261119</t>
  </si>
  <si>
    <t>刘道生</t>
  </si>
  <si>
    <t>曾清江</t>
  </si>
  <si>
    <t>422626197106051139</t>
  </si>
  <si>
    <t>华维生</t>
  </si>
  <si>
    <t>纪道强</t>
  </si>
  <si>
    <t>42262619701009111X</t>
  </si>
  <si>
    <t>胡兆兵</t>
  </si>
  <si>
    <t>尹心仁</t>
  </si>
  <si>
    <t>42262619690303111X</t>
  </si>
  <si>
    <t>卢兵</t>
  </si>
  <si>
    <t>邹正树</t>
  </si>
  <si>
    <t>420325197703151117</t>
  </si>
  <si>
    <t>王大兴</t>
  </si>
  <si>
    <t>孙华清</t>
  </si>
  <si>
    <t>420325197110301159</t>
  </si>
  <si>
    <t>胡献平</t>
  </si>
  <si>
    <t>420325197205271159</t>
  </si>
  <si>
    <t>代龙兴</t>
  </si>
  <si>
    <t>422626196811101117</t>
  </si>
  <si>
    <t>尹心华</t>
  </si>
  <si>
    <t>422626194504231115</t>
  </si>
  <si>
    <t>徐正红</t>
  </si>
  <si>
    <t>420325198207231139</t>
  </si>
  <si>
    <t>尹正林</t>
  </si>
  <si>
    <t>422626196909081118</t>
  </si>
  <si>
    <t>孙富兵</t>
  </si>
  <si>
    <t>422626197010021111</t>
  </si>
  <si>
    <t>金尚兵</t>
  </si>
  <si>
    <t>422626196910221130</t>
  </si>
  <si>
    <t>纪道中</t>
  </si>
  <si>
    <t>赵小琴</t>
  </si>
  <si>
    <t>420325197912231148</t>
  </si>
  <si>
    <t>汪芳</t>
  </si>
  <si>
    <t>42032519801007116X</t>
  </si>
  <si>
    <t>周应华</t>
  </si>
  <si>
    <t>何建宏</t>
  </si>
  <si>
    <t>420325198012301117</t>
  </si>
  <si>
    <t>邓姗姗</t>
  </si>
  <si>
    <t>420325199002061169</t>
  </si>
  <si>
    <t>郑海萍</t>
  </si>
  <si>
    <t>422626197303201124</t>
  </si>
  <si>
    <t>尚永均</t>
  </si>
  <si>
    <t>422626194905076419</t>
  </si>
  <si>
    <t>吴心印</t>
  </si>
  <si>
    <t>422626194905031114</t>
  </si>
  <si>
    <t>齐化武</t>
  </si>
  <si>
    <t>420325197205091115</t>
  </si>
  <si>
    <t>伏溪村</t>
  </si>
  <si>
    <t>胡传明</t>
  </si>
  <si>
    <t>孙仁美</t>
  </si>
  <si>
    <t>易显斌</t>
  </si>
  <si>
    <t>422626196905084514</t>
  </si>
  <si>
    <t>潘明贵</t>
  </si>
  <si>
    <t>胡凤友</t>
  </si>
  <si>
    <t>杜堂平</t>
  </si>
  <si>
    <t>三树村</t>
  </si>
  <si>
    <t>李如玉</t>
  </si>
  <si>
    <t>422626192711231127</t>
  </si>
  <si>
    <t>张兴成</t>
  </si>
  <si>
    <t>422626197101187918</t>
  </si>
  <si>
    <t>赵开柱</t>
  </si>
  <si>
    <t>422626196307191117</t>
  </si>
  <si>
    <t>杜明智</t>
  </si>
  <si>
    <t>422626196211201114</t>
  </si>
  <si>
    <t>徐成迎</t>
  </si>
  <si>
    <t>422626195401201110</t>
  </si>
  <si>
    <t>刘会东</t>
  </si>
  <si>
    <t>42262619720808111X</t>
  </si>
  <si>
    <t>徐成新</t>
  </si>
  <si>
    <t>42262619411028111X</t>
  </si>
  <si>
    <t>双河村</t>
  </si>
  <si>
    <t>曹光根</t>
  </si>
  <si>
    <t>王和明</t>
  </si>
  <si>
    <t>孙仁林</t>
  </si>
  <si>
    <t>曹友光</t>
  </si>
  <si>
    <t>董如明</t>
  </si>
  <si>
    <t>李福平</t>
  </si>
  <si>
    <t>宋仁祖</t>
  </si>
  <si>
    <t>谢永海</t>
  </si>
  <si>
    <t>贾永国</t>
  </si>
  <si>
    <t>姜成堂</t>
  </si>
  <si>
    <t>吴友泽</t>
  </si>
  <si>
    <t>代全成</t>
  </si>
  <si>
    <t>胡兆光</t>
  </si>
  <si>
    <t>东浪村</t>
  </si>
  <si>
    <t>周吉权</t>
  </si>
  <si>
    <t>杜大庆</t>
  </si>
  <si>
    <t>贾贵华</t>
  </si>
  <si>
    <t>肖长英</t>
  </si>
  <si>
    <t>周光伍</t>
  </si>
  <si>
    <t>郝成云</t>
  </si>
  <si>
    <t>徐昌权</t>
  </si>
  <si>
    <t xml:space="preserve">徐克志 </t>
  </si>
  <si>
    <t>王兵</t>
  </si>
  <si>
    <t>周吉忠</t>
  </si>
  <si>
    <t>金火华</t>
  </si>
  <si>
    <t>张先志</t>
  </si>
  <si>
    <t>胡先良</t>
  </si>
  <si>
    <t>梁相贵</t>
  </si>
  <si>
    <t>刘万文</t>
  </si>
  <si>
    <t>桂大富</t>
  </si>
  <si>
    <t>黄道军</t>
  </si>
  <si>
    <t>杜兴林</t>
  </si>
  <si>
    <t>422626196303316410</t>
  </si>
  <si>
    <t>张学荣</t>
  </si>
  <si>
    <t>桂召</t>
  </si>
  <si>
    <t>华荣宝</t>
  </si>
  <si>
    <t>42032519460216641232</t>
  </si>
  <si>
    <t>刘士权</t>
  </si>
  <si>
    <t>沈州华</t>
  </si>
  <si>
    <t>刘道华</t>
  </si>
  <si>
    <t>420325197110136413</t>
  </si>
  <si>
    <t>42262619690420641X</t>
  </si>
  <si>
    <t>冯宗全</t>
  </si>
  <si>
    <t>422626196611266478</t>
  </si>
  <si>
    <t>422626197403096413</t>
  </si>
  <si>
    <t>张学清</t>
  </si>
  <si>
    <t>422626196303186417</t>
  </si>
  <si>
    <t>华荣清</t>
  </si>
  <si>
    <t>张选进</t>
  </si>
  <si>
    <t>张永春</t>
  </si>
  <si>
    <t>422626197101156417</t>
  </si>
  <si>
    <t>华荣甲</t>
  </si>
  <si>
    <t>422626196710316418</t>
  </si>
  <si>
    <t>柯善堂</t>
  </si>
  <si>
    <t>42262619541201641211</t>
  </si>
  <si>
    <t>付必成</t>
  </si>
  <si>
    <t>42262619550120641031</t>
  </si>
  <si>
    <t>华荣云</t>
  </si>
  <si>
    <t>422626196312286428</t>
  </si>
  <si>
    <t>华卫均</t>
  </si>
  <si>
    <t>422626197312266472</t>
  </si>
  <si>
    <t>华卫权</t>
  </si>
  <si>
    <t>422626196212136430</t>
  </si>
  <si>
    <t>徐克见</t>
  </si>
  <si>
    <t>422626195711106418</t>
  </si>
  <si>
    <t>杨德权</t>
  </si>
  <si>
    <t>422626195012086411</t>
  </si>
  <si>
    <t>华同文</t>
  </si>
  <si>
    <t>李燕兰</t>
  </si>
  <si>
    <t>杜定明</t>
  </si>
  <si>
    <t>李文华</t>
  </si>
  <si>
    <t>华荣明</t>
  </si>
  <si>
    <t>张同华</t>
  </si>
  <si>
    <t>瞿义明</t>
  </si>
  <si>
    <t>吴运华</t>
  </si>
  <si>
    <t>许明江</t>
  </si>
  <si>
    <t>华荣良</t>
  </si>
  <si>
    <t>杨传斌</t>
  </si>
  <si>
    <t>赵炳丽</t>
  </si>
  <si>
    <t>许世军</t>
  </si>
  <si>
    <t>杨志文</t>
  </si>
  <si>
    <t>李学明</t>
  </si>
  <si>
    <t>杨传树</t>
  </si>
  <si>
    <t>翁国忠</t>
  </si>
  <si>
    <t>422626194901066432</t>
  </si>
  <si>
    <t>华荣福</t>
  </si>
  <si>
    <t>胡家权</t>
  </si>
  <si>
    <t>华同合</t>
  </si>
  <si>
    <t>庞华勇</t>
  </si>
  <si>
    <t>何满兴</t>
  </si>
  <si>
    <t>潘大兵</t>
  </si>
  <si>
    <t>华同权</t>
  </si>
  <si>
    <t>王家兴</t>
  </si>
  <si>
    <t>42262619680118641X</t>
  </si>
  <si>
    <t>王家富</t>
  </si>
  <si>
    <t>422626197201096415</t>
  </si>
  <si>
    <t>赵长山</t>
  </si>
  <si>
    <t>42262619410206641X</t>
  </si>
  <si>
    <t>李春保</t>
  </si>
  <si>
    <t>潘大成</t>
  </si>
  <si>
    <t>周善信</t>
  </si>
  <si>
    <t>谢金山</t>
  </si>
  <si>
    <t>王天德</t>
  </si>
  <si>
    <t>王成全</t>
  </si>
  <si>
    <t>420325196412041159</t>
  </si>
  <si>
    <t>王成兵</t>
  </si>
  <si>
    <t>422626197503026412</t>
  </si>
  <si>
    <t>王成军</t>
  </si>
  <si>
    <t>422626197205106430</t>
  </si>
  <si>
    <t>陈海智</t>
  </si>
  <si>
    <t>420325195503161135</t>
  </si>
  <si>
    <t>杨安富</t>
  </si>
  <si>
    <t>周吉均</t>
  </si>
  <si>
    <t>徐明兰</t>
  </si>
  <si>
    <t>王成义</t>
  </si>
  <si>
    <t>郑家祥</t>
  </si>
  <si>
    <t>422626194411306413</t>
  </si>
  <si>
    <t>彭子清</t>
  </si>
  <si>
    <t>422626195409106417</t>
  </si>
  <si>
    <t>郭迪生</t>
  </si>
  <si>
    <t>422626195110176410</t>
  </si>
  <si>
    <t>郭迪传</t>
  </si>
  <si>
    <t>陈毫米</t>
  </si>
  <si>
    <t>杨德坤</t>
  </si>
  <si>
    <t>张言林</t>
  </si>
  <si>
    <t>雷冲村</t>
  </si>
  <si>
    <t>王文明</t>
  </si>
  <si>
    <t>420325195410221119</t>
  </si>
  <si>
    <t>周运权</t>
  </si>
  <si>
    <t>422626194710021119</t>
  </si>
  <si>
    <t>刘先珍</t>
  </si>
  <si>
    <t>42262619720123112X</t>
  </si>
  <si>
    <t>彭贵合</t>
  </si>
  <si>
    <t>422626195711091156</t>
  </si>
  <si>
    <t>彭祥均</t>
  </si>
  <si>
    <t>422626197208131113</t>
  </si>
  <si>
    <t>彭祥茂</t>
  </si>
  <si>
    <t>422626197905251110</t>
  </si>
  <si>
    <t>桂宏林</t>
  </si>
  <si>
    <t>422626195701241114</t>
  </si>
  <si>
    <t>彭昌</t>
  </si>
  <si>
    <t>420325197711251118</t>
  </si>
  <si>
    <t>桂宏运</t>
  </si>
  <si>
    <t>422626195310101111</t>
  </si>
  <si>
    <t>桂宏兵</t>
  </si>
  <si>
    <t>422626196001291115</t>
  </si>
  <si>
    <t>陈永友</t>
  </si>
  <si>
    <t>422626196809291118</t>
  </si>
  <si>
    <t>桂兴炳</t>
  </si>
  <si>
    <t>422626195109031118</t>
  </si>
  <si>
    <t>黄杨村</t>
  </si>
  <si>
    <t>周良泽</t>
  </si>
  <si>
    <t>代兴军</t>
  </si>
  <si>
    <t>徐文明</t>
  </si>
  <si>
    <t>金开贵</t>
  </si>
  <si>
    <t>韩根堂</t>
  </si>
  <si>
    <t>陈先英</t>
  </si>
  <si>
    <t>韩长兵</t>
  </si>
  <si>
    <t>陈传玺</t>
  </si>
  <si>
    <t>赵  兴</t>
  </si>
  <si>
    <t>王成山</t>
  </si>
  <si>
    <t>王成进</t>
  </si>
  <si>
    <t>朱延兵</t>
  </si>
  <si>
    <t>陈学平</t>
  </si>
  <si>
    <t>陈学军</t>
  </si>
  <si>
    <t>徐克礼</t>
  </si>
  <si>
    <t>刘道义</t>
  </si>
  <si>
    <t>常晓月</t>
  </si>
  <si>
    <t>刘如炳</t>
  </si>
  <si>
    <t>孙华堂</t>
  </si>
  <si>
    <t>郭迪富</t>
  </si>
  <si>
    <t>陈兴卯</t>
  </si>
  <si>
    <t>赵忠友</t>
  </si>
  <si>
    <t>郝元斌</t>
  </si>
  <si>
    <t>李秀全</t>
  </si>
  <si>
    <t>景德林</t>
  </si>
  <si>
    <t>代自根</t>
  </si>
  <si>
    <t>蔡正明</t>
  </si>
  <si>
    <t>王仲成</t>
  </si>
  <si>
    <t>曾学江</t>
  </si>
  <si>
    <t>黄自国</t>
  </si>
  <si>
    <t>黄福平</t>
  </si>
  <si>
    <t>黄自军</t>
  </si>
  <si>
    <t>黄福新</t>
  </si>
  <si>
    <t>王明杰</t>
  </si>
  <si>
    <t>杨敦志</t>
  </si>
  <si>
    <t>邹正英</t>
  </si>
  <si>
    <t>桂宗良</t>
  </si>
  <si>
    <t>桂大印</t>
  </si>
  <si>
    <t>张学万</t>
  </si>
  <si>
    <t>彭洪章</t>
  </si>
  <si>
    <t>张学先</t>
  </si>
  <si>
    <t>桂光田</t>
  </si>
  <si>
    <t>彭洪友</t>
  </si>
  <si>
    <t>何良喜</t>
  </si>
  <si>
    <t>黄明秀</t>
  </si>
  <si>
    <t>桂光生</t>
  </si>
  <si>
    <t>白鹤小计</t>
  </si>
  <si>
    <t>土城镇</t>
  </si>
  <si>
    <t>白鸡村</t>
  </si>
  <si>
    <t>李正富</t>
  </si>
  <si>
    <t>422626196912256716</t>
  </si>
  <si>
    <t>蔡广成</t>
  </si>
  <si>
    <t>422626197310316739</t>
  </si>
  <si>
    <t>422626196803256725</t>
  </si>
  <si>
    <t>王学贵</t>
  </si>
  <si>
    <t>4226261985604266715</t>
  </si>
  <si>
    <t>邵荣斌</t>
  </si>
  <si>
    <t>420325197609226717</t>
  </si>
  <si>
    <t>魏朋久</t>
  </si>
  <si>
    <t xml:space="preserve">42262619661111671x </t>
  </si>
  <si>
    <t>胡献军</t>
  </si>
  <si>
    <t>420325198304176717</t>
  </si>
  <si>
    <t>何良珍</t>
  </si>
  <si>
    <t>422626196204246728</t>
  </si>
  <si>
    <t>胡建华</t>
  </si>
  <si>
    <t>422626195001186716</t>
  </si>
  <si>
    <t>朱运平</t>
  </si>
  <si>
    <t>422626196501256711</t>
  </si>
  <si>
    <t>陈大文</t>
  </si>
  <si>
    <t>422626196808156715</t>
  </si>
  <si>
    <t>周金海</t>
  </si>
  <si>
    <t>422626196405046714</t>
  </si>
  <si>
    <t>余永章</t>
  </si>
  <si>
    <t>422626197303266737</t>
  </si>
  <si>
    <t>肖关平</t>
  </si>
  <si>
    <t>422626197312316716</t>
  </si>
  <si>
    <t>万伦军</t>
  </si>
  <si>
    <t>42262619680125673x</t>
  </si>
  <si>
    <t>邓垒垒</t>
  </si>
  <si>
    <t>王力</t>
  </si>
  <si>
    <t>420325197809226711</t>
  </si>
  <si>
    <t>堤坪村</t>
  </si>
  <si>
    <t>王德印</t>
  </si>
  <si>
    <t>422626196409016715</t>
  </si>
  <si>
    <t>杨贵柱</t>
  </si>
  <si>
    <t>422626196407236714</t>
  </si>
  <si>
    <t>欧阳士成</t>
  </si>
  <si>
    <t>422626195108246715</t>
  </si>
  <si>
    <t>陈平春</t>
  </si>
  <si>
    <t>422626194803166712</t>
  </si>
  <si>
    <t>袁达群</t>
  </si>
  <si>
    <t>420325197904266711</t>
  </si>
  <si>
    <t>徐兰海</t>
  </si>
  <si>
    <t>420325195505066713</t>
  </si>
  <si>
    <t>张家志</t>
  </si>
  <si>
    <t>422626195507196719</t>
  </si>
  <si>
    <t>孔祥龙</t>
  </si>
  <si>
    <t>422626195302106716</t>
  </si>
  <si>
    <t>花楼门村</t>
  </si>
  <si>
    <t>胡成林</t>
  </si>
  <si>
    <t>42262619750616671X</t>
  </si>
  <si>
    <t>刘远江</t>
  </si>
  <si>
    <t>422626196904176716</t>
  </si>
  <si>
    <t>孔相莲</t>
  </si>
  <si>
    <t>422626194612046742</t>
  </si>
  <si>
    <t>王启禄</t>
  </si>
  <si>
    <t>422626196807096714</t>
  </si>
  <si>
    <t>王启明</t>
  </si>
  <si>
    <t>422626197608256732</t>
  </si>
  <si>
    <t>曾付平</t>
  </si>
  <si>
    <t>422626197110086713</t>
  </si>
  <si>
    <t>余启华</t>
  </si>
  <si>
    <t>422626197904226714</t>
  </si>
  <si>
    <t>422626197512146731</t>
  </si>
  <si>
    <t>422626195610296718</t>
  </si>
  <si>
    <t>宋宏如</t>
  </si>
  <si>
    <t>422626194705096714</t>
  </si>
  <si>
    <t>余明海</t>
  </si>
  <si>
    <t>422626195610316715</t>
  </si>
  <si>
    <t>王佩</t>
  </si>
  <si>
    <t>420325197802046718</t>
  </si>
  <si>
    <t>张明成</t>
  </si>
  <si>
    <t>420325198003207719</t>
  </si>
  <si>
    <t>王启红</t>
  </si>
  <si>
    <t>420325197906086714</t>
  </si>
  <si>
    <t>周元江</t>
  </si>
  <si>
    <t>422626196204296733</t>
  </si>
  <si>
    <t>徐文金才</t>
  </si>
  <si>
    <t>420325198201196731</t>
  </si>
  <si>
    <t>422626196304146716</t>
  </si>
  <si>
    <t>顾勇</t>
  </si>
  <si>
    <t>422626197912276711</t>
  </si>
  <si>
    <t>王启福</t>
  </si>
  <si>
    <t>李延成</t>
  </si>
  <si>
    <t>王屹</t>
  </si>
  <si>
    <t>张显亭</t>
  </si>
  <si>
    <t>422626194709246716</t>
  </si>
  <si>
    <t>张安权</t>
  </si>
  <si>
    <t>黄泥村</t>
  </si>
  <si>
    <t>武永合</t>
  </si>
  <si>
    <t>422626195009266737</t>
  </si>
  <si>
    <t>梁贵贤</t>
  </si>
  <si>
    <t>42262619511025671X</t>
  </si>
  <si>
    <t>董明昌</t>
  </si>
  <si>
    <t>422626196611026714</t>
  </si>
  <si>
    <t>闫士美</t>
  </si>
  <si>
    <t>42032519771010671X</t>
  </si>
  <si>
    <t>闫波</t>
  </si>
  <si>
    <t>42032519900214671X</t>
  </si>
  <si>
    <t>蔡中华</t>
  </si>
  <si>
    <t>422626196710256718</t>
  </si>
  <si>
    <t>姜健</t>
  </si>
  <si>
    <t>420325198701146714</t>
  </si>
  <si>
    <t>周启安</t>
  </si>
  <si>
    <t>420325197211196714</t>
  </si>
  <si>
    <t>王成贤</t>
  </si>
  <si>
    <t>420325198011076739</t>
  </si>
  <si>
    <t>赵定勇</t>
  </si>
  <si>
    <t>420325198211206737</t>
  </si>
  <si>
    <t>马蹄</t>
  </si>
  <si>
    <t>张道生</t>
  </si>
  <si>
    <t>422626195204076437</t>
  </si>
  <si>
    <t>马成明</t>
  </si>
  <si>
    <t>422626195703296418</t>
  </si>
  <si>
    <t>刘德合</t>
  </si>
  <si>
    <t>42032519650404641631</t>
  </si>
  <si>
    <t>42032519641121643942</t>
  </si>
  <si>
    <t>王明武</t>
  </si>
  <si>
    <t>42032519840624643x</t>
  </si>
  <si>
    <t>陈顺志</t>
  </si>
  <si>
    <t>42262619431015641x</t>
  </si>
  <si>
    <t>陈顺英</t>
  </si>
  <si>
    <t>422626193710056421</t>
  </si>
  <si>
    <t>郭现升</t>
  </si>
  <si>
    <t>420325198002026430</t>
  </si>
  <si>
    <t>梁自兴</t>
  </si>
  <si>
    <t>422626194706136415</t>
  </si>
  <si>
    <t>420325198512136437</t>
  </si>
  <si>
    <t>422626197801086413</t>
  </si>
  <si>
    <t>江勇</t>
  </si>
  <si>
    <t>420325198508026438</t>
  </si>
  <si>
    <t>姜成清</t>
  </si>
  <si>
    <t>422626197106196418</t>
  </si>
  <si>
    <t>刘德学</t>
  </si>
  <si>
    <t>42262619550129641x</t>
  </si>
  <si>
    <t>余顺华</t>
  </si>
  <si>
    <t>420325196607066436</t>
  </si>
  <si>
    <t>刘培宝</t>
  </si>
  <si>
    <t>422626197508016416</t>
  </si>
  <si>
    <t>林顺山</t>
  </si>
  <si>
    <t>420325195805026713</t>
  </si>
  <si>
    <t>周元喜</t>
  </si>
  <si>
    <t>420325196609016432</t>
  </si>
  <si>
    <t>王德海</t>
  </si>
  <si>
    <t>422626197312276419</t>
  </si>
  <si>
    <t>陈顺国</t>
  </si>
  <si>
    <t>42262619491202641x</t>
  </si>
  <si>
    <t>鲜东伟</t>
  </si>
  <si>
    <t>422626197211306412</t>
  </si>
  <si>
    <t>周元宝</t>
  </si>
  <si>
    <t>422626197108276411</t>
  </si>
  <si>
    <t>朱玉章</t>
  </si>
  <si>
    <t>422626196310056426</t>
  </si>
  <si>
    <t>陈吉海</t>
  </si>
  <si>
    <t>422626196907076438</t>
  </si>
  <si>
    <t>王启兵</t>
  </si>
  <si>
    <t>422626197404056413</t>
  </si>
  <si>
    <t>莫吉林</t>
  </si>
  <si>
    <t>422626197004026418</t>
  </si>
  <si>
    <t>郝成义</t>
  </si>
  <si>
    <t>420325197007176716</t>
  </si>
  <si>
    <t>耿太国</t>
  </si>
  <si>
    <t>422626197305166414</t>
  </si>
  <si>
    <t>孟进菊</t>
  </si>
  <si>
    <t>420325197212106428</t>
  </si>
  <si>
    <t>塘埂</t>
  </si>
  <si>
    <t>戢艳</t>
  </si>
  <si>
    <t>贾大棚</t>
  </si>
  <si>
    <t>齐长兵</t>
  </si>
  <si>
    <t>刘映强</t>
  </si>
  <si>
    <t>王善书</t>
  </si>
  <si>
    <t>刘德兰</t>
  </si>
  <si>
    <t>陈兴学</t>
  </si>
  <si>
    <t>杨自贵</t>
  </si>
  <si>
    <t>金正海</t>
  </si>
  <si>
    <t>刘林梅</t>
  </si>
  <si>
    <t>刘启阳</t>
  </si>
  <si>
    <t>刘林明</t>
  </si>
  <si>
    <t>王传军</t>
  </si>
  <si>
    <t>何翠</t>
  </si>
  <si>
    <t>黄道菊</t>
  </si>
  <si>
    <t>黄道芝</t>
  </si>
  <si>
    <t>42032519520807642131</t>
  </si>
  <si>
    <t>孙玉兰</t>
  </si>
  <si>
    <t>420325194504056420</t>
  </si>
  <si>
    <t>讨寺方</t>
  </si>
  <si>
    <t>戢太宏</t>
  </si>
  <si>
    <t>422626195105216713</t>
  </si>
  <si>
    <t>李成柱</t>
  </si>
  <si>
    <t>42262619400405671X</t>
  </si>
  <si>
    <t>胡启礼</t>
  </si>
  <si>
    <t>422626192703126714</t>
  </si>
  <si>
    <t>况建华</t>
  </si>
  <si>
    <t>422626196506276711</t>
  </si>
  <si>
    <t>孙运华</t>
  </si>
  <si>
    <t>422626197102266712</t>
  </si>
  <si>
    <t>刘宗宝</t>
  </si>
  <si>
    <t>42262619560310671X</t>
  </si>
  <si>
    <t>张  彬</t>
  </si>
  <si>
    <t>422626195111196712</t>
  </si>
  <si>
    <t>422626196610296720</t>
  </si>
  <si>
    <t>况建文</t>
  </si>
  <si>
    <t>422626194709186717</t>
  </si>
  <si>
    <t>刘成华</t>
  </si>
  <si>
    <t>422626196209146734</t>
  </si>
  <si>
    <t>姜珩玉</t>
  </si>
  <si>
    <t>420325198712046727</t>
  </si>
  <si>
    <t>任华忠</t>
  </si>
  <si>
    <t>422626196206146712</t>
  </si>
  <si>
    <t>通省村</t>
  </si>
  <si>
    <t>徐文林</t>
  </si>
  <si>
    <t>422626195403056412</t>
  </si>
  <si>
    <t>孙前贵</t>
  </si>
  <si>
    <t>422626196212146434</t>
  </si>
  <si>
    <t>魏哑成</t>
  </si>
  <si>
    <t>422626195808236411</t>
  </si>
  <si>
    <t>彭秀春</t>
  </si>
  <si>
    <t>422626194301176419</t>
  </si>
  <si>
    <t>王敦合</t>
  </si>
  <si>
    <t>422626194901276413</t>
  </si>
  <si>
    <t>王敦学</t>
  </si>
  <si>
    <t>422626195412256432</t>
  </si>
  <si>
    <t>王孝卜</t>
  </si>
  <si>
    <t>422626194407166411</t>
  </si>
  <si>
    <t>王传群</t>
  </si>
  <si>
    <t>420325198707056410</t>
  </si>
  <si>
    <t>王传芝</t>
  </si>
  <si>
    <t>420325194509096421</t>
  </si>
  <si>
    <t>王俊山</t>
  </si>
  <si>
    <t>422626195802046457</t>
  </si>
  <si>
    <t>谢清友</t>
  </si>
  <si>
    <t>422626195607086410</t>
  </si>
  <si>
    <t>况成权</t>
  </si>
  <si>
    <t>422626195305266416</t>
  </si>
  <si>
    <t>彭宏力</t>
  </si>
  <si>
    <t>422626197504236411</t>
  </si>
  <si>
    <t>郑龙菊</t>
  </si>
  <si>
    <t>422626196610196420</t>
  </si>
  <si>
    <t>鲜运辉</t>
  </si>
  <si>
    <t>420325197510166494</t>
  </si>
  <si>
    <t>王厚英</t>
  </si>
  <si>
    <t>420325196911076460</t>
  </si>
  <si>
    <t>刘艮香</t>
  </si>
  <si>
    <t>420325194301186428</t>
  </si>
  <si>
    <t>420325198401146739</t>
  </si>
  <si>
    <t>王义兵</t>
  </si>
  <si>
    <t>422626197411106431</t>
  </si>
  <si>
    <t>陈启根</t>
  </si>
  <si>
    <t>420325198509136436</t>
  </si>
  <si>
    <t>422626196908017018</t>
  </si>
  <si>
    <t>罗永富</t>
  </si>
  <si>
    <t>422626194201086416</t>
  </si>
  <si>
    <t>罗堂</t>
  </si>
  <si>
    <t>422626196403066412</t>
  </si>
  <si>
    <t>张明军</t>
  </si>
  <si>
    <t>420325198003226418</t>
  </si>
  <si>
    <t>华维权</t>
  </si>
  <si>
    <t>42032519880506641X</t>
  </si>
  <si>
    <t>黄道清</t>
  </si>
  <si>
    <t>422626195701306416</t>
  </si>
  <si>
    <t>汪万军</t>
  </si>
  <si>
    <t>422626194711166416</t>
  </si>
  <si>
    <t>杞学军</t>
  </si>
  <si>
    <t>420325198411196414</t>
  </si>
  <si>
    <t>朱传英</t>
  </si>
  <si>
    <t>422626195106146411</t>
  </si>
  <si>
    <t>魏兴华</t>
  </si>
  <si>
    <t>422626196805016418</t>
  </si>
  <si>
    <t>曾世武</t>
  </si>
  <si>
    <t>422626194707286415</t>
  </si>
  <si>
    <t>羊林村</t>
  </si>
  <si>
    <t>周  涛</t>
  </si>
  <si>
    <t>420325199006036710</t>
  </si>
  <si>
    <t>杨绪昌</t>
  </si>
  <si>
    <t>422626193606236713</t>
  </si>
  <si>
    <t>张思才</t>
  </si>
  <si>
    <t>422626197005026719</t>
  </si>
  <si>
    <t>龙坪村</t>
  </si>
  <si>
    <t>卢学泽</t>
  </si>
  <si>
    <t>422626193510086714</t>
  </si>
  <si>
    <t>戴大明</t>
  </si>
  <si>
    <t>422626196202086716</t>
  </si>
  <si>
    <t>李大新</t>
  </si>
  <si>
    <t>张道林</t>
  </si>
  <si>
    <t>王正山</t>
  </si>
  <si>
    <t>项德福</t>
  </si>
  <si>
    <t>顾先忠</t>
  </si>
  <si>
    <t>葛先海</t>
  </si>
  <si>
    <t>422626195901276717</t>
  </si>
  <si>
    <t>张有山</t>
  </si>
  <si>
    <t>孔祥华</t>
  </si>
  <si>
    <t>422626196801146717</t>
  </si>
  <si>
    <t>吕贵善</t>
  </si>
  <si>
    <t>422626196502226717</t>
  </si>
  <si>
    <t>戢运军</t>
  </si>
  <si>
    <t>吕波</t>
  </si>
  <si>
    <t>42032519860180041</t>
  </si>
  <si>
    <t>刘春尚</t>
  </si>
  <si>
    <t>422626195011226718</t>
  </si>
  <si>
    <t>王德进</t>
  </si>
  <si>
    <t>刘明玉</t>
  </si>
  <si>
    <t>江仁明</t>
  </si>
  <si>
    <t>422626197901106717</t>
  </si>
  <si>
    <t>刘正安</t>
  </si>
  <si>
    <t>刘正成</t>
  </si>
  <si>
    <t>422626196706026717</t>
  </si>
  <si>
    <t>周德贵</t>
  </si>
  <si>
    <t>422626197610316714</t>
  </si>
  <si>
    <t>顾教意</t>
  </si>
  <si>
    <t>420325196706186716</t>
  </si>
  <si>
    <t>刘培友</t>
  </si>
  <si>
    <t>42262619670323673544</t>
  </si>
  <si>
    <t>胡显成</t>
  </si>
  <si>
    <t>42262619640312671043</t>
  </si>
  <si>
    <t>饶可军</t>
  </si>
  <si>
    <t>422626196112246712</t>
  </si>
  <si>
    <t>彭秀英</t>
  </si>
  <si>
    <t>422626192805126723</t>
  </si>
  <si>
    <t>422626194808236716</t>
  </si>
  <si>
    <t>刘明德</t>
  </si>
  <si>
    <t>梁兴昌</t>
  </si>
  <si>
    <t>梁士成</t>
  </si>
  <si>
    <t>422626197602276716</t>
  </si>
  <si>
    <t>顾凯</t>
  </si>
  <si>
    <t>420325198311226719</t>
  </si>
  <si>
    <t>吕志成</t>
  </si>
  <si>
    <t>陈德田</t>
  </si>
  <si>
    <t>王齐武</t>
  </si>
  <si>
    <t>刘正超</t>
  </si>
  <si>
    <t>王善成</t>
  </si>
  <si>
    <t>莫吉珍</t>
  </si>
  <si>
    <t>刘家平</t>
  </si>
  <si>
    <t>舒宗贤</t>
  </si>
  <si>
    <t>汤立军</t>
  </si>
  <si>
    <t>周永山</t>
  </si>
  <si>
    <t>周作林</t>
  </si>
  <si>
    <t>刘培宏</t>
  </si>
  <si>
    <t>刘正兵</t>
  </si>
  <si>
    <t>42262619670907671X</t>
  </si>
  <si>
    <t>杜光才</t>
  </si>
  <si>
    <t>吕自华</t>
  </si>
  <si>
    <t>42262619720222671X44</t>
  </si>
  <si>
    <t>王永入</t>
  </si>
  <si>
    <t>王俊</t>
  </si>
  <si>
    <t>刘家春</t>
  </si>
  <si>
    <t>郑士友</t>
  </si>
  <si>
    <t>王永亭</t>
  </si>
  <si>
    <t>张国兴</t>
  </si>
  <si>
    <t>郭春林</t>
  </si>
  <si>
    <t>卢学玉</t>
  </si>
  <si>
    <t>420325196705296737</t>
  </si>
  <si>
    <t>周公昌</t>
  </si>
  <si>
    <t>郑道月</t>
  </si>
  <si>
    <t>魏兴兰</t>
  </si>
  <si>
    <t>杨长兵</t>
  </si>
  <si>
    <t>420325198412267018</t>
  </si>
  <si>
    <t>吴作兰</t>
  </si>
  <si>
    <t>422626195203016723</t>
  </si>
  <si>
    <t>吴远云</t>
  </si>
  <si>
    <t>422626195901296726</t>
  </si>
  <si>
    <t>陈习辉</t>
  </si>
  <si>
    <t>420325198505107013</t>
  </si>
  <si>
    <t>422626196303086715</t>
  </si>
  <si>
    <t>李兴奎</t>
  </si>
  <si>
    <t>420325198404223111</t>
  </si>
  <si>
    <t>胡星</t>
  </si>
  <si>
    <t>420325198908086712</t>
  </si>
  <si>
    <t>李诗禄</t>
  </si>
  <si>
    <t>422626197509227119</t>
  </si>
  <si>
    <t>杜大菊</t>
  </si>
  <si>
    <t>422626196412146721</t>
  </si>
  <si>
    <t>龚世安</t>
  </si>
  <si>
    <t>422626193105016712</t>
  </si>
  <si>
    <t>穿山堰村三组</t>
  </si>
  <si>
    <t>张  平</t>
  </si>
  <si>
    <t>420325198712236715</t>
  </si>
  <si>
    <t>穿山堰村二组</t>
  </si>
  <si>
    <t>陈广群</t>
  </si>
  <si>
    <t>422626196006046717</t>
  </si>
  <si>
    <t>穿山堰村一组</t>
  </si>
  <si>
    <t>吴胜明</t>
  </si>
  <si>
    <t>万绪敬</t>
  </si>
  <si>
    <t>穿山堰村四组</t>
  </si>
  <si>
    <t>422626197202246737</t>
  </si>
  <si>
    <t>石继云</t>
  </si>
  <si>
    <t>422626195504026765</t>
  </si>
  <si>
    <t>邹正斌</t>
  </si>
  <si>
    <t>422626196704016718</t>
  </si>
  <si>
    <t>石祥炳</t>
  </si>
  <si>
    <t>422626195111036719</t>
  </si>
  <si>
    <t>莫本成</t>
  </si>
  <si>
    <t>422626196803246738</t>
  </si>
  <si>
    <t>李久云</t>
  </si>
  <si>
    <t>42262619600601674531</t>
  </si>
  <si>
    <t>葛坪河村</t>
  </si>
  <si>
    <t>付大林</t>
  </si>
  <si>
    <t>422626196703306713</t>
  </si>
  <si>
    <t>魏奇</t>
  </si>
  <si>
    <t>422626197009036711</t>
  </si>
  <si>
    <t>422626197705106736</t>
  </si>
  <si>
    <t>小亭村</t>
  </si>
  <si>
    <t>齐合明</t>
  </si>
  <si>
    <t>422626194706186412</t>
  </si>
  <si>
    <t>付必光</t>
  </si>
  <si>
    <t>422626195911146414</t>
  </si>
  <si>
    <t>周正权</t>
  </si>
  <si>
    <t>422626195609046412</t>
  </si>
  <si>
    <t>王伯华</t>
  </si>
  <si>
    <t>422626195807116717</t>
  </si>
  <si>
    <t>董红权</t>
  </si>
  <si>
    <t>422626196111186738</t>
  </si>
  <si>
    <t>郜元科</t>
  </si>
  <si>
    <t>420325197901176710</t>
  </si>
  <si>
    <t>郜国军</t>
  </si>
  <si>
    <t>422626196006116711</t>
  </si>
  <si>
    <t>陈富强</t>
  </si>
  <si>
    <t>422626196702176750</t>
  </si>
  <si>
    <t>陈富顺</t>
  </si>
  <si>
    <t>420325197711056718</t>
  </si>
  <si>
    <t>张寿权</t>
  </si>
  <si>
    <t>422626196501106414</t>
  </si>
  <si>
    <t>齐德安</t>
  </si>
  <si>
    <t>422626197110236435</t>
  </si>
  <si>
    <t>杜先燕</t>
  </si>
  <si>
    <t>韩长珍</t>
  </si>
  <si>
    <t>张学云</t>
  </si>
  <si>
    <t>齐德成</t>
  </si>
  <si>
    <t>422626195903206413</t>
  </si>
  <si>
    <t>吴丰云</t>
  </si>
  <si>
    <t>422626195101056716</t>
  </si>
  <si>
    <t>黄长清</t>
  </si>
  <si>
    <t>422626197910236716</t>
  </si>
  <si>
    <t>422626196206016416</t>
  </si>
  <si>
    <t>大河村</t>
  </si>
  <si>
    <t>夏鲜辉</t>
  </si>
  <si>
    <t>420325198206306418</t>
  </si>
  <si>
    <t>刘开林</t>
  </si>
  <si>
    <t>422626196609246419</t>
  </si>
  <si>
    <t>陈林</t>
  </si>
  <si>
    <t>420325198008156420</t>
  </si>
  <si>
    <t>420325198405076416</t>
  </si>
  <si>
    <t>李启昌</t>
  </si>
  <si>
    <t>422626197404106417</t>
  </si>
  <si>
    <t>曾荣林</t>
  </si>
  <si>
    <t>422626197001096410</t>
  </si>
  <si>
    <t>王德春</t>
  </si>
  <si>
    <t>420325197803106778</t>
  </si>
  <si>
    <t>熊许云</t>
  </si>
  <si>
    <t>422626197103236445</t>
  </si>
  <si>
    <t>王德清</t>
  </si>
  <si>
    <t>422626197102116417</t>
  </si>
  <si>
    <t>陈正义</t>
  </si>
  <si>
    <t>422626194313196415</t>
  </si>
  <si>
    <t>422626197403036437</t>
  </si>
  <si>
    <t>杨广英</t>
  </si>
  <si>
    <t>422626194205316426</t>
  </si>
  <si>
    <t>张志国</t>
  </si>
  <si>
    <t>422626197606076439</t>
  </si>
  <si>
    <t>422626196312176413</t>
  </si>
  <si>
    <t>张志华</t>
  </si>
  <si>
    <t>422626197102126423</t>
  </si>
  <si>
    <t>胡现良</t>
  </si>
  <si>
    <t>420325198104036410</t>
  </si>
  <si>
    <t>顾教合</t>
  </si>
  <si>
    <t>422626195902106410</t>
  </si>
  <si>
    <t>郑龙清</t>
  </si>
  <si>
    <t>422626196206266511</t>
  </si>
  <si>
    <t>郑伟</t>
  </si>
  <si>
    <t>422626197904306415</t>
  </si>
  <si>
    <t>顾教明</t>
  </si>
  <si>
    <t>420325198802086415</t>
  </si>
  <si>
    <t>王英</t>
  </si>
  <si>
    <t>420325198004146410</t>
  </si>
  <si>
    <t>张华平</t>
  </si>
  <si>
    <t>422626195808316411</t>
  </si>
  <si>
    <t>顾教兵</t>
  </si>
  <si>
    <t>422626197805276417</t>
  </si>
  <si>
    <t>左瑞艮</t>
  </si>
  <si>
    <t>422626194711286418</t>
  </si>
  <si>
    <t>郑道才</t>
  </si>
  <si>
    <t>422626195411296432</t>
  </si>
  <si>
    <t>王政明</t>
  </si>
  <si>
    <t>422626194808196419</t>
  </si>
  <si>
    <t>王德化</t>
  </si>
  <si>
    <t>422626194905246414</t>
  </si>
  <si>
    <t>李茂伟</t>
  </si>
  <si>
    <t>420325198005056715</t>
  </si>
  <si>
    <t>王德华</t>
  </si>
  <si>
    <t>422626197206066418</t>
  </si>
  <si>
    <t>王德配</t>
  </si>
  <si>
    <t>422626194112146431</t>
  </si>
  <si>
    <t>陈文印</t>
  </si>
  <si>
    <t>422626194501306417</t>
  </si>
  <si>
    <t>张元清</t>
  </si>
  <si>
    <t>422626195011096415</t>
  </si>
  <si>
    <t>王明山</t>
  </si>
  <si>
    <t>422626193707036411</t>
  </si>
  <si>
    <t>李万有</t>
  </si>
  <si>
    <t>420325198208046410</t>
  </si>
  <si>
    <t>姚洪才</t>
  </si>
  <si>
    <t>422626195605066416</t>
  </si>
  <si>
    <t>邢光玉</t>
  </si>
  <si>
    <t>422626198804066418</t>
  </si>
  <si>
    <t>420325196709176716</t>
  </si>
  <si>
    <t>刘吉林</t>
  </si>
  <si>
    <t>420325198504226416</t>
  </si>
  <si>
    <t>王家明</t>
  </si>
  <si>
    <t>422626198210306410</t>
  </si>
  <si>
    <t>王华宝</t>
  </si>
  <si>
    <t>422626197705286415</t>
  </si>
  <si>
    <t>刘金玉</t>
  </si>
  <si>
    <t>422626194410246412</t>
  </si>
  <si>
    <t>张文山</t>
  </si>
  <si>
    <t>422626195702046417</t>
  </si>
  <si>
    <t>王明荣</t>
  </si>
  <si>
    <t>422626194605026428</t>
  </si>
  <si>
    <t>詹治学</t>
  </si>
  <si>
    <t>422626195704126416</t>
  </si>
  <si>
    <t>黄自强</t>
  </si>
  <si>
    <t>422626195503086432</t>
  </si>
  <si>
    <t>王明启</t>
  </si>
  <si>
    <t>422626195411036438</t>
  </si>
  <si>
    <t>王明入</t>
  </si>
  <si>
    <t>422626194910226418</t>
  </si>
  <si>
    <t>王明东</t>
  </si>
  <si>
    <t>42032519550904671X</t>
  </si>
  <si>
    <t>夏道清</t>
  </si>
  <si>
    <t>422626194011086415</t>
  </si>
  <si>
    <t>王世勤</t>
  </si>
  <si>
    <t>420325196602016771</t>
  </si>
  <si>
    <t>王世成</t>
  </si>
  <si>
    <t>420325196605056756</t>
  </si>
  <si>
    <t>刘德如</t>
  </si>
  <si>
    <t>422626197906066419</t>
  </si>
  <si>
    <t>吴动生</t>
  </si>
  <si>
    <t>420325197801066717</t>
  </si>
  <si>
    <t>420325198809046711</t>
  </si>
  <si>
    <t>土城小计</t>
  </si>
  <si>
    <t>大木厂镇</t>
  </si>
  <si>
    <t>大木街村1组</t>
  </si>
  <si>
    <t>刘洪杨</t>
  </si>
  <si>
    <t>420325193412237035</t>
  </si>
  <si>
    <t>张谦</t>
  </si>
  <si>
    <t>422626196902197038</t>
  </si>
  <si>
    <t>大木街村3组</t>
  </si>
  <si>
    <t>422626197104197011</t>
  </si>
  <si>
    <t>大木街村2组</t>
  </si>
  <si>
    <t>陈昌娥</t>
  </si>
  <si>
    <t>420325197604067323</t>
  </si>
  <si>
    <t>刘  兵</t>
  </si>
  <si>
    <t>42262619760404701X</t>
  </si>
  <si>
    <t>张道秀</t>
  </si>
  <si>
    <t>42032519560607734X</t>
  </si>
  <si>
    <t>422626197002057018</t>
  </si>
  <si>
    <t>王明扬</t>
  </si>
  <si>
    <t>422626195803247015</t>
  </si>
  <si>
    <t>420323198201225210</t>
  </si>
  <si>
    <t>李慎宝</t>
  </si>
  <si>
    <t>420325198502087336</t>
  </si>
  <si>
    <t>大木街村4组</t>
  </si>
  <si>
    <t>裴中林</t>
  </si>
  <si>
    <t>42262619720426703X</t>
  </si>
  <si>
    <t>大木街村6组</t>
  </si>
  <si>
    <t>薛树清</t>
  </si>
  <si>
    <t>422626196501087014</t>
  </si>
  <si>
    <t>薛树保</t>
  </si>
  <si>
    <t>422626197004027015</t>
  </si>
  <si>
    <t>刘华</t>
  </si>
  <si>
    <t>420325198101117055</t>
  </si>
  <si>
    <t>王昌清</t>
  </si>
  <si>
    <t>422626196203227015</t>
  </si>
  <si>
    <t>胡加云</t>
  </si>
  <si>
    <t>420325193202187025</t>
  </si>
  <si>
    <t>吴吉禄</t>
  </si>
  <si>
    <t>420325196404047016</t>
  </si>
  <si>
    <t>马回村</t>
  </si>
  <si>
    <t>王荣华</t>
  </si>
  <si>
    <t>龚仕斋</t>
  </si>
  <si>
    <t>吴吉年</t>
  </si>
  <si>
    <t>雷德福</t>
  </si>
  <si>
    <t>曾先荣</t>
  </si>
  <si>
    <t>陈吉万</t>
  </si>
  <si>
    <t>马回村2组</t>
  </si>
  <si>
    <t>陈远义</t>
  </si>
  <si>
    <t>422626195706127011</t>
  </si>
  <si>
    <t>李有龙</t>
  </si>
  <si>
    <t>420325196708187018</t>
  </si>
  <si>
    <t>杨久成</t>
  </si>
  <si>
    <t>422626193602097015</t>
  </si>
  <si>
    <t>陈吉华</t>
  </si>
  <si>
    <t>420325197801017018</t>
  </si>
  <si>
    <t>北坡一组</t>
  </si>
  <si>
    <t>刘正平</t>
  </si>
  <si>
    <t>420683197402085216</t>
  </si>
  <si>
    <t>杨金昌</t>
  </si>
  <si>
    <t>422626196104247037</t>
  </si>
  <si>
    <t>吕德超</t>
  </si>
  <si>
    <t>422626197011297013</t>
  </si>
  <si>
    <t>北坡二组</t>
  </si>
  <si>
    <t>钱志友</t>
  </si>
  <si>
    <t>422626195712017011</t>
  </si>
  <si>
    <t>北坡三组</t>
  </si>
  <si>
    <t>闫智财</t>
  </si>
  <si>
    <t>422626195001317050</t>
  </si>
  <si>
    <t>钱良丙</t>
  </si>
  <si>
    <t>422626196708187039</t>
  </si>
  <si>
    <t>朱家根</t>
  </si>
  <si>
    <t>422626195902077015</t>
  </si>
  <si>
    <t>闫辉</t>
  </si>
  <si>
    <t>420325198108197035</t>
  </si>
  <si>
    <t>钱良旭</t>
  </si>
  <si>
    <t>422626197004097013</t>
  </si>
  <si>
    <t>张安福</t>
  </si>
  <si>
    <t>422626196207107010</t>
  </si>
  <si>
    <t>俞平</t>
  </si>
  <si>
    <t>420325197602217017</t>
  </si>
  <si>
    <t>陈吉福</t>
  </si>
  <si>
    <t>422626197004037053</t>
  </si>
  <si>
    <t>龚一清</t>
  </si>
  <si>
    <t>42262619671102701X</t>
  </si>
  <si>
    <t>钱志建</t>
  </si>
  <si>
    <t>422626197010187031</t>
  </si>
  <si>
    <t>闫信贵</t>
  </si>
  <si>
    <t>422626194210187016</t>
  </si>
  <si>
    <t>闫信林</t>
  </si>
  <si>
    <t>422626196802117010</t>
  </si>
  <si>
    <t>贾志平</t>
  </si>
  <si>
    <t>420325197709117059</t>
  </si>
  <si>
    <t>龚一朝</t>
  </si>
  <si>
    <t>422626196412217032</t>
  </si>
  <si>
    <t>钱良山</t>
  </si>
  <si>
    <t>422626194510057010</t>
  </si>
  <si>
    <t>龚一福</t>
  </si>
  <si>
    <t>422626196907247030</t>
  </si>
  <si>
    <t>朱家财</t>
  </si>
  <si>
    <t>422626194201067012</t>
  </si>
  <si>
    <t>钱自莲</t>
  </si>
  <si>
    <t>420325196904247022</t>
  </si>
  <si>
    <t>闫信强</t>
  </si>
  <si>
    <t>422626196901107010</t>
  </si>
  <si>
    <t>陈吉春</t>
  </si>
  <si>
    <t>420325195801017019</t>
  </si>
  <si>
    <t>东河</t>
  </si>
  <si>
    <t>张邦喜</t>
  </si>
  <si>
    <t>422626196309187031</t>
  </si>
  <si>
    <t>陈付生</t>
  </si>
  <si>
    <t>422626193612277036</t>
  </si>
  <si>
    <t>刘坤成</t>
  </si>
  <si>
    <t>420325194003167018</t>
  </si>
  <si>
    <t>李凤有</t>
  </si>
  <si>
    <t>42032519640527701632</t>
  </si>
  <si>
    <t>马明成</t>
  </si>
  <si>
    <t>422626197308187018</t>
  </si>
  <si>
    <t>陈德华</t>
  </si>
  <si>
    <t>420325197902137019</t>
  </si>
  <si>
    <t>钱志山</t>
  </si>
  <si>
    <t>42262619740402703032</t>
  </si>
  <si>
    <t>张先才</t>
  </si>
  <si>
    <t>420325193511197010</t>
  </si>
  <si>
    <t>孔祥然</t>
  </si>
  <si>
    <t>422626196802107015</t>
  </si>
  <si>
    <t>崔治华</t>
  </si>
  <si>
    <t>422626197203267011</t>
  </si>
  <si>
    <t>刘洪秀</t>
  </si>
  <si>
    <t>42262619560721702X</t>
  </si>
  <si>
    <t>王贵堂</t>
  </si>
  <si>
    <t>420325193903077013</t>
  </si>
  <si>
    <t>孔凡海</t>
  </si>
  <si>
    <t>420325195607067012</t>
  </si>
  <si>
    <t>李德喜</t>
  </si>
  <si>
    <t>422626196708037014</t>
  </si>
  <si>
    <t>孔祥全</t>
  </si>
  <si>
    <t>42262619660924701623</t>
  </si>
  <si>
    <t>李文群</t>
  </si>
  <si>
    <t>42262619560322701X</t>
  </si>
  <si>
    <t>吴介友</t>
  </si>
  <si>
    <t>422626195210267010</t>
  </si>
  <si>
    <t>东河二组</t>
  </si>
  <si>
    <t>张平立</t>
  </si>
  <si>
    <t>422626194210257010</t>
  </si>
  <si>
    <t>东河六组</t>
  </si>
  <si>
    <t>杨贵昌</t>
  </si>
  <si>
    <t>422626194701287011</t>
  </si>
  <si>
    <t>东河七组</t>
  </si>
  <si>
    <t>陈德福</t>
  </si>
  <si>
    <t>422626196310317016</t>
  </si>
  <si>
    <t>江德志</t>
  </si>
  <si>
    <t>422626194912267010</t>
  </si>
  <si>
    <t>高船一组</t>
  </si>
  <si>
    <t>朱世烈</t>
  </si>
  <si>
    <t>422626194204177313</t>
  </si>
  <si>
    <t>朱世根</t>
  </si>
  <si>
    <t>422626195704217312</t>
  </si>
  <si>
    <t>朱吉高</t>
  </si>
  <si>
    <t>42262619560321731342</t>
  </si>
  <si>
    <t>高船五组</t>
  </si>
  <si>
    <t>王正合</t>
  </si>
  <si>
    <t>420325194510257018</t>
  </si>
  <si>
    <t>王瑞明</t>
  </si>
  <si>
    <t>422626195909147311</t>
  </si>
  <si>
    <t>姜明贵</t>
  </si>
  <si>
    <t>422626195007217317</t>
  </si>
  <si>
    <t>王瑞华</t>
  </si>
  <si>
    <t>420325195412247013</t>
  </si>
  <si>
    <t>王瑞才</t>
  </si>
  <si>
    <t>422626196304137318</t>
  </si>
  <si>
    <t>高船七组</t>
  </si>
  <si>
    <t>柯大志</t>
  </si>
  <si>
    <t>420325195810217039</t>
  </si>
  <si>
    <t>吕文斌</t>
  </si>
  <si>
    <t>422626193909107310</t>
  </si>
  <si>
    <t>高船八组</t>
  </si>
  <si>
    <t>马亮清</t>
  </si>
  <si>
    <t>422626197009127314</t>
  </si>
  <si>
    <t>胡文兵</t>
  </si>
  <si>
    <t>赵世根</t>
  </si>
  <si>
    <t>杜著名</t>
  </si>
  <si>
    <t>422626195710087315</t>
  </si>
  <si>
    <t>422626195811147313</t>
  </si>
  <si>
    <t>高船九组</t>
  </si>
  <si>
    <t>张炳奎</t>
  </si>
  <si>
    <t>高船十组</t>
  </si>
  <si>
    <t>王瑞海</t>
  </si>
  <si>
    <t>420325195503147018</t>
  </si>
  <si>
    <t>王瑞林</t>
  </si>
  <si>
    <t>42262619570317731231</t>
  </si>
  <si>
    <t>高船二组</t>
  </si>
  <si>
    <t>夏天东</t>
  </si>
  <si>
    <t>42032519611222731431</t>
  </si>
  <si>
    <t>高船四组</t>
  </si>
  <si>
    <t>彭玉海</t>
  </si>
  <si>
    <t>422626195610297315</t>
  </si>
  <si>
    <t>高船村九组</t>
  </si>
  <si>
    <t>王修林</t>
  </si>
  <si>
    <t>422626196007197314</t>
  </si>
  <si>
    <t>桥梁村</t>
  </si>
  <si>
    <t>李银林</t>
  </si>
  <si>
    <t>420325197712287315</t>
  </si>
  <si>
    <t>胡远军</t>
  </si>
  <si>
    <t>420325198208067318</t>
  </si>
  <si>
    <t>薛乾</t>
  </si>
  <si>
    <t>420325198803047311</t>
  </si>
  <si>
    <t>江龙中</t>
  </si>
  <si>
    <t>422626194401187318</t>
  </si>
  <si>
    <t>宋文海</t>
  </si>
  <si>
    <t>422626196211147314</t>
  </si>
  <si>
    <t>黄国富</t>
  </si>
  <si>
    <t>422626195708157329</t>
  </si>
  <si>
    <t>吴国成</t>
  </si>
  <si>
    <t>422626194312087315</t>
  </si>
  <si>
    <t>柴祥柱</t>
  </si>
  <si>
    <t>42032519770214701X</t>
  </si>
  <si>
    <t>杜昌兵</t>
  </si>
  <si>
    <t>420325197407267318</t>
  </si>
  <si>
    <t>桥梁村6组</t>
  </si>
  <si>
    <t>李大学</t>
  </si>
  <si>
    <t>422626196702047318</t>
  </si>
  <si>
    <t>桥梁村9组</t>
  </si>
  <si>
    <t>李大喜</t>
  </si>
  <si>
    <t>422626195603227319</t>
  </si>
  <si>
    <t>张德举</t>
  </si>
  <si>
    <t>42032519690106701843</t>
  </si>
  <si>
    <t>桥梁村4组</t>
  </si>
  <si>
    <t>422626194601077316</t>
  </si>
  <si>
    <t>桥梁村7组</t>
  </si>
  <si>
    <t>张立成</t>
  </si>
  <si>
    <t>422626195609257316</t>
  </si>
  <si>
    <t>陈远仁</t>
  </si>
  <si>
    <t>420325197606097323</t>
  </si>
  <si>
    <t>桥梁村5组</t>
  </si>
  <si>
    <t>段应显</t>
  </si>
  <si>
    <t>422626194304277311</t>
  </si>
  <si>
    <t>黄家营一组</t>
  </si>
  <si>
    <t>李天才</t>
  </si>
  <si>
    <t>420325198110277018</t>
  </si>
  <si>
    <t>李国富</t>
  </si>
  <si>
    <t>422626196002187010</t>
  </si>
  <si>
    <t>黄家营二组</t>
  </si>
  <si>
    <t>胡继友</t>
  </si>
  <si>
    <t>420325195012317019</t>
  </si>
  <si>
    <t>王长进</t>
  </si>
  <si>
    <t>422626194809177017</t>
  </si>
  <si>
    <t>420325198006277018</t>
  </si>
  <si>
    <t>五谷庙一组</t>
  </si>
  <si>
    <t>刘运忠</t>
  </si>
  <si>
    <t>422626195507207019</t>
  </si>
  <si>
    <t>刘运根</t>
  </si>
  <si>
    <t>422626195508057032</t>
  </si>
  <si>
    <t>刘吉坤</t>
  </si>
  <si>
    <t>422626195601017019</t>
  </si>
  <si>
    <t>杨照清</t>
  </si>
  <si>
    <t>420325195401027015</t>
  </si>
  <si>
    <t>五谷庙二组</t>
  </si>
  <si>
    <t>张正英</t>
  </si>
  <si>
    <t>422626194412147020</t>
  </si>
  <si>
    <t>李中志</t>
  </si>
  <si>
    <t>420325198802177018</t>
  </si>
  <si>
    <t>刘吉洪</t>
  </si>
  <si>
    <t>42262619450924701X</t>
  </si>
  <si>
    <t>潘文明</t>
  </si>
  <si>
    <t>42262619770706703X</t>
  </si>
  <si>
    <t>李冬才</t>
  </si>
  <si>
    <t>422626196604147032</t>
  </si>
  <si>
    <t>郑向金</t>
  </si>
  <si>
    <t>422626195805207076</t>
  </si>
  <si>
    <t>双庙村四组</t>
  </si>
  <si>
    <t>刘吉文</t>
  </si>
  <si>
    <t>422626195701217018</t>
  </si>
  <si>
    <t>双庙村三组</t>
  </si>
  <si>
    <t>王文耀</t>
  </si>
  <si>
    <t>420325197907227099</t>
  </si>
  <si>
    <t>双庙村六组</t>
  </si>
  <si>
    <t>郭成根</t>
  </si>
  <si>
    <t>422626196609297013</t>
  </si>
  <si>
    <t>郭守明</t>
  </si>
  <si>
    <t>422626195908317016</t>
  </si>
  <si>
    <t>郑相荣</t>
  </si>
  <si>
    <t>422626194504117013</t>
  </si>
  <si>
    <t>双庙村五组</t>
  </si>
  <si>
    <t>马远武</t>
  </si>
  <si>
    <t>420325197708247038</t>
  </si>
  <si>
    <t>双庙村二组</t>
  </si>
  <si>
    <t>杨荣付</t>
  </si>
  <si>
    <t>420325193210247016</t>
  </si>
  <si>
    <t>王国聪</t>
  </si>
  <si>
    <t>422626194910157037</t>
  </si>
  <si>
    <t>刘浩映</t>
  </si>
  <si>
    <t>422626197008197011</t>
  </si>
  <si>
    <t>杨宝</t>
  </si>
  <si>
    <t>420325197906067011</t>
  </si>
  <si>
    <t>郭守成</t>
  </si>
  <si>
    <t>422626195307097011</t>
  </si>
  <si>
    <t>高定金</t>
  </si>
  <si>
    <t>422626195205107012</t>
  </si>
  <si>
    <t>双泉寺村</t>
  </si>
  <si>
    <t>张治甫</t>
  </si>
  <si>
    <t>420325196904297038</t>
  </si>
  <si>
    <t>胡义成</t>
  </si>
  <si>
    <t>422626195009087317</t>
  </si>
  <si>
    <t>江龙金</t>
  </si>
  <si>
    <t>422626196810087317</t>
  </si>
  <si>
    <t>王国福</t>
  </si>
  <si>
    <t>422626195408127312</t>
  </si>
  <si>
    <t>欧才学</t>
  </si>
  <si>
    <t>42032519860211731X</t>
  </si>
  <si>
    <t>欧启达</t>
  </si>
  <si>
    <t>422626195208127318</t>
  </si>
  <si>
    <t>李吉树</t>
  </si>
  <si>
    <t>422626195603297317</t>
  </si>
  <si>
    <t>薛习娥</t>
  </si>
  <si>
    <t>420325197104067028</t>
  </si>
  <si>
    <t>王国庆</t>
  </si>
  <si>
    <t>42032519421104731X</t>
  </si>
  <si>
    <t>欧士六</t>
  </si>
  <si>
    <t>422626197212197334</t>
  </si>
  <si>
    <t>泰山铺村</t>
  </si>
  <si>
    <t>石金福</t>
  </si>
  <si>
    <t>422626195105187019</t>
  </si>
  <si>
    <t>张正甫</t>
  </si>
  <si>
    <t>42262619610801701X</t>
  </si>
  <si>
    <t>杨万芝</t>
  </si>
  <si>
    <t>422626195008017026</t>
  </si>
  <si>
    <t>郭玉中</t>
  </si>
  <si>
    <t>422626197509227012</t>
  </si>
  <si>
    <t>曹定根</t>
  </si>
  <si>
    <t>422626196702207051</t>
  </si>
  <si>
    <t>龚举刚</t>
  </si>
  <si>
    <t>422626195502237016</t>
  </si>
  <si>
    <t>张正西</t>
  </si>
  <si>
    <t>420325196612307011</t>
  </si>
  <si>
    <t>李玉林</t>
  </si>
  <si>
    <t>422626196705217036</t>
  </si>
  <si>
    <t>吴吉林</t>
  </si>
  <si>
    <t>422626196610107010</t>
  </si>
  <si>
    <t>杨文广</t>
  </si>
  <si>
    <t>420325197804037014</t>
  </si>
  <si>
    <t>马远荣</t>
  </si>
  <si>
    <t>42262619510709705X</t>
  </si>
  <si>
    <t>夏立华</t>
  </si>
  <si>
    <t>42032519760104701X</t>
  </si>
  <si>
    <t>邓化龙</t>
  </si>
  <si>
    <t>420325196503227012</t>
  </si>
  <si>
    <t>马进洞村</t>
  </si>
  <si>
    <t>邓启家</t>
  </si>
  <si>
    <t>422626196212167018</t>
  </si>
  <si>
    <t>熊本田</t>
  </si>
  <si>
    <t>420325197205217056</t>
  </si>
  <si>
    <t>勾天福</t>
  </si>
  <si>
    <t>42262619630909701X</t>
  </si>
  <si>
    <t>王永清</t>
  </si>
  <si>
    <t>42032519630909701x</t>
  </si>
  <si>
    <t>吴修成</t>
  </si>
  <si>
    <t>422626195503127038</t>
  </si>
  <si>
    <t>梁安贤</t>
  </si>
  <si>
    <t>422626197212217016</t>
  </si>
  <si>
    <t>勾长林</t>
  </si>
  <si>
    <t>420325197706197014</t>
  </si>
  <si>
    <t>勾开友</t>
  </si>
  <si>
    <t>422626195702227015</t>
  </si>
  <si>
    <t>张学生</t>
  </si>
  <si>
    <t>422626194608257010</t>
  </si>
  <si>
    <t>余修坤</t>
  </si>
  <si>
    <t>422626194907057019</t>
  </si>
  <si>
    <t>余同顺</t>
  </si>
  <si>
    <t>422626196609177038</t>
  </si>
  <si>
    <t>郭言玉</t>
  </si>
  <si>
    <t>422626197007097019</t>
  </si>
  <si>
    <t>姜杏秀</t>
  </si>
  <si>
    <t>420325197705247024</t>
  </si>
  <si>
    <t>李邦群</t>
  </si>
  <si>
    <t>422626196906197019</t>
  </si>
  <si>
    <t>王正青</t>
  </si>
  <si>
    <t>420325196406027035</t>
  </si>
  <si>
    <t>王国全</t>
  </si>
  <si>
    <t>420325195503247019</t>
  </si>
  <si>
    <t>王松林</t>
  </si>
  <si>
    <t>422626195901227018</t>
  </si>
  <si>
    <t>张耀合</t>
  </si>
  <si>
    <t>42262619701110703X</t>
  </si>
  <si>
    <t>杨业楚</t>
  </si>
  <si>
    <t>422626194607257019</t>
  </si>
  <si>
    <t>易自春</t>
  </si>
  <si>
    <t>422626196706057011</t>
  </si>
  <si>
    <t>易自根</t>
  </si>
  <si>
    <t>422626195811277054</t>
  </si>
  <si>
    <t>易自林</t>
  </si>
  <si>
    <t>422626196701187052</t>
  </si>
  <si>
    <t>薛吉印</t>
  </si>
  <si>
    <t>422626196209197013</t>
  </si>
  <si>
    <t>王相军</t>
  </si>
  <si>
    <t>422626196510097011</t>
  </si>
  <si>
    <t>易自平</t>
  </si>
  <si>
    <t>422626196408187010</t>
  </si>
  <si>
    <t>冯天才</t>
  </si>
  <si>
    <t>420325196611107018</t>
  </si>
  <si>
    <t>安羊沟村二组</t>
  </si>
  <si>
    <t>孙世现</t>
  </si>
  <si>
    <t>422626195509107310</t>
  </si>
  <si>
    <t>安羊沟村三组</t>
  </si>
  <si>
    <t>姜高择</t>
  </si>
  <si>
    <t>422626196811087319</t>
  </si>
  <si>
    <t>安羊沟村四组</t>
  </si>
  <si>
    <t>孙国华</t>
  </si>
  <si>
    <t>422626194602107310</t>
  </si>
  <si>
    <t>雷怀华</t>
  </si>
  <si>
    <t>422626197110107318</t>
  </si>
  <si>
    <t>安羊沟村五组</t>
  </si>
  <si>
    <t>柯玉华</t>
  </si>
  <si>
    <t>422626195901037310</t>
  </si>
  <si>
    <t>雷  勇</t>
  </si>
  <si>
    <t>420325198101307318</t>
  </si>
  <si>
    <t>赵顶卿</t>
  </si>
  <si>
    <t>422626195312197316</t>
  </si>
  <si>
    <t>蔡光议</t>
  </si>
  <si>
    <t>420325198105257311</t>
  </si>
  <si>
    <t>孙成国</t>
  </si>
  <si>
    <t>42032519830805731X</t>
  </si>
  <si>
    <t>蔡光明</t>
  </si>
  <si>
    <t>420325195809267039</t>
  </si>
  <si>
    <t>安羊沟村六组</t>
  </si>
  <si>
    <t>陈启学</t>
  </si>
  <si>
    <t>420325198501067333</t>
  </si>
  <si>
    <t>王林启</t>
  </si>
  <si>
    <t>420325196711307017</t>
  </si>
  <si>
    <t>安羊沟村七组</t>
  </si>
  <si>
    <t>吴著洪</t>
  </si>
  <si>
    <t>422626194601257339</t>
  </si>
  <si>
    <t>张炳虎</t>
  </si>
  <si>
    <t>420325196305157017</t>
  </si>
  <si>
    <t>张继明</t>
  </si>
  <si>
    <t>420325195404137316</t>
  </si>
  <si>
    <t>安羊沟村八组</t>
  </si>
  <si>
    <t>孙启明</t>
  </si>
  <si>
    <t>420325195602087030</t>
  </si>
  <si>
    <t>安羊沟村九组</t>
  </si>
  <si>
    <t>王家昌</t>
  </si>
  <si>
    <t>422626196301077317</t>
  </si>
  <si>
    <t>孟德兴</t>
  </si>
  <si>
    <t>422626193707207313</t>
  </si>
  <si>
    <t>鲁方伍</t>
  </si>
  <si>
    <t>422626196705207313</t>
  </si>
  <si>
    <t>孙世梅</t>
  </si>
  <si>
    <t>422626194606247329</t>
  </si>
  <si>
    <t xml:space="preserve">420325199010157312
</t>
  </si>
  <si>
    <t>八里坪二组</t>
  </si>
  <si>
    <t>张勇</t>
  </si>
  <si>
    <t>420325198101157014</t>
  </si>
  <si>
    <t>八里坪三组</t>
  </si>
  <si>
    <t>张瑞华</t>
  </si>
  <si>
    <t>422626195205297012</t>
  </si>
  <si>
    <t>八里坪一组</t>
  </si>
  <si>
    <t>曾明祥</t>
  </si>
  <si>
    <t>422626194311137018</t>
  </si>
  <si>
    <t>张瑞宝</t>
  </si>
  <si>
    <t>422626196610287015</t>
  </si>
  <si>
    <t>童安朝</t>
  </si>
  <si>
    <t>422626195806247037</t>
  </si>
  <si>
    <t>曾德平</t>
  </si>
  <si>
    <t>422626197108127010</t>
  </si>
  <si>
    <t>刘安成</t>
  </si>
  <si>
    <t>422626195801187012</t>
  </si>
  <si>
    <t>郭贤福</t>
  </si>
  <si>
    <t>422626197110177017</t>
  </si>
  <si>
    <t>郭贤平</t>
  </si>
  <si>
    <t>422626195505247017</t>
  </si>
  <si>
    <t>曾明权</t>
  </si>
  <si>
    <t>422626194307027019</t>
  </si>
  <si>
    <t>袁正平</t>
  </si>
  <si>
    <t>422626197204217016</t>
  </si>
  <si>
    <t>刘玉兴</t>
  </si>
  <si>
    <t>422626194806147613</t>
  </si>
  <si>
    <t>刘华友</t>
  </si>
  <si>
    <t>422626195610307018</t>
  </si>
  <si>
    <t>孟相荣</t>
  </si>
  <si>
    <t>420325195511047025</t>
  </si>
  <si>
    <t>王立云</t>
  </si>
  <si>
    <t>422626196002027025</t>
  </si>
  <si>
    <t>鲍邦林</t>
  </si>
  <si>
    <t>422626195611197017</t>
  </si>
  <si>
    <t>郭贤金</t>
  </si>
  <si>
    <t>42262619611019703X</t>
  </si>
  <si>
    <t>王开江</t>
  </si>
  <si>
    <t>422626196311067012</t>
  </si>
  <si>
    <t>王飞</t>
  </si>
  <si>
    <t>420325198711297014</t>
  </si>
  <si>
    <t>420325198907197058</t>
  </si>
  <si>
    <t>曾德清</t>
  </si>
  <si>
    <t>422626197804157010</t>
  </si>
  <si>
    <t>曾毅</t>
  </si>
  <si>
    <t>420325197706027015</t>
  </si>
  <si>
    <t>马大新</t>
  </si>
  <si>
    <t>422626195609117014</t>
  </si>
  <si>
    <t>吴著海</t>
  </si>
  <si>
    <t>42262619711014707X</t>
  </si>
  <si>
    <t>张国付</t>
  </si>
  <si>
    <t>42262619550228703X</t>
  </si>
  <si>
    <t>马亮慧</t>
  </si>
  <si>
    <t>422626196406297021</t>
  </si>
  <si>
    <t>程左兵</t>
  </si>
  <si>
    <t>420325197612277013</t>
  </si>
  <si>
    <t>钱忠银</t>
  </si>
  <si>
    <t>422626195101167010</t>
  </si>
  <si>
    <t>徐远忠</t>
  </si>
  <si>
    <t>420325196312057030</t>
  </si>
  <si>
    <t>柴祥明</t>
  </si>
  <si>
    <t>422626194301137014</t>
  </si>
  <si>
    <t>童安军</t>
  </si>
  <si>
    <t>422626194102067033</t>
  </si>
  <si>
    <t>肖日发</t>
  </si>
  <si>
    <t>422626196902287017</t>
  </si>
  <si>
    <t>孟光军</t>
  </si>
  <si>
    <t>422626194912117012</t>
  </si>
  <si>
    <t>李少英</t>
  </si>
  <si>
    <t>422626194907137028</t>
  </si>
  <si>
    <t>程左连</t>
  </si>
  <si>
    <t>422626196909047024</t>
  </si>
  <si>
    <t>八里坪四组</t>
  </si>
  <si>
    <t>邓生儒</t>
  </si>
  <si>
    <t>422626+194803127019</t>
  </si>
  <si>
    <t>张道清</t>
  </si>
  <si>
    <t>422626194512237031</t>
  </si>
  <si>
    <t>张行柱</t>
  </si>
  <si>
    <t>422626197506057011</t>
  </si>
  <si>
    <t>邓忠政</t>
  </si>
  <si>
    <t>422626197011077037</t>
  </si>
  <si>
    <t>孙辉</t>
  </si>
  <si>
    <t>420325197902017033</t>
  </si>
  <si>
    <t>马亮锋</t>
  </si>
  <si>
    <t>420325198707047012</t>
  </si>
  <si>
    <t>马大文</t>
  </si>
  <si>
    <t>422626196204137011</t>
  </si>
  <si>
    <t>王昌林</t>
  </si>
  <si>
    <t>420325198001117015</t>
  </si>
  <si>
    <t>共青村六组</t>
  </si>
  <si>
    <t>龚廷礼</t>
  </si>
  <si>
    <t>420325194703217012</t>
  </si>
  <si>
    <t>共青村二组</t>
  </si>
  <si>
    <t>曾庆福</t>
  </si>
  <si>
    <t>420325197801197311</t>
  </si>
  <si>
    <t>曾庆林</t>
  </si>
  <si>
    <t>420325196612097034</t>
  </si>
  <si>
    <t>王家银</t>
  </si>
  <si>
    <t>420325195406057010</t>
  </si>
  <si>
    <t>共青村三组</t>
  </si>
  <si>
    <t>孟凡香</t>
  </si>
  <si>
    <t>420325194301257011</t>
  </si>
  <si>
    <t>杨本山</t>
  </si>
  <si>
    <t>422626194604167317</t>
  </si>
  <si>
    <t>徐奋华</t>
  </si>
  <si>
    <t>420325197802157354</t>
  </si>
  <si>
    <t>杨安均</t>
  </si>
  <si>
    <t>420325194410077319</t>
  </si>
  <si>
    <t>共青四组</t>
  </si>
  <si>
    <t>杜昌林</t>
  </si>
  <si>
    <t>420325195810237013</t>
  </si>
  <si>
    <t>杜著保</t>
  </si>
  <si>
    <t>422626194810297315</t>
  </si>
  <si>
    <t>李大荣</t>
  </si>
  <si>
    <t>422626194912217320</t>
  </si>
  <si>
    <t>共青一组</t>
  </si>
  <si>
    <t>江龙进</t>
  </si>
  <si>
    <t>422626195207147317</t>
  </si>
  <si>
    <t>薛治泉</t>
  </si>
  <si>
    <t>420325193206097318</t>
  </si>
  <si>
    <t>胡家甫</t>
  </si>
  <si>
    <t>422626195307197311</t>
  </si>
  <si>
    <t>张修凤</t>
  </si>
  <si>
    <t>422626196002287329</t>
  </si>
  <si>
    <t>薛继义</t>
  </si>
  <si>
    <t>420325195207297054</t>
  </si>
  <si>
    <t>薛继荣</t>
  </si>
  <si>
    <t>422626195601157310</t>
  </si>
  <si>
    <t>欧才贵</t>
  </si>
  <si>
    <t>422626195505227315</t>
  </si>
  <si>
    <t>柯昌清</t>
  </si>
  <si>
    <t>422626195803187315</t>
  </si>
  <si>
    <t>刘朝平</t>
  </si>
  <si>
    <t>422626196108067316</t>
  </si>
  <si>
    <t>薛治兴</t>
  </si>
  <si>
    <t>42032519351206731X</t>
  </si>
  <si>
    <t>薛宝成</t>
  </si>
  <si>
    <t>422626195111017331</t>
  </si>
  <si>
    <t>共青村四组</t>
  </si>
  <si>
    <t>张元兴</t>
  </si>
  <si>
    <t>张元平</t>
  </si>
  <si>
    <t>420325196907067019</t>
  </si>
  <si>
    <t>共青村五组</t>
  </si>
  <si>
    <t>杨治虎</t>
  </si>
  <si>
    <t>420325198610307316</t>
  </si>
  <si>
    <t>王昌顺</t>
  </si>
  <si>
    <t>422626194906047310</t>
  </si>
  <si>
    <t>胡学海</t>
  </si>
  <si>
    <t>420325196404277313</t>
  </si>
  <si>
    <t>王传兵</t>
  </si>
  <si>
    <t>42262619680123731X</t>
  </si>
  <si>
    <t>李文明</t>
  </si>
  <si>
    <t>422626197504297310</t>
  </si>
  <si>
    <t>百户河三组</t>
  </si>
  <si>
    <t>薛吉书</t>
  </si>
  <si>
    <t>422626197201137037</t>
  </si>
  <si>
    <t>百户河二组</t>
  </si>
  <si>
    <t>杨军昌</t>
  </si>
  <si>
    <t>422626196005057019</t>
  </si>
  <si>
    <t>周启华</t>
  </si>
  <si>
    <t>422626196703247039</t>
  </si>
  <si>
    <t>42032519740314701x</t>
  </si>
  <si>
    <t>叶家发</t>
  </si>
  <si>
    <t>422626196903097055</t>
  </si>
  <si>
    <t>张国柱</t>
  </si>
  <si>
    <t>422626196703127010</t>
  </si>
  <si>
    <t>刘洪正</t>
  </si>
  <si>
    <t>422626194412227012</t>
  </si>
  <si>
    <t>梁正贤</t>
  </si>
  <si>
    <t>420325196302287019</t>
  </si>
  <si>
    <t>百户河一组</t>
  </si>
  <si>
    <t>杜长印</t>
  </si>
  <si>
    <t>422626195009267019</t>
  </si>
  <si>
    <t>汪有志</t>
  </si>
  <si>
    <t>42032519470326701x</t>
  </si>
  <si>
    <t>吴丰启</t>
  </si>
  <si>
    <t>422626195907207018</t>
  </si>
  <si>
    <t>杨五昌</t>
  </si>
  <si>
    <t>422626196409097033</t>
  </si>
  <si>
    <t>杨启涛</t>
  </si>
  <si>
    <t>42262619620607030</t>
  </si>
  <si>
    <t>王国华</t>
  </si>
  <si>
    <t>422626197312127018</t>
  </si>
  <si>
    <t>闫欠欠</t>
  </si>
  <si>
    <t>411403198807087844</t>
  </si>
  <si>
    <t>李有良</t>
  </si>
  <si>
    <t>422626195001077018</t>
  </si>
  <si>
    <t>陈义道</t>
  </si>
  <si>
    <t>422626193404217039</t>
  </si>
  <si>
    <t>422626197312126752</t>
  </si>
  <si>
    <t>薛宗良</t>
  </si>
  <si>
    <t>422626194407147034</t>
  </si>
  <si>
    <t>陈正明</t>
  </si>
  <si>
    <t>420325198105037036</t>
  </si>
  <si>
    <t>李有贵</t>
  </si>
  <si>
    <t>42032519700216701X</t>
  </si>
  <si>
    <t>刘玉贵</t>
  </si>
  <si>
    <t>422626193801167012</t>
  </si>
  <si>
    <t>三元村一组</t>
  </si>
  <si>
    <t>刘运明</t>
  </si>
  <si>
    <t>422626197312287011</t>
  </si>
  <si>
    <t>刘 朝兵</t>
  </si>
  <si>
    <t>422626197508187012</t>
  </si>
  <si>
    <t>陈春喜</t>
  </si>
  <si>
    <t>420325198106097014</t>
  </si>
  <si>
    <t>三元村二组</t>
  </si>
  <si>
    <t>吴作林</t>
  </si>
  <si>
    <t>422626197501137012</t>
  </si>
  <si>
    <t>李华</t>
  </si>
  <si>
    <t>420325198006027027</t>
  </si>
  <si>
    <t>李光春</t>
  </si>
  <si>
    <t>422626195211217031</t>
  </si>
  <si>
    <t>杨万友</t>
  </si>
  <si>
    <t>422626195210307019</t>
  </si>
  <si>
    <t>张满成</t>
  </si>
  <si>
    <t>42262619471223701x</t>
  </si>
  <si>
    <t>三元村三组</t>
  </si>
  <si>
    <t>徐林根</t>
  </si>
  <si>
    <t>422626196302137018</t>
  </si>
  <si>
    <t>朱宗成</t>
  </si>
  <si>
    <t>420325193610167015</t>
  </si>
  <si>
    <t>余传来</t>
  </si>
  <si>
    <t>422626196905177016</t>
  </si>
  <si>
    <t>黄治友</t>
  </si>
  <si>
    <t>420325198105147016</t>
  </si>
  <si>
    <t>郭守林</t>
  </si>
  <si>
    <t>422626195009227017</t>
  </si>
  <si>
    <t>贾顺志</t>
  </si>
  <si>
    <t>422626194809147010</t>
  </si>
  <si>
    <t>余传海</t>
  </si>
  <si>
    <t>422626194903077012</t>
  </si>
  <si>
    <t>孙长群</t>
  </si>
  <si>
    <t>42262619640402701X</t>
  </si>
  <si>
    <t>董永年</t>
  </si>
  <si>
    <t>422626196501307013</t>
  </si>
  <si>
    <t>杜著海</t>
  </si>
  <si>
    <t>420325195310187013</t>
  </si>
  <si>
    <t>李诗荣</t>
  </si>
  <si>
    <t>422626194911187019</t>
  </si>
  <si>
    <t>徐厚合</t>
  </si>
  <si>
    <t>422626195503257019</t>
  </si>
  <si>
    <t>董永健</t>
  </si>
  <si>
    <t>422626197012247018</t>
  </si>
  <si>
    <t>董永新</t>
  </si>
  <si>
    <t>422626197302157010</t>
  </si>
  <si>
    <t>董永乐</t>
  </si>
  <si>
    <t>422626196511307017</t>
  </si>
  <si>
    <t>420325195701277016</t>
  </si>
  <si>
    <t>杜昌荣</t>
  </si>
  <si>
    <t>422626196609267017</t>
  </si>
  <si>
    <t>孙坤成</t>
  </si>
  <si>
    <t>422626194607057017</t>
  </si>
  <si>
    <t>翟照亮</t>
  </si>
  <si>
    <t>422626196605197015</t>
  </si>
  <si>
    <t>贾顺高</t>
  </si>
  <si>
    <t>422626194601017014</t>
  </si>
  <si>
    <t>贾顺明</t>
  </si>
  <si>
    <t>420325195701127034</t>
  </si>
  <si>
    <t>王正益</t>
  </si>
  <si>
    <t>420325194006047011</t>
  </si>
  <si>
    <t>柯大梅</t>
  </si>
  <si>
    <t>420325193811067029</t>
  </si>
  <si>
    <t>钱良洪</t>
  </si>
  <si>
    <t>422626194907227014</t>
  </si>
  <si>
    <t>江文兵</t>
  </si>
  <si>
    <t>422626195506097014</t>
  </si>
  <si>
    <t>李秀成</t>
  </si>
  <si>
    <t>42262619470829701X</t>
  </si>
  <si>
    <t>田志新</t>
  </si>
  <si>
    <t>422626195604087012</t>
  </si>
  <si>
    <t>刘运宙</t>
  </si>
  <si>
    <t>422626196404187013</t>
  </si>
  <si>
    <t>刘天成</t>
  </si>
  <si>
    <t>422626196604027014</t>
  </si>
  <si>
    <t>何奎元</t>
  </si>
  <si>
    <t>420325198010147013</t>
  </si>
  <si>
    <t>郭美安</t>
  </si>
  <si>
    <t>422626196307097016</t>
  </si>
  <si>
    <t>黄太明</t>
  </si>
  <si>
    <t>420325195512227036</t>
  </si>
  <si>
    <t>黄太福</t>
  </si>
  <si>
    <t>422626196411287039</t>
  </si>
  <si>
    <t>李义友</t>
  </si>
  <si>
    <t>422626194808307019</t>
  </si>
  <si>
    <t>张国福</t>
  </si>
  <si>
    <t>422626195703107015</t>
  </si>
  <si>
    <t>杜昌保</t>
  </si>
  <si>
    <t>422626196504127018</t>
  </si>
  <si>
    <t>贾顺堂</t>
  </si>
  <si>
    <t>422626194401197014</t>
  </si>
  <si>
    <t>张国林</t>
  </si>
  <si>
    <t>420325195112177359</t>
  </si>
  <si>
    <t>贾顺连</t>
  </si>
  <si>
    <t>42032519540718701X</t>
  </si>
  <si>
    <t>42262619630917701X</t>
  </si>
  <si>
    <t>董远均</t>
  </si>
  <si>
    <t>422626197802137016</t>
  </si>
  <si>
    <t>董永太</t>
  </si>
  <si>
    <t>422626195602107016</t>
  </si>
  <si>
    <t>柯玉明</t>
  </si>
  <si>
    <t>422626195902287012</t>
  </si>
  <si>
    <t>张修德</t>
  </si>
  <si>
    <t>420325194201167019</t>
  </si>
  <si>
    <t>江文林</t>
  </si>
  <si>
    <t>42262619690303701X</t>
  </si>
  <si>
    <t>余兴根</t>
  </si>
  <si>
    <t>420325198011257011</t>
  </si>
  <si>
    <t>郭守贵</t>
  </si>
  <si>
    <t>420325195312217036</t>
  </si>
  <si>
    <t>刘正府</t>
  </si>
  <si>
    <t>422626195407237018</t>
  </si>
  <si>
    <t>罗光清</t>
  </si>
  <si>
    <t>422626197111227012</t>
  </si>
  <si>
    <t>乔富山</t>
  </si>
  <si>
    <t>42262619640429701X</t>
  </si>
  <si>
    <t>叶光明</t>
  </si>
  <si>
    <t>42032519470609701X</t>
  </si>
  <si>
    <t>董永生</t>
  </si>
  <si>
    <t>422626196104197017</t>
  </si>
  <si>
    <t>罗光宇</t>
  </si>
  <si>
    <t>42262619630407701X</t>
  </si>
  <si>
    <t>罗光明</t>
  </si>
  <si>
    <t>422626195503287015</t>
  </si>
  <si>
    <t>王安德</t>
  </si>
  <si>
    <t>422626196205277016</t>
  </si>
  <si>
    <t>黄国庆</t>
  </si>
  <si>
    <t>420325195604157012</t>
  </si>
  <si>
    <t>杜大有</t>
  </si>
  <si>
    <t>422626195703157012</t>
  </si>
  <si>
    <t>郭守来</t>
  </si>
  <si>
    <t>420325195411117014</t>
  </si>
  <si>
    <t>马远林</t>
  </si>
  <si>
    <t>420325195008137015</t>
  </si>
  <si>
    <t>黄开元</t>
  </si>
  <si>
    <t>422626194610247014</t>
  </si>
  <si>
    <t>吴著银</t>
  </si>
  <si>
    <t>422626197204087012</t>
  </si>
  <si>
    <t>冯正林</t>
  </si>
  <si>
    <t>422626195005117013</t>
  </si>
  <si>
    <t>42032519260417701X</t>
  </si>
  <si>
    <t>李世瑞</t>
  </si>
  <si>
    <t>420325194111037018</t>
  </si>
  <si>
    <t>张学宽</t>
  </si>
  <si>
    <t>420325193910107030</t>
  </si>
  <si>
    <t>黄昌银</t>
  </si>
  <si>
    <t>420325194709097015</t>
  </si>
  <si>
    <t>李世会</t>
  </si>
  <si>
    <t>422626196202047039</t>
  </si>
  <si>
    <t>郭守朝</t>
  </si>
  <si>
    <t>422626195902197017</t>
  </si>
  <si>
    <t>李世勋</t>
  </si>
  <si>
    <t>422626194906287015</t>
  </si>
  <si>
    <t>422626194901217018</t>
  </si>
  <si>
    <t>王昌盛</t>
  </si>
  <si>
    <t>422626195303037038</t>
  </si>
  <si>
    <t>欧伟伟</t>
  </si>
  <si>
    <t>420325198708177011</t>
  </si>
  <si>
    <t>欧士根</t>
  </si>
  <si>
    <t>422626196310157016</t>
  </si>
  <si>
    <t>薛吉合</t>
  </si>
  <si>
    <t>422626197106097014</t>
  </si>
  <si>
    <t>李世忠</t>
  </si>
  <si>
    <t>422626193905147016</t>
  </si>
  <si>
    <t>张相军</t>
  </si>
  <si>
    <t>422626197601297013</t>
  </si>
  <si>
    <t>李光宝</t>
  </si>
  <si>
    <t>422626195708157011</t>
  </si>
  <si>
    <t>任绍兵</t>
  </si>
  <si>
    <t>420325198302247091</t>
  </si>
  <si>
    <t>郭守福</t>
  </si>
  <si>
    <t>422626195809207014</t>
  </si>
  <si>
    <t>张昌学</t>
  </si>
  <si>
    <t>422626195406207036</t>
  </si>
  <si>
    <t>韩明福</t>
  </si>
  <si>
    <t>420325197110207015</t>
  </si>
  <si>
    <t>黄  毅</t>
  </si>
  <si>
    <t>420325197612197030</t>
  </si>
  <si>
    <t>冯正虎</t>
  </si>
  <si>
    <t>420325197301017038</t>
  </si>
  <si>
    <t>李世尧</t>
  </si>
  <si>
    <t>422626195409307016</t>
  </si>
  <si>
    <t>李光建</t>
  </si>
  <si>
    <t>420325197904087035</t>
  </si>
  <si>
    <t>李启虎</t>
  </si>
  <si>
    <t>422626195509137018</t>
  </si>
  <si>
    <t>李启国</t>
  </si>
  <si>
    <t>422626196610217017</t>
  </si>
  <si>
    <t>张修平</t>
  </si>
  <si>
    <t>422626196412237017</t>
  </si>
  <si>
    <t>张学富</t>
  </si>
  <si>
    <t>422626194312087016</t>
  </si>
  <si>
    <t>王开武</t>
  </si>
  <si>
    <t>420325193511277016</t>
  </si>
  <si>
    <t>郭守合</t>
  </si>
  <si>
    <t>422626195904297011</t>
  </si>
  <si>
    <t>李世永</t>
  </si>
  <si>
    <t>422626194110187019</t>
  </si>
  <si>
    <t>欧士友</t>
  </si>
  <si>
    <t>422626197407087012</t>
  </si>
  <si>
    <t>李诗强</t>
  </si>
  <si>
    <t>422626196810097013</t>
  </si>
  <si>
    <t>李光清</t>
  </si>
  <si>
    <t>420325196303087035</t>
  </si>
  <si>
    <t>王  伟</t>
  </si>
  <si>
    <t>420325197711147038</t>
  </si>
  <si>
    <t>黄开友</t>
  </si>
  <si>
    <t>422626194212117011</t>
  </si>
  <si>
    <t>420325198204267013</t>
  </si>
  <si>
    <t>420325196505057037</t>
  </si>
  <si>
    <t>袁家庆</t>
  </si>
  <si>
    <t>422626196512097015</t>
  </si>
  <si>
    <t>王昌奎</t>
  </si>
  <si>
    <t>422626197010137018</t>
  </si>
  <si>
    <t>任绍明</t>
  </si>
  <si>
    <t>420325197706047016</t>
  </si>
  <si>
    <t>郭守洪</t>
  </si>
  <si>
    <t>422626195105257013</t>
  </si>
  <si>
    <t>赵  平</t>
  </si>
  <si>
    <t>422626196111137039</t>
  </si>
  <si>
    <t>王安乐</t>
  </si>
  <si>
    <t>422626195310077011</t>
  </si>
  <si>
    <t>张道平</t>
  </si>
  <si>
    <t>420325198302037019</t>
  </si>
  <si>
    <t>王辉</t>
  </si>
  <si>
    <t>420325198311057011</t>
  </si>
  <si>
    <t>余世荣</t>
  </si>
  <si>
    <t>422626196306177022</t>
  </si>
  <si>
    <t>杨有海</t>
  </si>
  <si>
    <t>422626197006197018</t>
  </si>
  <si>
    <t>王玉华</t>
  </si>
  <si>
    <t>420325197609157387</t>
  </si>
  <si>
    <t>王世平</t>
  </si>
  <si>
    <t>420325198003317037</t>
  </si>
  <si>
    <t>杜大军</t>
  </si>
  <si>
    <t>420325199010297016</t>
  </si>
  <si>
    <t>钟兴平</t>
  </si>
  <si>
    <t>420325198302027013</t>
  </si>
  <si>
    <t>李家本</t>
  </si>
  <si>
    <t>420325196810047038</t>
  </si>
  <si>
    <t>李邦洪</t>
  </si>
  <si>
    <t>420325196902247010</t>
  </si>
  <si>
    <t>李邦明</t>
  </si>
  <si>
    <t>42032519780308701X</t>
  </si>
  <si>
    <t>李家明</t>
  </si>
  <si>
    <t>420325198110317075</t>
  </si>
  <si>
    <t>王安喜</t>
  </si>
  <si>
    <t>42262619671006701X</t>
  </si>
  <si>
    <t>徐林清</t>
  </si>
  <si>
    <t>42262619480418703X</t>
  </si>
  <si>
    <t>徐林华</t>
  </si>
  <si>
    <t>420325196301177037</t>
  </si>
  <si>
    <t>翟照炎</t>
  </si>
  <si>
    <t>42262619471119701X</t>
  </si>
  <si>
    <t>龚世发</t>
  </si>
  <si>
    <t>422626195012157013</t>
  </si>
  <si>
    <t>龚仕成</t>
  </si>
  <si>
    <t>420325197103017037</t>
  </si>
  <si>
    <t>王正学</t>
  </si>
  <si>
    <t>422626195612227038</t>
  </si>
  <si>
    <t>徐林福</t>
  </si>
  <si>
    <t>422626196511237012</t>
  </si>
  <si>
    <t>龚举斌</t>
  </si>
  <si>
    <t>420325197711187021</t>
  </si>
  <si>
    <t>翟照忠</t>
  </si>
  <si>
    <t>422626196905247037</t>
  </si>
  <si>
    <t>王伟</t>
  </si>
  <si>
    <t>420325198512197010</t>
  </si>
  <si>
    <t>龚仕玉</t>
  </si>
  <si>
    <t>420325197710077058</t>
  </si>
  <si>
    <t>鲁宗林</t>
  </si>
  <si>
    <t>422626195412197014</t>
  </si>
  <si>
    <t>张志贵</t>
  </si>
  <si>
    <t>420325197404237359</t>
  </si>
  <si>
    <t>王安财</t>
  </si>
  <si>
    <t>42262619450203701X</t>
  </si>
  <si>
    <t>吴作春</t>
  </si>
  <si>
    <t>420325197502157010</t>
  </si>
  <si>
    <t>鲁宗福</t>
  </si>
  <si>
    <t>42262619700313701X</t>
  </si>
  <si>
    <t>李家友</t>
  </si>
  <si>
    <t>422626196807017019</t>
  </si>
  <si>
    <t>李邦林</t>
  </si>
  <si>
    <t>422626197007257035</t>
  </si>
  <si>
    <t>422626196708267012</t>
  </si>
  <si>
    <t>李帮会</t>
  </si>
  <si>
    <t>422626195810317026</t>
  </si>
  <si>
    <t>姜得成</t>
  </si>
  <si>
    <t>422626196604077011</t>
  </si>
  <si>
    <t>何启国</t>
  </si>
  <si>
    <t>422626195004157013</t>
  </si>
  <si>
    <t>王安忠</t>
  </si>
  <si>
    <t>422626196003017013</t>
  </si>
  <si>
    <t>王安福</t>
  </si>
  <si>
    <t>422626195609067037</t>
  </si>
  <si>
    <t>王庆合</t>
  </si>
  <si>
    <t>422626194306157073</t>
  </si>
  <si>
    <t>王安春</t>
  </si>
  <si>
    <t>42262619510613703X</t>
  </si>
  <si>
    <t>王安胜</t>
  </si>
  <si>
    <t>422626196607307070</t>
  </si>
  <si>
    <t>郑广周</t>
  </si>
  <si>
    <t>42262619670310701X</t>
  </si>
  <si>
    <t>鲁长清</t>
  </si>
  <si>
    <t>420325195803237031</t>
  </si>
  <si>
    <t>大木小计</t>
  </si>
  <si>
    <t>姚坪乡</t>
  </si>
  <si>
    <t>白石村 3组</t>
  </si>
  <si>
    <t>王余</t>
  </si>
  <si>
    <t>白石村 1组</t>
  </si>
  <si>
    <t>肖本群</t>
  </si>
  <si>
    <t>42262619660618761X43</t>
  </si>
  <si>
    <t>白石村 2组</t>
  </si>
  <si>
    <t>肖本贵</t>
  </si>
  <si>
    <t>422626196911197611</t>
  </si>
  <si>
    <t>彪虎沟村一组</t>
  </si>
  <si>
    <t>张行元</t>
  </si>
  <si>
    <t>刘国伟</t>
  </si>
  <si>
    <t>刘兴元</t>
  </si>
  <si>
    <t>杜启保</t>
  </si>
  <si>
    <t>曾功武</t>
  </si>
  <si>
    <t>吴著华</t>
  </si>
  <si>
    <t>曾万宗</t>
  </si>
  <si>
    <t>曾功合</t>
  </si>
  <si>
    <t>张吉斌</t>
  </si>
  <si>
    <t>曾明光</t>
  </si>
  <si>
    <t>曾明朝</t>
  </si>
  <si>
    <t>孙绪华</t>
  </si>
  <si>
    <t>张善清</t>
  </si>
  <si>
    <t>范大林</t>
  </si>
  <si>
    <t>曾光宗</t>
  </si>
  <si>
    <t>陈宪治</t>
  </si>
  <si>
    <t>刘国兴</t>
  </si>
  <si>
    <t>曾应宗</t>
  </si>
  <si>
    <t>曾贻朋</t>
  </si>
  <si>
    <t>刘兴兵</t>
  </si>
  <si>
    <t>曾茂宗</t>
  </si>
  <si>
    <t>张昌坪</t>
  </si>
  <si>
    <t>曾钦宗</t>
  </si>
  <si>
    <t>刘朝兵</t>
  </si>
  <si>
    <t>彪虎沟村二组</t>
  </si>
  <si>
    <t>刘安斌</t>
  </si>
  <si>
    <t>曹祥林</t>
  </si>
  <si>
    <t>刘国洪</t>
  </si>
  <si>
    <t>刘国如</t>
  </si>
  <si>
    <t>刘兴军</t>
  </si>
  <si>
    <t>刘兴忠</t>
  </si>
  <si>
    <t>刘艳芬</t>
  </si>
  <si>
    <t>刘安林</t>
  </si>
  <si>
    <t>王天福</t>
  </si>
  <si>
    <t>刘兴年</t>
  </si>
  <si>
    <t>刘运春</t>
  </si>
  <si>
    <t>刘朝林</t>
  </si>
  <si>
    <t>刘兴伟</t>
  </si>
  <si>
    <t>金举云</t>
  </si>
  <si>
    <t>刘国光</t>
  </si>
  <si>
    <t>彪虎沟村三组</t>
  </si>
  <si>
    <t>曾明孝</t>
  </si>
  <si>
    <t>杜达和</t>
  </si>
  <si>
    <t>张行武</t>
  </si>
  <si>
    <t>罗满寿</t>
  </si>
  <si>
    <t>罗满喜</t>
  </si>
  <si>
    <t>周西田</t>
  </si>
  <si>
    <t>周同宝</t>
  </si>
  <si>
    <t>曾宗强</t>
  </si>
  <si>
    <t>刘运梅</t>
  </si>
  <si>
    <t>张善保</t>
  </si>
  <si>
    <t>刘安龙</t>
  </si>
  <si>
    <t>袁平秀</t>
  </si>
  <si>
    <t>42262619421104762144</t>
  </si>
  <si>
    <t>刘兴平</t>
  </si>
  <si>
    <t>杜达清</t>
  </si>
  <si>
    <t>张超</t>
  </si>
  <si>
    <t>周同生</t>
  </si>
  <si>
    <t>张向林</t>
  </si>
  <si>
    <t>曾根宗</t>
  </si>
  <si>
    <t>彪虎沟村四组</t>
  </si>
  <si>
    <t>杨先举</t>
  </si>
  <si>
    <t>罗克寿</t>
  </si>
  <si>
    <t>42262619740426761644</t>
  </si>
  <si>
    <t>范本安</t>
  </si>
  <si>
    <t>韩正芬</t>
  </si>
  <si>
    <t>何年英</t>
  </si>
  <si>
    <t>张友斌</t>
  </si>
  <si>
    <t>42262619691202761444</t>
  </si>
  <si>
    <t>杨先科</t>
  </si>
  <si>
    <t>沈才东</t>
  </si>
  <si>
    <t>何林善</t>
  </si>
  <si>
    <t>刘相荣</t>
  </si>
  <si>
    <t>王泽禄</t>
  </si>
  <si>
    <t>刘向合</t>
  </si>
  <si>
    <t>张远禄</t>
  </si>
  <si>
    <t>罗克禄</t>
  </si>
  <si>
    <t>何统礼</t>
  </si>
  <si>
    <t>乔贵林</t>
  </si>
  <si>
    <t>张友清</t>
  </si>
  <si>
    <t>张西华</t>
  </si>
  <si>
    <t>李宗仁</t>
  </si>
  <si>
    <t>马家坡村</t>
  </si>
  <si>
    <t>沈从平</t>
  </si>
  <si>
    <t>422626195404187617</t>
  </si>
  <si>
    <t>杜昌合</t>
  </si>
  <si>
    <t>420325196404137636</t>
  </si>
  <si>
    <t>李庆明</t>
  </si>
  <si>
    <t>422626194911047614</t>
  </si>
  <si>
    <t>孟昌伟</t>
  </si>
  <si>
    <t>422626196902257619</t>
  </si>
  <si>
    <t>陈山玉</t>
  </si>
  <si>
    <t>42032519770406763862</t>
  </si>
  <si>
    <t>李大清</t>
  </si>
  <si>
    <t>420325197308157615</t>
  </si>
  <si>
    <t>李大福</t>
  </si>
  <si>
    <t>42262619510812761x</t>
  </si>
  <si>
    <t>杜昌运</t>
  </si>
  <si>
    <t>42262619530609761843</t>
  </si>
  <si>
    <t>沈从金</t>
  </si>
  <si>
    <t>422626195902067618</t>
  </si>
  <si>
    <t>王昌学</t>
  </si>
  <si>
    <t>422626197108117613</t>
  </si>
  <si>
    <t>肖本会</t>
  </si>
  <si>
    <t>422626193711077611</t>
  </si>
  <si>
    <t>肖本春</t>
  </si>
  <si>
    <t>422626194702057613</t>
  </si>
  <si>
    <t>杜昌金</t>
  </si>
  <si>
    <t>420325198405187634</t>
  </si>
  <si>
    <t>刘安平</t>
  </si>
  <si>
    <t>420325197306307659</t>
  </si>
  <si>
    <t>观音沟</t>
  </si>
  <si>
    <t>汪启国</t>
  </si>
  <si>
    <t>金钟</t>
  </si>
  <si>
    <t>蒋开斌</t>
  </si>
  <si>
    <t>杜大斌</t>
  </si>
  <si>
    <t>饶治清</t>
  </si>
  <si>
    <t>汪士国</t>
  </si>
  <si>
    <t>张本友</t>
  </si>
  <si>
    <t>石功树</t>
  </si>
  <si>
    <t>姜高军</t>
  </si>
  <si>
    <t>杜昌福</t>
  </si>
  <si>
    <t>汪自明</t>
  </si>
  <si>
    <t>文士宏</t>
  </si>
  <si>
    <t>薛盛贵</t>
  </si>
  <si>
    <t>422626196809247619</t>
  </si>
  <si>
    <t>张辉成</t>
  </si>
  <si>
    <t>42262619581231761X</t>
  </si>
  <si>
    <t>张辉明</t>
  </si>
  <si>
    <t>422626197110057613</t>
  </si>
  <si>
    <t>汪自林</t>
  </si>
  <si>
    <t>42262619790511761644</t>
  </si>
  <si>
    <t>王治安</t>
  </si>
  <si>
    <t>422626194410147617</t>
  </si>
  <si>
    <t>孙坤信</t>
  </si>
  <si>
    <t>420325193812117614</t>
  </si>
  <si>
    <t>雷士斗</t>
  </si>
  <si>
    <t>42262619490815761X</t>
  </si>
  <si>
    <t>王家合</t>
  </si>
  <si>
    <t>420325198303167632</t>
  </si>
  <si>
    <t>薛盛泰</t>
  </si>
  <si>
    <t>422626194710267610</t>
  </si>
  <si>
    <t>黄治安</t>
  </si>
  <si>
    <t>422626194112177615</t>
  </si>
  <si>
    <t>杨中清</t>
  </si>
  <si>
    <t>422626196003237614</t>
  </si>
  <si>
    <t>红庙村</t>
  </si>
  <si>
    <t>420325197307097614</t>
  </si>
  <si>
    <t>徐修成</t>
  </si>
  <si>
    <t>420325198103237616</t>
  </si>
  <si>
    <t>陈国田</t>
  </si>
  <si>
    <t>422626195910057612</t>
  </si>
  <si>
    <t>陈国华</t>
  </si>
  <si>
    <t>42262619680401763811</t>
  </si>
  <si>
    <t>黄若平</t>
  </si>
  <si>
    <t>422626196806287615</t>
  </si>
  <si>
    <t>陈勇</t>
  </si>
  <si>
    <t>420325198204227652</t>
  </si>
  <si>
    <t>陈伟</t>
  </si>
  <si>
    <t>420325198403227612</t>
  </si>
  <si>
    <t>柯昌生</t>
  </si>
  <si>
    <t>422626194803277615</t>
  </si>
  <si>
    <t>虎尾沟村七组</t>
  </si>
  <si>
    <t>胡宗寿</t>
  </si>
  <si>
    <t>胡学六</t>
  </si>
  <si>
    <t>胡学丙</t>
  </si>
  <si>
    <t>虎尾沟村一组</t>
  </si>
  <si>
    <t>杨元平</t>
  </si>
  <si>
    <t>袁观田</t>
  </si>
  <si>
    <t>孙坤志</t>
  </si>
  <si>
    <t>虎尾沟村二组</t>
  </si>
  <si>
    <t>廖修山</t>
  </si>
  <si>
    <t>虎尾沟村五组</t>
  </si>
  <si>
    <t>金俊德</t>
  </si>
  <si>
    <t>虎尾沟村四组</t>
  </si>
  <si>
    <t>胡际凯</t>
  </si>
  <si>
    <t>孙群海</t>
  </si>
  <si>
    <t>金举田</t>
  </si>
  <si>
    <t>吴明珍</t>
  </si>
  <si>
    <t>虎尾沟村三组</t>
  </si>
  <si>
    <t>肖少红</t>
  </si>
  <si>
    <t>石功仁</t>
  </si>
  <si>
    <t>422626197306227610</t>
  </si>
  <si>
    <t>葛云华</t>
  </si>
  <si>
    <t>422626196807107612</t>
  </si>
  <si>
    <t>葛云福</t>
  </si>
  <si>
    <t>422626197307157618</t>
  </si>
  <si>
    <t>胡勇</t>
  </si>
  <si>
    <t>422626197204167637</t>
  </si>
  <si>
    <t>彭良云</t>
  </si>
  <si>
    <t>422626195908037647</t>
  </si>
  <si>
    <t>杜著先</t>
  </si>
  <si>
    <t>42262619560208765X</t>
  </si>
  <si>
    <t>陈良春</t>
  </si>
  <si>
    <t>422626195909247611</t>
  </si>
  <si>
    <t>孙长文</t>
  </si>
  <si>
    <t>42262619661215761X</t>
  </si>
  <si>
    <t>黄治后</t>
  </si>
  <si>
    <t>422626195802247611</t>
  </si>
  <si>
    <t>李石林</t>
  </si>
  <si>
    <t>422626195504107696</t>
  </si>
  <si>
    <t>杨跃斌</t>
  </si>
  <si>
    <t>422626197301197635</t>
  </si>
  <si>
    <t>闫永林</t>
  </si>
  <si>
    <t>42262619560326761X</t>
  </si>
  <si>
    <t>孙长明</t>
  </si>
  <si>
    <t>422626195711157653</t>
  </si>
  <si>
    <t>屈永禄</t>
  </si>
  <si>
    <t>422626197803047653</t>
  </si>
  <si>
    <t>闫昌国</t>
  </si>
  <si>
    <t>420325198103307610</t>
  </si>
  <si>
    <t>虎尾沟村六组</t>
  </si>
  <si>
    <t>王 强</t>
  </si>
  <si>
    <t>420325197910017615</t>
  </si>
  <si>
    <t>金进文</t>
  </si>
  <si>
    <t>422626195208037611</t>
  </si>
  <si>
    <t>胡圣虎</t>
  </si>
  <si>
    <t>422626196206167636</t>
  </si>
  <si>
    <t>胡际辉</t>
  </si>
  <si>
    <t>42032519790106767X</t>
  </si>
  <si>
    <t>胡际双</t>
  </si>
  <si>
    <t>420325197407307631</t>
  </si>
  <si>
    <t>王必礼</t>
  </si>
  <si>
    <t>422626197511127619</t>
  </si>
  <si>
    <t>胡君毅</t>
  </si>
  <si>
    <t>420325199205207615</t>
  </si>
  <si>
    <t>黄朝双</t>
  </si>
  <si>
    <t>422626197206147613</t>
  </si>
  <si>
    <t>孙 艳</t>
  </si>
  <si>
    <t>420325197710027640</t>
  </si>
  <si>
    <t>422626196101167613</t>
  </si>
  <si>
    <t>胡中平</t>
  </si>
  <si>
    <t>422626197710227612</t>
  </si>
  <si>
    <t>杜著林</t>
  </si>
  <si>
    <t>422626196808017635</t>
  </si>
  <si>
    <t>屈光华</t>
  </si>
  <si>
    <t>422626195907187619</t>
  </si>
  <si>
    <t>黄朝清</t>
  </si>
  <si>
    <t>422626197212097616</t>
  </si>
  <si>
    <t>杨超</t>
  </si>
  <si>
    <t>廖修林</t>
  </si>
  <si>
    <t>422626197312317639</t>
  </si>
  <si>
    <t>江文礼</t>
  </si>
  <si>
    <t>422626194707037611</t>
  </si>
  <si>
    <t>王治生</t>
  </si>
  <si>
    <t>422626196612267616</t>
  </si>
  <si>
    <t>方道礼</t>
  </si>
  <si>
    <t>422626196006017617</t>
  </si>
  <si>
    <t>陈楼仁</t>
  </si>
  <si>
    <t>422626197103297619</t>
  </si>
  <si>
    <t>422626195408317618</t>
  </si>
  <si>
    <t>420325198801137639</t>
  </si>
  <si>
    <t>黄治华</t>
  </si>
  <si>
    <t>422626197309237611</t>
  </si>
  <si>
    <t>郭家成</t>
  </si>
  <si>
    <t>422626194706127615</t>
  </si>
  <si>
    <t>杨元恩</t>
  </si>
  <si>
    <t>422626196812217613</t>
  </si>
  <si>
    <t>金尽国</t>
  </si>
  <si>
    <t>422626196910267630</t>
  </si>
  <si>
    <t>孙长友</t>
  </si>
  <si>
    <t>422626196010217718</t>
  </si>
  <si>
    <t>王家彬</t>
  </si>
  <si>
    <t>422626197411287615</t>
  </si>
  <si>
    <t>黄朝应</t>
  </si>
  <si>
    <t>420325196302037618</t>
  </si>
  <si>
    <t>黄朝友</t>
  </si>
  <si>
    <t>422626197304297631</t>
  </si>
  <si>
    <t>胡学甲</t>
  </si>
  <si>
    <t>422626194803217612</t>
  </si>
  <si>
    <t>42262619520324761X</t>
  </si>
  <si>
    <t>胡圣兵</t>
  </si>
  <si>
    <t>42032519770426763X</t>
  </si>
  <si>
    <t>胡际成</t>
  </si>
  <si>
    <t>422626195912067611</t>
  </si>
  <si>
    <t>王治喜</t>
  </si>
  <si>
    <t>420325198002147638</t>
  </si>
  <si>
    <t>任少武</t>
  </si>
  <si>
    <t>422626196305087658</t>
  </si>
  <si>
    <t>王治海</t>
  </si>
  <si>
    <t>420325197612117618</t>
  </si>
  <si>
    <t>陈同炳</t>
  </si>
  <si>
    <t>422626197302217618</t>
  </si>
  <si>
    <t>江华阳</t>
  </si>
  <si>
    <t>420325197603107610</t>
  </si>
  <si>
    <t>胡际怀</t>
  </si>
  <si>
    <t>422626197512257618</t>
  </si>
  <si>
    <t>屈光珍</t>
  </si>
  <si>
    <t>422626195709217629</t>
  </si>
  <si>
    <t>姚坪</t>
  </si>
  <si>
    <t>黄坪村7组</t>
  </si>
  <si>
    <t>段久宗</t>
  </si>
  <si>
    <t>422626193701067612</t>
  </si>
  <si>
    <t>黄坪村5组</t>
  </si>
  <si>
    <t>刘兴山</t>
  </si>
  <si>
    <t>422626196801287616</t>
  </si>
  <si>
    <t>刘安学</t>
  </si>
  <si>
    <t>42262619590610763X42</t>
  </si>
  <si>
    <t>刘兴桥</t>
  </si>
  <si>
    <t>42262619660110763323</t>
  </si>
  <si>
    <t>黄坪村</t>
  </si>
  <si>
    <t>张昌安</t>
  </si>
  <si>
    <t>420325198003197696</t>
  </si>
  <si>
    <t>张相武</t>
  </si>
  <si>
    <t>42262619730921761044</t>
  </si>
  <si>
    <t>刘安玉</t>
  </si>
  <si>
    <t>422626194411227619</t>
  </si>
  <si>
    <t>黄坪村1组</t>
  </si>
  <si>
    <t>赵荣珍</t>
  </si>
  <si>
    <t>422624197209135228</t>
  </si>
  <si>
    <t>黄坪村4组</t>
  </si>
  <si>
    <t>王晏彬</t>
  </si>
  <si>
    <t>420325198302087614</t>
  </si>
  <si>
    <t>黄坪村3组</t>
  </si>
  <si>
    <t>刘兴寿</t>
  </si>
  <si>
    <t>42262619670102761443</t>
  </si>
  <si>
    <t>黄坪村6组</t>
  </si>
  <si>
    <t>刘兴华</t>
  </si>
  <si>
    <t>422626196306287619</t>
  </si>
  <si>
    <t>金牛村2组</t>
  </si>
  <si>
    <t>胡圣林</t>
  </si>
  <si>
    <t xml:space="preserve">420325197912207674
</t>
  </si>
  <si>
    <t>黄朝平</t>
  </si>
  <si>
    <t>422626195909237616</t>
  </si>
  <si>
    <t>王昌文</t>
  </si>
  <si>
    <t>张昌国</t>
  </si>
  <si>
    <t>陈同国</t>
  </si>
  <si>
    <t>胡际胜</t>
  </si>
  <si>
    <t>胡鹏</t>
  </si>
  <si>
    <t>杨后泽</t>
  </si>
  <si>
    <t>吴永连</t>
  </si>
  <si>
    <t>杜著信</t>
  </si>
  <si>
    <t>黄治金</t>
  </si>
  <si>
    <t>胡学让</t>
  </si>
  <si>
    <t>廖德明</t>
  </si>
  <si>
    <t>42262619461114761343</t>
  </si>
  <si>
    <t>胡圣根</t>
  </si>
  <si>
    <t>杜著河</t>
  </si>
  <si>
    <t>张昌华</t>
  </si>
  <si>
    <t>廖光凡</t>
  </si>
  <si>
    <t>胡圣满</t>
  </si>
  <si>
    <t>杜昌甲</t>
  </si>
  <si>
    <t>黄朝艮</t>
  </si>
  <si>
    <t>黄治高</t>
  </si>
  <si>
    <t>胡圣军</t>
  </si>
  <si>
    <t>42032519801029763644</t>
  </si>
  <si>
    <t>王太安</t>
  </si>
  <si>
    <t>金牛4组</t>
  </si>
  <si>
    <t>杜著梅</t>
  </si>
  <si>
    <t>422626195503047628</t>
  </si>
  <si>
    <t>黄开林</t>
  </si>
  <si>
    <t>420325198003087630</t>
  </si>
  <si>
    <t>黄朝江</t>
  </si>
  <si>
    <t>420325197710057639</t>
  </si>
  <si>
    <t>黄朝仁</t>
  </si>
  <si>
    <t>杨永超</t>
  </si>
  <si>
    <t>420325198601087614</t>
  </si>
  <si>
    <t>黄朝相</t>
  </si>
  <si>
    <t>422626195512037712</t>
  </si>
  <si>
    <t>杨永光</t>
  </si>
  <si>
    <t>金牛3组</t>
  </si>
  <si>
    <t>涂长宝</t>
  </si>
  <si>
    <t>42262619641210761843</t>
  </si>
  <si>
    <t>黄朝根</t>
  </si>
  <si>
    <t>422626197112167613</t>
  </si>
  <si>
    <t>罗克田</t>
  </si>
  <si>
    <t>422626197607127613</t>
  </si>
  <si>
    <t>杨厚清</t>
  </si>
  <si>
    <t>422626197307147639</t>
  </si>
  <si>
    <t>黄开斌</t>
  </si>
  <si>
    <t>金牛1组</t>
  </si>
  <si>
    <t>郭家禄</t>
  </si>
  <si>
    <t>422626195406117612</t>
  </si>
  <si>
    <t>屈永芳</t>
  </si>
  <si>
    <t>420325197805157640</t>
  </si>
  <si>
    <t>郭家满</t>
  </si>
  <si>
    <t>422626195508217673</t>
  </si>
  <si>
    <t>郭世荣</t>
  </si>
  <si>
    <t>422626193406197617</t>
  </si>
  <si>
    <t>胡际财</t>
  </si>
  <si>
    <t>42262619481205761412</t>
  </si>
  <si>
    <t>胡圣福</t>
  </si>
  <si>
    <t>廖秀国</t>
  </si>
  <si>
    <t>王道满</t>
  </si>
  <si>
    <t>黄开华</t>
  </si>
  <si>
    <t>平沟村1组</t>
  </si>
  <si>
    <t>袁观清</t>
  </si>
  <si>
    <t>孙长寿</t>
  </si>
  <si>
    <t>平沟村2组</t>
  </si>
  <si>
    <t>金举平</t>
  </si>
  <si>
    <t>平沟村3组</t>
  </si>
  <si>
    <t>陈多明</t>
  </si>
  <si>
    <t>42262619630718761X31</t>
  </si>
  <si>
    <t>莫清合</t>
  </si>
  <si>
    <t>平沟村4组</t>
  </si>
  <si>
    <t>陈华平</t>
  </si>
  <si>
    <t>张昌贵</t>
  </si>
  <si>
    <t>李全</t>
  </si>
  <si>
    <t>杜昌仕</t>
  </si>
  <si>
    <t>袁治安</t>
  </si>
  <si>
    <t>马高富</t>
  </si>
  <si>
    <t>马高贵</t>
  </si>
  <si>
    <t>马高升</t>
  </si>
  <si>
    <t>平沟村组</t>
  </si>
  <si>
    <t>吴远成</t>
  </si>
  <si>
    <t>422626194910287616</t>
  </si>
  <si>
    <t>黄朝芬</t>
  </si>
  <si>
    <t>42262619640418762X</t>
  </si>
  <si>
    <t>张吉明</t>
  </si>
  <si>
    <t>422626195903017612</t>
  </si>
  <si>
    <t>任少国</t>
  </si>
  <si>
    <t>422626196403077613</t>
  </si>
  <si>
    <t>刘兴群</t>
  </si>
  <si>
    <t>422626197307077618</t>
  </si>
  <si>
    <t>西坡</t>
  </si>
  <si>
    <t>张自文</t>
  </si>
  <si>
    <t xml:space="preserve">袁致军
</t>
  </si>
  <si>
    <t>420325197302237657</t>
  </si>
  <si>
    <t>肖家沟</t>
  </si>
  <si>
    <t>刘兴顺</t>
  </si>
  <si>
    <t>422626197207207630</t>
  </si>
  <si>
    <t>谭荣权</t>
  </si>
  <si>
    <t>422626195402237633</t>
  </si>
  <si>
    <t>肖家沟村二组</t>
  </si>
  <si>
    <t>422626197112107637</t>
  </si>
  <si>
    <t>肖家沟村四组</t>
  </si>
  <si>
    <t>王贤权</t>
  </si>
  <si>
    <t>420325198101237612</t>
  </si>
  <si>
    <t>王贤成</t>
  </si>
  <si>
    <t>422626197002127637</t>
  </si>
  <si>
    <t>肖家沟村五组</t>
  </si>
  <si>
    <t>张吉堂</t>
  </si>
  <si>
    <t>422626197507157612</t>
  </si>
  <si>
    <t>卫扬华</t>
  </si>
  <si>
    <t>422626196608147611</t>
  </si>
  <si>
    <t>卫扬彬</t>
  </si>
  <si>
    <t>420325197806037659</t>
  </si>
  <si>
    <t>肖家沟村一组</t>
  </si>
  <si>
    <t>刘兴六</t>
  </si>
  <si>
    <t>42262619480801761X</t>
  </si>
  <si>
    <t>罗克贵</t>
  </si>
  <si>
    <t>422626195510167636</t>
  </si>
  <si>
    <t>420325199201257615</t>
  </si>
  <si>
    <t>郑若平</t>
  </si>
  <si>
    <t>422626196701017619</t>
  </si>
  <si>
    <t>郑启禄</t>
  </si>
  <si>
    <t>420325199411207632</t>
  </si>
  <si>
    <t>杨荣生</t>
  </si>
  <si>
    <t>422626196704307611</t>
  </si>
  <si>
    <t>王尔军</t>
  </si>
  <si>
    <t>42032519770813763X</t>
  </si>
  <si>
    <t>卫书虎</t>
  </si>
  <si>
    <t>420325198712297614</t>
  </si>
  <si>
    <t>卫杨全</t>
  </si>
  <si>
    <t>422626197312167634</t>
  </si>
  <si>
    <t>卫扬平</t>
  </si>
  <si>
    <t>420325198307107653</t>
  </si>
  <si>
    <t>胡厚进</t>
  </si>
  <si>
    <t>422626196403307650</t>
  </si>
  <si>
    <t>刘涛</t>
  </si>
  <si>
    <t>420325198906067630</t>
  </si>
  <si>
    <t>42032519821003761X</t>
  </si>
  <si>
    <t>刘兴德</t>
  </si>
  <si>
    <t>422626196103277613</t>
  </si>
  <si>
    <t>丁万福</t>
  </si>
  <si>
    <t>422626195407147653</t>
  </si>
  <si>
    <t>刘兴海</t>
  </si>
  <si>
    <t>422626197502267636</t>
  </si>
  <si>
    <t>童厚权</t>
  </si>
  <si>
    <t>422626194605267619</t>
  </si>
  <si>
    <t>姚坪村二组</t>
  </si>
  <si>
    <t>陈龙明</t>
  </si>
  <si>
    <t>422626195512057617</t>
  </si>
  <si>
    <t>姚坪村一组</t>
  </si>
  <si>
    <t>石章池</t>
  </si>
  <si>
    <t>422626196407287618</t>
  </si>
  <si>
    <t>42262619391112761X</t>
  </si>
  <si>
    <t>李开云</t>
  </si>
  <si>
    <t>422626195607237629</t>
  </si>
  <si>
    <t>姚坪村</t>
  </si>
  <si>
    <t>乔贵元</t>
  </si>
  <si>
    <t>422626194810077611</t>
  </si>
  <si>
    <t>化口村</t>
  </si>
  <si>
    <t>422626196201207635</t>
  </si>
  <si>
    <t>李世军</t>
  </si>
  <si>
    <t>420325198008307655</t>
  </si>
  <si>
    <t>余显兵</t>
  </si>
  <si>
    <t>420325197612097610</t>
  </si>
  <si>
    <t>薛吉兵</t>
  </si>
  <si>
    <t>422626196602147610</t>
  </si>
  <si>
    <t>薛继武</t>
  </si>
  <si>
    <t>422626196211017616</t>
  </si>
  <si>
    <t>薛继超</t>
  </si>
  <si>
    <t>42262619610821761X</t>
  </si>
  <si>
    <t>薛吉强</t>
  </si>
  <si>
    <t>422626196302287654</t>
  </si>
  <si>
    <t>422626194701147633</t>
  </si>
  <si>
    <t>屈光奎</t>
  </si>
  <si>
    <t>422626196001087616</t>
  </si>
  <si>
    <t>422626196702027632</t>
  </si>
  <si>
    <t>屈光强</t>
  </si>
  <si>
    <t>420325198005107615</t>
  </si>
  <si>
    <t>屈光荣</t>
  </si>
  <si>
    <t>420325195910097636</t>
  </si>
  <si>
    <t>屈光生</t>
  </si>
  <si>
    <t>420325196801137613</t>
  </si>
  <si>
    <t>汪功华</t>
  </si>
  <si>
    <t>422626196910287615</t>
  </si>
  <si>
    <t>汪功富</t>
  </si>
  <si>
    <t>422626197209017654</t>
  </si>
  <si>
    <t>屈光兵</t>
  </si>
  <si>
    <t>420325197907127637</t>
  </si>
  <si>
    <t>屈光成</t>
  </si>
  <si>
    <t>422626194205297616</t>
  </si>
  <si>
    <t>汪善民</t>
  </si>
  <si>
    <t>42262619560413769X</t>
  </si>
  <si>
    <t>汪应禄</t>
  </si>
  <si>
    <t>422626195011227630</t>
  </si>
  <si>
    <t>张远斌</t>
  </si>
  <si>
    <t>屈家坡</t>
  </si>
  <si>
    <t>谢能辉</t>
  </si>
  <si>
    <t>422626197501157611</t>
  </si>
  <si>
    <t>杨显军</t>
  </si>
  <si>
    <t>422626196709067610</t>
  </si>
  <si>
    <t>蒋开保</t>
  </si>
  <si>
    <t>422626194309027610</t>
  </si>
  <si>
    <t>杨显武</t>
  </si>
  <si>
    <t>422626197207267617</t>
  </si>
  <si>
    <t>陈同怀</t>
  </si>
  <si>
    <t>422626196312247613</t>
  </si>
  <si>
    <t>谢能先</t>
  </si>
  <si>
    <t>420325197712107695</t>
  </si>
  <si>
    <t>屈永先</t>
  </si>
  <si>
    <t>420325198302177679</t>
  </si>
  <si>
    <t>屈光军</t>
  </si>
  <si>
    <t>422626196312037632</t>
  </si>
  <si>
    <t>宁高品</t>
  </si>
  <si>
    <t>422626194710287611</t>
  </si>
  <si>
    <t>屈光礼</t>
  </si>
  <si>
    <t>422626195912087612</t>
  </si>
  <si>
    <t>碾盘村二组</t>
  </si>
  <si>
    <t>夏支豹</t>
  </si>
  <si>
    <t>420325198402057631</t>
  </si>
  <si>
    <t>碾盘村一组</t>
  </si>
  <si>
    <t>龚士坪</t>
  </si>
  <si>
    <t>420325198110097615</t>
  </si>
  <si>
    <t>段永清</t>
  </si>
  <si>
    <t>422626195202227617</t>
  </si>
  <si>
    <t>张西武</t>
  </si>
  <si>
    <t>420325197202227318</t>
  </si>
  <si>
    <t>张西明</t>
  </si>
  <si>
    <t>422626197404307630</t>
  </si>
  <si>
    <t>碾盘村三组</t>
  </si>
  <si>
    <t>杨荣保</t>
  </si>
  <si>
    <t>420325198103107619</t>
  </si>
  <si>
    <t>龚士乾</t>
  </si>
  <si>
    <t>420325197811267678</t>
  </si>
  <si>
    <t>夏支军</t>
  </si>
  <si>
    <t>42032519860122763X</t>
  </si>
  <si>
    <t>柯善平</t>
  </si>
  <si>
    <t>42262619680918761X</t>
  </si>
  <si>
    <t>42262619540720761X</t>
  </si>
  <si>
    <t>夏世涛</t>
  </si>
  <si>
    <t>420325198910167634</t>
  </si>
  <si>
    <t>黄金</t>
  </si>
  <si>
    <t>420325198611077612</t>
  </si>
  <si>
    <t>张昌军</t>
  </si>
  <si>
    <t>42032519761116763X62</t>
  </si>
  <si>
    <t>刘兴保</t>
  </si>
  <si>
    <t>422626196606227618</t>
  </si>
  <si>
    <t>422626197201087631</t>
  </si>
  <si>
    <t>刘兴志</t>
  </si>
  <si>
    <t>420325198812197610</t>
  </si>
  <si>
    <t>胡世合</t>
  </si>
  <si>
    <t>422626195701267613</t>
  </si>
  <si>
    <t>胡世龙</t>
  </si>
  <si>
    <t>422626196109237639</t>
  </si>
  <si>
    <t>胡世强</t>
  </si>
  <si>
    <t>422626197412317636</t>
  </si>
  <si>
    <t>胡立兵</t>
  </si>
  <si>
    <t>422626196603307612</t>
  </si>
  <si>
    <t>胡世财</t>
  </si>
  <si>
    <t>420325198404237652</t>
  </si>
  <si>
    <t>杜昌国</t>
  </si>
  <si>
    <t>422626197007217631</t>
  </si>
  <si>
    <t>陈正保</t>
  </si>
  <si>
    <t>422626196810237610</t>
  </si>
  <si>
    <t>胡世学</t>
  </si>
  <si>
    <t>422626196202077617</t>
  </si>
  <si>
    <t>姚坪小计</t>
  </si>
  <si>
    <t>回龙乡</t>
  </si>
  <si>
    <t>二十</t>
  </si>
  <si>
    <t>42262619650805811X</t>
  </si>
  <si>
    <t>422626195504128112</t>
  </si>
  <si>
    <t>张志勇</t>
  </si>
  <si>
    <t>422626197004248117</t>
  </si>
  <si>
    <t>张自成</t>
  </si>
  <si>
    <t>422626196903208114</t>
  </si>
  <si>
    <t>422626196605218111</t>
  </si>
  <si>
    <t>李明阳</t>
  </si>
  <si>
    <t>422626194009188113</t>
  </si>
  <si>
    <t>张宗华</t>
  </si>
  <si>
    <t>422626195702078179</t>
  </si>
  <si>
    <t>陈佳丽</t>
  </si>
  <si>
    <t>420325198405238120</t>
  </si>
  <si>
    <t>42262619740824813X</t>
  </si>
  <si>
    <t>郭传全</t>
  </si>
  <si>
    <t>422626197002048111</t>
  </si>
  <si>
    <t>冯顺兰</t>
  </si>
  <si>
    <t>422626194302178125</t>
  </si>
  <si>
    <t>曹兴田</t>
  </si>
  <si>
    <t>422626194406254217</t>
  </si>
  <si>
    <t>李世华</t>
  </si>
  <si>
    <t>42262619490309819814</t>
  </si>
  <si>
    <t>邹青保</t>
  </si>
  <si>
    <t>420325198411148113</t>
  </si>
  <si>
    <t>张旭东</t>
  </si>
  <si>
    <t>420325198001238132</t>
  </si>
  <si>
    <t>徐国兵</t>
  </si>
  <si>
    <t>422626197204118317</t>
  </si>
  <si>
    <t>陈传全</t>
  </si>
  <si>
    <t>422626195410258119</t>
  </si>
  <si>
    <t>曾兴忠</t>
  </si>
  <si>
    <t>422626196804038113</t>
  </si>
  <si>
    <t>任艳平</t>
  </si>
  <si>
    <t>422626194206148110</t>
  </si>
  <si>
    <t>红卫村</t>
  </si>
  <si>
    <t>熊志华</t>
  </si>
  <si>
    <t>422626197004288119</t>
  </si>
  <si>
    <t>陈久卫</t>
  </si>
  <si>
    <t>422626196802048115</t>
  </si>
  <si>
    <t>红星村4组</t>
  </si>
  <si>
    <t>宋昌全</t>
  </si>
  <si>
    <t>422626194507108112</t>
  </si>
  <si>
    <t>红星村2组</t>
  </si>
  <si>
    <t>宋宏桂</t>
  </si>
  <si>
    <t>422626193308028000</t>
  </si>
  <si>
    <t>十三村</t>
  </si>
  <si>
    <t>谭荣昌</t>
  </si>
  <si>
    <t>422626197103038115</t>
  </si>
  <si>
    <t>杨辉华</t>
  </si>
  <si>
    <t>422626197302098110</t>
  </si>
  <si>
    <t>黑獐</t>
  </si>
  <si>
    <t>龚元成</t>
  </si>
  <si>
    <t>422626194811151553</t>
  </si>
  <si>
    <t>422626193906184214</t>
  </si>
  <si>
    <t xml:space="preserve">红旗村 </t>
  </si>
  <si>
    <t>杨金菊</t>
  </si>
  <si>
    <t>422626196401078129</t>
  </si>
  <si>
    <t>邹虎</t>
  </si>
  <si>
    <t>420325197505308128</t>
  </si>
  <si>
    <t>黄先伦</t>
  </si>
  <si>
    <t>42262619370915813X</t>
  </si>
  <si>
    <t>杨承国</t>
  </si>
  <si>
    <t>422626195811228113</t>
  </si>
  <si>
    <t>曾学兴</t>
  </si>
  <si>
    <t>422626194208028112</t>
  </si>
  <si>
    <t>邹昌宏</t>
  </si>
  <si>
    <t>422626195209038114</t>
  </si>
  <si>
    <t>王兴功</t>
  </si>
  <si>
    <t>422626196302238115</t>
  </si>
  <si>
    <t>杨承发</t>
  </si>
  <si>
    <t>422626196206028118</t>
  </si>
  <si>
    <t>谭祥云</t>
  </si>
  <si>
    <t>42262619610903812X</t>
  </si>
  <si>
    <t>昝纪琴</t>
  </si>
  <si>
    <t>回龙小计</t>
  </si>
  <si>
    <t>五台乡</t>
  </si>
  <si>
    <t>龙潭峪村3组</t>
  </si>
  <si>
    <t>孟思明</t>
  </si>
  <si>
    <t>龙潭峪村1组</t>
  </si>
  <si>
    <t>孟广财</t>
  </si>
  <si>
    <t>孟广林</t>
  </si>
  <si>
    <t>祁正全</t>
  </si>
  <si>
    <t>42262619661209791X</t>
  </si>
  <si>
    <t>王学堂</t>
  </si>
  <si>
    <t>420325196309137910</t>
  </si>
  <si>
    <t>王仁辉</t>
  </si>
  <si>
    <t>420325197710277914</t>
  </si>
  <si>
    <t>王传辉</t>
  </si>
  <si>
    <t>420325198003037975</t>
  </si>
  <si>
    <t>张珠贤</t>
  </si>
  <si>
    <t>42032519720722791X</t>
  </si>
  <si>
    <t>龙潭峪村2组</t>
  </si>
  <si>
    <t>宋学荣</t>
  </si>
  <si>
    <t>420325195611077926</t>
  </si>
  <si>
    <t>刘吉荣</t>
  </si>
  <si>
    <t>422626196612017924</t>
  </si>
  <si>
    <t>王仁青</t>
  </si>
  <si>
    <t>金康明</t>
  </si>
  <si>
    <t>红场村一组</t>
  </si>
  <si>
    <t>王治国</t>
  </si>
  <si>
    <t>鲁金梁</t>
  </si>
  <si>
    <t>方正林</t>
  </si>
  <si>
    <t>陈传文</t>
  </si>
  <si>
    <t>红场村 二组</t>
  </si>
  <si>
    <t>陈德厚</t>
  </si>
  <si>
    <t>况成才</t>
  </si>
  <si>
    <t>陈益军</t>
  </si>
  <si>
    <t>党天荣</t>
  </si>
  <si>
    <t>张新强</t>
  </si>
  <si>
    <t>张新平</t>
  </si>
  <si>
    <t>许光荣</t>
  </si>
  <si>
    <t>许光明</t>
  </si>
  <si>
    <t>红场村 三组</t>
  </si>
  <si>
    <t>刘广清</t>
  </si>
  <si>
    <t>胡兆学</t>
  </si>
  <si>
    <t>尤仁法</t>
  </si>
  <si>
    <t>杨献合</t>
  </si>
  <si>
    <t>宋玉祖</t>
  </si>
  <si>
    <t>柳启华</t>
  </si>
  <si>
    <t>党天明</t>
  </si>
  <si>
    <t>廖河村一组</t>
  </si>
  <si>
    <t>丁里洪</t>
  </si>
  <si>
    <t>420325194905227913</t>
  </si>
  <si>
    <t>陈国丽</t>
  </si>
  <si>
    <t>420325198712207922</t>
  </si>
  <si>
    <t>廖河村二组</t>
  </si>
  <si>
    <t>杜明作</t>
  </si>
  <si>
    <t>420325196207197912</t>
  </si>
  <si>
    <t>张文礼</t>
  </si>
  <si>
    <t>420325196302207912</t>
  </si>
  <si>
    <t>杜得洪</t>
  </si>
  <si>
    <t>420325193807267917</t>
  </si>
  <si>
    <t>张自全</t>
  </si>
  <si>
    <t>420325195808237911</t>
  </si>
  <si>
    <t>郭如文</t>
  </si>
  <si>
    <t>420325194402177918</t>
  </si>
  <si>
    <t>胡存华</t>
  </si>
  <si>
    <t>420325198105037917</t>
  </si>
  <si>
    <t>郭伟</t>
  </si>
  <si>
    <t>420325197209147913</t>
  </si>
  <si>
    <t>凡径吉</t>
  </si>
  <si>
    <t>420325197301257912</t>
  </si>
  <si>
    <t>廖河村三组</t>
  </si>
  <si>
    <t>陈大贵</t>
  </si>
  <si>
    <t>420325195606017910</t>
  </si>
  <si>
    <t>苏新云</t>
  </si>
  <si>
    <t>420325196108217922</t>
  </si>
  <si>
    <t>李宗明</t>
  </si>
  <si>
    <t>42262619491123791X</t>
  </si>
  <si>
    <t>高明发</t>
  </si>
  <si>
    <t>422626195707077917</t>
  </si>
  <si>
    <t>宋世强</t>
  </si>
  <si>
    <t>420325197312047910</t>
  </si>
  <si>
    <t>王举富</t>
  </si>
  <si>
    <t>422626194808057910</t>
  </si>
  <si>
    <t>王洲兰</t>
  </si>
  <si>
    <t>422626195205117923</t>
  </si>
  <si>
    <t>彭光辉</t>
  </si>
  <si>
    <t>420325195406087914</t>
  </si>
  <si>
    <t>王举贵</t>
  </si>
  <si>
    <t>420325195806145714</t>
  </si>
  <si>
    <t>高明成</t>
  </si>
  <si>
    <t>420325195806137917</t>
  </si>
  <si>
    <t>樊行成</t>
  </si>
  <si>
    <t>420325195904187918</t>
  </si>
  <si>
    <t>郭长树</t>
  </si>
  <si>
    <t>420325194703317910</t>
  </si>
  <si>
    <t>葛林</t>
  </si>
  <si>
    <t>420325196305147919</t>
  </si>
  <si>
    <t>郭怀林</t>
  </si>
  <si>
    <t>420325195111217910</t>
  </si>
  <si>
    <t>郭如贵</t>
  </si>
  <si>
    <t>420325195811167918</t>
  </si>
  <si>
    <t>郭如财</t>
  </si>
  <si>
    <t>420325195101247913</t>
  </si>
  <si>
    <t>肖华先</t>
  </si>
  <si>
    <t>420325195207157916</t>
  </si>
  <si>
    <t>樊径良</t>
  </si>
  <si>
    <t>420325195605307916</t>
  </si>
  <si>
    <t>郭长洪</t>
  </si>
  <si>
    <t>420325197810047913</t>
  </si>
  <si>
    <t>吴顺荣</t>
  </si>
  <si>
    <t>420325194807207919</t>
  </si>
  <si>
    <t>崔善荣</t>
  </si>
  <si>
    <t>420325194411127912</t>
  </si>
  <si>
    <t>高良根</t>
  </si>
  <si>
    <t>42032519540326791X</t>
  </si>
  <si>
    <t>高良财</t>
  </si>
  <si>
    <t>420325195610267912</t>
  </si>
  <si>
    <t>高明礼</t>
  </si>
  <si>
    <t>420325194011267916</t>
  </si>
  <si>
    <t>樊超明</t>
  </si>
  <si>
    <t>420325195004027919</t>
  </si>
  <si>
    <t>吕吉坤</t>
  </si>
  <si>
    <t>420325196307177919</t>
  </si>
  <si>
    <t>宋金祖</t>
  </si>
  <si>
    <t>420325194911257916</t>
  </si>
  <si>
    <t>王仁国</t>
  </si>
  <si>
    <t>420325197404147919</t>
  </si>
  <si>
    <t>金牛寺村一组</t>
  </si>
  <si>
    <t>张启炳</t>
  </si>
  <si>
    <t>金牛寺村二组</t>
  </si>
  <si>
    <t>杨孝连</t>
  </si>
  <si>
    <t>420325195309257926</t>
  </si>
  <si>
    <t>金牛寺村三组</t>
  </si>
  <si>
    <t>未大洪</t>
  </si>
  <si>
    <t>42262619510114791744</t>
  </si>
  <si>
    <t>贺茂寿</t>
  </si>
  <si>
    <t>420325195005087913</t>
  </si>
  <si>
    <t>高德付</t>
  </si>
  <si>
    <t>42262619560424791X</t>
  </si>
  <si>
    <t>孟才发</t>
  </si>
  <si>
    <t>孟才丙</t>
  </si>
  <si>
    <t>祁新山</t>
  </si>
  <si>
    <t>代明堂</t>
  </si>
  <si>
    <t>张华柱</t>
  </si>
  <si>
    <t>常大文</t>
  </si>
  <si>
    <t>张学贤</t>
  </si>
  <si>
    <t>422626196507117915</t>
  </si>
  <si>
    <t>五台小计</t>
  </si>
  <si>
    <t>房县易地扶贫搬迁对象动态调整（调出）花名册</t>
  </si>
  <si>
    <t>调出</t>
  </si>
  <si>
    <t>桃园社区2组</t>
  </si>
  <si>
    <t>方明</t>
  </si>
  <si>
    <t>桃园社区6组</t>
  </si>
  <si>
    <t>邹正龙</t>
  </si>
  <si>
    <t>桃园社区9组</t>
  </si>
  <si>
    <t>晏秀群</t>
  </si>
  <si>
    <t>方猛</t>
  </si>
  <si>
    <t>桃园社区8组</t>
  </si>
  <si>
    <t>杨永国</t>
  </si>
  <si>
    <t>邵定龙</t>
  </si>
  <si>
    <t>小西关社区1组</t>
  </si>
  <si>
    <t>舒生凤</t>
  </si>
  <si>
    <t>422626193704090025</t>
  </si>
  <si>
    <t>莲花村</t>
  </si>
  <si>
    <t>许明芝</t>
  </si>
  <si>
    <t>42262619580417002142</t>
  </si>
  <si>
    <t>杨启明</t>
  </si>
  <si>
    <t>42262619510208003X</t>
  </si>
  <si>
    <t>李士红</t>
  </si>
  <si>
    <t>422626193911130018</t>
  </si>
  <si>
    <t>王登成</t>
  </si>
  <si>
    <t>422626195506140043</t>
  </si>
  <si>
    <t>温泉村一组</t>
  </si>
  <si>
    <t>舒正新</t>
  </si>
  <si>
    <t>420325195601170019</t>
  </si>
  <si>
    <t>李春玲</t>
  </si>
  <si>
    <t>420325199801120055</t>
  </si>
  <si>
    <t>温泉村三组</t>
  </si>
  <si>
    <t>江文翠</t>
  </si>
  <si>
    <t>420325198508060020</t>
  </si>
  <si>
    <t>晓阳村三组</t>
  </si>
  <si>
    <t>田秀成</t>
  </si>
  <si>
    <t>422626197210263916</t>
  </si>
  <si>
    <t>王邦清</t>
  </si>
  <si>
    <t>422626197008200014</t>
  </si>
  <si>
    <t>晓阳村十组</t>
  </si>
  <si>
    <t>李久发</t>
  </si>
  <si>
    <t>420325194404020017</t>
  </si>
  <si>
    <t>王行雨</t>
  </si>
  <si>
    <t>422626194107200016</t>
  </si>
  <si>
    <t>炳公村九组</t>
  </si>
  <si>
    <t>许承春</t>
  </si>
  <si>
    <t>汪春凤</t>
  </si>
  <si>
    <t>炳公村三组</t>
  </si>
  <si>
    <t>徐道杰</t>
  </si>
  <si>
    <t>炳公村一组</t>
  </si>
  <si>
    <t>戢太珍</t>
  </si>
  <si>
    <t>王登贵</t>
  </si>
  <si>
    <t>炳公村四组</t>
  </si>
  <si>
    <t>丁泽全</t>
  </si>
  <si>
    <t>吕相兵</t>
  </si>
  <si>
    <t>422626196701064714</t>
  </si>
  <si>
    <t>徐明生</t>
  </si>
  <si>
    <t>420325196912010033</t>
  </si>
  <si>
    <t>炳公村五组</t>
  </si>
  <si>
    <t>刘顶奎</t>
  </si>
  <si>
    <t>422626196909300093</t>
  </si>
  <si>
    <t>余萍</t>
  </si>
  <si>
    <t>42032519791201002X</t>
  </si>
  <si>
    <t>炳公村十组</t>
  </si>
  <si>
    <t>杨久权</t>
  </si>
  <si>
    <t>420325196101190034</t>
  </si>
  <si>
    <t>冯家国</t>
  </si>
  <si>
    <t>420325194612240014</t>
  </si>
  <si>
    <t>花宝社区11组</t>
  </si>
  <si>
    <t>吴建龙</t>
  </si>
  <si>
    <t>422626196405140057</t>
  </si>
  <si>
    <t>花宝社区4组</t>
  </si>
  <si>
    <t>丁文红</t>
  </si>
  <si>
    <t>花宝社区5组</t>
  </si>
  <si>
    <t>刘明群</t>
  </si>
  <si>
    <t>刘文忠</t>
  </si>
  <si>
    <t>422626194804070018</t>
  </si>
  <si>
    <t>刘明堂</t>
  </si>
  <si>
    <t>420325193209110012</t>
  </si>
  <si>
    <t>花宝社区7组</t>
  </si>
  <si>
    <t>花宝社区9组</t>
  </si>
  <si>
    <t>姚从勤</t>
  </si>
  <si>
    <t>420325194702090013</t>
  </si>
  <si>
    <t>郭长成</t>
  </si>
  <si>
    <t>刘光美</t>
  </si>
  <si>
    <t>422626193612010024</t>
  </si>
  <si>
    <t>花宝社区8组</t>
  </si>
  <si>
    <t>张国玉</t>
  </si>
  <si>
    <t>花宝社区林厂</t>
  </si>
  <si>
    <t>戢逢成</t>
  </si>
  <si>
    <t>花宝林厂</t>
  </si>
  <si>
    <t>李德贵</t>
  </si>
  <si>
    <t>联观</t>
  </si>
  <si>
    <t>刘风琴</t>
  </si>
  <si>
    <t>422626195911090027</t>
  </si>
  <si>
    <t>陆登平</t>
  </si>
  <si>
    <t>420325197801020110</t>
  </si>
  <si>
    <t>八里一组</t>
  </si>
  <si>
    <t>蔡兴成</t>
  </si>
  <si>
    <t>422626195805220035</t>
  </si>
  <si>
    <t>八里四组</t>
  </si>
  <si>
    <t>陈明华</t>
  </si>
  <si>
    <t>42262619650101005X</t>
  </si>
  <si>
    <t>罗明湖</t>
  </si>
  <si>
    <t>42032519611109007X</t>
  </si>
  <si>
    <t>姜立华</t>
  </si>
  <si>
    <t>420325194304040037</t>
  </si>
  <si>
    <t>罗明远</t>
  </si>
  <si>
    <t>422626194607260031</t>
  </si>
  <si>
    <t>王厚银</t>
  </si>
  <si>
    <t>422626196607250019</t>
  </si>
  <si>
    <t>卢启满</t>
  </si>
  <si>
    <t>420325198812180050</t>
  </si>
  <si>
    <t>八里三组</t>
  </si>
  <si>
    <t>李忠国</t>
  </si>
  <si>
    <t>422626195302040075</t>
  </si>
  <si>
    <t>冯兴发</t>
  </si>
  <si>
    <t>42032519680604001X</t>
  </si>
  <si>
    <t>冯兴林</t>
  </si>
  <si>
    <t>422626196611030035</t>
  </si>
  <si>
    <t>422626196212080035</t>
  </si>
  <si>
    <t>八里十组</t>
  </si>
  <si>
    <t>宋金秀</t>
  </si>
  <si>
    <t>谢灯全</t>
  </si>
  <si>
    <t>420325197309060014</t>
  </si>
  <si>
    <t>秦全红</t>
  </si>
  <si>
    <t>422626197203020043</t>
  </si>
  <si>
    <t>郭道财</t>
  </si>
  <si>
    <t>42262619470616001X</t>
  </si>
  <si>
    <t>杜光仃</t>
  </si>
  <si>
    <t>42262619361209001X</t>
  </si>
  <si>
    <t>八里八组</t>
  </si>
  <si>
    <t>王贵林</t>
  </si>
  <si>
    <t>422626196308120054</t>
  </si>
  <si>
    <t>雷传云</t>
  </si>
  <si>
    <t>422626194711300128</t>
  </si>
  <si>
    <t>秦立金</t>
  </si>
  <si>
    <t>422626195712120078</t>
  </si>
  <si>
    <t>八里七组</t>
  </si>
  <si>
    <t>王树友</t>
  </si>
  <si>
    <t>422626196007070057</t>
  </si>
  <si>
    <t>张贵英</t>
  </si>
  <si>
    <t>42262619431028004X</t>
  </si>
  <si>
    <t>王术林</t>
  </si>
  <si>
    <t>422626195001290097</t>
  </si>
  <si>
    <t>秦先娥</t>
  </si>
  <si>
    <t>420325198004270023</t>
  </si>
  <si>
    <t>塘溪村7组</t>
  </si>
  <si>
    <t>420325197002230613</t>
  </si>
  <si>
    <t>六谷村1组</t>
  </si>
  <si>
    <t>陈学华</t>
  </si>
  <si>
    <t>420325193306100617</t>
  </si>
  <si>
    <t>六谷村4组</t>
  </si>
  <si>
    <t>付金柱</t>
  </si>
  <si>
    <t>42262619691228061X</t>
  </si>
  <si>
    <t>六谷村2组</t>
  </si>
  <si>
    <t>付增军</t>
  </si>
  <si>
    <t>42032519680501061X</t>
  </si>
  <si>
    <t>袁文英</t>
  </si>
  <si>
    <t>42262619510726062X</t>
  </si>
  <si>
    <t>古桥村1组</t>
  </si>
  <si>
    <t>付长林</t>
  </si>
  <si>
    <t>420325195911100614</t>
  </si>
  <si>
    <t>付长荣</t>
  </si>
  <si>
    <t>420325194704290633</t>
  </si>
  <si>
    <t>付 元</t>
  </si>
  <si>
    <t>420325198810240611</t>
  </si>
  <si>
    <t>古桥村6组</t>
  </si>
  <si>
    <t>422626194906130624</t>
  </si>
  <si>
    <t>古桥村7组</t>
  </si>
  <si>
    <t>雷传进</t>
  </si>
  <si>
    <t>422626194410110611</t>
  </si>
  <si>
    <t>邵定友</t>
  </si>
  <si>
    <t>420325195709210633</t>
  </si>
  <si>
    <t>张福胜</t>
  </si>
  <si>
    <t>422626194010190616</t>
  </si>
  <si>
    <t>五龙村2组</t>
  </si>
  <si>
    <t>崔连均</t>
  </si>
  <si>
    <t>422626197001090633</t>
  </si>
  <si>
    <t>五龙村5组</t>
  </si>
  <si>
    <t>郭长胜</t>
  </si>
  <si>
    <t>422626194403020618</t>
  </si>
  <si>
    <t>五龙村4组</t>
  </si>
  <si>
    <t>许 云</t>
  </si>
  <si>
    <t>422626197401160629</t>
  </si>
  <si>
    <t>谢湾村二组</t>
  </si>
  <si>
    <t>李国福</t>
  </si>
  <si>
    <t>422626194708080654</t>
  </si>
  <si>
    <t>谢湾村八组</t>
  </si>
  <si>
    <t>420325197706220616</t>
  </si>
  <si>
    <t>谢湾村三组</t>
  </si>
  <si>
    <t>况成运</t>
  </si>
  <si>
    <t>422626194908230637</t>
  </si>
  <si>
    <t>谢湾村一组</t>
  </si>
  <si>
    <t>420325198411180631</t>
  </si>
  <si>
    <t>谢湾村五组</t>
  </si>
  <si>
    <t>孙福乾</t>
  </si>
  <si>
    <t>422626193907190616</t>
  </si>
  <si>
    <t>谢湾村四组</t>
  </si>
  <si>
    <t>谢家田</t>
  </si>
  <si>
    <t>422626195110140610</t>
  </si>
  <si>
    <t>邓营村2组</t>
  </si>
  <si>
    <t>邓海基</t>
  </si>
  <si>
    <t>42262619571116065x</t>
  </si>
  <si>
    <t>雷均科</t>
  </si>
  <si>
    <t>42262619540508061944</t>
  </si>
  <si>
    <t>邓营村5组</t>
  </si>
  <si>
    <t>邹正江</t>
  </si>
  <si>
    <t>422626196104270632</t>
  </si>
  <si>
    <t>邹家院村二组</t>
  </si>
  <si>
    <t>李行六</t>
  </si>
  <si>
    <t>422626195603070630</t>
  </si>
  <si>
    <t>李建华</t>
  </si>
  <si>
    <t>42262619581106063X</t>
  </si>
  <si>
    <t>邹家院村三组</t>
  </si>
  <si>
    <t>邹正林</t>
  </si>
  <si>
    <t>422626195908030613</t>
  </si>
  <si>
    <t>陈国堂</t>
  </si>
  <si>
    <t>422626194607304217</t>
  </si>
  <si>
    <t>况学凤</t>
  </si>
  <si>
    <t>422626195110310667</t>
  </si>
  <si>
    <t>邹清六</t>
  </si>
  <si>
    <t>42262619480105061X</t>
  </si>
  <si>
    <t>邹正兴</t>
  </si>
  <si>
    <t>422626196402220617</t>
  </si>
  <si>
    <t>朱宏云</t>
  </si>
  <si>
    <t>422626195106090614</t>
  </si>
  <si>
    <t>邹清堂</t>
  </si>
  <si>
    <t>422626195610130638</t>
  </si>
  <si>
    <t>邹家院村四组</t>
  </si>
  <si>
    <t>刘宏保</t>
  </si>
  <si>
    <t>420325200010090619</t>
  </si>
  <si>
    <t>代龙梅</t>
  </si>
  <si>
    <t>42262619651203062X</t>
  </si>
  <si>
    <t>薛吉杯</t>
  </si>
  <si>
    <t>420325193907247016</t>
  </si>
  <si>
    <t>朱湾村9组</t>
  </si>
  <si>
    <t>李宏林</t>
  </si>
  <si>
    <t>422626195705250632</t>
  </si>
  <si>
    <t>朱湾村8组</t>
  </si>
  <si>
    <t>尚正友</t>
  </si>
  <si>
    <t>42262619630625069</t>
  </si>
  <si>
    <t>邓元贵</t>
  </si>
  <si>
    <t>422626194805090619</t>
  </si>
  <si>
    <t>许明科</t>
  </si>
  <si>
    <t>420325195902080615</t>
  </si>
  <si>
    <t>杨青宏</t>
  </si>
  <si>
    <t>422626194308300611</t>
  </si>
  <si>
    <t>袁达良</t>
  </si>
  <si>
    <t>422626194302036717</t>
  </si>
  <si>
    <t>朱湾村5组</t>
  </si>
  <si>
    <t>余礼柱</t>
  </si>
  <si>
    <t>422626196302240637</t>
  </si>
  <si>
    <t>磨石村二组</t>
  </si>
  <si>
    <t>刘宏先</t>
  </si>
  <si>
    <t>42262619521020065X</t>
  </si>
  <si>
    <t>磨石村四组</t>
  </si>
  <si>
    <t>未营成</t>
  </si>
  <si>
    <t>422626194306110617</t>
  </si>
  <si>
    <t>戢太发</t>
  </si>
  <si>
    <t>422626195610170613</t>
  </si>
  <si>
    <t>磨石村六组</t>
  </si>
  <si>
    <t>王学成</t>
  </si>
  <si>
    <t>422626197007240612</t>
  </si>
  <si>
    <t>黄长明</t>
  </si>
  <si>
    <t>422626195902120618</t>
  </si>
  <si>
    <t>桂坪村6组</t>
  </si>
  <si>
    <t>况学珍</t>
  </si>
  <si>
    <t>420325194708070624</t>
  </si>
  <si>
    <t>况学宏</t>
  </si>
  <si>
    <t>422626195708120622</t>
  </si>
  <si>
    <t>桂坪村4组</t>
  </si>
  <si>
    <t>尚正全</t>
  </si>
  <si>
    <t>422626196104160638</t>
  </si>
  <si>
    <t>桂坪村1组</t>
  </si>
  <si>
    <t>余修珍</t>
  </si>
  <si>
    <t>422626194106040620</t>
  </si>
  <si>
    <t>422626195507200634</t>
  </si>
  <si>
    <t>营盘4组</t>
  </si>
  <si>
    <t>卢杨军</t>
  </si>
  <si>
    <t>422626197105170013</t>
  </si>
  <si>
    <t>营盘3组</t>
  </si>
  <si>
    <t>散兴贤</t>
  </si>
  <si>
    <t>422626196509070612</t>
  </si>
  <si>
    <t>营盘6组</t>
  </si>
  <si>
    <t>散运勤</t>
  </si>
  <si>
    <t>422626197112310678</t>
  </si>
  <si>
    <t>付畈村6组</t>
  </si>
  <si>
    <t>杜世云</t>
  </si>
  <si>
    <t>422626195403130627</t>
  </si>
  <si>
    <t>付畈村3组</t>
  </si>
  <si>
    <t>王天禄</t>
  </si>
  <si>
    <t>422626196308010613</t>
  </si>
  <si>
    <t>徐正明</t>
  </si>
  <si>
    <t>422626196510200656</t>
  </si>
  <si>
    <t>付培淼</t>
  </si>
  <si>
    <t>420325200107310614</t>
  </si>
  <si>
    <t>李世奎</t>
  </si>
  <si>
    <t>422626194402200617</t>
  </si>
  <si>
    <t>徐帅</t>
  </si>
  <si>
    <t>42032519920624061x</t>
  </si>
  <si>
    <t>付畈村7组</t>
  </si>
  <si>
    <t>付忠城</t>
  </si>
  <si>
    <t>422626196903170611</t>
  </si>
  <si>
    <t>五将村1组</t>
  </si>
  <si>
    <t>李永林</t>
  </si>
  <si>
    <t>420325198111210632</t>
  </si>
  <si>
    <t>邵定荣</t>
  </si>
  <si>
    <t>422626194908140631</t>
  </si>
  <si>
    <t>五将村2组</t>
  </si>
  <si>
    <t>宋学华</t>
  </si>
  <si>
    <t>420325198007263013</t>
  </si>
  <si>
    <t>王得凤</t>
  </si>
  <si>
    <t>422626195702030685</t>
  </si>
  <si>
    <t>徐成根</t>
  </si>
  <si>
    <t>422626194204110637</t>
  </si>
  <si>
    <t>五将村3组</t>
  </si>
  <si>
    <t>徐文春</t>
  </si>
  <si>
    <t>422626197302070614</t>
  </si>
  <si>
    <t>徐文贵</t>
  </si>
  <si>
    <t>422626195703150611</t>
  </si>
  <si>
    <t>大里村9组</t>
  </si>
  <si>
    <t>李正兴</t>
  </si>
  <si>
    <t>420325197509147218</t>
  </si>
  <si>
    <t>李湾村七组</t>
  </si>
  <si>
    <t>丁广兴</t>
  </si>
  <si>
    <t>422626194303030616</t>
  </si>
  <si>
    <t>童开林</t>
  </si>
  <si>
    <t>42032519580826061X</t>
  </si>
  <si>
    <t>刘彬</t>
  </si>
  <si>
    <t>422626197310210619</t>
  </si>
  <si>
    <t>丁文凯</t>
  </si>
  <si>
    <t>422626195011160632</t>
  </si>
  <si>
    <t>冯顺合</t>
  </si>
  <si>
    <t>422626193301030634</t>
  </si>
  <si>
    <t>戈兴云</t>
  </si>
  <si>
    <t>422626195503310625</t>
  </si>
  <si>
    <t>李必珍</t>
  </si>
  <si>
    <t>422626196203070687</t>
  </si>
  <si>
    <t>党湾村4组</t>
  </si>
  <si>
    <t>党国兵</t>
  </si>
  <si>
    <t>422626195308120615</t>
  </si>
  <si>
    <t>党国庭</t>
  </si>
  <si>
    <t>422626194602240613</t>
  </si>
  <si>
    <t>党湾村3组</t>
  </si>
  <si>
    <t>龚正顺</t>
  </si>
  <si>
    <t>422626196312040639</t>
  </si>
  <si>
    <t>党湾村5组</t>
  </si>
  <si>
    <t>贺家新</t>
  </si>
  <si>
    <t>422626194109030612</t>
  </si>
  <si>
    <t>贺修保</t>
  </si>
  <si>
    <t>422626196901050616</t>
  </si>
  <si>
    <t>贺修山</t>
  </si>
  <si>
    <t>42262619620606061X</t>
  </si>
  <si>
    <t>党湾村6组</t>
  </si>
  <si>
    <t>胡正堂</t>
  </si>
  <si>
    <t>4226261949032630611</t>
  </si>
  <si>
    <t>黄顺富</t>
  </si>
  <si>
    <t>422626195304090615</t>
  </si>
  <si>
    <t>黄顺华</t>
  </si>
  <si>
    <t>42262619480201061X</t>
  </si>
  <si>
    <t>党湾村1组</t>
  </si>
  <si>
    <t>姜贵学</t>
  </si>
  <si>
    <t>422626197310074813</t>
  </si>
  <si>
    <t>李必强</t>
  </si>
  <si>
    <t>422626197101080619</t>
  </si>
  <si>
    <t>李万林</t>
  </si>
  <si>
    <t>420325198110260638</t>
  </si>
  <si>
    <t>卢强</t>
  </si>
  <si>
    <t>420325198306050691</t>
  </si>
  <si>
    <t>马栏村一组</t>
  </si>
  <si>
    <t>黄顺喜</t>
  </si>
  <si>
    <t xml:space="preserve">420325196503070633
</t>
  </si>
  <si>
    <t>马栏村四组</t>
  </si>
  <si>
    <t>陈得中</t>
  </si>
  <si>
    <t xml:space="preserve">42262619560129063x
</t>
  </si>
  <si>
    <t>马栏村七组</t>
  </si>
  <si>
    <t xml:space="preserve">422626195604090617
</t>
  </si>
  <si>
    <t>马栏村八组</t>
  </si>
  <si>
    <t>郭光宏</t>
  </si>
  <si>
    <t xml:space="preserve">422626194412140611
</t>
  </si>
  <si>
    <t>黄顺友</t>
  </si>
  <si>
    <t xml:space="preserve">422626195001200610
</t>
  </si>
  <si>
    <t>高得均</t>
  </si>
  <si>
    <t xml:space="preserve">42262619410924061x
</t>
  </si>
  <si>
    <t>郭光富</t>
  </si>
  <si>
    <t xml:space="preserve">422626194211180617
</t>
  </si>
  <si>
    <t>马栏村九组</t>
  </si>
  <si>
    <t>高明全</t>
  </si>
  <si>
    <t xml:space="preserve">422626195105220659
</t>
  </si>
  <si>
    <t>谢登炳</t>
  </si>
  <si>
    <t xml:space="preserve">422626196803090630
</t>
  </si>
  <si>
    <t>高明龙</t>
  </si>
  <si>
    <t xml:space="preserve">422626194710180638
</t>
  </si>
  <si>
    <t>郭明德</t>
  </si>
  <si>
    <t xml:space="preserve">422626195001060638
</t>
  </si>
  <si>
    <t>王家庭</t>
  </si>
  <si>
    <t xml:space="preserve">422626196602120637
</t>
  </si>
  <si>
    <t>张先军</t>
  </si>
  <si>
    <t xml:space="preserve">420325197701280652
</t>
  </si>
  <si>
    <t>孙仁成</t>
  </si>
  <si>
    <t xml:space="preserve">422626197101140618
</t>
  </si>
  <si>
    <t>黄志华</t>
  </si>
  <si>
    <t xml:space="preserve">422626196803140634
</t>
  </si>
  <si>
    <t>孙仁德</t>
  </si>
  <si>
    <t xml:space="preserve">422626195110300653
</t>
  </si>
  <si>
    <t>谭政</t>
  </si>
  <si>
    <t xml:space="preserve">422626196402080634
</t>
  </si>
  <si>
    <t>严敬兵</t>
  </si>
  <si>
    <t xml:space="preserve">422626197310110634
</t>
  </si>
  <si>
    <t>郭明华</t>
  </si>
  <si>
    <t xml:space="preserve">422626196804030613
</t>
  </si>
  <si>
    <t>马栏村十组</t>
  </si>
  <si>
    <t>桂兴正</t>
  </si>
  <si>
    <t xml:space="preserve">422626195210150613
</t>
  </si>
  <si>
    <t xml:space="preserve">422626195401240611
</t>
  </si>
  <si>
    <t>余从华</t>
  </si>
  <si>
    <t>422626195809100639</t>
  </si>
  <si>
    <t>张自杰</t>
  </si>
  <si>
    <t>422626194604300616</t>
  </si>
  <si>
    <t>马栏村五组</t>
  </si>
  <si>
    <t>张贵明</t>
  </si>
  <si>
    <t>422626195202260679</t>
  </si>
  <si>
    <t>南潭村二组</t>
  </si>
  <si>
    <t>薛汉成</t>
  </si>
  <si>
    <t>422626194403280612</t>
  </si>
  <si>
    <t>南潭村三组</t>
  </si>
  <si>
    <t>陈先云</t>
  </si>
  <si>
    <t>422626197101020624</t>
  </si>
  <si>
    <t>邓成富</t>
  </si>
  <si>
    <t>422626195106030611</t>
  </si>
  <si>
    <t>南潭村四组</t>
  </si>
  <si>
    <t>邓成香</t>
  </si>
  <si>
    <t>422626194909300625</t>
  </si>
  <si>
    <t>高光林</t>
  </si>
  <si>
    <t>422626196512040633</t>
  </si>
  <si>
    <t>南潭村五组</t>
  </si>
  <si>
    <t>李万军</t>
  </si>
  <si>
    <t>422626197007010630</t>
  </si>
  <si>
    <t>422626196304150611</t>
  </si>
  <si>
    <t>文立林</t>
  </si>
  <si>
    <t>422626196408140618</t>
  </si>
  <si>
    <t>任志成</t>
  </si>
  <si>
    <t>422626196007040616</t>
  </si>
  <si>
    <t>文立山</t>
  </si>
  <si>
    <t>422626197110090616</t>
  </si>
  <si>
    <t>文化明</t>
  </si>
  <si>
    <t>422626194602210617</t>
  </si>
  <si>
    <t>南潭村一组</t>
  </si>
  <si>
    <t>汪志堂</t>
  </si>
  <si>
    <t>422626196403010611</t>
  </si>
  <si>
    <t>王兴山</t>
  </si>
  <si>
    <t>422626194905050614</t>
  </si>
  <si>
    <t>潮汪村1组</t>
  </si>
  <si>
    <t>罗明宝</t>
  </si>
  <si>
    <t>42262619491103061X</t>
  </si>
  <si>
    <t>兴胜村2组</t>
  </si>
  <si>
    <t>罗云</t>
  </si>
  <si>
    <t>420325198004210629</t>
  </si>
  <si>
    <t>聂红武</t>
  </si>
  <si>
    <t>422626195806130613</t>
  </si>
  <si>
    <t>兴胜村1组</t>
  </si>
  <si>
    <t>聂权武</t>
  </si>
  <si>
    <t>422626194903010619</t>
  </si>
  <si>
    <t>阮旭凤</t>
  </si>
  <si>
    <t>422626195202200617</t>
  </si>
  <si>
    <t>高得安</t>
  </si>
  <si>
    <t>422626195701120611</t>
  </si>
  <si>
    <t>兴胜村4组</t>
  </si>
  <si>
    <t>422626196103310639</t>
  </si>
  <si>
    <t>李宗根</t>
  </si>
  <si>
    <t>422626196801240631</t>
  </si>
  <si>
    <t>聂宇健</t>
  </si>
  <si>
    <t>42032519741123069X</t>
  </si>
  <si>
    <t>付芝汉</t>
  </si>
  <si>
    <t>422626194004100610</t>
  </si>
  <si>
    <t>月明村</t>
  </si>
  <si>
    <t>李宏根</t>
  </si>
  <si>
    <t>42032519811106151864</t>
  </si>
  <si>
    <t>胡德厚</t>
  </si>
  <si>
    <t>42032519810717161843</t>
  </si>
  <si>
    <t>王德云</t>
  </si>
  <si>
    <t>422626195504011563</t>
  </si>
  <si>
    <t>胡元顺</t>
  </si>
  <si>
    <t>422626197605271515</t>
  </si>
  <si>
    <t>付朝俊</t>
  </si>
  <si>
    <t>42262619730618151X</t>
  </si>
  <si>
    <t>李宏兵</t>
  </si>
  <si>
    <t>422626196802281515</t>
  </si>
  <si>
    <t>喻凤芝</t>
  </si>
  <si>
    <t>422626195805011524</t>
  </si>
  <si>
    <t>胡元军</t>
  </si>
  <si>
    <t>42032519831020151X</t>
  </si>
  <si>
    <t>冯祖泉</t>
  </si>
  <si>
    <t>422626194905061532</t>
  </si>
  <si>
    <t>许明华</t>
  </si>
  <si>
    <t>422626194810041520</t>
  </si>
  <si>
    <t>胡玉娥</t>
  </si>
  <si>
    <t>42032519961128152X</t>
  </si>
  <si>
    <t>马天成</t>
  </si>
  <si>
    <t>422626196811171510</t>
  </si>
  <si>
    <t>李绍华</t>
  </si>
  <si>
    <t>422626194907301528</t>
  </si>
  <si>
    <t>付增清</t>
  </si>
  <si>
    <t>422626195304191512</t>
  </si>
  <si>
    <t>王凤英</t>
  </si>
  <si>
    <t>422626195103091523</t>
  </si>
  <si>
    <t>熊有凤</t>
  </si>
  <si>
    <t>420325195305161556</t>
  </si>
  <si>
    <t>杨先春</t>
  </si>
  <si>
    <t>422626195610211526</t>
  </si>
  <si>
    <t>戢运德</t>
  </si>
  <si>
    <t>422626196503151518</t>
  </si>
  <si>
    <t>刘安珍</t>
  </si>
  <si>
    <t>422626194811011526</t>
  </si>
  <si>
    <t>胡德柱</t>
  </si>
  <si>
    <t>422626197310031514</t>
  </si>
  <si>
    <t>胡德定</t>
  </si>
  <si>
    <t>422626197808131539</t>
  </si>
  <si>
    <t>熊国光</t>
  </si>
  <si>
    <t>422626193405161516</t>
  </si>
  <si>
    <t>双柏村</t>
  </si>
  <si>
    <t>陶海波</t>
  </si>
  <si>
    <t>420325198703051575</t>
  </si>
  <si>
    <t>422626194910151524</t>
  </si>
  <si>
    <t>谭珊珊</t>
  </si>
  <si>
    <t>420325198609151529</t>
  </si>
  <si>
    <t>李宏英</t>
  </si>
  <si>
    <t>422626193301051523</t>
  </si>
  <si>
    <t>吴金华</t>
  </si>
  <si>
    <t>422626195701161528</t>
  </si>
  <si>
    <t>刘观新</t>
  </si>
  <si>
    <t>422626195301281512</t>
  </si>
  <si>
    <t>李玉华</t>
  </si>
  <si>
    <t>42262619570416152344</t>
  </si>
  <si>
    <t>张宏兵</t>
  </si>
  <si>
    <t>422626195404011515</t>
  </si>
  <si>
    <t>王兴义</t>
  </si>
  <si>
    <t>42262619431212151X43</t>
  </si>
  <si>
    <t>杨辉</t>
  </si>
  <si>
    <t>420325198005081515</t>
  </si>
  <si>
    <t>向昌新</t>
  </si>
  <si>
    <t>42262619540801115X</t>
  </si>
  <si>
    <t>孟绍章</t>
  </si>
  <si>
    <t>42262619501009151612</t>
  </si>
  <si>
    <t>杨泽勇</t>
  </si>
  <si>
    <t>422626195507241532</t>
  </si>
  <si>
    <t>孙成宏</t>
  </si>
  <si>
    <t>42262619690114151844</t>
  </si>
  <si>
    <t>宋廷梅</t>
  </si>
  <si>
    <t>422626195512101542</t>
  </si>
  <si>
    <t>刘万海</t>
  </si>
  <si>
    <t>422626195312221515</t>
  </si>
  <si>
    <t>邓定平</t>
  </si>
  <si>
    <t>422626196401141511</t>
  </si>
  <si>
    <t>邓新建</t>
  </si>
  <si>
    <t>422626196611171532</t>
  </si>
  <si>
    <t>杨厚喜</t>
  </si>
  <si>
    <t>420325196301301536</t>
  </si>
  <si>
    <t>422626195608251529</t>
  </si>
  <si>
    <t>王兰芬</t>
  </si>
  <si>
    <t>422626194403211529</t>
  </si>
  <si>
    <t>吴永成</t>
  </si>
  <si>
    <t>422626195804041537</t>
  </si>
  <si>
    <t>张崇铎</t>
  </si>
  <si>
    <t>422626194112191513</t>
  </si>
  <si>
    <t>吴永贵</t>
  </si>
  <si>
    <t>422626195305301517</t>
  </si>
  <si>
    <t>邓自立</t>
  </si>
  <si>
    <t>42032519530502151043</t>
  </si>
  <si>
    <t>高燕丽</t>
  </si>
  <si>
    <t>422626195906021529</t>
  </si>
  <si>
    <t>刘观辉</t>
  </si>
  <si>
    <t>420325194611261577</t>
  </si>
  <si>
    <t>李代虎</t>
  </si>
  <si>
    <t>422626195411141510</t>
  </si>
  <si>
    <t>徐元文</t>
  </si>
  <si>
    <t>42262619410120151X33</t>
  </si>
  <si>
    <t>罗国华</t>
  </si>
  <si>
    <t>422626194204221513</t>
  </si>
  <si>
    <t>周培华</t>
  </si>
  <si>
    <t>422626195102141525</t>
  </si>
  <si>
    <t>何香元</t>
  </si>
  <si>
    <t>42262619580309153243</t>
  </si>
  <si>
    <t>季四明</t>
  </si>
  <si>
    <t>42262619620205153X</t>
  </si>
  <si>
    <t>邓自元</t>
  </si>
  <si>
    <t>42262619520307151123</t>
  </si>
  <si>
    <t>何良红</t>
  </si>
  <si>
    <t>422626197311021537</t>
  </si>
  <si>
    <t>邓自荣</t>
  </si>
  <si>
    <t>42032519460603155811</t>
  </si>
  <si>
    <t>吴献策</t>
  </si>
  <si>
    <t>42262619730109151563</t>
  </si>
  <si>
    <t>422626195312261517</t>
  </si>
  <si>
    <t>黄纪秀</t>
  </si>
  <si>
    <t>42262619300101152X</t>
  </si>
  <si>
    <t>张道江</t>
  </si>
  <si>
    <t>422626195011241539</t>
  </si>
  <si>
    <t>徐传保</t>
  </si>
  <si>
    <t>422626194903101510</t>
  </si>
  <si>
    <t>郭乐斌</t>
  </si>
  <si>
    <t>422626196812161517</t>
  </si>
  <si>
    <t>姜元枝</t>
  </si>
  <si>
    <t>422626193705031529</t>
  </si>
  <si>
    <t>王能会</t>
  </si>
  <si>
    <t>422626193908091513</t>
  </si>
  <si>
    <t>孙权</t>
  </si>
  <si>
    <t>422624197310135214</t>
  </si>
  <si>
    <t>王明本</t>
  </si>
  <si>
    <t>422626194403281519</t>
  </si>
  <si>
    <t>刘万强</t>
  </si>
  <si>
    <t>422626195701271516</t>
  </si>
  <si>
    <t>张崇羽</t>
  </si>
  <si>
    <t>422626193704091511</t>
  </si>
  <si>
    <t>张益军</t>
  </si>
  <si>
    <t>422626196404151512</t>
  </si>
  <si>
    <t>王长国</t>
  </si>
  <si>
    <t>42262619600521151422</t>
  </si>
  <si>
    <t>汤贵兴</t>
  </si>
  <si>
    <t>422626194410061514</t>
  </si>
  <si>
    <t>刘万林</t>
  </si>
  <si>
    <t>422626195104061510</t>
  </si>
  <si>
    <t>孙勇</t>
  </si>
  <si>
    <t>420325198102151511</t>
  </si>
  <si>
    <t>郭乐庆</t>
  </si>
  <si>
    <t>422626195805301513</t>
  </si>
  <si>
    <t>陈志英</t>
  </si>
  <si>
    <t>422626195105201546</t>
  </si>
  <si>
    <t>余荣章</t>
  </si>
  <si>
    <t>42262619490818153X11</t>
  </si>
  <si>
    <t>李友全</t>
  </si>
  <si>
    <t>422626194611291519</t>
  </si>
  <si>
    <t>张礼新</t>
  </si>
  <si>
    <t>422626195110291515</t>
  </si>
  <si>
    <t>程学琴</t>
  </si>
  <si>
    <t>42262619690516232412</t>
  </si>
  <si>
    <t>罗国光</t>
  </si>
  <si>
    <t>42262619350404151X</t>
  </si>
  <si>
    <t>张义华</t>
  </si>
  <si>
    <t>422626192809241518</t>
  </si>
  <si>
    <t>徐传兵</t>
  </si>
  <si>
    <t>422626196808203614</t>
  </si>
  <si>
    <t>徐传林</t>
  </si>
  <si>
    <t>422626196310201515</t>
  </si>
  <si>
    <t>42262619740615261X</t>
  </si>
  <si>
    <t>何立新</t>
  </si>
  <si>
    <t>422626196607211511</t>
  </si>
  <si>
    <t>何立军</t>
  </si>
  <si>
    <t>42262619681108151562</t>
  </si>
  <si>
    <t>杜德东</t>
  </si>
  <si>
    <t>42262619591203154754</t>
  </si>
  <si>
    <t>赵宏祥</t>
  </si>
  <si>
    <t>422626194301121530</t>
  </si>
  <si>
    <t>景宜</t>
  </si>
  <si>
    <t>420325199503031515</t>
  </si>
  <si>
    <t>李菊芬</t>
  </si>
  <si>
    <t>422626194702271521</t>
  </si>
  <si>
    <t>昝桂芝</t>
  </si>
  <si>
    <t>422626195101301523</t>
  </si>
  <si>
    <t>蔡灵贵</t>
  </si>
  <si>
    <t>422626194905071511</t>
  </si>
  <si>
    <t>舒贵莲</t>
  </si>
  <si>
    <t>422626195401211546</t>
  </si>
  <si>
    <t>422626196211251541</t>
  </si>
  <si>
    <t>李国清</t>
  </si>
  <si>
    <t>422626195210261516</t>
  </si>
  <si>
    <t>李宏兰</t>
  </si>
  <si>
    <t>422626195002061528</t>
  </si>
  <si>
    <t>刘士兴</t>
  </si>
  <si>
    <t>422626195206161512</t>
  </si>
  <si>
    <t>胡光文</t>
  </si>
  <si>
    <t>422626194303031512</t>
  </si>
  <si>
    <t>杜世汉</t>
  </si>
  <si>
    <t>422626194911291617</t>
  </si>
  <si>
    <t>胡培杨</t>
  </si>
  <si>
    <t>422626195602261515</t>
  </si>
  <si>
    <t>汪保芬</t>
  </si>
  <si>
    <t>422626196202251523</t>
  </si>
  <si>
    <t>余保章</t>
  </si>
  <si>
    <t>422626196603251516</t>
  </si>
  <si>
    <t>张崇良</t>
  </si>
  <si>
    <t>42262619480316151644</t>
  </si>
  <si>
    <t>中村村</t>
  </si>
  <si>
    <t>谭华军</t>
  </si>
  <si>
    <t>422626196711011536</t>
  </si>
  <si>
    <t>何继生</t>
  </si>
  <si>
    <t>422626196403271512</t>
  </si>
  <si>
    <t>宋学会</t>
  </si>
  <si>
    <t>422626197401051537</t>
  </si>
  <si>
    <t>舒中学</t>
  </si>
  <si>
    <t>422626196811031534</t>
  </si>
  <si>
    <t>谭启武</t>
  </si>
  <si>
    <t>422626195110281552</t>
  </si>
  <si>
    <t>陈绍荣</t>
  </si>
  <si>
    <t>422626196107111514</t>
  </si>
  <si>
    <t>陈家全</t>
  </si>
  <si>
    <t>422626196105271514</t>
  </si>
  <si>
    <t>陈春风</t>
  </si>
  <si>
    <t>422626196502191534</t>
  </si>
  <si>
    <t>李兴运</t>
  </si>
  <si>
    <t>422626197605061518</t>
  </si>
  <si>
    <t>程传根</t>
  </si>
  <si>
    <t>422626195605261510</t>
  </si>
  <si>
    <t>何明翠</t>
  </si>
  <si>
    <t>422626194601231539</t>
  </si>
  <si>
    <t>程学圣</t>
  </si>
  <si>
    <t>422626193710161539</t>
  </si>
  <si>
    <t>陈祥风</t>
  </si>
  <si>
    <t>422626195701191516</t>
  </si>
  <si>
    <t>熊大洪</t>
  </si>
  <si>
    <t>420325198412091518</t>
  </si>
  <si>
    <t>尤自成</t>
  </si>
  <si>
    <t>422626195504151515</t>
  </si>
  <si>
    <t>徐运常</t>
  </si>
  <si>
    <t>422626194106031513</t>
  </si>
  <si>
    <t>曾启林</t>
  </si>
  <si>
    <t>422626196012061518</t>
  </si>
  <si>
    <t>程军超</t>
  </si>
  <si>
    <t>42262619620902151X</t>
  </si>
  <si>
    <t>陈守青</t>
  </si>
  <si>
    <t>422626195205071515</t>
  </si>
  <si>
    <t>陈家宏</t>
  </si>
  <si>
    <t>422626195503311513</t>
  </si>
  <si>
    <t>宋宏庆</t>
  </si>
  <si>
    <t>孙开兰</t>
  </si>
  <si>
    <t>422626193802151522</t>
  </si>
  <si>
    <t>陈自力</t>
  </si>
  <si>
    <t>42262619581229151X</t>
  </si>
  <si>
    <t>程道义</t>
  </si>
  <si>
    <t>42262619690612151611</t>
  </si>
  <si>
    <t>谭启生</t>
  </si>
  <si>
    <t>422626195602081514</t>
  </si>
  <si>
    <t>上茅坪村</t>
  </si>
  <si>
    <t>蔡秀文</t>
  </si>
  <si>
    <t>上茅坪1组</t>
  </si>
  <si>
    <t>蔡秀全</t>
  </si>
  <si>
    <t>422626196312261511</t>
  </si>
  <si>
    <t>上茅坪5组</t>
  </si>
  <si>
    <t>邓士福</t>
  </si>
  <si>
    <t>42262619450619151643</t>
  </si>
  <si>
    <t>上茅坪9组</t>
  </si>
  <si>
    <t>邓士仁</t>
  </si>
  <si>
    <t>422626194212281516</t>
  </si>
  <si>
    <t>张兴全</t>
  </si>
  <si>
    <t>422626196001031516</t>
  </si>
  <si>
    <t>上茅坪10组</t>
  </si>
  <si>
    <t>朱敏</t>
  </si>
  <si>
    <t>422626197005021512</t>
  </si>
  <si>
    <t>上茅坪13组</t>
  </si>
  <si>
    <t>任世林</t>
  </si>
  <si>
    <t>420325198012041511</t>
  </si>
  <si>
    <t>何良桂</t>
  </si>
  <si>
    <t>422626195308181522</t>
  </si>
  <si>
    <t>张兴才</t>
  </si>
  <si>
    <t>422626194910161511</t>
  </si>
  <si>
    <t>张荣金</t>
  </si>
  <si>
    <t>422626195207311519</t>
  </si>
  <si>
    <t>上茅坪村3组</t>
  </si>
  <si>
    <t>邓自友</t>
  </si>
  <si>
    <t>422626193307281514</t>
  </si>
  <si>
    <t>上茅坪村7组</t>
  </si>
  <si>
    <t>邓尚林</t>
  </si>
  <si>
    <t>422626196605211518</t>
  </si>
  <si>
    <t>邓根生</t>
  </si>
  <si>
    <t>422626196203241511</t>
  </si>
  <si>
    <t>上茅坪村13组</t>
  </si>
  <si>
    <t>丁永兰</t>
  </si>
  <si>
    <t>422626195305281000</t>
  </si>
  <si>
    <t>上茅坪村10组</t>
  </si>
  <si>
    <t>邓乐明</t>
  </si>
  <si>
    <t>422626193504161511</t>
  </si>
  <si>
    <t>上茅坪村6组</t>
  </si>
  <si>
    <t>袁达成</t>
  </si>
  <si>
    <t>422626195403271518</t>
  </si>
  <si>
    <t>孙衍发</t>
  </si>
  <si>
    <t>422626195501131519</t>
  </si>
  <si>
    <t>任冬生</t>
  </si>
  <si>
    <t>422626197001261519</t>
  </si>
  <si>
    <t>任金中</t>
  </si>
  <si>
    <t>422626195601091518</t>
  </si>
  <si>
    <t>邓乐银</t>
  </si>
  <si>
    <t>422626195508231512</t>
  </si>
  <si>
    <t>郭兴铁</t>
  </si>
  <si>
    <t>422626197401071554</t>
  </si>
  <si>
    <t>任世友</t>
  </si>
  <si>
    <t>42262619560102151X44</t>
  </si>
  <si>
    <t>任旭中</t>
  </si>
  <si>
    <t>422626196601151511</t>
  </si>
  <si>
    <t>赵文秀</t>
  </si>
  <si>
    <t>422626194406231525</t>
  </si>
  <si>
    <t>郭兴龙</t>
  </si>
  <si>
    <t>422626196912051577</t>
  </si>
  <si>
    <t>422626194802151519</t>
  </si>
  <si>
    <t>任世波</t>
  </si>
  <si>
    <t>422626197206111514</t>
  </si>
  <si>
    <t>郭乐平</t>
  </si>
  <si>
    <t>422626196202141519</t>
  </si>
  <si>
    <t>任全涛</t>
  </si>
  <si>
    <t>422626196910231515</t>
  </si>
  <si>
    <t>任志伟</t>
  </si>
  <si>
    <t>422626195010172631</t>
  </si>
  <si>
    <t>任斌</t>
  </si>
  <si>
    <t>422626197605201517</t>
  </si>
  <si>
    <t>42262619621112151X</t>
  </si>
  <si>
    <t>任拥辉</t>
  </si>
  <si>
    <t>420325197812021530</t>
  </si>
  <si>
    <t>宿洪明</t>
  </si>
  <si>
    <t>420325197906291515</t>
  </si>
  <si>
    <t>任世会</t>
  </si>
  <si>
    <t>422626196809081524</t>
  </si>
  <si>
    <t>任国瑶</t>
  </si>
  <si>
    <t>422626196004241519</t>
  </si>
  <si>
    <t>任静明</t>
  </si>
  <si>
    <t>422626197608021538</t>
  </si>
  <si>
    <t>422626196205281517</t>
  </si>
  <si>
    <t>任传佩</t>
  </si>
  <si>
    <t>422626196111081514</t>
  </si>
  <si>
    <t>许超</t>
  </si>
  <si>
    <t>420325198009131516</t>
  </si>
  <si>
    <t>任志双</t>
  </si>
  <si>
    <t>422626196202251515</t>
  </si>
  <si>
    <t>任东波</t>
  </si>
  <si>
    <t>422626197701021516</t>
  </si>
  <si>
    <t>宋艳琼</t>
  </si>
  <si>
    <t>420325198402291129</t>
  </si>
  <si>
    <t>何家村6组</t>
  </si>
  <si>
    <t>高运刚</t>
  </si>
  <si>
    <t>420325195111281517</t>
  </si>
  <si>
    <t>刘金涛</t>
  </si>
  <si>
    <t>422626195104081511</t>
  </si>
  <si>
    <t>何家村13组</t>
  </si>
  <si>
    <t>许士燚</t>
  </si>
  <si>
    <t>420325201209091517</t>
  </si>
  <si>
    <t>何家村7组</t>
  </si>
  <si>
    <t>杨艳华</t>
  </si>
  <si>
    <t>42032519840522160131</t>
  </si>
  <si>
    <t>邓文珍</t>
  </si>
  <si>
    <t>420325197111290623</t>
  </si>
  <si>
    <t>何家村17组</t>
  </si>
  <si>
    <t>张承兴</t>
  </si>
  <si>
    <t>422626194811171511</t>
  </si>
  <si>
    <t>何家村8组</t>
  </si>
  <si>
    <t>王琴</t>
  </si>
  <si>
    <t>42032519860616704X43</t>
  </si>
  <si>
    <t>何家村9组</t>
  </si>
  <si>
    <t>何吉明</t>
  </si>
  <si>
    <t>422626196903191551</t>
  </si>
  <si>
    <t>张菊兰</t>
  </si>
  <si>
    <t>422626195610131526</t>
  </si>
  <si>
    <t>龚秀云</t>
  </si>
  <si>
    <t>422626195403261547</t>
  </si>
  <si>
    <t>袁贵</t>
  </si>
  <si>
    <t>杨守枝</t>
  </si>
  <si>
    <t>422626193808191525</t>
  </si>
  <si>
    <t>马忠云</t>
  </si>
  <si>
    <t>42262619441206152642</t>
  </si>
  <si>
    <t>杨祖保</t>
  </si>
  <si>
    <t>42262619480909151243</t>
  </si>
  <si>
    <t>肖广福</t>
  </si>
  <si>
    <t>422626194904231552</t>
  </si>
  <si>
    <t>胡蓬</t>
  </si>
  <si>
    <t>422626194609081539</t>
  </si>
  <si>
    <t>吴兴成</t>
  </si>
  <si>
    <t>422626195711051517</t>
  </si>
  <si>
    <t>杨祖兵</t>
  </si>
  <si>
    <t>422626196305201537</t>
  </si>
  <si>
    <t>袁达学</t>
  </si>
  <si>
    <t>422626196410161530</t>
  </si>
  <si>
    <t>袁平</t>
  </si>
  <si>
    <t>422626197310061510</t>
  </si>
  <si>
    <t>袁建</t>
  </si>
  <si>
    <t>422626196703221517</t>
  </si>
  <si>
    <t>袁文华</t>
  </si>
  <si>
    <t>420325197910171575</t>
  </si>
  <si>
    <t>谭伟</t>
  </si>
  <si>
    <t>422626196803061514</t>
  </si>
  <si>
    <t>袁达定</t>
  </si>
  <si>
    <t>422626195006221517</t>
  </si>
  <si>
    <t>向荣龙</t>
  </si>
  <si>
    <t>422626196203201552</t>
  </si>
  <si>
    <t>袁秀芝</t>
  </si>
  <si>
    <t>422626193909141527</t>
  </si>
  <si>
    <t>袁正超</t>
  </si>
  <si>
    <t>42262619400408151X</t>
  </si>
  <si>
    <t>袁正茂</t>
  </si>
  <si>
    <t>42262619341227151011</t>
  </si>
  <si>
    <t>彭方英</t>
  </si>
  <si>
    <t>42262619460118156X</t>
  </si>
  <si>
    <t>杨青云</t>
  </si>
  <si>
    <t>422626194801281522</t>
  </si>
  <si>
    <t>杨祖福</t>
  </si>
  <si>
    <t>422626195502061532</t>
  </si>
  <si>
    <t>刘承元</t>
  </si>
  <si>
    <t>422626195405101512</t>
  </si>
  <si>
    <t>何会元</t>
  </si>
  <si>
    <t>422626196903131532</t>
  </si>
  <si>
    <t>袁江</t>
  </si>
  <si>
    <t>420325199104291555</t>
  </si>
  <si>
    <t>何建斌</t>
  </si>
  <si>
    <t>422626196403301531</t>
  </si>
  <si>
    <t>422626193506211527</t>
  </si>
  <si>
    <t>施士金</t>
  </si>
  <si>
    <t>422626195807121516</t>
  </si>
  <si>
    <t>张学良</t>
  </si>
  <si>
    <t>422626195104021519</t>
  </si>
  <si>
    <t>付远建</t>
  </si>
  <si>
    <t>420325198105271519</t>
  </si>
  <si>
    <t>422626197310121579</t>
  </si>
  <si>
    <t>施士林</t>
  </si>
  <si>
    <t>420325197309301519</t>
  </si>
  <si>
    <t>姜涛</t>
  </si>
  <si>
    <t>420325197903031515</t>
  </si>
  <si>
    <t>施士安</t>
  </si>
  <si>
    <t>422626196403061531</t>
  </si>
  <si>
    <t>施士保</t>
  </si>
  <si>
    <t>42262619571220153X</t>
  </si>
  <si>
    <t>施吉宏</t>
  </si>
  <si>
    <t>420325197608251531</t>
  </si>
  <si>
    <t>袁学渊</t>
  </si>
  <si>
    <t>422626194306041513</t>
  </si>
  <si>
    <t>王明成</t>
  </si>
  <si>
    <t>422626196409201558</t>
  </si>
  <si>
    <t>施良田</t>
  </si>
  <si>
    <t>42262619371122153X</t>
  </si>
  <si>
    <t>郭远平</t>
  </si>
  <si>
    <t>422626197004061598</t>
  </si>
  <si>
    <t>周伟</t>
  </si>
  <si>
    <t>42032519861122159X</t>
  </si>
  <si>
    <t>龚兴华</t>
  </si>
  <si>
    <t>422626197005181559</t>
  </si>
  <si>
    <t>郭德平</t>
  </si>
  <si>
    <t>422626197003211558</t>
  </si>
  <si>
    <t>郭德群</t>
  </si>
  <si>
    <t>422626196411191539</t>
  </si>
  <si>
    <t>李必香</t>
  </si>
  <si>
    <t>422626197003170063</t>
  </si>
  <si>
    <t>施吉来</t>
  </si>
  <si>
    <t>422626197111021532</t>
  </si>
  <si>
    <t>422626197712051534</t>
  </si>
  <si>
    <t>杨青</t>
  </si>
  <si>
    <t>422626196204271552</t>
  </si>
  <si>
    <t>钱士清</t>
  </si>
  <si>
    <t>422626196709291516</t>
  </si>
  <si>
    <t>施士凯</t>
  </si>
  <si>
    <t>422626196304031513</t>
  </si>
  <si>
    <t>张军</t>
  </si>
  <si>
    <t>42262619681123151X</t>
  </si>
  <si>
    <t>施良德</t>
  </si>
  <si>
    <t>42262619510519151X</t>
  </si>
  <si>
    <t>林运平</t>
  </si>
  <si>
    <t>422626197009111590</t>
  </si>
  <si>
    <t>施士贵</t>
  </si>
  <si>
    <t>422626196806141536</t>
  </si>
  <si>
    <t>施吉林</t>
  </si>
  <si>
    <t>422626196505071511</t>
  </si>
  <si>
    <t>郝天贵</t>
  </si>
  <si>
    <t>422626195403231559</t>
  </si>
  <si>
    <t>王天平</t>
  </si>
  <si>
    <t>422626196608101517</t>
  </si>
  <si>
    <t>袁猛</t>
  </si>
  <si>
    <t>420325198110201531</t>
  </si>
  <si>
    <t>周光胜</t>
  </si>
  <si>
    <t>422626194508191536</t>
  </si>
  <si>
    <t>付传忠</t>
  </si>
  <si>
    <t>422626194612101537</t>
  </si>
  <si>
    <t>施士平</t>
  </si>
  <si>
    <t>422626196503141512</t>
  </si>
  <si>
    <t>422626194601201516</t>
  </si>
  <si>
    <t>袁军</t>
  </si>
  <si>
    <t>422626195401301533</t>
  </si>
  <si>
    <t>杨兴起</t>
  </si>
  <si>
    <t>422626194305151518</t>
  </si>
  <si>
    <t>施士国</t>
  </si>
  <si>
    <t>422626195601151517</t>
  </si>
  <si>
    <t>林泽宏</t>
  </si>
  <si>
    <t>422626193706091515</t>
  </si>
  <si>
    <t>施士坤</t>
  </si>
  <si>
    <t>42262619530910153954</t>
  </si>
  <si>
    <t>钱士平</t>
  </si>
  <si>
    <t>422626196912121539</t>
  </si>
  <si>
    <t>422626196802291537</t>
  </si>
  <si>
    <t>郭兴平</t>
  </si>
  <si>
    <t>422626197112251532</t>
  </si>
  <si>
    <t>施士波</t>
  </si>
  <si>
    <t>420325197104031551</t>
  </si>
  <si>
    <t>任高英</t>
  </si>
  <si>
    <t>422626195101051528</t>
  </si>
  <si>
    <t>周华军</t>
  </si>
  <si>
    <t>422626197801261517</t>
  </si>
  <si>
    <t>杜玉兰</t>
  </si>
  <si>
    <t>42262619510704154X</t>
  </si>
  <si>
    <t>郭德军</t>
  </si>
  <si>
    <t>422626195112101519</t>
  </si>
  <si>
    <t>袁正辉</t>
  </si>
  <si>
    <t>422626196406151532</t>
  </si>
  <si>
    <t>杨义平</t>
  </si>
  <si>
    <t>422626196908031530</t>
  </si>
  <si>
    <t>肖广同</t>
  </si>
  <si>
    <t>422626196601081517</t>
  </si>
  <si>
    <t>付传明</t>
  </si>
  <si>
    <t>422626194502191519</t>
  </si>
  <si>
    <t>邹秀云</t>
  </si>
  <si>
    <t>422626195201031524</t>
  </si>
  <si>
    <t>何杰</t>
  </si>
  <si>
    <t>422626197603281517</t>
  </si>
  <si>
    <t>施吉然</t>
  </si>
  <si>
    <t>420325198103021516</t>
  </si>
  <si>
    <t>袁达刚</t>
  </si>
  <si>
    <t>422626195806191539</t>
  </si>
  <si>
    <t>422626196908261512</t>
  </si>
  <si>
    <t>袁正东</t>
  </si>
  <si>
    <t>42262619360707151913</t>
  </si>
  <si>
    <t>付家裕</t>
  </si>
  <si>
    <t>422626195611071510</t>
  </si>
  <si>
    <t>杨祖超</t>
  </si>
  <si>
    <t>422626194911201511</t>
  </si>
  <si>
    <t>陈立春</t>
  </si>
  <si>
    <t>420325198303171519</t>
  </si>
  <si>
    <t>杨吉珍</t>
  </si>
  <si>
    <t>42262619660331154X</t>
  </si>
  <si>
    <t>袁达荣</t>
  </si>
  <si>
    <t>422626195103021533</t>
  </si>
  <si>
    <t>施士娥</t>
  </si>
  <si>
    <t>422626197312181532</t>
  </si>
  <si>
    <t>郭德根</t>
  </si>
  <si>
    <t>422626196206061516</t>
  </si>
  <si>
    <t>林运科</t>
  </si>
  <si>
    <t>422626196711221517</t>
  </si>
  <si>
    <t>422626197210061513</t>
  </si>
  <si>
    <t>陈立平</t>
  </si>
  <si>
    <t>420325198104091532</t>
  </si>
  <si>
    <t>袁飞龙</t>
  </si>
  <si>
    <t>420325198403181116</t>
  </si>
  <si>
    <t>肖广东</t>
  </si>
  <si>
    <t>422626196303281510</t>
  </si>
  <si>
    <t>龚兴国</t>
  </si>
  <si>
    <t>422626195807311555</t>
  </si>
  <si>
    <t>郭玉梅</t>
  </si>
  <si>
    <t>420325198303031540</t>
  </si>
  <si>
    <t>张学礼</t>
  </si>
  <si>
    <t>422626195609071511</t>
  </si>
  <si>
    <t>陈士义</t>
  </si>
  <si>
    <t>422626194501191541</t>
  </si>
  <si>
    <t>张广权</t>
  </si>
  <si>
    <t>422626194607161519</t>
  </si>
  <si>
    <t>陈士柱</t>
  </si>
  <si>
    <t>422626195910101513</t>
  </si>
  <si>
    <t>袁正停</t>
  </si>
  <si>
    <t>422626195712191570</t>
  </si>
  <si>
    <t>袁达兵</t>
  </si>
  <si>
    <t>422626196403181533</t>
  </si>
  <si>
    <t>张地忠</t>
  </si>
  <si>
    <t>422626195703231550</t>
  </si>
  <si>
    <t>施士朋</t>
  </si>
  <si>
    <t>422626197805151518</t>
  </si>
  <si>
    <t>龚兴明</t>
  </si>
  <si>
    <t>422626196103091536</t>
  </si>
  <si>
    <t>徐永英</t>
  </si>
  <si>
    <t>422626193006211520</t>
  </si>
  <si>
    <t>施士远</t>
  </si>
  <si>
    <t>422626196412241518</t>
  </si>
  <si>
    <t>周广云</t>
  </si>
  <si>
    <t>422626195708261548</t>
  </si>
  <si>
    <t>郭德权</t>
  </si>
  <si>
    <t>422626194510061511</t>
  </si>
  <si>
    <t>杨守富</t>
  </si>
  <si>
    <t>42262619630908151X</t>
  </si>
  <si>
    <t>喻家喜</t>
  </si>
  <si>
    <t>422626196504091537</t>
  </si>
  <si>
    <t>喻家春</t>
  </si>
  <si>
    <t>42262619621120151X</t>
  </si>
  <si>
    <t>喻春芝</t>
  </si>
  <si>
    <t>422626195911071520</t>
  </si>
  <si>
    <t>吴俊昌</t>
  </si>
  <si>
    <t>422626194703091530</t>
  </si>
  <si>
    <t>何明根</t>
  </si>
  <si>
    <t>422626195012121512</t>
  </si>
  <si>
    <t>邓自同</t>
  </si>
  <si>
    <t>42262619630322151854</t>
  </si>
  <si>
    <t>张运江</t>
  </si>
  <si>
    <t>422626197207231518</t>
  </si>
  <si>
    <t>张宏平</t>
  </si>
  <si>
    <t>422626196509191510</t>
  </si>
  <si>
    <t>程家香</t>
  </si>
  <si>
    <t>422626194311071522</t>
  </si>
  <si>
    <t>任传山</t>
  </si>
  <si>
    <t>422626195501201513</t>
  </si>
  <si>
    <t>422626196604011530</t>
  </si>
  <si>
    <t>三溪沟村20组</t>
  </si>
  <si>
    <t>邓自军</t>
  </si>
  <si>
    <t>422626195904251515</t>
  </si>
  <si>
    <t>任一兵</t>
  </si>
  <si>
    <t>422626196703081518</t>
  </si>
  <si>
    <t>吴金城</t>
  </si>
  <si>
    <t>422626196409281519</t>
  </si>
  <si>
    <t>喻清</t>
  </si>
  <si>
    <t>422626195811041519</t>
  </si>
  <si>
    <t>吴朝琰</t>
  </si>
  <si>
    <t>422626193610051519</t>
  </si>
  <si>
    <t>吴兴元</t>
  </si>
  <si>
    <t>422626196311021516</t>
  </si>
  <si>
    <t>杨光林</t>
  </si>
  <si>
    <t>420325195005241538</t>
  </si>
  <si>
    <t>任传宇</t>
  </si>
  <si>
    <t>422626194311101517</t>
  </si>
  <si>
    <t>吴清昌</t>
  </si>
  <si>
    <t>422626195911201575</t>
  </si>
  <si>
    <t>吴兴宏</t>
  </si>
  <si>
    <t>422626197608141513</t>
  </si>
  <si>
    <t>杨昌明</t>
  </si>
  <si>
    <t>422626193604121517</t>
  </si>
  <si>
    <t>三溪沟村19组</t>
  </si>
  <si>
    <t>许明元</t>
  </si>
  <si>
    <t>42262619521103151X</t>
  </si>
  <si>
    <t>姜祖成</t>
  </si>
  <si>
    <t>422626194104131510</t>
  </si>
  <si>
    <t>刘成德</t>
  </si>
  <si>
    <t>422626195608241515</t>
  </si>
  <si>
    <t>蔡秀伟</t>
  </si>
  <si>
    <t>422626194410281517</t>
  </si>
  <si>
    <t>蔡秀兵</t>
  </si>
  <si>
    <t>422626195007271559</t>
  </si>
  <si>
    <t>小峪村2组</t>
  </si>
  <si>
    <t>黄纪成</t>
  </si>
  <si>
    <t>422626197103271531</t>
  </si>
  <si>
    <t>绳从安</t>
  </si>
  <si>
    <t>422626195503031538</t>
  </si>
  <si>
    <t>小峪村4组</t>
  </si>
  <si>
    <t>程秀菊</t>
  </si>
  <si>
    <t>422626195806032343</t>
  </si>
  <si>
    <t>尤自进</t>
  </si>
  <si>
    <t>422626196001101553</t>
  </si>
  <si>
    <t>任传义</t>
  </si>
  <si>
    <t>422626196501121534</t>
  </si>
  <si>
    <t>小峪村6组</t>
  </si>
  <si>
    <t>任荣</t>
  </si>
  <si>
    <t>422626196406071559</t>
  </si>
  <si>
    <t>任琼中</t>
  </si>
  <si>
    <t>42262619591129153132</t>
  </si>
  <si>
    <t>小峪村8组</t>
  </si>
  <si>
    <t>蔡秀琪</t>
  </si>
  <si>
    <t>422626194303061535</t>
  </si>
  <si>
    <t>李绍清</t>
  </si>
  <si>
    <t>422626195208111535</t>
  </si>
  <si>
    <t>刘观美</t>
  </si>
  <si>
    <t>422626197609231510</t>
  </si>
  <si>
    <t>李先林</t>
  </si>
  <si>
    <t>422626196812071554</t>
  </si>
  <si>
    <t>小峪村9组</t>
  </si>
  <si>
    <t>吴满珍</t>
  </si>
  <si>
    <t>422626196711021523</t>
  </si>
  <si>
    <t>赵理山</t>
  </si>
  <si>
    <t>42032519541020153X</t>
  </si>
  <si>
    <t>胡秀雄</t>
  </si>
  <si>
    <t>422626195504191533</t>
  </si>
  <si>
    <t>彭茂斌</t>
  </si>
  <si>
    <t>510623197803295519</t>
  </si>
  <si>
    <t>蔡灵群</t>
  </si>
  <si>
    <t>422626195411171517</t>
  </si>
  <si>
    <t>422626195001031511</t>
  </si>
  <si>
    <t>小峪村3组</t>
  </si>
  <si>
    <t>雷春兰</t>
  </si>
  <si>
    <t>42262619500311154X</t>
  </si>
  <si>
    <t>陈猛</t>
  </si>
  <si>
    <t>42032519791014151X</t>
  </si>
  <si>
    <t>赵光群</t>
  </si>
  <si>
    <t>422626195402141551</t>
  </si>
  <si>
    <t>向昌寿</t>
  </si>
  <si>
    <t>422626194307251512</t>
  </si>
  <si>
    <t>蔡秀仟</t>
  </si>
  <si>
    <t>422626195303151519</t>
  </si>
  <si>
    <t>吴绍成</t>
  </si>
  <si>
    <t>422626195403201536</t>
  </si>
  <si>
    <t>夏治勇</t>
  </si>
  <si>
    <t>511225198001120473</t>
  </si>
  <si>
    <t>胡德中</t>
  </si>
  <si>
    <t>42262619331019151X</t>
  </si>
  <si>
    <t>吴绍伦</t>
  </si>
  <si>
    <t>422626196106131513</t>
  </si>
  <si>
    <t>吴绍连</t>
  </si>
  <si>
    <t>422626196702081532</t>
  </si>
  <si>
    <t>张登成</t>
  </si>
  <si>
    <t>422626196604131559</t>
  </si>
  <si>
    <t>吴向东</t>
  </si>
  <si>
    <t>422626195910301531</t>
  </si>
  <si>
    <t>张登华</t>
  </si>
  <si>
    <t>422626194305151534</t>
  </si>
  <si>
    <t>徐传运</t>
  </si>
  <si>
    <t>422626195503301518</t>
  </si>
  <si>
    <t>徐传洪</t>
  </si>
  <si>
    <t>422626195206041510</t>
  </si>
  <si>
    <t>李辉</t>
  </si>
  <si>
    <t>422626197405051550</t>
  </si>
  <si>
    <t>徐传金</t>
  </si>
  <si>
    <t>422626196203101551</t>
  </si>
  <si>
    <t>徐传银</t>
  </si>
  <si>
    <t>42262619531015155x</t>
  </si>
  <si>
    <t>魏发军</t>
  </si>
  <si>
    <t>420325197907291592</t>
  </si>
  <si>
    <t>周大海</t>
  </si>
  <si>
    <t>422626197202091536</t>
  </si>
  <si>
    <t>冯顺林</t>
  </si>
  <si>
    <t>422626194411221516</t>
  </si>
  <si>
    <t>解玉军</t>
  </si>
  <si>
    <t>420325195911041570</t>
  </si>
  <si>
    <t>刘士云</t>
  </si>
  <si>
    <t>422626193803031549</t>
  </si>
  <si>
    <t>422626194807311534</t>
  </si>
  <si>
    <t>解荣耀</t>
  </si>
  <si>
    <t>420325197802041511</t>
  </si>
  <si>
    <t>解玉国</t>
  </si>
  <si>
    <t>420325195808211535</t>
  </si>
  <si>
    <t>徐传军</t>
  </si>
  <si>
    <t>422626196307261517</t>
  </si>
  <si>
    <t>陈光耀</t>
  </si>
  <si>
    <t>422626195709101511</t>
  </si>
  <si>
    <t>胡方明</t>
  </si>
  <si>
    <t>42262619650308153X</t>
  </si>
  <si>
    <t>张修成</t>
  </si>
  <si>
    <t>422626197106041512</t>
  </si>
  <si>
    <t>许大全</t>
  </si>
  <si>
    <t>422626193501181517</t>
  </si>
  <si>
    <t>付传昌</t>
  </si>
  <si>
    <t>422626193811111514</t>
  </si>
  <si>
    <t>熊有权</t>
  </si>
  <si>
    <t>422626196102131516</t>
  </si>
  <si>
    <t>许明庆</t>
  </si>
  <si>
    <t>42262619491004151X</t>
  </si>
  <si>
    <t>刘运生</t>
  </si>
  <si>
    <t>422626195003261513</t>
  </si>
  <si>
    <t>许明福</t>
  </si>
  <si>
    <t>422626194103171537</t>
  </si>
  <si>
    <t>熊有福</t>
  </si>
  <si>
    <t>422626196310301516</t>
  </si>
  <si>
    <t>陈思思</t>
  </si>
  <si>
    <t>420325200610081564</t>
  </si>
  <si>
    <t>李洪根</t>
  </si>
  <si>
    <t>422626195304251511</t>
  </si>
  <si>
    <t>袁达运</t>
  </si>
  <si>
    <t>422626194110041511</t>
  </si>
  <si>
    <t>张凤英</t>
  </si>
  <si>
    <t>422626193306191525</t>
  </si>
  <si>
    <t>卢道明</t>
  </si>
  <si>
    <t>422626196505121531</t>
  </si>
  <si>
    <t>刘大贵</t>
  </si>
  <si>
    <t>420325196207031517</t>
  </si>
  <si>
    <t>李均群</t>
  </si>
  <si>
    <t>422626196404301517</t>
  </si>
  <si>
    <t>卢道林</t>
  </si>
  <si>
    <t>422626195609131510</t>
  </si>
  <si>
    <t>420325196301121551</t>
  </si>
  <si>
    <t>王学兴</t>
  </si>
  <si>
    <t>422626195708191519</t>
  </si>
  <si>
    <t>李宏友</t>
  </si>
  <si>
    <t>422626196210131513</t>
  </si>
  <si>
    <t>刘炳福</t>
  </si>
  <si>
    <t>422626196310251512</t>
  </si>
  <si>
    <t>毛德清</t>
  </si>
  <si>
    <t>422626196604081555</t>
  </si>
  <si>
    <t>刘大财</t>
  </si>
  <si>
    <t>422626195506261515</t>
  </si>
  <si>
    <t>许明良</t>
  </si>
  <si>
    <t>422626195207251536</t>
  </si>
  <si>
    <t>422626197106111517</t>
  </si>
  <si>
    <t>丁章国</t>
  </si>
  <si>
    <t>42262619600116153X</t>
  </si>
  <si>
    <t>赵华友</t>
  </si>
  <si>
    <t>422626194107051532</t>
  </si>
  <si>
    <t>李均林</t>
  </si>
  <si>
    <t>422626196206301516</t>
  </si>
  <si>
    <t>周公学</t>
  </si>
  <si>
    <t>422626196104251511</t>
  </si>
  <si>
    <t>周公福</t>
  </si>
  <si>
    <t>422626195611281534</t>
  </si>
  <si>
    <t>袁达金</t>
  </si>
  <si>
    <t>42262619470430151X</t>
  </si>
  <si>
    <t>许世宏</t>
  </si>
  <si>
    <t>422626195604211570</t>
  </si>
  <si>
    <t>吴德贵</t>
  </si>
  <si>
    <t>422626194808051519</t>
  </si>
  <si>
    <t>吴雪梅</t>
  </si>
  <si>
    <t>42032519821219156564</t>
  </si>
  <si>
    <t>金元华</t>
  </si>
  <si>
    <t>422626194510151517</t>
  </si>
  <si>
    <t>王青义</t>
  </si>
  <si>
    <t>422626196104191512</t>
  </si>
  <si>
    <t>刘士清</t>
  </si>
  <si>
    <t>422626195905121536</t>
  </si>
  <si>
    <t>刘典贵</t>
  </si>
  <si>
    <t>422626193908271514</t>
  </si>
  <si>
    <t>任世江</t>
  </si>
  <si>
    <t>422626196603281512</t>
  </si>
  <si>
    <t>42032519470708153831</t>
  </si>
  <si>
    <t>陈金山</t>
  </si>
  <si>
    <t>422626195904121534</t>
  </si>
  <si>
    <t>张正江</t>
  </si>
  <si>
    <t>42032519491007153831</t>
  </si>
  <si>
    <t>42032519510624153731</t>
  </si>
  <si>
    <t>金元西</t>
  </si>
  <si>
    <t>422626193807071513</t>
  </si>
  <si>
    <t>谢秀英</t>
  </si>
  <si>
    <t>422626193205251525</t>
  </si>
  <si>
    <t>段全清</t>
  </si>
  <si>
    <t>42262619600418151X</t>
  </si>
  <si>
    <t>郑龙明</t>
  </si>
  <si>
    <t>422626196503041554</t>
  </si>
  <si>
    <t>杜虎</t>
  </si>
  <si>
    <t>42262619640903153623</t>
  </si>
  <si>
    <t>杨承田</t>
  </si>
  <si>
    <t>422626194111171537</t>
  </si>
  <si>
    <t>向怀玉</t>
  </si>
  <si>
    <t>422626195404281566</t>
  </si>
  <si>
    <t>李英华</t>
  </si>
  <si>
    <t>422626196304141536</t>
  </si>
  <si>
    <t>张宏远</t>
  </si>
  <si>
    <t>420325194811251517</t>
  </si>
  <si>
    <t>周功福</t>
  </si>
  <si>
    <t>422626195009291537</t>
  </si>
  <si>
    <t>黄太贵</t>
  </si>
  <si>
    <t>422626195705201574</t>
  </si>
  <si>
    <t>许士江</t>
  </si>
  <si>
    <t>42262619460430151211</t>
  </si>
  <si>
    <t>42262619421028152021</t>
  </si>
  <si>
    <t>吴朝清</t>
  </si>
  <si>
    <t>422626196506211512</t>
  </si>
  <si>
    <t>徐正国</t>
  </si>
  <si>
    <t>422626194312171517</t>
  </si>
  <si>
    <t>李开成</t>
  </si>
  <si>
    <t>422626194012281511</t>
  </si>
  <si>
    <t>周家友</t>
  </si>
  <si>
    <t>422626194806203312</t>
  </si>
  <si>
    <t>胡德金</t>
  </si>
  <si>
    <t>王兆凯</t>
  </si>
  <si>
    <t>何定善</t>
  </si>
  <si>
    <t>422626193704111914</t>
  </si>
  <si>
    <t>杜德云</t>
  </si>
  <si>
    <t>42262619490610192X</t>
  </si>
  <si>
    <t>黄立高</t>
  </si>
  <si>
    <t>422626197101241910</t>
  </si>
  <si>
    <t>曾学海</t>
  </si>
  <si>
    <t>422626195409261919</t>
  </si>
  <si>
    <t>何主元</t>
  </si>
  <si>
    <t>何志祥</t>
  </si>
  <si>
    <t>422626196910260113</t>
  </si>
  <si>
    <t>何宪极</t>
  </si>
  <si>
    <t>422626195707241916</t>
  </si>
  <si>
    <t>古城村7组</t>
  </si>
  <si>
    <t>422626195510271951</t>
  </si>
  <si>
    <t>古城村6组</t>
  </si>
  <si>
    <t>邢五洲</t>
  </si>
  <si>
    <t>42032519770420193X</t>
  </si>
  <si>
    <t>刘德化</t>
  </si>
  <si>
    <t>422626193711081912</t>
  </si>
  <si>
    <t>胡秀生</t>
  </si>
  <si>
    <t>422626197104091970</t>
  </si>
  <si>
    <t>古城村3组</t>
  </si>
  <si>
    <t>李致林</t>
  </si>
  <si>
    <t>422626193903031917</t>
  </si>
  <si>
    <t>古城村2组</t>
  </si>
  <si>
    <t>贺泽平</t>
  </si>
  <si>
    <t>420325197801263024</t>
  </si>
  <si>
    <t>古城村1组</t>
  </si>
  <si>
    <t>邢敦江</t>
  </si>
  <si>
    <t>422626197210121918</t>
  </si>
  <si>
    <t>422626196002091916</t>
  </si>
  <si>
    <t>古城村4组</t>
  </si>
  <si>
    <t>孙清</t>
  </si>
  <si>
    <t>422626197512011917</t>
  </si>
  <si>
    <t>邢敦勇</t>
  </si>
  <si>
    <t>422626196603151910</t>
  </si>
  <si>
    <t>何宝珍</t>
  </si>
  <si>
    <t>420325196806061929</t>
  </si>
  <si>
    <t>李堰1组</t>
  </si>
  <si>
    <t>汪小琴</t>
  </si>
  <si>
    <t>420325197906022681</t>
  </si>
  <si>
    <t>汪永芳</t>
  </si>
  <si>
    <t>422626194212071922</t>
  </si>
  <si>
    <t>邢敦成</t>
  </si>
  <si>
    <t>422626197201111910</t>
  </si>
  <si>
    <t>李身金</t>
  </si>
  <si>
    <t>422626196305131911</t>
  </si>
  <si>
    <t>薛树艳</t>
  </si>
  <si>
    <t>420325198405177647</t>
  </si>
  <si>
    <t>饶家权</t>
  </si>
  <si>
    <t>422626195602031912</t>
  </si>
  <si>
    <t>刘荣军</t>
  </si>
  <si>
    <t>420325197109291918</t>
  </si>
  <si>
    <t>胡太斌</t>
  </si>
  <si>
    <t>420325196610241936</t>
  </si>
  <si>
    <t>卢立斌</t>
  </si>
  <si>
    <t>422626197204251919</t>
  </si>
  <si>
    <t>戢太英</t>
  </si>
  <si>
    <t>422626196002201927</t>
  </si>
  <si>
    <t>付发云</t>
  </si>
  <si>
    <t>422626195103172614</t>
  </si>
  <si>
    <t>昝启一</t>
  </si>
  <si>
    <t>422626194912281939</t>
  </si>
  <si>
    <t>曾庆成</t>
  </si>
  <si>
    <t>42262619501013191X</t>
  </si>
  <si>
    <t>汤峪村3组</t>
  </si>
  <si>
    <t>黄继全</t>
  </si>
  <si>
    <t>422626196304292617</t>
  </si>
  <si>
    <t>汤峪村8组</t>
  </si>
  <si>
    <t>昝继辉</t>
  </si>
  <si>
    <t>422626195612091919</t>
  </si>
  <si>
    <t>汤峪村</t>
  </si>
  <si>
    <t>汪永国</t>
  </si>
  <si>
    <t>422626196303141913</t>
  </si>
  <si>
    <t>张明林</t>
  </si>
  <si>
    <t>422626197002031918</t>
  </si>
  <si>
    <t>汪本伟</t>
  </si>
  <si>
    <t>422626196506131918</t>
  </si>
  <si>
    <t>张新炎</t>
  </si>
  <si>
    <t>422626195201291932</t>
  </si>
  <si>
    <t>张明胜</t>
  </si>
  <si>
    <t>422626196312041914</t>
  </si>
  <si>
    <t>黄生新</t>
  </si>
  <si>
    <t>422626196512271917</t>
  </si>
  <si>
    <t>曾立英</t>
  </si>
  <si>
    <t>422626194803271926</t>
  </si>
  <si>
    <t>桃园沟村1组</t>
  </si>
  <si>
    <t>李家法</t>
  </si>
  <si>
    <t>422626194807231972</t>
  </si>
  <si>
    <t>桃园沟村5组</t>
  </si>
  <si>
    <t>郑运生</t>
  </si>
  <si>
    <t>422626195001161914</t>
  </si>
  <si>
    <t>桃园沟村2组</t>
  </si>
  <si>
    <t>李建生</t>
  </si>
  <si>
    <t>42262619581113191X</t>
  </si>
  <si>
    <t>422626197304081953</t>
  </si>
  <si>
    <t>桃园沟村4组</t>
  </si>
  <si>
    <t>向志刚</t>
  </si>
  <si>
    <t>422626197202231930</t>
  </si>
  <si>
    <t>向承华</t>
  </si>
  <si>
    <t>422626195406301938</t>
  </si>
  <si>
    <t>向承富</t>
  </si>
  <si>
    <t>422626195306111918</t>
  </si>
  <si>
    <t>刘继勤</t>
  </si>
  <si>
    <t>桃园沟村3组</t>
  </si>
  <si>
    <t>余兴芝</t>
  </si>
  <si>
    <t>422626195812231947</t>
  </si>
  <si>
    <t>西川村二组</t>
  </si>
  <si>
    <t>昝大虎</t>
  </si>
  <si>
    <t>422626197810121911</t>
  </si>
  <si>
    <t>西川村三组</t>
  </si>
  <si>
    <t>段家政</t>
  </si>
  <si>
    <t>420325197509011954</t>
  </si>
  <si>
    <t>李致兵</t>
  </si>
  <si>
    <t>422626196402031939</t>
  </si>
  <si>
    <t>西川村一组</t>
  </si>
  <si>
    <t>汪本玉</t>
  </si>
  <si>
    <t>422626194808211914</t>
  </si>
  <si>
    <t>段勇</t>
  </si>
  <si>
    <t>422626197303161919</t>
  </si>
  <si>
    <t>邹全进</t>
  </si>
  <si>
    <t>422626194711201912</t>
  </si>
  <si>
    <t>段全国</t>
  </si>
  <si>
    <t>422626195412011910</t>
  </si>
  <si>
    <t>李致国</t>
  </si>
  <si>
    <t>422626197201191914</t>
  </si>
  <si>
    <t>吴祥明</t>
  </si>
  <si>
    <t>422626197004103014</t>
  </si>
  <si>
    <t>刘继本</t>
  </si>
  <si>
    <t>422626196708211932</t>
  </si>
  <si>
    <t>杨祖林</t>
  </si>
  <si>
    <t>422626197407241913</t>
  </si>
  <si>
    <t>杨祖平</t>
  </si>
  <si>
    <t>420325197907171937</t>
  </si>
  <si>
    <t>邢广军</t>
  </si>
  <si>
    <t>420325197711071934</t>
  </si>
  <si>
    <t>卢立国</t>
  </si>
  <si>
    <t>422626196711171919</t>
  </si>
  <si>
    <t>蔡治华</t>
  </si>
  <si>
    <t>422626194610221930</t>
  </si>
  <si>
    <t>刘立仁</t>
  </si>
  <si>
    <t>42262619430623191544</t>
  </si>
  <si>
    <t>庄房村</t>
  </si>
  <si>
    <t>刘大红</t>
  </si>
  <si>
    <t>422626196602261915</t>
  </si>
  <si>
    <t>刘德友</t>
  </si>
  <si>
    <t>422626194810021917</t>
  </si>
  <si>
    <t>邢敦云</t>
  </si>
  <si>
    <t>422626195212161922</t>
  </si>
  <si>
    <t>胡桂莲</t>
  </si>
  <si>
    <t>422626194511271924</t>
  </si>
  <si>
    <t>黎德福</t>
  </si>
  <si>
    <t>422626196202271911</t>
  </si>
  <si>
    <t>张荣军</t>
  </si>
  <si>
    <t>422626197411171911</t>
  </si>
  <si>
    <t>刘大江</t>
  </si>
  <si>
    <t>422626197306041912</t>
  </si>
  <si>
    <t>邢敦汉</t>
  </si>
  <si>
    <t>422626195502011914</t>
  </si>
  <si>
    <t>邢敦旭</t>
  </si>
  <si>
    <t>422626195702051910</t>
  </si>
  <si>
    <t>长望村</t>
  </si>
  <si>
    <t>梅占军</t>
  </si>
  <si>
    <t>422626196809101917</t>
  </si>
  <si>
    <t>邓亮</t>
  </si>
  <si>
    <t>420325198311201917</t>
  </si>
  <si>
    <t>海群</t>
  </si>
  <si>
    <t>42032519880822192132</t>
  </si>
  <si>
    <t>海本辉</t>
  </si>
  <si>
    <t xml:space="preserve"> 42262619620220193X</t>
  </si>
  <si>
    <t>杨晓梅</t>
  </si>
  <si>
    <t>422626197709091607</t>
  </si>
  <si>
    <t>42262619590802191X</t>
  </si>
  <si>
    <t>梅逢平</t>
  </si>
  <si>
    <t>42262619580703191642</t>
  </si>
  <si>
    <t>李吉汉</t>
  </si>
  <si>
    <t>422626195510221911</t>
  </si>
  <si>
    <t>杨厚金</t>
  </si>
  <si>
    <t>420325197203151911</t>
  </si>
  <si>
    <t>向胜立</t>
  </si>
  <si>
    <t>422626196311151935</t>
  </si>
  <si>
    <t>朱哑</t>
  </si>
  <si>
    <t>42262619580625191731</t>
  </si>
  <si>
    <t>向胜东</t>
  </si>
  <si>
    <t>422626197201011952</t>
  </si>
  <si>
    <t>高川村9组</t>
  </si>
  <si>
    <t>422626197011301932</t>
  </si>
  <si>
    <t>刘士合</t>
  </si>
  <si>
    <t>422626196509131956</t>
  </si>
  <si>
    <t>高川村3组</t>
  </si>
  <si>
    <t>刘文进</t>
  </si>
  <si>
    <t>420325199104251916</t>
  </si>
  <si>
    <t>高川村</t>
  </si>
  <si>
    <t>李吉英</t>
  </si>
  <si>
    <t>422626194801301925</t>
  </si>
  <si>
    <t>雷春群</t>
  </si>
  <si>
    <t>422626195712291918</t>
  </si>
  <si>
    <t>王家玉</t>
  </si>
  <si>
    <t>422626195304281948</t>
  </si>
  <si>
    <t>刘继艮</t>
  </si>
  <si>
    <t>422626195304051958</t>
  </si>
  <si>
    <t>邢月华</t>
  </si>
  <si>
    <t>422626194502081926</t>
  </si>
  <si>
    <t>海本军</t>
  </si>
  <si>
    <t>422626195412301934</t>
  </si>
  <si>
    <t>徐家启</t>
  </si>
  <si>
    <t>422626195011021915</t>
  </si>
  <si>
    <t>422626196309031918</t>
  </si>
  <si>
    <t>任世宁</t>
  </si>
  <si>
    <t>422626197401011973</t>
  </si>
  <si>
    <t>上湾6组</t>
  </si>
  <si>
    <t>昝光胜</t>
  </si>
  <si>
    <t>422626194104221911</t>
  </si>
  <si>
    <t>何吉高</t>
  </si>
  <si>
    <t>422626197002061914</t>
  </si>
  <si>
    <t>上湾5组</t>
  </si>
  <si>
    <t>霍富全</t>
  </si>
  <si>
    <t>420325196609171918</t>
  </si>
  <si>
    <t>朱品贵</t>
  </si>
  <si>
    <t>42262619471015191711</t>
  </si>
  <si>
    <t>上湾4组</t>
  </si>
  <si>
    <t>李飞</t>
  </si>
  <si>
    <t>422626196901201912</t>
  </si>
  <si>
    <t>李兴林</t>
  </si>
  <si>
    <t>422626194806301916</t>
  </si>
  <si>
    <t>上湾1组</t>
  </si>
  <si>
    <t>昝大公</t>
  </si>
  <si>
    <t>422626195704231915</t>
  </si>
  <si>
    <t>上湾3组</t>
  </si>
  <si>
    <t>丁银章</t>
  </si>
  <si>
    <t>422626195711142611</t>
  </si>
  <si>
    <t>渭沟村7组</t>
  </si>
  <si>
    <t>卢立生</t>
  </si>
  <si>
    <t>422626194803181912</t>
  </si>
  <si>
    <t>卢立德</t>
  </si>
  <si>
    <t>420325193706281912</t>
  </si>
  <si>
    <t>卢定学</t>
  </si>
  <si>
    <t>420325197905111930</t>
  </si>
  <si>
    <t>渭沟村8组</t>
  </si>
  <si>
    <t>杨元贵</t>
  </si>
  <si>
    <t>422626197208023913</t>
  </si>
  <si>
    <t>叶绍林</t>
  </si>
  <si>
    <t>422626197201271914</t>
  </si>
  <si>
    <t>作峪村一组</t>
  </si>
  <si>
    <t>叶绪贵</t>
  </si>
  <si>
    <t>422626194706061919</t>
  </si>
  <si>
    <t>昝大成</t>
  </si>
  <si>
    <t>422626195404131912</t>
  </si>
  <si>
    <t>刘明春</t>
  </si>
  <si>
    <t>422626195612301912</t>
  </si>
  <si>
    <t>叶  双</t>
  </si>
  <si>
    <t>420325198512231952</t>
  </si>
  <si>
    <t>曾兆宏</t>
  </si>
  <si>
    <t>422626193908171919</t>
  </si>
  <si>
    <t>桂启寿</t>
  </si>
  <si>
    <t>何革元</t>
  </si>
  <si>
    <t>周  云</t>
  </si>
  <si>
    <t>曾学乐</t>
  </si>
  <si>
    <t>桃园村</t>
  </si>
  <si>
    <t>叶绪奎</t>
  </si>
  <si>
    <t>422626196803181938</t>
  </si>
  <si>
    <t>艾传林</t>
  </si>
  <si>
    <t>422626196507081916</t>
  </si>
  <si>
    <t>陈家铺村</t>
  </si>
  <si>
    <t>余贤生</t>
  </si>
  <si>
    <t>陈文华</t>
  </si>
  <si>
    <t>林发武</t>
  </si>
  <si>
    <t>林发文</t>
  </si>
  <si>
    <t>杨龙富</t>
  </si>
  <si>
    <t>林发军</t>
  </si>
  <si>
    <t>林云华</t>
  </si>
  <si>
    <t>金举森</t>
  </si>
  <si>
    <t>甘名志</t>
  </si>
  <si>
    <t>刘洋国</t>
  </si>
  <si>
    <t>周邦辉</t>
  </si>
  <si>
    <t>422626195206122316</t>
  </si>
  <si>
    <t>蔡保顺</t>
  </si>
  <si>
    <t>422626197901032316</t>
  </si>
  <si>
    <t>韦成海</t>
  </si>
  <si>
    <t>422626193904042319</t>
  </si>
  <si>
    <t>余善平</t>
  </si>
  <si>
    <t>422626197105182313</t>
  </si>
  <si>
    <t>刘定友</t>
  </si>
  <si>
    <t>422626197210302313</t>
  </si>
  <si>
    <t>刘玉兰</t>
  </si>
  <si>
    <t>422626194310072320</t>
  </si>
  <si>
    <t>余传金</t>
  </si>
  <si>
    <t>422626193303192311</t>
  </si>
  <si>
    <t>陈立根</t>
  </si>
  <si>
    <t>42262619490128231163</t>
  </si>
  <si>
    <t>刘选六</t>
  </si>
  <si>
    <t>422626194711152313</t>
  </si>
  <si>
    <t>刘兰英</t>
  </si>
  <si>
    <t>422626194808162323</t>
  </si>
  <si>
    <t>张成勇</t>
  </si>
  <si>
    <t>422626196608312314</t>
  </si>
  <si>
    <t>郑传华</t>
  </si>
  <si>
    <t>420325194411272319</t>
  </si>
  <si>
    <t>汪风莲</t>
  </si>
  <si>
    <t>422626195001022340</t>
  </si>
  <si>
    <t>周本春</t>
  </si>
  <si>
    <t>420325195309042319</t>
  </si>
  <si>
    <t>陆保英</t>
  </si>
  <si>
    <t>422626194011172321</t>
  </si>
  <si>
    <t>铺沟村7组</t>
  </si>
  <si>
    <t>李书军</t>
  </si>
  <si>
    <t>422626197001312312</t>
  </si>
  <si>
    <t>李诗龙</t>
  </si>
  <si>
    <t>422626193011212317</t>
  </si>
  <si>
    <t>吴哑子</t>
  </si>
  <si>
    <t>杨绪东</t>
  </si>
  <si>
    <t>刘必友</t>
  </si>
  <si>
    <t>杨龙存</t>
  </si>
  <si>
    <t>刘刚</t>
  </si>
  <si>
    <t>刘兴武</t>
  </si>
  <si>
    <t>王品</t>
  </si>
  <si>
    <t>张德安</t>
  </si>
  <si>
    <t>张道权</t>
  </si>
  <si>
    <t>里乐城村</t>
  </si>
  <si>
    <t>陆垂坤</t>
  </si>
  <si>
    <t>422626196312172316</t>
  </si>
  <si>
    <t>420325197510052331</t>
  </si>
  <si>
    <t>陆垂续</t>
  </si>
  <si>
    <t>422626194201202317</t>
  </si>
  <si>
    <t>陆龙怀</t>
  </si>
  <si>
    <t>42262619480118233×</t>
  </si>
  <si>
    <t>陆垂友</t>
  </si>
  <si>
    <t>422626196803192311</t>
  </si>
  <si>
    <t>阳坪村6组</t>
  </si>
  <si>
    <t>涂有成</t>
  </si>
  <si>
    <t>42262619721113231X</t>
  </si>
  <si>
    <t>阳坪村5组</t>
  </si>
  <si>
    <t>范大来</t>
  </si>
  <si>
    <t>422626196001262357</t>
  </si>
  <si>
    <t>阳坪村1组</t>
  </si>
  <si>
    <t>张林</t>
  </si>
  <si>
    <t>42032519810115231X</t>
  </si>
  <si>
    <t>谭加华</t>
  </si>
  <si>
    <t>420325197610232313</t>
  </si>
  <si>
    <t>王安军</t>
  </si>
  <si>
    <t>420325197604052316</t>
  </si>
  <si>
    <t>阳坪村3组</t>
  </si>
  <si>
    <t>422626196901172314</t>
  </si>
  <si>
    <t>杨学仁</t>
  </si>
  <si>
    <t>422626196603032313</t>
  </si>
  <si>
    <t>周修平</t>
  </si>
  <si>
    <t>422626197402192358</t>
  </si>
  <si>
    <t>窑场村</t>
  </si>
  <si>
    <t>杨梅成</t>
  </si>
  <si>
    <t>杨海军</t>
  </si>
  <si>
    <t>杨明华</t>
  </si>
  <si>
    <t>陈平学</t>
  </si>
  <si>
    <t>卢全福</t>
  </si>
  <si>
    <t>卢全寿</t>
  </si>
  <si>
    <t>谢桂华</t>
  </si>
  <si>
    <t>刘继志</t>
  </si>
  <si>
    <t>陆太明</t>
  </si>
  <si>
    <t>邢勇</t>
  </si>
  <si>
    <t>422626197104232315</t>
  </si>
  <si>
    <t>魏世合</t>
  </si>
  <si>
    <t>422626194101212316</t>
  </si>
  <si>
    <t>何成军</t>
  </si>
  <si>
    <t>422626196301182316</t>
  </si>
  <si>
    <t>曾宪国</t>
  </si>
  <si>
    <t>422626196511262314</t>
  </si>
  <si>
    <t>段茂清</t>
  </si>
  <si>
    <t>422626194706032317</t>
  </si>
  <si>
    <t>高元贞</t>
  </si>
  <si>
    <t>422626195503112311</t>
  </si>
  <si>
    <t>程长波</t>
  </si>
  <si>
    <t>422626197004012331</t>
  </si>
  <si>
    <t>杨志贵</t>
  </si>
  <si>
    <t>422626195311272310</t>
  </si>
  <si>
    <t>刘凤娥</t>
  </si>
  <si>
    <t>422626197110052361</t>
  </si>
  <si>
    <t>张明柱</t>
  </si>
  <si>
    <t>422626196204222312</t>
  </si>
  <si>
    <t>刘民文</t>
  </si>
  <si>
    <t>422626196710102313</t>
  </si>
  <si>
    <t>龙涛</t>
  </si>
  <si>
    <t>422626197412172334</t>
  </si>
  <si>
    <t>任世华</t>
  </si>
  <si>
    <t>422626196501052313</t>
  </si>
  <si>
    <t>422626194210252316</t>
  </si>
  <si>
    <t>陈世明</t>
  </si>
  <si>
    <t>420323198508085814</t>
  </si>
  <si>
    <t>龙春贵</t>
  </si>
  <si>
    <t>422626195409172318</t>
  </si>
  <si>
    <t>李身全</t>
  </si>
  <si>
    <t>422626194903042338</t>
  </si>
  <si>
    <t>淮水6组</t>
  </si>
  <si>
    <t>乔贵春</t>
  </si>
  <si>
    <t>郭贵春</t>
  </si>
  <si>
    <t>施志德</t>
  </si>
  <si>
    <t>黄志全</t>
  </si>
  <si>
    <t>淮水5组</t>
  </si>
  <si>
    <t>杜辉</t>
  </si>
  <si>
    <t>420325197703112337</t>
  </si>
  <si>
    <t>杨兴</t>
  </si>
  <si>
    <t>任军</t>
  </si>
  <si>
    <t>淮水4组</t>
  </si>
  <si>
    <t>任正中</t>
  </si>
  <si>
    <t>乔贵兵</t>
  </si>
  <si>
    <t>盛友明</t>
  </si>
  <si>
    <t>柯贤坤</t>
  </si>
  <si>
    <t>郝良忠</t>
  </si>
  <si>
    <t>界山村</t>
  </si>
  <si>
    <t>彭易富</t>
  </si>
  <si>
    <t>422626194810272310</t>
  </si>
  <si>
    <t>卜天喜</t>
  </si>
  <si>
    <t>42032519780330765x</t>
  </si>
  <si>
    <t>董端华</t>
  </si>
  <si>
    <t>422626196401282314</t>
  </si>
  <si>
    <t>任行武</t>
  </si>
  <si>
    <t>42032519801104231X</t>
  </si>
  <si>
    <t>刘明均</t>
  </si>
  <si>
    <t>422626196804092312</t>
  </si>
  <si>
    <t>刘忠珍</t>
  </si>
  <si>
    <t>422626197609132328</t>
  </si>
  <si>
    <t>卢奎</t>
  </si>
  <si>
    <t>42262619700128231x</t>
  </si>
  <si>
    <t>赵定阳</t>
  </si>
  <si>
    <t>422626194304092317</t>
  </si>
  <si>
    <t>422626195211182326</t>
  </si>
  <si>
    <t>崔治文</t>
  </si>
  <si>
    <t>420325197205062330</t>
  </si>
  <si>
    <t>郑义明</t>
  </si>
  <si>
    <t>422626195211072311</t>
  </si>
  <si>
    <t>秦祖华</t>
  </si>
  <si>
    <t>42262619621219231x</t>
  </si>
  <si>
    <t>秦声禄</t>
  </si>
  <si>
    <t>422626195308072334</t>
  </si>
  <si>
    <t>周正运</t>
  </si>
  <si>
    <t>422626194209272336</t>
  </si>
  <si>
    <t>梅永青</t>
  </si>
  <si>
    <t>422626196412092313</t>
  </si>
  <si>
    <t>梅永虎</t>
  </si>
  <si>
    <t>422626197403112313</t>
  </si>
  <si>
    <t>卢定如</t>
  </si>
  <si>
    <t>422626197005302314</t>
  </si>
  <si>
    <t>周正凯</t>
  </si>
  <si>
    <t>422626195312112319</t>
  </si>
  <si>
    <t>郭道宏</t>
  </si>
  <si>
    <t>422626197111272315</t>
  </si>
  <si>
    <t>胡永军</t>
  </si>
  <si>
    <t>422626196902172316</t>
  </si>
  <si>
    <t>钱金华</t>
  </si>
  <si>
    <t>422626196605202312</t>
  </si>
  <si>
    <t>邢敦峰</t>
  </si>
  <si>
    <t>42262619621227231x</t>
  </si>
  <si>
    <t>422626196204232350</t>
  </si>
  <si>
    <t>宋典明</t>
  </si>
  <si>
    <t>422626195703132317</t>
  </si>
  <si>
    <t>宋典华</t>
  </si>
  <si>
    <t>420325197504252396</t>
  </si>
  <si>
    <t>雷海科</t>
  </si>
  <si>
    <t>422626195306142319</t>
  </si>
  <si>
    <t>刘蕾</t>
  </si>
  <si>
    <t>422626198203162310</t>
  </si>
  <si>
    <t>刘忠国</t>
  </si>
  <si>
    <t>422626196604062316</t>
  </si>
  <si>
    <t>陈常宏</t>
  </si>
  <si>
    <t>42262619620429237x</t>
  </si>
  <si>
    <t>陈震芳</t>
  </si>
  <si>
    <t>422626194007272311</t>
  </si>
  <si>
    <t>车成先</t>
  </si>
  <si>
    <t>42262619460424233x</t>
  </si>
  <si>
    <t>罗昌顶</t>
  </si>
  <si>
    <t>422626193502032310</t>
  </si>
  <si>
    <t>王开华</t>
  </si>
  <si>
    <t>422626196112122314</t>
  </si>
  <si>
    <t>王开全</t>
  </si>
  <si>
    <t>42262619660103231x</t>
  </si>
  <si>
    <t>江文珍</t>
  </si>
  <si>
    <t>422626196408312344</t>
  </si>
  <si>
    <t>曾永来</t>
  </si>
  <si>
    <t>420325197611222336</t>
  </si>
  <si>
    <t>饶会明</t>
  </si>
  <si>
    <t>422626195611272312</t>
  </si>
  <si>
    <t>任传良</t>
  </si>
  <si>
    <t>422626193703012316</t>
  </si>
  <si>
    <t>任士炳</t>
  </si>
  <si>
    <t>422626195806222315</t>
  </si>
  <si>
    <t>刘继伍</t>
  </si>
  <si>
    <t>42262619720505233x</t>
  </si>
  <si>
    <t>刘继成</t>
  </si>
  <si>
    <t>420325197701032333</t>
  </si>
  <si>
    <t>蔡灵东</t>
  </si>
  <si>
    <t>42032519780331231X</t>
  </si>
  <si>
    <t>刘备才</t>
  </si>
  <si>
    <t>422626196308023019</t>
  </si>
  <si>
    <t>饶永胜</t>
  </si>
  <si>
    <t>420323195508265811</t>
  </si>
  <si>
    <t>江一满</t>
  </si>
  <si>
    <t>422626196610183013</t>
  </si>
  <si>
    <t>薛继前</t>
  </si>
  <si>
    <t>422626196101063013</t>
  </si>
  <si>
    <t>贺茂友</t>
  </si>
  <si>
    <t>422626196903143015</t>
  </si>
  <si>
    <t>王培华</t>
  </si>
  <si>
    <t>422626195606013033</t>
  </si>
  <si>
    <t>张文成</t>
  </si>
  <si>
    <t>42262619531013301X</t>
  </si>
  <si>
    <t>陈辉</t>
  </si>
  <si>
    <t>420325198610213010</t>
  </si>
  <si>
    <t>向金贵</t>
  </si>
  <si>
    <t>422626194402123017</t>
  </si>
  <si>
    <t>陈兴发</t>
  </si>
  <si>
    <t>422626195809303014</t>
  </si>
  <si>
    <t>丁桂友</t>
  </si>
  <si>
    <t>422626197507303018</t>
  </si>
  <si>
    <t>陈淑清</t>
  </si>
  <si>
    <t>422626195804063031</t>
  </si>
  <si>
    <t>张少望</t>
  </si>
  <si>
    <t>422626196401173011</t>
  </si>
  <si>
    <t>郭文波</t>
  </si>
  <si>
    <t>422626197302223014</t>
  </si>
  <si>
    <t>420325198301143039</t>
  </si>
  <si>
    <t>任志心</t>
  </si>
  <si>
    <t>422626197105033019</t>
  </si>
  <si>
    <t>薛吉伍</t>
  </si>
  <si>
    <t>420325197612153010</t>
  </si>
  <si>
    <t>肖祖伟</t>
  </si>
  <si>
    <t>422626197002023010</t>
  </si>
  <si>
    <t>孙进锋</t>
  </si>
  <si>
    <t>420325197809013011</t>
  </si>
  <si>
    <t>赵光才</t>
  </si>
  <si>
    <t>422626195401093017</t>
  </si>
  <si>
    <t>杨守宝</t>
  </si>
  <si>
    <t>422626195401093092</t>
  </si>
  <si>
    <t>刘友亮</t>
  </si>
  <si>
    <t>422626194901133017</t>
  </si>
  <si>
    <t>张成明</t>
  </si>
  <si>
    <t>420325198001023035</t>
  </si>
  <si>
    <t>刘关明</t>
  </si>
  <si>
    <t>422626196202213033</t>
  </si>
  <si>
    <t>420325198605053323</t>
  </si>
  <si>
    <t>422626195105123015</t>
  </si>
  <si>
    <t>陈德运</t>
  </si>
  <si>
    <t>422626195405073013</t>
  </si>
  <si>
    <t>刘吉兴</t>
  </si>
  <si>
    <t>422626196305043014</t>
  </si>
  <si>
    <t>徐甫林</t>
  </si>
  <si>
    <t>422626196812073015</t>
  </si>
  <si>
    <t>张吉扬</t>
  </si>
  <si>
    <t>422626195612113014</t>
  </si>
  <si>
    <t>420325198403153019</t>
  </si>
  <si>
    <t>杨守平</t>
  </si>
  <si>
    <t>42032519670116303X</t>
  </si>
  <si>
    <t>贺茂胜</t>
  </si>
  <si>
    <t>422626195311193014</t>
  </si>
  <si>
    <t>孙仁举</t>
  </si>
  <si>
    <t>422626195101173015</t>
  </si>
  <si>
    <t>徐良华</t>
  </si>
  <si>
    <t>42262619380312303X</t>
  </si>
  <si>
    <t>刘道军</t>
  </si>
  <si>
    <t>422626196706183018</t>
  </si>
  <si>
    <t>欧鈡林</t>
  </si>
  <si>
    <t>422626197504013031</t>
  </si>
  <si>
    <t>张城</t>
  </si>
  <si>
    <t>420325197812233015</t>
  </si>
  <si>
    <t>徐甫建</t>
  </si>
  <si>
    <t>420325198112223013</t>
  </si>
  <si>
    <t>蔡秀生</t>
  </si>
  <si>
    <t>422626196103163034</t>
  </si>
  <si>
    <t>雷国珍</t>
  </si>
  <si>
    <t>422626194201253026</t>
  </si>
  <si>
    <t>王启华</t>
  </si>
  <si>
    <t>422626195211113013</t>
  </si>
  <si>
    <t>贺茂成</t>
  </si>
  <si>
    <t>422626196803113011</t>
  </si>
  <si>
    <t>张吉仁</t>
  </si>
  <si>
    <t>422626195807053015</t>
  </si>
  <si>
    <t>丁荣华</t>
  </si>
  <si>
    <t>422626196011283012</t>
  </si>
  <si>
    <t>欧功礼</t>
  </si>
  <si>
    <t>422626196608013015</t>
  </si>
  <si>
    <t>柯贤汉</t>
  </si>
  <si>
    <t>422626196209303015</t>
  </si>
  <si>
    <t>周代华</t>
  </si>
  <si>
    <t>420325197110152317</t>
  </si>
  <si>
    <t>薛治安</t>
  </si>
  <si>
    <t>422626194611143014</t>
  </si>
  <si>
    <t>张文法</t>
  </si>
  <si>
    <t>422626195007243013</t>
  </si>
  <si>
    <t>裴运山</t>
  </si>
  <si>
    <t>422626195511143011</t>
  </si>
  <si>
    <t>陈祖荟</t>
  </si>
  <si>
    <t>422626193604033023</t>
  </si>
  <si>
    <t>张成甫</t>
  </si>
  <si>
    <t>422626195605263014</t>
  </si>
  <si>
    <t>徐甫权</t>
  </si>
  <si>
    <t>420325194502102614</t>
  </si>
  <si>
    <t>柯贤忠</t>
  </si>
  <si>
    <t>422626195012093013</t>
  </si>
  <si>
    <t>刘国强</t>
  </si>
  <si>
    <t>422626194006183018</t>
  </si>
  <si>
    <t>欧中华</t>
  </si>
  <si>
    <t>422626197101273015</t>
  </si>
  <si>
    <t>赵传秀</t>
  </si>
  <si>
    <t>422626196312123020</t>
  </si>
  <si>
    <t>柯尊来</t>
  </si>
  <si>
    <t>422626195411163015</t>
  </si>
  <si>
    <t>李进</t>
  </si>
  <si>
    <t>420325198404013018</t>
  </si>
  <si>
    <t>陈德贵</t>
  </si>
  <si>
    <t>422626195305133015</t>
  </si>
  <si>
    <t>王中新</t>
  </si>
  <si>
    <t>422626195802233033</t>
  </si>
  <si>
    <t>向显青</t>
  </si>
  <si>
    <t>422626196310243016</t>
  </si>
  <si>
    <t>胡厚勇</t>
  </si>
  <si>
    <t>422626196707113011</t>
  </si>
  <si>
    <t>柯希华</t>
  </si>
  <si>
    <t>42262619600402301X</t>
  </si>
  <si>
    <t>张艳</t>
  </si>
  <si>
    <t>42262619661225302X</t>
  </si>
  <si>
    <t>蔺万金</t>
  </si>
  <si>
    <t>420323198701135879</t>
  </si>
  <si>
    <t>陆定堂</t>
  </si>
  <si>
    <t>422626196612173011</t>
  </si>
  <si>
    <t>唐加学</t>
  </si>
  <si>
    <t>42262619490821301X</t>
  </si>
  <si>
    <t>刘选强</t>
  </si>
  <si>
    <t>422626195106073013</t>
  </si>
  <si>
    <t>胡春停</t>
  </si>
  <si>
    <t>422626196309183014</t>
  </si>
  <si>
    <t>王太顺</t>
  </si>
  <si>
    <t>422626196901213032</t>
  </si>
  <si>
    <t>陆登伟</t>
  </si>
  <si>
    <t>422626197303283019</t>
  </si>
  <si>
    <t>朱万富</t>
  </si>
  <si>
    <t>422626196808193014</t>
  </si>
  <si>
    <t>沈明朋</t>
  </si>
  <si>
    <t>422626195709053011</t>
  </si>
  <si>
    <t>王太志</t>
  </si>
  <si>
    <t>422626196701083018</t>
  </si>
  <si>
    <t>吴龙昌</t>
  </si>
  <si>
    <t>420325198907183019</t>
  </si>
  <si>
    <t>刘安艮</t>
  </si>
  <si>
    <t>422626197305153015</t>
  </si>
  <si>
    <t>刘从英</t>
  </si>
  <si>
    <t>422626194201103028</t>
  </si>
  <si>
    <t>朱端明</t>
  </si>
  <si>
    <t>422626197312313013</t>
  </si>
  <si>
    <t>李开定</t>
  </si>
  <si>
    <t>422626196912243034</t>
  </si>
  <si>
    <t>徐远贵</t>
  </si>
  <si>
    <t>422626195504103011</t>
  </si>
  <si>
    <t>422626196609293012</t>
  </si>
  <si>
    <t>彭达江</t>
  </si>
  <si>
    <t>422626195005113012</t>
  </si>
  <si>
    <t>苏保成</t>
  </si>
  <si>
    <t>420325196411083015</t>
  </si>
  <si>
    <t>王财全</t>
  </si>
  <si>
    <t>422626194306063018</t>
  </si>
  <si>
    <t>张友强</t>
  </si>
  <si>
    <t>420325198512093019</t>
  </si>
  <si>
    <t>林玉国</t>
  </si>
  <si>
    <t>422626195607083017</t>
  </si>
  <si>
    <t>柯昌发</t>
  </si>
  <si>
    <t>422626194606203019</t>
  </si>
  <si>
    <t>张林清</t>
  </si>
  <si>
    <t>422626195403033018</t>
  </si>
  <si>
    <t>桂长斌</t>
  </si>
  <si>
    <t>420325197001173012</t>
  </si>
  <si>
    <t>柯尊农</t>
  </si>
  <si>
    <t>422626194209043015</t>
  </si>
  <si>
    <t>徐远满</t>
  </si>
  <si>
    <t>42262619590603301X</t>
  </si>
  <si>
    <t>皮永华</t>
  </si>
  <si>
    <t>422626197207123015</t>
  </si>
  <si>
    <t>张正洪</t>
  </si>
  <si>
    <t>储成凤</t>
  </si>
  <si>
    <t>周  强</t>
  </si>
  <si>
    <t>420325198310223014</t>
  </si>
  <si>
    <t>陈新华</t>
  </si>
  <si>
    <t>422626195207273065</t>
  </si>
  <si>
    <t>杨绪林</t>
  </si>
  <si>
    <t>422626194902083015</t>
  </si>
  <si>
    <t>周绍文</t>
  </si>
  <si>
    <t>422626194802153012</t>
  </si>
  <si>
    <t>向开荣</t>
  </si>
  <si>
    <t>422626195705233031</t>
  </si>
  <si>
    <t>焦昌田</t>
  </si>
  <si>
    <t>422626195104103012</t>
  </si>
  <si>
    <t>黄开贵</t>
  </si>
  <si>
    <t>422626197306233033</t>
  </si>
  <si>
    <t>苏清龙</t>
  </si>
  <si>
    <t>422626195605163013</t>
  </si>
  <si>
    <t>柯尊伍</t>
  </si>
  <si>
    <t>422626195110263012</t>
  </si>
  <si>
    <t>帅昌福</t>
  </si>
  <si>
    <t>422626195107203019</t>
  </si>
  <si>
    <t>杨守德</t>
  </si>
  <si>
    <t>42262619630708301X</t>
  </si>
  <si>
    <t>陈仕国</t>
  </si>
  <si>
    <t>422626197506043015</t>
  </si>
  <si>
    <t>王道清</t>
  </si>
  <si>
    <t>422626195611213013</t>
  </si>
  <si>
    <t>周在艮</t>
  </si>
  <si>
    <t>422626195710313036</t>
  </si>
  <si>
    <t>杨华明</t>
  </si>
  <si>
    <t>422626196311013014</t>
  </si>
  <si>
    <t>张文学</t>
  </si>
  <si>
    <t>422626193606263017</t>
  </si>
  <si>
    <t>杨昌清</t>
  </si>
  <si>
    <t>422626196108313011</t>
  </si>
  <si>
    <t>孙进朋</t>
  </si>
  <si>
    <t>422626197103223038</t>
  </si>
  <si>
    <t>吴洪全</t>
  </si>
  <si>
    <t>422626197107073014</t>
  </si>
  <si>
    <t>肖建菊</t>
  </si>
  <si>
    <t>422626197002233325</t>
  </si>
  <si>
    <t>邓明超</t>
  </si>
  <si>
    <t>420325197705023012</t>
  </si>
  <si>
    <t>杨传荣</t>
  </si>
  <si>
    <t>422626195903013013</t>
  </si>
  <si>
    <t>郑道清</t>
  </si>
  <si>
    <t>422626194409163011</t>
  </si>
  <si>
    <t>杨传志</t>
  </si>
  <si>
    <t>422626196808093056</t>
  </si>
  <si>
    <t>焦龙海</t>
  </si>
  <si>
    <t>422626194905133014</t>
  </si>
  <si>
    <t>昝大艮</t>
  </si>
  <si>
    <t>422626195406133014</t>
  </si>
  <si>
    <t>420325197304073019</t>
  </si>
  <si>
    <t>向显宝</t>
  </si>
  <si>
    <t>42262619640612301344</t>
  </si>
  <si>
    <t>向荣升</t>
  </si>
  <si>
    <t>422626196610083071</t>
  </si>
  <si>
    <t>张帮连</t>
  </si>
  <si>
    <t>422626196602233025</t>
  </si>
  <si>
    <t>刘克友</t>
  </si>
  <si>
    <t>422626194807023014</t>
  </si>
  <si>
    <t>刘克华</t>
  </si>
  <si>
    <t>422626195210123033</t>
  </si>
  <si>
    <t>邓占奎</t>
  </si>
  <si>
    <t>422626194405073051</t>
  </si>
  <si>
    <t>杨永鑫</t>
  </si>
  <si>
    <t>422626196903203030</t>
  </si>
  <si>
    <t>郑家富</t>
  </si>
  <si>
    <t>42262619521020305X</t>
  </si>
  <si>
    <t>杨行炳</t>
  </si>
  <si>
    <t>422626194901033016</t>
  </si>
  <si>
    <t>刘光元</t>
  </si>
  <si>
    <t>422626195312273016</t>
  </si>
  <si>
    <t>胡长菊</t>
  </si>
  <si>
    <t>42262619480723302X</t>
  </si>
  <si>
    <t>钱国军</t>
  </si>
  <si>
    <t>422626196805043010</t>
  </si>
  <si>
    <t>郭乐坤</t>
  </si>
  <si>
    <t>422626196807103072</t>
  </si>
  <si>
    <t>赵礼兵</t>
  </si>
  <si>
    <t>422626197312123017</t>
  </si>
  <si>
    <t>朱其元</t>
  </si>
  <si>
    <t>422626194201213016</t>
  </si>
  <si>
    <t>柯尊益</t>
  </si>
  <si>
    <t>422626194204093013</t>
  </si>
  <si>
    <t>422626196510033034</t>
  </si>
  <si>
    <t>周文斌</t>
  </si>
  <si>
    <t>422626196212252618</t>
  </si>
  <si>
    <t>戢逢珍</t>
  </si>
  <si>
    <t>422626193905183025</t>
  </si>
  <si>
    <t>蹇正元</t>
  </si>
  <si>
    <t>422626195503283030</t>
  </si>
  <si>
    <t>车芝红</t>
  </si>
  <si>
    <t>422626197804280027</t>
  </si>
  <si>
    <t>黄开仁</t>
  </si>
  <si>
    <t>422626194201223011</t>
  </si>
  <si>
    <t>陈志虎</t>
  </si>
  <si>
    <t>420325198103233017</t>
  </si>
  <si>
    <t>袁学贵</t>
  </si>
  <si>
    <t>422626194210223013</t>
  </si>
  <si>
    <t>杨天旭</t>
  </si>
  <si>
    <t>420325197502052657</t>
  </si>
  <si>
    <t>谢道志</t>
  </si>
  <si>
    <t>422626194810123016</t>
  </si>
  <si>
    <t>李良才</t>
  </si>
  <si>
    <t>422626194612083017</t>
  </si>
  <si>
    <t>陈正学</t>
  </si>
  <si>
    <t>420325194703182614</t>
  </si>
  <si>
    <t>422626196510172616</t>
  </si>
  <si>
    <t>柯尊明</t>
  </si>
  <si>
    <t>422626195302283034</t>
  </si>
  <si>
    <t>秦诗明</t>
  </si>
  <si>
    <t>422626194011193018</t>
  </si>
  <si>
    <t>曹先枝</t>
  </si>
  <si>
    <t>422626195203173016</t>
  </si>
  <si>
    <t>雷国文</t>
  </si>
  <si>
    <t>422626195508053015</t>
  </si>
  <si>
    <t>刘丛杰</t>
  </si>
  <si>
    <t>422626193910263011</t>
  </si>
  <si>
    <t>曹万清</t>
  </si>
  <si>
    <t>422626196405013015</t>
  </si>
  <si>
    <t>沈卫华</t>
  </si>
  <si>
    <t>422626196301113011</t>
  </si>
  <si>
    <t>戢逢兵</t>
  </si>
  <si>
    <t>420325194312092611</t>
  </si>
  <si>
    <t>陈士兴</t>
  </si>
  <si>
    <t>422626195503093034</t>
  </si>
  <si>
    <t>李友福</t>
  </si>
  <si>
    <t>422626196312153019</t>
  </si>
  <si>
    <t>刘皇春</t>
  </si>
  <si>
    <t>422626196610102615</t>
  </si>
  <si>
    <t>贺昌奎</t>
  </si>
  <si>
    <t>422626196105052610</t>
  </si>
  <si>
    <t>董全成</t>
  </si>
  <si>
    <t>420325198107132619</t>
  </si>
  <si>
    <t>黄英停</t>
  </si>
  <si>
    <t>420325196309102638</t>
  </si>
  <si>
    <t>张正明</t>
  </si>
  <si>
    <t>420325195107122636</t>
  </si>
  <si>
    <t>张正权</t>
  </si>
  <si>
    <t>42262619610818263X</t>
  </si>
  <si>
    <t>黄运财</t>
  </si>
  <si>
    <t>422626195305192613</t>
  </si>
  <si>
    <t>董正学</t>
  </si>
  <si>
    <t>42262619711229265X</t>
  </si>
  <si>
    <t>程家森</t>
  </si>
  <si>
    <t>422626194212232618</t>
  </si>
  <si>
    <t>万刚林</t>
  </si>
  <si>
    <t>422626196305112614</t>
  </si>
  <si>
    <t>丁泽宪</t>
  </si>
  <si>
    <t>42262619580331263054</t>
  </si>
  <si>
    <t>宋学明</t>
  </si>
  <si>
    <t>42262619420320261X</t>
  </si>
  <si>
    <t>李修能</t>
  </si>
  <si>
    <t>42262619490601261X</t>
  </si>
  <si>
    <t>陈振军</t>
  </si>
  <si>
    <t>422626197005032617</t>
  </si>
  <si>
    <t>胡海平</t>
  </si>
  <si>
    <t>420325198201292651</t>
  </si>
  <si>
    <t>陈会忠</t>
  </si>
  <si>
    <t>422626194211222610</t>
  </si>
  <si>
    <t>马德明</t>
  </si>
  <si>
    <t>420325195506272631</t>
  </si>
  <si>
    <t>阮永群</t>
  </si>
  <si>
    <t>420325196110082633</t>
  </si>
  <si>
    <t>黄奕奎</t>
  </si>
  <si>
    <t>422626196202012610</t>
  </si>
  <si>
    <t>罗秀兰</t>
  </si>
  <si>
    <t>422626196811062621</t>
  </si>
  <si>
    <t>张寿达</t>
  </si>
  <si>
    <t>422626195204212611</t>
  </si>
  <si>
    <t>肖泽俊</t>
  </si>
  <si>
    <t>420325197609182611</t>
  </si>
  <si>
    <t>常明先</t>
  </si>
  <si>
    <t>422626196305012613</t>
  </si>
  <si>
    <t>吴正祥</t>
  </si>
  <si>
    <t>422626195203072610</t>
  </si>
  <si>
    <t>常月义</t>
  </si>
  <si>
    <t>422626195109282611</t>
  </si>
  <si>
    <t>常明勇</t>
  </si>
  <si>
    <t>420325197707152619</t>
  </si>
  <si>
    <t>张玉兰</t>
  </si>
  <si>
    <t>422626196111052625</t>
  </si>
  <si>
    <t>谢道华</t>
  </si>
  <si>
    <t>422626197410242634</t>
  </si>
  <si>
    <t>谢奎</t>
  </si>
  <si>
    <t>422626197211082615</t>
  </si>
  <si>
    <t>王彩贵</t>
  </si>
  <si>
    <t>422626195503112637</t>
  </si>
  <si>
    <t>陈守权</t>
  </si>
  <si>
    <t>420325197010272610</t>
  </si>
  <si>
    <t>董玉珍</t>
  </si>
  <si>
    <t>422626194503152626</t>
  </si>
  <si>
    <t>王关兴</t>
  </si>
  <si>
    <t>422626196912172619</t>
  </si>
  <si>
    <t>汪正义</t>
  </si>
  <si>
    <t>42262619480929263X</t>
  </si>
  <si>
    <t>陆龙发</t>
  </si>
  <si>
    <t>420325198101122612</t>
  </si>
  <si>
    <t>李华春</t>
  </si>
  <si>
    <t>422626195104202619</t>
  </si>
  <si>
    <t>肖伟</t>
  </si>
  <si>
    <t>420325198108272656</t>
  </si>
  <si>
    <t>郭乐生</t>
  </si>
  <si>
    <t>422626196204192619</t>
  </si>
  <si>
    <t>张祖建</t>
  </si>
  <si>
    <t>422626197402122616</t>
  </si>
  <si>
    <t>孟聚兵</t>
  </si>
  <si>
    <t>420325198410242677</t>
  </si>
  <si>
    <t>郑厚海</t>
  </si>
  <si>
    <t>422626196901262619</t>
  </si>
  <si>
    <t>何森林</t>
  </si>
  <si>
    <t>422626196001072617</t>
  </si>
  <si>
    <t>陆兴山</t>
  </si>
  <si>
    <t>422626194210252658</t>
  </si>
  <si>
    <t>李生伟</t>
  </si>
  <si>
    <t>422626197207092618</t>
  </si>
  <si>
    <t>陆兴举</t>
  </si>
  <si>
    <t>422626193408312631</t>
  </si>
  <si>
    <t>陈琼</t>
  </si>
  <si>
    <t>420325198012122610</t>
  </si>
  <si>
    <t>刘忠良</t>
  </si>
  <si>
    <t>422626196509132617</t>
  </si>
  <si>
    <t>陆兴付</t>
  </si>
  <si>
    <t>422626195409152616</t>
  </si>
  <si>
    <t>陆龙云</t>
  </si>
  <si>
    <t>422626195004182614</t>
  </si>
  <si>
    <t>赵礼国</t>
  </si>
  <si>
    <t>42032519661229265731</t>
  </si>
  <si>
    <t>何化吉</t>
  </si>
  <si>
    <t>422626197402022615</t>
  </si>
  <si>
    <t>陆磊</t>
  </si>
  <si>
    <t>420325199203022633</t>
  </si>
  <si>
    <t>陈士千</t>
  </si>
  <si>
    <t>422626195107042614</t>
  </si>
  <si>
    <t>陆兴友</t>
  </si>
  <si>
    <t>422626196512242614</t>
  </si>
  <si>
    <t>李昌群</t>
  </si>
  <si>
    <t>422626195703012630</t>
  </si>
  <si>
    <t>肖本国</t>
  </si>
  <si>
    <t>422626196912032632</t>
  </si>
  <si>
    <t>422626195203112627</t>
  </si>
  <si>
    <t>李生强</t>
  </si>
  <si>
    <t>422626195509292616</t>
  </si>
  <si>
    <t>陈立勇</t>
  </si>
  <si>
    <t>42262619690315263231</t>
  </si>
  <si>
    <t>陆兴伦</t>
  </si>
  <si>
    <t>422626195401232611</t>
  </si>
  <si>
    <t>刘立发</t>
  </si>
  <si>
    <t>42262619721008263X</t>
  </si>
  <si>
    <t>422626194308182619</t>
  </si>
  <si>
    <t>陆龙根</t>
  </si>
  <si>
    <t>422626196805012636</t>
  </si>
  <si>
    <t>王关清</t>
  </si>
  <si>
    <t>422626195301022617</t>
  </si>
  <si>
    <t>熊兴仁</t>
  </si>
  <si>
    <t>420325195503282658</t>
  </si>
  <si>
    <t>陆龙升</t>
  </si>
  <si>
    <t>422626195406122614</t>
  </si>
  <si>
    <t>左勇</t>
  </si>
  <si>
    <t>42032519781106267262</t>
  </si>
  <si>
    <t>张兴龙</t>
  </si>
  <si>
    <t>422626194810152618</t>
  </si>
  <si>
    <t>李生权</t>
  </si>
  <si>
    <t>422626195605172614</t>
  </si>
  <si>
    <t>熊奎</t>
  </si>
  <si>
    <t>42262619750714263X</t>
  </si>
  <si>
    <t>彭诗兵</t>
  </si>
  <si>
    <t>422626196111052617</t>
  </si>
  <si>
    <t>李志庆</t>
  </si>
  <si>
    <t>422626195610182614</t>
  </si>
  <si>
    <t>熊彪</t>
  </si>
  <si>
    <t>420325198901012673</t>
  </si>
  <si>
    <t>李生林</t>
  </si>
  <si>
    <t>422626194403302615</t>
  </si>
  <si>
    <t>陆宏兴</t>
  </si>
  <si>
    <t>42262619620527261042</t>
  </si>
  <si>
    <t>王成鹄</t>
  </si>
  <si>
    <t>422626193801272613</t>
  </si>
  <si>
    <t>420325198706302616</t>
  </si>
  <si>
    <t>陆宏右</t>
  </si>
  <si>
    <t>420325196907182631</t>
  </si>
  <si>
    <t>陆龙军</t>
  </si>
  <si>
    <t>422626196312142619</t>
  </si>
  <si>
    <t>陈立凯</t>
  </si>
  <si>
    <t>422626196609272617</t>
  </si>
  <si>
    <t>陈立荣</t>
  </si>
  <si>
    <t>422626197101042612</t>
  </si>
  <si>
    <t>陈立志</t>
  </si>
  <si>
    <t>42262619640123261631</t>
  </si>
  <si>
    <t>李志满</t>
  </si>
  <si>
    <t>422626194609262639</t>
  </si>
  <si>
    <t>陆龙兵</t>
  </si>
  <si>
    <t>422626197311012630</t>
  </si>
  <si>
    <t>陆千</t>
  </si>
  <si>
    <t>420325197411082615</t>
  </si>
  <si>
    <t>陆兴义</t>
  </si>
  <si>
    <t>422626195804132615</t>
  </si>
  <si>
    <t>陆兴国</t>
  </si>
  <si>
    <t>422626197202052617</t>
  </si>
  <si>
    <t>陈飞</t>
  </si>
  <si>
    <t>422626197103042616</t>
  </si>
  <si>
    <t>王成海</t>
  </si>
  <si>
    <t>422626196104052619</t>
  </si>
  <si>
    <t>陆宏文</t>
  </si>
  <si>
    <t>422626195609022656</t>
  </si>
  <si>
    <t>温太喜</t>
  </si>
  <si>
    <t>422626195603082615</t>
  </si>
  <si>
    <t>王国林</t>
  </si>
  <si>
    <t>422626196704022616</t>
  </si>
  <si>
    <t>苏清成</t>
  </si>
  <si>
    <t>422626196610312631</t>
  </si>
  <si>
    <t>宋学仁</t>
  </si>
  <si>
    <t>42262619550205261X</t>
  </si>
  <si>
    <t>饶帮艮</t>
  </si>
  <si>
    <t>422626195106112617</t>
  </si>
  <si>
    <t>罗昌英</t>
  </si>
  <si>
    <t>420325197110142688</t>
  </si>
  <si>
    <t>刘德良</t>
  </si>
  <si>
    <t>420325196411242610</t>
  </si>
  <si>
    <t>黄锦运</t>
  </si>
  <si>
    <t>422626195312082615</t>
  </si>
  <si>
    <t>黄锦成</t>
  </si>
  <si>
    <t>422626196503032615</t>
  </si>
  <si>
    <t>黄家全</t>
  </si>
  <si>
    <t>420325197907192615</t>
  </si>
  <si>
    <t>胡元生</t>
  </si>
  <si>
    <t>422626194311162619</t>
  </si>
  <si>
    <t>何建堂</t>
  </si>
  <si>
    <t>42262619540306261X</t>
  </si>
  <si>
    <t>陈国礼</t>
  </si>
  <si>
    <t>422626195506072634</t>
  </si>
  <si>
    <t>刘传江</t>
  </si>
  <si>
    <t>422626195204072612</t>
  </si>
  <si>
    <t>何光成</t>
  </si>
  <si>
    <t>42262619640702261X</t>
  </si>
  <si>
    <t>饶志军</t>
  </si>
  <si>
    <t>422626196001252618</t>
  </si>
  <si>
    <t>昝启虎</t>
  </si>
  <si>
    <t>422626197105102619</t>
  </si>
  <si>
    <t>陈明坤</t>
  </si>
  <si>
    <t>420325197510132614</t>
  </si>
  <si>
    <t>宋红清</t>
  </si>
  <si>
    <t>422626196706042637</t>
  </si>
  <si>
    <t>何立权</t>
  </si>
  <si>
    <t>42262619451130261214</t>
  </si>
  <si>
    <t>何建成</t>
  </si>
  <si>
    <t>422626194701212618</t>
  </si>
  <si>
    <t>何平元</t>
  </si>
  <si>
    <t>422626197002253019</t>
  </si>
  <si>
    <t>邢方乐</t>
  </si>
  <si>
    <t>42262619550605265X</t>
  </si>
  <si>
    <t>薛胜明</t>
  </si>
  <si>
    <t>420325196808152656</t>
  </si>
  <si>
    <t>龚士武</t>
  </si>
  <si>
    <t>422626196405172614</t>
  </si>
  <si>
    <t>江龙成</t>
  </si>
  <si>
    <t>422626195411262611</t>
  </si>
  <si>
    <t>邓乐权</t>
  </si>
  <si>
    <t>420325197104062657</t>
  </si>
  <si>
    <t>刘继栋</t>
  </si>
  <si>
    <t>422626195504302619</t>
  </si>
  <si>
    <t>42262619500216261X</t>
  </si>
  <si>
    <t>邓艮春</t>
  </si>
  <si>
    <t>422626196410162613</t>
  </si>
  <si>
    <t>郭代禄</t>
  </si>
  <si>
    <t>422626196704022632</t>
  </si>
  <si>
    <t>邓发红</t>
  </si>
  <si>
    <t>422626196907302650</t>
  </si>
  <si>
    <t>蒋安群</t>
  </si>
  <si>
    <t>42032519810512261X</t>
  </si>
  <si>
    <t>张永新</t>
  </si>
  <si>
    <t>422626196909222638</t>
  </si>
  <si>
    <t>周良玉</t>
  </si>
  <si>
    <t>422626195206152616</t>
  </si>
  <si>
    <t>周良仁</t>
  </si>
  <si>
    <t>422626194908032614</t>
  </si>
  <si>
    <t>422626194405042618</t>
  </si>
  <si>
    <t>汪公兵</t>
  </si>
  <si>
    <t>422626197205082651</t>
  </si>
  <si>
    <t>汪公成</t>
  </si>
  <si>
    <t>422626197201152616</t>
  </si>
  <si>
    <t>李海波</t>
  </si>
  <si>
    <t>420325198003292634</t>
  </si>
  <si>
    <t>陆龙成</t>
  </si>
  <si>
    <t>422626195411052630</t>
  </si>
  <si>
    <t>黄建明</t>
  </si>
  <si>
    <t>422626195612232611</t>
  </si>
  <si>
    <t>陆龙贵</t>
  </si>
  <si>
    <t>42262619640307261X</t>
  </si>
  <si>
    <t>昝大旭</t>
  </si>
  <si>
    <t>422626196310082616</t>
  </si>
  <si>
    <t>刘中秉</t>
  </si>
  <si>
    <t>422626197102112619</t>
  </si>
  <si>
    <t>42262619560902263X</t>
  </si>
  <si>
    <t>422626196410152618</t>
  </si>
  <si>
    <t>郑传营</t>
  </si>
  <si>
    <t>422626194906082618</t>
  </si>
  <si>
    <t>车桂尤</t>
  </si>
  <si>
    <t>422626195707182629</t>
  </si>
  <si>
    <t>422626195603102612</t>
  </si>
  <si>
    <t>郑传军</t>
  </si>
  <si>
    <t>422626197306202616</t>
  </si>
  <si>
    <t>陆龙玖</t>
  </si>
  <si>
    <t>420325197505172312</t>
  </si>
  <si>
    <t>彭诗全</t>
  </si>
  <si>
    <t>422626197605292631</t>
  </si>
  <si>
    <t>杨士定</t>
  </si>
  <si>
    <t>422626195703132616</t>
  </si>
  <si>
    <t>张兴海</t>
  </si>
  <si>
    <t>422626193004112617</t>
  </si>
  <si>
    <t>杨士权</t>
  </si>
  <si>
    <t>422626197703212658</t>
  </si>
  <si>
    <t>杨定余</t>
  </si>
  <si>
    <t>420325198503172639</t>
  </si>
  <si>
    <t>杨树海</t>
  </si>
  <si>
    <t>422626195711092618</t>
  </si>
  <si>
    <t>杨士武</t>
  </si>
  <si>
    <t>420325197704122617</t>
  </si>
  <si>
    <t>422626195411212622</t>
  </si>
  <si>
    <t>李兴龙</t>
  </si>
  <si>
    <t>422626195503042616</t>
  </si>
  <si>
    <t>汪义学</t>
  </si>
  <si>
    <t>422626194810302612</t>
  </si>
  <si>
    <t>刘万军</t>
  </si>
  <si>
    <t>420325196304092653</t>
  </si>
  <si>
    <t>王天义</t>
  </si>
  <si>
    <t>42262619460816261X</t>
  </si>
  <si>
    <t>鄢兆和</t>
  </si>
  <si>
    <t>422626196205142613</t>
  </si>
  <si>
    <t>刘前旭</t>
  </si>
  <si>
    <t>42262619681205261X</t>
  </si>
  <si>
    <t>刘前进</t>
  </si>
  <si>
    <t>422626197112232614</t>
  </si>
  <si>
    <t>刘前军</t>
  </si>
  <si>
    <t>422626197201022619</t>
  </si>
  <si>
    <t>刘前玉</t>
  </si>
  <si>
    <t>422626196809242631</t>
  </si>
  <si>
    <t>何立清</t>
  </si>
  <si>
    <t>42262619660412261X</t>
  </si>
  <si>
    <t xml:space="preserve">彭朝毅 </t>
  </si>
  <si>
    <t>420325196010072710</t>
  </si>
  <si>
    <t>王天柱</t>
  </si>
  <si>
    <t>42262619480507263X</t>
  </si>
  <si>
    <t>王尧</t>
  </si>
  <si>
    <t>422626196508222637</t>
  </si>
  <si>
    <t>422626196510232615</t>
  </si>
  <si>
    <t>龚立生</t>
  </si>
  <si>
    <t>42262619410723261612</t>
  </si>
  <si>
    <t>龚立胜</t>
  </si>
  <si>
    <t>422626197110252611</t>
  </si>
  <si>
    <t>龚立林</t>
  </si>
  <si>
    <t>42262619650425261X31</t>
  </si>
  <si>
    <t>龚立现</t>
  </si>
  <si>
    <t>42262619481230261644</t>
  </si>
  <si>
    <t>龚世友</t>
  </si>
  <si>
    <t>422626197309142639</t>
  </si>
  <si>
    <t>龚立银</t>
  </si>
  <si>
    <t>422626195109192659</t>
  </si>
  <si>
    <t>422626197410242618</t>
  </si>
  <si>
    <t>王国胜</t>
  </si>
  <si>
    <t>422626193406242633</t>
  </si>
  <si>
    <t>王正德</t>
  </si>
  <si>
    <t>422626196105052653</t>
  </si>
  <si>
    <t>彭贵贤</t>
  </si>
  <si>
    <t>422626195005192611</t>
  </si>
  <si>
    <t>彭良柱</t>
  </si>
  <si>
    <t>42262619590506261X</t>
  </si>
  <si>
    <t>万刚贵</t>
  </si>
  <si>
    <t>422626196410022653</t>
  </si>
  <si>
    <t>万刚付</t>
  </si>
  <si>
    <t>422626196112042613</t>
  </si>
  <si>
    <t>彭良学</t>
  </si>
  <si>
    <t>422626195708312659</t>
  </si>
  <si>
    <t>彭富贤</t>
  </si>
  <si>
    <t>42262619470926261X44</t>
  </si>
  <si>
    <t>周兆海</t>
  </si>
  <si>
    <t>42262619620304261942</t>
  </si>
  <si>
    <t>王杰顺</t>
  </si>
  <si>
    <t>422626194901012610</t>
  </si>
  <si>
    <t>422626196304152630</t>
  </si>
  <si>
    <t>熊桂荣</t>
  </si>
  <si>
    <t>422626194112292621</t>
  </si>
  <si>
    <t>杨  军</t>
  </si>
  <si>
    <t>420325196611282633</t>
  </si>
  <si>
    <t>刘贤进</t>
  </si>
  <si>
    <t>422626194804102614</t>
  </si>
  <si>
    <t>宋庭华</t>
  </si>
  <si>
    <t>422626195310282613</t>
  </si>
  <si>
    <t>420325197604152632</t>
  </si>
  <si>
    <t>王兰荣</t>
  </si>
  <si>
    <t>422626194704262610</t>
  </si>
  <si>
    <t>何胜元</t>
  </si>
  <si>
    <t>422626194405042634</t>
  </si>
  <si>
    <t>彭良成</t>
  </si>
  <si>
    <t>420325195408102639</t>
  </si>
  <si>
    <t>向华军</t>
  </si>
  <si>
    <t>420325197601082659</t>
  </si>
  <si>
    <t>彭大军</t>
  </si>
  <si>
    <t>422626197801042613</t>
  </si>
  <si>
    <t>422626197802122615</t>
  </si>
  <si>
    <t>刘行传</t>
  </si>
  <si>
    <t>422626195607012614</t>
  </si>
  <si>
    <t>刘行海</t>
  </si>
  <si>
    <t>42262619381229261X</t>
  </si>
  <si>
    <t>谢光胜</t>
  </si>
  <si>
    <t>422626196604032630</t>
  </si>
  <si>
    <t>李相军</t>
  </si>
  <si>
    <t>422626197311152633</t>
  </si>
  <si>
    <t>刘传成</t>
  </si>
  <si>
    <t>422626194806052614</t>
  </si>
  <si>
    <t>谢道升</t>
  </si>
  <si>
    <t>422626194412262619</t>
  </si>
  <si>
    <t>谢道宏</t>
  </si>
  <si>
    <t>422626194901162619</t>
  </si>
  <si>
    <t>李生平</t>
  </si>
  <si>
    <t>422626195902022655</t>
  </si>
  <si>
    <t>昝艳华</t>
  </si>
  <si>
    <t>420325196502102621</t>
  </si>
  <si>
    <t>彭荣贤</t>
  </si>
  <si>
    <t>422626194311142618</t>
  </si>
  <si>
    <t>钱宝珍</t>
  </si>
  <si>
    <t>422626193703172619</t>
  </si>
  <si>
    <t>刘绍庭</t>
  </si>
  <si>
    <t>422626195809252616</t>
  </si>
  <si>
    <t>何大杰</t>
  </si>
  <si>
    <t>420325199111172634</t>
  </si>
  <si>
    <t>何立进</t>
  </si>
  <si>
    <t>422626195401292614</t>
  </si>
  <si>
    <t>何立伦</t>
  </si>
  <si>
    <t>422626194004222634</t>
  </si>
  <si>
    <t>龚士平</t>
  </si>
  <si>
    <t>420325197708222615</t>
  </si>
  <si>
    <t>何会吉</t>
  </si>
  <si>
    <t>422626195305202615</t>
  </si>
  <si>
    <t>陈娓娓</t>
  </si>
  <si>
    <t>420324198807125026</t>
  </si>
  <si>
    <t>杨正成</t>
  </si>
  <si>
    <t>42262619510909263143</t>
  </si>
  <si>
    <t>杨光宝</t>
  </si>
  <si>
    <t>422626196908162610</t>
  </si>
  <si>
    <t>何立纪</t>
  </si>
  <si>
    <t>422626194711072612</t>
  </si>
  <si>
    <t>何文吉</t>
  </si>
  <si>
    <t>42262619691101263X</t>
  </si>
  <si>
    <t>何立常</t>
  </si>
  <si>
    <t>422626193603092611</t>
  </si>
  <si>
    <t>张祖炎</t>
  </si>
  <si>
    <t>420325196804142637</t>
  </si>
  <si>
    <t>谢道高</t>
  </si>
  <si>
    <t>422626195312302614</t>
  </si>
  <si>
    <t>戢太友</t>
  </si>
  <si>
    <t>422626194907182637</t>
  </si>
  <si>
    <t>彭朝忠</t>
  </si>
  <si>
    <t>422626194605162657</t>
  </si>
  <si>
    <t>422626197204162617</t>
  </si>
  <si>
    <t>422626196604162638</t>
  </si>
  <si>
    <t>项先成</t>
  </si>
  <si>
    <t>420325197402252635</t>
  </si>
  <si>
    <t>徐传明</t>
  </si>
  <si>
    <t>42262619580719263X</t>
  </si>
  <si>
    <t>熊兴贵</t>
  </si>
  <si>
    <t>422626197312182631</t>
  </si>
  <si>
    <t>宋清炳</t>
  </si>
  <si>
    <t>42032519760914261X</t>
  </si>
  <si>
    <t>许光财</t>
  </si>
  <si>
    <t>422626195701132612</t>
  </si>
  <si>
    <t>马勇</t>
  </si>
  <si>
    <t>422626197008292617</t>
  </si>
  <si>
    <t>422626196009302616</t>
  </si>
  <si>
    <t>胡玉海</t>
  </si>
  <si>
    <t>422626196303272614</t>
  </si>
  <si>
    <t>巩兴明</t>
  </si>
  <si>
    <t>42262619530422613</t>
  </si>
  <si>
    <t>黄远明</t>
  </si>
  <si>
    <t>420325196404142697</t>
  </si>
  <si>
    <t>冯金祥</t>
  </si>
  <si>
    <t>42262619590215261X</t>
  </si>
  <si>
    <t>张富贵</t>
  </si>
  <si>
    <t>422626195204042616</t>
  </si>
  <si>
    <t>冯明贵</t>
  </si>
  <si>
    <t>422626195311172619</t>
  </si>
  <si>
    <t>代付春</t>
  </si>
  <si>
    <t>422626195503152612</t>
  </si>
  <si>
    <t>422626196603172615</t>
  </si>
  <si>
    <t>陈守英</t>
  </si>
  <si>
    <t>42262619480325262931</t>
  </si>
  <si>
    <t>石青友</t>
  </si>
  <si>
    <t>422626192804052611</t>
  </si>
  <si>
    <t>42032519501213261231</t>
  </si>
  <si>
    <t>张旭</t>
  </si>
  <si>
    <t>420325199007302611</t>
  </si>
  <si>
    <t>何顺元</t>
  </si>
  <si>
    <t>422626195806222614</t>
  </si>
  <si>
    <t>陈金国</t>
  </si>
  <si>
    <t>422626197007062617</t>
  </si>
  <si>
    <t>周光富</t>
  </si>
  <si>
    <t>422626196209112614</t>
  </si>
  <si>
    <t>王义华</t>
  </si>
  <si>
    <t>422626196304142619</t>
  </si>
  <si>
    <t>金天才</t>
  </si>
  <si>
    <t>420325195704042693</t>
  </si>
  <si>
    <t>全昌明</t>
  </si>
  <si>
    <t>420325196109102633</t>
  </si>
  <si>
    <t>陆保珍</t>
  </si>
  <si>
    <t>42262619500121262X</t>
  </si>
  <si>
    <t>420325195508062611</t>
  </si>
  <si>
    <t>喻家香</t>
  </si>
  <si>
    <t>422626196003162624</t>
  </si>
  <si>
    <t>王国云</t>
  </si>
  <si>
    <t>422626195409252617</t>
  </si>
  <si>
    <t>徐传成</t>
  </si>
  <si>
    <t>422626196305192618</t>
  </si>
  <si>
    <t>杨俊春</t>
  </si>
  <si>
    <t>420325198105022635</t>
  </si>
  <si>
    <t>陈安福</t>
  </si>
  <si>
    <t>422626195102073315</t>
  </si>
  <si>
    <t>董荣成</t>
  </si>
  <si>
    <t>422626196404093316</t>
  </si>
  <si>
    <t>董寿英</t>
  </si>
  <si>
    <t>422626194703143329</t>
  </si>
  <si>
    <t>杜登贵</t>
  </si>
  <si>
    <t>422626194806083314</t>
  </si>
  <si>
    <t>华元波</t>
  </si>
  <si>
    <t>422626197503243310</t>
  </si>
  <si>
    <t>李国太</t>
  </si>
  <si>
    <t>422626194407073311</t>
  </si>
  <si>
    <t>李应书</t>
  </si>
  <si>
    <t>420325197806173319</t>
  </si>
  <si>
    <t>王安成</t>
  </si>
  <si>
    <t>422626195505083315</t>
  </si>
  <si>
    <t>巫厚志</t>
  </si>
  <si>
    <t>420323194311126725</t>
  </si>
  <si>
    <t>吴代华</t>
  </si>
  <si>
    <t>422626196905293316</t>
  </si>
  <si>
    <t>徐祖国</t>
  </si>
  <si>
    <t>422626196608253318</t>
  </si>
  <si>
    <t>杨先华</t>
  </si>
  <si>
    <t>422626197007113330</t>
  </si>
  <si>
    <t>杨永华</t>
  </si>
  <si>
    <t>420325198304223317</t>
  </si>
  <si>
    <t>曹相平</t>
  </si>
  <si>
    <t>422626197601243000</t>
  </si>
  <si>
    <t>翁德龙</t>
  </si>
  <si>
    <t>422626195408233318</t>
  </si>
  <si>
    <t>曹本红</t>
  </si>
  <si>
    <t>422626197203273331</t>
  </si>
  <si>
    <t>刘代元</t>
  </si>
  <si>
    <t xml:space="preserve"> 422626194504133312</t>
  </si>
  <si>
    <t>陈光华</t>
  </si>
  <si>
    <t>422626196210273319</t>
  </si>
  <si>
    <t>何洪波</t>
  </si>
  <si>
    <t>420325197911173310</t>
  </si>
  <si>
    <t>何宏明</t>
  </si>
  <si>
    <t>422626197001123319</t>
  </si>
  <si>
    <t>方青明</t>
  </si>
  <si>
    <t>422626195009083316</t>
  </si>
  <si>
    <t>李立祥</t>
  </si>
  <si>
    <t>420325195307143319</t>
  </si>
  <si>
    <t>陈龙春</t>
  </si>
  <si>
    <t>420325197901243311</t>
  </si>
  <si>
    <t>明安忠</t>
  </si>
  <si>
    <t>422626197304213311</t>
  </si>
  <si>
    <t>梁进海</t>
  </si>
  <si>
    <t>422626196005213317</t>
  </si>
  <si>
    <t>钟兴明</t>
  </si>
  <si>
    <t>422626196309093318</t>
  </si>
  <si>
    <t>刘宗典</t>
  </si>
  <si>
    <t>422626194511153311</t>
  </si>
  <si>
    <t>陈旭成</t>
  </si>
  <si>
    <t>422626196903193311</t>
  </si>
  <si>
    <t>张友明</t>
  </si>
  <si>
    <t>422626195512153318</t>
  </si>
  <si>
    <t>焦昌生</t>
  </si>
  <si>
    <t>422626196503263317</t>
  </si>
  <si>
    <t>张炳福</t>
  </si>
  <si>
    <t>422626195804083331</t>
  </si>
  <si>
    <t>储春明</t>
  </si>
  <si>
    <t>42262619610223331X</t>
  </si>
  <si>
    <t>赵光华</t>
  </si>
  <si>
    <t>422626195402093318</t>
  </si>
  <si>
    <t>张成东</t>
  </si>
  <si>
    <t>420325197808283319</t>
  </si>
  <si>
    <t>丁明清</t>
  </si>
  <si>
    <t>422626196204203314</t>
  </si>
  <si>
    <t>杨华义</t>
  </si>
  <si>
    <t>422626197112203311</t>
  </si>
  <si>
    <t>杜发财</t>
  </si>
  <si>
    <t>420325197911133319</t>
  </si>
  <si>
    <t xml:space="preserve">422626196705293338 </t>
  </si>
  <si>
    <t>李家科</t>
  </si>
  <si>
    <t>422626197612310615</t>
  </si>
  <si>
    <t>张成华</t>
  </si>
  <si>
    <t>422626196909233310</t>
  </si>
  <si>
    <t>胡跃兵</t>
  </si>
  <si>
    <t>422626197412183332</t>
  </si>
  <si>
    <t>杨全国</t>
  </si>
  <si>
    <t>420325197410213310</t>
  </si>
  <si>
    <t>袁学华</t>
  </si>
  <si>
    <t>422626197202273356</t>
  </si>
  <si>
    <t>梁相成</t>
  </si>
  <si>
    <t>422626195512313318</t>
  </si>
  <si>
    <t>李如寿</t>
  </si>
  <si>
    <t>422626196203213318</t>
  </si>
  <si>
    <t>王迪富</t>
  </si>
  <si>
    <t>422626195312303318</t>
  </si>
  <si>
    <t>黄明贵</t>
  </si>
  <si>
    <t>422626195101313313</t>
  </si>
  <si>
    <t>何伦江</t>
  </si>
  <si>
    <t>422626196503143315</t>
  </si>
  <si>
    <t>陈光林</t>
  </si>
  <si>
    <t>420325198311063358</t>
  </si>
  <si>
    <t>邵义德</t>
  </si>
  <si>
    <t>422626196412053314</t>
  </si>
  <si>
    <t>魏宝声</t>
  </si>
  <si>
    <t>422626194511173312</t>
  </si>
  <si>
    <t>陈文兴</t>
  </si>
  <si>
    <t>422626197105193354</t>
  </si>
  <si>
    <t>陈俊</t>
  </si>
  <si>
    <t>420325198908133312</t>
  </si>
  <si>
    <t>何伦枝</t>
  </si>
  <si>
    <t>42262619530219334643</t>
  </si>
  <si>
    <t>苗朝英</t>
  </si>
  <si>
    <t>420325196710243322</t>
  </si>
  <si>
    <t>王大强</t>
  </si>
  <si>
    <t>422626194803153313</t>
  </si>
  <si>
    <t>沈道云</t>
  </si>
  <si>
    <t>422626197111293319</t>
  </si>
  <si>
    <t>邵忠全</t>
  </si>
  <si>
    <t>422626194608163313</t>
  </si>
  <si>
    <t>王福德</t>
  </si>
  <si>
    <t>422626197510173314</t>
  </si>
  <si>
    <t>何峰</t>
  </si>
  <si>
    <t>42262619670910331914</t>
  </si>
  <si>
    <t>422626194909163317</t>
  </si>
  <si>
    <t>陈佑华</t>
  </si>
  <si>
    <t>422626194906253317</t>
  </si>
  <si>
    <t>孟清</t>
  </si>
  <si>
    <t>42262619590103331X</t>
  </si>
  <si>
    <t>万光清</t>
  </si>
  <si>
    <t>422626196202233333</t>
  </si>
  <si>
    <t>都中友</t>
  </si>
  <si>
    <t>422662194409203314</t>
  </si>
  <si>
    <t>李家梅</t>
  </si>
  <si>
    <t>422626196401303322</t>
  </si>
  <si>
    <t>422626197209093315</t>
  </si>
  <si>
    <t>石玉</t>
  </si>
  <si>
    <t>42032519820502331X</t>
  </si>
  <si>
    <t>喻荣秀</t>
  </si>
  <si>
    <t>422626195304293324</t>
  </si>
  <si>
    <t>章永兵</t>
  </si>
  <si>
    <t>422626196705203312</t>
  </si>
  <si>
    <t>喻荣华</t>
  </si>
  <si>
    <t>422626195601283317</t>
  </si>
  <si>
    <t>张成凤</t>
  </si>
  <si>
    <t>422626195712223325</t>
  </si>
  <si>
    <t>伍代根</t>
  </si>
  <si>
    <t>422626194210073318</t>
  </si>
  <si>
    <t>章永哑</t>
  </si>
  <si>
    <t>42262619440720333131</t>
  </si>
  <si>
    <t>喻春乾</t>
  </si>
  <si>
    <t>42262619490209331X</t>
  </si>
  <si>
    <t>何伦海</t>
  </si>
  <si>
    <t>422626196303103319</t>
  </si>
  <si>
    <t>徐祖军</t>
  </si>
  <si>
    <t>420325197801233319</t>
  </si>
  <si>
    <t>王迪云</t>
  </si>
  <si>
    <t>422626195909073324</t>
  </si>
  <si>
    <t>陈祖海</t>
  </si>
  <si>
    <t>422626195508153315</t>
  </si>
  <si>
    <t>郑先清</t>
  </si>
  <si>
    <t>422626196105123327</t>
  </si>
  <si>
    <t>何敦清</t>
  </si>
  <si>
    <t>422626193101023317</t>
  </si>
  <si>
    <t>别青正</t>
  </si>
  <si>
    <t>422626194801103339</t>
  </si>
  <si>
    <t>余志明</t>
  </si>
  <si>
    <t>422626195508263311</t>
  </si>
  <si>
    <t xml:space="preserve">422626197505303313 </t>
  </si>
  <si>
    <t>纪宏兴</t>
  </si>
  <si>
    <t>422626194906233316</t>
  </si>
  <si>
    <t>杨金龙</t>
  </si>
  <si>
    <t>420325198207143315</t>
  </si>
  <si>
    <t>李道友</t>
  </si>
  <si>
    <t>422626197504233317</t>
  </si>
  <si>
    <t>胡电清</t>
  </si>
  <si>
    <t>422626196510203320</t>
  </si>
  <si>
    <t>郭兴贵</t>
  </si>
  <si>
    <t>422626196107033317</t>
  </si>
  <si>
    <t>陈胜兴</t>
  </si>
  <si>
    <t>422626197307103337</t>
  </si>
  <si>
    <t>李德明</t>
  </si>
  <si>
    <t>42262619521024331834</t>
  </si>
  <si>
    <t>陶德海</t>
  </si>
  <si>
    <t>42262619570123333344</t>
  </si>
  <si>
    <t>刘堂富</t>
  </si>
  <si>
    <t>422626193303203316</t>
  </si>
  <si>
    <t>曾明友</t>
  </si>
  <si>
    <t>422626196404123335</t>
  </si>
  <si>
    <t>杨大清</t>
  </si>
  <si>
    <t>422626195811123311</t>
  </si>
  <si>
    <t>张玉英</t>
  </si>
  <si>
    <t>422626195212183320</t>
  </si>
  <si>
    <t>谭华国</t>
  </si>
  <si>
    <t>420325197904303332</t>
  </si>
  <si>
    <t>刘厚清</t>
  </si>
  <si>
    <t>422626195405193330</t>
  </si>
  <si>
    <t>422626195106153339</t>
  </si>
  <si>
    <t>储德平</t>
  </si>
  <si>
    <t>422626196909123314</t>
  </si>
  <si>
    <t>李代文</t>
  </si>
  <si>
    <t>420325196111260016</t>
  </si>
  <si>
    <t>胡秀英</t>
  </si>
  <si>
    <t>422626193803303321</t>
  </si>
  <si>
    <t>周绍先</t>
  </si>
  <si>
    <t>422626195409203313</t>
  </si>
  <si>
    <t>汪全国</t>
  </si>
  <si>
    <t>420323197504126717</t>
  </si>
  <si>
    <t>王艮春</t>
  </si>
  <si>
    <t>422626196703203319</t>
  </si>
  <si>
    <t>张德艮</t>
  </si>
  <si>
    <t>42262619320808331X</t>
  </si>
  <si>
    <t>喻荣山</t>
  </si>
  <si>
    <t>422626195812183316</t>
  </si>
  <si>
    <t>胡明春</t>
  </si>
  <si>
    <t>422626196704253318</t>
  </si>
  <si>
    <t>唐秀英</t>
  </si>
  <si>
    <t>422626195105073329</t>
  </si>
  <si>
    <t>曹仕清</t>
  </si>
  <si>
    <t>42262619430214331X</t>
  </si>
  <si>
    <t>余西伦</t>
  </si>
  <si>
    <t>420325193206183312</t>
  </si>
  <si>
    <t>徐承兰</t>
  </si>
  <si>
    <t>422626194211133343</t>
  </si>
  <si>
    <t>熊光英</t>
  </si>
  <si>
    <t>422626195303023322</t>
  </si>
  <si>
    <t>刘承芳</t>
  </si>
  <si>
    <t>422626193410243321</t>
  </si>
  <si>
    <t>李著兵</t>
  </si>
  <si>
    <t>422626196602073316</t>
  </si>
  <si>
    <t>裴怀兴</t>
  </si>
  <si>
    <t>42262619510601331x</t>
  </si>
  <si>
    <t>谭国清</t>
  </si>
  <si>
    <t>420325197911293697</t>
  </si>
  <si>
    <t>贾红光</t>
  </si>
  <si>
    <t>422626196701223615</t>
  </si>
  <si>
    <t>任传和</t>
  </si>
  <si>
    <t>42262619670324361X</t>
  </si>
  <si>
    <t>杨忠堂</t>
  </si>
  <si>
    <t>420325195811203616</t>
  </si>
  <si>
    <t>陈正寿</t>
  </si>
  <si>
    <t>422626195803233633</t>
  </si>
  <si>
    <t>陈少华</t>
  </si>
  <si>
    <t>422626194810303615</t>
  </si>
  <si>
    <t>陈青明</t>
  </si>
  <si>
    <t>422626195006103617</t>
  </si>
  <si>
    <t>王文成</t>
  </si>
  <si>
    <t>422626196608213615</t>
  </si>
  <si>
    <t>420325195704233633</t>
  </si>
  <si>
    <t>龙正海</t>
  </si>
  <si>
    <t>420325198109063637</t>
  </si>
  <si>
    <t>龙正江</t>
  </si>
  <si>
    <t>420325198003033616</t>
  </si>
  <si>
    <t>杨中成</t>
  </si>
  <si>
    <t>422626195604143619</t>
  </si>
  <si>
    <t>李龙平</t>
  </si>
  <si>
    <t>422626196412283611</t>
  </si>
  <si>
    <t>杨连山</t>
  </si>
  <si>
    <t>422626195301093618</t>
  </si>
  <si>
    <t>张远华</t>
  </si>
  <si>
    <t>422626197212293625</t>
  </si>
  <si>
    <t>高运清</t>
  </si>
  <si>
    <t>422626195603253613</t>
  </si>
  <si>
    <t>贾士林</t>
  </si>
  <si>
    <t>422626197009303616</t>
  </si>
  <si>
    <t>陈尚兵</t>
  </si>
  <si>
    <t>42262619631210361X</t>
  </si>
  <si>
    <t>吴先勇</t>
  </si>
  <si>
    <t>422626197503073614</t>
  </si>
  <si>
    <t>李加林</t>
  </si>
  <si>
    <t>420325197804023616</t>
  </si>
  <si>
    <t>任发中</t>
  </si>
  <si>
    <t>422626194305023612</t>
  </si>
  <si>
    <t>孙从炳</t>
  </si>
  <si>
    <t>420325194911073631</t>
  </si>
  <si>
    <t>王发财</t>
  </si>
  <si>
    <t>420325195004093617</t>
  </si>
  <si>
    <t>姚里海</t>
  </si>
  <si>
    <t>422626193305193617</t>
  </si>
  <si>
    <t>余德秀</t>
  </si>
  <si>
    <t>42032519350312364X</t>
  </si>
  <si>
    <t>陈尚明</t>
  </si>
  <si>
    <t>420325194706293635</t>
  </si>
  <si>
    <t>姜甲贵</t>
  </si>
  <si>
    <t>420325194305233631</t>
  </si>
  <si>
    <t>卫本信</t>
  </si>
  <si>
    <t>420325194205083613</t>
  </si>
  <si>
    <t>曾怀玉</t>
  </si>
  <si>
    <t>420325192403153636</t>
  </si>
  <si>
    <t>陈应启</t>
  </si>
  <si>
    <t>422626195201303614</t>
  </si>
  <si>
    <t>周发全</t>
  </si>
  <si>
    <t>422626194604193611</t>
  </si>
  <si>
    <t>422626194612263616</t>
  </si>
  <si>
    <t>郭德厚</t>
  </si>
  <si>
    <t>42032519300215363X</t>
  </si>
  <si>
    <t>刘长山</t>
  </si>
  <si>
    <t>422626194203043639</t>
  </si>
  <si>
    <t>白玉村</t>
  </si>
  <si>
    <t>昝启新</t>
  </si>
  <si>
    <t>422626196303173616</t>
  </si>
  <si>
    <t>江奇</t>
  </si>
  <si>
    <t>42032519850313363X</t>
  </si>
  <si>
    <t>422626194303223610</t>
  </si>
  <si>
    <t>黄世学</t>
  </si>
  <si>
    <t>42262619420106361X</t>
  </si>
  <si>
    <t>江龙山</t>
  </si>
  <si>
    <t>422626194408033610</t>
  </si>
  <si>
    <t>欧阳超</t>
  </si>
  <si>
    <t>420325198105183615</t>
  </si>
  <si>
    <t>谢金贵</t>
  </si>
  <si>
    <t>422626194005063612</t>
  </si>
  <si>
    <t>曹忠林</t>
  </si>
  <si>
    <t>422626196807113617</t>
  </si>
  <si>
    <t>420325198009233651</t>
  </si>
  <si>
    <t>刘运贵</t>
  </si>
  <si>
    <t>422626196003123617</t>
  </si>
  <si>
    <t>刘祥志</t>
  </si>
  <si>
    <t>422626197112023636</t>
  </si>
  <si>
    <t>刘祥斌</t>
  </si>
  <si>
    <t>422626196702073612</t>
  </si>
  <si>
    <t>饶德学</t>
  </si>
  <si>
    <t>422626195009163615</t>
  </si>
  <si>
    <t>任应山</t>
  </si>
  <si>
    <t>422626196503093610</t>
  </si>
  <si>
    <t>肖功瑞</t>
  </si>
  <si>
    <t>422626196411163634</t>
  </si>
  <si>
    <t>蹇正兵</t>
  </si>
  <si>
    <t>422626197109073616</t>
  </si>
  <si>
    <t>谭召朋</t>
  </si>
  <si>
    <t>422626194709173617</t>
  </si>
  <si>
    <t>傅必全</t>
  </si>
  <si>
    <t>422626195612223635</t>
  </si>
  <si>
    <t>张大仁</t>
  </si>
  <si>
    <t>422626194610263612</t>
  </si>
  <si>
    <t>向道富</t>
  </si>
  <si>
    <t>42262619650331361x</t>
  </si>
  <si>
    <t>刘安有</t>
  </si>
  <si>
    <t>422626194112303618</t>
  </si>
  <si>
    <t>422626195712103622</t>
  </si>
  <si>
    <t>罗显章</t>
  </si>
  <si>
    <t>422626194207043636</t>
  </si>
  <si>
    <t>张光林</t>
  </si>
  <si>
    <t>420325198502023631</t>
  </si>
  <si>
    <t>罗元根</t>
  </si>
  <si>
    <t>422626194808293614</t>
  </si>
  <si>
    <t>尹家明</t>
  </si>
  <si>
    <t>422626195204193617</t>
  </si>
  <si>
    <t>贺祖林</t>
  </si>
  <si>
    <t>422626195805223631</t>
  </si>
  <si>
    <t>唐久章</t>
  </si>
  <si>
    <t>420325195903273611</t>
  </si>
  <si>
    <t>42262619591013362x</t>
  </si>
  <si>
    <t>罗山清</t>
  </si>
  <si>
    <t>422626195506143631</t>
  </si>
  <si>
    <t>谢成良</t>
  </si>
  <si>
    <t>422626195504183613</t>
  </si>
  <si>
    <t>胡初艳</t>
  </si>
  <si>
    <t>422626197502073612</t>
  </si>
  <si>
    <t>张美程</t>
  </si>
  <si>
    <t>422626195201293612</t>
  </si>
  <si>
    <t>尹家富</t>
  </si>
  <si>
    <t>422626195806053611</t>
  </si>
  <si>
    <t>胡成国</t>
  </si>
  <si>
    <t>422626193707163613</t>
  </si>
  <si>
    <t>李云龙</t>
  </si>
  <si>
    <t>422626194903083631</t>
  </si>
  <si>
    <t>汪正江</t>
  </si>
  <si>
    <t>422626195804033633</t>
  </si>
  <si>
    <t>徐春林</t>
  </si>
  <si>
    <t>420325195803023631</t>
  </si>
  <si>
    <t>袁益奎</t>
  </si>
  <si>
    <t>422626195701183612</t>
  </si>
  <si>
    <t>陈诗洪</t>
  </si>
  <si>
    <t>422626192902273610</t>
  </si>
  <si>
    <t>吴天财</t>
  </si>
  <si>
    <t>422626195205073617</t>
  </si>
  <si>
    <t>吴喜权</t>
  </si>
  <si>
    <t>422626197101273613</t>
  </si>
  <si>
    <t>蔡国兴</t>
  </si>
  <si>
    <t>422626196205103614</t>
  </si>
  <si>
    <t>潘远华</t>
  </si>
  <si>
    <t>422626197304223616</t>
  </si>
  <si>
    <t>裴顺莲</t>
  </si>
  <si>
    <t>422626195908053612</t>
  </si>
  <si>
    <t>刘才习</t>
  </si>
  <si>
    <t>42032519540203361X</t>
  </si>
  <si>
    <t>周海庭</t>
  </si>
  <si>
    <t>422626195007253617</t>
  </si>
  <si>
    <t>陈德超</t>
  </si>
  <si>
    <t>420325199004253914</t>
  </si>
  <si>
    <t>420325197712313616</t>
  </si>
  <si>
    <t>蔡兴红</t>
  </si>
  <si>
    <t>422626195701023619</t>
  </si>
  <si>
    <t>余万江</t>
  </si>
  <si>
    <t>420325197501073616</t>
  </si>
  <si>
    <t>肖开明</t>
  </si>
  <si>
    <t>422626194803213638</t>
  </si>
  <si>
    <t>刘吉根</t>
  </si>
  <si>
    <t>422626194212193612</t>
  </si>
  <si>
    <t>武孝应</t>
  </si>
  <si>
    <t>422626196704023619</t>
  </si>
  <si>
    <t>武孝国</t>
  </si>
  <si>
    <t>422626196511263616</t>
  </si>
  <si>
    <t>彭玉华</t>
  </si>
  <si>
    <t>422626196905233612</t>
  </si>
  <si>
    <t>易长贵</t>
  </si>
  <si>
    <t>420325193301103616</t>
  </si>
  <si>
    <t>税继凤</t>
  </si>
  <si>
    <t>422626195803073625</t>
  </si>
  <si>
    <t>潘春艳</t>
  </si>
  <si>
    <t>420325197505243635</t>
  </si>
  <si>
    <t>孙发忠</t>
  </si>
  <si>
    <t>422626197211093613</t>
  </si>
  <si>
    <t>朱次清</t>
  </si>
  <si>
    <t>42262619740302361X</t>
  </si>
  <si>
    <t>赵俊</t>
  </si>
  <si>
    <t>420325198612223634</t>
  </si>
  <si>
    <t>孙发军</t>
  </si>
  <si>
    <t>420325198204303635</t>
  </si>
  <si>
    <t>刘长群</t>
  </si>
  <si>
    <t>420325194507163635</t>
  </si>
  <si>
    <t>龙远新</t>
  </si>
  <si>
    <t>422626194709303610</t>
  </si>
  <si>
    <t>方运根</t>
  </si>
  <si>
    <t>422626194610193618</t>
  </si>
  <si>
    <t>李金莲</t>
  </si>
  <si>
    <t>422626195107283629</t>
  </si>
  <si>
    <t>杨远财</t>
  </si>
  <si>
    <t>422626197012183616</t>
  </si>
  <si>
    <t>422626195804113617</t>
  </si>
  <si>
    <t>蔡兴宏</t>
  </si>
  <si>
    <t>杜永刚</t>
  </si>
  <si>
    <t>向红铁</t>
  </si>
  <si>
    <t>42262619560520361X</t>
  </si>
  <si>
    <t>孟家顺</t>
  </si>
  <si>
    <t>420325197512053637</t>
  </si>
  <si>
    <t>姚世成</t>
  </si>
  <si>
    <t>420325194608143633</t>
  </si>
  <si>
    <t>李善华</t>
  </si>
  <si>
    <t>422626194608223611</t>
  </si>
  <si>
    <t>张道德</t>
  </si>
  <si>
    <t>422626194705013616</t>
  </si>
  <si>
    <t>冯富兰</t>
  </si>
  <si>
    <t>422626193104083622</t>
  </si>
  <si>
    <t>422626195301263613</t>
  </si>
  <si>
    <t>龙远刚</t>
  </si>
  <si>
    <t>422626195311233610</t>
  </si>
  <si>
    <t>郭祖金</t>
  </si>
  <si>
    <t>422626196211113616</t>
  </si>
  <si>
    <t>潘万荣</t>
  </si>
  <si>
    <t>422626196002273621</t>
  </si>
  <si>
    <t>魏远兰</t>
  </si>
  <si>
    <t>422626196311063628</t>
  </si>
  <si>
    <t>422626196403313612</t>
  </si>
  <si>
    <t>刘继银</t>
  </si>
  <si>
    <t>422626194811183619</t>
  </si>
  <si>
    <t>何启军</t>
  </si>
  <si>
    <t>黄杰</t>
  </si>
  <si>
    <t>422626197404103611</t>
  </si>
  <si>
    <t>吴明泉</t>
  </si>
  <si>
    <t>422626196803053610</t>
  </si>
  <si>
    <t>杨虎</t>
  </si>
  <si>
    <t>420325198201173636</t>
  </si>
  <si>
    <t>陈尚元</t>
  </si>
  <si>
    <t>422626194907113615</t>
  </si>
  <si>
    <t>罗天林</t>
  </si>
  <si>
    <t>422626195203193615</t>
  </si>
  <si>
    <t>胡传平</t>
  </si>
  <si>
    <t>422626197302173619</t>
  </si>
  <si>
    <t>石会龙</t>
  </si>
  <si>
    <t>420325197904243616</t>
  </si>
  <si>
    <t>高章权</t>
  </si>
  <si>
    <t>422626197103123619</t>
  </si>
  <si>
    <t>郑正荣</t>
  </si>
  <si>
    <t>422626196907293627</t>
  </si>
  <si>
    <t>木秀莲</t>
  </si>
  <si>
    <t>422626195203193623</t>
  </si>
  <si>
    <t>曹中清</t>
  </si>
  <si>
    <t>422626197006043617</t>
  </si>
  <si>
    <t>吴文华</t>
  </si>
  <si>
    <t>420325197410093638</t>
  </si>
  <si>
    <t>郭光保</t>
  </si>
  <si>
    <t>422626197202013618</t>
  </si>
  <si>
    <t>孙照福</t>
  </si>
  <si>
    <t>422626194907283614</t>
  </si>
  <si>
    <t>李自斌</t>
  </si>
  <si>
    <t>420325198304023614</t>
  </si>
  <si>
    <t>方兆伟</t>
  </si>
  <si>
    <t>422626195012263617</t>
  </si>
  <si>
    <t>卸甲坪村</t>
  </si>
  <si>
    <t>422626197204213912</t>
  </si>
  <si>
    <t>王礼凤</t>
  </si>
  <si>
    <t>422626196412203925</t>
  </si>
  <si>
    <t>王树猛</t>
  </si>
  <si>
    <t>422626195312173912</t>
  </si>
  <si>
    <t>赵长清</t>
  </si>
  <si>
    <t>罗兴贵</t>
  </si>
  <si>
    <t>422626192910143912</t>
  </si>
  <si>
    <t>曾加凤</t>
  </si>
  <si>
    <t>422626194506233923</t>
  </si>
  <si>
    <t>李永情</t>
  </si>
  <si>
    <t>420325195802233987</t>
  </si>
  <si>
    <t>张永成</t>
  </si>
  <si>
    <t>422626196701123913</t>
  </si>
  <si>
    <t>郑武林</t>
  </si>
  <si>
    <t>420325197507143910</t>
  </si>
  <si>
    <t>李忠玉</t>
  </si>
  <si>
    <t>422626196301063923</t>
  </si>
  <si>
    <t>陈宗付</t>
  </si>
  <si>
    <t>422626196512083916</t>
  </si>
  <si>
    <t>黄定明</t>
  </si>
  <si>
    <t>422626197303243914</t>
  </si>
  <si>
    <t>刘启华</t>
  </si>
  <si>
    <t>420325197409063917</t>
  </si>
  <si>
    <t>朱清树</t>
  </si>
  <si>
    <t>422626197310313917</t>
  </si>
  <si>
    <t>袁堂满</t>
  </si>
  <si>
    <t>422626197512153915</t>
  </si>
  <si>
    <t>周长寿</t>
  </si>
  <si>
    <t>422626196512203914</t>
  </si>
  <si>
    <t>谢守坤</t>
  </si>
  <si>
    <t>42262619570912393X</t>
  </si>
  <si>
    <t>关坪二组</t>
  </si>
  <si>
    <t>陈靖</t>
  </si>
  <si>
    <t>420325197505283936</t>
  </si>
  <si>
    <t>陈义才</t>
  </si>
  <si>
    <t>422626194910173918</t>
  </si>
  <si>
    <t>关坪一组</t>
  </si>
  <si>
    <t>李昌国</t>
  </si>
  <si>
    <t>422626196412143918</t>
  </si>
  <si>
    <t>王荣涛</t>
  </si>
  <si>
    <t>420325198008263912</t>
  </si>
  <si>
    <t>崔伟相</t>
  </si>
  <si>
    <t>420325198005023913</t>
  </si>
  <si>
    <t>鄢敦荣</t>
  </si>
  <si>
    <t>422626195509283939</t>
  </si>
  <si>
    <t>马哲金</t>
  </si>
  <si>
    <t>422626197501203913</t>
  </si>
  <si>
    <t>陈祖云</t>
  </si>
  <si>
    <t>422626196803033935</t>
  </si>
  <si>
    <t>义渡坪村</t>
  </si>
  <si>
    <t>周玉山</t>
  </si>
  <si>
    <t>422626195110033938</t>
  </si>
  <si>
    <t>冉从学</t>
  </si>
  <si>
    <t>422626197211053910</t>
  </si>
  <si>
    <t>刘发文</t>
  </si>
  <si>
    <t>422626196901063919</t>
  </si>
  <si>
    <t>方家富</t>
  </si>
  <si>
    <t>422626195002263912</t>
  </si>
  <si>
    <t>姚朝明</t>
  </si>
  <si>
    <t>422626195306153915</t>
  </si>
  <si>
    <t>黄会虎</t>
  </si>
  <si>
    <t>420325197606223916</t>
  </si>
  <si>
    <t>方国业</t>
  </si>
  <si>
    <t>42262619730827391X</t>
  </si>
  <si>
    <t>黎永福</t>
  </si>
  <si>
    <t>422626196211043910</t>
  </si>
  <si>
    <t>高胜连</t>
  </si>
  <si>
    <t>422626194810283941</t>
  </si>
  <si>
    <t>陈茂品</t>
  </si>
  <si>
    <t>422626194502113916</t>
  </si>
  <si>
    <t>刘贵才</t>
  </si>
  <si>
    <t>422626197012083914</t>
  </si>
  <si>
    <t>陈茂银</t>
  </si>
  <si>
    <t>422626196009133912</t>
  </si>
  <si>
    <t>雷明富</t>
  </si>
  <si>
    <t>422626196404203917</t>
  </si>
  <si>
    <t>徐仕春</t>
  </si>
  <si>
    <t>420323196810107210</t>
  </si>
  <si>
    <t>马先顺</t>
  </si>
  <si>
    <t>420325197903143939</t>
  </si>
  <si>
    <t>李如松</t>
  </si>
  <si>
    <t>422626195304293914</t>
  </si>
  <si>
    <t>潘春美</t>
  </si>
  <si>
    <t>422626196705103944</t>
  </si>
  <si>
    <t>陈吉明</t>
  </si>
  <si>
    <t>42262619621030391X</t>
  </si>
  <si>
    <t>涂永积</t>
  </si>
  <si>
    <t>422626196808173910</t>
  </si>
  <si>
    <t>付关阁</t>
  </si>
  <si>
    <t>422626195104233917</t>
  </si>
  <si>
    <t>杨玉青</t>
  </si>
  <si>
    <t>422626196303033912</t>
  </si>
  <si>
    <t>彭燕</t>
  </si>
  <si>
    <t>42032519791108393X</t>
  </si>
  <si>
    <t>贾永传</t>
  </si>
  <si>
    <t>420325198503083919</t>
  </si>
  <si>
    <t>张成根</t>
  </si>
  <si>
    <t>422626195705193914</t>
  </si>
  <si>
    <t>吴运冬</t>
  </si>
  <si>
    <t>420325196404113917</t>
  </si>
  <si>
    <t>余长先</t>
  </si>
  <si>
    <t>422626194601293916</t>
  </si>
  <si>
    <t>邵开银</t>
  </si>
  <si>
    <t>420325196207243915</t>
  </si>
  <si>
    <t>陈金明</t>
  </si>
  <si>
    <t>422626197309123913</t>
  </si>
  <si>
    <t>陈昌元</t>
  </si>
  <si>
    <t>420325197403053937</t>
  </si>
  <si>
    <t>王元菊</t>
  </si>
  <si>
    <t>422626196508153926</t>
  </si>
  <si>
    <t>陈书清</t>
  </si>
  <si>
    <t>422626194707313911</t>
  </si>
  <si>
    <t>杨存军</t>
  </si>
  <si>
    <t>422626197204283910</t>
  </si>
  <si>
    <t>史代国</t>
  </si>
  <si>
    <t>422626196603163911</t>
  </si>
  <si>
    <t>王正才</t>
  </si>
  <si>
    <t>422626195202093911</t>
  </si>
  <si>
    <t>涂定华</t>
  </si>
  <si>
    <t>420325197502153933</t>
  </si>
  <si>
    <t>422626194309153916</t>
  </si>
  <si>
    <t>史代银</t>
  </si>
  <si>
    <t>422626195407173915</t>
  </si>
  <si>
    <t>杨代华</t>
  </si>
  <si>
    <t>422626195701023918</t>
  </si>
  <si>
    <t>谭顺万</t>
  </si>
  <si>
    <t>422626195609273914</t>
  </si>
  <si>
    <t>塘坊垭</t>
  </si>
  <si>
    <t>邓正喜</t>
  </si>
  <si>
    <t>422626195310043954</t>
  </si>
  <si>
    <t>辛柱贵</t>
  </si>
  <si>
    <t>422626194806193919</t>
  </si>
  <si>
    <t>贾继敏</t>
  </si>
  <si>
    <t>422626194205063916</t>
  </si>
  <si>
    <t>王海</t>
  </si>
  <si>
    <t>420325197604143939</t>
  </si>
  <si>
    <t>贾学涛</t>
  </si>
  <si>
    <t>422626195211223917</t>
  </si>
  <si>
    <t>陈圣元</t>
  </si>
  <si>
    <t>422626195401153913</t>
  </si>
  <si>
    <t>陈绍菊</t>
  </si>
  <si>
    <t>422626195611023922</t>
  </si>
  <si>
    <t>贾先平</t>
  </si>
  <si>
    <t>422626196308303918</t>
  </si>
  <si>
    <t>邓正君</t>
  </si>
  <si>
    <t>42032519711227393X</t>
  </si>
  <si>
    <t>杨元权</t>
  </si>
  <si>
    <t>3420325198401153912</t>
  </si>
  <si>
    <t>湛祖付</t>
  </si>
  <si>
    <t>420325196212243917</t>
  </si>
  <si>
    <t>杨自大</t>
  </si>
  <si>
    <t>422626195102133912</t>
  </si>
  <si>
    <t>郝永龙</t>
  </si>
  <si>
    <t>422626195801243934</t>
  </si>
  <si>
    <t>贾德汉</t>
  </si>
  <si>
    <t>422626196210083910</t>
  </si>
  <si>
    <t>黄全华</t>
  </si>
  <si>
    <t>422626197109173916</t>
  </si>
  <si>
    <t>单坤炳</t>
  </si>
  <si>
    <t>422626195708293929</t>
  </si>
  <si>
    <t>卢成兵</t>
  </si>
  <si>
    <t>420325197612223912</t>
  </si>
  <si>
    <t>422626195707083911</t>
  </si>
  <si>
    <t>陈金才</t>
  </si>
  <si>
    <t>420325198004303913</t>
  </si>
  <si>
    <t>陈金贵</t>
  </si>
  <si>
    <t>420325197911243913</t>
  </si>
  <si>
    <t>陈方兵</t>
  </si>
  <si>
    <t>422626197305173913</t>
  </si>
  <si>
    <t>王诗华</t>
  </si>
  <si>
    <t>422626195511213913</t>
  </si>
  <si>
    <t>贺光云</t>
  </si>
  <si>
    <t>422626194004043927</t>
  </si>
  <si>
    <t>方兴明</t>
  </si>
  <si>
    <t>422626195105313919</t>
  </si>
  <si>
    <t>胡大伍</t>
  </si>
  <si>
    <t>422626195111103918</t>
  </si>
  <si>
    <t>胡目权</t>
  </si>
  <si>
    <t>422626197204013910</t>
  </si>
  <si>
    <t>陈克绿</t>
  </si>
  <si>
    <t>420325195808123914</t>
  </si>
  <si>
    <t>王帮运</t>
  </si>
  <si>
    <t>422626196705194217</t>
  </si>
  <si>
    <t>刘运珍</t>
  </si>
  <si>
    <t>42262619521109422X</t>
  </si>
  <si>
    <t>杜世泽</t>
  </si>
  <si>
    <t>422626194310154211</t>
  </si>
  <si>
    <t>邓成英</t>
  </si>
  <si>
    <t>422626195501094228</t>
  </si>
  <si>
    <t>尚自秀</t>
  </si>
  <si>
    <t>422626195004234226</t>
  </si>
  <si>
    <t>许明成</t>
  </si>
  <si>
    <t>422626196408114217</t>
  </si>
  <si>
    <t>王道友</t>
  </si>
  <si>
    <t>422626195001134211</t>
  </si>
  <si>
    <t>王兴华</t>
  </si>
  <si>
    <t>42032519550403421822</t>
  </si>
  <si>
    <t>余仁贵</t>
  </si>
  <si>
    <t>422626196601034219</t>
  </si>
  <si>
    <t>余礼明</t>
  </si>
  <si>
    <t>422626197107214219</t>
  </si>
  <si>
    <t>黄成珍</t>
  </si>
  <si>
    <t>422626194910134222</t>
  </si>
  <si>
    <t>戢逢艮</t>
  </si>
  <si>
    <t>42262619401015421X</t>
  </si>
  <si>
    <t>杨昌政</t>
  </si>
  <si>
    <t>420325193201284210</t>
  </si>
  <si>
    <t>杨德成</t>
  </si>
  <si>
    <t>422626195301034212</t>
  </si>
  <si>
    <t>罗盛义</t>
  </si>
  <si>
    <t>422626194705314216</t>
  </si>
  <si>
    <t>张尚友</t>
  </si>
  <si>
    <t>422626195005114218</t>
  </si>
  <si>
    <t>刘光权</t>
  </si>
  <si>
    <t>422626194901234213</t>
  </si>
  <si>
    <t>周朝举</t>
  </si>
  <si>
    <t>422626194603264211</t>
  </si>
  <si>
    <t>桂兴全</t>
  </si>
  <si>
    <t>420325198210194236</t>
  </si>
  <si>
    <t>刘政财</t>
  </si>
  <si>
    <t>422626194606224215</t>
  </si>
  <si>
    <t>袁之喜</t>
  </si>
  <si>
    <t>42262619551112421624</t>
  </si>
  <si>
    <t>龚一山</t>
  </si>
  <si>
    <t>42032519620317423824</t>
  </si>
  <si>
    <t>杜家川四组</t>
  </si>
  <si>
    <t>许连富</t>
  </si>
  <si>
    <t>42032519370606423X</t>
  </si>
  <si>
    <t>廖兴江</t>
  </si>
  <si>
    <t>422626194401254218</t>
  </si>
  <si>
    <t>袁明根</t>
  </si>
  <si>
    <t>420325197311274214</t>
  </si>
  <si>
    <t>刘顺秀</t>
  </si>
  <si>
    <t>420325193501014247</t>
  </si>
  <si>
    <t>朱彩生</t>
  </si>
  <si>
    <t>42032519510718423912</t>
  </si>
  <si>
    <t>魏存雲</t>
  </si>
  <si>
    <t>422626195501054218</t>
  </si>
  <si>
    <t>杜家川</t>
  </si>
  <si>
    <t>袁明成</t>
  </si>
  <si>
    <t>420325196603044256</t>
  </si>
  <si>
    <t>王元珍</t>
  </si>
  <si>
    <t>420325194211144240</t>
  </si>
  <si>
    <t>张安平</t>
  </si>
  <si>
    <t>42262619500305421544</t>
  </si>
  <si>
    <t>420325196305074211</t>
  </si>
  <si>
    <t>张显成</t>
  </si>
  <si>
    <t>422626194907014211</t>
  </si>
  <si>
    <t>杜家川3组</t>
  </si>
  <si>
    <t>徐正连</t>
  </si>
  <si>
    <t>420325195505234246</t>
  </si>
  <si>
    <t>陈兰英</t>
  </si>
  <si>
    <t>420325195603254232</t>
  </si>
  <si>
    <t>陈虎</t>
  </si>
  <si>
    <t>420325195808074235</t>
  </si>
  <si>
    <t>李祥清</t>
  </si>
  <si>
    <t>422626197003154215</t>
  </si>
  <si>
    <t>李家祥</t>
  </si>
  <si>
    <t>42262619390109421X</t>
  </si>
  <si>
    <t>张治会</t>
  </si>
  <si>
    <t>420325197005154222</t>
  </si>
  <si>
    <t>吴科学</t>
  </si>
  <si>
    <t>42262619660701423554</t>
  </si>
  <si>
    <t>大庙村一组</t>
  </si>
  <si>
    <t>秦光文</t>
  </si>
  <si>
    <t>422626195605234213</t>
  </si>
  <si>
    <t>曾照保</t>
  </si>
  <si>
    <t>422626195303294210</t>
  </si>
  <si>
    <t>郑辉兵</t>
  </si>
  <si>
    <t>42032519671118423X</t>
  </si>
  <si>
    <t>郑辉国</t>
  </si>
  <si>
    <t>42262619700824421X</t>
  </si>
  <si>
    <t>大庙村二组</t>
  </si>
  <si>
    <t>王厚全</t>
  </si>
  <si>
    <t>422626196004214238</t>
  </si>
  <si>
    <t>邓传华</t>
  </si>
  <si>
    <t>42262619711224421X62</t>
  </si>
  <si>
    <t>王明林</t>
  </si>
  <si>
    <t>422626195202214234</t>
  </si>
  <si>
    <t>大庙1组</t>
  </si>
  <si>
    <t>郑光华</t>
  </si>
  <si>
    <t>422626194612184213</t>
  </si>
  <si>
    <t>赵文举</t>
  </si>
  <si>
    <t>42262619631221421343</t>
  </si>
  <si>
    <t>大庙3组</t>
  </si>
  <si>
    <t>祁正忠</t>
  </si>
  <si>
    <t>422626195510104213</t>
  </si>
  <si>
    <t>黄家银</t>
  </si>
  <si>
    <t>422626195601134215</t>
  </si>
  <si>
    <t>卢启发</t>
  </si>
  <si>
    <t>422626195809174216</t>
  </si>
  <si>
    <t>熊运成</t>
  </si>
  <si>
    <t>42262619480729421X</t>
  </si>
  <si>
    <t>余行全</t>
  </si>
  <si>
    <t>422626195801254211</t>
  </si>
  <si>
    <t>曾照宪</t>
  </si>
  <si>
    <t>422626195511194214</t>
  </si>
  <si>
    <t>张千洪</t>
  </si>
  <si>
    <t>422626196206074536</t>
  </si>
  <si>
    <t>岳建华</t>
  </si>
  <si>
    <t>420325198001264517</t>
  </si>
  <si>
    <t>张贵进</t>
  </si>
  <si>
    <t>420325197511074516</t>
  </si>
  <si>
    <t>李文荣</t>
  </si>
  <si>
    <t>420325196904274522</t>
  </si>
  <si>
    <t>望开林</t>
  </si>
  <si>
    <t>42032519570117421X</t>
  </si>
  <si>
    <t>张启现</t>
  </si>
  <si>
    <t>420325198109084518</t>
  </si>
  <si>
    <t>张照丽</t>
  </si>
  <si>
    <t>42062619691111102X</t>
  </si>
  <si>
    <t>张德菊</t>
  </si>
  <si>
    <t>420325196902274529</t>
  </si>
  <si>
    <t>肖本权</t>
  </si>
  <si>
    <t>422626195706214510</t>
  </si>
  <si>
    <t>阮绪玲</t>
  </si>
  <si>
    <t>422626194303234520</t>
  </si>
  <si>
    <t>李发宏</t>
  </si>
  <si>
    <t>422626195910294511</t>
  </si>
  <si>
    <t>熊吉武</t>
  </si>
  <si>
    <t>42262619640413451X</t>
  </si>
  <si>
    <t>莫世全</t>
  </si>
  <si>
    <t>422626195702174216</t>
  </si>
  <si>
    <t>木瓜河村一组</t>
  </si>
  <si>
    <t>李卫进</t>
  </si>
  <si>
    <t>422626194403154237</t>
  </si>
  <si>
    <t>木瓜河村二组</t>
  </si>
  <si>
    <t>张华成</t>
  </si>
  <si>
    <t>422626196205154219</t>
  </si>
  <si>
    <t>曹昌永</t>
  </si>
  <si>
    <t>422626196805134211</t>
  </si>
  <si>
    <t>周铭</t>
  </si>
  <si>
    <t>422626196902104217</t>
  </si>
  <si>
    <t>陈忠明</t>
  </si>
  <si>
    <t>422626197011234215</t>
  </si>
  <si>
    <t>彭一珊</t>
  </si>
  <si>
    <t>422626196104174210</t>
  </si>
  <si>
    <t>邓兆成</t>
  </si>
  <si>
    <t>42262619660826421X</t>
  </si>
  <si>
    <t>木瓜河村三组</t>
  </si>
  <si>
    <t>万必良</t>
  </si>
  <si>
    <t>422626193408254216</t>
  </si>
  <si>
    <t>周世生</t>
  </si>
  <si>
    <t>422626196501224218</t>
  </si>
  <si>
    <t>温兴斌</t>
  </si>
  <si>
    <t>422626196907114238</t>
  </si>
  <si>
    <t>龚永春</t>
  </si>
  <si>
    <t>42262619640326423244</t>
  </si>
  <si>
    <t>张元丙</t>
  </si>
  <si>
    <t>42262619500224421X</t>
  </si>
  <si>
    <t>郭长贵</t>
  </si>
  <si>
    <t>422626196004184219</t>
  </si>
  <si>
    <t>胡荣枝</t>
  </si>
  <si>
    <t>422626197507124220</t>
  </si>
  <si>
    <t>关明才</t>
  </si>
  <si>
    <t>420325196312134219</t>
  </si>
  <si>
    <t>陈山伍</t>
  </si>
  <si>
    <t>422626196012124216</t>
  </si>
  <si>
    <t>杨德福</t>
  </si>
  <si>
    <t>420325194411174217</t>
  </si>
  <si>
    <t>唐艳</t>
  </si>
  <si>
    <t>420325198309134225</t>
  </si>
  <si>
    <t>周世青</t>
  </si>
  <si>
    <t>42262619670204423X</t>
  </si>
  <si>
    <t>唐术杰</t>
  </si>
  <si>
    <t>420325197306024210</t>
  </si>
  <si>
    <t>杜德全</t>
  </si>
  <si>
    <t>422626196405164219</t>
  </si>
  <si>
    <t>赵国军</t>
  </si>
  <si>
    <t>42262619440910421411</t>
  </si>
  <si>
    <t>张清山</t>
  </si>
  <si>
    <t>422626196308124215</t>
  </si>
  <si>
    <t>鱼鳃口村2组</t>
  </si>
  <si>
    <t>廖天全</t>
  </si>
  <si>
    <t>42262619361105423614</t>
  </si>
  <si>
    <t>谭祥慧</t>
  </si>
  <si>
    <t>422626197401034227</t>
  </si>
  <si>
    <t>鱼鳃口村3组</t>
  </si>
  <si>
    <t>代兴柱</t>
  </si>
  <si>
    <t>422626195010114212</t>
  </si>
  <si>
    <t>陈荣富</t>
  </si>
  <si>
    <t>422626195010104217</t>
  </si>
  <si>
    <t>董德明</t>
  </si>
  <si>
    <t>420325194506054234</t>
  </si>
  <si>
    <t>宋祖香</t>
  </si>
  <si>
    <t>42262619580408422X</t>
  </si>
  <si>
    <t>王宗云</t>
  </si>
  <si>
    <t>42032519720402421X</t>
  </si>
  <si>
    <t>阮班全</t>
  </si>
  <si>
    <t>422626196111144212</t>
  </si>
  <si>
    <t>王登忠</t>
  </si>
  <si>
    <t>422626195611304273</t>
  </si>
  <si>
    <t>金保生</t>
  </si>
  <si>
    <t>42262619490809421744</t>
  </si>
  <si>
    <t>董德先</t>
  </si>
  <si>
    <t>420325195703234255</t>
  </si>
  <si>
    <t>党国仕</t>
  </si>
  <si>
    <t>422626195609114219</t>
  </si>
  <si>
    <t>付家林</t>
  </si>
  <si>
    <t>422626197301234213</t>
  </si>
  <si>
    <t>杜德权</t>
  </si>
  <si>
    <t>422626195006154211</t>
  </si>
  <si>
    <t>王兴全</t>
  </si>
  <si>
    <t>42262619470927421512</t>
  </si>
  <si>
    <t>程长根</t>
  </si>
  <si>
    <t>422626196110084211</t>
  </si>
  <si>
    <t>李燕</t>
  </si>
  <si>
    <t>422626196610094221</t>
  </si>
  <si>
    <t>王永军</t>
  </si>
  <si>
    <t>422626196811274210</t>
  </si>
  <si>
    <t>陈光山</t>
  </si>
  <si>
    <t>42262619590415421343</t>
  </si>
  <si>
    <t>张志跃</t>
  </si>
  <si>
    <t>422626196708304215</t>
  </si>
  <si>
    <t>朱传文</t>
  </si>
  <si>
    <t>422626195006054210</t>
  </si>
  <si>
    <t>股泉1组</t>
  </si>
  <si>
    <t>张志发</t>
  </si>
  <si>
    <t>42262619791201421X</t>
  </si>
  <si>
    <t>程传斌</t>
  </si>
  <si>
    <t>422626196603044218</t>
  </si>
  <si>
    <t>宋培</t>
  </si>
  <si>
    <t>420325198901254218</t>
  </si>
  <si>
    <t>股泉2组</t>
  </si>
  <si>
    <t>陈绍平</t>
  </si>
  <si>
    <t>422626197101044220</t>
  </si>
  <si>
    <t>股泉3组</t>
  </si>
  <si>
    <t>孙运龙</t>
  </si>
  <si>
    <t>420325198109034211</t>
  </si>
  <si>
    <t>方运泽</t>
  </si>
  <si>
    <t>42262619380519451X</t>
  </si>
  <si>
    <t>陈洪文</t>
  </si>
  <si>
    <t>422626195808064517</t>
  </si>
  <si>
    <t>422626196009254511</t>
  </si>
  <si>
    <t>左秀成</t>
  </si>
  <si>
    <t>422626196005034511</t>
  </si>
  <si>
    <t>周安贵</t>
  </si>
  <si>
    <t>42262619621202451944</t>
  </si>
  <si>
    <t>尚开付</t>
  </si>
  <si>
    <t>422626194310284518</t>
  </si>
  <si>
    <t>朱正林</t>
  </si>
  <si>
    <t>420325195205024511</t>
  </si>
  <si>
    <t>422626195402254513</t>
  </si>
  <si>
    <t>周瑞祥</t>
  </si>
  <si>
    <t>422626195006264517</t>
  </si>
  <si>
    <t>罗德云</t>
  </si>
  <si>
    <t>422626195404134515</t>
  </si>
  <si>
    <t>易显海</t>
  </si>
  <si>
    <t>422626194805064517</t>
  </si>
  <si>
    <t>段开明</t>
  </si>
  <si>
    <t>422626195511014519</t>
  </si>
  <si>
    <t>王兴芝</t>
  </si>
  <si>
    <t>422626193311224520</t>
  </si>
  <si>
    <t>李孝全</t>
  </si>
  <si>
    <t>422626195401284518</t>
  </si>
  <si>
    <t>何祥权</t>
  </si>
  <si>
    <t>422626196209284512</t>
  </si>
  <si>
    <t>易显龙</t>
  </si>
  <si>
    <t>42032519520816451X</t>
  </si>
  <si>
    <t>胡代明</t>
  </si>
  <si>
    <t>422626194309214512</t>
  </si>
  <si>
    <t>胡学兵</t>
  </si>
  <si>
    <t>42032519730123423543</t>
  </si>
  <si>
    <t>杨大成</t>
  </si>
  <si>
    <t>422626196208104516</t>
  </si>
  <si>
    <t>毛家河二组</t>
  </si>
  <si>
    <t>朱祥海</t>
  </si>
  <si>
    <t>422626194801294518</t>
  </si>
  <si>
    <t>赵永根</t>
  </si>
  <si>
    <t>422626197210264513</t>
  </si>
  <si>
    <t>毛家河一组</t>
  </si>
  <si>
    <t>张兴林</t>
  </si>
  <si>
    <t>422626196105144515</t>
  </si>
  <si>
    <t>邓定明</t>
  </si>
  <si>
    <t>42262619571104451X</t>
  </si>
  <si>
    <t>周言孝</t>
  </si>
  <si>
    <t>422626195403274516</t>
  </si>
  <si>
    <t>刘宗碧</t>
  </si>
  <si>
    <t>42262619550608451231</t>
  </si>
  <si>
    <t>殷自喜</t>
  </si>
  <si>
    <t>422626196812044513</t>
  </si>
  <si>
    <t>王永仕</t>
  </si>
  <si>
    <t>422626194805164518</t>
  </si>
  <si>
    <t>肖思奎</t>
  </si>
  <si>
    <t>422626194811224513</t>
  </si>
  <si>
    <t>张兴春</t>
  </si>
  <si>
    <t>42262619750911451X</t>
  </si>
  <si>
    <t>任礼华</t>
  </si>
  <si>
    <t>420325196905024517</t>
  </si>
  <si>
    <t>殷义莲</t>
  </si>
  <si>
    <t>422626195402284544</t>
  </si>
  <si>
    <t>肖俭国</t>
  </si>
  <si>
    <t>422626195301074513</t>
  </si>
  <si>
    <t>钟秀运</t>
  </si>
  <si>
    <t>42262619780811451X</t>
  </si>
  <si>
    <t>殷自菊</t>
  </si>
  <si>
    <t>422626194409244524</t>
  </si>
  <si>
    <t>尹绵艳</t>
  </si>
  <si>
    <t>422626196512074534</t>
  </si>
  <si>
    <t>尹明华</t>
  </si>
  <si>
    <t>422626196212284513</t>
  </si>
  <si>
    <t>尹明汉</t>
  </si>
  <si>
    <t>422626196403074519</t>
  </si>
  <si>
    <t>阮家文</t>
  </si>
  <si>
    <t>42262619580524451223</t>
  </si>
  <si>
    <t>刘德香</t>
  </si>
  <si>
    <t>420325197203124526</t>
  </si>
  <si>
    <t>马里村</t>
  </si>
  <si>
    <t>邓盛强</t>
  </si>
  <si>
    <t>422626195801144215</t>
  </si>
  <si>
    <t>东蒿坪村</t>
  </si>
  <si>
    <t>刘昌春</t>
  </si>
  <si>
    <t>420325194402064243</t>
  </si>
  <si>
    <t>周开禄</t>
  </si>
  <si>
    <t>422626194904044212</t>
  </si>
  <si>
    <t>张启猛</t>
  </si>
  <si>
    <t>42032519831025421671</t>
  </si>
  <si>
    <t>温正莲</t>
  </si>
  <si>
    <t>42032519440428424X</t>
  </si>
  <si>
    <t>周文明</t>
  </si>
  <si>
    <t>422626195506094219</t>
  </si>
  <si>
    <t>祝治兴</t>
  </si>
  <si>
    <t>422626195107164216</t>
  </si>
  <si>
    <t>付兴华</t>
  </si>
  <si>
    <t>420325198009154216</t>
  </si>
  <si>
    <t>王启付</t>
  </si>
  <si>
    <t>422626195210014216</t>
  </si>
  <si>
    <t>张先义</t>
  </si>
  <si>
    <t>422626196706174218</t>
  </si>
  <si>
    <t>吕家凤</t>
  </si>
  <si>
    <t>422626197206074223</t>
  </si>
  <si>
    <t>温正旺</t>
  </si>
  <si>
    <t>422626194611094216</t>
  </si>
  <si>
    <t>黄德全</t>
  </si>
  <si>
    <t>422626196804104213</t>
  </si>
  <si>
    <t>吕家钱</t>
  </si>
  <si>
    <t>422626197205124217</t>
  </si>
  <si>
    <t>李显强</t>
  </si>
  <si>
    <t>422626196006304210</t>
  </si>
  <si>
    <t>章祖林</t>
  </si>
  <si>
    <t>420325194901214277</t>
  </si>
  <si>
    <t>冯丽</t>
  </si>
  <si>
    <t>42032519731021421X</t>
  </si>
  <si>
    <t>422626194511174235</t>
  </si>
  <si>
    <t>高传华</t>
  </si>
  <si>
    <t>422626196109244214</t>
  </si>
  <si>
    <t>聂文华</t>
  </si>
  <si>
    <t>420325197607294214</t>
  </si>
  <si>
    <t>周开友</t>
  </si>
  <si>
    <t>422626194403244216</t>
  </si>
  <si>
    <t>顾道恒</t>
  </si>
  <si>
    <t>420325198404094233</t>
  </si>
  <si>
    <t>付行元</t>
  </si>
  <si>
    <t>422626196503144211</t>
  </si>
  <si>
    <t>张作喜</t>
  </si>
  <si>
    <t>422626196101294233</t>
  </si>
  <si>
    <t>马均福</t>
  </si>
  <si>
    <t>42262619491028421231</t>
  </si>
  <si>
    <t>袁之全</t>
  </si>
  <si>
    <t>422626194809014218</t>
  </si>
  <si>
    <t>张修文</t>
  </si>
  <si>
    <t>422626197205114211</t>
  </si>
  <si>
    <t>陈从飞</t>
  </si>
  <si>
    <t>42262619710213421X</t>
  </si>
  <si>
    <t>张先炳</t>
  </si>
  <si>
    <t>422626194901084219</t>
  </si>
  <si>
    <t>周文才</t>
  </si>
  <si>
    <t>422626195812184212</t>
  </si>
  <si>
    <t>许业友</t>
  </si>
  <si>
    <t>422626196401234216</t>
  </si>
  <si>
    <t>张启忠</t>
  </si>
  <si>
    <t>422626195008254216</t>
  </si>
  <si>
    <t>陈修德</t>
  </si>
  <si>
    <t>422626195405134218</t>
  </si>
  <si>
    <t>汪仁发</t>
  </si>
  <si>
    <t>422626195106304213</t>
  </si>
  <si>
    <t>付兴国</t>
  </si>
  <si>
    <t>42262619780522421143</t>
  </si>
  <si>
    <t>422626194605244214</t>
  </si>
  <si>
    <t>王金章</t>
  </si>
  <si>
    <t>422626196311214211</t>
  </si>
  <si>
    <t>422626197504234213</t>
  </si>
  <si>
    <t>王沛华</t>
  </si>
  <si>
    <t>422626195707154214</t>
  </si>
  <si>
    <t>陈忠文</t>
  </si>
  <si>
    <t>422626196012244218</t>
  </si>
  <si>
    <t>刘华堂</t>
  </si>
  <si>
    <t>422626197611134218</t>
  </si>
  <si>
    <t>张义明</t>
  </si>
  <si>
    <t>420325196504114239</t>
  </si>
  <si>
    <t>张忠贤</t>
  </si>
  <si>
    <t>420325196304114250</t>
  </si>
  <si>
    <t>戢运和</t>
  </si>
  <si>
    <t>422626196909194219</t>
  </si>
  <si>
    <t>驼鱼河村</t>
  </si>
  <si>
    <t>郭良华</t>
  </si>
  <si>
    <t>422626196704214511</t>
  </si>
  <si>
    <t>金仁恒</t>
  </si>
  <si>
    <t>422626194910254515</t>
  </si>
  <si>
    <t>安阳村一组</t>
  </si>
  <si>
    <t>杨文生</t>
  </si>
  <si>
    <t>422626196409034518</t>
  </si>
  <si>
    <t>胡文国</t>
  </si>
  <si>
    <t>42262619550113543X</t>
  </si>
  <si>
    <t>李兴旺</t>
  </si>
  <si>
    <t>422626194108154218</t>
  </si>
  <si>
    <t>邵荣坤</t>
  </si>
  <si>
    <t>42032519720812421844</t>
  </si>
  <si>
    <t>422626197802104230</t>
  </si>
  <si>
    <t>西蒿坪村2组</t>
  </si>
  <si>
    <t>袁坤明</t>
  </si>
  <si>
    <t>422626196409284218</t>
  </si>
  <si>
    <t>西蒿坪村3组</t>
  </si>
  <si>
    <t>谭学清</t>
  </si>
  <si>
    <t>42262619520811421842</t>
  </si>
  <si>
    <t>李建弼</t>
  </si>
  <si>
    <t>420325197004284236</t>
  </si>
  <si>
    <t>刘顺和</t>
  </si>
  <si>
    <t>422626196205014232</t>
  </si>
  <si>
    <t>西蒿坪村5组</t>
  </si>
  <si>
    <t>舒智军</t>
  </si>
  <si>
    <t>422626196705124219</t>
  </si>
  <si>
    <t>夏顺街</t>
  </si>
  <si>
    <t>422626196002294211</t>
  </si>
  <si>
    <t>张安堂</t>
  </si>
  <si>
    <t>422626192910214215</t>
  </si>
  <si>
    <t>程道文</t>
  </si>
  <si>
    <t>422626195902284217</t>
  </si>
  <si>
    <t>车发尤</t>
  </si>
  <si>
    <t>422626196603014211</t>
  </si>
  <si>
    <t>王龙</t>
  </si>
  <si>
    <t>420325197805194214</t>
  </si>
  <si>
    <t>王三贵</t>
  </si>
  <si>
    <t>422626196001294295</t>
  </si>
  <si>
    <t>乔光明</t>
  </si>
  <si>
    <t>422626192405074215</t>
  </si>
  <si>
    <t>张家河</t>
  </si>
  <si>
    <t>蒋付国</t>
  </si>
  <si>
    <t>422626192802135712</t>
  </si>
  <si>
    <t>420325198711125714</t>
  </si>
  <si>
    <t>刘山林</t>
  </si>
  <si>
    <t>42262619620614571X</t>
  </si>
  <si>
    <t>房泽文</t>
  </si>
  <si>
    <t>422626196912095713</t>
  </si>
  <si>
    <t>八里扁</t>
  </si>
  <si>
    <t>张全贤</t>
  </si>
  <si>
    <t>422626195301045739</t>
  </si>
  <si>
    <t>张国强</t>
  </si>
  <si>
    <t>422626195308064852</t>
  </si>
  <si>
    <t>莫士成</t>
  </si>
  <si>
    <t>422626195301185731</t>
  </si>
  <si>
    <t>贺茂银</t>
  </si>
  <si>
    <t>422626196504235713</t>
  </si>
  <si>
    <t>郭怀刚</t>
  </si>
  <si>
    <t>42262619690812573X</t>
  </si>
  <si>
    <t>白马沟</t>
  </si>
  <si>
    <t>张华祥</t>
  </si>
  <si>
    <t>422626196311165755</t>
  </si>
  <si>
    <t>陈仟</t>
  </si>
  <si>
    <t>422626196403105776</t>
  </si>
  <si>
    <t>横峪沟</t>
  </si>
  <si>
    <t>莫卜学</t>
  </si>
  <si>
    <t>422626194912295716</t>
  </si>
  <si>
    <t>莫学连</t>
  </si>
  <si>
    <t>420325194611165729</t>
  </si>
  <si>
    <t>张华春</t>
  </si>
  <si>
    <t>422626196808235712</t>
  </si>
  <si>
    <t>陡口</t>
  </si>
  <si>
    <t>樊经权</t>
  </si>
  <si>
    <t>422626197002075718</t>
  </si>
  <si>
    <t>谭举清</t>
  </si>
  <si>
    <t>422626195904135717</t>
  </si>
  <si>
    <t>吴关停</t>
  </si>
  <si>
    <t>42262619541027571X</t>
  </si>
  <si>
    <t>马金福</t>
  </si>
  <si>
    <t>422626195207145717</t>
  </si>
  <si>
    <t>代安强</t>
  </si>
  <si>
    <t>422626197101135712</t>
  </si>
  <si>
    <t>420325195903294834</t>
  </si>
  <si>
    <t>422626197812124817</t>
  </si>
  <si>
    <t>刘庆付</t>
  </si>
  <si>
    <t>422626196006284811</t>
  </si>
  <si>
    <t>刘家学</t>
  </si>
  <si>
    <t>422626196504194819</t>
  </si>
  <si>
    <t>张仁国</t>
  </si>
  <si>
    <t>422626195602094817</t>
  </si>
  <si>
    <t>422626197301174839</t>
  </si>
  <si>
    <t>代新月</t>
  </si>
  <si>
    <t>422626196108024818</t>
  </si>
  <si>
    <t>刘龙山</t>
  </si>
  <si>
    <t>422626197801234818</t>
  </si>
  <si>
    <t>清河</t>
  </si>
  <si>
    <t>李明亮</t>
  </si>
  <si>
    <t>422626195508114818</t>
  </si>
  <si>
    <t>周明清</t>
  </si>
  <si>
    <t>422626194307244830</t>
  </si>
  <si>
    <t>邹万忠</t>
  </si>
  <si>
    <t>422626195602194834</t>
  </si>
  <si>
    <t>李光红</t>
  </si>
  <si>
    <t>422626196812194810</t>
  </si>
  <si>
    <t>峪坪河</t>
  </si>
  <si>
    <t>莫仕兵</t>
  </si>
  <si>
    <t>422626196408235713</t>
  </si>
  <si>
    <t>孙启珍</t>
  </si>
  <si>
    <t>422626196502195746</t>
  </si>
  <si>
    <t>王大明</t>
  </si>
  <si>
    <t>420325194808025711</t>
  </si>
  <si>
    <t>西山</t>
  </si>
  <si>
    <t>余礼贵</t>
  </si>
  <si>
    <t>422626195911025719</t>
  </si>
  <si>
    <t>深峪沟</t>
  </si>
  <si>
    <t>余道伦</t>
  </si>
  <si>
    <t>422626194607154810</t>
  </si>
  <si>
    <t>冯家坡</t>
  </si>
  <si>
    <t>张明菊</t>
  </si>
  <si>
    <t>422626196106215741</t>
  </si>
  <si>
    <t>张仁舰</t>
  </si>
  <si>
    <t>422626196610245712</t>
  </si>
  <si>
    <t>王仲亮</t>
  </si>
  <si>
    <t>422626194703175718</t>
  </si>
  <si>
    <t>杨安平</t>
  </si>
  <si>
    <t>422626196605244811</t>
  </si>
  <si>
    <t>刘银怀</t>
  </si>
  <si>
    <t>422626196604174815</t>
  </si>
  <si>
    <t>刘庆生</t>
  </si>
  <si>
    <t>42262619581010571X</t>
  </si>
  <si>
    <t>柳大珍</t>
  </si>
  <si>
    <t>422626195405285729</t>
  </si>
  <si>
    <t>张昌伟</t>
  </si>
  <si>
    <t>42262619671024571X</t>
  </si>
  <si>
    <t>黎中月</t>
  </si>
  <si>
    <t>422626196509205732</t>
  </si>
  <si>
    <t>代明六</t>
  </si>
  <si>
    <t>422626195502255758</t>
  </si>
  <si>
    <t>代明点</t>
  </si>
  <si>
    <t>422626195007125711</t>
  </si>
  <si>
    <t>张昌洋</t>
  </si>
  <si>
    <t>42262619471030571X</t>
  </si>
  <si>
    <t>刘金山</t>
  </si>
  <si>
    <t>422626195207095713</t>
  </si>
  <si>
    <t>岳相龙</t>
  </si>
  <si>
    <t>422626195905285717</t>
  </si>
  <si>
    <t>岳相华</t>
  </si>
  <si>
    <t>422626195507145719</t>
  </si>
  <si>
    <t>422626195503155717</t>
  </si>
  <si>
    <t>周诗军</t>
  </si>
  <si>
    <t>420325197901255718</t>
  </si>
  <si>
    <t>代新国</t>
  </si>
  <si>
    <t>422626194412235717</t>
  </si>
  <si>
    <t>李启生</t>
  </si>
  <si>
    <t>422626196003185711</t>
  </si>
  <si>
    <t>422626194909275717</t>
  </si>
  <si>
    <t>东西店</t>
  </si>
  <si>
    <t>杜天明</t>
  </si>
  <si>
    <t>422626196911124818</t>
  </si>
  <si>
    <t>代明芝</t>
  </si>
  <si>
    <t>420325195009134828</t>
  </si>
  <si>
    <t>陈波</t>
  </si>
  <si>
    <t>420325197902144833</t>
  </si>
  <si>
    <t>高义权</t>
  </si>
  <si>
    <t>422626195806134817</t>
  </si>
  <si>
    <t>陈国林</t>
  </si>
  <si>
    <t>422626194403034817</t>
  </si>
  <si>
    <t>谭大成</t>
  </si>
  <si>
    <t>422626196611234812</t>
  </si>
  <si>
    <t>王成财</t>
  </si>
  <si>
    <t>422626196007184812</t>
  </si>
  <si>
    <t>范德忠</t>
  </si>
  <si>
    <t>422626196102124818</t>
  </si>
  <si>
    <t>徐兴明</t>
  </si>
  <si>
    <t>422626194604154815</t>
  </si>
  <si>
    <t>徐开华</t>
  </si>
  <si>
    <t>422626196807074814</t>
  </si>
  <si>
    <t>中堰村</t>
  </si>
  <si>
    <t>金家卫</t>
  </si>
  <si>
    <t>422626194401164810</t>
  </si>
  <si>
    <t>422626194502144819</t>
  </si>
  <si>
    <t>赵明林</t>
  </si>
  <si>
    <t>42262619460529481X</t>
  </si>
  <si>
    <t>周义元</t>
  </si>
  <si>
    <t>422626195110204813</t>
  </si>
  <si>
    <t>李良华</t>
  </si>
  <si>
    <t>422626195308294818</t>
  </si>
  <si>
    <t>422626197610204819</t>
  </si>
  <si>
    <t>李天华</t>
  </si>
  <si>
    <t>422626195610144837</t>
  </si>
  <si>
    <t>李春元</t>
  </si>
  <si>
    <t>422626196501084833</t>
  </si>
  <si>
    <t>王顺祥</t>
  </si>
  <si>
    <t>422626195102124000</t>
  </si>
  <si>
    <t>刘青兰</t>
  </si>
  <si>
    <t>422626194208254822</t>
  </si>
  <si>
    <t>李启兵</t>
  </si>
  <si>
    <t>422626197602174816</t>
  </si>
  <si>
    <t>黄朝军</t>
  </si>
  <si>
    <t>422626194311274813</t>
  </si>
  <si>
    <t>刘炳华</t>
  </si>
  <si>
    <t>422601196904175011</t>
  </si>
  <si>
    <t>黄大才</t>
  </si>
  <si>
    <t>42262619700729483X</t>
  </si>
  <si>
    <t>杨贤成</t>
  </si>
  <si>
    <t>422626196403104810</t>
  </si>
  <si>
    <t>徐兴贵</t>
  </si>
  <si>
    <t>422626193804124819</t>
  </si>
  <si>
    <t>黄荣先</t>
  </si>
  <si>
    <t>422626195112065714</t>
  </si>
  <si>
    <t>常大林</t>
  </si>
  <si>
    <t>420325196309045717</t>
  </si>
  <si>
    <t>422626196810075738</t>
  </si>
  <si>
    <t>张仁艺</t>
  </si>
  <si>
    <t>422626196410185719</t>
  </si>
  <si>
    <t>闵建军</t>
  </si>
  <si>
    <t>422626196308015713</t>
  </si>
  <si>
    <t>张仁新</t>
  </si>
  <si>
    <t>422626193706015715</t>
  </si>
  <si>
    <t>龚光友</t>
  </si>
  <si>
    <t>420626198207041039</t>
  </si>
  <si>
    <t>卧牛观</t>
  </si>
  <si>
    <t>张仕学</t>
  </si>
  <si>
    <t>422626196806234812</t>
  </si>
  <si>
    <t>吴开祥</t>
  </si>
  <si>
    <t>42262619660122483X</t>
  </si>
  <si>
    <t>马吉兵</t>
  </si>
  <si>
    <t>422626197012034813</t>
  </si>
  <si>
    <t>42262619641127481X</t>
  </si>
  <si>
    <t>贺德安</t>
  </si>
  <si>
    <t>422626196911154814</t>
  </si>
  <si>
    <t>422626196904174817</t>
  </si>
  <si>
    <t>贺德平</t>
  </si>
  <si>
    <t>422626197706244815</t>
  </si>
  <si>
    <t>任长明</t>
  </si>
  <si>
    <t>422626195311214815</t>
  </si>
  <si>
    <t>张明保</t>
  </si>
  <si>
    <t>422626196501244817</t>
  </si>
  <si>
    <t>梅花山</t>
  </si>
  <si>
    <t>黄家祥</t>
  </si>
  <si>
    <t>422626195103135717</t>
  </si>
  <si>
    <t>张荣贤</t>
  </si>
  <si>
    <t>422626195101235722</t>
  </si>
  <si>
    <t>花园</t>
  </si>
  <si>
    <t>刘志洪</t>
  </si>
  <si>
    <t>422626194811285711</t>
  </si>
  <si>
    <t>莫定学</t>
  </si>
  <si>
    <t>422626196401125714</t>
  </si>
  <si>
    <t>莫有权</t>
  </si>
  <si>
    <t>422626195703085717</t>
  </si>
  <si>
    <t>张桂富</t>
  </si>
  <si>
    <t>420325197603265731</t>
  </si>
  <si>
    <t>中堰河</t>
  </si>
  <si>
    <t>422626196312184819</t>
  </si>
  <si>
    <t>龙王坪</t>
  </si>
  <si>
    <t>代新万</t>
  </si>
  <si>
    <t>420325196002165730</t>
  </si>
  <si>
    <t xml:space="preserve"> 张青云</t>
  </si>
  <si>
    <t>422626195710205721</t>
  </si>
  <si>
    <t>张仁福</t>
  </si>
  <si>
    <t>422626195805165718</t>
  </si>
  <si>
    <t>王义新</t>
  </si>
  <si>
    <t>422626193604114819</t>
  </si>
  <si>
    <t>王明虎</t>
  </si>
  <si>
    <t>420325198010125711</t>
  </si>
  <si>
    <t>楼房</t>
  </si>
  <si>
    <t>杨明强</t>
  </si>
  <si>
    <t>422626196904045732</t>
  </si>
  <si>
    <t>房先政</t>
  </si>
  <si>
    <t>422626196810045715</t>
  </si>
  <si>
    <t>房先堰</t>
  </si>
  <si>
    <t>422626196410305717</t>
  </si>
  <si>
    <t>代明成</t>
  </si>
  <si>
    <t>422626196702065719</t>
  </si>
  <si>
    <t>房承山</t>
  </si>
  <si>
    <t>420325194907075714</t>
  </si>
  <si>
    <t>王兴生</t>
  </si>
  <si>
    <t>422626196411055713</t>
  </si>
  <si>
    <t>刘太明</t>
  </si>
  <si>
    <t>422626195201235711</t>
  </si>
  <si>
    <t>樊经艳</t>
  </si>
  <si>
    <t>422626196405155718</t>
  </si>
  <si>
    <t>王天章</t>
  </si>
  <si>
    <t>422626196303084816</t>
  </si>
  <si>
    <t>龚明亮</t>
  </si>
  <si>
    <t>422626192406104826</t>
  </si>
  <si>
    <t>余道贤</t>
  </si>
  <si>
    <t>422626195103224816</t>
  </si>
  <si>
    <t>张左贤</t>
  </si>
  <si>
    <t>422626195101305729</t>
  </si>
  <si>
    <t>莫有强</t>
  </si>
  <si>
    <t>422626196505085710</t>
  </si>
  <si>
    <t>代克军</t>
  </si>
  <si>
    <t xml:space="preserve"> 422626195901174817</t>
  </si>
  <si>
    <t>毛红菊</t>
  </si>
  <si>
    <t xml:space="preserve"> 422626195406194829</t>
  </si>
  <si>
    <t>李奎</t>
  </si>
  <si>
    <t>420325198812275754</t>
  </si>
  <si>
    <t>谢根英</t>
  </si>
  <si>
    <t>422626195007044823</t>
  </si>
  <si>
    <t>422626195501214816</t>
  </si>
  <si>
    <t>刘庆强</t>
  </si>
  <si>
    <t>420325194202014831</t>
  </si>
  <si>
    <t>代元明</t>
  </si>
  <si>
    <t>422626195110034818</t>
  </si>
  <si>
    <t>刘根山</t>
  </si>
  <si>
    <t>422626195601064819</t>
  </si>
  <si>
    <t>龚廷友</t>
  </si>
  <si>
    <t>422626195305014817</t>
  </si>
  <si>
    <t>龚廷武</t>
  </si>
  <si>
    <t>42262619500826481X</t>
  </si>
  <si>
    <t>鲁清兵</t>
  </si>
  <si>
    <t>420325197812134834</t>
  </si>
  <si>
    <t>422626196512055712</t>
  </si>
  <si>
    <t>曾光秀</t>
  </si>
  <si>
    <t>42262619631010482X</t>
  </si>
  <si>
    <t>邹清荣</t>
  </si>
  <si>
    <t>422626195402114836</t>
  </si>
  <si>
    <t>李照云</t>
  </si>
  <si>
    <t>422626196201084823</t>
  </si>
  <si>
    <t>徐忠茂</t>
  </si>
  <si>
    <t>422626194908064819</t>
  </si>
  <si>
    <t>周吉华</t>
  </si>
  <si>
    <t>42262619530920481044</t>
  </si>
  <si>
    <t>422626195807194838</t>
  </si>
  <si>
    <t>崔天禄</t>
  </si>
  <si>
    <t>42032519540808571X43</t>
  </si>
  <si>
    <t>戴安强</t>
  </si>
  <si>
    <t>422626195804215736</t>
  </si>
  <si>
    <t>曾学全</t>
  </si>
  <si>
    <t>422626195504184819</t>
  </si>
  <si>
    <t>李启荣</t>
  </si>
  <si>
    <t>422626195601274816</t>
  </si>
  <si>
    <t>王开春</t>
  </si>
  <si>
    <t>420325198003205719</t>
  </si>
  <si>
    <t>代全树</t>
  </si>
  <si>
    <t>422626196408115711</t>
  </si>
  <si>
    <t>代玺</t>
  </si>
  <si>
    <t>422626196705254814</t>
  </si>
  <si>
    <t>郑相福</t>
  </si>
  <si>
    <t>422626194508125715</t>
  </si>
  <si>
    <t>代全炳</t>
  </si>
  <si>
    <t>42262619621103571844</t>
  </si>
  <si>
    <t>史先宝</t>
  </si>
  <si>
    <t>422626196602204814</t>
  </si>
  <si>
    <t>李光秀</t>
  </si>
  <si>
    <t>422626196310074827</t>
  </si>
  <si>
    <t>杨如波</t>
  </si>
  <si>
    <t>422626197706084815</t>
  </si>
  <si>
    <t>黄朝林</t>
  </si>
  <si>
    <t>422626194908184810</t>
  </si>
  <si>
    <t>陈治海</t>
  </si>
  <si>
    <t>422626195701124815</t>
  </si>
  <si>
    <t>刘志树</t>
  </si>
  <si>
    <t>422626197008274814</t>
  </si>
  <si>
    <t>张应龙</t>
  </si>
  <si>
    <t>422626195501244812</t>
  </si>
  <si>
    <t>龚廷山</t>
  </si>
  <si>
    <t>422626195412094816</t>
  </si>
  <si>
    <t>毛如君</t>
  </si>
  <si>
    <t>422626195402165713</t>
  </si>
  <si>
    <t>42252619540222571744</t>
  </si>
  <si>
    <t>胡明兰</t>
  </si>
  <si>
    <t>42032519470727572X</t>
  </si>
  <si>
    <t>熊巨清</t>
  </si>
  <si>
    <t>422626197202114814</t>
  </si>
  <si>
    <t>毛吉海</t>
  </si>
  <si>
    <t>422626197407124813</t>
  </si>
  <si>
    <t>熊开兰</t>
  </si>
  <si>
    <t>422626194308175726</t>
  </si>
  <si>
    <t>罗道宏</t>
  </si>
  <si>
    <t>422626197206165715</t>
  </si>
  <si>
    <t>罗道强</t>
  </si>
  <si>
    <t>42262619690601573X</t>
  </si>
  <si>
    <t>危平贤</t>
  </si>
  <si>
    <t>422626197005015737</t>
  </si>
  <si>
    <t>杜耀政</t>
  </si>
  <si>
    <t>422626194910265716</t>
  </si>
  <si>
    <t>刘家武</t>
  </si>
  <si>
    <t>422626193907115712</t>
  </si>
  <si>
    <t>代新林</t>
  </si>
  <si>
    <t>422626195303185719</t>
  </si>
  <si>
    <t>闵耀泉</t>
  </si>
  <si>
    <t>422626194711185713</t>
  </si>
  <si>
    <t>刘庆武</t>
  </si>
  <si>
    <t>422626193502254810</t>
  </si>
  <si>
    <t>黄顺学</t>
  </si>
  <si>
    <t>422626196003185738</t>
  </si>
  <si>
    <t>张自勇</t>
  </si>
  <si>
    <t>422626196305045714</t>
  </si>
  <si>
    <t>金国来</t>
  </si>
  <si>
    <t>422626195203304821</t>
  </si>
  <si>
    <t>贺修志</t>
  </si>
  <si>
    <t>42262619431007481X</t>
  </si>
  <si>
    <t>黄朝柱</t>
  </si>
  <si>
    <t>42262619560702481831</t>
  </si>
  <si>
    <t>刘志宜</t>
  </si>
  <si>
    <t>420325196708294876</t>
  </si>
  <si>
    <t xml:space="preserve"> 刘山楼</t>
  </si>
  <si>
    <t>422626197310104816</t>
  </si>
  <si>
    <t>李元锡</t>
  </si>
  <si>
    <t>422626193203105719</t>
  </si>
  <si>
    <t>徐忠莲</t>
  </si>
  <si>
    <t>422626194408074826</t>
  </si>
  <si>
    <t>耿吉荣</t>
  </si>
  <si>
    <t>422626194410274827</t>
  </si>
  <si>
    <t>张志贤</t>
  </si>
  <si>
    <t>422626193904015724</t>
  </si>
  <si>
    <t>李启春</t>
  </si>
  <si>
    <t>422626194201275743</t>
  </si>
  <si>
    <t>刘志莲</t>
  </si>
  <si>
    <t>422626194305195721</t>
  </si>
  <si>
    <t>张运立</t>
  </si>
  <si>
    <t>422626196306115710</t>
  </si>
  <si>
    <t>李洪新</t>
  </si>
  <si>
    <t>422626195407055759</t>
  </si>
  <si>
    <t>龚仕坤</t>
  </si>
  <si>
    <t>422626196602215732</t>
  </si>
  <si>
    <t>张仁尧</t>
  </si>
  <si>
    <t>422626195509215717</t>
  </si>
  <si>
    <t>沈大运</t>
  </si>
  <si>
    <t>422626195705125719</t>
  </si>
  <si>
    <t>危贵英</t>
  </si>
  <si>
    <t>422626193801305729</t>
  </si>
  <si>
    <t>康家贵</t>
  </si>
  <si>
    <t>422626195312094819</t>
  </si>
  <si>
    <t>张雪斌</t>
  </si>
  <si>
    <t>420325197601035713</t>
  </si>
  <si>
    <t>刘庆合</t>
  </si>
  <si>
    <t>422626195711255739</t>
  </si>
  <si>
    <t>422626197903135714</t>
  </si>
  <si>
    <t>姚光华</t>
  </si>
  <si>
    <t>420325196212075717</t>
  </si>
  <si>
    <t>张华元</t>
  </si>
  <si>
    <t>422626196705305714</t>
  </si>
  <si>
    <t>戢运忠</t>
  </si>
  <si>
    <t>422626195309155713</t>
  </si>
  <si>
    <t>陈恒忠</t>
  </si>
  <si>
    <t>422626195205225713</t>
  </si>
  <si>
    <t xml:space="preserve"> 刘园峰</t>
  </si>
  <si>
    <t>420325197804094836</t>
  </si>
  <si>
    <t>刘天海</t>
  </si>
  <si>
    <t>422626197110194853</t>
  </si>
  <si>
    <t>夏昌军</t>
  </si>
  <si>
    <t>422626195809304818</t>
  </si>
  <si>
    <t>李春华</t>
  </si>
  <si>
    <t>422626196003094836</t>
  </si>
  <si>
    <t>熊永中</t>
  </si>
  <si>
    <t>422626196902144833</t>
  </si>
  <si>
    <t>潘光明</t>
  </si>
  <si>
    <t>422626194511274818</t>
  </si>
  <si>
    <t>李照国</t>
  </si>
  <si>
    <t>422626195407034819</t>
  </si>
  <si>
    <t>韦长清</t>
  </si>
  <si>
    <t>422626195208044811</t>
  </si>
  <si>
    <t>李如文</t>
  </si>
  <si>
    <t>422626197402124830</t>
  </si>
  <si>
    <t>张大文</t>
  </si>
  <si>
    <t>422626196404014817</t>
  </si>
  <si>
    <t>李平</t>
  </si>
  <si>
    <t>422626197810184859</t>
  </si>
  <si>
    <t>李明义</t>
  </si>
  <si>
    <t>422626195411144818</t>
  </si>
  <si>
    <t>杨正炳</t>
  </si>
  <si>
    <t>422626194007254818</t>
  </si>
  <si>
    <t>刘启元</t>
  </si>
  <si>
    <t>422626195301124816</t>
  </si>
  <si>
    <t>代安华</t>
  </si>
  <si>
    <t>422626195001184817</t>
  </si>
  <si>
    <t>任涛</t>
  </si>
  <si>
    <t>420325198805274817</t>
  </si>
  <si>
    <t>周传平</t>
  </si>
  <si>
    <t>420325198103094838</t>
  </si>
  <si>
    <t>王传斗</t>
  </si>
  <si>
    <t>422626195704134816</t>
  </si>
  <si>
    <t>朱家云</t>
  </si>
  <si>
    <t>422626194907174813</t>
  </si>
  <si>
    <t>杨善贵</t>
  </si>
  <si>
    <t>422626193003294818</t>
  </si>
  <si>
    <t>蹇正云</t>
  </si>
  <si>
    <t>42032519460615110371</t>
  </si>
  <si>
    <t>刘家秀</t>
  </si>
  <si>
    <t>422626194308044822</t>
  </si>
  <si>
    <t>曾学义</t>
  </si>
  <si>
    <t>422626194707164813</t>
  </si>
  <si>
    <t>雷华英</t>
  </si>
  <si>
    <t>422626194701054824</t>
  </si>
  <si>
    <t>许明英</t>
  </si>
  <si>
    <t>422626195312064820</t>
  </si>
  <si>
    <t>莫仕献</t>
  </si>
  <si>
    <t>422626196710155714</t>
  </si>
  <si>
    <t>周天清</t>
  </si>
  <si>
    <t>422626197601254830</t>
  </si>
  <si>
    <t>廖彦清</t>
  </si>
  <si>
    <t>422626195002174813</t>
  </si>
  <si>
    <t>胡启华</t>
  </si>
  <si>
    <t>42262619690520482X</t>
  </si>
  <si>
    <t>陈友力</t>
  </si>
  <si>
    <t>422626195204245739</t>
  </si>
  <si>
    <t>杜元财</t>
  </si>
  <si>
    <t>42262619620907571014</t>
  </si>
  <si>
    <t>王建成</t>
  </si>
  <si>
    <t>42262619500228481X</t>
  </si>
  <si>
    <t>李明成</t>
  </si>
  <si>
    <t>422626193705214819</t>
  </si>
  <si>
    <t>李如喜</t>
  </si>
  <si>
    <t>42032519650411483731</t>
  </si>
  <si>
    <t>冉群</t>
  </si>
  <si>
    <t>42032519790823485631</t>
  </si>
  <si>
    <t>丁大财</t>
  </si>
  <si>
    <t>420325194609284817</t>
  </si>
  <si>
    <t>王贵财</t>
  </si>
  <si>
    <t>422626196110294817</t>
  </si>
  <si>
    <t>陈守兵</t>
  </si>
  <si>
    <t>422626195208104810</t>
  </si>
  <si>
    <t>熊吉英</t>
  </si>
  <si>
    <t>42262619520108482914</t>
  </si>
  <si>
    <t>王成贵</t>
  </si>
  <si>
    <t>422626195411104816</t>
  </si>
  <si>
    <t>张正虎</t>
  </si>
  <si>
    <t>42032519870604481362</t>
  </si>
  <si>
    <t>文顺财</t>
  </si>
  <si>
    <t>42262619631116481643</t>
  </si>
  <si>
    <t>杨文渊</t>
  </si>
  <si>
    <t>42262619470508481X</t>
  </si>
  <si>
    <t>何安工</t>
  </si>
  <si>
    <t>42262619600221481614</t>
  </si>
  <si>
    <t>黄开山</t>
  </si>
  <si>
    <t>422626194904014814</t>
  </si>
  <si>
    <t>杜登华</t>
  </si>
  <si>
    <t>420325195309185715</t>
  </si>
  <si>
    <t>422626195405035711</t>
  </si>
  <si>
    <t>蒋付银</t>
  </si>
  <si>
    <t>42262619570914571734</t>
  </si>
  <si>
    <t>蒋贵国</t>
  </si>
  <si>
    <t>42032519660324571X31</t>
  </si>
  <si>
    <t>杨道定</t>
  </si>
  <si>
    <t>42262619700403571X</t>
  </si>
  <si>
    <t>杨道发</t>
  </si>
  <si>
    <t>422626194512195716</t>
  </si>
  <si>
    <t>杨群</t>
  </si>
  <si>
    <t>420325198805245733</t>
  </si>
  <si>
    <t>莫县学</t>
  </si>
  <si>
    <t>420325194809185717</t>
  </si>
  <si>
    <t>张应清</t>
  </si>
  <si>
    <t>422626193902205727</t>
  </si>
  <si>
    <t>马金成</t>
  </si>
  <si>
    <t>422626194905095759</t>
  </si>
  <si>
    <t>杨太明</t>
  </si>
  <si>
    <t>42262619511004571X</t>
  </si>
  <si>
    <t>杨关礼</t>
  </si>
  <si>
    <t>420325196206285734</t>
  </si>
  <si>
    <t>万大军</t>
  </si>
  <si>
    <t>42262619730404571762</t>
  </si>
  <si>
    <t>刘庆政</t>
  </si>
  <si>
    <t>422626195203285712</t>
  </si>
  <si>
    <t>莫大仟</t>
  </si>
  <si>
    <t>422626194201045710</t>
  </si>
  <si>
    <t>莫有彦</t>
  </si>
  <si>
    <t>422626193410295738</t>
  </si>
  <si>
    <t>王兴海</t>
  </si>
  <si>
    <t>422626196112215713</t>
  </si>
  <si>
    <t>刘家让</t>
  </si>
  <si>
    <t>422626194411224813</t>
  </si>
  <si>
    <t>422626195311094817</t>
  </si>
  <si>
    <t>422626194710124812</t>
  </si>
  <si>
    <t>刘帮春</t>
  </si>
  <si>
    <t>422626194212144810</t>
  </si>
  <si>
    <t>代明科</t>
  </si>
  <si>
    <t>42262619541201481232</t>
  </si>
  <si>
    <t>刘家善</t>
  </si>
  <si>
    <t>422626194308034819</t>
  </si>
  <si>
    <t>42262619590117481731</t>
  </si>
  <si>
    <t>刘庆贵</t>
  </si>
  <si>
    <t>422626194701264813</t>
  </si>
  <si>
    <t>刘志顺</t>
  </si>
  <si>
    <t>422626195110174810</t>
  </si>
  <si>
    <t>刘家章</t>
  </si>
  <si>
    <t>42262619410601481X</t>
  </si>
  <si>
    <t>422626195610274818</t>
  </si>
  <si>
    <t>周照云</t>
  </si>
  <si>
    <t>422626195104184828</t>
  </si>
  <si>
    <t>422626195406194829</t>
  </si>
  <si>
    <t>42032519590329483431</t>
  </si>
  <si>
    <t>刘庆明</t>
  </si>
  <si>
    <t>422626194608194814</t>
  </si>
  <si>
    <t>422626195509154811</t>
  </si>
  <si>
    <t>刘家理</t>
  </si>
  <si>
    <t>42262619530531481X</t>
  </si>
  <si>
    <t>42032519881227575463</t>
  </si>
  <si>
    <t>刘志荣</t>
  </si>
  <si>
    <t>422626194109014815</t>
  </si>
  <si>
    <t>李朝明</t>
  </si>
  <si>
    <t>422626196904084811</t>
  </si>
  <si>
    <t>邓邦理</t>
  </si>
  <si>
    <t>422626195302264810</t>
  </si>
  <si>
    <t>陈义海</t>
  </si>
  <si>
    <t>422626195004234816</t>
  </si>
  <si>
    <t>周德福</t>
  </si>
  <si>
    <t>422626194407084811</t>
  </si>
  <si>
    <t>夏昌斌</t>
  </si>
  <si>
    <t>420325194607135711</t>
  </si>
  <si>
    <t>周明汉</t>
  </si>
  <si>
    <t>42262619601103571342</t>
  </si>
  <si>
    <t>李家华</t>
  </si>
  <si>
    <t>422626196411175715</t>
  </si>
  <si>
    <t>周新汉</t>
  </si>
  <si>
    <t>422626195210015710</t>
  </si>
  <si>
    <t>42262619380323571X</t>
  </si>
  <si>
    <t>毛洪成</t>
  </si>
  <si>
    <t>422626196101155719</t>
  </si>
  <si>
    <t>陈传军</t>
  </si>
  <si>
    <t>420325196910245752</t>
  </si>
  <si>
    <t>刘承业</t>
  </si>
  <si>
    <t>422626193503095719</t>
  </si>
  <si>
    <t>桂宏山</t>
  </si>
  <si>
    <t>422626193412155712</t>
  </si>
  <si>
    <t>陈义国</t>
  </si>
  <si>
    <t>42262619540307573644</t>
  </si>
  <si>
    <t>黄家兵</t>
  </si>
  <si>
    <t>42262619621207571144</t>
  </si>
  <si>
    <t>42032519621207571711</t>
  </si>
  <si>
    <t>42262619580516571852</t>
  </si>
  <si>
    <t>代克菊</t>
  </si>
  <si>
    <t>422626196310254828</t>
  </si>
  <si>
    <t>邓兴国</t>
  </si>
  <si>
    <t>422626194703204814</t>
  </si>
  <si>
    <t>422626193603194829</t>
  </si>
  <si>
    <t>周明权</t>
  </si>
  <si>
    <t>422626195401104812</t>
  </si>
  <si>
    <t>42262619630611571031</t>
  </si>
  <si>
    <t>马金点</t>
  </si>
  <si>
    <t>42262619591224573X</t>
  </si>
  <si>
    <t>张仁方</t>
  </si>
  <si>
    <t>422626196112295733</t>
  </si>
  <si>
    <t>张运国</t>
  </si>
  <si>
    <t>422626195011105713</t>
  </si>
  <si>
    <t>彭明来</t>
  </si>
  <si>
    <t>422626195103115716</t>
  </si>
  <si>
    <t>张自强</t>
  </si>
  <si>
    <t>422626194608295711</t>
  </si>
  <si>
    <t>易仲前</t>
  </si>
  <si>
    <t>422626196002185736</t>
  </si>
  <si>
    <t>王忠义</t>
  </si>
  <si>
    <t>422626195309254834</t>
  </si>
  <si>
    <t>姚大学</t>
  </si>
  <si>
    <t>42262619770324481X</t>
  </si>
  <si>
    <t>422626194402144811</t>
  </si>
  <si>
    <t>胡永乐</t>
  </si>
  <si>
    <t>42262619530216481X</t>
  </si>
  <si>
    <t>彭国林</t>
  </si>
  <si>
    <t>42262619621019483X</t>
  </si>
  <si>
    <t>刘家荣</t>
  </si>
  <si>
    <t>422626194111234825</t>
  </si>
  <si>
    <t>吴自银</t>
  </si>
  <si>
    <t>422626196911214813</t>
  </si>
  <si>
    <t>许嘉越</t>
  </si>
  <si>
    <t>420325200807045734</t>
  </si>
  <si>
    <t>秦世林</t>
  </si>
  <si>
    <t>420325200807085710</t>
  </si>
  <si>
    <t>柯昌华</t>
  </si>
  <si>
    <t>422626196804095732</t>
  </si>
  <si>
    <t>王功财</t>
  </si>
  <si>
    <t>422626195304045734</t>
  </si>
  <si>
    <t>陈桂山</t>
  </si>
  <si>
    <t>42032519630627571X31</t>
  </si>
  <si>
    <t>许刚文</t>
  </si>
  <si>
    <t>42262619721128573844</t>
  </si>
  <si>
    <t>杨孝兵</t>
  </si>
  <si>
    <t>422626195406075715</t>
  </si>
  <si>
    <t>熊开炳</t>
  </si>
  <si>
    <t>422626195205295711</t>
  </si>
  <si>
    <t>张廷生</t>
  </si>
  <si>
    <t>42262619780719481044</t>
  </si>
  <si>
    <t>42262619640401481713</t>
  </si>
  <si>
    <t>齐超</t>
  </si>
  <si>
    <t>422626196701164811</t>
  </si>
  <si>
    <t>崔天学</t>
  </si>
  <si>
    <t>422626195007144818</t>
  </si>
  <si>
    <t>丰传海</t>
  </si>
  <si>
    <t>422626195102204813</t>
  </si>
  <si>
    <t>赵立华</t>
  </si>
  <si>
    <t>422626194301275716</t>
  </si>
  <si>
    <t>长发明</t>
  </si>
  <si>
    <t>422626195501285710</t>
  </si>
  <si>
    <t>422626194909245718</t>
  </si>
  <si>
    <t>金世勇</t>
  </si>
  <si>
    <t>420325198402065711</t>
  </si>
  <si>
    <t>周汉山</t>
  </si>
  <si>
    <t>42032519491129483X</t>
  </si>
  <si>
    <t>刘志付</t>
  </si>
  <si>
    <t>422626196601164830</t>
  </si>
  <si>
    <t>姜富成</t>
  </si>
  <si>
    <t>422626195503264817</t>
  </si>
  <si>
    <t>422626195311074816</t>
  </si>
  <si>
    <t>杨清章</t>
  </si>
  <si>
    <t>422626195408074812</t>
  </si>
  <si>
    <t>洪盛村</t>
  </si>
  <si>
    <t>422626196312305131</t>
  </si>
  <si>
    <t>422626196302065138</t>
  </si>
  <si>
    <t>赵吉宏</t>
  </si>
  <si>
    <t>422626197602295116</t>
  </si>
  <si>
    <t>葛邦权</t>
  </si>
  <si>
    <t>422626197112305131</t>
  </si>
  <si>
    <t>赵有明</t>
  </si>
  <si>
    <t>422626196305165118</t>
  </si>
  <si>
    <t>刘加发</t>
  </si>
  <si>
    <t>422626195601025131</t>
  </si>
  <si>
    <t>代新炳</t>
  </si>
  <si>
    <t>422626196809165111</t>
  </si>
  <si>
    <t>李明海</t>
  </si>
  <si>
    <t>422626196301095116</t>
  </si>
  <si>
    <t>吕兴仪</t>
  </si>
  <si>
    <t>422626196310125110</t>
  </si>
  <si>
    <t>42262619561112511X</t>
  </si>
  <si>
    <t>余正秀</t>
  </si>
  <si>
    <t>422626193502155126</t>
  </si>
  <si>
    <t>莫国元</t>
  </si>
  <si>
    <t>42262619641120511X</t>
  </si>
  <si>
    <t>张百昌</t>
  </si>
  <si>
    <t>422626194812285115</t>
  </si>
  <si>
    <t>龚文学</t>
  </si>
  <si>
    <t>422626196402055113</t>
  </si>
  <si>
    <t>彭士全</t>
  </si>
  <si>
    <t>422626195612285115</t>
  </si>
  <si>
    <t>杜元村</t>
  </si>
  <si>
    <t>422626196908315111</t>
  </si>
  <si>
    <t>龚光菊</t>
  </si>
  <si>
    <t>422626195606015127</t>
  </si>
  <si>
    <t>代兴彦</t>
  </si>
  <si>
    <t>422626196710065137</t>
  </si>
  <si>
    <t>422626196302285173</t>
  </si>
  <si>
    <t>代安海</t>
  </si>
  <si>
    <t>422626195610175131</t>
  </si>
  <si>
    <t>代全周</t>
  </si>
  <si>
    <t>422626196802065118</t>
  </si>
  <si>
    <t>周照清</t>
  </si>
  <si>
    <t>422626197208295118</t>
  </si>
  <si>
    <t>邹万兴</t>
  </si>
  <si>
    <t>422626196203075111</t>
  </si>
  <si>
    <t>郑相林</t>
  </si>
  <si>
    <t>422626195405275117</t>
  </si>
  <si>
    <t>徐善甫</t>
  </si>
  <si>
    <t>42262619440222511X</t>
  </si>
  <si>
    <t>刘永春</t>
  </si>
  <si>
    <t>422626196901275110</t>
  </si>
  <si>
    <t>杨万春</t>
  </si>
  <si>
    <t>422626195403135110</t>
  </si>
  <si>
    <t>沈龙合</t>
  </si>
  <si>
    <t>422626194811185155</t>
  </si>
  <si>
    <t>刘家合</t>
  </si>
  <si>
    <t>422626196701305135</t>
  </si>
  <si>
    <t>宋  平</t>
  </si>
  <si>
    <t>422626197303245135</t>
  </si>
  <si>
    <t>422626196808065135</t>
  </si>
  <si>
    <t>龚德银</t>
  </si>
  <si>
    <t>422626196503035111</t>
  </si>
  <si>
    <t>刘加德</t>
  </si>
  <si>
    <t>422626194301065110</t>
  </si>
  <si>
    <t>张海贤</t>
  </si>
  <si>
    <t>422626194603145116</t>
  </si>
  <si>
    <t>罗正敏</t>
  </si>
  <si>
    <t>422626195603205128</t>
  </si>
  <si>
    <t>邓举任</t>
  </si>
  <si>
    <t>422626195509055119</t>
  </si>
  <si>
    <t>龚德合</t>
  </si>
  <si>
    <t>422626197006175118</t>
  </si>
  <si>
    <t>周照奎</t>
  </si>
  <si>
    <t>422626196302205110</t>
  </si>
  <si>
    <t>张百合</t>
  </si>
  <si>
    <t>422626194703015124</t>
  </si>
  <si>
    <t>422626196511245119</t>
  </si>
  <si>
    <t>姚大兵</t>
  </si>
  <si>
    <t>422626197403205114</t>
  </si>
  <si>
    <t>曹光权</t>
  </si>
  <si>
    <t>422626196008115114</t>
  </si>
  <si>
    <t>曹明国</t>
  </si>
  <si>
    <t>42262619641008511X</t>
  </si>
  <si>
    <t>沈龙华</t>
  </si>
  <si>
    <t>422626193608115114</t>
  </si>
  <si>
    <t>张启品</t>
  </si>
  <si>
    <t>422626196703315118</t>
  </si>
  <si>
    <t>李渊菊</t>
  </si>
  <si>
    <t>422626196210205121</t>
  </si>
  <si>
    <t>张永国</t>
  </si>
  <si>
    <t>422626196403035114</t>
  </si>
  <si>
    <t>刘帮华</t>
  </si>
  <si>
    <t>422626197210275116</t>
  </si>
  <si>
    <t>张世旺</t>
  </si>
  <si>
    <t>422626194812095119</t>
  </si>
  <si>
    <t>朱永喜</t>
  </si>
  <si>
    <t>422626195707145115</t>
  </si>
  <si>
    <t>危学洲</t>
  </si>
  <si>
    <t>422626197509075119</t>
  </si>
  <si>
    <t>422626194511275116</t>
  </si>
  <si>
    <t>刘开成</t>
  </si>
  <si>
    <t>42262619470212511011</t>
  </si>
  <si>
    <t>田荣明</t>
  </si>
  <si>
    <t>422626196209075112</t>
  </si>
  <si>
    <t>田荣虎</t>
  </si>
  <si>
    <t>422626196208155137</t>
  </si>
  <si>
    <t>徐后忠</t>
  </si>
  <si>
    <t>42262619600326513X</t>
  </si>
  <si>
    <t>代明罗</t>
  </si>
  <si>
    <t>422626195312065110</t>
  </si>
  <si>
    <t>422626197012305118</t>
  </si>
  <si>
    <t>田荣枝</t>
  </si>
  <si>
    <t>422626195708265127</t>
  </si>
  <si>
    <t>王丽成</t>
  </si>
  <si>
    <t>420325195811165410</t>
  </si>
  <si>
    <t>姚传生</t>
  </si>
  <si>
    <t>422626196209085417</t>
  </si>
  <si>
    <t>赵光彦</t>
  </si>
  <si>
    <t>422626194509095415</t>
  </si>
  <si>
    <t>史成贵</t>
  </si>
  <si>
    <t>42262619541201541X</t>
  </si>
  <si>
    <t>王永国</t>
  </si>
  <si>
    <t>420325198308265418</t>
  </si>
  <si>
    <t>熊安友</t>
  </si>
  <si>
    <t>422626195508135413</t>
  </si>
  <si>
    <t>422626194401215411</t>
  </si>
  <si>
    <t>周登传</t>
  </si>
  <si>
    <t>422626194403245411</t>
  </si>
  <si>
    <t>肖子朝</t>
  </si>
  <si>
    <t>422626195106235414</t>
  </si>
  <si>
    <t>陈春禄</t>
  </si>
  <si>
    <t>422626194704265416</t>
  </si>
  <si>
    <t>陈忠林</t>
  </si>
  <si>
    <t>422626195511065412</t>
  </si>
  <si>
    <t>喻贵东</t>
  </si>
  <si>
    <t>422626195611105418</t>
  </si>
  <si>
    <t>火 光</t>
  </si>
  <si>
    <t>422626196308255434</t>
  </si>
  <si>
    <t>杨玉国</t>
  </si>
  <si>
    <t>422626195512195411</t>
  </si>
  <si>
    <t>422626196803255415</t>
  </si>
  <si>
    <t>茅 山</t>
  </si>
  <si>
    <t>李远平</t>
  </si>
  <si>
    <t>420325197805035416</t>
  </si>
  <si>
    <t>竹 园</t>
  </si>
  <si>
    <t>422626194105255419</t>
  </si>
  <si>
    <t>李光学</t>
  </si>
  <si>
    <t>422626195712095415</t>
  </si>
  <si>
    <t>422626195502185412</t>
  </si>
  <si>
    <t>李光义</t>
  </si>
  <si>
    <t>422626193707235410</t>
  </si>
  <si>
    <t>姚汉启</t>
  </si>
  <si>
    <t>422626194602105411</t>
  </si>
  <si>
    <t>戈正荣</t>
  </si>
  <si>
    <t>422626195401025436</t>
  </si>
  <si>
    <t>李长秀</t>
  </si>
  <si>
    <t>422626192304185426</t>
  </si>
  <si>
    <t>唐开卓</t>
  </si>
  <si>
    <t>422626194802155413</t>
  </si>
  <si>
    <t>唐顺国</t>
  </si>
  <si>
    <t>422626195011045415</t>
  </si>
  <si>
    <t>曾有常</t>
  </si>
  <si>
    <t>42262619440718541X</t>
  </si>
  <si>
    <t>王正恭</t>
  </si>
  <si>
    <t>422626195807035413</t>
  </si>
  <si>
    <t>张元顺</t>
  </si>
  <si>
    <t>422626194310185413</t>
  </si>
  <si>
    <t>曾文成</t>
  </si>
  <si>
    <t>42262619730205541X</t>
  </si>
  <si>
    <t>周民春</t>
  </si>
  <si>
    <t>422626196810135411</t>
  </si>
  <si>
    <t>万义贵</t>
  </si>
  <si>
    <t>420325195404145412</t>
  </si>
  <si>
    <t>万启发</t>
  </si>
  <si>
    <t>422626193810085430</t>
  </si>
  <si>
    <t>王国兰</t>
  </si>
  <si>
    <t>422626193811055428</t>
  </si>
  <si>
    <t>雷开学</t>
  </si>
  <si>
    <t>420325196402135418</t>
  </si>
  <si>
    <t>陈文全</t>
  </si>
  <si>
    <t>422626197010235435</t>
  </si>
  <si>
    <t>丁高明</t>
  </si>
  <si>
    <t>422626196807255412</t>
  </si>
  <si>
    <t>叶立洪</t>
  </si>
  <si>
    <t>422626194207015433</t>
  </si>
  <si>
    <t>曹明友</t>
  </si>
  <si>
    <t>422626194303135418</t>
  </si>
  <si>
    <t>曾光付</t>
  </si>
  <si>
    <t>422626195104095414</t>
  </si>
  <si>
    <t>余国富</t>
  </si>
  <si>
    <t>422626195302215410</t>
  </si>
  <si>
    <t>田安三</t>
  </si>
  <si>
    <t>4226261950729541X</t>
  </si>
  <si>
    <t>吴兆新</t>
  </si>
  <si>
    <t>420325195302165412</t>
  </si>
  <si>
    <t>熊明珠</t>
  </si>
  <si>
    <t>422626194109265411</t>
  </si>
  <si>
    <t>杨宗柱</t>
  </si>
  <si>
    <t>422626194709305413</t>
  </si>
  <si>
    <t>420325197904105416</t>
  </si>
  <si>
    <t>刘家文</t>
  </si>
  <si>
    <t>422626192702015418</t>
  </si>
  <si>
    <t>五  塘</t>
  </si>
  <si>
    <t>周世兵</t>
  </si>
  <si>
    <t>422626195908195418</t>
  </si>
  <si>
    <t>阮大林</t>
  </si>
  <si>
    <t>422626197111135417</t>
  </si>
  <si>
    <t>曾大忠</t>
  </si>
  <si>
    <t>422626196412225411</t>
  </si>
  <si>
    <t>张万香</t>
  </si>
  <si>
    <t>42626195307255446</t>
  </si>
  <si>
    <t>郭保芝</t>
  </si>
  <si>
    <t>422626194603145423</t>
  </si>
  <si>
    <t>曾光启</t>
  </si>
  <si>
    <t>党仕荣</t>
  </si>
  <si>
    <t>422626196907155427</t>
  </si>
  <si>
    <t>王青权</t>
  </si>
  <si>
    <t>422626197112095410</t>
  </si>
  <si>
    <t>422626195408165415</t>
  </si>
  <si>
    <t>张先全</t>
  </si>
  <si>
    <t>420325197008295450</t>
  </si>
  <si>
    <t>唐有银</t>
  </si>
  <si>
    <t>付立财</t>
  </si>
  <si>
    <t>422626196203175438</t>
  </si>
  <si>
    <t>柴  林</t>
  </si>
  <si>
    <t>422626196311205413</t>
  </si>
  <si>
    <t>422626194503155417</t>
  </si>
  <si>
    <t>高  峰</t>
  </si>
  <si>
    <t>周新华</t>
  </si>
  <si>
    <t>422626196707145435</t>
  </si>
  <si>
    <t>柳发菊</t>
  </si>
  <si>
    <t>422626195605315443</t>
  </si>
  <si>
    <t>谢大清</t>
  </si>
  <si>
    <t>420325193704195412</t>
  </si>
  <si>
    <t>魏少友</t>
  </si>
  <si>
    <t>陈文兵</t>
  </si>
  <si>
    <t>42262619550415541X</t>
  </si>
  <si>
    <t>姚传丰</t>
  </si>
  <si>
    <t>422626194808095415</t>
  </si>
  <si>
    <t>佘英贵</t>
  </si>
  <si>
    <t>422626194401205416</t>
  </si>
  <si>
    <t>姚家学</t>
  </si>
  <si>
    <t>422626197210035411</t>
  </si>
  <si>
    <t>邓青友</t>
  </si>
  <si>
    <t>422626196806176114</t>
  </si>
  <si>
    <t>汪祖兵</t>
  </si>
  <si>
    <t>420325197809176136</t>
  </si>
  <si>
    <t>杨志东</t>
  </si>
  <si>
    <t>422626196204056131</t>
  </si>
  <si>
    <t>420325192904016138</t>
  </si>
  <si>
    <t>郭兴兰</t>
  </si>
  <si>
    <t>422626193408056121</t>
  </si>
  <si>
    <t>戴明江</t>
  </si>
  <si>
    <t>420325197702016116</t>
  </si>
  <si>
    <t>李士平</t>
  </si>
  <si>
    <t>422626197402126115</t>
  </si>
  <si>
    <t>李少兵</t>
  </si>
  <si>
    <t>422626197706256111</t>
  </si>
  <si>
    <t>戴明和</t>
  </si>
  <si>
    <t>422626197510186115</t>
  </si>
  <si>
    <t>李朝全</t>
  </si>
  <si>
    <t>422626196702056118</t>
  </si>
  <si>
    <t>李忠学</t>
  </si>
  <si>
    <t>422626195007306117</t>
  </si>
  <si>
    <t>王选荣</t>
  </si>
  <si>
    <t>422626194905146122</t>
  </si>
  <si>
    <t>李红生</t>
  </si>
  <si>
    <t>422626197408046116</t>
  </si>
  <si>
    <t>刘长富</t>
  </si>
  <si>
    <t>422626193707016111</t>
  </si>
  <si>
    <t>丁涛</t>
  </si>
  <si>
    <t>420325197804025515</t>
  </si>
  <si>
    <t>黄开军</t>
  </si>
  <si>
    <t>420325198409076114</t>
  </si>
  <si>
    <t>李英权</t>
  </si>
  <si>
    <t>422626197504266119</t>
  </si>
  <si>
    <t>42262619591025611X</t>
  </si>
  <si>
    <t>刘长银</t>
  </si>
  <si>
    <t>422626196101146118</t>
  </si>
  <si>
    <t>42262619640704611X</t>
  </si>
  <si>
    <t>戴新兰</t>
  </si>
  <si>
    <t>422626197302106125</t>
  </si>
  <si>
    <t>李师敏</t>
  </si>
  <si>
    <t>422626197405156117</t>
  </si>
  <si>
    <t>汪长金</t>
  </si>
  <si>
    <t>422626196801256115</t>
  </si>
  <si>
    <t>沈龙群</t>
  </si>
  <si>
    <t>420325198304136117</t>
  </si>
  <si>
    <t>毛儒清</t>
  </si>
  <si>
    <t>420325197901156111</t>
  </si>
  <si>
    <t>肖猛</t>
  </si>
  <si>
    <t>420325198712066138</t>
  </si>
  <si>
    <t>曾大秀</t>
  </si>
  <si>
    <t>422626195308016121</t>
  </si>
  <si>
    <t>贺昌粉</t>
  </si>
  <si>
    <t>42262619680603612X</t>
  </si>
  <si>
    <t>曾大聪</t>
  </si>
  <si>
    <t>422626196303026114</t>
  </si>
  <si>
    <t>李家斌</t>
  </si>
  <si>
    <t>42262619630215611X</t>
  </si>
  <si>
    <t>李师银</t>
  </si>
  <si>
    <t>422626195001106114</t>
  </si>
  <si>
    <t>张大志</t>
  </si>
  <si>
    <t>422626193803256131</t>
  </si>
  <si>
    <t>陈启东</t>
  </si>
  <si>
    <t>422626197212026113</t>
  </si>
  <si>
    <t>邱泽清</t>
  </si>
  <si>
    <t>422626195809136113</t>
  </si>
  <si>
    <t>汪强</t>
  </si>
  <si>
    <t>42032519801108611X</t>
  </si>
  <si>
    <t>李明宏</t>
  </si>
  <si>
    <t>422626195411076114</t>
  </si>
  <si>
    <t>戴新平</t>
  </si>
  <si>
    <t>422626196709306116</t>
  </si>
  <si>
    <t>田祥平</t>
  </si>
  <si>
    <t>422626196909216115</t>
  </si>
  <si>
    <t>戴克武</t>
  </si>
  <si>
    <t>422626193506156118</t>
  </si>
  <si>
    <t>崔宏山</t>
  </si>
  <si>
    <t>422626195310216114</t>
  </si>
  <si>
    <t>刘发成</t>
  </si>
  <si>
    <t>422626196503246111</t>
  </si>
  <si>
    <t>邱泽贵</t>
  </si>
  <si>
    <t>422626195706086117</t>
  </si>
  <si>
    <t>徐文秀</t>
  </si>
  <si>
    <t>422626193709226120</t>
  </si>
  <si>
    <t>王继富</t>
  </si>
  <si>
    <t>422626195211036118</t>
  </si>
  <si>
    <t>徐学兵</t>
  </si>
  <si>
    <t>422626197003276116</t>
  </si>
  <si>
    <t>唐青祥</t>
  </si>
  <si>
    <t>42262619430926611X</t>
  </si>
  <si>
    <t>周登学</t>
  </si>
  <si>
    <t>422626196502146119</t>
  </si>
  <si>
    <t>李承虎</t>
  </si>
  <si>
    <t>420325199001036113</t>
  </si>
  <si>
    <t>422626197408296131</t>
  </si>
  <si>
    <t>魏辉全</t>
  </si>
  <si>
    <t>420325196609216119</t>
  </si>
  <si>
    <t>曾大清</t>
  </si>
  <si>
    <t>422626194509136117</t>
  </si>
  <si>
    <t>唐来祥</t>
  </si>
  <si>
    <t>422626197005146112</t>
  </si>
  <si>
    <t>唐万祥</t>
  </si>
  <si>
    <t>422626196712026115</t>
  </si>
  <si>
    <t>王关富</t>
  </si>
  <si>
    <t>422626196803176119</t>
  </si>
  <si>
    <t>周兴陆</t>
  </si>
  <si>
    <t>42262619700719613X</t>
  </si>
  <si>
    <t>唐盛茂</t>
  </si>
  <si>
    <t>422626195304016116</t>
  </si>
  <si>
    <t>422626195309206138</t>
  </si>
  <si>
    <t>刘良斌</t>
  </si>
  <si>
    <t>422626195708246153</t>
  </si>
  <si>
    <t>杨立清</t>
  </si>
  <si>
    <t>422626194104016117</t>
  </si>
  <si>
    <t>王正洪</t>
  </si>
  <si>
    <t>422626195905056113</t>
  </si>
  <si>
    <t>张光仁</t>
  </si>
  <si>
    <t>422626194402156134</t>
  </si>
  <si>
    <t>422626196408046138</t>
  </si>
  <si>
    <t>卢文友</t>
  </si>
  <si>
    <t>422626196702016116</t>
  </si>
  <si>
    <t>422626197709226110</t>
  </si>
  <si>
    <t>汪承仓</t>
  </si>
  <si>
    <t>42262619640915611x</t>
  </si>
  <si>
    <t>汪承超</t>
  </si>
  <si>
    <t>422626197107226113</t>
  </si>
  <si>
    <t>汪承灯</t>
  </si>
  <si>
    <t>422626196504186114</t>
  </si>
  <si>
    <t>汪承福</t>
  </si>
  <si>
    <t>422626195805086139</t>
  </si>
  <si>
    <t>汪承基</t>
  </si>
  <si>
    <t>422626194610106115</t>
  </si>
  <si>
    <t>汪承金</t>
  </si>
  <si>
    <t>422626195708316115</t>
  </si>
  <si>
    <t>汪承伦</t>
  </si>
  <si>
    <t>422626193805136117</t>
  </si>
  <si>
    <t>汪承喜</t>
  </si>
  <si>
    <t>422626195108196113</t>
  </si>
  <si>
    <t>汪承新</t>
  </si>
  <si>
    <t>422626196912086112</t>
  </si>
  <si>
    <t>汪承艳</t>
  </si>
  <si>
    <t>422626196504306112</t>
  </si>
  <si>
    <t>汪承毅</t>
  </si>
  <si>
    <t>422626196107136113</t>
  </si>
  <si>
    <t>汪承众</t>
  </si>
  <si>
    <t>422626195712026110</t>
  </si>
  <si>
    <t>汪大立</t>
  </si>
  <si>
    <t>422626195511236111</t>
  </si>
  <si>
    <t>汪大敏</t>
  </si>
  <si>
    <t>422626194111286115</t>
  </si>
  <si>
    <t>汪翔</t>
  </si>
  <si>
    <t>420325198403296116</t>
  </si>
  <si>
    <t>王发东</t>
  </si>
  <si>
    <t>422626196412026199</t>
  </si>
  <si>
    <t>王丰兵</t>
  </si>
  <si>
    <t>422626196712146117</t>
  </si>
  <si>
    <t>赵明英</t>
  </si>
  <si>
    <t>422626194402086148</t>
  </si>
  <si>
    <t>姚汉洲</t>
  </si>
  <si>
    <t>422626195608316118</t>
  </si>
  <si>
    <t>王永荣</t>
  </si>
  <si>
    <t>422626194105046123</t>
  </si>
  <si>
    <t>肖子林</t>
  </si>
  <si>
    <t>422626196912206110</t>
  </si>
  <si>
    <t>42262619631015611X</t>
  </si>
  <si>
    <t>陈军</t>
  </si>
  <si>
    <t>420325198504296115</t>
  </si>
  <si>
    <t>徐华成</t>
  </si>
  <si>
    <t>422626197304106137</t>
  </si>
  <si>
    <t>李大山</t>
  </si>
  <si>
    <t>422626196211186110</t>
  </si>
  <si>
    <t>42262619630303611X</t>
  </si>
  <si>
    <t>曹祥忠</t>
  </si>
  <si>
    <t>422626195303016114</t>
  </si>
  <si>
    <t>齐建国</t>
  </si>
  <si>
    <t>42262619620527611X</t>
  </si>
  <si>
    <t>肖国忠</t>
  </si>
  <si>
    <t>422626195101206112</t>
  </si>
  <si>
    <t>刘家国</t>
  </si>
  <si>
    <t>42262619690111611X</t>
  </si>
  <si>
    <t>刘家顶</t>
  </si>
  <si>
    <t>422626196606256131</t>
  </si>
  <si>
    <t>李大海</t>
  </si>
  <si>
    <t>422626196805246117</t>
  </si>
  <si>
    <t>罗运传</t>
  </si>
  <si>
    <t>422626193005036118</t>
  </si>
  <si>
    <t>姚汉仓</t>
  </si>
  <si>
    <t>422626196102046119</t>
  </si>
  <si>
    <t>肖平</t>
  </si>
  <si>
    <t>422626196802226110</t>
  </si>
  <si>
    <t>422626196209256116</t>
  </si>
  <si>
    <t>张青英</t>
  </si>
  <si>
    <t>422626192901086127</t>
  </si>
  <si>
    <t>司大兴</t>
  </si>
  <si>
    <t>422626195509126116</t>
  </si>
  <si>
    <t>曹祥清</t>
  </si>
  <si>
    <t>422626196805106114</t>
  </si>
  <si>
    <t>张清涛</t>
  </si>
  <si>
    <t>删除1人</t>
  </si>
  <si>
    <t>422626197004076132</t>
  </si>
  <si>
    <t>戴明洪</t>
  </si>
  <si>
    <t>422626193308216116</t>
  </si>
  <si>
    <t>赵大成</t>
  </si>
  <si>
    <t>删除3人</t>
  </si>
  <si>
    <t>422626194811086114</t>
  </si>
  <si>
    <t>曾大强</t>
  </si>
  <si>
    <t>删除2人</t>
  </si>
  <si>
    <t>422626196612126119</t>
  </si>
  <si>
    <t>李承忠</t>
  </si>
  <si>
    <t>422626196901186118</t>
  </si>
  <si>
    <t>422626195111306117</t>
  </si>
  <si>
    <t>曾伟</t>
  </si>
  <si>
    <t>420325198404126119</t>
  </si>
  <si>
    <t>任昌付</t>
  </si>
  <si>
    <t>删除4人</t>
  </si>
  <si>
    <t>422626195612276139</t>
  </si>
  <si>
    <t>李承秀</t>
  </si>
  <si>
    <t>422626196110286120</t>
  </si>
  <si>
    <t>任昌清</t>
  </si>
  <si>
    <t>422626196803256119</t>
  </si>
  <si>
    <t>422626197603066112</t>
  </si>
  <si>
    <t>尹维成</t>
  </si>
  <si>
    <t>42262619520120611X</t>
  </si>
  <si>
    <t>曾新全</t>
  </si>
  <si>
    <t>422626196612076115</t>
  </si>
  <si>
    <t>邱守全</t>
  </si>
  <si>
    <t>422626196807276117</t>
  </si>
  <si>
    <t>周全文</t>
  </si>
  <si>
    <t>422626196208056112</t>
  </si>
  <si>
    <t>毛洪华</t>
  </si>
  <si>
    <t>422626196706126136</t>
  </si>
  <si>
    <t>毛洪山</t>
  </si>
  <si>
    <t>422626195504086119</t>
  </si>
  <si>
    <t>陈亭</t>
  </si>
  <si>
    <t>422626197211166130</t>
  </si>
  <si>
    <t>田万堂</t>
  </si>
  <si>
    <t>422626195803226118</t>
  </si>
  <si>
    <t>高天春</t>
  </si>
  <si>
    <t>422626195302246110</t>
  </si>
  <si>
    <t>张大英</t>
  </si>
  <si>
    <t>422626193801106121</t>
  </si>
  <si>
    <t>422626197709266112</t>
  </si>
  <si>
    <t>高田斌</t>
  </si>
  <si>
    <t>422626196611036111</t>
  </si>
  <si>
    <t>戴新春</t>
  </si>
  <si>
    <t>422626197201316115</t>
  </si>
  <si>
    <t>曾光荣</t>
  </si>
  <si>
    <t>42262619530226612X</t>
  </si>
  <si>
    <t>高田文</t>
  </si>
  <si>
    <t>422626196407046136</t>
  </si>
  <si>
    <t>王显宗</t>
  </si>
  <si>
    <t>422626194706226138</t>
  </si>
  <si>
    <t>程传国</t>
  </si>
  <si>
    <t>422626197112306118</t>
  </si>
  <si>
    <t>42262619640402613x</t>
  </si>
  <si>
    <t>陈光明</t>
  </si>
  <si>
    <t>422626195402126116</t>
  </si>
  <si>
    <t>代丽</t>
  </si>
  <si>
    <t>42032519830126544X</t>
  </si>
  <si>
    <t>齐正忠</t>
  </si>
  <si>
    <t>422626194511256118</t>
  </si>
  <si>
    <t>孙家湾8组</t>
  </si>
  <si>
    <t>孙希福</t>
  </si>
  <si>
    <t>42262619540625115X</t>
  </si>
  <si>
    <t>孙家湾2组</t>
  </si>
  <si>
    <t>赵永红</t>
  </si>
  <si>
    <t>42262619700113111623</t>
  </si>
  <si>
    <t>孙家湾10组</t>
  </si>
  <si>
    <t>席文金</t>
  </si>
  <si>
    <t>422626193706111133</t>
  </si>
  <si>
    <t>孙家湾6组</t>
  </si>
  <si>
    <t>余运会</t>
  </si>
  <si>
    <t>422626197307221122</t>
  </si>
  <si>
    <t>孙家湾7组</t>
  </si>
  <si>
    <t>曹  坤</t>
  </si>
  <si>
    <t>420325198904301112</t>
  </si>
  <si>
    <t>孙开国</t>
  </si>
  <si>
    <t>422626194803021118</t>
  </si>
  <si>
    <t>孙家湾9组</t>
  </si>
  <si>
    <t>曹德凤</t>
  </si>
  <si>
    <t>422626197301161149</t>
  </si>
  <si>
    <t>丁大平</t>
  </si>
  <si>
    <t>42032519780821111X</t>
  </si>
  <si>
    <t>孙希斌</t>
  </si>
  <si>
    <t>422626194606291119</t>
  </si>
  <si>
    <t>曾传庆</t>
  </si>
  <si>
    <t>422626194811161112</t>
  </si>
  <si>
    <t>李大明</t>
  </si>
  <si>
    <t>422626197304271132</t>
  </si>
  <si>
    <t>叶道群</t>
  </si>
  <si>
    <t>422626197501241119</t>
  </si>
  <si>
    <t>毛金山</t>
  </si>
  <si>
    <t>422626196601202630</t>
  </si>
  <si>
    <t>王玉生</t>
  </si>
  <si>
    <t>420325195004111117</t>
  </si>
  <si>
    <t>孙希尧</t>
  </si>
  <si>
    <t>422626193809261118</t>
  </si>
  <si>
    <t>赵大明</t>
  </si>
  <si>
    <t>422626197108131116</t>
  </si>
  <si>
    <t>田明月</t>
  </si>
  <si>
    <t>‘42262619761207451X</t>
  </si>
  <si>
    <t>邓荣山</t>
  </si>
  <si>
    <t>‘42262619680326117X</t>
  </si>
  <si>
    <t>金开林</t>
  </si>
  <si>
    <t>42262619370526111313</t>
  </si>
  <si>
    <t>赵国勇</t>
  </si>
  <si>
    <t>422626196103111111</t>
  </si>
  <si>
    <t>金尚海</t>
  </si>
  <si>
    <t>422626195511111116</t>
  </si>
  <si>
    <t>彭光云</t>
  </si>
  <si>
    <t>422626194412211125</t>
  </si>
  <si>
    <t>付长云</t>
  </si>
  <si>
    <t>422626194406281127</t>
  </si>
  <si>
    <t>张仁秀</t>
  </si>
  <si>
    <t>422626196110301167</t>
  </si>
  <si>
    <t>付培云</t>
  </si>
  <si>
    <t>42262619540720112X</t>
  </si>
  <si>
    <t>杨兴安</t>
  </si>
  <si>
    <t>422626195404271130</t>
  </si>
  <si>
    <t>李顺平</t>
  </si>
  <si>
    <t>422626197206011134</t>
  </si>
  <si>
    <t>孙仁莲</t>
  </si>
  <si>
    <t>422626195404281144</t>
  </si>
  <si>
    <t>宋士兵</t>
  </si>
  <si>
    <t>422626197101111112</t>
  </si>
  <si>
    <t>卢中业</t>
  </si>
  <si>
    <t>422626194802071113</t>
  </si>
  <si>
    <t>422626196201221138</t>
  </si>
  <si>
    <t>422626197006200627</t>
  </si>
  <si>
    <t>宋林</t>
  </si>
  <si>
    <t>420325197912031138</t>
  </si>
  <si>
    <t>宋世红</t>
  </si>
  <si>
    <t>42032519870603113162</t>
  </si>
  <si>
    <t>刘正根</t>
  </si>
  <si>
    <t>422626193901121118</t>
  </si>
  <si>
    <t>金玉秀</t>
  </si>
  <si>
    <t>422626195701171128</t>
  </si>
  <si>
    <t>张正平</t>
  </si>
  <si>
    <t>42262619710415111X</t>
  </si>
  <si>
    <t>宋礼祖</t>
  </si>
  <si>
    <t>422626194810041117</t>
  </si>
  <si>
    <t>宋凤祖</t>
  </si>
  <si>
    <t>422626195009031110</t>
  </si>
  <si>
    <t>赤岩村三组</t>
  </si>
  <si>
    <t>吴成涛</t>
  </si>
  <si>
    <t>420325198711151111</t>
  </si>
  <si>
    <t>赤岩村二组</t>
  </si>
  <si>
    <t>夏东柱</t>
  </si>
  <si>
    <t>420325197802081118</t>
  </si>
  <si>
    <t>李福堂</t>
  </si>
  <si>
    <t>422626194212151113</t>
  </si>
  <si>
    <t>李福强</t>
  </si>
  <si>
    <t>422626197308081117</t>
  </si>
  <si>
    <t>王天跃</t>
  </si>
  <si>
    <t>422626197011061115</t>
  </si>
  <si>
    <t>李福春</t>
  </si>
  <si>
    <t>422626194902081116</t>
  </si>
  <si>
    <t>李福喜</t>
  </si>
  <si>
    <t>422626194309111118</t>
  </si>
  <si>
    <t>吴学荣</t>
  </si>
  <si>
    <t>42262619550212111X43</t>
  </si>
  <si>
    <t>邵荣明</t>
  </si>
  <si>
    <t>422626196312031118</t>
  </si>
  <si>
    <t>赤岩村一组</t>
  </si>
  <si>
    <t>郭乐春</t>
  </si>
  <si>
    <t>422626196406181133</t>
  </si>
  <si>
    <t>邵荣兵</t>
  </si>
  <si>
    <t>422626197007291110</t>
  </si>
  <si>
    <t>吴学海</t>
  </si>
  <si>
    <t>422626194007031112</t>
  </si>
  <si>
    <t>李高军</t>
  </si>
  <si>
    <t>422626197507231114</t>
  </si>
  <si>
    <t>赤岩村七组</t>
  </si>
  <si>
    <t>邹海</t>
  </si>
  <si>
    <t>422626197210148133</t>
  </si>
  <si>
    <t>王天明</t>
  </si>
  <si>
    <t>422626196309161114</t>
  </si>
  <si>
    <t>李德发</t>
  </si>
  <si>
    <t>422626193712301152</t>
  </si>
  <si>
    <t>邵荣林</t>
  </si>
  <si>
    <t>422626196501071151</t>
  </si>
  <si>
    <t>王明均</t>
  </si>
  <si>
    <t>422626196003221110</t>
  </si>
  <si>
    <t>王天发</t>
  </si>
  <si>
    <t>422626196003261139</t>
  </si>
  <si>
    <t>李福吉</t>
  </si>
  <si>
    <t>422626195608111112</t>
  </si>
  <si>
    <t>唐维江</t>
  </si>
  <si>
    <t>422626196906194512</t>
  </si>
  <si>
    <t>赤岩村四组</t>
  </si>
  <si>
    <t>胡海林</t>
  </si>
  <si>
    <t>422626196503241134</t>
  </si>
  <si>
    <t>吴学甲</t>
  </si>
  <si>
    <t>422626194408031113</t>
  </si>
  <si>
    <t>赤岩村六组</t>
  </si>
  <si>
    <t>42262619500901111X</t>
  </si>
  <si>
    <t>白鹤观村一组</t>
  </si>
  <si>
    <t>方志全</t>
  </si>
  <si>
    <t>422626196305101114</t>
  </si>
  <si>
    <t>代兴权</t>
  </si>
  <si>
    <t>422626196012061112</t>
  </si>
  <si>
    <t>陈长根</t>
  </si>
  <si>
    <t>422626194909281110</t>
  </si>
  <si>
    <t>白鹤观村二组</t>
  </si>
  <si>
    <t>高华成</t>
  </si>
  <si>
    <t>420325199204161117</t>
  </si>
  <si>
    <t>杜天强</t>
  </si>
  <si>
    <t>420325198011091154</t>
  </si>
  <si>
    <t>郭乐明</t>
  </si>
  <si>
    <t>422626194507301115</t>
  </si>
  <si>
    <t>杨晓合</t>
  </si>
  <si>
    <t>陈泽福</t>
  </si>
  <si>
    <t>422626195311201117</t>
  </si>
  <si>
    <t>陈泽群</t>
  </si>
  <si>
    <t>白鹤观村三组</t>
  </si>
  <si>
    <t>许明兵</t>
  </si>
  <si>
    <t>422626197204281114</t>
  </si>
  <si>
    <t>420325197009261113</t>
  </si>
  <si>
    <t>赵光艮</t>
  </si>
  <si>
    <t>422626195512211119</t>
  </si>
  <si>
    <t>刘志英</t>
  </si>
  <si>
    <t>42262619680503112443</t>
  </si>
  <si>
    <t>沈龙虎</t>
  </si>
  <si>
    <t>422626196706121116</t>
  </si>
  <si>
    <t>陈长国</t>
  </si>
  <si>
    <t>422626195909211117</t>
  </si>
  <si>
    <t>熊成</t>
  </si>
  <si>
    <t>422626197109151119</t>
  </si>
  <si>
    <t>陈长林</t>
  </si>
  <si>
    <t>422626196212291115</t>
  </si>
  <si>
    <t>许士佑</t>
  </si>
  <si>
    <t>422626195808021111</t>
  </si>
  <si>
    <t>许明栋</t>
  </si>
  <si>
    <t>42262619340610111X</t>
  </si>
  <si>
    <t>熊道华</t>
  </si>
  <si>
    <t>422626195409041115</t>
  </si>
  <si>
    <t>许世林</t>
  </si>
  <si>
    <t>42032519580926483152</t>
  </si>
  <si>
    <t>陈泽华</t>
  </si>
  <si>
    <t>422626196508201131</t>
  </si>
  <si>
    <t>余运六</t>
  </si>
  <si>
    <t>422626194910231110</t>
  </si>
  <si>
    <t>422626196309231119</t>
  </si>
  <si>
    <t>赵国金</t>
  </si>
  <si>
    <t>422626196802151112</t>
  </si>
  <si>
    <t>薛祥英</t>
  </si>
  <si>
    <t>422626195502224821</t>
  </si>
  <si>
    <t>许士兵</t>
  </si>
  <si>
    <t>422626197110191118</t>
  </si>
  <si>
    <t>陈长友</t>
  </si>
  <si>
    <t>422626195205241115</t>
  </si>
  <si>
    <t>422626196405011124</t>
  </si>
  <si>
    <t>陈泽兴</t>
  </si>
  <si>
    <t>422626197002121112</t>
  </si>
  <si>
    <t>郭兴华</t>
  </si>
  <si>
    <t>420325197903221116</t>
  </si>
  <si>
    <t>袁培贤</t>
  </si>
  <si>
    <t>422626195202151114</t>
  </si>
  <si>
    <t>郭乐长</t>
  </si>
  <si>
    <t>422626195904101111</t>
  </si>
  <si>
    <t>孙运林</t>
  </si>
  <si>
    <t>422626195204121111</t>
  </si>
  <si>
    <t>王红霞</t>
  </si>
  <si>
    <t>420325198012271122</t>
  </si>
  <si>
    <t>熊林</t>
  </si>
  <si>
    <t>422626196601311116</t>
  </si>
  <si>
    <t>付必福</t>
  </si>
  <si>
    <t>422626195012241119</t>
  </si>
  <si>
    <t>舒永波</t>
  </si>
  <si>
    <t>422626197411241158</t>
  </si>
  <si>
    <t>许明田</t>
  </si>
  <si>
    <t>422626196305211137</t>
  </si>
  <si>
    <t>付必权</t>
  </si>
  <si>
    <t>422626196203201114</t>
  </si>
  <si>
    <t>付必全</t>
  </si>
  <si>
    <t>422626196811241152</t>
  </si>
  <si>
    <t>李士国</t>
  </si>
  <si>
    <t>422626197302091111</t>
  </si>
  <si>
    <t>舒永庆</t>
  </si>
  <si>
    <t>422626196004081113</t>
  </si>
  <si>
    <t>堰河村一组</t>
  </si>
  <si>
    <t>陈桂梅</t>
  </si>
  <si>
    <t>420325197805191128</t>
  </si>
  <si>
    <t>堰河村三组</t>
  </si>
  <si>
    <t>刘先英</t>
  </si>
  <si>
    <t>422626194106181124</t>
  </si>
  <si>
    <t>胡志明</t>
  </si>
  <si>
    <t>42262619560621111X</t>
  </si>
  <si>
    <t>付必林</t>
  </si>
  <si>
    <t>422626194812301111</t>
  </si>
  <si>
    <t>杜登成</t>
  </si>
  <si>
    <t>422626196206151159</t>
  </si>
  <si>
    <t>付必宏</t>
  </si>
  <si>
    <t>422626196905061136</t>
  </si>
  <si>
    <t>堰河村四组</t>
  </si>
  <si>
    <t>刘道成</t>
  </si>
  <si>
    <t>422626193606121115</t>
  </si>
  <si>
    <t>杜先发</t>
  </si>
  <si>
    <t>42262619560322111X</t>
  </si>
  <si>
    <t>宋桂云</t>
  </si>
  <si>
    <t>422626195610251181</t>
  </si>
  <si>
    <t>李学龙</t>
  </si>
  <si>
    <t>422626196103181179</t>
  </si>
  <si>
    <t>汤成根</t>
  </si>
  <si>
    <t>422626193802011132</t>
  </si>
  <si>
    <t>熊顺均</t>
  </si>
  <si>
    <t>422626196610181130</t>
  </si>
  <si>
    <t>堰河村二组</t>
  </si>
  <si>
    <t>明瑞武</t>
  </si>
  <si>
    <t>422626197002051134</t>
  </si>
  <si>
    <t>代龙成</t>
  </si>
  <si>
    <t>422626196205271132</t>
  </si>
  <si>
    <t>胡吉根</t>
  </si>
  <si>
    <t>422626194912171115</t>
  </si>
  <si>
    <t>何良俊</t>
  </si>
  <si>
    <t>422626195511231118</t>
  </si>
  <si>
    <t>刘继发</t>
  </si>
  <si>
    <t>422626196703311133</t>
  </si>
  <si>
    <t>齐生志</t>
  </si>
  <si>
    <t>422626194905211115</t>
  </si>
  <si>
    <t>胡丰树</t>
  </si>
  <si>
    <t>422626195705301110</t>
  </si>
  <si>
    <t>赵国全</t>
  </si>
  <si>
    <t>42262619620515113033</t>
  </si>
  <si>
    <t>代龙江</t>
  </si>
  <si>
    <t>422626196310121152</t>
  </si>
  <si>
    <t>齐厚清</t>
  </si>
  <si>
    <t>422626195401221111</t>
  </si>
  <si>
    <t>汪方海</t>
  </si>
  <si>
    <t>422626196301051113</t>
  </si>
  <si>
    <t>余安定</t>
  </si>
  <si>
    <t>42262619530501111431</t>
  </si>
  <si>
    <t>刘继新</t>
  </si>
  <si>
    <t>42032517902121113</t>
  </si>
  <si>
    <t>齐生根</t>
  </si>
  <si>
    <t>422626196304271138</t>
  </si>
  <si>
    <t>胡兆恒</t>
  </si>
  <si>
    <t>422626195107311116</t>
  </si>
  <si>
    <t>解会禄</t>
  </si>
  <si>
    <t>422626195001041111</t>
  </si>
  <si>
    <t>陈国志</t>
  </si>
  <si>
    <t>422626193702284512</t>
  </si>
  <si>
    <t>解会建</t>
  </si>
  <si>
    <t>422626197104191111</t>
  </si>
  <si>
    <t>解敏统</t>
  </si>
  <si>
    <t>422626195312201135</t>
  </si>
  <si>
    <t>解敏奎</t>
  </si>
  <si>
    <t>422626194605071114</t>
  </si>
  <si>
    <t>余安林</t>
  </si>
  <si>
    <t>422626195304011112</t>
  </si>
  <si>
    <t>陈长树</t>
  </si>
  <si>
    <t>422626195409131110</t>
  </si>
  <si>
    <t>付必佐</t>
  </si>
  <si>
    <t>420325195709131134</t>
  </si>
  <si>
    <t>罗成科</t>
  </si>
  <si>
    <t>422626194402111112</t>
  </si>
  <si>
    <t>付双权</t>
  </si>
  <si>
    <t>420325198912181114</t>
  </si>
  <si>
    <t>李福云</t>
  </si>
  <si>
    <t>42262619550301114X</t>
  </si>
  <si>
    <t>邓秀喜</t>
  </si>
  <si>
    <t>422626196203041114</t>
  </si>
  <si>
    <t>段全胜</t>
  </si>
  <si>
    <t>422626195108151134</t>
  </si>
  <si>
    <t>吴有香</t>
  </si>
  <si>
    <t>422626194308311126</t>
  </si>
  <si>
    <t>宋云祖</t>
  </si>
  <si>
    <t>42262619620405112X</t>
  </si>
  <si>
    <t>杨得成</t>
  </si>
  <si>
    <t>422626195208106410</t>
  </si>
  <si>
    <t>三树村2组</t>
  </si>
  <si>
    <t>杨正兴</t>
  </si>
  <si>
    <t>422626196512071130</t>
  </si>
  <si>
    <t>胡明礼</t>
  </si>
  <si>
    <t>422626195205191111</t>
  </si>
  <si>
    <t>双河村二组</t>
  </si>
  <si>
    <t>汪正海</t>
  </si>
  <si>
    <t>闻吉烈</t>
  </si>
  <si>
    <t>422626196301246412</t>
  </si>
  <si>
    <t>廖士禄</t>
  </si>
  <si>
    <t>422626195808136410</t>
  </si>
  <si>
    <t>422626196603106431</t>
  </si>
  <si>
    <t>代兴凤</t>
  </si>
  <si>
    <t>42262619650512642031</t>
  </si>
  <si>
    <t>422626194612046419</t>
  </si>
  <si>
    <t>华荣林</t>
  </si>
  <si>
    <t>422626196812286416</t>
  </si>
  <si>
    <t>段少林</t>
  </si>
  <si>
    <t>422626197601236712</t>
  </si>
  <si>
    <t>华荣群</t>
  </si>
  <si>
    <t>42262619600309641X</t>
  </si>
  <si>
    <t>华同全</t>
  </si>
  <si>
    <t>422626195407206414</t>
  </si>
  <si>
    <t>王芳林</t>
  </si>
  <si>
    <t>422626197101266413</t>
  </si>
  <si>
    <t>华月</t>
  </si>
  <si>
    <t>42032519901011642263</t>
  </si>
  <si>
    <t>华同艳</t>
  </si>
  <si>
    <t>422626194904276435</t>
  </si>
  <si>
    <t>叶克香</t>
  </si>
  <si>
    <t>422626194112036417</t>
  </si>
  <si>
    <t>王长贵</t>
  </si>
  <si>
    <t>422626195510116433</t>
  </si>
  <si>
    <t>双长明</t>
  </si>
  <si>
    <t>422626195206106417</t>
  </si>
  <si>
    <t>杨传喜</t>
  </si>
  <si>
    <t>422626195608126410</t>
  </si>
  <si>
    <t>双长喜</t>
  </si>
  <si>
    <t>422626195503096411</t>
  </si>
  <si>
    <t>李家堂</t>
  </si>
  <si>
    <t>42262619510618643X</t>
  </si>
  <si>
    <t>梁发启</t>
  </si>
  <si>
    <t>422626194109116416</t>
  </si>
  <si>
    <t>徐克权</t>
  </si>
  <si>
    <t>42032519730110641X</t>
  </si>
  <si>
    <t>刘锐</t>
  </si>
  <si>
    <t>42032519920125641X</t>
  </si>
  <si>
    <t>周成昌</t>
  </si>
  <si>
    <t>422626195510276453</t>
  </si>
  <si>
    <t>420325198001066414</t>
  </si>
  <si>
    <t>周善权</t>
  </si>
  <si>
    <t>422626196910266435</t>
  </si>
  <si>
    <t>历开兴</t>
  </si>
  <si>
    <t>422626197103076410</t>
  </si>
  <si>
    <t>李昌华</t>
  </si>
  <si>
    <t>422626195911036418</t>
  </si>
  <si>
    <t>雷家冲村</t>
  </si>
  <si>
    <t>桂兴忠</t>
  </si>
  <si>
    <t>422626195102281114</t>
  </si>
  <si>
    <t>李文国</t>
  </si>
  <si>
    <t>42262619630116111X</t>
  </si>
  <si>
    <t>黄杨村一组</t>
  </si>
  <si>
    <t>赵大权</t>
  </si>
  <si>
    <t>422626195007166417</t>
  </si>
  <si>
    <t>黄杨村三组</t>
  </si>
  <si>
    <t>朱家清</t>
  </si>
  <si>
    <t>42262619491203483111</t>
  </si>
  <si>
    <t>黄杨村四组</t>
  </si>
  <si>
    <t>胡显华</t>
  </si>
  <si>
    <t>422626197203166413</t>
  </si>
  <si>
    <t>黄杨村五组</t>
  </si>
  <si>
    <t>徐治林</t>
  </si>
  <si>
    <t>422626196307086413</t>
  </si>
  <si>
    <t>黄杨村七组</t>
  </si>
  <si>
    <t>陈泽生</t>
  </si>
  <si>
    <t>422626196711216451</t>
  </si>
  <si>
    <t>蹇兴平</t>
  </si>
  <si>
    <t>422626197411276414</t>
  </si>
  <si>
    <t>魏朋平</t>
  </si>
  <si>
    <t>422626197202106750</t>
  </si>
  <si>
    <t>徐永兴</t>
  </si>
  <si>
    <t>422626194006296717</t>
  </si>
  <si>
    <t>蔡德菊</t>
  </si>
  <si>
    <t>420325198511076727</t>
  </si>
  <si>
    <t>黄治权</t>
  </si>
  <si>
    <t>422626194211216712</t>
  </si>
  <si>
    <t>陈宏和</t>
  </si>
  <si>
    <t>422626195111286734</t>
  </si>
  <si>
    <t>张安军</t>
  </si>
  <si>
    <t>422626197511116717</t>
  </si>
  <si>
    <t>吕善新</t>
  </si>
  <si>
    <t>422626197112076711</t>
  </si>
  <si>
    <t>胡建春</t>
  </si>
  <si>
    <t>422626196501146715</t>
  </si>
  <si>
    <t>422626195612126712</t>
  </si>
  <si>
    <t>郭成合</t>
  </si>
  <si>
    <t>42262619740827731x</t>
  </si>
  <si>
    <t>戢太生</t>
  </si>
  <si>
    <t>422626194810046719</t>
  </si>
  <si>
    <t>蔡德合</t>
  </si>
  <si>
    <t>422626195404196732</t>
  </si>
  <si>
    <t>朱运成</t>
  </si>
  <si>
    <t>422626196506256710</t>
  </si>
  <si>
    <t>朱运贵</t>
  </si>
  <si>
    <t>422626196004026712</t>
  </si>
  <si>
    <t>许士伟</t>
  </si>
  <si>
    <t>422626197309286712</t>
  </si>
  <si>
    <t>况学建</t>
  </si>
  <si>
    <t>422626195304046710</t>
  </si>
  <si>
    <t>吴美林</t>
  </si>
  <si>
    <t>422626195802186732</t>
  </si>
  <si>
    <t>陈相华</t>
  </si>
  <si>
    <t>422626195302066734</t>
  </si>
  <si>
    <t>况成香</t>
  </si>
  <si>
    <t>42262619631020672x</t>
  </si>
  <si>
    <t>张安银</t>
  </si>
  <si>
    <t>420325197802036712</t>
  </si>
  <si>
    <t>张安文</t>
  </si>
  <si>
    <t>420325197408167116</t>
  </si>
  <si>
    <t>吴敬伦</t>
  </si>
  <si>
    <t>422626194206266731</t>
  </si>
  <si>
    <t>罗得财</t>
  </si>
  <si>
    <t>420325195007306438</t>
  </si>
  <si>
    <t>曹忠堂</t>
  </si>
  <si>
    <t>420325195506196712</t>
  </si>
  <si>
    <t>蔡德强</t>
  </si>
  <si>
    <t>420325198302246718</t>
  </si>
  <si>
    <t>贾兴炳</t>
  </si>
  <si>
    <t>42262619571116671x</t>
  </si>
  <si>
    <t>周士双</t>
  </si>
  <si>
    <t>420325195208126716</t>
  </si>
  <si>
    <t>刘安勤</t>
  </si>
  <si>
    <t>420325194502217614</t>
  </si>
  <si>
    <t>李永兴</t>
  </si>
  <si>
    <t>422626194507146733</t>
  </si>
  <si>
    <t>戢太有</t>
  </si>
  <si>
    <t>420325195607206713</t>
  </si>
  <si>
    <t>计良军</t>
  </si>
  <si>
    <t>420325198302096713</t>
  </si>
  <si>
    <t>曾庆发</t>
  </si>
  <si>
    <t>422626194602206714</t>
  </si>
  <si>
    <t>陈开学</t>
  </si>
  <si>
    <t>422626196209026716</t>
  </si>
  <si>
    <t>420325197803016713</t>
  </si>
  <si>
    <t>梁正凤</t>
  </si>
  <si>
    <t>422626193610316724</t>
  </si>
  <si>
    <t>余光东</t>
  </si>
  <si>
    <t>422626196303016733</t>
  </si>
  <si>
    <t>422626196202206730</t>
  </si>
  <si>
    <t>谢国林</t>
  </si>
  <si>
    <t>420325198508216717</t>
  </si>
  <si>
    <t>熊家根</t>
  </si>
  <si>
    <t>422626196202206739</t>
  </si>
  <si>
    <t>刘来文</t>
  </si>
  <si>
    <t>422626196203306717</t>
  </si>
  <si>
    <t>王文兴</t>
  </si>
  <si>
    <t>422626193708126718</t>
  </si>
  <si>
    <t>王正树</t>
  </si>
  <si>
    <t>422626197503126712</t>
  </si>
  <si>
    <t>杜昌云</t>
  </si>
  <si>
    <t>422626196602286717</t>
  </si>
  <si>
    <t>段明成</t>
  </si>
  <si>
    <t>422626196601316734</t>
  </si>
  <si>
    <t>422626197408156737</t>
  </si>
  <si>
    <t>叶克勤</t>
  </si>
  <si>
    <t>422626194111026713</t>
  </si>
  <si>
    <t>陈习生</t>
  </si>
  <si>
    <t>422626196603057035</t>
  </si>
  <si>
    <t>刘家清</t>
  </si>
  <si>
    <t>422626196705166718</t>
  </si>
  <si>
    <t>刘胜芝</t>
  </si>
  <si>
    <t>42262619650512672X</t>
  </si>
  <si>
    <t>刘吉娟</t>
  </si>
  <si>
    <t>422626195901206727</t>
  </si>
  <si>
    <t>江定华</t>
  </si>
  <si>
    <t>422626196910196713</t>
  </si>
  <si>
    <t>刘胜华</t>
  </si>
  <si>
    <t>422626195910126710</t>
  </si>
  <si>
    <t>余合华</t>
  </si>
  <si>
    <t>422626196910156711</t>
  </si>
  <si>
    <t>陈宝根</t>
  </si>
  <si>
    <t>422626197511266715</t>
  </si>
  <si>
    <t>杨跃田</t>
  </si>
  <si>
    <t>422626195805026718</t>
  </si>
  <si>
    <t>王启平</t>
  </si>
  <si>
    <t>422626196006216712</t>
  </si>
  <si>
    <t>柯恒明</t>
  </si>
  <si>
    <t>420325198701096710</t>
  </si>
  <si>
    <t>422626197006286715</t>
  </si>
  <si>
    <t>柯随华</t>
  </si>
  <si>
    <t>42262619650727673X</t>
  </si>
  <si>
    <t>柯随银</t>
  </si>
  <si>
    <t>42262619581226671X</t>
  </si>
  <si>
    <t>杨坤华</t>
  </si>
  <si>
    <t>422626197611116714</t>
  </si>
  <si>
    <t>叶付春</t>
  </si>
  <si>
    <t>422626196502256713</t>
  </si>
  <si>
    <t>刘自起</t>
  </si>
  <si>
    <t>422626195210066710</t>
  </si>
  <si>
    <t>李文合</t>
  </si>
  <si>
    <t>422626195108106712</t>
  </si>
  <si>
    <t>张明虎</t>
  </si>
  <si>
    <t>422626197410196711</t>
  </si>
  <si>
    <t>陈志军</t>
  </si>
  <si>
    <t>422626196910296714</t>
  </si>
  <si>
    <t>刘胜超</t>
  </si>
  <si>
    <t>422626196508136712</t>
  </si>
  <si>
    <t>叶付金</t>
  </si>
  <si>
    <t>422626196603196713</t>
  </si>
  <si>
    <t>张兵</t>
  </si>
  <si>
    <t>420325197601056733</t>
  </si>
  <si>
    <t>吴昔超</t>
  </si>
  <si>
    <t>422626197612256735</t>
  </si>
  <si>
    <t>杨跃军</t>
  </si>
  <si>
    <t>422626195902076717</t>
  </si>
  <si>
    <t>422626197104106730</t>
  </si>
  <si>
    <t>莫足兴</t>
  </si>
  <si>
    <t>422626196503046718</t>
  </si>
  <si>
    <t>422626196807066718</t>
  </si>
  <si>
    <t>段久合</t>
  </si>
  <si>
    <t>422626197205086716</t>
  </si>
  <si>
    <t>余合龙</t>
  </si>
  <si>
    <t>422626195402226715</t>
  </si>
  <si>
    <t>赵兴明</t>
  </si>
  <si>
    <t>刘根德</t>
  </si>
  <si>
    <t>张显根</t>
  </si>
  <si>
    <t>刘卫举</t>
  </si>
  <si>
    <t>蒋金奎</t>
  </si>
  <si>
    <t>刘吉学</t>
  </si>
  <si>
    <t>李友学</t>
  </si>
  <si>
    <t>闫兴兵</t>
  </si>
  <si>
    <t>张义强</t>
  </si>
  <si>
    <t>郭瑞林</t>
  </si>
  <si>
    <t>李先兵</t>
  </si>
  <si>
    <t>刘吉明</t>
  </si>
  <si>
    <t>况怀兵</t>
  </si>
  <si>
    <t>况怀平</t>
  </si>
  <si>
    <t>李中艮</t>
  </si>
  <si>
    <t>皮成林</t>
  </si>
  <si>
    <t>程正禄</t>
  </si>
  <si>
    <t>422626195006276710</t>
  </si>
  <si>
    <t>况建生</t>
  </si>
  <si>
    <t>42262619551107671X</t>
  </si>
  <si>
    <t>李友生</t>
  </si>
  <si>
    <t>422626194811136716</t>
  </si>
  <si>
    <t>梁富贤</t>
  </si>
  <si>
    <t>422626196505226712</t>
  </si>
  <si>
    <t>刘吉康</t>
  </si>
  <si>
    <t>422626197112046715</t>
  </si>
  <si>
    <t>422626197301296713</t>
  </si>
  <si>
    <t>刘相珍</t>
  </si>
  <si>
    <t>422626194910076712</t>
  </si>
  <si>
    <t>石功华</t>
  </si>
  <si>
    <t>422626195912256711</t>
  </si>
  <si>
    <t>422626196610036718</t>
  </si>
  <si>
    <t>王正烈</t>
  </si>
  <si>
    <t>422626193408266719</t>
  </si>
  <si>
    <t>吴吉康</t>
  </si>
  <si>
    <t>420325198104296714</t>
  </si>
  <si>
    <t>吴胜华</t>
  </si>
  <si>
    <t>422626196703126712</t>
  </si>
  <si>
    <t>吴胜金</t>
  </si>
  <si>
    <t>422626196410166737</t>
  </si>
  <si>
    <t>肖光成</t>
  </si>
  <si>
    <t>422626196901226714</t>
  </si>
  <si>
    <t>杨锦昌</t>
  </si>
  <si>
    <t>422626196607146713</t>
  </si>
  <si>
    <t>赵守军</t>
  </si>
  <si>
    <t>42262619750712671X</t>
  </si>
  <si>
    <t>张付安</t>
  </si>
  <si>
    <t>422626196901297010</t>
  </si>
  <si>
    <t>吴作举</t>
  </si>
  <si>
    <t>422626197601166718</t>
  </si>
  <si>
    <t>王志远</t>
  </si>
  <si>
    <t>420325198312236759</t>
  </si>
  <si>
    <t>邱宝均</t>
  </si>
  <si>
    <t>422626194906096710</t>
  </si>
  <si>
    <t>董发贵</t>
  </si>
  <si>
    <t>422626195312226711</t>
  </si>
  <si>
    <t>吴盛林</t>
  </si>
  <si>
    <t>422626194910236712</t>
  </si>
  <si>
    <t>郑军</t>
  </si>
  <si>
    <t>422626196908096713</t>
  </si>
  <si>
    <t>吴胜建</t>
  </si>
  <si>
    <t>422626195106086711</t>
  </si>
  <si>
    <t>吴吉明</t>
  </si>
  <si>
    <t>422626196004176710</t>
  </si>
  <si>
    <t>王正宏</t>
  </si>
  <si>
    <t>422626194812036717</t>
  </si>
  <si>
    <t>马蹄村</t>
  </si>
  <si>
    <t>刘培全</t>
  </si>
  <si>
    <t>422626195303306410</t>
  </si>
  <si>
    <t>莫先礼</t>
  </si>
  <si>
    <t>422626194810076416</t>
  </si>
  <si>
    <t>张明清</t>
  </si>
  <si>
    <t>422626196711296535</t>
  </si>
  <si>
    <t>夏道明</t>
  </si>
  <si>
    <t>422626194904136416</t>
  </si>
  <si>
    <t>42262619650214641824</t>
  </si>
  <si>
    <t>塘埂村</t>
  </si>
  <si>
    <t>陈合权</t>
  </si>
  <si>
    <t>422626196212176432</t>
  </si>
  <si>
    <t>邓承弟</t>
  </si>
  <si>
    <t>422626195602296419</t>
  </si>
  <si>
    <t>代满堂</t>
  </si>
  <si>
    <t>422626195707266419</t>
  </si>
  <si>
    <t>陈合炳</t>
  </si>
  <si>
    <t>422626196811116415</t>
  </si>
  <si>
    <t>代满军</t>
  </si>
  <si>
    <t>422626196904096417</t>
  </si>
  <si>
    <t>王厚俊</t>
  </si>
  <si>
    <t>422626196804036417</t>
  </si>
  <si>
    <t>王厚文</t>
  </si>
  <si>
    <t>422626197011296416</t>
  </si>
  <si>
    <t>王发富</t>
  </si>
  <si>
    <t>422626195301236412</t>
  </si>
  <si>
    <t>422626194807056414</t>
  </si>
  <si>
    <t>徐明岳</t>
  </si>
  <si>
    <t>422626196906056419</t>
  </si>
  <si>
    <t>陈顺海</t>
  </si>
  <si>
    <t>422626197212046413</t>
  </si>
  <si>
    <t>郑明华</t>
  </si>
  <si>
    <t>42262619741128641X</t>
  </si>
  <si>
    <t>董发权</t>
  </si>
  <si>
    <t>422626196509016413</t>
  </si>
  <si>
    <t>邓先兵</t>
  </si>
  <si>
    <t>422626197011146418</t>
  </si>
  <si>
    <t>徐丰林</t>
  </si>
  <si>
    <t>42262619700226641843</t>
  </si>
  <si>
    <t>王敦连</t>
  </si>
  <si>
    <t>422626196804136442</t>
  </si>
  <si>
    <t>胡鲜菊</t>
  </si>
  <si>
    <t>422626196708136426</t>
  </si>
  <si>
    <t>黄道学</t>
  </si>
  <si>
    <t>422626196802246517</t>
  </si>
  <si>
    <t>龚一金</t>
  </si>
  <si>
    <t>422626195609286416</t>
  </si>
  <si>
    <t>潘光宏</t>
  </si>
  <si>
    <t>422626195502106411</t>
  </si>
  <si>
    <t>刘清宏</t>
  </si>
  <si>
    <t>422626194606236419</t>
  </si>
  <si>
    <t>张兴宗</t>
  </si>
  <si>
    <t>42262619570223641343</t>
  </si>
  <si>
    <t>陈高梅</t>
  </si>
  <si>
    <t>420325196712166447</t>
  </si>
  <si>
    <t>王正国</t>
  </si>
  <si>
    <t>42262619720503641X</t>
  </si>
  <si>
    <t>张家庆</t>
  </si>
  <si>
    <t>422626194805096412</t>
  </si>
  <si>
    <t>张孝海</t>
  </si>
  <si>
    <t>422626197309196418</t>
  </si>
  <si>
    <t>王厚珍</t>
  </si>
  <si>
    <t>422626193905026425</t>
  </si>
  <si>
    <t>彭士青</t>
  </si>
  <si>
    <t>42032519430830671X</t>
  </si>
  <si>
    <t>叶可英</t>
  </si>
  <si>
    <t>422626194011036426</t>
  </si>
  <si>
    <t>王传祥</t>
  </si>
  <si>
    <t>422626195905126417</t>
  </si>
  <si>
    <t>谢宝生</t>
  </si>
  <si>
    <t>420325194902226712</t>
  </si>
  <si>
    <t>龚一洲</t>
  </si>
  <si>
    <t>422626196210166417</t>
  </si>
  <si>
    <t>彭少斌</t>
  </si>
  <si>
    <t>422626197312266413</t>
  </si>
  <si>
    <t>420325197701226410</t>
  </si>
  <si>
    <t>谢宝军</t>
  </si>
  <si>
    <t>420325198402096411</t>
  </si>
  <si>
    <t>杨自山</t>
  </si>
  <si>
    <t>42032519560806643311</t>
  </si>
  <si>
    <t>潘春雨</t>
  </si>
  <si>
    <t>422626197802036418</t>
  </si>
  <si>
    <t>汪宏全</t>
  </si>
  <si>
    <t>422626196810246410</t>
  </si>
  <si>
    <t>吴炳秀</t>
  </si>
  <si>
    <t>422626196002156425</t>
  </si>
  <si>
    <t>陈合中</t>
  </si>
  <si>
    <t>422626192907226418</t>
  </si>
  <si>
    <t>阮涛</t>
  </si>
  <si>
    <t>42032519810209641X</t>
  </si>
  <si>
    <t>刘金良</t>
  </si>
  <si>
    <t>422626196601156435</t>
  </si>
  <si>
    <t>金禾清</t>
  </si>
  <si>
    <t>42032519820211641444</t>
  </si>
  <si>
    <t>黄龙学</t>
  </si>
  <si>
    <t>422626196310016416</t>
  </si>
  <si>
    <t>魏兴明</t>
  </si>
  <si>
    <t>420325197810236474</t>
  </si>
  <si>
    <t>罗文进</t>
  </si>
  <si>
    <t>422626195708266410</t>
  </si>
  <si>
    <t>讨寺方村</t>
  </si>
  <si>
    <t>胡  彬</t>
  </si>
  <si>
    <t>422626197203216716</t>
  </si>
  <si>
    <t>施治华</t>
  </si>
  <si>
    <t>422626196601036732</t>
  </si>
  <si>
    <t>赵富贵</t>
  </si>
  <si>
    <t>422626194508066719</t>
  </si>
  <si>
    <t>吕银德</t>
  </si>
  <si>
    <t>420325197011177615</t>
  </si>
  <si>
    <t>田顺友</t>
  </si>
  <si>
    <t>422626196801126716</t>
  </si>
  <si>
    <t>42262619720302671X</t>
  </si>
  <si>
    <t>彭秀兴</t>
  </si>
  <si>
    <t>420325198305016731</t>
  </si>
  <si>
    <t>彭秀才</t>
  </si>
  <si>
    <t>422626195601246719</t>
  </si>
  <si>
    <t>江德福</t>
  </si>
  <si>
    <t>422626195610206719</t>
  </si>
  <si>
    <t>孙成兰</t>
  </si>
  <si>
    <t>420325197711307011</t>
  </si>
  <si>
    <t>严向群</t>
  </si>
  <si>
    <t>422626197406207019</t>
  </si>
  <si>
    <t>魏根成</t>
  </si>
  <si>
    <t>422626196811086412</t>
  </si>
  <si>
    <t>左青山</t>
  </si>
  <si>
    <t>422626197204026412</t>
  </si>
  <si>
    <t>左启军</t>
  </si>
  <si>
    <t>422626196302216418</t>
  </si>
  <si>
    <t>陈金忠</t>
  </si>
  <si>
    <t>422626197011176414</t>
  </si>
  <si>
    <t>吴永军</t>
  </si>
  <si>
    <t>420325198212226510</t>
  </si>
  <si>
    <t>罗付德</t>
  </si>
  <si>
    <t>422626194702026411</t>
  </si>
  <si>
    <t>罗堂启</t>
  </si>
  <si>
    <t>422626193806266415</t>
  </si>
  <si>
    <t>王敦春</t>
  </si>
  <si>
    <t>422626193501306412</t>
  </si>
  <si>
    <t>孟吉新</t>
  </si>
  <si>
    <t>422626197604056733</t>
  </si>
  <si>
    <t>422626194708146713</t>
  </si>
  <si>
    <t>王启光</t>
  </si>
  <si>
    <t>卢学文</t>
  </si>
  <si>
    <t>刘文贵</t>
  </si>
  <si>
    <t>42262619560129671644</t>
  </si>
  <si>
    <t>吕元善</t>
  </si>
  <si>
    <t>涂安富</t>
  </si>
  <si>
    <t>422626195708236713</t>
  </si>
  <si>
    <t>郑士清</t>
  </si>
  <si>
    <t>422626197311106717</t>
  </si>
  <si>
    <t>张科华</t>
  </si>
  <si>
    <t>422626195703036712</t>
  </si>
  <si>
    <t>程世兰</t>
  </si>
  <si>
    <t>422626195009136748</t>
  </si>
  <si>
    <t>张友海</t>
  </si>
  <si>
    <t>42262619570426671243</t>
  </si>
  <si>
    <t>吴胜军</t>
  </si>
  <si>
    <t>422626197810236719</t>
  </si>
  <si>
    <t>徐从学</t>
  </si>
  <si>
    <t>422626194905296710</t>
  </si>
  <si>
    <t>付宏山</t>
  </si>
  <si>
    <t>422626196208286719</t>
  </si>
  <si>
    <t>卢学洲</t>
  </si>
  <si>
    <t>422626195605166716</t>
  </si>
  <si>
    <t>刘运林</t>
  </si>
  <si>
    <t>422626196110287019</t>
  </si>
  <si>
    <t>熊务林</t>
  </si>
  <si>
    <t>422626197110136717</t>
  </si>
  <si>
    <t>余安平</t>
  </si>
  <si>
    <t>42262619611114671X</t>
  </si>
  <si>
    <t>余明忠</t>
  </si>
  <si>
    <t>422626195307076712</t>
  </si>
  <si>
    <t>毛正玉</t>
  </si>
  <si>
    <t>422626196010146729</t>
  </si>
  <si>
    <t>黄建平</t>
  </si>
  <si>
    <t>422626195311086737</t>
  </si>
  <si>
    <t>王正杰</t>
  </si>
  <si>
    <t>422626194703046713</t>
  </si>
  <si>
    <t>王金明</t>
  </si>
  <si>
    <t>422626197401106710</t>
  </si>
  <si>
    <t>张有余</t>
  </si>
  <si>
    <t>梁士彬</t>
  </si>
  <si>
    <t>422626196005227014</t>
  </si>
  <si>
    <t>王齐宏</t>
  </si>
  <si>
    <t>422626195508166714</t>
  </si>
  <si>
    <t>刘自兰</t>
  </si>
  <si>
    <t>42262619490421672342</t>
  </si>
  <si>
    <t>瞿万林</t>
  </si>
  <si>
    <t>42262619650324671X32</t>
  </si>
  <si>
    <t>吕志春</t>
  </si>
  <si>
    <t>422626195601186736</t>
  </si>
  <si>
    <t>刘兴建</t>
  </si>
  <si>
    <t>42262619630129671943</t>
  </si>
  <si>
    <t>王德强</t>
  </si>
  <si>
    <t>420325198810266715</t>
  </si>
  <si>
    <t>黄建国</t>
  </si>
  <si>
    <t>422626196903036754</t>
  </si>
  <si>
    <t>徐胜莲</t>
  </si>
  <si>
    <t>422626195611156725</t>
  </si>
  <si>
    <t>汤德合</t>
  </si>
  <si>
    <t>422626195409286710</t>
  </si>
  <si>
    <t>42032519820424673041</t>
  </si>
  <si>
    <t>王家先</t>
  </si>
  <si>
    <t>吕有善</t>
  </si>
  <si>
    <t>张友余</t>
  </si>
  <si>
    <t>钟本山</t>
  </si>
  <si>
    <t>卢全胜</t>
  </si>
  <si>
    <t>陈本有</t>
  </si>
  <si>
    <t>422626195012246710</t>
  </si>
  <si>
    <t>孔令权</t>
  </si>
  <si>
    <t>420325198110277034</t>
  </si>
  <si>
    <t>吴波</t>
  </si>
  <si>
    <t>付必道</t>
  </si>
  <si>
    <t>金志强</t>
  </si>
  <si>
    <t>吴作朋</t>
  </si>
  <si>
    <t>吴作江</t>
  </si>
  <si>
    <t>吴华</t>
  </si>
  <si>
    <t>吴作礼</t>
  </si>
  <si>
    <t>方学治</t>
  </si>
  <si>
    <t>王化虎</t>
  </si>
  <si>
    <t>吴盛根</t>
  </si>
  <si>
    <t>422626193705106711</t>
  </si>
  <si>
    <t>薛吉阳</t>
  </si>
  <si>
    <t>420325196810156736</t>
  </si>
  <si>
    <t>陈兴国</t>
  </si>
  <si>
    <t>422626196303067012</t>
  </si>
  <si>
    <t>孔祥霞</t>
  </si>
  <si>
    <t>420325198304307027</t>
  </si>
  <si>
    <t>涂正秀</t>
  </si>
  <si>
    <t>422626196904116721</t>
  </si>
  <si>
    <t>武永福</t>
  </si>
  <si>
    <t>422626194611046716</t>
  </si>
  <si>
    <t>吴会琴</t>
  </si>
  <si>
    <t>42032519791120672562</t>
  </si>
  <si>
    <t>任泽全</t>
  </si>
  <si>
    <t>422626195703196716</t>
  </si>
  <si>
    <t>邵定英</t>
  </si>
  <si>
    <t>422626195612316727</t>
  </si>
  <si>
    <t>任泽桥</t>
  </si>
  <si>
    <t>422626196402296718</t>
  </si>
  <si>
    <t>陆和川</t>
  </si>
  <si>
    <t>422626195402046714</t>
  </si>
  <si>
    <t>段玉</t>
  </si>
  <si>
    <t>420325199205276733</t>
  </si>
  <si>
    <t>胡家国</t>
  </si>
  <si>
    <t>422626195801036716</t>
  </si>
  <si>
    <t>段少兵</t>
  </si>
  <si>
    <t>422626197110266714</t>
  </si>
  <si>
    <t>杨正启</t>
  </si>
  <si>
    <t>422626196205266712</t>
  </si>
  <si>
    <t>柯启良</t>
  </si>
  <si>
    <t>422626196707067633</t>
  </si>
  <si>
    <t>陈德山</t>
  </si>
  <si>
    <t>420325198604016715</t>
  </si>
  <si>
    <t>刘万明</t>
  </si>
  <si>
    <t>422626196911126717</t>
  </si>
  <si>
    <t>422626196903086719</t>
  </si>
  <si>
    <t>王德林</t>
  </si>
  <si>
    <t>422626196803066710</t>
  </si>
  <si>
    <t>黄自群</t>
  </si>
  <si>
    <t>422626195811076711</t>
  </si>
  <si>
    <t>瞿万兵</t>
  </si>
  <si>
    <t>422626197202246710</t>
  </si>
  <si>
    <t>任泽清</t>
  </si>
  <si>
    <t>422626194109186713</t>
  </si>
  <si>
    <t>陈正云</t>
  </si>
  <si>
    <t>422626196312096720</t>
  </si>
  <si>
    <t>任泽山</t>
  </si>
  <si>
    <t>422626196901046713</t>
  </si>
  <si>
    <t>张帮清</t>
  </si>
  <si>
    <t>420325198011147015</t>
  </si>
  <si>
    <t>王明远</t>
  </si>
  <si>
    <t>422626197101226710</t>
  </si>
  <si>
    <t>王明光</t>
  </si>
  <si>
    <t>422626196101026714</t>
  </si>
  <si>
    <t>420325195402126736</t>
  </si>
  <si>
    <t>422626197011186719</t>
  </si>
  <si>
    <t>齐德山</t>
  </si>
  <si>
    <t>422626193009186711</t>
  </si>
  <si>
    <t>吴作越</t>
  </si>
  <si>
    <t>420325198311146719</t>
  </si>
  <si>
    <t>瞿义清</t>
  </si>
  <si>
    <t>422626196601026710</t>
  </si>
  <si>
    <t>李铜山</t>
  </si>
  <si>
    <t>422626196203056711</t>
  </si>
  <si>
    <t>任泽红</t>
  </si>
  <si>
    <t>422626196804286715</t>
  </si>
  <si>
    <t>罗先科</t>
  </si>
  <si>
    <t>422626195511166715</t>
  </si>
  <si>
    <t>尹生奎</t>
  </si>
  <si>
    <t>422626196701096716</t>
  </si>
  <si>
    <t>穿山堰村</t>
  </si>
  <si>
    <t>况成堂</t>
  </si>
  <si>
    <t>422626195110276710</t>
  </si>
  <si>
    <t>张应银</t>
  </si>
  <si>
    <t>422626195105056713</t>
  </si>
  <si>
    <t>陈进虎</t>
  </si>
  <si>
    <t>420325198112296714</t>
  </si>
  <si>
    <t>陈清贵</t>
  </si>
  <si>
    <t>422626196310106710</t>
  </si>
  <si>
    <t>陈清平</t>
  </si>
  <si>
    <t>422626196001076714</t>
  </si>
  <si>
    <t>陈相兵</t>
  </si>
  <si>
    <t>422626196301116714</t>
  </si>
  <si>
    <t>陈延如</t>
  </si>
  <si>
    <t>422626195402256711</t>
  </si>
  <si>
    <t>422626197107257016</t>
  </si>
  <si>
    <t>龚举文</t>
  </si>
  <si>
    <t>422626195010266718</t>
  </si>
  <si>
    <t>潘庆宏</t>
  </si>
  <si>
    <t>42262619461021671X</t>
  </si>
  <si>
    <t>石吉兵</t>
  </si>
  <si>
    <t>422626197302276730</t>
  </si>
  <si>
    <t>石吉禄</t>
  </si>
  <si>
    <t>422626196606046710</t>
  </si>
  <si>
    <t>422626195702246734</t>
  </si>
  <si>
    <t>万绪合</t>
  </si>
  <si>
    <t>422626195504026730</t>
  </si>
  <si>
    <t>万绪礼</t>
  </si>
  <si>
    <t>422626196205116714</t>
  </si>
  <si>
    <t>吴修清</t>
  </si>
  <si>
    <t>42262619720804671X</t>
  </si>
  <si>
    <t>熊家兵</t>
  </si>
  <si>
    <t>420325197909206734</t>
  </si>
  <si>
    <t>张明俊</t>
  </si>
  <si>
    <t>422626197701206713</t>
  </si>
  <si>
    <t>张清华</t>
  </si>
  <si>
    <t>42262619650527671X</t>
  </si>
  <si>
    <t>舒永梅</t>
  </si>
  <si>
    <t>422626196503256723</t>
  </si>
  <si>
    <t>422626196912056722</t>
  </si>
  <si>
    <t>422626196906196710</t>
  </si>
  <si>
    <t>陈广柱</t>
  </si>
  <si>
    <t>422626195611196719</t>
  </si>
  <si>
    <t>潘道均</t>
  </si>
  <si>
    <t>422626195912266733</t>
  </si>
  <si>
    <t>葛坪村</t>
  </si>
  <si>
    <t>魏兴良</t>
  </si>
  <si>
    <t>422626196206266730</t>
  </si>
  <si>
    <t>王强</t>
  </si>
  <si>
    <t>422626197301166732</t>
  </si>
  <si>
    <t>王亮</t>
  </si>
  <si>
    <t>420325199508296715</t>
  </si>
  <si>
    <t>石清兵</t>
  </si>
  <si>
    <t>422626196510166718</t>
  </si>
  <si>
    <t>王静</t>
  </si>
  <si>
    <t>422626197006096735</t>
  </si>
  <si>
    <t>赵兵</t>
  </si>
  <si>
    <t>422626196609136711</t>
  </si>
  <si>
    <t>魏有成</t>
  </si>
  <si>
    <t>422626195801296710</t>
  </si>
  <si>
    <t>刘先平</t>
  </si>
  <si>
    <t>422626196804156734</t>
  </si>
  <si>
    <t>张淑川</t>
  </si>
  <si>
    <t>422626196012146714</t>
  </si>
  <si>
    <t>422626196402136714</t>
  </si>
  <si>
    <t>叶正发</t>
  </si>
  <si>
    <t>422626196405246716</t>
  </si>
  <si>
    <t>魏永成</t>
  </si>
  <si>
    <t>422626197009306718</t>
  </si>
  <si>
    <t>姜西龙</t>
  </si>
  <si>
    <t>422626197006306712</t>
  </si>
  <si>
    <t>魏贤成</t>
  </si>
  <si>
    <t>422626196912186711</t>
  </si>
  <si>
    <t>蹇正兰</t>
  </si>
  <si>
    <t>420325194402256720</t>
  </si>
  <si>
    <t>黄长禄</t>
  </si>
  <si>
    <t>422626196901066714</t>
  </si>
  <si>
    <t>黄自义</t>
  </si>
  <si>
    <t>422626195702076712</t>
  </si>
  <si>
    <t>彭胜</t>
  </si>
  <si>
    <t>422626196601136776</t>
  </si>
  <si>
    <t>魏友成</t>
  </si>
  <si>
    <t>422626195512056710</t>
  </si>
  <si>
    <t>李天平</t>
  </si>
  <si>
    <t>420321198105203166</t>
  </si>
  <si>
    <t>魏兴泽</t>
  </si>
  <si>
    <t>42262619610103206719</t>
  </si>
  <si>
    <t>魏勇成</t>
  </si>
  <si>
    <t>422626197103146714</t>
  </si>
  <si>
    <t>魏兴祥</t>
  </si>
  <si>
    <t>420325196007306715</t>
  </si>
  <si>
    <t>刘海</t>
  </si>
  <si>
    <t>420325198804206716</t>
  </si>
  <si>
    <t>魏江成</t>
  </si>
  <si>
    <t>422626196211166718</t>
  </si>
  <si>
    <t>魏兴成</t>
  </si>
  <si>
    <t>422626195706106712</t>
  </si>
  <si>
    <t>张淑平</t>
  </si>
  <si>
    <t>422626195809076712</t>
  </si>
  <si>
    <t>魏兴培</t>
  </si>
  <si>
    <t>422626194807026715</t>
  </si>
  <si>
    <t>王成</t>
  </si>
  <si>
    <t>422626197105176714</t>
  </si>
  <si>
    <t>魏林成</t>
  </si>
  <si>
    <t>422626195704306737</t>
  </si>
  <si>
    <t>黄自福</t>
  </si>
  <si>
    <t>422626196105146713</t>
  </si>
  <si>
    <t>黄金龙</t>
  </si>
  <si>
    <t>420325198803246812</t>
  </si>
  <si>
    <t>黄波</t>
  </si>
  <si>
    <t>422626196301186739</t>
  </si>
  <si>
    <t>吴丰禄</t>
  </si>
  <si>
    <t>42262619640724671X</t>
  </si>
  <si>
    <t>黄自斌</t>
  </si>
  <si>
    <t>422626196410116713</t>
  </si>
  <si>
    <t>何礼</t>
  </si>
  <si>
    <t>42262619690107671X</t>
  </si>
  <si>
    <t>魏三</t>
  </si>
  <si>
    <t>422626197004286738</t>
  </si>
  <si>
    <t>左瑞芝</t>
  </si>
  <si>
    <t>422626194012116719</t>
  </si>
  <si>
    <t>刘吉生</t>
  </si>
  <si>
    <t>422626196802286711</t>
  </si>
  <si>
    <t>吴丰田</t>
  </si>
  <si>
    <t>422626196910306716</t>
  </si>
  <si>
    <t>吴丰春</t>
  </si>
  <si>
    <t>422626196202176711</t>
  </si>
  <si>
    <t>况成明</t>
  </si>
  <si>
    <t>422626197701176710</t>
  </si>
  <si>
    <t>许世兵</t>
  </si>
  <si>
    <t>42262619760419671X</t>
  </si>
  <si>
    <t>付长权</t>
  </si>
  <si>
    <t>422626194603226717</t>
  </si>
  <si>
    <t>郜元杰</t>
  </si>
  <si>
    <t>422626197407136718</t>
  </si>
  <si>
    <t>郜国启</t>
  </si>
  <si>
    <t>422626197412176714</t>
  </si>
  <si>
    <t>郜元红</t>
  </si>
  <si>
    <t>422626196708296737</t>
  </si>
  <si>
    <t>郜国柱</t>
  </si>
  <si>
    <t>422626196711236719</t>
  </si>
  <si>
    <t>郜家林</t>
  </si>
  <si>
    <t>422626196507166717</t>
  </si>
  <si>
    <t>张军朝</t>
  </si>
  <si>
    <t>422626196101286735</t>
  </si>
  <si>
    <t>王正根</t>
  </si>
  <si>
    <t>422626197203156418</t>
  </si>
  <si>
    <t>郜家鼎</t>
  </si>
  <si>
    <t>422626197304136715</t>
  </si>
  <si>
    <t>樊金山</t>
  </si>
  <si>
    <t>422626196811256717</t>
  </si>
  <si>
    <t>422626196609296723</t>
  </si>
  <si>
    <t>付培军</t>
  </si>
  <si>
    <t>422626197506186710</t>
  </si>
  <si>
    <t>陈高明</t>
  </si>
  <si>
    <t>422626197003256414</t>
  </si>
  <si>
    <t>夏玉林</t>
  </si>
  <si>
    <t>422626196807276432</t>
  </si>
  <si>
    <t>陈平保</t>
  </si>
  <si>
    <t>42262619711009641X</t>
  </si>
  <si>
    <t>陈良文</t>
  </si>
  <si>
    <t>422626196907096412</t>
  </si>
  <si>
    <t>胡月付</t>
  </si>
  <si>
    <t>422626195911286513</t>
  </si>
  <si>
    <t>黄必学</t>
  </si>
  <si>
    <t>422626195302026513</t>
  </si>
  <si>
    <t>陈良菊</t>
  </si>
  <si>
    <t>422626196202016427</t>
  </si>
  <si>
    <t>胡现林</t>
  </si>
  <si>
    <t>420325196905026416</t>
  </si>
  <si>
    <t>胡现清</t>
  </si>
  <si>
    <t>422626197101166412</t>
  </si>
  <si>
    <t>刘国清</t>
  </si>
  <si>
    <t>422626197201246452</t>
  </si>
  <si>
    <t>李先华</t>
  </si>
  <si>
    <t>422626195804176415</t>
  </si>
  <si>
    <t>黄发成</t>
  </si>
  <si>
    <t>422626196411236418</t>
  </si>
  <si>
    <t>李伟</t>
  </si>
  <si>
    <t>420325198010076438</t>
  </si>
  <si>
    <t>曾志华</t>
  </si>
  <si>
    <t>420325198002196413</t>
  </si>
  <si>
    <t>张志兵</t>
  </si>
  <si>
    <t>422626197003116411</t>
  </si>
  <si>
    <t>422626196911266437</t>
  </si>
  <si>
    <t>黄必有</t>
  </si>
  <si>
    <t>422626195406226413</t>
  </si>
  <si>
    <t>黄必生</t>
  </si>
  <si>
    <t>422626194204166411</t>
  </si>
  <si>
    <t>黄必县</t>
  </si>
  <si>
    <t>422626196908076413</t>
  </si>
  <si>
    <t>张志友</t>
  </si>
  <si>
    <t>422626196611266435</t>
  </si>
  <si>
    <t>李启六</t>
  </si>
  <si>
    <t>422626196604116412</t>
  </si>
  <si>
    <t>马青华</t>
  </si>
  <si>
    <t>422626197506126419</t>
  </si>
  <si>
    <t>盛太良</t>
  </si>
  <si>
    <t>422626195210196435</t>
  </si>
  <si>
    <t>刘开文</t>
  </si>
  <si>
    <t>422626195809076413</t>
  </si>
  <si>
    <t>张发成</t>
  </si>
  <si>
    <t>422626196202186418</t>
  </si>
  <si>
    <t>陈良华</t>
  </si>
  <si>
    <t>422626196608306432</t>
  </si>
  <si>
    <t>王明权</t>
  </si>
  <si>
    <t>420325196006046712</t>
  </si>
  <si>
    <t>420325194001096711</t>
  </si>
  <si>
    <t>刘飞</t>
  </si>
  <si>
    <t>42032519801208641044</t>
  </si>
  <si>
    <t>王启龙</t>
  </si>
  <si>
    <t>422626196404216419</t>
  </si>
  <si>
    <t>华成秀</t>
  </si>
  <si>
    <t>42262619350930642544</t>
  </si>
  <si>
    <t>秦立秀</t>
  </si>
  <si>
    <t>422626196508216421</t>
  </si>
  <si>
    <t>王时平</t>
  </si>
  <si>
    <t>422626196710186414</t>
  </si>
  <si>
    <t>何良清</t>
  </si>
  <si>
    <t>422626194504076418</t>
  </si>
  <si>
    <t>陈安义</t>
  </si>
  <si>
    <t>422626195410046714</t>
  </si>
  <si>
    <t>王昌平</t>
  </si>
  <si>
    <t>420325197001267019</t>
  </si>
  <si>
    <t>陈先宝</t>
  </si>
  <si>
    <t>422626196304107012</t>
  </si>
  <si>
    <t>李顺孝</t>
  </si>
  <si>
    <t>422626197109027011</t>
  </si>
  <si>
    <t>刘诗宏</t>
  </si>
  <si>
    <t>42262619560424701211</t>
  </si>
  <si>
    <t>422626195607027015</t>
  </si>
  <si>
    <t>龚举胜</t>
  </si>
  <si>
    <t>422626196002277016</t>
  </si>
  <si>
    <t>江文忠</t>
  </si>
  <si>
    <t>422626196602087013</t>
  </si>
  <si>
    <t>422626196107087016</t>
  </si>
  <si>
    <t>刘运先</t>
  </si>
  <si>
    <t>42262619551127701X</t>
  </si>
  <si>
    <t>刘安炳</t>
  </si>
  <si>
    <t>42032519380814701X</t>
  </si>
  <si>
    <t>刘洪术</t>
  </si>
  <si>
    <t>422626194812217016</t>
  </si>
  <si>
    <t>杜大勇</t>
  </si>
  <si>
    <t>420325198811177634</t>
  </si>
  <si>
    <t>柯长贵</t>
  </si>
  <si>
    <t>422626195510087652</t>
  </si>
  <si>
    <t>刘运高</t>
  </si>
  <si>
    <t>420325194405077015</t>
  </si>
  <si>
    <t>王昌俊</t>
  </si>
  <si>
    <t>422626195301207013</t>
  </si>
  <si>
    <t>王昌雄</t>
  </si>
  <si>
    <t>422626196810237012</t>
  </si>
  <si>
    <t>刘松波</t>
  </si>
  <si>
    <t>420325198607187018</t>
  </si>
  <si>
    <t>沈从顺</t>
  </si>
  <si>
    <t>422626194308217017</t>
  </si>
  <si>
    <t>刘洪清</t>
  </si>
  <si>
    <t>422626196305167017</t>
  </si>
  <si>
    <t>李昌瑞</t>
  </si>
  <si>
    <t>422626195001287031</t>
  </si>
  <si>
    <t>王明月</t>
  </si>
  <si>
    <t>420325195206157017</t>
  </si>
  <si>
    <t>朱弟珍</t>
  </si>
  <si>
    <t>422626195411207022</t>
  </si>
  <si>
    <t>王朝贵</t>
  </si>
  <si>
    <t>422626196906097018</t>
  </si>
  <si>
    <t>郭显洲</t>
  </si>
  <si>
    <t>422626196704027011</t>
  </si>
  <si>
    <t>杜建春</t>
  </si>
  <si>
    <t>42262619740714761X</t>
  </si>
  <si>
    <t>刘天兵</t>
  </si>
  <si>
    <t>422626197203297034</t>
  </si>
  <si>
    <t>王运河</t>
  </si>
  <si>
    <t>42032519871118735X</t>
  </si>
  <si>
    <t>谭守清</t>
  </si>
  <si>
    <t>42032519530816703X</t>
  </si>
  <si>
    <t>刘洪福</t>
  </si>
  <si>
    <t>422626196307157015</t>
  </si>
  <si>
    <t>李光林</t>
  </si>
  <si>
    <t>422626195606201915</t>
  </si>
  <si>
    <t>刘运汉</t>
  </si>
  <si>
    <t>422626194512237015</t>
  </si>
  <si>
    <t>薛吉英</t>
  </si>
  <si>
    <t>42032519471218701X</t>
  </si>
  <si>
    <t>马远成</t>
  </si>
  <si>
    <t>422626195607257013</t>
  </si>
  <si>
    <t>刘国旭</t>
  </si>
  <si>
    <t>422626196605277613</t>
  </si>
  <si>
    <t>刘安之</t>
  </si>
  <si>
    <t>422626195105087018</t>
  </si>
  <si>
    <t>许光生</t>
  </si>
  <si>
    <t>42262619560426701344</t>
  </si>
  <si>
    <t>杜守龙</t>
  </si>
  <si>
    <t>422626194611227023</t>
  </si>
  <si>
    <t>422626195501277015</t>
  </si>
  <si>
    <t>郭成云</t>
  </si>
  <si>
    <t>朱灿义</t>
  </si>
  <si>
    <t>422626195404077012</t>
  </si>
  <si>
    <t>422626195309287054</t>
  </si>
  <si>
    <t>裴艳丽</t>
  </si>
  <si>
    <t>420325198101057021</t>
  </si>
  <si>
    <t>钱志坤</t>
  </si>
  <si>
    <t>422626196609067015</t>
  </si>
  <si>
    <t>赵孝娥</t>
  </si>
  <si>
    <t>420325197803187029</t>
  </si>
  <si>
    <t>孔凡珍</t>
  </si>
  <si>
    <t>422626195111077019</t>
  </si>
  <si>
    <t>张华美</t>
  </si>
  <si>
    <t>422626195503137025</t>
  </si>
  <si>
    <t>高船村一组</t>
  </si>
  <si>
    <t>代西全</t>
  </si>
  <si>
    <t>422626193110237333</t>
  </si>
  <si>
    <t>朱世军</t>
  </si>
  <si>
    <t>420325198104077319</t>
  </si>
  <si>
    <t>高船村七组</t>
  </si>
  <si>
    <t>赵汉江</t>
  </si>
  <si>
    <t>42262619580617733131</t>
  </si>
  <si>
    <t>420325198909137331</t>
  </si>
  <si>
    <t>柯玉朝</t>
  </si>
  <si>
    <t>422626196910267331</t>
  </si>
  <si>
    <t>柯大贵</t>
  </si>
  <si>
    <t>422626195307297312</t>
  </si>
  <si>
    <t>高船村八组</t>
  </si>
  <si>
    <t>蔡文林</t>
  </si>
  <si>
    <t>422626196906297335</t>
  </si>
  <si>
    <t>郝良华</t>
  </si>
  <si>
    <t>420325195401157039</t>
  </si>
  <si>
    <t>童世艳</t>
  </si>
  <si>
    <t>420325198601027312</t>
  </si>
  <si>
    <t>高船村四组</t>
  </si>
  <si>
    <t>柯大喜</t>
  </si>
  <si>
    <t>422626196804027334</t>
  </si>
  <si>
    <t>高船村十组</t>
  </si>
  <si>
    <t>柯大明</t>
  </si>
  <si>
    <t>42262619521106731X</t>
  </si>
  <si>
    <t>高船村三组</t>
  </si>
  <si>
    <t>吴和英</t>
  </si>
  <si>
    <t>420325198111147020</t>
  </si>
  <si>
    <t>朱怀发</t>
  </si>
  <si>
    <t>422626193804137310</t>
  </si>
  <si>
    <t>郝天佐</t>
  </si>
  <si>
    <t>422626194311027310</t>
  </si>
  <si>
    <t>柯玉潮</t>
  </si>
  <si>
    <t>42032519720312733X</t>
  </si>
  <si>
    <t>高船村二组</t>
  </si>
  <si>
    <t>夏永海</t>
  </si>
  <si>
    <t>420325197703087311</t>
  </si>
  <si>
    <t>高国全</t>
  </si>
  <si>
    <t>420325197508147315</t>
  </si>
  <si>
    <t>朱怀保</t>
  </si>
  <si>
    <t>422626193501097315</t>
  </si>
  <si>
    <t>朱世轩</t>
  </si>
  <si>
    <t>422626196308187312</t>
  </si>
  <si>
    <t>刘重玖</t>
  </si>
  <si>
    <t>420325195112167011</t>
  </si>
  <si>
    <t>柯玉贤</t>
  </si>
  <si>
    <t>420325197601237315</t>
  </si>
  <si>
    <t>郭成仁</t>
  </si>
  <si>
    <t>422626194610177319</t>
  </si>
  <si>
    <t>高定成</t>
  </si>
  <si>
    <t>422626194901177319</t>
  </si>
  <si>
    <t>柯杰</t>
  </si>
  <si>
    <t>420325197811127050</t>
  </si>
  <si>
    <t>张远金</t>
  </si>
  <si>
    <t>422626195803307313</t>
  </si>
  <si>
    <t>马大成</t>
  </si>
  <si>
    <t>422626195604037330</t>
  </si>
  <si>
    <t>桥梁村2组</t>
  </si>
  <si>
    <t>李大青</t>
  </si>
  <si>
    <t>422626195302097012</t>
  </si>
  <si>
    <t>张德明</t>
  </si>
  <si>
    <t>422626195108227311</t>
  </si>
  <si>
    <t>桥梁村3组</t>
  </si>
  <si>
    <t>胡自贤</t>
  </si>
  <si>
    <t>420325198604037313</t>
  </si>
  <si>
    <t>422626195812087316</t>
  </si>
  <si>
    <t>马朋</t>
  </si>
  <si>
    <t>42032519851013733X</t>
  </si>
  <si>
    <t>涂长云</t>
  </si>
  <si>
    <t>422626196606017020</t>
  </si>
  <si>
    <t>张维志</t>
  </si>
  <si>
    <t>422626195104097011</t>
  </si>
  <si>
    <t>孔令成</t>
  </si>
  <si>
    <t>420325196207217012</t>
  </si>
  <si>
    <t>张维发</t>
  </si>
  <si>
    <t>422626194710087011</t>
  </si>
  <si>
    <t>黄宝成</t>
  </si>
  <si>
    <t>422626194910277012</t>
  </si>
  <si>
    <t>张丙银</t>
  </si>
  <si>
    <t>422626193404047017</t>
  </si>
  <si>
    <t>陈太辛</t>
  </si>
  <si>
    <t>422626195410297011</t>
  </si>
  <si>
    <t>杨荣贵</t>
  </si>
  <si>
    <t>422626196505017013</t>
  </si>
  <si>
    <t>陈宝米</t>
  </si>
  <si>
    <t>422626193406207010</t>
  </si>
  <si>
    <t>黄宝菊</t>
  </si>
  <si>
    <t>422626196505137023</t>
  </si>
  <si>
    <t>张金玉</t>
  </si>
  <si>
    <t>422626196712257036</t>
  </si>
  <si>
    <t>张贵虎</t>
  </si>
  <si>
    <t>420325197212297031</t>
  </si>
  <si>
    <t>张贵群</t>
  </si>
  <si>
    <t>422626197007017015</t>
  </si>
  <si>
    <t>杜达晏</t>
  </si>
  <si>
    <t>422626197009157011</t>
  </si>
  <si>
    <t>李远华</t>
  </si>
  <si>
    <t>422626196210227013</t>
  </si>
  <si>
    <t>张金涛</t>
  </si>
  <si>
    <t>420325198711107057</t>
  </si>
  <si>
    <t>宋华春</t>
  </si>
  <si>
    <t>422626197102027019</t>
  </si>
  <si>
    <t>张立友</t>
  </si>
  <si>
    <t>420325196902147036</t>
  </si>
  <si>
    <t>张维喜</t>
  </si>
  <si>
    <t>422626195803307030</t>
  </si>
  <si>
    <t>陈清合</t>
  </si>
  <si>
    <t>422626196112157015</t>
  </si>
  <si>
    <t>刘玉华</t>
  </si>
  <si>
    <t>422626196212147017</t>
  </si>
  <si>
    <t>王明福</t>
  </si>
  <si>
    <t>422626194208307015</t>
  </si>
  <si>
    <t>黄传森</t>
  </si>
  <si>
    <t>420325198501277015</t>
  </si>
  <si>
    <t>422626196505217015</t>
  </si>
  <si>
    <t>陈财富</t>
  </si>
  <si>
    <t>422626195212227012</t>
  </si>
  <si>
    <t>崔文亮</t>
  </si>
  <si>
    <t>422626194906097019</t>
  </si>
  <si>
    <t>陈才林</t>
  </si>
  <si>
    <t>422626195504127013</t>
  </si>
  <si>
    <t>刘洪宪</t>
  </si>
  <si>
    <t>42262619460129701X</t>
  </si>
  <si>
    <t>刘宏学</t>
  </si>
  <si>
    <t>422626195304167010</t>
  </si>
  <si>
    <t>陈宝安</t>
  </si>
  <si>
    <t>422626197302167016</t>
  </si>
  <si>
    <t>郝天运</t>
  </si>
  <si>
    <t>422626195605087014</t>
  </si>
  <si>
    <t>李忠云</t>
  </si>
  <si>
    <t>422626197101077022</t>
  </si>
  <si>
    <t>杨广成</t>
  </si>
  <si>
    <t>422626195303297016</t>
  </si>
  <si>
    <t>姜大红</t>
  </si>
  <si>
    <t>422626195306157019</t>
  </si>
  <si>
    <t>姜大富</t>
  </si>
  <si>
    <t>422626194603287018</t>
  </si>
  <si>
    <t>刘运群</t>
  </si>
  <si>
    <t>420325194706117017</t>
  </si>
  <si>
    <t>黄时进</t>
  </si>
  <si>
    <t>422626195204267014</t>
  </si>
  <si>
    <t>黄时雄</t>
  </si>
  <si>
    <t>422626195506057012</t>
  </si>
  <si>
    <t>米洪林</t>
  </si>
  <si>
    <t>422626197303137011</t>
  </si>
  <si>
    <t>何富庆</t>
  </si>
  <si>
    <t>422626194206117015</t>
  </si>
  <si>
    <t>江开成</t>
  </si>
  <si>
    <t>422626195212217017</t>
  </si>
  <si>
    <t>张礼友</t>
  </si>
  <si>
    <t>422626194304267017</t>
  </si>
  <si>
    <t>郑相义</t>
  </si>
  <si>
    <t>422626195312037013</t>
  </si>
  <si>
    <t>张明石</t>
  </si>
  <si>
    <t>420325198608107016</t>
  </si>
  <si>
    <t>张金礼</t>
  </si>
  <si>
    <t>422626195606197012</t>
  </si>
  <si>
    <t>孙来成</t>
  </si>
  <si>
    <t>422626195504167015</t>
  </si>
  <si>
    <t>韩鸿云</t>
  </si>
  <si>
    <t>422626194210037026</t>
  </si>
  <si>
    <t>罗兴成</t>
  </si>
  <si>
    <t>422626195509237019</t>
  </si>
  <si>
    <t>姜祥廷</t>
  </si>
  <si>
    <t>420325195412017015</t>
  </si>
  <si>
    <t>杜昌宏</t>
  </si>
  <si>
    <t>422626197104167015</t>
  </si>
  <si>
    <t>杜可庆</t>
  </si>
  <si>
    <t>422626196304037675</t>
  </si>
  <si>
    <t>谢国伟</t>
  </si>
  <si>
    <t>420325198211127035</t>
  </si>
  <si>
    <t>杜昌明</t>
  </si>
  <si>
    <t>422626197009087017</t>
  </si>
  <si>
    <t>孙来和</t>
  </si>
  <si>
    <t>422626193710087017</t>
  </si>
  <si>
    <t>米文付</t>
  </si>
  <si>
    <t>422626195908067010</t>
  </si>
  <si>
    <t>于士连</t>
  </si>
  <si>
    <t>42262619630224702X</t>
  </si>
  <si>
    <t>郭成国</t>
  </si>
  <si>
    <t>422626196704107038</t>
  </si>
  <si>
    <t>叶付友</t>
  </si>
  <si>
    <t>420325198901187035</t>
  </si>
  <si>
    <t>李世国</t>
  </si>
  <si>
    <t>422626194310277035</t>
  </si>
  <si>
    <t>李冬宏</t>
  </si>
  <si>
    <t>422626196903227016</t>
  </si>
  <si>
    <t>双庙村一组</t>
  </si>
  <si>
    <t>杨小华</t>
  </si>
  <si>
    <t>422626197103057033</t>
  </si>
  <si>
    <t>杨万银</t>
  </si>
  <si>
    <t>420325196205227014</t>
  </si>
  <si>
    <t>杨成芳</t>
  </si>
  <si>
    <t>420325197910267032</t>
  </si>
  <si>
    <t>杨义芳</t>
  </si>
  <si>
    <t>42262619480226701X</t>
  </si>
  <si>
    <t>420325197908017034</t>
  </si>
  <si>
    <t>杨伟</t>
  </si>
  <si>
    <t>420325198702277011</t>
  </si>
  <si>
    <t>代荣久</t>
  </si>
  <si>
    <t>422626197110277034</t>
  </si>
  <si>
    <t>阮世军</t>
  </si>
  <si>
    <t>420325197303017074</t>
  </si>
  <si>
    <t>张正泉</t>
  </si>
  <si>
    <t>422626196709227039</t>
  </si>
  <si>
    <t>杨建友</t>
  </si>
  <si>
    <t>422626196910047013</t>
  </si>
  <si>
    <t>王治青</t>
  </si>
  <si>
    <t>422626195204097019</t>
  </si>
  <si>
    <t>王治群</t>
  </si>
  <si>
    <t>422626194505167012</t>
  </si>
  <si>
    <t>王化伟</t>
  </si>
  <si>
    <t>422626196908237010</t>
  </si>
  <si>
    <t>毕自洪</t>
  </si>
  <si>
    <t>42032519800924703342</t>
  </si>
  <si>
    <t>422626196109027025</t>
  </si>
  <si>
    <t>王国典</t>
  </si>
  <si>
    <t>422626193002287018</t>
  </si>
  <si>
    <t>王爱华</t>
  </si>
  <si>
    <t>422626195802257027</t>
  </si>
  <si>
    <t>刘殿主</t>
  </si>
  <si>
    <t>420325197912227034</t>
  </si>
  <si>
    <t>崔永云</t>
  </si>
  <si>
    <t>420325197507257029</t>
  </si>
  <si>
    <t>马远春</t>
  </si>
  <si>
    <t>422626196512267010</t>
  </si>
  <si>
    <t>杨建华</t>
  </si>
  <si>
    <t>422626197002167057</t>
  </si>
  <si>
    <t>杨玉林</t>
  </si>
  <si>
    <t>420325198202197015</t>
  </si>
  <si>
    <t>杨玉才</t>
  </si>
  <si>
    <t>422626197608017010</t>
  </si>
  <si>
    <t>422626197208237030</t>
  </si>
  <si>
    <t>杨万良</t>
  </si>
  <si>
    <t>420325198112307030</t>
  </si>
  <si>
    <t>沈从太</t>
  </si>
  <si>
    <t>422626195801307010</t>
  </si>
  <si>
    <t>邓学荣</t>
  </si>
  <si>
    <t>42262619580827731X</t>
  </si>
  <si>
    <t>姜显国</t>
  </si>
  <si>
    <t>420325197610317018</t>
  </si>
  <si>
    <t>杨立志</t>
  </si>
  <si>
    <t>422626194906207011</t>
  </si>
  <si>
    <t>420325196307147031</t>
  </si>
  <si>
    <t>江毅</t>
  </si>
  <si>
    <t>420325197706147033</t>
  </si>
  <si>
    <t>杨万田</t>
  </si>
  <si>
    <t>422626197110267012</t>
  </si>
  <si>
    <t>刘运娥</t>
  </si>
  <si>
    <t>422626197409207022</t>
  </si>
  <si>
    <t>杨大才</t>
  </si>
  <si>
    <t>420325198110177092</t>
  </si>
  <si>
    <t>张义洪</t>
  </si>
  <si>
    <t>422626195508017014</t>
  </si>
  <si>
    <t>王国明</t>
  </si>
  <si>
    <t>42262619671222703X</t>
  </si>
  <si>
    <t>刘吉乐</t>
  </si>
  <si>
    <t>422626194503017010</t>
  </si>
  <si>
    <t>刘运尧</t>
  </si>
  <si>
    <t>422626194102277014</t>
  </si>
  <si>
    <t>张卫春</t>
  </si>
  <si>
    <t>42262619701105701X</t>
  </si>
  <si>
    <t>王化甫</t>
  </si>
  <si>
    <t>422626196001247018</t>
  </si>
  <si>
    <t>王化立</t>
  </si>
  <si>
    <t>422626195402047012</t>
  </si>
  <si>
    <t>张维斌</t>
  </si>
  <si>
    <t>422626196905277017</t>
  </si>
  <si>
    <t>杨万书</t>
  </si>
  <si>
    <t>422626194805027038</t>
  </si>
  <si>
    <t>郑相贵</t>
  </si>
  <si>
    <t>422626195509287016</t>
  </si>
  <si>
    <t>张维友</t>
  </si>
  <si>
    <t>422626197311187035</t>
  </si>
  <si>
    <t>任相品</t>
  </si>
  <si>
    <t>422626196811117012</t>
  </si>
  <si>
    <t>杨万忠</t>
  </si>
  <si>
    <t>422626195604257050</t>
  </si>
  <si>
    <t>姜大儒</t>
  </si>
  <si>
    <t>422626195301047013</t>
  </si>
  <si>
    <t>代荣明</t>
  </si>
  <si>
    <t>420325197604047031</t>
  </si>
  <si>
    <t>杨关昌</t>
  </si>
  <si>
    <t>422626195304307036</t>
  </si>
  <si>
    <t>代超</t>
  </si>
  <si>
    <t>420325200601307015</t>
  </si>
  <si>
    <t>张正约</t>
  </si>
  <si>
    <t>422626195711117037</t>
  </si>
  <si>
    <t>张德文</t>
  </si>
  <si>
    <t>42032519791215703X</t>
  </si>
  <si>
    <t>杨和昌</t>
  </si>
  <si>
    <t>422626197310277055</t>
  </si>
  <si>
    <t>杨建仕</t>
  </si>
  <si>
    <t>422626197902057013</t>
  </si>
  <si>
    <t>杨立安</t>
  </si>
  <si>
    <t>422626194911297015</t>
  </si>
  <si>
    <t>王化成</t>
  </si>
  <si>
    <t>422626197012297031</t>
  </si>
  <si>
    <t>杨立山</t>
  </si>
  <si>
    <t>422626195105277030</t>
  </si>
  <si>
    <t>江定友</t>
  </si>
  <si>
    <t>422626194809097017</t>
  </si>
  <si>
    <t>江天长</t>
  </si>
  <si>
    <t>420325197706067017</t>
  </si>
  <si>
    <t>422626195306217042</t>
  </si>
  <si>
    <t>杨万文</t>
  </si>
  <si>
    <t>42262619420204703X</t>
  </si>
  <si>
    <t>马远明</t>
  </si>
  <si>
    <t>422626195702267033</t>
  </si>
  <si>
    <t>刘浩兴</t>
  </si>
  <si>
    <t>422626196705287018</t>
  </si>
  <si>
    <t>杨玉学</t>
  </si>
  <si>
    <t>422626196902287033</t>
  </si>
  <si>
    <t>杨各芳</t>
  </si>
  <si>
    <t>420325197711257050</t>
  </si>
  <si>
    <t>杨万涛</t>
  </si>
  <si>
    <t>420325198409307015</t>
  </si>
  <si>
    <t>王化玉</t>
  </si>
  <si>
    <t>422626195109187016</t>
  </si>
  <si>
    <t>陈铁牛</t>
  </si>
  <si>
    <t>422626197210187036</t>
  </si>
  <si>
    <t>杨雄芳</t>
  </si>
  <si>
    <t>420325197512177015</t>
  </si>
  <si>
    <t>杨建芳</t>
  </si>
  <si>
    <t>420325197807097012</t>
  </si>
  <si>
    <t>阮世举</t>
  </si>
  <si>
    <t>42262619540516701X</t>
  </si>
  <si>
    <t>422626196802067033</t>
  </si>
  <si>
    <t>刘浩清</t>
  </si>
  <si>
    <t>422626197103147012</t>
  </si>
  <si>
    <t>李绍兰</t>
  </si>
  <si>
    <t>420325192911147021</t>
  </si>
  <si>
    <t>420325197808037011</t>
  </si>
  <si>
    <t>王化清</t>
  </si>
  <si>
    <t>420325193111017012</t>
  </si>
  <si>
    <t>刘立银</t>
  </si>
  <si>
    <t>422626194902087016</t>
  </si>
  <si>
    <t>420325198604237016</t>
  </si>
  <si>
    <t>江天福</t>
  </si>
  <si>
    <t>422626196910187032</t>
  </si>
  <si>
    <t>李世印</t>
  </si>
  <si>
    <t>422626193401087339</t>
  </si>
  <si>
    <t>欧才发</t>
  </si>
  <si>
    <t>422626195912117332</t>
  </si>
  <si>
    <t>王远华</t>
  </si>
  <si>
    <t>422626196302157315</t>
  </si>
  <si>
    <t>江文波</t>
  </si>
  <si>
    <t>422626196711307310</t>
  </si>
  <si>
    <t>熊向明</t>
  </si>
  <si>
    <t>422626196209257311</t>
  </si>
  <si>
    <t>熊向福</t>
  </si>
  <si>
    <t>420325197405047354</t>
  </si>
  <si>
    <t>欧士平</t>
  </si>
  <si>
    <t>420325198004087333</t>
  </si>
  <si>
    <t>欧才顺</t>
  </si>
  <si>
    <t>422626195410287315</t>
  </si>
  <si>
    <t>欧才高</t>
  </si>
  <si>
    <t>420325196405187336</t>
  </si>
  <si>
    <t>张立合</t>
  </si>
  <si>
    <t>420325195402107033</t>
  </si>
  <si>
    <t>李慎秀</t>
  </si>
  <si>
    <t>422626195711257320</t>
  </si>
  <si>
    <t>双泉寺四组</t>
  </si>
  <si>
    <t>420325197405167313</t>
  </si>
  <si>
    <t>樊恭阅</t>
  </si>
  <si>
    <t>42032519770718731X</t>
  </si>
  <si>
    <t>刘文余</t>
  </si>
  <si>
    <t>420325194710117319</t>
  </si>
  <si>
    <t>蔡广胜</t>
  </si>
  <si>
    <t>422626195109257336</t>
  </si>
  <si>
    <t>孙世海</t>
  </si>
  <si>
    <t>422626197109207311</t>
  </si>
  <si>
    <t>蔡建宝</t>
  </si>
  <si>
    <t>422626196209307315</t>
  </si>
  <si>
    <t>樊成虎</t>
  </si>
  <si>
    <t>422626195805027315</t>
  </si>
  <si>
    <t>姜德轩</t>
  </si>
  <si>
    <t>420325196302077337</t>
  </si>
  <si>
    <t>章正超</t>
  </si>
  <si>
    <t>422626194502197312</t>
  </si>
  <si>
    <t>柯昌林</t>
  </si>
  <si>
    <t>422626194610197310</t>
  </si>
  <si>
    <t>姜虎</t>
  </si>
  <si>
    <t>420325198404087316</t>
  </si>
  <si>
    <t>姜高忠</t>
  </si>
  <si>
    <t>422626196904117310</t>
  </si>
  <si>
    <t>姜明权</t>
  </si>
  <si>
    <t>422626195012317312</t>
  </si>
  <si>
    <t>雷择学</t>
  </si>
  <si>
    <t>422626196402085734</t>
  </si>
  <si>
    <t>柯玉清</t>
  </si>
  <si>
    <t>420325195206097039</t>
  </si>
  <si>
    <t>蔡德海</t>
  </si>
  <si>
    <t>422626194801057336</t>
  </si>
  <si>
    <t>邓生群</t>
  </si>
  <si>
    <t>422626195703317311</t>
  </si>
  <si>
    <t>柯玉仁</t>
  </si>
  <si>
    <t>422626195005027317</t>
  </si>
  <si>
    <t>柯玉周</t>
  </si>
  <si>
    <t>42262619631209731X</t>
  </si>
  <si>
    <t>杨康银</t>
  </si>
  <si>
    <t>422626195102077316</t>
  </si>
  <si>
    <t>胡士春</t>
  </si>
  <si>
    <t>422626196812137314</t>
  </si>
  <si>
    <t>邓生海</t>
  </si>
  <si>
    <t>420325196707287316</t>
  </si>
  <si>
    <t>曾德兵</t>
  </si>
  <si>
    <t>422626197503127010</t>
  </si>
  <si>
    <t>曾德军</t>
  </si>
  <si>
    <t>袁成付</t>
  </si>
  <si>
    <t>420325193803197018</t>
  </si>
  <si>
    <t>马会成</t>
  </si>
  <si>
    <t>422626195103277037</t>
  </si>
  <si>
    <t>黄立双</t>
  </si>
  <si>
    <t>422626197210247019</t>
  </si>
  <si>
    <t>黄立付</t>
  </si>
  <si>
    <t>420325195608167015</t>
  </si>
  <si>
    <t>420325198207107015</t>
  </si>
  <si>
    <t>张瑞金</t>
  </si>
  <si>
    <t>422626196701217012</t>
  </si>
  <si>
    <t>范吉恕</t>
  </si>
  <si>
    <t>420325197204237012</t>
  </si>
  <si>
    <t>熊知仁</t>
  </si>
  <si>
    <t>422626194206197019</t>
  </si>
  <si>
    <t>张学政</t>
  </si>
  <si>
    <t>420325198106197031</t>
  </si>
  <si>
    <t>张瑞虎</t>
  </si>
  <si>
    <t>42262619620831701X</t>
  </si>
  <si>
    <t>张邦玮</t>
  </si>
  <si>
    <t>42032519810319701X</t>
  </si>
  <si>
    <t>潘淑娜</t>
  </si>
  <si>
    <t>130534198606131520</t>
  </si>
  <si>
    <t>刘运久</t>
  </si>
  <si>
    <t>422626195411077328</t>
  </si>
  <si>
    <t>422626195506097321</t>
  </si>
  <si>
    <t>张道发</t>
  </si>
  <si>
    <t>422626196205117311</t>
  </si>
  <si>
    <t>张根群</t>
  </si>
  <si>
    <t>420325198411047638</t>
  </si>
  <si>
    <t>张丽英</t>
  </si>
  <si>
    <t>420325198611257322</t>
  </si>
  <si>
    <t>张安珍</t>
  </si>
  <si>
    <t>420325196809267324</t>
  </si>
  <si>
    <t>郭守平</t>
  </si>
  <si>
    <t>420325198501107315</t>
  </si>
  <si>
    <t>张道志</t>
  </si>
  <si>
    <t>420325195908107313</t>
  </si>
  <si>
    <t>张修和</t>
  </si>
  <si>
    <t>422626195507057313</t>
  </si>
  <si>
    <t>朱吉英</t>
  </si>
  <si>
    <t>422626194604167325</t>
  </si>
  <si>
    <t>张元根</t>
  </si>
  <si>
    <t>422626196410107331</t>
  </si>
  <si>
    <t>杜著洪</t>
  </si>
  <si>
    <t>422626194504027317</t>
  </si>
  <si>
    <t>杜昌华</t>
  </si>
  <si>
    <t>420325196101077330</t>
  </si>
  <si>
    <t>杜昌甫</t>
  </si>
  <si>
    <t>422626196807317310</t>
  </si>
  <si>
    <t>陈远兴</t>
  </si>
  <si>
    <t>422626195911157316</t>
  </si>
  <si>
    <t>薛治学</t>
  </si>
  <si>
    <t>422626196812167310</t>
  </si>
  <si>
    <t>杨乐青</t>
  </si>
  <si>
    <t>422626196601047319</t>
  </si>
  <si>
    <t>张从印</t>
  </si>
  <si>
    <t>422626194607117016</t>
  </si>
  <si>
    <t>王修华</t>
  </si>
  <si>
    <t>422626196612227016</t>
  </si>
  <si>
    <t>江文才</t>
  </si>
  <si>
    <t>422626195704147035</t>
  </si>
  <si>
    <t>刘吉兵</t>
  </si>
  <si>
    <t>420325196010097010</t>
  </si>
  <si>
    <t>梁兴贵</t>
  </si>
  <si>
    <t>42262619540428701X</t>
  </si>
  <si>
    <t>江文友</t>
  </si>
  <si>
    <t>422626196303057017</t>
  </si>
  <si>
    <t>薛治洲</t>
  </si>
  <si>
    <t>420325193104307011</t>
  </si>
  <si>
    <t>余进贤</t>
  </si>
  <si>
    <t>420325197403307335</t>
  </si>
  <si>
    <t>董发祥</t>
  </si>
  <si>
    <t>422626194807167018</t>
  </si>
  <si>
    <t>梁华贤</t>
  </si>
  <si>
    <t>422626197002067013</t>
  </si>
  <si>
    <t>彪虎沟</t>
  </si>
  <si>
    <t>刘安定</t>
  </si>
  <si>
    <t>422626195511087611</t>
  </si>
  <si>
    <t>何建云</t>
  </si>
  <si>
    <t>422626194609307622</t>
  </si>
  <si>
    <t>张友伦</t>
  </si>
  <si>
    <t>422626197502117638</t>
  </si>
  <si>
    <t>虎尾沟</t>
  </si>
  <si>
    <t>黄朝连</t>
  </si>
  <si>
    <t>422626195603257630</t>
  </si>
  <si>
    <t>柯昌仁</t>
  </si>
  <si>
    <t>420325196301217676</t>
  </si>
  <si>
    <t>杨世清</t>
  </si>
  <si>
    <t>422626195508017612</t>
  </si>
  <si>
    <t>方道杨</t>
  </si>
  <si>
    <t>422626197109257618</t>
  </si>
  <si>
    <t>孙长山</t>
  </si>
  <si>
    <t>422626195411057634</t>
  </si>
  <si>
    <t>孙长清</t>
  </si>
  <si>
    <t>422626196111077611</t>
  </si>
  <si>
    <t>孙根仁</t>
  </si>
  <si>
    <t>422626196811047616</t>
  </si>
  <si>
    <t>方天华</t>
  </si>
  <si>
    <t>420325197901027635</t>
  </si>
  <si>
    <t>王治会</t>
  </si>
  <si>
    <t>422626195809207639</t>
  </si>
  <si>
    <t>柯玉文</t>
  </si>
  <si>
    <t>422626196701307616</t>
  </si>
  <si>
    <t>黄坪</t>
  </si>
  <si>
    <t>刘兴格</t>
  </si>
  <si>
    <t>422626196901167611</t>
  </si>
  <si>
    <t>422626196804037612</t>
  </si>
  <si>
    <t>刘安权</t>
  </si>
  <si>
    <t>422626196503097611</t>
  </si>
  <si>
    <t>刘国早</t>
  </si>
  <si>
    <t>42262619610901761X</t>
  </si>
  <si>
    <t>杜昌平</t>
  </si>
  <si>
    <t>42262619740123761433</t>
  </si>
  <si>
    <t>刘兴江</t>
  </si>
  <si>
    <t>422626196411147618</t>
  </si>
  <si>
    <t>422626196508227614</t>
  </si>
  <si>
    <t>李红云</t>
  </si>
  <si>
    <t>42262619650624762X</t>
  </si>
  <si>
    <t>张昌申</t>
  </si>
  <si>
    <t>42262619631220761143</t>
  </si>
  <si>
    <t>422626196903217619</t>
  </si>
  <si>
    <t>张昌正</t>
  </si>
  <si>
    <t>420325196702287616</t>
  </si>
  <si>
    <t>张昌群</t>
  </si>
  <si>
    <t>422626196112057612</t>
  </si>
  <si>
    <t>张龙柱</t>
  </si>
  <si>
    <t>420325198201217678</t>
  </si>
  <si>
    <t>张相文</t>
  </si>
  <si>
    <t>422626197006217613</t>
  </si>
  <si>
    <t>422626196111097612</t>
  </si>
  <si>
    <t>田良道</t>
  </si>
  <si>
    <t>42262619740423761X</t>
  </si>
  <si>
    <t>田良青</t>
  </si>
  <si>
    <t>420325198306187639</t>
  </si>
  <si>
    <t>刘国柱</t>
  </si>
  <si>
    <t>422626195208257614</t>
  </si>
  <si>
    <t>422626196812197616</t>
  </si>
  <si>
    <t>刘安翠</t>
  </si>
  <si>
    <t>422626195503297635</t>
  </si>
  <si>
    <t>刘朝根</t>
  </si>
  <si>
    <t>42032519880919761X</t>
  </si>
  <si>
    <t>422626196710197615</t>
  </si>
  <si>
    <t>刘兴树</t>
  </si>
  <si>
    <t>422626195604137614</t>
  </si>
  <si>
    <t>刘朝银</t>
  </si>
  <si>
    <t>422626196608117615</t>
  </si>
  <si>
    <t>李雄</t>
  </si>
  <si>
    <t>422626197405167617</t>
  </si>
  <si>
    <t>张龙先</t>
  </si>
  <si>
    <t>422626195009027613</t>
  </si>
  <si>
    <t>刘安兴</t>
  </si>
  <si>
    <t>422626195303267618</t>
  </si>
  <si>
    <t>许立武</t>
  </si>
  <si>
    <t>42032519741224767X</t>
  </si>
  <si>
    <t>金牛村</t>
  </si>
  <si>
    <t>胡圣海</t>
  </si>
  <si>
    <t>平沟村</t>
  </si>
  <si>
    <t>毕正云</t>
  </si>
  <si>
    <t>422626195504307620</t>
  </si>
  <si>
    <t>毕正清</t>
  </si>
  <si>
    <t>42262619620120761943</t>
  </si>
  <si>
    <t>张治文</t>
  </si>
  <si>
    <t>422626194812297618</t>
  </si>
  <si>
    <t>吴远文</t>
  </si>
  <si>
    <t>422626195506067616</t>
  </si>
  <si>
    <t>42262619411013761X</t>
  </si>
  <si>
    <t>张文瑞</t>
  </si>
  <si>
    <t>422626195701127610</t>
  </si>
  <si>
    <t>唐瑞兴</t>
  </si>
  <si>
    <t>422626195806077613</t>
  </si>
  <si>
    <t>陈发清</t>
  </si>
  <si>
    <t>郭成元</t>
  </si>
  <si>
    <t>422626196105297618</t>
  </si>
  <si>
    <t>何青元</t>
  </si>
  <si>
    <t>422626195503227610</t>
  </si>
  <si>
    <t>庆口村</t>
  </si>
  <si>
    <t>杜昌勇</t>
  </si>
  <si>
    <t>422626197203217612</t>
  </si>
  <si>
    <t>陈  龙</t>
  </si>
  <si>
    <t>420325199101017315</t>
  </si>
  <si>
    <t>杜达生</t>
  </si>
  <si>
    <t>422626196208177619</t>
  </si>
  <si>
    <t>吴修龙</t>
  </si>
  <si>
    <t>420325197802177638</t>
  </si>
  <si>
    <t>42032519820427765X</t>
  </si>
  <si>
    <t>袁平国</t>
  </si>
  <si>
    <t>422626196106227611</t>
  </si>
  <si>
    <t>袁观禄</t>
  </si>
  <si>
    <t>422626195711017618</t>
  </si>
  <si>
    <t>乔玉祥</t>
  </si>
  <si>
    <t>422626195405037610</t>
  </si>
  <si>
    <t>422626196211067613</t>
  </si>
  <si>
    <t>王  升</t>
  </si>
  <si>
    <t>422626196803157612</t>
  </si>
  <si>
    <t>韩良清</t>
  </si>
  <si>
    <t>袁观超</t>
  </si>
  <si>
    <t>华素银</t>
  </si>
  <si>
    <t>陈同兵</t>
  </si>
  <si>
    <t>422626196301157655</t>
  </si>
  <si>
    <t>屈永东</t>
  </si>
  <si>
    <t>422626197105117618</t>
  </si>
  <si>
    <t>谢朝华</t>
  </si>
  <si>
    <t>420325195602137659</t>
  </si>
  <si>
    <t>屈光芬</t>
  </si>
  <si>
    <t>422626196108247624</t>
  </si>
  <si>
    <t>422626197004127614</t>
  </si>
  <si>
    <t>420325198808297635</t>
  </si>
  <si>
    <t>陈同学</t>
  </si>
  <si>
    <t>422626196311217615</t>
  </si>
  <si>
    <t>屈光胜</t>
  </si>
  <si>
    <t>422626195811267614</t>
  </si>
  <si>
    <t>王太进</t>
  </si>
  <si>
    <t>422626194902287616</t>
  </si>
  <si>
    <t>宁高清</t>
  </si>
  <si>
    <t>422626197106217637</t>
  </si>
  <si>
    <t>谢朝金</t>
  </si>
  <si>
    <t>422626195207227616</t>
  </si>
  <si>
    <t>张昌清</t>
  </si>
  <si>
    <t>422626197004247616</t>
  </si>
  <si>
    <t>杨显明</t>
  </si>
  <si>
    <t>422626194511077611</t>
  </si>
  <si>
    <t>屈光会</t>
  </si>
  <si>
    <t>422626196701067616</t>
  </si>
  <si>
    <t>屈光怀</t>
  </si>
  <si>
    <t>422626195704077612</t>
  </si>
  <si>
    <t>陈同华</t>
  </si>
  <si>
    <t>422626196306297614</t>
  </si>
  <si>
    <t>王寿刚</t>
  </si>
  <si>
    <t>420325198101227617</t>
  </si>
  <si>
    <t>陈金平</t>
  </si>
  <si>
    <t>420325198503117656</t>
  </si>
  <si>
    <t>李昌芝</t>
  </si>
  <si>
    <t>422626196106107628</t>
  </si>
  <si>
    <t>王寿兵</t>
  </si>
  <si>
    <t>422626197205317617</t>
  </si>
  <si>
    <t>陈同山</t>
  </si>
  <si>
    <t>420325197803067633</t>
  </si>
  <si>
    <t>卜天怀</t>
  </si>
  <si>
    <t>422626196808157611</t>
  </si>
  <si>
    <t>杨桥</t>
  </si>
  <si>
    <t>420325198105187616</t>
  </si>
  <si>
    <t>王太成</t>
  </si>
  <si>
    <t>42262619510601761X</t>
  </si>
  <si>
    <t>422626195805057610</t>
  </si>
  <si>
    <t>陈同恕</t>
  </si>
  <si>
    <t>422626196809297632</t>
  </si>
  <si>
    <t>屈光福</t>
  </si>
  <si>
    <t>422626194711247638</t>
  </si>
  <si>
    <t>陈同仁</t>
  </si>
  <si>
    <t>422626195810257617</t>
  </si>
  <si>
    <t>422626196305077644</t>
  </si>
  <si>
    <t>屈常清</t>
  </si>
  <si>
    <t>422626195607097611</t>
  </si>
  <si>
    <t>宁高尚</t>
  </si>
  <si>
    <t>422626194811107632</t>
  </si>
  <si>
    <t>屈常明</t>
  </si>
  <si>
    <t>422626195410037615</t>
  </si>
  <si>
    <t>谢能林</t>
  </si>
  <si>
    <t>42032519760418761611</t>
  </si>
  <si>
    <t>谢能生</t>
  </si>
  <si>
    <t>422626197503077615</t>
  </si>
  <si>
    <t>屈永建</t>
  </si>
  <si>
    <t>420325198110227619</t>
  </si>
  <si>
    <t>屈光悦</t>
  </si>
  <si>
    <t>422626195008227613</t>
  </si>
  <si>
    <t>王太礼</t>
  </si>
  <si>
    <t>422626196512157612</t>
  </si>
  <si>
    <t>杨玉莲</t>
  </si>
  <si>
    <t>422626196611177627</t>
  </si>
  <si>
    <t>屈永军</t>
  </si>
  <si>
    <t>420325197709047636</t>
  </si>
  <si>
    <t>陈同贵</t>
  </si>
  <si>
    <t>422626195711207630</t>
  </si>
  <si>
    <t>陈同明</t>
  </si>
  <si>
    <t>422626195609257615</t>
  </si>
  <si>
    <t>陈同义</t>
  </si>
  <si>
    <t>42262619520922761X</t>
  </si>
  <si>
    <t>白石村</t>
  </si>
  <si>
    <t>杜著雄</t>
  </si>
  <si>
    <t>422626195006207619</t>
  </si>
  <si>
    <t>刘烈平</t>
  </si>
  <si>
    <t>422626196606127617</t>
  </si>
  <si>
    <t>沈崇菊</t>
  </si>
  <si>
    <t>422626195007177626</t>
  </si>
  <si>
    <t>422626197005147617</t>
  </si>
  <si>
    <t>张相友</t>
  </si>
  <si>
    <t>420325197804207677</t>
  </si>
  <si>
    <t>黄邦林</t>
  </si>
  <si>
    <t>422626196503147615</t>
  </si>
  <si>
    <t>张龙梅</t>
  </si>
  <si>
    <t>422626195307047620</t>
  </si>
  <si>
    <t>胡义生</t>
  </si>
  <si>
    <t>422626196907227611</t>
  </si>
  <si>
    <t>唐龙国</t>
  </si>
  <si>
    <t>422626196505257615</t>
  </si>
  <si>
    <t>肖本军</t>
  </si>
  <si>
    <t>420325197809037638</t>
  </si>
  <si>
    <t>唐龙发</t>
  </si>
  <si>
    <t>422626197104227612</t>
  </si>
  <si>
    <t>肖本礼</t>
  </si>
  <si>
    <t>422626194811027616</t>
  </si>
  <si>
    <t>张鹏</t>
  </si>
  <si>
    <t>420325197304207638</t>
  </si>
  <si>
    <t>李乐强</t>
  </si>
  <si>
    <t>420325197911187659</t>
  </si>
  <si>
    <t>胡建生</t>
  </si>
  <si>
    <t>420321195410167815</t>
  </si>
  <si>
    <t>陈平友</t>
  </si>
  <si>
    <t>42262619580511761X</t>
  </si>
  <si>
    <t>陈春建</t>
  </si>
  <si>
    <t>420325197503037635</t>
  </si>
  <si>
    <t>江兴元</t>
  </si>
  <si>
    <t>422626195606157651</t>
  </si>
  <si>
    <t>柯长财</t>
  </si>
  <si>
    <t>薛吉雄</t>
  </si>
  <si>
    <t>422626197502237672</t>
  </si>
  <si>
    <t>李义林</t>
  </si>
  <si>
    <t>422626196704127610</t>
  </si>
  <si>
    <t>李义国</t>
  </si>
  <si>
    <t>422626195309227713</t>
  </si>
  <si>
    <t>薛治龙</t>
  </si>
  <si>
    <t>422626195707317634</t>
  </si>
  <si>
    <t>丰远东</t>
  </si>
  <si>
    <t>422626196505097615</t>
  </si>
  <si>
    <t>吴远久</t>
  </si>
  <si>
    <t>422626195208057639</t>
  </si>
  <si>
    <t>吴吉荣</t>
  </si>
  <si>
    <t>422626196302057648</t>
  </si>
  <si>
    <t>马家坡</t>
  </si>
  <si>
    <t>胡厚全</t>
  </si>
  <si>
    <t>422626195509307611</t>
  </si>
  <si>
    <t>422626195701157617</t>
  </si>
  <si>
    <t>刘兴礼</t>
  </si>
  <si>
    <t>42032519640413761x</t>
  </si>
  <si>
    <t>王先武</t>
  </si>
  <si>
    <t>422626197303227631</t>
  </si>
  <si>
    <t>胡厚明</t>
  </si>
  <si>
    <t>422626195303317611</t>
  </si>
  <si>
    <t>沈从国</t>
  </si>
  <si>
    <t>422626196402027614</t>
  </si>
  <si>
    <t>杜飞</t>
  </si>
  <si>
    <t>422626197205167612</t>
  </si>
  <si>
    <t>422626196909067615</t>
  </si>
  <si>
    <t>王化叶</t>
  </si>
  <si>
    <t>422626196612317628</t>
  </si>
  <si>
    <t>杜大海</t>
  </si>
  <si>
    <t>422626197109207610</t>
  </si>
  <si>
    <t>宋永恒</t>
  </si>
  <si>
    <t>422626195608127616</t>
  </si>
  <si>
    <t>雷景山</t>
  </si>
  <si>
    <t>422626195206077614</t>
  </si>
  <si>
    <t>吴吉甫</t>
  </si>
  <si>
    <t>422626195612167610</t>
  </si>
  <si>
    <t>柯昌地</t>
  </si>
  <si>
    <t>422626196211047639</t>
  </si>
  <si>
    <t>吴吉清</t>
  </si>
  <si>
    <t>422626195603117611</t>
  </si>
  <si>
    <t>李贵云</t>
  </si>
  <si>
    <t>422626195106227625</t>
  </si>
  <si>
    <t>刘国春</t>
  </si>
  <si>
    <t>420325197803287636</t>
  </si>
  <si>
    <t>沈财学</t>
  </si>
  <si>
    <t>422626195506087617</t>
  </si>
  <si>
    <t>沈崇权</t>
  </si>
  <si>
    <t>422626195211277616</t>
  </si>
  <si>
    <t>江文约</t>
  </si>
  <si>
    <t>422626195501207632</t>
  </si>
  <si>
    <t>李世荣</t>
  </si>
  <si>
    <t>422626193007017703</t>
  </si>
  <si>
    <t>沈财荣</t>
  </si>
  <si>
    <t>422626192806117618</t>
  </si>
  <si>
    <t>沈财文</t>
  </si>
  <si>
    <t>422626194311277619</t>
  </si>
  <si>
    <t>沈崇瑞</t>
  </si>
  <si>
    <t>422626195211047618</t>
  </si>
  <si>
    <t>张天喜</t>
  </si>
  <si>
    <t>422626195509097618</t>
  </si>
  <si>
    <t>乔贵清</t>
  </si>
  <si>
    <t>422626195909087611</t>
  </si>
  <si>
    <t>乔付贵</t>
  </si>
  <si>
    <t>422626193510107618</t>
  </si>
  <si>
    <t>乔付全</t>
  </si>
  <si>
    <t>422626194601287618</t>
  </si>
  <si>
    <t>沈才福</t>
  </si>
  <si>
    <t>420325195205097614</t>
  </si>
  <si>
    <t>陈荣春</t>
  </si>
  <si>
    <t>422626195505297655</t>
  </si>
  <si>
    <t>张天万</t>
  </si>
  <si>
    <t>422626194703017613</t>
  </si>
  <si>
    <t>童启保</t>
  </si>
  <si>
    <t>门正汉</t>
  </si>
  <si>
    <t>何文元</t>
  </si>
  <si>
    <t>杜达文</t>
  </si>
  <si>
    <t>何建杨</t>
  </si>
  <si>
    <t>杜大平</t>
  </si>
  <si>
    <t>422626197312067617</t>
  </si>
  <si>
    <t>何立让</t>
  </si>
  <si>
    <t>何仁元</t>
  </si>
  <si>
    <r>
      <rPr>
        <sz val="11"/>
        <rFont val="宋体"/>
        <charset val="134"/>
      </rPr>
      <t>42262619490807761</t>
    </r>
    <r>
      <rPr>
        <sz val="11"/>
        <rFont val="宋体"/>
        <charset val="0"/>
      </rPr>
      <t>×</t>
    </r>
  </si>
  <si>
    <t>何正元</t>
  </si>
  <si>
    <t>何锐</t>
  </si>
  <si>
    <t>42032520001006762X</t>
  </si>
  <si>
    <t>任少成</t>
  </si>
  <si>
    <t>袁成权</t>
  </si>
  <si>
    <t>罗后田</t>
  </si>
  <si>
    <t>张智雨</t>
  </si>
  <si>
    <t>任点海</t>
  </si>
  <si>
    <t>张西江</t>
  </si>
  <si>
    <t>何建文</t>
  </si>
  <si>
    <t>王昌贵</t>
  </si>
  <si>
    <t>422626195910207617</t>
  </si>
  <si>
    <t>陈新兵</t>
  </si>
  <si>
    <t>任少秀</t>
  </si>
  <si>
    <t>杜昌生</t>
  </si>
  <si>
    <t>刘兴涛</t>
  </si>
  <si>
    <t>乔贵合</t>
  </si>
  <si>
    <t>杜昌六</t>
  </si>
  <si>
    <t>张昌平</t>
  </si>
  <si>
    <t>422626197008117616</t>
  </si>
  <si>
    <t>422626195903137614</t>
  </si>
  <si>
    <t>碾盘</t>
  </si>
  <si>
    <t>刘国平</t>
  </si>
  <si>
    <t>422626195809127612</t>
  </si>
  <si>
    <t>二十村</t>
  </si>
  <si>
    <t>谭世保</t>
  </si>
  <si>
    <t>42262619510319811X</t>
  </si>
  <si>
    <t>袁光明</t>
  </si>
  <si>
    <t>42262619641204811X</t>
  </si>
  <si>
    <t>谭华宝</t>
  </si>
  <si>
    <t>42262619641120811844</t>
  </si>
  <si>
    <t>谭华均</t>
  </si>
  <si>
    <t>422626196605308117</t>
  </si>
  <si>
    <t>邹传德</t>
  </si>
  <si>
    <t>422626194701100819</t>
  </si>
  <si>
    <t>袁光禄</t>
  </si>
  <si>
    <t>422626195601288118</t>
  </si>
  <si>
    <t>何明军</t>
  </si>
  <si>
    <t>422626197210308117</t>
  </si>
  <si>
    <t>420325197805188121</t>
  </si>
  <si>
    <t>赵元文</t>
  </si>
  <si>
    <t>422626194207158118</t>
  </si>
  <si>
    <t>杨明声</t>
  </si>
  <si>
    <t>422626196804018112</t>
  </si>
  <si>
    <t>邵自树</t>
  </si>
  <si>
    <t>422626194104158115</t>
  </si>
  <si>
    <t>张顺华</t>
  </si>
  <si>
    <t>422626195804118119</t>
  </si>
  <si>
    <t>散先成</t>
  </si>
  <si>
    <t>422626196401298113</t>
  </si>
  <si>
    <t>陈世坤</t>
  </si>
  <si>
    <t>422626196207158117</t>
  </si>
  <si>
    <t>422626194804178117</t>
  </si>
  <si>
    <t>王理友</t>
  </si>
  <si>
    <t>422626195101148119</t>
  </si>
  <si>
    <t>张祖柱</t>
  </si>
  <si>
    <t>42262619620526811X</t>
  </si>
  <si>
    <t>郭春发</t>
  </si>
  <si>
    <t>422626194903098171</t>
  </si>
  <si>
    <t>陈世举</t>
  </si>
  <si>
    <t>422626196102198112</t>
  </si>
  <si>
    <t>郭春华</t>
  </si>
  <si>
    <t>422626196405028110</t>
  </si>
  <si>
    <t>金开元</t>
  </si>
  <si>
    <t>422626195702038118</t>
  </si>
  <si>
    <t>谢雄兵</t>
  </si>
  <si>
    <t>422626196812268111</t>
  </si>
  <si>
    <t>刘荣华</t>
  </si>
  <si>
    <t>422626196404158116</t>
  </si>
  <si>
    <t>张立云</t>
  </si>
  <si>
    <t>422626197212138123</t>
  </si>
  <si>
    <t>高艳</t>
  </si>
  <si>
    <t>420325197505214244</t>
  </si>
  <si>
    <t>杨明梅</t>
  </si>
  <si>
    <t>422626196402148125</t>
  </si>
  <si>
    <t>陈继军</t>
  </si>
  <si>
    <t>420325197905198116</t>
  </si>
  <si>
    <t>陈世敏</t>
  </si>
  <si>
    <t>422626195701104232</t>
  </si>
  <si>
    <t>曾渊龙</t>
  </si>
  <si>
    <t>422626196802148116</t>
  </si>
  <si>
    <t>张忠奎</t>
  </si>
  <si>
    <t>422626197301118116</t>
  </si>
  <si>
    <t>刘行明</t>
  </si>
  <si>
    <t>422626197211098115</t>
  </si>
  <si>
    <t>陈世汗</t>
  </si>
  <si>
    <t>422626194906138116</t>
  </si>
  <si>
    <t>李明福</t>
  </si>
  <si>
    <t>422626197202108115</t>
  </si>
  <si>
    <t>陈道军</t>
  </si>
  <si>
    <t>422626197301284210</t>
  </si>
  <si>
    <t>张祖旭</t>
  </si>
  <si>
    <t>422626194902258110</t>
  </si>
  <si>
    <t>杜世举</t>
  </si>
  <si>
    <t>422626197201228115</t>
  </si>
  <si>
    <t>张铭</t>
  </si>
  <si>
    <t>42262619751104811X</t>
  </si>
  <si>
    <t>熊志财</t>
  </si>
  <si>
    <t>422626195603308119</t>
  </si>
  <si>
    <t>杜光先</t>
  </si>
  <si>
    <t>42262619461127813833</t>
  </si>
  <si>
    <t>李永成</t>
  </si>
  <si>
    <t>422626196406108112</t>
  </si>
  <si>
    <t>红星村3组</t>
  </si>
  <si>
    <t>孟承先</t>
  </si>
  <si>
    <t>422626193406078116</t>
  </si>
  <si>
    <t>谭华成</t>
  </si>
  <si>
    <t>42262619400312811X</t>
  </si>
  <si>
    <t>苏学海</t>
  </si>
  <si>
    <t>42262619640412811X</t>
  </si>
  <si>
    <t>熊国柱</t>
  </si>
  <si>
    <t>42262619490211811813</t>
  </si>
  <si>
    <t>杨金辉</t>
  </si>
  <si>
    <t>422626196604048114</t>
  </si>
  <si>
    <t>肖学安</t>
  </si>
  <si>
    <t>422626194407158139</t>
  </si>
  <si>
    <t>42262619561204811X</t>
  </si>
  <si>
    <t>李龙</t>
  </si>
  <si>
    <t>420325198403088114</t>
  </si>
  <si>
    <t>谭荣文</t>
  </si>
  <si>
    <t>422626197601258110</t>
  </si>
  <si>
    <t>孟必英</t>
  </si>
  <si>
    <t>422626193803228122</t>
  </si>
  <si>
    <t>孟立祥</t>
  </si>
  <si>
    <t>422626195712118111</t>
  </si>
  <si>
    <t>张成兵</t>
  </si>
  <si>
    <t>422626196805198119</t>
  </si>
  <si>
    <t>孟成江</t>
  </si>
  <si>
    <t>420325197705118118</t>
  </si>
  <si>
    <t>王启家</t>
  </si>
  <si>
    <t>422626194806178110</t>
  </si>
  <si>
    <t>422626196404018121</t>
  </si>
  <si>
    <t>张永根</t>
  </si>
  <si>
    <t>422626194804028119</t>
  </si>
  <si>
    <t>张华停</t>
  </si>
  <si>
    <t>42262619500823811X44</t>
  </si>
  <si>
    <t>孟立平</t>
  </si>
  <si>
    <t>42262619720428811343</t>
  </si>
  <si>
    <t>王明英</t>
  </si>
  <si>
    <t>420325196912188122</t>
  </si>
  <si>
    <t>黄继武</t>
  </si>
  <si>
    <t>422626194107148115</t>
  </si>
  <si>
    <t>孟成兵</t>
  </si>
  <si>
    <t>422626196603248114</t>
  </si>
  <si>
    <t>422626197304228118</t>
  </si>
  <si>
    <t>程学龙</t>
  </si>
  <si>
    <t>42262619691009811X</t>
  </si>
  <si>
    <t>王小丽</t>
  </si>
  <si>
    <t>420325199012058123</t>
  </si>
  <si>
    <t>杨太龙</t>
  </si>
  <si>
    <t>422626195512058118</t>
  </si>
  <si>
    <t>程长生</t>
  </si>
  <si>
    <t>42262619521201811444</t>
  </si>
  <si>
    <t>李兴贵</t>
  </si>
  <si>
    <t>42262619550222811X</t>
  </si>
  <si>
    <t>422626197512228112</t>
  </si>
  <si>
    <t>罗青山</t>
  </si>
  <si>
    <t>422626197302138119</t>
  </si>
  <si>
    <t>黄继明</t>
  </si>
  <si>
    <t>422626195903108119</t>
  </si>
  <si>
    <t>雷华科</t>
  </si>
  <si>
    <t>422626195711138110</t>
  </si>
  <si>
    <t>杨东芝</t>
  </si>
  <si>
    <t>42262619701215208643</t>
  </si>
  <si>
    <t>肖店军</t>
  </si>
  <si>
    <t>422626197404048114</t>
  </si>
  <si>
    <t>冯道成</t>
  </si>
  <si>
    <t>422626196802138110</t>
  </si>
  <si>
    <t>422626197009088116</t>
  </si>
  <si>
    <t>程学友</t>
  </si>
  <si>
    <t>422626196201218115</t>
  </si>
  <si>
    <t>张承梅</t>
  </si>
  <si>
    <t>422626197112098128</t>
  </si>
  <si>
    <t>王能成</t>
  </si>
  <si>
    <t>42262619631227811044</t>
  </si>
  <si>
    <t>孟成杰</t>
  </si>
  <si>
    <t>422626195011098111</t>
  </si>
  <si>
    <t>孟立春</t>
  </si>
  <si>
    <t>422626197104078119</t>
  </si>
  <si>
    <t>任全忠·</t>
  </si>
  <si>
    <t>422626195804198112</t>
  </si>
  <si>
    <t>陈绍禄</t>
  </si>
  <si>
    <t>422626195509258119</t>
  </si>
  <si>
    <t>洪运军</t>
  </si>
  <si>
    <t>42262619620613811424</t>
  </si>
  <si>
    <t>杨太运</t>
  </si>
  <si>
    <t>422626194212138111</t>
  </si>
  <si>
    <t>李江</t>
  </si>
  <si>
    <t>422626196911068115</t>
  </si>
  <si>
    <t>陈炳先</t>
  </si>
  <si>
    <t>422626197103208110</t>
  </si>
  <si>
    <t>刘绍英</t>
  </si>
  <si>
    <t>422626195706218124</t>
  </si>
  <si>
    <t>汪永贵</t>
  </si>
  <si>
    <t>422626194708028119</t>
  </si>
  <si>
    <t>袁忠海</t>
  </si>
  <si>
    <t>422626196405248113</t>
  </si>
  <si>
    <t>程传宏</t>
  </si>
  <si>
    <t>422626195808318118</t>
  </si>
  <si>
    <t>张承英</t>
  </si>
  <si>
    <t>42262619520924812X</t>
  </si>
  <si>
    <t>422626195903178117</t>
  </si>
  <si>
    <t>温金如</t>
  </si>
  <si>
    <t>420325198202148117</t>
  </si>
  <si>
    <t>谭华涛</t>
  </si>
  <si>
    <t>42262619581122813X</t>
  </si>
  <si>
    <t>李强</t>
  </si>
  <si>
    <t>420325197712268114</t>
  </si>
  <si>
    <t>李建军</t>
  </si>
  <si>
    <t>422626197111268113</t>
  </si>
  <si>
    <t>422626196705288117</t>
  </si>
  <si>
    <t>张福生</t>
  </si>
  <si>
    <t>422626197410298312</t>
  </si>
  <si>
    <t>宋昌富</t>
  </si>
  <si>
    <t>422626194811118112</t>
  </si>
  <si>
    <t>420325197608188114</t>
  </si>
  <si>
    <t>李长悦</t>
  </si>
  <si>
    <t>422626194911158111</t>
  </si>
  <si>
    <t>王能兵</t>
  </si>
  <si>
    <t>422626196601188111</t>
  </si>
  <si>
    <t>黄继珍</t>
  </si>
  <si>
    <t>42262619621023812644</t>
  </si>
  <si>
    <t>黄立炳</t>
  </si>
  <si>
    <t>42262619750427811X</t>
  </si>
  <si>
    <t>张福军</t>
  </si>
  <si>
    <t>42032519720219811X</t>
  </si>
  <si>
    <t>冯道林</t>
  </si>
  <si>
    <t>422626197106108115</t>
  </si>
  <si>
    <t>42262619500701811514</t>
  </si>
  <si>
    <t>任士群</t>
  </si>
  <si>
    <t>420325197512068134</t>
  </si>
  <si>
    <t>程学义</t>
  </si>
  <si>
    <t>422626196811148118</t>
  </si>
  <si>
    <t>马运珍</t>
  </si>
  <si>
    <t>422626194807248125</t>
  </si>
  <si>
    <t>李昌龙</t>
  </si>
  <si>
    <t>42262619651101811923</t>
  </si>
  <si>
    <t>张万学</t>
  </si>
  <si>
    <t>422626194406068115</t>
  </si>
  <si>
    <t>徐道友</t>
  </si>
  <si>
    <t>422626195608138112</t>
  </si>
  <si>
    <t>马永成</t>
  </si>
  <si>
    <t>422626196210038116</t>
  </si>
  <si>
    <t>段全阳</t>
  </si>
  <si>
    <t>42262619680320811743</t>
  </si>
  <si>
    <t>杨荣辉</t>
  </si>
  <si>
    <t>422626196104078114</t>
  </si>
  <si>
    <t>陈明山</t>
  </si>
  <si>
    <t>422626194611278111</t>
  </si>
  <si>
    <t>龚文兵</t>
  </si>
  <si>
    <t>420325198112288116</t>
  </si>
  <si>
    <t>陈玉平</t>
  </si>
  <si>
    <t>422626197107268129</t>
  </si>
  <si>
    <t>422626197301218117</t>
  </si>
  <si>
    <t>赵明全</t>
  </si>
  <si>
    <t>422626196201188112</t>
  </si>
  <si>
    <t>42262619661006811113</t>
  </si>
  <si>
    <t>422626194409148110</t>
  </si>
  <si>
    <t>金兴江</t>
  </si>
  <si>
    <t>422626194511218111</t>
  </si>
  <si>
    <t>郭乐银</t>
  </si>
  <si>
    <t>422626194105018114</t>
  </si>
  <si>
    <t>任世海</t>
  </si>
  <si>
    <t>42262619571102811452</t>
  </si>
  <si>
    <t>任世平</t>
  </si>
  <si>
    <t>42032519760908811543</t>
  </si>
  <si>
    <t>赵胜华</t>
  </si>
  <si>
    <t>422626197111038115</t>
  </si>
  <si>
    <t>422626193809178111</t>
  </si>
  <si>
    <t>谢秀珍</t>
  </si>
  <si>
    <t>422626196903068123</t>
  </si>
  <si>
    <t>车福尤</t>
  </si>
  <si>
    <t>422626196002041572</t>
  </si>
  <si>
    <t>李发英</t>
  </si>
  <si>
    <t>42262619501109812X</t>
  </si>
  <si>
    <t>任世柱</t>
  </si>
  <si>
    <t>422626194708188112</t>
  </si>
  <si>
    <t>422626195506068117</t>
  </si>
  <si>
    <t>陈永乐</t>
  </si>
  <si>
    <t>42032519830530811X</t>
  </si>
  <si>
    <t>陈从明</t>
  </si>
  <si>
    <t>422626194804228110</t>
  </si>
  <si>
    <t>任秀兰</t>
  </si>
  <si>
    <t>42262619341125812X</t>
  </si>
  <si>
    <t>李宏宝</t>
  </si>
  <si>
    <t>422626196205138112</t>
  </si>
  <si>
    <t>程学武</t>
  </si>
  <si>
    <t>422626194202118117</t>
  </si>
  <si>
    <t>徐道兵</t>
  </si>
  <si>
    <t>420325196509148139</t>
  </si>
  <si>
    <t>420325197703218115</t>
  </si>
  <si>
    <t>422626194106188115</t>
  </si>
  <si>
    <t>张祖军</t>
  </si>
  <si>
    <t>422626196212238111</t>
  </si>
  <si>
    <t>42262619270725811612</t>
  </si>
  <si>
    <t>储龙海</t>
  </si>
  <si>
    <t>422626196210288115</t>
  </si>
  <si>
    <t>杨光银</t>
  </si>
  <si>
    <t>422626193012238113</t>
  </si>
  <si>
    <t>潘华兵</t>
  </si>
  <si>
    <t>422626197005058112</t>
  </si>
  <si>
    <t>段德良</t>
  </si>
  <si>
    <t>422626195009288119</t>
  </si>
  <si>
    <t>张泽寿</t>
  </si>
  <si>
    <t>42262619580317811X</t>
  </si>
  <si>
    <t>422626193412098121</t>
  </si>
  <si>
    <t>卢广秀</t>
  </si>
  <si>
    <t>422626195708078129</t>
  </si>
  <si>
    <t>422626196911028113</t>
  </si>
  <si>
    <t>李发运</t>
  </si>
  <si>
    <t>422626196409248110</t>
  </si>
  <si>
    <t>卢明贵</t>
  </si>
  <si>
    <t>42262619380526811X</t>
  </si>
  <si>
    <t>刘运平</t>
  </si>
  <si>
    <t>422626197206258110</t>
  </si>
  <si>
    <t>饶兴成</t>
  </si>
  <si>
    <t>422626197007218116</t>
  </si>
  <si>
    <t>420325197510258161</t>
  </si>
  <si>
    <t>马应林</t>
  </si>
  <si>
    <t>422626195307258110</t>
  </si>
  <si>
    <t>潘才佑</t>
  </si>
  <si>
    <t>422626193310208115</t>
  </si>
  <si>
    <t>卢定福</t>
  </si>
  <si>
    <t>422626196410318112</t>
  </si>
  <si>
    <t>徐道建</t>
  </si>
  <si>
    <t>422626197109158118</t>
  </si>
  <si>
    <t>谭荣福</t>
  </si>
  <si>
    <t>422626196803298116</t>
  </si>
  <si>
    <t>420325197301168119</t>
  </si>
  <si>
    <t>刘超</t>
  </si>
  <si>
    <t>420325197302238131</t>
  </si>
  <si>
    <t>唐守纪</t>
  </si>
  <si>
    <t>422626193602108116</t>
  </si>
  <si>
    <t>邓子华</t>
  </si>
  <si>
    <t>422626195912038116</t>
  </si>
  <si>
    <t>将安云</t>
  </si>
  <si>
    <t>422626194802098121</t>
  </si>
  <si>
    <t>陈广华</t>
  </si>
  <si>
    <t>42262619420727811X</t>
  </si>
  <si>
    <t>程学生</t>
  </si>
  <si>
    <t>422626196504138112</t>
  </si>
  <si>
    <t>422626196708278117</t>
  </si>
  <si>
    <t>潘华全</t>
  </si>
  <si>
    <t>422626195804178111</t>
  </si>
  <si>
    <t>郭道炳</t>
  </si>
  <si>
    <t>422626196612148115</t>
  </si>
  <si>
    <t>孟巧丽</t>
  </si>
  <si>
    <t>42262619660130812811</t>
  </si>
  <si>
    <t>杜大梅</t>
  </si>
  <si>
    <t>422626196703180620</t>
  </si>
  <si>
    <t>熊胜帮</t>
  </si>
  <si>
    <t>42262619431012811X</t>
  </si>
  <si>
    <t>段德奎</t>
  </si>
  <si>
    <t>422626194803048118</t>
  </si>
  <si>
    <t>沈秀华</t>
  </si>
  <si>
    <t>422626196812088110</t>
  </si>
  <si>
    <t>曹玉华</t>
  </si>
  <si>
    <t>422626196904108123</t>
  </si>
  <si>
    <t>杨明辉</t>
  </si>
  <si>
    <t>422626195312238130</t>
  </si>
  <si>
    <t>宋昌银</t>
  </si>
  <si>
    <t>42262619520815811443</t>
  </si>
  <si>
    <t>李发兵</t>
  </si>
  <si>
    <t>422626196703108119</t>
  </si>
  <si>
    <t>邓子堂</t>
  </si>
  <si>
    <t>422626194803148119</t>
  </si>
  <si>
    <t>任志根</t>
  </si>
  <si>
    <t>422626197203198116</t>
  </si>
  <si>
    <t>程晓军</t>
  </si>
  <si>
    <t>420325198104138134</t>
  </si>
  <si>
    <t>张运海</t>
  </si>
  <si>
    <t>422626194201208110</t>
  </si>
  <si>
    <t>黄清友</t>
  </si>
  <si>
    <t>42262619620729811X</t>
  </si>
  <si>
    <t>程刚</t>
  </si>
  <si>
    <t>420325197705258110</t>
  </si>
  <si>
    <t>唐艳华</t>
  </si>
  <si>
    <t>420325197204178120</t>
  </si>
  <si>
    <t>龚文军</t>
  </si>
  <si>
    <t>422626197409278111</t>
  </si>
  <si>
    <t>陈雪琴</t>
  </si>
  <si>
    <t>42032519790130812X</t>
  </si>
  <si>
    <t>宋瑞军</t>
  </si>
  <si>
    <t>422626197308298113</t>
  </si>
  <si>
    <t>王全福</t>
  </si>
  <si>
    <t>422626194511068117</t>
  </si>
  <si>
    <t>张开科</t>
  </si>
  <si>
    <t>42262619411201811212</t>
  </si>
  <si>
    <t>任志明</t>
  </si>
  <si>
    <t>420325197501108110</t>
  </si>
  <si>
    <t>42032519590406813432</t>
  </si>
  <si>
    <t>杨志辉</t>
  </si>
  <si>
    <t>422626197112058118</t>
  </si>
  <si>
    <t>杜天梅</t>
  </si>
  <si>
    <t>422626196710211122</t>
  </si>
  <si>
    <t>李宏建</t>
  </si>
  <si>
    <t>422626195411308114</t>
  </si>
  <si>
    <t>谭祥军</t>
  </si>
  <si>
    <t>42262619660319811052</t>
  </si>
  <si>
    <t>杨会华</t>
  </si>
  <si>
    <t>422626195101298125</t>
  </si>
  <si>
    <t>温中红</t>
  </si>
  <si>
    <t>422626196908288125</t>
  </si>
  <si>
    <t>任志兵</t>
  </si>
  <si>
    <t>422626197209198117</t>
  </si>
  <si>
    <t>邹琴</t>
  </si>
  <si>
    <t>422626197103258142</t>
  </si>
  <si>
    <t>程道林</t>
  </si>
  <si>
    <t>42032519780518813X</t>
  </si>
  <si>
    <t>赵明达</t>
  </si>
  <si>
    <t>42262619710521811X</t>
  </si>
  <si>
    <t>李发成</t>
  </si>
  <si>
    <t>422626195401308110</t>
  </si>
  <si>
    <t>沈秀珍</t>
  </si>
  <si>
    <t>420325195402018129</t>
  </si>
  <si>
    <t>唐守福</t>
  </si>
  <si>
    <t>422626193306168114</t>
  </si>
  <si>
    <t>陈明全</t>
  </si>
  <si>
    <t>422626195312238114</t>
  </si>
  <si>
    <t>任世伟</t>
  </si>
  <si>
    <t>422626194908118119</t>
  </si>
  <si>
    <t>刘运选</t>
  </si>
  <si>
    <t>422626196406188116</t>
  </si>
  <si>
    <t>任世国</t>
  </si>
  <si>
    <t>422626197209298118</t>
  </si>
  <si>
    <t>任士军</t>
  </si>
  <si>
    <t>42262619311016811212</t>
  </si>
  <si>
    <t>谭荣军</t>
  </si>
  <si>
    <t>420325197603248114</t>
  </si>
  <si>
    <t>李太安</t>
  </si>
  <si>
    <t>422626195810178118</t>
  </si>
  <si>
    <t>李发良</t>
  </si>
  <si>
    <t>42262619620427811343</t>
  </si>
  <si>
    <t>李宏军</t>
  </si>
  <si>
    <t>422626197105298113</t>
  </si>
  <si>
    <t>杨光付</t>
  </si>
  <si>
    <t>422626193111088114</t>
  </si>
  <si>
    <t>任志林</t>
  </si>
  <si>
    <t>422626196601298118</t>
  </si>
  <si>
    <t>422626196907208111</t>
  </si>
  <si>
    <t>马永海</t>
  </si>
  <si>
    <t>420325197403168136</t>
  </si>
  <si>
    <t>422626196912258113</t>
  </si>
  <si>
    <t>郭乐贵</t>
  </si>
  <si>
    <t>422626195507268110</t>
  </si>
  <si>
    <t>黑獐村</t>
  </si>
  <si>
    <t>钱贯友</t>
  </si>
  <si>
    <t>42262619530625151531</t>
  </si>
  <si>
    <t>钱贯才</t>
  </si>
  <si>
    <t>42032519480621155331</t>
  </si>
  <si>
    <t>422626195112031557</t>
  </si>
  <si>
    <t>周正山</t>
  </si>
  <si>
    <t>42032519541027151131</t>
  </si>
  <si>
    <t>彭良友</t>
  </si>
  <si>
    <t>422626193811111530</t>
  </si>
  <si>
    <t>袁宗江</t>
  </si>
  <si>
    <t>422626196812078158</t>
  </si>
  <si>
    <t>周正义</t>
  </si>
  <si>
    <t>422626194610021517</t>
  </si>
  <si>
    <t>陈满堂</t>
  </si>
  <si>
    <t>422626194811041530</t>
  </si>
  <si>
    <t>龚元胜</t>
  </si>
  <si>
    <t>42262619591124153444</t>
  </si>
  <si>
    <t>张英亭</t>
  </si>
  <si>
    <t>422626195410091515</t>
  </si>
  <si>
    <t>陈等堂</t>
  </si>
  <si>
    <t>42262619540717151444</t>
  </si>
  <si>
    <t>吕相成</t>
  </si>
  <si>
    <t>422626195805101511</t>
  </si>
  <si>
    <t>雷冬科</t>
  </si>
  <si>
    <t>422626196411071510</t>
  </si>
  <si>
    <t>红旗村</t>
  </si>
  <si>
    <t>何贵元</t>
  </si>
  <si>
    <t>422626194004068112</t>
  </si>
  <si>
    <t>邓桂英</t>
  </si>
  <si>
    <t>422626193610028124</t>
  </si>
  <si>
    <t>黄立兴</t>
  </si>
  <si>
    <t>422626195811308113</t>
  </si>
  <si>
    <t>42262619351207811X</t>
  </si>
  <si>
    <t>李泽海</t>
  </si>
  <si>
    <t>420325194607277912</t>
  </si>
  <si>
    <t>刘义发</t>
  </si>
  <si>
    <t>420325196911297917</t>
  </si>
  <si>
    <t>王昌富</t>
  </si>
  <si>
    <t>42032519611104791X</t>
  </si>
  <si>
    <t>代明权</t>
  </si>
  <si>
    <t>42032519590610791834</t>
  </si>
  <si>
    <t>红场村二组</t>
  </si>
  <si>
    <t>陈永电</t>
  </si>
  <si>
    <t>422626194607267911</t>
  </si>
  <si>
    <t>高明宏</t>
  </si>
  <si>
    <t>422626195709117919</t>
  </si>
  <si>
    <t>陈益陆</t>
  </si>
  <si>
    <t>42262619630308791044</t>
  </si>
  <si>
    <t>党天秀</t>
  </si>
  <si>
    <t>422626193202267927</t>
  </si>
  <si>
    <t>陈元龙</t>
  </si>
  <si>
    <t>422626196305027911</t>
  </si>
  <si>
    <t>余春洲</t>
  </si>
  <si>
    <t>422626195512067911</t>
  </si>
  <si>
    <t>王成业</t>
  </si>
  <si>
    <t>422626197205227910</t>
  </si>
  <si>
    <t>王霖</t>
  </si>
  <si>
    <t>422626197710277919</t>
  </si>
  <si>
    <t>张家陆</t>
  </si>
  <si>
    <t>422626196603037915</t>
  </si>
  <si>
    <t>红场村三组</t>
  </si>
  <si>
    <t>张理文</t>
  </si>
  <si>
    <t>422626193505057919</t>
  </si>
  <si>
    <t>张家荣</t>
  </si>
  <si>
    <t>42032519711126791743</t>
  </si>
  <si>
    <t>胡存贵</t>
  </si>
  <si>
    <t>422626195911227919</t>
  </si>
  <si>
    <t>胡太祥</t>
  </si>
  <si>
    <t>422626196407137919</t>
  </si>
  <si>
    <t>张吉月</t>
  </si>
  <si>
    <t>42262619360704792244</t>
  </si>
  <si>
    <t>党正文</t>
  </si>
  <si>
    <t>422626195212117913</t>
  </si>
  <si>
    <t>胡晓敏</t>
  </si>
  <si>
    <t>42032519890616792231</t>
  </si>
  <si>
    <t>胡林祥</t>
  </si>
  <si>
    <t>422626195305277916</t>
  </si>
  <si>
    <t>胡存陆</t>
  </si>
  <si>
    <t>422626196201107917</t>
  </si>
  <si>
    <t>郭怀田</t>
  </si>
  <si>
    <t>42032519631102791333</t>
  </si>
  <si>
    <t>高明良</t>
  </si>
  <si>
    <t>422626195509257917</t>
  </si>
  <si>
    <t>王举才</t>
  </si>
  <si>
    <t>422626194412127919</t>
  </si>
  <si>
    <t>陈永发</t>
  </si>
  <si>
    <t>422626196206067918</t>
  </si>
  <si>
    <t>李金平</t>
  </si>
  <si>
    <t>420325195302127918</t>
  </si>
  <si>
    <t>余春林</t>
  </si>
  <si>
    <t>422626195803017914</t>
  </si>
  <si>
    <t>金牛寺村五组</t>
  </si>
  <si>
    <t>余林春</t>
  </si>
  <si>
    <t>422626195311197912</t>
  </si>
  <si>
    <t>422626196308127918</t>
  </si>
  <si>
    <t>王平川</t>
  </si>
  <si>
    <t>420325197610087910</t>
  </si>
</sst>
</file>

<file path=xl/styles.xml><?xml version="1.0" encoding="utf-8"?>
<styleSheet xmlns="http://schemas.openxmlformats.org/spreadsheetml/2006/main">
  <numFmts count="7">
    <numFmt numFmtId="176" formatCode="0.00_);[Red]\(0.00\)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00000"/>
    <numFmt numFmtId="178" formatCode="0_ "/>
  </numFmts>
  <fonts count="40">
    <font>
      <sz val="11"/>
      <color theme="1"/>
      <name val="宋体"/>
      <charset val="134"/>
      <scheme val="minor"/>
    </font>
    <font>
      <sz val="18"/>
      <color theme="1"/>
      <name val="方正小标宋_GBK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name val="宋体"/>
      <charset val="0"/>
      <scheme val="minor"/>
    </font>
    <font>
      <sz val="10"/>
      <name val="宋体"/>
      <charset val="134"/>
    </font>
    <font>
      <sz val="10"/>
      <name val="SansSerif"/>
      <charset val="0"/>
    </font>
    <font>
      <sz val="9"/>
      <name val="Verdana"/>
      <charset val="0"/>
    </font>
    <font>
      <sz val="9"/>
      <name val="SansSerif"/>
      <charset val="0"/>
    </font>
    <font>
      <sz val="12"/>
      <name val="宋体"/>
      <charset val="0"/>
    </font>
    <font>
      <sz val="10"/>
      <name val="宋体"/>
      <charset val="134"/>
      <scheme val="minor"/>
    </font>
    <font>
      <sz val="10"/>
      <name val="宋体"/>
      <charset val="0"/>
    </font>
    <font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0"/>
    </font>
    <font>
      <u/>
      <sz val="18"/>
      <color theme="1"/>
      <name val="方正小标宋_GBK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sz val="11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1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9" fillId="1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0" borderId="4" applyNumberFormat="0" applyFont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2" fillId="5" borderId="2" applyNumberFormat="0" applyAlignment="0" applyProtection="0">
      <alignment vertical="center"/>
    </xf>
    <xf numFmtId="0" fontId="34" fillId="5" borderId="7" applyNumberFormat="0" applyAlignment="0" applyProtection="0">
      <alignment vertical="center"/>
    </xf>
    <xf numFmtId="0" fontId="32" fillId="22" borderId="8" applyNumberFormat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1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8" fillId="0" borderId="0">
      <alignment vertical="center"/>
    </xf>
    <xf numFmtId="0" fontId="2" fillId="0" borderId="0">
      <alignment vertical="center"/>
    </xf>
    <xf numFmtId="0" fontId="37" fillId="0" borderId="0"/>
    <xf numFmtId="0" fontId="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36" fillId="0" borderId="0"/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/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/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36" fillId="0" borderId="0"/>
    <xf numFmtId="0" fontId="0" fillId="0" borderId="0"/>
    <xf numFmtId="0" fontId="36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37" fillId="0" borderId="0"/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0"/>
    <xf numFmtId="0" fontId="36" fillId="0" borderId="0"/>
    <xf numFmtId="0" fontId="2" fillId="0" borderId="0">
      <alignment vertical="center"/>
    </xf>
  </cellStyleXfs>
  <cellXfs count="17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" fillId="0" borderId="1" xfId="64" applyFont="1" applyFill="1" applyBorder="1" applyAlignment="1">
      <alignment horizontal="center" vertical="center"/>
    </xf>
    <xf numFmtId="0" fontId="3" fillId="0" borderId="1" xfId="64" applyNumberFormat="1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 wrapText="1"/>
    </xf>
    <xf numFmtId="0" fontId="3" fillId="0" borderId="1" xfId="63" applyFont="1" applyFill="1" applyBorder="1" applyAlignment="1">
      <alignment horizontal="center" vertical="center"/>
    </xf>
    <xf numFmtId="0" fontId="3" fillId="0" borderId="1" xfId="69" applyFont="1" applyFill="1" applyBorder="1" applyAlignment="1">
      <alignment horizontal="center" vertical="center"/>
    </xf>
    <xf numFmtId="49" fontId="3" fillId="0" borderId="1" xfId="78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top" wrapText="1"/>
    </xf>
    <xf numFmtId="0" fontId="3" fillId="0" borderId="1" xfId="58" applyFont="1" applyFill="1" applyBorder="1" applyAlignment="1">
      <alignment horizontal="center" vertical="center"/>
    </xf>
    <xf numFmtId="0" fontId="3" fillId="0" borderId="1" xfId="74" applyFont="1" applyFill="1" applyBorder="1" applyAlignment="1" applyProtection="1">
      <alignment horizontal="center" vertical="center" wrapText="1"/>
    </xf>
    <xf numFmtId="49" fontId="3" fillId="0" borderId="1" xfId="58" applyNumberFormat="1" applyFont="1" applyFill="1" applyBorder="1" applyAlignment="1">
      <alignment horizontal="center" vertical="center"/>
    </xf>
    <xf numFmtId="0" fontId="3" fillId="0" borderId="1" xfId="76" applyFont="1" applyFill="1" applyBorder="1" applyAlignment="1">
      <alignment horizontal="center" vertical="center" wrapText="1"/>
    </xf>
    <xf numFmtId="0" fontId="3" fillId="0" borderId="1" xfId="69" applyFont="1" applyFill="1" applyBorder="1" applyAlignment="1" applyProtection="1">
      <alignment horizontal="center" vertical="center" wrapText="1"/>
    </xf>
    <xf numFmtId="0" fontId="3" fillId="0" borderId="1" xfId="58" applyNumberFormat="1" applyFont="1" applyFill="1" applyBorder="1" applyAlignment="1">
      <alignment horizontal="center" vertical="center"/>
    </xf>
    <xf numFmtId="0" fontId="3" fillId="0" borderId="1" xfId="76" applyFont="1" applyFill="1" applyBorder="1" applyAlignment="1">
      <alignment horizontal="center" vertical="center"/>
    </xf>
    <xf numFmtId="49" fontId="3" fillId="0" borderId="1" xfId="76" applyNumberFormat="1" applyFont="1" applyFill="1" applyBorder="1" applyAlignment="1">
      <alignment horizontal="center" vertical="center"/>
    </xf>
    <xf numFmtId="0" fontId="3" fillId="0" borderId="1" xfId="63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3" fillId="0" borderId="1" xfId="63" applyNumberFormat="1" applyFont="1" applyFill="1" applyBorder="1" applyAlignment="1" applyProtection="1">
      <alignment horizontal="center" vertical="center"/>
    </xf>
    <xf numFmtId="0" fontId="3" fillId="0" borderId="1" xfId="76" applyNumberFormat="1" applyFont="1" applyFill="1" applyBorder="1" applyAlignment="1">
      <alignment horizontal="center" vertical="center"/>
    </xf>
    <xf numFmtId="0" fontId="3" fillId="0" borderId="1" xfId="58" applyFont="1" applyFill="1" applyBorder="1" applyAlignment="1" applyProtection="1">
      <alignment horizontal="center" vertical="center"/>
    </xf>
    <xf numFmtId="49" fontId="3" fillId="0" borderId="1" xfId="58" applyNumberFormat="1" applyFont="1" applyFill="1" applyBorder="1" applyAlignment="1" applyProtection="1">
      <alignment horizontal="center" vertical="center"/>
    </xf>
    <xf numFmtId="0" fontId="3" fillId="0" borderId="1" xfId="81" applyFont="1" applyFill="1" applyBorder="1" applyAlignment="1">
      <alignment horizontal="center" vertical="center" wrapText="1"/>
    </xf>
    <xf numFmtId="0" fontId="3" fillId="0" borderId="1" xfId="7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1" xfId="63" applyFont="1" applyFill="1" applyBorder="1" applyAlignment="1">
      <alignment horizontal="center" wrapText="1"/>
    </xf>
    <xf numFmtId="0" fontId="3" fillId="0" borderId="1" xfId="88" applyFont="1" applyFill="1" applyBorder="1" applyAlignment="1">
      <alignment horizontal="center" vertical="center"/>
    </xf>
    <xf numFmtId="0" fontId="3" fillId="0" borderId="1" xfId="90" applyFont="1" applyFill="1" applyBorder="1" applyAlignment="1">
      <alignment horizontal="center" vertical="center" wrapText="1"/>
    </xf>
    <xf numFmtId="0" fontId="3" fillId="0" borderId="1" xfId="90" applyFont="1" applyFill="1" applyBorder="1" applyAlignment="1">
      <alignment horizontal="center" vertical="center"/>
    </xf>
    <xf numFmtId="0" fontId="3" fillId="0" borderId="1" xfId="87" applyFont="1" applyFill="1" applyBorder="1" applyAlignment="1">
      <alignment horizontal="center" vertical="center"/>
    </xf>
    <xf numFmtId="0" fontId="3" fillId="0" borderId="1" xfId="8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0" fontId="3" fillId="0" borderId="1" xfId="11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top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14" fillId="0" borderId="0" xfId="11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11" applyNumberFormat="1" applyFont="1" applyFill="1" applyBorder="1" applyAlignment="1" applyProtection="1">
      <alignment horizontal="center" vertical="center" wrapText="1"/>
    </xf>
    <xf numFmtId="0" fontId="3" fillId="0" borderId="1" xfId="77" applyFont="1" applyFill="1" applyBorder="1" applyAlignment="1">
      <alignment horizontal="center" vertical="center" wrapText="1"/>
    </xf>
    <xf numFmtId="0" fontId="3" fillId="0" borderId="1" xfId="77" applyNumberFormat="1" applyFont="1" applyFill="1" applyBorder="1" applyAlignment="1">
      <alignment horizontal="center" vertical="center" wrapText="1"/>
    </xf>
    <xf numFmtId="0" fontId="3" fillId="0" borderId="1" xfId="15" applyFont="1" applyFill="1" applyBorder="1" applyAlignment="1" applyProtection="1">
      <alignment horizontal="center" vertical="top" wrapText="1"/>
    </xf>
    <xf numFmtId="0" fontId="3" fillId="0" borderId="1" xfId="98" applyFont="1" applyFill="1" applyBorder="1" applyAlignment="1" applyProtection="1">
      <alignment horizontal="center" vertical="center" wrapText="1"/>
    </xf>
    <xf numFmtId="0" fontId="3" fillId="0" borderId="1" xfId="63" applyFont="1" applyFill="1" applyBorder="1" applyAlignment="1" applyProtection="1">
      <alignment horizontal="center" vertical="center" wrapText="1"/>
    </xf>
    <xf numFmtId="0" fontId="3" fillId="0" borderId="1" xfId="58" applyFont="1" applyFill="1" applyBorder="1" applyAlignment="1" applyProtection="1">
      <alignment horizontal="center" vertical="top" wrapText="1"/>
    </xf>
    <xf numFmtId="176" fontId="3" fillId="0" borderId="1" xfId="77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58" applyFont="1" applyFill="1" applyBorder="1" applyAlignment="1" applyProtection="1">
      <alignment horizontal="center" vertical="center" wrapText="1"/>
    </xf>
    <xf numFmtId="49" fontId="3" fillId="0" borderId="1" xfId="58" applyNumberFormat="1" applyFont="1" applyFill="1" applyBorder="1" applyAlignment="1" applyProtection="1">
      <alignment horizontal="center" vertical="center" wrapText="1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 applyProtection="1">
      <alignment horizontal="center" vertical="center" wrapText="1"/>
    </xf>
    <xf numFmtId="0" fontId="3" fillId="0" borderId="1" xfId="99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78" applyFont="1" applyFill="1" applyBorder="1" applyAlignment="1" applyProtection="1">
      <alignment horizontal="center" vertical="center" wrapText="1"/>
    </xf>
    <xf numFmtId="0" fontId="3" fillId="0" borderId="1" xfId="66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/>
    </xf>
    <xf numFmtId="49" fontId="3" fillId="0" borderId="1" xfId="104" applyNumberFormat="1" applyFont="1" applyFill="1" applyBorder="1" applyAlignment="1">
      <alignment horizontal="center" vertical="center" wrapText="1"/>
    </xf>
    <xf numFmtId="49" fontId="3" fillId="0" borderId="1" xfId="63" applyNumberFormat="1" applyFont="1" applyFill="1" applyBorder="1" applyAlignment="1">
      <alignment horizontal="center" vertical="center" wrapText="1"/>
    </xf>
    <xf numFmtId="49" fontId="3" fillId="0" borderId="1" xfId="98" applyNumberFormat="1" applyFont="1" applyFill="1" applyBorder="1" applyAlignment="1">
      <alignment horizontal="center" vertical="center" wrapText="1"/>
    </xf>
    <xf numFmtId="49" fontId="3" fillId="0" borderId="1" xfId="69" applyNumberFormat="1" applyFont="1" applyFill="1" applyBorder="1" applyAlignment="1">
      <alignment horizontal="center" vertical="center" wrapText="1"/>
    </xf>
    <xf numFmtId="49" fontId="3" fillId="0" borderId="1" xfId="15" applyNumberFormat="1" applyFont="1" applyFill="1" applyBorder="1" applyAlignment="1">
      <alignment horizontal="center" vertical="center" wrapText="1"/>
    </xf>
    <xf numFmtId="49" fontId="3" fillId="0" borderId="1" xfId="78" applyNumberFormat="1" applyFont="1" applyFill="1" applyBorder="1" applyAlignment="1" applyProtection="1">
      <alignment horizontal="center" vertical="center" wrapText="1"/>
    </xf>
    <xf numFmtId="49" fontId="3" fillId="0" borderId="1" xfId="105" applyNumberFormat="1" applyFont="1" applyFill="1" applyBorder="1" applyAlignment="1">
      <alignment horizontal="center" vertical="center" wrapText="1"/>
    </xf>
    <xf numFmtId="49" fontId="3" fillId="0" borderId="1" xfId="76" applyNumberFormat="1" applyFont="1" applyFill="1" applyBorder="1" applyAlignment="1">
      <alignment horizontal="center" vertical="center" wrapText="1"/>
    </xf>
    <xf numFmtId="49" fontId="3" fillId="0" borderId="1" xfId="101" applyNumberFormat="1" applyFont="1" applyFill="1" applyBorder="1" applyAlignment="1">
      <alignment horizontal="center" vertical="center" wrapText="1"/>
    </xf>
    <xf numFmtId="49" fontId="3" fillId="0" borderId="1" xfId="100" applyNumberFormat="1" applyFont="1" applyFill="1" applyBorder="1" applyAlignment="1">
      <alignment horizontal="center" vertical="center" wrapText="1"/>
    </xf>
    <xf numFmtId="49" fontId="3" fillId="0" borderId="1" xfId="71" applyNumberFormat="1" applyFont="1" applyFill="1" applyBorder="1" applyAlignment="1">
      <alignment horizontal="center" vertical="center" wrapText="1"/>
    </xf>
    <xf numFmtId="49" fontId="3" fillId="0" borderId="1" xfId="74" applyNumberFormat="1" applyFont="1" applyFill="1" applyBorder="1" applyAlignment="1">
      <alignment horizontal="center" vertical="center" wrapText="1"/>
    </xf>
    <xf numFmtId="0" fontId="3" fillId="0" borderId="1" xfId="66" applyFont="1" applyFill="1" applyBorder="1" applyAlignment="1" applyProtection="1">
      <alignment horizontal="center" vertical="center" wrapText="1"/>
    </xf>
    <xf numFmtId="49" fontId="3" fillId="0" borderId="1" xfId="66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1" xfId="71" applyFont="1" applyFill="1" applyBorder="1" applyAlignment="1" applyProtection="1">
      <alignment horizontal="center" vertical="center" wrapText="1"/>
    </xf>
    <xf numFmtId="0" fontId="5" fillId="0" borderId="1" xfId="71" applyNumberFormat="1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3" fillId="0" borderId="1" xfId="61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horizontal="center" vertical="center"/>
    </xf>
    <xf numFmtId="0" fontId="3" fillId="0" borderId="1" xfId="21" applyFont="1" applyFill="1" applyBorder="1" applyAlignment="1">
      <alignment horizontal="center" vertical="center"/>
    </xf>
    <xf numFmtId="0" fontId="3" fillId="0" borderId="1" xfId="16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/>
    </xf>
    <xf numFmtId="0" fontId="3" fillId="0" borderId="1" xfId="55" applyFont="1" applyFill="1" applyBorder="1" applyAlignment="1">
      <alignment horizontal="center" vertical="center"/>
    </xf>
    <xf numFmtId="0" fontId="3" fillId="0" borderId="1" xfId="65" applyFont="1" applyFill="1" applyBorder="1" applyAlignment="1">
      <alignment horizontal="center" vertical="center"/>
    </xf>
    <xf numFmtId="0" fontId="3" fillId="0" borderId="1" xfId="65" applyFont="1" applyFill="1" applyBorder="1" applyAlignment="1">
      <alignment horizontal="center" vertical="center" wrapText="1"/>
    </xf>
    <xf numFmtId="0" fontId="3" fillId="0" borderId="1" xfId="56" applyFont="1" applyFill="1" applyBorder="1" applyAlignment="1">
      <alignment horizontal="center" vertical="center"/>
    </xf>
    <xf numFmtId="0" fontId="3" fillId="0" borderId="1" xfId="45" applyFont="1" applyFill="1" applyBorder="1" applyAlignment="1">
      <alignment horizontal="center" vertical="center"/>
    </xf>
    <xf numFmtId="49" fontId="3" fillId="0" borderId="1" xfId="5" applyNumberFormat="1" applyFont="1" applyFill="1" applyBorder="1" applyAlignment="1">
      <alignment horizontal="center" vertical="center"/>
    </xf>
    <xf numFmtId="0" fontId="3" fillId="0" borderId="1" xfId="71" applyFont="1" applyFill="1" applyBorder="1" applyAlignment="1">
      <alignment horizontal="center" vertical="center" wrapText="1"/>
    </xf>
    <xf numFmtId="49" fontId="3" fillId="0" borderId="1" xfId="68" applyNumberFormat="1" applyFont="1" applyFill="1" applyBorder="1" applyAlignment="1">
      <alignment horizontal="center" vertical="center"/>
    </xf>
    <xf numFmtId="0" fontId="3" fillId="0" borderId="1" xfId="68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 wrapText="1"/>
    </xf>
    <xf numFmtId="0" fontId="3" fillId="0" borderId="1" xfId="37" applyFont="1" applyFill="1" applyBorder="1" applyAlignment="1">
      <alignment horizontal="center" vertical="center" wrapText="1"/>
    </xf>
    <xf numFmtId="0" fontId="3" fillId="0" borderId="1" xfId="72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83" applyFont="1" applyFill="1" applyBorder="1" applyAlignment="1">
      <alignment horizontal="center" vertical="center"/>
    </xf>
    <xf numFmtId="0" fontId="3" fillId="0" borderId="1" xfId="5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 wrapText="1"/>
    </xf>
    <xf numFmtId="0" fontId="3" fillId="0" borderId="1" xfId="37" applyFont="1" applyFill="1" applyBorder="1" applyAlignment="1">
      <alignment horizontal="center" vertical="center"/>
    </xf>
    <xf numFmtId="0" fontId="3" fillId="0" borderId="1" xfId="72" applyNumberFormat="1" applyFont="1" applyFill="1" applyBorder="1" applyAlignment="1">
      <alignment horizontal="center" vertical="center"/>
    </xf>
    <xf numFmtId="49" fontId="3" fillId="0" borderId="1" xfId="72" applyNumberFormat="1" applyFont="1" applyFill="1" applyBorder="1" applyAlignment="1">
      <alignment horizontal="center" vertical="center"/>
    </xf>
    <xf numFmtId="49" fontId="3" fillId="0" borderId="1" xfId="83" applyNumberFormat="1" applyFont="1" applyFill="1" applyBorder="1" applyAlignment="1">
      <alignment horizontal="center" vertical="center"/>
    </xf>
    <xf numFmtId="0" fontId="3" fillId="0" borderId="1" xfId="80" applyNumberFormat="1" applyFont="1" applyFill="1" applyBorder="1" applyAlignment="1">
      <alignment horizontal="center" vertical="center"/>
    </xf>
    <xf numFmtId="49" fontId="3" fillId="0" borderId="1" xfId="58" applyNumberFormat="1" applyFont="1" applyFill="1" applyBorder="1" applyAlignment="1">
      <alignment horizontal="center" vertical="center" wrapText="1"/>
    </xf>
    <xf numFmtId="49" fontId="3" fillId="0" borderId="1" xfId="63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0" fontId="5" fillId="0" borderId="1" xfId="66" applyFont="1" applyFill="1" applyBorder="1" applyAlignment="1" applyProtection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/>
    </xf>
    <xf numFmtId="0" fontId="3" fillId="0" borderId="1" xfId="58" applyFont="1" applyFill="1" applyBorder="1" applyAlignment="1">
      <alignment horizontal="center" vertical="center" wrapText="1"/>
    </xf>
    <xf numFmtId="0" fontId="3" fillId="0" borderId="1" xfId="69" applyFont="1" applyFill="1" applyBorder="1" applyAlignment="1">
      <alignment horizontal="center" vertical="center" wrapText="1"/>
    </xf>
    <xf numFmtId="49" fontId="3" fillId="0" borderId="1" xfId="69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0" fontId="3" fillId="0" borderId="1" xfId="55" applyNumberFormat="1" applyFont="1" applyFill="1" applyBorder="1" applyAlignment="1">
      <alignment horizontal="center" vertical="center"/>
    </xf>
    <xf numFmtId="0" fontId="3" fillId="0" borderId="1" xfId="75" applyFont="1" applyFill="1" applyBorder="1" applyAlignment="1">
      <alignment horizontal="center" vertical="center"/>
    </xf>
    <xf numFmtId="49" fontId="3" fillId="0" borderId="1" xfId="86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shrinkToFit="1"/>
    </xf>
    <xf numFmtId="0" fontId="3" fillId="0" borderId="1" xfId="9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73" applyFont="1" applyFill="1" applyBorder="1" applyAlignment="1">
      <alignment horizontal="center" vertical="center" wrapText="1"/>
    </xf>
    <xf numFmtId="0" fontId="3" fillId="0" borderId="1" xfId="98" applyFont="1" applyFill="1" applyBorder="1" applyAlignment="1">
      <alignment horizontal="center" vertical="center" wrapText="1"/>
    </xf>
    <xf numFmtId="0" fontId="3" fillId="0" borderId="1" xfId="15" applyFont="1" applyFill="1" applyBorder="1" applyAlignment="1">
      <alignment horizontal="center" vertical="center" wrapText="1"/>
    </xf>
    <xf numFmtId="0" fontId="3" fillId="0" borderId="1" xfId="105" applyFont="1" applyFill="1" applyBorder="1" applyAlignment="1">
      <alignment horizontal="center" vertical="center" wrapText="1"/>
    </xf>
    <xf numFmtId="0" fontId="3" fillId="0" borderId="1" xfId="101" applyFont="1" applyFill="1" applyBorder="1" applyAlignment="1">
      <alignment horizontal="center" vertical="center" wrapText="1"/>
    </xf>
    <xf numFmtId="0" fontId="3" fillId="0" borderId="1" xfId="100" applyFont="1" applyFill="1" applyBorder="1" applyAlignment="1">
      <alignment horizontal="center" vertical="center" wrapText="1"/>
    </xf>
    <xf numFmtId="0" fontId="3" fillId="0" borderId="1" xfId="74" applyFont="1" applyFill="1" applyBorder="1" applyAlignment="1">
      <alignment horizontal="center" vertical="center" wrapText="1"/>
    </xf>
    <xf numFmtId="0" fontId="3" fillId="0" borderId="1" xfId="104" applyFont="1" applyFill="1" applyBorder="1" applyAlignment="1">
      <alignment horizontal="center" vertical="center" wrapText="1"/>
    </xf>
    <xf numFmtId="0" fontId="3" fillId="0" borderId="1" xfId="107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108" applyFont="1" applyFill="1" applyBorder="1" applyAlignment="1">
      <alignment horizontal="center" vertical="center" wrapText="1"/>
    </xf>
    <xf numFmtId="49" fontId="3" fillId="0" borderId="1" xfId="108" applyNumberFormat="1" applyFont="1" applyFill="1" applyBorder="1" applyAlignment="1">
      <alignment horizontal="center" vertical="center" wrapText="1"/>
    </xf>
    <xf numFmtId="0" fontId="3" fillId="0" borderId="1" xfId="109" applyFont="1" applyFill="1" applyBorder="1" applyAlignment="1">
      <alignment horizontal="center" vertical="center" wrapText="1"/>
    </xf>
    <xf numFmtId="0" fontId="3" fillId="0" borderId="1" xfId="110" applyFont="1" applyFill="1" applyBorder="1" applyAlignment="1">
      <alignment horizontal="center" vertical="center" wrapText="1"/>
    </xf>
    <xf numFmtId="0" fontId="3" fillId="0" borderId="1" xfId="111" applyFont="1" applyFill="1" applyBorder="1" applyAlignment="1" applyProtection="1">
      <alignment horizontal="center" vertical="center" wrapText="1"/>
    </xf>
    <xf numFmtId="0" fontId="3" fillId="0" borderId="1" xfId="108" applyFont="1" applyFill="1" applyBorder="1" applyAlignment="1">
      <alignment horizontal="center" vertical="center"/>
    </xf>
    <xf numFmtId="0" fontId="3" fillId="0" borderId="1" xfId="112" applyFont="1" applyFill="1" applyBorder="1" applyAlignment="1" applyProtection="1">
      <alignment horizontal="center" vertical="center" wrapText="1"/>
    </xf>
    <xf numFmtId="0" fontId="3" fillId="0" borderId="1" xfId="102" applyFont="1" applyFill="1" applyBorder="1" applyAlignment="1">
      <alignment horizontal="center" vertical="center" wrapText="1"/>
    </xf>
    <xf numFmtId="0" fontId="3" fillId="0" borderId="1" xfId="106" applyFont="1" applyFill="1" applyBorder="1" applyAlignment="1">
      <alignment horizontal="center" vertical="center" wrapText="1"/>
    </xf>
    <xf numFmtId="0" fontId="3" fillId="0" borderId="1" xfId="82" applyFont="1" applyFill="1" applyBorder="1" applyAlignment="1">
      <alignment horizontal="center" vertical="center" wrapText="1"/>
    </xf>
    <xf numFmtId="0" fontId="3" fillId="0" borderId="1" xfId="36" applyFont="1" applyFill="1" applyBorder="1" applyAlignment="1">
      <alignment horizontal="center" vertical="center" wrapText="1"/>
    </xf>
    <xf numFmtId="0" fontId="3" fillId="0" borderId="1" xfId="84" applyFont="1" applyFill="1" applyBorder="1" applyAlignment="1">
      <alignment horizontal="center" vertical="center" wrapText="1"/>
    </xf>
    <xf numFmtId="0" fontId="3" fillId="0" borderId="1" xfId="113" applyFont="1" applyFill="1" applyBorder="1" applyAlignment="1">
      <alignment horizontal="center" vertical="center" wrapText="1"/>
    </xf>
    <xf numFmtId="0" fontId="3" fillId="0" borderId="1" xfId="73" applyFont="1" applyFill="1" applyBorder="1" applyAlignment="1" applyProtection="1">
      <alignment horizontal="center" vertical="center" wrapText="1"/>
    </xf>
    <xf numFmtId="0" fontId="5" fillId="0" borderId="1" xfId="73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top" wrapText="1"/>
    </xf>
    <xf numFmtId="0" fontId="3" fillId="0" borderId="1" xfId="58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/>
    </xf>
    <xf numFmtId="0" fontId="3" fillId="0" borderId="1" xfId="16" applyFont="1" applyFill="1" applyBorder="1" applyAlignment="1" quotePrefix="1">
      <alignment horizontal="center" vertical="center"/>
    </xf>
    <xf numFmtId="0" fontId="3" fillId="0" borderId="1" xfId="62" applyFont="1" applyFill="1" applyBorder="1" applyAlignment="1" quotePrefix="1">
      <alignment horizontal="center" vertical="center"/>
    </xf>
    <xf numFmtId="0" fontId="3" fillId="0" borderId="1" xfId="60" applyFont="1" applyFill="1" applyBorder="1" applyAlignment="1" quotePrefix="1">
      <alignment horizontal="center" vertical="center"/>
    </xf>
    <xf numFmtId="0" fontId="3" fillId="0" borderId="1" xfId="65" applyFont="1" applyFill="1" applyBorder="1" applyAlignment="1" quotePrefix="1">
      <alignment horizontal="center" vertical="center"/>
    </xf>
    <xf numFmtId="0" fontId="3" fillId="0" borderId="1" xfId="56" applyFont="1" applyFill="1" applyBorder="1" applyAlignment="1" quotePrefix="1">
      <alignment horizontal="center" vertical="center"/>
    </xf>
    <xf numFmtId="0" fontId="3" fillId="0" borderId="1" xfId="63" applyFont="1" applyFill="1" applyBorder="1" applyAlignment="1" quotePrefix="1">
      <alignment horizontal="center" vertical="center" wrapText="1"/>
    </xf>
    <xf numFmtId="0" fontId="3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applyProtection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0" fontId="5" fillId="0" borderId="1" xfId="7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applyProtection="1" quotePrefix="1">
      <alignment horizontal="center" vertical="center"/>
      <protection locked="0"/>
    </xf>
    <xf numFmtId="0" fontId="5" fillId="0" borderId="1" xfId="0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quotePrefix="1">
      <alignment horizontal="center" vertical="center"/>
    </xf>
    <xf numFmtId="49" fontId="3" fillId="0" borderId="1" xfId="69" applyNumberFormat="1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applyProtection="1" quotePrefix="1">
      <alignment horizontal="center" vertical="center" wrapText="1"/>
    </xf>
    <xf numFmtId="0" fontId="3" fillId="0" borderId="1" xfId="0" applyNumberFormat="1" applyFont="1" applyFill="1" applyBorder="1" applyAlignment="1" quotePrefix="1">
      <alignment horizontal="center" vertical="center" wrapText="1"/>
    </xf>
    <xf numFmtId="49" fontId="3" fillId="0" borderId="1" xfId="0" applyNumberFormat="1" applyFont="1" applyFill="1" applyBorder="1" applyAlignment="1" applyProtection="1" quotePrefix="1">
      <alignment horizontal="center" vertical="center" wrapText="1"/>
    </xf>
    <xf numFmtId="0" fontId="3" fillId="0" borderId="1" xfId="66" applyNumberFormat="1" applyFont="1" applyFill="1" applyBorder="1" applyAlignment="1" applyProtection="1" quotePrefix="1">
      <alignment horizontal="center" vertical="center" wrapText="1"/>
    </xf>
    <xf numFmtId="0" fontId="3" fillId="0" borderId="1" xfId="0" applyNumberFormat="1" applyFont="1" applyFill="1" applyBorder="1" applyAlignment="1" applyProtection="1" quotePrefix="1">
      <alignment horizontal="center" vertical="center" wrapText="1"/>
    </xf>
    <xf numFmtId="0" fontId="3" fillId="0" borderId="1" xfId="58" applyFont="1" applyFill="1" applyBorder="1" applyAlignment="1" quotePrefix="1">
      <alignment horizontal="center" vertical="center" wrapText="1"/>
    </xf>
    <xf numFmtId="0" fontId="3" fillId="0" borderId="1" xfId="98" applyFont="1" applyFill="1" applyBorder="1" applyAlignment="1" quotePrefix="1">
      <alignment horizontal="center" vertical="center" wrapText="1"/>
    </xf>
    <xf numFmtId="0" fontId="3" fillId="0" borderId="1" xfId="69" applyFont="1" applyFill="1" applyBorder="1" applyAlignment="1" quotePrefix="1">
      <alignment horizontal="center" vertical="center" wrapText="1"/>
    </xf>
    <xf numFmtId="0" fontId="3" fillId="0" borderId="1" xfId="15" applyFont="1" applyFill="1" applyBorder="1" applyAlignment="1" quotePrefix="1">
      <alignment horizontal="center" vertical="center" wrapText="1"/>
    </xf>
    <xf numFmtId="0" fontId="3" fillId="0" borderId="1" xfId="78" applyFont="1" applyFill="1" applyBorder="1" applyAlignment="1" applyProtection="1" quotePrefix="1">
      <alignment horizontal="center" vertical="center" wrapText="1"/>
    </xf>
    <xf numFmtId="0" fontId="3" fillId="0" borderId="1" xfId="105" applyFont="1" applyFill="1" applyBorder="1" applyAlignment="1" quotePrefix="1">
      <alignment horizontal="center" vertical="center" wrapText="1"/>
    </xf>
    <xf numFmtId="0" fontId="3" fillId="0" borderId="1" xfId="76" applyFont="1" applyFill="1" applyBorder="1" applyAlignment="1" quotePrefix="1">
      <alignment horizontal="center" vertical="center" wrapText="1"/>
    </xf>
    <xf numFmtId="0" fontId="3" fillId="0" borderId="1" xfId="101" applyFont="1" applyFill="1" applyBorder="1" applyAlignment="1" quotePrefix="1">
      <alignment horizontal="center" vertical="center" wrapText="1"/>
    </xf>
    <xf numFmtId="0" fontId="3" fillId="0" borderId="1" xfId="100" applyFont="1" applyFill="1" applyBorder="1" applyAlignment="1" quotePrefix="1">
      <alignment horizontal="center" vertical="center" wrapText="1"/>
    </xf>
    <xf numFmtId="0" fontId="3" fillId="0" borderId="1" xfId="74" applyFont="1" applyFill="1" applyBorder="1" applyAlignment="1" quotePrefix="1">
      <alignment horizontal="center" vertical="center" wrapText="1"/>
    </xf>
    <xf numFmtId="0" fontId="3" fillId="0" borderId="1" xfId="104" applyFont="1" applyFill="1" applyBorder="1" applyAlignment="1" quotePrefix="1">
      <alignment horizontal="center" vertical="center" wrapText="1"/>
    </xf>
    <xf numFmtId="0" fontId="3" fillId="0" borderId="1" xfId="58" applyNumberFormat="1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applyProtection="1" quotePrefix="1">
      <alignment horizontal="center" vertical="top" wrapText="1"/>
    </xf>
    <xf numFmtId="0" fontId="3" fillId="0" borderId="1" xfId="63" applyFont="1" applyFill="1" applyBorder="1" applyAlignment="1" applyProtection="1" quotePrefix="1">
      <alignment horizontal="center" vertical="center"/>
    </xf>
    <xf numFmtId="0" fontId="3" fillId="0" borderId="1" xfId="58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quotePrefix="1">
      <alignment horizontal="center"/>
    </xf>
    <xf numFmtId="0" fontId="5" fillId="0" borderId="1" xfId="0" applyNumberFormat="1" applyFont="1" applyFill="1" applyBorder="1" applyAlignment="1" quotePrefix="1">
      <alignment horizontal="center" vertical="center" wrapText="1"/>
    </xf>
    <xf numFmtId="0" fontId="3" fillId="0" borderId="1" xfId="99" applyNumberFormat="1" applyFont="1" applyFill="1" applyBorder="1" applyAlignment="1" applyProtection="1" quotePrefix="1">
      <alignment horizontal="center" vertical="center" wrapText="1"/>
    </xf>
    <xf numFmtId="0" fontId="5" fillId="0" borderId="1" xfId="0" applyFont="1" applyFill="1" applyBorder="1" applyAlignment="1" applyProtection="1" quotePrefix="1">
      <alignment horizontal="center" vertical="top" wrapText="1"/>
    </xf>
  </cellXfs>
  <cellStyles count="11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常规 2 5 2 2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2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 16" xfId="36"/>
    <cellStyle name="常规 21" xfId="37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2 6 2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常规 2 10" xfId="55"/>
    <cellStyle name="常规 2 9 2 2" xfId="56"/>
    <cellStyle name="60% - 强调文字颜色 6" xfId="57" builtinId="52"/>
    <cellStyle name="常规 3" xfId="58"/>
    <cellStyle name="常规 2 8" xfId="59"/>
    <cellStyle name="常规 2 8 2 2" xfId="60"/>
    <cellStyle name="常规 2 7" xfId="61"/>
    <cellStyle name="常规 2 7 2 2" xfId="62"/>
    <cellStyle name="常规 2" xfId="63"/>
    <cellStyle name="常规_2016-2018年精准扶贫大搬迁计划统计表 (1)" xfId="64"/>
    <cellStyle name="常规 2 10 2 2" xfId="65"/>
    <cellStyle name="常规_Sheet1" xfId="66"/>
    <cellStyle name="常规 3 9" xfId="67"/>
    <cellStyle name="常规 4 2" xfId="68"/>
    <cellStyle name="常规 5" xfId="69"/>
    <cellStyle name="常规 2 2 3" xfId="70"/>
    <cellStyle name="常规 10" xfId="71"/>
    <cellStyle name="常规 21 2" xfId="72"/>
    <cellStyle name="常规 2 2" xfId="73"/>
    <cellStyle name="常规 11" xfId="74"/>
    <cellStyle name="常规 21 3" xfId="75"/>
    <cellStyle name="常规 13" xfId="76"/>
    <cellStyle name="常规 3 2" xfId="77"/>
    <cellStyle name="常规 7" xfId="78"/>
    <cellStyle name="常规 24" xfId="79"/>
    <cellStyle name="常规 13 3" xfId="80"/>
    <cellStyle name="常规 20" xfId="81"/>
    <cellStyle name="常规 15" xfId="82"/>
    <cellStyle name="常规 22" xfId="83"/>
    <cellStyle name="常规 17" xfId="84"/>
    <cellStyle name="常规 4 2 2" xfId="85"/>
    <cellStyle name="常规 13 4" xfId="86"/>
    <cellStyle name="常规 3 5" xfId="87"/>
    <cellStyle name="常规 2 2 7" xfId="88"/>
    <cellStyle name="常规 52" xfId="89"/>
    <cellStyle name="常规 4 7" xfId="90"/>
    <cellStyle name="常规 54" xfId="91"/>
    <cellStyle name="常规 56" xfId="92"/>
    <cellStyle name="常规 53" xfId="93"/>
    <cellStyle name="常规 45" xfId="94"/>
    <cellStyle name="常规 51" xfId="95"/>
    <cellStyle name="常规 57" xfId="96"/>
    <cellStyle name="常规 246" xfId="97"/>
    <cellStyle name="常规 4" xfId="98"/>
    <cellStyle name="常规_Sheet1 10 2" xfId="99"/>
    <cellStyle name="常规 9" xfId="100"/>
    <cellStyle name="常规 8" xfId="101"/>
    <cellStyle name="常规 36" xfId="102"/>
    <cellStyle name="常规_Sheet1_Sheet1" xfId="103"/>
    <cellStyle name="常规 14" xfId="104"/>
    <cellStyle name="常规 12" xfId="105"/>
    <cellStyle name="常规 37" xfId="106"/>
    <cellStyle name="常规_Sheet2" xfId="107"/>
    <cellStyle name="常规 10 4" xfId="108"/>
    <cellStyle name="常规 10 6" xfId="109"/>
    <cellStyle name="常规 29 2" xfId="110"/>
    <cellStyle name="常规 4 5" xfId="111"/>
    <cellStyle name="常规 11 4" xfId="112"/>
    <cellStyle name="常规 18" xfId="113"/>
  </cellStyles>
  <dxfs count="7">
    <dxf>
      <fill>
        <patternFill patternType="solid">
          <bgColor rgb="FFFF0000"/>
        </patternFill>
      </fill>
    </dxf>
    <dxf>
      <font>
        <color rgb="FFFF0000"/>
      </font>
    </dxf>
    <dxf>
      <font>
        <name val="宋体"/>
        <scheme val="none"/>
        <b val="0"/>
        <i val="0"/>
        <strike val="0"/>
        <u val="none"/>
        <sz val="12"/>
        <color theme="9"/>
      </font>
    </dxf>
    <dxf>
      <font>
        <color rgb="FF9C0006"/>
      </font>
      <fill>
        <patternFill patternType="solid">
          <bgColor rgb="FFFFC7CE"/>
        </patternFill>
      </fill>
    </dxf>
    <dxf>
      <font>
        <color theme="9"/>
      </font>
    </dxf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371475</xdr:colOff>
      <xdr:row>194</xdr:row>
      <xdr:rowOff>171450</xdr:rowOff>
    </xdr:from>
    <xdr:to>
      <xdr:col>2</xdr:col>
      <xdr:colOff>371475</xdr:colOff>
      <xdr:row>195</xdr:row>
      <xdr:rowOff>0</xdr:rowOff>
    </xdr:to>
    <xdr:sp>
      <xdr:nvSpPr>
        <xdr:cNvPr id="2" name="Line 1"/>
        <xdr:cNvSpPr/>
      </xdr:nvSpPr>
      <xdr:spPr>
        <a:xfrm>
          <a:off x="2926080" y="44900850"/>
          <a:ext cx="0" cy="5715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400050</xdr:colOff>
      <xdr:row>194</xdr:row>
      <xdr:rowOff>171450</xdr:rowOff>
    </xdr:from>
    <xdr:to>
      <xdr:col>1</xdr:col>
      <xdr:colOff>0</xdr:colOff>
      <xdr:row>195</xdr:row>
      <xdr:rowOff>0</xdr:rowOff>
    </xdr:to>
    <xdr:sp>
      <xdr:nvSpPr>
        <xdr:cNvPr id="3" name="Line 2"/>
        <xdr:cNvSpPr/>
      </xdr:nvSpPr>
      <xdr:spPr>
        <a:xfrm>
          <a:off x="400050" y="44900850"/>
          <a:ext cx="562610" cy="5715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371475</xdr:colOff>
      <xdr:row>194</xdr:row>
      <xdr:rowOff>171450</xdr:rowOff>
    </xdr:from>
    <xdr:to>
      <xdr:col>4</xdr:col>
      <xdr:colOff>371475</xdr:colOff>
      <xdr:row>195</xdr:row>
      <xdr:rowOff>0</xdr:rowOff>
    </xdr:to>
    <xdr:sp>
      <xdr:nvSpPr>
        <xdr:cNvPr id="4" name="Line 1"/>
        <xdr:cNvSpPr/>
      </xdr:nvSpPr>
      <xdr:spPr>
        <a:xfrm>
          <a:off x="4458335" y="44900850"/>
          <a:ext cx="0" cy="5715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cpadisc4.cpad.gov.cn/cpad/javascript:void(0)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padisc4.cpad.gov.cn/cpad/javascript:void(0)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92"/>
  <sheetViews>
    <sheetView tabSelected="1" workbookViewId="0">
      <selection activeCell="D5" sqref="D5"/>
    </sheetView>
  </sheetViews>
  <sheetFormatPr defaultColWidth="9" defaultRowHeight="13.5" outlineLevelCol="5"/>
  <cols>
    <col min="1" max="1" width="12.6333333333333" style="1" customWidth="1"/>
    <col min="2" max="2" width="20.8916666666667" style="1" customWidth="1"/>
    <col min="3" max="3" width="13.1083333333333" style="1" customWidth="1"/>
    <col min="4" max="4" width="7" style="1" customWidth="1"/>
    <col min="5" max="5" width="25.225" style="1" customWidth="1"/>
    <col min="6" max="6" width="15" style="1" customWidth="1"/>
  </cols>
  <sheetData>
    <row r="1" ht="36" customHeight="1" spans="1:6">
      <c r="A1" s="2" t="s">
        <v>0</v>
      </c>
      <c r="B1" s="104"/>
      <c r="C1" s="104"/>
      <c r="D1" s="104"/>
      <c r="E1" s="104"/>
      <c r="F1" s="104"/>
    </row>
    <row r="2" ht="30" customHeight="1" spans="1:6">
      <c r="A2" s="105" t="s">
        <v>1</v>
      </c>
      <c r="B2" s="105" t="s">
        <v>2</v>
      </c>
      <c r="C2" s="106" t="s">
        <v>3</v>
      </c>
      <c r="D2" s="106" t="s">
        <v>4</v>
      </c>
      <c r="E2" s="105" t="s">
        <v>5</v>
      </c>
      <c r="F2" s="105" t="s">
        <v>6</v>
      </c>
    </row>
    <row r="3" ht="18" customHeight="1" spans="1:6">
      <c r="A3" s="13" t="s">
        <v>7</v>
      </c>
      <c r="B3" s="13"/>
      <c r="C3" s="6">
        <v>5914</v>
      </c>
      <c r="D3" s="6">
        <v>16229</v>
      </c>
      <c r="E3" s="13"/>
      <c r="F3" s="13"/>
    </row>
    <row r="4" ht="18" customHeight="1" spans="1:6">
      <c r="A4" s="5" t="s">
        <v>8</v>
      </c>
      <c r="B4" s="13" t="s">
        <v>9</v>
      </c>
      <c r="C4" s="107" t="s">
        <v>10</v>
      </c>
      <c r="D4" s="108">
        <v>4</v>
      </c>
      <c r="E4" s="5" t="str">
        <f>LEFT("422626197911201128",19)</f>
        <v>422626197911201128</v>
      </c>
      <c r="F4" s="13" t="s">
        <v>11</v>
      </c>
    </row>
    <row r="5" ht="18" customHeight="1" spans="1:6">
      <c r="A5" s="5" t="s">
        <v>8</v>
      </c>
      <c r="B5" s="13" t="s">
        <v>12</v>
      </c>
      <c r="C5" s="13" t="s">
        <v>13</v>
      </c>
      <c r="D5" s="13">
        <v>1</v>
      </c>
      <c r="E5" s="5" t="str">
        <f>LEFT("42262619730318001X",19)</f>
        <v>42262619730318001X</v>
      </c>
      <c r="F5" s="13" t="s">
        <v>11</v>
      </c>
    </row>
    <row r="6" ht="18" customHeight="1" spans="1:6">
      <c r="A6" s="5" t="s">
        <v>8</v>
      </c>
      <c r="B6" s="20" t="s">
        <v>14</v>
      </c>
      <c r="C6" s="5" t="s">
        <v>15</v>
      </c>
      <c r="D6" s="5">
        <v>4</v>
      </c>
      <c r="E6" s="5" t="s">
        <v>16</v>
      </c>
      <c r="F6" s="13" t="s">
        <v>11</v>
      </c>
    </row>
    <row r="7" ht="18" customHeight="1" spans="1:6">
      <c r="A7" s="5" t="s">
        <v>8</v>
      </c>
      <c r="B7" s="20" t="s">
        <v>14</v>
      </c>
      <c r="C7" s="5" t="s">
        <v>17</v>
      </c>
      <c r="D7" s="5">
        <v>1</v>
      </c>
      <c r="E7" s="5" t="s">
        <v>18</v>
      </c>
      <c r="F7" s="13" t="s">
        <v>11</v>
      </c>
    </row>
    <row r="8" ht="18" customHeight="1" spans="1:6">
      <c r="A8" s="5" t="s">
        <v>8</v>
      </c>
      <c r="B8" s="20" t="s">
        <v>14</v>
      </c>
      <c r="C8" s="5" t="s">
        <v>19</v>
      </c>
      <c r="D8" s="5">
        <v>2</v>
      </c>
      <c r="E8" s="5" t="s">
        <v>20</v>
      </c>
      <c r="F8" s="13" t="s">
        <v>11</v>
      </c>
    </row>
    <row r="9" ht="18" customHeight="1" spans="1:6">
      <c r="A9" s="5" t="s">
        <v>8</v>
      </c>
      <c r="B9" s="20" t="s">
        <v>14</v>
      </c>
      <c r="C9" s="5" t="s">
        <v>21</v>
      </c>
      <c r="D9" s="5">
        <v>1</v>
      </c>
      <c r="E9" s="5" t="s">
        <v>22</v>
      </c>
      <c r="F9" s="13" t="s">
        <v>11</v>
      </c>
    </row>
    <row r="10" ht="18" customHeight="1" spans="1:6">
      <c r="A10" s="5" t="s">
        <v>8</v>
      </c>
      <c r="B10" s="20" t="s">
        <v>14</v>
      </c>
      <c r="C10" s="5" t="s">
        <v>23</v>
      </c>
      <c r="D10" s="5">
        <v>1</v>
      </c>
      <c r="E10" s="5" t="s">
        <v>24</v>
      </c>
      <c r="F10" s="13" t="s">
        <v>11</v>
      </c>
    </row>
    <row r="11" ht="18" customHeight="1" spans="1:6">
      <c r="A11" s="5" t="s">
        <v>8</v>
      </c>
      <c r="B11" s="20" t="s">
        <v>14</v>
      </c>
      <c r="C11" s="5" t="s">
        <v>25</v>
      </c>
      <c r="D11" s="5">
        <v>2</v>
      </c>
      <c r="E11" s="5" t="s">
        <v>26</v>
      </c>
      <c r="F11" s="13" t="s">
        <v>11</v>
      </c>
    </row>
    <row r="12" ht="18" customHeight="1" spans="1:6">
      <c r="A12" s="5" t="s">
        <v>8</v>
      </c>
      <c r="B12" s="20" t="s">
        <v>14</v>
      </c>
      <c r="C12" s="5" t="s">
        <v>27</v>
      </c>
      <c r="D12" s="5">
        <v>2</v>
      </c>
      <c r="E12" s="5" t="s">
        <v>28</v>
      </c>
      <c r="F12" s="13" t="s">
        <v>11</v>
      </c>
    </row>
    <row r="13" ht="18" customHeight="1" spans="1:6">
      <c r="A13" s="5" t="s">
        <v>8</v>
      </c>
      <c r="B13" s="20" t="s">
        <v>14</v>
      </c>
      <c r="C13" s="5" t="s">
        <v>29</v>
      </c>
      <c r="D13" s="5">
        <v>3</v>
      </c>
      <c r="E13" s="5" t="s">
        <v>30</v>
      </c>
      <c r="F13" s="13" t="s">
        <v>11</v>
      </c>
    </row>
    <row r="14" ht="18" customHeight="1" spans="1:6">
      <c r="A14" s="5" t="s">
        <v>8</v>
      </c>
      <c r="B14" s="20" t="s">
        <v>14</v>
      </c>
      <c r="C14" s="5" t="s">
        <v>31</v>
      </c>
      <c r="D14" s="5">
        <v>2</v>
      </c>
      <c r="E14" s="5" t="s">
        <v>32</v>
      </c>
      <c r="F14" s="13" t="s">
        <v>11</v>
      </c>
    </row>
    <row r="15" ht="18" customHeight="1" spans="1:6">
      <c r="A15" s="5" t="s">
        <v>8</v>
      </c>
      <c r="B15" s="20" t="s">
        <v>14</v>
      </c>
      <c r="C15" s="5" t="s">
        <v>33</v>
      </c>
      <c r="D15" s="5">
        <v>4</v>
      </c>
      <c r="E15" s="5" t="s">
        <v>34</v>
      </c>
      <c r="F15" s="13" t="s">
        <v>11</v>
      </c>
    </row>
    <row r="16" ht="18" customHeight="1" spans="1:6">
      <c r="A16" s="5" t="s">
        <v>8</v>
      </c>
      <c r="B16" s="20" t="s">
        <v>14</v>
      </c>
      <c r="C16" s="5" t="s">
        <v>35</v>
      </c>
      <c r="D16" s="5">
        <v>2</v>
      </c>
      <c r="E16" s="5" t="s">
        <v>36</v>
      </c>
      <c r="F16" s="13" t="s">
        <v>11</v>
      </c>
    </row>
    <row r="17" ht="18" customHeight="1" spans="1:6">
      <c r="A17" s="5" t="s">
        <v>8</v>
      </c>
      <c r="B17" s="20" t="s">
        <v>14</v>
      </c>
      <c r="C17" s="5" t="s">
        <v>37</v>
      </c>
      <c r="D17" s="5">
        <v>1</v>
      </c>
      <c r="E17" s="178" t="s">
        <v>38</v>
      </c>
      <c r="F17" s="13" t="s">
        <v>11</v>
      </c>
    </row>
    <row r="18" ht="18" customHeight="1" spans="1:6">
      <c r="A18" s="13" t="s">
        <v>8</v>
      </c>
      <c r="B18" s="13" t="s">
        <v>39</v>
      </c>
      <c r="C18" s="13" t="s">
        <v>40</v>
      </c>
      <c r="D18" s="13">
        <v>2</v>
      </c>
      <c r="E18" s="179" t="s">
        <v>41</v>
      </c>
      <c r="F18" s="13" t="s">
        <v>11</v>
      </c>
    </row>
    <row r="19" ht="18" customHeight="1" spans="1:6">
      <c r="A19" s="13" t="s">
        <v>8</v>
      </c>
      <c r="B19" s="13" t="s">
        <v>39</v>
      </c>
      <c r="C19" s="13" t="s">
        <v>42</v>
      </c>
      <c r="D19" s="13">
        <v>2</v>
      </c>
      <c r="E19" s="179" t="s">
        <v>43</v>
      </c>
      <c r="F19" s="13" t="s">
        <v>11</v>
      </c>
    </row>
    <row r="20" ht="18" customHeight="1" spans="1:6">
      <c r="A20" s="5" t="s">
        <v>8</v>
      </c>
      <c r="B20" s="5" t="s">
        <v>44</v>
      </c>
      <c r="C20" s="5" t="s">
        <v>45</v>
      </c>
      <c r="D20" s="5">
        <v>2</v>
      </c>
      <c r="E20" s="178" t="s">
        <v>46</v>
      </c>
      <c r="F20" s="13" t="s">
        <v>11</v>
      </c>
    </row>
    <row r="21" ht="18" customHeight="1" spans="1:6">
      <c r="A21" s="5" t="s">
        <v>8</v>
      </c>
      <c r="B21" s="5" t="s">
        <v>47</v>
      </c>
      <c r="C21" s="5" t="s">
        <v>48</v>
      </c>
      <c r="D21" s="5">
        <v>3</v>
      </c>
      <c r="E21" s="178" t="s">
        <v>49</v>
      </c>
      <c r="F21" s="13" t="s">
        <v>11</v>
      </c>
    </row>
    <row r="22" ht="18" customHeight="1" spans="1:6">
      <c r="A22" s="5" t="s">
        <v>8</v>
      </c>
      <c r="B22" s="13" t="s">
        <v>50</v>
      </c>
      <c r="C22" s="109" t="s">
        <v>51</v>
      </c>
      <c r="D22" s="110">
        <v>1</v>
      </c>
      <c r="E22" s="180" t="s">
        <v>52</v>
      </c>
      <c r="F22" s="13" t="s">
        <v>11</v>
      </c>
    </row>
    <row r="23" ht="18" customHeight="1" spans="1:6">
      <c r="A23" s="5" t="s">
        <v>8</v>
      </c>
      <c r="B23" s="13" t="s">
        <v>53</v>
      </c>
      <c r="C23" s="107" t="s">
        <v>54</v>
      </c>
      <c r="D23" s="108">
        <v>3</v>
      </c>
      <c r="E23" s="181" t="s">
        <v>55</v>
      </c>
      <c r="F23" s="13" t="s">
        <v>11</v>
      </c>
    </row>
    <row r="24" ht="18" customHeight="1" spans="1:6">
      <c r="A24" s="5" t="s">
        <v>8</v>
      </c>
      <c r="B24" s="13" t="s">
        <v>56</v>
      </c>
      <c r="C24" s="111" t="s">
        <v>57</v>
      </c>
      <c r="D24" s="112">
        <v>1</v>
      </c>
      <c r="E24" s="182" t="s">
        <v>58</v>
      </c>
      <c r="F24" s="13" t="s">
        <v>11</v>
      </c>
    </row>
    <row r="25" ht="18" customHeight="1" spans="1:6">
      <c r="A25" s="5" t="s">
        <v>8</v>
      </c>
      <c r="B25" s="13" t="s">
        <v>59</v>
      </c>
      <c r="C25" s="113" t="s">
        <v>60</v>
      </c>
      <c r="D25" s="114">
        <v>1</v>
      </c>
      <c r="E25" s="183" t="s">
        <v>61</v>
      </c>
      <c r="F25" s="13" t="s">
        <v>11</v>
      </c>
    </row>
    <row r="26" ht="18" customHeight="1" spans="1:6">
      <c r="A26" s="5" t="s">
        <v>8</v>
      </c>
      <c r="B26" s="13" t="s">
        <v>62</v>
      </c>
      <c r="C26" s="113" t="s">
        <v>63</v>
      </c>
      <c r="D26" s="114">
        <v>4</v>
      </c>
      <c r="E26" s="115" t="s">
        <v>64</v>
      </c>
      <c r="F26" s="13" t="s">
        <v>11</v>
      </c>
    </row>
    <row r="27" ht="18" customHeight="1" spans="1:6">
      <c r="A27" s="5" t="s">
        <v>8</v>
      </c>
      <c r="B27" s="13" t="s">
        <v>62</v>
      </c>
      <c r="C27" s="113" t="s">
        <v>65</v>
      </c>
      <c r="D27" s="114">
        <v>1</v>
      </c>
      <c r="E27" s="184" t="s">
        <v>66</v>
      </c>
      <c r="F27" s="13" t="s">
        <v>11</v>
      </c>
    </row>
    <row r="28" ht="18" customHeight="1" spans="1:6">
      <c r="A28" s="5" t="s">
        <v>8</v>
      </c>
      <c r="B28" s="13" t="s">
        <v>62</v>
      </c>
      <c r="C28" s="113" t="s">
        <v>67</v>
      </c>
      <c r="D28" s="114">
        <v>1</v>
      </c>
      <c r="E28" s="184" t="s">
        <v>68</v>
      </c>
      <c r="F28" s="13" t="s">
        <v>11</v>
      </c>
    </row>
    <row r="29" ht="18" customHeight="1" spans="1:6">
      <c r="A29" s="5" t="s">
        <v>8</v>
      </c>
      <c r="B29" s="13" t="s">
        <v>69</v>
      </c>
      <c r="C29" s="113" t="s">
        <v>70</v>
      </c>
      <c r="D29" s="114">
        <v>2</v>
      </c>
      <c r="E29" s="117" t="s">
        <v>71</v>
      </c>
      <c r="F29" s="13" t="s">
        <v>11</v>
      </c>
    </row>
    <row r="30" ht="18" customHeight="1" spans="1:6">
      <c r="A30" s="5" t="s">
        <v>8</v>
      </c>
      <c r="B30" s="13" t="s">
        <v>56</v>
      </c>
      <c r="C30" s="113" t="s">
        <v>72</v>
      </c>
      <c r="D30" s="114">
        <v>2</v>
      </c>
      <c r="E30" s="182" t="s">
        <v>73</v>
      </c>
      <c r="F30" s="13" t="s">
        <v>11</v>
      </c>
    </row>
    <row r="31" ht="18" customHeight="1" spans="1:6">
      <c r="A31" s="5" t="s">
        <v>8</v>
      </c>
      <c r="B31" s="13" t="s">
        <v>62</v>
      </c>
      <c r="C31" s="113" t="s">
        <v>74</v>
      </c>
      <c r="D31" s="114">
        <v>2</v>
      </c>
      <c r="E31" s="184" t="s">
        <v>75</v>
      </c>
      <c r="F31" s="13" t="s">
        <v>11</v>
      </c>
    </row>
    <row r="32" ht="18" customHeight="1" spans="1:6">
      <c r="A32" s="5" t="s">
        <v>8</v>
      </c>
      <c r="B32" s="13" t="s">
        <v>62</v>
      </c>
      <c r="C32" s="113" t="s">
        <v>76</v>
      </c>
      <c r="D32" s="114">
        <v>1</v>
      </c>
      <c r="E32" s="184" t="s">
        <v>77</v>
      </c>
      <c r="F32" s="13" t="s">
        <v>11</v>
      </c>
    </row>
    <row r="33" ht="18" customHeight="1" spans="1:6">
      <c r="A33" s="13" t="s">
        <v>8</v>
      </c>
      <c r="B33" s="13" t="s">
        <v>78</v>
      </c>
      <c r="C33" s="12" t="s">
        <v>79</v>
      </c>
      <c r="D33" s="13">
        <v>3</v>
      </c>
      <c r="E33" s="12" t="s">
        <v>80</v>
      </c>
      <c r="F33" s="13" t="s">
        <v>11</v>
      </c>
    </row>
    <row r="34" ht="18" customHeight="1" spans="1:6">
      <c r="A34" s="13" t="s">
        <v>8</v>
      </c>
      <c r="B34" s="13" t="s">
        <v>78</v>
      </c>
      <c r="C34" s="5" t="s">
        <v>81</v>
      </c>
      <c r="D34" s="13">
        <v>2</v>
      </c>
      <c r="E34" s="13" t="s">
        <v>82</v>
      </c>
      <c r="F34" s="13" t="s">
        <v>11</v>
      </c>
    </row>
    <row r="35" ht="18" customHeight="1" spans="1:6">
      <c r="A35" s="13" t="s">
        <v>8</v>
      </c>
      <c r="B35" s="13" t="s">
        <v>78</v>
      </c>
      <c r="C35" s="14" t="s">
        <v>83</v>
      </c>
      <c r="D35" s="13">
        <v>2</v>
      </c>
      <c r="E35" s="14" t="s">
        <v>84</v>
      </c>
      <c r="F35" s="13" t="s">
        <v>11</v>
      </c>
    </row>
    <row r="36" ht="18" customHeight="1" spans="1:6">
      <c r="A36" s="13" t="s">
        <v>8</v>
      </c>
      <c r="B36" s="13" t="s">
        <v>78</v>
      </c>
      <c r="C36" s="12" t="s">
        <v>85</v>
      </c>
      <c r="D36" s="13">
        <v>2</v>
      </c>
      <c r="E36" s="12" t="s">
        <v>86</v>
      </c>
      <c r="F36" s="13" t="s">
        <v>11</v>
      </c>
    </row>
    <row r="37" ht="18" customHeight="1" spans="1:6">
      <c r="A37" s="13" t="s">
        <v>8</v>
      </c>
      <c r="B37" s="13" t="s">
        <v>78</v>
      </c>
      <c r="C37" s="5" t="s">
        <v>87</v>
      </c>
      <c r="D37" s="13">
        <v>3</v>
      </c>
      <c r="E37" s="13" t="s">
        <v>88</v>
      </c>
      <c r="F37" s="13" t="s">
        <v>11</v>
      </c>
    </row>
    <row r="38" ht="18" customHeight="1" spans="1:6">
      <c r="A38" s="13" t="s">
        <v>8</v>
      </c>
      <c r="B38" s="13" t="s">
        <v>78</v>
      </c>
      <c r="C38" s="13" t="s">
        <v>89</v>
      </c>
      <c r="D38" s="13">
        <v>1</v>
      </c>
      <c r="E38" s="14" t="s">
        <v>90</v>
      </c>
      <c r="F38" s="13" t="s">
        <v>11</v>
      </c>
    </row>
    <row r="39" ht="18" customHeight="1" spans="1:6">
      <c r="A39" s="13" t="s">
        <v>8</v>
      </c>
      <c r="B39" s="13" t="s">
        <v>78</v>
      </c>
      <c r="C39" s="13" t="s">
        <v>91</v>
      </c>
      <c r="D39" s="13">
        <v>2</v>
      </c>
      <c r="E39" s="14" t="s">
        <v>92</v>
      </c>
      <c r="F39" s="13" t="s">
        <v>11</v>
      </c>
    </row>
    <row r="40" ht="18" customHeight="1" spans="1:6">
      <c r="A40" s="13" t="s">
        <v>8</v>
      </c>
      <c r="B40" s="13" t="s">
        <v>78</v>
      </c>
      <c r="C40" s="13" t="s">
        <v>93</v>
      </c>
      <c r="D40" s="13">
        <v>2</v>
      </c>
      <c r="E40" s="14" t="s">
        <v>94</v>
      </c>
      <c r="F40" s="13" t="s">
        <v>11</v>
      </c>
    </row>
    <row r="41" ht="18" customHeight="1" spans="1:6">
      <c r="A41" s="13" t="s">
        <v>8</v>
      </c>
      <c r="B41" s="13" t="s">
        <v>78</v>
      </c>
      <c r="C41" s="12" t="s">
        <v>95</v>
      </c>
      <c r="D41" s="13">
        <v>3</v>
      </c>
      <c r="E41" s="12" t="s">
        <v>96</v>
      </c>
      <c r="F41" s="13" t="s">
        <v>11</v>
      </c>
    </row>
    <row r="42" ht="18" customHeight="1" spans="1:6">
      <c r="A42" s="13" t="s">
        <v>8</v>
      </c>
      <c r="B42" s="13" t="s">
        <v>78</v>
      </c>
      <c r="C42" s="13" t="s">
        <v>97</v>
      </c>
      <c r="D42" s="13">
        <v>3</v>
      </c>
      <c r="E42" s="14" t="s">
        <v>98</v>
      </c>
      <c r="F42" s="13" t="s">
        <v>11</v>
      </c>
    </row>
    <row r="43" ht="18" customHeight="1" spans="1:6">
      <c r="A43" s="13" t="s">
        <v>8</v>
      </c>
      <c r="B43" s="13" t="s">
        <v>99</v>
      </c>
      <c r="C43" s="5" t="s">
        <v>100</v>
      </c>
      <c r="D43" s="5">
        <v>2</v>
      </c>
      <c r="E43" s="5" t="str">
        <f>LEFT("420325196207200026",19)</f>
        <v>420325196207200026</v>
      </c>
      <c r="F43" s="13" t="s">
        <v>11</v>
      </c>
    </row>
    <row r="44" ht="18" customHeight="1" spans="1:6">
      <c r="A44" s="13" t="s">
        <v>8</v>
      </c>
      <c r="B44" s="13" t="s">
        <v>101</v>
      </c>
      <c r="C44" s="5" t="s">
        <v>102</v>
      </c>
      <c r="D44" s="5">
        <v>4</v>
      </c>
      <c r="E44" s="185" t="s">
        <v>103</v>
      </c>
      <c r="F44" s="13" t="s">
        <v>11</v>
      </c>
    </row>
    <row r="45" ht="18" customHeight="1" spans="1:6">
      <c r="A45" s="13" t="s">
        <v>8</v>
      </c>
      <c r="B45" s="13" t="s">
        <v>104</v>
      </c>
      <c r="C45" s="10" t="s">
        <v>105</v>
      </c>
      <c r="D45" s="10">
        <v>3</v>
      </c>
      <c r="E45" s="185" t="s">
        <v>106</v>
      </c>
      <c r="F45" s="13" t="s">
        <v>11</v>
      </c>
    </row>
    <row r="46" ht="18" customHeight="1" spans="1:6">
      <c r="A46" s="5" t="s">
        <v>8</v>
      </c>
      <c r="B46" s="13" t="s">
        <v>107</v>
      </c>
      <c r="C46" s="13" t="s">
        <v>108</v>
      </c>
      <c r="D46" s="13">
        <v>3</v>
      </c>
      <c r="E46" s="179" t="s">
        <v>109</v>
      </c>
      <c r="F46" s="13" t="s">
        <v>11</v>
      </c>
    </row>
    <row r="47" ht="18" customHeight="1" spans="1:6">
      <c r="A47" s="5" t="s">
        <v>8</v>
      </c>
      <c r="B47" s="13" t="s">
        <v>110</v>
      </c>
      <c r="C47" s="13" t="s">
        <v>111</v>
      </c>
      <c r="D47" s="13">
        <v>1</v>
      </c>
      <c r="E47" s="179" t="s">
        <v>112</v>
      </c>
      <c r="F47" s="13" t="s">
        <v>11</v>
      </c>
    </row>
    <row r="48" ht="18" customHeight="1" spans="1:6">
      <c r="A48" s="5" t="s">
        <v>8</v>
      </c>
      <c r="B48" s="13" t="s">
        <v>110</v>
      </c>
      <c r="C48" s="13" t="s">
        <v>113</v>
      </c>
      <c r="D48" s="13">
        <v>1</v>
      </c>
      <c r="E48" s="179" t="s">
        <v>114</v>
      </c>
      <c r="F48" s="13" t="s">
        <v>11</v>
      </c>
    </row>
    <row r="49" ht="18" customHeight="1" spans="1:6">
      <c r="A49" s="5" t="s">
        <v>8</v>
      </c>
      <c r="B49" s="13" t="s">
        <v>115</v>
      </c>
      <c r="C49" s="13" t="s">
        <v>116</v>
      </c>
      <c r="D49" s="13">
        <v>1</v>
      </c>
      <c r="E49" s="179" t="s">
        <v>117</v>
      </c>
      <c r="F49" s="13" t="s">
        <v>11</v>
      </c>
    </row>
    <row r="50" ht="18" customHeight="1" spans="1:6">
      <c r="A50" s="5" t="s">
        <v>8</v>
      </c>
      <c r="B50" s="13" t="s">
        <v>118</v>
      </c>
      <c r="C50" s="13" t="s">
        <v>119</v>
      </c>
      <c r="D50" s="13">
        <v>2</v>
      </c>
      <c r="E50" s="179" t="s">
        <v>120</v>
      </c>
      <c r="F50" s="13" t="s">
        <v>11</v>
      </c>
    </row>
    <row r="51" ht="18" customHeight="1" spans="1:6">
      <c r="A51" s="5" t="s">
        <v>8</v>
      </c>
      <c r="B51" s="13" t="s">
        <v>121</v>
      </c>
      <c r="C51" s="13" t="s">
        <v>122</v>
      </c>
      <c r="D51" s="13">
        <v>3</v>
      </c>
      <c r="E51" s="179" t="s">
        <v>123</v>
      </c>
      <c r="F51" s="13" t="s">
        <v>11</v>
      </c>
    </row>
    <row r="52" ht="18" customHeight="1" spans="1:6">
      <c r="A52" s="5" t="s">
        <v>8</v>
      </c>
      <c r="B52" s="13" t="s">
        <v>121</v>
      </c>
      <c r="C52" s="13" t="s">
        <v>124</v>
      </c>
      <c r="D52" s="13">
        <v>6</v>
      </c>
      <c r="E52" s="179" t="s">
        <v>125</v>
      </c>
      <c r="F52" s="13" t="s">
        <v>11</v>
      </c>
    </row>
    <row r="53" ht="18" customHeight="1" spans="1:6">
      <c r="A53" s="13" t="s">
        <v>8</v>
      </c>
      <c r="B53" s="13" t="s">
        <v>121</v>
      </c>
      <c r="C53" s="13" t="s">
        <v>126</v>
      </c>
      <c r="D53" s="13">
        <v>3</v>
      </c>
      <c r="E53" s="118" t="s">
        <v>127</v>
      </c>
      <c r="F53" s="13" t="s">
        <v>11</v>
      </c>
    </row>
    <row r="54" ht="18" customHeight="1" spans="1:6">
      <c r="A54" s="5" t="s">
        <v>8</v>
      </c>
      <c r="B54" s="20" t="s">
        <v>128</v>
      </c>
      <c r="C54" s="20" t="s">
        <v>129</v>
      </c>
      <c r="D54" s="20">
        <v>1</v>
      </c>
      <c r="E54" s="179" t="s">
        <v>130</v>
      </c>
      <c r="F54" s="13" t="s">
        <v>11</v>
      </c>
    </row>
    <row r="55" ht="18" customHeight="1" spans="1:6">
      <c r="A55" s="5" t="s">
        <v>8</v>
      </c>
      <c r="B55" s="20" t="s">
        <v>131</v>
      </c>
      <c r="C55" s="20" t="s">
        <v>132</v>
      </c>
      <c r="D55" s="20">
        <v>2</v>
      </c>
      <c r="E55" s="179" t="s">
        <v>133</v>
      </c>
      <c r="F55" s="13" t="s">
        <v>11</v>
      </c>
    </row>
    <row r="56" ht="18" customHeight="1" spans="1:6">
      <c r="A56" s="5" t="s">
        <v>8</v>
      </c>
      <c r="B56" s="20" t="s">
        <v>134</v>
      </c>
      <c r="C56" s="20" t="s">
        <v>135</v>
      </c>
      <c r="D56" s="20">
        <v>5</v>
      </c>
      <c r="E56" s="12" t="s">
        <v>136</v>
      </c>
      <c r="F56" s="13" t="s">
        <v>11</v>
      </c>
    </row>
    <row r="57" ht="18" customHeight="1" spans="1:6">
      <c r="A57" s="5" t="s">
        <v>8</v>
      </c>
      <c r="B57" s="20" t="s">
        <v>137</v>
      </c>
      <c r="C57" s="20" t="s">
        <v>138</v>
      </c>
      <c r="D57" s="20">
        <v>2</v>
      </c>
      <c r="E57" s="179" t="s">
        <v>139</v>
      </c>
      <c r="F57" s="13" t="s">
        <v>11</v>
      </c>
    </row>
    <row r="58" ht="18" customHeight="1" spans="1:6">
      <c r="A58" s="5" t="s">
        <v>8</v>
      </c>
      <c r="B58" s="20" t="s">
        <v>137</v>
      </c>
      <c r="C58" s="20" t="s">
        <v>140</v>
      </c>
      <c r="D58" s="20">
        <v>2</v>
      </c>
      <c r="E58" s="179" t="s">
        <v>141</v>
      </c>
      <c r="F58" s="13" t="s">
        <v>11</v>
      </c>
    </row>
    <row r="59" ht="18" customHeight="1" spans="1:6">
      <c r="A59" s="13" t="s">
        <v>8</v>
      </c>
      <c r="B59" s="13" t="s">
        <v>142</v>
      </c>
      <c r="C59" s="13" t="s">
        <v>143</v>
      </c>
      <c r="D59" s="13">
        <v>3</v>
      </c>
      <c r="E59" s="14" t="s">
        <v>144</v>
      </c>
      <c r="F59" s="13" t="s">
        <v>11</v>
      </c>
    </row>
    <row r="60" ht="18" customHeight="1" spans="1:6">
      <c r="A60" s="13" t="s">
        <v>8</v>
      </c>
      <c r="B60" s="13" t="s">
        <v>145</v>
      </c>
      <c r="C60" s="13" t="s">
        <v>146</v>
      </c>
      <c r="D60" s="13">
        <v>3</v>
      </c>
      <c r="E60" s="14" t="s">
        <v>147</v>
      </c>
      <c r="F60" s="13" t="s">
        <v>11</v>
      </c>
    </row>
    <row r="61" ht="18" customHeight="1" spans="1:6">
      <c r="A61" s="13" t="s">
        <v>8</v>
      </c>
      <c r="B61" s="13" t="s">
        <v>148</v>
      </c>
      <c r="C61" s="13" t="s">
        <v>149</v>
      </c>
      <c r="D61" s="13">
        <v>3</v>
      </c>
      <c r="E61" s="14" t="s">
        <v>150</v>
      </c>
      <c r="F61" s="13" t="s">
        <v>11</v>
      </c>
    </row>
    <row r="62" ht="18" customHeight="1" spans="1:6">
      <c r="A62" s="5" t="s">
        <v>8</v>
      </c>
      <c r="B62" s="13" t="s">
        <v>151</v>
      </c>
      <c r="C62" s="13" t="s">
        <v>152</v>
      </c>
      <c r="D62" s="13">
        <v>3</v>
      </c>
      <c r="E62" s="14" t="s">
        <v>153</v>
      </c>
      <c r="F62" s="13" t="s">
        <v>11</v>
      </c>
    </row>
    <row r="63" ht="18" customHeight="1" spans="1:6">
      <c r="A63" s="5" t="s">
        <v>8</v>
      </c>
      <c r="B63" s="13" t="s">
        <v>154</v>
      </c>
      <c r="C63" s="13" t="s">
        <v>155</v>
      </c>
      <c r="D63" s="13">
        <v>4</v>
      </c>
      <c r="E63" s="14" t="s">
        <v>156</v>
      </c>
      <c r="F63" s="13" t="s">
        <v>11</v>
      </c>
    </row>
    <row r="64" ht="18" customHeight="1" spans="1:6">
      <c r="A64" s="5" t="s">
        <v>8</v>
      </c>
      <c r="B64" s="13" t="s">
        <v>157</v>
      </c>
      <c r="C64" s="13" t="s">
        <v>158</v>
      </c>
      <c r="D64" s="13">
        <v>3</v>
      </c>
      <c r="E64" s="14" t="s">
        <v>159</v>
      </c>
      <c r="F64" s="13" t="s">
        <v>11</v>
      </c>
    </row>
    <row r="65" ht="18" customHeight="1" spans="1:6">
      <c r="A65" s="5" t="s">
        <v>8</v>
      </c>
      <c r="B65" s="13" t="s">
        <v>160</v>
      </c>
      <c r="C65" s="13" t="s">
        <v>161</v>
      </c>
      <c r="D65" s="13">
        <v>3</v>
      </c>
      <c r="E65" s="14" t="s">
        <v>162</v>
      </c>
      <c r="F65" s="13" t="s">
        <v>11</v>
      </c>
    </row>
    <row r="66" ht="18" customHeight="1" spans="1:6">
      <c r="A66" s="5" t="s">
        <v>8</v>
      </c>
      <c r="B66" s="13" t="s">
        <v>157</v>
      </c>
      <c r="C66" s="13" t="s">
        <v>163</v>
      </c>
      <c r="D66" s="13">
        <v>3</v>
      </c>
      <c r="E66" s="14" t="s">
        <v>164</v>
      </c>
      <c r="F66" s="13" t="s">
        <v>11</v>
      </c>
    </row>
    <row r="67" ht="18" customHeight="1" spans="1:6">
      <c r="A67" s="5" t="s">
        <v>8</v>
      </c>
      <c r="B67" s="13" t="s">
        <v>165</v>
      </c>
      <c r="C67" s="13" t="s">
        <v>166</v>
      </c>
      <c r="D67" s="13">
        <v>3</v>
      </c>
      <c r="E67" s="14" t="s">
        <v>167</v>
      </c>
      <c r="F67" s="13" t="s">
        <v>11</v>
      </c>
    </row>
    <row r="68" ht="18" customHeight="1" spans="1:6">
      <c r="A68" s="5" t="s">
        <v>8</v>
      </c>
      <c r="B68" s="13" t="s">
        <v>168</v>
      </c>
      <c r="C68" s="13" t="s">
        <v>169</v>
      </c>
      <c r="D68" s="13">
        <v>2</v>
      </c>
      <c r="E68" s="14" t="s">
        <v>170</v>
      </c>
      <c r="F68" s="13" t="s">
        <v>11</v>
      </c>
    </row>
    <row r="69" ht="18" customHeight="1" spans="1:6">
      <c r="A69" s="13" t="s">
        <v>8</v>
      </c>
      <c r="B69" s="13" t="s">
        <v>171</v>
      </c>
      <c r="C69" s="13" t="s">
        <v>172</v>
      </c>
      <c r="D69" s="13">
        <v>1</v>
      </c>
      <c r="E69" s="186" t="s">
        <v>173</v>
      </c>
      <c r="F69" s="13" t="s">
        <v>11</v>
      </c>
    </row>
    <row r="70" ht="18" customHeight="1" spans="1:6">
      <c r="A70" s="13" t="s">
        <v>8</v>
      </c>
      <c r="B70" s="13" t="s">
        <v>174</v>
      </c>
      <c r="C70" s="13" t="s">
        <v>175</v>
      </c>
      <c r="D70" s="13">
        <v>2</v>
      </c>
      <c r="E70" s="15" t="s">
        <v>176</v>
      </c>
      <c r="F70" s="13" t="s">
        <v>11</v>
      </c>
    </row>
    <row r="71" ht="18" customHeight="1" spans="1:6">
      <c r="A71" s="13" t="s">
        <v>8</v>
      </c>
      <c r="B71" s="13" t="s">
        <v>171</v>
      </c>
      <c r="C71" s="13" t="s">
        <v>177</v>
      </c>
      <c r="D71" s="13">
        <v>2</v>
      </c>
      <c r="E71" s="186" t="s">
        <v>178</v>
      </c>
      <c r="F71" s="13" t="s">
        <v>11</v>
      </c>
    </row>
    <row r="72" ht="18" customHeight="1" spans="1:6">
      <c r="A72" s="13" t="s">
        <v>8</v>
      </c>
      <c r="B72" s="13" t="s">
        <v>179</v>
      </c>
      <c r="C72" s="13" t="s">
        <v>180</v>
      </c>
      <c r="D72" s="13">
        <v>3</v>
      </c>
      <c r="E72" s="186" t="s">
        <v>181</v>
      </c>
      <c r="F72" s="13" t="s">
        <v>11</v>
      </c>
    </row>
    <row r="73" ht="18" customHeight="1" spans="1:6">
      <c r="A73" s="13" t="s">
        <v>8</v>
      </c>
      <c r="B73" s="13" t="s">
        <v>182</v>
      </c>
      <c r="C73" s="13" t="s">
        <v>183</v>
      </c>
      <c r="D73" s="13">
        <v>2</v>
      </c>
      <c r="E73" s="179" t="s">
        <v>184</v>
      </c>
      <c r="F73" s="13" t="s">
        <v>11</v>
      </c>
    </row>
    <row r="74" ht="18" customHeight="1" spans="1:6">
      <c r="A74" s="13" t="s">
        <v>185</v>
      </c>
      <c r="B74" s="13"/>
      <c r="C74" s="13">
        <v>69</v>
      </c>
      <c r="D74" s="13">
        <v>162</v>
      </c>
      <c r="E74" s="13"/>
      <c r="F74" s="13"/>
    </row>
    <row r="75" ht="18" customHeight="1" spans="1:6">
      <c r="A75" s="13" t="s">
        <v>186</v>
      </c>
      <c r="B75" s="10" t="s">
        <v>187</v>
      </c>
      <c r="C75" s="10" t="s">
        <v>188</v>
      </c>
      <c r="D75" s="10">
        <v>4</v>
      </c>
      <c r="E75" s="10" t="s">
        <v>189</v>
      </c>
      <c r="F75" s="13" t="s">
        <v>11</v>
      </c>
    </row>
    <row r="76" ht="18" customHeight="1" spans="1:6">
      <c r="A76" s="13" t="s">
        <v>186</v>
      </c>
      <c r="B76" s="10" t="s">
        <v>187</v>
      </c>
      <c r="C76" s="10" t="s">
        <v>190</v>
      </c>
      <c r="D76" s="10">
        <v>4</v>
      </c>
      <c r="E76" s="10" t="s">
        <v>191</v>
      </c>
      <c r="F76" s="13" t="s">
        <v>11</v>
      </c>
    </row>
    <row r="77" ht="18" customHeight="1" spans="1:6">
      <c r="A77" s="13" t="s">
        <v>186</v>
      </c>
      <c r="B77" s="10" t="s">
        <v>187</v>
      </c>
      <c r="C77" s="10" t="s">
        <v>192</v>
      </c>
      <c r="D77" s="10">
        <v>5</v>
      </c>
      <c r="E77" s="10" t="s">
        <v>193</v>
      </c>
      <c r="F77" s="13" t="s">
        <v>11</v>
      </c>
    </row>
    <row r="78" ht="18" customHeight="1" spans="1:6">
      <c r="A78" s="13" t="s">
        <v>186</v>
      </c>
      <c r="B78" s="10" t="s">
        <v>187</v>
      </c>
      <c r="C78" s="10" t="s">
        <v>194</v>
      </c>
      <c r="D78" s="10">
        <v>5</v>
      </c>
      <c r="E78" s="10" t="s">
        <v>195</v>
      </c>
      <c r="F78" s="13" t="s">
        <v>11</v>
      </c>
    </row>
    <row r="79" ht="18" customHeight="1" spans="1:6">
      <c r="A79" s="13" t="s">
        <v>186</v>
      </c>
      <c r="B79" s="10" t="s">
        <v>187</v>
      </c>
      <c r="C79" s="10" t="s">
        <v>196</v>
      </c>
      <c r="D79" s="10">
        <v>5</v>
      </c>
      <c r="E79" s="10" t="s">
        <v>197</v>
      </c>
      <c r="F79" s="13" t="s">
        <v>11</v>
      </c>
    </row>
    <row r="80" ht="18" customHeight="1" spans="1:6">
      <c r="A80" s="13" t="s">
        <v>186</v>
      </c>
      <c r="B80" s="10" t="s">
        <v>187</v>
      </c>
      <c r="C80" s="10" t="s">
        <v>198</v>
      </c>
      <c r="D80" s="10">
        <v>3</v>
      </c>
      <c r="E80" s="10" t="s">
        <v>199</v>
      </c>
      <c r="F80" s="13" t="s">
        <v>11</v>
      </c>
    </row>
    <row r="81" ht="18" customHeight="1" spans="1:6">
      <c r="A81" s="13" t="s">
        <v>186</v>
      </c>
      <c r="B81" s="10" t="s">
        <v>187</v>
      </c>
      <c r="C81" s="10" t="s">
        <v>200</v>
      </c>
      <c r="D81" s="10">
        <v>3</v>
      </c>
      <c r="E81" s="10" t="s">
        <v>201</v>
      </c>
      <c r="F81" s="13" t="s">
        <v>11</v>
      </c>
    </row>
    <row r="82" ht="18" customHeight="1" spans="1:6">
      <c r="A82" s="13" t="s">
        <v>186</v>
      </c>
      <c r="B82" s="10" t="s">
        <v>187</v>
      </c>
      <c r="C82" s="10" t="s">
        <v>202</v>
      </c>
      <c r="D82" s="10">
        <v>4</v>
      </c>
      <c r="E82" s="10" t="s">
        <v>203</v>
      </c>
      <c r="F82" s="13" t="s">
        <v>11</v>
      </c>
    </row>
    <row r="83" ht="18" customHeight="1" spans="1:6">
      <c r="A83" s="13" t="s">
        <v>186</v>
      </c>
      <c r="B83" s="10" t="s">
        <v>187</v>
      </c>
      <c r="C83" s="10" t="s">
        <v>204</v>
      </c>
      <c r="D83" s="10">
        <v>2</v>
      </c>
      <c r="E83" s="10" t="s">
        <v>205</v>
      </c>
      <c r="F83" s="13" t="s">
        <v>11</v>
      </c>
    </row>
    <row r="84" ht="18" customHeight="1" spans="1:6">
      <c r="A84" s="13" t="s">
        <v>186</v>
      </c>
      <c r="B84" s="10" t="s">
        <v>187</v>
      </c>
      <c r="C84" s="10" t="s">
        <v>206</v>
      </c>
      <c r="D84" s="10">
        <v>1</v>
      </c>
      <c r="E84" s="10" t="s">
        <v>207</v>
      </c>
      <c r="F84" s="13" t="s">
        <v>11</v>
      </c>
    </row>
    <row r="85" ht="18" customHeight="1" spans="1:6">
      <c r="A85" s="13" t="s">
        <v>186</v>
      </c>
      <c r="B85" s="10" t="s">
        <v>187</v>
      </c>
      <c r="C85" s="10" t="s">
        <v>208</v>
      </c>
      <c r="D85" s="10">
        <v>4</v>
      </c>
      <c r="E85" s="187" t="s">
        <v>209</v>
      </c>
      <c r="F85" s="13" t="s">
        <v>11</v>
      </c>
    </row>
    <row r="86" ht="18" customHeight="1" spans="1:6">
      <c r="A86" s="13" t="s">
        <v>186</v>
      </c>
      <c r="B86" s="10" t="s">
        <v>210</v>
      </c>
      <c r="C86" s="10" t="s">
        <v>211</v>
      </c>
      <c r="D86" s="10">
        <v>3</v>
      </c>
      <c r="E86" s="10" t="s">
        <v>212</v>
      </c>
      <c r="F86" s="13" t="s">
        <v>11</v>
      </c>
    </row>
    <row r="87" ht="18" customHeight="1" spans="1:6">
      <c r="A87" s="13" t="s">
        <v>186</v>
      </c>
      <c r="B87" s="10" t="s">
        <v>210</v>
      </c>
      <c r="C87" s="10" t="s">
        <v>213</v>
      </c>
      <c r="D87" s="10">
        <v>4</v>
      </c>
      <c r="E87" s="10" t="s">
        <v>214</v>
      </c>
      <c r="F87" s="13" t="s">
        <v>11</v>
      </c>
    </row>
    <row r="88" ht="18" customHeight="1" spans="1:6">
      <c r="A88" s="13" t="s">
        <v>186</v>
      </c>
      <c r="B88" s="10" t="s">
        <v>210</v>
      </c>
      <c r="C88" s="10" t="s">
        <v>215</v>
      </c>
      <c r="D88" s="10">
        <v>2</v>
      </c>
      <c r="E88" s="10" t="s">
        <v>216</v>
      </c>
      <c r="F88" s="13" t="s">
        <v>11</v>
      </c>
    </row>
    <row r="89" ht="18" customHeight="1" spans="1:6">
      <c r="A89" s="13" t="s">
        <v>186</v>
      </c>
      <c r="B89" s="10" t="s">
        <v>210</v>
      </c>
      <c r="C89" s="10" t="s">
        <v>217</v>
      </c>
      <c r="D89" s="10">
        <v>2</v>
      </c>
      <c r="E89" s="10" t="s">
        <v>218</v>
      </c>
      <c r="F89" s="13" t="s">
        <v>11</v>
      </c>
    </row>
    <row r="90" ht="18" customHeight="1" spans="1:6">
      <c r="A90" s="13" t="s">
        <v>186</v>
      </c>
      <c r="B90" s="10" t="s">
        <v>210</v>
      </c>
      <c r="C90" s="10" t="s">
        <v>219</v>
      </c>
      <c r="D90" s="10">
        <v>1</v>
      </c>
      <c r="E90" s="10" t="s">
        <v>220</v>
      </c>
      <c r="F90" s="13" t="s">
        <v>11</v>
      </c>
    </row>
    <row r="91" ht="18" customHeight="1" spans="1:6">
      <c r="A91" s="13" t="s">
        <v>186</v>
      </c>
      <c r="B91" s="10" t="s">
        <v>210</v>
      </c>
      <c r="C91" s="10" t="s">
        <v>221</v>
      </c>
      <c r="D91" s="10">
        <v>1</v>
      </c>
      <c r="E91" s="10" t="s">
        <v>222</v>
      </c>
      <c r="F91" s="13" t="s">
        <v>11</v>
      </c>
    </row>
    <row r="92" ht="18" customHeight="1" spans="1:6">
      <c r="A92" s="13" t="s">
        <v>186</v>
      </c>
      <c r="B92" s="10" t="s">
        <v>210</v>
      </c>
      <c r="C92" s="10" t="s">
        <v>223</v>
      </c>
      <c r="D92" s="10">
        <v>1</v>
      </c>
      <c r="E92" s="10" t="s">
        <v>224</v>
      </c>
      <c r="F92" s="13" t="s">
        <v>11</v>
      </c>
    </row>
    <row r="93" ht="18" customHeight="1" spans="1:6">
      <c r="A93" s="13" t="s">
        <v>186</v>
      </c>
      <c r="B93" s="10" t="s">
        <v>210</v>
      </c>
      <c r="C93" s="10" t="s">
        <v>225</v>
      </c>
      <c r="D93" s="10">
        <v>1</v>
      </c>
      <c r="E93" s="10" t="s">
        <v>226</v>
      </c>
      <c r="F93" s="13" t="s">
        <v>11</v>
      </c>
    </row>
    <row r="94" ht="18" customHeight="1" spans="1:6">
      <c r="A94" s="13" t="s">
        <v>186</v>
      </c>
      <c r="B94" s="10" t="s">
        <v>210</v>
      </c>
      <c r="C94" s="10" t="s">
        <v>227</v>
      </c>
      <c r="D94" s="10">
        <v>4</v>
      </c>
      <c r="E94" s="10" t="s">
        <v>228</v>
      </c>
      <c r="F94" s="13" t="s">
        <v>11</v>
      </c>
    </row>
    <row r="95" ht="18" customHeight="1" spans="1:6">
      <c r="A95" s="13" t="s">
        <v>186</v>
      </c>
      <c r="B95" s="10" t="s">
        <v>210</v>
      </c>
      <c r="C95" s="10" t="s">
        <v>229</v>
      </c>
      <c r="D95" s="10">
        <v>5</v>
      </c>
      <c r="E95" s="10" t="s">
        <v>230</v>
      </c>
      <c r="F95" s="13" t="s">
        <v>11</v>
      </c>
    </row>
    <row r="96" ht="18" customHeight="1" spans="1:6">
      <c r="A96" s="13" t="s">
        <v>186</v>
      </c>
      <c r="B96" s="10" t="s">
        <v>210</v>
      </c>
      <c r="C96" s="10" t="s">
        <v>231</v>
      </c>
      <c r="D96" s="10">
        <v>4</v>
      </c>
      <c r="E96" s="10" t="s">
        <v>232</v>
      </c>
      <c r="F96" s="13" t="s">
        <v>11</v>
      </c>
    </row>
    <row r="97" ht="18" customHeight="1" spans="1:6">
      <c r="A97" s="13" t="s">
        <v>186</v>
      </c>
      <c r="B97" s="10" t="s">
        <v>210</v>
      </c>
      <c r="C97" s="10" t="s">
        <v>233</v>
      </c>
      <c r="D97" s="10">
        <v>4</v>
      </c>
      <c r="E97" s="10" t="s">
        <v>234</v>
      </c>
      <c r="F97" s="13" t="s">
        <v>11</v>
      </c>
    </row>
    <row r="98" ht="18" customHeight="1" spans="1:6">
      <c r="A98" s="13" t="s">
        <v>186</v>
      </c>
      <c r="B98" s="10" t="s">
        <v>210</v>
      </c>
      <c r="C98" s="10" t="s">
        <v>235</v>
      </c>
      <c r="D98" s="10">
        <v>9</v>
      </c>
      <c r="E98" s="10" t="s">
        <v>236</v>
      </c>
      <c r="F98" s="13" t="s">
        <v>11</v>
      </c>
    </row>
    <row r="99" ht="18" customHeight="1" spans="1:6">
      <c r="A99" s="13" t="s">
        <v>186</v>
      </c>
      <c r="B99" s="10" t="s">
        <v>210</v>
      </c>
      <c r="C99" s="10" t="s">
        <v>237</v>
      </c>
      <c r="D99" s="10">
        <v>1</v>
      </c>
      <c r="E99" s="10" t="s">
        <v>238</v>
      </c>
      <c r="F99" s="13" t="s">
        <v>11</v>
      </c>
    </row>
    <row r="100" ht="18" customHeight="1" spans="1:6">
      <c r="A100" s="13" t="s">
        <v>186</v>
      </c>
      <c r="B100" s="10" t="s">
        <v>210</v>
      </c>
      <c r="C100" s="10" t="s">
        <v>239</v>
      </c>
      <c r="D100" s="10">
        <v>1</v>
      </c>
      <c r="E100" s="10" t="s">
        <v>240</v>
      </c>
      <c r="F100" s="13" t="s">
        <v>11</v>
      </c>
    </row>
    <row r="101" ht="18" customHeight="1" spans="1:6">
      <c r="A101" s="13" t="s">
        <v>186</v>
      </c>
      <c r="B101" s="10" t="s">
        <v>241</v>
      </c>
      <c r="C101" s="10" t="s">
        <v>242</v>
      </c>
      <c r="D101" s="10">
        <v>2</v>
      </c>
      <c r="E101" s="10" t="s">
        <v>243</v>
      </c>
      <c r="F101" s="13" t="s">
        <v>11</v>
      </c>
    </row>
    <row r="102" ht="18" customHeight="1" spans="1:6">
      <c r="A102" s="13" t="s">
        <v>186</v>
      </c>
      <c r="B102" s="10" t="s">
        <v>241</v>
      </c>
      <c r="C102" s="10" t="s">
        <v>244</v>
      </c>
      <c r="D102" s="10">
        <v>4</v>
      </c>
      <c r="E102" s="10" t="s">
        <v>245</v>
      </c>
      <c r="F102" s="13" t="s">
        <v>11</v>
      </c>
    </row>
    <row r="103" ht="18" customHeight="1" spans="1:6">
      <c r="A103" s="13" t="s">
        <v>186</v>
      </c>
      <c r="B103" s="10" t="s">
        <v>241</v>
      </c>
      <c r="C103" s="10" t="s">
        <v>246</v>
      </c>
      <c r="D103" s="10">
        <v>3</v>
      </c>
      <c r="E103" s="10" t="s">
        <v>247</v>
      </c>
      <c r="F103" s="13" t="s">
        <v>11</v>
      </c>
    </row>
    <row r="104" ht="18" customHeight="1" spans="1:6">
      <c r="A104" s="13" t="s">
        <v>186</v>
      </c>
      <c r="B104" s="10" t="s">
        <v>241</v>
      </c>
      <c r="C104" s="10" t="s">
        <v>248</v>
      </c>
      <c r="D104" s="10">
        <v>1</v>
      </c>
      <c r="E104" s="10" t="s">
        <v>249</v>
      </c>
      <c r="F104" s="13" t="s">
        <v>11</v>
      </c>
    </row>
    <row r="105" ht="18" customHeight="1" spans="1:6">
      <c r="A105" s="13" t="s">
        <v>186</v>
      </c>
      <c r="B105" s="10" t="s">
        <v>241</v>
      </c>
      <c r="C105" s="10" t="s">
        <v>250</v>
      </c>
      <c r="D105" s="10">
        <v>1</v>
      </c>
      <c r="E105" s="10" t="s">
        <v>251</v>
      </c>
      <c r="F105" s="13" t="s">
        <v>11</v>
      </c>
    </row>
    <row r="106" ht="18" customHeight="1" spans="1:6">
      <c r="A106" s="13" t="s">
        <v>186</v>
      </c>
      <c r="B106" s="10" t="s">
        <v>241</v>
      </c>
      <c r="C106" s="10" t="s">
        <v>252</v>
      </c>
      <c r="D106" s="10">
        <v>1</v>
      </c>
      <c r="E106" s="10" t="s">
        <v>253</v>
      </c>
      <c r="F106" s="13" t="s">
        <v>11</v>
      </c>
    </row>
    <row r="107" ht="18" customHeight="1" spans="1:6">
      <c r="A107" s="13" t="s">
        <v>186</v>
      </c>
      <c r="B107" s="10" t="s">
        <v>241</v>
      </c>
      <c r="C107" s="10" t="s">
        <v>254</v>
      </c>
      <c r="D107" s="10">
        <v>1</v>
      </c>
      <c r="E107" s="10" t="s">
        <v>255</v>
      </c>
      <c r="F107" s="13" t="s">
        <v>11</v>
      </c>
    </row>
    <row r="108" ht="18" customHeight="1" spans="1:6">
      <c r="A108" s="13" t="s">
        <v>186</v>
      </c>
      <c r="B108" s="10" t="s">
        <v>241</v>
      </c>
      <c r="C108" s="10" t="s">
        <v>256</v>
      </c>
      <c r="D108" s="10">
        <v>1</v>
      </c>
      <c r="E108" s="10" t="s">
        <v>257</v>
      </c>
      <c r="F108" s="13" t="s">
        <v>11</v>
      </c>
    </row>
    <row r="109" ht="18" customHeight="1" spans="1:6">
      <c r="A109" s="13" t="s">
        <v>186</v>
      </c>
      <c r="B109" s="10" t="s">
        <v>241</v>
      </c>
      <c r="C109" s="10" t="s">
        <v>258</v>
      </c>
      <c r="D109" s="10">
        <v>1</v>
      </c>
      <c r="E109" s="10" t="s">
        <v>259</v>
      </c>
      <c r="F109" s="13" t="s">
        <v>11</v>
      </c>
    </row>
    <row r="110" ht="18" customHeight="1" spans="1:6">
      <c r="A110" s="13" t="s">
        <v>186</v>
      </c>
      <c r="B110" s="10" t="s">
        <v>241</v>
      </c>
      <c r="C110" s="10" t="s">
        <v>260</v>
      </c>
      <c r="D110" s="10">
        <v>1</v>
      </c>
      <c r="E110" s="10" t="s">
        <v>261</v>
      </c>
      <c r="F110" s="13" t="s">
        <v>11</v>
      </c>
    </row>
    <row r="111" ht="18" customHeight="1" spans="1:6">
      <c r="A111" s="13" t="s">
        <v>186</v>
      </c>
      <c r="B111" s="10" t="s">
        <v>241</v>
      </c>
      <c r="C111" s="10" t="s">
        <v>262</v>
      </c>
      <c r="D111" s="10">
        <v>1</v>
      </c>
      <c r="E111" s="10" t="s">
        <v>263</v>
      </c>
      <c r="F111" s="13" t="s">
        <v>11</v>
      </c>
    </row>
    <row r="112" ht="18" customHeight="1" spans="1:6">
      <c r="A112" s="13" t="s">
        <v>186</v>
      </c>
      <c r="B112" s="10" t="s">
        <v>241</v>
      </c>
      <c r="C112" s="10" t="s">
        <v>264</v>
      </c>
      <c r="D112" s="10">
        <v>1</v>
      </c>
      <c r="E112" s="10" t="s">
        <v>265</v>
      </c>
      <c r="F112" s="13" t="s">
        <v>11</v>
      </c>
    </row>
    <row r="113" ht="18" customHeight="1" spans="1:6">
      <c r="A113" s="13" t="s">
        <v>186</v>
      </c>
      <c r="B113" s="10" t="s">
        <v>241</v>
      </c>
      <c r="C113" s="10" t="s">
        <v>266</v>
      </c>
      <c r="D113" s="10">
        <v>1</v>
      </c>
      <c r="E113" s="10" t="s">
        <v>267</v>
      </c>
      <c r="F113" s="13" t="s">
        <v>11</v>
      </c>
    </row>
    <row r="114" ht="18" customHeight="1" spans="1:6">
      <c r="A114" s="13" t="s">
        <v>186</v>
      </c>
      <c r="B114" s="10" t="s">
        <v>241</v>
      </c>
      <c r="C114" s="10" t="s">
        <v>268</v>
      </c>
      <c r="D114" s="10">
        <v>1</v>
      </c>
      <c r="E114" s="10" t="s">
        <v>269</v>
      </c>
      <c r="F114" s="13" t="s">
        <v>11</v>
      </c>
    </row>
    <row r="115" ht="18" customHeight="1" spans="1:6">
      <c r="A115" s="13" t="s">
        <v>186</v>
      </c>
      <c r="B115" s="10" t="s">
        <v>270</v>
      </c>
      <c r="C115" s="10" t="s">
        <v>271</v>
      </c>
      <c r="D115" s="10">
        <v>4</v>
      </c>
      <c r="E115" s="10" t="s">
        <v>272</v>
      </c>
      <c r="F115" s="13" t="s">
        <v>11</v>
      </c>
    </row>
    <row r="116" ht="18" customHeight="1" spans="1:6">
      <c r="A116" s="13" t="s">
        <v>186</v>
      </c>
      <c r="B116" s="10" t="s">
        <v>270</v>
      </c>
      <c r="C116" s="10" t="s">
        <v>273</v>
      </c>
      <c r="D116" s="10">
        <v>3</v>
      </c>
      <c r="E116" s="10" t="s">
        <v>274</v>
      </c>
      <c r="F116" s="13" t="s">
        <v>11</v>
      </c>
    </row>
    <row r="117" ht="18" customHeight="1" spans="1:6">
      <c r="A117" s="13" t="s">
        <v>186</v>
      </c>
      <c r="B117" s="10" t="s">
        <v>270</v>
      </c>
      <c r="C117" s="10" t="s">
        <v>275</v>
      </c>
      <c r="D117" s="10">
        <v>1</v>
      </c>
      <c r="E117" s="10" t="s">
        <v>276</v>
      </c>
      <c r="F117" s="13" t="s">
        <v>11</v>
      </c>
    </row>
    <row r="118" ht="18" customHeight="1" spans="1:6">
      <c r="A118" s="13" t="s">
        <v>186</v>
      </c>
      <c r="B118" s="10" t="s">
        <v>270</v>
      </c>
      <c r="C118" s="10" t="s">
        <v>277</v>
      </c>
      <c r="D118" s="10">
        <v>3</v>
      </c>
      <c r="E118" s="10" t="s">
        <v>278</v>
      </c>
      <c r="F118" s="13" t="s">
        <v>11</v>
      </c>
    </row>
    <row r="119" ht="18" customHeight="1" spans="1:6">
      <c r="A119" s="13" t="s">
        <v>186</v>
      </c>
      <c r="B119" s="10" t="s">
        <v>279</v>
      </c>
      <c r="C119" s="10" t="s">
        <v>280</v>
      </c>
      <c r="D119" s="10">
        <v>3</v>
      </c>
      <c r="E119" s="10" t="s">
        <v>281</v>
      </c>
      <c r="F119" s="13" t="s">
        <v>11</v>
      </c>
    </row>
    <row r="120" ht="18" customHeight="1" spans="1:6">
      <c r="A120" s="13" t="s">
        <v>186</v>
      </c>
      <c r="B120" s="10" t="s">
        <v>279</v>
      </c>
      <c r="C120" s="10" t="s">
        <v>282</v>
      </c>
      <c r="D120" s="10">
        <v>1</v>
      </c>
      <c r="E120" s="10" t="s">
        <v>283</v>
      </c>
      <c r="F120" s="13" t="s">
        <v>11</v>
      </c>
    </row>
    <row r="121" ht="18" customHeight="1" spans="1:6">
      <c r="A121" s="13" t="s">
        <v>186</v>
      </c>
      <c r="B121" s="10" t="s">
        <v>284</v>
      </c>
      <c r="C121" s="10" t="s">
        <v>285</v>
      </c>
      <c r="D121" s="10">
        <v>3</v>
      </c>
      <c r="E121" s="10" t="s">
        <v>286</v>
      </c>
      <c r="F121" s="13" t="s">
        <v>11</v>
      </c>
    </row>
    <row r="122" ht="18" customHeight="1" spans="1:6">
      <c r="A122" s="13" t="s">
        <v>186</v>
      </c>
      <c r="B122" s="10" t="s">
        <v>284</v>
      </c>
      <c r="C122" s="10" t="s">
        <v>287</v>
      </c>
      <c r="D122" s="10">
        <v>5</v>
      </c>
      <c r="E122" s="10" t="s">
        <v>288</v>
      </c>
      <c r="F122" s="13" t="s">
        <v>11</v>
      </c>
    </row>
    <row r="123" ht="18" customHeight="1" spans="1:6">
      <c r="A123" s="13" t="s">
        <v>186</v>
      </c>
      <c r="B123" s="10" t="s">
        <v>284</v>
      </c>
      <c r="C123" s="10" t="s">
        <v>289</v>
      </c>
      <c r="D123" s="10">
        <v>3</v>
      </c>
      <c r="E123" s="10" t="s">
        <v>290</v>
      </c>
      <c r="F123" s="13" t="s">
        <v>11</v>
      </c>
    </row>
    <row r="124" ht="18" customHeight="1" spans="1:6">
      <c r="A124" s="13" t="s">
        <v>186</v>
      </c>
      <c r="B124" s="10" t="s">
        <v>284</v>
      </c>
      <c r="C124" s="10" t="s">
        <v>291</v>
      </c>
      <c r="D124" s="10">
        <v>2</v>
      </c>
      <c r="E124" s="10" t="s">
        <v>292</v>
      </c>
      <c r="F124" s="13" t="s">
        <v>11</v>
      </c>
    </row>
    <row r="125" ht="18" customHeight="1" spans="1:6">
      <c r="A125" s="13" t="s">
        <v>186</v>
      </c>
      <c r="B125" s="10" t="s">
        <v>284</v>
      </c>
      <c r="C125" s="10" t="s">
        <v>293</v>
      </c>
      <c r="D125" s="10">
        <v>1</v>
      </c>
      <c r="E125" s="10" t="s">
        <v>294</v>
      </c>
      <c r="F125" s="13" t="s">
        <v>11</v>
      </c>
    </row>
    <row r="126" ht="18" customHeight="1" spans="1:6">
      <c r="A126" s="13" t="s">
        <v>186</v>
      </c>
      <c r="B126" s="10" t="s">
        <v>284</v>
      </c>
      <c r="C126" s="10" t="s">
        <v>295</v>
      </c>
      <c r="D126" s="10">
        <v>1</v>
      </c>
      <c r="E126" s="10" t="s">
        <v>296</v>
      </c>
      <c r="F126" s="13" t="s">
        <v>11</v>
      </c>
    </row>
    <row r="127" ht="18" customHeight="1" spans="1:6">
      <c r="A127" s="13" t="s">
        <v>186</v>
      </c>
      <c r="B127" s="10" t="s">
        <v>284</v>
      </c>
      <c r="C127" s="10" t="s">
        <v>297</v>
      </c>
      <c r="D127" s="10">
        <v>1</v>
      </c>
      <c r="E127" s="10" t="s">
        <v>298</v>
      </c>
      <c r="F127" s="13" t="s">
        <v>11</v>
      </c>
    </row>
    <row r="128" ht="18" customHeight="1" spans="1:6">
      <c r="A128" s="13" t="s">
        <v>186</v>
      </c>
      <c r="B128" s="10" t="s">
        <v>284</v>
      </c>
      <c r="C128" s="10" t="s">
        <v>299</v>
      </c>
      <c r="D128" s="10">
        <v>1</v>
      </c>
      <c r="E128" s="10" t="s">
        <v>300</v>
      </c>
      <c r="F128" s="13" t="s">
        <v>11</v>
      </c>
    </row>
    <row r="129" ht="18" customHeight="1" spans="1:6">
      <c r="A129" s="13" t="s">
        <v>186</v>
      </c>
      <c r="B129" s="10" t="s">
        <v>284</v>
      </c>
      <c r="C129" s="10" t="s">
        <v>301</v>
      </c>
      <c r="D129" s="10">
        <v>1</v>
      </c>
      <c r="E129" s="10" t="s">
        <v>302</v>
      </c>
      <c r="F129" s="13" t="s">
        <v>11</v>
      </c>
    </row>
    <row r="130" ht="18" customHeight="1" spans="1:6">
      <c r="A130" s="13" t="s">
        <v>186</v>
      </c>
      <c r="B130" s="10" t="s">
        <v>284</v>
      </c>
      <c r="C130" s="10" t="s">
        <v>303</v>
      </c>
      <c r="D130" s="10">
        <v>1</v>
      </c>
      <c r="E130" s="10" t="s">
        <v>304</v>
      </c>
      <c r="F130" s="13" t="s">
        <v>11</v>
      </c>
    </row>
    <row r="131" ht="18" customHeight="1" spans="1:6">
      <c r="A131" s="13" t="s">
        <v>186</v>
      </c>
      <c r="B131" s="10" t="s">
        <v>305</v>
      </c>
      <c r="C131" s="10" t="s">
        <v>306</v>
      </c>
      <c r="D131" s="10">
        <v>3</v>
      </c>
      <c r="E131" s="10" t="s">
        <v>307</v>
      </c>
      <c r="F131" s="13" t="s">
        <v>11</v>
      </c>
    </row>
    <row r="132" ht="18" customHeight="1" spans="1:6">
      <c r="A132" s="13" t="s">
        <v>186</v>
      </c>
      <c r="B132" s="10" t="s">
        <v>305</v>
      </c>
      <c r="C132" s="10" t="s">
        <v>308</v>
      </c>
      <c r="D132" s="10">
        <v>1</v>
      </c>
      <c r="E132" s="10" t="s">
        <v>309</v>
      </c>
      <c r="F132" s="13" t="s">
        <v>11</v>
      </c>
    </row>
    <row r="133" ht="18" customHeight="1" spans="1:6">
      <c r="A133" s="13" t="s">
        <v>186</v>
      </c>
      <c r="B133" s="10" t="s">
        <v>310</v>
      </c>
      <c r="C133" s="10" t="s">
        <v>311</v>
      </c>
      <c r="D133" s="10">
        <v>5</v>
      </c>
      <c r="E133" s="10" t="s">
        <v>312</v>
      </c>
      <c r="F133" s="13" t="s">
        <v>11</v>
      </c>
    </row>
    <row r="134" ht="18" customHeight="1" spans="1:6">
      <c r="A134" s="13" t="s">
        <v>186</v>
      </c>
      <c r="B134" s="10" t="s">
        <v>310</v>
      </c>
      <c r="C134" s="10" t="s">
        <v>313</v>
      </c>
      <c r="D134" s="10">
        <v>4</v>
      </c>
      <c r="E134" s="10" t="s">
        <v>314</v>
      </c>
      <c r="F134" s="13" t="s">
        <v>11</v>
      </c>
    </row>
    <row r="135" ht="18" customHeight="1" spans="1:6">
      <c r="A135" s="13" t="s">
        <v>186</v>
      </c>
      <c r="B135" s="10" t="s">
        <v>310</v>
      </c>
      <c r="C135" s="10" t="s">
        <v>315</v>
      </c>
      <c r="D135" s="10">
        <v>1</v>
      </c>
      <c r="E135" s="10" t="s">
        <v>316</v>
      </c>
      <c r="F135" s="13" t="s">
        <v>11</v>
      </c>
    </row>
    <row r="136" ht="18" customHeight="1" spans="1:6">
      <c r="A136" s="13" t="s">
        <v>186</v>
      </c>
      <c r="B136" s="10" t="s">
        <v>310</v>
      </c>
      <c r="C136" s="10" t="s">
        <v>317</v>
      </c>
      <c r="D136" s="10">
        <v>3</v>
      </c>
      <c r="E136" s="10" t="s">
        <v>318</v>
      </c>
      <c r="F136" s="13" t="s">
        <v>11</v>
      </c>
    </row>
    <row r="137" ht="18" customHeight="1" spans="1:6">
      <c r="A137" s="13" t="s">
        <v>186</v>
      </c>
      <c r="B137" s="10" t="s">
        <v>310</v>
      </c>
      <c r="C137" s="10" t="s">
        <v>319</v>
      </c>
      <c r="D137" s="10">
        <v>4</v>
      </c>
      <c r="E137" s="10" t="s">
        <v>320</v>
      </c>
      <c r="F137" s="13" t="s">
        <v>11</v>
      </c>
    </row>
    <row r="138" ht="18" customHeight="1" spans="1:6">
      <c r="A138" s="13" t="s">
        <v>186</v>
      </c>
      <c r="B138" s="10" t="s">
        <v>310</v>
      </c>
      <c r="C138" s="10" t="s">
        <v>321</v>
      </c>
      <c r="D138" s="10">
        <v>4</v>
      </c>
      <c r="E138" s="10" t="s">
        <v>322</v>
      </c>
      <c r="F138" s="13" t="s">
        <v>11</v>
      </c>
    </row>
    <row r="139" ht="18" customHeight="1" spans="1:6">
      <c r="A139" s="13" t="s">
        <v>186</v>
      </c>
      <c r="B139" s="10" t="s">
        <v>310</v>
      </c>
      <c r="C139" s="10" t="s">
        <v>323</v>
      </c>
      <c r="D139" s="10">
        <v>3</v>
      </c>
      <c r="E139" s="10" t="s">
        <v>324</v>
      </c>
      <c r="F139" s="13" t="s">
        <v>11</v>
      </c>
    </row>
    <row r="140" ht="18" customHeight="1" spans="1:6">
      <c r="A140" s="13" t="s">
        <v>186</v>
      </c>
      <c r="B140" s="10" t="s">
        <v>310</v>
      </c>
      <c r="C140" s="10" t="s">
        <v>325</v>
      </c>
      <c r="D140" s="10">
        <v>3</v>
      </c>
      <c r="E140" s="10" t="s">
        <v>326</v>
      </c>
      <c r="F140" s="13" t="s">
        <v>11</v>
      </c>
    </row>
    <row r="141" ht="18" customHeight="1" spans="1:6">
      <c r="A141" s="13" t="s">
        <v>186</v>
      </c>
      <c r="B141" s="10" t="s">
        <v>310</v>
      </c>
      <c r="C141" s="10" t="s">
        <v>327</v>
      </c>
      <c r="D141" s="10">
        <v>1</v>
      </c>
      <c r="E141" s="10" t="s">
        <v>328</v>
      </c>
      <c r="F141" s="13" t="s">
        <v>11</v>
      </c>
    </row>
    <row r="142" ht="18" customHeight="1" spans="1:6">
      <c r="A142" s="13" t="s">
        <v>186</v>
      </c>
      <c r="B142" s="10" t="s">
        <v>310</v>
      </c>
      <c r="C142" s="10" t="s">
        <v>329</v>
      </c>
      <c r="D142" s="10">
        <v>5</v>
      </c>
      <c r="E142" s="10" t="s">
        <v>330</v>
      </c>
      <c r="F142" s="13" t="s">
        <v>11</v>
      </c>
    </row>
    <row r="143" ht="18" customHeight="1" spans="1:6">
      <c r="A143" s="13" t="s">
        <v>186</v>
      </c>
      <c r="B143" s="10" t="s">
        <v>310</v>
      </c>
      <c r="C143" s="10" t="s">
        <v>331</v>
      </c>
      <c r="D143" s="10">
        <v>4</v>
      </c>
      <c r="E143" s="10" t="s">
        <v>332</v>
      </c>
      <c r="F143" s="13" t="s">
        <v>11</v>
      </c>
    </row>
    <row r="144" ht="18" customHeight="1" spans="1:6">
      <c r="A144" s="13" t="s">
        <v>186</v>
      </c>
      <c r="B144" s="10" t="s">
        <v>310</v>
      </c>
      <c r="C144" s="10" t="s">
        <v>333</v>
      </c>
      <c r="D144" s="10">
        <v>1</v>
      </c>
      <c r="E144" s="10" t="s">
        <v>334</v>
      </c>
      <c r="F144" s="13" t="s">
        <v>11</v>
      </c>
    </row>
    <row r="145" ht="18" customHeight="1" spans="1:6">
      <c r="A145" s="13" t="s">
        <v>186</v>
      </c>
      <c r="B145" s="10" t="s">
        <v>310</v>
      </c>
      <c r="C145" s="10" t="s">
        <v>335</v>
      </c>
      <c r="D145" s="10">
        <v>2</v>
      </c>
      <c r="E145" s="10" t="s">
        <v>336</v>
      </c>
      <c r="F145" s="13" t="s">
        <v>11</v>
      </c>
    </row>
    <row r="146" ht="18" customHeight="1" spans="1:6">
      <c r="A146" s="13" t="s">
        <v>186</v>
      </c>
      <c r="B146" s="10" t="s">
        <v>310</v>
      </c>
      <c r="C146" s="10" t="s">
        <v>337</v>
      </c>
      <c r="D146" s="10">
        <v>4</v>
      </c>
      <c r="E146" s="10" t="s">
        <v>338</v>
      </c>
      <c r="F146" s="13" t="s">
        <v>11</v>
      </c>
    </row>
    <row r="147" ht="18" customHeight="1" spans="1:6">
      <c r="A147" s="13" t="s">
        <v>186</v>
      </c>
      <c r="B147" s="10" t="s">
        <v>310</v>
      </c>
      <c r="C147" s="10" t="s">
        <v>339</v>
      </c>
      <c r="D147" s="10">
        <v>3</v>
      </c>
      <c r="E147" s="10" t="s">
        <v>340</v>
      </c>
      <c r="F147" s="13" t="s">
        <v>11</v>
      </c>
    </row>
    <row r="148" ht="18" customHeight="1" spans="1:6">
      <c r="A148" s="13" t="s">
        <v>186</v>
      </c>
      <c r="B148" s="10" t="s">
        <v>310</v>
      </c>
      <c r="C148" s="10" t="s">
        <v>341</v>
      </c>
      <c r="D148" s="10">
        <v>4</v>
      </c>
      <c r="E148" s="10" t="s">
        <v>342</v>
      </c>
      <c r="F148" s="13" t="s">
        <v>11</v>
      </c>
    </row>
    <row r="149" ht="18" customHeight="1" spans="1:6">
      <c r="A149" s="13" t="s">
        <v>186</v>
      </c>
      <c r="B149" s="10" t="s">
        <v>310</v>
      </c>
      <c r="C149" s="10" t="s">
        <v>343</v>
      </c>
      <c r="D149" s="10">
        <v>3</v>
      </c>
      <c r="E149" s="10" t="s">
        <v>344</v>
      </c>
      <c r="F149" s="13" t="s">
        <v>11</v>
      </c>
    </row>
    <row r="150" ht="18" customHeight="1" spans="1:6">
      <c r="A150" s="13" t="s">
        <v>186</v>
      </c>
      <c r="B150" s="10" t="s">
        <v>310</v>
      </c>
      <c r="C150" s="10" t="s">
        <v>345</v>
      </c>
      <c r="D150" s="10">
        <v>1</v>
      </c>
      <c r="E150" s="10" t="s">
        <v>346</v>
      </c>
      <c r="F150" s="13" t="s">
        <v>11</v>
      </c>
    </row>
    <row r="151" ht="18" customHeight="1" spans="1:6">
      <c r="A151" s="13" t="s">
        <v>186</v>
      </c>
      <c r="B151" s="10" t="s">
        <v>310</v>
      </c>
      <c r="C151" s="10" t="s">
        <v>347</v>
      </c>
      <c r="D151" s="10">
        <v>2</v>
      </c>
      <c r="E151" s="10" t="s">
        <v>348</v>
      </c>
      <c r="F151" s="13" t="s">
        <v>11</v>
      </c>
    </row>
    <row r="152" ht="18" customHeight="1" spans="1:6">
      <c r="A152" s="13" t="s">
        <v>186</v>
      </c>
      <c r="B152" s="10" t="s">
        <v>310</v>
      </c>
      <c r="C152" s="10" t="s">
        <v>349</v>
      </c>
      <c r="D152" s="10">
        <v>3</v>
      </c>
      <c r="E152" s="187" t="s">
        <v>350</v>
      </c>
      <c r="F152" s="13" t="s">
        <v>11</v>
      </c>
    </row>
    <row r="153" ht="18" customHeight="1" spans="1:6">
      <c r="A153" s="13" t="s">
        <v>186</v>
      </c>
      <c r="B153" s="10" t="s">
        <v>310</v>
      </c>
      <c r="C153" s="10" t="s">
        <v>351</v>
      </c>
      <c r="D153" s="10">
        <v>2</v>
      </c>
      <c r="E153" s="187" t="s">
        <v>352</v>
      </c>
      <c r="F153" s="13" t="s">
        <v>11</v>
      </c>
    </row>
    <row r="154" ht="18" customHeight="1" spans="1:6">
      <c r="A154" s="13" t="s">
        <v>186</v>
      </c>
      <c r="B154" s="10" t="s">
        <v>353</v>
      </c>
      <c r="C154" s="10" t="s">
        <v>354</v>
      </c>
      <c r="D154" s="10">
        <v>3</v>
      </c>
      <c r="E154" s="10" t="s">
        <v>355</v>
      </c>
      <c r="F154" s="13" t="s">
        <v>11</v>
      </c>
    </row>
    <row r="155" ht="18" customHeight="1" spans="1:6">
      <c r="A155" s="13" t="s">
        <v>186</v>
      </c>
      <c r="B155" s="10" t="s">
        <v>353</v>
      </c>
      <c r="C155" s="10" t="s">
        <v>356</v>
      </c>
      <c r="D155" s="10">
        <v>6</v>
      </c>
      <c r="E155" s="10" t="s">
        <v>357</v>
      </c>
      <c r="F155" s="13" t="s">
        <v>11</v>
      </c>
    </row>
    <row r="156" ht="18" customHeight="1" spans="1:6">
      <c r="A156" s="13" t="s">
        <v>186</v>
      </c>
      <c r="B156" s="10" t="s">
        <v>353</v>
      </c>
      <c r="C156" s="10" t="s">
        <v>358</v>
      </c>
      <c r="D156" s="10">
        <v>3</v>
      </c>
      <c r="E156" s="10" t="s">
        <v>359</v>
      </c>
      <c r="F156" s="13" t="s">
        <v>11</v>
      </c>
    </row>
    <row r="157" ht="18" customHeight="1" spans="1:6">
      <c r="A157" s="13" t="s">
        <v>186</v>
      </c>
      <c r="B157" s="10" t="s">
        <v>360</v>
      </c>
      <c r="C157" s="10" t="s">
        <v>361</v>
      </c>
      <c r="D157" s="10">
        <v>4</v>
      </c>
      <c r="E157" s="10" t="s">
        <v>362</v>
      </c>
      <c r="F157" s="13" t="s">
        <v>11</v>
      </c>
    </row>
    <row r="158" ht="18" customHeight="1" spans="1:6">
      <c r="A158" s="13" t="s">
        <v>186</v>
      </c>
      <c r="B158" s="10" t="s">
        <v>360</v>
      </c>
      <c r="C158" s="10" t="s">
        <v>363</v>
      </c>
      <c r="D158" s="10">
        <v>3</v>
      </c>
      <c r="E158" s="10" t="s">
        <v>364</v>
      </c>
      <c r="F158" s="13" t="s">
        <v>11</v>
      </c>
    </row>
    <row r="159" ht="18" customHeight="1" spans="1:6">
      <c r="A159" s="13" t="s">
        <v>186</v>
      </c>
      <c r="B159" s="10" t="s">
        <v>360</v>
      </c>
      <c r="C159" s="10" t="s">
        <v>365</v>
      </c>
      <c r="D159" s="10">
        <v>2</v>
      </c>
      <c r="E159" s="187" t="s">
        <v>366</v>
      </c>
      <c r="F159" s="13" t="s">
        <v>11</v>
      </c>
    </row>
    <row r="160" ht="18" customHeight="1" spans="1:6">
      <c r="A160" s="13" t="s">
        <v>186</v>
      </c>
      <c r="B160" s="10" t="s">
        <v>360</v>
      </c>
      <c r="C160" s="10" t="s">
        <v>367</v>
      </c>
      <c r="D160" s="10">
        <v>3</v>
      </c>
      <c r="E160" s="187" t="s">
        <v>368</v>
      </c>
      <c r="F160" s="13" t="s">
        <v>11</v>
      </c>
    </row>
    <row r="161" ht="18" customHeight="1" spans="1:6">
      <c r="A161" s="13" t="s">
        <v>186</v>
      </c>
      <c r="B161" s="10" t="s">
        <v>360</v>
      </c>
      <c r="C161" s="10" t="s">
        <v>369</v>
      </c>
      <c r="D161" s="10">
        <v>2</v>
      </c>
      <c r="E161" s="187" t="s">
        <v>370</v>
      </c>
      <c r="F161" s="13" t="s">
        <v>11</v>
      </c>
    </row>
    <row r="162" ht="18" customHeight="1" spans="1:6">
      <c r="A162" s="13" t="s">
        <v>186</v>
      </c>
      <c r="B162" s="10" t="s">
        <v>360</v>
      </c>
      <c r="C162" s="10" t="s">
        <v>371</v>
      </c>
      <c r="D162" s="10">
        <v>5</v>
      </c>
      <c r="E162" s="187" t="s">
        <v>372</v>
      </c>
      <c r="F162" s="13" t="s">
        <v>11</v>
      </c>
    </row>
    <row r="163" ht="18" customHeight="1" spans="1:6">
      <c r="A163" s="13" t="s">
        <v>186</v>
      </c>
      <c r="B163" s="10" t="s">
        <v>373</v>
      </c>
      <c r="C163" s="10" t="s">
        <v>374</v>
      </c>
      <c r="D163" s="10">
        <v>1</v>
      </c>
      <c r="E163" s="10" t="s">
        <v>375</v>
      </c>
      <c r="F163" s="13" t="s">
        <v>11</v>
      </c>
    </row>
    <row r="164" ht="18" customHeight="1" spans="1:6">
      <c r="A164" s="13" t="s">
        <v>186</v>
      </c>
      <c r="B164" s="10" t="s">
        <v>373</v>
      </c>
      <c r="C164" s="10" t="s">
        <v>376</v>
      </c>
      <c r="D164" s="10">
        <v>1</v>
      </c>
      <c r="E164" s="10" t="s">
        <v>377</v>
      </c>
      <c r="F164" s="13" t="s">
        <v>11</v>
      </c>
    </row>
    <row r="165" ht="18" customHeight="1" spans="1:6">
      <c r="A165" s="13" t="s">
        <v>186</v>
      </c>
      <c r="B165" s="10" t="s">
        <v>373</v>
      </c>
      <c r="C165" s="10" t="s">
        <v>378</v>
      </c>
      <c r="D165" s="10">
        <v>1</v>
      </c>
      <c r="E165" s="10" t="s">
        <v>379</v>
      </c>
      <c r="F165" s="13" t="s">
        <v>11</v>
      </c>
    </row>
    <row r="166" ht="18" customHeight="1" spans="1:6">
      <c r="A166" s="13" t="s">
        <v>186</v>
      </c>
      <c r="B166" s="10" t="s">
        <v>373</v>
      </c>
      <c r="C166" s="10" t="s">
        <v>380</v>
      </c>
      <c r="D166" s="10">
        <v>1</v>
      </c>
      <c r="E166" s="10" t="s">
        <v>381</v>
      </c>
      <c r="F166" s="13" t="s">
        <v>11</v>
      </c>
    </row>
    <row r="167" ht="18" customHeight="1" spans="1:6">
      <c r="A167" s="13" t="s">
        <v>186</v>
      </c>
      <c r="B167" s="10" t="s">
        <v>382</v>
      </c>
      <c r="C167" s="10" t="s">
        <v>383</v>
      </c>
      <c r="D167" s="10">
        <v>1</v>
      </c>
      <c r="E167" s="10" t="s">
        <v>384</v>
      </c>
      <c r="F167" s="13" t="s">
        <v>11</v>
      </c>
    </row>
    <row r="168" ht="18" customHeight="1" spans="1:6">
      <c r="A168" s="13" t="s">
        <v>186</v>
      </c>
      <c r="B168" s="10" t="s">
        <v>382</v>
      </c>
      <c r="C168" s="10" t="s">
        <v>385</v>
      </c>
      <c r="D168" s="10">
        <v>3</v>
      </c>
      <c r="E168" s="10" t="s">
        <v>386</v>
      </c>
      <c r="F168" s="13" t="s">
        <v>11</v>
      </c>
    </row>
    <row r="169" ht="18" customHeight="1" spans="1:6">
      <c r="A169" s="13" t="s">
        <v>186</v>
      </c>
      <c r="B169" s="10" t="s">
        <v>382</v>
      </c>
      <c r="C169" s="10" t="s">
        <v>387</v>
      </c>
      <c r="D169" s="10">
        <v>2</v>
      </c>
      <c r="E169" s="187" t="s">
        <v>388</v>
      </c>
      <c r="F169" s="13" t="s">
        <v>11</v>
      </c>
    </row>
    <row r="170" ht="18" customHeight="1" spans="1:6">
      <c r="A170" s="13" t="s">
        <v>186</v>
      </c>
      <c r="B170" s="10" t="s">
        <v>382</v>
      </c>
      <c r="C170" s="10" t="s">
        <v>389</v>
      </c>
      <c r="D170" s="10">
        <v>1</v>
      </c>
      <c r="E170" s="187" t="s">
        <v>390</v>
      </c>
      <c r="F170" s="13" t="s">
        <v>11</v>
      </c>
    </row>
    <row r="171" ht="18" customHeight="1" spans="1:6">
      <c r="A171" s="13" t="s">
        <v>186</v>
      </c>
      <c r="B171" s="10" t="s">
        <v>382</v>
      </c>
      <c r="C171" s="10" t="s">
        <v>391</v>
      </c>
      <c r="D171" s="10">
        <v>4</v>
      </c>
      <c r="E171" s="187" t="s">
        <v>392</v>
      </c>
      <c r="F171" s="13" t="s">
        <v>11</v>
      </c>
    </row>
    <row r="172" ht="18" customHeight="1" spans="1:6">
      <c r="A172" s="13" t="s">
        <v>186</v>
      </c>
      <c r="B172" s="10" t="s">
        <v>393</v>
      </c>
      <c r="C172" s="10" t="s">
        <v>394</v>
      </c>
      <c r="D172" s="10">
        <v>1</v>
      </c>
      <c r="E172" s="10" t="s">
        <v>395</v>
      </c>
      <c r="F172" s="13" t="s">
        <v>11</v>
      </c>
    </row>
    <row r="173" ht="18" customHeight="1" spans="1:6">
      <c r="A173" s="13" t="s">
        <v>186</v>
      </c>
      <c r="B173" s="10" t="s">
        <v>393</v>
      </c>
      <c r="C173" s="10" t="s">
        <v>396</v>
      </c>
      <c r="D173" s="10">
        <v>1</v>
      </c>
      <c r="E173" s="10" t="s">
        <v>397</v>
      </c>
      <c r="F173" s="13" t="s">
        <v>11</v>
      </c>
    </row>
    <row r="174" ht="18" customHeight="1" spans="1:6">
      <c r="A174" s="13" t="s">
        <v>186</v>
      </c>
      <c r="B174" s="10" t="s">
        <v>393</v>
      </c>
      <c r="C174" s="10" t="s">
        <v>398</v>
      </c>
      <c r="D174" s="10">
        <v>2</v>
      </c>
      <c r="E174" s="10" t="s">
        <v>399</v>
      </c>
      <c r="F174" s="13" t="s">
        <v>11</v>
      </c>
    </row>
    <row r="175" ht="18" customHeight="1" spans="1:6">
      <c r="A175" s="13" t="s">
        <v>186</v>
      </c>
      <c r="B175" s="10" t="s">
        <v>393</v>
      </c>
      <c r="C175" s="10" t="s">
        <v>400</v>
      </c>
      <c r="D175" s="10">
        <v>3</v>
      </c>
      <c r="E175" s="10" t="s">
        <v>401</v>
      </c>
      <c r="F175" s="13" t="s">
        <v>11</v>
      </c>
    </row>
    <row r="176" ht="18" customHeight="1" spans="1:6">
      <c r="A176" s="13" t="s">
        <v>186</v>
      </c>
      <c r="B176" s="10" t="s">
        <v>393</v>
      </c>
      <c r="C176" s="10" t="s">
        <v>402</v>
      </c>
      <c r="D176" s="10">
        <v>3</v>
      </c>
      <c r="E176" s="10" t="s">
        <v>403</v>
      </c>
      <c r="F176" s="13" t="s">
        <v>11</v>
      </c>
    </row>
    <row r="177" ht="18" customHeight="1" spans="1:6">
      <c r="A177" s="13" t="s">
        <v>186</v>
      </c>
      <c r="B177" s="10" t="s">
        <v>393</v>
      </c>
      <c r="C177" s="10" t="s">
        <v>404</v>
      </c>
      <c r="D177" s="10">
        <v>4</v>
      </c>
      <c r="E177" s="10" t="s">
        <v>405</v>
      </c>
      <c r="F177" s="13" t="s">
        <v>11</v>
      </c>
    </row>
    <row r="178" ht="18" customHeight="1" spans="1:6">
      <c r="A178" s="13" t="s">
        <v>186</v>
      </c>
      <c r="B178" s="10" t="s">
        <v>393</v>
      </c>
      <c r="C178" s="10" t="s">
        <v>406</v>
      </c>
      <c r="D178" s="10">
        <v>2</v>
      </c>
      <c r="E178" s="10" t="s">
        <v>407</v>
      </c>
      <c r="F178" s="13" t="s">
        <v>11</v>
      </c>
    </row>
    <row r="179" ht="18" customHeight="1" spans="1:6">
      <c r="A179" s="13" t="s">
        <v>186</v>
      </c>
      <c r="B179" s="10" t="s">
        <v>393</v>
      </c>
      <c r="C179" s="10" t="s">
        <v>408</v>
      </c>
      <c r="D179" s="10">
        <v>1</v>
      </c>
      <c r="E179" s="10" t="s">
        <v>409</v>
      </c>
      <c r="F179" s="13" t="s">
        <v>11</v>
      </c>
    </row>
    <row r="180" ht="18" customHeight="1" spans="1:6">
      <c r="A180" s="13" t="s">
        <v>186</v>
      </c>
      <c r="B180" s="10" t="s">
        <v>393</v>
      </c>
      <c r="C180" s="10" t="s">
        <v>410</v>
      </c>
      <c r="D180" s="10">
        <v>2</v>
      </c>
      <c r="E180" s="10" t="s">
        <v>411</v>
      </c>
      <c r="F180" s="13" t="s">
        <v>11</v>
      </c>
    </row>
    <row r="181" ht="18" customHeight="1" spans="1:6">
      <c r="A181" s="13" t="s">
        <v>186</v>
      </c>
      <c r="B181" s="10" t="s">
        <v>393</v>
      </c>
      <c r="C181" s="10" t="s">
        <v>412</v>
      </c>
      <c r="D181" s="10">
        <v>1</v>
      </c>
      <c r="E181" s="10" t="s">
        <v>413</v>
      </c>
      <c r="F181" s="13" t="s">
        <v>11</v>
      </c>
    </row>
    <row r="182" ht="18" customHeight="1" spans="1:6">
      <c r="A182" s="13" t="s">
        <v>186</v>
      </c>
      <c r="B182" s="10" t="s">
        <v>393</v>
      </c>
      <c r="C182" s="10" t="s">
        <v>414</v>
      </c>
      <c r="D182" s="10">
        <v>2</v>
      </c>
      <c r="E182" s="10" t="s">
        <v>415</v>
      </c>
      <c r="F182" s="13" t="s">
        <v>11</v>
      </c>
    </row>
    <row r="183" ht="18" customHeight="1" spans="1:6">
      <c r="A183" s="13" t="s">
        <v>186</v>
      </c>
      <c r="B183" s="10" t="s">
        <v>393</v>
      </c>
      <c r="C183" s="10" t="s">
        <v>416</v>
      </c>
      <c r="D183" s="10">
        <v>4</v>
      </c>
      <c r="E183" s="10" t="s">
        <v>417</v>
      </c>
      <c r="F183" s="13" t="s">
        <v>11</v>
      </c>
    </row>
    <row r="184" ht="18" customHeight="1" spans="1:6">
      <c r="A184" s="13" t="s">
        <v>186</v>
      </c>
      <c r="B184" s="10" t="s">
        <v>418</v>
      </c>
      <c r="C184" s="10" t="s">
        <v>419</v>
      </c>
      <c r="D184" s="10">
        <v>4</v>
      </c>
      <c r="E184" s="10" t="s">
        <v>420</v>
      </c>
      <c r="F184" s="13" t="s">
        <v>11</v>
      </c>
    </row>
    <row r="185" ht="18" customHeight="1" spans="1:6">
      <c r="A185" s="13" t="s">
        <v>186</v>
      </c>
      <c r="B185" s="10" t="s">
        <v>418</v>
      </c>
      <c r="C185" s="10" t="s">
        <v>421</v>
      </c>
      <c r="D185" s="10">
        <v>3</v>
      </c>
      <c r="E185" s="10" t="s">
        <v>422</v>
      </c>
      <c r="F185" s="13" t="s">
        <v>11</v>
      </c>
    </row>
    <row r="186" ht="18" customHeight="1" spans="1:6">
      <c r="A186" s="13" t="s">
        <v>186</v>
      </c>
      <c r="B186" s="10" t="s">
        <v>418</v>
      </c>
      <c r="C186" s="10" t="s">
        <v>423</v>
      </c>
      <c r="D186" s="10">
        <v>3</v>
      </c>
      <c r="E186" s="10" t="s">
        <v>424</v>
      </c>
      <c r="F186" s="13" t="s">
        <v>11</v>
      </c>
    </row>
    <row r="187" ht="18" customHeight="1" spans="1:6">
      <c r="A187" s="13" t="s">
        <v>186</v>
      </c>
      <c r="B187" s="10" t="s">
        <v>418</v>
      </c>
      <c r="C187" s="10" t="s">
        <v>425</v>
      </c>
      <c r="D187" s="10">
        <v>4</v>
      </c>
      <c r="E187" s="10" t="s">
        <v>426</v>
      </c>
      <c r="F187" s="13" t="s">
        <v>11</v>
      </c>
    </row>
    <row r="188" ht="18" customHeight="1" spans="1:6">
      <c r="A188" s="13" t="s">
        <v>186</v>
      </c>
      <c r="B188" s="10" t="s">
        <v>418</v>
      </c>
      <c r="C188" s="10" t="s">
        <v>427</v>
      </c>
      <c r="D188" s="10">
        <v>3</v>
      </c>
      <c r="E188" s="10" t="s">
        <v>428</v>
      </c>
      <c r="F188" s="13" t="s">
        <v>11</v>
      </c>
    </row>
    <row r="189" ht="18" customHeight="1" spans="1:6">
      <c r="A189" s="13" t="s">
        <v>186</v>
      </c>
      <c r="B189" s="10" t="s">
        <v>418</v>
      </c>
      <c r="C189" s="10" t="s">
        <v>429</v>
      </c>
      <c r="D189" s="10">
        <v>3</v>
      </c>
      <c r="E189" s="10" t="s">
        <v>430</v>
      </c>
      <c r="F189" s="13" t="s">
        <v>11</v>
      </c>
    </row>
    <row r="190" ht="18" customHeight="1" spans="1:6">
      <c r="A190" s="13" t="s">
        <v>186</v>
      </c>
      <c r="B190" s="10" t="s">
        <v>418</v>
      </c>
      <c r="C190" s="10" t="s">
        <v>431</v>
      </c>
      <c r="D190" s="10">
        <v>3</v>
      </c>
      <c r="E190" s="10" t="s">
        <v>432</v>
      </c>
      <c r="F190" s="13" t="s">
        <v>11</v>
      </c>
    </row>
    <row r="191" ht="18" customHeight="1" spans="1:6">
      <c r="A191" s="13" t="s">
        <v>186</v>
      </c>
      <c r="B191" s="10" t="s">
        <v>418</v>
      </c>
      <c r="C191" s="10" t="s">
        <v>433</v>
      </c>
      <c r="D191" s="10">
        <v>4</v>
      </c>
      <c r="E191" s="10" t="s">
        <v>434</v>
      </c>
      <c r="F191" s="13" t="s">
        <v>11</v>
      </c>
    </row>
    <row r="192" ht="18" customHeight="1" spans="1:6">
      <c r="A192" s="13" t="s">
        <v>186</v>
      </c>
      <c r="B192" s="10" t="s">
        <v>418</v>
      </c>
      <c r="C192" s="10" t="s">
        <v>435</v>
      </c>
      <c r="D192" s="10">
        <v>3</v>
      </c>
      <c r="E192" s="10" t="s">
        <v>436</v>
      </c>
      <c r="F192" s="13" t="s">
        <v>11</v>
      </c>
    </row>
    <row r="193" ht="18" customHeight="1" spans="1:6">
      <c r="A193" s="13" t="s">
        <v>186</v>
      </c>
      <c r="B193" s="10" t="s">
        <v>418</v>
      </c>
      <c r="C193" s="10" t="s">
        <v>437</v>
      </c>
      <c r="D193" s="10">
        <v>3</v>
      </c>
      <c r="E193" s="10" t="s">
        <v>438</v>
      </c>
      <c r="F193" s="13" t="s">
        <v>11</v>
      </c>
    </row>
    <row r="194" ht="18" customHeight="1" spans="1:6">
      <c r="A194" s="13" t="s">
        <v>186</v>
      </c>
      <c r="B194" s="10" t="s">
        <v>418</v>
      </c>
      <c r="C194" s="10" t="s">
        <v>439</v>
      </c>
      <c r="D194" s="10">
        <v>3</v>
      </c>
      <c r="E194" s="10" t="s">
        <v>440</v>
      </c>
      <c r="F194" s="13" t="s">
        <v>11</v>
      </c>
    </row>
    <row r="195" ht="18" customHeight="1" spans="1:6">
      <c r="A195" s="13" t="s">
        <v>186</v>
      </c>
      <c r="B195" s="10" t="s">
        <v>418</v>
      </c>
      <c r="C195" s="10" t="s">
        <v>441</v>
      </c>
      <c r="D195" s="10">
        <v>3</v>
      </c>
      <c r="E195" s="10" t="s">
        <v>442</v>
      </c>
      <c r="F195" s="13" t="s">
        <v>11</v>
      </c>
    </row>
    <row r="196" ht="18" customHeight="1" spans="1:6">
      <c r="A196" s="13" t="s">
        <v>186</v>
      </c>
      <c r="B196" s="10" t="s">
        <v>418</v>
      </c>
      <c r="C196" s="10" t="s">
        <v>443</v>
      </c>
      <c r="D196" s="10">
        <v>3</v>
      </c>
      <c r="E196" s="10" t="s">
        <v>444</v>
      </c>
      <c r="F196" s="13" t="s">
        <v>11</v>
      </c>
    </row>
    <row r="197" ht="18" customHeight="1" spans="1:6">
      <c r="A197" s="13" t="s">
        <v>186</v>
      </c>
      <c r="B197" s="10" t="s">
        <v>418</v>
      </c>
      <c r="C197" s="10" t="s">
        <v>445</v>
      </c>
      <c r="D197" s="10">
        <v>4</v>
      </c>
      <c r="E197" s="10" t="s">
        <v>446</v>
      </c>
      <c r="F197" s="13" t="s">
        <v>11</v>
      </c>
    </row>
    <row r="198" ht="18" customHeight="1" spans="1:6">
      <c r="A198" s="13" t="s">
        <v>186</v>
      </c>
      <c r="B198" s="10" t="s">
        <v>418</v>
      </c>
      <c r="C198" s="10" t="s">
        <v>447</v>
      </c>
      <c r="D198" s="10">
        <v>3</v>
      </c>
      <c r="E198" s="10" t="s">
        <v>448</v>
      </c>
      <c r="F198" s="13" t="s">
        <v>11</v>
      </c>
    </row>
    <row r="199" ht="18" customHeight="1" spans="1:6">
      <c r="A199" s="13" t="s">
        <v>186</v>
      </c>
      <c r="B199" s="10" t="s">
        <v>418</v>
      </c>
      <c r="C199" s="10" t="s">
        <v>449</v>
      </c>
      <c r="D199" s="10">
        <v>2</v>
      </c>
      <c r="E199" s="10" t="s">
        <v>450</v>
      </c>
      <c r="F199" s="13" t="s">
        <v>11</v>
      </c>
    </row>
    <row r="200" ht="18" customHeight="1" spans="1:6">
      <c r="A200" s="13" t="s">
        <v>186</v>
      </c>
      <c r="B200" s="10" t="s">
        <v>418</v>
      </c>
      <c r="C200" s="10" t="s">
        <v>451</v>
      </c>
      <c r="D200" s="10">
        <v>5</v>
      </c>
      <c r="E200" s="10" t="s">
        <v>452</v>
      </c>
      <c r="F200" s="13" t="s">
        <v>11</v>
      </c>
    </row>
    <row r="201" ht="18" customHeight="1" spans="1:6">
      <c r="A201" s="13" t="s">
        <v>186</v>
      </c>
      <c r="B201" s="10" t="s">
        <v>418</v>
      </c>
      <c r="C201" s="10" t="s">
        <v>453</v>
      </c>
      <c r="D201" s="10">
        <v>1</v>
      </c>
      <c r="E201" s="10" t="s">
        <v>454</v>
      </c>
      <c r="F201" s="13" t="s">
        <v>11</v>
      </c>
    </row>
    <row r="202" ht="18" customHeight="1" spans="1:6">
      <c r="A202" s="13" t="s">
        <v>186</v>
      </c>
      <c r="B202" s="10" t="s">
        <v>418</v>
      </c>
      <c r="C202" s="10" t="s">
        <v>455</v>
      </c>
      <c r="D202" s="10">
        <v>1</v>
      </c>
      <c r="E202" s="10" t="s">
        <v>456</v>
      </c>
      <c r="F202" s="13" t="s">
        <v>11</v>
      </c>
    </row>
    <row r="203" ht="18" customHeight="1" spans="1:6">
      <c r="A203" s="13" t="s">
        <v>186</v>
      </c>
      <c r="B203" s="10" t="s">
        <v>418</v>
      </c>
      <c r="C203" s="10" t="s">
        <v>457</v>
      </c>
      <c r="D203" s="10">
        <v>3</v>
      </c>
      <c r="E203" s="10" t="s">
        <v>458</v>
      </c>
      <c r="F203" s="13" t="s">
        <v>11</v>
      </c>
    </row>
    <row r="204" ht="18" customHeight="1" spans="1:6">
      <c r="A204" s="13" t="s">
        <v>186</v>
      </c>
      <c r="B204" s="10" t="s">
        <v>418</v>
      </c>
      <c r="C204" s="10" t="s">
        <v>459</v>
      </c>
      <c r="D204" s="10">
        <v>1</v>
      </c>
      <c r="E204" s="10" t="s">
        <v>460</v>
      </c>
      <c r="F204" s="13" t="s">
        <v>11</v>
      </c>
    </row>
    <row r="205" ht="18" customHeight="1" spans="1:6">
      <c r="A205" s="13" t="s">
        <v>186</v>
      </c>
      <c r="B205" s="10" t="s">
        <v>418</v>
      </c>
      <c r="C205" s="10" t="s">
        <v>461</v>
      </c>
      <c r="D205" s="10">
        <v>1</v>
      </c>
      <c r="E205" s="10" t="s">
        <v>462</v>
      </c>
      <c r="F205" s="13" t="s">
        <v>11</v>
      </c>
    </row>
    <row r="206" ht="18" customHeight="1" spans="1:6">
      <c r="A206" s="13" t="s">
        <v>186</v>
      </c>
      <c r="B206" s="10" t="s">
        <v>418</v>
      </c>
      <c r="C206" s="10" t="s">
        <v>463</v>
      </c>
      <c r="D206" s="10">
        <v>1</v>
      </c>
      <c r="E206" s="10" t="s">
        <v>464</v>
      </c>
      <c r="F206" s="13" t="s">
        <v>11</v>
      </c>
    </row>
    <row r="207" ht="18" customHeight="1" spans="1:6">
      <c r="A207" s="13" t="s">
        <v>186</v>
      </c>
      <c r="B207" s="10" t="s">
        <v>418</v>
      </c>
      <c r="C207" s="10" t="s">
        <v>465</v>
      </c>
      <c r="D207" s="10">
        <v>1</v>
      </c>
      <c r="E207" s="10" t="s">
        <v>466</v>
      </c>
      <c r="F207" s="13" t="s">
        <v>11</v>
      </c>
    </row>
    <row r="208" ht="18" customHeight="1" spans="1:6">
      <c r="A208" s="13" t="s">
        <v>186</v>
      </c>
      <c r="B208" s="10" t="s">
        <v>418</v>
      </c>
      <c r="C208" s="10" t="s">
        <v>467</v>
      </c>
      <c r="D208" s="10">
        <v>1</v>
      </c>
      <c r="E208" s="10" t="s">
        <v>468</v>
      </c>
      <c r="F208" s="13" t="s">
        <v>11</v>
      </c>
    </row>
    <row r="209" ht="18" customHeight="1" spans="1:6">
      <c r="A209" s="13" t="s">
        <v>186</v>
      </c>
      <c r="B209" s="10" t="s">
        <v>418</v>
      </c>
      <c r="C209" s="10" t="s">
        <v>469</v>
      </c>
      <c r="D209" s="10">
        <v>1</v>
      </c>
      <c r="E209" s="10" t="s">
        <v>470</v>
      </c>
      <c r="F209" s="13" t="s">
        <v>11</v>
      </c>
    </row>
    <row r="210" ht="18" customHeight="1" spans="1:6">
      <c r="A210" s="13" t="s">
        <v>186</v>
      </c>
      <c r="B210" s="10" t="s">
        <v>418</v>
      </c>
      <c r="C210" s="10" t="s">
        <v>471</v>
      </c>
      <c r="D210" s="10">
        <v>1</v>
      </c>
      <c r="E210" s="10" t="s">
        <v>472</v>
      </c>
      <c r="F210" s="13" t="s">
        <v>11</v>
      </c>
    </row>
    <row r="211" ht="18" customHeight="1" spans="1:6">
      <c r="A211" s="13" t="s">
        <v>186</v>
      </c>
      <c r="B211" s="10" t="s">
        <v>418</v>
      </c>
      <c r="C211" s="10" t="s">
        <v>473</v>
      </c>
      <c r="D211" s="10">
        <v>1</v>
      </c>
      <c r="E211" s="10" t="s">
        <v>474</v>
      </c>
      <c r="F211" s="13" t="s">
        <v>11</v>
      </c>
    </row>
    <row r="212" ht="18" customHeight="1" spans="1:6">
      <c r="A212" s="13" t="s">
        <v>186</v>
      </c>
      <c r="B212" s="10" t="s">
        <v>418</v>
      </c>
      <c r="C212" s="10" t="s">
        <v>475</v>
      </c>
      <c r="D212" s="10">
        <v>2</v>
      </c>
      <c r="E212" s="10" t="s">
        <v>476</v>
      </c>
      <c r="F212" s="13" t="s">
        <v>11</v>
      </c>
    </row>
    <row r="213" ht="18" customHeight="1" spans="1:6">
      <c r="A213" s="13" t="s">
        <v>186</v>
      </c>
      <c r="B213" s="10" t="s">
        <v>418</v>
      </c>
      <c r="C213" s="10" t="s">
        <v>477</v>
      </c>
      <c r="D213" s="10">
        <v>1</v>
      </c>
      <c r="E213" s="10" t="s">
        <v>478</v>
      </c>
      <c r="F213" s="13" t="s">
        <v>11</v>
      </c>
    </row>
    <row r="214" ht="18" customHeight="1" spans="1:6">
      <c r="A214" s="13" t="s">
        <v>186</v>
      </c>
      <c r="B214" s="13" t="s">
        <v>418</v>
      </c>
      <c r="C214" s="13" t="s">
        <v>479</v>
      </c>
      <c r="D214" s="13">
        <v>4</v>
      </c>
      <c r="E214" s="13" t="str">
        <f>LEFT("422626195708070610",19)</f>
        <v>422626195708070610</v>
      </c>
      <c r="F214" s="13" t="s">
        <v>11</v>
      </c>
    </row>
    <row r="215" ht="18" customHeight="1" spans="1:6">
      <c r="A215" s="13" t="s">
        <v>186</v>
      </c>
      <c r="B215" s="10" t="s">
        <v>480</v>
      </c>
      <c r="C215" s="10" t="s">
        <v>481</v>
      </c>
      <c r="D215" s="10">
        <v>1</v>
      </c>
      <c r="E215" s="10" t="s">
        <v>482</v>
      </c>
      <c r="F215" s="13" t="s">
        <v>11</v>
      </c>
    </row>
    <row r="216" ht="18" customHeight="1" spans="1:6">
      <c r="A216" s="13" t="s">
        <v>186</v>
      </c>
      <c r="B216" s="10" t="s">
        <v>480</v>
      </c>
      <c r="C216" s="10" t="s">
        <v>483</v>
      </c>
      <c r="D216" s="10">
        <v>6</v>
      </c>
      <c r="E216" s="10" t="s">
        <v>484</v>
      </c>
      <c r="F216" s="13" t="s">
        <v>11</v>
      </c>
    </row>
    <row r="217" ht="18" customHeight="1" spans="1:6">
      <c r="A217" s="13" t="s">
        <v>186</v>
      </c>
      <c r="B217" s="10" t="s">
        <v>480</v>
      </c>
      <c r="C217" s="10" t="s">
        <v>485</v>
      </c>
      <c r="D217" s="10">
        <v>1</v>
      </c>
      <c r="E217" s="10" t="s">
        <v>486</v>
      </c>
      <c r="F217" s="13" t="s">
        <v>11</v>
      </c>
    </row>
    <row r="218" ht="18" customHeight="1" spans="1:6">
      <c r="A218" s="13" t="s">
        <v>186</v>
      </c>
      <c r="B218" s="10" t="s">
        <v>480</v>
      </c>
      <c r="C218" s="10" t="s">
        <v>487</v>
      </c>
      <c r="D218" s="10">
        <v>1</v>
      </c>
      <c r="E218" s="10" t="s">
        <v>488</v>
      </c>
      <c r="F218" s="13" t="s">
        <v>11</v>
      </c>
    </row>
    <row r="219" ht="18" customHeight="1" spans="1:6">
      <c r="A219" s="13" t="s">
        <v>186</v>
      </c>
      <c r="B219" s="10" t="s">
        <v>480</v>
      </c>
      <c r="C219" s="10" t="s">
        <v>489</v>
      </c>
      <c r="D219" s="10">
        <v>2</v>
      </c>
      <c r="E219" s="10" t="s">
        <v>490</v>
      </c>
      <c r="F219" s="13" t="s">
        <v>11</v>
      </c>
    </row>
    <row r="220" ht="18" customHeight="1" spans="1:6">
      <c r="A220" s="13" t="s">
        <v>186</v>
      </c>
      <c r="B220" s="10" t="s">
        <v>480</v>
      </c>
      <c r="C220" s="10" t="s">
        <v>491</v>
      </c>
      <c r="D220" s="10">
        <v>4</v>
      </c>
      <c r="E220" s="10" t="s">
        <v>492</v>
      </c>
      <c r="F220" s="13" t="s">
        <v>11</v>
      </c>
    </row>
    <row r="221" ht="18" customHeight="1" spans="1:6">
      <c r="A221" s="13" t="s">
        <v>186</v>
      </c>
      <c r="B221" s="10" t="s">
        <v>480</v>
      </c>
      <c r="C221" s="10" t="s">
        <v>493</v>
      </c>
      <c r="D221" s="10">
        <v>3</v>
      </c>
      <c r="E221" s="10" t="s">
        <v>494</v>
      </c>
      <c r="F221" s="13" t="s">
        <v>11</v>
      </c>
    </row>
    <row r="222" ht="18" customHeight="1" spans="1:6">
      <c r="A222" s="13" t="s">
        <v>186</v>
      </c>
      <c r="B222" s="10" t="s">
        <v>480</v>
      </c>
      <c r="C222" s="10" t="s">
        <v>495</v>
      </c>
      <c r="D222" s="10">
        <v>4</v>
      </c>
      <c r="E222" s="10" t="s">
        <v>496</v>
      </c>
      <c r="F222" s="13" t="s">
        <v>11</v>
      </c>
    </row>
    <row r="223" ht="18" customHeight="1" spans="1:6">
      <c r="A223" s="13" t="s">
        <v>186</v>
      </c>
      <c r="B223" s="10" t="s">
        <v>480</v>
      </c>
      <c r="C223" s="10" t="s">
        <v>497</v>
      </c>
      <c r="D223" s="10">
        <v>3</v>
      </c>
      <c r="E223" s="10" t="s">
        <v>498</v>
      </c>
      <c r="F223" s="13" t="s">
        <v>11</v>
      </c>
    </row>
    <row r="224" ht="18" customHeight="1" spans="1:6">
      <c r="A224" s="13" t="s">
        <v>186</v>
      </c>
      <c r="B224" s="10" t="s">
        <v>480</v>
      </c>
      <c r="C224" s="10" t="s">
        <v>499</v>
      </c>
      <c r="D224" s="10">
        <v>3</v>
      </c>
      <c r="E224" s="10" t="s">
        <v>500</v>
      </c>
      <c r="F224" s="13" t="s">
        <v>11</v>
      </c>
    </row>
    <row r="225" ht="18" customHeight="1" spans="1:6">
      <c r="A225" s="13" t="s">
        <v>186</v>
      </c>
      <c r="B225" s="10" t="s">
        <v>480</v>
      </c>
      <c r="C225" s="10" t="s">
        <v>501</v>
      </c>
      <c r="D225" s="10">
        <v>4</v>
      </c>
      <c r="E225" s="10" t="s">
        <v>502</v>
      </c>
      <c r="F225" s="13" t="s">
        <v>11</v>
      </c>
    </row>
    <row r="226" ht="18" customHeight="1" spans="1:6">
      <c r="A226" s="13" t="s">
        <v>186</v>
      </c>
      <c r="B226" s="10" t="s">
        <v>480</v>
      </c>
      <c r="C226" s="10" t="s">
        <v>503</v>
      </c>
      <c r="D226" s="10">
        <v>3</v>
      </c>
      <c r="E226" s="10" t="s">
        <v>504</v>
      </c>
      <c r="F226" s="13" t="s">
        <v>11</v>
      </c>
    </row>
    <row r="227" ht="18" customHeight="1" spans="1:6">
      <c r="A227" s="13" t="s">
        <v>186</v>
      </c>
      <c r="B227" s="10" t="s">
        <v>480</v>
      </c>
      <c r="C227" s="10" t="s">
        <v>505</v>
      </c>
      <c r="D227" s="10">
        <v>3</v>
      </c>
      <c r="E227" s="10" t="s">
        <v>506</v>
      </c>
      <c r="F227" s="13" t="s">
        <v>11</v>
      </c>
    </row>
    <row r="228" ht="18" customHeight="1" spans="1:6">
      <c r="A228" s="13" t="s">
        <v>186</v>
      </c>
      <c r="B228" s="10" t="s">
        <v>480</v>
      </c>
      <c r="C228" s="10" t="s">
        <v>507</v>
      </c>
      <c r="D228" s="10">
        <v>2</v>
      </c>
      <c r="E228" s="10" t="s">
        <v>508</v>
      </c>
      <c r="F228" s="13" t="s">
        <v>11</v>
      </c>
    </row>
    <row r="229" ht="18" customHeight="1" spans="1:6">
      <c r="A229" s="13" t="s">
        <v>186</v>
      </c>
      <c r="B229" s="10" t="s">
        <v>480</v>
      </c>
      <c r="C229" s="10" t="s">
        <v>509</v>
      </c>
      <c r="D229" s="10">
        <v>3</v>
      </c>
      <c r="E229" s="10" t="s">
        <v>510</v>
      </c>
      <c r="F229" s="13" t="s">
        <v>11</v>
      </c>
    </row>
    <row r="230" ht="18" customHeight="1" spans="1:6">
      <c r="A230" s="13" t="s">
        <v>186</v>
      </c>
      <c r="B230" s="10" t="s">
        <v>480</v>
      </c>
      <c r="C230" s="10" t="s">
        <v>511</v>
      </c>
      <c r="D230" s="10">
        <v>3</v>
      </c>
      <c r="E230" s="10" t="s">
        <v>512</v>
      </c>
      <c r="F230" s="13" t="s">
        <v>11</v>
      </c>
    </row>
    <row r="231" ht="18" customHeight="1" spans="1:6">
      <c r="A231" s="13" t="s">
        <v>186</v>
      </c>
      <c r="B231" s="10" t="s">
        <v>480</v>
      </c>
      <c r="C231" s="10" t="s">
        <v>513</v>
      </c>
      <c r="D231" s="10">
        <v>3</v>
      </c>
      <c r="E231" s="10" t="s">
        <v>514</v>
      </c>
      <c r="F231" s="13" t="s">
        <v>11</v>
      </c>
    </row>
    <row r="232" ht="18" customHeight="1" spans="1:6">
      <c r="A232" s="13" t="s">
        <v>186</v>
      </c>
      <c r="B232" s="10" t="s">
        <v>480</v>
      </c>
      <c r="C232" s="10" t="s">
        <v>515</v>
      </c>
      <c r="D232" s="10">
        <v>2</v>
      </c>
      <c r="E232" s="10" t="s">
        <v>516</v>
      </c>
      <c r="F232" s="13" t="s">
        <v>11</v>
      </c>
    </row>
    <row r="233" ht="18" customHeight="1" spans="1:6">
      <c r="A233" s="13" t="s">
        <v>186</v>
      </c>
      <c r="B233" s="10" t="s">
        <v>517</v>
      </c>
      <c r="C233" s="10" t="s">
        <v>518</v>
      </c>
      <c r="D233" s="10">
        <v>3</v>
      </c>
      <c r="E233" s="10" t="s">
        <v>519</v>
      </c>
      <c r="F233" s="13" t="s">
        <v>11</v>
      </c>
    </row>
    <row r="234" ht="18" customHeight="1" spans="1:6">
      <c r="A234" s="13" t="s">
        <v>186</v>
      </c>
      <c r="B234" s="10" t="s">
        <v>517</v>
      </c>
      <c r="C234" s="10" t="s">
        <v>520</v>
      </c>
      <c r="D234" s="10">
        <v>4</v>
      </c>
      <c r="E234" s="10" t="s">
        <v>521</v>
      </c>
      <c r="F234" s="13" t="s">
        <v>11</v>
      </c>
    </row>
    <row r="235" ht="18" customHeight="1" spans="1:6">
      <c r="A235" s="13" t="s">
        <v>186</v>
      </c>
      <c r="B235" s="10" t="s">
        <v>517</v>
      </c>
      <c r="C235" s="10" t="s">
        <v>522</v>
      </c>
      <c r="D235" s="10">
        <v>5</v>
      </c>
      <c r="E235" s="10" t="s">
        <v>523</v>
      </c>
      <c r="F235" s="13" t="s">
        <v>11</v>
      </c>
    </row>
    <row r="236" ht="18" customHeight="1" spans="1:6">
      <c r="A236" s="13" t="s">
        <v>186</v>
      </c>
      <c r="B236" s="10" t="s">
        <v>517</v>
      </c>
      <c r="C236" s="10" t="s">
        <v>524</v>
      </c>
      <c r="D236" s="10">
        <v>5</v>
      </c>
      <c r="E236" s="10" t="s">
        <v>525</v>
      </c>
      <c r="F236" s="13" t="s">
        <v>11</v>
      </c>
    </row>
    <row r="237" ht="18" customHeight="1" spans="1:6">
      <c r="A237" s="13" t="s">
        <v>186</v>
      </c>
      <c r="B237" s="10" t="s">
        <v>517</v>
      </c>
      <c r="C237" s="10" t="s">
        <v>526</v>
      </c>
      <c r="D237" s="10">
        <v>5</v>
      </c>
      <c r="E237" s="10" t="s">
        <v>527</v>
      </c>
      <c r="F237" s="13" t="s">
        <v>11</v>
      </c>
    </row>
    <row r="238" ht="18" customHeight="1" spans="1:6">
      <c r="A238" s="13" t="s">
        <v>186</v>
      </c>
      <c r="B238" s="10" t="s">
        <v>517</v>
      </c>
      <c r="C238" s="10" t="s">
        <v>528</v>
      </c>
      <c r="D238" s="10">
        <v>2</v>
      </c>
      <c r="E238" s="10" t="s">
        <v>529</v>
      </c>
      <c r="F238" s="13" t="s">
        <v>11</v>
      </c>
    </row>
    <row r="239" ht="18" customHeight="1" spans="1:6">
      <c r="A239" s="13" t="s">
        <v>186</v>
      </c>
      <c r="B239" s="10" t="s">
        <v>517</v>
      </c>
      <c r="C239" s="10" t="s">
        <v>530</v>
      </c>
      <c r="D239" s="10">
        <v>5</v>
      </c>
      <c r="E239" s="10" t="s">
        <v>531</v>
      </c>
      <c r="F239" s="13" t="s">
        <v>11</v>
      </c>
    </row>
    <row r="240" ht="18" customHeight="1" spans="1:6">
      <c r="A240" s="13" t="s">
        <v>186</v>
      </c>
      <c r="B240" s="10" t="s">
        <v>517</v>
      </c>
      <c r="C240" s="10" t="s">
        <v>532</v>
      </c>
      <c r="D240" s="10">
        <v>6</v>
      </c>
      <c r="E240" s="10" t="s">
        <v>533</v>
      </c>
      <c r="F240" s="13" t="s">
        <v>11</v>
      </c>
    </row>
    <row r="241" ht="18" customHeight="1" spans="1:6">
      <c r="A241" s="13" t="s">
        <v>186</v>
      </c>
      <c r="B241" s="10" t="s">
        <v>517</v>
      </c>
      <c r="C241" s="10" t="s">
        <v>534</v>
      </c>
      <c r="D241" s="10">
        <v>2</v>
      </c>
      <c r="E241" s="10" t="s">
        <v>535</v>
      </c>
      <c r="F241" s="13" t="s">
        <v>11</v>
      </c>
    </row>
    <row r="242" ht="18" customHeight="1" spans="1:6">
      <c r="A242" s="13" t="s">
        <v>186</v>
      </c>
      <c r="B242" s="10" t="s">
        <v>517</v>
      </c>
      <c r="C242" s="10" t="s">
        <v>536</v>
      </c>
      <c r="D242" s="10">
        <v>2</v>
      </c>
      <c r="E242" s="10" t="s">
        <v>537</v>
      </c>
      <c r="F242" s="13" t="s">
        <v>11</v>
      </c>
    </row>
    <row r="243" ht="18" customHeight="1" spans="1:6">
      <c r="A243" s="13" t="s">
        <v>186</v>
      </c>
      <c r="B243" s="10" t="s">
        <v>517</v>
      </c>
      <c r="C243" s="10" t="s">
        <v>538</v>
      </c>
      <c r="D243" s="10">
        <v>5</v>
      </c>
      <c r="E243" s="10" t="s">
        <v>539</v>
      </c>
      <c r="F243" s="13" t="s">
        <v>11</v>
      </c>
    </row>
    <row r="244" ht="18" customHeight="1" spans="1:6">
      <c r="A244" s="13" t="s">
        <v>186</v>
      </c>
      <c r="B244" s="10" t="s">
        <v>517</v>
      </c>
      <c r="C244" s="10" t="s">
        <v>540</v>
      </c>
      <c r="D244" s="10">
        <v>5</v>
      </c>
      <c r="E244" s="10" t="s">
        <v>541</v>
      </c>
      <c r="F244" s="13" t="s">
        <v>11</v>
      </c>
    </row>
    <row r="245" ht="18" customHeight="1" spans="1:6">
      <c r="A245" s="13" t="s">
        <v>186</v>
      </c>
      <c r="B245" s="10" t="s">
        <v>517</v>
      </c>
      <c r="C245" s="10" t="s">
        <v>542</v>
      </c>
      <c r="D245" s="10">
        <v>3</v>
      </c>
      <c r="E245" s="10" t="s">
        <v>543</v>
      </c>
      <c r="F245" s="13" t="s">
        <v>11</v>
      </c>
    </row>
    <row r="246" ht="18" customHeight="1" spans="1:6">
      <c r="A246" s="13" t="s">
        <v>186</v>
      </c>
      <c r="B246" s="10" t="s">
        <v>517</v>
      </c>
      <c r="C246" s="10" t="s">
        <v>544</v>
      </c>
      <c r="D246" s="10">
        <v>5</v>
      </c>
      <c r="E246" s="10" t="s">
        <v>545</v>
      </c>
      <c r="F246" s="13" t="s">
        <v>11</v>
      </c>
    </row>
    <row r="247" ht="18" customHeight="1" spans="1:6">
      <c r="A247" s="13" t="s">
        <v>186</v>
      </c>
      <c r="B247" s="10" t="s">
        <v>517</v>
      </c>
      <c r="C247" s="10" t="s">
        <v>546</v>
      </c>
      <c r="D247" s="10">
        <v>1</v>
      </c>
      <c r="E247" s="10" t="s">
        <v>547</v>
      </c>
      <c r="F247" s="13" t="s">
        <v>11</v>
      </c>
    </row>
    <row r="248" ht="18" customHeight="1" spans="1:6">
      <c r="A248" s="13" t="s">
        <v>186</v>
      </c>
      <c r="B248" s="10" t="s">
        <v>517</v>
      </c>
      <c r="C248" s="10" t="s">
        <v>548</v>
      </c>
      <c r="D248" s="10">
        <v>5</v>
      </c>
      <c r="E248" s="10" t="s">
        <v>549</v>
      </c>
      <c r="F248" s="13" t="s">
        <v>11</v>
      </c>
    </row>
    <row r="249" ht="18" customHeight="1" spans="1:6">
      <c r="A249" s="13" t="s">
        <v>186</v>
      </c>
      <c r="B249" s="10" t="s">
        <v>517</v>
      </c>
      <c r="C249" s="10" t="s">
        <v>550</v>
      </c>
      <c r="D249" s="10">
        <v>3</v>
      </c>
      <c r="E249" s="10" t="s">
        <v>551</v>
      </c>
      <c r="F249" s="13" t="s">
        <v>11</v>
      </c>
    </row>
    <row r="250" ht="18" customHeight="1" spans="1:6">
      <c r="A250" s="13" t="s">
        <v>186</v>
      </c>
      <c r="B250" s="10" t="s">
        <v>517</v>
      </c>
      <c r="C250" s="10" t="s">
        <v>552</v>
      </c>
      <c r="D250" s="10">
        <v>3</v>
      </c>
      <c r="E250" s="10" t="s">
        <v>553</v>
      </c>
      <c r="F250" s="13" t="s">
        <v>11</v>
      </c>
    </row>
    <row r="251" ht="18" customHeight="1" spans="1:6">
      <c r="A251" s="13" t="s">
        <v>186</v>
      </c>
      <c r="B251" s="10" t="s">
        <v>517</v>
      </c>
      <c r="C251" s="10" t="s">
        <v>554</v>
      </c>
      <c r="D251" s="10">
        <v>4</v>
      </c>
      <c r="E251" s="10" t="s">
        <v>555</v>
      </c>
      <c r="F251" s="13" t="s">
        <v>11</v>
      </c>
    </row>
    <row r="252" ht="18" customHeight="1" spans="1:6">
      <c r="A252" s="13" t="s">
        <v>186</v>
      </c>
      <c r="B252" s="10" t="s">
        <v>517</v>
      </c>
      <c r="C252" s="10" t="s">
        <v>556</v>
      </c>
      <c r="D252" s="10">
        <v>3</v>
      </c>
      <c r="E252" s="10" t="s">
        <v>557</v>
      </c>
      <c r="F252" s="13" t="s">
        <v>11</v>
      </c>
    </row>
    <row r="253" ht="18" customHeight="1" spans="1:6">
      <c r="A253" s="13" t="s">
        <v>186</v>
      </c>
      <c r="B253" s="10" t="s">
        <v>517</v>
      </c>
      <c r="C253" s="10" t="s">
        <v>558</v>
      </c>
      <c r="D253" s="10">
        <v>3</v>
      </c>
      <c r="E253" s="10" t="s">
        <v>559</v>
      </c>
      <c r="F253" s="13" t="s">
        <v>11</v>
      </c>
    </row>
    <row r="254" ht="18" customHeight="1" spans="1:6">
      <c r="A254" s="13" t="s">
        <v>186</v>
      </c>
      <c r="B254" s="10" t="s">
        <v>517</v>
      </c>
      <c r="C254" s="10" t="s">
        <v>560</v>
      </c>
      <c r="D254" s="10">
        <v>2</v>
      </c>
      <c r="E254" s="10" t="s">
        <v>561</v>
      </c>
      <c r="F254" s="13" t="s">
        <v>11</v>
      </c>
    </row>
    <row r="255" ht="18" customHeight="1" spans="1:6">
      <c r="A255" s="13" t="s">
        <v>186</v>
      </c>
      <c r="B255" s="10" t="s">
        <v>517</v>
      </c>
      <c r="C255" s="10" t="s">
        <v>562</v>
      </c>
      <c r="D255" s="10">
        <v>7</v>
      </c>
      <c r="E255" s="10" t="s">
        <v>563</v>
      </c>
      <c r="F255" s="13" t="s">
        <v>11</v>
      </c>
    </row>
    <row r="256" ht="18" customHeight="1" spans="1:6">
      <c r="A256" s="13" t="s">
        <v>186</v>
      </c>
      <c r="B256" s="10" t="s">
        <v>517</v>
      </c>
      <c r="C256" s="10" t="s">
        <v>564</v>
      </c>
      <c r="D256" s="10">
        <v>5</v>
      </c>
      <c r="E256" s="10" t="s">
        <v>565</v>
      </c>
      <c r="F256" s="13" t="s">
        <v>11</v>
      </c>
    </row>
    <row r="257" ht="18" customHeight="1" spans="1:6">
      <c r="A257" s="13" t="s">
        <v>186</v>
      </c>
      <c r="B257" s="10" t="s">
        <v>517</v>
      </c>
      <c r="C257" s="10" t="s">
        <v>566</v>
      </c>
      <c r="D257" s="10">
        <v>2</v>
      </c>
      <c r="E257" s="10" t="s">
        <v>567</v>
      </c>
      <c r="F257" s="13" t="s">
        <v>11</v>
      </c>
    </row>
    <row r="258" ht="18" customHeight="1" spans="1:6">
      <c r="A258" s="13" t="s">
        <v>186</v>
      </c>
      <c r="B258" s="10" t="s">
        <v>517</v>
      </c>
      <c r="C258" s="10" t="s">
        <v>568</v>
      </c>
      <c r="D258" s="10">
        <v>3</v>
      </c>
      <c r="E258" s="10" t="s">
        <v>569</v>
      </c>
      <c r="F258" s="13" t="s">
        <v>11</v>
      </c>
    </row>
    <row r="259" ht="18" customHeight="1" spans="1:6">
      <c r="A259" s="13" t="s">
        <v>186</v>
      </c>
      <c r="B259" s="10" t="s">
        <v>517</v>
      </c>
      <c r="C259" s="10" t="s">
        <v>570</v>
      </c>
      <c r="D259" s="10">
        <v>4</v>
      </c>
      <c r="E259" s="10" t="s">
        <v>571</v>
      </c>
      <c r="F259" s="13" t="s">
        <v>11</v>
      </c>
    </row>
    <row r="260" ht="18" customHeight="1" spans="1:6">
      <c r="A260" s="13" t="s">
        <v>186</v>
      </c>
      <c r="B260" s="10" t="s">
        <v>517</v>
      </c>
      <c r="C260" s="10" t="s">
        <v>572</v>
      </c>
      <c r="D260" s="10">
        <v>2</v>
      </c>
      <c r="E260" s="10" t="s">
        <v>573</v>
      </c>
      <c r="F260" s="13" t="s">
        <v>11</v>
      </c>
    </row>
    <row r="261" ht="18" customHeight="1" spans="1:6">
      <c r="A261" s="13" t="s">
        <v>186</v>
      </c>
      <c r="B261" s="10" t="s">
        <v>517</v>
      </c>
      <c r="C261" s="10" t="s">
        <v>574</v>
      </c>
      <c r="D261" s="10">
        <v>7</v>
      </c>
      <c r="E261" s="10" t="s">
        <v>575</v>
      </c>
      <c r="F261" s="13" t="s">
        <v>11</v>
      </c>
    </row>
    <row r="262" ht="18" customHeight="1" spans="1:6">
      <c r="A262" s="13" t="s">
        <v>186</v>
      </c>
      <c r="B262" s="10" t="s">
        <v>517</v>
      </c>
      <c r="C262" s="10" t="s">
        <v>576</v>
      </c>
      <c r="D262" s="10">
        <v>3</v>
      </c>
      <c r="E262" s="10" t="s">
        <v>577</v>
      </c>
      <c r="F262" s="13" t="s">
        <v>11</v>
      </c>
    </row>
    <row r="263" ht="18" customHeight="1" spans="1:6">
      <c r="A263" s="13" t="s">
        <v>186</v>
      </c>
      <c r="B263" s="10" t="s">
        <v>517</v>
      </c>
      <c r="C263" s="10" t="s">
        <v>522</v>
      </c>
      <c r="D263" s="10">
        <v>5</v>
      </c>
      <c r="E263" s="10" t="s">
        <v>578</v>
      </c>
      <c r="F263" s="13" t="s">
        <v>11</v>
      </c>
    </row>
    <row r="264" ht="18" customHeight="1" spans="1:6">
      <c r="A264" s="13" t="s">
        <v>186</v>
      </c>
      <c r="B264" s="10" t="s">
        <v>517</v>
      </c>
      <c r="C264" s="10" t="s">
        <v>579</v>
      </c>
      <c r="D264" s="10">
        <v>2</v>
      </c>
      <c r="E264" s="10" t="s">
        <v>580</v>
      </c>
      <c r="F264" s="13" t="s">
        <v>11</v>
      </c>
    </row>
    <row r="265" ht="18" customHeight="1" spans="1:6">
      <c r="A265" s="13" t="s">
        <v>186</v>
      </c>
      <c r="B265" s="10" t="s">
        <v>581</v>
      </c>
      <c r="C265" s="10" t="s">
        <v>582</v>
      </c>
      <c r="D265" s="10">
        <v>4</v>
      </c>
      <c r="E265" s="10" t="s">
        <v>583</v>
      </c>
      <c r="F265" s="13" t="s">
        <v>11</v>
      </c>
    </row>
    <row r="266" ht="18" customHeight="1" spans="1:6">
      <c r="A266" s="13" t="s">
        <v>186</v>
      </c>
      <c r="B266" s="10" t="s">
        <v>581</v>
      </c>
      <c r="C266" s="10" t="s">
        <v>584</v>
      </c>
      <c r="D266" s="10">
        <v>3</v>
      </c>
      <c r="E266" s="10" t="s">
        <v>585</v>
      </c>
      <c r="F266" s="13" t="s">
        <v>11</v>
      </c>
    </row>
    <row r="267" ht="18" customHeight="1" spans="1:6">
      <c r="A267" s="13" t="s">
        <v>186</v>
      </c>
      <c r="B267" s="10" t="s">
        <v>581</v>
      </c>
      <c r="C267" s="10" t="s">
        <v>586</v>
      </c>
      <c r="D267" s="10">
        <v>1</v>
      </c>
      <c r="E267" s="10" t="s">
        <v>587</v>
      </c>
      <c r="F267" s="13" t="s">
        <v>11</v>
      </c>
    </row>
    <row r="268" ht="18" customHeight="1" spans="1:6">
      <c r="A268" s="13" t="s">
        <v>186</v>
      </c>
      <c r="B268" s="10" t="s">
        <v>581</v>
      </c>
      <c r="C268" s="10" t="s">
        <v>588</v>
      </c>
      <c r="D268" s="10">
        <v>1</v>
      </c>
      <c r="E268" s="10" t="s">
        <v>589</v>
      </c>
      <c r="F268" s="13" t="s">
        <v>11</v>
      </c>
    </row>
    <row r="269" ht="18" customHeight="1" spans="1:6">
      <c r="A269" s="13" t="s">
        <v>186</v>
      </c>
      <c r="B269" s="10" t="s">
        <v>590</v>
      </c>
      <c r="C269" s="10" t="s">
        <v>591</v>
      </c>
      <c r="D269" s="10">
        <v>1</v>
      </c>
      <c r="E269" s="10" t="s">
        <v>592</v>
      </c>
      <c r="F269" s="13" t="s">
        <v>11</v>
      </c>
    </row>
    <row r="270" ht="18" customHeight="1" spans="1:6">
      <c r="A270" s="13" t="s">
        <v>186</v>
      </c>
      <c r="B270" s="10" t="s">
        <v>590</v>
      </c>
      <c r="C270" s="10" t="s">
        <v>593</v>
      </c>
      <c r="D270" s="10">
        <v>1</v>
      </c>
      <c r="E270" s="10" t="s">
        <v>594</v>
      </c>
      <c r="F270" s="13" t="s">
        <v>11</v>
      </c>
    </row>
    <row r="271" ht="18" customHeight="1" spans="1:6">
      <c r="A271" s="13" t="s">
        <v>186</v>
      </c>
      <c r="B271" s="10" t="s">
        <v>590</v>
      </c>
      <c r="C271" s="10" t="s">
        <v>595</v>
      </c>
      <c r="D271" s="10">
        <v>1</v>
      </c>
      <c r="E271" s="10" t="s">
        <v>596</v>
      </c>
      <c r="F271" s="13" t="s">
        <v>11</v>
      </c>
    </row>
    <row r="272" ht="18" customHeight="1" spans="1:6">
      <c r="A272" s="13" t="s">
        <v>186</v>
      </c>
      <c r="B272" s="10" t="s">
        <v>590</v>
      </c>
      <c r="C272" s="10" t="s">
        <v>597</v>
      </c>
      <c r="D272" s="10">
        <v>1</v>
      </c>
      <c r="E272" s="10" t="s">
        <v>598</v>
      </c>
      <c r="F272" s="13" t="s">
        <v>11</v>
      </c>
    </row>
    <row r="273" ht="18" customHeight="1" spans="1:6">
      <c r="A273" s="13" t="s">
        <v>186</v>
      </c>
      <c r="B273" s="10" t="s">
        <v>590</v>
      </c>
      <c r="C273" s="10" t="s">
        <v>599</v>
      </c>
      <c r="D273" s="10">
        <v>1</v>
      </c>
      <c r="E273" s="10" t="s">
        <v>600</v>
      </c>
      <c r="F273" s="13" t="s">
        <v>11</v>
      </c>
    </row>
    <row r="274" ht="18" customHeight="1" spans="1:6">
      <c r="A274" s="13" t="s">
        <v>186</v>
      </c>
      <c r="B274" s="10" t="s">
        <v>590</v>
      </c>
      <c r="C274" s="10" t="s">
        <v>601</v>
      </c>
      <c r="D274" s="10">
        <v>1</v>
      </c>
      <c r="E274" s="10" t="s">
        <v>602</v>
      </c>
      <c r="F274" s="13" t="s">
        <v>11</v>
      </c>
    </row>
    <row r="275" ht="18" customHeight="1" spans="1:6">
      <c r="A275" s="13" t="s">
        <v>186</v>
      </c>
      <c r="B275" s="10" t="s">
        <v>590</v>
      </c>
      <c r="C275" s="10" t="s">
        <v>603</v>
      </c>
      <c r="D275" s="10">
        <v>1</v>
      </c>
      <c r="E275" s="10" t="s">
        <v>604</v>
      </c>
      <c r="F275" s="13" t="s">
        <v>11</v>
      </c>
    </row>
    <row r="276" ht="18" customHeight="1" spans="1:6">
      <c r="A276" s="13" t="s">
        <v>186</v>
      </c>
      <c r="B276" s="10" t="s">
        <v>590</v>
      </c>
      <c r="C276" s="10" t="s">
        <v>605</v>
      </c>
      <c r="D276" s="10">
        <v>1</v>
      </c>
      <c r="E276" s="10" t="s">
        <v>606</v>
      </c>
      <c r="F276" s="13" t="s">
        <v>11</v>
      </c>
    </row>
    <row r="277" ht="18" customHeight="1" spans="1:6">
      <c r="A277" s="13" t="s">
        <v>186</v>
      </c>
      <c r="B277" s="10" t="s">
        <v>590</v>
      </c>
      <c r="C277" s="10" t="s">
        <v>607</v>
      </c>
      <c r="D277" s="10">
        <v>1</v>
      </c>
      <c r="E277" s="10" t="s">
        <v>608</v>
      </c>
      <c r="F277" s="13" t="s">
        <v>11</v>
      </c>
    </row>
    <row r="278" ht="18" customHeight="1" spans="1:6">
      <c r="A278" s="13" t="s">
        <v>186</v>
      </c>
      <c r="B278" s="10" t="s">
        <v>590</v>
      </c>
      <c r="C278" s="10" t="s">
        <v>609</v>
      </c>
      <c r="D278" s="10">
        <v>1</v>
      </c>
      <c r="E278" s="10" t="s">
        <v>610</v>
      </c>
      <c r="F278" s="13" t="s">
        <v>11</v>
      </c>
    </row>
    <row r="279" ht="18" customHeight="1" spans="1:6">
      <c r="A279" s="13" t="s">
        <v>186</v>
      </c>
      <c r="B279" s="10" t="s">
        <v>590</v>
      </c>
      <c r="C279" s="10" t="s">
        <v>611</v>
      </c>
      <c r="D279" s="10">
        <v>1</v>
      </c>
      <c r="E279" s="10" t="s">
        <v>612</v>
      </c>
      <c r="F279" s="13" t="s">
        <v>11</v>
      </c>
    </row>
    <row r="280" ht="18" customHeight="1" spans="1:6">
      <c r="A280" s="13" t="s">
        <v>186</v>
      </c>
      <c r="B280" s="10" t="s">
        <v>590</v>
      </c>
      <c r="C280" s="10" t="s">
        <v>613</v>
      </c>
      <c r="D280" s="10">
        <v>3</v>
      </c>
      <c r="E280" s="187" t="s">
        <v>614</v>
      </c>
      <c r="F280" s="13" t="s">
        <v>11</v>
      </c>
    </row>
    <row r="281" ht="18" customHeight="1" spans="1:6">
      <c r="A281" s="13" t="s">
        <v>186</v>
      </c>
      <c r="B281" s="10" t="s">
        <v>590</v>
      </c>
      <c r="C281" s="10" t="s">
        <v>615</v>
      </c>
      <c r="D281" s="10">
        <v>2</v>
      </c>
      <c r="E281" s="187" t="s">
        <v>616</v>
      </c>
      <c r="F281" s="13" t="s">
        <v>11</v>
      </c>
    </row>
    <row r="282" ht="18" customHeight="1" spans="1:6">
      <c r="A282" s="13" t="s">
        <v>186</v>
      </c>
      <c r="B282" s="10" t="s">
        <v>590</v>
      </c>
      <c r="C282" s="10" t="s">
        <v>617</v>
      </c>
      <c r="D282" s="10">
        <v>2</v>
      </c>
      <c r="E282" s="10" t="s">
        <v>618</v>
      </c>
      <c r="F282" s="13" t="s">
        <v>11</v>
      </c>
    </row>
    <row r="283" ht="18" customHeight="1" spans="1:6">
      <c r="A283" s="13" t="s">
        <v>186</v>
      </c>
      <c r="B283" s="10" t="s">
        <v>590</v>
      </c>
      <c r="C283" s="10" t="s">
        <v>619</v>
      </c>
      <c r="D283" s="10">
        <v>3</v>
      </c>
      <c r="E283" s="10" t="s">
        <v>620</v>
      </c>
      <c r="F283" s="13" t="s">
        <v>11</v>
      </c>
    </row>
    <row r="284" ht="18" customHeight="1" spans="1:6">
      <c r="A284" s="13" t="s">
        <v>186</v>
      </c>
      <c r="B284" s="10" t="s">
        <v>621</v>
      </c>
      <c r="C284" s="10" t="s">
        <v>622</v>
      </c>
      <c r="D284" s="10">
        <v>2</v>
      </c>
      <c r="E284" s="10" t="s">
        <v>623</v>
      </c>
      <c r="F284" s="13" t="s">
        <v>11</v>
      </c>
    </row>
    <row r="285" ht="18" customHeight="1" spans="1:6">
      <c r="A285" s="13" t="s">
        <v>186</v>
      </c>
      <c r="B285" s="10" t="s">
        <v>621</v>
      </c>
      <c r="C285" s="10" t="s">
        <v>624</v>
      </c>
      <c r="D285" s="10">
        <v>1</v>
      </c>
      <c r="E285" s="10" t="s">
        <v>625</v>
      </c>
      <c r="F285" s="13" t="s">
        <v>11</v>
      </c>
    </row>
    <row r="286" ht="18" customHeight="1" spans="1:6">
      <c r="A286" s="13" t="s">
        <v>186</v>
      </c>
      <c r="B286" s="10" t="s">
        <v>621</v>
      </c>
      <c r="C286" s="10" t="s">
        <v>626</v>
      </c>
      <c r="D286" s="10">
        <v>1</v>
      </c>
      <c r="E286" s="10" t="s">
        <v>627</v>
      </c>
      <c r="F286" s="13" t="s">
        <v>11</v>
      </c>
    </row>
    <row r="287" ht="18" customHeight="1" spans="1:6">
      <c r="A287" s="13" t="s">
        <v>186</v>
      </c>
      <c r="B287" s="10" t="s">
        <v>621</v>
      </c>
      <c r="C287" s="10" t="s">
        <v>628</v>
      </c>
      <c r="D287" s="10">
        <v>1</v>
      </c>
      <c r="E287" s="10" t="s">
        <v>629</v>
      </c>
      <c r="F287" s="13" t="s">
        <v>11</v>
      </c>
    </row>
    <row r="288" ht="18" customHeight="1" spans="1:6">
      <c r="A288" s="13" t="s">
        <v>186</v>
      </c>
      <c r="B288" s="10" t="s">
        <v>621</v>
      </c>
      <c r="C288" s="10" t="s">
        <v>630</v>
      </c>
      <c r="D288" s="10">
        <v>3</v>
      </c>
      <c r="E288" s="187" t="s">
        <v>631</v>
      </c>
      <c r="F288" s="13" t="s">
        <v>11</v>
      </c>
    </row>
    <row r="289" ht="18" customHeight="1" spans="1:6">
      <c r="A289" s="13" t="s">
        <v>186</v>
      </c>
      <c r="B289" s="10" t="s">
        <v>632</v>
      </c>
      <c r="C289" s="10" t="s">
        <v>633</v>
      </c>
      <c r="D289" s="10">
        <v>6</v>
      </c>
      <c r="E289" s="10" t="s">
        <v>634</v>
      </c>
      <c r="F289" s="13" t="s">
        <v>11</v>
      </c>
    </row>
    <row r="290" ht="18" customHeight="1" spans="1:6">
      <c r="A290" s="13" t="s">
        <v>186</v>
      </c>
      <c r="B290" s="10" t="s">
        <v>632</v>
      </c>
      <c r="C290" s="10" t="s">
        <v>635</v>
      </c>
      <c r="D290" s="10">
        <v>5</v>
      </c>
      <c r="E290" s="10" t="s">
        <v>636</v>
      </c>
      <c r="F290" s="13" t="s">
        <v>11</v>
      </c>
    </row>
    <row r="291" ht="18" customHeight="1" spans="1:6">
      <c r="A291" s="13" t="s">
        <v>186</v>
      </c>
      <c r="B291" s="10" t="s">
        <v>632</v>
      </c>
      <c r="C291" s="10" t="s">
        <v>637</v>
      </c>
      <c r="D291" s="10">
        <v>2</v>
      </c>
      <c r="E291" s="187" t="s">
        <v>638</v>
      </c>
      <c r="F291" s="13" t="s">
        <v>11</v>
      </c>
    </row>
    <row r="292" ht="18" customHeight="1" spans="1:6">
      <c r="A292" s="13" t="s">
        <v>186</v>
      </c>
      <c r="B292" s="10" t="s">
        <v>632</v>
      </c>
      <c r="C292" s="10" t="s">
        <v>639</v>
      </c>
      <c r="D292" s="10">
        <v>3</v>
      </c>
      <c r="E292" s="10" t="s">
        <v>640</v>
      </c>
      <c r="F292" s="13" t="s">
        <v>11</v>
      </c>
    </row>
    <row r="293" ht="18" customHeight="1" spans="1:6">
      <c r="A293" s="13" t="s">
        <v>186</v>
      </c>
      <c r="B293" s="10" t="s">
        <v>632</v>
      </c>
      <c r="C293" s="10" t="s">
        <v>641</v>
      </c>
      <c r="D293" s="10">
        <v>2</v>
      </c>
      <c r="E293" s="10" t="s">
        <v>642</v>
      </c>
      <c r="F293" s="13" t="s">
        <v>11</v>
      </c>
    </row>
    <row r="294" ht="18" customHeight="1" spans="1:6">
      <c r="A294" s="13" t="s">
        <v>186</v>
      </c>
      <c r="B294" s="10" t="s">
        <v>632</v>
      </c>
      <c r="C294" s="10" t="s">
        <v>643</v>
      </c>
      <c r="D294" s="10">
        <v>4</v>
      </c>
      <c r="E294" s="10" t="s">
        <v>644</v>
      </c>
      <c r="F294" s="13" t="s">
        <v>11</v>
      </c>
    </row>
    <row r="295" ht="18" customHeight="1" spans="1:6">
      <c r="A295" s="13" t="s">
        <v>186</v>
      </c>
      <c r="B295" s="10" t="s">
        <v>632</v>
      </c>
      <c r="C295" s="10" t="s">
        <v>645</v>
      </c>
      <c r="D295" s="10">
        <v>2</v>
      </c>
      <c r="E295" s="10" t="s">
        <v>646</v>
      </c>
      <c r="F295" s="13" t="s">
        <v>11</v>
      </c>
    </row>
    <row r="296" ht="18" customHeight="1" spans="1:6">
      <c r="A296" s="13" t="s">
        <v>186</v>
      </c>
      <c r="B296" s="10" t="s">
        <v>632</v>
      </c>
      <c r="C296" s="10" t="s">
        <v>647</v>
      </c>
      <c r="D296" s="10">
        <v>1</v>
      </c>
      <c r="E296" s="10" t="s">
        <v>648</v>
      </c>
      <c r="F296" s="13" t="s">
        <v>11</v>
      </c>
    </row>
    <row r="297" ht="18" customHeight="1" spans="1:6">
      <c r="A297" s="13" t="s">
        <v>186</v>
      </c>
      <c r="B297" s="10" t="s">
        <v>632</v>
      </c>
      <c r="C297" s="10" t="s">
        <v>649</v>
      </c>
      <c r="D297" s="10">
        <v>1</v>
      </c>
      <c r="E297" s="10" t="s">
        <v>650</v>
      </c>
      <c r="F297" s="13" t="s">
        <v>11</v>
      </c>
    </row>
    <row r="298" ht="18" customHeight="1" spans="1:6">
      <c r="A298" s="13" t="s">
        <v>186</v>
      </c>
      <c r="B298" s="10" t="s">
        <v>632</v>
      </c>
      <c r="C298" s="10" t="s">
        <v>651</v>
      </c>
      <c r="D298" s="10">
        <v>1</v>
      </c>
      <c r="E298" s="10" t="s">
        <v>652</v>
      </c>
      <c r="F298" s="13" t="s">
        <v>11</v>
      </c>
    </row>
    <row r="299" ht="18" customHeight="1" spans="1:6">
      <c r="A299" s="13" t="s">
        <v>186</v>
      </c>
      <c r="B299" s="10" t="s">
        <v>632</v>
      </c>
      <c r="C299" s="10" t="s">
        <v>653</v>
      </c>
      <c r="D299" s="10">
        <v>1</v>
      </c>
      <c r="E299" s="10" t="s">
        <v>654</v>
      </c>
      <c r="F299" s="13" t="s">
        <v>11</v>
      </c>
    </row>
    <row r="300" ht="18" customHeight="1" spans="1:6">
      <c r="A300" s="13" t="s">
        <v>186</v>
      </c>
      <c r="B300" s="10" t="s">
        <v>632</v>
      </c>
      <c r="C300" s="10" t="s">
        <v>655</v>
      </c>
      <c r="D300" s="10">
        <v>1</v>
      </c>
      <c r="E300" s="10" t="s">
        <v>656</v>
      </c>
      <c r="F300" s="13" t="s">
        <v>11</v>
      </c>
    </row>
    <row r="301" ht="18" customHeight="1" spans="1:6">
      <c r="A301" s="13" t="s">
        <v>186</v>
      </c>
      <c r="B301" s="10" t="s">
        <v>632</v>
      </c>
      <c r="C301" s="10" t="s">
        <v>657</v>
      </c>
      <c r="D301" s="10">
        <v>1</v>
      </c>
      <c r="E301" s="10" t="s">
        <v>658</v>
      </c>
      <c r="F301" s="13" t="s">
        <v>11</v>
      </c>
    </row>
    <row r="302" ht="18" customHeight="1" spans="1:6">
      <c r="A302" s="13" t="s">
        <v>186</v>
      </c>
      <c r="B302" s="10" t="s">
        <v>632</v>
      </c>
      <c r="C302" s="10" t="s">
        <v>659</v>
      </c>
      <c r="D302" s="10">
        <v>1</v>
      </c>
      <c r="E302" s="10" t="s">
        <v>660</v>
      </c>
      <c r="F302" s="13" t="s">
        <v>11</v>
      </c>
    </row>
    <row r="303" ht="18" customHeight="1" spans="1:6">
      <c r="A303" s="13" t="s">
        <v>186</v>
      </c>
      <c r="B303" s="10" t="s">
        <v>632</v>
      </c>
      <c r="C303" s="10" t="s">
        <v>661</v>
      </c>
      <c r="D303" s="10">
        <v>1</v>
      </c>
      <c r="E303" s="10" t="s">
        <v>662</v>
      </c>
      <c r="F303" s="13" t="s">
        <v>11</v>
      </c>
    </row>
    <row r="304" ht="18" customHeight="1" spans="1:6">
      <c r="A304" s="13" t="s">
        <v>186</v>
      </c>
      <c r="B304" s="10" t="s">
        <v>632</v>
      </c>
      <c r="C304" s="10" t="s">
        <v>663</v>
      </c>
      <c r="D304" s="10">
        <v>1</v>
      </c>
      <c r="E304" s="10" t="s">
        <v>664</v>
      </c>
      <c r="F304" s="13" t="s">
        <v>11</v>
      </c>
    </row>
    <row r="305" ht="18" customHeight="1" spans="1:6">
      <c r="A305" s="13" t="s">
        <v>186</v>
      </c>
      <c r="B305" s="10" t="s">
        <v>665</v>
      </c>
      <c r="C305" s="10" t="s">
        <v>341</v>
      </c>
      <c r="D305" s="10">
        <v>3</v>
      </c>
      <c r="E305" s="10" t="s">
        <v>666</v>
      </c>
      <c r="F305" s="13" t="s">
        <v>11</v>
      </c>
    </row>
    <row r="306" ht="18" customHeight="1" spans="1:6">
      <c r="A306" s="13" t="s">
        <v>186</v>
      </c>
      <c r="B306" s="10" t="s">
        <v>665</v>
      </c>
      <c r="C306" s="10" t="s">
        <v>667</v>
      </c>
      <c r="D306" s="10">
        <v>1</v>
      </c>
      <c r="E306" s="10" t="s">
        <v>668</v>
      </c>
      <c r="F306" s="13" t="s">
        <v>11</v>
      </c>
    </row>
    <row r="307" ht="18" customHeight="1" spans="1:6">
      <c r="A307" s="13" t="s">
        <v>186</v>
      </c>
      <c r="B307" s="10" t="s">
        <v>665</v>
      </c>
      <c r="C307" s="10" t="s">
        <v>669</v>
      </c>
      <c r="D307" s="10">
        <v>1</v>
      </c>
      <c r="E307" s="10" t="s">
        <v>670</v>
      </c>
      <c r="F307" s="13" t="s">
        <v>11</v>
      </c>
    </row>
    <row r="308" ht="18" customHeight="1" spans="1:6">
      <c r="A308" s="13" t="s">
        <v>186</v>
      </c>
      <c r="B308" s="10" t="s">
        <v>665</v>
      </c>
      <c r="C308" s="10" t="s">
        <v>671</v>
      </c>
      <c r="D308" s="10">
        <v>1</v>
      </c>
      <c r="E308" s="10" t="s">
        <v>672</v>
      </c>
      <c r="F308" s="13" t="s">
        <v>11</v>
      </c>
    </row>
    <row r="309" ht="18" customHeight="1" spans="1:6">
      <c r="A309" s="13" t="s">
        <v>186</v>
      </c>
      <c r="B309" s="10" t="s">
        <v>665</v>
      </c>
      <c r="C309" s="10" t="s">
        <v>673</v>
      </c>
      <c r="D309" s="10">
        <v>1</v>
      </c>
      <c r="E309" s="10" t="s">
        <v>674</v>
      </c>
      <c r="F309" s="13" t="s">
        <v>11</v>
      </c>
    </row>
    <row r="310" ht="18" customHeight="1" spans="1:6">
      <c r="A310" s="13" t="s">
        <v>186</v>
      </c>
      <c r="B310" s="10" t="s">
        <v>665</v>
      </c>
      <c r="C310" s="10" t="s">
        <v>675</v>
      </c>
      <c r="D310" s="10">
        <v>1</v>
      </c>
      <c r="E310" s="10" t="s">
        <v>676</v>
      </c>
      <c r="F310" s="13" t="s">
        <v>11</v>
      </c>
    </row>
    <row r="311" ht="18" customHeight="1" spans="1:6">
      <c r="A311" s="13" t="s">
        <v>186</v>
      </c>
      <c r="B311" s="10" t="s">
        <v>677</v>
      </c>
      <c r="C311" s="10" t="s">
        <v>678</v>
      </c>
      <c r="D311" s="10">
        <v>3</v>
      </c>
      <c r="E311" s="187" t="s">
        <v>679</v>
      </c>
      <c r="F311" s="13" t="s">
        <v>11</v>
      </c>
    </row>
    <row r="312" ht="18" customHeight="1" spans="1:6">
      <c r="A312" s="13" t="s">
        <v>186</v>
      </c>
      <c r="B312" s="10" t="s">
        <v>677</v>
      </c>
      <c r="C312" s="10" t="s">
        <v>680</v>
      </c>
      <c r="D312" s="10">
        <v>5</v>
      </c>
      <c r="E312" s="187" t="s">
        <v>681</v>
      </c>
      <c r="F312" s="13" t="s">
        <v>11</v>
      </c>
    </row>
    <row r="313" ht="18" customHeight="1" spans="1:6">
      <c r="A313" s="13" t="s">
        <v>186</v>
      </c>
      <c r="B313" s="10" t="s">
        <v>677</v>
      </c>
      <c r="C313" s="10" t="s">
        <v>682</v>
      </c>
      <c r="D313" s="10">
        <v>3</v>
      </c>
      <c r="E313" s="187" t="s">
        <v>683</v>
      </c>
      <c r="F313" s="13" t="s">
        <v>11</v>
      </c>
    </row>
    <row r="314" ht="18" customHeight="1" spans="1:6">
      <c r="A314" s="13" t="s">
        <v>186</v>
      </c>
      <c r="B314" s="10" t="s">
        <v>677</v>
      </c>
      <c r="C314" s="10" t="s">
        <v>684</v>
      </c>
      <c r="D314" s="10">
        <v>3</v>
      </c>
      <c r="E314" s="187" t="s">
        <v>685</v>
      </c>
      <c r="F314" s="13" t="s">
        <v>11</v>
      </c>
    </row>
    <row r="315" ht="18" customHeight="1" spans="1:6">
      <c r="A315" s="13" t="s">
        <v>186</v>
      </c>
      <c r="B315" s="10" t="s">
        <v>677</v>
      </c>
      <c r="C315" s="10" t="s">
        <v>686</v>
      </c>
      <c r="D315" s="10">
        <v>1</v>
      </c>
      <c r="E315" s="10" t="s">
        <v>687</v>
      </c>
      <c r="F315" s="13" t="s">
        <v>11</v>
      </c>
    </row>
    <row r="316" ht="18" customHeight="1" spans="1:6">
      <c r="A316" s="13" t="s">
        <v>186</v>
      </c>
      <c r="B316" s="10" t="s">
        <v>677</v>
      </c>
      <c r="C316" s="10" t="s">
        <v>688</v>
      </c>
      <c r="D316" s="10">
        <v>1</v>
      </c>
      <c r="E316" s="10" t="s">
        <v>689</v>
      </c>
      <c r="F316" s="13" t="s">
        <v>11</v>
      </c>
    </row>
    <row r="317" ht="18" customHeight="1" spans="1:6">
      <c r="A317" s="13" t="s">
        <v>186</v>
      </c>
      <c r="B317" s="10" t="s">
        <v>677</v>
      </c>
      <c r="C317" s="10" t="s">
        <v>690</v>
      </c>
      <c r="D317" s="10">
        <v>1</v>
      </c>
      <c r="E317" s="10" t="s">
        <v>691</v>
      </c>
      <c r="F317" s="13" t="s">
        <v>11</v>
      </c>
    </row>
    <row r="318" ht="18" customHeight="1" spans="1:6">
      <c r="A318" s="13" t="s">
        <v>186</v>
      </c>
      <c r="B318" s="10" t="s">
        <v>677</v>
      </c>
      <c r="C318" s="10" t="s">
        <v>692</v>
      </c>
      <c r="D318" s="10">
        <v>1</v>
      </c>
      <c r="E318" s="10" t="s">
        <v>693</v>
      </c>
      <c r="F318" s="13" t="s">
        <v>11</v>
      </c>
    </row>
    <row r="319" ht="18" customHeight="1" spans="1:6">
      <c r="A319" s="13" t="s">
        <v>186</v>
      </c>
      <c r="B319" s="10" t="s">
        <v>694</v>
      </c>
      <c r="C319" s="10" t="s">
        <v>695</v>
      </c>
      <c r="D319" s="10">
        <v>1</v>
      </c>
      <c r="E319" s="10" t="s">
        <v>696</v>
      </c>
      <c r="F319" s="13" t="s">
        <v>11</v>
      </c>
    </row>
    <row r="320" ht="18" customHeight="1" spans="1:6">
      <c r="A320" s="13" t="s">
        <v>186</v>
      </c>
      <c r="B320" s="10" t="s">
        <v>694</v>
      </c>
      <c r="C320" s="10" t="s">
        <v>697</v>
      </c>
      <c r="D320" s="10">
        <v>1</v>
      </c>
      <c r="E320" s="10" t="s">
        <v>698</v>
      </c>
      <c r="F320" s="13" t="s">
        <v>11</v>
      </c>
    </row>
    <row r="321" ht="18" customHeight="1" spans="1:6">
      <c r="A321" s="13" t="s">
        <v>186</v>
      </c>
      <c r="B321" s="10" t="s">
        <v>699</v>
      </c>
      <c r="C321" s="10" t="s">
        <v>700</v>
      </c>
      <c r="D321" s="10">
        <v>6</v>
      </c>
      <c r="E321" s="187" t="s">
        <v>701</v>
      </c>
      <c r="F321" s="13" t="s">
        <v>11</v>
      </c>
    </row>
    <row r="322" ht="18" customHeight="1" spans="1:6">
      <c r="A322" s="13" t="s">
        <v>186</v>
      </c>
      <c r="B322" s="10" t="s">
        <v>699</v>
      </c>
      <c r="C322" s="10" t="s">
        <v>702</v>
      </c>
      <c r="D322" s="10">
        <v>3</v>
      </c>
      <c r="E322" s="10" t="s">
        <v>703</v>
      </c>
      <c r="F322" s="13" t="s">
        <v>11</v>
      </c>
    </row>
    <row r="323" ht="18" customHeight="1" spans="1:6">
      <c r="A323" s="13" t="s">
        <v>186</v>
      </c>
      <c r="B323" s="10" t="s">
        <v>699</v>
      </c>
      <c r="C323" s="10" t="s">
        <v>704</v>
      </c>
      <c r="D323" s="10">
        <v>4</v>
      </c>
      <c r="E323" s="10" t="s">
        <v>705</v>
      </c>
      <c r="F323" s="13" t="s">
        <v>11</v>
      </c>
    </row>
    <row r="324" ht="18" customHeight="1" spans="1:6">
      <c r="A324" s="13" t="s">
        <v>186</v>
      </c>
      <c r="B324" s="10" t="s">
        <v>706</v>
      </c>
      <c r="C324" s="10" t="s">
        <v>707</v>
      </c>
      <c r="D324" s="10">
        <v>3</v>
      </c>
      <c r="E324" s="10" t="s">
        <v>708</v>
      </c>
      <c r="F324" s="13" t="s">
        <v>11</v>
      </c>
    </row>
    <row r="325" ht="18" customHeight="1" spans="1:6">
      <c r="A325" s="13" t="s">
        <v>186</v>
      </c>
      <c r="B325" s="10" t="s">
        <v>706</v>
      </c>
      <c r="C325" s="10" t="s">
        <v>709</v>
      </c>
      <c r="D325" s="10">
        <v>1</v>
      </c>
      <c r="E325" s="10" t="s">
        <v>710</v>
      </c>
      <c r="F325" s="13" t="s">
        <v>11</v>
      </c>
    </row>
    <row r="326" ht="18" customHeight="1" spans="1:6">
      <c r="A326" s="13" t="s">
        <v>186</v>
      </c>
      <c r="B326" s="10" t="s">
        <v>706</v>
      </c>
      <c r="C326" s="10" t="s">
        <v>711</v>
      </c>
      <c r="D326" s="10">
        <v>1</v>
      </c>
      <c r="E326" s="10" t="s">
        <v>712</v>
      </c>
      <c r="F326" s="13" t="s">
        <v>11</v>
      </c>
    </row>
    <row r="327" ht="18" customHeight="1" spans="1:6">
      <c r="A327" s="13" t="s">
        <v>186</v>
      </c>
      <c r="B327" s="10" t="s">
        <v>706</v>
      </c>
      <c r="C327" s="10" t="s">
        <v>713</v>
      </c>
      <c r="D327" s="10">
        <v>1</v>
      </c>
      <c r="E327" s="10" t="s">
        <v>714</v>
      </c>
      <c r="F327" s="13" t="s">
        <v>11</v>
      </c>
    </row>
    <row r="328" ht="18" customHeight="1" spans="1:6">
      <c r="A328" s="13" t="s">
        <v>186</v>
      </c>
      <c r="B328" s="10" t="s">
        <v>706</v>
      </c>
      <c r="C328" s="10" t="s">
        <v>715</v>
      </c>
      <c r="D328" s="10">
        <v>1</v>
      </c>
      <c r="E328" s="10" t="s">
        <v>716</v>
      </c>
      <c r="F328" s="13" t="s">
        <v>11</v>
      </c>
    </row>
    <row r="329" ht="18" customHeight="1" spans="1:6">
      <c r="A329" s="13" t="s">
        <v>186</v>
      </c>
      <c r="B329" s="10" t="s">
        <v>717</v>
      </c>
      <c r="C329" s="10" t="s">
        <v>718</v>
      </c>
      <c r="D329" s="10">
        <v>1</v>
      </c>
      <c r="E329" s="10" t="s">
        <v>719</v>
      </c>
      <c r="F329" s="13" t="s">
        <v>11</v>
      </c>
    </row>
    <row r="330" ht="18" customHeight="1" spans="1:6">
      <c r="A330" s="13" t="s">
        <v>186</v>
      </c>
      <c r="B330" s="10" t="s">
        <v>717</v>
      </c>
      <c r="C330" s="10" t="s">
        <v>720</v>
      </c>
      <c r="D330" s="10">
        <v>3</v>
      </c>
      <c r="E330" s="10" t="s">
        <v>721</v>
      </c>
      <c r="F330" s="13" t="s">
        <v>11</v>
      </c>
    </row>
    <row r="331" ht="18" customHeight="1" spans="1:6">
      <c r="A331" s="13" t="s">
        <v>186</v>
      </c>
      <c r="B331" s="10" t="s">
        <v>717</v>
      </c>
      <c r="C331" s="10" t="s">
        <v>722</v>
      </c>
      <c r="D331" s="10">
        <v>3</v>
      </c>
      <c r="E331" s="10" t="s">
        <v>723</v>
      </c>
      <c r="F331" s="13" t="s">
        <v>11</v>
      </c>
    </row>
    <row r="332" ht="18" customHeight="1" spans="1:6">
      <c r="A332" s="13" t="s">
        <v>186</v>
      </c>
      <c r="B332" s="10" t="s">
        <v>717</v>
      </c>
      <c r="C332" s="10" t="s">
        <v>724</v>
      </c>
      <c r="D332" s="10">
        <v>2</v>
      </c>
      <c r="E332" s="10" t="s">
        <v>725</v>
      </c>
      <c r="F332" s="13" t="s">
        <v>11</v>
      </c>
    </row>
    <row r="333" ht="18" customHeight="1" spans="1:6">
      <c r="A333" s="13" t="s">
        <v>186</v>
      </c>
      <c r="B333" s="10" t="s">
        <v>717</v>
      </c>
      <c r="C333" s="10" t="s">
        <v>726</v>
      </c>
      <c r="D333" s="10">
        <v>5</v>
      </c>
      <c r="E333" s="10" t="s">
        <v>727</v>
      </c>
      <c r="F333" s="13" t="s">
        <v>11</v>
      </c>
    </row>
    <row r="334" ht="18" customHeight="1" spans="1:6">
      <c r="A334" s="13" t="s">
        <v>186</v>
      </c>
      <c r="B334" s="10" t="s">
        <v>717</v>
      </c>
      <c r="C334" s="10" t="s">
        <v>728</v>
      </c>
      <c r="D334" s="10">
        <v>1</v>
      </c>
      <c r="E334" s="10" t="s">
        <v>729</v>
      </c>
      <c r="F334" s="13" t="s">
        <v>11</v>
      </c>
    </row>
    <row r="335" ht="18" customHeight="1" spans="1:6">
      <c r="A335" s="13" t="s">
        <v>186</v>
      </c>
      <c r="B335" s="10" t="s">
        <v>717</v>
      </c>
      <c r="C335" s="10" t="s">
        <v>730</v>
      </c>
      <c r="D335" s="10">
        <v>2</v>
      </c>
      <c r="E335" s="10" t="s">
        <v>731</v>
      </c>
      <c r="F335" s="13" t="s">
        <v>11</v>
      </c>
    </row>
    <row r="336" ht="18" customHeight="1" spans="1:6">
      <c r="A336" s="13" t="s">
        <v>186</v>
      </c>
      <c r="B336" s="10" t="s">
        <v>717</v>
      </c>
      <c r="C336" s="10" t="s">
        <v>732</v>
      </c>
      <c r="D336" s="10">
        <v>1</v>
      </c>
      <c r="E336" s="10" t="s">
        <v>733</v>
      </c>
      <c r="F336" s="13" t="s">
        <v>11</v>
      </c>
    </row>
    <row r="337" ht="18" customHeight="1" spans="1:6">
      <c r="A337" s="13" t="s">
        <v>186</v>
      </c>
      <c r="B337" s="10" t="s">
        <v>717</v>
      </c>
      <c r="C337" s="10" t="s">
        <v>734</v>
      </c>
      <c r="D337" s="10">
        <v>1</v>
      </c>
      <c r="E337" s="10" t="s">
        <v>735</v>
      </c>
      <c r="F337" s="13" t="s">
        <v>11</v>
      </c>
    </row>
    <row r="338" ht="18" customHeight="1" spans="1:6">
      <c r="A338" s="13" t="s">
        <v>186</v>
      </c>
      <c r="B338" s="10" t="s">
        <v>717</v>
      </c>
      <c r="C338" s="10" t="s">
        <v>736</v>
      </c>
      <c r="D338" s="10">
        <v>2</v>
      </c>
      <c r="E338" s="10" t="s">
        <v>737</v>
      </c>
      <c r="F338" s="13" t="s">
        <v>11</v>
      </c>
    </row>
    <row r="339" ht="18" customHeight="1" spans="1:6">
      <c r="A339" s="13" t="s">
        <v>186</v>
      </c>
      <c r="B339" s="10" t="s">
        <v>738</v>
      </c>
      <c r="C339" s="10" t="s">
        <v>739</v>
      </c>
      <c r="D339" s="10">
        <v>1</v>
      </c>
      <c r="E339" s="10" t="s">
        <v>740</v>
      </c>
      <c r="F339" s="13" t="s">
        <v>11</v>
      </c>
    </row>
    <row r="340" ht="18" customHeight="1" spans="1:6">
      <c r="A340" s="13" t="s">
        <v>186</v>
      </c>
      <c r="B340" s="10" t="s">
        <v>738</v>
      </c>
      <c r="C340" s="10" t="s">
        <v>741</v>
      </c>
      <c r="D340" s="10">
        <v>2</v>
      </c>
      <c r="E340" s="10" t="s">
        <v>742</v>
      </c>
      <c r="F340" s="13" t="s">
        <v>11</v>
      </c>
    </row>
    <row r="341" ht="18" customHeight="1" spans="1:6">
      <c r="A341" s="13" t="s">
        <v>186</v>
      </c>
      <c r="B341" s="10" t="s">
        <v>738</v>
      </c>
      <c r="C341" s="10" t="s">
        <v>743</v>
      </c>
      <c r="D341" s="10">
        <v>6</v>
      </c>
      <c r="E341" s="10" t="s">
        <v>744</v>
      </c>
      <c r="F341" s="13" t="s">
        <v>11</v>
      </c>
    </row>
    <row r="342" ht="18" customHeight="1" spans="1:6">
      <c r="A342" s="13" t="s">
        <v>186</v>
      </c>
      <c r="B342" s="10" t="s">
        <v>738</v>
      </c>
      <c r="C342" s="10" t="s">
        <v>745</v>
      </c>
      <c r="D342" s="10">
        <v>2</v>
      </c>
      <c r="E342" s="10" t="s">
        <v>746</v>
      </c>
      <c r="F342" s="13" t="s">
        <v>11</v>
      </c>
    </row>
    <row r="343" ht="18" customHeight="1" spans="1:6">
      <c r="A343" s="13" t="s">
        <v>186</v>
      </c>
      <c r="B343" s="10" t="s">
        <v>738</v>
      </c>
      <c r="C343" s="10" t="s">
        <v>747</v>
      </c>
      <c r="D343" s="10">
        <v>1</v>
      </c>
      <c r="E343" s="10" t="s">
        <v>748</v>
      </c>
      <c r="F343" s="13" t="s">
        <v>11</v>
      </c>
    </row>
    <row r="344" ht="18" customHeight="1" spans="1:6">
      <c r="A344" s="13" t="s">
        <v>186</v>
      </c>
      <c r="B344" s="10" t="s">
        <v>738</v>
      </c>
      <c r="C344" s="10" t="s">
        <v>749</v>
      </c>
      <c r="D344" s="10">
        <v>4</v>
      </c>
      <c r="E344" s="10" t="s">
        <v>750</v>
      </c>
      <c r="F344" s="13" t="s">
        <v>11</v>
      </c>
    </row>
    <row r="345" ht="18" customHeight="1" spans="1:6">
      <c r="A345" s="13" t="s">
        <v>186</v>
      </c>
      <c r="B345" s="10" t="s">
        <v>738</v>
      </c>
      <c r="C345" s="10" t="s">
        <v>751</v>
      </c>
      <c r="D345" s="10">
        <v>4</v>
      </c>
      <c r="E345" s="10" t="s">
        <v>752</v>
      </c>
      <c r="F345" s="13" t="s">
        <v>11</v>
      </c>
    </row>
    <row r="346" ht="18" customHeight="1" spans="1:6">
      <c r="A346" s="13" t="s">
        <v>186</v>
      </c>
      <c r="B346" s="10" t="s">
        <v>738</v>
      </c>
      <c r="C346" s="10" t="s">
        <v>753</v>
      </c>
      <c r="D346" s="10">
        <v>3</v>
      </c>
      <c r="E346" s="10" t="s">
        <v>754</v>
      </c>
      <c r="F346" s="13" t="s">
        <v>11</v>
      </c>
    </row>
    <row r="347" ht="18" customHeight="1" spans="1:6">
      <c r="A347" s="13" t="s">
        <v>186</v>
      </c>
      <c r="B347" s="10" t="s">
        <v>738</v>
      </c>
      <c r="C347" s="10" t="s">
        <v>755</v>
      </c>
      <c r="D347" s="10">
        <v>4</v>
      </c>
      <c r="E347" s="10" t="s">
        <v>756</v>
      </c>
      <c r="F347" s="13" t="s">
        <v>11</v>
      </c>
    </row>
    <row r="348" ht="18" customHeight="1" spans="1:6">
      <c r="A348" s="13" t="s">
        <v>186</v>
      </c>
      <c r="B348" s="10" t="s">
        <v>738</v>
      </c>
      <c r="C348" s="10" t="s">
        <v>757</v>
      </c>
      <c r="D348" s="10">
        <v>2</v>
      </c>
      <c r="E348" s="10" t="s">
        <v>758</v>
      </c>
      <c r="F348" s="13" t="s">
        <v>11</v>
      </c>
    </row>
    <row r="349" ht="18" customHeight="1" spans="1:6">
      <c r="A349" s="13" t="s">
        <v>186</v>
      </c>
      <c r="B349" s="10" t="s">
        <v>738</v>
      </c>
      <c r="C349" s="10" t="s">
        <v>759</v>
      </c>
      <c r="D349" s="10">
        <v>3</v>
      </c>
      <c r="E349" s="10" t="s">
        <v>760</v>
      </c>
      <c r="F349" s="13" t="s">
        <v>11</v>
      </c>
    </row>
    <row r="350" ht="18" customHeight="1" spans="1:6">
      <c r="A350" s="13" t="s">
        <v>186</v>
      </c>
      <c r="B350" s="10" t="s">
        <v>738</v>
      </c>
      <c r="C350" s="10" t="s">
        <v>761</v>
      </c>
      <c r="D350" s="10">
        <v>3</v>
      </c>
      <c r="E350" s="10" t="s">
        <v>762</v>
      </c>
      <c r="F350" s="13" t="s">
        <v>11</v>
      </c>
    </row>
    <row r="351" ht="18" customHeight="1" spans="1:6">
      <c r="A351" s="13" t="s">
        <v>186</v>
      </c>
      <c r="B351" s="10" t="s">
        <v>738</v>
      </c>
      <c r="C351" s="10" t="s">
        <v>763</v>
      </c>
      <c r="D351" s="10">
        <v>5</v>
      </c>
      <c r="E351" s="10" t="s">
        <v>764</v>
      </c>
      <c r="F351" s="13" t="s">
        <v>11</v>
      </c>
    </row>
    <row r="352" ht="18" customHeight="1" spans="1:6">
      <c r="A352" s="13" t="s">
        <v>186</v>
      </c>
      <c r="B352" s="10" t="s">
        <v>738</v>
      </c>
      <c r="C352" s="10" t="s">
        <v>765</v>
      </c>
      <c r="D352" s="10">
        <v>3</v>
      </c>
      <c r="E352" s="10" t="s">
        <v>766</v>
      </c>
      <c r="F352" s="13" t="s">
        <v>11</v>
      </c>
    </row>
    <row r="353" ht="18" customHeight="1" spans="1:6">
      <c r="A353" s="13" t="s">
        <v>186</v>
      </c>
      <c r="B353" s="10" t="s">
        <v>738</v>
      </c>
      <c r="C353" s="10" t="s">
        <v>767</v>
      </c>
      <c r="D353" s="10">
        <v>3</v>
      </c>
      <c r="E353" s="10" t="s">
        <v>768</v>
      </c>
      <c r="F353" s="13" t="s">
        <v>11</v>
      </c>
    </row>
    <row r="354" ht="18" customHeight="1" spans="1:6">
      <c r="A354" s="13" t="s">
        <v>186</v>
      </c>
      <c r="B354" s="10" t="s">
        <v>738</v>
      </c>
      <c r="C354" s="10" t="s">
        <v>769</v>
      </c>
      <c r="D354" s="10">
        <v>3</v>
      </c>
      <c r="E354" s="10" t="s">
        <v>770</v>
      </c>
      <c r="F354" s="13" t="s">
        <v>11</v>
      </c>
    </row>
    <row r="355" ht="18" customHeight="1" spans="1:6">
      <c r="A355" s="13" t="s">
        <v>186</v>
      </c>
      <c r="B355" s="10" t="s">
        <v>738</v>
      </c>
      <c r="C355" s="10" t="s">
        <v>771</v>
      </c>
      <c r="D355" s="10">
        <v>4</v>
      </c>
      <c r="E355" s="10" t="s">
        <v>772</v>
      </c>
      <c r="F355" s="13" t="s">
        <v>11</v>
      </c>
    </row>
    <row r="356" ht="18" customHeight="1" spans="1:6">
      <c r="A356" s="13" t="s">
        <v>186</v>
      </c>
      <c r="B356" s="10" t="s">
        <v>738</v>
      </c>
      <c r="C356" s="10" t="s">
        <v>773</v>
      </c>
      <c r="D356" s="10">
        <v>5</v>
      </c>
      <c r="E356" s="10" t="s">
        <v>774</v>
      </c>
      <c r="F356" s="13" t="s">
        <v>11</v>
      </c>
    </row>
    <row r="357" ht="18" customHeight="1" spans="1:6">
      <c r="A357" s="13" t="s">
        <v>186</v>
      </c>
      <c r="B357" s="10" t="s">
        <v>738</v>
      </c>
      <c r="C357" s="10" t="s">
        <v>775</v>
      </c>
      <c r="D357" s="10">
        <v>2</v>
      </c>
      <c r="E357" s="10" t="s">
        <v>776</v>
      </c>
      <c r="F357" s="13" t="s">
        <v>11</v>
      </c>
    </row>
    <row r="358" ht="18" customHeight="1" spans="1:6">
      <c r="A358" s="13" t="s">
        <v>186</v>
      </c>
      <c r="B358" s="10" t="s">
        <v>738</v>
      </c>
      <c r="C358" s="10" t="s">
        <v>777</v>
      </c>
      <c r="D358" s="10">
        <v>1</v>
      </c>
      <c r="E358" s="10" t="s">
        <v>778</v>
      </c>
      <c r="F358" s="13" t="s">
        <v>11</v>
      </c>
    </row>
    <row r="359" ht="18" customHeight="1" spans="1:6">
      <c r="A359" s="13" t="s">
        <v>186</v>
      </c>
      <c r="B359" s="10" t="s">
        <v>738</v>
      </c>
      <c r="C359" s="10" t="s">
        <v>779</v>
      </c>
      <c r="D359" s="10">
        <v>2</v>
      </c>
      <c r="E359" s="10" t="s">
        <v>780</v>
      </c>
      <c r="F359" s="13" t="s">
        <v>11</v>
      </c>
    </row>
    <row r="360" ht="18" customHeight="1" spans="1:6">
      <c r="A360" s="13" t="s">
        <v>186</v>
      </c>
      <c r="B360" s="10" t="s">
        <v>738</v>
      </c>
      <c r="C360" s="10" t="s">
        <v>781</v>
      </c>
      <c r="D360" s="10">
        <v>1</v>
      </c>
      <c r="E360" s="10" t="s">
        <v>782</v>
      </c>
      <c r="F360" s="13" t="s">
        <v>11</v>
      </c>
    </row>
    <row r="361" ht="18" customHeight="1" spans="1:6">
      <c r="A361" s="13" t="s">
        <v>186</v>
      </c>
      <c r="B361" s="10" t="s">
        <v>738</v>
      </c>
      <c r="C361" s="10" t="s">
        <v>783</v>
      </c>
      <c r="D361" s="10">
        <v>1</v>
      </c>
      <c r="E361" s="10" t="s">
        <v>784</v>
      </c>
      <c r="F361" s="13" t="s">
        <v>11</v>
      </c>
    </row>
    <row r="362" ht="18" customHeight="1" spans="1:6">
      <c r="A362" s="13" t="s">
        <v>186</v>
      </c>
      <c r="B362" s="10" t="s">
        <v>738</v>
      </c>
      <c r="C362" s="10" t="s">
        <v>785</v>
      </c>
      <c r="D362" s="10">
        <v>2</v>
      </c>
      <c r="E362" s="10" t="s">
        <v>786</v>
      </c>
      <c r="F362" s="13" t="s">
        <v>11</v>
      </c>
    </row>
    <row r="363" ht="18" customHeight="1" spans="1:6">
      <c r="A363" s="13" t="s">
        <v>186</v>
      </c>
      <c r="B363" s="10" t="s">
        <v>738</v>
      </c>
      <c r="C363" s="10" t="s">
        <v>787</v>
      </c>
      <c r="D363" s="10">
        <v>6</v>
      </c>
      <c r="E363" s="10" t="s">
        <v>788</v>
      </c>
      <c r="F363" s="13" t="s">
        <v>11</v>
      </c>
    </row>
    <row r="364" ht="18" customHeight="1" spans="1:6">
      <c r="A364" s="13" t="s">
        <v>186</v>
      </c>
      <c r="B364" s="10" t="s">
        <v>738</v>
      </c>
      <c r="C364" s="10" t="s">
        <v>789</v>
      </c>
      <c r="D364" s="10">
        <v>2</v>
      </c>
      <c r="E364" s="10" t="s">
        <v>790</v>
      </c>
      <c r="F364" s="13" t="s">
        <v>11</v>
      </c>
    </row>
    <row r="365" ht="18" customHeight="1" spans="1:6">
      <c r="A365" s="13" t="s">
        <v>186</v>
      </c>
      <c r="B365" s="10" t="s">
        <v>738</v>
      </c>
      <c r="C365" s="10" t="s">
        <v>791</v>
      </c>
      <c r="D365" s="10">
        <v>3</v>
      </c>
      <c r="E365" s="10" t="s">
        <v>792</v>
      </c>
      <c r="F365" s="13" t="s">
        <v>11</v>
      </c>
    </row>
    <row r="366" ht="18" customHeight="1" spans="1:6">
      <c r="A366" s="13" t="s">
        <v>186</v>
      </c>
      <c r="B366" s="10" t="s">
        <v>738</v>
      </c>
      <c r="C366" s="10" t="s">
        <v>793</v>
      </c>
      <c r="D366" s="10">
        <v>3</v>
      </c>
      <c r="E366" s="10" t="s">
        <v>794</v>
      </c>
      <c r="F366" s="13" t="s">
        <v>11</v>
      </c>
    </row>
    <row r="367" ht="18" customHeight="1" spans="1:6">
      <c r="A367" s="13" t="s">
        <v>186</v>
      </c>
      <c r="B367" s="10" t="s">
        <v>738</v>
      </c>
      <c r="C367" s="10" t="s">
        <v>795</v>
      </c>
      <c r="D367" s="10">
        <v>4</v>
      </c>
      <c r="E367" s="10" t="s">
        <v>796</v>
      </c>
      <c r="F367" s="13" t="s">
        <v>11</v>
      </c>
    </row>
    <row r="368" ht="18" customHeight="1" spans="1:6">
      <c r="A368" s="13" t="s">
        <v>186</v>
      </c>
      <c r="B368" s="10" t="s">
        <v>738</v>
      </c>
      <c r="C368" s="10" t="s">
        <v>797</v>
      </c>
      <c r="D368" s="10">
        <v>4</v>
      </c>
      <c r="E368" s="10" t="s">
        <v>798</v>
      </c>
      <c r="F368" s="13" t="s">
        <v>11</v>
      </c>
    </row>
    <row r="369" ht="18" customHeight="1" spans="1:6">
      <c r="A369" s="13" t="s">
        <v>186</v>
      </c>
      <c r="B369" s="10" t="s">
        <v>738</v>
      </c>
      <c r="C369" s="10" t="s">
        <v>799</v>
      </c>
      <c r="D369" s="10">
        <v>6</v>
      </c>
      <c r="E369" s="10" t="s">
        <v>800</v>
      </c>
      <c r="F369" s="13" t="s">
        <v>11</v>
      </c>
    </row>
    <row r="370" ht="18" customHeight="1" spans="1:6">
      <c r="A370" s="13" t="s">
        <v>186</v>
      </c>
      <c r="B370" s="10" t="s">
        <v>738</v>
      </c>
      <c r="C370" s="10" t="s">
        <v>801</v>
      </c>
      <c r="D370" s="10">
        <v>3</v>
      </c>
      <c r="E370" s="10" t="s">
        <v>802</v>
      </c>
      <c r="F370" s="13" t="s">
        <v>11</v>
      </c>
    </row>
    <row r="371" ht="18" customHeight="1" spans="1:6">
      <c r="A371" s="13" t="s">
        <v>186</v>
      </c>
      <c r="B371" s="10" t="s">
        <v>738</v>
      </c>
      <c r="C371" s="10" t="s">
        <v>803</v>
      </c>
      <c r="D371" s="10">
        <v>6</v>
      </c>
      <c r="E371" s="10" t="s">
        <v>804</v>
      </c>
      <c r="F371" s="13" t="s">
        <v>11</v>
      </c>
    </row>
    <row r="372" ht="18" customHeight="1" spans="1:6">
      <c r="A372" s="13" t="s">
        <v>186</v>
      </c>
      <c r="B372" s="10" t="s">
        <v>738</v>
      </c>
      <c r="C372" s="10" t="s">
        <v>805</v>
      </c>
      <c r="D372" s="10">
        <v>4</v>
      </c>
      <c r="E372" s="10" t="s">
        <v>806</v>
      </c>
      <c r="F372" s="13" t="s">
        <v>11</v>
      </c>
    </row>
    <row r="373" ht="18" customHeight="1" spans="1:6">
      <c r="A373" s="13" t="s">
        <v>186</v>
      </c>
      <c r="B373" s="10" t="s">
        <v>738</v>
      </c>
      <c r="C373" s="10" t="s">
        <v>807</v>
      </c>
      <c r="D373" s="10">
        <v>4</v>
      </c>
      <c r="E373" s="10" t="s">
        <v>808</v>
      </c>
      <c r="F373" s="13" t="s">
        <v>11</v>
      </c>
    </row>
    <row r="374" ht="18" customHeight="1" spans="1:6">
      <c r="A374" s="13" t="s">
        <v>186</v>
      </c>
      <c r="B374" s="10" t="s">
        <v>738</v>
      </c>
      <c r="C374" s="10" t="s">
        <v>809</v>
      </c>
      <c r="D374" s="10">
        <v>3</v>
      </c>
      <c r="E374" s="10" t="s">
        <v>810</v>
      </c>
      <c r="F374" s="13" t="s">
        <v>11</v>
      </c>
    </row>
    <row r="375" ht="18" customHeight="1" spans="1:6">
      <c r="A375" s="13" t="s">
        <v>186</v>
      </c>
      <c r="B375" s="10" t="s">
        <v>738</v>
      </c>
      <c r="C375" s="10" t="s">
        <v>811</v>
      </c>
      <c r="D375" s="10">
        <v>4</v>
      </c>
      <c r="E375" s="10" t="s">
        <v>812</v>
      </c>
      <c r="F375" s="13" t="s">
        <v>11</v>
      </c>
    </row>
    <row r="376" ht="18" customHeight="1" spans="1:6">
      <c r="A376" s="13" t="s">
        <v>186</v>
      </c>
      <c r="B376" s="10" t="s">
        <v>738</v>
      </c>
      <c r="C376" s="10" t="s">
        <v>813</v>
      </c>
      <c r="D376" s="10">
        <v>6</v>
      </c>
      <c r="E376" s="10" t="s">
        <v>814</v>
      </c>
      <c r="F376" s="13" t="s">
        <v>11</v>
      </c>
    </row>
    <row r="377" ht="18" customHeight="1" spans="1:6">
      <c r="A377" s="13" t="s">
        <v>186</v>
      </c>
      <c r="B377" s="10" t="s">
        <v>738</v>
      </c>
      <c r="C377" s="10" t="s">
        <v>815</v>
      </c>
      <c r="D377" s="10">
        <v>3</v>
      </c>
      <c r="E377" s="10" t="s">
        <v>816</v>
      </c>
      <c r="F377" s="13" t="s">
        <v>11</v>
      </c>
    </row>
    <row r="378" ht="18" customHeight="1" spans="1:6">
      <c r="A378" s="13" t="s">
        <v>186</v>
      </c>
      <c r="B378" s="10" t="s">
        <v>738</v>
      </c>
      <c r="C378" s="10" t="s">
        <v>817</v>
      </c>
      <c r="D378" s="10">
        <v>3</v>
      </c>
      <c r="E378" s="10" t="s">
        <v>818</v>
      </c>
      <c r="F378" s="13" t="s">
        <v>11</v>
      </c>
    </row>
    <row r="379" ht="18" customHeight="1" spans="1:6">
      <c r="A379" s="13" t="s">
        <v>186</v>
      </c>
      <c r="B379" s="10" t="s">
        <v>738</v>
      </c>
      <c r="C379" s="10" t="s">
        <v>819</v>
      </c>
      <c r="D379" s="10">
        <v>4</v>
      </c>
      <c r="E379" s="10" t="s">
        <v>820</v>
      </c>
      <c r="F379" s="13" t="s">
        <v>11</v>
      </c>
    </row>
    <row r="380" ht="18" customHeight="1" spans="1:6">
      <c r="A380" s="13" t="s">
        <v>186</v>
      </c>
      <c r="B380" s="10" t="s">
        <v>738</v>
      </c>
      <c r="C380" s="10" t="s">
        <v>821</v>
      </c>
      <c r="D380" s="10">
        <v>2</v>
      </c>
      <c r="E380" s="10" t="s">
        <v>822</v>
      </c>
      <c r="F380" s="13" t="s">
        <v>11</v>
      </c>
    </row>
    <row r="381" ht="18" customHeight="1" spans="1:6">
      <c r="A381" s="13" t="s">
        <v>186</v>
      </c>
      <c r="B381" s="10" t="s">
        <v>738</v>
      </c>
      <c r="C381" s="10" t="s">
        <v>823</v>
      </c>
      <c r="D381" s="10">
        <v>3</v>
      </c>
      <c r="E381" s="10" t="s">
        <v>824</v>
      </c>
      <c r="F381" s="13" t="s">
        <v>11</v>
      </c>
    </row>
    <row r="382" ht="18" customHeight="1" spans="1:6">
      <c r="A382" s="13" t="s">
        <v>186</v>
      </c>
      <c r="B382" s="10" t="s">
        <v>738</v>
      </c>
      <c r="C382" s="10" t="s">
        <v>825</v>
      </c>
      <c r="D382" s="10">
        <v>1</v>
      </c>
      <c r="E382" s="10" t="s">
        <v>826</v>
      </c>
      <c r="F382" s="13" t="s">
        <v>11</v>
      </c>
    </row>
    <row r="383" ht="18" customHeight="1" spans="1:6">
      <c r="A383" s="13" t="s">
        <v>186</v>
      </c>
      <c r="B383" s="10" t="s">
        <v>738</v>
      </c>
      <c r="C383" s="10" t="s">
        <v>827</v>
      </c>
      <c r="D383" s="10">
        <v>1</v>
      </c>
      <c r="E383" s="10" t="s">
        <v>828</v>
      </c>
      <c r="F383" s="13" t="s">
        <v>11</v>
      </c>
    </row>
    <row r="384" ht="18" customHeight="1" spans="1:6">
      <c r="A384" s="13" t="s">
        <v>186</v>
      </c>
      <c r="B384" s="10" t="s">
        <v>738</v>
      </c>
      <c r="C384" s="10" t="s">
        <v>829</v>
      </c>
      <c r="D384" s="10">
        <v>1</v>
      </c>
      <c r="E384" s="10" t="s">
        <v>830</v>
      </c>
      <c r="F384" s="13" t="s">
        <v>11</v>
      </c>
    </row>
    <row r="385" ht="18" customHeight="1" spans="1:6">
      <c r="A385" s="13" t="s">
        <v>186</v>
      </c>
      <c r="B385" s="10" t="s">
        <v>738</v>
      </c>
      <c r="C385" s="10" t="s">
        <v>221</v>
      </c>
      <c r="D385" s="10">
        <v>1</v>
      </c>
      <c r="E385" s="10" t="s">
        <v>831</v>
      </c>
      <c r="F385" s="13" t="s">
        <v>11</v>
      </c>
    </row>
    <row r="386" ht="18" customHeight="1" spans="1:6">
      <c r="A386" s="13" t="s">
        <v>186</v>
      </c>
      <c r="B386" s="10" t="s">
        <v>738</v>
      </c>
      <c r="C386" s="10" t="s">
        <v>832</v>
      </c>
      <c r="D386" s="10">
        <v>1</v>
      </c>
      <c r="E386" s="10" t="s">
        <v>833</v>
      </c>
      <c r="F386" s="13" t="s">
        <v>11</v>
      </c>
    </row>
    <row r="387" ht="18" customHeight="1" spans="1:6">
      <c r="A387" s="13" t="s">
        <v>186</v>
      </c>
      <c r="B387" s="10" t="s">
        <v>738</v>
      </c>
      <c r="C387" s="10" t="s">
        <v>834</v>
      </c>
      <c r="D387" s="10">
        <v>1</v>
      </c>
      <c r="E387" s="10" t="s">
        <v>835</v>
      </c>
      <c r="F387" s="13" t="s">
        <v>11</v>
      </c>
    </row>
    <row r="388" ht="18" customHeight="1" spans="1:6">
      <c r="A388" s="13" t="s">
        <v>186</v>
      </c>
      <c r="B388" s="10" t="s">
        <v>738</v>
      </c>
      <c r="C388" s="10" t="s">
        <v>836</v>
      </c>
      <c r="D388" s="10">
        <v>1</v>
      </c>
      <c r="E388" s="10" t="s">
        <v>837</v>
      </c>
      <c r="F388" s="13" t="s">
        <v>11</v>
      </c>
    </row>
    <row r="389" ht="18" customHeight="1" spans="1:6">
      <c r="A389" s="13" t="s">
        <v>186</v>
      </c>
      <c r="B389" s="10" t="s">
        <v>738</v>
      </c>
      <c r="C389" s="10" t="s">
        <v>838</v>
      </c>
      <c r="D389" s="10">
        <v>1</v>
      </c>
      <c r="E389" s="10" t="s">
        <v>839</v>
      </c>
      <c r="F389" s="13" t="s">
        <v>11</v>
      </c>
    </row>
    <row r="390" ht="18" customHeight="1" spans="1:6">
      <c r="A390" s="13" t="s">
        <v>186</v>
      </c>
      <c r="B390" s="10" t="s">
        <v>738</v>
      </c>
      <c r="C390" s="10" t="s">
        <v>840</v>
      </c>
      <c r="D390" s="10">
        <v>1</v>
      </c>
      <c r="E390" s="10" t="s">
        <v>841</v>
      </c>
      <c r="F390" s="13" t="s">
        <v>11</v>
      </c>
    </row>
    <row r="391" ht="18" customHeight="1" spans="1:6">
      <c r="A391" s="13" t="s">
        <v>186</v>
      </c>
      <c r="B391" s="10" t="s">
        <v>738</v>
      </c>
      <c r="C391" s="10" t="s">
        <v>842</v>
      </c>
      <c r="D391" s="10">
        <v>1</v>
      </c>
      <c r="E391" s="10" t="s">
        <v>843</v>
      </c>
      <c r="F391" s="13" t="s">
        <v>11</v>
      </c>
    </row>
    <row r="392" ht="18" customHeight="1" spans="1:6">
      <c r="A392" s="13" t="s">
        <v>186</v>
      </c>
      <c r="B392" s="10" t="s">
        <v>738</v>
      </c>
      <c r="C392" s="10" t="s">
        <v>844</v>
      </c>
      <c r="D392" s="10">
        <v>1</v>
      </c>
      <c r="E392" s="10" t="s">
        <v>845</v>
      </c>
      <c r="F392" s="13" t="s">
        <v>11</v>
      </c>
    </row>
    <row r="393" ht="18" customHeight="1" spans="1:6">
      <c r="A393" s="13" t="s">
        <v>186</v>
      </c>
      <c r="B393" s="10" t="s">
        <v>738</v>
      </c>
      <c r="C393" s="10" t="s">
        <v>846</v>
      </c>
      <c r="D393" s="10">
        <v>1</v>
      </c>
      <c r="E393" s="10" t="s">
        <v>847</v>
      </c>
      <c r="F393" s="13" t="s">
        <v>11</v>
      </c>
    </row>
    <row r="394" ht="18" customHeight="1" spans="1:6">
      <c r="A394" s="13" t="s">
        <v>186</v>
      </c>
      <c r="B394" s="10" t="s">
        <v>738</v>
      </c>
      <c r="C394" s="10" t="s">
        <v>848</v>
      </c>
      <c r="D394" s="10">
        <v>1</v>
      </c>
      <c r="E394" s="10" t="s">
        <v>849</v>
      </c>
      <c r="F394" s="13" t="s">
        <v>11</v>
      </c>
    </row>
    <row r="395" ht="18" customHeight="1" spans="1:6">
      <c r="A395" s="13" t="s">
        <v>186</v>
      </c>
      <c r="B395" s="10" t="s">
        <v>738</v>
      </c>
      <c r="C395" s="10" t="s">
        <v>850</v>
      </c>
      <c r="D395" s="10">
        <v>1</v>
      </c>
      <c r="E395" s="10" t="s">
        <v>851</v>
      </c>
      <c r="F395" s="13" t="s">
        <v>11</v>
      </c>
    </row>
    <row r="396" ht="18" customHeight="1" spans="1:6">
      <c r="A396" s="13" t="s">
        <v>186</v>
      </c>
      <c r="B396" s="10" t="s">
        <v>738</v>
      </c>
      <c r="C396" s="10" t="s">
        <v>852</v>
      </c>
      <c r="D396" s="10">
        <v>1</v>
      </c>
      <c r="E396" s="10" t="s">
        <v>853</v>
      </c>
      <c r="F396" s="13" t="s">
        <v>11</v>
      </c>
    </row>
    <row r="397" ht="18" customHeight="1" spans="1:6">
      <c r="A397" s="13" t="s">
        <v>854</v>
      </c>
      <c r="B397" s="13"/>
      <c r="C397" s="13">
        <v>322</v>
      </c>
      <c r="D397" s="13">
        <v>818</v>
      </c>
      <c r="E397" s="13"/>
      <c r="F397" s="13"/>
    </row>
    <row r="398" ht="18" customHeight="1" spans="1:6">
      <c r="A398" s="13" t="s">
        <v>855</v>
      </c>
      <c r="B398" s="13" t="s">
        <v>856</v>
      </c>
      <c r="C398" s="5" t="s">
        <v>857</v>
      </c>
      <c r="D398" s="13">
        <v>3</v>
      </c>
      <c r="E398" s="178" t="s">
        <v>858</v>
      </c>
      <c r="F398" s="13" t="s">
        <v>11</v>
      </c>
    </row>
    <row r="399" ht="18" customHeight="1" spans="1:6">
      <c r="A399" s="13" t="s">
        <v>855</v>
      </c>
      <c r="B399" s="13" t="s">
        <v>859</v>
      </c>
      <c r="C399" s="5" t="s">
        <v>860</v>
      </c>
      <c r="D399" s="13">
        <v>3</v>
      </c>
      <c r="E399" s="5" t="str">
        <f>LEFT("422626196610281510",19)</f>
        <v>422626196610281510</v>
      </c>
      <c r="F399" s="13" t="s">
        <v>11</v>
      </c>
    </row>
    <row r="400" ht="18" customHeight="1" spans="1:6">
      <c r="A400" s="13" t="s">
        <v>855</v>
      </c>
      <c r="B400" s="13" t="s">
        <v>861</v>
      </c>
      <c r="C400" s="5" t="s">
        <v>862</v>
      </c>
      <c r="D400" s="13">
        <v>3</v>
      </c>
      <c r="E400" s="5" t="str">
        <f>LEFT("422626195610061513",19)</f>
        <v>422626195610061513</v>
      </c>
      <c r="F400" s="13" t="s">
        <v>11</v>
      </c>
    </row>
    <row r="401" ht="18" customHeight="1" spans="1:6">
      <c r="A401" s="13" t="s">
        <v>855</v>
      </c>
      <c r="B401" s="13" t="s">
        <v>861</v>
      </c>
      <c r="C401" s="5" t="s">
        <v>863</v>
      </c>
      <c r="D401" s="13">
        <v>2</v>
      </c>
      <c r="E401" s="5" t="str">
        <f>LEFT("422626193403111531",19)</f>
        <v>422626193403111531</v>
      </c>
      <c r="F401" s="13" t="s">
        <v>11</v>
      </c>
    </row>
    <row r="402" ht="18" customHeight="1" spans="1:6">
      <c r="A402" s="13" t="s">
        <v>855</v>
      </c>
      <c r="B402" s="13" t="s">
        <v>864</v>
      </c>
      <c r="C402" s="5" t="s">
        <v>865</v>
      </c>
      <c r="D402" s="13">
        <v>6</v>
      </c>
      <c r="E402" s="5" t="str">
        <f>LEFT("422626197012101510",19)</f>
        <v>422626197012101510</v>
      </c>
      <c r="F402" s="13" t="s">
        <v>11</v>
      </c>
    </row>
    <row r="403" ht="18" customHeight="1" spans="1:6">
      <c r="A403" s="13" t="s">
        <v>855</v>
      </c>
      <c r="B403" s="13" t="s">
        <v>864</v>
      </c>
      <c r="C403" s="5" t="s">
        <v>866</v>
      </c>
      <c r="D403" s="13">
        <v>3</v>
      </c>
      <c r="E403" s="5" t="str">
        <f>LEFT("422626196612071517",19)</f>
        <v>422626196612071517</v>
      </c>
      <c r="F403" s="13" t="s">
        <v>11</v>
      </c>
    </row>
    <row r="404" ht="18" customHeight="1" spans="1:6">
      <c r="A404" s="13" t="s">
        <v>855</v>
      </c>
      <c r="B404" s="13" t="s">
        <v>867</v>
      </c>
      <c r="C404" s="5" t="s">
        <v>868</v>
      </c>
      <c r="D404" s="13">
        <v>4</v>
      </c>
      <c r="E404" s="5" t="str">
        <f>LEFT("422626196110191519",19)</f>
        <v>422626196110191519</v>
      </c>
      <c r="F404" s="13" t="s">
        <v>11</v>
      </c>
    </row>
    <row r="405" ht="18" customHeight="1" spans="1:6">
      <c r="A405" s="13" t="s">
        <v>855</v>
      </c>
      <c r="B405" s="13" t="s">
        <v>867</v>
      </c>
      <c r="C405" s="5" t="s">
        <v>869</v>
      </c>
      <c r="D405" s="13">
        <v>5</v>
      </c>
      <c r="E405" s="5" t="str">
        <f>LEFT("422626194108251528",19)</f>
        <v>422626194108251528</v>
      </c>
      <c r="F405" s="13" t="s">
        <v>11</v>
      </c>
    </row>
    <row r="406" ht="18" customHeight="1" spans="1:6">
      <c r="A406" s="13" t="s">
        <v>855</v>
      </c>
      <c r="B406" s="13" t="s">
        <v>870</v>
      </c>
      <c r="C406" s="5" t="s">
        <v>871</v>
      </c>
      <c r="D406" s="13">
        <v>4</v>
      </c>
      <c r="E406" s="5" t="str">
        <f>LEFT("422626196107111530",19)</f>
        <v>422626196107111530</v>
      </c>
      <c r="F406" s="13" t="s">
        <v>11</v>
      </c>
    </row>
    <row r="407" ht="18" customHeight="1" spans="1:6">
      <c r="A407" s="13" t="s">
        <v>855</v>
      </c>
      <c r="B407" s="13" t="s">
        <v>864</v>
      </c>
      <c r="C407" s="5" t="s">
        <v>872</v>
      </c>
      <c r="D407" s="13">
        <v>4</v>
      </c>
      <c r="E407" s="5" t="str">
        <f>LEFT("422626196405151530",19)</f>
        <v>422626196405151530</v>
      </c>
      <c r="F407" s="13" t="s">
        <v>11</v>
      </c>
    </row>
    <row r="408" ht="18" customHeight="1" spans="1:6">
      <c r="A408" s="13" t="s">
        <v>855</v>
      </c>
      <c r="B408" s="13" t="s">
        <v>859</v>
      </c>
      <c r="C408" s="5" t="s">
        <v>873</v>
      </c>
      <c r="D408" s="13">
        <v>2</v>
      </c>
      <c r="E408" s="5" t="str">
        <f>LEFT("422626194110241513",19)</f>
        <v>422626194110241513</v>
      </c>
      <c r="F408" s="13" t="s">
        <v>11</v>
      </c>
    </row>
    <row r="409" ht="18" customHeight="1" spans="1:6">
      <c r="A409" s="13" t="s">
        <v>855</v>
      </c>
      <c r="B409" s="13" t="s">
        <v>864</v>
      </c>
      <c r="C409" s="5" t="s">
        <v>874</v>
      </c>
      <c r="D409" s="13">
        <v>3</v>
      </c>
      <c r="E409" s="5" t="str">
        <f>LEFT("422626195602221513",19)</f>
        <v>422626195602221513</v>
      </c>
      <c r="F409" s="13" t="s">
        <v>11</v>
      </c>
    </row>
    <row r="410" ht="18" customHeight="1" spans="1:6">
      <c r="A410" s="13" t="s">
        <v>855</v>
      </c>
      <c r="B410" s="13" t="s">
        <v>859</v>
      </c>
      <c r="C410" s="5" t="s">
        <v>875</v>
      </c>
      <c r="D410" s="13">
        <v>2</v>
      </c>
      <c r="E410" s="5" t="str">
        <f>LEFT("420325196802161519",19)</f>
        <v>420325196802161519</v>
      </c>
      <c r="F410" s="13" t="s">
        <v>11</v>
      </c>
    </row>
    <row r="411" ht="18" customHeight="1" spans="1:6">
      <c r="A411" s="13" t="s">
        <v>855</v>
      </c>
      <c r="B411" s="13" t="s">
        <v>864</v>
      </c>
      <c r="C411" s="5" t="s">
        <v>876</v>
      </c>
      <c r="D411" s="13">
        <v>5</v>
      </c>
      <c r="E411" s="5" t="str">
        <f>LEFT("422626196207231513",19)</f>
        <v>422626196207231513</v>
      </c>
      <c r="F411" s="13" t="s">
        <v>11</v>
      </c>
    </row>
    <row r="412" ht="18" customHeight="1" spans="1:6">
      <c r="A412" s="13" t="s">
        <v>855</v>
      </c>
      <c r="B412" s="13" t="s">
        <v>859</v>
      </c>
      <c r="C412" s="5" t="s">
        <v>877</v>
      </c>
      <c r="D412" s="13">
        <v>5</v>
      </c>
      <c r="E412" s="5" t="str">
        <f>LEFT("422626196212041554",19)</f>
        <v>422626196212041554</v>
      </c>
      <c r="F412" s="13" t="s">
        <v>11</v>
      </c>
    </row>
    <row r="413" ht="18" customHeight="1" spans="1:6">
      <c r="A413" s="13" t="s">
        <v>855</v>
      </c>
      <c r="B413" s="13" t="s">
        <v>859</v>
      </c>
      <c r="C413" s="5" t="s">
        <v>878</v>
      </c>
      <c r="D413" s="13">
        <v>4</v>
      </c>
      <c r="E413" s="5" t="str">
        <f>LEFT("420325197908231532",19)</f>
        <v>420325197908231532</v>
      </c>
      <c r="F413" s="13" t="s">
        <v>11</v>
      </c>
    </row>
    <row r="414" ht="18" customHeight="1" spans="1:6">
      <c r="A414" s="13" t="s">
        <v>855</v>
      </c>
      <c r="B414" s="13" t="s">
        <v>879</v>
      </c>
      <c r="C414" s="5" t="s">
        <v>880</v>
      </c>
      <c r="D414" s="13">
        <v>1</v>
      </c>
      <c r="E414" s="5" t="str">
        <f>LEFT("420325197404101515",19)</f>
        <v>420325197404101515</v>
      </c>
      <c r="F414" s="13" t="s">
        <v>11</v>
      </c>
    </row>
    <row r="415" ht="18" customHeight="1" spans="1:6">
      <c r="A415" s="13" t="s">
        <v>855</v>
      </c>
      <c r="B415" s="13" t="s">
        <v>879</v>
      </c>
      <c r="C415" s="5" t="s">
        <v>881</v>
      </c>
      <c r="D415" s="13">
        <v>1</v>
      </c>
      <c r="E415" s="178" t="s">
        <v>882</v>
      </c>
      <c r="F415" s="13" t="s">
        <v>11</v>
      </c>
    </row>
    <row r="416" ht="18" customHeight="1" spans="1:6">
      <c r=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      </c>
      <c r="F416" s="13" t="s">
        <v>11</v>
      </c>
    </row>
    <row r="417" ht="18" customHeight="1" spans="1:6">
      <c r="A417" s="13" t="s">
        <v>855</v>
      </c>
      <c r="B417" s="13" t="s">
        <v>886</v>
      </c>
      <c r="C417" s="5" t="s">
        <v>887</v>
      </c>
      <c r="D417" s="13">
        <v>2</v>
      </c>
      <c r="E417" s="178" t="s">
        <v>888</v>
      </c>
      <c r="F417" s="13" t="s">
        <v>11</v>
      </c>
    </row>
    <row r="418" ht="18" customHeight="1" spans="1:6">
      <c r="A418" s="13" t="s">
        <v>855</v>
      </c>
      <c r="B418" s="13" t="s">
        <v>889</v>
      </c>
      <c r="C418" s="5" t="s">
        <v>890</v>
      </c>
      <c r="D418" s="13">
        <v>1</v>
      </c>
      <c r="E418" s="178" t="s">
        <v>891</v>
      </c>
      <c r="F418" s="13" t="s">
        <v>11</v>
      </c>
    </row>
    <row r="419" ht="18" customHeight="1" spans="1:6">
      <c r="A419" s="13" t="s">
        <v>855</v>
      </c>
      <c r="B419" s="13" t="s">
        <v>883</v>
      </c>
      <c r="C419" s="5" t="s">
        <v>892</v>
      </c>
      <c r="D419" s="13">
        <v>1</v>
      </c>
      <c r="E419" s="178" t="s">
        <v>893</v>
      </c>
      <c r="F419" s="13" t="s">
        <v>11</v>
      </c>
    </row>
    <row r="420" ht="18" customHeight="1" spans="1:6">
      <c r="A420" s="13" t="s">
        <v>855</v>
      </c>
      <c r="B420" s="13" t="s">
        <v>867</v>
      </c>
      <c r="C420" s="5" t="s">
        <v>894</v>
      </c>
      <c r="D420" s="13">
        <v>5</v>
      </c>
      <c r="E420" s="178" t="s">
        <v>895</v>
      </c>
      <c r="F420" s="13" t="s">
        <v>11</v>
      </c>
    </row>
    <row r="421" ht="18" customHeight="1" spans="1:6">
      <c r="A421" s="13" t="s">
        <v>855</v>
      </c>
      <c r="B421" s="13" t="s">
        <v>896</v>
      </c>
      <c r="C421" s="5" t="s">
        <v>897</v>
      </c>
      <c r="D421" s="13">
        <v>1</v>
      </c>
      <c r="E421" s="178" t="s">
        <v>898</v>
      </c>
      <c r="F421" s="13" t="s">
        <v>11</v>
      </c>
    </row>
    <row r="422" ht="18" customHeight="1" spans="1:6">
      <c r="A422" s="13" t="s">
        <v>855</v>
      </c>
      <c r="B422" s="13" t="s">
        <v>879</v>
      </c>
      <c r="C422" s="5" t="s">
        <v>899</v>
      </c>
      <c r="D422" s="13">
        <v>2</v>
      </c>
      <c r="E422" s="178" t="s">
        <v>900</v>
      </c>
      <c r="F422" s="13" t="s">
        <v>11</v>
      </c>
    </row>
    <row r="423" ht="18" customHeight="1" spans="1:6">
      <c r="A423" s="13" t="s">
        <v>855</v>
      </c>
      <c r="B423" s="13" t="s">
        <v>901</v>
      </c>
      <c r="C423" s="13" t="s">
        <v>902</v>
      </c>
      <c r="D423" s="13">
        <v>4</v>
      </c>
      <c r="E423" s="179" t="s">
        <v>903</v>
      </c>
      <c r="F423" s="13" t="s">
        <v>11</v>
      </c>
    </row>
    <row r="424" ht="18" customHeight="1" spans="1:6">
      <c r="A424" s="13" t="s">
        <v>855</v>
      </c>
      <c r="B424" s="13" t="s">
        <v>904</v>
      </c>
      <c r="C424" s="6" t="s">
        <v>878</v>
      </c>
      <c r="D424" s="13">
        <v>2</v>
      </c>
      <c r="E424" s="12" t="s">
        <v>905</v>
      </c>
      <c r="F424" s="6" t="s">
        <v>11</v>
      </c>
    </row>
    <row r="425" ht="18" customHeight="1" spans="1:6">
      <c r="A425" s="13" t="s">
        <v>855</v>
      </c>
      <c r="B425" s="13" t="s">
        <v>904</v>
      </c>
      <c r="C425" s="6" t="s">
        <v>906</v>
      </c>
      <c r="D425" s="13">
        <v>1</v>
      </c>
      <c r="E425" s="188" t="s">
        <v>907</v>
      </c>
      <c r="F425" s="13" t="s">
        <v>11</v>
      </c>
    </row>
    <row r="426" ht="18" customHeight="1" spans="1:6">
      <c r="A426" s="13" t="s">
        <v>855</v>
      </c>
      <c r="B426" s="13" t="s">
        <v>904</v>
      </c>
      <c r="C426" s="6" t="s">
        <v>908</v>
      </c>
      <c r="D426" s="13">
        <v>2</v>
      </c>
      <c r="E426" s="12" t="s">
        <v>909</v>
      </c>
      <c r="F426" s="6" t="s">
        <v>11</v>
      </c>
    </row>
    <row r="427" ht="18" customHeight="1" spans="1:6">
      <c r="A427" s="13" t="s">
        <v>855</v>
      </c>
      <c r="B427" s="13" t="s">
        <v>904</v>
      </c>
      <c r="C427" s="6" t="s">
        <v>910</v>
      </c>
      <c r="D427" s="13">
        <v>5</v>
      </c>
      <c r="E427" s="12" t="s">
        <v>911</v>
      </c>
      <c r="F427" s="6" t="s">
        <v>11</v>
      </c>
    </row>
    <row r="428" ht="18" customHeight="1" spans="1:6">
      <c r="A428" s="13" t="s">
        <v>855</v>
      </c>
      <c r="B428" s="13" t="s">
        <v>904</v>
      </c>
      <c r="C428" s="6" t="s">
        <v>912</v>
      </c>
      <c r="D428" s="13">
        <v>2</v>
      </c>
      <c r="E428" s="12" t="s">
        <v>913</v>
      </c>
      <c r="F428" s="6" t="s">
        <v>11</v>
      </c>
    </row>
    <row r="429" ht="18" customHeight="1" spans="1:6">
      <c r="A429" s="13" t="s">
        <v>855</v>
      </c>
      <c r="B429" s="13" t="s">
        <v>904</v>
      </c>
      <c r="C429" s="6" t="s">
        <v>914</v>
      </c>
      <c r="D429" s="13">
        <v>5</v>
      </c>
      <c r="E429" s="12" t="s">
        <v>915</v>
      </c>
      <c r="F429" s="6" t="s">
        <v>11</v>
      </c>
    </row>
    <row r="430" ht="18" customHeight="1" spans="1:6">
      <c r="A430" s="13" t="s">
        <v>855</v>
      </c>
      <c r="B430" s="13" t="s">
        <v>904</v>
      </c>
      <c r="C430" s="6" t="s">
        <v>916</v>
      </c>
      <c r="D430" s="13">
        <v>2</v>
      </c>
      <c r="E430" s="10" t="s">
        <v>917</v>
      </c>
      <c r="F430" s="6" t="s">
        <v>11</v>
      </c>
    </row>
    <row r="431" ht="18" customHeight="1" spans="1:6">
      <c r="A431" s="13" t="s">
        <v>855</v>
      </c>
      <c r="B431" s="13" t="s">
        <v>918</v>
      </c>
      <c r="C431" s="25" t="s">
        <v>919</v>
      </c>
      <c r="D431" s="13">
        <v>1</v>
      </c>
      <c r="E431" s="25" t="s">
        <v>920</v>
      </c>
      <c r="F431" s="13" t="s">
        <v>11</v>
      </c>
    </row>
    <row r="432" ht="18" customHeight="1" spans="1:6">
      <c r="A432" s="13" t="s">
        <v>855</v>
      </c>
      <c r="B432" s="13" t="s">
        <v>918</v>
      </c>
      <c r="C432" s="25" t="s">
        <v>921</v>
      </c>
      <c r="D432" s="13">
        <v>1</v>
      </c>
      <c r="E432" s="25" t="s">
        <v>922</v>
      </c>
      <c r="F432" s="13" t="s">
        <v>11</v>
      </c>
    </row>
    <row r="433" ht="18" customHeight="1" spans="1:6">
      <c r="A433" s="13" t="s">
        <v>855</v>
      </c>
      <c r="B433" s="13" t="s">
        <v>918</v>
      </c>
      <c r="C433" s="25" t="s">
        <v>923</v>
      </c>
      <c r="D433" s="13">
        <v>1</v>
      </c>
      <c r="E433" s="25" t="s">
        <v>924</v>
      </c>
      <c r="F433" s="13" t="s">
        <v>11</v>
      </c>
    </row>
    <row r="434" ht="18" customHeight="1" spans="1:6">
      <c r="A434" s="13" t="s">
        <v>855</v>
      </c>
      <c r="B434" s="13" t="s">
        <v>918</v>
      </c>
      <c r="C434" s="25" t="s">
        <v>925</v>
      </c>
      <c r="D434" s="13">
        <v>1</v>
      </c>
      <c r="E434" s="25" t="s">
        <v>926</v>
      </c>
      <c r="F434" s="13" t="s">
        <v>11</v>
      </c>
    </row>
    <row r="435" ht="18" customHeight="1" spans="1:6">
      <c r="A435" s="13" t="s">
        <v>855</v>
      </c>
      <c r="B435" s="13" t="s">
        <v>918</v>
      </c>
      <c r="C435" s="25" t="s">
        <v>927</v>
      </c>
      <c r="D435" s="13">
        <v>3</v>
      </c>
      <c r="E435" s="25" t="s">
        <v>928</v>
      </c>
      <c r="F435" s="13" t="s">
        <v>11</v>
      </c>
    </row>
    <row r="436" ht="18" customHeight="1" spans="1:6">
      <c r="A436" s="13" t="s">
        <v>855</v>
      </c>
      <c r="B436" s="13" t="s">
        <v>918</v>
      </c>
      <c r="C436" s="119" t="s">
        <v>929</v>
      </c>
      <c r="D436" s="13">
        <v>4</v>
      </c>
      <c r="E436" s="119" t="s">
        <v>930</v>
      </c>
      <c r="F436" s="13" t="s">
        <v>11</v>
      </c>
    </row>
    <row r="437" ht="18" customHeight="1" spans="1:6">
      <c r="A437" s="13" t="s">
        <v>855</v>
      </c>
      <c r="B437" s="13" t="s">
        <v>918</v>
      </c>
      <c r="C437" s="30" t="s">
        <v>931</v>
      </c>
      <c r="D437" s="13">
        <v>3</v>
      </c>
      <c r="E437" s="120" t="s">
        <v>932</v>
      </c>
      <c r="F437" s="13" t="s">
        <v>11</v>
      </c>
    </row>
    <row r="438" ht="18" customHeight="1" spans="1:6">
      <c r="A438" s="13" t="s">
        <v>855</v>
      </c>
      <c r="B438" s="13" t="s">
        <v>918</v>
      </c>
      <c r="C438" s="121" t="s">
        <v>933</v>
      </c>
      <c r="D438" s="13">
        <v>3</v>
      </c>
      <c r="E438" s="120" t="s">
        <v>934</v>
      </c>
      <c r="F438" s="13" t="s">
        <v>11</v>
      </c>
    </row>
    <row r="439" ht="18" customHeight="1" spans="1:6">
      <c r="A439" s="13" t="s">
        <v>855</v>
      </c>
      <c r="B439" s="13" t="s">
        <v>918</v>
      </c>
      <c r="C439" s="30" t="s">
        <v>935</v>
      </c>
      <c r="D439" s="13">
        <v>5</v>
      </c>
      <c r="E439" s="122" t="s">
        <v>936</v>
      </c>
      <c r="F439" s="13" t="s">
        <v>11</v>
      </c>
    </row>
    <row r="440" ht="18" customHeight="1" spans="1:6">
      <c r="A440" s="13" t="s">
        <v>855</v>
      </c>
      <c r="B440" s="13" t="s">
        <v>937</v>
      </c>
      <c r="C440" s="13" t="s">
        <v>938</v>
      </c>
      <c r="D440" s="13">
        <v>6</v>
      </c>
      <c r="E440" s="10" t="s">
        <v>939</v>
      </c>
      <c r="F440" s="13" t="s">
        <v>11</v>
      </c>
    </row>
    <row r="441" ht="18" customHeight="1" spans="1:6">
      <c r="A441" s="13" t="s">
        <v>855</v>
      </c>
      <c r="B441" s="13" t="s">
        <v>940</v>
      </c>
      <c r="C441" s="13" t="s">
        <v>941</v>
      </c>
      <c r="D441" s="13">
        <v>3</v>
      </c>
      <c r="E441" s="187" t="s">
        <v>942</v>
      </c>
      <c r="F441" s="13" t="s">
        <v>11</v>
      </c>
    </row>
    <row r="442" ht="18" customHeight="1" spans="1:6">
      <c r="A442" s="13" t="s">
        <v>855</v>
      </c>
      <c r="B442" s="13" t="s">
        <v>943</v>
      </c>
      <c r="C442" s="13" t="s">
        <v>944</v>
      </c>
      <c r="D442" s="13">
        <v>3</v>
      </c>
      <c r="E442" s="10" t="s">
        <v>945</v>
      </c>
      <c r="F442" s="13" t="s">
        <v>11</v>
      </c>
    </row>
    <row r="443" ht="18" customHeight="1" spans="1:6">
      <c r="A443" s="13" t="s">
        <v>855</v>
      </c>
      <c r="B443" s="13" t="s">
        <v>946</v>
      </c>
      <c r="C443" s="10" t="s">
        <v>947</v>
      </c>
      <c r="D443" s="5">
        <v>1</v>
      </c>
      <c r="E443" s="10" t="str">
        <f>LEFT("422626196602281537",19)</f>
        <v>422626196602281537</v>
      </c>
      <c r="F443" s="13" t="s">
        <v>11</v>
      </c>
    </row>
    <row r="444" ht="18" customHeight="1" spans="1:6">
      <c r="A444" s="13" t="s">
        <v>855</v>
      </c>
      <c r="B444" s="13" t="s">
        <v>946</v>
      </c>
      <c r="C444" s="10" t="s">
        <v>948</v>
      </c>
      <c r="D444" s="11">
        <v>2</v>
      </c>
      <c r="E444" s="10" t="str">
        <f>LEFT("422626194401021510",19)</f>
        <v>422626194401021510</v>
      </c>
      <c r="F444" s="13" t="s">
        <v>11</v>
      </c>
    </row>
    <row r="445" ht="18" customHeight="1" spans="1:6">
      <c r="A445" s="13" t="s">
        <v>855</v>
      </c>
      <c r="B445" s="13" t="s">
        <v>946</v>
      </c>
      <c r="C445" s="10" t="s">
        <v>949</v>
      </c>
      <c r="D445" s="11">
        <v>4</v>
      </c>
      <c r="E445" s="10" t="str">
        <f>LEFT("422626194903031516",19)</f>
        <v>422626194903031516</v>
      </c>
      <c r="F445" s="13" t="s">
        <v>11</v>
      </c>
    </row>
    <row r="446" ht="18" customHeight="1" spans="1:6">
      <c r="A446" s="13" t="s">
        <v>855</v>
      </c>
      <c r="B446" s="13" t="s">
        <v>946</v>
      </c>
      <c r="C446" s="10" t="s">
        <v>950</v>
      </c>
      <c r="D446" s="11">
        <v>4</v>
      </c>
      <c r="E446" s="10" t="str">
        <f>LEFT("422626195412261514",19)</f>
        <v>422626195412261514</v>
      </c>
      <c r="F446" s="13" t="s">
        <v>11</v>
      </c>
    </row>
    <row r="447" ht="18" customHeight="1" spans="1:6">
      <c r="A447" s="13" t="s">
        <v>855</v>
      </c>
      <c r="B447" s="13" t="s">
        <v>946</v>
      </c>
      <c r="C447" s="10" t="s">
        <v>951</v>
      </c>
      <c r="D447" s="11">
        <v>3</v>
      </c>
      <c r="E447" s="10" t="str">
        <f>LEFT("422626195311201512",19)</f>
        <v>422626195311201512</v>
      </c>
      <c r="F447" s="13" t="s">
        <v>11</v>
      </c>
    </row>
    <row r="448" ht="18" customHeight="1" spans="1:6">
      <c r="A448" s="13" t="s">
        <v>855</v>
      </c>
      <c r="B448" s="13" t="s">
        <v>946</v>
      </c>
      <c r="C448" s="10" t="s">
        <v>952</v>
      </c>
      <c r="D448" s="11">
        <v>4</v>
      </c>
      <c r="E448" s="10" t="str">
        <f>LEFT("420325198001191928",19)</f>
        <v>420325198001191928</v>
      </c>
      <c r="F448" s="13" t="s">
        <v>11</v>
      </c>
    </row>
    <row r="449" ht="18" customHeight="1" spans="1:6">
      <c r="A449" s="13" t="s">
        <v>855</v>
      </c>
      <c r="B449" s="13" t="s">
        <v>946</v>
      </c>
      <c r="C449" s="10" t="s">
        <v>953</v>
      </c>
      <c r="D449" s="11">
        <v>3</v>
      </c>
      <c r="E449" s="10" t="str">
        <f>LEFT("422626196712251566",19)</f>
        <v>422626196712251566</v>
      </c>
      <c r="F449" s="13" t="s">
        <v>11</v>
      </c>
    </row>
    <row r="450" ht="18" customHeight="1" spans="1:6">
      <c r="A450" s="13" t="s">
        <v>855</v>
      </c>
      <c r="B450" s="13" t="s">
        <v>946</v>
      </c>
      <c r="C450" s="10" t="s">
        <v>954</v>
      </c>
      <c r="D450" s="11">
        <v>4</v>
      </c>
      <c r="E450" s="10" t="str">
        <f>LEFT("422626195105151526",19)</f>
        <v>422626195105151526</v>
      </c>
      <c r="F450" s="13" t="s">
        <v>11</v>
      </c>
    </row>
    <row r="451" ht="18" customHeight="1" spans="1:6">
      <c r="A451" s="13" t="s">
        <v>855</v>
      </c>
      <c r="B451" s="13" t="s">
        <v>946</v>
      </c>
      <c r="C451" s="10" t="s">
        <v>955</v>
      </c>
      <c r="D451" s="11">
        <v>6</v>
      </c>
      <c r="E451" s="10" t="str">
        <f>LEFT("422626193703271510",19)</f>
        <v>422626193703271510</v>
      </c>
      <c r="F451" s="13" t="s">
        <v>11</v>
      </c>
    </row>
    <row r="452" ht="18" customHeight="1" spans="1:6">
      <c r="A452" s="13" t="s">
        <v>855</v>
      </c>
      <c r="B452" s="13" t="s">
        <v>946</v>
      </c>
      <c r="C452" s="10" t="s">
        <v>956</v>
      </c>
      <c r="D452" s="11">
        <v>4</v>
      </c>
      <c r="E452" s="10" t="str">
        <f>LEFT("422626194506291517",19)</f>
        <v>422626194506291517</v>
      </c>
      <c r="F452" s="13" t="s">
        <v>11</v>
      </c>
    </row>
    <row r="453" ht="18" customHeight="1" spans="1:6">
      <c r="A453" s="13" t="s">
        <v>855</v>
      </c>
      <c r="B453" s="13" t="s">
        <v>946</v>
      </c>
      <c r="C453" s="10" t="s">
        <v>957</v>
      </c>
      <c r="D453" s="11">
        <v>4</v>
      </c>
      <c r="E453" s="10" t="str">
        <f>LEFT("422626195205231531",19)</f>
        <v>422626195205231531</v>
      </c>
      <c r="F453" s="13" t="s">
        <v>11</v>
      </c>
    </row>
    <row r="454" ht="18" customHeight="1" spans="1:6">
      <c r="A454" s="13" t="s">
        <v>855</v>
      </c>
      <c r="B454" s="13" t="s">
        <v>946</v>
      </c>
      <c r="C454" s="10" t="s">
        <v>958</v>
      </c>
      <c r="D454" s="11">
        <v>3</v>
      </c>
      <c r="E454" s="10" t="s">
        <v>959</v>
      </c>
      <c r="F454" s="13" t="s">
        <v>11</v>
      </c>
    </row>
    <row r="455" ht="18" customHeight="1" spans="1:6">
      <c r="A455" s="13" t="s">
        <v>855</v>
      </c>
      <c r="B455" s="13" t="s">
        <v>946</v>
      </c>
      <c r="C455" s="10" t="s">
        <v>960</v>
      </c>
      <c r="D455" s="11">
        <v>2</v>
      </c>
      <c r="E455" s="10" t="str">
        <f>LEFT("42262619430906151X",19)</f>
        <v>42262619430906151X</v>
      </c>
      <c r="F455" s="13" t="s">
        <v>11</v>
      </c>
    </row>
    <row r="456" ht="18" customHeight="1" spans="1:6">
      <c r="A456" s="13" t="s">
        <v>855</v>
      </c>
      <c r="B456" s="13" t="s">
        <v>946</v>
      </c>
      <c r="C456" s="10" t="s">
        <v>961</v>
      </c>
      <c r="D456" s="11">
        <v>5</v>
      </c>
      <c r="E456" s="10" t="str">
        <f>LEFT("422626195210111518",19)</f>
        <v>422626195210111518</v>
      </c>
      <c r="F456" s="13" t="s">
        <v>11</v>
      </c>
    </row>
    <row r="457" ht="18" customHeight="1" spans="1:6">
      <c r="A457" s="13" t="s">
        <v>855</v>
      </c>
      <c r="B457" s="13" t="s">
        <v>946</v>
      </c>
      <c r="C457" s="10" t="s">
        <v>962</v>
      </c>
      <c r="D457" s="11">
        <v>1</v>
      </c>
      <c r="E457" s="10" t="str">
        <f>LEFT("42262619550208155X",19)</f>
        <v>42262619550208155X</v>
      </c>
      <c r="F457" s="13" t="s">
        <v>11</v>
      </c>
    </row>
    <row r="458" ht="18" customHeight="1" spans="1:6">
      <c r="A458" s="13" t="s">
        <v>855</v>
      </c>
      <c r="B458" s="13" t="s">
        <v>963</v>
      </c>
      <c r="C458" s="20" t="s">
        <v>964</v>
      </c>
      <c r="D458" s="5">
        <v>2</v>
      </c>
      <c r="E458" s="189" t="s">
        <v>965</v>
      </c>
      <c r="F458" s="13" t="s">
        <v>11</v>
      </c>
    </row>
    <row r="459" ht="18" customHeight="1" spans="1:6">
      <c r="A459" s="13" t="s">
        <v>855</v>
      </c>
      <c r="B459" s="13" t="s">
        <v>966</v>
      </c>
      <c r="C459" s="20" t="s">
        <v>967</v>
      </c>
      <c r="D459" s="6">
        <v>3</v>
      </c>
      <c r="E459" s="123" t="s">
        <v>968</v>
      </c>
      <c r="F459" s="13" t="s">
        <v>11</v>
      </c>
    </row>
    <row r="460" ht="18" customHeight="1" spans="1:6">
      <c r="A460" s="13" t="s">
        <v>855</v>
      </c>
      <c r="B460" s="13" t="s">
        <v>966</v>
      </c>
      <c r="C460" s="20" t="s">
        <v>969</v>
      </c>
      <c r="D460" s="6">
        <v>3</v>
      </c>
      <c r="E460" s="123" t="s">
        <v>970</v>
      </c>
      <c r="F460" s="13" t="s">
        <v>11</v>
      </c>
    </row>
    <row r="461" ht="18" customHeight="1" spans="1:6">
      <c r="A461" s="13" t="s">
        <v>855</v>
      </c>
      <c r="B461" s="13" t="s">
        <v>971</v>
      </c>
      <c r="C461" s="20" t="s">
        <v>972</v>
      </c>
      <c r="D461" s="6">
        <v>1</v>
      </c>
      <c r="E461" s="123" t="s">
        <v>973</v>
      </c>
      <c r="F461" s="13" t="s">
        <v>11</v>
      </c>
    </row>
    <row r="462" ht="18" customHeight="1" spans="1:6">
      <c r="A462" s="13" t="s">
        <v>855</v>
      </c>
      <c r="B462" s="13" t="s">
        <v>974</v>
      </c>
      <c r="C462" s="20" t="s">
        <v>975</v>
      </c>
      <c r="D462" s="6">
        <v>1</v>
      </c>
      <c r="E462" s="123" t="s">
        <v>976</v>
      </c>
      <c r="F462" s="13" t="s">
        <v>11</v>
      </c>
    </row>
    <row r="463" ht="18" customHeight="1" spans="1:6">
      <c r="A463" s="13" t="s">
        <v>855</v>
      </c>
      <c r="B463" s="13" t="s">
        <v>974</v>
      </c>
      <c r="C463" s="20" t="s">
        <v>977</v>
      </c>
      <c r="D463" s="6">
        <v>1</v>
      </c>
      <c r="E463" s="123" t="s">
        <v>978</v>
      </c>
      <c r="F463" s="13" t="s">
        <v>11</v>
      </c>
    </row>
    <row r="464" ht="18" customHeight="1" spans="1:6">
      <c r="A464" s="13" t="s">
        <v>855</v>
      </c>
      <c r="B464" s="13" t="s">
        <v>979</v>
      </c>
      <c r="C464" s="20" t="s">
        <v>980</v>
      </c>
      <c r="D464" s="6">
        <v>1</v>
      </c>
      <c r="E464" s="189" t="s">
        <v>981</v>
      </c>
      <c r="F464" s="13" t="s">
        <v>11</v>
      </c>
    </row>
    <row r="465" ht="18" customHeight="1" spans="1:6">
      <c r="A465" s="13" t="s">
        <v>855</v>
      </c>
      <c r="B465" s="13" t="s">
        <v>982</v>
      </c>
      <c r="C465" s="20" t="s">
        <v>983</v>
      </c>
      <c r="D465" s="6">
        <v>1</v>
      </c>
      <c r="E465" s="123" t="s">
        <v>984</v>
      </c>
      <c r="F465" s="13" t="s">
        <v>11</v>
      </c>
    </row>
    <row r="466" ht="18" customHeight="1" spans="1:6">
      <c r="A466" s="13" t="s">
        <v>855</v>
      </c>
      <c r="B466" s="13" t="s">
        <v>985</v>
      </c>
      <c r="C466" s="20" t="s">
        <v>986</v>
      </c>
      <c r="D466" s="6">
        <v>1</v>
      </c>
      <c r="E466" s="123" t="s">
        <v>987</v>
      </c>
      <c r="F466" s="13" t="s">
        <v>11</v>
      </c>
    </row>
    <row r="467" ht="18" customHeight="1" spans="1:6">
      <c r="A467" s="13" t="s">
        <v>855</v>
      </c>
      <c r="B467" s="13" t="s">
        <v>988</v>
      </c>
      <c r="C467" s="20" t="s">
        <v>989</v>
      </c>
      <c r="D467" s="6">
        <v>1</v>
      </c>
      <c r="E467" s="123" t="s">
        <v>990</v>
      </c>
      <c r="F467" s="13" t="s">
        <v>11</v>
      </c>
    </row>
    <row r="468" ht="18" customHeight="1" spans="1:6">
      <c r="A468" s="13" t="s">
        <v>855</v>
      </c>
      <c r="B468" s="13" t="s">
        <v>991</v>
      </c>
      <c r="C468" s="20" t="s">
        <v>992</v>
      </c>
      <c r="D468" s="6">
        <v>1</v>
      </c>
      <c r="E468" s="123" t="s">
        <v>993</v>
      </c>
      <c r="F468" s="13" t="s">
        <v>11</v>
      </c>
    </row>
    <row r="469" ht="18" customHeight="1" spans="1:6">
      <c r="A469" s="13" t="s">
        <v>855</v>
      </c>
      <c r="B469" s="13" t="s">
        <v>966</v>
      </c>
      <c r="C469" s="20" t="s">
        <v>994</v>
      </c>
      <c r="D469" s="13">
        <v>3</v>
      </c>
      <c r="E469" s="123" t="s">
        <v>995</v>
      </c>
      <c r="F469" s="13" t="s">
        <v>11</v>
      </c>
    </row>
    <row r="470" ht="18" customHeight="1" spans="1:6">
      <c r="A470" s="13" t="s">
        <v>855</v>
      </c>
      <c r="B470" s="13" t="s">
        <v>991</v>
      </c>
      <c r="C470" s="20" t="s">
        <v>996</v>
      </c>
      <c r="D470" s="5">
        <v>2</v>
      </c>
      <c r="E470" s="123" t="s">
        <v>997</v>
      </c>
      <c r="F470" s="13" t="s">
        <v>11</v>
      </c>
    </row>
    <row r="471" ht="18" customHeight="1" spans="1:6">
      <c r="A471" s="13" t="s">
        <v>855</v>
      </c>
      <c r="B471" s="13" t="s">
        <v>985</v>
      </c>
      <c r="C471" s="20" t="s">
        <v>998</v>
      </c>
      <c r="D471" s="5">
        <v>3</v>
      </c>
      <c r="E471" s="123" t="s">
        <v>999</v>
      </c>
      <c r="F471" s="13" t="s">
        <v>11</v>
      </c>
    </row>
    <row r="472" ht="18" customHeight="1" spans="1:6">
      <c r="A472" s="13" t="s">
        <v>855</v>
      </c>
      <c r="B472" s="13" t="s">
        <v>982</v>
      </c>
      <c r="C472" s="20" t="s">
        <v>1000</v>
      </c>
      <c r="D472" s="5">
        <v>2</v>
      </c>
      <c r="E472" s="123" t="s">
        <v>1001</v>
      </c>
      <c r="F472" s="13" t="s">
        <v>11</v>
      </c>
    </row>
    <row r="473" ht="18" customHeight="1" spans="1:6">
      <c r="A473" s="13" t="s">
        <v>855</v>
      </c>
      <c r="B473" s="13" t="s">
        <v>1002</v>
      </c>
      <c r="C473" s="20" t="s">
        <v>1003</v>
      </c>
      <c r="D473" s="6">
        <v>2</v>
      </c>
      <c r="E473" s="123" t="s">
        <v>1004</v>
      </c>
      <c r="F473" s="13" t="s">
        <v>11</v>
      </c>
    </row>
    <row r="474" ht="18" customHeight="1" spans="1:6">
      <c r="A474" s="13" t="s">
        <v>855</v>
      </c>
      <c r="B474" s="13" t="s">
        <v>1005</v>
      </c>
      <c r="C474" s="20" t="s">
        <v>1006</v>
      </c>
      <c r="D474" s="6">
        <v>3</v>
      </c>
      <c r="E474" s="123" t="s">
        <v>1007</v>
      </c>
      <c r="F474" s="13" t="s">
        <v>11</v>
      </c>
    </row>
    <row r="475" ht="18" customHeight="1" spans="1:6">
      <c r="A475" s="13" t="s">
        <v>855</v>
      </c>
      <c r="B475" s="13" t="s">
        <v>1008</v>
      </c>
      <c r="C475" s="20" t="s">
        <v>1009</v>
      </c>
      <c r="D475" s="6">
        <v>3</v>
      </c>
      <c r="E475" s="123" t="s">
        <v>1010</v>
      </c>
      <c r="F475" s="13" t="s">
        <v>11</v>
      </c>
    </row>
    <row r="476" ht="18" customHeight="1" spans="1:6">
      <c r="A476" s="13" t="s">
        <v>855</v>
      </c>
      <c r="B476" s="13" t="s">
        <v>1008</v>
      </c>
      <c r="C476" s="20" t="s">
        <v>1011</v>
      </c>
      <c r="D476" s="6">
        <v>4</v>
      </c>
      <c r="E476" s="123" t="s">
        <v>1012</v>
      </c>
      <c r="F476" s="13" t="s">
        <v>11</v>
      </c>
    </row>
    <row r="477" ht="18" customHeight="1" spans="1:6">
      <c r="A477" s="13" t="s">
        <v>855</v>
      </c>
      <c r="B477" s="13" t="s">
        <v>1008</v>
      </c>
      <c r="C477" s="20" t="s">
        <v>1013</v>
      </c>
      <c r="D477" s="6">
        <v>3</v>
      </c>
      <c r="E477" s="123" t="s">
        <v>1014</v>
      </c>
      <c r="F477" s="13" t="s">
        <v>11</v>
      </c>
    </row>
    <row r="478" ht="18" customHeight="1" spans="1:6">
      <c r="A478" s="13" t="s">
        <v>855</v>
      </c>
      <c r="B478" s="13" t="s">
        <v>985</v>
      </c>
      <c r="C478" s="20" t="s">
        <v>1015</v>
      </c>
      <c r="D478" s="6">
        <v>2</v>
      </c>
      <c r="E478" s="123" t="s">
        <v>1016</v>
      </c>
      <c r="F478" s="13" t="s">
        <v>11</v>
      </c>
    </row>
    <row r="479" ht="18" customHeight="1" spans="1:6">
      <c r="A479" s="13" t="s">
        <v>855</v>
      </c>
      <c r="B479" s="13" t="s">
        <v>1008</v>
      </c>
      <c r="C479" s="20" t="s">
        <v>1017</v>
      </c>
      <c r="D479" s="6">
        <v>3</v>
      </c>
      <c r="E479" s="123" t="s">
        <v>1018</v>
      </c>
      <c r="F479" s="13" t="s">
        <v>11</v>
      </c>
    </row>
    <row r="480" ht="18" customHeight="1" spans="1:6">
      <c r="A480" s="13" t="s">
        <v>855</v>
      </c>
      <c r="B480" s="13" t="s">
        <v>985</v>
      </c>
      <c r="C480" s="20" t="s">
        <v>1019</v>
      </c>
      <c r="D480" s="6">
        <v>2</v>
      </c>
      <c r="E480" s="123" t="s">
        <v>1020</v>
      </c>
      <c r="F480" s="13" t="s">
        <v>11</v>
      </c>
    </row>
    <row r="481" ht="18" customHeight="1" spans="1:6">
      <c r="A481" s="13" t="s">
        <v>855</v>
      </c>
      <c r="B481" s="13" t="s">
        <v>1021</v>
      </c>
      <c r="C481" s="20" t="s">
        <v>1022</v>
      </c>
      <c r="D481" s="6">
        <v>1</v>
      </c>
      <c r="E481" s="123" t="s">
        <v>1023</v>
      </c>
      <c r="F481" s="13" t="s">
        <v>11</v>
      </c>
    </row>
    <row r="482" ht="18" customHeight="1" spans="1:6">
      <c r="A482" s="13" t="s">
        <v>855</v>
      </c>
      <c r="B482" s="13" t="s">
        <v>1005</v>
      </c>
      <c r="C482" s="20" t="s">
        <v>1024</v>
      </c>
      <c r="D482" s="6">
        <v>1</v>
      </c>
      <c r="E482" s="123" t="s">
        <v>1025</v>
      </c>
      <c r="F482" s="13" t="s">
        <v>11</v>
      </c>
    </row>
    <row r="483" ht="18" customHeight="1" spans="1:6">
      <c r="A483" s="13" t="s">
        <v>855</v>
      </c>
      <c r="B483" s="13" t="s">
        <v>1021</v>
      </c>
      <c r="C483" s="20" t="s">
        <v>1026</v>
      </c>
      <c r="D483" s="6">
        <v>1</v>
      </c>
      <c r="E483" s="123" t="s">
        <v>1027</v>
      </c>
      <c r="F483" s="13" t="s">
        <v>11</v>
      </c>
    </row>
    <row r="484" ht="18" customHeight="1" spans="1:6">
      <c r="A484" s="13" t="s">
        <v>855</v>
      </c>
      <c r="B484" s="13" t="s">
        <v>1005</v>
      </c>
      <c r="C484" s="20" t="s">
        <v>1028</v>
      </c>
      <c r="D484" s="6">
        <v>1</v>
      </c>
      <c r="E484" s="123" t="s">
        <v>1029</v>
      </c>
      <c r="F484" s="13" t="s">
        <v>11</v>
      </c>
    </row>
    <row r="485" ht="18" customHeight="1" spans="1:6">
      <c r="A485" s="13" t="s">
        <v>855</v>
      </c>
      <c r="B485" s="13" t="s">
        <v>1002</v>
      </c>
      <c r="C485" s="20" t="s">
        <v>1030</v>
      </c>
      <c r="D485" s="6">
        <v>1</v>
      </c>
      <c r="E485" s="123" t="s">
        <v>1031</v>
      </c>
      <c r="F485" s="13" t="s">
        <v>11</v>
      </c>
    </row>
    <row r="486" ht="18" customHeight="1" spans="1:6">
      <c r="A486" s="13" t="s">
        <v>855</v>
      </c>
      <c r="B486" s="13" t="s">
        <v>985</v>
      </c>
      <c r="C486" s="20" t="s">
        <v>1032</v>
      </c>
      <c r="D486" s="6">
        <v>1</v>
      </c>
      <c r="E486" s="123" t="s">
        <v>1033</v>
      </c>
      <c r="F486" s="13" t="s">
        <v>11</v>
      </c>
    </row>
    <row r="487" ht="18" customHeight="1" spans="1:6">
      <c r="A487" s="13" t="s">
        <v>855</v>
      </c>
      <c r="B487" s="13" t="s">
        <v>1021</v>
      </c>
      <c r="C487" s="20" t="s">
        <v>1034</v>
      </c>
      <c r="D487" s="6">
        <v>1</v>
      </c>
      <c r="E487" s="123" t="s">
        <v>1035</v>
      </c>
      <c r="F487" s="13" t="s">
        <v>11</v>
      </c>
    </row>
    <row r="488" ht="18" customHeight="1" spans="1:6">
      <c r="A488" s="13" t="s">
        <v>855</v>
      </c>
      <c r="B488" s="13" t="s">
        <v>1008</v>
      </c>
      <c r="C488" s="20" t="s">
        <v>1036</v>
      </c>
      <c r="D488" s="6">
        <v>1</v>
      </c>
      <c r="E488" s="123" t="s">
        <v>1037</v>
      </c>
      <c r="F488" s="13" t="s">
        <v>11</v>
      </c>
    </row>
    <row r="489" ht="18" customHeight="1" spans="1:6">
      <c r="A489" s="13" t="s">
        <v>855</v>
      </c>
      <c r="B489" s="13" t="s">
        <v>1005</v>
      </c>
      <c r="C489" s="20" t="s">
        <v>1038</v>
      </c>
      <c r="D489" s="6">
        <v>1</v>
      </c>
      <c r="E489" s="123" t="s">
        <v>1039</v>
      </c>
      <c r="F489" s="13" t="s">
        <v>11</v>
      </c>
    </row>
    <row r="490" ht="18" customHeight="1" spans="1:6">
      <c r="A490" s="13" t="s">
        <v>855</v>
      </c>
      <c r="B490" s="13" t="s">
        <v>1002</v>
      </c>
      <c r="C490" s="20" t="s">
        <v>1040</v>
      </c>
      <c r="D490" s="13">
        <v>2</v>
      </c>
      <c r="E490" s="123" t="s">
        <v>1041</v>
      </c>
      <c r="F490" s="13" t="s">
        <v>11</v>
      </c>
    </row>
    <row r="491" ht="18" customHeight="1" spans="1:6">
      <c r="A491" s="13" t="s">
        <v>855</v>
      </c>
      <c r="B491" s="13" t="s">
        <v>1008</v>
      </c>
      <c r="C491" s="13" t="s">
        <v>1042</v>
      </c>
      <c r="D491" s="6">
        <v>4</v>
      </c>
      <c r="E491" s="189" t="s">
        <v>1043</v>
      </c>
      <c r="F491" s="13" t="s">
        <v>11</v>
      </c>
    </row>
    <row r="492" ht="18" customHeight="1" spans="1:6">
      <c r="A492" s="13" t="s">
        <v>855</v>
      </c>
      <c r="B492" s="13" t="s">
        <v>1002</v>
      </c>
      <c r="C492" s="13" t="s">
        <v>1044</v>
      </c>
      <c r="D492" s="6">
        <v>4</v>
      </c>
      <c r="E492" s="123" t="s">
        <v>1045</v>
      </c>
      <c r="F492" s="13" t="s">
        <v>11</v>
      </c>
    </row>
    <row r="493" ht="18" customHeight="1" spans="1:6">
      <c r="A493" s="13" t="s">
        <v>855</v>
      </c>
      <c r="B493" s="13" t="s">
        <v>1046</v>
      </c>
      <c r="C493" s="123" t="s">
        <v>983</v>
      </c>
      <c r="D493" s="6">
        <v>2</v>
      </c>
      <c r="E493" s="123" t="s">
        <v>1047</v>
      </c>
      <c r="F493" s="13" t="s">
        <v>11</v>
      </c>
    </row>
    <row r="494" ht="18" customHeight="1" spans="1:6">
      <c r="A494" s="13" t="s">
        <v>855</v>
      </c>
      <c r="B494" s="13" t="s">
        <v>982</v>
      </c>
      <c r="C494" s="20" t="s">
        <v>1048</v>
      </c>
      <c r="D494" s="6">
        <v>3</v>
      </c>
      <c r="E494" s="123" t="s">
        <v>1049</v>
      </c>
      <c r="F494" s="13" t="s">
        <v>11</v>
      </c>
    </row>
    <row r="495" ht="18" customHeight="1" spans="1:6">
      <c r="A495" s="13" t="s">
        <v>855</v>
      </c>
      <c r="B495" s="13" t="s">
        <v>1050</v>
      </c>
      <c r="C495" s="20" t="s">
        <v>1051</v>
      </c>
      <c r="D495" s="6">
        <v>3</v>
      </c>
      <c r="E495" s="123" t="s">
        <v>1052</v>
      </c>
      <c r="F495" s="13" t="s">
        <v>11</v>
      </c>
    </row>
    <row r="496" ht="18" customHeight="1" spans="1:6">
      <c r="A496" s="13" t="s">
        <v>855</v>
      </c>
      <c r="B496" s="13" t="s">
        <v>985</v>
      </c>
      <c r="C496" s="20" t="s">
        <v>1053</v>
      </c>
      <c r="D496" s="13">
        <v>3</v>
      </c>
      <c r="E496" s="123" t="s">
        <v>1054</v>
      </c>
      <c r="F496" s="13" t="s">
        <v>11</v>
      </c>
    </row>
    <row r="497" ht="18" customHeight="1" spans="1:6">
      <c r="A497" s="13" t="s">
        <v>855</v>
      </c>
      <c r="B497" s="13" t="s">
        <v>1055</v>
      </c>
      <c r="C497" s="20" t="s">
        <v>1056</v>
      </c>
      <c r="D497" s="13">
        <v>3</v>
      </c>
      <c r="E497" s="123" t="s">
        <v>1057</v>
      </c>
      <c r="F497" s="13" t="s">
        <v>11</v>
      </c>
    </row>
    <row r="498" ht="18" customHeight="1" spans="1:6">
      <c r="A498" s="13" t="s">
        <v>855</v>
      </c>
      <c r="B498" s="13" t="s">
        <v>1058</v>
      </c>
      <c r="C498" s="20" t="s">
        <v>1059</v>
      </c>
      <c r="D498" s="6">
        <v>4</v>
      </c>
      <c r="E498" s="123" t="s">
        <v>1060</v>
      </c>
      <c r="F498" s="13" t="s">
        <v>11</v>
      </c>
    </row>
    <row r="499" ht="18" customHeight="1" spans="1:6">
      <c r="A499" s="13" t="s">
        <v>855</v>
      </c>
      <c r="B499" s="13" t="s">
        <v>1061</v>
      </c>
      <c r="C499" s="10" t="s">
        <v>1062</v>
      </c>
      <c r="D499" s="10">
        <v>2</v>
      </c>
      <c r="E499" s="10" t="s">
        <v>1063</v>
      </c>
      <c r="F499" s="13" t="s">
        <v>11</v>
      </c>
    </row>
    <row r="500" ht="18" customHeight="1" spans="1:6">
      <c r="A500" s="13" t="s">
        <v>855</v>
      </c>
      <c r="B500" s="13" t="s">
        <v>1064</v>
      </c>
      <c r="C500" s="10" t="s">
        <v>1065</v>
      </c>
      <c r="D500" s="10">
        <v>3</v>
      </c>
      <c r="E500" s="10" t="s">
        <v>1066</v>
      </c>
      <c r="F500" s="13" t="s">
        <v>11</v>
      </c>
    </row>
    <row r="501" ht="18" customHeight="1" spans="1:6">
      <c r="A501" s="13" t="s">
        <v>855</v>
      </c>
      <c r="B501" s="5" t="s">
        <v>1067</v>
      </c>
      <c r="C501" s="14" t="s">
        <v>1068</v>
      </c>
      <c r="D501" s="5">
        <v>1</v>
      </c>
      <c r="E501" s="14" t="s">
        <v>1069</v>
      </c>
      <c r="F501" s="5" t="s">
        <v>11</v>
      </c>
    </row>
    <row r="502" ht="18" customHeight="1" spans="1:6">
      <c r="A502" s="13" t="s">
        <v>855</v>
      </c>
      <c r="B502" s="5" t="s">
        <v>1067</v>
      </c>
      <c r="C502" s="14" t="s">
        <v>1070</v>
      </c>
      <c r="D502" s="5">
        <v>2</v>
      </c>
      <c r="E502" s="14" t="s">
        <v>1071</v>
      </c>
      <c r="F502" s="5" t="s">
        <v>11</v>
      </c>
    </row>
    <row r="503" ht="18" customHeight="1" spans="1:6">
      <c r="A503" s="13" t="s">
        <v>855</v>
      </c>
      <c r="B503" s="5" t="s">
        <v>1067</v>
      </c>
      <c r="C503" s="14" t="s">
        <v>1072</v>
      </c>
      <c r="D503" s="5">
        <v>1</v>
      </c>
      <c r="E503" s="14" t="s">
        <v>1073</v>
      </c>
      <c r="F503" s="5" t="s">
        <v>11</v>
      </c>
    </row>
    <row r="504" ht="18" customHeight="1" spans="1:6">
      <c r="A504" s="13" t="s">
        <v>855</v>
      </c>
      <c r="B504" s="5" t="s">
        <v>1067</v>
      </c>
      <c r="C504" s="14" t="s">
        <v>1074</v>
      </c>
      <c r="D504" s="5">
        <v>1</v>
      </c>
      <c r="E504" s="14" t="s">
        <v>1075</v>
      </c>
      <c r="F504" s="5" t="s">
        <v>11</v>
      </c>
    </row>
    <row r="505" ht="18" customHeight="1" spans="1:6">
      <c r="A505" s="13" t="s">
        <v>855</v>
      </c>
      <c r="B505" s="5" t="s">
        <v>1067</v>
      </c>
      <c r="C505" s="14" t="s">
        <v>1076</v>
      </c>
      <c r="D505" s="5">
        <v>1</v>
      </c>
      <c r="E505" s="14" t="s">
        <v>1077</v>
      </c>
      <c r="F505" s="5" t="s">
        <v>11</v>
      </c>
    </row>
    <row r="506" ht="18" customHeight="1" spans="1:6">
      <c r="A506" s="13" t="s">
        <v>855</v>
      </c>
      <c r="B506" s="5" t="s">
        <v>1067</v>
      </c>
      <c r="C506" s="14" t="s">
        <v>1078</v>
      </c>
      <c r="D506" s="5">
        <v>2</v>
      </c>
      <c r="E506" s="14" t="s">
        <v>1079</v>
      </c>
      <c r="F506" s="5" t="s">
        <v>11</v>
      </c>
    </row>
    <row r="507" ht="18" customHeight="1" spans="1:6">
      <c r="A507" s="13" t="s">
        <v>855</v>
      </c>
      <c r="B507" s="5" t="s">
        <v>1067</v>
      </c>
      <c r="C507" s="14" t="s">
        <v>1080</v>
      </c>
      <c r="D507" s="5">
        <v>3</v>
      </c>
      <c r="E507" s="14" t="s">
        <v>1081</v>
      </c>
      <c r="F507" s="5" t="s">
        <v>11</v>
      </c>
    </row>
    <row r="508" ht="18" customHeight="1" spans="1:6">
      <c r="A508" s="13" t="s">
        <v>855</v>
      </c>
      <c r="B508" s="5" t="s">
        <v>1067</v>
      </c>
      <c r="C508" s="13" t="s">
        <v>1082</v>
      </c>
      <c r="D508" s="13">
        <v>3</v>
      </c>
      <c r="E508" s="179" t="s">
        <v>1083</v>
      </c>
      <c r="F508" s="13" t="s">
        <v>11</v>
      </c>
    </row>
    <row r="509" ht="18" customHeight="1" spans="1:6">
      <c r="A509" s="13" t="s">
        <v>855</v>
      </c>
      <c r="B509" s="13" t="s">
        <v>1084</v>
      </c>
      <c r="C509" s="24" t="s">
        <v>1085</v>
      </c>
      <c r="D509" s="5">
        <v>3</v>
      </c>
      <c r="E509" s="26" t="s">
        <v>1086</v>
      </c>
      <c r="F509" s="27" t="s">
        <v>11</v>
      </c>
    </row>
    <row r="510" ht="18" customHeight="1" spans="1:6">
      <c r="A510" s="13" t="s">
        <v>855</v>
      </c>
      <c r="B510" s="13" t="s">
        <v>1084</v>
      </c>
      <c r="C510" s="24" t="s">
        <v>1087</v>
      </c>
      <c r="D510" s="5">
        <v>4</v>
      </c>
      <c r="E510" s="26" t="s">
        <v>1088</v>
      </c>
      <c r="F510" s="27" t="s">
        <v>11</v>
      </c>
    </row>
    <row r="511" ht="18" customHeight="1" spans="1:6">
      <c r="A511" s="13" t="s">
        <v>855</v>
      </c>
      <c r="B511" s="13" t="s">
        <v>1084</v>
      </c>
      <c r="C511" s="27" t="s">
        <v>1089</v>
      </c>
      <c r="D511" s="5">
        <v>3</v>
      </c>
      <c r="E511" s="19" t="s">
        <v>1090</v>
      </c>
      <c r="F511" s="27" t="s">
        <v>11</v>
      </c>
    </row>
    <row r="512" ht="18" customHeight="1" spans="1:6">
      <c r="A512" s="13" t="s">
        <v>855</v>
      </c>
      <c r="B512" s="13" t="s">
        <v>1084</v>
      </c>
      <c r="C512" s="27" t="s">
        <v>1091</v>
      </c>
      <c r="D512" s="5">
        <v>2</v>
      </c>
      <c r="E512" s="19" t="s">
        <v>1092</v>
      </c>
      <c r="F512" s="27" t="s">
        <v>11</v>
      </c>
    </row>
    <row r="513" ht="18" customHeight="1" spans="1:6">
      <c r="A513" s="13" t="s">
        <v>855</v>
      </c>
      <c r="B513" s="13" t="s">
        <v>1084</v>
      </c>
      <c r="C513" s="24" t="s">
        <v>1093</v>
      </c>
      <c r="D513" s="5">
        <v>2</v>
      </c>
      <c r="E513" s="26" t="s">
        <v>1094</v>
      </c>
      <c r="F513" s="27" t="s">
        <v>11</v>
      </c>
    </row>
    <row r="514" ht="18" customHeight="1" spans="1:6">
      <c r="A514" s="13" t="s">
        <v>855</v>
      </c>
      <c r="B514" s="13" t="s">
        <v>1084</v>
      </c>
      <c r="C514" s="27" t="s">
        <v>1095</v>
      </c>
      <c r="D514" s="5">
        <v>3</v>
      </c>
      <c r="E514" s="19" t="s">
        <v>1096</v>
      </c>
      <c r="F514" s="27" t="s">
        <v>11</v>
      </c>
    </row>
    <row r="515" ht="18" customHeight="1" spans="1:6">
      <c r="A515" s="13" t="s">
        <v>855</v>
      </c>
      <c r="B515" s="13" t="s">
        <v>1084</v>
      </c>
      <c r="C515" s="24" t="s">
        <v>1097</v>
      </c>
      <c r="D515" s="5">
        <v>2</v>
      </c>
      <c r="E515" s="26" t="s">
        <v>1098</v>
      </c>
      <c r="F515" s="27" t="s">
        <v>11</v>
      </c>
    </row>
    <row r="516" ht="18" customHeight="1" spans="1:6">
      <c r="A516" s="13" t="s">
        <v>855</v>
      </c>
      <c r="B516" s="13" t="s">
        <v>1084</v>
      </c>
      <c r="C516" s="27" t="s">
        <v>1099</v>
      </c>
      <c r="D516" s="5">
        <v>3</v>
      </c>
      <c r="E516" s="19" t="s">
        <v>1100</v>
      </c>
      <c r="F516" s="27" t="s">
        <v>11</v>
      </c>
    </row>
    <row r="517" ht="18" customHeight="1" spans="1:6">
      <c r="A517" s="13" t="s">
        <v>855</v>
      </c>
      <c r="B517" s="13" t="s">
        <v>1084</v>
      </c>
      <c r="C517" s="24" t="s">
        <v>1101</v>
      </c>
      <c r="D517" s="5">
        <v>2</v>
      </c>
      <c r="E517" s="26" t="s">
        <v>1102</v>
      </c>
      <c r="F517" s="27" t="s">
        <v>11</v>
      </c>
    </row>
    <row r="518" ht="18" customHeight="1" spans="1:6">
      <c r="A518" s="13" t="s">
        <v>855</v>
      </c>
      <c r="B518" s="13" t="s">
        <v>1084</v>
      </c>
      <c r="C518" s="27" t="s">
        <v>1103</v>
      </c>
      <c r="D518" s="5">
        <v>3</v>
      </c>
      <c r="E518" s="19" t="s">
        <v>1104</v>
      </c>
      <c r="F518" s="27" t="s">
        <v>11</v>
      </c>
    </row>
    <row r="519" ht="18" customHeight="1" spans="1:6">
      <c r="A519" s="13" t="s">
        <v>855</v>
      </c>
      <c r="B519" s="13" t="s">
        <v>1084</v>
      </c>
      <c r="C519" s="24" t="s">
        <v>1105</v>
      </c>
      <c r="D519" s="5">
        <v>4</v>
      </c>
      <c r="E519" s="26" t="s">
        <v>1106</v>
      </c>
      <c r="F519" s="27" t="s">
        <v>11</v>
      </c>
    </row>
    <row r="520" ht="18" customHeight="1" spans="1:6">
      <c r="A520" s="13" t="s">
        <v>855</v>
      </c>
      <c r="B520" s="13" t="s">
        <v>1084</v>
      </c>
      <c r="C520" s="27" t="s">
        <v>1107</v>
      </c>
      <c r="D520" s="5">
        <v>4</v>
      </c>
      <c r="E520" s="19" t="s">
        <v>1108</v>
      </c>
      <c r="F520" s="27" t="s">
        <v>11</v>
      </c>
    </row>
    <row r="521" ht="18" customHeight="1" spans="1:6">
      <c r="A521" s="13" t="s">
        <v>855</v>
      </c>
      <c r="B521" s="13" t="s">
        <v>1084</v>
      </c>
      <c r="C521" s="24" t="s">
        <v>1109</v>
      </c>
      <c r="D521" s="5">
        <v>3</v>
      </c>
      <c r="E521" s="26" t="s">
        <v>1110</v>
      </c>
      <c r="F521" s="27" t="s">
        <v>11</v>
      </c>
    </row>
    <row r="522" ht="18" customHeight="1" spans="1:6">
      <c r="A522" s="13" t="s">
        <v>855</v>
      </c>
      <c r="B522" s="13" t="s">
        <v>1084</v>
      </c>
      <c r="C522" s="27" t="s">
        <v>1111</v>
      </c>
      <c r="D522" s="5">
        <v>2</v>
      </c>
      <c r="E522" s="19" t="s">
        <v>1112</v>
      </c>
      <c r="F522" s="27" t="s">
        <v>11</v>
      </c>
    </row>
    <row r="523" ht="18" customHeight="1" spans="1:6">
      <c r="A523" s="13" t="s">
        <v>855</v>
      </c>
      <c r="B523" s="13" t="s">
        <v>1084</v>
      </c>
      <c r="C523" s="27" t="s">
        <v>1113</v>
      </c>
      <c r="D523" s="5">
        <v>3</v>
      </c>
      <c r="E523" s="19" t="s">
        <v>1114</v>
      </c>
      <c r="F523" s="27" t="s">
        <v>11</v>
      </c>
    </row>
    <row r="524" ht="18" customHeight="1" spans="1:6">
      <c r="A524" s="13" t="s">
        <v>855</v>
      </c>
      <c r="B524" s="13" t="s">
        <v>1084</v>
      </c>
      <c r="C524" s="24" t="s">
        <v>1115</v>
      </c>
      <c r="D524" s="5">
        <v>2</v>
      </c>
      <c r="E524" s="26" t="s">
        <v>1116</v>
      </c>
      <c r="F524" s="27" t="s">
        <v>11</v>
      </c>
    </row>
    <row r="525" ht="18" customHeight="1" spans="1:6">
      <c r="A525" s="13" t="s">
        <v>855</v>
      </c>
      <c r="B525" s="13" t="s">
        <v>1084</v>
      </c>
      <c r="C525" s="27" t="s">
        <v>1117</v>
      </c>
      <c r="D525" s="5">
        <v>2</v>
      </c>
      <c r="E525" s="19" t="s">
        <v>1118</v>
      </c>
      <c r="F525" s="27" t="s">
        <v>11</v>
      </c>
    </row>
    <row r="526" ht="18" customHeight="1" spans="1:6">
      <c r="A526" s="13" t="s">
        <v>855</v>
      </c>
      <c r="B526" s="13" t="s">
        <v>1084</v>
      </c>
      <c r="C526" s="24" t="s">
        <v>1119</v>
      </c>
      <c r="D526" s="5">
        <v>2</v>
      </c>
      <c r="E526" s="26" t="s">
        <v>1120</v>
      </c>
      <c r="F526" s="27" t="s">
        <v>11</v>
      </c>
    </row>
    <row r="527" ht="18" customHeight="1" spans="1:6">
      <c r="A527" s="13" t="s">
        <v>855</v>
      </c>
      <c r="B527" s="13" t="s">
        <v>1084</v>
      </c>
      <c r="C527" s="24" t="s">
        <v>1121</v>
      </c>
      <c r="D527" s="5">
        <v>4</v>
      </c>
      <c r="E527" s="26" t="s">
        <v>1122</v>
      </c>
      <c r="F527" s="27" t="s">
        <v>11</v>
      </c>
    </row>
    <row r="528" ht="18" customHeight="1" spans="1:6">
      <c r="A528" s="13" t="s">
        <v>855</v>
      </c>
      <c r="B528" s="13" t="s">
        <v>1084</v>
      </c>
      <c r="C528" s="27" t="s">
        <v>1123</v>
      </c>
      <c r="D528" s="5">
        <v>2</v>
      </c>
      <c r="E528" s="19" t="s">
        <v>1124</v>
      </c>
      <c r="F528" s="27" t="s">
        <v>11</v>
      </c>
    </row>
    <row r="529" ht="18" customHeight="1" spans="1:6">
      <c r="A529" s="13" t="s">
        <v>855</v>
      </c>
      <c r="B529" s="13" t="s">
        <v>1084</v>
      </c>
      <c r="C529" s="24" t="s">
        <v>1125</v>
      </c>
      <c r="D529" s="5">
        <v>4</v>
      </c>
      <c r="E529" s="26" t="s">
        <v>1126</v>
      </c>
      <c r="F529" s="27" t="s">
        <v>11</v>
      </c>
    </row>
    <row r="530" ht="18" customHeight="1" spans="1:6">
      <c r="A530" s="13" t="s">
        <v>855</v>
      </c>
      <c r="B530" s="13" t="s">
        <v>1084</v>
      </c>
      <c r="C530" s="24" t="s">
        <v>1127</v>
      </c>
      <c r="D530" s="5">
        <v>3</v>
      </c>
      <c r="E530" s="26" t="s">
        <v>1128</v>
      </c>
      <c r="F530" s="27" t="s">
        <v>11</v>
      </c>
    </row>
    <row r="531" ht="18" customHeight="1" spans="1:6">
      <c r="A531" s="13" t="s">
        <v>855</v>
      </c>
      <c r="B531" s="13" t="s">
        <v>1084</v>
      </c>
      <c r="C531" s="24" t="s">
        <v>1129</v>
      </c>
      <c r="D531" s="5">
        <v>4</v>
      </c>
      <c r="E531" s="28" t="s">
        <v>1130</v>
      </c>
      <c r="F531" s="27" t="s">
        <v>11</v>
      </c>
    </row>
    <row r="532" ht="18" customHeight="1" spans="1:6">
      <c r="A532" s="13" t="s">
        <v>855</v>
      </c>
      <c r="B532" s="13" t="s">
        <v>1084</v>
      </c>
      <c r="C532" s="24" t="s">
        <v>1131</v>
      </c>
      <c r="D532" s="5">
        <v>2</v>
      </c>
      <c r="E532" s="28" t="s">
        <v>1132</v>
      </c>
      <c r="F532" s="27" t="s">
        <v>11</v>
      </c>
    </row>
    <row r="533" ht="18" customHeight="1" spans="1:6">
      <c r="A533" s="13" t="s">
        <v>855</v>
      </c>
      <c r="B533" s="13" t="s">
        <v>1084</v>
      </c>
      <c r="C533" s="24" t="s">
        <v>1133</v>
      </c>
      <c r="D533" s="5">
        <v>5</v>
      </c>
      <c r="E533" s="28" t="s">
        <v>1134</v>
      </c>
      <c r="F533" s="27" t="s">
        <v>11</v>
      </c>
    </row>
    <row r="534" ht="18" customHeight="1" spans="1:6">
      <c r="A534" s="13" t="s">
        <v>855</v>
      </c>
      <c r="B534" s="13" t="s">
        <v>1084</v>
      </c>
      <c r="C534" s="24" t="s">
        <v>1135</v>
      </c>
      <c r="D534" s="5">
        <v>3</v>
      </c>
      <c r="E534" s="28" t="s">
        <v>1136</v>
      </c>
      <c r="F534" s="27" t="s">
        <v>11</v>
      </c>
    </row>
    <row r="535" ht="18" customHeight="1" spans="1:6">
      <c r="A535" s="13" t="s">
        <v>855</v>
      </c>
      <c r="B535" s="13" t="s">
        <v>1084</v>
      </c>
      <c r="C535" s="24" t="s">
        <v>1137</v>
      </c>
      <c r="D535" s="5">
        <v>3</v>
      </c>
      <c r="E535" s="28" t="s">
        <v>1138</v>
      </c>
      <c r="F535" s="27" t="s">
        <v>11</v>
      </c>
    </row>
    <row r="536" ht="18" customHeight="1" spans="1:6">
      <c r="A536" s="13" t="s">
        <v>855</v>
      </c>
      <c r="B536" s="13" t="s">
        <v>1084</v>
      </c>
      <c r="C536" s="24" t="s">
        <v>1139</v>
      </c>
      <c r="D536" s="5">
        <v>4</v>
      </c>
      <c r="E536" s="26" t="s">
        <v>1140</v>
      </c>
      <c r="F536" s="27" t="s">
        <v>11</v>
      </c>
    </row>
    <row r="537" ht="18" customHeight="1" spans="1:6">
      <c r="A537" s="13" t="s">
        <v>855</v>
      </c>
      <c r="B537" s="13" t="s">
        <v>1084</v>
      </c>
      <c r="C537" s="24" t="s">
        <v>1141</v>
      </c>
      <c r="D537" s="5">
        <v>2</v>
      </c>
      <c r="E537" s="124" t="s">
        <v>1142</v>
      </c>
      <c r="F537" s="27" t="s">
        <v>11</v>
      </c>
    </row>
    <row r="538" ht="18" customHeight="1" spans="1:6">
      <c r="A538" s="13" t="s">
        <v>855</v>
      </c>
      <c r="B538" s="13" t="s">
        <v>1084</v>
      </c>
      <c r="C538" s="24" t="s">
        <v>1143</v>
      </c>
      <c r="D538" s="27">
        <v>5</v>
      </c>
      <c r="E538" s="119" t="s">
        <v>1144</v>
      </c>
      <c r="F538" s="13" t="s">
        <v>11</v>
      </c>
    </row>
    <row r="539" ht="18" customHeight="1" spans="1:6">
      <c r="A539" s="13" t="s">
        <v>855</v>
      </c>
      <c r="B539" s="13" t="s">
        <v>1084</v>
      </c>
      <c r="C539" s="27" t="s">
        <v>1145</v>
      </c>
      <c r="D539" s="27">
        <v>3</v>
      </c>
      <c r="E539" s="19" t="s">
        <v>1146</v>
      </c>
      <c r="F539" s="13" t="s">
        <v>11</v>
      </c>
    </row>
    <row r="540" ht="18" customHeight="1" spans="1:6">
      <c r="A540" s="13" t="s">
        <v>855</v>
      </c>
      <c r="B540" s="13" t="s">
        <v>1084</v>
      </c>
      <c r="C540" s="24" t="s">
        <v>1147</v>
      </c>
      <c r="D540" s="27">
        <v>4</v>
      </c>
      <c r="E540" s="26" t="s">
        <v>1148</v>
      </c>
      <c r="F540" s="13" t="s">
        <v>11</v>
      </c>
    </row>
    <row r="541" ht="18" customHeight="1" spans="1:6">
      <c r="A541" s="13" t="s">
        <v>855</v>
      </c>
      <c r="B541" s="13" t="s">
        <v>1084</v>
      </c>
      <c r="C541" s="27" t="s">
        <v>1149</v>
      </c>
      <c r="D541" s="27">
        <v>3</v>
      </c>
      <c r="E541" s="19" t="s">
        <v>1150</v>
      </c>
      <c r="F541" s="13" t="s">
        <v>11</v>
      </c>
    </row>
    <row r="542" ht="18" customHeight="1" spans="1:6">
      <c r="A542" s="13" t="s">
        <v>855</v>
      </c>
      <c r="B542" s="13" t="s">
        <v>1084</v>
      </c>
      <c r="C542" s="24" t="s">
        <v>1151</v>
      </c>
      <c r="D542" s="27">
        <v>4</v>
      </c>
      <c r="E542" s="26" t="s">
        <v>1152</v>
      </c>
      <c r="F542" s="13" t="s">
        <v>11</v>
      </c>
    </row>
    <row r="543" ht="18" customHeight="1" spans="1:6">
      <c r="A543" s="13" t="s">
        <v>855</v>
      </c>
      <c r="B543" s="13" t="s">
        <v>1084</v>
      </c>
      <c r="C543" s="27" t="s">
        <v>1153</v>
      </c>
      <c r="D543" s="27">
        <v>4</v>
      </c>
      <c r="E543" s="19" t="s">
        <v>1154</v>
      </c>
      <c r="F543" s="13" t="s">
        <v>11</v>
      </c>
    </row>
    <row r="544" ht="18" customHeight="1" spans="1:6">
      <c r="A544" s="13" t="s">
        <v>855</v>
      </c>
      <c r="B544" s="13" t="s">
        <v>1084</v>
      </c>
      <c r="C544" s="24" t="s">
        <v>1155</v>
      </c>
      <c r="D544" s="27">
        <v>3</v>
      </c>
      <c r="E544" s="19" t="s">
        <v>1156</v>
      </c>
      <c r="F544" s="13" t="s">
        <v>11</v>
      </c>
    </row>
    <row r="545" ht="18" customHeight="1" spans="1:6">
      <c r="A545" s="13" t="s">
        <v>855</v>
      </c>
      <c r="B545" s="13" t="s">
        <v>1084</v>
      </c>
      <c r="C545" s="27" t="s">
        <v>1157</v>
      </c>
      <c r="D545" s="27">
        <v>3</v>
      </c>
      <c r="E545" s="125" t="s">
        <v>1158</v>
      </c>
      <c r="F545" s="27" t="s">
        <v>11</v>
      </c>
    </row>
    <row r="546" ht="18" customHeight="1" spans="1:6">
      <c r="A546" s="13" t="s">
        <v>855</v>
      </c>
      <c r="B546" s="13" t="s">
        <v>1084</v>
      </c>
      <c r="C546" s="24" t="s">
        <v>1159</v>
      </c>
      <c r="D546" s="27">
        <v>3</v>
      </c>
      <c r="E546" s="119" t="s">
        <v>1160</v>
      </c>
      <c r="F546" s="27" t="s">
        <v>11</v>
      </c>
    </row>
    <row r="547" ht="18" customHeight="1" spans="1:6">
      <c r="A547" s="13" t="s">
        <v>855</v>
      </c>
      <c r="B547" s="13" t="s">
        <v>1084</v>
      </c>
      <c r="C547" s="25" t="s">
        <v>1161</v>
      </c>
      <c r="D547" s="27">
        <v>3</v>
      </c>
      <c r="E547" s="25" t="s">
        <v>1162</v>
      </c>
      <c r="F547" s="13" t="s">
        <v>11</v>
      </c>
    </row>
    <row r="548" ht="18" customHeight="1" spans="1:6">
      <c r="A548" s="13" t="s">
        <v>855</v>
      </c>
      <c r="B548" s="14" t="s">
        <v>1163</v>
      </c>
      <c r="C548" s="14" t="s">
        <v>1164</v>
      </c>
      <c r="D548" s="5">
        <v>1</v>
      </c>
      <c r="E548" s="14" t="s">
        <v>1165</v>
      </c>
      <c r="F548" s="13" t="s">
        <v>11</v>
      </c>
    </row>
    <row r="549" ht="18" customHeight="1" spans="1:6">
      <c r="A549" s="13" t="s">
        <v>855</v>
      </c>
      <c r="B549" s="14" t="s">
        <v>1166</v>
      </c>
      <c r="C549" s="14" t="s">
        <v>1167</v>
      </c>
      <c r="D549" s="5">
        <v>3</v>
      </c>
      <c r="E549" s="14" t="s">
        <v>1168</v>
      </c>
      <c r="F549" s="13" t="s">
        <v>11</v>
      </c>
    </row>
    <row r="550" ht="18" customHeight="1" spans="1:6">
      <c r="A550" s="13" t="s">
        <v>855</v>
      </c>
      <c r="B550" s="14" t="s">
        <v>1166</v>
      </c>
      <c r="C550" s="14" t="s">
        <v>1169</v>
      </c>
      <c r="D550" s="5">
        <v>2</v>
      </c>
      <c r="E550" s="14" t="s">
        <v>1170</v>
      </c>
      <c r="F550" s="13" t="s">
        <v>11</v>
      </c>
    </row>
    <row r="551" ht="18" customHeight="1" spans="1:6">
      <c r="A551" s="13" t="s">
        <v>855</v>
      </c>
      <c r="B551" s="14" t="s">
        <v>1166</v>
      </c>
      <c r="C551" s="14" t="s">
        <v>1171</v>
      </c>
      <c r="D551" s="5">
        <v>2</v>
      </c>
      <c r="E551" s="14" t="s">
        <v>1172</v>
      </c>
      <c r="F551" s="13" t="s">
        <v>11</v>
      </c>
    </row>
    <row r="552" ht="18" customHeight="1" spans="1:6">
      <c r="A552" s="13" t="s">
        <v>855</v>
      </c>
      <c r="B552" s="14" t="s">
        <v>1166</v>
      </c>
      <c r="C552" s="14" t="s">
        <v>1173</v>
      </c>
      <c r="D552" s="5">
        <v>3</v>
      </c>
      <c r="E552" s="14" t="s">
        <v>1174</v>
      </c>
      <c r="F552" s="13" t="s">
        <v>11</v>
      </c>
    </row>
    <row r="553" ht="18" customHeight="1" spans="1:6">
      <c r="A553" s="13" t="s">
        <v>855</v>
      </c>
      <c r="B553" s="14" t="s">
        <v>1166</v>
      </c>
      <c r="C553" s="14" t="s">
        <v>1175</v>
      </c>
      <c r="D553" s="5">
        <v>3</v>
      </c>
      <c r="E553" s="14" t="s">
        <v>1176</v>
      </c>
      <c r="F553" s="13" t="s">
        <v>11</v>
      </c>
    </row>
    <row r="554" ht="18" customHeight="1" spans="1:6">
      <c r="A554" s="13" t="s">
        <v>855</v>
      </c>
      <c r="B554" s="14" t="s">
        <v>1177</v>
      </c>
      <c r="C554" s="14" t="s">
        <v>1178</v>
      </c>
      <c r="D554" s="5">
        <v>4</v>
      </c>
      <c r="E554" s="14" t="s">
        <v>1179</v>
      </c>
      <c r="F554" s="13" t="s">
        <v>11</v>
      </c>
    </row>
    <row r="555" ht="18" customHeight="1" spans="1:6">
      <c r="A555" s="13" t="s">
        <v>855</v>
      </c>
      <c r="B555" s="14" t="s">
        <v>1177</v>
      </c>
      <c r="C555" s="14" t="s">
        <v>1180</v>
      </c>
      <c r="D555" s="5">
        <v>3</v>
      </c>
      <c r="E555" s="14" t="s">
        <v>1181</v>
      </c>
      <c r="F555" s="13" t="s">
        <v>11</v>
      </c>
    </row>
    <row r="556" ht="18" customHeight="1" spans="1:6">
      <c r="A556" s="13" t="s">
        <v>855</v>
      </c>
      <c r="B556" s="14" t="s">
        <v>1177</v>
      </c>
      <c r="C556" s="14" t="s">
        <v>1182</v>
      </c>
      <c r="D556" s="5">
        <v>1</v>
      </c>
      <c r="E556" s="14" t="s">
        <v>1183</v>
      </c>
      <c r="F556" s="13" t="s">
        <v>11</v>
      </c>
    </row>
    <row r="557" ht="18" customHeight="1" spans="1:6">
      <c r="A557" s="13" t="s">
        <v>855</v>
      </c>
      <c r="B557" s="14" t="s">
        <v>1177</v>
      </c>
      <c r="C557" s="14" t="s">
        <v>1184</v>
      </c>
      <c r="D557" s="5">
        <v>5</v>
      </c>
      <c r="E557" s="14" t="s">
        <v>1185</v>
      </c>
      <c r="F557" s="13" t="s">
        <v>11</v>
      </c>
    </row>
    <row r="558" ht="18" customHeight="1" spans="1:6">
      <c r="A558" s="13" t="s">
        <v>855</v>
      </c>
      <c r="B558" s="14" t="s">
        <v>1177</v>
      </c>
      <c r="C558" s="14" t="s">
        <v>1186</v>
      </c>
      <c r="D558" s="5">
        <v>3</v>
      </c>
      <c r="E558" s="14" t="s">
        <v>1187</v>
      </c>
      <c r="F558" s="13" t="s">
        <v>11</v>
      </c>
    </row>
    <row r="559" ht="18" customHeight="1" spans="1:6">
      <c r="A559" s="13" t="s">
        <v>855</v>
      </c>
      <c r="B559" s="14" t="s">
        <v>1166</v>
      </c>
      <c r="C559" s="14" t="s">
        <v>1188</v>
      </c>
      <c r="D559" s="5">
        <v>3</v>
      </c>
      <c r="E559" s="14" t="s">
        <v>1189</v>
      </c>
      <c r="F559" s="13" t="s">
        <v>11</v>
      </c>
    </row>
    <row r="560" ht="18" customHeight="1" spans="1:6">
      <c r="A560" s="13" t="s">
        <v>855</v>
      </c>
      <c r="B560" s="14" t="s">
        <v>1177</v>
      </c>
      <c r="C560" s="14" t="s">
        <v>1190</v>
      </c>
      <c r="D560" s="5">
        <v>4</v>
      </c>
      <c r="E560" s="14" t="s">
        <v>1191</v>
      </c>
      <c r="F560" s="13" t="s">
        <v>11</v>
      </c>
    </row>
    <row r="561" ht="18" customHeight="1" spans="1:6">
      <c r="A561" s="13" t="s">
        <v>855</v>
      </c>
      <c r="B561" s="14" t="s">
        <v>1163</v>
      </c>
      <c r="C561" s="14" t="s">
        <v>1192</v>
      </c>
      <c r="D561" s="5">
        <v>5</v>
      </c>
      <c r="E561" s="14" t="s">
        <v>1193</v>
      </c>
      <c r="F561" s="13" t="s">
        <v>11</v>
      </c>
    </row>
    <row r="562" ht="18" customHeight="1" spans="1:6">
      <c r="A562" s="13" t="s">
        <v>855</v>
      </c>
      <c r="B562" s="14" t="s">
        <v>1163</v>
      </c>
      <c r="C562" s="14" t="s">
        <v>1194</v>
      </c>
      <c r="D562" s="5">
        <v>2</v>
      </c>
      <c r="E562" s="14" t="s">
        <v>1195</v>
      </c>
      <c r="F562" s="13" t="s">
        <v>11</v>
      </c>
    </row>
    <row r="563" ht="18" customHeight="1" spans="1:6">
      <c r="A563" s="13" t="s">
        <v>855</v>
      </c>
      <c r="B563" s="14" t="s">
        <v>1196</v>
      </c>
      <c r="C563" s="14" t="s">
        <v>1197</v>
      </c>
      <c r="D563" s="5">
        <v>3</v>
      </c>
      <c r="E563" s="14" t="s">
        <v>1198</v>
      </c>
      <c r="F563" s="13" t="s">
        <v>11</v>
      </c>
    </row>
    <row r="564" ht="18" customHeight="1" spans="1:6">
      <c r="A564" s="13" t="s">
        <v>855</v>
      </c>
      <c r="B564" s="14" t="s">
        <v>1196</v>
      </c>
      <c r="C564" s="14" t="s">
        <v>1199</v>
      </c>
      <c r="D564" s="5">
        <v>2</v>
      </c>
      <c r="E564" s="14" t="s">
        <v>1200</v>
      </c>
      <c r="F564" s="13" t="s">
        <v>11</v>
      </c>
    </row>
    <row r="565" ht="18" customHeight="1" spans="1:6">
      <c r="A565" s="13" t="s">
        <v>855</v>
      </c>
      <c r="B565" s="14" t="s">
        <v>1201</v>
      </c>
      <c r="C565" s="14" t="s">
        <v>1202</v>
      </c>
      <c r="D565" s="5">
        <v>2</v>
      </c>
      <c r="E565" s="14" t="s">
        <v>1203</v>
      </c>
      <c r="F565" s="13" t="s">
        <v>11</v>
      </c>
    </row>
    <row r="566" ht="18" customHeight="1" spans="1:6">
      <c r="A566" s="13" t="s">
        <v>855</v>
      </c>
      <c r="B566" s="14" t="s">
        <v>1201</v>
      </c>
      <c r="C566" s="14" t="s">
        <v>1204</v>
      </c>
      <c r="D566" s="5">
        <v>5</v>
      </c>
      <c r="E566" s="14" t="s">
        <v>1205</v>
      </c>
      <c r="F566" s="13" t="s">
        <v>11</v>
      </c>
    </row>
    <row r="567" ht="18" customHeight="1" spans="1:6">
      <c r="A567" s="13" t="s">
        <v>855</v>
      </c>
      <c r="B567" s="14" t="s">
        <v>1196</v>
      </c>
      <c r="C567" s="14" t="s">
        <v>1206</v>
      </c>
      <c r="D567" s="5">
        <v>3</v>
      </c>
      <c r="E567" s="14" t="s">
        <v>1207</v>
      </c>
      <c r="F567" s="13" t="s">
        <v>11</v>
      </c>
    </row>
    <row r="568" ht="18" customHeight="1" spans="1:6">
      <c r="A568" s="13" t="s">
        <v>855</v>
      </c>
      <c r="B568" s="14" t="s">
        <v>1196</v>
      </c>
      <c r="C568" s="14" t="s">
        <v>1208</v>
      </c>
      <c r="D568" s="5">
        <v>2</v>
      </c>
      <c r="E568" s="14" t="s">
        <v>1209</v>
      </c>
      <c r="F568" s="13" t="s">
        <v>11</v>
      </c>
    </row>
    <row r="569" ht="18" customHeight="1" spans="1:6">
      <c r="A569" s="13" t="s">
        <v>855</v>
      </c>
      <c r="B569" s="14" t="s">
        <v>1196</v>
      </c>
      <c r="C569" s="14" t="s">
        <v>1210</v>
      </c>
      <c r="D569" s="5">
        <v>4</v>
      </c>
      <c r="E569" s="14" t="s">
        <v>1211</v>
      </c>
      <c r="F569" s="13" t="s">
        <v>11</v>
      </c>
    </row>
    <row r="570" ht="18" customHeight="1" spans="1:6">
      <c r="A570" s="13" t="s">
        <v>855</v>
      </c>
      <c r="B570" s="14" t="s">
        <v>1196</v>
      </c>
      <c r="C570" s="14" t="s">
        <v>1212</v>
      </c>
      <c r="D570" s="5">
        <v>4</v>
      </c>
      <c r="E570" s="14" t="s">
        <v>1213</v>
      </c>
      <c r="F570" s="13" t="s">
        <v>11</v>
      </c>
    </row>
    <row r="571" ht="18" customHeight="1" spans="1:6">
      <c r="A571" s="13" t="s">
        <v>855</v>
      </c>
      <c r="B571" s="14" t="s">
        <v>1196</v>
      </c>
      <c r="C571" s="14" t="s">
        <v>1214</v>
      </c>
      <c r="D571" s="5">
        <v>2</v>
      </c>
      <c r="E571" s="14" t="s">
        <v>1215</v>
      </c>
      <c r="F571" s="13" t="s">
        <v>11</v>
      </c>
    </row>
    <row r="572" ht="18" customHeight="1" spans="1:6">
      <c r="A572" s="13" t="s">
        <v>855</v>
      </c>
      <c r="B572" s="14" t="s">
        <v>1196</v>
      </c>
      <c r="C572" s="14" t="s">
        <v>1216</v>
      </c>
      <c r="D572" s="5">
        <v>1</v>
      </c>
      <c r="E572" s="14" t="s">
        <v>1217</v>
      </c>
      <c r="F572" s="13" t="s">
        <v>11</v>
      </c>
    </row>
    <row r="573" ht="18" customHeight="1" spans="1:6">
      <c r="A573" s="13" t="s">
        <v>855</v>
      </c>
      <c r="B573" s="14" t="s">
        <v>1196</v>
      </c>
      <c r="C573" s="14" t="s">
        <v>1218</v>
      </c>
      <c r="D573" s="5">
        <v>3</v>
      </c>
      <c r="E573" s="14" t="s">
        <v>1219</v>
      </c>
      <c r="F573" s="13" t="s">
        <v>11</v>
      </c>
    </row>
    <row r="574" ht="18" customHeight="1" spans="1:6">
      <c r="A574" s="13" t="s">
        <v>855</v>
      </c>
      <c r="B574" s="14" t="s">
        <v>1196</v>
      </c>
      <c r="C574" s="14" t="s">
        <v>1220</v>
      </c>
      <c r="D574" s="5">
        <v>6</v>
      </c>
      <c r="E574" s="14" t="s">
        <v>1221</v>
      </c>
      <c r="F574" s="13" t="s">
        <v>11</v>
      </c>
    </row>
    <row r="575" ht="18" customHeight="1" spans="1:6">
      <c r="A575" s="13" t="s">
        <v>855</v>
      </c>
      <c r="B575" s="14" t="s">
        <v>1196</v>
      </c>
      <c r="C575" s="14" t="s">
        <v>1222</v>
      </c>
      <c r="D575" s="5">
        <v>2</v>
      </c>
      <c r="E575" s="14" t="s">
        <v>1223</v>
      </c>
      <c r="F575" s="13" t="s">
        <v>11</v>
      </c>
    </row>
    <row r="576" ht="18" customHeight="1" spans="1:6">
      <c r="A576" s="13" t="s">
        <v>855</v>
      </c>
      <c r="B576" s="14" t="s">
        <v>1224</v>
      </c>
      <c r="C576" s="14" t="s">
        <v>1225</v>
      </c>
      <c r="D576" s="5">
        <v>1</v>
      </c>
      <c r="E576" s="14" t="s">
        <v>1226</v>
      </c>
      <c r="F576" s="13" t="s">
        <v>11</v>
      </c>
    </row>
    <row r="577" ht="18" customHeight="1" spans="1:6">
      <c r="A577" s="13" t="s">
        <v>855</v>
      </c>
      <c r="B577" s="14" t="s">
        <v>1224</v>
      </c>
      <c r="C577" s="14" t="s">
        <v>1227</v>
      </c>
      <c r="D577" s="5">
        <v>5</v>
      </c>
      <c r="E577" s="14" t="s">
        <v>1228</v>
      </c>
      <c r="F577" s="13" t="s">
        <v>11</v>
      </c>
    </row>
    <row r="578" ht="18" customHeight="1" spans="1:6">
      <c r="A578" s="13" t="s">
        <v>855</v>
      </c>
      <c r="B578" s="14" t="s">
        <v>1224</v>
      </c>
      <c r="C578" s="14" t="s">
        <v>1229</v>
      </c>
      <c r="D578" s="5">
        <v>2</v>
      </c>
      <c r="E578" s="14" t="s">
        <v>1230</v>
      </c>
      <c r="F578" s="13" t="s">
        <v>11</v>
      </c>
    </row>
    <row r="579" ht="18" customHeight="1" spans="1:6">
      <c r="A579" s="13" t="s">
        <v>855</v>
      </c>
      <c r="B579" s="14" t="s">
        <v>1166</v>
      </c>
      <c r="C579" s="14" t="s">
        <v>1231</v>
      </c>
      <c r="D579" s="5">
        <v>2</v>
      </c>
      <c r="E579" s="14" t="s">
        <v>1232</v>
      </c>
      <c r="F579" s="13" t="s">
        <v>11</v>
      </c>
    </row>
    <row r="580" ht="18" customHeight="1" spans="1:6">
      <c r="A580" s="13" t="s">
        <v>855</v>
      </c>
      <c r="B580" s="14" t="s">
        <v>1166</v>
      </c>
      <c r="C580" s="14" t="s">
        <v>1233</v>
      </c>
      <c r="D580" s="5">
        <v>2</v>
      </c>
      <c r="E580" s="14" t="s">
        <v>1234</v>
      </c>
      <c r="F580" s="13" t="s">
        <v>11</v>
      </c>
    </row>
    <row r="581" ht="18" customHeight="1" spans="1:6">
      <c r="A581" s="13" t="s">
        <v>855</v>
      </c>
      <c r="B581" s="14" t="s">
        <v>1166</v>
      </c>
      <c r="C581" s="14" t="s">
        <v>1235</v>
      </c>
      <c r="D581" s="5">
        <v>3</v>
      </c>
      <c r="E581" s="14" t="s">
        <v>1236</v>
      </c>
      <c r="F581" s="13" t="s">
        <v>11</v>
      </c>
    </row>
    <row r="582" ht="18" customHeight="1" spans="1:6">
      <c r="A582" s="13" t="s">
        <v>855</v>
      </c>
      <c r="B582" s="14" t="s">
        <v>1166</v>
      </c>
      <c r="C582" s="14" t="s">
        <v>1237</v>
      </c>
      <c r="D582" s="5">
        <v>2</v>
      </c>
      <c r="E582" s="14" t="s">
        <v>1238</v>
      </c>
      <c r="F582" s="13" t="s">
        <v>11</v>
      </c>
    </row>
    <row r="583" ht="18" customHeight="1" spans="1:6">
      <c r="A583" s="13" t="s">
        <v>855</v>
      </c>
      <c r="B583" s="14" t="s">
        <v>1166</v>
      </c>
      <c r="C583" s="14" t="s">
        <v>1239</v>
      </c>
      <c r="D583" s="5">
        <v>3</v>
      </c>
      <c r="E583" s="14" t="s">
        <v>1240</v>
      </c>
      <c r="F583" s="13" t="s">
        <v>11</v>
      </c>
    </row>
    <row r="584" ht="18" customHeight="1" spans="1:6">
      <c r="A584" s="13" t="s">
        <v>855</v>
      </c>
      <c r="B584" s="14" t="s">
        <v>1196</v>
      </c>
      <c r="C584" s="14" t="s">
        <v>1241</v>
      </c>
      <c r="D584" s="5">
        <v>4</v>
      </c>
      <c r="E584" s="14" t="s">
        <v>1242</v>
      </c>
      <c r="F584" s="13" t="s">
        <v>11</v>
      </c>
    </row>
    <row r="585" ht="18" customHeight="1" spans="1:6">
      <c r="A585" s="13" t="s">
        <v>855</v>
      </c>
      <c r="B585" s="14" t="s">
        <v>1196</v>
      </c>
      <c r="C585" s="14" t="s">
        <v>1243</v>
      </c>
      <c r="D585" s="5">
        <v>2</v>
      </c>
      <c r="E585" s="14" t="s">
        <v>1244</v>
      </c>
      <c r="F585" s="13" t="s">
        <v>11</v>
      </c>
    </row>
    <row r="586" ht="18" customHeight="1" spans="1:6">
      <c r="A586" s="13" t="s">
        <v>855</v>
      </c>
      <c r="B586" s="14" t="s">
        <v>1196</v>
      </c>
      <c r="C586" s="14" t="s">
        <v>1245</v>
      </c>
      <c r="D586" s="5">
        <v>3</v>
      </c>
      <c r="E586" s="14" t="s">
        <v>1246</v>
      </c>
      <c r="F586" s="13" t="s">
        <v>11</v>
      </c>
    </row>
    <row r="587" ht="18" customHeight="1" spans="1:6">
      <c r="A587" s="13" t="s">
        <v>855</v>
      </c>
      <c r="B587" s="14" t="s">
        <v>1163</v>
      </c>
      <c r="C587" s="14" t="s">
        <v>1247</v>
      </c>
      <c r="D587" s="5">
        <v>4</v>
      </c>
      <c r="E587" s="14" t="s">
        <v>1248</v>
      </c>
      <c r="F587" s="13" t="s">
        <v>11</v>
      </c>
    </row>
    <row r="588" ht="18" customHeight="1" spans="1:6">
      <c r="A588" s="13" t="s">
        <v>855</v>
      </c>
      <c r="B588" s="14" t="s">
        <v>1163</v>
      </c>
      <c r="C588" s="14" t="s">
        <v>1249</v>
      </c>
      <c r="D588" s="5">
        <v>3</v>
      </c>
      <c r="E588" s="14" t="s">
        <v>1250</v>
      </c>
      <c r="F588" s="13" t="s">
        <v>11</v>
      </c>
    </row>
    <row r="589" ht="18" customHeight="1" spans="1:6">
      <c r="A589" s="13" t="s">
        <v>855</v>
      </c>
      <c r="B589" s="14" t="s">
        <v>1251</v>
      </c>
      <c r="C589" s="14" t="s">
        <v>1252</v>
      </c>
      <c r="D589" s="5">
        <v>4</v>
      </c>
      <c r="E589" s="14" t="s">
        <v>1253</v>
      </c>
      <c r="F589" s="13" t="s">
        <v>11</v>
      </c>
    </row>
    <row r="590" ht="18" customHeight="1" spans="1:6">
      <c r="A590" s="13" t="s">
        <v>855</v>
      </c>
      <c r="B590" s="14" t="s">
        <v>1196</v>
      </c>
      <c r="C590" s="14" t="s">
        <v>1254</v>
      </c>
      <c r="D590" s="5">
        <v>4</v>
      </c>
      <c r="E590" s="14" t="s">
        <v>1255</v>
      </c>
      <c r="F590" s="13" t="s">
        <v>11</v>
      </c>
    </row>
    <row r="591" ht="18" customHeight="1" spans="1:6">
      <c r="A591" s="13" t="s">
        <v>1256</v>
      </c>
      <c r="B591" s="13"/>
      <c r="C591" s="13">
        <v>193</v>
      </c>
      <c r="D591" s="13">
        <v>531</v>
      </c>
      <c r="E591" s="13"/>
      <c r="F591" s="13"/>
    </row>
    <row r="592" ht="18" customHeight="1" spans="1:6">
      <c r="A592" s="13" t="s">
        <v>1257</v>
      </c>
      <c r="B592" s="13" t="s">
        <v>1258</v>
      </c>
      <c r="C592" s="5" t="s">
        <v>1259</v>
      </c>
      <c r="D592" s="5">
        <v>3</v>
      </c>
      <c r="E592" s="5" t="s">
        <v>1260</v>
      </c>
      <c r="F592" s="13" t="s">
        <v>11</v>
      </c>
    </row>
    <row r="593" ht="18" customHeight="1" spans="1:6">
      <c r="A593" s="13" t="s">
        <v>1257</v>
      </c>
      <c r="B593" s="13" t="s">
        <v>1258</v>
      </c>
      <c r="C593" s="5" t="s">
        <v>1261</v>
      </c>
      <c r="D593" s="5">
        <v>3</v>
      </c>
      <c r="E593" s="5" t="s">
        <v>1262</v>
      </c>
      <c r="F593" s="13" t="s">
        <v>11</v>
      </c>
    </row>
    <row r="594" ht="18" customHeight="1" spans="1:6">
      <c r="A594" s="13" t="s">
        <v>1257</v>
      </c>
      <c r="B594" s="13" t="s">
        <v>1258</v>
      </c>
      <c r="C594" s="5" t="s">
        <v>1263</v>
      </c>
      <c r="D594" s="5">
        <v>3</v>
      </c>
      <c r="E594" s="5" t="s">
        <v>1264</v>
      </c>
      <c r="F594" s="13" t="s">
        <v>11</v>
      </c>
    </row>
    <row r="595" ht="18" customHeight="1" spans="1:6">
      <c r="A595" s="13" t="s">
        <v>1257</v>
      </c>
      <c r="B595" s="13" t="s">
        <v>1258</v>
      </c>
      <c r="C595" s="5" t="s">
        <v>1265</v>
      </c>
      <c r="D595" s="5">
        <v>1</v>
      </c>
      <c r="E595" s="5" t="s">
        <v>1266</v>
      </c>
      <c r="F595" s="13" t="s">
        <v>11</v>
      </c>
    </row>
    <row r="596" ht="18" customHeight="1" spans="1:6">
      <c r="A596" s="13" t="s">
        <v>1257</v>
      </c>
      <c r="B596" s="13" t="s">
        <v>1258</v>
      </c>
      <c r="C596" s="126" t="s">
        <v>1267</v>
      </c>
      <c r="D596" s="126">
        <v>2</v>
      </c>
      <c r="E596" s="126" t="s">
        <v>1268</v>
      </c>
      <c r="F596" s="13" t="s">
        <v>11</v>
      </c>
    </row>
    <row r="597" ht="18" customHeight="1" spans="1:6">
      <c r="A597" s="13" t="s">
        <v>1257</v>
      </c>
      <c r="B597" s="13" t="s">
        <v>1258</v>
      </c>
      <c r="C597" s="126" t="s">
        <v>1269</v>
      </c>
      <c r="D597" s="126">
        <v>2</v>
      </c>
      <c r="E597" s="126" t="s">
        <v>1270</v>
      </c>
      <c r="F597" s="13" t="s">
        <v>11</v>
      </c>
    </row>
    <row r="598" ht="18" customHeight="1" spans="1:6">
      <c r="A598" s="13" t="s">
        <v>1257</v>
      </c>
      <c r="B598" s="13" t="s">
        <v>1258</v>
      </c>
      <c r="C598" s="13" t="s">
        <v>1271</v>
      </c>
      <c r="D598" s="13">
        <v>1</v>
      </c>
      <c r="E598" s="126" t="s">
        <v>1272</v>
      </c>
      <c r="F598" s="13" t="s">
        <v>11</v>
      </c>
    </row>
    <row r="599" ht="18" customHeight="1" spans="1:6">
      <c r="A599" s="13" t="s">
        <v>1257</v>
      </c>
      <c r="B599" s="13" t="s">
        <v>1258</v>
      </c>
      <c r="C599" s="8" t="s">
        <v>1273</v>
      </c>
      <c r="D599" s="10">
        <v>4</v>
      </c>
      <c r="E599" s="126" t="s">
        <v>1274</v>
      </c>
      <c r="F599" s="13" t="s">
        <v>11</v>
      </c>
    </row>
    <row r="600" ht="18" customHeight="1" spans="1:6">
      <c r="A600" s="13" t="s">
        <v>1257</v>
      </c>
      <c r="B600" s="13" t="s">
        <v>1258</v>
      </c>
      <c r="C600" s="8" t="s">
        <v>1275</v>
      </c>
      <c r="D600" s="10">
        <v>2</v>
      </c>
      <c r="E600" s="190" t="s">
        <v>1276</v>
      </c>
      <c r="F600" s="13" t="s">
        <v>11</v>
      </c>
    </row>
    <row r="601" ht="18" customHeight="1" spans="1:6">
      <c r="A601" s="13" t="s">
        <v>1257</v>
      </c>
      <c r="B601" s="13" t="s">
        <v>1277</v>
      </c>
      <c r="C601" s="13" t="s">
        <v>1278</v>
      </c>
      <c r="D601" s="13">
        <v>2</v>
      </c>
      <c r="E601" s="5" t="str">
        <f>LEFT("42262619640122195X",19)</f>
        <v>42262619640122195X</v>
      </c>
      <c r="F601" s="13" t="s">
        <v>11</v>
      </c>
    </row>
    <row r="602" ht="18" customHeight="1" spans="1:6">
      <c r="A602" s="13" t="s">
        <v>1257</v>
      </c>
      <c r="B602" s="13" t="s">
        <v>1279</v>
      </c>
      <c r="C602" s="13" t="s">
        <v>1280</v>
      </c>
      <c r="D602" s="13">
        <v>2</v>
      </c>
      <c r="E602" s="10" t="s">
        <v>1281</v>
      </c>
      <c r="F602" s="13" t="s">
        <v>11</v>
      </c>
    </row>
    <row r="603" ht="18" customHeight="1" spans="1:6">
      <c r="A603" s="13" t="s">
        <v>1257</v>
      </c>
      <c r="B603" s="13" t="s">
        <v>1277</v>
      </c>
      <c r="C603" s="13" t="s">
        <v>1282</v>
      </c>
      <c r="D603" s="13">
        <v>1</v>
      </c>
      <c r="E603" s="10" t="s">
        <v>1283</v>
      </c>
      <c r="F603" s="13" t="s">
        <v>11</v>
      </c>
    </row>
    <row r="604" ht="18" customHeight="1" spans="1:6">
      <c r="A604" s="13" t="s">
        <v>1257</v>
      </c>
      <c r="B604" s="13" t="s">
        <v>1284</v>
      </c>
      <c r="C604" s="13" t="s">
        <v>1285</v>
      </c>
      <c r="D604" s="13">
        <v>1</v>
      </c>
      <c r="E604" s="10" t="s">
        <v>1286</v>
      </c>
      <c r="F604" s="13" t="s">
        <v>11</v>
      </c>
    </row>
    <row r="605" ht="18" customHeight="1" spans="1:6">
      <c r="A605" s="13" t="s">
        <v>1257</v>
      </c>
      <c r="B605" s="13" t="s">
        <v>1284</v>
      </c>
      <c r="C605" s="13" t="s">
        <v>1287</v>
      </c>
      <c r="D605" s="13">
        <v>1</v>
      </c>
      <c r="E605" s="10" t="s">
        <v>1288</v>
      </c>
      <c r="F605" s="13" t="s">
        <v>11</v>
      </c>
    </row>
    <row r="606" ht="18" customHeight="1" spans="1:6">
      <c r="A606" s="13" t="s">
        <v>1257</v>
      </c>
      <c r="B606" s="13" t="s">
        <v>1277</v>
      </c>
      <c r="C606" s="13" t="s">
        <v>1289</v>
      </c>
      <c r="D606" s="13">
        <v>1</v>
      </c>
      <c r="E606" s="10" t="s">
        <v>1290</v>
      </c>
      <c r="F606" s="13" t="s">
        <v>11</v>
      </c>
    </row>
    <row r="607" ht="18" customHeight="1" spans="1:6">
      <c r="A607" s="13" t="s">
        <v>1257</v>
      </c>
      <c r="B607" s="13" t="s">
        <v>1284</v>
      </c>
      <c r="C607" s="13" t="s">
        <v>1291</v>
      </c>
      <c r="D607" s="13">
        <v>1</v>
      </c>
      <c r="E607" s="10" t="s">
        <v>1292</v>
      </c>
      <c r="F607" s="13" t="s">
        <v>11</v>
      </c>
    </row>
    <row r="608" ht="18" customHeight="1" spans="1:6">
      <c r="A608" s="13" t="s">
        <v>1257</v>
      </c>
      <c r="B608" s="13" t="s">
        <v>1284</v>
      </c>
      <c r="C608" s="13" t="s">
        <v>1293</v>
      </c>
      <c r="D608" s="13">
        <v>1</v>
      </c>
      <c r="E608" s="10" t="s">
        <v>1294</v>
      </c>
      <c r="F608" s="13" t="s">
        <v>11</v>
      </c>
    </row>
    <row r="609" ht="18" customHeight="1" spans="1:6">
      <c r="A609" s="13" t="s">
        <v>1257</v>
      </c>
      <c r="B609" s="13" t="s">
        <v>1295</v>
      </c>
      <c r="C609" s="13" t="s">
        <v>1296</v>
      </c>
      <c r="D609" s="13">
        <v>1</v>
      </c>
      <c r="E609" s="187" t="s">
        <v>1297</v>
      </c>
      <c r="F609" s="13" t="s">
        <v>11</v>
      </c>
    </row>
    <row r="610" ht="18" customHeight="1" spans="1:6">
      <c r="A610" s="13" t="s">
        <v>1257</v>
      </c>
      <c r="B610" s="13" t="s">
        <v>1298</v>
      </c>
      <c r="C610" s="13" t="s">
        <v>1299</v>
      </c>
      <c r="D610" s="13">
        <v>1</v>
      </c>
      <c r="E610" s="10" t="s">
        <v>1300</v>
      </c>
      <c r="F610" s="13" t="s">
        <v>11</v>
      </c>
    </row>
    <row r="611" ht="18" customHeight="1" spans="1:6">
      <c r="A611" s="13" t="s">
        <v>1257</v>
      </c>
      <c r="B611" s="13" t="s">
        <v>1295</v>
      </c>
      <c r="C611" s="13" t="s">
        <v>1301</v>
      </c>
      <c r="D611" s="13">
        <v>1</v>
      </c>
      <c r="E611" s="10" t="s">
        <v>1302</v>
      </c>
      <c r="F611" s="13" t="s">
        <v>11</v>
      </c>
    </row>
    <row r="612" ht="18" customHeight="1" spans="1:6">
      <c r="A612" s="13" t="s">
        <v>1257</v>
      </c>
      <c r="B612" s="13" t="s">
        <v>1295</v>
      </c>
      <c r="C612" s="13" t="s">
        <v>1303</v>
      </c>
      <c r="D612" s="13">
        <v>1</v>
      </c>
      <c r="E612" s="10" t="s">
        <v>1304</v>
      </c>
      <c r="F612" s="13" t="s">
        <v>11</v>
      </c>
    </row>
    <row r="613" ht="18" customHeight="1" spans="1:6">
      <c r="A613" s="13" t="s">
        <v>1257</v>
      </c>
      <c r="B613" s="13" t="s">
        <v>1284</v>
      </c>
      <c r="C613" s="13" t="s">
        <v>1305</v>
      </c>
      <c r="D613" s="13">
        <v>2</v>
      </c>
      <c r="E613" s="10" t="s">
        <v>1306</v>
      </c>
      <c r="F613" s="13" t="s">
        <v>11</v>
      </c>
    </row>
    <row r="614" ht="18" customHeight="1" spans="1:6">
      <c r="A614" s="13" t="s">
        <v>1257</v>
      </c>
      <c r="B614" s="13" t="s">
        <v>1284</v>
      </c>
      <c r="C614" s="13" t="s">
        <v>1307</v>
      </c>
      <c r="D614" s="13">
        <v>3</v>
      </c>
      <c r="E614" s="10" t="s">
        <v>1308</v>
      </c>
      <c r="F614" s="13" t="s">
        <v>11</v>
      </c>
    </row>
    <row r="615" ht="18" customHeight="1" spans="1:6">
      <c r="A615" s="13" t="s">
        <v>1257</v>
      </c>
      <c r="B615" s="13" t="s">
        <v>1309</v>
      </c>
      <c r="C615" s="13" t="s">
        <v>1310</v>
      </c>
      <c r="D615" s="13">
        <v>4</v>
      </c>
      <c r="E615" s="13" t="s">
        <v>1311</v>
      </c>
      <c r="F615" s="13" t="s">
        <v>11</v>
      </c>
    </row>
    <row r="616" ht="18" customHeight="1" spans="1:6">
      <c r="A616" s="13" t="s">
        <v>1257</v>
      </c>
      <c r="B616" s="13" t="s">
        <v>1309</v>
      </c>
      <c r="C616" s="13" t="s">
        <v>1312</v>
      </c>
      <c r="D616" s="13">
        <v>3</v>
      </c>
      <c r="E616" s="178" t="s">
        <v>1313</v>
      </c>
      <c r="F616" s="13" t="s">
        <v>11</v>
      </c>
    </row>
    <row r="617" ht="18" customHeight="1" spans="1:6">
      <c r="A617" s="13" t="s">
        <v>1257</v>
      </c>
      <c r="B617" s="13" t="s">
        <v>1309</v>
      </c>
      <c r="C617" s="13" t="s">
        <v>1314</v>
      </c>
      <c r="D617" s="13">
        <v>3</v>
      </c>
      <c r="E617" s="178" t="s">
        <v>1315</v>
      </c>
      <c r="F617" s="13" t="s">
        <v>11</v>
      </c>
    </row>
    <row r="618" ht="18" customHeight="1" spans="1:6">
      <c r="A618" s="13" t="s">
        <v>1257</v>
      </c>
      <c r="B618" s="13" t="s">
        <v>1309</v>
      </c>
      <c r="C618" s="5" t="s">
        <v>1316</v>
      </c>
      <c r="D618" s="5">
        <v>2</v>
      </c>
      <c r="E618" s="178" t="s">
        <v>1317</v>
      </c>
      <c r="F618" s="13" t="s">
        <v>11</v>
      </c>
    </row>
    <row r="619" ht="18" customHeight="1" spans="1:6">
      <c r="A619" s="13" t="s">
        <v>1257</v>
      </c>
      <c r="B619" s="13" t="s">
        <v>1318</v>
      </c>
      <c r="C619" s="13" t="s">
        <v>1319</v>
      </c>
      <c r="D619" s="13">
        <v>2</v>
      </c>
      <c r="E619" s="179" t="s">
        <v>1320</v>
      </c>
      <c r="F619" s="13" t="s">
        <v>11</v>
      </c>
    </row>
    <row r="620" ht="18" customHeight="1" spans="1:6">
      <c r="A620" s="13" t="s">
        <v>1257</v>
      </c>
      <c r="B620" s="13" t="s">
        <v>1318</v>
      </c>
      <c r="C620" s="13" t="s">
        <v>1321</v>
      </c>
      <c r="D620" s="13">
        <v>2</v>
      </c>
      <c r="E620" s="179" t="s">
        <v>1322</v>
      </c>
      <c r="F620" s="13" t="s">
        <v>11</v>
      </c>
    </row>
    <row r="621" ht="18" customHeight="1" spans="1:6">
      <c r="A621" s="13" t="s">
        <v>1257</v>
      </c>
      <c r="B621" s="13" t="s">
        <v>1318</v>
      </c>
      <c r="C621" s="13" t="s">
        <v>1323</v>
      </c>
      <c r="D621" s="13">
        <v>3</v>
      </c>
      <c r="E621" s="179" t="s">
        <v>1324</v>
      </c>
      <c r="F621" s="13" t="s">
        <v>11</v>
      </c>
    </row>
    <row r="622" ht="18" customHeight="1" spans="1:6">
      <c r="A622" s="13" t="s">
        <v>1257</v>
      </c>
      <c r="B622" s="13" t="s">
        <v>1325</v>
      </c>
      <c r="C622" s="13" t="s">
        <v>1326</v>
      </c>
      <c r="D622" s="13">
        <v>2</v>
      </c>
      <c r="E622" s="179" t="s">
        <v>1327</v>
      </c>
      <c r="F622" s="13" t="s">
        <v>11</v>
      </c>
    </row>
    <row r="623" ht="18" customHeight="1" spans="1:6">
      <c r="A623" s="13" t="s">
        <v>1257</v>
      </c>
      <c r="B623" s="13" t="s">
        <v>1328</v>
      </c>
      <c r="C623" s="13" t="s">
        <v>1329</v>
      </c>
      <c r="D623" s="13">
        <v>1</v>
      </c>
      <c r="E623" s="13" t="s">
        <v>1330</v>
      </c>
      <c r="F623" s="13" t="s">
        <v>11</v>
      </c>
    </row>
    <row r="624" ht="18" customHeight="1" spans="1:6">
      <c r="A624" s="13" t="s">
        <v>1257</v>
      </c>
      <c r="B624" s="13" t="s">
        <v>1331</v>
      </c>
      <c r="C624" s="13" t="s">
        <v>1332</v>
      </c>
      <c r="D624" s="13">
        <v>1</v>
      </c>
      <c r="E624" s="10" t="s">
        <v>1333</v>
      </c>
      <c r="F624" s="13" t="s">
        <v>11</v>
      </c>
    </row>
    <row r="625" ht="18" customHeight="1" spans="1:6">
      <c r="A625" s="13" t="s">
        <v>1257</v>
      </c>
      <c r="B625" s="13" t="s">
        <v>1331</v>
      </c>
      <c r="C625" s="13" t="s">
        <v>1334</v>
      </c>
      <c r="D625" s="13">
        <v>2</v>
      </c>
      <c r="E625" s="10" t="s">
        <v>1335</v>
      </c>
      <c r="F625" s="13" t="s">
        <v>11</v>
      </c>
    </row>
    <row r="626" ht="18" customHeight="1" spans="1:6">
      <c r="A626" s="13" t="s">
        <v>1257</v>
      </c>
      <c r="B626" s="127" t="s">
        <v>1336</v>
      </c>
      <c r="C626" s="38" t="s">
        <v>1337</v>
      </c>
      <c r="D626" s="128">
        <v>3</v>
      </c>
      <c r="E626" s="129" t="s">
        <v>1338</v>
      </c>
      <c r="F626" s="13" t="s">
        <v>11</v>
      </c>
    </row>
    <row r="627" ht="18" customHeight="1" spans="1:6">
      <c r="A627" s="13" t="s">
        <v>1257</v>
      </c>
      <c r="B627" s="127" t="s">
        <v>1339</v>
      </c>
      <c r="C627" s="38" t="s">
        <v>1340</v>
      </c>
      <c r="D627" s="128">
        <v>4</v>
      </c>
      <c r="E627" s="129" t="s">
        <v>1341</v>
      </c>
      <c r="F627" s="13" t="s">
        <v>11</v>
      </c>
    </row>
    <row r="628" ht="18" customHeight="1" spans="1:6">
      <c r="A628" s="13" t="s">
        <v>1257</v>
      </c>
      <c r="B628" s="127" t="s">
        <v>1342</v>
      </c>
      <c r="C628" s="38" t="s">
        <v>1343</v>
      </c>
      <c r="D628" s="128">
        <v>4</v>
      </c>
      <c r="E628" s="129" t="s">
        <v>1344</v>
      </c>
      <c r="F628" s="13" t="s">
        <v>11</v>
      </c>
    </row>
    <row r="629" ht="18" customHeight="1" spans="1:6">
      <c r="A629" s="13" t="s">
        <v>1257</v>
      </c>
      <c r="B629" s="127" t="s">
        <v>1336</v>
      </c>
      <c r="C629" s="38" t="s">
        <v>1345</v>
      </c>
      <c r="D629" s="128">
        <v>4</v>
      </c>
      <c r="E629" s="129" t="s">
        <v>1346</v>
      </c>
      <c r="F629" s="13" t="s">
        <v>11</v>
      </c>
    </row>
    <row r="630" ht="18" customHeight="1" spans="1:6">
      <c r="A630" s="13" t="s">
        <v>1257</v>
      </c>
      <c r="B630" s="127" t="s">
        <v>1347</v>
      </c>
      <c r="C630" s="38" t="s">
        <v>1348</v>
      </c>
      <c r="D630" s="128">
        <v>3</v>
      </c>
      <c r="E630" s="129" t="s">
        <v>1349</v>
      </c>
      <c r="F630" s="13" t="s">
        <v>11</v>
      </c>
    </row>
    <row r="631" ht="18" customHeight="1" spans="1:6">
      <c r="A631" s="13" t="s">
        <v>1257</v>
      </c>
      <c r="B631" s="127" t="s">
        <v>1350</v>
      </c>
      <c r="C631" s="38" t="s">
        <v>1351</v>
      </c>
      <c r="D631" s="128">
        <v>3</v>
      </c>
      <c r="E631" s="129" t="s">
        <v>1352</v>
      </c>
      <c r="F631" s="13" t="s">
        <v>11</v>
      </c>
    </row>
    <row r="632" ht="18" customHeight="1" spans="1:6">
      <c r="A632" s="13" t="s">
        <v>1257</v>
      </c>
      <c r="B632" s="127" t="s">
        <v>1339</v>
      </c>
      <c r="C632" s="38" t="s">
        <v>1353</v>
      </c>
      <c r="D632" s="128">
        <v>2</v>
      </c>
      <c r="E632" s="129" t="s">
        <v>1354</v>
      </c>
      <c r="F632" s="13" t="s">
        <v>11</v>
      </c>
    </row>
    <row r="633" ht="18" customHeight="1" spans="1:6">
      <c r="A633" s="13" t="s">
        <v>1257</v>
      </c>
      <c r="B633" s="127" t="s">
        <v>1350</v>
      </c>
      <c r="C633" s="38" t="s">
        <v>1355</v>
      </c>
      <c r="D633" s="128">
        <v>4</v>
      </c>
      <c r="E633" s="129" t="s">
        <v>1356</v>
      </c>
      <c r="F633" s="13" t="s">
        <v>11</v>
      </c>
    </row>
    <row r="634" ht="18" customHeight="1" spans="1:6">
      <c r="A634" s="13" t="s">
        <v>1257</v>
      </c>
      <c r="B634" s="127" t="s">
        <v>1336</v>
      </c>
      <c r="C634" s="130" t="s">
        <v>1357</v>
      </c>
      <c r="D634" s="131">
        <v>2</v>
      </c>
      <c r="E634" s="132" t="s">
        <v>1358</v>
      </c>
      <c r="F634" s="13" t="s">
        <v>11</v>
      </c>
    </row>
    <row r="635" ht="18" customHeight="1" spans="1:6">
      <c r="A635" s="13" t="s">
        <v>1257</v>
      </c>
      <c r="B635" s="133" t="s">
        <v>1336</v>
      </c>
      <c r="C635" s="133" t="s">
        <v>1359</v>
      </c>
      <c r="D635" s="134">
        <v>4</v>
      </c>
      <c r="E635" s="25" t="s">
        <v>1360</v>
      </c>
      <c r="F635" s="13" t="s">
        <v>11</v>
      </c>
    </row>
    <row r="636" ht="18" customHeight="1" spans="1:6">
      <c r="A636" s="13" t="s">
        <v>1257</v>
      </c>
      <c r="B636" s="13" t="s">
        <v>1361</v>
      </c>
      <c r="C636" s="6" t="s">
        <v>1362</v>
      </c>
      <c r="D636" s="6">
        <v>3</v>
      </c>
      <c r="E636" s="13" t="s">
        <v>1363</v>
      </c>
      <c r="F636" s="6" t="s">
        <v>11</v>
      </c>
    </row>
    <row r="637" ht="18" customHeight="1" spans="1:6">
      <c r="A637" s="13" t="s">
        <v>1257</v>
      </c>
      <c r="B637" s="13" t="s">
        <v>1361</v>
      </c>
      <c r="C637" s="6" t="s">
        <v>1364</v>
      </c>
      <c r="D637" s="6">
        <v>2</v>
      </c>
      <c r="E637" s="13" t="s">
        <v>1365</v>
      </c>
      <c r="F637" s="13" t="s">
        <v>11</v>
      </c>
    </row>
    <row r="638" ht="18" customHeight="1" spans="1:6">
      <c r="A638" s="13" t="s">
        <v>1257</v>
      </c>
      <c r="B638" s="13" t="s">
        <v>1361</v>
      </c>
      <c r="C638" s="6" t="s">
        <v>1366</v>
      </c>
      <c r="D638" s="6">
        <v>2</v>
      </c>
      <c r="E638" s="13" t="s">
        <v>1367</v>
      </c>
      <c r="F638" s="13" t="s">
        <v>11</v>
      </c>
    </row>
    <row r="639" ht="18" customHeight="1" spans="1:6">
      <c r="A639" s="13" t="s">
        <v>1257</v>
      </c>
      <c r="B639" s="13" t="s">
        <v>1361</v>
      </c>
      <c r="C639" s="13" t="s">
        <v>1368</v>
      </c>
      <c r="D639" s="6">
        <v>1</v>
      </c>
      <c r="E639" s="13" t="s">
        <v>1369</v>
      </c>
      <c r="F639" s="6" t="s">
        <v>11</v>
      </c>
    </row>
    <row r="640" ht="18" customHeight="1" spans="1:6">
      <c r="A640" s="13" t="s">
        <v>1257</v>
      </c>
      <c r="B640" s="13" t="s">
        <v>1361</v>
      </c>
      <c r="C640" s="13" t="s">
        <v>1370</v>
      </c>
      <c r="D640" s="13">
        <v>3</v>
      </c>
      <c r="E640" s="179" t="s">
        <v>1371</v>
      </c>
      <c r="F640" s="13" t="s">
        <v>11</v>
      </c>
    </row>
    <row r="641" ht="18" customHeight="1" spans="1:6">
      <c r="A641" s="13" t="s">
        <v>1257</v>
      </c>
      <c r="B641" s="13" t="s">
        <v>1361</v>
      </c>
      <c r="C641" s="13" t="s">
        <v>1372</v>
      </c>
      <c r="D641" s="13">
        <v>2</v>
      </c>
      <c r="E641" s="13" t="s">
        <v>1373</v>
      </c>
      <c r="F641" s="13" t="s">
        <v>11</v>
      </c>
    </row>
    <row r="642" ht="18" customHeight="1" spans="1:6">
      <c r="A642" s="13" t="s">
        <v>1257</v>
      </c>
      <c r="B642" s="13" t="s">
        <v>1361</v>
      </c>
      <c r="C642" s="13" t="s">
        <v>1374</v>
      </c>
      <c r="D642" s="13">
        <v>2</v>
      </c>
      <c r="E642" s="13" t="s">
        <v>1375</v>
      </c>
      <c r="F642" s="13" t="s">
        <v>11</v>
      </c>
    </row>
    <row r="643" ht="18" customHeight="1" spans="1:6">
      <c r="A643" s="13" t="s">
        <v>1257</v>
      </c>
      <c r="B643" s="13" t="s">
        <v>1361</v>
      </c>
      <c r="C643" s="13" t="s">
        <v>1376</v>
      </c>
      <c r="D643" s="13">
        <v>7</v>
      </c>
      <c r="E643" s="13" t="s">
        <v>1377</v>
      </c>
      <c r="F643" s="13" t="s">
        <v>11</v>
      </c>
    </row>
    <row r="644" ht="18" customHeight="1" spans="1:6">
      <c r="A644" s="13" t="s">
        <v>1257</v>
      </c>
      <c r="B644" s="13" t="s">
        <v>1361</v>
      </c>
      <c r="C644" s="13" t="s">
        <v>1378</v>
      </c>
      <c r="D644" s="13">
        <v>5</v>
      </c>
      <c r="E644" s="13" t="s">
        <v>1379</v>
      </c>
      <c r="F644" s="13" t="s">
        <v>11</v>
      </c>
    </row>
    <row r="645" ht="18" customHeight="1" spans="1:6">
      <c r="A645" s="13" t="s">
        <v>1257</v>
      </c>
      <c r="B645" s="13" t="s">
        <v>1361</v>
      </c>
      <c r="C645" s="13" t="s">
        <v>1380</v>
      </c>
      <c r="D645" s="13">
        <v>3</v>
      </c>
      <c r="E645" s="13" t="s">
        <v>1381</v>
      </c>
      <c r="F645" s="13" t="s">
        <v>11</v>
      </c>
    </row>
    <row r="646" ht="18" customHeight="1" spans="1:6">
      <c r="A646" s="13" t="s">
        <v>1257</v>
      </c>
      <c r="B646" s="13" t="s">
        <v>1361</v>
      </c>
      <c r="C646" s="13" t="s">
        <v>1382</v>
      </c>
      <c r="D646" s="13">
        <v>4</v>
      </c>
      <c r="E646" s="13" t="s">
        <v>1383</v>
      </c>
      <c r="F646" s="13" t="s">
        <v>11</v>
      </c>
    </row>
    <row r="647" ht="18" customHeight="1" spans="1:6">
      <c r="A647" s="13" t="s">
        <v>1257</v>
      </c>
      <c r="B647" s="13" t="s">
        <v>1361</v>
      </c>
      <c r="C647" s="13" t="s">
        <v>1384</v>
      </c>
      <c r="D647" s="13">
        <v>4</v>
      </c>
      <c r="E647" s="13" t="s">
        <v>1385</v>
      </c>
      <c r="F647" s="13" t="s">
        <v>11</v>
      </c>
    </row>
    <row r="648" ht="18" customHeight="1" spans="1:6">
      <c r="A648" s="13" t="s">
        <v>1257</v>
      </c>
      <c r="B648" s="13" t="s">
        <v>1361</v>
      </c>
      <c r="C648" s="13" t="s">
        <v>1386</v>
      </c>
      <c r="D648" s="13">
        <v>2</v>
      </c>
      <c r="E648" s="13" t="s">
        <v>1387</v>
      </c>
      <c r="F648" s="13" t="s">
        <v>11</v>
      </c>
    </row>
    <row r="649" ht="18" customHeight="1" spans="1:6">
      <c r="A649" s="13" t="s">
        <v>1257</v>
      </c>
      <c r="B649" s="13" t="s">
        <v>1361</v>
      </c>
      <c r="C649" s="13" t="s">
        <v>1388</v>
      </c>
      <c r="D649" s="13">
        <v>5</v>
      </c>
      <c r="E649" s="13" t="s">
        <v>1389</v>
      </c>
      <c r="F649" s="13" t="s">
        <v>11</v>
      </c>
    </row>
    <row r="650" ht="18" customHeight="1" spans="1:6">
      <c r="A650" s="13" t="s">
        <v>1257</v>
      </c>
      <c r="B650" s="13" t="s">
        <v>1361</v>
      </c>
      <c r="C650" s="13" t="s">
        <v>1390</v>
      </c>
      <c r="D650" s="13">
        <v>2</v>
      </c>
      <c r="E650" s="13" t="s">
        <v>1391</v>
      </c>
      <c r="F650" s="13" t="s">
        <v>11</v>
      </c>
    </row>
    <row r="651" ht="18" customHeight="1" spans="1:6">
      <c r="A651" s="13" t="s">
        <v>1257</v>
      </c>
      <c r="B651" s="13" t="s">
        <v>1361</v>
      </c>
      <c r="C651" s="13" t="s">
        <v>1392</v>
      </c>
      <c r="D651" s="13">
        <v>2</v>
      </c>
      <c r="E651" s="13" t="s">
        <v>1393</v>
      </c>
      <c r="F651" s="13" t="s">
        <v>11</v>
      </c>
    </row>
    <row r="652" ht="18" customHeight="1" spans="1:6">
      <c r="A652" s="13" t="s">
        <v>1257</v>
      </c>
      <c r="B652" s="13" t="s">
        <v>1361</v>
      </c>
      <c r="C652" s="13" t="s">
        <v>1394</v>
      </c>
      <c r="D652" s="13">
        <v>2</v>
      </c>
      <c r="E652" s="13" t="s">
        <v>1395</v>
      </c>
      <c r="F652" s="13" t="s">
        <v>11</v>
      </c>
    </row>
    <row r="653" ht="18" customHeight="1" spans="1:6">
      <c r="A653" s="13" t="s">
        <v>1257</v>
      </c>
      <c r="B653" s="13" t="s">
        <v>1361</v>
      </c>
      <c r="C653" s="13" t="s">
        <v>1396</v>
      </c>
      <c r="D653" s="13">
        <v>1</v>
      </c>
      <c r="E653" s="13" t="s">
        <v>1397</v>
      </c>
      <c r="F653" s="13" t="s">
        <v>11</v>
      </c>
    </row>
    <row r="654" ht="18" customHeight="1" spans="1:6">
      <c r="A654" s="13" t="s">
        <v>1257</v>
      </c>
      <c r="B654" s="13" t="s">
        <v>1361</v>
      </c>
      <c r="C654" s="13" t="s">
        <v>1398</v>
      </c>
      <c r="D654" s="13">
        <v>1</v>
      </c>
      <c r="E654" s="13" t="s">
        <v>1399</v>
      </c>
      <c r="F654" s="13" t="s">
        <v>11</v>
      </c>
    </row>
    <row r="655" ht="18" customHeight="1" spans="1:6">
      <c r="A655" s="13" t="s">
        <v>1257</v>
      </c>
      <c r="B655" s="13" t="s">
        <v>1361</v>
      </c>
      <c r="C655" s="13" t="s">
        <v>1400</v>
      </c>
      <c r="D655" s="13">
        <v>4</v>
      </c>
      <c r="E655" s="13" t="s">
        <v>1401</v>
      </c>
      <c r="F655" s="13" t="s">
        <v>11</v>
      </c>
    </row>
    <row r="656" ht="18" customHeight="1" spans="1:6">
      <c r="A656" s="13" t="s">
        <v>1257</v>
      </c>
      <c r="B656" s="13" t="s">
        <v>1361</v>
      </c>
      <c r="C656" s="13" t="s">
        <v>1402</v>
      </c>
      <c r="D656" s="13">
        <v>5</v>
      </c>
      <c r="E656" s="13" t="s">
        <v>1403</v>
      </c>
      <c r="F656" s="13" t="s">
        <v>11</v>
      </c>
    </row>
    <row r="657" ht="18" customHeight="1" spans="1:6">
      <c r="A657" s="13" t="s">
        <v>1257</v>
      </c>
      <c r="B657" s="13" t="s">
        <v>1361</v>
      </c>
      <c r="C657" s="13" t="s">
        <v>1404</v>
      </c>
      <c r="D657" s="13">
        <v>6</v>
      </c>
      <c r="E657" s="13" t="s">
        <v>1405</v>
      </c>
      <c r="F657" s="13" t="s">
        <v>11</v>
      </c>
    </row>
    <row r="658" ht="18" customHeight="1" spans="1:6">
      <c r="A658" s="13" t="s">
        <v>1257</v>
      </c>
      <c r="B658" s="13" t="s">
        <v>1361</v>
      </c>
      <c r="C658" s="13" t="s">
        <v>1406</v>
      </c>
      <c r="D658" s="13">
        <v>4</v>
      </c>
      <c r="E658" s="13" t="s">
        <v>1407</v>
      </c>
      <c r="F658" s="13" t="s">
        <v>11</v>
      </c>
    </row>
    <row r="659" ht="18" customHeight="1" spans="1:6">
      <c r="A659" s="13" t="s">
        <v>1257</v>
      </c>
      <c r="B659" s="13" t="s">
        <v>1361</v>
      </c>
      <c r="C659" s="13" t="s">
        <v>1408</v>
      </c>
      <c r="D659" s="13">
        <v>1</v>
      </c>
      <c r="E659" s="13" t="s">
        <v>1409</v>
      </c>
      <c r="F659" s="13" t="s">
        <v>11</v>
      </c>
    </row>
    <row r="660" ht="18" customHeight="1" spans="1:6">
      <c r="A660" s="13" t="s">
        <v>1257</v>
      </c>
      <c r="B660" s="13" t="s">
        <v>1361</v>
      </c>
      <c r="C660" s="13" t="s">
        <v>1410</v>
      </c>
      <c r="D660" s="13">
        <v>1</v>
      </c>
      <c r="E660" s="13" t="s">
        <v>1411</v>
      </c>
      <c r="F660" s="13" t="s">
        <v>11</v>
      </c>
    </row>
    <row r="661" ht="18" customHeight="1" spans="1:6">
      <c r="A661" s="13" t="s">
        <v>1257</v>
      </c>
      <c r="B661" s="13" t="s">
        <v>1361</v>
      </c>
      <c r="C661" s="13" t="s">
        <v>1412</v>
      </c>
      <c r="D661" s="13">
        <v>1</v>
      </c>
      <c r="E661" s="13" t="s">
        <v>1413</v>
      </c>
      <c r="F661" s="13" t="s">
        <v>11</v>
      </c>
    </row>
    <row r="662" ht="18" customHeight="1" spans="1:6">
      <c r="A662" s="13" t="s">
        <v>1257</v>
      </c>
      <c r="B662" s="13" t="s">
        <v>1361</v>
      </c>
      <c r="C662" s="13" t="s">
        <v>1414</v>
      </c>
      <c r="D662" s="13">
        <v>1</v>
      </c>
      <c r="E662" s="13" t="s">
        <v>1415</v>
      </c>
      <c r="F662" s="13" t="s">
        <v>11</v>
      </c>
    </row>
    <row r="663" ht="18" customHeight="1" spans="1:6">
      <c r="A663" s="13" t="s">
        <v>1257</v>
      </c>
      <c r="B663" s="13" t="s">
        <v>1361</v>
      </c>
      <c r="C663" s="13" t="s">
        <v>1416</v>
      </c>
      <c r="D663" s="13">
        <v>1</v>
      </c>
      <c r="E663" s="13" t="s">
        <v>1417</v>
      </c>
      <c r="F663" s="13" t="s">
        <v>11</v>
      </c>
    </row>
    <row r="664" ht="18" customHeight="1" spans="1:6">
      <c r="A664" s="13" t="s">
        <v>1257</v>
      </c>
      <c r="B664" s="13" t="s">
        <v>1361</v>
      </c>
      <c r="C664" s="13" t="s">
        <v>1418</v>
      </c>
      <c r="D664" s="13">
        <v>1</v>
      </c>
      <c r="E664" s="13" t="s">
        <v>1419</v>
      </c>
      <c r="F664" s="13" t="s">
        <v>11</v>
      </c>
    </row>
    <row r="665" ht="18" customHeight="1" spans="1:6">
      <c r="A665" s="13" t="s">
        <v>1257</v>
      </c>
      <c r="B665" s="13" t="s">
        <v>1361</v>
      </c>
      <c r="C665" s="13" t="s">
        <v>1212</v>
      </c>
      <c r="D665" s="13">
        <v>1</v>
      </c>
      <c r="E665" s="13" t="s">
        <v>1420</v>
      </c>
      <c r="F665" s="13" t="s">
        <v>11</v>
      </c>
    </row>
    <row r="666" ht="18" customHeight="1" spans="1:6">
      <c r="A666" s="13" t="s">
        <v>1257</v>
      </c>
      <c r="B666" s="13" t="s">
        <v>1361</v>
      </c>
      <c r="C666" s="13" t="s">
        <v>1421</v>
      </c>
      <c r="D666" s="13">
        <v>1</v>
      </c>
      <c r="E666" s="13" t="s">
        <v>1422</v>
      </c>
      <c r="F666" s="13" t="s">
        <v>11</v>
      </c>
    </row>
    <row r="667" ht="18" customHeight="1" spans="1:6">
      <c r="A667" s="13" t="s">
        <v>1257</v>
      </c>
      <c r="B667" s="13" t="s">
        <v>1361</v>
      </c>
      <c r="C667" s="13" t="s">
        <v>1423</v>
      </c>
      <c r="D667" s="13">
        <v>1</v>
      </c>
      <c r="E667" s="13" t="s">
        <v>1424</v>
      </c>
      <c r="F667" s="13" t="s">
        <v>11</v>
      </c>
    </row>
    <row r="668" ht="18" customHeight="1" spans="1:6">
      <c r="A668" s="13" t="s">
        <v>1257</v>
      </c>
      <c r="B668" s="13" t="s">
        <v>1361</v>
      </c>
      <c r="C668" s="13" t="s">
        <v>1425</v>
      </c>
      <c r="D668" s="13">
        <v>1</v>
      </c>
      <c r="E668" s="13" t="s">
        <v>1426</v>
      </c>
      <c r="F668" s="13" t="s">
        <v>11</v>
      </c>
    </row>
    <row r="669" ht="18" customHeight="1" spans="1:6">
      <c r="A669" s="13" t="s">
        <v>1257</v>
      </c>
      <c r="B669" s="13" t="s">
        <v>1361</v>
      </c>
      <c r="C669" s="13" t="s">
        <v>1427</v>
      </c>
      <c r="D669" s="13">
        <v>4</v>
      </c>
      <c r="E669" s="13" t="s">
        <v>1428</v>
      </c>
      <c r="F669" s="13" t="s">
        <v>11</v>
      </c>
    </row>
    <row r="670" ht="18" customHeight="1" spans="1:6">
      <c r="A670" s="13" t="s">
        <v>1257</v>
      </c>
      <c r="B670" s="13" t="s">
        <v>1361</v>
      </c>
      <c r="C670" s="13" t="s">
        <v>1429</v>
      </c>
      <c r="D670" s="13">
        <v>3</v>
      </c>
      <c r="E670" s="13" t="s">
        <v>1430</v>
      </c>
      <c r="F670" s="13" t="s">
        <v>11</v>
      </c>
    </row>
    <row r="671" ht="18" customHeight="1" spans="1:6">
      <c r="A671" s="13" t="s">
        <v>1257</v>
      </c>
      <c r="B671" s="13" t="s">
        <v>1361</v>
      </c>
      <c r="C671" s="13" t="s">
        <v>1431</v>
      </c>
      <c r="D671" s="13">
        <v>4</v>
      </c>
      <c r="E671" s="13" t="s">
        <v>1432</v>
      </c>
      <c r="F671" s="13" t="s">
        <v>11</v>
      </c>
    </row>
    <row r="672" ht="18" customHeight="1" spans="1:6">
      <c r="A672" s="13" t="s">
        <v>1257</v>
      </c>
      <c r="B672" s="13" t="s">
        <v>1361</v>
      </c>
      <c r="C672" s="13" t="s">
        <v>1433</v>
      </c>
      <c r="D672" s="13">
        <v>4</v>
      </c>
      <c r="E672" s="13" t="s">
        <v>1434</v>
      </c>
      <c r="F672" s="13" t="s">
        <v>11</v>
      </c>
    </row>
    <row r="673" ht="18" customHeight="1" spans="1:6">
      <c r="A673" s="13" t="s">
        <v>1257</v>
      </c>
      <c r="B673" s="13" t="s">
        <v>1361</v>
      </c>
      <c r="C673" s="13" t="s">
        <v>1435</v>
      </c>
      <c r="D673" s="13">
        <v>3</v>
      </c>
      <c r="E673" s="13" t="s">
        <v>1436</v>
      </c>
      <c r="F673" s="13" t="s">
        <v>11</v>
      </c>
    </row>
    <row r="674" ht="18" customHeight="1" spans="1:6">
      <c r="A674" s="13" t="s">
        <v>1257</v>
      </c>
      <c r="B674" s="13" t="s">
        <v>1361</v>
      </c>
      <c r="C674" s="13" t="s">
        <v>1437</v>
      </c>
      <c r="D674" s="13">
        <v>3</v>
      </c>
      <c r="E674" s="13" t="s">
        <v>1438</v>
      </c>
      <c r="F674" s="13" t="s">
        <v>11</v>
      </c>
    </row>
    <row r="675" ht="18" customHeight="1" spans="1:6">
      <c r="A675" s="13" t="s">
        <v>1257</v>
      </c>
      <c r="B675" s="13" t="s">
        <v>1361</v>
      </c>
      <c r="C675" s="13" t="s">
        <v>1439</v>
      </c>
      <c r="D675" s="13">
        <v>2</v>
      </c>
      <c r="E675" s="13" t="s">
        <v>1440</v>
      </c>
      <c r="F675" s="13" t="s">
        <v>11</v>
      </c>
    </row>
    <row r="676" ht="18" customHeight="1" spans="1:6">
      <c r="A676" s="13" t="s">
        <v>1257</v>
      </c>
      <c r="B676" s="13" t="s">
        <v>1361</v>
      </c>
      <c r="C676" s="13" t="s">
        <v>1441</v>
      </c>
      <c r="D676" s="13">
        <v>6</v>
      </c>
      <c r="E676" s="13" t="s">
        <v>1442</v>
      </c>
      <c r="F676" s="13" t="s">
        <v>11</v>
      </c>
    </row>
    <row r="677" ht="18" customHeight="1" spans="1:6">
      <c r="A677" s="13" t="s">
        <v>1257</v>
      </c>
      <c r="B677" s="13" t="s">
        <v>1361</v>
      </c>
      <c r="C677" s="13" t="s">
        <v>1443</v>
      </c>
      <c r="D677" s="13">
        <v>1</v>
      </c>
      <c r="E677" s="13" t="s">
        <v>1444</v>
      </c>
      <c r="F677" s="13" t="s">
        <v>11</v>
      </c>
    </row>
    <row r="678" ht="18" customHeight="1" spans="1:6">
      <c r="A678" s="13" t="s">
        <v>1257</v>
      </c>
      <c r="B678" s="13" t="s">
        <v>1361</v>
      </c>
      <c r="C678" s="13" t="s">
        <v>1445</v>
      </c>
      <c r="D678" s="13">
        <v>2</v>
      </c>
      <c r="E678" s="13" t="s">
        <v>1446</v>
      </c>
      <c r="F678" s="13" t="s">
        <v>11</v>
      </c>
    </row>
    <row r="679" ht="18" customHeight="1" spans="1:6">
      <c r="A679" s="13" t="s">
        <v>1257</v>
      </c>
      <c r="B679" s="13" t="s">
        <v>1361</v>
      </c>
      <c r="C679" s="13" t="s">
        <v>1447</v>
      </c>
      <c r="D679" s="13">
        <v>3</v>
      </c>
      <c r="E679" s="13" t="s">
        <v>1448</v>
      </c>
      <c r="F679" s="13" t="s">
        <v>11</v>
      </c>
    </row>
    <row r="680" ht="18" customHeight="1" spans="1:6">
      <c r="A680" s="13" t="s">
        <v>1257</v>
      </c>
      <c r="B680" s="13" t="s">
        <v>1361</v>
      </c>
      <c r="C680" s="13" t="s">
        <v>1449</v>
      </c>
      <c r="D680" s="13">
        <v>6</v>
      </c>
      <c r="E680" s="13" t="s">
        <v>1450</v>
      </c>
      <c r="F680" s="13" t="s">
        <v>11</v>
      </c>
    </row>
    <row r="681" ht="18" customHeight="1" spans="1:6">
      <c r="A681" s="13" t="s">
        <v>1257</v>
      </c>
      <c r="B681" s="13" t="s">
        <v>1361</v>
      </c>
      <c r="C681" s="13" t="s">
        <v>1451</v>
      </c>
      <c r="D681" s="13">
        <v>6</v>
      </c>
      <c r="E681" s="13" t="s">
        <v>1452</v>
      </c>
      <c r="F681" s="13" t="s">
        <v>11</v>
      </c>
    </row>
    <row r="682" ht="18" customHeight="1" spans="1:6">
      <c r="A682" s="13" t="s">
        <v>1257</v>
      </c>
      <c r="B682" s="13" t="s">
        <v>1361</v>
      </c>
      <c r="C682" s="13" t="s">
        <v>1453</v>
      </c>
      <c r="D682" s="13">
        <v>3</v>
      </c>
      <c r="E682" s="13" t="s">
        <v>1454</v>
      </c>
      <c r="F682" s="13" t="s">
        <v>11</v>
      </c>
    </row>
    <row r="683" ht="18" customHeight="1" spans="1:6">
      <c r="A683" s="13" t="s">
        <v>1257</v>
      </c>
      <c r="B683" s="13" t="s">
        <v>1361</v>
      </c>
      <c r="C683" s="13" t="s">
        <v>1455</v>
      </c>
      <c r="D683" s="13">
        <v>3</v>
      </c>
      <c r="E683" s="13" t="s">
        <v>1456</v>
      </c>
      <c r="F683" s="13" t="s">
        <v>11</v>
      </c>
    </row>
    <row r="684" ht="18" customHeight="1" spans="1:6">
      <c r="A684" s="13" t="s">
        <v>1257</v>
      </c>
      <c r="B684" s="13" t="s">
        <v>1361</v>
      </c>
      <c r="C684" s="13" t="s">
        <v>1457</v>
      </c>
      <c r="D684" s="13">
        <v>2</v>
      </c>
      <c r="E684" s="13" t="s">
        <v>1458</v>
      </c>
      <c r="F684" s="13" t="s">
        <v>11</v>
      </c>
    </row>
    <row r="685" ht="18" customHeight="1" spans="1:6">
      <c r="A685" s="13" t="s">
        <v>1257</v>
      </c>
      <c r="B685" s="13" t="s">
        <v>1361</v>
      </c>
      <c r="C685" s="13" t="s">
        <v>1459</v>
      </c>
      <c r="D685" s="13">
        <v>1</v>
      </c>
      <c r="E685" s="13" t="s">
        <v>1460</v>
      </c>
      <c r="F685" s="13" t="s">
        <v>11</v>
      </c>
    </row>
    <row r="686" ht="18" customHeight="1" spans="1:6">
      <c r="A686" s="13" t="s">
        <v>1257</v>
      </c>
      <c r="B686" s="13" t="s">
        <v>1361</v>
      </c>
      <c r="C686" s="13" t="s">
        <v>1461</v>
      </c>
      <c r="D686" s="13">
        <v>6</v>
      </c>
      <c r="E686" s="13" t="s">
        <v>1462</v>
      </c>
      <c r="F686" s="13" t="s">
        <v>11</v>
      </c>
    </row>
    <row r="687" ht="18" customHeight="1" spans="1:6">
      <c r="A687" s="13" t="s">
        <v>1257</v>
      </c>
      <c r="B687" s="13" t="s">
        <v>1361</v>
      </c>
      <c r="C687" s="13" t="s">
        <v>1463</v>
      </c>
      <c r="D687" s="13">
        <v>2</v>
      </c>
      <c r="E687" s="13" t="s">
        <v>1464</v>
      </c>
      <c r="F687" s="13" t="s">
        <v>11</v>
      </c>
    </row>
    <row r="688" ht="18" customHeight="1" spans="1:6">
      <c r="A688" s="13" t="s">
        <v>1257</v>
      </c>
      <c r="B688" s="13" t="s">
        <v>1361</v>
      </c>
      <c r="C688" s="13" t="s">
        <v>1465</v>
      </c>
      <c r="D688" s="13">
        <v>2</v>
      </c>
      <c r="E688" s="13" t="s">
        <v>1466</v>
      </c>
      <c r="F688" s="13" t="s">
        <v>11</v>
      </c>
    </row>
    <row r="689" ht="18" customHeight="1" spans="1:6">
      <c r="A689" s="13" t="s">
        <v>1257</v>
      </c>
      <c r="B689" s="13" t="s">
        <v>1361</v>
      </c>
      <c r="C689" s="13" t="s">
        <v>1467</v>
      </c>
      <c r="D689" s="13">
        <v>3</v>
      </c>
      <c r="E689" s="13" t="s">
        <v>1468</v>
      </c>
      <c r="F689" s="13" t="s">
        <v>11</v>
      </c>
    </row>
    <row r="690" ht="18" customHeight="1" spans="1:6">
      <c r="A690" s="13" t="s">
        <v>1257</v>
      </c>
      <c r="B690" s="13" t="s">
        <v>1361</v>
      </c>
      <c r="C690" s="13" t="s">
        <v>1469</v>
      </c>
      <c r="D690" s="13">
        <v>5</v>
      </c>
      <c r="E690" s="13" t="s">
        <v>1470</v>
      </c>
      <c r="F690" s="13" t="s">
        <v>11</v>
      </c>
    </row>
    <row r="691" ht="18" customHeight="1" spans="1:6">
      <c r="A691" s="13" t="s">
        <v>1257</v>
      </c>
      <c r="B691" s="13" t="s">
        <v>1361</v>
      </c>
      <c r="C691" s="13" t="s">
        <v>1471</v>
      </c>
      <c r="D691" s="13">
        <v>4</v>
      </c>
      <c r="E691" s="13" t="s">
        <v>1472</v>
      </c>
      <c r="F691" s="13" t="s">
        <v>11</v>
      </c>
    </row>
    <row r="692" ht="18" customHeight="1" spans="1:6">
      <c r="A692" s="13" t="s">
        <v>1257</v>
      </c>
      <c r="B692" s="13" t="s">
        <v>1361</v>
      </c>
      <c r="C692" s="13" t="s">
        <v>1473</v>
      </c>
      <c r="D692" s="13">
        <v>4</v>
      </c>
      <c r="E692" s="13" t="s">
        <v>1474</v>
      </c>
      <c r="F692" s="13" t="s">
        <v>11</v>
      </c>
    </row>
    <row r="693" ht="18" customHeight="1" spans="1:6">
      <c r="A693" s="13" t="s">
        <v>1257</v>
      </c>
      <c r="B693" s="13" t="s">
        <v>1361</v>
      </c>
      <c r="C693" s="13" t="s">
        <v>1475</v>
      </c>
      <c r="D693" s="13">
        <v>5</v>
      </c>
      <c r="E693" s="13" t="s">
        <v>1476</v>
      </c>
      <c r="F693" s="13" t="s">
        <v>11</v>
      </c>
    </row>
    <row r="694" ht="18" customHeight="1" spans="1:6">
      <c r="A694" s="13" t="s">
        <v>1257</v>
      </c>
      <c r="B694" s="13" t="s">
        <v>1361</v>
      </c>
      <c r="C694" s="13" t="s">
        <v>1477</v>
      </c>
      <c r="D694" s="13">
        <v>5</v>
      </c>
      <c r="E694" s="13" t="s">
        <v>1478</v>
      </c>
      <c r="F694" s="13" t="s">
        <v>11</v>
      </c>
    </row>
    <row r="695" ht="18" customHeight="1" spans="1:6">
      <c r="A695" s="13" t="s">
        <v>1257</v>
      </c>
      <c r="B695" s="13" t="s">
        <v>1361</v>
      </c>
      <c r="C695" s="13" t="s">
        <v>1479</v>
      </c>
      <c r="D695" s="13">
        <v>5</v>
      </c>
      <c r="E695" s="13" t="s">
        <v>1480</v>
      </c>
      <c r="F695" s="13" t="s">
        <v>11</v>
      </c>
    </row>
    <row r="696" ht="18" customHeight="1" spans="1:6">
      <c r="A696" s="13" t="s">
        <v>1257</v>
      </c>
      <c r="B696" s="13" t="s">
        <v>1361</v>
      </c>
      <c r="C696" s="13" t="s">
        <v>1481</v>
      </c>
      <c r="D696" s="13">
        <v>6</v>
      </c>
      <c r="E696" s="13" t="s">
        <v>1482</v>
      </c>
      <c r="F696" s="13" t="s">
        <v>11</v>
      </c>
    </row>
    <row r="697" ht="18" customHeight="1" spans="1:6">
      <c r="A697" s="13" t="s">
        <v>1257</v>
      </c>
      <c r="B697" s="13" t="s">
        <v>1361</v>
      </c>
      <c r="C697" s="13" t="s">
        <v>1483</v>
      </c>
      <c r="D697" s="13">
        <v>4</v>
      </c>
      <c r="E697" s="13" t="s">
        <v>1484</v>
      </c>
      <c r="F697" s="13" t="s">
        <v>11</v>
      </c>
    </row>
    <row r="698" ht="18" customHeight="1" spans="1:6">
      <c r="A698" s="13" t="s">
        <v>1257</v>
      </c>
      <c r="B698" s="13" t="s">
        <v>1361</v>
      </c>
      <c r="C698" s="13" t="s">
        <v>1485</v>
      </c>
      <c r="D698" s="13">
        <v>4</v>
      </c>
      <c r="E698" s="13" t="s">
        <v>1486</v>
      </c>
      <c r="F698" s="13" t="s">
        <v>11</v>
      </c>
    </row>
    <row r="699" ht="18" customHeight="1" spans="1:6">
      <c r="A699" s="13" t="s">
        <v>1257</v>
      </c>
      <c r="B699" s="13" t="s">
        <v>1361</v>
      </c>
      <c r="C699" s="13" t="s">
        <v>1487</v>
      </c>
      <c r="D699" s="13">
        <v>3</v>
      </c>
      <c r="E699" s="13" t="s">
        <v>1488</v>
      </c>
      <c r="F699" s="13" t="s">
        <v>11</v>
      </c>
    </row>
    <row r="700" ht="18" customHeight="1" spans="1:6">
      <c r="A700" s="13" t="s">
        <v>1257</v>
      </c>
      <c r="B700" s="13" t="s">
        <v>1361</v>
      </c>
      <c r="C700" s="13" t="s">
        <v>1443</v>
      </c>
      <c r="D700" s="13">
        <v>1</v>
      </c>
      <c r="E700" s="13" t="s">
        <v>1444</v>
      </c>
      <c r="F700" s="13" t="s">
        <v>11</v>
      </c>
    </row>
    <row r="701" ht="18" customHeight="1" spans="1:6">
      <c r="A701" s="13" t="s">
        <v>1257</v>
      </c>
      <c r="B701" s="13" t="s">
        <v>1361</v>
      </c>
      <c r="C701" s="13" t="s">
        <v>1489</v>
      </c>
      <c r="D701" s="13">
        <v>1</v>
      </c>
      <c r="E701" s="13" t="s">
        <v>1490</v>
      </c>
      <c r="F701" s="13" t="s">
        <v>11</v>
      </c>
    </row>
    <row r="702" ht="18" customHeight="1" spans="1:6">
      <c r="A702" s="13" t="s">
        <v>1257</v>
      </c>
      <c r="B702" s="13" t="s">
        <v>1361</v>
      </c>
      <c r="C702" s="13" t="s">
        <v>1491</v>
      </c>
      <c r="D702" s="13">
        <v>1</v>
      </c>
      <c r="E702" s="13" t="s">
        <v>1492</v>
      </c>
      <c r="F702" s="13" t="s">
        <v>11</v>
      </c>
    </row>
    <row r="703" ht="18" customHeight="1" spans="1:6">
      <c r="A703" s="13" t="s">
        <v>1257</v>
      </c>
      <c r="B703" s="13" t="s">
        <v>1361</v>
      </c>
      <c r="C703" s="13" t="s">
        <v>1493</v>
      </c>
      <c r="D703" s="13">
        <v>1</v>
      </c>
      <c r="E703" s="13" t="s">
        <v>1494</v>
      </c>
      <c r="F703" s="13" t="s">
        <v>11</v>
      </c>
    </row>
    <row r="704" ht="18" customHeight="1" spans="1:6">
      <c r="A704" s="13" t="s">
        <v>1257</v>
      </c>
      <c r="B704" s="13" t="s">
        <v>1361</v>
      </c>
      <c r="C704" s="13" t="s">
        <v>1495</v>
      </c>
      <c r="D704" s="13">
        <v>1</v>
      </c>
      <c r="E704" s="13" t="s">
        <v>1496</v>
      </c>
      <c r="F704" s="13" t="s">
        <v>11</v>
      </c>
    </row>
    <row r="705" ht="18" customHeight="1" spans="1:6">
      <c r="A705" s="13" t="s">
        <v>1257</v>
      </c>
      <c r="B705" s="13" t="s">
        <v>1361</v>
      </c>
      <c r="C705" s="13" t="s">
        <v>1497</v>
      </c>
      <c r="D705" s="13">
        <v>1</v>
      </c>
      <c r="E705" s="13" t="s">
        <v>1498</v>
      </c>
      <c r="F705" s="13" t="s">
        <v>11</v>
      </c>
    </row>
    <row r="706" ht="18" customHeight="1" spans="1:6">
      <c r="A706" s="13" t="s">
        <v>1257</v>
      </c>
      <c r="B706" s="13" t="s">
        <v>1361</v>
      </c>
      <c r="C706" s="13" t="s">
        <v>1459</v>
      </c>
      <c r="D706" s="13">
        <v>1</v>
      </c>
      <c r="E706" s="13" t="s">
        <v>1460</v>
      </c>
      <c r="F706" s="13" t="s">
        <v>11</v>
      </c>
    </row>
    <row r="707" ht="18" customHeight="1" spans="1:6">
      <c r="A707" s="13" t="s">
        <v>1257</v>
      </c>
      <c r="B707" s="13" t="s">
        <v>1361</v>
      </c>
      <c r="C707" s="13" t="s">
        <v>1499</v>
      </c>
      <c r="D707" s="13">
        <v>1</v>
      </c>
      <c r="E707" s="13" t="s">
        <v>1500</v>
      </c>
      <c r="F707" s="13" t="s">
        <v>11</v>
      </c>
    </row>
    <row r="708" ht="18" customHeight="1" spans="1:6">
      <c r="A708" s="13" t="s">
        <v>1257</v>
      </c>
      <c r="B708" s="13" t="s">
        <v>1361</v>
      </c>
      <c r="C708" s="13" t="s">
        <v>1501</v>
      </c>
      <c r="D708" s="13">
        <v>1</v>
      </c>
      <c r="E708" s="13" t="s">
        <v>1502</v>
      </c>
      <c r="F708" s="13" t="s">
        <v>11</v>
      </c>
    </row>
    <row r="709" ht="18" customHeight="1" spans="1:6">
      <c r="A709" s="13" t="s">
        <v>1257</v>
      </c>
      <c r="B709" s="13" t="s">
        <v>1361</v>
      </c>
      <c r="C709" s="13" t="s">
        <v>1503</v>
      </c>
      <c r="D709" s="13">
        <v>3</v>
      </c>
      <c r="E709" s="13" t="s">
        <v>1504</v>
      </c>
      <c r="F709" s="13" t="s">
        <v>11</v>
      </c>
    </row>
    <row r="710" ht="18" customHeight="1" spans="1:6">
      <c r="A710" s="13" t="s">
        <v>1257</v>
      </c>
      <c r="B710" s="13" t="s">
        <v>1361</v>
      </c>
      <c r="C710" s="13" t="s">
        <v>1505</v>
      </c>
      <c r="D710" s="13">
        <v>3</v>
      </c>
      <c r="E710" s="13" t="s">
        <v>1506</v>
      </c>
      <c r="F710" s="13" t="s">
        <v>11</v>
      </c>
    </row>
    <row r="711" ht="18" customHeight="1" spans="1:6">
      <c r="A711" s="13" t="s">
        <v>1257</v>
      </c>
      <c r="B711" s="13" t="s">
        <v>1361</v>
      </c>
      <c r="C711" s="13" t="s">
        <v>1507</v>
      </c>
      <c r="D711" s="13">
        <v>3</v>
      </c>
      <c r="E711" s="13" t="s">
        <v>1508</v>
      </c>
      <c r="F711" s="13" t="s">
        <v>11</v>
      </c>
    </row>
    <row r="712" ht="18" customHeight="1" spans="1:6">
      <c r="A712" s="13" t="s">
        <v>1257</v>
      </c>
      <c r="B712" s="13" t="s">
        <v>1361</v>
      </c>
      <c r="C712" s="13" t="s">
        <v>1509</v>
      </c>
      <c r="D712" s="13">
        <v>2</v>
      </c>
      <c r="E712" s="13" t="s">
        <v>1510</v>
      </c>
      <c r="F712" s="13" t="s">
        <v>11</v>
      </c>
    </row>
    <row r="713" ht="18" customHeight="1" spans="1:6">
      <c r="A713" s="13" t="s">
        <v>1257</v>
      </c>
      <c r="B713" s="13" t="s">
        <v>1361</v>
      </c>
      <c r="C713" s="13" t="s">
        <v>1511</v>
      </c>
      <c r="D713" s="13">
        <v>5</v>
      </c>
      <c r="E713" s="13" t="s">
        <v>1512</v>
      </c>
      <c r="F713" s="13" t="s">
        <v>11</v>
      </c>
    </row>
    <row r="714" ht="18" customHeight="1" spans="1:6">
      <c r="A714" s="13" t="s">
        <v>1257</v>
      </c>
      <c r="B714" s="13" t="s">
        <v>1361</v>
      </c>
      <c r="C714" s="13" t="s">
        <v>1513</v>
      </c>
      <c r="D714" s="13">
        <v>4</v>
      </c>
      <c r="E714" s="13" t="s">
        <v>1514</v>
      </c>
      <c r="F714" s="13" t="s">
        <v>11</v>
      </c>
    </row>
    <row r="715" ht="18" customHeight="1" spans="1:6">
      <c r="A715" s="13" t="s">
        <v>1257</v>
      </c>
      <c r="B715" s="13" t="s">
        <v>1361</v>
      </c>
      <c r="C715" s="13" t="s">
        <v>1515</v>
      </c>
      <c r="D715" s="13">
        <v>5</v>
      </c>
      <c r="E715" s="13" t="s">
        <v>1516</v>
      </c>
      <c r="F715" s="13" t="s">
        <v>11</v>
      </c>
    </row>
    <row r="716" ht="18" customHeight="1" spans="1:6">
      <c r="A716" s="13" t="s">
        <v>1257</v>
      </c>
      <c r="B716" s="13" t="s">
        <v>1361</v>
      </c>
      <c r="C716" s="13" t="s">
        <v>1517</v>
      </c>
      <c r="D716" s="13">
        <v>6</v>
      </c>
      <c r="E716" s="13" t="s">
        <v>1518</v>
      </c>
      <c r="F716" s="13" t="s">
        <v>11</v>
      </c>
    </row>
    <row r="717" ht="18" customHeight="1" spans="1:6">
      <c r="A717" s="13" t="s">
        <v>1257</v>
      </c>
      <c r="B717" s="13" t="s">
        <v>1361</v>
      </c>
      <c r="C717" s="13" t="s">
        <v>1519</v>
      </c>
      <c r="D717" s="13">
        <v>4</v>
      </c>
      <c r="E717" s="13" t="s">
        <v>1520</v>
      </c>
      <c r="F717" s="13" t="s">
        <v>11</v>
      </c>
    </row>
    <row r="718" ht="18" customHeight="1" spans="1:6">
      <c r="A718" s="13" t="s">
        <v>1257</v>
      </c>
      <c r="B718" s="13" t="s">
        <v>1361</v>
      </c>
      <c r="C718" s="13" t="s">
        <v>1521</v>
      </c>
      <c r="D718" s="13">
        <v>4</v>
      </c>
      <c r="E718" s="13" t="s">
        <v>1522</v>
      </c>
      <c r="F718" s="13" t="s">
        <v>11</v>
      </c>
    </row>
    <row r="719" ht="18" customHeight="1" spans="1:6">
      <c r="A719" s="13" t="s">
        <v>1257</v>
      </c>
      <c r="B719" s="13" t="s">
        <v>1361</v>
      </c>
      <c r="C719" s="13" t="s">
        <v>1523</v>
      </c>
      <c r="D719" s="13">
        <v>4</v>
      </c>
      <c r="E719" s="13" t="s">
        <v>1524</v>
      </c>
      <c r="F719" s="13" t="s">
        <v>11</v>
      </c>
    </row>
    <row r="720" ht="18" customHeight="1" spans="1:6">
      <c r="A720" s="13" t="s">
        <v>1257</v>
      </c>
      <c r="B720" s="13" t="s">
        <v>1361</v>
      </c>
      <c r="C720" s="13" t="s">
        <v>1525</v>
      </c>
      <c r="D720" s="13">
        <v>4</v>
      </c>
      <c r="E720" s="13" t="s">
        <v>1526</v>
      </c>
      <c r="F720" s="13" t="s">
        <v>11</v>
      </c>
    </row>
    <row r="721" ht="18" customHeight="1" spans="1:6">
      <c r="A721" s="13" t="s">
        <v>1257</v>
      </c>
      <c r="B721" s="13" t="s">
        <v>1361</v>
      </c>
      <c r="C721" s="13" t="s">
        <v>1527</v>
      </c>
      <c r="D721" s="13">
        <v>3</v>
      </c>
      <c r="E721" s="13" t="s">
        <v>1528</v>
      </c>
      <c r="F721" s="13" t="s">
        <v>11</v>
      </c>
    </row>
    <row r="722" ht="18" customHeight="1" spans="1:6">
      <c r="A722" s="13" t="s">
        <v>1257</v>
      </c>
      <c r="B722" s="13" t="s">
        <v>1361</v>
      </c>
      <c r="C722" s="13" t="s">
        <v>1529</v>
      </c>
      <c r="D722" s="13">
        <v>5</v>
      </c>
      <c r="E722" s="13" t="s">
        <v>1530</v>
      </c>
      <c r="F722" s="13" t="s">
        <v>11</v>
      </c>
    </row>
    <row r="723" ht="18" customHeight="1" spans="1:6">
      <c r="A723" s="13" t="s">
        <v>1257</v>
      </c>
      <c r="B723" s="13" t="s">
        <v>1361</v>
      </c>
      <c r="C723" s="13" t="s">
        <v>1531</v>
      </c>
      <c r="D723" s="13">
        <v>5</v>
      </c>
      <c r="E723" s="13" t="s">
        <v>1532</v>
      </c>
      <c r="F723" s="13" t="s">
        <v>11</v>
      </c>
    </row>
    <row r="724" ht="18" customHeight="1" spans="1:6">
      <c r="A724" s="13" t="s">
        <v>1257</v>
      </c>
      <c r="B724" s="13" t="s">
        <v>1361</v>
      </c>
      <c r="C724" s="13" t="s">
        <v>1533</v>
      </c>
      <c r="D724" s="13">
        <v>4</v>
      </c>
      <c r="E724" s="13" t="s">
        <v>1534</v>
      </c>
      <c r="F724" s="13" t="s">
        <v>11</v>
      </c>
    </row>
    <row r="725" ht="18" customHeight="1" spans="1:6">
      <c r="A725" s="13" t="s">
        <v>1257</v>
      </c>
      <c r="B725" s="13" t="s">
        <v>1361</v>
      </c>
      <c r="C725" s="13" t="s">
        <v>1535</v>
      </c>
      <c r="D725" s="13">
        <v>2</v>
      </c>
      <c r="E725" s="13" t="s">
        <v>1536</v>
      </c>
      <c r="F725" s="13" t="s">
        <v>11</v>
      </c>
    </row>
    <row r="726" ht="18" customHeight="1" spans="1:6">
      <c r="A726" s="13" t="s">
        <v>1257</v>
      </c>
      <c r="B726" s="13" t="s">
        <v>1361</v>
      </c>
      <c r="C726" s="13" t="s">
        <v>1537</v>
      </c>
      <c r="D726" s="13">
        <v>1</v>
      </c>
      <c r="E726" s="13" t="s">
        <v>1538</v>
      </c>
      <c r="F726" s="13" t="s">
        <v>11</v>
      </c>
    </row>
    <row r="727" ht="18" customHeight="1" spans="1:6">
      <c r="A727" s="13" t="s">
        <v>1257</v>
      </c>
      <c r="B727" s="13" t="s">
        <v>1361</v>
      </c>
      <c r="C727" s="13" t="s">
        <v>1539</v>
      </c>
      <c r="D727" s="13">
        <v>2</v>
      </c>
      <c r="E727" s="13" t="s">
        <v>1540</v>
      </c>
      <c r="F727" s="13" t="s">
        <v>11</v>
      </c>
    </row>
    <row r="728" ht="18" customHeight="1" spans="1:6">
      <c r="A728" s="13" t="s">
        <v>1257</v>
      </c>
      <c r="B728" s="13" t="s">
        <v>1361</v>
      </c>
      <c r="C728" s="13" t="s">
        <v>1541</v>
      </c>
      <c r="D728" s="13">
        <v>5</v>
      </c>
      <c r="E728" s="13" t="s">
        <v>1542</v>
      </c>
      <c r="F728" s="13" t="s">
        <v>11</v>
      </c>
    </row>
    <row r="729" ht="18" customHeight="1" spans="1:6">
      <c r="A729" s="13" t="s">
        <v>1257</v>
      </c>
      <c r="B729" s="13" t="s">
        <v>1361</v>
      </c>
      <c r="C729" s="13" t="s">
        <v>1543</v>
      </c>
      <c r="D729" s="13">
        <v>1</v>
      </c>
      <c r="E729" s="13" t="s">
        <v>1544</v>
      </c>
      <c r="F729" s="13" t="s">
        <v>11</v>
      </c>
    </row>
    <row r="730" ht="18" customHeight="1" spans="1:6">
      <c r="A730" s="13" t="s">
        <v>1257</v>
      </c>
      <c r="B730" s="13" t="s">
        <v>1361</v>
      </c>
      <c r="C730" s="13" t="s">
        <v>1545</v>
      </c>
      <c r="D730" s="13">
        <v>1</v>
      </c>
      <c r="E730" s="13" t="s">
        <v>1546</v>
      </c>
      <c r="F730" s="13" t="s">
        <v>11</v>
      </c>
    </row>
    <row r="731" ht="18" customHeight="1" spans="1:6">
      <c r="A731" s="13" t="s">
        <v>1257</v>
      </c>
      <c r="B731" s="13" t="s">
        <v>1361</v>
      </c>
      <c r="C731" s="13" t="s">
        <v>1547</v>
      </c>
      <c r="D731" s="13">
        <v>1</v>
      </c>
      <c r="E731" s="13" t="s">
        <v>1548</v>
      </c>
      <c r="F731" s="13" t="s">
        <v>11</v>
      </c>
    </row>
    <row r="732" ht="18" customHeight="1" spans="1:6">
      <c r="A732" s="13" t="s">
        <v>1257</v>
      </c>
      <c r="B732" s="13" t="s">
        <v>1361</v>
      </c>
      <c r="C732" s="13" t="s">
        <v>1549</v>
      </c>
      <c r="D732" s="13">
        <v>1</v>
      </c>
      <c r="E732" s="13" t="s">
        <v>1550</v>
      </c>
      <c r="F732" s="13" t="s">
        <v>11</v>
      </c>
    </row>
    <row r="733" ht="18" customHeight="1" spans="1:6">
      <c r="A733" s="13" t="s">
        <v>1257</v>
      </c>
      <c r="B733" s="13" t="s">
        <v>1361</v>
      </c>
      <c r="C733" s="13" t="s">
        <v>1551</v>
      </c>
      <c r="D733" s="13">
        <v>1</v>
      </c>
      <c r="E733" s="13" t="s">
        <v>1552</v>
      </c>
      <c r="F733" s="13" t="s">
        <v>11</v>
      </c>
    </row>
    <row r="734" ht="18" customHeight="1" spans="1:6">
      <c r="A734" s="13" t="s">
        <v>1257</v>
      </c>
      <c r="B734" s="13" t="s">
        <v>1361</v>
      </c>
      <c r="C734" s="13" t="s">
        <v>1553</v>
      </c>
      <c r="D734" s="13">
        <v>1</v>
      </c>
      <c r="E734" s="13" t="s">
        <v>1554</v>
      </c>
      <c r="F734" s="13" t="s">
        <v>11</v>
      </c>
    </row>
    <row r="735" ht="18" customHeight="1" spans="1:6">
      <c r="A735" s="13" t="s">
        <v>1257</v>
      </c>
      <c r="B735" s="13" t="s">
        <v>1361</v>
      </c>
      <c r="C735" s="13" t="s">
        <v>1555</v>
      </c>
      <c r="D735" s="13">
        <v>3</v>
      </c>
      <c r="E735" s="13" t="s">
        <v>1556</v>
      </c>
      <c r="F735" s="13" t="s">
        <v>11</v>
      </c>
    </row>
    <row r="736" ht="18" customHeight="1" spans="1:6">
      <c r="A736" s="13" t="s">
        <v>1257</v>
      </c>
      <c r="B736" s="13" t="s">
        <v>1361</v>
      </c>
      <c r="C736" s="13" t="s">
        <v>1557</v>
      </c>
      <c r="D736" s="13">
        <v>5</v>
      </c>
      <c r="E736" s="13" t="s">
        <v>1558</v>
      </c>
      <c r="F736" s="13" t="s">
        <v>11</v>
      </c>
    </row>
    <row r="737" ht="18" customHeight="1" spans="1:6">
      <c r="A737" s="13" t="s">
        <v>1257</v>
      </c>
      <c r="B737" s="13" t="s">
        <v>1361</v>
      </c>
      <c r="C737" s="13" t="s">
        <v>1559</v>
      </c>
      <c r="D737" s="13">
        <v>3</v>
      </c>
      <c r="E737" s="13" t="s">
        <v>1560</v>
      </c>
      <c r="F737" s="13" t="s">
        <v>11</v>
      </c>
    </row>
    <row r="738" ht="18" customHeight="1" spans="1:6">
      <c r="A738" s="13" t="s">
        <v>1257</v>
      </c>
      <c r="B738" s="13" t="s">
        <v>1361</v>
      </c>
      <c r="C738" s="13" t="s">
        <v>1561</v>
      </c>
      <c r="D738" s="13">
        <v>4</v>
      </c>
      <c r="E738" s="13" t="s">
        <v>1562</v>
      </c>
      <c r="F738" s="13" t="s">
        <v>11</v>
      </c>
    </row>
    <row r="739" ht="18" customHeight="1" spans="1:6">
      <c r="A739" s="13" t="s">
        <v>1257</v>
      </c>
      <c r="B739" s="13" t="s">
        <v>1361</v>
      </c>
      <c r="C739" s="13" t="s">
        <v>1563</v>
      </c>
      <c r="D739" s="13">
        <v>4</v>
      </c>
      <c r="E739" s="13" t="s">
        <v>1564</v>
      </c>
      <c r="F739" s="13" t="s">
        <v>11</v>
      </c>
    </row>
    <row r="740" ht="18" customHeight="1" spans="1:6">
      <c r="A740" s="13" t="s">
        <v>1257</v>
      </c>
      <c r="B740" s="13" t="s">
        <v>1361</v>
      </c>
      <c r="C740" s="13" t="s">
        <v>1565</v>
      </c>
      <c r="D740" s="13">
        <v>3</v>
      </c>
      <c r="E740" s="13" t="s">
        <v>1566</v>
      </c>
      <c r="F740" s="13" t="s">
        <v>11</v>
      </c>
    </row>
    <row r="741" ht="18" customHeight="1" spans="1:6">
      <c r="A741" s="13" t="s">
        <v>1257</v>
      </c>
      <c r="B741" s="13" t="s">
        <v>1361</v>
      </c>
      <c r="C741" s="13" t="s">
        <v>1567</v>
      </c>
      <c r="D741" s="13">
        <v>3</v>
      </c>
      <c r="E741" s="13" t="s">
        <v>1568</v>
      </c>
      <c r="F741" s="13" t="s">
        <v>11</v>
      </c>
    </row>
    <row r="742" ht="18" customHeight="1" spans="1:6">
      <c r="A742" s="13" t="s">
        <v>1257</v>
      </c>
      <c r="B742" s="13" t="s">
        <v>1361</v>
      </c>
      <c r="C742" s="13" t="s">
        <v>1569</v>
      </c>
      <c r="D742" s="13">
        <v>3</v>
      </c>
      <c r="E742" s="13" t="s">
        <v>1570</v>
      </c>
      <c r="F742" s="13" t="s">
        <v>11</v>
      </c>
    </row>
    <row r="743" ht="18" customHeight="1" spans="1:6">
      <c r="A743" s="13" t="s">
        <v>1257</v>
      </c>
      <c r="B743" s="13" t="s">
        <v>1361</v>
      </c>
      <c r="C743" s="13" t="s">
        <v>1571</v>
      </c>
      <c r="D743" s="13">
        <v>4</v>
      </c>
      <c r="E743" s="13" t="s">
        <v>1572</v>
      </c>
      <c r="F743" s="13" t="s">
        <v>11</v>
      </c>
    </row>
    <row r="744" ht="18" customHeight="1" spans="1:6">
      <c r="A744" s="13" t="s">
        <v>1257</v>
      </c>
      <c r="B744" s="13" t="s">
        <v>1361</v>
      </c>
      <c r="C744" s="13" t="s">
        <v>1573</v>
      </c>
      <c r="D744" s="13">
        <v>5</v>
      </c>
      <c r="E744" s="13" t="s">
        <v>1574</v>
      </c>
      <c r="F744" s="13" t="s">
        <v>11</v>
      </c>
    </row>
    <row r="745" ht="18" customHeight="1" spans="1:6">
      <c r="A745" s="13" t="s">
        <v>1257</v>
      </c>
      <c r="B745" s="13" t="s">
        <v>1361</v>
      </c>
      <c r="C745" s="13" t="s">
        <v>1575</v>
      </c>
      <c r="D745" s="13">
        <v>4</v>
      </c>
      <c r="E745" s="13" t="s">
        <v>1576</v>
      </c>
      <c r="F745" s="13" t="s">
        <v>11</v>
      </c>
    </row>
    <row r="746" ht="18" customHeight="1" spans="1:6">
      <c r="A746" s="13" t="s">
        <v>1257</v>
      </c>
      <c r="B746" s="13" t="s">
        <v>1361</v>
      </c>
      <c r="C746" s="13" t="s">
        <v>1577</v>
      </c>
      <c r="D746" s="13">
        <v>4</v>
      </c>
      <c r="E746" s="13" t="s">
        <v>1578</v>
      </c>
      <c r="F746" s="13" t="s">
        <v>11</v>
      </c>
    </row>
    <row r="747" ht="18" customHeight="1" spans="1:6">
      <c r="A747" s="13" t="s">
        <v>1257</v>
      </c>
      <c r="B747" s="13" t="s">
        <v>1361</v>
      </c>
      <c r="C747" s="13" t="s">
        <v>1579</v>
      </c>
      <c r="D747" s="13">
        <v>2</v>
      </c>
      <c r="E747" s="13" t="s">
        <v>1580</v>
      </c>
      <c r="F747" s="13" t="s">
        <v>11</v>
      </c>
    </row>
    <row r="748" ht="18" customHeight="1" spans="1:6">
      <c r="A748" s="13" t="s">
        <v>1257</v>
      </c>
      <c r="B748" s="13" t="s">
        <v>1361</v>
      </c>
      <c r="C748" s="13" t="s">
        <v>1581</v>
      </c>
      <c r="D748" s="13">
        <v>4</v>
      </c>
      <c r="E748" s="13" t="s">
        <v>1582</v>
      </c>
      <c r="F748" s="13" t="s">
        <v>11</v>
      </c>
    </row>
    <row r="749" ht="18" customHeight="1" spans="1:6">
      <c r="A749" s="13" t="s">
        <v>1257</v>
      </c>
      <c r="B749" s="13" t="s">
        <v>1361</v>
      </c>
      <c r="C749" s="13" t="s">
        <v>1583</v>
      </c>
      <c r="D749" s="13">
        <v>3</v>
      </c>
      <c r="E749" s="13" t="s">
        <v>1584</v>
      </c>
      <c r="F749" s="13" t="s">
        <v>11</v>
      </c>
    </row>
    <row r="750" ht="18" customHeight="1" spans="1:6">
      <c r="A750" s="13" t="s">
        <v>1257</v>
      </c>
      <c r="B750" s="13" t="s">
        <v>1361</v>
      </c>
      <c r="C750" s="13" t="s">
        <v>1585</v>
      </c>
      <c r="D750" s="13">
        <v>5</v>
      </c>
      <c r="E750" s="13" t="s">
        <v>1586</v>
      </c>
      <c r="F750" s="13" t="s">
        <v>11</v>
      </c>
    </row>
    <row r="751" ht="18" customHeight="1" spans="1:6">
      <c r="A751" s="13" t="s">
        <v>1257</v>
      </c>
      <c r="B751" s="13" t="s">
        <v>1361</v>
      </c>
      <c r="C751" s="13" t="s">
        <v>1587</v>
      </c>
      <c r="D751" s="13">
        <v>3</v>
      </c>
      <c r="E751" s="13" t="s">
        <v>1588</v>
      </c>
      <c r="F751" s="13" t="s">
        <v>11</v>
      </c>
    </row>
    <row r="752" ht="18" customHeight="1" spans="1:6">
      <c r="A752" s="13" t="s">
        <v>1257</v>
      </c>
      <c r="B752" s="13" t="s">
        <v>1361</v>
      </c>
      <c r="C752" s="13" t="s">
        <v>1589</v>
      </c>
      <c r="D752" s="13">
        <v>2</v>
      </c>
      <c r="E752" s="13" t="s">
        <v>1590</v>
      </c>
      <c r="F752" s="13" t="s">
        <v>11</v>
      </c>
    </row>
    <row r="753" ht="18" customHeight="1" spans="1:6">
      <c r="A753" s="13" t="s">
        <v>1257</v>
      </c>
      <c r="B753" s="13" t="s">
        <v>1361</v>
      </c>
      <c r="C753" s="13" t="s">
        <v>1591</v>
      </c>
      <c r="D753" s="13">
        <v>4</v>
      </c>
      <c r="E753" s="13" t="s">
        <v>1592</v>
      </c>
      <c r="F753" s="13" t="s">
        <v>11</v>
      </c>
    </row>
    <row r="754" ht="18" customHeight="1" spans="1:6">
      <c r="A754" s="13" t="s">
        <v>1257</v>
      </c>
      <c r="B754" s="13" t="s">
        <v>1361</v>
      </c>
      <c r="C754" s="13" t="s">
        <v>1593</v>
      </c>
      <c r="D754" s="13">
        <v>4</v>
      </c>
      <c r="E754" s="13" t="s">
        <v>1594</v>
      </c>
      <c r="F754" s="13" t="s">
        <v>11</v>
      </c>
    </row>
    <row r="755" ht="18" customHeight="1" spans="1:6">
      <c r="A755" s="13" t="s">
        <v>1257</v>
      </c>
      <c r="B755" s="13" t="s">
        <v>1361</v>
      </c>
      <c r="C755" s="13" t="s">
        <v>1595</v>
      </c>
      <c r="D755" s="13">
        <v>1</v>
      </c>
      <c r="E755" s="13" t="s">
        <v>1596</v>
      </c>
      <c r="F755" s="13" t="s">
        <v>11</v>
      </c>
    </row>
    <row r="756" ht="18" customHeight="1" spans="1:6">
      <c r="A756" s="13" t="s">
        <v>1257</v>
      </c>
      <c r="B756" s="13" t="s">
        <v>1361</v>
      </c>
      <c r="C756" s="13" t="s">
        <v>1597</v>
      </c>
      <c r="D756" s="13">
        <v>1</v>
      </c>
      <c r="E756" s="13" t="s">
        <v>1598</v>
      </c>
      <c r="F756" s="13" t="s">
        <v>11</v>
      </c>
    </row>
    <row r="757" ht="18" customHeight="1" spans="1:6">
      <c r="A757" s="13" t="s">
        <v>1257</v>
      </c>
      <c r="B757" s="13" t="s">
        <v>1361</v>
      </c>
      <c r="C757" s="13" t="s">
        <v>1599</v>
      </c>
      <c r="D757" s="13">
        <v>1</v>
      </c>
      <c r="E757" s="13" t="s">
        <v>1600</v>
      </c>
      <c r="F757" s="13" t="s">
        <v>11</v>
      </c>
    </row>
    <row r="758" ht="18" customHeight="1" spans="1:6">
      <c r="A758" s="13" t="s">
        <v>1257</v>
      </c>
      <c r="B758" s="13" t="s">
        <v>1361</v>
      </c>
      <c r="C758" s="13" t="s">
        <v>1601</v>
      </c>
      <c r="D758" s="13">
        <v>1</v>
      </c>
      <c r="E758" s="13" t="s">
        <v>1602</v>
      </c>
      <c r="F758" s="13" t="s">
        <v>11</v>
      </c>
    </row>
    <row r="759" ht="18" customHeight="1" spans="1:6">
      <c r="A759" s="13" t="s">
        <v>1257</v>
      </c>
      <c r="B759" s="13" t="s">
        <v>1361</v>
      </c>
      <c r="C759" s="13" t="s">
        <v>1603</v>
      </c>
      <c r="D759" s="13">
        <v>1</v>
      </c>
      <c r="E759" s="13" t="s">
        <v>1604</v>
      </c>
      <c r="F759" s="13" t="s">
        <v>11</v>
      </c>
    </row>
    <row r="760" ht="18" customHeight="1" spans="1:6">
      <c r="A760" s="13" t="s">
        <v>1257</v>
      </c>
      <c r="B760" s="13" t="s">
        <v>1361</v>
      </c>
      <c r="C760" s="13" t="s">
        <v>1605</v>
      </c>
      <c r="D760" s="13">
        <v>1</v>
      </c>
      <c r="E760" s="13" t="s">
        <v>1606</v>
      </c>
      <c r="F760" s="13" t="s">
        <v>11</v>
      </c>
    </row>
    <row r="761" ht="18" customHeight="1" spans="1:6">
      <c r="A761" s="13" t="s">
        <v>1257</v>
      </c>
      <c r="B761" s="13" t="s">
        <v>1361</v>
      </c>
      <c r="C761" s="13" t="s">
        <v>1607</v>
      </c>
      <c r="D761" s="13">
        <v>1</v>
      </c>
      <c r="E761" s="13" t="s">
        <v>1608</v>
      </c>
      <c r="F761" s="13" t="s">
        <v>11</v>
      </c>
    </row>
    <row r="762" ht="18" customHeight="1" spans="1:6">
      <c r="A762" s="13" t="s">
        <v>1257</v>
      </c>
      <c r="B762" s="13" t="s">
        <v>1361</v>
      </c>
      <c r="C762" s="13" t="s">
        <v>1609</v>
      </c>
      <c r="D762" s="13">
        <v>1</v>
      </c>
      <c r="E762" s="13" t="s">
        <v>1610</v>
      </c>
      <c r="F762" s="13" t="s">
        <v>11</v>
      </c>
    </row>
    <row r="763" ht="18" customHeight="1" spans="1:6">
      <c r="A763" s="13" t="s">
        <v>1257</v>
      </c>
      <c r="B763" s="13" t="s">
        <v>1361</v>
      </c>
      <c r="C763" s="13" t="s">
        <v>1611</v>
      </c>
      <c r="D763" s="13">
        <v>1</v>
      </c>
      <c r="E763" s="13" t="s">
        <v>1612</v>
      </c>
      <c r="F763" s="13" t="s">
        <v>11</v>
      </c>
    </row>
    <row r="764" ht="18" customHeight="1" spans="1:6">
      <c r="A764" s="13" t="s">
        <v>1257</v>
      </c>
      <c r="B764" s="13" t="s">
        <v>1361</v>
      </c>
      <c r="C764" s="13" t="s">
        <v>1613</v>
      </c>
      <c r="D764" s="13">
        <v>1</v>
      </c>
      <c r="E764" s="13" t="s">
        <v>1614</v>
      </c>
      <c r="F764" s="13" t="s">
        <v>11</v>
      </c>
    </row>
    <row r="765" ht="18" customHeight="1" spans="1:6">
      <c r="A765" s="13" t="s">
        <v>1257</v>
      </c>
      <c r="B765" s="13" t="s">
        <v>1361</v>
      </c>
      <c r="C765" s="13" t="s">
        <v>1615</v>
      </c>
      <c r="D765" s="13">
        <v>1</v>
      </c>
      <c r="E765" s="13" t="s">
        <v>1616</v>
      </c>
      <c r="F765" s="13" t="s">
        <v>11</v>
      </c>
    </row>
    <row r="766" ht="18" customHeight="1" spans="1:6">
      <c r="A766" s="13" t="s">
        <v>1257</v>
      </c>
      <c r="B766" s="13" t="s">
        <v>1361</v>
      </c>
      <c r="C766" s="13" t="s">
        <v>1617</v>
      </c>
      <c r="D766" s="13">
        <v>1</v>
      </c>
      <c r="E766" s="13" t="s">
        <v>1618</v>
      </c>
      <c r="F766" s="13" t="s">
        <v>11</v>
      </c>
    </row>
    <row r="767" ht="18" customHeight="1" spans="1:6">
      <c r="A767" s="13" t="s">
        <v>1257</v>
      </c>
      <c r="B767" s="13" t="s">
        <v>1361</v>
      </c>
      <c r="C767" s="13" t="s">
        <v>1619</v>
      </c>
      <c r="D767" s="13">
        <v>1</v>
      </c>
      <c r="E767" s="13" t="s">
        <v>1620</v>
      </c>
      <c r="F767" s="13" t="s">
        <v>11</v>
      </c>
    </row>
    <row r="768" ht="18" customHeight="1" spans="1:6">
      <c r="A768" s="13" t="s">
        <v>1257</v>
      </c>
      <c r="B768" s="13" t="s">
        <v>1361</v>
      </c>
      <c r="C768" s="13" t="s">
        <v>1621</v>
      </c>
      <c r="D768" s="13">
        <v>1</v>
      </c>
      <c r="E768" s="13" t="s">
        <v>1622</v>
      </c>
      <c r="F768" s="13" t="s">
        <v>11</v>
      </c>
    </row>
    <row r="769" ht="18" customHeight="1" spans="1:6">
      <c r="A769" s="13" t="s">
        <v>1257</v>
      </c>
      <c r="B769" s="13" t="s">
        <v>1361</v>
      </c>
      <c r="C769" s="13" t="s">
        <v>1623</v>
      </c>
      <c r="D769" s="13">
        <v>1</v>
      </c>
      <c r="E769" s="13" t="s">
        <v>1624</v>
      </c>
      <c r="F769" s="13" t="s">
        <v>11</v>
      </c>
    </row>
    <row r="770" ht="18" customHeight="1" spans="1:6">
      <c r="A770" s="13" t="s">
        <v>1257</v>
      </c>
      <c r="B770" s="13" t="s">
        <v>1361</v>
      </c>
      <c r="C770" s="13" t="s">
        <v>1625</v>
      </c>
      <c r="D770" s="13">
        <v>1</v>
      </c>
      <c r="E770" s="13" t="s">
        <v>1626</v>
      </c>
      <c r="F770" s="13" t="s">
        <v>11</v>
      </c>
    </row>
    <row r="771" ht="18" customHeight="1" spans="1:6">
      <c r="A771" s="13" t="s">
        <v>1257</v>
      </c>
      <c r="B771" s="13" t="s">
        <v>1361</v>
      </c>
      <c r="C771" s="13" t="s">
        <v>1627</v>
      </c>
      <c r="D771" s="13">
        <v>1</v>
      </c>
      <c r="E771" s="13" t="s">
        <v>1628</v>
      </c>
      <c r="F771" s="13" t="s">
        <v>11</v>
      </c>
    </row>
    <row r="772" ht="18" customHeight="1" spans="1:6">
      <c r="A772" s="13" t="s">
        <v>1257</v>
      </c>
      <c r="B772" s="13" t="s">
        <v>1361</v>
      </c>
      <c r="C772" s="13" t="s">
        <v>1629</v>
      </c>
      <c r="D772" s="13">
        <v>1</v>
      </c>
      <c r="E772" s="13" t="s">
        <v>1630</v>
      </c>
      <c r="F772" s="13" t="s">
        <v>11</v>
      </c>
    </row>
    <row r="773" ht="18" customHeight="1" spans="1:6">
      <c r="A773" s="13" t="s">
        <v>1257</v>
      </c>
      <c r="B773" s="13" t="s">
        <v>1361</v>
      </c>
      <c r="C773" s="13" t="s">
        <v>1631</v>
      </c>
      <c r="D773" s="13">
        <v>1</v>
      </c>
      <c r="E773" s="13" t="s">
        <v>1632</v>
      </c>
      <c r="F773" s="13" t="s">
        <v>11</v>
      </c>
    </row>
    <row r="774" ht="18" customHeight="1" spans="1:6">
      <c r="A774" s="13" t="s">
        <v>1257</v>
      </c>
      <c r="B774" s="13" t="s">
        <v>1361</v>
      </c>
      <c r="C774" s="13" t="s">
        <v>1633</v>
      </c>
      <c r="D774" s="13">
        <v>1</v>
      </c>
      <c r="E774" s="13" t="s">
        <v>1634</v>
      </c>
      <c r="F774" s="13" t="s">
        <v>11</v>
      </c>
    </row>
    <row r="775" ht="18" customHeight="1" spans="1:6">
      <c r="A775" s="13" t="s">
        <v>1257</v>
      </c>
      <c r="B775" s="13" t="s">
        <v>1361</v>
      </c>
      <c r="C775" s="13" t="s">
        <v>1635</v>
      </c>
      <c r="D775" s="13">
        <v>1</v>
      </c>
      <c r="E775" s="13" t="s">
        <v>1636</v>
      </c>
      <c r="F775" s="13" t="s">
        <v>11</v>
      </c>
    </row>
    <row r="776" ht="18" customHeight="1" spans="1:6">
      <c r="A776" s="13" t="s">
        <v>1257</v>
      </c>
      <c r="B776" s="13" t="s">
        <v>1361</v>
      </c>
      <c r="C776" s="13" t="s">
        <v>1637</v>
      </c>
      <c r="D776" s="13">
        <v>4</v>
      </c>
      <c r="E776" s="10" t="s">
        <v>1638</v>
      </c>
      <c r="F776" s="13" t="s">
        <v>11</v>
      </c>
    </row>
    <row r="777" ht="18" customHeight="1" spans="1:6">
      <c r="A777" s="13" t="s">
        <v>1257</v>
      </c>
      <c r="B777" s="13" t="s">
        <v>1361</v>
      </c>
      <c r="C777" s="13" t="s">
        <v>1639</v>
      </c>
      <c r="D777" s="13">
        <v>1</v>
      </c>
      <c r="E777" s="13" t="s">
        <v>1640</v>
      </c>
      <c r="F777" s="13" t="s">
        <v>11</v>
      </c>
    </row>
    <row r="778" ht="18" customHeight="1" spans="1:6">
      <c r="A778" s="13" t="s">
        <v>1257</v>
      </c>
      <c r="B778" s="13" t="s">
        <v>1361</v>
      </c>
      <c r="C778" s="13" t="s">
        <v>1641</v>
      </c>
      <c r="D778" s="13">
        <v>3</v>
      </c>
      <c r="E778" s="13" t="s">
        <v>1642</v>
      </c>
      <c r="F778" s="13" t="s">
        <v>11</v>
      </c>
    </row>
    <row r="779" ht="18" customHeight="1" spans="1:6">
      <c r="A779" s="13" t="s">
        <v>1257</v>
      </c>
      <c r="B779" s="13" t="s">
        <v>1361</v>
      </c>
      <c r="C779" s="13" t="s">
        <v>1643</v>
      </c>
      <c r="D779" s="13">
        <v>3</v>
      </c>
      <c r="E779" s="13" t="s">
        <v>1644</v>
      </c>
      <c r="F779" s="13" t="s">
        <v>11</v>
      </c>
    </row>
    <row r="780" ht="18" customHeight="1" spans="1:6">
      <c r="A780" s="13" t="s">
        <v>1257</v>
      </c>
      <c r="B780" s="13" t="s">
        <v>1361</v>
      </c>
      <c r="C780" s="13" t="s">
        <v>1645</v>
      </c>
      <c r="D780" s="13">
        <v>3</v>
      </c>
      <c r="E780" s="13" t="s">
        <v>1646</v>
      </c>
      <c r="F780" s="13" t="s">
        <v>11</v>
      </c>
    </row>
    <row r="781" ht="18" customHeight="1" spans="1:6">
      <c r="A781" s="13" t="s">
        <v>1257</v>
      </c>
      <c r="B781" s="13" t="s">
        <v>1361</v>
      </c>
      <c r="C781" s="13" t="s">
        <v>1647</v>
      </c>
      <c r="D781" s="13">
        <v>3</v>
      </c>
      <c r="E781" s="13" t="s">
        <v>1648</v>
      </c>
      <c r="F781" s="13" t="s">
        <v>11</v>
      </c>
    </row>
    <row r="782" ht="18" customHeight="1" spans="1:6">
      <c r="A782" s="13" t="s">
        <v>1257</v>
      </c>
      <c r="B782" s="13" t="s">
        <v>1361</v>
      </c>
      <c r="C782" s="13" t="s">
        <v>1649</v>
      </c>
      <c r="D782" s="13">
        <v>4</v>
      </c>
      <c r="E782" s="13" t="s">
        <v>1650</v>
      </c>
      <c r="F782" s="13" t="s">
        <v>11</v>
      </c>
    </row>
    <row r="783" ht="18" customHeight="1" spans="1:6">
      <c r="A783" s="13" t="s">
        <v>1257</v>
      </c>
      <c r="B783" s="13" t="s">
        <v>1361</v>
      </c>
      <c r="C783" s="13" t="s">
        <v>1651</v>
      </c>
      <c r="D783" s="13">
        <v>4</v>
      </c>
      <c r="E783" s="13" t="s">
        <v>1652</v>
      </c>
      <c r="F783" s="13" t="s">
        <v>11</v>
      </c>
    </row>
    <row r="784" ht="18" customHeight="1" spans="1:6">
      <c r="A784" s="13" t="s">
        <v>1257</v>
      </c>
      <c r="B784" s="13" t="s">
        <v>1361</v>
      </c>
      <c r="C784" s="13" t="s">
        <v>1653</v>
      </c>
      <c r="D784" s="13">
        <v>1</v>
      </c>
      <c r="E784" s="13" t="s">
        <v>1654</v>
      </c>
      <c r="F784" s="13" t="s">
        <v>11</v>
      </c>
    </row>
    <row r="785" ht="18" customHeight="1" spans="1:6">
      <c r="A785" s="13" t="s">
        <v>1257</v>
      </c>
      <c r="B785" s="13" t="s">
        <v>1361</v>
      </c>
      <c r="C785" s="13" t="s">
        <v>1655</v>
      </c>
      <c r="D785" s="13">
        <v>5</v>
      </c>
      <c r="E785" s="13" t="s">
        <v>1656</v>
      </c>
      <c r="F785" s="13" t="s">
        <v>11</v>
      </c>
    </row>
    <row r="786" ht="18" customHeight="1" spans="1:6">
      <c r="A786" s="13" t="s">
        <v>1257</v>
      </c>
      <c r="B786" s="13" t="s">
        <v>1361</v>
      </c>
      <c r="C786" s="13" t="s">
        <v>1657</v>
      </c>
      <c r="D786" s="13">
        <v>4</v>
      </c>
      <c r="E786" s="13" t="s">
        <v>1658</v>
      </c>
      <c r="F786" s="13" t="s">
        <v>11</v>
      </c>
    </row>
    <row r="787" ht="18" customHeight="1" spans="1:6">
      <c r="A787" s="13" t="s">
        <v>1257</v>
      </c>
      <c r="B787" s="13" t="s">
        <v>1361</v>
      </c>
      <c r="C787" s="13" t="s">
        <v>1659</v>
      </c>
      <c r="D787" s="13">
        <v>4</v>
      </c>
      <c r="E787" s="13" t="s">
        <v>1660</v>
      </c>
      <c r="F787" s="13" t="s">
        <v>11</v>
      </c>
    </row>
    <row r="788" ht="18" customHeight="1" spans="1:6">
      <c r="A788" s="13" t="s">
        <v>1257</v>
      </c>
      <c r="B788" s="13" t="s">
        <v>1361</v>
      </c>
      <c r="C788" s="13" t="s">
        <v>1661</v>
      </c>
      <c r="D788" s="13">
        <v>5</v>
      </c>
      <c r="E788" s="13" t="s">
        <v>1662</v>
      </c>
      <c r="F788" s="13" t="s">
        <v>11</v>
      </c>
    </row>
    <row r="789" ht="18" customHeight="1" spans="1:6">
      <c r="A789" s="13" t="s">
        <v>1257</v>
      </c>
      <c r="B789" s="13" t="s">
        <v>1361</v>
      </c>
      <c r="C789" s="13" t="s">
        <v>1663</v>
      </c>
      <c r="D789" s="13">
        <v>2</v>
      </c>
      <c r="E789" s="13" t="s">
        <v>1664</v>
      </c>
      <c r="F789" s="13" t="s">
        <v>11</v>
      </c>
    </row>
    <row r="790" ht="18" customHeight="1" spans="1:6">
      <c r="A790" s="13" t="s">
        <v>1257</v>
      </c>
      <c r="B790" s="13" t="s">
        <v>1361</v>
      </c>
      <c r="C790" s="13" t="s">
        <v>1665</v>
      </c>
      <c r="D790" s="13">
        <v>4</v>
      </c>
      <c r="E790" s="13" t="s">
        <v>1666</v>
      </c>
      <c r="F790" s="13" t="s">
        <v>11</v>
      </c>
    </row>
    <row r="791" ht="18" customHeight="1" spans="1:6">
      <c r="A791" s="13" t="s">
        <v>1257</v>
      </c>
      <c r="B791" s="13" t="s">
        <v>1361</v>
      </c>
      <c r="C791" s="13" t="s">
        <v>1667</v>
      </c>
      <c r="D791" s="13">
        <v>2</v>
      </c>
      <c r="E791" s="13" t="s">
        <v>1668</v>
      </c>
      <c r="F791" s="13" t="s">
        <v>11</v>
      </c>
    </row>
    <row r="792" ht="18" customHeight="1" spans="1:6">
      <c r="A792" s="13" t="s">
        <v>1257</v>
      </c>
      <c r="B792" s="13" t="s">
        <v>1361</v>
      </c>
      <c r="C792" s="13" t="s">
        <v>1669</v>
      </c>
      <c r="D792" s="13">
        <v>1</v>
      </c>
      <c r="E792" s="13" t="s">
        <v>1670</v>
      </c>
      <c r="F792" s="13" t="s">
        <v>11</v>
      </c>
    </row>
    <row r="793" ht="18" customHeight="1" spans="1:6">
      <c r="A793" s="13" t="s">
        <v>1257</v>
      </c>
      <c r="B793" s="13" t="s">
        <v>1361</v>
      </c>
      <c r="C793" s="13" t="s">
        <v>1671</v>
      </c>
      <c r="D793" s="13">
        <v>2</v>
      </c>
      <c r="E793" s="13" t="s">
        <v>1672</v>
      </c>
      <c r="F793" s="13" t="s">
        <v>11</v>
      </c>
    </row>
    <row r="794" ht="18" customHeight="1" spans="1:6">
      <c r="A794" s="13" t="s">
        <v>1257</v>
      </c>
      <c r="B794" s="13" t="s">
        <v>1361</v>
      </c>
      <c r="C794" s="13" t="s">
        <v>1673</v>
      </c>
      <c r="D794" s="13">
        <v>1</v>
      </c>
      <c r="E794" s="13" t="s">
        <v>1674</v>
      </c>
      <c r="F794" s="13" t="s">
        <v>11</v>
      </c>
    </row>
    <row r="795" ht="18" customHeight="1" spans="1:6">
      <c r="A795" s="13" t="s">
        <v>1257</v>
      </c>
      <c r="B795" s="13" t="s">
        <v>1361</v>
      </c>
      <c r="C795" s="13" t="s">
        <v>1675</v>
      </c>
      <c r="D795" s="13">
        <v>1</v>
      </c>
      <c r="E795" s="13" t="s">
        <v>1676</v>
      </c>
      <c r="F795" s="13" t="s">
        <v>11</v>
      </c>
    </row>
    <row r="796" ht="18" customHeight="1" spans="1:6">
      <c r="A796" s="13" t="s">
        <v>1257</v>
      </c>
      <c r="B796" s="13" t="s">
        <v>1361</v>
      </c>
      <c r="C796" s="13" t="s">
        <v>1677</v>
      </c>
      <c r="D796" s="13">
        <v>3</v>
      </c>
      <c r="E796" s="10" t="s">
        <v>1678</v>
      </c>
      <c r="F796" s="13" t="s">
        <v>11</v>
      </c>
    </row>
    <row r="797" ht="18" customHeight="1" spans="1:6">
      <c r="A797" s="13" t="s">
        <v>1257</v>
      </c>
      <c r="B797" s="13" t="s">
        <v>1361</v>
      </c>
      <c r="C797" s="13" t="s">
        <v>1679</v>
      </c>
      <c r="D797" s="13">
        <v>5</v>
      </c>
      <c r="E797" s="10" t="s">
        <v>1680</v>
      </c>
      <c r="F797" s="13" t="s">
        <v>11</v>
      </c>
    </row>
    <row r="798" ht="18" customHeight="1" spans="1:6">
      <c r="A798" s="13" t="s">
        <v>1257</v>
      </c>
      <c r="B798" s="13" t="s">
        <v>1361</v>
      </c>
      <c r="C798" s="13" t="s">
        <v>1681</v>
      </c>
      <c r="D798" s="13">
        <v>4</v>
      </c>
      <c r="E798" s="13" t="s">
        <v>1682</v>
      </c>
      <c r="F798" s="13" t="s">
        <v>11</v>
      </c>
    </row>
    <row r="799" ht="18" customHeight="1" spans="1:6">
      <c r="A799" s="13" t="s">
        <v>1257</v>
      </c>
      <c r="B799" s="13" t="s">
        <v>1361</v>
      </c>
      <c r="C799" s="13" t="s">
        <v>1683</v>
      </c>
      <c r="D799" s="13">
        <v>1</v>
      </c>
      <c r="E799" s="13" t="s">
        <v>1684</v>
      </c>
      <c r="F799" s="13" t="s">
        <v>11</v>
      </c>
    </row>
    <row r="800" ht="18" customHeight="1" spans="1:6">
      <c r="A800" s="13" t="s">
        <v>1257</v>
      </c>
      <c r="B800" s="13" t="s">
        <v>1361</v>
      </c>
      <c r="C800" s="13" t="s">
        <v>1685</v>
      </c>
      <c r="D800" s="13">
        <v>1</v>
      </c>
      <c r="E800" s="13" t="s">
        <v>1686</v>
      </c>
      <c r="F800" s="13" t="s">
        <v>11</v>
      </c>
    </row>
    <row r="801" ht="18" customHeight="1" spans="1:6">
      <c r="A801" s="13" t="s">
        <v>1257</v>
      </c>
      <c r="B801" s="13" t="s">
        <v>1361</v>
      </c>
      <c r="C801" s="13" t="s">
        <v>1687</v>
      </c>
      <c r="D801" s="13">
        <v>2</v>
      </c>
      <c r="E801" s="13" t="s">
        <v>1688</v>
      </c>
      <c r="F801" s="13" t="s">
        <v>11</v>
      </c>
    </row>
    <row r="802" ht="18" customHeight="1" spans="1:6">
      <c r="A802" s="13" t="s">
        <v>1257</v>
      </c>
      <c r="B802" s="13" t="s">
        <v>1361</v>
      </c>
      <c r="C802" s="13" t="s">
        <v>1689</v>
      </c>
      <c r="D802" s="13">
        <v>1</v>
      </c>
      <c r="E802" s="13" t="s">
        <v>1690</v>
      </c>
      <c r="F802" s="13" t="s">
        <v>11</v>
      </c>
    </row>
    <row r="803" ht="18" customHeight="1" spans="1:6">
      <c r="A803" s="13" t="s">
        <v>1257</v>
      </c>
      <c r="B803" s="13" t="s">
        <v>1361</v>
      </c>
      <c r="C803" s="13" t="s">
        <v>1691</v>
      </c>
      <c r="D803" s="13">
        <v>1</v>
      </c>
      <c r="E803" s="13" t="s">
        <v>1692</v>
      </c>
      <c r="F803" s="13" t="s">
        <v>11</v>
      </c>
    </row>
    <row r="804" ht="18" customHeight="1" spans="1:6">
      <c r="A804" s="13" t="s">
        <v>1257</v>
      </c>
      <c r="B804" s="13" t="s">
        <v>1361</v>
      </c>
      <c r="C804" s="13" t="s">
        <v>1693</v>
      </c>
      <c r="D804" s="13">
        <v>1</v>
      </c>
      <c r="E804" s="13" t="s">
        <v>1694</v>
      </c>
      <c r="F804" s="13" t="s">
        <v>11</v>
      </c>
    </row>
    <row r="805" ht="18" customHeight="1" spans="1:6">
      <c r="A805" s="13" t="s">
        <v>1257</v>
      </c>
      <c r="B805" s="13" t="s">
        <v>1361</v>
      </c>
      <c r="C805" s="13" t="s">
        <v>1695</v>
      </c>
      <c r="D805" s="13">
        <v>1</v>
      </c>
      <c r="E805" s="13" t="s">
        <v>1696</v>
      </c>
      <c r="F805" s="13" t="s">
        <v>11</v>
      </c>
    </row>
    <row r="806" ht="18" customHeight="1" spans="1:6">
      <c r="A806" s="13" t="s">
        <v>1257</v>
      </c>
      <c r="B806" s="13" t="s">
        <v>1361</v>
      </c>
      <c r="C806" s="13" t="s">
        <v>1697</v>
      </c>
      <c r="D806" s="13">
        <v>1</v>
      </c>
      <c r="E806" s="13" t="s">
        <v>1698</v>
      </c>
      <c r="F806" s="13" t="s">
        <v>11</v>
      </c>
    </row>
    <row r="807" ht="18" customHeight="1" spans="1:6">
      <c r="A807" s="13" t="s">
        <v>1257</v>
      </c>
      <c r="B807" s="13" t="s">
        <v>1361</v>
      </c>
      <c r="C807" s="13" t="s">
        <v>1699</v>
      </c>
      <c r="D807" s="13">
        <v>1</v>
      </c>
      <c r="E807" s="13" t="s">
        <v>1700</v>
      </c>
      <c r="F807" s="13" t="s">
        <v>11</v>
      </c>
    </row>
    <row r="808" ht="18" customHeight="1" spans="1:6">
      <c r="A808" s="13" t="s">
        <v>1257</v>
      </c>
      <c r="B808" s="13" t="s">
        <v>1361</v>
      </c>
      <c r="C808" s="13" t="s">
        <v>1701</v>
      </c>
      <c r="D808" s="13">
        <v>1</v>
      </c>
      <c r="E808" s="13" t="s">
        <v>1702</v>
      </c>
      <c r="F808" s="13" t="s">
        <v>11</v>
      </c>
    </row>
    <row r="809" ht="18" customHeight="1" spans="1:6">
      <c r="A809" s="13" t="s">
        <v>1257</v>
      </c>
      <c r="B809" s="13" t="s">
        <v>1361</v>
      </c>
      <c r="C809" s="13" t="s">
        <v>1703</v>
      </c>
      <c r="D809" s="13">
        <v>1</v>
      </c>
      <c r="E809" s="13" t="s">
        <v>1704</v>
      </c>
      <c r="F809" s="13" t="s">
        <v>11</v>
      </c>
    </row>
    <row r="810" ht="18" customHeight="1" spans="1:6">
      <c r="A810" s="13" t="s">
        <v>1257</v>
      </c>
      <c r="B810" s="13" t="s">
        <v>1361</v>
      </c>
      <c r="C810" s="13" t="s">
        <v>1705</v>
      </c>
      <c r="D810" s="13">
        <v>4</v>
      </c>
      <c r="E810" s="179" t="s">
        <v>1706</v>
      </c>
      <c r="F810" s="13" t="s">
        <v>11</v>
      </c>
    </row>
    <row r="811" ht="18" customHeight="1" spans="1:6">
      <c r="A811" s="13" t="s">
        <v>1257</v>
      </c>
      <c r="B811" s="13" t="s">
        <v>1707</v>
      </c>
      <c r="C811" s="5" t="s">
        <v>1708</v>
      </c>
      <c r="D811" s="5">
        <v>3</v>
      </c>
      <c r="E811" s="5" t="str">
        <f>LEFT("420325196703221977",19)</f>
        <v>420325196703221977</v>
      </c>
      <c r="F811" s="13" t="s">
        <v>11</v>
      </c>
    </row>
    <row r="812" ht="18" customHeight="1" spans="1:6">
      <c r="A812" s="13" t="s">
        <v>1257</v>
      </c>
      <c r="B812" s="13" t="s">
        <v>1707</v>
      </c>
      <c r="C812" s="5" t="s">
        <v>1709</v>
      </c>
      <c r="D812" s="13">
        <v>1</v>
      </c>
      <c r="E812" s="5" t="str">
        <f>LEFT("420325195911111954",19)</f>
        <v>420325195911111954</v>
      </c>
      <c r="F812" s="13" t="s">
        <v>11</v>
      </c>
    </row>
    <row r="813" ht="18" customHeight="1" spans="1:6">
      <c r="A813" s="13" t="s">
        <v>1257</v>
      </c>
      <c r="B813" s="13" t="s">
        <v>1707</v>
      </c>
      <c r="C813" s="5" t="s">
        <v>1710</v>
      </c>
      <c r="D813" s="13">
        <v>1</v>
      </c>
      <c r="E813" s="5" t="str">
        <f>LEFT("42262619610308191X",19)</f>
        <v>42262619610308191X</v>
      </c>
      <c r="F813" s="13" t="s">
        <v>11</v>
      </c>
    </row>
    <row r="814" ht="18" customHeight="1" spans="1:6">
      <c r="A814" s="13" t="s">
        <v>1257</v>
      </c>
      <c r="B814" s="13" t="s">
        <v>1711</v>
      </c>
      <c r="C814" s="5" t="s">
        <v>1712</v>
      </c>
      <c r="D814" s="13">
        <v>4</v>
      </c>
      <c r="E814" s="178" t="s">
        <v>1713</v>
      </c>
      <c r="F814" s="13" t="s">
        <v>11</v>
      </c>
    </row>
    <row r="815" ht="18" customHeight="1" spans="1:6">
      <c r="A815" s="13" t="s">
        <v>1257</v>
      </c>
      <c r="B815" s="13" t="s">
        <v>1714</v>
      </c>
      <c r="C815" s="5" t="s">
        <v>1715</v>
      </c>
      <c r="D815" s="13">
        <v>4</v>
      </c>
      <c r="E815" s="178" t="s">
        <v>1716</v>
      </c>
      <c r="F815" s="13" t="s">
        <v>11</v>
      </c>
    </row>
    <row r="816" ht="18" customHeight="1" spans="1:6">
      <c r="A816" s="13" t="s">
        <v>1257</v>
      </c>
      <c r="B816" s="13" t="s">
        <v>1717</v>
      </c>
      <c r="C816" s="5" t="s">
        <v>1718</v>
      </c>
      <c r="D816" s="13">
        <v>4</v>
      </c>
      <c r="E816" s="178" t="s">
        <v>1719</v>
      </c>
      <c r="F816" s="13" t="s">
        <v>11</v>
      </c>
    </row>
    <row r="817" ht="18" customHeight="1" spans="1:6">
      <c r="A817" s="13" t="s">
        <v>1257</v>
      </c>
      <c r="B817" s="13" t="s">
        <v>1707</v>
      </c>
      <c r="C817" s="13" t="s">
        <v>1720</v>
      </c>
      <c r="D817" s="13">
        <v>3</v>
      </c>
      <c r="E817" s="179" t="s">
        <v>1721</v>
      </c>
      <c r="F817" s="13" t="s">
        <v>11</v>
      </c>
    </row>
    <row r="818" ht="18" customHeight="1" spans="1:6">
      <c r="A818" s="13" t="s">
        <v>1257</v>
      </c>
      <c r="B818" s="13" t="s">
        <v>1722</v>
      </c>
      <c r="C818" s="13" t="s">
        <v>1723</v>
      </c>
      <c r="D818" s="13">
        <v>4</v>
      </c>
      <c r="E818" s="179" t="s">
        <v>1724</v>
      </c>
      <c r="F818" s="13" t="s">
        <v>11</v>
      </c>
    </row>
    <row r="819" ht="18" customHeight="1" spans="1:6">
      <c r="A819" s="13" t="s">
        <v>1257</v>
      </c>
      <c r="B819" s="13" t="s">
        <v>1707</v>
      </c>
      <c r="C819" s="13" t="s">
        <v>1725</v>
      </c>
      <c r="D819" s="13">
        <v>2</v>
      </c>
      <c r="E819" s="5" t="str">
        <f>LEFT("422626197101121935",19)</f>
        <v>422626197101121935</v>
      </c>
      <c r="F819" s="13" t="s">
        <v>11</v>
      </c>
    </row>
    <row r="820" ht="18" customHeight="1" spans="1:6">
      <c r="A820" s="13" t="s">
        <v>1257</v>
      </c>
      <c r="B820" s="13" t="s">
        <v>1726</v>
      </c>
      <c r="C820" s="13" t="s">
        <v>1727</v>
      </c>
      <c r="D820" s="13">
        <v>2</v>
      </c>
      <c r="E820" s="13" t="s">
        <v>1728</v>
      </c>
      <c r="F820" s="13" t="s">
        <v>11</v>
      </c>
    </row>
    <row r="821" ht="18" customHeight="1" spans="1:6">
      <c r="A821" s="13" t="s">
        <v>1257</v>
      </c>
      <c r="B821" s="13" t="s">
        <v>1726</v>
      </c>
      <c r="C821" s="13" t="s">
        <v>1729</v>
      </c>
      <c r="D821" s="13">
        <v>2</v>
      </c>
      <c r="E821" s="179" t="s">
        <v>1730</v>
      </c>
      <c r="F821" s="13" t="s">
        <v>11</v>
      </c>
    </row>
    <row r="822" ht="18" customHeight="1" spans="1:6">
      <c r="A822" s="13" t="s">
        <v>1257</v>
      </c>
      <c r="B822" s="13" t="s">
        <v>1726</v>
      </c>
      <c r="C822" s="13" t="s">
        <v>1731</v>
      </c>
      <c r="D822" s="13">
        <v>4</v>
      </c>
      <c r="E822" s="13" t="s">
        <v>1732</v>
      </c>
      <c r="F822" s="13" t="s">
        <v>11</v>
      </c>
    </row>
    <row r="823" ht="18" customHeight="1" spans="1:6">
      <c r="A823" s="13" t="s">
        <v>1257</v>
      </c>
      <c r="B823" s="13" t="s">
        <v>1726</v>
      </c>
      <c r="C823" s="13" t="s">
        <v>1733</v>
      </c>
      <c r="D823" s="13">
        <v>4</v>
      </c>
      <c r="E823" s="13" t="s">
        <v>1734</v>
      </c>
      <c r="F823" s="13" t="s">
        <v>11</v>
      </c>
    </row>
    <row r="824" ht="18" customHeight="1" spans="1:6">
      <c r="A824" s="13" t="s">
        <v>1257</v>
      </c>
      <c r="B824" s="13" t="s">
        <v>1726</v>
      </c>
      <c r="C824" s="13" t="s">
        <v>1735</v>
      </c>
      <c r="D824" s="13">
        <v>3</v>
      </c>
      <c r="E824" s="13" t="s">
        <v>1736</v>
      </c>
      <c r="F824" s="13" t="s">
        <v>11</v>
      </c>
    </row>
    <row r="825" ht="18" customHeight="1" spans="1:6">
      <c r="A825" s="13" t="s">
        <v>1257</v>
      </c>
      <c r="B825" s="13" t="s">
        <v>1726</v>
      </c>
      <c r="C825" s="13" t="s">
        <v>1737</v>
      </c>
      <c r="D825" s="13">
        <v>5</v>
      </c>
      <c r="E825" s="13" t="s">
        <v>1738</v>
      </c>
      <c r="F825" s="13" t="s">
        <v>11</v>
      </c>
    </row>
    <row r="826" ht="18" customHeight="1" spans="1:6">
      <c r="A826" s="13" t="s">
        <v>1257</v>
      </c>
      <c r="B826" s="13" t="s">
        <v>1726</v>
      </c>
      <c r="C826" s="13" t="s">
        <v>1739</v>
      </c>
      <c r="D826" s="13">
        <v>1</v>
      </c>
      <c r="E826" s="13" t="s">
        <v>1740</v>
      </c>
      <c r="F826" s="13" t="s">
        <v>11</v>
      </c>
    </row>
    <row r="827" ht="18" customHeight="1" spans="1:6">
      <c r="A827" s="13" t="s">
        <v>1257</v>
      </c>
      <c r="B827" s="13" t="s">
        <v>1726</v>
      </c>
      <c r="C827" s="13" t="s">
        <v>1741</v>
      </c>
      <c r="D827" s="13">
        <v>2</v>
      </c>
      <c r="E827" s="13" t="s">
        <v>1742</v>
      </c>
      <c r="F827" s="13" t="s">
        <v>11</v>
      </c>
    </row>
    <row r="828" ht="18" customHeight="1" spans="1:6">
      <c r="A828" s="13" t="s">
        <v>1257</v>
      </c>
      <c r="B828" s="13" t="s">
        <v>1726</v>
      </c>
      <c r="C828" s="13" t="s">
        <v>1743</v>
      </c>
      <c r="D828" s="13">
        <v>1</v>
      </c>
      <c r="E828" s="13" t="s">
        <v>1744</v>
      </c>
      <c r="F828" s="13" t="s">
        <v>11</v>
      </c>
    </row>
    <row r="829" ht="18" customHeight="1" spans="1:6">
      <c r="A829" s="13" t="s">
        <v>1257</v>
      </c>
      <c r="B829" s="13" t="s">
        <v>1726</v>
      </c>
      <c r="C829" s="13" t="s">
        <v>1745</v>
      </c>
      <c r="D829" s="13">
        <v>1</v>
      </c>
      <c r="E829" s="13" t="s">
        <v>1746</v>
      </c>
      <c r="F829" s="13" t="s">
        <v>11</v>
      </c>
    </row>
    <row r="830" ht="18" customHeight="1" spans="1:6">
      <c r="A830" s="13" t="s">
        <v>1257</v>
      </c>
      <c r="B830" s="13" t="s">
        <v>1726</v>
      </c>
      <c r="C830" s="13" t="s">
        <v>1747</v>
      </c>
      <c r="D830" s="13">
        <v>1</v>
      </c>
      <c r="E830" s="13" t="s">
        <v>1748</v>
      </c>
      <c r="F830" s="13" t="s">
        <v>11</v>
      </c>
    </row>
    <row r="831" ht="18" customHeight="1" spans="1:6">
      <c r="A831" s="13" t="s">
        <v>1257</v>
      </c>
      <c r="B831" s="13" t="s">
        <v>1726</v>
      </c>
      <c r="C831" s="13" t="s">
        <v>1749</v>
      </c>
      <c r="D831" s="13">
        <v>1</v>
      </c>
      <c r="E831" s="13" t="s">
        <v>1750</v>
      </c>
      <c r="F831" s="13" t="s">
        <v>11</v>
      </c>
    </row>
    <row r="832" ht="18" customHeight="1" spans="1:6">
      <c r="A832" s="13" t="s">
        <v>1257</v>
      </c>
      <c r="B832" s="13" t="s">
        <v>1726</v>
      </c>
      <c r="C832" s="13" t="s">
        <v>1751</v>
      </c>
      <c r="D832" s="13">
        <v>2</v>
      </c>
      <c r="E832" s="13" t="s">
        <v>1752</v>
      </c>
      <c r="F832" s="13" t="s">
        <v>11</v>
      </c>
    </row>
    <row r="833" ht="18" customHeight="1" spans="1:6">
      <c r="A833" s="13" t="s">
        <v>1257</v>
      </c>
      <c r="B833" s="13" t="s">
        <v>1726</v>
      </c>
      <c r="C833" s="13" t="s">
        <v>1337</v>
      </c>
      <c r="D833" s="13">
        <v>2</v>
      </c>
      <c r="E833" s="13" t="s">
        <v>1753</v>
      </c>
      <c r="F833" s="13" t="s">
        <v>11</v>
      </c>
    </row>
    <row r="834" ht="18" customHeight="1" spans="1:6">
      <c r="A834" s="13" t="s">
        <v>1257</v>
      </c>
      <c r="B834" s="13" t="s">
        <v>1726</v>
      </c>
      <c r="C834" s="13" t="s">
        <v>1754</v>
      </c>
      <c r="D834" s="13">
        <v>1</v>
      </c>
      <c r="E834" s="13" t="s">
        <v>1755</v>
      </c>
      <c r="F834" s="13" t="s">
        <v>11</v>
      </c>
    </row>
    <row r="835" ht="18" customHeight="1" spans="1:6">
      <c r="A835" s="13" t="s">
        <v>1257</v>
      </c>
      <c r="B835" s="13" t="s">
        <v>1726</v>
      </c>
      <c r="C835" s="13" t="s">
        <v>1756</v>
      </c>
      <c r="D835" s="13">
        <v>1</v>
      </c>
      <c r="E835" s="13" t="s">
        <v>1757</v>
      </c>
      <c r="F835" s="13" t="s">
        <v>11</v>
      </c>
    </row>
    <row r="836" ht="18" customHeight="1" spans="1:6">
      <c r="A836" s="13" t="s">
        <v>1257</v>
      </c>
      <c r="B836" s="13" t="s">
        <v>1726</v>
      </c>
      <c r="C836" s="13" t="s">
        <v>1758</v>
      </c>
      <c r="D836" s="13">
        <v>4</v>
      </c>
      <c r="E836" s="13" t="s">
        <v>1759</v>
      </c>
      <c r="F836" s="13" t="s">
        <v>11</v>
      </c>
    </row>
    <row r="837" ht="18" customHeight="1" spans="1:6">
      <c r="A837" s="13" t="s">
        <v>1257</v>
      </c>
      <c r="B837" s="13" t="s">
        <v>1760</v>
      </c>
      <c r="C837" s="5" t="s">
        <v>1761</v>
      </c>
      <c r="D837" s="6">
        <v>1</v>
      </c>
      <c r="E837" s="5" t="str">
        <f>LEFT("420325197410021917",19)</f>
        <v>420325197410021917</v>
      </c>
      <c r="F837" s="13" t="s">
        <v>11</v>
      </c>
    </row>
    <row r="838" ht="18" customHeight="1" spans="1:6">
      <c r="A838" s="13" t="s">
        <v>1257</v>
      </c>
      <c r="B838" s="13" t="s">
        <v>1762</v>
      </c>
      <c r="C838" s="5" t="s">
        <v>1763</v>
      </c>
      <c r="D838" s="5">
        <v>2</v>
      </c>
      <c r="E838" s="5" t="s">
        <v>1764</v>
      </c>
      <c r="F838" s="13" t="s">
        <v>11</v>
      </c>
    </row>
    <row r="839" ht="18" customHeight="1" spans="1:6">
      <c r="A839" s="13" t="s">
        <v>1257</v>
      </c>
      <c r="B839" s="5" t="s">
        <v>1765</v>
      </c>
      <c r="C839" s="5" t="s">
        <v>1766</v>
      </c>
      <c r="D839" s="5">
        <v>3</v>
      </c>
      <c r="E839" s="178" t="s">
        <v>1767</v>
      </c>
      <c r="F839" s="13" t="s">
        <v>11</v>
      </c>
    </row>
    <row r="840" ht="18" customHeight="1" spans="1:6">
      <c r="A840" s="13" t="s">
        <v>1257</v>
      </c>
      <c r="B840" s="5" t="s">
        <v>1768</v>
      </c>
      <c r="C840" s="5" t="s">
        <v>1769</v>
      </c>
      <c r="D840" s="5">
        <v>2</v>
      </c>
      <c r="E840" s="179" t="s">
        <v>1770</v>
      </c>
      <c r="F840" s="13" t="s">
        <v>11</v>
      </c>
    </row>
    <row r="841" ht="18" customHeight="1" spans="1:6">
      <c r="A841" s="13" t="s">
        <v>1257</v>
      </c>
      <c r="B841" s="5" t="s">
        <v>1771</v>
      </c>
      <c r="C841" s="5" t="s">
        <v>1772</v>
      </c>
      <c r="D841" s="5">
        <v>1</v>
      </c>
      <c r="E841" s="178" t="s">
        <v>1773</v>
      </c>
      <c r="F841" s="13" t="s">
        <v>11</v>
      </c>
    </row>
    <row r="842" ht="18" customHeight="1" spans="1:6">
      <c r="A842" s="13" t="s">
        <v>1257</v>
      </c>
      <c r="B842" s="5" t="s">
        <v>1768</v>
      </c>
      <c r="C842" s="5" t="s">
        <v>1774</v>
      </c>
      <c r="D842" s="5">
        <v>1</v>
      </c>
      <c r="E842" s="178" t="s">
        <v>1775</v>
      </c>
      <c r="F842" s="13" t="s">
        <v>11</v>
      </c>
    </row>
    <row r="843" ht="18" customHeight="1" spans="1:6">
      <c r="A843" s="13" t="s">
        <v>1257</v>
      </c>
      <c r="B843" s="5" t="s">
        <v>1776</v>
      </c>
      <c r="C843" s="5" t="s">
        <v>1777</v>
      </c>
      <c r="D843" s="5">
        <v>1</v>
      </c>
      <c r="E843" s="178" t="s">
        <v>1778</v>
      </c>
      <c r="F843" s="13" t="s">
        <v>11</v>
      </c>
    </row>
    <row r="844" ht="18" customHeight="1" spans="1:6">
      <c r="A844" s="13" t="s">
        <v>1257</v>
      </c>
      <c r="B844" s="5" t="s">
        <v>1771</v>
      </c>
      <c r="C844" s="5" t="s">
        <v>1779</v>
      </c>
      <c r="D844" s="5">
        <v>1</v>
      </c>
      <c r="E844" s="178" t="s">
        <v>1780</v>
      </c>
      <c r="F844" s="13" t="s">
        <v>11</v>
      </c>
    </row>
    <row r="845" ht="18" customHeight="1" spans="1:6">
      <c r="A845" s="13" t="s">
        <v>1257</v>
      </c>
      <c r="B845" s="5" t="s">
        <v>1771</v>
      </c>
      <c r="C845" s="5" t="s">
        <v>1781</v>
      </c>
      <c r="D845" s="5">
        <v>1</v>
      </c>
      <c r="E845" s="178" t="s">
        <v>1782</v>
      </c>
      <c r="F845" s="13" t="s">
        <v>11</v>
      </c>
    </row>
    <row r="846" ht="18" customHeight="1" spans="1:6">
      <c r="A846" s="13" t="s">
        <v>1257</v>
      </c>
      <c r="B846" s="5" t="s">
        <v>1783</v>
      </c>
      <c r="C846" s="5" t="s">
        <v>1784</v>
      </c>
      <c r="D846" s="5">
        <v>1</v>
      </c>
      <c r="E846" s="178" t="s">
        <v>1785</v>
      </c>
      <c r="F846" s="13" t="s">
        <v>11</v>
      </c>
    </row>
    <row r="847" ht="18" customHeight="1" spans="1:6">
      <c r="A847" s="13" t="s">
        <v>1257</v>
      </c>
      <c r="B847" s="5" t="s">
        <v>1771</v>
      </c>
      <c r="C847" s="5" t="s">
        <v>1786</v>
      </c>
      <c r="D847" s="5">
        <v>1</v>
      </c>
      <c r="E847" s="178" t="s">
        <v>1787</v>
      </c>
      <c r="F847" s="13" t="s">
        <v>11</v>
      </c>
    </row>
    <row r="848" ht="18" customHeight="1" spans="1:6">
      <c r="A848" s="13" t="s">
        <v>1257</v>
      </c>
      <c r="B848" s="5" t="s">
        <v>1788</v>
      </c>
      <c r="C848" s="5" t="s">
        <v>1789</v>
      </c>
      <c r="D848" s="5">
        <v>1</v>
      </c>
      <c r="E848" s="178" t="s">
        <v>1790</v>
      </c>
      <c r="F848" s="13" t="s">
        <v>11</v>
      </c>
    </row>
    <row r="849" ht="18" customHeight="1" spans="1:6">
      <c r="A849" s="13" t="s">
        <v>1257</v>
      </c>
      <c r="B849" s="14" t="s">
        <v>1791</v>
      </c>
      <c r="C849" s="14" t="s">
        <v>1792</v>
      </c>
      <c r="D849" s="15">
        <v>1</v>
      </c>
      <c r="E849" s="14" t="s">
        <v>1793</v>
      </c>
      <c r="F849" s="13" t="s">
        <v>11</v>
      </c>
    </row>
    <row r="850" ht="18" customHeight="1" spans="1:6">
      <c r="A850" s="13" t="s">
        <v>1257</v>
      </c>
      <c r="B850" s="14" t="s">
        <v>1258</v>
      </c>
      <c r="C850" s="14" t="s">
        <v>1794</v>
      </c>
      <c r="D850" s="15">
        <v>2</v>
      </c>
      <c r="E850" s="14" t="s">
        <v>1795</v>
      </c>
      <c r="F850" s="13" t="s">
        <v>11</v>
      </c>
    </row>
    <row r="851" ht="18" customHeight="1" spans="1:6">
      <c r="A851" s="13" t="s">
        <v>1257</v>
      </c>
      <c r="B851" s="13" t="s">
        <v>1796</v>
      </c>
      <c r="C851" s="13" t="s">
        <v>1797</v>
      </c>
      <c r="D851" s="13">
        <v>5</v>
      </c>
      <c r="E851" s="13" t="s">
        <v>1798</v>
      </c>
      <c r="F851" s="13" t="s">
        <v>11</v>
      </c>
    </row>
    <row r="852" ht="18" customHeight="1" spans="1:6">
      <c r="A852" s="13" t="s">
        <v>1257</v>
      </c>
      <c r="B852" s="13" t="s">
        <v>1796</v>
      </c>
      <c r="C852" s="13" t="s">
        <v>1799</v>
      </c>
      <c r="D852" s="13">
        <v>4</v>
      </c>
      <c r="E852" s="13" t="s">
        <v>1800</v>
      </c>
      <c r="F852" s="13" t="s">
        <v>11</v>
      </c>
    </row>
    <row r="853" ht="18" customHeight="1" spans="1:6">
      <c r="A853" s="13" t="s">
        <v>1257</v>
      </c>
      <c r="B853" s="13" t="s">
        <v>1796</v>
      </c>
      <c r="C853" s="13" t="s">
        <v>1801</v>
      </c>
      <c r="D853" s="13">
        <v>4</v>
      </c>
      <c r="E853" s="13" t="str">
        <f>LEFT("42262619671004191X",19)</f>
        <v>42262619671004191X</v>
      </c>
      <c r="F853" s="13" t="s">
        <v>11</v>
      </c>
    </row>
    <row r="854" ht="18" customHeight="1" spans="1:6">
      <c r="A854" s="13" t="s">
        <v>1257</v>
      </c>
      <c r="B854" s="13" t="s">
        <v>1796</v>
      </c>
      <c r="C854" s="13" t="s">
        <v>1802</v>
      </c>
      <c r="D854" s="13">
        <v>4</v>
      </c>
      <c r="E854" s="13" t="str">
        <f>LEFT("422626194104141911",19)</f>
        <v>422626194104141911</v>
      </c>
      <c r="F854" s="13" t="s">
        <v>11</v>
      </c>
    </row>
    <row r="855" ht="18" customHeight="1" spans="1:6">
      <c r="A855" s="13" t="s">
        <v>1257</v>
      </c>
      <c r="B855" s="13" t="s">
        <v>1796</v>
      </c>
      <c r="C855" s="13" t="s">
        <v>1803</v>
      </c>
      <c r="D855" s="13">
        <v>2</v>
      </c>
      <c r="E855" s="179" t="s">
        <v>1804</v>
      </c>
      <c r="F855" s="13" t="s">
        <v>11</v>
      </c>
    </row>
    <row r="856" ht="18" customHeight="1" spans="1:6">
      <c r="A856" s="13" t="s">
        <v>1257</v>
      </c>
      <c r="B856" s="13" t="s">
        <v>1796</v>
      </c>
      <c r="C856" s="13" t="s">
        <v>1805</v>
      </c>
      <c r="D856" s="13">
        <v>2</v>
      </c>
      <c r="E856" s="87" t="s">
        <v>1806</v>
      </c>
      <c r="F856" s="13" t="s">
        <v>11</v>
      </c>
    </row>
    <row r="857" ht="18" customHeight="1" spans="1:6">
      <c r="A857" s="13" t="s">
        <v>1257</v>
      </c>
      <c r="B857" s="13" t="s">
        <v>1796</v>
      </c>
      <c r="C857" s="13" t="s">
        <v>1807</v>
      </c>
      <c r="D857" s="13">
        <v>2</v>
      </c>
      <c r="E857" s="87" t="s">
        <v>1808</v>
      </c>
      <c r="F857" s="13" t="s">
        <v>11</v>
      </c>
    </row>
    <row r="858" ht="18" customHeight="1" spans="1:6">
      <c r="A858" s="13" t="s">
        <v>1257</v>
      </c>
      <c r="B858" s="13" t="s">
        <v>1796</v>
      </c>
      <c r="C858" s="13" t="s">
        <v>1809</v>
      </c>
      <c r="D858" s="13">
        <v>2</v>
      </c>
      <c r="E858" s="87" t="s">
        <v>1810</v>
      </c>
      <c r="F858" s="13" t="s">
        <v>11</v>
      </c>
    </row>
    <row r="859" ht="18" customHeight="1" spans="1:6">
      <c r="A859" s="13" t="s">
        <v>1811</v>
      </c>
      <c r="B859" s="13"/>
      <c r="C859" s="13">
        <v>267</v>
      </c>
      <c r="D859" s="13">
        <v>668</v>
      </c>
      <c r="E859" s="13"/>
      <c r="F859" s="13"/>
    </row>
    <row r="860" ht="18" customHeight="1" spans="1:6">
      <c r="A860" s="13" t="s">
        <v>1812</v>
      </c>
      <c r="B860" s="13" t="s">
        <v>1813</v>
      </c>
      <c r="C860" s="5" t="s">
        <v>1814</v>
      </c>
      <c r="D860" s="6">
        <v>7</v>
      </c>
      <c r="E860" s="5" t="str">
        <f>LEFT("422626195710262339",19)</f>
        <v>422626195710262339</v>
      </c>
      <c r="F860" s="13" t="s">
        <v>11</v>
      </c>
    </row>
    <row r="861" ht="18" customHeight="1" spans="1:6">
      <c r="A861" s="13" t="s">
        <v>1812</v>
      </c>
      <c r="B861" s="13" t="s">
        <v>1813</v>
      </c>
      <c r="C861" s="5" t="s">
        <v>1815</v>
      </c>
      <c r="D861" s="15">
        <v>4</v>
      </c>
      <c r="E861" s="5" t="str">
        <f>LEFT("420323196309286710",19)</f>
        <v>420323196309286710</v>
      </c>
      <c r="F861" s="13" t="s">
        <v>11</v>
      </c>
    </row>
    <row r="862" ht="18" customHeight="1" spans="1:6">
      <c r="A862" s="13" t="s">
        <v>1812</v>
      </c>
      <c r="B862" s="13" t="s">
        <v>1813</v>
      </c>
      <c r="C862" s="5" t="s">
        <v>1816</v>
      </c>
      <c r="D862" s="15">
        <v>6</v>
      </c>
      <c r="E862" s="5" t="str">
        <f>LEFT("42032519740225231X",19)</f>
        <v>42032519740225231X</v>
      </c>
      <c r="F862" s="13" t="s">
        <v>11</v>
      </c>
    </row>
    <row r="863" ht="18" customHeight="1" spans="1:6">
      <c r="A863" s="13" t="s">
        <v>1812</v>
      </c>
      <c r="B863" s="13" t="s">
        <v>1813</v>
      </c>
      <c r="C863" s="5" t="s">
        <v>1817</v>
      </c>
      <c r="D863" s="15">
        <v>2</v>
      </c>
      <c r="E863" s="5" t="str">
        <f>LEFT("220282197708132630",19)</f>
        <v>220282197708132630</v>
      </c>
      <c r="F863" s="13" t="s">
        <v>11</v>
      </c>
    </row>
    <row r="864" ht="18" customHeight="1" spans="1:6">
      <c r="A864" s="13" t="s">
        <v>1812</v>
      </c>
      <c r="B864" s="13" t="s">
        <v>1813</v>
      </c>
      <c r="C864" s="5" t="s">
        <v>1818</v>
      </c>
      <c r="D864" s="15">
        <v>5</v>
      </c>
      <c r="E864" s="5" t="str">
        <f>LEFT("422626195502272313",19)</f>
        <v>422626195502272313</v>
      </c>
      <c r="F864" s="13" t="s">
        <v>11</v>
      </c>
    </row>
    <row r="865" ht="18" customHeight="1" spans="1:6">
      <c r="A865" s="13" t="s">
        <v>1812</v>
      </c>
      <c r="B865" s="13" t="s">
        <v>1813</v>
      </c>
      <c r="C865" s="5" t="s">
        <v>1819</v>
      </c>
      <c r="D865" s="15">
        <v>3</v>
      </c>
      <c r="E865" s="5" t="str">
        <f>LEFT("422626195909042317",19)</f>
        <v>422626195909042317</v>
      </c>
      <c r="F865" s="13" t="s">
        <v>11</v>
      </c>
    </row>
    <row r="866" ht="18" customHeight="1" spans="1:6">
      <c r="A866" s="13" t="s">
        <v>1812</v>
      </c>
      <c r="B866" s="13" t="s">
        <v>1813</v>
      </c>
      <c r="C866" s="5" t="s">
        <v>1820</v>
      </c>
      <c r="D866" s="15">
        <v>5</v>
      </c>
      <c r="E866" s="5" t="str">
        <f>LEFT("422626197607232317",19)</f>
        <v>422626197607232317</v>
      </c>
      <c r="F866" s="13" t="s">
        <v>11</v>
      </c>
    </row>
    <row r="867" ht="18" customHeight="1" spans="1:6">
      <c r="A867" s="13" t="s">
        <v>1812</v>
      </c>
      <c r="B867" s="13" t="s">
        <v>1813</v>
      </c>
      <c r="C867" s="5" t="s">
        <v>1821</v>
      </c>
      <c r="D867" s="15">
        <v>5</v>
      </c>
      <c r="E867" s="5" t="str">
        <f>LEFT("422626197404182313",19)</f>
        <v>422626197404182313</v>
      </c>
      <c r="F867" s="13" t="s">
        <v>11</v>
      </c>
    </row>
    <row r="868" ht="18" customHeight="1" spans="1:6">
      <c r="A868" s="13" t="s">
        <v>1812</v>
      </c>
      <c r="B868" s="13" t="s">
        <v>1813</v>
      </c>
      <c r="C868" s="5" t="s">
        <v>1822</v>
      </c>
      <c r="D868" s="15">
        <v>3</v>
      </c>
      <c r="E868" s="5" t="str">
        <f>LEFT("420325197709242335",19)</f>
        <v>420325197709242335</v>
      </c>
      <c r="F868" s="13" t="s">
        <v>11</v>
      </c>
    </row>
    <row r="869" ht="18" customHeight="1" spans="1:6">
      <c r="A869" s="13" t="s">
        <v>1812</v>
      </c>
      <c r="B869" s="13" t="s">
        <v>1813</v>
      </c>
      <c r="C869" s="5" t="s">
        <v>1823</v>
      </c>
      <c r="D869" s="15">
        <v>4</v>
      </c>
      <c r="E869" s="5" t="str">
        <f>LEFT("420323196801135834",19)</f>
        <v>420323196801135834</v>
      </c>
      <c r="F869" s="13" t="s">
        <v>11</v>
      </c>
    </row>
    <row r="870" ht="18" customHeight="1" spans="1:6">
      <c r="A870" s="13" t="s">
        <v>1812</v>
      </c>
      <c r="B870" s="13" t="s">
        <v>1813</v>
      </c>
      <c r="C870" s="5" t="s">
        <v>1824</v>
      </c>
      <c r="D870" s="15">
        <v>3</v>
      </c>
      <c r="E870" s="5" t="str">
        <f>LEFT("422626194903112324",19)</f>
        <v>422626194903112324</v>
      </c>
      <c r="F870" s="13" t="s">
        <v>11</v>
      </c>
    </row>
    <row r="871" ht="18" customHeight="1" spans="1:6">
      <c r="A871" s="13" t="s">
        <v>1812</v>
      </c>
      <c r="B871" s="13" t="s">
        <v>1813</v>
      </c>
      <c r="C871" s="5" t="s">
        <v>1825</v>
      </c>
      <c r="D871" s="15">
        <v>5</v>
      </c>
      <c r="E871" s="5" t="str">
        <f>LEFT("420325197501012338",19)</f>
        <v>420325197501012338</v>
      </c>
      <c r="F871" s="13" t="s">
        <v>11</v>
      </c>
    </row>
    <row r="872" ht="18" customHeight="1" spans="1:6">
      <c r="A872" s="13" t="s">
        <v>1812</v>
      </c>
      <c r="B872" s="13" t="s">
        <v>1813</v>
      </c>
      <c r="C872" s="5" t="s">
        <v>1826</v>
      </c>
      <c r="D872" s="15">
        <v>2</v>
      </c>
      <c r="E872" s="5" t="str">
        <f>LEFT("420325198411032321",19)</f>
        <v>420325198411032321</v>
      </c>
      <c r="F872" s="13" t="s">
        <v>11</v>
      </c>
    </row>
    <row r="873" ht="18" customHeight="1" spans="1:6">
      <c r="A873" s="13" t="s">
        <v>1812</v>
      </c>
      <c r="B873" s="13" t="s">
        <v>1827</v>
      </c>
      <c r="C873" s="5" t="s">
        <v>1828</v>
      </c>
      <c r="D873" s="15">
        <v>2</v>
      </c>
      <c r="E873" s="5" t="str">
        <f>LEFT("420325199101112312",19)</f>
        <v>420325199101112312</v>
      </c>
      <c r="F873" s="13" t="s">
        <v>11</v>
      </c>
    </row>
    <row r="874" ht="18" customHeight="1" spans="1:6">
      <c r="A874" s="13" t="s">
        <v>1812</v>
      </c>
      <c r="B874" s="13" t="s">
        <v>1829</v>
      </c>
      <c r="C874" s="5" t="s">
        <v>1830</v>
      </c>
      <c r="D874" s="15">
        <v>4</v>
      </c>
      <c r="E874" s="5" t="str">
        <f>LEFT("422626197107272312",19)</f>
        <v>422626197107272312</v>
      </c>
      <c r="F874" s="13" t="s">
        <v>11</v>
      </c>
    </row>
    <row r="875" ht="18" customHeight="1" spans="1:6">
      <c r="A875" s="13" t="s">
        <v>1812</v>
      </c>
      <c r="B875" s="13" t="s">
        <v>1829</v>
      </c>
      <c r="C875" s="5" t="s">
        <v>1831</v>
      </c>
      <c r="D875" s="15">
        <v>2</v>
      </c>
      <c r="E875" s="5" t="str">
        <f>LEFT("420325198704282324",19)</f>
        <v>420325198704282324</v>
      </c>
      <c r="F875" s="13" t="s">
        <v>11</v>
      </c>
    </row>
    <row r="876" ht="18" customHeight="1" spans="1:6">
      <c r="A876" s="13" t="s">
        <v>1812</v>
      </c>
      <c r="B876" s="13" t="s">
        <v>1829</v>
      </c>
      <c r="C876" s="5" t="s">
        <v>1832</v>
      </c>
      <c r="D876" s="15">
        <v>5</v>
      </c>
      <c r="E876" s="5" t="str">
        <f>LEFT("420325197411272339",19)</f>
        <v>420325197411272339</v>
      </c>
      <c r="F876" s="13" t="s">
        <v>11</v>
      </c>
    </row>
    <row r="877" ht="18" customHeight="1" spans="1:6">
      <c r="A877" s="13" t="s">
        <v>1812</v>
      </c>
      <c r="B877" s="13" t="s">
        <v>1833</v>
      </c>
      <c r="C877" s="5" t="s">
        <v>1834</v>
      </c>
      <c r="D877" s="15">
        <v>4</v>
      </c>
      <c r="E877" s="5" t="str">
        <f>LEFT("420325198612232338",19)</f>
        <v>420325198612232338</v>
      </c>
      <c r="F877" s="13" t="s">
        <v>11</v>
      </c>
    </row>
    <row r="878" ht="18" customHeight="1" spans="1:6">
      <c r="A878" s="13" t="s">
        <v>1812</v>
      </c>
      <c r="B878" s="13" t="s">
        <v>1833</v>
      </c>
      <c r="C878" s="5" t="s">
        <v>1835</v>
      </c>
      <c r="D878" s="15">
        <v>4</v>
      </c>
      <c r="E878" s="5" t="str">
        <f>LEFT("422626196703212311",19)</f>
        <v>422626196703212311</v>
      </c>
      <c r="F878" s="13" t="s">
        <v>11</v>
      </c>
    </row>
    <row r="879" ht="18" customHeight="1" spans="1:6">
      <c r="A879" s="13" t="s">
        <v>1812</v>
      </c>
      <c r="B879" s="13" t="s">
        <v>1836</v>
      </c>
      <c r="C879" s="5" t="s">
        <v>929</v>
      </c>
      <c r="D879" s="15">
        <v>5</v>
      </c>
      <c r="E879" s="5" t="str">
        <f>LEFT("422626197510242316",19)</f>
        <v>422626197510242316</v>
      </c>
      <c r="F879" s="13" t="s">
        <v>11</v>
      </c>
    </row>
    <row r="880" ht="18" customHeight="1" spans="1:6">
      <c r="A880" s="13" t="s">
        <v>1812</v>
      </c>
      <c r="B880" s="13" t="s">
        <v>1836</v>
      </c>
      <c r="C880" s="5" t="s">
        <v>1837</v>
      </c>
      <c r="D880" s="15">
        <v>6</v>
      </c>
      <c r="E880" s="5" t="str">
        <f>LEFT("420325198009072317",19)</f>
        <v>420325198009072317</v>
      </c>
      <c r="F880" s="13" t="s">
        <v>11</v>
      </c>
    </row>
    <row r="881" ht="18" customHeight="1" spans="1:6">
      <c r="A881" s="13" t="s">
        <v>1812</v>
      </c>
      <c r="B881" s="13" t="s">
        <v>1836</v>
      </c>
      <c r="C881" s="5" t="s">
        <v>1838</v>
      </c>
      <c r="D881" s="15">
        <v>2</v>
      </c>
      <c r="E881" s="5" t="str">
        <f>LEFT("42262619510416232X",19)</f>
        <v>42262619510416232X</v>
      </c>
      <c r="F881" s="13" t="s">
        <v>11</v>
      </c>
    </row>
    <row r="882" ht="18" customHeight="1" spans="1:6">
      <c r="A882" s="13" t="s">
        <v>1812</v>
      </c>
      <c r="B882" s="13" t="s">
        <v>1836</v>
      </c>
      <c r="C882" s="5" t="s">
        <v>1839</v>
      </c>
      <c r="D882" s="15">
        <v>2</v>
      </c>
      <c r="E882" s="5" t="str">
        <f>LEFT("422626195703312318",19)</f>
        <v>422626195703312318</v>
      </c>
      <c r="F882" s="13" t="s">
        <v>11</v>
      </c>
    </row>
    <row r="883" ht="18" customHeight="1" spans="1:6">
      <c r="A883" s="13" t="s">
        <v>1812</v>
      </c>
      <c r="B883" s="13" t="s">
        <v>1836</v>
      </c>
      <c r="C883" s="5" t="s">
        <v>1840</v>
      </c>
      <c r="D883" s="15">
        <v>2</v>
      </c>
      <c r="E883" s="5" t="str">
        <f>LEFT("422626194106042319",19)</f>
        <v>422626194106042319</v>
      </c>
      <c r="F883" s="13" t="s">
        <v>11</v>
      </c>
    </row>
    <row r="884" ht="18" customHeight="1" spans="1:6">
      <c r="A884" s="13" t="s">
        <v>1812</v>
      </c>
      <c r="B884" s="13" t="s">
        <v>1836</v>
      </c>
      <c r="C884" s="5" t="s">
        <v>1841</v>
      </c>
      <c r="D884" s="15">
        <v>3</v>
      </c>
      <c r="E884" s="5" t="str">
        <f>LEFT("422626195612092313",19)</f>
        <v>422626195612092313</v>
      </c>
      <c r="F884" s="13" t="s">
        <v>11</v>
      </c>
    </row>
    <row r="885" ht="18" customHeight="1" spans="1:6">
      <c r="A885" s="13" t="s">
        <v>1812</v>
      </c>
      <c r="B885" s="13" t="s">
        <v>1842</v>
      </c>
      <c r="C885" s="5" t="s">
        <v>1843</v>
      </c>
      <c r="D885" s="15">
        <v>3</v>
      </c>
      <c r="E885" s="5" t="str">
        <f>LEFT("420325198301142319",19)</f>
        <v>420325198301142319</v>
      </c>
      <c r="F885" s="13" t="s">
        <v>11</v>
      </c>
    </row>
    <row r="886" ht="18" customHeight="1" spans="1:6">
      <c r="A886" s="13" t="s">
        <v>1812</v>
      </c>
      <c r="B886" s="13" t="s">
        <v>1842</v>
      </c>
      <c r="C886" s="5" t="s">
        <v>1844</v>
      </c>
      <c r="D886" s="15">
        <v>2</v>
      </c>
      <c r="E886" s="5" t="str">
        <f>LEFT("422626195705242333",19)</f>
        <v>422626195705242333</v>
      </c>
      <c r="F886" s="13" t="s">
        <v>11</v>
      </c>
    </row>
    <row r="887" ht="18" customHeight="1" spans="1:6">
      <c r="A887" s="13" t="s">
        <v>1812</v>
      </c>
      <c r="B887" s="13" t="s">
        <v>1842</v>
      </c>
      <c r="C887" s="5" t="s">
        <v>1845</v>
      </c>
      <c r="D887" s="15">
        <v>2</v>
      </c>
      <c r="E887" s="5" t="str">
        <f>LEFT("422626195504022318",19)</f>
        <v>422626195504022318</v>
      </c>
      <c r="F887" s="13" t="s">
        <v>11</v>
      </c>
    </row>
    <row r="888" ht="18" customHeight="1" spans="1:6">
      <c r="A888" s="13" t="s">
        <v>1812</v>
      </c>
      <c r="B888" s="14" t="s">
        <v>1846</v>
      </c>
      <c r="C888" s="14" t="s">
        <v>1847</v>
      </c>
      <c r="D888" s="15">
        <v>3</v>
      </c>
      <c r="E888" s="14" t="s">
        <v>1848</v>
      </c>
      <c r="F888" s="14" t="s">
        <v>11</v>
      </c>
    </row>
    <row r="889" ht="18" customHeight="1" spans="1:6">
      <c r="A889" s="13" t="s">
        <v>1812</v>
      </c>
      <c r="B889" s="14" t="s">
        <v>1846</v>
      </c>
      <c r="C889" s="14" t="s">
        <v>1849</v>
      </c>
      <c r="D889" s="15">
        <v>3</v>
      </c>
      <c r="E889" s="135" t="s">
        <v>1850</v>
      </c>
      <c r="F889" s="14" t="s">
        <v>11</v>
      </c>
    </row>
    <row r="890" ht="18" customHeight="1" spans="1:6">
      <c r="A890" s="13" t="s">
        <v>1812</v>
      </c>
      <c r="B890" s="14" t="s">
        <v>1846</v>
      </c>
      <c r="C890" s="14" t="s">
        <v>1851</v>
      </c>
      <c r="D890" s="15">
        <v>1</v>
      </c>
      <c r="E890" s="135" t="s">
        <v>1852</v>
      </c>
      <c r="F890" s="14" t="s">
        <v>11</v>
      </c>
    </row>
    <row r="891" ht="18" customHeight="1" spans="1:6">
      <c r="A891" s="13" t="s">
        <v>1812</v>
      </c>
      <c r="B891" s="14" t="s">
        <v>1846</v>
      </c>
      <c r="C891" s="14" t="s">
        <v>1679</v>
      </c>
      <c r="D891" s="15">
        <v>2</v>
      </c>
      <c r="E891" s="135" t="s">
        <v>1853</v>
      </c>
      <c r="F891" s="14" t="s">
        <v>11</v>
      </c>
    </row>
    <row r="892" ht="18" customHeight="1" spans="1:6">
      <c r="A892" s="13" t="s">
        <v>1812</v>
      </c>
      <c r="B892" s="14" t="s">
        <v>1846</v>
      </c>
      <c r="C892" s="136" t="s">
        <v>1854</v>
      </c>
      <c r="D892" s="15">
        <v>1</v>
      </c>
      <c r="E892" s="135" t="s">
        <v>1855</v>
      </c>
      <c r="F892" s="14" t="s">
        <v>11</v>
      </c>
    </row>
    <row r="893" ht="18" customHeight="1" spans="1:6">
      <c r="A893" s="13" t="s">
        <v>1812</v>
      </c>
      <c r="B893" s="14" t="s">
        <v>1846</v>
      </c>
      <c r="C893" s="136" t="s">
        <v>1856</v>
      </c>
      <c r="D893" s="15">
        <v>3</v>
      </c>
      <c r="E893" s="135" t="s">
        <v>1857</v>
      </c>
      <c r="F893" s="14" t="s">
        <v>11</v>
      </c>
    </row>
    <row r="894" ht="18" customHeight="1" spans="1:6">
      <c r="A894" s="13" t="s">
        <v>1812</v>
      </c>
      <c r="B894" s="14" t="s">
        <v>1858</v>
      </c>
      <c r="C894" s="136" t="s">
        <v>1859</v>
      </c>
      <c r="D894" s="15">
        <v>1</v>
      </c>
      <c r="E894" s="135" t="s">
        <v>1860</v>
      </c>
      <c r="F894" s="14" t="s">
        <v>11</v>
      </c>
    </row>
    <row r="895" ht="18" customHeight="1" spans="1:6">
      <c r="A895" s="13" t="s">
        <v>1812</v>
      </c>
      <c r="B895" s="14" t="s">
        <v>1858</v>
      </c>
      <c r="C895" s="136" t="s">
        <v>1861</v>
      </c>
      <c r="D895" s="15">
        <v>2</v>
      </c>
      <c r="E895" s="135" t="s">
        <v>1862</v>
      </c>
      <c r="F895" s="14" t="s">
        <v>11</v>
      </c>
    </row>
    <row r="896" ht="18" customHeight="1" spans="1:6">
      <c r="A896" s="13" t="s">
        <v>1812</v>
      </c>
      <c r="B896" s="14" t="s">
        <v>1858</v>
      </c>
      <c r="C896" s="136" t="s">
        <v>1863</v>
      </c>
      <c r="D896" s="15">
        <v>3</v>
      </c>
      <c r="E896" s="135" t="s">
        <v>1864</v>
      </c>
      <c r="F896" s="14" t="s">
        <v>11</v>
      </c>
    </row>
    <row r="897" ht="18" customHeight="1" spans="1:6">
      <c r="A897" s="13" t="s">
        <v>1812</v>
      </c>
      <c r="B897" s="14" t="s">
        <v>1858</v>
      </c>
      <c r="C897" s="136" t="s">
        <v>1865</v>
      </c>
      <c r="D897" s="15">
        <v>3</v>
      </c>
      <c r="E897" s="135" t="s">
        <v>1866</v>
      </c>
      <c r="F897" s="14" t="s">
        <v>11</v>
      </c>
    </row>
    <row r="898" ht="18" customHeight="1" spans="1:6">
      <c r="A898" s="13" t="s">
        <v>1812</v>
      </c>
      <c r="B898" s="14" t="s">
        <v>1858</v>
      </c>
      <c r="C898" s="136" t="s">
        <v>1867</v>
      </c>
      <c r="D898" s="15">
        <v>4</v>
      </c>
      <c r="E898" s="135" t="s">
        <v>1868</v>
      </c>
      <c r="F898" s="14" t="s">
        <v>11</v>
      </c>
    </row>
    <row r="899" ht="18" customHeight="1" spans="1:6">
      <c r="A899" s="13" t="s">
        <v>1812</v>
      </c>
      <c r="B899" s="14" t="s">
        <v>1858</v>
      </c>
      <c r="C899" s="136" t="s">
        <v>1869</v>
      </c>
      <c r="D899" s="15">
        <v>4</v>
      </c>
      <c r="E899" s="135" t="s">
        <v>1870</v>
      </c>
      <c r="F899" s="14" t="s">
        <v>11</v>
      </c>
    </row>
    <row r="900" ht="18" customHeight="1" spans="1:6">
      <c r="A900" s="13" t="s">
        <v>1812</v>
      </c>
      <c r="B900" s="14" t="s">
        <v>1858</v>
      </c>
      <c r="C900" s="136" t="s">
        <v>1871</v>
      </c>
      <c r="D900" s="15">
        <v>3</v>
      </c>
      <c r="E900" s="135" t="s">
        <v>1872</v>
      </c>
      <c r="F900" s="14" t="s">
        <v>11</v>
      </c>
    </row>
    <row r="901" ht="18" customHeight="1" spans="1:6">
      <c r="A901" s="13" t="s">
        <v>1812</v>
      </c>
      <c r="B901" s="14" t="s">
        <v>1858</v>
      </c>
      <c r="C901" s="136" t="s">
        <v>1873</v>
      </c>
      <c r="D901" s="15">
        <v>2</v>
      </c>
      <c r="E901" s="135" t="s">
        <v>1874</v>
      </c>
      <c r="F901" s="14" t="s">
        <v>11</v>
      </c>
    </row>
    <row r="902" ht="18" customHeight="1" spans="1:6">
      <c r="A902" s="13" t="s">
        <v>1812</v>
      </c>
      <c r="B902" s="14" t="s">
        <v>1858</v>
      </c>
      <c r="C902" s="136" t="s">
        <v>1875</v>
      </c>
      <c r="D902" s="15">
        <v>3</v>
      </c>
      <c r="E902" s="135" t="s">
        <v>1876</v>
      </c>
      <c r="F902" s="14" t="s">
        <v>11</v>
      </c>
    </row>
    <row r="903" ht="18" customHeight="1" spans="1:6">
      <c r="A903" s="13" t="s">
        <v>1812</v>
      </c>
      <c r="B903" s="14" t="s">
        <v>1858</v>
      </c>
      <c r="C903" s="136" t="s">
        <v>1877</v>
      </c>
      <c r="D903" s="15">
        <v>1</v>
      </c>
      <c r="E903" s="135" t="s">
        <v>1878</v>
      </c>
      <c r="F903" s="14" t="s">
        <v>11</v>
      </c>
    </row>
    <row r="904" ht="18" customHeight="1" spans="1:6">
      <c r="A904" s="13" t="s">
        <v>1812</v>
      </c>
      <c r="B904" s="14" t="s">
        <v>1858</v>
      </c>
      <c r="C904" s="136" t="s">
        <v>1879</v>
      </c>
      <c r="D904" s="15">
        <v>1</v>
      </c>
      <c r="E904" s="135" t="s">
        <v>1880</v>
      </c>
      <c r="F904" s="14" t="s">
        <v>11</v>
      </c>
    </row>
    <row r="905" ht="18" customHeight="1" spans="1:6">
      <c r="A905" s="13" t="s">
        <v>1812</v>
      </c>
      <c r="B905" s="14" t="s">
        <v>1858</v>
      </c>
      <c r="C905" s="136" t="s">
        <v>1881</v>
      </c>
      <c r="D905" s="15">
        <v>1</v>
      </c>
      <c r="E905" s="135" t="s">
        <v>1882</v>
      </c>
      <c r="F905" s="14" t="s">
        <v>11</v>
      </c>
    </row>
    <row r="906" ht="18" customHeight="1" spans="1:6">
      <c r="A906" s="13" t="s">
        <v>1812</v>
      </c>
      <c r="B906" s="14" t="s">
        <v>1858</v>
      </c>
      <c r="C906" s="136" t="s">
        <v>1883</v>
      </c>
      <c r="D906" s="15">
        <v>2</v>
      </c>
      <c r="E906" s="135" t="s">
        <v>1884</v>
      </c>
      <c r="F906" s="14" t="s">
        <v>11</v>
      </c>
    </row>
    <row r="907" ht="18" customHeight="1" spans="1:6">
      <c r="A907" s="13" t="s">
        <v>1812</v>
      </c>
      <c r="B907" s="14" t="s">
        <v>1858</v>
      </c>
      <c r="C907" s="136" t="s">
        <v>1885</v>
      </c>
      <c r="D907" s="15">
        <v>1</v>
      </c>
      <c r="E907" s="135" t="s">
        <v>1886</v>
      </c>
      <c r="F907" s="14" t="s">
        <v>11</v>
      </c>
    </row>
    <row r="908" ht="18" customHeight="1" spans="1:6">
      <c r="A908" s="13" t="s">
        <v>1812</v>
      </c>
      <c r="B908" s="14" t="s">
        <v>1858</v>
      </c>
      <c r="C908" s="136" t="s">
        <v>1887</v>
      </c>
      <c r="D908" s="15">
        <v>1</v>
      </c>
      <c r="E908" s="135" t="s">
        <v>1888</v>
      </c>
      <c r="F908" s="14" t="s">
        <v>11</v>
      </c>
    </row>
    <row r="909" ht="18" customHeight="1" spans="1:6">
      <c r="A909" s="13" t="s">
        <v>1812</v>
      </c>
      <c r="B909" s="14" t="s">
        <v>1858</v>
      </c>
      <c r="C909" s="136" t="s">
        <v>1889</v>
      </c>
      <c r="D909" s="15">
        <v>1</v>
      </c>
      <c r="E909" s="135" t="s">
        <v>1890</v>
      </c>
      <c r="F909" s="14" t="s">
        <v>11</v>
      </c>
    </row>
    <row r="910" ht="18" customHeight="1" spans="1:6">
      <c r="A910" s="13" t="s">
        <v>1812</v>
      </c>
      <c r="B910" s="14" t="s">
        <v>1858</v>
      </c>
      <c r="C910" s="136" t="s">
        <v>1891</v>
      </c>
      <c r="D910" s="15">
        <v>3</v>
      </c>
      <c r="E910" s="135" t="s">
        <v>1892</v>
      </c>
      <c r="F910" s="14" t="s">
        <v>11</v>
      </c>
    </row>
    <row r="911" ht="18" customHeight="1" spans="1:6">
      <c r="A911" s="13" t="s">
        <v>1812</v>
      </c>
      <c r="B911" s="14" t="s">
        <v>1858</v>
      </c>
      <c r="C911" s="136" t="s">
        <v>1893</v>
      </c>
      <c r="D911" s="15">
        <v>3</v>
      </c>
      <c r="E911" s="135" t="s">
        <v>1894</v>
      </c>
      <c r="F911" s="14" t="s">
        <v>11</v>
      </c>
    </row>
    <row r="912" ht="18" customHeight="1" spans="1:6">
      <c r="A912" s="13" t="s">
        <v>1812</v>
      </c>
      <c r="B912" s="14" t="s">
        <v>1858</v>
      </c>
      <c r="C912" s="136" t="s">
        <v>1895</v>
      </c>
      <c r="D912" s="15">
        <v>1</v>
      </c>
      <c r="E912" s="135" t="s">
        <v>1896</v>
      </c>
      <c r="F912" s="14" t="s">
        <v>11</v>
      </c>
    </row>
    <row r="913" ht="18" customHeight="1" spans="1:6">
      <c r="A913" s="13" t="s">
        <v>1812</v>
      </c>
      <c r="B913" s="14" t="s">
        <v>1858</v>
      </c>
      <c r="C913" s="136" t="s">
        <v>1897</v>
      </c>
      <c r="D913" s="15">
        <v>3</v>
      </c>
      <c r="E913" s="135" t="s">
        <v>1898</v>
      </c>
      <c r="F913" s="14" t="s">
        <v>11</v>
      </c>
    </row>
    <row r="914" ht="18" customHeight="1" spans="1:6">
      <c r="A914" s="13" t="s">
        <v>1812</v>
      </c>
      <c r="B914" s="14" t="s">
        <v>1858</v>
      </c>
      <c r="C914" s="136" t="s">
        <v>1899</v>
      </c>
      <c r="D914" s="15">
        <v>2</v>
      </c>
      <c r="E914" s="135" t="s">
        <v>1900</v>
      </c>
      <c r="F914" s="14" t="s">
        <v>11</v>
      </c>
    </row>
    <row r="915" ht="18" customHeight="1" spans="1:6">
      <c r="A915" s="13" t="s">
        <v>1812</v>
      </c>
      <c r="B915" s="14" t="s">
        <v>1858</v>
      </c>
      <c r="C915" s="136" t="s">
        <v>1901</v>
      </c>
      <c r="D915" s="15">
        <v>2</v>
      </c>
      <c r="E915" s="135" t="s">
        <v>1902</v>
      </c>
      <c r="F915" s="14" t="s">
        <v>11</v>
      </c>
    </row>
    <row r="916" ht="18" customHeight="1" spans="1:6">
      <c r="A916" s="13" t="s">
        <v>1812</v>
      </c>
      <c r="B916" s="14" t="s">
        <v>1858</v>
      </c>
      <c r="C916" s="136" t="s">
        <v>1903</v>
      </c>
      <c r="D916" s="15">
        <v>4</v>
      </c>
      <c r="E916" s="135" t="s">
        <v>1904</v>
      </c>
      <c r="F916" s="14" t="s">
        <v>11</v>
      </c>
    </row>
    <row r="917" ht="18" customHeight="1" spans="1:6">
      <c r="A917" s="13" t="s">
        <v>1812</v>
      </c>
      <c r="B917" s="14" t="s">
        <v>1858</v>
      </c>
      <c r="C917" s="136" t="s">
        <v>1905</v>
      </c>
      <c r="D917" s="15">
        <v>5</v>
      </c>
      <c r="E917" s="135" t="s">
        <v>1906</v>
      </c>
      <c r="F917" s="14" t="s">
        <v>11</v>
      </c>
    </row>
    <row r="918" ht="18" customHeight="1" spans="1:6">
      <c r="A918" s="13" t="s">
        <v>1812</v>
      </c>
      <c r="B918" s="14" t="s">
        <v>1858</v>
      </c>
      <c r="C918" s="136" t="s">
        <v>1907</v>
      </c>
      <c r="D918" s="15">
        <v>6</v>
      </c>
      <c r="E918" s="135" t="s">
        <v>1908</v>
      </c>
      <c r="F918" s="14" t="s">
        <v>11</v>
      </c>
    </row>
    <row r="919" ht="18" customHeight="1" spans="1:6">
      <c r="A919" s="13" t="s">
        <v>1812</v>
      </c>
      <c r="B919" s="14" t="s">
        <v>1858</v>
      </c>
      <c r="C919" s="136" t="s">
        <v>1909</v>
      </c>
      <c r="D919" s="15">
        <v>5</v>
      </c>
      <c r="E919" s="135" t="s">
        <v>1910</v>
      </c>
      <c r="F919" s="14" t="s">
        <v>11</v>
      </c>
    </row>
    <row r="920" ht="18" customHeight="1" spans="1:6">
      <c r="A920" s="13" t="s">
        <v>1812</v>
      </c>
      <c r="B920" s="14" t="s">
        <v>1858</v>
      </c>
      <c r="C920" s="136" t="s">
        <v>1911</v>
      </c>
      <c r="D920" s="15">
        <v>4</v>
      </c>
      <c r="E920" s="135" t="s">
        <v>1912</v>
      </c>
      <c r="F920" s="14" t="s">
        <v>11</v>
      </c>
    </row>
    <row r="921" ht="18" customHeight="1" spans="1:6">
      <c r="A921" s="13" t="s">
        <v>1812</v>
      </c>
      <c r="B921" s="14" t="s">
        <v>1913</v>
      </c>
      <c r="C921" s="136" t="s">
        <v>1914</v>
      </c>
      <c r="D921" s="15">
        <v>2</v>
      </c>
      <c r="E921" s="135" t="s">
        <v>1915</v>
      </c>
      <c r="F921" s="14" t="s">
        <v>11</v>
      </c>
    </row>
    <row r="922" ht="18" customHeight="1" spans="1:6">
      <c r="A922" s="13" t="s">
        <v>1812</v>
      </c>
      <c r="B922" s="14" t="s">
        <v>1913</v>
      </c>
      <c r="C922" s="136" t="s">
        <v>1916</v>
      </c>
      <c r="D922" s="15">
        <v>1</v>
      </c>
      <c r="E922" s="135" t="s">
        <v>1917</v>
      </c>
      <c r="F922" s="14" t="s">
        <v>11</v>
      </c>
    </row>
    <row r="923" ht="18" customHeight="1" spans="1:6">
      <c r="A923" s="13" t="s">
        <v>1812</v>
      </c>
      <c r="B923" s="14" t="s">
        <v>1913</v>
      </c>
      <c r="C923" s="136" t="s">
        <v>1918</v>
      </c>
      <c r="D923" s="15">
        <v>3</v>
      </c>
      <c r="E923" s="135" t="s">
        <v>1919</v>
      </c>
      <c r="F923" s="14" t="s">
        <v>11</v>
      </c>
    </row>
    <row r="924" ht="18" customHeight="1" spans="1:6">
      <c r="A924" s="13" t="s">
        <v>1812</v>
      </c>
      <c r="B924" s="14" t="s">
        <v>1913</v>
      </c>
      <c r="C924" s="136" t="s">
        <v>1920</v>
      </c>
      <c r="D924" s="15">
        <v>3</v>
      </c>
      <c r="E924" s="135" t="s">
        <v>1921</v>
      </c>
      <c r="F924" s="14" t="s">
        <v>11</v>
      </c>
    </row>
    <row r="925" ht="18" customHeight="1" spans="1:6">
      <c r="A925" s="13" t="s">
        <v>1812</v>
      </c>
      <c r="B925" s="14" t="s">
        <v>1913</v>
      </c>
      <c r="C925" s="136" t="s">
        <v>1922</v>
      </c>
      <c r="D925" s="15">
        <v>4</v>
      </c>
      <c r="E925" s="135" t="s">
        <v>1923</v>
      </c>
      <c r="F925" s="14" t="s">
        <v>11</v>
      </c>
    </row>
    <row r="926" ht="18" customHeight="1" spans="1:6">
      <c r="A926" s="13" t="s">
        <v>1812</v>
      </c>
      <c r="B926" s="14" t="s">
        <v>1913</v>
      </c>
      <c r="C926" s="136" t="s">
        <v>1924</v>
      </c>
      <c r="D926" s="15">
        <v>4</v>
      </c>
      <c r="E926" s="135" t="s">
        <v>1925</v>
      </c>
      <c r="F926" s="14" t="s">
        <v>11</v>
      </c>
    </row>
    <row r="927" ht="18" customHeight="1" spans="1:6">
      <c r="A927" s="13" t="s">
        <v>1812</v>
      </c>
      <c r="B927" s="14" t="s">
        <v>1913</v>
      </c>
      <c r="C927" s="136" t="s">
        <v>1926</v>
      </c>
      <c r="D927" s="15">
        <v>3</v>
      </c>
      <c r="E927" s="135" t="s">
        <v>1927</v>
      </c>
      <c r="F927" s="14" t="s">
        <v>11</v>
      </c>
    </row>
    <row r="928" ht="18" customHeight="1" spans="1:6">
      <c r="A928" s="13" t="s">
        <v>1812</v>
      </c>
      <c r="B928" s="14" t="s">
        <v>1913</v>
      </c>
      <c r="C928" s="136" t="s">
        <v>1928</v>
      </c>
      <c r="D928" s="15">
        <v>6</v>
      </c>
      <c r="E928" s="135" t="s">
        <v>1929</v>
      </c>
      <c r="F928" s="14" t="s">
        <v>11</v>
      </c>
    </row>
    <row r="929" ht="18" customHeight="1" spans="1:6">
      <c r="A929" s="13" t="s">
        <v>1812</v>
      </c>
      <c r="B929" s="14" t="s">
        <v>1913</v>
      </c>
      <c r="C929" s="136" t="s">
        <v>1930</v>
      </c>
      <c r="D929" s="15">
        <v>3</v>
      </c>
      <c r="E929" s="135" t="s">
        <v>1931</v>
      </c>
      <c r="F929" s="14" t="s">
        <v>11</v>
      </c>
    </row>
    <row r="930" ht="18" customHeight="1" spans="1:6">
      <c r="A930" s="13" t="s">
        <v>1812</v>
      </c>
      <c r="B930" s="14" t="s">
        <v>1913</v>
      </c>
      <c r="C930" s="136" t="s">
        <v>1932</v>
      </c>
      <c r="D930" s="15">
        <v>2</v>
      </c>
      <c r="E930" s="135" t="s">
        <v>1933</v>
      </c>
      <c r="F930" s="14" t="s">
        <v>11</v>
      </c>
    </row>
    <row r="931" ht="18" customHeight="1" spans="1:6">
      <c r="A931" s="13" t="s">
        <v>1812</v>
      </c>
      <c r="B931" s="14" t="s">
        <v>1913</v>
      </c>
      <c r="C931" s="136" t="s">
        <v>1934</v>
      </c>
      <c r="D931" s="15">
        <v>2</v>
      </c>
      <c r="E931" s="135" t="s">
        <v>1935</v>
      </c>
      <c r="F931" s="14" t="s">
        <v>11</v>
      </c>
    </row>
    <row r="932" ht="18" customHeight="1" spans="1:6">
      <c r="A932" s="13" t="s">
        <v>1812</v>
      </c>
      <c r="B932" s="14" t="s">
        <v>1913</v>
      </c>
      <c r="C932" s="136" t="s">
        <v>1936</v>
      </c>
      <c r="D932" s="15">
        <v>4</v>
      </c>
      <c r="E932" s="135" t="s">
        <v>1937</v>
      </c>
      <c r="F932" s="14" t="s">
        <v>11</v>
      </c>
    </row>
    <row r="933" ht="18" customHeight="1" spans="1:6">
      <c r="A933" s="13" t="s">
        <v>1812</v>
      </c>
      <c r="B933" s="14" t="s">
        <v>1938</v>
      </c>
      <c r="C933" s="136" t="s">
        <v>1939</v>
      </c>
      <c r="D933" s="15">
        <v>1</v>
      </c>
      <c r="E933" s="135" t="s">
        <v>1940</v>
      </c>
      <c r="F933" s="14" t="s">
        <v>11</v>
      </c>
    </row>
    <row r="934" ht="18" customHeight="1" spans="1:6">
      <c r="A934" s="13" t="s">
        <v>1812</v>
      </c>
      <c r="B934" s="14" t="s">
        <v>1938</v>
      </c>
      <c r="C934" s="136" t="s">
        <v>1941</v>
      </c>
      <c r="D934" s="15">
        <v>3</v>
      </c>
      <c r="E934" s="135" t="s">
        <v>1942</v>
      </c>
      <c r="F934" s="14" t="s">
        <v>11</v>
      </c>
    </row>
    <row r="935" ht="18" customHeight="1" spans="1:6">
      <c r="A935" s="13" t="s">
        <v>1812</v>
      </c>
      <c r="B935" s="14" t="s">
        <v>1938</v>
      </c>
      <c r="C935" s="136" t="s">
        <v>1943</v>
      </c>
      <c r="D935" s="15">
        <v>2</v>
      </c>
      <c r="E935" s="135" t="s">
        <v>1944</v>
      </c>
      <c r="F935" s="14" t="s">
        <v>11</v>
      </c>
    </row>
    <row r="936" ht="18" customHeight="1" spans="1:6">
      <c r="A936" s="13" t="s">
        <v>1812</v>
      </c>
      <c r="B936" s="14" t="s">
        <v>1938</v>
      </c>
      <c r="C936" s="136" t="s">
        <v>1945</v>
      </c>
      <c r="D936" s="15">
        <v>1</v>
      </c>
      <c r="E936" s="135" t="s">
        <v>1946</v>
      </c>
      <c r="F936" s="14" t="s">
        <v>11</v>
      </c>
    </row>
    <row r="937" ht="18" customHeight="1" spans="1:6">
      <c r="A937" s="13" t="s">
        <v>1812</v>
      </c>
      <c r="B937" s="14" t="s">
        <v>1938</v>
      </c>
      <c r="C937" s="136" t="s">
        <v>1947</v>
      </c>
      <c r="D937" s="15">
        <v>2</v>
      </c>
      <c r="E937" s="135" t="s">
        <v>1948</v>
      </c>
      <c r="F937" s="14" t="s">
        <v>11</v>
      </c>
    </row>
    <row r="938" ht="18" customHeight="1" spans="1:6">
      <c r="A938" s="13" t="s">
        <v>1812</v>
      </c>
      <c r="B938" s="14" t="s">
        <v>1938</v>
      </c>
      <c r="C938" s="136" t="s">
        <v>1949</v>
      </c>
      <c r="D938" s="15">
        <v>1</v>
      </c>
      <c r="E938" s="135" t="s">
        <v>1950</v>
      </c>
      <c r="F938" s="14" t="s">
        <v>11</v>
      </c>
    </row>
    <row r="939" ht="18" customHeight="1" spans="1:6">
      <c r="A939" s="13" t="s">
        <v>1812</v>
      </c>
      <c r="B939" s="14" t="s">
        <v>1938</v>
      </c>
      <c r="C939" s="136" t="s">
        <v>1951</v>
      </c>
      <c r="D939" s="15">
        <v>1</v>
      </c>
      <c r="E939" s="135" t="s">
        <v>1952</v>
      </c>
      <c r="F939" s="14" t="s">
        <v>11</v>
      </c>
    </row>
    <row r="940" ht="18" customHeight="1" spans="1:6">
      <c r="A940" s="13" t="s">
        <v>1812</v>
      </c>
      <c r="B940" s="14" t="s">
        <v>1938</v>
      </c>
      <c r="C940" s="136" t="s">
        <v>1953</v>
      </c>
      <c r="D940" s="15">
        <v>4</v>
      </c>
      <c r="E940" s="135" t="s">
        <v>1954</v>
      </c>
      <c r="F940" s="14" t="s">
        <v>11</v>
      </c>
    </row>
    <row r="941" ht="18" customHeight="1" spans="1:6">
      <c r="A941" s="13" t="s">
        <v>1812</v>
      </c>
      <c r="B941" s="14" t="s">
        <v>1938</v>
      </c>
      <c r="C941" s="136" t="s">
        <v>1955</v>
      </c>
      <c r="D941" s="15">
        <v>4</v>
      </c>
      <c r="E941" s="135" t="s">
        <v>1956</v>
      </c>
      <c r="F941" s="14" t="s">
        <v>11</v>
      </c>
    </row>
    <row r="942" ht="18" customHeight="1" spans="1:6">
      <c r="A942" s="13" t="s">
        <v>1812</v>
      </c>
      <c r="B942" s="14" t="s">
        <v>1938</v>
      </c>
      <c r="C942" s="136" t="s">
        <v>1957</v>
      </c>
      <c r="D942" s="15">
        <v>1</v>
      </c>
      <c r="E942" s="135" t="s">
        <v>1958</v>
      </c>
      <c r="F942" s="14" t="s">
        <v>11</v>
      </c>
    </row>
    <row r="943" ht="18" customHeight="1" spans="1:6">
      <c r="A943" s="13" t="s">
        <v>1812</v>
      </c>
      <c r="B943" s="14" t="s">
        <v>1938</v>
      </c>
      <c r="C943" s="136" t="s">
        <v>1959</v>
      </c>
      <c r="D943" s="15">
        <v>3</v>
      </c>
      <c r="E943" s="135" t="s">
        <v>1960</v>
      </c>
      <c r="F943" s="14" t="s">
        <v>11</v>
      </c>
    </row>
    <row r="944" ht="18" customHeight="1" spans="1:6">
      <c r="A944" s="13" t="s">
        <v>1812</v>
      </c>
      <c r="B944" s="14" t="s">
        <v>1938</v>
      </c>
      <c r="C944" s="136" t="s">
        <v>1961</v>
      </c>
      <c r="D944" s="15">
        <v>2</v>
      </c>
      <c r="E944" s="135" t="s">
        <v>1962</v>
      </c>
      <c r="F944" s="14" t="s">
        <v>11</v>
      </c>
    </row>
    <row r="945" ht="18" customHeight="1" spans="1:6">
      <c r="A945" s="13" t="s">
        <v>1812</v>
      </c>
      <c r="B945" s="14" t="s">
        <v>1938</v>
      </c>
      <c r="C945" s="136" t="s">
        <v>1963</v>
      </c>
      <c r="D945" s="15">
        <v>2</v>
      </c>
      <c r="E945" s="135" t="s">
        <v>1964</v>
      </c>
      <c r="F945" s="14" t="s">
        <v>11</v>
      </c>
    </row>
    <row r="946" ht="18" customHeight="1" spans="1:6">
      <c r="A946" s="13" t="s">
        <v>1812</v>
      </c>
      <c r="B946" s="14" t="s">
        <v>1938</v>
      </c>
      <c r="C946" s="136" t="s">
        <v>1965</v>
      </c>
      <c r="D946" s="15">
        <v>2</v>
      </c>
      <c r="E946" s="135" t="s">
        <v>1966</v>
      </c>
      <c r="F946" s="14" t="s">
        <v>11</v>
      </c>
    </row>
    <row r="947" ht="18" customHeight="1" spans="1:6">
      <c r="A947" s="13" t="s">
        <v>1812</v>
      </c>
      <c r="B947" s="14" t="s">
        <v>1938</v>
      </c>
      <c r="C947" s="136" t="s">
        <v>1967</v>
      </c>
      <c r="D947" s="15">
        <v>1</v>
      </c>
      <c r="E947" s="135" t="s">
        <v>1968</v>
      </c>
      <c r="F947" s="14" t="s">
        <v>11</v>
      </c>
    </row>
    <row r="948" ht="18" customHeight="1" spans="1:6">
      <c r="A948" s="13" t="s">
        <v>1812</v>
      </c>
      <c r="B948" s="14" t="s">
        <v>1938</v>
      </c>
      <c r="C948" s="136" t="s">
        <v>1969</v>
      </c>
      <c r="D948" s="15">
        <v>5</v>
      </c>
      <c r="E948" s="135" t="s">
        <v>1970</v>
      </c>
      <c r="F948" s="14" t="s">
        <v>11</v>
      </c>
    </row>
    <row r="949" ht="18" customHeight="1" spans="1:6">
      <c r="A949" s="13" t="s">
        <v>1812</v>
      </c>
      <c r="B949" s="14" t="s">
        <v>1938</v>
      </c>
      <c r="C949" s="136" t="s">
        <v>1971</v>
      </c>
      <c r="D949" s="15">
        <v>3</v>
      </c>
      <c r="E949" s="135" t="s">
        <v>1972</v>
      </c>
      <c r="F949" s="14" t="s">
        <v>11</v>
      </c>
    </row>
    <row r="950" ht="18" customHeight="1" spans="1:6">
      <c r="A950" s="13" t="s">
        <v>1812</v>
      </c>
      <c r="B950" s="14" t="s">
        <v>1938</v>
      </c>
      <c r="C950" s="136" t="s">
        <v>1973</v>
      </c>
      <c r="D950" s="15">
        <v>2</v>
      </c>
      <c r="E950" s="135" t="s">
        <v>1974</v>
      </c>
      <c r="F950" s="14" t="s">
        <v>11</v>
      </c>
    </row>
    <row r="951" ht="18" customHeight="1" spans="1:6">
      <c r="A951" s="13" t="s">
        <v>1812</v>
      </c>
      <c r="B951" s="14" t="s">
        <v>1975</v>
      </c>
      <c r="C951" s="136" t="s">
        <v>1976</v>
      </c>
      <c r="D951" s="15">
        <v>3</v>
      </c>
      <c r="E951" s="135" t="s">
        <v>1977</v>
      </c>
      <c r="F951" s="14" t="s">
        <v>11</v>
      </c>
    </row>
    <row r="952" ht="18" customHeight="1" spans="1:6">
      <c r="A952" s="13" t="s">
        <v>1812</v>
      </c>
      <c r="B952" s="14" t="s">
        <v>1975</v>
      </c>
      <c r="C952" s="136" t="s">
        <v>1978</v>
      </c>
      <c r="D952" s="15">
        <v>4</v>
      </c>
      <c r="E952" s="135" t="s">
        <v>1979</v>
      </c>
      <c r="F952" s="14" t="s">
        <v>11</v>
      </c>
    </row>
    <row r="953" ht="18" customHeight="1" spans="1:6">
      <c r="A953" s="13" t="s">
        <v>1812</v>
      </c>
      <c r="B953" s="14" t="s">
        <v>1975</v>
      </c>
      <c r="C953" s="136" t="s">
        <v>1980</v>
      </c>
      <c r="D953" s="15">
        <v>2</v>
      </c>
      <c r="E953" s="135" t="s">
        <v>1981</v>
      </c>
      <c r="F953" s="14" t="s">
        <v>11</v>
      </c>
    </row>
    <row r="954" ht="18" customHeight="1" spans="1:6">
      <c r="A954" s="13" t="s">
        <v>1812</v>
      </c>
      <c r="B954" s="14" t="s">
        <v>1975</v>
      </c>
      <c r="C954" s="136" t="s">
        <v>1982</v>
      </c>
      <c r="D954" s="15">
        <v>2</v>
      </c>
      <c r="E954" s="135" t="s">
        <v>1983</v>
      </c>
      <c r="F954" s="14" t="s">
        <v>11</v>
      </c>
    </row>
    <row r="955" ht="18" customHeight="1" spans="1:6">
      <c r="A955" s="13" t="s">
        <v>1812</v>
      </c>
      <c r="B955" s="14" t="s">
        <v>1975</v>
      </c>
      <c r="C955" s="136" t="s">
        <v>1984</v>
      </c>
      <c r="D955" s="15">
        <v>2</v>
      </c>
      <c r="E955" s="135" t="s">
        <v>1985</v>
      </c>
      <c r="F955" s="14" t="s">
        <v>11</v>
      </c>
    </row>
    <row r="956" ht="18" customHeight="1" spans="1:6">
      <c r="A956" s="13" t="s">
        <v>1812</v>
      </c>
      <c r="B956" s="14" t="s">
        <v>1975</v>
      </c>
      <c r="C956" s="136" t="s">
        <v>1986</v>
      </c>
      <c r="D956" s="15">
        <v>5</v>
      </c>
      <c r="E956" s="135" t="s">
        <v>1987</v>
      </c>
      <c r="F956" s="14" t="s">
        <v>11</v>
      </c>
    </row>
    <row r="957" ht="18" customHeight="1" spans="1:6">
      <c r="A957" s="13" t="s">
        <v>1812</v>
      </c>
      <c r="B957" s="14" t="s">
        <v>1975</v>
      </c>
      <c r="C957" s="136" t="s">
        <v>1988</v>
      </c>
      <c r="D957" s="15">
        <v>2</v>
      </c>
      <c r="E957" s="135" t="s">
        <v>1989</v>
      </c>
      <c r="F957" s="14" t="s">
        <v>11</v>
      </c>
    </row>
    <row r="958" ht="18" customHeight="1" spans="1:6">
      <c r="A958" s="13" t="s">
        <v>1812</v>
      </c>
      <c r="B958" s="14" t="s">
        <v>1975</v>
      </c>
      <c r="C958" s="136" t="s">
        <v>1990</v>
      </c>
      <c r="D958" s="15">
        <v>4</v>
      </c>
      <c r="E958" s="135" t="s">
        <v>1991</v>
      </c>
      <c r="F958" s="14" t="s">
        <v>11</v>
      </c>
    </row>
    <row r="959" ht="18" customHeight="1" spans="1:6">
      <c r="A959" s="13" t="s">
        <v>1812</v>
      </c>
      <c r="B959" s="14" t="s">
        <v>1975</v>
      </c>
      <c r="C959" s="136" t="s">
        <v>1992</v>
      </c>
      <c r="D959" s="15">
        <v>3</v>
      </c>
      <c r="E959" s="135" t="s">
        <v>1993</v>
      </c>
      <c r="F959" s="14" t="s">
        <v>11</v>
      </c>
    </row>
    <row r="960" ht="18" customHeight="1" spans="1:6">
      <c r="A960" s="13" t="s">
        <v>1812</v>
      </c>
      <c r="B960" s="14" t="s">
        <v>1975</v>
      </c>
      <c r="C960" s="136" t="s">
        <v>1994</v>
      </c>
      <c r="D960" s="15">
        <v>2</v>
      </c>
      <c r="E960" s="135" t="s">
        <v>1995</v>
      </c>
      <c r="F960" s="14" t="s">
        <v>11</v>
      </c>
    </row>
    <row r="961" ht="18" customHeight="1" spans="1:6">
      <c r="A961" s="13" t="s">
        <v>1812</v>
      </c>
      <c r="B961" s="14" t="s">
        <v>1975</v>
      </c>
      <c r="C961" s="136" t="s">
        <v>1996</v>
      </c>
      <c r="D961" s="15">
        <v>3</v>
      </c>
      <c r="E961" s="135" t="s">
        <v>1997</v>
      </c>
      <c r="F961" s="14" t="s">
        <v>11</v>
      </c>
    </row>
    <row r="962" ht="18" customHeight="1" spans="1:6">
      <c r="A962" s="13" t="s">
        <v>1812</v>
      </c>
      <c r="B962" s="14" t="s">
        <v>1998</v>
      </c>
      <c r="C962" s="136" t="s">
        <v>1999</v>
      </c>
      <c r="D962" s="15">
        <v>2</v>
      </c>
      <c r="E962" s="135" t="s">
        <v>2000</v>
      </c>
      <c r="F962" s="14" t="s">
        <v>11</v>
      </c>
    </row>
    <row r="963" ht="18" customHeight="1" spans="1:6">
      <c r="A963" s="13" t="s">
        <v>1812</v>
      </c>
      <c r="B963" s="14" t="s">
        <v>1998</v>
      </c>
      <c r="C963" s="136" t="s">
        <v>2001</v>
      </c>
      <c r="D963" s="15">
        <v>1</v>
      </c>
      <c r="E963" s="135" t="s">
        <v>2002</v>
      </c>
      <c r="F963" s="14" t="s">
        <v>11</v>
      </c>
    </row>
    <row r="964" ht="18" customHeight="1" spans="1:6">
      <c r="A964" s="13" t="s">
        <v>1812</v>
      </c>
      <c r="B964" s="14" t="s">
        <v>1998</v>
      </c>
      <c r="C964" s="136" t="s">
        <v>2003</v>
      </c>
      <c r="D964" s="15">
        <v>6</v>
      </c>
      <c r="E964" s="135" t="s">
        <v>2004</v>
      </c>
      <c r="F964" s="14" t="s">
        <v>11</v>
      </c>
    </row>
    <row r="965" ht="18" customHeight="1" spans="1:6">
      <c r="A965" s="13" t="s">
        <v>1812</v>
      </c>
      <c r="B965" s="14" t="s">
        <v>1998</v>
      </c>
      <c r="C965" s="136" t="s">
        <v>2005</v>
      </c>
      <c r="D965" s="15">
        <v>6</v>
      </c>
      <c r="E965" s="135" t="s">
        <v>2006</v>
      </c>
      <c r="F965" s="14" t="s">
        <v>11</v>
      </c>
    </row>
    <row r="966" ht="18" customHeight="1" spans="1:6">
      <c r="A966" s="13" t="s">
        <v>1812</v>
      </c>
      <c r="B966" s="14" t="s">
        <v>1998</v>
      </c>
      <c r="C966" s="136" t="s">
        <v>2007</v>
      </c>
      <c r="D966" s="15">
        <v>3</v>
      </c>
      <c r="E966" s="135" t="s">
        <v>2008</v>
      </c>
      <c r="F966" s="14" t="s">
        <v>11</v>
      </c>
    </row>
    <row r="967" ht="18" customHeight="1" spans="1:6">
      <c r="A967" s="13" t="s">
        <v>1812</v>
      </c>
      <c r="B967" s="14" t="s">
        <v>1998</v>
      </c>
      <c r="C967" s="136" t="s">
        <v>2009</v>
      </c>
      <c r="D967" s="15">
        <v>3</v>
      </c>
      <c r="E967" s="135" t="s">
        <v>2010</v>
      </c>
      <c r="F967" s="14" t="s">
        <v>11</v>
      </c>
    </row>
    <row r="968" ht="18" customHeight="1" spans="1:6">
      <c r="A968" s="13" t="s">
        <v>1812</v>
      </c>
      <c r="B968" s="14" t="s">
        <v>1998</v>
      </c>
      <c r="C968" s="136" t="s">
        <v>2011</v>
      </c>
      <c r="D968" s="15">
        <v>6</v>
      </c>
      <c r="E968" s="135" t="s">
        <v>2012</v>
      </c>
      <c r="F968" s="14" t="s">
        <v>11</v>
      </c>
    </row>
    <row r="969" ht="18" customHeight="1" spans="1:6">
      <c r="A969" s="13" t="s">
        <v>1812</v>
      </c>
      <c r="B969" s="14" t="s">
        <v>1998</v>
      </c>
      <c r="C969" s="136" t="s">
        <v>2013</v>
      </c>
      <c r="D969" s="15">
        <v>6</v>
      </c>
      <c r="E969" s="135" t="s">
        <v>2014</v>
      </c>
      <c r="F969" s="14" t="s">
        <v>11</v>
      </c>
    </row>
    <row r="970" ht="18" customHeight="1" spans="1:6">
      <c r="A970" s="13" t="s">
        <v>1812</v>
      </c>
      <c r="B970" s="14" t="s">
        <v>2015</v>
      </c>
      <c r="C970" s="136" t="s">
        <v>2016</v>
      </c>
      <c r="D970" s="15">
        <v>5</v>
      </c>
      <c r="E970" s="135" t="s">
        <v>2017</v>
      </c>
      <c r="F970" s="14" t="s">
        <v>11</v>
      </c>
    </row>
    <row r="971" ht="18" customHeight="1" spans="1:6">
      <c r="A971" s="13" t="s">
        <v>1812</v>
      </c>
      <c r="B971" s="14" t="s">
        <v>2015</v>
      </c>
      <c r="C971" s="136" t="s">
        <v>2018</v>
      </c>
      <c r="D971" s="15">
        <v>4</v>
      </c>
      <c r="E971" s="135" t="s">
        <v>2019</v>
      </c>
      <c r="F971" s="14" t="s">
        <v>11</v>
      </c>
    </row>
    <row r="972" ht="18" customHeight="1" spans="1:6">
      <c r="A972" s="13" t="s">
        <v>1812</v>
      </c>
      <c r="B972" s="14" t="s">
        <v>2015</v>
      </c>
      <c r="C972" s="136" t="s">
        <v>2020</v>
      </c>
      <c r="D972" s="15">
        <v>2</v>
      </c>
      <c r="E972" s="135" t="s">
        <v>2021</v>
      </c>
      <c r="F972" s="14" t="s">
        <v>11</v>
      </c>
    </row>
    <row r="973" ht="18" customHeight="1" spans="1:6">
      <c r="A973" s="13" t="s">
        <v>1812</v>
      </c>
      <c r="B973" s="14" t="s">
        <v>2015</v>
      </c>
      <c r="C973" s="136" t="s">
        <v>2022</v>
      </c>
      <c r="D973" s="15">
        <v>2</v>
      </c>
      <c r="E973" s="135" t="s">
        <v>2023</v>
      </c>
      <c r="F973" s="14" t="s">
        <v>11</v>
      </c>
    </row>
    <row r="974" ht="18" customHeight="1" spans="1:6">
      <c r="A974" s="13" t="s">
        <v>1812</v>
      </c>
      <c r="B974" s="14" t="s">
        <v>2015</v>
      </c>
      <c r="C974" s="136" t="s">
        <v>2024</v>
      </c>
      <c r="D974" s="15">
        <v>4</v>
      </c>
      <c r="E974" s="135" t="s">
        <v>2025</v>
      </c>
      <c r="F974" s="14" t="s">
        <v>11</v>
      </c>
    </row>
    <row r="975" ht="18" customHeight="1" spans="1:6">
      <c r="A975" s="13" t="s">
        <v>1812</v>
      </c>
      <c r="B975" s="14" t="s">
        <v>2015</v>
      </c>
      <c r="C975" s="136" t="s">
        <v>2026</v>
      </c>
      <c r="D975" s="15">
        <v>3</v>
      </c>
      <c r="E975" s="135" t="s">
        <v>2027</v>
      </c>
      <c r="F975" s="14" t="s">
        <v>11</v>
      </c>
    </row>
    <row r="976" ht="18" customHeight="1" spans="1:6">
      <c r="A976" s="13" t="s">
        <v>1812</v>
      </c>
      <c r="B976" s="14" t="s">
        <v>2015</v>
      </c>
      <c r="C976" s="136" t="s">
        <v>2028</v>
      </c>
      <c r="D976" s="15">
        <v>4</v>
      </c>
      <c r="E976" s="135" t="s">
        <v>2029</v>
      </c>
      <c r="F976" s="14" t="s">
        <v>11</v>
      </c>
    </row>
    <row r="977" ht="18" customHeight="1" spans="1:6">
      <c r="A977" s="13" t="s">
        <v>1812</v>
      </c>
      <c r="B977" s="14" t="s">
        <v>2015</v>
      </c>
      <c r="C977" s="136" t="s">
        <v>2030</v>
      </c>
      <c r="D977" s="15">
        <v>1</v>
      </c>
      <c r="E977" s="135" t="s">
        <v>2031</v>
      </c>
      <c r="F977" s="14" t="s">
        <v>11</v>
      </c>
    </row>
    <row r="978" ht="18" customHeight="1" spans="1:6">
      <c r="A978" s="13" t="s">
        <v>1812</v>
      </c>
      <c r="B978" s="14" t="s">
        <v>2015</v>
      </c>
      <c r="C978" s="136" t="s">
        <v>2032</v>
      </c>
      <c r="D978" s="15">
        <v>2</v>
      </c>
      <c r="E978" s="135" t="s">
        <v>2033</v>
      </c>
      <c r="F978" s="14" t="s">
        <v>11</v>
      </c>
    </row>
    <row r="979" ht="18" customHeight="1" spans="1:6">
      <c r="A979" s="13" t="s">
        <v>1812</v>
      </c>
      <c r="B979" s="14" t="s">
        <v>2015</v>
      </c>
      <c r="C979" s="136" t="s">
        <v>2034</v>
      </c>
      <c r="D979" s="15">
        <v>2</v>
      </c>
      <c r="E979" s="135" t="s">
        <v>2035</v>
      </c>
      <c r="F979" s="14" t="s">
        <v>11</v>
      </c>
    </row>
    <row r="980" ht="18" customHeight="1" spans="1:6">
      <c r="A980" s="13" t="s">
        <v>1812</v>
      </c>
      <c r="B980" s="14" t="s">
        <v>2015</v>
      </c>
      <c r="C980" s="136" t="s">
        <v>2036</v>
      </c>
      <c r="D980" s="15">
        <v>1</v>
      </c>
      <c r="E980" s="135" t="s">
        <v>2037</v>
      </c>
      <c r="F980" s="14" t="s">
        <v>11</v>
      </c>
    </row>
    <row r="981" ht="18" customHeight="1" spans="1:6">
      <c r="A981" s="13" t="s">
        <v>1812</v>
      </c>
      <c r="B981" s="14" t="s">
        <v>2015</v>
      </c>
      <c r="C981" s="136" t="s">
        <v>2038</v>
      </c>
      <c r="D981" s="15">
        <v>4</v>
      </c>
      <c r="E981" s="135" t="s">
        <v>2039</v>
      </c>
      <c r="F981" s="14" t="s">
        <v>11</v>
      </c>
    </row>
    <row r="982" ht="18" customHeight="1" spans="1:6">
      <c r="A982" s="13" t="s">
        <v>1812</v>
      </c>
      <c r="B982" s="14" t="s">
        <v>2015</v>
      </c>
      <c r="C982" s="136" t="s">
        <v>2040</v>
      </c>
      <c r="D982" s="15">
        <v>3</v>
      </c>
      <c r="E982" s="135" t="s">
        <v>2041</v>
      </c>
      <c r="F982" s="14" t="s">
        <v>11</v>
      </c>
    </row>
    <row r="983" ht="18" customHeight="1" spans="1:6">
      <c r="A983" s="13" t="s">
        <v>1812</v>
      </c>
      <c r="B983" s="14" t="s">
        <v>2015</v>
      </c>
      <c r="C983" s="136" t="s">
        <v>2042</v>
      </c>
      <c r="D983" s="15" t="s">
        <v>2043</v>
      </c>
      <c r="E983" s="135" t="s">
        <v>2044</v>
      </c>
      <c r="F983" s="14" t="s">
        <v>11</v>
      </c>
    </row>
    <row r="984" ht="18" customHeight="1" spans="1:6">
      <c r="A984" s="13" t="s">
        <v>1812</v>
      </c>
      <c r="B984" s="14" t="s">
        <v>2015</v>
      </c>
      <c r="C984" s="136" t="s">
        <v>2045</v>
      </c>
      <c r="D984" s="15" t="s">
        <v>2046</v>
      </c>
      <c r="E984" s="135" t="s">
        <v>2047</v>
      </c>
      <c r="F984" s="14" t="s">
        <v>11</v>
      </c>
    </row>
    <row r="985" ht="18" customHeight="1" spans="1:6">
      <c r="A985" s="13" t="s">
        <v>1812</v>
      </c>
      <c r="B985" s="14" t="s">
        <v>2015</v>
      </c>
      <c r="C985" s="136" t="s">
        <v>2048</v>
      </c>
      <c r="D985" s="15" t="s">
        <v>2043</v>
      </c>
      <c r="E985" s="135" t="s">
        <v>2049</v>
      </c>
      <c r="F985" s="14" t="s">
        <v>11</v>
      </c>
    </row>
    <row r="986" ht="18" customHeight="1" spans="1:6">
      <c r="A986" s="13" t="s">
        <v>1812</v>
      </c>
      <c r="B986" s="14" t="s">
        <v>2015</v>
      </c>
      <c r="C986" s="136" t="s">
        <v>2050</v>
      </c>
      <c r="D986" s="15" t="s">
        <v>2043</v>
      </c>
      <c r="E986" s="135" t="s">
        <v>2051</v>
      </c>
      <c r="F986" s="14" t="s">
        <v>11</v>
      </c>
    </row>
    <row r="987" ht="18" customHeight="1" spans="1:6">
      <c r="A987" s="13" t="s">
        <v>1812</v>
      </c>
      <c r="B987" s="14" t="s">
        <v>2015</v>
      </c>
      <c r="C987" s="136" t="s">
        <v>2052</v>
      </c>
      <c r="D987" s="15" t="s">
        <v>2053</v>
      </c>
      <c r="E987" s="135" t="s">
        <v>2054</v>
      </c>
      <c r="F987" s="14" t="s">
        <v>11</v>
      </c>
    </row>
    <row r="988" ht="18" customHeight="1" spans="1:6">
      <c r="A988" s="13" t="s">
        <v>1812</v>
      </c>
      <c r="B988" s="14" t="s">
        <v>2015</v>
      </c>
      <c r="C988" s="136" t="s">
        <v>2055</v>
      </c>
      <c r="D988" s="15" t="s">
        <v>2056</v>
      </c>
      <c r="E988" s="135" t="s">
        <v>2057</v>
      </c>
      <c r="F988" s="14" t="s">
        <v>11</v>
      </c>
    </row>
    <row r="989" ht="18" customHeight="1" spans="1:6">
      <c r="A989" s="13" t="s">
        <v>1812</v>
      </c>
      <c r="B989" s="14" t="s">
        <v>2015</v>
      </c>
      <c r="C989" s="136" t="s">
        <v>2058</v>
      </c>
      <c r="D989" s="15" t="s">
        <v>2056</v>
      </c>
      <c r="E989" s="135" t="s">
        <v>2059</v>
      </c>
      <c r="F989" s="14" t="s">
        <v>11</v>
      </c>
    </row>
    <row r="990" ht="18" customHeight="1" spans="1:6">
      <c r="A990" s="13" t="s">
        <v>1812</v>
      </c>
      <c r="B990" s="14" t="s">
        <v>2015</v>
      </c>
      <c r="C990" s="136" t="s">
        <v>2060</v>
      </c>
      <c r="D990" s="15" t="s">
        <v>2053</v>
      </c>
      <c r="E990" s="135" t="s">
        <v>2061</v>
      </c>
      <c r="F990" s="14" t="s">
        <v>11</v>
      </c>
    </row>
    <row r="991" ht="18" customHeight="1" spans="1:6">
      <c r="A991" s="13" t="s">
        <v>1812</v>
      </c>
      <c r="B991" s="14" t="s">
        <v>2015</v>
      </c>
      <c r="C991" s="136" t="s">
        <v>2062</v>
      </c>
      <c r="D991" s="15" t="s">
        <v>2056</v>
      </c>
      <c r="E991" s="135" t="s">
        <v>2063</v>
      </c>
      <c r="F991" s="14" t="s">
        <v>11</v>
      </c>
    </row>
    <row r="992" ht="18" customHeight="1" spans="1:6">
      <c r="A992" s="13" t="s">
        <v>1812</v>
      </c>
      <c r="B992" s="14" t="s">
        <v>2015</v>
      </c>
      <c r="C992" s="14" t="s">
        <v>2064</v>
      </c>
      <c r="D992" s="15" t="s">
        <v>2065</v>
      </c>
      <c r="E992" s="135" t="s">
        <v>2066</v>
      </c>
      <c r="F992" s="14" t="s">
        <v>11</v>
      </c>
    </row>
    <row r="993" ht="18" customHeight="1" spans="1:6">
      <c r="A993" s="13" t="s">
        <v>1812</v>
      </c>
      <c r="B993" s="14" t="s">
        <v>1846</v>
      </c>
      <c r="C993" s="136" t="s">
        <v>2067</v>
      </c>
      <c r="D993" s="15" t="s">
        <v>2046</v>
      </c>
      <c r="E993" s="135" t="s">
        <v>2068</v>
      </c>
      <c r="F993" s="14" t="s">
        <v>11</v>
      </c>
    </row>
    <row r="994" ht="18" customHeight="1" spans="1:6">
      <c r="A994" s="13" t="s">
        <v>1812</v>
      </c>
      <c r="B994" s="14" t="s">
        <v>1846</v>
      </c>
      <c r="C994" s="136" t="s">
        <v>2069</v>
      </c>
      <c r="D994" s="15" t="s">
        <v>2046</v>
      </c>
      <c r="E994" s="135" t="s">
        <v>2070</v>
      </c>
      <c r="F994" s="14" t="s">
        <v>11</v>
      </c>
    </row>
    <row r="995" ht="18" customHeight="1" spans="1:6">
      <c r="A995" s="13" t="s">
        <v>1812</v>
      </c>
      <c r="B995" s="14" t="s">
        <v>1846</v>
      </c>
      <c r="C995" s="14" t="s">
        <v>2071</v>
      </c>
      <c r="D995" s="15" t="s">
        <v>2046</v>
      </c>
      <c r="E995" s="135" t="s">
        <v>2072</v>
      </c>
      <c r="F995" s="14" t="s">
        <v>11</v>
      </c>
    </row>
    <row r="996" ht="18" customHeight="1" spans="1:6">
      <c r="A996" s="13" t="s">
        <v>1812</v>
      </c>
      <c r="B996" s="14" t="s">
        <v>1858</v>
      </c>
      <c r="C996" s="136" t="s">
        <v>2073</v>
      </c>
      <c r="D996" s="15" t="s">
        <v>2065</v>
      </c>
      <c r="E996" s="135" t="s">
        <v>2074</v>
      </c>
      <c r="F996" s="14" t="s">
        <v>11</v>
      </c>
    </row>
    <row r="997" ht="18" customHeight="1" spans="1:6">
      <c r="A997" s="13" t="s">
        <v>1812</v>
      </c>
      <c r="B997" s="14" t="s">
        <v>1858</v>
      </c>
      <c r="C997" s="136" t="s">
        <v>2075</v>
      </c>
      <c r="D997" s="15" t="s">
        <v>2043</v>
      </c>
      <c r="E997" s="135" t="s">
        <v>2076</v>
      </c>
      <c r="F997" s="14" t="s">
        <v>11</v>
      </c>
    </row>
    <row r="998" ht="18" customHeight="1" spans="1:6">
      <c r="A998" s="13" t="s">
        <v>1812</v>
      </c>
      <c r="B998" s="14" t="s">
        <v>1858</v>
      </c>
      <c r="C998" s="14" t="s">
        <v>2077</v>
      </c>
      <c r="D998" s="15" t="s">
        <v>2046</v>
      </c>
      <c r="E998" s="135" t="s">
        <v>2078</v>
      </c>
      <c r="F998" s="14" t="s">
        <v>11</v>
      </c>
    </row>
    <row r="999" ht="18" customHeight="1" spans="1:6">
      <c r="A999" s="13" t="s">
        <v>1812</v>
      </c>
      <c r="B999" s="14" t="s">
        <v>1858</v>
      </c>
      <c r="C999" s="136" t="s">
        <v>2079</v>
      </c>
      <c r="D999" s="15" t="s">
        <v>2046</v>
      </c>
      <c r="E999" s="135" t="s">
        <v>2080</v>
      </c>
      <c r="F999" s="14" t="s">
        <v>11</v>
      </c>
    </row>
    <row r="1000" ht="18" customHeight="1" spans="1:6">
      <c r="A1000" s="13" t="s">
        <v>1812</v>
      </c>
      <c r="B1000" s="14" t="s">
        <v>1858</v>
      </c>
      <c r="C1000" s="136" t="s">
        <v>2081</v>
      </c>
      <c r="D1000" s="15" t="s">
        <v>2046</v>
      </c>
      <c r="E1000" s="135" t="s">
        <v>2082</v>
      </c>
      <c r="F1000" s="14" t="s">
        <v>11</v>
      </c>
    </row>
    <row r="1001" ht="18" customHeight="1" spans="1:6">
      <c r="A1001" s="13" t="s">
        <v>1812</v>
      </c>
      <c r="B1001" s="14" t="s">
        <v>1858</v>
      </c>
      <c r="C1001" s="14" t="s">
        <v>2083</v>
      </c>
      <c r="D1001" s="15" t="s">
        <v>2046</v>
      </c>
      <c r="E1001" s="135" t="s">
        <v>2084</v>
      </c>
      <c r="F1001" s="14" t="s">
        <v>11</v>
      </c>
    </row>
    <row r="1002" ht="18" customHeight="1" spans="1:6">
      <c r="A1002" s="13" t="s">
        <v>1812</v>
      </c>
      <c r="B1002" s="14" t="s">
        <v>1913</v>
      </c>
      <c r="C1002" s="136" t="s">
        <v>2085</v>
      </c>
      <c r="D1002" s="15" t="s">
        <v>2046</v>
      </c>
      <c r="E1002" s="135" t="s">
        <v>2086</v>
      </c>
      <c r="F1002" s="14" t="s">
        <v>11</v>
      </c>
    </row>
    <row r="1003" ht="18" customHeight="1" spans="1:6">
      <c r="A1003" s="13" t="s">
        <v>1812</v>
      </c>
      <c r="B1003" s="14" t="s">
        <v>1938</v>
      </c>
      <c r="C1003" s="136" t="s">
        <v>2087</v>
      </c>
      <c r="D1003" s="15" t="s">
        <v>2046</v>
      </c>
      <c r="E1003" s="135" t="s">
        <v>2088</v>
      </c>
      <c r="F1003" s="14" t="s">
        <v>11</v>
      </c>
    </row>
    <row r="1004" ht="18" customHeight="1" spans="1:6">
      <c r="A1004" s="13" t="s">
        <v>1812</v>
      </c>
      <c r="B1004" s="14" t="s">
        <v>1938</v>
      </c>
      <c r="C1004" s="14" t="s">
        <v>2089</v>
      </c>
      <c r="D1004" s="15" t="s">
        <v>2046</v>
      </c>
      <c r="E1004" s="135" t="s">
        <v>2090</v>
      </c>
      <c r="F1004" s="14" t="s">
        <v>11</v>
      </c>
    </row>
    <row r="1005" ht="18" customHeight="1" spans="1:6">
      <c r="A1005" s="13" t="s">
        <v>1812</v>
      </c>
      <c r="B1005" s="14" t="s">
        <v>1938</v>
      </c>
      <c r="C1005" s="136" t="s">
        <v>2091</v>
      </c>
      <c r="D1005" s="15" t="s">
        <v>2046</v>
      </c>
      <c r="E1005" s="135" t="s">
        <v>2092</v>
      </c>
      <c r="F1005" s="14" t="s">
        <v>11</v>
      </c>
    </row>
    <row r="1006" ht="18" customHeight="1" spans="1:6">
      <c r="A1006" s="13" t="s">
        <v>1812</v>
      </c>
      <c r="B1006" s="14" t="s">
        <v>1998</v>
      </c>
      <c r="C1006" s="14" t="s">
        <v>2093</v>
      </c>
      <c r="D1006" s="15" t="s">
        <v>2043</v>
      </c>
      <c r="E1006" s="135" t="s">
        <v>2094</v>
      </c>
      <c r="F1006" s="14" t="s">
        <v>11</v>
      </c>
    </row>
    <row r="1007" ht="18" customHeight="1" spans="1:6">
      <c r="A1007" s="13" t="s">
        <v>1812</v>
      </c>
      <c r="B1007" s="14" t="s">
        <v>1998</v>
      </c>
      <c r="C1007" s="136" t="s">
        <v>2095</v>
      </c>
      <c r="D1007" s="15" t="s">
        <v>2065</v>
      </c>
      <c r="E1007" s="135" t="s">
        <v>2096</v>
      </c>
      <c r="F1007" s="14" t="s">
        <v>11</v>
      </c>
    </row>
    <row r="1008" ht="18" customHeight="1" spans="1:6">
      <c r="A1008" s="13" t="s">
        <v>1812</v>
      </c>
      <c r="B1008" s="14" t="s">
        <v>1998</v>
      </c>
      <c r="C1008" s="14" t="s">
        <v>2097</v>
      </c>
      <c r="D1008" s="15" t="s">
        <v>2065</v>
      </c>
      <c r="E1008" s="135" t="s">
        <v>2098</v>
      </c>
      <c r="F1008" s="14" t="s">
        <v>11</v>
      </c>
    </row>
    <row r="1009" ht="18" customHeight="1" spans="1:6">
      <c r="A1009" s="13" t="s">
        <v>1812</v>
      </c>
      <c r="B1009" s="13" t="s">
        <v>2099</v>
      </c>
      <c r="C1009" s="13" t="s">
        <v>2100</v>
      </c>
      <c r="D1009" s="15">
        <v>1</v>
      </c>
      <c r="E1009" s="5" t="str">
        <f>LEFT("422626196004012310",19)</f>
        <v>422626196004012310</v>
      </c>
      <c r="F1009" s="13" t="s">
        <v>11</v>
      </c>
    </row>
    <row r="1010" ht="18" customHeight="1" spans="1:6">
      <c r="A1010" s="13" t="s">
        <v>1812</v>
      </c>
      <c r="B1010" s="13" t="s">
        <v>2101</v>
      </c>
      <c r="C1010" s="13" t="s">
        <v>2102</v>
      </c>
      <c r="D1010" s="15">
        <v>2</v>
      </c>
      <c r="E1010" s="5" t="str">
        <f>LEFT("422626196802182314",19)</f>
        <v>422626196802182314</v>
      </c>
      <c r="F1010" s="13" t="s">
        <v>11</v>
      </c>
    </row>
    <row r="1011" ht="18" customHeight="1" spans="1:6">
      <c r="A1011" s="13" t="s">
        <v>1812</v>
      </c>
      <c r="B1011" s="13" t="s">
        <v>2103</v>
      </c>
      <c r="C1011" s="13" t="s">
        <v>2104</v>
      </c>
      <c r="D1011" s="15">
        <v>1</v>
      </c>
      <c r="E1011" s="5" t="str">
        <f>LEFT("422626197511292315",19)</f>
        <v>422626197511292315</v>
      </c>
      <c r="F1011" s="13" t="s">
        <v>11</v>
      </c>
    </row>
    <row r="1012" ht="18" customHeight="1" spans="1:6">
      <c r="A1012" s="13" t="s">
        <v>1812</v>
      </c>
      <c r="B1012" s="13" t="s">
        <v>2105</v>
      </c>
      <c r="C1012" s="13" t="s">
        <v>2106</v>
      </c>
      <c r="D1012" s="15">
        <v>3</v>
      </c>
      <c r="E1012" s="5" t="str">
        <f>LEFT("422626195301012312",19)</f>
        <v>422626195301012312</v>
      </c>
      <c r="F1012" s="13" t="s">
        <v>11</v>
      </c>
    </row>
    <row r="1013" ht="18" customHeight="1" spans="1:6">
      <c r="A1013" s="13" t="s">
        <v>1812</v>
      </c>
      <c r="B1013" s="13" t="s">
        <v>2105</v>
      </c>
      <c r="C1013" s="13" t="s">
        <v>2107</v>
      </c>
      <c r="D1013" s="15">
        <v>5</v>
      </c>
      <c r="E1013" s="5" t="str">
        <f>LEFT("42262619581018231X",19)</f>
        <v>42262619581018231X</v>
      </c>
      <c r="F1013" s="13" t="s">
        <v>11</v>
      </c>
    </row>
    <row r="1014" ht="18" customHeight="1" spans="1:6">
      <c r="A1014" s="13" t="s">
        <v>1812</v>
      </c>
      <c r="B1014" s="13" t="s">
        <v>2105</v>
      </c>
      <c r="C1014" s="13" t="s">
        <v>2108</v>
      </c>
      <c r="D1014" s="15">
        <v>3</v>
      </c>
      <c r="E1014" s="5" t="str">
        <f>LEFT("422626196405242336",19)</f>
        <v>422626196405242336</v>
      </c>
      <c r="F1014" s="13" t="s">
        <v>11</v>
      </c>
    </row>
    <row r="1015" ht="18" customHeight="1" spans="1:6">
      <c r="A1015" s="13" t="s">
        <v>1812</v>
      </c>
      <c r="B1015" s="13" t="s">
        <v>2109</v>
      </c>
      <c r="C1015" s="13" t="s">
        <v>2110</v>
      </c>
      <c r="D1015" s="15">
        <v>1</v>
      </c>
      <c r="E1015" s="179" t="s">
        <v>2111</v>
      </c>
      <c r="F1015" s="13" t="s">
        <v>11</v>
      </c>
    </row>
    <row r="1016" ht="18" customHeight="1" spans="1:6">
      <c r="A1016" s="13" t="s">
        <v>1812</v>
      </c>
      <c r="B1016" s="13" t="s">
        <v>2112</v>
      </c>
      <c r="C1016" s="13" t="s">
        <v>2113</v>
      </c>
      <c r="D1016" s="15">
        <v>4</v>
      </c>
      <c r="E1016" s="5" t="str">
        <f>LEFT("422626197303172319",19)</f>
        <v>422626197303172319</v>
      </c>
      <c r="F1016" s="13" t="s">
        <v>11</v>
      </c>
    </row>
    <row r="1017" ht="18" customHeight="1" spans="1:6">
      <c r="A1017" s="13" t="s">
        <v>1812</v>
      </c>
      <c r="B1017" s="13" t="s">
        <v>2112</v>
      </c>
      <c r="C1017" s="13" t="s">
        <v>2114</v>
      </c>
      <c r="D1017" s="15">
        <v>4</v>
      </c>
      <c r="E1017" s="5" t="str">
        <f>LEFT("422626197012232318",19)</f>
        <v>422626197012232318</v>
      </c>
      <c r="F1017" s="13" t="s">
        <v>11</v>
      </c>
    </row>
    <row r="1018" ht="18" customHeight="1" spans="1:6">
      <c r="A1018" s="13" t="s">
        <v>1812</v>
      </c>
      <c r="B1018" s="13" t="s">
        <v>2105</v>
      </c>
      <c r="C1018" s="13" t="s">
        <v>2115</v>
      </c>
      <c r="D1018" s="15">
        <v>4</v>
      </c>
      <c r="E1018" s="5" t="str">
        <f>LEFT("422626194801092326",19)</f>
        <v>422626194801092326</v>
      </c>
      <c r="F1018" s="13" t="s">
        <v>11</v>
      </c>
    </row>
    <row r="1019" ht="18" customHeight="1" spans="1:6">
      <c r="A1019" s="13" t="s">
        <v>1812</v>
      </c>
      <c r="B1019" s="13" t="s">
        <v>2109</v>
      </c>
      <c r="C1019" s="13" t="s">
        <v>2116</v>
      </c>
      <c r="D1019" s="15">
        <v>2</v>
      </c>
      <c r="E1019" s="5" t="str">
        <f>LEFT("42032519760326232X",19)</f>
        <v>42032519760326232X</v>
      </c>
      <c r="F1019" s="13" t="s">
        <v>11</v>
      </c>
    </row>
    <row r="1020" ht="18" customHeight="1" spans="1:6">
      <c r="A1020" s="13" t="s">
        <v>1812</v>
      </c>
      <c r="B1020" s="13" t="s">
        <v>2103</v>
      </c>
      <c r="C1020" s="13" t="s">
        <v>2117</v>
      </c>
      <c r="D1020" s="15">
        <v>1</v>
      </c>
      <c r="E1020" s="179" t="s">
        <v>2118</v>
      </c>
      <c r="F1020" s="13" t="s">
        <v>11</v>
      </c>
    </row>
    <row r="1021" ht="18" customHeight="1" spans="1:6">
      <c r="A1021" s="13" t="s">
        <v>1812</v>
      </c>
      <c r="B1021" s="13" t="s">
        <v>2105</v>
      </c>
      <c r="C1021" s="13" t="s">
        <v>2119</v>
      </c>
      <c r="D1021" s="15">
        <v>2</v>
      </c>
      <c r="E1021" s="5" t="str">
        <f>LEFT("420325200605232364",19)</f>
        <v>420325200605232364</v>
      </c>
      <c r="F1021" s="13" t="s">
        <v>11</v>
      </c>
    </row>
    <row r="1022" ht="18" customHeight="1" spans="1:6">
      <c r="A1022" s="13" t="s">
        <v>1812</v>
      </c>
      <c r="B1022" s="13" t="s">
        <v>2109</v>
      </c>
      <c r="C1022" s="13" t="s">
        <v>2120</v>
      </c>
      <c r="D1022" s="15">
        <v>2</v>
      </c>
      <c r="E1022" s="5" t="str">
        <f>LEFT("422626196001092319",19)</f>
        <v>422626196001092319</v>
      </c>
      <c r="F1022" s="13" t="s">
        <v>11</v>
      </c>
    </row>
    <row r="1023" ht="18" customHeight="1" spans="1:6">
      <c r="A1023" s="13" t="s">
        <v>1812</v>
      </c>
      <c r="B1023" s="13" t="s">
        <v>2103</v>
      </c>
      <c r="C1023" s="13" t="s">
        <v>2121</v>
      </c>
      <c r="D1023" s="15">
        <v>2</v>
      </c>
      <c r="E1023" s="5" t="str">
        <f>LEFT("422626196201282336",19)</f>
        <v>422626196201282336</v>
      </c>
      <c r="F1023" s="13" t="s">
        <v>11</v>
      </c>
    </row>
    <row r="1024" ht="18" customHeight="1" spans="1:6">
      <c r="A1024" s="13" t="s">
        <v>1812</v>
      </c>
      <c r="B1024" s="13" t="s">
        <v>2122</v>
      </c>
      <c r="C1024" s="13" t="s">
        <v>2123</v>
      </c>
      <c r="D1024" s="15">
        <v>6</v>
      </c>
      <c r="E1024" s="33" t="str">
        <f>LEFT("420325197608312314",19)</f>
        <v>420325197608312314</v>
      </c>
      <c r="F1024" s="13" t="s">
        <v>11</v>
      </c>
    </row>
    <row r="1025" ht="18" customHeight="1" spans="1:6">
      <c r="A1025" s="13" t="s">
        <v>1812</v>
      </c>
      <c r="B1025" s="13" t="s">
        <v>2122</v>
      </c>
      <c r="C1025" s="13" t="s">
        <v>2124</v>
      </c>
      <c r="D1025" s="15">
        <v>3</v>
      </c>
      <c r="E1025" s="5" t="str">
        <f>LEFT("42262619680120231X",19)</f>
        <v>42262619680120231X</v>
      </c>
      <c r="F1025" s="13" t="s">
        <v>11</v>
      </c>
    </row>
    <row r="1026" ht="18" customHeight="1" spans="1:6">
      <c r="A1026" s="13" t="s">
        <v>1812</v>
      </c>
      <c r="B1026" s="13" t="s">
        <v>2122</v>
      </c>
      <c r="C1026" s="5" t="s">
        <v>2125</v>
      </c>
      <c r="D1026" s="15">
        <v>3</v>
      </c>
      <c r="E1026" s="5" t="str">
        <f>LEFT("422626197001042316",19)</f>
        <v>422626197001042316</v>
      </c>
      <c r="F1026" s="13" t="s">
        <v>11</v>
      </c>
    </row>
    <row r="1027" ht="18" customHeight="1" spans="1:6">
      <c r="A1027" s="13" t="s">
        <v>1812</v>
      </c>
      <c r="B1027" s="13" t="s">
        <v>2122</v>
      </c>
      <c r="C1027" s="5" t="s">
        <v>2126</v>
      </c>
      <c r="D1027" s="15">
        <v>4</v>
      </c>
      <c r="E1027" s="33" t="str">
        <f>LEFT("422626196404212354",19)</f>
        <v>422626196404212354</v>
      </c>
      <c r="F1027" s="13" t="s">
        <v>11</v>
      </c>
    </row>
    <row r="1028" ht="18" customHeight="1" spans="1:6">
      <c r="A1028" s="13" t="s">
        <v>1812</v>
      </c>
      <c r="B1028" s="13" t="s">
        <v>2122</v>
      </c>
      <c r="C1028" s="5" t="s">
        <v>2127</v>
      </c>
      <c r="D1028" s="15">
        <v>2</v>
      </c>
      <c r="E1028" s="33" t="str">
        <f>LEFT("420325196810172314",19)</f>
        <v>420325196810172314</v>
      </c>
      <c r="F1028" s="13" t="s">
        <v>11</v>
      </c>
    </row>
    <row r="1029" ht="18" customHeight="1" spans="1:6">
      <c r="A1029" s="13" t="s">
        <v>1812</v>
      </c>
      <c r="B1029" s="13" t="s">
        <v>2122</v>
      </c>
      <c r="C1029" s="13" t="s">
        <v>2128</v>
      </c>
      <c r="D1029" s="15">
        <v>4</v>
      </c>
      <c r="E1029" s="5" t="str">
        <f>LEFT("422626195208232310",19)</f>
        <v>422626195208232310</v>
      </c>
      <c r="F1029" s="13" t="s">
        <v>11</v>
      </c>
    </row>
    <row r="1030" ht="18" customHeight="1" spans="1:6">
      <c r="A1030" s="13" t="s">
        <v>1812</v>
      </c>
      <c r="B1030" s="13" t="s">
        <v>2122</v>
      </c>
      <c r="C1030" s="13" t="s">
        <v>2129</v>
      </c>
      <c r="D1030" s="15">
        <v>7</v>
      </c>
      <c r="E1030" s="5" t="str">
        <f>LEFT("422626195210102355",19)</f>
        <v>422626195210102355</v>
      </c>
      <c r="F1030" s="13" t="s">
        <v>11</v>
      </c>
    </row>
    <row r="1031" ht="18" customHeight="1" spans="1:6">
      <c r="A1031" s="13" t="s">
        <v>1812</v>
      </c>
      <c r="B1031" s="13" t="s">
        <v>2130</v>
      </c>
      <c r="C1031" s="13" t="s">
        <v>2131</v>
      </c>
      <c r="D1031" s="15">
        <v>2</v>
      </c>
      <c r="E1031" s="5" t="str">
        <f>LEFT("420325195903102310",19)</f>
        <v>420325195903102310</v>
      </c>
      <c r="F1031" s="13" t="s">
        <v>11</v>
      </c>
    </row>
    <row r="1032" ht="18" customHeight="1" spans="1:6">
      <c r="A1032" s="13" t="s">
        <v>1812</v>
      </c>
      <c r="B1032" s="13" t="s">
        <v>2130</v>
      </c>
      <c r="C1032" s="13" t="s">
        <v>2132</v>
      </c>
      <c r="D1032" s="15">
        <v>2</v>
      </c>
      <c r="E1032" s="5" t="str">
        <f>LEFT("422626195410172315",19)</f>
        <v>422626195410172315</v>
      </c>
      <c r="F1032" s="13" t="s">
        <v>11</v>
      </c>
    </row>
    <row r="1033" ht="18" customHeight="1" spans="1:6">
      <c r="A1033" s="13" t="s">
        <v>1812</v>
      </c>
      <c r="B1033" s="13" t="s">
        <v>2133</v>
      </c>
      <c r="C1033" s="13" t="s">
        <v>2134</v>
      </c>
      <c r="D1033" s="15">
        <v>2</v>
      </c>
      <c r="E1033" s="5" t="str">
        <f>LEFT("420325199203162353",19)</f>
        <v>420325199203162353</v>
      </c>
      <c r="F1033" s="13" t="s">
        <v>11</v>
      </c>
    </row>
    <row r="1034" ht="18" customHeight="1" spans="1:6">
      <c r="A1034" s="13" t="s">
        <v>1812</v>
      </c>
      <c r="B1034" s="13" t="s">
        <v>2122</v>
      </c>
      <c r="C1034" s="13" t="s">
        <v>2135</v>
      </c>
      <c r="D1034" s="15">
        <v>1</v>
      </c>
      <c r="E1034" s="5" t="str">
        <f>LEFT("420325196710182339",19)</f>
        <v>420325196710182339</v>
      </c>
      <c r="F1034" s="13" t="s">
        <v>11</v>
      </c>
    </row>
    <row r="1035" ht="18" customHeight="1" spans="1:6">
      <c r="A1035" s="13" t="s">
        <v>1812</v>
      </c>
      <c r="B1035" s="13" t="s">
        <v>2122</v>
      </c>
      <c r="C1035" s="13" t="s">
        <v>2136</v>
      </c>
      <c r="D1035" s="15">
        <v>1</v>
      </c>
      <c r="E1035" s="5" t="str">
        <f>LEFT("422626197201252318",19)</f>
        <v>422626197201252318</v>
      </c>
      <c r="F1035" s="13" t="s">
        <v>11</v>
      </c>
    </row>
    <row r="1036" ht="18" customHeight="1" spans="1:6">
      <c r="A1036" s="13" t="s">
        <v>1812</v>
      </c>
      <c r="B1036" s="13" t="s">
        <v>2133</v>
      </c>
      <c r="C1036" s="13" t="s">
        <v>2137</v>
      </c>
      <c r="D1036" s="15">
        <v>5</v>
      </c>
      <c r="E1036" s="5" t="str">
        <f>LEFT("422626194206072355",19)</f>
        <v>422626194206072355</v>
      </c>
      <c r="F1036" s="13" t="s">
        <v>11</v>
      </c>
    </row>
    <row r="1037" ht="18" customHeight="1" spans="1:6">
      <c r="A1037" s="13" t="s">
        <v>1812</v>
      </c>
      <c r="B1037" s="13" t="s">
        <v>2133</v>
      </c>
      <c r="C1037" s="13" t="s">
        <v>2138</v>
      </c>
      <c r="D1037" s="15">
        <v>3</v>
      </c>
      <c r="E1037" s="5" t="str">
        <f>LEFT("422626196601182318",19)</f>
        <v>422626196601182318</v>
      </c>
      <c r="F1037" s="13" t="s">
        <v>11</v>
      </c>
    </row>
    <row r="1038" ht="18" customHeight="1" spans="1:6">
      <c r="A1038" s="13" t="s">
        <v>1812</v>
      </c>
      <c r="B1038" s="13" t="s">
        <v>2133</v>
      </c>
      <c r="C1038" s="13" t="s">
        <v>2139</v>
      </c>
      <c r="D1038" s="15">
        <v>2</v>
      </c>
      <c r="E1038" s="33" t="str">
        <f>LEFT("422626197008252332",19)</f>
        <v>422626197008252332</v>
      </c>
      <c r="F1038" s="13" t="s">
        <v>11</v>
      </c>
    </row>
    <row r="1039" ht="18" customHeight="1" spans="1:6">
      <c r="A1039" s="13" t="s">
        <v>1812</v>
      </c>
      <c r="B1039" s="13" t="s">
        <v>2133</v>
      </c>
      <c r="C1039" s="13" t="s">
        <v>2140</v>
      </c>
      <c r="D1039" s="15">
        <v>4</v>
      </c>
      <c r="E1039" s="5" t="str">
        <f>LEFT("420325197401282314",19)</f>
        <v>420325197401282314</v>
      </c>
      <c r="F1039" s="13" t="s">
        <v>11</v>
      </c>
    </row>
    <row r="1040" ht="18" customHeight="1" spans="1:6">
      <c r="A1040" s="13" t="s">
        <v>1812</v>
      </c>
      <c r="B1040" s="13" t="s">
        <v>2133</v>
      </c>
      <c r="C1040" s="13" t="s">
        <v>2141</v>
      </c>
      <c r="D1040" s="15">
        <v>4</v>
      </c>
      <c r="E1040" s="5" t="str">
        <f>LEFT("420325198205043011",19)</f>
        <v>420325198205043011</v>
      </c>
      <c r="F1040" s="13" t="s">
        <v>11</v>
      </c>
    </row>
    <row r="1041" ht="18" customHeight="1" spans="1:6">
      <c r="A1041" s="13" t="s">
        <v>1812</v>
      </c>
      <c r="B1041" s="13" t="s">
        <v>2142</v>
      </c>
      <c r="C1041" s="13" t="s">
        <v>2143</v>
      </c>
      <c r="D1041" s="15">
        <v>3</v>
      </c>
      <c r="E1041" s="5" t="str">
        <f>LEFT("42032519800323301X",19)</f>
        <v>42032519800323301X</v>
      </c>
      <c r="F1041" s="13" t="s">
        <v>11</v>
      </c>
    </row>
    <row r="1042" ht="18" customHeight="1" spans="1:6">
      <c r="A1042" s="13" t="s">
        <v>1812</v>
      </c>
      <c r="B1042" s="13" t="s">
        <v>2142</v>
      </c>
      <c r="C1042" s="13" t="s">
        <v>2144</v>
      </c>
      <c r="D1042" s="15">
        <v>7</v>
      </c>
      <c r="E1042" s="5" t="str">
        <f>LEFT("420325197611102350",19)</f>
        <v>420325197611102350</v>
      </c>
      <c r="F1042" s="13" t="s">
        <v>11</v>
      </c>
    </row>
    <row r="1043" ht="18" customHeight="1" spans="1:6">
      <c r="A1043" s="13" t="s">
        <v>1812</v>
      </c>
      <c r="B1043" s="13" t="s">
        <v>2142</v>
      </c>
      <c r="C1043" s="13" t="s">
        <v>2145</v>
      </c>
      <c r="D1043" s="15">
        <v>6</v>
      </c>
      <c r="E1043" s="5" t="str">
        <f>LEFT("422626197808212312",19)</f>
        <v>422626197808212312</v>
      </c>
      <c r="F1043" s="13" t="s">
        <v>11</v>
      </c>
    </row>
    <row r="1044" ht="18" customHeight="1" spans="1:6">
      <c r="A1044" s="13" t="s">
        <v>1812</v>
      </c>
      <c r="B1044" s="13" t="s">
        <v>2142</v>
      </c>
      <c r="C1044" s="13" t="s">
        <v>2146</v>
      </c>
      <c r="D1044" s="15">
        <v>4</v>
      </c>
      <c r="E1044" s="5" t="str">
        <f>LEFT("420325198010092315",19)</f>
        <v>420325198010092315</v>
      </c>
      <c r="F1044" s="13" t="s">
        <v>11</v>
      </c>
    </row>
    <row r="1045" ht="18" customHeight="1" spans="1:6">
      <c r="A1045" s="13" t="s">
        <v>1812</v>
      </c>
      <c r="B1045" s="13" t="s">
        <v>2142</v>
      </c>
      <c r="C1045" s="13" t="s">
        <v>2147</v>
      </c>
      <c r="D1045" s="15">
        <v>1</v>
      </c>
      <c r="E1045" s="5" t="str">
        <f>LEFT("422626194502272319",19)</f>
        <v>422626194502272319</v>
      </c>
      <c r="F1045" s="13" t="s">
        <v>11</v>
      </c>
    </row>
    <row r="1046" ht="18" customHeight="1" spans="1:6">
      <c r="A1046" s="13" t="s">
        <v>1812</v>
      </c>
      <c r="B1046" s="13" t="s">
        <v>2148</v>
      </c>
      <c r="C1046" s="13" t="s">
        <v>2149</v>
      </c>
      <c r="D1046" s="15">
        <v>5</v>
      </c>
      <c r="E1046" s="5" t="str">
        <f>LEFT("422626194301222315",19)</f>
        <v>422626194301222315</v>
      </c>
      <c r="F1046" s="13" t="s">
        <v>11</v>
      </c>
    </row>
    <row r="1047" ht="18" customHeight="1" spans="1:6">
      <c r="A1047" s="13" t="s">
        <v>1812</v>
      </c>
      <c r="B1047" s="13" t="s">
        <v>2148</v>
      </c>
      <c r="C1047" s="13" t="s">
        <v>2150</v>
      </c>
      <c r="D1047" s="15">
        <v>3</v>
      </c>
      <c r="E1047" s="5" t="str">
        <f>LEFT("422626195609232311",19)</f>
        <v>422626195609232311</v>
      </c>
      <c r="F1047" s="13" t="s">
        <v>11</v>
      </c>
    </row>
    <row r="1048" ht="18" customHeight="1" spans="1:6">
      <c r="A1048" s="13" t="s">
        <v>1812</v>
      </c>
      <c r="B1048" s="13" t="s">
        <v>2148</v>
      </c>
      <c r="C1048" s="13" t="s">
        <v>2151</v>
      </c>
      <c r="D1048" s="15">
        <v>6</v>
      </c>
      <c r="E1048" s="5" t="str">
        <f>LEFT("422626197206062310",19)</f>
        <v>422626197206062310</v>
      </c>
      <c r="F1048" s="13" t="s">
        <v>11</v>
      </c>
    </row>
    <row r="1049" ht="18" customHeight="1" spans="1:6">
      <c r="A1049" s="13" t="s">
        <v>1812</v>
      </c>
      <c r="B1049" s="13" t="s">
        <v>2148</v>
      </c>
      <c r="C1049" s="13" t="s">
        <v>2152</v>
      </c>
      <c r="D1049" s="15">
        <v>3</v>
      </c>
      <c r="E1049" s="5" t="str">
        <f>LEFT("422626196204102329",19)</f>
        <v>422626196204102329</v>
      </c>
      <c r="F1049" s="13" t="s">
        <v>11</v>
      </c>
    </row>
    <row r="1050" ht="18" customHeight="1" spans="1:6">
      <c r="A1050" s="13" t="s">
        <v>1812</v>
      </c>
      <c r="B1050" s="13" t="s">
        <v>2148</v>
      </c>
      <c r="C1050" s="13" t="s">
        <v>2153</v>
      </c>
      <c r="D1050" s="15">
        <v>5</v>
      </c>
      <c r="E1050" s="5" t="str">
        <f>LEFT("422626196603222336",19)</f>
        <v>422626196603222336</v>
      </c>
      <c r="F1050" s="13" t="s">
        <v>11</v>
      </c>
    </row>
    <row r="1051" ht="18" customHeight="1" spans="1:6">
      <c r="A1051" s="13" t="s">
        <v>1812</v>
      </c>
      <c r="B1051" s="13" t="s">
        <v>2148</v>
      </c>
      <c r="C1051" s="13" t="s">
        <v>2154</v>
      </c>
      <c r="D1051" s="15">
        <v>2</v>
      </c>
      <c r="E1051" s="33" t="str">
        <f>LEFT("422626197001272314",19)</f>
        <v>422626197001272314</v>
      </c>
      <c r="F1051" s="13" t="s">
        <v>11</v>
      </c>
    </row>
    <row r="1052" ht="18" customHeight="1" spans="1:6">
      <c r="A1052" s="13" t="s">
        <v>1812</v>
      </c>
      <c r="B1052" s="13" t="s">
        <v>2148</v>
      </c>
      <c r="C1052" s="13" t="s">
        <v>2155</v>
      </c>
      <c r="D1052" s="15">
        <v>3</v>
      </c>
      <c r="E1052" s="5" t="str">
        <f>LEFT("422626193812282315",19)</f>
        <v>422626193812282315</v>
      </c>
      <c r="F1052" s="13" t="s">
        <v>11</v>
      </c>
    </row>
    <row r="1053" ht="18" customHeight="1" spans="1:6">
      <c r="A1053" s="13" t="s">
        <v>1812</v>
      </c>
      <c r="B1053" s="13" t="s">
        <v>2148</v>
      </c>
      <c r="C1053" s="13" t="s">
        <v>2156</v>
      </c>
      <c r="D1053" s="15">
        <v>4</v>
      </c>
      <c r="E1053" s="5" t="str">
        <f>LEFT("422626196311252357",19)</f>
        <v>422626196311252357</v>
      </c>
      <c r="F1053" s="13" t="s">
        <v>11</v>
      </c>
    </row>
    <row r="1054" ht="18" customHeight="1" spans="1:6">
      <c r="A1054" s="13" t="s">
        <v>1812</v>
      </c>
      <c r="B1054" s="13" t="s">
        <v>2148</v>
      </c>
      <c r="C1054" s="13" t="s">
        <v>2157</v>
      </c>
      <c r="D1054" s="15">
        <v>2</v>
      </c>
      <c r="E1054" s="5" t="str">
        <f>LEFT("422626194603132331",19)</f>
        <v>422626194603132331</v>
      </c>
      <c r="F1054" s="13" t="s">
        <v>11</v>
      </c>
    </row>
    <row r="1055" ht="18" customHeight="1" spans="1:6">
      <c r="A1055" s="13" t="s">
        <v>1812</v>
      </c>
      <c r="B1055" s="13" t="s">
        <v>2130</v>
      </c>
      <c r="C1055" s="13" t="s">
        <v>2158</v>
      </c>
      <c r="D1055" s="15">
        <v>5</v>
      </c>
      <c r="E1055" s="5" t="str">
        <f>LEFT("420325195209062312",19)</f>
        <v>420325195209062312</v>
      </c>
      <c r="F1055" s="13" t="s">
        <v>11</v>
      </c>
    </row>
    <row r="1056" ht="18" customHeight="1" spans="1:6">
      <c r="A1056" s="13" t="s">
        <v>1812</v>
      </c>
      <c r="B1056" s="13" t="s">
        <v>2130</v>
      </c>
      <c r="C1056" s="13" t="s">
        <v>2159</v>
      </c>
      <c r="D1056" s="15">
        <v>3</v>
      </c>
      <c r="E1056" s="5" t="str">
        <f>LEFT("42262619470430231X",19)</f>
        <v>42262619470430231X</v>
      </c>
      <c r="F1056" s="13" t="s">
        <v>11</v>
      </c>
    </row>
    <row r="1057" ht="18" customHeight="1" spans="1:6">
      <c r="A1057" s="13" t="s">
        <v>1812</v>
      </c>
      <c r="B1057" s="13" t="s">
        <v>2130</v>
      </c>
      <c r="C1057" s="13" t="s">
        <v>2160</v>
      </c>
      <c r="D1057" s="15">
        <v>3</v>
      </c>
      <c r="E1057" s="5" t="str">
        <f>LEFT("422626196810142312",19)</f>
        <v>422626196810142312</v>
      </c>
      <c r="F1057" s="13" t="s">
        <v>11</v>
      </c>
    </row>
    <row r="1058" ht="18" customHeight="1" spans="1:6">
      <c r="A1058" s="13" t="s">
        <v>1812</v>
      </c>
      <c r="B1058" s="13" t="s">
        <v>2130</v>
      </c>
      <c r="C1058" s="13" t="s">
        <v>2161</v>
      </c>
      <c r="D1058" s="15">
        <v>3</v>
      </c>
      <c r="E1058" s="5" t="str">
        <f>LEFT("420325196902262317",19)</f>
        <v>420325196902262317</v>
      </c>
      <c r="F1058" s="13" t="s">
        <v>11</v>
      </c>
    </row>
    <row r="1059" ht="18" customHeight="1" spans="1:6">
      <c r="A1059" s="13" t="s">
        <v>1812</v>
      </c>
      <c r="B1059" s="13" t="s">
        <v>2130</v>
      </c>
      <c r="C1059" s="13" t="s">
        <v>2162</v>
      </c>
      <c r="D1059" s="15">
        <v>1</v>
      </c>
      <c r="E1059" s="33" t="str">
        <f>LEFT("422626196404082334",19)</f>
        <v>422626196404082334</v>
      </c>
      <c r="F1059" s="13" t="s">
        <v>11</v>
      </c>
    </row>
    <row r="1060" ht="18" customHeight="1" spans="1:6">
      <c r="A1060" s="13" t="s">
        <v>1812</v>
      </c>
      <c r="B1060" s="13" t="s">
        <v>2130</v>
      </c>
      <c r="C1060" s="13" t="s">
        <v>2163</v>
      </c>
      <c r="D1060" s="15">
        <v>2</v>
      </c>
      <c r="E1060" s="5" t="str">
        <f>LEFT("422626197208122313",19)</f>
        <v>422626197208122313</v>
      </c>
      <c r="F1060" s="13" t="s">
        <v>11</v>
      </c>
    </row>
    <row r="1061" ht="18" customHeight="1" spans="1:6">
      <c r="A1061" s="13" t="s">
        <v>1812</v>
      </c>
      <c r="B1061" s="13" t="s">
        <v>2130</v>
      </c>
      <c r="C1061" s="13" t="s">
        <v>2164</v>
      </c>
      <c r="D1061" s="15">
        <v>6</v>
      </c>
      <c r="E1061" s="5" t="str">
        <f>LEFT("42262619630125237X",19)</f>
        <v>42262619630125237X</v>
      </c>
      <c r="F1061" s="13" t="s">
        <v>11</v>
      </c>
    </row>
    <row r="1062" ht="18" customHeight="1" spans="1:6">
      <c r="A1062" s="13" t="s">
        <v>1812</v>
      </c>
      <c r="B1062" s="13" t="s">
        <v>2130</v>
      </c>
      <c r="C1062" s="13" t="s">
        <v>2165</v>
      </c>
      <c r="D1062" s="15">
        <v>5</v>
      </c>
      <c r="E1062" s="5" t="str">
        <f>LEFT("420325198212312312",19)</f>
        <v>420325198212312312</v>
      </c>
      <c r="F1062" s="13" t="s">
        <v>11</v>
      </c>
    </row>
    <row r="1063" ht="18" customHeight="1" spans="1:6">
      <c r="A1063" s="13" t="s">
        <v>1812</v>
      </c>
      <c r="B1063" s="13" t="s">
        <v>2130</v>
      </c>
      <c r="C1063" s="13" t="s">
        <v>2166</v>
      </c>
      <c r="D1063" s="15">
        <v>2</v>
      </c>
      <c r="E1063" s="179" t="s">
        <v>2167</v>
      </c>
      <c r="F1063" s="13" t="s">
        <v>11</v>
      </c>
    </row>
    <row r="1064" ht="18" customHeight="1" spans="1:6">
      <c r="A1064" s="13" t="s">
        <v>1812</v>
      </c>
      <c r="B1064" s="13" t="s">
        <v>2130</v>
      </c>
      <c r="C1064" s="13" t="s">
        <v>2168</v>
      </c>
      <c r="D1064" s="15">
        <v>2</v>
      </c>
      <c r="E1064" s="5" t="str">
        <f>LEFT("422626194304172317",19)</f>
        <v>422626194304172317</v>
      </c>
      <c r="F1064" s="13" t="s">
        <v>11</v>
      </c>
    </row>
    <row r="1065" ht="18" customHeight="1" spans="1:6">
      <c r="A1065" s="13" t="s">
        <v>1812</v>
      </c>
      <c r="B1065" s="13" t="s">
        <v>2130</v>
      </c>
      <c r="C1065" s="13" t="s">
        <v>1820</v>
      </c>
      <c r="D1065" s="15">
        <v>5</v>
      </c>
      <c r="E1065" s="5" t="str">
        <f>LEFT("422626195404012315",19)</f>
        <v>422626195404012315</v>
      </c>
      <c r="F1065" s="13" t="s">
        <v>11</v>
      </c>
    </row>
    <row r="1066" ht="18" customHeight="1" spans="1:6">
      <c r="A1066" s="13" t="s">
        <v>1812</v>
      </c>
      <c r="B1066" s="13" t="s">
        <v>2133</v>
      </c>
      <c r="C1066" s="13" t="s">
        <v>2169</v>
      </c>
      <c r="D1066" s="15">
        <v>1</v>
      </c>
      <c r="E1066" s="33" t="str">
        <f>LEFT("422626195703162313",19)</f>
        <v>422626195703162313</v>
      </c>
      <c r="F1066" s="13" t="s">
        <v>11</v>
      </c>
    </row>
    <row r="1067" ht="18" customHeight="1" spans="1:6">
      <c r="A1067" s="13" t="s">
        <v>1812</v>
      </c>
      <c r="B1067" s="13" t="s">
        <v>2130</v>
      </c>
      <c r="C1067" s="13" t="s">
        <v>2170</v>
      </c>
      <c r="D1067" s="15">
        <v>1</v>
      </c>
      <c r="E1067" s="33" t="str">
        <f>LEFT("422626195703182314",19)</f>
        <v>422626195703182314</v>
      </c>
      <c r="F1067" s="13" t="s">
        <v>11</v>
      </c>
    </row>
    <row r="1068" ht="18" customHeight="1" spans="1:6">
      <c r="A1068" s="13" t="s">
        <v>1812</v>
      </c>
      <c r="B1068" s="13" t="s">
        <v>2130</v>
      </c>
      <c r="C1068" s="13" t="s">
        <v>2171</v>
      </c>
      <c r="D1068" s="15">
        <v>1</v>
      </c>
      <c r="E1068" s="33" t="str">
        <f>LEFT("42032519480603231X",19)</f>
        <v>42032519480603231X</v>
      </c>
      <c r="F1068" s="13" t="s">
        <v>11</v>
      </c>
    </row>
    <row r="1069" ht="18" customHeight="1" spans="1:6">
      <c r="A1069" s="13" t="s">
        <v>1812</v>
      </c>
      <c r="B1069" s="13" t="s">
        <v>2130</v>
      </c>
      <c r="C1069" s="13" t="s">
        <v>2172</v>
      </c>
      <c r="D1069" s="15">
        <v>1</v>
      </c>
      <c r="E1069" s="33" t="str">
        <f>LEFT("422626195205282339",19)</f>
        <v>422626195205282339</v>
      </c>
      <c r="F1069" s="13" t="s">
        <v>11</v>
      </c>
    </row>
    <row r="1070" ht="18" customHeight="1" spans="1:6">
      <c r="A1070" s="13" t="s">
        <v>1812</v>
      </c>
      <c r="B1070" s="13" t="s">
        <v>2133</v>
      </c>
      <c r="C1070" s="13" t="s">
        <v>2173</v>
      </c>
      <c r="D1070" s="15">
        <v>1</v>
      </c>
      <c r="E1070" s="33" t="str">
        <f>LEFT("422626194706272310",19)</f>
        <v>422626194706272310</v>
      </c>
      <c r="F1070" s="13" t="s">
        <v>11</v>
      </c>
    </row>
    <row r="1071" ht="18" customHeight="1" spans="1:6">
      <c r="A1071" s="13" t="s">
        <v>1812</v>
      </c>
      <c r="B1071" s="13" t="s">
        <v>2122</v>
      </c>
      <c r="C1071" s="13" t="s">
        <v>2174</v>
      </c>
      <c r="D1071" s="15">
        <v>1</v>
      </c>
      <c r="E1071" s="5" t="s">
        <v>2175</v>
      </c>
      <c r="F1071" s="13" t="s">
        <v>11</v>
      </c>
    </row>
    <row r="1072" ht="18" customHeight="1" spans="1:6">
      <c r="A1072" s="13" t="s">
        <v>1812</v>
      </c>
      <c r="B1072" s="13" t="s">
        <v>2130</v>
      </c>
      <c r="C1072" s="13" t="s">
        <v>2176</v>
      </c>
      <c r="D1072" s="15">
        <v>2</v>
      </c>
      <c r="E1072" s="5" t="s">
        <v>2177</v>
      </c>
      <c r="F1072" s="13" t="s">
        <v>11</v>
      </c>
    </row>
    <row r="1073" ht="18" customHeight="1" spans="1:6">
      <c r="A1073" s="13" t="s">
        <v>1812</v>
      </c>
      <c r="B1073" s="13" t="s">
        <v>2142</v>
      </c>
      <c r="C1073" s="13" t="s">
        <v>2178</v>
      </c>
      <c r="D1073" s="15">
        <v>1</v>
      </c>
      <c r="E1073" s="5" t="s">
        <v>2179</v>
      </c>
      <c r="F1073" s="13" t="s">
        <v>11</v>
      </c>
    </row>
    <row r="1074" ht="18" customHeight="1" spans="1:6">
      <c r="A1074" s="13" t="s">
        <v>1812</v>
      </c>
      <c r="B1074" s="13" t="s">
        <v>2142</v>
      </c>
      <c r="C1074" s="13" t="s">
        <v>2180</v>
      </c>
      <c r="D1074" s="15">
        <v>1</v>
      </c>
      <c r="E1074" s="179" t="s">
        <v>2181</v>
      </c>
      <c r="F1074" s="13" t="s">
        <v>11</v>
      </c>
    </row>
    <row r="1075" ht="18" customHeight="1" spans="1:6">
      <c r="A1075" s="13" t="s">
        <v>1812</v>
      </c>
      <c r="B1075" s="13" t="s">
        <v>2142</v>
      </c>
      <c r="C1075" s="13" t="s">
        <v>2182</v>
      </c>
      <c r="D1075" s="15">
        <v>3</v>
      </c>
      <c r="E1075" s="5" t="s">
        <v>2183</v>
      </c>
      <c r="F1075" s="13" t="s">
        <v>11</v>
      </c>
    </row>
    <row r="1076" ht="18" customHeight="1" spans="1:6">
      <c r="A1076" s="13" t="s">
        <v>1812</v>
      </c>
      <c r="B1076" s="13" t="s">
        <v>2130</v>
      </c>
      <c r="C1076" s="13" t="s">
        <v>2184</v>
      </c>
      <c r="D1076" s="15">
        <v>1</v>
      </c>
      <c r="E1076" s="5" t="s">
        <v>2185</v>
      </c>
      <c r="F1076" s="13" t="s">
        <v>11</v>
      </c>
    </row>
    <row r="1077" ht="18" customHeight="1" spans="1:6">
      <c r="A1077" s="13" t="s">
        <v>1812</v>
      </c>
      <c r="B1077" s="13" t="s">
        <v>2130</v>
      </c>
      <c r="C1077" s="13" t="s">
        <v>2186</v>
      </c>
      <c r="D1077" s="15">
        <v>1</v>
      </c>
      <c r="E1077" s="5" t="s">
        <v>2187</v>
      </c>
      <c r="F1077" s="13" t="s">
        <v>11</v>
      </c>
    </row>
    <row r="1078" ht="18" customHeight="1" spans="1:6">
      <c r="A1078" s="13" t="s">
        <v>1812</v>
      </c>
      <c r="B1078" s="13" t="s">
        <v>2130</v>
      </c>
      <c r="C1078" s="13" t="s">
        <v>2188</v>
      </c>
      <c r="D1078" s="15">
        <v>1</v>
      </c>
      <c r="E1078" s="5" t="s">
        <v>2189</v>
      </c>
      <c r="F1078" s="13" t="s">
        <v>11</v>
      </c>
    </row>
    <row r="1079" ht="18" customHeight="1" spans="1:6">
      <c r="A1079" s="13" t="s">
        <v>1812</v>
      </c>
      <c r="B1079" s="13" t="s">
        <v>2190</v>
      </c>
      <c r="C1079" s="5" t="s">
        <v>2191</v>
      </c>
      <c r="D1079" s="15">
        <v>5</v>
      </c>
      <c r="E1079" s="5" t="str">
        <f>LEFT("422626195306242336",19)</f>
        <v>422626195306242336</v>
      </c>
      <c r="F1079" s="13" t="s">
        <v>11</v>
      </c>
    </row>
    <row r="1080" ht="18" customHeight="1" spans="1:6">
      <c r="A1080" s="13" t="s">
        <v>1812</v>
      </c>
      <c r="B1080" s="13" t="s">
        <v>2190</v>
      </c>
      <c r="C1080" s="137" t="s">
        <v>2192</v>
      </c>
      <c r="D1080" s="6">
        <v>2</v>
      </c>
      <c r="E1080" s="5" t="str">
        <f>LEFT("422626193707132315",19)</f>
        <v>422626193707132315</v>
      </c>
      <c r="F1080" s="13" t="s">
        <v>11</v>
      </c>
    </row>
    <row r="1081" ht="18" customHeight="1" spans="1:6">
      <c r="A1081" s="13" t="s">
        <v>1812</v>
      </c>
      <c r="B1081" s="13" t="s">
        <v>2190</v>
      </c>
      <c r="C1081" s="5" t="s">
        <v>2193</v>
      </c>
      <c r="D1081" s="15">
        <v>2</v>
      </c>
      <c r="E1081" s="5" t="str">
        <f>LEFT("422626194608252316",19)</f>
        <v>422626194608252316</v>
      </c>
      <c r="F1081" s="13" t="s">
        <v>11</v>
      </c>
    </row>
    <row r="1082" ht="18" customHeight="1" spans="1:6">
      <c r="A1082" s="13" t="s">
        <v>1812</v>
      </c>
      <c r="B1082" s="13" t="s">
        <v>2190</v>
      </c>
      <c r="C1082" s="5" t="s">
        <v>2194</v>
      </c>
      <c r="D1082" s="15">
        <v>3</v>
      </c>
      <c r="E1082" s="5" t="str">
        <f>LEFT("42262619520514231X",19)</f>
        <v>42262619520514231X</v>
      </c>
      <c r="F1082" s="13" t="s">
        <v>11</v>
      </c>
    </row>
    <row r="1083" ht="18" customHeight="1" spans="1:6">
      <c r="A1083" s="13" t="s">
        <v>1812</v>
      </c>
      <c r="B1083" s="13" t="s">
        <v>2190</v>
      </c>
      <c r="C1083" s="5" t="s">
        <v>2195</v>
      </c>
      <c r="D1083" s="15">
        <v>1</v>
      </c>
      <c r="E1083" s="5" t="str">
        <f>LEFT("422626193908032310",19)</f>
        <v>422626193908032310</v>
      </c>
      <c r="F1083" s="13" t="s">
        <v>11</v>
      </c>
    </row>
    <row r="1084" ht="18" customHeight="1" spans="1:6">
      <c r="A1084" s="13" t="s">
        <v>1812</v>
      </c>
      <c r="B1084" s="13" t="s">
        <v>2190</v>
      </c>
      <c r="C1084" s="5" t="s">
        <v>2196</v>
      </c>
      <c r="D1084" s="15">
        <v>2</v>
      </c>
      <c r="E1084" s="5" t="str">
        <f>LEFT("422626195204172314",19)</f>
        <v>422626195204172314</v>
      </c>
      <c r="F1084" s="13" t="s">
        <v>11</v>
      </c>
    </row>
    <row r="1085" ht="18" customHeight="1" spans="1:6">
      <c r="A1085" s="13" t="s">
        <v>1812</v>
      </c>
      <c r="B1085" s="13" t="s">
        <v>2190</v>
      </c>
      <c r="C1085" s="5" t="s">
        <v>2197</v>
      </c>
      <c r="D1085" s="15">
        <v>3</v>
      </c>
      <c r="E1085" s="5" t="str">
        <f>LEFT("420325198107152329",19)</f>
        <v>420325198107152329</v>
      </c>
      <c r="F1085" s="13" t="s">
        <v>11</v>
      </c>
    </row>
    <row r="1086" ht="18" customHeight="1" spans="1:6">
      <c r="A1086" s="13" t="s">
        <v>1812</v>
      </c>
      <c r="B1086" s="13" t="s">
        <v>2190</v>
      </c>
      <c r="C1086" s="5" t="s">
        <v>2198</v>
      </c>
      <c r="D1086" s="15">
        <v>2</v>
      </c>
      <c r="E1086" s="5" t="str">
        <f>LEFT("422626194510202353",19)</f>
        <v>422626194510202353</v>
      </c>
      <c r="F1086" s="13" t="s">
        <v>11</v>
      </c>
    </row>
    <row r="1087" ht="18" customHeight="1" spans="1:6">
      <c r="A1087" s="13" t="s">
        <v>1812</v>
      </c>
      <c r="B1087" s="13" t="s">
        <v>2190</v>
      </c>
      <c r="C1087" s="5" t="s">
        <v>2199</v>
      </c>
      <c r="D1087" s="15">
        <v>3</v>
      </c>
      <c r="E1087" s="5" t="str">
        <f>LEFT("420325198601232316",19)</f>
        <v>420325198601232316</v>
      </c>
      <c r="F1087" s="13" t="s">
        <v>11</v>
      </c>
    </row>
    <row r="1088" ht="18" customHeight="1" spans="1:6">
      <c r="A1088" s="13" t="s">
        <v>1812</v>
      </c>
      <c r="B1088" s="13" t="s">
        <v>2190</v>
      </c>
      <c r="C1088" s="5" t="s">
        <v>2200</v>
      </c>
      <c r="D1088" s="15">
        <v>1</v>
      </c>
      <c r="E1088" s="5" t="str">
        <f>LEFT("422626197011212315",19)</f>
        <v>422626197011212315</v>
      </c>
      <c r="F1088" s="13" t="s">
        <v>11</v>
      </c>
    </row>
    <row r="1089" ht="18" customHeight="1" spans="1:6">
      <c r="A1089" s="13" t="s">
        <v>1812</v>
      </c>
      <c r="B1089" s="13" t="s">
        <v>2190</v>
      </c>
      <c r="C1089" s="5" t="s">
        <v>2201</v>
      </c>
      <c r="D1089" s="15">
        <v>4</v>
      </c>
      <c r="E1089" s="5" t="str">
        <f>LEFT("422626197407132311",19)</f>
        <v>422626197407132311</v>
      </c>
      <c r="F1089" s="13" t="s">
        <v>11</v>
      </c>
    </row>
    <row r="1090" ht="18" customHeight="1" spans="1:6">
      <c r="A1090" s="13" t="s">
        <v>1812</v>
      </c>
      <c r="B1090" s="13" t="s">
        <v>2190</v>
      </c>
      <c r="C1090" s="5" t="s">
        <v>2202</v>
      </c>
      <c r="D1090" s="15">
        <v>4</v>
      </c>
      <c r="E1090" s="5" t="str">
        <f>LEFT("420325199004182319",19)</f>
        <v>420325199004182319</v>
      </c>
      <c r="F1090" s="13" t="s">
        <v>11</v>
      </c>
    </row>
    <row r="1091" ht="18" customHeight="1" spans="1:6">
      <c r="A1091" s="13" t="s">
        <v>1812</v>
      </c>
      <c r="B1091" s="13" t="s">
        <v>2190</v>
      </c>
      <c r="C1091" s="5" t="s">
        <v>2203</v>
      </c>
      <c r="D1091" s="15">
        <v>2</v>
      </c>
      <c r="E1091" s="5" t="str">
        <f>LEFT("420325197203242362",19)</f>
        <v>420325197203242362</v>
      </c>
      <c r="F1091" s="13" t="s">
        <v>11</v>
      </c>
    </row>
    <row r="1092" ht="18" customHeight="1" spans="1:6">
      <c r="A1092" s="13" t="s">
        <v>1812</v>
      </c>
      <c r="B1092" s="13" t="s">
        <v>2190</v>
      </c>
      <c r="C1092" s="5" t="s">
        <v>2204</v>
      </c>
      <c r="D1092" s="15">
        <v>4</v>
      </c>
      <c r="E1092" s="5" t="str">
        <f>LEFT("422626197102152338",19)</f>
        <v>422626197102152338</v>
      </c>
      <c r="F1092" s="13" t="s">
        <v>11</v>
      </c>
    </row>
    <row r="1093" ht="18" customHeight="1" spans="1:6">
      <c r="A1093" s="13" t="s">
        <v>1812</v>
      </c>
      <c r="B1093" s="13" t="s">
        <v>2190</v>
      </c>
      <c r="C1093" s="5" t="s">
        <v>2205</v>
      </c>
      <c r="D1093" s="15">
        <v>3</v>
      </c>
      <c r="E1093" s="5" t="str">
        <f>LEFT("422626196609262312",19)</f>
        <v>422626196609262312</v>
      </c>
      <c r="F1093" s="13" t="s">
        <v>11</v>
      </c>
    </row>
    <row r="1094" ht="18" customHeight="1" spans="1:6">
      <c r="A1094" s="13" t="s">
        <v>1812</v>
      </c>
      <c r="B1094" s="13" t="s">
        <v>2190</v>
      </c>
      <c r="C1094" s="5" t="s">
        <v>2206</v>
      </c>
      <c r="D1094" s="15">
        <v>2</v>
      </c>
      <c r="E1094" s="5" t="str">
        <f>LEFT("422626196404142317",19)</f>
        <v>422626196404142317</v>
      </c>
      <c r="F1094" s="13" t="s">
        <v>11</v>
      </c>
    </row>
    <row r="1095" ht="18" customHeight="1" spans="1:6">
      <c r="A1095" s="13" t="s">
        <v>1812</v>
      </c>
      <c r="B1095" s="13" t="s">
        <v>2190</v>
      </c>
      <c r="C1095" s="5" t="s">
        <v>2207</v>
      </c>
      <c r="D1095" s="15">
        <v>3</v>
      </c>
      <c r="E1095" s="5" t="str">
        <f>LEFT("422626197205052321",19)</f>
        <v>422626197205052321</v>
      </c>
      <c r="F1095" s="13" t="s">
        <v>11</v>
      </c>
    </row>
    <row r="1096" ht="18" customHeight="1" spans="1:6">
      <c r="A1096" s="13" t="s">
        <v>1812</v>
      </c>
      <c r="B1096" s="13" t="s">
        <v>2208</v>
      </c>
      <c r="C1096" s="5" t="s">
        <v>2209</v>
      </c>
      <c r="D1096" s="15">
        <v>4</v>
      </c>
      <c r="E1096" s="5" t="str">
        <f>LEFT("420325197010222314",19)</f>
        <v>420325197010222314</v>
      </c>
      <c r="F1096" s="13" t="s">
        <v>11</v>
      </c>
    </row>
    <row r="1097" ht="18" customHeight="1" spans="1:6">
      <c r="A1097" s="13" t="s">
        <v>1812</v>
      </c>
      <c r="B1097" s="13" t="s">
        <v>2208</v>
      </c>
      <c r="C1097" s="5" t="s">
        <v>2210</v>
      </c>
      <c r="D1097" s="15">
        <v>1</v>
      </c>
      <c r="E1097" s="5" t="str">
        <f>LEFT("42262619600119231X",19)</f>
        <v>42262619600119231X</v>
      </c>
      <c r="F1097" s="13" t="s">
        <v>11</v>
      </c>
    </row>
    <row r="1098" ht="18" customHeight="1" spans="1:6">
      <c r="A1098" s="13" t="s">
        <v>1812</v>
      </c>
      <c r="B1098" s="13" t="s">
        <v>2208</v>
      </c>
      <c r="C1098" s="5" t="s">
        <v>2211</v>
      </c>
      <c r="D1098" s="15">
        <v>2</v>
      </c>
      <c r="E1098" s="5" t="str">
        <f>LEFT("422626195305232312",19)</f>
        <v>422626195305232312</v>
      </c>
      <c r="F1098" s="13" t="s">
        <v>11</v>
      </c>
    </row>
    <row r="1099" ht="18" customHeight="1" spans="1:6">
      <c r="A1099" s="13" t="s">
        <v>1812</v>
      </c>
      <c r="B1099" s="13" t="s">
        <v>2208</v>
      </c>
      <c r="C1099" s="5" t="s">
        <v>2212</v>
      </c>
      <c r="D1099" s="15">
        <v>2</v>
      </c>
      <c r="E1099" s="5" t="str">
        <f>LEFT("42262619640302233X",19)</f>
        <v>42262619640302233X</v>
      </c>
      <c r="F1099" s="13" t="s">
        <v>11</v>
      </c>
    </row>
    <row r="1100" ht="18" customHeight="1" spans="1:6">
      <c r="A1100" s="13" t="s">
        <v>1812</v>
      </c>
      <c r="B1100" s="13" t="s">
        <v>2208</v>
      </c>
      <c r="C1100" s="5" t="s">
        <v>2213</v>
      </c>
      <c r="D1100" s="15">
        <v>2</v>
      </c>
      <c r="E1100" s="5" t="str">
        <f>LEFT("422626196311192315",19)</f>
        <v>422626196311192315</v>
      </c>
      <c r="F1100" s="13" t="s">
        <v>11</v>
      </c>
    </row>
    <row r="1101" ht="18" customHeight="1" spans="1:6">
      <c r="A1101" s="13" t="s">
        <v>1812</v>
      </c>
      <c r="B1101" s="13" t="s">
        <v>2208</v>
      </c>
      <c r="C1101" s="5" t="s">
        <v>2214</v>
      </c>
      <c r="D1101" s="15">
        <v>4</v>
      </c>
      <c r="E1101" s="5" t="str">
        <f>LEFT("420325195703282337",19)</f>
        <v>420325195703282337</v>
      </c>
      <c r="F1101" s="13" t="s">
        <v>11</v>
      </c>
    </row>
    <row r="1102" ht="18" customHeight="1" spans="1:6">
      <c r="A1102" s="13" t="s">
        <v>1812</v>
      </c>
      <c r="B1102" s="13" t="s">
        <v>2208</v>
      </c>
      <c r="C1102" s="5" t="s">
        <v>2215</v>
      </c>
      <c r="D1102" s="15">
        <v>2</v>
      </c>
      <c r="E1102" s="5" t="str">
        <f>LEFT("422626194502242312",19)</f>
        <v>422626194502242312</v>
      </c>
      <c r="F1102" s="13" t="s">
        <v>11</v>
      </c>
    </row>
    <row r="1103" ht="18" customHeight="1" spans="1:6">
      <c r="A1103" s="13" t="s">
        <v>1812</v>
      </c>
      <c r="B1103" s="13" t="s">
        <v>2208</v>
      </c>
      <c r="C1103" s="5" t="s">
        <v>2216</v>
      </c>
      <c r="D1103" s="15">
        <v>2</v>
      </c>
      <c r="E1103" s="5" t="s">
        <v>2217</v>
      </c>
      <c r="F1103" s="13" t="s">
        <v>11</v>
      </c>
    </row>
    <row r="1104" ht="18" customHeight="1" spans="1:6">
      <c r="A1104" s="13" t="s">
        <v>1812</v>
      </c>
      <c r="B1104" s="13" t="s">
        <v>2208</v>
      </c>
      <c r="C1104" s="5" t="s">
        <v>2218</v>
      </c>
      <c r="D1104" s="15">
        <v>1</v>
      </c>
      <c r="E1104" s="5" t="s">
        <v>2219</v>
      </c>
      <c r="F1104" s="13" t="s">
        <v>11</v>
      </c>
    </row>
    <row r="1105" ht="18" customHeight="1" spans="1:6">
      <c r="A1105" s="13" t="s">
        <v>1812</v>
      </c>
      <c r="B1105" s="13" t="s">
        <v>2208</v>
      </c>
      <c r="C1105" s="5" t="s">
        <v>2220</v>
      </c>
      <c r="D1105" s="15">
        <v>5</v>
      </c>
      <c r="E1105" s="5" t="str">
        <f>LEFT("422626194710062316",19)</f>
        <v>422626194710062316</v>
      </c>
      <c r="F1105" s="13" t="s">
        <v>11</v>
      </c>
    </row>
    <row r="1106" ht="18" customHeight="1" spans="1:6">
      <c r="A1106" s="13" t="s">
        <v>1812</v>
      </c>
      <c r="B1106" s="13" t="s">
        <v>2208</v>
      </c>
      <c r="C1106" s="5" t="s">
        <v>2221</v>
      </c>
      <c r="D1106" s="15">
        <v>2</v>
      </c>
      <c r="E1106" s="5" t="str">
        <f>LEFT("420325196103202414",19)</f>
        <v>420325196103202414</v>
      </c>
      <c r="F1106" s="13" t="s">
        <v>11</v>
      </c>
    </row>
    <row r="1107" ht="18" customHeight="1" spans="1:6">
      <c r="A1107" s="13" t="s">
        <v>1812</v>
      </c>
      <c r="B1107" s="13" t="s">
        <v>2208</v>
      </c>
      <c r="C1107" s="5" t="s">
        <v>2222</v>
      </c>
      <c r="D1107" s="15">
        <v>2</v>
      </c>
      <c r="E1107" s="5" t="str">
        <f>LEFT("422626194110242313",19)</f>
        <v>422626194110242313</v>
      </c>
      <c r="F1107" s="13" t="s">
        <v>11</v>
      </c>
    </row>
    <row r="1108" ht="18" customHeight="1" spans="1:6">
      <c r="A1108" s="13" t="s">
        <v>1812</v>
      </c>
      <c r="B1108" s="13" t="s">
        <v>2208</v>
      </c>
      <c r="C1108" s="5" t="s">
        <v>2223</v>
      </c>
      <c r="D1108" s="6">
        <v>1</v>
      </c>
      <c r="E1108" s="5" t="str">
        <f>LEFT("42262619400110232X",19)</f>
        <v>42262619400110232X</v>
      </c>
      <c r="F1108" s="13" t="s">
        <v>11</v>
      </c>
    </row>
    <row r="1109" ht="18" customHeight="1" spans="1:6">
      <c r="A1109" s="13" t="s">
        <v>1812</v>
      </c>
      <c r="B1109" s="13" t="s">
        <v>2208</v>
      </c>
      <c r="C1109" s="47" t="s">
        <v>2224</v>
      </c>
      <c r="D1109" s="15">
        <v>3</v>
      </c>
      <c r="E1109" s="5" t="str">
        <f>LEFT("422626195506062313",19)</f>
        <v>422626195506062313</v>
      </c>
      <c r="F1109" s="13" t="s">
        <v>11</v>
      </c>
    </row>
    <row r="1110" ht="18" customHeight="1" spans="1:6">
      <c r="A1110" s="13" t="s">
        <v>1812</v>
      </c>
      <c r="B1110" s="13" t="s">
        <v>2225</v>
      </c>
      <c r="C1110" s="5" t="s">
        <v>2226</v>
      </c>
      <c r="D1110" s="15">
        <v>1</v>
      </c>
      <c r="E1110" s="5" t="str">
        <f>LEFT("42032519780825231X",19)</f>
        <v>42032519780825231X</v>
      </c>
      <c r="F1110" s="13" t="s">
        <v>11</v>
      </c>
    </row>
    <row r="1111" ht="18" customHeight="1" spans="1:6">
      <c r="A1111" s="13" t="s">
        <v>1812</v>
      </c>
      <c r="B1111" s="13" t="s">
        <v>2225</v>
      </c>
      <c r="C1111" s="5" t="s">
        <v>2227</v>
      </c>
      <c r="D1111" s="15">
        <v>1</v>
      </c>
      <c r="E1111" s="5" t="str">
        <f>LEFT("422626197111082319",19)</f>
        <v>422626197111082319</v>
      </c>
      <c r="F1111" s="13" t="s">
        <v>11</v>
      </c>
    </row>
    <row r="1112" ht="18" customHeight="1" spans="1:6">
      <c r="A1112" s="13" t="s">
        <v>1812</v>
      </c>
      <c r="B1112" s="13" t="s">
        <v>2225</v>
      </c>
      <c r="C1112" s="47" t="s">
        <v>2228</v>
      </c>
      <c r="D1112" s="15">
        <v>2</v>
      </c>
      <c r="E1112" s="5" t="str">
        <f>LEFT("42262619550307233X",19)</f>
        <v>42262619550307233X</v>
      </c>
      <c r="F1112" s="13" t="s">
        <v>11</v>
      </c>
    </row>
    <row r="1113" ht="18" customHeight="1" spans="1:6">
      <c r="A1113" s="13" t="s">
        <v>1812</v>
      </c>
      <c r="B1113" s="13" t="s">
        <v>2225</v>
      </c>
      <c r="C1113" s="5" t="s">
        <v>2229</v>
      </c>
      <c r="D1113" s="15">
        <v>2</v>
      </c>
      <c r="E1113" s="5" t="str">
        <f>LEFT("422626197407302317",19)</f>
        <v>422626197407302317</v>
      </c>
      <c r="F1113" s="13" t="s">
        <v>11</v>
      </c>
    </row>
    <row r="1114" ht="18" customHeight="1" spans="1:6">
      <c r="A1114" s="13" t="s">
        <v>1812</v>
      </c>
      <c r="B1114" s="13" t="s">
        <v>2230</v>
      </c>
      <c r="C1114" s="13" t="s">
        <v>2231</v>
      </c>
      <c r="D1114" s="15">
        <v>4</v>
      </c>
      <c r="E1114" s="13" t="s">
        <v>2232</v>
      </c>
      <c r="F1114" s="13" t="s">
        <v>11</v>
      </c>
    </row>
    <row r="1115" ht="18" customHeight="1" spans="1:6">
      <c r="A1115" s="13" t="s">
        <v>1812</v>
      </c>
      <c r="B1115" s="13" t="s">
        <v>2230</v>
      </c>
      <c r="C1115" s="13" t="s">
        <v>2233</v>
      </c>
      <c r="D1115" s="15">
        <v>3</v>
      </c>
      <c r="E1115" s="179" t="s">
        <v>2234</v>
      </c>
      <c r="F1115" s="13" t="s">
        <v>11</v>
      </c>
    </row>
    <row r="1116" ht="18" customHeight="1" spans="1:6">
      <c r="A1116" s="13" t="s">
        <v>1812</v>
      </c>
      <c r="B1116" s="13" t="s">
        <v>2230</v>
      </c>
      <c r="C1116" s="13" t="s">
        <v>2235</v>
      </c>
      <c r="D1116" s="15">
        <v>4</v>
      </c>
      <c r="E1116" s="179" t="s">
        <v>2236</v>
      </c>
      <c r="F1116" s="13" t="s">
        <v>11</v>
      </c>
    </row>
    <row r="1117" ht="18" customHeight="1" spans="1:6">
      <c r="A1117" s="13" t="s">
        <v>1812</v>
      </c>
      <c r="B1117" s="13" t="s">
        <v>2230</v>
      </c>
      <c r="C1117" s="13" t="s">
        <v>2237</v>
      </c>
      <c r="D1117" s="15">
        <v>2</v>
      </c>
      <c r="E1117" s="179" t="s">
        <v>2238</v>
      </c>
      <c r="F1117" s="13" t="s">
        <v>11</v>
      </c>
    </row>
    <row r="1118" ht="18" customHeight="1" spans="1:6">
      <c r="A1118" s="13" t="s">
        <v>1812</v>
      </c>
      <c r="B1118" s="13" t="s">
        <v>2230</v>
      </c>
      <c r="C1118" s="13" t="s">
        <v>2239</v>
      </c>
      <c r="D1118" s="15">
        <v>2</v>
      </c>
      <c r="E1118" s="179" t="s">
        <v>2240</v>
      </c>
      <c r="F1118" s="13" t="s">
        <v>11</v>
      </c>
    </row>
    <row r="1119" ht="18" customHeight="1" spans="1:6">
      <c r="A1119" s="13" t="s">
        <v>1812</v>
      </c>
      <c r="B1119" s="13" t="s">
        <v>2230</v>
      </c>
      <c r="C1119" s="13" t="s">
        <v>2241</v>
      </c>
      <c r="D1119" s="15">
        <v>2</v>
      </c>
      <c r="E1119" s="179" t="s">
        <v>2242</v>
      </c>
      <c r="F1119" s="13" t="s">
        <v>11</v>
      </c>
    </row>
    <row r="1120" ht="18" customHeight="1" spans="1:6">
      <c r="A1120" s="13" t="s">
        <v>1812</v>
      </c>
      <c r="B1120" s="13" t="s">
        <v>2230</v>
      </c>
      <c r="C1120" s="13" t="s">
        <v>2243</v>
      </c>
      <c r="D1120" s="15">
        <v>2</v>
      </c>
      <c r="E1120" s="179" t="s">
        <v>2244</v>
      </c>
      <c r="F1120" s="13" t="s">
        <v>11</v>
      </c>
    </row>
    <row r="1121" ht="18" customHeight="1" spans="1:6">
      <c r="A1121" s="13" t="s">
        <v>1812</v>
      </c>
      <c r="B1121" s="13" t="s">
        <v>2230</v>
      </c>
      <c r="C1121" s="13" t="s">
        <v>2245</v>
      </c>
      <c r="D1121" s="15">
        <v>3</v>
      </c>
      <c r="E1121" s="179" t="s">
        <v>2246</v>
      </c>
      <c r="F1121" s="13" t="s">
        <v>11</v>
      </c>
    </row>
    <row r="1122" ht="18" customHeight="1" spans="1:6">
      <c r="A1122" s="13" t="s">
        <v>1812</v>
      </c>
      <c r="B1122" s="13" t="s">
        <v>2230</v>
      </c>
      <c r="C1122" s="13" t="s">
        <v>2247</v>
      </c>
      <c r="D1122" s="15">
        <v>2</v>
      </c>
      <c r="E1122" s="179" t="s">
        <v>2248</v>
      </c>
      <c r="F1122" s="13" t="s">
        <v>11</v>
      </c>
    </row>
    <row r="1123" ht="18" customHeight="1" spans="1:6">
      <c r="A1123" s="13" t="s">
        <v>1812</v>
      </c>
      <c r="B1123" s="13" t="s">
        <v>2230</v>
      </c>
      <c r="C1123" s="13" t="s">
        <v>2249</v>
      </c>
      <c r="D1123" s="15">
        <v>1</v>
      </c>
      <c r="E1123" s="179" t="s">
        <v>2250</v>
      </c>
      <c r="F1123" s="13" t="s">
        <v>11</v>
      </c>
    </row>
    <row r="1124" ht="18" customHeight="1" spans="1:6">
      <c r="A1124" s="13" t="s">
        <v>1812</v>
      </c>
      <c r="B1124" s="13" t="s">
        <v>2251</v>
      </c>
      <c r="C1124" s="13" t="s">
        <v>2252</v>
      </c>
      <c r="D1124" s="15">
        <v>4</v>
      </c>
      <c r="E1124" s="179" t="s">
        <v>2253</v>
      </c>
      <c r="F1124" s="13" t="s">
        <v>11</v>
      </c>
    </row>
    <row r="1125" ht="18" customHeight="1" spans="1:6">
      <c r="A1125" s="13" t="s">
        <v>1812</v>
      </c>
      <c r="B1125" s="13" t="s">
        <v>2251</v>
      </c>
      <c r="C1125" s="13" t="s">
        <v>2254</v>
      </c>
      <c r="D1125" s="15">
        <v>2</v>
      </c>
      <c r="E1125" s="179" t="s">
        <v>2255</v>
      </c>
      <c r="F1125" s="13" t="s">
        <v>11</v>
      </c>
    </row>
    <row r="1126" ht="18" customHeight="1" spans="1:6">
      <c r="A1126" s="13" t="s">
        <v>1812</v>
      </c>
      <c r="B1126" s="13" t="s">
        <v>2251</v>
      </c>
      <c r="C1126" s="13" t="s">
        <v>2256</v>
      </c>
      <c r="D1126" s="15">
        <v>3</v>
      </c>
      <c r="E1126" s="179" t="s">
        <v>2257</v>
      </c>
      <c r="F1126" s="13" t="s">
        <v>11</v>
      </c>
    </row>
    <row r="1127" ht="18" customHeight="1" spans="1:6">
      <c r="A1127" s="13" t="s">
        <v>1812</v>
      </c>
      <c r="B1127" s="13" t="s">
        <v>2251</v>
      </c>
      <c r="C1127" s="13" t="s">
        <v>2258</v>
      </c>
      <c r="D1127" s="15">
        <v>4</v>
      </c>
      <c r="E1127" s="179" t="s">
        <v>2259</v>
      </c>
      <c r="F1127" s="13" t="s">
        <v>11</v>
      </c>
    </row>
    <row r="1128" ht="18" customHeight="1" spans="1:6">
      <c r="A1128" s="13" t="s">
        <v>1812</v>
      </c>
      <c r="B1128" s="13" t="s">
        <v>2230</v>
      </c>
      <c r="C1128" s="13" t="s">
        <v>2260</v>
      </c>
      <c r="D1128" s="15">
        <v>3</v>
      </c>
      <c r="E1128" s="179" t="s">
        <v>2261</v>
      </c>
      <c r="F1128" s="13" t="s">
        <v>11</v>
      </c>
    </row>
    <row r="1129" ht="18" customHeight="1" spans="1:6">
      <c r="A1129" s="13" t="s">
        <v>1812</v>
      </c>
      <c r="B1129" s="13" t="s">
        <v>2251</v>
      </c>
      <c r="C1129" s="13" t="s">
        <v>2262</v>
      </c>
      <c r="D1129" s="15">
        <v>1</v>
      </c>
      <c r="E1129" s="179" t="s">
        <v>2263</v>
      </c>
      <c r="F1129" s="13" t="s">
        <v>11</v>
      </c>
    </row>
    <row r="1130" ht="18" customHeight="1" spans="1:6">
      <c r="A1130" s="13" t="s">
        <v>1812</v>
      </c>
      <c r="B1130" s="13" t="s">
        <v>2251</v>
      </c>
      <c r="C1130" s="13" t="s">
        <v>2264</v>
      </c>
      <c r="D1130" s="15">
        <v>1</v>
      </c>
      <c r="E1130" s="179" t="s">
        <v>2265</v>
      </c>
      <c r="F1130" s="13" t="s">
        <v>11</v>
      </c>
    </row>
    <row r="1131" ht="18" customHeight="1" spans="1:6">
      <c r="A1131" s="13" t="s">
        <v>1812</v>
      </c>
      <c r="B1131" s="13" t="s">
        <v>2266</v>
      </c>
      <c r="C1131" s="13" t="s">
        <v>2267</v>
      </c>
      <c r="D1131" s="15">
        <v>2</v>
      </c>
      <c r="E1131" s="179" t="s">
        <v>2268</v>
      </c>
      <c r="F1131" s="13" t="s">
        <v>11</v>
      </c>
    </row>
    <row r="1132" ht="18" customHeight="1" spans="1:6">
      <c r="A1132" s="13" t="s">
        <v>1812</v>
      </c>
      <c r="B1132" s="13" t="s">
        <v>2266</v>
      </c>
      <c r="C1132" s="13" t="s">
        <v>2269</v>
      </c>
      <c r="D1132" s="15">
        <v>2</v>
      </c>
      <c r="E1132" s="179" t="s">
        <v>2270</v>
      </c>
      <c r="F1132" s="13" t="s">
        <v>11</v>
      </c>
    </row>
    <row r="1133" ht="18" customHeight="1" spans="1:6">
      <c r="A1133" s="13" t="s">
        <v>1812</v>
      </c>
      <c r="B1133" s="13" t="s">
        <v>2266</v>
      </c>
      <c r="C1133" s="13" t="s">
        <v>2271</v>
      </c>
      <c r="D1133" s="15">
        <v>2</v>
      </c>
      <c r="E1133" s="179" t="s">
        <v>2272</v>
      </c>
      <c r="F1133" s="13" t="s">
        <v>11</v>
      </c>
    </row>
    <row r="1134" ht="18" customHeight="1" spans="1:6">
      <c r="A1134" s="13" t="s">
        <v>1812</v>
      </c>
      <c r="B1134" s="13" t="s">
        <v>2230</v>
      </c>
      <c r="C1134" s="13" t="s">
        <v>2273</v>
      </c>
      <c r="D1134" s="15">
        <v>2</v>
      </c>
      <c r="E1134" s="179" t="s">
        <v>2274</v>
      </c>
      <c r="F1134" s="13" t="s">
        <v>11</v>
      </c>
    </row>
    <row r="1135" ht="18" customHeight="1" spans="1:6">
      <c r="A1135" s="13" t="s">
        <v>1812</v>
      </c>
      <c r="B1135" s="13" t="s">
        <v>2230</v>
      </c>
      <c r="C1135" s="13" t="s">
        <v>2275</v>
      </c>
      <c r="D1135" s="15">
        <v>2</v>
      </c>
      <c r="E1135" s="179" t="s">
        <v>2276</v>
      </c>
      <c r="F1135" s="13" t="s">
        <v>11</v>
      </c>
    </row>
    <row r="1136" ht="18" customHeight="1" spans="1:6">
      <c r="A1136" s="13" t="s">
        <v>1812</v>
      </c>
      <c r="B1136" s="13" t="s">
        <v>2230</v>
      </c>
      <c r="C1136" s="13" t="s">
        <v>2277</v>
      </c>
      <c r="D1136" s="15">
        <v>1</v>
      </c>
      <c r="E1136" s="179" t="s">
        <v>2278</v>
      </c>
      <c r="F1136" s="13" t="s">
        <v>11</v>
      </c>
    </row>
    <row r="1137" ht="18" customHeight="1" spans="1:6">
      <c r="A1137" s="13" t="s">
        <v>1812</v>
      </c>
      <c r="B1137" s="13" t="s">
        <v>2230</v>
      </c>
      <c r="C1137" s="13" t="s">
        <v>2279</v>
      </c>
      <c r="D1137" s="15">
        <v>2</v>
      </c>
      <c r="E1137" s="179" t="s">
        <v>2280</v>
      </c>
      <c r="F1137" s="13" t="s">
        <v>11</v>
      </c>
    </row>
    <row r="1138" ht="18" customHeight="1" spans="1:6">
      <c r="A1138" s="13" t="s">
        <v>1812</v>
      </c>
      <c r="B1138" s="13" t="s">
        <v>2266</v>
      </c>
      <c r="C1138" s="13" t="s">
        <v>2281</v>
      </c>
      <c r="D1138" s="15">
        <v>2</v>
      </c>
      <c r="E1138" s="179" t="s">
        <v>2282</v>
      </c>
      <c r="F1138" s="13" t="s">
        <v>11</v>
      </c>
    </row>
    <row r="1139" ht="18" customHeight="1" spans="1:6">
      <c r="A1139" s="13" t="s">
        <v>1812</v>
      </c>
      <c r="B1139" s="13" t="s">
        <v>2266</v>
      </c>
      <c r="C1139" s="13" t="s">
        <v>2283</v>
      </c>
      <c r="D1139" s="15">
        <v>2</v>
      </c>
      <c r="E1139" s="13" t="s">
        <v>2284</v>
      </c>
      <c r="F1139" s="13" t="s">
        <v>11</v>
      </c>
    </row>
    <row r="1140" ht="18" customHeight="1" spans="1:6">
      <c r="A1140" s="13" t="s">
        <v>1812</v>
      </c>
      <c r="B1140" s="13" t="s">
        <v>2266</v>
      </c>
      <c r="C1140" s="13" t="s">
        <v>2285</v>
      </c>
      <c r="D1140" s="15">
        <v>3</v>
      </c>
      <c r="E1140" s="179" t="s">
        <v>2286</v>
      </c>
      <c r="F1140" s="13" t="s">
        <v>11</v>
      </c>
    </row>
    <row r="1141" ht="18" customHeight="1" spans="1:6">
      <c r="A1141" s="13" t="s">
        <v>1812</v>
      </c>
      <c r="B1141" s="13" t="s">
        <v>2266</v>
      </c>
      <c r="C1141" s="13" t="s">
        <v>2287</v>
      </c>
      <c r="D1141" s="15">
        <v>1</v>
      </c>
      <c r="E1141" s="13" t="s">
        <v>2288</v>
      </c>
      <c r="F1141" s="13" t="s">
        <v>11</v>
      </c>
    </row>
    <row r="1142" ht="18" customHeight="1" spans="1:6">
      <c r="A1142" s="13" t="s">
        <v>1812</v>
      </c>
      <c r="B1142" s="13" t="s">
        <v>2266</v>
      </c>
      <c r="C1142" s="13" t="s">
        <v>2289</v>
      </c>
      <c r="D1142" s="15">
        <v>1</v>
      </c>
      <c r="E1142" s="179" t="s">
        <v>2290</v>
      </c>
      <c r="F1142" s="13" t="s">
        <v>11</v>
      </c>
    </row>
    <row r="1143" ht="18" customHeight="1" spans="1:6">
      <c r="A1143" s="13" t="s">
        <v>1812</v>
      </c>
      <c r="B1143" s="13" t="s">
        <v>2266</v>
      </c>
      <c r="C1143" s="13" t="s">
        <v>2291</v>
      </c>
      <c r="D1143" s="15">
        <v>2</v>
      </c>
      <c r="E1143" s="179" t="s">
        <v>2292</v>
      </c>
      <c r="F1143" s="13" t="s">
        <v>11</v>
      </c>
    </row>
    <row r="1144" ht="18" customHeight="1" spans="1:6">
      <c r="A1144" s="13" t="s">
        <v>1812</v>
      </c>
      <c r="B1144" s="13" t="s">
        <v>2230</v>
      </c>
      <c r="C1144" s="13" t="s">
        <v>2293</v>
      </c>
      <c r="D1144" s="15">
        <v>4</v>
      </c>
      <c r="E1144" s="179" t="s">
        <v>2294</v>
      </c>
      <c r="F1144" s="13" t="s">
        <v>11</v>
      </c>
    </row>
    <row r="1145" ht="18" customHeight="1" spans="1:6">
      <c r="A1145" s="13" t="s">
        <v>1812</v>
      </c>
      <c r="B1145" s="13" t="s">
        <v>2230</v>
      </c>
      <c r="C1145" s="13" t="s">
        <v>2295</v>
      </c>
      <c r="D1145" s="15">
        <v>3</v>
      </c>
      <c r="E1145" s="179" t="s">
        <v>2296</v>
      </c>
      <c r="F1145" s="13" t="s">
        <v>11</v>
      </c>
    </row>
    <row r="1146" ht="18" customHeight="1" spans="1:6">
      <c r="A1146" s="13" t="s">
        <v>1812</v>
      </c>
      <c r="B1146" s="13" t="s">
        <v>2230</v>
      </c>
      <c r="C1146" s="13" t="s">
        <v>2297</v>
      </c>
      <c r="D1146" s="15">
        <v>2</v>
      </c>
      <c r="E1146" s="179" t="s">
        <v>2298</v>
      </c>
      <c r="F1146" s="13" t="s">
        <v>11</v>
      </c>
    </row>
    <row r="1147" ht="18" customHeight="1" spans="1:6">
      <c r="A1147" s="13" t="s">
        <v>1812</v>
      </c>
      <c r="B1147" s="13" t="s">
        <v>2230</v>
      </c>
      <c r="C1147" s="13" t="s">
        <v>2299</v>
      </c>
      <c r="D1147" s="15">
        <v>2</v>
      </c>
      <c r="E1147" s="179" t="s">
        <v>2300</v>
      </c>
      <c r="F1147" s="13" t="s">
        <v>11</v>
      </c>
    </row>
    <row r="1148" ht="18" customHeight="1" spans="1:6">
      <c r="A1148" s="13" t="s">
        <v>1812</v>
      </c>
      <c r="B1148" s="13" t="s">
        <v>2230</v>
      </c>
      <c r="C1148" s="13" t="s">
        <v>2301</v>
      </c>
      <c r="D1148" s="15">
        <v>2</v>
      </c>
      <c r="E1148" s="179" t="s">
        <v>2302</v>
      </c>
      <c r="F1148" s="13" t="s">
        <v>11</v>
      </c>
    </row>
    <row r="1149" ht="18" customHeight="1" spans="1:6">
      <c r="A1149" s="13" t="s">
        <v>1812</v>
      </c>
      <c r="B1149" s="13" t="s">
        <v>2230</v>
      </c>
      <c r="C1149" s="13" t="s">
        <v>2303</v>
      </c>
      <c r="D1149" s="15">
        <v>3</v>
      </c>
      <c r="E1149" s="179" t="s">
        <v>2304</v>
      </c>
      <c r="F1149" s="13" t="s">
        <v>11</v>
      </c>
    </row>
    <row r="1150" ht="18" customHeight="1" spans="1:6">
      <c r="A1150" s="13" t="s">
        <v>1812</v>
      </c>
      <c r="B1150" s="13" t="s">
        <v>2230</v>
      </c>
      <c r="C1150" s="13" t="s">
        <v>2305</v>
      </c>
      <c r="D1150" s="15">
        <v>2</v>
      </c>
      <c r="E1150" s="179" t="s">
        <v>2306</v>
      </c>
      <c r="F1150" s="13" t="s">
        <v>11</v>
      </c>
    </row>
    <row r="1151" ht="18" customHeight="1" spans="1:6">
      <c r="A1151" s="13" t="s">
        <v>1812</v>
      </c>
      <c r="B1151" s="13" t="s">
        <v>2251</v>
      </c>
      <c r="C1151" s="13" t="s">
        <v>2307</v>
      </c>
      <c r="D1151" s="15">
        <v>2</v>
      </c>
      <c r="E1151" s="179" t="s">
        <v>2308</v>
      </c>
      <c r="F1151" s="13" t="s">
        <v>11</v>
      </c>
    </row>
    <row r="1152" ht="18" customHeight="1" spans="1:6">
      <c r="A1152" s="13" t="s">
        <v>1812</v>
      </c>
      <c r="B1152" s="13" t="s">
        <v>2251</v>
      </c>
      <c r="C1152" s="13" t="s">
        <v>2309</v>
      </c>
      <c r="D1152" s="15">
        <v>2</v>
      </c>
      <c r="E1152" s="13" t="s">
        <v>2310</v>
      </c>
      <c r="F1152" s="13" t="s">
        <v>11</v>
      </c>
    </row>
    <row r="1153" ht="18" customHeight="1" spans="1:6">
      <c r="A1153" s="13" t="s">
        <v>1812</v>
      </c>
      <c r="B1153" s="13" t="s">
        <v>2251</v>
      </c>
      <c r="C1153" s="13" t="s">
        <v>2311</v>
      </c>
      <c r="D1153" s="15">
        <v>2</v>
      </c>
      <c r="E1153" s="179" t="s">
        <v>2312</v>
      </c>
      <c r="F1153" s="13" t="s">
        <v>11</v>
      </c>
    </row>
    <row r="1154" ht="18" customHeight="1" spans="1:6">
      <c r="A1154" s="13" t="s">
        <v>1812</v>
      </c>
      <c r="B1154" s="13" t="s">
        <v>2251</v>
      </c>
      <c r="C1154" s="13" t="s">
        <v>2313</v>
      </c>
      <c r="D1154" s="15">
        <v>4</v>
      </c>
      <c r="E1154" s="179" t="s">
        <v>2314</v>
      </c>
      <c r="F1154" s="13" t="s">
        <v>11</v>
      </c>
    </row>
    <row r="1155" ht="18" customHeight="1" spans="1:6">
      <c r="A1155" s="13" t="s">
        <v>1812</v>
      </c>
      <c r="B1155" s="13" t="s">
        <v>2251</v>
      </c>
      <c r="C1155" s="13" t="s">
        <v>2315</v>
      </c>
      <c r="D1155" s="15">
        <v>5</v>
      </c>
      <c r="E1155" s="179" t="s">
        <v>2316</v>
      </c>
      <c r="F1155" s="13" t="s">
        <v>11</v>
      </c>
    </row>
    <row r="1156" ht="18" customHeight="1" spans="1:6">
      <c r="A1156" s="13" t="s">
        <v>1812</v>
      </c>
      <c r="B1156" s="13" t="s">
        <v>2251</v>
      </c>
      <c r="C1156" s="13" t="s">
        <v>2317</v>
      </c>
      <c r="D1156" s="15">
        <v>2</v>
      </c>
      <c r="E1156" s="179" t="s">
        <v>2318</v>
      </c>
      <c r="F1156" s="13" t="s">
        <v>11</v>
      </c>
    </row>
    <row r="1157" ht="18" customHeight="1" spans="1:6">
      <c r="A1157" s="13" t="s">
        <v>1812</v>
      </c>
      <c r="B1157" s="13" t="s">
        <v>2251</v>
      </c>
      <c r="C1157" s="13" t="s">
        <v>2256</v>
      </c>
      <c r="D1157" s="15">
        <v>3</v>
      </c>
      <c r="E1157" s="179" t="s">
        <v>2257</v>
      </c>
      <c r="F1157" s="13" t="s">
        <v>11</v>
      </c>
    </row>
    <row r="1158" ht="18" customHeight="1" spans="1:6">
      <c r="A1158" s="13" t="s">
        <v>1812</v>
      </c>
      <c r="B1158" s="13" t="s">
        <v>2251</v>
      </c>
      <c r="C1158" s="13" t="s">
        <v>2319</v>
      </c>
      <c r="D1158" s="15">
        <v>2</v>
      </c>
      <c r="E1158" s="179" t="s">
        <v>2320</v>
      </c>
      <c r="F1158" s="13" t="s">
        <v>11</v>
      </c>
    </row>
    <row r="1159" ht="18" customHeight="1" spans="1:6">
      <c r="A1159" s="13" t="s">
        <v>1812</v>
      </c>
      <c r="B1159" s="13" t="s">
        <v>2251</v>
      </c>
      <c r="C1159" s="13" t="s">
        <v>2321</v>
      </c>
      <c r="D1159" s="15">
        <v>3</v>
      </c>
      <c r="E1159" s="179" t="s">
        <v>2322</v>
      </c>
      <c r="F1159" s="13" t="s">
        <v>11</v>
      </c>
    </row>
    <row r="1160" ht="18" customHeight="1" spans="1:6">
      <c r="A1160" s="13" t="s">
        <v>1812</v>
      </c>
      <c r="B1160" s="13" t="s">
        <v>2251</v>
      </c>
      <c r="C1160" s="13" t="s">
        <v>2323</v>
      </c>
      <c r="D1160" s="15">
        <v>2</v>
      </c>
      <c r="E1160" s="179" t="s">
        <v>2324</v>
      </c>
      <c r="F1160" s="13" t="s">
        <v>11</v>
      </c>
    </row>
    <row r="1161" ht="18" customHeight="1" spans="1:6">
      <c r="A1161" s="13" t="s">
        <v>1812</v>
      </c>
      <c r="B1161" s="13" t="s">
        <v>2251</v>
      </c>
      <c r="C1161" s="13" t="s">
        <v>2325</v>
      </c>
      <c r="D1161" s="15">
        <v>1</v>
      </c>
      <c r="E1161" s="179" t="s">
        <v>2326</v>
      </c>
      <c r="F1161" s="13" t="s">
        <v>11</v>
      </c>
    </row>
    <row r="1162" ht="18" customHeight="1" spans="1:6">
      <c r="A1162" s="13" t="s">
        <v>1812</v>
      </c>
      <c r="B1162" s="13" t="s">
        <v>2251</v>
      </c>
      <c r="C1162" s="13" t="s">
        <v>2327</v>
      </c>
      <c r="D1162" s="15">
        <v>2</v>
      </c>
      <c r="E1162" s="179" t="s">
        <v>2328</v>
      </c>
      <c r="F1162" s="13" t="s">
        <v>11</v>
      </c>
    </row>
    <row r="1163" ht="18" customHeight="1" spans="1:6">
      <c r="A1163" s="13" t="s">
        <v>1812</v>
      </c>
      <c r="B1163" s="13" t="s">
        <v>2251</v>
      </c>
      <c r="C1163" s="13" t="s">
        <v>2329</v>
      </c>
      <c r="D1163" s="15">
        <v>4</v>
      </c>
      <c r="E1163" s="179" t="s">
        <v>2330</v>
      </c>
      <c r="F1163" s="13" t="s">
        <v>11</v>
      </c>
    </row>
    <row r="1164" ht="18" customHeight="1" spans="1:6">
      <c r="A1164" s="13" t="s">
        <v>1812</v>
      </c>
      <c r="B1164" s="13" t="s">
        <v>2251</v>
      </c>
      <c r="C1164" s="13" t="s">
        <v>2331</v>
      </c>
      <c r="D1164" s="15">
        <v>5</v>
      </c>
      <c r="E1164" s="179" t="s">
        <v>2332</v>
      </c>
      <c r="F1164" s="13" t="s">
        <v>11</v>
      </c>
    </row>
    <row r="1165" ht="18" customHeight="1" spans="1:6">
      <c r="A1165" s="13" t="s">
        <v>1812</v>
      </c>
      <c r="B1165" s="13" t="s">
        <v>2251</v>
      </c>
      <c r="C1165" s="13" t="s">
        <v>1497</v>
      </c>
      <c r="D1165" s="15">
        <v>5</v>
      </c>
      <c r="E1165" s="179" t="s">
        <v>2333</v>
      </c>
      <c r="F1165" s="13" t="s">
        <v>11</v>
      </c>
    </row>
    <row r="1166" ht="18" customHeight="1" spans="1:6">
      <c r="A1166" s="13" t="s">
        <v>1812</v>
      </c>
      <c r="B1166" s="13" t="s">
        <v>2251</v>
      </c>
      <c r="C1166" s="13" t="s">
        <v>2334</v>
      </c>
      <c r="D1166" s="15">
        <v>3</v>
      </c>
      <c r="E1166" s="179" t="s">
        <v>2335</v>
      </c>
      <c r="F1166" s="13" t="s">
        <v>11</v>
      </c>
    </row>
    <row r="1167" ht="18" customHeight="1" spans="1:6">
      <c r="A1167" s="13" t="s">
        <v>1812</v>
      </c>
      <c r="B1167" s="13" t="s">
        <v>2251</v>
      </c>
      <c r="C1167" s="13" t="s">
        <v>2336</v>
      </c>
      <c r="D1167" s="15">
        <v>3</v>
      </c>
      <c r="E1167" s="13" t="s">
        <v>2337</v>
      </c>
      <c r="F1167" s="13" t="s">
        <v>11</v>
      </c>
    </row>
    <row r="1168" ht="18" customHeight="1" spans="1:6">
      <c r="A1168" s="13" t="s">
        <v>1812</v>
      </c>
      <c r="B1168" s="13" t="s">
        <v>2251</v>
      </c>
      <c r="C1168" s="13" t="s">
        <v>2338</v>
      </c>
      <c r="D1168" s="15">
        <v>3</v>
      </c>
      <c r="E1168" s="179" t="s">
        <v>2339</v>
      </c>
      <c r="F1168" s="13" t="s">
        <v>11</v>
      </c>
    </row>
    <row r="1169" ht="18" customHeight="1" spans="1:6">
      <c r="A1169" s="13" t="s">
        <v>1812</v>
      </c>
      <c r="B1169" s="13" t="s">
        <v>2251</v>
      </c>
      <c r="C1169" s="13" t="s">
        <v>2340</v>
      </c>
      <c r="D1169" s="15">
        <v>2</v>
      </c>
      <c r="E1169" s="179" t="s">
        <v>2341</v>
      </c>
      <c r="F1169" s="13" t="s">
        <v>11</v>
      </c>
    </row>
    <row r="1170" ht="18" customHeight="1" spans="1:6">
      <c r="A1170" s="13" t="s">
        <v>1812</v>
      </c>
      <c r="B1170" s="13" t="s">
        <v>2266</v>
      </c>
      <c r="C1170" s="13" t="s">
        <v>2342</v>
      </c>
      <c r="D1170" s="15">
        <v>4</v>
      </c>
      <c r="E1170" s="179" t="s">
        <v>2343</v>
      </c>
      <c r="F1170" s="13" t="s">
        <v>11</v>
      </c>
    </row>
    <row r="1171" ht="18" customHeight="1" spans="1:6">
      <c r="A1171" s="13" t="s">
        <v>1812</v>
      </c>
      <c r="B1171" s="13" t="s">
        <v>2266</v>
      </c>
      <c r="C1171" s="13" t="s">
        <v>2344</v>
      </c>
      <c r="D1171" s="15">
        <v>5</v>
      </c>
      <c r="E1171" s="179" t="s">
        <v>2345</v>
      </c>
      <c r="F1171" s="13" t="s">
        <v>11</v>
      </c>
    </row>
    <row r="1172" ht="18" customHeight="1" spans="1:6">
      <c r="A1172" s="13" t="s">
        <v>1812</v>
      </c>
      <c r="B1172" s="13" t="s">
        <v>2266</v>
      </c>
      <c r="C1172" s="13" t="s">
        <v>2346</v>
      </c>
      <c r="D1172" s="15">
        <v>3</v>
      </c>
      <c r="E1172" s="179" t="s">
        <v>2347</v>
      </c>
      <c r="F1172" s="13" t="s">
        <v>11</v>
      </c>
    </row>
    <row r="1173" ht="18" customHeight="1" spans="1:6">
      <c r="A1173" s="13" t="s">
        <v>1812</v>
      </c>
      <c r="B1173" s="13" t="s">
        <v>2266</v>
      </c>
      <c r="C1173" s="13" t="s">
        <v>2348</v>
      </c>
      <c r="D1173" s="15">
        <v>3</v>
      </c>
      <c r="E1173" s="179" t="s">
        <v>2349</v>
      </c>
      <c r="F1173" s="13" t="s">
        <v>11</v>
      </c>
    </row>
    <row r="1174" ht="18" customHeight="1" spans="1:6">
      <c r="A1174" s="13" t="s">
        <v>1812</v>
      </c>
      <c r="B1174" s="13" t="s">
        <v>2266</v>
      </c>
      <c r="C1174" s="13" t="s">
        <v>2350</v>
      </c>
      <c r="D1174" s="15">
        <v>3</v>
      </c>
      <c r="E1174" s="179" t="s">
        <v>2351</v>
      </c>
      <c r="F1174" s="13" t="s">
        <v>11</v>
      </c>
    </row>
    <row r="1175" ht="18" customHeight="1" spans="1:6">
      <c r="A1175" s="13" t="s">
        <v>1812</v>
      </c>
      <c r="B1175" s="13" t="s">
        <v>2266</v>
      </c>
      <c r="C1175" s="13" t="s">
        <v>2352</v>
      </c>
      <c r="D1175" s="15">
        <v>1</v>
      </c>
      <c r="E1175" s="179" t="s">
        <v>2353</v>
      </c>
      <c r="F1175" s="13" t="s">
        <v>11</v>
      </c>
    </row>
    <row r="1176" ht="18" customHeight="1" spans="1:6">
      <c r="A1176" s="13" t="s">
        <v>1812</v>
      </c>
      <c r="B1176" s="13" t="s">
        <v>2266</v>
      </c>
      <c r="C1176" s="13" t="s">
        <v>2354</v>
      </c>
      <c r="D1176" s="15">
        <v>3</v>
      </c>
      <c r="E1176" s="179" t="s">
        <v>2355</v>
      </c>
      <c r="F1176" s="13" t="s">
        <v>11</v>
      </c>
    </row>
    <row r="1177" ht="18" customHeight="1" spans="1:6">
      <c r="A1177" s="13" t="s">
        <v>1812</v>
      </c>
      <c r="B1177" s="13" t="s">
        <v>2266</v>
      </c>
      <c r="C1177" s="13" t="s">
        <v>2356</v>
      </c>
      <c r="D1177" s="15">
        <v>2</v>
      </c>
      <c r="E1177" s="13" t="s">
        <v>2357</v>
      </c>
      <c r="F1177" s="13" t="s">
        <v>11</v>
      </c>
    </row>
    <row r="1178" ht="18" customHeight="1" spans="1:6">
      <c r="A1178" s="13" t="s">
        <v>1812</v>
      </c>
      <c r="B1178" s="13" t="s">
        <v>2266</v>
      </c>
      <c r="C1178" s="13" t="s">
        <v>2358</v>
      </c>
      <c r="D1178" s="15">
        <v>4</v>
      </c>
      <c r="E1178" s="179" t="s">
        <v>2359</v>
      </c>
      <c r="F1178" s="13" t="s">
        <v>11</v>
      </c>
    </row>
    <row r="1179" ht="18" customHeight="1" spans="1:6">
      <c r="A1179" s="13" t="s">
        <v>1812</v>
      </c>
      <c r="B1179" s="13" t="s">
        <v>2266</v>
      </c>
      <c r="C1179" s="13" t="s">
        <v>2360</v>
      </c>
      <c r="D1179" s="15">
        <v>2</v>
      </c>
      <c r="E1179" s="179" t="s">
        <v>2361</v>
      </c>
      <c r="F1179" s="13" t="s">
        <v>11</v>
      </c>
    </row>
    <row r="1180" ht="18" customHeight="1" spans="1:6">
      <c r="A1180" s="13" t="s">
        <v>1812</v>
      </c>
      <c r="B1180" s="13" t="s">
        <v>2266</v>
      </c>
      <c r="C1180" s="13" t="s">
        <v>2362</v>
      </c>
      <c r="D1180" s="15">
        <v>2</v>
      </c>
      <c r="E1180" s="179" t="s">
        <v>2363</v>
      </c>
      <c r="F1180" s="13" t="s">
        <v>11</v>
      </c>
    </row>
    <row r="1181" ht="18" customHeight="1" spans="1:6">
      <c r="A1181" s="13" t="s">
        <v>1812</v>
      </c>
      <c r="B1181" s="13" t="s">
        <v>2266</v>
      </c>
      <c r="C1181" s="13" t="s">
        <v>2364</v>
      </c>
      <c r="D1181" s="15">
        <v>2</v>
      </c>
      <c r="E1181" s="179" t="s">
        <v>2365</v>
      </c>
      <c r="F1181" s="13" t="s">
        <v>11</v>
      </c>
    </row>
    <row r="1182" ht="18" customHeight="1" spans="1:6">
      <c r="A1182" s="13" t="s">
        <v>1812</v>
      </c>
      <c r="B1182" s="13" t="s">
        <v>2266</v>
      </c>
      <c r="C1182" s="13" t="s">
        <v>2366</v>
      </c>
      <c r="D1182" s="15">
        <v>3</v>
      </c>
      <c r="E1182" s="179" t="s">
        <v>2367</v>
      </c>
      <c r="F1182" s="13" t="s">
        <v>11</v>
      </c>
    </row>
    <row r="1183" ht="18" customHeight="1" spans="1:6">
      <c r="A1183" s="13" t="s">
        <v>1812</v>
      </c>
      <c r="B1183" s="13" t="s">
        <v>2266</v>
      </c>
      <c r="C1183" s="13" t="s">
        <v>2368</v>
      </c>
      <c r="D1183" s="15">
        <v>2</v>
      </c>
      <c r="E1183" s="179" t="s">
        <v>2369</v>
      </c>
      <c r="F1183" s="13" t="s">
        <v>11</v>
      </c>
    </row>
    <row r="1184" ht="18" customHeight="1" spans="1:6">
      <c r="A1184" s="13" t="s">
        <v>1812</v>
      </c>
      <c r="B1184" s="13" t="s">
        <v>2230</v>
      </c>
      <c r="C1184" s="13" t="s">
        <v>2370</v>
      </c>
      <c r="D1184" s="15">
        <v>4</v>
      </c>
      <c r="E1184" s="179" t="s">
        <v>2371</v>
      </c>
      <c r="F1184" s="13" t="s">
        <v>11</v>
      </c>
    </row>
    <row r="1185" ht="18" customHeight="1" spans="1:6">
      <c r="A1185" s="13" t="s">
        <v>1812</v>
      </c>
      <c r="B1185" s="13" t="s">
        <v>2251</v>
      </c>
      <c r="C1185" s="13" t="s">
        <v>2372</v>
      </c>
      <c r="D1185" s="15">
        <v>2</v>
      </c>
      <c r="E1185" s="179" t="s">
        <v>2373</v>
      </c>
      <c r="F1185" s="13" t="s">
        <v>11</v>
      </c>
    </row>
    <row r="1186" ht="18" customHeight="1" spans="1:6">
      <c r="A1186" s="13" t="s">
        <v>1812</v>
      </c>
      <c r="B1186" s="13" t="s">
        <v>2251</v>
      </c>
      <c r="C1186" s="13" t="s">
        <v>2374</v>
      </c>
      <c r="D1186" s="15">
        <v>2</v>
      </c>
      <c r="E1186" s="13" t="s">
        <v>2375</v>
      </c>
      <c r="F1186" s="13" t="s">
        <v>11</v>
      </c>
    </row>
    <row r="1187" ht="18" customHeight="1" spans="1:6">
      <c r="A1187" s="13" t="s">
        <v>1812</v>
      </c>
      <c r="B1187" s="13" t="s">
        <v>2230</v>
      </c>
      <c r="C1187" s="13" t="s">
        <v>2376</v>
      </c>
      <c r="D1187" s="15">
        <v>4</v>
      </c>
      <c r="E1187" s="179" t="s">
        <v>2377</v>
      </c>
      <c r="F1187" s="13" t="s">
        <v>11</v>
      </c>
    </row>
    <row r="1188" ht="18" customHeight="1" spans="1:6">
      <c r="A1188" s="13" t="s">
        <v>1812</v>
      </c>
      <c r="B1188" s="13" t="s">
        <v>2251</v>
      </c>
      <c r="C1188" s="13" t="s">
        <v>2378</v>
      </c>
      <c r="D1188" s="15">
        <v>4</v>
      </c>
      <c r="E1188" s="179" t="s">
        <v>2379</v>
      </c>
      <c r="F1188" s="13" t="s">
        <v>11</v>
      </c>
    </row>
    <row r="1189" ht="18" customHeight="1" spans="1:6">
      <c r="A1189" s="13" t="s">
        <v>1812</v>
      </c>
      <c r="B1189" s="13" t="s">
        <v>2230</v>
      </c>
      <c r="C1189" s="13" t="s">
        <v>2380</v>
      </c>
      <c r="D1189" s="15">
        <v>2</v>
      </c>
      <c r="E1189" s="179" t="s">
        <v>2381</v>
      </c>
      <c r="F1189" s="13" t="s">
        <v>11</v>
      </c>
    </row>
    <row r="1190" ht="18" customHeight="1" spans="1:6">
      <c r="A1190" s="13" t="s">
        <v>1812</v>
      </c>
      <c r="B1190" s="13" t="s">
        <v>2251</v>
      </c>
      <c r="C1190" s="13" t="s">
        <v>2382</v>
      </c>
      <c r="D1190" s="15">
        <v>2</v>
      </c>
      <c r="E1190" s="179" t="s">
        <v>2383</v>
      </c>
      <c r="F1190" s="13" t="s">
        <v>11</v>
      </c>
    </row>
    <row r="1191" ht="18" customHeight="1" spans="1:6">
      <c r="A1191" s="13" t="s">
        <v>1812</v>
      </c>
      <c r="B1191" s="13" t="s">
        <v>2251</v>
      </c>
      <c r="C1191" s="13" t="s">
        <v>2384</v>
      </c>
      <c r="D1191" s="15">
        <v>2</v>
      </c>
      <c r="E1191" s="13" t="s">
        <v>2385</v>
      </c>
      <c r="F1191" s="13" t="s">
        <v>11</v>
      </c>
    </row>
    <row r="1192" ht="18" customHeight="1" spans="1:6">
      <c r="A1192" s="13" t="s">
        <v>1812</v>
      </c>
      <c r="B1192" s="13" t="s">
        <v>2251</v>
      </c>
      <c r="C1192" s="13" t="s">
        <v>2386</v>
      </c>
      <c r="D1192" s="15">
        <v>2</v>
      </c>
      <c r="E1192" s="179" t="s">
        <v>2387</v>
      </c>
      <c r="F1192" s="13" t="s">
        <v>11</v>
      </c>
    </row>
    <row r="1193" ht="18" customHeight="1" spans="1:6">
      <c r="A1193" s="13" t="s">
        <v>1812</v>
      </c>
      <c r="B1193" s="13" t="s">
        <v>2266</v>
      </c>
      <c r="C1193" s="13" t="s">
        <v>2388</v>
      </c>
      <c r="D1193" s="15">
        <v>2</v>
      </c>
      <c r="E1193" s="13" t="s">
        <v>2389</v>
      </c>
      <c r="F1193" s="13" t="s">
        <v>11</v>
      </c>
    </row>
    <row r="1194" ht="18" customHeight="1" spans="1:6">
      <c r="A1194" s="13" t="s">
        <v>1812</v>
      </c>
      <c r="B1194" s="13" t="s">
        <v>2266</v>
      </c>
      <c r="C1194" s="13" t="s">
        <v>2390</v>
      </c>
      <c r="D1194" s="15">
        <v>3</v>
      </c>
      <c r="E1194" s="179" t="s">
        <v>2391</v>
      </c>
      <c r="F1194" s="13" t="s">
        <v>11</v>
      </c>
    </row>
    <row r="1195" ht="18" customHeight="1" spans="1:6">
      <c r="A1195" s="13" t="s">
        <v>1812</v>
      </c>
      <c r="B1195" s="13" t="s">
        <v>2266</v>
      </c>
      <c r="C1195" s="13" t="s">
        <v>2392</v>
      </c>
      <c r="D1195" s="15">
        <v>2</v>
      </c>
      <c r="E1195" s="179" t="s">
        <v>2393</v>
      </c>
      <c r="F1195" s="13" t="s">
        <v>11</v>
      </c>
    </row>
    <row r="1196" ht="18" customHeight="1" spans="1:6">
      <c r="A1196" s="13" t="s">
        <v>1812</v>
      </c>
      <c r="B1196" s="13" t="s">
        <v>2266</v>
      </c>
      <c r="C1196" s="13" t="s">
        <v>2394</v>
      </c>
      <c r="D1196" s="15">
        <v>1</v>
      </c>
      <c r="E1196" s="179" t="s">
        <v>2395</v>
      </c>
      <c r="F1196" s="13" t="s">
        <v>11</v>
      </c>
    </row>
    <row r="1197" ht="18" customHeight="1" spans="1:6">
      <c r="A1197" s="13" t="s">
        <v>1812</v>
      </c>
      <c r="B1197" s="13" t="s">
        <v>2266</v>
      </c>
      <c r="C1197" s="13" t="s">
        <v>2396</v>
      </c>
      <c r="D1197" s="15">
        <v>2</v>
      </c>
      <c r="E1197" s="179" t="s">
        <v>2397</v>
      </c>
      <c r="F1197" s="13" t="s">
        <v>11</v>
      </c>
    </row>
    <row r="1198" ht="18" customHeight="1" spans="1:6">
      <c r="A1198" s="13" t="s">
        <v>1812</v>
      </c>
      <c r="B1198" s="13" t="s">
        <v>2251</v>
      </c>
      <c r="C1198" s="13" t="s">
        <v>2398</v>
      </c>
      <c r="D1198" s="15">
        <v>1</v>
      </c>
      <c r="E1198" s="179" t="s">
        <v>2399</v>
      </c>
      <c r="F1198" s="13" t="s">
        <v>11</v>
      </c>
    </row>
    <row r="1199" ht="18" customHeight="1" spans="1:6">
      <c r="A1199" s="13" t="s">
        <v>1812</v>
      </c>
      <c r="B1199" s="13" t="s">
        <v>2230</v>
      </c>
      <c r="C1199" s="13" t="s">
        <v>2400</v>
      </c>
      <c r="D1199" s="15">
        <v>2</v>
      </c>
      <c r="E1199" s="179" t="s">
        <v>2401</v>
      </c>
      <c r="F1199" s="13" t="s">
        <v>11</v>
      </c>
    </row>
    <row r="1200" ht="18" customHeight="1" spans="1:6">
      <c r="A1200" s="13" t="s">
        <v>1812</v>
      </c>
      <c r="B1200" s="13" t="s">
        <v>2402</v>
      </c>
      <c r="C1200" s="5" t="s">
        <v>2403</v>
      </c>
      <c r="D1200" s="15">
        <v>3</v>
      </c>
      <c r="E1200" s="178" t="s">
        <v>2404</v>
      </c>
      <c r="F1200" s="13" t="s">
        <v>11</v>
      </c>
    </row>
    <row r="1201" ht="18" customHeight="1" spans="1:6">
      <c r="A1201" s="13" t="s">
        <v>1812</v>
      </c>
      <c r="B1201" s="13" t="s">
        <v>2402</v>
      </c>
      <c r="C1201" s="137" t="s">
        <v>2405</v>
      </c>
      <c r="D1201" s="6">
        <v>2</v>
      </c>
      <c r="E1201" s="178" t="s">
        <v>2406</v>
      </c>
      <c r="F1201" s="13" t="s">
        <v>11</v>
      </c>
    </row>
    <row r="1202" ht="18" customHeight="1" spans="1:6">
      <c r="A1202" s="13" t="s">
        <v>1812</v>
      </c>
      <c r="B1202" s="13" t="s">
        <v>2402</v>
      </c>
      <c r="C1202" s="5" t="s">
        <v>2407</v>
      </c>
      <c r="D1202" s="15">
        <v>5</v>
      </c>
      <c r="E1202" s="178" t="s">
        <v>2408</v>
      </c>
      <c r="F1202" s="13" t="s">
        <v>11</v>
      </c>
    </row>
    <row r="1203" ht="18" customHeight="1" spans="1:6">
      <c r="A1203" s="13" t="s">
        <v>1812</v>
      </c>
      <c r="B1203" s="13" t="s">
        <v>2402</v>
      </c>
      <c r="C1203" s="5" t="s">
        <v>2409</v>
      </c>
      <c r="D1203" s="15">
        <v>2</v>
      </c>
      <c r="E1203" s="178" t="s">
        <v>2410</v>
      </c>
      <c r="F1203" s="13" t="s">
        <v>11</v>
      </c>
    </row>
    <row r="1204" ht="18" customHeight="1" spans="1:6">
      <c r="A1204" s="13" t="s">
        <v>1812</v>
      </c>
      <c r="B1204" s="13" t="s">
        <v>2402</v>
      </c>
      <c r="C1204" s="5" t="s">
        <v>2411</v>
      </c>
      <c r="D1204" s="15">
        <v>2</v>
      </c>
      <c r="E1204" s="178" t="s">
        <v>2412</v>
      </c>
      <c r="F1204" s="13" t="s">
        <v>11</v>
      </c>
    </row>
    <row r="1205" ht="18" customHeight="1" spans="1:6">
      <c r="A1205" s="13" t="s">
        <v>1812</v>
      </c>
      <c r="B1205" s="13" t="s">
        <v>2402</v>
      </c>
      <c r="C1205" s="5" t="s">
        <v>2413</v>
      </c>
      <c r="D1205" s="15">
        <v>4</v>
      </c>
      <c r="E1205" s="178" t="s">
        <v>2414</v>
      </c>
      <c r="F1205" s="13" t="s">
        <v>11</v>
      </c>
    </row>
    <row r="1206" ht="18" customHeight="1" spans="1:6">
      <c r="A1206" s="13" t="s">
        <v>1812</v>
      </c>
      <c r="B1206" s="13" t="s">
        <v>2402</v>
      </c>
      <c r="C1206" s="5" t="s">
        <v>2415</v>
      </c>
      <c r="D1206" s="15">
        <v>3</v>
      </c>
      <c r="E1206" s="178" t="s">
        <v>2416</v>
      </c>
      <c r="F1206" s="13" t="s">
        <v>11</v>
      </c>
    </row>
    <row r="1207" ht="18" customHeight="1" spans="1:6">
      <c r="A1207" s="13" t="s">
        <v>1812</v>
      </c>
      <c r="B1207" s="13" t="s">
        <v>2402</v>
      </c>
      <c r="C1207" s="5" t="s">
        <v>2417</v>
      </c>
      <c r="D1207" s="15">
        <v>5</v>
      </c>
      <c r="E1207" s="178" t="s">
        <v>2418</v>
      </c>
      <c r="F1207" s="13" t="s">
        <v>11</v>
      </c>
    </row>
    <row r="1208" ht="18" customHeight="1" spans="1:6">
      <c r="A1208" s="13" t="s">
        <v>1812</v>
      </c>
      <c r="B1208" s="13" t="s">
        <v>2402</v>
      </c>
      <c r="C1208" s="5" t="s">
        <v>2419</v>
      </c>
      <c r="D1208" s="15">
        <v>3</v>
      </c>
      <c r="E1208" s="178" t="s">
        <v>2420</v>
      </c>
      <c r="F1208" s="13" t="s">
        <v>11</v>
      </c>
    </row>
    <row r="1209" ht="18" customHeight="1" spans="1:6">
      <c r="A1209" s="13" t="s">
        <v>1812</v>
      </c>
      <c r="B1209" s="13" t="s">
        <v>2402</v>
      </c>
      <c r="C1209" s="5" t="s">
        <v>2421</v>
      </c>
      <c r="D1209" s="15">
        <v>2</v>
      </c>
      <c r="E1209" s="178" t="s">
        <v>2422</v>
      </c>
      <c r="F1209" s="13" t="s">
        <v>11</v>
      </c>
    </row>
    <row r="1210" ht="18" customHeight="1" spans="1:6">
      <c r="A1210" s="13" t="s">
        <v>1812</v>
      </c>
      <c r="B1210" s="13" t="s">
        <v>2402</v>
      </c>
      <c r="C1210" s="5" t="s">
        <v>2423</v>
      </c>
      <c r="D1210" s="15">
        <v>2</v>
      </c>
      <c r="E1210" s="178" t="s">
        <v>2424</v>
      </c>
      <c r="F1210" s="13" t="s">
        <v>11</v>
      </c>
    </row>
    <row r="1211" ht="18" customHeight="1" spans="1:6">
      <c r="A1211" s="13" t="s">
        <v>1812</v>
      </c>
      <c r="B1211" s="13" t="s">
        <v>2402</v>
      </c>
      <c r="C1211" s="5" t="s">
        <v>2425</v>
      </c>
      <c r="D1211" s="15">
        <v>2</v>
      </c>
      <c r="E1211" s="178" t="s">
        <v>2426</v>
      </c>
      <c r="F1211" s="13" t="s">
        <v>11</v>
      </c>
    </row>
    <row r="1212" ht="18" customHeight="1" spans="1:6">
      <c r="A1212" s="13" t="s">
        <v>1812</v>
      </c>
      <c r="B1212" s="13" t="s">
        <v>2402</v>
      </c>
      <c r="C1212" s="5" t="s">
        <v>2427</v>
      </c>
      <c r="D1212" s="15">
        <v>1</v>
      </c>
      <c r="E1212" s="178" t="s">
        <v>2428</v>
      </c>
      <c r="F1212" s="13" t="s">
        <v>11</v>
      </c>
    </row>
    <row r="1213" ht="18" customHeight="1" spans="1:6">
      <c r="A1213" s="13" t="s">
        <v>1812</v>
      </c>
      <c r="B1213" s="13" t="s">
        <v>2402</v>
      </c>
      <c r="C1213" s="5" t="s">
        <v>2429</v>
      </c>
      <c r="D1213" s="15">
        <v>3</v>
      </c>
      <c r="E1213" s="178" t="s">
        <v>2430</v>
      </c>
      <c r="F1213" s="13" t="s">
        <v>11</v>
      </c>
    </row>
    <row r="1214" ht="18" customHeight="1" spans="1:6">
      <c r="A1214" s="13" t="s">
        <v>1812</v>
      </c>
      <c r="B1214" s="13" t="s">
        <v>2402</v>
      </c>
      <c r="C1214" s="5" t="s">
        <v>2431</v>
      </c>
      <c r="D1214" s="15">
        <v>2</v>
      </c>
      <c r="E1214" s="178" t="s">
        <v>2432</v>
      </c>
      <c r="F1214" s="13" t="s">
        <v>11</v>
      </c>
    </row>
    <row r="1215" ht="18" customHeight="1" spans="1:6">
      <c r="A1215" s="13" t="s">
        <v>1812</v>
      </c>
      <c r="B1215" s="13" t="s">
        <v>2402</v>
      </c>
      <c r="C1215" s="5" t="s">
        <v>2433</v>
      </c>
      <c r="D1215" s="15">
        <v>3</v>
      </c>
      <c r="E1215" s="178" t="s">
        <v>2434</v>
      </c>
      <c r="F1215" s="13" t="s">
        <v>11</v>
      </c>
    </row>
    <row r="1216" ht="18" customHeight="1" spans="1:6">
      <c r="A1216" s="13" t="s">
        <v>1812</v>
      </c>
      <c r="B1216" s="13" t="s">
        <v>2402</v>
      </c>
      <c r="C1216" s="5" t="s">
        <v>2435</v>
      </c>
      <c r="D1216" s="15">
        <v>1</v>
      </c>
      <c r="E1216" s="178" t="s">
        <v>2436</v>
      </c>
      <c r="F1216" s="13" t="s">
        <v>11</v>
      </c>
    </row>
    <row r="1217" ht="18" customHeight="1" spans="1:6">
      <c r="A1217" s="13" t="s">
        <v>1812</v>
      </c>
      <c r="B1217" s="13" t="s">
        <v>2402</v>
      </c>
      <c r="C1217" s="5" t="s">
        <v>2437</v>
      </c>
      <c r="D1217" s="15">
        <v>2</v>
      </c>
      <c r="E1217" s="178" t="s">
        <v>2438</v>
      </c>
      <c r="F1217" s="13" t="s">
        <v>11</v>
      </c>
    </row>
    <row r="1218" ht="18" customHeight="1" spans="1:6">
      <c r="A1218" s="13" t="s">
        <v>1812</v>
      </c>
      <c r="B1218" s="13" t="s">
        <v>2402</v>
      </c>
      <c r="C1218" s="5" t="s">
        <v>2439</v>
      </c>
      <c r="D1218" s="15">
        <v>6</v>
      </c>
      <c r="E1218" s="178" t="s">
        <v>2440</v>
      </c>
      <c r="F1218" s="13" t="s">
        <v>11</v>
      </c>
    </row>
    <row r="1219" ht="18" customHeight="1" spans="1:6">
      <c r="A1219" s="13" t="s">
        <v>1812</v>
      </c>
      <c r="B1219" s="13" t="s">
        <v>2402</v>
      </c>
      <c r="C1219" s="5" t="s">
        <v>2441</v>
      </c>
      <c r="D1219" s="15">
        <v>1</v>
      </c>
      <c r="E1219" s="178" t="s">
        <v>2442</v>
      </c>
      <c r="F1219" s="13" t="s">
        <v>11</v>
      </c>
    </row>
    <row r="1220" ht="18" customHeight="1" spans="1:6">
      <c r="A1220" s="13" t="s">
        <v>1812</v>
      </c>
      <c r="B1220" s="13" t="s">
        <v>2402</v>
      </c>
      <c r="C1220" s="5" t="s">
        <v>2443</v>
      </c>
      <c r="D1220" s="15">
        <v>6</v>
      </c>
      <c r="E1220" s="178" t="s">
        <v>2444</v>
      </c>
      <c r="F1220" s="13" t="s">
        <v>11</v>
      </c>
    </row>
    <row r="1221" ht="18" customHeight="1" spans="1:6">
      <c r="A1221" s="13" t="s">
        <v>1812</v>
      </c>
      <c r="B1221" s="13" t="s">
        <v>2402</v>
      </c>
      <c r="C1221" s="5" t="s">
        <v>2445</v>
      </c>
      <c r="D1221" s="15">
        <v>4</v>
      </c>
      <c r="E1221" s="33" t="str">
        <f>LEFT("422626196905032319",19)</f>
        <v>422626196905032319</v>
      </c>
      <c r="F1221" s="13" t="s">
        <v>11</v>
      </c>
    </row>
    <row r="1222" ht="18" customHeight="1" spans="1:6">
      <c r="A1222" s="13" t="s">
        <v>1812</v>
      </c>
      <c r="B1222" s="13" t="s">
        <v>2402</v>
      </c>
      <c r="C1222" s="5" t="s">
        <v>2446</v>
      </c>
      <c r="D1222" s="15">
        <v>3</v>
      </c>
      <c r="E1222" s="178" t="s">
        <v>2447</v>
      </c>
      <c r="F1222" s="13" t="s">
        <v>11</v>
      </c>
    </row>
    <row r="1223" ht="18" customHeight="1" spans="1:6">
      <c r="A1223" s="13" t="s">
        <v>1812</v>
      </c>
      <c r="B1223" s="13" t="s">
        <v>2402</v>
      </c>
      <c r="C1223" s="5" t="s">
        <v>2448</v>
      </c>
      <c r="D1223" s="15">
        <v>1</v>
      </c>
      <c r="E1223" s="178" t="s">
        <v>2449</v>
      </c>
      <c r="F1223" s="13" t="s">
        <v>11</v>
      </c>
    </row>
    <row r="1224" ht="18" customHeight="1" spans="1:6">
      <c r="A1224" s="13" t="s">
        <v>1812</v>
      </c>
      <c r="B1224" s="13" t="s">
        <v>2402</v>
      </c>
      <c r="C1224" s="5" t="s">
        <v>2450</v>
      </c>
      <c r="D1224" s="15">
        <v>3</v>
      </c>
      <c r="E1224" s="5" t="s">
        <v>2451</v>
      </c>
      <c r="F1224" s="13" t="s">
        <v>11</v>
      </c>
    </row>
    <row r="1225" ht="18" customHeight="1" spans="1:6">
      <c r="A1225" s="13" t="s">
        <v>1812</v>
      </c>
      <c r="B1225" s="13" t="s">
        <v>2402</v>
      </c>
      <c r="C1225" s="5" t="s">
        <v>2452</v>
      </c>
      <c r="D1225" s="15">
        <v>5</v>
      </c>
      <c r="E1225" s="178" t="s">
        <v>2453</v>
      </c>
      <c r="F1225" s="13" t="s">
        <v>11</v>
      </c>
    </row>
    <row r="1226" ht="18" customHeight="1" spans="1:6">
      <c r="A1226" s="13" t="s">
        <v>1812</v>
      </c>
      <c r="B1226" s="13" t="s">
        <v>2402</v>
      </c>
      <c r="C1226" s="5" t="s">
        <v>2454</v>
      </c>
      <c r="D1226" s="15">
        <v>1</v>
      </c>
      <c r="E1226" s="178" t="s">
        <v>2455</v>
      </c>
      <c r="F1226" s="13" t="s">
        <v>11</v>
      </c>
    </row>
    <row r="1227" ht="18" customHeight="1" spans="1:6">
      <c r="A1227" s="13" t="s">
        <v>1812</v>
      </c>
      <c r="B1227" s="13" t="s">
        <v>2402</v>
      </c>
      <c r="C1227" s="5" t="s">
        <v>2456</v>
      </c>
      <c r="D1227" s="15">
        <v>3</v>
      </c>
      <c r="E1227" s="178" t="s">
        <v>2457</v>
      </c>
      <c r="F1227" s="13" t="s">
        <v>11</v>
      </c>
    </row>
    <row r="1228" ht="18" customHeight="1" spans="1:6">
      <c r="A1228" s="13" t="s">
        <v>1812</v>
      </c>
      <c r="B1228" s="13" t="s">
        <v>2402</v>
      </c>
      <c r="C1228" s="5" t="s">
        <v>2458</v>
      </c>
      <c r="D1228" s="15">
        <v>6</v>
      </c>
      <c r="E1228" s="178" t="s">
        <v>2459</v>
      </c>
      <c r="F1228" s="13" t="s">
        <v>11</v>
      </c>
    </row>
    <row r="1229" ht="18" customHeight="1" spans="1:6">
      <c r="A1229" s="13" t="s">
        <v>1812</v>
      </c>
      <c r="B1229" s="13" t="s">
        <v>2402</v>
      </c>
      <c r="C1229" s="5" t="s">
        <v>2460</v>
      </c>
      <c r="D1229" s="15">
        <v>2</v>
      </c>
      <c r="E1229" s="178" t="s">
        <v>2461</v>
      </c>
      <c r="F1229" s="13" t="s">
        <v>11</v>
      </c>
    </row>
    <row r="1230" ht="18" customHeight="1" spans="1:6">
      <c r="A1230" s="13" t="s">
        <v>1812</v>
      </c>
      <c r="B1230" s="13" t="s">
        <v>2402</v>
      </c>
      <c r="C1230" s="5" t="s">
        <v>2462</v>
      </c>
      <c r="D1230" s="6">
        <v>3</v>
      </c>
      <c r="E1230" s="178" t="s">
        <v>2463</v>
      </c>
      <c r="F1230" s="13" t="s">
        <v>11</v>
      </c>
    </row>
    <row r="1231" ht="18" customHeight="1" spans="1:6">
      <c r="A1231" s="13" t="s">
        <v>1812</v>
      </c>
      <c r="B1231" s="13" t="s">
        <v>2402</v>
      </c>
      <c r="C1231" s="47" t="s">
        <v>2464</v>
      </c>
      <c r="D1231" s="15">
        <v>3</v>
      </c>
      <c r="E1231" s="178" t="s">
        <v>2465</v>
      </c>
      <c r="F1231" s="13" t="s">
        <v>11</v>
      </c>
    </row>
    <row r="1232" ht="18" customHeight="1" spans="1:6">
      <c r="A1232" s="13" t="s">
        <v>1812</v>
      </c>
      <c r="B1232" s="13" t="s">
        <v>2402</v>
      </c>
      <c r="C1232" s="47" t="s">
        <v>2466</v>
      </c>
      <c r="D1232" s="15">
        <v>2</v>
      </c>
      <c r="E1232" s="178" t="s">
        <v>2467</v>
      </c>
      <c r="F1232" s="13" t="s">
        <v>11</v>
      </c>
    </row>
    <row r="1233" ht="18" customHeight="1" spans="1:6">
      <c r="A1233" s="13" t="s">
        <v>1812</v>
      </c>
      <c r="B1233" s="13" t="s">
        <v>2402</v>
      </c>
      <c r="C1233" s="5" t="s">
        <v>2468</v>
      </c>
      <c r="D1233" s="15">
        <v>3</v>
      </c>
      <c r="E1233" s="178" t="s">
        <v>2469</v>
      </c>
      <c r="F1233" s="13" t="s">
        <v>11</v>
      </c>
    </row>
    <row r="1234" ht="18" customHeight="1" spans="1:6">
      <c r="A1234" s="13" t="s">
        <v>1812</v>
      </c>
      <c r="B1234" s="13" t="s">
        <v>2402</v>
      </c>
      <c r="C1234" s="5" t="s">
        <v>2470</v>
      </c>
      <c r="D1234" s="15">
        <v>4</v>
      </c>
      <c r="E1234" s="33" t="str">
        <f>LEFT("42032519910909231X",19)</f>
        <v>42032519910909231X</v>
      </c>
      <c r="F1234" s="13" t="s">
        <v>11</v>
      </c>
    </row>
    <row r="1235" ht="18" customHeight="1" spans="1:6">
      <c r="A1235" s="13" t="s">
        <v>1812</v>
      </c>
      <c r="B1235" s="13" t="s">
        <v>2402</v>
      </c>
      <c r="C1235" s="5" t="s">
        <v>2471</v>
      </c>
      <c r="D1235" s="15">
        <v>2</v>
      </c>
      <c r="E1235" s="178" t="s">
        <v>2472</v>
      </c>
      <c r="F1235" s="13" t="s">
        <v>11</v>
      </c>
    </row>
    <row r="1236" ht="18" customHeight="1" spans="1:6">
      <c r="A1236" s="13" t="s">
        <v>1812</v>
      </c>
      <c r="B1236" s="13" t="s">
        <v>2402</v>
      </c>
      <c r="C1236" s="47" t="s">
        <v>2473</v>
      </c>
      <c r="D1236" s="15">
        <v>2</v>
      </c>
      <c r="E1236" s="178" t="s">
        <v>2474</v>
      </c>
      <c r="F1236" s="13" t="s">
        <v>11</v>
      </c>
    </row>
    <row r="1237" ht="18" customHeight="1" spans="1:6">
      <c r="A1237" s="13" t="s">
        <v>1812</v>
      </c>
      <c r="B1237" s="13" t="s">
        <v>2402</v>
      </c>
      <c r="C1237" s="47" t="s">
        <v>2475</v>
      </c>
      <c r="D1237" s="15">
        <v>2</v>
      </c>
      <c r="E1237" s="178" t="s">
        <v>2476</v>
      </c>
      <c r="F1237" s="13" t="s">
        <v>11</v>
      </c>
    </row>
    <row r="1238" ht="18" customHeight="1" spans="1:6">
      <c r="A1238" s="13" t="s">
        <v>1812</v>
      </c>
      <c r="B1238" s="13" t="s">
        <v>2402</v>
      </c>
      <c r="C1238" s="47" t="s">
        <v>2477</v>
      </c>
      <c r="D1238" s="15">
        <v>2</v>
      </c>
      <c r="E1238" s="178" t="s">
        <v>2478</v>
      </c>
      <c r="F1238" s="13" t="s">
        <v>11</v>
      </c>
    </row>
    <row r="1239" ht="18" customHeight="1" spans="1:6">
      <c r="A1239" s="13" t="s">
        <v>1812</v>
      </c>
      <c r="B1239" s="13" t="s">
        <v>2402</v>
      </c>
      <c r="C1239" s="47" t="s">
        <v>2479</v>
      </c>
      <c r="D1239" s="15">
        <v>3</v>
      </c>
      <c r="E1239" s="178" t="s">
        <v>2480</v>
      </c>
      <c r="F1239" s="13" t="s">
        <v>11</v>
      </c>
    </row>
    <row r="1240" ht="18" customHeight="1" spans="1:6">
      <c r="A1240" s="13" t="s">
        <v>1812</v>
      </c>
      <c r="B1240" s="13" t="s">
        <v>2402</v>
      </c>
      <c r="C1240" s="47" t="s">
        <v>2481</v>
      </c>
      <c r="D1240" s="15">
        <v>5</v>
      </c>
      <c r="E1240" s="178" t="s">
        <v>2482</v>
      </c>
      <c r="F1240" s="13" t="s">
        <v>11</v>
      </c>
    </row>
    <row r="1241" ht="18" customHeight="1" spans="1:6">
      <c r="A1241" s="13" t="s">
        <v>1812</v>
      </c>
      <c r="B1241" s="13" t="s">
        <v>2402</v>
      </c>
      <c r="C1241" s="47" t="s">
        <v>2483</v>
      </c>
      <c r="D1241" s="15">
        <v>1</v>
      </c>
      <c r="E1241" s="178" t="s">
        <v>2484</v>
      </c>
      <c r="F1241" s="13" t="s">
        <v>11</v>
      </c>
    </row>
    <row r="1242" ht="18" customHeight="1" spans="1:6">
      <c r="A1242" s="13" t="s">
        <v>1812</v>
      </c>
      <c r="B1242" s="13" t="s">
        <v>2402</v>
      </c>
      <c r="C1242" s="5" t="s">
        <v>2485</v>
      </c>
      <c r="D1242" s="15">
        <v>3</v>
      </c>
      <c r="E1242" s="178" t="s">
        <v>2486</v>
      </c>
      <c r="F1242" s="13" t="s">
        <v>11</v>
      </c>
    </row>
    <row r="1243" ht="18" customHeight="1" spans="1:6">
      <c r="A1243" s="13" t="s">
        <v>1812</v>
      </c>
      <c r="B1243" s="13" t="s">
        <v>2402</v>
      </c>
      <c r="C1243" s="137" t="s">
        <v>2405</v>
      </c>
      <c r="D1243" s="6">
        <v>2</v>
      </c>
      <c r="E1243" s="179" t="s">
        <v>2406</v>
      </c>
      <c r="F1243" s="13" t="s">
        <v>11</v>
      </c>
    </row>
    <row r="1244" ht="18" customHeight="1" spans="1:6">
      <c r="A1244" s="13" t="s">
        <v>1812</v>
      </c>
      <c r="B1244" s="13" t="s">
        <v>2402</v>
      </c>
      <c r="C1244" s="13" t="s">
        <v>2487</v>
      </c>
      <c r="D1244" s="15">
        <v>3</v>
      </c>
      <c r="E1244" s="13" t="s">
        <v>2488</v>
      </c>
      <c r="F1244" s="13" t="s">
        <v>11</v>
      </c>
    </row>
    <row r="1245" ht="18" customHeight="1" spans="1:6">
      <c r="A1245" s="13" t="s">
        <v>1812</v>
      </c>
      <c r="B1245" s="13" t="s">
        <v>2402</v>
      </c>
      <c r="C1245" s="13" t="s">
        <v>2489</v>
      </c>
      <c r="D1245" s="15">
        <v>2</v>
      </c>
      <c r="E1245" s="13" t="s">
        <v>2490</v>
      </c>
      <c r="F1245" s="13" t="s">
        <v>11</v>
      </c>
    </row>
    <row r="1246" ht="18" customHeight="1" spans="1:6">
      <c r="A1246" s="13" t="s">
        <v>1812</v>
      </c>
      <c r="B1246" s="13" t="s">
        <v>2402</v>
      </c>
      <c r="C1246" s="5" t="s">
        <v>2491</v>
      </c>
      <c r="D1246" s="15">
        <v>3</v>
      </c>
      <c r="E1246" s="178" t="s">
        <v>2492</v>
      </c>
      <c r="F1246" s="13" t="s">
        <v>11</v>
      </c>
    </row>
    <row r="1247" ht="18" customHeight="1" spans="1:6">
      <c r="A1247" s="13" t="s">
        <v>1812</v>
      </c>
      <c r="B1247" s="13" t="s">
        <v>2402</v>
      </c>
      <c r="C1247" s="137" t="s">
        <v>2493</v>
      </c>
      <c r="D1247" s="6">
        <v>3</v>
      </c>
      <c r="E1247" s="178" t="s">
        <v>2494</v>
      </c>
      <c r="F1247" s="13" t="s">
        <v>11</v>
      </c>
    </row>
    <row r="1248" ht="18" customHeight="1" spans="1:6">
      <c r="A1248" s="13" t="s">
        <v>1812</v>
      </c>
      <c r="B1248" s="13" t="s">
        <v>2402</v>
      </c>
      <c r="C1248" s="5" t="s">
        <v>2495</v>
      </c>
      <c r="D1248" s="15">
        <v>6</v>
      </c>
      <c r="E1248" s="33" t="str">
        <f>LEFT("422626195305092313",19)</f>
        <v>422626195305092313</v>
      </c>
      <c r="F1248" s="13" t="s">
        <v>11</v>
      </c>
    </row>
    <row r="1249" ht="18" customHeight="1" spans="1:6">
      <c r="A1249" s="13" t="s">
        <v>1812</v>
      </c>
      <c r="B1249" s="13" t="s">
        <v>2402</v>
      </c>
      <c r="C1249" s="5" t="s">
        <v>2496</v>
      </c>
      <c r="D1249" s="15">
        <v>3</v>
      </c>
      <c r="E1249" s="178" t="s">
        <v>2497</v>
      </c>
      <c r="F1249" s="13" t="s">
        <v>11</v>
      </c>
    </row>
    <row r="1250" ht="18" customHeight="1" spans="1:6">
      <c r="A1250" s="13" t="s">
        <v>1812</v>
      </c>
      <c r="B1250" s="13" t="s">
        <v>2402</v>
      </c>
      <c r="C1250" s="5" t="s">
        <v>2498</v>
      </c>
      <c r="D1250" s="15">
        <v>4</v>
      </c>
      <c r="E1250" s="178" t="s">
        <v>2499</v>
      </c>
      <c r="F1250" s="13" t="s">
        <v>11</v>
      </c>
    </row>
    <row r="1251" ht="18" customHeight="1" spans="1:6">
      <c r="A1251" s="13" t="s">
        <v>1812</v>
      </c>
      <c r="B1251" s="13" t="s">
        <v>2402</v>
      </c>
      <c r="C1251" s="5" t="s">
        <v>2500</v>
      </c>
      <c r="D1251" s="15">
        <v>1</v>
      </c>
      <c r="E1251" s="178" t="s">
        <v>2501</v>
      </c>
      <c r="F1251" s="13" t="s">
        <v>11</v>
      </c>
    </row>
    <row r="1252" ht="18" customHeight="1" spans="1:6">
      <c r="A1252" s="13" t="s">
        <v>1812</v>
      </c>
      <c r="B1252" s="13" t="s">
        <v>2402</v>
      </c>
      <c r="C1252" s="5" t="s">
        <v>2502</v>
      </c>
      <c r="D1252" s="15">
        <v>3</v>
      </c>
      <c r="E1252" s="178" t="s">
        <v>2503</v>
      </c>
      <c r="F1252" s="13" t="s">
        <v>11</v>
      </c>
    </row>
    <row r="1253" ht="18" customHeight="1" spans="1:6">
      <c r="A1253" s="13" t="s">
        <v>1812</v>
      </c>
      <c r="B1253" s="13" t="s">
        <v>2402</v>
      </c>
      <c r="C1253" s="5" t="s">
        <v>2504</v>
      </c>
      <c r="D1253" s="15">
        <v>5</v>
      </c>
      <c r="E1253" s="178" t="s">
        <v>2505</v>
      </c>
      <c r="F1253" s="13" t="s">
        <v>11</v>
      </c>
    </row>
    <row r="1254" ht="18" customHeight="1" spans="1:6">
      <c r="A1254" s="13" t="s">
        <v>1812</v>
      </c>
      <c r="B1254" s="13" t="s">
        <v>2402</v>
      </c>
      <c r="C1254" s="5" t="s">
        <v>2506</v>
      </c>
      <c r="D1254" s="15">
        <v>1</v>
      </c>
      <c r="E1254" s="178" t="s">
        <v>2507</v>
      </c>
      <c r="F1254" s="13" t="s">
        <v>11</v>
      </c>
    </row>
    <row r="1255" ht="18" customHeight="1" spans="1:6">
      <c r="A1255" s="13" t="s">
        <v>1812</v>
      </c>
      <c r="B1255" s="13" t="s">
        <v>2402</v>
      </c>
      <c r="C1255" s="5" t="s">
        <v>2508</v>
      </c>
      <c r="D1255" s="15">
        <v>1</v>
      </c>
      <c r="E1255" s="178" t="s">
        <v>2509</v>
      </c>
      <c r="F1255" s="13" t="s">
        <v>11</v>
      </c>
    </row>
    <row r="1256" ht="18" customHeight="1" spans="1:6">
      <c r="A1256" s="13" t="s">
        <v>1812</v>
      </c>
      <c r="B1256" s="13" t="s">
        <v>2402</v>
      </c>
      <c r="C1256" s="5" t="s">
        <v>2510</v>
      </c>
      <c r="D1256" s="15">
        <v>1</v>
      </c>
      <c r="E1256" s="178" t="s">
        <v>2511</v>
      </c>
      <c r="F1256" s="13" t="s">
        <v>11</v>
      </c>
    </row>
    <row r="1257" ht="18" customHeight="1" spans="1:6">
      <c r="A1257" s="13" t="s">
        <v>1812</v>
      </c>
      <c r="B1257" s="13" t="s">
        <v>2402</v>
      </c>
      <c r="C1257" s="5" t="s">
        <v>2512</v>
      </c>
      <c r="D1257" s="15">
        <v>2</v>
      </c>
      <c r="E1257" s="178" t="s">
        <v>2513</v>
      </c>
      <c r="F1257" s="13" t="s">
        <v>11</v>
      </c>
    </row>
    <row r="1258" ht="18" customHeight="1" spans="1:6">
      <c r="A1258" s="13" t="s">
        <v>1812</v>
      </c>
      <c r="B1258" s="13" t="s">
        <v>2402</v>
      </c>
      <c r="C1258" s="5" t="s">
        <v>2514</v>
      </c>
      <c r="D1258" s="15">
        <v>1</v>
      </c>
      <c r="E1258" s="178" t="s">
        <v>2515</v>
      </c>
      <c r="F1258" s="13" t="s">
        <v>11</v>
      </c>
    </row>
    <row r="1259" ht="18" customHeight="1" spans="1:6">
      <c r="A1259" s="13" t="s">
        <v>1812</v>
      </c>
      <c r="B1259" s="13" t="s">
        <v>2402</v>
      </c>
      <c r="C1259" s="5" t="s">
        <v>2516</v>
      </c>
      <c r="D1259" s="15">
        <v>2</v>
      </c>
      <c r="E1259" s="178" t="s">
        <v>2517</v>
      </c>
      <c r="F1259" s="13" t="s">
        <v>11</v>
      </c>
    </row>
    <row r="1260" ht="18" customHeight="1" spans="1:6">
      <c r="A1260" s="13" t="s">
        <v>1812</v>
      </c>
      <c r="B1260" s="13" t="s">
        <v>2402</v>
      </c>
      <c r="C1260" s="5" t="s">
        <v>2518</v>
      </c>
      <c r="D1260" s="15">
        <v>3</v>
      </c>
      <c r="E1260" s="178" t="s">
        <v>2519</v>
      </c>
      <c r="F1260" s="13" t="s">
        <v>11</v>
      </c>
    </row>
    <row r="1261" ht="18" customHeight="1" spans="1:6">
      <c r="A1261" s="13" t="s">
        <v>1812</v>
      </c>
      <c r="B1261" s="13" t="s">
        <v>2402</v>
      </c>
      <c r="C1261" s="5" t="s">
        <v>2520</v>
      </c>
      <c r="D1261" s="15">
        <v>3</v>
      </c>
      <c r="E1261" s="178" t="s">
        <v>2521</v>
      </c>
      <c r="F1261" s="13" t="s">
        <v>11</v>
      </c>
    </row>
    <row r="1262" ht="18" customHeight="1" spans="1:6">
      <c r="A1262" s="13" t="s">
        <v>1812</v>
      </c>
      <c r="B1262" s="13" t="s">
        <v>2402</v>
      </c>
      <c r="C1262" s="5" t="s">
        <v>2522</v>
      </c>
      <c r="D1262" s="15">
        <v>1</v>
      </c>
      <c r="E1262" s="178" t="s">
        <v>2523</v>
      </c>
      <c r="F1262" s="13" t="s">
        <v>11</v>
      </c>
    </row>
    <row r="1263" ht="18" customHeight="1" spans="1:6">
      <c r="A1263" s="13" t="s">
        <v>1812</v>
      </c>
      <c r="B1263" s="13" t="s">
        <v>2402</v>
      </c>
      <c r="C1263" s="5" t="s">
        <v>2524</v>
      </c>
      <c r="D1263" s="15">
        <v>4</v>
      </c>
      <c r="E1263" s="33" t="str">
        <f>LEFT("422626196706222312",19)</f>
        <v>422626196706222312</v>
      </c>
      <c r="F1263" s="13" t="s">
        <v>11</v>
      </c>
    </row>
    <row r="1264" ht="18" customHeight="1" spans="1:6">
      <c r="A1264" s="13" t="s">
        <v>1812</v>
      </c>
      <c r="B1264" s="13" t="s">
        <v>2402</v>
      </c>
      <c r="C1264" s="5" t="s">
        <v>2525</v>
      </c>
      <c r="D1264" s="15">
        <v>1</v>
      </c>
      <c r="E1264" s="178" t="s">
        <v>2526</v>
      </c>
      <c r="F1264" s="13" t="s">
        <v>11</v>
      </c>
    </row>
    <row r="1265" ht="18" customHeight="1" spans="1:6">
      <c r="A1265" s="13" t="s">
        <v>1812</v>
      </c>
      <c r="B1265" s="13" t="s">
        <v>2402</v>
      </c>
      <c r="C1265" s="5" t="s">
        <v>2527</v>
      </c>
      <c r="D1265" s="15">
        <v>4</v>
      </c>
      <c r="E1265" s="178" t="s">
        <v>2528</v>
      </c>
      <c r="F1265" s="13" t="s">
        <v>11</v>
      </c>
    </row>
    <row r="1266" ht="18" customHeight="1" spans="1:6">
      <c r="A1266" s="13" t="s">
        <v>1812</v>
      </c>
      <c r="B1266" s="13" t="s">
        <v>2402</v>
      </c>
      <c r="C1266" s="5" t="s">
        <v>2529</v>
      </c>
      <c r="D1266" s="15">
        <v>1</v>
      </c>
      <c r="E1266" s="178" t="s">
        <v>2530</v>
      </c>
      <c r="F1266" s="13" t="s">
        <v>11</v>
      </c>
    </row>
    <row r="1267" ht="18" customHeight="1" spans="1:6">
      <c r="A1267" s="13" t="s">
        <v>1812</v>
      </c>
      <c r="B1267" s="13" t="s">
        <v>2402</v>
      </c>
      <c r="C1267" s="5" t="s">
        <v>2531</v>
      </c>
      <c r="D1267" s="15">
        <v>4</v>
      </c>
      <c r="E1267" s="178" t="s">
        <v>2532</v>
      </c>
      <c r="F1267" s="13" t="s">
        <v>11</v>
      </c>
    </row>
    <row r="1268" ht="18" customHeight="1" spans="1:6">
      <c r="A1268" s="13" t="s">
        <v>1812</v>
      </c>
      <c r="B1268" s="13" t="s">
        <v>2402</v>
      </c>
      <c r="C1268" s="5" t="s">
        <v>2533</v>
      </c>
      <c r="D1268" s="15">
        <v>3</v>
      </c>
      <c r="E1268" s="178" t="s">
        <v>2534</v>
      </c>
      <c r="F1268" s="13" t="s">
        <v>11</v>
      </c>
    </row>
    <row r="1269" ht="18" customHeight="1" spans="1:6">
      <c r="A1269" s="13" t="s">
        <v>1812</v>
      </c>
      <c r="B1269" s="13" t="s">
        <v>2402</v>
      </c>
      <c r="C1269" s="5" t="s">
        <v>2535</v>
      </c>
      <c r="D1269" s="15">
        <v>1</v>
      </c>
      <c r="E1269" s="178" t="s">
        <v>2536</v>
      </c>
      <c r="F1269" s="13" t="s">
        <v>11</v>
      </c>
    </row>
    <row r="1270" ht="18" customHeight="1" spans="1:6">
      <c r="A1270" s="13" t="s">
        <v>1812</v>
      </c>
      <c r="B1270" s="13" t="s">
        <v>2402</v>
      </c>
      <c r="C1270" s="5" t="s">
        <v>2537</v>
      </c>
      <c r="D1270" s="15">
        <v>1</v>
      </c>
      <c r="E1270" s="178" t="s">
        <v>2538</v>
      </c>
      <c r="F1270" s="13" t="s">
        <v>11</v>
      </c>
    </row>
    <row r="1271" ht="18" customHeight="1" spans="1:6">
      <c r="A1271" s="13" t="s">
        <v>1812</v>
      </c>
      <c r="B1271" s="13" t="s">
        <v>2402</v>
      </c>
      <c r="C1271" s="5" t="s">
        <v>2539</v>
      </c>
      <c r="D1271" s="15">
        <v>1</v>
      </c>
      <c r="E1271" s="178" t="s">
        <v>2540</v>
      </c>
      <c r="F1271" s="13" t="s">
        <v>11</v>
      </c>
    </row>
    <row r="1272" ht="18" customHeight="1" spans="1:6">
      <c r="A1272" s="13" t="s">
        <v>1812</v>
      </c>
      <c r="B1272" s="13" t="s">
        <v>2402</v>
      </c>
      <c r="C1272" s="5" t="s">
        <v>2541</v>
      </c>
      <c r="D1272" s="15">
        <v>2</v>
      </c>
      <c r="E1272" s="178" t="s">
        <v>2542</v>
      </c>
      <c r="F1272" s="13" t="s">
        <v>11</v>
      </c>
    </row>
    <row r="1273" ht="18" customHeight="1" spans="1:6">
      <c r="A1273" s="13" t="s">
        <v>1812</v>
      </c>
      <c r="B1273" s="13" t="s">
        <v>2402</v>
      </c>
      <c r="C1273" s="5" t="s">
        <v>2543</v>
      </c>
      <c r="D1273" s="15">
        <v>1</v>
      </c>
      <c r="E1273" s="178" t="s">
        <v>2544</v>
      </c>
      <c r="F1273" s="13" t="s">
        <v>11</v>
      </c>
    </row>
    <row r="1274" ht="18" customHeight="1" spans="1:6">
      <c r="A1274" s="13" t="s">
        <v>1812</v>
      </c>
      <c r="B1274" s="13" t="s">
        <v>2402</v>
      </c>
      <c r="C1274" s="5" t="s">
        <v>2545</v>
      </c>
      <c r="D1274" s="15">
        <v>4</v>
      </c>
      <c r="E1274" s="33" t="str">
        <f>LEFT("422626196908252317",19)</f>
        <v>422626196908252317</v>
      </c>
      <c r="F1274" s="13" t="s">
        <v>11</v>
      </c>
    </row>
    <row r="1275" ht="18" customHeight="1" spans="1:6">
      <c r="A1275" s="13" t="s">
        <v>1812</v>
      </c>
      <c r="B1275" s="13" t="s">
        <v>2546</v>
      </c>
      <c r="C1275" s="13" t="s">
        <v>2547</v>
      </c>
      <c r="D1275" s="16">
        <v>2</v>
      </c>
      <c r="E1275" s="13" t="str">
        <f>LEFT("422626194804222317",19)</f>
        <v>422626194804222317</v>
      </c>
      <c r="F1275" s="13" t="s">
        <v>11</v>
      </c>
    </row>
    <row r="1276" ht="18" customHeight="1" spans="1:6">
      <c r="A1276" s="13" t="s">
        <v>1812</v>
      </c>
      <c r="B1276" s="13" t="s">
        <v>2548</v>
      </c>
      <c r="C1276" s="13" t="s">
        <v>2549</v>
      </c>
      <c r="D1276" s="16">
        <v>4</v>
      </c>
      <c r="E1276" s="13" t="str">
        <f>LEFT("422626196504162315",19)</f>
        <v>422626196504162315</v>
      </c>
      <c r="F1276" s="13" t="s">
        <v>11</v>
      </c>
    </row>
    <row r="1277" ht="18" customHeight="1" spans="1:6">
      <c r="A1277" s="13" t="s">
        <v>1812</v>
      </c>
      <c r="B1277" s="13" t="s">
        <v>2548</v>
      </c>
      <c r="C1277" s="13" t="s">
        <v>2550</v>
      </c>
      <c r="D1277" s="16">
        <v>2</v>
      </c>
      <c r="E1277" s="13" t="str">
        <f>LEFT("422626197103162319",19)</f>
        <v>422626197103162319</v>
      </c>
      <c r="F1277" s="13" t="s">
        <v>11</v>
      </c>
    </row>
    <row r="1278" ht="18" customHeight="1" spans="1:6">
      <c r="A1278" s="13" t="s">
        <v>1812</v>
      </c>
      <c r="B1278" s="13" t="s">
        <v>2548</v>
      </c>
      <c r="C1278" s="13" t="s">
        <v>2551</v>
      </c>
      <c r="D1278" s="16">
        <v>2</v>
      </c>
      <c r="E1278" s="13" t="str">
        <f>LEFT("422626195205272317",19)</f>
        <v>422626195205272317</v>
      </c>
      <c r="F1278" s="13" t="s">
        <v>11</v>
      </c>
    </row>
    <row r="1279" ht="18" customHeight="1" spans="1:6">
      <c r="A1279" s="13" t="s">
        <v>1812</v>
      </c>
      <c r="B1279" s="13" t="s">
        <v>2548</v>
      </c>
      <c r="C1279" s="13" t="s">
        <v>2552</v>
      </c>
      <c r="D1279" s="16">
        <v>1</v>
      </c>
      <c r="E1279" s="13" t="str">
        <f>LEFT("422626197705112319",19)</f>
        <v>422626197705112319</v>
      </c>
      <c r="F1279" s="13" t="s">
        <v>11</v>
      </c>
    </row>
    <row r="1280" ht="18" customHeight="1" spans="1:6">
      <c r="A1280" s="13" t="s">
        <v>1812</v>
      </c>
      <c r="B1280" s="13" t="s">
        <v>2548</v>
      </c>
      <c r="C1280" s="13" t="s">
        <v>2553</v>
      </c>
      <c r="D1280" s="16">
        <v>4</v>
      </c>
      <c r="E1280" s="13" t="str">
        <f>LEFT("422626194603172325",19)</f>
        <v>422626194603172325</v>
      </c>
      <c r="F1280" s="13" t="s">
        <v>11</v>
      </c>
    </row>
    <row r="1281" ht="18" customHeight="1" spans="1:6">
      <c r="A1281" s="13" t="s">
        <v>1812</v>
      </c>
      <c r="B1281" s="13" t="s">
        <v>2548</v>
      </c>
      <c r="C1281" s="13" t="s">
        <v>2554</v>
      </c>
      <c r="D1281" s="16">
        <v>3</v>
      </c>
      <c r="E1281" s="13" t="str">
        <f>LEFT("422626195801202315",19)</f>
        <v>422626195801202315</v>
      </c>
      <c r="F1281" s="13" t="s">
        <v>11</v>
      </c>
    </row>
    <row r="1282" ht="18" customHeight="1" spans="1:6">
      <c r="A1282" s="13" t="s">
        <v>1812</v>
      </c>
      <c r="B1282" s="13" t="s">
        <v>2548</v>
      </c>
      <c r="C1282" s="13" t="s">
        <v>2555</v>
      </c>
      <c r="D1282" s="16">
        <v>4</v>
      </c>
      <c r="E1282" s="13" t="str">
        <f>LEFT("420325197110132316",19)</f>
        <v>420325197110132316</v>
      </c>
      <c r="F1282" s="13" t="s">
        <v>11</v>
      </c>
    </row>
    <row r="1283" ht="18" customHeight="1" spans="1:6">
      <c r="A1283" s="13" t="s">
        <v>1812</v>
      </c>
      <c r="B1283" s="13" t="s">
        <v>2548</v>
      </c>
      <c r="C1283" s="13" t="s">
        <v>2556</v>
      </c>
      <c r="D1283" s="16">
        <v>6</v>
      </c>
      <c r="E1283" s="13" t="str">
        <f>LEFT("422626194403212310",19)</f>
        <v>422626194403212310</v>
      </c>
      <c r="F1283" s="13" t="s">
        <v>11</v>
      </c>
    </row>
    <row r="1284" ht="18" customHeight="1" spans="1:6">
      <c r="A1284" s="13" t="s">
        <v>1812</v>
      </c>
      <c r="B1284" s="13" t="s">
        <v>2557</v>
      </c>
      <c r="C1284" s="13" t="s">
        <v>2558</v>
      </c>
      <c r="D1284" s="16">
        <v>3</v>
      </c>
      <c r="E1284" s="13" t="str">
        <f>LEFT("422626194310102315",19)</f>
        <v>422626194310102315</v>
      </c>
      <c r="F1284" s="13" t="s">
        <v>11</v>
      </c>
    </row>
    <row r="1285" ht="18" customHeight="1" spans="1:6">
      <c r="A1285" s="13" t="s">
        <v>1812</v>
      </c>
      <c r="B1285" s="13" t="s">
        <v>2546</v>
      </c>
      <c r="C1285" s="13" t="s">
        <v>2559</v>
      </c>
      <c r="D1285" s="16">
        <v>3</v>
      </c>
      <c r="E1285" s="13" t="str">
        <f>LEFT("420325197202182310",19)</f>
        <v>420325197202182310</v>
      </c>
      <c r="F1285" s="13" t="s">
        <v>11</v>
      </c>
    </row>
    <row r="1286" ht="18" customHeight="1" spans="1:6">
      <c r="A1286" s="13" t="s">
        <v>1812</v>
      </c>
      <c r="B1286" s="13" t="s">
        <v>2546</v>
      </c>
      <c r="C1286" s="13" t="s">
        <v>2560</v>
      </c>
      <c r="D1286" s="15">
        <v>1</v>
      </c>
      <c r="E1286" s="33" t="str">
        <f>LEFT("422626195509262329",19)</f>
        <v>422626195509262329</v>
      </c>
      <c r="F1286" s="13" t="s">
        <v>11</v>
      </c>
    </row>
    <row r="1287" ht="18" customHeight="1" spans="1:6">
      <c r="A1287" s="13" t="s">
        <v>1812</v>
      </c>
      <c r="B1287" s="13" t="s">
        <v>2546</v>
      </c>
      <c r="C1287" s="13" t="s">
        <v>2561</v>
      </c>
      <c r="D1287" s="15">
        <v>3</v>
      </c>
      <c r="E1287" s="33" t="str">
        <f>LEFT("422626195206152317",19)</f>
        <v>422626195206152317</v>
      </c>
      <c r="F1287" s="13" t="s">
        <v>11</v>
      </c>
    </row>
    <row r="1288" ht="18" customHeight="1" spans="1:6">
      <c r="A1288" s="13" t="s">
        <v>1812</v>
      </c>
      <c r="B1288" s="13" t="s">
        <v>2562</v>
      </c>
      <c r="C1288" s="13" t="s">
        <v>2563</v>
      </c>
      <c r="D1288" s="15">
        <v>5</v>
      </c>
      <c r="E1288" s="33" t="str">
        <f>LEFT("422626198005212313",19)</f>
        <v>422626198005212313</v>
      </c>
      <c r="F1288" s="13" t="s">
        <v>11</v>
      </c>
    </row>
    <row r="1289" ht="18" customHeight="1" spans="1:6">
      <c r="A1289" s="13" t="s">
        <v>1812</v>
      </c>
      <c r="B1289" s="13" t="s">
        <v>2562</v>
      </c>
      <c r="C1289" s="13" t="s">
        <v>2564</v>
      </c>
      <c r="D1289" s="15">
        <v>2</v>
      </c>
      <c r="E1289" s="33" t="str">
        <f>LEFT("422626196704292317",19)</f>
        <v>422626196704292317</v>
      </c>
      <c r="F1289" s="13" t="s">
        <v>11</v>
      </c>
    </row>
    <row r="1290" ht="18" customHeight="1" spans="1:6">
      <c r="A1290" s="13" t="s">
        <v>1812</v>
      </c>
      <c r="B1290" s="13" t="s">
        <v>2557</v>
      </c>
      <c r="C1290" s="13" t="s">
        <v>2565</v>
      </c>
      <c r="D1290" s="15">
        <v>2</v>
      </c>
      <c r="E1290" s="33" t="str">
        <f>LEFT("422626194609072317",19)</f>
        <v>422626194609072317</v>
      </c>
      <c r="F1290" s="13" t="s">
        <v>11</v>
      </c>
    </row>
    <row r="1291" ht="18" customHeight="1" spans="1:6">
      <c r="A1291" s="13" t="s">
        <v>1812</v>
      </c>
      <c r="B1291" s="13" t="s">
        <v>2557</v>
      </c>
      <c r="C1291" s="13" t="s">
        <v>2566</v>
      </c>
      <c r="D1291" s="15">
        <v>2</v>
      </c>
      <c r="E1291" s="33" t="str">
        <f>LEFT("422626195012142313",19)</f>
        <v>422626195012142313</v>
      </c>
      <c r="F1291" s="13" t="s">
        <v>11</v>
      </c>
    </row>
    <row r="1292" ht="18" customHeight="1" spans="1:6">
      <c r="A1292" s="13" t="s">
        <v>1812</v>
      </c>
      <c r="B1292" s="13" t="s">
        <v>2567</v>
      </c>
      <c r="C1292" s="13" t="s">
        <v>2568</v>
      </c>
      <c r="D1292" s="15">
        <v>2</v>
      </c>
      <c r="E1292" s="33" t="str">
        <f>LEFT("422626196205032334",19)</f>
        <v>422626196205032334</v>
      </c>
      <c r="F1292" s="13" t="s">
        <v>11</v>
      </c>
    </row>
    <row r="1293" ht="18" customHeight="1" spans="1:6">
      <c r="A1293" s="13" t="s">
        <v>1812</v>
      </c>
      <c r="B1293" s="13" t="s">
        <v>2546</v>
      </c>
      <c r="C1293" s="13" t="s">
        <v>2569</v>
      </c>
      <c r="D1293" s="15">
        <v>2</v>
      </c>
      <c r="E1293" s="179" t="s">
        <v>2570</v>
      </c>
      <c r="F1293" s="13" t="s">
        <v>11</v>
      </c>
    </row>
    <row r="1294" ht="18" customHeight="1" spans="1:6">
      <c r="A1294" s="13" t="s">
        <v>1812</v>
      </c>
      <c r="B1294" s="13" t="s">
        <v>2546</v>
      </c>
      <c r="C1294" s="13" t="s">
        <v>2559</v>
      </c>
      <c r="D1294" s="15">
        <v>5</v>
      </c>
      <c r="E1294" s="179" t="s">
        <v>2571</v>
      </c>
      <c r="F1294" s="13" t="s">
        <v>11</v>
      </c>
    </row>
    <row r="1295" ht="18" customHeight="1" spans="1:6">
      <c r="A1295" s="13" t="s">
        <v>1812</v>
      </c>
      <c r="B1295" s="13" t="s">
        <v>2546</v>
      </c>
      <c r="C1295" s="13" t="s">
        <v>2572</v>
      </c>
      <c r="D1295" s="15">
        <v>2</v>
      </c>
      <c r="E1295" s="179" t="s">
        <v>2573</v>
      </c>
      <c r="F1295" s="13" t="s">
        <v>11</v>
      </c>
    </row>
    <row r="1296" ht="18" customHeight="1" spans="1:6">
      <c r="A1296" s="13" t="s">
        <v>1812</v>
      </c>
      <c r="B1296" s="13" t="s">
        <v>2546</v>
      </c>
      <c r="C1296" s="13" t="s">
        <v>2574</v>
      </c>
      <c r="D1296" s="15">
        <v>5</v>
      </c>
      <c r="E1296" s="179" t="s">
        <v>2575</v>
      </c>
      <c r="F1296" s="13" t="s">
        <v>11</v>
      </c>
    </row>
    <row r="1297" ht="18" customHeight="1" spans="1:6">
      <c r="A1297" s="13" t="s">
        <v>1812</v>
      </c>
      <c r="B1297" s="13" t="s">
        <v>2546</v>
      </c>
      <c r="C1297" s="13" t="s">
        <v>2576</v>
      </c>
      <c r="D1297" s="15">
        <v>1</v>
      </c>
      <c r="E1297" s="179" t="s">
        <v>2577</v>
      </c>
      <c r="F1297" s="13" t="s">
        <v>11</v>
      </c>
    </row>
    <row r="1298" ht="18" customHeight="1" spans="1:6">
      <c r="A1298" s="13" t="s">
        <v>1812</v>
      </c>
      <c r="B1298" s="13" t="s">
        <v>2546</v>
      </c>
      <c r="C1298" s="13" t="s">
        <v>2578</v>
      </c>
      <c r="D1298" s="15">
        <v>2</v>
      </c>
      <c r="E1298" s="179" t="s">
        <v>2579</v>
      </c>
      <c r="F1298" s="13" t="s">
        <v>11</v>
      </c>
    </row>
    <row r="1299" ht="18" customHeight="1" spans="1:6">
      <c r="A1299" s="13" t="s">
        <v>1812</v>
      </c>
      <c r="B1299" s="13" t="s">
        <v>2546</v>
      </c>
      <c r="C1299" s="13" t="s">
        <v>2580</v>
      </c>
      <c r="D1299" s="15">
        <v>2</v>
      </c>
      <c r="E1299" s="33" t="str">
        <f>LEFT("422626193303052319",19)</f>
        <v>422626193303052319</v>
      </c>
      <c r="F1299" s="13" t="s">
        <v>11</v>
      </c>
    </row>
    <row r="1300" ht="18" customHeight="1" spans="1:6">
      <c r="A1300" s="13" t="s">
        <v>1812</v>
      </c>
      <c r="B1300" s="13" t="s">
        <v>2562</v>
      </c>
      <c r="C1300" s="13" t="s">
        <v>2581</v>
      </c>
      <c r="D1300" s="15">
        <v>3</v>
      </c>
      <c r="E1300" s="33" t="str">
        <f>LEFT("422626195107212310",19)</f>
        <v>422626195107212310</v>
      </c>
      <c r="F1300" s="13" t="s">
        <v>11</v>
      </c>
    </row>
    <row r="1301" ht="18" customHeight="1" spans="1:6">
      <c r="A1301" s="13" t="s">
        <v>1812</v>
      </c>
      <c r="B1301" s="13" t="s">
        <v>2562</v>
      </c>
      <c r="C1301" s="13" t="s">
        <v>2582</v>
      </c>
      <c r="D1301" s="15">
        <v>2</v>
      </c>
      <c r="E1301" s="33" t="str">
        <f>LEFT("422626195704252310",19)</f>
        <v>422626195704252310</v>
      </c>
      <c r="F1301" s="13" t="s">
        <v>11</v>
      </c>
    </row>
    <row r="1302" ht="18" customHeight="1" spans="1:6">
      <c r="A1302" s="13" t="s">
        <v>1812</v>
      </c>
      <c r="B1302" s="13" t="s">
        <v>2548</v>
      </c>
      <c r="C1302" s="13" t="s">
        <v>2583</v>
      </c>
      <c r="D1302" s="15">
        <v>2</v>
      </c>
      <c r="E1302" s="33" t="str">
        <f>LEFT("42262619460718231X",19)</f>
        <v>42262619460718231X</v>
      </c>
      <c r="F1302" s="13" t="s">
        <v>11</v>
      </c>
    </row>
    <row r="1303" ht="18" customHeight="1" spans="1:6">
      <c r="A1303" s="13" t="s">
        <v>1812</v>
      </c>
      <c r="B1303" s="13" t="s">
        <v>2548</v>
      </c>
      <c r="C1303" s="13" t="s">
        <v>2584</v>
      </c>
      <c r="D1303" s="15">
        <v>2</v>
      </c>
      <c r="E1303" s="33" t="str">
        <f>LEFT("422626196204192328",19)</f>
        <v>422626196204192328</v>
      </c>
      <c r="F1303" s="13" t="s">
        <v>11</v>
      </c>
    </row>
    <row r="1304" ht="18" customHeight="1" spans="1:6">
      <c r="A1304" s="13" t="s">
        <v>1812</v>
      </c>
      <c r="B1304" s="13" t="s">
        <v>2548</v>
      </c>
      <c r="C1304" s="13" t="s">
        <v>2585</v>
      </c>
      <c r="D1304" s="15">
        <v>2</v>
      </c>
      <c r="E1304" s="33" t="str">
        <f>LEFT("422626194109282318",19)</f>
        <v>422626194109282318</v>
      </c>
      <c r="F1304" s="13" t="s">
        <v>11</v>
      </c>
    </row>
    <row r="1305" ht="18" customHeight="1" spans="1:6">
      <c r="A1305" s="13" t="s">
        <v>1812</v>
      </c>
      <c r="B1305" s="13" t="s">
        <v>2548</v>
      </c>
      <c r="C1305" s="13" t="s">
        <v>2586</v>
      </c>
      <c r="D1305" s="15">
        <v>5</v>
      </c>
      <c r="E1305" s="179" t="s">
        <v>2587</v>
      </c>
      <c r="F1305" s="13" t="s">
        <v>11</v>
      </c>
    </row>
    <row r="1306" ht="18" customHeight="1" spans="1:6">
      <c r="A1306" s="13" t="s">
        <v>1812</v>
      </c>
      <c r="B1306" s="13" t="s">
        <v>2548</v>
      </c>
      <c r="C1306" s="13" t="s">
        <v>74</v>
      </c>
      <c r="D1306" s="15">
        <v>1</v>
      </c>
      <c r="E1306" s="179" t="s">
        <v>2588</v>
      </c>
      <c r="F1306" s="13" t="s">
        <v>11</v>
      </c>
    </row>
    <row r="1307" ht="18" customHeight="1" spans="1:6">
      <c r="A1307" s="13" t="s">
        <v>1812</v>
      </c>
      <c r="B1307" s="13" t="s">
        <v>2567</v>
      </c>
      <c r="C1307" s="13" t="s">
        <v>2589</v>
      </c>
      <c r="D1307" s="15">
        <v>2</v>
      </c>
      <c r="E1307" s="33" t="str">
        <f>LEFT("422626194511212318",19)</f>
        <v>422626194511212318</v>
      </c>
      <c r="F1307" s="13" t="s">
        <v>11</v>
      </c>
    </row>
    <row r="1308" ht="18" customHeight="1" spans="1:6">
      <c r="A1308" s="13" t="s">
        <v>1812</v>
      </c>
      <c r="B1308" s="13" t="s">
        <v>2557</v>
      </c>
      <c r="C1308" s="13" t="s">
        <v>2590</v>
      </c>
      <c r="D1308" s="15">
        <v>1</v>
      </c>
      <c r="E1308" s="13" t="s">
        <v>2591</v>
      </c>
      <c r="F1308" s="13" t="s">
        <v>11</v>
      </c>
    </row>
    <row r="1309" ht="18" customHeight="1" spans="1:6">
      <c r="A1309" s="13" t="s">
        <v>1812</v>
      </c>
      <c r="B1309" s="13" t="s">
        <v>2557</v>
      </c>
      <c r="C1309" s="13" t="s">
        <v>2592</v>
      </c>
      <c r="D1309" s="15">
        <v>5</v>
      </c>
      <c r="E1309" s="33" t="str">
        <f>LEFT("422626197309292311",19)</f>
        <v>422626197309292311</v>
      </c>
      <c r="F1309" s="13" t="s">
        <v>11</v>
      </c>
    </row>
    <row r="1310" ht="18" customHeight="1" spans="1:6">
      <c r="A1310" s="13" t="s">
        <v>1812</v>
      </c>
      <c r="B1310" s="13" t="s">
        <v>2557</v>
      </c>
      <c r="C1310" s="13" t="s">
        <v>2593</v>
      </c>
      <c r="D1310" s="15">
        <v>4</v>
      </c>
      <c r="E1310" s="33" t="str">
        <f>LEFT("422626197312052335",19)</f>
        <v>422626197312052335</v>
      </c>
      <c r="F1310" s="13" t="s">
        <v>11</v>
      </c>
    </row>
    <row r="1311" ht="18" customHeight="1" spans="1:6">
      <c r="A1311" s="13" t="s">
        <v>1812</v>
      </c>
      <c r="B1311" s="13" t="s">
        <v>2567</v>
      </c>
      <c r="C1311" s="13" t="s">
        <v>2069</v>
      </c>
      <c r="D1311" s="15">
        <v>4</v>
      </c>
      <c r="E1311" s="33" t="str">
        <f>LEFT("422626197903302316",19)</f>
        <v>422626197903302316</v>
      </c>
      <c r="F1311" s="13" t="s">
        <v>11</v>
      </c>
    </row>
    <row r="1312" ht="18" customHeight="1" spans="1:6">
      <c r="A1312" s="13" t="s">
        <v>1812</v>
      </c>
      <c r="B1312" s="13" t="s">
        <v>2567</v>
      </c>
      <c r="C1312" s="13" t="s">
        <v>2594</v>
      </c>
      <c r="D1312" s="15">
        <v>4</v>
      </c>
      <c r="E1312" s="179" t="s">
        <v>2595</v>
      </c>
      <c r="F1312" s="13" t="s">
        <v>11</v>
      </c>
    </row>
    <row r="1313" ht="18" customHeight="1" spans="1:6">
      <c r="A1313" s="13" t="s">
        <v>1812</v>
      </c>
      <c r="B1313" s="13" t="s">
        <v>2596</v>
      </c>
      <c r="C1313" s="13" t="s">
        <v>2597</v>
      </c>
      <c r="D1313" s="15">
        <v>2</v>
      </c>
      <c r="E1313" s="33" t="str">
        <f>LEFT("422626195304102313",19)</f>
        <v>422626195304102313</v>
      </c>
      <c r="F1313" s="13" t="s">
        <v>11</v>
      </c>
    </row>
    <row r="1314" ht="18" customHeight="1" spans="1:6">
      <c r="A1314" s="13" t="s">
        <v>1812</v>
      </c>
      <c r="B1314" s="13" t="s">
        <v>2596</v>
      </c>
      <c r="C1314" s="13" t="s">
        <v>1639</v>
      </c>
      <c r="D1314" s="15">
        <v>3</v>
      </c>
      <c r="E1314" s="33" t="str">
        <f>LEFT("422626196208072331",19)</f>
        <v>422626196208072331</v>
      </c>
      <c r="F1314" s="13" t="s">
        <v>11</v>
      </c>
    </row>
    <row r="1315" ht="18" customHeight="1" spans="1:6">
      <c r="A1315" s="13" t="s">
        <v>1812</v>
      </c>
      <c r="B1315" s="13" t="s">
        <v>2596</v>
      </c>
      <c r="C1315" s="13" t="s">
        <v>2598</v>
      </c>
      <c r="D1315" s="15">
        <v>2</v>
      </c>
      <c r="E1315" s="33" t="str">
        <f>LEFT("422626194807102310",19)</f>
        <v>422626194807102310</v>
      </c>
      <c r="F1315" s="13" t="s">
        <v>11</v>
      </c>
    </row>
    <row r="1316" ht="18" customHeight="1" spans="1:6">
      <c r="A1316" s="13" t="s">
        <v>1812</v>
      </c>
      <c r="B1316" s="13" t="s">
        <v>2596</v>
      </c>
      <c r="C1316" s="13" t="s">
        <v>2599</v>
      </c>
      <c r="D1316" s="15">
        <v>2</v>
      </c>
      <c r="E1316" s="33" t="str">
        <f>LEFT("422626194110222312",19)</f>
        <v>422626194110222312</v>
      </c>
      <c r="F1316" s="13" t="s">
        <v>11</v>
      </c>
    </row>
    <row r="1317" ht="18" customHeight="1" spans="1:6">
      <c r="A1317" s="13" t="s">
        <v>1812</v>
      </c>
      <c r="B1317" s="13" t="s">
        <v>2596</v>
      </c>
      <c r="C1317" s="13" t="s">
        <v>2600</v>
      </c>
      <c r="D1317" s="15">
        <v>2</v>
      </c>
      <c r="E1317" s="33" t="str">
        <f>LEFT("420325198211302315",19)</f>
        <v>420325198211302315</v>
      </c>
      <c r="F1317" s="13" t="s">
        <v>11</v>
      </c>
    </row>
    <row r="1318" ht="18" customHeight="1" spans="1:6">
      <c r="A1318" s="13" t="s">
        <v>1812</v>
      </c>
      <c r="B1318" s="13" t="s">
        <v>2596</v>
      </c>
      <c r="C1318" s="13" t="s">
        <v>2601</v>
      </c>
      <c r="D1318" s="15">
        <v>4</v>
      </c>
      <c r="E1318" s="33" t="str">
        <f>LEFT("420325197112312337",19)</f>
        <v>420325197112312337</v>
      </c>
      <c r="F1318" s="13" t="s">
        <v>11</v>
      </c>
    </row>
    <row r="1319" ht="18" customHeight="1" spans="1:6">
      <c r="A1319" s="13" t="s">
        <v>1812</v>
      </c>
      <c r="B1319" s="13" t="s">
        <v>2596</v>
      </c>
      <c r="C1319" s="13" t="s">
        <v>2602</v>
      </c>
      <c r="D1319" s="15">
        <v>2</v>
      </c>
      <c r="E1319" s="33" t="str">
        <f>LEFT("422626195402102333",19)</f>
        <v>422626195402102333</v>
      </c>
      <c r="F1319" s="13" t="s">
        <v>11</v>
      </c>
    </row>
    <row r="1320" ht="18" customHeight="1" spans="1:6">
      <c r="A1320" s="13" t="s">
        <v>1812</v>
      </c>
      <c r="B1320" s="13" t="s">
        <v>2596</v>
      </c>
      <c r="C1320" s="13" t="s">
        <v>2603</v>
      </c>
      <c r="D1320" s="15">
        <v>4</v>
      </c>
      <c r="E1320" s="33" t="str">
        <f>LEFT("42262619731004231X",19)</f>
        <v>42262619731004231X</v>
      </c>
      <c r="F1320" s="13" t="s">
        <v>11</v>
      </c>
    </row>
    <row r="1321" ht="18" customHeight="1" spans="1:6">
      <c r="A1321" s="13" t="s">
        <v>1812</v>
      </c>
      <c r="B1321" s="13" t="s">
        <v>2596</v>
      </c>
      <c r="C1321" s="13" t="s">
        <v>2604</v>
      </c>
      <c r="D1321" s="15">
        <v>1</v>
      </c>
      <c r="E1321" s="33" t="str">
        <f>LEFT("422626196305122310",19)</f>
        <v>422626196305122310</v>
      </c>
      <c r="F1321" s="13" t="s">
        <v>11</v>
      </c>
    </row>
    <row r="1322" ht="18" customHeight="1" spans="1:6">
      <c r="A1322" s="13" t="s">
        <v>1812</v>
      </c>
      <c r="B1322" s="13" t="s">
        <v>2596</v>
      </c>
      <c r="C1322" s="13" t="s">
        <v>2605</v>
      </c>
      <c r="D1322" s="15">
        <v>4</v>
      </c>
      <c r="E1322" s="33" t="str">
        <f>LEFT("420325198004212333",19)</f>
        <v>420325198004212333</v>
      </c>
      <c r="F1322" s="13" t="s">
        <v>11</v>
      </c>
    </row>
    <row r="1323" ht="18" customHeight="1" spans="1:6">
      <c r="A1323" s="13" t="s">
        <v>1812</v>
      </c>
      <c r="B1323" s="13" t="s">
        <v>2596</v>
      </c>
      <c r="C1323" s="13" t="s">
        <v>2606</v>
      </c>
      <c r="D1323" s="15">
        <v>4</v>
      </c>
      <c r="E1323" s="33" t="str">
        <f>LEFT("42262619560217231X",19)</f>
        <v>42262619560217231X</v>
      </c>
      <c r="F1323" s="13" t="s">
        <v>11</v>
      </c>
    </row>
    <row r="1324" ht="18" customHeight="1" spans="1:6">
      <c r="A1324" s="13" t="s">
        <v>1812</v>
      </c>
      <c r="B1324" s="13" t="s">
        <v>2596</v>
      </c>
      <c r="C1324" s="13" t="s">
        <v>2607</v>
      </c>
      <c r="D1324" s="15">
        <v>1</v>
      </c>
      <c r="E1324" s="33" t="str">
        <f>LEFT("422626196106022317",19)</f>
        <v>422626196106022317</v>
      </c>
      <c r="F1324" s="13" t="s">
        <v>11</v>
      </c>
    </row>
    <row r="1325" ht="18" customHeight="1" spans="1:6">
      <c r="A1325" s="13" t="s">
        <v>1812</v>
      </c>
      <c r="B1325" s="13" t="s">
        <v>2596</v>
      </c>
      <c r="C1325" s="13" t="s">
        <v>2608</v>
      </c>
      <c r="D1325" s="15">
        <v>1</v>
      </c>
      <c r="E1325" s="33" t="str">
        <f>LEFT("422626196302042331",19)</f>
        <v>422626196302042331</v>
      </c>
      <c r="F1325" s="13" t="s">
        <v>11</v>
      </c>
    </row>
    <row r="1326" ht="18" customHeight="1" spans="1:6">
      <c r="A1326" s="13" t="s">
        <v>1812</v>
      </c>
      <c r="B1326" s="13" t="s">
        <v>2596</v>
      </c>
      <c r="C1326" s="13" t="s">
        <v>2609</v>
      </c>
      <c r="D1326" s="15">
        <v>1</v>
      </c>
      <c r="E1326" s="33"/>
      <c r="F1326" s="13" t="s">
        <v>11</v>
      </c>
    </row>
    <row r="1327" ht="18" customHeight="1" spans="1:6">
      <c r="A1327" s="13" t="s">
        <v>1812</v>
      </c>
      <c r="B1327" s="13" t="s">
        <v>2596</v>
      </c>
      <c r="C1327" s="13" t="s">
        <v>2610</v>
      </c>
      <c r="D1327" s="15">
        <v>1</v>
      </c>
      <c r="E1327" s="33" t="str">
        <f>LEFT("422626195611032319",19)</f>
        <v>422626195611032319</v>
      </c>
      <c r="F1327" s="13" t="s">
        <v>11</v>
      </c>
    </row>
    <row r="1328" ht="18" customHeight="1" spans="1:6">
      <c r="A1328" s="13" t="s">
        <v>1812</v>
      </c>
      <c r="B1328" s="13" t="s">
        <v>2596</v>
      </c>
      <c r="C1328" s="13" t="s">
        <v>2611</v>
      </c>
      <c r="D1328" s="15">
        <v>2</v>
      </c>
      <c r="E1328" s="33" t="str">
        <f>LEFT("422626197101142314",19)</f>
        <v>422626197101142314</v>
      </c>
      <c r="F1328" s="13" t="s">
        <v>11</v>
      </c>
    </row>
    <row r="1329" ht="18" customHeight="1" spans="1:6">
      <c r="A1329" s="13" t="s">
        <v>1812</v>
      </c>
      <c r="B1329" s="13" t="s">
        <v>2596</v>
      </c>
      <c r="C1329" s="13" t="s">
        <v>2612</v>
      </c>
      <c r="D1329" s="15">
        <v>1</v>
      </c>
      <c r="E1329" s="33" t="str">
        <f>LEFT("422626196302192372",19)</f>
        <v>422626196302192372</v>
      </c>
      <c r="F1329" s="13" t="s">
        <v>11</v>
      </c>
    </row>
    <row r="1330" ht="18" customHeight="1" spans="1:6">
      <c r="A1330" s="13" t="s">
        <v>1812</v>
      </c>
      <c r="B1330" s="13" t="s">
        <v>2596</v>
      </c>
      <c r="C1330" s="13" t="s">
        <v>2613</v>
      </c>
      <c r="D1330" s="15">
        <v>3</v>
      </c>
      <c r="E1330" s="33" t="str">
        <f>LEFT("422626195612112310",19)</f>
        <v>422626195612112310</v>
      </c>
      <c r="F1330" s="13" t="s">
        <v>11</v>
      </c>
    </row>
    <row r="1331" ht="18" customHeight="1" spans="1:6">
      <c r="A1331" s="13" t="s">
        <v>1812</v>
      </c>
      <c r="B1331" s="13" t="s">
        <v>2596</v>
      </c>
      <c r="C1331" s="13" t="s">
        <v>2614</v>
      </c>
      <c r="D1331" s="15">
        <v>2</v>
      </c>
      <c r="E1331" s="33" t="str">
        <f>LEFT("422626197112112313",19)</f>
        <v>422626197112112313</v>
      </c>
      <c r="F1331" s="13" t="s">
        <v>11</v>
      </c>
    </row>
    <row r="1332" ht="18" customHeight="1" spans="1:6">
      <c r="A1332" s="13" t="s">
        <v>1812</v>
      </c>
      <c r="B1332" s="13" t="s">
        <v>2596</v>
      </c>
      <c r="C1332" s="13" t="s">
        <v>2615</v>
      </c>
      <c r="D1332" s="15">
        <v>1</v>
      </c>
      <c r="E1332" s="33" t="str">
        <f>LEFT("420325196712182316",19)</f>
        <v>420325196712182316</v>
      </c>
      <c r="F1332" s="13" t="s">
        <v>11</v>
      </c>
    </row>
    <row r="1333" ht="18" customHeight="1" spans="1:6">
      <c r="A1333" s="13" t="s">
        <v>1812</v>
      </c>
      <c r="B1333" s="13" t="s">
        <v>2596</v>
      </c>
      <c r="C1333" s="13" t="s">
        <v>2616</v>
      </c>
      <c r="D1333" s="15">
        <v>1</v>
      </c>
      <c r="E1333" s="33" t="str">
        <f>LEFT("422626196211122352",19)</f>
        <v>422626196211122352</v>
      </c>
      <c r="F1333" s="13" t="s">
        <v>11</v>
      </c>
    </row>
    <row r="1334" ht="18" customHeight="1" spans="1:6">
      <c r="A1334" s="13" t="s">
        <v>1812</v>
      </c>
      <c r="B1334" s="13" t="s">
        <v>2596</v>
      </c>
      <c r="C1334" s="13" t="s">
        <v>2617</v>
      </c>
      <c r="D1334" s="15">
        <v>3</v>
      </c>
      <c r="E1334" s="33" t="str">
        <f>LEFT("422626195110112310",19)</f>
        <v>422626195110112310</v>
      </c>
      <c r="F1334" s="13" t="s">
        <v>11</v>
      </c>
    </row>
    <row r="1335" ht="18" customHeight="1" spans="1:6">
      <c r="A1335" s="13" t="s">
        <v>1812</v>
      </c>
      <c r="B1335" s="13" t="s">
        <v>2596</v>
      </c>
      <c r="C1335" s="13" t="s">
        <v>2618</v>
      </c>
      <c r="D1335" s="15">
        <v>2</v>
      </c>
      <c r="E1335" s="33" t="str">
        <f>LEFT("422626197110182318",19)</f>
        <v>422626197110182318</v>
      </c>
      <c r="F1335" s="13" t="s">
        <v>11</v>
      </c>
    </row>
    <row r="1336" ht="18" customHeight="1" spans="1:6">
      <c r="A1336" s="13" t="s">
        <v>1812</v>
      </c>
      <c r="B1336" s="13" t="s">
        <v>2596</v>
      </c>
      <c r="C1336" s="13" t="s">
        <v>2619</v>
      </c>
      <c r="D1336" s="15">
        <v>4</v>
      </c>
      <c r="E1336" s="33" t="str">
        <f>LEFT("422626196804182326",19)</f>
        <v>422626196804182326</v>
      </c>
      <c r="F1336" s="13" t="s">
        <v>11</v>
      </c>
    </row>
    <row r="1337" ht="18" customHeight="1" spans="1:6">
      <c r="A1337" s="13" t="s">
        <v>1812</v>
      </c>
      <c r="B1337" s="13" t="s">
        <v>2596</v>
      </c>
      <c r="C1337" s="13" t="s">
        <v>2620</v>
      </c>
      <c r="D1337" s="15">
        <v>3</v>
      </c>
      <c r="E1337" s="33" t="str">
        <f>LEFT("420325197508112315",19)</f>
        <v>420325197508112315</v>
      </c>
      <c r="F1337" s="13" t="s">
        <v>11</v>
      </c>
    </row>
    <row r="1338" ht="18" customHeight="1" spans="1:6">
      <c r="A1338" s="13" t="s">
        <v>1812</v>
      </c>
      <c r="B1338" s="13" t="s">
        <v>2596</v>
      </c>
      <c r="C1338" s="33" t="s">
        <v>2621</v>
      </c>
      <c r="D1338" s="15">
        <v>3</v>
      </c>
      <c r="E1338" s="33" t="str">
        <f>LEFT("42262619401221233X",19)</f>
        <v>42262619401221233X</v>
      </c>
      <c r="F1338" s="13" t="s">
        <v>11</v>
      </c>
    </row>
    <row r="1339" ht="18" customHeight="1" spans="1:6">
      <c r="A1339" s="13" t="s">
        <v>1812</v>
      </c>
      <c r="B1339" s="13" t="s">
        <v>2596</v>
      </c>
      <c r="C1339" s="13" t="s">
        <v>2622</v>
      </c>
      <c r="D1339" s="15">
        <v>2</v>
      </c>
      <c r="E1339" s="33" t="str">
        <f>LEFT("422626197302202352",19)</f>
        <v>422626197302202352</v>
      </c>
      <c r="F1339" s="13" t="s">
        <v>11</v>
      </c>
    </row>
    <row r="1340" ht="18" customHeight="1" spans="1:6">
      <c r="A1340" s="13" t="s">
        <v>1812</v>
      </c>
      <c r="B1340" s="13" t="s">
        <v>2596</v>
      </c>
      <c r="C1340" s="13" t="s">
        <v>2623</v>
      </c>
      <c r="D1340" s="15">
        <v>5</v>
      </c>
      <c r="E1340" s="33" t="str">
        <f>LEFT("422626195212302318",19)</f>
        <v>422626195212302318</v>
      </c>
      <c r="F1340" s="13" t="s">
        <v>11</v>
      </c>
    </row>
    <row r="1341" ht="18" customHeight="1" spans="1:6">
      <c r="A1341" s="13" t="s">
        <v>1812</v>
      </c>
      <c r="B1341" s="13" t="s">
        <v>2596</v>
      </c>
      <c r="C1341" s="33" t="s">
        <v>2624</v>
      </c>
      <c r="D1341" s="15">
        <v>3</v>
      </c>
      <c r="E1341" s="33" t="str">
        <f>LEFT("422626194709152373",19)</f>
        <v>422626194709152373</v>
      </c>
      <c r="F1341" s="13" t="s">
        <v>11</v>
      </c>
    </row>
    <row r="1342" ht="18" customHeight="1" spans="1:6">
      <c r="A1342" s="13" t="s">
        <v>1812</v>
      </c>
      <c r="B1342" s="13" t="s">
        <v>2596</v>
      </c>
      <c r="C1342" s="13" t="s">
        <v>2625</v>
      </c>
      <c r="D1342" s="15">
        <v>3</v>
      </c>
      <c r="E1342" s="33" t="str">
        <f>LEFT("422626196302012351",19)</f>
        <v>422626196302012351</v>
      </c>
      <c r="F1342" s="13" t="s">
        <v>11</v>
      </c>
    </row>
    <row r="1343" ht="18" customHeight="1" spans="1:6">
      <c r="A1343" s="13" t="s">
        <v>1812</v>
      </c>
      <c r="B1343" s="13" t="s">
        <v>2596</v>
      </c>
      <c r="C1343" s="13" t="s">
        <v>2626</v>
      </c>
      <c r="D1343" s="15">
        <v>5</v>
      </c>
      <c r="E1343" s="33" t="str">
        <f>LEFT("422626197402032311",19)</f>
        <v>422626197402032311</v>
      </c>
      <c r="F1343" s="13" t="s">
        <v>11</v>
      </c>
    </row>
    <row r="1344" ht="18" customHeight="1" spans="1:6">
      <c r="A1344" s="13" t="s">
        <v>1812</v>
      </c>
      <c r="B1344" s="13" t="s">
        <v>2596</v>
      </c>
      <c r="C1344" s="13" t="s">
        <v>2627</v>
      </c>
      <c r="D1344" s="15">
        <v>2</v>
      </c>
      <c r="E1344" s="33" t="str">
        <f>LEFT("42262619740226231X",19)</f>
        <v>42262619740226231X</v>
      </c>
      <c r="F1344" s="13" t="s">
        <v>11</v>
      </c>
    </row>
    <row r="1345" ht="18" customHeight="1" spans="1:6">
      <c r="A1345" s="13" t="s">
        <v>1812</v>
      </c>
      <c r="B1345" s="13" t="s">
        <v>2596</v>
      </c>
      <c r="C1345" s="13" t="s">
        <v>2628</v>
      </c>
      <c r="D1345" s="15">
        <v>2</v>
      </c>
      <c r="E1345" s="33" t="str">
        <f>LEFT("422626196912242357",19)</f>
        <v>422626196912242357</v>
      </c>
      <c r="F1345" s="13" t="s">
        <v>11</v>
      </c>
    </row>
    <row r="1346" ht="18" customHeight="1" spans="1:6">
      <c r="A1346" s="13" t="s">
        <v>1812</v>
      </c>
      <c r="B1346" s="13" t="s">
        <v>2596</v>
      </c>
      <c r="C1346" s="13" t="s">
        <v>2629</v>
      </c>
      <c r="D1346" s="15">
        <v>4</v>
      </c>
      <c r="E1346" s="33" t="str">
        <f>LEFT("420325197702242316",19)</f>
        <v>420325197702242316</v>
      </c>
      <c r="F1346" s="13" t="s">
        <v>11</v>
      </c>
    </row>
    <row r="1347" ht="18" customHeight="1" spans="1:6">
      <c r="A1347" s="13" t="s">
        <v>1812</v>
      </c>
      <c r="B1347" s="13" t="s">
        <v>2596</v>
      </c>
      <c r="C1347" s="13" t="s">
        <v>2630</v>
      </c>
      <c r="D1347" s="15">
        <v>2</v>
      </c>
      <c r="E1347" s="33" t="str">
        <f>LEFT("422626193309192339",19)</f>
        <v>422626193309192339</v>
      </c>
      <c r="F1347" s="13" t="s">
        <v>11</v>
      </c>
    </row>
    <row r="1348" ht="18" customHeight="1" spans="1:6">
      <c r="A1348" s="13" t="s">
        <v>1812</v>
      </c>
      <c r="B1348" s="13" t="s">
        <v>2596</v>
      </c>
      <c r="C1348" s="13" t="s">
        <v>2631</v>
      </c>
      <c r="D1348" s="15">
        <v>2</v>
      </c>
      <c r="E1348" s="33" t="str">
        <f>LEFT("422626194502172318",19)</f>
        <v>422626194502172318</v>
      </c>
      <c r="F1348" s="13" t="s">
        <v>11</v>
      </c>
    </row>
    <row r="1349" ht="18" customHeight="1" spans="1:6">
      <c r="A1349" s="13" t="s">
        <v>1812</v>
      </c>
      <c r="B1349" s="13" t="s">
        <v>2596</v>
      </c>
      <c r="C1349" s="13" t="s">
        <v>2632</v>
      </c>
      <c r="D1349" s="15">
        <v>1</v>
      </c>
      <c r="E1349" s="33" t="str">
        <f>LEFT("422626193603272321",19)</f>
        <v>422626193603272321</v>
      </c>
      <c r="F1349" s="13" t="s">
        <v>11</v>
      </c>
    </row>
    <row r="1350" ht="18" customHeight="1" spans="1:6">
      <c r="A1350" s="13" t="s">
        <v>1812</v>
      </c>
      <c r="B1350" s="13" t="s">
        <v>2596</v>
      </c>
      <c r="C1350" s="13" t="s">
        <v>2633</v>
      </c>
      <c r="D1350" s="15">
        <v>2</v>
      </c>
      <c r="E1350" s="33" t="str">
        <f>LEFT("42262619440717231X",19)</f>
        <v>42262619440717231X</v>
      </c>
      <c r="F1350" s="13" t="s">
        <v>11</v>
      </c>
    </row>
    <row r="1351" ht="18" customHeight="1" spans="1:6">
      <c r="A1351" s="13" t="s">
        <v>1812</v>
      </c>
      <c r="B1351" s="13" t="s">
        <v>2596</v>
      </c>
      <c r="C1351" s="13" t="s">
        <v>2634</v>
      </c>
      <c r="D1351" s="15">
        <v>3</v>
      </c>
      <c r="E1351" s="33" t="str">
        <f>LEFT("422626194401222312",19)</f>
        <v>422626194401222312</v>
      </c>
      <c r="F1351" s="13" t="s">
        <v>11</v>
      </c>
    </row>
    <row r="1352" ht="18" customHeight="1" spans="1:6">
      <c r="A1352" s="13" t="s">
        <v>1812</v>
      </c>
      <c r="B1352" s="13" t="s">
        <v>2596</v>
      </c>
      <c r="C1352" s="13" t="s">
        <v>2635</v>
      </c>
      <c r="D1352" s="15">
        <v>1</v>
      </c>
      <c r="E1352" s="33" t="str">
        <f>LEFT("422626194201272315",19)</f>
        <v>422626194201272315</v>
      </c>
      <c r="F1352" s="13" t="s">
        <v>11</v>
      </c>
    </row>
    <row r="1353" ht="18" customHeight="1" spans="1:6">
      <c r="A1353" s="13" t="s">
        <v>1812</v>
      </c>
      <c r="B1353" s="13" t="s">
        <v>2596</v>
      </c>
      <c r="C1353" s="33" t="s">
        <v>2636</v>
      </c>
      <c r="D1353" s="15">
        <v>2</v>
      </c>
      <c r="E1353" s="33" t="str">
        <f>LEFT("422626195612182319",19)</f>
        <v>422626195612182319</v>
      </c>
      <c r="F1353" s="13" t="s">
        <v>11</v>
      </c>
    </row>
    <row r="1354" ht="18" customHeight="1" spans="1:6">
      <c r="A1354" s="13" t="s">
        <v>1812</v>
      </c>
      <c r="B1354" s="13" t="s">
        <v>2596</v>
      </c>
      <c r="C1354" s="33" t="s">
        <v>2637</v>
      </c>
      <c r="D1354" s="15">
        <v>2</v>
      </c>
      <c r="E1354" s="33" t="str">
        <f>LEFT("422626194208172317",19)</f>
        <v>422626194208172317</v>
      </c>
      <c r="F1354" s="13" t="s">
        <v>11</v>
      </c>
    </row>
    <row r="1355" ht="18" customHeight="1" spans="1:6">
      <c r="A1355" s="13" t="s">
        <v>1812</v>
      </c>
      <c r="B1355" s="13" t="s">
        <v>2596</v>
      </c>
      <c r="C1355" s="33" t="s">
        <v>2638</v>
      </c>
      <c r="D1355" s="15">
        <v>1</v>
      </c>
      <c r="E1355" s="33" t="str">
        <f>LEFT("420325196811072358",19)</f>
        <v>420325196811072358</v>
      </c>
      <c r="F1355" s="13" t="s">
        <v>11</v>
      </c>
    </row>
    <row r="1356" ht="18" customHeight="1" spans="1:6">
      <c r="A1356" s="13" t="s">
        <v>1812</v>
      </c>
      <c r="B1356" s="13" t="s">
        <v>2596</v>
      </c>
      <c r="C1356" s="33" t="s">
        <v>2639</v>
      </c>
      <c r="D1356" s="15">
        <v>1</v>
      </c>
      <c r="E1356" s="33" t="str">
        <f>LEFT("422626194707122322",19)</f>
        <v>422626194707122322</v>
      </c>
      <c r="F1356" s="13" t="s">
        <v>11</v>
      </c>
    </row>
    <row r="1357" ht="18" customHeight="1" spans="1:6">
      <c r="A1357" s="13" t="s">
        <v>1812</v>
      </c>
      <c r="B1357" s="13" t="s">
        <v>2596</v>
      </c>
      <c r="C1357" s="13" t="s">
        <v>2640</v>
      </c>
      <c r="D1357" s="15">
        <v>2</v>
      </c>
      <c r="E1357" s="191" t="s">
        <v>2641</v>
      </c>
      <c r="F1357" s="13" t="s">
        <v>11</v>
      </c>
    </row>
    <row r="1358" ht="18" customHeight="1" spans="1:6">
      <c r="A1358" s="13" t="s">
        <v>1812</v>
      </c>
      <c r="B1358" s="13" t="s">
        <v>1813</v>
      </c>
      <c r="C1358" s="5" t="s">
        <v>1814</v>
      </c>
      <c r="D1358" s="6">
        <v>6</v>
      </c>
      <c r="E1358" s="5" t="str">
        <f>LEFT("422626195710262339",19)</f>
        <v>422626195710262339</v>
      </c>
      <c r="F1358" s="13" t="s">
        <v>11</v>
      </c>
    </row>
    <row r="1359" ht="18" customHeight="1" spans="1:6">
      <c r="A1359" s="13" t="s">
        <v>1812</v>
      </c>
      <c r="B1359" s="13" t="s">
        <v>1813</v>
      </c>
      <c r="C1359" s="5" t="s">
        <v>1815</v>
      </c>
      <c r="D1359" s="15">
        <v>4</v>
      </c>
      <c r="E1359" s="5" t="str">
        <f>LEFT("420323196309286710",19)</f>
        <v>420323196309286710</v>
      </c>
      <c r="F1359" s="13" t="s">
        <v>11</v>
      </c>
    </row>
    <row r="1360" ht="18" customHeight="1" spans="1:6">
      <c r="A1360" s="13" t="s">
        <v>1812</v>
      </c>
      <c r="B1360" s="13" t="s">
        <v>1813</v>
      </c>
      <c r="C1360" s="5" t="s">
        <v>1816</v>
      </c>
      <c r="D1360" s="15">
        <v>6</v>
      </c>
      <c r="E1360" s="5" t="str">
        <f>LEFT("42032519740225231X",19)</f>
        <v>42032519740225231X</v>
      </c>
      <c r="F1360" s="13" t="s">
        <v>11</v>
      </c>
    </row>
    <row r="1361" ht="18" customHeight="1" spans="1:6">
      <c r="A1361" s="13" t="s">
        <v>1812</v>
      </c>
      <c r="B1361" s="13" t="s">
        <v>1813</v>
      </c>
      <c r="C1361" s="5" t="s">
        <v>1817</v>
      </c>
      <c r="D1361" s="15">
        <v>2</v>
      </c>
      <c r="E1361" s="5" t="str">
        <f>LEFT("220282197708132630",19)</f>
        <v>220282197708132630</v>
      </c>
      <c r="F1361" s="13" t="s">
        <v>11</v>
      </c>
    </row>
    <row r="1362" ht="18" customHeight="1" spans="1:6">
      <c r="A1362" s="13" t="s">
        <v>1812</v>
      </c>
      <c r="B1362" s="13" t="s">
        <v>1813</v>
      </c>
      <c r="C1362" s="5" t="s">
        <v>1818</v>
      </c>
      <c r="D1362" s="15">
        <v>5</v>
      </c>
      <c r="E1362" s="5" t="str">
        <f>LEFT("422626195502272313",19)</f>
        <v>422626195502272313</v>
      </c>
      <c r="F1362" s="13" t="s">
        <v>11</v>
      </c>
    </row>
    <row r="1363" ht="18" customHeight="1" spans="1:6">
      <c r="A1363" s="13" t="s">
        <v>1812</v>
      </c>
      <c r="B1363" s="13" t="s">
        <v>1813</v>
      </c>
      <c r="C1363" s="5" t="s">
        <v>1819</v>
      </c>
      <c r="D1363" s="15">
        <v>3</v>
      </c>
      <c r="E1363" s="5" t="str">
        <f>LEFT("422626195909042317",19)</f>
        <v>422626195909042317</v>
      </c>
      <c r="F1363" s="13" t="s">
        <v>11</v>
      </c>
    </row>
    <row r="1364" ht="18" customHeight="1" spans="1:6">
      <c r="A1364" s="13" t="s">
        <v>1812</v>
      </c>
      <c r="B1364" s="13" t="s">
        <v>1813</v>
      </c>
      <c r="C1364" s="5" t="s">
        <v>1820</v>
      </c>
      <c r="D1364" s="15">
        <v>5</v>
      </c>
      <c r="E1364" s="5" t="str">
        <f>LEFT("422626197607232317",19)</f>
        <v>422626197607232317</v>
      </c>
      <c r="F1364" s="13" t="s">
        <v>11</v>
      </c>
    </row>
    <row r="1365" ht="18" customHeight="1" spans="1:6">
      <c r="A1365" s="13" t="s">
        <v>1812</v>
      </c>
      <c r="B1365" s="13" t="s">
        <v>1813</v>
      </c>
      <c r="C1365" s="5" t="s">
        <v>1821</v>
      </c>
      <c r="D1365" s="15">
        <v>5</v>
      </c>
      <c r="E1365" s="5" t="str">
        <f>LEFT("422626197404182313",19)</f>
        <v>422626197404182313</v>
      </c>
      <c r="F1365" s="13" t="s">
        <v>11</v>
      </c>
    </row>
    <row r="1366" ht="18" customHeight="1" spans="1:6">
      <c r="A1366" s="13" t="s">
        <v>1812</v>
      </c>
      <c r="B1366" s="13" t="s">
        <v>1813</v>
      </c>
      <c r="C1366" s="5" t="s">
        <v>1822</v>
      </c>
      <c r="D1366" s="15">
        <v>3</v>
      </c>
      <c r="E1366" s="5" t="str">
        <f>LEFT("420325197709242335",19)</f>
        <v>420325197709242335</v>
      </c>
      <c r="F1366" s="13" t="s">
        <v>11</v>
      </c>
    </row>
    <row r="1367" ht="18" customHeight="1" spans="1:6">
      <c r="A1367" s="13" t="s">
        <v>1812</v>
      </c>
      <c r="B1367" s="13" t="s">
        <v>1813</v>
      </c>
      <c r="C1367" s="5" t="s">
        <v>1823</v>
      </c>
      <c r="D1367" s="15">
        <v>4</v>
      </c>
      <c r="E1367" s="5" t="str">
        <f>LEFT("420323196801135834",19)</f>
        <v>420323196801135834</v>
      </c>
      <c r="F1367" s="13" t="s">
        <v>11</v>
      </c>
    </row>
    <row r="1368" ht="18" customHeight="1" spans="1:6">
      <c r="A1368" s="13" t="s">
        <v>1812</v>
      </c>
      <c r="B1368" s="13" t="s">
        <v>1813</v>
      </c>
      <c r="C1368" s="5" t="s">
        <v>1824</v>
      </c>
      <c r="D1368" s="15">
        <v>3</v>
      </c>
      <c r="E1368" s="5" t="str">
        <f>LEFT("422626194903112324",19)</f>
        <v>422626194903112324</v>
      </c>
      <c r="F1368" s="13" t="s">
        <v>11</v>
      </c>
    </row>
    <row r="1369" ht="18" customHeight="1" spans="1:6">
      <c r="A1369" s="13" t="s">
        <v>1812</v>
      </c>
      <c r="B1369" s="13" t="s">
        <v>1813</v>
      </c>
      <c r="C1369" s="5" t="s">
        <v>1825</v>
      </c>
      <c r="D1369" s="15">
        <v>5</v>
      </c>
      <c r="E1369" s="5" t="str">
        <f>LEFT("420325197501012338",19)</f>
        <v>420325197501012338</v>
      </c>
      <c r="F1369" s="13" t="s">
        <v>11</v>
      </c>
    </row>
    <row r="1370" ht="18" customHeight="1" spans="1:6">
      <c r="A1370" s="13" t="s">
        <v>1812</v>
      </c>
      <c r="B1370" s="13" t="s">
        <v>1813</v>
      </c>
      <c r="C1370" s="5" t="s">
        <v>1826</v>
      </c>
      <c r="D1370" s="15">
        <v>2</v>
      </c>
      <c r="E1370" s="5" t="str">
        <f>LEFT("420325198411032321",19)</f>
        <v>420325198411032321</v>
      </c>
      <c r="F1370" s="13" t="s">
        <v>11</v>
      </c>
    </row>
    <row r="1371" ht="18" customHeight="1" spans="1:6">
      <c r="A1371" s="13" t="s">
        <v>1812</v>
      </c>
      <c r="B1371" s="13" t="s">
        <v>1827</v>
      </c>
      <c r="C1371" s="5" t="s">
        <v>1828</v>
      </c>
      <c r="D1371" s="15">
        <v>2</v>
      </c>
      <c r="E1371" s="5" t="str">
        <f>LEFT("420325199101112312",19)</f>
        <v>420325199101112312</v>
      </c>
      <c r="F1371" s="13" t="s">
        <v>11</v>
      </c>
    </row>
    <row r="1372" ht="18" customHeight="1" spans="1:6">
      <c r="A1372" s="13" t="s">
        <v>1812</v>
      </c>
      <c r="B1372" s="13" t="s">
        <v>1829</v>
      </c>
      <c r="C1372" s="5" t="s">
        <v>1830</v>
      </c>
      <c r="D1372" s="15">
        <v>4</v>
      </c>
      <c r="E1372" s="5" t="str">
        <f>LEFT("422626197107272312",19)</f>
        <v>422626197107272312</v>
      </c>
      <c r="F1372" s="13" t="s">
        <v>11</v>
      </c>
    </row>
    <row r="1373" ht="18" customHeight="1" spans="1:6">
      <c r="A1373" s="13" t="s">
        <v>1812</v>
      </c>
      <c r="B1373" s="13" t="s">
        <v>1829</v>
      </c>
      <c r="C1373" s="5" t="s">
        <v>1831</v>
      </c>
      <c r="D1373" s="15">
        <v>2</v>
      </c>
      <c r="E1373" s="5" t="str">
        <f>LEFT("420325198704282324",19)</f>
        <v>420325198704282324</v>
      </c>
      <c r="F1373" s="13" t="s">
        <v>11</v>
      </c>
    </row>
    <row r="1374" ht="18" customHeight="1" spans="1:6">
      <c r="A1374" s="13" t="s">
        <v>1812</v>
      </c>
      <c r="B1374" s="13" t="s">
        <v>1833</v>
      </c>
      <c r="C1374" s="5" t="s">
        <v>1834</v>
      </c>
      <c r="D1374" s="15">
        <v>4</v>
      </c>
      <c r="E1374" s="5" t="str">
        <f>LEFT("420325198612232338",19)</f>
        <v>420325198612232338</v>
      </c>
      <c r="F1374" s="13" t="s">
        <v>11</v>
      </c>
    </row>
    <row r="1375" ht="18" customHeight="1" spans="1:6">
      <c r="A1375" s="13" t="s">
        <v>1812</v>
      </c>
      <c r="B1375" s="13" t="s">
        <v>1833</v>
      </c>
      <c r="C1375" s="5" t="s">
        <v>1835</v>
      </c>
      <c r="D1375" s="15">
        <v>4</v>
      </c>
      <c r="E1375" s="5" t="str">
        <f>LEFT("422626196703212311",19)</f>
        <v>422626196703212311</v>
      </c>
      <c r="F1375" s="13" t="s">
        <v>11</v>
      </c>
    </row>
    <row r="1376" ht="18" customHeight="1" spans="1:6">
      <c r="A1376" s="13" t="s">
        <v>1812</v>
      </c>
      <c r="B1376" s="13" t="s">
        <v>1836</v>
      </c>
      <c r="C1376" s="5" t="s">
        <v>929</v>
      </c>
      <c r="D1376" s="15">
        <v>5</v>
      </c>
      <c r="E1376" s="5" t="str">
        <f>LEFT("422626197510242316",19)</f>
        <v>422626197510242316</v>
      </c>
      <c r="F1376" s="13" t="s">
        <v>11</v>
      </c>
    </row>
    <row r="1377" ht="18" customHeight="1" spans="1:6">
      <c r="A1377" s="13" t="s">
        <v>1812</v>
      </c>
      <c r="B1377" s="13" t="s">
        <v>1836</v>
      </c>
      <c r="C1377" s="5" t="s">
        <v>1837</v>
      </c>
      <c r="D1377" s="15">
        <v>6</v>
      </c>
      <c r="E1377" s="5" t="str">
        <f>LEFT("420325198009072317",19)</f>
        <v>420325198009072317</v>
      </c>
      <c r="F1377" s="13" t="s">
        <v>11</v>
      </c>
    </row>
    <row r="1378" ht="18" customHeight="1" spans="1:6">
      <c r="A1378" s="13" t="s">
        <v>1812</v>
      </c>
      <c r="B1378" s="13" t="s">
        <v>1836</v>
      </c>
      <c r="C1378" s="5" t="s">
        <v>1838</v>
      </c>
      <c r="D1378" s="15">
        <v>2</v>
      </c>
      <c r="E1378" s="5" t="str">
        <f>LEFT("42262619510416232X",19)</f>
        <v>42262619510416232X</v>
      </c>
      <c r="F1378" s="13" t="s">
        <v>11</v>
      </c>
    </row>
    <row r="1379" ht="18" customHeight="1" spans="1:6">
      <c r="A1379" s="13" t="s">
        <v>1812</v>
      </c>
      <c r="B1379" s="13" t="s">
        <v>1836</v>
      </c>
      <c r="C1379" s="5" t="s">
        <v>1839</v>
      </c>
      <c r="D1379" s="15">
        <v>2</v>
      </c>
      <c r="E1379" s="5" t="str">
        <f>LEFT("422626195703312318",19)</f>
        <v>422626195703312318</v>
      </c>
      <c r="F1379" s="13" t="s">
        <v>11</v>
      </c>
    </row>
    <row r="1380" ht="18" customHeight="1" spans="1:6">
      <c r="A1380" s="13" t="s">
        <v>1812</v>
      </c>
      <c r="B1380" s="13" t="s">
        <v>1836</v>
      </c>
      <c r="C1380" s="5" t="s">
        <v>1840</v>
      </c>
      <c r="D1380" s="15">
        <v>2</v>
      </c>
      <c r="E1380" s="5" t="str">
        <f>LEFT("422626194106042319",19)</f>
        <v>422626194106042319</v>
      </c>
      <c r="F1380" s="13" t="s">
        <v>11</v>
      </c>
    </row>
    <row r="1381" ht="18" customHeight="1" spans="1:6">
      <c r="A1381" s="13" t="s">
        <v>1812</v>
      </c>
      <c r="B1381" s="13" t="s">
        <v>1836</v>
      </c>
      <c r="C1381" s="5" t="s">
        <v>1841</v>
      </c>
      <c r="D1381" s="15">
        <v>3</v>
      </c>
      <c r="E1381" s="5" t="str">
        <f>LEFT("422626195612092313",19)</f>
        <v>422626195612092313</v>
      </c>
      <c r="F1381" s="13" t="s">
        <v>11</v>
      </c>
    </row>
    <row r="1382" ht="18" customHeight="1" spans="1:6">
      <c r="A1382" s="13" t="s">
        <v>1812</v>
      </c>
      <c r="B1382" s="13" t="s">
        <v>1842</v>
      </c>
      <c r="C1382" s="5" t="s">
        <v>1843</v>
      </c>
      <c r="D1382" s="15">
        <v>3</v>
      </c>
      <c r="E1382" s="5" t="str">
        <f>LEFT("420325198301142319",19)</f>
        <v>420325198301142319</v>
      </c>
      <c r="F1382" s="13" t="s">
        <v>11</v>
      </c>
    </row>
    <row r="1383" ht="18" customHeight="1" spans="1:6">
      <c r="A1383" s="13" t="s">
        <v>1812</v>
      </c>
      <c r="B1383" s="13" t="s">
        <v>1842</v>
      </c>
      <c r="C1383" s="5" t="s">
        <v>1844</v>
      </c>
      <c r="D1383" s="15">
        <v>2</v>
      </c>
      <c r="E1383" s="5" t="str">
        <f>LEFT("422626195705242333",19)</f>
        <v>422626195705242333</v>
      </c>
      <c r="F1383" s="13" t="s">
        <v>11</v>
      </c>
    </row>
    <row r="1384" ht="18" customHeight="1" spans="1:6">
      <c r="A1384" s="13" t="s">
        <v>1812</v>
      </c>
      <c r="B1384" s="13" t="s">
        <v>1842</v>
      </c>
      <c r="C1384" s="5" t="s">
        <v>1845</v>
      </c>
      <c r="D1384" s="15">
        <v>2</v>
      </c>
      <c r="E1384" s="5" t="str">
        <f>LEFT("422626195504022318",19)</f>
        <v>422626195504022318</v>
      </c>
      <c r="F1384" s="13" t="s">
        <v>11</v>
      </c>
    </row>
    <row r="1385" ht="18" customHeight="1" spans="1:6">
      <c r="A1385" s="13" t="s">
        <v>1812</v>
      </c>
      <c r="B1385" s="13" t="s">
        <v>2642</v>
      </c>
      <c r="C1385" s="13" t="s">
        <v>2643</v>
      </c>
      <c r="D1385" s="15">
        <v>1</v>
      </c>
      <c r="E1385" s="5" t="str">
        <f>LEFT("422626197011092333",19)</f>
        <v>422626197011092333</v>
      </c>
      <c r="F1385" s="13" t="s">
        <v>11</v>
      </c>
    </row>
    <row r="1386" ht="18" customHeight="1" spans="1:6">
      <c r="A1386" s="13" t="s">
        <v>1812</v>
      </c>
      <c r="B1386" s="13" t="s">
        <v>2644</v>
      </c>
      <c r="C1386" s="15" t="s">
        <v>2645</v>
      </c>
      <c r="D1386" s="15">
        <v>1</v>
      </c>
      <c r="E1386" s="5" t="str">
        <f>LEFT("422626195112172317",19)</f>
        <v>422626195112172317</v>
      </c>
      <c r="F1386" s="13" t="s">
        <v>11</v>
      </c>
    </row>
    <row r="1387" ht="18" customHeight="1" spans="1:6">
      <c r="A1387" s="13" t="s">
        <v>1812</v>
      </c>
      <c r="B1387" s="13" t="s">
        <v>2646</v>
      </c>
      <c r="C1387" s="15" t="s">
        <v>2647</v>
      </c>
      <c r="D1387" s="15">
        <v>1</v>
      </c>
      <c r="E1387" s="5" t="str">
        <f>LEFT("42262619371117231X",19)</f>
        <v>42262619371117231X</v>
      </c>
      <c r="F1387" s="13" t="s">
        <v>11</v>
      </c>
    </row>
    <row r="1388" ht="18" customHeight="1" spans="1:6">
      <c r="A1388" s="13" t="s">
        <v>1812</v>
      </c>
      <c r="B1388" s="13" t="s">
        <v>2644</v>
      </c>
      <c r="C1388" s="15" t="s">
        <v>2648</v>
      </c>
      <c r="D1388" s="15">
        <v>2</v>
      </c>
      <c r="E1388" s="5" t="str">
        <f>LEFT("422624194906145516",19)</f>
        <v>422624194906145516</v>
      </c>
      <c r="F1388" s="13" t="s">
        <v>11</v>
      </c>
    </row>
    <row r="1389" ht="18" customHeight="1" spans="1:6">
      <c r="A1389" s="13" t="s">
        <v>1812</v>
      </c>
      <c r="B1389" s="13" t="s">
        <v>2646</v>
      </c>
      <c r="C1389" s="15" t="s">
        <v>2649</v>
      </c>
      <c r="D1389" s="15">
        <v>1</v>
      </c>
      <c r="E1389" s="5" t="str">
        <f>LEFT("42262619620603231X",19)</f>
        <v>42262619620603231X</v>
      </c>
      <c r="F1389" s="13" t="s">
        <v>11</v>
      </c>
    </row>
    <row r="1390" ht="18" customHeight="1" spans="1:6">
      <c r="A1390" s="13" t="s">
        <v>1812</v>
      </c>
      <c r="B1390" s="13" t="s">
        <v>2650</v>
      </c>
      <c r="C1390" s="15" t="s">
        <v>2647</v>
      </c>
      <c r="D1390" s="15">
        <v>2</v>
      </c>
      <c r="E1390" s="5" t="str">
        <f>LEFT("422626195411052331",19)</f>
        <v>422626195411052331</v>
      </c>
      <c r="F1390" s="13" t="s">
        <v>11</v>
      </c>
    </row>
    <row r="1391" ht="18" customHeight="1" spans="1:6">
      <c r="A1391" s="13" t="s">
        <v>1812</v>
      </c>
      <c r="B1391" s="13" t="s">
        <v>2650</v>
      </c>
      <c r="C1391" s="15" t="s">
        <v>2651</v>
      </c>
      <c r="D1391" s="15">
        <v>1</v>
      </c>
      <c r="E1391" s="5" t="str">
        <f>LEFT("422626194510152317",19)</f>
        <v>422626194510152317</v>
      </c>
      <c r="F1391" s="13" t="s">
        <v>11</v>
      </c>
    </row>
    <row r="1392" ht="18" customHeight="1" spans="1:6">
      <c r="A1392" s="13" t="s">
        <v>1812</v>
      </c>
      <c r="B1392" s="13" t="s">
        <v>2650</v>
      </c>
      <c r="C1392" s="15" t="s">
        <v>2652</v>
      </c>
      <c r="D1392" s="15">
        <v>1</v>
      </c>
      <c r="E1392" s="5" t="str">
        <f>LEFT("422626195512252316",19)</f>
        <v>422626195512252316</v>
      </c>
      <c r="F1392" s="13" t="s">
        <v>11</v>
      </c>
    </row>
    <row r="1393" ht="18" customHeight="1" spans="1:6">
      <c r="A1393" s="13" t="s">
        <v>1812</v>
      </c>
      <c r="B1393" s="13" t="s">
        <v>2653</v>
      </c>
      <c r="C1393" s="5" t="s">
        <v>2654</v>
      </c>
      <c r="D1393" s="6">
        <v>2</v>
      </c>
      <c r="E1393" s="5">
        <v>4.22626194910201e+17</v>
      </c>
      <c r="F1393" s="13" t="s">
        <v>11</v>
      </c>
    </row>
    <row r="1394" ht="18" customHeight="1" spans="1:6">
      <c r="A1394" s="13" t="s">
        <v>1812</v>
      </c>
      <c r="B1394" s="13" t="s">
        <v>2653</v>
      </c>
      <c r="C1394" s="5" t="s">
        <v>877</v>
      </c>
      <c r="D1394" s="15">
        <v>3</v>
      </c>
      <c r="E1394" s="5">
        <v>4.22626196905122e+17</v>
      </c>
      <c r="F1394" s="13" t="s">
        <v>11</v>
      </c>
    </row>
    <row r="1395" ht="18" customHeight="1" spans="1:6">
      <c r="A1395" s="13" t="s">
        <v>1812</v>
      </c>
      <c r="B1395" s="13" t="s">
        <v>2653</v>
      </c>
      <c r="C1395" s="5" t="s">
        <v>2655</v>
      </c>
      <c r="D1395" s="15">
        <v>4</v>
      </c>
      <c r="E1395" s="5" t="s">
        <v>2656</v>
      </c>
      <c r="F1395" s="13" t="s">
        <v>11</v>
      </c>
    </row>
    <row r="1396" ht="18" customHeight="1" spans="1:6">
      <c r="A1396" s="13" t="s">
        <v>1812</v>
      </c>
      <c r="B1396" s="13" t="s">
        <v>2653</v>
      </c>
      <c r="C1396" s="5" t="s">
        <v>2657</v>
      </c>
      <c r="D1396" s="15">
        <v>5</v>
      </c>
      <c r="E1396" s="5">
        <v>4.20325197811082e+17</v>
      </c>
      <c r="F1396" s="13" t="s">
        <v>11</v>
      </c>
    </row>
    <row r="1397" ht="18" customHeight="1" spans="1:6">
      <c r="A1397" s="13" t="s">
        <v>1812</v>
      </c>
      <c r="B1397" s="13" t="s">
        <v>2653</v>
      </c>
      <c r="C1397" s="5" t="s">
        <v>2658</v>
      </c>
      <c r="D1397" s="15">
        <v>3</v>
      </c>
      <c r="E1397" s="5">
        <v>4.2032319690614e+17</v>
      </c>
      <c r="F1397" s="13" t="s">
        <v>11</v>
      </c>
    </row>
    <row r="1398" ht="18" customHeight="1" spans="1:6">
      <c r="A1398" s="13" t="s">
        <v>1812</v>
      </c>
      <c r="B1398" s="13" t="s">
        <v>2653</v>
      </c>
      <c r="C1398" s="5" t="s">
        <v>2659</v>
      </c>
      <c r="D1398" s="15">
        <v>3</v>
      </c>
      <c r="E1398" s="5">
        <v>4.20325198101282e+17</v>
      </c>
      <c r="F1398" s="13" t="s">
        <v>11</v>
      </c>
    </row>
    <row r="1399" ht="18" customHeight="1" spans="1:6">
      <c r="A1399" s="13" t="s">
        <v>1812</v>
      </c>
      <c r="B1399" s="13" t="s">
        <v>2653</v>
      </c>
      <c r="C1399" s="5" t="s">
        <v>2660</v>
      </c>
      <c r="D1399" s="15">
        <v>2</v>
      </c>
      <c r="E1399" s="5">
        <v>4.20325195105282e+17</v>
      </c>
      <c r="F1399" s="13" t="s">
        <v>11</v>
      </c>
    </row>
    <row r="1400" ht="18" customHeight="1" spans="1:6">
      <c r="A1400" s="13" t="s">
        <v>1812</v>
      </c>
      <c r="B1400" s="13" t="s">
        <v>2653</v>
      </c>
      <c r="C1400" s="5" t="s">
        <v>2661</v>
      </c>
      <c r="D1400" s="15">
        <v>6</v>
      </c>
      <c r="E1400" s="5">
        <v>4.22626195603192e+17</v>
      </c>
      <c r="F1400" s="13" t="s">
        <v>11</v>
      </c>
    </row>
    <row r="1401" ht="18" customHeight="1" spans="1:6">
      <c r="A1401" s="13" t="s">
        <v>1812</v>
      </c>
      <c r="B1401" s="13" t="s">
        <v>2653</v>
      </c>
      <c r="C1401" s="5" t="s">
        <v>2662</v>
      </c>
      <c r="D1401" s="15">
        <v>5</v>
      </c>
      <c r="E1401" s="5">
        <v>4.20325198103202e+17</v>
      </c>
      <c r="F1401" s="13" t="s">
        <v>11</v>
      </c>
    </row>
    <row r="1402" ht="18" customHeight="1" spans="1:6">
      <c r="A1402" s="13" t="s">
        <v>1812</v>
      </c>
      <c r="B1402" s="13" t="s">
        <v>2653</v>
      </c>
      <c r="C1402" s="5" t="s">
        <v>2663</v>
      </c>
      <c r="D1402" s="15">
        <v>3</v>
      </c>
      <c r="E1402" s="5">
        <v>4.22626193503152e+17</v>
      </c>
      <c r="F1402" s="13" t="s">
        <v>11</v>
      </c>
    </row>
    <row r="1403" ht="18" customHeight="1" spans="1:6">
      <c r="A1403" s="13" t="s">
        <v>1812</v>
      </c>
      <c r="B1403" s="13" t="s">
        <v>2653</v>
      </c>
      <c r="C1403" s="5" t="s">
        <v>2664</v>
      </c>
      <c r="D1403" s="15">
        <v>1</v>
      </c>
      <c r="E1403" s="5">
        <v>4.20325196906012e+17</v>
      </c>
      <c r="F1403" s="13" t="s">
        <v>11</v>
      </c>
    </row>
    <row r="1404" ht="18" customHeight="1" spans="1:6">
      <c r="A1404" s="13" t="s">
        <v>1812</v>
      </c>
      <c r="B1404" s="13" t="s">
        <v>2653</v>
      </c>
      <c r="C1404" s="5" t="s">
        <v>2665</v>
      </c>
      <c r="D1404" s="15">
        <v>2</v>
      </c>
      <c r="E1404" s="5">
        <v>4.22626195802172e+17</v>
      </c>
      <c r="F1404" s="13" t="s">
        <v>11</v>
      </c>
    </row>
    <row r="1405" ht="18" customHeight="1" spans="1:6">
      <c r="A1405" s="13" t="s">
        <v>1812</v>
      </c>
      <c r="B1405" s="13" t="s">
        <v>2666</v>
      </c>
      <c r="C1405" s="10" t="s">
        <v>2667</v>
      </c>
      <c r="D1405" s="11" t="s">
        <v>2668</v>
      </c>
      <c r="E1405" s="10" t="s">
        <v>2669</v>
      </c>
      <c r="F1405" s="13" t="s">
        <v>11</v>
      </c>
    </row>
    <row r="1406" ht="18" customHeight="1" spans="1:6">
      <c r="A1406" s="13" t="s">
        <v>1812</v>
      </c>
      <c r="B1406" s="13" t="s">
        <v>2670</v>
      </c>
      <c r="C1406" s="10" t="s">
        <v>2671</v>
      </c>
      <c r="D1406" s="11" t="s">
        <v>2046</v>
      </c>
      <c r="E1406" s="10" t="s">
        <v>2672</v>
      </c>
      <c r="F1406" s="13" t="s">
        <v>11</v>
      </c>
    </row>
    <row r="1407" ht="18" customHeight="1" spans="1:6">
      <c r="A1407" s="13" t="s">
        <v>1812</v>
      </c>
      <c r="B1407" s="13" t="s">
        <v>2666</v>
      </c>
      <c r="C1407" s="10" t="s">
        <v>2673</v>
      </c>
      <c r="D1407" s="11" t="s">
        <v>2668</v>
      </c>
      <c r="E1407" s="10" t="s">
        <v>2674</v>
      </c>
      <c r="F1407" s="13" t="s">
        <v>11</v>
      </c>
    </row>
    <row r="1408" ht="18" customHeight="1" spans="1:6">
      <c r="A1408" s="13" t="s">
        <v>1812</v>
      </c>
      <c r="B1408" s="13" t="s">
        <v>2666</v>
      </c>
      <c r="C1408" s="10" t="s">
        <v>2675</v>
      </c>
      <c r="D1408" s="11" t="s">
        <v>2056</v>
      </c>
      <c r="E1408" s="10" t="s">
        <v>2676</v>
      </c>
      <c r="F1408" s="13" t="s">
        <v>11</v>
      </c>
    </row>
    <row r="1409" ht="18" customHeight="1" spans="1:6">
      <c r="A1409" s="13" t="s">
        <v>1812</v>
      </c>
      <c r="B1409" s="13" t="s">
        <v>2677</v>
      </c>
      <c r="C1409" s="10" t="s">
        <v>2678</v>
      </c>
      <c r="D1409" s="11" t="s">
        <v>2065</v>
      </c>
      <c r="E1409" s="10" t="s">
        <v>2679</v>
      </c>
      <c r="F1409" s="13" t="s">
        <v>11</v>
      </c>
    </row>
    <row r="1410" ht="18" customHeight="1" spans="1:6">
      <c r="A1410" s="13" t="s">
        <v>1812</v>
      </c>
      <c r="B1410" s="13" t="s">
        <v>2666</v>
      </c>
      <c r="C1410" s="10" t="s">
        <v>2680</v>
      </c>
      <c r="D1410" s="11" t="s">
        <v>2046</v>
      </c>
      <c r="E1410" s="10" t="s">
        <v>2681</v>
      </c>
      <c r="F1410" s="13" t="s">
        <v>11</v>
      </c>
    </row>
    <row r="1411" ht="18" customHeight="1" spans="1:6">
      <c r="A1411" s="13" t="s">
        <v>1812</v>
      </c>
      <c r="B1411" s="13" t="s">
        <v>2677</v>
      </c>
      <c r="C1411" s="10" t="s">
        <v>2682</v>
      </c>
      <c r="D1411" s="11" t="s">
        <v>2043</v>
      </c>
      <c r="E1411" s="10" t="s">
        <v>2683</v>
      </c>
      <c r="F1411" s="13" t="s">
        <v>11</v>
      </c>
    </row>
    <row r="1412" ht="18" customHeight="1" spans="1:6">
      <c r="A1412" s="13" t="s">
        <v>1812</v>
      </c>
      <c r="B1412" s="13" t="s">
        <v>2670</v>
      </c>
      <c r="C1412" s="10" t="s">
        <v>2684</v>
      </c>
      <c r="D1412" s="11" t="s">
        <v>2065</v>
      </c>
      <c r="E1412" s="10" t="s">
        <v>2685</v>
      </c>
      <c r="F1412" s="13" t="s">
        <v>11</v>
      </c>
    </row>
    <row r="1413" ht="18" customHeight="1" spans="1:6">
      <c r="A1413" s="13" t="s">
        <v>1812</v>
      </c>
      <c r="B1413" s="13" t="s">
        <v>2666</v>
      </c>
      <c r="C1413" s="10" t="s">
        <v>2686</v>
      </c>
      <c r="D1413" s="11" t="s">
        <v>2687</v>
      </c>
      <c r="E1413" s="10" t="s">
        <v>2688</v>
      </c>
      <c r="F1413" s="13" t="s">
        <v>11</v>
      </c>
    </row>
    <row r="1414" ht="18" customHeight="1" spans="1:6">
      <c r="A1414" s="13" t="s">
        <v>1812</v>
      </c>
      <c r="B1414" s="13" t="s">
        <v>2666</v>
      </c>
      <c r="C1414" s="10" t="s">
        <v>2689</v>
      </c>
      <c r="D1414" s="11" t="s">
        <v>2046</v>
      </c>
      <c r="E1414" s="10" t="s">
        <v>2690</v>
      </c>
      <c r="F1414" s="13" t="s">
        <v>11</v>
      </c>
    </row>
    <row r="1415" ht="18" customHeight="1" spans="1:6">
      <c r="A1415" s="13" t="s">
        <v>1812</v>
      </c>
      <c r="B1415" s="13" t="s">
        <v>2670</v>
      </c>
      <c r="C1415" s="10" t="s">
        <v>2691</v>
      </c>
      <c r="D1415" s="11" t="s">
        <v>2046</v>
      </c>
      <c r="E1415" s="10" t="s">
        <v>2692</v>
      </c>
      <c r="F1415" s="13" t="s">
        <v>11</v>
      </c>
    </row>
    <row r="1416" ht="18" customHeight="1" spans="1:6">
      <c r="A1416" s="13" t="s">
        <v>1812</v>
      </c>
      <c r="B1416" s="13" t="s">
        <v>2666</v>
      </c>
      <c r="C1416" s="10" t="s">
        <v>2693</v>
      </c>
      <c r="D1416" s="11" t="s">
        <v>2043</v>
      </c>
      <c r="E1416" s="10" t="s">
        <v>2694</v>
      </c>
      <c r="F1416" s="13" t="s">
        <v>11</v>
      </c>
    </row>
    <row r="1417" ht="18" customHeight="1" spans="1:6">
      <c r="A1417" s="13" t="s">
        <v>1812</v>
      </c>
      <c r="B1417" s="13" t="s">
        <v>2677</v>
      </c>
      <c r="C1417" s="10" t="s">
        <v>2695</v>
      </c>
      <c r="D1417" s="11" t="s">
        <v>2065</v>
      </c>
      <c r="E1417" s="10" t="s">
        <v>2696</v>
      </c>
      <c r="F1417" s="13" t="s">
        <v>11</v>
      </c>
    </row>
    <row r="1418" ht="18" customHeight="1" spans="1:6">
      <c r="A1418" s="13" t="s">
        <v>1812</v>
      </c>
      <c r="B1418" s="13" t="s">
        <v>2670</v>
      </c>
      <c r="C1418" s="10" t="s">
        <v>2697</v>
      </c>
      <c r="D1418" s="11" t="s">
        <v>2046</v>
      </c>
      <c r="E1418" s="10" t="s">
        <v>2698</v>
      </c>
      <c r="F1418" s="13" t="s">
        <v>11</v>
      </c>
    </row>
    <row r="1419" ht="18" customHeight="1" spans="1:6">
      <c r="A1419" s="13" t="s">
        <v>1812</v>
      </c>
      <c r="B1419" s="13" t="s">
        <v>2666</v>
      </c>
      <c r="C1419" s="10" t="s">
        <v>2699</v>
      </c>
      <c r="D1419" s="11" t="s">
        <v>2053</v>
      </c>
      <c r="E1419" s="10" t="s">
        <v>2700</v>
      </c>
      <c r="F1419" s="13" t="s">
        <v>11</v>
      </c>
    </row>
    <row r="1420" ht="18" customHeight="1" spans="1:6">
      <c r="A1420" s="13" t="s">
        <v>1812</v>
      </c>
      <c r="B1420" s="13" t="s">
        <v>2666</v>
      </c>
      <c r="C1420" s="10" t="s">
        <v>2085</v>
      </c>
      <c r="D1420" s="11" t="s">
        <v>2053</v>
      </c>
      <c r="E1420" s="10" t="s">
        <v>2701</v>
      </c>
      <c r="F1420" s="13" t="s">
        <v>11</v>
      </c>
    </row>
    <row r="1421" ht="18" customHeight="1" spans="1:6">
      <c r="A1421" s="13" t="s">
        <v>1812</v>
      </c>
      <c r="B1421" s="13" t="s">
        <v>2666</v>
      </c>
      <c r="C1421" s="10" t="s">
        <v>2702</v>
      </c>
      <c r="D1421" s="11" t="s">
        <v>2043</v>
      </c>
      <c r="E1421" s="10" t="s">
        <v>2703</v>
      </c>
      <c r="F1421" s="13" t="s">
        <v>11</v>
      </c>
    </row>
    <row r="1422" ht="18" customHeight="1" spans="1:6">
      <c r="A1422" s="13" t="s">
        <v>1812</v>
      </c>
      <c r="B1422" s="13" t="s">
        <v>2670</v>
      </c>
      <c r="C1422" s="10" t="s">
        <v>2704</v>
      </c>
      <c r="D1422" s="11" t="s">
        <v>2053</v>
      </c>
      <c r="E1422" s="10" t="s">
        <v>2705</v>
      </c>
      <c r="F1422" s="13" t="s">
        <v>11</v>
      </c>
    </row>
    <row r="1423" ht="18" customHeight="1" spans="1:6">
      <c r="A1423" s="13" t="s">
        <v>1812</v>
      </c>
      <c r="B1423" s="13" t="s">
        <v>2666</v>
      </c>
      <c r="C1423" s="10" t="s">
        <v>2706</v>
      </c>
      <c r="D1423" s="11" t="s">
        <v>2056</v>
      </c>
      <c r="E1423" s="10" t="s">
        <v>2707</v>
      </c>
      <c r="F1423" s="13" t="s">
        <v>11</v>
      </c>
    </row>
    <row r="1424" ht="18" customHeight="1" spans="1:6">
      <c r="A1424" s="13" t="s">
        <v>1812</v>
      </c>
      <c r="B1424" s="13" t="s">
        <v>2666</v>
      </c>
      <c r="C1424" s="10" t="s">
        <v>2708</v>
      </c>
      <c r="D1424" s="11" t="s">
        <v>2065</v>
      </c>
      <c r="E1424" s="10" t="s">
        <v>2709</v>
      </c>
      <c r="F1424" s="13" t="s">
        <v>11</v>
      </c>
    </row>
    <row r="1425" ht="18" customHeight="1" spans="1:6">
      <c r="A1425" s="13" t="s">
        <v>1812</v>
      </c>
      <c r="B1425" s="13" t="s">
        <v>2666</v>
      </c>
      <c r="C1425" s="10" t="s">
        <v>2710</v>
      </c>
      <c r="D1425" s="11" t="s">
        <v>2065</v>
      </c>
      <c r="E1425" s="10" t="s">
        <v>2711</v>
      </c>
      <c r="F1425" s="13" t="s">
        <v>11</v>
      </c>
    </row>
    <row r="1426" ht="18" customHeight="1" spans="1:6">
      <c r="A1426" s="13" t="s">
        <v>1812</v>
      </c>
      <c r="B1426" s="13" t="s">
        <v>2670</v>
      </c>
      <c r="C1426" s="10" t="s">
        <v>2712</v>
      </c>
      <c r="D1426" s="11" t="s">
        <v>2043</v>
      </c>
      <c r="E1426" s="10" t="s">
        <v>2713</v>
      </c>
      <c r="F1426" s="13" t="s">
        <v>11</v>
      </c>
    </row>
    <row r="1427" ht="18" customHeight="1" spans="1:6">
      <c r="A1427" s="13" t="s">
        <v>1812</v>
      </c>
      <c r="B1427" s="13" t="s">
        <v>2670</v>
      </c>
      <c r="C1427" s="10" t="s">
        <v>2714</v>
      </c>
      <c r="D1427" s="11" t="s">
        <v>2053</v>
      </c>
      <c r="E1427" s="10" t="s">
        <v>2715</v>
      </c>
      <c r="F1427" s="13" t="s">
        <v>11</v>
      </c>
    </row>
    <row r="1428" ht="18" customHeight="1" spans="1:6">
      <c r="A1428" s="13" t="s">
        <v>1812</v>
      </c>
      <c r="B1428" s="13" t="s">
        <v>2670</v>
      </c>
      <c r="C1428" s="10" t="s">
        <v>2716</v>
      </c>
      <c r="D1428" s="11" t="s">
        <v>2065</v>
      </c>
      <c r="E1428" s="10" t="s">
        <v>2717</v>
      </c>
      <c r="F1428" s="13" t="s">
        <v>11</v>
      </c>
    </row>
    <row r="1429" ht="18" customHeight="1" spans="1:6">
      <c r="A1429" s="13" t="s">
        <v>1812</v>
      </c>
      <c r="B1429" s="13" t="s">
        <v>2670</v>
      </c>
      <c r="C1429" s="10" t="s">
        <v>2718</v>
      </c>
      <c r="D1429" s="11" t="s">
        <v>2043</v>
      </c>
      <c r="E1429" s="10" t="s">
        <v>2719</v>
      </c>
      <c r="F1429" s="13" t="s">
        <v>11</v>
      </c>
    </row>
    <row r="1430" ht="18" customHeight="1" spans="1:6">
      <c r="A1430" s="13" t="s">
        <v>1812</v>
      </c>
      <c r="B1430" s="13" t="s">
        <v>2677</v>
      </c>
      <c r="C1430" s="10" t="s">
        <v>2720</v>
      </c>
      <c r="D1430" s="11" t="s">
        <v>2065</v>
      </c>
      <c r="E1430" s="10" t="s">
        <v>2721</v>
      </c>
      <c r="F1430" s="13" t="s">
        <v>11</v>
      </c>
    </row>
    <row r="1431" ht="18" customHeight="1" spans="1:6">
      <c r="A1431" s="13" t="s">
        <v>1812</v>
      </c>
      <c r="B1431" s="13" t="s">
        <v>2677</v>
      </c>
      <c r="C1431" s="10" t="s">
        <v>2722</v>
      </c>
      <c r="D1431" s="11" t="s">
        <v>2046</v>
      </c>
      <c r="E1431" s="10" t="s">
        <v>2723</v>
      </c>
      <c r="F1431" s="13" t="s">
        <v>11</v>
      </c>
    </row>
    <row r="1432" ht="18" customHeight="1" spans="1:6">
      <c r="A1432" s="13" t="s">
        <v>1812</v>
      </c>
      <c r="B1432" s="13" t="s">
        <v>2677</v>
      </c>
      <c r="C1432" s="10" t="s">
        <v>2724</v>
      </c>
      <c r="D1432" s="11" t="s">
        <v>2046</v>
      </c>
      <c r="E1432" s="10" t="s">
        <v>2725</v>
      </c>
      <c r="F1432" s="13" t="s">
        <v>11</v>
      </c>
    </row>
    <row r="1433" ht="18" customHeight="1" spans="1:6">
      <c r="A1433" s="13" t="s">
        <v>1812</v>
      </c>
      <c r="B1433" s="13" t="s">
        <v>2666</v>
      </c>
      <c r="C1433" s="10" t="s">
        <v>2726</v>
      </c>
      <c r="D1433" s="11" t="s">
        <v>2046</v>
      </c>
      <c r="E1433" s="10" t="s">
        <v>2727</v>
      </c>
      <c r="F1433" s="13" t="s">
        <v>11</v>
      </c>
    </row>
    <row r="1434" ht="18" customHeight="1" spans="1:6">
      <c r="A1434" s="13" t="s">
        <v>1812</v>
      </c>
      <c r="B1434" s="13" t="s">
        <v>2666</v>
      </c>
      <c r="C1434" s="10" t="s">
        <v>2728</v>
      </c>
      <c r="D1434" s="11" t="s">
        <v>2046</v>
      </c>
      <c r="E1434" s="10" t="s">
        <v>2729</v>
      </c>
      <c r="F1434" s="13" t="s">
        <v>11</v>
      </c>
    </row>
    <row r="1435" ht="18" customHeight="1" spans="1:6">
      <c r="A1435" s="13" t="s">
        <v>1812</v>
      </c>
      <c r="B1435" s="13" t="s">
        <v>2666</v>
      </c>
      <c r="C1435" s="10" t="s">
        <v>2730</v>
      </c>
      <c r="D1435" s="11" t="s">
        <v>2056</v>
      </c>
      <c r="E1435" s="10" t="s">
        <v>2731</v>
      </c>
      <c r="F1435" s="13" t="s">
        <v>11</v>
      </c>
    </row>
    <row r="1436" ht="18" customHeight="1" spans="1:6">
      <c r="A1436" s="13" t="s">
        <v>1812</v>
      </c>
      <c r="B1436" s="13" t="s">
        <v>2666</v>
      </c>
      <c r="C1436" s="10" t="s">
        <v>2732</v>
      </c>
      <c r="D1436" s="11" t="s">
        <v>2046</v>
      </c>
      <c r="E1436" s="10" t="s">
        <v>2733</v>
      </c>
      <c r="F1436" s="13" t="s">
        <v>11</v>
      </c>
    </row>
    <row r="1437" ht="18" customHeight="1" spans="1:6">
      <c r="A1437" s="13" t="s">
        <v>1812</v>
      </c>
      <c r="B1437" s="13" t="s">
        <v>2670</v>
      </c>
      <c r="C1437" s="10" t="s">
        <v>2734</v>
      </c>
      <c r="D1437" s="11" t="s">
        <v>2053</v>
      </c>
      <c r="E1437" s="10" t="s">
        <v>2735</v>
      </c>
      <c r="F1437" s="13" t="s">
        <v>11</v>
      </c>
    </row>
    <row r="1438" ht="18" customHeight="1" spans="1:6">
      <c r="A1438" s="13" t="s">
        <v>1812</v>
      </c>
      <c r="B1438" s="13" t="s">
        <v>2666</v>
      </c>
      <c r="C1438" s="10" t="s">
        <v>2736</v>
      </c>
      <c r="D1438" s="11" t="s">
        <v>2053</v>
      </c>
      <c r="E1438" s="10" t="s">
        <v>2737</v>
      </c>
      <c r="F1438" s="13" t="s">
        <v>11</v>
      </c>
    </row>
    <row r="1439" ht="18" customHeight="1" spans="1:6">
      <c r="A1439" s="13" t="s">
        <v>1812</v>
      </c>
      <c r="B1439" s="13" t="s">
        <v>2738</v>
      </c>
      <c r="C1439" s="10" t="s">
        <v>2739</v>
      </c>
      <c r="D1439" s="15">
        <v>1</v>
      </c>
      <c r="E1439" s="10" t="s">
        <v>2740</v>
      </c>
      <c r="F1439" s="13" t="s">
        <v>11</v>
      </c>
    </row>
    <row r="1440" ht="18" customHeight="1" spans="1:6">
      <c r="A1440" s="13" t="s">
        <v>1812</v>
      </c>
      <c r="B1440" s="13" t="s">
        <v>2738</v>
      </c>
      <c r="C1440" s="10" t="s">
        <v>2741</v>
      </c>
      <c r="D1440" s="15">
        <v>4</v>
      </c>
      <c r="E1440" s="5" t="str">
        <f>LEFT("422626196110292336",19)</f>
        <v>422626196110292336</v>
      </c>
      <c r="F1440" s="13" t="s">
        <v>11</v>
      </c>
    </row>
    <row r="1441" ht="18" customHeight="1" spans="1:6">
      <c r="A1441" s="13" t="s">
        <v>1812</v>
      </c>
      <c r="B1441" s="13" t="s">
        <v>2738</v>
      </c>
      <c r="C1441" s="10" t="s">
        <v>2742</v>
      </c>
      <c r="D1441" s="15">
        <v>4</v>
      </c>
      <c r="E1441" s="5" t="str">
        <f>LEFT("420325197307132336",19)</f>
        <v>420325197307132336</v>
      </c>
      <c r="F1441" s="13" t="s">
        <v>11</v>
      </c>
    </row>
    <row r="1442" ht="18" customHeight="1" spans="1:6">
      <c r="A1442" s="13" t="s">
        <v>1812</v>
      </c>
      <c r="B1442" s="13" t="s">
        <v>2743</v>
      </c>
      <c r="C1442" s="10" t="s">
        <v>2744</v>
      </c>
      <c r="D1442" s="15">
        <v>5</v>
      </c>
      <c r="E1442" s="5" t="str">
        <f>LEFT("422626196609192334",19)</f>
        <v>422626196609192334</v>
      </c>
      <c r="F1442" s="13" t="s">
        <v>11</v>
      </c>
    </row>
    <row r="1443" ht="18" customHeight="1" spans="1:6">
      <c r="A1443" s="13" t="s">
        <v>1812</v>
      </c>
      <c r="B1443" s="13" t="s">
        <v>2743</v>
      </c>
      <c r="C1443" s="10" t="s">
        <v>2745</v>
      </c>
      <c r="D1443" s="15">
        <v>4</v>
      </c>
      <c r="E1443" s="5" t="str">
        <f>LEFT("422626196308222333",19)</f>
        <v>422626196308222333</v>
      </c>
      <c r="F1443" s="13" t="s">
        <v>11</v>
      </c>
    </row>
    <row r="1444" ht="18" customHeight="1" spans="1:6">
      <c r="A1444" s="13" t="s">
        <v>1812</v>
      </c>
      <c r="B1444" s="13" t="s">
        <v>2743</v>
      </c>
      <c r="C1444" s="10" t="s">
        <v>2746</v>
      </c>
      <c r="D1444" s="15">
        <v>4</v>
      </c>
      <c r="E1444" s="179" t="s">
        <v>2747</v>
      </c>
      <c r="F1444" s="13" t="s">
        <v>11</v>
      </c>
    </row>
    <row r="1445" ht="18" customHeight="1" spans="1:6">
      <c r="A1445" s="13" t="s">
        <v>1812</v>
      </c>
      <c r="B1445" s="13" t="s">
        <v>2748</v>
      </c>
      <c r="C1445" s="10" t="s">
        <v>2749</v>
      </c>
      <c r="D1445" s="15">
        <v>3</v>
      </c>
      <c r="E1445" s="5" t="str">
        <f>LEFT("420325196504262311",19)</f>
        <v>420325196504262311</v>
      </c>
      <c r="F1445" s="13" t="s">
        <v>11</v>
      </c>
    </row>
    <row r="1446" ht="18" customHeight="1" spans="1:6">
      <c r="A1446" s="13" t="s">
        <v>1812</v>
      </c>
      <c r="B1446" s="13" t="s">
        <v>2743</v>
      </c>
      <c r="C1446" s="10" t="s">
        <v>2750</v>
      </c>
      <c r="D1446" s="15">
        <v>4</v>
      </c>
      <c r="E1446" s="5" t="str">
        <f>LEFT("420325197509042371",19)</f>
        <v>420325197509042371</v>
      </c>
      <c r="F1446" s="13" t="s">
        <v>11</v>
      </c>
    </row>
    <row r="1447" ht="18" customHeight="1" spans="1:6">
      <c r="A1447" s="13" t="s">
        <v>1812</v>
      </c>
      <c r="B1447" s="13" t="s">
        <v>2743</v>
      </c>
      <c r="C1447" s="5" t="s">
        <v>2751</v>
      </c>
      <c r="D1447" s="15">
        <v>5</v>
      </c>
      <c r="E1447" s="179" t="s">
        <v>2752</v>
      </c>
      <c r="F1447" s="13" t="s">
        <v>11</v>
      </c>
    </row>
    <row r="1448" ht="18" customHeight="1" spans="1:6">
      <c r="A1448" s="13" t="s">
        <v>1812</v>
      </c>
      <c r="B1448" s="13" t="s">
        <v>2743</v>
      </c>
      <c r="C1448" s="10" t="s">
        <v>2753</v>
      </c>
      <c r="D1448" s="15">
        <v>2</v>
      </c>
      <c r="E1448" s="5" t="str">
        <f>LEFT("422626195504272333",19)</f>
        <v>422626195504272333</v>
      </c>
      <c r="F1448" s="13" t="s">
        <v>11</v>
      </c>
    </row>
    <row r="1449" ht="18" customHeight="1" spans="1:6">
      <c r="A1449" s="13" t="s">
        <v>1812</v>
      </c>
      <c r="B1449" s="13" t="s">
        <v>2748</v>
      </c>
      <c r="C1449" s="10" t="s">
        <v>2754</v>
      </c>
      <c r="D1449" s="15">
        <v>5</v>
      </c>
      <c r="E1449" s="5" t="str">
        <f>LEFT("420325197812192372",19)</f>
        <v>420325197812192372</v>
      </c>
      <c r="F1449" s="13" t="s">
        <v>11</v>
      </c>
    </row>
    <row r="1450" ht="18" customHeight="1" spans="1:6">
      <c r="A1450" s="13" t="s">
        <v>1812</v>
      </c>
      <c r="B1450" s="13" t="s">
        <v>2748</v>
      </c>
      <c r="C1450" s="10" t="s">
        <v>2755</v>
      </c>
      <c r="D1450" s="15">
        <v>2</v>
      </c>
      <c r="E1450" s="5" t="str">
        <f>LEFT("422626195911042316",19)</f>
        <v>422626195911042316</v>
      </c>
      <c r="F1450" s="13" t="s">
        <v>11</v>
      </c>
    </row>
    <row r="1451" ht="18" customHeight="1" spans="1:6">
      <c r="A1451" s="13" t="s">
        <v>1812</v>
      </c>
      <c r="B1451" s="13" t="s">
        <v>2743</v>
      </c>
      <c r="C1451" s="10" t="s">
        <v>2756</v>
      </c>
      <c r="D1451" s="15">
        <v>4</v>
      </c>
      <c r="E1451" s="179" t="s">
        <v>2757</v>
      </c>
      <c r="F1451" s="13" t="s">
        <v>11</v>
      </c>
    </row>
    <row r="1452" ht="18" customHeight="1" spans="1:6">
      <c r="A1452" s="13" t="s">
        <v>1812</v>
      </c>
      <c r="B1452" s="13" t="s">
        <v>2743</v>
      </c>
      <c r="C1452" s="5" t="s">
        <v>2758</v>
      </c>
      <c r="D1452" s="15">
        <v>2</v>
      </c>
      <c r="E1452" s="13" t="s">
        <v>2759</v>
      </c>
      <c r="F1452" s="13" t="s">
        <v>11</v>
      </c>
    </row>
    <row r="1453" ht="18" customHeight="1" spans="1:6">
      <c r="A1453" s="13" t="s">
        <v>1812</v>
      </c>
      <c r="B1453" s="13" t="s">
        <v>2743</v>
      </c>
      <c r="C1453" s="5" t="s">
        <v>2760</v>
      </c>
      <c r="D1453" s="15">
        <v>2</v>
      </c>
      <c r="E1453" s="5" t="str">
        <f>LEFT("42262619360717231X",19)</f>
        <v>42262619360717231X</v>
      </c>
      <c r="F1453" s="13" t="s">
        <v>11</v>
      </c>
    </row>
    <row r="1454" ht="18" customHeight="1" spans="1:6">
      <c r="A1454" s="13" t="s">
        <v>1812</v>
      </c>
      <c r="B1454" s="13" t="s">
        <v>2743</v>
      </c>
      <c r="C1454" s="5" t="s">
        <v>2761</v>
      </c>
      <c r="D1454" s="15">
        <v>1</v>
      </c>
      <c r="E1454" s="179" t="s">
        <v>2762</v>
      </c>
      <c r="F1454" s="13" t="s">
        <v>11</v>
      </c>
    </row>
    <row r="1455" ht="18" customHeight="1" spans="1:6">
      <c r="A1455" s="13" t="s">
        <v>1812</v>
      </c>
      <c r="B1455" s="13" t="s">
        <v>2743</v>
      </c>
      <c r="C1455" s="5" t="s">
        <v>2763</v>
      </c>
      <c r="D1455" s="15">
        <v>2</v>
      </c>
      <c r="E1455" s="179" t="s">
        <v>2764</v>
      </c>
      <c r="F1455" s="13" t="s">
        <v>11</v>
      </c>
    </row>
    <row r="1456" ht="18" customHeight="1" spans="1:6">
      <c r="A1456" s="13" t="s">
        <v>1812</v>
      </c>
      <c r="B1456" s="13" t="s">
        <v>2743</v>
      </c>
      <c r="C1456" s="5" t="s">
        <v>2765</v>
      </c>
      <c r="D1456" s="15">
        <v>4</v>
      </c>
      <c r="E1456" s="179" t="s">
        <v>2766</v>
      </c>
      <c r="F1456" s="13" t="s">
        <v>11</v>
      </c>
    </row>
    <row r="1457" ht="18" customHeight="1" spans="1:6">
      <c r="A1457" s="13" t="s">
        <v>1812</v>
      </c>
      <c r="B1457" s="13" t="s">
        <v>2743</v>
      </c>
      <c r="C1457" s="5" t="s">
        <v>2767</v>
      </c>
      <c r="D1457" s="15">
        <v>2</v>
      </c>
      <c r="E1457" s="179" t="s">
        <v>2768</v>
      </c>
      <c r="F1457" s="13" t="s">
        <v>11</v>
      </c>
    </row>
    <row r="1458" ht="18" customHeight="1" spans="1:6">
      <c r="A1458" s="13" t="s">
        <v>1812</v>
      </c>
      <c r="B1458" s="13" t="s">
        <v>2743</v>
      </c>
      <c r="C1458" s="5" t="s">
        <v>2769</v>
      </c>
      <c r="D1458" s="15">
        <v>1</v>
      </c>
      <c r="E1458" s="179" t="s">
        <v>2770</v>
      </c>
      <c r="F1458" s="13" t="s">
        <v>11</v>
      </c>
    </row>
    <row r="1459" ht="18" customHeight="1" spans="1:6">
      <c r="A1459" s="13" t="s">
        <v>1812</v>
      </c>
      <c r="B1459" s="13" t="s">
        <v>2743</v>
      </c>
      <c r="C1459" s="5" t="s">
        <v>2771</v>
      </c>
      <c r="D1459" s="15">
        <v>1</v>
      </c>
      <c r="E1459" s="5" t="str">
        <f>LEFT("422626195802252314",19)</f>
        <v>422626195802252314</v>
      </c>
      <c r="F1459" s="13" t="s">
        <v>11</v>
      </c>
    </row>
    <row r="1460" ht="18" customHeight="1" spans="1:6">
      <c r="A1460" s="13" t="s">
        <v>1812</v>
      </c>
      <c r="B1460" s="13" t="s">
        <v>2743</v>
      </c>
      <c r="C1460" s="5" t="s">
        <v>2772</v>
      </c>
      <c r="D1460" s="15">
        <v>3</v>
      </c>
      <c r="E1460" s="5" t="str">
        <f>LEFT("422626196809292313",19)</f>
        <v>422626196809292313</v>
      </c>
      <c r="F1460" s="13" t="s">
        <v>11</v>
      </c>
    </row>
    <row r="1461" ht="18" customHeight="1" spans="1:6">
      <c r="A1461" s="13" t="s">
        <v>1812</v>
      </c>
      <c r="B1461" s="13" t="s">
        <v>2743</v>
      </c>
      <c r="C1461" s="5" t="s">
        <v>2773</v>
      </c>
      <c r="D1461" s="15">
        <v>2</v>
      </c>
      <c r="E1461" s="5" t="str">
        <f>LEFT("422626195602122312",19)</f>
        <v>422626195602122312</v>
      </c>
      <c r="F1461" s="13" t="s">
        <v>11</v>
      </c>
    </row>
    <row r="1462" ht="18" customHeight="1" spans="1:6">
      <c r="A1462" s="13" t="s">
        <v>1812</v>
      </c>
      <c r="B1462" s="13" t="s">
        <v>2743</v>
      </c>
      <c r="C1462" s="5" t="s">
        <v>2774</v>
      </c>
      <c r="D1462" s="15">
        <v>2</v>
      </c>
      <c r="E1462" s="5" t="str">
        <f>LEFT("422626194401302339",19)</f>
        <v>422626194401302339</v>
      </c>
      <c r="F1462" s="13" t="s">
        <v>11</v>
      </c>
    </row>
    <row r="1463" ht="18" customHeight="1" spans="1:6">
      <c r="A1463" s="13" t="s">
        <v>1812</v>
      </c>
      <c r="B1463" s="13" t="s">
        <v>2743</v>
      </c>
      <c r="C1463" s="5" t="s">
        <v>2775</v>
      </c>
      <c r="D1463" s="15">
        <v>2</v>
      </c>
      <c r="E1463" s="5" t="str">
        <f>LEFT("422626195108302318",19)</f>
        <v>422626195108302318</v>
      </c>
      <c r="F1463" s="13" t="s">
        <v>11</v>
      </c>
    </row>
    <row r="1464" ht="18" customHeight="1" spans="1:6">
      <c r="A1464" s="13" t="s">
        <v>1812</v>
      </c>
      <c r="B1464" s="13" t="s">
        <v>2743</v>
      </c>
      <c r="C1464" s="5" t="s">
        <v>2776</v>
      </c>
      <c r="D1464" s="15">
        <v>2</v>
      </c>
      <c r="E1464" s="5" t="str">
        <f>LEFT("422626195108292316",19)</f>
        <v>422626195108292316</v>
      </c>
      <c r="F1464" s="13" t="s">
        <v>11</v>
      </c>
    </row>
    <row r="1465" ht="18" customHeight="1" spans="1:6">
      <c r="A1465" s="13" t="s">
        <v>1812</v>
      </c>
      <c r="B1465" s="13" t="s">
        <v>2743</v>
      </c>
      <c r="C1465" s="5" t="s">
        <v>2777</v>
      </c>
      <c r="D1465" s="15">
        <v>2</v>
      </c>
      <c r="E1465" s="13" t="s">
        <v>2778</v>
      </c>
      <c r="F1465" s="13" t="s">
        <v>11</v>
      </c>
    </row>
    <row r="1466" ht="18" customHeight="1" spans="1:6">
      <c r="A1466" s="13" t="s">
        <v>1812</v>
      </c>
      <c r="B1466" s="13" t="s">
        <v>2743</v>
      </c>
      <c r="C1466" s="5" t="s">
        <v>2779</v>
      </c>
      <c r="D1466" s="15">
        <v>3</v>
      </c>
      <c r="E1466" s="5" t="str">
        <f>LEFT("422626193607132318",19)</f>
        <v>422626193607132318</v>
      </c>
      <c r="F1466" s="13" t="s">
        <v>11</v>
      </c>
    </row>
    <row r="1467" ht="18" customHeight="1" spans="1:6">
      <c r="A1467" s="13" t="s">
        <v>1812</v>
      </c>
      <c r="B1467" s="13" t="s">
        <v>2743</v>
      </c>
      <c r="C1467" s="5" t="s">
        <v>2780</v>
      </c>
      <c r="D1467" s="15">
        <v>2</v>
      </c>
      <c r="E1467" s="5" t="str">
        <f>LEFT("422626195805207658",19)</f>
        <v>422626195805207658</v>
      </c>
      <c r="F1467" s="13" t="s">
        <v>11</v>
      </c>
    </row>
    <row r="1468" ht="18" customHeight="1" spans="1:6">
      <c r="A1468" s="13" t="s">
        <v>1812</v>
      </c>
      <c r="B1468" s="13" t="s">
        <v>2743</v>
      </c>
      <c r="C1468" s="5" t="s">
        <v>2781</v>
      </c>
      <c r="D1468" s="15">
        <v>1</v>
      </c>
      <c r="E1468" s="5" t="str">
        <f>LEFT("420325194706062335",19)</f>
        <v>420325194706062335</v>
      </c>
      <c r="F1468" s="13" t="s">
        <v>11</v>
      </c>
    </row>
    <row r="1469" ht="18" customHeight="1" spans="1:6">
      <c r="A1469" s="13" t="s">
        <v>1812</v>
      </c>
      <c r="B1469" s="13" t="s">
        <v>2743</v>
      </c>
      <c r="C1469" s="5" t="s">
        <v>2782</v>
      </c>
      <c r="D1469" s="15">
        <v>2</v>
      </c>
      <c r="E1469" s="179" t="s">
        <v>2783</v>
      </c>
      <c r="F1469" s="13" t="s">
        <v>11</v>
      </c>
    </row>
    <row r="1470" ht="18" customHeight="1" spans="1:6">
      <c r="A1470" s="13" t="s">
        <v>1812</v>
      </c>
      <c r="B1470" s="13" t="s">
        <v>2743</v>
      </c>
      <c r="C1470" s="5" t="s">
        <v>2784</v>
      </c>
      <c r="D1470" s="15">
        <v>2</v>
      </c>
      <c r="E1470" s="5" t="str">
        <f>LEFT("422626197002032312",19)</f>
        <v>422626197002032312</v>
      </c>
      <c r="F1470" s="13" t="s">
        <v>11</v>
      </c>
    </row>
    <row r="1471" ht="18" customHeight="1" spans="1:6">
      <c r="A1471" s="13" t="s">
        <v>1812</v>
      </c>
      <c r="B1471" s="13" t="s">
        <v>2738</v>
      </c>
      <c r="C1471" s="5" t="s">
        <v>2785</v>
      </c>
      <c r="D1471" s="15">
        <v>2</v>
      </c>
      <c r="E1471" s="13" t="s">
        <v>2786</v>
      </c>
      <c r="F1471" s="13" t="s">
        <v>11</v>
      </c>
    </row>
    <row r="1472" ht="18" customHeight="1" spans="1:6">
      <c r="A1472" s="13" t="s">
        <v>1812</v>
      </c>
      <c r="B1472" s="13" t="s">
        <v>2738</v>
      </c>
      <c r="C1472" s="5" t="s">
        <v>2787</v>
      </c>
      <c r="D1472" s="15">
        <v>1</v>
      </c>
      <c r="E1472" s="179" t="s">
        <v>2788</v>
      </c>
      <c r="F1472" s="13" t="s">
        <v>11</v>
      </c>
    </row>
    <row r="1473" ht="18" customHeight="1" spans="1:6">
      <c r="A1473" s="13" t="s">
        <v>1812</v>
      </c>
      <c r="B1473" s="13" t="s">
        <v>2738</v>
      </c>
      <c r="C1473" s="5" t="s">
        <v>2789</v>
      </c>
      <c r="D1473" s="15">
        <v>2</v>
      </c>
      <c r="E1473" s="179" t="s">
        <v>2790</v>
      </c>
      <c r="F1473" s="13" t="s">
        <v>11</v>
      </c>
    </row>
    <row r="1474" ht="18" customHeight="1" spans="1:6">
      <c r="A1474" s="13" t="s">
        <v>1812</v>
      </c>
      <c r="B1474" s="13" t="s">
        <v>2738</v>
      </c>
      <c r="C1474" s="5" t="s">
        <v>2791</v>
      </c>
      <c r="D1474" s="15">
        <v>3</v>
      </c>
      <c r="E1474" s="5" t="str">
        <f>LEFT("422626195610242357",19)</f>
        <v>422626195610242357</v>
      </c>
      <c r="F1474" s="13" t="s">
        <v>11</v>
      </c>
    </row>
    <row r="1475" ht="18" customHeight="1" spans="1:6">
      <c r="A1475" s="13" t="s">
        <v>1812</v>
      </c>
      <c r="B1475" s="13" t="s">
        <v>2738</v>
      </c>
      <c r="C1475" s="5" t="s">
        <v>2792</v>
      </c>
      <c r="D1475" s="15">
        <v>1</v>
      </c>
      <c r="E1475" s="179" t="s">
        <v>2793</v>
      </c>
      <c r="F1475" s="13" t="s">
        <v>11</v>
      </c>
    </row>
    <row r="1476" ht="18" customHeight="1" spans="1:6">
      <c r="A1476" s="13" t="s">
        <v>1812</v>
      </c>
      <c r="B1476" s="13" t="s">
        <v>2738</v>
      </c>
      <c r="C1476" s="5" t="s">
        <v>2794</v>
      </c>
      <c r="D1476" s="15">
        <v>4</v>
      </c>
      <c r="E1476" s="13" t="s">
        <v>2795</v>
      </c>
      <c r="F1476" s="13" t="s">
        <v>11</v>
      </c>
    </row>
    <row r="1477" ht="18" customHeight="1" spans="1:6">
      <c r="A1477" s="13" t="s">
        <v>1812</v>
      </c>
      <c r="B1477" s="13" t="s">
        <v>2738</v>
      </c>
      <c r="C1477" s="5" t="s">
        <v>2796</v>
      </c>
      <c r="D1477" s="15">
        <v>2</v>
      </c>
      <c r="E1477" s="5" t="str">
        <f>LEFT("422626194212202312",19)</f>
        <v>422626194212202312</v>
      </c>
      <c r="F1477" s="13" t="s">
        <v>11</v>
      </c>
    </row>
    <row r="1478" ht="18" customHeight="1" spans="1:6">
      <c r="A1478" s="13" t="s">
        <v>1812</v>
      </c>
      <c r="B1478" s="13" t="s">
        <v>2738</v>
      </c>
      <c r="C1478" s="5" t="s">
        <v>2797</v>
      </c>
      <c r="D1478" s="15">
        <v>3</v>
      </c>
      <c r="E1478" s="5" t="str">
        <f>LEFT("422626196309012311",19)</f>
        <v>422626196309012311</v>
      </c>
      <c r="F1478" s="13" t="s">
        <v>11</v>
      </c>
    </row>
    <row r="1479" ht="18" customHeight="1" spans="1:6">
      <c r="A1479" s="13" t="s">
        <v>1812</v>
      </c>
      <c r="B1479" s="13" t="s">
        <v>2738</v>
      </c>
      <c r="C1479" s="5" t="s">
        <v>2798</v>
      </c>
      <c r="D1479" s="15">
        <v>1</v>
      </c>
      <c r="E1479" s="5" t="str">
        <f>LEFT("422626195705032328",19)</f>
        <v>422626195705032328</v>
      </c>
      <c r="F1479" s="13" t="s">
        <v>11</v>
      </c>
    </row>
    <row r="1480" ht="18" customHeight="1" spans="1:6">
      <c r="A1480" s="13" t="s">
        <v>1812</v>
      </c>
      <c r="B1480" s="13" t="s">
        <v>2738</v>
      </c>
      <c r="C1480" s="5" t="s">
        <v>2799</v>
      </c>
      <c r="D1480" s="15">
        <v>4</v>
      </c>
      <c r="E1480" s="5" t="str">
        <f>LEFT("422626196710272320",19)</f>
        <v>422626196710272320</v>
      </c>
      <c r="F1480" s="13" t="s">
        <v>11</v>
      </c>
    </row>
    <row r="1481" ht="18" customHeight="1" spans="1:6">
      <c r="A1481" s="13" t="s">
        <v>1812</v>
      </c>
      <c r="B1481" s="13" t="s">
        <v>2738</v>
      </c>
      <c r="C1481" s="5" t="s">
        <v>2800</v>
      </c>
      <c r="D1481" s="15">
        <v>2</v>
      </c>
      <c r="E1481" s="179" t="s">
        <v>2801</v>
      </c>
      <c r="F1481" s="13" t="s">
        <v>11</v>
      </c>
    </row>
    <row r="1482" ht="18" customHeight="1" spans="1:6">
      <c r="A1482" s="13" t="s">
        <v>1812</v>
      </c>
      <c r="B1482" s="13" t="s">
        <v>2738</v>
      </c>
      <c r="C1482" s="5" t="s">
        <v>2802</v>
      </c>
      <c r="D1482" s="15">
        <v>2</v>
      </c>
      <c r="E1482" s="5" t="str">
        <f>LEFT("422626194201022324",19)</f>
        <v>422626194201022324</v>
      </c>
      <c r="F1482" s="13" t="s">
        <v>11</v>
      </c>
    </row>
    <row r="1483" ht="18" customHeight="1" spans="1:6">
      <c r="A1483" s="13" t="s">
        <v>1812</v>
      </c>
      <c r="B1483" s="13" t="s">
        <v>2738</v>
      </c>
      <c r="C1483" s="5" t="s">
        <v>2803</v>
      </c>
      <c r="D1483" s="15">
        <v>2</v>
      </c>
      <c r="E1483" s="5" t="str">
        <f>LEFT("422626195210132319",19)</f>
        <v>422626195210132319</v>
      </c>
      <c r="F1483" s="13" t="s">
        <v>11</v>
      </c>
    </row>
    <row r="1484" ht="18" customHeight="1" spans="1:6">
      <c r="A1484" s="13" t="s">
        <v>1812</v>
      </c>
      <c r="B1484" s="13" t="s">
        <v>2738</v>
      </c>
      <c r="C1484" s="5" t="s">
        <v>2804</v>
      </c>
      <c r="D1484" s="15">
        <v>2</v>
      </c>
      <c r="E1484" s="5" t="str">
        <f>LEFT("422626195403272318",19)</f>
        <v>422626195403272318</v>
      </c>
      <c r="F1484" s="13" t="s">
        <v>11</v>
      </c>
    </row>
    <row r="1485" ht="18" customHeight="1" spans="1:6">
      <c r="A1485" s="13" t="s">
        <v>1812</v>
      </c>
      <c r="B1485" s="13" t="s">
        <v>2738</v>
      </c>
      <c r="C1485" s="5" t="s">
        <v>2805</v>
      </c>
      <c r="D1485" s="15">
        <v>2</v>
      </c>
      <c r="E1485" s="5" t="str">
        <f>LEFT("422626195101222315",19)</f>
        <v>422626195101222315</v>
      </c>
      <c r="F1485" s="13" t="s">
        <v>11</v>
      </c>
    </row>
    <row r="1486" ht="18" customHeight="1" spans="1:6">
      <c r="A1486" s="13" t="s">
        <v>1812</v>
      </c>
      <c r="B1486" s="13" t="s">
        <v>2738</v>
      </c>
      <c r="C1486" s="5" t="s">
        <v>2806</v>
      </c>
      <c r="D1486" s="15">
        <v>1</v>
      </c>
      <c r="E1486" s="5" t="str">
        <f>LEFT("422626196004102324",19)</f>
        <v>422626196004102324</v>
      </c>
      <c r="F1486" s="13" t="s">
        <v>11</v>
      </c>
    </row>
    <row r="1487" ht="18" customHeight="1" spans="1:6">
      <c r="A1487" s="13" t="s">
        <v>1812</v>
      </c>
      <c r="B1487" s="13" t="s">
        <v>2738</v>
      </c>
      <c r="C1487" s="5" t="s">
        <v>2807</v>
      </c>
      <c r="D1487" s="15">
        <v>2</v>
      </c>
      <c r="E1487" s="5" t="str">
        <f>LEFT("422626194607142318",19)</f>
        <v>422626194607142318</v>
      </c>
      <c r="F1487" s="13" t="s">
        <v>11</v>
      </c>
    </row>
    <row r="1488" ht="18" customHeight="1" spans="1:6">
      <c r="A1488" s="13" t="s">
        <v>1812</v>
      </c>
      <c r="B1488" s="13" t="s">
        <v>2738</v>
      </c>
      <c r="C1488" s="5" t="s">
        <v>2808</v>
      </c>
      <c r="D1488" s="15">
        <v>3</v>
      </c>
      <c r="E1488" s="5" t="str">
        <f>LEFT("422626196002172310",19)</f>
        <v>422626196002172310</v>
      </c>
      <c r="F1488" s="13" t="s">
        <v>11</v>
      </c>
    </row>
    <row r="1489" ht="18" customHeight="1" spans="1:6">
      <c r="A1489" s="13" t="s">
        <v>1812</v>
      </c>
      <c r="B1489" s="13" t="s">
        <v>2738</v>
      </c>
      <c r="C1489" s="5" t="s">
        <v>2809</v>
      </c>
      <c r="D1489" s="15">
        <v>2</v>
      </c>
      <c r="E1489" s="179" t="s">
        <v>2810</v>
      </c>
      <c r="F1489" s="13" t="s">
        <v>11</v>
      </c>
    </row>
    <row r="1490" ht="18" customHeight="1" spans="1:6">
      <c r="A1490" s="13" t="s">
        <v>1812</v>
      </c>
      <c r="B1490" s="13" t="s">
        <v>2738</v>
      </c>
      <c r="C1490" s="5" t="s">
        <v>2811</v>
      </c>
      <c r="D1490" s="15">
        <v>2</v>
      </c>
      <c r="E1490" s="5" t="str">
        <f>LEFT("422626196304192317",19)</f>
        <v>422626196304192317</v>
      </c>
      <c r="F1490" s="13" t="s">
        <v>11</v>
      </c>
    </row>
    <row r="1491" ht="18" customHeight="1" spans="1:6">
      <c r="A1491" s="13" t="s">
        <v>1812</v>
      </c>
      <c r="B1491" s="13" t="s">
        <v>2738</v>
      </c>
      <c r="C1491" s="5" t="s">
        <v>2673</v>
      </c>
      <c r="D1491" s="15">
        <v>3</v>
      </c>
      <c r="E1491" s="5" t="str">
        <f>LEFT("422626196611052314",19)</f>
        <v>422626196611052314</v>
      </c>
      <c r="F1491" s="13" t="s">
        <v>11</v>
      </c>
    </row>
    <row r="1492" ht="18" customHeight="1" spans="1:6">
      <c r="A1492" s="13" t="s">
        <v>1812</v>
      </c>
      <c r="B1492" s="13" t="s">
        <v>2738</v>
      </c>
      <c r="C1492" s="5" t="s">
        <v>2812</v>
      </c>
      <c r="D1492" s="15">
        <v>3</v>
      </c>
      <c r="E1492" s="13" t="s">
        <v>2813</v>
      </c>
      <c r="F1492" s="13" t="s">
        <v>11</v>
      </c>
    </row>
    <row r="1493" ht="18" customHeight="1" spans="1:6">
      <c r="A1493" s="13" t="s">
        <v>1812</v>
      </c>
      <c r="B1493" s="13" t="s">
        <v>2748</v>
      </c>
      <c r="C1493" s="5" t="s">
        <v>2814</v>
      </c>
      <c r="D1493" s="15">
        <v>5</v>
      </c>
      <c r="E1493" s="5" t="str">
        <f>LEFT("422626196203012313",19)</f>
        <v>422626196203012313</v>
      </c>
      <c r="F1493" s="13" t="s">
        <v>11</v>
      </c>
    </row>
    <row r="1494" ht="18" customHeight="1" spans="1:6">
      <c r="A1494" s="13" t="s">
        <v>1812</v>
      </c>
      <c r="B1494" s="13" t="s">
        <v>2748</v>
      </c>
      <c r="C1494" s="5" t="s">
        <v>2815</v>
      </c>
      <c r="D1494" s="15">
        <v>2</v>
      </c>
      <c r="E1494" s="13" t="s">
        <v>2816</v>
      </c>
      <c r="F1494" s="13" t="s">
        <v>11</v>
      </c>
    </row>
    <row r="1495" ht="18" customHeight="1" spans="1:6">
      <c r="A1495" s="13" t="s">
        <v>1812</v>
      </c>
      <c r="B1495" s="13" t="s">
        <v>2748</v>
      </c>
      <c r="C1495" s="5" t="s">
        <v>2817</v>
      </c>
      <c r="D1495" s="15">
        <v>2</v>
      </c>
      <c r="E1495" s="5" t="str">
        <f>LEFT("422626194307252312",19)</f>
        <v>422626194307252312</v>
      </c>
      <c r="F1495" s="13" t="s">
        <v>11</v>
      </c>
    </row>
    <row r="1496" ht="18" customHeight="1" spans="1:6">
      <c r="A1496" s="13" t="s">
        <v>1812</v>
      </c>
      <c r="B1496" s="13" t="s">
        <v>2748</v>
      </c>
      <c r="C1496" s="5" t="s">
        <v>2818</v>
      </c>
      <c r="D1496" s="15">
        <v>1</v>
      </c>
      <c r="E1496" s="179" t="s">
        <v>2819</v>
      </c>
      <c r="F1496" s="13" t="s">
        <v>11</v>
      </c>
    </row>
    <row r="1497" ht="18" customHeight="1" spans="1:6">
      <c r="A1497" s="13" t="s">
        <v>1812</v>
      </c>
      <c r="B1497" s="13" t="s">
        <v>2748</v>
      </c>
      <c r="C1497" s="5" t="s">
        <v>2820</v>
      </c>
      <c r="D1497" s="15">
        <v>2</v>
      </c>
      <c r="E1497" s="5" t="str">
        <f>LEFT("422626194902272334",19)</f>
        <v>422626194902272334</v>
      </c>
      <c r="F1497" s="13" t="s">
        <v>11</v>
      </c>
    </row>
    <row r="1498" ht="18" customHeight="1" spans="1:6">
      <c r="A1498" s="13" t="s">
        <v>1812</v>
      </c>
      <c r="B1498" s="13" t="s">
        <v>2748</v>
      </c>
      <c r="C1498" s="13" t="s">
        <v>2821</v>
      </c>
      <c r="D1498" s="15">
        <v>3</v>
      </c>
      <c r="E1498" s="5" t="str">
        <f>LEFT("422626195304162316",19)</f>
        <v>422626195304162316</v>
      </c>
      <c r="F1498" s="13" t="s">
        <v>11</v>
      </c>
    </row>
    <row r="1499" ht="18" customHeight="1" spans="1:6">
      <c r="A1499" s="13" t="s">
        <v>1812</v>
      </c>
      <c r="B1499" s="13" t="s">
        <v>2748</v>
      </c>
      <c r="C1499" s="5" t="s">
        <v>2822</v>
      </c>
      <c r="D1499" s="15">
        <v>2</v>
      </c>
      <c r="E1499" s="5" t="str">
        <f>LEFT("422626193310022310",19)</f>
        <v>422626193310022310</v>
      </c>
      <c r="F1499" s="13" t="s">
        <v>11</v>
      </c>
    </row>
    <row r="1500" ht="18" customHeight="1" spans="1:6">
      <c r="A1500" s="13" t="s">
        <v>1812</v>
      </c>
      <c r="B1500" s="13" t="s">
        <v>2748</v>
      </c>
      <c r="C1500" s="5" t="s">
        <v>2823</v>
      </c>
      <c r="D1500" s="15">
        <v>2</v>
      </c>
      <c r="E1500" s="5" t="str">
        <f>LEFT("42262619510519231X",19)</f>
        <v>42262619510519231X</v>
      </c>
      <c r="F1500" s="13" t="s">
        <v>11</v>
      </c>
    </row>
    <row r="1501" ht="18" customHeight="1" spans="1:6">
      <c r="A1501" s="13" t="s">
        <v>1812</v>
      </c>
      <c r="B1501" s="13" t="s">
        <v>2748</v>
      </c>
      <c r="C1501" s="5" t="s">
        <v>2824</v>
      </c>
      <c r="D1501" s="15">
        <v>1</v>
      </c>
      <c r="E1501" s="5" t="str">
        <f>LEFT("422626194801182313",19)</f>
        <v>422626194801182313</v>
      </c>
      <c r="F1501" s="13" t="s">
        <v>11</v>
      </c>
    </row>
    <row r="1502" ht="18" customHeight="1" spans="1:6">
      <c r="A1502" s="13" t="s">
        <v>1812</v>
      </c>
      <c r="B1502" s="13" t="s">
        <v>2748</v>
      </c>
      <c r="C1502" s="5" t="s">
        <v>2825</v>
      </c>
      <c r="D1502" s="15">
        <v>2</v>
      </c>
      <c r="E1502" s="5" t="str">
        <f>LEFT("422626196512202313",19)</f>
        <v>422626196512202313</v>
      </c>
      <c r="F1502" s="13" t="s">
        <v>11</v>
      </c>
    </row>
    <row r="1503" ht="18" customHeight="1" spans="1:6">
      <c r="A1503" s="13" t="s">
        <v>1812</v>
      </c>
      <c r="B1503" s="13" t="s">
        <v>2748</v>
      </c>
      <c r="C1503" s="5" t="s">
        <v>2826</v>
      </c>
      <c r="D1503" s="15">
        <v>2</v>
      </c>
      <c r="E1503" s="13" t="s">
        <v>2827</v>
      </c>
      <c r="F1503" s="13" t="s">
        <v>11</v>
      </c>
    </row>
    <row r="1504" ht="18" customHeight="1" spans="1:6">
      <c r="A1504" s="13" t="s">
        <v>1812</v>
      </c>
      <c r="B1504" s="13" t="s">
        <v>2748</v>
      </c>
      <c r="C1504" s="5" t="s">
        <v>2828</v>
      </c>
      <c r="D1504" s="15">
        <v>2</v>
      </c>
      <c r="E1504" s="5" t="str">
        <f>LEFT("422626196210072330",19)</f>
        <v>422626196210072330</v>
      </c>
      <c r="F1504" s="13" t="s">
        <v>11</v>
      </c>
    </row>
    <row r="1505" ht="18" customHeight="1" spans="1:6">
      <c r="A1505" s="13" t="s">
        <v>1812</v>
      </c>
      <c r="B1505" s="13" t="s">
        <v>2748</v>
      </c>
      <c r="C1505" s="5" t="s">
        <v>2829</v>
      </c>
      <c r="D1505" s="15">
        <v>2</v>
      </c>
      <c r="E1505" s="5" t="str">
        <f>LEFT("422626195610212334",19)</f>
        <v>422626195610212334</v>
      </c>
      <c r="F1505" s="13" t="s">
        <v>11</v>
      </c>
    </row>
    <row r="1506" ht="18" customHeight="1" spans="1:6">
      <c r="A1506" s="13" t="s">
        <v>1812</v>
      </c>
      <c r="B1506" s="13" t="s">
        <v>2748</v>
      </c>
      <c r="C1506" s="5" t="s">
        <v>2830</v>
      </c>
      <c r="D1506" s="15">
        <v>2</v>
      </c>
      <c r="E1506" s="5" t="str">
        <f>LEFT("422626195808202318",19)</f>
        <v>422626195808202318</v>
      </c>
      <c r="F1506" s="13" t="s">
        <v>11</v>
      </c>
    </row>
    <row r="1507" ht="18" customHeight="1" spans="1:6">
      <c r="A1507" s="13" t="s">
        <v>1812</v>
      </c>
      <c r="B1507" s="13" t="s">
        <v>2748</v>
      </c>
      <c r="C1507" s="5" t="s">
        <v>2524</v>
      </c>
      <c r="D1507" s="15">
        <v>2</v>
      </c>
      <c r="E1507" s="5" t="str">
        <f>LEFT("422626195610082314",19)</f>
        <v>422626195610082314</v>
      </c>
      <c r="F1507" s="13" t="s">
        <v>11</v>
      </c>
    </row>
    <row r="1508" ht="18" customHeight="1" spans="1:6">
      <c r="A1508" s="13" t="s">
        <v>1812</v>
      </c>
      <c r="B1508" s="13" t="s">
        <v>2748</v>
      </c>
      <c r="C1508" s="5" t="s">
        <v>2831</v>
      </c>
      <c r="D1508" s="15">
        <v>2</v>
      </c>
      <c r="E1508" s="5" t="str">
        <f>LEFT("422626196611292326",19)</f>
        <v>422626196611292326</v>
      </c>
      <c r="F1508" s="13" t="s">
        <v>11</v>
      </c>
    </row>
    <row r="1509" ht="18" customHeight="1" spans="1:6">
      <c r="A1509" s="13" t="s">
        <v>1812</v>
      </c>
      <c r="B1509" s="13" t="s">
        <v>2748</v>
      </c>
      <c r="C1509" s="5" t="s">
        <v>2832</v>
      </c>
      <c r="D1509" s="15">
        <v>1</v>
      </c>
      <c r="E1509" s="179" t="s">
        <v>2833</v>
      </c>
      <c r="F1509" s="13" t="s">
        <v>11</v>
      </c>
    </row>
    <row r="1510" ht="18" customHeight="1" spans="1:6">
      <c r="A1510" s="13" t="s">
        <v>1812</v>
      </c>
      <c r="B1510" s="13" t="s">
        <v>2748</v>
      </c>
      <c r="C1510" s="5" t="s">
        <v>2834</v>
      </c>
      <c r="D1510" s="15">
        <v>2</v>
      </c>
      <c r="E1510" s="179" t="s">
        <v>2835</v>
      </c>
      <c r="F1510" s="13" t="s">
        <v>11</v>
      </c>
    </row>
    <row r="1511" ht="18" customHeight="1" spans="1:6">
      <c r="A1511" s="13" t="s">
        <v>1812</v>
      </c>
      <c r="B1511" s="13" t="s">
        <v>2836</v>
      </c>
      <c r="C1511" s="13" t="s">
        <v>2837</v>
      </c>
      <c r="D1511" s="15">
        <v>2</v>
      </c>
      <c r="E1511" s="14" t="s">
        <v>2838</v>
      </c>
      <c r="F1511" s="13" t="s">
        <v>11</v>
      </c>
    </row>
    <row r="1512" ht="18" customHeight="1" spans="1:6">
      <c r="A1512" s="13" t="s">
        <v>1812</v>
      </c>
      <c r="B1512" s="13" t="s">
        <v>2836</v>
      </c>
      <c r="C1512" s="13" t="s">
        <v>2839</v>
      </c>
      <c r="D1512" s="15">
        <v>1</v>
      </c>
      <c r="E1512" s="14" t="s">
        <v>2840</v>
      </c>
      <c r="F1512" s="13" t="s">
        <v>11</v>
      </c>
    </row>
    <row r="1513" ht="18" customHeight="1" spans="1:6">
      <c r="A1513" s="13" t="s">
        <v>1812</v>
      </c>
      <c r="B1513" s="13" t="s">
        <v>2836</v>
      </c>
      <c r="C1513" s="13" t="s">
        <v>2841</v>
      </c>
      <c r="D1513" s="15">
        <v>1</v>
      </c>
      <c r="E1513" s="14" t="s">
        <v>2842</v>
      </c>
      <c r="F1513" s="13" t="s">
        <v>11</v>
      </c>
    </row>
    <row r="1514" ht="18" customHeight="1" spans="1:6">
      <c r="A1514" s="13" t="s">
        <v>1812</v>
      </c>
      <c r="B1514" s="13" t="s">
        <v>2836</v>
      </c>
      <c r="C1514" s="13" t="s">
        <v>2843</v>
      </c>
      <c r="D1514" s="15">
        <v>3</v>
      </c>
      <c r="E1514" s="14" t="s">
        <v>2844</v>
      </c>
      <c r="F1514" s="13" t="s">
        <v>11</v>
      </c>
    </row>
    <row r="1515" ht="18" customHeight="1" spans="1:6">
      <c r="A1515" s="13" t="s">
        <v>1812</v>
      </c>
      <c r="B1515" s="13" t="s">
        <v>2836</v>
      </c>
      <c r="C1515" s="13" t="s">
        <v>2845</v>
      </c>
      <c r="D1515" s="15">
        <v>2</v>
      </c>
      <c r="E1515" s="14" t="s">
        <v>2846</v>
      </c>
      <c r="F1515" s="13" t="s">
        <v>11</v>
      </c>
    </row>
    <row r="1516" ht="18" customHeight="1" spans="1:6">
      <c r="A1516" s="13" t="s">
        <v>1812</v>
      </c>
      <c r="B1516" s="13" t="s">
        <v>2847</v>
      </c>
      <c r="C1516" s="13" t="s">
        <v>2848</v>
      </c>
      <c r="D1516" s="15">
        <v>3</v>
      </c>
      <c r="E1516" s="14" t="s">
        <v>2849</v>
      </c>
      <c r="F1516" s="13" t="s">
        <v>11</v>
      </c>
    </row>
    <row r="1517" ht="18" customHeight="1" spans="1:6">
      <c r="A1517" s="13" t="s">
        <v>1812</v>
      </c>
      <c r="B1517" s="13" t="s">
        <v>2847</v>
      </c>
      <c r="C1517" s="13" t="s">
        <v>2850</v>
      </c>
      <c r="D1517" s="15">
        <v>2</v>
      </c>
      <c r="E1517" s="14" t="s">
        <v>2851</v>
      </c>
      <c r="F1517" s="13" t="s">
        <v>11</v>
      </c>
    </row>
    <row r="1518" ht="18" customHeight="1" spans="1:6">
      <c r="A1518" s="13" t="s">
        <v>1812</v>
      </c>
      <c r="B1518" s="13" t="s">
        <v>2847</v>
      </c>
      <c r="C1518" s="13" t="s">
        <v>2852</v>
      </c>
      <c r="D1518" s="15">
        <v>2</v>
      </c>
      <c r="E1518" s="14" t="s">
        <v>2853</v>
      </c>
      <c r="F1518" s="13" t="s">
        <v>11</v>
      </c>
    </row>
    <row r="1519" ht="18" customHeight="1" spans="1:6">
      <c r="A1519" s="13" t="s">
        <v>1812</v>
      </c>
      <c r="B1519" s="13" t="s">
        <v>2847</v>
      </c>
      <c r="C1519" s="13" t="s">
        <v>2854</v>
      </c>
      <c r="D1519" s="15">
        <v>1</v>
      </c>
      <c r="E1519" s="14" t="s">
        <v>2855</v>
      </c>
      <c r="F1519" s="13" t="s">
        <v>11</v>
      </c>
    </row>
    <row r="1520" ht="18" customHeight="1" spans="1:6">
      <c r="A1520" s="13" t="s">
        <v>1812</v>
      </c>
      <c r="B1520" s="13" t="s">
        <v>2847</v>
      </c>
      <c r="C1520" s="13" t="s">
        <v>2856</v>
      </c>
      <c r="D1520" s="15">
        <v>4</v>
      </c>
      <c r="E1520" s="14" t="s">
        <v>2857</v>
      </c>
      <c r="F1520" s="13" t="s">
        <v>11</v>
      </c>
    </row>
    <row r="1521" ht="18" customHeight="1" spans="1:6">
      <c r="A1521" s="13" t="s">
        <v>1812</v>
      </c>
      <c r="B1521" s="13" t="s">
        <v>2858</v>
      </c>
      <c r="C1521" s="13" t="s">
        <v>2859</v>
      </c>
      <c r="D1521" s="15">
        <v>2</v>
      </c>
      <c r="E1521" s="14" t="s">
        <v>2860</v>
      </c>
      <c r="F1521" s="13" t="s">
        <v>11</v>
      </c>
    </row>
    <row r="1522" ht="18" customHeight="1" spans="1:6">
      <c r="A1522" s="13" t="s">
        <v>1812</v>
      </c>
      <c r="B1522" s="13" t="s">
        <v>2858</v>
      </c>
      <c r="C1522" s="13" t="s">
        <v>2861</v>
      </c>
      <c r="D1522" s="15">
        <v>2</v>
      </c>
      <c r="E1522" s="14" t="s">
        <v>2862</v>
      </c>
      <c r="F1522" s="13" t="s">
        <v>11</v>
      </c>
    </row>
    <row r="1523" ht="18" customHeight="1" spans="1:6">
      <c r="A1523" s="13" t="s">
        <v>1812</v>
      </c>
      <c r="B1523" s="13" t="s">
        <v>2858</v>
      </c>
      <c r="C1523" s="13" t="s">
        <v>2863</v>
      </c>
      <c r="D1523" s="15">
        <v>1</v>
      </c>
      <c r="E1523" s="14" t="s">
        <v>2864</v>
      </c>
      <c r="F1523" s="13" t="s">
        <v>11</v>
      </c>
    </row>
    <row r="1524" ht="18" customHeight="1" spans="1:6">
      <c r="A1524" s="13" t="s">
        <v>1812</v>
      </c>
      <c r="B1524" s="13" t="s">
        <v>2858</v>
      </c>
      <c r="C1524" s="13" t="s">
        <v>2865</v>
      </c>
      <c r="D1524" s="15">
        <v>1</v>
      </c>
      <c r="E1524" s="14" t="s">
        <v>2866</v>
      </c>
      <c r="F1524" s="13" t="s">
        <v>11</v>
      </c>
    </row>
    <row r="1525" ht="18" customHeight="1" spans="1:6">
      <c r="A1525" s="13" t="s">
        <v>1812</v>
      </c>
      <c r="B1525" s="13" t="s">
        <v>2858</v>
      </c>
      <c r="C1525" s="13" t="s">
        <v>2867</v>
      </c>
      <c r="D1525" s="15">
        <v>1</v>
      </c>
      <c r="E1525" s="14" t="s">
        <v>2868</v>
      </c>
      <c r="F1525" s="13" t="s">
        <v>11</v>
      </c>
    </row>
    <row r="1526" ht="18" customHeight="1" spans="1:6">
      <c r="A1526" s="13" t="s">
        <v>1812</v>
      </c>
      <c r="B1526" s="13" t="s">
        <v>2858</v>
      </c>
      <c r="C1526" s="13" t="s">
        <v>2869</v>
      </c>
      <c r="D1526" s="15">
        <v>2</v>
      </c>
      <c r="E1526" s="14" t="s">
        <v>2870</v>
      </c>
      <c r="F1526" s="13" t="s">
        <v>11</v>
      </c>
    </row>
    <row r="1527" ht="18" customHeight="1" spans="1:6">
      <c r="A1527" s="13" t="s">
        <v>1812</v>
      </c>
      <c r="B1527" s="13" t="s">
        <v>2858</v>
      </c>
      <c r="C1527" s="13" t="s">
        <v>2871</v>
      </c>
      <c r="D1527" s="15">
        <v>2</v>
      </c>
      <c r="E1527" s="14" t="s">
        <v>2872</v>
      </c>
      <c r="F1527" s="13" t="s">
        <v>11</v>
      </c>
    </row>
    <row r="1528" ht="18" customHeight="1" spans="1:6">
      <c r="A1528" s="13" t="s">
        <v>1812</v>
      </c>
      <c r="B1528" s="13" t="s">
        <v>2873</v>
      </c>
      <c r="C1528" s="13" t="s">
        <v>2874</v>
      </c>
      <c r="D1528" s="15">
        <v>2</v>
      </c>
      <c r="E1528" s="14" t="s">
        <v>2875</v>
      </c>
      <c r="F1528" s="13" t="s">
        <v>11</v>
      </c>
    </row>
    <row r="1529" ht="18" customHeight="1" spans="1:6">
      <c r="A1529" s="13" t="s">
        <v>1812</v>
      </c>
      <c r="B1529" s="13" t="s">
        <v>2873</v>
      </c>
      <c r="C1529" s="13" t="s">
        <v>2876</v>
      </c>
      <c r="D1529" s="15">
        <v>3</v>
      </c>
      <c r="E1529" s="14" t="s">
        <v>2877</v>
      </c>
      <c r="F1529" s="13" t="s">
        <v>11</v>
      </c>
    </row>
    <row r="1530" ht="18" customHeight="1" spans="1:6">
      <c r="A1530" s="13" t="s">
        <v>1812</v>
      </c>
      <c r="B1530" s="13" t="s">
        <v>2873</v>
      </c>
      <c r="C1530" s="13" t="s">
        <v>2878</v>
      </c>
      <c r="D1530" s="15">
        <v>2</v>
      </c>
      <c r="E1530" s="14" t="s">
        <v>2879</v>
      </c>
      <c r="F1530" s="13" t="s">
        <v>11</v>
      </c>
    </row>
    <row r="1531" ht="18" customHeight="1" spans="1:6">
      <c r="A1531" s="13" t="s">
        <v>1812</v>
      </c>
      <c r="B1531" s="13" t="s">
        <v>2873</v>
      </c>
      <c r="C1531" s="13" t="s">
        <v>2880</v>
      </c>
      <c r="D1531" s="15">
        <v>2</v>
      </c>
      <c r="E1531" s="14" t="s">
        <v>2881</v>
      </c>
      <c r="F1531" s="13" t="s">
        <v>11</v>
      </c>
    </row>
    <row r="1532" ht="18" customHeight="1" spans="1:6">
      <c r="A1532" s="13" t="s">
        <v>1812</v>
      </c>
      <c r="B1532" s="13" t="s">
        <v>2873</v>
      </c>
      <c r="C1532" s="13" t="s">
        <v>2882</v>
      </c>
      <c r="D1532" s="15">
        <v>2</v>
      </c>
      <c r="E1532" s="14" t="s">
        <v>2883</v>
      </c>
      <c r="F1532" s="13" t="s">
        <v>11</v>
      </c>
    </row>
    <row r="1533" ht="18" customHeight="1" spans="1:6">
      <c r="A1533" s="13" t="s">
        <v>1812</v>
      </c>
      <c r="B1533" s="13" t="s">
        <v>2884</v>
      </c>
      <c r="C1533" s="13" t="s">
        <v>2885</v>
      </c>
      <c r="D1533" s="15">
        <v>2</v>
      </c>
      <c r="E1533" s="14" t="s">
        <v>2886</v>
      </c>
      <c r="F1533" s="13" t="s">
        <v>11</v>
      </c>
    </row>
    <row r="1534" ht="18" customHeight="1" spans="1:6">
      <c r="A1534" s="13" t="s">
        <v>1812</v>
      </c>
      <c r="B1534" s="13" t="s">
        <v>2884</v>
      </c>
      <c r="C1534" s="13" t="s">
        <v>2887</v>
      </c>
      <c r="D1534" s="15">
        <v>3</v>
      </c>
      <c r="E1534" s="14" t="s">
        <v>2888</v>
      </c>
      <c r="F1534" s="13" t="s">
        <v>11</v>
      </c>
    </row>
    <row r="1535" ht="18" customHeight="1" spans="1:6">
      <c r="A1535" s="13" t="s">
        <v>1812</v>
      </c>
      <c r="B1535" s="13" t="s">
        <v>2884</v>
      </c>
      <c r="C1535" s="13" t="s">
        <v>2889</v>
      </c>
      <c r="D1535" s="15">
        <v>2</v>
      </c>
      <c r="E1535" s="14" t="s">
        <v>2890</v>
      </c>
      <c r="F1535" s="13" t="s">
        <v>11</v>
      </c>
    </row>
    <row r="1536" ht="18" customHeight="1" spans="1:6">
      <c r="A1536" s="13" t="s">
        <v>1812</v>
      </c>
      <c r="B1536" s="13" t="s">
        <v>2884</v>
      </c>
      <c r="C1536" s="13" t="s">
        <v>2891</v>
      </c>
      <c r="D1536" s="15">
        <v>2</v>
      </c>
      <c r="E1536" s="14" t="s">
        <v>2892</v>
      </c>
      <c r="F1536" s="13" t="s">
        <v>11</v>
      </c>
    </row>
    <row r="1537" ht="18" customHeight="1" spans="1:6">
      <c r="A1537" s="13" t="s">
        <v>1812</v>
      </c>
      <c r="B1537" s="13" t="s">
        <v>2884</v>
      </c>
      <c r="C1537" s="13" t="s">
        <v>67</v>
      </c>
      <c r="D1537" s="15">
        <v>1</v>
      </c>
      <c r="E1537" s="14" t="s">
        <v>2893</v>
      </c>
      <c r="F1537" s="13" t="s">
        <v>11</v>
      </c>
    </row>
    <row r="1538" ht="18" customHeight="1" spans="1:6">
      <c r="A1538" s="13" t="s">
        <v>1812</v>
      </c>
      <c r="B1538" s="13" t="s">
        <v>2884</v>
      </c>
      <c r="C1538" s="13" t="s">
        <v>2894</v>
      </c>
      <c r="D1538" s="15">
        <v>1</v>
      </c>
      <c r="E1538" s="14" t="s">
        <v>2895</v>
      </c>
      <c r="F1538" s="13" t="s">
        <v>11</v>
      </c>
    </row>
    <row r="1539" ht="18" customHeight="1" spans="1:6">
      <c r="A1539" s="13" t="s">
        <v>1812</v>
      </c>
      <c r="B1539" s="13" t="s">
        <v>2884</v>
      </c>
      <c r="C1539" s="13" t="s">
        <v>2896</v>
      </c>
      <c r="D1539" s="15">
        <v>2</v>
      </c>
      <c r="E1539" s="14" t="s">
        <v>2897</v>
      </c>
      <c r="F1539" s="13" t="s">
        <v>11</v>
      </c>
    </row>
    <row r="1540" ht="18" customHeight="1" spans="1:6">
      <c r="A1540" s="13" t="s">
        <v>1812</v>
      </c>
      <c r="B1540" s="13" t="s">
        <v>2884</v>
      </c>
      <c r="C1540" s="13" t="s">
        <v>2898</v>
      </c>
      <c r="D1540" s="15">
        <v>1</v>
      </c>
      <c r="E1540" s="14" t="s">
        <v>2899</v>
      </c>
      <c r="F1540" s="13" t="s">
        <v>11</v>
      </c>
    </row>
    <row r="1541" ht="18" customHeight="1" spans="1:6">
      <c r="A1541" s="13" t="s">
        <v>1812</v>
      </c>
      <c r="B1541" s="13" t="s">
        <v>2884</v>
      </c>
      <c r="C1541" s="13" t="s">
        <v>2900</v>
      </c>
      <c r="D1541" s="15">
        <v>3</v>
      </c>
      <c r="E1541" s="14" t="s">
        <v>2901</v>
      </c>
      <c r="F1541" s="13" t="s">
        <v>11</v>
      </c>
    </row>
    <row r="1542" ht="18" customHeight="1" spans="1:6">
      <c r="A1542" s="13" t="s">
        <v>1812</v>
      </c>
      <c r="B1542" s="13" t="s">
        <v>2884</v>
      </c>
      <c r="C1542" s="13" t="s">
        <v>2902</v>
      </c>
      <c r="D1542" s="15">
        <v>2</v>
      </c>
      <c r="E1542" s="14" t="s">
        <v>2903</v>
      </c>
      <c r="F1542" s="13" t="s">
        <v>11</v>
      </c>
    </row>
    <row r="1543" ht="18" customHeight="1" spans="1:6">
      <c r="A1543" s="13" t="s">
        <v>1812</v>
      </c>
      <c r="B1543" s="13" t="s">
        <v>2884</v>
      </c>
      <c r="C1543" s="13" t="s">
        <v>2904</v>
      </c>
      <c r="D1543" s="15">
        <v>1</v>
      </c>
      <c r="E1543" s="14" t="s">
        <v>2905</v>
      </c>
      <c r="F1543" s="13" t="s">
        <v>11</v>
      </c>
    </row>
    <row r="1544" ht="18" customHeight="1" spans="1:6">
      <c r="A1544" s="13" t="s">
        <v>1812</v>
      </c>
      <c r="B1544" s="13" t="s">
        <v>2884</v>
      </c>
      <c r="C1544" s="13" t="s">
        <v>2906</v>
      </c>
      <c r="D1544" s="15">
        <v>2</v>
      </c>
      <c r="E1544" s="14" t="s">
        <v>2907</v>
      </c>
      <c r="F1544" s="13" t="s">
        <v>11</v>
      </c>
    </row>
    <row r="1545" ht="18" customHeight="1" spans="1:6">
      <c r="A1545" s="13" t="s">
        <v>1812</v>
      </c>
      <c r="B1545" s="13" t="s">
        <v>2884</v>
      </c>
      <c r="C1545" s="13" t="s">
        <v>2908</v>
      </c>
      <c r="D1545" s="15">
        <v>1</v>
      </c>
      <c r="E1545" s="14" t="s">
        <v>2909</v>
      </c>
      <c r="F1545" s="13" t="s">
        <v>11</v>
      </c>
    </row>
    <row r="1546" ht="18" customHeight="1" spans="1:6">
      <c r="A1546" s="13" t="s">
        <v>1812</v>
      </c>
      <c r="B1546" s="13" t="s">
        <v>2884</v>
      </c>
      <c r="C1546" s="13" t="s">
        <v>2910</v>
      </c>
      <c r="D1546" s="15">
        <v>1</v>
      </c>
      <c r="E1546" s="14" t="s">
        <v>2911</v>
      </c>
      <c r="F1546" s="13" t="s">
        <v>11</v>
      </c>
    </row>
    <row r="1547" ht="18" customHeight="1" spans="1:6">
      <c r="A1547" s="13" t="s">
        <v>1812</v>
      </c>
      <c r="B1547" s="13" t="s">
        <v>2884</v>
      </c>
      <c r="C1547" s="13" t="s">
        <v>2912</v>
      </c>
      <c r="D1547" s="15">
        <v>2</v>
      </c>
      <c r="E1547" s="14" t="s">
        <v>2913</v>
      </c>
      <c r="F1547" s="13" t="s">
        <v>11</v>
      </c>
    </row>
    <row r="1548" ht="18" customHeight="1" spans="1:6">
      <c r="A1548" s="13" t="s">
        <v>1812</v>
      </c>
      <c r="B1548" s="13" t="s">
        <v>2884</v>
      </c>
      <c r="C1548" s="13" t="s">
        <v>2914</v>
      </c>
      <c r="D1548" s="15">
        <v>2</v>
      </c>
      <c r="E1548" s="14" t="s">
        <v>2915</v>
      </c>
      <c r="F1548" s="13" t="s">
        <v>11</v>
      </c>
    </row>
    <row r="1549" ht="18" customHeight="1" spans="1:6">
      <c r="A1549" s="13" t="s">
        <v>1812</v>
      </c>
      <c r="B1549" s="13" t="s">
        <v>2884</v>
      </c>
      <c r="C1549" s="13" t="s">
        <v>2916</v>
      </c>
      <c r="D1549" s="15">
        <v>1</v>
      </c>
      <c r="E1549" s="14" t="s">
        <v>2917</v>
      </c>
      <c r="F1549" s="13" t="s">
        <v>11</v>
      </c>
    </row>
    <row r="1550" ht="18" customHeight="1" spans="1:6">
      <c r="A1550" s="13" t="s">
        <v>2918</v>
      </c>
      <c r="B1550" s="13"/>
      <c r="C1550" s="13">
        <v>690</v>
      </c>
      <c r="D1550" s="13">
        <f>SUM(D860:D1549)</f>
        <v>1664</v>
      </c>
      <c r="E1550" s="13"/>
      <c r="F1550" s="13"/>
    </row>
    <row r="1551" ht="18" customHeight="1" spans="1:6">
      <c r="A1551" s="5" t="s">
        <v>2919</v>
      </c>
      <c r="B1551" s="14" t="s">
        <v>2920</v>
      </c>
      <c r="C1551" s="14" t="s">
        <v>2921</v>
      </c>
      <c r="D1551" s="138">
        <v>4</v>
      </c>
      <c r="E1551" s="14" t="s">
        <v>2922</v>
      </c>
      <c r="F1551" s="14" t="s">
        <v>11</v>
      </c>
    </row>
    <row r="1552" ht="18" customHeight="1" spans="1:6">
      <c r="A1552" s="5" t="s">
        <v>2919</v>
      </c>
      <c r="B1552" s="14" t="s">
        <v>2920</v>
      </c>
      <c r="C1552" s="14" t="s">
        <v>2923</v>
      </c>
      <c r="D1552" s="138">
        <v>4</v>
      </c>
      <c r="E1552" s="14" t="s">
        <v>2924</v>
      </c>
      <c r="F1552" s="14" t="s">
        <v>11</v>
      </c>
    </row>
    <row r="1553" ht="18" customHeight="1" spans="1:6">
      <c r="A1553" s="5" t="s">
        <v>2919</v>
      </c>
      <c r="B1553" s="14" t="s">
        <v>2920</v>
      </c>
      <c r="C1553" s="14" t="s">
        <v>2925</v>
      </c>
      <c r="D1553" s="138">
        <v>3</v>
      </c>
      <c r="E1553" s="14" t="s">
        <v>2926</v>
      </c>
      <c r="F1553" s="14" t="s">
        <v>11</v>
      </c>
    </row>
    <row r="1554" ht="18" customHeight="1" spans="1:6">
      <c r="A1554" s="5" t="s">
        <v>2919</v>
      </c>
      <c r="B1554" s="14" t="s">
        <v>2920</v>
      </c>
      <c r="C1554" s="14" t="s">
        <v>2927</v>
      </c>
      <c r="D1554" s="138">
        <v>3</v>
      </c>
      <c r="E1554" s="14" t="s">
        <v>2928</v>
      </c>
      <c r="F1554" s="14" t="s">
        <v>11</v>
      </c>
    </row>
    <row r="1555" ht="18" customHeight="1" spans="1:6">
      <c r="A1555" s="5" t="s">
        <v>2919</v>
      </c>
      <c r="B1555" s="14" t="s">
        <v>2920</v>
      </c>
      <c r="C1555" s="14" t="s">
        <v>2929</v>
      </c>
      <c r="D1555" s="138">
        <v>3</v>
      </c>
      <c r="E1555" s="14" t="s">
        <v>2930</v>
      </c>
      <c r="F1555" s="14" t="s">
        <v>11</v>
      </c>
    </row>
    <row r="1556" ht="18" customHeight="1" spans="1:6">
      <c r="A1556" s="5" t="s">
        <v>2919</v>
      </c>
      <c r="B1556" s="14" t="s">
        <v>2920</v>
      </c>
      <c r="C1556" s="14" t="s">
        <v>2931</v>
      </c>
      <c r="D1556" s="138">
        <v>1</v>
      </c>
      <c r="E1556" s="14" t="s">
        <v>2932</v>
      </c>
      <c r="F1556" s="14" t="s">
        <v>11</v>
      </c>
    </row>
    <row r="1557" ht="18" customHeight="1" spans="1:6">
      <c r="A1557" s="5" t="s">
        <v>2919</v>
      </c>
      <c r="B1557" s="14" t="s">
        <v>2920</v>
      </c>
      <c r="C1557" s="14" t="s">
        <v>2933</v>
      </c>
      <c r="D1557" s="138">
        <v>3</v>
      </c>
      <c r="E1557" s="14" t="s">
        <v>2934</v>
      </c>
      <c r="F1557" s="14" t="s">
        <v>11</v>
      </c>
    </row>
    <row r="1558" ht="18" customHeight="1" spans="1:6">
      <c r="A1558" s="5" t="s">
        <v>2919</v>
      </c>
      <c r="B1558" s="14" t="s">
        <v>2920</v>
      </c>
      <c r="C1558" s="14" t="s">
        <v>2935</v>
      </c>
      <c r="D1558" s="138">
        <v>2</v>
      </c>
      <c r="E1558" s="14" t="s">
        <v>2936</v>
      </c>
      <c r="F1558" s="14" t="s">
        <v>11</v>
      </c>
    </row>
    <row r="1559" ht="18" customHeight="1" spans="1:6">
      <c r="A1559" s="5" t="s">
        <v>2919</v>
      </c>
      <c r="B1559" s="14" t="s">
        <v>2920</v>
      </c>
      <c r="C1559" s="14" t="s">
        <v>2937</v>
      </c>
      <c r="D1559" s="138">
        <v>2</v>
      </c>
      <c r="E1559" s="14" t="s">
        <v>2938</v>
      </c>
      <c r="F1559" s="14" t="s">
        <v>11</v>
      </c>
    </row>
    <row r="1560" ht="18" customHeight="1" spans="1:6">
      <c r="A1560" s="5" t="s">
        <v>2919</v>
      </c>
      <c r="B1560" s="14" t="s">
        <v>2920</v>
      </c>
      <c r="C1560" s="14" t="s">
        <v>2939</v>
      </c>
      <c r="D1560" s="138">
        <v>4</v>
      </c>
      <c r="E1560" s="14" t="s">
        <v>2940</v>
      </c>
      <c r="F1560" s="14" t="s">
        <v>11</v>
      </c>
    </row>
    <row r="1561" ht="18" customHeight="1" spans="1:6">
      <c r="A1561" s="5" t="s">
        <v>2919</v>
      </c>
      <c r="B1561" s="14" t="s">
        <v>2920</v>
      </c>
      <c r="C1561" s="14" t="s">
        <v>2941</v>
      </c>
      <c r="D1561" s="138">
        <v>4</v>
      </c>
      <c r="E1561" s="14" t="s">
        <v>2942</v>
      </c>
      <c r="F1561" s="14" t="s">
        <v>11</v>
      </c>
    </row>
    <row r="1562" ht="18" customHeight="1" spans="1:6">
      <c r="A1562" s="5" t="s">
        <v>2919</v>
      </c>
      <c r="B1562" s="14" t="s">
        <v>2920</v>
      </c>
      <c r="C1562" s="14" t="s">
        <v>2943</v>
      </c>
      <c r="D1562" s="138">
        <v>4</v>
      </c>
      <c r="E1562" s="14" t="s">
        <v>2944</v>
      </c>
      <c r="F1562" s="14" t="s">
        <v>11</v>
      </c>
    </row>
    <row r="1563" ht="18" customHeight="1" spans="1:6">
      <c r="A1563" s="5" t="s">
        <v>2919</v>
      </c>
      <c r="B1563" s="14" t="s">
        <v>2920</v>
      </c>
      <c r="C1563" s="14" t="s">
        <v>2945</v>
      </c>
      <c r="D1563" s="138">
        <v>4</v>
      </c>
      <c r="E1563" s="14" t="s">
        <v>2946</v>
      </c>
      <c r="F1563" s="14" t="s">
        <v>11</v>
      </c>
    </row>
    <row r="1564" ht="18" customHeight="1" spans="1:6">
      <c r="A1564" s="5" t="s">
        <v>2919</v>
      </c>
      <c r="B1564" s="14" t="s">
        <v>2920</v>
      </c>
      <c r="C1564" s="14" t="s">
        <v>2947</v>
      </c>
      <c r="D1564" s="138">
        <v>4</v>
      </c>
      <c r="E1564" s="14" t="s">
        <v>2948</v>
      </c>
      <c r="F1564" s="14" t="s">
        <v>11</v>
      </c>
    </row>
    <row r="1565" ht="18" customHeight="1" spans="1:6">
      <c r="A1565" s="5" t="s">
        <v>2919</v>
      </c>
      <c r="B1565" s="14" t="s">
        <v>2920</v>
      </c>
      <c r="C1565" s="14" t="s">
        <v>2949</v>
      </c>
      <c r="D1565" s="138">
        <v>4</v>
      </c>
      <c r="E1565" s="14" t="s">
        <v>2950</v>
      </c>
      <c r="F1565" s="14" t="s">
        <v>11</v>
      </c>
    </row>
    <row r="1566" ht="18" customHeight="1" spans="1:6">
      <c r="A1566" s="5" t="s">
        <v>2919</v>
      </c>
      <c r="B1566" s="14" t="s">
        <v>2920</v>
      </c>
      <c r="C1566" s="14" t="s">
        <v>2951</v>
      </c>
      <c r="D1566" s="138">
        <v>2</v>
      </c>
      <c r="E1566" s="14" t="s">
        <v>2952</v>
      </c>
      <c r="F1566" s="14" t="s">
        <v>11</v>
      </c>
    </row>
    <row r="1567" ht="18" customHeight="1" spans="1:6">
      <c r="A1567" s="5" t="s">
        <v>2919</v>
      </c>
      <c r="B1567" s="14" t="s">
        <v>2920</v>
      </c>
      <c r="C1567" s="14" t="s">
        <v>2953</v>
      </c>
      <c r="D1567" s="138">
        <v>2</v>
      </c>
      <c r="E1567" s="192" t="s">
        <v>2954</v>
      </c>
      <c r="F1567" s="14" t="s">
        <v>11</v>
      </c>
    </row>
    <row r="1568" ht="18" customHeight="1" spans="1:6">
      <c r="A1568" s="5" t="s">
        <v>2919</v>
      </c>
      <c r="B1568" s="14" t="s">
        <v>2920</v>
      </c>
      <c r="C1568" s="14" t="s">
        <v>2955</v>
      </c>
      <c r="D1568" s="138">
        <v>2</v>
      </c>
      <c r="E1568" s="192" t="s">
        <v>2956</v>
      </c>
      <c r="F1568" s="14" t="s">
        <v>11</v>
      </c>
    </row>
    <row r="1569" ht="18" customHeight="1" spans="1:6">
      <c r="A1569" s="5" t="s">
        <v>2919</v>
      </c>
      <c r="B1569" s="14" t="s">
        <v>2920</v>
      </c>
      <c r="C1569" s="14" t="s">
        <v>2957</v>
      </c>
      <c r="D1569" s="138">
        <v>2</v>
      </c>
      <c r="E1569" s="14" t="s">
        <v>2958</v>
      </c>
      <c r="F1569" s="14" t="s">
        <v>11</v>
      </c>
    </row>
    <row r="1570" ht="18" customHeight="1" spans="1:6">
      <c r="A1570" s="5" t="s">
        <v>2919</v>
      </c>
      <c r="B1570" s="14" t="s">
        <v>2920</v>
      </c>
      <c r="C1570" s="14" t="s">
        <v>2959</v>
      </c>
      <c r="D1570" s="138">
        <v>3</v>
      </c>
      <c r="E1570" s="14" t="s">
        <v>2960</v>
      </c>
      <c r="F1570" s="14" t="s">
        <v>11</v>
      </c>
    </row>
    <row r="1571" ht="18" customHeight="1" spans="1:6">
      <c r="A1571" s="5" t="s">
        <v>2919</v>
      </c>
      <c r="B1571" s="14" t="s">
        <v>2920</v>
      </c>
      <c r="C1571" s="14" t="s">
        <v>2961</v>
      </c>
      <c r="D1571" s="138">
        <v>3</v>
      </c>
      <c r="E1571" s="14" t="s">
        <v>2962</v>
      </c>
      <c r="F1571" s="14" t="s">
        <v>11</v>
      </c>
    </row>
    <row r="1572" ht="18" customHeight="1" spans="1:6">
      <c r="A1572" s="5" t="s">
        <v>2919</v>
      </c>
      <c r="B1572" s="14" t="s">
        <v>2920</v>
      </c>
      <c r="C1572" s="14" t="s">
        <v>2963</v>
      </c>
      <c r="D1572" s="138">
        <v>2</v>
      </c>
      <c r="E1572" s="14" t="s">
        <v>2964</v>
      </c>
      <c r="F1572" s="14" t="s">
        <v>11</v>
      </c>
    </row>
    <row r="1573" ht="18" customHeight="1" spans="1:6">
      <c r="A1573" s="5" t="s">
        <v>2919</v>
      </c>
      <c r="B1573" s="14" t="s">
        <v>2920</v>
      </c>
      <c r="C1573" s="14" t="s">
        <v>2965</v>
      </c>
      <c r="D1573" s="138">
        <v>2</v>
      </c>
      <c r="E1573" s="14" t="s">
        <v>2966</v>
      </c>
      <c r="F1573" s="14" t="s">
        <v>11</v>
      </c>
    </row>
    <row r="1574" ht="18" customHeight="1" spans="1:6">
      <c r="A1574" s="5" t="s">
        <v>2919</v>
      </c>
      <c r="B1574" s="14" t="s">
        <v>2920</v>
      </c>
      <c r="C1574" s="14" t="s">
        <v>2967</v>
      </c>
      <c r="D1574" s="138">
        <v>2</v>
      </c>
      <c r="E1574" s="14" t="s">
        <v>2968</v>
      </c>
      <c r="F1574" s="14" t="s">
        <v>11</v>
      </c>
    </row>
    <row r="1575" ht="18" customHeight="1" spans="1:6">
      <c r="A1575" s="5" t="s">
        <v>2919</v>
      </c>
      <c r="B1575" s="14" t="s">
        <v>2920</v>
      </c>
      <c r="C1575" s="14" t="s">
        <v>2969</v>
      </c>
      <c r="D1575" s="138">
        <v>5</v>
      </c>
      <c r="E1575" s="14" t="s">
        <v>2970</v>
      </c>
      <c r="F1575" s="14" t="s">
        <v>11</v>
      </c>
    </row>
    <row r="1576" ht="18" customHeight="1" spans="1:6">
      <c r="A1576" s="5" t="s">
        <v>2919</v>
      </c>
      <c r="B1576" s="14" t="s">
        <v>2920</v>
      </c>
      <c r="C1576" s="14" t="s">
        <v>2971</v>
      </c>
      <c r="D1576" s="138">
        <v>3</v>
      </c>
      <c r="E1576" s="14" t="s">
        <v>2972</v>
      </c>
      <c r="F1576" s="14" t="s">
        <v>11</v>
      </c>
    </row>
    <row r="1577" ht="18" customHeight="1" spans="1:6">
      <c r="A1577" s="5" t="s">
        <v>2919</v>
      </c>
      <c r="B1577" s="14" t="s">
        <v>2920</v>
      </c>
      <c r="C1577" s="14" t="s">
        <v>2973</v>
      </c>
      <c r="D1577" s="138">
        <v>3</v>
      </c>
      <c r="E1577" s="14" t="s">
        <v>2974</v>
      </c>
      <c r="F1577" s="14" t="s">
        <v>11</v>
      </c>
    </row>
    <row r="1578" ht="18" customHeight="1" spans="1:6">
      <c r="A1578" s="5" t="s">
        <v>2919</v>
      </c>
      <c r="B1578" s="14" t="s">
        <v>2920</v>
      </c>
      <c r="C1578" s="14" t="s">
        <v>2975</v>
      </c>
      <c r="D1578" s="138">
        <v>3</v>
      </c>
      <c r="E1578" s="192" t="s">
        <v>2976</v>
      </c>
      <c r="F1578" s="14" t="s">
        <v>11</v>
      </c>
    </row>
    <row r="1579" ht="18" customHeight="1" spans="1:6">
      <c r="A1579" s="5" t="s">
        <v>2919</v>
      </c>
      <c r="B1579" s="14" t="s">
        <v>2920</v>
      </c>
      <c r="C1579" s="14" t="s">
        <v>2168</v>
      </c>
      <c r="D1579" s="138">
        <v>4</v>
      </c>
      <c r="E1579" s="14" t="s">
        <v>2977</v>
      </c>
      <c r="F1579" s="14" t="s">
        <v>11</v>
      </c>
    </row>
    <row r="1580" ht="18" customHeight="1" spans="1:6">
      <c r="A1580" s="5" t="s">
        <v>2919</v>
      </c>
      <c r="B1580" s="14" t="s">
        <v>2920</v>
      </c>
      <c r="C1580" s="14" t="s">
        <v>2978</v>
      </c>
      <c r="D1580" s="138">
        <v>2</v>
      </c>
      <c r="E1580" s="14" t="s">
        <v>2979</v>
      </c>
      <c r="F1580" s="14" t="s">
        <v>11</v>
      </c>
    </row>
    <row r="1581" ht="18" customHeight="1" spans="1:6">
      <c r="A1581" s="5" t="s">
        <v>2919</v>
      </c>
      <c r="B1581" s="14" t="s">
        <v>2920</v>
      </c>
      <c r="C1581" s="14" t="s">
        <v>2980</v>
      </c>
      <c r="D1581" s="138">
        <v>2</v>
      </c>
      <c r="E1581" s="14" t="s">
        <v>2981</v>
      </c>
      <c r="F1581" s="14" t="s">
        <v>11</v>
      </c>
    </row>
    <row r="1582" ht="18" customHeight="1" spans="1:6">
      <c r="A1582" s="5" t="s">
        <v>2919</v>
      </c>
      <c r="B1582" s="14" t="s">
        <v>2920</v>
      </c>
      <c r="C1582" s="14" t="s">
        <v>2982</v>
      </c>
      <c r="D1582" s="138">
        <v>1</v>
      </c>
      <c r="E1582" s="192" t="s">
        <v>2983</v>
      </c>
      <c r="F1582" s="14" t="s">
        <v>11</v>
      </c>
    </row>
    <row r="1583" ht="18" customHeight="1" spans="1:6">
      <c r="A1583" s="5" t="s">
        <v>2919</v>
      </c>
      <c r="B1583" s="14" t="s">
        <v>2920</v>
      </c>
      <c r="C1583" s="14" t="s">
        <v>2984</v>
      </c>
      <c r="D1583" s="138">
        <v>1</v>
      </c>
      <c r="E1583" s="192" t="s">
        <v>2985</v>
      </c>
      <c r="F1583" s="14" t="s">
        <v>11</v>
      </c>
    </row>
    <row r="1584" ht="18" customHeight="1" spans="1:6">
      <c r="A1584" s="5" t="s">
        <v>2919</v>
      </c>
      <c r="B1584" s="14" t="s">
        <v>2920</v>
      </c>
      <c r="C1584" s="14" t="s">
        <v>2986</v>
      </c>
      <c r="D1584" s="138">
        <v>1</v>
      </c>
      <c r="E1584" s="192" t="s">
        <v>2987</v>
      </c>
      <c r="F1584" s="14" t="s">
        <v>11</v>
      </c>
    </row>
    <row r="1585" ht="18" customHeight="1" spans="1:6">
      <c r="A1585" s="5" t="s">
        <v>2919</v>
      </c>
      <c r="B1585" s="14" t="s">
        <v>2920</v>
      </c>
      <c r="C1585" s="14" t="s">
        <v>2988</v>
      </c>
      <c r="D1585" s="138">
        <v>1</v>
      </c>
      <c r="E1585" s="192" t="s">
        <v>2989</v>
      </c>
      <c r="F1585" s="14" t="s">
        <v>11</v>
      </c>
    </row>
    <row r="1586" ht="18" customHeight="1" spans="1:6">
      <c r="A1586" s="5" t="s">
        <v>2919</v>
      </c>
      <c r="B1586" s="14" t="s">
        <v>2920</v>
      </c>
      <c r="C1586" s="14" t="s">
        <v>2990</v>
      </c>
      <c r="D1586" s="138">
        <v>1</v>
      </c>
      <c r="E1586" s="192" t="s">
        <v>2991</v>
      </c>
      <c r="F1586" s="14" t="s">
        <v>11</v>
      </c>
    </row>
    <row r="1587" ht="18" customHeight="1" spans="1:6">
      <c r="A1587" s="5" t="s">
        <v>2919</v>
      </c>
      <c r="B1587" s="14" t="s">
        <v>2920</v>
      </c>
      <c r="C1587" s="14" t="s">
        <v>2992</v>
      </c>
      <c r="D1587" s="138">
        <v>1</v>
      </c>
      <c r="E1587" s="192" t="s">
        <v>2993</v>
      </c>
      <c r="F1587" s="14" t="s">
        <v>11</v>
      </c>
    </row>
    <row r="1588" ht="18" customHeight="1" spans="1:6">
      <c r="A1588" s="5" t="s">
        <v>2919</v>
      </c>
      <c r="B1588" s="14" t="s">
        <v>2920</v>
      </c>
      <c r="C1588" s="14" t="s">
        <v>2994</v>
      </c>
      <c r="D1588" s="138">
        <v>4</v>
      </c>
      <c r="E1588" s="14" t="s">
        <v>2995</v>
      </c>
      <c r="F1588" s="14" t="s">
        <v>11</v>
      </c>
    </row>
    <row r="1589" ht="18" customHeight="1" spans="1:6">
      <c r="A1589" s="5" t="s">
        <v>2919</v>
      </c>
      <c r="B1589" s="14" t="s">
        <v>2920</v>
      </c>
      <c r="C1589" s="14" t="s">
        <v>2996</v>
      </c>
      <c r="D1589" s="138">
        <v>2</v>
      </c>
      <c r="E1589" s="14" t="s">
        <v>2997</v>
      </c>
      <c r="F1589" s="14" t="s">
        <v>11</v>
      </c>
    </row>
    <row r="1590" ht="18" customHeight="1" spans="1:6">
      <c r="A1590" s="5" t="s">
        <v>2919</v>
      </c>
      <c r="B1590" s="14" t="s">
        <v>2998</v>
      </c>
      <c r="C1590" s="14" t="s">
        <v>2999</v>
      </c>
      <c r="D1590" s="138">
        <v>4</v>
      </c>
      <c r="E1590" s="14" t="s">
        <v>3000</v>
      </c>
      <c r="F1590" s="14" t="s">
        <v>11</v>
      </c>
    </row>
    <row r="1591" ht="18" customHeight="1" spans="1:6">
      <c r="A1591" s="5" t="s">
        <v>2919</v>
      </c>
      <c r="B1591" s="14" t="s">
        <v>2998</v>
      </c>
      <c r="C1591" s="14" t="s">
        <v>3001</v>
      </c>
      <c r="D1591" s="138">
        <v>2</v>
      </c>
      <c r="E1591" s="14" t="s">
        <v>3002</v>
      </c>
      <c r="F1591" s="14" t="s">
        <v>11</v>
      </c>
    </row>
    <row r="1592" ht="18" customHeight="1" spans="1:6">
      <c r="A1592" s="5" t="s">
        <v>2919</v>
      </c>
      <c r="B1592" s="14" t="s">
        <v>2998</v>
      </c>
      <c r="C1592" s="14" t="s">
        <v>3003</v>
      </c>
      <c r="D1592" s="138">
        <v>3</v>
      </c>
      <c r="E1592" s="14" t="s">
        <v>3004</v>
      </c>
      <c r="F1592" s="14" t="s">
        <v>11</v>
      </c>
    </row>
    <row r="1593" ht="18" customHeight="1" spans="1:6">
      <c r="A1593" s="5" t="s">
        <v>2919</v>
      </c>
      <c r="B1593" s="14" t="s">
        <v>2998</v>
      </c>
      <c r="C1593" s="14" t="s">
        <v>3005</v>
      </c>
      <c r="D1593" s="138">
        <v>3</v>
      </c>
      <c r="E1593" s="14" t="s">
        <v>3006</v>
      </c>
      <c r="F1593" s="14" t="s">
        <v>11</v>
      </c>
    </row>
    <row r="1594" ht="18" customHeight="1" spans="1:6">
      <c r="A1594" s="5" t="s">
        <v>2919</v>
      </c>
      <c r="B1594" s="14" t="s">
        <v>2998</v>
      </c>
      <c r="C1594" s="14" t="s">
        <v>3007</v>
      </c>
      <c r="D1594" s="138">
        <v>3</v>
      </c>
      <c r="E1594" s="14" t="s">
        <v>3008</v>
      </c>
      <c r="F1594" s="14" t="s">
        <v>11</v>
      </c>
    </row>
    <row r="1595" ht="18" customHeight="1" spans="1:6">
      <c r="A1595" s="5" t="s">
        <v>2919</v>
      </c>
      <c r="B1595" s="14" t="s">
        <v>2998</v>
      </c>
      <c r="C1595" s="14" t="s">
        <v>3009</v>
      </c>
      <c r="D1595" s="138">
        <v>2</v>
      </c>
      <c r="E1595" s="14" t="s">
        <v>3010</v>
      </c>
      <c r="F1595" s="14" t="s">
        <v>11</v>
      </c>
    </row>
    <row r="1596" ht="18" customHeight="1" spans="1:6">
      <c r="A1596" s="5" t="s">
        <v>2919</v>
      </c>
      <c r="B1596" s="14" t="s">
        <v>2998</v>
      </c>
      <c r="C1596" s="14" t="s">
        <v>3011</v>
      </c>
      <c r="D1596" s="138">
        <v>4</v>
      </c>
      <c r="E1596" s="14" t="s">
        <v>3012</v>
      </c>
      <c r="F1596" s="14" t="s">
        <v>11</v>
      </c>
    </row>
    <row r="1597" ht="18" customHeight="1" spans="1:6">
      <c r="A1597" s="5" t="s">
        <v>2919</v>
      </c>
      <c r="B1597" s="14" t="s">
        <v>2998</v>
      </c>
      <c r="C1597" s="14" t="s">
        <v>3013</v>
      </c>
      <c r="D1597" s="138">
        <v>3</v>
      </c>
      <c r="E1597" s="14" t="s">
        <v>3014</v>
      </c>
      <c r="F1597" s="14" t="s">
        <v>11</v>
      </c>
    </row>
    <row r="1598" ht="18" customHeight="1" spans="1:6">
      <c r="A1598" s="5" t="s">
        <v>2919</v>
      </c>
      <c r="B1598" s="14" t="s">
        <v>2998</v>
      </c>
      <c r="C1598" s="14" t="s">
        <v>3015</v>
      </c>
      <c r="D1598" s="138">
        <v>4</v>
      </c>
      <c r="E1598" s="14" t="s">
        <v>3016</v>
      </c>
      <c r="F1598" s="14" t="s">
        <v>11</v>
      </c>
    </row>
    <row r="1599" ht="18" customHeight="1" spans="1:6">
      <c r="A1599" s="5" t="s">
        <v>2919</v>
      </c>
      <c r="B1599" s="14" t="s">
        <v>2998</v>
      </c>
      <c r="C1599" s="14" t="s">
        <v>3017</v>
      </c>
      <c r="D1599" s="138">
        <v>4</v>
      </c>
      <c r="E1599" s="14" t="s">
        <v>3018</v>
      </c>
      <c r="F1599" s="14" t="s">
        <v>11</v>
      </c>
    </row>
    <row r="1600" ht="18" customHeight="1" spans="1:6">
      <c r="A1600" s="5" t="s">
        <v>2919</v>
      </c>
      <c r="B1600" s="14" t="s">
        <v>2998</v>
      </c>
      <c r="C1600" s="14" t="s">
        <v>3019</v>
      </c>
      <c r="D1600" s="138">
        <v>3</v>
      </c>
      <c r="E1600" s="14" t="s">
        <v>3020</v>
      </c>
      <c r="F1600" s="14" t="s">
        <v>11</v>
      </c>
    </row>
    <row r="1601" ht="18" customHeight="1" spans="1:6">
      <c r="A1601" s="5" t="s">
        <v>2919</v>
      </c>
      <c r="B1601" s="14" t="s">
        <v>2998</v>
      </c>
      <c r="C1601" s="14" t="s">
        <v>3021</v>
      </c>
      <c r="D1601" s="138">
        <v>3</v>
      </c>
      <c r="E1601" s="14" t="s">
        <v>3022</v>
      </c>
      <c r="F1601" s="14" t="s">
        <v>11</v>
      </c>
    </row>
    <row r="1602" ht="18" customHeight="1" spans="1:6">
      <c r="A1602" s="5" t="s">
        <v>2919</v>
      </c>
      <c r="B1602" s="14" t="s">
        <v>2998</v>
      </c>
      <c r="C1602" s="14" t="s">
        <v>3023</v>
      </c>
      <c r="D1602" s="138">
        <v>2</v>
      </c>
      <c r="E1602" s="14" t="s">
        <v>3024</v>
      </c>
      <c r="F1602" s="14" t="s">
        <v>11</v>
      </c>
    </row>
    <row r="1603" ht="18" customHeight="1" spans="1:6">
      <c r="A1603" s="5" t="s">
        <v>2919</v>
      </c>
      <c r="B1603" s="14" t="s">
        <v>2998</v>
      </c>
      <c r="C1603" s="14" t="s">
        <v>3025</v>
      </c>
      <c r="D1603" s="138">
        <v>3</v>
      </c>
      <c r="E1603" s="14" t="s">
        <v>3026</v>
      </c>
      <c r="F1603" s="14" t="s">
        <v>11</v>
      </c>
    </row>
    <row r="1604" ht="18" customHeight="1" spans="1:6">
      <c r="A1604" s="5" t="s">
        <v>2919</v>
      </c>
      <c r="B1604" s="14" t="s">
        <v>2998</v>
      </c>
      <c r="C1604" s="14" t="s">
        <v>3027</v>
      </c>
      <c r="D1604" s="138">
        <v>3</v>
      </c>
      <c r="E1604" s="14" t="s">
        <v>3028</v>
      </c>
      <c r="F1604" s="14" t="s">
        <v>11</v>
      </c>
    </row>
    <row r="1605" ht="18" customHeight="1" spans="1:6">
      <c r="A1605" s="5" t="s">
        <v>2919</v>
      </c>
      <c r="B1605" s="14" t="s">
        <v>2998</v>
      </c>
      <c r="C1605" s="14" t="s">
        <v>3029</v>
      </c>
      <c r="D1605" s="138">
        <v>1</v>
      </c>
      <c r="E1605" s="14" t="s">
        <v>3030</v>
      </c>
      <c r="F1605" s="14" t="s">
        <v>11</v>
      </c>
    </row>
    <row r="1606" ht="18" customHeight="1" spans="1:6">
      <c r="A1606" s="5" t="s">
        <v>2919</v>
      </c>
      <c r="B1606" s="14" t="s">
        <v>2998</v>
      </c>
      <c r="C1606" s="14" t="s">
        <v>3031</v>
      </c>
      <c r="D1606" s="138">
        <v>1</v>
      </c>
      <c r="E1606" s="14" t="s">
        <v>3032</v>
      </c>
      <c r="F1606" s="14" t="s">
        <v>11</v>
      </c>
    </row>
    <row r="1607" ht="18" customHeight="1" spans="1:6">
      <c r="A1607" s="5" t="s">
        <v>2919</v>
      </c>
      <c r="B1607" s="14" t="s">
        <v>2998</v>
      </c>
      <c r="C1607" s="14" t="s">
        <v>3033</v>
      </c>
      <c r="D1607" s="138">
        <v>1</v>
      </c>
      <c r="E1607" s="14" t="s">
        <v>3034</v>
      </c>
      <c r="F1607" s="14" t="s">
        <v>11</v>
      </c>
    </row>
    <row r="1608" ht="18" customHeight="1" spans="1:6">
      <c r="A1608" s="5" t="s">
        <v>2919</v>
      </c>
      <c r="B1608" s="14" t="s">
        <v>2998</v>
      </c>
      <c r="C1608" s="14" t="s">
        <v>3035</v>
      </c>
      <c r="D1608" s="138">
        <v>1</v>
      </c>
      <c r="E1608" s="14" t="s">
        <v>3036</v>
      </c>
      <c r="F1608" s="14" t="s">
        <v>11</v>
      </c>
    </row>
    <row r="1609" ht="18" customHeight="1" spans="1:6">
      <c r="A1609" s="5" t="s">
        <v>2919</v>
      </c>
      <c r="B1609" s="14" t="s">
        <v>3037</v>
      </c>
      <c r="C1609" s="14" t="s">
        <v>3038</v>
      </c>
      <c r="D1609" s="138">
        <v>2</v>
      </c>
      <c r="E1609" s="14" t="s">
        <v>3039</v>
      </c>
      <c r="F1609" s="14" t="s">
        <v>11</v>
      </c>
    </row>
    <row r="1610" ht="18" customHeight="1" spans="1:6">
      <c r="A1610" s="5" t="s">
        <v>2919</v>
      </c>
      <c r="B1610" s="14" t="s">
        <v>3037</v>
      </c>
      <c r="C1610" s="14" t="s">
        <v>3040</v>
      </c>
      <c r="D1610" s="138">
        <v>4</v>
      </c>
      <c r="E1610" s="14" t="s">
        <v>3041</v>
      </c>
      <c r="F1610" s="14" t="s">
        <v>11</v>
      </c>
    </row>
    <row r="1611" ht="18" customHeight="1" spans="1:6">
      <c r="A1611" s="5" t="s">
        <v>2919</v>
      </c>
      <c r="B1611" s="14" t="s">
        <v>3037</v>
      </c>
      <c r="C1611" s="14" t="s">
        <v>3042</v>
      </c>
      <c r="D1611" s="138">
        <v>4</v>
      </c>
      <c r="E1611" s="14" t="s">
        <v>3043</v>
      </c>
      <c r="F1611" s="14" t="s">
        <v>11</v>
      </c>
    </row>
    <row r="1612" ht="18" customHeight="1" spans="1:6">
      <c r="A1612" s="5" t="s">
        <v>2919</v>
      </c>
      <c r="B1612" s="14" t="s">
        <v>3037</v>
      </c>
      <c r="C1612" s="14" t="s">
        <v>3044</v>
      </c>
      <c r="D1612" s="138">
        <v>2</v>
      </c>
      <c r="E1612" s="14" t="s">
        <v>3045</v>
      </c>
      <c r="F1612" s="14" t="s">
        <v>11</v>
      </c>
    </row>
    <row r="1613" ht="18" customHeight="1" spans="1:6">
      <c r="A1613" s="5" t="s">
        <v>2919</v>
      </c>
      <c r="B1613" s="14" t="s">
        <v>3037</v>
      </c>
      <c r="C1613" s="14" t="s">
        <v>3046</v>
      </c>
      <c r="D1613" s="138">
        <v>5</v>
      </c>
      <c r="E1613" s="14" t="s">
        <v>3047</v>
      </c>
      <c r="F1613" s="14" t="s">
        <v>11</v>
      </c>
    </row>
    <row r="1614" ht="18" customHeight="1" spans="1:6">
      <c r="A1614" s="5" t="s">
        <v>2919</v>
      </c>
      <c r="B1614" s="14" t="s">
        <v>3037</v>
      </c>
      <c r="C1614" s="14" t="s">
        <v>3048</v>
      </c>
      <c r="D1614" s="138">
        <v>6</v>
      </c>
      <c r="E1614" s="14" t="s">
        <v>3049</v>
      </c>
      <c r="F1614" s="14" t="s">
        <v>11</v>
      </c>
    </row>
    <row r="1615" ht="18" customHeight="1" spans="1:6">
      <c r="A1615" s="5" t="s">
        <v>2919</v>
      </c>
      <c r="B1615" s="14" t="s">
        <v>3037</v>
      </c>
      <c r="C1615" s="14" t="s">
        <v>3050</v>
      </c>
      <c r="D1615" s="138">
        <v>7</v>
      </c>
      <c r="E1615" s="14" t="s">
        <v>3051</v>
      </c>
      <c r="F1615" s="14" t="s">
        <v>11</v>
      </c>
    </row>
    <row r="1616" ht="18" customHeight="1" spans="1:6">
      <c r="A1616" s="5" t="s">
        <v>2919</v>
      </c>
      <c r="B1616" s="14" t="s">
        <v>3037</v>
      </c>
      <c r="C1616" s="14" t="s">
        <v>3052</v>
      </c>
      <c r="D1616" s="138">
        <v>2</v>
      </c>
      <c r="E1616" s="14" t="s">
        <v>3053</v>
      </c>
      <c r="F1616" s="14" t="s">
        <v>11</v>
      </c>
    </row>
    <row r="1617" ht="18" customHeight="1" spans="1:6">
      <c r="A1617" s="5" t="s">
        <v>2919</v>
      </c>
      <c r="B1617" s="14" t="s">
        <v>3037</v>
      </c>
      <c r="C1617" s="14" t="s">
        <v>3054</v>
      </c>
      <c r="D1617" s="138">
        <v>3</v>
      </c>
      <c r="E1617" s="14" t="s">
        <v>3055</v>
      </c>
      <c r="F1617" s="14" t="s">
        <v>11</v>
      </c>
    </row>
    <row r="1618" ht="18" customHeight="1" spans="1:6">
      <c r="A1618" s="5" t="s">
        <v>2919</v>
      </c>
      <c r="B1618" s="14" t="s">
        <v>3037</v>
      </c>
      <c r="C1618" s="14" t="s">
        <v>3056</v>
      </c>
      <c r="D1618" s="138">
        <v>2</v>
      </c>
      <c r="E1618" s="14" t="s">
        <v>3057</v>
      </c>
      <c r="F1618" s="14" t="s">
        <v>11</v>
      </c>
    </row>
    <row r="1619" ht="18" customHeight="1" spans="1:6">
      <c r="A1619" s="5" t="s">
        <v>2919</v>
      </c>
      <c r="B1619" s="14" t="s">
        <v>3037</v>
      </c>
      <c r="C1619" s="14" t="s">
        <v>3058</v>
      </c>
      <c r="D1619" s="138">
        <v>4</v>
      </c>
      <c r="E1619" s="14" t="s">
        <v>3059</v>
      </c>
      <c r="F1619" s="14" t="s">
        <v>11</v>
      </c>
    </row>
    <row r="1620" ht="18" customHeight="1" spans="1:6">
      <c r="A1620" s="5" t="s">
        <v>2919</v>
      </c>
      <c r="B1620" s="14" t="s">
        <v>3037</v>
      </c>
      <c r="C1620" s="14" t="s">
        <v>3060</v>
      </c>
      <c r="D1620" s="138">
        <v>2</v>
      </c>
      <c r="E1620" s="14" t="s">
        <v>3061</v>
      </c>
      <c r="F1620" s="14" t="s">
        <v>11</v>
      </c>
    </row>
    <row r="1621" ht="18" customHeight="1" spans="1:6">
      <c r="A1621" s="5" t="s">
        <v>2919</v>
      </c>
      <c r="B1621" s="14" t="s">
        <v>3037</v>
      </c>
      <c r="C1621" s="14" t="s">
        <v>3062</v>
      </c>
      <c r="D1621" s="138">
        <v>3</v>
      </c>
      <c r="E1621" s="14" t="s">
        <v>3063</v>
      </c>
      <c r="F1621" s="14" t="s">
        <v>11</v>
      </c>
    </row>
    <row r="1622" ht="18" customHeight="1" spans="1:6">
      <c r="A1622" s="5" t="s">
        <v>2919</v>
      </c>
      <c r="B1622" s="14" t="s">
        <v>3037</v>
      </c>
      <c r="C1622" s="14" t="s">
        <v>3064</v>
      </c>
      <c r="D1622" s="138">
        <v>4</v>
      </c>
      <c r="E1622" s="14" t="s">
        <v>3065</v>
      </c>
      <c r="F1622" s="14" t="s">
        <v>11</v>
      </c>
    </row>
    <row r="1623" ht="18" customHeight="1" spans="1:6">
      <c r="A1623" s="5" t="s">
        <v>2919</v>
      </c>
      <c r="B1623" s="14" t="s">
        <v>3037</v>
      </c>
      <c r="C1623" s="14" t="s">
        <v>3066</v>
      </c>
      <c r="D1623" s="138">
        <v>3</v>
      </c>
      <c r="E1623" s="14" t="s">
        <v>3067</v>
      </c>
      <c r="F1623" s="14" t="s">
        <v>11</v>
      </c>
    </row>
    <row r="1624" ht="18" customHeight="1" spans="1:6">
      <c r="A1624" s="5" t="s">
        <v>2919</v>
      </c>
      <c r="B1624" s="14" t="s">
        <v>3037</v>
      </c>
      <c r="C1624" s="14" t="s">
        <v>3068</v>
      </c>
      <c r="D1624" s="138">
        <v>6</v>
      </c>
      <c r="E1624" s="14" t="s">
        <v>3069</v>
      </c>
      <c r="F1624" s="14" t="s">
        <v>11</v>
      </c>
    </row>
    <row r="1625" ht="18" customHeight="1" spans="1:6">
      <c r="A1625" s="5" t="s">
        <v>2919</v>
      </c>
      <c r="B1625" s="14" t="s">
        <v>3037</v>
      </c>
      <c r="C1625" s="14" t="s">
        <v>3070</v>
      </c>
      <c r="D1625" s="138">
        <v>4</v>
      </c>
      <c r="E1625" s="14" t="s">
        <v>3071</v>
      </c>
      <c r="F1625" s="14" t="s">
        <v>11</v>
      </c>
    </row>
    <row r="1626" ht="18" customHeight="1" spans="1:6">
      <c r="A1626" s="5" t="s">
        <v>2919</v>
      </c>
      <c r="B1626" s="14" t="s">
        <v>3037</v>
      </c>
      <c r="C1626" s="14" t="s">
        <v>3072</v>
      </c>
      <c r="D1626" s="138">
        <v>2</v>
      </c>
      <c r="E1626" s="14" t="s">
        <v>3073</v>
      </c>
      <c r="F1626" s="14" t="s">
        <v>11</v>
      </c>
    </row>
    <row r="1627" ht="18" customHeight="1" spans="1:6">
      <c r="A1627" s="5" t="s">
        <v>2919</v>
      </c>
      <c r="B1627" s="14" t="s">
        <v>3037</v>
      </c>
      <c r="C1627" s="14" t="s">
        <v>3074</v>
      </c>
      <c r="D1627" s="138">
        <v>1</v>
      </c>
      <c r="E1627" s="14" t="s">
        <v>3075</v>
      </c>
      <c r="F1627" s="14" t="s">
        <v>11</v>
      </c>
    </row>
    <row r="1628" ht="18" customHeight="1" spans="1:6">
      <c r="A1628" s="5" t="s">
        <v>2919</v>
      </c>
      <c r="B1628" s="14" t="s">
        <v>3037</v>
      </c>
      <c r="C1628" s="14" t="s">
        <v>3076</v>
      </c>
      <c r="D1628" s="138">
        <v>2</v>
      </c>
      <c r="E1628" s="14" t="s">
        <v>3077</v>
      </c>
      <c r="F1628" s="14" t="s">
        <v>11</v>
      </c>
    </row>
    <row r="1629" ht="18" customHeight="1" spans="1:6">
      <c r="A1629" s="5" t="s">
        <v>2919</v>
      </c>
      <c r="B1629" s="14" t="s">
        <v>3037</v>
      </c>
      <c r="C1629" s="14" t="s">
        <v>3078</v>
      </c>
      <c r="D1629" s="138">
        <v>4</v>
      </c>
      <c r="E1629" s="14" t="s">
        <v>3079</v>
      </c>
      <c r="F1629" s="14" t="s">
        <v>11</v>
      </c>
    </row>
    <row r="1630" ht="18" customHeight="1" spans="1:6">
      <c r="A1630" s="5" t="s">
        <v>2919</v>
      </c>
      <c r="B1630" s="14" t="s">
        <v>3037</v>
      </c>
      <c r="C1630" s="14" t="s">
        <v>2996</v>
      </c>
      <c r="D1630" s="138">
        <v>4</v>
      </c>
      <c r="E1630" s="14" t="s">
        <v>3080</v>
      </c>
      <c r="F1630" s="14" t="s">
        <v>11</v>
      </c>
    </row>
    <row r="1631" ht="18" customHeight="1" spans="1:6">
      <c r="A1631" s="5" t="s">
        <v>2919</v>
      </c>
      <c r="B1631" s="14" t="s">
        <v>3037</v>
      </c>
      <c r="C1631" s="14" t="s">
        <v>3081</v>
      </c>
      <c r="D1631" s="138">
        <v>1</v>
      </c>
      <c r="E1631" s="192" t="s">
        <v>3082</v>
      </c>
      <c r="F1631" s="14" t="s">
        <v>11</v>
      </c>
    </row>
    <row r="1632" ht="18" customHeight="1" spans="1:6">
      <c r="A1632" s="5" t="s">
        <v>2919</v>
      </c>
      <c r="B1632" s="14" t="s">
        <v>3037</v>
      </c>
      <c r="C1632" s="14" t="s">
        <v>3083</v>
      </c>
      <c r="D1632" s="138">
        <v>2</v>
      </c>
      <c r="E1632" s="14" t="s">
        <v>3084</v>
      </c>
      <c r="F1632" s="14" t="s">
        <v>11</v>
      </c>
    </row>
    <row r="1633" ht="18" customHeight="1" spans="1:6">
      <c r="A1633" s="5" t="s">
        <v>2919</v>
      </c>
      <c r="B1633" s="14" t="s">
        <v>3037</v>
      </c>
      <c r="C1633" s="14" t="s">
        <v>3085</v>
      </c>
      <c r="D1633" s="138">
        <v>1</v>
      </c>
      <c r="E1633" s="192" t="s">
        <v>3086</v>
      </c>
      <c r="F1633" s="14" t="s">
        <v>11</v>
      </c>
    </row>
    <row r="1634" ht="18" customHeight="1" spans="1:6">
      <c r="A1634" s="5" t="s">
        <v>2919</v>
      </c>
      <c r="B1634" s="14" t="s">
        <v>3037</v>
      </c>
      <c r="C1634" s="14" t="s">
        <v>3087</v>
      </c>
      <c r="D1634" s="138">
        <v>6</v>
      </c>
      <c r="E1634" s="192" t="s">
        <v>3088</v>
      </c>
      <c r="F1634" s="14" t="s">
        <v>11</v>
      </c>
    </row>
    <row r="1635" ht="18" customHeight="1" spans="1:6">
      <c r="A1635" s="5" t="s">
        <v>2919</v>
      </c>
      <c r="B1635" s="14" t="s">
        <v>3037</v>
      </c>
      <c r="C1635" s="14" t="s">
        <v>3089</v>
      </c>
      <c r="D1635" s="138">
        <v>2</v>
      </c>
      <c r="E1635" s="192" t="s">
        <v>3090</v>
      </c>
      <c r="F1635" s="14" t="s">
        <v>11</v>
      </c>
    </row>
    <row r="1636" ht="18" customHeight="1" spans="1:6">
      <c r="A1636" s="5" t="s">
        <v>2919</v>
      </c>
      <c r="B1636" s="14" t="s">
        <v>3037</v>
      </c>
      <c r="C1636" s="14" t="s">
        <v>3091</v>
      </c>
      <c r="D1636" s="138">
        <v>4</v>
      </c>
      <c r="E1636" s="192" t="s">
        <v>3092</v>
      </c>
      <c r="F1636" s="14" t="s">
        <v>11</v>
      </c>
    </row>
    <row r="1637" ht="18" customHeight="1" spans="1:6">
      <c r="A1637" s="5" t="s">
        <v>2919</v>
      </c>
      <c r="B1637" s="14" t="s">
        <v>3037</v>
      </c>
      <c r="C1637" s="14" t="s">
        <v>3093</v>
      </c>
      <c r="D1637" s="138">
        <v>1</v>
      </c>
      <c r="E1637" s="192" t="s">
        <v>3094</v>
      </c>
      <c r="F1637" s="14" t="s">
        <v>11</v>
      </c>
    </row>
    <row r="1638" ht="18" customHeight="1" spans="1:6">
      <c r="A1638" s="5" t="s">
        <v>2919</v>
      </c>
      <c r="B1638" s="14" t="s">
        <v>3037</v>
      </c>
      <c r="C1638" s="14" t="s">
        <v>3033</v>
      </c>
      <c r="D1638" s="138">
        <v>4</v>
      </c>
      <c r="E1638" s="192" t="s">
        <v>3095</v>
      </c>
      <c r="F1638" s="14" t="s">
        <v>11</v>
      </c>
    </row>
    <row r="1639" ht="18" customHeight="1" spans="1:6">
      <c r="A1639" s="5" t="s">
        <v>2919</v>
      </c>
      <c r="B1639" s="14" t="s">
        <v>3037</v>
      </c>
      <c r="C1639" s="14" t="s">
        <v>3096</v>
      </c>
      <c r="D1639" s="138">
        <v>4</v>
      </c>
      <c r="E1639" s="192" t="s">
        <v>3097</v>
      </c>
      <c r="F1639" s="14" t="s">
        <v>11</v>
      </c>
    </row>
    <row r="1640" ht="18" customHeight="1" spans="1:6">
      <c r="A1640" s="5" t="s">
        <v>2919</v>
      </c>
      <c r="B1640" s="14" t="s">
        <v>3037</v>
      </c>
      <c r="C1640" s="14" t="s">
        <v>3098</v>
      </c>
      <c r="D1640" s="138">
        <v>2</v>
      </c>
      <c r="E1640" s="192" t="s">
        <v>3099</v>
      </c>
      <c r="F1640" s="14" t="s">
        <v>11</v>
      </c>
    </row>
    <row r="1641" ht="18" customHeight="1" spans="1:6">
      <c r="A1641" s="5" t="s">
        <v>2919</v>
      </c>
      <c r="B1641" s="14" t="s">
        <v>3037</v>
      </c>
      <c r="C1641" s="14" t="s">
        <v>3100</v>
      </c>
      <c r="D1641" s="138">
        <v>2</v>
      </c>
      <c r="E1641" s="192" t="s">
        <v>3101</v>
      </c>
      <c r="F1641" s="14" t="s">
        <v>11</v>
      </c>
    </row>
    <row r="1642" ht="18" customHeight="1" spans="1:6">
      <c r="A1642" s="5" t="s">
        <v>2919</v>
      </c>
      <c r="B1642" s="14" t="s">
        <v>3037</v>
      </c>
      <c r="C1642" s="14" t="s">
        <v>3102</v>
      </c>
      <c r="D1642" s="138">
        <v>3</v>
      </c>
      <c r="E1642" s="192" t="s">
        <v>3103</v>
      </c>
      <c r="F1642" s="14" t="s">
        <v>11</v>
      </c>
    </row>
    <row r="1643" ht="18" customHeight="1" spans="1:6">
      <c r="A1643" s="5" t="s">
        <v>2919</v>
      </c>
      <c r="B1643" s="14" t="s">
        <v>3037</v>
      </c>
      <c r="C1643" s="14" t="s">
        <v>3104</v>
      </c>
      <c r="D1643" s="138">
        <v>2</v>
      </c>
      <c r="E1643" s="14" t="s">
        <v>3105</v>
      </c>
      <c r="F1643" s="14" t="s">
        <v>11</v>
      </c>
    </row>
    <row r="1644" ht="18" customHeight="1" spans="1:6">
      <c r="A1644" s="5" t="s">
        <v>2919</v>
      </c>
      <c r="B1644" s="14" t="s">
        <v>3037</v>
      </c>
      <c r="C1644" s="14" t="s">
        <v>3106</v>
      </c>
      <c r="D1644" s="138">
        <v>3</v>
      </c>
      <c r="E1644" s="14" t="s">
        <v>3107</v>
      </c>
      <c r="F1644" s="14" t="s">
        <v>11</v>
      </c>
    </row>
    <row r="1645" ht="18" customHeight="1" spans="1:6">
      <c r="A1645" s="5" t="s">
        <v>2919</v>
      </c>
      <c r="B1645" s="14" t="s">
        <v>3037</v>
      </c>
      <c r="C1645" s="14" t="s">
        <v>3108</v>
      </c>
      <c r="D1645" s="138">
        <v>2</v>
      </c>
      <c r="E1645" s="14" t="s">
        <v>3109</v>
      </c>
      <c r="F1645" s="14" t="s">
        <v>11</v>
      </c>
    </row>
    <row r="1646" ht="18" customHeight="1" spans="1:6">
      <c r="A1646" s="5" t="s">
        <v>2919</v>
      </c>
      <c r="B1646" s="14" t="s">
        <v>3037</v>
      </c>
      <c r="C1646" s="14" t="s">
        <v>3110</v>
      </c>
      <c r="D1646" s="138">
        <v>2</v>
      </c>
      <c r="E1646" s="14" t="s">
        <v>3111</v>
      </c>
      <c r="F1646" s="14" t="s">
        <v>11</v>
      </c>
    </row>
    <row r="1647" ht="18" customHeight="1" spans="1:6">
      <c r="A1647" s="5" t="s">
        <v>2919</v>
      </c>
      <c r="B1647" s="14" t="s">
        <v>3037</v>
      </c>
      <c r="C1647" s="14" t="s">
        <v>3112</v>
      </c>
      <c r="D1647" s="138">
        <v>3</v>
      </c>
      <c r="E1647" s="14" t="s">
        <v>3113</v>
      </c>
      <c r="F1647" s="14" t="s">
        <v>11</v>
      </c>
    </row>
    <row r="1648" ht="18" customHeight="1" spans="1:6">
      <c r="A1648" s="5" t="s">
        <v>2919</v>
      </c>
      <c r="B1648" s="14" t="s">
        <v>3037</v>
      </c>
      <c r="C1648" s="14" t="s">
        <v>3114</v>
      </c>
      <c r="D1648" s="138">
        <v>5</v>
      </c>
      <c r="E1648" s="14" t="s">
        <v>3115</v>
      </c>
      <c r="F1648" s="14" t="s">
        <v>11</v>
      </c>
    </row>
    <row r="1649" ht="18" customHeight="1" spans="1:6">
      <c r="A1649" s="5" t="s">
        <v>2919</v>
      </c>
      <c r="B1649" s="14" t="s">
        <v>3037</v>
      </c>
      <c r="C1649" s="14" t="s">
        <v>3116</v>
      </c>
      <c r="D1649" s="138">
        <v>2</v>
      </c>
      <c r="E1649" s="14" t="s">
        <v>3117</v>
      </c>
      <c r="F1649" s="14" t="s">
        <v>11</v>
      </c>
    </row>
    <row r="1650" ht="18" customHeight="1" spans="1:6">
      <c r="A1650" s="5" t="s">
        <v>2919</v>
      </c>
      <c r="B1650" s="14" t="s">
        <v>3037</v>
      </c>
      <c r="C1650" s="14" t="s">
        <v>3118</v>
      </c>
      <c r="D1650" s="138">
        <v>1</v>
      </c>
      <c r="E1650" s="14" t="s">
        <v>3119</v>
      </c>
      <c r="F1650" s="14" t="s">
        <v>11</v>
      </c>
    </row>
    <row r="1651" ht="18" customHeight="1" spans="1:6">
      <c r="A1651" s="5" t="s">
        <v>2919</v>
      </c>
      <c r="B1651" s="14" t="s">
        <v>3037</v>
      </c>
      <c r="C1651" s="14" t="s">
        <v>3120</v>
      </c>
      <c r="D1651" s="138">
        <v>1</v>
      </c>
      <c r="E1651" s="192" t="s">
        <v>3121</v>
      </c>
      <c r="F1651" s="14" t="s">
        <v>11</v>
      </c>
    </row>
    <row r="1652" ht="18" customHeight="1" spans="1:6">
      <c r="A1652" s="5" t="s">
        <v>2919</v>
      </c>
      <c r="B1652" s="14" t="s">
        <v>3037</v>
      </c>
      <c r="C1652" s="14" t="s">
        <v>3122</v>
      </c>
      <c r="D1652" s="138">
        <v>1</v>
      </c>
      <c r="E1652" s="192" t="s">
        <v>3123</v>
      </c>
      <c r="F1652" s="14" t="s">
        <v>11</v>
      </c>
    </row>
    <row r="1653" ht="18" customHeight="1" spans="1:6">
      <c r="A1653" s="5" t="s">
        <v>2919</v>
      </c>
      <c r="B1653" s="14" t="s">
        <v>3037</v>
      </c>
      <c r="C1653" s="14" t="s">
        <v>3124</v>
      </c>
      <c r="D1653" s="138">
        <v>1</v>
      </c>
      <c r="E1653" s="192" t="s">
        <v>3125</v>
      </c>
      <c r="F1653" s="14" t="s">
        <v>11</v>
      </c>
    </row>
    <row r="1654" ht="18" customHeight="1" spans="1:6">
      <c r="A1654" s="5" t="s">
        <v>2919</v>
      </c>
      <c r="B1654" s="14" t="s">
        <v>3037</v>
      </c>
      <c r="C1654" s="14" t="s">
        <v>3126</v>
      </c>
      <c r="D1654" s="138">
        <v>1</v>
      </c>
      <c r="E1654" s="192" t="s">
        <v>3127</v>
      </c>
      <c r="F1654" s="14" t="s">
        <v>11</v>
      </c>
    </row>
    <row r="1655" ht="18" customHeight="1" spans="1:6">
      <c r="A1655" s="5" t="s">
        <v>2919</v>
      </c>
      <c r="B1655" s="14" t="s">
        <v>3037</v>
      </c>
      <c r="C1655" s="14" t="s">
        <v>3128</v>
      </c>
      <c r="D1655" s="138">
        <v>1</v>
      </c>
      <c r="E1655" s="192" t="s">
        <v>3129</v>
      </c>
      <c r="F1655" s="14" t="s">
        <v>11</v>
      </c>
    </row>
    <row r="1656" ht="18" customHeight="1" spans="1:6">
      <c r="A1656" s="5" t="s">
        <v>2919</v>
      </c>
      <c r="B1656" s="14" t="s">
        <v>3037</v>
      </c>
      <c r="C1656" s="14" t="s">
        <v>3130</v>
      </c>
      <c r="D1656" s="138">
        <v>1</v>
      </c>
      <c r="E1656" s="14" t="s">
        <v>3131</v>
      </c>
      <c r="F1656" s="14" t="s">
        <v>11</v>
      </c>
    </row>
    <row r="1657" ht="18" customHeight="1" spans="1:6">
      <c r="A1657" s="5" t="s">
        <v>2919</v>
      </c>
      <c r="B1657" s="14" t="s">
        <v>3037</v>
      </c>
      <c r="C1657" s="14" t="s">
        <v>3132</v>
      </c>
      <c r="D1657" s="138">
        <v>1</v>
      </c>
      <c r="E1657" s="14" t="s">
        <v>3133</v>
      </c>
      <c r="F1657" s="14" t="s">
        <v>11</v>
      </c>
    </row>
    <row r="1658" ht="18" customHeight="1" spans="1:6">
      <c r="A1658" s="5" t="s">
        <v>2919</v>
      </c>
      <c r="B1658" s="14" t="s">
        <v>3037</v>
      </c>
      <c r="C1658" s="14" t="s">
        <v>3134</v>
      </c>
      <c r="D1658" s="138">
        <v>1</v>
      </c>
      <c r="E1658" s="192" t="s">
        <v>3135</v>
      </c>
      <c r="F1658" s="14" t="s">
        <v>11</v>
      </c>
    </row>
    <row r="1659" ht="18" customHeight="1" spans="1:6">
      <c r="A1659" s="5" t="s">
        <v>2919</v>
      </c>
      <c r="B1659" s="14" t="s">
        <v>3037</v>
      </c>
      <c r="C1659" s="14" t="s">
        <v>3136</v>
      </c>
      <c r="D1659" s="138">
        <v>1</v>
      </c>
      <c r="E1659" s="14" t="s">
        <v>3137</v>
      </c>
      <c r="F1659" s="14" t="s">
        <v>11</v>
      </c>
    </row>
    <row r="1660" ht="18" customHeight="1" spans="1:6">
      <c r="A1660" s="5" t="s">
        <v>2919</v>
      </c>
      <c r="B1660" s="14" t="s">
        <v>3037</v>
      </c>
      <c r="C1660" s="14" t="s">
        <v>3138</v>
      </c>
      <c r="D1660" s="138">
        <v>1</v>
      </c>
      <c r="E1660" s="14" t="s">
        <v>3139</v>
      </c>
      <c r="F1660" s="14" t="s">
        <v>11</v>
      </c>
    </row>
    <row r="1661" ht="18" customHeight="1" spans="1:6">
      <c r="A1661" s="5" t="s">
        <v>2919</v>
      </c>
      <c r="B1661" s="14" t="s">
        <v>3037</v>
      </c>
      <c r="C1661" s="14" t="s">
        <v>3140</v>
      </c>
      <c r="D1661" s="138">
        <v>1</v>
      </c>
      <c r="E1661" s="192" t="s">
        <v>3141</v>
      </c>
      <c r="F1661" s="14" t="s">
        <v>11</v>
      </c>
    </row>
    <row r="1662" ht="18" customHeight="1" spans="1:6">
      <c r="A1662" s="5" t="s">
        <v>2919</v>
      </c>
      <c r="B1662" s="14" t="s">
        <v>3037</v>
      </c>
      <c r="C1662" s="14" t="s">
        <v>3142</v>
      </c>
      <c r="D1662" s="138">
        <v>1</v>
      </c>
      <c r="E1662" s="192" t="s">
        <v>3143</v>
      </c>
      <c r="F1662" s="14" t="s">
        <v>11</v>
      </c>
    </row>
    <row r="1663" ht="18" customHeight="1" spans="1:6">
      <c r="A1663" s="5" t="s">
        <v>2919</v>
      </c>
      <c r="B1663" s="14" t="s">
        <v>3037</v>
      </c>
      <c r="C1663" s="14" t="s">
        <v>3144</v>
      </c>
      <c r="D1663" s="138">
        <v>1</v>
      </c>
      <c r="E1663" s="192" t="s">
        <v>3145</v>
      </c>
      <c r="F1663" s="14" t="s">
        <v>11</v>
      </c>
    </row>
    <row r="1664" ht="18" customHeight="1" spans="1:6">
      <c r="A1664" s="5" t="s">
        <v>2919</v>
      </c>
      <c r="B1664" s="14" t="s">
        <v>3146</v>
      </c>
      <c r="C1664" s="14" t="s">
        <v>3147</v>
      </c>
      <c r="D1664" s="138">
        <v>4</v>
      </c>
      <c r="E1664" s="14" t="s">
        <v>3148</v>
      </c>
      <c r="F1664" s="14" t="s">
        <v>11</v>
      </c>
    </row>
    <row r="1665" ht="18" customHeight="1" spans="1:6">
      <c r="A1665" s="5" t="s">
        <v>2919</v>
      </c>
      <c r="B1665" s="14" t="s">
        <v>3146</v>
      </c>
      <c r="C1665" s="14" t="s">
        <v>3149</v>
      </c>
      <c r="D1665" s="138">
        <v>4</v>
      </c>
      <c r="E1665" s="14" t="s">
        <v>3150</v>
      </c>
      <c r="F1665" s="14" t="s">
        <v>11</v>
      </c>
    </row>
    <row r="1666" ht="18" customHeight="1" spans="1:6">
      <c r="A1666" s="5" t="s">
        <v>2919</v>
      </c>
      <c r="B1666" s="14" t="s">
        <v>3146</v>
      </c>
      <c r="C1666" s="14" t="s">
        <v>3151</v>
      </c>
      <c r="D1666" s="138">
        <v>4</v>
      </c>
      <c r="E1666" s="14" t="s">
        <v>3152</v>
      </c>
      <c r="F1666" s="14" t="s">
        <v>11</v>
      </c>
    </row>
    <row r="1667" ht="18" customHeight="1" spans="1:6">
      <c r="A1667" s="5" t="s">
        <v>2919</v>
      </c>
      <c r="B1667" s="14" t="s">
        <v>3146</v>
      </c>
      <c r="C1667" s="14" t="s">
        <v>3153</v>
      </c>
      <c r="D1667" s="138">
        <v>4</v>
      </c>
      <c r="E1667" s="14" t="s">
        <v>3154</v>
      </c>
      <c r="F1667" s="14" t="s">
        <v>11</v>
      </c>
    </row>
    <row r="1668" ht="18" customHeight="1" spans="1:6">
      <c r="A1668" s="5" t="s">
        <v>2919</v>
      </c>
      <c r="B1668" s="14" t="s">
        <v>3146</v>
      </c>
      <c r="C1668" s="14" t="s">
        <v>3155</v>
      </c>
      <c r="D1668" s="138">
        <v>4</v>
      </c>
      <c r="E1668" s="14" t="s">
        <v>3156</v>
      </c>
      <c r="F1668" s="14" t="s">
        <v>11</v>
      </c>
    </row>
    <row r="1669" ht="18" customHeight="1" spans="1:6">
      <c r="A1669" s="5" t="s">
        <v>2919</v>
      </c>
      <c r="B1669" s="14" t="s">
        <v>3146</v>
      </c>
      <c r="C1669" s="14" t="s">
        <v>3157</v>
      </c>
      <c r="D1669" s="138">
        <v>5</v>
      </c>
      <c r="E1669" s="14" t="s">
        <v>3158</v>
      </c>
      <c r="F1669" s="14" t="s">
        <v>11</v>
      </c>
    </row>
    <row r="1670" ht="18" customHeight="1" spans="1:6">
      <c r="A1670" s="5" t="s">
        <v>2919</v>
      </c>
      <c r="B1670" s="14" t="s">
        <v>3146</v>
      </c>
      <c r="C1670" s="14" t="s">
        <v>3159</v>
      </c>
      <c r="D1670" s="138">
        <v>3</v>
      </c>
      <c r="E1670" s="14" t="s">
        <v>3160</v>
      </c>
      <c r="F1670" s="14" t="s">
        <v>11</v>
      </c>
    </row>
    <row r="1671" ht="18" customHeight="1" spans="1:6">
      <c r="A1671" s="5" t="s">
        <v>2919</v>
      </c>
      <c r="B1671" s="14" t="s">
        <v>3146</v>
      </c>
      <c r="C1671" s="14" t="s">
        <v>3161</v>
      </c>
      <c r="D1671" s="138">
        <v>3</v>
      </c>
      <c r="E1671" s="14" t="s">
        <v>3162</v>
      </c>
      <c r="F1671" s="14" t="s">
        <v>11</v>
      </c>
    </row>
    <row r="1672" ht="18" customHeight="1" spans="1:6">
      <c r="A1672" s="5" t="s">
        <v>2919</v>
      </c>
      <c r="B1672" s="14" t="s">
        <v>3146</v>
      </c>
      <c r="C1672" s="14" t="s">
        <v>3163</v>
      </c>
      <c r="D1672" s="138">
        <v>3</v>
      </c>
      <c r="E1672" s="14" t="s">
        <v>3164</v>
      </c>
      <c r="F1672" s="14" t="s">
        <v>11</v>
      </c>
    </row>
    <row r="1673" ht="18" customHeight="1" spans="1:6">
      <c r="A1673" s="5" t="s">
        <v>2919</v>
      </c>
      <c r="B1673" s="14" t="s">
        <v>3146</v>
      </c>
      <c r="C1673" s="14" t="s">
        <v>3165</v>
      </c>
      <c r="D1673" s="138">
        <v>2</v>
      </c>
      <c r="E1673" s="14" t="s">
        <v>3166</v>
      </c>
      <c r="F1673" s="14" t="s">
        <v>11</v>
      </c>
    </row>
    <row r="1674" ht="18" customHeight="1" spans="1:6">
      <c r="A1674" s="5" t="s">
        <v>2919</v>
      </c>
      <c r="B1674" s="14" t="s">
        <v>3146</v>
      </c>
      <c r="C1674" s="14" t="s">
        <v>3167</v>
      </c>
      <c r="D1674" s="138">
        <v>4</v>
      </c>
      <c r="E1674" s="14" t="s">
        <v>3168</v>
      </c>
      <c r="F1674" s="14" t="s">
        <v>11</v>
      </c>
    </row>
    <row r="1675" ht="18" customHeight="1" spans="1:6">
      <c r="A1675" s="5" t="s">
        <v>2919</v>
      </c>
      <c r="B1675" s="14" t="s">
        <v>3146</v>
      </c>
      <c r="C1675" s="14" t="s">
        <v>3169</v>
      </c>
      <c r="D1675" s="138">
        <v>4</v>
      </c>
      <c r="E1675" s="14" t="s">
        <v>3170</v>
      </c>
      <c r="F1675" s="14" t="s">
        <v>11</v>
      </c>
    </row>
    <row r="1676" ht="18" customHeight="1" spans="1:6">
      <c r="A1676" s="5" t="s">
        <v>2919</v>
      </c>
      <c r="B1676" s="14" t="s">
        <v>3146</v>
      </c>
      <c r="C1676" s="14" t="s">
        <v>2730</v>
      </c>
      <c r="D1676" s="138">
        <v>2</v>
      </c>
      <c r="E1676" s="14" t="s">
        <v>3171</v>
      </c>
      <c r="F1676" s="14" t="s">
        <v>11</v>
      </c>
    </row>
    <row r="1677" ht="18" customHeight="1" spans="1:6">
      <c r="A1677" s="5" t="s">
        <v>2919</v>
      </c>
      <c r="B1677" s="14" t="s">
        <v>3146</v>
      </c>
      <c r="C1677" s="14" t="s">
        <v>3172</v>
      </c>
      <c r="D1677" s="138">
        <v>3</v>
      </c>
      <c r="E1677" s="192" t="s">
        <v>3173</v>
      </c>
      <c r="F1677" s="14" t="s">
        <v>11</v>
      </c>
    </row>
    <row r="1678" ht="18" customHeight="1" spans="1:6">
      <c r="A1678" s="5" t="s">
        <v>2919</v>
      </c>
      <c r="B1678" s="14" t="s">
        <v>3146</v>
      </c>
      <c r="C1678" s="14" t="s">
        <v>3174</v>
      </c>
      <c r="D1678" s="138">
        <v>4</v>
      </c>
      <c r="E1678" s="14" t="s">
        <v>3175</v>
      </c>
      <c r="F1678" s="14" t="s">
        <v>11</v>
      </c>
    </row>
    <row r="1679" ht="18" customHeight="1" spans="1:6">
      <c r="A1679" s="5" t="s">
        <v>2919</v>
      </c>
      <c r="B1679" s="14" t="s">
        <v>3146</v>
      </c>
      <c r="C1679" s="14" t="s">
        <v>3176</v>
      </c>
      <c r="D1679" s="138">
        <v>3</v>
      </c>
      <c r="E1679" s="14" t="s">
        <v>3177</v>
      </c>
      <c r="F1679" s="14" t="s">
        <v>11</v>
      </c>
    </row>
    <row r="1680" ht="18" customHeight="1" spans="1:6">
      <c r="A1680" s="5" t="s">
        <v>2919</v>
      </c>
      <c r="B1680" s="14" t="s">
        <v>3146</v>
      </c>
      <c r="C1680" s="14" t="s">
        <v>3178</v>
      </c>
      <c r="D1680" s="138">
        <v>5</v>
      </c>
      <c r="E1680" s="14" t="s">
        <v>3179</v>
      </c>
      <c r="F1680" s="14" t="s">
        <v>11</v>
      </c>
    </row>
    <row r="1681" ht="18" customHeight="1" spans="1:6">
      <c r="A1681" s="5" t="s">
        <v>2919</v>
      </c>
      <c r="B1681" s="14" t="s">
        <v>3146</v>
      </c>
      <c r="C1681" s="14" t="s">
        <v>3180</v>
      </c>
      <c r="D1681" s="138">
        <v>3</v>
      </c>
      <c r="E1681" s="14" t="s">
        <v>3181</v>
      </c>
      <c r="F1681" s="14" t="s">
        <v>11</v>
      </c>
    </row>
    <row r="1682" ht="18" customHeight="1" spans="1:6">
      <c r="A1682" s="5" t="s">
        <v>2919</v>
      </c>
      <c r="B1682" s="14" t="s">
        <v>3146</v>
      </c>
      <c r="C1682" s="14" t="s">
        <v>3182</v>
      </c>
      <c r="D1682" s="138">
        <v>2</v>
      </c>
      <c r="E1682" s="14" t="s">
        <v>3183</v>
      </c>
      <c r="F1682" s="14" t="s">
        <v>11</v>
      </c>
    </row>
    <row r="1683" ht="18" customHeight="1" spans="1:6">
      <c r="A1683" s="5" t="s">
        <v>2919</v>
      </c>
      <c r="B1683" s="14" t="s">
        <v>3146</v>
      </c>
      <c r="C1683" s="14" t="s">
        <v>3184</v>
      </c>
      <c r="D1683" s="138">
        <v>5</v>
      </c>
      <c r="E1683" s="14" t="s">
        <v>3185</v>
      </c>
      <c r="F1683" s="14" t="s">
        <v>11</v>
      </c>
    </row>
    <row r="1684" ht="18" customHeight="1" spans="1:6">
      <c r="A1684" s="5" t="s">
        <v>2919</v>
      </c>
      <c r="B1684" s="14" t="s">
        <v>3146</v>
      </c>
      <c r="C1684" s="14" t="s">
        <v>3186</v>
      </c>
      <c r="D1684" s="138">
        <v>4</v>
      </c>
      <c r="E1684" s="14" t="s">
        <v>3187</v>
      </c>
      <c r="F1684" s="14" t="s">
        <v>11</v>
      </c>
    </row>
    <row r="1685" ht="18" customHeight="1" spans="1:6">
      <c r="A1685" s="5" t="s">
        <v>2919</v>
      </c>
      <c r="B1685" s="14" t="s">
        <v>3146</v>
      </c>
      <c r="C1685" s="14" t="s">
        <v>3188</v>
      </c>
      <c r="D1685" s="138">
        <v>3</v>
      </c>
      <c r="E1685" s="14" t="s">
        <v>3189</v>
      </c>
      <c r="F1685" s="14" t="s">
        <v>11</v>
      </c>
    </row>
    <row r="1686" ht="18" customHeight="1" spans="1:6">
      <c r="A1686" s="5" t="s">
        <v>2919</v>
      </c>
      <c r="B1686" s="14" t="s">
        <v>3146</v>
      </c>
      <c r="C1686" s="14" t="s">
        <v>3190</v>
      </c>
      <c r="D1686" s="138">
        <v>3</v>
      </c>
      <c r="E1686" s="14" t="s">
        <v>3191</v>
      </c>
      <c r="F1686" s="14" t="s">
        <v>11</v>
      </c>
    </row>
    <row r="1687" ht="18" customHeight="1" spans="1:6">
      <c r="A1687" s="5" t="s">
        <v>2919</v>
      </c>
      <c r="B1687" s="14" t="s">
        <v>3146</v>
      </c>
      <c r="C1687" s="14" t="s">
        <v>3192</v>
      </c>
      <c r="D1687" s="138">
        <v>4</v>
      </c>
      <c r="E1687" s="14" t="s">
        <v>3193</v>
      </c>
      <c r="F1687" s="14" t="s">
        <v>11</v>
      </c>
    </row>
    <row r="1688" ht="18" customHeight="1" spans="1:6">
      <c r="A1688" s="5" t="s">
        <v>2919</v>
      </c>
      <c r="B1688" s="14" t="s">
        <v>3146</v>
      </c>
      <c r="C1688" s="14" t="s">
        <v>3194</v>
      </c>
      <c r="D1688" s="138">
        <v>3</v>
      </c>
      <c r="E1688" s="14" t="s">
        <v>3195</v>
      </c>
      <c r="F1688" s="14" t="s">
        <v>11</v>
      </c>
    </row>
    <row r="1689" ht="18" customHeight="1" spans="1:6">
      <c r="A1689" s="5" t="s">
        <v>2919</v>
      </c>
      <c r="B1689" s="14" t="s">
        <v>3146</v>
      </c>
      <c r="C1689" s="14" t="s">
        <v>3196</v>
      </c>
      <c r="D1689" s="138">
        <v>4</v>
      </c>
      <c r="E1689" s="14" t="s">
        <v>3197</v>
      </c>
      <c r="F1689" s="14" t="s">
        <v>11</v>
      </c>
    </row>
    <row r="1690" ht="18" customHeight="1" spans="1:6">
      <c r="A1690" s="5" t="s">
        <v>2919</v>
      </c>
      <c r="B1690" s="14" t="s">
        <v>3146</v>
      </c>
      <c r="C1690" s="14" t="s">
        <v>3198</v>
      </c>
      <c r="D1690" s="138">
        <v>2</v>
      </c>
      <c r="E1690" s="14" t="s">
        <v>3199</v>
      </c>
      <c r="F1690" s="14" t="s">
        <v>11</v>
      </c>
    </row>
    <row r="1691" ht="18" customHeight="1" spans="1:6">
      <c r="A1691" s="5" t="s">
        <v>2919</v>
      </c>
      <c r="B1691" s="14" t="s">
        <v>3146</v>
      </c>
      <c r="C1691" s="14" t="s">
        <v>3200</v>
      </c>
      <c r="D1691" s="138">
        <v>2</v>
      </c>
      <c r="E1691" s="14" t="s">
        <v>3201</v>
      </c>
      <c r="F1691" s="14" t="s">
        <v>11</v>
      </c>
    </row>
    <row r="1692" ht="18" customHeight="1" spans="1:6">
      <c r="A1692" s="5" t="s">
        <v>2919</v>
      </c>
      <c r="B1692" s="14" t="s">
        <v>3146</v>
      </c>
      <c r="C1692" s="14" t="s">
        <v>3202</v>
      </c>
      <c r="D1692" s="138">
        <v>4</v>
      </c>
      <c r="E1692" s="14" t="s">
        <v>3203</v>
      </c>
      <c r="F1692" s="14" t="s">
        <v>11</v>
      </c>
    </row>
    <row r="1693" ht="18" customHeight="1" spans="1:6">
      <c r="A1693" s="5" t="s">
        <v>2919</v>
      </c>
      <c r="B1693" s="14" t="s">
        <v>3146</v>
      </c>
      <c r="C1693" s="14" t="s">
        <v>3196</v>
      </c>
      <c r="D1693" s="138">
        <v>4</v>
      </c>
      <c r="E1693" s="14" t="s">
        <v>3197</v>
      </c>
      <c r="F1693" s="14" t="s">
        <v>11</v>
      </c>
    </row>
    <row r="1694" ht="18" customHeight="1" spans="1:6">
      <c r="A1694" s="5" t="s">
        <v>2919</v>
      </c>
      <c r="B1694" s="14" t="s">
        <v>3146</v>
      </c>
      <c r="C1694" s="14" t="s">
        <v>3204</v>
      </c>
      <c r="D1694" s="138">
        <v>3</v>
      </c>
      <c r="E1694" s="14" t="s">
        <v>3205</v>
      </c>
      <c r="F1694" s="14" t="s">
        <v>11</v>
      </c>
    </row>
    <row r="1695" ht="18" customHeight="1" spans="1:6">
      <c r="A1695" s="5" t="s">
        <v>2919</v>
      </c>
      <c r="B1695" s="14" t="s">
        <v>3146</v>
      </c>
      <c r="C1695" s="14" t="s">
        <v>3206</v>
      </c>
      <c r="D1695" s="138">
        <v>4</v>
      </c>
      <c r="E1695" s="14" t="s">
        <v>3207</v>
      </c>
      <c r="F1695" s="14" t="s">
        <v>11</v>
      </c>
    </row>
    <row r="1696" ht="18" customHeight="1" spans="1:6">
      <c r="A1696" s="5" t="s">
        <v>2919</v>
      </c>
      <c r="B1696" s="14" t="s">
        <v>3146</v>
      </c>
      <c r="C1696" s="14" t="s">
        <v>3208</v>
      </c>
      <c r="D1696" s="138">
        <v>1</v>
      </c>
      <c r="E1696" s="14" t="s">
        <v>3209</v>
      </c>
      <c r="F1696" s="14" t="s">
        <v>11</v>
      </c>
    </row>
    <row r="1697" ht="18" customHeight="1" spans="1:6">
      <c r="A1697" s="5" t="s">
        <v>2919</v>
      </c>
      <c r="B1697" s="14" t="s">
        <v>3146</v>
      </c>
      <c r="C1697" s="14" t="s">
        <v>3210</v>
      </c>
      <c r="D1697" s="138">
        <v>2</v>
      </c>
      <c r="E1697" s="14" t="s">
        <v>3211</v>
      </c>
      <c r="F1697" s="14" t="s">
        <v>11</v>
      </c>
    </row>
    <row r="1698" ht="18" customHeight="1" spans="1:6">
      <c r="A1698" s="5" t="s">
        <v>2919</v>
      </c>
      <c r="B1698" s="14" t="s">
        <v>3146</v>
      </c>
      <c r="C1698" s="14" t="s">
        <v>3212</v>
      </c>
      <c r="D1698" s="138">
        <v>4</v>
      </c>
      <c r="E1698" s="14" t="s">
        <v>3213</v>
      </c>
      <c r="F1698" s="14" t="s">
        <v>11</v>
      </c>
    </row>
    <row r="1699" ht="18" customHeight="1" spans="1:6">
      <c r="A1699" s="5" t="s">
        <v>2919</v>
      </c>
      <c r="B1699" s="14" t="s">
        <v>3146</v>
      </c>
      <c r="C1699" s="14" t="s">
        <v>3214</v>
      </c>
      <c r="D1699" s="138">
        <v>3</v>
      </c>
      <c r="E1699" s="14" t="s">
        <v>3215</v>
      </c>
      <c r="F1699" s="14" t="s">
        <v>11</v>
      </c>
    </row>
    <row r="1700" ht="18" customHeight="1" spans="1:6">
      <c r="A1700" s="5" t="s">
        <v>2919</v>
      </c>
      <c r="B1700" s="14" t="s">
        <v>3146</v>
      </c>
      <c r="C1700" s="14" t="s">
        <v>3216</v>
      </c>
      <c r="D1700" s="138">
        <v>5</v>
      </c>
      <c r="E1700" s="14" t="s">
        <v>3217</v>
      </c>
      <c r="F1700" s="14" t="s">
        <v>11</v>
      </c>
    </row>
    <row r="1701" ht="18" customHeight="1" spans="1:6">
      <c r="A1701" s="5" t="s">
        <v>2919</v>
      </c>
      <c r="B1701" s="14" t="s">
        <v>3146</v>
      </c>
      <c r="C1701" s="14" t="s">
        <v>3218</v>
      </c>
      <c r="D1701" s="138">
        <v>5</v>
      </c>
      <c r="E1701" s="192" t="s">
        <v>3219</v>
      </c>
      <c r="F1701" s="14" t="s">
        <v>11</v>
      </c>
    </row>
    <row r="1702" ht="18" customHeight="1" spans="1:6">
      <c r="A1702" s="5" t="s">
        <v>2919</v>
      </c>
      <c r="B1702" s="14" t="s">
        <v>3146</v>
      </c>
      <c r="C1702" s="14" t="s">
        <v>3220</v>
      </c>
      <c r="D1702" s="138">
        <v>4</v>
      </c>
      <c r="E1702" s="192" t="s">
        <v>3221</v>
      </c>
      <c r="F1702" s="14" t="s">
        <v>11</v>
      </c>
    </row>
    <row r="1703" ht="18" customHeight="1" spans="1:6">
      <c r="A1703" s="5" t="s">
        <v>2919</v>
      </c>
      <c r="B1703" s="14" t="s">
        <v>3146</v>
      </c>
      <c r="C1703" s="14" t="s">
        <v>3222</v>
      </c>
      <c r="D1703" s="138">
        <v>3</v>
      </c>
      <c r="E1703" s="14" t="s">
        <v>3223</v>
      </c>
      <c r="F1703" s="14" t="s">
        <v>11</v>
      </c>
    </row>
    <row r="1704" ht="18" customHeight="1" spans="1:6">
      <c r="A1704" s="5" t="s">
        <v>2919</v>
      </c>
      <c r="B1704" s="14" t="s">
        <v>3146</v>
      </c>
      <c r="C1704" s="14" t="s">
        <v>3224</v>
      </c>
      <c r="D1704" s="138">
        <v>2</v>
      </c>
      <c r="E1704" s="192" t="s">
        <v>3225</v>
      </c>
      <c r="F1704" s="14" t="s">
        <v>11</v>
      </c>
    </row>
    <row r="1705" ht="18" customHeight="1" spans="1:6">
      <c r="A1705" s="5" t="s">
        <v>2919</v>
      </c>
      <c r="B1705" s="14" t="s">
        <v>3146</v>
      </c>
      <c r="C1705" s="14" t="s">
        <v>3226</v>
      </c>
      <c r="D1705" s="138">
        <v>2</v>
      </c>
      <c r="E1705" s="192" t="s">
        <v>3227</v>
      </c>
      <c r="F1705" s="14" t="s">
        <v>11</v>
      </c>
    </row>
    <row r="1706" ht="18" customHeight="1" spans="1:6">
      <c r="A1706" s="5" t="s">
        <v>2919</v>
      </c>
      <c r="B1706" s="14" t="s">
        <v>3146</v>
      </c>
      <c r="C1706" s="14" t="s">
        <v>3228</v>
      </c>
      <c r="D1706" s="138">
        <v>7</v>
      </c>
      <c r="E1706" s="192" t="s">
        <v>3229</v>
      </c>
      <c r="F1706" s="14" t="s">
        <v>11</v>
      </c>
    </row>
    <row r="1707" ht="18" customHeight="1" spans="1:6">
      <c r="A1707" s="5" t="s">
        <v>2919</v>
      </c>
      <c r="B1707" s="14" t="s">
        <v>3146</v>
      </c>
      <c r="C1707" s="14" t="s">
        <v>3230</v>
      </c>
      <c r="D1707" s="138">
        <v>4</v>
      </c>
      <c r="E1707" s="14" t="s">
        <v>3231</v>
      </c>
      <c r="F1707" s="14" t="s">
        <v>11</v>
      </c>
    </row>
    <row r="1708" ht="18" customHeight="1" spans="1:6">
      <c r="A1708" s="5" t="s">
        <v>2919</v>
      </c>
      <c r="B1708" s="14" t="s">
        <v>3146</v>
      </c>
      <c r="C1708" s="14" t="s">
        <v>3232</v>
      </c>
      <c r="D1708" s="138">
        <v>4</v>
      </c>
      <c r="E1708" s="14" t="s">
        <v>3233</v>
      </c>
      <c r="F1708" s="14" t="s">
        <v>11</v>
      </c>
    </row>
    <row r="1709" ht="18" customHeight="1" spans="1:6">
      <c r="A1709" s="5" t="s">
        <v>2919</v>
      </c>
      <c r="B1709" s="14" t="s">
        <v>3146</v>
      </c>
      <c r="C1709" s="14" t="s">
        <v>3234</v>
      </c>
      <c r="D1709" s="138">
        <v>4</v>
      </c>
      <c r="E1709" s="14" t="s">
        <v>3235</v>
      </c>
      <c r="F1709" s="14" t="s">
        <v>11</v>
      </c>
    </row>
    <row r="1710" ht="18" customHeight="1" spans="1:6">
      <c r="A1710" s="5" t="s">
        <v>2919</v>
      </c>
      <c r="B1710" s="14" t="s">
        <v>3146</v>
      </c>
      <c r="C1710" s="14" t="s">
        <v>3236</v>
      </c>
      <c r="D1710" s="138">
        <v>5</v>
      </c>
      <c r="E1710" s="192" t="s">
        <v>3237</v>
      </c>
      <c r="F1710" s="14" t="s">
        <v>11</v>
      </c>
    </row>
    <row r="1711" ht="18" customHeight="1" spans="1:6">
      <c r="A1711" s="5" t="s">
        <v>2919</v>
      </c>
      <c r="B1711" s="14" t="s">
        <v>3146</v>
      </c>
      <c r="C1711" s="14" t="s">
        <v>3238</v>
      </c>
      <c r="D1711" s="138">
        <v>3</v>
      </c>
      <c r="E1711" s="14" t="s">
        <v>3239</v>
      </c>
      <c r="F1711" s="14" t="s">
        <v>11</v>
      </c>
    </row>
    <row r="1712" ht="18" customHeight="1" spans="1:6">
      <c r="A1712" s="5" t="s">
        <v>2919</v>
      </c>
      <c r="B1712" s="14" t="s">
        <v>3146</v>
      </c>
      <c r="C1712" s="14" t="s">
        <v>3240</v>
      </c>
      <c r="D1712" s="138">
        <v>3</v>
      </c>
      <c r="E1712" s="14" t="s">
        <v>3241</v>
      </c>
      <c r="F1712" s="14" t="s">
        <v>11</v>
      </c>
    </row>
    <row r="1713" ht="18" customHeight="1" spans="1:6">
      <c r="A1713" s="5" t="s">
        <v>2919</v>
      </c>
      <c r="B1713" s="14" t="s">
        <v>3146</v>
      </c>
      <c r="C1713" s="14" t="s">
        <v>3242</v>
      </c>
      <c r="D1713" s="138">
        <v>4</v>
      </c>
      <c r="E1713" s="14" t="s">
        <v>3243</v>
      </c>
      <c r="F1713" s="14" t="s">
        <v>11</v>
      </c>
    </row>
    <row r="1714" ht="18" customHeight="1" spans="1:6">
      <c r="A1714" s="5" t="s">
        <v>2919</v>
      </c>
      <c r="B1714" s="14" t="s">
        <v>3146</v>
      </c>
      <c r="C1714" s="14" t="s">
        <v>3244</v>
      </c>
      <c r="D1714" s="138">
        <v>4</v>
      </c>
      <c r="E1714" s="14" t="s">
        <v>3245</v>
      </c>
      <c r="F1714" s="14" t="s">
        <v>11</v>
      </c>
    </row>
    <row r="1715" ht="18" customHeight="1" spans="1:6">
      <c r="A1715" s="5" t="s">
        <v>2919</v>
      </c>
      <c r="B1715" s="14" t="s">
        <v>3146</v>
      </c>
      <c r="C1715" s="14" t="s">
        <v>3246</v>
      </c>
      <c r="D1715" s="138">
        <v>3</v>
      </c>
      <c r="E1715" s="14" t="s">
        <v>3247</v>
      </c>
      <c r="F1715" s="14" t="s">
        <v>11</v>
      </c>
    </row>
    <row r="1716" ht="18" customHeight="1" spans="1:6">
      <c r="A1716" s="5" t="s">
        <v>2919</v>
      </c>
      <c r="B1716" s="14" t="s">
        <v>3146</v>
      </c>
      <c r="C1716" s="14" t="s">
        <v>3248</v>
      </c>
      <c r="D1716" s="138">
        <v>2</v>
      </c>
      <c r="E1716" s="14" t="s">
        <v>3249</v>
      </c>
      <c r="F1716" s="14" t="s">
        <v>11</v>
      </c>
    </row>
    <row r="1717" ht="18" customHeight="1" spans="1:6">
      <c r="A1717" s="5" t="s">
        <v>2919</v>
      </c>
      <c r="B1717" s="14" t="s">
        <v>3146</v>
      </c>
      <c r="C1717" s="14" t="s">
        <v>3250</v>
      </c>
      <c r="D1717" s="138">
        <v>3</v>
      </c>
      <c r="E1717" s="14" t="s">
        <v>3251</v>
      </c>
      <c r="F1717" s="14" t="s">
        <v>11</v>
      </c>
    </row>
    <row r="1718" ht="18" customHeight="1" spans="1:6">
      <c r="A1718" s="5" t="s">
        <v>2919</v>
      </c>
      <c r="B1718" s="14" t="s">
        <v>3146</v>
      </c>
      <c r="C1718" s="14" t="s">
        <v>3252</v>
      </c>
      <c r="D1718" s="138">
        <v>4</v>
      </c>
      <c r="E1718" s="192" t="s">
        <v>3253</v>
      </c>
      <c r="F1718" s="14" t="s">
        <v>11</v>
      </c>
    </row>
    <row r="1719" ht="18" customHeight="1" spans="1:6">
      <c r="A1719" s="5" t="s">
        <v>2919</v>
      </c>
      <c r="B1719" s="14" t="s">
        <v>3146</v>
      </c>
      <c r="C1719" s="14" t="s">
        <v>3254</v>
      </c>
      <c r="D1719" s="138">
        <v>3</v>
      </c>
      <c r="E1719" s="192" t="s">
        <v>3255</v>
      </c>
      <c r="F1719" s="14" t="s">
        <v>11</v>
      </c>
    </row>
    <row r="1720" ht="18" customHeight="1" spans="1:6">
      <c r="A1720" s="5" t="s">
        <v>2919</v>
      </c>
      <c r="B1720" s="14" t="s">
        <v>3146</v>
      </c>
      <c r="C1720" s="14" t="s">
        <v>3256</v>
      </c>
      <c r="D1720" s="138">
        <v>3</v>
      </c>
      <c r="E1720" s="14" t="s">
        <v>3257</v>
      </c>
      <c r="F1720" s="14" t="s">
        <v>11</v>
      </c>
    </row>
    <row r="1721" ht="18" customHeight="1" spans="1:6">
      <c r="A1721" s="5" t="s">
        <v>2919</v>
      </c>
      <c r="B1721" s="14" t="s">
        <v>3146</v>
      </c>
      <c r="C1721" s="14" t="s">
        <v>3258</v>
      </c>
      <c r="D1721" s="138">
        <v>4</v>
      </c>
      <c r="E1721" s="14" t="s">
        <v>3259</v>
      </c>
      <c r="F1721" s="14" t="s">
        <v>11</v>
      </c>
    </row>
    <row r="1722" ht="18" customHeight="1" spans="1:6">
      <c r="A1722" s="5" t="s">
        <v>2919</v>
      </c>
      <c r="B1722" s="14" t="s">
        <v>3146</v>
      </c>
      <c r="C1722" s="14" t="s">
        <v>3260</v>
      </c>
      <c r="D1722" s="138">
        <v>4</v>
      </c>
      <c r="E1722" s="14" t="s">
        <v>3261</v>
      </c>
      <c r="F1722" s="14" t="s">
        <v>11</v>
      </c>
    </row>
    <row r="1723" ht="18" customHeight="1" spans="1:6">
      <c r="A1723" s="5" t="s">
        <v>2919</v>
      </c>
      <c r="B1723" s="14" t="s">
        <v>3146</v>
      </c>
      <c r="C1723" s="14" t="s">
        <v>3262</v>
      </c>
      <c r="D1723" s="138">
        <v>3</v>
      </c>
      <c r="E1723" s="14" t="s">
        <v>3263</v>
      </c>
      <c r="F1723" s="14" t="s">
        <v>11</v>
      </c>
    </row>
    <row r="1724" ht="18" customHeight="1" spans="1:6">
      <c r="A1724" s="5" t="s">
        <v>2919</v>
      </c>
      <c r="B1724" s="14" t="s">
        <v>3146</v>
      </c>
      <c r="C1724" s="14" t="s">
        <v>3264</v>
      </c>
      <c r="D1724" s="138">
        <v>2</v>
      </c>
      <c r="E1724" s="14" t="s">
        <v>3265</v>
      </c>
      <c r="F1724" s="14" t="s">
        <v>11</v>
      </c>
    </row>
    <row r="1725" ht="18" customHeight="1" spans="1:6">
      <c r="A1725" s="5" t="s">
        <v>2919</v>
      </c>
      <c r="B1725" s="14" t="s">
        <v>3146</v>
      </c>
      <c r="C1725" s="14" t="s">
        <v>3266</v>
      </c>
      <c r="D1725" s="138">
        <v>1</v>
      </c>
      <c r="E1725" s="192" t="s">
        <v>3267</v>
      </c>
      <c r="F1725" s="14" t="s">
        <v>11</v>
      </c>
    </row>
    <row r="1726" ht="18" customHeight="1" spans="1:6">
      <c r="A1726" s="5" t="s">
        <v>2919</v>
      </c>
      <c r="B1726" s="14" t="s">
        <v>3146</v>
      </c>
      <c r="C1726" s="14" t="s">
        <v>3268</v>
      </c>
      <c r="D1726" s="138">
        <v>1</v>
      </c>
      <c r="E1726" s="14" t="s">
        <v>3269</v>
      </c>
      <c r="F1726" s="14" t="s">
        <v>11</v>
      </c>
    </row>
    <row r="1727" ht="18" customHeight="1" spans="1:6">
      <c r="A1727" s="5" t="s">
        <v>2919</v>
      </c>
      <c r="B1727" s="14" t="s">
        <v>3146</v>
      </c>
      <c r="C1727" s="14" t="s">
        <v>3270</v>
      </c>
      <c r="D1727" s="138">
        <v>1</v>
      </c>
      <c r="E1727" s="14" t="s">
        <v>3271</v>
      </c>
      <c r="F1727" s="14" t="s">
        <v>11</v>
      </c>
    </row>
    <row r="1728" ht="18" customHeight="1" spans="1:6">
      <c r="A1728" s="5" t="s">
        <v>2919</v>
      </c>
      <c r="B1728" s="14" t="s">
        <v>3146</v>
      </c>
      <c r="C1728" s="14" t="s">
        <v>3272</v>
      </c>
      <c r="D1728" s="138">
        <v>1</v>
      </c>
      <c r="E1728" s="14" t="s">
        <v>3273</v>
      </c>
      <c r="F1728" s="14" t="s">
        <v>11</v>
      </c>
    </row>
    <row r="1729" ht="18" customHeight="1" spans="1:6">
      <c r="A1729" s="5" t="s">
        <v>2919</v>
      </c>
      <c r="B1729" s="14" t="s">
        <v>3146</v>
      </c>
      <c r="C1729" s="14" t="s">
        <v>3274</v>
      </c>
      <c r="D1729" s="138">
        <v>1</v>
      </c>
      <c r="E1729" s="14" t="s">
        <v>3275</v>
      </c>
      <c r="F1729" s="14" t="s">
        <v>11</v>
      </c>
    </row>
    <row r="1730" ht="18" customHeight="1" spans="1:6">
      <c r="A1730" s="5" t="s">
        <v>2919</v>
      </c>
      <c r="B1730" s="14" t="s">
        <v>3146</v>
      </c>
      <c r="C1730" s="14" t="s">
        <v>1708</v>
      </c>
      <c r="D1730" s="138">
        <v>1</v>
      </c>
      <c r="E1730" s="14" t="s">
        <v>3276</v>
      </c>
      <c r="F1730" s="14" t="s">
        <v>11</v>
      </c>
    </row>
    <row r="1731" ht="18" customHeight="1" spans="1:6">
      <c r="A1731" s="5" t="s">
        <v>2919</v>
      </c>
      <c r="B1731" s="14" t="s">
        <v>3146</v>
      </c>
      <c r="C1731" s="14" t="s">
        <v>3277</v>
      </c>
      <c r="D1731" s="138">
        <v>1</v>
      </c>
      <c r="E1731" s="14" t="s">
        <v>3278</v>
      </c>
      <c r="F1731" s="14" t="s">
        <v>11</v>
      </c>
    </row>
    <row r="1732" ht="18" customHeight="1" spans="1:6">
      <c r="A1732" s="5" t="s">
        <v>2919</v>
      </c>
      <c r="B1732" s="14" t="s">
        <v>3146</v>
      </c>
      <c r="C1732" s="14" t="s">
        <v>3279</v>
      </c>
      <c r="D1732" s="138">
        <v>1</v>
      </c>
      <c r="E1732" s="14" t="s">
        <v>3280</v>
      </c>
      <c r="F1732" s="14" t="s">
        <v>11</v>
      </c>
    </row>
    <row r="1733" ht="18" customHeight="1" spans="1:6">
      <c r="A1733" s="5" t="s">
        <v>2919</v>
      </c>
      <c r="B1733" s="14" t="s">
        <v>3146</v>
      </c>
      <c r="C1733" s="14" t="s">
        <v>3281</v>
      </c>
      <c r="D1733" s="138">
        <v>1</v>
      </c>
      <c r="E1733" s="14" t="s">
        <v>3282</v>
      </c>
      <c r="F1733" s="14" t="s">
        <v>11</v>
      </c>
    </row>
    <row r="1734" ht="18" customHeight="1" spans="1:6">
      <c r="A1734" s="5" t="s">
        <v>2919</v>
      </c>
      <c r="B1734" s="14" t="s">
        <v>3146</v>
      </c>
      <c r="C1734" s="14" t="s">
        <v>3283</v>
      </c>
      <c r="D1734" s="138">
        <v>1</v>
      </c>
      <c r="E1734" s="14" t="s">
        <v>3284</v>
      </c>
      <c r="F1734" s="14" t="s">
        <v>11</v>
      </c>
    </row>
    <row r="1735" ht="18" customHeight="1" spans="1:6">
      <c r="A1735" s="5" t="s">
        <v>2919</v>
      </c>
      <c r="B1735" s="14" t="s">
        <v>3146</v>
      </c>
      <c r="C1735" s="14" t="s">
        <v>3285</v>
      </c>
      <c r="D1735" s="138">
        <v>1</v>
      </c>
      <c r="E1735" s="14" t="s">
        <v>3286</v>
      </c>
      <c r="F1735" s="14" t="s">
        <v>11</v>
      </c>
    </row>
    <row r="1736" ht="18" customHeight="1" spans="1:6">
      <c r="A1736" s="5" t="s">
        <v>2919</v>
      </c>
      <c r="B1736" s="14" t="s">
        <v>3146</v>
      </c>
      <c r="C1736" s="14" t="s">
        <v>3287</v>
      </c>
      <c r="D1736" s="138">
        <v>1</v>
      </c>
      <c r="E1736" s="14" t="s">
        <v>3288</v>
      </c>
      <c r="F1736" s="14" t="s">
        <v>11</v>
      </c>
    </row>
    <row r="1737" ht="18" customHeight="1" spans="1:6">
      <c r="A1737" s="5" t="s">
        <v>2919</v>
      </c>
      <c r="B1737" s="14" t="s">
        <v>3146</v>
      </c>
      <c r="C1737" s="14" t="s">
        <v>1125</v>
      </c>
      <c r="D1737" s="138">
        <v>1</v>
      </c>
      <c r="E1737" s="14" t="s">
        <v>3289</v>
      </c>
      <c r="F1737" s="14" t="s">
        <v>11</v>
      </c>
    </row>
    <row r="1738" ht="18" customHeight="1" spans="1:6">
      <c r="A1738" s="5" t="s">
        <v>2919</v>
      </c>
      <c r="B1738" s="14" t="s">
        <v>3146</v>
      </c>
      <c r="C1738" s="14" t="s">
        <v>3290</v>
      </c>
      <c r="D1738" s="138">
        <v>1</v>
      </c>
      <c r="E1738" s="14" t="s">
        <v>3291</v>
      </c>
      <c r="F1738" s="14" t="s">
        <v>11</v>
      </c>
    </row>
    <row r="1739" ht="18" customHeight="1" spans="1:6">
      <c r="A1739" s="5" t="s">
        <v>2919</v>
      </c>
      <c r="B1739" s="14" t="s">
        <v>3146</v>
      </c>
      <c r="C1739" s="14" t="s">
        <v>3292</v>
      </c>
      <c r="D1739" s="138">
        <v>1</v>
      </c>
      <c r="E1739" s="14" t="s">
        <v>3293</v>
      </c>
      <c r="F1739" s="14" t="s">
        <v>11</v>
      </c>
    </row>
    <row r="1740" ht="18" customHeight="1" spans="1:6">
      <c r="A1740" s="5" t="s">
        <v>2919</v>
      </c>
      <c r="B1740" s="14" t="s">
        <v>3146</v>
      </c>
      <c r="C1740" s="14" t="s">
        <v>3294</v>
      </c>
      <c r="D1740" s="138">
        <v>1</v>
      </c>
      <c r="E1740" s="14" t="s">
        <v>3295</v>
      </c>
      <c r="F1740" s="14" t="s">
        <v>11</v>
      </c>
    </row>
    <row r="1741" ht="18" customHeight="1" spans="1:6">
      <c r="A1741" s="5" t="s">
        <v>2919</v>
      </c>
      <c r="B1741" s="14" t="s">
        <v>3146</v>
      </c>
      <c r="C1741" s="14" t="s">
        <v>3296</v>
      </c>
      <c r="D1741" s="138">
        <v>1</v>
      </c>
      <c r="E1741" s="14" t="s">
        <v>3297</v>
      </c>
      <c r="F1741" s="14" t="s">
        <v>11</v>
      </c>
    </row>
    <row r="1742" ht="18" customHeight="1" spans="1:6">
      <c r="A1742" s="5" t="s">
        <v>2919</v>
      </c>
      <c r="B1742" s="14" t="s">
        <v>3146</v>
      </c>
      <c r="C1742" s="14" t="s">
        <v>3298</v>
      </c>
      <c r="D1742" s="138">
        <v>1</v>
      </c>
      <c r="E1742" s="14" t="s">
        <v>3299</v>
      </c>
      <c r="F1742" s="14" t="s">
        <v>11</v>
      </c>
    </row>
    <row r="1743" ht="18" customHeight="1" spans="1:6">
      <c r="A1743" s="5" t="s">
        <v>2919</v>
      </c>
      <c r="B1743" s="14" t="s">
        <v>3146</v>
      </c>
      <c r="C1743" s="14" t="s">
        <v>3300</v>
      </c>
      <c r="D1743" s="138">
        <v>1</v>
      </c>
      <c r="E1743" s="192" t="s">
        <v>3301</v>
      </c>
      <c r="F1743" s="14" t="s">
        <v>11</v>
      </c>
    </row>
    <row r="1744" ht="18" customHeight="1" spans="1:6">
      <c r="A1744" s="5" t="s">
        <v>2919</v>
      </c>
      <c r="B1744" s="14" t="s">
        <v>3146</v>
      </c>
      <c r="C1744" s="14" t="s">
        <v>3302</v>
      </c>
      <c r="D1744" s="138">
        <v>1</v>
      </c>
      <c r="E1744" s="14" t="s">
        <v>3303</v>
      </c>
      <c r="F1744" s="14" t="s">
        <v>11</v>
      </c>
    </row>
    <row r="1745" ht="18" customHeight="1" spans="1:6">
      <c r="A1745" s="5" t="s">
        <v>2919</v>
      </c>
      <c r="B1745" s="14" t="s">
        <v>3146</v>
      </c>
      <c r="C1745" s="14" t="s">
        <v>3304</v>
      </c>
      <c r="D1745" s="138">
        <v>2</v>
      </c>
      <c r="E1745" s="14" t="s">
        <v>3305</v>
      </c>
      <c r="F1745" s="14" t="s">
        <v>11</v>
      </c>
    </row>
    <row r="1746" ht="18" customHeight="1" spans="1:6">
      <c r="A1746" s="5" t="s">
        <v>2919</v>
      </c>
      <c r="B1746" s="14" t="s">
        <v>3146</v>
      </c>
      <c r="C1746" s="14" t="s">
        <v>3306</v>
      </c>
      <c r="D1746" s="138">
        <v>1</v>
      </c>
      <c r="E1746" s="14" t="s">
        <v>3307</v>
      </c>
      <c r="F1746" s="14" t="s">
        <v>11</v>
      </c>
    </row>
    <row r="1747" ht="18" customHeight="1" spans="1:6">
      <c r="A1747" s="5" t="s">
        <v>2919</v>
      </c>
      <c r="B1747" s="14" t="s">
        <v>3146</v>
      </c>
      <c r="C1747" s="14" t="s">
        <v>3308</v>
      </c>
      <c r="D1747" s="138">
        <v>1</v>
      </c>
      <c r="E1747" s="14" t="s">
        <v>3309</v>
      </c>
      <c r="F1747" s="14" t="s">
        <v>11</v>
      </c>
    </row>
    <row r="1748" ht="18" customHeight="1" spans="1:6">
      <c r="A1748" s="5" t="s">
        <v>2919</v>
      </c>
      <c r="B1748" s="14" t="s">
        <v>3146</v>
      </c>
      <c r="C1748" s="14" t="s">
        <v>3310</v>
      </c>
      <c r="D1748" s="138">
        <v>1</v>
      </c>
      <c r="E1748" s="14" t="s">
        <v>3311</v>
      </c>
      <c r="F1748" s="14" t="s">
        <v>11</v>
      </c>
    </row>
    <row r="1749" ht="18" customHeight="1" spans="1:6">
      <c r="A1749" s="5" t="s">
        <v>2919</v>
      </c>
      <c r="B1749" s="14" t="s">
        <v>3146</v>
      </c>
      <c r="C1749" s="14" t="s">
        <v>3312</v>
      </c>
      <c r="D1749" s="138">
        <v>1</v>
      </c>
      <c r="E1749" s="14" t="s">
        <v>3313</v>
      </c>
      <c r="F1749" s="14" t="s">
        <v>11</v>
      </c>
    </row>
    <row r="1750" ht="18" customHeight="1" spans="1:6">
      <c r="A1750" s="5" t="s">
        <v>2919</v>
      </c>
      <c r="B1750" s="14" t="s">
        <v>3146</v>
      </c>
      <c r="C1750" s="14" t="s">
        <v>3277</v>
      </c>
      <c r="D1750" s="138">
        <v>1</v>
      </c>
      <c r="E1750" s="14" t="s">
        <v>3278</v>
      </c>
      <c r="F1750" s="14" t="s">
        <v>11</v>
      </c>
    </row>
    <row r="1751" ht="18" customHeight="1" spans="1:6">
      <c r="A1751" s="5" t="s">
        <v>2919</v>
      </c>
      <c r="B1751" s="14" t="s">
        <v>3146</v>
      </c>
      <c r="C1751" s="14" t="s">
        <v>3314</v>
      </c>
      <c r="D1751" s="138">
        <v>1</v>
      </c>
      <c r="E1751" s="14" t="s">
        <v>3315</v>
      </c>
      <c r="F1751" s="14" t="s">
        <v>11</v>
      </c>
    </row>
    <row r="1752" ht="18" customHeight="1" spans="1:6">
      <c r="A1752" s="5" t="s">
        <v>2919</v>
      </c>
      <c r="B1752" s="14" t="s">
        <v>3146</v>
      </c>
      <c r="C1752" s="14" t="s">
        <v>3316</v>
      </c>
      <c r="D1752" s="138">
        <v>1</v>
      </c>
      <c r="E1752" s="192" t="s">
        <v>3317</v>
      </c>
      <c r="F1752" s="14" t="s">
        <v>11</v>
      </c>
    </row>
    <row r="1753" ht="18" customHeight="1" spans="1:6">
      <c r="A1753" s="5" t="s">
        <v>2919</v>
      </c>
      <c r="B1753" s="14" t="s">
        <v>3146</v>
      </c>
      <c r="C1753" s="14" t="s">
        <v>3318</v>
      </c>
      <c r="D1753" s="138">
        <v>1</v>
      </c>
      <c r="E1753" s="192" t="s">
        <v>3319</v>
      </c>
      <c r="F1753" s="14" t="s">
        <v>11</v>
      </c>
    </row>
    <row r="1754" ht="18" customHeight="1" spans="1:6">
      <c r="A1754" s="5" t="s">
        <v>2919</v>
      </c>
      <c r="B1754" s="14" t="s">
        <v>3146</v>
      </c>
      <c r="C1754" s="14" t="s">
        <v>3320</v>
      </c>
      <c r="D1754" s="138">
        <v>1</v>
      </c>
      <c r="E1754" s="192" t="s">
        <v>3321</v>
      </c>
      <c r="F1754" s="14" t="s">
        <v>11</v>
      </c>
    </row>
    <row r="1755" ht="18" customHeight="1" spans="1:6">
      <c r="A1755" s="5" t="s">
        <v>2919</v>
      </c>
      <c r="B1755" s="14" t="s">
        <v>3146</v>
      </c>
      <c r="C1755" s="14" t="s">
        <v>3322</v>
      </c>
      <c r="D1755" s="138">
        <v>1</v>
      </c>
      <c r="E1755" s="14" t="s">
        <v>3323</v>
      </c>
      <c r="F1755" s="14" t="s">
        <v>11</v>
      </c>
    </row>
    <row r="1756" ht="18" customHeight="1" spans="1:6">
      <c r="A1756" s="5" t="s">
        <v>2919</v>
      </c>
      <c r="B1756" s="14" t="s">
        <v>3146</v>
      </c>
      <c r="C1756" s="14" t="s">
        <v>3324</v>
      </c>
      <c r="D1756" s="138">
        <v>1</v>
      </c>
      <c r="E1756" s="14" t="s">
        <v>3325</v>
      </c>
      <c r="F1756" s="14" t="s">
        <v>11</v>
      </c>
    </row>
    <row r="1757" ht="18" customHeight="1" spans="1:6">
      <c r="A1757" s="5" t="s">
        <v>2919</v>
      </c>
      <c r="B1757" s="14" t="s">
        <v>3146</v>
      </c>
      <c r="C1757" s="14" t="s">
        <v>3326</v>
      </c>
      <c r="D1757" s="138">
        <v>1</v>
      </c>
      <c r="E1757" s="14" t="s">
        <v>3327</v>
      </c>
      <c r="F1757" s="14" t="s">
        <v>11</v>
      </c>
    </row>
    <row r="1758" ht="18" customHeight="1" spans="1:6">
      <c r="A1758" s="5" t="s">
        <v>2919</v>
      </c>
      <c r="B1758" s="14" t="s">
        <v>3146</v>
      </c>
      <c r="C1758" s="14" t="s">
        <v>3328</v>
      </c>
      <c r="D1758" s="138">
        <v>1</v>
      </c>
      <c r="E1758" s="192" t="s">
        <v>3329</v>
      </c>
      <c r="F1758" s="14" t="s">
        <v>11</v>
      </c>
    </row>
    <row r="1759" ht="18" customHeight="1" spans="1:6">
      <c r="A1759" s="5" t="s">
        <v>2919</v>
      </c>
      <c r="B1759" s="14" t="s">
        <v>3146</v>
      </c>
      <c r="C1759" s="14" t="s">
        <v>3326</v>
      </c>
      <c r="D1759" s="138">
        <v>1</v>
      </c>
      <c r="E1759" s="14" t="s">
        <v>3327</v>
      </c>
      <c r="F1759" s="14" t="s">
        <v>11</v>
      </c>
    </row>
    <row r="1760" ht="18" customHeight="1" spans="1:6">
      <c r="A1760" s="5" t="s">
        <v>2919</v>
      </c>
      <c r="B1760" s="14" t="s">
        <v>3146</v>
      </c>
      <c r="C1760" s="14" t="s">
        <v>3328</v>
      </c>
      <c r="D1760" s="138">
        <v>1</v>
      </c>
      <c r="E1760" s="192" t="s">
        <v>3329</v>
      </c>
      <c r="F1760" s="14" t="s">
        <v>11</v>
      </c>
    </row>
    <row r="1761" ht="18" customHeight="1" spans="1:6">
      <c r="A1761" s="5" t="s">
        <v>2919</v>
      </c>
      <c r="B1761" s="14" t="s">
        <v>3146</v>
      </c>
      <c r="C1761" s="14" t="s">
        <v>3330</v>
      </c>
      <c r="D1761" s="138">
        <v>1</v>
      </c>
      <c r="E1761" s="14" t="s">
        <v>3331</v>
      </c>
      <c r="F1761" s="14" t="s">
        <v>11</v>
      </c>
    </row>
    <row r="1762" ht="18" customHeight="1" spans="1:6">
      <c r="A1762" s="5" t="s">
        <v>2919</v>
      </c>
      <c r="B1762" s="14" t="s">
        <v>3146</v>
      </c>
      <c r="C1762" s="14" t="s">
        <v>3332</v>
      </c>
      <c r="D1762" s="138">
        <v>1</v>
      </c>
      <c r="E1762" s="192" t="s">
        <v>3333</v>
      </c>
      <c r="F1762" s="14" t="s">
        <v>11</v>
      </c>
    </row>
    <row r="1763" ht="18" customHeight="1" spans="1:6">
      <c r="A1763" s="5" t="s">
        <v>2919</v>
      </c>
      <c r="B1763" s="14" t="s">
        <v>3146</v>
      </c>
      <c r="C1763" s="14" t="s">
        <v>3334</v>
      </c>
      <c r="D1763" s="138">
        <v>1</v>
      </c>
      <c r="E1763" s="192" t="s">
        <v>3335</v>
      </c>
      <c r="F1763" s="14" t="s">
        <v>11</v>
      </c>
    </row>
    <row r="1764" ht="18" customHeight="1" spans="1:6">
      <c r="A1764" s="5" t="s">
        <v>2919</v>
      </c>
      <c r="B1764" s="14" t="s">
        <v>3146</v>
      </c>
      <c r="C1764" s="14" t="s">
        <v>3336</v>
      </c>
      <c r="D1764" s="138">
        <v>1</v>
      </c>
      <c r="E1764" s="192" t="s">
        <v>3337</v>
      </c>
      <c r="F1764" s="14" t="s">
        <v>11</v>
      </c>
    </row>
    <row r="1765" ht="18" customHeight="1" spans="1:6">
      <c r="A1765" s="5" t="s">
        <v>2919</v>
      </c>
      <c r="B1765" s="14" t="s">
        <v>3146</v>
      </c>
      <c r="C1765" s="14" t="s">
        <v>3338</v>
      </c>
      <c r="D1765" s="138">
        <v>1</v>
      </c>
      <c r="E1765" s="192" t="s">
        <v>3339</v>
      </c>
      <c r="F1765" s="14" t="s">
        <v>11</v>
      </c>
    </row>
    <row r="1766" ht="18" customHeight="1" spans="1:6">
      <c r="A1766" s="5" t="s">
        <v>2919</v>
      </c>
      <c r="B1766" s="14" t="s">
        <v>3340</v>
      </c>
      <c r="C1766" s="14" t="s">
        <v>3341</v>
      </c>
      <c r="D1766" s="138">
        <v>4</v>
      </c>
      <c r="E1766" s="14" t="s">
        <v>3342</v>
      </c>
      <c r="F1766" s="14" t="s">
        <v>11</v>
      </c>
    </row>
    <row r="1767" ht="18" customHeight="1" spans="1:6">
      <c r="A1767" s="5" t="s">
        <v>2919</v>
      </c>
      <c r="B1767" s="14" t="s">
        <v>3340</v>
      </c>
      <c r="C1767" s="14" t="s">
        <v>3343</v>
      </c>
      <c r="D1767" s="138">
        <v>4</v>
      </c>
      <c r="E1767" s="14" t="s">
        <v>3344</v>
      </c>
      <c r="F1767" s="14" t="s">
        <v>11</v>
      </c>
    </row>
    <row r="1768" ht="18" customHeight="1" spans="1:6">
      <c r="A1768" s="5" t="s">
        <v>2919</v>
      </c>
      <c r="B1768" s="14" t="s">
        <v>3340</v>
      </c>
      <c r="C1768" s="14" t="s">
        <v>3345</v>
      </c>
      <c r="D1768" s="138">
        <v>2</v>
      </c>
      <c r="E1768" s="14" t="s">
        <v>3346</v>
      </c>
      <c r="F1768" s="14" t="s">
        <v>11</v>
      </c>
    </row>
    <row r="1769" ht="18" customHeight="1" spans="1:6">
      <c r="A1769" s="5" t="s">
        <v>2919</v>
      </c>
      <c r="B1769" s="14" t="s">
        <v>3340</v>
      </c>
      <c r="C1769" s="14" t="s">
        <v>3347</v>
      </c>
      <c r="D1769" s="138">
        <v>3</v>
      </c>
      <c r="E1769" s="14" t="s">
        <v>3348</v>
      </c>
      <c r="F1769" s="14" t="s">
        <v>11</v>
      </c>
    </row>
    <row r="1770" ht="18" customHeight="1" spans="1:6">
      <c r="A1770" s="5" t="s">
        <v>2919</v>
      </c>
      <c r="B1770" s="14" t="s">
        <v>3340</v>
      </c>
      <c r="C1770" s="14" t="s">
        <v>3349</v>
      </c>
      <c r="D1770" s="138">
        <v>3</v>
      </c>
      <c r="E1770" s="14" t="s">
        <v>3350</v>
      </c>
      <c r="F1770" s="14" t="s">
        <v>11</v>
      </c>
    </row>
    <row r="1771" ht="18" customHeight="1" spans="1:6">
      <c r="A1771" s="5" t="s">
        <v>2919</v>
      </c>
      <c r="B1771" s="14" t="s">
        <v>3340</v>
      </c>
      <c r="C1771" s="14" t="s">
        <v>3351</v>
      </c>
      <c r="D1771" s="138">
        <v>2</v>
      </c>
      <c r="E1771" s="14" t="s">
        <v>3352</v>
      </c>
      <c r="F1771" s="14" t="s">
        <v>11</v>
      </c>
    </row>
    <row r="1772" ht="18" customHeight="1" spans="1:6">
      <c r="A1772" s="5" t="s">
        <v>2919</v>
      </c>
      <c r="B1772" s="14" t="s">
        <v>3340</v>
      </c>
      <c r="C1772" s="14" t="s">
        <v>3353</v>
      </c>
      <c r="D1772" s="138">
        <v>2</v>
      </c>
      <c r="E1772" s="14" t="s">
        <v>3354</v>
      </c>
      <c r="F1772" s="14" t="s">
        <v>11</v>
      </c>
    </row>
    <row r="1773" ht="18" customHeight="1" spans="1:6">
      <c r="A1773" s="5" t="s">
        <v>2919</v>
      </c>
      <c r="B1773" s="14" t="s">
        <v>3340</v>
      </c>
      <c r="C1773" s="14" t="s">
        <v>3355</v>
      </c>
      <c r="D1773" s="138">
        <v>6</v>
      </c>
      <c r="E1773" s="14" t="s">
        <v>3356</v>
      </c>
      <c r="F1773" s="14" t="s">
        <v>11</v>
      </c>
    </row>
    <row r="1774" ht="18" customHeight="1" spans="1:6">
      <c r="A1774" s="5" t="s">
        <v>2919</v>
      </c>
      <c r="B1774" s="14" t="s">
        <v>3340</v>
      </c>
      <c r="C1774" s="14" t="s">
        <v>3357</v>
      </c>
      <c r="D1774" s="138">
        <v>3</v>
      </c>
      <c r="E1774" s="14" t="s">
        <v>3358</v>
      </c>
      <c r="F1774" s="14" t="s">
        <v>11</v>
      </c>
    </row>
    <row r="1775" ht="18" customHeight="1" spans="1:6">
      <c r="A1775" s="5" t="s">
        <v>2919</v>
      </c>
      <c r="B1775" s="14" t="s">
        <v>3340</v>
      </c>
      <c r="C1775" s="14" t="s">
        <v>3359</v>
      </c>
      <c r="D1775" s="138">
        <v>3</v>
      </c>
      <c r="E1775" s="14" t="s">
        <v>3360</v>
      </c>
      <c r="F1775" s="14" t="s">
        <v>11</v>
      </c>
    </row>
    <row r="1776" ht="18" customHeight="1" spans="1:6">
      <c r="A1776" s="5" t="s">
        <v>2919</v>
      </c>
      <c r="B1776" s="14" t="s">
        <v>3340</v>
      </c>
      <c r="C1776" s="14" t="s">
        <v>3361</v>
      </c>
      <c r="D1776" s="138">
        <v>2</v>
      </c>
      <c r="E1776" s="14" t="s">
        <v>3362</v>
      </c>
      <c r="F1776" s="14" t="s">
        <v>11</v>
      </c>
    </row>
    <row r="1777" ht="18" customHeight="1" spans="1:6">
      <c r="A1777" s="5" t="s">
        <v>2919</v>
      </c>
      <c r="B1777" s="14" t="s">
        <v>3340</v>
      </c>
      <c r="C1777" s="14" t="s">
        <v>3363</v>
      </c>
      <c r="D1777" s="138">
        <v>3</v>
      </c>
      <c r="E1777" s="14" t="s">
        <v>3364</v>
      </c>
      <c r="F1777" s="14" t="s">
        <v>11</v>
      </c>
    </row>
    <row r="1778" ht="18" customHeight="1" spans="1:6">
      <c r="A1778" s="5" t="s">
        <v>2919</v>
      </c>
      <c r="B1778" s="14" t="s">
        <v>3340</v>
      </c>
      <c r="C1778" s="14" t="s">
        <v>3365</v>
      </c>
      <c r="D1778" s="138">
        <v>3</v>
      </c>
      <c r="E1778" s="14" t="s">
        <v>3366</v>
      </c>
      <c r="F1778" s="14" t="s">
        <v>11</v>
      </c>
    </row>
    <row r="1779" ht="18" customHeight="1" spans="1:6">
      <c r="A1779" s="5" t="s">
        <v>2919</v>
      </c>
      <c r="B1779" s="14" t="s">
        <v>3340</v>
      </c>
      <c r="C1779" s="14" t="s">
        <v>3367</v>
      </c>
      <c r="D1779" s="138">
        <v>1</v>
      </c>
      <c r="E1779" s="14" t="s">
        <v>3368</v>
      </c>
      <c r="F1779" s="14" t="s">
        <v>11</v>
      </c>
    </row>
    <row r="1780" ht="18" customHeight="1" spans="1:6">
      <c r="A1780" s="5" t="s">
        <v>2919</v>
      </c>
      <c r="B1780" s="14" t="s">
        <v>3340</v>
      </c>
      <c r="C1780" s="14" t="s">
        <v>3369</v>
      </c>
      <c r="D1780" s="138">
        <v>1</v>
      </c>
      <c r="E1780" s="14" t="s">
        <v>3370</v>
      </c>
      <c r="F1780" s="14" t="s">
        <v>11</v>
      </c>
    </row>
    <row r="1781" ht="18" customHeight="1" spans="1:6">
      <c r="A1781" s="5" t="s">
        <v>2919</v>
      </c>
      <c r="B1781" s="14" t="s">
        <v>3340</v>
      </c>
      <c r="C1781" s="14" t="s">
        <v>3371</v>
      </c>
      <c r="D1781" s="138">
        <v>1</v>
      </c>
      <c r="E1781" s="14" t="s">
        <v>3372</v>
      </c>
      <c r="F1781" s="14" t="s">
        <v>11</v>
      </c>
    </row>
    <row r="1782" ht="18" customHeight="1" spans="1:6">
      <c r="A1782" s="5" t="s">
        <v>2919</v>
      </c>
      <c r="B1782" s="14" t="s">
        <v>3340</v>
      </c>
      <c r="C1782" s="14" t="s">
        <v>3373</v>
      </c>
      <c r="D1782" s="138">
        <v>1</v>
      </c>
      <c r="E1782" s="14" t="s">
        <v>3374</v>
      </c>
      <c r="F1782" s="14" t="s">
        <v>11</v>
      </c>
    </row>
    <row r="1783" ht="18" customHeight="1" spans="1:6">
      <c r="A1783" s="5" t="s">
        <v>2919</v>
      </c>
      <c r="B1783" s="14" t="s">
        <v>3340</v>
      </c>
      <c r="C1783" s="14" t="s">
        <v>3375</v>
      </c>
      <c r="D1783" s="138">
        <v>1</v>
      </c>
      <c r="E1783" s="14" t="s">
        <v>3376</v>
      </c>
      <c r="F1783" s="14" t="s">
        <v>11</v>
      </c>
    </row>
    <row r="1784" ht="18" customHeight="1" spans="1:6">
      <c r="A1784" s="5" t="s">
        <v>2919</v>
      </c>
      <c r="B1784" s="14" t="s">
        <v>3340</v>
      </c>
      <c r="C1784" s="14" t="s">
        <v>3377</v>
      </c>
      <c r="D1784" s="138">
        <v>2</v>
      </c>
      <c r="E1784" s="14" t="s">
        <v>3378</v>
      </c>
      <c r="F1784" s="14" t="s">
        <v>11</v>
      </c>
    </row>
    <row r="1785" ht="18" customHeight="1" spans="1:6">
      <c r="A1785" s="5" t="s">
        <v>2919</v>
      </c>
      <c r="B1785" s="14" t="s">
        <v>3340</v>
      </c>
      <c r="C1785" s="14" t="s">
        <v>3379</v>
      </c>
      <c r="D1785" s="138">
        <v>1</v>
      </c>
      <c r="E1785" s="14" t="s">
        <v>3380</v>
      </c>
      <c r="F1785" s="14" t="s">
        <v>11</v>
      </c>
    </row>
    <row r="1786" ht="18" customHeight="1" spans="1:6">
      <c r="A1786" s="5" t="s">
        <v>2919</v>
      </c>
      <c r="B1786" s="14" t="s">
        <v>3340</v>
      </c>
      <c r="C1786" s="14" t="s">
        <v>3381</v>
      </c>
      <c r="D1786" s="138">
        <v>3</v>
      </c>
      <c r="E1786" s="14" t="s">
        <v>3382</v>
      </c>
      <c r="F1786" s="14" t="s">
        <v>11</v>
      </c>
    </row>
    <row r="1787" ht="18" customHeight="1" spans="1:6">
      <c r="A1787" s="5" t="s">
        <v>2919</v>
      </c>
      <c r="B1787" s="14" t="s">
        <v>3340</v>
      </c>
      <c r="C1787" s="14" t="s">
        <v>3383</v>
      </c>
      <c r="D1787" s="138">
        <v>3</v>
      </c>
      <c r="E1787" s="14" t="s">
        <v>3384</v>
      </c>
      <c r="F1787" s="14" t="s">
        <v>11</v>
      </c>
    </row>
    <row r="1788" ht="18" customHeight="1" spans="1:6">
      <c r="A1788" s="5" t="s">
        <v>2919</v>
      </c>
      <c r="B1788" s="14" t="s">
        <v>3340</v>
      </c>
      <c r="C1788" s="14" t="s">
        <v>3385</v>
      </c>
      <c r="D1788" s="138">
        <v>2</v>
      </c>
      <c r="E1788" s="14" t="str">
        <f>LEFT("422626194810043016",19)</f>
        <v>422626194810043016</v>
      </c>
      <c r="F1788" s="14" t="s">
        <v>11</v>
      </c>
    </row>
    <row r="1789" ht="18" customHeight="1" spans="1:6">
      <c r="A1789" s="5" t="s">
        <v>2919</v>
      </c>
      <c r="B1789" s="14" t="s">
        <v>3340</v>
      </c>
      <c r="C1789" s="14" t="s">
        <v>3386</v>
      </c>
      <c r="D1789" s="138">
        <v>3</v>
      </c>
      <c r="E1789" s="14" t="str">
        <f>LEFT("422626195812233010",19)</f>
        <v>422626195812233010</v>
      </c>
      <c r="F1789" s="14" t="s">
        <v>11</v>
      </c>
    </row>
    <row r="1790" ht="18" customHeight="1" spans="1:6">
      <c r="A1790" s="5" t="s">
        <v>2919</v>
      </c>
      <c r="B1790" s="14" t="s">
        <v>3340</v>
      </c>
      <c r="C1790" s="14" t="s">
        <v>3387</v>
      </c>
      <c r="D1790" s="138">
        <v>4</v>
      </c>
      <c r="E1790" s="14" t="s">
        <v>3388</v>
      </c>
      <c r="F1790" s="14" t="s">
        <v>11</v>
      </c>
    </row>
    <row r="1791" ht="18" customHeight="1" spans="1:6">
      <c r="A1791" s="5" t="s">
        <v>2919</v>
      </c>
      <c r="B1791" s="14" t="s">
        <v>3340</v>
      </c>
      <c r="C1791" s="14" t="s">
        <v>3389</v>
      </c>
      <c r="D1791" s="138">
        <v>3</v>
      </c>
      <c r="E1791" s="14" t="s">
        <v>3390</v>
      </c>
      <c r="F1791" s="14" t="s">
        <v>11</v>
      </c>
    </row>
    <row r="1792" ht="18" customHeight="1" spans="1:6">
      <c r="A1792" s="5" t="s">
        <v>2919</v>
      </c>
      <c r="B1792" s="14" t="s">
        <v>3340</v>
      </c>
      <c r="C1792" s="14" t="s">
        <v>3391</v>
      </c>
      <c r="D1792" s="138">
        <v>2</v>
      </c>
      <c r="E1792" s="14" t="str">
        <f>LEFT("422626196506152639",19)</f>
        <v>422626196506152639</v>
      </c>
      <c r="F1792" s="14" t="s">
        <v>11</v>
      </c>
    </row>
    <row r="1793" ht="18" customHeight="1" spans="1:6">
      <c r="A1793" s="5" t="s">
        <v>2919</v>
      </c>
      <c r="B1793" s="14" t="s">
        <v>3340</v>
      </c>
      <c r="C1793" s="14" t="s">
        <v>3392</v>
      </c>
      <c r="D1793" s="138">
        <v>3</v>
      </c>
      <c r="E1793" s="14" t="s">
        <v>3393</v>
      </c>
      <c r="F1793" s="14" t="s">
        <v>11</v>
      </c>
    </row>
    <row r="1794" ht="18" customHeight="1" spans="1:6">
      <c r="A1794" s="5" t="s">
        <v>2919</v>
      </c>
      <c r="B1794" s="14" t="s">
        <v>3340</v>
      </c>
      <c r="C1794" s="14" t="s">
        <v>3394</v>
      </c>
      <c r="D1794" s="138">
        <v>5</v>
      </c>
      <c r="E1794" s="14" t="s">
        <v>3395</v>
      </c>
      <c r="F1794" s="14" t="s">
        <v>11</v>
      </c>
    </row>
    <row r="1795" ht="18" customHeight="1" spans="1:6">
      <c r="A1795" s="5" t="s">
        <v>2919</v>
      </c>
      <c r="B1795" s="14" t="s">
        <v>3340</v>
      </c>
      <c r="C1795" s="14" t="s">
        <v>3396</v>
      </c>
      <c r="D1795" s="138">
        <v>2</v>
      </c>
      <c r="E1795" s="14" t="s">
        <v>3397</v>
      </c>
      <c r="F1795" s="14" t="s">
        <v>11</v>
      </c>
    </row>
    <row r="1796" ht="18" customHeight="1" spans="1:6">
      <c r="A1796" s="5" t="s">
        <v>2919</v>
      </c>
      <c r="B1796" s="14" t="s">
        <v>3340</v>
      </c>
      <c r="C1796" s="14" t="s">
        <v>3398</v>
      </c>
      <c r="D1796" s="138">
        <v>4</v>
      </c>
      <c r="E1796" s="14" t="s">
        <v>3399</v>
      </c>
      <c r="F1796" s="14" t="s">
        <v>11</v>
      </c>
    </row>
    <row r="1797" ht="18" customHeight="1" spans="1:6">
      <c r="A1797" s="5" t="s">
        <v>2919</v>
      </c>
      <c r="B1797" s="14" t="s">
        <v>3340</v>
      </c>
      <c r="C1797" s="14" t="s">
        <v>3400</v>
      </c>
      <c r="D1797" s="138">
        <v>5</v>
      </c>
      <c r="E1797" s="14" t="s">
        <v>3401</v>
      </c>
      <c r="F1797" s="14" t="s">
        <v>11</v>
      </c>
    </row>
    <row r="1798" ht="18" customHeight="1" spans="1:6">
      <c r="A1798" s="5" t="s">
        <v>2919</v>
      </c>
      <c r="B1798" s="14" t="s">
        <v>3402</v>
      </c>
      <c r="C1798" s="14" t="s">
        <v>3403</v>
      </c>
      <c r="D1798" s="138">
        <v>4</v>
      </c>
      <c r="E1798" s="192" t="s">
        <v>3404</v>
      </c>
      <c r="F1798" s="14" t="s">
        <v>11</v>
      </c>
    </row>
    <row r="1799" ht="18" customHeight="1" spans="1:6">
      <c r="A1799" s="5" t="s">
        <v>2919</v>
      </c>
      <c r="B1799" s="14" t="s">
        <v>3402</v>
      </c>
      <c r="C1799" s="14" t="s">
        <v>3405</v>
      </c>
      <c r="D1799" s="138">
        <v>4</v>
      </c>
      <c r="E1799" s="192" t="s">
        <v>3406</v>
      </c>
      <c r="F1799" s="14" t="s">
        <v>11</v>
      </c>
    </row>
    <row r="1800" ht="18" customHeight="1" spans="1:6">
      <c r="A1800" s="5" t="s">
        <v>2919</v>
      </c>
      <c r="B1800" s="14" t="s">
        <v>3402</v>
      </c>
      <c r="C1800" s="14" t="s">
        <v>3407</v>
      </c>
      <c r="D1800" s="138">
        <v>2</v>
      </c>
      <c r="E1800" s="14" t="s">
        <v>3408</v>
      </c>
      <c r="F1800" s="14" t="s">
        <v>11</v>
      </c>
    </row>
    <row r="1801" ht="18" customHeight="1" spans="1:6">
      <c r="A1801" s="5" t="s">
        <v>2919</v>
      </c>
      <c r="B1801" s="14" t="s">
        <v>3402</v>
      </c>
      <c r="C1801" s="14" t="s">
        <v>3409</v>
      </c>
      <c r="D1801" s="138">
        <v>2</v>
      </c>
      <c r="E1801" s="192" t="s">
        <v>3410</v>
      </c>
      <c r="F1801" s="14" t="s">
        <v>11</v>
      </c>
    </row>
    <row r="1802" ht="18" customHeight="1" spans="1:6">
      <c r="A1802" s="5" t="s">
        <v>2919</v>
      </c>
      <c r="B1802" s="14" t="s">
        <v>3402</v>
      </c>
      <c r="C1802" s="14" t="s">
        <v>3411</v>
      </c>
      <c r="D1802" s="138">
        <v>3</v>
      </c>
      <c r="E1802" s="192" t="s">
        <v>3412</v>
      </c>
      <c r="F1802" s="14" t="s">
        <v>11</v>
      </c>
    </row>
    <row r="1803" ht="18" customHeight="1" spans="1:6">
      <c r="A1803" s="5" t="s">
        <v>2919</v>
      </c>
      <c r="B1803" s="14" t="s">
        <v>3402</v>
      </c>
      <c r="C1803" s="14" t="s">
        <v>3413</v>
      </c>
      <c r="D1803" s="138">
        <v>2</v>
      </c>
      <c r="E1803" s="192" t="s">
        <v>3414</v>
      </c>
      <c r="F1803" s="14" t="s">
        <v>11</v>
      </c>
    </row>
    <row r="1804" ht="18" customHeight="1" spans="1:6">
      <c r="A1804" s="5" t="s">
        <v>2919</v>
      </c>
      <c r="B1804" s="14" t="s">
        <v>3402</v>
      </c>
      <c r="C1804" s="14" t="s">
        <v>3415</v>
      </c>
      <c r="D1804" s="138">
        <v>3</v>
      </c>
      <c r="E1804" s="192" t="s">
        <v>3416</v>
      </c>
      <c r="F1804" s="14" t="s">
        <v>11</v>
      </c>
    </row>
    <row r="1805" ht="18" customHeight="1" spans="1:6">
      <c r="A1805" s="5" t="s">
        <v>2919</v>
      </c>
      <c r="B1805" s="14" t="s">
        <v>3402</v>
      </c>
      <c r="C1805" s="14" t="s">
        <v>3417</v>
      </c>
      <c r="D1805" s="138">
        <v>2</v>
      </c>
      <c r="E1805" s="192" t="s">
        <v>3418</v>
      </c>
      <c r="F1805" s="14" t="s">
        <v>11</v>
      </c>
    </row>
    <row r="1806" ht="18" customHeight="1" spans="1:6">
      <c r="A1806" s="5" t="s">
        <v>2919</v>
      </c>
      <c r="B1806" s="14" t="s">
        <v>3402</v>
      </c>
      <c r="C1806" s="14" t="s">
        <v>3419</v>
      </c>
      <c r="D1806" s="138">
        <v>2</v>
      </c>
      <c r="E1806" s="192" t="s">
        <v>3420</v>
      </c>
      <c r="F1806" s="14" t="s">
        <v>11</v>
      </c>
    </row>
    <row r="1807" ht="18" customHeight="1" spans="1:6">
      <c r="A1807" s="5" t="s">
        <v>2919</v>
      </c>
      <c r="B1807" s="14" t="s">
        <v>3402</v>
      </c>
      <c r="C1807" s="14" t="s">
        <v>3421</v>
      </c>
      <c r="D1807" s="138">
        <v>2</v>
      </c>
      <c r="E1807" s="192" t="s">
        <v>3422</v>
      </c>
      <c r="F1807" s="14" t="s">
        <v>11</v>
      </c>
    </row>
    <row r="1808" ht="18" customHeight="1" spans="1:6">
      <c r="A1808" s="5" t="s">
        <v>2919</v>
      </c>
      <c r="B1808" s="14" t="s">
        <v>3402</v>
      </c>
      <c r="C1808" s="14" t="s">
        <v>3423</v>
      </c>
      <c r="D1808" s="138">
        <v>1</v>
      </c>
      <c r="E1808" s="14" t="s">
        <v>3424</v>
      </c>
      <c r="F1808" s="14" t="s">
        <v>11</v>
      </c>
    </row>
    <row r="1809" ht="18" customHeight="1" spans="1:6">
      <c r="A1809" s="5" t="s">
        <v>2919</v>
      </c>
      <c r="B1809" s="14" t="s">
        <v>3402</v>
      </c>
      <c r="C1809" s="14" t="s">
        <v>3425</v>
      </c>
      <c r="D1809" s="138">
        <v>3</v>
      </c>
      <c r="E1809" s="192" t="s">
        <v>3426</v>
      </c>
      <c r="F1809" s="14" t="s">
        <v>11</v>
      </c>
    </row>
    <row r="1810" ht="18" customHeight="1" spans="1:6">
      <c r="A1810" s="5" t="s">
        <v>2919</v>
      </c>
      <c r="B1810" s="14" t="s">
        <v>3402</v>
      </c>
      <c r="C1810" s="14" t="s">
        <v>3427</v>
      </c>
      <c r="D1810" s="138">
        <v>3</v>
      </c>
      <c r="E1810" s="192" t="s">
        <v>3428</v>
      </c>
      <c r="F1810" s="14" t="s">
        <v>11</v>
      </c>
    </row>
    <row r="1811" ht="18" customHeight="1" spans="1:6">
      <c r="A1811" s="5" t="s">
        <v>2919</v>
      </c>
      <c r="B1811" s="14" t="s">
        <v>3402</v>
      </c>
      <c r="C1811" s="14" t="s">
        <v>3429</v>
      </c>
      <c r="D1811" s="138">
        <v>1</v>
      </c>
      <c r="E1811" s="192" t="s">
        <v>3430</v>
      </c>
      <c r="F1811" s="14" t="s">
        <v>11</v>
      </c>
    </row>
    <row r="1812" ht="18" customHeight="1" spans="1:6">
      <c r="A1812" s="5" t="s">
        <v>2919</v>
      </c>
      <c r="B1812" s="14" t="s">
        <v>3402</v>
      </c>
      <c r="C1812" s="14" t="s">
        <v>3431</v>
      </c>
      <c r="D1812" s="138">
        <v>3</v>
      </c>
      <c r="E1812" s="192" t="s">
        <v>3432</v>
      </c>
      <c r="F1812" s="14" t="s">
        <v>11</v>
      </c>
    </row>
    <row r="1813" ht="18" customHeight="1" spans="1:6">
      <c r="A1813" s="5" t="s">
        <v>2919</v>
      </c>
      <c r="B1813" s="14" t="s">
        <v>3402</v>
      </c>
      <c r="C1813" s="14" t="s">
        <v>3433</v>
      </c>
      <c r="D1813" s="138">
        <v>1</v>
      </c>
      <c r="E1813" s="192" t="s">
        <v>3434</v>
      </c>
      <c r="F1813" s="14" t="s">
        <v>11</v>
      </c>
    </row>
    <row r="1814" ht="18" customHeight="1" spans="1:6">
      <c r="A1814" s="5" t="s">
        <v>2919</v>
      </c>
      <c r="B1814" s="14" t="s">
        <v>3402</v>
      </c>
      <c r="C1814" s="14" t="s">
        <v>3435</v>
      </c>
      <c r="D1814" s="138">
        <v>3</v>
      </c>
      <c r="E1814" s="192" t="s">
        <v>3436</v>
      </c>
      <c r="F1814" s="14" t="s">
        <v>11</v>
      </c>
    </row>
    <row r="1815" ht="18" customHeight="1" spans="1:6">
      <c r="A1815" s="5" t="s">
        <v>2919</v>
      </c>
      <c r="B1815" s="14" t="s">
        <v>3402</v>
      </c>
      <c r="C1815" s="14" t="s">
        <v>3437</v>
      </c>
      <c r="D1815" s="138">
        <v>1</v>
      </c>
      <c r="E1815" s="192" t="s">
        <v>3438</v>
      </c>
      <c r="F1815" s="14" t="s">
        <v>11</v>
      </c>
    </row>
    <row r="1816" ht="18" customHeight="1" spans="1:6">
      <c r="A1816" s="5" t="s">
        <v>2919</v>
      </c>
      <c r="B1816" s="14" t="s">
        <v>3402</v>
      </c>
      <c r="C1816" s="14" t="s">
        <v>3439</v>
      </c>
      <c r="D1816" s="138">
        <v>3</v>
      </c>
      <c r="E1816" s="14" t="s">
        <v>3440</v>
      </c>
      <c r="F1816" s="14" t="s">
        <v>11</v>
      </c>
    </row>
    <row r="1817" ht="18" customHeight="1" spans="1:6">
      <c r="A1817" s="5" t="s">
        <v>2919</v>
      </c>
      <c r="B1817" s="14" t="s">
        <v>3402</v>
      </c>
      <c r="C1817" s="14" t="s">
        <v>3441</v>
      </c>
      <c r="D1817" s="138">
        <v>5</v>
      </c>
      <c r="E1817" s="14" t="s">
        <v>3442</v>
      </c>
      <c r="F1817" s="14" t="s">
        <v>11</v>
      </c>
    </row>
    <row r="1818" ht="18" customHeight="1" spans="1:6">
      <c r="A1818" s="5" t="s">
        <v>2919</v>
      </c>
      <c r="B1818" s="14" t="s">
        <v>3402</v>
      </c>
      <c r="C1818" s="14" t="s">
        <v>3443</v>
      </c>
      <c r="D1818" s="138">
        <v>3</v>
      </c>
      <c r="E1818" s="14" t="s">
        <v>3444</v>
      </c>
      <c r="F1818" s="14" t="s">
        <v>11</v>
      </c>
    </row>
    <row r="1819" ht="18" customHeight="1" spans="1:6">
      <c r="A1819" s="5" t="s">
        <v>2919</v>
      </c>
      <c r="B1819" s="14" t="s">
        <v>3402</v>
      </c>
      <c r="C1819" s="14" t="s">
        <v>3445</v>
      </c>
      <c r="D1819" s="138">
        <v>1</v>
      </c>
      <c r="E1819" s="192" t="s">
        <v>3446</v>
      </c>
      <c r="F1819" s="14" t="s">
        <v>11</v>
      </c>
    </row>
    <row r="1820" ht="18" customHeight="1" spans="1:6">
      <c r="A1820" s="5" t="s">
        <v>2919</v>
      </c>
      <c r="B1820" s="14" t="s">
        <v>3402</v>
      </c>
      <c r="C1820" s="14" t="s">
        <v>3447</v>
      </c>
      <c r="D1820" s="138">
        <v>4</v>
      </c>
      <c r="E1820" s="192" t="s">
        <v>3448</v>
      </c>
      <c r="F1820" s="14" t="s">
        <v>11</v>
      </c>
    </row>
    <row r="1821" ht="18" customHeight="1" spans="1:6">
      <c r="A1821" s="5" t="s">
        <v>2919</v>
      </c>
      <c r="B1821" s="14" t="s">
        <v>3402</v>
      </c>
      <c r="C1821" s="14" t="s">
        <v>3449</v>
      </c>
      <c r="D1821" s="138">
        <v>1</v>
      </c>
      <c r="E1821" s="192" t="s">
        <v>3450</v>
      </c>
      <c r="F1821" s="14" t="s">
        <v>11</v>
      </c>
    </row>
    <row r="1822" ht="18" customHeight="1" spans="1:6">
      <c r="A1822" s="5" t="s">
        <v>2919</v>
      </c>
      <c r="B1822" s="14" t="s">
        <v>3402</v>
      </c>
      <c r="C1822" s="14" t="s">
        <v>3218</v>
      </c>
      <c r="D1822" s="138">
        <v>2</v>
      </c>
      <c r="E1822" s="192" t="s">
        <v>3451</v>
      </c>
      <c r="F1822" s="14" t="s">
        <v>11</v>
      </c>
    </row>
    <row r="1823" ht="18" customHeight="1" spans="1:6">
      <c r="A1823" s="5" t="s">
        <v>2919</v>
      </c>
      <c r="B1823" s="14" t="s">
        <v>3402</v>
      </c>
      <c r="C1823" s="14" t="s">
        <v>3452</v>
      </c>
      <c r="D1823" s="138">
        <v>2</v>
      </c>
      <c r="E1823" s="192" t="s">
        <v>3453</v>
      </c>
      <c r="F1823" s="14" t="s">
        <v>11</v>
      </c>
    </row>
    <row r="1824" ht="18" customHeight="1" spans="1:6">
      <c r="A1824" s="5" t="s">
        <v>2919</v>
      </c>
      <c r="B1824" s="14" t="s">
        <v>3402</v>
      </c>
      <c r="C1824" s="14" t="s">
        <v>3454</v>
      </c>
      <c r="D1824" s="138">
        <v>2</v>
      </c>
      <c r="E1824" s="14" t="s">
        <v>3455</v>
      </c>
      <c r="F1824" s="14" t="s">
        <v>11</v>
      </c>
    </row>
    <row r="1825" ht="18" customHeight="1" spans="1:6">
      <c r="A1825" s="5" t="s">
        <v>2919</v>
      </c>
      <c r="B1825" s="14" t="s">
        <v>3402</v>
      </c>
      <c r="C1825" s="14" t="s">
        <v>3456</v>
      </c>
      <c r="D1825" s="138">
        <v>3</v>
      </c>
      <c r="E1825" s="14" t="s">
        <v>3457</v>
      </c>
      <c r="F1825" s="14" t="s">
        <v>11</v>
      </c>
    </row>
    <row r="1826" ht="18" customHeight="1" spans="1:6">
      <c r="A1826" s="5" t="s">
        <v>2919</v>
      </c>
      <c r="B1826" s="14" t="s">
        <v>3402</v>
      </c>
      <c r="C1826" s="14" t="s">
        <v>3458</v>
      </c>
      <c r="D1826" s="138">
        <v>1</v>
      </c>
      <c r="E1826" s="14" t="s">
        <v>3459</v>
      </c>
      <c r="F1826" s="14" t="s">
        <v>11</v>
      </c>
    </row>
    <row r="1827" ht="18" customHeight="1" spans="1:6">
      <c r="A1827" s="5" t="s">
        <v>2919</v>
      </c>
      <c r="B1827" s="14" t="s">
        <v>3402</v>
      </c>
      <c r="C1827" s="14" t="s">
        <v>3460</v>
      </c>
      <c r="D1827" s="138">
        <v>2</v>
      </c>
      <c r="E1827" s="14" t="s">
        <v>3461</v>
      </c>
      <c r="F1827" s="14" t="s">
        <v>11</v>
      </c>
    </row>
    <row r="1828" ht="18" customHeight="1" spans="1:6">
      <c r="A1828" s="5" t="s">
        <v>2919</v>
      </c>
      <c r="B1828" s="14" t="s">
        <v>3462</v>
      </c>
      <c r="C1828" s="14" t="s">
        <v>3463</v>
      </c>
      <c r="D1828" s="138">
        <v>1</v>
      </c>
      <c r="E1828" s="14" t="s">
        <v>3464</v>
      </c>
      <c r="F1828" s="14" t="s">
        <v>11</v>
      </c>
    </row>
    <row r="1829" ht="18" customHeight="1" spans="1:6">
      <c r="A1829" s="5" t="s">
        <v>2919</v>
      </c>
      <c r="B1829" s="14" t="s">
        <v>3462</v>
      </c>
      <c r="C1829" s="14" t="s">
        <v>3465</v>
      </c>
      <c r="D1829" s="138">
        <v>2</v>
      </c>
      <c r="E1829" s="192" t="s">
        <v>3466</v>
      </c>
      <c r="F1829" s="14" t="s">
        <v>11</v>
      </c>
    </row>
    <row r="1830" ht="18" customHeight="1" spans="1:6">
      <c r="A1830" s="5" t="s">
        <v>2919</v>
      </c>
      <c r="B1830" s="14" t="s">
        <v>3462</v>
      </c>
      <c r="C1830" s="14" t="s">
        <v>3467</v>
      </c>
      <c r="D1830" s="138">
        <v>4</v>
      </c>
      <c r="E1830" s="192" t="s">
        <v>3468</v>
      </c>
      <c r="F1830" s="14" t="s">
        <v>11</v>
      </c>
    </row>
    <row r="1831" ht="18" customHeight="1" spans="1:6">
      <c r="A1831" s="5" t="s">
        <v>2919</v>
      </c>
      <c r="B1831" s="14" t="s">
        <v>3462</v>
      </c>
      <c r="C1831" s="14" t="s">
        <v>3469</v>
      </c>
      <c r="D1831" s="138">
        <v>1</v>
      </c>
      <c r="E1831" s="192" t="s">
        <v>3470</v>
      </c>
      <c r="F1831" s="14" t="s">
        <v>11</v>
      </c>
    </row>
    <row r="1832" ht="18" customHeight="1" spans="1:6">
      <c r="A1832" s="5" t="s">
        <v>2919</v>
      </c>
      <c r="B1832" s="14" t="s">
        <v>3462</v>
      </c>
      <c r="C1832" s="14" t="s">
        <v>3471</v>
      </c>
      <c r="D1832" s="138">
        <v>1</v>
      </c>
      <c r="E1832" s="14" t="s">
        <v>3472</v>
      </c>
      <c r="F1832" s="14" t="s">
        <v>11</v>
      </c>
    </row>
    <row r="1833" ht="18" customHeight="1" spans="1:6">
      <c r="A1833" s="5" t="s">
        <v>2919</v>
      </c>
      <c r="B1833" s="14" t="s">
        <v>3462</v>
      </c>
      <c r="C1833" s="14" t="s">
        <v>3473</v>
      </c>
      <c r="D1833" s="138">
        <v>5</v>
      </c>
      <c r="E1833" s="192" t="s">
        <v>3474</v>
      </c>
      <c r="F1833" s="14" t="s">
        <v>11</v>
      </c>
    </row>
    <row r="1834" ht="18" customHeight="1" spans="1:6">
      <c r="A1834" s="5" t="s">
        <v>2919</v>
      </c>
      <c r="B1834" s="14" t="s">
        <v>3462</v>
      </c>
      <c r="C1834" s="14" t="s">
        <v>3475</v>
      </c>
      <c r="D1834" s="138">
        <v>1</v>
      </c>
      <c r="E1834" s="192" t="s">
        <v>3476</v>
      </c>
      <c r="F1834" s="14" t="s">
        <v>11</v>
      </c>
    </row>
    <row r="1835" ht="18" customHeight="1" spans="1:6">
      <c r="A1835" s="5" t="s">
        <v>2919</v>
      </c>
      <c r="B1835" s="14" t="s">
        <v>3462</v>
      </c>
      <c r="C1835" s="14" t="s">
        <v>3477</v>
      </c>
      <c r="D1835" s="138">
        <v>2</v>
      </c>
      <c r="E1835" s="192" t="s">
        <v>3478</v>
      </c>
      <c r="F1835" s="14" t="s">
        <v>11</v>
      </c>
    </row>
    <row r="1836" ht="18" customHeight="1" spans="1:6">
      <c r="A1836" s="5" t="s">
        <v>2919</v>
      </c>
      <c r="B1836" s="14" t="s">
        <v>3462</v>
      </c>
      <c r="C1836" s="14" t="s">
        <v>3479</v>
      </c>
      <c r="D1836" s="138">
        <v>4</v>
      </c>
      <c r="E1836" s="14" t="s">
        <v>3480</v>
      </c>
      <c r="F1836" s="14" t="s">
        <v>11</v>
      </c>
    </row>
    <row r="1837" ht="18" customHeight="1" spans="1:6">
      <c r="A1837" s="5" t="s">
        <v>2919</v>
      </c>
      <c r="B1837" s="14" t="s">
        <v>3462</v>
      </c>
      <c r="C1837" s="14" t="s">
        <v>3481</v>
      </c>
      <c r="D1837" s="138">
        <v>4</v>
      </c>
      <c r="E1837" s="192" t="s">
        <v>3482</v>
      </c>
      <c r="F1837" s="14" t="s">
        <v>11</v>
      </c>
    </row>
    <row r="1838" ht="18" customHeight="1" spans="1:6">
      <c r="A1838" s="5" t="s">
        <v>2919</v>
      </c>
      <c r="B1838" s="14" t="s">
        <v>3462</v>
      </c>
      <c r="C1838" s="14" t="s">
        <v>3483</v>
      </c>
      <c r="D1838" s="138">
        <v>4</v>
      </c>
      <c r="E1838" s="192" t="s">
        <v>3484</v>
      </c>
      <c r="F1838" s="14" t="s">
        <v>11</v>
      </c>
    </row>
    <row r="1839" ht="18" customHeight="1" spans="1:6">
      <c r="A1839" s="5" t="s">
        <v>2919</v>
      </c>
      <c r="B1839" s="14" t="s">
        <v>3462</v>
      </c>
      <c r="C1839" s="14" t="s">
        <v>2260</v>
      </c>
      <c r="D1839" s="138">
        <v>3</v>
      </c>
      <c r="E1839" s="192" t="s">
        <v>3485</v>
      </c>
      <c r="F1839" s="14" t="s">
        <v>11</v>
      </c>
    </row>
    <row r="1840" ht="18" customHeight="1" spans="1:6">
      <c r="A1840" s="5" t="s">
        <v>2919</v>
      </c>
      <c r="B1840" s="14" t="s">
        <v>3462</v>
      </c>
      <c r="C1840" s="14" t="s">
        <v>3486</v>
      </c>
      <c r="D1840" s="138">
        <v>4</v>
      </c>
      <c r="E1840" s="192" t="s">
        <v>3487</v>
      </c>
      <c r="F1840" s="14" t="s">
        <v>11</v>
      </c>
    </row>
    <row r="1841" ht="18" customHeight="1" spans="1:6">
      <c r="A1841" s="5" t="s">
        <v>2919</v>
      </c>
      <c r="B1841" s="14" t="s">
        <v>3462</v>
      </c>
      <c r="C1841" s="14" t="s">
        <v>3488</v>
      </c>
      <c r="D1841" s="138">
        <v>4</v>
      </c>
      <c r="E1841" s="192" t="s">
        <v>3489</v>
      </c>
      <c r="F1841" s="14" t="s">
        <v>11</v>
      </c>
    </row>
    <row r="1842" ht="18" customHeight="1" spans="1:6">
      <c r="A1842" s="5" t="s">
        <v>2919</v>
      </c>
      <c r="B1842" s="14" t="s">
        <v>3462</v>
      </c>
      <c r="C1842" s="14" t="s">
        <v>3490</v>
      </c>
      <c r="D1842" s="138">
        <v>1</v>
      </c>
      <c r="E1842" s="192" t="s">
        <v>3491</v>
      </c>
      <c r="F1842" s="14" t="s">
        <v>11</v>
      </c>
    </row>
    <row r="1843" ht="18" customHeight="1" spans="1:6">
      <c r="A1843" s="5" t="s">
        <v>2919</v>
      </c>
      <c r="B1843" s="14" t="s">
        <v>3462</v>
      </c>
      <c r="C1843" s="14" t="s">
        <v>3492</v>
      </c>
      <c r="D1843" s="138">
        <v>1</v>
      </c>
      <c r="E1843" s="192" t="s">
        <v>3493</v>
      </c>
      <c r="F1843" s="14" t="s">
        <v>11</v>
      </c>
    </row>
    <row r="1844" ht="18" customHeight="1" spans="1:6">
      <c r="A1844" s="5" t="s">
        <v>2919</v>
      </c>
      <c r="B1844" s="14" t="s">
        <v>3462</v>
      </c>
      <c r="C1844" s="14" t="s">
        <v>3494</v>
      </c>
      <c r="D1844" s="138">
        <v>3</v>
      </c>
      <c r="E1844" s="14" t="str">
        <f>LEFT("422626197110283012",19)</f>
        <v>422626197110283012</v>
      </c>
      <c r="F1844" s="14" t="s">
        <v>11</v>
      </c>
    </row>
    <row r="1845" ht="18" customHeight="1" spans="1:6">
      <c r="A1845" s="5" t="s">
        <v>2919</v>
      </c>
      <c r="B1845" s="14" t="s">
        <v>3462</v>
      </c>
      <c r="C1845" s="14" t="s">
        <v>3495</v>
      </c>
      <c r="D1845" s="138">
        <v>4</v>
      </c>
      <c r="E1845" s="192" t="s">
        <v>3496</v>
      </c>
      <c r="F1845" s="14" t="s">
        <v>11</v>
      </c>
    </row>
    <row r="1846" ht="18" customHeight="1" spans="1:6">
      <c r="A1846" s="5" t="s">
        <v>2919</v>
      </c>
      <c r="B1846" s="14" t="s">
        <v>3462</v>
      </c>
      <c r="C1846" s="14" t="s">
        <v>3497</v>
      </c>
      <c r="D1846" s="138">
        <v>2</v>
      </c>
      <c r="E1846" s="14" t="str">
        <f>LEFT("422626195410153018",19)</f>
        <v>422626195410153018</v>
      </c>
      <c r="F1846" s="14" t="s">
        <v>11</v>
      </c>
    </row>
    <row r="1847" ht="18" customHeight="1" spans="1:6">
      <c r="A1847" s="5" t="s">
        <v>2919</v>
      </c>
      <c r="B1847" s="14" t="s">
        <v>3462</v>
      </c>
      <c r="C1847" s="14" t="s">
        <v>3498</v>
      </c>
      <c r="D1847" s="138">
        <v>2</v>
      </c>
      <c r="E1847" s="192" t="s">
        <v>3499</v>
      </c>
      <c r="F1847" s="14" t="s">
        <v>11</v>
      </c>
    </row>
    <row r="1848" ht="18" customHeight="1" spans="1:6">
      <c r="A1848" s="5" t="s">
        <v>2919</v>
      </c>
      <c r="B1848" s="14" t="s">
        <v>3462</v>
      </c>
      <c r="C1848" s="14" t="s">
        <v>3500</v>
      </c>
      <c r="D1848" s="138">
        <v>1</v>
      </c>
      <c r="E1848" s="192" t="s">
        <v>3501</v>
      </c>
      <c r="F1848" s="14" t="s">
        <v>11</v>
      </c>
    </row>
    <row r="1849" ht="18" customHeight="1" spans="1:6">
      <c r="A1849" s="5" t="s">
        <v>2919</v>
      </c>
      <c r="B1849" s="14" t="s">
        <v>3462</v>
      </c>
      <c r="C1849" s="14" t="s">
        <v>3502</v>
      </c>
      <c r="D1849" s="138">
        <v>2</v>
      </c>
      <c r="E1849" s="192" t="s">
        <v>3503</v>
      </c>
      <c r="F1849" s="14" t="s">
        <v>11</v>
      </c>
    </row>
    <row r="1850" ht="18" customHeight="1" spans="1:6">
      <c r="A1850" s="5" t="s">
        <v>2919</v>
      </c>
      <c r="B1850" s="14" t="s">
        <v>3462</v>
      </c>
      <c r="C1850" s="14" t="s">
        <v>3504</v>
      </c>
      <c r="D1850" s="138">
        <v>2</v>
      </c>
      <c r="E1850" s="192" t="s">
        <v>3505</v>
      </c>
      <c r="F1850" s="14" t="s">
        <v>11</v>
      </c>
    </row>
    <row r="1851" ht="18" customHeight="1" spans="1:6">
      <c r="A1851" s="5" t="s">
        <v>2919</v>
      </c>
      <c r="B1851" s="14" t="s">
        <v>3462</v>
      </c>
      <c r="C1851" s="14" t="s">
        <v>3506</v>
      </c>
      <c r="D1851" s="138">
        <v>3</v>
      </c>
      <c r="E1851" s="192" t="s">
        <v>3507</v>
      </c>
      <c r="F1851" s="14" t="s">
        <v>11</v>
      </c>
    </row>
    <row r="1852" ht="18" customHeight="1" spans="1:6">
      <c r="A1852" s="5" t="s">
        <v>2919</v>
      </c>
      <c r="B1852" s="14" t="s">
        <v>3508</v>
      </c>
      <c r="C1852" s="14" t="s">
        <v>3509</v>
      </c>
      <c r="D1852" s="138">
        <v>3</v>
      </c>
      <c r="E1852" s="14" t="s">
        <v>3510</v>
      </c>
      <c r="F1852" s="14" t="s">
        <v>11</v>
      </c>
    </row>
    <row r="1853" ht="18" customHeight="1" spans="1:6">
      <c r="A1853" s="5" t="s">
        <v>2919</v>
      </c>
      <c r="B1853" s="14" t="s">
        <v>3508</v>
      </c>
      <c r="C1853" s="14" t="s">
        <v>3511</v>
      </c>
      <c r="D1853" s="138">
        <v>2</v>
      </c>
      <c r="E1853" s="14" t="s">
        <v>3512</v>
      </c>
      <c r="F1853" s="14" t="s">
        <v>11</v>
      </c>
    </row>
    <row r="1854" ht="18" customHeight="1" spans="1:6">
      <c r="A1854" s="5" t="s">
        <v>2919</v>
      </c>
      <c r="B1854" s="14" t="s">
        <v>3508</v>
      </c>
      <c r="C1854" s="14" t="s">
        <v>3513</v>
      </c>
      <c r="D1854" s="138">
        <v>2</v>
      </c>
      <c r="E1854" s="14" t="s">
        <v>3514</v>
      </c>
      <c r="F1854" s="14" t="s">
        <v>11</v>
      </c>
    </row>
    <row r="1855" ht="18" customHeight="1" spans="1:6">
      <c r="A1855" s="5" t="s">
        <v>2919</v>
      </c>
      <c r="B1855" s="14" t="s">
        <v>3508</v>
      </c>
      <c r="C1855" s="14" t="s">
        <v>3515</v>
      </c>
      <c r="D1855" s="138">
        <v>2</v>
      </c>
      <c r="E1855" s="14" t="s">
        <v>3516</v>
      </c>
      <c r="F1855" s="14" t="s">
        <v>11</v>
      </c>
    </row>
    <row r="1856" ht="18" customHeight="1" spans="1:6">
      <c r="A1856" s="5" t="s">
        <v>2919</v>
      </c>
      <c r="B1856" s="14" t="s">
        <v>3508</v>
      </c>
      <c r="C1856" s="14" t="s">
        <v>3517</v>
      </c>
      <c r="D1856" s="138">
        <v>3</v>
      </c>
      <c r="E1856" s="14" t="s">
        <v>3514</v>
      </c>
      <c r="F1856" s="14" t="s">
        <v>11</v>
      </c>
    </row>
    <row r="1857" ht="18" customHeight="1" spans="1:6">
      <c r="A1857" s="5" t="s">
        <v>2919</v>
      </c>
      <c r="B1857" s="14" t="s">
        <v>3508</v>
      </c>
      <c r="C1857" s="14" t="s">
        <v>3518</v>
      </c>
      <c r="D1857" s="138">
        <v>2</v>
      </c>
      <c r="E1857" s="14" t="s">
        <v>3519</v>
      </c>
      <c r="F1857" s="14" t="s">
        <v>11</v>
      </c>
    </row>
    <row r="1858" ht="18" customHeight="1" spans="1:6">
      <c r="A1858" s="5" t="s">
        <v>2919</v>
      </c>
      <c r="B1858" s="14" t="s">
        <v>3508</v>
      </c>
      <c r="C1858" s="14" t="s">
        <v>3520</v>
      </c>
      <c r="D1858" s="138">
        <v>4</v>
      </c>
      <c r="E1858" s="14" t="s">
        <v>3521</v>
      </c>
      <c r="F1858" s="14" t="s">
        <v>11</v>
      </c>
    </row>
    <row r="1859" ht="18" customHeight="1" spans="1:6">
      <c r="A1859" s="5" t="s">
        <v>2919</v>
      </c>
      <c r="B1859" s="14" t="s">
        <v>3508</v>
      </c>
      <c r="C1859" s="14" t="s">
        <v>3522</v>
      </c>
      <c r="D1859" s="138">
        <v>7</v>
      </c>
      <c r="E1859" s="14" t="s">
        <v>3523</v>
      </c>
      <c r="F1859" s="14" t="s">
        <v>11</v>
      </c>
    </row>
    <row r="1860" ht="18" customHeight="1" spans="1:6">
      <c r="A1860" s="5" t="s">
        <v>2919</v>
      </c>
      <c r="B1860" s="14" t="s">
        <v>3508</v>
      </c>
      <c r="C1860" s="14" t="s">
        <v>3524</v>
      </c>
      <c r="D1860" s="138">
        <v>3</v>
      </c>
      <c r="E1860" s="14" t="s">
        <v>3525</v>
      </c>
      <c r="F1860" s="14" t="s">
        <v>11</v>
      </c>
    </row>
    <row r="1861" ht="18" customHeight="1" spans="1:6">
      <c r="A1861" s="5" t="s">
        <v>2919</v>
      </c>
      <c r="B1861" s="14" t="s">
        <v>3508</v>
      </c>
      <c r="C1861" s="14" t="s">
        <v>3033</v>
      </c>
      <c r="D1861" s="138">
        <v>3</v>
      </c>
      <c r="E1861" s="14" t="s">
        <v>3526</v>
      </c>
      <c r="F1861" s="14" t="s">
        <v>11</v>
      </c>
    </row>
    <row r="1862" ht="18" customHeight="1" spans="1:6">
      <c r="A1862" s="5" t="s">
        <v>2919</v>
      </c>
      <c r="B1862" s="14" t="s">
        <v>3508</v>
      </c>
      <c r="C1862" s="14" t="s">
        <v>3527</v>
      </c>
      <c r="D1862" s="138">
        <v>4</v>
      </c>
      <c r="E1862" s="14" t="s">
        <v>3528</v>
      </c>
      <c r="F1862" s="14" t="s">
        <v>11</v>
      </c>
    </row>
    <row r="1863" ht="18" customHeight="1" spans="1:6">
      <c r="A1863" s="5" t="s">
        <v>2919</v>
      </c>
      <c r="B1863" s="14" t="s">
        <v>3508</v>
      </c>
      <c r="C1863" s="14" t="s">
        <v>3529</v>
      </c>
      <c r="D1863" s="138">
        <v>3</v>
      </c>
      <c r="E1863" s="14" t="s">
        <v>3530</v>
      </c>
      <c r="F1863" s="14" t="s">
        <v>11</v>
      </c>
    </row>
    <row r="1864" ht="18" customHeight="1" spans="1:6">
      <c r="A1864" s="5" t="s">
        <v>2919</v>
      </c>
      <c r="B1864" s="14" t="s">
        <v>3508</v>
      </c>
      <c r="C1864" s="14" t="s">
        <v>3531</v>
      </c>
      <c r="D1864" s="138">
        <v>3</v>
      </c>
      <c r="E1864" s="14" t="s">
        <v>3532</v>
      </c>
      <c r="F1864" s="14" t="s">
        <v>11</v>
      </c>
    </row>
    <row r="1865" ht="18" customHeight="1" spans="1:6">
      <c r="A1865" s="5" t="s">
        <v>2919</v>
      </c>
      <c r="B1865" s="14" t="s">
        <v>3508</v>
      </c>
      <c r="C1865" s="14" t="s">
        <v>3533</v>
      </c>
      <c r="D1865" s="138">
        <v>3</v>
      </c>
      <c r="E1865" s="14" t="s">
        <v>3534</v>
      </c>
      <c r="F1865" s="14" t="s">
        <v>11</v>
      </c>
    </row>
    <row r="1866" ht="18" customHeight="1" spans="1:6">
      <c r="A1866" s="5" t="s">
        <v>2919</v>
      </c>
      <c r="B1866" s="14" t="s">
        <v>3508</v>
      </c>
      <c r="C1866" s="14" t="s">
        <v>3535</v>
      </c>
      <c r="D1866" s="138">
        <v>5</v>
      </c>
      <c r="E1866" s="14" t="s">
        <v>3536</v>
      </c>
      <c r="F1866" s="14" t="s">
        <v>11</v>
      </c>
    </row>
    <row r="1867" ht="18" customHeight="1" spans="1:6">
      <c r="A1867" s="5" t="s">
        <v>2919</v>
      </c>
      <c r="B1867" s="14" t="s">
        <v>3508</v>
      </c>
      <c r="C1867" s="14" t="s">
        <v>3537</v>
      </c>
      <c r="D1867" s="138">
        <v>3</v>
      </c>
      <c r="E1867" s="14" t="s">
        <v>3538</v>
      </c>
      <c r="F1867" s="14" t="s">
        <v>11</v>
      </c>
    </row>
    <row r="1868" ht="18" customHeight="1" spans="1:6">
      <c r="A1868" s="5" t="s">
        <v>2919</v>
      </c>
      <c r="B1868" s="14" t="s">
        <v>3508</v>
      </c>
      <c r="C1868" s="14" t="s">
        <v>3539</v>
      </c>
      <c r="D1868" s="138">
        <v>3</v>
      </c>
      <c r="E1868" s="14" t="s">
        <v>3540</v>
      </c>
      <c r="F1868" s="14" t="s">
        <v>11</v>
      </c>
    </row>
    <row r="1869" ht="18" customHeight="1" spans="1:6">
      <c r="A1869" s="5" t="s">
        <v>2919</v>
      </c>
      <c r="B1869" s="14" t="s">
        <v>3508</v>
      </c>
      <c r="C1869" s="14" t="s">
        <v>3541</v>
      </c>
      <c r="D1869" s="138">
        <v>2</v>
      </c>
      <c r="E1869" s="14" t="s">
        <v>3542</v>
      </c>
      <c r="F1869" s="14" t="s">
        <v>11</v>
      </c>
    </row>
    <row r="1870" ht="18" customHeight="1" spans="1:6">
      <c r="A1870" s="5" t="s">
        <v>2919</v>
      </c>
      <c r="B1870" s="14" t="s">
        <v>3508</v>
      </c>
      <c r="C1870" s="14" t="s">
        <v>3543</v>
      </c>
      <c r="D1870" s="138">
        <v>3</v>
      </c>
      <c r="E1870" s="14" t="s">
        <v>3544</v>
      </c>
      <c r="F1870" s="14" t="s">
        <v>11</v>
      </c>
    </row>
    <row r="1871" ht="18" customHeight="1" spans="1:6">
      <c r="A1871" s="5" t="s">
        <v>2919</v>
      </c>
      <c r="B1871" s="14" t="s">
        <v>3508</v>
      </c>
      <c r="C1871" s="14" t="s">
        <v>3545</v>
      </c>
      <c r="D1871" s="138">
        <v>4</v>
      </c>
      <c r="E1871" s="14" t="s">
        <v>3546</v>
      </c>
      <c r="F1871" s="14" t="s">
        <v>11</v>
      </c>
    </row>
    <row r="1872" ht="18" customHeight="1" spans="1:6">
      <c r="A1872" s="5" t="s">
        <v>2919</v>
      </c>
      <c r="B1872" s="14" t="s">
        <v>3508</v>
      </c>
      <c r="C1872" s="14" t="s">
        <v>3547</v>
      </c>
      <c r="D1872" s="138">
        <v>3</v>
      </c>
      <c r="E1872" s="14" t="s">
        <v>3548</v>
      </c>
      <c r="F1872" s="14" t="s">
        <v>11</v>
      </c>
    </row>
    <row r="1873" ht="18" customHeight="1" spans="1:6">
      <c r="A1873" s="5" t="s">
        <v>2919</v>
      </c>
      <c r="B1873" s="14" t="s">
        <v>3508</v>
      </c>
      <c r="C1873" s="14" t="s">
        <v>3549</v>
      </c>
      <c r="D1873" s="138">
        <v>3</v>
      </c>
      <c r="E1873" s="14" t="s">
        <v>3550</v>
      </c>
      <c r="F1873" s="14" t="s">
        <v>11</v>
      </c>
    </row>
    <row r="1874" ht="18" customHeight="1" spans="1:6">
      <c r="A1874" s="5" t="s">
        <v>2919</v>
      </c>
      <c r="B1874" s="14" t="s">
        <v>3508</v>
      </c>
      <c r="C1874" s="14" t="s">
        <v>3551</v>
      </c>
      <c r="D1874" s="138">
        <v>4</v>
      </c>
      <c r="E1874" s="14" t="s">
        <v>3552</v>
      </c>
      <c r="F1874" s="14" t="s">
        <v>11</v>
      </c>
    </row>
    <row r="1875" ht="18" customHeight="1" spans="1:6">
      <c r="A1875" s="5" t="s">
        <v>2919</v>
      </c>
      <c r="B1875" s="14" t="s">
        <v>3508</v>
      </c>
      <c r="C1875" s="14" t="s">
        <v>3553</v>
      </c>
      <c r="D1875" s="138">
        <v>7</v>
      </c>
      <c r="E1875" s="14" t="s">
        <v>3554</v>
      </c>
      <c r="F1875" s="14" t="s">
        <v>11</v>
      </c>
    </row>
    <row r="1876" ht="18" customHeight="1" spans="1:6">
      <c r="A1876" s="5" t="s">
        <v>2919</v>
      </c>
      <c r="B1876" s="14" t="s">
        <v>3508</v>
      </c>
      <c r="C1876" s="14" t="s">
        <v>3555</v>
      </c>
      <c r="D1876" s="138">
        <v>3</v>
      </c>
      <c r="E1876" s="14" t="s">
        <v>3556</v>
      </c>
      <c r="F1876" s="14" t="s">
        <v>11</v>
      </c>
    </row>
    <row r="1877" ht="18" customHeight="1" spans="1:6">
      <c r="A1877" s="5" t="s">
        <v>2919</v>
      </c>
      <c r="B1877" s="14" t="s">
        <v>3508</v>
      </c>
      <c r="C1877" s="14" t="s">
        <v>3557</v>
      </c>
      <c r="D1877" s="138">
        <v>2</v>
      </c>
      <c r="E1877" s="14" t="s">
        <v>3558</v>
      </c>
      <c r="F1877" s="14" t="s">
        <v>11</v>
      </c>
    </row>
    <row r="1878" ht="18" customHeight="1" spans="1:6">
      <c r="A1878" s="5" t="s">
        <v>2919</v>
      </c>
      <c r="B1878" s="14" t="s">
        <v>3508</v>
      </c>
      <c r="C1878" s="14" t="s">
        <v>3559</v>
      </c>
      <c r="D1878" s="138">
        <v>4</v>
      </c>
      <c r="E1878" s="14" t="s">
        <v>3560</v>
      </c>
      <c r="F1878" s="14" t="s">
        <v>11</v>
      </c>
    </row>
    <row r="1879" ht="18" customHeight="1" spans="1:6">
      <c r="A1879" s="5" t="s">
        <v>2919</v>
      </c>
      <c r="B1879" s="14" t="s">
        <v>3508</v>
      </c>
      <c r="C1879" s="14" t="s">
        <v>3561</v>
      </c>
      <c r="D1879" s="138">
        <v>4</v>
      </c>
      <c r="E1879" s="14" t="s">
        <v>3562</v>
      </c>
      <c r="F1879" s="14" t="s">
        <v>11</v>
      </c>
    </row>
    <row r="1880" ht="18" customHeight="1" spans="1:6">
      <c r="A1880" s="5" t="s">
        <v>2919</v>
      </c>
      <c r="B1880" s="14" t="s">
        <v>3508</v>
      </c>
      <c r="C1880" s="14" t="s">
        <v>3563</v>
      </c>
      <c r="D1880" s="138">
        <v>2</v>
      </c>
      <c r="E1880" s="14" t="s">
        <v>3564</v>
      </c>
      <c r="F1880" s="14" t="s">
        <v>11</v>
      </c>
    </row>
    <row r="1881" ht="18" customHeight="1" spans="1:6">
      <c r="A1881" s="5" t="s">
        <v>2919</v>
      </c>
      <c r="B1881" s="14" t="s">
        <v>3508</v>
      </c>
      <c r="C1881" s="14" t="s">
        <v>3565</v>
      </c>
      <c r="D1881" s="138">
        <v>2</v>
      </c>
      <c r="E1881" s="14" t="s">
        <v>3566</v>
      </c>
      <c r="F1881" s="14" t="s">
        <v>11</v>
      </c>
    </row>
    <row r="1882" ht="18" customHeight="1" spans="1:6">
      <c r="A1882" s="5" t="s">
        <v>2919</v>
      </c>
      <c r="B1882" s="14" t="s">
        <v>3508</v>
      </c>
      <c r="C1882" s="14" t="s">
        <v>3567</v>
      </c>
      <c r="D1882" s="138">
        <v>2</v>
      </c>
      <c r="E1882" s="14" t="s">
        <v>3568</v>
      </c>
      <c r="F1882" s="14" t="s">
        <v>11</v>
      </c>
    </row>
    <row r="1883" ht="18" customHeight="1" spans="1:6">
      <c r="A1883" s="5" t="s">
        <v>2919</v>
      </c>
      <c r="B1883" s="14" t="s">
        <v>3508</v>
      </c>
      <c r="C1883" s="14" t="s">
        <v>3569</v>
      </c>
      <c r="D1883" s="138">
        <v>2</v>
      </c>
      <c r="E1883" s="14" t="s">
        <v>3570</v>
      </c>
      <c r="F1883" s="14" t="s">
        <v>11</v>
      </c>
    </row>
    <row r="1884" ht="18" customHeight="1" spans="1:6">
      <c r="A1884" s="5" t="s">
        <v>2919</v>
      </c>
      <c r="B1884" s="14" t="s">
        <v>3508</v>
      </c>
      <c r="C1884" s="14" t="s">
        <v>3571</v>
      </c>
      <c r="D1884" s="138">
        <v>2</v>
      </c>
      <c r="E1884" s="14" t="s">
        <v>3572</v>
      </c>
      <c r="F1884" s="14" t="s">
        <v>11</v>
      </c>
    </row>
    <row r="1885" ht="18" customHeight="1" spans="1:6">
      <c r="A1885" s="5" t="s">
        <v>2919</v>
      </c>
      <c r="B1885" s="14" t="s">
        <v>3508</v>
      </c>
      <c r="C1885" s="14" t="s">
        <v>3573</v>
      </c>
      <c r="D1885" s="138">
        <v>3</v>
      </c>
      <c r="E1885" s="14" t="s">
        <v>3574</v>
      </c>
      <c r="F1885" s="14" t="s">
        <v>11</v>
      </c>
    </row>
    <row r="1886" ht="18" customHeight="1" spans="1:6">
      <c r="A1886" s="5" t="s">
        <v>2919</v>
      </c>
      <c r="B1886" s="14" t="s">
        <v>3508</v>
      </c>
      <c r="C1886" s="14" t="s">
        <v>3575</v>
      </c>
      <c r="D1886" s="138">
        <v>1</v>
      </c>
      <c r="E1886" s="14" t="s">
        <v>3576</v>
      </c>
      <c r="F1886" s="14" t="s">
        <v>11</v>
      </c>
    </row>
    <row r="1887" ht="18" customHeight="1" spans="1:6">
      <c r="A1887" s="5" t="s">
        <v>2919</v>
      </c>
      <c r="B1887" s="14" t="s">
        <v>3508</v>
      </c>
      <c r="C1887" s="14" t="s">
        <v>3577</v>
      </c>
      <c r="D1887" s="138">
        <v>5</v>
      </c>
      <c r="E1887" s="14" t="s">
        <v>3578</v>
      </c>
      <c r="F1887" s="14" t="s">
        <v>11</v>
      </c>
    </row>
    <row r="1888" ht="18" customHeight="1" spans="1:6">
      <c r="A1888" s="5" t="s">
        <v>2919</v>
      </c>
      <c r="B1888" s="14" t="s">
        <v>3508</v>
      </c>
      <c r="C1888" s="14" t="s">
        <v>3579</v>
      </c>
      <c r="D1888" s="138">
        <v>3</v>
      </c>
      <c r="E1888" s="14" t="s">
        <v>3580</v>
      </c>
      <c r="F1888" s="14" t="s">
        <v>11</v>
      </c>
    </row>
    <row r="1889" ht="18" customHeight="1" spans="1:6">
      <c r="A1889" s="5" t="s">
        <v>2919</v>
      </c>
      <c r="B1889" s="14" t="s">
        <v>3508</v>
      </c>
      <c r="C1889" s="14" t="s">
        <v>3581</v>
      </c>
      <c r="D1889" s="138">
        <v>1</v>
      </c>
      <c r="E1889" s="14" t="s">
        <v>3582</v>
      </c>
      <c r="F1889" s="14" t="s">
        <v>11</v>
      </c>
    </row>
    <row r="1890" ht="18" customHeight="1" spans="1:6">
      <c r="A1890" s="5" t="s">
        <v>2919</v>
      </c>
      <c r="B1890" s="14" t="s">
        <v>3508</v>
      </c>
      <c r="C1890" s="14" t="s">
        <v>3583</v>
      </c>
      <c r="D1890" s="138">
        <v>2</v>
      </c>
      <c r="E1890" s="14" t="s">
        <v>3584</v>
      </c>
      <c r="F1890" s="14" t="s">
        <v>11</v>
      </c>
    </row>
    <row r="1891" ht="18" customHeight="1" spans="1:6">
      <c r="A1891" s="5" t="s">
        <v>2919</v>
      </c>
      <c r="B1891" s="14" t="s">
        <v>3508</v>
      </c>
      <c r="C1891" s="14" t="s">
        <v>3585</v>
      </c>
      <c r="D1891" s="138">
        <v>2</v>
      </c>
      <c r="E1891" s="14" t="s">
        <v>3586</v>
      </c>
      <c r="F1891" s="14" t="s">
        <v>11</v>
      </c>
    </row>
    <row r="1892" ht="18" customHeight="1" spans="1:6">
      <c r="A1892" s="5" t="s">
        <v>2919</v>
      </c>
      <c r="B1892" s="14" t="s">
        <v>3508</v>
      </c>
      <c r="C1892" s="14" t="s">
        <v>3587</v>
      </c>
      <c r="D1892" s="138">
        <v>3</v>
      </c>
      <c r="E1892" s="14" t="s">
        <v>3588</v>
      </c>
      <c r="F1892" s="14" t="s">
        <v>11</v>
      </c>
    </row>
    <row r="1893" ht="18" customHeight="1" spans="1:6">
      <c r="A1893" s="5" t="s">
        <v>2919</v>
      </c>
      <c r="B1893" s="14" t="s">
        <v>3508</v>
      </c>
      <c r="C1893" s="14" t="s">
        <v>3589</v>
      </c>
      <c r="D1893" s="138">
        <v>2</v>
      </c>
      <c r="E1893" s="14" t="s">
        <v>3590</v>
      </c>
      <c r="F1893" s="14" t="s">
        <v>11</v>
      </c>
    </row>
    <row r="1894" ht="18" customHeight="1" spans="1:6">
      <c r="A1894" s="5" t="s">
        <v>2919</v>
      </c>
      <c r="B1894" s="14" t="s">
        <v>3508</v>
      </c>
      <c r="C1894" s="14" t="s">
        <v>3591</v>
      </c>
      <c r="D1894" s="138">
        <v>2</v>
      </c>
      <c r="E1894" s="14" t="s">
        <v>3592</v>
      </c>
      <c r="F1894" s="14" t="s">
        <v>11</v>
      </c>
    </row>
    <row r="1895" ht="18" customHeight="1" spans="1:6">
      <c r="A1895" s="5" t="s">
        <v>2919</v>
      </c>
      <c r="B1895" s="14" t="s">
        <v>3508</v>
      </c>
      <c r="C1895" s="14" t="s">
        <v>3593</v>
      </c>
      <c r="D1895" s="138">
        <v>3</v>
      </c>
      <c r="E1895" s="14" t="s">
        <v>3594</v>
      </c>
      <c r="F1895" s="14" t="s">
        <v>11</v>
      </c>
    </row>
    <row r="1896" ht="18" customHeight="1" spans="1:6">
      <c r="A1896" s="5" t="s">
        <v>2919</v>
      </c>
      <c r="B1896" s="14" t="s">
        <v>3595</v>
      </c>
      <c r="C1896" s="14" t="s">
        <v>3596</v>
      </c>
      <c r="D1896" s="138">
        <v>2</v>
      </c>
      <c r="E1896" s="192" t="s">
        <v>3597</v>
      </c>
      <c r="F1896" s="14" t="s">
        <v>11</v>
      </c>
    </row>
    <row r="1897" ht="18" customHeight="1" spans="1:6">
      <c r="A1897" s="5" t="s">
        <v>2919</v>
      </c>
      <c r="B1897" s="14" t="s">
        <v>3595</v>
      </c>
      <c r="C1897" s="14" t="s">
        <v>3598</v>
      </c>
      <c r="D1897" s="138">
        <v>3</v>
      </c>
      <c r="E1897" s="192" t="s">
        <v>3599</v>
      </c>
      <c r="F1897" s="14" t="s">
        <v>11</v>
      </c>
    </row>
    <row r="1898" ht="18" customHeight="1" spans="1:6">
      <c r="A1898" s="5" t="s">
        <v>2919</v>
      </c>
      <c r="B1898" s="14" t="s">
        <v>3595</v>
      </c>
      <c r="C1898" s="14" t="s">
        <v>3600</v>
      </c>
      <c r="D1898" s="138">
        <v>3</v>
      </c>
      <c r="E1898" s="14" t="s">
        <v>3601</v>
      </c>
      <c r="F1898" s="14" t="s">
        <v>11</v>
      </c>
    </row>
    <row r="1899" ht="18" customHeight="1" spans="1:6">
      <c r="A1899" s="5" t="s">
        <v>2919</v>
      </c>
      <c r="B1899" s="14" t="s">
        <v>3595</v>
      </c>
      <c r="C1899" s="14" t="s">
        <v>3602</v>
      </c>
      <c r="D1899" s="138">
        <v>4</v>
      </c>
      <c r="E1899" s="14" t="s">
        <v>3603</v>
      </c>
      <c r="F1899" s="14" t="s">
        <v>11</v>
      </c>
    </row>
    <row r="1900" ht="18" customHeight="1" spans="1:6">
      <c r="A1900" s="5" t="s">
        <v>2919</v>
      </c>
      <c r="B1900" s="14" t="s">
        <v>3595</v>
      </c>
      <c r="C1900" s="14" t="s">
        <v>3604</v>
      </c>
      <c r="D1900" s="138">
        <v>2</v>
      </c>
      <c r="E1900" s="192" t="s">
        <v>3605</v>
      </c>
      <c r="F1900" s="14" t="s">
        <v>11</v>
      </c>
    </row>
    <row r="1901" ht="18" customHeight="1" spans="1:6">
      <c r="A1901" s="5" t="s">
        <v>2919</v>
      </c>
      <c r="B1901" s="14" t="s">
        <v>3595</v>
      </c>
      <c r="C1901" s="14" t="s">
        <v>3606</v>
      </c>
      <c r="D1901" s="138">
        <v>2</v>
      </c>
      <c r="E1901" s="192" t="s">
        <v>3607</v>
      </c>
      <c r="F1901" s="14" t="s">
        <v>11</v>
      </c>
    </row>
    <row r="1902" ht="18" customHeight="1" spans="1:6">
      <c r="A1902" s="5" t="s">
        <v>2919</v>
      </c>
      <c r="B1902" s="14" t="s">
        <v>3595</v>
      </c>
      <c r="C1902" s="14" t="s">
        <v>3608</v>
      </c>
      <c r="D1902" s="138">
        <v>3</v>
      </c>
      <c r="E1902" s="192" t="s">
        <v>3609</v>
      </c>
      <c r="F1902" s="14" t="s">
        <v>11</v>
      </c>
    </row>
    <row r="1903" ht="18" customHeight="1" spans="1:6">
      <c r="A1903" s="5" t="s">
        <v>2919</v>
      </c>
      <c r="B1903" s="14" t="s">
        <v>3595</v>
      </c>
      <c r="C1903" s="14" t="s">
        <v>3610</v>
      </c>
      <c r="D1903" s="138">
        <v>2</v>
      </c>
      <c r="E1903" s="192" t="s">
        <v>3611</v>
      </c>
      <c r="F1903" s="14" t="s">
        <v>11</v>
      </c>
    </row>
    <row r="1904" ht="18" customHeight="1" spans="1:6">
      <c r="A1904" s="5" t="s">
        <v>2919</v>
      </c>
      <c r="B1904" s="14" t="s">
        <v>3595</v>
      </c>
      <c r="C1904" s="14" t="s">
        <v>3612</v>
      </c>
      <c r="D1904" s="138">
        <v>3</v>
      </c>
      <c r="E1904" s="192" t="s">
        <v>3613</v>
      </c>
      <c r="F1904" s="14" t="s">
        <v>11</v>
      </c>
    </row>
    <row r="1905" ht="18" customHeight="1" spans="1:6">
      <c r="A1905" s="5" t="s">
        <v>2919</v>
      </c>
      <c r="B1905" s="14" t="s">
        <v>3595</v>
      </c>
      <c r="C1905" s="14" t="s">
        <v>3614</v>
      </c>
      <c r="D1905" s="138">
        <v>3</v>
      </c>
      <c r="E1905" s="14" t="s">
        <v>3615</v>
      </c>
      <c r="F1905" s="14" t="s">
        <v>11</v>
      </c>
    </row>
    <row r="1906" ht="18" customHeight="1" spans="1:6">
      <c r="A1906" s="5" t="s">
        <v>2919</v>
      </c>
      <c r="B1906" s="14" t="s">
        <v>3595</v>
      </c>
      <c r="C1906" s="14" t="s">
        <v>3616</v>
      </c>
      <c r="D1906" s="138">
        <v>3</v>
      </c>
      <c r="E1906" s="14" t="s">
        <v>3617</v>
      </c>
      <c r="F1906" s="14" t="s">
        <v>11</v>
      </c>
    </row>
    <row r="1907" ht="18" customHeight="1" spans="1:6">
      <c r="A1907" s="5" t="s">
        <v>2919</v>
      </c>
      <c r="B1907" s="14" t="s">
        <v>3595</v>
      </c>
      <c r="C1907" s="14" t="s">
        <v>3618</v>
      </c>
      <c r="D1907" s="138">
        <v>3</v>
      </c>
      <c r="E1907" s="192" t="s">
        <v>3619</v>
      </c>
      <c r="F1907" s="14" t="s">
        <v>11</v>
      </c>
    </row>
    <row r="1908" ht="18" customHeight="1" spans="1:6">
      <c r="A1908" s="5" t="s">
        <v>2919</v>
      </c>
      <c r="B1908" s="14" t="s">
        <v>3595</v>
      </c>
      <c r="C1908" s="14" t="s">
        <v>3620</v>
      </c>
      <c r="D1908" s="138">
        <v>1</v>
      </c>
      <c r="E1908" s="192" t="s">
        <v>3621</v>
      </c>
      <c r="F1908" s="14" t="s">
        <v>11</v>
      </c>
    </row>
    <row r="1909" ht="18" customHeight="1" spans="1:6">
      <c r="A1909" s="5" t="s">
        <v>2919</v>
      </c>
      <c r="B1909" s="14" t="s">
        <v>3595</v>
      </c>
      <c r="C1909" s="14" t="s">
        <v>3622</v>
      </c>
      <c r="D1909" s="138">
        <v>2</v>
      </c>
      <c r="E1909" s="192" t="s">
        <v>3623</v>
      </c>
      <c r="F1909" s="14" t="s">
        <v>11</v>
      </c>
    </row>
    <row r="1910" ht="18" customHeight="1" spans="1:6">
      <c r="A1910" s="5" t="s">
        <v>2919</v>
      </c>
      <c r="B1910" s="14" t="s">
        <v>3595</v>
      </c>
      <c r="C1910" s="14" t="s">
        <v>3624</v>
      </c>
      <c r="D1910" s="138">
        <v>1</v>
      </c>
      <c r="E1910" s="192" t="s">
        <v>3625</v>
      </c>
      <c r="F1910" s="14" t="s">
        <v>11</v>
      </c>
    </row>
    <row r="1911" ht="18" customHeight="1" spans="1:6">
      <c r="A1911" s="5" t="s">
        <v>2919</v>
      </c>
      <c r="B1911" s="14" t="s">
        <v>3595</v>
      </c>
      <c r="C1911" s="14" t="s">
        <v>3626</v>
      </c>
      <c r="D1911" s="138">
        <v>3</v>
      </c>
      <c r="E1911" s="192" t="s">
        <v>3627</v>
      </c>
      <c r="F1911" s="14" t="s">
        <v>11</v>
      </c>
    </row>
    <row r="1912" ht="18" customHeight="1" spans="1:6">
      <c r="A1912" s="5" t="s">
        <v>2919</v>
      </c>
      <c r="B1912" s="14" t="s">
        <v>3595</v>
      </c>
      <c r="C1912" s="14" t="s">
        <v>3628</v>
      </c>
      <c r="D1912" s="138">
        <v>2</v>
      </c>
      <c r="E1912" s="14" t="s">
        <v>3629</v>
      </c>
      <c r="F1912" s="14" t="s">
        <v>11</v>
      </c>
    </row>
    <row r="1913" ht="18" customHeight="1" spans="1:6">
      <c r="A1913" s="5" t="s">
        <v>2919</v>
      </c>
      <c r="B1913" s="14" t="s">
        <v>3595</v>
      </c>
      <c r="C1913" s="14" t="s">
        <v>3630</v>
      </c>
      <c r="D1913" s="138">
        <v>2</v>
      </c>
      <c r="E1913" s="14" t="s">
        <v>3631</v>
      </c>
      <c r="F1913" s="14" t="s">
        <v>11</v>
      </c>
    </row>
    <row r="1914" ht="18" customHeight="1" spans="1:6">
      <c r="A1914" s="5" t="s">
        <v>2919</v>
      </c>
      <c r="B1914" s="14" t="s">
        <v>3595</v>
      </c>
      <c r="C1914" s="14" t="s">
        <v>3632</v>
      </c>
      <c r="D1914" s="138">
        <v>2</v>
      </c>
      <c r="E1914" s="192" t="s">
        <v>3633</v>
      </c>
      <c r="F1914" s="14" t="s">
        <v>11</v>
      </c>
    </row>
    <row r="1915" ht="18" customHeight="1" spans="1:6">
      <c r="A1915" s="5" t="s">
        <v>2919</v>
      </c>
      <c r="B1915" s="14" t="s">
        <v>3595</v>
      </c>
      <c r="C1915" s="14" t="s">
        <v>3634</v>
      </c>
      <c r="D1915" s="138">
        <v>1</v>
      </c>
      <c r="E1915" s="14" t="s">
        <v>3635</v>
      </c>
      <c r="F1915" s="14" t="s">
        <v>11</v>
      </c>
    </row>
    <row r="1916" ht="18" customHeight="1" spans="1:6">
      <c r="A1916" s="5" t="s">
        <v>2919</v>
      </c>
      <c r="B1916" s="14" t="s">
        <v>3595</v>
      </c>
      <c r="C1916" s="14" t="s">
        <v>3636</v>
      </c>
      <c r="D1916" s="138">
        <v>2</v>
      </c>
      <c r="E1916" s="14" t="s">
        <v>3637</v>
      </c>
      <c r="F1916" s="14" t="s">
        <v>11</v>
      </c>
    </row>
    <row r="1917" ht="18" customHeight="1" spans="1:6">
      <c r="A1917" s="5" t="s">
        <v>2919</v>
      </c>
      <c r="B1917" s="14" t="s">
        <v>3595</v>
      </c>
      <c r="C1917" s="14" t="s">
        <v>2069</v>
      </c>
      <c r="D1917" s="138">
        <v>2</v>
      </c>
      <c r="E1917" s="14" t="s">
        <v>3638</v>
      </c>
      <c r="F1917" s="14" t="s">
        <v>11</v>
      </c>
    </row>
    <row r="1918" ht="18" customHeight="1" spans="1:6">
      <c r="A1918" s="5" t="s">
        <v>2919</v>
      </c>
      <c r="B1918" s="14" t="s">
        <v>3595</v>
      </c>
      <c r="C1918" s="14" t="s">
        <v>3639</v>
      </c>
      <c r="D1918" s="138">
        <v>5</v>
      </c>
      <c r="E1918" s="192" t="s">
        <v>3640</v>
      </c>
      <c r="F1918" s="14" t="s">
        <v>11</v>
      </c>
    </row>
    <row r="1919" ht="18" customHeight="1" spans="1:6">
      <c r="A1919" s="5" t="s">
        <v>2919</v>
      </c>
      <c r="B1919" s="14" t="s">
        <v>3595</v>
      </c>
      <c r="C1919" s="14" t="s">
        <v>3641</v>
      </c>
      <c r="D1919" s="138">
        <v>2</v>
      </c>
      <c r="E1919" s="192" t="s">
        <v>3642</v>
      </c>
      <c r="F1919" s="14" t="s">
        <v>11</v>
      </c>
    </row>
    <row r="1920" ht="18" customHeight="1" spans="1:6">
      <c r="A1920" s="5" t="s">
        <v>2919</v>
      </c>
      <c r="B1920" s="14" t="s">
        <v>3595</v>
      </c>
      <c r="C1920" s="14" t="s">
        <v>3643</v>
      </c>
      <c r="D1920" s="138">
        <v>2</v>
      </c>
      <c r="E1920" s="192" t="s">
        <v>3644</v>
      </c>
      <c r="F1920" s="14" t="s">
        <v>11</v>
      </c>
    </row>
    <row r="1921" ht="18" customHeight="1" spans="1:6">
      <c r="A1921" s="5" t="s">
        <v>2919</v>
      </c>
      <c r="B1921" s="14" t="s">
        <v>3595</v>
      </c>
      <c r="C1921" s="14" t="s">
        <v>3645</v>
      </c>
      <c r="D1921" s="138">
        <v>1</v>
      </c>
      <c r="E1921" s="14" t="s">
        <v>3646</v>
      </c>
      <c r="F1921" s="14" t="s">
        <v>11</v>
      </c>
    </row>
    <row r="1922" ht="18" customHeight="1" spans="1:6">
      <c r="A1922" s="5" t="s">
        <v>2919</v>
      </c>
      <c r="B1922" s="14" t="s">
        <v>3595</v>
      </c>
      <c r="C1922" s="14" t="s">
        <v>3647</v>
      </c>
      <c r="D1922" s="138">
        <v>1</v>
      </c>
      <c r="E1922" s="14" t="s">
        <v>3648</v>
      </c>
      <c r="F1922" s="14" t="s">
        <v>11</v>
      </c>
    </row>
    <row r="1923" ht="18" customHeight="1" spans="1:6">
      <c r="A1923" s="5" t="s">
        <v>2919</v>
      </c>
      <c r="B1923" s="14" t="s">
        <v>3595</v>
      </c>
      <c r="C1923" s="14" t="s">
        <v>3649</v>
      </c>
      <c r="D1923" s="138">
        <v>1</v>
      </c>
      <c r="E1923" s="14" t="s">
        <v>3650</v>
      </c>
      <c r="F1923" s="14" t="s">
        <v>11</v>
      </c>
    </row>
    <row r="1924" ht="18" customHeight="1" spans="1:6">
      <c r="A1924" s="5" t="s">
        <v>2919</v>
      </c>
      <c r="B1924" s="14" t="s">
        <v>3595</v>
      </c>
      <c r="C1924" s="14" t="s">
        <v>3651</v>
      </c>
      <c r="D1924" s="138">
        <v>1</v>
      </c>
      <c r="E1924" s="14" t="s">
        <v>3652</v>
      </c>
      <c r="F1924" s="14" t="s">
        <v>11</v>
      </c>
    </row>
    <row r="1925" ht="18" customHeight="1" spans="1:6">
      <c r="A1925" s="5" t="s">
        <v>2919</v>
      </c>
      <c r="B1925" s="14" t="s">
        <v>3595</v>
      </c>
      <c r="C1925" s="14" t="s">
        <v>3653</v>
      </c>
      <c r="D1925" s="138">
        <v>1</v>
      </c>
      <c r="E1925" s="14" t="s">
        <v>3654</v>
      </c>
      <c r="F1925" s="14" t="s">
        <v>11</v>
      </c>
    </row>
    <row r="1926" ht="18" customHeight="1" spans="1:6">
      <c r="A1926" s="5" t="s">
        <v>2919</v>
      </c>
      <c r="B1926" s="14" t="s">
        <v>3595</v>
      </c>
      <c r="C1926" s="14" t="s">
        <v>3655</v>
      </c>
      <c r="D1926" s="138">
        <v>1</v>
      </c>
      <c r="E1926" s="14" t="s">
        <v>3656</v>
      </c>
      <c r="F1926" s="14" t="s">
        <v>11</v>
      </c>
    </row>
    <row r="1927" ht="18" customHeight="1" spans="1:6">
      <c r="A1927" s="5" t="s">
        <v>2919</v>
      </c>
      <c r="B1927" s="14" t="s">
        <v>3595</v>
      </c>
      <c r="C1927" s="14" t="s">
        <v>3657</v>
      </c>
      <c r="D1927" s="138">
        <v>1</v>
      </c>
      <c r="E1927" s="14" t="s">
        <v>3658</v>
      </c>
      <c r="F1927" s="14" t="s">
        <v>11</v>
      </c>
    </row>
    <row r="1928" ht="18" customHeight="1" spans="1:6">
      <c r="A1928" s="5" t="s">
        <v>2919</v>
      </c>
      <c r="B1928" s="14" t="s">
        <v>3595</v>
      </c>
      <c r="C1928" s="14" t="s">
        <v>3634</v>
      </c>
      <c r="D1928" s="138">
        <v>1</v>
      </c>
      <c r="E1928" s="14" t="s">
        <v>3635</v>
      </c>
      <c r="F1928" s="14" t="s">
        <v>11</v>
      </c>
    </row>
    <row r="1929" ht="18" customHeight="1" spans="1:6">
      <c r="A1929" s="5" t="s">
        <v>2919</v>
      </c>
      <c r="B1929" s="14" t="s">
        <v>3595</v>
      </c>
      <c r="C1929" s="14" t="s">
        <v>3659</v>
      </c>
      <c r="D1929" s="138">
        <v>1</v>
      </c>
      <c r="E1929" s="14" t="s">
        <v>3660</v>
      </c>
      <c r="F1929" s="14" t="s">
        <v>11</v>
      </c>
    </row>
    <row r="1930" ht="18" customHeight="1" spans="1:6">
      <c r="A1930" s="5" t="s">
        <v>2919</v>
      </c>
      <c r="B1930" s="14" t="s">
        <v>3595</v>
      </c>
      <c r="C1930" s="14" t="s">
        <v>3661</v>
      </c>
      <c r="D1930" s="138">
        <v>1</v>
      </c>
      <c r="E1930" s="14" t="s">
        <v>3662</v>
      </c>
      <c r="F1930" s="14" t="s">
        <v>11</v>
      </c>
    </row>
    <row r="1931" ht="18" customHeight="1" spans="1:6">
      <c r="A1931" s="5" t="s">
        <v>2919</v>
      </c>
      <c r="B1931" s="14" t="s">
        <v>3595</v>
      </c>
      <c r="C1931" s="14" t="s">
        <v>3624</v>
      </c>
      <c r="D1931" s="138">
        <v>1</v>
      </c>
      <c r="E1931" s="192" t="s">
        <v>3625</v>
      </c>
      <c r="F1931" s="14" t="s">
        <v>11</v>
      </c>
    </row>
    <row r="1932" ht="18" customHeight="1" spans="1:6">
      <c r="A1932" s="5" t="s">
        <v>2919</v>
      </c>
      <c r="B1932" s="14" t="s">
        <v>3595</v>
      </c>
      <c r="C1932" s="14" t="s">
        <v>3663</v>
      </c>
      <c r="D1932" s="138">
        <v>1</v>
      </c>
      <c r="E1932" s="192" t="s">
        <v>3664</v>
      </c>
      <c r="F1932" s="14" t="s">
        <v>11</v>
      </c>
    </row>
    <row r="1933" ht="18" customHeight="1" spans="1:6">
      <c r="A1933" s="5" t="s">
        <v>2919</v>
      </c>
      <c r="B1933" s="14" t="s">
        <v>3595</v>
      </c>
      <c r="C1933" s="14" t="s">
        <v>3665</v>
      </c>
      <c r="D1933" s="138">
        <v>1</v>
      </c>
      <c r="E1933" s="14" t="s">
        <v>3666</v>
      </c>
      <c r="F1933" s="14" t="s">
        <v>11</v>
      </c>
    </row>
    <row r="1934" ht="18" customHeight="1" spans="1:6">
      <c r="A1934" s="5" t="s">
        <v>2919</v>
      </c>
      <c r="B1934" s="14" t="s">
        <v>3595</v>
      </c>
      <c r="C1934" s="14" t="s">
        <v>323</v>
      </c>
      <c r="D1934" s="138">
        <v>1</v>
      </c>
      <c r="E1934" s="14" t="s">
        <v>3667</v>
      </c>
      <c r="F1934" s="14" t="s">
        <v>11</v>
      </c>
    </row>
    <row r="1935" ht="18" customHeight="1" spans="1:6">
      <c r="A1935" s="5" t="s">
        <v>2919</v>
      </c>
      <c r="B1935" s="14" t="s">
        <v>3595</v>
      </c>
      <c r="C1935" s="14" t="s">
        <v>3668</v>
      </c>
      <c r="D1935" s="138">
        <v>1</v>
      </c>
      <c r="E1935" s="14" t="s">
        <v>3669</v>
      </c>
      <c r="F1935" s="14" t="s">
        <v>11</v>
      </c>
    </row>
    <row r="1936" ht="18" customHeight="1" spans="1:6">
      <c r="A1936" s="5" t="s">
        <v>2919</v>
      </c>
      <c r="B1936" s="14" t="s">
        <v>3595</v>
      </c>
      <c r="C1936" s="14" t="s">
        <v>3670</v>
      </c>
      <c r="D1936" s="138">
        <v>1</v>
      </c>
      <c r="E1936" s="192" t="s">
        <v>3671</v>
      </c>
      <c r="F1936" s="14" t="s">
        <v>11</v>
      </c>
    </row>
    <row r="1937" ht="18" customHeight="1" spans="1:6">
      <c r="A1937" s="5" t="s">
        <v>2919</v>
      </c>
      <c r="B1937" s="14" t="s">
        <v>3595</v>
      </c>
      <c r="C1937" s="14" t="s">
        <v>3672</v>
      </c>
      <c r="D1937" s="138">
        <v>1</v>
      </c>
      <c r="E1937" s="192" t="s">
        <v>3673</v>
      </c>
      <c r="F1937" s="14" t="s">
        <v>11</v>
      </c>
    </row>
    <row r="1938" ht="18" customHeight="1" spans="1:6">
      <c r="A1938" s="5" t="s">
        <v>2919</v>
      </c>
      <c r="B1938" s="14" t="s">
        <v>3595</v>
      </c>
      <c r="C1938" s="14" t="s">
        <v>3674</v>
      </c>
      <c r="D1938" s="138">
        <v>1</v>
      </c>
      <c r="E1938" s="192" t="s">
        <v>3675</v>
      </c>
      <c r="F1938" s="14" t="s">
        <v>11</v>
      </c>
    </row>
    <row r="1939" ht="18" customHeight="1" spans="1:6">
      <c r="A1939" s="5" t="s">
        <v>2919</v>
      </c>
      <c r="B1939" s="14" t="s">
        <v>3595</v>
      </c>
      <c r="C1939" s="14" t="s">
        <v>3676</v>
      </c>
      <c r="D1939" s="138">
        <v>1</v>
      </c>
      <c r="E1939" s="14" t="s">
        <v>3677</v>
      </c>
      <c r="F1939" s="14" t="s">
        <v>11</v>
      </c>
    </row>
    <row r="1940" ht="18" customHeight="1" spans="1:6">
      <c r="A1940" s="5" t="s">
        <v>2919</v>
      </c>
      <c r="B1940" s="14" t="s">
        <v>3595</v>
      </c>
      <c r="C1940" s="14" t="s">
        <v>3678</v>
      </c>
      <c r="D1940" s="138">
        <v>1</v>
      </c>
      <c r="E1940" s="14" t="s">
        <v>3679</v>
      </c>
      <c r="F1940" s="14" t="s">
        <v>11</v>
      </c>
    </row>
    <row r="1941" ht="18" customHeight="1" spans="1:6">
      <c r="A1941" s="5" t="s">
        <v>2919</v>
      </c>
      <c r="B1941" s="14" t="s">
        <v>3595</v>
      </c>
      <c r="C1941" s="14" t="s">
        <v>3680</v>
      </c>
      <c r="D1941" s="138">
        <v>1</v>
      </c>
      <c r="E1941" s="14" t="s">
        <v>3681</v>
      </c>
      <c r="F1941" s="14" t="s">
        <v>11</v>
      </c>
    </row>
    <row r="1942" ht="18" customHeight="1" spans="1:6">
      <c r="A1942" s="5" t="s">
        <v>2919</v>
      </c>
      <c r="B1942" s="14" t="s">
        <v>3595</v>
      </c>
      <c r="C1942" s="14" t="s">
        <v>3682</v>
      </c>
      <c r="D1942" s="138">
        <v>1</v>
      </c>
      <c r="E1942" s="192" t="s">
        <v>3683</v>
      </c>
      <c r="F1942" s="14" t="s">
        <v>11</v>
      </c>
    </row>
    <row r="1943" ht="18" customHeight="1" spans="1:6">
      <c r="A1943" s="5" t="s">
        <v>2919</v>
      </c>
      <c r="B1943" s="14" t="s">
        <v>3595</v>
      </c>
      <c r="C1943" s="14" t="s">
        <v>3684</v>
      </c>
      <c r="D1943" s="138">
        <v>1</v>
      </c>
      <c r="E1943" s="192" t="s">
        <v>3685</v>
      </c>
      <c r="F1943" s="14" t="s">
        <v>11</v>
      </c>
    </row>
    <row r="1944" ht="18" customHeight="1" spans="1:6">
      <c r="A1944" s="5" t="s">
        <v>2919</v>
      </c>
      <c r="B1944" s="14" t="s">
        <v>3595</v>
      </c>
      <c r="C1944" s="14" t="s">
        <v>3686</v>
      </c>
      <c r="D1944" s="138">
        <v>1</v>
      </c>
      <c r="E1944" s="192" t="s">
        <v>3687</v>
      </c>
      <c r="F1944" s="14" t="s">
        <v>11</v>
      </c>
    </row>
    <row r="1945" ht="18" customHeight="1" spans="1:6">
      <c r="A1945" s="5" t="s">
        <v>2919</v>
      </c>
      <c r="B1945" s="14" t="s">
        <v>3595</v>
      </c>
      <c r="C1945" s="14" t="s">
        <v>3688</v>
      </c>
      <c r="D1945" s="138">
        <v>1</v>
      </c>
      <c r="E1945" s="14" t="s">
        <v>3689</v>
      </c>
      <c r="F1945" s="14" t="s">
        <v>11</v>
      </c>
    </row>
    <row r="1946" ht="18" customHeight="1" spans="1:6">
      <c r="A1946" s="5" t="s">
        <v>2919</v>
      </c>
      <c r="B1946" s="14" t="s">
        <v>3595</v>
      </c>
      <c r="C1946" s="14" t="s">
        <v>3690</v>
      </c>
      <c r="D1946" s="138">
        <v>1</v>
      </c>
      <c r="E1946" s="14" t="s">
        <v>3691</v>
      </c>
      <c r="F1946" s="14" t="s">
        <v>11</v>
      </c>
    </row>
    <row r="1947" ht="18" customHeight="1" spans="1:6">
      <c r="A1947" s="5" t="s">
        <v>2919</v>
      </c>
      <c r="B1947" s="14" t="s">
        <v>3595</v>
      </c>
      <c r="C1947" s="14" t="s">
        <v>3692</v>
      </c>
      <c r="D1947" s="138">
        <v>1</v>
      </c>
      <c r="E1947" s="14" t="s">
        <v>3693</v>
      </c>
      <c r="F1947" s="14" t="s">
        <v>11</v>
      </c>
    </row>
    <row r="1948" ht="18" customHeight="1" spans="1:6">
      <c r="A1948" s="5" t="s">
        <v>2919</v>
      </c>
      <c r="B1948" s="14" t="s">
        <v>3595</v>
      </c>
      <c r="C1948" s="14" t="s">
        <v>3694</v>
      </c>
      <c r="D1948" s="138">
        <v>1</v>
      </c>
      <c r="E1948" s="14" t="s">
        <v>3695</v>
      </c>
      <c r="F1948" s="14" t="s">
        <v>11</v>
      </c>
    </row>
    <row r="1949" ht="18" customHeight="1" spans="1:6">
      <c r="A1949" s="5" t="s">
        <v>2919</v>
      </c>
      <c r="B1949" s="14" t="s">
        <v>3595</v>
      </c>
      <c r="C1949" s="14" t="s">
        <v>3696</v>
      </c>
      <c r="D1949" s="138">
        <v>2</v>
      </c>
      <c r="E1949" s="192" t="s">
        <v>3697</v>
      </c>
      <c r="F1949" s="14" t="s">
        <v>11</v>
      </c>
    </row>
    <row r="1950" ht="18" customHeight="1" spans="1:6">
      <c r="A1950" s="5" t="s">
        <v>2919</v>
      </c>
      <c r="B1950" s="14" t="s">
        <v>3595</v>
      </c>
      <c r="C1950" s="14" t="s">
        <v>3698</v>
      </c>
      <c r="D1950" s="138">
        <v>3</v>
      </c>
      <c r="E1950" s="192" t="s">
        <v>3699</v>
      </c>
      <c r="F1950" s="14" t="s">
        <v>11</v>
      </c>
    </row>
    <row r="1951" ht="18" customHeight="1" spans="1:6">
      <c r="A1951" s="5" t="s">
        <v>2919</v>
      </c>
      <c r="B1951" s="14" t="s">
        <v>3700</v>
      </c>
      <c r="C1951" s="14" t="s">
        <v>3701</v>
      </c>
      <c r="D1951" s="138">
        <v>4</v>
      </c>
      <c r="E1951" s="14" t="s">
        <v>3702</v>
      </c>
      <c r="F1951" s="14" t="s">
        <v>11</v>
      </c>
    </row>
    <row r="1952" ht="18" customHeight="1" spans="1:6">
      <c r="A1952" s="5" t="s">
        <v>2919</v>
      </c>
      <c r="B1952" s="14" t="s">
        <v>3700</v>
      </c>
      <c r="C1952" s="14" t="s">
        <v>3703</v>
      </c>
      <c r="D1952" s="138">
        <v>2</v>
      </c>
      <c r="E1952" s="14" t="s">
        <v>3704</v>
      </c>
      <c r="F1952" s="14" t="s">
        <v>11</v>
      </c>
    </row>
    <row r="1953" ht="18" customHeight="1" spans="1:6">
      <c r="A1953" s="5" t="s">
        <v>2919</v>
      </c>
      <c r="B1953" s="14" t="s">
        <v>3700</v>
      </c>
      <c r="C1953" s="14" t="s">
        <v>3705</v>
      </c>
      <c r="D1953" s="138">
        <v>3</v>
      </c>
      <c r="E1953" s="14" t="s">
        <v>3706</v>
      </c>
      <c r="F1953" s="14" t="s">
        <v>11</v>
      </c>
    </row>
    <row r="1954" ht="18" customHeight="1" spans="1:6">
      <c r="A1954" s="5" t="s">
        <v>2919</v>
      </c>
      <c r="B1954" s="14" t="s">
        <v>3700</v>
      </c>
      <c r="C1954" s="14" t="s">
        <v>3707</v>
      </c>
      <c r="D1954" s="138">
        <v>2</v>
      </c>
      <c r="E1954" s="14" t="s">
        <v>3708</v>
      </c>
      <c r="F1954" s="14" t="s">
        <v>11</v>
      </c>
    </row>
    <row r="1955" ht="18" customHeight="1" spans="1:6">
      <c r="A1955" s="5" t="s">
        <v>2919</v>
      </c>
      <c r="B1955" s="14" t="s">
        <v>3700</v>
      </c>
      <c r="C1955" s="14" t="s">
        <v>3709</v>
      </c>
      <c r="D1955" s="138">
        <v>3</v>
      </c>
      <c r="E1955" s="14" t="s">
        <v>3710</v>
      </c>
      <c r="F1955" s="14" t="s">
        <v>11</v>
      </c>
    </row>
    <row r="1956" ht="18" customHeight="1" spans="1:6">
      <c r="A1956" s="5" t="s">
        <v>2919</v>
      </c>
      <c r="B1956" s="14" t="s">
        <v>3700</v>
      </c>
      <c r="C1956" s="14" t="s">
        <v>3711</v>
      </c>
      <c r="D1956" s="138">
        <v>3</v>
      </c>
      <c r="E1956" s="14" t="s">
        <v>3712</v>
      </c>
      <c r="F1956" s="14" t="s">
        <v>11</v>
      </c>
    </row>
    <row r="1957" ht="18" customHeight="1" spans="1:6">
      <c r="A1957" s="5" t="s">
        <v>2919</v>
      </c>
      <c r="B1957" s="14" t="s">
        <v>3700</v>
      </c>
      <c r="C1957" s="14" t="s">
        <v>3713</v>
      </c>
      <c r="D1957" s="138">
        <v>3</v>
      </c>
      <c r="E1957" s="14" t="s">
        <v>3714</v>
      </c>
      <c r="F1957" s="14" t="s">
        <v>11</v>
      </c>
    </row>
    <row r="1958" ht="18" customHeight="1" spans="1:6">
      <c r="A1958" s="5" t="s">
        <v>2919</v>
      </c>
      <c r="B1958" s="14" t="s">
        <v>3700</v>
      </c>
      <c r="C1958" s="14" t="s">
        <v>3715</v>
      </c>
      <c r="D1958" s="138">
        <v>2</v>
      </c>
      <c r="E1958" s="14" t="s">
        <v>3716</v>
      </c>
      <c r="F1958" s="14" t="s">
        <v>11</v>
      </c>
    </row>
    <row r="1959" ht="18" customHeight="1" spans="1:6">
      <c r="A1959" s="5" t="s">
        <v>2919</v>
      </c>
      <c r="B1959" s="14" t="s">
        <v>3700</v>
      </c>
      <c r="C1959" s="14" t="s">
        <v>3717</v>
      </c>
      <c r="D1959" s="138">
        <v>4</v>
      </c>
      <c r="E1959" s="14" t="s">
        <v>3718</v>
      </c>
      <c r="F1959" s="14" t="s">
        <v>11</v>
      </c>
    </row>
    <row r="1960" ht="18" customHeight="1" spans="1:6">
      <c r="A1960" s="5" t="s">
        <v>2919</v>
      </c>
      <c r="B1960" s="14" t="s">
        <v>3700</v>
      </c>
      <c r="C1960" s="14" t="s">
        <v>3719</v>
      </c>
      <c r="D1960" s="138">
        <v>3</v>
      </c>
      <c r="E1960" s="14" t="s">
        <v>3720</v>
      </c>
      <c r="F1960" s="14" t="s">
        <v>11</v>
      </c>
    </row>
    <row r="1961" ht="18" customHeight="1" spans="1:6">
      <c r="A1961" s="5" t="s">
        <v>2919</v>
      </c>
      <c r="B1961" s="14" t="s">
        <v>3700</v>
      </c>
      <c r="C1961" s="14" t="s">
        <v>3721</v>
      </c>
      <c r="D1961" s="138">
        <v>3</v>
      </c>
      <c r="E1961" s="14" t="s">
        <v>3722</v>
      </c>
      <c r="F1961" s="14" t="s">
        <v>11</v>
      </c>
    </row>
    <row r="1962" ht="18" customHeight="1" spans="1:6">
      <c r="A1962" s="5" t="s">
        <v>2919</v>
      </c>
      <c r="B1962" s="14" t="s">
        <v>3700</v>
      </c>
      <c r="C1962" s="14" t="s">
        <v>3723</v>
      </c>
      <c r="D1962" s="138">
        <v>3</v>
      </c>
      <c r="E1962" s="192" t="s">
        <v>3724</v>
      </c>
      <c r="F1962" s="14" t="s">
        <v>11</v>
      </c>
    </row>
    <row r="1963" ht="18" customHeight="1" spans="1:6">
      <c r="A1963" s="5" t="s">
        <v>2919</v>
      </c>
      <c r="B1963" s="14" t="s">
        <v>3700</v>
      </c>
      <c r="C1963" s="14" t="s">
        <v>3725</v>
      </c>
      <c r="D1963" s="138">
        <v>5</v>
      </c>
      <c r="E1963" s="14" t="s">
        <v>3726</v>
      </c>
      <c r="F1963" s="14" t="s">
        <v>11</v>
      </c>
    </row>
    <row r="1964" ht="18" customHeight="1" spans="1:6">
      <c r="A1964" s="5" t="s">
        <v>2919</v>
      </c>
      <c r="B1964" s="14" t="s">
        <v>3700</v>
      </c>
      <c r="C1964" s="14" t="s">
        <v>3727</v>
      </c>
      <c r="D1964" s="138">
        <v>3</v>
      </c>
      <c r="E1964" s="14" t="s">
        <v>3728</v>
      </c>
      <c r="F1964" s="14" t="s">
        <v>11</v>
      </c>
    </row>
    <row r="1965" ht="18" customHeight="1" spans="1:6">
      <c r="A1965" s="5" t="s">
        <v>2919</v>
      </c>
      <c r="B1965" s="14" t="s">
        <v>3700</v>
      </c>
      <c r="C1965" s="14" t="s">
        <v>3729</v>
      </c>
      <c r="D1965" s="138">
        <v>3</v>
      </c>
      <c r="E1965" s="192" t="s">
        <v>3730</v>
      </c>
      <c r="F1965" s="14" t="s">
        <v>11</v>
      </c>
    </row>
    <row r="1966" ht="18" customHeight="1" spans="1:6">
      <c r="A1966" s="5" t="s">
        <v>2919</v>
      </c>
      <c r="B1966" s="14" t="s">
        <v>3700</v>
      </c>
      <c r="C1966" s="14" t="s">
        <v>3731</v>
      </c>
      <c r="D1966" s="138">
        <v>4</v>
      </c>
      <c r="E1966" s="14" t="s">
        <v>3732</v>
      </c>
      <c r="F1966" s="14" t="s">
        <v>11</v>
      </c>
    </row>
    <row r="1967" ht="18" customHeight="1" spans="1:6">
      <c r="A1967" s="5" t="s">
        <v>2919</v>
      </c>
      <c r="B1967" s="14" t="s">
        <v>3700</v>
      </c>
      <c r="C1967" s="14" t="s">
        <v>3733</v>
      </c>
      <c r="D1967" s="138">
        <v>3</v>
      </c>
      <c r="E1967" s="14" t="s">
        <v>3734</v>
      </c>
      <c r="F1967" s="14" t="s">
        <v>11</v>
      </c>
    </row>
    <row r="1968" ht="18" customHeight="1" spans="1:6">
      <c r="A1968" s="5" t="s">
        <v>2919</v>
      </c>
      <c r="B1968" s="14" t="s">
        <v>3700</v>
      </c>
      <c r="C1968" s="14" t="s">
        <v>3735</v>
      </c>
      <c r="D1968" s="138">
        <v>3</v>
      </c>
      <c r="E1968" s="14" t="s">
        <v>3736</v>
      </c>
      <c r="F1968" s="14" t="s">
        <v>11</v>
      </c>
    </row>
    <row r="1969" ht="18" customHeight="1" spans="1:6">
      <c r="A1969" s="5" t="s">
        <v>2919</v>
      </c>
      <c r="B1969" s="14" t="s">
        <v>3700</v>
      </c>
      <c r="C1969" s="14" t="s">
        <v>3737</v>
      </c>
      <c r="D1969" s="138">
        <v>5</v>
      </c>
      <c r="E1969" s="14" t="s">
        <v>3738</v>
      </c>
      <c r="F1969" s="14" t="s">
        <v>11</v>
      </c>
    </row>
    <row r="1970" ht="18" customHeight="1" spans="1:6">
      <c r="A1970" s="5" t="s">
        <v>2919</v>
      </c>
      <c r="B1970" s="14" t="s">
        <v>3700</v>
      </c>
      <c r="C1970" s="14" t="s">
        <v>3739</v>
      </c>
      <c r="D1970" s="138">
        <v>1</v>
      </c>
      <c r="E1970" s="14" t="s">
        <v>3740</v>
      </c>
      <c r="F1970" s="14" t="s">
        <v>11</v>
      </c>
    </row>
    <row r="1971" ht="18" customHeight="1" spans="1:6">
      <c r="A1971" s="5" t="s">
        <v>2919</v>
      </c>
      <c r="B1971" s="14" t="s">
        <v>3700</v>
      </c>
      <c r="C1971" s="14" t="s">
        <v>3741</v>
      </c>
      <c r="D1971" s="138">
        <v>1</v>
      </c>
      <c r="E1971" s="192" t="s">
        <v>3742</v>
      </c>
      <c r="F1971" s="14" t="s">
        <v>11</v>
      </c>
    </row>
    <row r="1972" ht="18" customHeight="1" spans="1:6">
      <c r="A1972" s="5" t="s">
        <v>2919</v>
      </c>
      <c r="B1972" s="14" t="s">
        <v>3700</v>
      </c>
      <c r="C1972" s="14" t="s">
        <v>3743</v>
      </c>
      <c r="D1972" s="138">
        <v>1</v>
      </c>
      <c r="E1972" s="192" t="s">
        <v>3744</v>
      </c>
      <c r="F1972" s="14" t="s">
        <v>11</v>
      </c>
    </row>
    <row r="1973" ht="18" customHeight="1" spans="1:6">
      <c r="A1973" s="5" t="s">
        <v>2919</v>
      </c>
      <c r="B1973" s="14" t="s">
        <v>3700</v>
      </c>
      <c r="C1973" s="14" t="s">
        <v>3745</v>
      </c>
      <c r="D1973" s="138">
        <v>1</v>
      </c>
      <c r="E1973" s="192" t="s">
        <v>3746</v>
      </c>
      <c r="F1973" s="14" t="s">
        <v>11</v>
      </c>
    </row>
    <row r="1974" ht="18" customHeight="1" spans="1:6">
      <c r="A1974" s="5" t="s">
        <v>2919</v>
      </c>
      <c r="B1974" s="14" t="s">
        <v>3700</v>
      </c>
      <c r="C1974" s="14" t="s">
        <v>3747</v>
      </c>
      <c r="D1974" s="138">
        <v>2</v>
      </c>
      <c r="E1974" s="192" t="s">
        <v>3748</v>
      </c>
      <c r="F1974" s="14" t="s">
        <v>11</v>
      </c>
    </row>
    <row r="1975" ht="18" customHeight="1" spans="1:6">
      <c r="A1975" s="5" t="s">
        <v>2919</v>
      </c>
      <c r="B1975" s="14" t="s">
        <v>3700</v>
      </c>
      <c r="C1975" s="14" t="s">
        <v>3749</v>
      </c>
      <c r="D1975" s="138">
        <v>1</v>
      </c>
      <c r="E1975" s="192" t="s">
        <v>3750</v>
      </c>
      <c r="F1975" s="14" t="s">
        <v>11</v>
      </c>
    </row>
    <row r="1976" ht="18" customHeight="1" spans="1:6">
      <c r="A1976" s="5" t="s">
        <v>2919</v>
      </c>
      <c r="B1976" s="14" t="s">
        <v>3700</v>
      </c>
      <c r="C1976" s="14" t="s">
        <v>3751</v>
      </c>
      <c r="D1976" s="138">
        <v>1</v>
      </c>
      <c r="E1976" s="14" t="s">
        <v>3752</v>
      </c>
      <c r="F1976" s="14" t="s">
        <v>11</v>
      </c>
    </row>
    <row r="1977" ht="18" customHeight="1" spans="1:6">
      <c r="A1977" s="5" t="s">
        <v>2919</v>
      </c>
      <c r="B1977" s="14" t="s">
        <v>3700</v>
      </c>
      <c r="C1977" s="14" t="s">
        <v>3753</v>
      </c>
      <c r="D1977" s="138">
        <v>1</v>
      </c>
      <c r="E1977" s="192" t="s">
        <v>3754</v>
      </c>
      <c r="F1977" s="14" t="s">
        <v>11</v>
      </c>
    </row>
    <row r="1978" ht="18" customHeight="1" spans="1:6">
      <c r="A1978" s="5" t="s">
        <v>2919</v>
      </c>
      <c r="B1978" s="14" t="s">
        <v>3700</v>
      </c>
      <c r="C1978" s="14" t="s">
        <v>3755</v>
      </c>
      <c r="D1978" s="138">
        <v>1</v>
      </c>
      <c r="E1978" s="14" t="s">
        <v>3756</v>
      </c>
      <c r="F1978" s="14" t="s">
        <v>11</v>
      </c>
    </row>
    <row r="1979" ht="18" customHeight="1" spans="1:6">
      <c r="A1979" s="5" t="s">
        <v>2919</v>
      </c>
      <c r="B1979" s="14" t="s">
        <v>3700</v>
      </c>
      <c r="C1979" s="14" t="s">
        <v>3757</v>
      </c>
      <c r="D1979" s="138">
        <v>2</v>
      </c>
      <c r="E1979" s="14" t="s">
        <v>3758</v>
      </c>
      <c r="F1979" s="14" t="s">
        <v>11</v>
      </c>
    </row>
    <row r="1980" ht="18" customHeight="1" spans="1:6">
      <c r="A1980" s="5" t="s">
        <v>2919</v>
      </c>
      <c r="B1980" s="14" t="s">
        <v>3700</v>
      </c>
      <c r="C1980" s="14" t="s">
        <v>3759</v>
      </c>
      <c r="D1980" s="138">
        <v>1</v>
      </c>
      <c r="E1980" s="14" t="s">
        <v>3760</v>
      </c>
      <c r="F1980" s="14" t="s">
        <v>11</v>
      </c>
    </row>
    <row r="1981" ht="18" customHeight="1" spans="1:6">
      <c r="A1981" s="5" t="s">
        <v>2919</v>
      </c>
      <c r="B1981" s="14" t="s">
        <v>3700</v>
      </c>
      <c r="C1981" s="14" t="s">
        <v>3761</v>
      </c>
      <c r="D1981" s="138">
        <v>2</v>
      </c>
      <c r="E1981" s="14" t="s">
        <v>3762</v>
      </c>
      <c r="F1981" s="14" t="s">
        <v>11</v>
      </c>
    </row>
    <row r="1982" ht="18" customHeight="1" spans="1:6">
      <c r="A1982" s="5" t="s">
        <v>2919</v>
      </c>
      <c r="B1982" s="14" t="s">
        <v>3700</v>
      </c>
      <c r="C1982" s="14" t="s">
        <v>3763</v>
      </c>
      <c r="D1982" s="138">
        <v>2</v>
      </c>
      <c r="E1982" s="14" t="s">
        <v>3764</v>
      </c>
      <c r="F1982" s="14" t="s">
        <v>11</v>
      </c>
    </row>
    <row r="1983" ht="18" customHeight="1" spans="1:6">
      <c r="A1983" s="5" t="s">
        <v>2919</v>
      </c>
      <c r="B1983" s="14" t="s">
        <v>3700</v>
      </c>
      <c r="C1983" s="14" t="s">
        <v>3765</v>
      </c>
      <c r="D1983" s="138">
        <v>1</v>
      </c>
      <c r="E1983" s="14" t="s">
        <v>3766</v>
      </c>
      <c r="F1983" s="14" t="s">
        <v>11</v>
      </c>
    </row>
    <row r="1984" ht="18" customHeight="1" spans="1:6">
      <c r="A1984" s="5" t="s">
        <v>2919</v>
      </c>
      <c r="B1984" s="14" t="s">
        <v>3700</v>
      </c>
      <c r="C1984" s="14" t="s">
        <v>3767</v>
      </c>
      <c r="D1984" s="138">
        <v>1</v>
      </c>
      <c r="E1984" s="14" t="s">
        <v>3768</v>
      </c>
      <c r="F1984" s="14" t="s">
        <v>11</v>
      </c>
    </row>
    <row r="1985" ht="18" customHeight="1" spans="1:6">
      <c r="A1985" s="5" t="s">
        <v>2919</v>
      </c>
      <c r="B1985" s="14" t="s">
        <v>3769</v>
      </c>
      <c r="C1985" s="14" t="s">
        <v>3770</v>
      </c>
      <c r="D1985" s="138">
        <v>1</v>
      </c>
      <c r="E1985" s="14" t="s">
        <v>3771</v>
      </c>
      <c r="F1985" s="14" t="s">
        <v>11</v>
      </c>
    </row>
    <row r="1986" ht="18" customHeight="1" spans="1:6">
      <c r="A1986" s="5" t="s">
        <v>2919</v>
      </c>
      <c r="B1986" s="14" t="s">
        <v>3769</v>
      </c>
      <c r="C1986" s="14" t="s">
        <v>3772</v>
      </c>
      <c r="D1986" s="138">
        <v>1</v>
      </c>
      <c r="E1986" s="14" t="s">
        <v>3773</v>
      </c>
      <c r="F1986" s="14" t="s">
        <v>11</v>
      </c>
    </row>
    <row r="1987" ht="18" customHeight="1" spans="1:6">
      <c r="A1987" s="5" t="s">
        <v>2919</v>
      </c>
      <c r="B1987" s="14" t="s">
        <v>3769</v>
      </c>
      <c r="C1987" s="14" t="s">
        <v>3774</v>
      </c>
      <c r="D1987" s="138">
        <v>1</v>
      </c>
      <c r="E1987" s="14" t="s">
        <v>3775</v>
      </c>
      <c r="F1987" s="14" t="s">
        <v>11</v>
      </c>
    </row>
    <row r="1988" ht="18" customHeight="1" spans="1:6">
      <c r="A1988" s="5" t="s">
        <v>2919</v>
      </c>
      <c r="B1988" s="14" t="s">
        <v>3769</v>
      </c>
      <c r="C1988" s="14" t="s">
        <v>3776</v>
      </c>
      <c r="D1988" s="138">
        <v>1</v>
      </c>
      <c r="E1988" s="14" t="s">
        <v>3777</v>
      </c>
      <c r="F1988" s="14" t="s">
        <v>11</v>
      </c>
    </row>
    <row r="1989" ht="18" customHeight="1" spans="1:6">
      <c r="A1989" s="5" t="s">
        <v>2919</v>
      </c>
      <c r="B1989" s="14" t="s">
        <v>3769</v>
      </c>
      <c r="C1989" s="14" t="s">
        <v>3778</v>
      </c>
      <c r="D1989" s="138">
        <v>1</v>
      </c>
      <c r="E1989" s="14" t="s">
        <v>3779</v>
      </c>
      <c r="F1989" s="14" t="s">
        <v>11</v>
      </c>
    </row>
    <row r="1990" ht="18" customHeight="1" spans="1:6">
      <c r="A1990" s="5" t="s">
        <v>2919</v>
      </c>
      <c r="B1990" s="14" t="s">
        <v>3769</v>
      </c>
      <c r="C1990" s="14" t="s">
        <v>3780</v>
      </c>
      <c r="D1990" s="138">
        <v>1</v>
      </c>
      <c r="E1990" s="14" t="s">
        <v>3781</v>
      </c>
      <c r="F1990" s="14" t="s">
        <v>11</v>
      </c>
    </row>
    <row r="1991" ht="18" customHeight="1" spans="1:6">
      <c r="A1991" s="5" t="s">
        <v>2919</v>
      </c>
      <c r="B1991" s="14" t="s">
        <v>3782</v>
      </c>
      <c r="C1991" s="14" t="s">
        <v>3783</v>
      </c>
      <c r="D1991" s="138">
        <v>4</v>
      </c>
      <c r="E1991" s="14" t="s">
        <v>3784</v>
      </c>
      <c r="F1991" s="14" t="s">
        <v>11</v>
      </c>
    </row>
    <row r="1992" ht="18" customHeight="1" spans="1:6">
      <c r="A1992" s="5" t="s">
        <v>2919</v>
      </c>
      <c r="B1992" s="14" t="s">
        <v>3782</v>
      </c>
      <c r="C1992" s="14" t="s">
        <v>3785</v>
      </c>
      <c r="D1992" s="138">
        <v>4</v>
      </c>
      <c r="E1992" s="14" t="s">
        <v>3786</v>
      </c>
      <c r="F1992" s="14" t="s">
        <v>11</v>
      </c>
    </row>
    <row r="1993" ht="18" customHeight="1" spans="1:6">
      <c r="A1993" s="5" t="s">
        <v>2919</v>
      </c>
      <c r="B1993" s="14" t="s">
        <v>3782</v>
      </c>
      <c r="C1993" s="14" t="s">
        <v>3787</v>
      </c>
      <c r="D1993" s="138">
        <v>4</v>
      </c>
      <c r="E1993" s="14" t="s">
        <v>3788</v>
      </c>
      <c r="F1993" s="14" t="s">
        <v>11</v>
      </c>
    </row>
    <row r="1994" ht="18" customHeight="1" spans="1:6">
      <c r="A1994" s="5" t="s">
        <v>2919</v>
      </c>
      <c r="B1994" s="14" t="s">
        <v>3782</v>
      </c>
      <c r="C1994" s="14" t="s">
        <v>3789</v>
      </c>
      <c r="D1994" s="138">
        <v>4</v>
      </c>
      <c r="E1994" s="14" t="s">
        <v>3790</v>
      </c>
      <c r="F1994" s="14" t="s">
        <v>11</v>
      </c>
    </row>
    <row r="1995" ht="18" customHeight="1" spans="1:6">
      <c r="A1995" s="5" t="s">
        <v>2919</v>
      </c>
      <c r="B1995" s="14" t="s">
        <v>3782</v>
      </c>
      <c r="C1995" s="14" t="s">
        <v>3791</v>
      </c>
      <c r="D1995" s="138">
        <v>3</v>
      </c>
      <c r="E1995" s="14" t="s">
        <v>3792</v>
      </c>
      <c r="F1995" s="14" t="s">
        <v>11</v>
      </c>
    </row>
    <row r="1996" ht="18" customHeight="1" spans="1:6">
      <c r="A1996" s="5" t="s">
        <v>2919</v>
      </c>
      <c r="B1996" s="14" t="s">
        <v>3782</v>
      </c>
      <c r="C1996" s="14" t="s">
        <v>3793</v>
      </c>
      <c r="D1996" s="138">
        <v>4</v>
      </c>
      <c r="E1996" s="14" t="s">
        <v>3794</v>
      </c>
      <c r="F1996" s="14" t="s">
        <v>11</v>
      </c>
    </row>
    <row r="1997" ht="18" customHeight="1" spans="1:6">
      <c r="A1997" s="5" t="s">
        <v>2919</v>
      </c>
      <c r="B1997" s="14" t="s">
        <v>3782</v>
      </c>
      <c r="C1997" s="14" t="s">
        <v>3795</v>
      </c>
      <c r="D1997" s="138">
        <v>4</v>
      </c>
      <c r="E1997" s="14" t="s">
        <v>3796</v>
      </c>
      <c r="F1997" s="14" t="s">
        <v>11</v>
      </c>
    </row>
    <row r="1998" ht="18" customHeight="1" spans="1:6">
      <c r="A1998" s="5" t="s">
        <v>2919</v>
      </c>
      <c r="B1998" s="14" t="s">
        <v>3782</v>
      </c>
      <c r="C1998" s="14" t="s">
        <v>3797</v>
      </c>
      <c r="D1998" s="138">
        <v>6</v>
      </c>
      <c r="E1998" s="14" t="s">
        <v>3798</v>
      </c>
      <c r="F1998" s="14" t="s">
        <v>11</v>
      </c>
    </row>
    <row r="1999" ht="18" customHeight="1" spans="1:6">
      <c r="A1999" s="5" t="s">
        <v>2919</v>
      </c>
      <c r="B1999" s="14" t="s">
        <v>3782</v>
      </c>
      <c r="C1999" s="14" t="s">
        <v>3799</v>
      </c>
      <c r="D1999" s="138">
        <v>3</v>
      </c>
      <c r="E1999" s="14" t="s">
        <v>3800</v>
      </c>
      <c r="F1999" s="14" t="s">
        <v>11</v>
      </c>
    </row>
    <row r="2000" ht="18" customHeight="1" spans="1:6">
      <c r="A2000" s="5" t="s">
        <v>2919</v>
      </c>
      <c r="B2000" s="14" t="s">
        <v>3782</v>
      </c>
      <c r="C2000" s="14" t="s">
        <v>3801</v>
      </c>
      <c r="D2000" s="138">
        <v>3</v>
      </c>
      <c r="E2000" s="14" t="s">
        <v>3802</v>
      </c>
      <c r="F2000" s="14" t="s">
        <v>11</v>
      </c>
    </row>
    <row r="2001" ht="18" customHeight="1" spans="1:6">
      <c r="A2001" s="5" t="s">
        <v>2919</v>
      </c>
      <c r="B2001" s="14" t="s">
        <v>3782</v>
      </c>
      <c r="C2001" s="14" t="s">
        <v>3803</v>
      </c>
      <c r="D2001" s="138">
        <v>3</v>
      </c>
      <c r="E2001" s="14" t="s">
        <v>3804</v>
      </c>
      <c r="F2001" s="14" t="s">
        <v>11</v>
      </c>
    </row>
    <row r="2002" ht="18" customHeight="1" spans="1:6">
      <c r="A2002" s="5" t="s">
        <v>2919</v>
      </c>
      <c r="B2002" s="14" t="s">
        <v>3782</v>
      </c>
      <c r="C2002" s="14" t="s">
        <v>3805</v>
      </c>
      <c r="D2002" s="138">
        <v>2</v>
      </c>
      <c r="E2002" s="14" t="s">
        <v>3806</v>
      </c>
      <c r="F2002" s="14" t="s">
        <v>11</v>
      </c>
    </row>
    <row r="2003" ht="18" customHeight="1" spans="1:6">
      <c r="A2003" s="5" t="s">
        <v>2919</v>
      </c>
      <c r="B2003" s="14" t="s">
        <v>3782</v>
      </c>
      <c r="C2003" s="14" t="s">
        <v>3807</v>
      </c>
      <c r="D2003" s="138">
        <v>2</v>
      </c>
      <c r="E2003" s="14" t="s">
        <v>3808</v>
      </c>
      <c r="F2003" s="14" t="s">
        <v>11</v>
      </c>
    </row>
    <row r="2004" ht="18" customHeight="1" spans="1:6">
      <c r="A2004" s="5" t="s">
        <v>2919</v>
      </c>
      <c r="B2004" s="14" t="s">
        <v>3782</v>
      </c>
      <c r="C2004" s="14" t="s">
        <v>3809</v>
      </c>
      <c r="D2004" s="138">
        <v>7</v>
      </c>
      <c r="E2004" s="14" t="s">
        <v>3810</v>
      </c>
      <c r="F2004" s="14" t="s">
        <v>11</v>
      </c>
    </row>
    <row r="2005" ht="18" customHeight="1" spans="1:6">
      <c r="A2005" s="5" t="s">
        <v>2919</v>
      </c>
      <c r="B2005" s="14" t="s">
        <v>3782</v>
      </c>
      <c r="C2005" s="14" t="s">
        <v>3811</v>
      </c>
      <c r="D2005" s="138">
        <v>5</v>
      </c>
      <c r="E2005" s="14" t="s">
        <v>3812</v>
      </c>
      <c r="F2005" s="14" t="s">
        <v>11</v>
      </c>
    </row>
    <row r="2006" ht="18" customHeight="1" spans="1:6">
      <c r="A2006" s="5" t="s">
        <v>2919</v>
      </c>
      <c r="B2006" s="14" t="s">
        <v>3782</v>
      </c>
      <c r="C2006" s="14" t="s">
        <v>3813</v>
      </c>
      <c r="D2006" s="138">
        <v>5</v>
      </c>
      <c r="E2006" s="14" t="s">
        <v>3814</v>
      </c>
      <c r="F2006" s="14" t="s">
        <v>11</v>
      </c>
    </row>
    <row r="2007" ht="18" customHeight="1" spans="1:6">
      <c r="A2007" s="5" t="s">
        <v>2919</v>
      </c>
      <c r="B2007" s="14" t="s">
        <v>3782</v>
      </c>
      <c r="C2007" s="14" t="s">
        <v>3815</v>
      </c>
      <c r="D2007" s="138">
        <v>2</v>
      </c>
      <c r="E2007" s="14" t="s">
        <v>3816</v>
      </c>
      <c r="F2007" s="14" t="s">
        <v>11</v>
      </c>
    </row>
    <row r="2008" ht="18" customHeight="1" spans="1:6">
      <c r="A2008" s="5" t="s">
        <v>2919</v>
      </c>
      <c r="B2008" s="14" t="s">
        <v>3782</v>
      </c>
      <c r="C2008" s="14" t="s">
        <v>3817</v>
      </c>
      <c r="D2008" s="138">
        <v>2</v>
      </c>
      <c r="E2008" s="14" t="s">
        <v>3818</v>
      </c>
      <c r="F2008" s="14" t="s">
        <v>11</v>
      </c>
    </row>
    <row r="2009" ht="18" customHeight="1" spans="1:6">
      <c r="A2009" s="5" t="s">
        <v>2919</v>
      </c>
      <c r="B2009" s="14" t="s">
        <v>3782</v>
      </c>
      <c r="C2009" s="14" t="s">
        <v>3819</v>
      </c>
      <c r="D2009" s="138">
        <v>2</v>
      </c>
      <c r="E2009" s="14" t="s">
        <v>3820</v>
      </c>
      <c r="F2009" s="14" t="s">
        <v>11</v>
      </c>
    </row>
    <row r="2010" ht="18" customHeight="1" spans="1:6">
      <c r="A2010" s="5" t="s">
        <v>2919</v>
      </c>
      <c r="B2010" s="14" t="s">
        <v>3782</v>
      </c>
      <c r="C2010" s="14" t="s">
        <v>3821</v>
      </c>
      <c r="D2010" s="138">
        <v>2</v>
      </c>
      <c r="E2010" s="14" t="s">
        <v>3822</v>
      </c>
      <c r="F2010" s="14" t="s">
        <v>11</v>
      </c>
    </row>
    <row r="2011" ht="18" customHeight="1" spans="1:6">
      <c r="A2011" s="5" t="s">
        <v>2919</v>
      </c>
      <c r="B2011" s="14" t="s">
        <v>3782</v>
      </c>
      <c r="C2011" s="14" t="s">
        <v>3823</v>
      </c>
      <c r="D2011" s="138">
        <v>4</v>
      </c>
      <c r="E2011" s="14" t="s">
        <v>3824</v>
      </c>
      <c r="F2011" s="14" t="s">
        <v>11</v>
      </c>
    </row>
    <row r="2012" ht="18" customHeight="1" spans="1:6">
      <c r="A2012" s="5" t="s">
        <v>2919</v>
      </c>
      <c r="B2012" s="14" t="s">
        <v>3782</v>
      </c>
      <c r="C2012" s="14" t="s">
        <v>3825</v>
      </c>
      <c r="D2012" s="138">
        <v>5</v>
      </c>
      <c r="E2012" s="14" t="s">
        <v>3826</v>
      </c>
      <c r="F2012" s="14" t="s">
        <v>11</v>
      </c>
    </row>
    <row r="2013" ht="18" customHeight="1" spans="1:6">
      <c r="A2013" s="5" t="s">
        <v>2919</v>
      </c>
      <c r="B2013" s="14" t="s">
        <v>3782</v>
      </c>
      <c r="C2013" s="14" t="s">
        <v>3827</v>
      </c>
      <c r="D2013" s="138">
        <v>5</v>
      </c>
      <c r="E2013" s="14" t="s">
        <v>3828</v>
      </c>
      <c r="F2013" s="14" t="s">
        <v>11</v>
      </c>
    </row>
    <row r="2014" ht="18" customHeight="1" spans="1:6">
      <c r="A2014" s="5" t="s">
        <v>2919</v>
      </c>
      <c r="B2014" s="14" t="s">
        <v>3782</v>
      </c>
      <c r="C2014" s="14" t="s">
        <v>3829</v>
      </c>
      <c r="D2014" s="138">
        <v>3</v>
      </c>
      <c r="E2014" s="14" t="s">
        <v>3830</v>
      </c>
      <c r="F2014" s="14" t="s">
        <v>11</v>
      </c>
    </row>
    <row r="2015" ht="18" customHeight="1" spans="1:6">
      <c r="A2015" s="5" t="s">
        <v>2919</v>
      </c>
      <c r="B2015" s="14" t="s">
        <v>3782</v>
      </c>
      <c r="C2015" s="14" t="s">
        <v>3831</v>
      </c>
      <c r="D2015" s="138">
        <v>4</v>
      </c>
      <c r="E2015" s="14" t="s">
        <v>3832</v>
      </c>
      <c r="F2015" s="14" t="s">
        <v>11</v>
      </c>
    </row>
    <row r="2016" ht="18" customHeight="1" spans="1:6">
      <c r="A2016" s="5" t="s">
        <v>2919</v>
      </c>
      <c r="B2016" s="14" t="s">
        <v>3782</v>
      </c>
      <c r="C2016" s="14" t="s">
        <v>3833</v>
      </c>
      <c r="D2016" s="138">
        <v>2</v>
      </c>
      <c r="E2016" s="14" t="s">
        <v>3834</v>
      </c>
      <c r="F2016" s="14" t="s">
        <v>11</v>
      </c>
    </row>
    <row r="2017" ht="18" customHeight="1" spans="1:6">
      <c r="A2017" s="5" t="s">
        <v>2919</v>
      </c>
      <c r="B2017" s="14" t="s">
        <v>3782</v>
      </c>
      <c r="C2017" s="14" t="s">
        <v>3835</v>
      </c>
      <c r="D2017" s="138">
        <v>5</v>
      </c>
      <c r="E2017" s="14" t="s">
        <v>3836</v>
      </c>
      <c r="F2017" s="14" t="s">
        <v>11</v>
      </c>
    </row>
    <row r="2018" ht="18" customHeight="1" spans="1:6">
      <c r="A2018" s="5" t="s">
        <v>2919</v>
      </c>
      <c r="B2018" s="14" t="s">
        <v>3782</v>
      </c>
      <c r="C2018" s="14" t="s">
        <v>3837</v>
      </c>
      <c r="D2018" s="138">
        <v>3</v>
      </c>
      <c r="E2018" s="14" t="s">
        <v>3838</v>
      </c>
      <c r="F2018" s="14" t="s">
        <v>11</v>
      </c>
    </row>
    <row r="2019" ht="18" customHeight="1" spans="1:6">
      <c r="A2019" s="5" t="s">
        <v>2919</v>
      </c>
      <c r="B2019" s="14" t="s">
        <v>3782</v>
      </c>
      <c r="C2019" s="14" t="s">
        <v>3839</v>
      </c>
      <c r="D2019" s="138">
        <v>4</v>
      </c>
      <c r="E2019" s="14" t="s">
        <v>3840</v>
      </c>
      <c r="F2019" s="14" t="s">
        <v>11</v>
      </c>
    </row>
    <row r="2020" ht="18" customHeight="1" spans="1:6">
      <c r="A2020" s="5" t="s">
        <v>2919</v>
      </c>
      <c r="B2020" s="14" t="s">
        <v>3782</v>
      </c>
      <c r="C2020" s="14" t="s">
        <v>3841</v>
      </c>
      <c r="D2020" s="138">
        <v>2</v>
      </c>
      <c r="E2020" s="14" t="s">
        <v>3842</v>
      </c>
      <c r="F2020" s="14" t="s">
        <v>11</v>
      </c>
    </row>
    <row r="2021" ht="18" customHeight="1" spans="1:6">
      <c r="A2021" s="5" t="s">
        <v>2919</v>
      </c>
      <c r="B2021" s="14" t="s">
        <v>3782</v>
      </c>
      <c r="C2021" s="14" t="s">
        <v>3843</v>
      </c>
      <c r="D2021" s="138">
        <v>4</v>
      </c>
      <c r="E2021" s="14" t="s">
        <v>3844</v>
      </c>
      <c r="F2021" s="14" t="s">
        <v>11</v>
      </c>
    </row>
    <row r="2022" ht="18" customHeight="1" spans="1:6">
      <c r="A2022" s="5" t="s">
        <v>2919</v>
      </c>
      <c r="B2022" s="14" t="s">
        <v>3782</v>
      </c>
      <c r="C2022" s="14" t="s">
        <v>3845</v>
      </c>
      <c r="D2022" s="138">
        <v>2</v>
      </c>
      <c r="E2022" s="14" t="s">
        <v>3846</v>
      </c>
      <c r="F2022" s="14" t="s">
        <v>11</v>
      </c>
    </row>
    <row r="2023" ht="18" customHeight="1" spans="1:6">
      <c r="A2023" s="5" t="s">
        <v>2919</v>
      </c>
      <c r="B2023" s="14" t="s">
        <v>3782</v>
      </c>
      <c r="C2023" s="14" t="s">
        <v>3847</v>
      </c>
      <c r="D2023" s="138">
        <v>1</v>
      </c>
      <c r="E2023" s="14" t="s">
        <v>3848</v>
      </c>
      <c r="F2023" s="14" t="s">
        <v>11</v>
      </c>
    </row>
    <row r="2024" ht="18" customHeight="1" spans="1:6">
      <c r="A2024" s="5" t="s">
        <v>2919</v>
      </c>
      <c r="B2024" s="14" t="s">
        <v>3849</v>
      </c>
      <c r="C2024" s="14" t="s">
        <v>3850</v>
      </c>
      <c r="D2024" s="138">
        <v>2</v>
      </c>
      <c r="E2024" s="192" t="s">
        <v>3851</v>
      </c>
      <c r="F2024" s="14" t="s">
        <v>11</v>
      </c>
    </row>
    <row r="2025" ht="18" customHeight="1" spans="1:6">
      <c r="A2025" s="5" t="s">
        <v>2919</v>
      </c>
      <c r="B2025" s="14" t="s">
        <v>3849</v>
      </c>
      <c r="C2025" s="14" t="s">
        <v>2206</v>
      </c>
      <c r="D2025" s="138">
        <v>3</v>
      </c>
      <c r="E2025" s="192" t="s">
        <v>3852</v>
      </c>
      <c r="F2025" s="14" t="s">
        <v>11</v>
      </c>
    </row>
    <row r="2026" ht="18" customHeight="1" spans="1:6">
      <c r="A2026" s="5" t="s">
        <v>2919</v>
      </c>
      <c r="B2026" s="14" t="s">
        <v>3849</v>
      </c>
      <c r="C2026" s="14" t="s">
        <v>3853</v>
      </c>
      <c r="D2026" s="138">
        <v>3</v>
      </c>
      <c r="E2026" s="192" t="s">
        <v>3854</v>
      </c>
      <c r="F2026" s="14" t="s">
        <v>11</v>
      </c>
    </row>
    <row r="2027" ht="18" customHeight="1" spans="1:6">
      <c r="A2027" s="5" t="s">
        <v>2919</v>
      </c>
      <c r="B2027" s="14" t="s">
        <v>3849</v>
      </c>
      <c r="C2027" s="14" t="s">
        <v>3855</v>
      </c>
      <c r="D2027" s="138">
        <v>3</v>
      </c>
      <c r="E2027" s="192" t="s">
        <v>3856</v>
      </c>
      <c r="F2027" s="14" t="s">
        <v>11</v>
      </c>
    </row>
    <row r="2028" ht="18" customHeight="1" spans="1:6">
      <c r="A2028" s="5" t="s">
        <v>2919</v>
      </c>
      <c r="B2028" s="14" t="s">
        <v>3849</v>
      </c>
      <c r="C2028" s="14" t="s">
        <v>3857</v>
      </c>
      <c r="D2028" s="138">
        <v>4</v>
      </c>
      <c r="E2028" s="192" t="s">
        <v>3858</v>
      </c>
      <c r="F2028" s="14" t="s">
        <v>11</v>
      </c>
    </row>
    <row r="2029" ht="18" customHeight="1" spans="1:6">
      <c r="A2029" s="5" t="s">
        <v>2919</v>
      </c>
      <c r="B2029" s="14" t="s">
        <v>3849</v>
      </c>
      <c r="C2029" s="14" t="s">
        <v>3859</v>
      </c>
      <c r="D2029" s="138">
        <v>1</v>
      </c>
      <c r="E2029" s="14" t="s">
        <v>3860</v>
      </c>
      <c r="F2029" s="14" t="s">
        <v>11</v>
      </c>
    </row>
    <row r="2030" ht="18" customHeight="1" spans="1:6">
      <c r="A2030" s="5" t="s">
        <v>2919</v>
      </c>
      <c r="B2030" s="14" t="s">
        <v>3849</v>
      </c>
      <c r="C2030" s="14" t="s">
        <v>3861</v>
      </c>
      <c r="D2030" s="138">
        <v>1</v>
      </c>
      <c r="E2030" s="14" t="s">
        <v>3862</v>
      </c>
      <c r="F2030" s="14" t="s">
        <v>11</v>
      </c>
    </row>
    <row r="2031" ht="18" customHeight="1" spans="1:6">
      <c r="A2031" s="5" t="s">
        <v>2919</v>
      </c>
      <c r="B2031" s="14" t="s">
        <v>3849</v>
      </c>
      <c r="C2031" s="14" t="s">
        <v>3863</v>
      </c>
      <c r="D2031" s="138">
        <v>1</v>
      </c>
      <c r="E2031" s="14" t="s">
        <v>3864</v>
      </c>
      <c r="F2031" s="14" t="s">
        <v>11</v>
      </c>
    </row>
    <row r="2032" ht="18" customHeight="1" spans="1:6">
      <c r="A2032" s="5" t="s">
        <v>2919</v>
      </c>
      <c r="B2032" s="14" t="s">
        <v>3849</v>
      </c>
      <c r="C2032" s="14" t="s">
        <v>3865</v>
      </c>
      <c r="D2032" s="138">
        <v>1</v>
      </c>
      <c r="E2032" s="192" t="s">
        <v>3866</v>
      </c>
      <c r="F2032" s="14" t="s">
        <v>11</v>
      </c>
    </row>
    <row r="2033" ht="18" customHeight="1" spans="1:6">
      <c r="A2033" s="5" t="s">
        <v>2919</v>
      </c>
      <c r="B2033" s="14" t="s">
        <v>3849</v>
      </c>
      <c r="C2033" s="14" t="s">
        <v>3867</v>
      </c>
      <c r="D2033" s="138">
        <v>1</v>
      </c>
      <c r="E2033" s="192" t="s">
        <v>3868</v>
      </c>
      <c r="F2033" s="14" t="s">
        <v>11</v>
      </c>
    </row>
    <row r="2034" ht="18" customHeight="1" spans="1:6">
      <c r="A2034" s="5" t="s">
        <v>2919</v>
      </c>
      <c r="B2034" s="14" t="s">
        <v>3849</v>
      </c>
      <c r="C2034" s="14" t="s">
        <v>3869</v>
      </c>
      <c r="D2034" s="138">
        <v>1</v>
      </c>
      <c r="E2034" s="192" t="s">
        <v>3870</v>
      </c>
      <c r="F2034" s="14" t="s">
        <v>11</v>
      </c>
    </row>
    <row r="2035" ht="18" customHeight="1" spans="1:6">
      <c r="A2035" s="5" t="s">
        <v>2919</v>
      </c>
      <c r="B2035" s="14" t="s">
        <v>3871</v>
      </c>
      <c r="C2035" s="14" t="s">
        <v>3872</v>
      </c>
      <c r="D2035" s="138">
        <v>7</v>
      </c>
      <c r="E2035" s="14" t="s">
        <v>3873</v>
      </c>
      <c r="F2035" s="14" t="s">
        <v>11</v>
      </c>
    </row>
    <row r="2036" ht="18" customHeight="1" spans="1:6">
      <c r="A2036" s="5" t="s">
        <v>2919</v>
      </c>
      <c r="B2036" s="14" t="s">
        <v>3871</v>
      </c>
      <c r="C2036" s="14" t="s">
        <v>3874</v>
      </c>
      <c r="D2036" s="138">
        <v>6</v>
      </c>
      <c r="E2036" s="14" t="s">
        <v>3875</v>
      </c>
      <c r="F2036" s="14" t="s">
        <v>11</v>
      </c>
    </row>
    <row r="2037" ht="18" customHeight="1" spans="1:6">
      <c r="A2037" s="5" t="s">
        <v>2919</v>
      </c>
      <c r="B2037" s="14" t="s">
        <v>3871</v>
      </c>
      <c r="C2037" s="14" t="s">
        <v>3876</v>
      </c>
      <c r="D2037" s="138">
        <v>2</v>
      </c>
      <c r="E2037" s="14" t="s">
        <v>3877</v>
      </c>
      <c r="F2037" s="14" t="s">
        <v>11</v>
      </c>
    </row>
    <row r="2038" ht="18" customHeight="1" spans="1:6">
      <c r="A2038" s="5" t="s">
        <v>2919</v>
      </c>
      <c r="B2038" s="14" t="s">
        <v>3871</v>
      </c>
      <c r="C2038" s="14" t="s">
        <v>3878</v>
      </c>
      <c r="D2038" s="138">
        <v>3</v>
      </c>
      <c r="E2038" s="14" t="s">
        <v>3879</v>
      </c>
      <c r="F2038" s="14" t="s">
        <v>11</v>
      </c>
    </row>
    <row r="2039" ht="18" customHeight="1" spans="1:6">
      <c r="A2039" s="5" t="s">
        <v>2919</v>
      </c>
      <c r="B2039" s="14" t="s">
        <v>3871</v>
      </c>
      <c r="C2039" s="14" t="s">
        <v>3880</v>
      </c>
      <c r="D2039" s="138">
        <v>3</v>
      </c>
      <c r="E2039" s="14" t="s">
        <v>3881</v>
      </c>
      <c r="F2039" s="14" t="s">
        <v>11</v>
      </c>
    </row>
    <row r="2040" ht="18" customHeight="1" spans="1:6">
      <c r="A2040" s="5" t="s">
        <v>2919</v>
      </c>
      <c r="B2040" s="14" t="s">
        <v>3871</v>
      </c>
      <c r="C2040" s="14" t="s">
        <v>3882</v>
      </c>
      <c r="D2040" s="138">
        <v>5</v>
      </c>
      <c r="E2040" s="14" t="s">
        <v>3883</v>
      </c>
      <c r="F2040" s="14" t="s">
        <v>11</v>
      </c>
    </row>
    <row r="2041" ht="18" customHeight="1" spans="1:6">
      <c r="A2041" s="5" t="s">
        <v>2919</v>
      </c>
      <c r="B2041" s="14" t="s">
        <v>3871</v>
      </c>
      <c r="C2041" s="14" t="s">
        <v>3884</v>
      </c>
      <c r="D2041" s="138">
        <v>4</v>
      </c>
      <c r="E2041" s="14" t="s">
        <v>3885</v>
      </c>
      <c r="F2041" s="14" t="s">
        <v>11</v>
      </c>
    </row>
    <row r="2042" ht="18" customHeight="1" spans="1:6">
      <c r="A2042" s="5" t="s">
        <v>2919</v>
      </c>
      <c r="B2042" s="14" t="s">
        <v>3871</v>
      </c>
      <c r="C2042" s="14" t="s">
        <v>3886</v>
      </c>
      <c r="D2042" s="138">
        <v>4</v>
      </c>
      <c r="E2042" s="14" t="s">
        <v>3887</v>
      </c>
      <c r="F2042" s="14" t="s">
        <v>11</v>
      </c>
    </row>
    <row r="2043" ht="18" customHeight="1" spans="1:6">
      <c r="A2043" s="5" t="s">
        <v>2919</v>
      </c>
      <c r="B2043" s="14" t="s">
        <v>3871</v>
      </c>
      <c r="C2043" s="14" t="s">
        <v>3888</v>
      </c>
      <c r="D2043" s="138">
        <v>4</v>
      </c>
      <c r="E2043" s="14" t="s">
        <v>3889</v>
      </c>
      <c r="F2043" s="14" t="s">
        <v>11</v>
      </c>
    </row>
    <row r="2044" ht="18" customHeight="1" spans="1:6">
      <c r="A2044" s="5" t="s">
        <v>2919</v>
      </c>
      <c r="B2044" s="14" t="s">
        <v>3871</v>
      </c>
      <c r="C2044" s="14" t="s">
        <v>3890</v>
      </c>
      <c r="D2044" s="138">
        <v>3</v>
      </c>
      <c r="E2044" s="14" t="s">
        <v>3891</v>
      </c>
      <c r="F2044" s="14" t="s">
        <v>11</v>
      </c>
    </row>
    <row r="2045" ht="18" customHeight="1" spans="1:6">
      <c r="A2045" s="5" t="s">
        <v>2919</v>
      </c>
      <c r="B2045" s="14" t="s">
        <v>3871</v>
      </c>
      <c r="C2045" s="14" t="s">
        <v>3892</v>
      </c>
      <c r="D2045" s="138">
        <v>4</v>
      </c>
      <c r="E2045" s="14" t="s">
        <v>3893</v>
      </c>
      <c r="F2045" s="14" t="s">
        <v>11</v>
      </c>
    </row>
    <row r="2046" ht="18" customHeight="1" spans="1:6">
      <c r="A2046" s="5" t="s">
        <v>2919</v>
      </c>
      <c r="B2046" s="14" t="s">
        <v>3871</v>
      </c>
      <c r="C2046" s="14" t="s">
        <v>3894</v>
      </c>
      <c r="D2046" s="138">
        <v>5</v>
      </c>
      <c r="E2046" s="14" t="s">
        <v>3895</v>
      </c>
      <c r="F2046" s="14" t="s">
        <v>11</v>
      </c>
    </row>
    <row r="2047" ht="18" customHeight="1" spans="1:6">
      <c r="A2047" s="5" t="s">
        <v>2919</v>
      </c>
      <c r="B2047" s="14" t="s">
        <v>3871</v>
      </c>
      <c r="C2047" s="14" t="s">
        <v>3896</v>
      </c>
      <c r="D2047" s="138">
        <v>4</v>
      </c>
      <c r="E2047" s="14" t="s">
        <v>3897</v>
      </c>
      <c r="F2047" s="14" t="s">
        <v>11</v>
      </c>
    </row>
    <row r="2048" ht="18" customHeight="1" spans="1:6">
      <c r="A2048" s="5" t="s">
        <v>2919</v>
      </c>
      <c r="B2048" s="14" t="s">
        <v>3871</v>
      </c>
      <c r="C2048" s="14" t="s">
        <v>3898</v>
      </c>
      <c r="D2048" s="138">
        <v>3</v>
      </c>
      <c r="E2048" s="192" t="s">
        <v>3899</v>
      </c>
      <c r="F2048" s="14" t="s">
        <v>11</v>
      </c>
    </row>
    <row r="2049" ht="18" customHeight="1" spans="1:6">
      <c r="A2049" s="5" t="s">
        <v>2919</v>
      </c>
      <c r="B2049" s="14" t="s">
        <v>3871</v>
      </c>
      <c r="C2049" s="14" t="s">
        <v>3900</v>
      </c>
      <c r="D2049" s="138">
        <v>4</v>
      </c>
      <c r="E2049" s="192" t="s">
        <v>3901</v>
      </c>
      <c r="F2049" s="14" t="s">
        <v>11</v>
      </c>
    </row>
    <row r="2050" ht="18" customHeight="1" spans="1:6">
      <c r="A2050" s="5" t="s">
        <v>2919</v>
      </c>
      <c r="B2050" s="14" t="s">
        <v>3871</v>
      </c>
      <c r="C2050" s="14" t="s">
        <v>3902</v>
      </c>
      <c r="D2050" s="138">
        <v>3</v>
      </c>
      <c r="E2050" s="14" t="s">
        <v>3903</v>
      </c>
      <c r="F2050" s="14" t="s">
        <v>11</v>
      </c>
    </row>
    <row r="2051" ht="18" customHeight="1" spans="1:6">
      <c r="A2051" s="5" t="s">
        <v>2919</v>
      </c>
      <c r="B2051" s="14" t="s">
        <v>3871</v>
      </c>
      <c r="C2051" s="14" t="s">
        <v>3904</v>
      </c>
      <c r="D2051" s="138">
        <v>6</v>
      </c>
      <c r="E2051" s="14" t="s">
        <v>3905</v>
      </c>
      <c r="F2051" s="14" t="s">
        <v>11</v>
      </c>
    </row>
    <row r="2052" ht="18" customHeight="1" spans="1:6">
      <c r="A2052" s="5" t="s">
        <v>2919</v>
      </c>
      <c r="B2052" s="14" t="s">
        <v>3871</v>
      </c>
      <c r="C2052" s="14" t="s">
        <v>3906</v>
      </c>
      <c r="D2052" s="138">
        <v>3</v>
      </c>
      <c r="E2052" s="14" t="s">
        <v>3907</v>
      </c>
      <c r="F2052" s="14" t="s">
        <v>11</v>
      </c>
    </row>
    <row r="2053" ht="18" customHeight="1" spans="1:6">
      <c r="A2053" s="5" t="s">
        <v>2919</v>
      </c>
      <c r="B2053" s="14" t="s">
        <v>3871</v>
      </c>
      <c r="C2053" s="14" t="s">
        <v>2549</v>
      </c>
      <c r="D2053" s="138">
        <v>5</v>
      </c>
      <c r="E2053" s="14" t="s">
        <v>3908</v>
      </c>
      <c r="F2053" s="14" t="s">
        <v>11</v>
      </c>
    </row>
    <row r="2054" ht="18" customHeight="1" spans="1:6">
      <c r="A2054" s="5" t="s">
        <v>2919</v>
      </c>
      <c r="B2054" s="14" t="s">
        <v>3871</v>
      </c>
      <c r="C2054" s="14" t="s">
        <v>3909</v>
      </c>
      <c r="D2054" s="138">
        <v>3</v>
      </c>
      <c r="E2054" s="14" t="s">
        <v>3910</v>
      </c>
      <c r="F2054" s="14" t="s">
        <v>11</v>
      </c>
    </row>
    <row r="2055" ht="18" customHeight="1" spans="1:6">
      <c r="A2055" s="5" t="s">
        <v>2919</v>
      </c>
      <c r="B2055" s="14" t="s">
        <v>3871</v>
      </c>
      <c r="C2055" s="14" t="s">
        <v>3911</v>
      </c>
      <c r="D2055" s="138">
        <v>4</v>
      </c>
      <c r="E2055" s="14" t="s">
        <v>3912</v>
      </c>
      <c r="F2055" s="14" t="s">
        <v>11</v>
      </c>
    </row>
    <row r="2056" ht="18" customHeight="1" spans="1:6">
      <c r="A2056" s="5" t="s">
        <v>2919</v>
      </c>
      <c r="B2056" s="14" t="s">
        <v>3871</v>
      </c>
      <c r="C2056" s="14" t="s">
        <v>3913</v>
      </c>
      <c r="D2056" s="138">
        <v>4</v>
      </c>
      <c r="E2056" s="14" t="s">
        <v>3914</v>
      </c>
      <c r="F2056" s="14" t="s">
        <v>11</v>
      </c>
    </row>
    <row r="2057" ht="18" customHeight="1" spans="1:6">
      <c r="A2057" s="5" t="s">
        <v>2919</v>
      </c>
      <c r="B2057" s="14" t="s">
        <v>3871</v>
      </c>
      <c r="C2057" s="14" t="s">
        <v>3915</v>
      </c>
      <c r="D2057" s="138">
        <v>4</v>
      </c>
      <c r="E2057" s="14" t="s">
        <v>3916</v>
      </c>
      <c r="F2057" s="14" t="s">
        <v>11</v>
      </c>
    </row>
    <row r="2058" ht="18" customHeight="1" spans="1:6">
      <c r="A2058" s="5" t="s">
        <v>2919</v>
      </c>
      <c r="B2058" s="14" t="s">
        <v>3871</v>
      </c>
      <c r="C2058" s="14" t="s">
        <v>3917</v>
      </c>
      <c r="D2058" s="138">
        <v>4</v>
      </c>
      <c r="E2058" s="14" t="s">
        <v>3918</v>
      </c>
      <c r="F2058" s="14" t="s">
        <v>11</v>
      </c>
    </row>
    <row r="2059" ht="18" customHeight="1" spans="1:6">
      <c r="A2059" s="5" t="s">
        <v>2919</v>
      </c>
      <c r="B2059" s="14" t="s">
        <v>3871</v>
      </c>
      <c r="C2059" s="14" t="s">
        <v>3919</v>
      </c>
      <c r="D2059" s="138">
        <v>4</v>
      </c>
      <c r="E2059" s="14" t="s">
        <v>3920</v>
      </c>
      <c r="F2059" s="14" t="s">
        <v>11</v>
      </c>
    </row>
    <row r="2060" ht="18" customHeight="1" spans="1:6">
      <c r="A2060" s="5" t="s">
        <v>2919</v>
      </c>
      <c r="B2060" s="14" t="s">
        <v>3871</v>
      </c>
      <c r="C2060" s="14" t="s">
        <v>3921</v>
      </c>
      <c r="D2060" s="138">
        <v>5</v>
      </c>
      <c r="E2060" s="14" t="s">
        <v>3922</v>
      </c>
      <c r="F2060" s="14" t="s">
        <v>11</v>
      </c>
    </row>
    <row r="2061" ht="18" customHeight="1" spans="1:6">
      <c r="A2061" s="5" t="s">
        <v>2919</v>
      </c>
      <c r="B2061" s="14" t="s">
        <v>3871</v>
      </c>
      <c r="C2061" s="14" t="s">
        <v>3923</v>
      </c>
      <c r="D2061" s="138">
        <v>6</v>
      </c>
      <c r="E2061" s="14" t="s">
        <v>3924</v>
      </c>
      <c r="F2061" s="14" t="s">
        <v>11</v>
      </c>
    </row>
    <row r="2062" ht="18" customHeight="1" spans="1:6">
      <c r="A2062" s="5" t="s">
        <v>2919</v>
      </c>
      <c r="B2062" s="14" t="s">
        <v>3871</v>
      </c>
      <c r="C2062" s="14" t="s">
        <v>3925</v>
      </c>
      <c r="D2062" s="138">
        <v>3</v>
      </c>
      <c r="E2062" s="14" t="s">
        <v>3926</v>
      </c>
      <c r="F2062" s="14" t="s">
        <v>11</v>
      </c>
    </row>
    <row r="2063" ht="18" customHeight="1" spans="1:6">
      <c r="A2063" s="5" t="s">
        <v>2919</v>
      </c>
      <c r="B2063" s="14" t="s">
        <v>3871</v>
      </c>
      <c r="C2063" s="14" t="s">
        <v>3927</v>
      </c>
      <c r="D2063" s="138">
        <v>3</v>
      </c>
      <c r="E2063" s="14" t="s">
        <v>3928</v>
      </c>
      <c r="F2063" s="14" t="s">
        <v>11</v>
      </c>
    </row>
    <row r="2064" ht="18" customHeight="1" spans="1:6">
      <c r="A2064" s="5" t="s">
        <v>2919</v>
      </c>
      <c r="B2064" s="14" t="s">
        <v>3871</v>
      </c>
      <c r="C2064" s="14" t="s">
        <v>3929</v>
      </c>
      <c r="D2064" s="138">
        <v>4</v>
      </c>
      <c r="E2064" s="14" t="s">
        <v>3930</v>
      </c>
      <c r="F2064" s="14" t="s">
        <v>11</v>
      </c>
    </row>
    <row r="2065" ht="18" customHeight="1" spans="1:6">
      <c r="A2065" s="5" t="s">
        <v>2919</v>
      </c>
      <c r="B2065" s="14" t="s">
        <v>3871</v>
      </c>
      <c r="C2065" s="14" t="s">
        <v>3931</v>
      </c>
      <c r="D2065" s="138">
        <v>4</v>
      </c>
      <c r="E2065" s="14" t="s">
        <v>3932</v>
      </c>
      <c r="F2065" s="14" t="s">
        <v>11</v>
      </c>
    </row>
    <row r="2066" ht="18" customHeight="1" spans="1:6">
      <c r="A2066" s="5" t="s">
        <v>2919</v>
      </c>
      <c r="B2066" s="14" t="s">
        <v>3871</v>
      </c>
      <c r="C2066" s="14" t="s">
        <v>3933</v>
      </c>
      <c r="D2066" s="138">
        <v>1</v>
      </c>
      <c r="E2066" s="14" t="s">
        <v>3934</v>
      </c>
      <c r="F2066" s="14" t="s">
        <v>11</v>
      </c>
    </row>
    <row r="2067" ht="18" customHeight="1" spans="1:6">
      <c r="A2067" s="5" t="s">
        <v>2919</v>
      </c>
      <c r="B2067" s="14" t="s">
        <v>3871</v>
      </c>
      <c r="C2067" s="14" t="s">
        <v>3935</v>
      </c>
      <c r="D2067" s="138">
        <v>5</v>
      </c>
      <c r="E2067" s="14" t="s">
        <v>3936</v>
      </c>
      <c r="F2067" s="14" t="s">
        <v>11</v>
      </c>
    </row>
    <row r="2068" ht="18" customHeight="1" spans="1:6">
      <c r="A2068" s="5" t="s">
        <v>2919</v>
      </c>
      <c r="B2068" s="14" t="s">
        <v>3871</v>
      </c>
      <c r="C2068" s="14" t="s">
        <v>3937</v>
      </c>
      <c r="D2068" s="138">
        <v>4</v>
      </c>
      <c r="E2068" s="14" t="s">
        <v>3938</v>
      </c>
      <c r="F2068" s="14" t="s">
        <v>11</v>
      </c>
    </row>
    <row r="2069" ht="18" customHeight="1" spans="1:6">
      <c r="A2069" s="5" t="s">
        <v>2919</v>
      </c>
      <c r="B2069" s="14" t="s">
        <v>3871</v>
      </c>
      <c r="C2069" s="14" t="s">
        <v>3939</v>
      </c>
      <c r="D2069" s="138">
        <v>4</v>
      </c>
      <c r="E2069" s="14" t="s">
        <v>3940</v>
      </c>
      <c r="F2069" s="14" t="s">
        <v>11</v>
      </c>
    </row>
    <row r="2070" ht="18" customHeight="1" spans="1:6">
      <c r="A2070" s="5" t="s">
        <v>2919</v>
      </c>
      <c r="B2070" s="14" t="s">
        <v>3871</v>
      </c>
      <c r="C2070" s="14" t="s">
        <v>3941</v>
      </c>
      <c r="D2070" s="138">
        <v>4</v>
      </c>
      <c r="E2070" s="14" t="s">
        <v>3942</v>
      </c>
      <c r="F2070" s="14" t="s">
        <v>11</v>
      </c>
    </row>
    <row r="2071" ht="18" customHeight="1" spans="1:6">
      <c r="A2071" s="5" t="s">
        <v>2919</v>
      </c>
      <c r="B2071" s="14" t="s">
        <v>3871</v>
      </c>
      <c r="C2071" s="14" t="s">
        <v>3943</v>
      </c>
      <c r="D2071" s="138">
        <v>3</v>
      </c>
      <c r="E2071" s="14" t="s">
        <v>3944</v>
      </c>
      <c r="F2071" s="14" t="s">
        <v>11</v>
      </c>
    </row>
    <row r="2072" ht="18" customHeight="1" spans="1:6">
      <c r="A2072" s="5" t="s">
        <v>2919</v>
      </c>
      <c r="B2072" s="14" t="s">
        <v>3871</v>
      </c>
      <c r="C2072" s="14" t="s">
        <v>3945</v>
      </c>
      <c r="D2072" s="138">
        <v>5</v>
      </c>
      <c r="E2072" s="14" t="s">
        <v>3946</v>
      </c>
      <c r="F2072" s="14" t="s">
        <v>11</v>
      </c>
    </row>
    <row r="2073" ht="18" customHeight="1" spans="1:6">
      <c r="A2073" s="5" t="s">
        <v>2919</v>
      </c>
      <c r="B2073" s="14" t="s">
        <v>3871</v>
      </c>
      <c r="C2073" s="14" t="s">
        <v>3947</v>
      </c>
      <c r="D2073" s="138">
        <v>5</v>
      </c>
      <c r="E2073" s="14" t="s">
        <v>3948</v>
      </c>
      <c r="F2073" s="14" t="s">
        <v>11</v>
      </c>
    </row>
    <row r="2074" ht="18" customHeight="1" spans="1:6">
      <c r="A2074" s="5" t="s">
        <v>2919</v>
      </c>
      <c r="B2074" s="14" t="s">
        <v>3871</v>
      </c>
      <c r="C2074" s="14" t="s">
        <v>3949</v>
      </c>
      <c r="D2074" s="138">
        <v>6</v>
      </c>
      <c r="E2074" s="14" t="s">
        <v>3950</v>
      </c>
      <c r="F2074" s="14" t="s">
        <v>11</v>
      </c>
    </row>
    <row r="2075" ht="18" customHeight="1" spans="1:6">
      <c r="A2075" s="5" t="s">
        <v>2919</v>
      </c>
      <c r="B2075" s="14" t="s">
        <v>3871</v>
      </c>
      <c r="C2075" s="14" t="s">
        <v>3951</v>
      </c>
      <c r="D2075" s="138">
        <v>4</v>
      </c>
      <c r="E2075" s="14" t="s">
        <v>3952</v>
      </c>
      <c r="F2075" s="14" t="s">
        <v>11</v>
      </c>
    </row>
    <row r="2076" ht="18" customHeight="1" spans="1:6">
      <c r="A2076" s="5" t="s">
        <v>2919</v>
      </c>
      <c r="B2076" s="14" t="s">
        <v>3871</v>
      </c>
      <c r="C2076" s="14" t="s">
        <v>3953</v>
      </c>
      <c r="D2076" s="138">
        <v>5</v>
      </c>
      <c r="E2076" s="14" t="s">
        <v>3954</v>
      </c>
      <c r="F2076" s="14" t="s">
        <v>11</v>
      </c>
    </row>
    <row r="2077" ht="18" customHeight="1" spans="1:6">
      <c r="A2077" s="5" t="s">
        <v>2919</v>
      </c>
      <c r="B2077" s="14" t="s">
        <v>3871</v>
      </c>
      <c r="C2077" s="14" t="s">
        <v>3955</v>
      </c>
      <c r="D2077" s="138">
        <v>1</v>
      </c>
      <c r="E2077" s="14" t="s">
        <v>3956</v>
      </c>
      <c r="F2077" s="14" t="s">
        <v>11</v>
      </c>
    </row>
    <row r="2078" ht="18" customHeight="1" spans="1:6">
      <c r="A2078" s="5" t="s">
        <v>2919</v>
      </c>
      <c r="B2078" s="14" t="s">
        <v>3871</v>
      </c>
      <c r="C2078" s="14" t="s">
        <v>3957</v>
      </c>
      <c r="D2078" s="138">
        <v>1</v>
      </c>
      <c r="E2078" s="14" t="s">
        <v>3958</v>
      </c>
      <c r="F2078" s="14" t="s">
        <v>11</v>
      </c>
    </row>
    <row r="2079" ht="18" customHeight="1" spans="1:6">
      <c r="A2079" s="5" t="s">
        <v>2919</v>
      </c>
      <c r="B2079" s="14" t="s">
        <v>3871</v>
      </c>
      <c r="C2079" s="14" t="s">
        <v>3959</v>
      </c>
      <c r="D2079" s="138">
        <v>1</v>
      </c>
      <c r="E2079" s="14" t="s">
        <v>3960</v>
      </c>
      <c r="F2079" s="14" t="s">
        <v>11</v>
      </c>
    </row>
    <row r="2080" ht="18" customHeight="1" spans="1:6">
      <c r="A2080" s="5" t="s">
        <v>2919</v>
      </c>
      <c r="B2080" s="14" t="s">
        <v>3871</v>
      </c>
      <c r="C2080" s="14" t="s">
        <v>3961</v>
      </c>
      <c r="D2080" s="138">
        <v>1</v>
      </c>
      <c r="E2080" s="14" t="s">
        <v>3962</v>
      </c>
      <c r="F2080" s="14" t="s">
        <v>11</v>
      </c>
    </row>
    <row r="2081" ht="18" customHeight="1" spans="1:6">
      <c r="A2081" s="5" t="s">
        <v>2919</v>
      </c>
      <c r="B2081" s="14" t="s">
        <v>3871</v>
      </c>
      <c r="C2081" s="14" t="s">
        <v>3963</v>
      </c>
      <c r="D2081" s="138">
        <v>1</v>
      </c>
      <c r="E2081" s="14" t="s">
        <v>3964</v>
      </c>
      <c r="F2081" s="14" t="s">
        <v>11</v>
      </c>
    </row>
    <row r="2082" ht="18" customHeight="1" spans="1:6">
      <c r="A2082" s="5" t="s">
        <v>2919</v>
      </c>
      <c r="B2082" s="14" t="s">
        <v>3871</v>
      </c>
      <c r="C2082" s="14" t="s">
        <v>3965</v>
      </c>
      <c r="D2082" s="138">
        <v>1</v>
      </c>
      <c r="E2082" s="14" t="s">
        <v>3966</v>
      </c>
      <c r="F2082" s="14" t="s">
        <v>11</v>
      </c>
    </row>
    <row r="2083" ht="18" customHeight="1" spans="1:6">
      <c r="A2083" s="5" t="s">
        <v>2919</v>
      </c>
      <c r="B2083" s="14" t="s">
        <v>3871</v>
      </c>
      <c r="C2083" s="14" t="s">
        <v>3967</v>
      </c>
      <c r="D2083" s="138">
        <v>1</v>
      </c>
      <c r="E2083" s="14" t="s">
        <v>3968</v>
      </c>
      <c r="F2083" s="14" t="s">
        <v>11</v>
      </c>
    </row>
    <row r="2084" ht="18" customHeight="1" spans="1:6">
      <c r="A2084" s="5" t="s">
        <v>2919</v>
      </c>
      <c r="B2084" s="14" t="s">
        <v>3871</v>
      </c>
      <c r="C2084" s="14" t="s">
        <v>3969</v>
      </c>
      <c r="D2084" s="138">
        <v>1</v>
      </c>
      <c r="E2084" s="192" t="s">
        <v>3970</v>
      </c>
      <c r="F2084" s="14" t="s">
        <v>11</v>
      </c>
    </row>
    <row r="2085" ht="18" customHeight="1" spans="1:6">
      <c r="A2085" s="5" t="s">
        <v>2919</v>
      </c>
      <c r="B2085" s="14" t="s">
        <v>3871</v>
      </c>
      <c r="C2085" s="14" t="s">
        <v>3971</v>
      </c>
      <c r="D2085" s="138">
        <v>1</v>
      </c>
      <c r="E2085" s="14" t="s">
        <v>3972</v>
      </c>
      <c r="F2085" s="14" t="s">
        <v>11</v>
      </c>
    </row>
    <row r="2086" ht="18" customHeight="1" spans="1:6">
      <c r="A2086" s="5" t="s">
        <v>2919</v>
      </c>
      <c r="B2086" s="14" t="s">
        <v>3871</v>
      </c>
      <c r="C2086" s="14" t="s">
        <v>3973</v>
      </c>
      <c r="D2086" s="138">
        <v>1</v>
      </c>
      <c r="E2086" s="14" t="s">
        <v>3974</v>
      </c>
      <c r="F2086" s="14" t="s">
        <v>11</v>
      </c>
    </row>
    <row r="2087" ht="18" customHeight="1" spans="1:6">
      <c r="A2087" s="5" t="s">
        <v>2919</v>
      </c>
      <c r="B2087" s="14" t="s">
        <v>3871</v>
      </c>
      <c r="C2087" s="14" t="s">
        <v>3975</v>
      </c>
      <c r="D2087" s="138">
        <v>1</v>
      </c>
      <c r="E2087" s="14" t="s">
        <v>3976</v>
      </c>
      <c r="F2087" s="14" t="s">
        <v>11</v>
      </c>
    </row>
    <row r="2088" ht="18" customHeight="1" spans="1:6">
      <c r="A2088" s="5" t="s">
        <v>2919</v>
      </c>
      <c r="B2088" s="14" t="s">
        <v>3871</v>
      </c>
      <c r="C2088" s="14" t="s">
        <v>3977</v>
      </c>
      <c r="D2088" s="138">
        <v>1</v>
      </c>
      <c r="E2088" s="14" t="s">
        <v>3978</v>
      </c>
      <c r="F2088" s="14" t="s">
        <v>11</v>
      </c>
    </row>
    <row r="2089" ht="18" customHeight="1" spans="1:6">
      <c r="A2089" s="5" t="s">
        <v>2919</v>
      </c>
      <c r="B2089" s="14" t="s">
        <v>3871</v>
      </c>
      <c r="C2089" s="14" t="s">
        <v>3979</v>
      </c>
      <c r="D2089" s="138">
        <v>1</v>
      </c>
      <c r="E2089" s="14" t="s">
        <v>3980</v>
      </c>
      <c r="F2089" s="14" t="s">
        <v>11</v>
      </c>
    </row>
    <row r="2090" ht="18" customHeight="1" spans="1:6">
      <c r="A2090" s="5" t="s">
        <v>2919</v>
      </c>
      <c r="B2090" s="14" t="s">
        <v>3871</v>
      </c>
      <c r="C2090" s="14" t="s">
        <v>3981</v>
      </c>
      <c r="D2090" s="138">
        <v>1</v>
      </c>
      <c r="E2090" s="14" t="s">
        <v>3982</v>
      </c>
      <c r="F2090" s="14" t="s">
        <v>11</v>
      </c>
    </row>
    <row r="2091" ht="18" customHeight="1" spans="1:6">
      <c r="A2091" s="5" t="s">
        <v>2919</v>
      </c>
      <c r="B2091" s="14" t="s">
        <v>3871</v>
      </c>
      <c r="C2091" s="14" t="s">
        <v>3983</v>
      </c>
      <c r="D2091" s="138">
        <v>1</v>
      </c>
      <c r="E2091" s="14" t="s">
        <v>3984</v>
      </c>
      <c r="F2091" s="14" t="s">
        <v>11</v>
      </c>
    </row>
    <row r="2092" ht="18" customHeight="1" spans="1:6">
      <c r="A2092" s="5" t="s">
        <v>2919</v>
      </c>
      <c r="B2092" s="14" t="s">
        <v>3871</v>
      </c>
      <c r="C2092" s="14" t="s">
        <v>3985</v>
      </c>
      <c r="D2092" s="138">
        <v>1</v>
      </c>
      <c r="E2092" s="14" t="s">
        <v>3986</v>
      </c>
      <c r="F2092" s="14" t="s">
        <v>11</v>
      </c>
    </row>
    <row r="2093" ht="18" customHeight="1" spans="1:6">
      <c r="A2093" s="5" t="s">
        <v>2919</v>
      </c>
      <c r="B2093" s="14" t="s">
        <v>3871</v>
      </c>
      <c r="C2093" s="14" t="s">
        <v>3987</v>
      </c>
      <c r="D2093" s="138">
        <v>1</v>
      </c>
      <c r="E2093" s="14" t="s">
        <v>3988</v>
      </c>
      <c r="F2093" s="14" t="s">
        <v>11</v>
      </c>
    </row>
    <row r="2094" ht="18" customHeight="1" spans="1:6">
      <c r="A2094" s="5" t="s">
        <v>2919</v>
      </c>
      <c r="B2094" s="14" t="s">
        <v>3871</v>
      </c>
      <c r="C2094" s="14" t="s">
        <v>3989</v>
      </c>
      <c r="D2094" s="138">
        <v>1</v>
      </c>
      <c r="E2094" s="192" t="s">
        <v>3990</v>
      </c>
      <c r="F2094" s="14" t="s">
        <v>11</v>
      </c>
    </row>
    <row r="2095" ht="18" customHeight="1" spans="1:6">
      <c r="A2095" s="5" t="s">
        <v>2919</v>
      </c>
      <c r="B2095" s="14" t="s">
        <v>3871</v>
      </c>
      <c r="C2095" s="14" t="s">
        <v>1988</v>
      </c>
      <c r="D2095" s="138">
        <v>1</v>
      </c>
      <c r="E2095" s="192" t="s">
        <v>3991</v>
      </c>
      <c r="F2095" s="14" t="s">
        <v>11</v>
      </c>
    </row>
    <row r="2096" ht="18" customHeight="1" spans="1:6">
      <c r="A2096" s="5" t="s">
        <v>2919</v>
      </c>
      <c r="B2096" s="14" t="s">
        <v>3992</v>
      </c>
      <c r="C2096" s="14" t="s">
        <v>3993</v>
      </c>
      <c r="D2096" s="138">
        <v>3</v>
      </c>
      <c r="E2096" s="192" t="s">
        <v>3994</v>
      </c>
      <c r="F2096" s="14" t="s">
        <v>11</v>
      </c>
    </row>
    <row r="2097" ht="18" customHeight="1" spans="1:6">
      <c r="A2097" s="5" t="s">
        <v>2919</v>
      </c>
      <c r="B2097" s="14" t="s">
        <v>3992</v>
      </c>
      <c r="C2097" s="14" t="s">
        <v>3995</v>
      </c>
      <c r="D2097" s="138">
        <v>5</v>
      </c>
      <c r="E2097" s="192" t="s">
        <v>3996</v>
      </c>
      <c r="F2097" s="14" t="s">
        <v>11</v>
      </c>
    </row>
    <row r="2098" ht="18" customHeight="1" spans="1:6">
      <c r="A2098" s="5" t="s">
        <v>2919</v>
      </c>
      <c r="B2098" s="14" t="s">
        <v>3992</v>
      </c>
      <c r="C2098" s="14" t="s">
        <v>3997</v>
      </c>
      <c r="D2098" s="138">
        <v>3</v>
      </c>
      <c r="E2098" s="192" t="s">
        <v>3998</v>
      </c>
      <c r="F2098" s="14" t="s">
        <v>11</v>
      </c>
    </row>
    <row r="2099" ht="18" customHeight="1" spans="1:6">
      <c r="A2099" s="5" t="s">
        <v>2919</v>
      </c>
      <c r="B2099" s="14" t="s">
        <v>3992</v>
      </c>
      <c r="C2099" s="14" t="s">
        <v>3999</v>
      </c>
      <c r="D2099" s="138">
        <v>2</v>
      </c>
      <c r="E2099" s="192" t="s">
        <v>4000</v>
      </c>
      <c r="F2099" s="14" t="s">
        <v>11</v>
      </c>
    </row>
    <row r="2100" ht="18" customHeight="1" spans="1:6">
      <c r="A2100" s="5" t="s">
        <v>2919</v>
      </c>
      <c r="B2100" s="14" t="s">
        <v>3992</v>
      </c>
      <c r="C2100" s="14" t="s">
        <v>4001</v>
      </c>
      <c r="D2100" s="138">
        <v>1</v>
      </c>
      <c r="E2100" s="192" t="s">
        <v>4002</v>
      </c>
      <c r="F2100" s="14" t="s">
        <v>11</v>
      </c>
    </row>
    <row r="2101" ht="18" customHeight="1" spans="1:6">
      <c r="A2101" s="5" t="s">
        <v>2919</v>
      </c>
      <c r="B2101" s="14" t="s">
        <v>3992</v>
      </c>
      <c r="C2101" s="14" t="s">
        <v>4003</v>
      </c>
      <c r="D2101" s="138">
        <v>1</v>
      </c>
      <c r="E2101" s="192" t="s">
        <v>4004</v>
      </c>
      <c r="F2101" s="14" t="s">
        <v>11</v>
      </c>
    </row>
    <row r="2102" ht="18" customHeight="1" spans="1:6">
      <c r="A2102" s="5" t="s">
        <v>2919</v>
      </c>
      <c r="B2102" s="14" t="s">
        <v>3992</v>
      </c>
      <c r="C2102" s="14" t="s">
        <v>4005</v>
      </c>
      <c r="D2102" s="138">
        <v>3</v>
      </c>
      <c r="E2102" s="14" t="s">
        <v>4006</v>
      </c>
      <c r="F2102" s="14" t="s">
        <v>11</v>
      </c>
    </row>
    <row r="2103" ht="18" customHeight="1" spans="1:6">
      <c r="A2103" s="5" t="s">
        <v>2919</v>
      </c>
      <c r="B2103" s="14" t="s">
        <v>3992</v>
      </c>
      <c r="C2103" s="14" t="s">
        <v>4007</v>
      </c>
      <c r="D2103" s="138">
        <v>2</v>
      </c>
      <c r="E2103" s="192" t="s">
        <v>4008</v>
      </c>
      <c r="F2103" s="14" t="s">
        <v>11</v>
      </c>
    </row>
    <row r="2104" ht="18" customHeight="1" spans="1:6">
      <c r="A2104" s="5" t="s">
        <v>2919</v>
      </c>
      <c r="B2104" s="14" t="s">
        <v>3992</v>
      </c>
      <c r="C2104" s="14" t="s">
        <v>4009</v>
      </c>
      <c r="D2104" s="138">
        <v>3</v>
      </c>
      <c r="E2104" s="192" t="s">
        <v>4010</v>
      </c>
      <c r="F2104" s="14" t="s">
        <v>11</v>
      </c>
    </row>
    <row r="2105" ht="18" customHeight="1" spans="1:6">
      <c r="A2105" s="5" t="s">
        <v>2919</v>
      </c>
      <c r="B2105" s="14" t="s">
        <v>3992</v>
      </c>
      <c r="C2105" s="14" t="s">
        <v>4011</v>
      </c>
      <c r="D2105" s="138">
        <v>2</v>
      </c>
      <c r="E2105" s="192" t="s">
        <v>4012</v>
      </c>
      <c r="F2105" s="14" t="s">
        <v>11</v>
      </c>
    </row>
    <row r="2106" ht="18" customHeight="1" spans="1:6">
      <c r="A2106" s="5" t="s">
        <v>2919</v>
      </c>
      <c r="B2106" s="14" t="s">
        <v>3992</v>
      </c>
      <c r="C2106" s="14" t="s">
        <v>4013</v>
      </c>
      <c r="D2106" s="138">
        <v>3</v>
      </c>
      <c r="E2106" s="192" t="s">
        <v>4014</v>
      </c>
      <c r="F2106" s="14" t="s">
        <v>11</v>
      </c>
    </row>
    <row r="2107" ht="18" customHeight="1" spans="1:6">
      <c r="A2107" s="5" t="s">
        <v>2919</v>
      </c>
      <c r="B2107" s="14" t="s">
        <v>3992</v>
      </c>
      <c r="C2107" s="14" t="s">
        <v>4015</v>
      </c>
      <c r="D2107" s="138">
        <v>1</v>
      </c>
      <c r="E2107" s="192" t="s">
        <v>4016</v>
      </c>
      <c r="F2107" s="14" t="s">
        <v>11</v>
      </c>
    </row>
    <row r="2108" ht="18" customHeight="1" spans="1:6">
      <c r="A2108" s="5" t="s">
        <v>2919</v>
      </c>
      <c r="B2108" s="14" t="s">
        <v>3992</v>
      </c>
      <c r="C2108" s="14" t="s">
        <v>4017</v>
      </c>
      <c r="D2108" s="138">
        <v>1</v>
      </c>
      <c r="E2108" s="192" t="s">
        <v>4018</v>
      </c>
      <c r="F2108" s="14" t="s">
        <v>11</v>
      </c>
    </row>
    <row r="2109" ht="18" customHeight="1" spans="1:6">
      <c r="A2109" s="5" t="s">
        <v>2919</v>
      </c>
      <c r="B2109" s="14" t="s">
        <v>3992</v>
      </c>
      <c r="C2109" s="14" t="s">
        <v>4019</v>
      </c>
      <c r="D2109" s="138">
        <v>1</v>
      </c>
      <c r="E2109" s="192" t="s">
        <v>4020</v>
      </c>
      <c r="F2109" s="14" t="s">
        <v>11</v>
      </c>
    </row>
    <row r="2110" ht="18" customHeight="1" spans="1:6">
      <c r="A2110" s="5" t="s">
        <v>2919</v>
      </c>
      <c r="B2110" s="14" t="s">
        <v>3992</v>
      </c>
      <c r="C2110" s="14" t="s">
        <v>4021</v>
      </c>
      <c r="D2110" s="138">
        <v>1</v>
      </c>
      <c r="E2110" s="192" t="s">
        <v>4022</v>
      </c>
      <c r="F2110" s="14" t="s">
        <v>11</v>
      </c>
    </row>
    <row r="2111" ht="18" customHeight="1" spans="1:6">
      <c r="A2111" s="5" t="s">
        <v>2919</v>
      </c>
      <c r="B2111" s="14" t="s">
        <v>3992</v>
      </c>
      <c r="C2111" s="14" t="s">
        <v>4023</v>
      </c>
      <c r="D2111" s="138">
        <v>1</v>
      </c>
      <c r="E2111" s="192" t="s">
        <v>4024</v>
      </c>
      <c r="F2111" s="14" t="s">
        <v>11</v>
      </c>
    </row>
    <row r="2112" ht="18" customHeight="1" spans="1:6">
      <c r="A2112" s="5" t="s">
        <v>2919</v>
      </c>
      <c r="B2112" s="14" t="s">
        <v>3992</v>
      </c>
      <c r="C2112" s="14" t="s">
        <v>4025</v>
      </c>
      <c r="D2112" s="138">
        <v>1</v>
      </c>
      <c r="E2112" s="14" t="s">
        <v>4026</v>
      </c>
      <c r="F2112" s="14" t="s">
        <v>11</v>
      </c>
    </row>
    <row r="2113" ht="18" customHeight="1" spans="1:6">
      <c r="A2113" s="5" t="s">
        <v>2919</v>
      </c>
      <c r="B2113" s="14" t="s">
        <v>3992</v>
      </c>
      <c r="C2113" s="14" t="s">
        <v>4027</v>
      </c>
      <c r="D2113" s="138">
        <v>1</v>
      </c>
      <c r="E2113" s="192" t="s">
        <v>4028</v>
      </c>
      <c r="F2113" s="14" t="s">
        <v>11</v>
      </c>
    </row>
    <row r="2114" ht="18" customHeight="1" spans="1:6">
      <c r="A2114" s="5" t="s">
        <v>2919</v>
      </c>
      <c r="B2114" s="14" t="s">
        <v>3992</v>
      </c>
      <c r="C2114" s="14" t="s">
        <v>4029</v>
      </c>
      <c r="D2114" s="138">
        <v>1</v>
      </c>
      <c r="E2114" s="192" t="s">
        <v>4030</v>
      </c>
      <c r="F2114" s="14" t="s">
        <v>11</v>
      </c>
    </row>
    <row r="2115" ht="18" customHeight="1" spans="1:6">
      <c r="A2115" s="5" t="s">
        <v>2919</v>
      </c>
      <c r="B2115" s="14" t="s">
        <v>3992</v>
      </c>
      <c r="C2115" s="14" t="s">
        <v>4031</v>
      </c>
      <c r="D2115" s="138">
        <v>1</v>
      </c>
      <c r="E2115" s="192" t="s">
        <v>4032</v>
      </c>
      <c r="F2115" s="14" t="s">
        <v>11</v>
      </c>
    </row>
    <row r="2116" ht="18" customHeight="1" spans="1:6">
      <c r="A2116" s="5" t="s">
        <v>2919</v>
      </c>
      <c r="B2116" s="14" t="s">
        <v>3992</v>
      </c>
      <c r="C2116" s="14" t="s">
        <v>4033</v>
      </c>
      <c r="D2116" s="138">
        <v>1</v>
      </c>
      <c r="E2116" s="192" t="s">
        <v>4034</v>
      </c>
      <c r="F2116" s="14" t="s">
        <v>11</v>
      </c>
    </row>
    <row r="2117" ht="18" customHeight="1" spans="1:6">
      <c r="A2117" s="5" t="s">
        <v>2919</v>
      </c>
      <c r="B2117" s="14" t="s">
        <v>3992</v>
      </c>
      <c r="C2117" s="14" t="s">
        <v>4035</v>
      </c>
      <c r="D2117" s="138">
        <v>1</v>
      </c>
      <c r="E2117" s="192" t="s">
        <v>4036</v>
      </c>
      <c r="F2117" s="14" t="s">
        <v>11</v>
      </c>
    </row>
    <row r="2118" ht="18" customHeight="1" spans="1:6">
      <c r="A2118" s="5" t="s">
        <v>2919</v>
      </c>
      <c r="B2118" s="14" t="s">
        <v>3992</v>
      </c>
      <c r="C2118" s="14" t="s">
        <v>4037</v>
      </c>
      <c r="D2118" s="138">
        <v>1</v>
      </c>
      <c r="E2118" s="192" t="s">
        <v>4038</v>
      </c>
      <c r="F2118" s="14" t="s">
        <v>11</v>
      </c>
    </row>
    <row r="2119" ht="18" customHeight="1" spans="1:6">
      <c r="A2119" s="5" t="s">
        <v>2919</v>
      </c>
      <c r="B2119" s="14" t="s">
        <v>3992</v>
      </c>
      <c r="C2119" s="14" t="s">
        <v>4039</v>
      </c>
      <c r="D2119" s="138">
        <v>1</v>
      </c>
      <c r="E2119" s="192" t="s">
        <v>4040</v>
      </c>
      <c r="F2119" s="14" t="s">
        <v>11</v>
      </c>
    </row>
    <row r="2120" ht="18" customHeight="1" spans="1:6">
      <c r="A2120" s="5" t="s">
        <v>2919</v>
      </c>
      <c r="B2120" s="14" t="s">
        <v>3992</v>
      </c>
      <c r="C2120" s="14" t="s">
        <v>4041</v>
      </c>
      <c r="D2120" s="138">
        <v>2</v>
      </c>
      <c r="E2120" s="192" t="s">
        <v>4042</v>
      </c>
      <c r="F2120" s="14" t="s">
        <v>11</v>
      </c>
    </row>
    <row r="2121" ht="18" customHeight="1" spans="1:6">
      <c r="A2121" s="5" t="s">
        <v>2919</v>
      </c>
      <c r="B2121" s="14" t="s">
        <v>3992</v>
      </c>
      <c r="C2121" s="14" t="s">
        <v>4043</v>
      </c>
      <c r="D2121" s="138">
        <v>1</v>
      </c>
      <c r="E2121" s="192" t="s">
        <v>4044</v>
      </c>
      <c r="F2121" s="14" t="s">
        <v>11</v>
      </c>
    </row>
    <row r="2122" ht="18" customHeight="1" spans="1:6">
      <c r="A2122" s="5" t="s">
        <v>2919</v>
      </c>
      <c r="B2122" s="14" t="s">
        <v>3992</v>
      </c>
      <c r="C2122" s="14" t="s">
        <v>4045</v>
      </c>
      <c r="D2122" s="138">
        <v>1</v>
      </c>
      <c r="E2122" s="192" t="s">
        <v>4046</v>
      </c>
      <c r="F2122" s="14" t="s">
        <v>11</v>
      </c>
    </row>
    <row r="2123" ht="18" customHeight="1" spans="1:6">
      <c r="A2123" s="5" t="s">
        <v>2919</v>
      </c>
      <c r="B2123" s="14" t="s">
        <v>3992</v>
      </c>
      <c r="C2123" s="14" t="s">
        <v>4047</v>
      </c>
      <c r="D2123" s="138">
        <v>1</v>
      </c>
      <c r="E2123" s="192" t="s">
        <v>4048</v>
      </c>
      <c r="F2123" s="14" t="s">
        <v>11</v>
      </c>
    </row>
    <row r="2124" ht="18" customHeight="1" spans="1:6">
      <c r="A2124" s="5" t="s">
        <v>2919</v>
      </c>
      <c r="B2124" s="14" t="s">
        <v>3992</v>
      </c>
      <c r="C2124" s="14" t="s">
        <v>4049</v>
      </c>
      <c r="D2124" s="138">
        <v>1</v>
      </c>
      <c r="E2124" s="192" t="s">
        <v>4050</v>
      </c>
      <c r="F2124" s="14" t="s">
        <v>11</v>
      </c>
    </row>
    <row r="2125" ht="18" customHeight="1" spans="1:6">
      <c r="A2125" s="5" t="s">
        <v>2919</v>
      </c>
      <c r="B2125" s="14" t="s">
        <v>3992</v>
      </c>
      <c r="C2125" s="14" t="s">
        <v>4051</v>
      </c>
      <c r="D2125" s="138">
        <v>1</v>
      </c>
      <c r="E2125" s="192" t="s">
        <v>4052</v>
      </c>
      <c r="F2125" s="14" t="s">
        <v>11</v>
      </c>
    </row>
    <row r="2126" ht="18" customHeight="1" spans="1:6">
      <c r="A2126" s="5" t="s">
        <v>2919</v>
      </c>
      <c r="B2126" s="14" t="s">
        <v>3992</v>
      </c>
      <c r="C2126" s="14" t="s">
        <v>4053</v>
      </c>
      <c r="D2126" s="138">
        <v>1</v>
      </c>
      <c r="E2126" s="192" t="s">
        <v>4054</v>
      </c>
      <c r="F2126" s="14" t="s">
        <v>11</v>
      </c>
    </row>
    <row r="2127" ht="18" customHeight="1" spans="1:6">
      <c r="A2127" s="5" t="s">
        <v>2919</v>
      </c>
      <c r="B2127" s="14" t="s">
        <v>3992</v>
      </c>
      <c r="C2127" s="14" t="s">
        <v>4055</v>
      </c>
      <c r="D2127" s="138">
        <v>1</v>
      </c>
      <c r="E2127" s="14" t="s">
        <v>4056</v>
      </c>
      <c r="F2127" s="14" t="s">
        <v>11</v>
      </c>
    </row>
    <row r="2128" ht="18" customHeight="1" spans="1:6">
      <c r="A2128" s="5" t="s">
        <v>2919</v>
      </c>
      <c r="B2128" s="14" t="s">
        <v>4057</v>
      </c>
      <c r="C2128" s="14" t="s">
        <v>4058</v>
      </c>
      <c r="D2128" s="138">
        <v>3</v>
      </c>
      <c r="E2128" s="192" t="s">
        <v>4059</v>
      </c>
      <c r="F2128" s="14" t="s">
        <v>11</v>
      </c>
    </row>
    <row r="2129" ht="18" customHeight="1" spans="1:6">
      <c r="A2129" s="5" t="s">
        <v>2919</v>
      </c>
      <c r="B2129" s="14" t="s">
        <v>4057</v>
      </c>
      <c r="C2129" s="14" t="s">
        <v>4060</v>
      </c>
      <c r="D2129" s="138">
        <v>3</v>
      </c>
      <c r="E2129" s="192" t="s">
        <v>4061</v>
      </c>
      <c r="F2129" s="14" t="s">
        <v>11</v>
      </c>
    </row>
    <row r="2130" ht="18" customHeight="1" spans="1:6">
      <c r="A2130" s="5" t="s">
        <v>2919</v>
      </c>
      <c r="B2130" s="14" t="s">
        <v>4057</v>
      </c>
      <c r="C2130" s="14" t="s">
        <v>4062</v>
      </c>
      <c r="D2130" s="138">
        <v>1</v>
      </c>
      <c r="E2130" s="192" t="s">
        <v>4063</v>
      </c>
      <c r="F2130" s="14" t="s">
        <v>11</v>
      </c>
    </row>
    <row r="2131" ht="18" customHeight="1" spans="1:6">
      <c r="A2131" s="5" t="s">
        <v>2919</v>
      </c>
      <c r="B2131" s="14" t="s">
        <v>4057</v>
      </c>
      <c r="C2131" s="14" t="s">
        <v>4064</v>
      </c>
      <c r="D2131" s="138">
        <v>2</v>
      </c>
      <c r="E2131" s="192" t="s">
        <v>4065</v>
      </c>
      <c r="F2131" s="14" t="s">
        <v>11</v>
      </c>
    </row>
    <row r="2132" ht="18" customHeight="1" spans="1:6">
      <c r="A2132" s="5" t="s">
        <v>2919</v>
      </c>
      <c r="B2132" s="14" t="s">
        <v>4057</v>
      </c>
      <c r="C2132" s="14" t="s">
        <v>4066</v>
      </c>
      <c r="D2132" s="138">
        <v>2</v>
      </c>
      <c r="E2132" s="192" t="s">
        <v>4067</v>
      </c>
      <c r="F2132" s="14" t="s">
        <v>11</v>
      </c>
    </row>
    <row r="2133" ht="18" customHeight="1" spans="1:6">
      <c r="A2133" s="5" t="s">
        <v>2919</v>
      </c>
      <c r="B2133" s="14" t="s">
        <v>4057</v>
      </c>
      <c r="C2133" s="14" t="s">
        <v>4068</v>
      </c>
      <c r="D2133" s="138">
        <v>4</v>
      </c>
      <c r="E2133" s="192" t="s">
        <v>4069</v>
      </c>
      <c r="F2133" s="14" t="s">
        <v>11</v>
      </c>
    </row>
    <row r="2134" ht="18" customHeight="1" spans="1:6">
      <c r="A2134" s="5" t="s">
        <v>2919</v>
      </c>
      <c r="B2134" s="14" t="s">
        <v>4057</v>
      </c>
      <c r="C2134" s="14" t="s">
        <v>4070</v>
      </c>
      <c r="D2134" s="138">
        <v>3</v>
      </c>
      <c r="E2134" s="192" t="s">
        <v>4071</v>
      </c>
      <c r="F2134" s="14" t="s">
        <v>11</v>
      </c>
    </row>
    <row r="2135" ht="18" customHeight="1" spans="1:6">
      <c r="A2135" s="5" t="s">
        <v>2919</v>
      </c>
      <c r="B2135" s="14" t="s">
        <v>4057</v>
      </c>
      <c r="C2135" s="14" t="s">
        <v>4072</v>
      </c>
      <c r="D2135" s="138">
        <v>4</v>
      </c>
      <c r="E2135" s="192" t="s">
        <v>4073</v>
      </c>
      <c r="F2135" s="14" t="s">
        <v>11</v>
      </c>
    </row>
    <row r="2136" ht="18" customHeight="1" spans="1:6">
      <c r="A2136" s="5" t="s">
        <v>2919</v>
      </c>
      <c r="B2136" s="14" t="s">
        <v>4057</v>
      </c>
      <c r="C2136" s="14" t="s">
        <v>4074</v>
      </c>
      <c r="D2136" s="138">
        <v>2</v>
      </c>
      <c r="E2136" s="192" t="s">
        <v>4075</v>
      </c>
      <c r="F2136" s="14" t="s">
        <v>11</v>
      </c>
    </row>
    <row r="2137" ht="18" customHeight="1" spans="1:6">
      <c r="A2137" s="5" t="s">
        <v>2919</v>
      </c>
      <c r="B2137" s="14" t="s">
        <v>4057</v>
      </c>
      <c r="C2137" s="14" t="s">
        <v>4076</v>
      </c>
      <c r="D2137" s="138">
        <v>1</v>
      </c>
      <c r="E2137" s="192" t="s">
        <v>4077</v>
      </c>
      <c r="F2137" s="14" t="s">
        <v>11</v>
      </c>
    </row>
    <row r="2138" ht="18" customHeight="1" spans="1:6">
      <c r="A2138" s="5" t="s">
        <v>2919</v>
      </c>
      <c r="B2138" s="14" t="s">
        <v>4057</v>
      </c>
      <c r="C2138" s="14" t="s">
        <v>4078</v>
      </c>
      <c r="D2138" s="138">
        <v>1</v>
      </c>
      <c r="E2138" s="192" t="s">
        <v>4079</v>
      </c>
      <c r="F2138" s="14" t="s">
        <v>11</v>
      </c>
    </row>
    <row r="2139" ht="18" customHeight="1" spans="1:6">
      <c r="A2139" s="5" t="s">
        <v>2919</v>
      </c>
      <c r="B2139" s="14" t="s">
        <v>4057</v>
      </c>
      <c r="C2139" s="14" t="s">
        <v>4080</v>
      </c>
      <c r="D2139" s="138">
        <v>2</v>
      </c>
      <c r="E2139" s="192" t="s">
        <v>4081</v>
      </c>
      <c r="F2139" s="14" t="s">
        <v>11</v>
      </c>
    </row>
    <row r="2140" ht="18" customHeight="1" spans="1:6">
      <c r="A2140" s="5" t="s">
        <v>2919</v>
      </c>
      <c r="B2140" s="14" t="s">
        <v>4057</v>
      </c>
      <c r="C2140" s="14" t="s">
        <v>4082</v>
      </c>
      <c r="D2140" s="138">
        <v>1</v>
      </c>
      <c r="E2140" s="192" t="s">
        <v>4083</v>
      </c>
      <c r="F2140" s="14" t="s">
        <v>11</v>
      </c>
    </row>
    <row r="2141" ht="18" customHeight="1" spans="1:6">
      <c r="A2141" s="5" t="s">
        <v>2919</v>
      </c>
      <c r="B2141" s="14" t="s">
        <v>4057</v>
      </c>
      <c r="C2141" s="14" t="s">
        <v>4084</v>
      </c>
      <c r="D2141" s="138">
        <v>1</v>
      </c>
      <c r="E2141" s="192" t="s">
        <v>4085</v>
      </c>
      <c r="F2141" s="14" t="s">
        <v>11</v>
      </c>
    </row>
    <row r="2142" ht="18" customHeight="1" spans="1:6">
      <c r="A2142" s="5" t="s">
        <v>2919</v>
      </c>
      <c r="B2142" s="14" t="s">
        <v>4057</v>
      </c>
      <c r="C2142" s="14" t="s">
        <v>4086</v>
      </c>
      <c r="D2142" s="138">
        <v>1</v>
      </c>
      <c r="E2142" s="192" t="s">
        <v>4087</v>
      </c>
      <c r="F2142" s="14" t="s">
        <v>11</v>
      </c>
    </row>
    <row r="2143" ht="18" customHeight="1" spans="1:6">
      <c r="A2143" s="5" t="s">
        <v>2919</v>
      </c>
      <c r="B2143" s="14" t="s">
        <v>4057</v>
      </c>
      <c r="C2143" s="14" t="s">
        <v>4088</v>
      </c>
      <c r="D2143" s="138">
        <v>2</v>
      </c>
      <c r="E2143" s="192" t="s">
        <v>4089</v>
      </c>
      <c r="F2143" s="14" t="s">
        <v>11</v>
      </c>
    </row>
    <row r="2144" ht="18" customHeight="1" spans="1:6">
      <c r="A2144" s="5" t="s">
        <v>2919</v>
      </c>
      <c r="B2144" s="14" t="s">
        <v>4057</v>
      </c>
      <c r="C2144" s="14" t="s">
        <v>4090</v>
      </c>
      <c r="D2144" s="138">
        <v>2</v>
      </c>
      <c r="E2144" s="192" t="s">
        <v>4091</v>
      </c>
      <c r="F2144" s="14" t="s">
        <v>11</v>
      </c>
    </row>
    <row r="2145" ht="18" customHeight="1" spans="1:6">
      <c r="A2145" s="5" t="s">
        <v>2919</v>
      </c>
      <c r="B2145" s="14" t="s">
        <v>4057</v>
      </c>
      <c r="C2145" s="14" t="s">
        <v>4092</v>
      </c>
      <c r="D2145" s="138">
        <v>1</v>
      </c>
      <c r="E2145" s="192" t="s">
        <v>4093</v>
      </c>
      <c r="F2145" s="14" t="s">
        <v>11</v>
      </c>
    </row>
    <row r="2146" ht="18" customHeight="1" spans="1:6">
      <c r="A2146" s="5" t="s">
        <v>2919</v>
      </c>
      <c r="B2146" s="14" t="s">
        <v>4057</v>
      </c>
      <c r="C2146" s="14" t="s">
        <v>4094</v>
      </c>
      <c r="D2146" s="138">
        <v>2</v>
      </c>
      <c r="E2146" s="192" t="s">
        <v>4095</v>
      </c>
      <c r="F2146" s="14" t="s">
        <v>11</v>
      </c>
    </row>
    <row r="2147" ht="18" customHeight="1" spans="1:6">
      <c r="A2147" s="5" t="s">
        <v>2919</v>
      </c>
      <c r="B2147" s="14" t="s">
        <v>4057</v>
      </c>
      <c r="C2147" s="14" t="s">
        <v>4096</v>
      </c>
      <c r="D2147" s="138">
        <v>1</v>
      </c>
      <c r="E2147" s="192" t="s">
        <v>4097</v>
      </c>
      <c r="F2147" s="14" t="s">
        <v>11</v>
      </c>
    </row>
    <row r="2148" ht="18" customHeight="1" spans="1:6">
      <c r="A2148" s="5" t="s">
        <v>2919</v>
      </c>
      <c r="B2148" s="14" t="s">
        <v>4057</v>
      </c>
      <c r="C2148" s="14" t="s">
        <v>4098</v>
      </c>
      <c r="D2148" s="138">
        <v>1</v>
      </c>
      <c r="E2148" s="14" t="s">
        <v>4099</v>
      </c>
      <c r="F2148" s="14" t="s">
        <v>11</v>
      </c>
    </row>
    <row r="2149" ht="18" customHeight="1" spans="1:6">
      <c r="A2149" s="5" t="s">
        <v>2919</v>
      </c>
      <c r="B2149" s="14" t="s">
        <v>4100</v>
      </c>
      <c r="C2149" s="14" t="s">
        <v>4101</v>
      </c>
      <c r="D2149" s="138">
        <v>3</v>
      </c>
      <c r="E2149" s="14" t="s">
        <v>4102</v>
      </c>
      <c r="F2149" s="14" t="s">
        <v>11</v>
      </c>
    </row>
    <row r="2150" ht="18" customHeight="1" spans="1:6">
      <c r="A2150" s="5" t="s">
        <v>2919</v>
      </c>
      <c r="B2150" s="14" t="s">
        <v>4100</v>
      </c>
      <c r="C2150" s="14" t="s">
        <v>4103</v>
      </c>
      <c r="D2150" s="138">
        <v>3</v>
      </c>
      <c r="E2150" s="14" t="s">
        <v>4104</v>
      </c>
      <c r="F2150" s="14" t="s">
        <v>11</v>
      </c>
    </row>
    <row r="2151" ht="18" customHeight="1" spans="1:6">
      <c r="A2151" s="5" t="s">
        <v>2919</v>
      </c>
      <c r="B2151" s="14" t="s">
        <v>4100</v>
      </c>
      <c r="C2151" s="14" t="s">
        <v>4105</v>
      </c>
      <c r="D2151" s="138">
        <v>1</v>
      </c>
      <c r="E2151" s="14" t="s">
        <v>4106</v>
      </c>
      <c r="F2151" s="14" t="s">
        <v>11</v>
      </c>
    </row>
    <row r="2152" ht="18" customHeight="1" spans="1:6">
      <c r="A2152" s="5" t="s">
        <v>2919</v>
      </c>
      <c r="B2152" s="14" t="s">
        <v>4100</v>
      </c>
      <c r="C2152" s="14" t="s">
        <v>4107</v>
      </c>
      <c r="D2152" s="138">
        <v>4</v>
      </c>
      <c r="E2152" s="14" t="s">
        <v>4108</v>
      </c>
      <c r="F2152" s="14" t="s">
        <v>11</v>
      </c>
    </row>
    <row r="2153" ht="18" customHeight="1" spans="1:6">
      <c r="A2153" s="5" t="s">
        <v>2919</v>
      </c>
      <c r="B2153" s="14" t="s">
        <v>4100</v>
      </c>
      <c r="C2153" s="14" t="s">
        <v>4109</v>
      </c>
      <c r="D2153" s="138">
        <v>3</v>
      </c>
      <c r="E2153" s="14" t="s">
        <v>4110</v>
      </c>
      <c r="F2153" s="14" t="s">
        <v>11</v>
      </c>
    </row>
    <row r="2154" ht="18" customHeight="1" spans="1:6">
      <c r="A2154" s="5" t="s">
        <v>2919</v>
      </c>
      <c r="B2154" s="14" t="s">
        <v>4100</v>
      </c>
      <c r="C2154" s="14" t="s">
        <v>4111</v>
      </c>
      <c r="D2154" s="138">
        <v>3</v>
      </c>
      <c r="E2154" s="14" t="s">
        <v>4112</v>
      </c>
      <c r="F2154" s="14" t="s">
        <v>11</v>
      </c>
    </row>
    <row r="2155" ht="18" customHeight="1" spans="1:6">
      <c r="A2155" s="5" t="s">
        <v>2919</v>
      </c>
      <c r="B2155" s="14" t="s">
        <v>4100</v>
      </c>
      <c r="C2155" s="14" t="s">
        <v>4113</v>
      </c>
      <c r="D2155" s="138">
        <v>2</v>
      </c>
      <c r="E2155" s="14" t="s">
        <v>4114</v>
      </c>
      <c r="F2155" s="14" t="s">
        <v>11</v>
      </c>
    </row>
    <row r="2156" ht="18" customHeight="1" spans="1:6">
      <c r="A2156" s="5" t="s">
        <v>2919</v>
      </c>
      <c r="B2156" s="14" t="s">
        <v>4100</v>
      </c>
      <c r="C2156" s="14" t="s">
        <v>4115</v>
      </c>
      <c r="D2156" s="138">
        <v>1</v>
      </c>
      <c r="E2156" s="14" t="s">
        <v>4116</v>
      </c>
      <c r="F2156" s="14" t="s">
        <v>11</v>
      </c>
    </row>
    <row r="2157" ht="18" customHeight="1" spans="1:6">
      <c r="A2157" s="5" t="s">
        <v>2919</v>
      </c>
      <c r="B2157" s="14" t="s">
        <v>4100</v>
      </c>
      <c r="C2157" s="14" t="s">
        <v>4117</v>
      </c>
      <c r="D2157" s="138">
        <v>1</v>
      </c>
      <c r="E2157" s="14" t="s">
        <v>4118</v>
      </c>
      <c r="F2157" s="14" t="s">
        <v>11</v>
      </c>
    </row>
    <row r="2158" ht="18" customHeight="1" spans="1:6">
      <c r="A2158" s="5" t="s">
        <v>2919</v>
      </c>
      <c r="B2158" s="14" t="s">
        <v>4100</v>
      </c>
      <c r="C2158" s="14" t="s">
        <v>4119</v>
      </c>
      <c r="D2158" s="138">
        <v>1</v>
      </c>
      <c r="E2158" s="14" t="s">
        <v>4120</v>
      </c>
      <c r="F2158" s="14" t="s">
        <v>11</v>
      </c>
    </row>
    <row r="2159" ht="18" customHeight="1" spans="1:6">
      <c r="A2159" s="5" t="s">
        <v>2919</v>
      </c>
      <c r="B2159" s="14" t="s">
        <v>4100</v>
      </c>
      <c r="C2159" s="14" t="s">
        <v>4121</v>
      </c>
      <c r="D2159" s="138">
        <v>1</v>
      </c>
      <c r="E2159" s="14" t="s">
        <v>4122</v>
      </c>
      <c r="F2159" s="14" t="s">
        <v>11</v>
      </c>
    </row>
    <row r="2160" ht="18" customHeight="1" spans="1:6">
      <c r="A2160" s="5" t="s">
        <v>2919</v>
      </c>
      <c r="B2160" s="14" t="s">
        <v>4100</v>
      </c>
      <c r="C2160" s="14" t="s">
        <v>4123</v>
      </c>
      <c r="D2160" s="138">
        <v>1</v>
      </c>
      <c r="E2160" s="14" t="s">
        <v>4124</v>
      </c>
      <c r="F2160" s="14" t="s">
        <v>11</v>
      </c>
    </row>
    <row r="2161" ht="18" customHeight="1" spans="1:6">
      <c r="A2161" s="5" t="s">
        <v>2919</v>
      </c>
      <c r="B2161" s="14" t="s">
        <v>4100</v>
      </c>
      <c r="C2161" s="14" t="s">
        <v>4125</v>
      </c>
      <c r="D2161" s="138">
        <v>1</v>
      </c>
      <c r="E2161" s="192" t="s">
        <v>4126</v>
      </c>
      <c r="F2161" s="14" t="s">
        <v>11</v>
      </c>
    </row>
    <row r="2162" ht="18" customHeight="1" spans="1:6">
      <c r="A2162" s="5" t="s">
        <v>2919</v>
      </c>
      <c r="B2162" s="14" t="s">
        <v>4127</v>
      </c>
      <c r="C2162" s="14" t="s">
        <v>4128</v>
      </c>
      <c r="D2162" s="138">
        <v>3</v>
      </c>
      <c r="E2162" s="192" t="s">
        <v>4129</v>
      </c>
      <c r="F2162" s="14" t="s">
        <v>11</v>
      </c>
    </row>
    <row r="2163" ht="18" customHeight="1" spans="1:6">
      <c r="A2163" s="5" t="s">
        <v>2919</v>
      </c>
      <c r="B2163" s="14" t="s">
        <v>4127</v>
      </c>
      <c r="C2163" s="14" t="s">
        <v>4130</v>
      </c>
      <c r="D2163" s="138">
        <v>3</v>
      </c>
      <c r="E2163" s="192" t="s">
        <v>4131</v>
      </c>
      <c r="F2163" s="14" t="s">
        <v>11</v>
      </c>
    </row>
    <row r="2164" ht="18" customHeight="1" spans="1:6">
      <c r="A2164" s="5" t="s">
        <v>2919</v>
      </c>
      <c r="B2164" s="14" t="s">
        <v>4127</v>
      </c>
      <c r="C2164" s="14" t="s">
        <v>4132</v>
      </c>
      <c r="D2164" s="138">
        <v>3</v>
      </c>
      <c r="E2164" s="192" t="s">
        <v>4133</v>
      </c>
      <c r="F2164" s="14" t="s">
        <v>11</v>
      </c>
    </row>
    <row r="2165" ht="18" customHeight="1" spans="1:6">
      <c r="A2165" s="5" t="s">
        <v>2919</v>
      </c>
      <c r="B2165" s="14" t="s">
        <v>4127</v>
      </c>
      <c r="C2165" s="14" t="s">
        <v>4134</v>
      </c>
      <c r="D2165" s="138">
        <v>2</v>
      </c>
      <c r="E2165" s="14" t="s">
        <v>4135</v>
      </c>
      <c r="F2165" s="14" t="s">
        <v>11</v>
      </c>
    </row>
    <row r="2166" ht="18" customHeight="1" spans="1:6">
      <c r="A2166" s="5" t="s">
        <v>2919</v>
      </c>
      <c r="B2166" s="14" t="s">
        <v>4127</v>
      </c>
      <c r="C2166" s="14" t="s">
        <v>4136</v>
      </c>
      <c r="D2166" s="138">
        <v>1</v>
      </c>
      <c r="E2166" s="192" t="s">
        <v>4137</v>
      </c>
      <c r="F2166" s="14" t="s">
        <v>11</v>
      </c>
    </row>
    <row r="2167" ht="18" customHeight="1" spans="1:6">
      <c r="A2167" s="5" t="s">
        <v>2919</v>
      </c>
      <c r="B2167" s="14" t="s">
        <v>4127</v>
      </c>
      <c r="C2167" s="14" t="s">
        <v>4138</v>
      </c>
      <c r="D2167" s="138">
        <v>1</v>
      </c>
      <c r="E2167" s="192" t="s">
        <v>4139</v>
      </c>
      <c r="F2167" s="14" t="s">
        <v>11</v>
      </c>
    </row>
    <row r="2168" ht="18" customHeight="1" spans="1:6">
      <c r="A2168" s="5" t="s">
        <v>2919</v>
      </c>
      <c r="B2168" s="14" t="s">
        <v>4127</v>
      </c>
      <c r="C2168" s="14" t="s">
        <v>4140</v>
      </c>
      <c r="D2168" s="138">
        <v>1</v>
      </c>
      <c r="E2168" s="14" t="s">
        <v>4141</v>
      </c>
      <c r="F2168" s="14" t="s">
        <v>11</v>
      </c>
    </row>
    <row r="2169" ht="18" customHeight="1" spans="1:6">
      <c r="A2169" s="5" t="s">
        <v>2919</v>
      </c>
      <c r="B2169" s="14" t="s">
        <v>4127</v>
      </c>
      <c r="C2169" s="14" t="s">
        <v>4142</v>
      </c>
      <c r="D2169" s="138">
        <v>1</v>
      </c>
      <c r="E2169" s="14" t="s">
        <v>4143</v>
      </c>
      <c r="F2169" s="14" t="s">
        <v>11</v>
      </c>
    </row>
    <row r="2170" ht="18" customHeight="1" spans="1:6">
      <c r="A2170" s="5" t="s">
        <v>2919</v>
      </c>
      <c r="B2170" s="14" t="s">
        <v>4127</v>
      </c>
      <c r="C2170" s="14" t="s">
        <v>4144</v>
      </c>
      <c r="D2170" s="138">
        <v>1</v>
      </c>
      <c r="E2170" s="14" t="s">
        <v>4145</v>
      </c>
      <c r="F2170" s="14" t="s">
        <v>11</v>
      </c>
    </row>
    <row r="2171" ht="18" customHeight="1" spans="1:6">
      <c r="A2171" s="5" t="s">
        <v>2919</v>
      </c>
      <c r="B2171" s="14" t="s">
        <v>4127</v>
      </c>
      <c r="C2171" s="14" t="s">
        <v>4146</v>
      </c>
      <c r="D2171" s="138">
        <v>1</v>
      </c>
      <c r="E2171" s="14" t="s">
        <v>4147</v>
      </c>
      <c r="F2171" s="14" t="s">
        <v>11</v>
      </c>
    </row>
    <row r="2172" ht="18" customHeight="1" spans="1:6">
      <c r="A2172" s="5" t="s">
        <v>2919</v>
      </c>
      <c r="B2172" s="14" t="s">
        <v>4127</v>
      </c>
      <c r="C2172" s="14" t="s">
        <v>4148</v>
      </c>
      <c r="D2172" s="138">
        <v>1</v>
      </c>
      <c r="E2172" s="14" t="s">
        <v>4149</v>
      </c>
      <c r="F2172" s="14" t="s">
        <v>11</v>
      </c>
    </row>
    <row r="2173" ht="18" customHeight="1" spans="1:6">
      <c r="A2173" s="5" t="s">
        <v>2919</v>
      </c>
      <c r="B2173" s="14" t="s">
        <v>4127</v>
      </c>
      <c r="C2173" s="14" t="s">
        <v>4150</v>
      </c>
      <c r="D2173" s="138">
        <v>1</v>
      </c>
      <c r="E2173" s="14" t="s">
        <v>4151</v>
      </c>
      <c r="F2173" s="14" t="s">
        <v>11</v>
      </c>
    </row>
    <row r="2174" ht="18" customHeight="1" spans="1:6">
      <c r="A2174" s="5" t="s">
        <v>2919</v>
      </c>
      <c r="B2174" s="14" t="s">
        <v>4127</v>
      </c>
      <c r="C2174" s="14" t="s">
        <v>4152</v>
      </c>
      <c r="D2174" s="138">
        <v>1</v>
      </c>
      <c r="E2174" s="14" t="s">
        <v>4153</v>
      </c>
      <c r="F2174" s="14" t="s">
        <v>11</v>
      </c>
    </row>
    <row r="2175" ht="18" customHeight="1" spans="1:6">
      <c r="A2175" s="5" t="s">
        <v>2919</v>
      </c>
      <c r="B2175" s="14" t="s">
        <v>4127</v>
      </c>
      <c r="C2175" s="14" t="s">
        <v>4154</v>
      </c>
      <c r="D2175" s="138">
        <v>1</v>
      </c>
      <c r="E2175" s="14" t="s">
        <v>4155</v>
      </c>
      <c r="F2175" s="14" t="s">
        <v>11</v>
      </c>
    </row>
    <row r="2176" ht="18" customHeight="1" spans="1:6">
      <c r="A2176" s="5" t="s">
        <v>2919</v>
      </c>
      <c r="B2176" s="14" t="s">
        <v>4127</v>
      </c>
      <c r="C2176" s="14" t="s">
        <v>4156</v>
      </c>
      <c r="D2176" s="138">
        <v>1</v>
      </c>
      <c r="E2176" s="14" t="s">
        <v>4157</v>
      </c>
      <c r="F2176" s="14" t="s">
        <v>11</v>
      </c>
    </row>
    <row r="2177" ht="18" customHeight="1" spans="1:6">
      <c r="A2177" s="5" t="s">
        <v>2919</v>
      </c>
      <c r="B2177" s="14" t="s">
        <v>4158</v>
      </c>
      <c r="C2177" s="14" t="s">
        <v>4159</v>
      </c>
      <c r="D2177" s="138">
        <v>3</v>
      </c>
      <c r="E2177" s="14" t="s">
        <v>4160</v>
      </c>
      <c r="F2177" s="14" t="s">
        <v>11</v>
      </c>
    </row>
    <row r="2178" ht="18" customHeight="1" spans="1:6">
      <c r="A2178" s="5" t="s">
        <v>2919</v>
      </c>
      <c r="B2178" s="14" t="s">
        <v>4158</v>
      </c>
      <c r="C2178" s="14" t="s">
        <v>4161</v>
      </c>
      <c r="D2178" s="138">
        <v>3</v>
      </c>
      <c r="E2178" s="14" t="s">
        <v>4162</v>
      </c>
      <c r="F2178" s="14" t="s">
        <v>11</v>
      </c>
    </row>
    <row r="2179" ht="18" customHeight="1" spans="1:6">
      <c r="A2179" s="5" t="s">
        <v>2919</v>
      </c>
      <c r="B2179" s="14" t="s">
        <v>4158</v>
      </c>
      <c r="C2179" s="14" t="s">
        <v>4163</v>
      </c>
      <c r="D2179" s="138">
        <v>1</v>
      </c>
      <c r="E2179" s="14" t="s">
        <v>4164</v>
      </c>
      <c r="F2179" s="14" t="s">
        <v>11</v>
      </c>
    </row>
    <row r="2180" ht="18" customHeight="1" spans="1:6">
      <c r="A2180" s="5" t="s">
        <v>2919</v>
      </c>
      <c r="B2180" s="14" t="s">
        <v>4158</v>
      </c>
      <c r="C2180" s="14" t="s">
        <v>1703</v>
      </c>
      <c r="D2180" s="138">
        <v>2</v>
      </c>
      <c r="E2180" s="14" t="s">
        <v>4165</v>
      </c>
      <c r="F2180" s="14" t="s">
        <v>11</v>
      </c>
    </row>
    <row r="2181" ht="18" customHeight="1" spans="1:6">
      <c r="A2181" s="5" t="s">
        <v>2919</v>
      </c>
      <c r="B2181" s="14" t="s">
        <v>4158</v>
      </c>
      <c r="C2181" s="14" t="s">
        <v>4166</v>
      </c>
      <c r="D2181" s="138">
        <v>4</v>
      </c>
      <c r="E2181" s="14" t="s">
        <v>4167</v>
      </c>
      <c r="F2181" s="14" t="s">
        <v>11</v>
      </c>
    </row>
    <row r="2182" ht="18" customHeight="1" spans="1:6">
      <c r="A2182" s="5" t="s">
        <v>2919</v>
      </c>
      <c r="B2182" s="14" t="s">
        <v>4158</v>
      </c>
      <c r="C2182" s="14" t="s">
        <v>4168</v>
      </c>
      <c r="D2182" s="138">
        <v>2</v>
      </c>
      <c r="E2182" s="14" t="s">
        <v>4169</v>
      </c>
      <c r="F2182" s="14" t="s">
        <v>11</v>
      </c>
    </row>
    <row r="2183" ht="18" customHeight="1" spans="1:6">
      <c r="A2183" s="5" t="s">
        <v>2919</v>
      </c>
      <c r="B2183" s="14" t="s">
        <v>4158</v>
      </c>
      <c r="C2183" s="14" t="s">
        <v>4170</v>
      </c>
      <c r="D2183" s="138">
        <v>3</v>
      </c>
      <c r="E2183" s="14" t="s">
        <v>4171</v>
      </c>
      <c r="F2183" s="14" t="s">
        <v>11</v>
      </c>
    </row>
    <row r="2184" ht="18" customHeight="1" spans="1:6">
      <c r="A2184" s="5" t="s">
        <v>2919</v>
      </c>
      <c r="B2184" s="14" t="s">
        <v>4158</v>
      </c>
      <c r="C2184" s="14" t="s">
        <v>1078</v>
      </c>
      <c r="D2184" s="138">
        <v>2</v>
      </c>
      <c r="E2184" s="14" t="s">
        <v>4172</v>
      </c>
      <c r="F2184" s="14" t="s">
        <v>11</v>
      </c>
    </row>
    <row r="2185" ht="18" customHeight="1" spans="1:6">
      <c r="A2185" s="5" t="s">
        <v>2919</v>
      </c>
      <c r="B2185" s="14" t="s">
        <v>4158</v>
      </c>
      <c r="C2185" s="14" t="s">
        <v>4173</v>
      </c>
      <c r="D2185" s="138">
        <v>4</v>
      </c>
      <c r="E2185" s="14" t="s">
        <v>4174</v>
      </c>
      <c r="F2185" s="14" t="s">
        <v>11</v>
      </c>
    </row>
    <row r="2186" ht="18" customHeight="1" spans="1:6">
      <c r="A2186" s="5" t="s">
        <v>2919</v>
      </c>
      <c r="B2186" s="14" t="s">
        <v>4158</v>
      </c>
      <c r="C2186" s="14" t="s">
        <v>4175</v>
      </c>
      <c r="D2186" s="138">
        <v>2</v>
      </c>
      <c r="E2186" s="14" t="s">
        <v>4176</v>
      </c>
      <c r="F2186" s="14" t="s">
        <v>11</v>
      </c>
    </row>
    <row r="2187" ht="18" customHeight="1" spans="1:6">
      <c r="A2187" s="5" t="s">
        <v>2919</v>
      </c>
      <c r="B2187" s="14" t="s">
        <v>4158</v>
      </c>
      <c r="C2187" s="14" t="s">
        <v>4177</v>
      </c>
      <c r="D2187" s="138">
        <v>3</v>
      </c>
      <c r="E2187" s="14" t="s">
        <v>4178</v>
      </c>
      <c r="F2187" s="14" t="s">
        <v>11</v>
      </c>
    </row>
    <row r="2188" ht="18" customHeight="1" spans="1:6">
      <c r="A2188" s="5" t="s">
        <v>2919</v>
      </c>
      <c r="B2188" s="14" t="s">
        <v>4158</v>
      </c>
      <c r="C2188" s="14" t="s">
        <v>4179</v>
      </c>
      <c r="D2188" s="138">
        <v>2</v>
      </c>
      <c r="E2188" s="14" t="s">
        <v>4180</v>
      </c>
      <c r="F2188" s="14" t="s">
        <v>11</v>
      </c>
    </row>
    <row r="2189" ht="18" customHeight="1" spans="1:6">
      <c r="A2189" s="5" t="s">
        <v>2919</v>
      </c>
      <c r="B2189" s="14" t="s">
        <v>4158</v>
      </c>
      <c r="C2189" s="14" t="s">
        <v>4181</v>
      </c>
      <c r="D2189" s="138">
        <v>2</v>
      </c>
      <c r="E2189" s="14" t="s">
        <v>4182</v>
      </c>
      <c r="F2189" s="14" t="s">
        <v>11</v>
      </c>
    </row>
    <row r="2190" ht="18" customHeight="1" spans="1:6">
      <c r="A2190" s="5" t="s">
        <v>2919</v>
      </c>
      <c r="B2190" s="14" t="s">
        <v>4158</v>
      </c>
      <c r="C2190" s="14" t="s">
        <v>4183</v>
      </c>
      <c r="D2190" s="138">
        <v>1</v>
      </c>
      <c r="E2190" s="14" t="s">
        <v>4184</v>
      </c>
      <c r="F2190" s="14" t="s">
        <v>11</v>
      </c>
    </row>
    <row r="2191" ht="18" customHeight="1" spans="1:6">
      <c r="A2191" s="5" t="s">
        <v>2919</v>
      </c>
      <c r="B2191" s="14" t="s">
        <v>4158</v>
      </c>
      <c r="C2191" s="14" t="s">
        <v>4185</v>
      </c>
      <c r="D2191" s="138">
        <v>2</v>
      </c>
      <c r="E2191" s="14" t="s">
        <v>4186</v>
      </c>
      <c r="F2191" s="14" t="s">
        <v>11</v>
      </c>
    </row>
    <row r="2192" ht="18" customHeight="1" spans="1:6">
      <c r="A2192" s="5" t="s">
        <v>2919</v>
      </c>
      <c r="B2192" s="14" t="s">
        <v>4158</v>
      </c>
      <c r="C2192" s="14" t="s">
        <v>4187</v>
      </c>
      <c r="D2192" s="138">
        <v>2</v>
      </c>
      <c r="E2192" s="14" t="s">
        <v>4188</v>
      </c>
      <c r="F2192" s="14" t="s">
        <v>11</v>
      </c>
    </row>
    <row r="2193" ht="18" customHeight="1" spans="1:6">
      <c r="A2193" s="5" t="s">
        <v>2919</v>
      </c>
      <c r="B2193" s="14" t="s">
        <v>4158</v>
      </c>
      <c r="C2193" s="14" t="s">
        <v>4189</v>
      </c>
      <c r="D2193" s="138">
        <v>3</v>
      </c>
      <c r="E2193" s="14" t="s">
        <v>4190</v>
      </c>
      <c r="F2193" s="14" t="s">
        <v>11</v>
      </c>
    </row>
    <row r="2194" ht="18" customHeight="1" spans="1:6">
      <c r="A2194" s="5" t="s">
        <v>2919</v>
      </c>
      <c r="B2194" s="14" t="s">
        <v>4158</v>
      </c>
      <c r="C2194" s="14" t="s">
        <v>4191</v>
      </c>
      <c r="D2194" s="138">
        <v>1</v>
      </c>
      <c r="E2194" s="14" t="s">
        <v>4192</v>
      </c>
      <c r="F2194" s="14" t="s">
        <v>11</v>
      </c>
    </row>
    <row r="2195" ht="18" customHeight="1" spans="1:6">
      <c r="A2195" s="5" t="s">
        <v>2919</v>
      </c>
      <c r="B2195" s="14" t="s">
        <v>4158</v>
      </c>
      <c r="C2195" s="14" t="s">
        <v>4193</v>
      </c>
      <c r="D2195" s="138">
        <v>5</v>
      </c>
      <c r="E2195" s="14" t="s">
        <v>4194</v>
      </c>
      <c r="F2195" s="14" t="s">
        <v>11</v>
      </c>
    </row>
    <row r="2196" ht="18" customHeight="1" spans="1:6">
      <c r="A2196" s="5" t="s">
        <v>2919</v>
      </c>
      <c r="B2196" s="14" t="s">
        <v>4158</v>
      </c>
      <c r="C2196" s="14" t="s">
        <v>4195</v>
      </c>
      <c r="D2196" s="138">
        <v>4</v>
      </c>
      <c r="E2196" s="14" t="s">
        <v>4196</v>
      </c>
      <c r="F2196" s="14" t="s">
        <v>11</v>
      </c>
    </row>
    <row r="2197" ht="18" customHeight="1" spans="1:6">
      <c r="A2197" s="5" t="s">
        <v>2919</v>
      </c>
      <c r="B2197" s="14" t="s">
        <v>4158</v>
      </c>
      <c r="C2197" s="14" t="s">
        <v>4197</v>
      </c>
      <c r="D2197" s="138">
        <v>2</v>
      </c>
      <c r="E2197" s="192" t="s">
        <v>4198</v>
      </c>
      <c r="F2197" s="14" t="s">
        <v>11</v>
      </c>
    </row>
    <row r="2198" ht="18" customHeight="1" spans="1:6">
      <c r="A2198" s="5" t="s">
        <v>2919</v>
      </c>
      <c r="B2198" s="14" t="s">
        <v>4158</v>
      </c>
      <c r="C2198" s="14" t="s">
        <v>4199</v>
      </c>
      <c r="D2198" s="138">
        <v>1</v>
      </c>
      <c r="E2198" s="14" t="s">
        <v>4200</v>
      </c>
      <c r="F2198" s="14" t="s">
        <v>11</v>
      </c>
    </row>
    <row r="2199" ht="18" customHeight="1" spans="1:6">
      <c r="A2199" s="5" t="s">
        <v>2919</v>
      </c>
      <c r="B2199" s="14" t="s">
        <v>4158</v>
      </c>
      <c r="C2199" s="14" t="s">
        <v>4201</v>
      </c>
      <c r="D2199" s="138">
        <v>1</v>
      </c>
      <c r="E2199" s="14" t="s">
        <v>4202</v>
      </c>
      <c r="F2199" s="14" t="s">
        <v>11</v>
      </c>
    </row>
    <row r="2200" ht="18" customHeight="1" spans="1:6">
      <c r="A2200" s="5" t="s">
        <v>2919</v>
      </c>
      <c r="B2200" s="14" t="s">
        <v>4158</v>
      </c>
      <c r="C2200" s="14" t="s">
        <v>4203</v>
      </c>
      <c r="D2200" s="138">
        <v>2</v>
      </c>
      <c r="E2200" s="14" t="s">
        <v>4204</v>
      </c>
      <c r="F2200" s="14" t="s">
        <v>11</v>
      </c>
    </row>
    <row r="2201" ht="18" customHeight="1" spans="1:6">
      <c r="A2201" s="5" t="s">
        <v>2919</v>
      </c>
      <c r="B2201" s="14" t="s">
        <v>4158</v>
      </c>
      <c r="C2201" s="14" t="s">
        <v>4205</v>
      </c>
      <c r="D2201" s="138">
        <v>1</v>
      </c>
      <c r="E2201" s="14" t="s">
        <v>4206</v>
      </c>
      <c r="F2201" s="14" t="s">
        <v>11</v>
      </c>
    </row>
    <row r="2202" ht="18" customHeight="1" spans="1:6">
      <c r="A2202" s="5" t="s">
        <v>2919</v>
      </c>
      <c r="B2202" s="14" t="s">
        <v>4158</v>
      </c>
      <c r="C2202" s="14" t="s">
        <v>4207</v>
      </c>
      <c r="D2202" s="138">
        <v>2</v>
      </c>
      <c r="E2202" s="14" t="s">
        <v>4208</v>
      </c>
      <c r="F2202" s="14" t="s">
        <v>11</v>
      </c>
    </row>
    <row r="2203" ht="18" customHeight="1" spans="1:6">
      <c r="A2203" s="5" t="s">
        <v>2919</v>
      </c>
      <c r="B2203" s="14" t="s">
        <v>4158</v>
      </c>
      <c r="C2203" s="14" t="s">
        <v>4209</v>
      </c>
      <c r="D2203" s="138">
        <v>2</v>
      </c>
      <c r="E2203" s="14" t="s">
        <v>4210</v>
      </c>
      <c r="F2203" s="14" t="s">
        <v>11</v>
      </c>
    </row>
    <row r="2204" ht="18" customHeight="1" spans="1:6">
      <c r="A2204" s="5" t="s">
        <v>2919</v>
      </c>
      <c r="B2204" s="14" t="s">
        <v>4158</v>
      </c>
      <c r="C2204" s="14" t="s">
        <v>4211</v>
      </c>
      <c r="D2204" s="138">
        <v>1</v>
      </c>
      <c r="E2204" s="14" t="s">
        <v>4212</v>
      </c>
      <c r="F2204" s="14" t="s">
        <v>11</v>
      </c>
    </row>
    <row r="2205" ht="18" customHeight="1" spans="1:6">
      <c r="A2205" s="5" t="s">
        <v>2919</v>
      </c>
      <c r="B2205" s="14" t="s">
        <v>4158</v>
      </c>
      <c r="C2205" s="14" t="s">
        <v>4213</v>
      </c>
      <c r="D2205" s="138">
        <v>1</v>
      </c>
      <c r="E2205" s="14" t="s">
        <v>4214</v>
      </c>
      <c r="F2205" s="14" t="s">
        <v>11</v>
      </c>
    </row>
    <row r="2206" ht="18" customHeight="1" spans="1:6">
      <c r="A2206" s="5" t="s">
        <v>2919</v>
      </c>
      <c r="B2206" s="14" t="s">
        <v>4158</v>
      </c>
      <c r="C2206" s="14" t="s">
        <v>4215</v>
      </c>
      <c r="D2206" s="138">
        <v>1</v>
      </c>
      <c r="E2206" s="14" t="s">
        <v>4216</v>
      </c>
      <c r="F2206" s="14" t="s">
        <v>11</v>
      </c>
    </row>
    <row r="2207" ht="18" customHeight="1" spans="1:6">
      <c r="A2207" s="5" t="s">
        <v>2919</v>
      </c>
      <c r="B2207" s="14" t="s">
        <v>4217</v>
      </c>
      <c r="C2207" s="14" t="s">
        <v>4218</v>
      </c>
      <c r="D2207" s="138">
        <v>2</v>
      </c>
      <c r="E2207" s="14" t="s">
        <v>4219</v>
      </c>
      <c r="F2207" s="14" t="s">
        <v>11</v>
      </c>
    </row>
    <row r="2208" ht="18" customHeight="1" spans="1:6">
      <c r="A2208" s="5" t="s">
        <v>2919</v>
      </c>
      <c r="B2208" s="14" t="s">
        <v>4217</v>
      </c>
      <c r="C2208" s="14" t="s">
        <v>4220</v>
      </c>
      <c r="D2208" s="138">
        <v>3</v>
      </c>
      <c r="E2208" s="14" t="s">
        <v>4221</v>
      </c>
      <c r="F2208" s="14" t="s">
        <v>11</v>
      </c>
    </row>
    <row r="2209" ht="18" customHeight="1" spans="1:6">
      <c r="A2209" s="5" t="s">
        <v>2919</v>
      </c>
      <c r="B2209" s="14" t="s">
        <v>4217</v>
      </c>
      <c r="C2209" s="14" t="s">
        <v>4222</v>
      </c>
      <c r="D2209" s="138">
        <v>4</v>
      </c>
      <c r="E2209" s="14" t="s">
        <v>4223</v>
      </c>
      <c r="F2209" s="14" t="s">
        <v>11</v>
      </c>
    </row>
    <row r="2210" ht="18" customHeight="1" spans="1:6">
      <c r="A2210" s="5" t="s">
        <v>2919</v>
      </c>
      <c r="B2210" s="14" t="s">
        <v>4217</v>
      </c>
      <c r="C2210" s="14" t="s">
        <v>4224</v>
      </c>
      <c r="D2210" s="138">
        <v>2</v>
      </c>
      <c r="E2210" s="14" t="s">
        <v>4225</v>
      </c>
      <c r="F2210" s="14" t="s">
        <v>11</v>
      </c>
    </row>
    <row r="2211" ht="18" customHeight="1" spans="1:6">
      <c r="A2211" s="5" t="s">
        <v>2919</v>
      </c>
      <c r="B2211" s="14" t="s">
        <v>4217</v>
      </c>
      <c r="C2211" s="14" t="s">
        <v>4226</v>
      </c>
      <c r="D2211" s="138">
        <v>2</v>
      </c>
      <c r="E2211" s="14" t="s">
        <v>4227</v>
      </c>
      <c r="F2211" s="14" t="s">
        <v>11</v>
      </c>
    </row>
    <row r="2212" ht="18" customHeight="1" spans="1:6">
      <c r="A2212" s="5" t="s">
        <v>2919</v>
      </c>
      <c r="B2212" s="14" t="s">
        <v>4217</v>
      </c>
      <c r="C2212" s="14" t="s">
        <v>4228</v>
      </c>
      <c r="D2212" s="138">
        <v>4</v>
      </c>
      <c r="E2212" s="14" t="s">
        <v>4229</v>
      </c>
      <c r="F2212" s="14" t="s">
        <v>11</v>
      </c>
    </row>
    <row r="2213" ht="18" customHeight="1" spans="1:6">
      <c r="A2213" s="5" t="s">
        <v>2919</v>
      </c>
      <c r="B2213" s="14" t="s">
        <v>4217</v>
      </c>
      <c r="C2213" s="14" t="s">
        <v>4230</v>
      </c>
      <c r="D2213" s="138">
        <v>2</v>
      </c>
      <c r="E2213" s="14" t="s">
        <v>4231</v>
      </c>
      <c r="F2213" s="14" t="s">
        <v>11</v>
      </c>
    </row>
    <row r="2214" ht="18" customHeight="1" spans="1:6">
      <c r="A2214" s="5" t="s">
        <v>2919</v>
      </c>
      <c r="B2214" s="14" t="s">
        <v>4217</v>
      </c>
      <c r="C2214" s="14" t="s">
        <v>4232</v>
      </c>
      <c r="D2214" s="138">
        <v>2</v>
      </c>
      <c r="E2214" s="14" t="s">
        <v>4233</v>
      </c>
      <c r="F2214" s="14" t="s">
        <v>11</v>
      </c>
    </row>
    <row r="2215" ht="18" customHeight="1" spans="1:6">
      <c r="A2215" s="5" t="s">
        <v>2919</v>
      </c>
      <c r="B2215" s="14" t="s">
        <v>4217</v>
      </c>
      <c r="C2215" s="14" t="s">
        <v>4234</v>
      </c>
      <c r="D2215" s="138">
        <v>2</v>
      </c>
      <c r="E2215" s="14" t="s">
        <v>4235</v>
      </c>
      <c r="F2215" s="14" t="s">
        <v>11</v>
      </c>
    </row>
    <row r="2216" ht="18" customHeight="1" spans="1:6">
      <c r="A2216" s="5" t="s">
        <v>2919</v>
      </c>
      <c r="B2216" s="14" t="s">
        <v>4217</v>
      </c>
      <c r="C2216" s="14" t="s">
        <v>4236</v>
      </c>
      <c r="D2216" s="138">
        <v>2</v>
      </c>
      <c r="E2216" s="14" t="s">
        <v>4237</v>
      </c>
      <c r="F2216" s="14" t="s">
        <v>11</v>
      </c>
    </row>
    <row r="2217" ht="18" customHeight="1" spans="1:6">
      <c r="A2217" s="5" t="s">
        <v>2919</v>
      </c>
      <c r="B2217" s="14" t="s">
        <v>4217</v>
      </c>
      <c r="C2217" s="14" t="s">
        <v>641</v>
      </c>
      <c r="D2217" s="138">
        <v>2</v>
      </c>
      <c r="E2217" s="14" t="s">
        <v>4238</v>
      </c>
      <c r="F2217" s="14" t="s">
        <v>11</v>
      </c>
    </row>
    <row r="2218" ht="18" customHeight="1" spans="1:6">
      <c r="A2218" s="5" t="s">
        <v>2919</v>
      </c>
      <c r="B2218" s="14" t="s">
        <v>4217</v>
      </c>
      <c r="C2218" s="14" t="s">
        <v>4239</v>
      </c>
      <c r="D2218" s="138">
        <v>2</v>
      </c>
      <c r="E2218" s="14" t="s">
        <v>4240</v>
      </c>
      <c r="F2218" s="14" t="s">
        <v>11</v>
      </c>
    </row>
    <row r="2219" ht="18" customHeight="1" spans="1:6">
      <c r="A2219" s="5" t="s">
        <v>2919</v>
      </c>
      <c r="B2219" s="14" t="s">
        <v>4217</v>
      </c>
      <c r="C2219" s="14" t="s">
        <v>4241</v>
      </c>
      <c r="D2219" s="138">
        <v>3</v>
      </c>
      <c r="E2219" s="14" t="s">
        <v>4242</v>
      </c>
      <c r="F2219" s="14" t="s">
        <v>11</v>
      </c>
    </row>
    <row r="2220" ht="18" customHeight="1" spans="1:6">
      <c r="A2220" s="5" t="s">
        <v>2919</v>
      </c>
      <c r="B2220" s="14" t="s">
        <v>4217</v>
      </c>
      <c r="C2220" s="14" t="s">
        <v>4243</v>
      </c>
      <c r="D2220" s="138">
        <v>2</v>
      </c>
      <c r="E2220" s="14" t="s">
        <v>4244</v>
      </c>
      <c r="F2220" s="14" t="s">
        <v>11</v>
      </c>
    </row>
    <row r="2221" ht="18" customHeight="1" spans="1:6">
      <c r="A2221" s="5" t="s">
        <v>2919</v>
      </c>
      <c r="B2221" s="14" t="s">
        <v>4217</v>
      </c>
      <c r="C2221" s="14" t="s">
        <v>4245</v>
      </c>
      <c r="D2221" s="138">
        <v>2</v>
      </c>
      <c r="E2221" s="14" t="s">
        <v>4246</v>
      </c>
      <c r="F2221" s="14" t="s">
        <v>11</v>
      </c>
    </row>
    <row r="2222" ht="18" customHeight="1" spans="1:6">
      <c r="A2222" s="5" t="s">
        <v>2919</v>
      </c>
      <c r="B2222" s="14" t="s">
        <v>4217</v>
      </c>
      <c r="C2222" s="14" t="s">
        <v>4247</v>
      </c>
      <c r="D2222" s="138">
        <v>1</v>
      </c>
      <c r="E2222" s="14" t="s">
        <v>4248</v>
      </c>
      <c r="F2222" s="14" t="s">
        <v>11</v>
      </c>
    </row>
    <row r="2223" ht="18" customHeight="1" spans="1:6">
      <c r="A2223" s="5" t="s">
        <v>2919</v>
      </c>
      <c r="B2223" s="14" t="s">
        <v>4217</v>
      </c>
      <c r="C2223" s="14" t="s">
        <v>4249</v>
      </c>
      <c r="D2223" s="138">
        <v>1</v>
      </c>
      <c r="E2223" s="14" t="s">
        <v>4250</v>
      </c>
      <c r="F2223" s="14" t="s">
        <v>11</v>
      </c>
    </row>
    <row r="2224" ht="18" customHeight="1" spans="1:6">
      <c r="A2224" s="5" t="s">
        <v>2919</v>
      </c>
      <c r="B2224" s="14" t="s">
        <v>4217</v>
      </c>
      <c r="C2224" s="14" t="s">
        <v>4251</v>
      </c>
      <c r="D2224" s="138">
        <v>1</v>
      </c>
      <c r="E2224" s="14" t="s">
        <v>4252</v>
      </c>
      <c r="F2224" s="14" t="s">
        <v>11</v>
      </c>
    </row>
    <row r="2225" ht="18" customHeight="1" spans="1:6">
      <c r="A2225" s="5" t="s">
        <v>2919</v>
      </c>
      <c r="B2225" s="14" t="s">
        <v>4217</v>
      </c>
      <c r="C2225" s="14" t="s">
        <v>4253</v>
      </c>
      <c r="D2225" s="138">
        <v>1</v>
      </c>
      <c r="E2225" s="14" t="s">
        <v>4254</v>
      </c>
      <c r="F2225" s="14" t="s">
        <v>11</v>
      </c>
    </row>
    <row r="2226" ht="18" customHeight="1" spans="1:6">
      <c r="A2226" s="5" t="s">
        <v>2919</v>
      </c>
      <c r="B2226" s="14" t="s">
        <v>4217</v>
      </c>
      <c r="C2226" s="14" t="s">
        <v>4255</v>
      </c>
      <c r="D2226" s="138">
        <v>1</v>
      </c>
      <c r="E2226" s="14" t="s">
        <v>4256</v>
      </c>
      <c r="F2226" s="14" t="s">
        <v>11</v>
      </c>
    </row>
    <row r="2227" ht="18" customHeight="1" spans="1:6">
      <c r="A2227" s="5" t="s">
        <v>2919</v>
      </c>
      <c r="B2227" s="14" t="s">
        <v>4217</v>
      </c>
      <c r="C2227" s="14" t="s">
        <v>4257</v>
      </c>
      <c r="D2227" s="138">
        <v>1</v>
      </c>
      <c r="E2227" s="14" t="s">
        <v>4258</v>
      </c>
      <c r="F2227" s="14" t="s">
        <v>11</v>
      </c>
    </row>
    <row r="2228" ht="18" customHeight="1" spans="1:6">
      <c r="A2228" s="13" t="s">
        <v>2919</v>
      </c>
      <c r="B2228" s="14" t="s">
        <v>4217</v>
      </c>
      <c r="C2228" s="14" t="s">
        <v>4259</v>
      </c>
      <c r="D2228" s="138">
        <v>4</v>
      </c>
      <c r="E2228" s="14" t="s">
        <v>4260</v>
      </c>
      <c r="F2228" s="14" t="s">
        <v>11</v>
      </c>
    </row>
    <row r="2229" ht="18" customHeight="1" spans="1:6">
      <c r="A2229" s="5" t="s">
        <v>2919</v>
      </c>
      <c r="B2229" s="14" t="s">
        <v>4261</v>
      </c>
      <c r="C2229" s="14" t="s">
        <v>4262</v>
      </c>
      <c r="D2229" s="138">
        <v>2</v>
      </c>
      <c r="E2229" s="14" t="s">
        <v>4263</v>
      </c>
      <c r="F2229" s="14" t="s">
        <v>11</v>
      </c>
    </row>
    <row r="2230" ht="18" customHeight="1" spans="1:6">
      <c r="A2230" s="5" t="s">
        <v>2919</v>
      </c>
      <c r="B2230" s="14" t="s">
        <v>4261</v>
      </c>
      <c r="C2230" s="14" t="s">
        <v>4264</v>
      </c>
      <c r="D2230" s="138">
        <v>3</v>
      </c>
      <c r="E2230" s="14" t="s">
        <v>4265</v>
      </c>
      <c r="F2230" s="14" t="s">
        <v>11</v>
      </c>
    </row>
    <row r="2231" ht="18" customHeight="1" spans="1:6">
      <c r="A2231" s="5" t="s">
        <v>2919</v>
      </c>
      <c r="B2231" s="14" t="s">
        <v>4261</v>
      </c>
      <c r="C2231" s="14" t="s">
        <v>4266</v>
      </c>
      <c r="D2231" s="138">
        <v>3</v>
      </c>
      <c r="E2231" s="14" t="s">
        <v>4267</v>
      </c>
      <c r="F2231" s="14" t="s">
        <v>11</v>
      </c>
    </row>
    <row r="2232" ht="18" customHeight="1" spans="1:6">
      <c r="A2232" s="5" t="s">
        <v>2919</v>
      </c>
      <c r="B2232" s="14" t="s">
        <v>4261</v>
      </c>
      <c r="C2232" s="14" t="s">
        <v>4268</v>
      </c>
      <c r="D2232" s="138">
        <v>2</v>
      </c>
      <c r="E2232" s="14" t="s">
        <v>4269</v>
      </c>
      <c r="F2232" s="14" t="s">
        <v>11</v>
      </c>
    </row>
    <row r="2233" ht="18" customHeight="1" spans="1:6">
      <c r="A2233" s="5" t="s">
        <v>2919</v>
      </c>
      <c r="B2233" s="14" t="s">
        <v>4261</v>
      </c>
      <c r="C2233" s="14" t="s">
        <v>4270</v>
      </c>
      <c r="D2233" s="138">
        <v>5</v>
      </c>
      <c r="E2233" s="14" t="s">
        <v>4271</v>
      </c>
      <c r="F2233" s="14" t="s">
        <v>11</v>
      </c>
    </row>
    <row r="2234" ht="18" customHeight="1" spans="1:6">
      <c r="A2234" s="5" t="s">
        <v>2919</v>
      </c>
      <c r="B2234" s="14" t="s">
        <v>4261</v>
      </c>
      <c r="C2234" s="14" t="s">
        <v>4272</v>
      </c>
      <c r="D2234" s="138">
        <v>2</v>
      </c>
      <c r="E2234" s="14" t="s">
        <v>4273</v>
      </c>
      <c r="F2234" s="14" t="s">
        <v>11</v>
      </c>
    </row>
    <row r="2235" ht="18" customHeight="1" spans="1:6">
      <c r="A2235" s="5" t="s">
        <v>2919</v>
      </c>
      <c r="B2235" s="14" t="s">
        <v>4261</v>
      </c>
      <c r="C2235" s="14" t="s">
        <v>4274</v>
      </c>
      <c r="D2235" s="138">
        <v>3</v>
      </c>
      <c r="E2235" s="14" t="s">
        <v>4275</v>
      </c>
      <c r="F2235" s="14" t="s">
        <v>11</v>
      </c>
    </row>
    <row r="2236" ht="18" customHeight="1" spans="1:6">
      <c r="A2236" s="5" t="s">
        <v>2919</v>
      </c>
      <c r="B2236" s="14" t="s">
        <v>4261</v>
      </c>
      <c r="C2236" s="14" t="s">
        <v>4276</v>
      </c>
      <c r="D2236" s="138">
        <v>2</v>
      </c>
      <c r="E2236" s="14" t="s">
        <v>4277</v>
      </c>
      <c r="F2236" s="14" t="s">
        <v>11</v>
      </c>
    </row>
    <row r="2237" ht="18" customHeight="1" spans="1:6">
      <c r="A2237" s="5" t="s">
        <v>2919</v>
      </c>
      <c r="B2237" s="14" t="s">
        <v>4261</v>
      </c>
      <c r="C2237" s="14" t="s">
        <v>4278</v>
      </c>
      <c r="D2237" s="138">
        <v>5</v>
      </c>
      <c r="E2237" s="14" t="s">
        <v>4279</v>
      </c>
      <c r="F2237" s="14" t="s">
        <v>11</v>
      </c>
    </row>
    <row r="2238" ht="18" customHeight="1" spans="1:6">
      <c r="A2238" s="5" t="s">
        <v>2919</v>
      </c>
      <c r="B2238" s="14" t="s">
        <v>4261</v>
      </c>
      <c r="C2238" s="14" t="s">
        <v>4280</v>
      </c>
      <c r="D2238" s="138">
        <v>1</v>
      </c>
      <c r="E2238" s="14" t="s">
        <v>4281</v>
      </c>
      <c r="F2238" s="14" t="s">
        <v>11</v>
      </c>
    </row>
    <row r="2239" ht="18" customHeight="1" spans="1:6">
      <c r="A2239" s="5" t="s">
        <v>2919</v>
      </c>
      <c r="B2239" s="14" t="s">
        <v>4261</v>
      </c>
      <c r="C2239" s="14" t="s">
        <v>4282</v>
      </c>
      <c r="D2239" s="138">
        <v>1</v>
      </c>
      <c r="E2239" s="14" t="s">
        <v>4283</v>
      </c>
      <c r="F2239" s="14" t="s">
        <v>11</v>
      </c>
    </row>
    <row r="2240" ht="18" customHeight="1" spans="1:6">
      <c r="A2240" s="5" t="s">
        <v>2919</v>
      </c>
      <c r="B2240" s="14" t="s">
        <v>4261</v>
      </c>
      <c r="C2240" s="14" t="s">
        <v>4284</v>
      </c>
      <c r="D2240" s="138">
        <v>1</v>
      </c>
      <c r="E2240" s="14" t="s">
        <v>4285</v>
      </c>
      <c r="F2240" s="14" t="s">
        <v>11</v>
      </c>
    </row>
    <row r="2241" ht="18" customHeight="1" spans="1:6">
      <c r="A2241" s="5" t="s">
        <v>2919</v>
      </c>
      <c r="B2241" s="14" t="s">
        <v>4261</v>
      </c>
      <c r="C2241" s="14" t="s">
        <v>4286</v>
      </c>
      <c r="D2241" s="138">
        <v>1</v>
      </c>
      <c r="E2241" s="14" t="s">
        <v>4287</v>
      </c>
      <c r="F2241" s="14" t="s">
        <v>11</v>
      </c>
    </row>
    <row r="2242" ht="18" customHeight="1" spans="1:6">
      <c r="A2242" s="5" t="s">
        <v>2919</v>
      </c>
      <c r="B2242" s="14" t="s">
        <v>4261</v>
      </c>
      <c r="C2242" s="14" t="s">
        <v>4288</v>
      </c>
      <c r="D2242" s="138">
        <v>2</v>
      </c>
      <c r="E2242" s="14" t="s">
        <v>4289</v>
      </c>
      <c r="F2242" s="14" t="s">
        <v>11</v>
      </c>
    </row>
    <row r="2243" ht="18" customHeight="1" spans="1:6">
      <c r="A2243" s="5" t="s">
        <v>2919</v>
      </c>
      <c r="B2243" s="14" t="s">
        <v>4261</v>
      </c>
      <c r="C2243" s="14" t="s">
        <v>4290</v>
      </c>
      <c r="D2243" s="138">
        <v>1</v>
      </c>
      <c r="E2243" s="14" t="s">
        <v>4291</v>
      </c>
      <c r="F2243" s="14" t="s">
        <v>11</v>
      </c>
    </row>
    <row r="2244" ht="18" customHeight="1" spans="1:6">
      <c r="A2244" s="5" t="s">
        <v>2919</v>
      </c>
      <c r="B2244" s="14" t="s">
        <v>4261</v>
      </c>
      <c r="C2244" s="14" t="s">
        <v>4292</v>
      </c>
      <c r="D2244" s="138">
        <v>1</v>
      </c>
      <c r="E2244" s="14" t="s">
        <v>4293</v>
      </c>
      <c r="F2244" s="14" t="s">
        <v>11</v>
      </c>
    </row>
    <row r="2245" ht="18" customHeight="1" spans="1:6">
      <c r="A2245" s="5" t="s">
        <v>2919</v>
      </c>
      <c r="B2245" s="14" t="s">
        <v>4261</v>
      </c>
      <c r="C2245" s="14" t="s">
        <v>4294</v>
      </c>
      <c r="D2245" s="138">
        <v>1</v>
      </c>
      <c r="E2245" s="14" t="s">
        <v>4295</v>
      </c>
      <c r="F2245" s="14" t="s">
        <v>11</v>
      </c>
    </row>
    <row r="2246" ht="18" customHeight="1" spans="1:6">
      <c r="A2246" s="5" t="s">
        <v>2919</v>
      </c>
      <c r="B2246" s="14" t="s">
        <v>4261</v>
      </c>
      <c r="C2246" s="14" t="s">
        <v>4296</v>
      </c>
      <c r="D2246" s="138">
        <v>1</v>
      </c>
      <c r="E2246" s="14" t="s">
        <v>4297</v>
      </c>
      <c r="F2246" s="14" t="s">
        <v>11</v>
      </c>
    </row>
    <row r="2247" ht="18" customHeight="1" spans="1:6">
      <c r="A2247" s="5" t="s">
        <v>2919</v>
      </c>
      <c r="B2247" s="14" t="s">
        <v>4298</v>
      </c>
      <c r="C2247" s="14" t="s">
        <v>4299</v>
      </c>
      <c r="D2247" s="138">
        <v>3</v>
      </c>
      <c r="E2247" s="14" t="s">
        <v>4300</v>
      </c>
      <c r="F2247" s="14" t="s">
        <v>11</v>
      </c>
    </row>
    <row r="2248" ht="18" customHeight="1" spans="1:6">
      <c r="A2248" s="5" t="s">
        <v>2919</v>
      </c>
      <c r="B2248" s="14" t="s">
        <v>4298</v>
      </c>
      <c r="C2248" s="14" t="s">
        <v>4301</v>
      </c>
      <c r="D2248" s="138">
        <v>1</v>
      </c>
      <c r="E2248" s="14" t="s">
        <v>4302</v>
      </c>
      <c r="F2248" s="14" t="s">
        <v>11</v>
      </c>
    </row>
    <row r="2249" ht="18" customHeight="1" spans="1:6">
      <c r="A2249" s="5" t="s">
        <v>2919</v>
      </c>
      <c r="B2249" s="14" t="s">
        <v>4298</v>
      </c>
      <c r="C2249" s="14" t="s">
        <v>4303</v>
      </c>
      <c r="D2249" s="138">
        <v>2</v>
      </c>
      <c r="E2249" s="14" t="s">
        <v>4304</v>
      </c>
      <c r="F2249" s="14" t="s">
        <v>11</v>
      </c>
    </row>
    <row r="2250" ht="18" customHeight="1" spans="1:6">
      <c r="A2250" s="5" t="s">
        <v>2919</v>
      </c>
      <c r="B2250" s="14" t="s">
        <v>4298</v>
      </c>
      <c r="C2250" s="14" t="s">
        <v>4305</v>
      </c>
      <c r="D2250" s="138">
        <v>2</v>
      </c>
      <c r="E2250" s="14" t="s">
        <v>4306</v>
      </c>
      <c r="F2250" s="14" t="s">
        <v>11</v>
      </c>
    </row>
    <row r="2251" ht="18" customHeight="1" spans="1:6">
      <c r="A2251" s="5" t="s">
        <v>2919</v>
      </c>
      <c r="B2251" s="14" t="s">
        <v>4298</v>
      </c>
      <c r="C2251" s="14" t="s">
        <v>4307</v>
      </c>
      <c r="D2251" s="138">
        <v>1</v>
      </c>
      <c r="E2251" s="14" t="s">
        <v>4308</v>
      </c>
      <c r="F2251" s="14" t="s">
        <v>11</v>
      </c>
    </row>
    <row r="2252" ht="18" customHeight="1" spans="1:6">
      <c r="A2252" s="5" t="s">
        <v>2919</v>
      </c>
      <c r="B2252" s="14" t="s">
        <v>4298</v>
      </c>
      <c r="C2252" s="14" t="s">
        <v>4309</v>
      </c>
      <c r="D2252" s="138">
        <v>1</v>
      </c>
      <c r="E2252" s="14" t="s">
        <v>4310</v>
      </c>
      <c r="F2252" s="14" t="s">
        <v>11</v>
      </c>
    </row>
    <row r="2253" ht="18" customHeight="1" spans="1:6">
      <c r="A2253" s="5" t="s">
        <v>2919</v>
      </c>
      <c r="B2253" s="14" t="s">
        <v>4298</v>
      </c>
      <c r="C2253" s="14" t="s">
        <v>4311</v>
      </c>
      <c r="D2253" s="138">
        <v>2</v>
      </c>
      <c r="E2253" s="14" t="s">
        <v>4312</v>
      </c>
      <c r="F2253" s="14" t="s">
        <v>11</v>
      </c>
    </row>
    <row r="2254" ht="18" customHeight="1" spans="1:6">
      <c r="A2254" s="5" t="s">
        <v>2919</v>
      </c>
      <c r="B2254" s="14" t="s">
        <v>4298</v>
      </c>
      <c r="C2254" s="14" t="s">
        <v>4313</v>
      </c>
      <c r="D2254" s="138">
        <v>2</v>
      </c>
      <c r="E2254" s="14" t="s">
        <v>4314</v>
      </c>
      <c r="F2254" s="14" t="s">
        <v>11</v>
      </c>
    </row>
    <row r="2255" ht="18" customHeight="1" spans="1:6">
      <c r="A2255" s="5" t="s">
        <v>2919</v>
      </c>
      <c r="B2255" s="14" t="s">
        <v>4298</v>
      </c>
      <c r="C2255" s="14" t="s">
        <v>4315</v>
      </c>
      <c r="D2255" s="138">
        <v>1</v>
      </c>
      <c r="E2255" s="14" t="s">
        <v>4316</v>
      </c>
      <c r="F2255" s="14" t="s">
        <v>11</v>
      </c>
    </row>
    <row r="2256" ht="18" customHeight="1" spans="1:6">
      <c r="A2256" s="5" t="s">
        <v>2919</v>
      </c>
      <c r="B2256" s="14" t="s">
        <v>4298</v>
      </c>
      <c r="C2256" s="14" t="s">
        <v>4317</v>
      </c>
      <c r="D2256" s="138">
        <v>2</v>
      </c>
      <c r="E2256" s="192" t="s">
        <v>4318</v>
      </c>
      <c r="F2256" s="14" t="s">
        <v>11</v>
      </c>
    </row>
    <row r="2257" ht="18" customHeight="1" spans="1:6">
      <c r="A2257" s="5" t="s">
        <v>2919</v>
      </c>
      <c r="B2257" s="14" t="s">
        <v>4298</v>
      </c>
      <c r="C2257" s="14" t="s">
        <v>4319</v>
      </c>
      <c r="D2257" s="138">
        <v>2</v>
      </c>
      <c r="E2257" s="192" t="s">
        <v>4320</v>
      </c>
      <c r="F2257" s="14" t="s">
        <v>11</v>
      </c>
    </row>
    <row r="2258" ht="18" customHeight="1" spans="1:6">
      <c r="A2258" s="5" t="s">
        <v>2919</v>
      </c>
      <c r="B2258" s="14" t="s">
        <v>4298</v>
      </c>
      <c r="C2258" s="14" t="s">
        <v>4321</v>
      </c>
      <c r="D2258" s="138">
        <v>4</v>
      </c>
      <c r="E2258" s="14" t="s">
        <v>4322</v>
      </c>
      <c r="F2258" s="14" t="s">
        <v>11</v>
      </c>
    </row>
    <row r="2259" ht="18" customHeight="1" spans="1:6">
      <c r="A2259" s="5" t="s">
        <v>2919</v>
      </c>
      <c r="B2259" s="14" t="s">
        <v>4298</v>
      </c>
      <c r="C2259" s="14" t="s">
        <v>4323</v>
      </c>
      <c r="D2259" s="138">
        <v>1</v>
      </c>
      <c r="E2259" s="14" t="s">
        <v>4324</v>
      </c>
      <c r="F2259" s="14" t="s">
        <v>11</v>
      </c>
    </row>
    <row r="2260" ht="18" customHeight="1" spans="1:6">
      <c r="A2260" s="5" t="s">
        <v>2919</v>
      </c>
      <c r="B2260" s="14" t="s">
        <v>4298</v>
      </c>
      <c r="C2260" s="14" t="s">
        <v>4325</v>
      </c>
      <c r="D2260" s="138">
        <v>1</v>
      </c>
      <c r="E2260" s="14" t="s">
        <v>4326</v>
      </c>
      <c r="F2260" s="14" t="s">
        <v>11</v>
      </c>
    </row>
    <row r="2261" ht="18" customHeight="1" spans="1:6">
      <c r="A2261" s="5" t="s">
        <v>2919</v>
      </c>
      <c r="B2261" s="14" t="s">
        <v>4298</v>
      </c>
      <c r="C2261" s="14" t="s">
        <v>4327</v>
      </c>
      <c r="D2261" s="138">
        <v>1</v>
      </c>
      <c r="E2261" s="14" t="s">
        <v>4328</v>
      </c>
      <c r="F2261" s="14" t="s">
        <v>11</v>
      </c>
    </row>
    <row r="2262" ht="18" customHeight="1" spans="1:6">
      <c r="A2262" s="5" t="s">
        <v>2919</v>
      </c>
      <c r="B2262" s="14" t="s">
        <v>4298</v>
      </c>
      <c r="C2262" s="14" t="s">
        <v>4329</v>
      </c>
      <c r="D2262" s="138">
        <v>1</v>
      </c>
      <c r="E2262" s="14" t="s">
        <v>4330</v>
      </c>
      <c r="F2262" s="14" t="s">
        <v>11</v>
      </c>
    </row>
    <row r="2263" ht="18" customHeight="1" spans="1:6">
      <c r="A2263" s="5" t="s">
        <v>2919</v>
      </c>
      <c r="B2263" s="14" t="s">
        <v>4298</v>
      </c>
      <c r="C2263" s="14" t="s">
        <v>4331</v>
      </c>
      <c r="D2263" s="138">
        <v>3</v>
      </c>
      <c r="E2263" s="14" t="s">
        <v>4332</v>
      </c>
      <c r="F2263" s="14" t="s">
        <v>11</v>
      </c>
    </row>
    <row r="2264" ht="18" customHeight="1" spans="1:6">
      <c r="A2264" s="5" t="s">
        <v>2919</v>
      </c>
      <c r="B2264" s="14" t="s">
        <v>4298</v>
      </c>
      <c r="C2264" s="14" t="s">
        <v>4333</v>
      </c>
      <c r="D2264" s="138">
        <v>1</v>
      </c>
      <c r="E2264" s="192" t="s">
        <v>4334</v>
      </c>
      <c r="F2264" s="14" t="s">
        <v>11</v>
      </c>
    </row>
    <row r="2265" ht="18" customHeight="1" spans="1:6">
      <c r="A2265" s="5" t="s">
        <v>2919</v>
      </c>
      <c r="B2265" s="14" t="s">
        <v>4335</v>
      </c>
      <c r="C2265" s="14" t="s">
        <v>4336</v>
      </c>
      <c r="D2265" s="138">
        <v>3</v>
      </c>
      <c r="E2265" s="192" t="s">
        <v>4337</v>
      </c>
      <c r="F2265" s="14" t="s">
        <v>11</v>
      </c>
    </row>
    <row r="2266" ht="18" customHeight="1" spans="1:6">
      <c r="A2266" s="5" t="s">
        <v>2919</v>
      </c>
      <c r="B2266" s="14" t="s">
        <v>4335</v>
      </c>
      <c r="C2266" s="14" t="s">
        <v>4338</v>
      </c>
      <c r="D2266" s="138">
        <v>2</v>
      </c>
      <c r="E2266" s="192" t="s">
        <v>4339</v>
      </c>
      <c r="F2266" s="14" t="s">
        <v>11</v>
      </c>
    </row>
    <row r="2267" ht="18" customHeight="1" spans="1:6">
      <c r="A2267" s="5" t="s">
        <v>2919</v>
      </c>
      <c r="B2267" s="14" t="s">
        <v>4335</v>
      </c>
      <c r="C2267" s="14" t="s">
        <v>4340</v>
      </c>
      <c r="D2267" s="138">
        <v>1</v>
      </c>
      <c r="E2267" s="192" t="s">
        <v>4341</v>
      </c>
      <c r="F2267" s="14" t="s">
        <v>11</v>
      </c>
    </row>
    <row r="2268" ht="18" customHeight="1" spans="1:6">
      <c r="A2268" s="5" t="s">
        <v>2919</v>
      </c>
      <c r="B2268" s="14" t="s">
        <v>4335</v>
      </c>
      <c r="C2268" s="14" t="s">
        <v>4342</v>
      </c>
      <c r="D2268" s="138">
        <v>1</v>
      </c>
      <c r="E2268" s="192" t="s">
        <v>4343</v>
      </c>
      <c r="F2268" s="14" t="s">
        <v>11</v>
      </c>
    </row>
    <row r="2269" ht="18" customHeight="1" spans="1:6">
      <c r="A2269" s="5" t="s">
        <v>2919</v>
      </c>
      <c r="B2269" s="14" t="s">
        <v>4335</v>
      </c>
      <c r="C2269" s="14" t="s">
        <v>4344</v>
      </c>
      <c r="D2269" s="138">
        <v>2</v>
      </c>
      <c r="E2269" s="192" t="s">
        <v>4345</v>
      </c>
      <c r="F2269" s="14" t="s">
        <v>11</v>
      </c>
    </row>
    <row r="2270" ht="18" customHeight="1" spans="1:6">
      <c r="A2270" s="5" t="s">
        <v>2919</v>
      </c>
      <c r="B2270" s="14" t="s">
        <v>4335</v>
      </c>
      <c r="C2270" s="14" t="s">
        <v>4346</v>
      </c>
      <c r="D2270" s="138">
        <v>2</v>
      </c>
      <c r="E2270" s="192" t="s">
        <v>4347</v>
      </c>
      <c r="F2270" s="14" t="s">
        <v>11</v>
      </c>
    </row>
    <row r="2271" ht="18" customHeight="1" spans="1:6">
      <c r="A2271" s="5" t="s">
        <v>2919</v>
      </c>
      <c r="B2271" s="14" t="s">
        <v>4335</v>
      </c>
      <c r="C2271" s="14" t="s">
        <v>4348</v>
      </c>
      <c r="D2271" s="138">
        <v>2</v>
      </c>
      <c r="E2271" s="192" t="s">
        <v>4349</v>
      </c>
      <c r="F2271" s="14" t="s">
        <v>11</v>
      </c>
    </row>
    <row r="2272" ht="18" customHeight="1" spans="1:6">
      <c r="A2272" s="5" t="s">
        <v>2919</v>
      </c>
      <c r="B2272" s="14" t="s">
        <v>4335</v>
      </c>
      <c r="C2272" s="14" t="s">
        <v>4350</v>
      </c>
      <c r="D2272" s="138">
        <v>3</v>
      </c>
      <c r="E2272" s="192" t="s">
        <v>4351</v>
      </c>
      <c r="F2272" s="14" t="s">
        <v>11</v>
      </c>
    </row>
    <row r="2273" ht="18" customHeight="1" spans="1:6">
      <c r="A2273" s="5" t="s">
        <v>2919</v>
      </c>
      <c r="B2273" s="14" t="s">
        <v>4335</v>
      </c>
      <c r="C2273" s="14" t="s">
        <v>4352</v>
      </c>
      <c r="D2273" s="138">
        <v>2</v>
      </c>
      <c r="E2273" s="192" t="s">
        <v>4353</v>
      </c>
      <c r="F2273" s="14" t="s">
        <v>11</v>
      </c>
    </row>
    <row r="2274" ht="18" customHeight="1" spans="1:6">
      <c r="A2274" s="5" t="s">
        <v>2919</v>
      </c>
      <c r="B2274" s="14" t="s">
        <v>4335</v>
      </c>
      <c r="C2274" s="14" t="s">
        <v>4354</v>
      </c>
      <c r="D2274" s="138">
        <v>1</v>
      </c>
      <c r="E2274" s="192" t="s">
        <v>4355</v>
      </c>
      <c r="F2274" s="14" t="s">
        <v>11</v>
      </c>
    </row>
    <row r="2275" ht="18" customHeight="1" spans="1:6">
      <c r="A2275" s="5" t="s">
        <v>2919</v>
      </c>
      <c r="B2275" s="14" t="s">
        <v>4335</v>
      </c>
      <c r="C2275" s="14" t="s">
        <v>4356</v>
      </c>
      <c r="D2275" s="138">
        <v>1</v>
      </c>
      <c r="E2275" s="192" t="s">
        <v>4357</v>
      </c>
      <c r="F2275" s="14" t="s">
        <v>11</v>
      </c>
    </row>
    <row r="2276" ht="18" customHeight="1" spans="1:6">
      <c r="A2276" s="5" t="s">
        <v>2919</v>
      </c>
      <c r="B2276" s="14" t="s">
        <v>4335</v>
      </c>
      <c r="C2276" s="14" t="s">
        <v>4358</v>
      </c>
      <c r="D2276" s="138">
        <v>1</v>
      </c>
      <c r="E2276" s="192" t="s">
        <v>4359</v>
      </c>
      <c r="F2276" s="14" t="s">
        <v>11</v>
      </c>
    </row>
    <row r="2277" ht="18" customHeight="1" spans="1:6">
      <c r="A2277" s="5" t="s">
        <v>2919</v>
      </c>
      <c r="B2277" s="14" t="s">
        <v>4335</v>
      </c>
      <c r="C2277" s="14" t="s">
        <v>4360</v>
      </c>
      <c r="D2277" s="138">
        <v>1</v>
      </c>
      <c r="E2277" s="192" t="s">
        <v>4361</v>
      </c>
      <c r="F2277" s="14" t="s">
        <v>11</v>
      </c>
    </row>
    <row r="2278" ht="18" customHeight="1" spans="1:6">
      <c r="A2278" s="5" t="s">
        <v>2919</v>
      </c>
      <c r="B2278" s="14" t="s">
        <v>4335</v>
      </c>
      <c r="C2278" s="14" t="s">
        <v>4362</v>
      </c>
      <c r="D2278" s="138">
        <v>1</v>
      </c>
      <c r="E2278" s="192" t="s">
        <v>4363</v>
      </c>
      <c r="F2278" s="14" t="s">
        <v>11</v>
      </c>
    </row>
    <row r="2279" ht="18" customHeight="1" spans="1:6">
      <c r="A2279" s="5" t="s">
        <v>2919</v>
      </c>
      <c r="B2279" s="14" t="s">
        <v>4335</v>
      </c>
      <c r="C2279" s="14" t="s">
        <v>4364</v>
      </c>
      <c r="D2279" s="138">
        <v>1</v>
      </c>
      <c r="E2279" s="14" t="s">
        <v>4365</v>
      </c>
      <c r="F2279" s="14" t="s">
        <v>11</v>
      </c>
    </row>
    <row r="2280" ht="18" customHeight="1" spans="1:6">
      <c r="A2280" s="5" t="s">
        <v>2919</v>
      </c>
      <c r="B2280" s="14" t="s">
        <v>4335</v>
      </c>
      <c r="C2280" s="14" t="s">
        <v>4366</v>
      </c>
      <c r="D2280" s="138">
        <v>2</v>
      </c>
      <c r="E2280" s="192" t="s">
        <v>4367</v>
      </c>
      <c r="F2280" s="14" t="s">
        <v>11</v>
      </c>
    </row>
    <row r="2281" ht="18" customHeight="1" spans="1:6">
      <c r="A2281" s="5" t="s">
        <v>2919</v>
      </c>
      <c r="B2281" s="14" t="s">
        <v>4335</v>
      </c>
      <c r="C2281" s="14" t="s">
        <v>4368</v>
      </c>
      <c r="D2281" s="138">
        <v>2</v>
      </c>
      <c r="E2281" s="14" t="s">
        <v>4369</v>
      </c>
      <c r="F2281" s="14" t="s">
        <v>11</v>
      </c>
    </row>
    <row r="2282" ht="18" customHeight="1" spans="1:6">
      <c r="A2282" s="5" t="s">
        <v>2919</v>
      </c>
      <c r="B2282" s="14" t="s">
        <v>4335</v>
      </c>
      <c r="C2282" s="14" t="s">
        <v>4370</v>
      </c>
      <c r="D2282" s="138">
        <v>2</v>
      </c>
      <c r="E2282" s="192" t="s">
        <v>4371</v>
      </c>
      <c r="F2282" s="14" t="s">
        <v>11</v>
      </c>
    </row>
    <row r="2283" ht="18" customHeight="1" spans="1:6">
      <c r="A2283" s="5" t="s">
        <v>2919</v>
      </c>
      <c r="B2283" s="14" t="s">
        <v>4335</v>
      </c>
      <c r="C2283" s="14" t="s">
        <v>4372</v>
      </c>
      <c r="D2283" s="138">
        <v>1</v>
      </c>
      <c r="E2283" s="14" t="s">
        <v>4373</v>
      </c>
      <c r="F2283" s="14" t="s">
        <v>11</v>
      </c>
    </row>
    <row r="2284" ht="18" customHeight="1" spans="1:6">
      <c r="A2284" s="5" t="s">
        <v>2919</v>
      </c>
      <c r="B2284" s="14" t="s">
        <v>4335</v>
      </c>
      <c r="C2284" s="14" t="s">
        <v>4374</v>
      </c>
      <c r="D2284" s="138">
        <v>1</v>
      </c>
      <c r="E2284" s="14" t="s">
        <v>4375</v>
      </c>
      <c r="F2284" s="14" t="s">
        <v>11</v>
      </c>
    </row>
    <row r="2285" ht="18" customHeight="1" spans="1:6">
      <c r="A2285" s="5" t="s">
        <v>2919</v>
      </c>
      <c r="B2285" s="14" t="s">
        <v>4335</v>
      </c>
      <c r="C2285" s="14" t="s">
        <v>4376</v>
      </c>
      <c r="D2285" s="138">
        <v>1</v>
      </c>
      <c r="E2285" s="14" t="s">
        <v>4377</v>
      </c>
      <c r="F2285" s="14" t="s">
        <v>11</v>
      </c>
    </row>
    <row r="2286" ht="18" customHeight="1" spans="1:6">
      <c r="A2286" s="5" t="s">
        <v>2919</v>
      </c>
      <c r="B2286" s="14" t="s">
        <v>4335</v>
      </c>
      <c r="C2286" s="14" t="s">
        <v>4378</v>
      </c>
      <c r="D2286" s="138">
        <v>1</v>
      </c>
      <c r="E2286" s="14" t="s">
        <v>4379</v>
      </c>
      <c r="F2286" s="14" t="s">
        <v>11</v>
      </c>
    </row>
    <row r="2287" ht="18" customHeight="1" spans="1:6">
      <c r="A2287" s="5" t="s">
        <v>2919</v>
      </c>
      <c r="B2287" s="14" t="s">
        <v>4335</v>
      </c>
      <c r="C2287" s="14" t="s">
        <v>4380</v>
      </c>
      <c r="D2287" s="138">
        <v>1</v>
      </c>
      <c r="E2287" s="14" t="s">
        <v>4381</v>
      </c>
      <c r="F2287" s="14" t="s">
        <v>11</v>
      </c>
    </row>
    <row r="2288" ht="18" customHeight="1" spans="1:6">
      <c r="A2288" s="5" t="s">
        <v>2919</v>
      </c>
      <c r="B2288" s="14" t="s">
        <v>4335</v>
      </c>
      <c r="C2288" s="14" t="s">
        <v>4382</v>
      </c>
      <c r="D2288" s="138">
        <v>1</v>
      </c>
      <c r="E2288" s="14" t="s">
        <v>4383</v>
      </c>
      <c r="F2288" s="14" t="s">
        <v>11</v>
      </c>
    </row>
    <row r="2289" ht="18" customHeight="1" spans="1:6">
      <c r="A2289" s="5" t="s">
        <v>2919</v>
      </c>
      <c r="B2289" s="14" t="s">
        <v>4335</v>
      </c>
      <c r="C2289" s="14" t="s">
        <v>4384</v>
      </c>
      <c r="D2289" s="138">
        <v>1</v>
      </c>
      <c r="E2289" s="14" t="s">
        <v>4385</v>
      </c>
      <c r="F2289" s="14" t="s">
        <v>11</v>
      </c>
    </row>
    <row r="2290" ht="18" customHeight="1" spans="1:6">
      <c r="A2290" s="5" t="s">
        <v>2919</v>
      </c>
      <c r="B2290" s="14" t="s">
        <v>4335</v>
      </c>
      <c r="C2290" s="14" t="s">
        <v>4386</v>
      </c>
      <c r="D2290" s="138">
        <v>1</v>
      </c>
      <c r="E2290" s="192" t="s">
        <v>4387</v>
      </c>
      <c r="F2290" s="14" t="s">
        <v>11</v>
      </c>
    </row>
    <row r="2291" ht="18" customHeight="1" spans="1:6">
      <c r="A2291" s="5" t="s">
        <v>2919</v>
      </c>
      <c r="B2291" s="14" t="s">
        <v>4335</v>
      </c>
      <c r="C2291" s="14" t="s">
        <v>1712</v>
      </c>
      <c r="D2291" s="138">
        <v>1</v>
      </c>
      <c r="E2291" s="14" t="s">
        <v>4388</v>
      </c>
      <c r="F2291" s="14" t="s">
        <v>11</v>
      </c>
    </row>
    <row r="2292" ht="18" customHeight="1" spans="1:6">
      <c r="A2292" s="5" t="s">
        <v>4389</v>
      </c>
      <c r="B2292" s="14"/>
      <c r="C2292" s="15">
        <v>741</v>
      </c>
      <c r="D2292" s="138">
        <f>SUM(D1551:D2291)</f>
        <v>1758</v>
      </c>
      <c r="E2292" s="14"/>
      <c r="F2292" s="14"/>
    </row>
    <row r="2293" ht="18" customHeight="1" spans="1:6">
      <c r="A2293" s="13" t="s">
        <v>4390</v>
      </c>
      <c r="B2293" s="13" t="s">
        <v>4391</v>
      </c>
      <c r="C2293" s="13" t="s">
        <v>4392</v>
      </c>
      <c r="D2293" s="14">
        <v>3</v>
      </c>
      <c r="E2293" s="179" t="s">
        <v>4393</v>
      </c>
      <c r="F2293" s="13" t="s">
        <v>11</v>
      </c>
    </row>
    <row r="2294" ht="18" customHeight="1" spans="1:6">
      <c r="A2294" s="13" t="s">
        <v>4390</v>
      </c>
      <c r="B2294" s="13" t="s">
        <v>4391</v>
      </c>
      <c r="C2294" s="13" t="s">
        <v>4394</v>
      </c>
      <c r="D2294" s="13">
        <v>3</v>
      </c>
      <c r="E2294" s="179" t="s">
        <v>4395</v>
      </c>
      <c r="F2294" s="13" t="s">
        <v>11</v>
      </c>
    </row>
    <row r="2295" ht="18" customHeight="1" spans="1:6">
      <c r="A2295" s="13" t="s">
        <v>4390</v>
      </c>
      <c r="B2295" s="13" t="s">
        <v>4391</v>
      </c>
      <c r="C2295" s="13" t="s">
        <v>4396</v>
      </c>
      <c r="D2295" s="13">
        <v>2</v>
      </c>
      <c r="E2295" s="14" t="s">
        <v>4397</v>
      </c>
      <c r="F2295" s="13" t="s">
        <v>11</v>
      </c>
    </row>
    <row r="2296" ht="18" customHeight="1" spans="1:6">
      <c r="A2296" s="13" t="s">
        <v>4390</v>
      </c>
      <c r="B2296" s="13" t="s">
        <v>4391</v>
      </c>
      <c r="C2296" s="13" t="s">
        <v>4398</v>
      </c>
      <c r="D2296" s="13">
        <v>1</v>
      </c>
      <c r="E2296" s="14" t="s">
        <v>4399</v>
      </c>
      <c r="F2296" s="13" t="s">
        <v>11</v>
      </c>
    </row>
    <row r="2297" ht="18" customHeight="1" spans="1:6">
      <c r="A2297" s="13" t="s">
        <v>4390</v>
      </c>
      <c r="B2297" s="13" t="s">
        <v>4391</v>
      </c>
      <c r="C2297" s="13" t="s">
        <v>4400</v>
      </c>
      <c r="D2297" s="13">
        <v>1</v>
      </c>
      <c r="E2297" s="14" t="s">
        <v>4401</v>
      </c>
      <c r="F2297" s="13" t="s">
        <v>11</v>
      </c>
    </row>
    <row r="2298" ht="18" customHeight="1" spans="1:6">
      <c r="A2298" s="13" t="s">
        <v>4390</v>
      </c>
      <c r="B2298" s="13" t="s">
        <v>4391</v>
      </c>
      <c r="C2298" s="13" t="s">
        <v>4402</v>
      </c>
      <c r="D2298" s="13">
        <v>4</v>
      </c>
      <c r="E2298" s="14" t="s">
        <v>4403</v>
      </c>
      <c r="F2298" s="13" t="s">
        <v>11</v>
      </c>
    </row>
    <row r="2299" ht="18" customHeight="1" spans="1:6">
      <c r="A2299" s="13" t="s">
        <v>4390</v>
      </c>
      <c r="B2299" s="13" t="s">
        <v>4391</v>
      </c>
      <c r="C2299" s="13" t="s">
        <v>4404</v>
      </c>
      <c r="D2299" s="13">
        <v>2</v>
      </c>
      <c r="E2299" s="14" t="s">
        <v>4405</v>
      </c>
      <c r="F2299" s="13" t="s">
        <v>11</v>
      </c>
    </row>
    <row r="2300" ht="18" customHeight="1" spans="1:6">
      <c r="A2300" s="13" t="s">
        <v>4390</v>
      </c>
      <c r="B2300" s="13" t="s">
        <v>4391</v>
      </c>
      <c r="C2300" s="13" t="s">
        <v>4406</v>
      </c>
      <c r="D2300" s="13">
        <v>3</v>
      </c>
      <c r="E2300" s="14" t="s">
        <v>4407</v>
      </c>
      <c r="F2300" s="13" t="s">
        <v>11</v>
      </c>
    </row>
    <row r="2301" ht="18" customHeight="1" spans="1:6">
      <c r="A2301" s="13" t="s">
        <v>4390</v>
      </c>
      <c r="B2301" s="13" t="s">
        <v>4391</v>
      </c>
      <c r="C2301" s="13" t="s">
        <v>4408</v>
      </c>
      <c r="D2301" s="13">
        <v>2</v>
      </c>
      <c r="E2301" s="14" t="s">
        <v>4409</v>
      </c>
      <c r="F2301" s="13" t="s">
        <v>11</v>
      </c>
    </row>
    <row r="2302" ht="18" customHeight="1" spans="1:6">
      <c r="A2302" s="13" t="s">
        <v>4390</v>
      </c>
      <c r="B2302" s="13" t="s">
        <v>4391</v>
      </c>
      <c r="C2302" s="13" t="s">
        <v>4410</v>
      </c>
      <c r="D2302" s="13">
        <v>1</v>
      </c>
      <c r="E2302" s="14" t="s">
        <v>4411</v>
      </c>
      <c r="F2302" s="13" t="s">
        <v>11</v>
      </c>
    </row>
    <row r="2303" ht="18" customHeight="1" spans="1:6">
      <c r="A2303" s="13" t="s">
        <v>4390</v>
      </c>
      <c r="B2303" s="13" t="s">
        <v>4391</v>
      </c>
      <c r="C2303" s="13" t="s">
        <v>4412</v>
      </c>
      <c r="D2303" s="13">
        <v>1</v>
      </c>
      <c r="E2303" s="14" t="s">
        <v>4413</v>
      </c>
      <c r="F2303" s="13" t="s">
        <v>11</v>
      </c>
    </row>
    <row r="2304" ht="18" customHeight="1" spans="1:6">
      <c r="A2304" s="13" t="s">
        <v>4390</v>
      </c>
      <c r="B2304" s="13" t="s">
        <v>4391</v>
      </c>
      <c r="C2304" s="13" t="s">
        <v>4414</v>
      </c>
      <c r="D2304" s="13">
        <v>1</v>
      </c>
      <c r="E2304" s="14" t="s">
        <v>4415</v>
      </c>
      <c r="F2304" s="13" t="s">
        <v>11</v>
      </c>
    </row>
    <row r="2305" ht="18" customHeight="1" spans="1:6">
      <c r="A2305" s="13" t="s">
        <v>4390</v>
      </c>
      <c r="B2305" s="13" t="s">
        <v>4391</v>
      </c>
      <c r="C2305" s="13" t="s">
        <v>4416</v>
      </c>
      <c r="D2305" s="13">
        <v>1</v>
      </c>
      <c r="E2305" s="14" t="s">
        <v>4417</v>
      </c>
      <c r="F2305" s="13" t="s">
        <v>11</v>
      </c>
    </row>
    <row r="2306" ht="18" customHeight="1" spans="1:6">
      <c r="A2306" s="13" t="s">
        <v>4390</v>
      </c>
      <c r="B2306" s="13" t="s">
        <v>4391</v>
      </c>
      <c r="C2306" s="13" t="s">
        <v>4418</v>
      </c>
      <c r="D2306" s="13">
        <v>4</v>
      </c>
      <c r="E2306" s="14" t="s">
        <v>4419</v>
      </c>
      <c r="F2306" s="13" t="s">
        <v>11</v>
      </c>
    </row>
    <row r="2307" ht="18" customHeight="1" spans="1:6">
      <c r="A2307" s="13" t="s">
        <v>4390</v>
      </c>
      <c r="B2307" s="13" t="s">
        <v>4391</v>
      </c>
      <c r="C2307" s="13" t="s">
        <v>4420</v>
      </c>
      <c r="D2307" s="13">
        <v>3</v>
      </c>
      <c r="E2307" s="179" t="s">
        <v>4421</v>
      </c>
      <c r="F2307" s="13" t="s">
        <v>11</v>
      </c>
    </row>
    <row r="2308" ht="18" customHeight="1" spans="1:6">
      <c r="A2308" s="13" t="s">
        <v>4390</v>
      </c>
      <c r="B2308" s="13" t="s">
        <v>4391</v>
      </c>
      <c r="C2308" s="13" t="s">
        <v>4422</v>
      </c>
      <c r="D2308" s="13">
        <v>4</v>
      </c>
      <c r="E2308" s="179" t="s">
        <v>4423</v>
      </c>
      <c r="F2308" s="13" t="s">
        <v>11</v>
      </c>
    </row>
    <row r="2309" ht="18" customHeight="1" spans="1:6">
      <c r="A2309" s="13" t="s">
        <v>4390</v>
      </c>
      <c r="B2309" s="13" t="s">
        <v>4424</v>
      </c>
      <c r="C2309" s="13" t="s">
        <v>4425</v>
      </c>
      <c r="D2309" s="13">
        <v>2</v>
      </c>
      <c r="E2309" s="14" t="s">
        <v>4426</v>
      </c>
      <c r="F2309" s="13" t="s">
        <v>11</v>
      </c>
    </row>
    <row r="2310" ht="18" customHeight="1" spans="1:6">
      <c r="A2310" s="13" t="s">
        <v>4390</v>
      </c>
      <c r="B2310" s="13" t="s">
        <v>4424</v>
      </c>
      <c r="C2310" s="13" t="s">
        <v>4427</v>
      </c>
      <c r="D2310" s="13">
        <v>4</v>
      </c>
      <c r="E2310" s="14" t="s">
        <v>4428</v>
      </c>
      <c r="F2310" s="13" t="s">
        <v>11</v>
      </c>
    </row>
    <row r="2311" ht="18" customHeight="1" spans="1:6">
      <c r="A2311" s="13" t="s">
        <v>4390</v>
      </c>
      <c r="B2311" s="13" t="s">
        <v>4424</v>
      </c>
      <c r="C2311" s="13" t="s">
        <v>4429</v>
      </c>
      <c r="D2311" s="13">
        <v>5</v>
      </c>
      <c r="E2311" s="14" t="s">
        <v>4430</v>
      </c>
      <c r="F2311" s="13" t="s">
        <v>11</v>
      </c>
    </row>
    <row r="2312" ht="18" customHeight="1" spans="1:6">
      <c r="A2312" s="13" t="s">
        <v>4390</v>
      </c>
      <c r="B2312" s="13" t="s">
        <v>4424</v>
      </c>
      <c r="C2312" s="13" t="s">
        <v>4431</v>
      </c>
      <c r="D2312" s="13">
        <v>1</v>
      </c>
      <c r="E2312" s="179" t="s">
        <v>4432</v>
      </c>
      <c r="F2312" s="13" t="s">
        <v>11</v>
      </c>
    </row>
    <row r="2313" ht="18" customHeight="1" spans="1:6">
      <c r="A2313" s="13" t="s">
        <v>4390</v>
      </c>
      <c r="B2313" s="13" t="s">
        <v>4424</v>
      </c>
      <c r="C2313" s="13" t="s">
        <v>4433</v>
      </c>
      <c r="D2313" s="13">
        <v>1</v>
      </c>
      <c r="E2313" s="14" t="s">
        <v>4434</v>
      </c>
      <c r="F2313" s="13" t="s">
        <v>11</v>
      </c>
    </row>
    <row r="2314" ht="18" customHeight="1" spans="1:6">
      <c r="A2314" s="13" t="s">
        <v>4390</v>
      </c>
      <c r="B2314" s="13" t="s">
        <v>4424</v>
      </c>
      <c r="C2314" s="13" t="s">
        <v>4435</v>
      </c>
      <c r="D2314" s="13">
        <v>1</v>
      </c>
      <c r="E2314" s="14" t="s">
        <v>4436</v>
      </c>
      <c r="F2314" s="13" t="s">
        <v>11</v>
      </c>
    </row>
    <row r="2315" ht="18" customHeight="1" spans="1:6">
      <c r="A2315" s="13" t="s">
        <v>4390</v>
      </c>
      <c r="B2315" s="13" t="s">
        <v>4424</v>
      </c>
      <c r="C2315" s="13" t="s">
        <v>4437</v>
      </c>
      <c r="D2315" s="13">
        <v>2</v>
      </c>
      <c r="E2315" s="14" t="s">
        <v>4438</v>
      </c>
      <c r="F2315" s="13" t="s">
        <v>11</v>
      </c>
    </row>
    <row r="2316" ht="18" customHeight="1" spans="1:6">
      <c r="A2316" s="13" t="s">
        <v>4390</v>
      </c>
      <c r="B2316" s="13" t="s">
        <v>4424</v>
      </c>
      <c r="C2316" s="13" t="s">
        <v>4439</v>
      </c>
      <c r="D2316" s="13">
        <v>1</v>
      </c>
      <c r="E2316" s="14" t="s">
        <v>4440</v>
      </c>
      <c r="F2316" s="13" t="s">
        <v>11</v>
      </c>
    </row>
    <row r="2317" ht="18" customHeight="1" spans="1:6">
      <c r="A2317" s="13" t="s">
        <v>4390</v>
      </c>
      <c r="B2317" s="13" t="s">
        <v>4424</v>
      </c>
      <c r="C2317" s="13" t="s">
        <v>4441</v>
      </c>
      <c r="D2317" s="13">
        <v>1</v>
      </c>
      <c r="E2317" s="14" t="s">
        <v>4442</v>
      </c>
      <c r="F2317" s="13" t="s">
        <v>11</v>
      </c>
    </row>
    <row r="2318" ht="18" customHeight="1" spans="1:6">
      <c r="A2318" s="13" t="s">
        <v>4390</v>
      </c>
      <c r="B2318" s="13" t="s">
        <v>4424</v>
      </c>
      <c r="C2318" s="13" t="s">
        <v>4443</v>
      </c>
      <c r="D2318" s="13">
        <v>1</v>
      </c>
      <c r="E2318" s="14" t="s">
        <v>4444</v>
      </c>
      <c r="F2318" s="13" t="s">
        <v>11</v>
      </c>
    </row>
    <row r="2319" ht="18" customHeight="1" spans="1:6">
      <c r="A2319" s="13" t="s">
        <v>4390</v>
      </c>
      <c r="B2319" s="13" t="s">
        <v>4424</v>
      </c>
      <c r="C2319" s="13" t="s">
        <v>4445</v>
      </c>
      <c r="D2319" s="13">
        <v>1</v>
      </c>
      <c r="E2319" s="14" t="s">
        <v>4446</v>
      </c>
      <c r="F2319" s="13" t="s">
        <v>11</v>
      </c>
    </row>
    <row r="2320" ht="18" customHeight="1" spans="1:6">
      <c r="A2320" s="13" t="s">
        <v>4390</v>
      </c>
      <c r="B2320" s="13" t="s">
        <v>4424</v>
      </c>
      <c r="C2320" s="13" t="s">
        <v>4447</v>
      </c>
      <c r="D2320" s="13">
        <v>1</v>
      </c>
      <c r="E2320" s="14" t="s">
        <v>4448</v>
      </c>
      <c r="F2320" s="13" t="s">
        <v>11</v>
      </c>
    </row>
    <row r="2321" ht="18" customHeight="1" spans="1:6">
      <c r="A2321" s="13" t="s">
        <v>4390</v>
      </c>
      <c r="B2321" s="13" t="s">
        <v>4424</v>
      </c>
      <c r="C2321" s="13" t="s">
        <v>4449</v>
      </c>
      <c r="D2321" s="13">
        <v>1</v>
      </c>
      <c r="E2321" s="14" t="s">
        <v>4450</v>
      </c>
      <c r="F2321" s="13" t="s">
        <v>11</v>
      </c>
    </row>
    <row r="2322" ht="18" customHeight="1" spans="1:6">
      <c r="A2322" s="13" t="s">
        <v>4390</v>
      </c>
      <c r="B2322" s="13" t="s">
        <v>4424</v>
      </c>
      <c r="C2322" s="13" t="s">
        <v>4451</v>
      </c>
      <c r="D2322" s="13">
        <v>1</v>
      </c>
      <c r="E2322" s="14" t="s">
        <v>4452</v>
      </c>
      <c r="F2322" s="13" t="s">
        <v>11</v>
      </c>
    </row>
    <row r="2323" ht="18" customHeight="1" spans="1:6">
      <c r="A2323" s="13" t="s">
        <v>4390</v>
      </c>
      <c r="B2323" s="13" t="s">
        <v>4424</v>
      </c>
      <c r="C2323" s="13" t="s">
        <v>4453</v>
      </c>
      <c r="D2323" s="13">
        <v>1</v>
      </c>
      <c r="E2323" s="14" t="s">
        <v>4454</v>
      </c>
      <c r="F2323" s="13" t="s">
        <v>11</v>
      </c>
    </row>
    <row r="2324" ht="18" customHeight="1" spans="1:6">
      <c r="A2324" s="13" t="s">
        <v>4390</v>
      </c>
      <c r="B2324" s="13" t="s">
        <v>4455</v>
      </c>
      <c r="C2324" s="13" t="s">
        <v>4456</v>
      </c>
      <c r="D2324" s="13">
        <v>5</v>
      </c>
      <c r="E2324" s="14" t="s">
        <v>4457</v>
      </c>
      <c r="F2324" s="13" t="s">
        <v>4458</v>
      </c>
    </row>
    <row r="2325" ht="18" customHeight="1" spans="1:6">
      <c r="A2325" s="13" t="s">
        <v>4390</v>
      </c>
      <c r="B2325" s="13" t="s">
        <v>4455</v>
      </c>
      <c r="C2325" s="13" t="s">
        <v>4459</v>
      </c>
      <c r="D2325" s="13">
        <v>1</v>
      </c>
      <c r="E2325" s="179" t="s">
        <v>4460</v>
      </c>
      <c r="F2325" s="13" t="s">
        <v>4458</v>
      </c>
    </row>
    <row r="2326" ht="18" customHeight="1" spans="1:6">
      <c r="A2326" s="13" t="s">
        <v>4390</v>
      </c>
      <c r="B2326" s="13" t="s">
        <v>4455</v>
      </c>
      <c r="C2326" s="13" t="s">
        <v>4461</v>
      </c>
      <c r="D2326" s="13">
        <v>1</v>
      </c>
      <c r="E2326" s="179" t="s">
        <v>4462</v>
      </c>
      <c r="F2326" s="13" t="s">
        <v>4458</v>
      </c>
    </row>
    <row r="2327" ht="18" customHeight="1" spans="1:6">
      <c r="A2327" s="13" t="s">
        <v>4390</v>
      </c>
      <c r="B2327" s="13" t="s">
        <v>4455</v>
      </c>
      <c r="C2327" s="13" t="s">
        <v>4463</v>
      </c>
      <c r="D2327" s="13">
        <v>3</v>
      </c>
      <c r="E2327" s="14" t="s">
        <v>4464</v>
      </c>
      <c r="F2327" s="13" t="s">
        <v>4458</v>
      </c>
    </row>
    <row r="2328" ht="18" customHeight="1" spans="1:6">
      <c r="A2328" s="13" t="s">
        <v>4390</v>
      </c>
      <c r="B2328" s="13" t="s">
        <v>4465</v>
      </c>
      <c r="C2328" s="13" t="s">
        <v>4466</v>
      </c>
      <c r="D2328" s="13">
        <v>3</v>
      </c>
      <c r="E2328" s="14" t="s">
        <v>4467</v>
      </c>
      <c r="F2328" s="13" t="s">
        <v>4458</v>
      </c>
    </row>
    <row r="2329" ht="18" customHeight="1" spans="1:6">
      <c r="A2329" s="13" t="s">
        <v>4390</v>
      </c>
      <c r="B2329" s="13" t="s">
        <v>4465</v>
      </c>
      <c r="C2329" s="13" t="s">
        <v>4468</v>
      </c>
      <c r="D2329" s="13">
        <v>5</v>
      </c>
      <c r="E2329" s="14" t="s">
        <v>4469</v>
      </c>
      <c r="F2329" s="13" t="s">
        <v>4458</v>
      </c>
    </row>
    <row r="2330" ht="18" customHeight="1" spans="1:6">
      <c r="A2330" s="13" t="s">
        <v>4390</v>
      </c>
      <c r="B2330" s="13" t="s">
        <v>4465</v>
      </c>
      <c r="C2330" s="13" t="s">
        <v>4470</v>
      </c>
      <c r="D2330" s="13">
        <v>5</v>
      </c>
      <c r="E2330" s="13" t="s">
        <v>4471</v>
      </c>
      <c r="F2330" s="13" t="s">
        <v>4458</v>
      </c>
    </row>
    <row r="2331" ht="18" customHeight="1" spans="1:6">
      <c r="A2331" s="13" t="s">
        <v>4390</v>
      </c>
      <c r="B2331" s="13" t="s">
        <v>4465</v>
      </c>
      <c r="C2331" s="13" t="s">
        <v>4472</v>
      </c>
      <c r="D2331" s="13">
        <v>1</v>
      </c>
      <c r="E2331" s="179" t="s">
        <v>4473</v>
      </c>
      <c r="F2331" s="13" t="s">
        <v>4458</v>
      </c>
    </row>
    <row r="2332" ht="18" customHeight="1" spans="1:6">
      <c r="A2332" s="13" t="s">
        <v>4390</v>
      </c>
      <c r="B2332" s="13" t="s">
        <v>4465</v>
      </c>
      <c r="C2332" s="13" t="s">
        <v>4474</v>
      </c>
      <c r="D2332" s="13">
        <v>1</v>
      </c>
      <c r="E2332" s="179" t="s">
        <v>4475</v>
      </c>
      <c r="F2332" s="13" t="s">
        <v>4458</v>
      </c>
    </row>
    <row r="2333" ht="18" customHeight="1" spans="1:6">
      <c r="A2333" s="13" t="s">
        <v>4390</v>
      </c>
      <c r="B2333" s="13" t="s">
        <v>4465</v>
      </c>
      <c r="C2333" s="13" t="s">
        <v>4476</v>
      </c>
      <c r="D2333" s="13">
        <v>2</v>
      </c>
      <c r="E2333" s="179" t="s">
        <v>4477</v>
      </c>
      <c r="F2333" s="13" t="s">
        <v>4458</v>
      </c>
    </row>
    <row r="2334" ht="18" customHeight="1" spans="1:6">
      <c r="A2334" s="13" t="s">
        <v>4390</v>
      </c>
      <c r="B2334" s="13" t="s">
        <v>4465</v>
      </c>
      <c r="C2334" s="13" t="s">
        <v>4478</v>
      </c>
      <c r="D2334" s="13">
        <v>3</v>
      </c>
      <c r="E2334" s="179" t="s">
        <v>4479</v>
      </c>
      <c r="F2334" s="13" t="s">
        <v>11</v>
      </c>
    </row>
    <row r="2335" ht="18" customHeight="1" spans="1:6">
      <c r="A2335" s="13" t="s">
        <v>4390</v>
      </c>
      <c r="B2335" s="13" t="s">
        <v>4465</v>
      </c>
      <c r="C2335" s="13" t="s">
        <v>4480</v>
      </c>
      <c r="D2335" s="13">
        <v>2</v>
      </c>
      <c r="E2335" s="179" t="s">
        <v>4481</v>
      </c>
      <c r="F2335" s="13" t="s">
        <v>11</v>
      </c>
    </row>
    <row r="2336" ht="18" customHeight="1" spans="1:6">
      <c r="A2336" s="13" t="s">
        <v>4390</v>
      </c>
      <c r="B2336" s="13" t="s">
        <v>4482</v>
      </c>
      <c r="C2336" s="5" t="s">
        <v>4483</v>
      </c>
      <c r="D2336" s="5">
        <v>6</v>
      </c>
      <c r="E2336" s="178" t="s">
        <v>4484</v>
      </c>
      <c r="F2336" s="5" t="s">
        <v>11</v>
      </c>
    </row>
    <row r="2337" ht="18" customHeight="1" spans="1:6">
      <c r="A2337" s="13" t="s">
        <v>4390</v>
      </c>
      <c r="B2337" s="13" t="s">
        <v>4482</v>
      </c>
      <c r="C2337" s="5" t="s">
        <v>4485</v>
      </c>
      <c r="D2337" s="5">
        <v>3</v>
      </c>
      <c r="E2337" s="178" t="s">
        <v>4486</v>
      </c>
      <c r="F2337" s="5" t="s">
        <v>11</v>
      </c>
    </row>
    <row r="2338" ht="18" customHeight="1" spans="1:6">
      <c r="A2338" s="13" t="s">
        <v>4390</v>
      </c>
      <c r="B2338" s="13" t="s">
        <v>4482</v>
      </c>
      <c r="C2338" s="13" t="s">
        <v>4487</v>
      </c>
      <c r="D2338" s="13">
        <v>1</v>
      </c>
      <c r="E2338" s="179" t="s">
        <v>4488</v>
      </c>
      <c r="F2338" s="5" t="s">
        <v>11</v>
      </c>
    </row>
    <row r="2339" ht="18" customHeight="1" spans="1:6">
      <c r="A2339" s="13" t="s">
        <v>4390</v>
      </c>
      <c r="B2339" s="13" t="s">
        <v>4482</v>
      </c>
      <c r="C2339" s="13" t="s">
        <v>4489</v>
      </c>
      <c r="D2339" s="13">
        <v>2</v>
      </c>
      <c r="E2339" s="179" t="s">
        <v>4490</v>
      </c>
      <c r="F2339" s="5" t="s">
        <v>11</v>
      </c>
    </row>
    <row r="2340" ht="18" customHeight="1" spans="1:6">
      <c r="A2340" s="13" t="s">
        <v>4390</v>
      </c>
      <c r="B2340" s="13" t="s">
        <v>4482</v>
      </c>
      <c r="C2340" s="13" t="s">
        <v>4491</v>
      </c>
      <c r="D2340" s="13">
        <v>1</v>
      </c>
      <c r="E2340" s="179" t="s">
        <v>4492</v>
      </c>
      <c r="F2340" s="5" t="s">
        <v>11</v>
      </c>
    </row>
    <row r="2341" ht="18" customHeight="1" spans="1:6">
      <c r="A2341" s="13" t="s">
        <v>4390</v>
      </c>
      <c r="B2341" s="13" t="s">
        <v>4482</v>
      </c>
      <c r="C2341" s="13" t="s">
        <v>4493</v>
      </c>
      <c r="D2341" s="13">
        <v>4</v>
      </c>
      <c r="E2341" s="179" t="s">
        <v>4494</v>
      </c>
      <c r="F2341" s="5" t="s">
        <v>11</v>
      </c>
    </row>
    <row r="2342" ht="18" customHeight="1" spans="1:6">
      <c r="A2342" s="13" t="s">
        <v>4390</v>
      </c>
      <c r="B2342" s="13" t="s">
        <v>4482</v>
      </c>
      <c r="C2342" s="13" t="s">
        <v>4495</v>
      </c>
      <c r="D2342" s="13">
        <v>2</v>
      </c>
      <c r="E2342" s="179" t="s">
        <v>4496</v>
      </c>
      <c r="F2342" s="5" t="s">
        <v>11</v>
      </c>
    </row>
    <row r="2343" ht="18" customHeight="1" spans="1:6">
      <c r="A2343" s="13" t="s">
        <v>4390</v>
      </c>
      <c r="B2343" s="13" t="s">
        <v>4497</v>
      </c>
      <c r="C2343" s="13" t="s">
        <v>4498</v>
      </c>
      <c r="D2343" s="13">
        <v>1</v>
      </c>
      <c r="E2343" s="14" t="s">
        <v>4499</v>
      </c>
      <c r="F2343" s="5" t="s">
        <v>11</v>
      </c>
    </row>
    <row r="2344" ht="18" customHeight="1" spans="1:6">
      <c r="A2344" s="13" t="s">
        <v>4390</v>
      </c>
      <c r="B2344" s="13" t="s">
        <v>4497</v>
      </c>
      <c r="C2344" s="13" t="s">
        <v>4500</v>
      </c>
      <c r="D2344" s="13">
        <v>4</v>
      </c>
      <c r="E2344" s="14" t="s">
        <v>4501</v>
      </c>
      <c r="F2344" s="5" t="s">
        <v>11</v>
      </c>
    </row>
    <row r="2345" ht="18" customHeight="1" spans="1:6">
      <c r="A2345" s="13" t="s">
        <v>4390</v>
      </c>
      <c r="B2345" s="13" t="s">
        <v>4497</v>
      </c>
      <c r="C2345" s="13" t="s">
        <v>4502</v>
      </c>
      <c r="D2345" s="13">
        <v>5</v>
      </c>
      <c r="E2345" s="14" t="s">
        <v>4503</v>
      </c>
      <c r="F2345" s="5" t="s">
        <v>11</v>
      </c>
    </row>
    <row r="2346" ht="18" customHeight="1" spans="1:6">
      <c r="A2346" s="13" t="s">
        <v>4390</v>
      </c>
      <c r="B2346" s="13" t="s">
        <v>4497</v>
      </c>
      <c r="C2346" s="13" t="s">
        <v>4504</v>
      </c>
      <c r="D2346" s="13">
        <v>6</v>
      </c>
      <c r="E2346" s="14" t="s">
        <v>4505</v>
      </c>
      <c r="F2346" s="5" t="s">
        <v>11</v>
      </c>
    </row>
    <row r="2347" ht="18" customHeight="1" spans="1:6">
      <c r="A2347" s="13" t="s">
        <v>4390</v>
      </c>
      <c r="B2347" s="13" t="s">
        <v>4497</v>
      </c>
      <c r="C2347" s="13" t="s">
        <v>4506</v>
      </c>
      <c r="D2347" s="13">
        <v>3</v>
      </c>
      <c r="E2347" s="14" t="s">
        <v>4507</v>
      </c>
      <c r="F2347" s="5" t="s">
        <v>11</v>
      </c>
    </row>
    <row r="2348" ht="18" customHeight="1" spans="1:6">
      <c r="A2348" s="13" t="s">
        <v>4390</v>
      </c>
      <c r="B2348" s="13" t="s">
        <v>4497</v>
      </c>
      <c r="C2348" s="13" t="s">
        <v>4508</v>
      </c>
      <c r="D2348" s="13">
        <v>2</v>
      </c>
      <c r="E2348" s="14" t="s">
        <v>4509</v>
      </c>
      <c r="F2348" s="5" t="s">
        <v>11</v>
      </c>
    </row>
    <row r="2349" ht="18" customHeight="1" spans="1:6">
      <c r="A2349" s="13" t="s">
        <v>4390</v>
      </c>
      <c r="B2349" s="13" t="s">
        <v>4497</v>
      </c>
      <c r="C2349" s="13" t="s">
        <v>4510</v>
      </c>
      <c r="D2349" s="13">
        <v>2</v>
      </c>
      <c r="E2349" s="14" t="s">
        <v>4511</v>
      </c>
      <c r="F2349" s="5" t="s">
        <v>11</v>
      </c>
    </row>
    <row r="2350" ht="18" customHeight="1" spans="1:6">
      <c r="A2350" s="13" t="s">
        <v>4390</v>
      </c>
      <c r="B2350" s="13" t="s">
        <v>4497</v>
      </c>
      <c r="C2350" s="13" t="s">
        <v>4512</v>
      </c>
      <c r="D2350" s="13">
        <v>2</v>
      </c>
      <c r="E2350" s="14" t="s">
        <v>4513</v>
      </c>
      <c r="F2350" s="5" t="s">
        <v>11</v>
      </c>
    </row>
    <row r="2351" ht="18" customHeight="1" spans="1:6">
      <c r="A2351" s="13" t="s">
        <v>4390</v>
      </c>
      <c r="B2351" s="13" t="s">
        <v>4514</v>
      </c>
      <c r="C2351" s="13" t="s">
        <v>4515</v>
      </c>
      <c r="D2351" s="13">
        <v>2</v>
      </c>
      <c r="E2351" s="14" t="s">
        <v>4516</v>
      </c>
      <c r="F2351" s="13" t="s">
        <v>11</v>
      </c>
    </row>
    <row r="2352" ht="18" customHeight="1" spans="1:6">
      <c r="A2352" s="13" t="s">
        <v>4390</v>
      </c>
      <c r="B2352" s="13" t="s">
        <v>4514</v>
      </c>
      <c r="C2352" s="13" t="s">
        <v>4517</v>
      </c>
      <c r="D2352" s="13">
        <v>1</v>
      </c>
      <c r="E2352" s="14" t="s">
        <v>4518</v>
      </c>
      <c r="F2352" s="13" t="s">
        <v>11</v>
      </c>
    </row>
    <row r="2353" ht="18" customHeight="1" spans="1:6">
      <c r="A2353" s="13" t="s">
        <v>4390</v>
      </c>
      <c r="B2353" s="13" t="s">
        <v>4514</v>
      </c>
      <c r="C2353" s="13" t="s">
        <v>4519</v>
      </c>
      <c r="D2353" s="13">
        <v>1</v>
      </c>
      <c r="E2353" s="14" t="s">
        <v>4520</v>
      </c>
      <c r="F2353" s="13" t="s">
        <v>11</v>
      </c>
    </row>
    <row r="2354" ht="18" customHeight="1" spans="1:6">
      <c r="A2354" s="13" t="s">
        <v>4390</v>
      </c>
      <c r="B2354" s="13" t="s">
        <v>4514</v>
      </c>
      <c r="C2354" s="13" t="s">
        <v>4521</v>
      </c>
      <c r="D2354" s="13">
        <v>3</v>
      </c>
      <c r="E2354" s="14" t="s">
        <v>4522</v>
      </c>
      <c r="F2354" s="13" t="s">
        <v>11</v>
      </c>
    </row>
    <row r="2355" ht="18" customHeight="1" spans="1:6">
      <c r="A2355" s="13" t="s">
        <v>4390</v>
      </c>
      <c r="B2355" s="13" t="s">
        <v>4514</v>
      </c>
      <c r="C2355" s="13" t="s">
        <v>4523</v>
      </c>
      <c r="D2355" s="13">
        <v>6</v>
      </c>
      <c r="E2355" s="14" t="s">
        <v>4524</v>
      </c>
      <c r="F2355" s="13" t="s">
        <v>11</v>
      </c>
    </row>
    <row r="2356" ht="18" customHeight="1" spans="1:6">
      <c r="A2356" s="13" t="s">
        <v>4390</v>
      </c>
      <c r="B2356" s="13" t="s">
        <v>4514</v>
      </c>
      <c r="C2356" s="13" t="s">
        <v>4525</v>
      </c>
      <c r="D2356" s="13">
        <v>3</v>
      </c>
      <c r="E2356" s="14" t="s">
        <v>4526</v>
      </c>
      <c r="F2356" s="13" t="s">
        <v>11</v>
      </c>
    </row>
    <row r="2357" ht="18" customHeight="1" spans="1:6">
      <c r="A2357" s="13" t="s">
        <v>4390</v>
      </c>
      <c r="B2357" s="13" t="s">
        <v>4514</v>
      </c>
      <c r="C2357" s="13" t="s">
        <v>4527</v>
      </c>
      <c r="D2357" s="13">
        <v>4</v>
      </c>
      <c r="E2357" s="14" t="s">
        <v>4528</v>
      </c>
      <c r="F2357" s="13" t="s">
        <v>11</v>
      </c>
    </row>
    <row r="2358" ht="18" customHeight="1" spans="1:6">
      <c r="A2358" s="13" t="s">
        <v>4390</v>
      </c>
      <c r="B2358" s="13" t="s">
        <v>4514</v>
      </c>
      <c r="C2358" s="13" t="s">
        <v>4529</v>
      </c>
      <c r="D2358" s="13">
        <v>1</v>
      </c>
      <c r="E2358" s="14" t="s">
        <v>4530</v>
      </c>
      <c r="F2358" s="13" t="s">
        <v>11</v>
      </c>
    </row>
    <row r="2359" ht="18" customHeight="1" spans="1:6">
      <c r="A2359" s="13" t="s">
        <v>4390</v>
      </c>
      <c r="B2359" s="13" t="s">
        <v>4514</v>
      </c>
      <c r="C2359" s="13" t="s">
        <v>4531</v>
      </c>
      <c r="D2359" s="13">
        <v>2</v>
      </c>
      <c r="E2359" s="14" t="s">
        <v>4532</v>
      </c>
      <c r="F2359" s="13" t="s">
        <v>11</v>
      </c>
    </row>
    <row r="2360" ht="18" customHeight="1" spans="1:6">
      <c r="A2360" s="13" t="s">
        <v>4390</v>
      </c>
      <c r="B2360" s="13" t="s">
        <v>4514</v>
      </c>
      <c r="C2360" s="13" t="s">
        <v>4533</v>
      </c>
      <c r="D2360" s="13">
        <v>2</v>
      </c>
      <c r="E2360" s="14" t="s">
        <v>4534</v>
      </c>
      <c r="F2360" s="13" t="s">
        <v>11</v>
      </c>
    </row>
    <row r="2361" ht="18" customHeight="1" spans="1:6">
      <c r="A2361" s="13" t="s">
        <v>4390</v>
      </c>
      <c r="B2361" s="13" t="s">
        <v>4535</v>
      </c>
      <c r="C2361" s="13" t="s">
        <v>4536</v>
      </c>
      <c r="D2361" s="13">
        <v>4</v>
      </c>
      <c r="E2361" s="179" t="s">
        <v>4537</v>
      </c>
      <c r="F2361" s="13" t="s">
        <v>11</v>
      </c>
    </row>
    <row r="2362" ht="18" customHeight="1" spans="1:6">
      <c r="A2362" s="13" t="s">
        <v>4390</v>
      </c>
      <c r="B2362" s="13" t="s">
        <v>4535</v>
      </c>
      <c r="C2362" s="13" t="s">
        <v>4538</v>
      </c>
      <c r="D2362" s="13">
        <v>3</v>
      </c>
      <c r="E2362" s="179" t="s">
        <v>4539</v>
      </c>
      <c r="F2362" s="13" t="s">
        <v>11</v>
      </c>
    </row>
    <row r="2363" ht="18" customHeight="1" spans="1:6">
      <c r="A2363" s="13" t="s">
        <v>4390</v>
      </c>
      <c r="B2363" s="13" t="s">
        <v>4535</v>
      </c>
      <c r="C2363" s="13" t="s">
        <v>4540</v>
      </c>
      <c r="D2363" s="13">
        <v>3</v>
      </c>
      <c r="E2363" s="179" t="s">
        <v>4541</v>
      </c>
      <c r="F2363" s="13" t="s">
        <v>11</v>
      </c>
    </row>
    <row r="2364" ht="18" customHeight="1" spans="1:6">
      <c r="A2364" s="13" t="s">
        <v>4390</v>
      </c>
      <c r="B2364" s="13" t="s">
        <v>4535</v>
      </c>
      <c r="C2364" s="13" t="s">
        <v>4542</v>
      </c>
      <c r="D2364" s="13">
        <v>6</v>
      </c>
      <c r="E2364" s="179" t="s">
        <v>4543</v>
      </c>
      <c r="F2364" s="13" t="s">
        <v>11</v>
      </c>
    </row>
    <row r="2365" ht="18" customHeight="1" spans="1:6">
      <c r="A2365" s="13" t="s">
        <v>4390</v>
      </c>
      <c r="B2365" s="13" t="s">
        <v>4535</v>
      </c>
      <c r="C2365" s="13" t="s">
        <v>4544</v>
      </c>
      <c r="D2365" s="13">
        <v>5</v>
      </c>
      <c r="E2365" s="179" t="s">
        <v>4545</v>
      </c>
      <c r="F2365" s="13" t="s">
        <v>11</v>
      </c>
    </row>
    <row r="2366" ht="18" customHeight="1" spans="1:6">
      <c r="A2366" s="13" t="s">
        <v>4390</v>
      </c>
      <c r="B2366" s="13" t="s">
        <v>4535</v>
      </c>
      <c r="C2366" s="13" t="s">
        <v>4546</v>
      </c>
      <c r="D2366" s="13">
        <v>3</v>
      </c>
      <c r="E2366" s="179" t="s">
        <v>4547</v>
      </c>
      <c r="F2366" s="13" t="s">
        <v>11</v>
      </c>
    </row>
    <row r="2367" ht="18" customHeight="1" spans="1:6">
      <c r="A2367" s="13" t="s">
        <v>4390</v>
      </c>
      <c r="B2367" s="13" t="s">
        <v>4535</v>
      </c>
      <c r="C2367" s="13" t="s">
        <v>4548</v>
      </c>
      <c r="D2367" s="13">
        <v>4</v>
      </c>
      <c r="E2367" s="13" t="s">
        <v>4549</v>
      </c>
      <c r="F2367" s="13" t="s">
        <v>11</v>
      </c>
    </row>
    <row r="2368" ht="18" customHeight="1" spans="1:6">
      <c r="A2368" s="13" t="s">
        <v>4390</v>
      </c>
      <c r="B2368" s="13" t="s">
        <v>4535</v>
      </c>
      <c r="C2368" s="13" t="s">
        <v>4550</v>
      </c>
      <c r="D2368" s="13">
        <v>6</v>
      </c>
      <c r="E2368" s="179" t="s">
        <v>4551</v>
      </c>
      <c r="F2368" s="13" t="s">
        <v>11</v>
      </c>
    </row>
    <row r="2369" ht="18" customHeight="1" spans="1:6">
      <c r="A2369" s="13" t="s">
        <v>4390</v>
      </c>
      <c r="B2369" s="13" t="s">
        <v>4535</v>
      </c>
      <c r="C2369" s="13" t="s">
        <v>2820</v>
      </c>
      <c r="D2369" s="13">
        <v>5</v>
      </c>
      <c r="E2369" s="179" t="s">
        <v>4552</v>
      </c>
      <c r="F2369" s="13" t="s">
        <v>11</v>
      </c>
    </row>
    <row r="2370" ht="18" customHeight="1" spans="1:6">
      <c r="A2370" s="13" t="s">
        <v>4390</v>
      </c>
      <c r="B2370" s="13" t="s">
        <v>4535</v>
      </c>
      <c r="C2370" s="13" t="s">
        <v>4553</v>
      </c>
      <c r="D2370" s="13">
        <v>5</v>
      </c>
      <c r="E2370" s="179" t="s">
        <v>4554</v>
      </c>
      <c r="F2370" s="13" t="s">
        <v>11</v>
      </c>
    </row>
    <row r="2371" ht="18" customHeight="1" spans="1:6">
      <c r="A2371" s="13" t="s">
        <v>4390</v>
      </c>
      <c r="B2371" s="13" t="s">
        <v>4535</v>
      </c>
      <c r="C2371" s="13" t="s">
        <v>4555</v>
      </c>
      <c r="D2371" s="13">
        <v>3</v>
      </c>
      <c r="E2371" s="179" t="s">
        <v>4556</v>
      </c>
      <c r="F2371" s="13" t="s">
        <v>11</v>
      </c>
    </row>
    <row r="2372" ht="18" customHeight="1" spans="1:6">
      <c r="A2372" s="13" t="s">
        <v>4390</v>
      </c>
      <c r="B2372" s="13" t="s">
        <v>4557</v>
      </c>
      <c r="C2372" s="13" t="s">
        <v>4558</v>
      </c>
      <c r="D2372" s="13">
        <v>5</v>
      </c>
      <c r="E2372" s="179" t="s">
        <v>4559</v>
      </c>
      <c r="F2372" s="13" t="s">
        <v>11</v>
      </c>
    </row>
    <row r="2373" ht="18" customHeight="1" spans="1:6">
      <c r="A2373" s="13" t="s">
        <v>4390</v>
      </c>
      <c r="B2373" s="13" t="s">
        <v>4557</v>
      </c>
      <c r="C2373" s="13" t="s">
        <v>4560</v>
      </c>
      <c r="D2373" s="13">
        <v>3</v>
      </c>
      <c r="E2373" s="179" t="s">
        <v>4561</v>
      </c>
      <c r="F2373" s="13" t="s">
        <v>11</v>
      </c>
    </row>
    <row r="2374" ht="18" customHeight="1" spans="1:6">
      <c r="A2374" s="13" t="s">
        <v>4390</v>
      </c>
      <c r="B2374" s="13" t="s">
        <v>4557</v>
      </c>
      <c r="C2374" s="13" t="s">
        <v>4185</v>
      </c>
      <c r="D2374" s="13">
        <v>4</v>
      </c>
      <c r="E2374" s="179" t="s">
        <v>4562</v>
      </c>
      <c r="F2374" s="13" t="s">
        <v>11</v>
      </c>
    </row>
    <row r="2375" ht="18" customHeight="1" spans="1:6">
      <c r="A2375" s="13" t="s">
        <v>4390</v>
      </c>
      <c r="B2375" s="13" t="s">
        <v>4557</v>
      </c>
      <c r="C2375" s="13" t="s">
        <v>4563</v>
      </c>
      <c r="D2375" s="13">
        <v>1</v>
      </c>
      <c r="E2375" s="179" t="s">
        <v>4564</v>
      </c>
      <c r="F2375" s="13" t="s">
        <v>11</v>
      </c>
    </row>
    <row r="2376" ht="18" customHeight="1" spans="1:6">
      <c r="A2376" s="13" t="s">
        <v>4390</v>
      </c>
      <c r="B2376" s="13" t="s">
        <v>4557</v>
      </c>
      <c r="C2376" s="13" t="s">
        <v>4565</v>
      </c>
      <c r="D2376" s="13">
        <v>5</v>
      </c>
      <c r="E2376" s="179" t="s">
        <v>4566</v>
      </c>
      <c r="F2376" s="13" t="s">
        <v>11</v>
      </c>
    </row>
    <row r="2377" ht="18" customHeight="1" spans="1:6">
      <c r="A2377" s="13" t="s">
        <v>4390</v>
      </c>
      <c r="B2377" s="13" t="s">
        <v>4557</v>
      </c>
      <c r="C2377" s="13" t="s">
        <v>4567</v>
      </c>
      <c r="D2377" s="13">
        <v>5</v>
      </c>
      <c r="E2377" s="179" t="s">
        <v>4568</v>
      </c>
      <c r="F2377" s="13" t="s">
        <v>11</v>
      </c>
    </row>
    <row r="2378" ht="18" customHeight="1" spans="1:6">
      <c r="A2378" s="13" t="s">
        <v>4390</v>
      </c>
      <c r="B2378" s="13" t="s">
        <v>4557</v>
      </c>
      <c r="C2378" s="13" t="s">
        <v>4569</v>
      </c>
      <c r="D2378" s="13">
        <v>1</v>
      </c>
      <c r="E2378" s="179" t="s">
        <v>4570</v>
      </c>
      <c r="F2378" s="13" t="s">
        <v>11</v>
      </c>
    </row>
    <row r="2379" ht="18" customHeight="1" spans="1:6">
      <c r="A2379" s="13" t="s">
        <v>4390</v>
      </c>
      <c r="B2379" s="13" t="s">
        <v>4557</v>
      </c>
      <c r="C2379" s="13" t="s">
        <v>4571</v>
      </c>
      <c r="D2379" s="13">
        <v>1</v>
      </c>
      <c r="E2379" s="179" t="s">
        <v>4572</v>
      </c>
      <c r="F2379" s="13" t="s">
        <v>11</v>
      </c>
    </row>
    <row r="2380" ht="18" customHeight="1" spans="1:6">
      <c r="A2380" s="13" t="s">
        <v>4390</v>
      </c>
      <c r="B2380" s="13" t="s">
        <v>4557</v>
      </c>
      <c r="C2380" s="13" t="s">
        <v>4573</v>
      </c>
      <c r="D2380" s="13">
        <v>2</v>
      </c>
      <c r="E2380" s="179" t="s">
        <v>4574</v>
      </c>
      <c r="F2380" s="13" t="s">
        <v>11</v>
      </c>
    </row>
    <row r="2381" ht="18" customHeight="1" spans="1:6">
      <c r="A2381" s="13" t="s">
        <v>4390</v>
      </c>
      <c r="B2381" s="13" t="s">
        <v>4557</v>
      </c>
      <c r="C2381" s="13" t="s">
        <v>4575</v>
      </c>
      <c r="D2381" s="13">
        <v>2</v>
      </c>
      <c r="E2381" s="179" t="s">
        <v>4576</v>
      </c>
      <c r="F2381" s="13" t="s">
        <v>11</v>
      </c>
    </row>
    <row r="2382" ht="18" customHeight="1" spans="1:6">
      <c r="A2382" s="13" t="s">
        <v>4390</v>
      </c>
      <c r="B2382" s="13" t="s">
        <v>4557</v>
      </c>
      <c r="C2382" s="13" t="s">
        <v>4577</v>
      </c>
      <c r="D2382" s="13">
        <v>1</v>
      </c>
      <c r="E2382" s="179" t="s">
        <v>4578</v>
      </c>
      <c r="F2382" s="13" t="s">
        <v>11</v>
      </c>
    </row>
    <row r="2383" ht="18" customHeight="1" spans="1:6">
      <c r="A2383" s="13" t="s">
        <v>4390</v>
      </c>
      <c r="B2383" s="13" t="s">
        <v>4557</v>
      </c>
      <c r="C2383" s="13" t="s">
        <v>4579</v>
      </c>
      <c r="D2383" s="13">
        <v>3</v>
      </c>
      <c r="E2383" s="179" t="s">
        <v>4580</v>
      </c>
      <c r="F2383" s="13" t="s">
        <v>11</v>
      </c>
    </row>
    <row r="2384" ht="18" customHeight="1" spans="1:6">
      <c r="A2384" s="13" t="s">
        <v>4390</v>
      </c>
      <c r="B2384" s="13" t="s">
        <v>4557</v>
      </c>
      <c r="C2384" s="13" t="s">
        <v>4581</v>
      </c>
      <c r="D2384" s="13">
        <v>4</v>
      </c>
      <c r="E2384" s="179" t="s">
        <v>4582</v>
      </c>
      <c r="F2384" s="13" t="s">
        <v>11</v>
      </c>
    </row>
    <row r="2385" ht="18" customHeight="1" spans="1:6">
      <c r="A2385" s="13" t="s">
        <v>4390</v>
      </c>
      <c r="B2385" s="13" t="s">
        <v>4557</v>
      </c>
      <c r="C2385" s="13" t="s">
        <v>4583</v>
      </c>
      <c r="D2385" s="13">
        <v>4</v>
      </c>
      <c r="E2385" s="179" t="s">
        <v>4584</v>
      </c>
      <c r="F2385" s="13" t="s">
        <v>11</v>
      </c>
    </row>
    <row r="2386" ht="18" customHeight="1" spans="1:6">
      <c r="A2386" s="13" t="s">
        <v>4390</v>
      </c>
      <c r="B2386" s="13" t="s">
        <v>4557</v>
      </c>
      <c r="C2386" s="13" t="s">
        <v>4585</v>
      </c>
      <c r="D2386" s="13">
        <v>1</v>
      </c>
      <c r="E2386" s="179" t="s">
        <v>4586</v>
      </c>
      <c r="F2386" s="13" t="s">
        <v>11</v>
      </c>
    </row>
    <row r="2387" ht="18" customHeight="1" spans="1:6">
      <c r="A2387" s="13" t="s">
        <v>4390</v>
      </c>
      <c r="B2387" s="13" t="s">
        <v>4557</v>
      </c>
      <c r="C2387" s="13" t="s">
        <v>4587</v>
      </c>
      <c r="D2387" s="13">
        <v>5</v>
      </c>
      <c r="E2387" s="13" t="s">
        <v>4588</v>
      </c>
      <c r="F2387" s="13" t="s">
        <v>11</v>
      </c>
    </row>
    <row r="2388" ht="18" customHeight="1" spans="1:6">
      <c r="A2388" s="13" t="s">
        <v>4390</v>
      </c>
      <c r="B2388" s="13" t="s">
        <v>4557</v>
      </c>
      <c r="C2388" s="13" t="s">
        <v>4589</v>
      </c>
      <c r="D2388" s="13">
        <v>3</v>
      </c>
      <c r="E2388" s="179" t="s">
        <v>4590</v>
      </c>
      <c r="F2388" s="13" t="s">
        <v>11</v>
      </c>
    </row>
    <row r="2389" ht="18" customHeight="1" spans="1:6">
      <c r="A2389" s="13" t="s">
        <v>4390</v>
      </c>
      <c r="B2389" s="13" t="s">
        <v>4557</v>
      </c>
      <c r="C2389" s="13" t="s">
        <v>4591</v>
      </c>
      <c r="D2389" s="13">
        <v>3</v>
      </c>
      <c r="E2389" s="179" t="s">
        <v>4592</v>
      </c>
      <c r="F2389" s="13" t="s">
        <v>11</v>
      </c>
    </row>
    <row r="2390" ht="18" customHeight="1" spans="1:6">
      <c r="A2390" s="13" t="s">
        <v>4390</v>
      </c>
      <c r="B2390" s="13" t="s">
        <v>4557</v>
      </c>
      <c r="C2390" s="13" t="s">
        <v>4593</v>
      </c>
      <c r="D2390" s="13">
        <v>2</v>
      </c>
      <c r="E2390" s="179" t="s">
        <v>4594</v>
      </c>
      <c r="F2390" s="13" t="s">
        <v>11</v>
      </c>
    </row>
    <row r="2391" ht="18" customHeight="1" spans="1:6">
      <c r="A2391" s="13" t="s">
        <v>4390</v>
      </c>
      <c r="B2391" s="13" t="s">
        <v>4557</v>
      </c>
      <c r="C2391" s="13" t="s">
        <v>4595</v>
      </c>
      <c r="D2391" s="13">
        <v>1</v>
      </c>
      <c r="E2391" s="179" t="s">
        <v>4596</v>
      </c>
      <c r="F2391" s="13" t="s">
        <v>11</v>
      </c>
    </row>
    <row r="2392" ht="18" customHeight="1" spans="1:6">
      <c r="A2392" s="13" t="s">
        <v>4390</v>
      </c>
      <c r="B2392" s="13" t="s">
        <v>4557</v>
      </c>
      <c r="C2392" s="13" t="s">
        <v>4597</v>
      </c>
      <c r="D2392" s="13">
        <v>4</v>
      </c>
      <c r="E2392" s="179" t="s">
        <v>4598</v>
      </c>
      <c r="F2392" s="13" t="s">
        <v>11</v>
      </c>
    </row>
    <row r="2393" ht="18" customHeight="1" spans="1:6">
      <c r="A2393" s="13" t="s">
        <v>4390</v>
      </c>
      <c r="B2393" s="13" t="s">
        <v>4557</v>
      </c>
      <c r="C2393" s="13" t="s">
        <v>4599</v>
      </c>
      <c r="D2393" s="13">
        <v>1</v>
      </c>
      <c r="E2393" s="179" t="s">
        <v>4600</v>
      </c>
      <c r="F2393" s="13" t="s">
        <v>11</v>
      </c>
    </row>
    <row r="2394" ht="18" customHeight="1" spans="1:6">
      <c r="A2394" s="13" t="s">
        <v>4390</v>
      </c>
      <c r="B2394" s="13" t="s">
        <v>4557</v>
      </c>
      <c r="C2394" s="13" t="s">
        <v>4601</v>
      </c>
      <c r="D2394" s="13">
        <v>3</v>
      </c>
      <c r="E2394" s="179" t="s">
        <v>4602</v>
      </c>
      <c r="F2394" s="13" t="s">
        <v>11</v>
      </c>
    </row>
    <row r="2395" ht="18" customHeight="1" spans="1:6">
      <c r="A2395" s="13" t="s">
        <v>4390</v>
      </c>
      <c r="B2395" s="13" t="s">
        <v>4557</v>
      </c>
      <c r="C2395" s="13" t="s">
        <v>4603</v>
      </c>
      <c r="D2395" s="13">
        <v>6</v>
      </c>
      <c r="E2395" s="179" t="s">
        <v>4604</v>
      </c>
      <c r="F2395" s="13" t="s">
        <v>11</v>
      </c>
    </row>
    <row r="2396" ht="18" customHeight="1" spans="1:6">
      <c r="A2396" s="13" t="s">
        <v>4390</v>
      </c>
      <c r="B2396" s="13" t="s">
        <v>4557</v>
      </c>
      <c r="C2396" s="13" t="s">
        <v>4605</v>
      </c>
      <c r="D2396" s="13">
        <v>2</v>
      </c>
      <c r="E2396" s="179" t="s">
        <v>4606</v>
      </c>
      <c r="F2396" s="13" t="s">
        <v>11</v>
      </c>
    </row>
    <row r="2397" ht="18" customHeight="1" spans="1:6">
      <c r="A2397" s="13" t="s">
        <v>4390</v>
      </c>
      <c r="B2397" s="13" t="s">
        <v>4557</v>
      </c>
      <c r="C2397" s="13" t="s">
        <v>4607</v>
      </c>
      <c r="D2397" s="13">
        <v>3</v>
      </c>
      <c r="E2397" s="179" t="s">
        <v>4608</v>
      </c>
      <c r="F2397" s="13" t="s">
        <v>11</v>
      </c>
    </row>
    <row r="2398" ht="18" customHeight="1" spans="1:6">
      <c r="A2398" s="13" t="s">
        <v>4390</v>
      </c>
      <c r="B2398" s="13" t="s">
        <v>4557</v>
      </c>
      <c r="C2398" s="13" t="s">
        <v>4609</v>
      </c>
      <c r="D2398" s="13">
        <v>3</v>
      </c>
      <c r="E2398" s="179" t="s">
        <v>4610</v>
      </c>
      <c r="F2398" s="13" t="s">
        <v>11</v>
      </c>
    </row>
    <row r="2399" ht="18" customHeight="1" spans="1:6">
      <c r="A2399" s="13" t="s">
        <v>4390</v>
      </c>
      <c r="B2399" s="13" t="s">
        <v>4557</v>
      </c>
      <c r="C2399" s="13" t="s">
        <v>4611</v>
      </c>
      <c r="D2399" s="13">
        <v>3</v>
      </c>
      <c r="E2399" s="179" t="s">
        <v>4612</v>
      </c>
      <c r="F2399" s="13" t="s">
        <v>11</v>
      </c>
    </row>
    <row r="2400" ht="18" customHeight="1" spans="1:6">
      <c r="A2400" s="13" t="s">
        <v>4390</v>
      </c>
      <c r="B2400" s="13" t="s">
        <v>4557</v>
      </c>
      <c r="C2400" s="13" t="s">
        <v>4613</v>
      </c>
      <c r="D2400" s="13">
        <v>4</v>
      </c>
      <c r="E2400" s="179" t="s">
        <v>4614</v>
      </c>
      <c r="F2400" s="13" t="s">
        <v>11</v>
      </c>
    </row>
    <row r="2401" ht="18" customHeight="1" spans="1:6">
      <c r="A2401" s="13" t="s">
        <v>4390</v>
      </c>
      <c r="B2401" s="13" t="s">
        <v>4557</v>
      </c>
      <c r="C2401" s="13" t="s">
        <v>4615</v>
      </c>
      <c r="D2401" s="13">
        <v>1</v>
      </c>
      <c r="E2401" s="179" t="s">
        <v>4616</v>
      </c>
      <c r="F2401" s="13" t="s">
        <v>11</v>
      </c>
    </row>
    <row r="2402" ht="18" customHeight="1" spans="1:6">
      <c r="A2402" s="13" t="s">
        <v>4390</v>
      </c>
      <c r="B2402" s="13" t="s">
        <v>4557</v>
      </c>
      <c r="C2402" s="13" t="s">
        <v>4617</v>
      </c>
      <c r="D2402" s="13">
        <v>4</v>
      </c>
      <c r="E2402" s="179" t="s">
        <v>4618</v>
      </c>
      <c r="F2402" s="13" t="s">
        <v>11</v>
      </c>
    </row>
    <row r="2403" ht="18" customHeight="1" spans="1:6">
      <c r="A2403" s="13" t="s">
        <v>4390</v>
      </c>
      <c r="B2403" s="13" t="s">
        <v>4557</v>
      </c>
      <c r="C2403" s="13" t="s">
        <v>4619</v>
      </c>
      <c r="D2403" s="13">
        <v>2</v>
      </c>
      <c r="E2403" s="179" t="s">
        <v>4620</v>
      </c>
      <c r="F2403" s="13" t="s">
        <v>11</v>
      </c>
    </row>
    <row r="2404" ht="18" customHeight="1" spans="1:6">
      <c r="A2404" s="13" t="s">
        <v>4390</v>
      </c>
      <c r="B2404" s="13" t="s">
        <v>4557</v>
      </c>
      <c r="C2404" s="13" t="s">
        <v>4621</v>
      </c>
      <c r="D2404" s="13">
        <v>1</v>
      </c>
      <c r="E2404" s="179" t="s">
        <v>4622</v>
      </c>
      <c r="F2404" s="13" t="s">
        <v>11</v>
      </c>
    </row>
    <row r="2405" ht="18" customHeight="1" spans="1:6">
      <c r="A2405" s="13" t="s">
        <v>4390</v>
      </c>
      <c r="B2405" s="13" t="s">
        <v>4557</v>
      </c>
      <c r="C2405" s="13" t="s">
        <v>4623</v>
      </c>
      <c r="D2405" s="13">
        <v>2</v>
      </c>
      <c r="E2405" s="179" t="s">
        <v>4624</v>
      </c>
      <c r="F2405" s="13" t="s">
        <v>11</v>
      </c>
    </row>
    <row r="2406" ht="18" customHeight="1" spans="1:6">
      <c r="A2406" s="13" t="s">
        <v>4390</v>
      </c>
      <c r="B2406" s="13" t="s">
        <v>4557</v>
      </c>
      <c r="C2406" s="13" t="s">
        <v>4625</v>
      </c>
      <c r="D2406" s="13">
        <v>2</v>
      </c>
      <c r="E2406" s="179" t="s">
        <v>4626</v>
      </c>
      <c r="F2406" s="13" t="s">
        <v>11</v>
      </c>
    </row>
    <row r="2407" ht="18" customHeight="1" spans="1:6">
      <c r="A2407" s="13" t="s">
        <v>4390</v>
      </c>
      <c r="B2407" s="13" t="s">
        <v>4557</v>
      </c>
      <c r="C2407" s="13" t="s">
        <v>4627</v>
      </c>
      <c r="D2407" s="13">
        <v>5</v>
      </c>
      <c r="E2407" s="179" t="s">
        <v>4628</v>
      </c>
      <c r="F2407" s="13" t="s">
        <v>11</v>
      </c>
    </row>
    <row r="2408" ht="18" customHeight="1" spans="1:6">
      <c r="A2408" s="13" t="s">
        <v>4390</v>
      </c>
      <c r="B2408" s="13" t="s">
        <v>4557</v>
      </c>
      <c r="C2408" s="13" t="s">
        <v>4629</v>
      </c>
      <c r="D2408" s="13">
        <v>1</v>
      </c>
      <c r="E2408" s="179" t="s">
        <v>4630</v>
      </c>
      <c r="F2408" s="13" t="s">
        <v>11</v>
      </c>
    </row>
    <row r="2409" ht="18" customHeight="1" spans="1:6">
      <c r="A2409" s="13" t="s">
        <v>4390</v>
      </c>
      <c r="B2409" s="13" t="s">
        <v>4557</v>
      </c>
      <c r="C2409" s="13" t="s">
        <v>4631</v>
      </c>
      <c r="D2409" s="13">
        <v>5</v>
      </c>
      <c r="E2409" s="179" t="s">
        <v>4632</v>
      </c>
      <c r="F2409" s="13" t="s">
        <v>11</v>
      </c>
    </row>
    <row r="2410" ht="18" customHeight="1" spans="1:6">
      <c r="A2410" s="13" t="s">
        <v>4390</v>
      </c>
      <c r="B2410" s="13" t="s">
        <v>4557</v>
      </c>
      <c r="C2410" s="13" t="s">
        <v>4633</v>
      </c>
      <c r="D2410" s="13">
        <v>5</v>
      </c>
      <c r="E2410" s="179" t="s">
        <v>4634</v>
      </c>
      <c r="F2410" s="13" t="s">
        <v>11</v>
      </c>
    </row>
    <row r="2411" ht="18" customHeight="1" spans="1:6">
      <c r="A2411" s="13" t="s">
        <v>4390</v>
      </c>
      <c r="B2411" s="13" t="s">
        <v>4557</v>
      </c>
      <c r="C2411" s="13" t="s">
        <v>4635</v>
      </c>
      <c r="D2411" s="13">
        <v>3</v>
      </c>
      <c r="E2411" s="179" t="s">
        <v>4636</v>
      </c>
      <c r="F2411" s="13" t="s">
        <v>11</v>
      </c>
    </row>
    <row r="2412" ht="18" customHeight="1" spans="1:6">
      <c r="A2412" s="13" t="s">
        <v>4390</v>
      </c>
      <c r="B2412" s="13" t="s">
        <v>4557</v>
      </c>
      <c r="C2412" s="13" t="s">
        <v>4637</v>
      </c>
      <c r="D2412" s="13">
        <v>4</v>
      </c>
      <c r="E2412" s="179" t="s">
        <v>4638</v>
      </c>
      <c r="F2412" s="13" t="s">
        <v>11</v>
      </c>
    </row>
    <row r="2413" ht="18" customHeight="1" spans="1:6">
      <c r="A2413" s="13" t="s">
        <v>4390</v>
      </c>
      <c r="B2413" s="13" t="s">
        <v>4557</v>
      </c>
      <c r="C2413" s="13" t="s">
        <v>4639</v>
      </c>
      <c r="D2413" s="13">
        <v>1</v>
      </c>
      <c r="E2413" s="179" t="s">
        <v>4640</v>
      </c>
      <c r="F2413" s="13" t="s">
        <v>11</v>
      </c>
    </row>
    <row r="2414" ht="18" customHeight="1" spans="1:6">
      <c r="A2414" s="13" t="s">
        <v>4390</v>
      </c>
      <c r="B2414" s="13" t="s">
        <v>4641</v>
      </c>
      <c r="C2414" s="139" t="s">
        <v>4642</v>
      </c>
      <c r="D2414" s="139">
        <v>4</v>
      </c>
      <c r="E2414" s="179" t="s">
        <v>4643</v>
      </c>
      <c r="F2414" s="13" t="s">
        <v>11</v>
      </c>
    </row>
    <row r="2415" ht="18" customHeight="1" spans="1:6">
      <c r="A2415" s="13" t="s">
        <v>4390</v>
      </c>
      <c r="B2415" s="13" t="s">
        <v>4641</v>
      </c>
      <c r="C2415" s="139" t="s">
        <v>4644</v>
      </c>
      <c r="D2415" s="139">
        <v>5</v>
      </c>
      <c r="E2415" s="13" t="s">
        <v>4645</v>
      </c>
      <c r="F2415" s="13" t="s">
        <v>11</v>
      </c>
    </row>
    <row r="2416" ht="18" customHeight="1" spans="1:6">
      <c r="A2416" s="13" t="s">
        <v>4390</v>
      </c>
      <c r="B2416" s="13" t="s">
        <v>4641</v>
      </c>
      <c r="C2416" s="139" t="s">
        <v>4646</v>
      </c>
      <c r="D2416" s="139">
        <v>3</v>
      </c>
      <c r="E2416" s="179" t="s">
        <v>4647</v>
      </c>
      <c r="F2416" s="13" t="s">
        <v>11</v>
      </c>
    </row>
    <row r="2417" ht="18" customHeight="1" spans="1:6">
      <c r="A2417" s="13" t="s">
        <v>4390</v>
      </c>
      <c r="B2417" s="13" t="s">
        <v>4641</v>
      </c>
      <c r="C2417" s="139" t="s">
        <v>3242</v>
      </c>
      <c r="D2417" s="139">
        <v>6</v>
      </c>
      <c r="E2417" s="179" t="s">
        <v>4648</v>
      </c>
      <c r="F2417" s="13" t="s">
        <v>11</v>
      </c>
    </row>
    <row r="2418" ht="18" customHeight="1" spans="1:6">
      <c r="A2418" s="13" t="s">
        <v>4390</v>
      </c>
      <c r="B2418" s="13" t="s">
        <v>4641</v>
      </c>
      <c r="C2418" s="139" t="s">
        <v>4649</v>
      </c>
      <c r="D2418" s="139">
        <v>2</v>
      </c>
      <c r="E2418" s="179" t="s">
        <v>4650</v>
      </c>
      <c r="F2418" s="13" t="s">
        <v>11</v>
      </c>
    </row>
    <row r="2419" ht="18" customHeight="1" spans="1:6">
      <c r="A2419" s="13" t="s">
        <v>4390</v>
      </c>
      <c r="B2419" s="13" t="s">
        <v>4641</v>
      </c>
      <c r="C2419" s="139" t="s">
        <v>4651</v>
      </c>
      <c r="D2419" s="139">
        <v>2</v>
      </c>
      <c r="E2419" s="179" t="s">
        <v>4652</v>
      </c>
      <c r="F2419" s="13" t="s">
        <v>11</v>
      </c>
    </row>
    <row r="2420" ht="18" customHeight="1" spans="1:6">
      <c r="A2420" s="13" t="s">
        <v>4390</v>
      </c>
      <c r="B2420" s="13" t="s">
        <v>4641</v>
      </c>
      <c r="C2420" s="140" t="s">
        <v>4653</v>
      </c>
      <c r="D2420" s="140">
        <v>4</v>
      </c>
      <c r="E2420" s="179" t="s">
        <v>4654</v>
      </c>
      <c r="F2420" s="13" t="s">
        <v>11</v>
      </c>
    </row>
    <row r="2421" ht="18" customHeight="1" spans="1:6">
      <c r="A2421" s="13" t="s">
        <v>4390</v>
      </c>
      <c r="B2421" s="13" t="s">
        <v>4641</v>
      </c>
      <c r="C2421" s="140" t="s">
        <v>4655</v>
      </c>
      <c r="D2421" s="140">
        <v>6</v>
      </c>
      <c r="E2421" s="179" t="s">
        <v>4656</v>
      </c>
      <c r="F2421" s="13" t="s">
        <v>11</v>
      </c>
    </row>
    <row r="2422" ht="18" customHeight="1" spans="1:6">
      <c r="A2422" s="13" t="s">
        <v>4390</v>
      </c>
      <c r="B2422" s="13" t="s">
        <v>4641</v>
      </c>
      <c r="C2422" s="140" t="s">
        <v>4657</v>
      </c>
      <c r="D2422" s="140">
        <v>3</v>
      </c>
      <c r="E2422" s="179" t="s">
        <v>4658</v>
      </c>
      <c r="F2422" s="13" t="s">
        <v>11</v>
      </c>
    </row>
    <row r="2423" ht="18" customHeight="1" spans="1:6">
      <c r="A2423" s="13" t="s">
        <v>4390</v>
      </c>
      <c r="B2423" s="13" t="s">
        <v>4641</v>
      </c>
      <c r="C2423" s="140" t="s">
        <v>4659</v>
      </c>
      <c r="D2423" s="140" t="s">
        <v>2046</v>
      </c>
      <c r="E2423" s="179" t="s">
        <v>4660</v>
      </c>
      <c r="F2423" s="13" t="s">
        <v>11</v>
      </c>
    </row>
    <row r="2424" ht="18" customHeight="1" spans="1:6">
      <c r="A2424" s="13" t="s">
        <v>4390</v>
      </c>
      <c r="B2424" s="13" t="s">
        <v>4641</v>
      </c>
      <c r="C2424" s="140" t="s">
        <v>4661</v>
      </c>
      <c r="D2424" s="140">
        <v>1</v>
      </c>
      <c r="E2424" s="179" t="s">
        <v>4662</v>
      </c>
      <c r="F2424" s="13" t="s">
        <v>11</v>
      </c>
    </row>
    <row r="2425" ht="18" customHeight="1" spans="1:6">
      <c r="A2425" s="13" t="s">
        <v>4390</v>
      </c>
      <c r="B2425" s="13" t="s">
        <v>4641</v>
      </c>
      <c r="C2425" s="13" t="s">
        <v>4663</v>
      </c>
      <c r="D2425" s="13">
        <v>4</v>
      </c>
      <c r="E2425" s="13" t="s">
        <v>4664</v>
      </c>
      <c r="F2425" s="13" t="s">
        <v>11</v>
      </c>
    </row>
    <row r="2426" ht="18" customHeight="1" spans="1:6">
      <c r="A2426" s="13" t="s">
        <v>4390</v>
      </c>
      <c r="B2426" s="13" t="s">
        <v>4665</v>
      </c>
      <c r="C2426" s="13" t="s">
        <v>4666</v>
      </c>
      <c r="D2426" s="13">
        <v>2</v>
      </c>
      <c r="E2426" s="179" t="s">
        <v>4667</v>
      </c>
      <c r="F2426" s="13" t="s">
        <v>11</v>
      </c>
    </row>
    <row r="2427" ht="18" customHeight="1" spans="1:6">
      <c r="A2427" s="13" t="s">
        <v>4390</v>
      </c>
      <c r="B2427" s="13" t="s">
        <v>4665</v>
      </c>
      <c r="C2427" s="13" t="s">
        <v>4668</v>
      </c>
      <c r="D2427" s="13">
        <v>2</v>
      </c>
      <c r="E2427" s="179" t="s">
        <v>4669</v>
      </c>
      <c r="F2427" s="13" t="s">
        <v>11</v>
      </c>
    </row>
    <row r="2428" ht="18" customHeight="1" spans="1:6">
      <c r="A2428" s="13" t="s">
        <v>4390</v>
      </c>
      <c r="B2428" s="13" t="s">
        <v>4665</v>
      </c>
      <c r="C2428" s="13" t="s">
        <v>4670</v>
      </c>
      <c r="D2428" s="13">
        <v>1</v>
      </c>
      <c r="E2428" s="179" t="s">
        <v>4671</v>
      </c>
      <c r="F2428" s="13" t="s">
        <v>11</v>
      </c>
    </row>
    <row r="2429" ht="18" customHeight="1" spans="1:6">
      <c r="A2429" s="13" t="s">
        <v>4390</v>
      </c>
      <c r="B2429" s="13" t="s">
        <v>4672</v>
      </c>
      <c r="C2429" s="13" t="s">
        <v>4673</v>
      </c>
      <c r="D2429" s="13">
        <v>4</v>
      </c>
      <c r="E2429" s="179" t="s">
        <v>4674</v>
      </c>
      <c r="F2429" s="13" t="s">
        <v>11</v>
      </c>
    </row>
    <row r="2430" ht="18" customHeight="1" spans="1:6">
      <c r="A2430" s="13" t="s">
        <v>4390</v>
      </c>
      <c r="B2430" s="13" t="s">
        <v>4672</v>
      </c>
      <c r="C2430" s="13" t="s">
        <v>4675</v>
      </c>
      <c r="D2430" s="13">
        <v>4</v>
      </c>
      <c r="E2430" s="179" t="s">
        <v>4676</v>
      </c>
      <c r="F2430" s="13" t="s">
        <v>11</v>
      </c>
    </row>
    <row r="2431" ht="18" customHeight="1" spans="1:6">
      <c r="A2431" s="13" t="s">
        <v>4390</v>
      </c>
      <c r="B2431" s="13" t="s">
        <v>4672</v>
      </c>
      <c r="C2431" s="13" t="s">
        <v>4677</v>
      </c>
      <c r="D2431" s="13">
        <v>2</v>
      </c>
      <c r="E2431" s="179" t="s">
        <v>4678</v>
      </c>
      <c r="F2431" s="13" t="s">
        <v>11</v>
      </c>
    </row>
    <row r="2432" ht="18" customHeight="1" spans="1:6">
      <c r="A2432" s="13" t="s">
        <v>4390</v>
      </c>
      <c r="B2432" s="13" t="s">
        <v>4672</v>
      </c>
      <c r="C2432" s="13" t="s">
        <v>4679</v>
      </c>
      <c r="D2432" s="13">
        <v>4</v>
      </c>
      <c r="E2432" s="179" t="s">
        <v>4680</v>
      </c>
      <c r="F2432" s="13" t="s">
        <v>11</v>
      </c>
    </row>
    <row r="2433" ht="18" customHeight="1" spans="1:6">
      <c r="A2433" s="13" t="s">
        <v>4390</v>
      </c>
      <c r="B2433" s="13" t="s">
        <v>4672</v>
      </c>
      <c r="C2433" s="13" t="s">
        <v>4681</v>
      </c>
      <c r="D2433" s="13">
        <v>3</v>
      </c>
      <c r="E2433" s="179" t="s">
        <v>4682</v>
      </c>
      <c r="F2433" s="13" t="s">
        <v>11</v>
      </c>
    </row>
    <row r="2434" ht="18" customHeight="1" spans="1:6">
      <c r="A2434" s="13" t="s">
        <v>4390</v>
      </c>
      <c r="B2434" s="13" t="s">
        <v>4672</v>
      </c>
      <c r="C2434" s="15" t="s">
        <v>4683</v>
      </c>
      <c r="D2434" s="15">
        <v>4</v>
      </c>
      <c r="E2434" s="186" t="s">
        <v>4684</v>
      </c>
      <c r="F2434" s="13" t="s">
        <v>11</v>
      </c>
    </row>
    <row r="2435" ht="18" customHeight="1" spans="1:6">
      <c r="A2435" s="13" t="s">
        <v>4390</v>
      </c>
      <c r="B2435" s="13" t="s">
        <v>4672</v>
      </c>
      <c r="C2435" s="15" t="s">
        <v>4685</v>
      </c>
      <c r="D2435" s="15">
        <v>5</v>
      </c>
      <c r="E2435" s="186" t="s">
        <v>4686</v>
      </c>
      <c r="F2435" s="13" t="s">
        <v>11</v>
      </c>
    </row>
    <row r="2436" ht="18" customHeight="1" spans="1:6">
      <c r="A2436" s="13" t="s">
        <v>4390</v>
      </c>
      <c r="B2436" s="13" t="s">
        <v>4672</v>
      </c>
      <c r="C2436" s="15" t="s">
        <v>4687</v>
      </c>
      <c r="D2436" s="15">
        <v>5</v>
      </c>
      <c r="E2436" s="186" t="s">
        <v>4688</v>
      </c>
      <c r="F2436" s="13" t="s">
        <v>11</v>
      </c>
    </row>
    <row r="2437" ht="18" customHeight="1" spans="1:6">
      <c r="A2437" s="13" t="s">
        <v>4390</v>
      </c>
      <c r="B2437" s="13" t="s">
        <v>4672</v>
      </c>
      <c r="C2437" s="15" t="s">
        <v>4689</v>
      </c>
      <c r="D2437" s="15">
        <v>3</v>
      </c>
      <c r="E2437" s="186" t="s">
        <v>4690</v>
      </c>
      <c r="F2437" s="13" t="s">
        <v>11</v>
      </c>
    </row>
    <row r="2438" ht="18" customHeight="1" spans="1:6">
      <c r="A2438" s="13" t="s">
        <v>4390</v>
      </c>
      <c r="B2438" s="13" t="s">
        <v>4672</v>
      </c>
      <c r="C2438" s="15" t="s">
        <v>4691</v>
      </c>
      <c r="D2438" s="15">
        <v>2</v>
      </c>
      <c r="E2438" s="186" t="s">
        <v>4692</v>
      </c>
      <c r="F2438" s="13" t="s">
        <v>11</v>
      </c>
    </row>
    <row r="2439" ht="18" customHeight="1" spans="1:6">
      <c r="A2439" s="13" t="s">
        <v>4390</v>
      </c>
      <c r="B2439" s="13" t="s">
        <v>4672</v>
      </c>
      <c r="C2439" s="15" t="s">
        <v>4693</v>
      </c>
      <c r="D2439" s="15">
        <v>5</v>
      </c>
      <c r="E2439" s="186" t="s">
        <v>4694</v>
      </c>
      <c r="F2439" s="13" t="s">
        <v>11</v>
      </c>
    </row>
    <row r="2440" ht="18" customHeight="1" spans="1:6">
      <c r="A2440" s="13" t="s">
        <v>4390</v>
      </c>
      <c r="B2440" s="13" t="s">
        <v>4672</v>
      </c>
      <c r="C2440" s="15" t="s">
        <v>4695</v>
      </c>
      <c r="D2440" s="15">
        <v>3</v>
      </c>
      <c r="E2440" s="186" t="s">
        <v>4696</v>
      </c>
      <c r="F2440" s="13" t="s">
        <v>11</v>
      </c>
    </row>
    <row r="2441" ht="18" customHeight="1" spans="1:6">
      <c r="A2441" s="13" t="s">
        <v>4390</v>
      </c>
      <c r="B2441" s="13" t="s">
        <v>4672</v>
      </c>
      <c r="C2441" s="15" t="s">
        <v>4697</v>
      </c>
      <c r="D2441" s="15">
        <v>2</v>
      </c>
      <c r="E2441" s="186" t="s">
        <v>4698</v>
      </c>
      <c r="F2441" s="13" t="s">
        <v>11</v>
      </c>
    </row>
    <row r="2442" ht="18" customHeight="1" spans="1:6">
      <c r="A2442" s="13" t="s">
        <v>4390</v>
      </c>
      <c r="B2442" s="13" t="s">
        <v>4672</v>
      </c>
      <c r="C2442" s="15" t="s">
        <v>4699</v>
      </c>
      <c r="D2442" s="15">
        <v>4</v>
      </c>
      <c r="E2442" s="186" t="s">
        <v>4700</v>
      </c>
      <c r="F2442" s="13" t="s">
        <v>11</v>
      </c>
    </row>
    <row r="2443" ht="18" customHeight="1" spans="1:6">
      <c r="A2443" s="13" t="s">
        <v>4390</v>
      </c>
      <c r="B2443" s="13" t="s">
        <v>4672</v>
      </c>
      <c r="C2443" s="15" t="s">
        <v>4701</v>
      </c>
      <c r="D2443" s="15">
        <v>3</v>
      </c>
      <c r="E2443" s="186" t="s">
        <v>4702</v>
      </c>
      <c r="F2443" s="13" t="s">
        <v>11</v>
      </c>
    </row>
    <row r="2444" ht="18" customHeight="1" spans="1:6">
      <c r="A2444" s="13" t="s">
        <v>4390</v>
      </c>
      <c r="B2444" s="13" t="s">
        <v>4672</v>
      </c>
      <c r="C2444" s="15" t="s">
        <v>4703</v>
      </c>
      <c r="D2444" s="15">
        <v>2</v>
      </c>
      <c r="E2444" s="186" t="s">
        <v>4704</v>
      </c>
      <c r="F2444" s="13" t="s">
        <v>11</v>
      </c>
    </row>
    <row r="2445" ht="18" customHeight="1" spans="1:6">
      <c r="A2445" s="13" t="s">
        <v>4390</v>
      </c>
      <c r="B2445" s="13" t="s">
        <v>4672</v>
      </c>
      <c r="C2445" s="15" t="s">
        <v>4705</v>
      </c>
      <c r="D2445" s="15">
        <v>5</v>
      </c>
      <c r="E2445" s="186" t="s">
        <v>4706</v>
      </c>
      <c r="F2445" s="13" t="s">
        <v>11</v>
      </c>
    </row>
    <row r="2446" ht="18" customHeight="1" spans="1:6">
      <c r="A2446" s="13" t="s">
        <v>4390</v>
      </c>
      <c r="B2446" s="13" t="s">
        <v>4672</v>
      </c>
      <c r="C2446" s="15" t="s">
        <v>4707</v>
      </c>
      <c r="D2446" s="15">
        <v>5</v>
      </c>
      <c r="E2446" s="186" t="s">
        <v>4708</v>
      </c>
      <c r="F2446" s="13" t="s">
        <v>11</v>
      </c>
    </row>
    <row r="2447" ht="18" customHeight="1" spans="1:6">
      <c r="A2447" s="13" t="s">
        <v>4390</v>
      </c>
      <c r="B2447" s="13" t="s">
        <v>4672</v>
      </c>
      <c r="C2447" s="15" t="s">
        <v>4709</v>
      </c>
      <c r="D2447" s="15">
        <v>4</v>
      </c>
      <c r="E2447" s="15" t="s">
        <v>4710</v>
      </c>
      <c r="F2447" s="13" t="s">
        <v>11</v>
      </c>
    </row>
    <row r="2448" ht="18" customHeight="1" spans="1:6">
      <c r="A2448" s="13" t="s">
        <v>4390</v>
      </c>
      <c r="B2448" s="13" t="s">
        <v>4672</v>
      </c>
      <c r="C2448" s="15" t="s">
        <v>4711</v>
      </c>
      <c r="D2448" s="15">
        <v>4</v>
      </c>
      <c r="E2448" s="186" t="s">
        <v>4712</v>
      </c>
      <c r="F2448" s="13" t="s">
        <v>11</v>
      </c>
    </row>
    <row r="2449" ht="18" customHeight="1" spans="1:6">
      <c r="A2449" s="13" t="s">
        <v>4390</v>
      </c>
      <c r="B2449" s="13" t="s">
        <v>4672</v>
      </c>
      <c r="C2449" s="15" t="s">
        <v>4713</v>
      </c>
      <c r="D2449" s="15">
        <v>3</v>
      </c>
      <c r="E2449" s="186" t="s">
        <v>4714</v>
      </c>
      <c r="F2449" s="13" t="s">
        <v>11</v>
      </c>
    </row>
    <row r="2450" ht="18" customHeight="1" spans="1:6">
      <c r="A2450" s="13" t="s">
        <v>4390</v>
      </c>
      <c r="B2450" s="13" t="s">
        <v>4672</v>
      </c>
      <c r="C2450" s="15" t="s">
        <v>4715</v>
      </c>
      <c r="D2450" s="15">
        <v>4</v>
      </c>
      <c r="E2450" s="186" t="s">
        <v>4716</v>
      </c>
      <c r="F2450" s="13" t="s">
        <v>11</v>
      </c>
    </row>
    <row r="2451" ht="18" customHeight="1" spans="1:6">
      <c r="A2451" s="13" t="s">
        <v>4390</v>
      </c>
      <c r="B2451" s="13" t="s">
        <v>4672</v>
      </c>
      <c r="C2451" s="15" t="s">
        <v>4717</v>
      </c>
      <c r="D2451" s="15">
        <v>4</v>
      </c>
      <c r="E2451" s="186" t="s">
        <v>4718</v>
      </c>
      <c r="F2451" s="13" t="s">
        <v>11</v>
      </c>
    </row>
    <row r="2452" ht="18" customHeight="1" spans="1:6">
      <c r="A2452" s="13" t="s">
        <v>4390</v>
      </c>
      <c r="B2452" s="13" t="s">
        <v>4672</v>
      </c>
      <c r="C2452" s="15" t="s">
        <v>4719</v>
      </c>
      <c r="D2452" s="15">
        <v>3</v>
      </c>
      <c r="E2452" s="186" t="s">
        <v>4720</v>
      </c>
      <c r="F2452" s="13" t="s">
        <v>11</v>
      </c>
    </row>
    <row r="2453" ht="18" customHeight="1" spans="1:6">
      <c r="A2453" s="13" t="s">
        <v>4390</v>
      </c>
      <c r="B2453" s="13" t="s">
        <v>4672</v>
      </c>
      <c r="C2453" s="15" t="s">
        <v>4721</v>
      </c>
      <c r="D2453" s="15">
        <v>1</v>
      </c>
      <c r="E2453" s="186" t="s">
        <v>4722</v>
      </c>
      <c r="F2453" s="13" t="s">
        <v>11</v>
      </c>
    </row>
    <row r="2454" ht="18" customHeight="1" spans="1:6">
      <c r="A2454" s="13" t="s">
        <v>4390</v>
      </c>
      <c r="B2454" s="13" t="s">
        <v>4672</v>
      </c>
      <c r="C2454" s="15" t="s">
        <v>4723</v>
      </c>
      <c r="D2454" s="15">
        <v>4</v>
      </c>
      <c r="E2454" s="186" t="s">
        <v>4724</v>
      </c>
      <c r="F2454" s="13" t="s">
        <v>11</v>
      </c>
    </row>
    <row r="2455" ht="18" customHeight="1" spans="1:6">
      <c r="A2455" s="13" t="s">
        <v>4390</v>
      </c>
      <c r="B2455" s="13" t="s">
        <v>4672</v>
      </c>
      <c r="C2455" s="15" t="s">
        <v>4725</v>
      </c>
      <c r="D2455" s="15">
        <v>4</v>
      </c>
      <c r="E2455" s="186" t="s">
        <v>4726</v>
      </c>
      <c r="F2455" s="13" t="s">
        <v>11</v>
      </c>
    </row>
    <row r="2456" ht="18" customHeight="1" spans="1:6">
      <c r="A2456" s="13" t="s">
        <v>4390</v>
      </c>
      <c r="B2456" s="13" t="s">
        <v>4672</v>
      </c>
      <c r="C2456" s="15" t="s">
        <v>4727</v>
      </c>
      <c r="D2456" s="15">
        <v>3</v>
      </c>
      <c r="E2456" s="186" t="s">
        <v>4728</v>
      </c>
      <c r="F2456" s="13" t="s">
        <v>11</v>
      </c>
    </row>
    <row r="2457" ht="18" customHeight="1" spans="1:6">
      <c r="A2457" s="13" t="s">
        <v>4390</v>
      </c>
      <c r="B2457" s="13" t="s">
        <v>4672</v>
      </c>
      <c r="C2457" s="15" t="s">
        <v>4729</v>
      </c>
      <c r="D2457" s="15">
        <v>2</v>
      </c>
      <c r="E2457" s="186" t="s">
        <v>4730</v>
      </c>
      <c r="F2457" s="13" t="s">
        <v>11</v>
      </c>
    </row>
    <row r="2458" ht="18" customHeight="1" spans="1:6">
      <c r="A2458" s="13" t="s">
        <v>4390</v>
      </c>
      <c r="B2458" s="13" t="s">
        <v>4672</v>
      </c>
      <c r="C2458" s="15" t="s">
        <v>4731</v>
      </c>
      <c r="D2458" s="15">
        <v>3</v>
      </c>
      <c r="E2458" s="186" t="s">
        <v>4732</v>
      </c>
      <c r="F2458" s="13" t="s">
        <v>11</v>
      </c>
    </row>
    <row r="2459" ht="18" customHeight="1" spans="1:6">
      <c r="A2459" s="13" t="s">
        <v>4390</v>
      </c>
      <c r="B2459" s="13" t="s">
        <v>4672</v>
      </c>
      <c r="C2459" s="15" t="s">
        <v>4733</v>
      </c>
      <c r="D2459" s="15">
        <v>4</v>
      </c>
      <c r="E2459" s="186" t="s">
        <v>4734</v>
      </c>
      <c r="F2459" s="13" t="s">
        <v>11</v>
      </c>
    </row>
    <row r="2460" ht="18" customHeight="1" spans="1:6">
      <c r="A2460" s="13" t="s">
        <v>4390</v>
      </c>
      <c r="B2460" s="13" t="s">
        <v>4672</v>
      </c>
      <c r="C2460" s="15" t="s">
        <v>4735</v>
      </c>
      <c r="D2460" s="15">
        <v>5</v>
      </c>
      <c r="E2460" s="186" t="s">
        <v>4736</v>
      </c>
      <c r="F2460" s="13" t="s">
        <v>11</v>
      </c>
    </row>
    <row r="2461" ht="18" customHeight="1" spans="1:6">
      <c r="A2461" s="13" t="s">
        <v>4390</v>
      </c>
      <c r="B2461" s="13" t="s">
        <v>4672</v>
      </c>
      <c r="C2461" s="13" t="s">
        <v>4737</v>
      </c>
      <c r="D2461" s="13">
        <v>4</v>
      </c>
      <c r="E2461" s="179" t="s">
        <v>4738</v>
      </c>
      <c r="F2461" s="13" t="s">
        <v>11</v>
      </c>
    </row>
    <row r="2462" ht="18" customHeight="1" spans="1:6">
      <c r="A2462" s="13" t="s">
        <v>4390</v>
      </c>
      <c r="B2462" s="13" t="s">
        <v>4672</v>
      </c>
      <c r="C2462" s="5" t="s">
        <v>4739</v>
      </c>
      <c r="D2462" s="5">
        <v>3</v>
      </c>
      <c r="E2462" s="178" t="s">
        <v>4740</v>
      </c>
      <c r="F2462" s="13" t="s">
        <v>11</v>
      </c>
    </row>
    <row r="2463" ht="18" customHeight="1" spans="1:6">
      <c r="A2463" s="13" t="s">
        <v>4390</v>
      </c>
      <c r="B2463" s="13" t="s">
        <v>4672</v>
      </c>
      <c r="C2463" s="5" t="s">
        <v>4741</v>
      </c>
      <c r="D2463" s="5">
        <v>4</v>
      </c>
      <c r="E2463" s="178" t="s">
        <v>4742</v>
      </c>
      <c r="F2463" s="13" t="s">
        <v>11</v>
      </c>
    </row>
    <row r="2464" ht="18" customHeight="1" spans="1:6">
      <c r="A2464" s="13" t="s">
        <v>4390</v>
      </c>
      <c r="B2464" s="13" t="s">
        <v>4672</v>
      </c>
      <c r="C2464" s="5" t="s">
        <v>4743</v>
      </c>
      <c r="D2464" s="5">
        <v>3</v>
      </c>
      <c r="E2464" s="5" t="s">
        <v>4744</v>
      </c>
      <c r="F2464" s="13" t="s">
        <v>11</v>
      </c>
    </row>
    <row r="2465" ht="18" customHeight="1" spans="1:6">
      <c r="A2465" s="13" t="s">
        <v>4390</v>
      </c>
      <c r="B2465" s="13" t="s">
        <v>4672</v>
      </c>
      <c r="C2465" s="13" t="s">
        <v>4745</v>
      </c>
      <c r="D2465" s="13">
        <v>4</v>
      </c>
      <c r="E2465" s="179" t="s">
        <v>4746</v>
      </c>
      <c r="F2465" s="13" t="s">
        <v>11</v>
      </c>
    </row>
    <row r="2466" ht="18" customHeight="1" spans="1:6">
      <c r="A2466" s="13" t="s">
        <v>4390</v>
      </c>
      <c r="B2466" s="13" t="s">
        <v>4672</v>
      </c>
      <c r="C2466" s="13" t="s">
        <v>4683</v>
      </c>
      <c r="D2466" s="13">
        <v>4</v>
      </c>
      <c r="E2466" s="179" t="s">
        <v>4684</v>
      </c>
      <c r="F2466" s="13" t="s">
        <v>11</v>
      </c>
    </row>
    <row r="2467" ht="18" customHeight="1" spans="1:6">
      <c r="A2467" s="13" t="s">
        <v>4390</v>
      </c>
      <c r="B2467" s="13" t="s">
        <v>4497</v>
      </c>
      <c r="C2467" s="13" t="s">
        <v>4747</v>
      </c>
      <c r="D2467" s="13">
        <v>2</v>
      </c>
      <c r="E2467" s="179" t="s">
        <v>4748</v>
      </c>
      <c r="F2467" s="13" t="s">
        <v>11</v>
      </c>
    </row>
    <row r="2468" ht="18" customHeight="1" spans="1:6">
      <c r="A2468" s="13" t="s">
        <v>4390</v>
      </c>
      <c r="B2468" s="13" t="s">
        <v>4497</v>
      </c>
      <c r="C2468" s="13" t="s">
        <v>4749</v>
      </c>
      <c r="D2468" s="13">
        <v>3</v>
      </c>
      <c r="E2468" s="179" t="s">
        <v>4750</v>
      </c>
      <c r="F2468" s="13" t="s">
        <v>11</v>
      </c>
    </row>
    <row r="2469" ht="18" customHeight="1" spans="1:6">
      <c r="A2469" s="13" t="s">
        <v>4390</v>
      </c>
      <c r="B2469" s="13" t="s">
        <v>4497</v>
      </c>
      <c r="C2469" s="13" t="s">
        <v>4751</v>
      </c>
      <c r="D2469" s="13">
        <v>3</v>
      </c>
      <c r="E2469" s="179" t="s">
        <v>4752</v>
      </c>
      <c r="F2469" s="13" t="s">
        <v>11</v>
      </c>
    </row>
    <row r="2470" ht="18" customHeight="1" spans="1:6">
      <c r="A2470" s="13" t="s">
        <v>4390</v>
      </c>
      <c r="B2470" s="13" t="s">
        <v>4497</v>
      </c>
      <c r="C2470" s="13" t="s">
        <v>4753</v>
      </c>
      <c r="D2470" s="13">
        <v>4</v>
      </c>
      <c r="E2470" s="179" t="s">
        <v>4754</v>
      </c>
      <c r="F2470" s="13" t="s">
        <v>11</v>
      </c>
    </row>
    <row r="2471" ht="18" customHeight="1" spans="1:6">
      <c r="A2471" s="13" t="s">
        <v>4390</v>
      </c>
      <c r="B2471" s="13" t="s">
        <v>4497</v>
      </c>
      <c r="C2471" s="13" t="s">
        <v>4755</v>
      </c>
      <c r="D2471" s="13">
        <v>3</v>
      </c>
      <c r="E2471" s="179" t="s">
        <v>4756</v>
      </c>
      <c r="F2471" s="13" t="s">
        <v>11</v>
      </c>
    </row>
    <row r="2472" ht="18" customHeight="1" spans="1:6">
      <c r="A2472" s="13" t="s">
        <v>4390</v>
      </c>
      <c r="B2472" s="13" t="s">
        <v>4497</v>
      </c>
      <c r="C2472" s="13" t="s">
        <v>4757</v>
      </c>
      <c r="D2472" s="13">
        <v>5</v>
      </c>
      <c r="E2472" s="179" t="s">
        <v>4758</v>
      </c>
      <c r="F2472" s="13" t="s">
        <v>11</v>
      </c>
    </row>
    <row r="2473" ht="18" customHeight="1" spans="1:6">
      <c r="A2473" s="13" t="s">
        <v>4390</v>
      </c>
      <c r="B2473" s="13" t="s">
        <v>4497</v>
      </c>
      <c r="C2473" s="13" t="s">
        <v>4759</v>
      </c>
      <c r="D2473" s="13">
        <v>4</v>
      </c>
      <c r="E2473" s="179" t="s">
        <v>4760</v>
      </c>
      <c r="F2473" s="13" t="s">
        <v>11</v>
      </c>
    </row>
    <row r="2474" ht="18" customHeight="1" spans="1:6">
      <c r="A2474" s="13" t="s">
        <v>4390</v>
      </c>
      <c r="B2474" s="13" t="s">
        <v>4497</v>
      </c>
      <c r="C2474" s="13" t="s">
        <v>4761</v>
      </c>
      <c r="D2474" s="13">
        <v>2</v>
      </c>
      <c r="E2474" s="179" t="s">
        <v>4762</v>
      </c>
      <c r="F2474" s="13" t="s">
        <v>11</v>
      </c>
    </row>
    <row r="2475" ht="18" customHeight="1" spans="1:6">
      <c r="A2475" s="13" t="s">
        <v>4390</v>
      </c>
      <c r="B2475" s="13" t="s">
        <v>4497</v>
      </c>
      <c r="C2475" s="13" t="s">
        <v>4763</v>
      </c>
      <c r="D2475" s="13">
        <v>5</v>
      </c>
      <c r="E2475" s="179" t="s">
        <v>4764</v>
      </c>
      <c r="F2475" s="13" t="s">
        <v>11</v>
      </c>
    </row>
    <row r="2476" ht="18" customHeight="1" spans="1:6">
      <c r="A2476" s="13" t="s">
        <v>4390</v>
      </c>
      <c r="B2476" s="13" t="s">
        <v>4497</v>
      </c>
      <c r="C2476" s="13" t="s">
        <v>4765</v>
      </c>
      <c r="D2476" s="13">
        <v>3</v>
      </c>
      <c r="E2476" s="179" t="s">
        <v>4766</v>
      </c>
      <c r="F2476" s="13" t="s">
        <v>11</v>
      </c>
    </row>
    <row r="2477" ht="18" customHeight="1" spans="1:6">
      <c r="A2477" s="13" t="s">
        <v>4390</v>
      </c>
      <c r="B2477" s="13" t="s">
        <v>4497</v>
      </c>
      <c r="C2477" s="13" t="s">
        <v>4767</v>
      </c>
      <c r="D2477" s="13">
        <v>4</v>
      </c>
      <c r="E2477" s="179" t="s">
        <v>4768</v>
      </c>
      <c r="F2477" s="13" t="s">
        <v>11</v>
      </c>
    </row>
    <row r="2478" ht="18" customHeight="1" spans="1:6">
      <c r="A2478" s="13" t="s">
        <v>4390</v>
      </c>
      <c r="B2478" s="13" t="s">
        <v>4497</v>
      </c>
      <c r="C2478" s="13" t="s">
        <v>4769</v>
      </c>
      <c r="D2478" s="13">
        <v>3</v>
      </c>
      <c r="E2478" s="13" t="s">
        <v>4770</v>
      </c>
      <c r="F2478" s="13" t="s">
        <v>11</v>
      </c>
    </row>
    <row r="2479" ht="18" customHeight="1" spans="1:6">
      <c r="A2479" s="13" t="s">
        <v>4390</v>
      </c>
      <c r="B2479" s="13" t="s">
        <v>4497</v>
      </c>
      <c r="C2479" s="13" t="s">
        <v>4771</v>
      </c>
      <c r="D2479" s="13">
        <v>5</v>
      </c>
      <c r="E2479" s="179" t="s">
        <v>4772</v>
      </c>
      <c r="F2479" s="13" t="s">
        <v>11</v>
      </c>
    </row>
    <row r="2480" ht="18" customHeight="1" spans="1:6">
      <c r="A2480" s="13" t="s">
        <v>4390</v>
      </c>
      <c r="B2480" s="13" t="s">
        <v>4497</v>
      </c>
      <c r="C2480" s="13" t="s">
        <v>4773</v>
      </c>
      <c r="D2480" s="13">
        <v>5</v>
      </c>
      <c r="E2480" s="179" t="s">
        <v>4774</v>
      </c>
      <c r="F2480" s="13" t="s">
        <v>11</v>
      </c>
    </row>
    <row r="2481" ht="18" customHeight="1" spans="1:6">
      <c r="A2481" s="13" t="s">
        <v>4390</v>
      </c>
      <c r="B2481" s="13" t="s">
        <v>4497</v>
      </c>
      <c r="C2481" s="13" t="s">
        <v>4775</v>
      </c>
      <c r="D2481" s="13">
        <v>4</v>
      </c>
      <c r="E2481" s="179" t="s">
        <v>4776</v>
      </c>
      <c r="F2481" s="13" t="s">
        <v>11</v>
      </c>
    </row>
    <row r="2482" ht="18" customHeight="1" spans="1:6">
      <c r="A2482" s="13" t="s">
        <v>4390</v>
      </c>
      <c r="B2482" s="13" t="s">
        <v>4497</v>
      </c>
      <c r="C2482" s="13" t="s">
        <v>4777</v>
      </c>
      <c r="D2482" s="13">
        <v>2</v>
      </c>
      <c r="E2482" s="179" t="s">
        <v>4778</v>
      </c>
      <c r="F2482" s="13" t="s">
        <v>11</v>
      </c>
    </row>
    <row r="2483" ht="18" customHeight="1" spans="1:6">
      <c r="A2483" s="13" t="s">
        <v>4390</v>
      </c>
      <c r="B2483" s="13" t="s">
        <v>4497</v>
      </c>
      <c r="C2483" s="13" t="s">
        <v>4779</v>
      </c>
      <c r="D2483" s="13">
        <v>2</v>
      </c>
      <c r="E2483" s="179" t="s">
        <v>4780</v>
      </c>
      <c r="F2483" s="13" t="s">
        <v>11</v>
      </c>
    </row>
    <row r="2484" ht="18" customHeight="1" spans="1:6">
      <c r="A2484" s="13" t="s">
        <v>4390</v>
      </c>
      <c r="B2484" s="13" t="s">
        <v>4497</v>
      </c>
      <c r="C2484" s="13" t="s">
        <v>4781</v>
      </c>
      <c r="D2484" s="13">
        <v>3</v>
      </c>
      <c r="E2484" s="13" t="s">
        <v>4782</v>
      </c>
      <c r="F2484" s="13" t="s">
        <v>11</v>
      </c>
    </row>
    <row r="2485" ht="18" customHeight="1" spans="1:6">
      <c r="A2485" s="13" t="s">
        <v>4390</v>
      </c>
      <c r="B2485" s="13" t="s">
        <v>4497</v>
      </c>
      <c r="C2485" s="13" t="s">
        <v>4783</v>
      </c>
      <c r="D2485" s="13">
        <v>4</v>
      </c>
      <c r="E2485" s="13" t="s">
        <v>4784</v>
      </c>
      <c r="F2485" s="13" t="s">
        <v>11</v>
      </c>
    </row>
    <row r="2486" ht="18" customHeight="1" spans="1:6">
      <c r="A2486" s="13" t="s">
        <v>4390</v>
      </c>
      <c r="B2486" s="13" t="s">
        <v>4497</v>
      </c>
      <c r="C2486" s="13" t="s">
        <v>4785</v>
      </c>
      <c r="D2486" s="13">
        <v>4</v>
      </c>
      <c r="E2486" s="14" t="s">
        <v>4786</v>
      </c>
      <c r="F2486" s="13" t="s">
        <v>11</v>
      </c>
    </row>
    <row r="2487" ht="18" customHeight="1" spans="1:6">
      <c r="A2487" s="13" t="s">
        <v>4390</v>
      </c>
      <c r="B2487" s="13" t="s">
        <v>4497</v>
      </c>
      <c r="C2487" s="5" t="s">
        <v>4272</v>
      </c>
      <c r="D2487" s="13">
        <v>3</v>
      </c>
      <c r="E2487" s="12" t="s">
        <v>4787</v>
      </c>
      <c r="F2487" s="13" t="s">
        <v>11</v>
      </c>
    </row>
    <row r="2488" ht="18" customHeight="1" spans="1:6">
      <c r="A2488" s="13" t="s">
        <v>4390</v>
      </c>
      <c r="B2488" s="13" t="s">
        <v>4497</v>
      </c>
      <c r="C2488" s="5" t="s">
        <v>4788</v>
      </c>
      <c r="D2488" s="13">
        <v>3</v>
      </c>
      <c r="E2488" s="12" t="s">
        <v>4789</v>
      </c>
      <c r="F2488" s="13" t="s">
        <v>11</v>
      </c>
    </row>
    <row r="2489" ht="18" customHeight="1" spans="1:6">
      <c r="A2489" s="13" t="s">
        <v>4390</v>
      </c>
      <c r="B2489" s="13" t="s">
        <v>4497</v>
      </c>
      <c r="C2489" s="5" t="s">
        <v>4790</v>
      </c>
      <c r="D2489" s="13">
        <v>4</v>
      </c>
      <c r="E2489" s="12" t="s">
        <v>4791</v>
      </c>
      <c r="F2489" s="13" t="s">
        <v>11</v>
      </c>
    </row>
    <row r="2490" ht="18" customHeight="1" spans="1:6">
      <c r="A2490" s="13" t="s">
        <v>4390</v>
      </c>
      <c r="B2490" s="13" t="s">
        <v>4497</v>
      </c>
      <c r="C2490" s="5" t="s">
        <v>4792</v>
      </c>
      <c r="D2490" s="13">
        <v>3</v>
      </c>
      <c r="E2490" s="12" t="s">
        <v>4793</v>
      </c>
      <c r="F2490" s="13" t="s">
        <v>11</v>
      </c>
    </row>
    <row r="2491" ht="18" customHeight="1" spans="1:6">
      <c r="A2491" s="13" t="s">
        <v>4390</v>
      </c>
      <c r="B2491" s="13" t="s">
        <v>4497</v>
      </c>
      <c r="C2491" s="141" t="s">
        <v>4794</v>
      </c>
      <c r="D2491" s="13">
        <v>3</v>
      </c>
      <c r="E2491" s="135" t="s">
        <v>4795</v>
      </c>
      <c r="F2491" s="13" t="s">
        <v>11</v>
      </c>
    </row>
    <row r="2492" ht="18" customHeight="1" spans="1:6">
      <c r="A2492" s="13" t="s">
        <v>4390</v>
      </c>
      <c r="B2492" s="13" t="s">
        <v>4497</v>
      </c>
      <c r="C2492" s="141" t="s">
        <v>4796</v>
      </c>
      <c r="D2492" s="13">
        <v>4</v>
      </c>
      <c r="E2492" s="135" t="s">
        <v>4797</v>
      </c>
      <c r="F2492" s="13" t="s">
        <v>11</v>
      </c>
    </row>
    <row r="2493" ht="18" customHeight="1" spans="1:6">
      <c r="A2493" s="13" t="s">
        <v>4390</v>
      </c>
      <c r="B2493" s="13" t="s">
        <v>4497</v>
      </c>
      <c r="C2493" s="141" t="s">
        <v>4798</v>
      </c>
      <c r="D2493" s="13">
        <v>3</v>
      </c>
      <c r="E2493" s="135" t="s">
        <v>4799</v>
      </c>
      <c r="F2493" s="13" t="s">
        <v>11</v>
      </c>
    </row>
    <row r="2494" ht="18" customHeight="1" spans="1:6">
      <c r="A2494" s="13" t="s">
        <v>4390</v>
      </c>
      <c r="B2494" s="13" t="s">
        <v>4497</v>
      </c>
      <c r="C2494" s="24" t="s">
        <v>4800</v>
      </c>
      <c r="D2494" s="13">
        <v>4</v>
      </c>
      <c r="E2494" s="26" t="s">
        <v>4801</v>
      </c>
      <c r="F2494" s="13" t="s">
        <v>11</v>
      </c>
    </row>
    <row r="2495" ht="18" customHeight="1" spans="1:6">
      <c r="A2495" s="13" t="s">
        <v>4390</v>
      </c>
      <c r="B2495" s="13" t="s">
        <v>4497</v>
      </c>
      <c r="C2495" s="19" t="s">
        <v>4802</v>
      </c>
      <c r="D2495" s="13">
        <v>3</v>
      </c>
      <c r="E2495" s="87" t="s">
        <v>4803</v>
      </c>
      <c r="F2495" s="13" t="s">
        <v>11</v>
      </c>
    </row>
    <row r="2496" ht="18" customHeight="1" spans="1:6">
      <c r="A2496" s="13" t="s">
        <v>4390</v>
      </c>
      <c r="B2496" s="13" t="s">
        <v>4497</v>
      </c>
      <c r="C2496" s="20" t="s">
        <v>4804</v>
      </c>
      <c r="D2496" s="13">
        <v>3</v>
      </c>
      <c r="E2496" s="136" t="s">
        <v>4805</v>
      </c>
      <c r="F2496" s="13" t="s">
        <v>11</v>
      </c>
    </row>
    <row r="2497" ht="18" customHeight="1" spans="1:6">
      <c r="A2497" s="13" t="s">
        <v>4390</v>
      </c>
      <c r="B2497" s="13" t="s">
        <v>4497</v>
      </c>
      <c r="C2497" s="142" t="s">
        <v>4806</v>
      </c>
      <c r="D2497" s="13">
        <v>2</v>
      </c>
      <c r="E2497" s="89" t="s">
        <v>4807</v>
      </c>
      <c r="F2497" s="13" t="s">
        <v>11</v>
      </c>
    </row>
    <row r="2498" ht="18" customHeight="1" spans="1:6">
      <c r="A2498" s="13" t="s">
        <v>4390</v>
      </c>
      <c r="B2498" s="13" t="s">
        <v>4497</v>
      </c>
      <c r="C2498" s="142" t="s">
        <v>4808</v>
      </c>
      <c r="D2498" s="13">
        <v>4</v>
      </c>
      <c r="E2498" s="89" t="s">
        <v>4809</v>
      </c>
      <c r="F2498" s="13" t="s">
        <v>11</v>
      </c>
    </row>
    <row r="2499" ht="18" customHeight="1" spans="1:6">
      <c r="A2499" s="13" t="s">
        <v>4390</v>
      </c>
      <c r="B2499" s="13" t="s">
        <v>4497</v>
      </c>
      <c r="C2499" s="142" t="s">
        <v>4810</v>
      </c>
      <c r="D2499" s="13">
        <v>3</v>
      </c>
      <c r="E2499" s="143" t="s">
        <v>4811</v>
      </c>
      <c r="F2499" s="13" t="s">
        <v>11</v>
      </c>
    </row>
    <row r="2500" ht="18" customHeight="1" spans="1:6">
      <c r="A2500" s="13" t="s">
        <v>4390</v>
      </c>
      <c r="B2500" s="13" t="s">
        <v>4497</v>
      </c>
      <c r="C2500" s="142" t="s">
        <v>4812</v>
      </c>
      <c r="D2500" s="13">
        <v>4</v>
      </c>
      <c r="E2500" s="143" t="s">
        <v>4813</v>
      </c>
      <c r="F2500" s="13" t="s">
        <v>11</v>
      </c>
    </row>
    <row r="2501" ht="18" customHeight="1" spans="1:6">
      <c r="A2501" s="13" t="s">
        <v>4390</v>
      </c>
      <c r="B2501" s="13" t="s">
        <v>4497</v>
      </c>
      <c r="C2501" s="142" t="s">
        <v>4814</v>
      </c>
      <c r="D2501" s="13">
        <v>3</v>
      </c>
      <c r="E2501" s="193" t="s">
        <v>4815</v>
      </c>
      <c r="F2501" s="13" t="s">
        <v>11</v>
      </c>
    </row>
    <row r="2502" ht="18" customHeight="1" spans="1:6">
      <c r="A2502" s="13" t="s">
        <v>4390</v>
      </c>
      <c r="B2502" s="13" t="s">
        <v>4497</v>
      </c>
      <c r="C2502" s="142" t="s">
        <v>4816</v>
      </c>
      <c r="D2502" s="13">
        <v>5</v>
      </c>
      <c r="E2502" s="89" t="s">
        <v>4817</v>
      </c>
      <c r="F2502" s="13" t="s">
        <v>11</v>
      </c>
    </row>
    <row r="2503" ht="18" customHeight="1" spans="1:6">
      <c r="A2503" s="13" t="s">
        <v>4390</v>
      </c>
      <c r="B2503" s="13" t="s">
        <v>4497</v>
      </c>
      <c r="C2503" s="13" t="s">
        <v>4818</v>
      </c>
      <c r="D2503" s="13">
        <v>3</v>
      </c>
      <c r="E2503" s="179" t="s">
        <v>4819</v>
      </c>
      <c r="F2503" s="13" t="s">
        <v>11</v>
      </c>
    </row>
    <row r="2504" ht="18" customHeight="1" spans="1:6">
      <c r="A2504" s="13" t="s">
        <v>4390</v>
      </c>
      <c r="B2504" s="13" t="s">
        <v>4497</v>
      </c>
      <c r="C2504" s="13" t="s">
        <v>4820</v>
      </c>
      <c r="D2504" s="13">
        <v>3</v>
      </c>
      <c r="E2504" s="144" t="s">
        <v>4821</v>
      </c>
      <c r="F2504" s="13" t="s">
        <v>11</v>
      </c>
    </row>
    <row r="2505" ht="18" customHeight="1" spans="1:6">
      <c r="A2505" s="13" t="s">
        <v>4390</v>
      </c>
      <c r="B2505" s="13" t="s">
        <v>4424</v>
      </c>
      <c r="C2505" s="13" t="s">
        <v>4822</v>
      </c>
      <c r="D2505" s="13">
        <v>3</v>
      </c>
      <c r="E2505" s="14" t="s">
        <v>4823</v>
      </c>
      <c r="F2505" s="13" t="s">
        <v>11</v>
      </c>
    </row>
    <row r="2506" ht="18" customHeight="1" spans="1:6">
      <c r="A2506" s="13" t="s">
        <v>4390</v>
      </c>
      <c r="B2506" s="13" t="s">
        <v>4424</v>
      </c>
      <c r="C2506" s="13" t="s">
        <v>4824</v>
      </c>
      <c r="D2506" s="13">
        <v>3</v>
      </c>
      <c r="E2506" s="14" t="s">
        <v>4825</v>
      </c>
      <c r="F2506" s="13" t="s">
        <v>11</v>
      </c>
    </row>
    <row r="2507" ht="18" customHeight="1" spans="1:6">
      <c r="A2507" s="13" t="s">
        <v>4390</v>
      </c>
      <c r="B2507" s="13" t="s">
        <v>4424</v>
      </c>
      <c r="C2507" s="13" t="s">
        <v>4826</v>
      </c>
      <c r="D2507" s="13">
        <v>3</v>
      </c>
      <c r="E2507" s="14" t="s">
        <v>4827</v>
      </c>
      <c r="F2507" s="13" t="s">
        <v>11</v>
      </c>
    </row>
    <row r="2508" ht="18" customHeight="1" spans="1:6">
      <c r="A2508" s="13" t="s">
        <v>4390</v>
      </c>
      <c r="B2508" s="13" t="s">
        <v>4424</v>
      </c>
      <c r="C2508" s="13" t="s">
        <v>4828</v>
      </c>
      <c r="D2508" s="13">
        <v>4</v>
      </c>
      <c r="E2508" s="179" t="s">
        <v>4829</v>
      </c>
      <c r="F2508" s="13" t="s">
        <v>11</v>
      </c>
    </row>
    <row r="2509" ht="18" customHeight="1" spans="1:6">
      <c r="A2509" s="13" t="s">
        <v>4390</v>
      </c>
      <c r="B2509" s="13" t="s">
        <v>4424</v>
      </c>
      <c r="C2509" s="13" t="s">
        <v>4830</v>
      </c>
      <c r="D2509" s="13">
        <v>4</v>
      </c>
      <c r="E2509" s="14" t="s">
        <v>4831</v>
      </c>
      <c r="F2509" s="13" t="s">
        <v>11</v>
      </c>
    </row>
    <row r="2510" ht="18" customHeight="1" spans="1:6">
      <c r="A2510" s="13" t="s">
        <v>4390</v>
      </c>
      <c r="B2510" s="13" t="s">
        <v>4424</v>
      </c>
      <c r="C2510" s="13" t="s">
        <v>4832</v>
      </c>
      <c r="D2510" s="13">
        <v>3</v>
      </c>
      <c r="E2510" s="14" t="s">
        <v>4833</v>
      </c>
      <c r="F2510" s="13" t="s">
        <v>11</v>
      </c>
    </row>
    <row r="2511" ht="18" customHeight="1" spans="1:6">
      <c r="A2511" s="13" t="s">
        <v>4390</v>
      </c>
      <c r="B2511" s="13" t="s">
        <v>4424</v>
      </c>
      <c r="C2511" s="13" t="s">
        <v>4834</v>
      </c>
      <c r="D2511" s="13">
        <v>4</v>
      </c>
      <c r="E2511" s="14" t="s">
        <v>4835</v>
      </c>
      <c r="F2511" s="13" t="s">
        <v>11</v>
      </c>
    </row>
    <row r="2512" ht="18" customHeight="1" spans="1:6">
      <c r="A2512" s="13" t="s">
        <v>4390</v>
      </c>
      <c r="B2512" s="13" t="s">
        <v>4424</v>
      </c>
      <c r="C2512" s="13" t="s">
        <v>4836</v>
      </c>
      <c r="D2512" s="13">
        <v>3</v>
      </c>
      <c r="E2512" s="14" t="s">
        <v>4837</v>
      </c>
      <c r="F2512" s="13" t="s">
        <v>11</v>
      </c>
    </row>
    <row r="2513" ht="18" customHeight="1" spans="1:6">
      <c r="A2513" s="13" t="s">
        <v>4390</v>
      </c>
      <c r="B2513" s="13" t="s">
        <v>4424</v>
      </c>
      <c r="C2513" s="13" t="s">
        <v>4838</v>
      </c>
      <c r="D2513" s="13">
        <v>3</v>
      </c>
      <c r="E2513" s="14" t="s">
        <v>4839</v>
      </c>
      <c r="F2513" s="13" t="s">
        <v>11</v>
      </c>
    </row>
    <row r="2514" ht="18" customHeight="1" spans="1:6">
      <c r="A2514" s="13" t="s">
        <v>4390</v>
      </c>
      <c r="B2514" s="13" t="s">
        <v>4424</v>
      </c>
      <c r="C2514" s="13" t="s">
        <v>4840</v>
      </c>
      <c r="D2514" s="13">
        <v>4</v>
      </c>
      <c r="E2514" s="14" t="s">
        <v>4841</v>
      </c>
      <c r="F2514" s="13" t="s">
        <v>11</v>
      </c>
    </row>
    <row r="2515" ht="18" customHeight="1" spans="1:6">
      <c r="A2515" s="13" t="s">
        <v>4390</v>
      </c>
      <c r="B2515" s="13" t="s">
        <v>4424</v>
      </c>
      <c r="C2515" s="13" t="s">
        <v>4842</v>
      </c>
      <c r="D2515" s="13">
        <v>2</v>
      </c>
      <c r="E2515" s="14" t="s">
        <v>4843</v>
      </c>
      <c r="F2515" s="13" t="s">
        <v>11</v>
      </c>
    </row>
    <row r="2516" ht="18" customHeight="1" spans="1:6">
      <c r="A2516" s="13" t="s">
        <v>4390</v>
      </c>
      <c r="B2516" s="13" t="s">
        <v>4424</v>
      </c>
      <c r="C2516" s="13" t="s">
        <v>4844</v>
      </c>
      <c r="D2516" s="13">
        <v>2</v>
      </c>
      <c r="E2516" s="14" t="s">
        <v>4845</v>
      </c>
      <c r="F2516" s="13" t="s">
        <v>11</v>
      </c>
    </row>
    <row r="2517" ht="18" customHeight="1" spans="1:6">
      <c r="A2517" s="13" t="s">
        <v>4390</v>
      </c>
      <c r="B2517" s="13" t="s">
        <v>4424</v>
      </c>
      <c r="C2517" s="13" t="s">
        <v>4846</v>
      </c>
      <c r="D2517" s="13">
        <v>3</v>
      </c>
      <c r="E2517" s="14" t="s">
        <v>4847</v>
      </c>
      <c r="F2517" s="13" t="s">
        <v>11</v>
      </c>
    </row>
    <row r="2518" ht="18" customHeight="1" spans="1:6">
      <c r="A2518" s="13" t="s">
        <v>4390</v>
      </c>
      <c r="B2518" s="13" t="s">
        <v>4424</v>
      </c>
      <c r="C2518" s="13" t="s">
        <v>4848</v>
      </c>
      <c r="D2518" s="13">
        <v>4</v>
      </c>
      <c r="E2518" s="14" t="s">
        <v>4849</v>
      </c>
      <c r="F2518" s="13" t="s">
        <v>11</v>
      </c>
    </row>
    <row r="2519" ht="18" customHeight="1" spans="1:6">
      <c r="A2519" s="13" t="s">
        <v>4390</v>
      </c>
      <c r="B2519" s="13" t="s">
        <v>4424</v>
      </c>
      <c r="C2519" s="13" t="s">
        <v>3266</v>
      </c>
      <c r="D2519" s="13">
        <v>4</v>
      </c>
      <c r="E2519" s="14" t="s">
        <v>4850</v>
      </c>
      <c r="F2519" s="13" t="s">
        <v>11</v>
      </c>
    </row>
    <row r="2520" ht="18" customHeight="1" spans="1:6">
      <c r="A2520" s="13" t="s">
        <v>4390</v>
      </c>
      <c r="B2520" s="13" t="s">
        <v>4424</v>
      </c>
      <c r="C2520" s="13" t="s">
        <v>4851</v>
      </c>
      <c r="D2520" s="13">
        <v>4</v>
      </c>
      <c r="E2520" s="14" t="s">
        <v>4852</v>
      </c>
      <c r="F2520" s="13" t="s">
        <v>11</v>
      </c>
    </row>
    <row r="2521" ht="18" customHeight="1" spans="1:6">
      <c r="A2521" s="13" t="s">
        <v>4390</v>
      </c>
      <c r="B2521" s="13" t="s">
        <v>4424</v>
      </c>
      <c r="C2521" s="13" t="s">
        <v>4853</v>
      </c>
      <c r="D2521" s="13">
        <v>5</v>
      </c>
      <c r="E2521" s="14" t="s">
        <v>4854</v>
      </c>
      <c r="F2521" s="13" t="s">
        <v>11</v>
      </c>
    </row>
    <row r="2522" ht="18" customHeight="1" spans="1:6">
      <c r="A2522" s="13" t="s">
        <v>4390</v>
      </c>
      <c r="B2522" s="13" t="s">
        <v>4424</v>
      </c>
      <c r="C2522" s="13" t="s">
        <v>4855</v>
      </c>
      <c r="D2522" s="13">
        <v>4</v>
      </c>
      <c r="E2522" s="14" t="s">
        <v>4856</v>
      </c>
      <c r="F2522" s="13" t="s">
        <v>11</v>
      </c>
    </row>
    <row r="2523" ht="18" customHeight="1" spans="1:6">
      <c r="A2523" s="13" t="s">
        <v>4390</v>
      </c>
      <c r="B2523" s="13" t="s">
        <v>4424</v>
      </c>
      <c r="C2523" s="13" t="s">
        <v>4857</v>
      </c>
      <c r="D2523" s="13">
        <v>4</v>
      </c>
      <c r="E2523" s="14" t="s">
        <v>4858</v>
      </c>
      <c r="F2523" s="13" t="s">
        <v>11</v>
      </c>
    </row>
    <row r="2524" ht="18" customHeight="1" spans="1:6">
      <c r="A2524" s="13" t="s">
        <v>4390</v>
      </c>
      <c r="B2524" s="13" t="s">
        <v>4424</v>
      </c>
      <c r="C2524" s="13" t="s">
        <v>4859</v>
      </c>
      <c r="D2524" s="13">
        <v>1</v>
      </c>
      <c r="E2524" s="14" t="s">
        <v>4860</v>
      </c>
      <c r="F2524" s="13" t="s">
        <v>11</v>
      </c>
    </row>
    <row r="2525" ht="18" customHeight="1" spans="1:6">
      <c r="A2525" s="13" t="s">
        <v>4390</v>
      </c>
      <c r="B2525" s="13" t="s">
        <v>4424</v>
      </c>
      <c r="C2525" s="13" t="s">
        <v>4861</v>
      </c>
      <c r="D2525" s="13">
        <v>5</v>
      </c>
      <c r="E2525" s="14" t="s">
        <v>4862</v>
      </c>
      <c r="F2525" s="13" t="s">
        <v>11</v>
      </c>
    </row>
    <row r="2526" ht="18" customHeight="1" spans="1:6">
      <c r="A2526" s="13" t="s">
        <v>4390</v>
      </c>
      <c r="B2526" s="13" t="s">
        <v>4424</v>
      </c>
      <c r="C2526" s="13" t="s">
        <v>4863</v>
      </c>
      <c r="D2526" s="13">
        <v>4</v>
      </c>
      <c r="E2526" s="14" t="s">
        <v>4864</v>
      </c>
      <c r="F2526" s="13" t="s">
        <v>11</v>
      </c>
    </row>
    <row r="2527" ht="18" customHeight="1" spans="1:6">
      <c r="A2527" s="13" t="s">
        <v>4390</v>
      </c>
      <c r="B2527" s="13" t="s">
        <v>4424</v>
      </c>
      <c r="C2527" s="13" t="s">
        <v>4865</v>
      </c>
      <c r="D2527" s="13">
        <v>7</v>
      </c>
      <c r="E2527" s="14" t="s">
        <v>4866</v>
      </c>
      <c r="F2527" s="13" t="s">
        <v>11</v>
      </c>
    </row>
    <row r="2528" ht="18" customHeight="1" spans="1:6">
      <c r="A2528" s="13" t="s">
        <v>4390</v>
      </c>
      <c r="B2528" s="13" t="s">
        <v>4424</v>
      </c>
      <c r="C2528" s="13" t="s">
        <v>4867</v>
      </c>
      <c r="D2528" s="13">
        <v>3</v>
      </c>
      <c r="E2528" s="14" t="s">
        <v>4868</v>
      </c>
      <c r="F2528" s="13" t="s">
        <v>11</v>
      </c>
    </row>
    <row r="2529" ht="18" customHeight="1" spans="1:6">
      <c r="A2529" s="13" t="s">
        <v>4390</v>
      </c>
      <c r="B2529" s="13" t="s">
        <v>4424</v>
      </c>
      <c r="C2529" s="13" t="s">
        <v>4869</v>
      </c>
      <c r="D2529" s="13">
        <v>5</v>
      </c>
      <c r="E2529" s="179" t="s">
        <v>4870</v>
      </c>
      <c r="F2529" s="13" t="s">
        <v>11</v>
      </c>
    </row>
    <row r="2530" ht="18" customHeight="1" spans="1:6">
      <c r="A2530" s="13" t="s">
        <v>4390</v>
      </c>
      <c r="B2530" s="13" t="s">
        <v>4424</v>
      </c>
      <c r="C2530" s="13" t="s">
        <v>4871</v>
      </c>
      <c r="D2530" s="13">
        <v>4</v>
      </c>
      <c r="E2530" s="14" t="s">
        <v>4872</v>
      </c>
      <c r="F2530" s="13" t="s">
        <v>11</v>
      </c>
    </row>
    <row r="2531" ht="18" customHeight="1" spans="1:6">
      <c r="A2531" s="13" t="s">
        <v>4873</v>
      </c>
      <c r="B2531" s="13"/>
      <c r="C2531" s="13">
        <v>238</v>
      </c>
      <c r="D2531" s="13">
        <f>SUM(D2293:D2530)</f>
        <v>734</v>
      </c>
      <c r="E2531" s="13"/>
      <c r="F2531" s="13"/>
    </row>
    <row r="2532" ht="18" customHeight="1" spans="1:6">
      <c r="A2532" s="49" t="s">
        <v>4874</v>
      </c>
      <c r="B2532" s="13" t="s">
        <v>4875</v>
      </c>
      <c r="C2532" s="13" t="s">
        <v>4876</v>
      </c>
      <c r="D2532" s="13">
        <v>3</v>
      </c>
      <c r="E2532" s="13" t="s">
        <v>4877</v>
      </c>
      <c r="F2532" s="13" t="s">
        <v>11</v>
      </c>
    </row>
    <row r="2533" ht="18" customHeight="1" spans="1:6">
      <c r="A2533" s="49" t="s">
        <v>4874</v>
      </c>
      <c r="B2533" s="13" t="s">
        <v>4878</v>
      </c>
      <c r="C2533" s="13" t="s">
        <v>4879</v>
      </c>
      <c r="D2533" s="13">
        <v>4</v>
      </c>
      <c r="E2533" s="14" t="s">
        <v>4880</v>
      </c>
      <c r="F2533" s="13" t="s">
        <v>11</v>
      </c>
    </row>
    <row r="2534" ht="18" customHeight="1" spans="1:6">
      <c r="A2534" s="49" t="s">
        <v>4874</v>
      </c>
      <c r="B2534" s="13" t="s">
        <v>4878</v>
      </c>
      <c r="C2534" s="13" t="s">
        <v>4881</v>
      </c>
      <c r="D2534" s="13">
        <v>2</v>
      </c>
      <c r="E2534" s="14" t="s">
        <v>4882</v>
      </c>
      <c r="F2534" s="13" t="s">
        <v>11</v>
      </c>
    </row>
    <row r="2535" ht="18" customHeight="1" spans="1:6">
      <c r="A2535" s="49" t="s">
        <v>4874</v>
      </c>
      <c r="B2535" s="13" t="s">
        <v>4878</v>
      </c>
      <c r="C2535" s="13" t="s">
        <v>4883</v>
      </c>
      <c r="D2535" s="13">
        <v>2</v>
      </c>
      <c r="E2535" s="14" t="s">
        <v>4884</v>
      </c>
      <c r="F2535" s="13" t="s">
        <v>11</v>
      </c>
    </row>
    <row r="2536" ht="18" customHeight="1" spans="1:6">
      <c r="A2536" s="49" t="s">
        <v>4874</v>
      </c>
      <c r="B2536" s="13" t="s">
        <v>4878</v>
      </c>
      <c r="C2536" s="13" t="s">
        <v>4885</v>
      </c>
      <c r="D2536" s="13">
        <v>2</v>
      </c>
      <c r="E2536" s="14" t="s">
        <v>4886</v>
      </c>
      <c r="F2536" s="13" t="s">
        <v>11</v>
      </c>
    </row>
    <row r="2537" ht="18" customHeight="1" spans="1:6">
      <c r="A2537" s="49" t="s">
        <v>4874</v>
      </c>
      <c r="B2537" s="13" t="s">
        <v>4878</v>
      </c>
      <c r="C2537" s="13" t="s">
        <v>4887</v>
      </c>
      <c r="D2537" s="13">
        <v>3</v>
      </c>
      <c r="E2537" s="14" t="s">
        <v>4888</v>
      </c>
      <c r="F2537" s="13" t="s">
        <v>11</v>
      </c>
    </row>
    <row r="2538" ht="18" customHeight="1" spans="1:6">
      <c r="A2538" s="49" t="s">
        <v>4874</v>
      </c>
      <c r="B2538" s="13" t="s">
        <v>4878</v>
      </c>
      <c r="C2538" s="13" t="s">
        <v>4889</v>
      </c>
      <c r="D2538" s="13">
        <v>3</v>
      </c>
      <c r="E2538" s="14" t="s">
        <v>4890</v>
      </c>
      <c r="F2538" s="13" t="s">
        <v>11</v>
      </c>
    </row>
    <row r="2539" ht="18" customHeight="1" spans="1:6">
      <c r="A2539" s="49" t="s">
        <v>4874</v>
      </c>
      <c r="B2539" s="13" t="s">
        <v>4891</v>
      </c>
      <c r="C2539" s="13" t="s">
        <v>4892</v>
      </c>
      <c r="D2539" s="13">
        <v>1</v>
      </c>
      <c r="E2539" s="192" t="s">
        <v>4893</v>
      </c>
      <c r="F2539" s="13" t="s">
        <v>11</v>
      </c>
    </row>
    <row r="2540" ht="18" customHeight="1" spans="1:6">
      <c r="A2540" s="49" t="s">
        <v>4874</v>
      </c>
      <c r="B2540" s="5" t="s">
        <v>4891</v>
      </c>
      <c r="C2540" s="5" t="s">
        <v>4894</v>
      </c>
      <c r="D2540" s="5">
        <v>1</v>
      </c>
      <c r="E2540" s="194" t="s">
        <v>4895</v>
      </c>
      <c r="F2540" s="5" t="s">
        <v>11</v>
      </c>
    </row>
    <row r="2541" ht="18" customHeight="1" spans="1:6">
      <c r="A2541" s="49" t="s">
        <v>4874</v>
      </c>
      <c r="B2541" s="13" t="s">
        <v>4891</v>
      </c>
      <c r="C2541" s="13" t="s">
        <v>4896</v>
      </c>
      <c r="D2541" s="13">
        <v>2</v>
      </c>
      <c r="E2541" s="192" t="s">
        <v>4897</v>
      </c>
      <c r="F2541" s="13" t="s">
        <v>11</v>
      </c>
    </row>
    <row r="2542" ht="18" customHeight="1" spans="1:6">
      <c r="A2542" s="49" t="s">
        <v>4874</v>
      </c>
      <c r="B2542" s="5" t="s">
        <v>4891</v>
      </c>
      <c r="C2542" s="5" t="s">
        <v>4898</v>
      </c>
      <c r="D2542" s="5">
        <v>2</v>
      </c>
      <c r="E2542" s="194" t="s">
        <v>4899</v>
      </c>
      <c r="F2542" s="5" t="s">
        <v>11</v>
      </c>
    </row>
    <row r="2543" ht="18" customHeight="1" spans="1:6">
      <c r="A2543" s="49" t="s">
        <v>4874</v>
      </c>
      <c r="B2543" s="13" t="s">
        <v>4900</v>
      </c>
      <c r="C2543" s="8" t="s">
        <v>4901</v>
      </c>
      <c r="D2543" s="8">
        <v>3</v>
      </c>
      <c r="E2543" s="5" t="str">
        <f>LEFT("420325197704213615",19)</f>
        <v>420325197704213615</v>
      </c>
      <c r="F2543" s="13" t="s">
        <v>11</v>
      </c>
    </row>
    <row r="2544" ht="18" customHeight="1" spans="1:6">
      <c r="A2544" s="49" t="s">
        <v>4874</v>
      </c>
      <c r="B2544" s="13" t="s">
        <v>4900</v>
      </c>
      <c r="C2544" s="8" t="s">
        <v>2491</v>
      </c>
      <c r="D2544" s="8">
        <v>4</v>
      </c>
      <c r="E2544" s="12" t="s">
        <v>4902</v>
      </c>
      <c r="F2544" s="13" t="s">
        <v>11</v>
      </c>
    </row>
    <row r="2545" ht="18" customHeight="1" spans="1:6">
      <c r="A2545" s="49" t="s">
        <v>4874</v>
      </c>
      <c r="B2545" s="13" t="s">
        <v>4900</v>
      </c>
      <c r="C2545" s="8" t="s">
        <v>4903</v>
      </c>
      <c r="D2545" s="8">
        <v>1</v>
      </c>
      <c r="E2545" s="33" t="str">
        <f>LEFT("420325194107073614",19)</f>
        <v>420325194107073614</v>
      </c>
      <c r="F2545" s="13" t="s">
        <v>11</v>
      </c>
    </row>
    <row r="2546" ht="18" customHeight="1" spans="1:6">
      <c r="A2546" s="49" t="s">
        <v>4874</v>
      </c>
      <c r="B2546" s="13" t="s">
        <v>4900</v>
      </c>
      <c r="C2546" s="8" t="s">
        <v>4904</v>
      </c>
      <c r="D2546" s="8">
        <v>3</v>
      </c>
      <c r="E2546" s="33" t="s">
        <v>4905</v>
      </c>
      <c r="F2546" s="13" t="s">
        <v>11</v>
      </c>
    </row>
    <row r="2547" ht="18" customHeight="1" spans="1:6">
      <c r="A2547" s="49" t="s">
        <v>4874</v>
      </c>
      <c r="B2547" s="13" t="s">
        <v>4906</v>
      </c>
      <c r="C2547" s="13" t="s">
        <v>4907</v>
      </c>
      <c r="D2547" s="13">
        <v>4</v>
      </c>
      <c r="E2547" s="179" t="s">
        <v>4908</v>
      </c>
      <c r="F2547" s="5" t="s">
        <v>11</v>
      </c>
    </row>
    <row r="2548" ht="18" customHeight="1" spans="1:6">
      <c r="A2548" s="49" t="s">
        <v>4874</v>
      </c>
      <c r="B2548" s="13" t="s">
        <v>4906</v>
      </c>
      <c r="C2548" s="13" t="s">
        <v>4909</v>
      </c>
      <c r="D2548" s="13">
        <v>3</v>
      </c>
      <c r="E2548" s="179" t="s">
        <v>4910</v>
      </c>
      <c r="F2548" s="5" t="s">
        <v>11</v>
      </c>
    </row>
    <row r="2549" ht="18" customHeight="1" spans="1:6">
      <c r="A2549" s="49" t="s">
        <v>4874</v>
      </c>
      <c r="B2549" s="13" t="s">
        <v>4906</v>
      </c>
      <c r="C2549" s="49" t="s">
        <v>4911</v>
      </c>
      <c r="D2549" s="49">
        <v>4</v>
      </c>
      <c r="E2549" s="179" t="s">
        <v>4912</v>
      </c>
      <c r="F2549" s="13" t="s">
        <v>11</v>
      </c>
    </row>
    <row r="2550" ht="18" customHeight="1" spans="1:6">
      <c r="A2550" s="49" t="s">
        <v>4874</v>
      </c>
      <c r="B2550" s="13" t="s">
        <v>4906</v>
      </c>
      <c r="C2550" s="49" t="s">
        <v>4913</v>
      </c>
      <c r="D2550" s="49">
        <v>4</v>
      </c>
      <c r="E2550" s="179" t="s">
        <v>4914</v>
      </c>
      <c r="F2550" s="13" t="s">
        <v>11</v>
      </c>
    </row>
    <row r="2551" ht="18" customHeight="1" spans="1:6">
      <c r="A2551" s="49" t="s">
        <v>4874</v>
      </c>
      <c r="B2551" s="13" t="s">
        <v>4906</v>
      </c>
      <c r="C2551" s="49" t="s">
        <v>4915</v>
      </c>
      <c r="D2551" s="49">
        <v>4</v>
      </c>
      <c r="E2551" s="179" t="s">
        <v>4916</v>
      </c>
      <c r="F2551" s="5" t="s">
        <v>11</v>
      </c>
    </row>
    <row r="2552" ht="18" customHeight="1" spans="1:6">
      <c r="A2552" s="49" t="s">
        <v>4874</v>
      </c>
      <c r="B2552" s="13" t="s">
        <v>4906</v>
      </c>
      <c r="C2552" s="49" t="s">
        <v>4917</v>
      </c>
      <c r="D2552" s="49">
        <v>3</v>
      </c>
      <c r="E2552" s="179" t="s">
        <v>4918</v>
      </c>
      <c r="F2552" s="5" t="s">
        <v>11</v>
      </c>
    </row>
    <row r="2553" ht="18" customHeight="1" spans="1:6">
      <c r="A2553" s="49" t="s">
        <v>4874</v>
      </c>
      <c r="B2553" s="13" t="s">
        <v>4906</v>
      </c>
      <c r="C2553" s="49" t="s">
        <v>4919</v>
      </c>
      <c r="D2553" s="49">
        <v>2</v>
      </c>
      <c r="E2553" s="179" t="s">
        <v>4920</v>
      </c>
      <c r="F2553" s="13" t="s">
        <v>11</v>
      </c>
    </row>
    <row r="2554" ht="18" customHeight="1" spans="1:6">
      <c r="A2554" s="49" t="s">
        <v>4874</v>
      </c>
      <c r="B2554" s="13" t="s">
        <v>4906</v>
      </c>
      <c r="C2554" s="49" t="s">
        <v>4921</v>
      </c>
      <c r="D2554" s="49">
        <v>4</v>
      </c>
      <c r="E2554" s="179" t="s">
        <v>4922</v>
      </c>
      <c r="F2554" s="13" t="s">
        <v>11</v>
      </c>
    </row>
    <row r="2555" ht="18" customHeight="1" spans="1:6">
      <c r="A2555" s="49" t="s">
        <v>4874</v>
      </c>
      <c r="B2555" s="13" t="s">
        <v>4906</v>
      </c>
      <c r="C2555" s="49" t="s">
        <v>4923</v>
      </c>
      <c r="D2555" s="49">
        <v>3</v>
      </c>
      <c r="E2555" s="179" t="s">
        <v>4924</v>
      </c>
      <c r="F2555" s="5" t="s">
        <v>11</v>
      </c>
    </row>
    <row r="2556" ht="18" customHeight="1" spans="1:6">
      <c r="A2556" s="49" t="s">
        <v>4874</v>
      </c>
      <c r="B2556" s="13" t="s">
        <v>4925</v>
      </c>
      <c r="C2556" s="145" t="s">
        <v>4926</v>
      </c>
      <c r="D2556" s="13">
        <v>2</v>
      </c>
      <c r="E2556" s="145" t="s">
        <v>4927</v>
      </c>
      <c r="F2556" s="5" t="s">
        <v>11</v>
      </c>
    </row>
    <row r="2557" ht="18" customHeight="1" spans="1:6">
      <c r="A2557" s="49" t="s">
        <v>4874</v>
      </c>
      <c r="B2557" s="13" t="s">
        <v>4925</v>
      </c>
      <c r="C2557" s="145" t="s">
        <v>4928</v>
      </c>
      <c r="D2557" s="13">
        <v>1</v>
      </c>
      <c r="E2557" s="145" t="s">
        <v>4929</v>
      </c>
      <c r="F2557" s="13" t="s">
        <v>11</v>
      </c>
    </row>
    <row r="2558" ht="18" customHeight="1" spans="1:6">
      <c r="A2558" s="49" t="s">
        <v>4874</v>
      </c>
      <c r="B2558" s="13" t="s">
        <v>4925</v>
      </c>
      <c r="C2558" s="146" t="s">
        <v>4930</v>
      </c>
      <c r="D2558" s="13">
        <v>2</v>
      </c>
      <c r="E2558" s="145" t="s">
        <v>4931</v>
      </c>
      <c r="F2558" s="13" t="s">
        <v>11</v>
      </c>
    </row>
    <row r="2559" ht="18" customHeight="1" spans="1:6">
      <c r="A2559" s="49" t="s">
        <v>4874</v>
      </c>
      <c r="B2559" s="13" t="s">
        <v>4925</v>
      </c>
      <c r="C2559" s="145" t="s">
        <v>4932</v>
      </c>
      <c r="D2559" s="13">
        <v>3</v>
      </c>
      <c r="E2559" s="145" t="s">
        <v>4933</v>
      </c>
      <c r="F2559" s="5" t="s">
        <v>11</v>
      </c>
    </row>
    <row r="2560" ht="18" customHeight="1" spans="1:6">
      <c r="A2560" s="49" t="s">
        <v>4874</v>
      </c>
      <c r="B2560" s="13" t="s">
        <v>4925</v>
      </c>
      <c r="C2560" s="46" t="s">
        <v>4934</v>
      </c>
      <c r="D2560" s="13">
        <v>1</v>
      </c>
      <c r="E2560" s="147" t="s">
        <v>4935</v>
      </c>
      <c r="F2560" s="5" t="s">
        <v>11</v>
      </c>
    </row>
    <row r="2561" ht="18" customHeight="1" spans="1:6">
      <c r="A2561" s="49" t="s">
        <v>4874</v>
      </c>
      <c r="B2561" s="13" t="s">
        <v>4925</v>
      </c>
      <c r="C2561" s="145" t="s">
        <v>4936</v>
      </c>
      <c r="D2561" s="13">
        <v>3</v>
      </c>
      <c r="E2561" s="145" t="s">
        <v>4937</v>
      </c>
      <c r="F2561" s="13" t="s">
        <v>11</v>
      </c>
    </row>
    <row r="2562" ht="18" customHeight="1" spans="1:6">
      <c r="A2562" s="49" t="s">
        <v>4874</v>
      </c>
      <c r="B2562" s="13" t="s">
        <v>4925</v>
      </c>
      <c r="C2562" s="13" t="s">
        <v>4938</v>
      </c>
      <c r="D2562" s="13">
        <v>5</v>
      </c>
      <c r="E2562" s="145" t="s">
        <v>4939</v>
      </c>
      <c r="F2562" s="13" t="s">
        <v>11</v>
      </c>
    </row>
    <row r="2563" ht="18" customHeight="1" spans="1:6">
      <c r="A2563" s="49" t="s">
        <v>4874</v>
      </c>
      <c r="B2563" s="13" t="s">
        <v>4925</v>
      </c>
      <c r="C2563" s="145" t="s">
        <v>4940</v>
      </c>
      <c r="D2563" s="13">
        <v>4</v>
      </c>
      <c r="E2563" s="145" t="s">
        <v>4941</v>
      </c>
      <c r="F2563" s="5" t="s">
        <v>11</v>
      </c>
    </row>
    <row r="2564" ht="18" customHeight="1" spans="1:6">
      <c r="A2564" s="49" t="s">
        <v>4874</v>
      </c>
      <c r="B2564" s="15" t="s">
        <v>4878</v>
      </c>
      <c r="C2564" s="15" t="s">
        <v>4942</v>
      </c>
      <c r="D2564" s="15">
        <v>2</v>
      </c>
      <c r="E2564" s="15" t="s">
        <v>4943</v>
      </c>
      <c r="F2564" s="15" t="s">
        <v>11</v>
      </c>
    </row>
    <row r="2565" ht="18" customHeight="1" spans="1:6">
      <c r="A2565" s="49" t="s">
        <v>4874</v>
      </c>
      <c r="B2565" s="15" t="s">
        <v>4878</v>
      </c>
      <c r="C2565" s="15" t="s">
        <v>4944</v>
      </c>
      <c r="D2565" s="15">
        <v>5</v>
      </c>
      <c r="E2565" s="15" t="s">
        <v>4945</v>
      </c>
      <c r="F2565" s="15" t="s">
        <v>11</v>
      </c>
    </row>
    <row r="2566" ht="18" customHeight="1" spans="1:6">
      <c r="A2566" s="49" t="s">
        <v>4874</v>
      </c>
      <c r="B2566" s="15" t="s">
        <v>4878</v>
      </c>
      <c r="C2566" s="15" t="s">
        <v>4946</v>
      </c>
      <c r="D2566" s="15">
        <v>5</v>
      </c>
      <c r="E2566" s="15" t="s">
        <v>4947</v>
      </c>
      <c r="F2566" s="15" t="s">
        <v>11</v>
      </c>
    </row>
    <row r="2567" ht="18" customHeight="1" spans="1:6">
      <c r="A2567" s="49" t="s">
        <v>4874</v>
      </c>
      <c r="B2567" s="15" t="s">
        <v>4878</v>
      </c>
      <c r="C2567" s="15" t="s">
        <v>4948</v>
      </c>
      <c r="D2567" s="15">
        <v>5</v>
      </c>
      <c r="E2567" s="15" t="s">
        <v>4949</v>
      </c>
      <c r="F2567" s="15" t="s">
        <v>11</v>
      </c>
    </row>
    <row r="2568" ht="18" customHeight="1" spans="1:6">
      <c r="A2568" s="49" t="s">
        <v>4874</v>
      </c>
      <c r="B2568" s="15" t="s">
        <v>4878</v>
      </c>
      <c r="C2568" s="15" t="s">
        <v>4950</v>
      </c>
      <c r="D2568" s="15">
        <v>3</v>
      </c>
      <c r="E2568" s="15" t="s">
        <v>4951</v>
      </c>
      <c r="F2568" s="15" t="s">
        <v>11</v>
      </c>
    </row>
    <row r="2569" ht="18" customHeight="1" spans="1:6">
      <c r="A2569" s="13" t="s">
        <v>4952</v>
      </c>
      <c r="B2569" s="13"/>
      <c r="C2569" s="13">
        <v>37</v>
      </c>
      <c r="D2569" s="13">
        <f>SUM(D2532:D2568)</f>
        <v>108</v>
      </c>
      <c r="E2569" s="13"/>
      <c r="F2569" s="13"/>
    </row>
    <row r="2570" ht="18" customHeight="1" spans="1:6">
      <c r="A2570" s="14" t="s">
        <v>4953</v>
      </c>
      <c r="B2570" s="14" t="s">
        <v>4954</v>
      </c>
      <c r="C2570" s="14" t="s">
        <v>4955</v>
      </c>
      <c r="D2570" s="14">
        <v>2</v>
      </c>
      <c r="E2570" s="14" t="s">
        <v>4956</v>
      </c>
      <c r="F2570" s="14" t="s">
        <v>11</v>
      </c>
    </row>
    <row r="2571" ht="18" customHeight="1" spans="1:6">
      <c r="A2571" s="14" t="s">
        <v>4953</v>
      </c>
      <c r="B2571" s="14" t="s">
        <v>4954</v>
      </c>
      <c r="C2571" s="14" t="s">
        <v>4957</v>
      </c>
      <c r="D2571" s="14">
        <v>3</v>
      </c>
      <c r="E2571" s="14" t="s">
        <v>4958</v>
      </c>
      <c r="F2571" s="14" t="s">
        <v>11</v>
      </c>
    </row>
    <row r="2572" ht="18" customHeight="1" spans="1:6">
      <c r="A2572" s="14" t="s">
        <v>4953</v>
      </c>
      <c r="B2572" s="14" t="s">
        <v>4959</v>
      </c>
      <c r="C2572" s="14" t="s">
        <v>4960</v>
      </c>
      <c r="D2572" s="14">
        <v>3</v>
      </c>
      <c r="E2572" s="14" t="s">
        <v>4961</v>
      </c>
      <c r="F2572" s="14" t="s">
        <v>11</v>
      </c>
    </row>
    <row r="2573" ht="18" customHeight="1" spans="1:6">
      <c r="A2573" s="14" t="s">
        <v>4953</v>
      </c>
      <c r="B2573" s="14" t="s">
        <v>4959</v>
      </c>
      <c r="C2573" s="14" t="s">
        <v>4962</v>
      </c>
      <c r="D2573" s="14">
        <v>4</v>
      </c>
      <c r="E2573" s="14" t="s">
        <v>4963</v>
      </c>
      <c r="F2573" s="14" t="s">
        <v>11</v>
      </c>
    </row>
    <row r="2574" ht="18" customHeight="1" spans="1:6">
      <c r="A2574" s="14" t="s">
        <v>4953</v>
      </c>
      <c r="B2574" s="14" t="s">
        <v>4959</v>
      </c>
      <c r="C2574" s="14" t="s">
        <v>4964</v>
      </c>
      <c r="D2574" s="14">
        <v>5</v>
      </c>
      <c r="E2574" s="14" t="s">
        <v>4965</v>
      </c>
      <c r="F2574" s="14" t="s">
        <v>11</v>
      </c>
    </row>
    <row r="2575" ht="18" customHeight="1" spans="1:6">
      <c r="A2575" s="14" t="s">
        <v>4953</v>
      </c>
      <c r="B2575" s="14" t="s">
        <v>4959</v>
      </c>
      <c r="C2575" s="14" t="s">
        <v>4966</v>
      </c>
      <c r="D2575" s="14">
        <v>3</v>
      </c>
      <c r="E2575" s="14" t="s">
        <v>4967</v>
      </c>
      <c r="F2575" s="14" t="s">
        <v>11</v>
      </c>
    </row>
    <row r="2576" ht="18" customHeight="1" spans="1:6">
      <c r="A2576" s="14" t="s">
        <v>4953</v>
      </c>
      <c r="B2576" s="14" t="s">
        <v>4959</v>
      </c>
      <c r="C2576" s="14" t="s">
        <v>4968</v>
      </c>
      <c r="D2576" s="14">
        <v>7</v>
      </c>
      <c r="E2576" s="14" t="s">
        <v>4969</v>
      </c>
      <c r="F2576" s="14" t="s">
        <v>11</v>
      </c>
    </row>
    <row r="2577" ht="18" customHeight="1" spans="1:6">
      <c r="A2577" s="14" t="s">
        <v>4953</v>
      </c>
      <c r="B2577" s="14" t="s">
        <v>4954</v>
      </c>
      <c r="C2577" s="14" t="s">
        <v>4970</v>
      </c>
      <c r="D2577" s="14">
        <v>2</v>
      </c>
      <c r="E2577" s="14" t="s">
        <v>4971</v>
      </c>
      <c r="F2577" s="14" t="s">
        <v>11</v>
      </c>
    </row>
    <row r="2578" ht="18" customHeight="1" spans="1:6">
      <c r="A2578" s="14" t="s">
        <v>4953</v>
      </c>
      <c r="B2578" s="14" t="s">
        <v>4954</v>
      </c>
      <c r="C2578" s="14" t="s">
        <v>4972</v>
      </c>
      <c r="D2578" s="14">
        <v>2</v>
      </c>
      <c r="E2578" s="14" t="s">
        <v>4973</v>
      </c>
      <c r="F2578" s="14" t="s">
        <v>11</v>
      </c>
    </row>
    <row r="2579" ht="18" customHeight="1" spans="1:6">
      <c r="A2579" s="14" t="s">
        <v>4953</v>
      </c>
      <c r="B2579" s="14" t="s">
        <v>4954</v>
      </c>
      <c r="C2579" s="14" t="s">
        <v>4974</v>
      </c>
      <c r="D2579" s="14">
        <v>2</v>
      </c>
      <c r="E2579" s="14" t="s">
        <v>4975</v>
      </c>
      <c r="F2579" s="14" t="s">
        <v>11</v>
      </c>
    </row>
    <row r="2580" ht="18" customHeight="1" spans="1:6">
      <c r="A2580" s="14" t="s">
        <v>4953</v>
      </c>
      <c r="B2580" s="14" t="s">
        <v>4976</v>
      </c>
      <c r="C2580" s="14" t="s">
        <v>4977</v>
      </c>
      <c r="D2580" s="14">
        <v>4</v>
      </c>
      <c r="E2580" s="14" t="s">
        <v>4978</v>
      </c>
      <c r="F2580" s="14" t="s">
        <v>11</v>
      </c>
    </row>
    <row r="2581" ht="18" customHeight="1" spans="1:6">
      <c r="A2581" s="14" t="s">
        <v>4953</v>
      </c>
      <c r="B2581" s="14" t="s">
        <v>4976</v>
      </c>
      <c r="C2581" s="14" t="s">
        <v>4979</v>
      </c>
      <c r="D2581" s="14">
        <v>3</v>
      </c>
      <c r="E2581" s="14" t="s">
        <v>4980</v>
      </c>
      <c r="F2581" s="14" t="s">
        <v>11</v>
      </c>
    </row>
    <row r="2582" ht="18" customHeight="1" spans="1:6">
      <c r="A2582" s="14" t="s">
        <v>4953</v>
      </c>
      <c r="B2582" s="14" t="s">
        <v>4976</v>
      </c>
      <c r="C2582" s="14" t="s">
        <v>2820</v>
      </c>
      <c r="D2582" s="14">
        <v>5</v>
      </c>
      <c r="E2582" s="14" t="s">
        <v>4981</v>
      </c>
      <c r="F2582" s="14" t="s">
        <v>11</v>
      </c>
    </row>
    <row r="2583" ht="18" customHeight="1" spans="1:6">
      <c r="A2583" s="14" t="s">
        <v>4953</v>
      </c>
      <c r="B2583" s="14" t="s">
        <v>4976</v>
      </c>
      <c r="C2583" s="14" t="s">
        <v>4982</v>
      </c>
      <c r="D2583" s="14">
        <v>4</v>
      </c>
      <c r="E2583" s="14" t="s">
        <v>4983</v>
      </c>
      <c r="F2583" s="14" t="s">
        <v>11</v>
      </c>
    </row>
    <row r="2584" ht="18" customHeight="1" spans="1:6">
      <c r="A2584" s="14" t="s">
        <v>4953</v>
      </c>
      <c r="B2584" s="14" t="s">
        <v>4976</v>
      </c>
      <c r="C2584" s="14" t="s">
        <v>4984</v>
      </c>
      <c r="D2584" s="14">
        <v>6</v>
      </c>
      <c r="E2584" s="14" t="s">
        <v>4985</v>
      </c>
      <c r="F2584" s="14" t="s">
        <v>11</v>
      </c>
    </row>
    <row r="2585" ht="18" customHeight="1" spans="1:6">
      <c r="A2585" s="14" t="s">
        <v>4953</v>
      </c>
      <c r="B2585" s="14" t="s">
        <v>4976</v>
      </c>
      <c r="C2585" s="14" t="s">
        <v>4986</v>
      </c>
      <c r="D2585" s="14">
        <v>5</v>
      </c>
      <c r="E2585" s="14" t="s">
        <v>4987</v>
      </c>
      <c r="F2585" s="14" t="s">
        <v>11</v>
      </c>
    </row>
    <row r="2586" ht="18" customHeight="1" spans="1:6">
      <c r="A2586" s="14" t="s">
        <v>4953</v>
      </c>
      <c r="B2586" s="14" t="s">
        <v>4976</v>
      </c>
      <c r="C2586" s="14" t="s">
        <v>4988</v>
      </c>
      <c r="D2586" s="14">
        <v>4</v>
      </c>
      <c r="E2586" s="14" t="s">
        <v>4989</v>
      </c>
      <c r="F2586" s="14" t="s">
        <v>11</v>
      </c>
    </row>
    <row r="2587" ht="18" customHeight="1" spans="1:6">
      <c r="A2587" s="14" t="s">
        <v>4953</v>
      </c>
      <c r="B2587" s="14" t="s">
        <v>4976</v>
      </c>
      <c r="C2587" s="14" t="s">
        <v>4990</v>
      </c>
      <c r="D2587" s="14">
        <v>3</v>
      </c>
      <c r="E2587" s="14" t="s">
        <v>4991</v>
      </c>
      <c r="F2587" s="14" t="s">
        <v>11</v>
      </c>
    </row>
    <row r="2588" ht="18" customHeight="1" spans="1:6">
      <c r="A2588" s="14" t="s">
        <v>4953</v>
      </c>
      <c r="B2588" s="14" t="s">
        <v>4976</v>
      </c>
      <c r="C2588" s="14" t="s">
        <v>4992</v>
      </c>
      <c r="D2588" s="14">
        <v>4</v>
      </c>
      <c r="E2588" s="14" t="s">
        <v>4993</v>
      </c>
      <c r="F2588" s="14" t="s">
        <v>11</v>
      </c>
    </row>
    <row r="2589" ht="18" customHeight="1" spans="1:6">
      <c r="A2589" s="14" t="s">
        <v>4953</v>
      </c>
      <c r="B2589" s="14" t="s">
        <v>4976</v>
      </c>
      <c r="C2589" s="14" t="s">
        <v>4994</v>
      </c>
      <c r="D2589" s="14">
        <v>4</v>
      </c>
      <c r="E2589" s="14" t="s">
        <v>4995</v>
      </c>
      <c r="F2589" s="14" t="s">
        <v>11</v>
      </c>
    </row>
    <row r="2590" ht="18" customHeight="1" spans="1:6">
      <c r="A2590" s="14" t="s">
        <v>4953</v>
      </c>
      <c r="B2590" s="14" t="s">
        <v>4976</v>
      </c>
      <c r="C2590" s="14" t="s">
        <v>4996</v>
      </c>
      <c r="D2590" s="14">
        <v>5</v>
      </c>
      <c r="E2590" s="14" t="s">
        <v>4997</v>
      </c>
      <c r="F2590" s="14" t="s">
        <v>11</v>
      </c>
    </row>
    <row r="2591" ht="18" customHeight="1" spans="1:6">
      <c r="A2591" s="14" t="s">
        <v>4953</v>
      </c>
      <c r="B2591" s="14" t="s">
        <v>4976</v>
      </c>
      <c r="C2591" s="14" t="s">
        <v>4998</v>
      </c>
      <c r="D2591" s="14">
        <v>3</v>
      </c>
      <c r="E2591" s="14" t="s">
        <v>4999</v>
      </c>
      <c r="F2591" s="14" t="s">
        <v>11</v>
      </c>
    </row>
    <row r="2592" ht="18" customHeight="1" spans="1:6">
      <c r="A2592" s="14" t="s">
        <v>4953</v>
      </c>
      <c r="B2592" s="14" t="s">
        <v>4976</v>
      </c>
      <c r="C2592" s="14" t="s">
        <v>5000</v>
      </c>
      <c r="D2592" s="14">
        <v>6</v>
      </c>
      <c r="E2592" s="14" t="s">
        <v>5001</v>
      </c>
      <c r="F2592" s="14" t="s">
        <v>11</v>
      </c>
    </row>
    <row r="2593" ht="18" customHeight="1" spans="1:6">
      <c r="A2593" s="14" t="s">
        <v>4953</v>
      </c>
      <c r="B2593" s="14" t="s">
        <v>4976</v>
      </c>
      <c r="C2593" s="14" t="s">
        <v>5002</v>
      </c>
      <c r="D2593" s="14">
        <v>4</v>
      </c>
      <c r="E2593" s="14" t="s">
        <v>5003</v>
      </c>
      <c r="F2593" s="14" t="s">
        <v>11</v>
      </c>
    </row>
    <row r="2594" ht="18" customHeight="1" spans="1:6">
      <c r="A2594" s="14" t="s">
        <v>4953</v>
      </c>
      <c r="B2594" s="14" t="s">
        <v>4976</v>
      </c>
      <c r="C2594" s="14" t="s">
        <v>5004</v>
      </c>
      <c r="D2594" s="14">
        <v>3</v>
      </c>
      <c r="E2594" s="14" t="s">
        <v>5005</v>
      </c>
      <c r="F2594" s="14" t="s">
        <v>11</v>
      </c>
    </row>
    <row r="2595" ht="18" customHeight="1" spans="1:6">
      <c r="A2595" s="14" t="s">
        <v>4953</v>
      </c>
      <c r="B2595" s="14" t="s">
        <v>4976</v>
      </c>
      <c r="C2595" s="14" t="s">
        <v>5006</v>
      </c>
      <c r="D2595" s="14">
        <v>3</v>
      </c>
      <c r="E2595" s="14" t="s">
        <v>5007</v>
      </c>
      <c r="F2595" s="14" t="s">
        <v>11</v>
      </c>
    </row>
    <row r="2596" ht="18" customHeight="1" spans="1:6">
      <c r="A2596" s="14" t="s">
        <v>4953</v>
      </c>
      <c r="B2596" s="14" t="s">
        <v>4976</v>
      </c>
      <c r="C2596" s="14" t="s">
        <v>5008</v>
      </c>
      <c r="D2596" s="14">
        <v>7</v>
      </c>
      <c r="E2596" s="14" t="s">
        <v>5009</v>
      </c>
      <c r="F2596" s="14" t="s">
        <v>11</v>
      </c>
    </row>
    <row r="2597" ht="18" customHeight="1" spans="1:6">
      <c r="A2597" s="14" t="s">
        <v>4953</v>
      </c>
      <c r="B2597" s="14" t="s">
        <v>4954</v>
      </c>
      <c r="C2597" s="14" t="s">
        <v>5010</v>
      </c>
      <c r="D2597" s="14">
        <v>2</v>
      </c>
      <c r="E2597" s="14" t="s">
        <v>5011</v>
      </c>
      <c r="F2597" s="14" t="s">
        <v>11</v>
      </c>
    </row>
    <row r="2598" ht="18" customHeight="1" spans="1:6">
      <c r="A2598" s="14" t="s">
        <v>4953</v>
      </c>
      <c r="B2598" s="14" t="s">
        <v>5012</v>
      </c>
      <c r="C2598" s="14" t="s">
        <v>5013</v>
      </c>
      <c r="D2598" s="14">
        <v>5</v>
      </c>
      <c r="E2598" s="14" t="s">
        <v>5014</v>
      </c>
      <c r="F2598" s="14" t="s">
        <v>11</v>
      </c>
    </row>
    <row r="2599" ht="18" customHeight="1" spans="1:6">
      <c r="A2599" s="14" t="s">
        <v>4953</v>
      </c>
      <c r="B2599" s="14" t="s">
        <v>5012</v>
      </c>
      <c r="C2599" s="14" t="s">
        <v>5015</v>
      </c>
      <c r="D2599" s="14">
        <v>5</v>
      </c>
      <c r="E2599" s="14" t="s">
        <v>5016</v>
      </c>
      <c r="F2599" s="14" t="s">
        <v>11</v>
      </c>
    </row>
    <row r="2600" ht="18" customHeight="1" spans="1:6">
      <c r="A2600" s="14" t="s">
        <v>4953</v>
      </c>
      <c r="B2600" s="14" t="s">
        <v>5012</v>
      </c>
      <c r="C2600" s="14" t="s">
        <v>5017</v>
      </c>
      <c r="D2600" s="14">
        <v>6</v>
      </c>
      <c r="E2600" s="14" t="s">
        <v>5018</v>
      </c>
      <c r="F2600" s="14" t="s">
        <v>11</v>
      </c>
    </row>
    <row r="2601" ht="18" customHeight="1" spans="1:6">
      <c r="A2601" s="14" t="s">
        <v>4953</v>
      </c>
      <c r="B2601" s="14" t="s">
        <v>5012</v>
      </c>
      <c r="C2601" s="14" t="s">
        <v>5019</v>
      </c>
      <c r="D2601" s="14">
        <v>3</v>
      </c>
      <c r="E2601" s="14" t="s">
        <v>5020</v>
      </c>
      <c r="F2601" s="14" t="s">
        <v>11</v>
      </c>
    </row>
    <row r="2602" ht="18" customHeight="1" spans="1:6">
      <c r="A2602" s="14" t="s">
        <v>4953</v>
      </c>
      <c r="B2602" s="14" t="s">
        <v>5012</v>
      </c>
      <c r="C2602" s="14" t="s">
        <v>5021</v>
      </c>
      <c r="D2602" s="14">
        <v>4</v>
      </c>
      <c r="E2602" s="14" t="s">
        <v>5022</v>
      </c>
      <c r="F2602" s="14" t="s">
        <v>11</v>
      </c>
    </row>
    <row r="2603" ht="18" customHeight="1" spans="1:6">
      <c r="A2603" s="14" t="s">
        <v>4953</v>
      </c>
      <c r="B2603" s="14" t="s">
        <v>5012</v>
      </c>
      <c r="C2603" s="14" t="s">
        <v>5023</v>
      </c>
      <c r="D2603" s="14">
        <v>3</v>
      </c>
      <c r="E2603" s="14" t="s">
        <v>5024</v>
      </c>
      <c r="F2603" s="14" t="s">
        <v>11</v>
      </c>
    </row>
    <row r="2604" ht="18" customHeight="1" spans="1:6">
      <c r="A2604" s="14" t="s">
        <v>4953</v>
      </c>
      <c r="B2604" s="14" t="s">
        <v>5012</v>
      </c>
      <c r="C2604" s="14" t="s">
        <v>5025</v>
      </c>
      <c r="D2604" s="14">
        <v>4</v>
      </c>
      <c r="E2604" s="14" t="s">
        <v>5026</v>
      </c>
      <c r="F2604" s="14" t="s">
        <v>11</v>
      </c>
    </row>
    <row r="2605" ht="18" customHeight="1" spans="1:6">
      <c r="A2605" s="14" t="s">
        <v>4953</v>
      </c>
      <c r="B2605" s="14" t="s">
        <v>5012</v>
      </c>
      <c r="C2605" s="14" t="s">
        <v>5027</v>
      </c>
      <c r="D2605" s="14">
        <v>3</v>
      </c>
      <c r="E2605" s="14" t="s">
        <v>5028</v>
      </c>
      <c r="F2605" s="14" t="s">
        <v>11</v>
      </c>
    </row>
    <row r="2606" ht="18" customHeight="1" spans="1:6">
      <c r="A2606" s="14" t="s">
        <v>4953</v>
      </c>
      <c r="B2606" s="14" t="s">
        <v>5012</v>
      </c>
      <c r="C2606" s="14" t="s">
        <v>5029</v>
      </c>
      <c r="D2606" s="14">
        <v>4</v>
      </c>
      <c r="E2606" s="14" t="s">
        <v>5030</v>
      </c>
      <c r="F2606" s="14" t="s">
        <v>11</v>
      </c>
    </row>
    <row r="2607" ht="18" customHeight="1" spans="1:6">
      <c r="A2607" s="14" t="s">
        <v>4953</v>
      </c>
      <c r="B2607" s="14" t="s">
        <v>5012</v>
      </c>
      <c r="C2607" s="14" t="s">
        <v>5031</v>
      </c>
      <c r="D2607" s="14">
        <v>2</v>
      </c>
      <c r="E2607" s="14" t="s">
        <v>5032</v>
      </c>
      <c r="F2607" s="14" t="s">
        <v>11</v>
      </c>
    </row>
    <row r="2608" ht="18" customHeight="1" spans="1:6">
      <c r="A2608" s="14" t="s">
        <v>4953</v>
      </c>
      <c r="B2608" s="14" t="s">
        <v>5033</v>
      </c>
      <c r="C2608" s="14" t="s">
        <v>5034</v>
      </c>
      <c r="D2608" s="14">
        <v>3</v>
      </c>
      <c r="E2608" s="14" t="s">
        <v>5035</v>
      </c>
      <c r="F2608" s="14" t="s">
        <v>11</v>
      </c>
    </row>
    <row r="2609" ht="18" customHeight="1" spans="1:6">
      <c r="A2609" s="14" t="s">
        <v>4953</v>
      </c>
      <c r="B2609" s="14" t="s">
        <v>5033</v>
      </c>
      <c r="C2609" s="14" t="s">
        <v>5036</v>
      </c>
      <c r="D2609" s="14">
        <v>5</v>
      </c>
      <c r="E2609" s="14" t="s">
        <v>5037</v>
      </c>
      <c r="F2609" s="14" t="s">
        <v>11</v>
      </c>
    </row>
    <row r="2610" ht="18" customHeight="1" spans="1:6">
      <c r="A2610" s="14" t="s">
        <v>4953</v>
      </c>
      <c r="B2610" s="14" t="s">
        <v>5033</v>
      </c>
      <c r="C2610" s="14" t="s">
        <v>5038</v>
      </c>
      <c r="D2610" s="14">
        <v>5</v>
      </c>
      <c r="E2610" s="14" t="s">
        <v>5039</v>
      </c>
      <c r="F2610" s="14" t="s">
        <v>11</v>
      </c>
    </row>
    <row r="2611" ht="18" customHeight="1" spans="1:6">
      <c r="A2611" s="14" t="s">
        <v>4953</v>
      </c>
      <c r="B2611" s="14" t="s">
        <v>5033</v>
      </c>
      <c r="C2611" s="14" t="s">
        <v>5040</v>
      </c>
      <c r="D2611" s="14">
        <v>5</v>
      </c>
      <c r="E2611" s="14" t="s">
        <v>5041</v>
      </c>
      <c r="F2611" s="14" t="s">
        <v>11</v>
      </c>
    </row>
    <row r="2612" ht="18" customHeight="1" spans="1:6">
      <c r="A2612" s="14" t="s">
        <v>4953</v>
      </c>
      <c r="B2612" s="14" t="s">
        <v>5033</v>
      </c>
      <c r="C2612" s="14" t="s">
        <v>5042</v>
      </c>
      <c r="D2612" s="14">
        <v>2</v>
      </c>
      <c r="E2612" s="14" t="s">
        <v>5043</v>
      </c>
      <c r="F2612" s="14" t="s">
        <v>11</v>
      </c>
    </row>
    <row r="2613" ht="18" customHeight="1" spans="1:6">
      <c r="A2613" s="14" t="s">
        <v>4953</v>
      </c>
      <c r="B2613" s="14" t="s">
        <v>5033</v>
      </c>
      <c r="C2613" s="14" t="s">
        <v>5044</v>
      </c>
      <c r="D2613" s="14">
        <v>2</v>
      </c>
      <c r="E2613" s="14" t="s">
        <v>5045</v>
      </c>
      <c r="F2613" s="14" t="s">
        <v>11</v>
      </c>
    </row>
    <row r="2614" ht="18" customHeight="1" spans="1:6">
      <c r="A2614" s="14" t="s">
        <v>4953</v>
      </c>
      <c r="B2614" s="14" t="s">
        <v>5033</v>
      </c>
      <c r="C2614" s="14" t="s">
        <v>5046</v>
      </c>
      <c r="D2614" s="14">
        <v>5</v>
      </c>
      <c r="E2614" s="14" t="s">
        <v>5047</v>
      </c>
      <c r="F2614" s="14" t="s">
        <v>11</v>
      </c>
    </row>
    <row r="2615" ht="18" customHeight="1" spans="1:6">
      <c r="A2615" s="14" t="s">
        <v>4953</v>
      </c>
      <c r="B2615" s="14" t="s">
        <v>5033</v>
      </c>
      <c r="C2615" s="14" t="s">
        <v>5048</v>
      </c>
      <c r="D2615" s="14">
        <v>4</v>
      </c>
      <c r="E2615" s="14" t="s">
        <v>5049</v>
      </c>
      <c r="F2615" s="14" t="s">
        <v>11</v>
      </c>
    </row>
    <row r="2616" ht="18" customHeight="1" spans="1:6">
      <c r="A2616" s="14" t="s">
        <v>4953</v>
      </c>
      <c r="B2616" s="14" t="s">
        <v>5033</v>
      </c>
      <c r="C2616" s="14" t="s">
        <v>5050</v>
      </c>
      <c r="D2616" s="14">
        <v>4</v>
      </c>
      <c r="E2616" s="14" t="s">
        <v>5051</v>
      </c>
      <c r="F2616" s="14" t="s">
        <v>11</v>
      </c>
    </row>
    <row r="2617" ht="18" customHeight="1" spans="1:6">
      <c r="A2617" s="14" t="s">
        <v>4953</v>
      </c>
      <c r="B2617" s="14" t="s">
        <v>5033</v>
      </c>
      <c r="C2617" s="14" t="s">
        <v>5052</v>
      </c>
      <c r="D2617" s="14">
        <v>6</v>
      </c>
      <c r="E2617" s="14" t="s">
        <v>5053</v>
      </c>
      <c r="F2617" s="14" t="s">
        <v>11</v>
      </c>
    </row>
    <row r="2618" ht="18" customHeight="1" spans="1:6">
      <c r="A2618" s="14" t="s">
        <v>4953</v>
      </c>
      <c r="B2618" s="14" t="s">
        <v>5033</v>
      </c>
      <c r="C2618" s="14" t="s">
        <v>5054</v>
      </c>
      <c r="D2618" s="14">
        <v>2</v>
      </c>
      <c r="E2618" s="14" t="s">
        <v>5055</v>
      </c>
      <c r="F2618" s="14" t="s">
        <v>11</v>
      </c>
    </row>
    <row r="2619" ht="18" customHeight="1" spans="1:6">
      <c r="A2619" s="14" t="s">
        <v>4953</v>
      </c>
      <c r="B2619" s="14" t="s">
        <v>5033</v>
      </c>
      <c r="C2619" s="14" t="s">
        <v>5056</v>
      </c>
      <c r="D2619" s="14">
        <v>3</v>
      </c>
      <c r="E2619" s="14" t="s">
        <v>5057</v>
      </c>
      <c r="F2619" s="14" t="s">
        <v>11</v>
      </c>
    </row>
    <row r="2620" ht="18" customHeight="1" spans="1:6">
      <c r="A2620" s="14" t="s">
        <v>4953</v>
      </c>
      <c r="B2620" s="14" t="s">
        <v>5033</v>
      </c>
      <c r="C2620" s="14" t="s">
        <v>5058</v>
      </c>
      <c r="D2620" s="14">
        <v>4</v>
      </c>
      <c r="E2620" s="14" t="s">
        <v>5059</v>
      </c>
      <c r="F2620" s="14" t="s">
        <v>11</v>
      </c>
    </row>
    <row r="2621" ht="18" customHeight="1" spans="1:6">
      <c r="A2621" s="14" t="s">
        <v>4953</v>
      </c>
      <c r="B2621" s="14" t="s">
        <v>5033</v>
      </c>
      <c r="C2621" s="14" t="s">
        <v>5060</v>
      </c>
      <c r="D2621" s="14">
        <v>4</v>
      </c>
      <c r="E2621" s="14" t="s">
        <v>5061</v>
      </c>
      <c r="F2621" s="14" t="s">
        <v>11</v>
      </c>
    </row>
    <row r="2622" ht="18" customHeight="1" spans="1:6">
      <c r="A2622" s="14" t="s">
        <v>4953</v>
      </c>
      <c r="B2622" s="14" t="s">
        <v>5033</v>
      </c>
      <c r="C2622" s="14" t="s">
        <v>5062</v>
      </c>
      <c r="D2622" s="14">
        <v>3</v>
      </c>
      <c r="E2622" s="14" t="s">
        <v>5063</v>
      </c>
      <c r="F2622" s="14" t="s">
        <v>11</v>
      </c>
    </row>
    <row r="2623" ht="18" customHeight="1" spans="1:6">
      <c r="A2623" s="14" t="s">
        <v>4953</v>
      </c>
      <c r="B2623" s="14" t="s">
        <v>5033</v>
      </c>
      <c r="C2623" s="14" t="s">
        <v>5064</v>
      </c>
      <c r="D2623" s="14">
        <v>4</v>
      </c>
      <c r="E2623" s="14" t="s">
        <v>5065</v>
      </c>
      <c r="F2623" s="14" t="s">
        <v>11</v>
      </c>
    </row>
    <row r="2624" ht="18" customHeight="1" spans="1:6">
      <c r="A2624" s="14" t="s">
        <v>4953</v>
      </c>
      <c r="B2624" s="14" t="s">
        <v>5033</v>
      </c>
      <c r="C2624" s="14" t="s">
        <v>5066</v>
      </c>
      <c r="D2624" s="14">
        <v>4</v>
      </c>
      <c r="E2624" s="14" t="s">
        <v>5067</v>
      </c>
      <c r="F2624" s="14" t="s">
        <v>11</v>
      </c>
    </row>
    <row r="2625" ht="18" customHeight="1" spans="1:6">
      <c r="A2625" s="14" t="s">
        <v>4953</v>
      </c>
      <c r="B2625" s="14" t="s">
        <v>5033</v>
      </c>
      <c r="C2625" s="14" t="s">
        <v>5068</v>
      </c>
      <c r="D2625" s="14">
        <v>3</v>
      </c>
      <c r="E2625" s="14" t="s">
        <v>5069</v>
      </c>
      <c r="F2625" s="14" t="s">
        <v>11</v>
      </c>
    </row>
    <row r="2626" ht="18" customHeight="1" spans="1:6">
      <c r="A2626" s="14" t="s">
        <v>4953</v>
      </c>
      <c r="B2626" s="14" t="s">
        <v>5033</v>
      </c>
      <c r="C2626" s="14" t="s">
        <v>5070</v>
      </c>
      <c r="D2626" s="14">
        <v>5</v>
      </c>
      <c r="E2626" s="14" t="s">
        <v>5071</v>
      </c>
      <c r="F2626" s="14" t="s">
        <v>11</v>
      </c>
    </row>
    <row r="2627" ht="18" customHeight="1" spans="1:6">
      <c r="A2627" s="14" t="s">
        <v>4953</v>
      </c>
      <c r="B2627" s="14" t="s">
        <v>5033</v>
      </c>
      <c r="C2627" s="14" t="s">
        <v>5072</v>
      </c>
      <c r="D2627" s="14">
        <v>3</v>
      </c>
      <c r="E2627" s="14" t="s">
        <v>5073</v>
      </c>
      <c r="F2627" s="14" t="s">
        <v>11</v>
      </c>
    </row>
    <row r="2628" ht="18" customHeight="1" spans="1:6">
      <c r="A2628" s="14" t="s">
        <v>4953</v>
      </c>
      <c r="B2628" s="14" t="s">
        <v>5033</v>
      </c>
      <c r="C2628" s="14" t="s">
        <v>5074</v>
      </c>
      <c r="D2628" s="14">
        <v>2</v>
      </c>
      <c r="E2628" s="14" t="s">
        <v>5075</v>
      </c>
      <c r="F2628" s="14" t="s">
        <v>11</v>
      </c>
    </row>
    <row r="2629" ht="18" customHeight="1" spans="1:6">
      <c r="A2629" s="14" t="s">
        <v>4953</v>
      </c>
      <c r="B2629" s="14" t="s">
        <v>5033</v>
      </c>
      <c r="C2629" s="14" t="s">
        <v>5076</v>
      </c>
      <c r="D2629" s="14">
        <v>3</v>
      </c>
      <c r="E2629" s="14" t="s">
        <v>5077</v>
      </c>
      <c r="F2629" s="14" t="s">
        <v>11</v>
      </c>
    </row>
    <row r="2630" ht="18" customHeight="1" spans="1:6">
      <c r="A2630" s="14" t="s">
        <v>4953</v>
      </c>
      <c r="B2630" s="14" t="s">
        <v>5033</v>
      </c>
      <c r="C2630" s="14" t="s">
        <v>5078</v>
      </c>
      <c r="D2630" s="14">
        <v>5</v>
      </c>
      <c r="E2630" s="14" t="s">
        <v>5079</v>
      </c>
      <c r="F2630" s="14" t="s">
        <v>11</v>
      </c>
    </row>
    <row r="2631" ht="18" customHeight="1" spans="1:6">
      <c r="A2631" s="14" t="s">
        <v>4953</v>
      </c>
      <c r="B2631" s="14" t="s">
        <v>5033</v>
      </c>
      <c r="C2631" s="14" t="s">
        <v>5080</v>
      </c>
      <c r="D2631" s="14">
        <v>3</v>
      </c>
      <c r="E2631" s="14" t="s">
        <v>5081</v>
      </c>
      <c r="F2631" s="14" t="s">
        <v>11</v>
      </c>
    </row>
    <row r="2632" ht="18" customHeight="1" spans="1:6">
      <c r="A2632" s="14" t="s">
        <v>4953</v>
      </c>
      <c r="B2632" s="14" t="s">
        <v>5033</v>
      </c>
      <c r="C2632" s="14" t="s">
        <v>5082</v>
      </c>
      <c r="D2632" s="14">
        <v>4</v>
      </c>
      <c r="E2632" s="14" t="s">
        <v>5083</v>
      </c>
      <c r="F2632" s="13" t="s">
        <v>11</v>
      </c>
    </row>
    <row r="2633" ht="18" customHeight="1" spans="1:6">
      <c r="A2633" s="14" t="s">
        <v>4953</v>
      </c>
      <c r="B2633" s="14" t="s">
        <v>5033</v>
      </c>
      <c r="C2633" s="14" t="s">
        <v>5084</v>
      </c>
      <c r="D2633" s="14">
        <v>3</v>
      </c>
      <c r="E2633" s="14" t="s">
        <v>5085</v>
      </c>
      <c r="F2633" s="14" t="s">
        <v>11</v>
      </c>
    </row>
    <row r="2634" ht="18" customHeight="1" spans="1:6">
      <c r="A2634" s="14" t="s">
        <v>4953</v>
      </c>
      <c r="B2634" s="14" t="s">
        <v>5086</v>
      </c>
      <c r="C2634" s="14" t="s">
        <v>5087</v>
      </c>
      <c r="D2634" s="14">
        <v>6</v>
      </c>
      <c r="E2634" s="14" t="s">
        <v>5088</v>
      </c>
      <c r="F2634" s="14" t="s">
        <v>11</v>
      </c>
    </row>
    <row r="2635" ht="18" customHeight="1" spans="1:6">
      <c r="A2635" s="14" t="s">
        <v>4953</v>
      </c>
      <c r="B2635" s="14" t="s">
        <v>5086</v>
      </c>
      <c r="C2635" s="14" t="s">
        <v>5089</v>
      </c>
      <c r="D2635" s="14">
        <v>4</v>
      </c>
      <c r="E2635" s="14" t="s">
        <v>5090</v>
      </c>
      <c r="F2635" s="14" t="s">
        <v>11</v>
      </c>
    </row>
    <row r="2636" ht="18" customHeight="1" spans="1:6">
      <c r="A2636" s="14" t="s">
        <v>4953</v>
      </c>
      <c r="B2636" s="14" t="s">
        <v>5086</v>
      </c>
      <c r="C2636" s="14" t="s">
        <v>1756</v>
      </c>
      <c r="D2636" s="14">
        <v>3</v>
      </c>
      <c r="E2636" s="14" t="s">
        <v>5091</v>
      </c>
      <c r="F2636" s="14" t="s">
        <v>11</v>
      </c>
    </row>
    <row r="2637" ht="18" customHeight="1" spans="1:6">
      <c r="A2637" s="14" t="s">
        <v>4953</v>
      </c>
      <c r="B2637" s="14" t="s">
        <v>5086</v>
      </c>
      <c r="C2637" s="14" t="s">
        <v>5092</v>
      </c>
      <c r="D2637" s="14">
        <v>3</v>
      </c>
      <c r="E2637" s="14" t="s">
        <v>5093</v>
      </c>
      <c r="F2637" s="14" t="s">
        <v>11</v>
      </c>
    </row>
    <row r="2638" ht="18" customHeight="1" spans="1:6">
      <c r="A2638" s="14" t="s">
        <v>4953</v>
      </c>
      <c r="B2638" s="14" t="s">
        <v>5033</v>
      </c>
      <c r="C2638" s="14" t="s">
        <v>5094</v>
      </c>
      <c r="D2638" s="14">
        <v>2</v>
      </c>
      <c r="E2638" s="14" t="s">
        <v>5095</v>
      </c>
      <c r="F2638" s="14" t="s">
        <v>11</v>
      </c>
    </row>
    <row r="2639" ht="18" customHeight="1" spans="1:6">
      <c r="A2639" s="14" t="s">
        <v>4953</v>
      </c>
      <c r="B2639" s="14" t="s">
        <v>5033</v>
      </c>
      <c r="C2639" s="14" t="s">
        <v>5096</v>
      </c>
      <c r="D2639" s="14">
        <v>4</v>
      </c>
      <c r="E2639" s="14" t="s">
        <v>5097</v>
      </c>
      <c r="F2639" s="14" t="s">
        <v>11</v>
      </c>
    </row>
    <row r="2640" ht="18" customHeight="1" spans="1:6">
      <c r="A2640" s="14" t="s">
        <v>4953</v>
      </c>
      <c r="B2640" s="14" t="s">
        <v>5033</v>
      </c>
      <c r="C2640" s="14" t="s">
        <v>5098</v>
      </c>
      <c r="D2640" s="14">
        <v>3</v>
      </c>
      <c r="E2640" s="14" t="s">
        <v>5099</v>
      </c>
      <c r="F2640" s="14" t="s">
        <v>11</v>
      </c>
    </row>
    <row r="2641" ht="18" customHeight="1" spans="1:6">
      <c r="A2641" s="14" t="s">
        <v>4953</v>
      </c>
      <c r="B2641" s="14" t="s">
        <v>5012</v>
      </c>
      <c r="C2641" s="14" t="s">
        <v>5100</v>
      </c>
      <c r="D2641" s="14">
        <v>7</v>
      </c>
      <c r="E2641" s="14" t="s">
        <v>5101</v>
      </c>
      <c r="F2641" s="14" t="s">
        <v>11</v>
      </c>
    </row>
    <row r="2642" ht="18" customHeight="1" spans="1:6">
      <c r="A2642" s="14" t="s">
        <v>4953</v>
      </c>
      <c r="B2642" s="14" t="s">
        <v>5012</v>
      </c>
      <c r="C2642" s="14" t="s">
        <v>5102</v>
      </c>
      <c r="D2642" s="14">
        <v>4</v>
      </c>
      <c r="E2642" s="14" t="s">
        <v>5103</v>
      </c>
      <c r="F2642" s="14" t="s">
        <v>11</v>
      </c>
    </row>
    <row r="2643" ht="18" customHeight="1" spans="1:6">
      <c r="A2643" s="14" t="s">
        <v>4953</v>
      </c>
      <c r="B2643" s="14" t="s">
        <v>5086</v>
      </c>
      <c r="C2643" s="14" t="s">
        <v>5104</v>
      </c>
      <c r="D2643" s="14">
        <v>2</v>
      </c>
      <c r="E2643" s="14" t="s">
        <v>5105</v>
      </c>
      <c r="F2643" s="14" t="s">
        <v>11</v>
      </c>
    </row>
    <row r="2644" ht="18" customHeight="1" spans="1:6">
      <c r="A2644" s="14" t="s">
        <v>4953</v>
      </c>
      <c r="B2644" s="14" t="s">
        <v>5033</v>
      </c>
      <c r="C2644" s="14" t="s">
        <v>5106</v>
      </c>
      <c r="D2644" s="14">
        <v>2</v>
      </c>
      <c r="E2644" s="14" t="s">
        <v>5107</v>
      </c>
      <c r="F2644" s="14" t="s">
        <v>11</v>
      </c>
    </row>
    <row r="2645" ht="18" customHeight="1" spans="1:6">
      <c r="A2645" s="14" t="s">
        <v>4953</v>
      </c>
      <c r="B2645" s="14" t="s">
        <v>5086</v>
      </c>
      <c r="C2645" s="14" t="s">
        <v>5108</v>
      </c>
      <c r="D2645" s="14">
        <v>3</v>
      </c>
      <c r="E2645" s="14" t="s">
        <v>5109</v>
      </c>
      <c r="F2645" s="14" t="s">
        <v>11</v>
      </c>
    </row>
    <row r="2646" ht="18" customHeight="1" spans="1:6">
      <c r="A2646" s="14" t="s">
        <v>4953</v>
      </c>
      <c r="B2646" s="14" t="s">
        <v>5012</v>
      </c>
      <c r="C2646" s="14" t="s">
        <v>5110</v>
      </c>
      <c r="D2646" s="14">
        <v>5</v>
      </c>
      <c r="E2646" s="14" t="s">
        <v>5111</v>
      </c>
      <c r="F2646" s="14" t="s">
        <v>11</v>
      </c>
    </row>
    <row r="2647" ht="18" customHeight="1" spans="1:6">
      <c r="A2647" s="14" t="s">
        <v>4953</v>
      </c>
      <c r="B2647" s="14" t="s">
        <v>5012</v>
      </c>
      <c r="C2647" s="14" t="s">
        <v>5112</v>
      </c>
      <c r="D2647" s="14">
        <v>5</v>
      </c>
      <c r="E2647" s="14" t="s">
        <v>5113</v>
      </c>
      <c r="F2647" s="14" t="s">
        <v>11</v>
      </c>
    </row>
    <row r="2648" ht="18" customHeight="1" spans="1:6">
      <c r="A2648" s="14" t="s">
        <v>4953</v>
      </c>
      <c r="B2648" s="14" t="s">
        <v>5012</v>
      </c>
      <c r="C2648" s="14" t="s">
        <v>5114</v>
      </c>
      <c r="D2648" s="14">
        <v>3</v>
      </c>
      <c r="E2648" s="14" t="s">
        <v>5115</v>
      </c>
      <c r="F2648" s="14" t="s">
        <v>11</v>
      </c>
    </row>
    <row r="2649" ht="18" customHeight="1" spans="1:6">
      <c r="A2649" s="14" t="s">
        <v>4953</v>
      </c>
      <c r="B2649" s="14" t="s">
        <v>5033</v>
      </c>
      <c r="C2649" s="14" t="s">
        <v>5116</v>
      </c>
      <c r="D2649" s="14">
        <v>4</v>
      </c>
      <c r="E2649" s="14" t="s">
        <v>5117</v>
      </c>
      <c r="F2649" s="14" t="s">
        <v>11</v>
      </c>
    </row>
    <row r="2650" ht="18" customHeight="1" spans="1:6">
      <c r="A2650" s="14" t="s">
        <v>4953</v>
      </c>
      <c r="B2650" s="14" t="s">
        <v>5033</v>
      </c>
      <c r="C2650" s="14" t="s">
        <v>5118</v>
      </c>
      <c r="D2650" s="14">
        <v>4</v>
      </c>
      <c r="E2650" s="14" t="s">
        <v>5119</v>
      </c>
      <c r="F2650" s="14" t="s">
        <v>11</v>
      </c>
    </row>
    <row r="2651" ht="18" customHeight="1" spans="1:6">
      <c r="A2651" s="14" t="s">
        <v>4953</v>
      </c>
      <c r="B2651" s="14" t="s">
        <v>5033</v>
      </c>
      <c r="C2651" s="14" t="s">
        <v>5120</v>
      </c>
      <c r="D2651" s="14">
        <v>4</v>
      </c>
      <c r="E2651" s="14" t="s">
        <v>5121</v>
      </c>
      <c r="F2651" s="14" t="s">
        <v>11</v>
      </c>
    </row>
    <row r="2652" ht="18" customHeight="1" spans="1:6">
      <c r="A2652" s="14" t="s">
        <v>4953</v>
      </c>
      <c r="B2652" s="14" t="s">
        <v>5033</v>
      </c>
      <c r="C2652" s="14" t="s">
        <v>5122</v>
      </c>
      <c r="D2652" s="14">
        <v>4</v>
      </c>
      <c r="E2652" s="14" t="s">
        <v>5123</v>
      </c>
      <c r="F2652" s="14" t="s">
        <v>11</v>
      </c>
    </row>
    <row r="2653" ht="18" customHeight="1" spans="1:6">
      <c r="A2653" s="14" t="s">
        <v>4953</v>
      </c>
      <c r="B2653" s="14" t="s">
        <v>5033</v>
      </c>
      <c r="C2653" s="14" t="s">
        <v>5124</v>
      </c>
      <c r="D2653" s="14">
        <v>3</v>
      </c>
      <c r="E2653" s="14" t="s">
        <v>5125</v>
      </c>
      <c r="F2653" s="14" t="s">
        <v>11</v>
      </c>
    </row>
    <row r="2654" ht="18" customHeight="1" spans="1:6">
      <c r="A2654" s="14" t="s">
        <v>4953</v>
      </c>
      <c r="B2654" s="14" t="s">
        <v>5033</v>
      </c>
      <c r="C2654" s="14" t="s">
        <v>5126</v>
      </c>
      <c r="D2654" s="14">
        <v>4</v>
      </c>
      <c r="E2654" s="14" t="s">
        <v>5127</v>
      </c>
      <c r="F2654" s="14" t="s">
        <v>11</v>
      </c>
    </row>
    <row r="2655" ht="18" customHeight="1" spans="1:6">
      <c r="A2655" s="14" t="s">
        <v>4953</v>
      </c>
      <c r="B2655" s="14" t="s">
        <v>5012</v>
      </c>
      <c r="C2655" s="14" t="s">
        <v>5128</v>
      </c>
      <c r="D2655" s="14">
        <v>4</v>
      </c>
      <c r="E2655" s="14" t="s">
        <v>5129</v>
      </c>
      <c r="F2655" s="14" t="s">
        <v>11</v>
      </c>
    </row>
    <row r="2656" ht="18" customHeight="1" spans="1:6">
      <c r="A2656" s="14" t="s">
        <v>4953</v>
      </c>
      <c r="B2656" s="14" t="s">
        <v>5086</v>
      </c>
      <c r="C2656" s="14" t="s">
        <v>5130</v>
      </c>
      <c r="D2656" s="14">
        <v>2</v>
      </c>
      <c r="E2656" s="14" t="s">
        <v>5131</v>
      </c>
      <c r="F2656" s="14" t="s">
        <v>11</v>
      </c>
    </row>
    <row r="2657" ht="18" customHeight="1" spans="1:6">
      <c r="A2657" s="14" t="s">
        <v>4953</v>
      </c>
      <c r="B2657" s="14" t="s">
        <v>5033</v>
      </c>
      <c r="C2657" s="14" t="s">
        <v>5132</v>
      </c>
      <c r="D2657" s="14">
        <v>4</v>
      </c>
      <c r="E2657" s="14" t="s">
        <v>5133</v>
      </c>
      <c r="F2657" s="14" t="s">
        <v>11</v>
      </c>
    </row>
    <row r="2658" ht="18" customHeight="1" spans="1:6">
      <c r="A2658" s="14" t="s">
        <v>4953</v>
      </c>
      <c r="B2658" s="14" t="s">
        <v>5033</v>
      </c>
      <c r="C2658" s="14" t="s">
        <v>5134</v>
      </c>
      <c r="D2658" s="14">
        <v>2</v>
      </c>
      <c r="E2658" s="14" t="s">
        <v>5135</v>
      </c>
      <c r="F2658" s="14" t="s">
        <v>11</v>
      </c>
    </row>
    <row r="2659" ht="18" customHeight="1" spans="1:6">
      <c r="A2659" s="14" t="s">
        <v>4953</v>
      </c>
      <c r="B2659" s="14" t="s">
        <v>5086</v>
      </c>
      <c r="C2659" s="14" t="s">
        <v>5136</v>
      </c>
      <c r="D2659" s="14">
        <v>2</v>
      </c>
      <c r="E2659" s="14" t="s">
        <v>5137</v>
      </c>
      <c r="F2659" s="14" t="s">
        <v>11</v>
      </c>
    </row>
    <row r="2660" ht="18" customHeight="1" spans="1:6">
      <c r="A2660" s="14" t="s">
        <v>4953</v>
      </c>
      <c r="B2660" s="14" t="s">
        <v>5033</v>
      </c>
      <c r="C2660" s="14" t="s">
        <v>5138</v>
      </c>
      <c r="D2660" s="14">
        <v>2</v>
      </c>
      <c r="E2660" s="14" t="s">
        <v>5139</v>
      </c>
      <c r="F2660" s="14" t="s">
        <v>11</v>
      </c>
    </row>
    <row r="2661" ht="18" customHeight="1" spans="1:6">
      <c r="A2661" s="14" t="s">
        <v>4953</v>
      </c>
      <c r="B2661" s="14" t="s">
        <v>5033</v>
      </c>
      <c r="C2661" s="14" t="s">
        <v>5140</v>
      </c>
      <c r="D2661" s="14">
        <v>3</v>
      </c>
      <c r="E2661" s="14" t="s">
        <v>5141</v>
      </c>
      <c r="F2661" s="14" t="s">
        <v>11</v>
      </c>
    </row>
    <row r="2662" ht="18" customHeight="1" spans="1:6">
      <c r="A2662" s="14" t="s">
        <v>4953</v>
      </c>
      <c r="B2662" s="14" t="s">
        <v>5012</v>
      </c>
      <c r="C2662" s="14" t="s">
        <v>5142</v>
      </c>
      <c r="D2662" s="14">
        <v>4</v>
      </c>
      <c r="E2662" s="14" t="s">
        <v>5143</v>
      </c>
      <c r="F2662" s="14" t="s">
        <v>11</v>
      </c>
    </row>
    <row r="2663" ht="18" customHeight="1" spans="1:6">
      <c r="A2663" s="14" t="s">
        <v>4953</v>
      </c>
      <c r="B2663" s="14" t="s">
        <v>5086</v>
      </c>
      <c r="C2663" s="14" t="s">
        <v>5144</v>
      </c>
      <c r="D2663" s="14">
        <v>4</v>
      </c>
      <c r="E2663" s="14" t="s">
        <v>5145</v>
      </c>
      <c r="F2663" s="14" t="s">
        <v>11</v>
      </c>
    </row>
    <row r="2664" ht="18" customHeight="1" spans="1:6">
      <c r="A2664" s="14" t="s">
        <v>4953</v>
      </c>
      <c r="B2664" s="14" t="s">
        <v>5012</v>
      </c>
      <c r="C2664" s="14" t="s">
        <v>5146</v>
      </c>
      <c r="D2664" s="14">
        <v>6</v>
      </c>
      <c r="E2664" s="14" t="s">
        <v>5147</v>
      </c>
      <c r="F2664" s="14" t="s">
        <v>11</v>
      </c>
    </row>
    <row r="2665" ht="18" customHeight="1" spans="1:6">
      <c r="A2665" s="14" t="s">
        <v>4953</v>
      </c>
      <c r="B2665" s="14" t="s">
        <v>5148</v>
      </c>
      <c r="C2665" s="14" t="s">
        <v>5149</v>
      </c>
      <c r="D2665" s="14">
        <v>3</v>
      </c>
      <c r="E2665" s="14" t="s">
        <v>5150</v>
      </c>
      <c r="F2665" s="14" t="s">
        <v>11</v>
      </c>
    </row>
    <row r="2666" ht="18" customHeight="1" spans="1:6">
      <c r="A2666" s="14" t="s">
        <v>4953</v>
      </c>
      <c r="B2666" s="14" t="s">
        <v>5148</v>
      </c>
      <c r="C2666" s="14" t="s">
        <v>5151</v>
      </c>
      <c r="D2666" s="14">
        <v>2</v>
      </c>
      <c r="E2666" s="14" t="s">
        <v>5152</v>
      </c>
      <c r="F2666" s="14" t="s">
        <v>11</v>
      </c>
    </row>
    <row r="2667" ht="18" customHeight="1" spans="1:6">
      <c r="A2667" s="14" t="s">
        <v>4953</v>
      </c>
      <c r="B2667" s="14" t="s">
        <v>5148</v>
      </c>
      <c r="C2667" s="14" t="s">
        <v>5153</v>
      </c>
      <c r="D2667" s="14">
        <v>4</v>
      </c>
      <c r="E2667" s="14" t="s">
        <v>5154</v>
      </c>
      <c r="F2667" s="14" t="s">
        <v>11</v>
      </c>
    </row>
    <row r="2668" ht="18" customHeight="1" spans="1:6">
      <c r="A2668" s="14" t="s">
        <v>4953</v>
      </c>
      <c r="B2668" s="14" t="s">
        <v>5148</v>
      </c>
      <c r="C2668" s="14" t="s">
        <v>5155</v>
      </c>
      <c r="D2668" s="14">
        <v>2</v>
      </c>
      <c r="E2668" s="14" t="s">
        <v>5156</v>
      </c>
      <c r="F2668" s="14" t="s">
        <v>11</v>
      </c>
    </row>
    <row r="2669" ht="18" customHeight="1" spans="1:6">
      <c r="A2669" s="14" t="s">
        <v>4953</v>
      </c>
      <c r="B2669" s="14" t="s">
        <v>5148</v>
      </c>
      <c r="C2669" s="14" t="s">
        <v>5157</v>
      </c>
      <c r="D2669" s="14">
        <v>2</v>
      </c>
      <c r="E2669" s="14" t="s">
        <v>5158</v>
      </c>
      <c r="F2669" s="14" t="s">
        <v>11</v>
      </c>
    </row>
    <row r="2670" ht="18" customHeight="1" spans="1:6">
      <c r="A2670" s="14" t="s">
        <v>4953</v>
      </c>
      <c r="B2670" s="14" t="s">
        <v>5148</v>
      </c>
      <c r="C2670" s="14" t="s">
        <v>5159</v>
      </c>
      <c r="D2670" s="14">
        <v>2</v>
      </c>
      <c r="E2670" s="14" t="s">
        <v>5160</v>
      </c>
      <c r="F2670" s="14" t="s">
        <v>11</v>
      </c>
    </row>
    <row r="2671" ht="18" customHeight="1" spans="1:6">
      <c r="A2671" s="14" t="s">
        <v>4953</v>
      </c>
      <c r="B2671" s="14" t="s">
        <v>5148</v>
      </c>
      <c r="C2671" s="14" t="s">
        <v>5161</v>
      </c>
      <c r="D2671" s="14">
        <v>2</v>
      </c>
      <c r="E2671" s="14" t="s">
        <v>5162</v>
      </c>
      <c r="F2671" s="14" t="s">
        <v>11</v>
      </c>
    </row>
    <row r="2672" ht="18" customHeight="1" spans="1:6">
      <c r="A2672" s="14" t="s">
        <v>4953</v>
      </c>
      <c r="B2672" s="14" t="s">
        <v>5148</v>
      </c>
      <c r="C2672" s="14" t="s">
        <v>5163</v>
      </c>
      <c r="D2672" s="14">
        <v>2</v>
      </c>
      <c r="E2672" s="14" t="s">
        <v>5164</v>
      </c>
      <c r="F2672" s="14" t="s">
        <v>11</v>
      </c>
    </row>
    <row r="2673" ht="18" customHeight="1" spans="1:6">
      <c r="A2673" s="14" t="s">
        <v>4953</v>
      </c>
      <c r="B2673" s="14" t="s">
        <v>5148</v>
      </c>
      <c r="C2673" s="14" t="s">
        <v>5165</v>
      </c>
      <c r="D2673" s="14">
        <v>3</v>
      </c>
      <c r="E2673" s="14" t="s">
        <v>5166</v>
      </c>
      <c r="F2673" s="14" t="s">
        <v>11</v>
      </c>
    </row>
    <row r="2674" ht="18" customHeight="1" spans="1:6">
      <c r="A2674" s="14" t="s">
        <v>4953</v>
      </c>
      <c r="B2674" s="14" t="s">
        <v>5148</v>
      </c>
      <c r="C2674" s="14" t="s">
        <v>5167</v>
      </c>
      <c r="D2674" s="14">
        <v>3</v>
      </c>
      <c r="E2674" s="14" t="s">
        <v>5168</v>
      </c>
      <c r="F2674" s="14" t="s">
        <v>11</v>
      </c>
    </row>
    <row r="2675" ht="18" customHeight="1" spans="1:6">
      <c r="A2675" s="14" t="s">
        <v>4953</v>
      </c>
      <c r="B2675" s="14" t="s">
        <v>5148</v>
      </c>
      <c r="C2675" s="14" t="s">
        <v>5169</v>
      </c>
      <c r="D2675" s="14">
        <v>3</v>
      </c>
      <c r="E2675" s="14" t="s">
        <v>5170</v>
      </c>
      <c r="F2675" s="14" t="s">
        <v>11</v>
      </c>
    </row>
    <row r="2676" ht="18" customHeight="1" spans="1:6">
      <c r="A2676" s="14" t="s">
        <v>4953</v>
      </c>
      <c r="B2676" s="14" t="s">
        <v>5148</v>
      </c>
      <c r="C2676" s="14" t="s">
        <v>5171</v>
      </c>
      <c r="D2676" s="14">
        <v>5</v>
      </c>
      <c r="E2676" s="14" t="s">
        <v>5172</v>
      </c>
      <c r="F2676" s="14" t="s">
        <v>11</v>
      </c>
    </row>
    <row r="2677" ht="18" customHeight="1" spans="1:6">
      <c r="A2677" s="14" t="s">
        <v>4953</v>
      </c>
      <c r="B2677" s="14" t="s">
        <v>5148</v>
      </c>
      <c r="C2677" s="14" t="s">
        <v>5173</v>
      </c>
      <c r="D2677" s="14">
        <v>7</v>
      </c>
      <c r="E2677" s="14" t="s">
        <v>5174</v>
      </c>
      <c r="F2677" s="14" t="s">
        <v>11</v>
      </c>
    </row>
    <row r="2678" ht="18" customHeight="1" spans="1:6">
      <c r="A2678" s="14" t="s">
        <v>4953</v>
      </c>
      <c r="B2678" s="14" t="s">
        <v>5148</v>
      </c>
      <c r="C2678" s="14" t="s">
        <v>5175</v>
      </c>
      <c r="D2678" s="14">
        <v>5</v>
      </c>
      <c r="E2678" s="14" t="s">
        <v>5176</v>
      </c>
      <c r="F2678" s="14" t="s">
        <v>11</v>
      </c>
    </row>
    <row r="2679" ht="18" customHeight="1" spans="1:6">
      <c r="A2679" s="14" t="s">
        <v>4953</v>
      </c>
      <c r="B2679" s="14" t="s">
        <v>5148</v>
      </c>
      <c r="C2679" s="14" t="s">
        <v>5177</v>
      </c>
      <c r="D2679" s="14">
        <v>3</v>
      </c>
      <c r="E2679" s="14" t="s">
        <v>5178</v>
      </c>
      <c r="F2679" s="14" t="s">
        <v>11</v>
      </c>
    </row>
    <row r="2680" ht="18" customHeight="1" spans="1:6">
      <c r="A2680" s="14" t="s">
        <v>4953</v>
      </c>
      <c r="B2680" s="14" t="s">
        <v>5148</v>
      </c>
      <c r="C2680" s="14" t="s">
        <v>5179</v>
      </c>
      <c r="D2680" s="14">
        <v>3</v>
      </c>
      <c r="E2680" s="14" t="s">
        <v>5180</v>
      </c>
      <c r="F2680" s="14" t="s">
        <v>11</v>
      </c>
    </row>
    <row r="2681" ht="18" customHeight="1" spans="1:6">
      <c r="A2681" s="14" t="s">
        <v>4953</v>
      </c>
      <c r="B2681" s="14" t="s">
        <v>5148</v>
      </c>
      <c r="C2681" s="14" t="s">
        <v>5181</v>
      </c>
      <c r="D2681" s="14">
        <v>3</v>
      </c>
      <c r="E2681" s="14" t="s">
        <v>5182</v>
      </c>
      <c r="F2681" s="14" t="s">
        <v>11</v>
      </c>
    </row>
    <row r="2682" ht="18" customHeight="1" spans="1:6">
      <c r="A2682" s="14" t="s">
        <v>4953</v>
      </c>
      <c r="B2682" s="14" t="s">
        <v>5148</v>
      </c>
      <c r="C2682" s="14" t="s">
        <v>5183</v>
      </c>
      <c r="D2682" s="14">
        <v>3</v>
      </c>
      <c r="E2682" s="14" t="s">
        <v>5184</v>
      </c>
      <c r="F2682" s="14" t="s">
        <v>11</v>
      </c>
    </row>
    <row r="2683" ht="18" customHeight="1" spans="1:6">
      <c r="A2683" s="14" t="s">
        <v>4953</v>
      </c>
      <c r="B2683" s="14" t="s">
        <v>5148</v>
      </c>
      <c r="C2683" s="14" t="s">
        <v>5185</v>
      </c>
      <c r="D2683" s="14">
        <v>5</v>
      </c>
      <c r="E2683" s="14" t="s">
        <v>5186</v>
      </c>
      <c r="F2683" s="14" t="s">
        <v>11</v>
      </c>
    </row>
    <row r="2684" ht="18" customHeight="1" spans="1:6">
      <c r="A2684" s="14" t="s">
        <v>4953</v>
      </c>
      <c r="B2684" s="14" t="s">
        <v>5148</v>
      </c>
      <c r="C2684" s="14" t="s">
        <v>5187</v>
      </c>
      <c r="D2684" s="14">
        <v>3</v>
      </c>
      <c r="E2684" s="14" t="s">
        <v>5188</v>
      </c>
      <c r="F2684" s="14" t="s">
        <v>11</v>
      </c>
    </row>
    <row r="2685" ht="18" customHeight="1" spans="1:6">
      <c r="A2685" s="14" t="s">
        <v>4953</v>
      </c>
      <c r="B2685" s="14" t="s">
        <v>5148</v>
      </c>
      <c r="C2685" s="14" t="s">
        <v>5189</v>
      </c>
      <c r="D2685" s="14">
        <v>4</v>
      </c>
      <c r="E2685" s="14" t="s">
        <v>5190</v>
      </c>
      <c r="F2685" s="14" t="s">
        <v>11</v>
      </c>
    </row>
    <row r="2686" ht="18" customHeight="1" spans="1:6">
      <c r="A2686" s="14" t="s">
        <v>4953</v>
      </c>
      <c r="B2686" s="14" t="s">
        <v>5148</v>
      </c>
      <c r="C2686" s="14" t="s">
        <v>5191</v>
      </c>
      <c r="D2686" s="14">
        <v>3</v>
      </c>
      <c r="E2686" s="14" t="s">
        <v>5192</v>
      </c>
      <c r="F2686" s="14" t="s">
        <v>11</v>
      </c>
    </row>
    <row r="2687" ht="18" customHeight="1" spans="1:6">
      <c r="A2687" s="14" t="s">
        <v>4953</v>
      </c>
      <c r="B2687" s="14" t="s">
        <v>5148</v>
      </c>
      <c r="C2687" s="14" t="s">
        <v>5193</v>
      </c>
      <c r="D2687" s="14">
        <v>4</v>
      </c>
      <c r="E2687" s="14" t="s">
        <v>5194</v>
      </c>
      <c r="F2687" s="14" t="s">
        <v>11</v>
      </c>
    </row>
    <row r="2688" ht="18" customHeight="1" spans="1:6">
      <c r="A2688" s="14" t="s">
        <v>4953</v>
      </c>
      <c r="B2688" s="14" t="s">
        <v>5148</v>
      </c>
      <c r="C2688" s="14" t="s">
        <v>5195</v>
      </c>
      <c r="D2688" s="14">
        <v>5</v>
      </c>
      <c r="E2688" s="14" t="s">
        <v>5196</v>
      </c>
      <c r="F2688" s="14" t="s">
        <v>11</v>
      </c>
    </row>
    <row r="2689" ht="18" customHeight="1" spans="1:6">
      <c r="A2689" s="14" t="s">
        <v>4953</v>
      </c>
      <c r="B2689" s="14" t="s">
        <v>5148</v>
      </c>
      <c r="C2689" s="14" t="s">
        <v>5197</v>
      </c>
      <c r="D2689" s="14">
        <v>7</v>
      </c>
      <c r="E2689" s="14" t="s">
        <v>5198</v>
      </c>
      <c r="F2689" s="14" t="s">
        <v>11</v>
      </c>
    </row>
    <row r="2690" ht="18" customHeight="1" spans="1:6">
      <c r="A2690" s="14" t="s">
        <v>4953</v>
      </c>
      <c r="B2690" s="14" t="s">
        <v>5148</v>
      </c>
      <c r="C2690" s="14" t="s">
        <v>5199</v>
      </c>
      <c r="D2690" s="14">
        <v>5</v>
      </c>
      <c r="E2690" s="14" t="s">
        <v>5200</v>
      </c>
      <c r="F2690" s="14" t="s">
        <v>11</v>
      </c>
    </row>
    <row r="2691" ht="18" customHeight="1" spans="1:6">
      <c r="A2691" s="14" t="s">
        <v>4953</v>
      </c>
      <c r="B2691" s="14" t="s">
        <v>5148</v>
      </c>
      <c r="C2691" s="14" t="s">
        <v>5201</v>
      </c>
      <c r="D2691" s="14">
        <v>4</v>
      </c>
      <c r="E2691" s="14" t="s">
        <v>5202</v>
      </c>
      <c r="F2691" s="14" t="s">
        <v>11</v>
      </c>
    </row>
    <row r="2692" ht="18" customHeight="1" spans="1:6">
      <c r="A2692" s="14" t="s">
        <v>4953</v>
      </c>
      <c r="B2692" s="14" t="s">
        <v>5148</v>
      </c>
      <c r="C2692" s="14" t="s">
        <v>5203</v>
      </c>
      <c r="D2692" s="14">
        <v>3</v>
      </c>
      <c r="E2692" s="14" t="s">
        <v>5204</v>
      </c>
      <c r="F2692" s="14" t="s">
        <v>11</v>
      </c>
    </row>
    <row r="2693" ht="18" customHeight="1" spans="1:6">
      <c r="A2693" s="14" t="s">
        <v>4953</v>
      </c>
      <c r="B2693" s="14" t="s">
        <v>5148</v>
      </c>
      <c r="C2693" s="14" t="s">
        <v>5205</v>
      </c>
      <c r="D2693" s="14">
        <v>3</v>
      </c>
      <c r="E2693" s="14" t="s">
        <v>5206</v>
      </c>
      <c r="F2693" s="14" t="s">
        <v>11</v>
      </c>
    </row>
    <row r="2694" ht="18" customHeight="1" spans="1:6">
      <c r="A2694" s="14" t="s">
        <v>4953</v>
      </c>
      <c r="B2694" s="14" t="s">
        <v>5148</v>
      </c>
      <c r="C2694" s="14" t="s">
        <v>5207</v>
      </c>
      <c r="D2694" s="14">
        <v>4</v>
      </c>
      <c r="E2694" s="14" t="s">
        <v>5208</v>
      </c>
      <c r="F2694" s="14" t="s">
        <v>11</v>
      </c>
    </row>
    <row r="2695" ht="18" customHeight="1" spans="1:6">
      <c r="A2695" s="14" t="s">
        <v>4953</v>
      </c>
      <c r="B2695" s="14" t="s">
        <v>5148</v>
      </c>
      <c r="C2695" s="14" t="s">
        <v>5209</v>
      </c>
      <c r="D2695" s="14">
        <v>7</v>
      </c>
      <c r="E2695" s="14" t="s">
        <v>5210</v>
      </c>
      <c r="F2695" s="14" t="s">
        <v>11</v>
      </c>
    </row>
    <row r="2696" ht="18" customHeight="1" spans="1:6">
      <c r="A2696" s="14" t="s">
        <v>4953</v>
      </c>
      <c r="B2696" s="14" t="s">
        <v>5148</v>
      </c>
      <c r="C2696" s="14" t="s">
        <v>5211</v>
      </c>
      <c r="D2696" s="14">
        <v>4</v>
      </c>
      <c r="E2696" s="14" t="s">
        <v>5212</v>
      </c>
      <c r="F2696" s="14" t="s">
        <v>11</v>
      </c>
    </row>
    <row r="2697" ht="18" customHeight="1" spans="1:6">
      <c r="A2697" s="14" t="s">
        <v>4953</v>
      </c>
      <c r="B2697" s="14" t="s">
        <v>5148</v>
      </c>
      <c r="C2697" s="14" t="s">
        <v>5213</v>
      </c>
      <c r="D2697" s="14">
        <v>4</v>
      </c>
      <c r="E2697" s="14" t="s">
        <v>5214</v>
      </c>
      <c r="F2697" s="14" t="s">
        <v>11</v>
      </c>
    </row>
    <row r="2698" ht="18" customHeight="1" spans="1:6">
      <c r="A2698" s="14" t="s">
        <v>4953</v>
      </c>
      <c r="B2698" s="14" t="s">
        <v>5148</v>
      </c>
      <c r="C2698" s="14" t="s">
        <v>5215</v>
      </c>
      <c r="D2698" s="14">
        <v>4</v>
      </c>
      <c r="E2698" s="14" t="s">
        <v>5216</v>
      </c>
      <c r="F2698" s="14" t="s">
        <v>11</v>
      </c>
    </row>
    <row r="2699" ht="18" customHeight="1" spans="1:6">
      <c r="A2699" s="14" t="s">
        <v>4953</v>
      </c>
      <c r="B2699" s="14" t="s">
        <v>5148</v>
      </c>
      <c r="C2699" s="14" t="s">
        <v>5217</v>
      </c>
      <c r="D2699" s="14">
        <v>4</v>
      </c>
      <c r="E2699" s="14" t="s">
        <v>5218</v>
      </c>
      <c r="F2699" s="14" t="s">
        <v>11</v>
      </c>
    </row>
    <row r="2700" ht="18" customHeight="1" spans="1:6">
      <c r="A2700" s="14" t="s">
        <v>4953</v>
      </c>
      <c r="B2700" s="14" t="s">
        <v>5148</v>
      </c>
      <c r="C2700" s="14" t="s">
        <v>5219</v>
      </c>
      <c r="D2700" s="14">
        <v>3</v>
      </c>
      <c r="E2700" s="14" t="s">
        <v>5220</v>
      </c>
      <c r="F2700" s="14" t="s">
        <v>11</v>
      </c>
    </row>
    <row r="2701" ht="18" customHeight="1" spans="1:6">
      <c r="A2701" s="14" t="s">
        <v>4953</v>
      </c>
      <c r="B2701" s="14" t="s">
        <v>5148</v>
      </c>
      <c r="C2701" s="14" t="s">
        <v>5221</v>
      </c>
      <c r="D2701" s="14">
        <v>4</v>
      </c>
      <c r="E2701" s="14" t="s">
        <v>5222</v>
      </c>
      <c r="F2701" s="14" t="s">
        <v>11</v>
      </c>
    </row>
    <row r="2702" ht="18" customHeight="1" spans="1:6">
      <c r="A2702" s="14" t="s">
        <v>4953</v>
      </c>
      <c r="B2702" s="14" t="s">
        <v>5148</v>
      </c>
      <c r="C2702" s="14" t="s">
        <v>5223</v>
      </c>
      <c r="D2702" s="14">
        <v>4</v>
      </c>
      <c r="E2702" s="14" t="s">
        <v>5224</v>
      </c>
      <c r="F2702" s="14" t="s">
        <v>11</v>
      </c>
    </row>
    <row r="2703" ht="18" customHeight="1" spans="1:6">
      <c r="A2703" s="14" t="s">
        <v>4953</v>
      </c>
      <c r="B2703" s="14" t="s">
        <v>5148</v>
      </c>
      <c r="C2703" s="14" t="s">
        <v>5225</v>
      </c>
      <c r="D2703" s="14">
        <v>3</v>
      </c>
      <c r="E2703" s="14" t="s">
        <v>5226</v>
      </c>
      <c r="F2703" s="14" t="s">
        <v>11</v>
      </c>
    </row>
    <row r="2704" ht="18" customHeight="1" spans="1:6">
      <c r="A2704" s="14" t="s">
        <v>4953</v>
      </c>
      <c r="B2704" s="14" t="s">
        <v>5148</v>
      </c>
      <c r="C2704" s="14" t="s">
        <v>5227</v>
      </c>
      <c r="D2704" s="14">
        <v>4</v>
      </c>
      <c r="E2704" s="14" t="s">
        <v>5228</v>
      </c>
      <c r="F2704" s="14" t="s">
        <v>11</v>
      </c>
    </row>
    <row r="2705" ht="18" customHeight="1" spans="1:6">
      <c r="A2705" s="14" t="s">
        <v>4953</v>
      </c>
      <c r="B2705" s="14" t="s">
        <v>5229</v>
      </c>
      <c r="C2705" s="14" t="s">
        <v>5230</v>
      </c>
      <c r="D2705" s="14">
        <v>2</v>
      </c>
      <c r="E2705" s="14" t="s">
        <v>5231</v>
      </c>
      <c r="F2705" s="14" t="s">
        <v>11</v>
      </c>
    </row>
    <row r="2706" ht="18" customHeight="1" spans="1:6">
      <c r="A2706" s="14" t="s">
        <v>4953</v>
      </c>
      <c r="B2706" s="14" t="s">
        <v>5229</v>
      </c>
      <c r="C2706" s="14" t="s">
        <v>5232</v>
      </c>
      <c r="D2706" s="14">
        <v>5</v>
      </c>
      <c r="E2706" s="14" t="s">
        <v>5233</v>
      </c>
      <c r="F2706" s="14" t="s">
        <v>11</v>
      </c>
    </row>
    <row r="2707" ht="18" customHeight="1" spans="1:6">
      <c r="A2707" s="14" t="s">
        <v>4953</v>
      </c>
      <c r="B2707" s="14" t="s">
        <v>5229</v>
      </c>
      <c r="C2707" s="14" t="s">
        <v>5234</v>
      </c>
      <c r="D2707" s="14">
        <v>2</v>
      </c>
      <c r="E2707" s="14" t="s">
        <v>5235</v>
      </c>
      <c r="F2707" s="14" t="s">
        <v>11</v>
      </c>
    </row>
    <row r="2708" ht="18" customHeight="1" spans="1:6">
      <c r="A2708" s="14" t="s">
        <v>4953</v>
      </c>
      <c r="B2708" s="14" t="s">
        <v>5229</v>
      </c>
      <c r="C2708" s="14" t="s">
        <v>5236</v>
      </c>
      <c r="D2708" s="14">
        <v>5</v>
      </c>
      <c r="E2708" s="14" t="s">
        <v>5237</v>
      </c>
      <c r="F2708" s="14" t="s">
        <v>11</v>
      </c>
    </row>
    <row r="2709" ht="18" customHeight="1" spans="1:6">
      <c r="A2709" s="14" t="s">
        <v>4953</v>
      </c>
      <c r="B2709" s="14" t="s">
        <v>5229</v>
      </c>
      <c r="C2709" s="14" t="s">
        <v>5238</v>
      </c>
      <c r="D2709" s="14">
        <v>3</v>
      </c>
      <c r="E2709" s="14" t="s">
        <v>5239</v>
      </c>
      <c r="F2709" s="14" t="s">
        <v>11</v>
      </c>
    </row>
    <row r="2710" ht="18" customHeight="1" spans="1:6">
      <c r="A2710" s="14" t="s">
        <v>4953</v>
      </c>
      <c r="B2710" s="14" t="s">
        <v>5229</v>
      </c>
      <c r="C2710" s="14" t="s">
        <v>5240</v>
      </c>
      <c r="D2710" s="14">
        <v>2</v>
      </c>
      <c r="E2710" s="14" t="s">
        <v>5241</v>
      </c>
      <c r="F2710" s="14" t="s">
        <v>11</v>
      </c>
    </row>
    <row r="2711" ht="18" customHeight="1" spans="1:6">
      <c r="A2711" s="14" t="s">
        <v>4953</v>
      </c>
      <c r="B2711" s="14" t="s">
        <v>5229</v>
      </c>
      <c r="C2711" s="14" t="s">
        <v>5242</v>
      </c>
      <c r="D2711" s="14">
        <v>4</v>
      </c>
      <c r="E2711" s="14" t="s">
        <v>5243</v>
      </c>
      <c r="F2711" s="14" t="s">
        <v>11</v>
      </c>
    </row>
    <row r="2712" ht="18" customHeight="1" spans="1:6">
      <c r="A2712" s="14" t="s">
        <v>4953</v>
      </c>
      <c r="B2712" s="14" t="s">
        <v>5229</v>
      </c>
      <c r="C2712" s="14" t="s">
        <v>5244</v>
      </c>
      <c r="D2712" s="14">
        <v>2</v>
      </c>
      <c r="E2712" s="14" t="s">
        <v>5245</v>
      </c>
      <c r="F2712" s="14" t="s">
        <v>11</v>
      </c>
    </row>
    <row r="2713" ht="18" customHeight="1" spans="1:6">
      <c r="A2713" s="14" t="s">
        <v>4953</v>
      </c>
      <c r="B2713" s="14" t="s">
        <v>5229</v>
      </c>
      <c r="C2713" s="14" t="s">
        <v>5246</v>
      </c>
      <c r="D2713" s="14">
        <v>4</v>
      </c>
      <c r="E2713" s="14" t="s">
        <v>5247</v>
      </c>
      <c r="F2713" s="14" t="s">
        <v>11</v>
      </c>
    </row>
    <row r="2714" ht="18" customHeight="1" spans="1:6">
      <c r="A2714" s="14" t="s">
        <v>4953</v>
      </c>
      <c r="B2714" s="14" t="s">
        <v>5229</v>
      </c>
      <c r="C2714" s="14" t="s">
        <v>5248</v>
      </c>
      <c r="D2714" s="14">
        <v>4</v>
      </c>
      <c r="E2714" s="14" t="s">
        <v>5249</v>
      </c>
      <c r="F2714" s="14" t="s">
        <v>11</v>
      </c>
    </row>
    <row r="2715" ht="18" customHeight="1" spans="1:6">
      <c r="A2715" s="14" t="s">
        <v>4953</v>
      </c>
      <c r="B2715" s="14" t="s">
        <v>5229</v>
      </c>
      <c r="C2715" s="14" t="s">
        <v>5250</v>
      </c>
      <c r="D2715" s="14">
        <v>3</v>
      </c>
      <c r="E2715" s="14" t="s">
        <v>5251</v>
      </c>
      <c r="F2715" s="14" t="s">
        <v>11</v>
      </c>
    </row>
    <row r="2716" ht="18" customHeight="1" spans="1:6">
      <c r="A2716" s="14" t="s">
        <v>4953</v>
      </c>
      <c r="B2716" s="14" t="s">
        <v>5229</v>
      </c>
      <c r="C2716" s="14" t="s">
        <v>5252</v>
      </c>
      <c r="D2716" s="14">
        <v>5</v>
      </c>
      <c r="E2716" s="14" t="s">
        <v>5253</v>
      </c>
      <c r="F2716" s="14" t="s">
        <v>11</v>
      </c>
    </row>
    <row r="2717" ht="18" customHeight="1" spans="1:6">
      <c r="A2717" s="14" t="s">
        <v>4953</v>
      </c>
      <c r="B2717" s="14" t="s">
        <v>5229</v>
      </c>
      <c r="C2717" s="14" t="s">
        <v>5254</v>
      </c>
      <c r="D2717" s="14">
        <v>4</v>
      </c>
      <c r="E2717" s="14" t="s">
        <v>5255</v>
      </c>
      <c r="F2717" s="14" t="s">
        <v>11</v>
      </c>
    </row>
    <row r="2718" ht="18" customHeight="1" spans="1:6">
      <c r="A2718" s="14" t="s">
        <v>4953</v>
      </c>
      <c r="B2718" s="14" t="s">
        <v>5229</v>
      </c>
      <c r="C2718" s="14" t="s">
        <v>5256</v>
      </c>
      <c r="D2718" s="14">
        <v>4</v>
      </c>
      <c r="E2718" s="14" t="s">
        <v>5257</v>
      </c>
      <c r="F2718" s="14" t="s">
        <v>11</v>
      </c>
    </row>
    <row r="2719" ht="18" customHeight="1" spans="1:6">
      <c r="A2719" s="14" t="s">
        <v>4953</v>
      </c>
      <c r="B2719" s="14" t="s">
        <v>5229</v>
      </c>
      <c r="C2719" s="14" t="s">
        <v>5258</v>
      </c>
      <c r="D2719" s="14">
        <v>4</v>
      </c>
      <c r="E2719" s="14" t="s">
        <v>5259</v>
      </c>
      <c r="F2719" s="14" t="s">
        <v>11</v>
      </c>
    </row>
    <row r="2720" ht="18" customHeight="1" spans="1:6">
      <c r="A2720" s="14" t="s">
        <v>4953</v>
      </c>
      <c r="B2720" s="14" t="s">
        <v>5229</v>
      </c>
      <c r="C2720" s="14" t="s">
        <v>5260</v>
      </c>
      <c r="D2720" s="14">
        <v>3</v>
      </c>
      <c r="E2720" s="14" t="s">
        <v>5261</v>
      </c>
      <c r="F2720" s="14" t="s">
        <v>11</v>
      </c>
    </row>
    <row r="2721" ht="18" customHeight="1" spans="1:6">
      <c r="A2721" s="14" t="s">
        <v>4953</v>
      </c>
      <c r="B2721" s="14" t="s">
        <v>5229</v>
      </c>
      <c r="C2721" s="14" t="s">
        <v>5262</v>
      </c>
      <c r="D2721" s="14">
        <v>5</v>
      </c>
      <c r="E2721" s="14" t="s">
        <v>5263</v>
      </c>
      <c r="F2721" s="14" t="s">
        <v>11</v>
      </c>
    </row>
    <row r="2722" ht="18" customHeight="1" spans="1:6">
      <c r="A2722" s="14" t="s">
        <v>4953</v>
      </c>
      <c r="B2722" s="14" t="s">
        <v>5229</v>
      </c>
      <c r="C2722" s="14" t="s">
        <v>5264</v>
      </c>
      <c r="D2722" s="14">
        <v>4</v>
      </c>
      <c r="E2722" s="14" t="s">
        <v>5265</v>
      </c>
      <c r="F2722" s="14" t="s">
        <v>11</v>
      </c>
    </row>
    <row r="2723" ht="18" customHeight="1" spans="1:6">
      <c r="A2723" s="14" t="s">
        <v>4953</v>
      </c>
      <c r="B2723" s="14" t="s">
        <v>5266</v>
      </c>
      <c r="C2723" s="14" t="s">
        <v>5267</v>
      </c>
      <c r="D2723" s="14">
        <v>3</v>
      </c>
      <c r="E2723" s="14" t="s">
        <v>5268</v>
      </c>
      <c r="F2723" s="14" t="s">
        <v>11</v>
      </c>
    </row>
    <row r="2724" ht="18" customHeight="1" spans="1:6">
      <c r="A2724" s="14" t="s">
        <v>4953</v>
      </c>
      <c r="B2724" s="14" t="s">
        <v>5266</v>
      </c>
      <c r="C2724" s="14" t="s">
        <v>5269</v>
      </c>
      <c r="D2724" s="14">
        <v>5</v>
      </c>
      <c r="E2724" s="14" t="s">
        <v>5270</v>
      </c>
      <c r="F2724" s="14" t="s">
        <v>11</v>
      </c>
    </row>
    <row r="2725" ht="18" customHeight="1" spans="1:6">
      <c r="A2725" s="14" t="s">
        <v>4953</v>
      </c>
      <c r="B2725" s="14" t="s">
        <v>5266</v>
      </c>
      <c r="C2725" s="14" t="s">
        <v>5271</v>
      </c>
      <c r="D2725" s="14">
        <v>1</v>
      </c>
      <c r="E2725" s="14" t="s">
        <v>5272</v>
      </c>
      <c r="F2725" s="14" t="s">
        <v>11</v>
      </c>
    </row>
    <row r="2726" ht="18" customHeight="1" spans="1:6">
      <c r="A2726" s="14" t="s">
        <v>4953</v>
      </c>
      <c r="B2726" s="14" t="s">
        <v>5266</v>
      </c>
      <c r="C2726" s="14" t="s">
        <v>5273</v>
      </c>
      <c r="D2726" s="14">
        <v>1</v>
      </c>
      <c r="E2726" s="14" t="s">
        <v>5274</v>
      </c>
      <c r="F2726" s="14" t="s">
        <v>11</v>
      </c>
    </row>
    <row r="2727" ht="18" customHeight="1" spans="1:6">
      <c r="A2727" s="14" t="s">
        <v>4953</v>
      </c>
      <c r="B2727" s="14" t="s">
        <v>5266</v>
      </c>
      <c r="C2727" s="14" t="s">
        <v>5275</v>
      </c>
      <c r="D2727" s="14">
        <v>3</v>
      </c>
      <c r="E2727" s="14" t="s">
        <v>5276</v>
      </c>
      <c r="F2727" s="14" t="s">
        <v>11</v>
      </c>
    </row>
    <row r="2728" ht="18" customHeight="1" spans="1:6">
      <c r="A2728" s="14" t="s">
        <v>4953</v>
      </c>
      <c r="B2728" s="14" t="s">
        <v>5266</v>
      </c>
      <c r="C2728" s="14" t="s">
        <v>5277</v>
      </c>
      <c r="D2728" s="14">
        <v>2</v>
      </c>
      <c r="E2728" s="14" t="s">
        <v>5278</v>
      </c>
      <c r="F2728" s="14" t="s">
        <v>11</v>
      </c>
    </row>
    <row r="2729" ht="18" customHeight="1" spans="1:6">
      <c r="A2729" s="14" t="s">
        <v>4953</v>
      </c>
      <c r="B2729" s="14" t="s">
        <v>5266</v>
      </c>
      <c r="C2729" s="14" t="s">
        <v>5279</v>
      </c>
      <c r="D2729" s="14">
        <v>5</v>
      </c>
      <c r="E2729" s="14" t="s">
        <v>5280</v>
      </c>
      <c r="F2729" s="14" t="s">
        <v>11</v>
      </c>
    </row>
    <row r="2730" ht="18" customHeight="1" spans="1:6">
      <c r="A2730" s="14" t="s">
        <v>4953</v>
      </c>
      <c r="B2730" s="14" t="s">
        <v>5266</v>
      </c>
      <c r="C2730" s="14" t="s">
        <v>5281</v>
      </c>
      <c r="D2730" s="14">
        <v>3</v>
      </c>
      <c r="E2730" s="14" t="s">
        <v>5282</v>
      </c>
      <c r="F2730" s="14" t="s">
        <v>11</v>
      </c>
    </row>
    <row r="2731" ht="18" customHeight="1" spans="1:6">
      <c r="A2731" s="14" t="s">
        <v>4953</v>
      </c>
      <c r="B2731" s="14" t="s">
        <v>5266</v>
      </c>
      <c r="C2731" s="14" t="s">
        <v>5283</v>
      </c>
      <c r="D2731" s="14">
        <v>3</v>
      </c>
      <c r="E2731" s="14" t="s">
        <v>5284</v>
      </c>
      <c r="F2731" s="14" t="s">
        <v>11</v>
      </c>
    </row>
    <row r="2732" ht="18" customHeight="1" spans="1:6">
      <c r="A2732" s="14" t="s">
        <v>4953</v>
      </c>
      <c r="B2732" s="14" t="s">
        <v>5266</v>
      </c>
      <c r="C2732" s="14" t="s">
        <v>5285</v>
      </c>
      <c r="D2732" s="14">
        <v>3</v>
      </c>
      <c r="E2732" s="14" t="s">
        <v>5286</v>
      </c>
      <c r="F2732" s="14" t="s">
        <v>11</v>
      </c>
    </row>
    <row r="2733" ht="18" customHeight="1" spans="1:6">
      <c r="A2733" s="14" t="s">
        <v>4953</v>
      </c>
      <c r="B2733" s="14" t="s">
        <v>5266</v>
      </c>
      <c r="C2733" s="14" t="s">
        <v>5287</v>
      </c>
      <c r="D2733" s="14">
        <v>2</v>
      </c>
      <c r="E2733" s="14" t="s">
        <v>5288</v>
      </c>
      <c r="F2733" s="14" t="s">
        <v>11</v>
      </c>
    </row>
    <row r="2734" ht="18" customHeight="1" spans="1:6">
      <c r="A2734" s="14" t="s">
        <v>4953</v>
      </c>
      <c r="B2734" s="14" t="s">
        <v>5266</v>
      </c>
      <c r="C2734" s="14" t="s">
        <v>5289</v>
      </c>
      <c r="D2734" s="14">
        <v>3</v>
      </c>
      <c r="E2734" s="14" t="s">
        <v>5290</v>
      </c>
      <c r="F2734" s="14" t="s">
        <v>11</v>
      </c>
    </row>
    <row r="2735" ht="18" customHeight="1" spans="1:6">
      <c r="A2735" s="14" t="s">
        <v>4953</v>
      </c>
      <c r="B2735" s="14" t="s">
        <v>5266</v>
      </c>
      <c r="C2735" s="14" t="s">
        <v>5291</v>
      </c>
      <c r="D2735" s="14">
        <v>3</v>
      </c>
      <c r="E2735" s="14" t="s">
        <v>5292</v>
      </c>
      <c r="F2735" s="14" t="s">
        <v>11</v>
      </c>
    </row>
    <row r="2736" ht="18" customHeight="1" spans="1:6">
      <c r="A2736" s="14" t="s">
        <v>4953</v>
      </c>
      <c r="B2736" s="14" t="s">
        <v>5266</v>
      </c>
      <c r="C2736" s="14" t="s">
        <v>5293</v>
      </c>
      <c r="D2736" s="14">
        <v>5</v>
      </c>
      <c r="E2736" s="14" t="s">
        <v>5294</v>
      </c>
      <c r="F2736" s="14" t="s">
        <v>11</v>
      </c>
    </row>
    <row r="2737" ht="18" customHeight="1" spans="1:6">
      <c r="A2737" s="14" t="s">
        <v>4953</v>
      </c>
      <c r="B2737" s="14" t="s">
        <v>5266</v>
      </c>
      <c r="C2737" s="14" t="s">
        <v>5295</v>
      </c>
      <c r="D2737" s="14">
        <v>3</v>
      </c>
      <c r="E2737" s="14" t="s">
        <v>5296</v>
      </c>
      <c r="F2737" s="14" t="s">
        <v>11</v>
      </c>
    </row>
    <row r="2738" ht="18" customHeight="1" spans="1:6">
      <c r="A2738" s="14" t="s">
        <v>4953</v>
      </c>
      <c r="B2738" s="14" t="s">
        <v>5266</v>
      </c>
      <c r="C2738" s="14" t="s">
        <v>5297</v>
      </c>
      <c r="D2738" s="14">
        <v>4</v>
      </c>
      <c r="E2738" s="14" t="s">
        <v>5298</v>
      </c>
      <c r="F2738" s="14" t="s">
        <v>11</v>
      </c>
    </row>
    <row r="2739" ht="18" customHeight="1" spans="1:6">
      <c r="A2739" s="14" t="s">
        <v>4953</v>
      </c>
      <c r="B2739" s="14" t="s">
        <v>5299</v>
      </c>
      <c r="C2739" s="14" t="s">
        <v>5300</v>
      </c>
      <c r="D2739" s="14">
        <v>3</v>
      </c>
      <c r="E2739" s="14" t="s">
        <v>5301</v>
      </c>
      <c r="F2739" s="14" t="s">
        <v>11</v>
      </c>
    </row>
    <row r="2740" ht="18" customHeight="1" spans="1:6">
      <c r="A2740" s="14" t="s">
        <v>4953</v>
      </c>
      <c r="B2740" s="14" t="s">
        <v>5299</v>
      </c>
      <c r="C2740" s="14" t="s">
        <v>5302</v>
      </c>
      <c r="D2740" s="14">
        <v>3</v>
      </c>
      <c r="E2740" s="14" t="s">
        <v>5303</v>
      </c>
      <c r="F2740" s="14" t="s">
        <v>11</v>
      </c>
    </row>
    <row r="2741" ht="18" customHeight="1" spans="1:6">
      <c r="A2741" s="14" t="s">
        <v>4953</v>
      </c>
      <c r="B2741" s="14" t="s">
        <v>5299</v>
      </c>
      <c r="C2741" s="14" t="s">
        <v>5304</v>
      </c>
      <c r="D2741" s="14">
        <v>2</v>
      </c>
      <c r="E2741" s="14" t="s">
        <v>5305</v>
      </c>
      <c r="F2741" s="14" t="s">
        <v>11</v>
      </c>
    </row>
    <row r="2742" ht="18" customHeight="1" spans="1:6">
      <c r="A2742" s="14" t="s">
        <v>4953</v>
      </c>
      <c r="B2742" s="14" t="s">
        <v>5299</v>
      </c>
      <c r="C2742" s="14" t="s">
        <v>5306</v>
      </c>
      <c r="D2742" s="14">
        <v>2</v>
      </c>
      <c r="E2742" s="14" t="s">
        <v>5307</v>
      </c>
      <c r="F2742" s="14" t="s">
        <v>11</v>
      </c>
    </row>
    <row r="2743" ht="18" customHeight="1" spans="1:6">
      <c r="A2743" s="14" t="s">
        <v>4953</v>
      </c>
      <c r="B2743" s="14" t="s">
        <v>5299</v>
      </c>
      <c r="C2743" s="14" t="s">
        <v>5308</v>
      </c>
      <c r="D2743" s="14">
        <v>2</v>
      </c>
      <c r="E2743" s="14" t="s">
        <v>5309</v>
      </c>
      <c r="F2743" s="14" t="s">
        <v>11</v>
      </c>
    </row>
    <row r="2744" ht="18" customHeight="1" spans="1:6">
      <c r="A2744" s="14" t="s">
        <v>4953</v>
      </c>
      <c r="B2744" s="14" t="s">
        <v>5299</v>
      </c>
      <c r="C2744" s="14" t="s">
        <v>5310</v>
      </c>
      <c r="D2744" s="14">
        <v>6</v>
      </c>
      <c r="E2744" s="14" t="s">
        <v>5311</v>
      </c>
      <c r="F2744" s="14" t="s">
        <v>11</v>
      </c>
    </row>
    <row r="2745" ht="18" customHeight="1" spans="1:6">
      <c r="A2745" s="14" t="s">
        <v>4953</v>
      </c>
      <c r="B2745" s="14" t="s">
        <v>5299</v>
      </c>
      <c r="C2745" s="14" t="s">
        <v>5312</v>
      </c>
      <c r="D2745" s="14">
        <v>5</v>
      </c>
      <c r="E2745" s="14" t="s">
        <v>5313</v>
      </c>
      <c r="F2745" s="14" t="s">
        <v>11</v>
      </c>
    </row>
    <row r="2746" ht="18" customHeight="1" spans="1:6">
      <c r="A2746" s="14" t="s">
        <v>4953</v>
      </c>
      <c r="B2746" s="14" t="s">
        <v>5299</v>
      </c>
      <c r="C2746" s="14" t="s">
        <v>5314</v>
      </c>
      <c r="D2746" s="14">
        <v>3</v>
      </c>
      <c r="E2746" s="14" t="s">
        <v>5315</v>
      </c>
      <c r="F2746" s="14" t="s">
        <v>11</v>
      </c>
    </row>
    <row r="2747" ht="18" customHeight="1" spans="1:6">
      <c r="A2747" s="14" t="s">
        <v>4953</v>
      </c>
      <c r="B2747" s="14" t="s">
        <v>5299</v>
      </c>
      <c r="C2747" s="14" t="s">
        <v>5316</v>
      </c>
      <c r="D2747" s="14">
        <v>3</v>
      </c>
      <c r="E2747" s="14" t="s">
        <v>5317</v>
      </c>
      <c r="F2747" s="14" t="s">
        <v>11</v>
      </c>
    </row>
    <row r="2748" ht="18" customHeight="1" spans="1:6">
      <c r="A2748" s="14" t="s">
        <v>4953</v>
      </c>
      <c r="B2748" s="14" t="s">
        <v>5299</v>
      </c>
      <c r="C2748" s="14" t="s">
        <v>5318</v>
      </c>
      <c r="D2748" s="14">
        <v>2</v>
      </c>
      <c r="E2748" s="14" t="s">
        <v>5319</v>
      </c>
      <c r="F2748" s="14" t="s">
        <v>11</v>
      </c>
    </row>
    <row r="2749" ht="18" customHeight="1" spans="1:6">
      <c r="A2749" s="14" t="s">
        <v>4953</v>
      </c>
      <c r="B2749" s="14" t="s">
        <v>5299</v>
      </c>
      <c r="C2749" s="14" t="s">
        <v>5320</v>
      </c>
      <c r="D2749" s="14">
        <v>3</v>
      </c>
      <c r="E2749" s="14" t="s">
        <v>5321</v>
      </c>
      <c r="F2749" s="14" t="s">
        <v>11</v>
      </c>
    </row>
    <row r="2750" ht="18" customHeight="1" spans="1:6">
      <c r="A2750" s="14" t="s">
        <v>4953</v>
      </c>
      <c r="B2750" s="14" t="s">
        <v>5299</v>
      </c>
      <c r="C2750" s="14" t="s">
        <v>5322</v>
      </c>
      <c r="D2750" s="14">
        <v>4</v>
      </c>
      <c r="E2750" s="14" t="s">
        <v>5323</v>
      </c>
      <c r="F2750" s="14" t="s">
        <v>11</v>
      </c>
    </row>
    <row r="2751" ht="18" customHeight="1" spans="1:6">
      <c r="A2751" s="14" t="s">
        <v>4953</v>
      </c>
      <c r="B2751" s="14" t="s">
        <v>5299</v>
      </c>
      <c r="C2751" s="14" t="s">
        <v>5324</v>
      </c>
      <c r="D2751" s="14">
        <v>3</v>
      </c>
      <c r="E2751" s="14" t="s">
        <v>5325</v>
      </c>
      <c r="F2751" s="14" t="s">
        <v>11</v>
      </c>
    </row>
    <row r="2752" ht="18" customHeight="1" spans="1:6">
      <c r="A2752" s="14" t="s">
        <v>4953</v>
      </c>
      <c r="B2752" s="14" t="s">
        <v>5299</v>
      </c>
      <c r="C2752" s="14" t="s">
        <v>5326</v>
      </c>
      <c r="D2752" s="14">
        <v>3</v>
      </c>
      <c r="E2752" s="14" t="s">
        <v>5327</v>
      </c>
      <c r="F2752" s="14" t="s">
        <v>11</v>
      </c>
    </row>
    <row r="2753" ht="18" customHeight="1" spans="1:6">
      <c r="A2753" s="14" t="s">
        <v>4953</v>
      </c>
      <c r="B2753" s="14" t="s">
        <v>5299</v>
      </c>
      <c r="C2753" s="14" t="s">
        <v>5328</v>
      </c>
      <c r="D2753" s="14">
        <v>4</v>
      </c>
      <c r="E2753" s="14" t="s">
        <v>5329</v>
      </c>
      <c r="F2753" s="14" t="s">
        <v>11</v>
      </c>
    </row>
    <row r="2754" ht="18" customHeight="1" spans="1:6">
      <c r="A2754" s="14" t="s">
        <v>4953</v>
      </c>
      <c r="B2754" s="14" t="s">
        <v>5299</v>
      </c>
      <c r="C2754" s="14" t="s">
        <v>5330</v>
      </c>
      <c r="D2754" s="14">
        <v>2</v>
      </c>
      <c r="E2754" s="14" t="s">
        <v>5331</v>
      </c>
      <c r="F2754" s="14" t="s">
        <v>11</v>
      </c>
    </row>
    <row r="2755" ht="18" customHeight="1" spans="1:6">
      <c r="A2755" s="14" t="s">
        <v>4953</v>
      </c>
      <c r="B2755" s="14" t="s">
        <v>5299</v>
      </c>
      <c r="C2755" s="14" t="s">
        <v>5332</v>
      </c>
      <c r="D2755" s="14">
        <v>3</v>
      </c>
      <c r="E2755" s="14" t="s">
        <v>5333</v>
      </c>
      <c r="F2755" s="14" t="s">
        <v>11</v>
      </c>
    </row>
    <row r="2756" ht="18" customHeight="1" spans="1:6">
      <c r="A2756" s="14" t="s">
        <v>4953</v>
      </c>
      <c r="B2756" s="14" t="s">
        <v>5299</v>
      </c>
      <c r="C2756" s="14" t="s">
        <v>5334</v>
      </c>
      <c r="D2756" s="14">
        <v>4</v>
      </c>
      <c r="E2756" s="14" t="s">
        <v>5335</v>
      </c>
      <c r="F2756" s="14" t="s">
        <v>11</v>
      </c>
    </row>
    <row r="2757" ht="18" customHeight="1" spans="1:6">
      <c r="A2757" s="14" t="s">
        <v>4953</v>
      </c>
      <c r="B2757" s="14" t="s">
        <v>5299</v>
      </c>
      <c r="C2757" s="14" t="s">
        <v>5336</v>
      </c>
      <c r="D2757" s="14">
        <v>5</v>
      </c>
      <c r="E2757" s="14" t="s">
        <v>5337</v>
      </c>
      <c r="F2757" s="14" t="s">
        <v>11</v>
      </c>
    </row>
    <row r="2758" ht="18" customHeight="1" spans="1:6">
      <c r="A2758" s="14" t="s">
        <v>4953</v>
      </c>
      <c r="B2758" s="14" t="s">
        <v>5299</v>
      </c>
      <c r="C2758" s="14" t="s">
        <v>5338</v>
      </c>
      <c r="D2758" s="14">
        <v>4</v>
      </c>
      <c r="E2758" s="14" t="s">
        <v>5339</v>
      </c>
      <c r="F2758" s="14" t="s">
        <v>11</v>
      </c>
    </row>
    <row r="2759" ht="18" customHeight="1" spans="1:6">
      <c r="A2759" s="14" t="s">
        <v>4953</v>
      </c>
      <c r="B2759" s="14" t="s">
        <v>5299</v>
      </c>
      <c r="C2759" s="14" t="s">
        <v>5340</v>
      </c>
      <c r="D2759" s="14">
        <v>4</v>
      </c>
      <c r="E2759" s="14" t="s">
        <v>5341</v>
      </c>
      <c r="F2759" s="14" t="s">
        <v>11</v>
      </c>
    </row>
    <row r="2760" ht="18" customHeight="1" spans="1:6">
      <c r="A2760" s="14" t="s">
        <v>4953</v>
      </c>
      <c r="B2760" s="14" t="s">
        <v>5299</v>
      </c>
      <c r="C2760" s="14" t="s">
        <v>5342</v>
      </c>
      <c r="D2760" s="14">
        <v>3</v>
      </c>
      <c r="E2760" s="14" t="s">
        <v>5343</v>
      </c>
      <c r="F2760" s="14" t="s">
        <v>11</v>
      </c>
    </row>
    <row r="2761" ht="18" customHeight="1" spans="1:6">
      <c r="A2761" s="14" t="s">
        <v>4953</v>
      </c>
      <c r="B2761" s="14" t="s">
        <v>5299</v>
      </c>
      <c r="C2761" s="14" t="s">
        <v>5344</v>
      </c>
      <c r="D2761" s="14">
        <v>5</v>
      </c>
      <c r="E2761" s="14" t="s">
        <v>5345</v>
      </c>
      <c r="F2761" s="14" t="s">
        <v>11</v>
      </c>
    </row>
    <row r="2762" ht="18" customHeight="1" spans="1:6">
      <c r="A2762" s="14" t="s">
        <v>4953</v>
      </c>
      <c r="B2762" s="14" t="s">
        <v>5299</v>
      </c>
      <c r="C2762" s="14" t="s">
        <v>5346</v>
      </c>
      <c r="D2762" s="14">
        <v>6</v>
      </c>
      <c r="E2762" s="14" t="s">
        <v>5347</v>
      </c>
      <c r="F2762" s="14" t="s">
        <v>11</v>
      </c>
    </row>
    <row r="2763" ht="18" customHeight="1" spans="1:6">
      <c r="A2763" s="14" t="s">
        <v>4953</v>
      </c>
      <c r="B2763" s="14" t="s">
        <v>5299</v>
      </c>
      <c r="C2763" s="14" t="s">
        <v>5348</v>
      </c>
      <c r="D2763" s="14">
        <v>3</v>
      </c>
      <c r="E2763" s="14" t="s">
        <v>5349</v>
      </c>
      <c r="F2763" s="14" t="s">
        <v>11</v>
      </c>
    </row>
    <row r="2764" ht="18" customHeight="1" spans="1:6">
      <c r="A2764" s="14" t="s">
        <v>4953</v>
      </c>
      <c r="B2764" s="14" t="s">
        <v>5299</v>
      </c>
      <c r="C2764" s="14" t="s">
        <v>5350</v>
      </c>
      <c r="D2764" s="14">
        <v>2</v>
      </c>
      <c r="E2764" s="14" t="s">
        <v>5351</v>
      </c>
      <c r="F2764" s="14" t="s">
        <v>11</v>
      </c>
    </row>
    <row r="2765" ht="18" customHeight="1" spans="1:6">
      <c r="A2765" s="14" t="s">
        <v>4953</v>
      </c>
      <c r="B2765" s="14" t="s">
        <v>5299</v>
      </c>
      <c r="C2765" s="14" t="s">
        <v>5352</v>
      </c>
      <c r="D2765" s="15">
        <v>3</v>
      </c>
      <c r="E2765" s="14" t="str">
        <f>LEFT("420325198410213913",19)</f>
        <v>420325198410213913</v>
      </c>
      <c r="F2765" s="14" t="s">
        <v>11</v>
      </c>
    </row>
    <row r="2766" ht="18" customHeight="1" spans="1:6">
      <c r="A2766" s="14" t="s">
        <v>4953</v>
      </c>
      <c r="B2766" s="14" t="s">
        <v>5299</v>
      </c>
      <c r="C2766" s="14" t="s">
        <v>5353</v>
      </c>
      <c r="D2766" s="14">
        <v>3</v>
      </c>
      <c r="E2766" s="14" t="s">
        <v>5354</v>
      </c>
      <c r="F2766" s="14" t="s">
        <v>11</v>
      </c>
    </row>
    <row r="2767" ht="18" customHeight="1" spans="1:6">
      <c r="A2767" s="14" t="s">
        <v>4953</v>
      </c>
      <c r="B2767" s="14" t="s">
        <v>5299</v>
      </c>
      <c r="C2767" s="14" t="s">
        <v>5355</v>
      </c>
      <c r="D2767" s="14">
        <v>3</v>
      </c>
      <c r="E2767" s="14" t="s">
        <v>5356</v>
      </c>
      <c r="F2767" s="14" t="s">
        <v>11</v>
      </c>
    </row>
    <row r="2768" ht="18" customHeight="1" spans="1:6">
      <c r="A2768" s="14" t="s">
        <v>4953</v>
      </c>
      <c r="B2768" s="14" t="s">
        <v>5357</v>
      </c>
      <c r="C2768" s="14" t="s">
        <v>5358</v>
      </c>
      <c r="D2768" s="14">
        <v>2</v>
      </c>
      <c r="E2768" s="14" t="s">
        <v>5359</v>
      </c>
      <c r="F2768" s="14" t="s">
        <v>11</v>
      </c>
    </row>
    <row r="2769" ht="18" customHeight="1" spans="1:6">
      <c r="A2769" s="14" t="s">
        <v>4953</v>
      </c>
      <c r="B2769" s="14" t="s">
        <v>5357</v>
      </c>
      <c r="C2769" s="14" t="s">
        <v>5360</v>
      </c>
      <c r="D2769" s="14">
        <v>3</v>
      </c>
      <c r="E2769" s="14" t="s">
        <v>5361</v>
      </c>
      <c r="F2769" s="14" t="s">
        <v>11</v>
      </c>
    </row>
    <row r="2770" ht="18" customHeight="1" spans="1:6">
      <c r="A2770" s="14" t="s">
        <v>4953</v>
      </c>
      <c r="B2770" s="14" t="s">
        <v>5357</v>
      </c>
      <c r="C2770" s="14" t="s">
        <v>5362</v>
      </c>
      <c r="D2770" s="14">
        <v>2</v>
      </c>
      <c r="E2770" s="14" t="s">
        <v>5363</v>
      </c>
      <c r="F2770" s="14" t="s">
        <v>11</v>
      </c>
    </row>
    <row r="2771" ht="18" customHeight="1" spans="1:6">
      <c r="A2771" s="14" t="s">
        <v>4953</v>
      </c>
      <c r="B2771" s="14" t="s">
        <v>5364</v>
      </c>
      <c r="C2771" s="14" t="s">
        <v>5365</v>
      </c>
      <c r="D2771" s="14">
        <v>2</v>
      </c>
      <c r="E2771" s="14" t="s">
        <v>5366</v>
      </c>
      <c r="F2771" s="14" t="s">
        <v>11</v>
      </c>
    </row>
    <row r="2772" ht="18" customHeight="1" spans="1:6">
      <c r="A2772" s="14" t="s">
        <v>4953</v>
      </c>
      <c r="B2772" s="14" t="s">
        <v>5364</v>
      </c>
      <c r="C2772" s="14" t="s">
        <v>5367</v>
      </c>
      <c r="D2772" s="14">
        <v>4</v>
      </c>
      <c r="E2772" s="14" t="s">
        <v>5368</v>
      </c>
      <c r="F2772" s="14" t="s">
        <v>11</v>
      </c>
    </row>
    <row r="2773" ht="18" customHeight="1" spans="1:6">
      <c r="A2773" s="14" t="s">
        <v>4953</v>
      </c>
      <c r="B2773" s="14" t="s">
        <v>5369</v>
      </c>
      <c r="C2773" s="14" t="s">
        <v>5370</v>
      </c>
      <c r="D2773" s="14">
        <v>4</v>
      </c>
      <c r="E2773" s="14" t="s">
        <v>5371</v>
      </c>
      <c r="F2773" s="14" t="s">
        <v>11</v>
      </c>
    </row>
    <row r="2774" ht="18" customHeight="1" spans="1:6">
      <c r="A2774" s="14" t="s">
        <v>4953</v>
      </c>
      <c r="B2774" s="14" t="s">
        <v>5369</v>
      </c>
      <c r="C2774" s="14" t="s">
        <v>5372</v>
      </c>
      <c r="D2774" s="14">
        <v>4</v>
      </c>
      <c r="E2774" s="14" t="s">
        <v>5373</v>
      </c>
      <c r="F2774" s="14" t="s">
        <v>11</v>
      </c>
    </row>
    <row r="2775" ht="18" customHeight="1" spans="1:6">
      <c r="A2775" s="14" t="s">
        <v>4953</v>
      </c>
      <c r="B2775" s="14" t="s">
        <v>5369</v>
      </c>
      <c r="C2775" s="14" t="s">
        <v>5374</v>
      </c>
      <c r="D2775" s="14">
        <v>3</v>
      </c>
      <c r="E2775" s="14" t="s">
        <v>5375</v>
      </c>
      <c r="F2775" s="14" t="s">
        <v>11</v>
      </c>
    </row>
    <row r="2776" ht="18" customHeight="1" spans="1:6">
      <c r="A2776" s="14" t="s">
        <v>4953</v>
      </c>
      <c r="B2776" s="14" t="s">
        <v>5376</v>
      </c>
      <c r="C2776" s="14" t="s">
        <v>5377</v>
      </c>
      <c r="D2776" s="14">
        <v>2</v>
      </c>
      <c r="E2776" s="14" t="s">
        <v>5378</v>
      </c>
      <c r="F2776" s="14" t="s">
        <v>11</v>
      </c>
    </row>
    <row r="2777" ht="18" customHeight="1" spans="1:6">
      <c r="A2777" s="14" t="s">
        <v>4953</v>
      </c>
      <c r="B2777" s="14" t="s">
        <v>5376</v>
      </c>
      <c r="C2777" s="14" t="s">
        <v>5379</v>
      </c>
      <c r="D2777" s="14">
        <v>3</v>
      </c>
      <c r="E2777" s="14" t="s">
        <v>5380</v>
      </c>
      <c r="F2777" s="14" t="s">
        <v>11</v>
      </c>
    </row>
    <row r="2778" ht="18" customHeight="1" spans="1:6">
      <c r="A2778" s="14" t="s">
        <v>4953</v>
      </c>
      <c r="B2778" s="14" t="s">
        <v>5376</v>
      </c>
      <c r="C2778" s="14" t="s">
        <v>5381</v>
      </c>
      <c r="D2778" s="14">
        <v>4</v>
      </c>
      <c r="E2778" s="14" t="s">
        <v>5382</v>
      </c>
      <c r="F2778" s="14" t="s">
        <v>11</v>
      </c>
    </row>
    <row r="2779" ht="18" customHeight="1" spans="1:6">
      <c r="A2779" s="14" t="s">
        <v>4953</v>
      </c>
      <c r="B2779" s="14" t="s">
        <v>5383</v>
      </c>
      <c r="C2779" s="14" t="s">
        <v>5384</v>
      </c>
      <c r="D2779" s="14">
        <v>5</v>
      </c>
      <c r="E2779" s="14" t="s">
        <v>5385</v>
      </c>
      <c r="F2779" s="14" t="s">
        <v>11</v>
      </c>
    </row>
    <row r="2780" ht="18" customHeight="1" spans="1:6">
      <c r="A2780" s="14" t="s">
        <v>4953</v>
      </c>
      <c r="B2780" s="14" t="s">
        <v>5376</v>
      </c>
      <c r="C2780" s="14" t="s">
        <v>5386</v>
      </c>
      <c r="D2780" s="14">
        <v>3</v>
      </c>
      <c r="E2780" s="14" t="s">
        <v>5387</v>
      </c>
      <c r="F2780" s="14" t="s">
        <v>11</v>
      </c>
    </row>
    <row r="2781" ht="18" customHeight="1" spans="1:6">
      <c r="A2781" s="14" t="s">
        <v>4953</v>
      </c>
      <c r="B2781" s="14" t="s">
        <v>5383</v>
      </c>
      <c r="C2781" s="14" t="s">
        <v>5388</v>
      </c>
      <c r="D2781" s="14">
        <v>3</v>
      </c>
      <c r="E2781" s="14" t="s">
        <v>5389</v>
      </c>
      <c r="F2781" s="14" t="s">
        <v>11</v>
      </c>
    </row>
    <row r="2782" ht="18" customHeight="1" spans="1:6">
      <c r="A2782" s="14" t="s">
        <v>4953</v>
      </c>
      <c r="B2782" s="14" t="s">
        <v>5364</v>
      </c>
      <c r="C2782" s="14" t="s">
        <v>5390</v>
      </c>
      <c r="D2782" s="14">
        <v>2</v>
      </c>
      <c r="E2782" s="14" t="s">
        <v>5391</v>
      </c>
      <c r="F2782" s="14" t="s">
        <v>11</v>
      </c>
    </row>
    <row r="2783" ht="18" customHeight="1" spans="1:6">
      <c r="A2783" s="14" t="s">
        <v>4953</v>
      </c>
      <c r="B2783" s="14" t="s">
        <v>5364</v>
      </c>
      <c r="C2783" s="14" t="s">
        <v>5392</v>
      </c>
      <c r="D2783" s="14">
        <v>7</v>
      </c>
      <c r="E2783" s="14" t="s">
        <v>5393</v>
      </c>
      <c r="F2783" s="14" t="s">
        <v>11</v>
      </c>
    </row>
    <row r="2784" ht="18" customHeight="1" spans="1:6">
      <c r="A2784" s="14" t="s">
        <v>4953</v>
      </c>
      <c r="B2784" s="14" t="s">
        <v>5376</v>
      </c>
      <c r="C2784" s="14" t="s">
        <v>5394</v>
      </c>
      <c r="D2784" s="14">
        <v>5</v>
      </c>
      <c r="E2784" s="14" t="s">
        <v>5395</v>
      </c>
      <c r="F2784" s="14" t="s">
        <v>11</v>
      </c>
    </row>
    <row r="2785" ht="18" customHeight="1" spans="1:6">
      <c r="A2785" s="14" t="s">
        <v>4953</v>
      </c>
      <c r="B2785" s="14" t="s">
        <v>5364</v>
      </c>
      <c r="C2785" s="14" t="s">
        <v>5396</v>
      </c>
      <c r="D2785" s="14">
        <v>3</v>
      </c>
      <c r="E2785" s="14" t="s">
        <v>5397</v>
      </c>
      <c r="F2785" s="14" t="s">
        <v>11</v>
      </c>
    </row>
    <row r="2786" ht="18" customHeight="1" spans="1:6">
      <c r="A2786" s="14" t="s">
        <v>4953</v>
      </c>
      <c r="B2786" s="14" t="s">
        <v>5357</v>
      </c>
      <c r="C2786" s="14" t="s">
        <v>5398</v>
      </c>
      <c r="D2786" s="14">
        <v>4</v>
      </c>
      <c r="E2786" s="14" t="s">
        <v>5399</v>
      </c>
      <c r="F2786" s="14" t="s">
        <v>11</v>
      </c>
    </row>
    <row r="2787" ht="18" customHeight="1" spans="1:6">
      <c r="A2787" s="14" t="s">
        <v>4953</v>
      </c>
      <c r="B2787" s="14" t="s">
        <v>5376</v>
      </c>
      <c r="C2787" s="14" t="s">
        <v>5400</v>
      </c>
      <c r="D2787" s="14">
        <v>4</v>
      </c>
      <c r="E2787" s="14" t="s">
        <v>5401</v>
      </c>
      <c r="F2787" s="14" t="s">
        <v>11</v>
      </c>
    </row>
    <row r="2788" ht="18" customHeight="1" spans="1:6">
      <c r="A2788" s="14" t="s">
        <v>4953</v>
      </c>
      <c r="B2788" s="14" t="s">
        <v>5364</v>
      </c>
      <c r="C2788" s="14" t="s">
        <v>5402</v>
      </c>
      <c r="D2788" s="14">
        <v>5</v>
      </c>
      <c r="E2788" s="14" t="s">
        <v>5403</v>
      </c>
      <c r="F2788" s="14" t="s">
        <v>11</v>
      </c>
    </row>
    <row r="2789" ht="18" customHeight="1" spans="1:6">
      <c r="A2789" s="14" t="s">
        <v>4953</v>
      </c>
      <c r="B2789" s="14" t="s">
        <v>5376</v>
      </c>
      <c r="C2789" s="14" t="s">
        <v>5404</v>
      </c>
      <c r="D2789" s="14">
        <v>4</v>
      </c>
      <c r="E2789" s="14" t="s">
        <v>5405</v>
      </c>
      <c r="F2789" s="14" t="s">
        <v>11</v>
      </c>
    </row>
    <row r="2790" ht="18" customHeight="1" spans="1:6">
      <c r="A2790" s="14" t="s">
        <v>4953</v>
      </c>
      <c r="B2790" s="14" t="s">
        <v>5376</v>
      </c>
      <c r="C2790" s="14" t="s">
        <v>5406</v>
      </c>
      <c r="D2790" s="14">
        <v>3</v>
      </c>
      <c r="E2790" s="14" t="s">
        <v>5407</v>
      </c>
      <c r="F2790" s="14" t="s">
        <v>11</v>
      </c>
    </row>
    <row r="2791" ht="18" customHeight="1" spans="1:6">
      <c r="A2791" s="14" t="s">
        <v>4953</v>
      </c>
      <c r="B2791" s="14" t="s">
        <v>5364</v>
      </c>
      <c r="C2791" s="14" t="s">
        <v>5408</v>
      </c>
      <c r="D2791" s="14">
        <v>2</v>
      </c>
      <c r="E2791" s="14" t="s">
        <v>5409</v>
      </c>
      <c r="F2791" s="14" t="s">
        <v>11</v>
      </c>
    </row>
    <row r="2792" ht="18" customHeight="1" spans="1:6">
      <c r="A2792" s="14" t="s">
        <v>4953</v>
      </c>
      <c r="B2792" s="14" t="s">
        <v>5376</v>
      </c>
      <c r="C2792" s="14" t="s">
        <v>5410</v>
      </c>
      <c r="D2792" s="14">
        <v>6</v>
      </c>
      <c r="E2792" s="14" t="s">
        <v>5411</v>
      </c>
      <c r="F2792" s="14" t="s">
        <v>11</v>
      </c>
    </row>
    <row r="2793" ht="18" customHeight="1" spans="1:6">
      <c r="A2793" s="14" t="s">
        <v>4953</v>
      </c>
      <c r="B2793" s="14" t="s">
        <v>5383</v>
      </c>
      <c r="C2793" s="14" t="s">
        <v>5412</v>
      </c>
      <c r="D2793" s="14">
        <v>3</v>
      </c>
      <c r="E2793" s="8" t="s">
        <v>5413</v>
      </c>
      <c r="F2793" s="14" t="s">
        <v>11</v>
      </c>
    </row>
    <row r="2794" ht="18" customHeight="1" spans="1:6">
      <c r="A2794" s="14" t="s">
        <v>4953</v>
      </c>
      <c r="B2794" s="14" t="s">
        <v>5383</v>
      </c>
      <c r="C2794" s="14" t="s">
        <v>5414</v>
      </c>
      <c r="D2794" s="14">
        <v>4</v>
      </c>
      <c r="E2794" s="14" t="s">
        <v>5415</v>
      </c>
      <c r="F2794" s="14" t="s">
        <v>11</v>
      </c>
    </row>
    <row r="2795" ht="18" customHeight="1" spans="1:6">
      <c r="A2795" s="14" t="s">
        <v>4953</v>
      </c>
      <c r="B2795" s="14" t="s">
        <v>5383</v>
      </c>
      <c r="C2795" s="14" t="s">
        <v>5416</v>
      </c>
      <c r="D2795" s="14">
        <v>5</v>
      </c>
      <c r="E2795" s="14" t="s">
        <v>5417</v>
      </c>
      <c r="F2795" s="14" t="s">
        <v>11</v>
      </c>
    </row>
    <row r="2796" ht="18" customHeight="1" spans="1:6">
      <c r="A2796" s="14" t="s">
        <v>4953</v>
      </c>
      <c r="B2796" s="14" t="s">
        <v>5383</v>
      </c>
      <c r="C2796" s="14" t="s">
        <v>5418</v>
      </c>
      <c r="D2796" s="14">
        <v>5</v>
      </c>
      <c r="E2796" s="14" t="s">
        <v>5419</v>
      </c>
      <c r="F2796" s="14" t="s">
        <v>11</v>
      </c>
    </row>
    <row r="2797" ht="18" customHeight="1" spans="1:6">
      <c r="A2797" s="14" t="s">
        <v>4953</v>
      </c>
      <c r="B2797" s="14" t="s">
        <v>5383</v>
      </c>
      <c r="C2797" s="14" t="s">
        <v>5420</v>
      </c>
      <c r="D2797" s="14">
        <v>5</v>
      </c>
      <c r="E2797" s="14" t="s">
        <v>5421</v>
      </c>
      <c r="F2797" s="14" t="s">
        <v>11</v>
      </c>
    </row>
    <row r="2798" ht="18" customHeight="1" spans="1:6">
      <c r="A2798" s="14" t="s">
        <v>4953</v>
      </c>
      <c r="B2798" s="14" t="s">
        <v>5383</v>
      </c>
      <c r="C2798" s="14" t="s">
        <v>5422</v>
      </c>
      <c r="D2798" s="14">
        <v>3</v>
      </c>
      <c r="E2798" s="14" t="s">
        <v>5423</v>
      </c>
      <c r="F2798" s="14" t="s">
        <v>11</v>
      </c>
    </row>
    <row r="2799" ht="18" customHeight="1" spans="1:6">
      <c r="A2799" s="14" t="s">
        <v>4953</v>
      </c>
      <c r="B2799" s="14" t="s">
        <v>5424</v>
      </c>
      <c r="C2799" s="14" t="s">
        <v>5425</v>
      </c>
      <c r="D2799" s="14">
        <v>3</v>
      </c>
      <c r="E2799" s="14" t="s">
        <v>5426</v>
      </c>
      <c r="F2799" s="14" t="s">
        <v>11</v>
      </c>
    </row>
    <row r="2800" ht="18" customHeight="1" spans="1:6">
      <c r="A2800" s="14" t="s">
        <v>4953</v>
      </c>
      <c r="B2800" s="14" t="s">
        <v>5424</v>
      </c>
      <c r="C2800" s="14" t="s">
        <v>5427</v>
      </c>
      <c r="D2800" s="14">
        <v>4</v>
      </c>
      <c r="E2800" s="14" t="s">
        <v>5428</v>
      </c>
      <c r="F2800" s="14" t="s">
        <v>11</v>
      </c>
    </row>
    <row r="2801" ht="18" customHeight="1" spans="1:6">
      <c r="A2801" s="14" t="s">
        <v>4953</v>
      </c>
      <c r="B2801" s="14" t="s">
        <v>5424</v>
      </c>
      <c r="C2801" s="14" t="s">
        <v>5429</v>
      </c>
      <c r="D2801" s="14">
        <v>3</v>
      </c>
      <c r="E2801" s="14" t="s">
        <v>5430</v>
      </c>
      <c r="F2801" s="14" t="s">
        <v>11</v>
      </c>
    </row>
    <row r="2802" ht="18" customHeight="1" spans="1:6">
      <c r="A2802" s="14" t="s">
        <v>4953</v>
      </c>
      <c r="B2802" s="14" t="s">
        <v>5431</v>
      </c>
      <c r="C2802" s="14" t="s">
        <v>5432</v>
      </c>
      <c r="D2802" s="14">
        <v>1</v>
      </c>
      <c r="E2802" s="14" t="s">
        <v>5433</v>
      </c>
      <c r="F2802" s="14" t="s">
        <v>11</v>
      </c>
    </row>
    <row r="2803" ht="18" customHeight="1" spans="1:6">
      <c r="A2803" s="14" t="s">
        <v>4953</v>
      </c>
      <c r="B2803" s="14" t="s">
        <v>5424</v>
      </c>
      <c r="C2803" s="14" t="s">
        <v>5434</v>
      </c>
      <c r="D2803" s="14">
        <v>5</v>
      </c>
      <c r="E2803" s="14" t="s">
        <v>5435</v>
      </c>
      <c r="F2803" s="14" t="s">
        <v>11</v>
      </c>
    </row>
    <row r="2804" ht="18" customHeight="1" spans="1:6">
      <c r="A2804" s="14" t="s">
        <v>4953</v>
      </c>
      <c r="B2804" s="14" t="s">
        <v>5424</v>
      </c>
      <c r="C2804" s="14" t="s">
        <v>5436</v>
      </c>
      <c r="D2804" s="14">
        <v>2</v>
      </c>
      <c r="E2804" s="14" t="s">
        <v>5437</v>
      </c>
      <c r="F2804" s="14" t="s">
        <v>11</v>
      </c>
    </row>
    <row r="2805" ht="18" customHeight="1" spans="1:6">
      <c r="A2805" s="14" t="s">
        <v>4953</v>
      </c>
      <c r="B2805" s="14" t="s">
        <v>5424</v>
      </c>
      <c r="C2805" s="14" t="s">
        <v>5438</v>
      </c>
      <c r="D2805" s="14">
        <v>3</v>
      </c>
      <c r="E2805" s="14" t="s">
        <v>5439</v>
      </c>
      <c r="F2805" s="14" t="s">
        <v>11</v>
      </c>
    </row>
    <row r="2806" ht="18" customHeight="1" spans="1:6">
      <c r="A2806" s="14" t="s">
        <v>4953</v>
      </c>
      <c r="B2806" s="14" t="s">
        <v>5431</v>
      </c>
      <c r="C2806" s="14" t="s">
        <v>5440</v>
      </c>
      <c r="D2806" s="14">
        <v>3</v>
      </c>
      <c r="E2806" s="14" t="s">
        <v>5441</v>
      </c>
      <c r="F2806" s="14" t="s">
        <v>11</v>
      </c>
    </row>
    <row r="2807" ht="18" customHeight="1" spans="1:6">
      <c r="A2807" s="14" t="s">
        <v>4953</v>
      </c>
      <c r="B2807" s="14" t="s">
        <v>5431</v>
      </c>
      <c r="C2807" s="14" t="s">
        <v>5442</v>
      </c>
      <c r="D2807" s="14">
        <v>4</v>
      </c>
      <c r="E2807" s="14" t="s">
        <v>5443</v>
      </c>
      <c r="F2807" s="14" t="s">
        <v>11</v>
      </c>
    </row>
    <row r="2808" ht="18" customHeight="1" spans="1:6">
      <c r="A2808" s="14" t="s">
        <v>4953</v>
      </c>
      <c r="B2808" s="14" t="s">
        <v>5431</v>
      </c>
      <c r="C2808" s="14" t="s">
        <v>5444</v>
      </c>
      <c r="D2808" s="14">
        <v>2</v>
      </c>
      <c r="E2808" s="14" t="s">
        <v>5445</v>
      </c>
      <c r="F2808" s="14" t="s">
        <v>11</v>
      </c>
    </row>
    <row r="2809" ht="18" customHeight="1" spans="1:6">
      <c r="A2809" s="14" t="s">
        <v>4953</v>
      </c>
      <c r="B2809" s="14" t="s">
        <v>5431</v>
      </c>
      <c r="C2809" s="14" t="s">
        <v>5446</v>
      </c>
      <c r="D2809" s="14">
        <v>4</v>
      </c>
      <c r="E2809" s="14" t="s">
        <v>5447</v>
      </c>
      <c r="F2809" s="14" t="s">
        <v>11</v>
      </c>
    </row>
    <row r="2810" ht="18" customHeight="1" spans="1:6">
      <c r="A2810" s="14" t="s">
        <v>4953</v>
      </c>
      <c r="B2810" s="14" t="s">
        <v>5448</v>
      </c>
      <c r="C2810" s="14" t="s">
        <v>5449</v>
      </c>
      <c r="D2810" s="14">
        <v>4</v>
      </c>
      <c r="E2810" s="14" t="s">
        <v>5450</v>
      </c>
      <c r="F2810" s="14" t="s">
        <v>11</v>
      </c>
    </row>
    <row r="2811" ht="18" customHeight="1" spans="1:6">
      <c r="A2811" s="14" t="s">
        <v>4953</v>
      </c>
      <c r="B2811" s="14" t="s">
        <v>5451</v>
      </c>
      <c r="C2811" s="14" t="s">
        <v>5452</v>
      </c>
      <c r="D2811" s="14">
        <v>1</v>
      </c>
      <c r="E2811" s="14" t="s">
        <v>5453</v>
      </c>
      <c r="F2811" s="14" t="s">
        <v>11</v>
      </c>
    </row>
    <row r="2812" ht="18" customHeight="1" spans="1:6">
      <c r="A2812" s="14" t="s">
        <v>4953</v>
      </c>
      <c r="B2812" s="14" t="s">
        <v>5454</v>
      </c>
      <c r="C2812" s="14" t="s">
        <v>5455</v>
      </c>
      <c r="D2812" s="14">
        <v>2</v>
      </c>
      <c r="E2812" s="14" t="s">
        <v>5456</v>
      </c>
      <c r="F2812" s="14" t="s">
        <v>11</v>
      </c>
    </row>
    <row r="2813" ht="18" customHeight="1" spans="1:6">
      <c r="A2813" s="14" t="s">
        <v>4953</v>
      </c>
      <c r="B2813" s="14" t="s">
        <v>5457</v>
      </c>
      <c r="C2813" s="14" t="s">
        <v>5458</v>
      </c>
      <c r="D2813" s="14">
        <v>2</v>
      </c>
      <c r="E2813" s="14" t="s">
        <v>5459</v>
      </c>
      <c r="F2813" s="14" t="s">
        <v>11</v>
      </c>
    </row>
    <row r="2814" ht="18" customHeight="1" spans="1:6">
      <c r="A2814" s="14" t="s">
        <v>4953</v>
      </c>
      <c r="B2814" s="14" t="s">
        <v>5457</v>
      </c>
      <c r="C2814" s="14" t="s">
        <v>5460</v>
      </c>
      <c r="D2814" s="14">
        <v>2</v>
      </c>
      <c r="E2814" s="14" t="s">
        <v>5461</v>
      </c>
      <c r="F2814" s="14" t="s">
        <v>11</v>
      </c>
    </row>
    <row r="2815" ht="18" customHeight="1" spans="1:6">
      <c r="A2815" s="14" t="s">
        <v>4953</v>
      </c>
      <c r="B2815" s="14" t="s">
        <v>5457</v>
      </c>
      <c r="C2815" s="14" t="s">
        <v>5462</v>
      </c>
      <c r="D2815" s="14">
        <v>2</v>
      </c>
      <c r="E2815" s="14" t="s">
        <v>5463</v>
      </c>
      <c r="F2815" s="14" t="s">
        <v>11</v>
      </c>
    </row>
    <row r="2816" ht="18" customHeight="1" spans="1:6">
      <c r="A2816" s="14" t="s">
        <v>4953</v>
      </c>
      <c r="B2816" s="14" t="s">
        <v>5457</v>
      </c>
      <c r="C2816" s="14" t="s">
        <v>5464</v>
      </c>
      <c r="D2816" s="14">
        <v>2</v>
      </c>
      <c r="E2816" s="14" t="s">
        <v>5465</v>
      </c>
      <c r="F2816" s="14" t="s">
        <v>11</v>
      </c>
    </row>
    <row r="2817" ht="18" customHeight="1" spans="1:6">
      <c r="A2817" s="14" t="s">
        <v>4953</v>
      </c>
      <c r="B2817" s="14" t="s">
        <v>5466</v>
      </c>
      <c r="C2817" s="14" t="s">
        <v>5467</v>
      </c>
      <c r="D2817" s="14">
        <v>2</v>
      </c>
      <c r="E2817" s="14" t="s">
        <v>5468</v>
      </c>
      <c r="F2817" s="14" t="s">
        <v>11</v>
      </c>
    </row>
    <row r="2818" ht="18" customHeight="1" spans="1:6">
      <c r="A2818" s="14" t="s">
        <v>4953</v>
      </c>
      <c r="B2818" s="14" t="s">
        <v>5466</v>
      </c>
      <c r="C2818" s="14" t="s">
        <v>5469</v>
      </c>
      <c r="D2818" s="14">
        <v>2</v>
      </c>
      <c r="E2818" s="14" t="s">
        <v>5470</v>
      </c>
      <c r="F2818" s="14" t="s">
        <v>11</v>
      </c>
    </row>
    <row r="2819" ht="18" customHeight="1" spans="1:6">
      <c r="A2819" s="14" t="s">
        <v>4953</v>
      </c>
      <c r="B2819" s="14" t="s">
        <v>5454</v>
      </c>
      <c r="C2819" s="14" t="s">
        <v>5471</v>
      </c>
      <c r="D2819" s="14">
        <v>3</v>
      </c>
      <c r="E2819" s="14" t="s">
        <v>5472</v>
      </c>
      <c r="F2819" s="14" t="s">
        <v>11</v>
      </c>
    </row>
    <row r="2820" ht="18" customHeight="1" spans="1:6">
      <c r="A2820" s="14" t="s">
        <v>4953</v>
      </c>
      <c r="B2820" s="14" t="s">
        <v>5473</v>
      </c>
      <c r="C2820" s="14" t="s">
        <v>5474</v>
      </c>
      <c r="D2820" s="14">
        <v>3</v>
      </c>
      <c r="E2820" s="14" t="s">
        <v>5475</v>
      </c>
      <c r="F2820" s="14" t="s">
        <v>11</v>
      </c>
    </row>
    <row r="2821" ht="18" customHeight="1" spans="1:6">
      <c r="A2821" s="14" t="s">
        <v>4953</v>
      </c>
      <c r="B2821" s="14" t="s">
        <v>5473</v>
      </c>
      <c r="C2821" s="14" t="s">
        <v>5476</v>
      </c>
      <c r="D2821" s="14">
        <v>3</v>
      </c>
      <c r="E2821" s="14" t="s">
        <v>5477</v>
      </c>
      <c r="F2821" s="14" t="s">
        <v>11</v>
      </c>
    </row>
    <row r="2822" ht="18" customHeight="1" spans="1:6">
      <c r="A2822" s="14" t="s">
        <v>4953</v>
      </c>
      <c r="B2822" s="14" t="s">
        <v>5478</v>
      </c>
      <c r="C2822" s="14" t="s">
        <v>5479</v>
      </c>
      <c r="D2822" s="14">
        <v>3</v>
      </c>
      <c r="E2822" s="14" t="s">
        <v>5480</v>
      </c>
      <c r="F2822" s="14" t="s">
        <v>11</v>
      </c>
    </row>
    <row r="2823" ht="18" customHeight="1" spans="1:6">
      <c r="A2823" s="14" t="s">
        <v>4953</v>
      </c>
      <c r="B2823" s="14" t="s">
        <v>5457</v>
      </c>
      <c r="C2823" s="14" t="s">
        <v>5481</v>
      </c>
      <c r="D2823" s="14">
        <v>3</v>
      </c>
      <c r="E2823" s="14" t="s">
        <v>5482</v>
      </c>
      <c r="F2823" s="14" t="s">
        <v>11</v>
      </c>
    </row>
    <row r="2824" ht="18" customHeight="1" spans="1:6">
      <c r="A2824" s="14" t="s">
        <v>4953</v>
      </c>
      <c r="B2824" s="14" t="s">
        <v>5454</v>
      </c>
      <c r="C2824" s="14" t="s">
        <v>5483</v>
      </c>
      <c r="D2824" s="14">
        <v>3</v>
      </c>
      <c r="E2824" s="14" t="s">
        <v>5484</v>
      </c>
      <c r="F2824" s="14" t="s">
        <v>11</v>
      </c>
    </row>
    <row r="2825" ht="18" customHeight="1" spans="1:6">
      <c r="A2825" s="14" t="s">
        <v>4953</v>
      </c>
      <c r="B2825" s="14" t="s">
        <v>5457</v>
      </c>
      <c r="C2825" s="14" t="s">
        <v>5485</v>
      </c>
      <c r="D2825" s="14">
        <v>3</v>
      </c>
      <c r="E2825" s="14" t="s">
        <v>5486</v>
      </c>
      <c r="F2825" s="14" t="s">
        <v>11</v>
      </c>
    </row>
    <row r="2826" ht="18" customHeight="1" spans="1:6">
      <c r="A2826" s="14" t="s">
        <v>4953</v>
      </c>
      <c r="B2826" s="14" t="s">
        <v>5457</v>
      </c>
      <c r="C2826" s="14" t="s">
        <v>5487</v>
      </c>
      <c r="D2826" s="14">
        <v>3</v>
      </c>
      <c r="E2826" s="14" t="s">
        <v>5488</v>
      </c>
      <c r="F2826" s="14" t="s">
        <v>11</v>
      </c>
    </row>
    <row r="2827" ht="18" customHeight="1" spans="1:6">
      <c r="A2827" s="14" t="s">
        <v>4953</v>
      </c>
      <c r="B2827" s="14" t="s">
        <v>5466</v>
      </c>
      <c r="C2827" s="14" t="s">
        <v>5489</v>
      </c>
      <c r="D2827" s="14">
        <v>3</v>
      </c>
      <c r="E2827" s="14" t="s">
        <v>5490</v>
      </c>
      <c r="F2827" s="14" t="s">
        <v>11</v>
      </c>
    </row>
    <row r="2828" ht="18" customHeight="1" spans="1:6">
      <c r="A2828" s="14" t="s">
        <v>4953</v>
      </c>
      <c r="B2828" s="14" t="s">
        <v>5454</v>
      </c>
      <c r="C2828" s="14" t="s">
        <v>5491</v>
      </c>
      <c r="D2828" s="14">
        <v>3</v>
      </c>
      <c r="E2828" s="14" t="s">
        <v>5492</v>
      </c>
      <c r="F2828" s="14" t="s">
        <v>11</v>
      </c>
    </row>
    <row r="2829" ht="18" customHeight="1" spans="1:6">
      <c r="A2829" s="14" t="s">
        <v>4953</v>
      </c>
      <c r="B2829" s="14" t="s">
        <v>5457</v>
      </c>
      <c r="C2829" s="14" t="s">
        <v>5493</v>
      </c>
      <c r="D2829" s="14">
        <v>3</v>
      </c>
      <c r="E2829" s="14" t="s">
        <v>5494</v>
      </c>
      <c r="F2829" s="14" t="s">
        <v>11</v>
      </c>
    </row>
    <row r="2830" ht="18" customHeight="1" spans="1:6">
      <c r="A2830" s="14" t="s">
        <v>4953</v>
      </c>
      <c r="B2830" s="14" t="s">
        <v>5457</v>
      </c>
      <c r="C2830" s="14" t="s">
        <v>5495</v>
      </c>
      <c r="D2830" s="14">
        <v>3</v>
      </c>
      <c r="E2830" s="14" t="s">
        <v>5496</v>
      </c>
      <c r="F2830" s="14" t="s">
        <v>11</v>
      </c>
    </row>
    <row r="2831" ht="18" customHeight="1" spans="1:6">
      <c r="A2831" s="14" t="s">
        <v>4953</v>
      </c>
      <c r="B2831" s="14" t="s">
        <v>5457</v>
      </c>
      <c r="C2831" s="14" t="s">
        <v>5497</v>
      </c>
      <c r="D2831" s="14">
        <v>3</v>
      </c>
      <c r="E2831" s="14" t="s">
        <v>5498</v>
      </c>
      <c r="F2831" s="14" t="s">
        <v>11</v>
      </c>
    </row>
    <row r="2832" ht="18" customHeight="1" spans="1:6">
      <c r="A2832" s="14" t="s">
        <v>4953</v>
      </c>
      <c r="B2832" s="14" t="s">
        <v>5457</v>
      </c>
      <c r="C2832" s="14" t="s">
        <v>5499</v>
      </c>
      <c r="D2832" s="14">
        <v>3</v>
      </c>
      <c r="E2832" s="14" t="s">
        <v>5500</v>
      </c>
      <c r="F2832" s="14" t="s">
        <v>11</v>
      </c>
    </row>
    <row r="2833" ht="18" customHeight="1" spans="1:6">
      <c r="A2833" s="14" t="s">
        <v>4953</v>
      </c>
      <c r="B2833" s="14" t="s">
        <v>5457</v>
      </c>
      <c r="C2833" s="14" t="s">
        <v>5501</v>
      </c>
      <c r="D2833" s="14">
        <v>3</v>
      </c>
      <c r="E2833" s="14" t="s">
        <v>5502</v>
      </c>
      <c r="F2833" s="14" t="s">
        <v>11</v>
      </c>
    </row>
    <row r="2834" ht="18" customHeight="1" spans="1:6">
      <c r="A2834" s="14" t="s">
        <v>4953</v>
      </c>
      <c r="B2834" s="14" t="s">
        <v>5457</v>
      </c>
      <c r="C2834" s="14" t="s">
        <v>5503</v>
      </c>
      <c r="D2834" s="14">
        <v>4</v>
      </c>
      <c r="E2834" s="14" t="s">
        <v>5504</v>
      </c>
      <c r="F2834" s="14" t="s">
        <v>11</v>
      </c>
    </row>
    <row r="2835" ht="18" customHeight="1" spans="1:6">
      <c r="A2835" s="14" t="s">
        <v>4953</v>
      </c>
      <c r="B2835" s="14" t="s">
        <v>5457</v>
      </c>
      <c r="C2835" s="14" t="s">
        <v>5505</v>
      </c>
      <c r="D2835" s="14">
        <v>3</v>
      </c>
      <c r="E2835" s="14" t="s">
        <v>5506</v>
      </c>
      <c r="F2835" s="14" t="s">
        <v>11</v>
      </c>
    </row>
    <row r="2836" ht="18" customHeight="1" spans="1:6">
      <c r="A2836" s="14" t="s">
        <v>4953</v>
      </c>
      <c r="B2836" s="14" t="s">
        <v>5457</v>
      </c>
      <c r="C2836" s="14" t="s">
        <v>5507</v>
      </c>
      <c r="D2836" s="14">
        <v>5</v>
      </c>
      <c r="E2836" s="14" t="s">
        <v>5508</v>
      </c>
      <c r="F2836" s="14" t="s">
        <v>11</v>
      </c>
    </row>
    <row r="2837" ht="18" customHeight="1" spans="1:6">
      <c r="A2837" s="14" t="s">
        <v>4953</v>
      </c>
      <c r="B2837" s="14" t="s">
        <v>5454</v>
      </c>
      <c r="C2837" s="14" t="s">
        <v>5509</v>
      </c>
      <c r="D2837" s="14">
        <v>4</v>
      </c>
      <c r="E2837" s="14" t="s">
        <v>5510</v>
      </c>
      <c r="F2837" s="14" t="s">
        <v>11</v>
      </c>
    </row>
    <row r="2838" ht="18" customHeight="1" spans="1:6">
      <c r="A2838" s="14" t="s">
        <v>4953</v>
      </c>
      <c r="B2838" s="14" t="s">
        <v>5473</v>
      </c>
      <c r="C2838" s="14" t="s">
        <v>5511</v>
      </c>
      <c r="D2838" s="14">
        <v>3</v>
      </c>
      <c r="E2838" s="14" t="s">
        <v>5512</v>
      </c>
      <c r="F2838" s="14" t="s">
        <v>11</v>
      </c>
    </row>
    <row r="2839" ht="18" customHeight="1" spans="1:6">
      <c r="A2839" s="14" t="s">
        <v>4953</v>
      </c>
      <c r="B2839" s="14" t="s">
        <v>5466</v>
      </c>
      <c r="C2839" s="14" t="s">
        <v>5513</v>
      </c>
      <c r="D2839" s="14">
        <v>3</v>
      </c>
      <c r="E2839" s="14" t="s">
        <v>5514</v>
      </c>
      <c r="F2839" s="14" t="s">
        <v>11</v>
      </c>
    </row>
    <row r="2840" ht="18" customHeight="1" spans="1:6">
      <c r="A2840" s="14" t="s">
        <v>4953</v>
      </c>
      <c r="B2840" s="14" t="s">
        <v>5473</v>
      </c>
      <c r="C2840" s="14" t="s">
        <v>5515</v>
      </c>
      <c r="D2840" s="14">
        <v>4</v>
      </c>
      <c r="E2840" s="14" t="s">
        <v>5516</v>
      </c>
      <c r="F2840" s="14" t="s">
        <v>11</v>
      </c>
    </row>
    <row r="2841" ht="18" customHeight="1" spans="1:6">
      <c r="A2841" s="14" t="s">
        <v>4953</v>
      </c>
      <c r="B2841" s="14" t="s">
        <v>5454</v>
      </c>
      <c r="C2841" s="14" t="s">
        <v>5517</v>
      </c>
      <c r="D2841" s="14">
        <v>4</v>
      </c>
      <c r="E2841" s="14" t="s">
        <v>5518</v>
      </c>
      <c r="F2841" s="14" t="s">
        <v>11</v>
      </c>
    </row>
    <row r="2842" ht="18" customHeight="1" spans="1:6">
      <c r="A2842" s="14" t="s">
        <v>4953</v>
      </c>
      <c r="B2842" s="14" t="s">
        <v>5466</v>
      </c>
      <c r="C2842" s="14" t="s">
        <v>5519</v>
      </c>
      <c r="D2842" s="14">
        <v>4</v>
      </c>
      <c r="E2842" s="14" t="s">
        <v>5520</v>
      </c>
      <c r="F2842" s="14" t="s">
        <v>11</v>
      </c>
    </row>
    <row r="2843" ht="18" customHeight="1" spans="1:6">
      <c r="A2843" s="14" t="s">
        <v>4953</v>
      </c>
      <c r="B2843" s="14" t="s">
        <v>5454</v>
      </c>
      <c r="C2843" s="14" t="s">
        <v>5521</v>
      </c>
      <c r="D2843" s="14">
        <v>4</v>
      </c>
      <c r="E2843" s="14" t="s">
        <v>5522</v>
      </c>
      <c r="F2843" s="14" t="s">
        <v>11</v>
      </c>
    </row>
    <row r="2844" ht="18" customHeight="1" spans="1:6">
      <c r="A2844" s="14" t="s">
        <v>4953</v>
      </c>
      <c r="B2844" s="14" t="s">
        <v>5454</v>
      </c>
      <c r="C2844" s="14" t="s">
        <v>5523</v>
      </c>
      <c r="D2844" s="14">
        <v>4</v>
      </c>
      <c r="E2844" s="14" t="s">
        <v>5524</v>
      </c>
      <c r="F2844" s="14" t="s">
        <v>11</v>
      </c>
    </row>
    <row r="2845" ht="18" customHeight="1" spans="1:6">
      <c r="A2845" s="14" t="s">
        <v>4953</v>
      </c>
      <c r="B2845" s="14" t="s">
        <v>5457</v>
      </c>
      <c r="C2845" s="14" t="s">
        <v>5525</v>
      </c>
      <c r="D2845" s="14">
        <v>4</v>
      </c>
      <c r="E2845" s="14" t="s">
        <v>5526</v>
      </c>
      <c r="F2845" s="14" t="s">
        <v>11</v>
      </c>
    </row>
    <row r="2846" ht="18" customHeight="1" spans="1:6">
      <c r="A2846" s="14" t="s">
        <v>4953</v>
      </c>
      <c r="B2846" s="14" t="s">
        <v>5457</v>
      </c>
      <c r="C2846" s="14" t="s">
        <v>5527</v>
      </c>
      <c r="D2846" s="14">
        <v>5</v>
      </c>
      <c r="E2846" s="14" t="s">
        <v>5528</v>
      </c>
      <c r="F2846" s="14" t="s">
        <v>11</v>
      </c>
    </row>
    <row r="2847" ht="18" customHeight="1" spans="1:6">
      <c r="A2847" s="14" t="s">
        <v>4953</v>
      </c>
      <c r="B2847" s="14" t="s">
        <v>5473</v>
      </c>
      <c r="C2847" s="14" t="s">
        <v>5529</v>
      </c>
      <c r="D2847" s="14">
        <v>4</v>
      </c>
      <c r="E2847" s="14" t="s">
        <v>5530</v>
      </c>
      <c r="F2847" s="14" t="s">
        <v>11</v>
      </c>
    </row>
    <row r="2848" ht="18" customHeight="1" spans="1:6">
      <c r="A2848" s="14" t="s">
        <v>4953</v>
      </c>
      <c r="B2848" s="14" t="s">
        <v>5473</v>
      </c>
      <c r="C2848" s="14" t="s">
        <v>5531</v>
      </c>
      <c r="D2848" s="14">
        <v>5</v>
      </c>
      <c r="E2848" s="14" t="s">
        <v>5532</v>
      </c>
      <c r="F2848" s="14" t="s">
        <v>11</v>
      </c>
    </row>
    <row r="2849" ht="18" customHeight="1" spans="1:6">
      <c r="A2849" s="14" t="s">
        <v>4953</v>
      </c>
      <c r="B2849" s="14" t="s">
        <v>5473</v>
      </c>
      <c r="C2849" s="14" t="s">
        <v>5533</v>
      </c>
      <c r="D2849" s="14">
        <v>6</v>
      </c>
      <c r="E2849" s="14" t="s">
        <v>5534</v>
      </c>
      <c r="F2849" s="14" t="s">
        <v>11</v>
      </c>
    </row>
    <row r="2850" ht="18" customHeight="1" spans="1:6">
      <c r="A2850" s="14" t="s">
        <v>4953</v>
      </c>
      <c r="B2850" s="14" t="s">
        <v>5473</v>
      </c>
      <c r="C2850" s="14" t="s">
        <v>5535</v>
      </c>
      <c r="D2850" s="14">
        <v>6</v>
      </c>
      <c r="E2850" s="14" t="s">
        <v>5536</v>
      </c>
      <c r="F2850" s="14" t="s">
        <v>11</v>
      </c>
    </row>
    <row r="2851" ht="18" customHeight="1" spans="1:6">
      <c r="A2851" s="14" t="s">
        <v>4953</v>
      </c>
      <c r="B2851" s="14" t="s">
        <v>5473</v>
      </c>
      <c r="C2851" s="14" t="s">
        <v>5537</v>
      </c>
      <c r="D2851" s="14">
        <v>5</v>
      </c>
      <c r="E2851" s="14" t="s">
        <v>5538</v>
      </c>
      <c r="F2851" s="14" t="s">
        <v>11</v>
      </c>
    </row>
    <row r="2852" ht="18" customHeight="1" spans="1:6">
      <c r="A2852" s="14" t="s">
        <v>4953</v>
      </c>
      <c r="B2852" s="14" t="s">
        <v>5473</v>
      </c>
      <c r="C2852" s="14" t="s">
        <v>5539</v>
      </c>
      <c r="D2852" s="14">
        <v>5</v>
      </c>
      <c r="E2852" s="14" t="s">
        <v>5540</v>
      </c>
      <c r="F2852" s="14" t="s">
        <v>11</v>
      </c>
    </row>
    <row r="2853" ht="18" customHeight="1" spans="1:6">
      <c r="A2853" s="14" t="s">
        <v>4953</v>
      </c>
      <c r="B2853" s="14" t="s">
        <v>5473</v>
      </c>
      <c r="C2853" s="14" t="s">
        <v>5541</v>
      </c>
      <c r="D2853" s="14">
        <v>7</v>
      </c>
      <c r="E2853" s="14" t="s">
        <v>5542</v>
      </c>
      <c r="F2853" s="14" t="s">
        <v>11</v>
      </c>
    </row>
    <row r="2854" ht="18" customHeight="1" spans="1:6">
      <c r="A2854" s="14" t="s">
        <v>4953</v>
      </c>
      <c r="B2854" s="14" t="s">
        <v>5473</v>
      </c>
      <c r="C2854" s="14" t="s">
        <v>5543</v>
      </c>
      <c r="D2854" s="14">
        <v>7</v>
      </c>
      <c r="E2854" s="14" t="s">
        <v>5544</v>
      </c>
      <c r="F2854" s="14" t="s">
        <v>11</v>
      </c>
    </row>
    <row r="2855" ht="18" customHeight="1" spans="1:6">
      <c r="A2855" s="14" t="s">
        <v>4953</v>
      </c>
      <c r="B2855" s="14" t="s">
        <v>5473</v>
      </c>
      <c r="C2855" s="14" t="s">
        <v>5545</v>
      </c>
      <c r="D2855" s="14">
        <v>6</v>
      </c>
      <c r="E2855" s="14" t="s">
        <v>5546</v>
      </c>
      <c r="F2855" s="14" t="s">
        <v>11</v>
      </c>
    </row>
    <row r="2856" ht="18" customHeight="1" spans="1:6">
      <c r="A2856" s="14" t="s">
        <v>4953</v>
      </c>
      <c r="B2856" s="14" t="s">
        <v>5473</v>
      </c>
      <c r="C2856" s="14" t="s">
        <v>5547</v>
      </c>
      <c r="D2856" s="14">
        <v>7</v>
      </c>
      <c r="E2856" s="14" t="s">
        <v>5548</v>
      </c>
      <c r="F2856" s="14" t="s">
        <v>11</v>
      </c>
    </row>
    <row r="2857" ht="18" customHeight="1" spans="1:6">
      <c r="A2857" s="14" t="s">
        <v>4953</v>
      </c>
      <c r="B2857" s="14" t="s">
        <v>5454</v>
      </c>
      <c r="C2857" s="14" t="s">
        <v>5549</v>
      </c>
      <c r="D2857" s="14">
        <v>5</v>
      </c>
      <c r="E2857" s="14" t="s">
        <v>5550</v>
      </c>
      <c r="F2857" s="14" t="s">
        <v>11</v>
      </c>
    </row>
    <row r="2858" ht="18" customHeight="1" spans="1:6">
      <c r="A2858" s="14" t="s">
        <v>4953</v>
      </c>
      <c r="B2858" s="14" t="s">
        <v>5457</v>
      </c>
      <c r="C2858" s="14" t="s">
        <v>5551</v>
      </c>
      <c r="D2858" s="14">
        <v>7</v>
      </c>
      <c r="E2858" s="14" t="s">
        <v>5552</v>
      </c>
      <c r="F2858" s="14" t="s">
        <v>11</v>
      </c>
    </row>
    <row r="2859" ht="18" customHeight="1" spans="1:6">
      <c r="A2859" s="14" t="s">
        <v>4953</v>
      </c>
      <c r="B2859" s="14" t="s">
        <v>5457</v>
      </c>
      <c r="C2859" s="14" t="s">
        <v>5553</v>
      </c>
      <c r="D2859" s="14">
        <v>6</v>
      </c>
      <c r="E2859" s="14" t="s">
        <v>5554</v>
      </c>
      <c r="F2859" s="14" t="s">
        <v>11</v>
      </c>
    </row>
    <row r="2860" ht="18" customHeight="1" spans="1:6">
      <c r="A2860" s="14" t="s">
        <v>4953</v>
      </c>
      <c r="B2860" s="14" t="s">
        <v>5457</v>
      </c>
      <c r="C2860" s="14" t="s">
        <v>5555</v>
      </c>
      <c r="D2860" s="14">
        <v>5</v>
      </c>
      <c r="E2860" s="14" t="s">
        <v>5556</v>
      </c>
      <c r="F2860" s="14" t="s">
        <v>11</v>
      </c>
    </row>
    <row r="2861" ht="18" customHeight="1" spans="1:6">
      <c r="A2861" s="14" t="s">
        <v>4953</v>
      </c>
      <c r="B2861" s="14" t="s">
        <v>5454</v>
      </c>
      <c r="C2861" s="14" t="s">
        <v>5557</v>
      </c>
      <c r="D2861" s="14">
        <v>1</v>
      </c>
      <c r="E2861" s="14" t="s">
        <v>5558</v>
      </c>
      <c r="F2861" s="14" t="s">
        <v>11</v>
      </c>
    </row>
    <row r="2862" ht="18" customHeight="1" spans="1:6">
      <c r="A2862" s="14" t="s">
        <v>4953</v>
      </c>
      <c r="B2862" s="14" t="s">
        <v>5454</v>
      </c>
      <c r="C2862" s="14" t="s">
        <v>5559</v>
      </c>
      <c r="D2862" s="14">
        <v>1</v>
      </c>
      <c r="E2862" s="14" t="s">
        <v>5560</v>
      </c>
      <c r="F2862" s="14" t="s">
        <v>11</v>
      </c>
    </row>
    <row r="2863" ht="18" customHeight="1" spans="1:6">
      <c r="A2863" s="14" t="s">
        <v>4953</v>
      </c>
      <c r="B2863" s="14" t="s">
        <v>5457</v>
      </c>
      <c r="C2863" s="14" t="s">
        <v>5561</v>
      </c>
      <c r="D2863" s="14">
        <v>1</v>
      </c>
      <c r="E2863" s="14" t="s">
        <v>5562</v>
      </c>
      <c r="F2863" s="14" t="s">
        <v>11</v>
      </c>
    </row>
    <row r="2864" ht="18" customHeight="1" spans="1:6">
      <c r="A2864" s="14" t="s">
        <v>4953</v>
      </c>
      <c r="B2864" s="14" t="s">
        <v>5457</v>
      </c>
      <c r="C2864" s="14" t="s">
        <v>5563</v>
      </c>
      <c r="D2864" s="14">
        <v>1</v>
      </c>
      <c r="E2864" s="14" t="s">
        <v>5564</v>
      </c>
      <c r="F2864" s="14" t="s">
        <v>11</v>
      </c>
    </row>
    <row r="2865" ht="18" customHeight="1" spans="1:6">
      <c r="A2865" s="14" t="s">
        <v>4953</v>
      </c>
      <c r="B2865" s="14" t="s">
        <v>5457</v>
      </c>
      <c r="C2865" s="14" t="s">
        <v>5565</v>
      </c>
      <c r="D2865" s="14">
        <v>1</v>
      </c>
      <c r="E2865" s="14" t="s">
        <v>5566</v>
      </c>
      <c r="F2865" s="14" t="s">
        <v>11</v>
      </c>
    </row>
    <row r="2866" ht="18" customHeight="1" spans="1:6">
      <c r="A2866" s="14" t="s">
        <v>4953</v>
      </c>
      <c r="B2866" s="14" t="s">
        <v>5454</v>
      </c>
      <c r="C2866" s="14" t="s">
        <v>5567</v>
      </c>
      <c r="D2866" s="14">
        <v>1</v>
      </c>
      <c r="E2866" s="14" t="s">
        <v>5568</v>
      </c>
      <c r="F2866" s="14" t="s">
        <v>11</v>
      </c>
    </row>
    <row r="2867" ht="18" customHeight="1" spans="1:6">
      <c r="A2867" s="14" t="s">
        <v>4953</v>
      </c>
      <c r="B2867" s="14" t="s">
        <v>5466</v>
      </c>
      <c r="C2867" s="14" t="s">
        <v>5569</v>
      </c>
      <c r="D2867" s="14">
        <v>1</v>
      </c>
      <c r="E2867" s="14" t="s">
        <v>5570</v>
      </c>
      <c r="F2867" s="14" t="s">
        <v>11</v>
      </c>
    </row>
    <row r="2868" ht="18" customHeight="1" spans="1:6">
      <c r="A2868" s="14" t="s">
        <v>4953</v>
      </c>
      <c r="B2868" s="14" t="s">
        <v>5466</v>
      </c>
      <c r="C2868" s="14" t="s">
        <v>5571</v>
      </c>
      <c r="D2868" s="14">
        <v>5</v>
      </c>
      <c r="E2868" s="14" t="s">
        <v>5572</v>
      </c>
      <c r="F2868" s="14" t="s">
        <v>11</v>
      </c>
    </row>
    <row r="2869" ht="18" customHeight="1" spans="1:6">
      <c r="A2869" s="14" t="s">
        <v>4953</v>
      </c>
      <c r="B2869" s="14" t="s">
        <v>5457</v>
      </c>
      <c r="C2869" s="14" t="s">
        <v>5573</v>
      </c>
      <c r="D2869" s="14">
        <v>4</v>
      </c>
      <c r="E2869" s="14" t="s">
        <v>5574</v>
      </c>
      <c r="F2869" s="14" t="s">
        <v>11</v>
      </c>
    </row>
    <row r="2870" ht="18" customHeight="1" spans="1:6">
      <c r="A2870" s="14" t="s">
        <v>4953</v>
      </c>
      <c r="B2870" s="14" t="s">
        <v>5457</v>
      </c>
      <c r="C2870" s="14" t="s">
        <v>5575</v>
      </c>
      <c r="D2870" s="14">
        <v>3</v>
      </c>
      <c r="E2870" s="14" t="s">
        <v>5576</v>
      </c>
      <c r="F2870" s="14" t="s">
        <v>11</v>
      </c>
    </row>
    <row r="2871" ht="18" customHeight="1" spans="1:6">
      <c r="A2871" s="14" t="s">
        <v>4953</v>
      </c>
      <c r="B2871" s="14" t="s">
        <v>5457</v>
      </c>
      <c r="C2871" s="14" t="s">
        <v>5577</v>
      </c>
      <c r="D2871" s="14">
        <v>1</v>
      </c>
      <c r="E2871" s="14" t="s">
        <v>5578</v>
      </c>
      <c r="F2871" s="14" t="s">
        <v>11</v>
      </c>
    </row>
    <row r="2872" ht="18" customHeight="1" spans="1:6">
      <c r="A2872" s="14" t="s">
        <v>4953</v>
      </c>
      <c r="B2872" s="14" t="s">
        <v>5457</v>
      </c>
      <c r="C2872" s="14" t="s">
        <v>5579</v>
      </c>
      <c r="D2872" s="14">
        <v>4</v>
      </c>
      <c r="E2872" s="14" t="s">
        <v>5580</v>
      </c>
      <c r="F2872" s="14" t="s">
        <v>11</v>
      </c>
    </row>
    <row r="2873" ht="18" customHeight="1" spans="1:6">
      <c r="A2873" s="14" t="s">
        <v>4953</v>
      </c>
      <c r="B2873" s="14" t="s">
        <v>5457</v>
      </c>
      <c r="C2873" s="14" t="s">
        <v>5581</v>
      </c>
      <c r="D2873" s="14">
        <v>3</v>
      </c>
      <c r="E2873" s="14" t="s">
        <v>5582</v>
      </c>
      <c r="F2873" s="14" t="s">
        <v>11</v>
      </c>
    </row>
    <row r="2874" ht="18" customHeight="1" spans="1:6">
      <c r="A2874" s="14" t="s">
        <v>4953</v>
      </c>
      <c r="B2874" s="14" t="s">
        <v>5457</v>
      </c>
      <c r="C2874" s="14" t="s">
        <v>5583</v>
      </c>
      <c r="D2874" s="14">
        <v>3</v>
      </c>
      <c r="E2874" s="14" t="s">
        <v>5584</v>
      </c>
      <c r="F2874" s="14" t="s">
        <v>11</v>
      </c>
    </row>
    <row r="2875" ht="18" customHeight="1" spans="1:6">
      <c r="A2875" s="14" t="s">
        <v>4953</v>
      </c>
      <c r="B2875" s="14" t="s">
        <v>5457</v>
      </c>
      <c r="C2875" s="14" t="s">
        <v>5585</v>
      </c>
      <c r="D2875" s="14">
        <v>3</v>
      </c>
      <c r="E2875" s="14" t="s">
        <v>5586</v>
      </c>
      <c r="F2875" s="14" t="s">
        <v>11</v>
      </c>
    </row>
    <row r="2876" ht="18" customHeight="1" spans="1:6">
      <c r="A2876" s="14" t="s">
        <v>4953</v>
      </c>
      <c r="B2876" s="14" t="s">
        <v>5457</v>
      </c>
      <c r="C2876" s="14" t="s">
        <v>5587</v>
      </c>
      <c r="D2876" s="14">
        <v>3</v>
      </c>
      <c r="E2876" s="14" t="s">
        <v>5588</v>
      </c>
      <c r="F2876" s="14" t="s">
        <v>11</v>
      </c>
    </row>
    <row r="2877" ht="18" customHeight="1" spans="1:6">
      <c r="A2877" s="14" t="s">
        <v>4953</v>
      </c>
      <c r="B2877" s="14" t="s">
        <v>5457</v>
      </c>
      <c r="C2877" s="14" t="s">
        <v>5589</v>
      </c>
      <c r="D2877" s="14">
        <v>6</v>
      </c>
      <c r="E2877" s="14" t="s">
        <v>5590</v>
      </c>
      <c r="F2877" s="14" t="s">
        <v>11</v>
      </c>
    </row>
    <row r="2878" ht="18" customHeight="1" spans="1:6">
      <c r="A2878" s="14" t="s">
        <v>4953</v>
      </c>
      <c r="B2878" s="14" t="s">
        <v>5457</v>
      </c>
      <c r="C2878" s="14" t="s">
        <v>5591</v>
      </c>
      <c r="D2878" s="14">
        <v>2</v>
      </c>
      <c r="E2878" s="14" t="s">
        <v>5592</v>
      </c>
      <c r="F2878" s="14" t="s">
        <v>11</v>
      </c>
    </row>
    <row r="2879" ht="18" customHeight="1" spans="1:6">
      <c r="A2879" s="14" t="s">
        <v>4953</v>
      </c>
      <c r="B2879" s="14" t="s">
        <v>5457</v>
      </c>
      <c r="C2879" s="14" t="s">
        <v>5593</v>
      </c>
      <c r="D2879" s="14">
        <v>7</v>
      </c>
      <c r="E2879" s="14" t="s">
        <v>5594</v>
      </c>
      <c r="F2879" s="14" t="s">
        <v>11</v>
      </c>
    </row>
    <row r="2880" ht="18" customHeight="1" spans="1:6">
      <c r="A2880" s="14" t="s">
        <v>4953</v>
      </c>
      <c r="B2880" s="14" t="s">
        <v>5457</v>
      </c>
      <c r="C2880" s="14" t="s">
        <v>5595</v>
      </c>
      <c r="D2880" s="14">
        <v>5</v>
      </c>
      <c r="E2880" s="14" t="s">
        <v>5596</v>
      </c>
      <c r="F2880" s="14" t="s">
        <v>11</v>
      </c>
    </row>
    <row r="2881" ht="18" customHeight="1" spans="1:6">
      <c r="A2881" s="14" t="s">
        <v>4953</v>
      </c>
      <c r="B2881" s="14" t="s">
        <v>5457</v>
      </c>
      <c r="C2881" s="14" t="s">
        <v>5597</v>
      </c>
      <c r="D2881" s="14">
        <v>2</v>
      </c>
      <c r="E2881" s="14" t="s">
        <v>5598</v>
      </c>
      <c r="F2881" s="14" t="s">
        <v>11</v>
      </c>
    </row>
    <row r="2882" ht="18" customHeight="1" spans="1:6">
      <c r="A2882" s="14" t="s">
        <v>4953</v>
      </c>
      <c r="B2882" s="14" t="s">
        <v>5457</v>
      </c>
      <c r="C2882" s="14" t="s">
        <v>5599</v>
      </c>
      <c r="D2882" s="14">
        <v>5</v>
      </c>
      <c r="E2882" s="14" t="s">
        <v>5600</v>
      </c>
      <c r="F2882" s="14" t="s">
        <v>11</v>
      </c>
    </row>
    <row r="2883" ht="18" customHeight="1" spans="1:6">
      <c r="A2883" s="14" t="s">
        <v>4953</v>
      </c>
      <c r="B2883" s="14" t="s">
        <v>5457</v>
      </c>
      <c r="C2883" s="14" t="s">
        <v>5601</v>
      </c>
      <c r="D2883" s="14">
        <v>4</v>
      </c>
      <c r="E2883" s="14" t="s">
        <v>5602</v>
      </c>
      <c r="F2883" s="14" t="s">
        <v>11</v>
      </c>
    </row>
    <row r="2884" ht="18" customHeight="1" spans="1:6">
      <c r="A2884" s="14" t="s">
        <v>4953</v>
      </c>
      <c r="B2884" s="14" t="s">
        <v>5457</v>
      </c>
      <c r="C2884" s="14" t="s">
        <v>5603</v>
      </c>
      <c r="D2884" s="14">
        <v>3</v>
      </c>
      <c r="E2884" s="14" t="s">
        <v>5604</v>
      </c>
      <c r="F2884" s="14" t="s">
        <v>11</v>
      </c>
    </row>
    <row r="2885" ht="18" customHeight="1" spans="1:6">
      <c r="A2885" s="14" t="s">
        <v>4953</v>
      </c>
      <c r="B2885" s="14" t="s">
        <v>5457</v>
      </c>
      <c r="C2885" s="14" t="s">
        <v>5605</v>
      </c>
      <c r="D2885" s="14">
        <v>1</v>
      </c>
      <c r="E2885" s="14" t="s">
        <v>5606</v>
      </c>
      <c r="F2885" s="14" t="s">
        <v>11</v>
      </c>
    </row>
    <row r="2886" ht="18" customHeight="1" spans="1:6">
      <c r="A2886" s="14" t="s">
        <v>4953</v>
      </c>
      <c r="B2886" s="14" t="s">
        <v>5457</v>
      </c>
      <c r="C2886" s="14" t="s">
        <v>5607</v>
      </c>
      <c r="D2886" s="14">
        <v>3</v>
      </c>
      <c r="E2886" s="14" t="s">
        <v>5608</v>
      </c>
      <c r="F2886" s="14" t="s">
        <v>11</v>
      </c>
    </row>
    <row r="2887" ht="18" customHeight="1" spans="1:6">
      <c r="A2887" s="14" t="s">
        <v>4953</v>
      </c>
      <c r="B2887" s="14" t="s">
        <v>5457</v>
      </c>
      <c r="C2887" s="14" t="s">
        <v>5609</v>
      </c>
      <c r="D2887" s="14">
        <v>5</v>
      </c>
      <c r="E2887" s="14" t="s">
        <v>5610</v>
      </c>
      <c r="F2887" s="14" t="s">
        <v>11</v>
      </c>
    </row>
    <row r="2888" ht="18" customHeight="1" spans="1:6">
      <c r="A2888" s="14" t="s">
        <v>4953</v>
      </c>
      <c r="B2888" s="14" t="s">
        <v>5454</v>
      </c>
      <c r="C2888" s="14" t="s">
        <v>5611</v>
      </c>
      <c r="D2888" s="14">
        <v>3</v>
      </c>
      <c r="E2888" s="14" t="s">
        <v>5612</v>
      </c>
      <c r="F2888" s="14" t="s">
        <v>11</v>
      </c>
    </row>
    <row r="2889" ht="18" customHeight="1" spans="1:6">
      <c r="A2889" s="14" t="s">
        <v>4953</v>
      </c>
      <c r="B2889" s="14" t="s">
        <v>5454</v>
      </c>
      <c r="C2889" s="14" t="s">
        <v>5613</v>
      </c>
      <c r="D2889" s="14">
        <v>2</v>
      </c>
      <c r="E2889" s="14" t="s">
        <v>5614</v>
      </c>
      <c r="F2889" s="14" t="s">
        <v>11</v>
      </c>
    </row>
    <row r="2890" ht="18" customHeight="1" spans="1:6">
      <c r="A2890" s="14" t="s">
        <v>4953</v>
      </c>
      <c r="B2890" s="14" t="s">
        <v>5454</v>
      </c>
      <c r="C2890" s="14" t="s">
        <v>5615</v>
      </c>
      <c r="D2890" s="14">
        <v>3</v>
      </c>
      <c r="E2890" s="14" t="s">
        <v>5616</v>
      </c>
      <c r="F2890" s="14" t="s">
        <v>11</v>
      </c>
    </row>
    <row r="2891" ht="18" customHeight="1" spans="1:6">
      <c r="A2891" s="14" t="s">
        <v>4953</v>
      </c>
      <c r="B2891" s="14" t="s">
        <v>5454</v>
      </c>
      <c r="C2891" s="14" t="s">
        <v>5617</v>
      </c>
      <c r="D2891" s="14">
        <v>2</v>
      </c>
      <c r="E2891" s="14" t="s">
        <v>5618</v>
      </c>
      <c r="F2891" s="14" t="s">
        <v>11</v>
      </c>
    </row>
    <row r="2892" ht="18" customHeight="1" spans="1:6">
      <c r="A2892" s="14" t="s">
        <v>4953</v>
      </c>
      <c r="B2892" s="14" t="s">
        <v>5454</v>
      </c>
      <c r="C2892" s="14" t="s">
        <v>5619</v>
      </c>
      <c r="D2892" s="14">
        <v>2</v>
      </c>
      <c r="E2892" s="14" t="s">
        <v>5620</v>
      </c>
      <c r="F2892" s="14" t="s">
        <v>11</v>
      </c>
    </row>
    <row r="2893" ht="18" customHeight="1" spans="1:6">
      <c r="A2893" s="14" t="s">
        <v>4953</v>
      </c>
      <c r="B2893" s="14" t="s">
        <v>5454</v>
      </c>
      <c r="C2893" s="14" t="s">
        <v>5621</v>
      </c>
      <c r="D2893" s="14">
        <v>5</v>
      </c>
      <c r="E2893" s="14" t="s">
        <v>5622</v>
      </c>
      <c r="F2893" s="14" t="s">
        <v>11</v>
      </c>
    </row>
    <row r="2894" ht="18" customHeight="1" spans="1:6">
      <c r="A2894" s="14" t="s">
        <v>4953</v>
      </c>
      <c r="B2894" s="14" t="s">
        <v>5454</v>
      </c>
      <c r="C2894" s="14" t="s">
        <v>5623</v>
      </c>
      <c r="D2894" s="14">
        <v>5</v>
      </c>
      <c r="E2894" s="14" t="s">
        <v>5624</v>
      </c>
      <c r="F2894" s="14" t="s">
        <v>11</v>
      </c>
    </row>
    <row r="2895" ht="18" customHeight="1" spans="1:6">
      <c r="A2895" s="14" t="s">
        <v>4953</v>
      </c>
      <c r="B2895" s="14" t="s">
        <v>5473</v>
      </c>
      <c r="C2895" s="14" t="s">
        <v>5625</v>
      </c>
      <c r="D2895" s="14">
        <v>2</v>
      </c>
      <c r="E2895" s="14" t="s">
        <v>5626</v>
      </c>
      <c r="F2895" s="14" t="s">
        <v>11</v>
      </c>
    </row>
    <row r="2896" ht="18" customHeight="1" spans="1:6">
      <c r="A2896" s="14" t="s">
        <v>4953</v>
      </c>
      <c r="B2896" s="14" t="s">
        <v>5473</v>
      </c>
      <c r="C2896" s="14" t="s">
        <v>5627</v>
      </c>
      <c r="D2896" s="14">
        <v>4</v>
      </c>
      <c r="E2896" s="14" t="s">
        <v>5628</v>
      </c>
      <c r="F2896" s="14" t="s">
        <v>11</v>
      </c>
    </row>
    <row r="2897" ht="18" customHeight="1" spans="1:6">
      <c r="A2897" s="14" t="s">
        <v>4953</v>
      </c>
      <c r="B2897" s="14" t="s">
        <v>5473</v>
      </c>
      <c r="C2897" s="14" t="s">
        <v>5629</v>
      </c>
      <c r="D2897" s="14">
        <v>4</v>
      </c>
      <c r="E2897" s="14" t="s">
        <v>5630</v>
      </c>
      <c r="F2897" s="14" t="s">
        <v>11</v>
      </c>
    </row>
    <row r="2898" ht="18" customHeight="1" spans="1:6">
      <c r="A2898" s="14" t="s">
        <v>4953</v>
      </c>
      <c r="B2898" s="14" t="s">
        <v>5473</v>
      </c>
      <c r="C2898" s="14" t="s">
        <v>5631</v>
      </c>
      <c r="D2898" s="14">
        <v>4</v>
      </c>
      <c r="E2898" s="14" t="s">
        <v>5632</v>
      </c>
      <c r="F2898" s="14" t="s">
        <v>11</v>
      </c>
    </row>
    <row r="2899" ht="18" customHeight="1" spans="1:6">
      <c r="A2899" s="14" t="s">
        <v>4953</v>
      </c>
      <c r="B2899" s="14" t="s">
        <v>5473</v>
      </c>
      <c r="C2899" s="14" t="s">
        <v>5633</v>
      </c>
      <c r="D2899" s="14">
        <v>5</v>
      </c>
      <c r="E2899" s="14" t="s">
        <v>5634</v>
      </c>
      <c r="F2899" s="14" t="s">
        <v>11</v>
      </c>
    </row>
    <row r="2900" ht="18" customHeight="1" spans="1:6">
      <c r="A2900" s="14" t="s">
        <v>4953</v>
      </c>
      <c r="B2900" s="14" t="s">
        <v>5473</v>
      </c>
      <c r="C2900" s="14" t="s">
        <v>5635</v>
      </c>
      <c r="D2900" s="14">
        <v>3</v>
      </c>
      <c r="E2900" s="14" t="s">
        <v>5636</v>
      </c>
      <c r="F2900" s="14" t="s">
        <v>11</v>
      </c>
    </row>
    <row r="2901" ht="18" customHeight="1" spans="1:6">
      <c r="A2901" s="14" t="s">
        <v>4953</v>
      </c>
      <c r="B2901" s="14" t="s">
        <v>5473</v>
      </c>
      <c r="C2901" s="14" t="s">
        <v>5637</v>
      </c>
      <c r="D2901" s="14">
        <v>2</v>
      </c>
      <c r="E2901" s="14" t="s">
        <v>5638</v>
      </c>
      <c r="F2901" s="14" t="s">
        <v>11</v>
      </c>
    </row>
    <row r="2902" ht="18" customHeight="1" spans="1:6">
      <c r="A2902" s="14" t="s">
        <v>4953</v>
      </c>
      <c r="B2902" s="14" t="s">
        <v>5473</v>
      </c>
      <c r="C2902" s="14" t="s">
        <v>5639</v>
      </c>
      <c r="D2902" s="14">
        <v>3</v>
      </c>
      <c r="E2902" s="14" t="s">
        <v>5640</v>
      </c>
      <c r="F2902" s="14" t="s">
        <v>11</v>
      </c>
    </row>
    <row r="2903" ht="18" customHeight="1" spans="1:6">
      <c r="A2903" s="14" t="s">
        <v>4953</v>
      </c>
      <c r="B2903" s="14" t="s">
        <v>5466</v>
      </c>
      <c r="C2903" s="14" t="s">
        <v>5641</v>
      </c>
      <c r="D2903" s="14">
        <v>2</v>
      </c>
      <c r="E2903" s="14" t="s">
        <v>5642</v>
      </c>
      <c r="F2903" s="14" t="s">
        <v>11</v>
      </c>
    </row>
    <row r="2904" ht="18" customHeight="1" spans="1:6">
      <c r="A2904" s="14" t="s">
        <v>4953</v>
      </c>
      <c r="B2904" s="14" t="s">
        <v>5466</v>
      </c>
      <c r="C2904" s="14" t="s">
        <v>5643</v>
      </c>
      <c r="D2904" s="14">
        <v>4</v>
      </c>
      <c r="E2904" s="14" t="s">
        <v>5644</v>
      </c>
      <c r="F2904" s="14" t="s">
        <v>11</v>
      </c>
    </row>
    <row r="2905" ht="18" customHeight="1" spans="1:6">
      <c r="A2905" s="14" t="s">
        <v>4953</v>
      </c>
      <c r="B2905" s="14" t="s">
        <v>5457</v>
      </c>
      <c r="C2905" s="14" t="s">
        <v>5645</v>
      </c>
      <c r="D2905" s="14">
        <v>3</v>
      </c>
      <c r="E2905" s="14" t="s">
        <v>5646</v>
      </c>
      <c r="F2905" s="14" t="s">
        <v>11</v>
      </c>
    </row>
    <row r="2906" ht="18" customHeight="1" spans="1:6">
      <c r="A2906" s="14" t="s">
        <v>4953</v>
      </c>
      <c r="B2906" s="14" t="s">
        <v>5457</v>
      </c>
      <c r="C2906" s="14" t="s">
        <v>5647</v>
      </c>
      <c r="D2906" s="14">
        <v>5</v>
      </c>
      <c r="E2906" s="14" t="s">
        <v>5648</v>
      </c>
      <c r="F2906" s="14" t="s">
        <v>11</v>
      </c>
    </row>
    <row r="2907" ht="18" customHeight="1" spans="1:6">
      <c r="A2907" s="14" t="s">
        <v>4953</v>
      </c>
      <c r="B2907" s="14" t="s">
        <v>5457</v>
      </c>
      <c r="C2907" s="14" t="s">
        <v>5649</v>
      </c>
      <c r="D2907" s="14">
        <v>1</v>
      </c>
      <c r="E2907" s="14" t="s">
        <v>5650</v>
      </c>
      <c r="F2907" s="14" t="s">
        <v>11</v>
      </c>
    </row>
    <row r="2908" ht="18" customHeight="1" spans="1:6">
      <c r="A2908" s="14" t="s">
        <v>4953</v>
      </c>
      <c r="B2908" s="14" t="s">
        <v>5466</v>
      </c>
      <c r="C2908" s="14" t="s">
        <v>5651</v>
      </c>
      <c r="D2908" s="14">
        <v>3</v>
      </c>
      <c r="E2908" s="14" t="s">
        <v>5652</v>
      </c>
      <c r="F2908" s="14" t="s">
        <v>11</v>
      </c>
    </row>
    <row r="2909" ht="18" customHeight="1" spans="1:6">
      <c r="A2909" s="14" t="s">
        <v>4953</v>
      </c>
      <c r="B2909" s="14" t="s">
        <v>5473</v>
      </c>
      <c r="C2909" s="14" t="s">
        <v>5653</v>
      </c>
      <c r="D2909" s="14">
        <v>4</v>
      </c>
      <c r="E2909" s="14" t="s">
        <v>5654</v>
      </c>
      <c r="F2909" s="14" t="s">
        <v>11</v>
      </c>
    </row>
    <row r="2910" ht="18" customHeight="1" spans="1:6">
      <c r="A2910" s="14" t="s">
        <v>4953</v>
      </c>
      <c r="B2910" s="14" t="s">
        <v>5473</v>
      </c>
      <c r="C2910" s="14" t="s">
        <v>5655</v>
      </c>
      <c r="D2910" s="14">
        <v>5</v>
      </c>
      <c r="E2910" s="14" t="s">
        <v>5656</v>
      </c>
      <c r="F2910" s="14" t="s">
        <v>11</v>
      </c>
    </row>
    <row r="2911" ht="18" customHeight="1" spans="1:6">
      <c r="A2911" s="14" t="s">
        <v>4953</v>
      </c>
      <c r="B2911" s="14" t="s">
        <v>5454</v>
      </c>
      <c r="C2911" s="14" t="s">
        <v>5657</v>
      </c>
      <c r="D2911" s="14">
        <v>3</v>
      </c>
      <c r="E2911" s="14" t="s">
        <v>5658</v>
      </c>
      <c r="F2911" s="14" t="s">
        <v>11</v>
      </c>
    </row>
    <row r="2912" ht="18" customHeight="1" spans="1:6">
      <c r="A2912" s="14" t="s">
        <v>4953</v>
      </c>
      <c r="B2912" s="14" t="s">
        <v>5454</v>
      </c>
      <c r="C2912" s="14" t="s">
        <v>5659</v>
      </c>
      <c r="D2912" s="14">
        <v>5</v>
      </c>
      <c r="E2912" s="14" t="s">
        <v>5660</v>
      </c>
      <c r="F2912" s="14" t="s">
        <v>11</v>
      </c>
    </row>
    <row r="2913" ht="18" customHeight="1" spans="1:6">
      <c r="A2913" s="14" t="s">
        <v>4953</v>
      </c>
      <c r="B2913" s="14" t="s">
        <v>5466</v>
      </c>
      <c r="C2913" s="14" t="s">
        <v>5661</v>
      </c>
      <c r="D2913" s="14">
        <v>3</v>
      </c>
      <c r="E2913" s="14" t="s">
        <v>5662</v>
      </c>
      <c r="F2913" s="14" t="s">
        <v>11</v>
      </c>
    </row>
    <row r="2914" ht="18" customHeight="1" spans="1:6">
      <c r="A2914" s="14" t="s">
        <v>4953</v>
      </c>
      <c r="B2914" s="14" t="s">
        <v>5466</v>
      </c>
      <c r="C2914" s="14" t="s">
        <v>5663</v>
      </c>
      <c r="D2914" s="14">
        <v>1</v>
      </c>
      <c r="E2914" s="14" t="s">
        <v>5664</v>
      </c>
      <c r="F2914" s="14" t="s">
        <v>11</v>
      </c>
    </row>
    <row r="2915" ht="18" customHeight="1" spans="1:6">
      <c r="A2915" s="14" t="s">
        <v>4953</v>
      </c>
      <c r="B2915" s="14" t="s">
        <v>5466</v>
      </c>
      <c r="C2915" s="14" t="s">
        <v>5665</v>
      </c>
      <c r="D2915" s="14">
        <v>1</v>
      </c>
      <c r="E2915" s="14" t="s">
        <v>5666</v>
      </c>
      <c r="F2915" s="14" t="s">
        <v>11</v>
      </c>
    </row>
    <row r="2916" ht="18" customHeight="1" spans="1:6">
      <c r="A2916" s="14" t="s">
        <v>4953</v>
      </c>
      <c r="B2916" s="14" t="s">
        <v>5466</v>
      </c>
      <c r="C2916" s="14" t="s">
        <v>5667</v>
      </c>
      <c r="D2916" s="14">
        <v>1</v>
      </c>
      <c r="E2916" s="14" t="s">
        <v>5668</v>
      </c>
      <c r="F2916" s="14" t="s">
        <v>11</v>
      </c>
    </row>
    <row r="2917" ht="18" customHeight="1" spans="1:6">
      <c r="A2917" s="14" t="s">
        <v>4953</v>
      </c>
      <c r="B2917" s="14" t="s">
        <v>5466</v>
      </c>
      <c r="C2917" s="14" t="s">
        <v>5669</v>
      </c>
      <c r="D2917" s="14">
        <v>1</v>
      </c>
      <c r="E2917" s="14" t="s">
        <v>5670</v>
      </c>
      <c r="F2917" s="14" t="s">
        <v>11</v>
      </c>
    </row>
    <row r="2918" ht="18" customHeight="1" spans="1:6">
      <c r="A2918" s="14" t="s">
        <v>4953</v>
      </c>
      <c r="B2918" s="14" t="s">
        <v>5466</v>
      </c>
      <c r="C2918" s="14" t="s">
        <v>5671</v>
      </c>
      <c r="D2918" s="14">
        <v>1</v>
      </c>
      <c r="E2918" s="14" t="s">
        <v>5672</v>
      </c>
      <c r="F2918" s="14" t="s">
        <v>11</v>
      </c>
    </row>
    <row r="2919" ht="18" customHeight="1" spans="1:6">
      <c r="A2919" s="14" t="s">
        <v>4953</v>
      </c>
      <c r="B2919" s="14" t="s">
        <v>5466</v>
      </c>
      <c r="C2919" s="14" t="s">
        <v>5673</v>
      </c>
      <c r="D2919" s="14">
        <v>1</v>
      </c>
      <c r="E2919" s="14" t="s">
        <v>5674</v>
      </c>
      <c r="F2919" s="14" t="s">
        <v>11</v>
      </c>
    </row>
    <row r="2920" ht="18" customHeight="1" spans="1:6">
      <c r="A2920" s="14" t="s">
        <v>4953</v>
      </c>
      <c r="B2920" s="14" t="s">
        <v>5466</v>
      </c>
      <c r="C2920" s="14" t="s">
        <v>5675</v>
      </c>
      <c r="D2920" s="14">
        <v>1</v>
      </c>
      <c r="E2920" s="14" t="s">
        <v>5676</v>
      </c>
      <c r="F2920" s="14" t="s">
        <v>11</v>
      </c>
    </row>
    <row r="2921" ht="18" customHeight="1" spans="1:6">
      <c r="A2921" s="14" t="s">
        <v>4953</v>
      </c>
      <c r="B2921" s="14" t="s">
        <v>5466</v>
      </c>
      <c r="C2921" s="14" t="s">
        <v>5677</v>
      </c>
      <c r="D2921" s="14">
        <v>1</v>
      </c>
      <c r="E2921" s="14" t="s">
        <v>5678</v>
      </c>
      <c r="F2921" s="14" t="s">
        <v>11</v>
      </c>
    </row>
    <row r="2922" ht="18" customHeight="1" spans="1:6">
      <c r="A2922" s="14" t="s">
        <v>4953</v>
      </c>
      <c r="B2922" s="14" t="s">
        <v>5466</v>
      </c>
      <c r="C2922" s="14" t="s">
        <v>5679</v>
      </c>
      <c r="D2922" s="14">
        <v>1</v>
      </c>
      <c r="E2922" s="14" t="s">
        <v>5680</v>
      </c>
      <c r="F2922" s="14" t="s">
        <v>11</v>
      </c>
    </row>
    <row r="2923" ht="18" customHeight="1" spans="1:6">
      <c r="A2923" s="14" t="s">
        <v>4953</v>
      </c>
      <c r="B2923" s="14" t="s">
        <v>5466</v>
      </c>
      <c r="C2923" s="14" t="s">
        <v>5681</v>
      </c>
      <c r="D2923" s="14">
        <v>1</v>
      </c>
      <c r="E2923" s="14" t="s">
        <v>5682</v>
      </c>
      <c r="F2923" s="14" t="s">
        <v>11</v>
      </c>
    </row>
    <row r="2924" ht="18" customHeight="1" spans="1:6">
      <c r="A2924" s="14" t="s">
        <v>4953</v>
      </c>
      <c r="B2924" s="14" t="s">
        <v>5466</v>
      </c>
      <c r="C2924" s="14" t="s">
        <v>5683</v>
      </c>
      <c r="D2924" s="14">
        <v>1</v>
      </c>
      <c r="E2924" s="14" t="s">
        <v>5684</v>
      </c>
      <c r="F2924" s="14" t="s">
        <v>11</v>
      </c>
    </row>
    <row r="2925" ht="18" customHeight="1" spans="1:6">
      <c r="A2925" s="14" t="s">
        <v>4953</v>
      </c>
      <c r="B2925" s="14" t="s">
        <v>5466</v>
      </c>
      <c r="C2925" s="14" t="s">
        <v>5685</v>
      </c>
      <c r="D2925" s="14">
        <v>1</v>
      </c>
      <c r="E2925" s="14" t="s">
        <v>5686</v>
      </c>
      <c r="F2925" s="14" t="s">
        <v>11</v>
      </c>
    </row>
    <row r="2926" ht="18" customHeight="1" spans="1:6">
      <c r="A2926" s="14" t="s">
        <v>4953</v>
      </c>
      <c r="B2926" s="14" t="s">
        <v>5466</v>
      </c>
      <c r="C2926" s="14" t="s">
        <v>5687</v>
      </c>
      <c r="D2926" s="14">
        <v>1</v>
      </c>
      <c r="E2926" s="14" t="s">
        <v>5688</v>
      </c>
      <c r="F2926" s="14" t="s">
        <v>11</v>
      </c>
    </row>
    <row r="2927" ht="18" customHeight="1" spans="1:6">
      <c r="A2927" s="14" t="s">
        <v>4953</v>
      </c>
      <c r="B2927" s="14" t="s">
        <v>5466</v>
      </c>
      <c r="C2927" s="14" t="s">
        <v>5689</v>
      </c>
      <c r="D2927" s="14">
        <v>3</v>
      </c>
      <c r="E2927" s="14" t="s">
        <v>5690</v>
      </c>
      <c r="F2927" s="14" t="s">
        <v>11</v>
      </c>
    </row>
    <row r="2928" ht="18" customHeight="1" spans="1:6">
      <c r="A2928" s="14" t="s">
        <v>4953</v>
      </c>
      <c r="B2928" s="14" t="s">
        <v>5466</v>
      </c>
      <c r="C2928" s="14" t="s">
        <v>5691</v>
      </c>
      <c r="D2928" s="14">
        <v>1</v>
      </c>
      <c r="E2928" s="14" t="s">
        <v>5692</v>
      </c>
      <c r="F2928" s="14" t="s">
        <v>11</v>
      </c>
    </row>
    <row r="2929" ht="18" customHeight="1" spans="1:6">
      <c r="A2929" s="14" t="s">
        <v>4953</v>
      </c>
      <c r="B2929" s="14" t="s">
        <v>5466</v>
      </c>
      <c r="C2929" s="14" t="s">
        <v>5693</v>
      </c>
      <c r="D2929" s="14">
        <v>1</v>
      </c>
      <c r="E2929" s="14" t="s">
        <v>5694</v>
      </c>
      <c r="F2929" s="14" t="s">
        <v>11</v>
      </c>
    </row>
    <row r="2930" ht="18" customHeight="1" spans="1:6">
      <c r="A2930" s="14" t="s">
        <v>4953</v>
      </c>
      <c r="B2930" s="14" t="s">
        <v>5466</v>
      </c>
      <c r="C2930" s="14" t="s">
        <v>5695</v>
      </c>
      <c r="D2930" s="14">
        <v>1</v>
      </c>
      <c r="E2930" s="14" t="s">
        <v>5696</v>
      </c>
      <c r="F2930" s="14" t="s">
        <v>11</v>
      </c>
    </row>
    <row r="2931" ht="18" customHeight="1" spans="1:6">
      <c r="A2931" s="14" t="s">
        <v>4953</v>
      </c>
      <c r="B2931" s="14" t="s">
        <v>5466</v>
      </c>
      <c r="C2931" s="14" t="s">
        <v>5697</v>
      </c>
      <c r="D2931" s="14">
        <v>1</v>
      </c>
      <c r="E2931" s="14" t="s">
        <v>5698</v>
      </c>
      <c r="F2931" s="14" t="s">
        <v>11</v>
      </c>
    </row>
    <row r="2932" ht="18" customHeight="1" spans="1:6">
      <c r="A2932" s="14" t="s">
        <v>4953</v>
      </c>
      <c r="B2932" s="14" t="s">
        <v>5466</v>
      </c>
      <c r="C2932" s="14" t="s">
        <v>5699</v>
      </c>
      <c r="D2932" s="14">
        <v>1</v>
      </c>
      <c r="E2932" s="14" t="s">
        <v>5700</v>
      </c>
      <c r="F2932" s="14" t="s">
        <v>11</v>
      </c>
    </row>
    <row r="2933" ht="18" customHeight="1" spans="1:6">
      <c r="A2933" s="14" t="s">
        <v>4953</v>
      </c>
      <c r="B2933" s="14" t="s">
        <v>5466</v>
      </c>
      <c r="C2933" s="14" t="s">
        <v>5701</v>
      </c>
      <c r="D2933" s="14">
        <v>2</v>
      </c>
      <c r="E2933" s="14" t="s">
        <v>5702</v>
      </c>
      <c r="F2933" s="14" t="s">
        <v>11</v>
      </c>
    </row>
    <row r="2934" ht="18" customHeight="1" spans="1:6">
      <c r="A2934" s="14" t="s">
        <v>4953</v>
      </c>
      <c r="B2934" s="14" t="s">
        <v>5466</v>
      </c>
      <c r="C2934" s="14" t="s">
        <v>5703</v>
      </c>
      <c r="D2934" s="14">
        <v>1</v>
      </c>
      <c r="E2934" s="14" t="s">
        <v>5704</v>
      </c>
      <c r="F2934" s="14" t="s">
        <v>11</v>
      </c>
    </row>
    <row r="2935" ht="18" customHeight="1" spans="1:6">
      <c r="A2935" s="14" t="s">
        <v>4953</v>
      </c>
      <c r="B2935" s="14" t="s">
        <v>5466</v>
      </c>
      <c r="C2935" s="14" t="s">
        <v>5705</v>
      </c>
      <c r="D2935" s="14">
        <v>1</v>
      </c>
      <c r="E2935" s="14" t="s">
        <v>5706</v>
      </c>
      <c r="F2935" s="14" t="s">
        <v>11</v>
      </c>
    </row>
    <row r="2936" ht="18" customHeight="1" spans="1:6">
      <c r="A2936" s="14" t="s">
        <v>4953</v>
      </c>
      <c r="B2936" s="14" t="s">
        <v>5466</v>
      </c>
      <c r="C2936" s="14" t="s">
        <v>5707</v>
      </c>
      <c r="D2936" s="14">
        <v>1</v>
      </c>
      <c r="E2936" s="14" t="s">
        <v>5708</v>
      </c>
      <c r="F2936" s="14" t="s">
        <v>11</v>
      </c>
    </row>
    <row r="2937" ht="18" customHeight="1" spans="1:6">
      <c r="A2937" s="14" t="s">
        <v>4953</v>
      </c>
      <c r="B2937" s="14" t="s">
        <v>5466</v>
      </c>
      <c r="C2937" s="14" t="s">
        <v>5709</v>
      </c>
      <c r="D2937" s="14">
        <v>1</v>
      </c>
      <c r="E2937" s="14" t="s">
        <v>5710</v>
      </c>
      <c r="F2937" s="14" t="s">
        <v>11</v>
      </c>
    </row>
    <row r="2938" ht="18" customHeight="1" spans="1:6">
      <c r="A2938" s="14" t="s">
        <v>4953</v>
      </c>
      <c r="B2938" s="14" t="s">
        <v>5466</v>
      </c>
      <c r="C2938" s="14" t="s">
        <v>5711</v>
      </c>
      <c r="D2938" s="14">
        <v>1</v>
      </c>
      <c r="E2938" s="14" t="s">
        <v>5712</v>
      </c>
      <c r="F2938" s="14" t="s">
        <v>11</v>
      </c>
    </row>
    <row r="2939" ht="18" customHeight="1" spans="1:6">
      <c r="A2939" s="14" t="s">
        <v>4953</v>
      </c>
      <c r="B2939" s="14" t="s">
        <v>5466</v>
      </c>
      <c r="C2939" s="14" t="s">
        <v>5713</v>
      </c>
      <c r="D2939" s="14">
        <v>1</v>
      </c>
      <c r="E2939" s="14" t="s">
        <v>5714</v>
      </c>
      <c r="F2939" s="14" t="s">
        <v>11</v>
      </c>
    </row>
    <row r="2940" ht="18" customHeight="1" spans="1:6">
      <c r="A2940" s="14" t="s">
        <v>4953</v>
      </c>
      <c r="B2940" s="14" t="s">
        <v>5466</v>
      </c>
      <c r="C2940" s="14" t="s">
        <v>5715</v>
      </c>
      <c r="D2940" s="14">
        <v>1</v>
      </c>
      <c r="E2940" s="14" t="s">
        <v>5716</v>
      </c>
      <c r="F2940" s="14" t="s">
        <v>11</v>
      </c>
    </row>
    <row r="2941" ht="18" customHeight="1" spans="1:6">
      <c r="A2941" s="14" t="s">
        <v>4953</v>
      </c>
      <c r="B2941" s="14" t="s">
        <v>5466</v>
      </c>
      <c r="C2941" s="14" t="s">
        <v>5717</v>
      </c>
      <c r="D2941" s="14">
        <v>1</v>
      </c>
      <c r="E2941" s="14" t="s">
        <v>5718</v>
      </c>
      <c r="F2941" s="14" t="s">
        <v>11</v>
      </c>
    </row>
    <row r="2942" ht="18" customHeight="1" spans="1:6">
      <c r="A2942" s="14" t="s">
        <v>4953</v>
      </c>
      <c r="B2942" s="14" t="s">
        <v>5466</v>
      </c>
      <c r="C2942" s="14" t="s">
        <v>5719</v>
      </c>
      <c r="D2942" s="14">
        <v>1</v>
      </c>
      <c r="E2942" s="14" t="s">
        <v>5720</v>
      </c>
      <c r="F2942" s="14" t="s">
        <v>11</v>
      </c>
    </row>
    <row r="2943" ht="18" customHeight="1" spans="1:6">
      <c r="A2943" s="14" t="s">
        <v>4953</v>
      </c>
      <c r="B2943" s="14" t="s">
        <v>5466</v>
      </c>
      <c r="C2943" s="14" t="s">
        <v>5721</v>
      </c>
      <c r="D2943" s="14">
        <v>1</v>
      </c>
      <c r="E2943" s="14" t="s">
        <v>5722</v>
      </c>
      <c r="F2943" s="14" t="s">
        <v>11</v>
      </c>
    </row>
    <row r="2944" ht="18" customHeight="1" spans="1:6">
      <c r="A2944" s="14" t="s">
        <v>4953</v>
      </c>
      <c r="B2944" s="14" t="s">
        <v>5466</v>
      </c>
      <c r="C2944" s="14" t="s">
        <v>5723</v>
      </c>
      <c r="D2944" s="14">
        <v>1</v>
      </c>
      <c r="E2944" s="14" t="s">
        <v>5724</v>
      </c>
      <c r="F2944" s="14" t="s">
        <v>11</v>
      </c>
    </row>
    <row r="2945" ht="18" customHeight="1" spans="1:6">
      <c r="A2945" s="14" t="s">
        <v>4953</v>
      </c>
      <c r="B2945" s="14" t="s">
        <v>5466</v>
      </c>
      <c r="C2945" s="14" t="s">
        <v>5725</v>
      </c>
      <c r="D2945" s="14">
        <v>1</v>
      </c>
      <c r="E2945" s="14" t="s">
        <v>5726</v>
      </c>
      <c r="F2945" s="14" t="s">
        <v>11</v>
      </c>
    </row>
    <row r="2946" ht="18" customHeight="1" spans="1:6">
      <c r="A2946" s="14" t="s">
        <v>4953</v>
      </c>
      <c r="B2946" s="14" t="s">
        <v>5473</v>
      </c>
      <c r="C2946" s="14" t="s">
        <v>5727</v>
      </c>
      <c r="D2946" s="14">
        <v>3</v>
      </c>
      <c r="E2946" s="14" t="s">
        <v>5728</v>
      </c>
      <c r="F2946" s="14" t="s">
        <v>11</v>
      </c>
    </row>
    <row r="2947" ht="18" customHeight="1" spans="1:6">
      <c r="A2947" s="14" t="s">
        <v>4953</v>
      </c>
      <c r="B2947" s="14" t="s">
        <v>5729</v>
      </c>
      <c r="C2947" s="14" t="s">
        <v>5730</v>
      </c>
      <c r="D2947" s="14">
        <v>4</v>
      </c>
      <c r="E2947" s="14" t="s">
        <v>5731</v>
      </c>
      <c r="F2947" s="14" t="s">
        <v>11</v>
      </c>
    </row>
    <row r="2948" ht="18" customHeight="1" spans="1:6">
      <c r="A2948" s="14" t="s">
        <v>4953</v>
      </c>
      <c r="B2948" s="14" t="s">
        <v>5732</v>
      </c>
      <c r="C2948" s="14" t="s">
        <v>5733</v>
      </c>
      <c r="D2948" s="14">
        <v>4</v>
      </c>
      <c r="E2948" s="14" t="s">
        <v>5734</v>
      </c>
      <c r="F2948" s="14" t="s">
        <v>11</v>
      </c>
    </row>
    <row r="2949" ht="18" customHeight="1" spans="1:6">
      <c r="A2949" s="14" t="s">
        <v>4953</v>
      </c>
      <c r="B2949" s="14" t="s">
        <v>5729</v>
      </c>
      <c r="C2949" s="14" t="s">
        <v>5735</v>
      </c>
      <c r="D2949" s="14">
        <v>3</v>
      </c>
      <c r="E2949" s="14" t="s">
        <v>5736</v>
      </c>
      <c r="F2949" s="14" t="s">
        <v>11</v>
      </c>
    </row>
    <row r="2950" ht="18" customHeight="1" spans="1:6">
      <c r="A2950" s="14" t="s">
        <v>4953</v>
      </c>
      <c r="B2950" s="14" t="s">
        <v>5732</v>
      </c>
      <c r="C2950" s="14" t="s">
        <v>5737</v>
      </c>
      <c r="D2950" s="14">
        <v>3</v>
      </c>
      <c r="E2950" s="14" t="s">
        <v>5738</v>
      </c>
      <c r="F2950" s="14" t="s">
        <v>11</v>
      </c>
    </row>
    <row r="2951" ht="18" customHeight="1" spans="1:6">
      <c r="A2951" s="14" t="s">
        <v>4953</v>
      </c>
      <c r="B2951" s="14" t="s">
        <v>5729</v>
      </c>
      <c r="C2951" s="14" t="s">
        <v>5739</v>
      </c>
      <c r="D2951" s="14">
        <v>3</v>
      </c>
      <c r="E2951" s="14" t="s">
        <v>5740</v>
      </c>
      <c r="F2951" s="14" t="s">
        <v>11</v>
      </c>
    </row>
    <row r="2952" ht="18" customHeight="1" spans="1:6">
      <c r="A2952" s="14" t="s">
        <v>4953</v>
      </c>
      <c r="B2952" s="14" t="s">
        <v>5729</v>
      </c>
      <c r="C2952" s="14" t="s">
        <v>5741</v>
      </c>
      <c r="D2952" s="14">
        <v>3</v>
      </c>
      <c r="E2952" s="14" t="s">
        <v>5742</v>
      </c>
      <c r="F2952" s="14" t="s">
        <v>11</v>
      </c>
    </row>
    <row r="2953" ht="18" customHeight="1" spans="1:6">
      <c r="A2953" s="14" t="s">
        <v>4953</v>
      </c>
      <c r="B2953" s="14" t="s">
        <v>5729</v>
      </c>
      <c r="C2953" s="14" t="s">
        <v>5743</v>
      </c>
      <c r="D2953" s="14">
        <v>2</v>
      </c>
      <c r="E2953" s="14" t="s">
        <v>5744</v>
      </c>
      <c r="F2953" s="14" t="s">
        <v>11</v>
      </c>
    </row>
    <row r="2954" ht="18" customHeight="1" spans="1:6">
      <c r="A2954" s="14" t="s">
        <v>4953</v>
      </c>
      <c r="B2954" s="14" t="s">
        <v>5745</v>
      </c>
      <c r="C2954" s="14" t="s">
        <v>5746</v>
      </c>
      <c r="D2954" s="14">
        <v>5</v>
      </c>
      <c r="E2954" s="14" t="s">
        <v>5747</v>
      </c>
      <c r="F2954" s="14" t="s">
        <v>11</v>
      </c>
    </row>
    <row r="2955" ht="18" customHeight="1" spans="1:6">
      <c r="A2955" s="14" t="s">
        <v>4953</v>
      </c>
      <c r="B2955" s="14" t="s">
        <v>5745</v>
      </c>
      <c r="C2955" s="14" t="s">
        <v>5748</v>
      </c>
      <c r="D2955" s="14">
        <v>3</v>
      </c>
      <c r="E2955" s="14" t="s">
        <v>5749</v>
      </c>
      <c r="F2955" s="14" t="s">
        <v>11</v>
      </c>
    </row>
    <row r="2956" ht="18" customHeight="1" spans="1:6">
      <c r="A2956" s="14" t="s">
        <v>4953</v>
      </c>
      <c r="B2956" s="14" t="s">
        <v>5745</v>
      </c>
      <c r="C2956" s="14" t="s">
        <v>5750</v>
      </c>
      <c r="D2956" s="14">
        <v>5</v>
      </c>
      <c r="E2956" s="14" t="s">
        <v>5751</v>
      </c>
      <c r="F2956" s="14" t="s">
        <v>11</v>
      </c>
    </row>
    <row r="2957" ht="18" customHeight="1" spans="1:6">
      <c r="A2957" s="14" t="s">
        <v>4953</v>
      </c>
      <c r="B2957" s="14" t="s">
        <v>5729</v>
      </c>
      <c r="C2957" s="14" t="s">
        <v>5752</v>
      </c>
      <c r="D2957" s="14">
        <v>4</v>
      </c>
      <c r="E2957" s="14" t="s">
        <v>5753</v>
      </c>
      <c r="F2957" s="14" t="s">
        <v>11</v>
      </c>
    </row>
    <row r="2958" ht="18" customHeight="1" spans="1:6">
      <c r="A2958" s="14" t="s">
        <v>4953</v>
      </c>
      <c r="B2958" s="14" t="s">
        <v>5729</v>
      </c>
      <c r="C2958" s="14" t="s">
        <v>5754</v>
      </c>
      <c r="D2958" s="14">
        <v>3</v>
      </c>
      <c r="E2958" s="14" t="s">
        <v>5755</v>
      </c>
      <c r="F2958" s="14" t="s">
        <v>11</v>
      </c>
    </row>
    <row r="2959" ht="18" customHeight="1" spans="1:6">
      <c r="A2959" s="14" t="s">
        <v>4953</v>
      </c>
      <c r="B2959" s="14" t="s">
        <v>5732</v>
      </c>
      <c r="C2959" s="14" t="s">
        <v>5756</v>
      </c>
      <c r="D2959" s="14">
        <v>1</v>
      </c>
      <c r="E2959" s="14" t="s">
        <v>5757</v>
      </c>
      <c r="F2959" s="14" t="s">
        <v>11</v>
      </c>
    </row>
    <row r="2960" ht="18" customHeight="1" spans="1:6">
      <c r="A2960" s="14" t="s">
        <v>4953</v>
      </c>
      <c r="B2960" s="14" t="s">
        <v>5745</v>
      </c>
      <c r="C2960" s="14" t="s">
        <v>5758</v>
      </c>
      <c r="D2960" s="14">
        <v>4</v>
      </c>
      <c r="E2960" s="14" t="s">
        <v>5759</v>
      </c>
      <c r="F2960" s="14" t="s">
        <v>11</v>
      </c>
    </row>
    <row r="2961" ht="18" customHeight="1" spans="1:6">
      <c r="A2961" s="14" t="s">
        <v>4953</v>
      </c>
      <c r="B2961" s="14" t="s">
        <v>5760</v>
      </c>
      <c r="C2961" s="14" t="s">
        <v>5761</v>
      </c>
      <c r="D2961" s="14">
        <v>1</v>
      </c>
      <c r="E2961" s="14" t="s">
        <v>5762</v>
      </c>
      <c r="F2961" s="14" t="s">
        <v>11</v>
      </c>
    </row>
    <row r="2962" ht="18" customHeight="1" spans="1:6">
      <c r="A2962" s="14" t="s">
        <v>4953</v>
      </c>
      <c r="B2962" s="14" t="s">
        <v>5760</v>
      </c>
      <c r="C2962" s="14" t="s">
        <v>5763</v>
      </c>
      <c r="D2962" s="14">
        <v>1</v>
      </c>
      <c r="E2962" s="14" t="s">
        <v>5764</v>
      </c>
      <c r="F2962" s="14" t="s">
        <v>11</v>
      </c>
    </row>
    <row r="2963" ht="18" customHeight="1" spans="1:6">
      <c r="A2963" s="14" t="s">
        <v>4953</v>
      </c>
      <c r="B2963" s="14" t="s">
        <v>5760</v>
      </c>
      <c r="C2963" s="14" t="s">
        <v>5765</v>
      </c>
      <c r="D2963" s="14">
        <v>3</v>
      </c>
      <c r="E2963" s="14" t="s">
        <v>5766</v>
      </c>
      <c r="F2963" s="14" t="s">
        <v>11</v>
      </c>
    </row>
    <row r="2964" ht="18" customHeight="1" spans="1:6">
      <c r="A2964" s="14" t="s">
        <v>4953</v>
      </c>
      <c r="B2964" s="14" t="s">
        <v>5760</v>
      </c>
      <c r="C2964" s="14" t="s">
        <v>5767</v>
      </c>
      <c r="D2964" s="14">
        <v>2</v>
      </c>
      <c r="E2964" s="14" t="s">
        <v>5768</v>
      </c>
      <c r="F2964" s="14" t="s">
        <v>11</v>
      </c>
    </row>
    <row r="2965" ht="18" customHeight="1" spans="1:6">
      <c r="A2965" s="14" t="s">
        <v>4953</v>
      </c>
      <c r="B2965" s="14" t="s">
        <v>5760</v>
      </c>
      <c r="C2965" s="14" t="s">
        <v>5479</v>
      </c>
      <c r="D2965" s="14">
        <v>2</v>
      </c>
      <c r="E2965" s="14" t="s">
        <v>5480</v>
      </c>
      <c r="F2965" s="14" t="s">
        <v>11</v>
      </c>
    </row>
    <row r="2966" ht="18" customHeight="1" spans="1:6">
      <c r="A2966" s="14" t="s">
        <v>4953</v>
      </c>
      <c r="B2966" s="14" t="s">
        <v>5760</v>
      </c>
      <c r="C2966" s="14" t="s">
        <v>5769</v>
      </c>
      <c r="D2966" s="14">
        <v>3</v>
      </c>
      <c r="E2966" s="14" t="s">
        <v>5770</v>
      </c>
      <c r="F2966" s="14" t="s">
        <v>11</v>
      </c>
    </row>
    <row r="2967" ht="18" customHeight="1" spans="1:6">
      <c r="A2967" s="14" t="s">
        <v>4953</v>
      </c>
      <c r="B2967" s="14" t="s">
        <v>5760</v>
      </c>
      <c r="C2967" s="14" t="s">
        <v>5771</v>
      </c>
      <c r="D2967" s="14">
        <v>6</v>
      </c>
      <c r="E2967" s="14" t="s">
        <v>5772</v>
      </c>
      <c r="F2967" s="14" t="s">
        <v>11</v>
      </c>
    </row>
    <row r="2968" ht="18" customHeight="1" spans="1:6">
      <c r="A2968" s="14" t="s">
        <v>4953</v>
      </c>
      <c r="B2968" s="14" t="s">
        <v>5760</v>
      </c>
      <c r="C2968" s="14" t="s">
        <v>5773</v>
      </c>
      <c r="D2968" s="14">
        <v>3</v>
      </c>
      <c r="E2968" s="14" t="s">
        <v>5774</v>
      </c>
      <c r="F2968" s="14" t="s">
        <v>11</v>
      </c>
    </row>
    <row r="2969" ht="18" customHeight="1" spans="1:6">
      <c r="A2969" s="14" t="s">
        <v>4953</v>
      </c>
      <c r="B2969" s="14" t="s">
        <v>5760</v>
      </c>
      <c r="C2969" s="14" t="s">
        <v>5775</v>
      </c>
      <c r="D2969" s="14">
        <v>4</v>
      </c>
      <c r="E2969" s="14" t="s">
        <v>5776</v>
      </c>
      <c r="F2969" s="14" t="s">
        <v>11</v>
      </c>
    </row>
    <row r="2970" ht="18" customHeight="1" spans="1:6">
      <c r="A2970" s="14" t="s">
        <v>4953</v>
      </c>
      <c r="B2970" s="14" t="s">
        <v>5760</v>
      </c>
      <c r="C2970" s="14" t="s">
        <v>5777</v>
      </c>
      <c r="D2970" s="14">
        <v>4</v>
      </c>
      <c r="E2970" s="14" t="s">
        <v>5778</v>
      </c>
      <c r="F2970" s="14" t="s">
        <v>11</v>
      </c>
    </row>
    <row r="2971" ht="18" customHeight="1" spans="1:6">
      <c r="A2971" s="14" t="s">
        <v>4953</v>
      </c>
      <c r="B2971" s="14" t="s">
        <v>5760</v>
      </c>
      <c r="C2971" s="14" t="s">
        <v>5779</v>
      </c>
      <c r="D2971" s="14">
        <v>1</v>
      </c>
      <c r="E2971" s="14" t="s">
        <v>5780</v>
      </c>
      <c r="F2971" s="14" t="s">
        <v>11</v>
      </c>
    </row>
    <row r="2972" ht="18" customHeight="1" spans="1:6">
      <c r="A2972" s="14" t="s">
        <v>4953</v>
      </c>
      <c r="B2972" s="14" t="s">
        <v>5760</v>
      </c>
      <c r="C2972" s="14" t="s">
        <v>5781</v>
      </c>
      <c r="D2972" s="14">
        <v>1</v>
      </c>
      <c r="E2972" s="14" t="s">
        <v>5782</v>
      </c>
      <c r="F2972" s="14" t="s">
        <v>11</v>
      </c>
    </row>
    <row r="2973" ht="18" customHeight="1" spans="1:6">
      <c r="A2973" s="14" t="s">
        <v>4953</v>
      </c>
      <c r="B2973" s="14" t="s">
        <v>5760</v>
      </c>
      <c r="C2973" s="14" t="s">
        <v>5783</v>
      </c>
      <c r="D2973" s="14">
        <v>4</v>
      </c>
      <c r="E2973" s="14" t="s">
        <v>5784</v>
      </c>
      <c r="F2973" s="14" t="s">
        <v>11</v>
      </c>
    </row>
    <row r="2974" ht="18" customHeight="1" spans="1:6">
      <c r="A2974" s="14" t="s">
        <v>4953</v>
      </c>
      <c r="B2974" s="14" t="s">
        <v>5785</v>
      </c>
      <c r="C2974" s="14" t="s">
        <v>5786</v>
      </c>
      <c r="D2974" s="14">
        <v>3</v>
      </c>
      <c r="E2974" s="14" t="s">
        <v>5787</v>
      </c>
      <c r="F2974" s="13" t="s">
        <v>11</v>
      </c>
    </row>
    <row r="2975" ht="18" customHeight="1" spans="1:6">
      <c r="A2975" s="14" t="s">
        <v>4953</v>
      </c>
      <c r="B2975" s="14" t="s">
        <v>5788</v>
      </c>
      <c r="C2975" s="14" t="s">
        <v>5789</v>
      </c>
      <c r="D2975" s="14">
        <v>4</v>
      </c>
      <c r="E2975" s="14" t="s">
        <v>5790</v>
      </c>
      <c r="F2975" s="14" t="s">
        <v>11</v>
      </c>
    </row>
    <row r="2976" ht="18" customHeight="1" spans="1:6">
      <c r="A2976" s="14" t="s">
        <v>4953</v>
      </c>
      <c r="B2976" s="14" t="s">
        <v>5791</v>
      </c>
      <c r="C2976" s="14" t="s">
        <v>5792</v>
      </c>
      <c r="D2976" s="14">
        <v>4</v>
      </c>
      <c r="E2976" s="14" t="s">
        <v>5793</v>
      </c>
      <c r="F2976" s="14" t="s">
        <v>11</v>
      </c>
    </row>
    <row r="2977" ht="18" customHeight="1" spans="1:6">
      <c r="A2977" s="14" t="s">
        <v>4953</v>
      </c>
      <c r="B2977" s="14" t="s">
        <v>5791</v>
      </c>
      <c r="C2977" s="14" t="s">
        <v>5794</v>
      </c>
      <c r="D2977" s="14">
        <v>4</v>
      </c>
      <c r="E2977" s="14" t="s">
        <v>5795</v>
      </c>
      <c r="F2977" s="14" t="s">
        <v>11</v>
      </c>
    </row>
    <row r="2978" ht="18" customHeight="1" spans="1:6">
      <c r="A2978" s="14" t="s">
        <v>4953</v>
      </c>
      <c r="B2978" s="14" t="s">
        <v>5791</v>
      </c>
      <c r="C2978" s="14" t="s">
        <v>5796</v>
      </c>
      <c r="D2978" s="14">
        <v>2</v>
      </c>
      <c r="E2978" s="14" t="s">
        <v>5797</v>
      </c>
      <c r="F2978" s="14" t="s">
        <v>11</v>
      </c>
    </row>
    <row r="2979" ht="18" customHeight="1" spans="1:6">
      <c r="A2979" s="14" t="s">
        <v>4953</v>
      </c>
      <c r="B2979" s="14" t="s">
        <v>5791</v>
      </c>
      <c r="C2979" s="14" t="s">
        <v>5798</v>
      </c>
      <c r="D2979" s="14">
        <v>4</v>
      </c>
      <c r="E2979" s="14" t="s">
        <v>5799</v>
      </c>
      <c r="F2979" s="14" t="s">
        <v>11</v>
      </c>
    </row>
    <row r="2980" ht="18" customHeight="1" spans="1:6">
      <c r="A2980" s="14" t="s">
        <v>4953</v>
      </c>
      <c r="B2980" s="14" t="s">
        <v>5791</v>
      </c>
      <c r="C2980" s="14" t="s">
        <v>5800</v>
      </c>
      <c r="D2980" s="14">
        <v>2</v>
      </c>
      <c r="E2980" s="14" t="s">
        <v>5801</v>
      </c>
      <c r="F2980" s="14" t="s">
        <v>11</v>
      </c>
    </row>
    <row r="2981" ht="18" customHeight="1" spans="1:6">
      <c r="A2981" s="14" t="s">
        <v>4953</v>
      </c>
      <c r="B2981" s="14" t="s">
        <v>5788</v>
      </c>
      <c r="C2981" s="14" t="s">
        <v>5802</v>
      </c>
      <c r="D2981" s="14">
        <v>3</v>
      </c>
      <c r="E2981" s="14" t="s">
        <v>5803</v>
      </c>
      <c r="F2981" s="14" t="s">
        <v>11</v>
      </c>
    </row>
    <row r="2982" ht="18" customHeight="1" spans="1:6">
      <c r="A2982" s="14" t="s">
        <v>4953</v>
      </c>
      <c r="B2982" s="14" t="s">
        <v>5788</v>
      </c>
      <c r="C2982" s="14" t="s">
        <v>5804</v>
      </c>
      <c r="D2982" s="14">
        <v>4</v>
      </c>
      <c r="E2982" s="14" t="s">
        <v>5805</v>
      </c>
      <c r="F2982" s="14" t="s">
        <v>11</v>
      </c>
    </row>
    <row r="2983" ht="18" customHeight="1" spans="1:6">
      <c r="A2983" s="14" t="s">
        <v>4953</v>
      </c>
      <c r="B2983" s="14" t="s">
        <v>5791</v>
      </c>
      <c r="C2983" s="14" t="s">
        <v>5806</v>
      </c>
      <c r="D2983" s="14">
        <v>2</v>
      </c>
      <c r="E2983" s="14" t="s">
        <v>5807</v>
      </c>
      <c r="F2983" s="14" t="s">
        <v>11</v>
      </c>
    </row>
    <row r="2984" ht="18" customHeight="1" spans="1:6">
      <c r="A2984" s="14" t="s">
        <v>4953</v>
      </c>
      <c r="B2984" s="14" t="s">
        <v>5791</v>
      </c>
      <c r="C2984" s="14" t="s">
        <v>5808</v>
      </c>
      <c r="D2984" s="14">
        <v>3</v>
      </c>
      <c r="E2984" s="14" t="s">
        <v>5809</v>
      </c>
      <c r="F2984" s="14" t="s">
        <v>11</v>
      </c>
    </row>
    <row r="2985" ht="18" customHeight="1" spans="1:6">
      <c r="A2985" s="14" t="s">
        <v>4953</v>
      </c>
      <c r="B2985" s="14" t="s">
        <v>5791</v>
      </c>
      <c r="C2985" s="14" t="s">
        <v>5810</v>
      </c>
      <c r="D2985" s="14">
        <v>5</v>
      </c>
      <c r="E2985" s="14" t="s">
        <v>5811</v>
      </c>
      <c r="F2985" s="14" t="s">
        <v>11</v>
      </c>
    </row>
    <row r="2986" ht="18" customHeight="1" spans="1:6">
      <c r="A2986" s="14" t="s">
        <v>4953</v>
      </c>
      <c r="B2986" s="14" t="s">
        <v>5791</v>
      </c>
      <c r="C2986" s="14" t="s">
        <v>5812</v>
      </c>
      <c r="D2986" s="14">
        <v>4</v>
      </c>
      <c r="E2986" s="14" t="s">
        <v>5813</v>
      </c>
      <c r="F2986" s="14" t="s">
        <v>11</v>
      </c>
    </row>
    <row r="2987" ht="18" customHeight="1" spans="1:6">
      <c r="A2987" s="14" t="s">
        <v>4953</v>
      </c>
      <c r="B2987" s="14" t="s">
        <v>5791</v>
      </c>
      <c r="C2987" s="14" t="s">
        <v>5814</v>
      </c>
      <c r="D2987" s="14">
        <v>2</v>
      </c>
      <c r="E2987" s="14" t="s">
        <v>5815</v>
      </c>
      <c r="F2987" s="14" t="s">
        <v>11</v>
      </c>
    </row>
    <row r="2988" ht="18" customHeight="1" spans="1:6">
      <c r="A2988" s="14" t="s">
        <v>4953</v>
      </c>
      <c r="B2988" s="14" t="s">
        <v>5791</v>
      </c>
      <c r="C2988" s="14" t="s">
        <v>5816</v>
      </c>
      <c r="D2988" s="14">
        <v>3</v>
      </c>
      <c r="E2988" s="14" t="s">
        <v>5817</v>
      </c>
      <c r="F2988" s="14" t="s">
        <v>11</v>
      </c>
    </row>
    <row r="2989" ht="18" customHeight="1" spans="1:6">
      <c r="A2989" s="14" t="s">
        <v>4953</v>
      </c>
      <c r="B2989" s="14" t="s">
        <v>5791</v>
      </c>
      <c r="C2989" s="14" t="s">
        <v>5818</v>
      </c>
      <c r="D2989" s="14">
        <v>1</v>
      </c>
      <c r="E2989" s="14" t="s">
        <v>5819</v>
      </c>
      <c r="F2989" s="14" t="s">
        <v>11</v>
      </c>
    </row>
    <row r="2990" ht="18" customHeight="1" spans="1:6">
      <c r="A2990" s="14" t="s">
        <v>4953</v>
      </c>
      <c r="B2990" s="14" t="s">
        <v>5791</v>
      </c>
      <c r="C2990" s="14" t="s">
        <v>5820</v>
      </c>
      <c r="D2990" s="14">
        <v>3</v>
      </c>
      <c r="E2990" s="14" t="s">
        <v>5821</v>
      </c>
      <c r="F2990" s="14" t="s">
        <v>11</v>
      </c>
    </row>
    <row r="2991" ht="18" customHeight="1" spans="1:6">
      <c r="A2991" s="14" t="s">
        <v>4953</v>
      </c>
      <c r="B2991" s="14" t="s">
        <v>5788</v>
      </c>
      <c r="C2991" s="14" t="s">
        <v>5822</v>
      </c>
      <c r="D2991" s="14">
        <v>1</v>
      </c>
      <c r="E2991" s="14" t="s">
        <v>5823</v>
      </c>
      <c r="F2991" s="14" t="s">
        <v>11</v>
      </c>
    </row>
    <row r="2992" ht="18" customHeight="1" spans="1:6">
      <c r="A2992" s="14" t="s">
        <v>4953</v>
      </c>
      <c r="B2992" s="14" t="s">
        <v>5788</v>
      </c>
      <c r="C2992" s="14" t="s">
        <v>5824</v>
      </c>
      <c r="D2992" s="14">
        <v>1</v>
      </c>
      <c r="E2992" s="14" t="s">
        <v>5825</v>
      </c>
      <c r="F2992" s="14" t="s">
        <v>11</v>
      </c>
    </row>
    <row r="2993" ht="18" customHeight="1" spans="1:6">
      <c r="A2993" s="13" t="s">
        <v>5826</v>
      </c>
      <c r="B2993" s="13"/>
      <c r="C2993" s="13">
        <v>423</v>
      </c>
      <c r="D2993" s="13">
        <f>SUM(D2570:D2992)</f>
        <v>1400</v>
      </c>
      <c r="E2993" s="13"/>
      <c r="F2993" s="13"/>
    </row>
    <row r="2994" ht="18" customHeight="1" spans="1:6">
      <c r="A2994" s="5" t="s">
        <v>5827</v>
      </c>
      <c r="B2994" s="5" t="s">
        <v>5828</v>
      </c>
      <c r="C2994" s="8" t="s">
        <v>5829</v>
      </c>
      <c r="D2994" s="5">
        <v>2</v>
      </c>
      <c r="E2994" s="8" t="s">
        <v>5830</v>
      </c>
      <c r="F2994" s="5" t="s">
        <v>11</v>
      </c>
    </row>
    <row r="2995" ht="18" customHeight="1" spans="1:6">
      <c r="A2995" s="5" t="s">
        <v>5827</v>
      </c>
      <c r="B2995" s="5" t="s">
        <v>5828</v>
      </c>
      <c r="C2995" s="8" t="s">
        <v>5831</v>
      </c>
      <c r="D2995" s="5">
        <v>1</v>
      </c>
      <c r="E2995" s="194" t="s">
        <v>5832</v>
      </c>
      <c r="F2995" s="5" t="s">
        <v>11</v>
      </c>
    </row>
    <row r="2996" ht="18" customHeight="1" spans="1:6">
      <c r="A2996" s="5" t="s">
        <v>5827</v>
      </c>
      <c r="B2996" s="5" t="s">
        <v>5833</v>
      </c>
      <c r="C2996" s="8" t="s">
        <v>5834</v>
      </c>
      <c r="D2996" s="5">
        <v>1</v>
      </c>
      <c r="E2996" s="194" t="s">
        <v>5835</v>
      </c>
      <c r="F2996" s="5" t="s">
        <v>11</v>
      </c>
    </row>
    <row r="2997" ht="18" customHeight="1" spans="1:6">
      <c r="A2997" s="13" t="s">
        <v>5827</v>
      </c>
      <c r="B2997" s="13" t="s">
        <v>5836</v>
      </c>
      <c r="C2997" s="8" t="s">
        <v>5837</v>
      </c>
      <c r="D2997" s="5">
        <v>6</v>
      </c>
      <c r="E2997" s="194" t="s">
        <v>5838</v>
      </c>
      <c r="F2997" s="13" t="s">
        <v>11</v>
      </c>
    </row>
    <row r="2998" ht="18" customHeight="1" spans="1:6">
      <c r="A2998" s="13" t="s">
        <v>5827</v>
      </c>
      <c r="B2998" s="13" t="s">
        <v>5839</v>
      </c>
      <c r="C2998" s="8" t="s">
        <v>5840</v>
      </c>
      <c r="D2998" s="5">
        <v>3</v>
      </c>
      <c r="E2998" s="194" t="s">
        <v>5841</v>
      </c>
      <c r="F2998" s="13" t="s">
        <v>11</v>
      </c>
    </row>
    <row r="2999" ht="18" customHeight="1" spans="1:6">
      <c r="A2999" s="13" t="s">
        <v>5827</v>
      </c>
      <c r="B2999" s="13" t="s">
        <v>5836</v>
      </c>
      <c r="C2999" s="8" t="s">
        <v>5842</v>
      </c>
      <c r="D2999" s="5">
        <v>1</v>
      </c>
      <c r="E2999" s="194" t="s">
        <v>5843</v>
      </c>
      <c r="F2999" s="13" t="s">
        <v>11</v>
      </c>
    </row>
    <row r="3000" ht="18" customHeight="1" spans="1:6">
      <c r="A3000" s="5" t="s">
        <v>5827</v>
      </c>
      <c r="B3000" s="5" t="s">
        <v>5844</v>
      </c>
      <c r="C3000" s="5" t="s">
        <v>5845</v>
      </c>
      <c r="D3000" s="5">
        <v>2</v>
      </c>
      <c r="E3000" s="194" t="s">
        <v>5846</v>
      </c>
      <c r="F3000" s="5" t="s">
        <v>11</v>
      </c>
    </row>
    <row r="3001" ht="18" customHeight="1" spans="1:6">
      <c r="A3001" s="13" t="s">
        <v>5827</v>
      </c>
      <c r="B3001" s="5" t="s">
        <v>5844</v>
      </c>
      <c r="C3001" s="5" t="s">
        <v>5847</v>
      </c>
      <c r="D3001" s="5">
        <v>3</v>
      </c>
      <c r="E3001" s="194" t="s">
        <v>5848</v>
      </c>
      <c r="F3001" s="5" t="s">
        <v>11</v>
      </c>
    </row>
    <row r="3002" ht="18" customHeight="1" spans="1:6">
      <c r="A3002" s="5" t="s">
        <v>5827</v>
      </c>
      <c r="B3002" s="5" t="s">
        <v>5844</v>
      </c>
      <c r="C3002" s="5" t="s">
        <v>5849</v>
      </c>
      <c r="D3002" s="5">
        <v>5</v>
      </c>
      <c r="E3002" s="194" t="s">
        <v>5850</v>
      </c>
      <c r="F3002" s="5" t="s">
        <v>11</v>
      </c>
    </row>
    <row r="3003" ht="18" customHeight="1" spans="1:6">
      <c r="A3003" s="5" t="s">
        <v>5827</v>
      </c>
      <c r="B3003" s="5" t="s">
        <v>5844</v>
      </c>
      <c r="C3003" s="5" t="s">
        <v>5851</v>
      </c>
      <c r="D3003" s="5">
        <v>4</v>
      </c>
      <c r="E3003" s="194" t="s">
        <v>5852</v>
      </c>
      <c r="F3003" s="5" t="s">
        <v>11</v>
      </c>
    </row>
    <row r="3004" ht="18" customHeight="1" spans="1:6">
      <c r="A3004" s="5" t="s">
        <v>5827</v>
      </c>
      <c r="B3004" s="5" t="s">
        <v>5844</v>
      </c>
      <c r="C3004" s="5" t="s">
        <v>5853</v>
      </c>
      <c r="D3004" s="5">
        <v>1</v>
      </c>
      <c r="E3004" s="194" t="s">
        <v>5854</v>
      </c>
      <c r="F3004" s="5" t="s">
        <v>11</v>
      </c>
    </row>
    <row r="3005" ht="18" customHeight="1" spans="1:6">
      <c r="A3005" s="5" t="s">
        <v>5827</v>
      </c>
      <c r="B3005" s="5" t="s">
        <v>5844</v>
      </c>
      <c r="C3005" s="5" t="s">
        <v>5855</v>
      </c>
      <c r="D3005" s="5">
        <v>2</v>
      </c>
      <c r="E3005" s="194" t="s">
        <v>5856</v>
      </c>
      <c r="F3005" s="5" t="s">
        <v>11</v>
      </c>
    </row>
    <row r="3006" ht="18" customHeight="1" spans="1:6">
      <c r="A3006" s="5" t="s">
        <v>5827</v>
      </c>
      <c r="B3006" s="5" t="s">
        <v>5844</v>
      </c>
      <c r="C3006" s="5" t="s">
        <v>5857</v>
      </c>
      <c r="D3006" s="5">
        <v>1</v>
      </c>
      <c r="E3006" s="194" t="s">
        <v>5858</v>
      </c>
      <c r="F3006" s="5" t="s">
        <v>11</v>
      </c>
    </row>
    <row r="3007" ht="18" customHeight="1" spans="1:6">
      <c r="A3007" s="5" t="s">
        <v>5827</v>
      </c>
      <c r="B3007" s="5" t="s">
        <v>5844</v>
      </c>
      <c r="C3007" s="5" t="s">
        <v>5859</v>
      </c>
      <c r="D3007" s="5">
        <v>4</v>
      </c>
      <c r="E3007" s="194" t="s">
        <v>5860</v>
      </c>
      <c r="F3007" s="5" t="s">
        <v>11</v>
      </c>
    </row>
    <row r="3008" ht="18" customHeight="1" spans="1:6">
      <c r="A3008" s="5" t="s">
        <v>5827</v>
      </c>
      <c r="B3008" s="5" t="s">
        <v>5861</v>
      </c>
      <c r="C3008" s="5" t="s">
        <v>5862</v>
      </c>
      <c r="D3008" s="5">
        <v>5</v>
      </c>
      <c r="E3008" s="12" t="s">
        <v>5863</v>
      </c>
      <c r="F3008" s="5" t="s">
        <v>11</v>
      </c>
    </row>
    <row r="3009" ht="18" customHeight="1" spans="1:6">
      <c r="A3009" s="5" t="s">
        <v>5827</v>
      </c>
      <c r="B3009" s="5" t="s">
        <v>5864</v>
      </c>
      <c r="C3009" s="5" t="s">
        <v>5865</v>
      </c>
      <c r="D3009" s="5">
        <v>4</v>
      </c>
      <c r="E3009" s="12" t="s">
        <v>5866</v>
      </c>
      <c r="F3009" s="5" t="s">
        <v>11</v>
      </c>
    </row>
    <row r="3010" ht="18" customHeight="1" spans="1:6">
      <c r="A3010" s="13" t="s">
        <v>5827</v>
      </c>
      <c r="B3010" s="5" t="s">
        <v>5867</v>
      </c>
      <c r="C3010" s="5" t="s">
        <v>5868</v>
      </c>
      <c r="D3010" s="5">
        <v>2</v>
      </c>
      <c r="E3010" s="12" t="s">
        <v>5869</v>
      </c>
      <c r="F3010" s="5" t="s">
        <v>11</v>
      </c>
    </row>
    <row r="3011" ht="18" customHeight="1" spans="1:6">
      <c r="A3011" s="5" t="s">
        <v>5827</v>
      </c>
      <c r="B3011" s="5" t="s">
        <v>5867</v>
      </c>
      <c r="C3011" s="5" t="s">
        <v>5870</v>
      </c>
      <c r="D3011" s="5">
        <v>2</v>
      </c>
      <c r="E3011" s="12" t="s">
        <v>5871</v>
      </c>
      <c r="F3011" s="5" t="s">
        <v>11</v>
      </c>
    </row>
    <row r="3012" ht="18" customHeight="1" spans="1:6">
      <c r="A3012" s="5" t="s">
        <v>5827</v>
      </c>
      <c r="B3012" s="5" t="s">
        <v>5867</v>
      </c>
      <c r="C3012" s="5" t="s">
        <v>5872</v>
      </c>
      <c r="D3012" s="5">
        <v>4</v>
      </c>
      <c r="E3012" s="12" t="s">
        <v>5873</v>
      </c>
      <c r="F3012" s="5" t="s">
        <v>11</v>
      </c>
    </row>
    <row r="3013" ht="18" customHeight="1" spans="1:6">
      <c r="A3013" s="5" t="s">
        <v>5827</v>
      </c>
      <c r="B3013" s="5" t="s">
        <v>5874</v>
      </c>
      <c r="C3013" s="5" t="s">
        <v>5875</v>
      </c>
      <c r="D3013" s="5">
        <v>2</v>
      </c>
      <c r="E3013" s="12" t="s">
        <v>5876</v>
      </c>
      <c r="F3013" s="5" t="s">
        <v>11</v>
      </c>
    </row>
    <row r="3014" ht="18" customHeight="1" spans="1:6">
      <c r="A3014" s="5" t="s">
        <v>5827</v>
      </c>
      <c r="B3014" s="5" t="s">
        <v>5844</v>
      </c>
      <c r="C3014" s="5" t="s">
        <v>5877</v>
      </c>
      <c r="D3014" s="5">
        <v>1</v>
      </c>
      <c r="E3014" s="12" t="s">
        <v>5878</v>
      </c>
      <c r="F3014" s="5" t="s">
        <v>11</v>
      </c>
    </row>
    <row r="3015" ht="18" customHeight="1" spans="1:6">
      <c r="A3015" s="5" t="s">
        <v>5827</v>
      </c>
      <c r="B3015" s="5" t="s">
        <v>5844</v>
      </c>
      <c r="C3015" s="5" t="s">
        <v>5879</v>
      </c>
      <c r="D3015" s="5">
        <v>1</v>
      </c>
      <c r="E3015" s="188" t="s">
        <v>5880</v>
      </c>
      <c r="F3015" s="5" t="s">
        <v>11</v>
      </c>
    </row>
    <row r="3016" ht="18" customHeight="1" spans="1:6">
      <c r="A3016" s="5" t="s">
        <v>5827</v>
      </c>
      <c r="B3016" s="5" t="s">
        <v>5874</v>
      </c>
      <c r="C3016" s="5" t="s">
        <v>5881</v>
      </c>
      <c r="D3016" s="5">
        <v>1</v>
      </c>
      <c r="E3016" s="188" t="s">
        <v>5882</v>
      </c>
      <c r="F3016" s="5" t="s">
        <v>11</v>
      </c>
    </row>
    <row r="3017" ht="18" customHeight="1" spans="1:6">
      <c r="A3017" s="5" t="s">
        <v>5827</v>
      </c>
      <c r="B3017" s="5" t="s">
        <v>5874</v>
      </c>
      <c r="C3017" s="5" t="s">
        <v>5883</v>
      </c>
      <c r="D3017" s="5">
        <v>1</v>
      </c>
      <c r="E3017" s="188" t="s">
        <v>5884</v>
      </c>
      <c r="F3017" s="5" t="s">
        <v>11</v>
      </c>
    </row>
    <row r="3018" ht="18" customHeight="1" spans="1:6">
      <c r="A3018" s="5" t="s">
        <v>5827</v>
      </c>
      <c r="B3018" s="5" t="s">
        <v>5874</v>
      </c>
      <c r="C3018" s="5" t="s">
        <v>5885</v>
      </c>
      <c r="D3018" s="5">
        <v>1</v>
      </c>
      <c r="E3018" s="188" t="s">
        <v>5886</v>
      </c>
      <c r="F3018" s="5" t="s">
        <v>11</v>
      </c>
    </row>
    <row r="3019" ht="18" customHeight="1" spans="1:6">
      <c r="A3019" s="5" t="s">
        <v>5827</v>
      </c>
      <c r="B3019" s="5" t="s">
        <v>5867</v>
      </c>
      <c r="C3019" s="5" t="s">
        <v>5887</v>
      </c>
      <c r="D3019" s="5">
        <v>1</v>
      </c>
      <c r="E3019" s="188" t="s">
        <v>5888</v>
      </c>
      <c r="F3019" s="5" t="s">
        <v>11</v>
      </c>
    </row>
    <row r="3020" ht="18" customHeight="1" spans="1:6">
      <c r="A3020" s="5" t="s">
        <v>5827</v>
      </c>
      <c r="B3020" s="5" t="s">
        <v>5867</v>
      </c>
      <c r="C3020" s="5" t="s">
        <v>5889</v>
      </c>
      <c r="D3020" s="5">
        <v>1</v>
      </c>
      <c r="E3020" s="188" t="s">
        <v>5890</v>
      </c>
      <c r="F3020" s="5" t="s">
        <v>11</v>
      </c>
    </row>
    <row r="3021" ht="18" customHeight="1" spans="1:6">
      <c r="A3021" s="5" t="s">
        <v>5827</v>
      </c>
      <c r="B3021" s="5" t="s">
        <v>5891</v>
      </c>
      <c r="C3021" s="5" t="s">
        <v>5892</v>
      </c>
      <c r="D3021" s="5">
        <v>3</v>
      </c>
      <c r="E3021" s="10" t="s">
        <v>5893</v>
      </c>
      <c r="F3021" s="5" t="s">
        <v>11</v>
      </c>
    </row>
    <row r="3022" ht="18" customHeight="1" spans="1:6">
      <c r="A3022" s="5" t="s">
        <v>5827</v>
      </c>
      <c r="B3022" s="5" t="s">
        <v>5891</v>
      </c>
      <c r="C3022" s="5" t="s">
        <v>5894</v>
      </c>
      <c r="D3022" s="5">
        <v>1</v>
      </c>
      <c r="E3022" s="187" t="s">
        <v>5895</v>
      </c>
      <c r="F3022" s="5" t="s">
        <v>11</v>
      </c>
    </row>
    <row r="3023" ht="18" customHeight="1" spans="1:6">
      <c r="A3023" s="5" t="s">
        <v>5827</v>
      </c>
      <c r="B3023" s="5" t="s">
        <v>5891</v>
      </c>
      <c r="C3023" s="5" t="s">
        <v>5896</v>
      </c>
      <c r="D3023" s="5">
        <v>2</v>
      </c>
      <c r="E3023" s="194" t="s">
        <v>5897</v>
      </c>
      <c r="F3023" s="5" t="s">
        <v>11</v>
      </c>
    </row>
    <row r="3024" ht="18" customHeight="1" spans="1:6">
      <c r="A3024" s="5" t="s">
        <v>5827</v>
      </c>
      <c r="B3024" s="5" t="s">
        <v>5891</v>
      </c>
      <c r="C3024" s="5" t="s">
        <v>5898</v>
      </c>
      <c r="D3024" s="5">
        <v>2</v>
      </c>
      <c r="E3024" s="194" t="s">
        <v>5899</v>
      </c>
      <c r="F3024" s="5" t="s">
        <v>11</v>
      </c>
    </row>
    <row r="3025" ht="18" customHeight="1" spans="1:6">
      <c r="A3025" s="5" t="s">
        <v>5827</v>
      </c>
      <c r="B3025" s="5" t="s">
        <v>5891</v>
      </c>
      <c r="C3025" s="5" t="s">
        <v>5900</v>
      </c>
      <c r="D3025" s="5">
        <v>4</v>
      </c>
      <c r="E3025" s="8" t="s">
        <v>5901</v>
      </c>
      <c r="F3025" s="5" t="s">
        <v>11</v>
      </c>
    </row>
    <row r="3026" ht="18" customHeight="1" spans="1:6">
      <c r="A3026" s="13" t="s">
        <v>5827</v>
      </c>
      <c r="B3026" s="13" t="s">
        <v>5902</v>
      </c>
      <c r="C3026" s="5" t="s">
        <v>5903</v>
      </c>
      <c r="D3026" s="9">
        <v>4</v>
      </c>
      <c r="E3026" s="12" t="s">
        <v>5904</v>
      </c>
      <c r="F3026" s="5" t="s">
        <v>11</v>
      </c>
    </row>
    <row r="3027" ht="18" customHeight="1" spans="1:6">
      <c r="A3027" s="13" t="s">
        <v>5827</v>
      </c>
      <c r="B3027" s="13" t="s">
        <v>5902</v>
      </c>
      <c r="C3027" s="5" t="s">
        <v>5905</v>
      </c>
      <c r="D3027" s="9">
        <v>4</v>
      </c>
      <c r="E3027" s="12" t="s">
        <v>5906</v>
      </c>
      <c r="F3027" s="5" t="s">
        <v>11</v>
      </c>
    </row>
    <row r="3028" ht="18" customHeight="1" spans="1:6">
      <c r="A3028" s="5" t="s">
        <v>5827</v>
      </c>
      <c r="B3028" s="5" t="s">
        <v>5902</v>
      </c>
      <c r="C3028" s="12" t="s">
        <v>5907</v>
      </c>
      <c r="D3028" s="6">
        <v>2</v>
      </c>
      <c r="E3028" s="194" t="s">
        <v>5908</v>
      </c>
      <c r="F3028" s="5" t="s">
        <v>11</v>
      </c>
    </row>
    <row r="3029" ht="18" customHeight="1" spans="1:6">
      <c r="A3029" s="5" t="s">
        <v>5827</v>
      </c>
      <c r="B3029" s="5" t="s">
        <v>5909</v>
      </c>
      <c r="C3029" s="12" t="s">
        <v>5910</v>
      </c>
      <c r="D3029" s="6">
        <v>3</v>
      </c>
      <c r="E3029" s="194" t="s">
        <v>5911</v>
      </c>
      <c r="F3029" s="5" t="s">
        <v>11</v>
      </c>
    </row>
    <row r="3030" ht="18" customHeight="1" spans="1:6">
      <c r="A3030" s="5" t="s">
        <v>5827</v>
      </c>
      <c r="B3030" s="5" t="s">
        <v>5912</v>
      </c>
      <c r="C3030" s="12" t="s">
        <v>5913</v>
      </c>
      <c r="D3030" s="6">
        <v>3</v>
      </c>
      <c r="E3030" s="194" t="s">
        <v>5914</v>
      </c>
      <c r="F3030" s="5" t="s">
        <v>11</v>
      </c>
    </row>
    <row r="3031" ht="18" customHeight="1" spans="1:6">
      <c r="A3031" s="5" t="s">
        <v>5827</v>
      </c>
      <c r="B3031" s="5" t="s">
        <v>5915</v>
      </c>
      <c r="C3031" s="8" t="s">
        <v>5916</v>
      </c>
      <c r="D3031" s="9">
        <v>1</v>
      </c>
      <c r="E3031" s="194" t="s">
        <v>5917</v>
      </c>
      <c r="F3031" s="5" t="s">
        <v>11</v>
      </c>
    </row>
    <row r="3032" ht="18" customHeight="1" spans="1:6">
      <c r="A3032" s="5" t="s">
        <v>5827</v>
      </c>
      <c r="B3032" s="5" t="s">
        <v>5915</v>
      </c>
      <c r="C3032" s="5" t="s">
        <v>5918</v>
      </c>
      <c r="D3032" s="5">
        <v>1</v>
      </c>
      <c r="E3032" s="178" t="s">
        <v>5919</v>
      </c>
      <c r="F3032" s="5" t="s">
        <v>11</v>
      </c>
    </row>
    <row r="3033" ht="18" customHeight="1" spans="1:6">
      <c r="A3033" s="5" t="s">
        <v>5827</v>
      </c>
      <c r="B3033" s="5" t="s">
        <v>5920</v>
      </c>
      <c r="C3033" s="5" t="s">
        <v>5921</v>
      </c>
      <c r="D3033" s="9">
        <v>1</v>
      </c>
      <c r="E3033" s="178" t="s">
        <v>5922</v>
      </c>
      <c r="F3033" s="5" t="s">
        <v>11</v>
      </c>
    </row>
    <row r="3034" ht="18" customHeight="1" spans="1:6">
      <c r="A3034" s="5" t="s">
        <v>5827</v>
      </c>
      <c r="B3034" s="5" t="s">
        <v>5923</v>
      </c>
      <c r="C3034" s="5" t="s">
        <v>5924</v>
      </c>
      <c r="D3034" s="5">
        <v>1</v>
      </c>
      <c r="E3034" s="178" t="s">
        <v>5925</v>
      </c>
      <c r="F3034" s="5" t="s">
        <v>11</v>
      </c>
    </row>
    <row r="3035" ht="18" customHeight="1" spans="1:6">
      <c r="A3035" s="5" t="s">
        <v>5827</v>
      </c>
      <c r="B3035" s="5" t="s">
        <v>5920</v>
      </c>
      <c r="C3035" s="5" t="s">
        <v>5926</v>
      </c>
      <c r="D3035" s="9">
        <v>2</v>
      </c>
      <c r="E3035" s="178" t="s">
        <v>5927</v>
      </c>
      <c r="F3035" s="5" t="s">
        <v>11</v>
      </c>
    </row>
    <row r="3036" ht="18" customHeight="1" spans="1:6">
      <c r="A3036" s="5" t="s">
        <v>5827</v>
      </c>
      <c r="B3036" s="5" t="s">
        <v>5915</v>
      </c>
      <c r="C3036" s="5" t="s">
        <v>5928</v>
      </c>
      <c r="D3036" s="5">
        <v>1</v>
      </c>
      <c r="E3036" s="178" t="s">
        <v>5929</v>
      </c>
      <c r="F3036" s="5" t="s">
        <v>11</v>
      </c>
    </row>
    <row r="3037" ht="18" customHeight="1" spans="1:6">
      <c r="A3037" s="5" t="s">
        <v>5827</v>
      </c>
      <c r="B3037" s="5" t="s">
        <v>5930</v>
      </c>
      <c r="C3037" s="5" t="s">
        <v>5931</v>
      </c>
      <c r="D3037" s="5">
        <v>1</v>
      </c>
      <c r="E3037" s="84" t="s">
        <v>5932</v>
      </c>
      <c r="F3037" s="5" t="s">
        <v>11</v>
      </c>
    </row>
    <row r="3038" ht="18" customHeight="1" spans="1:6">
      <c r="A3038" s="5" t="s">
        <v>5827</v>
      </c>
      <c r="B3038" s="5" t="s">
        <v>5930</v>
      </c>
      <c r="C3038" s="8" t="s">
        <v>5933</v>
      </c>
      <c r="D3038" s="5">
        <v>1</v>
      </c>
      <c r="E3038" s="83" t="s">
        <v>5934</v>
      </c>
      <c r="F3038" s="5" t="s">
        <v>11</v>
      </c>
    </row>
    <row r="3039" ht="18" customHeight="1" spans="1:6">
      <c r="A3039" s="5" t="s">
        <v>5827</v>
      </c>
      <c r="B3039" s="5" t="s">
        <v>5930</v>
      </c>
      <c r="C3039" s="8" t="s">
        <v>5935</v>
      </c>
      <c r="D3039" s="5">
        <v>2</v>
      </c>
      <c r="E3039" s="178" t="s">
        <v>5936</v>
      </c>
      <c r="F3039" s="5" t="s">
        <v>11</v>
      </c>
    </row>
    <row r="3040" ht="18" customHeight="1" spans="1:6">
      <c r="A3040" s="5" t="s">
        <v>5827</v>
      </c>
      <c r="B3040" s="5" t="s">
        <v>5937</v>
      </c>
      <c r="C3040" s="5" t="s">
        <v>5938</v>
      </c>
      <c r="D3040" s="5">
        <v>3</v>
      </c>
      <c r="E3040" s="194" t="s">
        <v>5939</v>
      </c>
      <c r="F3040" s="5" t="s">
        <v>11</v>
      </c>
    </row>
    <row r="3041" ht="18" customHeight="1" spans="1:6">
      <c r="A3041" s="5" t="s">
        <v>5827</v>
      </c>
      <c r="B3041" s="5" t="s">
        <v>5940</v>
      </c>
      <c r="C3041" s="5" t="s">
        <v>5941</v>
      </c>
      <c r="D3041" s="5">
        <v>1</v>
      </c>
      <c r="E3041" s="194" t="s">
        <v>5942</v>
      </c>
      <c r="F3041" s="5" t="s">
        <v>11</v>
      </c>
    </row>
    <row r="3042" ht="18" customHeight="1" spans="1:6">
      <c r="A3042" s="5" t="s">
        <v>5827</v>
      </c>
      <c r="B3042" s="5" t="s">
        <v>5940</v>
      </c>
      <c r="C3042" s="5" t="s">
        <v>5943</v>
      </c>
      <c r="D3042" s="5">
        <v>1</v>
      </c>
      <c r="E3042" s="194" t="s">
        <v>5944</v>
      </c>
      <c r="F3042" s="5" t="s">
        <v>11</v>
      </c>
    </row>
    <row r="3043" ht="18" customHeight="1" spans="1:6">
      <c r="A3043" s="5" t="s">
        <v>5827</v>
      </c>
      <c r="B3043" s="5" t="s">
        <v>5937</v>
      </c>
      <c r="C3043" s="5" t="s">
        <v>5945</v>
      </c>
      <c r="D3043" s="5">
        <v>4</v>
      </c>
      <c r="E3043" s="194" t="s">
        <v>5946</v>
      </c>
      <c r="F3043" s="5" t="s">
        <v>11</v>
      </c>
    </row>
    <row r="3044" ht="18" customHeight="1" spans="1:6">
      <c r="A3044" s="13" t="s">
        <v>5827</v>
      </c>
      <c r="B3044" s="5" t="s">
        <v>5947</v>
      </c>
      <c r="C3044" s="5" t="s">
        <v>5948</v>
      </c>
      <c r="D3044" s="5">
        <v>1</v>
      </c>
      <c r="E3044" s="12" t="s">
        <v>5949</v>
      </c>
      <c r="F3044" s="5" t="s">
        <v>11</v>
      </c>
    </row>
    <row r="3045" ht="18" customHeight="1" spans="1:6">
      <c r="A3045" s="5" t="s">
        <v>5827</v>
      </c>
      <c r="B3045" s="5" t="s">
        <v>5950</v>
      </c>
      <c r="C3045" s="5" t="s">
        <v>5951</v>
      </c>
      <c r="D3045" s="5">
        <v>4</v>
      </c>
      <c r="E3045" s="12" t="s">
        <v>5952</v>
      </c>
      <c r="F3045" s="5" t="s">
        <v>11</v>
      </c>
    </row>
    <row r="3046" ht="18" customHeight="1" spans="1:6">
      <c r="A3046" s="13" t="s">
        <v>5827</v>
      </c>
      <c r="B3046" s="5" t="s">
        <v>5953</v>
      </c>
      <c r="C3046" s="13" t="s">
        <v>5954</v>
      </c>
      <c r="D3046" s="5">
        <v>4</v>
      </c>
      <c r="E3046" s="179" t="s">
        <v>5955</v>
      </c>
      <c r="F3046" s="5" t="s">
        <v>11</v>
      </c>
    </row>
    <row r="3047" ht="18" customHeight="1" spans="1:6">
      <c r="A3047" s="13" t="s">
        <v>5827</v>
      </c>
      <c r="B3047" s="5" t="s">
        <v>5956</v>
      </c>
      <c r="C3047" s="13" t="s">
        <v>3060</v>
      </c>
      <c r="D3047" s="5">
        <v>3</v>
      </c>
      <c r="E3047" s="179" t="s">
        <v>5957</v>
      </c>
      <c r="F3047" s="5" t="s">
        <v>11</v>
      </c>
    </row>
    <row r="3048" ht="18" customHeight="1" spans="1:6">
      <c r="A3048" s="13" t="s">
        <v>5827</v>
      </c>
      <c r="B3048" s="5" t="s">
        <v>5956</v>
      </c>
      <c r="C3048" s="13" t="s">
        <v>5958</v>
      </c>
      <c r="D3048" s="5">
        <v>2</v>
      </c>
      <c r="E3048" s="179" t="s">
        <v>5959</v>
      </c>
      <c r="F3048" s="5" t="s">
        <v>11</v>
      </c>
    </row>
    <row r="3049" ht="18" customHeight="1" spans="1:6">
      <c r="A3049" s="13" t="s">
        <v>5827</v>
      </c>
      <c r="B3049" s="5" t="s">
        <v>5960</v>
      </c>
      <c r="C3049" s="13" t="s">
        <v>5961</v>
      </c>
      <c r="D3049" s="5">
        <v>1</v>
      </c>
      <c r="E3049" s="179" t="s">
        <v>5962</v>
      </c>
      <c r="F3049" s="5" t="s">
        <v>11</v>
      </c>
    </row>
    <row r="3050" ht="18" customHeight="1" spans="1:6">
      <c r="A3050" s="13" t="s">
        <v>5827</v>
      </c>
      <c r="B3050" s="5" t="s">
        <v>5956</v>
      </c>
      <c r="C3050" s="13" t="s">
        <v>5963</v>
      </c>
      <c r="D3050" s="5">
        <v>3</v>
      </c>
      <c r="E3050" s="179" t="s">
        <v>5964</v>
      </c>
      <c r="F3050" s="5" t="s">
        <v>11</v>
      </c>
    </row>
    <row r="3051" ht="18" customHeight="1" spans="1:6">
      <c r="A3051" s="13" t="s">
        <v>5827</v>
      </c>
      <c r="B3051" s="5" t="s">
        <v>5956</v>
      </c>
      <c r="C3051" s="13" t="s">
        <v>5965</v>
      </c>
      <c r="D3051" s="5">
        <v>2</v>
      </c>
      <c r="E3051" s="179" t="s">
        <v>5966</v>
      </c>
      <c r="F3051" s="5" t="s">
        <v>11</v>
      </c>
    </row>
    <row r="3052" ht="18" customHeight="1" spans="1:6">
      <c r="A3052" s="13" t="s">
        <v>5827</v>
      </c>
      <c r="B3052" s="5" t="s">
        <v>5956</v>
      </c>
      <c r="C3052" s="13" t="s">
        <v>5967</v>
      </c>
      <c r="D3052" s="5">
        <v>2</v>
      </c>
      <c r="E3052" s="179" t="s">
        <v>5968</v>
      </c>
      <c r="F3052" s="5" t="s">
        <v>11</v>
      </c>
    </row>
    <row r="3053" ht="18" customHeight="1" spans="1:6">
      <c r="A3053" s="13" t="s">
        <v>5827</v>
      </c>
      <c r="B3053" s="13" t="s">
        <v>5960</v>
      </c>
      <c r="C3053" s="13" t="s">
        <v>5969</v>
      </c>
      <c r="D3053" s="13">
        <v>3</v>
      </c>
      <c r="E3053" s="179" t="s">
        <v>5970</v>
      </c>
      <c r="F3053" s="5" t="s">
        <v>11</v>
      </c>
    </row>
    <row r="3054" ht="18" customHeight="1" spans="1:6">
      <c r="A3054" s="13" t="s">
        <v>5827</v>
      </c>
      <c r="B3054" s="13" t="s">
        <v>5956</v>
      </c>
      <c r="C3054" s="13" t="s">
        <v>5971</v>
      </c>
      <c r="D3054" s="13">
        <v>2</v>
      </c>
      <c r="E3054" s="179" t="s">
        <v>5972</v>
      </c>
      <c r="F3054" s="5" t="s">
        <v>11</v>
      </c>
    </row>
    <row r="3055" ht="18" customHeight="1" spans="1:6">
      <c r="A3055" s="13" t="s">
        <v>5827</v>
      </c>
      <c r="B3055" s="5" t="s">
        <v>5960</v>
      </c>
      <c r="C3055" s="47" t="s">
        <v>5973</v>
      </c>
      <c r="D3055" s="5">
        <v>3</v>
      </c>
      <c r="E3055" s="195" t="s">
        <v>5974</v>
      </c>
      <c r="F3055" s="5" t="s">
        <v>11</v>
      </c>
    </row>
    <row r="3056" ht="18" customHeight="1" spans="1:6">
      <c r="A3056" s="13" t="s">
        <v>5827</v>
      </c>
      <c r="B3056" s="5" t="s">
        <v>5956</v>
      </c>
      <c r="C3056" s="47" t="s">
        <v>5975</v>
      </c>
      <c r="D3056" s="5">
        <v>2</v>
      </c>
      <c r="E3056" s="195" t="s">
        <v>5976</v>
      </c>
      <c r="F3056" s="5" t="s">
        <v>11</v>
      </c>
    </row>
    <row r="3057" ht="18" customHeight="1" spans="1:6">
      <c r="A3057" s="5" t="s">
        <v>5827</v>
      </c>
      <c r="B3057" s="5" t="s">
        <v>5950</v>
      </c>
      <c r="C3057" s="5" t="s">
        <v>5977</v>
      </c>
      <c r="D3057" s="5">
        <v>3</v>
      </c>
      <c r="E3057" s="8" t="s">
        <v>5978</v>
      </c>
      <c r="F3057" s="5" t="s">
        <v>11</v>
      </c>
    </row>
    <row r="3058" ht="18" customHeight="1" spans="1:6">
      <c r="A3058" s="5" t="s">
        <v>5827</v>
      </c>
      <c r="B3058" s="5" t="s">
        <v>5979</v>
      </c>
      <c r="C3058" s="5" t="s">
        <v>5980</v>
      </c>
      <c r="D3058" s="5">
        <v>4</v>
      </c>
      <c r="E3058" s="8" t="s">
        <v>5981</v>
      </c>
      <c r="F3058" s="5" t="s">
        <v>11</v>
      </c>
    </row>
    <row r="3059" ht="18" customHeight="1" spans="1:6">
      <c r="A3059" s="5" t="s">
        <v>5827</v>
      </c>
      <c r="B3059" s="5" t="s">
        <v>5956</v>
      </c>
      <c r="C3059" s="5" t="s">
        <v>5982</v>
      </c>
      <c r="D3059" s="5">
        <v>2</v>
      </c>
      <c r="E3059" s="194" t="s">
        <v>5983</v>
      </c>
      <c r="F3059" s="5" t="s">
        <v>11</v>
      </c>
    </row>
    <row r="3060" ht="18" customHeight="1" spans="1:6">
      <c r="A3060" s="5" t="s">
        <v>5827</v>
      </c>
      <c r="B3060" s="5" t="s">
        <v>5950</v>
      </c>
      <c r="C3060" s="5" t="s">
        <v>5984</v>
      </c>
      <c r="D3060" s="5">
        <v>3</v>
      </c>
      <c r="E3060" s="194" t="s">
        <v>5985</v>
      </c>
      <c r="F3060" s="5" t="s">
        <v>11</v>
      </c>
    </row>
    <row r="3061" ht="18" customHeight="1" spans="1:6">
      <c r="A3061" s="5" t="s">
        <v>5827</v>
      </c>
      <c r="B3061" s="5" t="s">
        <v>5979</v>
      </c>
      <c r="C3061" s="5" t="s">
        <v>5986</v>
      </c>
      <c r="D3061" s="5">
        <v>3</v>
      </c>
      <c r="E3061" s="194" t="s">
        <v>5987</v>
      </c>
      <c r="F3061" s="5" t="s">
        <v>11</v>
      </c>
    </row>
    <row r="3062" ht="18" customHeight="1" spans="1:6">
      <c r="A3062" s="5" t="s">
        <v>5827</v>
      </c>
      <c r="B3062" s="5" t="s">
        <v>5988</v>
      </c>
      <c r="C3062" s="5" t="s">
        <v>5989</v>
      </c>
      <c r="D3062" s="5">
        <v>2</v>
      </c>
      <c r="E3062" s="194" t="s">
        <v>5990</v>
      </c>
      <c r="F3062" s="5" t="s">
        <v>11</v>
      </c>
    </row>
    <row r="3063" ht="18" customHeight="1" spans="1:6">
      <c r="A3063" s="5" t="s">
        <v>5827</v>
      </c>
      <c r="B3063" s="5" t="s">
        <v>5988</v>
      </c>
      <c r="C3063" s="5" t="s">
        <v>5991</v>
      </c>
      <c r="D3063" s="5">
        <v>1</v>
      </c>
      <c r="E3063" s="194" t="s">
        <v>5992</v>
      </c>
      <c r="F3063" s="5" t="s">
        <v>11</v>
      </c>
    </row>
    <row r="3064" ht="18" customHeight="1" spans="1:6">
      <c r="A3064" s="5" t="s">
        <v>5827</v>
      </c>
      <c r="B3064" s="5" t="s">
        <v>5988</v>
      </c>
      <c r="C3064" s="5" t="s">
        <v>5993</v>
      </c>
      <c r="D3064" s="5">
        <v>4</v>
      </c>
      <c r="E3064" s="178" t="s">
        <v>5994</v>
      </c>
      <c r="F3064" s="5" t="s">
        <v>11</v>
      </c>
    </row>
    <row r="3065" ht="18" customHeight="1" spans="1:6">
      <c r="A3065" s="5" t="s">
        <v>5827</v>
      </c>
      <c r="B3065" s="5" t="s">
        <v>5988</v>
      </c>
      <c r="C3065" s="5" t="s">
        <v>5995</v>
      </c>
      <c r="D3065" s="5">
        <v>2</v>
      </c>
      <c r="E3065" s="12" t="s">
        <v>5996</v>
      </c>
      <c r="F3065" s="5" t="s">
        <v>11</v>
      </c>
    </row>
    <row r="3066" ht="18" customHeight="1" spans="1:6">
      <c r="A3066" s="5" t="s">
        <v>5827</v>
      </c>
      <c r="B3066" s="5" t="s">
        <v>5988</v>
      </c>
      <c r="C3066" s="5" t="s">
        <v>5997</v>
      </c>
      <c r="D3066" s="5">
        <v>2</v>
      </c>
      <c r="E3066" s="12" t="s">
        <v>5998</v>
      </c>
      <c r="F3066" s="5" t="s">
        <v>11</v>
      </c>
    </row>
    <row r="3067" ht="18" customHeight="1" spans="1:6">
      <c r="A3067" s="5" t="s">
        <v>5827</v>
      </c>
      <c r="B3067" s="5" t="s">
        <v>5988</v>
      </c>
      <c r="C3067" s="5" t="s">
        <v>5999</v>
      </c>
      <c r="D3067" s="5">
        <v>2</v>
      </c>
      <c r="E3067" s="12" t="s">
        <v>6000</v>
      </c>
      <c r="F3067" s="5" t="s">
        <v>11</v>
      </c>
    </row>
    <row r="3068" ht="18" customHeight="1" spans="1:6">
      <c r="A3068" s="5" t="s">
        <v>5827</v>
      </c>
      <c r="B3068" s="5" t="s">
        <v>5988</v>
      </c>
      <c r="C3068" s="5" t="s">
        <v>6001</v>
      </c>
      <c r="D3068" s="5">
        <v>1</v>
      </c>
      <c r="E3068" s="12" t="s">
        <v>6002</v>
      </c>
      <c r="F3068" s="5" t="s">
        <v>11</v>
      </c>
    </row>
    <row r="3069" ht="18" customHeight="1" spans="1:6">
      <c r="A3069" s="13" t="s">
        <v>5827</v>
      </c>
      <c r="B3069" s="5" t="s">
        <v>5988</v>
      </c>
      <c r="C3069" s="13" t="s">
        <v>6003</v>
      </c>
      <c r="D3069" s="13">
        <v>1</v>
      </c>
      <c r="E3069" s="14" t="s">
        <v>6004</v>
      </c>
      <c r="F3069" s="5" t="s">
        <v>11</v>
      </c>
    </row>
    <row r="3070" ht="18" customHeight="1" spans="1:6">
      <c r="A3070" s="13" t="s">
        <v>5827</v>
      </c>
      <c r="B3070" s="5" t="s">
        <v>5988</v>
      </c>
      <c r="C3070" s="13" t="s">
        <v>6005</v>
      </c>
      <c r="D3070" s="13">
        <v>2</v>
      </c>
      <c r="E3070" s="14" t="s">
        <v>6006</v>
      </c>
      <c r="F3070" s="5" t="s">
        <v>11</v>
      </c>
    </row>
    <row r="3071" ht="18" customHeight="1" spans="1:6">
      <c r="A3071" s="5" t="s">
        <v>5827</v>
      </c>
      <c r="B3071" s="5" t="s">
        <v>5988</v>
      </c>
      <c r="C3071" s="5" t="s">
        <v>6007</v>
      </c>
      <c r="D3071" s="5">
        <v>3</v>
      </c>
      <c r="E3071" s="12" t="s">
        <v>6008</v>
      </c>
      <c r="F3071" s="5" t="s">
        <v>11</v>
      </c>
    </row>
    <row r="3072" ht="18" customHeight="1" spans="1:6">
      <c r="A3072" s="5" t="s">
        <v>5827</v>
      </c>
      <c r="B3072" s="5" t="s">
        <v>5988</v>
      </c>
      <c r="C3072" s="5" t="s">
        <v>6009</v>
      </c>
      <c r="D3072" s="5">
        <v>5</v>
      </c>
      <c r="E3072" s="12" t="s">
        <v>6010</v>
      </c>
      <c r="F3072" s="5" t="s">
        <v>11</v>
      </c>
    </row>
    <row r="3073" ht="18" customHeight="1" spans="1:6">
      <c r="A3073" s="5" t="s">
        <v>5827</v>
      </c>
      <c r="B3073" s="5" t="s">
        <v>5988</v>
      </c>
      <c r="C3073" s="5" t="s">
        <v>6011</v>
      </c>
      <c r="D3073" s="5">
        <v>3</v>
      </c>
      <c r="E3073" s="12" t="s">
        <v>6012</v>
      </c>
      <c r="F3073" s="5" t="s">
        <v>11</v>
      </c>
    </row>
    <row r="3074" ht="18" customHeight="1" spans="1:6">
      <c r="A3074" s="5" t="s">
        <v>5827</v>
      </c>
      <c r="B3074" s="5" t="s">
        <v>5988</v>
      </c>
      <c r="C3074" s="5" t="s">
        <v>6013</v>
      </c>
      <c r="D3074" s="5">
        <v>3</v>
      </c>
      <c r="E3074" s="12" t="s">
        <v>6014</v>
      </c>
      <c r="F3074" s="5" t="s">
        <v>11</v>
      </c>
    </row>
    <row r="3075" ht="18" customHeight="1" spans="1:6">
      <c r="A3075" s="5" t="s">
        <v>5827</v>
      </c>
      <c r="B3075" s="5" t="s">
        <v>5988</v>
      </c>
      <c r="C3075" s="5" t="s">
        <v>6015</v>
      </c>
      <c r="D3075" s="5">
        <v>1</v>
      </c>
      <c r="E3075" s="12" t="s">
        <v>6016</v>
      </c>
      <c r="F3075" s="5" t="s">
        <v>11</v>
      </c>
    </row>
    <row r="3076" ht="18" customHeight="1" spans="1:6">
      <c r="A3076" s="5" t="s">
        <v>5827</v>
      </c>
      <c r="B3076" s="5" t="s">
        <v>5988</v>
      </c>
      <c r="C3076" s="13" t="s">
        <v>6017</v>
      </c>
      <c r="D3076" s="13">
        <v>1</v>
      </c>
      <c r="E3076" s="14" t="s">
        <v>6018</v>
      </c>
      <c r="F3076" s="5" t="s">
        <v>11</v>
      </c>
    </row>
    <row r="3077" ht="18" customHeight="1" spans="1:6">
      <c r="A3077" s="5" t="s">
        <v>5827</v>
      </c>
      <c r="B3077" s="5" t="s">
        <v>5988</v>
      </c>
      <c r="C3077" s="13" t="s">
        <v>6019</v>
      </c>
      <c r="D3077" s="13">
        <v>2</v>
      </c>
      <c r="E3077" s="14" t="s">
        <v>6020</v>
      </c>
      <c r="F3077" s="5" t="s">
        <v>11</v>
      </c>
    </row>
    <row r="3078" ht="18" customHeight="1" spans="1:6">
      <c r="A3078" s="5" t="s">
        <v>5827</v>
      </c>
      <c r="B3078" s="5" t="s">
        <v>6021</v>
      </c>
      <c r="C3078" s="5" t="s">
        <v>6022</v>
      </c>
      <c r="D3078" s="5">
        <v>2</v>
      </c>
      <c r="E3078" s="12" t="s">
        <v>6023</v>
      </c>
      <c r="F3078" s="13" t="s">
        <v>11</v>
      </c>
    </row>
    <row r="3079" ht="18" customHeight="1" spans="1:6">
      <c r="A3079" s="5" t="s">
        <v>5827</v>
      </c>
      <c r="B3079" s="5" t="s">
        <v>6024</v>
      </c>
      <c r="C3079" s="5" t="s">
        <v>6025</v>
      </c>
      <c r="D3079" s="5">
        <v>2</v>
      </c>
      <c r="E3079" s="12" t="s">
        <v>6026</v>
      </c>
      <c r="F3079" s="13" t="s">
        <v>11</v>
      </c>
    </row>
    <row r="3080" ht="18" customHeight="1" spans="1:6">
      <c r="A3080" s="13" t="s">
        <v>5827</v>
      </c>
      <c r="B3080" s="5" t="s">
        <v>6027</v>
      </c>
      <c r="C3080" s="5" t="s">
        <v>6028</v>
      </c>
      <c r="D3080" s="5">
        <v>3</v>
      </c>
      <c r="E3080" s="14" t="s">
        <v>6029</v>
      </c>
      <c r="F3080" s="5" t="s">
        <v>4458</v>
      </c>
    </row>
    <row r="3081" ht="18" customHeight="1" spans="1:6">
      <c r="A3081" s="13" t="s">
        <v>5827</v>
      </c>
      <c r="B3081" s="5" t="s">
        <v>6027</v>
      </c>
      <c r="C3081" s="5" t="s">
        <v>6030</v>
      </c>
      <c r="D3081" s="5">
        <v>4</v>
      </c>
      <c r="E3081" s="192" t="s">
        <v>6031</v>
      </c>
      <c r="F3081" s="5" t="s">
        <v>4458</v>
      </c>
    </row>
    <row r="3082" ht="18" customHeight="1" spans="1:6">
      <c r="A3082" s="5" t="s">
        <v>5827</v>
      </c>
      <c r="B3082" s="5" t="s">
        <v>6027</v>
      </c>
      <c r="C3082" s="5" t="s">
        <v>6032</v>
      </c>
      <c r="D3082" s="5">
        <v>2</v>
      </c>
      <c r="E3082" s="12" t="s">
        <v>6033</v>
      </c>
      <c r="F3082" s="5" t="s">
        <v>4458</v>
      </c>
    </row>
    <row r="3083" ht="18" customHeight="1" spans="1:6">
      <c r="A3083" s="5" t="s">
        <v>5827</v>
      </c>
      <c r="B3083" s="5" t="s">
        <v>6034</v>
      </c>
      <c r="C3083" s="5" t="s">
        <v>6035</v>
      </c>
      <c r="D3083" s="5">
        <v>3</v>
      </c>
      <c r="E3083" s="12" t="s">
        <v>6036</v>
      </c>
      <c r="F3083" s="5" t="s">
        <v>4458</v>
      </c>
    </row>
    <row r="3084" ht="18" customHeight="1" spans="1:6">
      <c r="A3084" s="5" t="s">
        <v>5827</v>
      </c>
      <c r="B3084" s="5" t="s">
        <v>6027</v>
      </c>
      <c r="C3084" s="5" t="s">
        <v>6037</v>
      </c>
      <c r="D3084" s="5">
        <v>2</v>
      </c>
      <c r="E3084" s="12" t="s">
        <v>6038</v>
      </c>
      <c r="F3084" s="5" t="s">
        <v>4458</v>
      </c>
    </row>
    <row r="3085" ht="18" customHeight="1" spans="1:6">
      <c r="A3085" s="13" t="s">
        <v>5827</v>
      </c>
      <c r="B3085" s="5" t="s">
        <v>6027</v>
      </c>
      <c r="C3085" s="5" t="s">
        <v>6039</v>
      </c>
      <c r="D3085" s="5">
        <v>4</v>
      </c>
      <c r="E3085" s="192" t="s">
        <v>6040</v>
      </c>
      <c r="F3085" s="5" t="s">
        <v>4458</v>
      </c>
    </row>
    <row r="3086" ht="18" customHeight="1" spans="1:6">
      <c r="A3086" s="5" t="s">
        <v>5827</v>
      </c>
      <c r="B3086" s="5" t="s">
        <v>6041</v>
      </c>
      <c r="C3086" s="5" t="s">
        <v>6042</v>
      </c>
      <c r="D3086" s="5">
        <v>2</v>
      </c>
      <c r="E3086" s="12" t="s">
        <v>6043</v>
      </c>
      <c r="F3086" s="5" t="s">
        <v>11</v>
      </c>
    </row>
    <row r="3087" ht="18" customHeight="1" spans="1:6">
      <c r="A3087" s="13" t="s">
        <v>5827</v>
      </c>
      <c r="B3087" s="5" t="s">
        <v>6041</v>
      </c>
      <c r="C3087" s="5" t="s">
        <v>6044</v>
      </c>
      <c r="D3087" s="5">
        <v>2</v>
      </c>
      <c r="E3087" s="14" t="s">
        <v>6045</v>
      </c>
      <c r="F3087" s="5" t="s">
        <v>11</v>
      </c>
    </row>
    <row r="3088" ht="18" customHeight="1" spans="1:6">
      <c r="A3088" s="5" t="s">
        <v>5827</v>
      </c>
      <c r="B3088" s="5" t="s">
        <v>6046</v>
      </c>
      <c r="C3088" s="5" t="s">
        <v>6047</v>
      </c>
      <c r="D3088" s="5">
        <v>2</v>
      </c>
      <c r="E3088" s="12" t="s">
        <v>6048</v>
      </c>
      <c r="F3088" s="5" t="s">
        <v>11</v>
      </c>
    </row>
    <row r="3089" ht="18" customHeight="1" spans="1:6">
      <c r="A3089" s="13" t="s">
        <v>5827</v>
      </c>
      <c r="B3089" s="5" t="s">
        <v>6049</v>
      </c>
      <c r="C3089" s="5" t="s">
        <v>6050</v>
      </c>
      <c r="D3089" s="5">
        <v>4</v>
      </c>
      <c r="E3089" s="192" t="s">
        <v>6051</v>
      </c>
      <c r="F3089" s="5" t="s">
        <v>11</v>
      </c>
    </row>
    <row r="3090" ht="18" customHeight="1" spans="1:6">
      <c r="A3090" s="5" t="s">
        <v>5827</v>
      </c>
      <c r="B3090" s="5" t="s">
        <v>6052</v>
      </c>
      <c r="C3090" s="5" t="s">
        <v>6053</v>
      </c>
      <c r="D3090" s="5">
        <v>1</v>
      </c>
      <c r="E3090" s="12" t="s">
        <v>6054</v>
      </c>
      <c r="F3090" s="5" t="s">
        <v>11</v>
      </c>
    </row>
    <row r="3091" ht="18" customHeight="1" spans="1:6">
      <c r="A3091" s="5" t="s">
        <v>5827</v>
      </c>
      <c r="B3091" s="5" t="s">
        <v>6049</v>
      </c>
      <c r="C3091" s="5" t="s">
        <v>6055</v>
      </c>
      <c r="D3091" s="5">
        <v>4</v>
      </c>
      <c r="E3091" s="12" t="s">
        <v>6056</v>
      </c>
      <c r="F3091" s="5" t="s">
        <v>11</v>
      </c>
    </row>
    <row r="3092" ht="18" customHeight="1" spans="1:6">
      <c r="A3092" s="5" t="s">
        <v>5827</v>
      </c>
      <c r="B3092" s="5" t="s">
        <v>6052</v>
      </c>
      <c r="C3092" s="5" t="s">
        <v>6057</v>
      </c>
      <c r="D3092" s="5">
        <v>2</v>
      </c>
      <c r="E3092" s="12" t="s">
        <v>6058</v>
      </c>
      <c r="F3092" s="5" t="s">
        <v>11</v>
      </c>
    </row>
    <row r="3093" ht="18" customHeight="1" spans="1:6">
      <c r="A3093" s="5" t="s">
        <v>5827</v>
      </c>
      <c r="B3093" s="5" t="s">
        <v>6049</v>
      </c>
      <c r="C3093" s="5" t="s">
        <v>6059</v>
      </c>
      <c r="D3093" s="5">
        <v>4</v>
      </c>
      <c r="E3093" s="188" t="s">
        <v>6060</v>
      </c>
      <c r="F3093" s="5" t="s">
        <v>11</v>
      </c>
    </row>
    <row r="3094" ht="18" customHeight="1" spans="1:6">
      <c r="A3094" s="5" t="s">
        <v>5827</v>
      </c>
      <c r="B3094" s="5" t="s">
        <v>6052</v>
      </c>
      <c r="C3094" s="5" t="s">
        <v>6061</v>
      </c>
      <c r="D3094" s="5">
        <v>3</v>
      </c>
      <c r="E3094" s="12" t="s">
        <v>6062</v>
      </c>
      <c r="F3094" s="5" t="s">
        <v>11</v>
      </c>
    </row>
    <row r="3095" ht="18" customHeight="1" spans="1:6">
      <c r="A3095" s="5" t="s">
        <v>5827</v>
      </c>
      <c r="B3095" s="5" t="s">
        <v>6063</v>
      </c>
      <c r="C3095" s="5" t="s">
        <v>6064</v>
      </c>
      <c r="D3095" s="5">
        <v>4</v>
      </c>
      <c r="E3095" s="12" t="s">
        <v>6065</v>
      </c>
      <c r="F3095" s="5" t="s">
        <v>11</v>
      </c>
    </row>
    <row r="3096" ht="18" customHeight="1" spans="1:6">
      <c r="A3096" s="13" t="s">
        <v>5827</v>
      </c>
      <c r="B3096" s="5" t="s">
        <v>6063</v>
      </c>
      <c r="C3096" s="5" t="s">
        <v>6066</v>
      </c>
      <c r="D3096" s="5">
        <v>5</v>
      </c>
      <c r="E3096" s="12" t="s">
        <v>6067</v>
      </c>
      <c r="F3096" s="5" t="s">
        <v>11</v>
      </c>
    </row>
    <row r="3097" ht="18" customHeight="1" spans="1:6">
      <c r="A3097" s="13" t="s">
        <v>5827</v>
      </c>
      <c r="B3097" s="5" t="s">
        <v>6068</v>
      </c>
      <c r="C3097" s="5" t="s">
        <v>6069</v>
      </c>
      <c r="D3097" s="5">
        <v>3</v>
      </c>
      <c r="E3097" s="12" t="s">
        <v>6070</v>
      </c>
      <c r="F3097" s="5" t="s">
        <v>11</v>
      </c>
    </row>
    <row r="3098" ht="18" customHeight="1" spans="1:6">
      <c r="A3098" s="13" t="s">
        <v>5827</v>
      </c>
      <c r="B3098" s="5" t="s">
        <v>6068</v>
      </c>
      <c r="C3098" s="5" t="s">
        <v>6071</v>
      </c>
      <c r="D3098" s="5">
        <v>3</v>
      </c>
      <c r="E3098" s="12" t="s">
        <v>6072</v>
      </c>
      <c r="F3098" s="5" t="s">
        <v>11</v>
      </c>
    </row>
    <row r="3099" ht="18" customHeight="1" spans="1:6">
      <c r="A3099" s="13" t="s">
        <v>5827</v>
      </c>
      <c r="B3099" s="5" t="s">
        <v>6063</v>
      </c>
      <c r="C3099" s="5" t="s">
        <v>6073</v>
      </c>
      <c r="D3099" s="5">
        <v>4</v>
      </c>
      <c r="E3099" s="12" t="s">
        <v>6074</v>
      </c>
      <c r="F3099" s="5" t="s">
        <v>11</v>
      </c>
    </row>
    <row r="3100" ht="18" customHeight="1" spans="1:6">
      <c r="A3100" s="13" t="s">
        <v>5827</v>
      </c>
      <c r="B3100" s="5" t="s">
        <v>6075</v>
      </c>
      <c r="C3100" s="5" t="s">
        <v>6076</v>
      </c>
      <c r="D3100" s="5">
        <v>3</v>
      </c>
      <c r="E3100" s="12" t="s">
        <v>6077</v>
      </c>
      <c r="F3100" s="5" t="s">
        <v>11</v>
      </c>
    </row>
    <row r="3101" ht="18" customHeight="1" spans="1:6">
      <c r="A3101" s="5" t="s">
        <v>5827</v>
      </c>
      <c r="B3101" s="19" t="s">
        <v>6078</v>
      </c>
      <c r="C3101" s="19" t="s">
        <v>6079</v>
      </c>
      <c r="D3101" s="19">
        <v>4</v>
      </c>
      <c r="E3101" s="87" t="s">
        <v>6080</v>
      </c>
      <c r="F3101" s="19" t="s">
        <v>11</v>
      </c>
    </row>
    <row r="3102" ht="18" customHeight="1" spans="1:6">
      <c r="A3102" s="5" t="s">
        <v>5827</v>
      </c>
      <c r="B3102" s="19" t="s">
        <v>6081</v>
      </c>
      <c r="C3102" s="19" t="s">
        <v>6082</v>
      </c>
      <c r="D3102" s="19">
        <v>5</v>
      </c>
      <c r="E3102" s="87" t="s">
        <v>6083</v>
      </c>
      <c r="F3102" s="19" t="s">
        <v>11</v>
      </c>
    </row>
    <row r="3103" ht="18" customHeight="1" spans="1:6">
      <c r="A3103" s="5" t="s">
        <v>5827</v>
      </c>
      <c r="B3103" s="19" t="s">
        <v>6081</v>
      </c>
      <c r="C3103" s="19" t="s">
        <v>6084</v>
      </c>
      <c r="D3103" s="19">
        <v>4</v>
      </c>
      <c r="E3103" s="87" t="s">
        <v>6085</v>
      </c>
      <c r="F3103" s="19" t="s">
        <v>11</v>
      </c>
    </row>
    <row r="3104" ht="18" customHeight="1" spans="1:6">
      <c r="A3104" s="5" t="s">
        <v>5827</v>
      </c>
      <c r="B3104" s="19" t="s">
        <v>6086</v>
      </c>
      <c r="C3104" s="19" t="s">
        <v>6087</v>
      </c>
      <c r="D3104" s="19">
        <v>3</v>
      </c>
      <c r="E3104" s="87" t="s">
        <v>6088</v>
      </c>
      <c r="F3104" s="19" t="s">
        <v>11</v>
      </c>
    </row>
    <row r="3105" ht="18" customHeight="1" spans="1:6">
      <c r="A3105" s="5" t="s">
        <v>5827</v>
      </c>
      <c r="B3105" s="19" t="s">
        <v>6081</v>
      </c>
      <c r="C3105" s="19" t="s">
        <v>6089</v>
      </c>
      <c r="D3105" s="19">
        <v>3</v>
      </c>
      <c r="E3105" s="87" t="s">
        <v>6090</v>
      </c>
      <c r="F3105" s="19" t="s">
        <v>11</v>
      </c>
    </row>
    <row r="3106" ht="18" customHeight="1" spans="1:6">
      <c r="A3106" s="5" t="s">
        <v>5827</v>
      </c>
      <c r="B3106" s="19" t="s">
        <v>6086</v>
      </c>
      <c r="C3106" s="19" t="s">
        <v>6091</v>
      </c>
      <c r="D3106" s="19">
        <v>2</v>
      </c>
      <c r="E3106" s="87" t="s">
        <v>6092</v>
      </c>
      <c r="F3106" s="19" t="s">
        <v>11</v>
      </c>
    </row>
    <row r="3107" ht="18" customHeight="1" spans="1:6">
      <c r="A3107" s="5" t="s">
        <v>5827</v>
      </c>
      <c r="B3107" s="19" t="s">
        <v>6081</v>
      </c>
      <c r="C3107" s="19" t="s">
        <v>4946</v>
      </c>
      <c r="D3107" s="19">
        <v>3</v>
      </c>
      <c r="E3107" s="87" t="s">
        <v>6093</v>
      </c>
      <c r="F3107" s="19" t="s">
        <v>11</v>
      </c>
    </row>
    <row r="3108" ht="18" customHeight="1" spans="1:6">
      <c r="A3108" s="5" t="s">
        <v>5827</v>
      </c>
      <c r="B3108" s="19" t="s">
        <v>6078</v>
      </c>
      <c r="C3108" s="19" t="s">
        <v>6094</v>
      </c>
      <c r="D3108" s="19">
        <v>4</v>
      </c>
      <c r="E3108" s="87" t="s">
        <v>6095</v>
      </c>
      <c r="F3108" s="19" t="s">
        <v>11</v>
      </c>
    </row>
    <row r="3109" ht="18" customHeight="1" spans="1:6">
      <c r="A3109" s="5" t="s">
        <v>5827</v>
      </c>
      <c r="B3109" s="19" t="s">
        <v>6078</v>
      </c>
      <c r="C3109" s="19" t="s">
        <v>6096</v>
      </c>
      <c r="D3109" s="19">
        <v>2</v>
      </c>
      <c r="E3109" s="87" t="s">
        <v>6097</v>
      </c>
      <c r="F3109" s="19" t="s">
        <v>11</v>
      </c>
    </row>
    <row r="3110" ht="18" customHeight="1" spans="1:6">
      <c r="A3110" s="5" t="s">
        <v>5827</v>
      </c>
      <c r="B3110" s="19" t="s">
        <v>6098</v>
      </c>
      <c r="C3110" s="19" t="s">
        <v>6099</v>
      </c>
      <c r="D3110" s="19">
        <v>4</v>
      </c>
      <c r="E3110" s="87" t="s">
        <v>6100</v>
      </c>
      <c r="F3110" s="19" t="s">
        <v>11</v>
      </c>
    </row>
    <row r="3111" ht="18" customHeight="1" spans="1:6">
      <c r="A3111" s="5" t="s">
        <v>5827</v>
      </c>
      <c r="B3111" s="19" t="s">
        <v>6098</v>
      </c>
      <c r="C3111" s="19" t="s">
        <v>6101</v>
      </c>
      <c r="D3111" s="19">
        <v>1</v>
      </c>
      <c r="E3111" s="5" t="s">
        <v>6102</v>
      </c>
      <c r="F3111" s="19" t="s">
        <v>11</v>
      </c>
    </row>
    <row r="3112" ht="18" customHeight="1" spans="1:6">
      <c r="A3112" s="5" t="s">
        <v>5827</v>
      </c>
      <c r="B3112" s="19" t="s">
        <v>6103</v>
      </c>
      <c r="C3112" s="19" t="s">
        <v>6104</v>
      </c>
      <c r="D3112" s="19">
        <v>3</v>
      </c>
      <c r="E3112" s="87" t="s">
        <v>6105</v>
      </c>
      <c r="F3112" s="19" t="s">
        <v>11</v>
      </c>
    </row>
    <row r="3113" ht="18" customHeight="1" spans="1:6">
      <c r="A3113" s="5" t="s">
        <v>5827</v>
      </c>
      <c r="B3113" s="19" t="s">
        <v>6106</v>
      </c>
      <c r="C3113" s="19" t="s">
        <v>6107</v>
      </c>
      <c r="D3113" s="19">
        <v>5</v>
      </c>
      <c r="E3113" s="87" t="s">
        <v>6108</v>
      </c>
      <c r="F3113" s="19" t="s">
        <v>11</v>
      </c>
    </row>
    <row r="3114" ht="18" customHeight="1" spans="1:6">
      <c r="A3114" s="5" t="s">
        <v>5827</v>
      </c>
      <c r="B3114" s="19" t="s">
        <v>6081</v>
      </c>
      <c r="C3114" s="19" t="s">
        <v>6109</v>
      </c>
      <c r="D3114" s="19">
        <v>3</v>
      </c>
      <c r="E3114" s="87" t="s">
        <v>6110</v>
      </c>
      <c r="F3114" s="19" t="s">
        <v>11</v>
      </c>
    </row>
    <row r="3115" ht="18" customHeight="1" spans="1:6">
      <c r="A3115" s="5" t="s">
        <v>5827</v>
      </c>
      <c r="B3115" s="19" t="s">
        <v>6098</v>
      </c>
      <c r="C3115" s="19" t="s">
        <v>6111</v>
      </c>
      <c r="D3115" s="19">
        <v>4</v>
      </c>
      <c r="E3115" s="87" t="s">
        <v>6112</v>
      </c>
      <c r="F3115" s="19" t="s">
        <v>11</v>
      </c>
    </row>
    <row r="3116" ht="18" customHeight="1" spans="1:6">
      <c r="A3116" s="5" t="s">
        <v>5827</v>
      </c>
      <c r="B3116" s="19" t="s">
        <v>6078</v>
      </c>
      <c r="C3116" s="19" t="s">
        <v>6113</v>
      </c>
      <c r="D3116" s="19">
        <v>1</v>
      </c>
      <c r="E3116" s="87" t="s">
        <v>6114</v>
      </c>
      <c r="F3116" s="19" t="s">
        <v>11</v>
      </c>
    </row>
    <row r="3117" ht="18" customHeight="1" spans="1:6">
      <c r="A3117" s="5" t="s">
        <v>5827</v>
      </c>
      <c r="B3117" s="19" t="s">
        <v>6078</v>
      </c>
      <c r="C3117" s="19" t="s">
        <v>6115</v>
      </c>
      <c r="D3117" s="19">
        <v>1</v>
      </c>
      <c r="E3117" s="87" t="s">
        <v>6116</v>
      </c>
      <c r="F3117" s="19" t="s">
        <v>11</v>
      </c>
    </row>
    <row r="3118" ht="18" customHeight="1" spans="1:6">
      <c r="A3118" s="5" t="s">
        <v>5827</v>
      </c>
      <c r="B3118" s="19" t="s">
        <v>6103</v>
      </c>
      <c r="C3118" s="19" t="s">
        <v>6117</v>
      </c>
      <c r="D3118" s="19">
        <v>1</v>
      </c>
      <c r="E3118" s="87" t="s">
        <v>6118</v>
      </c>
      <c r="F3118" s="19" t="s">
        <v>11</v>
      </c>
    </row>
    <row r="3119" ht="18" customHeight="1" spans="1:6">
      <c r="A3119" s="13" t="s">
        <v>5827</v>
      </c>
      <c r="B3119" s="19" t="s">
        <v>6081</v>
      </c>
      <c r="C3119" s="19" t="s">
        <v>6119</v>
      </c>
      <c r="D3119" s="19">
        <v>3</v>
      </c>
      <c r="E3119" s="87" t="s">
        <v>6120</v>
      </c>
      <c r="F3119" s="19" t="s">
        <v>11</v>
      </c>
    </row>
    <row r="3120" ht="18" customHeight="1" spans="1:6">
      <c r="A3120" s="13" t="s">
        <v>5827</v>
      </c>
      <c r="B3120" s="19" t="s">
        <v>6081</v>
      </c>
      <c r="C3120" s="19" t="s">
        <v>6121</v>
      </c>
      <c r="D3120" s="19">
        <v>2</v>
      </c>
      <c r="E3120" s="87" t="s">
        <v>6122</v>
      </c>
      <c r="F3120" s="19" t="s">
        <v>11</v>
      </c>
    </row>
    <row r="3121" ht="18" customHeight="1" spans="1:6">
      <c r="A3121" s="13" t="s">
        <v>5827</v>
      </c>
      <c r="B3121" s="19" t="s">
        <v>6106</v>
      </c>
      <c r="C3121" s="19" t="s">
        <v>6123</v>
      </c>
      <c r="D3121" s="19">
        <v>4</v>
      </c>
      <c r="E3121" s="87" t="s">
        <v>6124</v>
      </c>
      <c r="F3121" s="19" t="s">
        <v>11</v>
      </c>
    </row>
    <row r="3122" ht="18" customHeight="1" spans="1:6">
      <c r="A3122" s="13" t="s">
        <v>5827</v>
      </c>
      <c r="B3122" s="19" t="s">
        <v>6103</v>
      </c>
      <c r="C3122" s="19" t="s">
        <v>6125</v>
      </c>
      <c r="D3122" s="19">
        <v>2</v>
      </c>
      <c r="E3122" s="179" t="s">
        <v>6126</v>
      </c>
      <c r="F3122" s="19" t="s">
        <v>11</v>
      </c>
    </row>
    <row r="3123" ht="18" customHeight="1" spans="1:6">
      <c r="A3123" s="5" t="s">
        <v>5827</v>
      </c>
      <c r="B3123" s="19" t="s">
        <v>6078</v>
      </c>
      <c r="C3123" s="19" t="s">
        <v>6127</v>
      </c>
      <c r="D3123" s="19">
        <v>2</v>
      </c>
      <c r="E3123" s="87" t="s">
        <v>6128</v>
      </c>
      <c r="F3123" s="19" t="s">
        <v>11</v>
      </c>
    </row>
    <row r="3124" ht="18" customHeight="1" spans="1:6">
      <c r="A3124" s="5" t="s">
        <v>5827</v>
      </c>
      <c r="B3124" s="5" t="s">
        <v>6129</v>
      </c>
      <c r="C3124" s="5" t="s">
        <v>6130</v>
      </c>
      <c r="D3124" s="5">
        <v>4</v>
      </c>
      <c r="E3124" s="137" t="s">
        <v>6131</v>
      </c>
      <c r="F3124" s="5" t="s">
        <v>11</v>
      </c>
    </row>
    <row r="3125" ht="18" customHeight="1" spans="1:6">
      <c r="A3125" s="5" t="s">
        <v>5827</v>
      </c>
      <c r="B3125" s="5" t="s">
        <v>6129</v>
      </c>
      <c r="C3125" s="5" t="s">
        <v>6132</v>
      </c>
      <c r="D3125" s="13">
        <v>2</v>
      </c>
      <c r="E3125" s="137" t="s">
        <v>6133</v>
      </c>
      <c r="F3125" s="5" t="s">
        <v>11</v>
      </c>
    </row>
    <row r="3126" ht="18" customHeight="1" spans="1:6">
      <c r="A3126" s="13" t="s">
        <v>5827</v>
      </c>
      <c r="B3126" s="13" t="s">
        <v>5839</v>
      </c>
      <c r="C3126" s="13" t="s">
        <v>6134</v>
      </c>
      <c r="D3126" s="13">
        <v>1</v>
      </c>
      <c r="E3126" s="179" t="s">
        <v>6135</v>
      </c>
      <c r="F3126" s="13" t="s">
        <v>4458</v>
      </c>
    </row>
    <row r="3127" ht="18" customHeight="1" spans="1:6">
      <c r="A3127" s="13" t="s">
        <v>5827</v>
      </c>
      <c r="B3127" s="13" t="s">
        <v>5839</v>
      </c>
      <c r="C3127" s="13" t="s">
        <v>6136</v>
      </c>
      <c r="D3127" s="13">
        <v>2</v>
      </c>
      <c r="E3127" s="179" t="s">
        <v>6137</v>
      </c>
      <c r="F3127" s="13" t="s">
        <v>4458</v>
      </c>
    </row>
    <row r="3128" ht="18" customHeight="1" spans="1:6">
      <c r="A3128" s="13" t="s">
        <v>5827</v>
      </c>
      <c r="B3128" s="13" t="s">
        <v>5839</v>
      </c>
      <c r="C3128" s="13" t="s">
        <v>6138</v>
      </c>
      <c r="D3128" s="13"/>
      <c r="E3128" s="179" t="s">
        <v>6139</v>
      </c>
      <c r="F3128" s="13"/>
    </row>
    <row r="3129" ht="18" customHeight="1" spans="1:6">
      <c r="A3129" s="13" t="s">
        <v>5827</v>
      </c>
      <c r="B3129" s="13" t="s">
        <v>5902</v>
      </c>
      <c r="C3129" s="13" t="s">
        <v>6140</v>
      </c>
      <c r="D3129" s="13">
        <v>1</v>
      </c>
      <c r="E3129" s="13" t="s">
        <v>6141</v>
      </c>
      <c r="F3129" s="13" t="s">
        <v>11</v>
      </c>
    </row>
    <row r="3130" ht="18" customHeight="1" spans="1:6">
      <c r="A3130" s="13" t="s">
        <v>5827</v>
      </c>
      <c r="B3130" s="13" t="s">
        <v>5902</v>
      </c>
      <c r="C3130" s="13" t="s">
        <v>6142</v>
      </c>
      <c r="D3130" s="13">
        <v>1</v>
      </c>
      <c r="E3130" s="179" t="s">
        <v>6143</v>
      </c>
      <c r="F3130" s="13" t="s">
        <v>11</v>
      </c>
    </row>
    <row r="3131" ht="18" customHeight="1" spans="1:6">
      <c r="A3131" s="13" t="s">
        <v>5827</v>
      </c>
      <c r="B3131" s="13" t="s">
        <v>5912</v>
      </c>
      <c r="C3131" s="13" t="s">
        <v>6144</v>
      </c>
      <c r="D3131" s="13">
        <v>1</v>
      </c>
      <c r="E3131" s="179" t="s">
        <v>6145</v>
      </c>
      <c r="F3131" s="13" t="s">
        <v>11</v>
      </c>
    </row>
    <row r="3132" ht="18" customHeight="1" spans="1:6">
      <c r="A3132" s="13" t="s">
        <v>5827</v>
      </c>
      <c r="B3132" s="13" t="s">
        <v>5909</v>
      </c>
      <c r="C3132" s="13" t="s">
        <v>6146</v>
      </c>
      <c r="D3132" s="13">
        <v>1</v>
      </c>
      <c r="E3132" s="179" t="s">
        <v>6147</v>
      </c>
      <c r="F3132" s="13" t="s">
        <v>11</v>
      </c>
    </row>
    <row r="3133" ht="18" customHeight="1" spans="1:6">
      <c r="A3133" s="13" t="s">
        <v>5827</v>
      </c>
      <c r="B3133" s="13" t="s">
        <v>5909</v>
      </c>
      <c r="C3133" s="13" t="s">
        <v>1999</v>
      </c>
      <c r="D3133" s="13">
        <v>2</v>
      </c>
      <c r="E3133" s="179" t="s">
        <v>6148</v>
      </c>
      <c r="F3133" s="13" t="s">
        <v>11</v>
      </c>
    </row>
    <row r="3134" ht="18" customHeight="1" spans="1:6">
      <c r="A3134" s="13" t="s">
        <v>5827</v>
      </c>
      <c r="B3134" s="13" t="s">
        <v>5909</v>
      </c>
      <c r="C3134" s="13" t="s">
        <v>6149</v>
      </c>
      <c r="D3134" s="13"/>
      <c r="E3134" s="13" t="s">
        <v>6150</v>
      </c>
      <c r="F3134" s="13"/>
    </row>
    <row r="3135" ht="18" customHeight="1" spans="1:6">
      <c r="A3135" s="13" t="s">
        <v>5827</v>
      </c>
      <c r="B3135" s="13" t="s">
        <v>5909</v>
      </c>
      <c r="C3135" s="13" t="s">
        <v>6151</v>
      </c>
      <c r="D3135" s="13">
        <v>1</v>
      </c>
      <c r="E3135" s="13" t="s">
        <v>6152</v>
      </c>
      <c r="F3135" s="13" t="s">
        <v>11</v>
      </c>
    </row>
    <row r="3136" ht="18" customHeight="1" spans="1:6">
      <c r="A3136" s="13" t="s">
        <v>5827</v>
      </c>
      <c r="B3136" s="13" t="s">
        <v>6153</v>
      </c>
      <c r="C3136" s="13" t="s">
        <v>6154</v>
      </c>
      <c r="D3136" s="13">
        <v>1</v>
      </c>
      <c r="E3136" s="179" t="s">
        <v>6155</v>
      </c>
      <c r="F3136" s="13" t="s">
        <v>11</v>
      </c>
    </row>
    <row r="3137" ht="18" customHeight="1" spans="1:6">
      <c r="A3137" s="13" t="s">
        <v>5827</v>
      </c>
      <c r="B3137" s="13" t="s">
        <v>5902</v>
      </c>
      <c r="C3137" s="13" t="s">
        <v>6156</v>
      </c>
      <c r="D3137" s="13">
        <v>1</v>
      </c>
      <c r="E3137" s="179" t="s">
        <v>6157</v>
      </c>
      <c r="F3137" s="13" t="s">
        <v>11</v>
      </c>
    </row>
    <row r="3138" ht="18" customHeight="1" spans="1:6">
      <c r="A3138" s="13" t="s">
        <v>5827</v>
      </c>
      <c r="B3138" s="13" t="s">
        <v>5902</v>
      </c>
      <c r="C3138" s="13" t="s">
        <v>6158</v>
      </c>
      <c r="D3138" s="13">
        <v>2</v>
      </c>
      <c r="E3138" s="179" t="s">
        <v>6159</v>
      </c>
      <c r="F3138" s="13" t="s">
        <v>11</v>
      </c>
    </row>
    <row r="3139" ht="18" customHeight="1" spans="1:6">
      <c r="A3139" s="13" t="s">
        <v>5827</v>
      </c>
      <c r="B3139" s="13" t="s">
        <v>5902</v>
      </c>
      <c r="C3139" s="13" t="s">
        <v>6160</v>
      </c>
      <c r="D3139" s="13"/>
      <c r="E3139" s="179" t="s">
        <v>6161</v>
      </c>
      <c r="F3139" s="13"/>
    </row>
    <row r="3140" ht="18" customHeight="1" spans="1:6">
      <c r="A3140" s="13" t="s">
        <v>5827</v>
      </c>
      <c r="B3140" s="13" t="s">
        <v>6162</v>
      </c>
      <c r="C3140" s="13" t="s">
        <v>6163</v>
      </c>
      <c r="D3140" s="13">
        <v>2</v>
      </c>
      <c r="E3140" s="13" t="s">
        <v>6164</v>
      </c>
      <c r="F3140" s="5" t="s">
        <v>11</v>
      </c>
    </row>
    <row r="3141" ht="18" customHeight="1" spans="1:6">
      <c r="A3141" s="13" t="s">
        <v>5827</v>
      </c>
      <c r="B3141" s="13" t="s">
        <v>6162</v>
      </c>
      <c r="C3141" s="13" t="s">
        <v>6165</v>
      </c>
      <c r="D3141" s="13"/>
      <c r="E3141" s="13" t="s">
        <v>6164</v>
      </c>
      <c r="F3141" s="5"/>
    </row>
    <row r="3142" ht="18" customHeight="1" spans="1:6">
      <c r="A3142" s="13" t="s">
        <v>5827</v>
      </c>
      <c r="B3142" s="5" t="s">
        <v>6166</v>
      </c>
      <c r="C3142" s="5" t="s">
        <v>6167</v>
      </c>
      <c r="D3142" s="5">
        <v>1</v>
      </c>
      <c r="E3142" s="178" t="s">
        <v>6168</v>
      </c>
      <c r="F3142" s="13" t="s">
        <v>11</v>
      </c>
    </row>
    <row r="3143" ht="18" customHeight="1" spans="1:6">
      <c r="A3143" s="13" t="s">
        <v>5827</v>
      </c>
      <c r="B3143" s="5" t="s">
        <v>6169</v>
      </c>
      <c r="C3143" s="5" t="s">
        <v>6170</v>
      </c>
      <c r="D3143" s="13">
        <v>2</v>
      </c>
      <c r="E3143" s="178" t="s">
        <v>6171</v>
      </c>
      <c r="F3143" s="13" t="s">
        <v>11</v>
      </c>
    </row>
    <row r="3144" ht="18" customHeight="1" spans="1:6">
      <c r="A3144" s="13" t="s">
        <v>5827</v>
      </c>
      <c r="B3144" s="5" t="s">
        <v>6169</v>
      </c>
      <c r="C3144" s="5" t="s">
        <v>6172</v>
      </c>
      <c r="D3144" s="13"/>
      <c r="E3144" s="178" t="s">
        <v>6173</v>
      </c>
      <c r="F3144" s="13"/>
    </row>
    <row r="3145" ht="18" customHeight="1" spans="1:6">
      <c r="A3145" s="13" t="s">
        <v>5827</v>
      </c>
      <c r="B3145" s="13" t="s">
        <v>6174</v>
      </c>
      <c r="C3145" s="13" t="s">
        <v>6175</v>
      </c>
      <c r="D3145" s="13">
        <v>1</v>
      </c>
      <c r="E3145" s="179" t="s">
        <v>6176</v>
      </c>
      <c r="F3145" s="13" t="s">
        <v>11</v>
      </c>
    </row>
    <row r="3146" ht="18" customHeight="1" spans="1:6">
      <c r="A3146" s="13" t="s">
        <v>5827</v>
      </c>
      <c r="B3146" s="13" t="s">
        <v>5956</v>
      </c>
      <c r="C3146" s="13" t="s">
        <v>6177</v>
      </c>
      <c r="D3146" s="13">
        <v>1</v>
      </c>
      <c r="E3146" s="179" t="s">
        <v>6178</v>
      </c>
      <c r="F3146" s="13" t="s">
        <v>11</v>
      </c>
    </row>
    <row r="3147" ht="18" customHeight="1" spans="1:6">
      <c r="A3147" s="13" t="s">
        <v>5827</v>
      </c>
      <c r="B3147" s="13" t="s">
        <v>5960</v>
      </c>
      <c r="C3147" s="13" t="s">
        <v>6179</v>
      </c>
      <c r="D3147" s="13">
        <v>1</v>
      </c>
      <c r="E3147" s="179" t="s">
        <v>6180</v>
      </c>
      <c r="F3147" s="13" t="s">
        <v>11</v>
      </c>
    </row>
    <row r="3148" ht="18" customHeight="1" spans="1:6">
      <c r="A3148" s="13" t="s">
        <v>5827</v>
      </c>
      <c r="B3148" s="13" t="s">
        <v>5956</v>
      </c>
      <c r="C3148" s="13" t="s">
        <v>6181</v>
      </c>
      <c r="D3148" s="13">
        <v>2</v>
      </c>
      <c r="E3148" s="179" t="s">
        <v>6182</v>
      </c>
      <c r="F3148" s="5" t="s">
        <v>11</v>
      </c>
    </row>
    <row r="3149" ht="18" customHeight="1" spans="1:6">
      <c r="A3149" s="13" t="s">
        <v>5827</v>
      </c>
      <c r="B3149" s="13" t="s">
        <v>5956</v>
      </c>
      <c r="C3149" s="13" t="s">
        <v>6183</v>
      </c>
      <c r="D3149" s="13"/>
      <c r="E3149" s="179" t="s">
        <v>6184</v>
      </c>
      <c r="F3149" s="5"/>
    </row>
    <row r="3150" ht="18" customHeight="1" spans="1:6">
      <c r="A3150" s="13" t="s">
        <v>5827</v>
      </c>
      <c r="B3150" s="13" t="s">
        <v>5953</v>
      </c>
      <c r="C3150" s="13" t="s">
        <v>6185</v>
      </c>
      <c r="D3150" s="13">
        <v>1</v>
      </c>
      <c r="E3150" s="179" t="s">
        <v>6186</v>
      </c>
      <c r="F3150" s="13" t="s">
        <v>11</v>
      </c>
    </row>
    <row r="3151" ht="18" customHeight="1" spans="1:6">
      <c r="A3151" s="13" t="s">
        <v>5827</v>
      </c>
      <c r="B3151" s="13" t="s">
        <v>5988</v>
      </c>
      <c r="C3151" s="13" t="s">
        <v>6187</v>
      </c>
      <c r="D3151" s="13">
        <v>1</v>
      </c>
      <c r="E3151" s="179" t="s">
        <v>6188</v>
      </c>
      <c r="F3151" s="13" t="s">
        <v>11</v>
      </c>
    </row>
    <row r="3152" ht="18" customHeight="1" spans="1:6">
      <c r="A3152" s="13" t="s">
        <v>5827</v>
      </c>
      <c r="B3152" s="5" t="s">
        <v>6063</v>
      </c>
      <c r="C3152" s="5" t="s">
        <v>6189</v>
      </c>
      <c r="D3152" s="5">
        <v>1</v>
      </c>
      <c r="E3152" s="178" t="s">
        <v>6190</v>
      </c>
      <c r="F3152" s="5" t="s">
        <v>11</v>
      </c>
    </row>
    <row r="3153" ht="18" customHeight="1" spans="1:6">
      <c r="A3153" s="13" t="s">
        <v>5827</v>
      </c>
      <c r="B3153" s="5" t="s">
        <v>6068</v>
      </c>
      <c r="C3153" s="5" t="s">
        <v>6191</v>
      </c>
      <c r="D3153" s="5">
        <v>1</v>
      </c>
      <c r="E3153" s="5" t="s">
        <v>6192</v>
      </c>
      <c r="F3153" s="5" t="s">
        <v>11</v>
      </c>
    </row>
    <row r="3154" ht="18" customHeight="1" spans="1:6">
      <c r="A3154" s="13" t="s">
        <v>5827</v>
      </c>
      <c r="B3154" s="5" t="s">
        <v>6086</v>
      </c>
      <c r="C3154" s="5" t="s">
        <v>2203</v>
      </c>
      <c r="D3154" s="5">
        <v>1</v>
      </c>
      <c r="E3154" s="178" t="s">
        <v>6193</v>
      </c>
      <c r="F3154" s="5" t="s">
        <v>11</v>
      </c>
    </row>
    <row r="3155" ht="18" customHeight="1" spans="1:6">
      <c r="A3155" s="13" t="s">
        <v>5827</v>
      </c>
      <c r="B3155" s="5" t="s">
        <v>6086</v>
      </c>
      <c r="C3155" s="5" t="s">
        <v>6194</v>
      </c>
      <c r="D3155" s="5">
        <v>1</v>
      </c>
      <c r="E3155" s="178" t="s">
        <v>6195</v>
      </c>
      <c r="F3155" s="5" t="s">
        <v>11</v>
      </c>
    </row>
    <row r="3156" ht="18" customHeight="1" spans="1:6">
      <c r="A3156" s="13" t="s">
        <v>5827</v>
      </c>
      <c r="B3156" s="5" t="s">
        <v>6086</v>
      </c>
      <c r="C3156" s="5" t="s">
        <v>6196</v>
      </c>
      <c r="D3156" s="5">
        <v>1</v>
      </c>
      <c r="E3156" s="178" t="s">
        <v>6197</v>
      </c>
      <c r="F3156" s="5" t="s">
        <v>11</v>
      </c>
    </row>
    <row r="3157" ht="18" customHeight="1" spans="1:6">
      <c r="A3157" s="13" t="s">
        <v>5827</v>
      </c>
      <c r="B3157" s="5" t="s">
        <v>6098</v>
      </c>
      <c r="C3157" s="5" t="s">
        <v>6198</v>
      </c>
      <c r="D3157" s="5">
        <v>1</v>
      </c>
      <c r="E3157" s="178" t="s">
        <v>6199</v>
      </c>
      <c r="F3157" s="5" t="s">
        <v>11</v>
      </c>
    </row>
    <row r="3158" ht="18" customHeight="1" spans="1:6">
      <c r="A3158" s="13" t="s">
        <v>5827</v>
      </c>
      <c r="B3158" s="5" t="s">
        <v>6103</v>
      </c>
      <c r="C3158" s="5" t="s">
        <v>6200</v>
      </c>
      <c r="D3158" s="5">
        <v>1</v>
      </c>
      <c r="E3158" s="178" t="s">
        <v>6201</v>
      </c>
      <c r="F3158" s="5" t="s">
        <v>11</v>
      </c>
    </row>
    <row r="3159" ht="18" customHeight="1" spans="1:6">
      <c r="A3159" s="13" t="s">
        <v>5827</v>
      </c>
      <c r="B3159" s="5" t="s">
        <v>6078</v>
      </c>
      <c r="C3159" s="5" t="s">
        <v>6149</v>
      </c>
      <c r="D3159" s="5">
        <v>1</v>
      </c>
      <c r="E3159" s="178" t="s">
        <v>6202</v>
      </c>
      <c r="F3159" s="5" t="s">
        <v>11</v>
      </c>
    </row>
    <row r="3160" ht="18" customHeight="1" spans="1:6">
      <c r="A3160" s="13" t="s">
        <v>5827</v>
      </c>
      <c r="B3160" s="5" t="s">
        <v>6098</v>
      </c>
      <c r="C3160" s="5" t="s">
        <v>6203</v>
      </c>
      <c r="D3160" s="5">
        <v>1</v>
      </c>
      <c r="E3160" s="178" t="s">
        <v>6204</v>
      </c>
      <c r="F3160" s="5" t="s">
        <v>11</v>
      </c>
    </row>
    <row r="3161" ht="18" customHeight="1" spans="1:6">
      <c r="A3161" s="13" t="s">
        <v>5827</v>
      </c>
      <c r="B3161" s="19" t="s">
        <v>6205</v>
      </c>
      <c r="C3161" s="19" t="s">
        <v>6206</v>
      </c>
      <c r="D3161" s="13">
        <v>2</v>
      </c>
      <c r="E3161" s="185" t="s">
        <v>6207</v>
      </c>
      <c r="F3161" s="19" t="s">
        <v>11</v>
      </c>
    </row>
    <row r="3162" ht="18" customHeight="1" spans="1:6">
      <c r="A3162" s="13" t="s">
        <v>5827</v>
      </c>
      <c r="B3162" s="19" t="s">
        <v>6205</v>
      </c>
      <c r="C3162" s="19" t="s">
        <v>6208</v>
      </c>
      <c r="D3162" s="13"/>
      <c r="E3162" s="185" t="s">
        <v>6209</v>
      </c>
      <c r="F3162" s="19"/>
    </row>
    <row r="3163" ht="18" customHeight="1" spans="1:6">
      <c r="A3163" s="13" t="s">
        <v>5827</v>
      </c>
      <c r="B3163" s="19" t="s">
        <v>6081</v>
      </c>
      <c r="C3163" s="19" t="s">
        <v>6210</v>
      </c>
      <c r="D3163" s="13">
        <v>2</v>
      </c>
      <c r="E3163" s="185" t="s">
        <v>6211</v>
      </c>
      <c r="F3163" s="19" t="s">
        <v>11</v>
      </c>
    </row>
    <row r="3164" ht="18" customHeight="1" spans="1:6">
      <c r="A3164" s="13" t="s">
        <v>5827</v>
      </c>
      <c r="B3164" s="19" t="s">
        <v>6081</v>
      </c>
      <c r="C3164" s="19" t="s">
        <v>6212</v>
      </c>
      <c r="D3164" s="13"/>
      <c r="E3164" s="185" t="s">
        <v>6213</v>
      </c>
      <c r="F3164" s="19"/>
    </row>
    <row r="3165" ht="18" customHeight="1" spans="1:6">
      <c r="A3165" s="13" t="s">
        <v>5827</v>
      </c>
      <c r="B3165" s="19" t="s">
        <v>6098</v>
      </c>
      <c r="C3165" s="19" t="s">
        <v>6214</v>
      </c>
      <c r="D3165" s="19">
        <v>1</v>
      </c>
      <c r="E3165" s="185" t="s">
        <v>6215</v>
      </c>
      <c r="F3165" s="19" t="s">
        <v>11</v>
      </c>
    </row>
    <row r="3166" ht="18" customHeight="1" spans="1:6">
      <c r="A3166" s="13" t="s">
        <v>5827</v>
      </c>
      <c r="B3166" s="5" t="s">
        <v>6216</v>
      </c>
      <c r="C3166" s="5" t="s">
        <v>6217</v>
      </c>
      <c r="D3166" s="13">
        <v>2</v>
      </c>
      <c r="E3166" s="178" t="s">
        <v>6218</v>
      </c>
      <c r="F3166" s="19" t="s">
        <v>11</v>
      </c>
    </row>
    <row r="3167" ht="18" customHeight="1" spans="1:6">
      <c r="A3167" s="13" t="s">
        <v>5827</v>
      </c>
      <c r="B3167" s="5" t="s">
        <v>6216</v>
      </c>
      <c r="C3167" s="5" t="s">
        <v>6219</v>
      </c>
      <c r="D3167" s="13"/>
      <c r="E3167" s="178" t="s">
        <v>6220</v>
      </c>
      <c r="F3167" s="19"/>
    </row>
    <row r="3168" ht="18" customHeight="1" spans="1:6">
      <c r="A3168" s="13" t="s">
        <v>5827</v>
      </c>
      <c r="B3168" s="13" t="s">
        <v>6221</v>
      </c>
      <c r="C3168" s="13" t="s">
        <v>6222</v>
      </c>
      <c r="D3168" s="13">
        <v>1</v>
      </c>
      <c r="E3168" s="179" t="s">
        <v>6223</v>
      </c>
      <c r="F3168" s="5" t="s">
        <v>11</v>
      </c>
    </row>
    <row r="3169" ht="18" customHeight="1" spans="1:6">
      <c r="A3169" s="13" t="s">
        <v>6224</v>
      </c>
      <c r="B3169" s="13"/>
      <c r="C3169" s="13">
        <v>132</v>
      </c>
      <c r="D3169" s="13">
        <v>375</v>
      </c>
      <c r="E3169" s="13"/>
      <c r="F3169" s="13"/>
    </row>
    <row r="3170" ht="18" customHeight="1" spans="1:6">
      <c r="A3170" s="13" t="s">
        <v>6225</v>
      </c>
      <c r="B3170" s="13" t="s">
        <v>6226</v>
      </c>
      <c r="C3170" s="13" t="s">
        <v>6227</v>
      </c>
      <c r="D3170" s="13">
        <v>3</v>
      </c>
      <c r="E3170" s="13" t="s">
        <v>6228</v>
      </c>
      <c r="F3170" s="13" t="s">
        <v>11</v>
      </c>
    </row>
    <row r="3171" ht="18" customHeight="1" spans="1:6">
      <c r="A3171" s="13" t="s">
        <v>6225</v>
      </c>
      <c r="B3171" s="13" t="s">
        <v>6226</v>
      </c>
      <c r="C3171" s="13" t="s">
        <v>6229</v>
      </c>
      <c r="D3171" s="13">
        <v>6</v>
      </c>
      <c r="E3171" s="13" t="s">
        <v>6230</v>
      </c>
      <c r="F3171" s="13" t="s">
        <v>11</v>
      </c>
    </row>
    <row r="3172" ht="18" customHeight="1" spans="1:6">
      <c r="A3172" s="13" t="s">
        <v>6225</v>
      </c>
      <c r="B3172" s="13" t="s">
        <v>6226</v>
      </c>
      <c r="C3172" s="13" t="s">
        <v>6231</v>
      </c>
      <c r="D3172" s="13">
        <v>2</v>
      </c>
      <c r="E3172" s="13" t="s">
        <v>6232</v>
      </c>
      <c r="F3172" s="13" t="s">
        <v>11</v>
      </c>
    </row>
    <row r="3173" ht="18" customHeight="1" spans="1:6">
      <c r="A3173" s="13" t="s">
        <v>6225</v>
      </c>
      <c r="B3173" s="13" t="s">
        <v>6226</v>
      </c>
      <c r="C3173" s="13" t="s">
        <v>6233</v>
      </c>
      <c r="D3173" s="13">
        <v>2</v>
      </c>
      <c r="E3173" s="13" t="s">
        <v>6234</v>
      </c>
      <c r="F3173" s="13" t="s">
        <v>11</v>
      </c>
    </row>
    <row r="3174" ht="18" customHeight="1" spans="1:6">
      <c r="A3174" s="13" t="s">
        <v>6225</v>
      </c>
      <c r="B3174" s="13" t="s">
        <v>6226</v>
      </c>
      <c r="C3174" s="13" t="s">
        <v>6235</v>
      </c>
      <c r="D3174" s="13">
        <v>4</v>
      </c>
      <c r="E3174" s="13" t="s">
        <v>6236</v>
      </c>
      <c r="F3174" s="13" t="s">
        <v>11</v>
      </c>
    </row>
    <row r="3175" ht="18" customHeight="1" spans="1:6">
      <c r="A3175" s="13" t="s">
        <v>6225</v>
      </c>
      <c r="B3175" s="13" t="s">
        <v>6226</v>
      </c>
      <c r="C3175" s="13" t="s">
        <v>6237</v>
      </c>
      <c r="D3175" s="13">
        <v>2</v>
      </c>
      <c r="E3175" s="13" t="s">
        <v>6238</v>
      </c>
      <c r="F3175" s="13" t="s">
        <v>11</v>
      </c>
    </row>
    <row r="3176" ht="18" customHeight="1" spans="1:6">
      <c r="A3176" s="13" t="s">
        <v>6225</v>
      </c>
      <c r="B3176" s="13" t="s">
        <v>6226</v>
      </c>
      <c r="C3176" s="13" t="s">
        <v>6239</v>
      </c>
      <c r="D3176" s="13">
        <v>4</v>
      </c>
      <c r="E3176" s="13" t="s">
        <v>6240</v>
      </c>
      <c r="F3176" s="13" t="s">
        <v>11</v>
      </c>
    </row>
    <row r="3177" ht="18" customHeight="1" spans="1:6">
      <c r="A3177" s="13" t="s">
        <v>6225</v>
      </c>
      <c r="B3177" s="13" t="s">
        <v>6226</v>
      </c>
      <c r="C3177" s="13" t="s">
        <v>6241</v>
      </c>
      <c r="D3177" s="13">
        <v>2</v>
      </c>
      <c r="E3177" s="13" t="s">
        <v>6242</v>
      </c>
      <c r="F3177" s="13" t="s">
        <v>11</v>
      </c>
    </row>
    <row r="3178" ht="18" customHeight="1" spans="1:6">
      <c r="A3178" s="13" t="s">
        <v>6225</v>
      </c>
      <c r="B3178" s="13" t="s">
        <v>6226</v>
      </c>
      <c r="C3178" s="13" t="s">
        <v>6243</v>
      </c>
      <c r="D3178" s="13">
        <v>2</v>
      </c>
      <c r="E3178" s="13" t="s">
        <v>6244</v>
      </c>
      <c r="F3178" s="13" t="s">
        <v>11</v>
      </c>
    </row>
    <row r="3179" ht="18" customHeight="1" spans="1:6">
      <c r="A3179" s="13" t="s">
        <v>6225</v>
      </c>
      <c r="B3179" s="13" t="s">
        <v>6226</v>
      </c>
      <c r="C3179" s="13" t="s">
        <v>6245</v>
      </c>
      <c r="D3179" s="13">
        <v>2</v>
      </c>
      <c r="E3179" s="13" t="s">
        <v>6246</v>
      </c>
      <c r="F3179" s="13" t="s">
        <v>11</v>
      </c>
    </row>
    <row r="3180" ht="18" customHeight="1" spans="1:6">
      <c r="A3180" s="13" t="s">
        <v>6225</v>
      </c>
      <c r="B3180" s="13" t="s">
        <v>6226</v>
      </c>
      <c r="C3180" s="13" t="s">
        <v>6247</v>
      </c>
      <c r="D3180" s="13">
        <v>2</v>
      </c>
      <c r="E3180" s="13" t="s">
        <v>6248</v>
      </c>
      <c r="F3180" s="13" t="s">
        <v>11</v>
      </c>
    </row>
    <row r="3181" ht="18" customHeight="1" spans="1:6">
      <c r="A3181" s="13" t="s">
        <v>6225</v>
      </c>
      <c r="B3181" s="13" t="s">
        <v>6226</v>
      </c>
      <c r="C3181" s="13" t="s">
        <v>6249</v>
      </c>
      <c r="D3181" s="13">
        <v>2</v>
      </c>
      <c r="E3181" s="13" t="s">
        <v>6250</v>
      </c>
      <c r="F3181" s="13" t="s">
        <v>11</v>
      </c>
    </row>
    <row r="3182" ht="18" customHeight="1" spans="1:6">
      <c r="A3182" s="13" t="s">
        <v>6225</v>
      </c>
      <c r="B3182" s="13" t="s">
        <v>6226</v>
      </c>
      <c r="C3182" s="13" t="s">
        <v>6251</v>
      </c>
      <c r="D3182" s="13">
        <v>2</v>
      </c>
      <c r="E3182" s="13" t="s">
        <v>6252</v>
      </c>
      <c r="F3182" s="13" t="s">
        <v>11</v>
      </c>
    </row>
    <row r="3183" ht="18" customHeight="1" spans="1:6">
      <c r="A3183" s="13" t="s">
        <v>6225</v>
      </c>
      <c r="B3183" s="13" t="s">
        <v>6226</v>
      </c>
      <c r="C3183" s="13" t="s">
        <v>6253</v>
      </c>
      <c r="D3183" s="13">
        <v>1</v>
      </c>
      <c r="E3183" s="13" t="s">
        <v>6254</v>
      </c>
      <c r="F3183" s="13" t="s">
        <v>11</v>
      </c>
    </row>
    <row r="3184" ht="18" customHeight="1" spans="1:6">
      <c r="A3184" s="13" t="s">
        <v>6225</v>
      </c>
      <c r="B3184" s="13" t="s">
        <v>6255</v>
      </c>
      <c r="C3184" s="13" t="s">
        <v>6256</v>
      </c>
      <c r="D3184" s="13">
        <v>1</v>
      </c>
      <c r="E3184" s="13" t="s">
        <v>6257</v>
      </c>
      <c r="F3184" s="13" t="s">
        <v>11</v>
      </c>
    </row>
    <row r="3185" ht="18" customHeight="1" spans="1:6">
      <c r="A3185" s="13" t="s">
        <v>6225</v>
      </c>
      <c r="B3185" s="13" t="s">
        <v>6255</v>
      </c>
      <c r="C3185" s="13" t="s">
        <v>6258</v>
      </c>
      <c r="D3185" s="13">
        <v>1</v>
      </c>
      <c r="E3185" s="13" t="s">
        <v>6259</v>
      </c>
      <c r="F3185" s="13" t="s">
        <v>11</v>
      </c>
    </row>
    <row r="3186" ht="18" customHeight="1" spans="1:6">
      <c r="A3186" s="13" t="s">
        <v>6225</v>
      </c>
      <c r="B3186" s="13" t="s">
        <v>6255</v>
      </c>
      <c r="C3186" s="13" t="s">
        <v>6260</v>
      </c>
      <c r="D3186" s="13">
        <v>1</v>
      </c>
      <c r="E3186" s="13" t="s">
        <v>6261</v>
      </c>
      <c r="F3186" s="13" t="s">
        <v>11</v>
      </c>
    </row>
    <row r="3187" ht="18" customHeight="1" spans="1:6">
      <c r="A3187" s="13" t="s">
        <v>6225</v>
      </c>
      <c r="B3187" s="13" t="s">
        <v>6255</v>
      </c>
      <c r="C3187" s="13" t="s">
        <v>6262</v>
      </c>
      <c r="D3187" s="13">
        <v>3</v>
      </c>
      <c r="E3187" s="13" t="s">
        <v>6263</v>
      </c>
      <c r="F3187" s="13" t="s">
        <v>11</v>
      </c>
    </row>
    <row r="3188" ht="18" customHeight="1" spans="1:6">
      <c r="A3188" s="13" t="s">
        <v>6225</v>
      </c>
      <c r="B3188" s="13" t="s">
        <v>6255</v>
      </c>
      <c r="C3188" s="13" t="s">
        <v>6264</v>
      </c>
      <c r="D3188" s="13">
        <v>4</v>
      </c>
      <c r="E3188" s="13" t="s">
        <v>6265</v>
      </c>
      <c r="F3188" s="13" t="s">
        <v>11</v>
      </c>
    </row>
    <row r="3189" ht="18" customHeight="1" spans="1:6">
      <c r="A3189" s="13" t="s">
        <v>6225</v>
      </c>
      <c r="B3189" s="13" t="s">
        <v>6255</v>
      </c>
      <c r="C3189" s="13" t="s">
        <v>6266</v>
      </c>
      <c r="D3189" s="13">
        <v>1</v>
      </c>
      <c r="E3189" s="13" t="s">
        <v>6267</v>
      </c>
      <c r="F3189" s="13" t="s">
        <v>11</v>
      </c>
    </row>
    <row r="3190" ht="18" customHeight="1" spans="1:6">
      <c r="A3190" s="13" t="s">
        <v>6225</v>
      </c>
      <c r="B3190" s="13" t="s">
        <v>6255</v>
      </c>
      <c r="C3190" s="13" t="s">
        <v>6268</v>
      </c>
      <c r="D3190" s="13">
        <v>1</v>
      </c>
      <c r="E3190" s="13" t="s">
        <v>6269</v>
      </c>
      <c r="F3190" s="13" t="s">
        <v>11</v>
      </c>
    </row>
    <row r="3191" ht="18" customHeight="1" spans="1:6">
      <c r="A3191" s="13" t="s">
        <v>6225</v>
      </c>
      <c r="B3191" s="13" t="s">
        <v>6255</v>
      </c>
      <c r="C3191" s="13" t="s">
        <v>6270</v>
      </c>
      <c r="D3191" s="13">
        <v>5</v>
      </c>
      <c r="E3191" s="13" t="s">
        <v>6271</v>
      </c>
      <c r="F3191" s="13" t="s">
        <v>11</v>
      </c>
    </row>
    <row r="3192" ht="18" customHeight="1" spans="1:6">
      <c r="A3192" s="13" t="s">
        <v>6225</v>
      </c>
      <c r="B3192" s="13" t="s">
        <v>6255</v>
      </c>
      <c r="C3192" s="13" t="s">
        <v>6272</v>
      </c>
      <c r="D3192" s="13">
        <v>4</v>
      </c>
      <c r="E3192" s="13" t="s">
        <v>6273</v>
      </c>
      <c r="F3192" s="13" t="s">
        <v>11</v>
      </c>
    </row>
    <row r="3193" ht="18" customHeight="1" spans="1:6">
      <c r="A3193" s="13" t="s">
        <v>6225</v>
      </c>
      <c r="B3193" s="13" t="s">
        <v>6255</v>
      </c>
      <c r="C3193" s="13" t="s">
        <v>6274</v>
      </c>
      <c r="D3193" s="13">
        <v>1</v>
      </c>
      <c r="E3193" s="13" t="s">
        <v>6275</v>
      </c>
      <c r="F3193" s="13" t="s">
        <v>11</v>
      </c>
    </row>
    <row r="3194" ht="18" customHeight="1" spans="1:6">
      <c r="A3194" s="13" t="s">
        <v>6225</v>
      </c>
      <c r="B3194" s="13" t="s">
        <v>6255</v>
      </c>
      <c r="C3194" s="13" t="s">
        <v>6276</v>
      </c>
      <c r="D3194" s="13">
        <v>2</v>
      </c>
      <c r="E3194" s="13" t="s">
        <v>6277</v>
      </c>
      <c r="F3194" s="13" t="s">
        <v>11</v>
      </c>
    </row>
    <row r="3195" ht="18" customHeight="1" spans="1:6">
      <c r="A3195" s="13" t="s">
        <v>6225</v>
      </c>
      <c r="B3195" s="13" t="s">
        <v>6255</v>
      </c>
      <c r="C3195" s="13" t="s">
        <v>6278</v>
      </c>
      <c r="D3195" s="13">
        <v>2</v>
      </c>
      <c r="E3195" s="13" t="s">
        <v>6279</v>
      </c>
      <c r="F3195" s="13" t="s">
        <v>11</v>
      </c>
    </row>
    <row r="3196" ht="18" customHeight="1" spans="1:6">
      <c r="A3196" s="13" t="s">
        <v>6225</v>
      </c>
      <c r="B3196" s="13" t="s">
        <v>6255</v>
      </c>
      <c r="C3196" s="13" t="s">
        <v>6280</v>
      </c>
      <c r="D3196" s="13">
        <v>2</v>
      </c>
      <c r="E3196" s="13" t="s">
        <v>6281</v>
      </c>
      <c r="F3196" s="13" t="s">
        <v>11</v>
      </c>
    </row>
    <row r="3197" ht="18" customHeight="1" spans="1:6">
      <c r="A3197" s="13" t="s">
        <v>6225</v>
      </c>
      <c r="B3197" s="13" t="s">
        <v>6255</v>
      </c>
      <c r="C3197" s="13" t="s">
        <v>6282</v>
      </c>
      <c r="D3197" s="13">
        <v>2</v>
      </c>
      <c r="E3197" s="13" t="s">
        <v>6283</v>
      </c>
      <c r="F3197" s="13" t="s">
        <v>11</v>
      </c>
    </row>
    <row r="3198" ht="18" customHeight="1" spans="1:6">
      <c r="A3198" s="13" t="s">
        <v>6225</v>
      </c>
      <c r="B3198" s="13" t="s">
        <v>6255</v>
      </c>
      <c r="C3198" s="13" t="s">
        <v>6284</v>
      </c>
      <c r="D3198" s="13">
        <v>2</v>
      </c>
      <c r="E3198" s="13" t="s">
        <v>6285</v>
      </c>
      <c r="F3198" s="13" t="s">
        <v>11</v>
      </c>
    </row>
    <row r="3199" ht="18" customHeight="1" spans="1:6">
      <c r="A3199" s="13" t="s">
        <v>6225</v>
      </c>
      <c r="B3199" s="13" t="s">
        <v>6255</v>
      </c>
      <c r="C3199" s="13" t="s">
        <v>6286</v>
      </c>
      <c r="D3199" s="13">
        <v>5</v>
      </c>
      <c r="E3199" s="13" t="s">
        <v>6287</v>
      </c>
      <c r="F3199" s="13" t="s">
        <v>11</v>
      </c>
    </row>
    <row r="3200" ht="18" customHeight="1" spans="1:6">
      <c r="A3200" s="13" t="s">
        <v>6225</v>
      </c>
      <c r="B3200" s="13" t="s">
        <v>6255</v>
      </c>
      <c r="C3200" s="13" t="s">
        <v>6288</v>
      </c>
      <c r="D3200" s="13">
        <v>4</v>
      </c>
      <c r="E3200" s="13" t="s">
        <v>6289</v>
      </c>
      <c r="F3200" s="13" t="s">
        <v>11</v>
      </c>
    </row>
    <row r="3201" ht="18" customHeight="1" spans="1:6">
      <c r="A3201" s="13" t="s">
        <v>6225</v>
      </c>
      <c r="B3201" s="13" t="s">
        <v>6255</v>
      </c>
      <c r="C3201" s="13" t="s">
        <v>6290</v>
      </c>
      <c r="D3201" s="13">
        <v>3</v>
      </c>
      <c r="E3201" s="13" t="s">
        <v>6291</v>
      </c>
      <c r="F3201" s="13" t="s">
        <v>11</v>
      </c>
    </row>
    <row r="3202" ht="18" customHeight="1" spans="1:6">
      <c r="A3202" s="13" t="s">
        <v>6225</v>
      </c>
      <c r="B3202" s="13" t="s">
        <v>6255</v>
      </c>
      <c r="C3202" s="13" t="s">
        <v>6292</v>
      </c>
      <c r="D3202" s="13">
        <v>1</v>
      </c>
      <c r="E3202" s="13" t="s">
        <v>6293</v>
      </c>
      <c r="F3202" s="13" t="s">
        <v>11</v>
      </c>
    </row>
    <row r="3203" ht="18" customHeight="1" spans="1:6">
      <c r="A3203" s="13" t="s">
        <v>6225</v>
      </c>
      <c r="B3203" s="13" t="s">
        <v>6255</v>
      </c>
      <c r="C3203" s="13" t="s">
        <v>6294</v>
      </c>
      <c r="D3203" s="13">
        <v>2</v>
      </c>
      <c r="E3203" s="13" t="s">
        <v>6295</v>
      </c>
      <c r="F3203" s="13" t="s">
        <v>11</v>
      </c>
    </row>
    <row r="3204" ht="18" customHeight="1" spans="1:6">
      <c r="A3204" s="13" t="s">
        <v>6225</v>
      </c>
      <c r="B3204" s="13" t="s">
        <v>6255</v>
      </c>
      <c r="C3204" s="13" t="s">
        <v>6296</v>
      </c>
      <c r="D3204" s="13">
        <v>2</v>
      </c>
      <c r="E3204" s="13" t="s">
        <v>6297</v>
      </c>
      <c r="F3204" s="13" t="s">
        <v>11</v>
      </c>
    </row>
    <row r="3205" ht="18" customHeight="1" spans="1:6">
      <c r="A3205" s="13" t="s">
        <v>6225</v>
      </c>
      <c r="B3205" s="13" t="s">
        <v>6255</v>
      </c>
      <c r="C3205" s="13" t="s">
        <v>6298</v>
      </c>
      <c r="D3205" s="13">
        <v>2</v>
      </c>
      <c r="E3205" s="13" t="s">
        <v>6299</v>
      </c>
      <c r="F3205" s="13" t="s">
        <v>11</v>
      </c>
    </row>
    <row r="3206" ht="18" customHeight="1" spans="1:6">
      <c r="A3206" s="13" t="s">
        <v>6225</v>
      </c>
      <c r="B3206" s="13" t="s">
        <v>6255</v>
      </c>
      <c r="C3206" s="13" t="s">
        <v>6300</v>
      </c>
      <c r="D3206" s="13">
        <v>2</v>
      </c>
      <c r="E3206" s="13" t="s">
        <v>6301</v>
      </c>
      <c r="F3206" s="13" t="s">
        <v>11</v>
      </c>
    </row>
    <row r="3207" ht="18" customHeight="1" spans="1:6">
      <c r="A3207" s="13" t="s">
        <v>6225</v>
      </c>
      <c r="B3207" s="13" t="s">
        <v>6255</v>
      </c>
      <c r="C3207" s="13" t="s">
        <v>6302</v>
      </c>
      <c r="D3207" s="13">
        <v>2</v>
      </c>
      <c r="E3207" s="13" t="s">
        <v>6303</v>
      </c>
      <c r="F3207" s="13" t="s">
        <v>11</v>
      </c>
    </row>
    <row r="3208" ht="18" customHeight="1" spans="1:6">
      <c r="A3208" s="13" t="s">
        <v>6225</v>
      </c>
      <c r="B3208" s="13" t="s">
        <v>6255</v>
      </c>
      <c r="C3208" s="13" t="s">
        <v>6304</v>
      </c>
      <c r="D3208" s="13">
        <v>5</v>
      </c>
      <c r="E3208" s="13" t="s">
        <v>6305</v>
      </c>
      <c r="F3208" s="13" t="s">
        <v>11</v>
      </c>
    </row>
    <row r="3209" ht="18" customHeight="1" spans="1:6">
      <c r="A3209" s="13" t="s">
        <v>6225</v>
      </c>
      <c r="B3209" s="13" t="s">
        <v>6255</v>
      </c>
      <c r="C3209" s="13" t="s">
        <v>6306</v>
      </c>
      <c r="D3209" s="13">
        <v>2</v>
      </c>
      <c r="E3209" s="13" t="s">
        <v>6307</v>
      </c>
      <c r="F3209" s="13" t="s">
        <v>11</v>
      </c>
    </row>
    <row r="3210" ht="18" customHeight="1" spans="1:6">
      <c r="A3210" s="13" t="s">
        <v>6225</v>
      </c>
      <c r="B3210" s="13" t="s">
        <v>6255</v>
      </c>
      <c r="C3210" s="13" t="s">
        <v>6308</v>
      </c>
      <c r="D3210" s="13">
        <v>3</v>
      </c>
      <c r="E3210" s="13" t="s">
        <v>6309</v>
      </c>
      <c r="F3210" s="13" t="s">
        <v>11</v>
      </c>
    </row>
    <row r="3211" ht="18" customHeight="1" spans="1:6">
      <c r="A3211" s="13" t="s">
        <v>6225</v>
      </c>
      <c r="B3211" s="13" t="s">
        <v>6255</v>
      </c>
      <c r="C3211" s="13" t="s">
        <v>6310</v>
      </c>
      <c r="D3211" s="13">
        <v>2</v>
      </c>
      <c r="E3211" s="13" t="s">
        <v>6311</v>
      </c>
      <c r="F3211" s="13" t="s">
        <v>11</v>
      </c>
    </row>
    <row r="3212" ht="18" customHeight="1" spans="1:6">
      <c r="A3212" s="13" t="s">
        <v>6225</v>
      </c>
      <c r="B3212" s="13" t="s">
        <v>6255</v>
      </c>
      <c r="C3212" s="13" t="s">
        <v>6312</v>
      </c>
      <c r="D3212" s="13">
        <v>3</v>
      </c>
      <c r="E3212" s="13" t="s">
        <v>6313</v>
      </c>
      <c r="F3212" s="13" t="s">
        <v>11</v>
      </c>
    </row>
    <row r="3213" ht="18" customHeight="1" spans="1:6">
      <c r="A3213" s="13" t="s">
        <v>6225</v>
      </c>
      <c r="B3213" s="13" t="s">
        <v>6255</v>
      </c>
      <c r="C3213" s="13" t="s">
        <v>6314</v>
      </c>
      <c r="D3213" s="13">
        <v>2</v>
      </c>
      <c r="E3213" s="13" t="s">
        <v>6315</v>
      </c>
      <c r="F3213" s="13" t="s">
        <v>11</v>
      </c>
    </row>
    <row r="3214" ht="18" customHeight="1" spans="1:6">
      <c r="A3214" s="13" t="s">
        <v>6225</v>
      </c>
      <c r="B3214" s="13" t="s">
        <v>6255</v>
      </c>
      <c r="C3214" s="13" t="s">
        <v>6316</v>
      </c>
      <c r="D3214" s="13">
        <v>2</v>
      </c>
      <c r="E3214" s="13" t="s">
        <v>6317</v>
      </c>
      <c r="F3214" s="13" t="s">
        <v>11</v>
      </c>
    </row>
    <row r="3215" ht="18" customHeight="1" spans="1:6">
      <c r="A3215" s="13" t="s">
        <v>6225</v>
      </c>
      <c r="B3215" s="13" t="s">
        <v>6255</v>
      </c>
      <c r="C3215" s="13" t="s">
        <v>6318</v>
      </c>
      <c r="D3215" s="13">
        <v>3</v>
      </c>
      <c r="E3215" s="13" t="s">
        <v>6319</v>
      </c>
      <c r="F3215" s="13" t="s">
        <v>11</v>
      </c>
    </row>
    <row r="3216" ht="18" customHeight="1" spans="1:6">
      <c r="A3216" s="13" t="s">
        <v>6225</v>
      </c>
      <c r="B3216" s="13" t="s">
        <v>6255</v>
      </c>
      <c r="C3216" s="13" t="s">
        <v>6320</v>
      </c>
      <c r="D3216" s="13">
        <v>4</v>
      </c>
      <c r="E3216" s="13" t="s">
        <v>6321</v>
      </c>
      <c r="F3216" s="13" t="s">
        <v>11</v>
      </c>
    </row>
    <row r="3217" ht="18" customHeight="1" spans="1:6">
      <c r="A3217" s="13" t="s">
        <v>6225</v>
      </c>
      <c r="B3217" s="13" t="s">
        <v>6255</v>
      </c>
      <c r="C3217" s="13" t="s">
        <v>6322</v>
      </c>
      <c r="D3217" s="13">
        <v>4</v>
      </c>
      <c r="E3217" s="13" t="s">
        <v>6323</v>
      </c>
      <c r="F3217" s="13" t="s">
        <v>11</v>
      </c>
    </row>
    <row r="3218" ht="18" customHeight="1" spans="1:6">
      <c r="A3218" s="13" t="s">
        <v>6225</v>
      </c>
      <c r="B3218" s="13" t="s">
        <v>6255</v>
      </c>
      <c r="C3218" s="13" t="s">
        <v>2564</v>
      </c>
      <c r="D3218" s="13">
        <v>3</v>
      </c>
      <c r="E3218" s="13" t="s">
        <v>6324</v>
      </c>
      <c r="F3218" s="13" t="s">
        <v>11</v>
      </c>
    </row>
    <row r="3219" ht="18" customHeight="1" spans="1:6">
      <c r="A3219" s="13" t="s">
        <v>6225</v>
      </c>
      <c r="B3219" s="13" t="s">
        <v>6255</v>
      </c>
      <c r="C3219" s="13" t="s">
        <v>6325</v>
      </c>
      <c r="D3219" s="13">
        <v>2</v>
      </c>
      <c r="E3219" s="13" t="s">
        <v>6326</v>
      </c>
      <c r="F3219" s="13" t="s">
        <v>11</v>
      </c>
    </row>
    <row r="3220" ht="18" customHeight="1" spans="1:6">
      <c r="A3220" s="13" t="s">
        <v>6225</v>
      </c>
      <c r="B3220" s="13" t="s">
        <v>6255</v>
      </c>
      <c r="C3220" s="13" t="s">
        <v>6327</v>
      </c>
      <c r="D3220" s="13">
        <v>3</v>
      </c>
      <c r="E3220" s="13" t="s">
        <v>6328</v>
      </c>
      <c r="F3220" s="13" t="s">
        <v>11</v>
      </c>
    </row>
    <row r="3221" ht="18" customHeight="1" spans="1:6">
      <c r="A3221" s="13" t="s">
        <v>6225</v>
      </c>
      <c r="B3221" s="13" t="s">
        <v>6255</v>
      </c>
      <c r="C3221" s="13" t="s">
        <v>6329</v>
      </c>
      <c r="D3221" s="13">
        <v>3</v>
      </c>
      <c r="E3221" s="13" t="s">
        <v>6330</v>
      </c>
      <c r="F3221" s="13" t="s">
        <v>11</v>
      </c>
    </row>
    <row r="3222" ht="18" customHeight="1" spans="1:6">
      <c r="A3222" s="13" t="s">
        <v>6225</v>
      </c>
      <c r="B3222" s="13" t="s">
        <v>6255</v>
      </c>
      <c r="C3222" s="13" t="s">
        <v>6331</v>
      </c>
      <c r="D3222" s="13">
        <v>4</v>
      </c>
      <c r="E3222" s="13" t="s">
        <v>6332</v>
      </c>
      <c r="F3222" s="13" t="s">
        <v>11</v>
      </c>
    </row>
    <row r="3223" ht="18" customHeight="1" spans="1:6">
      <c r="A3223" s="13" t="s">
        <v>6225</v>
      </c>
      <c r="B3223" s="13" t="s">
        <v>6255</v>
      </c>
      <c r="C3223" s="13" t="s">
        <v>6333</v>
      </c>
      <c r="D3223" s="13">
        <v>1</v>
      </c>
      <c r="E3223" s="13" t="s">
        <v>6334</v>
      </c>
      <c r="F3223" s="13" t="s">
        <v>11</v>
      </c>
    </row>
    <row r="3224" ht="18" customHeight="1" spans="1:6">
      <c r="A3224" s="13" t="s">
        <v>6225</v>
      </c>
      <c r="B3224" s="13" t="s">
        <v>6255</v>
      </c>
      <c r="C3224" s="13" t="s">
        <v>6335</v>
      </c>
      <c r="D3224" s="13">
        <v>1</v>
      </c>
      <c r="E3224" s="13" t="s">
        <v>6336</v>
      </c>
      <c r="F3224" s="13" t="s">
        <v>11</v>
      </c>
    </row>
    <row r="3225" ht="18" customHeight="1" spans="1:6">
      <c r="A3225" s="13" t="s">
        <v>6225</v>
      </c>
      <c r="B3225" s="13" t="s">
        <v>6255</v>
      </c>
      <c r="C3225" s="13" t="s">
        <v>6337</v>
      </c>
      <c r="D3225" s="13">
        <v>2</v>
      </c>
      <c r="E3225" s="13" t="s">
        <v>6338</v>
      </c>
      <c r="F3225" s="13" t="s">
        <v>11</v>
      </c>
    </row>
    <row r="3226" ht="18" customHeight="1" spans="1:6">
      <c r="A3226" s="13" t="s">
        <v>6225</v>
      </c>
      <c r="B3226" s="13" t="s">
        <v>6255</v>
      </c>
      <c r="C3226" s="13" t="s">
        <v>6339</v>
      </c>
      <c r="D3226" s="13">
        <v>3</v>
      </c>
      <c r="E3226" s="13" t="s">
        <v>6340</v>
      </c>
      <c r="F3226" s="13" t="s">
        <v>11</v>
      </c>
    </row>
    <row r="3227" ht="18" customHeight="1" spans="1:6">
      <c r="A3227" s="13" t="s">
        <v>6225</v>
      </c>
      <c r="B3227" s="13" t="s">
        <v>6255</v>
      </c>
      <c r="C3227" s="13" t="s">
        <v>6341</v>
      </c>
      <c r="D3227" s="13">
        <v>5</v>
      </c>
      <c r="E3227" s="13" t="s">
        <v>6342</v>
      </c>
      <c r="F3227" s="13" t="s">
        <v>11</v>
      </c>
    </row>
    <row r="3228" ht="18" customHeight="1" spans="1:6">
      <c r="A3228" s="13" t="s">
        <v>6225</v>
      </c>
      <c r="B3228" s="13" t="s">
        <v>6255</v>
      </c>
      <c r="C3228" s="13" t="s">
        <v>6343</v>
      </c>
      <c r="D3228" s="13">
        <v>5</v>
      </c>
      <c r="E3228" s="13" t="s">
        <v>6344</v>
      </c>
      <c r="F3228" s="13" t="s">
        <v>11</v>
      </c>
    </row>
    <row r="3229" ht="18" customHeight="1" spans="1:6">
      <c r="A3229" s="13" t="s">
        <v>6225</v>
      </c>
      <c r="B3229" s="13" t="s">
        <v>6255</v>
      </c>
      <c r="C3229" s="13" t="s">
        <v>6345</v>
      </c>
      <c r="D3229" s="13">
        <v>3</v>
      </c>
      <c r="E3229" s="13" t="s">
        <v>6346</v>
      </c>
      <c r="F3229" s="13" t="s">
        <v>11</v>
      </c>
    </row>
    <row r="3230" ht="18" customHeight="1" spans="1:6">
      <c r="A3230" s="13" t="s">
        <v>6225</v>
      </c>
      <c r="B3230" s="13" t="s">
        <v>6255</v>
      </c>
      <c r="C3230" s="13" t="s">
        <v>6347</v>
      </c>
      <c r="D3230" s="13">
        <v>2</v>
      </c>
      <c r="E3230" s="13" t="s">
        <v>6348</v>
      </c>
      <c r="F3230" s="13" t="s">
        <v>11</v>
      </c>
    </row>
    <row r="3231" ht="18" customHeight="1" spans="1:6">
      <c r="A3231" s="13" t="s">
        <v>6225</v>
      </c>
      <c r="B3231" s="13" t="s">
        <v>6255</v>
      </c>
      <c r="C3231" s="13" t="s">
        <v>6349</v>
      </c>
      <c r="D3231" s="13">
        <v>3</v>
      </c>
      <c r="E3231" s="13" t="s">
        <v>6350</v>
      </c>
      <c r="F3231" s="13" t="s">
        <v>11</v>
      </c>
    </row>
    <row r="3232" ht="18" customHeight="1" spans="1:6">
      <c r="A3232" s="13" t="s">
        <v>6225</v>
      </c>
      <c r="B3232" s="13" t="s">
        <v>6255</v>
      </c>
      <c r="C3232" s="13" t="s">
        <v>6351</v>
      </c>
      <c r="D3232" s="13">
        <v>2</v>
      </c>
      <c r="E3232" s="13" t="s">
        <v>6352</v>
      </c>
      <c r="F3232" s="13" t="s">
        <v>11</v>
      </c>
    </row>
    <row r="3233" ht="18" customHeight="1" spans="1:6">
      <c r="A3233" s="13" t="s">
        <v>6225</v>
      </c>
      <c r="B3233" s="13" t="s">
        <v>6255</v>
      </c>
      <c r="C3233" s="13" t="s">
        <v>6353</v>
      </c>
      <c r="D3233" s="13">
        <v>2</v>
      </c>
      <c r="E3233" s="13" t="s">
        <v>6354</v>
      </c>
      <c r="F3233" s="13" t="s">
        <v>11</v>
      </c>
    </row>
    <row r="3234" ht="18" customHeight="1" spans="1:6">
      <c r="A3234" s="13" t="s">
        <v>6225</v>
      </c>
      <c r="B3234" s="13" t="s">
        <v>6255</v>
      </c>
      <c r="C3234" s="13" t="s">
        <v>6355</v>
      </c>
      <c r="D3234" s="13">
        <v>3</v>
      </c>
      <c r="E3234" s="13" t="s">
        <v>6356</v>
      </c>
      <c r="F3234" s="13" t="s">
        <v>11</v>
      </c>
    </row>
    <row r="3235" ht="18" customHeight="1" spans="1:6">
      <c r="A3235" s="13" t="s">
        <v>6225</v>
      </c>
      <c r="B3235" s="13" t="s">
        <v>6357</v>
      </c>
      <c r="C3235" s="13" t="s">
        <v>6358</v>
      </c>
      <c r="D3235" s="13">
        <v>1</v>
      </c>
      <c r="E3235" s="13" t="s">
        <v>6359</v>
      </c>
      <c r="F3235" s="13" t="s">
        <v>11</v>
      </c>
    </row>
    <row r="3236" ht="18" customHeight="1" spans="1:6">
      <c r="A3236" s="13" t="s">
        <v>6225</v>
      </c>
      <c r="B3236" s="13" t="s">
        <v>6357</v>
      </c>
      <c r="C3236" s="13" t="s">
        <v>6360</v>
      </c>
      <c r="D3236" s="13">
        <v>1</v>
      </c>
      <c r="E3236" s="13" t="s">
        <v>6361</v>
      </c>
      <c r="F3236" s="13" t="s">
        <v>11</v>
      </c>
    </row>
    <row r="3237" ht="18" customHeight="1" spans="1:6">
      <c r="A3237" s="13" t="s">
        <v>6225</v>
      </c>
      <c r="B3237" s="13" t="s">
        <v>6357</v>
      </c>
      <c r="C3237" s="13" t="s">
        <v>6362</v>
      </c>
      <c r="D3237" s="13">
        <v>2</v>
      </c>
      <c r="E3237" s="13" t="s">
        <v>6363</v>
      </c>
      <c r="F3237" s="13" t="s">
        <v>11</v>
      </c>
    </row>
    <row r="3238" ht="18" customHeight="1" spans="1:6">
      <c r="A3238" s="13" t="s">
        <v>6225</v>
      </c>
      <c r="B3238" s="13" t="s">
        <v>6357</v>
      </c>
      <c r="C3238" s="13" t="s">
        <v>6364</v>
      </c>
      <c r="D3238" s="13">
        <v>2</v>
      </c>
      <c r="E3238" s="13" t="s">
        <v>6365</v>
      </c>
      <c r="F3238" s="13" t="s">
        <v>11</v>
      </c>
    </row>
    <row r="3239" ht="18" customHeight="1" spans="1:6">
      <c r="A3239" s="13" t="s">
        <v>6225</v>
      </c>
      <c r="B3239" s="13" t="s">
        <v>6357</v>
      </c>
      <c r="C3239" s="13" t="s">
        <v>6366</v>
      </c>
      <c r="D3239" s="13">
        <v>3</v>
      </c>
      <c r="E3239" s="13" t="s">
        <v>6367</v>
      </c>
      <c r="F3239" s="13" t="s">
        <v>11</v>
      </c>
    </row>
    <row r="3240" ht="18" customHeight="1" spans="1:6">
      <c r="A3240" s="13" t="s">
        <v>6225</v>
      </c>
      <c r="B3240" s="13" t="s">
        <v>6357</v>
      </c>
      <c r="C3240" s="13" t="s">
        <v>6368</v>
      </c>
      <c r="D3240" s="13">
        <v>2</v>
      </c>
      <c r="E3240" s="13" t="s">
        <v>6369</v>
      </c>
      <c r="F3240" s="13" t="s">
        <v>11</v>
      </c>
    </row>
    <row r="3241" ht="18" customHeight="1" spans="1:6">
      <c r="A3241" s="13" t="s">
        <v>6225</v>
      </c>
      <c r="B3241" s="13" t="s">
        <v>6357</v>
      </c>
      <c r="C3241" s="13" t="s">
        <v>6370</v>
      </c>
      <c r="D3241" s="13">
        <v>2</v>
      </c>
      <c r="E3241" s="13" t="s">
        <v>6371</v>
      </c>
      <c r="F3241" s="13" t="s">
        <v>11</v>
      </c>
    </row>
    <row r="3242" ht="18" customHeight="1" spans="1:6">
      <c r="A3242" s="13" t="s">
        <v>6225</v>
      </c>
      <c r="B3242" s="13" t="s">
        <v>6357</v>
      </c>
      <c r="C3242" s="13" t="s">
        <v>6372</v>
      </c>
      <c r="D3242" s="13">
        <v>5</v>
      </c>
      <c r="E3242" s="13" t="s">
        <v>6373</v>
      </c>
      <c r="F3242" s="13" t="s">
        <v>11</v>
      </c>
    </row>
    <row r="3243" ht="18" customHeight="1" spans="1:6">
      <c r="A3243" s="13" t="s">
        <v>6225</v>
      </c>
      <c r="B3243" s="13" t="s">
        <v>6357</v>
      </c>
      <c r="C3243" s="13" t="s">
        <v>6374</v>
      </c>
      <c r="D3243" s="13">
        <v>3</v>
      </c>
      <c r="E3243" s="13" t="s">
        <v>6375</v>
      </c>
      <c r="F3243" s="13" t="s">
        <v>11</v>
      </c>
    </row>
    <row r="3244" ht="18" customHeight="1" spans="1:6">
      <c r="A3244" s="13" t="s">
        <v>6225</v>
      </c>
      <c r="B3244" s="13" t="s">
        <v>6357</v>
      </c>
      <c r="C3244" s="13" t="s">
        <v>6376</v>
      </c>
      <c r="D3244" s="13">
        <v>3</v>
      </c>
      <c r="E3244" s="13" t="s">
        <v>6377</v>
      </c>
      <c r="F3244" s="13" t="s">
        <v>11</v>
      </c>
    </row>
    <row r="3245" ht="18" customHeight="1" spans="1:6">
      <c r="A3245" s="13" t="s">
        <v>6225</v>
      </c>
      <c r="B3245" s="13" t="s">
        <v>6357</v>
      </c>
      <c r="C3245" s="13" t="s">
        <v>6378</v>
      </c>
      <c r="D3245" s="13">
        <v>3</v>
      </c>
      <c r="E3245" s="13" t="s">
        <v>6379</v>
      </c>
      <c r="F3245" s="13" t="s">
        <v>11</v>
      </c>
    </row>
    <row r="3246" ht="18" customHeight="1" spans="1:6">
      <c r="A3246" s="13" t="s">
        <v>6225</v>
      </c>
      <c r="B3246" s="13" t="s">
        <v>6357</v>
      </c>
      <c r="C3246" s="13" t="s">
        <v>6380</v>
      </c>
      <c r="D3246" s="13">
        <v>3</v>
      </c>
      <c r="E3246" s="13" t="s">
        <v>6381</v>
      </c>
      <c r="F3246" s="13" t="s">
        <v>11</v>
      </c>
    </row>
    <row r="3247" ht="18" customHeight="1" spans="1:6">
      <c r="A3247" s="13" t="s">
        <v>6225</v>
      </c>
      <c r="B3247" s="13" t="s">
        <v>6357</v>
      </c>
      <c r="C3247" s="13" t="s">
        <v>6382</v>
      </c>
      <c r="D3247" s="13">
        <v>5</v>
      </c>
      <c r="E3247" s="13" t="s">
        <v>6383</v>
      </c>
      <c r="F3247" s="13" t="s">
        <v>11</v>
      </c>
    </row>
    <row r="3248" ht="18" customHeight="1" spans="1:6">
      <c r="A3248" s="13" t="s">
        <v>6225</v>
      </c>
      <c r="B3248" s="13" t="s">
        <v>6384</v>
      </c>
      <c r="C3248" s="13" t="s">
        <v>6385</v>
      </c>
      <c r="D3248" s="13">
        <v>1</v>
      </c>
      <c r="E3248" s="13" t="s">
        <v>6386</v>
      </c>
      <c r="F3248" s="13" t="s">
        <v>11</v>
      </c>
    </row>
    <row r="3249" ht="18" customHeight="1" spans="1:6">
      <c r="A3249" s="13" t="s">
        <v>6225</v>
      </c>
      <c r="B3249" s="13" t="s">
        <v>6384</v>
      </c>
      <c r="C3249" s="13" t="s">
        <v>6387</v>
      </c>
      <c r="D3249" s="13">
        <v>5</v>
      </c>
      <c r="E3249" s="13" t="s">
        <v>6388</v>
      </c>
      <c r="F3249" s="13" t="s">
        <v>11</v>
      </c>
    </row>
    <row r="3250" ht="18" customHeight="1" spans="1:6">
      <c r="A3250" s="13" t="s">
        <v>6225</v>
      </c>
      <c r="B3250" s="13" t="s">
        <v>6384</v>
      </c>
      <c r="C3250" s="13" t="s">
        <v>6389</v>
      </c>
      <c r="D3250" s="13">
        <v>4</v>
      </c>
      <c r="E3250" s="13" t="s">
        <v>6390</v>
      </c>
      <c r="F3250" s="13" t="s">
        <v>11</v>
      </c>
    </row>
    <row r="3251" ht="18" customHeight="1" spans="1:6">
      <c r="A3251" s="13" t="s">
        <v>6225</v>
      </c>
      <c r="B3251" s="13" t="s">
        <v>6384</v>
      </c>
      <c r="C3251" s="13" t="s">
        <v>6391</v>
      </c>
      <c r="D3251" s="13">
        <v>2</v>
      </c>
      <c r="E3251" s="13" t="s">
        <v>6392</v>
      </c>
      <c r="F3251" s="13" t="s">
        <v>11</v>
      </c>
    </row>
    <row r="3252" ht="18" customHeight="1" spans="1:6">
      <c r="A3252" s="13" t="s">
        <v>6225</v>
      </c>
      <c r="B3252" s="13" t="s">
        <v>6384</v>
      </c>
      <c r="C3252" s="13" t="s">
        <v>6393</v>
      </c>
      <c r="D3252" s="13">
        <v>2</v>
      </c>
      <c r="E3252" s="13" t="s">
        <v>6394</v>
      </c>
      <c r="F3252" s="13" t="s">
        <v>11</v>
      </c>
    </row>
    <row r="3253" ht="18" customHeight="1" spans="1:6">
      <c r="A3253" s="13" t="s">
        <v>6225</v>
      </c>
      <c r="B3253" s="13" t="s">
        <v>6384</v>
      </c>
      <c r="C3253" s="13" t="s">
        <v>6395</v>
      </c>
      <c r="D3253" s="13">
        <v>3</v>
      </c>
      <c r="E3253" s="13" t="s">
        <v>6396</v>
      </c>
      <c r="F3253" s="13" t="s">
        <v>11</v>
      </c>
    </row>
    <row r="3254" ht="18" customHeight="1" spans="1:6">
      <c r="A3254" s="13" t="s">
        <v>6225</v>
      </c>
      <c r="B3254" s="13" t="s">
        <v>6384</v>
      </c>
      <c r="C3254" s="13" t="s">
        <v>6397</v>
      </c>
      <c r="D3254" s="13">
        <v>2</v>
      </c>
      <c r="E3254" s="13" t="s">
        <v>6398</v>
      </c>
      <c r="F3254" s="13" t="s">
        <v>11</v>
      </c>
    </row>
    <row r="3255" ht="18" customHeight="1" spans="1:6">
      <c r="A3255" s="13" t="s">
        <v>6225</v>
      </c>
      <c r="B3255" s="13" t="s">
        <v>6399</v>
      </c>
      <c r="C3255" s="13" t="s">
        <v>6400</v>
      </c>
      <c r="D3255" s="13">
        <v>3</v>
      </c>
      <c r="E3255" s="13" t="s">
        <v>6401</v>
      </c>
      <c r="F3255" s="13" t="s">
        <v>11</v>
      </c>
    </row>
    <row r="3256" ht="18" customHeight="1" spans="1:6">
      <c r="A3256" s="13" t="s">
        <v>6225</v>
      </c>
      <c r="B3256" s="13" t="s">
        <v>6399</v>
      </c>
      <c r="C3256" s="13" t="s">
        <v>6402</v>
      </c>
      <c r="D3256" s="13">
        <v>2</v>
      </c>
      <c r="E3256" s="13" t="s">
        <v>6403</v>
      </c>
      <c r="F3256" s="13" t="s">
        <v>11</v>
      </c>
    </row>
    <row r="3257" ht="18" customHeight="1" spans="1:6">
      <c r="A3257" s="13" t="s">
        <v>6225</v>
      </c>
      <c r="B3257" s="13" t="s">
        <v>6404</v>
      </c>
      <c r="C3257" s="13" t="s">
        <v>6405</v>
      </c>
      <c r="D3257" s="13">
        <v>5</v>
      </c>
      <c r="E3257" s="13" t="s">
        <v>6406</v>
      </c>
      <c r="F3257" s="13" t="s">
        <v>11</v>
      </c>
    </row>
    <row r="3258" ht="18" customHeight="1" spans="1:6">
      <c r="A3258" s="13" t="s">
        <v>6225</v>
      </c>
      <c r="B3258" s="13" t="s">
        <v>6404</v>
      </c>
      <c r="C3258" s="13" t="s">
        <v>6407</v>
      </c>
      <c r="D3258" s="13">
        <v>5</v>
      </c>
      <c r="E3258" s="13" t="s">
        <v>6408</v>
      </c>
      <c r="F3258" s="13" t="s">
        <v>11</v>
      </c>
    </row>
    <row r="3259" ht="18" customHeight="1" spans="1:6">
      <c r="A3259" s="13" t="s">
        <v>6225</v>
      </c>
      <c r="B3259" s="13" t="s">
        <v>6404</v>
      </c>
      <c r="C3259" s="13" t="s">
        <v>6409</v>
      </c>
      <c r="D3259" s="13">
        <v>4</v>
      </c>
      <c r="E3259" s="13" t="s">
        <v>6410</v>
      </c>
      <c r="F3259" s="13" t="s">
        <v>11</v>
      </c>
    </row>
    <row r="3260" ht="18" customHeight="1" spans="1:6">
      <c r="A3260" s="13" t="s">
        <v>6225</v>
      </c>
      <c r="B3260" s="13" t="s">
        <v>6404</v>
      </c>
      <c r="C3260" s="13" t="s">
        <v>6411</v>
      </c>
      <c r="D3260" s="13">
        <v>4</v>
      </c>
      <c r="E3260" s="13" t="s">
        <v>6412</v>
      </c>
      <c r="F3260" s="13" t="s">
        <v>11</v>
      </c>
    </row>
    <row r="3261" ht="18" customHeight="1" spans="1:6">
      <c r="A3261" s="13" t="s">
        <v>6225</v>
      </c>
      <c r="B3261" s="13" t="s">
        <v>6404</v>
      </c>
      <c r="C3261" s="13" t="s">
        <v>6413</v>
      </c>
      <c r="D3261" s="13">
        <v>4</v>
      </c>
      <c r="E3261" s="13" t="s">
        <v>6414</v>
      </c>
      <c r="F3261" s="13" t="s">
        <v>11</v>
      </c>
    </row>
    <row r="3262" ht="18" customHeight="1" spans="1:6">
      <c r="A3262" s="13" t="s">
        <v>6225</v>
      </c>
      <c r="B3262" s="13" t="s">
        <v>6404</v>
      </c>
      <c r="C3262" s="13" t="s">
        <v>6415</v>
      </c>
      <c r="D3262" s="13">
        <v>4</v>
      </c>
      <c r="E3262" s="13" t="s">
        <v>6416</v>
      </c>
      <c r="F3262" s="13" t="s">
        <v>11</v>
      </c>
    </row>
    <row r="3263" ht="18" customHeight="1" spans="1:6">
      <c r="A3263" s="13" t="s">
        <v>6225</v>
      </c>
      <c r="B3263" s="13" t="s">
        <v>6404</v>
      </c>
      <c r="C3263" s="13" t="s">
        <v>6417</v>
      </c>
      <c r="D3263" s="13">
        <v>3</v>
      </c>
      <c r="E3263" s="13" t="s">
        <v>6418</v>
      </c>
      <c r="F3263" s="13" t="s">
        <v>11</v>
      </c>
    </row>
    <row r="3264" ht="18" customHeight="1" spans="1:6">
      <c r="A3264" s="13" t="s">
        <v>6225</v>
      </c>
      <c r="B3264" s="13" t="s">
        <v>6404</v>
      </c>
      <c r="C3264" s="13" t="s">
        <v>6419</v>
      </c>
      <c r="D3264" s="13">
        <v>3</v>
      </c>
      <c r="E3264" s="13" t="s">
        <v>6420</v>
      </c>
      <c r="F3264" s="13" t="s">
        <v>11</v>
      </c>
    </row>
    <row r="3265" ht="18" customHeight="1" spans="1:6">
      <c r="A3265" s="13" t="s">
        <v>6225</v>
      </c>
      <c r="B3265" s="13" t="s">
        <v>6404</v>
      </c>
      <c r="C3265" s="13" t="s">
        <v>6421</v>
      </c>
      <c r="D3265" s="13">
        <v>3</v>
      </c>
      <c r="E3265" s="13" t="s">
        <v>6422</v>
      </c>
      <c r="F3265" s="13" t="s">
        <v>11</v>
      </c>
    </row>
    <row r="3266" ht="18" customHeight="1" spans="1:6">
      <c r="A3266" s="13" t="s">
        <v>6225</v>
      </c>
      <c r="B3266" s="13" t="s">
        <v>6404</v>
      </c>
      <c r="C3266" s="13" t="s">
        <v>6423</v>
      </c>
      <c r="D3266" s="13">
        <v>3</v>
      </c>
      <c r="E3266" s="13" t="s">
        <v>6424</v>
      </c>
      <c r="F3266" s="13" t="s">
        <v>11</v>
      </c>
    </row>
    <row r="3267" ht="18" customHeight="1" spans="1:6">
      <c r="A3267" s="13" t="s">
        <v>6225</v>
      </c>
      <c r="B3267" s="13" t="s">
        <v>6404</v>
      </c>
      <c r="C3267" s="13" t="s">
        <v>6425</v>
      </c>
      <c r="D3267" s="13">
        <v>2</v>
      </c>
      <c r="E3267" s="13" t="s">
        <v>6426</v>
      </c>
      <c r="F3267" s="13" t="s">
        <v>11</v>
      </c>
    </row>
    <row r="3268" ht="18" customHeight="1" spans="1:6">
      <c r="A3268" s="13" t="s">
        <v>6225</v>
      </c>
      <c r="B3268" s="13" t="s">
        <v>6404</v>
      </c>
      <c r="C3268" s="13" t="s">
        <v>6427</v>
      </c>
      <c r="D3268" s="13">
        <v>2</v>
      </c>
      <c r="E3268" s="13" t="s">
        <v>6428</v>
      </c>
      <c r="F3268" s="13" t="s">
        <v>11</v>
      </c>
    </row>
    <row r="3269" ht="18" customHeight="1" spans="1:6">
      <c r="A3269" s="13" t="s">
        <v>6225</v>
      </c>
      <c r="B3269" s="13" t="s">
        <v>6404</v>
      </c>
      <c r="C3269" s="13" t="s">
        <v>6429</v>
      </c>
      <c r="D3269" s="13">
        <v>2</v>
      </c>
      <c r="E3269" s="13" t="s">
        <v>6430</v>
      </c>
      <c r="F3269" s="13" t="s">
        <v>11</v>
      </c>
    </row>
    <row r="3270" ht="18" customHeight="1" spans="1:6">
      <c r="A3270" s="13" t="s">
        <v>6225</v>
      </c>
      <c r="B3270" s="13" t="s">
        <v>6404</v>
      </c>
      <c r="C3270" s="13" t="s">
        <v>6431</v>
      </c>
      <c r="D3270" s="13">
        <v>2</v>
      </c>
      <c r="E3270" s="13" t="s">
        <v>6432</v>
      </c>
      <c r="F3270" s="13" t="s">
        <v>11</v>
      </c>
    </row>
    <row r="3271" ht="18" customHeight="1" spans="1:6">
      <c r="A3271" s="13" t="s">
        <v>6225</v>
      </c>
      <c r="B3271" s="13" t="s">
        <v>6404</v>
      </c>
      <c r="C3271" s="13" t="s">
        <v>6433</v>
      </c>
      <c r="D3271" s="13">
        <v>2</v>
      </c>
      <c r="E3271" s="13" t="s">
        <v>6434</v>
      </c>
      <c r="F3271" s="13" t="s">
        <v>11</v>
      </c>
    </row>
    <row r="3272" ht="18" customHeight="1" spans="1:6">
      <c r="A3272" s="13" t="s">
        <v>6225</v>
      </c>
      <c r="B3272" s="13" t="s">
        <v>6404</v>
      </c>
      <c r="C3272" s="13" t="s">
        <v>6435</v>
      </c>
      <c r="D3272" s="13">
        <v>1</v>
      </c>
      <c r="E3272" s="13" t="s">
        <v>6436</v>
      </c>
      <c r="F3272" s="13" t="s">
        <v>11</v>
      </c>
    </row>
    <row r="3273" ht="18" customHeight="1" spans="1:6">
      <c r="A3273" s="13" t="s">
        <v>6225</v>
      </c>
      <c r="B3273" s="13" t="s">
        <v>6404</v>
      </c>
      <c r="C3273" s="13" t="s">
        <v>6437</v>
      </c>
      <c r="D3273" s="13">
        <v>1</v>
      </c>
      <c r="E3273" s="13" t="s">
        <v>6438</v>
      </c>
      <c r="F3273" s="13" t="s">
        <v>11</v>
      </c>
    </row>
    <row r="3274" ht="18" customHeight="1" spans="1:6">
      <c r="A3274" s="13" t="s">
        <v>6225</v>
      </c>
      <c r="B3274" s="13" t="s">
        <v>6404</v>
      </c>
      <c r="C3274" s="13" t="s">
        <v>6439</v>
      </c>
      <c r="D3274" s="13">
        <v>1</v>
      </c>
      <c r="E3274" s="13" t="s">
        <v>6440</v>
      </c>
      <c r="F3274" s="13" t="s">
        <v>11</v>
      </c>
    </row>
    <row r="3275" ht="18" customHeight="1" spans="1:6">
      <c r="A3275" s="13" t="s">
        <v>6225</v>
      </c>
      <c r="B3275" s="13" t="s">
        <v>6404</v>
      </c>
      <c r="C3275" s="13" t="s">
        <v>6441</v>
      </c>
      <c r="D3275" s="13">
        <v>6</v>
      </c>
      <c r="E3275" s="13" t="s">
        <v>6442</v>
      </c>
      <c r="F3275" s="13" t="s">
        <v>11</v>
      </c>
    </row>
    <row r="3276" ht="18" customHeight="1" spans="1:6">
      <c r="A3276" s="13" t="s">
        <v>6225</v>
      </c>
      <c r="B3276" s="13" t="s">
        <v>6404</v>
      </c>
      <c r="C3276" s="13" t="s">
        <v>6443</v>
      </c>
      <c r="D3276" s="13">
        <v>6</v>
      </c>
      <c r="E3276" s="13" t="s">
        <v>6444</v>
      </c>
      <c r="F3276" s="13" t="s">
        <v>11</v>
      </c>
    </row>
    <row r="3277" ht="18" customHeight="1" spans="1:6">
      <c r="A3277" s="13" t="s">
        <v>6225</v>
      </c>
      <c r="B3277" s="13" t="s">
        <v>6404</v>
      </c>
      <c r="C3277" s="13" t="s">
        <v>6445</v>
      </c>
      <c r="D3277" s="13">
        <v>4</v>
      </c>
      <c r="E3277" s="13" t="s">
        <v>6446</v>
      </c>
      <c r="F3277" s="13" t="s">
        <v>11</v>
      </c>
    </row>
    <row r="3278" ht="18" customHeight="1" spans="1:6">
      <c r="A3278" s="13" t="s">
        <v>6225</v>
      </c>
      <c r="B3278" s="13" t="s">
        <v>6404</v>
      </c>
      <c r="C3278" s="13" t="s">
        <v>6447</v>
      </c>
      <c r="D3278" s="13">
        <v>4</v>
      </c>
      <c r="E3278" s="13" t="s">
        <v>6448</v>
      </c>
      <c r="F3278" s="13" t="s">
        <v>11</v>
      </c>
    </row>
    <row r="3279" ht="18" customHeight="1" spans="1:6">
      <c r="A3279" s="13" t="s">
        <v>6225</v>
      </c>
      <c r="B3279" s="13" t="s">
        <v>6404</v>
      </c>
      <c r="C3279" s="13" t="s">
        <v>6449</v>
      </c>
      <c r="D3279" s="13">
        <v>4</v>
      </c>
      <c r="E3279" s="13" t="s">
        <v>6450</v>
      </c>
      <c r="F3279" s="13" t="s">
        <v>11</v>
      </c>
    </row>
    <row r="3280" ht="18" customHeight="1" spans="1:6">
      <c r="A3280" s="13" t="s">
        <v>6225</v>
      </c>
      <c r="B3280" s="13" t="s">
        <v>6404</v>
      </c>
      <c r="C3280" s="13" t="s">
        <v>6451</v>
      </c>
      <c r="D3280" s="13">
        <v>4</v>
      </c>
      <c r="E3280" s="13" t="s">
        <v>6452</v>
      </c>
      <c r="F3280" s="13" t="s">
        <v>11</v>
      </c>
    </row>
    <row r="3281" ht="18" customHeight="1" spans="1:6">
      <c r="A3281" s="13" t="s">
        <v>6225</v>
      </c>
      <c r="B3281" s="13" t="s">
        <v>6404</v>
      </c>
      <c r="C3281" s="13" t="s">
        <v>6453</v>
      </c>
      <c r="D3281" s="13">
        <v>4</v>
      </c>
      <c r="E3281" s="13" t="s">
        <v>6454</v>
      </c>
      <c r="F3281" s="13" t="s">
        <v>11</v>
      </c>
    </row>
    <row r="3282" ht="18" customHeight="1" spans="1:6">
      <c r="A3282" s="13" t="s">
        <v>6225</v>
      </c>
      <c r="B3282" s="13" t="s">
        <v>6404</v>
      </c>
      <c r="C3282" s="13" t="s">
        <v>6455</v>
      </c>
      <c r="D3282" s="13">
        <v>4</v>
      </c>
      <c r="E3282" s="13" t="s">
        <v>6456</v>
      </c>
      <c r="F3282" s="13" t="s">
        <v>11</v>
      </c>
    </row>
    <row r="3283" ht="18" customHeight="1" spans="1:6">
      <c r="A3283" s="13" t="s">
        <v>6225</v>
      </c>
      <c r="B3283" s="13" t="s">
        <v>6404</v>
      </c>
      <c r="C3283" s="13" t="s">
        <v>6457</v>
      </c>
      <c r="D3283" s="13">
        <v>3</v>
      </c>
      <c r="E3283" s="13" t="s">
        <v>6458</v>
      </c>
      <c r="F3283" s="13" t="s">
        <v>11</v>
      </c>
    </row>
    <row r="3284" ht="18" customHeight="1" spans="1:6">
      <c r="A3284" s="13" t="s">
        <v>6225</v>
      </c>
      <c r="B3284" s="13" t="s">
        <v>6404</v>
      </c>
      <c r="C3284" s="13" t="s">
        <v>6459</v>
      </c>
      <c r="D3284" s="13">
        <v>3</v>
      </c>
      <c r="E3284" s="13" t="s">
        <v>6460</v>
      </c>
      <c r="F3284" s="13" t="s">
        <v>11</v>
      </c>
    </row>
    <row r="3285" ht="18" customHeight="1" spans="1:6">
      <c r="A3285" s="13" t="s">
        <v>6225</v>
      </c>
      <c r="B3285" s="13" t="s">
        <v>6404</v>
      </c>
      <c r="C3285" s="13" t="s">
        <v>6461</v>
      </c>
      <c r="D3285" s="13">
        <v>3</v>
      </c>
      <c r="E3285" s="13" t="s">
        <v>6462</v>
      </c>
      <c r="F3285" s="13" t="s">
        <v>11</v>
      </c>
    </row>
    <row r="3286" ht="18" customHeight="1" spans="1:6">
      <c r="A3286" s="13" t="s">
        <v>6225</v>
      </c>
      <c r="B3286" s="13" t="s">
        <v>6404</v>
      </c>
      <c r="C3286" s="13" t="s">
        <v>6463</v>
      </c>
      <c r="D3286" s="13">
        <v>2</v>
      </c>
      <c r="E3286" s="13" t="s">
        <v>6464</v>
      </c>
      <c r="F3286" s="13" t="s">
        <v>11</v>
      </c>
    </row>
    <row r="3287" ht="18" customHeight="1" spans="1:6">
      <c r="A3287" s="13" t="s">
        <v>6225</v>
      </c>
      <c r="B3287" s="13" t="s">
        <v>6404</v>
      </c>
      <c r="C3287" s="13" t="s">
        <v>829</v>
      </c>
      <c r="D3287" s="13">
        <v>2</v>
      </c>
      <c r="E3287" s="13" t="s">
        <v>6465</v>
      </c>
      <c r="F3287" s="13" t="s">
        <v>11</v>
      </c>
    </row>
    <row r="3288" ht="18" customHeight="1" spans="1:6">
      <c r="A3288" s="13" t="s">
        <v>6225</v>
      </c>
      <c r="B3288" s="13" t="s">
        <v>6404</v>
      </c>
      <c r="C3288" s="13" t="s">
        <v>6466</v>
      </c>
      <c r="D3288" s="13">
        <v>2</v>
      </c>
      <c r="E3288" s="13" t="s">
        <v>6467</v>
      </c>
      <c r="F3288" s="13" t="s">
        <v>11</v>
      </c>
    </row>
    <row r="3289" ht="18" customHeight="1" spans="1:6">
      <c r="A3289" s="13" t="s">
        <v>6225</v>
      </c>
      <c r="B3289" s="13" t="s">
        <v>6404</v>
      </c>
      <c r="C3289" s="13" t="s">
        <v>6468</v>
      </c>
      <c r="D3289" s="13">
        <v>2</v>
      </c>
      <c r="E3289" s="13" t="s">
        <v>6469</v>
      </c>
      <c r="F3289" s="13" t="s">
        <v>11</v>
      </c>
    </row>
    <row r="3290" ht="18" customHeight="1" spans="1:6">
      <c r="A3290" s="13" t="s">
        <v>6225</v>
      </c>
      <c r="B3290" s="13" t="s">
        <v>6404</v>
      </c>
      <c r="C3290" s="13" t="s">
        <v>6470</v>
      </c>
      <c r="D3290" s="13">
        <v>2</v>
      </c>
      <c r="E3290" s="13" t="s">
        <v>6471</v>
      </c>
      <c r="F3290" s="13" t="s">
        <v>11</v>
      </c>
    </row>
    <row r="3291" ht="18" customHeight="1" spans="1:6">
      <c r="A3291" s="13" t="s">
        <v>6225</v>
      </c>
      <c r="B3291" s="13" t="s">
        <v>6404</v>
      </c>
      <c r="C3291" s="13" t="s">
        <v>6472</v>
      </c>
      <c r="D3291" s="13">
        <v>2</v>
      </c>
      <c r="E3291" s="13" t="s">
        <v>6473</v>
      </c>
      <c r="F3291" s="13" t="s">
        <v>11</v>
      </c>
    </row>
    <row r="3292" ht="18" customHeight="1" spans="1:6">
      <c r="A3292" s="13" t="s">
        <v>6225</v>
      </c>
      <c r="B3292" s="13" t="s">
        <v>6404</v>
      </c>
      <c r="C3292" s="13" t="s">
        <v>6474</v>
      </c>
      <c r="D3292" s="13">
        <v>1</v>
      </c>
      <c r="E3292" s="179" t="s">
        <v>6475</v>
      </c>
      <c r="F3292" s="13" t="s">
        <v>11</v>
      </c>
    </row>
    <row r="3293" ht="18" customHeight="1" spans="1:6">
      <c r="A3293" s="13" t="s">
        <v>6225</v>
      </c>
      <c r="B3293" s="13" t="s">
        <v>6404</v>
      </c>
      <c r="C3293" s="13" t="s">
        <v>6476</v>
      </c>
      <c r="D3293" s="13">
        <v>1</v>
      </c>
      <c r="E3293" s="13" t="s">
        <v>6477</v>
      </c>
      <c r="F3293" s="13" t="s">
        <v>11</v>
      </c>
    </row>
    <row r="3294" ht="18" customHeight="1" spans="1:6">
      <c r="A3294" s="13" t="s">
        <v>6225</v>
      </c>
      <c r="B3294" s="13" t="s">
        <v>6404</v>
      </c>
      <c r="C3294" s="13" t="s">
        <v>6478</v>
      </c>
      <c r="D3294" s="13">
        <v>1</v>
      </c>
      <c r="E3294" s="13" t="s">
        <v>6479</v>
      </c>
      <c r="F3294" s="13" t="s">
        <v>11</v>
      </c>
    </row>
    <row r="3295" ht="18" customHeight="1" spans="1:6">
      <c r="A3295" s="13" t="s">
        <v>6225</v>
      </c>
      <c r="B3295" s="13" t="s">
        <v>6404</v>
      </c>
      <c r="C3295" s="13" t="s">
        <v>6480</v>
      </c>
      <c r="D3295" s="13">
        <v>1</v>
      </c>
      <c r="E3295" s="13" t="s">
        <v>6481</v>
      </c>
      <c r="F3295" s="13" t="s">
        <v>11</v>
      </c>
    </row>
    <row r="3296" ht="18" customHeight="1" spans="1:6">
      <c r="A3296" s="13" t="s">
        <v>6225</v>
      </c>
      <c r="B3296" s="13" t="s">
        <v>6404</v>
      </c>
      <c r="C3296" s="13" t="s">
        <v>6482</v>
      </c>
      <c r="D3296" s="13">
        <v>5</v>
      </c>
      <c r="E3296" s="13" t="s">
        <v>6483</v>
      </c>
      <c r="F3296" s="13" t="s">
        <v>11</v>
      </c>
    </row>
    <row r="3297" ht="18" customHeight="1" spans="1:6">
      <c r="A3297" s="13" t="s">
        <v>6225</v>
      </c>
      <c r="B3297" s="13" t="s">
        <v>6404</v>
      </c>
      <c r="C3297" s="13" t="s">
        <v>6484</v>
      </c>
      <c r="D3297" s="13">
        <v>5</v>
      </c>
      <c r="E3297" s="13" t="s">
        <v>6485</v>
      </c>
      <c r="F3297" s="13" t="s">
        <v>11</v>
      </c>
    </row>
    <row r="3298" ht="18" customHeight="1" spans="1:6">
      <c r="A3298" s="13" t="s">
        <v>6225</v>
      </c>
      <c r="B3298" s="13" t="s">
        <v>6404</v>
      </c>
      <c r="C3298" s="13" t="s">
        <v>6486</v>
      </c>
      <c r="D3298" s="13">
        <v>4</v>
      </c>
      <c r="E3298" s="13" t="s">
        <v>6487</v>
      </c>
      <c r="F3298" s="13" t="s">
        <v>11</v>
      </c>
    </row>
    <row r="3299" ht="18" customHeight="1" spans="1:6">
      <c r="A3299" s="13" t="s">
        <v>6225</v>
      </c>
      <c r="B3299" s="13" t="s">
        <v>6404</v>
      </c>
      <c r="C3299" s="13" t="s">
        <v>6488</v>
      </c>
      <c r="D3299" s="13">
        <v>3</v>
      </c>
      <c r="E3299" s="13" t="s">
        <v>6489</v>
      </c>
      <c r="F3299" s="13" t="s">
        <v>11</v>
      </c>
    </row>
    <row r="3300" ht="18" customHeight="1" spans="1:6">
      <c r="A3300" s="13" t="s">
        <v>6225</v>
      </c>
      <c r="B3300" s="13" t="s">
        <v>6404</v>
      </c>
      <c r="C3300" s="13" t="s">
        <v>6490</v>
      </c>
      <c r="D3300" s="13">
        <v>3</v>
      </c>
      <c r="E3300" s="13" t="s">
        <v>6491</v>
      </c>
      <c r="F3300" s="13" t="s">
        <v>11</v>
      </c>
    </row>
    <row r="3301" ht="18" customHeight="1" spans="1:6">
      <c r="A3301" s="13" t="s">
        <v>6225</v>
      </c>
      <c r="B3301" s="13" t="s">
        <v>6404</v>
      </c>
      <c r="C3301" s="13" t="s">
        <v>6492</v>
      </c>
      <c r="D3301" s="13">
        <v>3</v>
      </c>
      <c r="E3301" s="13" t="s">
        <v>6493</v>
      </c>
      <c r="F3301" s="13" t="s">
        <v>11</v>
      </c>
    </row>
    <row r="3302" ht="18" customHeight="1" spans="1:6">
      <c r="A3302" s="13" t="s">
        <v>6225</v>
      </c>
      <c r="B3302" s="13" t="s">
        <v>6404</v>
      </c>
      <c r="C3302" s="13" t="s">
        <v>6494</v>
      </c>
      <c r="D3302" s="13">
        <v>3</v>
      </c>
      <c r="E3302" s="13" t="s">
        <v>6495</v>
      </c>
      <c r="F3302" s="13" t="s">
        <v>11</v>
      </c>
    </row>
    <row r="3303" ht="18" customHeight="1" spans="1:6">
      <c r="A3303" s="13" t="s">
        <v>6225</v>
      </c>
      <c r="B3303" s="13" t="s">
        <v>6404</v>
      </c>
      <c r="C3303" s="13" t="s">
        <v>6496</v>
      </c>
      <c r="D3303" s="13">
        <v>3</v>
      </c>
      <c r="E3303" s="13" t="s">
        <v>6497</v>
      </c>
      <c r="F3303" s="13" t="s">
        <v>11</v>
      </c>
    </row>
    <row r="3304" ht="18" customHeight="1" spans="1:6">
      <c r="A3304" s="13" t="s">
        <v>6225</v>
      </c>
      <c r="B3304" s="13" t="s">
        <v>6404</v>
      </c>
      <c r="C3304" s="13" t="s">
        <v>6498</v>
      </c>
      <c r="D3304" s="13">
        <v>3</v>
      </c>
      <c r="E3304" s="13" t="s">
        <v>6499</v>
      </c>
      <c r="F3304" s="13" t="s">
        <v>11</v>
      </c>
    </row>
    <row r="3305" ht="18" customHeight="1" spans="1:6">
      <c r="A3305" s="13" t="s">
        <v>6225</v>
      </c>
      <c r="B3305" s="13" t="s">
        <v>6404</v>
      </c>
      <c r="C3305" s="13" t="s">
        <v>6500</v>
      </c>
      <c r="D3305" s="13">
        <v>3</v>
      </c>
      <c r="E3305" s="13" t="s">
        <v>6501</v>
      </c>
      <c r="F3305" s="13" t="s">
        <v>11</v>
      </c>
    </row>
    <row r="3306" ht="18" customHeight="1" spans="1:6">
      <c r="A3306" s="13" t="s">
        <v>6225</v>
      </c>
      <c r="B3306" s="13" t="s">
        <v>6404</v>
      </c>
      <c r="C3306" s="13" t="s">
        <v>6502</v>
      </c>
      <c r="D3306" s="13">
        <v>2</v>
      </c>
      <c r="E3306" s="13" t="s">
        <v>6503</v>
      </c>
      <c r="F3306" s="13" t="s">
        <v>11</v>
      </c>
    </row>
    <row r="3307" ht="18" customHeight="1" spans="1:6">
      <c r="A3307" s="13" t="s">
        <v>6225</v>
      </c>
      <c r="B3307" s="13" t="s">
        <v>6404</v>
      </c>
      <c r="C3307" s="13" t="s">
        <v>6504</v>
      </c>
      <c r="D3307" s="13">
        <v>2</v>
      </c>
      <c r="E3307" s="13" t="s">
        <v>6505</v>
      </c>
      <c r="F3307" s="13" t="s">
        <v>11</v>
      </c>
    </row>
    <row r="3308" ht="18" customHeight="1" spans="1:6">
      <c r="A3308" s="13" t="s">
        <v>6225</v>
      </c>
      <c r="B3308" s="13" t="s">
        <v>6404</v>
      </c>
      <c r="C3308" s="13" t="s">
        <v>6506</v>
      </c>
      <c r="D3308" s="13">
        <v>2</v>
      </c>
      <c r="E3308" s="13" t="s">
        <v>6507</v>
      </c>
      <c r="F3308" s="13" t="s">
        <v>11</v>
      </c>
    </row>
    <row r="3309" ht="18" customHeight="1" spans="1:6">
      <c r="A3309" s="13" t="s">
        <v>6225</v>
      </c>
      <c r="B3309" s="13" t="s">
        <v>6404</v>
      </c>
      <c r="C3309" s="13" t="s">
        <v>6508</v>
      </c>
      <c r="D3309" s="13">
        <v>2</v>
      </c>
      <c r="E3309" s="13" t="s">
        <v>6509</v>
      </c>
      <c r="F3309" s="13" t="s">
        <v>11</v>
      </c>
    </row>
    <row r="3310" ht="18" customHeight="1" spans="1:6">
      <c r="A3310" s="13" t="s">
        <v>6225</v>
      </c>
      <c r="B3310" s="13" t="s">
        <v>6404</v>
      </c>
      <c r="C3310" s="13" t="s">
        <v>6510</v>
      </c>
      <c r="D3310" s="13">
        <v>1</v>
      </c>
      <c r="E3310" s="13" t="s">
        <v>6511</v>
      </c>
      <c r="F3310" s="13" t="s">
        <v>11</v>
      </c>
    </row>
    <row r="3311" ht="18" customHeight="1" spans="1:6">
      <c r="A3311" s="13" t="s">
        <v>6225</v>
      </c>
      <c r="B3311" s="13" t="s">
        <v>6404</v>
      </c>
      <c r="C3311" s="13" t="s">
        <v>6512</v>
      </c>
      <c r="D3311" s="13">
        <v>1</v>
      </c>
      <c r="E3311" s="13" t="s">
        <v>6513</v>
      </c>
      <c r="F3311" s="13" t="s">
        <v>11</v>
      </c>
    </row>
    <row r="3312" ht="18" customHeight="1" spans="1:6">
      <c r="A3312" s="13" t="s">
        <v>6225</v>
      </c>
      <c r="B3312" s="13" t="s">
        <v>6404</v>
      </c>
      <c r="C3312" s="13" t="s">
        <v>6514</v>
      </c>
      <c r="D3312" s="13">
        <v>1</v>
      </c>
      <c r="E3312" s="13" t="s">
        <v>6515</v>
      </c>
      <c r="F3312" s="13" t="s">
        <v>11</v>
      </c>
    </row>
    <row r="3313" ht="18" customHeight="1" spans="1:6">
      <c r="A3313" s="13" t="s">
        <v>6225</v>
      </c>
      <c r="B3313" s="13" t="s">
        <v>6404</v>
      </c>
      <c r="C3313" s="13" t="s">
        <v>6516</v>
      </c>
      <c r="D3313" s="13">
        <v>1</v>
      </c>
      <c r="E3313" s="13" t="s">
        <v>6517</v>
      </c>
      <c r="F3313" s="13" t="s">
        <v>11</v>
      </c>
    </row>
    <row r="3314" ht="18" customHeight="1" spans="1:6">
      <c r="A3314" s="13" t="s">
        <v>6225</v>
      </c>
      <c r="B3314" s="13" t="s">
        <v>6404</v>
      </c>
      <c r="C3314" s="13" t="s">
        <v>6518</v>
      </c>
      <c r="D3314" s="13">
        <v>1</v>
      </c>
      <c r="E3314" s="13" t="s">
        <v>6519</v>
      </c>
      <c r="F3314" s="13" t="s">
        <v>11</v>
      </c>
    </row>
    <row r="3315" ht="18" customHeight="1" spans="1:6">
      <c r="A3315" s="13" t="s">
        <v>6225</v>
      </c>
      <c r="B3315" s="13" t="s">
        <v>6404</v>
      </c>
      <c r="C3315" s="13" t="s">
        <v>6520</v>
      </c>
      <c r="D3315" s="13">
        <v>1</v>
      </c>
      <c r="E3315" s="13" t="s">
        <v>6521</v>
      </c>
      <c r="F3315" s="13" t="s">
        <v>11</v>
      </c>
    </row>
    <row r="3316" ht="18" customHeight="1" spans="1:6">
      <c r="A3316" s="13" t="s">
        <v>6225</v>
      </c>
      <c r="B3316" s="13" t="s">
        <v>6404</v>
      </c>
      <c r="C3316" s="13" t="s">
        <v>6522</v>
      </c>
      <c r="D3316" s="13">
        <v>1</v>
      </c>
      <c r="E3316" s="13" t="s">
        <v>6523</v>
      </c>
      <c r="F3316" s="13" t="s">
        <v>11</v>
      </c>
    </row>
    <row r="3317" ht="18" customHeight="1" spans="1:6">
      <c r="A3317" s="13" t="s">
        <v>6225</v>
      </c>
      <c r="B3317" s="13" t="s">
        <v>6404</v>
      </c>
      <c r="C3317" s="13" t="s">
        <v>6524</v>
      </c>
      <c r="D3317" s="13">
        <v>3</v>
      </c>
      <c r="E3317" s="13" t="s">
        <v>6525</v>
      </c>
      <c r="F3317" s="13" t="s">
        <v>11</v>
      </c>
    </row>
    <row r="3318" ht="18" customHeight="1" spans="1:6">
      <c r="A3318" s="13" t="s">
        <v>6225</v>
      </c>
      <c r="B3318" s="13" t="s">
        <v>6404</v>
      </c>
      <c r="C3318" s="13" t="s">
        <v>6526</v>
      </c>
      <c r="D3318" s="13">
        <v>2</v>
      </c>
      <c r="E3318" s="13" t="s">
        <v>6527</v>
      </c>
      <c r="F3318" s="13" t="s">
        <v>11</v>
      </c>
    </row>
    <row r="3319" ht="18" customHeight="1" spans="1:6">
      <c r="A3319" s="13" t="s">
        <v>6225</v>
      </c>
      <c r="B3319" s="13" t="s">
        <v>6404</v>
      </c>
      <c r="C3319" s="13" t="s">
        <v>6528</v>
      </c>
      <c r="D3319" s="13">
        <v>1</v>
      </c>
      <c r="E3319" s="13" t="s">
        <v>6529</v>
      </c>
      <c r="F3319" s="13" t="s">
        <v>11</v>
      </c>
    </row>
    <row r="3320" ht="18" customHeight="1" spans="1:6">
      <c r="A3320" s="13" t="s">
        <v>6225</v>
      </c>
      <c r="B3320" s="13" t="s">
        <v>6404</v>
      </c>
      <c r="C3320" s="13" t="s">
        <v>6530</v>
      </c>
      <c r="D3320" s="13">
        <v>1</v>
      </c>
      <c r="E3320" s="13" t="s">
        <v>6531</v>
      </c>
      <c r="F3320" s="13" t="s">
        <v>11</v>
      </c>
    </row>
    <row r="3321" ht="18" customHeight="1" spans="1:6">
      <c r="A3321" s="13" t="s">
        <v>6225</v>
      </c>
      <c r="B3321" s="13" t="s">
        <v>6404</v>
      </c>
      <c r="C3321" s="13" t="s">
        <v>6532</v>
      </c>
      <c r="D3321" s="13">
        <v>4</v>
      </c>
      <c r="E3321" s="179" t="s">
        <v>6533</v>
      </c>
      <c r="F3321" s="13" t="s">
        <v>11</v>
      </c>
    </row>
    <row r="3322" ht="18" customHeight="1" spans="1:6">
      <c r="A3322" s="13" t="s">
        <v>6225</v>
      </c>
      <c r="B3322" s="13" t="s">
        <v>6404</v>
      </c>
      <c r="C3322" s="13" t="s">
        <v>6534</v>
      </c>
      <c r="D3322" s="13">
        <v>4</v>
      </c>
      <c r="E3322" s="13" t="s">
        <v>6535</v>
      </c>
      <c r="F3322" s="13" t="s">
        <v>11</v>
      </c>
    </row>
    <row r="3323" ht="18" customHeight="1" spans="1:6">
      <c r="A3323" s="13" t="s">
        <v>6225</v>
      </c>
      <c r="B3323" s="13" t="s">
        <v>6404</v>
      </c>
      <c r="C3323" s="13" t="s">
        <v>6536</v>
      </c>
      <c r="D3323" s="13">
        <v>3</v>
      </c>
      <c r="E3323" s="13" t="s">
        <v>6537</v>
      </c>
      <c r="F3323" s="13" t="s">
        <v>11</v>
      </c>
    </row>
    <row r="3324" ht="18" customHeight="1" spans="1:6">
      <c r="A3324" s="13" t="s">
        <v>6225</v>
      </c>
      <c r="B3324" s="13" t="s">
        <v>6404</v>
      </c>
      <c r="C3324" s="13" t="s">
        <v>6538</v>
      </c>
      <c r="D3324" s="13">
        <v>2</v>
      </c>
      <c r="E3324" s="13" t="s">
        <v>6539</v>
      </c>
      <c r="F3324" s="13" t="s">
        <v>11</v>
      </c>
    </row>
    <row r="3325" ht="18" customHeight="1" spans="1:6">
      <c r="A3325" s="13" t="s">
        <v>6225</v>
      </c>
      <c r="B3325" s="13" t="s">
        <v>6404</v>
      </c>
      <c r="C3325" s="13" t="s">
        <v>6540</v>
      </c>
      <c r="D3325" s="13">
        <v>2</v>
      </c>
      <c r="E3325" s="13" t="s">
        <v>6541</v>
      </c>
      <c r="F3325" s="13" t="s">
        <v>11</v>
      </c>
    </row>
    <row r="3326" ht="18" customHeight="1" spans="1:6">
      <c r="A3326" s="13" t="s">
        <v>6225</v>
      </c>
      <c r="B3326" s="13" t="s">
        <v>6404</v>
      </c>
      <c r="C3326" s="13" t="s">
        <v>6542</v>
      </c>
      <c r="D3326" s="13">
        <v>1</v>
      </c>
      <c r="E3326" s="13" t="s">
        <v>6543</v>
      </c>
      <c r="F3326" s="13" t="s">
        <v>11</v>
      </c>
    </row>
    <row r="3327" ht="18" customHeight="1" spans="1:6">
      <c r="A3327" s="13" t="s">
        <v>6225</v>
      </c>
      <c r="B3327" s="13" t="s">
        <v>6404</v>
      </c>
      <c r="C3327" s="13" t="s">
        <v>6544</v>
      </c>
      <c r="D3327" s="13">
        <v>1</v>
      </c>
      <c r="E3327" s="13" t="s">
        <v>6545</v>
      </c>
      <c r="F3327" s="13" t="s">
        <v>11</v>
      </c>
    </row>
    <row r="3328" ht="18" customHeight="1" spans="1:6">
      <c r="A3328" s="13" t="s">
        <v>6225</v>
      </c>
      <c r="B3328" s="13" t="s">
        <v>6546</v>
      </c>
      <c r="C3328" s="13" t="s">
        <v>6547</v>
      </c>
      <c r="D3328" s="13">
        <v>2</v>
      </c>
      <c r="E3328" s="13" t="s">
        <v>6548</v>
      </c>
      <c r="F3328" s="13" t="s">
        <v>11</v>
      </c>
    </row>
    <row r="3329" ht="18" customHeight="1" spans="1:6">
      <c r="A3329" s="13" t="s">
        <v>6225</v>
      </c>
      <c r="B3329" s="13" t="s">
        <v>6546</v>
      </c>
      <c r="C3329" s="13" t="s">
        <v>6549</v>
      </c>
      <c r="D3329" s="13">
        <v>1</v>
      </c>
      <c r="E3329" s="13" t="s">
        <v>6550</v>
      </c>
      <c r="F3329" s="13" t="s">
        <v>11</v>
      </c>
    </row>
    <row r="3330" ht="18" customHeight="1" spans="1:6">
      <c r="A3330" s="13" t="s">
        <v>6225</v>
      </c>
      <c r="B3330" s="13" t="s">
        <v>6546</v>
      </c>
      <c r="C3330" s="13" t="s">
        <v>6551</v>
      </c>
      <c r="D3330" s="13">
        <v>1</v>
      </c>
      <c r="E3330" s="13" t="s">
        <v>6552</v>
      </c>
      <c r="F3330" s="13" t="s">
        <v>11</v>
      </c>
    </row>
    <row r="3331" ht="18" customHeight="1" spans="1:6">
      <c r="A3331" s="13" t="s">
        <v>6225</v>
      </c>
      <c r="B3331" s="13" t="s">
        <v>6546</v>
      </c>
      <c r="C3331" s="13" t="s">
        <v>6553</v>
      </c>
      <c r="D3331" s="13">
        <v>2</v>
      </c>
      <c r="E3331" s="13" t="s">
        <v>6554</v>
      </c>
      <c r="F3331" s="13" t="s">
        <v>11</v>
      </c>
    </row>
    <row r="3332" ht="18" customHeight="1" spans="1:6">
      <c r="A3332" s="13" t="s">
        <v>6225</v>
      </c>
      <c r="B3332" s="13" t="s">
        <v>6546</v>
      </c>
      <c r="C3332" s="13" t="s">
        <v>6555</v>
      </c>
      <c r="D3332" s="13">
        <v>2</v>
      </c>
      <c r="E3332" s="13" t="s">
        <v>6556</v>
      </c>
      <c r="F3332" s="13" t="s">
        <v>11</v>
      </c>
    </row>
    <row r="3333" ht="18" customHeight="1" spans="1:6">
      <c r="A3333" s="13" t="s">
        <v>6225</v>
      </c>
      <c r="B3333" s="13" t="s">
        <v>6546</v>
      </c>
      <c r="C3333" s="13" t="s">
        <v>6557</v>
      </c>
      <c r="D3333" s="13">
        <v>2</v>
      </c>
      <c r="E3333" s="13" t="s">
        <v>6558</v>
      </c>
      <c r="F3333" s="13" t="s">
        <v>11</v>
      </c>
    </row>
    <row r="3334" ht="18" customHeight="1" spans="1:6">
      <c r="A3334" s="13" t="s">
        <v>6225</v>
      </c>
      <c r="B3334" s="13" t="s">
        <v>6546</v>
      </c>
      <c r="C3334" s="13" t="s">
        <v>6559</v>
      </c>
      <c r="D3334" s="13">
        <v>6</v>
      </c>
      <c r="E3334" s="13" t="s">
        <v>6560</v>
      </c>
      <c r="F3334" s="13" t="s">
        <v>11</v>
      </c>
    </row>
    <row r="3335" ht="18" customHeight="1" spans="1:6">
      <c r="A3335" s="13" t="s">
        <v>6225</v>
      </c>
      <c r="B3335" s="13" t="s">
        <v>6546</v>
      </c>
      <c r="C3335" s="13" t="s">
        <v>6561</v>
      </c>
      <c r="D3335" s="13">
        <v>4</v>
      </c>
      <c r="E3335" s="13" t="s">
        <v>6562</v>
      </c>
      <c r="F3335" s="13" t="s">
        <v>11</v>
      </c>
    </row>
    <row r="3336" ht="18" customHeight="1" spans="1:6">
      <c r="A3336" s="13" t="s">
        <v>6225</v>
      </c>
      <c r="B3336" s="13" t="s">
        <v>6546</v>
      </c>
      <c r="C3336" s="13" t="s">
        <v>6563</v>
      </c>
      <c r="D3336" s="13">
        <v>1</v>
      </c>
      <c r="E3336" s="13" t="s">
        <v>6564</v>
      </c>
      <c r="F3336" s="13" t="s">
        <v>11</v>
      </c>
    </row>
    <row r="3337" ht="18" customHeight="1" spans="1:6">
      <c r="A3337" s="13" t="s">
        <v>6225</v>
      </c>
      <c r="B3337" s="13" t="s">
        <v>6546</v>
      </c>
      <c r="C3337" s="13" t="s">
        <v>6565</v>
      </c>
      <c r="D3337" s="13">
        <v>4</v>
      </c>
      <c r="E3337" s="13" t="s">
        <v>6566</v>
      </c>
      <c r="F3337" s="13" t="s">
        <v>11</v>
      </c>
    </row>
    <row r="3338" ht="18" customHeight="1" spans="1:6">
      <c r="A3338" s="13" t="s">
        <v>6225</v>
      </c>
      <c r="B3338" s="13" t="s">
        <v>6546</v>
      </c>
      <c r="C3338" s="13" t="s">
        <v>6567</v>
      </c>
      <c r="D3338" s="13">
        <v>1</v>
      </c>
      <c r="E3338" s="13" t="s">
        <v>6568</v>
      </c>
      <c r="F3338" s="13" t="s">
        <v>11</v>
      </c>
    </row>
    <row r="3339" ht="18" customHeight="1" spans="1:6">
      <c r="A3339" s="13" t="s">
        <v>6225</v>
      </c>
      <c r="B3339" s="13" t="s">
        <v>6546</v>
      </c>
      <c r="C3339" s="13" t="s">
        <v>6569</v>
      </c>
      <c r="D3339" s="13">
        <v>4</v>
      </c>
      <c r="E3339" s="13" t="s">
        <v>6570</v>
      </c>
      <c r="F3339" s="13" t="s">
        <v>11</v>
      </c>
    </row>
    <row r="3340" ht="18" customHeight="1" spans="1:6">
      <c r="A3340" s="13" t="s">
        <v>6225</v>
      </c>
      <c r="B3340" s="13" t="s">
        <v>6546</v>
      </c>
      <c r="C3340" s="13" t="s">
        <v>6571</v>
      </c>
      <c r="D3340" s="13">
        <v>3</v>
      </c>
      <c r="E3340" s="13" t="s">
        <v>6572</v>
      </c>
      <c r="F3340" s="13" t="s">
        <v>11</v>
      </c>
    </row>
    <row r="3341" ht="18" customHeight="1" spans="1:6">
      <c r="A3341" s="13" t="s">
        <v>6225</v>
      </c>
      <c r="B3341" s="13" t="s">
        <v>6546</v>
      </c>
      <c r="C3341" s="13" t="s">
        <v>6573</v>
      </c>
      <c r="D3341" s="13">
        <v>2</v>
      </c>
      <c r="E3341" s="13" t="s">
        <v>6574</v>
      </c>
      <c r="F3341" s="13" t="s">
        <v>11</v>
      </c>
    </row>
    <row r="3342" ht="18" customHeight="1" spans="1:6">
      <c r="A3342" s="13" t="s">
        <v>6225</v>
      </c>
      <c r="B3342" s="13" t="s">
        <v>6546</v>
      </c>
      <c r="C3342" s="13" t="s">
        <v>6575</v>
      </c>
      <c r="D3342" s="13">
        <v>2</v>
      </c>
      <c r="E3342" s="13" t="s">
        <v>6576</v>
      </c>
      <c r="F3342" s="13" t="s">
        <v>11</v>
      </c>
    </row>
    <row r="3343" ht="18" customHeight="1" spans="1:6">
      <c r="A3343" s="13" t="s">
        <v>6225</v>
      </c>
      <c r="B3343" s="13" t="s">
        <v>6577</v>
      </c>
      <c r="C3343" s="13" t="s">
        <v>6578</v>
      </c>
      <c r="D3343" s="13">
        <v>2</v>
      </c>
      <c r="E3343" s="13" t="s">
        <v>6579</v>
      </c>
      <c r="F3343" s="13" t="s">
        <v>11</v>
      </c>
    </row>
    <row r="3344" ht="18" customHeight="1" spans="1:6">
      <c r="A3344" s="13" t="s">
        <v>6225</v>
      </c>
      <c r="B3344" s="13" t="s">
        <v>6577</v>
      </c>
      <c r="C3344" s="13" t="s">
        <v>6580</v>
      </c>
      <c r="D3344" s="13">
        <v>3</v>
      </c>
      <c r="E3344" s="13" t="s">
        <v>6581</v>
      </c>
      <c r="F3344" s="13" t="s">
        <v>11</v>
      </c>
    </row>
    <row r="3345" ht="18" customHeight="1" spans="1:6">
      <c r="A3345" s="13" t="s">
        <v>6225</v>
      </c>
      <c r="B3345" s="13" t="s">
        <v>6577</v>
      </c>
      <c r="C3345" s="13" t="s">
        <v>6582</v>
      </c>
      <c r="D3345" s="13">
        <v>4</v>
      </c>
      <c r="E3345" s="13" t="s">
        <v>6583</v>
      </c>
      <c r="F3345" s="13" t="s">
        <v>11</v>
      </c>
    </row>
    <row r="3346" ht="18" customHeight="1" spans="1:6">
      <c r="A3346" s="13" t="s">
        <v>6225</v>
      </c>
      <c r="B3346" s="13" t="s">
        <v>6577</v>
      </c>
      <c r="C3346" s="13" t="s">
        <v>6584</v>
      </c>
      <c r="D3346" s="13">
        <v>1</v>
      </c>
      <c r="E3346" s="13" t="s">
        <v>6585</v>
      </c>
      <c r="F3346" s="13" t="s">
        <v>11</v>
      </c>
    </row>
    <row r="3347" ht="18" customHeight="1" spans="1:6">
      <c r="A3347" s="13" t="s">
        <v>6225</v>
      </c>
      <c r="B3347" s="13" t="s">
        <v>6577</v>
      </c>
      <c r="C3347" s="13" t="s">
        <v>6586</v>
      </c>
      <c r="D3347" s="13">
        <v>3</v>
      </c>
      <c r="E3347" s="13" t="s">
        <v>6587</v>
      </c>
      <c r="F3347" s="13" t="s">
        <v>11</v>
      </c>
    </row>
    <row r="3348" ht="18" customHeight="1" spans="1:6">
      <c r="A3348" s="13" t="s">
        <v>6225</v>
      </c>
      <c r="B3348" s="13" t="s">
        <v>6577</v>
      </c>
      <c r="C3348" s="13" t="s">
        <v>6588</v>
      </c>
      <c r="D3348" s="13">
        <v>5</v>
      </c>
      <c r="E3348" s="13" t="s">
        <v>6589</v>
      </c>
      <c r="F3348" s="13" t="s">
        <v>11</v>
      </c>
    </row>
    <row r="3349" ht="18" customHeight="1" spans="1:6">
      <c r="A3349" s="13" t="s">
        <v>6225</v>
      </c>
      <c r="B3349" s="13" t="s">
        <v>6577</v>
      </c>
      <c r="C3349" s="13" t="s">
        <v>6590</v>
      </c>
      <c r="D3349" s="13">
        <v>4</v>
      </c>
      <c r="E3349" s="13" t="s">
        <v>6591</v>
      </c>
      <c r="F3349" s="13" t="s">
        <v>11</v>
      </c>
    </row>
    <row r="3350" ht="18" customHeight="1" spans="1:6">
      <c r="A3350" s="13" t="s">
        <v>6225</v>
      </c>
      <c r="B3350" s="13" t="s">
        <v>6577</v>
      </c>
      <c r="C3350" s="13" t="s">
        <v>6592</v>
      </c>
      <c r="D3350" s="13">
        <v>2</v>
      </c>
      <c r="E3350" s="13" t="s">
        <v>6593</v>
      </c>
      <c r="F3350" s="13" t="s">
        <v>11</v>
      </c>
    </row>
    <row r="3351" ht="18" customHeight="1" spans="1:6">
      <c r="A3351" s="13" t="s">
        <v>6225</v>
      </c>
      <c r="B3351" s="13" t="s">
        <v>6577</v>
      </c>
      <c r="C3351" s="13" t="s">
        <v>6594</v>
      </c>
      <c r="D3351" s="13">
        <v>1</v>
      </c>
      <c r="E3351" s="13" t="s">
        <v>6595</v>
      </c>
      <c r="F3351" s="13" t="s">
        <v>11</v>
      </c>
    </row>
    <row r="3352" ht="18" customHeight="1" spans="1:6">
      <c r="A3352" s="13" t="s">
        <v>6225</v>
      </c>
      <c r="B3352" s="13" t="s">
        <v>6577</v>
      </c>
      <c r="C3352" s="13" t="s">
        <v>1976</v>
      </c>
      <c r="D3352" s="13">
        <v>3</v>
      </c>
      <c r="E3352" s="13" t="s">
        <v>6596</v>
      </c>
      <c r="F3352" s="13" t="s">
        <v>11</v>
      </c>
    </row>
    <row r="3353" ht="18" customHeight="1" spans="1:6">
      <c r="A3353" s="13" t="s">
        <v>6225</v>
      </c>
      <c r="B3353" s="13" t="s">
        <v>6577</v>
      </c>
      <c r="C3353" s="13" t="s">
        <v>6597</v>
      </c>
      <c r="D3353" s="13">
        <v>3</v>
      </c>
      <c r="E3353" s="13" t="s">
        <v>6598</v>
      </c>
      <c r="F3353" s="13" t="s">
        <v>11</v>
      </c>
    </row>
    <row r="3354" ht="18" customHeight="1" spans="1:6">
      <c r="A3354" s="13" t="s">
        <v>6225</v>
      </c>
      <c r="B3354" s="13" t="s">
        <v>6577</v>
      </c>
      <c r="C3354" s="13" t="s">
        <v>6599</v>
      </c>
      <c r="D3354" s="13">
        <v>4</v>
      </c>
      <c r="E3354" s="13" t="s">
        <v>6600</v>
      </c>
      <c r="F3354" s="13" t="s">
        <v>11</v>
      </c>
    </row>
    <row r="3355" ht="18" customHeight="1" spans="1:6">
      <c r="A3355" s="13" t="s">
        <v>6225</v>
      </c>
      <c r="B3355" s="13" t="s">
        <v>6577</v>
      </c>
      <c r="C3355" s="13" t="s">
        <v>6601</v>
      </c>
      <c r="D3355" s="13">
        <v>2</v>
      </c>
      <c r="E3355" s="13" t="s">
        <v>6602</v>
      </c>
      <c r="F3355" s="13" t="s">
        <v>11</v>
      </c>
    </row>
    <row r="3356" ht="18" customHeight="1" spans="1:6">
      <c r="A3356" s="13" t="s">
        <v>6225</v>
      </c>
      <c r="B3356" s="13" t="s">
        <v>6577</v>
      </c>
      <c r="C3356" s="13" t="s">
        <v>6603</v>
      </c>
      <c r="D3356" s="13">
        <v>3</v>
      </c>
      <c r="E3356" s="13" t="s">
        <v>6604</v>
      </c>
      <c r="F3356" s="13" t="s">
        <v>11</v>
      </c>
    </row>
    <row r="3357" ht="18" customHeight="1" spans="1:6">
      <c r="A3357" s="13" t="s">
        <v>6225</v>
      </c>
      <c r="B3357" s="13" t="s">
        <v>6577</v>
      </c>
      <c r="C3357" s="13" t="s">
        <v>6605</v>
      </c>
      <c r="D3357" s="13">
        <v>3</v>
      </c>
      <c r="E3357" s="13" t="s">
        <v>6606</v>
      </c>
      <c r="F3357" s="13" t="s">
        <v>11</v>
      </c>
    </row>
    <row r="3358" ht="18" customHeight="1" spans="1:6">
      <c r="A3358" s="13" t="s">
        <v>6225</v>
      </c>
      <c r="B3358" s="13" t="s">
        <v>6577</v>
      </c>
      <c r="C3358" s="13" t="s">
        <v>6607</v>
      </c>
      <c r="D3358" s="13">
        <v>2</v>
      </c>
      <c r="E3358" s="13" t="s">
        <v>6608</v>
      </c>
      <c r="F3358" s="13" t="s">
        <v>11</v>
      </c>
    </row>
    <row r="3359" ht="18" customHeight="1" spans="1:6">
      <c r="A3359" s="13" t="s">
        <v>6225</v>
      </c>
      <c r="B3359" s="13" t="s">
        <v>6577</v>
      </c>
      <c r="C3359" s="13" t="s">
        <v>6609</v>
      </c>
      <c r="D3359" s="13">
        <v>3</v>
      </c>
      <c r="E3359" s="13" t="s">
        <v>6610</v>
      </c>
      <c r="F3359" s="13" t="s">
        <v>11</v>
      </c>
    </row>
    <row r="3360" ht="18" customHeight="1" spans="1:6">
      <c r="A3360" s="13" t="s">
        <v>6225</v>
      </c>
      <c r="B3360" s="13" t="s">
        <v>6577</v>
      </c>
      <c r="C3360" s="13" t="s">
        <v>6611</v>
      </c>
      <c r="D3360" s="13">
        <v>1</v>
      </c>
      <c r="E3360" s="13" t="s">
        <v>6612</v>
      </c>
      <c r="F3360" s="13" t="s">
        <v>11</v>
      </c>
    </row>
    <row r="3361" ht="18" customHeight="1" spans="1:6">
      <c r="A3361" s="13" t="s">
        <v>6225</v>
      </c>
      <c r="B3361" s="13" t="s">
        <v>6577</v>
      </c>
      <c r="C3361" s="13" t="s">
        <v>6613</v>
      </c>
      <c r="D3361" s="13">
        <v>3</v>
      </c>
      <c r="E3361" s="13" t="s">
        <v>6614</v>
      </c>
      <c r="F3361" s="13" t="s">
        <v>11</v>
      </c>
    </row>
    <row r="3362" ht="18" customHeight="1" spans="1:6">
      <c r="A3362" s="13" t="s">
        <v>6225</v>
      </c>
      <c r="B3362" s="13" t="s">
        <v>6577</v>
      </c>
      <c r="C3362" s="13" t="s">
        <v>6615</v>
      </c>
      <c r="D3362" s="13">
        <v>2</v>
      </c>
      <c r="E3362" s="13" t="s">
        <v>6616</v>
      </c>
      <c r="F3362" s="13" t="s">
        <v>11</v>
      </c>
    </row>
    <row r="3363" ht="18" customHeight="1" spans="1:6">
      <c r="A3363" s="13" t="s">
        <v>6225</v>
      </c>
      <c r="B3363" s="13" t="s">
        <v>6577</v>
      </c>
      <c r="C3363" s="13" t="s">
        <v>6617</v>
      </c>
      <c r="D3363" s="13">
        <v>2</v>
      </c>
      <c r="E3363" s="13" t="s">
        <v>6618</v>
      </c>
      <c r="F3363" s="13" t="s">
        <v>11</v>
      </c>
    </row>
    <row r="3364" ht="18" customHeight="1" spans="1:6">
      <c r="A3364" s="13" t="s">
        <v>6225</v>
      </c>
      <c r="B3364" s="13" t="s">
        <v>6577</v>
      </c>
      <c r="C3364" s="13" t="s">
        <v>6619</v>
      </c>
      <c r="D3364" s="13">
        <v>1</v>
      </c>
      <c r="E3364" s="13" t="s">
        <v>6620</v>
      </c>
      <c r="F3364" s="13" t="s">
        <v>11</v>
      </c>
    </row>
    <row r="3365" ht="18" customHeight="1" spans="1:6">
      <c r="A3365" s="13" t="s">
        <v>6225</v>
      </c>
      <c r="B3365" s="13" t="s">
        <v>6577</v>
      </c>
      <c r="C3365" s="13" t="s">
        <v>6621</v>
      </c>
      <c r="D3365" s="13">
        <v>1</v>
      </c>
      <c r="E3365" s="13" t="s">
        <v>6622</v>
      </c>
      <c r="F3365" s="13" t="s">
        <v>11</v>
      </c>
    </row>
    <row r="3366" ht="18" customHeight="1" spans="1:6">
      <c r="A3366" s="13" t="s">
        <v>6225</v>
      </c>
      <c r="B3366" s="13" t="s">
        <v>6577</v>
      </c>
      <c r="C3366" s="13" t="s">
        <v>6623</v>
      </c>
      <c r="D3366" s="13">
        <v>3</v>
      </c>
      <c r="E3366" s="13" t="s">
        <v>6624</v>
      </c>
      <c r="F3366" s="13" t="s">
        <v>11</v>
      </c>
    </row>
    <row r="3367" ht="18" customHeight="1" spans="1:6">
      <c r="A3367" s="13" t="s">
        <v>6225</v>
      </c>
      <c r="B3367" s="13" t="s">
        <v>6577</v>
      </c>
      <c r="C3367" s="13" t="s">
        <v>6625</v>
      </c>
      <c r="D3367" s="13">
        <v>2</v>
      </c>
      <c r="E3367" s="13" t="s">
        <v>6626</v>
      </c>
      <c r="F3367" s="13" t="s">
        <v>11</v>
      </c>
    </row>
    <row r="3368" ht="18" customHeight="1" spans="1:6">
      <c r="A3368" s="13" t="s">
        <v>6225</v>
      </c>
      <c r="B3368" s="13" t="s">
        <v>6577</v>
      </c>
      <c r="C3368" s="13" t="s">
        <v>6627</v>
      </c>
      <c r="D3368" s="13">
        <v>6</v>
      </c>
      <c r="E3368" s="13" t="s">
        <v>6628</v>
      </c>
      <c r="F3368" s="13" t="s">
        <v>11</v>
      </c>
    </row>
    <row r="3369" ht="18" customHeight="1" spans="1:6">
      <c r="A3369" s="13" t="s">
        <v>6225</v>
      </c>
      <c r="B3369" s="13" t="s">
        <v>6577</v>
      </c>
      <c r="C3369" s="13" t="s">
        <v>6629</v>
      </c>
      <c r="D3369" s="13">
        <v>2</v>
      </c>
      <c r="E3369" s="13" t="s">
        <v>6630</v>
      </c>
      <c r="F3369" s="13" t="s">
        <v>11</v>
      </c>
    </row>
    <row r="3370" ht="18" customHeight="1" spans="1:6">
      <c r="A3370" s="13" t="s">
        <v>6225</v>
      </c>
      <c r="B3370" s="13" t="s">
        <v>6577</v>
      </c>
      <c r="C3370" s="13" t="s">
        <v>6631</v>
      </c>
      <c r="D3370" s="13">
        <v>2</v>
      </c>
      <c r="E3370" s="13" t="s">
        <v>6632</v>
      </c>
      <c r="F3370" s="13" t="s">
        <v>11</v>
      </c>
    </row>
    <row r="3371" ht="18" customHeight="1" spans="1:6">
      <c r="A3371" s="13" t="s">
        <v>6225</v>
      </c>
      <c r="B3371" s="13" t="s">
        <v>6577</v>
      </c>
      <c r="C3371" s="13" t="s">
        <v>6633</v>
      </c>
      <c r="D3371" s="13">
        <v>3</v>
      </c>
      <c r="E3371" s="13" t="s">
        <v>6634</v>
      </c>
      <c r="F3371" s="13" t="s">
        <v>11</v>
      </c>
    </row>
    <row r="3372" ht="18" customHeight="1" spans="1:6">
      <c r="A3372" s="13" t="s">
        <v>6225</v>
      </c>
      <c r="B3372" s="13" t="s">
        <v>6577</v>
      </c>
      <c r="C3372" s="13" t="s">
        <v>6635</v>
      </c>
      <c r="D3372" s="13">
        <v>3</v>
      </c>
      <c r="E3372" s="13" t="s">
        <v>6636</v>
      </c>
      <c r="F3372" s="13" t="s">
        <v>11</v>
      </c>
    </row>
    <row r="3373" ht="18" customHeight="1" spans="1:6">
      <c r="A3373" s="13" t="s">
        <v>6225</v>
      </c>
      <c r="B3373" s="13" t="s">
        <v>6577</v>
      </c>
      <c r="C3373" s="13" t="s">
        <v>6637</v>
      </c>
      <c r="D3373" s="13">
        <v>2</v>
      </c>
      <c r="E3373" s="13" t="s">
        <v>6638</v>
      </c>
      <c r="F3373" s="13" t="s">
        <v>11</v>
      </c>
    </row>
    <row r="3374" ht="18" customHeight="1" spans="1:6">
      <c r="A3374" s="13" t="s">
        <v>6225</v>
      </c>
      <c r="B3374" s="13" t="s">
        <v>6577</v>
      </c>
      <c r="C3374" s="13" t="s">
        <v>6639</v>
      </c>
      <c r="D3374" s="13">
        <v>3</v>
      </c>
      <c r="E3374" s="13" t="s">
        <v>6640</v>
      </c>
      <c r="F3374" s="13" t="s">
        <v>11</v>
      </c>
    </row>
    <row r="3375" ht="18" customHeight="1" spans="1:6">
      <c r="A3375" s="13" t="s">
        <v>6225</v>
      </c>
      <c r="B3375" s="13" t="s">
        <v>6577</v>
      </c>
      <c r="C3375" s="13" t="s">
        <v>6641</v>
      </c>
      <c r="D3375" s="13">
        <v>3</v>
      </c>
      <c r="E3375" s="13" t="s">
        <v>6642</v>
      </c>
      <c r="F3375" s="13" t="s">
        <v>11</v>
      </c>
    </row>
    <row r="3376" ht="18" customHeight="1" spans="1:6">
      <c r="A3376" s="13" t="s">
        <v>6225</v>
      </c>
      <c r="B3376" s="13" t="s">
        <v>6577</v>
      </c>
      <c r="C3376" s="13" t="s">
        <v>6643</v>
      </c>
      <c r="D3376" s="13">
        <v>2</v>
      </c>
      <c r="E3376" s="13" t="s">
        <v>6644</v>
      </c>
      <c r="F3376" s="13" t="s">
        <v>11</v>
      </c>
    </row>
    <row r="3377" ht="18" customHeight="1" spans="1:6">
      <c r="A3377" s="13" t="s">
        <v>6225</v>
      </c>
      <c r="B3377" s="13" t="s">
        <v>6577</v>
      </c>
      <c r="C3377" s="13" t="s">
        <v>6645</v>
      </c>
      <c r="D3377" s="13">
        <v>2</v>
      </c>
      <c r="E3377" s="13" t="s">
        <v>6646</v>
      </c>
      <c r="F3377" s="13" t="s">
        <v>11</v>
      </c>
    </row>
    <row r="3378" ht="18" customHeight="1" spans="1:6">
      <c r="A3378" s="13" t="s">
        <v>6225</v>
      </c>
      <c r="B3378" s="13" t="s">
        <v>6577</v>
      </c>
      <c r="C3378" s="13" t="s">
        <v>6647</v>
      </c>
      <c r="D3378" s="13">
        <v>4</v>
      </c>
      <c r="E3378" s="13" t="s">
        <v>6648</v>
      </c>
      <c r="F3378" s="13" t="s">
        <v>11</v>
      </c>
    </row>
    <row r="3379" ht="18" customHeight="1" spans="1:6">
      <c r="A3379" s="13" t="s">
        <v>6225</v>
      </c>
      <c r="B3379" s="13" t="s">
        <v>6577</v>
      </c>
      <c r="C3379" s="13" t="s">
        <v>6649</v>
      </c>
      <c r="D3379" s="13">
        <v>1</v>
      </c>
      <c r="E3379" s="13" t="s">
        <v>6650</v>
      </c>
      <c r="F3379" s="13" t="s">
        <v>11</v>
      </c>
    </row>
    <row r="3380" ht="18" customHeight="1" spans="1:6">
      <c r="A3380" s="13" t="s">
        <v>6225</v>
      </c>
      <c r="B3380" s="13" t="s">
        <v>6577</v>
      </c>
      <c r="C3380" s="13" t="s">
        <v>6651</v>
      </c>
      <c r="D3380" s="13">
        <v>1</v>
      </c>
      <c r="E3380" s="13" t="s">
        <v>6652</v>
      </c>
      <c r="F3380" s="13" t="s">
        <v>11</v>
      </c>
    </row>
    <row r="3381" ht="18" customHeight="1" spans="1:6">
      <c r="A3381" s="13" t="s">
        <v>6225</v>
      </c>
      <c r="B3381" s="13" t="s">
        <v>6577</v>
      </c>
      <c r="C3381" s="13" t="s">
        <v>6653</v>
      </c>
      <c r="D3381" s="13">
        <v>1</v>
      </c>
      <c r="E3381" s="13" t="s">
        <v>6654</v>
      </c>
      <c r="F3381" s="13" t="s">
        <v>11</v>
      </c>
    </row>
    <row r="3382" ht="18" customHeight="1" spans="1:6">
      <c r="A3382" s="13" t="s">
        <v>6225</v>
      </c>
      <c r="B3382" s="13" t="s">
        <v>6577</v>
      </c>
      <c r="C3382" s="13" t="s">
        <v>6655</v>
      </c>
      <c r="D3382" s="13">
        <v>1</v>
      </c>
      <c r="E3382" s="13" t="s">
        <v>6656</v>
      </c>
      <c r="F3382" s="13" t="s">
        <v>11</v>
      </c>
    </row>
    <row r="3383" ht="18" customHeight="1" spans="1:6">
      <c r="A3383" s="13" t="s">
        <v>6225</v>
      </c>
      <c r="B3383" s="13" t="s">
        <v>6657</v>
      </c>
      <c r="C3383" s="13" t="s">
        <v>6658</v>
      </c>
      <c r="D3383" s="13">
        <v>3</v>
      </c>
      <c r="E3383" s="13" t="s">
        <v>6659</v>
      </c>
      <c r="F3383" s="13" t="s">
        <v>11</v>
      </c>
    </row>
    <row r="3384" ht="18" customHeight="1" spans="1:6">
      <c r="A3384" s="13" t="s">
        <v>6225</v>
      </c>
      <c r="B3384" s="13" t="s">
        <v>6657</v>
      </c>
      <c r="C3384" s="13" t="s">
        <v>6660</v>
      </c>
      <c r="D3384" s="13">
        <v>2</v>
      </c>
      <c r="E3384" s="13" t="s">
        <v>6661</v>
      </c>
      <c r="F3384" s="13" t="s">
        <v>11</v>
      </c>
    </row>
    <row r="3385" ht="18" customHeight="1" spans="1:6">
      <c r="A3385" s="13" t="s">
        <v>6225</v>
      </c>
      <c r="B3385" s="13" t="s">
        <v>6657</v>
      </c>
      <c r="C3385" s="13" t="s">
        <v>6662</v>
      </c>
      <c r="D3385" s="13">
        <v>3</v>
      </c>
      <c r="E3385" s="13" t="s">
        <v>6663</v>
      </c>
      <c r="F3385" s="13" t="s">
        <v>11</v>
      </c>
    </row>
    <row r="3386" ht="18" customHeight="1" spans="1:6">
      <c r="A3386" s="13" t="s">
        <v>6225</v>
      </c>
      <c r="B3386" s="13" t="s">
        <v>6657</v>
      </c>
      <c r="C3386" s="13" t="s">
        <v>6664</v>
      </c>
      <c r="D3386" s="13">
        <v>4</v>
      </c>
      <c r="E3386" s="13" t="s">
        <v>6665</v>
      </c>
      <c r="F3386" s="13" t="s">
        <v>11</v>
      </c>
    </row>
    <row r="3387" ht="18" customHeight="1" spans="1:6">
      <c r="A3387" s="13" t="s">
        <v>6225</v>
      </c>
      <c r="B3387" s="13" t="s">
        <v>6657</v>
      </c>
      <c r="C3387" s="13" t="s">
        <v>6666</v>
      </c>
      <c r="D3387" s="13">
        <v>3</v>
      </c>
      <c r="E3387" s="13" t="s">
        <v>6667</v>
      </c>
      <c r="F3387" s="13" t="s">
        <v>11</v>
      </c>
    </row>
    <row r="3388" ht="18" customHeight="1" spans="1:6">
      <c r="A3388" s="13" t="s">
        <v>6225</v>
      </c>
      <c r="B3388" s="13" t="s">
        <v>6657</v>
      </c>
      <c r="C3388" s="13" t="s">
        <v>6668</v>
      </c>
      <c r="D3388" s="13">
        <v>2</v>
      </c>
      <c r="E3388" s="13" t="s">
        <v>6669</v>
      </c>
      <c r="F3388" s="13" t="s">
        <v>11</v>
      </c>
    </row>
    <row r="3389" ht="18" customHeight="1" spans="1:6">
      <c r="A3389" s="13" t="s">
        <v>6225</v>
      </c>
      <c r="B3389" s="13" t="s">
        <v>6657</v>
      </c>
      <c r="C3389" s="13" t="s">
        <v>6670</v>
      </c>
      <c r="D3389" s="13">
        <v>4</v>
      </c>
      <c r="E3389" s="13" t="s">
        <v>6671</v>
      </c>
      <c r="F3389" s="13" t="s">
        <v>11</v>
      </c>
    </row>
    <row r="3390" ht="18" customHeight="1" spans="1:6">
      <c r="A3390" s="13" t="s">
        <v>6225</v>
      </c>
      <c r="B3390" s="13" t="s">
        <v>6657</v>
      </c>
      <c r="C3390" s="13" t="s">
        <v>6672</v>
      </c>
      <c r="D3390" s="13">
        <v>4</v>
      </c>
      <c r="E3390" s="13" t="s">
        <v>6673</v>
      </c>
      <c r="F3390" s="13" t="s">
        <v>11</v>
      </c>
    </row>
    <row r="3391" ht="18" customHeight="1" spans="1:6">
      <c r="A3391" s="13" t="s">
        <v>6225</v>
      </c>
      <c r="B3391" s="13" t="s">
        <v>6657</v>
      </c>
      <c r="C3391" s="13" t="s">
        <v>6674</v>
      </c>
      <c r="D3391" s="13">
        <v>2</v>
      </c>
      <c r="E3391" s="13" t="s">
        <v>6675</v>
      </c>
      <c r="F3391" s="13" t="s">
        <v>11</v>
      </c>
    </row>
    <row r="3392" ht="18" customHeight="1" spans="1:6">
      <c r="A3392" s="13" t="s">
        <v>6225</v>
      </c>
      <c r="B3392" s="13" t="s">
        <v>6657</v>
      </c>
      <c r="C3392" s="13" t="s">
        <v>6676</v>
      </c>
      <c r="D3392" s="13">
        <v>4</v>
      </c>
      <c r="E3392" s="13" t="s">
        <v>6677</v>
      </c>
      <c r="F3392" s="13" t="s">
        <v>11</v>
      </c>
    </row>
    <row r="3393" ht="18" customHeight="1" spans="1:6">
      <c r="A3393" s="13" t="s">
        <v>6225</v>
      </c>
      <c r="B3393" s="13" t="s">
        <v>6657</v>
      </c>
      <c r="C3393" s="13" t="s">
        <v>6678</v>
      </c>
      <c r="D3393" s="13">
        <v>4</v>
      </c>
      <c r="E3393" s="13" t="s">
        <v>6679</v>
      </c>
      <c r="F3393" s="13" t="s">
        <v>11</v>
      </c>
    </row>
    <row r="3394" ht="18" customHeight="1" spans="1:6">
      <c r="A3394" s="13" t="s">
        <v>6225</v>
      </c>
      <c r="B3394" s="13" t="s">
        <v>6657</v>
      </c>
      <c r="C3394" s="13" t="s">
        <v>6680</v>
      </c>
      <c r="D3394" s="13">
        <v>3</v>
      </c>
      <c r="E3394" s="13" t="s">
        <v>6681</v>
      </c>
      <c r="F3394" s="13" t="s">
        <v>11</v>
      </c>
    </row>
    <row r="3395" ht="18" customHeight="1" spans="1:6">
      <c r="A3395" s="13" t="s">
        <v>6225</v>
      </c>
      <c r="B3395" s="13" t="s">
        <v>6657</v>
      </c>
      <c r="C3395" s="13" t="s">
        <v>6682</v>
      </c>
      <c r="D3395" s="13">
        <v>3</v>
      </c>
      <c r="E3395" s="13" t="s">
        <v>6683</v>
      </c>
      <c r="F3395" s="13" t="s">
        <v>11</v>
      </c>
    </row>
    <row r="3396" ht="18" customHeight="1" spans="1:6">
      <c r="A3396" s="13" t="s">
        <v>6225</v>
      </c>
      <c r="B3396" s="13" t="s">
        <v>6657</v>
      </c>
      <c r="C3396" s="13" t="s">
        <v>6684</v>
      </c>
      <c r="D3396" s="13">
        <v>3</v>
      </c>
      <c r="E3396" s="13" t="s">
        <v>6685</v>
      </c>
      <c r="F3396" s="13" t="s">
        <v>11</v>
      </c>
    </row>
    <row r="3397" ht="18" customHeight="1" spans="1:6">
      <c r="A3397" s="13" t="s">
        <v>6225</v>
      </c>
      <c r="B3397" s="13" t="s">
        <v>6657</v>
      </c>
      <c r="C3397" s="13" t="s">
        <v>6686</v>
      </c>
      <c r="D3397" s="13">
        <v>3</v>
      </c>
      <c r="E3397" s="13" t="s">
        <v>6687</v>
      </c>
      <c r="F3397" s="13" t="s">
        <v>11</v>
      </c>
    </row>
    <row r="3398" ht="18" customHeight="1" spans="1:6">
      <c r="A3398" s="13" t="s">
        <v>6225</v>
      </c>
      <c r="B3398" s="13" t="s">
        <v>6657</v>
      </c>
      <c r="C3398" s="13" t="s">
        <v>6688</v>
      </c>
      <c r="D3398" s="13">
        <v>4</v>
      </c>
      <c r="E3398" s="13" t="s">
        <v>6689</v>
      </c>
      <c r="F3398" s="13" t="s">
        <v>11</v>
      </c>
    </row>
    <row r="3399" ht="18" customHeight="1" spans="1:6">
      <c r="A3399" s="13" t="s">
        <v>6225</v>
      </c>
      <c r="B3399" s="13" t="s">
        <v>6657</v>
      </c>
      <c r="C3399" s="13" t="s">
        <v>6690</v>
      </c>
      <c r="D3399" s="13">
        <v>3</v>
      </c>
      <c r="E3399" s="13" t="s">
        <v>6691</v>
      </c>
      <c r="F3399" s="13" t="s">
        <v>11</v>
      </c>
    </row>
    <row r="3400" ht="18" customHeight="1" spans="1:6">
      <c r="A3400" s="13" t="s">
        <v>6225</v>
      </c>
      <c r="B3400" s="13" t="s">
        <v>6692</v>
      </c>
      <c r="C3400" s="13" t="s">
        <v>6693</v>
      </c>
      <c r="D3400" s="13">
        <v>1</v>
      </c>
      <c r="E3400" s="13" t="s">
        <v>6694</v>
      </c>
      <c r="F3400" s="13" t="s">
        <v>11</v>
      </c>
    </row>
    <row r="3401" ht="18" customHeight="1" spans="1:6">
      <c r="A3401" s="13" t="s">
        <v>6225</v>
      </c>
      <c r="B3401" s="13" t="s">
        <v>6692</v>
      </c>
      <c r="C3401" s="13" t="s">
        <v>6695</v>
      </c>
      <c r="D3401" s="13">
        <v>3</v>
      </c>
      <c r="E3401" s="13" t="s">
        <v>6696</v>
      </c>
      <c r="F3401" s="13" t="s">
        <v>11</v>
      </c>
    </row>
    <row r="3402" ht="18" customHeight="1" spans="1:6">
      <c r="A3402" s="13" t="s">
        <v>6225</v>
      </c>
      <c r="B3402" s="13" t="s">
        <v>6692</v>
      </c>
      <c r="C3402" s="13" t="s">
        <v>6697</v>
      </c>
      <c r="D3402" s="13">
        <v>1</v>
      </c>
      <c r="E3402" s="13" t="s">
        <v>6698</v>
      </c>
      <c r="F3402" s="13" t="s">
        <v>11</v>
      </c>
    </row>
    <row r="3403" ht="18" customHeight="1" spans="1:6">
      <c r="A3403" s="13" t="s">
        <v>6225</v>
      </c>
      <c r="B3403" s="13" t="s">
        <v>6692</v>
      </c>
      <c r="C3403" s="13" t="s">
        <v>6699</v>
      </c>
      <c r="D3403" s="13">
        <v>5</v>
      </c>
      <c r="E3403" s="13" t="s">
        <v>6700</v>
      </c>
      <c r="F3403" s="13" t="s">
        <v>11</v>
      </c>
    </row>
    <row r="3404" ht="18" customHeight="1" spans="1:6">
      <c r="A3404" s="13" t="s">
        <v>6225</v>
      </c>
      <c r="B3404" s="13" t="s">
        <v>6692</v>
      </c>
      <c r="C3404" s="13" t="s">
        <v>6701</v>
      </c>
      <c r="D3404" s="13">
        <v>1</v>
      </c>
      <c r="E3404" s="13" t="s">
        <v>6702</v>
      </c>
      <c r="F3404" s="13" t="s">
        <v>11</v>
      </c>
    </row>
    <row r="3405" ht="18" customHeight="1" spans="1:6">
      <c r="A3405" s="13" t="s">
        <v>6225</v>
      </c>
      <c r="B3405" s="13" t="s">
        <v>6692</v>
      </c>
      <c r="C3405" s="13" t="s">
        <v>6703</v>
      </c>
      <c r="D3405" s="13">
        <v>5</v>
      </c>
      <c r="E3405" s="13" t="s">
        <v>6704</v>
      </c>
      <c r="F3405" s="13" t="s">
        <v>11</v>
      </c>
    </row>
    <row r="3406" ht="18" customHeight="1" spans="1:6">
      <c r="A3406" s="13" t="s">
        <v>6225</v>
      </c>
      <c r="B3406" s="13" t="s">
        <v>6692</v>
      </c>
      <c r="C3406" s="13" t="s">
        <v>6705</v>
      </c>
      <c r="D3406" s="13">
        <v>4</v>
      </c>
      <c r="E3406" s="13" t="s">
        <v>6706</v>
      </c>
      <c r="F3406" s="13" t="s">
        <v>11</v>
      </c>
    </row>
    <row r="3407" ht="18" customHeight="1" spans="1:6">
      <c r="A3407" s="13" t="s">
        <v>6225</v>
      </c>
      <c r="B3407" s="13" t="s">
        <v>6692</v>
      </c>
      <c r="C3407" s="13" t="s">
        <v>6707</v>
      </c>
      <c r="D3407" s="13">
        <v>2</v>
      </c>
      <c r="E3407" s="13" t="s">
        <v>6708</v>
      </c>
      <c r="F3407" s="13" t="s">
        <v>11</v>
      </c>
    </row>
    <row r="3408" ht="18" customHeight="1" spans="1:6">
      <c r="A3408" s="13" t="s">
        <v>6225</v>
      </c>
      <c r="B3408" s="13" t="s">
        <v>6692</v>
      </c>
      <c r="C3408" s="13" t="s">
        <v>6709</v>
      </c>
      <c r="D3408" s="13">
        <v>4</v>
      </c>
      <c r="E3408" s="13" t="s">
        <v>6710</v>
      </c>
      <c r="F3408" s="13" t="s">
        <v>11</v>
      </c>
    </row>
    <row r="3409" ht="18" customHeight="1" spans="1:6">
      <c r="A3409" s="13" t="s">
        <v>6225</v>
      </c>
      <c r="B3409" s="13" t="s">
        <v>6692</v>
      </c>
      <c r="C3409" s="13" t="s">
        <v>6711</v>
      </c>
      <c r="D3409" s="13">
        <v>3</v>
      </c>
      <c r="E3409" s="13" t="s">
        <v>6712</v>
      </c>
      <c r="F3409" s="13" t="s">
        <v>11</v>
      </c>
    </row>
    <row r="3410" ht="18" customHeight="1" spans="1:6">
      <c r="A3410" s="13" t="s">
        <v>6225</v>
      </c>
      <c r="B3410" s="13" t="s">
        <v>6692</v>
      </c>
      <c r="C3410" s="13" t="s">
        <v>6713</v>
      </c>
      <c r="D3410" s="13">
        <v>3</v>
      </c>
      <c r="E3410" s="13" t="s">
        <v>6714</v>
      </c>
      <c r="F3410" s="13" t="s">
        <v>11</v>
      </c>
    </row>
    <row r="3411" ht="18" customHeight="1" spans="1:6">
      <c r="A3411" s="13" t="s">
        <v>6225</v>
      </c>
      <c r="B3411" s="13" t="s">
        <v>6692</v>
      </c>
      <c r="C3411" s="13" t="s">
        <v>6715</v>
      </c>
      <c r="D3411" s="13">
        <v>4</v>
      </c>
      <c r="E3411" s="13" t="s">
        <v>6716</v>
      </c>
      <c r="F3411" s="13" t="s">
        <v>11</v>
      </c>
    </row>
    <row r="3412" ht="18" customHeight="1" spans="1:6">
      <c r="A3412" s="13" t="s">
        <v>6225</v>
      </c>
      <c r="B3412" s="13" t="s">
        <v>6692</v>
      </c>
      <c r="C3412" s="13" t="s">
        <v>6717</v>
      </c>
      <c r="D3412" s="13">
        <v>3</v>
      </c>
      <c r="E3412" s="13" t="s">
        <v>6718</v>
      </c>
      <c r="F3412" s="13" t="s">
        <v>11</v>
      </c>
    </row>
    <row r="3413" ht="18" customHeight="1" spans="1:6">
      <c r="A3413" s="13" t="s">
        <v>6225</v>
      </c>
      <c r="B3413" s="13" t="s">
        <v>6692</v>
      </c>
      <c r="C3413" s="13" t="s">
        <v>6719</v>
      </c>
      <c r="D3413" s="13">
        <v>3</v>
      </c>
      <c r="E3413" s="13" t="s">
        <v>6720</v>
      </c>
      <c r="F3413" s="13" t="s">
        <v>11</v>
      </c>
    </row>
    <row r="3414" ht="18" customHeight="1" spans="1:6">
      <c r="A3414" s="13" t="s">
        <v>6225</v>
      </c>
      <c r="B3414" s="13" t="s">
        <v>6692</v>
      </c>
      <c r="C3414" s="13" t="s">
        <v>6721</v>
      </c>
      <c r="D3414" s="13">
        <v>5</v>
      </c>
      <c r="E3414" s="13" t="s">
        <v>6722</v>
      </c>
      <c r="F3414" s="13" t="s">
        <v>11</v>
      </c>
    </row>
    <row r="3415" ht="18" customHeight="1" spans="1:6">
      <c r="A3415" s="13" t="s">
        <v>6225</v>
      </c>
      <c r="B3415" s="13" t="s">
        <v>6692</v>
      </c>
      <c r="C3415" s="13" t="s">
        <v>6723</v>
      </c>
      <c r="D3415" s="13">
        <v>5</v>
      </c>
      <c r="E3415" s="13" t="s">
        <v>6724</v>
      </c>
      <c r="F3415" s="13" t="s">
        <v>11</v>
      </c>
    </row>
    <row r="3416" ht="18" customHeight="1" spans="1:6">
      <c r="A3416" s="13" t="s">
        <v>6225</v>
      </c>
      <c r="B3416" s="13" t="s">
        <v>6692</v>
      </c>
      <c r="C3416" s="13" t="s">
        <v>6725</v>
      </c>
      <c r="D3416" s="13">
        <v>4</v>
      </c>
      <c r="E3416" s="13" t="s">
        <v>6726</v>
      </c>
      <c r="F3416" s="13" t="s">
        <v>11</v>
      </c>
    </row>
    <row r="3417" ht="18" customHeight="1" spans="1:6">
      <c r="A3417" s="13" t="s">
        <v>6225</v>
      </c>
      <c r="B3417" s="13" t="s">
        <v>6692</v>
      </c>
      <c r="C3417" s="13" t="s">
        <v>6727</v>
      </c>
      <c r="D3417" s="13">
        <v>2</v>
      </c>
      <c r="E3417" s="13" t="s">
        <v>6728</v>
      </c>
      <c r="F3417" s="13" t="s">
        <v>11</v>
      </c>
    </row>
    <row r="3418" ht="18" customHeight="1" spans="1:6">
      <c r="A3418" s="13" t="s">
        <v>6225</v>
      </c>
      <c r="B3418" s="13" t="s">
        <v>6692</v>
      </c>
      <c r="C3418" s="13" t="s">
        <v>6729</v>
      </c>
      <c r="D3418" s="13">
        <v>3</v>
      </c>
      <c r="E3418" s="13" t="s">
        <v>6730</v>
      </c>
      <c r="F3418" s="13" t="s">
        <v>11</v>
      </c>
    </row>
    <row r="3419" ht="18" customHeight="1" spans="1:6">
      <c r="A3419" s="13" t="s">
        <v>6225</v>
      </c>
      <c r="B3419" s="13" t="s">
        <v>6692</v>
      </c>
      <c r="C3419" s="13" t="s">
        <v>6731</v>
      </c>
      <c r="D3419" s="13">
        <v>5</v>
      </c>
      <c r="E3419" s="179" t="s">
        <v>6732</v>
      </c>
      <c r="F3419" s="13" t="s">
        <v>11</v>
      </c>
    </row>
    <row r="3420" ht="18" customHeight="1" spans="1:6">
      <c r="A3420" s="13" t="s">
        <v>6225</v>
      </c>
      <c r="B3420" s="13" t="s">
        <v>6692</v>
      </c>
      <c r="C3420" s="13" t="s">
        <v>6733</v>
      </c>
      <c r="D3420" s="13">
        <v>6</v>
      </c>
      <c r="E3420" s="13" t="s">
        <v>6734</v>
      </c>
      <c r="F3420" s="13" t="s">
        <v>11</v>
      </c>
    </row>
    <row r="3421" ht="18" customHeight="1" spans="1:6">
      <c r="A3421" s="13" t="s">
        <v>6225</v>
      </c>
      <c r="B3421" s="13" t="s">
        <v>6692</v>
      </c>
      <c r="C3421" s="13" t="s">
        <v>6735</v>
      </c>
      <c r="D3421" s="13">
        <v>5</v>
      </c>
      <c r="E3421" s="13" t="s">
        <v>6736</v>
      </c>
      <c r="F3421" s="13" t="s">
        <v>11</v>
      </c>
    </row>
    <row r="3422" ht="18" customHeight="1" spans="1:6">
      <c r="A3422" s="13" t="s">
        <v>6225</v>
      </c>
      <c r="B3422" s="13" t="s">
        <v>6692</v>
      </c>
      <c r="C3422" s="13" t="s">
        <v>6737</v>
      </c>
      <c r="D3422" s="13">
        <v>3</v>
      </c>
      <c r="E3422" s="13" t="s">
        <v>6738</v>
      </c>
      <c r="F3422" s="13" t="s">
        <v>11</v>
      </c>
    </row>
    <row r="3423" ht="18" customHeight="1" spans="1:6">
      <c r="A3423" s="13" t="s">
        <v>6225</v>
      </c>
      <c r="B3423" s="13" t="s">
        <v>6692</v>
      </c>
      <c r="C3423" s="13" t="s">
        <v>6739</v>
      </c>
      <c r="D3423" s="13">
        <v>3</v>
      </c>
      <c r="E3423" s="13" t="s">
        <v>6740</v>
      </c>
      <c r="F3423" s="13" t="s">
        <v>11</v>
      </c>
    </row>
    <row r="3424" ht="18" customHeight="1" spans="1:6">
      <c r="A3424" s="13" t="s">
        <v>6225</v>
      </c>
      <c r="B3424" s="13" t="s">
        <v>6692</v>
      </c>
      <c r="C3424" s="13" t="s">
        <v>6741</v>
      </c>
      <c r="D3424" s="13">
        <v>3</v>
      </c>
      <c r="E3424" s="13" t="s">
        <v>6742</v>
      </c>
      <c r="F3424" s="13" t="s">
        <v>11</v>
      </c>
    </row>
    <row r="3425" ht="18" customHeight="1" spans="1:6">
      <c r="A3425" s="13" t="s">
        <v>6225</v>
      </c>
      <c r="B3425" s="13" t="s">
        <v>6692</v>
      </c>
      <c r="C3425" s="13" t="s">
        <v>6743</v>
      </c>
      <c r="D3425" s="13">
        <v>3</v>
      </c>
      <c r="E3425" s="13" t="s">
        <v>6744</v>
      </c>
      <c r="F3425" s="13" t="s">
        <v>11</v>
      </c>
    </row>
    <row r="3426" ht="18" customHeight="1" spans="1:6">
      <c r="A3426" s="13" t="s">
        <v>6225</v>
      </c>
      <c r="B3426" s="13" t="s">
        <v>6692</v>
      </c>
      <c r="C3426" s="13" t="s">
        <v>6745</v>
      </c>
      <c r="D3426" s="13">
        <v>3</v>
      </c>
      <c r="E3426" s="13" t="s">
        <v>6746</v>
      </c>
      <c r="F3426" s="13" t="s">
        <v>11</v>
      </c>
    </row>
    <row r="3427" ht="18" customHeight="1" spans="1:6">
      <c r="A3427" s="13" t="s">
        <v>6225</v>
      </c>
      <c r="B3427" s="13" t="s">
        <v>6692</v>
      </c>
      <c r="C3427" s="13" t="s">
        <v>6747</v>
      </c>
      <c r="D3427" s="13">
        <v>3</v>
      </c>
      <c r="E3427" s="13" t="s">
        <v>6748</v>
      </c>
      <c r="F3427" s="13" t="s">
        <v>11</v>
      </c>
    </row>
    <row r="3428" ht="18" customHeight="1" spans="1:6">
      <c r="A3428" s="13" t="s">
        <v>6225</v>
      </c>
      <c r="B3428" s="13" t="s">
        <v>6692</v>
      </c>
      <c r="C3428" s="13" t="s">
        <v>6573</v>
      </c>
      <c r="D3428" s="13">
        <v>3</v>
      </c>
      <c r="E3428" s="13" t="s">
        <v>6749</v>
      </c>
      <c r="F3428" s="13" t="s">
        <v>11</v>
      </c>
    </row>
    <row r="3429" ht="18" customHeight="1" spans="1:6">
      <c r="A3429" s="13" t="s">
        <v>6225</v>
      </c>
      <c r="B3429" s="13" t="s">
        <v>6692</v>
      </c>
      <c r="C3429" s="13" t="s">
        <v>6750</v>
      </c>
      <c r="D3429" s="13">
        <v>3</v>
      </c>
      <c r="E3429" s="13" t="s">
        <v>6751</v>
      </c>
      <c r="F3429" s="13" t="s">
        <v>11</v>
      </c>
    </row>
    <row r="3430" ht="18" customHeight="1" spans="1:6">
      <c r="A3430" s="13" t="s">
        <v>6225</v>
      </c>
      <c r="B3430" s="13" t="s">
        <v>6692</v>
      </c>
      <c r="C3430" s="13" t="s">
        <v>6752</v>
      </c>
      <c r="D3430" s="13">
        <v>2</v>
      </c>
      <c r="E3430" s="13" t="s">
        <v>6753</v>
      </c>
      <c r="F3430" s="13" t="s">
        <v>11</v>
      </c>
    </row>
    <row r="3431" ht="18" customHeight="1" spans="1:6">
      <c r="A3431" s="13" t="s">
        <v>6225</v>
      </c>
      <c r="B3431" s="13" t="s">
        <v>6692</v>
      </c>
      <c r="C3431" s="13" t="s">
        <v>6754</v>
      </c>
      <c r="D3431" s="13">
        <v>2</v>
      </c>
      <c r="E3431" s="13" t="s">
        <v>6755</v>
      </c>
      <c r="F3431" s="13" t="s">
        <v>11</v>
      </c>
    </row>
    <row r="3432" ht="18" customHeight="1" spans="1:6">
      <c r="A3432" s="13" t="s">
        <v>6225</v>
      </c>
      <c r="B3432" s="13" t="s">
        <v>6692</v>
      </c>
      <c r="C3432" s="13" t="s">
        <v>6756</v>
      </c>
      <c r="D3432" s="13">
        <v>2</v>
      </c>
      <c r="E3432" s="13" t="s">
        <v>6757</v>
      </c>
      <c r="F3432" s="13" t="s">
        <v>11</v>
      </c>
    </row>
    <row r="3433" ht="18" customHeight="1" spans="1:6">
      <c r="A3433" s="13" t="s">
        <v>6225</v>
      </c>
      <c r="B3433" s="13" t="s">
        <v>6692</v>
      </c>
      <c r="C3433" s="13" t="s">
        <v>6758</v>
      </c>
      <c r="D3433" s="13">
        <v>6</v>
      </c>
      <c r="E3433" s="13" t="s">
        <v>6759</v>
      </c>
      <c r="F3433" s="13" t="s">
        <v>11</v>
      </c>
    </row>
    <row r="3434" ht="18" customHeight="1" spans="1:6">
      <c r="A3434" s="13" t="s">
        <v>6225</v>
      </c>
      <c r="B3434" s="13" t="s">
        <v>6692</v>
      </c>
      <c r="C3434" s="13" t="s">
        <v>6760</v>
      </c>
      <c r="D3434" s="13">
        <v>1</v>
      </c>
      <c r="E3434" s="13" t="s">
        <v>6761</v>
      </c>
      <c r="F3434" s="13" t="s">
        <v>11</v>
      </c>
    </row>
    <row r="3435" ht="18" customHeight="1" spans="1:6">
      <c r="A3435" s="13" t="s">
        <v>6225</v>
      </c>
      <c r="B3435" s="13" t="s">
        <v>6692</v>
      </c>
      <c r="C3435" s="13" t="s">
        <v>6762</v>
      </c>
      <c r="D3435" s="13">
        <v>6</v>
      </c>
      <c r="E3435" s="13" t="s">
        <v>6763</v>
      </c>
      <c r="F3435" s="13" t="s">
        <v>11</v>
      </c>
    </row>
    <row r="3436" ht="18" customHeight="1" spans="1:6">
      <c r="A3436" s="13" t="s">
        <v>6225</v>
      </c>
      <c r="B3436" s="13" t="s">
        <v>6692</v>
      </c>
      <c r="C3436" s="13" t="s">
        <v>6764</v>
      </c>
      <c r="D3436" s="13">
        <v>4</v>
      </c>
      <c r="E3436" s="13" t="s">
        <v>6765</v>
      </c>
      <c r="F3436" s="13" t="s">
        <v>11</v>
      </c>
    </row>
    <row r="3437" ht="18" customHeight="1" spans="1:6">
      <c r="A3437" s="13" t="s">
        <v>6225</v>
      </c>
      <c r="B3437" s="13" t="s">
        <v>6692</v>
      </c>
      <c r="C3437" s="13" t="s">
        <v>6766</v>
      </c>
      <c r="D3437" s="13">
        <v>5</v>
      </c>
      <c r="E3437" s="13" t="s">
        <v>6767</v>
      </c>
      <c r="F3437" s="13" t="s">
        <v>11</v>
      </c>
    </row>
    <row r="3438" ht="18" customHeight="1" spans="1:6">
      <c r="A3438" s="13" t="s">
        <v>6225</v>
      </c>
      <c r="B3438" s="13" t="s">
        <v>6692</v>
      </c>
      <c r="C3438" s="13" t="s">
        <v>6768</v>
      </c>
      <c r="D3438" s="13">
        <v>4</v>
      </c>
      <c r="E3438" s="13" t="s">
        <v>6769</v>
      </c>
      <c r="F3438" s="13" t="s">
        <v>11</v>
      </c>
    </row>
    <row r="3439" ht="18" customHeight="1" spans="1:6">
      <c r="A3439" s="13" t="s">
        <v>6225</v>
      </c>
      <c r="B3439" s="13" t="s">
        <v>6692</v>
      </c>
      <c r="C3439" s="13" t="s">
        <v>6770</v>
      </c>
      <c r="D3439" s="13">
        <v>4</v>
      </c>
      <c r="E3439" s="13" t="s">
        <v>6771</v>
      </c>
      <c r="F3439" s="13" t="s">
        <v>11</v>
      </c>
    </row>
    <row r="3440" ht="18" customHeight="1" spans="1:6">
      <c r="A3440" s="13" t="s">
        <v>6225</v>
      </c>
      <c r="B3440" s="13" t="s">
        <v>6692</v>
      </c>
      <c r="C3440" s="13" t="s">
        <v>6772</v>
      </c>
      <c r="D3440" s="13">
        <v>2</v>
      </c>
      <c r="E3440" s="13" t="s">
        <v>6773</v>
      </c>
      <c r="F3440" s="13" t="s">
        <v>11</v>
      </c>
    </row>
    <row r="3441" ht="18" customHeight="1" spans="1:6">
      <c r="A3441" s="13" t="s">
        <v>6225</v>
      </c>
      <c r="B3441" s="13" t="s">
        <v>6692</v>
      </c>
      <c r="C3441" s="13" t="s">
        <v>6774</v>
      </c>
      <c r="D3441" s="13">
        <v>4</v>
      </c>
      <c r="E3441" s="13" t="s">
        <v>6775</v>
      </c>
      <c r="F3441" s="13" t="s">
        <v>11</v>
      </c>
    </row>
    <row r="3442" ht="18" customHeight="1" spans="1:6">
      <c r="A3442" s="13" t="s">
        <v>6225</v>
      </c>
      <c r="B3442" s="13" t="s">
        <v>6692</v>
      </c>
      <c r="C3442" s="13" t="s">
        <v>6776</v>
      </c>
      <c r="D3442" s="13">
        <v>1</v>
      </c>
      <c r="E3442" s="13" t="s">
        <v>6777</v>
      </c>
      <c r="F3442" s="13" t="s">
        <v>11</v>
      </c>
    </row>
    <row r="3443" ht="18" customHeight="1" spans="1:6">
      <c r="A3443" s="13" t="s">
        <v>6225</v>
      </c>
      <c r="B3443" s="13" t="s">
        <v>6692</v>
      </c>
      <c r="C3443" s="13" t="s">
        <v>6778</v>
      </c>
      <c r="D3443" s="13">
        <v>4</v>
      </c>
      <c r="E3443" s="13" t="s">
        <v>6779</v>
      </c>
      <c r="F3443" s="13" t="s">
        <v>11</v>
      </c>
    </row>
    <row r="3444" ht="18" customHeight="1" spans="1:6">
      <c r="A3444" s="13" t="s">
        <v>6225</v>
      </c>
      <c r="B3444" s="13" t="s">
        <v>6692</v>
      </c>
      <c r="C3444" s="13" t="s">
        <v>6780</v>
      </c>
      <c r="D3444" s="13">
        <v>2</v>
      </c>
      <c r="E3444" s="13" t="s">
        <v>6781</v>
      </c>
      <c r="F3444" s="13" t="s">
        <v>11</v>
      </c>
    </row>
    <row r="3445" ht="18" customHeight="1" spans="1:6">
      <c r="A3445" s="13" t="s">
        <v>6225</v>
      </c>
      <c r="B3445" s="13" t="s">
        <v>6692</v>
      </c>
      <c r="C3445" s="13" t="s">
        <v>6782</v>
      </c>
      <c r="D3445" s="13">
        <v>5</v>
      </c>
      <c r="E3445" s="13" t="s">
        <v>6783</v>
      </c>
      <c r="F3445" s="13" t="s">
        <v>11</v>
      </c>
    </row>
    <row r="3446" ht="18" customHeight="1" spans="1:6">
      <c r="A3446" s="13" t="s">
        <v>6225</v>
      </c>
      <c r="B3446" s="13" t="s">
        <v>6692</v>
      </c>
      <c r="C3446" s="13" t="s">
        <v>6784</v>
      </c>
      <c r="D3446" s="13">
        <v>4</v>
      </c>
      <c r="E3446" s="13" t="s">
        <v>6785</v>
      </c>
      <c r="F3446" s="13" t="s">
        <v>11</v>
      </c>
    </row>
    <row r="3447" ht="18" customHeight="1" spans="1:6">
      <c r="A3447" s="13" t="s">
        <v>6225</v>
      </c>
      <c r="B3447" s="13" t="s">
        <v>6786</v>
      </c>
      <c r="C3447" s="13" t="s">
        <v>6787</v>
      </c>
      <c r="D3447" s="13">
        <v>1</v>
      </c>
      <c r="E3447" s="13" t="s">
        <v>6788</v>
      </c>
      <c r="F3447" s="13" t="s">
        <v>11</v>
      </c>
    </row>
    <row r="3448" ht="18" customHeight="1" spans="1:6">
      <c r="A3448" s="13" t="s">
        <v>6225</v>
      </c>
      <c r="B3448" s="13" t="s">
        <v>6786</v>
      </c>
      <c r="C3448" s="13" t="s">
        <v>6789</v>
      </c>
      <c r="D3448" s="13">
        <v>2</v>
      </c>
      <c r="E3448" s="179" t="s">
        <v>6790</v>
      </c>
      <c r="F3448" s="13" t="s">
        <v>11</v>
      </c>
    </row>
    <row r="3449" ht="18" customHeight="1" spans="1:6">
      <c r="A3449" s="13" t="s">
        <v>6225</v>
      </c>
      <c r="B3449" s="13" t="s">
        <v>6786</v>
      </c>
      <c r="C3449" s="13" t="s">
        <v>6791</v>
      </c>
      <c r="D3449" s="13">
        <v>3</v>
      </c>
      <c r="E3449" s="13" t="s">
        <v>6792</v>
      </c>
      <c r="F3449" s="13" t="s">
        <v>11</v>
      </c>
    </row>
    <row r="3450" ht="18" customHeight="1" spans="1:6">
      <c r="A3450" s="13" t="s">
        <v>6225</v>
      </c>
      <c r="B3450" s="13" t="s">
        <v>6786</v>
      </c>
      <c r="C3450" s="13" t="s">
        <v>6793</v>
      </c>
      <c r="D3450" s="13">
        <v>4</v>
      </c>
      <c r="E3450" s="13" t="s">
        <v>6794</v>
      </c>
      <c r="F3450" s="13" t="s">
        <v>11</v>
      </c>
    </row>
    <row r="3451" ht="18" customHeight="1" spans="1:6">
      <c r="A3451" s="13" t="s">
        <v>6225</v>
      </c>
      <c r="B3451" s="13" t="s">
        <v>6786</v>
      </c>
      <c r="C3451" s="13" t="s">
        <v>6795</v>
      </c>
      <c r="D3451" s="13">
        <v>1</v>
      </c>
      <c r="E3451" s="13" t="s">
        <v>6796</v>
      </c>
      <c r="F3451" s="13" t="s">
        <v>11</v>
      </c>
    </row>
    <row r="3452" ht="18" customHeight="1" spans="1:6">
      <c r="A3452" s="13" t="s">
        <v>6225</v>
      </c>
      <c r="B3452" s="13" t="s">
        <v>6786</v>
      </c>
      <c r="C3452" s="13" t="s">
        <v>6797</v>
      </c>
      <c r="D3452" s="13">
        <v>1</v>
      </c>
      <c r="E3452" s="13" t="s">
        <v>6798</v>
      </c>
      <c r="F3452" s="13" t="s">
        <v>11</v>
      </c>
    </row>
    <row r="3453" ht="18" customHeight="1" spans="1:6">
      <c r="A3453" s="13" t="s">
        <v>6225</v>
      </c>
      <c r="B3453" s="13" t="s">
        <v>6786</v>
      </c>
      <c r="C3453" s="13" t="s">
        <v>6799</v>
      </c>
      <c r="D3453" s="13">
        <v>1</v>
      </c>
      <c r="E3453" s="13" t="s">
        <v>6800</v>
      </c>
      <c r="F3453" s="13" t="s">
        <v>11</v>
      </c>
    </row>
    <row r="3454" ht="18" customHeight="1" spans="1:6">
      <c r="A3454" s="13" t="s">
        <v>6225</v>
      </c>
      <c r="B3454" s="13" t="s">
        <v>6786</v>
      </c>
      <c r="C3454" s="13" t="s">
        <v>6801</v>
      </c>
      <c r="D3454" s="13">
        <v>1</v>
      </c>
      <c r="E3454" s="13" t="s">
        <v>6802</v>
      </c>
      <c r="F3454" s="13" t="s">
        <v>11</v>
      </c>
    </row>
    <row r="3455" ht="18" customHeight="1" spans="1:6">
      <c r="A3455" s="13" t="s">
        <v>6225</v>
      </c>
      <c r="B3455" s="13" t="s">
        <v>6786</v>
      </c>
      <c r="C3455" s="13" t="s">
        <v>6803</v>
      </c>
      <c r="D3455" s="13">
        <v>1</v>
      </c>
      <c r="E3455" s="13" t="s">
        <v>6804</v>
      </c>
      <c r="F3455" s="13" t="s">
        <v>11</v>
      </c>
    </row>
    <row r="3456" ht="18" customHeight="1" spans="1:6">
      <c r="A3456" s="13" t="s">
        <v>6225</v>
      </c>
      <c r="B3456" s="13" t="s">
        <v>6786</v>
      </c>
      <c r="C3456" s="13" t="s">
        <v>6805</v>
      </c>
      <c r="D3456" s="13">
        <v>1</v>
      </c>
      <c r="E3456" s="13" t="s">
        <v>6806</v>
      </c>
      <c r="F3456" s="13" t="s">
        <v>11</v>
      </c>
    </row>
    <row r="3457" ht="18" customHeight="1" spans="1:6">
      <c r="A3457" s="13" t="s">
        <v>6225</v>
      </c>
      <c r="B3457" s="13" t="s">
        <v>6786</v>
      </c>
      <c r="C3457" s="13" t="s">
        <v>6807</v>
      </c>
      <c r="D3457" s="13">
        <v>1</v>
      </c>
      <c r="E3457" s="13" t="s">
        <v>6808</v>
      </c>
      <c r="F3457" s="13" t="s">
        <v>11</v>
      </c>
    </row>
    <row r="3458" ht="18" customHeight="1" spans="1:6">
      <c r="A3458" s="13" t="s">
        <v>6225</v>
      </c>
      <c r="B3458" s="13" t="s">
        <v>6786</v>
      </c>
      <c r="C3458" s="13" t="s">
        <v>6809</v>
      </c>
      <c r="D3458" s="13">
        <v>1</v>
      </c>
      <c r="E3458" s="13" t="s">
        <v>6810</v>
      </c>
      <c r="F3458" s="13" t="s">
        <v>11</v>
      </c>
    </row>
    <row r="3459" ht="18" customHeight="1" spans="1:6">
      <c r="A3459" s="13" t="s">
        <v>6225</v>
      </c>
      <c r="B3459" s="13" t="s">
        <v>6786</v>
      </c>
      <c r="C3459" s="13" t="s">
        <v>6811</v>
      </c>
      <c r="D3459" s="13">
        <v>1</v>
      </c>
      <c r="E3459" s="13" t="s">
        <v>6812</v>
      </c>
      <c r="F3459" s="13" t="s">
        <v>11</v>
      </c>
    </row>
    <row r="3460" ht="18" customHeight="1" spans="1:6">
      <c r="A3460" s="13" t="s">
        <v>6225</v>
      </c>
      <c r="B3460" s="13" t="s">
        <v>6786</v>
      </c>
      <c r="C3460" s="13" t="s">
        <v>6813</v>
      </c>
      <c r="D3460" s="13">
        <v>1</v>
      </c>
      <c r="E3460" s="13" t="s">
        <v>6814</v>
      </c>
      <c r="F3460" s="13" t="s">
        <v>11</v>
      </c>
    </row>
    <row r="3461" ht="18" customHeight="1" spans="1:6">
      <c r="A3461" s="13" t="s">
        <v>6225</v>
      </c>
      <c r="B3461" s="13" t="s">
        <v>6786</v>
      </c>
      <c r="C3461" s="13" t="s">
        <v>6815</v>
      </c>
      <c r="D3461" s="13">
        <v>1</v>
      </c>
      <c r="E3461" s="13" t="s">
        <v>6816</v>
      </c>
      <c r="F3461" s="13" t="s">
        <v>11</v>
      </c>
    </row>
    <row r="3462" ht="18" customHeight="1" spans="1:6">
      <c r="A3462" s="13" t="s">
        <v>6225</v>
      </c>
      <c r="B3462" s="13" t="s">
        <v>6786</v>
      </c>
      <c r="C3462" s="13" t="s">
        <v>6817</v>
      </c>
      <c r="D3462" s="13">
        <v>1</v>
      </c>
      <c r="E3462" s="13" t="s">
        <v>6818</v>
      </c>
      <c r="F3462" s="13" t="s">
        <v>11</v>
      </c>
    </row>
    <row r="3463" ht="18" customHeight="1" spans="1:6">
      <c r="A3463" s="13" t="s">
        <v>6225</v>
      </c>
      <c r="B3463" s="13" t="s">
        <v>6786</v>
      </c>
      <c r="C3463" s="13" t="s">
        <v>6819</v>
      </c>
      <c r="D3463" s="13">
        <v>1</v>
      </c>
      <c r="E3463" s="13" t="s">
        <v>6820</v>
      </c>
      <c r="F3463" s="13" t="s">
        <v>11</v>
      </c>
    </row>
    <row r="3464" ht="18" customHeight="1" spans="1:6">
      <c r="A3464" s="13" t="s">
        <v>6225</v>
      </c>
      <c r="B3464" s="13" t="s">
        <v>6786</v>
      </c>
      <c r="C3464" s="13" t="s">
        <v>6821</v>
      </c>
      <c r="D3464" s="13">
        <v>1</v>
      </c>
      <c r="E3464" s="13" t="s">
        <v>6822</v>
      </c>
      <c r="F3464" s="13" t="s">
        <v>11</v>
      </c>
    </row>
    <row r="3465" ht="18" customHeight="1" spans="1:6">
      <c r="A3465" s="13" t="s">
        <v>6225</v>
      </c>
      <c r="B3465" s="13" t="s">
        <v>6786</v>
      </c>
      <c r="C3465" s="13" t="s">
        <v>6823</v>
      </c>
      <c r="D3465" s="13">
        <v>1</v>
      </c>
      <c r="E3465" s="13" t="s">
        <v>6824</v>
      </c>
      <c r="F3465" s="13" t="s">
        <v>11</v>
      </c>
    </row>
    <row r="3466" ht="18" customHeight="1" spans="1:6">
      <c r="A3466" s="13" t="s">
        <v>6225</v>
      </c>
      <c r="B3466" s="13" t="s">
        <v>6786</v>
      </c>
      <c r="C3466" s="13" t="s">
        <v>6825</v>
      </c>
      <c r="D3466" s="13">
        <v>1</v>
      </c>
      <c r="E3466" s="13" t="s">
        <v>6826</v>
      </c>
      <c r="F3466" s="13" t="s">
        <v>11</v>
      </c>
    </row>
    <row r="3467" ht="18" customHeight="1" spans="1:6">
      <c r="A3467" s="13" t="s">
        <v>6225</v>
      </c>
      <c r="B3467" s="13" t="s">
        <v>6786</v>
      </c>
      <c r="C3467" s="13" t="s">
        <v>6827</v>
      </c>
      <c r="D3467" s="13">
        <v>1</v>
      </c>
      <c r="E3467" s="13" t="s">
        <v>6828</v>
      </c>
      <c r="F3467" s="13" t="s">
        <v>11</v>
      </c>
    </row>
    <row r="3468" ht="18" customHeight="1" spans="1:6">
      <c r="A3468" s="13" t="s">
        <v>6225</v>
      </c>
      <c r="B3468" s="13" t="s">
        <v>6786</v>
      </c>
      <c r="C3468" s="13" t="s">
        <v>6829</v>
      </c>
      <c r="D3468" s="13">
        <v>5</v>
      </c>
      <c r="E3468" s="13" t="s">
        <v>6830</v>
      </c>
      <c r="F3468" s="13" t="s">
        <v>11</v>
      </c>
    </row>
    <row r="3469" ht="18" customHeight="1" spans="1:6">
      <c r="A3469" s="13" t="s">
        <v>6225</v>
      </c>
      <c r="B3469" s="13" t="s">
        <v>6786</v>
      </c>
      <c r="C3469" s="13" t="s">
        <v>6831</v>
      </c>
      <c r="D3469" s="13">
        <v>3</v>
      </c>
      <c r="E3469" s="13" t="s">
        <v>6832</v>
      </c>
      <c r="F3469" s="13" t="s">
        <v>11</v>
      </c>
    </row>
    <row r="3470" ht="18" customHeight="1" spans="1:6">
      <c r="A3470" s="13" t="s">
        <v>6225</v>
      </c>
      <c r="B3470" s="13" t="s">
        <v>6786</v>
      </c>
      <c r="C3470" s="13" t="s">
        <v>6833</v>
      </c>
      <c r="D3470" s="13">
        <v>3</v>
      </c>
      <c r="E3470" s="13" t="s">
        <v>6834</v>
      </c>
      <c r="F3470" s="13" t="s">
        <v>11</v>
      </c>
    </row>
    <row r="3471" ht="18" customHeight="1" spans="1:6">
      <c r="A3471" s="13" t="s">
        <v>6225</v>
      </c>
      <c r="B3471" s="13" t="s">
        <v>6786</v>
      </c>
      <c r="C3471" s="13" t="s">
        <v>6835</v>
      </c>
      <c r="D3471" s="13">
        <v>5</v>
      </c>
      <c r="E3471" s="13" t="s">
        <v>6836</v>
      </c>
      <c r="F3471" s="13" t="s">
        <v>11</v>
      </c>
    </row>
    <row r="3472" ht="18" customHeight="1" spans="1:6">
      <c r="A3472" s="13" t="s">
        <v>6225</v>
      </c>
      <c r="B3472" s="13" t="s">
        <v>6786</v>
      </c>
      <c r="C3472" s="13" t="s">
        <v>6837</v>
      </c>
      <c r="D3472" s="13">
        <v>3</v>
      </c>
      <c r="E3472" s="13" t="s">
        <v>6838</v>
      </c>
      <c r="F3472" s="13" t="s">
        <v>11</v>
      </c>
    </row>
    <row r="3473" ht="18" customHeight="1" spans="1:6">
      <c r="A3473" s="13" t="s">
        <v>6225</v>
      </c>
      <c r="B3473" s="13" t="s">
        <v>6786</v>
      </c>
      <c r="C3473" s="13" t="s">
        <v>6839</v>
      </c>
      <c r="D3473" s="13">
        <v>4</v>
      </c>
      <c r="E3473" s="13" t="s">
        <v>6840</v>
      </c>
      <c r="F3473" s="13" t="s">
        <v>11</v>
      </c>
    </row>
    <row r="3474" ht="18" customHeight="1" spans="1:6">
      <c r="A3474" s="13" t="s">
        <v>6225</v>
      </c>
      <c r="B3474" s="13" t="s">
        <v>6786</v>
      </c>
      <c r="C3474" s="13" t="s">
        <v>6841</v>
      </c>
      <c r="D3474" s="13">
        <v>5</v>
      </c>
      <c r="E3474" s="13" t="s">
        <v>6842</v>
      </c>
      <c r="F3474" s="13" t="s">
        <v>11</v>
      </c>
    </row>
    <row r="3475" ht="18" customHeight="1" spans="1:6">
      <c r="A3475" s="13" t="s">
        <v>6225</v>
      </c>
      <c r="B3475" s="13" t="s">
        <v>6786</v>
      </c>
      <c r="C3475" s="13" t="s">
        <v>6843</v>
      </c>
      <c r="D3475" s="13">
        <v>3</v>
      </c>
      <c r="E3475" s="13" t="s">
        <v>6844</v>
      </c>
      <c r="F3475" s="13" t="s">
        <v>11</v>
      </c>
    </row>
    <row r="3476" ht="18" customHeight="1" spans="1:6">
      <c r="A3476" s="13" t="s">
        <v>6225</v>
      </c>
      <c r="B3476" s="13" t="s">
        <v>6786</v>
      </c>
      <c r="C3476" s="13" t="s">
        <v>6845</v>
      </c>
      <c r="D3476" s="13">
        <v>4</v>
      </c>
      <c r="E3476" s="13" t="s">
        <v>6846</v>
      </c>
      <c r="F3476" s="13" t="s">
        <v>11</v>
      </c>
    </row>
    <row r="3477" ht="18" customHeight="1" spans="1:6">
      <c r="A3477" s="13" t="s">
        <v>6225</v>
      </c>
      <c r="B3477" s="13" t="s">
        <v>6786</v>
      </c>
      <c r="C3477" s="13" t="s">
        <v>6847</v>
      </c>
      <c r="D3477" s="13">
        <v>2</v>
      </c>
      <c r="E3477" s="13" t="s">
        <v>6848</v>
      </c>
      <c r="F3477" s="13" t="s">
        <v>11</v>
      </c>
    </row>
    <row r="3478" ht="18" customHeight="1" spans="1:6">
      <c r="A3478" s="13" t="s">
        <v>6225</v>
      </c>
      <c r="B3478" s="13" t="s">
        <v>6786</v>
      </c>
      <c r="C3478" s="13" t="s">
        <v>6849</v>
      </c>
      <c r="D3478" s="13">
        <v>3</v>
      </c>
      <c r="E3478" s="13" t="s">
        <v>6850</v>
      </c>
      <c r="F3478" s="13" t="s">
        <v>11</v>
      </c>
    </row>
    <row r="3479" ht="18" customHeight="1" spans="1:6">
      <c r="A3479" s="13" t="s">
        <v>6225</v>
      </c>
      <c r="B3479" s="13" t="s">
        <v>6786</v>
      </c>
      <c r="C3479" s="13" t="s">
        <v>6851</v>
      </c>
      <c r="D3479" s="13">
        <v>3</v>
      </c>
      <c r="E3479" s="13" t="s">
        <v>6852</v>
      </c>
      <c r="F3479" s="13" t="s">
        <v>11</v>
      </c>
    </row>
    <row r="3480" ht="18" customHeight="1" spans="1:6">
      <c r="A3480" s="13" t="s">
        <v>6225</v>
      </c>
      <c r="B3480" s="13" t="s">
        <v>6786</v>
      </c>
      <c r="C3480" s="13" t="s">
        <v>6833</v>
      </c>
      <c r="D3480" s="13">
        <v>4</v>
      </c>
      <c r="E3480" s="13" t="s">
        <v>6853</v>
      </c>
      <c r="F3480" s="13" t="s">
        <v>11</v>
      </c>
    </row>
    <row r="3481" ht="18" customHeight="1" spans="1:6">
      <c r="A3481" s="13" t="s">
        <v>6225</v>
      </c>
      <c r="B3481" s="13" t="s">
        <v>6786</v>
      </c>
      <c r="C3481" s="13" t="s">
        <v>6854</v>
      </c>
      <c r="D3481" s="13">
        <v>2</v>
      </c>
      <c r="E3481" s="13" t="s">
        <v>6855</v>
      </c>
      <c r="F3481" s="13" t="s">
        <v>11</v>
      </c>
    </row>
    <row r="3482" ht="18" customHeight="1" spans="1:6">
      <c r="A3482" s="13" t="s">
        <v>6225</v>
      </c>
      <c r="B3482" s="13" t="s">
        <v>6786</v>
      </c>
      <c r="C3482" s="13" t="s">
        <v>6856</v>
      </c>
      <c r="D3482" s="13">
        <v>2</v>
      </c>
      <c r="E3482" s="13" t="s">
        <v>6857</v>
      </c>
      <c r="F3482" s="13" t="s">
        <v>11</v>
      </c>
    </row>
    <row r="3483" ht="18" customHeight="1" spans="1:6">
      <c r="A3483" s="13" t="s">
        <v>6225</v>
      </c>
      <c r="B3483" s="13" t="s">
        <v>6786</v>
      </c>
      <c r="C3483" s="13" t="s">
        <v>6858</v>
      </c>
      <c r="D3483" s="13">
        <v>3</v>
      </c>
      <c r="E3483" s="13" t="s">
        <v>6859</v>
      </c>
      <c r="F3483" s="13" t="s">
        <v>11</v>
      </c>
    </row>
    <row r="3484" ht="18" customHeight="1" spans="1:6">
      <c r="A3484" s="13" t="s">
        <v>6225</v>
      </c>
      <c r="B3484" s="13" t="s">
        <v>6786</v>
      </c>
      <c r="C3484" s="13" t="s">
        <v>6860</v>
      </c>
      <c r="D3484" s="13">
        <v>4</v>
      </c>
      <c r="E3484" s="13" t="s">
        <v>6861</v>
      </c>
      <c r="F3484" s="13" t="s">
        <v>11</v>
      </c>
    </row>
    <row r="3485" ht="18" customHeight="1" spans="1:6">
      <c r="A3485" s="13" t="s">
        <v>6225</v>
      </c>
      <c r="B3485" s="13" t="s">
        <v>6786</v>
      </c>
      <c r="C3485" s="13" t="s">
        <v>6862</v>
      </c>
      <c r="D3485" s="13">
        <v>4</v>
      </c>
      <c r="E3485" s="13" t="s">
        <v>6863</v>
      </c>
      <c r="F3485" s="13" t="s">
        <v>11</v>
      </c>
    </row>
    <row r="3486" ht="18" customHeight="1" spans="1:6">
      <c r="A3486" s="13" t="s">
        <v>6225</v>
      </c>
      <c r="B3486" s="13" t="s">
        <v>6786</v>
      </c>
      <c r="C3486" s="13" t="s">
        <v>6864</v>
      </c>
      <c r="D3486" s="13">
        <v>3</v>
      </c>
      <c r="E3486" s="13" t="s">
        <v>6865</v>
      </c>
      <c r="F3486" s="13" t="s">
        <v>11</v>
      </c>
    </row>
    <row r="3487" ht="18" customHeight="1" spans="1:6">
      <c r="A3487" s="13" t="s">
        <v>6225</v>
      </c>
      <c r="B3487" s="13" t="s">
        <v>6786</v>
      </c>
      <c r="C3487" s="13" t="s">
        <v>6866</v>
      </c>
      <c r="D3487" s="13">
        <v>2</v>
      </c>
      <c r="E3487" s="13" t="s">
        <v>6867</v>
      </c>
      <c r="F3487" s="13" t="s">
        <v>11</v>
      </c>
    </row>
    <row r="3488" ht="18" customHeight="1" spans="1:6">
      <c r="A3488" s="13" t="s">
        <v>6225</v>
      </c>
      <c r="B3488" s="13" t="s">
        <v>6786</v>
      </c>
      <c r="C3488" s="13" t="s">
        <v>6868</v>
      </c>
      <c r="D3488" s="13">
        <v>2</v>
      </c>
      <c r="E3488" s="13" t="s">
        <v>6869</v>
      </c>
      <c r="F3488" s="13" t="s">
        <v>11</v>
      </c>
    </row>
    <row r="3489" ht="18" customHeight="1" spans="1:6">
      <c r="A3489" s="13" t="s">
        <v>6225</v>
      </c>
      <c r="B3489" s="13" t="s">
        <v>6786</v>
      </c>
      <c r="C3489" s="13" t="s">
        <v>6870</v>
      </c>
      <c r="D3489" s="13">
        <v>4</v>
      </c>
      <c r="E3489" s="13" t="s">
        <v>6871</v>
      </c>
      <c r="F3489" s="13" t="s">
        <v>11</v>
      </c>
    </row>
    <row r="3490" ht="18" customHeight="1" spans="1:6">
      <c r="A3490" s="13" t="s">
        <v>6225</v>
      </c>
      <c r="B3490" s="13" t="s">
        <v>6786</v>
      </c>
      <c r="C3490" s="13" t="s">
        <v>6872</v>
      </c>
      <c r="D3490" s="13">
        <v>3</v>
      </c>
      <c r="E3490" s="13" t="s">
        <v>6873</v>
      </c>
      <c r="F3490" s="13" t="s">
        <v>11</v>
      </c>
    </row>
    <row r="3491" ht="18" customHeight="1" spans="1:6">
      <c r="A3491" s="13" t="s">
        <v>6225</v>
      </c>
      <c r="B3491" s="13" t="s">
        <v>6786</v>
      </c>
      <c r="C3491" s="13" t="s">
        <v>6874</v>
      </c>
      <c r="D3491" s="13">
        <v>3</v>
      </c>
      <c r="E3491" s="13" t="s">
        <v>6875</v>
      </c>
      <c r="F3491" s="13" t="s">
        <v>11</v>
      </c>
    </row>
    <row r="3492" ht="18" customHeight="1" spans="1:6">
      <c r="A3492" s="13" t="s">
        <v>6225</v>
      </c>
      <c r="B3492" s="13" t="s">
        <v>6786</v>
      </c>
      <c r="C3492" s="13" t="s">
        <v>6876</v>
      </c>
      <c r="D3492" s="13">
        <v>4</v>
      </c>
      <c r="E3492" s="13" t="s">
        <v>6877</v>
      </c>
      <c r="F3492" s="13" t="s">
        <v>11</v>
      </c>
    </row>
    <row r="3493" ht="18" customHeight="1" spans="1:6">
      <c r="A3493" s="13" t="s">
        <v>6225</v>
      </c>
      <c r="B3493" s="13" t="s">
        <v>6786</v>
      </c>
      <c r="C3493" s="13" t="s">
        <v>6878</v>
      </c>
      <c r="D3493" s="13">
        <v>2</v>
      </c>
      <c r="E3493" s="13" t="s">
        <v>6879</v>
      </c>
      <c r="F3493" s="13" t="s">
        <v>11</v>
      </c>
    </row>
    <row r="3494" ht="18" customHeight="1" spans="1:6">
      <c r="A3494" s="13" t="s">
        <v>6225</v>
      </c>
      <c r="B3494" s="13" t="s">
        <v>6786</v>
      </c>
      <c r="C3494" s="13" t="s">
        <v>6880</v>
      </c>
      <c r="D3494" s="13">
        <v>3</v>
      </c>
      <c r="E3494" s="13" t="s">
        <v>6881</v>
      </c>
      <c r="F3494" s="13" t="s">
        <v>11</v>
      </c>
    </row>
    <row r="3495" ht="18" customHeight="1" spans="1:6">
      <c r="A3495" s="13" t="s">
        <v>6225</v>
      </c>
      <c r="B3495" s="13" t="s">
        <v>6786</v>
      </c>
      <c r="C3495" s="13" t="s">
        <v>6882</v>
      </c>
      <c r="D3495" s="13">
        <v>2</v>
      </c>
      <c r="E3495" s="13" t="s">
        <v>6883</v>
      </c>
      <c r="F3495" s="13" t="s">
        <v>11</v>
      </c>
    </row>
    <row r="3496" ht="18" customHeight="1" spans="1:6">
      <c r="A3496" s="13" t="s">
        <v>6225</v>
      </c>
      <c r="B3496" s="13" t="s">
        <v>6884</v>
      </c>
      <c r="C3496" s="13" t="s">
        <v>6885</v>
      </c>
      <c r="D3496" s="13">
        <v>1</v>
      </c>
      <c r="E3496" s="179" t="s">
        <v>6886</v>
      </c>
      <c r="F3496" s="13" t="s">
        <v>11</v>
      </c>
    </row>
    <row r="3497" ht="18" customHeight="1" spans="1:6">
      <c r="A3497" s="13" t="s">
        <v>6225</v>
      </c>
      <c r="B3497" s="13" t="s">
        <v>6884</v>
      </c>
      <c r="C3497" s="13" t="s">
        <v>6887</v>
      </c>
      <c r="D3497" s="13">
        <v>1</v>
      </c>
      <c r="E3497" s="179" t="s">
        <v>6888</v>
      </c>
      <c r="F3497" s="13" t="s">
        <v>11</v>
      </c>
    </row>
    <row r="3498" ht="18" customHeight="1" spans="1:6">
      <c r="A3498" s="13" t="s">
        <v>6225</v>
      </c>
      <c r="B3498" s="13" t="s">
        <v>6884</v>
      </c>
      <c r="C3498" s="13" t="s">
        <v>6889</v>
      </c>
      <c r="D3498" s="13">
        <v>1</v>
      </c>
      <c r="E3498" s="13" t="s">
        <v>6890</v>
      </c>
      <c r="F3498" s="13" t="s">
        <v>11</v>
      </c>
    </row>
    <row r="3499" ht="18" customHeight="1" spans="1:6">
      <c r="A3499" s="13" t="s">
        <v>6225</v>
      </c>
      <c r="B3499" s="13" t="s">
        <v>6884</v>
      </c>
      <c r="C3499" s="13" t="s">
        <v>6891</v>
      </c>
      <c r="D3499" s="13">
        <v>4</v>
      </c>
      <c r="E3499" s="179" t="s">
        <v>6892</v>
      </c>
      <c r="F3499" s="13" t="s">
        <v>11</v>
      </c>
    </row>
    <row r="3500" ht="18" customHeight="1" spans="1:6">
      <c r="A3500" s="13" t="s">
        <v>6225</v>
      </c>
      <c r="B3500" s="13" t="s">
        <v>6884</v>
      </c>
      <c r="C3500" s="13" t="s">
        <v>6893</v>
      </c>
      <c r="D3500" s="13">
        <v>2</v>
      </c>
      <c r="E3500" s="179" t="s">
        <v>6894</v>
      </c>
      <c r="F3500" s="13" t="s">
        <v>11</v>
      </c>
    </row>
    <row r="3501" ht="18" customHeight="1" spans="1:6">
      <c r="A3501" s="13" t="s">
        <v>6225</v>
      </c>
      <c r="B3501" s="13" t="s">
        <v>6884</v>
      </c>
      <c r="C3501" s="13" t="s">
        <v>6895</v>
      </c>
      <c r="D3501" s="13">
        <v>2</v>
      </c>
      <c r="E3501" s="13" t="s">
        <v>6896</v>
      </c>
      <c r="F3501" s="13" t="s">
        <v>11</v>
      </c>
    </row>
    <row r="3502" ht="18" customHeight="1" spans="1:6">
      <c r="A3502" s="13" t="s">
        <v>6225</v>
      </c>
      <c r="B3502" s="13" t="s">
        <v>6884</v>
      </c>
      <c r="C3502" s="13" t="s">
        <v>6897</v>
      </c>
      <c r="D3502" s="13">
        <v>3</v>
      </c>
      <c r="E3502" s="179" t="s">
        <v>6898</v>
      </c>
      <c r="F3502" s="13" t="s">
        <v>11</v>
      </c>
    </row>
    <row r="3503" ht="18" customHeight="1" spans="1:6">
      <c r="A3503" s="13" t="s">
        <v>6225</v>
      </c>
      <c r="B3503" s="13" t="s">
        <v>6884</v>
      </c>
      <c r="C3503" s="13" t="s">
        <v>6899</v>
      </c>
      <c r="D3503" s="13">
        <v>4</v>
      </c>
      <c r="E3503" s="179" t="s">
        <v>6900</v>
      </c>
      <c r="F3503" s="13" t="s">
        <v>11</v>
      </c>
    </row>
    <row r="3504" ht="18" customHeight="1" spans="1:6">
      <c r="A3504" s="13" t="s">
        <v>6225</v>
      </c>
      <c r="B3504" s="13" t="s">
        <v>6884</v>
      </c>
      <c r="C3504" s="13" t="s">
        <v>6901</v>
      </c>
      <c r="D3504" s="13">
        <v>2</v>
      </c>
      <c r="E3504" s="179" t="s">
        <v>6902</v>
      </c>
      <c r="F3504" s="13" t="s">
        <v>11</v>
      </c>
    </row>
    <row r="3505" ht="18" customHeight="1" spans="1:6">
      <c r="A3505" s="13" t="s">
        <v>6225</v>
      </c>
      <c r="B3505" s="13" t="s">
        <v>6884</v>
      </c>
      <c r="C3505" s="13" t="s">
        <v>6903</v>
      </c>
      <c r="D3505" s="13">
        <v>1</v>
      </c>
      <c r="E3505" s="179" t="s">
        <v>6904</v>
      </c>
      <c r="F3505" s="13" t="s">
        <v>11</v>
      </c>
    </row>
    <row r="3506" ht="18" customHeight="1" spans="1:6">
      <c r="A3506" s="13" t="s">
        <v>6225</v>
      </c>
      <c r="B3506" s="13" t="s">
        <v>6905</v>
      </c>
      <c r="C3506" s="13" t="s">
        <v>6906</v>
      </c>
      <c r="D3506" s="13">
        <v>3</v>
      </c>
      <c r="E3506" s="179" t="s">
        <v>6907</v>
      </c>
      <c r="F3506" s="13" t="s">
        <v>11</v>
      </c>
    </row>
    <row r="3507" ht="18" customHeight="1" spans="1:6">
      <c r="A3507" s="13" t="s">
        <v>6225</v>
      </c>
      <c r="B3507" s="13" t="s">
        <v>6905</v>
      </c>
      <c r="C3507" s="13" t="s">
        <v>6908</v>
      </c>
      <c r="D3507" s="13">
        <v>2</v>
      </c>
      <c r="E3507" s="179" t="s">
        <v>6909</v>
      </c>
      <c r="F3507" s="13" t="s">
        <v>11</v>
      </c>
    </row>
    <row r="3508" ht="18" customHeight="1" spans="1:6">
      <c r="A3508" s="13" t="s">
        <v>6225</v>
      </c>
      <c r="B3508" s="13" t="s">
        <v>6905</v>
      </c>
      <c r="C3508" s="13" t="s">
        <v>6910</v>
      </c>
      <c r="D3508" s="13">
        <v>1</v>
      </c>
      <c r="E3508" s="179" t="s">
        <v>6911</v>
      </c>
      <c r="F3508" s="13" t="s">
        <v>11</v>
      </c>
    </row>
    <row r="3509" ht="18" customHeight="1" spans="1:6">
      <c r="A3509" s="13" t="s">
        <v>6225</v>
      </c>
      <c r="B3509" s="13" t="s">
        <v>6905</v>
      </c>
      <c r="C3509" s="13" t="s">
        <v>6912</v>
      </c>
      <c r="D3509" s="13">
        <v>1</v>
      </c>
      <c r="E3509" s="13" t="s">
        <v>6913</v>
      </c>
      <c r="F3509" s="13" t="s">
        <v>11</v>
      </c>
    </row>
    <row r="3510" ht="18" customHeight="1" spans="1:6">
      <c r="A3510" s="13" t="s">
        <v>6225</v>
      </c>
      <c r="B3510" s="13" t="s">
        <v>6905</v>
      </c>
      <c r="C3510" s="13" t="s">
        <v>6914</v>
      </c>
      <c r="D3510" s="13">
        <v>1</v>
      </c>
      <c r="E3510" s="179" t="s">
        <v>6915</v>
      </c>
      <c r="F3510" s="13" t="s">
        <v>11</v>
      </c>
    </row>
    <row r="3511" ht="18" customHeight="1" spans="1:6">
      <c r="A3511" s="13" t="s">
        <v>6225</v>
      </c>
      <c r="B3511" s="13" t="s">
        <v>6905</v>
      </c>
      <c r="C3511" s="13" t="s">
        <v>6916</v>
      </c>
      <c r="D3511" s="13">
        <v>1</v>
      </c>
      <c r="E3511" s="179" t="s">
        <v>6917</v>
      </c>
      <c r="F3511" s="13" t="s">
        <v>11</v>
      </c>
    </row>
    <row r="3512" ht="18" customHeight="1" spans="1:6">
      <c r="A3512" s="13" t="s">
        <v>6225</v>
      </c>
      <c r="B3512" s="13" t="s">
        <v>6905</v>
      </c>
      <c r="C3512" s="13" t="s">
        <v>6918</v>
      </c>
      <c r="D3512" s="13">
        <v>1</v>
      </c>
      <c r="E3512" s="179" t="s">
        <v>6919</v>
      </c>
      <c r="F3512" s="13" t="s">
        <v>11</v>
      </c>
    </row>
    <row r="3513" ht="18" customHeight="1" spans="1:6">
      <c r="A3513" s="13" t="s">
        <v>6225</v>
      </c>
      <c r="B3513" s="13" t="s">
        <v>6905</v>
      </c>
      <c r="C3513" s="13" t="s">
        <v>6920</v>
      </c>
      <c r="D3513" s="13">
        <v>1</v>
      </c>
      <c r="E3513" s="179" t="s">
        <v>6921</v>
      </c>
      <c r="F3513" s="13" t="s">
        <v>11</v>
      </c>
    </row>
    <row r="3514" ht="18" customHeight="1" spans="1:6">
      <c r="A3514" s="13" t="s">
        <v>6225</v>
      </c>
      <c r="B3514" s="13" t="s">
        <v>6905</v>
      </c>
      <c r="C3514" s="13" t="s">
        <v>6922</v>
      </c>
      <c r="D3514" s="13">
        <v>2</v>
      </c>
      <c r="E3514" s="179" t="s">
        <v>6923</v>
      </c>
      <c r="F3514" s="13" t="s">
        <v>11</v>
      </c>
    </row>
    <row r="3515" ht="18" customHeight="1" spans="1:6">
      <c r="A3515" s="13" t="s">
        <v>6225</v>
      </c>
      <c r="B3515" s="13" t="s">
        <v>6905</v>
      </c>
      <c r="C3515" s="13" t="s">
        <v>6924</v>
      </c>
      <c r="D3515" s="13">
        <v>3</v>
      </c>
      <c r="E3515" s="179" t="s">
        <v>6925</v>
      </c>
      <c r="F3515" s="13" t="s">
        <v>11</v>
      </c>
    </row>
    <row r="3516" ht="18" customHeight="1" spans="1:6">
      <c r="A3516" s="13" t="s">
        <v>6225</v>
      </c>
      <c r="B3516" s="13" t="s">
        <v>6905</v>
      </c>
      <c r="C3516" s="13" t="s">
        <v>6926</v>
      </c>
      <c r="D3516" s="13">
        <v>2</v>
      </c>
      <c r="E3516" s="179" t="s">
        <v>6927</v>
      </c>
      <c r="F3516" s="13" t="s">
        <v>11</v>
      </c>
    </row>
    <row r="3517" ht="18" customHeight="1" spans="1:6">
      <c r="A3517" s="13" t="s">
        <v>6225</v>
      </c>
      <c r="B3517" s="13" t="s">
        <v>6905</v>
      </c>
      <c r="C3517" s="13" t="s">
        <v>6928</v>
      </c>
      <c r="D3517" s="13">
        <v>3</v>
      </c>
      <c r="E3517" s="179" t="s">
        <v>6929</v>
      </c>
      <c r="F3517" s="13" t="s">
        <v>11</v>
      </c>
    </row>
    <row r="3518" ht="18" customHeight="1" spans="1:6">
      <c r="A3518" s="13" t="s">
        <v>6225</v>
      </c>
      <c r="B3518" s="13" t="s">
        <v>6905</v>
      </c>
      <c r="C3518" s="13" t="s">
        <v>6930</v>
      </c>
      <c r="D3518" s="13">
        <v>3</v>
      </c>
      <c r="E3518" s="179" t="s">
        <v>6931</v>
      </c>
      <c r="F3518" s="13" t="s">
        <v>11</v>
      </c>
    </row>
    <row r="3519" ht="18" customHeight="1" spans="1:6">
      <c r="A3519" s="13" t="s">
        <v>6225</v>
      </c>
      <c r="B3519" s="13" t="s">
        <v>6905</v>
      </c>
      <c r="C3519" s="13" t="s">
        <v>6932</v>
      </c>
      <c r="D3519" s="13">
        <v>2</v>
      </c>
      <c r="E3519" s="179" t="s">
        <v>6933</v>
      </c>
      <c r="F3519" s="13" t="s">
        <v>11</v>
      </c>
    </row>
    <row r="3520" ht="18" customHeight="1" spans="1:6">
      <c r="A3520" s="13" t="s">
        <v>6225</v>
      </c>
      <c r="B3520" s="13" t="s">
        <v>6905</v>
      </c>
      <c r="C3520" s="13" t="s">
        <v>6934</v>
      </c>
      <c r="D3520" s="13">
        <v>3</v>
      </c>
      <c r="E3520" s="179" t="s">
        <v>6935</v>
      </c>
      <c r="F3520" s="13" t="s">
        <v>11</v>
      </c>
    </row>
    <row r="3521" ht="18" customHeight="1" spans="1:6">
      <c r="A3521" s="13" t="s">
        <v>6225</v>
      </c>
      <c r="B3521" s="13" t="s">
        <v>6905</v>
      </c>
      <c r="C3521" s="13" t="s">
        <v>6936</v>
      </c>
      <c r="D3521" s="13">
        <v>2</v>
      </c>
      <c r="E3521" s="179" t="s">
        <v>6937</v>
      </c>
      <c r="F3521" s="13" t="s">
        <v>11</v>
      </c>
    </row>
    <row r="3522" ht="18" customHeight="1" spans="1:6">
      <c r="A3522" s="13" t="s">
        <v>6225</v>
      </c>
      <c r="B3522" s="13" t="s">
        <v>6905</v>
      </c>
      <c r="C3522" s="13" t="s">
        <v>6938</v>
      </c>
      <c r="D3522" s="13">
        <v>2</v>
      </c>
      <c r="E3522" s="179" t="s">
        <v>6939</v>
      </c>
      <c r="F3522" s="13" t="s">
        <v>11</v>
      </c>
    </row>
    <row r="3523" ht="18" customHeight="1" spans="1:6">
      <c r="A3523" s="13" t="s">
        <v>6225</v>
      </c>
      <c r="B3523" s="13" t="s">
        <v>6905</v>
      </c>
      <c r="C3523" s="13" t="s">
        <v>6940</v>
      </c>
      <c r="D3523" s="13">
        <v>4</v>
      </c>
      <c r="E3523" s="179" t="s">
        <v>6941</v>
      </c>
      <c r="F3523" s="13" t="s">
        <v>11</v>
      </c>
    </row>
    <row r="3524" ht="18" customHeight="1" spans="1:6">
      <c r="A3524" s="13" t="s">
        <v>6225</v>
      </c>
      <c r="B3524" s="13" t="s">
        <v>6905</v>
      </c>
      <c r="C3524" s="13" t="s">
        <v>6942</v>
      </c>
      <c r="D3524" s="13">
        <v>2</v>
      </c>
      <c r="E3524" s="179" t="s">
        <v>6943</v>
      </c>
      <c r="F3524" s="13" t="s">
        <v>11</v>
      </c>
    </row>
    <row r="3525" ht="18" customHeight="1" spans="1:6">
      <c r="A3525" s="13" t="s">
        <v>6225</v>
      </c>
      <c r="B3525" s="13" t="s">
        <v>6905</v>
      </c>
      <c r="C3525" s="13" t="s">
        <v>6944</v>
      </c>
      <c r="D3525" s="13">
        <v>1</v>
      </c>
      <c r="E3525" s="179" t="s">
        <v>6945</v>
      </c>
      <c r="F3525" s="13" t="s">
        <v>11</v>
      </c>
    </row>
    <row r="3526" ht="18" customHeight="1" spans="1:6">
      <c r="A3526" s="13" t="s">
        <v>6225</v>
      </c>
      <c r="B3526" s="13" t="s">
        <v>6946</v>
      </c>
      <c r="C3526" s="13" t="s">
        <v>6947</v>
      </c>
      <c r="D3526" s="13">
        <v>2</v>
      </c>
      <c r="E3526" s="179" t="s">
        <v>6948</v>
      </c>
      <c r="F3526" s="13" t="s">
        <v>11</v>
      </c>
    </row>
    <row r="3527" ht="18" customHeight="1" spans="1:6">
      <c r="A3527" s="13" t="s">
        <v>6225</v>
      </c>
      <c r="B3527" s="13" t="s">
        <v>6946</v>
      </c>
      <c r="C3527" s="13" t="s">
        <v>6949</v>
      </c>
      <c r="D3527" s="13">
        <v>3</v>
      </c>
      <c r="E3527" s="179" t="s">
        <v>6950</v>
      </c>
      <c r="F3527" s="13" t="s">
        <v>11</v>
      </c>
    </row>
    <row r="3528" ht="18" customHeight="1" spans="1:6">
      <c r="A3528" s="13" t="s">
        <v>6225</v>
      </c>
      <c r="B3528" s="13" t="s">
        <v>6946</v>
      </c>
      <c r="C3528" s="13" t="s">
        <v>6951</v>
      </c>
      <c r="D3528" s="13">
        <v>3</v>
      </c>
      <c r="E3528" s="179" t="s">
        <v>6952</v>
      </c>
      <c r="F3528" s="13" t="s">
        <v>11</v>
      </c>
    </row>
    <row r="3529" ht="18" customHeight="1" spans="1:6">
      <c r="A3529" s="13" t="s">
        <v>6225</v>
      </c>
      <c r="B3529" s="13" t="s">
        <v>6946</v>
      </c>
      <c r="C3529" s="13" t="s">
        <v>6953</v>
      </c>
      <c r="D3529" s="13">
        <v>3</v>
      </c>
      <c r="E3529" s="179" t="s">
        <v>6954</v>
      </c>
      <c r="F3529" s="13" t="s">
        <v>11</v>
      </c>
    </row>
    <row r="3530" ht="18" customHeight="1" spans="1:6">
      <c r="A3530" s="13" t="s">
        <v>6225</v>
      </c>
      <c r="B3530" s="13" t="s">
        <v>6946</v>
      </c>
      <c r="C3530" s="13" t="s">
        <v>6955</v>
      </c>
      <c r="D3530" s="13">
        <v>1</v>
      </c>
      <c r="E3530" s="179" t="s">
        <v>6956</v>
      </c>
      <c r="F3530" s="13" t="s">
        <v>11</v>
      </c>
    </row>
    <row r="3531" ht="18" customHeight="1" spans="1:6">
      <c r="A3531" s="13" t="s">
        <v>6225</v>
      </c>
      <c r="B3531" s="13" t="s">
        <v>6946</v>
      </c>
      <c r="C3531" s="13" t="s">
        <v>6957</v>
      </c>
      <c r="D3531" s="13">
        <v>3</v>
      </c>
      <c r="E3531" s="179" t="s">
        <v>6958</v>
      </c>
      <c r="F3531" s="13" t="s">
        <v>11</v>
      </c>
    </row>
    <row r="3532" ht="18" customHeight="1" spans="1:6">
      <c r="A3532" s="13" t="s">
        <v>6225</v>
      </c>
      <c r="B3532" s="13" t="s">
        <v>6946</v>
      </c>
      <c r="C3532" s="13" t="s">
        <v>6959</v>
      </c>
      <c r="D3532" s="13">
        <v>3</v>
      </c>
      <c r="E3532" s="179" t="s">
        <v>6960</v>
      </c>
      <c r="F3532" s="13" t="s">
        <v>11</v>
      </c>
    </row>
    <row r="3533" ht="18" customHeight="1" spans="1:6">
      <c r="A3533" s="13" t="s">
        <v>6225</v>
      </c>
      <c r="B3533" s="13" t="s">
        <v>6946</v>
      </c>
      <c r="C3533" s="13" t="s">
        <v>6961</v>
      </c>
      <c r="D3533" s="13">
        <v>3</v>
      </c>
      <c r="E3533" s="179" t="s">
        <v>6962</v>
      </c>
      <c r="F3533" s="13" t="s">
        <v>11</v>
      </c>
    </row>
    <row r="3534" ht="18" customHeight="1" spans="1:6">
      <c r="A3534" s="13" t="s">
        <v>6225</v>
      </c>
      <c r="B3534" s="13" t="s">
        <v>6946</v>
      </c>
      <c r="C3534" s="13" t="s">
        <v>6963</v>
      </c>
      <c r="D3534" s="13">
        <v>2</v>
      </c>
      <c r="E3534" s="179" t="s">
        <v>6964</v>
      </c>
      <c r="F3534" s="13" t="s">
        <v>11</v>
      </c>
    </row>
    <row r="3535" ht="18" customHeight="1" spans="1:6">
      <c r="A3535" s="13" t="s">
        <v>6225</v>
      </c>
      <c r="B3535" s="13" t="s">
        <v>6946</v>
      </c>
      <c r="C3535" s="13" t="s">
        <v>6965</v>
      </c>
      <c r="D3535" s="13">
        <v>3</v>
      </c>
      <c r="E3535" s="179" t="s">
        <v>6966</v>
      </c>
      <c r="F3535" s="13" t="s">
        <v>11</v>
      </c>
    </row>
    <row r="3536" ht="18" customHeight="1" spans="1:6">
      <c r="A3536" s="13" t="s">
        <v>6225</v>
      </c>
      <c r="B3536" s="13" t="s">
        <v>6946</v>
      </c>
      <c r="C3536" s="13" t="s">
        <v>6967</v>
      </c>
      <c r="D3536" s="13">
        <v>3</v>
      </c>
      <c r="E3536" s="179" t="s">
        <v>6968</v>
      </c>
      <c r="F3536" s="13" t="s">
        <v>11</v>
      </c>
    </row>
    <row r="3537" ht="18" customHeight="1" spans="1:6">
      <c r="A3537" s="13" t="s">
        <v>6225</v>
      </c>
      <c r="B3537" s="13" t="s">
        <v>6946</v>
      </c>
      <c r="C3537" s="13" t="s">
        <v>6969</v>
      </c>
      <c r="D3537" s="13">
        <v>3</v>
      </c>
      <c r="E3537" s="179" t="s">
        <v>6970</v>
      </c>
      <c r="F3537" s="13" t="s">
        <v>11</v>
      </c>
    </row>
    <row r="3538" ht="18" customHeight="1" spans="1:6">
      <c r="A3538" s="13" t="s">
        <v>6225</v>
      </c>
      <c r="B3538" s="13" t="s">
        <v>6946</v>
      </c>
      <c r="C3538" s="13" t="s">
        <v>6971</v>
      </c>
      <c r="D3538" s="13">
        <v>2</v>
      </c>
      <c r="E3538" s="179" t="s">
        <v>6972</v>
      </c>
      <c r="F3538" s="13" t="s">
        <v>11</v>
      </c>
    </row>
    <row r="3539" ht="18" customHeight="1" spans="1:6">
      <c r="A3539" s="13" t="s">
        <v>6225</v>
      </c>
      <c r="B3539" s="13" t="s">
        <v>6946</v>
      </c>
      <c r="C3539" s="13" t="s">
        <v>6973</v>
      </c>
      <c r="D3539" s="13">
        <v>2</v>
      </c>
      <c r="E3539" s="179" t="s">
        <v>6974</v>
      </c>
      <c r="F3539" s="13" t="s">
        <v>11</v>
      </c>
    </row>
    <row r="3540" ht="18" customHeight="1" spans="1:6">
      <c r="A3540" s="13" t="s">
        <v>6225</v>
      </c>
      <c r="B3540" s="13" t="s">
        <v>6946</v>
      </c>
      <c r="C3540" s="13" t="s">
        <v>6975</v>
      </c>
      <c r="D3540" s="13">
        <v>2</v>
      </c>
      <c r="E3540" s="179" t="s">
        <v>6976</v>
      </c>
      <c r="F3540" s="13" t="s">
        <v>11</v>
      </c>
    </row>
    <row r="3541" ht="18" customHeight="1" spans="1:6">
      <c r="A3541" s="13" t="s">
        <v>6225</v>
      </c>
      <c r="B3541" s="13" t="s">
        <v>6946</v>
      </c>
      <c r="C3541" s="13" t="s">
        <v>6977</v>
      </c>
      <c r="D3541" s="13">
        <v>1</v>
      </c>
      <c r="E3541" s="179" t="s">
        <v>6978</v>
      </c>
      <c r="F3541" s="13" t="s">
        <v>11</v>
      </c>
    </row>
    <row r="3542" ht="18" customHeight="1" spans="1:6">
      <c r="A3542" s="13" t="s">
        <v>6225</v>
      </c>
      <c r="B3542" s="13" t="s">
        <v>6946</v>
      </c>
      <c r="C3542" s="13" t="s">
        <v>6979</v>
      </c>
      <c r="D3542" s="13">
        <v>3</v>
      </c>
      <c r="E3542" s="179" t="s">
        <v>6980</v>
      </c>
      <c r="F3542" s="13" t="s">
        <v>11</v>
      </c>
    </row>
    <row r="3543" ht="18" customHeight="1" spans="1:6">
      <c r="A3543" s="13" t="s">
        <v>6225</v>
      </c>
      <c r="B3543" s="13" t="s">
        <v>6946</v>
      </c>
      <c r="C3543" s="13" t="s">
        <v>6981</v>
      </c>
      <c r="D3543" s="13">
        <v>1</v>
      </c>
      <c r="E3543" s="179" t="s">
        <v>6982</v>
      </c>
      <c r="F3543" s="13" t="s">
        <v>11</v>
      </c>
    </row>
    <row r="3544" ht="18" customHeight="1" spans="1:6">
      <c r="A3544" s="13" t="s">
        <v>6225</v>
      </c>
      <c r="B3544" s="13" t="s">
        <v>6946</v>
      </c>
      <c r="C3544" s="13" t="s">
        <v>6983</v>
      </c>
      <c r="D3544" s="13">
        <v>1</v>
      </c>
      <c r="E3544" s="13" t="s">
        <v>6984</v>
      </c>
      <c r="F3544" s="13" t="s">
        <v>11</v>
      </c>
    </row>
    <row r="3545" ht="18" customHeight="1" spans="1:6">
      <c r="A3545" s="13" t="s">
        <v>6225</v>
      </c>
      <c r="B3545" s="13" t="s">
        <v>6946</v>
      </c>
      <c r="C3545" s="13" t="s">
        <v>6985</v>
      </c>
      <c r="D3545" s="13">
        <v>1</v>
      </c>
      <c r="E3545" s="179" t="s">
        <v>6986</v>
      </c>
      <c r="F3545" s="13" t="s">
        <v>11</v>
      </c>
    </row>
    <row r="3546" ht="18" customHeight="1" spans="1:6">
      <c r="A3546" s="13" t="s">
        <v>6225</v>
      </c>
      <c r="B3546" s="13" t="s">
        <v>6946</v>
      </c>
      <c r="C3546" s="13" t="s">
        <v>6987</v>
      </c>
      <c r="D3546" s="13">
        <v>2</v>
      </c>
      <c r="E3546" s="179" t="s">
        <v>6988</v>
      </c>
      <c r="F3546" s="13" t="s">
        <v>11</v>
      </c>
    </row>
    <row r="3547" ht="18" customHeight="1" spans="1:6">
      <c r="A3547" s="13" t="s">
        <v>6225</v>
      </c>
      <c r="B3547" s="13" t="s">
        <v>6946</v>
      </c>
      <c r="C3547" s="13" t="s">
        <v>6989</v>
      </c>
      <c r="D3547" s="13">
        <v>2</v>
      </c>
      <c r="E3547" s="179" t="s">
        <v>6990</v>
      </c>
      <c r="F3547" s="13" t="s">
        <v>11</v>
      </c>
    </row>
    <row r="3548" ht="18" customHeight="1" spans="1:6">
      <c r="A3548" s="13" t="s">
        <v>6225</v>
      </c>
      <c r="B3548" s="13" t="s">
        <v>6946</v>
      </c>
      <c r="C3548" s="13" t="s">
        <v>6991</v>
      </c>
      <c r="D3548" s="13">
        <v>2</v>
      </c>
      <c r="E3548" s="179" t="s">
        <v>6992</v>
      </c>
      <c r="F3548" s="13" t="s">
        <v>11</v>
      </c>
    </row>
    <row r="3549" ht="18" customHeight="1" spans="1:6">
      <c r="A3549" s="13" t="s">
        <v>6225</v>
      </c>
      <c r="B3549" s="13" t="s">
        <v>6946</v>
      </c>
      <c r="C3549" s="13" t="s">
        <v>6993</v>
      </c>
      <c r="D3549" s="13">
        <v>2</v>
      </c>
      <c r="E3549" s="179" t="s">
        <v>6994</v>
      </c>
      <c r="F3549" s="13" t="s">
        <v>11</v>
      </c>
    </row>
    <row r="3550" ht="18" customHeight="1" spans="1:6">
      <c r="A3550" s="13" t="s">
        <v>6225</v>
      </c>
      <c r="B3550" s="13" t="s">
        <v>6946</v>
      </c>
      <c r="C3550" s="13" t="s">
        <v>6995</v>
      </c>
      <c r="D3550" s="13">
        <v>3</v>
      </c>
      <c r="E3550" s="13" t="s">
        <v>6996</v>
      </c>
      <c r="F3550" s="13" t="s">
        <v>11</v>
      </c>
    </row>
    <row r="3551" ht="18" customHeight="1" spans="1:6">
      <c r="A3551" s="13" t="s">
        <v>6225</v>
      </c>
      <c r="B3551" s="13" t="s">
        <v>6946</v>
      </c>
      <c r="C3551" s="13" t="s">
        <v>6997</v>
      </c>
      <c r="D3551" s="13">
        <v>2</v>
      </c>
      <c r="E3551" s="13" t="s">
        <v>6998</v>
      </c>
      <c r="F3551" s="13" t="s">
        <v>11</v>
      </c>
    </row>
    <row r="3552" ht="18" customHeight="1" spans="1:6">
      <c r="A3552" s="13" t="s">
        <v>6225</v>
      </c>
      <c r="B3552" s="13" t="s">
        <v>6999</v>
      </c>
      <c r="C3552" s="13" t="s">
        <v>7000</v>
      </c>
      <c r="D3552" s="13">
        <v>2</v>
      </c>
      <c r="E3552" s="13" t="s">
        <v>7001</v>
      </c>
      <c r="F3552" s="13" t="s">
        <v>11</v>
      </c>
    </row>
    <row r="3553" ht="18" customHeight="1" spans="1:6">
      <c r="A3553" s="13" t="s">
        <v>6225</v>
      </c>
      <c r="B3553" s="13" t="s">
        <v>6999</v>
      </c>
      <c r="C3553" s="13" t="s">
        <v>7002</v>
      </c>
      <c r="D3553" s="13">
        <v>2</v>
      </c>
      <c r="E3553" s="13" t="s">
        <v>7003</v>
      </c>
      <c r="F3553" s="13" t="s">
        <v>11</v>
      </c>
    </row>
    <row r="3554" ht="18" customHeight="1" spans="1:6">
      <c r="A3554" s="13" t="s">
        <v>6225</v>
      </c>
      <c r="B3554" s="13" t="s">
        <v>6999</v>
      </c>
      <c r="C3554" s="13" t="s">
        <v>6590</v>
      </c>
      <c r="D3554" s="13">
        <v>2</v>
      </c>
      <c r="E3554" s="13" t="s">
        <v>7004</v>
      </c>
      <c r="F3554" s="13" t="s">
        <v>11</v>
      </c>
    </row>
    <row r="3555" ht="18" customHeight="1" spans="1:6">
      <c r="A3555" s="13" t="s">
        <v>6225</v>
      </c>
      <c r="B3555" s="13" t="s">
        <v>6999</v>
      </c>
      <c r="C3555" s="13" t="s">
        <v>7005</v>
      </c>
      <c r="D3555" s="13">
        <v>2</v>
      </c>
      <c r="E3555" s="13" t="s">
        <v>7006</v>
      </c>
      <c r="F3555" s="13" t="s">
        <v>11</v>
      </c>
    </row>
    <row r="3556" ht="18" customHeight="1" spans="1:6">
      <c r="A3556" s="13" t="s">
        <v>6225</v>
      </c>
      <c r="B3556" s="13" t="s">
        <v>6999</v>
      </c>
      <c r="C3556" s="13" t="s">
        <v>7007</v>
      </c>
      <c r="D3556" s="13">
        <v>2</v>
      </c>
      <c r="E3556" s="13" t="s">
        <v>7008</v>
      </c>
      <c r="F3556" s="13" t="s">
        <v>11</v>
      </c>
    </row>
    <row r="3557" ht="18" customHeight="1" spans="1:6">
      <c r="A3557" s="13" t="s">
        <v>6225</v>
      </c>
      <c r="B3557" s="13" t="s">
        <v>6999</v>
      </c>
      <c r="C3557" s="13" t="s">
        <v>7009</v>
      </c>
      <c r="D3557" s="13">
        <v>2</v>
      </c>
      <c r="E3557" s="13" t="s">
        <v>7010</v>
      </c>
      <c r="F3557" s="13" t="s">
        <v>11</v>
      </c>
    </row>
    <row r="3558" ht="18" customHeight="1" spans="1:6">
      <c r="A3558" s="13" t="s">
        <v>6225</v>
      </c>
      <c r="B3558" s="13" t="s">
        <v>6999</v>
      </c>
      <c r="C3558" s="13" t="s">
        <v>7011</v>
      </c>
      <c r="D3558" s="13">
        <v>2</v>
      </c>
      <c r="E3558" s="13" t="s">
        <v>7012</v>
      </c>
      <c r="F3558" s="13" t="s">
        <v>11</v>
      </c>
    </row>
    <row r="3559" ht="18" customHeight="1" spans="1:6">
      <c r="A3559" s="13" t="s">
        <v>6225</v>
      </c>
      <c r="B3559" s="13" t="s">
        <v>6999</v>
      </c>
      <c r="C3559" s="13" t="s">
        <v>7013</v>
      </c>
      <c r="D3559" s="13">
        <v>2</v>
      </c>
      <c r="E3559" s="179" t="s">
        <v>7014</v>
      </c>
      <c r="F3559" s="13" t="s">
        <v>11</v>
      </c>
    </row>
    <row r="3560" ht="18" customHeight="1" spans="1:6">
      <c r="A3560" s="13" t="s">
        <v>6225</v>
      </c>
      <c r="B3560" s="13" t="s">
        <v>6999</v>
      </c>
      <c r="C3560" s="13" t="s">
        <v>7015</v>
      </c>
      <c r="D3560" s="13">
        <v>2</v>
      </c>
      <c r="E3560" s="13" t="s">
        <v>7016</v>
      </c>
      <c r="F3560" s="13" t="s">
        <v>11</v>
      </c>
    </row>
    <row r="3561" ht="18" customHeight="1" spans="1:6">
      <c r="A3561" s="13" t="s">
        <v>6225</v>
      </c>
      <c r="B3561" s="13" t="s">
        <v>6999</v>
      </c>
      <c r="C3561" s="13" t="s">
        <v>7017</v>
      </c>
      <c r="D3561" s="13">
        <v>2</v>
      </c>
      <c r="E3561" s="13" t="s">
        <v>7018</v>
      </c>
      <c r="F3561" s="13" t="s">
        <v>11</v>
      </c>
    </row>
    <row r="3562" ht="18" customHeight="1" spans="1:6">
      <c r="A3562" s="13" t="s">
        <v>6225</v>
      </c>
      <c r="B3562" s="13" t="s">
        <v>6999</v>
      </c>
      <c r="C3562" s="13" t="s">
        <v>7019</v>
      </c>
      <c r="D3562" s="13">
        <v>2</v>
      </c>
      <c r="E3562" s="13" t="s">
        <v>7020</v>
      </c>
      <c r="F3562" s="13" t="s">
        <v>11</v>
      </c>
    </row>
    <row r="3563" ht="18" customHeight="1" spans="1:6">
      <c r="A3563" s="13" t="s">
        <v>6225</v>
      </c>
      <c r="B3563" s="13" t="s">
        <v>6999</v>
      </c>
      <c r="C3563" s="13" t="s">
        <v>7021</v>
      </c>
      <c r="D3563" s="13">
        <v>2</v>
      </c>
      <c r="E3563" s="13" t="s">
        <v>7022</v>
      </c>
      <c r="F3563" s="13" t="s">
        <v>11</v>
      </c>
    </row>
    <row r="3564" ht="18" customHeight="1" spans="1:6">
      <c r="A3564" s="13" t="s">
        <v>6225</v>
      </c>
      <c r="B3564" s="13" t="s">
        <v>6999</v>
      </c>
      <c r="C3564" s="13" t="s">
        <v>7023</v>
      </c>
      <c r="D3564" s="13">
        <v>2</v>
      </c>
      <c r="E3564" s="13" t="s">
        <v>7024</v>
      </c>
      <c r="F3564" s="13" t="s">
        <v>11</v>
      </c>
    </row>
    <row r="3565" ht="18" customHeight="1" spans="1:6">
      <c r="A3565" s="13" t="s">
        <v>6225</v>
      </c>
      <c r="B3565" s="13" t="s">
        <v>6999</v>
      </c>
      <c r="C3565" s="13" t="s">
        <v>7025</v>
      </c>
      <c r="D3565" s="13">
        <v>2</v>
      </c>
      <c r="E3565" s="13" t="s">
        <v>7026</v>
      </c>
      <c r="F3565" s="13" t="s">
        <v>11</v>
      </c>
    </row>
    <row r="3566" ht="18" customHeight="1" spans="1:6">
      <c r="A3566" s="13" t="s">
        <v>6225</v>
      </c>
      <c r="B3566" s="13" t="s">
        <v>6999</v>
      </c>
      <c r="C3566" s="13" t="s">
        <v>7027</v>
      </c>
      <c r="D3566" s="13">
        <v>2</v>
      </c>
      <c r="E3566" s="13" t="s">
        <v>7028</v>
      </c>
      <c r="F3566" s="13" t="s">
        <v>11</v>
      </c>
    </row>
    <row r="3567" ht="18" customHeight="1" spans="1:6">
      <c r="A3567" s="13" t="s">
        <v>6225</v>
      </c>
      <c r="B3567" s="13" t="s">
        <v>6999</v>
      </c>
      <c r="C3567" s="13" t="s">
        <v>7029</v>
      </c>
      <c r="D3567" s="13">
        <v>3</v>
      </c>
      <c r="E3567" s="13" t="s">
        <v>7030</v>
      </c>
      <c r="F3567" s="13" t="s">
        <v>11</v>
      </c>
    </row>
    <row r="3568" ht="18" customHeight="1" spans="1:6">
      <c r="A3568" s="13" t="s">
        <v>6225</v>
      </c>
      <c r="B3568" s="13" t="s">
        <v>6999</v>
      </c>
      <c r="C3568" s="13" t="s">
        <v>7031</v>
      </c>
      <c r="D3568" s="13">
        <v>3</v>
      </c>
      <c r="E3568" s="13" t="s">
        <v>7032</v>
      </c>
      <c r="F3568" s="13" t="s">
        <v>11</v>
      </c>
    </row>
    <row r="3569" ht="18" customHeight="1" spans="1:6">
      <c r="A3569" s="13" t="s">
        <v>6225</v>
      </c>
      <c r="B3569" s="13" t="s">
        <v>6999</v>
      </c>
      <c r="C3569" s="13" t="s">
        <v>7033</v>
      </c>
      <c r="D3569" s="13">
        <v>3</v>
      </c>
      <c r="E3569" s="179" t="s">
        <v>7034</v>
      </c>
      <c r="F3569" s="13" t="s">
        <v>11</v>
      </c>
    </row>
    <row r="3570" ht="18" customHeight="1" spans="1:6">
      <c r="A3570" s="13" t="s">
        <v>6225</v>
      </c>
      <c r="B3570" s="13" t="s">
        <v>6999</v>
      </c>
      <c r="C3570" s="13" t="s">
        <v>7035</v>
      </c>
      <c r="D3570" s="13">
        <v>3</v>
      </c>
      <c r="E3570" s="13" t="s">
        <v>7036</v>
      </c>
      <c r="F3570" s="13" t="s">
        <v>11</v>
      </c>
    </row>
    <row r="3571" ht="18" customHeight="1" spans="1:6">
      <c r="A3571" s="13" t="s">
        <v>6225</v>
      </c>
      <c r="B3571" s="13" t="s">
        <v>6999</v>
      </c>
      <c r="C3571" s="13" t="s">
        <v>7037</v>
      </c>
      <c r="D3571" s="13">
        <v>3</v>
      </c>
      <c r="E3571" s="13" t="s">
        <v>7038</v>
      </c>
      <c r="F3571" s="13" t="s">
        <v>11</v>
      </c>
    </row>
    <row r="3572" ht="18" customHeight="1" spans="1:6">
      <c r="A3572" s="13" t="s">
        <v>6225</v>
      </c>
      <c r="B3572" s="13" t="s">
        <v>6999</v>
      </c>
      <c r="C3572" s="13" t="s">
        <v>7039</v>
      </c>
      <c r="D3572" s="13">
        <v>3</v>
      </c>
      <c r="E3572" s="13" t="s">
        <v>7040</v>
      </c>
      <c r="F3572" s="13" t="s">
        <v>11</v>
      </c>
    </row>
    <row r="3573" ht="18" customHeight="1" spans="1:6">
      <c r="A3573" s="13" t="s">
        <v>6225</v>
      </c>
      <c r="B3573" s="13" t="s">
        <v>6999</v>
      </c>
      <c r="C3573" s="13" t="s">
        <v>7041</v>
      </c>
      <c r="D3573" s="13">
        <v>3</v>
      </c>
      <c r="E3573" s="13" t="s">
        <v>7042</v>
      </c>
      <c r="F3573" s="13" t="s">
        <v>11</v>
      </c>
    </row>
    <row r="3574" ht="18" customHeight="1" spans="1:6">
      <c r="A3574" s="13" t="s">
        <v>6225</v>
      </c>
      <c r="B3574" s="13" t="s">
        <v>6999</v>
      </c>
      <c r="C3574" s="13" t="s">
        <v>7043</v>
      </c>
      <c r="D3574" s="13">
        <v>3</v>
      </c>
      <c r="E3574" s="13" t="s">
        <v>7044</v>
      </c>
      <c r="F3574" s="13" t="s">
        <v>11</v>
      </c>
    </row>
    <row r="3575" ht="18" customHeight="1" spans="1:6">
      <c r="A3575" s="13" t="s">
        <v>6225</v>
      </c>
      <c r="B3575" s="13" t="s">
        <v>6999</v>
      </c>
      <c r="C3575" s="13" t="s">
        <v>7045</v>
      </c>
      <c r="D3575" s="13">
        <v>3</v>
      </c>
      <c r="E3575" s="13" t="s">
        <v>7046</v>
      </c>
      <c r="F3575" s="13" t="s">
        <v>11</v>
      </c>
    </row>
    <row r="3576" ht="18" customHeight="1" spans="1:6">
      <c r="A3576" s="13" t="s">
        <v>6225</v>
      </c>
      <c r="B3576" s="13" t="s">
        <v>6999</v>
      </c>
      <c r="C3576" s="13" t="s">
        <v>7047</v>
      </c>
      <c r="D3576" s="13">
        <v>3</v>
      </c>
      <c r="E3576" s="13" t="s">
        <v>7048</v>
      </c>
      <c r="F3576" s="13" t="s">
        <v>11</v>
      </c>
    </row>
    <row r="3577" ht="18" customHeight="1" spans="1:6">
      <c r="A3577" s="13" t="s">
        <v>6225</v>
      </c>
      <c r="B3577" s="13" t="s">
        <v>6999</v>
      </c>
      <c r="C3577" s="13" t="s">
        <v>7049</v>
      </c>
      <c r="D3577" s="13">
        <v>4</v>
      </c>
      <c r="E3577" s="13" t="s">
        <v>7050</v>
      </c>
      <c r="F3577" s="13" t="s">
        <v>11</v>
      </c>
    </row>
    <row r="3578" ht="18" customHeight="1" spans="1:6">
      <c r="A3578" s="13" t="s">
        <v>6225</v>
      </c>
      <c r="B3578" s="13" t="s">
        <v>6999</v>
      </c>
      <c r="C3578" s="13" t="s">
        <v>7051</v>
      </c>
      <c r="D3578" s="13">
        <v>4</v>
      </c>
      <c r="E3578" s="13" t="s">
        <v>7052</v>
      </c>
      <c r="F3578" s="13" t="s">
        <v>11</v>
      </c>
    </row>
    <row r="3579" ht="18" customHeight="1" spans="1:6">
      <c r="A3579" s="13" t="s">
        <v>6225</v>
      </c>
      <c r="B3579" s="13" t="s">
        <v>6999</v>
      </c>
      <c r="C3579" s="13" t="s">
        <v>7053</v>
      </c>
      <c r="D3579" s="13">
        <v>4</v>
      </c>
      <c r="E3579" s="13" t="s">
        <v>7054</v>
      </c>
      <c r="F3579" s="13" t="s">
        <v>11</v>
      </c>
    </row>
    <row r="3580" ht="18" customHeight="1" spans="1:6">
      <c r="A3580" s="13" t="s">
        <v>6225</v>
      </c>
      <c r="B3580" s="13" t="s">
        <v>6999</v>
      </c>
      <c r="C3580" s="13" t="s">
        <v>7055</v>
      </c>
      <c r="D3580" s="13">
        <v>4</v>
      </c>
      <c r="E3580" s="13" t="s">
        <v>7056</v>
      </c>
      <c r="F3580" s="13" t="s">
        <v>11</v>
      </c>
    </row>
    <row r="3581" ht="18" customHeight="1" spans="1:6">
      <c r="A3581" s="13" t="s">
        <v>6225</v>
      </c>
      <c r="B3581" s="13" t="s">
        <v>6999</v>
      </c>
      <c r="C3581" s="13" t="s">
        <v>7057</v>
      </c>
      <c r="D3581" s="13">
        <v>4</v>
      </c>
      <c r="E3581" s="13" t="s">
        <v>7058</v>
      </c>
      <c r="F3581" s="13" t="s">
        <v>11</v>
      </c>
    </row>
    <row r="3582" ht="18" customHeight="1" spans="1:6">
      <c r="A3582" s="13" t="s">
        <v>6225</v>
      </c>
      <c r="B3582" s="13" t="s">
        <v>6999</v>
      </c>
      <c r="C3582" s="13" t="s">
        <v>7059</v>
      </c>
      <c r="D3582" s="13">
        <v>4</v>
      </c>
      <c r="E3582" s="13" t="s">
        <v>7060</v>
      </c>
      <c r="F3582" s="13" t="s">
        <v>11</v>
      </c>
    </row>
    <row r="3583" ht="18" customHeight="1" spans="1:6">
      <c r="A3583" s="13" t="s">
        <v>6225</v>
      </c>
      <c r="B3583" s="13" t="s">
        <v>6999</v>
      </c>
      <c r="C3583" s="13" t="s">
        <v>7061</v>
      </c>
      <c r="D3583" s="13">
        <v>4</v>
      </c>
      <c r="E3583" s="13" t="s">
        <v>7062</v>
      </c>
      <c r="F3583" s="13" t="s">
        <v>11</v>
      </c>
    </row>
    <row r="3584" ht="18" customHeight="1" spans="1:6">
      <c r="A3584" s="13" t="s">
        <v>6225</v>
      </c>
      <c r="B3584" s="13" t="s">
        <v>6999</v>
      </c>
      <c r="C3584" s="13" t="s">
        <v>7063</v>
      </c>
      <c r="D3584" s="13">
        <v>4</v>
      </c>
      <c r="E3584" s="13" t="s">
        <v>7064</v>
      </c>
      <c r="F3584" s="13" t="s">
        <v>11</v>
      </c>
    </row>
    <row r="3585" ht="18" customHeight="1" spans="1:6">
      <c r="A3585" s="13" t="s">
        <v>6225</v>
      </c>
      <c r="B3585" s="13" t="s">
        <v>6999</v>
      </c>
      <c r="C3585" s="13" t="s">
        <v>7065</v>
      </c>
      <c r="D3585" s="13">
        <v>4</v>
      </c>
      <c r="E3585" s="13" t="s">
        <v>7066</v>
      </c>
      <c r="F3585" s="13" t="s">
        <v>11</v>
      </c>
    </row>
    <row r="3586" ht="18" customHeight="1" spans="1:6">
      <c r="A3586" s="13" t="s">
        <v>6225</v>
      </c>
      <c r="B3586" s="13" t="s">
        <v>6999</v>
      </c>
      <c r="C3586" s="13" t="s">
        <v>7067</v>
      </c>
      <c r="D3586" s="13">
        <v>5</v>
      </c>
      <c r="E3586" s="13" t="s">
        <v>7068</v>
      </c>
      <c r="F3586" s="13" t="s">
        <v>11</v>
      </c>
    </row>
    <row r="3587" ht="18" customHeight="1" spans="1:6">
      <c r="A3587" s="13" t="s">
        <v>6225</v>
      </c>
      <c r="B3587" s="13" t="s">
        <v>6999</v>
      </c>
      <c r="C3587" s="13" t="s">
        <v>7069</v>
      </c>
      <c r="D3587" s="13">
        <v>2</v>
      </c>
      <c r="E3587" s="13" t="s">
        <v>7070</v>
      </c>
      <c r="F3587" s="13" t="s">
        <v>11</v>
      </c>
    </row>
    <row r="3588" ht="18" customHeight="1" spans="1:6">
      <c r="A3588" s="13" t="s">
        <v>6225</v>
      </c>
      <c r="B3588" s="13" t="s">
        <v>6999</v>
      </c>
      <c r="C3588" s="13" t="s">
        <v>7071</v>
      </c>
      <c r="D3588" s="13">
        <v>4</v>
      </c>
      <c r="E3588" s="13" t="s">
        <v>7072</v>
      </c>
      <c r="F3588" s="13" t="s">
        <v>11</v>
      </c>
    </row>
    <row r="3589" ht="18" customHeight="1" spans="1:6">
      <c r="A3589" s="13" t="s">
        <v>6225</v>
      </c>
      <c r="B3589" s="13" t="s">
        <v>6999</v>
      </c>
      <c r="C3589" s="13" t="s">
        <v>7073</v>
      </c>
      <c r="D3589" s="13">
        <v>4</v>
      </c>
      <c r="E3589" s="13" t="s">
        <v>7074</v>
      </c>
      <c r="F3589" s="13" t="s">
        <v>11</v>
      </c>
    </row>
    <row r="3590" ht="18" customHeight="1" spans="1:6">
      <c r="A3590" s="13" t="s">
        <v>6225</v>
      </c>
      <c r="B3590" s="13" t="s">
        <v>6999</v>
      </c>
      <c r="C3590" s="13" t="s">
        <v>7075</v>
      </c>
      <c r="D3590" s="13">
        <v>2</v>
      </c>
      <c r="E3590" s="13" t="s">
        <v>7076</v>
      </c>
      <c r="F3590" s="13" t="s">
        <v>11</v>
      </c>
    </row>
    <row r="3591" ht="18" customHeight="1" spans="1:6">
      <c r="A3591" s="13" t="s">
        <v>6225</v>
      </c>
      <c r="B3591" s="13" t="s">
        <v>6999</v>
      </c>
      <c r="C3591" s="13" t="s">
        <v>7077</v>
      </c>
      <c r="D3591" s="13">
        <v>2</v>
      </c>
      <c r="E3591" s="13" t="s">
        <v>7078</v>
      </c>
      <c r="F3591" s="13" t="s">
        <v>11</v>
      </c>
    </row>
    <row r="3592" ht="18" customHeight="1" spans="1:6">
      <c r="A3592" s="13" t="s">
        <v>6225</v>
      </c>
      <c r="B3592" s="13" t="s">
        <v>6999</v>
      </c>
      <c r="C3592" s="13" t="s">
        <v>7079</v>
      </c>
      <c r="D3592" s="13">
        <v>3</v>
      </c>
      <c r="E3592" s="13" t="s">
        <v>7080</v>
      </c>
      <c r="F3592" s="13" t="s">
        <v>11</v>
      </c>
    </row>
    <row r="3593" ht="18" customHeight="1" spans="1:6">
      <c r="A3593" s="13" t="s">
        <v>6225</v>
      </c>
      <c r="B3593" s="13" t="s">
        <v>6999</v>
      </c>
      <c r="C3593" s="13" t="s">
        <v>7081</v>
      </c>
      <c r="D3593" s="13">
        <v>3</v>
      </c>
      <c r="E3593" s="13" t="s">
        <v>7082</v>
      </c>
      <c r="F3593" s="13" t="s">
        <v>11</v>
      </c>
    </row>
    <row r="3594" ht="18" customHeight="1" spans="1:6">
      <c r="A3594" s="13" t="s">
        <v>6225</v>
      </c>
      <c r="B3594" s="13" t="s">
        <v>6999</v>
      </c>
      <c r="C3594" s="13" t="s">
        <v>7083</v>
      </c>
      <c r="D3594" s="13">
        <v>2</v>
      </c>
      <c r="E3594" s="13" t="s">
        <v>7084</v>
      </c>
      <c r="F3594" s="13" t="s">
        <v>11</v>
      </c>
    </row>
    <row r="3595" ht="18" customHeight="1" spans="1:6">
      <c r="A3595" s="13" t="s">
        <v>6225</v>
      </c>
      <c r="B3595" s="13" t="s">
        <v>6999</v>
      </c>
      <c r="C3595" s="13" t="s">
        <v>7085</v>
      </c>
      <c r="D3595" s="13">
        <v>5</v>
      </c>
      <c r="E3595" s="13" t="s">
        <v>7086</v>
      </c>
      <c r="F3595" s="13" t="s">
        <v>11</v>
      </c>
    </row>
    <row r="3596" ht="18" customHeight="1" spans="1:6">
      <c r="A3596" s="13" t="s">
        <v>6225</v>
      </c>
      <c r="B3596" s="13" t="s">
        <v>6999</v>
      </c>
      <c r="C3596" s="13" t="s">
        <v>7087</v>
      </c>
      <c r="D3596" s="13">
        <v>1</v>
      </c>
      <c r="E3596" s="13" t="s">
        <v>7088</v>
      </c>
      <c r="F3596" s="13" t="s">
        <v>11</v>
      </c>
    </row>
    <row r="3597" ht="18" customHeight="1" spans="1:6">
      <c r="A3597" s="13" t="s">
        <v>6225</v>
      </c>
      <c r="B3597" s="13" t="s">
        <v>6999</v>
      </c>
      <c r="C3597" s="13" t="s">
        <v>7089</v>
      </c>
      <c r="D3597" s="13">
        <v>2</v>
      </c>
      <c r="E3597" s="13" t="s">
        <v>7090</v>
      </c>
      <c r="F3597" s="13" t="s">
        <v>11</v>
      </c>
    </row>
    <row r="3598" ht="18" customHeight="1" spans="1:6">
      <c r="A3598" s="13" t="s">
        <v>6225</v>
      </c>
      <c r="B3598" s="13" t="s">
        <v>6999</v>
      </c>
      <c r="C3598" s="13" t="s">
        <v>6782</v>
      </c>
      <c r="D3598" s="13">
        <v>3</v>
      </c>
      <c r="E3598" s="13" t="s">
        <v>7091</v>
      </c>
      <c r="F3598" s="13" t="s">
        <v>11</v>
      </c>
    </row>
    <row r="3599" ht="18" customHeight="1" spans="1:6">
      <c r="A3599" s="13" t="s">
        <v>6225</v>
      </c>
      <c r="B3599" s="13" t="s">
        <v>6999</v>
      </c>
      <c r="C3599" s="13" t="s">
        <v>7019</v>
      </c>
      <c r="D3599" s="13">
        <v>4</v>
      </c>
      <c r="E3599" s="13" t="s">
        <v>7020</v>
      </c>
      <c r="F3599" s="13" t="s">
        <v>11</v>
      </c>
    </row>
    <row r="3600" ht="18" customHeight="1" spans="1:6">
      <c r="A3600" s="13" t="s">
        <v>6225</v>
      </c>
      <c r="B3600" s="13" t="s">
        <v>6999</v>
      </c>
      <c r="C3600" s="13" t="s">
        <v>7092</v>
      </c>
      <c r="D3600" s="13">
        <v>2</v>
      </c>
      <c r="E3600" s="13" t="s">
        <v>7093</v>
      </c>
      <c r="F3600" s="13" t="s">
        <v>11</v>
      </c>
    </row>
    <row r="3601" ht="18" customHeight="1" spans="1:6">
      <c r="A3601" s="13" t="s">
        <v>6225</v>
      </c>
      <c r="B3601" s="13" t="s">
        <v>6999</v>
      </c>
      <c r="C3601" s="13" t="s">
        <v>7094</v>
      </c>
      <c r="D3601" s="13">
        <v>3</v>
      </c>
      <c r="E3601" s="13" t="s">
        <v>7095</v>
      </c>
      <c r="F3601" s="13" t="s">
        <v>11</v>
      </c>
    </row>
    <row r="3602" ht="18" customHeight="1" spans="1:6">
      <c r="A3602" s="13" t="s">
        <v>6225</v>
      </c>
      <c r="B3602" s="13" t="s">
        <v>6999</v>
      </c>
      <c r="C3602" s="13" t="s">
        <v>7096</v>
      </c>
      <c r="D3602" s="13">
        <v>4</v>
      </c>
      <c r="E3602" s="13" t="s">
        <v>7097</v>
      </c>
      <c r="F3602" s="13" t="s">
        <v>11</v>
      </c>
    </row>
    <row r="3603" ht="18" customHeight="1" spans="1:6">
      <c r="A3603" s="13" t="s">
        <v>6225</v>
      </c>
      <c r="B3603" s="13" t="s">
        <v>6999</v>
      </c>
      <c r="C3603" s="13" t="s">
        <v>7098</v>
      </c>
      <c r="D3603" s="13">
        <v>5</v>
      </c>
      <c r="E3603" s="13" t="s">
        <v>7099</v>
      </c>
      <c r="F3603" s="13" t="s">
        <v>11</v>
      </c>
    </row>
    <row r="3604" ht="18" customHeight="1" spans="1:6">
      <c r="A3604" s="13" t="s">
        <v>6225</v>
      </c>
      <c r="B3604" s="13" t="s">
        <v>6999</v>
      </c>
      <c r="C3604" s="13" t="s">
        <v>7100</v>
      </c>
      <c r="D3604" s="13">
        <v>3</v>
      </c>
      <c r="E3604" s="13" t="s">
        <v>7101</v>
      </c>
      <c r="F3604" s="13" t="s">
        <v>11</v>
      </c>
    </row>
    <row r="3605" ht="18" customHeight="1" spans="1:6">
      <c r="A3605" s="13" t="s">
        <v>6225</v>
      </c>
      <c r="B3605" s="13" t="s">
        <v>6999</v>
      </c>
      <c r="C3605" s="13" t="s">
        <v>7102</v>
      </c>
      <c r="D3605" s="13">
        <v>3</v>
      </c>
      <c r="E3605" s="13" t="s">
        <v>7103</v>
      </c>
      <c r="F3605" s="13" t="s">
        <v>11</v>
      </c>
    </row>
    <row r="3606" ht="18" customHeight="1" spans="1:6">
      <c r="A3606" s="13" t="s">
        <v>6225</v>
      </c>
      <c r="B3606" s="13" t="s">
        <v>6999</v>
      </c>
      <c r="C3606" s="13" t="s">
        <v>7104</v>
      </c>
      <c r="D3606" s="13">
        <v>2</v>
      </c>
      <c r="E3606" s="13" t="s">
        <v>7105</v>
      </c>
      <c r="F3606" s="13" t="s">
        <v>11</v>
      </c>
    </row>
    <row r="3607" ht="18" customHeight="1" spans="1:6">
      <c r="A3607" s="13" t="s">
        <v>6225</v>
      </c>
      <c r="B3607" s="13" t="s">
        <v>7106</v>
      </c>
      <c r="C3607" s="13" t="s">
        <v>7107</v>
      </c>
      <c r="D3607" s="13">
        <v>2</v>
      </c>
      <c r="E3607" s="179" t="s">
        <v>7108</v>
      </c>
      <c r="F3607" s="13" t="s">
        <v>11</v>
      </c>
    </row>
    <row r="3608" ht="18" customHeight="1" spans="1:6">
      <c r="A3608" s="13" t="s">
        <v>6225</v>
      </c>
      <c r="B3608" s="13" t="s">
        <v>7106</v>
      </c>
      <c r="C3608" s="13" t="s">
        <v>7109</v>
      </c>
      <c r="D3608" s="13">
        <v>3</v>
      </c>
      <c r="E3608" s="179" t="s">
        <v>7110</v>
      </c>
      <c r="F3608" s="13" t="s">
        <v>11</v>
      </c>
    </row>
    <row r="3609" ht="18" customHeight="1" spans="1:6">
      <c r="A3609" s="13" t="s">
        <v>6225</v>
      </c>
      <c r="B3609" s="13" t="s">
        <v>7106</v>
      </c>
      <c r="C3609" s="13" t="s">
        <v>7111</v>
      </c>
      <c r="D3609" s="13">
        <v>3</v>
      </c>
      <c r="E3609" s="13" t="s">
        <v>7112</v>
      </c>
      <c r="F3609" s="13" t="s">
        <v>11</v>
      </c>
    </row>
    <row r="3610" ht="18" customHeight="1" spans="1:6">
      <c r="A3610" s="13" t="s">
        <v>6225</v>
      </c>
      <c r="B3610" s="13" t="s">
        <v>7106</v>
      </c>
      <c r="C3610" s="13" t="s">
        <v>7113</v>
      </c>
      <c r="D3610" s="13">
        <v>3</v>
      </c>
      <c r="E3610" s="179" t="s">
        <v>7114</v>
      </c>
      <c r="F3610" s="13" t="s">
        <v>11</v>
      </c>
    </row>
    <row r="3611" ht="18" customHeight="1" spans="1:6">
      <c r="A3611" s="13" t="s">
        <v>6225</v>
      </c>
      <c r="B3611" s="13" t="s">
        <v>7106</v>
      </c>
      <c r="C3611" s="13" t="s">
        <v>7115</v>
      </c>
      <c r="D3611" s="13">
        <v>2</v>
      </c>
      <c r="E3611" s="179" t="s">
        <v>7116</v>
      </c>
      <c r="F3611" s="13" t="s">
        <v>11</v>
      </c>
    </row>
    <row r="3612" ht="18" customHeight="1" spans="1:6">
      <c r="A3612" s="13" t="s">
        <v>6225</v>
      </c>
      <c r="B3612" s="13" t="s">
        <v>7106</v>
      </c>
      <c r="C3612" s="13" t="s">
        <v>7117</v>
      </c>
      <c r="D3612" s="13">
        <v>2</v>
      </c>
      <c r="E3612" s="179" t="s">
        <v>7118</v>
      </c>
      <c r="F3612" s="13" t="s">
        <v>11</v>
      </c>
    </row>
    <row r="3613" ht="18" customHeight="1" spans="1:6">
      <c r="A3613" s="13" t="s">
        <v>6225</v>
      </c>
      <c r="B3613" s="13" t="s">
        <v>7106</v>
      </c>
      <c r="C3613" s="13" t="s">
        <v>7119</v>
      </c>
      <c r="D3613" s="13">
        <v>1</v>
      </c>
      <c r="E3613" s="13" t="s">
        <v>7120</v>
      </c>
      <c r="F3613" s="13" t="s">
        <v>11</v>
      </c>
    </row>
    <row r="3614" ht="18" customHeight="1" spans="1:6">
      <c r="A3614" s="13" t="s">
        <v>6225</v>
      </c>
      <c r="B3614" s="13" t="s">
        <v>7106</v>
      </c>
      <c r="C3614" s="13" t="s">
        <v>7121</v>
      </c>
      <c r="D3614" s="13">
        <v>1</v>
      </c>
      <c r="E3614" s="13" t="s">
        <v>7122</v>
      </c>
      <c r="F3614" s="13" t="s">
        <v>11</v>
      </c>
    </row>
    <row r="3615" ht="18" customHeight="1" spans="1:6">
      <c r="A3615" s="13" t="s">
        <v>6225</v>
      </c>
      <c r="B3615" s="13" t="s">
        <v>7106</v>
      </c>
      <c r="C3615" s="13" t="s">
        <v>7123</v>
      </c>
      <c r="D3615" s="13">
        <v>1</v>
      </c>
      <c r="E3615" s="13" t="s">
        <v>7124</v>
      </c>
      <c r="F3615" s="13" t="s">
        <v>11</v>
      </c>
    </row>
    <row r="3616" ht="18" customHeight="1" spans="1:6">
      <c r="A3616" s="13" t="s">
        <v>6225</v>
      </c>
      <c r="B3616" s="13" t="s">
        <v>7106</v>
      </c>
      <c r="C3616" s="13" t="s">
        <v>7125</v>
      </c>
      <c r="D3616" s="13">
        <v>1</v>
      </c>
      <c r="E3616" s="13" t="s">
        <v>7126</v>
      </c>
      <c r="F3616" s="13" t="s">
        <v>11</v>
      </c>
    </row>
    <row r="3617" ht="18" customHeight="1" spans="1:6">
      <c r="A3617" s="13" t="s">
        <v>6225</v>
      </c>
      <c r="B3617" s="13" t="s">
        <v>7106</v>
      </c>
      <c r="C3617" s="13" t="s">
        <v>7127</v>
      </c>
      <c r="D3617" s="13">
        <v>1</v>
      </c>
      <c r="E3617" s="13" t="s">
        <v>7128</v>
      </c>
      <c r="F3617" s="13" t="s">
        <v>11</v>
      </c>
    </row>
    <row r="3618" ht="18" customHeight="1" spans="1:6">
      <c r="A3618" s="13" t="s">
        <v>6225</v>
      </c>
      <c r="B3618" s="13" t="s">
        <v>7106</v>
      </c>
      <c r="C3618" s="13" t="s">
        <v>7129</v>
      </c>
      <c r="D3618" s="13">
        <v>1</v>
      </c>
      <c r="E3618" s="13" t="s">
        <v>7130</v>
      </c>
      <c r="F3618" s="13" t="s">
        <v>11</v>
      </c>
    </row>
    <row r="3619" ht="18" customHeight="1" spans="1:6">
      <c r="A3619" s="13" t="s">
        <v>6225</v>
      </c>
      <c r="B3619" s="13" t="s">
        <v>7106</v>
      </c>
      <c r="C3619" s="13" t="s">
        <v>7131</v>
      </c>
      <c r="D3619" s="13">
        <v>1</v>
      </c>
      <c r="E3619" s="13" t="s">
        <v>7132</v>
      </c>
      <c r="F3619" s="13" t="s">
        <v>11</v>
      </c>
    </row>
    <row r="3620" ht="18" customHeight="1" spans="1:6">
      <c r="A3620" s="13" t="s">
        <v>6225</v>
      </c>
      <c r="B3620" s="13" t="s">
        <v>7106</v>
      </c>
      <c r="C3620" s="13" t="s">
        <v>7133</v>
      </c>
      <c r="D3620" s="13">
        <v>1</v>
      </c>
      <c r="E3620" s="13" t="s">
        <v>7134</v>
      </c>
      <c r="F3620" s="13" t="s">
        <v>11</v>
      </c>
    </row>
    <row r="3621" ht="18" customHeight="1" spans="1:6">
      <c r="A3621" s="13" t="s">
        <v>6225</v>
      </c>
      <c r="B3621" s="13" t="s">
        <v>7106</v>
      </c>
      <c r="C3621" s="13" t="s">
        <v>7135</v>
      </c>
      <c r="D3621" s="13">
        <v>1</v>
      </c>
      <c r="E3621" s="13" t="s">
        <v>7136</v>
      </c>
      <c r="F3621" s="13" t="s">
        <v>11</v>
      </c>
    </row>
    <row r="3622" ht="18" customHeight="1" spans="1:6">
      <c r="A3622" s="13" t="s">
        <v>6225</v>
      </c>
      <c r="B3622" s="13" t="s">
        <v>7106</v>
      </c>
      <c r="C3622" s="13" t="s">
        <v>7137</v>
      </c>
      <c r="D3622" s="13">
        <v>1</v>
      </c>
      <c r="E3622" s="13" t="s">
        <v>7138</v>
      </c>
      <c r="F3622" s="13" t="s">
        <v>11</v>
      </c>
    </row>
    <row r="3623" ht="18" customHeight="1" spans="1:6">
      <c r="A3623" s="13" t="s">
        <v>6225</v>
      </c>
      <c r="B3623" s="13" t="s">
        <v>7106</v>
      </c>
      <c r="C3623" s="13" t="s">
        <v>7139</v>
      </c>
      <c r="D3623" s="13">
        <v>1</v>
      </c>
      <c r="E3623" s="13" t="s">
        <v>7140</v>
      </c>
      <c r="F3623" s="13" t="s">
        <v>11</v>
      </c>
    </row>
    <row r="3624" ht="18" customHeight="1" spans="1:6">
      <c r="A3624" s="13" t="s">
        <v>6225</v>
      </c>
      <c r="B3624" s="13" t="s">
        <v>7106</v>
      </c>
      <c r="C3624" s="13" t="s">
        <v>7141</v>
      </c>
      <c r="D3624" s="13">
        <v>1</v>
      </c>
      <c r="E3624" s="13" t="s">
        <v>7142</v>
      </c>
      <c r="F3624" s="13" t="s">
        <v>11</v>
      </c>
    </row>
    <row r="3625" ht="18" customHeight="1" spans="1:6">
      <c r="A3625" s="13" t="s">
        <v>6225</v>
      </c>
      <c r="B3625" s="13" t="s">
        <v>7106</v>
      </c>
      <c r="C3625" s="13" t="s">
        <v>6387</v>
      </c>
      <c r="D3625" s="13">
        <v>1</v>
      </c>
      <c r="E3625" s="13" t="s">
        <v>7143</v>
      </c>
      <c r="F3625" s="13" t="s">
        <v>11</v>
      </c>
    </row>
    <row r="3626" ht="18" customHeight="1" spans="1:6">
      <c r="A3626" s="13" t="s">
        <v>6225</v>
      </c>
      <c r="B3626" s="13" t="s">
        <v>7106</v>
      </c>
      <c r="C3626" s="13" t="s">
        <v>7144</v>
      </c>
      <c r="D3626" s="13">
        <v>1</v>
      </c>
      <c r="E3626" s="13" t="s">
        <v>7145</v>
      </c>
      <c r="F3626" s="13" t="s">
        <v>11</v>
      </c>
    </row>
    <row r="3627" ht="18" customHeight="1" spans="1:6">
      <c r="A3627" s="13" t="s">
        <v>6225</v>
      </c>
      <c r="B3627" s="13" t="s">
        <v>7106</v>
      </c>
      <c r="C3627" s="13" t="s">
        <v>7146</v>
      </c>
      <c r="D3627" s="13">
        <v>1</v>
      </c>
      <c r="E3627" s="13" t="s">
        <v>7147</v>
      </c>
      <c r="F3627" s="13" t="s">
        <v>11</v>
      </c>
    </row>
    <row r="3628" ht="18" customHeight="1" spans="1:6">
      <c r="A3628" s="13" t="s">
        <v>6225</v>
      </c>
      <c r="B3628" s="13" t="s">
        <v>7106</v>
      </c>
      <c r="C3628" s="13" t="s">
        <v>7148</v>
      </c>
      <c r="D3628" s="13">
        <v>1</v>
      </c>
      <c r="E3628" s="13" t="s">
        <v>7149</v>
      </c>
      <c r="F3628" s="13" t="s">
        <v>11</v>
      </c>
    </row>
    <row r="3629" ht="18" customHeight="1" spans="1:6">
      <c r="A3629" s="13" t="s">
        <v>6225</v>
      </c>
      <c r="B3629" s="13" t="s">
        <v>7106</v>
      </c>
      <c r="C3629" s="13" t="s">
        <v>7150</v>
      </c>
      <c r="D3629" s="13">
        <v>1</v>
      </c>
      <c r="E3629" s="13" t="s">
        <v>7151</v>
      </c>
      <c r="F3629" s="13" t="s">
        <v>11</v>
      </c>
    </row>
    <row r="3630" ht="18" customHeight="1" spans="1:6">
      <c r="A3630" s="13" t="s">
        <v>6225</v>
      </c>
      <c r="B3630" s="13" t="s">
        <v>7106</v>
      </c>
      <c r="C3630" s="13" t="s">
        <v>7152</v>
      </c>
      <c r="D3630" s="13">
        <v>1</v>
      </c>
      <c r="E3630" s="13" t="s">
        <v>7153</v>
      </c>
      <c r="F3630" s="13" t="s">
        <v>11</v>
      </c>
    </row>
    <row r="3631" ht="18" customHeight="1" spans="1:6">
      <c r="A3631" s="13" t="s">
        <v>6225</v>
      </c>
      <c r="B3631" s="13" t="s">
        <v>7106</v>
      </c>
      <c r="C3631" s="13" t="s">
        <v>7154</v>
      </c>
      <c r="D3631" s="13">
        <v>1</v>
      </c>
      <c r="E3631" s="179" t="s">
        <v>7155</v>
      </c>
      <c r="F3631" s="13" t="s">
        <v>11</v>
      </c>
    </row>
    <row r="3632" ht="18" customHeight="1" spans="1:6">
      <c r="A3632" s="13" t="s">
        <v>6225</v>
      </c>
      <c r="B3632" s="13" t="s">
        <v>7156</v>
      </c>
      <c r="C3632" s="13" t="s">
        <v>7157</v>
      </c>
      <c r="D3632" s="13">
        <v>1</v>
      </c>
      <c r="E3632" s="13" t="s">
        <v>7158</v>
      </c>
      <c r="F3632" s="13" t="s">
        <v>11</v>
      </c>
    </row>
    <row r="3633" ht="18" customHeight="1" spans="1:6">
      <c r="A3633" s="13" t="s">
        <v>6225</v>
      </c>
      <c r="B3633" s="13" t="s">
        <v>7156</v>
      </c>
      <c r="C3633" s="13" t="s">
        <v>7159</v>
      </c>
      <c r="D3633" s="13">
        <v>1</v>
      </c>
      <c r="E3633" s="13" t="s">
        <v>7160</v>
      </c>
      <c r="F3633" s="13" t="s">
        <v>11</v>
      </c>
    </row>
    <row r="3634" ht="18" customHeight="1" spans="1:6">
      <c r="A3634" s="13" t="s">
        <v>6225</v>
      </c>
      <c r="B3634" s="13" t="s">
        <v>7156</v>
      </c>
      <c r="C3634" s="13" t="s">
        <v>7161</v>
      </c>
      <c r="D3634" s="13">
        <v>1</v>
      </c>
      <c r="E3634" s="13" t="s">
        <v>7162</v>
      </c>
      <c r="F3634" s="13" t="s">
        <v>11</v>
      </c>
    </row>
    <row r="3635" ht="18" customHeight="1" spans="1:6">
      <c r="A3635" s="13" t="s">
        <v>6225</v>
      </c>
      <c r="B3635" s="13" t="s">
        <v>7156</v>
      </c>
      <c r="C3635" s="13" t="s">
        <v>7163</v>
      </c>
      <c r="D3635" s="13">
        <v>3</v>
      </c>
      <c r="E3635" s="13" t="s">
        <v>7164</v>
      </c>
      <c r="F3635" s="13" t="s">
        <v>11</v>
      </c>
    </row>
    <row r="3636" ht="18" customHeight="1" spans="1:6">
      <c r="A3636" s="13" t="s">
        <v>6225</v>
      </c>
      <c r="B3636" s="13" t="s">
        <v>7156</v>
      </c>
      <c r="C3636" s="13" t="s">
        <v>7165</v>
      </c>
      <c r="D3636" s="13">
        <v>5</v>
      </c>
      <c r="E3636" s="13" t="s">
        <v>7166</v>
      </c>
      <c r="F3636" s="13" t="s">
        <v>11</v>
      </c>
    </row>
    <row r="3637" ht="18" customHeight="1" spans="1:6">
      <c r="A3637" s="13" t="s">
        <v>6225</v>
      </c>
      <c r="B3637" s="13" t="s">
        <v>7156</v>
      </c>
      <c r="C3637" s="13" t="s">
        <v>7167</v>
      </c>
      <c r="D3637" s="13">
        <v>2</v>
      </c>
      <c r="E3637" s="13" t="s">
        <v>7168</v>
      </c>
      <c r="F3637" s="13" t="s">
        <v>11</v>
      </c>
    </row>
    <row r="3638" ht="18" customHeight="1" spans="1:6">
      <c r="A3638" s="13" t="s">
        <v>6225</v>
      </c>
      <c r="B3638" s="13" t="s">
        <v>7156</v>
      </c>
      <c r="C3638" s="13" t="s">
        <v>7169</v>
      </c>
      <c r="D3638" s="13">
        <v>3</v>
      </c>
      <c r="E3638" s="13" t="s">
        <v>7170</v>
      </c>
      <c r="F3638" s="13" t="s">
        <v>11</v>
      </c>
    </row>
    <row r="3639" ht="18" customHeight="1" spans="1:6">
      <c r="A3639" s="13" t="s">
        <v>6225</v>
      </c>
      <c r="B3639" s="13" t="s">
        <v>7156</v>
      </c>
      <c r="C3639" s="13" t="s">
        <v>7171</v>
      </c>
      <c r="D3639" s="13">
        <v>4</v>
      </c>
      <c r="E3639" s="13" t="s">
        <v>7172</v>
      </c>
      <c r="F3639" s="13" t="s">
        <v>11</v>
      </c>
    </row>
    <row r="3640" ht="18" customHeight="1" spans="1:6">
      <c r="A3640" s="13" t="s">
        <v>6225</v>
      </c>
      <c r="B3640" s="13" t="s">
        <v>7156</v>
      </c>
      <c r="C3640" s="13" t="s">
        <v>7173</v>
      </c>
      <c r="D3640" s="13">
        <v>1</v>
      </c>
      <c r="E3640" s="13" t="s">
        <v>7174</v>
      </c>
      <c r="F3640" s="13" t="s">
        <v>11</v>
      </c>
    </row>
    <row r="3641" ht="18" customHeight="1" spans="1:6">
      <c r="A3641" s="13" t="s">
        <v>6225</v>
      </c>
      <c r="B3641" s="13" t="s">
        <v>7156</v>
      </c>
      <c r="C3641" s="13" t="s">
        <v>7175</v>
      </c>
      <c r="D3641" s="13">
        <v>3</v>
      </c>
      <c r="E3641" s="13" t="s">
        <v>7176</v>
      </c>
      <c r="F3641" s="13" t="s">
        <v>11</v>
      </c>
    </row>
    <row r="3642" ht="18" customHeight="1" spans="1:6">
      <c r="A3642" s="13" t="s">
        <v>6225</v>
      </c>
      <c r="B3642" s="13" t="s">
        <v>7156</v>
      </c>
      <c r="C3642" s="13" t="s">
        <v>7177</v>
      </c>
      <c r="D3642" s="13">
        <v>3</v>
      </c>
      <c r="E3642" s="13" t="s">
        <v>7178</v>
      </c>
      <c r="F3642" s="13" t="s">
        <v>11</v>
      </c>
    </row>
    <row r="3643" ht="18" customHeight="1" spans="1:6">
      <c r="A3643" s="13" t="s">
        <v>6225</v>
      </c>
      <c r="B3643" s="13" t="s">
        <v>7156</v>
      </c>
      <c r="C3643" s="13" t="s">
        <v>7179</v>
      </c>
      <c r="D3643" s="13">
        <v>3</v>
      </c>
      <c r="E3643" s="13" t="s">
        <v>7180</v>
      </c>
      <c r="F3643" s="13" t="s">
        <v>11</v>
      </c>
    </row>
    <row r="3644" ht="18" customHeight="1" spans="1:6">
      <c r="A3644" s="13" t="s">
        <v>6225</v>
      </c>
      <c r="B3644" s="13" t="s">
        <v>7156</v>
      </c>
      <c r="C3644" s="13" t="s">
        <v>7181</v>
      </c>
      <c r="D3644" s="13">
        <v>1</v>
      </c>
      <c r="E3644" s="13" t="s">
        <v>7182</v>
      </c>
      <c r="F3644" s="13" t="s">
        <v>11</v>
      </c>
    </row>
    <row r="3645" ht="18" customHeight="1" spans="1:6">
      <c r="A3645" s="13" t="s">
        <v>6225</v>
      </c>
      <c r="B3645" s="13" t="s">
        <v>7156</v>
      </c>
      <c r="C3645" s="13" t="s">
        <v>7183</v>
      </c>
      <c r="D3645" s="13">
        <v>3</v>
      </c>
      <c r="E3645" s="13" t="s">
        <v>7184</v>
      </c>
      <c r="F3645" s="13" t="s">
        <v>11</v>
      </c>
    </row>
    <row r="3646" ht="18" customHeight="1" spans="1:6">
      <c r="A3646" s="13" t="s">
        <v>6225</v>
      </c>
      <c r="B3646" s="13" t="s">
        <v>7156</v>
      </c>
      <c r="C3646" s="13" t="s">
        <v>7185</v>
      </c>
      <c r="D3646" s="13">
        <v>1</v>
      </c>
      <c r="E3646" s="13" t="s">
        <v>7186</v>
      </c>
      <c r="F3646" s="13" t="s">
        <v>11</v>
      </c>
    </row>
    <row r="3647" ht="18" customHeight="1" spans="1:6">
      <c r="A3647" s="13" t="s">
        <v>6225</v>
      </c>
      <c r="B3647" s="13" t="s">
        <v>7156</v>
      </c>
      <c r="C3647" s="13" t="s">
        <v>7187</v>
      </c>
      <c r="D3647" s="13">
        <v>4</v>
      </c>
      <c r="E3647" s="13" t="s">
        <v>7188</v>
      </c>
      <c r="F3647" s="13" t="s">
        <v>11</v>
      </c>
    </row>
    <row r="3648" ht="18" customHeight="1" spans="1:6">
      <c r="A3648" s="13" t="s">
        <v>6225</v>
      </c>
      <c r="B3648" s="13" t="s">
        <v>7156</v>
      </c>
      <c r="C3648" s="13" t="s">
        <v>7189</v>
      </c>
      <c r="D3648" s="13">
        <v>5</v>
      </c>
      <c r="E3648" s="13" t="s">
        <v>7190</v>
      </c>
      <c r="F3648" s="13" t="s">
        <v>11</v>
      </c>
    </row>
    <row r="3649" ht="18" customHeight="1" spans="1:6">
      <c r="A3649" s="13" t="s">
        <v>6225</v>
      </c>
      <c r="B3649" s="13" t="s">
        <v>7191</v>
      </c>
      <c r="C3649" s="13" t="s">
        <v>7192</v>
      </c>
      <c r="D3649" s="13">
        <v>3</v>
      </c>
      <c r="E3649" s="179" t="s">
        <v>7193</v>
      </c>
      <c r="F3649" s="13" t="s">
        <v>11</v>
      </c>
    </row>
    <row r="3650" ht="18" customHeight="1" spans="1:6">
      <c r="A3650" s="13" t="s">
        <v>6225</v>
      </c>
      <c r="B3650" s="13" t="s">
        <v>7191</v>
      </c>
      <c r="C3650" s="13" t="s">
        <v>7194</v>
      </c>
      <c r="D3650" s="13">
        <v>3</v>
      </c>
      <c r="E3650" s="179" t="s">
        <v>7195</v>
      </c>
      <c r="F3650" s="13" t="s">
        <v>11</v>
      </c>
    </row>
    <row r="3651" ht="18" customHeight="1" spans="1:6">
      <c r="A3651" s="13" t="s">
        <v>6225</v>
      </c>
      <c r="B3651" s="13" t="s">
        <v>7191</v>
      </c>
      <c r="C3651" s="13" t="s">
        <v>7196</v>
      </c>
      <c r="D3651" s="13">
        <v>5</v>
      </c>
      <c r="E3651" s="179" t="s">
        <v>7197</v>
      </c>
      <c r="F3651" s="13" t="s">
        <v>11</v>
      </c>
    </row>
    <row r="3652" ht="18" customHeight="1" spans="1:6">
      <c r="A3652" s="13" t="s">
        <v>6225</v>
      </c>
      <c r="B3652" s="13" t="s">
        <v>7191</v>
      </c>
      <c r="C3652" s="13" t="s">
        <v>7198</v>
      </c>
      <c r="D3652" s="13">
        <v>3</v>
      </c>
      <c r="E3652" s="13" t="s">
        <v>7199</v>
      </c>
      <c r="F3652" s="13" t="s">
        <v>11</v>
      </c>
    </row>
    <row r="3653" ht="18" customHeight="1" spans="1:6">
      <c r="A3653" s="13" t="s">
        <v>6225</v>
      </c>
      <c r="B3653" s="13" t="s">
        <v>7191</v>
      </c>
      <c r="C3653" s="13" t="s">
        <v>7200</v>
      </c>
      <c r="D3653" s="13">
        <v>4</v>
      </c>
      <c r="E3653" s="13" t="s">
        <v>7201</v>
      </c>
      <c r="F3653" s="13" t="s">
        <v>11</v>
      </c>
    </row>
    <row r="3654" ht="18" customHeight="1" spans="1:6">
      <c r="A3654" s="13" t="s">
        <v>6225</v>
      </c>
      <c r="B3654" s="13" t="s">
        <v>7191</v>
      </c>
      <c r="C3654" s="13" t="s">
        <v>7202</v>
      </c>
      <c r="D3654" s="13">
        <v>4</v>
      </c>
      <c r="E3654" s="13" t="s">
        <v>7203</v>
      </c>
      <c r="F3654" s="13" t="s">
        <v>11</v>
      </c>
    </row>
    <row r="3655" ht="18" customHeight="1" spans="1:6">
      <c r="A3655" s="13" t="s">
        <v>6225</v>
      </c>
      <c r="B3655" s="13" t="s">
        <v>7191</v>
      </c>
      <c r="C3655" s="13" t="s">
        <v>7204</v>
      </c>
      <c r="D3655" s="13">
        <v>4</v>
      </c>
      <c r="E3655" s="13" t="s">
        <v>7205</v>
      </c>
      <c r="F3655" s="13" t="s">
        <v>11</v>
      </c>
    </row>
    <row r="3656" ht="18" customHeight="1" spans="1:6">
      <c r="A3656" s="13" t="s">
        <v>6225</v>
      </c>
      <c r="B3656" s="13" t="s">
        <v>7191</v>
      </c>
      <c r="C3656" s="13" t="s">
        <v>7206</v>
      </c>
      <c r="D3656" s="13">
        <v>1</v>
      </c>
      <c r="E3656" s="179" t="s">
        <v>7207</v>
      </c>
      <c r="F3656" s="13" t="s">
        <v>11</v>
      </c>
    </row>
    <row r="3657" ht="18" customHeight="1" spans="1:6">
      <c r="A3657" s="13" t="s">
        <v>6225</v>
      </c>
      <c r="B3657" s="13" t="s">
        <v>7191</v>
      </c>
      <c r="C3657" s="13" t="s">
        <v>7208</v>
      </c>
      <c r="D3657" s="13">
        <v>1</v>
      </c>
      <c r="E3657" s="13" t="s">
        <v>7209</v>
      </c>
      <c r="F3657" s="13" t="s">
        <v>11</v>
      </c>
    </row>
    <row r="3658" ht="18" customHeight="1" spans="1:6">
      <c r="A3658" s="13" t="s">
        <v>6225</v>
      </c>
      <c r="B3658" s="13" t="s">
        <v>7210</v>
      </c>
      <c r="C3658" s="13" t="s">
        <v>7211</v>
      </c>
      <c r="D3658" s="13">
        <v>2</v>
      </c>
      <c r="E3658" s="179" t="s">
        <v>7212</v>
      </c>
      <c r="F3658" s="13" t="s">
        <v>11</v>
      </c>
    </row>
    <row r="3659" ht="18" customHeight="1" spans="1:6">
      <c r="A3659" s="13" t="s">
        <v>6225</v>
      </c>
      <c r="B3659" s="13" t="s">
        <v>7210</v>
      </c>
      <c r="C3659" s="13" t="s">
        <v>7213</v>
      </c>
      <c r="D3659" s="13">
        <v>4</v>
      </c>
      <c r="E3659" s="179" t="s">
        <v>7214</v>
      </c>
      <c r="F3659" s="13" t="s">
        <v>11</v>
      </c>
    </row>
    <row r="3660" ht="18" customHeight="1" spans="1:6">
      <c r="A3660" s="13" t="s">
        <v>6225</v>
      </c>
      <c r="B3660" s="13" t="s">
        <v>7210</v>
      </c>
      <c r="C3660" s="13" t="s">
        <v>7215</v>
      </c>
      <c r="D3660" s="13">
        <v>2</v>
      </c>
      <c r="E3660" s="179" t="s">
        <v>7216</v>
      </c>
      <c r="F3660" s="13" t="s">
        <v>11</v>
      </c>
    </row>
    <row r="3661" ht="18" customHeight="1" spans="1:6">
      <c r="A3661" s="13" t="s">
        <v>6225</v>
      </c>
      <c r="B3661" s="13" t="s">
        <v>7210</v>
      </c>
      <c r="C3661" s="13" t="s">
        <v>7217</v>
      </c>
      <c r="D3661" s="13">
        <v>3</v>
      </c>
      <c r="E3661" s="179" t="s">
        <v>7218</v>
      </c>
      <c r="F3661" s="13" t="s">
        <v>11</v>
      </c>
    </row>
    <row r="3662" ht="18" customHeight="1" spans="1:6">
      <c r="A3662" s="13" t="s">
        <v>6225</v>
      </c>
      <c r="B3662" s="13" t="s">
        <v>7210</v>
      </c>
      <c r="C3662" s="13" t="s">
        <v>7219</v>
      </c>
      <c r="D3662" s="13">
        <v>2</v>
      </c>
      <c r="E3662" s="179" t="s">
        <v>7220</v>
      </c>
      <c r="F3662" s="13" t="s">
        <v>11</v>
      </c>
    </row>
    <row r="3663" ht="18" customHeight="1" spans="1:6">
      <c r="A3663" s="13" t="s">
        <v>6225</v>
      </c>
      <c r="B3663" s="13" t="s">
        <v>7210</v>
      </c>
      <c r="C3663" s="13" t="s">
        <v>7221</v>
      </c>
      <c r="D3663" s="13">
        <v>4</v>
      </c>
      <c r="E3663" s="179" t="s">
        <v>7222</v>
      </c>
      <c r="F3663" s="13" t="s">
        <v>11</v>
      </c>
    </row>
    <row r="3664" ht="18" customHeight="1" spans="1:6">
      <c r="A3664" s="13" t="s">
        <v>6225</v>
      </c>
      <c r="B3664" s="13" t="s">
        <v>7210</v>
      </c>
      <c r="C3664" s="13" t="s">
        <v>7223</v>
      </c>
      <c r="D3664" s="13">
        <v>4</v>
      </c>
      <c r="E3664" s="179" t="s">
        <v>7224</v>
      </c>
      <c r="F3664" s="13" t="s">
        <v>11</v>
      </c>
    </row>
    <row r="3665" ht="18" customHeight="1" spans="1:6">
      <c r="A3665" s="13" t="s">
        <v>6225</v>
      </c>
      <c r="B3665" s="13" t="s">
        <v>7210</v>
      </c>
      <c r="C3665" s="13" t="s">
        <v>7225</v>
      </c>
      <c r="D3665" s="13">
        <v>4</v>
      </c>
      <c r="E3665" s="179" t="s">
        <v>7226</v>
      </c>
      <c r="F3665" s="13" t="s">
        <v>11</v>
      </c>
    </row>
    <row r="3666" ht="18" customHeight="1" spans="1:6">
      <c r="A3666" s="13" t="s">
        <v>6225</v>
      </c>
      <c r="B3666" s="13" t="s">
        <v>7210</v>
      </c>
      <c r="C3666" s="13" t="s">
        <v>7227</v>
      </c>
      <c r="D3666" s="13">
        <v>2</v>
      </c>
      <c r="E3666" s="179" t="s">
        <v>7228</v>
      </c>
      <c r="F3666" s="13" t="s">
        <v>11</v>
      </c>
    </row>
    <row r="3667" ht="18" customHeight="1" spans="1:6">
      <c r="A3667" s="13" t="s">
        <v>6225</v>
      </c>
      <c r="B3667" s="13" t="s">
        <v>7210</v>
      </c>
      <c r="C3667" s="13" t="s">
        <v>7229</v>
      </c>
      <c r="D3667" s="13">
        <v>4</v>
      </c>
      <c r="E3667" s="179" t="s">
        <v>7230</v>
      </c>
      <c r="F3667" s="13" t="s">
        <v>11</v>
      </c>
    </row>
    <row r="3668" ht="18" customHeight="1" spans="1:6">
      <c r="A3668" s="13" t="s">
        <v>6225</v>
      </c>
      <c r="B3668" s="13" t="s">
        <v>7210</v>
      </c>
      <c r="C3668" s="13" t="s">
        <v>7231</v>
      </c>
      <c r="D3668" s="13">
        <v>3</v>
      </c>
      <c r="E3668" s="13" t="s">
        <v>7232</v>
      </c>
      <c r="F3668" s="13" t="s">
        <v>11</v>
      </c>
    </row>
    <row r="3669" ht="18" customHeight="1" spans="1:6">
      <c r="A3669" s="13" t="s">
        <v>6225</v>
      </c>
      <c r="B3669" s="13" t="s">
        <v>7210</v>
      </c>
      <c r="C3669" s="13" t="s">
        <v>7233</v>
      </c>
      <c r="D3669" s="13">
        <v>2</v>
      </c>
      <c r="E3669" s="179" t="s">
        <v>7234</v>
      </c>
      <c r="F3669" s="13" t="s">
        <v>11</v>
      </c>
    </row>
    <row r="3670" ht="18" customHeight="1" spans="1:6">
      <c r="A3670" s="13" t="s">
        <v>6225</v>
      </c>
      <c r="B3670" s="13" t="s">
        <v>7210</v>
      </c>
      <c r="C3670" s="13" t="s">
        <v>7235</v>
      </c>
      <c r="D3670" s="13">
        <v>2</v>
      </c>
      <c r="E3670" s="179" t="s">
        <v>7236</v>
      </c>
      <c r="F3670" s="13" t="s">
        <v>11</v>
      </c>
    </row>
    <row r="3671" ht="18" customHeight="1" spans="1:6">
      <c r="A3671" s="13" t="s">
        <v>6225</v>
      </c>
      <c r="B3671" s="13" t="s">
        <v>7210</v>
      </c>
      <c r="C3671" s="13" t="s">
        <v>7237</v>
      </c>
      <c r="D3671" s="13">
        <v>4</v>
      </c>
      <c r="E3671" s="179" t="s">
        <v>7238</v>
      </c>
      <c r="F3671" s="13" t="s">
        <v>11</v>
      </c>
    </row>
    <row r="3672" ht="18" customHeight="1" spans="1:6">
      <c r="A3672" s="13" t="s">
        <v>6225</v>
      </c>
      <c r="B3672" s="13" t="s">
        <v>7210</v>
      </c>
      <c r="C3672" s="13" t="s">
        <v>7239</v>
      </c>
      <c r="D3672" s="13">
        <v>1</v>
      </c>
      <c r="E3672" s="179" t="s">
        <v>7240</v>
      </c>
      <c r="F3672" s="13" t="s">
        <v>11</v>
      </c>
    </row>
    <row r="3673" ht="18" customHeight="1" spans="1:6">
      <c r="A3673" s="13" t="s">
        <v>6225</v>
      </c>
      <c r="B3673" s="13" t="s">
        <v>7210</v>
      </c>
      <c r="C3673" s="13" t="s">
        <v>7241</v>
      </c>
      <c r="D3673" s="13">
        <v>4</v>
      </c>
      <c r="E3673" s="179" t="s">
        <v>7242</v>
      </c>
      <c r="F3673" s="13" t="s">
        <v>11</v>
      </c>
    </row>
    <row r="3674" ht="18" customHeight="1" spans="1:6">
      <c r="A3674" s="13" t="s">
        <v>6225</v>
      </c>
      <c r="B3674" s="13" t="s">
        <v>7210</v>
      </c>
      <c r="C3674" s="13" t="s">
        <v>7243</v>
      </c>
      <c r="D3674" s="13">
        <v>3</v>
      </c>
      <c r="E3674" s="179" t="s">
        <v>7244</v>
      </c>
      <c r="F3674" s="13" t="s">
        <v>11</v>
      </c>
    </row>
    <row r="3675" ht="18" customHeight="1" spans="1:6">
      <c r="A3675" s="13" t="s">
        <v>6225</v>
      </c>
      <c r="B3675" s="13" t="s">
        <v>7210</v>
      </c>
      <c r="C3675" s="13" t="s">
        <v>7245</v>
      </c>
      <c r="D3675" s="13">
        <v>3</v>
      </c>
      <c r="E3675" s="179" t="s">
        <v>7246</v>
      </c>
      <c r="F3675" s="13" t="s">
        <v>11</v>
      </c>
    </row>
    <row r="3676" ht="18" customHeight="1" spans="1:6">
      <c r="A3676" s="13" t="s">
        <v>6225</v>
      </c>
      <c r="B3676" s="13" t="s">
        <v>7210</v>
      </c>
      <c r="C3676" s="13" t="s">
        <v>7247</v>
      </c>
      <c r="D3676" s="13">
        <v>3</v>
      </c>
      <c r="E3676" s="13" t="s">
        <v>7248</v>
      </c>
      <c r="F3676" s="13" t="s">
        <v>11</v>
      </c>
    </row>
    <row r="3677" ht="18" customHeight="1" spans="1:6">
      <c r="A3677" s="13" t="s">
        <v>6225</v>
      </c>
      <c r="B3677" s="13" t="s">
        <v>7210</v>
      </c>
      <c r="C3677" s="13" t="s">
        <v>7249</v>
      </c>
      <c r="D3677" s="13">
        <v>4</v>
      </c>
      <c r="E3677" s="13" t="s">
        <v>7250</v>
      </c>
      <c r="F3677" s="13" t="s">
        <v>11</v>
      </c>
    </row>
    <row r="3678" ht="18" customHeight="1" spans="1:6">
      <c r="A3678" s="13" t="s">
        <v>6225</v>
      </c>
      <c r="B3678" s="13" t="s">
        <v>7210</v>
      </c>
      <c r="C3678" s="13" t="s">
        <v>7039</v>
      </c>
      <c r="D3678" s="13">
        <v>4</v>
      </c>
      <c r="E3678" s="13" t="s">
        <v>7251</v>
      </c>
      <c r="F3678" s="13" t="s">
        <v>11</v>
      </c>
    </row>
    <row r="3679" ht="18" customHeight="1" spans="1:6">
      <c r="A3679" s="13" t="s">
        <v>6225</v>
      </c>
      <c r="B3679" s="13" t="s">
        <v>7210</v>
      </c>
      <c r="C3679" s="13" t="s">
        <v>7252</v>
      </c>
      <c r="D3679" s="13">
        <v>4</v>
      </c>
      <c r="E3679" s="13" t="s">
        <v>7253</v>
      </c>
      <c r="F3679" s="13" t="s">
        <v>11</v>
      </c>
    </row>
    <row r="3680" ht="18" customHeight="1" spans="1:6">
      <c r="A3680" s="13" t="s">
        <v>6225</v>
      </c>
      <c r="B3680" s="13" t="s">
        <v>7210</v>
      </c>
      <c r="C3680" s="13" t="s">
        <v>7254</v>
      </c>
      <c r="D3680" s="13">
        <v>1</v>
      </c>
      <c r="E3680" s="13" t="s">
        <v>7255</v>
      </c>
      <c r="F3680" s="13" t="s">
        <v>11</v>
      </c>
    </row>
    <row r="3681" ht="18" customHeight="1" spans="1:6">
      <c r="A3681" s="13" t="s">
        <v>6225</v>
      </c>
      <c r="B3681" s="13" t="s">
        <v>7210</v>
      </c>
      <c r="C3681" s="13" t="s">
        <v>7256</v>
      </c>
      <c r="D3681" s="13">
        <v>1</v>
      </c>
      <c r="E3681" s="13" t="s">
        <v>7257</v>
      </c>
      <c r="F3681" s="13" t="s">
        <v>11</v>
      </c>
    </row>
    <row r="3682" ht="18" customHeight="1" spans="1:6">
      <c r="A3682" s="13" t="s">
        <v>6225</v>
      </c>
      <c r="B3682" s="13" t="s">
        <v>7210</v>
      </c>
      <c r="C3682" s="13" t="s">
        <v>7258</v>
      </c>
      <c r="D3682" s="13">
        <v>1</v>
      </c>
      <c r="E3682" s="13" t="s">
        <v>7259</v>
      </c>
      <c r="F3682" s="13" t="s">
        <v>11</v>
      </c>
    </row>
    <row r="3683" ht="18" customHeight="1" spans="1:6">
      <c r="A3683" s="13" t="s">
        <v>6225</v>
      </c>
      <c r="B3683" s="13" t="s">
        <v>7210</v>
      </c>
      <c r="C3683" s="13" t="s">
        <v>7260</v>
      </c>
      <c r="D3683" s="13">
        <v>3</v>
      </c>
      <c r="E3683" s="13" t="s">
        <v>7261</v>
      </c>
      <c r="F3683" s="13" t="s">
        <v>11</v>
      </c>
    </row>
    <row r="3684" ht="18" customHeight="1" spans="1:6">
      <c r="A3684" s="13" t="s">
        <v>6225</v>
      </c>
      <c r="B3684" s="13" t="s">
        <v>7210</v>
      </c>
      <c r="C3684" s="13" t="s">
        <v>7262</v>
      </c>
      <c r="D3684" s="13">
        <v>2</v>
      </c>
      <c r="E3684" s="13" t="s">
        <v>7263</v>
      </c>
      <c r="F3684" s="13" t="s">
        <v>11</v>
      </c>
    </row>
    <row r="3685" ht="18" customHeight="1" spans="1:6">
      <c r="A3685" s="13" t="s">
        <v>6225</v>
      </c>
      <c r="B3685" s="13" t="s">
        <v>7210</v>
      </c>
      <c r="C3685" s="13" t="s">
        <v>7264</v>
      </c>
      <c r="D3685" s="13">
        <v>1</v>
      </c>
      <c r="E3685" s="13" t="s">
        <v>7265</v>
      </c>
      <c r="F3685" s="13" t="s">
        <v>11</v>
      </c>
    </row>
    <row r="3686" ht="18" customHeight="1" spans="1:6">
      <c r="A3686" s="13" t="s">
        <v>6225</v>
      </c>
      <c r="B3686" s="13" t="s">
        <v>7210</v>
      </c>
      <c r="C3686" s="13" t="s">
        <v>7266</v>
      </c>
      <c r="D3686" s="13">
        <v>2</v>
      </c>
      <c r="E3686" s="13" t="s">
        <v>7267</v>
      </c>
      <c r="F3686" s="13" t="s">
        <v>11</v>
      </c>
    </row>
    <row r="3687" ht="18" customHeight="1" spans="1:6">
      <c r="A3687" s="13" t="s">
        <v>6225</v>
      </c>
      <c r="B3687" s="13" t="s">
        <v>7210</v>
      </c>
      <c r="C3687" s="13" t="s">
        <v>7268</v>
      </c>
      <c r="D3687" s="13">
        <v>1</v>
      </c>
      <c r="E3687" s="179" t="s">
        <v>7269</v>
      </c>
      <c r="F3687" s="13" t="s">
        <v>11</v>
      </c>
    </row>
    <row r="3688" ht="18" customHeight="1" spans="1:6">
      <c r="A3688" s="13" t="s">
        <v>6225</v>
      </c>
      <c r="B3688" s="13" t="s">
        <v>7210</v>
      </c>
      <c r="C3688" s="13" t="s">
        <v>7270</v>
      </c>
      <c r="D3688" s="13">
        <v>1</v>
      </c>
      <c r="E3688" s="13" t="s">
        <v>7271</v>
      </c>
      <c r="F3688" s="13" t="s">
        <v>11</v>
      </c>
    </row>
    <row r="3689" ht="18" customHeight="1" spans="1:6">
      <c r="A3689" s="13" t="s">
        <v>6225</v>
      </c>
      <c r="B3689" s="13" t="s">
        <v>7272</v>
      </c>
      <c r="C3689" s="13" t="s">
        <v>7273</v>
      </c>
      <c r="D3689" s="13">
        <v>6</v>
      </c>
      <c r="E3689" s="13" t="s">
        <v>7274</v>
      </c>
      <c r="F3689" s="13" t="s">
        <v>11</v>
      </c>
    </row>
    <row r="3690" ht="18" customHeight="1" spans="1:6">
      <c r="A3690" s="13" t="s">
        <v>6225</v>
      </c>
      <c r="B3690" s="13" t="s">
        <v>7272</v>
      </c>
      <c r="C3690" s="13" t="s">
        <v>7275</v>
      </c>
      <c r="D3690" s="13">
        <v>3</v>
      </c>
      <c r="E3690" s="13" t="s">
        <v>7276</v>
      </c>
      <c r="F3690" s="13" t="s">
        <v>11</v>
      </c>
    </row>
    <row r="3691" ht="18" customHeight="1" spans="1:6">
      <c r="A3691" s="13" t="s">
        <v>6225</v>
      </c>
      <c r="B3691" s="13" t="s">
        <v>7272</v>
      </c>
      <c r="C3691" s="13" t="s">
        <v>7277</v>
      </c>
      <c r="D3691" s="13">
        <v>4</v>
      </c>
      <c r="E3691" s="179" t="s">
        <v>7278</v>
      </c>
      <c r="F3691" s="13" t="s">
        <v>11</v>
      </c>
    </row>
    <row r="3692" ht="18" customHeight="1" spans="1:6">
      <c r="A3692" s="13" t="s">
        <v>6225</v>
      </c>
      <c r="B3692" s="13" t="s">
        <v>7272</v>
      </c>
      <c r="C3692" s="13" t="s">
        <v>7279</v>
      </c>
      <c r="D3692" s="13">
        <v>4</v>
      </c>
      <c r="E3692" s="179" t="s">
        <v>7280</v>
      </c>
      <c r="F3692" s="13" t="s">
        <v>11</v>
      </c>
    </row>
    <row r="3693" ht="18" customHeight="1" spans="1:6">
      <c r="A3693" s="13" t="s">
        <v>6225</v>
      </c>
      <c r="B3693" s="13" t="s">
        <v>7272</v>
      </c>
      <c r="C3693" s="13" t="s">
        <v>7281</v>
      </c>
      <c r="D3693" s="13">
        <v>3</v>
      </c>
      <c r="E3693" s="179" t="s">
        <v>7282</v>
      </c>
      <c r="F3693" s="13" t="s">
        <v>11</v>
      </c>
    </row>
    <row r="3694" ht="18" customHeight="1" spans="1:6">
      <c r="A3694" s="13" t="s">
        <v>6225</v>
      </c>
      <c r="B3694" s="13" t="s">
        <v>7283</v>
      </c>
      <c r="C3694" s="13" t="s">
        <v>7284</v>
      </c>
      <c r="D3694" s="13">
        <v>2</v>
      </c>
      <c r="E3694" s="13" t="s">
        <v>7285</v>
      </c>
      <c r="F3694" s="13" t="s">
        <v>11</v>
      </c>
    </row>
    <row r="3695" ht="18" customHeight="1" spans="1:6">
      <c r="A3695" s="13" t="s">
        <v>6225</v>
      </c>
      <c r="B3695" s="13" t="s">
        <v>7283</v>
      </c>
      <c r="C3695" s="13" t="s">
        <v>7286</v>
      </c>
      <c r="D3695" s="13">
        <v>3</v>
      </c>
      <c r="E3695" s="179" t="s">
        <v>7287</v>
      </c>
      <c r="F3695" s="13" t="s">
        <v>11</v>
      </c>
    </row>
    <row r="3696" ht="18" customHeight="1" spans="1:6">
      <c r="A3696" s="13" t="s">
        <v>6225</v>
      </c>
      <c r="B3696" s="13" t="s">
        <v>7283</v>
      </c>
      <c r="C3696" s="13" t="s">
        <v>7288</v>
      </c>
      <c r="D3696" s="13">
        <v>2</v>
      </c>
      <c r="E3696" s="179" t="s">
        <v>7289</v>
      </c>
      <c r="F3696" s="13" t="s">
        <v>11</v>
      </c>
    </row>
    <row r="3697" ht="18" customHeight="1" spans="1:6">
      <c r="A3697" s="13" t="s">
        <v>6225</v>
      </c>
      <c r="B3697" s="13" t="s">
        <v>7283</v>
      </c>
      <c r="C3697" s="13" t="s">
        <v>7290</v>
      </c>
      <c r="D3697" s="13">
        <v>1</v>
      </c>
      <c r="E3697" s="179" t="s">
        <v>7291</v>
      </c>
      <c r="F3697" s="13" t="s">
        <v>11</v>
      </c>
    </row>
    <row r="3698" ht="18" customHeight="1" spans="1:6">
      <c r="A3698" s="13" t="s">
        <v>6225</v>
      </c>
      <c r="B3698" s="13" t="s">
        <v>7283</v>
      </c>
      <c r="C3698" s="13" t="s">
        <v>7292</v>
      </c>
      <c r="D3698" s="13">
        <v>1</v>
      </c>
      <c r="E3698" s="179" t="s">
        <v>7293</v>
      </c>
      <c r="F3698" s="13" t="s">
        <v>11</v>
      </c>
    </row>
    <row r="3699" ht="18" customHeight="1" spans="1:6">
      <c r="A3699" s="13" t="s">
        <v>6225</v>
      </c>
      <c r="B3699" s="13" t="s">
        <v>7283</v>
      </c>
      <c r="C3699" s="13" t="s">
        <v>7294</v>
      </c>
      <c r="D3699" s="13">
        <v>1</v>
      </c>
      <c r="E3699" s="179" t="s">
        <v>7295</v>
      </c>
      <c r="F3699" s="13" t="s">
        <v>11</v>
      </c>
    </row>
    <row r="3700" ht="18" customHeight="1" spans="1:6">
      <c r="A3700" s="13" t="s">
        <v>6225</v>
      </c>
      <c r="B3700" s="13" t="s">
        <v>7283</v>
      </c>
      <c r="C3700" s="13" t="s">
        <v>7296</v>
      </c>
      <c r="D3700" s="13">
        <v>4</v>
      </c>
      <c r="E3700" s="179" t="s">
        <v>7297</v>
      </c>
      <c r="F3700" s="13" t="s">
        <v>11</v>
      </c>
    </row>
    <row r="3701" ht="18" customHeight="1" spans="1:6">
      <c r="A3701" s="13" t="s">
        <v>6225</v>
      </c>
      <c r="B3701" s="13" t="s">
        <v>7283</v>
      </c>
      <c r="C3701" s="13" t="s">
        <v>7298</v>
      </c>
      <c r="D3701" s="13">
        <v>3</v>
      </c>
      <c r="E3701" s="179" t="s">
        <v>7299</v>
      </c>
      <c r="F3701" s="13" t="s">
        <v>11</v>
      </c>
    </row>
    <row r="3702" ht="18" customHeight="1" spans="1:6">
      <c r="A3702" s="13" t="s">
        <v>6225</v>
      </c>
      <c r="B3702" s="13" t="s">
        <v>7283</v>
      </c>
      <c r="C3702" s="13" t="s">
        <v>7300</v>
      </c>
      <c r="D3702" s="13">
        <v>4</v>
      </c>
      <c r="E3702" s="179" t="s">
        <v>7301</v>
      </c>
      <c r="F3702" s="13" t="s">
        <v>11</v>
      </c>
    </row>
    <row r="3703" ht="18" customHeight="1" spans="1:6">
      <c r="A3703" s="13" t="s">
        <v>6225</v>
      </c>
      <c r="B3703" s="13" t="s">
        <v>7283</v>
      </c>
      <c r="C3703" s="13" t="s">
        <v>7302</v>
      </c>
      <c r="D3703" s="13">
        <v>4</v>
      </c>
      <c r="E3703" s="179" t="s">
        <v>7303</v>
      </c>
      <c r="F3703" s="13" t="s">
        <v>11</v>
      </c>
    </row>
    <row r="3704" ht="18" customHeight="1" spans="1:6">
      <c r="A3704" s="13" t="s">
        <v>6225</v>
      </c>
      <c r="B3704" s="13" t="s">
        <v>7283</v>
      </c>
      <c r="C3704" s="13" t="s">
        <v>7304</v>
      </c>
      <c r="D3704" s="13">
        <v>5</v>
      </c>
      <c r="E3704" s="179" t="s">
        <v>7305</v>
      </c>
      <c r="F3704" s="13" t="s">
        <v>11</v>
      </c>
    </row>
    <row r="3705" ht="18" customHeight="1" spans="1:6">
      <c r="A3705" s="13" t="s">
        <v>6225</v>
      </c>
      <c r="B3705" s="13" t="s">
        <v>7283</v>
      </c>
      <c r="C3705" s="13" t="s">
        <v>7306</v>
      </c>
      <c r="D3705" s="13">
        <v>1</v>
      </c>
      <c r="E3705" s="179" t="s">
        <v>7307</v>
      </c>
      <c r="F3705" s="13" t="s">
        <v>11</v>
      </c>
    </row>
    <row r="3706" ht="18" customHeight="1" spans="1:6">
      <c r="A3706" s="13" t="s">
        <v>6225</v>
      </c>
      <c r="B3706" s="13" t="s">
        <v>7283</v>
      </c>
      <c r="C3706" s="13" t="s">
        <v>7308</v>
      </c>
      <c r="D3706" s="13">
        <v>2</v>
      </c>
      <c r="E3706" s="179" t="s">
        <v>7309</v>
      </c>
      <c r="F3706" s="13" t="s">
        <v>11</v>
      </c>
    </row>
    <row r="3707" ht="18" customHeight="1" spans="1:6">
      <c r="A3707" s="13" t="s">
        <v>6225</v>
      </c>
      <c r="B3707" s="13" t="s">
        <v>7283</v>
      </c>
      <c r="C3707" s="13" t="s">
        <v>7310</v>
      </c>
      <c r="D3707" s="13">
        <v>2</v>
      </c>
      <c r="E3707" s="179" t="s">
        <v>7311</v>
      </c>
      <c r="F3707" s="13" t="s">
        <v>11</v>
      </c>
    </row>
    <row r="3708" ht="18" customHeight="1" spans="1:6">
      <c r="A3708" s="13" t="s">
        <v>6225</v>
      </c>
      <c r="B3708" s="13" t="s">
        <v>7283</v>
      </c>
      <c r="C3708" s="13" t="s">
        <v>7312</v>
      </c>
      <c r="D3708" s="13">
        <v>4</v>
      </c>
      <c r="E3708" s="13" t="s">
        <v>7313</v>
      </c>
      <c r="F3708" s="13" t="s">
        <v>11</v>
      </c>
    </row>
    <row r="3709" ht="18" customHeight="1" spans="1:6">
      <c r="A3709" s="13" t="s">
        <v>6225</v>
      </c>
      <c r="B3709" s="13" t="s">
        <v>7314</v>
      </c>
      <c r="C3709" s="13" t="s">
        <v>7315</v>
      </c>
      <c r="D3709" s="13">
        <v>2</v>
      </c>
      <c r="E3709" s="13" t="s">
        <v>7316</v>
      </c>
      <c r="F3709" s="13" t="s">
        <v>11</v>
      </c>
    </row>
    <row r="3710" ht="18" customHeight="1" spans="1:6">
      <c r="A3710" s="13" t="s">
        <v>6225</v>
      </c>
      <c r="B3710" s="13" t="s">
        <v>7314</v>
      </c>
      <c r="C3710" s="13" t="s">
        <v>7039</v>
      </c>
      <c r="D3710" s="13">
        <v>1</v>
      </c>
      <c r="E3710" s="179" t="s">
        <v>7317</v>
      </c>
      <c r="F3710" s="13" t="s">
        <v>11</v>
      </c>
    </row>
    <row r="3711" ht="18" customHeight="1" spans="1:6">
      <c r="A3711" s="13" t="s">
        <v>6225</v>
      </c>
      <c r="B3711" s="13" t="s">
        <v>7314</v>
      </c>
      <c r="C3711" s="13" t="s">
        <v>7318</v>
      </c>
      <c r="D3711" s="13">
        <v>2</v>
      </c>
      <c r="E3711" s="179" t="s">
        <v>7319</v>
      </c>
      <c r="F3711" s="13" t="s">
        <v>11</v>
      </c>
    </row>
    <row r="3712" ht="18" customHeight="1" spans="1:6">
      <c r="A3712" s="13" t="s">
        <v>6225</v>
      </c>
      <c r="B3712" s="13" t="s">
        <v>7314</v>
      </c>
      <c r="C3712" s="13" t="s">
        <v>7320</v>
      </c>
      <c r="D3712" s="13">
        <v>1</v>
      </c>
      <c r="E3712" s="179" t="s">
        <v>7321</v>
      </c>
      <c r="F3712" s="13" t="s">
        <v>11</v>
      </c>
    </row>
    <row r="3713" ht="18" customHeight="1" spans="1:6">
      <c r="A3713" s="13" t="s">
        <v>6225</v>
      </c>
      <c r="B3713" s="13" t="s">
        <v>7314</v>
      </c>
      <c r="C3713" s="13" t="s">
        <v>7322</v>
      </c>
      <c r="D3713" s="13">
        <v>1</v>
      </c>
      <c r="E3713" s="179" t="s">
        <v>7323</v>
      </c>
      <c r="F3713" s="13" t="s">
        <v>11</v>
      </c>
    </row>
    <row r="3714" ht="18" customHeight="1" spans="1:6">
      <c r="A3714" s="13" t="s">
        <v>6225</v>
      </c>
      <c r="B3714" s="13" t="s">
        <v>7314</v>
      </c>
      <c r="C3714" s="13" t="s">
        <v>7324</v>
      </c>
      <c r="D3714" s="13">
        <v>1</v>
      </c>
      <c r="E3714" s="179" t="s">
        <v>7325</v>
      </c>
      <c r="F3714" s="13" t="s">
        <v>11</v>
      </c>
    </row>
    <row r="3715" ht="18" customHeight="1" spans="1:6">
      <c r="A3715" s="13" t="s">
        <v>6225</v>
      </c>
      <c r="B3715" s="13" t="s">
        <v>7314</v>
      </c>
      <c r="C3715" s="13" t="s">
        <v>7326</v>
      </c>
      <c r="D3715" s="13">
        <v>1</v>
      </c>
      <c r="E3715" s="179" t="s">
        <v>7327</v>
      </c>
      <c r="F3715" s="13" t="s">
        <v>11</v>
      </c>
    </row>
    <row r="3716" ht="18" customHeight="1" spans="1:6">
      <c r="A3716" s="13" t="s">
        <v>6225</v>
      </c>
      <c r="B3716" s="13" t="s">
        <v>7314</v>
      </c>
      <c r="C3716" s="13" t="s">
        <v>7328</v>
      </c>
      <c r="D3716" s="13">
        <v>1</v>
      </c>
      <c r="E3716" s="179" t="s">
        <v>7329</v>
      </c>
      <c r="F3716" s="13" t="s">
        <v>11</v>
      </c>
    </row>
    <row r="3717" ht="18" customHeight="1" spans="1:6">
      <c r="A3717" s="13" t="s">
        <v>6225</v>
      </c>
      <c r="B3717" s="13" t="s">
        <v>7314</v>
      </c>
      <c r="C3717" s="13" t="s">
        <v>7330</v>
      </c>
      <c r="D3717" s="13">
        <v>1</v>
      </c>
      <c r="E3717" s="179" t="s">
        <v>7331</v>
      </c>
      <c r="F3717" s="13" t="s">
        <v>11</v>
      </c>
    </row>
    <row r="3718" ht="18" customHeight="1" spans="1:6">
      <c r="A3718" s="13" t="s">
        <v>6225</v>
      </c>
      <c r="B3718" s="13" t="s">
        <v>7314</v>
      </c>
      <c r="C3718" s="13" t="s">
        <v>7332</v>
      </c>
      <c r="D3718" s="13">
        <v>1</v>
      </c>
      <c r="E3718" s="179" t="s">
        <v>7333</v>
      </c>
      <c r="F3718" s="13" t="s">
        <v>11</v>
      </c>
    </row>
    <row r="3719" ht="18" customHeight="1" spans="1:6">
      <c r="A3719" s="13" t="s">
        <v>6225</v>
      </c>
      <c r="B3719" s="13" t="s">
        <v>7314</v>
      </c>
      <c r="C3719" s="13" t="s">
        <v>7334</v>
      </c>
      <c r="D3719" s="13">
        <v>2</v>
      </c>
      <c r="E3719" s="179" t="s">
        <v>7335</v>
      </c>
      <c r="F3719" s="13" t="s">
        <v>11</v>
      </c>
    </row>
    <row r="3720" ht="18" customHeight="1" spans="1:6">
      <c r="A3720" s="13" t="s">
        <v>6225</v>
      </c>
      <c r="B3720" s="13" t="s">
        <v>7314</v>
      </c>
      <c r="C3720" s="13" t="s">
        <v>6711</v>
      </c>
      <c r="D3720" s="13">
        <v>1</v>
      </c>
      <c r="E3720" s="179" t="s">
        <v>7336</v>
      </c>
      <c r="F3720" s="13" t="s">
        <v>11</v>
      </c>
    </row>
    <row r="3721" ht="18" customHeight="1" spans="1:6">
      <c r="A3721" s="13" t="s">
        <v>6225</v>
      </c>
      <c r="B3721" s="13" t="s">
        <v>7314</v>
      </c>
      <c r="C3721" s="13" t="s">
        <v>7337</v>
      </c>
      <c r="D3721" s="13">
        <v>1</v>
      </c>
      <c r="E3721" s="13" t="s">
        <v>7338</v>
      </c>
      <c r="F3721" s="13" t="s">
        <v>11</v>
      </c>
    </row>
    <row r="3722" ht="18" customHeight="1" spans="1:6">
      <c r="A3722" s="13" t="s">
        <v>6225</v>
      </c>
      <c r="B3722" s="13" t="s">
        <v>7314</v>
      </c>
      <c r="C3722" s="13" t="s">
        <v>7339</v>
      </c>
      <c r="D3722" s="13">
        <v>1</v>
      </c>
      <c r="E3722" s="13" t="s">
        <v>7340</v>
      </c>
      <c r="F3722" s="13" t="s">
        <v>11</v>
      </c>
    </row>
    <row r="3723" ht="18" customHeight="1" spans="1:6">
      <c r="A3723" s="13" t="s">
        <v>6225</v>
      </c>
      <c r="B3723" s="13" t="s">
        <v>7341</v>
      </c>
      <c r="C3723" s="13" t="s">
        <v>7342</v>
      </c>
      <c r="D3723" s="13">
        <v>2</v>
      </c>
      <c r="E3723" s="179" t="s">
        <v>7343</v>
      </c>
      <c r="F3723" s="13" t="s">
        <v>11</v>
      </c>
    </row>
    <row r="3724" ht="18" customHeight="1" spans="1:6">
      <c r="A3724" s="13" t="s">
        <v>6225</v>
      </c>
      <c r="B3724" s="13" t="s">
        <v>7341</v>
      </c>
      <c r="C3724" s="13" t="s">
        <v>7344</v>
      </c>
      <c r="D3724" s="13">
        <v>2</v>
      </c>
      <c r="E3724" s="179" t="s">
        <v>7345</v>
      </c>
      <c r="F3724" s="13" t="s">
        <v>11</v>
      </c>
    </row>
    <row r="3725" ht="18" customHeight="1" spans="1:6">
      <c r="A3725" s="13" t="s">
        <v>6225</v>
      </c>
      <c r="B3725" s="13" t="s">
        <v>7341</v>
      </c>
      <c r="C3725" s="13" t="s">
        <v>3701</v>
      </c>
      <c r="D3725" s="13">
        <v>2</v>
      </c>
      <c r="E3725" s="179" t="s">
        <v>7346</v>
      </c>
      <c r="F3725" s="13" t="s">
        <v>11</v>
      </c>
    </row>
    <row r="3726" ht="18" customHeight="1" spans="1:6">
      <c r="A3726" s="13" t="s">
        <v>6225</v>
      </c>
      <c r="B3726" s="13" t="s">
        <v>7341</v>
      </c>
      <c r="C3726" s="13" t="s">
        <v>7347</v>
      </c>
      <c r="D3726" s="13">
        <v>4</v>
      </c>
      <c r="E3726" s="179" t="s">
        <v>7348</v>
      </c>
      <c r="F3726" s="13" t="s">
        <v>11</v>
      </c>
    </row>
    <row r="3727" ht="18" customHeight="1" spans="1:6">
      <c r="A3727" s="13" t="s">
        <v>6225</v>
      </c>
      <c r="B3727" s="13" t="s">
        <v>7341</v>
      </c>
      <c r="C3727" s="13" t="s">
        <v>7349</v>
      </c>
      <c r="D3727" s="13">
        <v>2</v>
      </c>
      <c r="E3727" s="179" t="s">
        <v>7350</v>
      </c>
      <c r="F3727" s="13" t="s">
        <v>11</v>
      </c>
    </row>
    <row r="3728" ht="18" customHeight="1" spans="1:6">
      <c r="A3728" s="13" t="s">
        <v>6225</v>
      </c>
      <c r="B3728" s="13" t="s">
        <v>7341</v>
      </c>
      <c r="C3728" s="13" t="s">
        <v>7351</v>
      </c>
      <c r="D3728" s="13">
        <v>4</v>
      </c>
      <c r="E3728" s="179" t="s">
        <v>7352</v>
      </c>
      <c r="F3728" s="13" t="s">
        <v>11</v>
      </c>
    </row>
    <row r="3729" ht="18" customHeight="1" spans="1:6">
      <c r="A3729" s="13" t="s">
        <v>6225</v>
      </c>
      <c r="B3729" s="13" t="s">
        <v>7341</v>
      </c>
      <c r="C3729" s="13" t="s">
        <v>7353</v>
      </c>
      <c r="D3729" s="13">
        <v>3</v>
      </c>
      <c r="E3729" s="179" t="s">
        <v>7354</v>
      </c>
      <c r="F3729" s="13" t="s">
        <v>11</v>
      </c>
    </row>
    <row r="3730" ht="18" customHeight="1" spans="1:6">
      <c r="A3730" s="13" t="s">
        <v>6225</v>
      </c>
      <c r="B3730" s="13" t="s">
        <v>7341</v>
      </c>
      <c r="C3730" s="13" t="s">
        <v>7355</v>
      </c>
      <c r="D3730" s="13">
        <v>1</v>
      </c>
      <c r="E3730" s="179" t="s">
        <v>7356</v>
      </c>
      <c r="F3730" s="13" t="s">
        <v>11</v>
      </c>
    </row>
    <row r="3731" ht="18" customHeight="1" spans="1:6">
      <c r="A3731" s="13" t="s">
        <v>6225</v>
      </c>
      <c r="B3731" s="13" t="s">
        <v>7341</v>
      </c>
      <c r="C3731" s="13" t="s">
        <v>7357</v>
      </c>
      <c r="D3731" s="13">
        <v>1</v>
      </c>
      <c r="E3731" s="179" t="s">
        <v>7358</v>
      </c>
      <c r="F3731" s="13" t="s">
        <v>11</v>
      </c>
    </row>
    <row r="3732" ht="18" customHeight="1" spans="1:6">
      <c r="A3732" s="13" t="s">
        <v>6225</v>
      </c>
      <c r="B3732" s="13" t="s">
        <v>7359</v>
      </c>
      <c r="C3732" s="13" t="s">
        <v>7360</v>
      </c>
      <c r="D3732" s="13">
        <v>5</v>
      </c>
      <c r="E3732" s="13" t="s">
        <v>7361</v>
      </c>
      <c r="F3732" s="13" t="s">
        <v>11</v>
      </c>
    </row>
    <row r="3733" ht="18" customHeight="1" spans="1:6">
      <c r="A3733" s="13" t="s">
        <v>6225</v>
      </c>
      <c r="B3733" s="13" t="s">
        <v>7359</v>
      </c>
      <c r="C3733" s="13" t="s">
        <v>7362</v>
      </c>
      <c r="D3733" s="13">
        <v>3</v>
      </c>
      <c r="E3733" s="13" t="s">
        <v>7363</v>
      </c>
      <c r="F3733" s="13" t="s">
        <v>11</v>
      </c>
    </row>
    <row r="3734" ht="18" customHeight="1" spans="1:6">
      <c r="A3734" s="13" t="s">
        <v>6225</v>
      </c>
      <c r="B3734" s="13" t="s">
        <v>7359</v>
      </c>
      <c r="C3734" s="13" t="s">
        <v>7364</v>
      </c>
      <c r="D3734" s="13">
        <v>4</v>
      </c>
      <c r="E3734" s="13" t="s">
        <v>7365</v>
      </c>
      <c r="F3734" s="13" t="s">
        <v>11</v>
      </c>
    </row>
    <row r="3735" ht="18" customHeight="1" spans="1:6">
      <c r="A3735" s="13" t="s">
        <v>6225</v>
      </c>
      <c r="B3735" s="13" t="s">
        <v>7359</v>
      </c>
      <c r="C3735" s="13" t="s">
        <v>7366</v>
      </c>
      <c r="D3735" s="13">
        <v>1</v>
      </c>
      <c r="E3735" s="179" t="s">
        <v>7367</v>
      </c>
      <c r="F3735" s="13" t="s">
        <v>11</v>
      </c>
    </row>
    <row r="3736" ht="18" customHeight="1" spans="1:6">
      <c r="A3736" s="13" t="s">
        <v>6225</v>
      </c>
      <c r="B3736" s="13" t="s">
        <v>7368</v>
      </c>
      <c r="C3736" s="13" t="s">
        <v>7369</v>
      </c>
      <c r="D3736" s="13">
        <v>3</v>
      </c>
      <c r="E3736" s="13" t="s">
        <v>7370</v>
      </c>
      <c r="F3736" s="13" t="s">
        <v>11</v>
      </c>
    </row>
    <row r="3737" ht="18" customHeight="1" spans="1:6">
      <c r="A3737" s="13" t="s">
        <v>6225</v>
      </c>
      <c r="B3737" s="13" t="s">
        <v>7368</v>
      </c>
      <c r="C3737" s="13" t="s">
        <v>7371</v>
      </c>
      <c r="D3737" s="13">
        <v>4</v>
      </c>
      <c r="E3737" s="13" t="s">
        <v>7372</v>
      </c>
      <c r="F3737" s="13" t="s">
        <v>11</v>
      </c>
    </row>
    <row r="3738" ht="18" customHeight="1" spans="1:6">
      <c r="A3738" s="13" t="s">
        <v>6225</v>
      </c>
      <c r="B3738" s="13" t="s">
        <v>7368</v>
      </c>
      <c r="C3738" s="13" t="s">
        <v>7373</v>
      </c>
      <c r="D3738" s="13">
        <v>2</v>
      </c>
      <c r="E3738" s="13" t="s">
        <v>7374</v>
      </c>
      <c r="F3738" s="13" t="s">
        <v>11</v>
      </c>
    </row>
    <row r="3739" ht="18" customHeight="1" spans="1:6">
      <c r="A3739" s="13" t="s">
        <v>6225</v>
      </c>
      <c r="B3739" s="13" t="s">
        <v>7368</v>
      </c>
      <c r="C3739" s="13" t="s">
        <v>7375</v>
      </c>
      <c r="D3739" s="13">
        <v>1</v>
      </c>
      <c r="E3739" s="13" t="s">
        <v>7376</v>
      </c>
      <c r="F3739" s="13" t="s">
        <v>11</v>
      </c>
    </row>
    <row r="3740" ht="18" customHeight="1" spans="1:6">
      <c r="A3740" s="13" t="s">
        <v>6225</v>
      </c>
      <c r="B3740" s="13" t="s">
        <v>7368</v>
      </c>
      <c r="C3740" s="13" t="s">
        <v>7377</v>
      </c>
      <c r="D3740" s="13">
        <v>3</v>
      </c>
      <c r="E3740" s="13" t="s">
        <v>7378</v>
      </c>
      <c r="F3740" s="13" t="s">
        <v>11</v>
      </c>
    </row>
    <row r="3741" ht="18" customHeight="1" spans="1:6">
      <c r="A3741" s="13" t="s">
        <v>6225</v>
      </c>
      <c r="B3741" s="13" t="s">
        <v>7368</v>
      </c>
      <c r="C3741" s="13" t="s">
        <v>7379</v>
      </c>
      <c r="D3741" s="13">
        <v>2</v>
      </c>
      <c r="E3741" s="13" t="s">
        <v>7380</v>
      </c>
      <c r="F3741" s="13" t="s">
        <v>11</v>
      </c>
    </row>
    <row r="3742" ht="18" customHeight="1" spans="1:6">
      <c r="A3742" s="13" t="s">
        <v>6225</v>
      </c>
      <c r="B3742" s="13" t="s">
        <v>7368</v>
      </c>
      <c r="C3742" s="13" t="s">
        <v>7381</v>
      </c>
      <c r="D3742" s="13">
        <v>4</v>
      </c>
      <c r="E3742" s="13" t="s">
        <v>7382</v>
      </c>
      <c r="F3742" s="13" t="s">
        <v>11</v>
      </c>
    </row>
    <row r="3743" ht="18" customHeight="1" spans="1:6">
      <c r="A3743" s="13" t="s">
        <v>6225</v>
      </c>
      <c r="B3743" s="13" t="s">
        <v>7368</v>
      </c>
      <c r="C3743" s="13" t="s">
        <v>7383</v>
      </c>
      <c r="D3743" s="13">
        <v>3</v>
      </c>
      <c r="E3743" s="13" t="s">
        <v>7384</v>
      </c>
      <c r="F3743" s="13" t="s">
        <v>11</v>
      </c>
    </row>
    <row r="3744" ht="18" customHeight="1" spans="1:6">
      <c r="A3744" s="13" t="s">
        <v>6225</v>
      </c>
      <c r="B3744" s="13" t="s">
        <v>7368</v>
      </c>
      <c r="C3744" s="13" t="s">
        <v>7385</v>
      </c>
      <c r="D3744" s="13">
        <v>4</v>
      </c>
      <c r="E3744" s="13" t="s">
        <v>7386</v>
      </c>
      <c r="F3744" s="13" t="s">
        <v>11</v>
      </c>
    </row>
    <row r="3745" ht="18" customHeight="1" spans="1:6">
      <c r="A3745" s="13" t="s">
        <v>6225</v>
      </c>
      <c r="B3745" s="13" t="s">
        <v>7368</v>
      </c>
      <c r="C3745" s="13" t="s">
        <v>7387</v>
      </c>
      <c r="D3745" s="13">
        <v>4</v>
      </c>
      <c r="E3745" s="13" t="s">
        <v>7388</v>
      </c>
      <c r="F3745" s="13" t="s">
        <v>11</v>
      </c>
    </row>
    <row r="3746" ht="18" customHeight="1" spans="1:6">
      <c r="A3746" s="13" t="s">
        <v>6225</v>
      </c>
      <c r="B3746" s="13" t="s">
        <v>7368</v>
      </c>
      <c r="C3746" s="13" t="s">
        <v>7389</v>
      </c>
      <c r="D3746" s="13">
        <v>5</v>
      </c>
      <c r="E3746" s="13" t="s">
        <v>7390</v>
      </c>
      <c r="F3746" s="13" t="s">
        <v>11</v>
      </c>
    </row>
    <row r="3747" ht="18" customHeight="1" spans="1:6">
      <c r="A3747" s="13" t="s">
        <v>6225</v>
      </c>
      <c r="B3747" s="13" t="s">
        <v>7368</v>
      </c>
      <c r="C3747" s="13" t="s">
        <v>7391</v>
      </c>
      <c r="D3747" s="13">
        <v>3</v>
      </c>
      <c r="E3747" s="13" t="s">
        <v>7392</v>
      </c>
      <c r="F3747" s="13" t="s">
        <v>11</v>
      </c>
    </row>
    <row r="3748" ht="18" customHeight="1" spans="1:6">
      <c r="A3748" s="13" t="s">
        <v>6225</v>
      </c>
      <c r="B3748" s="13" t="s">
        <v>7368</v>
      </c>
      <c r="C3748" s="13" t="s">
        <v>7393</v>
      </c>
      <c r="D3748" s="13">
        <v>4</v>
      </c>
      <c r="E3748" s="13" t="s">
        <v>7394</v>
      </c>
      <c r="F3748" s="13" t="s">
        <v>11</v>
      </c>
    </row>
    <row r="3749" ht="18" customHeight="1" spans="1:6">
      <c r="A3749" s="13" t="s">
        <v>6225</v>
      </c>
      <c r="B3749" s="13" t="s">
        <v>7368</v>
      </c>
      <c r="C3749" s="13" t="s">
        <v>7395</v>
      </c>
      <c r="D3749" s="13">
        <v>5</v>
      </c>
      <c r="E3749" s="13" t="s">
        <v>7396</v>
      </c>
      <c r="F3749" s="13" t="s">
        <v>11</v>
      </c>
    </row>
    <row r="3750" ht="18" customHeight="1" spans="1:6">
      <c r="A3750" s="13" t="s">
        <v>6225</v>
      </c>
      <c r="B3750" s="13" t="s">
        <v>7368</v>
      </c>
      <c r="C3750" s="13" t="s">
        <v>7397</v>
      </c>
      <c r="D3750" s="13">
        <v>4</v>
      </c>
      <c r="E3750" s="13" t="s">
        <v>7398</v>
      </c>
      <c r="F3750" s="13" t="s">
        <v>11</v>
      </c>
    </row>
    <row r="3751" ht="18" customHeight="1" spans="1:6">
      <c r="A3751" s="13" t="s">
        <v>6225</v>
      </c>
      <c r="B3751" s="13" t="s">
        <v>7368</v>
      </c>
      <c r="C3751" s="13" t="s">
        <v>7399</v>
      </c>
      <c r="D3751" s="13">
        <v>5</v>
      </c>
      <c r="E3751" s="13" t="s">
        <v>7400</v>
      </c>
      <c r="F3751" s="13" t="s">
        <v>11</v>
      </c>
    </row>
    <row r="3752" ht="18" customHeight="1" spans="1:6">
      <c r="A3752" s="13" t="s">
        <v>6225</v>
      </c>
      <c r="B3752" s="13" t="s">
        <v>7368</v>
      </c>
      <c r="C3752" s="13" t="s">
        <v>7401</v>
      </c>
      <c r="D3752" s="13">
        <v>5</v>
      </c>
      <c r="E3752" s="13" t="s">
        <v>7402</v>
      </c>
      <c r="F3752" s="13" t="s">
        <v>11</v>
      </c>
    </row>
    <row r="3753" ht="18" customHeight="1" spans="1:6">
      <c r="A3753" s="13" t="s">
        <v>6225</v>
      </c>
      <c r="B3753" s="13" t="s">
        <v>7368</v>
      </c>
      <c r="C3753" s="13" t="s">
        <v>7403</v>
      </c>
      <c r="D3753" s="13">
        <v>5</v>
      </c>
      <c r="E3753" s="13" t="s">
        <v>7404</v>
      </c>
      <c r="F3753" s="13" t="s">
        <v>11</v>
      </c>
    </row>
    <row r="3754" ht="18" customHeight="1" spans="1:6">
      <c r="A3754" s="13" t="s">
        <v>6225</v>
      </c>
      <c r="B3754" s="13" t="s">
        <v>7368</v>
      </c>
      <c r="C3754" s="13" t="s">
        <v>7405</v>
      </c>
      <c r="D3754" s="13">
        <v>4</v>
      </c>
      <c r="E3754" s="13" t="s">
        <v>7406</v>
      </c>
      <c r="F3754" s="13" t="s">
        <v>11</v>
      </c>
    </row>
    <row r="3755" ht="18" customHeight="1" spans="1:6">
      <c r="A3755" s="13" t="s">
        <v>6225</v>
      </c>
      <c r="B3755" s="13" t="s">
        <v>7368</v>
      </c>
      <c r="C3755" s="13" t="s">
        <v>7407</v>
      </c>
      <c r="D3755" s="13">
        <v>3</v>
      </c>
      <c r="E3755" s="13" t="s">
        <v>7408</v>
      </c>
      <c r="F3755" s="13" t="s">
        <v>11</v>
      </c>
    </row>
    <row r="3756" ht="18" customHeight="1" spans="1:6">
      <c r="A3756" s="13" t="s">
        <v>6225</v>
      </c>
      <c r="B3756" s="13" t="s">
        <v>7368</v>
      </c>
      <c r="C3756" s="13" t="s">
        <v>7409</v>
      </c>
      <c r="D3756" s="13">
        <v>2</v>
      </c>
      <c r="E3756" s="13" t="s">
        <v>7410</v>
      </c>
      <c r="F3756" s="13" t="s">
        <v>11</v>
      </c>
    </row>
    <row r="3757" ht="18" customHeight="1" spans="1:6">
      <c r="A3757" s="13" t="s">
        <v>6225</v>
      </c>
      <c r="B3757" s="13" t="s">
        <v>7368</v>
      </c>
      <c r="C3757" s="13" t="s">
        <v>7411</v>
      </c>
      <c r="D3757" s="13">
        <v>2</v>
      </c>
      <c r="E3757" s="13" t="s">
        <v>7412</v>
      </c>
      <c r="F3757" s="13" t="s">
        <v>11</v>
      </c>
    </row>
    <row r="3758" ht="18" customHeight="1" spans="1:6">
      <c r="A3758" s="13" t="s">
        <v>6225</v>
      </c>
      <c r="B3758" s="13" t="s">
        <v>7368</v>
      </c>
      <c r="C3758" s="13" t="s">
        <v>7413</v>
      </c>
      <c r="D3758" s="13">
        <v>1</v>
      </c>
      <c r="E3758" s="13" t="s">
        <v>7414</v>
      </c>
      <c r="F3758" s="13" t="s">
        <v>11</v>
      </c>
    </row>
    <row r="3759" ht="18" customHeight="1" spans="1:6">
      <c r="A3759" s="13" t="s">
        <v>6225</v>
      </c>
      <c r="B3759" s="13" t="s">
        <v>7368</v>
      </c>
      <c r="C3759" s="13" t="s">
        <v>7415</v>
      </c>
      <c r="D3759" s="13">
        <v>2</v>
      </c>
      <c r="E3759" s="13" t="s">
        <v>7416</v>
      </c>
      <c r="F3759" s="13" t="s">
        <v>11</v>
      </c>
    </row>
    <row r="3760" ht="18" customHeight="1" spans="1:6">
      <c r="A3760" s="13" t="s">
        <v>6225</v>
      </c>
      <c r="B3760" s="13" t="s">
        <v>7368</v>
      </c>
      <c r="C3760" s="13" t="s">
        <v>7417</v>
      </c>
      <c r="D3760" s="13">
        <v>2</v>
      </c>
      <c r="E3760" s="13" t="s">
        <v>7418</v>
      </c>
      <c r="F3760" s="13" t="s">
        <v>11</v>
      </c>
    </row>
    <row r="3761" ht="18" customHeight="1" spans="1:6">
      <c r="A3761" s="13" t="s">
        <v>6225</v>
      </c>
      <c r="B3761" s="13" t="s">
        <v>7368</v>
      </c>
      <c r="C3761" s="13" t="s">
        <v>7419</v>
      </c>
      <c r="D3761" s="13">
        <v>4</v>
      </c>
      <c r="E3761" s="13" t="s">
        <v>7420</v>
      </c>
      <c r="F3761" s="13" t="s">
        <v>11</v>
      </c>
    </row>
    <row r="3762" ht="18" customHeight="1" spans="1:6">
      <c r="A3762" s="13" t="s">
        <v>6225</v>
      </c>
      <c r="B3762" s="13" t="s">
        <v>7368</v>
      </c>
      <c r="C3762" s="13" t="s">
        <v>7421</v>
      </c>
      <c r="D3762" s="13">
        <v>2</v>
      </c>
      <c r="E3762" s="13" t="s">
        <v>7422</v>
      </c>
      <c r="F3762" s="13" t="s">
        <v>11</v>
      </c>
    </row>
    <row r="3763" ht="18" customHeight="1" spans="1:6">
      <c r="A3763" s="13" t="s">
        <v>6225</v>
      </c>
      <c r="B3763" s="13" t="s">
        <v>7368</v>
      </c>
      <c r="C3763" s="13" t="s">
        <v>7423</v>
      </c>
      <c r="D3763" s="13">
        <v>2</v>
      </c>
      <c r="E3763" s="13" t="s">
        <v>7424</v>
      </c>
      <c r="F3763" s="13" t="s">
        <v>11</v>
      </c>
    </row>
    <row r="3764" ht="18" customHeight="1" spans="1:6">
      <c r="A3764" s="13" t="s">
        <v>6225</v>
      </c>
      <c r="B3764" s="13" t="s">
        <v>7368</v>
      </c>
      <c r="C3764" s="13" t="s">
        <v>7425</v>
      </c>
      <c r="D3764" s="13">
        <v>2</v>
      </c>
      <c r="E3764" s="13" t="s">
        <v>7426</v>
      </c>
      <c r="F3764" s="13" t="s">
        <v>11</v>
      </c>
    </row>
    <row r="3765" ht="18" customHeight="1" spans="1:6">
      <c r="A3765" s="13" t="s">
        <v>6225</v>
      </c>
      <c r="B3765" s="13" t="s">
        <v>7368</v>
      </c>
      <c r="C3765" s="13" t="s">
        <v>7427</v>
      </c>
      <c r="D3765" s="13">
        <v>3</v>
      </c>
      <c r="E3765" s="13" t="s">
        <v>7428</v>
      </c>
      <c r="F3765" s="13" t="s">
        <v>11</v>
      </c>
    </row>
    <row r="3766" ht="18" customHeight="1" spans="1:6">
      <c r="A3766" s="13" t="s">
        <v>6225</v>
      </c>
      <c r="B3766" s="13" t="s">
        <v>7429</v>
      </c>
      <c r="C3766" s="13" t="s">
        <v>7430</v>
      </c>
      <c r="D3766" s="13">
        <v>1</v>
      </c>
      <c r="E3766" s="13" t="s">
        <v>7431</v>
      </c>
      <c r="F3766" s="13" t="s">
        <v>11</v>
      </c>
    </row>
    <row r="3767" ht="18" customHeight="1" spans="1:6">
      <c r="A3767" s="13" t="s">
        <v>6225</v>
      </c>
      <c r="B3767" s="13" t="s">
        <v>7429</v>
      </c>
      <c r="C3767" s="13" t="s">
        <v>7432</v>
      </c>
      <c r="D3767" s="13">
        <v>1</v>
      </c>
      <c r="E3767" s="13" t="s">
        <v>7433</v>
      </c>
      <c r="F3767" s="13" t="s">
        <v>11</v>
      </c>
    </row>
    <row r="3768" ht="18" customHeight="1" spans="1:6">
      <c r="A3768" s="13" t="s">
        <v>6225</v>
      </c>
      <c r="B3768" s="13" t="s">
        <v>7429</v>
      </c>
      <c r="C3768" s="13" t="s">
        <v>7434</v>
      </c>
      <c r="D3768" s="13">
        <v>1</v>
      </c>
      <c r="E3768" s="13" t="s">
        <v>7435</v>
      </c>
      <c r="F3768" s="13" t="s">
        <v>11</v>
      </c>
    </row>
    <row r="3769" ht="18" customHeight="1" spans="1:6">
      <c r="A3769" s="13" t="s">
        <v>6225</v>
      </c>
      <c r="B3769" s="13" t="s">
        <v>7429</v>
      </c>
      <c r="C3769" s="13" t="s">
        <v>7300</v>
      </c>
      <c r="D3769" s="13">
        <v>1</v>
      </c>
      <c r="E3769" s="13" t="s">
        <v>7436</v>
      </c>
      <c r="F3769" s="13" t="s">
        <v>11</v>
      </c>
    </row>
    <row r="3770" ht="18" customHeight="1" spans="1:6">
      <c r="A3770" s="13" t="s">
        <v>6225</v>
      </c>
      <c r="B3770" s="13" t="s">
        <v>7429</v>
      </c>
      <c r="C3770" s="13" t="s">
        <v>7437</v>
      </c>
      <c r="D3770" s="13">
        <v>1</v>
      </c>
      <c r="E3770" s="13" t="s">
        <v>7438</v>
      </c>
      <c r="F3770" s="13" t="s">
        <v>11</v>
      </c>
    </row>
    <row r="3771" ht="18" customHeight="1" spans="1:6">
      <c r="A3771" s="13" t="s">
        <v>6225</v>
      </c>
      <c r="B3771" s="13" t="s">
        <v>7429</v>
      </c>
      <c r="C3771" s="13" t="s">
        <v>7439</v>
      </c>
      <c r="D3771" s="13">
        <v>1</v>
      </c>
      <c r="E3771" s="13" t="s">
        <v>7440</v>
      </c>
      <c r="F3771" s="13" t="s">
        <v>11</v>
      </c>
    </row>
    <row r="3772" ht="18" customHeight="1" spans="1:6">
      <c r="A3772" s="13" t="s">
        <v>6225</v>
      </c>
      <c r="B3772" s="13" t="s">
        <v>7429</v>
      </c>
      <c r="C3772" s="13" t="s">
        <v>7441</v>
      </c>
      <c r="D3772" s="13">
        <v>1</v>
      </c>
      <c r="E3772" s="13" t="s">
        <v>7442</v>
      </c>
      <c r="F3772" s="13" t="s">
        <v>11</v>
      </c>
    </row>
    <row r="3773" ht="18" customHeight="1" spans="1:6">
      <c r="A3773" s="13" t="s">
        <v>6225</v>
      </c>
      <c r="B3773" s="13" t="s">
        <v>7429</v>
      </c>
      <c r="C3773" s="13" t="s">
        <v>7443</v>
      </c>
      <c r="D3773" s="13">
        <v>1</v>
      </c>
      <c r="E3773" s="13" t="s">
        <v>7444</v>
      </c>
      <c r="F3773" s="13" t="s">
        <v>11</v>
      </c>
    </row>
    <row r="3774" ht="18" customHeight="1" spans="1:6">
      <c r="A3774" s="13" t="s">
        <v>6225</v>
      </c>
      <c r="B3774" s="13" t="s">
        <v>7429</v>
      </c>
      <c r="C3774" s="13" t="s">
        <v>7445</v>
      </c>
      <c r="D3774" s="13">
        <v>1</v>
      </c>
      <c r="E3774" s="13" t="s">
        <v>7446</v>
      </c>
      <c r="F3774" s="13" t="s">
        <v>11</v>
      </c>
    </row>
    <row r="3775" ht="18" customHeight="1" spans="1:6">
      <c r="A3775" s="13" t="s">
        <v>6225</v>
      </c>
      <c r="B3775" s="13" t="s">
        <v>7429</v>
      </c>
      <c r="C3775" s="13" t="s">
        <v>7447</v>
      </c>
      <c r="D3775" s="13">
        <v>6</v>
      </c>
      <c r="E3775" s="13" t="s">
        <v>7448</v>
      </c>
      <c r="F3775" s="13" t="s">
        <v>11</v>
      </c>
    </row>
    <row r="3776" ht="18" customHeight="1" spans="1:6">
      <c r="A3776" s="13" t="s">
        <v>6225</v>
      </c>
      <c r="B3776" s="13" t="s">
        <v>7429</v>
      </c>
      <c r="C3776" s="13" t="s">
        <v>7449</v>
      </c>
      <c r="D3776" s="13">
        <v>5</v>
      </c>
      <c r="E3776" s="13" t="s">
        <v>7450</v>
      </c>
      <c r="F3776" s="13" t="s">
        <v>11</v>
      </c>
    </row>
    <row r="3777" ht="18" customHeight="1" spans="1:6">
      <c r="A3777" s="13" t="s">
        <v>6225</v>
      </c>
      <c r="B3777" s="13" t="s">
        <v>7429</v>
      </c>
      <c r="C3777" s="13" t="s">
        <v>7451</v>
      </c>
      <c r="D3777" s="13">
        <v>4</v>
      </c>
      <c r="E3777" s="13" t="s">
        <v>7452</v>
      </c>
      <c r="F3777" s="13" t="s">
        <v>11</v>
      </c>
    </row>
    <row r="3778" ht="18" customHeight="1" spans="1:6">
      <c r="A3778" s="13" t="s">
        <v>6225</v>
      </c>
      <c r="B3778" s="13" t="s">
        <v>7429</v>
      </c>
      <c r="C3778" s="13" t="s">
        <v>7453</v>
      </c>
      <c r="D3778" s="13">
        <v>4</v>
      </c>
      <c r="E3778" s="13" t="s">
        <v>7454</v>
      </c>
      <c r="F3778" s="13" t="s">
        <v>11</v>
      </c>
    </row>
    <row r="3779" ht="18" customHeight="1" spans="1:6">
      <c r="A3779" s="13" t="s">
        <v>6225</v>
      </c>
      <c r="B3779" s="13" t="s">
        <v>7429</v>
      </c>
      <c r="C3779" s="13" t="s">
        <v>7455</v>
      </c>
      <c r="D3779" s="13">
        <v>4</v>
      </c>
      <c r="E3779" s="13" t="s">
        <v>7456</v>
      </c>
      <c r="F3779" s="13" t="s">
        <v>11</v>
      </c>
    </row>
    <row r="3780" ht="18" customHeight="1" spans="1:6">
      <c r="A3780" s="13" t="s">
        <v>6225</v>
      </c>
      <c r="B3780" s="13" t="s">
        <v>7429</v>
      </c>
      <c r="C3780" s="13" t="s">
        <v>7457</v>
      </c>
      <c r="D3780" s="13">
        <v>6</v>
      </c>
      <c r="E3780" s="13" t="s">
        <v>7458</v>
      </c>
      <c r="F3780" s="13" t="s">
        <v>11</v>
      </c>
    </row>
    <row r="3781" ht="18" customHeight="1" spans="1:6">
      <c r="A3781" s="13" t="s">
        <v>6225</v>
      </c>
      <c r="B3781" s="13" t="s">
        <v>7429</v>
      </c>
      <c r="C3781" s="13" t="s">
        <v>7459</v>
      </c>
      <c r="D3781" s="13">
        <v>5</v>
      </c>
      <c r="E3781" s="13" t="s">
        <v>7460</v>
      </c>
      <c r="F3781" s="13" t="s">
        <v>11</v>
      </c>
    </row>
    <row r="3782" ht="18" customHeight="1" spans="1:6">
      <c r="A3782" s="13" t="s">
        <v>6225</v>
      </c>
      <c r="B3782" s="13" t="s">
        <v>7429</v>
      </c>
      <c r="C3782" s="13" t="s">
        <v>7461</v>
      </c>
      <c r="D3782" s="13">
        <v>5</v>
      </c>
      <c r="E3782" s="13" t="s">
        <v>7462</v>
      </c>
      <c r="F3782" s="13" t="s">
        <v>11</v>
      </c>
    </row>
    <row r="3783" ht="18" customHeight="1" spans="1:6">
      <c r="A3783" s="13" t="s">
        <v>6225</v>
      </c>
      <c r="B3783" s="13" t="s">
        <v>7429</v>
      </c>
      <c r="C3783" s="13" t="s">
        <v>7463</v>
      </c>
      <c r="D3783" s="13">
        <v>3</v>
      </c>
      <c r="E3783" s="13" t="s">
        <v>7464</v>
      </c>
      <c r="F3783" s="13" t="s">
        <v>11</v>
      </c>
    </row>
    <row r="3784" ht="18" customHeight="1" spans="1:6">
      <c r="A3784" s="13" t="s">
        <v>6225</v>
      </c>
      <c r="B3784" s="13" t="s">
        <v>7429</v>
      </c>
      <c r="C3784" s="13" t="s">
        <v>7465</v>
      </c>
      <c r="D3784" s="13">
        <v>3</v>
      </c>
      <c r="E3784" s="13" t="s">
        <v>7466</v>
      </c>
      <c r="F3784" s="13" t="s">
        <v>11</v>
      </c>
    </row>
    <row r="3785" ht="18" customHeight="1" spans="1:6">
      <c r="A3785" s="13" t="s">
        <v>6225</v>
      </c>
      <c r="B3785" s="13" t="s">
        <v>7429</v>
      </c>
      <c r="C3785" s="13" t="s">
        <v>7467</v>
      </c>
      <c r="D3785" s="13">
        <v>3</v>
      </c>
      <c r="E3785" s="13" t="s">
        <v>7468</v>
      </c>
      <c r="F3785" s="13" t="s">
        <v>11</v>
      </c>
    </row>
    <row r="3786" ht="18" customHeight="1" spans="1:6">
      <c r="A3786" s="13" t="s">
        <v>6225</v>
      </c>
      <c r="B3786" s="13" t="s">
        <v>7429</v>
      </c>
      <c r="C3786" s="13" t="s">
        <v>6782</v>
      </c>
      <c r="D3786" s="13">
        <v>3</v>
      </c>
      <c r="E3786" s="179" t="s">
        <v>7469</v>
      </c>
      <c r="F3786" s="13" t="s">
        <v>11</v>
      </c>
    </row>
    <row r="3787" ht="18" customHeight="1" spans="1:6">
      <c r="A3787" s="13" t="s">
        <v>6225</v>
      </c>
      <c r="B3787" s="13" t="s">
        <v>7429</v>
      </c>
      <c r="C3787" s="13" t="s">
        <v>7470</v>
      </c>
      <c r="D3787" s="13">
        <v>3</v>
      </c>
      <c r="E3787" s="13" t="s">
        <v>7471</v>
      </c>
      <c r="F3787" s="13" t="s">
        <v>11</v>
      </c>
    </row>
    <row r="3788" ht="18" customHeight="1" spans="1:6">
      <c r="A3788" s="13" t="s">
        <v>6225</v>
      </c>
      <c r="B3788" s="13" t="s">
        <v>7429</v>
      </c>
      <c r="C3788" s="13" t="s">
        <v>7472</v>
      </c>
      <c r="D3788" s="13">
        <v>3</v>
      </c>
      <c r="E3788" s="13" t="s">
        <v>7473</v>
      </c>
      <c r="F3788" s="13" t="s">
        <v>11</v>
      </c>
    </row>
    <row r="3789" ht="18" customHeight="1" spans="1:6">
      <c r="A3789" s="13" t="s">
        <v>6225</v>
      </c>
      <c r="B3789" s="13" t="s">
        <v>7429</v>
      </c>
      <c r="C3789" s="13" t="s">
        <v>7474</v>
      </c>
      <c r="D3789" s="13">
        <v>3</v>
      </c>
      <c r="E3789" s="13" t="s">
        <v>7475</v>
      </c>
      <c r="F3789" s="13" t="s">
        <v>11</v>
      </c>
    </row>
    <row r="3790" ht="18" customHeight="1" spans="1:6">
      <c r="A3790" s="13" t="s">
        <v>6225</v>
      </c>
      <c r="B3790" s="13" t="s">
        <v>7429</v>
      </c>
      <c r="C3790" s="13" t="s">
        <v>7476</v>
      </c>
      <c r="D3790" s="13">
        <v>3</v>
      </c>
      <c r="E3790" s="13" t="s">
        <v>7477</v>
      </c>
      <c r="F3790" s="13" t="s">
        <v>11</v>
      </c>
    </row>
    <row r="3791" ht="18" customHeight="1" spans="1:6">
      <c r="A3791" s="13" t="s">
        <v>6225</v>
      </c>
      <c r="B3791" s="13" t="s">
        <v>7429</v>
      </c>
      <c r="C3791" s="13" t="s">
        <v>7478</v>
      </c>
      <c r="D3791" s="13">
        <v>3</v>
      </c>
      <c r="E3791" s="13" t="s">
        <v>7479</v>
      </c>
      <c r="F3791" s="13" t="s">
        <v>11</v>
      </c>
    </row>
    <row r="3792" ht="18" customHeight="1" spans="1:6">
      <c r="A3792" s="13" t="s">
        <v>6225</v>
      </c>
      <c r="B3792" s="13" t="s">
        <v>7429</v>
      </c>
      <c r="C3792" s="13" t="s">
        <v>7480</v>
      </c>
      <c r="D3792" s="13">
        <v>3</v>
      </c>
      <c r="E3792" s="13" t="s">
        <v>7481</v>
      </c>
      <c r="F3792" s="13" t="s">
        <v>11</v>
      </c>
    </row>
    <row r="3793" ht="18" customHeight="1" spans="1:6">
      <c r="A3793" s="13" t="s">
        <v>6225</v>
      </c>
      <c r="B3793" s="13" t="s">
        <v>7429</v>
      </c>
      <c r="C3793" s="13" t="s">
        <v>7482</v>
      </c>
      <c r="D3793" s="13">
        <v>2</v>
      </c>
      <c r="E3793" s="13" t="s">
        <v>7483</v>
      </c>
      <c r="F3793" s="13" t="s">
        <v>11</v>
      </c>
    </row>
    <row r="3794" ht="18" customHeight="1" spans="1:6">
      <c r="A3794" s="13" t="s">
        <v>6225</v>
      </c>
      <c r="B3794" s="13" t="s">
        <v>7429</v>
      </c>
      <c r="C3794" s="13" t="s">
        <v>7484</v>
      </c>
      <c r="D3794" s="13">
        <v>2</v>
      </c>
      <c r="E3794" s="13" t="s">
        <v>7485</v>
      </c>
      <c r="F3794" s="13" t="s">
        <v>11</v>
      </c>
    </row>
    <row r="3795" ht="18" customHeight="1" spans="1:6">
      <c r="A3795" s="13" t="s">
        <v>6225</v>
      </c>
      <c r="B3795" s="13" t="s">
        <v>7429</v>
      </c>
      <c r="C3795" s="13" t="s">
        <v>7486</v>
      </c>
      <c r="D3795" s="13">
        <v>2</v>
      </c>
      <c r="E3795" s="13" t="s">
        <v>7487</v>
      </c>
      <c r="F3795" s="13" t="s">
        <v>11</v>
      </c>
    </row>
    <row r="3796" ht="18" customHeight="1" spans="1:6">
      <c r="A3796" s="13" t="s">
        <v>6225</v>
      </c>
      <c r="B3796" s="13" t="s">
        <v>7429</v>
      </c>
      <c r="C3796" s="13" t="s">
        <v>7488</v>
      </c>
      <c r="D3796" s="13">
        <v>2</v>
      </c>
      <c r="E3796" s="13" t="s">
        <v>7489</v>
      </c>
      <c r="F3796" s="13" t="s">
        <v>11</v>
      </c>
    </row>
    <row r="3797" ht="18" customHeight="1" spans="1:6">
      <c r="A3797" s="13" t="s">
        <v>6225</v>
      </c>
      <c r="B3797" s="13" t="s">
        <v>7429</v>
      </c>
      <c r="C3797" s="13" t="s">
        <v>7490</v>
      </c>
      <c r="D3797" s="13">
        <v>2</v>
      </c>
      <c r="E3797" s="179" t="s">
        <v>7491</v>
      </c>
      <c r="F3797" s="13" t="s">
        <v>11</v>
      </c>
    </row>
    <row r="3798" ht="18" customHeight="1" spans="1:6">
      <c r="A3798" s="13" t="s">
        <v>6225</v>
      </c>
      <c r="B3798" s="13" t="s">
        <v>7429</v>
      </c>
      <c r="C3798" s="13" t="s">
        <v>7492</v>
      </c>
      <c r="D3798" s="13">
        <v>2</v>
      </c>
      <c r="E3798" s="13" t="s">
        <v>7493</v>
      </c>
      <c r="F3798" s="13" t="s">
        <v>11</v>
      </c>
    </row>
    <row r="3799" ht="18" customHeight="1" spans="1:6">
      <c r="A3799" s="13" t="s">
        <v>6225</v>
      </c>
      <c r="B3799" s="13" t="s">
        <v>7429</v>
      </c>
      <c r="C3799" s="13" t="s">
        <v>7494</v>
      </c>
      <c r="D3799" s="13">
        <v>2</v>
      </c>
      <c r="E3799" s="13" t="s">
        <v>7495</v>
      </c>
      <c r="F3799" s="13" t="s">
        <v>11</v>
      </c>
    </row>
    <row r="3800" ht="18" customHeight="1" spans="1:6">
      <c r="A3800" s="13" t="s">
        <v>6225</v>
      </c>
      <c r="B3800" s="13" t="s">
        <v>7429</v>
      </c>
      <c r="C3800" s="13" t="s">
        <v>7496</v>
      </c>
      <c r="D3800" s="13">
        <v>4</v>
      </c>
      <c r="E3800" s="13" t="s">
        <v>7497</v>
      </c>
      <c r="F3800" s="13" t="s">
        <v>11</v>
      </c>
    </row>
    <row r="3801" ht="18" customHeight="1" spans="1:6">
      <c r="A3801" s="13" t="s">
        <v>6225</v>
      </c>
      <c r="B3801" s="13" t="s">
        <v>7429</v>
      </c>
      <c r="C3801" s="13" t="s">
        <v>7498</v>
      </c>
      <c r="D3801" s="13">
        <v>3</v>
      </c>
      <c r="E3801" s="13" t="s">
        <v>7499</v>
      </c>
      <c r="F3801" s="13" t="s">
        <v>11</v>
      </c>
    </row>
    <row r="3802" ht="18" customHeight="1" spans="1:6">
      <c r="A3802" s="13" t="s">
        <v>6225</v>
      </c>
      <c r="B3802" s="13" t="s">
        <v>7429</v>
      </c>
      <c r="C3802" s="13" t="s">
        <v>7500</v>
      </c>
      <c r="D3802" s="13">
        <v>3</v>
      </c>
      <c r="E3802" s="13" t="s">
        <v>7501</v>
      </c>
      <c r="F3802" s="13" t="s">
        <v>11</v>
      </c>
    </row>
    <row r="3803" ht="18" customHeight="1" spans="1:6">
      <c r="A3803" s="13" t="s">
        <v>6225</v>
      </c>
      <c r="B3803" s="13" t="s">
        <v>7429</v>
      </c>
      <c r="C3803" s="13" t="s">
        <v>7502</v>
      </c>
      <c r="D3803" s="13">
        <v>2</v>
      </c>
      <c r="E3803" s="13" t="s">
        <v>7503</v>
      </c>
      <c r="F3803" s="13" t="s">
        <v>11</v>
      </c>
    </row>
    <row r="3804" ht="18" customHeight="1" spans="1:6">
      <c r="A3804" s="13" t="s">
        <v>7504</v>
      </c>
      <c r="B3804" s="13"/>
      <c r="C3804" s="13">
        <v>634</v>
      </c>
      <c r="D3804" s="13">
        <v>1654</v>
      </c>
      <c r="E3804" s="13"/>
      <c r="F3804" s="13"/>
    </row>
    <row r="3805" ht="18" customHeight="1" spans="1:6">
      <c r="A3805" s="13" t="s">
        <v>7505</v>
      </c>
      <c r="B3805" s="13" t="s">
        <v>7506</v>
      </c>
      <c r="C3805" s="13" t="s">
        <v>7507</v>
      </c>
      <c r="D3805" s="6">
        <v>2</v>
      </c>
      <c r="E3805" s="8" t="s">
        <v>7508</v>
      </c>
      <c r="F3805" s="6" t="s">
        <v>11</v>
      </c>
    </row>
    <row r="3806" ht="18" customHeight="1" spans="1:6">
      <c r="A3806" s="13" t="s">
        <v>7505</v>
      </c>
      <c r="B3806" s="13" t="s">
        <v>7506</v>
      </c>
      <c r="C3806" s="13" t="s">
        <v>7509</v>
      </c>
      <c r="D3806" s="6">
        <v>2</v>
      </c>
      <c r="E3806" s="8" t="s">
        <v>7510</v>
      </c>
      <c r="F3806" s="6" t="s">
        <v>11</v>
      </c>
    </row>
    <row r="3807" ht="18" customHeight="1" spans="1:6">
      <c r="A3807" s="13" t="s">
        <v>7505</v>
      </c>
      <c r="B3807" s="13" t="s">
        <v>7506</v>
      </c>
      <c r="C3807" s="13" t="s">
        <v>7511</v>
      </c>
      <c r="D3807" s="6">
        <v>3</v>
      </c>
      <c r="E3807" s="8" t="s">
        <v>7512</v>
      </c>
      <c r="F3807" s="6" t="s">
        <v>11</v>
      </c>
    </row>
    <row r="3808" ht="18" customHeight="1" spans="1:6">
      <c r="A3808" s="13" t="s">
        <v>7505</v>
      </c>
      <c r="B3808" s="13" t="s">
        <v>7506</v>
      </c>
      <c r="C3808" s="13" t="s">
        <v>7513</v>
      </c>
      <c r="D3808" s="6">
        <v>2</v>
      </c>
      <c r="E3808" s="8" t="s">
        <v>7514</v>
      </c>
      <c r="F3808" s="6" t="s">
        <v>11</v>
      </c>
    </row>
    <row r="3809" ht="18" customHeight="1" spans="1:6">
      <c r="A3809" s="13" t="s">
        <v>7505</v>
      </c>
      <c r="B3809" s="13" t="s">
        <v>7506</v>
      </c>
      <c r="C3809" s="13" t="s">
        <v>7515</v>
      </c>
      <c r="D3809" s="6">
        <v>1</v>
      </c>
      <c r="E3809" s="8" t="s">
        <v>7516</v>
      </c>
      <c r="F3809" s="6" t="s">
        <v>11</v>
      </c>
    </row>
    <row r="3810" ht="18" customHeight="1" spans="1:6">
      <c r="A3810" s="13" t="s">
        <v>7505</v>
      </c>
      <c r="B3810" s="13" t="s">
        <v>7506</v>
      </c>
      <c r="C3810" s="13" t="s">
        <v>7517</v>
      </c>
      <c r="D3810" s="6">
        <v>3</v>
      </c>
      <c r="E3810" s="8" t="s">
        <v>7518</v>
      </c>
      <c r="F3810" s="6" t="s">
        <v>11</v>
      </c>
    </row>
    <row r="3811" ht="18" customHeight="1" spans="1:6">
      <c r="A3811" s="13" t="s">
        <v>7505</v>
      </c>
      <c r="B3811" s="13" t="s">
        <v>7506</v>
      </c>
      <c r="C3811" s="13" t="s">
        <v>7519</v>
      </c>
      <c r="D3811" s="6">
        <v>1</v>
      </c>
      <c r="E3811" s="8" t="s">
        <v>7520</v>
      </c>
      <c r="F3811" s="6" t="s">
        <v>11</v>
      </c>
    </row>
    <row r="3812" ht="18" customHeight="1" spans="1:6">
      <c r="A3812" s="13" t="s">
        <v>7505</v>
      </c>
      <c r="B3812" s="13" t="s">
        <v>7506</v>
      </c>
      <c r="C3812" s="13" t="s">
        <v>7521</v>
      </c>
      <c r="D3812" s="6">
        <v>3</v>
      </c>
      <c r="E3812" s="8" t="s">
        <v>7522</v>
      </c>
      <c r="F3812" s="6" t="s">
        <v>11</v>
      </c>
    </row>
    <row r="3813" ht="18" customHeight="1" spans="1:6">
      <c r="A3813" s="13" t="s">
        <v>7505</v>
      </c>
      <c r="B3813" s="13" t="s">
        <v>7506</v>
      </c>
      <c r="C3813" s="13" t="s">
        <v>7523</v>
      </c>
      <c r="D3813" s="6">
        <v>2</v>
      </c>
      <c r="E3813" s="194" t="s">
        <v>7524</v>
      </c>
      <c r="F3813" s="6" t="s">
        <v>11</v>
      </c>
    </row>
    <row r="3814" ht="18" customHeight="1" spans="1:6">
      <c r="A3814" s="13" t="s">
        <v>7505</v>
      </c>
      <c r="B3814" s="13" t="s">
        <v>7506</v>
      </c>
      <c r="C3814" s="13" t="s">
        <v>7525</v>
      </c>
      <c r="D3814" s="6">
        <v>6</v>
      </c>
      <c r="E3814" s="194" t="s">
        <v>7526</v>
      </c>
      <c r="F3814" s="6" t="s">
        <v>11</v>
      </c>
    </row>
    <row r="3815" ht="18" customHeight="1" spans="1:6">
      <c r="A3815" s="13" t="s">
        <v>7505</v>
      </c>
      <c r="B3815" s="13" t="s">
        <v>7506</v>
      </c>
      <c r="C3815" s="13" t="s">
        <v>7527</v>
      </c>
      <c r="D3815" s="6">
        <v>4</v>
      </c>
      <c r="E3815" s="194" t="s">
        <v>7528</v>
      </c>
      <c r="F3815" s="6" t="s">
        <v>11</v>
      </c>
    </row>
    <row r="3816" ht="18" customHeight="1" spans="1:6">
      <c r="A3816" s="13" t="s">
        <v>7505</v>
      </c>
      <c r="B3816" s="13" t="s">
        <v>7506</v>
      </c>
      <c r="C3816" s="13" t="s">
        <v>7529</v>
      </c>
      <c r="D3816" s="6">
        <v>2</v>
      </c>
      <c r="E3816" s="194" t="s">
        <v>7530</v>
      </c>
      <c r="F3816" s="6" t="s">
        <v>11</v>
      </c>
    </row>
    <row r="3817" ht="18" customHeight="1" spans="1:6">
      <c r="A3817" s="13" t="s">
        <v>7505</v>
      </c>
      <c r="B3817" s="13" t="s">
        <v>7506</v>
      </c>
      <c r="C3817" s="13" t="s">
        <v>7531</v>
      </c>
      <c r="D3817" s="6">
        <v>1</v>
      </c>
      <c r="E3817" s="194" t="s">
        <v>7532</v>
      </c>
      <c r="F3817" s="6" t="s">
        <v>11</v>
      </c>
    </row>
    <row r="3818" ht="18" customHeight="1" spans="1:6">
      <c r="A3818" s="13" t="s">
        <v>7505</v>
      </c>
      <c r="B3818" s="13" t="s">
        <v>7506</v>
      </c>
      <c r="C3818" s="13" t="s">
        <v>7533</v>
      </c>
      <c r="D3818" s="6">
        <v>4</v>
      </c>
      <c r="E3818" s="194" t="s">
        <v>7534</v>
      </c>
      <c r="F3818" s="6" t="s">
        <v>11</v>
      </c>
    </row>
    <row r="3819" ht="18" customHeight="1" spans="1:6">
      <c r="A3819" s="13" t="s">
        <v>7505</v>
      </c>
      <c r="B3819" s="13" t="s">
        <v>7535</v>
      </c>
      <c r="C3819" s="13" t="s">
        <v>7536</v>
      </c>
      <c r="D3819" s="6">
        <v>4</v>
      </c>
      <c r="E3819" s="8" t="s">
        <v>7537</v>
      </c>
      <c r="F3819" s="6" t="s">
        <v>11</v>
      </c>
    </row>
    <row r="3820" ht="18" customHeight="1" spans="1:6">
      <c r="A3820" s="13" t="s">
        <v>7505</v>
      </c>
      <c r="B3820" s="13" t="s">
        <v>7535</v>
      </c>
      <c r="C3820" s="13" t="s">
        <v>7538</v>
      </c>
      <c r="D3820" s="6">
        <v>2</v>
      </c>
      <c r="E3820" s="8" t="s">
        <v>7539</v>
      </c>
      <c r="F3820" s="6" t="s">
        <v>11</v>
      </c>
    </row>
    <row r="3821" ht="18" customHeight="1" spans="1:6">
      <c r="A3821" s="13" t="s">
        <v>7505</v>
      </c>
      <c r="B3821" s="13" t="s">
        <v>7535</v>
      </c>
      <c r="C3821" s="13" t="s">
        <v>7540</v>
      </c>
      <c r="D3821" s="13">
        <v>1</v>
      </c>
      <c r="E3821" s="8" t="s">
        <v>7541</v>
      </c>
      <c r="F3821" s="6" t="s">
        <v>11</v>
      </c>
    </row>
    <row r="3822" ht="18" customHeight="1" spans="1:6">
      <c r="A3822" s="13" t="s">
        <v>7505</v>
      </c>
      <c r="B3822" s="49" t="s">
        <v>7535</v>
      </c>
      <c r="C3822" s="8" t="s">
        <v>7542</v>
      </c>
      <c r="D3822" s="49">
        <v>5</v>
      </c>
      <c r="E3822" s="194" t="s">
        <v>7543</v>
      </c>
      <c r="F3822" s="49" t="s">
        <v>11</v>
      </c>
    </row>
    <row r="3823" ht="18" customHeight="1" spans="1:6">
      <c r="A3823" s="13" t="s">
        <v>7505</v>
      </c>
      <c r="B3823" s="13" t="s">
        <v>7544</v>
      </c>
      <c r="C3823" s="5" t="s">
        <v>7545</v>
      </c>
      <c r="D3823" s="13">
        <v>2</v>
      </c>
      <c r="E3823" s="8" t="s">
        <v>7546</v>
      </c>
      <c r="F3823" s="6" t="s">
        <v>11</v>
      </c>
    </row>
    <row r="3824" ht="18" customHeight="1" spans="1:6">
      <c r="A3824" s="13" t="s">
        <v>7505</v>
      </c>
      <c r="B3824" s="13" t="s">
        <v>7544</v>
      </c>
      <c r="C3824" s="5" t="s">
        <v>7547</v>
      </c>
      <c r="D3824" s="8">
        <v>5</v>
      </c>
      <c r="E3824" s="8" t="s">
        <v>7548</v>
      </c>
      <c r="F3824" s="6" t="s">
        <v>11</v>
      </c>
    </row>
    <row r="3825" ht="18" customHeight="1" spans="1:6">
      <c r="A3825" s="13" t="s">
        <v>7505</v>
      </c>
      <c r="B3825" s="13" t="s">
        <v>7544</v>
      </c>
      <c r="C3825" s="5" t="s">
        <v>7549</v>
      </c>
      <c r="D3825" s="13">
        <v>2</v>
      </c>
      <c r="E3825" s="8" t="s">
        <v>7550</v>
      </c>
      <c r="F3825" s="6" t="s">
        <v>11</v>
      </c>
    </row>
    <row r="3826" ht="18" customHeight="1" spans="1:6">
      <c r="A3826" s="13" t="s">
        <v>7505</v>
      </c>
      <c r="B3826" s="13" t="s">
        <v>7544</v>
      </c>
      <c r="C3826" s="13" t="s">
        <v>7334</v>
      </c>
      <c r="D3826" s="13">
        <v>2</v>
      </c>
      <c r="E3826" s="8" t="s">
        <v>7551</v>
      </c>
      <c r="F3826" s="6" t="s">
        <v>11</v>
      </c>
    </row>
    <row r="3827" ht="18" customHeight="1" spans="1:6">
      <c r="A3827" s="13" t="s">
        <v>7505</v>
      </c>
      <c r="B3827" s="13" t="s">
        <v>7544</v>
      </c>
      <c r="C3827" s="13" t="s">
        <v>7552</v>
      </c>
      <c r="D3827" s="13">
        <v>1</v>
      </c>
      <c r="E3827" s="8" t="s">
        <v>7553</v>
      </c>
      <c r="F3827" s="6" t="s">
        <v>11</v>
      </c>
    </row>
    <row r="3828" ht="18" customHeight="1" spans="1:6">
      <c r="A3828" s="13" t="s">
        <v>7505</v>
      </c>
      <c r="B3828" s="13" t="s">
        <v>7544</v>
      </c>
      <c r="C3828" s="13" t="s">
        <v>7554</v>
      </c>
      <c r="D3828" s="13">
        <v>1</v>
      </c>
      <c r="E3828" s="8" t="s">
        <v>7555</v>
      </c>
      <c r="F3828" s="6" t="s">
        <v>11</v>
      </c>
    </row>
    <row r="3829" ht="18" customHeight="1" spans="1:6">
      <c r="A3829" s="13" t="s">
        <v>7505</v>
      </c>
      <c r="B3829" s="13" t="s">
        <v>7544</v>
      </c>
      <c r="C3829" s="13" t="s">
        <v>7556</v>
      </c>
      <c r="D3829" s="13">
        <v>1</v>
      </c>
      <c r="E3829" s="8" t="s">
        <v>7557</v>
      </c>
      <c r="F3829" s="6" t="s">
        <v>11</v>
      </c>
    </row>
    <row r="3830" ht="18" customHeight="1" spans="1:6">
      <c r="A3830" s="13" t="s">
        <v>7505</v>
      </c>
      <c r="B3830" s="49" t="s">
        <v>7544</v>
      </c>
      <c r="C3830" s="49" t="s">
        <v>7558</v>
      </c>
      <c r="D3830" s="49">
        <v>1</v>
      </c>
      <c r="E3830" s="194" t="s">
        <v>7559</v>
      </c>
      <c r="F3830" s="49" t="s">
        <v>11</v>
      </c>
    </row>
    <row r="3831" ht="18" customHeight="1" spans="1:6">
      <c r="A3831" s="13" t="s">
        <v>7505</v>
      </c>
      <c r="B3831" s="13" t="s">
        <v>7560</v>
      </c>
      <c r="C3831" s="13" t="s">
        <v>7561</v>
      </c>
      <c r="D3831" s="13">
        <v>1</v>
      </c>
      <c r="E3831" s="8" t="s">
        <v>7562</v>
      </c>
      <c r="F3831" s="6" t="s">
        <v>11</v>
      </c>
    </row>
    <row r="3832" ht="18" customHeight="1" spans="1:6">
      <c r="A3832" s="13" t="s">
        <v>7505</v>
      </c>
      <c r="B3832" s="13" t="s">
        <v>7560</v>
      </c>
      <c r="C3832" s="13" t="s">
        <v>7563</v>
      </c>
      <c r="D3832" s="13">
        <v>2</v>
      </c>
      <c r="E3832" s="8" t="s">
        <v>7564</v>
      </c>
      <c r="F3832" s="6" t="s">
        <v>11</v>
      </c>
    </row>
    <row r="3833" ht="18" customHeight="1" spans="1:6">
      <c r="A3833" s="13" t="s">
        <v>7505</v>
      </c>
      <c r="B3833" s="13" t="s">
        <v>7560</v>
      </c>
      <c r="C3833" s="13" t="s">
        <v>7328</v>
      </c>
      <c r="D3833" s="13">
        <v>2</v>
      </c>
      <c r="E3833" s="8" t="s">
        <v>7565</v>
      </c>
      <c r="F3833" s="6" t="s">
        <v>11</v>
      </c>
    </row>
    <row r="3834" ht="18" customHeight="1" spans="1:6">
      <c r="A3834" s="13" t="s">
        <v>7505</v>
      </c>
      <c r="B3834" s="49" t="s">
        <v>7560</v>
      </c>
      <c r="C3834" s="49" t="s">
        <v>6965</v>
      </c>
      <c r="D3834" s="49">
        <v>4</v>
      </c>
      <c r="E3834" s="194" t="s">
        <v>7566</v>
      </c>
      <c r="F3834" s="49" t="s">
        <v>11</v>
      </c>
    </row>
    <row r="3835" ht="18" customHeight="1" spans="1:6">
      <c r="A3835" s="13" t="s">
        <v>7505</v>
      </c>
      <c r="B3835" s="49" t="s">
        <v>7560</v>
      </c>
      <c r="C3835" s="49" t="s">
        <v>7567</v>
      </c>
      <c r="D3835" s="49">
        <v>2</v>
      </c>
      <c r="E3835" s="194" t="s">
        <v>7568</v>
      </c>
      <c r="F3835" s="49" t="s">
        <v>11</v>
      </c>
    </row>
    <row r="3836" ht="18" customHeight="1" spans="1:6">
      <c r="A3836" s="13" t="s">
        <v>7505</v>
      </c>
      <c r="B3836" s="49" t="s">
        <v>7560</v>
      </c>
      <c r="C3836" s="49" t="s">
        <v>7569</v>
      </c>
      <c r="D3836" s="49">
        <v>4</v>
      </c>
      <c r="E3836" s="194" t="s">
        <v>7570</v>
      </c>
      <c r="F3836" s="49" t="s">
        <v>11</v>
      </c>
    </row>
    <row r="3837" ht="18" customHeight="1" spans="1:6">
      <c r="A3837" s="13" t="s">
        <v>7505</v>
      </c>
      <c r="B3837" s="49" t="s">
        <v>7560</v>
      </c>
      <c r="C3837" s="49" t="s">
        <v>7571</v>
      </c>
      <c r="D3837" s="49">
        <v>2</v>
      </c>
      <c r="E3837" s="194" t="s">
        <v>7572</v>
      </c>
      <c r="F3837" s="49" t="s">
        <v>11</v>
      </c>
    </row>
    <row r="3838" ht="18" customHeight="1" spans="1:6">
      <c r="A3838" s="13" t="s">
        <v>7505</v>
      </c>
      <c r="B3838" s="13" t="s">
        <v>7573</v>
      </c>
      <c r="C3838" s="13" t="s">
        <v>7574</v>
      </c>
      <c r="D3838" s="13">
        <v>2</v>
      </c>
      <c r="E3838" s="8" t="s">
        <v>7575</v>
      </c>
      <c r="F3838" s="6" t="s">
        <v>11</v>
      </c>
    </row>
    <row r="3839" ht="18" customHeight="1" spans="1:6">
      <c r="A3839" s="13" t="s">
        <v>7505</v>
      </c>
      <c r="B3839" s="13" t="s">
        <v>7573</v>
      </c>
      <c r="C3839" s="13" t="s">
        <v>7576</v>
      </c>
      <c r="D3839" s="13">
        <v>1</v>
      </c>
      <c r="E3839" s="8" t="s">
        <v>7577</v>
      </c>
      <c r="F3839" s="6" t="s">
        <v>11</v>
      </c>
    </row>
    <row r="3840" ht="18" customHeight="1" spans="1:6">
      <c r="A3840" s="13" t="s">
        <v>7505</v>
      </c>
      <c r="B3840" s="13" t="s">
        <v>7573</v>
      </c>
      <c r="C3840" s="13" t="s">
        <v>7578</v>
      </c>
      <c r="D3840" s="13">
        <v>5</v>
      </c>
      <c r="E3840" s="8" t="s">
        <v>7579</v>
      </c>
      <c r="F3840" s="6" t="s">
        <v>11</v>
      </c>
    </row>
    <row r="3841" ht="18" customHeight="1" spans="1:6">
      <c r="A3841" s="13" t="s">
        <v>7505</v>
      </c>
      <c r="B3841" s="13" t="s">
        <v>7573</v>
      </c>
      <c r="C3841" s="13" t="s">
        <v>7580</v>
      </c>
      <c r="D3841" s="13">
        <v>3</v>
      </c>
      <c r="E3841" s="8" t="s">
        <v>7581</v>
      </c>
      <c r="F3841" s="6" t="s">
        <v>11</v>
      </c>
    </row>
    <row r="3842" ht="18" customHeight="1" spans="1:6">
      <c r="A3842" s="13" t="s">
        <v>7505</v>
      </c>
      <c r="B3842" s="13" t="s">
        <v>7573</v>
      </c>
      <c r="C3842" s="13" t="s">
        <v>7582</v>
      </c>
      <c r="D3842" s="13">
        <v>1</v>
      </c>
      <c r="E3842" s="8" t="s">
        <v>7583</v>
      </c>
      <c r="F3842" s="6" t="s">
        <v>11</v>
      </c>
    </row>
    <row r="3843" ht="18" customHeight="1" spans="1:6">
      <c r="A3843" s="13" t="s">
        <v>7505</v>
      </c>
      <c r="B3843" s="13" t="s">
        <v>7573</v>
      </c>
      <c r="C3843" s="13" t="s">
        <v>7584</v>
      </c>
      <c r="D3843" s="13">
        <v>1</v>
      </c>
      <c r="E3843" s="8" t="s">
        <v>7585</v>
      </c>
      <c r="F3843" s="6" t="s">
        <v>11</v>
      </c>
    </row>
    <row r="3844" ht="18" customHeight="1" spans="1:6">
      <c r="A3844" s="13" t="s">
        <v>7505</v>
      </c>
      <c r="B3844" s="13" t="s">
        <v>7573</v>
      </c>
      <c r="C3844" s="13" t="s">
        <v>7586</v>
      </c>
      <c r="D3844" s="13">
        <v>2</v>
      </c>
      <c r="E3844" s="8" t="s">
        <v>7587</v>
      </c>
      <c r="F3844" s="6" t="s">
        <v>11</v>
      </c>
    </row>
    <row r="3845" ht="18" customHeight="1" spans="1:6">
      <c r="A3845" s="13" t="s">
        <v>7505</v>
      </c>
      <c r="B3845" s="13" t="s">
        <v>7573</v>
      </c>
      <c r="C3845" s="13" t="s">
        <v>7588</v>
      </c>
      <c r="D3845" s="13">
        <v>2</v>
      </c>
      <c r="E3845" s="194" t="s">
        <v>7589</v>
      </c>
      <c r="F3845" s="6" t="s">
        <v>11</v>
      </c>
    </row>
    <row r="3846" ht="18" customHeight="1" spans="1:6">
      <c r="A3846" s="13" t="s">
        <v>7505</v>
      </c>
      <c r="B3846" s="13" t="s">
        <v>7573</v>
      </c>
      <c r="C3846" s="13" t="s">
        <v>7590</v>
      </c>
      <c r="D3846" s="13">
        <v>3</v>
      </c>
      <c r="E3846" s="8" t="s">
        <v>7591</v>
      </c>
      <c r="F3846" s="6" t="s">
        <v>11</v>
      </c>
    </row>
    <row r="3847" ht="18" customHeight="1" spans="1:6">
      <c r="A3847" s="13" t="s">
        <v>7505</v>
      </c>
      <c r="B3847" s="13" t="s">
        <v>7573</v>
      </c>
      <c r="C3847" s="13" t="s">
        <v>7592</v>
      </c>
      <c r="D3847" s="13">
        <v>3</v>
      </c>
      <c r="E3847" s="8" t="s">
        <v>7593</v>
      </c>
      <c r="F3847" s="6" t="s">
        <v>11</v>
      </c>
    </row>
    <row r="3848" ht="18" customHeight="1" spans="1:6">
      <c r="A3848" s="13" t="s">
        <v>7505</v>
      </c>
      <c r="B3848" s="13" t="s">
        <v>7573</v>
      </c>
      <c r="C3848" s="13" t="s">
        <v>7594</v>
      </c>
      <c r="D3848" s="13">
        <v>5</v>
      </c>
      <c r="E3848" s="8" t="s">
        <v>7595</v>
      </c>
      <c r="F3848" s="6" t="s">
        <v>11</v>
      </c>
    </row>
    <row r="3849" ht="18" customHeight="1" spans="1:6">
      <c r="A3849" s="13" t="s">
        <v>7505</v>
      </c>
      <c r="B3849" s="13" t="s">
        <v>7573</v>
      </c>
      <c r="C3849" s="13" t="s">
        <v>7596</v>
      </c>
      <c r="D3849" s="13">
        <v>3</v>
      </c>
      <c r="E3849" s="8" t="s">
        <v>7597</v>
      </c>
      <c r="F3849" s="6" t="s">
        <v>11</v>
      </c>
    </row>
    <row r="3850" ht="18" customHeight="1" spans="1:6">
      <c r="A3850" s="13" t="s">
        <v>7505</v>
      </c>
      <c r="B3850" s="13" t="s">
        <v>7573</v>
      </c>
      <c r="C3850" s="13" t="s">
        <v>7598</v>
      </c>
      <c r="D3850" s="13">
        <v>2</v>
      </c>
      <c r="E3850" s="8" t="s">
        <v>7599</v>
      </c>
      <c r="F3850" s="6" t="s">
        <v>11</v>
      </c>
    </row>
    <row r="3851" ht="18" customHeight="1" spans="1:6">
      <c r="A3851" s="13" t="s">
        <v>7505</v>
      </c>
      <c r="B3851" s="13" t="s">
        <v>7573</v>
      </c>
      <c r="C3851" s="13" t="s">
        <v>7600</v>
      </c>
      <c r="D3851" s="13">
        <v>2</v>
      </c>
      <c r="E3851" s="8" t="s">
        <v>7601</v>
      </c>
      <c r="F3851" s="6" t="s">
        <v>11</v>
      </c>
    </row>
    <row r="3852" ht="18" customHeight="1" spans="1:6">
      <c r="A3852" s="13" t="s">
        <v>7505</v>
      </c>
      <c r="B3852" s="13" t="s">
        <v>7573</v>
      </c>
      <c r="C3852" s="13" t="s">
        <v>7602</v>
      </c>
      <c r="D3852" s="13">
        <v>1</v>
      </c>
      <c r="E3852" s="8" t="s">
        <v>7603</v>
      </c>
      <c r="F3852" s="6" t="s">
        <v>11</v>
      </c>
    </row>
    <row r="3853" ht="18" customHeight="1" spans="1:6">
      <c r="A3853" s="13" t="s">
        <v>7505</v>
      </c>
      <c r="B3853" s="13" t="s">
        <v>7573</v>
      </c>
      <c r="C3853" s="13" t="s">
        <v>7604</v>
      </c>
      <c r="D3853" s="13">
        <v>1</v>
      </c>
      <c r="E3853" s="194" t="s">
        <v>7605</v>
      </c>
      <c r="F3853" s="6" t="s">
        <v>11</v>
      </c>
    </row>
    <row r="3854" ht="18" customHeight="1" spans="1:6">
      <c r="A3854" s="13" t="s">
        <v>7505</v>
      </c>
      <c r="B3854" s="13" t="s">
        <v>7573</v>
      </c>
      <c r="C3854" s="13" t="s">
        <v>7606</v>
      </c>
      <c r="D3854" s="13">
        <v>3</v>
      </c>
      <c r="E3854" s="194" t="s">
        <v>7607</v>
      </c>
      <c r="F3854" s="6" t="s">
        <v>11</v>
      </c>
    </row>
    <row r="3855" ht="18" customHeight="1" spans="1:6">
      <c r="A3855" s="13" t="s">
        <v>7505</v>
      </c>
      <c r="B3855" s="13" t="s">
        <v>7573</v>
      </c>
      <c r="C3855" s="13" t="s">
        <v>7608</v>
      </c>
      <c r="D3855" s="13">
        <v>4</v>
      </c>
      <c r="E3855" s="194" t="s">
        <v>7609</v>
      </c>
      <c r="F3855" s="6" t="s">
        <v>11</v>
      </c>
    </row>
    <row r="3856" ht="18" customHeight="1" spans="1:6">
      <c r="A3856" s="13" t="s">
        <v>7505</v>
      </c>
      <c r="B3856" s="13" t="s">
        <v>7573</v>
      </c>
      <c r="C3856" s="49" t="s">
        <v>7610</v>
      </c>
      <c r="D3856" s="49">
        <v>2</v>
      </c>
      <c r="E3856" s="194" t="s">
        <v>7611</v>
      </c>
      <c r="F3856" s="6" t="s">
        <v>11</v>
      </c>
    </row>
    <row r="3857" ht="18" customHeight="1" spans="1:6">
      <c r="A3857" s="13" t="s">
        <v>7505</v>
      </c>
      <c r="B3857" s="13" t="s">
        <v>7573</v>
      </c>
      <c r="C3857" s="49" t="s">
        <v>7612</v>
      </c>
      <c r="D3857" s="13">
        <v>2</v>
      </c>
      <c r="E3857" s="194" t="s">
        <v>7613</v>
      </c>
      <c r="F3857" s="6" t="s">
        <v>11</v>
      </c>
    </row>
    <row r="3858" ht="18" customHeight="1" spans="1:6">
      <c r="A3858" s="13" t="s">
        <v>7505</v>
      </c>
      <c r="B3858" s="49" t="s">
        <v>7573</v>
      </c>
      <c r="C3858" s="49" t="s">
        <v>7614</v>
      </c>
      <c r="D3858" s="49">
        <v>1</v>
      </c>
      <c r="E3858" s="194" t="s">
        <v>7615</v>
      </c>
      <c r="F3858" s="6" t="s">
        <v>11</v>
      </c>
    </row>
    <row r="3859" ht="18" customHeight="1" spans="1:6">
      <c r="A3859" s="13" t="s">
        <v>7505</v>
      </c>
      <c r="B3859" s="49" t="s">
        <v>7573</v>
      </c>
      <c r="C3859" s="49" t="s">
        <v>7616</v>
      </c>
      <c r="D3859" s="49">
        <v>2</v>
      </c>
      <c r="E3859" s="194" t="s">
        <v>7617</v>
      </c>
      <c r="F3859" s="6" t="s">
        <v>11</v>
      </c>
    </row>
    <row r="3860" ht="18" customHeight="1" spans="1:6">
      <c r="A3860" s="13" t="s">
        <v>7505</v>
      </c>
      <c r="B3860" s="49" t="s">
        <v>7573</v>
      </c>
      <c r="C3860" s="49" t="s">
        <v>7618</v>
      </c>
      <c r="D3860" s="49">
        <v>4</v>
      </c>
      <c r="E3860" s="194" t="s">
        <v>7619</v>
      </c>
      <c r="F3860" s="6" t="s">
        <v>11</v>
      </c>
    </row>
    <row r="3861" ht="18" customHeight="1" spans="1:6">
      <c r="A3861" s="13" t="s">
        <v>7505</v>
      </c>
      <c r="B3861" s="49" t="s">
        <v>7573</v>
      </c>
      <c r="C3861" s="49" t="s">
        <v>7620</v>
      </c>
      <c r="D3861" s="49">
        <v>2</v>
      </c>
      <c r="E3861" s="194" t="s">
        <v>7621</v>
      </c>
      <c r="F3861" s="6" t="s">
        <v>11</v>
      </c>
    </row>
    <row r="3862" ht="18" customHeight="1" spans="1:6">
      <c r="A3862" s="13" t="s">
        <v>7505</v>
      </c>
      <c r="B3862" s="49" t="s">
        <v>7573</v>
      </c>
      <c r="C3862" s="49" t="s">
        <v>7622</v>
      </c>
      <c r="D3862" s="49">
        <v>1</v>
      </c>
      <c r="E3862" s="194" t="s">
        <v>7623</v>
      </c>
      <c r="F3862" s="6" t="s">
        <v>11</v>
      </c>
    </row>
    <row r="3863" ht="18" customHeight="1" spans="1:6">
      <c r="A3863" s="13" t="s">
        <v>7505</v>
      </c>
      <c r="B3863" s="13" t="s">
        <v>7624</v>
      </c>
      <c r="C3863" s="13" t="s">
        <v>7625</v>
      </c>
      <c r="D3863" s="13">
        <v>2</v>
      </c>
      <c r="E3863" s="8" t="s">
        <v>7626</v>
      </c>
      <c r="F3863" s="6" t="s">
        <v>11</v>
      </c>
    </row>
    <row r="3864" ht="18" customHeight="1" spans="1:6">
      <c r="A3864" s="13" t="s">
        <v>7505</v>
      </c>
      <c r="B3864" s="13" t="s">
        <v>7624</v>
      </c>
      <c r="C3864" s="13" t="s">
        <v>7627</v>
      </c>
      <c r="D3864" s="13">
        <v>2</v>
      </c>
      <c r="E3864" s="8" t="s">
        <v>7628</v>
      </c>
      <c r="F3864" s="6" t="s">
        <v>11</v>
      </c>
    </row>
    <row r="3865" ht="18" customHeight="1" spans="1:6">
      <c r="A3865" s="13" t="s">
        <v>7505</v>
      </c>
      <c r="B3865" s="13" t="s">
        <v>7624</v>
      </c>
      <c r="C3865" s="13" t="s">
        <v>7629</v>
      </c>
      <c r="D3865" s="13">
        <v>1</v>
      </c>
      <c r="E3865" s="8" t="s">
        <v>7630</v>
      </c>
      <c r="F3865" s="6" t="s">
        <v>11</v>
      </c>
    </row>
    <row r="3866" ht="18" customHeight="1" spans="1:6">
      <c r="A3866" s="13" t="s">
        <v>7505</v>
      </c>
      <c r="B3866" s="13" t="s">
        <v>7631</v>
      </c>
      <c r="C3866" s="13" t="s">
        <v>7632</v>
      </c>
      <c r="D3866" s="13">
        <v>6</v>
      </c>
      <c r="E3866" s="8" t="s">
        <v>7633</v>
      </c>
      <c r="F3866" s="6" t="s">
        <v>11</v>
      </c>
    </row>
    <row r="3867" ht="18" customHeight="1" spans="1:6">
      <c r="A3867" s="13" t="s">
        <v>7505</v>
      </c>
      <c r="B3867" s="13" t="s">
        <v>7631</v>
      </c>
      <c r="C3867" s="13" t="s">
        <v>7634</v>
      </c>
      <c r="D3867" s="13">
        <v>2</v>
      </c>
      <c r="E3867" s="8" t="s">
        <v>7635</v>
      </c>
      <c r="F3867" s="6" t="s">
        <v>11</v>
      </c>
    </row>
    <row r="3868" ht="18" customHeight="1" spans="1:6">
      <c r="A3868" s="13" t="s">
        <v>7505</v>
      </c>
      <c r="B3868" s="13" t="s">
        <v>7631</v>
      </c>
      <c r="C3868" s="13" t="s">
        <v>6961</v>
      </c>
      <c r="D3868" s="13">
        <v>3</v>
      </c>
      <c r="E3868" s="8" t="s">
        <v>7636</v>
      </c>
      <c r="F3868" s="6" t="s">
        <v>11</v>
      </c>
    </row>
    <row r="3869" ht="18" customHeight="1" spans="1:6">
      <c r="A3869" s="13" t="s">
        <v>7505</v>
      </c>
      <c r="B3869" s="13" t="s">
        <v>7631</v>
      </c>
      <c r="C3869" s="13" t="s">
        <v>7637</v>
      </c>
      <c r="D3869" s="5">
        <v>3</v>
      </c>
      <c r="E3869" s="8" t="s">
        <v>7638</v>
      </c>
      <c r="F3869" s="6" t="s">
        <v>11</v>
      </c>
    </row>
    <row r="3870" ht="18" customHeight="1" spans="1:6">
      <c r="A3870" s="13" t="s">
        <v>7505</v>
      </c>
      <c r="B3870" s="13" t="s">
        <v>7631</v>
      </c>
      <c r="C3870" s="5" t="s">
        <v>7639</v>
      </c>
      <c r="D3870" s="13">
        <v>1</v>
      </c>
      <c r="E3870" s="8" t="s">
        <v>7640</v>
      </c>
      <c r="F3870" s="6" t="s">
        <v>11</v>
      </c>
    </row>
    <row r="3871" ht="18" customHeight="1" spans="1:6">
      <c r="A3871" s="13" t="s">
        <v>7505</v>
      </c>
      <c r="B3871" s="13" t="s">
        <v>7631</v>
      </c>
      <c r="C3871" s="8" t="s">
        <v>7641</v>
      </c>
      <c r="D3871" s="8">
        <v>3</v>
      </c>
      <c r="E3871" s="8" t="s">
        <v>7642</v>
      </c>
      <c r="F3871" s="6" t="s">
        <v>11</v>
      </c>
    </row>
    <row r="3872" ht="18" customHeight="1" spans="1:6">
      <c r="A3872" s="13" t="s">
        <v>7505</v>
      </c>
      <c r="B3872" s="13" t="s">
        <v>7631</v>
      </c>
      <c r="C3872" s="8" t="s">
        <v>7643</v>
      </c>
      <c r="D3872" s="8">
        <v>3</v>
      </c>
      <c r="E3872" s="8" t="s">
        <v>7644</v>
      </c>
      <c r="F3872" s="6" t="s">
        <v>11</v>
      </c>
    </row>
    <row r="3873" ht="18" customHeight="1" spans="1:6">
      <c r="A3873" s="13" t="s">
        <v>7505</v>
      </c>
      <c r="B3873" s="13" t="s">
        <v>7631</v>
      </c>
      <c r="C3873" s="8" t="s">
        <v>7645</v>
      </c>
      <c r="D3873" s="8">
        <v>2</v>
      </c>
      <c r="E3873" s="8" t="s">
        <v>7646</v>
      </c>
      <c r="F3873" s="6" t="s">
        <v>11</v>
      </c>
    </row>
    <row r="3874" ht="18" customHeight="1" spans="1:6">
      <c r="A3874" s="13" t="s">
        <v>7505</v>
      </c>
      <c r="B3874" s="13" t="s">
        <v>7647</v>
      </c>
      <c r="C3874" s="13" t="s">
        <v>7648</v>
      </c>
      <c r="D3874" s="13">
        <v>4</v>
      </c>
      <c r="E3874" s="8" t="s">
        <v>7649</v>
      </c>
      <c r="F3874" s="6" t="s">
        <v>11</v>
      </c>
    </row>
    <row r="3875" ht="18" customHeight="1" spans="1:6">
      <c r="A3875" s="13" t="s">
        <v>7505</v>
      </c>
      <c r="B3875" s="13" t="s">
        <v>7573</v>
      </c>
      <c r="C3875" s="13" t="s">
        <v>7650</v>
      </c>
      <c r="D3875" s="13">
        <v>3</v>
      </c>
      <c r="E3875" s="179" t="s">
        <v>7651</v>
      </c>
      <c r="F3875" s="6" t="s">
        <v>11</v>
      </c>
    </row>
    <row r="3876" ht="18" customHeight="1" spans="1:6">
      <c r="A3876" s="13" t="s">
        <v>7505</v>
      </c>
      <c r="B3876" s="13" t="s">
        <v>7506</v>
      </c>
      <c r="C3876" s="13" t="s">
        <v>7652</v>
      </c>
      <c r="D3876" s="13">
        <v>4</v>
      </c>
      <c r="E3876" s="179" t="s">
        <v>7653</v>
      </c>
      <c r="F3876" s="6" t="s">
        <v>11</v>
      </c>
    </row>
    <row r="3877" ht="18" customHeight="1" spans="1:6">
      <c r="A3877" s="13" t="s">
        <v>7505</v>
      </c>
      <c r="B3877" s="13" t="s">
        <v>7506</v>
      </c>
      <c r="C3877" s="13" t="s">
        <v>7654</v>
      </c>
      <c r="D3877" s="13">
        <v>4</v>
      </c>
      <c r="E3877" s="179" t="s">
        <v>7655</v>
      </c>
      <c r="F3877" s="6" t="s">
        <v>11</v>
      </c>
    </row>
    <row r="3878" ht="18" customHeight="1" spans="1:6">
      <c r="A3878" s="13" t="s">
        <v>7505</v>
      </c>
      <c r="B3878" s="13" t="s">
        <v>7506</v>
      </c>
      <c r="C3878" s="13" t="s">
        <v>7656</v>
      </c>
      <c r="D3878" s="13">
        <v>4</v>
      </c>
      <c r="E3878" s="179" t="s">
        <v>7657</v>
      </c>
      <c r="F3878" s="6" t="s">
        <v>11</v>
      </c>
    </row>
    <row r="3879" ht="18" customHeight="1" spans="1:6">
      <c r="A3879" s="13" t="s">
        <v>7505</v>
      </c>
      <c r="B3879" s="13" t="s">
        <v>7506</v>
      </c>
      <c r="C3879" s="13" t="s">
        <v>7658</v>
      </c>
      <c r="D3879" s="13">
        <v>5</v>
      </c>
      <c r="E3879" s="179" t="s">
        <v>7659</v>
      </c>
      <c r="F3879" s="6" t="s">
        <v>11</v>
      </c>
    </row>
    <row r="3880" ht="18" customHeight="1" spans="1:6">
      <c r="A3880" s="13" t="s">
        <v>7505</v>
      </c>
      <c r="B3880" s="13" t="s">
        <v>7506</v>
      </c>
      <c r="C3880" s="13" t="s">
        <v>7660</v>
      </c>
      <c r="D3880" s="13">
        <v>4</v>
      </c>
      <c r="E3880" s="179" t="s">
        <v>7661</v>
      </c>
      <c r="F3880" s="6" t="s">
        <v>11</v>
      </c>
    </row>
    <row r="3881" ht="18" customHeight="1" spans="1:6">
      <c r="A3881" s="13" t="s">
        <v>7505</v>
      </c>
      <c r="B3881" s="13" t="s">
        <v>7506</v>
      </c>
      <c r="C3881" s="13" t="s">
        <v>7662</v>
      </c>
      <c r="D3881" s="13">
        <v>1</v>
      </c>
      <c r="E3881" s="13" t="s">
        <v>7663</v>
      </c>
      <c r="F3881" s="6" t="s">
        <v>11</v>
      </c>
    </row>
    <row r="3882" ht="18" customHeight="1" spans="1:6">
      <c r="A3882" s="13" t="s">
        <v>7505</v>
      </c>
      <c r="B3882" s="13" t="s">
        <v>7506</v>
      </c>
      <c r="C3882" s="13" t="s">
        <v>7664</v>
      </c>
      <c r="D3882" s="13">
        <v>5</v>
      </c>
      <c r="E3882" s="13" t="s">
        <v>7665</v>
      </c>
      <c r="F3882" s="6" t="s">
        <v>11</v>
      </c>
    </row>
    <row r="3883" ht="18" customHeight="1" spans="1:6">
      <c r="A3883" s="13" t="s">
        <v>7505</v>
      </c>
      <c r="B3883" s="13" t="s">
        <v>7506</v>
      </c>
      <c r="C3883" s="13" t="s">
        <v>7666</v>
      </c>
      <c r="D3883" s="13">
        <v>3</v>
      </c>
      <c r="E3883" s="179" t="s">
        <v>7667</v>
      </c>
      <c r="F3883" s="6" t="s">
        <v>11</v>
      </c>
    </row>
    <row r="3884" ht="18" customHeight="1" spans="1:6">
      <c r="A3884" s="13" t="s">
        <v>7505</v>
      </c>
      <c r="B3884" s="13" t="s">
        <v>7506</v>
      </c>
      <c r="C3884" s="13" t="s">
        <v>7668</v>
      </c>
      <c r="D3884" s="13">
        <v>4</v>
      </c>
      <c r="E3884" s="13" t="s">
        <v>7669</v>
      </c>
      <c r="F3884" s="6" t="s">
        <v>11</v>
      </c>
    </row>
    <row r="3885" ht="18" customHeight="1" spans="1:6">
      <c r="A3885" s="13" t="s">
        <v>7505</v>
      </c>
      <c r="B3885" s="13" t="s">
        <v>7506</v>
      </c>
      <c r="C3885" s="13" t="s">
        <v>7670</v>
      </c>
      <c r="D3885" s="13">
        <v>2</v>
      </c>
      <c r="E3885" s="179" t="s">
        <v>7671</v>
      </c>
      <c r="F3885" s="6" t="s">
        <v>11</v>
      </c>
    </row>
    <row r="3886" ht="18" customHeight="1" spans="1:6">
      <c r="A3886" s="13" t="s">
        <v>7505</v>
      </c>
      <c r="B3886" s="13" t="s">
        <v>7506</v>
      </c>
      <c r="C3886" s="13" t="s">
        <v>6235</v>
      </c>
      <c r="D3886" s="13">
        <v>5</v>
      </c>
      <c r="E3886" s="13" t="s">
        <v>7672</v>
      </c>
      <c r="F3886" s="6" t="s">
        <v>11</v>
      </c>
    </row>
    <row r="3887" ht="18" customHeight="1" spans="1:6">
      <c r="A3887" s="13" t="s">
        <v>7505</v>
      </c>
      <c r="B3887" s="13" t="s">
        <v>7506</v>
      </c>
      <c r="C3887" s="13" t="s">
        <v>7673</v>
      </c>
      <c r="D3887" s="13">
        <v>2</v>
      </c>
      <c r="E3887" s="179" t="s">
        <v>7674</v>
      </c>
      <c r="F3887" s="6" t="s">
        <v>11</v>
      </c>
    </row>
    <row r="3888" ht="18" customHeight="1" spans="1:6">
      <c r="A3888" s="13" t="s">
        <v>7505</v>
      </c>
      <c r="B3888" s="13" t="s">
        <v>7573</v>
      </c>
      <c r="C3888" s="13" t="s">
        <v>7675</v>
      </c>
      <c r="D3888" s="13">
        <v>5</v>
      </c>
      <c r="E3888" s="179" t="s">
        <v>7676</v>
      </c>
      <c r="F3888" s="6" t="s">
        <v>11</v>
      </c>
    </row>
    <row r="3889" ht="18" customHeight="1" spans="1:6">
      <c r="A3889" s="13" t="s">
        <v>7505</v>
      </c>
      <c r="B3889" s="13" t="s">
        <v>7573</v>
      </c>
      <c r="C3889" s="13" t="s">
        <v>7677</v>
      </c>
      <c r="D3889" s="13">
        <v>6</v>
      </c>
      <c r="E3889" s="179" t="s">
        <v>7678</v>
      </c>
      <c r="F3889" s="6" t="s">
        <v>11</v>
      </c>
    </row>
    <row r="3890" ht="18" customHeight="1" spans="1:6">
      <c r="A3890" s="13" t="s">
        <v>7505</v>
      </c>
      <c r="B3890" s="13" t="s">
        <v>7573</v>
      </c>
      <c r="C3890" s="13" t="s">
        <v>7679</v>
      </c>
      <c r="D3890" s="13">
        <v>2</v>
      </c>
      <c r="E3890" s="179" t="s">
        <v>7680</v>
      </c>
      <c r="F3890" s="6" t="s">
        <v>11</v>
      </c>
    </row>
    <row r="3891" ht="18" customHeight="1" spans="1:6">
      <c r="A3891" s="13" t="s">
        <v>7505</v>
      </c>
      <c r="B3891" s="13" t="s">
        <v>7573</v>
      </c>
      <c r="C3891" s="13" t="s">
        <v>7681</v>
      </c>
      <c r="D3891" s="13">
        <v>5</v>
      </c>
      <c r="E3891" s="13" t="s">
        <v>7682</v>
      </c>
      <c r="F3891" s="6" t="s">
        <v>11</v>
      </c>
    </row>
    <row r="3892" ht="18" customHeight="1" spans="1:6">
      <c r="A3892" s="13" t="s">
        <v>7505</v>
      </c>
      <c r="B3892" s="13" t="s">
        <v>7573</v>
      </c>
      <c r="C3892" s="13" t="s">
        <v>7683</v>
      </c>
      <c r="D3892" s="13">
        <v>4</v>
      </c>
      <c r="E3892" s="179" t="s">
        <v>7684</v>
      </c>
      <c r="F3892" s="6" t="s">
        <v>11</v>
      </c>
    </row>
    <row r="3893" ht="18" customHeight="1" spans="1:6">
      <c r="A3893" s="13" t="s">
        <v>7505</v>
      </c>
      <c r="B3893" s="13" t="s">
        <v>7573</v>
      </c>
      <c r="C3893" s="13" t="s">
        <v>7685</v>
      </c>
      <c r="D3893" s="13">
        <v>2</v>
      </c>
      <c r="E3893" s="13" t="s">
        <v>7686</v>
      </c>
      <c r="F3893" s="6" t="s">
        <v>11</v>
      </c>
    </row>
    <row r="3894" ht="18" customHeight="1" spans="1:6">
      <c r="A3894" s="13" t="s">
        <v>7505</v>
      </c>
      <c r="B3894" s="13" t="s">
        <v>7573</v>
      </c>
      <c r="C3894" s="13" t="s">
        <v>7687</v>
      </c>
      <c r="D3894" s="13">
        <v>2</v>
      </c>
      <c r="E3894" s="179" t="s">
        <v>7688</v>
      </c>
      <c r="F3894" s="6" t="s">
        <v>11</v>
      </c>
    </row>
    <row r="3895" ht="18" customHeight="1" spans="1:6">
      <c r="A3895" s="13" t="s">
        <v>7505</v>
      </c>
      <c r="B3895" s="13" t="s">
        <v>7573</v>
      </c>
      <c r="C3895" s="13" t="s">
        <v>6664</v>
      </c>
      <c r="D3895" s="13">
        <v>1</v>
      </c>
      <c r="E3895" s="179" t="s">
        <v>7689</v>
      </c>
      <c r="F3895" s="6" t="s">
        <v>11</v>
      </c>
    </row>
    <row r="3896" ht="18" customHeight="1" spans="1:6">
      <c r="A3896" s="13" t="s">
        <v>7505</v>
      </c>
      <c r="B3896" s="13" t="s">
        <v>7573</v>
      </c>
      <c r="C3896" s="13" t="s">
        <v>7690</v>
      </c>
      <c r="D3896" s="13">
        <v>2</v>
      </c>
      <c r="E3896" s="179" t="s">
        <v>7691</v>
      </c>
      <c r="F3896" s="6" t="s">
        <v>11</v>
      </c>
    </row>
    <row r="3897" ht="18" customHeight="1" spans="1:6">
      <c r="A3897" s="13" t="s">
        <v>7505</v>
      </c>
      <c r="B3897" s="13" t="s">
        <v>7573</v>
      </c>
      <c r="C3897" s="13" t="s">
        <v>7692</v>
      </c>
      <c r="D3897" s="13">
        <v>2</v>
      </c>
      <c r="E3897" s="179" t="s">
        <v>7693</v>
      </c>
      <c r="F3897" s="6" t="s">
        <v>11</v>
      </c>
    </row>
    <row r="3898" ht="18" customHeight="1" spans="1:6">
      <c r="A3898" s="13" t="s">
        <v>7505</v>
      </c>
      <c r="B3898" s="13" t="s">
        <v>7573</v>
      </c>
      <c r="C3898" s="13" t="s">
        <v>7694</v>
      </c>
      <c r="D3898" s="13">
        <v>3</v>
      </c>
      <c r="E3898" s="179" t="s">
        <v>7695</v>
      </c>
      <c r="F3898" s="6" t="s">
        <v>11</v>
      </c>
    </row>
    <row r="3899" ht="18" customHeight="1" spans="1:6">
      <c r="A3899" s="13" t="s">
        <v>7505</v>
      </c>
      <c r="B3899" s="13" t="s">
        <v>7573</v>
      </c>
      <c r="C3899" s="13" t="s">
        <v>7696</v>
      </c>
      <c r="D3899" s="13">
        <v>2</v>
      </c>
      <c r="E3899" s="179" t="s">
        <v>7697</v>
      </c>
      <c r="F3899" s="6" t="s">
        <v>11</v>
      </c>
    </row>
    <row r="3900" ht="18" customHeight="1" spans="1:6">
      <c r="A3900" s="13" t="s">
        <v>7505</v>
      </c>
      <c r="B3900" s="13" t="s">
        <v>7573</v>
      </c>
      <c r="C3900" s="13" t="s">
        <v>7698</v>
      </c>
      <c r="D3900" s="13">
        <v>2</v>
      </c>
      <c r="E3900" s="179" t="s">
        <v>7699</v>
      </c>
      <c r="F3900" s="6" t="s">
        <v>11</v>
      </c>
    </row>
    <row r="3901" ht="18" customHeight="1" spans="1:6">
      <c r="A3901" s="13" t="s">
        <v>7505</v>
      </c>
      <c r="B3901" s="13" t="s">
        <v>7573</v>
      </c>
      <c r="C3901" s="13" t="s">
        <v>7700</v>
      </c>
      <c r="D3901" s="13">
        <v>2</v>
      </c>
      <c r="E3901" s="179" t="s">
        <v>7701</v>
      </c>
      <c r="F3901" s="6" t="s">
        <v>11</v>
      </c>
    </row>
    <row r="3902" ht="18" customHeight="1" spans="1:6">
      <c r="A3902" s="13" t="s">
        <v>7505</v>
      </c>
      <c r="B3902" s="13" t="s">
        <v>7573</v>
      </c>
      <c r="C3902" s="13" t="s">
        <v>7702</v>
      </c>
      <c r="D3902" s="13">
        <v>3</v>
      </c>
      <c r="E3902" s="179" t="s">
        <v>7703</v>
      </c>
      <c r="F3902" s="6" t="s">
        <v>11</v>
      </c>
    </row>
    <row r="3903" ht="18" customHeight="1" spans="1:6">
      <c r="A3903" s="13" t="s">
        <v>7505</v>
      </c>
      <c r="B3903" s="13" t="s">
        <v>7573</v>
      </c>
      <c r="C3903" s="13" t="s">
        <v>7704</v>
      </c>
      <c r="D3903" s="13">
        <v>2</v>
      </c>
      <c r="E3903" s="179" t="s">
        <v>7705</v>
      </c>
      <c r="F3903" s="6" t="s">
        <v>11</v>
      </c>
    </row>
    <row r="3904" ht="18" customHeight="1" spans="1:6">
      <c r="A3904" s="13" t="s">
        <v>7505</v>
      </c>
      <c r="B3904" s="13" t="s">
        <v>7573</v>
      </c>
      <c r="C3904" s="13" t="s">
        <v>7706</v>
      </c>
      <c r="D3904" s="13">
        <v>3</v>
      </c>
      <c r="E3904" s="179" t="s">
        <v>7707</v>
      </c>
      <c r="F3904" s="6" t="s">
        <v>11</v>
      </c>
    </row>
    <row r="3905" ht="18" customHeight="1" spans="1:6">
      <c r="A3905" s="13" t="s">
        <v>7505</v>
      </c>
      <c r="B3905" s="13" t="s">
        <v>7573</v>
      </c>
      <c r="C3905" s="13" t="s">
        <v>7708</v>
      </c>
      <c r="D3905" s="13">
        <v>4</v>
      </c>
      <c r="E3905" s="179" t="s">
        <v>7709</v>
      </c>
      <c r="F3905" s="6" t="s">
        <v>11</v>
      </c>
    </row>
    <row r="3906" ht="18" customHeight="1" spans="1:6">
      <c r="A3906" s="13" t="s">
        <v>7505</v>
      </c>
      <c r="B3906" s="13" t="s">
        <v>7573</v>
      </c>
      <c r="C3906" s="13" t="s">
        <v>7710</v>
      </c>
      <c r="D3906" s="13">
        <v>5</v>
      </c>
      <c r="E3906" s="179" t="s">
        <v>7711</v>
      </c>
      <c r="F3906" s="6" t="s">
        <v>11</v>
      </c>
    </row>
    <row r="3907" ht="18" customHeight="1" spans="1:6">
      <c r="A3907" s="13" t="s">
        <v>7505</v>
      </c>
      <c r="B3907" s="13" t="s">
        <v>7573</v>
      </c>
      <c r="C3907" s="13" t="s">
        <v>7712</v>
      </c>
      <c r="D3907" s="13">
        <v>4</v>
      </c>
      <c r="E3907" s="13" t="s">
        <v>7713</v>
      </c>
      <c r="F3907" s="6" t="s">
        <v>11</v>
      </c>
    </row>
    <row r="3908" ht="18" customHeight="1" spans="1:6">
      <c r="A3908" s="13" t="s">
        <v>7505</v>
      </c>
      <c r="B3908" s="13" t="s">
        <v>7573</v>
      </c>
      <c r="C3908" s="13" t="s">
        <v>7714</v>
      </c>
      <c r="D3908" s="13">
        <v>4</v>
      </c>
      <c r="E3908" s="179" t="s">
        <v>7715</v>
      </c>
      <c r="F3908" s="6" t="s">
        <v>11</v>
      </c>
    </row>
    <row r="3909" ht="18" customHeight="1" spans="1:6">
      <c r="A3909" s="13" t="s">
        <v>7505</v>
      </c>
      <c r="B3909" s="13" t="s">
        <v>7573</v>
      </c>
      <c r="C3909" s="13" t="s">
        <v>7716</v>
      </c>
      <c r="D3909" s="13">
        <v>2</v>
      </c>
      <c r="E3909" s="179" t="s">
        <v>7717</v>
      </c>
      <c r="F3909" s="6" t="s">
        <v>11</v>
      </c>
    </row>
    <row r="3910" ht="18" customHeight="1" spans="1:6">
      <c r="A3910" s="13" t="s">
        <v>7505</v>
      </c>
      <c r="B3910" s="13" t="s">
        <v>7573</v>
      </c>
      <c r="C3910" s="13" t="s">
        <v>7718</v>
      </c>
      <c r="D3910" s="13">
        <v>1</v>
      </c>
      <c r="E3910" s="179" t="s">
        <v>7719</v>
      </c>
      <c r="F3910" s="6" t="s">
        <v>11</v>
      </c>
    </row>
    <row r="3911" ht="18" customHeight="1" spans="1:6">
      <c r="A3911" s="13" t="s">
        <v>7505</v>
      </c>
      <c r="B3911" s="13" t="s">
        <v>7573</v>
      </c>
      <c r="C3911" s="13" t="s">
        <v>7720</v>
      </c>
      <c r="D3911" s="13">
        <v>3</v>
      </c>
      <c r="E3911" s="179" t="s">
        <v>7721</v>
      </c>
      <c r="F3911" s="6" t="s">
        <v>11</v>
      </c>
    </row>
    <row r="3912" ht="18" customHeight="1" spans="1:6">
      <c r="A3912" s="13" t="s">
        <v>7505</v>
      </c>
      <c r="B3912" s="13" t="s">
        <v>7573</v>
      </c>
      <c r="C3912" s="13" t="s">
        <v>7722</v>
      </c>
      <c r="D3912" s="13">
        <v>3</v>
      </c>
      <c r="E3912" s="179" t="s">
        <v>7723</v>
      </c>
      <c r="F3912" s="6" t="s">
        <v>11</v>
      </c>
    </row>
    <row r="3913" ht="18" customHeight="1" spans="1:6">
      <c r="A3913" s="13" t="s">
        <v>7505</v>
      </c>
      <c r="B3913" s="13" t="s">
        <v>7573</v>
      </c>
      <c r="C3913" s="13" t="s">
        <v>7724</v>
      </c>
      <c r="D3913" s="13">
        <v>3</v>
      </c>
      <c r="E3913" s="179" t="s">
        <v>7725</v>
      </c>
      <c r="F3913" s="6" t="s">
        <v>11</v>
      </c>
    </row>
    <row r="3914" ht="18" customHeight="1" spans="1:6">
      <c r="A3914" s="13" t="s">
        <v>7505</v>
      </c>
      <c r="B3914" s="13" t="s">
        <v>7573</v>
      </c>
      <c r="C3914" s="13" t="s">
        <v>7726</v>
      </c>
      <c r="D3914" s="13">
        <v>3</v>
      </c>
      <c r="E3914" s="179" t="s">
        <v>7727</v>
      </c>
      <c r="F3914" s="6" t="s">
        <v>11</v>
      </c>
    </row>
    <row r="3915" ht="18" customHeight="1" spans="1:6">
      <c r="A3915" s="13" t="s">
        <v>7505</v>
      </c>
      <c r="B3915" s="13" t="s">
        <v>7573</v>
      </c>
      <c r="C3915" s="13" t="s">
        <v>7728</v>
      </c>
      <c r="D3915" s="13">
        <v>1</v>
      </c>
      <c r="E3915" s="179" t="s">
        <v>7729</v>
      </c>
      <c r="F3915" s="6" t="s">
        <v>11</v>
      </c>
    </row>
    <row r="3916" ht="18" customHeight="1" spans="1:6">
      <c r="A3916" s="13" t="s">
        <v>7505</v>
      </c>
      <c r="B3916" s="13" t="s">
        <v>7573</v>
      </c>
      <c r="C3916" s="13" t="s">
        <v>7730</v>
      </c>
      <c r="D3916" s="13">
        <v>1</v>
      </c>
      <c r="E3916" s="179" t="s">
        <v>7731</v>
      </c>
      <c r="F3916" s="6" t="s">
        <v>11</v>
      </c>
    </row>
    <row r="3917" ht="18" customHeight="1" spans="1:6">
      <c r="A3917" s="13" t="s">
        <v>7505</v>
      </c>
      <c r="B3917" s="13" t="s">
        <v>7573</v>
      </c>
      <c r="C3917" s="13" t="s">
        <v>7732</v>
      </c>
      <c r="D3917" s="13">
        <v>4</v>
      </c>
      <c r="E3917" s="179" t="s">
        <v>7733</v>
      </c>
      <c r="F3917" s="6" t="s">
        <v>11</v>
      </c>
    </row>
    <row r="3918" ht="18" customHeight="1" spans="1:6">
      <c r="A3918" s="13" t="s">
        <v>7505</v>
      </c>
      <c r="B3918" s="13" t="s">
        <v>7573</v>
      </c>
      <c r="C3918" s="13" t="s">
        <v>7734</v>
      </c>
      <c r="D3918" s="13">
        <v>4</v>
      </c>
      <c r="E3918" s="179" t="s">
        <v>7735</v>
      </c>
      <c r="F3918" s="6" t="s">
        <v>11</v>
      </c>
    </row>
    <row r="3919" ht="18" customHeight="1" spans="1:6">
      <c r="A3919" s="13" t="s">
        <v>7505</v>
      </c>
      <c r="B3919" s="13" t="s">
        <v>7573</v>
      </c>
      <c r="C3919" s="13" t="s">
        <v>7736</v>
      </c>
      <c r="D3919" s="13">
        <v>4</v>
      </c>
      <c r="E3919" s="179" t="s">
        <v>7737</v>
      </c>
      <c r="F3919" s="6" t="s">
        <v>11</v>
      </c>
    </row>
    <row r="3920" ht="18" customHeight="1" spans="1:6">
      <c r="A3920" s="13" t="s">
        <v>7505</v>
      </c>
      <c r="B3920" s="13" t="s">
        <v>7573</v>
      </c>
      <c r="C3920" s="13" t="s">
        <v>7738</v>
      </c>
      <c r="D3920" s="13">
        <v>2</v>
      </c>
      <c r="E3920" s="13" t="s">
        <v>7739</v>
      </c>
      <c r="F3920" s="6" t="s">
        <v>11</v>
      </c>
    </row>
    <row r="3921" ht="18" customHeight="1" spans="1:6">
      <c r="A3921" s="13" t="s">
        <v>7505</v>
      </c>
      <c r="B3921" s="13" t="s">
        <v>7573</v>
      </c>
      <c r="C3921" s="13" t="s">
        <v>7740</v>
      </c>
      <c r="D3921" s="13">
        <v>4</v>
      </c>
      <c r="E3921" s="179" t="s">
        <v>7741</v>
      </c>
      <c r="F3921" s="6" t="s">
        <v>11</v>
      </c>
    </row>
    <row r="3922" ht="18" customHeight="1" spans="1:6">
      <c r="A3922" s="13" t="s">
        <v>7505</v>
      </c>
      <c r="B3922" s="13" t="s">
        <v>7573</v>
      </c>
      <c r="C3922" s="13" t="s">
        <v>7742</v>
      </c>
      <c r="D3922" s="13">
        <v>2</v>
      </c>
      <c r="E3922" s="179" t="s">
        <v>7743</v>
      </c>
      <c r="F3922" s="6" t="s">
        <v>11</v>
      </c>
    </row>
    <row r="3923" ht="18" customHeight="1" spans="1:6">
      <c r="A3923" s="13" t="s">
        <v>7505</v>
      </c>
      <c r="B3923" s="13" t="s">
        <v>7573</v>
      </c>
      <c r="C3923" s="13" t="s">
        <v>7744</v>
      </c>
      <c r="D3923" s="13">
        <v>1</v>
      </c>
      <c r="E3923" s="179" t="s">
        <v>7745</v>
      </c>
      <c r="F3923" s="6" t="s">
        <v>11</v>
      </c>
    </row>
    <row r="3924" ht="18" customHeight="1" spans="1:6">
      <c r="A3924" s="13" t="s">
        <v>7505</v>
      </c>
      <c r="B3924" s="13" t="s">
        <v>7573</v>
      </c>
      <c r="C3924" s="13" t="s">
        <v>7746</v>
      </c>
      <c r="D3924" s="13">
        <v>2</v>
      </c>
      <c r="E3924" s="179" t="s">
        <v>7747</v>
      </c>
      <c r="F3924" s="6" t="s">
        <v>11</v>
      </c>
    </row>
    <row r="3925" ht="18" customHeight="1" spans="1:6">
      <c r="A3925" s="13" t="s">
        <v>7505</v>
      </c>
      <c r="B3925" s="13" t="s">
        <v>7573</v>
      </c>
      <c r="C3925" s="13" t="s">
        <v>7748</v>
      </c>
      <c r="D3925" s="13">
        <v>4</v>
      </c>
      <c r="E3925" s="179" t="s">
        <v>7749</v>
      </c>
      <c r="F3925" s="6" t="s">
        <v>11</v>
      </c>
    </row>
    <row r="3926" ht="18" customHeight="1" spans="1:6">
      <c r="A3926" s="13" t="s">
        <v>7505</v>
      </c>
      <c r="B3926" s="13" t="s">
        <v>7573</v>
      </c>
      <c r="C3926" s="13" t="s">
        <v>7750</v>
      </c>
      <c r="D3926" s="13">
        <v>2</v>
      </c>
      <c r="E3926" s="179" t="s">
        <v>7751</v>
      </c>
      <c r="F3926" s="6" t="s">
        <v>11</v>
      </c>
    </row>
    <row r="3927" ht="18" customHeight="1" spans="1:6">
      <c r="A3927" s="13" t="s">
        <v>7505</v>
      </c>
      <c r="B3927" s="13" t="s">
        <v>7573</v>
      </c>
      <c r="C3927" s="13" t="s">
        <v>7752</v>
      </c>
      <c r="D3927" s="13">
        <v>4</v>
      </c>
      <c r="E3927" s="179" t="s">
        <v>7753</v>
      </c>
      <c r="F3927" s="6" t="s">
        <v>11</v>
      </c>
    </row>
    <row r="3928" ht="18" customHeight="1" spans="1:6">
      <c r="A3928" s="13" t="s">
        <v>7505</v>
      </c>
      <c r="B3928" s="13" t="s">
        <v>7573</v>
      </c>
      <c r="C3928" s="13" t="s">
        <v>7754</v>
      </c>
      <c r="D3928" s="13">
        <v>3</v>
      </c>
      <c r="E3928" s="179" t="s">
        <v>7755</v>
      </c>
      <c r="F3928" s="6" t="s">
        <v>11</v>
      </c>
    </row>
    <row r="3929" ht="18" customHeight="1" spans="1:6">
      <c r="A3929" s="13" t="s">
        <v>7505</v>
      </c>
      <c r="B3929" s="13" t="s">
        <v>7560</v>
      </c>
      <c r="C3929" s="13" t="s">
        <v>7756</v>
      </c>
      <c r="D3929" s="13">
        <v>1</v>
      </c>
      <c r="E3929" s="14" t="s">
        <v>7757</v>
      </c>
      <c r="F3929" s="6" t="s">
        <v>11</v>
      </c>
    </row>
    <row r="3930" ht="18" customHeight="1" spans="1:6">
      <c r="A3930" s="13" t="s">
        <v>7505</v>
      </c>
      <c r="B3930" s="13" t="s">
        <v>7560</v>
      </c>
      <c r="C3930" s="13" t="s">
        <v>7758</v>
      </c>
      <c r="D3930" s="13">
        <v>3</v>
      </c>
      <c r="E3930" s="14" t="s">
        <v>7759</v>
      </c>
      <c r="F3930" s="6" t="s">
        <v>11</v>
      </c>
    </row>
    <row r="3931" ht="18" customHeight="1" spans="1:6">
      <c r="A3931" s="13" t="s">
        <v>7505</v>
      </c>
      <c r="B3931" s="13" t="s">
        <v>7560</v>
      </c>
      <c r="C3931" s="13" t="s">
        <v>7760</v>
      </c>
      <c r="D3931" s="13">
        <v>1</v>
      </c>
      <c r="E3931" s="14" t="s">
        <v>7761</v>
      </c>
      <c r="F3931" s="6" t="s">
        <v>11</v>
      </c>
    </row>
    <row r="3932" ht="18" customHeight="1" spans="1:6">
      <c r="A3932" s="13" t="s">
        <v>7505</v>
      </c>
      <c r="B3932" s="13" t="s">
        <v>7560</v>
      </c>
      <c r="C3932" s="13" t="s">
        <v>7762</v>
      </c>
      <c r="D3932" s="13">
        <v>2</v>
      </c>
      <c r="E3932" s="14" t="s">
        <v>7763</v>
      </c>
      <c r="F3932" s="6" t="s">
        <v>11</v>
      </c>
    </row>
    <row r="3933" ht="18" customHeight="1" spans="1:6">
      <c r="A3933" s="13" t="s">
        <v>7505</v>
      </c>
      <c r="B3933" s="13" t="s">
        <v>7560</v>
      </c>
      <c r="C3933" s="13" t="s">
        <v>7764</v>
      </c>
      <c r="D3933" s="13">
        <v>6</v>
      </c>
      <c r="E3933" s="14" t="s">
        <v>7765</v>
      </c>
      <c r="F3933" s="6" t="s">
        <v>11</v>
      </c>
    </row>
    <row r="3934" ht="18" customHeight="1" spans="1:6">
      <c r="A3934" s="13" t="s">
        <v>7505</v>
      </c>
      <c r="B3934" s="13" t="s">
        <v>7560</v>
      </c>
      <c r="C3934" s="13" t="s">
        <v>7465</v>
      </c>
      <c r="D3934" s="13">
        <v>3</v>
      </c>
      <c r="E3934" s="14" t="s">
        <v>7766</v>
      </c>
      <c r="F3934" s="6" t="s">
        <v>11</v>
      </c>
    </row>
    <row r="3935" ht="18" customHeight="1" spans="1:6">
      <c r="A3935" s="13" t="s">
        <v>7505</v>
      </c>
      <c r="B3935" s="13" t="s">
        <v>7560</v>
      </c>
      <c r="C3935" s="13" t="s">
        <v>7767</v>
      </c>
      <c r="D3935" s="13">
        <v>3</v>
      </c>
      <c r="E3935" s="14" t="s">
        <v>7768</v>
      </c>
      <c r="F3935" s="6" t="s">
        <v>11</v>
      </c>
    </row>
    <row r="3936" ht="18" customHeight="1" spans="1:6">
      <c r="A3936" s="13" t="s">
        <v>7505</v>
      </c>
      <c r="B3936" s="13" t="s">
        <v>7560</v>
      </c>
      <c r="C3936" s="13" t="s">
        <v>7769</v>
      </c>
      <c r="D3936" s="13">
        <v>4</v>
      </c>
      <c r="E3936" s="14" t="s">
        <v>7770</v>
      </c>
      <c r="F3936" s="6" t="s">
        <v>11</v>
      </c>
    </row>
    <row r="3937" ht="18" customHeight="1" spans="1:6">
      <c r="A3937" s="13" t="s">
        <v>7505</v>
      </c>
      <c r="B3937" s="13" t="s">
        <v>7560</v>
      </c>
      <c r="C3937" s="13" t="s">
        <v>7771</v>
      </c>
      <c r="D3937" s="13">
        <v>2</v>
      </c>
      <c r="E3937" s="14" t="s">
        <v>7772</v>
      </c>
      <c r="F3937" s="6" t="s">
        <v>11</v>
      </c>
    </row>
    <row r="3938" ht="18" customHeight="1" spans="1:6">
      <c r="A3938" s="13" t="s">
        <v>7505</v>
      </c>
      <c r="B3938" s="13" t="s">
        <v>7560</v>
      </c>
      <c r="C3938" s="13" t="s">
        <v>7773</v>
      </c>
      <c r="D3938" s="13">
        <v>4</v>
      </c>
      <c r="E3938" s="14" t="s">
        <v>7774</v>
      </c>
      <c r="F3938" s="6" t="s">
        <v>11</v>
      </c>
    </row>
    <row r="3939" ht="18" customHeight="1" spans="1:6">
      <c r="A3939" s="13" t="s">
        <v>7505</v>
      </c>
      <c r="B3939" s="13" t="s">
        <v>7560</v>
      </c>
      <c r="C3939" s="13" t="s">
        <v>7775</v>
      </c>
      <c r="D3939" s="13">
        <v>5</v>
      </c>
      <c r="E3939" s="14" t="s">
        <v>7776</v>
      </c>
      <c r="F3939" s="6" t="s">
        <v>11</v>
      </c>
    </row>
    <row r="3940" ht="18" customHeight="1" spans="1:6">
      <c r="A3940" s="13" t="s">
        <v>7505</v>
      </c>
      <c r="B3940" s="13" t="s">
        <v>7560</v>
      </c>
      <c r="C3940" s="13" t="s">
        <v>7777</v>
      </c>
      <c r="D3940" s="13">
        <v>3</v>
      </c>
      <c r="E3940" s="14" t="s">
        <v>7778</v>
      </c>
      <c r="F3940" s="6" t="s">
        <v>11</v>
      </c>
    </row>
    <row r="3941" ht="18" customHeight="1" spans="1:6">
      <c r="A3941" s="13" t="s">
        <v>7505</v>
      </c>
      <c r="B3941" s="13" t="s">
        <v>7560</v>
      </c>
      <c r="C3941" s="13" t="s">
        <v>6967</v>
      </c>
      <c r="D3941" s="13">
        <v>1</v>
      </c>
      <c r="E3941" s="14" t="s">
        <v>7779</v>
      </c>
      <c r="F3941" s="6" t="s">
        <v>11</v>
      </c>
    </row>
    <row r="3942" ht="18" customHeight="1" spans="1:6">
      <c r="A3942" s="13" t="s">
        <v>7505</v>
      </c>
      <c r="B3942" s="13" t="s">
        <v>7560</v>
      </c>
      <c r="C3942" s="13" t="s">
        <v>7780</v>
      </c>
      <c r="D3942" s="13">
        <v>3</v>
      </c>
      <c r="E3942" s="14" t="s">
        <v>7781</v>
      </c>
      <c r="F3942" s="6" t="s">
        <v>11</v>
      </c>
    </row>
    <row r="3943" ht="18" customHeight="1" spans="1:6">
      <c r="A3943" s="13" t="s">
        <v>7505</v>
      </c>
      <c r="B3943" s="13" t="s">
        <v>7624</v>
      </c>
      <c r="C3943" s="13" t="s">
        <v>7782</v>
      </c>
      <c r="D3943" s="13">
        <v>4</v>
      </c>
      <c r="E3943" s="5" t="s">
        <v>7783</v>
      </c>
      <c r="F3943" s="6" t="s">
        <v>11</v>
      </c>
    </row>
    <row r="3944" ht="18" customHeight="1" spans="1:6">
      <c r="A3944" s="13" t="s">
        <v>7505</v>
      </c>
      <c r="B3944" s="13" t="s">
        <v>7624</v>
      </c>
      <c r="C3944" s="5" t="s">
        <v>7784</v>
      </c>
      <c r="D3944" s="13">
        <v>1</v>
      </c>
      <c r="E3944" s="5" t="s">
        <v>7785</v>
      </c>
      <c r="F3944" s="6" t="s">
        <v>11</v>
      </c>
    </row>
    <row r="3945" ht="18" customHeight="1" spans="1:6">
      <c r="A3945" s="13" t="s">
        <v>7505</v>
      </c>
      <c r="B3945" s="13" t="s">
        <v>7624</v>
      </c>
      <c r="C3945" s="13" t="s">
        <v>7786</v>
      </c>
      <c r="D3945" s="13">
        <v>1</v>
      </c>
      <c r="E3945" s="5" t="s">
        <v>7787</v>
      </c>
      <c r="F3945" s="6" t="s">
        <v>11</v>
      </c>
    </row>
    <row r="3946" ht="18" customHeight="1" spans="1:6">
      <c r="A3946" s="13" t="s">
        <v>7505</v>
      </c>
      <c r="B3946" s="13" t="s">
        <v>7624</v>
      </c>
      <c r="C3946" s="13" t="s">
        <v>7788</v>
      </c>
      <c r="D3946" s="13">
        <v>4</v>
      </c>
      <c r="E3946" s="5" t="s">
        <v>7789</v>
      </c>
      <c r="F3946" s="6" t="s">
        <v>11</v>
      </c>
    </row>
    <row r="3947" ht="18" customHeight="1" spans="1:6">
      <c r="A3947" s="13" t="s">
        <v>7505</v>
      </c>
      <c r="B3947" s="13" t="s">
        <v>7624</v>
      </c>
      <c r="C3947" s="13" t="s">
        <v>7790</v>
      </c>
      <c r="D3947" s="13">
        <v>2</v>
      </c>
      <c r="E3947" s="5" t="s">
        <v>7791</v>
      </c>
      <c r="F3947" s="6" t="s">
        <v>11</v>
      </c>
    </row>
    <row r="3948" ht="18" customHeight="1" spans="1:6">
      <c r="A3948" s="13" t="s">
        <v>7505</v>
      </c>
      <c r="B3948" s="13" t="s">
        <v>7624</v>
      </c>
      <c r="C3948" s="13" t="s">
        <v>7792</v>
      </c>
      <c r="D3948" s="13">
        <v>6</v>
      </c>
      <c r="E3948" s="5" t="s">
        <v>7793</v>
      </c>
      <c r="F3948" s="6" t="s">
        <v>11</v>
      </c>
    </row>
    <row r="3949" ht="18" customHeight="1" spans="1:6">
      <c r="A3949" s="13" t="s">
        <v>7505</v>
      </c>
      <c r="B3949" s="13" t="s">
        <v>7624</v>
      </c>
      <c r="C3949" s="13" t="s">
        <v>7794</v>
      </c>
      <c r="D3949" s="13">
        <v>4</v>
      </c>
      <c r="E3949" s="5" t="s">
        <v>7795</v>
      </c>
      <c r="F3949" s="6" t="s">
        <v>11</v>
      </c>
    </row>
    <row r="3950" ht="18" customHeight="1" spans="1:6">
      <c r="A3950" s="13" t="s">
        <v>7505</v>
      </c>
      <c r="B3950" s="13" t="s">
        <v>7624</v>
      </c>
      <c r="C3950" s="5" t="s">
        <v>7796</v>
      </c>
      <c r="D3950" s="13">
        <v>3</v>
      </c>
      <c r="E3950" s="5" t="s">
        <v>7797</v>
      </c>
      <c r="F3950" s="6" t="s">
        <v>11</v>
      </c>
    </row>
    <row r="3951" ht="18" customHeight="1" spans="1:6">
      <c r="A3951" s="13" t="s">
        <v>7505</v>
      </c>
      <c r="B3951" s="13" t="s">
        <v>7624</v>
      </c>
      <c r="C3951" s="13" t="s">
        <v>7798</v>
      </c>
      <c r="D3951" s="13">
        <v>3</v>
      </c>
      <c r="E3951" s="5" t="s">
        <v>7799</v>
      </c>
      <c r="F3951" s="6" t="s">
        <v>11</v>
      </c>
    </row>
    <row r="3952" ht="18" customHeight="1" spans="1:6">
      <c r="A3952" s="13" t="s">
        <v>7505</v>
      </c>
      <c r="B3952" s="13" t="s">
        <v>7624</v>
      </c>
      <c r="C3952" s="13" t="s">
        <v>7800</v>
      </c>
      <c r="D3952" s="13">
        <v>1</v>
      </c>
      <c r="E3952" s="5" t="s">
        <v>7801</v>
      </c>
      <c r="F3952" s="6" t="s">
        <v>11</v>
      </c>
    </row>
    <row r="3953" ht="18" customHeight="1" spans="1:6">
      <c r="A3953" s="13" t="s">
        <v>7505</v>
      </c>
      <c r="B3953" s="13" t="s">
        <v>7624</v>
      </c>
      <c r="C3953" s="13" t="s">
        <v>7802</v>
      </c>
      <c r="D3953" s="13">
        <v>1</v>
      </c>
      <c r="E3953" s="5" t="s">
        <v>7803</v>
      </c>
      <c r="F3953" s="6" t="s">
        <v>11</v>
      </c>
    </row>
    <row r="3954" ht="18" customHeight="1" spans="1:6">
      <c r="A3954" s="13" t="s">
        <v>7505</v>
      </c>
      <c r="B3954" s="13" t="s">
        <v>7624</v>
      </c>
      <c r="C3954" s="13" t="s">
        <v>7804</v>
      </c>
      <c r="D3954" s="13">
        <v>1</v>
      </c>
      <c r="E3954" s="5" t="s">
        <v>7805</v>
      </c>
      <c r="F3954" s="6" t="s">
        <v>11</v>
      </c>
    </row>
    <row r="3955" ht="18" customHeight="1" spans="1:6">
      <c r="A3955" s="13" t="s">
        <v>7505</v>
      </c>
      <c r="B3955" s="13" t="s">
        <v>7624</v>
      </c>
      <c r="C3955" s="13" t="s">
        <v>7806</v>
      </c>
      <c r="D3955" s="13">
        <v>1</v>
      </c>
      <c r="E3955" s="5" t="s">
        <v>7807</v>
      </c>
      <c r="F3955" s="6" t="s">
        <v>11</v>
      </c>
    </row>
    <row r="3956" ht="18" customHeight="1" spans="1:6">
      <c r="A3956" s="13" t="s">
        <v>7505</v>
      </c>
      <c r="B3956" s="13" t="s">
        <v>7624</v>
      </c>
      <c r="C3956" s="13" t="s">
        <v>7808</v>
      </c>
      <c r="D3956" s="13">
        <v>1</v>
      </c>
      <c r="E3956" s="178" t="s">
        <v>7809</v>
      </c>
      <c r="F3956" s="6" t="s">
        <v>11</v>
      </c>
    </row>
    <row r="3957" ht="18" customHeight="1" spans="1:6">
      <c r="A3957" s="13" t="s">
        <v>7505</v>
      </c>
      <c r="B3957" s="13" t="s">
        <v>7544</v>
      </c>
      <c r="C3957" s="13" t="s">
        <v>7810</v>
      </c>
      <c r="D3957" s="13">
        <v>4</v>
      </c>
      <c r="E3957" s="179" t="s">
        <v>7811</v>
      </c>
      <c r="F3957" s="6" t="s">
        <v>11</v>
      </c>
    </row>
    <row r="3958" ht="18" customHeight="1" spans="1:6">
      <c r="A3958" s="13" t="s">
        <v>7505</v>
      </c>
      <c r="B3958" s="13" t="s">
        <v>7544</v>
      </c>
      <c r="C3958" s="13" t="s">
        <v>7812</v>
      </c>
      <c r="D3958" s="13">
        <v>1</v>
      </c>
      <c r="E3958" s="13" t="s">
        <v>7813</v>
      </c>
      <c r="F3958" s="6" t="s">
        <v>11</v>
      </c>
    </row>
    <row r="3959" ht="18" customHeight="1" spans="1:6">
      <c r="A3959" s="13" t="s">
        <v>7505</v>
      </c>
      <c r="B3959" s="13" t="s">
        <v>7544</v>
      </c>
      <c r="C3959" s="13" t="s">
        <v>7814</v>
      </c>
      <c r="D3959" s="13">
        <v>1</v>
      </c>
      <c r="E3959" s="179" t="s">
        <v>7815</v>
      </c>
      <c r="F3959" s="6" t="s">
        <v>11</v>
      </c>
    </row>
    <row r="3960" ht="18" customHeight="1" spans="1:6">
      <c r="A3960" s="13" t="s">
        <v>7505</v>
      </c>
      <c r="B3960" s="13" t="s">
        <v>7544</v>
      </c>
      <c r="C3960" s="13" t="s">
        <v>7816</v>
      </c>
      <c r="D3960" s="13">
        <v>4</v>
      </c>
      <c r="E3960" s="179" t="s">
        <v>7817</v>
      </c>
      <c r="F3960" s="6" t="s">
        <v>11</v>
      </c>
    </row>
    <row r="3961" ht="18" customHeight="1" spans="1:6">
      <c r="A3961" s="13" t="s">
        <v>7505</v>
      </c>
      <c r="B3961" s="13" t="s">
        <v>7544</v>
      </c>
      <c r="C3961" s="13" t="s">
        <v>7818</v>
      </c>
      <c r="D3961" s="13">
        <v>2</v>
      </c>
      <c r="E3961" s="179" t="s">
        <v>7819</v>
      </c>
      <c r="F3961" s="6" t="s">
        <v>11</v>
      </c>
    </row>
    <row r="3962" ht="18" customHeight="1" spans="1:6">
      <c r="A3962" s="13" t="s">
        <v>7505</v>
      </c>
      <c r="B3962" s="13" t="s">
        <v>7544</v>
      </c>
      <c r="C3962" s="13" t="s">
        <v>7820</v>
      </c>
      <c r="D3962" s="13">
        <v>2</v>
      </c>
      <c r="E3962" s="179" t="s">
        <v>7821</v>
      </c>
      <c r="F3962" s="6" t="s">
        <v>11</v>
      </c>
    </row>
    <row r="3963" ht="18" customHeight="1" spans="1:6">
      <c r="A3963" s="13" t="s">
        <v>7505</v>
      </c>
      <c r="B3963" s="13" t="s">
        <v>7544</v>
      </c>
      <c r="C3963" s="13" t="s">
        <v>7822</v>
      </c>
      <c r="D3963" s="13">
        <v>4</v>
      </c>
      <c r="E3963" s="179" t="s">
        <v>7823</v>
      </c>
      <c r="F3963" s="6" t="s">
        <v>11</v>
      </c>
    </row>
    <row r="3964" ht="18" customHeight="1" spans="1:6">
      <c r="A3964" s="13" t="s">
        <v>7505</v>
      </c>
      <c r="B3964" s="13" t="s">
        <v>7544</v>
      </c>
      <c r="C3964" s="13" t="s">
        <v>7824</v>
      </c>
      <c r="D3964" s="13">
        <v>3</v>
      </c>
      <c r="E3964" s="179" t="s">
        <v>7825</v>
      </c>
      <c r="F3964" s="6" t="s">
        <v>11</v>
      </c>
    </row>
    <row r="3965" ht="18" customHeight="1" spans="1:6">
      <c r="A3965" s="13" t="s">
        <v>7505</v>
      </c>
      <c r="B3965" s="13" t="s">
        <v>7544</v>
      </c>
      <c r="C3965" s="13" t="s">
        <v>7826</v>
      </c>
      <c r="D3965" s="13">
        <v>4</v>
      </c>
      <c r="E3965" s="179" t="s">
        <v>7827</v>
      </c>
      <c r="F3965" s="6" t="s">
        <v>11</v>
      </c>
    </row>
    <row r="3966" ht="18" customHeight="1" spans="1:6">
      <c r="A3966" s="13" t="s">
        <v>7505</v>
      </c>
      <c r="B3966" s="13" t="s">
        <v>7544</v>
      </c>
      <c r="C3966" s="13" t="s">
        <v>7828</v>
      </c>
      <c r="D3966" s="13">
        <v>2</v>
      </c>
      <c r="E3966" s="179" t="s">
        <v>7829</v>
      </c>
      <c r="F3966" s="6" t="s">
        <v>11</v>
      </c>
    </row>
    <row r="3967" ht="18" customHeight="1" spans="1:6">
      <c r="A3967" s="13" t="s">
        <v>7505</v>
      </c>
      <c r="B3967" s="13" t="s">
        <v>7544</v>
      </c>
      <c r="C3967" s="13" t="s">
        <v>7830</v>
      </c>
      <c r="D3967" s="13">
        <v>2</v>
      </c>
      <c r="E3967" s="179" t="s">
        <v>7831</v>
      </c>
      <c r="F3967" s="6" t="s">
        <v>11</v>
      </c>
    </row>
    <row r="3968" ht="18" customHeight="1" spans="1:6">
      <c r="A3968" s="13" t="s">
        <v>7505</v>
      </c>
      <c r="B3968" s="13" t="s">
        <v>7544</v>
      </c>
      <c r="C3968" s="13" t="s">
        <v>7832</v>
      </c>
      <c r="D3968" s="13">
        <v>1</v>
      </c>
      <c r="E3968" s="179" t="s">
        <v>7833</v>
      </c>
      <c r="F3968" s="6" t="s">
        <v>11</v>
      </c>
    </row>
    <row r="3969" ht="18" customHeight="1" spans="1:6">
      <c r="A3969" s="13" t="s">
        <v>7505</v>
      </c>
      <c r="B3969" s="13" t="s">
        <v>7544</v>
      </c>
      <c r="C3969" s="13" t="s">
        <v>7834</v>
      </c>
      <c r="D3969" s="13">
        <v>2</v>
      </c>
      <c r="E3969" s="179" t="s">
        <v>7835</v>
      </c>
      <c r="F3969" s="6" t="s">
        <v>11</v>
      </c>
    </row>
    <row r="3970" ht="18" customHeight="1" spans="1:6">
      <c r="A3970" s="13" t="s">
        <v>7505</v>
      </c>
      <c r="B3970" s="13" t="s">
        <v>7544</v>
      </c>
      <c r="C3970" s="13" t="s">
        <v>7836</v>
      </c>
      <c r="D3970" s="13">
        <v>2</v>
      </c>
      <c r="E3970" s="179" t="s">
        <v>7837</v>
      </c>
      <c r="F3970" s="6" t="s">
        <v>11</v>
      </c>
    </row>
    <row r="3971" ht="18" customHeight="1" spans="1:6">
      <c r="A3971" s="13" t="s">
        <v>7505</v>
      </c>
      <c r="B3971" s="13" t="s">
        <v>7544</v>
      </c>
      <c r="C3971" s="13" t="s">
        <v>7838</v>
      </c>
      <c r="D3971" s="13">
        <v>2</v>
      </c>
      <c r="E3971" s="179" t="s">
        <v>7839</v>
      </c>
      <c r="F3971" s="6" t="s">
        <v>11</v>
      </c>
    </row>
    <row r="3972" ht="18" customHeight="1" spans="1:6">
      <c r="A3972" s="13" t="s">
        <v>7505</v>
      </c>
      <c r="B3972" s="13" t="s">
        <v>7544</v>
      </c>
      <c r="C3972" s="13" t="s">
        <v>7840</v>
      </c>
      <c r="D3972" s="13">
        <v>3</v>
      </c>
      <c r="E3972" s="179" t="s">
        <v>7841</v>
      </c>
      <c r="F3972" s="6" t="s">
        <v>11</v>
      </c>
    </row>
    <row r="3973" ht="18" customHeight="1" spans="1:6">
      <c r="A3973" s="13" t="s">
        <v>7505</v>
      </c>
      <c r="B3973" s="13" t="s">
        <v>7544</v>
      </c>
      <c r="C3973" s="13" t="s">
        <v>7842</v>
      </c>
      <c r="D3973" s="13">
        <v>2</v>
      </c>
      <c r="E3973" s="179" t="s">
        <v>7843</v>
      </c>
      <c r="F3973" s="6" t="s">
        <v>11</v>
      </c>
    </row>
    <row r="3974" ht="18" customHeight="1" spans="1:6">
      <c r="A3974" s="13" t="s">
        <v>7505</v>
      </c>
      <c r="B3974" s="13" t="s">
        <v>7544</v>
      </c>
      <c r="C3974" s="13" t="s">
        <v>7844</v>
      </c>
      <c r="D3974" s="13">
        <v>1</v>
      </c>
      <c r="E3974" s="179" t="s">
        <v>7845</v>
      </c>
      <c r="F3974" s="6" t="s">
        <v>11</v>
      </c>
    </row>
    <row r="3975" ht="18" customHeight="1" spans="1:6">
      <c r="A3975" s="13" t="s">
        <v>7505</v>
      </c>
      <c r="B3975" s="13" t="s">
        <v>7544</v>
      </c>
      <c r="C3975" s="13" t="s">
        <v>7846</v>
      </c>
      <c r="D3975" s="13">
        <v>1</v>
      </c>
      <c r="E3975" s="179" t="s">
        <v>7847</v>
      </c>
      <c r="F3975" s="6" t="s">
        <v>11</v>
      </c>
    </row>
    <row r="3976" ht="18" customHeight="1" spans="1:6">
      <c r="A3976" s="13" t="s">
        <v>7505</v>
      </c>
      <c r="B3976" s="13" t="s">
        <v>7544</v>
      </c>
      <c r="C3976" s="13" t="s">
        <v>7848</v>
      </c>
      <c r="D3976" s="13">
        <v>2</v>
      </c>
      <c r="E3976" s="13" t="s">
        <v>7849</v>
      </c>
      <c r="F3976" s="6" t="s">
        <v>11</v>
      </c>
    </row>
    <row r="3977" ht="18" customHeight="1" spans="1:6">
      <c r="A3977" s="13" t="s">
        <v>7505</v>
      </c>
      <c r="B3977" s="13" t="s">
        <v>7544</v>
      </c>
      <c r="C3977" s="13" t="s">
        <v>7850</v>
      </c>
      <c r="D3977" s="13">
        <v>2</v>
      </c>
      <c r="E3977" s="179" t="s">
        <v>7851</v>
      </c>
      <c r="F3977" s="6" t="s">
        <v>11</v>
      </c>
    </row>
    <row r="3978" ht="18" customHeight="1" spans="1:6">
      <c r="A3978" s="13" t="s">
        <v>7505</v>
      </c>
      <c r="B3978" s="13" t="s">
        <v>7544</v>
      </c>
      <c r="C3978" s="13" t="s">
        <v>7852</v>
      </c>
      <c r="D3978" s="13">
        <v>2</v>
      </c>
      <c r="E3978" s="179" t="s">
        <v>7853</v>
      </c>
      <c r="F3978" s="6" t="s">
        <v>11</v>
      </c>
    </row>
    <row r="3979" ht="18" customHeight="1" spans="1:6">
      <c r="A3979" s="13" t="s">
        <v>7505</v>
      </c>
      <c r="B3979" s="13" t="s">
        <v>7544</v>
      </c>
      <c r="C3979" s="13" t="s">
        <v>7854</v>
      </c>
      <c r="D3979" s="13">
        <v>1</v>
      </c>
      <c r="E3979" s="179" t="s">
        <v>7855</v>
      </c>
      <c r="F3979" s="6" t="s">
        <v>11</v>
      </c>
    </row>
    <row r="3980" ht="18" customHeight="1" spans="1:6">
      <c r="A3980" s="13" t="s">
        <v>7505</v>
      </c>
      <c r="B3980" s="13" t="s">
        <v>7544</v>
      </c>
      <c r="C3980" s="13" t="s">
        <v>7856</v>
      </c>
      <c r="D3980" s="13">
        <v>2</v>
      </c>
      <c r="E3980" s="179" t="s">
        <v>7857</v>
      </c>
      <c r="F3980" s="6" t="s">
        <v>11</v>
      </c>
    </row>
    <row r="3981" ht="18" customHeight="1" spans="1:6">
      <c r="A3981" s="13" t="s">
        <v>7505</v>
      </c>
      <c r="B3981" s="13" t="s">
        <v>7544</v>
      </c>
      <c r="C3981" s="13" t="s">
        <v>7858</v>
      </c>
      <c r="D3981" s="13">
        <v>2</v>
      </c>
      <c r="E3981" s="179" t="s">
        <v>7859</v>
      </c>
      <c r="F3981" s="6" t="s">
        <v>11</v>
      </c>
    </row>
    <row r="3982" ht="18" customHeight="1" spans="1:6">
      <c r="A3982" s="13" t="s">
        <v>7505</v>
      </c>
      <c r="B3982" s="13" t="s">
        <v>7544</v>
      </c>
      <c r="C3982" s="13" t="s">
        <v>7860</v>
      </c>
      <c r="D3982" s="13">
        <v>3</v>
      </c>
      <c r="E3982" s="179" t="s">
        <v>7861</v>
      </c>
      <c r="F3982" s="6" t="s">
        <v>11</v>
      </c>
    </row>
    <row r="3983" ht="18" customHeight="1" spans="1:6">
      <c r="A3983" s="13" t="s">
        <v>7505</v>
      </c>
      <c r="B3983" s="13" t="s">
        <v>7544</v>
      </c>
      <c r="C3983" s="13" t="s">
        <v>7862</v>
      </c>
      <c r="D3983" s="13">
        <v>1</v>
      </c>
      <c r="E3983" s="179" t="s">
        <v>7863</v>
      </c>
      <c r="F3983" s="6" t="s">
        <v>11</v>
      </c>
    </row>
    <row r="3984" ht="18" customHeight="1" spans="1:6">
      <c r="A3984" s="13" t="s">
        <v>7505</v>
      </c>
      <c r="B3984" s="13" t="s">
        <v>7544</v>
      </c>
      <c r="C3984" s="13" t="s">
        <v>7864</v>
      </c>
      <c r="D3984" s="13">
        <v>2</v>
      </c>
      <c r="E3984" s="179" t="s">
        <v>7865</v>
      </c>
      <c r="F3984" s="6" t="s">
        <v>11</v>
      </c>
    </row>
    <row r="3985" ht="18" customHeight="1" spans="1:6">
      <c r="A3985" s="13" t="s">
        <v>7505</v>
      </c>
      <c r="B3985" s="13" t="s">
        <v>7544</v>
      </c>
      <c r="C3985" s="13" t="s">
        <v>7866</v>
      </c>
      <c r="D3985" s="13">
        <v>3</v>
      </c>
      <c r="E3985" s="179" t="s">
        <v>7867</v>
      </c>
      <c r="F3985" s="6" t="s">
        <v>11</v>
      </c>
    </row>
    <row r="3986" ht="18" customHeight="1" spans="1:6">
      <c r="A3986" s="13" t="s">
        <v>7505</v>
      </c>
      <c r="B3986" s="13" t="s">
        <v>7544</v>
      </c>
      <c r="C3986" s="13" t="s">
        <v>7868</v>
      </c>
      <c r="D3986" s="13">
        <v>2</v>
      </c>
      <c r="E3986" s="179" t="s">
        <v>7869</v>
      </c>
      <c r="F3986" s="6" t="s">
        <v>11</v>
      </c>
    </row>
    <row r="3987" ht="18" customHeight="1" spans="1:6">
      <c r="A3987" s="13" t="s">
        <v>7505</v>
      </c>
      <c r="B3987" s="13" t="s">
        <v>7870</v>
      </c>
      <c r="C3987" s="13" t="s">
        <v>7871</v>
      </c>
      <c r="D3987" s="13">
        <v>2</v>
      </c>
      <c r="E3987" s="14" t="s">
        <v>7872</v>
      </c>
      <c r="F3987" s="6" t="s">
        <v>11</v>
      </c>
    </row>
    <row r="3988" ht="18" customHeight="1" spans="1:6">
      <c r="A3988" s="13" t="s">
        <v>7505</v>
      </c>
      <c r="B3988" s="13" t="s">
        <v>7870</v>
      </c>
      <c r="C3988" s="13" t="s">
        <v>7873</v>
      </c>
      <c r="D3988" s="13">
        <v>1</v>
      </c>
      <c r="E3988" s="14" t="s">
        <v>7874</v>
      </c>
      <c r="F3988" s="6" t="s">
        <v>11</v>
      </c>
    </row>
    <row r="3989" ht="18" customHeight="1" spans="1:6">
      <c r="A3989" s="13" t="s">
        <v>7505</v>
      </c>
      <c r="B3989" s="13" t="s">
        <v>7870</v>
      </c>
      <c r="C3989" s="14" t="s">
        <v>7875</v>
      </c>
      <c r="D3989" s="13">
        <v>5</v>
      </c>
      <c r="E3989" s="14" t="s">
        <v>7876</v>
      </c>
      <c r="F3989" s="6" t="s">
        <v>11</v>
      </c>
    </row>
    <row r="3990" ht="18" customHeight="1" spans="1:6">
      <c r="A3990" s="13" t="s">
        <v>7505</v>
      </c>
      <c r="B3990" s="13" t="s">
        <v>7631</v>
      </c>
      <c r="C3990" s="14" t="s">
        <v>7877</v>
      </c>
      <c r="D3990" s="13">
        <v>3</v>
      </c>
      <c r="E3990" s="14" t="s">
        <v>7878</v>
      </c>
      <c r="F3990" s="6" t="s">
        <v>11</v>
      </c>
    </row>
    <row r="3991" ht="18" customHeight="1" spans="1:6">
      <c r="A3991" s="13" t="s">
        <v>7505</v>
      </c>
      <c r="B3991" s="13" t="s">
        <v>7631</v>
      </c>
      <c r="C3991" s="14" t="s">
        <v>7879</v>
      </c>
      <c r="D3991" s="13">
        <v>4</v>
      </c>
      <c r="E3991" s="14" t="s">
        <v>7880</v>
      </c>
      <c r="F3991" s="6" t="s">
        <v>11</v>
      </c>
    </row>
    <row r="3992" ht="18" customHeight="1" spans="1:6">
      <c r="A3992" s="13" t="s">
        <v>7505</v>
      </c>
      <c r="B3992" s="13" t="s">
        <v>7870</v>
      </c>
      <c r="C3992" s="14" t="s">
        <v>7881</v>
      </c>
      <c r="D3992" s="13">
        <v>2</v>
      </c>
      <c r="E3992" s="14" t="s">
        <v>7882</v>
      </c>
      <c r="F3992" s="6" t="s">
        <v>11</v>
      </c>
    </row>
    <row r="3993" ht="18" customHeight="1" spans="1:6">
      <c r="A3993" s="13" t="s">
        <v>7505</v>
      </c>
      <c r="B3993" s="13" t="s">
        <v>7870</v>
      </c>
      <c r="C3993" s="14" t="s">
        <v>7883</v>
      </c>
      <c r="D3993" s="13">
        <v>3</v>
      </c>
      <c r="E3993" s="14" t="s">
        <v>7884</v>
      </c>
      <c r="F3993" s="6" t="s">
        <v>11</v>
      </c>
    </row>
    <row r="3994" ht="18" customHeight="1" spans="1:6">
      <c r="A3994" s="13" t="s">
        <v>7885</v>
      </c>
      <c r="B3994" s="13"/>
      <c r="C3994" s="13">
        <v>189</v>
      </c>
      <c r="D3994" s="13">
        <v>493</v>
      </c>
      <c r="E3994" s="13"/>
      <c r="F3994" s="13"/>
    </row>
    <row r="3995" ht="18" customHeight="1" spans="1:6">
      <c r="A3995" s="13" t="s">
        <v>7886</v>
      </c>
      <c r="B3995" s="13" t="s">
        <v>7887</v>
      </c>
      <c r="C3995" s="13" t="s">
        <v>7888</v>
      </c>
      <c r="D3995" s="13">
        <v>4</v>
      </c>
      <c r="E3995" s="186" t="s">
        <v>7889</v>
      </c>
      <c r="F3995" s="13" t="s">
        <v>11</v>
      </c>
    </row>
    <row r="3996" ht="18" customHeight="1" spans="1:6">
      <c r="A3996" s="13" t="s">
        <v>7886</v>
      </c>
      <c r="B3996" s="13" t="s">
        <v>7887</v>
      </c>
      <c r="C3996" s="13" t="s">
        <v>7890</v>
      </c>
      <c r="D3996" s="13">
        <v>4</v>
      </c>
      <c r="E3996" s="15" t="s">
        <v>7891</v>
      </c>
      <c r="F3996" s="13" t="s">
        <v>11</v>
      </c>
    </row>
    <row r="3997" ht="18" customHeight="1" spans="1:6">
      <c r="A3997" s="13" t="s">
        <v>7886</v>
      </c>
      <c r="B3997" s="13" t="s">
        <v>7887</v>
      </c>
      <c r="C3997" s="13" t="s">
        <v>7892</v>
      </c>
      <c r="D3997" s="13">
        <v>2</v>
      </c>
      <c r="E3997" s="186" t="s">
        <v>7893</v>
      </c>
      <c r="F3997" s="13" t="s">
        <v>11</v>
      </c>
    </row>
    <row r="3998" ht="18" customHeight="1" spans="1:6">
      <c r="A3998" s="13" t="s">
        <v>7886</v>
      </c>
      <c r="B3998" s="13" t="s">
        <v>7887</v>
      </c>
      <c r="C3998" s="13" t="s">
        <v>7894</v>
      </c>
      <c r="D3998" s="13">
        <v>1</v>
      </c>
      <c r="E3998" s="186" t="s">
        <v>7895</v>
      </c>
      <c r="F3998" s="13" t="s">
        <v>11</v>
      </c>
    </row>
    <row r="3999" ht="18" customHeight="1" spans="1:6">
      <c r="A3999" s="13" t="s">
        <v>7886</v>
      </c>
      <c r="B3999" s="13" t="s">
        <v>7887</v>
      </c>
      <c r="C3999" s="13" t="s">
        <v>7896</v>
      </c>
      <c r="D3999" s="13">
        <v>1</v>
      </c>
      <c r="E3999" s="186" t="s">
        <v>7897</v>
      </c>
      <c r="F3999" s="13" t="s">
        <v>11</v>
      </c>
    </row>
    <row r="4000" ht="18" customHeight="1" spans="1:6">
      <c r="A4000" s="13" t="s">
        <v>7886</v>
      </c>
      <c r="B4000" s="13" t="s">
        <v>7887</v>
      </c>
      <c r="C4000" s="13" t="s">
        <v>7898</v>
      </c>
      <c r="D4000" s="13">
        <v>1</v>
      </c>
      <c r="E4000" s="186" t="s">
        <v>7899</v>
      </c>
      <c r="F4000" s="13" t="s">
        <v>11</v>
      </c>
    </row>
    <row r="4001" ht="18" customHeight="1" spans="1:6">
      <c r="A4001" s="13" t="s">
        <v>7886</v>
      </c>
      <c r="B4001" s="13" t="s">
        <v>7887</v>
      </c>
      <c r="C4001" s="13" t="s">
        <v>7900</v>
      </c>
      <c r="D4001" s="13">
        <v>2</v>
      </c>
      <c r="E4001" s="15" t="s">
        <v>7901</v>
      </c>
      <c r="F4001" s="13" t="s">
        <v>11</v>
      </c>
    </row>
    <row r="4002" ht="18" customHeight="1" spans="1:6">
      <c r="A4002" s="13" t="s">
        <v>7886</v>
      </c>
      <c r="B4002" s="13" t="s">
        <v>7887</v>
      </c>
      <c r="C4002" s="13" t="s">
        <v>7902</v>
      </c>
      <c r="D4002" s="13">
        <v>1</v>
      </c>
      <c r="E4002" s="186" t="s">
        <v>7903</v>
      </c>
      <c r="F4002" s="13" t="s">
        <v>11</v>
      </c>
    </row>
    <row r="4003" ht="18" customHeight="1" spans="1:6">
      <c r="A4003" s="13" t="s">
        <v>7886</v>
      </c>
      <c r="B4003" s="13" t="s">
        <v>7887</v>
      </c>
      <c r="C4003" s="13" t="s">
        <v>6335</v>
      </c>
      <c r="D4003" s="13">
        <v>1</v>
      </c>
      <c r="E4003" s="186" t="s">
        <v>7904</v>
      </c>
      <c r="F4003" s="13" t="s">
        <v>11</v>
      </c>
    </row>
    <row r="4004" ht="18" customHeight="1" spans="1:6">
      <c r="A4004" s="13" t="s">
        <v>7886</v>
      </c>
      <c r="B4004" s="13" t="s">
        <v>7905</v>
      </c>
      <c r="C4004" s="13" t="s">
        <v>7906</v>
      </c>
      <c r="D4004" s="13">
        <v>4</v>
      </c>
      <c r="E4004" s="186" t="s">
        <v>7907</v>
      </c>
      <c r="F4004" s="13" t="s">
        <v>11</v>
      </c>
    </row>
    <row r="4005" ht="18" customHeight="1" spans="1:6">
      <c r="A4005" s="13" t="s">
        <v>7886</v>
      </c>
      <c r="B4005" s="13" t="s">
        <v>7905</v>
      </c>
      <c r="C4005" s="13" t="s">
        <v>7908</v>
      </c>
      <c r="D4005" s="13">
        <v>5</v>
      </c>
      <c r="E4005" s="186" t="s">
        <v>7909</v>
      </c>
      <c r="F4005" s="13" t="s">
        <v>11</v>
      </c>
    </row>
    <row r="4006" ht="18" customHeight="1" spans="1:6">
      <c r="A4006" s="13" t="s">
        <v>7886</v>
      </c>
      <c r="B4006" s="13" t="s">
        <v>7905</v>
      </c>
      <c r="C4006" s="13" t="s">
        <v>7910</v>
      </c>
      <c r="D4006" s="13">
        <v>4</v>
      </c>
      <c r="E4006" s="186" t="s">
        <v>7911</v>
      </c>
      <c r="F4006" s="13" t="s">
        <v>11</v>
      </c>
    </row>
    <row r="4007" ht="18" customHeight="1" spans="1:6">
      <c r="A4007" s="13" t="s">
        <v>7886</v>
      </c>
      <c r="B4007" s="13" t="s">
        <v>7905</v>
      </c>
      <c r="C4007" s="13" t="s">
        <v>7912</v>
      </c>
      <c r="D4007" s="13">
        <v>5</v>
      </c>
      <c r="E4007" s="186" t="s">
        <v>7913</v>
      </c>
      <c r="F4007" s="13" t="s">
        <v>11</v>
      </c>
    </row>
    <row r="4008" ht="18" customHeight="1" spans="1:6">
      <c r="A4008" s="13" t="s">
        <v>7886</v>
      </c>
      <c r="B4008" s="13" t="s">
        <v>7905</v>
      </c>
      <c r="C4008" s="13" t="s">
        <v>7914</v>
      </c>
      <c r="D4008" s="13">
        <v>4</v>
      </c>
      <c r="E4008" s="186" t="s">
        <v>7915</v>
      </c>
      <c r="F4008" s="13" t="s">
        <v>11</v>
      </c>
    </row>
    <row r="4009" ht="18" customHeight="1" spans="1:6">
      <c r="A4009" s="13" t="s">
        <v>7886</v>
      </c>
      <c r="B4009" s="13" t="s">
        <v>7916</v>
      </c>
      <c r="C4009" s="5" t="s">
        <v>7917</v>
      </c>
      <c r="D4009" s="13">
        <v>2</v>
      </c>
      <c r="E4009" s="6" t="s">
        <v>7918</v>
      </c>
      <c r="F4009" s="13" t="s">
        <v>11</v>
      </c>
    </row>
    <row r="4010" ht="18" customHeight="1" spans="1:6">
      <c r="A4010" s="13" t="s">
        <v>7886</v>
      </c>
      <c r="B4010" s="13" t="s">
        <v>7916</v>
      </c>
      <c r="C4010" s="5" t="s">
        <v>7919</v>
      </c>
      <c r="D4010" s="13">
        <v>1</v>
      </c>
      <c r="E4010" s="6" t="s">
        <v>7920</v>
      </c>
      <c r="F4010" s="13" t="s">
        <v>11</v>
      </c>
    </row>
    <row r="4011" ht="18" customHeight="1" spans="1:6">
      <c r="A4011" s="13" t="s">
        <v>7886</v>
      </c>
      <c r="B4011" s="13" t="s">
        <v>7916</v>
      </c>
      <c r="C4011" s="5" t="s">
        <v>7921</v>
      </c>
      <c r="D4011" s="13">
        <v>3</v>
      </c>
      <c r="E4011" s="6" t="str">
        <f>LEFT("420325198705295450",19)</f>
        <v>420325198705295450</v>
      </c>
      <c r="F4011" s="13" t="s">
        <v>11</v>
      </c>
    </row>
    <row r="4012" ht="18" customHeight="1" spans="1:6">
      <c r="A4012" s="13" t="s">
        <v>7886</v>
      </c>
      <c r="B4012" s="13" t="s">
        <v>7916</v>
      </c>
      <c r="C4012" s="5" t="s">
        <v>7922</v>
      </c>
      <c r="D4012" s="13">
        <v>1</v>
      </c>
      <c r="E4012" s="6" t="s">
        <v>7923</v>
      </c>
      <c r="F4012" s="13" t="s">
        <v>11</v>
      </c>
    </row>
    <row r="4013" ht="18" customHeight="1" spans="1:6">
      <c r="A4013" s="13" t="s">
        <v>7886</v>
      </c>
      <c r="B4013" s="13" t="s">
        <v>7916</v>
      </c>
      <c r="C4013" s="5" t="s">
        <v>7924</v>
      </c>
      <c r="D4013" s="13">
        <v>3</v>
      </c>
      <c r="E4013" s="6" t="s">
        <v>7925</v>
      </c>
      <c r="F4013" s="13" t="s">
        <v>11</v>
      </c>
    </row>
    <row r="4014" ht="18" customHeight="1" spans="1:6">
      <c r="A4014" s="13" t="s">
        <v>7886</v>
      </c>
      <c r="B4014" s="13" t="s">
        <v>7916</v>
      </c>
      <c r="C4014" s="5" t="s">
        <v>5444</v>
      </c>
      <c r="D4014" s="13">
        <v>3</v>
      </c>
      <c r="E4014" s="6" t="s">
        <v>7926</v>
      </c>
      <c r="F4014" s="13" t="s">
        <v>11</v>
      </c>
    </row>
    <row r="4015" ht="18" customHeight="1" spans="1:6">
      <c r="A4015" s="13" t="s">
        <v>7886</v>
      </c>
      <c r="B4015" s="13" t="s">
        <v>7916</v>
      </c>
      <c r="C4015" s="5" t="s">
        <v>7927</v>
      </c>
      <c r="D4015" s="13">
        <v>2</v>
      </c>
      <c r="E4015" s="6" t="s">
        <v>7928</v>
      </c>
      <c r="F4015" s="13" t="s">
        <v>11</v>
      </c>
    </row>
    <row r="4016" ht="18" customHeight="1" spans="1:6">
      <c r="A4016" s="13" t="s">
        <v>7886</v>
      </c>
      <c r="B4016" s="13" t="s">
        <v>7916</v>
      </c>
      <c r="C4016" s="13" t="s">
        <v>7929</v>
      </c>
      <c r="D4016" s="13">
        <v>4</v>
      </c>
      <c r="E4016" s="148" t="s">
        <v>7930</v>
      </c>
      <c r="F4016" s="13" t="s">
        <v>11</v>
      </c>
    </row>
    <row r="4017" ht="18" customHeight="1" spans="1:6">
      <c r="A4017" s="13" t="s">
        <v>7886</v>
      </c>
      <c r="B4017" s="13" t="s">
        <v>7916</v>
      </c>
      <c r="C4017" s="13" t="s">
        <v>7931</v>
      </c>
      <c r="D4017" s="6">
        <v>1</v>
      </c>
      <c r="E4017" s="186" t="s">
        <v>7932</v>
      </c>
      <c r="F4017" s="13" t="s">
        <v>11</v>
      </c>
    </row>
    <row r="4018" ht="18" customHeight="1" spans="1:6">
      <c r="A4018" s="13" t="s">
        <v>7886</v>
      </c>
      <c r="B4018" s="13" t="s">
        <v>7916</v>
      </c>
      <c r="C4018" s="13" t="s">
        <v>7933</v>
      </c>
      <c r="D4018" s="6">
        <v>2</v>
      </c>
      <c r="E4018" s="15" t="s">
        <v>7934</v>
      </c>
      <c r="F4018" s="13" t="s">
        <v>11</v>
      </c>
    </row>
    <row r="4019" ht="18" customHeight="1" spans="1:6">
      <c r="A4019" s="13" t="s">
        <v>7886</v>
      </c>
      <c r="B4019" s="13" t="s">
        <v>7916</v>
      </c>
      <c r="C4019" s="13" t="s">
        <v>7758</v>
      </c>
      <c r="D4019" s="6">
        <v>3</v>
      </c>
      <c r="E4019" s="186" t="s">
        <v>7935</v>
      </c>
      <c r="F4019" s="13" t="s">
        <v>11</v>
      </c>
    </row>
    <row r="4020" ht="18" customHeight="1" spans="1:6">
      <c r="A4020" s="13" t="s">
        <v>7886</v>
      </c>
      <c r="B4020" s="13" t="s">
        <v>7916</v>
      </c>
      <c r="C4020" s="13" t="s">
        <v>7936</v>
      </c>
      <c r="D4020" s="6">
        <v>2</v>
      </c>
      <c r="E4020" s="15" t="s">
        <v>7937</v>
      </c>
      <c r="F4020" s="13" t="s">
        <v>11</v>
      </c>
    </row>
    <row r="4021" ht="18" customHeight="1" spans="1:6">
      <c r="A4021" s="13" t="s">
        <v>7886</v>
      </c>
      <c r="B4021" s="13" t="s">
        <v>7916</v>
      </c>
      <c r="C4021" s="13" t="s">
        <v>7938</v>
      </c>
      <c r="D4021" s="6">
        <v>2</v>
      </c>
      <c r="E4021" s="15" t="s">
        <v>7939</v>
      </c>
      <c r="F4021" s="13" t="s">
        <v>11</v>
      </c>
    </row>
    <row r="4022" ht="18" customHeight="1" spans="1:6">
      <c r="A4022" s="13" t="s">
        <v>7886</v>
      </c>
      <c r="B4022" s="13" t="s">
        <v>7916</v>
      </c>
      <c r="C4022" s="13" t="s">
        <v>138</v>
      </c>
      <c r="D4022" s="6">
        <v>2</v>
      </c>
      <c r="E4022" s="186" t="s">
        <v>7940</v>
      </c>
      <c r="F4022" s="13" t="s">
        <v>11</v>
      </c>
    </row>
    <row r="4023" ht="18" customHeight="1" spans="1:6">
      <c r="A4023" s="13" t="s">
        <v>7886</v>
      </c>
      <c r="B4023" s="13" t="s">
        <v>7916</v>
      </c>
      <c r="C4023" s="13" t="s">
        <v>7941</v>
      </c>
      <c r="D4023" s="6">
        <v>1</v>
      </c>
      <c r="E4023" s="186" t="s">
        <v>7942</v>
      </c>
      <c r="F4023" s="13" t="s">
        <v>11</v>
      </c>
    </row>
    <row r="4024" ht="18" customHeight="1" spans="1:6">
      <c r="A4024" s="13" t="s">
        <v>7886</v>
      </c>
      <c r="B4024" s="13" t="s">
        <v>7916</v>
      </c>
      <c r="C4024" s="13" t="s">
        <v>7943</v>
      </c>
      <c r="D4024" s="6">
        <v>2</v>
      </c>
      <c r="E4024" s="186" t="s">
        <v>7944</v>
      </c>
      <c r="F4024" s="13" t="s">
        <v>11</v>
      </c>
    </row>
    <row r="4025" ht="18" customHeight="1" spans="1:6">
      <c r="A4025" s="13" t="s">
        <v>7886</v>
      </c>
      <c r="B4025" s="13" t="s">
        <v>7916</v>
      </c>
      <c r="C4025" s="13" t="s">
        <v>7945</v>
      </c>
      <c r="D4025" s="6">
        <v>3</v>
      </c>
      <c r="E4025" s="186" t="s">
        <v>7946</v>
      </c>
      <c r="F4025" s="13" t="s">
        <v>11</v>
      </c>
    </row>
    <row r="4026" ht="18" customHeight="1" spans="1:6">
      <c r="A4026" s="13" t="s">
        <v>7886</v>
      </c>
      <c r="B4026" s="13" t="s">
        <v>7916</v>
      </c>
      <c r="C4026" s="13" t="s">
        <v>7947</v>
      </c>
      <c r="D4026" s="6">
        <v>5</v>
      </c>
      <c r="E4026" s="179" t="s">
        <v>7948</v>
      </c>
      <c r="F4026" s="13" t="s">
        <v>11</v>
      </c>
    </row>
    <row r="4027" ht="18" customHeight="1" spans="1:6">
      <c r="A4027" s="13" t="s">
        <v>7886</v>
      </c>
      <c r="B4027" s="13" t="s">
        <v>7916</v>
      </c>
      <c r="C4027" s="13" t="s">
        <v>7949</v>
      </c>
      <c r="D4027" s="6">
        <v>1</v>
      </c>
      <c r="E4027" s="179" t="s">
        <v>7950</v>
      </c>
      <c r="F4027" s="13" t="s">
        <v>11</v>
      </c>
    </row>
    <row r="4028" ht="18" customHeight="1" spans="1:6">
      <c r="A4028" s="13" t="s">
        <v>7886</v>
      </c>
      <c r="B4028" s="13" t="s">
        <v>7916</v>
      </c>
      <c r="C4028" s="13" t="s">
        <v>7951</v>
      </c>
      <c r="D4028" s="6">
        <v>2</v>
      </c>
      <c r="E4028" s="179" t="s">
        <v>7952</v>
      </c>
      <c r="F4028" s="13" t="s">
        <v>11</v>
      </c>
    </row>
    <row r="4029" ht="18" customHeight="1" spans="1:6">
      <c r="A4029" s="13" t="s">
        <v>7886</v>
      </c>
      <c r="B4029" s="13" t="s">
        <v>7916</v>
      </c>
      <c r="C4029" s="13" t="s">
        <v>7953</v>
      </c>
      <c r="D4029" s="6">
        <v>4</v>
      </c>
      <c r="E4029" s="179" t="s">
        <v>7954</v>
      </c>
      <c r="F4029" s="13" t="s">
        <v>11</v>
      </c>
    </row>
    <row r="4030" ht="18" customHeight="1" spans="1:6">
      <c r="A4030" s="13" t="s">
        <v>7886</v>
      </c>
      <c r="B4030" s="13" t="s">
        <v>7916</v>
      </c>
      <c r="C4030" s="13" t="s">
        <v>7955</v>
      </c>
      <c r="D4030" s="13">
        <v>1</v>
      </c>
      <c r="E4030" s="186" t="s">
        <v>7956</v>
      </c>
      <c r="F4030" s="13" t="s">
        <v>11</v>
      </c>
    </row>
    <row r="4031" ht="18" customHeight="1" spans="1:6">
      <c r="A4031" s="13" t="s">
        <v>7886</v>
      </c>
      <c r="B4031" s="13" t="s">
        <v>7957</v>
      </c>
      <c r="C4031" s="13" t="s">
        <v>7958</v>
      </c>
      <c r="D4031" s="6">
        <v>2</v>
      </c>
      <c r="E4031" s="186" t="s">
        <v>7959</v>
      </c>
      <c r="F4031" s="13" t="s">
        <v>11</v>
      </c>
    </row>
    <row r="4032" ht="18" customHeight="1" spans="1:6">
      <c r="A4032" s="13" t="s">
        <v>7886</v>
      </c>
      <c r="B4032" s="13" t="s">
        <v>7957</v>
      </c>
      <c r="C4032" s="13" t="s">
        <v>7960</v>
      </c>
      <c r="D4032" s="6">
        <v>3</v>
      </c>
      <c r="E4032" s="186" t="s">
        <v>7961</v>
      </c>
      <c r="F4032" s="13" t="s">
        <v>11</v>
      </c>
    </row>
    <row r="4033" ht="18" customHeight="1" spans="1:6">
      <c r="A4033" s="13" t="s">
        <v>7886</v>
      </c>
      <c r="B4033" s="13" t="s">
        <v>7957</v>
      </c>
      <c r="C4033" s="13" t="s">
        <v>7962</v>
      </c>
      <c r="D4033" s="6">
        <v>4</v>
      </c>
      <c r="E4033" s="186" t="s">
        <v>7963</v>
      </c>
      <c r="F4033" s="13" t="s">
        <v>11</v>
      </c>
    </row>
    <row r="4034" ht="18" customHeight="1" spans="1:6">
      <c r="A4034" s="13" t="s">
        <v>7886</v>
      </c>
      <c r="B4034" s="13" t="s">
        <v>7957</v>
      </c>
      <c r="C4034" s="13" t="s">
        <v>7964</v>
      </c>
      <c r="D4034" s="13">
        <v>3</v>
      </c>
      <c r="E4034" s="186" t="s">
        <v>7965</v>
      </c>
      <c r="F4034" s="13" t="s">
        <v>11</v>
      </c>
    </row>
    <row r="4035" ht="18" customHeight="1" spans="1:6">
      <c r="A4035" s="13" t="s">
        <v>7886</v>
      </c>
      <c r="B4035" s="13" t="s">
        <v>7957</v>
      </c>
      <c r="C4035" s="13" t="s">
        <v>7966</v>
      </c>
      <c r="D4035" s="6">
        <v>4</v>
      </c>
      <c r="E4035" s="186" t="s">
        <v>7967</v>
      </c>
      <c r="F4035" s="13" t="s">
        <v>11</v>
      </c>
    </row>
    <row r="4036" ht="18" customHeight="1" spans="1:6">
      <c r="A4036" s="13" t="s">
        <v>7886</v>
      </c>
      <c r="B4036" s="13" t="s">
        <v>7957</v>
      </c>
      <c r="C4036" s="13" t="s">
        <v>7968</v>
      </c>
      <c r="D4036" s="6">
        <v>1</v>
      </c>
      <c r="E4036" s="186" t="s">
        <v>7969</v>
      </c>
      <c r="F4036" s="13" t="s">
        <v>11</v>
      </c>
    </row>
    <row r="4037" ht="18" customHeight="1" spans="1:6">
      <c r="A4037" s="13" t="s">
        <v>7886</v>
      </c>
      <c r="B4037" s="13" t="s">
        <v>7957</v>
      </c>
      <c r="C4037" s="13" t="s">
        <v>7970</v>
      </c>
      <c r="D4037" s="6">
        <v>1</v>
      </c>
      <c r="E4037" s="186" t="s">
        <v>7971</v>
      </c>
      <c r="F4037" s="13" t="s">
        <v>11</v>
      </c>
    </row>
    <row r="4038" ht="18" customHeight="1" spans="1:6">
      <c r="A4038" s="13" t="s">
        <v>7886</v>
      </c>
      <c r="B4038" s="13" t="s">
        <v>7957</v>
      </c>
      <c r="C4038" s="13" t="s">
        <v>7972</v>
      </c>
      <c r="D4038" s="13">
        <v>2</v>
      </c>
      <c r="E4038" s="186" t="s">
        <v>7973</v>
      </c>
      <c r="F4038" s="13" t="s">
        <v>11</v>
      </c>
    </row>
    <row r="4039" ht="18" customHeight="1" spans="1:6">
      <c r="A4039" s="13" t="s">
        <v>7886</v>
      </c>
      <c r="B4039" s="13" t="s">
        <v>7957</v>
      </c>
      <c r="C4039" s="13" t="s">
        <v>7974</v>
      </c>
      <c r="D4039" s="6">
        <v>4</v>
      </c>
      <c r="E4039" s="186" t="s">
        <v>7975</v>
      </c>
      <c r="F4039" s="13" t="s">
        <v>11</v>
      </c>
    </row>
    <row r="4040" ht="18" customHeight="1" spans="1:6">
      <c r="A4040" s="13" t="s">
        <v>7886</v>
      </c>
      <c r="B4040" s="13" t="s">
        <v>7957</v>
      </c>
      <c r="C4040" s="13" t="s">
        <v>7976</v>
      </c>
      <c r="D4040" s="6">
        <v>3</v>
      </c>
      <c r="E4040" s="15" t="s">
        <v>7977</v>
      </c>
      <c r="F4040" s="13" t="s">
        <v>11</v>
      </c>
    </row>
    <row r="4041" ht="18" customHeight="1" spans="1:6">
      <c r="A4041" s="13" t="s">
        <v>7886</v>
      </c>
      <c r="B4041" s="13" t="s">
        <v>7957</v>
      </c>
      <c r="C4041" s="13" t="s">
        <v>7978</v>
      </c>
      <c r="D4041" s="6">
        <v>2</v>
      </c>
      <c r="E4041" s="186" t="s">
        <v>7979</v>
      </c>
      <c r="F4041" s="13" t="s">
        <v>11</v>
      </c>
    </row>
    <row r="4042" ht="18" customHeight="1" spans="1:6">
      <c r="A4042" s="13" t="s">
        <v>7886</v>
      </c>
      <c r="B4042" s="13" t="s">
        <v>7957</v>
      </c>
      <c r="C4042" s="13" t="s">
        <v>7980</v>
      </c>
      <c r="D4042" s="13">
        <v>3</v>
      </c>
      <c r="E4042" s="5" t="str">
        <f>LEFT("422626195311055412",19)</f>
        <v>422626195311055412</v>
      </c>
      <c r="F4042" s="13" t="s">
        <v>11</v>
      </c>
    </row>
    <row r="4043" ht="18" customHeight="1" spans="1:6">
      <c r="A4043" s="13" t="s">
        <v>7886</v>
      </c>
      <c r="B4043" s="13" t="s">
        <v>7957</v>
      </c>
      <c r="C4043" s="13" t="s">
        <v>7981</v>
      </c>
      <c r="D4043" s="6">
        <v>2</v>
      </c>
      <c r="E4043" s="186" t="s">
        <v>7982</v>
      </c>
      <c r="F4043" s="13" t="s">
        <v>11</v>
      </c>
    </row>
    <row r="4044" ht="18" customHeight="1" spans="1:6">
      <c r="A4044" s="13" t="s">
        <v>7886</v>
      </c>
      <c r="B4044" s="13" t="s">
        <v>7957</v>
      </c>
      <c r="C4044" s="13" t="s">
        <v>7983</v>
      </c>
      <c r="D4044" s="6">
        <v>3</v>
      </c>
      <c r="E4044" s="5" t="str">
        <f>LEFT("420325198212195419",19)</f>
        <v>420325198212195419</v>
      </c>
      <c r="F4044" s="13" t="s">
        <v>11</v>
      </c>
    </row>
    <row r="4045" ht="18" customHeight="1" spans="1:6">
      <c r="A4045" s="13" t="s">
        <v>7886</v>
      </c>
      <c r="B4045" s="13" t="s">
        <v>7957</v>
      </c>
      <c r="C4045" s="13" t="s">
        <v>7984</v>
      </c>
      <c r="D4045" s="6">
        <v>4</v>
      </c>
      <c r="E4045" s="186" t="s">
        <v>7985</v>
      </c>
      <c r="F4045" s="13" t="s">
        <v>11</v>
      </c>
    </row>
    <row r="4046" ht="18" customHeight="1" spans="1:6">
      <c r="A4046" s="13" t="s">
        <v>7886</v>
      </c>
      <c r="B4046" s="13" t="s">
        <v>7957</v>
      </c>
      <c r="C4046" s="13" t="s">
        <v>7986</v>
      </c>
      <c r="D4046" s="13">
        <v>1</v>
      </c>
      <c r="E4046" s="186" t="s">
        <v>7987</v>
      </c>
      <c r="F4046" s="13" t="s">
        <v>11</v>
      </c>
    </row>
    <row r="4047" ht="18" customHeight="1" spans="1:6">
      <c r="A4047" s="13" t="s">
        <v>7886</v>
      </c>
      <c r="B4047" s="13" t="s">
        <v>7957</v>
      </c>
      <c r="C4047" s="13" t="s">
        <v>2613</v>
      </c>
      <c r="D4047" s="6">
        <v>3</v>
      </c>
      <c r="E4047" s="186" t="s">
        <v>7988</v>
      </c>
      <c r="F4047" s="13" t="s">
        <v>11</v>
      </c>
    </row>
    <row r="4048" ht="18" customHeight="1" spans="1:6">
      <c r="A4048" s="13" t="s">
        <v>7886</v>
      </c>
      <c r="B4048" s="13" t="s">
        <v>7957</v>
      </c>
      <c r="C4048" s="13" t="s">
        <v>7989</v>
      </c>
      <c r="D4048" s="6">
        <v>3</v>
      </c>
      <c r="E4048" s="5" t="str">
        <f>LEFT("422626195504095453",19)</f>
        <v>422626195504095453</v>
      </c>
      <c r="F4048" s="13" t="s">
        <v>11</v>
      </c>
    </row>
    <row r="4049" ht="18" customHeight="1" spans="1:6">
      <c r="A4049" s="13" t="s">
        <v>7886</v>
      </c>
      <c r="B4049" s="13" t="s">
        <v>7957</v>
      </c>
      <c r="C4049" s="13" t="s">
        <v>7990</v>
      </c>
      <c r="D4049" s="6">
        <v>2</v>
      </c>
      <c r="E4049" s="5" t="str">
        <f>LEFT("422626196803095431",19)</f>
        <v>422626196803095431</v>
      </c>
      <c r="F4049" s="13" t="s">
        <v>11</v>
      </c>
    </row>
    <row r="4050" ht="18" customHeight="1" spans="1:6">
      <c r="A4050" s="13" t="s">
        <v>7886</v>
      </c>
      <c r="B4050" s="13" t="s">
        <v>7957</v>
      </c>
      <c r="C4050" s="13" t="s">
        <v>7991</v>
      </c>
      <c r="D4050" s="13">
        <v>1</v>
      </c>
      <c r="E4050" s="186" t="s">
        <v>7992</v>
      </c>
      <c r="F4050" s="13" t="s">
        <v>11</v>
      </c>
    </row>
    <row r="4051" ht="18" customHeight="1" spans="1:6">
      <c r="A4051" s="13" t="s">
        <v>7886</v>
      </c>
      <c r="B4051" s="13" t="s">
        <v>7957</v>
      </c>
      <c r="C4051" s="13" t="s">
        <v>7993</v>
      </c>
      <c r="D4051" s="6">
        <v>1</v>
      </c>
      <c r="E4051" s="186" t="s">
        <v>7994</v>
      </c>
      <c r="F4051" s="13" t="s">
        <v>11</v>
      </c>
    </row>
    <row r="4052" ht="18" customHeight="1" spans="1:6">
      <c r="A4052" s="13" t="s">
        <v>7886</v>
      </c>
      <c r="B4052" s="13" t="s">
        <v>7957</v>
      </c>
      <c r="C4052" s="13" t="s">
        <v>7995</v>
      </c>
      <c r="D4052" s="6">
        <v>2</v>
      </c>
      <c r="E4052" s="186" t="s">
        <v>7996</v>
      </c>
      <c r="F4052" s="13" t="s">
        <v>11</v>
      </c>
    </row>
    <row r="4053" ht="18" customHeight="1" spans="1:6">
      <c r="A4053" s="13" t="s">
        <v>7886</v>
      </c>
      <c r="B4053" s="13" t="s">
        <v>7957</v>
      </c>
      <c r="C4053" s="13" t="s">
        <v>7997</v>
      </c>
      <c r="D4053" s="6">
        <v>1</v>
      </c>
      <c r="E4053" s="15" t="s">
        <v>7998</v>
      </c>
      <c r="F4053" s="13" t="s">
        <v>11</v>
      </c>
    </row>
    <row r="4054" ht="18" customHeight="1" spans="1:6">
      <c r="A4054" s="13" t="s">
        <v>7886</v>
      </c>
      <c r="B4054" s="13" t="s">
        <v>7957</v>
      </c>
      <c r="C4054" s="13" t="s">
        <v>7999</v>
      </c>
      <c r="D4054" s="13">
        <v>2</v>
      </c>
      <c r="E4054" s="186" t="s">
        <v>8000</v>
      </c>
      <c r="F4054" s="13" t="s">
        <v>11</v>
      </c>
    </row>
    <row r="4055" ht="18" customHeight="1" spans="1:6">
      <c r="A4055" s="13" t="s">
        <v>7886</v>
      </c>
      <c r="B4055" s="13" t="s">
        <v>7957</v>
      </c>
      <c r="C4055" s="13" t="s">
        <v>7962</v>
      </c>
      <c r="D4055" s="6">
        <v>2</v>
      </c>
      <c r="E4055" s="15" t="s">
        <v>8001</v>
      </c>
      <c r="F4055" s="13" t="s">
        <v>11</v>
      </c>
    </row>
    <row r="4056" ht="18" customHeight="1" spans="1:6">
      <c r="A4056" s="13" t="s">
        <v>7886</v>
      </c>
      <c r="B4056" s="13" t="s">
        <v>7957</v>
      </c>
      <c r="C4056" s="13" t="s">
        <v>8002</v>
      </c>
      <c r="D4056" s="6">
        <v>2</v>
      </c>
      <c r="E4056" s="186" t="s">
        <v>8003</v>
      </c>
      <c r="F4056" s="13" t="s">
        <v>11</v>
      </c>
    </row>
    <row r="4057" ht="18" customHeight="1" spans="1:6">
      <c r="A4057" s="13" t="s">
        <v>7886</v>
      </c>
      <c r="B4057" s="13" t="s">
        <v>8004</v>
      </c>
      <c r="C4057" s="13" t="s">
        <v>8005</v>
      </c>
      <c r="D4057" s="6">
        <v>2</v>
      </c>
      <c r="E4057" s="6" t="str">
        <f>LEFT("422626195609225429",19)</f>
        <v>422626195609225429</v>
      </c>
      <c r="F4057" s="13" t="s">
        <v>11</v>
      </c>
    </row>
    <row r="4058" ht="18" customHeight="1" spans="1:6">
      <c r="A4058" s="13" t="s">
        <v>7886</v>
      </c>
      <c r="B4058" s="13" t="s">
        <v>8004</v>
      </c>
      <c r="C4058" s="13" t="s">
        <v>8006</v>
      </c>
      <c r="D4058" s="6">
        <v>2</v>
      </c>
      <c r="E4058" s="6" t="str">
        <f>LEFT("422626195210225419",19)</f>
        <v>422626195210225419</v>
      </c>
      <c r="F4058" s="13" t="s">
        <v>11</v>
      </c>
    </row>
    <row r="4059" ht="18" customHeight="1" spans="1:6">
      <c r="A4059" s="13" t="s">
        <v>7886</v>
      </c>
      <c r="B4059" s="13" t="s">
        <v>8004</v>
      </c>
      <c r="C4059" s="13" t="s">
        <v>8007</v>
      </c>
      <c r="D4059" s="6">
        <v>1</v>
      </c>
      <c r="E4059" s="148" t="s">
        <v>8008</v>
      </c>
      <c r="F4059" s="13" t="s">
        <v>11</v>
      </c>
    </row>
    <row r="4060" ht="18" customHeight="1" spans="1:6">
      <c r="A4060" s="13" t="s">
        <v>7886</v>
      </c>
      <c r="B4060" s="13" t="s">
        <v>8004</v>
      </c>
      <c r="C4060" s="13" t="s">
        <v>8009</v>
      </c>
      <c r="D4060" s="13">
        <v>1</v>
      </c>
      <c r="E4060" s="148" t="s">
        <v>8010</v>
      </c>
      <c r="F4060" s="13" t="s">
        <v>11</v>
      </c>
    </row>
    <row r="4061" ht="18" customHeight="1" spans="1:6">
      <c r="A4061" s="13" t="s">
        <v>7886</v>
      </c>
      <c r="B4061" s="13" t="s">
        <v>8004</v>
      </c>
      <c r="C4061" s="13" t="s">
        <v>8011</v>
      </c>
      <c r="D4061" s="6">
        <v>1</v>
      </c>
      <c r="E4061" s="148" t="s">
        <v>8012</v>
      </c>
      <c r="F4061" s="13" t="s">
        <v>11</v>
      </c>
    </row>
    <row r="4062" ht="18" customHeight="1" spans="1:6">
      <c r="A4062" s="13" t="s">
        <v>7886</v>
      </c>
      <c r="B4062" s="13" t="s">
        <v>8013</v>
      </c>
      <c r="C4062" s="13" t="s">
        <v>8014</v>
      </c>
      <c r="D4062" s="6">
        <v>1</v>
      </c>
      <c r="E4062" s="186" t="s">
        <v>8015</v>
      </c>
      <c r="F4062" s="13" t="s">
        <v>11</v>
      </c>
    </row>
    <row r="4063" ht="18" customHeight="1" spans="1:6">
      <c r="A4063" s="13" t="s">
        <v>7886</v>
      </c>
      <c r="B4063" s="13" t="s">
        <v>8013</v>
      </c>
      <c r="C4063" s="13" t="s">
        <v>8016</v>
      </c>
      <c r="D4063" s="6">
        <v>1</v>
      </c>
      <c r="E4063" s="186" t="s">
        <v>8017</v>
      </c>
      <c r="F4063" s="13" t="s">
        <v>11</v>
      </c>
    </row>
    <row r="4064" ht="18" customHeight="1" spans="1:6">
      <c r="A4064" s="13" t="s">
        <v>7886</v>
      </c>
      <c r="B4064" s="13" t="s">
        <v>8013</v>
      </c>
      <c r="C4064" s="13" t="s">
        <v>8018</v>
      </c>
      <c r="D4064" s="13">
        <v>2</v>
      </c>
      <c r="E4064" s="186" t="s">
        <v>8019</v>
      </c>
      <c r="F4064" s="13" t="s">
        <v>11</v>
      </c>
    </row>
    <row r="4065" ht="18" customHeight="1" spans="1:6">
      <c r="A4065" s="13" t="s">
        <v>7886</v>
      </c>
      <c r="B4065" s="13" t="s">
        <v>8013</v>
      </c>
      <c r="C4065" s="13" t="s">
        <v>8020</v>
      </c>
      <c r="D4065" s="6">
        <v>3</v>
      </c>
      <c r="E4065" s="186" t="s">
        <v>8021</v>
      </c>
      <c r="F4065" s="13" t="s">
        <v>11</v>
      </c>
    </row>
    <row r="4066" ht="18" customHeight="1" spans="1:6">
      <c r="A4066" s="13" t="s">
        <v>7886</v>
      </c>
      <c r="B4066" s="13" t="s">
        <v>8013</v>
      </c>
      <c r="C4066" s="13" t="s">
        <v>8022</v>
      </c>
      <c r="D4066" s="6">
        <v>1</v>
      </c>
      <c r="E4066" s="186" t="s">
        <v>8023</v>
      </c>
      <c r="F4066" s="13" t="s">
        <v>11</v>
      </c>
    </row>
    <row r="4067" ht="18" customHeight="1" spans="1:6">
      <c r="A4067" s="13" t="s">
        <v>7886</v>
      </c>
      <c r="B4067" s="13" t="s">
        <v>8013</v>
      </c>
      <c r="C4067" s="13" t="s">
        <v>8024</v>
      </c>
      <c r="D4067" s="6">
        <v>2</v>
      </c>
      <c r="E4067" s="186" t="s">
        <v>8025</v>
      </c>
      <c r="F4067" s="13" t="s">
        <v>11</v>
      </c>
    </row>
    <row r="4068" ht="18" customHeight="1" spans="1:6">
      <c r="A4068" s="13" t="s">
        <v>7886</v>
      </c>
      <c r="B4068" s="13" t="s">
        <v>8013</v>
      </c>
      <c r="C4068" s="13" t="s">
        <v>8026</v>
      </c>
      <c r="D4068" s="13">
        <v>2</v>
      </c>
      <c r="E4068" s="15" t="s">
        <v>8027</v>
      </c>
      <c r="F4068" s="13" t="s">
        <v>11</v>
      </c>
    </row>
    <row r="4069" ht="18" customHeight="1" spans="1:6">
      <c r="A4069" s="13" t="s">
        <v>7886</v>
      </c>
      <c r="B4069" s="13" t="s">
        <v>8013</v>
      </c>
      <c r="C4069" s="13" t="s">
        <v>8028</v>
      </c>
      <c r="D4069" s="6">
        <v>7</v>
      </c>
      <c r="E4069" s="186" t="s">
        <v>8029</v>
      </c>
      <c r="F4069" s="13" t="s">
        <v>11</v>
      </c>
    </row>
    <row r="4070" ht="18" customHeight="1" spans="1:6">
      <c r="A4070" s="13" t="s">
        <v>7886</v>
      </c>
      <c r="B4070" s="13" t="s">
        <v>8013</v>
      </c>
      <c r="C4070" s="13" t="s">
        <v>8030</v>
      </c>
      <c r="D4070" s="6">
        <v>1</v>
      </c>
      <c r="E4070" s="15"/>
      <c r="F4070" s="13" t="s">
        <v>11</v>
      </c>
    </row>
    <row r="4071" ht="18" customHeight="1" spans="1:6">
      <c r="A4071" s="13" t="s">
        <v>7886</v>
      </c>
      <c r="B4071" s="13" t="s">
        <v>8013</v>
      </c>
      <c r="C4071" s="13" t="s">
        <v>8031</v>
      </c>
      <c r="D4071" s="6">
        <v>1</v>
      </c>
      <c r="E4071" s="15"/>
      <c r="F4071" s="13" t="s">
        <v>11</v>
      </c>
    </row>
    <row r="4072" ht="18" customHeight="1" spans="1:6">
      <c r="A4072" s="13" t="s">
        <v>7886</v>
      </c>
      <c r="B4072" s="13" t="s">
        <v>8032</v>
      </c>
      <c r="C4072" s="13" t="s">
        <v>8033</v>
      </c>
      <c r="D4072" s="13">
        <v>3</v>
      </c>
      <c r="E4072" s="6" t="str">
        <f>LEFT("420325198108245455",19)</f>
        <v>420325198108245455</v>
      </c>
      <c r="F4072" s="13" t="s">
        <v>11</v>
      </c>
    </row>
    <row r="4073" ht="18" customHeight="1" spans="1:6">
      <c r="A4073" s="13" t="s">
        <v>7886</v>
      </c>
      <c r="B4073" s="13" t="s">
        <v>8032</v>
      </c>
      <c r="C4073" s="13" t="s">
        <v>8034</v>
      </c>
      <c r="D4073" s="13">
        <v>2</v>
      </c>
      <c r="E4073" s="6" t="str">
        <f>LEFT("422626197112225422",19)</f>
        <v>422626197112225422</v>
      </c>
      <c r="F4073" s="13" t="s">
        <v>11</v>
      </c>
    </row>
    <row r="4074" ht="18" customHeight="1" spans="1:6">
      <c r="A4074" s="13" t="s">
        <v>7886</v>
      </c>
      <c r="B4074" s="13" t="s">
        <v>8032</v>
      </c>
      <c r="C4074" s="13" t="s">
        <v>8035</v>
      </c>
      <c r="D4074" s="13">
        <v>2</v>
      </c>
      <c r="E4074" s="6" t="str">
        <f>LEFT("420325198410035571",19)</f>
        <v>420325198410035571</v>
      </c>
      <c r="F4074" s="13" t="s">
        <v>11</v>
      </c>
    </row>
    <row r="4075" ht="18" customHeight="1" spans="1:6">
      <c r="A4075" s="13" t="s">
        <v>7886</v>
      </c>
      <c r="B4075" s="13" t="s">
        <v>8032</v>
      </c>
      <c r="C4075" s="5" t="s">
        <v>8036</v>
      </c>
      <c r="D4075" s="13">
        <v>1</v>
      </c>
      <c r="E4075" s="195" t="s">
        <v>8037</v>
      </c>
      <c r="F4075" s="13" t="s">
        <v>11</v>
      </c>
    </row>
    <row r="4076" ht="18" customHeight="1" spans="1:6">
      <c r="A4076" s="13" t="s">
        <v>7886</v>
      </c>
      <c r="B4076" s="13" t="s">
        <v>8032</v>
      </c>
      <c r="C4076" s="13" t="s">
        <v>8038</v>
      </c>
      <c r="D4076" s="13">
        <v>4</v>
      </c>
      <c r="E4076" s="6" t="str">
        <f>LEFT("422626195003095420",19)</f>
        <v>422626195003095420</v>
      </c>
      <c r="F4076" s="13" t="s">
        <v>11</v>
      </c>
    </row>
    <row r="4077" ht="18" customHeight="1" spans="1:6">
      <c r="A4077" s="13" t="s">
        <v>7886</v>
      </c>
      <c r="B4077" s="13" t="s">
        <v>8032</v>
      </c>
      <c r="C4077" s="13" t="s">
        <v>8039</v>
      </c>
      <c r="D4077" s="13">
        <v>1</v>
      </c>
      <c r="E4077" s="6" t="str">
        <f>LEFT("420325196911205437",19)</f>
        <v>420325196911205437</v>
      </c>
      <c r="F4077" s="13" t="s">
        <v>11</v>
      </c>
    </row>
    <row r="4078" ht="18" customHeight="1" spans="1:6">
      <c r="A4078" s="13" t="s">
        <v>7886</v>
      </c>
      <c r="B4078" s="13" t="s">
        <v>8032</v>
      </c>
      <c r="C4078" s="13" t="s">
        <v>8040</v>
      </c>
      <c r="D4078" s="13">
        <v>1</v>
      </c>
      <c r="E4078" s="6" t="str">
        <f>LEFT("420325196006035415",19)</f>
        <v>420325196006035415</v>
      </c>
      <c r="F4078" s="13" t="s">
        <v>11</v>
      </c>
    </row>
    <row r="4079" ht="18" customHeight="1" spans="1:6">
      <c r="A4079" s="13" t="s">
        <v>7886</v>
      </c>
      <c r="B4079" s="13" t="s">
        <v>8032</v>
      </c>
      <c r="C4079" s="13" t="s">
        <v>8041</v>
      </c>
      <c r="D4079" s="6">
        <v>1</v>
      </c>
      <c r="E4079" s="6" t="str">
        <f>LEFT("42262619380129541X",19)</f>
        <v>42262619380129541X</v>
      </c>
      <c r="F4079" s="13" t="s">
        <v>11</v>
      </c>
    </row>
    <row r="4080" ht="18" customHeight="1" spans="1:6">
      <c r="A4080" s="13" t="s">
        <v>7886</v>
      </c>
      <c r="B4080" s="13" t="s">
        <v>8032</v>
      </c>
      <c r="C4080" s="13" t="s">
        <v>8042</v>
      </c>
      <c r="D4080" s="6">
        <v>1</v>
      </c>
      <c r="E4080" s="6" t="str">
        <f>LEFT("422626196609185417",19)</f>
        <v>422626196609185417</v>
      </c>
      <c r="F4080" s="13" t="s">
        <v>11</v>
      </c>
    </row>
    <row r="4081" ht="18" customHeight="1" spans="1:6">
      <c r="A4081" s="13" t="s">
        <v>7886</v>
      </c>
      <c r="B4081" s="13" t="s">
        <v>8032</v>
      </c>
      <c r="C4081" s="13" t="s">
        <v>8043</v>
      </c>
      <c r="D4081" s="6">
        <v>1</v>
      </c>
      <c r="E4081" s="6" t="str">
        <f>LEFT("422626197007265414",19)</f>
        <v>422626197007265414</v>
      </c>
      <c r="F4081" s="13" t="s">
        <v>11</v>
      </c>
    </row>
    <row r="4082" ht="18" customHeight="1" spans="1:6">
      <c r="A4082" s="13" t="s">
        <v>7886</v>
      </c>
      <c r="B4082" s="13" t="s">
        <v>8032</v>
      </c>
      <c r="C4082" s="13" t="s">
        <v>8044</v>
      </c>
      <c r="D4082" s="13">
        <v>2</v>
      </c>
      <c r="E4082" s="6" t="s">
        <v>8045</v>
      </c>
      <c r="F4082" s="13" t="s">
        <v>11</v>
      </c>
    </row>
    <row r="4083" ht="18" customHeight="1" spans="1:6">
      <c r="A4083" s="13" t="s">
        <v>7886</v>
      </c>
      <c r="B4083" s="13" t="s">
        <v>8032</v>
      </c>
      <c r="C4083" s="13" t="s">
        <v>8046</v>
      </c>
      <c r="D4083" s="6">
        <v>1</v>
      </c>
      <c r="E4083" s="195" t="s">
        <v>8047</v>
      </c>
      <c r="F4083" s="13" t="s">
        <v>11</v>
      </c>
    </row>
    <row r="4084" ht="18" customHeight="1" spans="1:6">
      <c r="A4084" s="13" t="s">
        <v>7886</v>
      </c>
      <c r="B4084" s="13" t="s">
        <v>8032</v>
      </c>
      <c r="C4084" s="13" t="s">
        <v>8048</v>
      </c>
      <c r="D4084" s="6">
        <v>2</v>
      </c>
      <c r="E4084" s="195" t="s">
        <v>8049</v>
      </c>
      <c r="F4084" s="13" t="s">
        <v>11</v>
      </c>
    </row>
    <row r="4085" ht="18" customHeight="1" spans="1:6">
      <c r="A4085" s="13" t="s">
        <v>7886</v>
      </c>
      <c r="B4085" s="13" t="s">
        <v>8032</v>
      </c>
      <c r="C4085" s="13" t="s">
        <v>8050</v>
      </c>
      <c r="D4085" s="6">
        <v>3</v>
      </c>
      <c r="E4085" s="195" t="s">
        <v>8051</v>
      </c>
      <c r="F4085" s="13" t="s">
        <v>11</v>
      </c>
    </row>
    <row r="4086" ht="18" customHeight="1" spans="1:6">
      <c r="A4086" s="13" t="s">
        <v>7886</v>
      </c>
      <c r="B4086" s="13" t="s">
        <v>8032</v>
      </c>
      <c r="C4086" s="13" t="s">
        <v>8052</v>
      </c>
      <c r="D4086" s="13">
        <v>2</v>
      </c>
      <c r="E4086" s="195" t="s">
        <v>8053</v>
      </c>
      <c r="F4086" s="13" t="s">
        <v>11</v>
      </c>
    </row>
    <row r="4087" ht="18" customHeight="1" spans="1:6">
      <c r="A4087" s="13" t="s">
        <v>7886</v>
      </c>
      <c r="B4087" s="13" t="s">
        <v>8032</v>
      </c>
      <c r="C4087" s="13" t="s">
        <v>8054</v>
      </c>
      <c r="D4087" s="6">
        <v>4</v>
      </c>
      <c r="E4087" s="195" t="s">
        <v>8055</v>
      </c>
      <c r="F4087" s="13" t="s">
        <v>11</v>
      </c>
    </row>
    <row r="4088" ht="18" customHeight="1" spans="1:6">
      <c r="A4088" s="13" t="s">
        <v>7886</v>
      </c>
      <c r="B4088" s="13" t="s">
        <v>8032</v>
      </c>
      <c r="C4088" s="13" t="s">
        <v>5258</v>
      </c>
      <c r="D4088" s="6">
        <v>3</v>
      </c>
      <c r="E4088" s="195" t="s">
        <v>8056</v>
      </c>
      <c r="F4088" s="13" t="s">
        <v>11</v>
      </c>
    </row>
    <row r="4089" ht="18" customHeight="1" spans="1:6">
      <c r="A4089" s="13" t="s">
        <v>7886</v>
      </c>
      <c r="B4089" s="13" t="s">
        <v>8032</v>
      </c>
      <c r="C4089" s="13" t="s">
        <v>8057</v>
      </c>
      <c r="D4089" s="6">
        <v>2</v>
      </c>
      <c r="E4089" s="195" t="s">
        <v>8058</v>
      </c>
      <c r="F4089" s="13" t="s">
        <v>11</v>
      </c>
    </row>
    <row r="4090" ht="18" customHeight="1" spans="1:6">
      <c r="A4090" s="13" t="s">
        <v>7886</v>
      </c>
      <c r="B4090" s="13" t="s">
        <v>8032</v>
      </c>
      <c r="C4090" s="13" t="s">
        <v>8059</v>
      </c>
      <c r="D4090" s="6">
        <v>5</v>
      </c>
      <c r="E4090" s="6" t="s">
        <v>8060</v>
      </c>
      <c r="F4090" s="13" t="s">
        <v>11</v>
      </c>
    </row>
    <row r="4091" ht="18" customHeight="1" spans="1:6">
      <c r="A4091" s="13" t="s">
        <v>7886</v>
      </c>
      <c r="B4091" s="13" t="s">
        <v>8032</v>
      </c>
      <c r="C4091" s="13" t="s">
        <v>8061</v>
      </c>
      <c r="D4091" s="13">
        <v>2</v>
      </c>
      <c r="E4091" s="195" t="s">
        <v>8062</v>
      </c>
      <c r="F4091" s="13" t="s">
        <v>11</v>
      </c>
    </row>
    <row r="4092" ht="18" customHeight="1" spans="1:6">
      <c r="A4092" s="13" t="s">
        <v>7886</v>
      </c>
      <c r="B4092" s="13" t="s">
        <v>8032</v>
      </c>
      <c r="C4092" s="13" t="s">
        <v>8063</v>
      </c>
      <c r="D4092" s="6">
        <v>5</v>
      </c>
      <c r="E4092" s="195" t="s">
        <v>8064</v>
      </c>
      <c r="F4092" s="13" t="s">
        <v>11</v>
      </c>
    </row>
    <row r="4093" ht="18" customHeight="1" spans="1:6">
      <c r="A4093" s="13" t="s">
        <v>7886</v>
      </c>
      <c r="B4093" s="13" t="s">
        <v>8032</v>
      </c>
      <c r="C4093" s="13" t="s">
        <v>8065</v>
      </c>
      <c r="D4093" s="6">
        <v>4</v>
      </c>
      <c r="E4093" s="195" t="s">
        <v>8066</v>
      </c>
      <c r="F4093" s="13" t="s">
        <v>11</v>
      </c>
    </row>
    <row r="4094" ht="18" customHeight="1" spans="1:6">
      <c r="A4094" s="13" t="s">
        <v>7886</v>
      </c>
      <c r="B4094" s="13" t="s">
        <v>8032</v>
      </c>
      <c r="C4094" s="13" t="s">
        <v>8067</v>
      </c>
      <c r="D4094" s="6">
        <v>3</v>
      </c>
      <c r="E4094" s="195" t="s">
        <v>8068</v>
      </c>
      <c r="F4094" s="13" t="s">
        <v>11</v>
      </c>
    </row>
    <row r="4095" ht="18" customHeight="1" spans="1:6">
      <c r="A4095" s="13" t="s">
        <v>7886</v>
      </c>
      <c r="B4095" s="13" t="s">
        <v>8032</v>
      </c>
      <c r="C4095" s="13" t="s">
        <v>8069</v>
      </c>
      <c r="D4095" s="13">
        <v>1</v>
      </c>
      <c r="E4095" s="195" t="s">
        <v>8070</v>
      </c>
      <c r="F4095" s="13" t="s">
        <v>11</v>
      </c>
    </row>
    <row r="4096" ht="18" customHeight="1" spans="1:6">
      <c r="A4096" s="13" t="s">
        <v>7886</v>
      </c>
      <c r="B4096" s="13" t="s">
        <v>8032</v>
      </c>
      <c r="C4096" s="13" t="s">
        <v>8071</v>
      </c>
      <c r="D4096" s="13">
        <v>1</v>
      </c>
      <c r="E4096" s="195" t="s">
        <v>8072</v>
      </c>
      <c r="F4096" s="13" t="s">
        <v>11</v>
      </c>
    </row>
    <row r="4097" ht="18" customHeight="1" spans="1:6">
      <c r="A4097" s="13" t="s">
        <v>7886</v>
      </c>
      <c r="B4097" s="13" t="s">
        <v>8032</v>
      </c>
      <c r="C4097" s="13" t="s">
        <v>8073</v>
      </c>
      <c r="D4097" s="13">
        <v>3</v>
      </c>
      <c r="E4097" s="195" t="s">
        <v>8074</v>
      </c>
      <c r="F4097" s="13" t="s">
        <v>11</v>
      </c>
    </row>
    <row r="4098" ht="18" customHeight="1" spans="1:6">
      <c r="A4098" s="13" t="s">
        <v>7886</v>
      </c>
      <c r="B4098" s="13" t="s">
        <v>8032</v>
      </c>
      <c r="C4098" s="13" t="s">
        <v>7434</v>
      </c>
      <c r="D4098" s="13">
        <v>5</v>
      </c>
      <c r="E4098" s="178" t="s">
        <v>8075</v>
      </c>
      <c r="F4098" s="13" t="s">
        <v>11</v>
      </c>
    </row>
    <row r="4099" ht="18" customHeight="1" spans="1:6">
      <c r="A4099" s="13" t="s">
        <v>7886</v>
      </c>
      <c r="B4099" s="13" t="s">
        <v>8032</v>
      </c>
      <c r="C4099" s="13" t="s">
        <v>8076</v>
      </c>
      <c r="D4099" s="13">
        <v>4</v>
      </c>
      <c r="E4099" s="179" t="s">
        <v>8077</v>
      </c>
      <c r="F4099" s="13" t="s">
        <v>11</v>
      </c>
    </row>
    <row r="4100" ht="18" customHeight="1" spans="1:6">
      <c r="A4100" s="13" t="s">
        <v>7886</v>
      </c>
      <c r="B4100" s="13" t="s">
        <v>8032</v>
      </c>
      <c r="C4100" s="13" t="s">
        <v>2614</v>
      </c>
      <c r="D4100" s="6">
        <v>4</v>
      </c>
      <c r="E4100" s="195" t="s">
        <v>8078</v>
      </c>
      <c r="F4100" s="13" t="s">
        <v>11</v>
      </c>
    </row>
    <row r="4101" ht="18" customHeight="1" spans="1:6">
      <c r="A4101" s="13" t="s">
        <v>7886</v>
      </c>
      <c r="B4101" s="13" t="s">
        <v>8079</v>
      </c>
      <c r="C4101" s="13" t="s">
        <v>8080</v>
      </c>
      <c r="D4101" s="6">
        <v>6</v>
      </c>
      <c r="E4101" s="186" t="s">
        <v>8081</v>
      </c>
      <c r="F4101" s="13" t="s">
        <v>11</v>
      </c>
    </row>
    <row r="4102" ht="18" customHeight="1" spans="1:6">
      <c r="A4102" s="13" t="s">
        <v>7886</v>
      </c>
      <c r="B4102" s="13" t="s">
        <v>8079</v>
      </c>
      <c r="C4102" s="13" t="s">
        <v>8082</v>
      </c>
      <c r="D4102" s="6">
        <v>1</v>
      </c>
      <c r="E4102" s="186" t="s">
        <v>8083</v>
      </c>
      <c r="F4102" s="13" t="s">
        <v>11</v>
      </c>
    </row>
    <row r="4103" ht="18" customHeight="1" spans="1:6">
      <c r="A4103" s="13" t="s">
        <v>7886</v>
      </c>
      <c r="B4103" s="13" t="s">
        <v>8079</v>
      </c>
      <c r="C4103" s="13" t="s">
        <v>8084</v>
      </c>
      <c r="D4103" s="5">
        <v>3</v>
      </c>
      <c r="E4103" s="6" t="s">
        <v>8085</v>
      </c>
      <c r="F4103" s="13" t="s">
        <v>11</v>
      </c>
    </row>
    <row r="4104" ht="18" customHeight="1" spans="1:6">
      <c r="A4104" s="13" t="s">
        <v>7886</v>
      </c>
      <c r="B4104" s="13" t="s">
        <v>8079</v>
      </c>
      <c r="C4104" s="13" t="s">
        <v>8086</v>
      </c>
      <c r="D4104" s="5">
        <v>3</v>
      </c>
      <c r="E4104" s="6" t="s">
        <v>8087</v>
      </c>
      <c r="F4104" s="13" t="s">
        <v>11</v>
      </c>
    </row>
    <row r="4105" ht="18" customHeight="1" spans="1:6">
      <c r="A4105" s="13" t="s">
        <v>7886</v>
      </c>
      <c r="B4105" s="13" t="s">
        <v>8079</v>
      </c>
      <c r="C4105" s="13" t="s">
        <v>8088</v>
      </c>
      <c r="D4105" s="5">
        <v>3</v>
      </c>
      <c r="E4105" s="6" t="s">
        <v>8089</v>
      </c>
      <c r="F4105" s="13" t="s">
        <v>11</v>
      </c>
    </row>
    <row r="4106" ht="18" customHeight="1" spans="1:6">
      <c r="A4106" s="13" t="s">
        <v>7886</v>
      </c>
      <c r="B4106" s="13" t="s">
        <v>8079</v>
      </c>
      <c r="C4106" s="13" t="s">
        <v>8090</v>
      </c>
      <c r="D4106" s="5">
        <v>4</v>
      </c>
      <c r="E4106" s="6" t="s">
        <v>8091</v>
      </c>
      <c r="F4106" s="13" t="s">
        <v>11</v>
      </c>
    </row>
    <row r="4107" ht="18" customHeight="1" spans="1:6">
      <c r="A4107" s="13" t="s">
        <v>7886</v>
      </c>
      <c r="B4107" s="13" t="s">
        <v>8079</v>
      </c>
      <c r="C4107" s="13" t="s">
        <v>8092</v>
      </c>
      <c r="D4107" s="5">
        <v>3</v>
      </c>
      <c r="E4107" s="6" t="s">
        <v>8093</v>
      </c>
      <c r="F4107" s="13" t="s">
        <v>11</v>
      </c>
    </row>
    <row r="4108" ht="18" customHeight="1" spans="1:6">
      <c r="A4108" s="13" t="s">
        <v>7886</v>
      </c>
      <c r="B4108" s="13" t="s">
        <v>8079</v>
      </c>
      <c r="C4108" s="13" t="s">
        <v>8094</v>
      </c>
      <c r="D4108" s="5">
        <v>1</v>
      </c>
      <c r="E4108" s="6" t="s">
        <v>8095</v>
      </c>
      <c r="F4108" s="13" t="s">
        <v>11</v>
      </c>
    </row>
    <row r="4109" ht="18" customHeight="1" spans="1:6">
      <c r="A4109" s="13" t="s">
        <v>7886</v>
      </c>
      <c r="B4109" s="13" t="s">
        <v>8079</v>
      </c>
      <c r="C4109" s="13" t="s">
        <v>8096</v>
      </c>
      <c r="D4109" s="5">
        <v>1</v>
      </c>
      <c r="E4109" s="6" t="s">
        <v>8097</v>
      </c>
      <c r="F4109" s="13" t="s">
        <v>11</v>
      </c>
    </row>
    <row r="4110" ht="18" customHeight="1" spans="1:6">
      <c r="A4110" s="13" t="s">
        <v>7886</v>
      </c>
      <c r="B4110" s="13" t="s">
        <v>8079</v>
      </c>
      <c r="C4110" s="13" t="s">
        <v>8098</v>
      </c>
      <c r="D4110" s="5">
        <v>1</v>
      </c>
      <c r="E4110" s="6" t="s">
        <v>8099</v>
      </c>
      <c r="F4110" s="13" t="s">
        <v>11</v>
      </c>
    </row>
    <row r="4111" ht="18" customHeight="1" spans="1:6">
      <c r="A4111" s="13" t="s">
        <v>7886</v>
      </c>
      <c r="B4111" s="13" t="s">
        <v>8079</v>
      </c>
      <c r="C4111" s="13" t="s">
        <v>8100</v>
      </c>
      <c r="D4111" s="5">
        <v>1</v>
      </c>
      <c r="E4111" s="6" t="s">
        <v>8101</v>
      </c>
      <c r="F4111" s="13" t="s">
        <v>11</v>
      </c>
    </row>
    <row r="4112" ht="18" customHeight="1" spans="1:6">
      <c r="A4112" s="13" t="s">
        <v>7886</v>
      </c>
      <c r="B4112" s="13" t="s">
        <v>8079</v>
      </c>
      <c r="C4112" s="13" t="s">
        <v>8102</v>
      </c>
      <c r="D4112" s="5">
        <v>1</v>
      </c>
      <c r="E4112" s="6" t="s">
        <v>8103</v>
      </c>
      <c r="F4112" s="13" t="s">
        <v>11</v>
      </c>
    </row>
    <row r="4113" ht="18" customHeight="1" spans="1:6">
      <c r="A4113" s="13" t="s">
        <v>7886</v>
      </c>
      <c r="B4113" s="13" t="s">
        <v>8079</v>
      </c>
      <c r="C4113" s="13" t="s">
        <v>8104</v>
      </c>
      <c r="D4113" s="5">
        <v>5</v>
      </c>
      <c r="E4113" s="6" t="s">
        <v>8105</v>
      </c>
      <c r="F4113" s="13" t="s">
        <v>11</v>
      </c>
    </row>
    <row r="4114" ht="18" customHeight="1" spans="1:6">
      <c r="A4114" s="13" t="s">
        <v>7886</v>
      </c>
      <c r="B4114" s="13" t="s">
        <v>8079</v>
      </c>
      <c r="C4114" s="13" t="s">
        <v>8106</v>
      </c>
      <c r="D4114" s="5">
        <v>1</v>
      </c>
      <c r="E4114" s="6" t="s">
        <v>8107</v>
      </c>
      <c r="F4114" s="13" t="s">
        <v>11</v>
      </c>
    </row>
    <row r="4115" ht="18" customHeight="1" spans="1:6">
      <c r="A4115" s="13" t="s">
        <v>7886</v>
      </c>
      <c r="B4115" s="13" t="s">
        <v>8079</v>
      </c>
      <c r="C4115" s="13" t="s">
        <v>8108</v>
      </c>
      <c r="D4115" s="5">
        <v>2</v>
      </c>
      <c r="E4115" s="6" t="s">
        <v>8109</v>
      </c>
      <c r="F4115" s="13" t="s">
        <v>11</v>
      </c>
    </row>
    <row r="4116" ht="18" customHeight="1" spans="1:6">
      <c r="A4116" s="13" t="s">
        <v>7886</v>
      </c>
      <c r="B4116" s="13" t="s">
        <v>8079</v>
      </c>
      <c r="C4116" s="13" t="s">
        <v>8110</v>
      </c>
      <c r="D4116" s="5">
        <v>2</v>
      </c>
      <c r="E4116" s="6" t="s">
        <v>8111</v>
      </c>
      <c r="F4116" s="13" t="s">
        <v>11</v>
      </c>
    </row>
    <row r="4117" ht="18" customHeight="1" spans="1:6">
      <c r="A4117" s="13" t="s">
        <v>7886</v>
      </c>
      <c r="B4117" s="13" t="s">
        <v>8079</v>
      </c>
      <c r="C4117" s="13" t="s">
        <v>8112</v>
      </c>
      <c r="D4117" s="5">
        <v>1</v>
      </c>
      <c r="E4117" s="6" t="s">
        <v>8113</v>
      </c>
      <c r="F4117" s="13" t="s">
        <v>11</v>
      </c>
    </row>
    <row r="4118" ht="18" customHeight="1" spans="1:6">
      <c r="A4118" s="13" t="s">
        <v>7886</v>
      </c>
      <c r="B4118" s="13" t="s">
        <v>8079</v>
      </c>
      <c r="C4118" s="13" t="s">
        <v>8114</v>
      </c>
      <c r="D4118" s="5">
        <v>5</v>
      </c>
      <c r="E4118" s="6" t="s">
        <v>8115</v>
      </c>
      <c r="F4118" s="13" t="s">
        <v>11</v>
      </c>
    </row>
    <row r="4119" ht="18" customHeight="1" spans="1:6">
      <c r="A4119" s="13" t="s">
        <v>7886</v>
      </c>
      <c r="B4119" s="13" t="s">
        <v>8079</v>
      </c>
      <c r="C4119" s="13" t="s">
        <v>8116</v>
      </c>
      <c r="D4119" s="5">
        <v>3</v>
      </c>
      <c r="E4119" s="6" t="s">
        <v>8117</v>
      </c>
      <c r="F4119" s="13" t="s">
        <v>11</v>
      </c>
    </row>
    <row r="4120" ht="18" customHeight="1" spans="1:6">
      <c r="A4120" s="13" t="s">
        <v>7886</v>
      </c>
      <c r="B4120" s="13" t="s">
        <v>8079</v>
      </c>
      <c r="C4120" s="13" t="s">
        <v>8118</v>
      </c>
      <c r="D4120" s="5">
        <v>2</v>
      </c>
      <c r="E4120" s="195" t="s">
        <v>8119</v>
      </c>
      <c r="F4120" s="13" t="s">
        <v>11</v>
      </c>
    </row>
    <row r="4121" ht="18" customHeight="1" spans="1:6">
      <c r="A4121" s="13" t="s">
        <v>7886</v>
      </c>
      <c r="B4121" s="13" t="s">
        <v>8079</v>
      </c>
      <c r="C4121" s="13" t="s">
        <v>8120</v>
      </c>
      <c r="D4121" s="5">
        <v>2</v>
      </c>
      <c r="E4121" s="6" t="s">
        <v>8121</v>
      </c>
      <c r="F4121" s="13" t="s">
        <v>11</v>
      </c>
    </row>
    <row r="4122" ht="18" customHeight="1" spans="1:6">
      <c r="A4122" s="13" t="s">
        <v>7886</v>
      </c>
      <c r="B4122" s="13" t="s">
        <v>8079</v>
      </c>
      <c r="C4122" s="13" t="s">
        <v>8122</v>
      </c>
      <c r="D4122" s="5">
        <v>4</v>
      </c>
      <c r="E4122" s="5" t="str">
        <f>LEFT("422626197402135433",19)</f>
        <v>422626197402135433</v>
      </c>
      <c r="F4122" s="13" t="s">
        <v>11</v>
      </c>
    </row>
    <row r="4123" ht="18" customHeight="1" spans="1:6">
      <c r="A4123" s="13" t="s">
        <v>7886</v>
      </c>
      <c r="B4123" s="13" t="s">
        <v>8079</v>
      </c>
      <c r="C4123" s="13" t="s">
        <v>8123</v>
      </c>
      <c r="D4123" s="5">
        <v>2</v>
      </c>
      <c r="E4123" s="6" t="s">
        <v>8124</v>
      </c>
      <c r="F4123" s="13" t="s">
        <v>11</v>
      </c>
    </row>
    <row r="4124" ht="18" customHeight="1" spans="1:6">
      <c r="A4124" s="13" t="s">
        <v>7886</v>
      </c>
      <c r="B4124" s="13" t="s">
        <v>8079</v>
      </c>
      <c r="C4124" s="13" t="s">
        <v>8125</v>
      </c>
      <c r="D4124" s="5">
        <v>1</v>
      </c>
      <c r="E4124" s="195" t="s">
        <v>8126</v>
      </c>
      <c r="F4124" s="13" t="s">
        <v>11</v>
      </c>
    </row>
    <row r="4125" ht="18" customHeight="1" spans="1:6">
      <c r="A4125" s="13" t="s">
        <v>7886</v>
      </c>
      <c r="B4125" s="13" t="s">
        <v>8079</v>
      </c>
      <c r="C4125" s="13" t="s">
        <v>8127</v>
      </c>
      <c r="D4125" s="5">
        <v>1</v>
      </c>
      <c r="E4125" s="6" t="s">
        <v>8128</v>
      </c>
      <c r="F4125" s="13" t="s">
        <v>11</v>
      </c>
    </row>
    <row r="4126" ht="18" customHeight="1" spans="1:6">
      <c r="A4126" s="13" t="s">
        <v>7886</v>
      </c>
      <c r="B4126" s="13" t="s">
        <v>8079</v>
      </c>
      <c r="C4126" s="13" t="s">
        <v>8129</v>
      </c>
      <c r="D4126" s="13">
        <v>3</v>
      </c>
      <c r="E4126" s="186" t="s">
        <v>8130</v>
      </c>
      <c r="F4126" s="13" t="s">
        <v>11</v>
      </c>
    </row>
    <row r="4127" ht="18" customHeight="1" spans="1:6">
      <c r="A4127" s="13" t="s">
        <v>7886</v>
      </c>
      <c r="B4127" s="13" t="s">
        <v>8079</v>
      </c>
      <c r="C4127" s="13" t="s">
        <v>8131</v>
      </c>
      <c r="D4127" s="13">
        <v>6</v>
      </c>
      <c r="E4127" s="186" t="s">
        <v>8132</v>
      </c>
      <c r="F4127" s="13" t="s">
        <v>11</v>
      </c>
    </row>
    <row r="4128" ht="18" customHeight="1" spans="1:6">
      <c r="A4128" s="13" t="s">
        <v>7886</v>
      </c>
      <c r="B4128" s="13" t="s">
        <v>8079</v>
      </c>
      <c r="C4128" s="13" t="s">
        <v>8133</v>
      </c>
      <c r="D4128" s="13">
        <v>4</v>
      </c>
      <c r="E4128" s="186" t="s">
        <v>8134</v>
      </c>
      <c r="F4128" s="13" t="s">
        <v>11</v>
      </c>
    </row>
    <row r="4129" ht="18" customHeight="1" spans="1:6">
      <c r="A4129" s="13" t="s">
        <v>7886</v>
      </c>
      <c r="B4129" s="13" t="s">
        <v>8079</v>
      </c>
      <c r="C4129" s="13" t="s">
        <v>8135</v>
      </c>
      <c r="D4129" s="13">
        <v>1</v>
      </c>
      <c r="E4129" s="186" t="s">
        <v>8136</v>
      </c>
      <c r="F4129" s="13" t="s">
        <v>11</v>
      </c>
    </row>
    <row r="4130" ht="18" customHeight="1" spans="1:6">
      <c r="A4130" s="13" t="s">
        <v>7886</v>
      </c>
      <c r="B4130" s="13" t="s">
        <v>8079</v>
      </c>
      <c r="C4130" s="13" t="s">
        <v>8137</v>
      </c>
      <c r="D4130" s="13">
        <v>2</v>
      </c>
      <c r="E4130" s="186" t="s">
        <v>8138</v>
      </c>
      <c r="F4130" s="13" t="s">
        <v>11</v>
      </c>
    </row>
    <row r="4131" ht="18" customHeight="1" spans="1:6">
      <c r="A4131" s="13" t="s">
        <v>7886</v>
      </c>
      <c r="B4131" s="13" t="s">
        <v>8079</v>
      </c>
      <c r="C4131" s="13" t="s">
        <v>8139</v>
      </c>
      <c r="D4131" s="13">
        <v>2</v>
      </c>
      <c r="E4131" s="15" t="s">
        <v>8140</v>
      </c>
      <c r="F4131" s="13" t="s">
        <v>11</v>
      </c>
    </row>
    <row r="4132" ht="18" customHeight="1" spans="1:6">
      <c r="A4132" s="13" t="s">
        <v>7886</v>
      </c>
      <c r="B4132" s="13" t="s">
        <v>8079</v>
      </c>
      <c r="C4132" s="13" t="s">
        <v>8141</v>
      </c>
      <c r="D4132" s="13">
        <v>1</v>
      </c>
      <c r="E4132" s="186" t="s">
        <v>8142</v>
      </c>
      <c r="F4132" s="13" t="s">
        <v>11</v>
      </c>
    </row>
    <row r="4133" ht="18" customHeight="1" spans="1:6">
      <c r="A4133" s="13" t="s">
        <v>7886</v>
      </c>
      <c r="B4133" s="13" t="s">
        <v>8079</v>
      </c>
      <c r="C4133" s="13" t="s">
        <v>8143</v>
      </c>
      <c r="D4133" s="13">
        <v>2</v>
      </c>
      <c r="E4133" s="15" t="s">
        <v>8144</v>
      </c>
      <c r="F4133" s="13" t="s">
        <v>11</v>
      </c>
    </row>
    <row r="4134" ht="18" customHeight="1" spans="1:6">
      <c r="A4134" s="13" t="s">
        <v>7886</v>
      </c>
      <c r="B4134" s="13" t="s">
        <v>8079</v>
      </c>
      <c r="C4134" s="13" t="s">
        <v>8145</v>
      </c>
      <c r="D4134" s="13">
        <v>2</v>
      </c>
      <c r="E4134" s="6" t="s">
        <v>8146</v>
      </c>
      <c r="F4134" s="13" t="s">
        <v>11</v>
      </c>
    </row>
    <row r="4135" ht="18" customHeight="1" spans="1:6">
      <c r="A4135" s="13" t="s">
        <v>7886</v>
      </c>
      <c r="B4135" s="13" t="s">
        <v>8147</v>
      </c>
      <c r="C4135" s="13" t="s">
        <v>8148</v>
      </c>
      <c r="D4135" s="13">
        <v>1</v>
      </c>
      <c r="E4135" s="15"/>
      <c r="F4135" s="13" t="s">
        <v>11</v>
      </c>
    </row>
    <row r="4136" ht="18" customHeight="1" spans="1:6">
      <c r="A4136" s="13" t="s">
        <v>7886</v>
      </c>
      <c r="B4136" s="13" t="s">
        <v>8147</v>
      </c>
      <c r="C4136" s="13" t="s">
        <v>8149</v>
      </c>
      <c r="D4136" s="13">
        <v>2</v>
      </c>
      <c r="E4136" s="15"/>
      <c r="F4136" s="13" t="s">
        <v>11</v>
      </c>
    </row>
    <row r="4137" ht="18" customHeight="1" spans="1:6">
      <c r="A4137" s="13" t="s">
        <v>7886</v>
      </c>
      <c r="B4137" s="13" t="s">
        <v>8147</v>
      </c>
      <c r="C4137" s="13" t="s">
        <v>8150</v>
      </c>
      <c r="D4137" s="13">
        <v>3</v>
      </c>
      <c r="E4137" s="186" t="s">
        <v>8151</v>
      </c>
      <c r="F4137" s="13" t="s">
        <v>11</v>
      </c>
    </row>
    <row r="4138" ht="18" customHeight="1" spans="1:6">
      <c r="A4138" s="13" t="s">
        <v>7886</v>
      </c>
      <c r="B4138" s="13" t="s">
        <v>8147</v>
      </c>
      <c r="C4138" s="13" t="s">
        <v>8152</v>
      </c>
      <c r="D4138" s="13">
        <v>2</v>
      </c>
      <c r="E4138" s="5" t="str">
        <f>LEFT("422626197001135416",19)</f>
        <v>422626197001135416</v>
      </c>
      <c r="F4138" s="13" t="s">
        <v>11</v>
      </c>
    </row>
    <row r="4139" ht="18" customHeight="1" spans="1:6">
      <c r="A4139" s="13" t="s">
        <v>7886</v>
      </c>
      <c r="B4139" s="13" t="s">
        <v>8147</v>
      </c>
      <c r="C4139" s="13" t="s">
        <v>8153</v>
      </c>
      <c r="D4139" s="13">
        <v>1</v>
      </c>
      <c r="E4139" s="5" t="str">
        <f>LEFT("422626196902245415",19)</f>
        <v>422626196902245415</v>
      </c>
      <c r="F4139" s="13" t="s">
        <v>11</v>
      </c>
    </row>
    <row r="4140" ht="18" customHeight="1" spans="1:6">
      <c r="A4140" s="13" t="s">
        <v>7886</v>
      </c>
      <c r="B4140" s="13" t="s">
        <v>8147</v>
      </c>
      <c r="C4140" s="13" t="s">
        <v>8154</v>
      </c>
      <c r="D4140" s="13">
        <v>3</v>
      </c>
      <c r="E4140" s="15" t="s">
        <v>8155</v>
      </c>
      <c r="F4140" s="13" t="s">
        <v>11</v>
      </c>
    </row>
    <row r="4141" ht="18" customHeight="1" spans="1:6">
      <c r="A4141" s="13" t="s">
        <v>7886</v>
      </c>
      <c r="B4141" s="13" t="s">
        <v>8147</v>
      </c>
      <c r="C4141" s="13" t="s">
        <v>8156</v>
      </c>
      <c r="D4141" s="13">
        <v>1</v>
      </c>
      <c r="E4141" s="186" t="s">
        <v>8157</v>
      </c>
      <c r="F4141" s="13" t="s">
        <v>11</v>
      </c>
    </row>
    <row r="4142" ht="18" customHeight="1" spans="1:6">
      <c r="A4142" s="13" t="s">
        <v>7886</v>
      </c>
      <c r="B4142" s="13" t="s">
        <v>8147</v>
      </c>
      <c r="C4142" s="13" t="s">
        <v>8158</v>
      </c>
      <c r="D4142" s="13">
        <v>1</v>
      </c>
      <c r="E4142" s="186" t="s">
        <v>8159</v>
      </c>
      <c r="F4142" s="13" t="s">
        <v>11</v>
      </c>
    </row>
    <row r="4143" ht="18" customHeight="1" spans="1:6">
      <c r="A4143" s="13" t="s">
        <v>7886</v>
      </c>
      <c r="B4143" s="13" t="s">
        <v>8160</v>
      </c>
      <c r="C4143" s="13" t="s">
        <v>1725</v>
      </c>
      <c r="D4143" s="13">
        <v>1</v>
      </c>
      <c r="E4143" s="5" t="str">
        <f>LEFT("42262619560517541X",19)</f>
        <v>42262619560517541X</v>
      </c>
      <c r="F4143" s="13" t="s">
        <v>11</v>
      </c>
    </row>
    <row r="4144" ht="18" customHeight="1" spans="1:6">
      <c r="A4144" s="13" t="s">
        <v>7886</v>
      </c>
      <c r="B4144" s="13" t="s">
        <v>8160</v>
      </c>
      <c r="C4144" s="13" t="s">
        <v>8161</v>
      </c>
      <c r="D4144" s="13">
        <v>1</v>
      </c>
      <c r="E4144" s="178" t="s">
        <v>8162</v>
      </c>
      <c r="F4144" s="13" t="s">
        <v>11</v>
      </c>
    </row>
    <row r="4145" ht="18" customHeight="1" spans="1:6">
      <c r="A4145" s="13" t="s">
        <v>7886</v>
      </c>
      <c r="B4145" s="13" t="s">
        <v>8160</v>
      </c>
      <c r="C4145" s="13" t="s">
        <v>8163</v>
      </c>
      <c r="D4145" s="13">
        <v>1</v>
      </c>
      <c r="E4145" s="5" t="str">
        <f>LEFT("422626195607265419",19)</f>
        <v>422626195607265419</v>
      </c>
      <c r="F4145" s="13" t="s">
        <v>11</v>
      </c>
    </row>
    <row r="4146" ht="18" customHeight="1" spans="1:6">
      <c r="A4146" s="13" t="s">
        <v>7886</v>
      </c>
      <c r="B4146" s="13" t="s">
        <v>8160</v>
      </c>
      <c r="C4146" s="13" t="s">
        <v>8164</v>
      </c>
      <c r="D4146" s="13">
        <v>1</v>
      </c>
      <c r="E4146" s="178" t="s">
        <v>8165</v>
      </c>
      <c r="F4146" s="13" t="s">
        <v>11</v>
      </c>
    </row>
    <row r="4147" ht="18" customHeight="1" spans="1:6">
      <c r="A4147" s="13" t="s">
        <v>7886</v>
      </c>
      <c r="B4147" s="13" t="s">
        <v>8160</v>
      </c>
      <c r="C4147" s="13" t="s">
        <v>8166</v>
      </c>
      <c r="D4147" s="13">
        <v>4</v>
      </c>
      <c r="E4147" s="5" t="str">
        <f>LEFT("422626197110185412",19)</f>
        <v>422626197110185412</v>
      </c>
      <c r="F4147" s="13" t="s">
        <v>11</v>
      </c>
    </row>
    <row r="4148" ht="18" customHeight="1" spans="1:6">
      <c r="A4148" s="13" t="s">
        <v>7886</v>
      </c>
      <c r="B4148" s="13" t="s">
        <v>8160</v>
      </c>
      <c r="C4148" s="13" t="s">
        <v>8167</v>
      </c>
      <c r="D4148" s="13">
        <v>2</v>
      </c>
      <c r="E4148" s="178" t="s">
        <v>8168</v>
      </c>
      <c r="F4148" s="13" t="s">
        <v>11</v>
      </c>
    </row>
    <row r="4149" ht="18" customHeight="1" spans="1:6">
      <c r="A4149" s="13" t="s">
        <v>7886</v>
      </c>
      <c r="B4149" s="13" t="s">
        <v>8169</v>
      </c>
      <c r="C4149" s="13" t="s">
        <v>8170</v>
      </c>
      <c r="D4149" s="5">
        <v>1</v>
      </c>
      <c r="E4149" s="6" t="s">
        <v>8171</v>
      </c>
      <c r="F4149" s="13" t="s">
        <v>11</v>
      </c>
    </row>
    <row r="4150" ht="18" customHeight="1" spans="1:6">
      <c r="A4150" s="13" t="s">
        <v>7886</v>
      </c>
      <c r="B4150" s="13" t="s">
        <v>8169</v>
      </c>
      <c r="C4150" s="13" t="s">
        <v>8172</v>
      </c>
      <c r="D4150" s="13">
        <v>3</v>
      </c>
      <c r="E4150" s="186" t="s">
        <v>8173</v>
      </c>
      <c r="F4150" s="13" t="s">
        <v>11</v>
      </c>
    </row>
    <row r="4151" ht="18" customHeight="1" spans="1:6">
      <c r="A4151" s="13" t="s">
        <v>7886</v>
      </c>
      <c r="B4151" s="13" t="s">
        <v>8169</v>
      </c>
      <c r="C4151" s="13" t="s">
        <v>8174</v>
      </c>
      <c r="D4151" s="5">
        <v>5</v>
      </c>
      <c r="E4151" s="6" t="s">
        <v>8175</v>
      </c>
      <c r="F4151" s="13" t="s">
        <v>11</v>
      </c>
    </row>
    <row r="4152" ht="18" customHeight="1" spans="1:6">
      <c r="A4152" s="13" t="s">
        <v>7886</v>
      </c>
      <c r="B4152" s="13" t="s">
        <v>8169</v>
      </c>
      <c r="C4152" s="13" t="s">
        <v>8176</v>
      </c>
      <c r="D4152" s="13">
        <v>3</v>
      </c>
      <c r="E4152" s="186" t="s">
        <v>8177</v>
      </c>
      <c r="F4152" s="13" t="s">
        <v>11</v>
      </c>
    </row>
    <row r="4153" ht="18" customHeight="1" spans="1:6">
      <c r="A4153" s="13" t="s">
        <v>7886</v>
      </c>
      <c r="B4153" s="13" t="s">
        <v>8169</v>
      </c>
      <c r="C4153" s="13" t="s">
        <v>8178</v>
      </c>
      <c r="D4153" s="13">
        <v>1</v>
      </c>
      <c r="E4153" s="15"/>
      <c r="F4153" s="13" t="s">
        <v>11</v>
      </c>
    </row>
    <row r="4154" ht="18" customHeight="1" spans="1:6">
      <c r="A4154" s="13" t="s">
        <v>7886</v>
      </c>
      <c r="B4154" s="13" t="s">
        <v>8169</v>
      </c>
      <c r="C4154" s="13" t="s">
        <v>8179</v>
      </c>
      <c r="D4154" s="13">
        <v>1</v>
      </c>
      <c r="E4154" s="15"/>
      <c r="F4154" s="13" t="s">
        <v>11</v>
      </c>
    </row>
    <row r="4155" ht="18" customHeight="1" spans="1:6">
      <c r="A4155" s="13" t="s">
        <v>7886</v>
      </c>
      <c r="B4155" s="13" t="s">
        <v>8169</v>
      </c>
      <c r="C4155" s="13" t="s">
        <v>8180</v>
      </c>
      <c r="D4155" s="13">
        <v>1</v>
      </c>
      <c r="E4155" s="186" t="s">
        <v>8181</v>
      </c>
      <c r="F4155" s="13" t="s">
        <v>11</v>
      </c>
    </row>
    <row r="4156" ht="18" customHeight="1" spans="1:6">
      <c r="A4156" s="13" t="s">
        <v>7886</v>
      </c>
      <c r="B4156" s="13" t="s">
        <v>8169</v>
      </c>
      <c r="C4156" s="13" t="s">
        <v>8182</v>
      </c>
      <c r="D4156" s="13">
        <v>1</v>
      </c>
      <c r="E4156" s="15"/>
      <c r="F4156" s="13" t="s">
        <v>11</v>
      </c>
    </row>
    <row r="4157" ht="18" customHeight="1" spans="1:6">
      <c r="A4157" s="13" t="s">
        <v>7886</v>
      </c>
      <c r="B4157" s="13" t="s">
        <v>8183</v>
      </c>
      <c r="C4157" s="13" t="s">
        <v>8184</v>
      </c>
      <c r="D4157" s="13">
        <v>1</v>
      </c>
      <c r="E4157" s="15" t="s">
        <v>8185</v>
      </c>
      <c r="F4157" s="13" t="s">
        <v>11</v>
      </c>
    </row>
    <row r="4158" ht="18" customHeight="1" spans="1:6">
      <c r="A4158" s="13" t="s">
        <v>7886</v>
      </c>
      <c r="B4158" s="13" t="s">
        <v>8183</v>
      </c>
      <c r="C4158" s="13" t="s">
        <v>8186</v>
      </c>
      <c r="D4158" s="13">
        <v>1</v>
      </c>
      <c r="E4158" s="15" t="s">
        <v>8187</v>
      </c>
      <c r="F4158" s="13" t="s">
        <v>11</v>
      </c>
    </row>
    <row r="4159" ht="18" customHeight="1" spans="1:6">
      <c r="A4159" s="13" t="s">
        <v>7886</v>
      </c>
      <c r="B4159" s="13" t="s">
        <v>8183</v>
      </c>
      <c r="C4159" s="13" t="s">
        <v>8188</v>
      </c>
      <c r="D4159" s="13">
        <v>1</v>
      </c>
      <c r="E4159" s="15" t="s">
        <v>8189</v>
      </c>
      <c r="F4159" s="13" t="s">
        <v>11</v>
      </c>
    </row>
    <row r="4160" ht="18" customHeight="1" spans="1:6">
      <c r="A4160" s="13" t="s">
        <v>7886</v>
      </c>
      <c r="B4160" s="13" t="s">
        <v>8183</v>
      </c>
      <c r="C4160" s="13" t="s">
        <v>8190</v>
      </c>
      <c r="D4160" s="13">
        <v>1</v>
      </c>
      <c r="E4160" s="15" t="s">
        <v>8191</v>
      </c>
      <c r="F4160" s="13" t="s">
        <v>11</v>
      </c>
    </row>
    <row r="4161" ht="18" customHeight="1" spans="1:6">
      <c r="A4161" s="13" t="s">
        <v>7886</v>
      </c>
      <c r="B4161" s="13" t="s">
        <v>8183</v>
      </c>
      <c r="C4161" s="13" t="s">
        <v>8192</v>
      </c>
      <c r="D4161" s="13">
        <v>1</v>
      </c>
      <c r="E4161" s="15" t="s">
        <v>8193</v>
      </c>
      <c r="F4161" s="13" t="s">
        <v>11</v>
      </c>
    </row>
    <row r="4162" ht="18" customHeight="1" spans="1:6">
      <c r="A4162" s="13" t="s">
        <v>7886</v>
      </c>
      <c r="B4162" s="13" t="s">
        <v>8183</v>
      </c>
      <c r="C4162" s="13" t="s">
        <v>8194</v>
      </c>
      <c r="D4162" s="13">
        <v>1</v>
      </c>
      <c r="E4162" s="15" t="s">
        <v>8195</v>
      </c>
      <c r="F4162" s="13" t="s">
        <v>11</v>
      </c>
    </row>
    <row r="4163" ht="18" customHeight="1" spans="1:6">
      <c r="A4163" s="13" t="s">
        <v>7886</v>
      </c>
      <c r="B4163" s="13" t="s">
        <v>8183</v>
      </c>
      <c r="C4163" s="13" t="s">
        <v>8196</v>
      </c>
      <c r="D4163" s="13">
        <v>1</v>
      </c>
      <c r="E4163" s="15" t="s">
        <v>8197</v>
      </c>
      <c r="F4163" s="13" t="s">
        <v>11</v>
      </c>
    </row>
    <row r="4164" ht="18" customHeight="1" spans="1:6">
      <c r="A4164" s="13" t="s">
        <v>7886</v>
      </c>
      <c r="B4164" s="13" t="s">
        <v>8183</v>
      </c>
      <c r="C4164" s="13" t="s">
        <v>8198</v>
      </c>
      <c r="D4164" s="13">
        <v>2</v>
      </c>
      <c r="E4164" s="15" t="s">
        <v>8199</v>
      </c>
      <c r="F4164" s="13" t="s">
        <v>11</v>
      </c>
    </row>
    <row r="4165" ht="18" customHeight="1" spans="1:6">
      <c r="A4165" s="13" t="s">
        <v>7886</v>
      </c>
      <c r="B4165" s="13" t="s">
        <v>8183</v>
      </c>
      <c r="C4165" s="13" t="s">
        <v>8200</v>
      </c>
      <c r="D4165" s="13">
        <v>3</v>
      </c>
      <c r="E4165" s="15" t="s">
        <v>8201</v>
      </c>
      <c r="F4165" s="13" t="s">
        <v>11</v>
      </c>
    </row>
    <row r="4166" ht="18" customHeight="1" spans="1:6">
      <c r="A4166" s="13" t="s">
        <v>7886</v>
      </c>
      <c r="B4166" s="13" t="s">
        <v>8183</v>
      </c>
      <c r="C4166" s="13" t="s">
        <v>8202</v>
      </c>
      <c r="D4166" s="13">
        <v>2</v>
      </c>
      <c r="E4166" s="15" t="s">
        <v>8203</v>
      </c>
      <c r="F4166" s="13" t="s">
        <v>11</v>
      </c>
    </row>
    <row r="4167" ht="18" customHeight="1" spans="1:6">
      <c r="A4167" s="13" t="s">
        <v>7886</v>
      </c>
      <c r="B4167" s="13" t="s">
        <v>8183</v>
      </c>
      <c r="C4167" s="13" t="s">
        <v>8204</v>
      </c>
      <c r="D4167" s="13">
        <v>1</v>
      </c>
      <c r="E4167" s="15" t="s">
        <v>8205</v>
      </c>
      <c r="F4167" s="13" t="s">
        <v>11</v>
      </c>
    </row>
    <row r="4168" ht="18" customHeight="1" spans="1:6">
      <c r="A4168" s="13" t="s">
        <v>7886</v>
      </c>
      <c r="B4168" s="13" t="s">
        <v>8183</v>
      </c>
      <c r="C4168" s="13" t="s">
        <v>8206</v>
      </c>
      <c r="D4168" s="13">
        <v>2</v>
      </c>
      <c r="E4168" s="15" t="s">
        <v>8207</v>
      </c>
      <c r="F4168" s="13" t="s">
        <v>11</v>
      </c>
    </row>
    <row r="4169" ht="18" customHeight="1" spans="1:6">
      <c r="A4169" s="13" t="s">
        <v>8208</v>
      </c>
      <c r="B4169" s="13"/>
      <c r="C4169" s="13">
        <v>174</v>
      </c>
      <c r="D4169" s="13">
        <v>390</v>
      </c>
      <c r="E4169" s="13"/>
      <c r="F4169" s="13"/>
    </row>
    <row r="4170" ht="18" customHeight="1" spans="1:6">
      <c r="A4170" s="15" t="s">
        <v>8209</v>
      </c>
      <c r="B4170" s="15" t="s">
        <v>8210</v>
      </c>
      <c r="C4170" s="15" t="s">
        <v>8211</v>
      </c>
      <c r="D4170" s="13">
        <v>3</v>
      </c>
      <c r="E4170" s="15" t="s">
        <v>8212</v>
      </c>
      <c r="F4170" s="13" t="s">
        <v>11</v>
      </c>
    </row>
    <row r="4171" ht="18" customHeight="1" spans="1:6">
      <c r="A4171" s="15" t="s">
        <v>8209</v>
      </c>
      <c r="B4171" s="15" t="s">
        <v>8210</v>
      </c>
      <c r="C4171" s="15" t="s">
        <v>8213</v>
      </c>
      <c r="D4171" s="13">
        <v>1</v>
      </c>
      <c r="E4171" s="15" t="s">
        <v>8214</v>
      </c>
      <c r="F4171" s="13" t="s">
        <v>11</v>
      </c>
    </row>
    <row r="4172" ht="18" customHeight="1" spans="1:6">
      <c r="A4172" s="15" t="s">
        <v>8209</v>
      </c>
      <c r="B4172" s="15" t="s">
        <v>8210</v>
      </c>
      <c r="C4172" s="15" t="s">
        <v>8215</v>
      </c>
      <c r="D4172" s="13">
        <v>1</v>
      </c>
      <c r="E4172" s="15" t="s">
        <v>8216</v>
      </c>
      <c r="F4172" s="13" t="s">
        <v>11</v>
      </c>
    </row>
    <row r="4173" ht="18" customHeight="1" spans="1:6">
      <c r="A4173" s="15" t="s">
        <v>8209</v>
      </c>
      <c r="B4173" s="15" t="s">
        <v>8210</v>
      </c>
      <c r="C4173" s="15" t="s">
        <v>8217</v>
      </c>
      <c r="D4173" s="13">
        <v>1</v>
      </c>
      <c r="E4173" s="15" t="s">
        <v>8218</v>
      </c>
      <c r="F4173" s="13" t="s">
        <v>11</v>
      </c>
    </row>
    <row r="4174" ht="18" customHeight="1" spans="1:6">
      <c r="A4174" s="15" t="s">
        <v>8209</v>
      </c>
      <c r="B4174" s="15" t="s">
        <v>8210</v>
      </c>
      <c r="C4174" s="15" t="s">
        <v>8219</v>
      </c>
      <c r="D4174" s="13">
        <v>2</v>
      </c>
      <c r="E4174" s="15" t="s">
        <v>8220</v>
      </c>
      <c r="F4174" s="13" t="s">
        <v>11</v>
      </c>
    </row>
    <row r="4175" ht="18" customHeight="1" spans="1:6">
      <c r="A4175" s="15" t="s">
        <v>8209</v>
      </c>
      <c r="B4175" s="15" t="s">
        <v>8210</v>
      </c>
      <c r="C4175" s="15" t="s">
        <v>8221</v>
      </c>
      <c r="D4175" s="13">
        <v>3</v>
      </c>
      <c r="E4175" s="15" t="s">
        <v>8222</v>
      </c>
      <c r="F4175" s="13" t="s">
        <v>11</v>
      </c>
    </row>
    <row r="4176" ht="18" customHeight="1" spans="1:6">
      <c r="A4176" s="15" t="s">
        <v>8209</v>
      </c>
      <c r="B4176" s="15" t="s">
        <v>8210</v>
      </c>
      <c r="C4176" s="15" t="s">
        <v>8223</v>
      </c>
      <c r="D4176" s="13">
        <v>3</v>
      </c>
      <c r="E4176" s="15" t="s">
        <v>8224</v>
      </c>
      <c r="F4176" s="13" t="s">
        <v>11</v>
      </c>
    </row>
    <row r="4177" ht="18" customHeight="1" spans="1:6">
      <c r="A4177" s="15" t="s">
        <v>8209</v>
      </c>
      <c r="B4177" s="15" t="s">
        <v>8210</v>
      </c>
      <c r="C4177" s="15" t="s">
        <v>8225</v>
      </c>
      <c r="D4177" s="13">
        <v>2</v>
      </c>
      <c r="E4177" s="15" t="s">
        <v>8226</v>
      </c>
      <c r="F4177" s="13" t="s">
        <v>11</v>
      </c>
    </row>
    <row r="4178" ht="18" customHeight="1" spans="1:6">
      <c r="A4178" s="15" t="s">
        <v>8209</v>
      </c>
      <c r="B4178" s="15" t="s">
        <v>8210</v>
      </c>
      <c r="C4178" s="15" t="s">
        <v>8227</v>
      </c>
      <c r="D4178" s="13">
        <v>3</v>
      </c>
      <c r="E4178" s="15" t="s">
        <v>8228</v>
      </c>
      <c r="F4178" s="13" t="s">
        <v>11</v>
      </c>
    </row>
    <row r="4179" ht="18" customHeight="1" spans="1:6">
      <c r="A4179" s="15" t="s">
        <v>8209</v>
      </c>
      <c r="B4179" s="15" t="s">
        <v>8210</v>
      </c>
      <c r="C4179" s="15" t="s">
        <v>8229</v>
      </c>
      <c r="D4179" s="13">
        <v>1</v>
      </c>
      <c r="E4179" s="15" t="s">
        <v>8230</v>
      </c>
      <c r="F4179" s="13" t="s">
        <v>11</v>
      </c>
    </row>
    <row r="4180" ht="18" customHeight="1" spans="1:6">
      <c r="A4180" s="15" t="s">
        <v>8209</v>
      </c>
      <c r="B4180" s="15" t="s">
        <v>8210</v>
      </c>
      <c r="C4180" s="15" t="s">
        <v>8231</v>
      </c>
      <c r="D4180" s="13">
        <v>1</v>
      </c>
      <c r="E4180" s="15" t="s">
        <v>8232</v>
      </c>
      <c r="F4180" s="13" t="s">
        <v>11</v>
      </c>
    </row>
    <row r="4181" ht="18" customHeight="1" spans="1:6">
      <c r="A4181" s="15" t="s">
        <v>8209</v>
      </c>
      <c r="B4181" s="15" t="s">
        <v>8210</v>
      </c>
      <c r="C4181" s="15" t="s">
        <v>8233</v>
      </c>
      <c r="D4181" s="13">
        <v>3</v>
      </c>
      <c r="E4181" s="15" t="s">
        <v>8234</v>
      </c>
      <c r="F4181" s="13" t="s">
        <v>11</v>
      </c>
    </row>
    <row r="4182" ht="18" customHeight="1" spans="1:6">
      <c r="A4182" s="15" t="s">
        <v>8209</v>
      </c>
      <c r="B4182" s="15" t="s">
        <v>8210</v>
      </c>
      <c r="C4182" s="15" t="s">
        <v>8235</v>
      </c>
      <c r="D4182" s="13">
        <v>1</v>
      </c>
      <c r="E4182" s="15" t="s">
        <v>8236</v>
      </c>
      <c r="F4182" s="13" t="s">
        <v>11</v>
      </c>
    </row>
    <row r="4183" ht="18" customHeight="1" spans="1:6">
      <c r="A4183" s="15" t="s">
        <v>8209</v>
      </c>
      <c r="B4183" s="15" t="s">
        <v>8210</v>
      </c>
      <c r="C4183" s="15" t="s">
        <v>8237</v>
      </c>
      <c r="D4183" s="13">
        <v>1</v>
      </c>
      <c r="E4183" s="186" t="s">
        <v>8238</v>
      </c>
      <c r="F4183" s="13" t="s">
        <v>11</v>
      </c>
    </row>
    <row r="4184" ht="18" customHeight="1" spans="1:6">
      <c r="A4184" s="15" t="s">
        <v>8209</v>
      </c>
      <c r="B4184" s="15" t="s">
        <v>8210</v>
      </c>
      <c r="C4184" s="15" t="s">
        <v>8239</v>
      </c>
      <c r="D4184" s="13">
        <v>1</v>
      </c>
      <c r="E4184" s="186" t="s">
        <v>8240</v>
      </c>
      <c r="F4184" s="13" t="s">
        <v>11</v>
      </c>
    </row>
    <row r="4185" ht="18" customHeight="1" spans="1:6">
      <c r="A4185" s="15" t="s">
        <v>8209</v>
      </c>
      <c r="B4185" s="15" t="s">
        <v>8210</v>
      </c>
      <c r="C4185" s="15" t="s">
        <v>8241</v>
      </c>
      <c r="D4185" s="13">
        <v>1</v>
      </c>
      <c r="E4185" s="186" t="s">
        <v>8242</v>
      </c>
      <c r="F4185" s="13" t="s">
        <v>11</v>
      </c>
    </row>
    <row r="4186" ht="18" customHeight="1" spans="1:6">
      <c r="A4186" s="15" t="s">
        <v>8209</v>
      </c>
      <c r="B4186" s="15" t="s">
        <v>8210</v>
      </c>
      <c r="C4186" s="15" t="s">
        <v>8243</v>
      </c>
      <c r="D4186" s="13">
        <v>1</v>
      </c>
      <c r="E4186" s="186" t="s">
        <v>8244</v>
      </c>
      <c r="F4186" s="13" t="s">
        <v>11</v>
      </c>
    </row>
    <row r="4187" ht="18" customHeight="1" spans="1:6">
      <c r="A4187" s="15" t="s">
        <v>8209</v>
      </c>
      <c r="B4187" s="15" t="s">
        <v>8210</v>
      </c>
      <c r="C4187" s="15" t="s">
        <v>8245</v>
      </c>
      <c r="D4187" s="13">
        <v>1</v>
      </c>
      <c r="E4187" s="186" t="s">
        <v>8246</v>
      </c>
      <c r="F4187" s="13" t="s">
        <v>11</v>
      </c>
    </row>
    <row r="4188" ht="18" customHeight="1" spans="1:6">
      <c r="A4188" s="15" t="s">
        <v>8209</v>
      </c>
      <c r="B4188" s="15" t="s">
        <v>8210</v>
      </c>
      <c r="C4188" s="15" t="s">
        <v>8247</v>
      </c>
      <c r="D4188" s="13">
        <v>1</v>
      </c>
      <c r="E4188" s="186" t="s">
        <v>8248</v>
      </c>
      <c r="F4188" s="13" t="s">
        <v>11</v>
      </c>
    </row>
    <row r="4189" ht="18" customHeight="1" spans="1:6">
      <c r="A4189" s="15" t="s">
        <v>8209</v>
      </c>
      <c r="B4189" s="15" t="s">
        <v>8210</v>
      </c>
      <c r="C4189" s="15" t="s">
        <v>8249</v>
      </c>
      <c r="D4189" s="13">
        <v>1</v>
      </c>
      <c r="E4189" s="186" t="s">
        <v>8250</v>
      </c>
      <c r="F4189" s="13" t="s">
        <v>11</v>
      </c>
    </row>
    <row r="4190" ht="18" customHeight="1" spans="1:6">
      <c r="A4190" s="15" t="s">
        <v>8209</v>
      </c>
      <c r="B4190" s="15" t="s">
        <v>8210</v>
      </c>
      <c r="C4190" s="15" t="s">
        <v>8251</v>
      </c>
      <c r="D4190" s="13">
        <v>2</v>
      </c>
      <c r="E4190" s="186" t="s">
        <v>8252</v>
      </c>
      <c r="F4190" s="13" t="s">
        <v>11</v>
      </c>
    </row>
    <row r="4191" ht="18" customHeight="1" spans="1:6">
      <c r="A4191" s="15" t="s">
        <v>8209</v>
      </c>
      <c r="B4191" s="15" t="s">
        <v>8210</v>
      </c>
      <c r="C4191" s="15" t="s">
        <v>8253</v>
      </c>
      <c r="D4191" s="13">
        <v>1</v>
      </c>
      <c r="E4191" s="15"/>
      <c r="F4191" s="13" t="s">
        <v>11</v>
      </c>
    </row>
    <row r="4192" ht="18" customHeight="1" spans="1:6">
      <c r="A4192" s="15" t="s">
        <v>8209</v>
      </c>
      <c r="B4192" s="15" t="s">
        <v>8210</v>
      </c>
      <c r="C4192" s="15" t="s">
        <v>8254</v>
      </c>
      <c r="D4192" s="13">
        <v>1</v>
      </c>
      <c r="E4192" s="15"/>
      <c r="F4192" s="13" t="s">
        <v>11</v>
      </c>
    </row>
    <row r="4193" ht="18" customHeight="1" spans="1:6">
      <c r="A4193" s="15" t="s">
        <v>8209</v>
      </c>
      <c r="B4193" s="15" t="s">
        <v>8210</v>
      </c>
      <c r="C4193" s="15" t="s">
        <v>8255</v>
      </c>
      <c r="D4193" s="13">
        <v>1</v>
      </c>
      <c r="E4193" s="15" t="s">
        <v>8256</v>
      </c>
      <c r="F4193" s="13" t="s">
        <v>11</v>
      </c>
    </row>
    <row r="4194" ht="18" customHeight="1" spans="1:6">
      <c r="A4194" s="15" t="s">
        <v>8209</v>
      </c>
      <c r="B4194" s="15" t="s">
        <v>8257</v>
      </c>
      <c r="C4194" s="15" t="s">
        <v>8258</v>
      </c>
      <c r="D4194" s="13">
        <v>4</v>
      </c>
      <c r="E4194" s="186" t="s">
        <v>8259</v>
      </c>
      <c r="F4194" s="13" t="s">
        <v>11</v>
      </c>
    </row>
    <row r="4195" ht="18" customHeight="1" spans="1:6">
      <c r="A4195" s="15" t="s">
        <v>8209</v>
      </c>
      <c r="B4195" s="15" t="s">
        <v>8257</v>
      </c>
      <c r="C4195" s="6" t="s">
        <v>8260</v>
      </c>
      <c r="D4195" s="13">
        <v>2</v>
      </c>
      <c r="E4195" s="15" t="s">
        <v>8261</v>
      </c>
      <c r="F4195" s="13" t="s">
        <v>11</v>
      </c>
    </row>
    <row r="4196" ht="18" customHeight="1" spans="1:6">
      <c r="A4196" s="15" t="s">
        <v>8209</v>
      </c>
      <c r="B4196" s="15" t="s">
        <v>8257</v>
      </c>
      <c r="C4196" s="15" t="s">
        <v>8262</v>
      </c>
      <c r="D4196" s="13">
        <v>4</v>
      </c>
      <c r="E4196" s="186" t="s">
        <v>8263</v>
      </c>
      <c r="F4196" s="13" t="s">
        <v>11</v>
      </c>
    </row>
    <row r="4197" ht="18" customHeight="1" spans="1:6">
      <c r="A4197" s="15" t="s">
        <v>8209</v>
      </c>
      <c r="B4197" s="15" t="s">
        <v>8257</v>
      </c>
      <c r="C4197" s="15" t="s">
        <v>8264</v>
      </c>
      <c r="D4197" s="13">
        <v>4</v>
      </c>
      <c r="E4197" s="15" t="s">
        <v>8265</v>
      </c>
      <c r="F4197" s="13" t="s">
        <v>11</v>
      </c>
    </row>
    <row r="4198" ht="18" customHeight="1" spans="1:6">
      <c r="A4198" s="15" t="s">
        <v>8209</v>
      </c>
      <c r="B4198" s="15" t="s">
        <v>8257</v>
      </c>
      <c r="C4198" s="6" t="s">
        <v>8266</v>
      </c>
      <c r="D4198" s="13">
        <v>4</v>
      </c>
      <c r="E4198" s="15" t="s">
        <v>8267</v>
      </c>
      <c r="F4198" s="13" t="s">
        <v>11</v>
      </c>
    </row>
    <row r="4199" ht="18" customHeight="1" spans="1:6">
      <c r="A4199" s="15" t="s">
        <v>8209</v>
      </c>
      <c r="B4199" s="15" t="s">
        <v>8257</v>
      </c>
      <c r="C4199" s="6" t="s">
        <v>8268</v>
      </c>
      <c r="D4199" s="13">
        <v>3</v>
      </c>
      <c r="E4199" s="15" t="s">
        <v>8269</v>
      </c>
      <c r="F4199" s="13" t="s">
        <v>11</v>
      </c>
    </row>
    <row r="4200" ht="18" customHeight="1" spans="1:6">
      <c r="A4200" s="15" t="s">
        <v>8209</v>
      </c>
      <c r="B4200" s="15" t="s">
        <v>8257</v>
      </c>
      <c r="C4200" s="6" t="s">
        <v>8270</v>
      </c>
      <c r="D4200" s="13">
        <v>2</v>
      </c>
      <c r="E4200" s="15" t="s">
        <v>8271</v>
      </c>
      <c r="F4200" s="13" t="s">
        <v>11</v>
      </c>
    </row>
    <row r="4201" ht="18" customHeight="1" spans="1:6">
      <c r="A4201" s="15" t="s">
        <v>8209</v>
      </c>
      <c r="B4201" s="15" t="s">
        <v>8257</v>
      </c>
      <c r="C4201" s="15" t="s">
        <v>7102</v>
      </c>
      <c r="D4201" s="13">
        <v>1</v>
      </c>
      <c r="E4201" s="6" t="s">
        <v>8272</v>
      </c>
      <c r="F4201" s="13" t="s">
        <v>11</v>
      </c>
    </row>
    <row r="4202" ht="18" customHeight="1" spans="1:6">
      <c r="A4202" s="15" t="s">
        <v>8209</v>
      </c>
      <c r="B4202" s="15" t="s">
        <v>8257</v>
      </c>
      <c r="C4202" s="15" t="s">
        <v>8273</v>
      </c>
      <c r="D4202" s="13">
        <v>1</v>
      </c>
      <c r="E4202" s="6" t="s">
        <v>8274</v>
      </c>
      <c r="F4202" s="13" t="s">
        <v>11</v>
      </c>
    </row>
    <row r="4203" ht="18" customHeight="1" spans="1:6">
      <c r="A4203" s="15" t="s">
        <v>8209</v>
      </c>
      <c r="B4203" s="15" t="s">
        <v>8257</v>
      </c>
      <c r="C4203" s="15" t="s">
        <v>8275</v>
      </c>
      <c r="D4203" s="13">
        <v>1</v>
      </c>
      <c r="E4203" s="6" t="s">
        <v>8276</v>
      </c>
      <c r="F4203" s="13" t="s">
        <v>11</v>
      </c>
    </row>
    <row r="4204" ht="18" customHeight="1" spans="1:6">
      <c r="A4204" s="15" t="s">
        <v>8209</v>
      </c>
      <c r="B4204" s="15" t="s">
        <v>8257</v>
      </c>
      <c r="C4204" s="6" t="s">
        <v>8277</v>
      </c>
      <c r="D4204" s="13">
        <v>1</v>
      </c>
      <c r="E4204" s="6" t="s">
        <v>8278</v>
      </c>
      <c r="F4204" s="13" t="s">
        <v>11</v>
      </c>
    </row>
    <row r="4205" ht="18" customHeight="1" spans="1:6">
      <c r="A4205" s="15" t="s">
        <v>8209</v>
      </c>
      <c r="B4205" s="15" t="s">
        <v>8257</v>
      </c>
      <c r="C4205" s="15" t="s">
        <v>8279</v>
      </c>
      <c r="D4205" s="13">
        <v>1</v>
      </c>
      <c r="E4205" s="6" t="s">
        <v>8280</v>
      </c>
      <c r="F4205" s="13" t="s">
        <v>11</v>
      </c>
    </row>
    <row r="4206" ht="18" customHeight="1" spans="1:6">
      <c r="A4206" s="15" t="s">
        <v>8209</v>
      </c>
      <c r="B4206" s="15" t="s">
        <v>8257</v>
      </c>
      <c r="C4206" s="6" t="s">
        <v>8281</v>
      </c>
      <c r="D4206" s="13">
        <v>1</v>
      </c>
      <c r="E4206" s="6" t="s">
        <v>8282</v>
      </c>
      <c r="F4206" s="13" t="s">
        <v>11</v>
      </c>
    </row>
    <row r="4207" ht="18" customHeight="1" spans="1:6">
      <c r="A4207" s="15" t="s">
        <v>8209</v>
      </c>
      <c r="B4207" s="15" t="s">
        <v>8257</v>
      </c>
      <c r="C4207" s="6" t="s">
        <v>8283</v>
      </c>
      <c r="D4207" s="13">
        <v>1</v>
      </c>
      <c r="E4207" s="6" t="s">
        <v>8284</v>
      </c>
      <c r="F4207" s="13" t="s">
        <v>11</v>
      </c>
    </row>
    <row r="4208" ht="18" customHeight="1" spans="1:6">
      <c r="A4208" s="15" t="s">
        <v>8209</v>
      </c>
      <c r="B4208" s="15" t="s">
        <v>8285</v>
      </c>
      <c r="C4208" s="15" t="s">
        <v>8286</v>
      </c>
      <c r="D4208" s="13">
        <v>2</v>
      </c>
      <c r="E4208" s="15" t="s">
        <v>8287</v>
      </c>
      <c r="F4208" s="13" t="s">
        <v>11</v>
      </c>
    </row>
    <row r="4209" ht="18" customHeight="1" spans="1:6">
      <c r="A4209" s="15" t="s">
        <v>8209</v>
      </c>
      <c r="B4209" s="15" t="s">
        <v>8285</v>
      </c>
      <c r="C4209" s="15" t="s">
        <v>8288</v>
      </c>
      <c r="D4209" s="13">
        <v>1</v>
      </c>
      <c r="E4209" s="15" t="s">
        <v>8289</v>
      </c>
      <c r="F4209" s="13" t="s">
        <v>11</v>
      </c>
    </row>
    <row r="4210" ht="18" customHeight="1" spans="1:6">
      <c r="A4210" s="15" t="s">
        <v>8209</v>
      </c>
      <c r="B4210" s="15" t="s">
        <v>8285</v>
      </c>
      <c r="C4210" s="15" t="s">
        <v>8290</v>
      </c>
      <c r="D4210" s="13">
        <v>1</v>
      </c>
      <c r="E4210" s="15" t="s">
        <v>8291</v>
      </c>
      <c r="F4210" s="13" t="s">
        <v>11</v>
      </c>
    </row>
    <row r="4211" ht="18" customHeight="1" spans="1:6">
      <c r="A4211" s="15" t="s">
        <v>8209</v>
      </c>
      <c r="B4211" s="15" t="s">
        <v>8285</v>
      </c>
      <c r="C4211" s="15" t="s">
        <v>8292</v>
      </c>
      <c r="D4211" s="13">
        <v>2</v>
      </c>
      <c r="E4211" s="15" t="s">
        <v>8293</v>
      </c>
      <c r="F4211" s="13" t="s">
        <v>11</v>
      </c>
    </row>
    <row r="4212" ht="18" customHeight="1" spans="1:6">
      <c r="A4212" s="15" t="s">
        <v>8209</v>
      </c>
      <c r="B4212" s="15" t="s">
        <v>8285</v>
      </c>
      <c r="C4212" s="15" t="s">
        <v>8294</v>
      </c>
      <c r="D4212" s="13">
        <v>3</v>
      </c>
      <c r="E4212" s="15" t="s">
        <v>8295</v>
      </c>
      <c r="F4212" s="13" t="s">
        <v>11</v>
      </c>
    </row>
    <row r="4213" ht="18" customHeight="1" spans="1:6">
      <c r="A4213" s="15" t="s">
        <v>8209</v>
      </c>
      <c r="B4213" s="15" t="s">
        <v>8285</v>
      </c>
      <c r="C4213" s="15" t="s">
        <v>8296</v>
      </c>
      <c r="D4213" s="13">
        <v>2</v>
      </c>
      <c r="E4213" s="15" t="s">
        <v>8297</v>
      </c>
      <c r="F4213" s="13" t="s">
        <v>11</v>
      </c>
    </row>
    <row r="4214" ht="18" customHeight="1" spans="1:6">
      <c r="A4214" s="15" t="s">
        <v>8209</v>
      </c>
      <c r="B4214" s="15" t="s">
        <v>8285</v>
      </c>
      <c r="C4214" s="15" t="s">
        <v>8298</v>
      </c>
      <c r="D4214" s="13">
        <v>2</v>
      </c>
      <c r="E4214" s="15" t="s">
        <v>8299</v>
      </c>
      <c r="F4214" s="13" t="s">
        <v>11</v>
      </c>
    </row>
    <row r="4215" ht="18" customHeight="1" spans="1:6">
      <c r="A4215" s="15" t="s">
        <v>8209</v>
      </c>
      <c r="B4215" s="15" t="s">
        <v>8285</v>
      </c>
      <c r="C4215" s="15" t="s">
        <v>8300</v>
      </c>
      <c r="D4215" s="13">
        <v>2</v>
      </c>
      <c r="E4215" s="15" t="s">
        <v>8301</v>
      </c>
      <c r="F4215" s="13" t="s">
        <v>11</v>
      </c>
    </row>
    <row r="4216" ht="18" customHeight="1" spans="1:6">
      <c r="A4216" s="15" t="s">
        <v>8209</v>
      </c>
      <c r="B4216" s="15" t="s">
        <v>8285</v>
      </c>
      <c r="C4216" s="15" t="s">
        <v>8302</v>
      </c>
      <c r="D4216" s="13">
        <v>2</v>
      </c>
      <c r="E4216" s="15" t="s">
        <v>8303</v>
      </c>
      <c r="F4216" s="13" t="s">
        <v>11</v>
      </c>
    </row>
    <row r="4217" ht="18" customHeight="1" spans="1:6">
      <c r="A4217" s="15" t="s">
        <v>8209</v>
      </c>
      <c r="B4217" s="15" t="s">
        <v>8285</v>
      </c>
      <c r="C4217" s="15" t="s">
        <v>8304</v>
      </c>
      <c r="D4217" s="13">
        <v>2</v>
      </c>
      <c r="E4217" s="15" t="s">
        <v>8305</v>
      </c>
      <c r="F4217" s="13" t="s">
        <v>11</v>
      </c>
    </row>
    <row r="4218" ht="18" customHeight="1" spans="1:6">
      <c r="A4218" s="15" t="s">
        <v>8209</v>
      </c>
      <c r="B4218" s="15" t="s">
        <v>8285</v>
      </c>
      <c r="C4218" s="15" t="s">
        <v>8306</v>
      </c>
      <c r="D4218" s="13">
        <v>2</v>
      </c>
      <c r="E4218" s="15" t="s">
        <v>8307</v>
      </c>
      <c r="F4218" s="13" t="s">
        <v>11</v>
      </c>
    </row>
    <row r="4219" ht="18" customHeight="1" spans="1:6">
      <c r="A4219" s="15" t="s">
        <v>8209</v>
      </c>
      <c r="B4219" s="15" t="s">
        <v>8285</v>
      </c>
      <c r="C4219" s="15" t="s">
        <v>8308</v>
      </c>
      <c r="D4219" s="13">
        <v>2</v>
      </c>
      <c r="E4219" s="15" t="s">
        <v>8309</v>
      </c>
      <c r="F4219" s="13" t="s">
        <v>11</v>
      </c>
    </row>
    <row r="4220" ht="18" customHeight="1" spans="1:6">
      <c r="A4220" s="15" t="s">
        <v>8209</v>
      </c>
      <c r="B4220" s="15" t="s">
        <v>8285</v>
      </c>
      <c r="C4220" s="15" t="s">
        <v>8310</v>
      </c>
      <c r="D4220" s="13">
        <v>2</v>
      </c>
      <c r="E4220" s="15" t="s">
        <v>8311</v>
      </c>
      <c r="F4220" s="13" t="s">
        <v>11</v>
      </c>
    </row>
    <row r="4221" ht="18" customHeight="1" spans="1:6">
      <c r="A4221" s="15" t="s">
        <v>8209</v>
      </c>
      <c r="B4221" s="15" t="s">
        <v>8285</v>
      </c>
      <c r="C4221" s="15" t="s">
        <v>8312</v>
      </c>
      <c r="D4221" s="13">
        <v>4</v>
      </c>
      <c r="E4221" s="15" t="s">
        <v>8313</v>
      </c>
      <c r="F4221" s="13" t="s">
        <v>11</v>
      </c>
    </row>
    <row r="4222" ht="18" customHeight="1" spans="1:6">
      <c r="A4222" s="15" t="s">
        <v>8209</v>
      </c>
      <c r="B4222" s="15" t="s">
        <v>8285</v>
      </c>
      <c r="C4222" s="15" t="s">
        <v>8314</v>
      </c>
      <c r="D4222" s="13">
        <v>2</v>
      </c>
      <c r="E4222" s="15" t="s">
        <v>8315</v>
      </c>
      <c r="F4222" s="13" t="s">
        <v>11</v>
      </c>
    </row>
    <row r="4223" ht="18" customHeight="1" spans="1:6">
      <c r="A4223" s="15" t="s">
        <v>8209</v>
      </c>
      <c r="B4223" s="15" t="s">
        <v>8285</v>
      </c>
      <c r="C4223" s="15" t="s">
        <v>8316</v>
      </c>
      <c r="D4223" s="13">
        <v>3</v>
      </c>
      <c r="E4223" s="15" t="s">
        <v>8317</v>
      </c>
      <c r="F4223" s="13" t="s">
        <v>11</v>
      </c>
    </row>
    <row r="4224" ht="18" customHeight="1" spans="1:6">
      <c r="A4224" s="15" t="s">
        <v>8209</v>
      </c>
      <c r="B4224" s="15" t="s">
        <v>8285</v>
      </c>
      <c r="C4224" s="15" t="s">
        <v>8318</v>
      </c>
      <c r="D4224" s="13">
        <v>5</v>
      </c>
      <c r="E4224" s="15" t="s">
        <v>8319</v>
      </c>
      <c r="F4224" s="13" t="s">
        <v>11</v>
      </c>
    </row>
    <row r="4225" ht="18" customHeight="1" spans="1:6">
      <c r="A4225" s="15" t="s">
        <v>8209</v>
      </c>
      <c r="B4225" s="15" t="s">
        <v>8285</v>
      </c>
      <c r="C4225" s="15" t="s">
        <v>8320</v>
      </c>
      <c r="D4225" s="13">
        <v>2</v>
      </c>
      <c r="E4225" s="15" t="s">
        <v>8321</v>
      </c>
      <c r="F4225" s="13" t="s">
        <v>11</v>
      </c>
    </row>
    <row r="4226" ht="18" customHeight="1" spans="1:6">
      <c r="A4226" s="15" t="s">
        <v>8209</v>
      </c>
      <c r="B4226" s="15" t="s">
        <v>8285</v>
      </c>
      <c r="C4226" s="15" t="s">
        <v>8322</v>
      </c>
      <c r="D4226" s="13">
        <v>2</v>
      </c>
      <c r="E4226" s="15" t="s">
        <v>8323</v>
      </c>
      <c r="F4226" s="13" t="s">
        <v>11</v>
      </c>
    </row>
    <row r="4227" ht="18" customHeight="1" spans="1:6">
      <c r="A4227" s="15" t="s">
        <v>8209</v>
      </c>
      <c r="B4227" s="15" t="s">
        <v>8285</v>
      </c>
      <c r="C4227" s="15" t="s">
        <v>8324</v>
      </c>
      <c r="D4227" s="13">
        <v>2</v>
      </c>
      <c r="E4227" s="15" t="s">
        <v>8325</v>
      </c>
      <c r="F4227" s="13" t="s">
        <v>11</v>
      </c>
    </row>
    <row r="4228" ht="18" customHeight="1" spans="1:6">
      <c r="A4228" s="15" t="s">
        <v>8209</v>
      </c>
      <c r="B4228" s="15" t="s">
        <v>8285</v>
      </c>
      <c r="C4228" s="15" t="s">
        <v>8326</v>
      </c>
      <c r="D4228" s="13">
        <v>3</v>
      </c>
      <c r="E4228" s="15" t="s">
        <v>8327</v>
      </c>
      <c r="F4228" s="13" t="s">
        <v>11</v>
      </c>
    </row>
    <row r="4229" ht="18" customHeight="1" spans="1:6">
      <c r="A4229" s="15" t="s">
        <v>8209</v>
      </c>
      <c r="B4229" s="15" t="s">
        <v>8285</v>
      </c>
      <c r="C4229" s="15" t="s">
        <v>8328</v>
      </c>
      <c r="D4229" s="13">
        <v>2</v>
      </c>
      <c r="E4229" s="15" t="s">
        <v>8329</v>
      </c>
      <c r="F4229" s="13" t="s">
        <v>11</v>
      </c>
    </row>
    <row r="4230" ht="18" customHeight="1" spans="1:6">
      <c r="A4230" s="15" t="s">
        <v>8209</v>
      </c>
      <c r="B4230" s="15" t="s">
        <v>8285</v>
      </c>
      <c r="C4230" s="15" t="s">
        <v>8330</v>
      </c>
      <c r="D4230" s="13">
        <v>2</v>
      </c>
      <c r="E4230" s="15" t="s">
        <v>8331</v>
      </c>
      <c r="F4230" s="13" t="s">
        <v>11</v>
      </c>
    </row>
    <row r="4231" ht="18" customHeight="1" spans="1:6">
      <c r="A4231" s="15" t="s">
        <v>8209</v>
      </c>
      <c r="B4231" s="15" t="s">
        <v>8285</v>
      </c>
      <c r="C4231" s="15" t="s">
        <v>8332</v>
      </c>
      <c r="D4231" s="13">
        <v>2</v>
      </c>
      <c r="E4231" s="15" t="s">
        <v>8333</v>
      </c>
      <c r="F4231" s="13" t="s">
        <v>11</v>
      </c>
    </row>
    <row r="4232" ht="18" customHeight="1" spans="1:6">
      <c r="A4232" s="15" t="s">
        <v>8209</v>
      </c>
      <c r="B4232" s="15" t="s">
        <v>8285</v>
      </c>
      <c r="C4232" s="15" t="s">
        <v>8334</v>
      </c>
      <c r="D4232" s="13">
        <v>2</v>
      </c>
      <c r="E4232" s="15" t="s">
        <v>8335</v>
      </c>
      <c r="F4232" s="13" t="s">
        <v>11</v>
      </c>
    </row>
    <row r="4233" ht="18" customHeight="1" spans="1:6">
      <c r="A4233" s="15" t="s">
        <v>8209</v>
      </c>
      <c r="B4233" s="15" t="s">
        <v>8285</v>
      </c>
      <c r="C4233" s="15" t="s">
        <v>8336</v>
      </c>
      <c r="D4233" s="13">
        <v>1</v>
      </c>
      <c r="E4233" s="15" t="s">
        <v>8337</v>
      </c>
      <c r="F4233" s="13" t="s">
        <v>11</v>
      </c>
    </row>
    <row r="4234" ht="18" customHeight="1" spans="1:6">
      <c r="A4234" s="15" t="s">
        <v>8209</v>
      </c>
      <c r="B4234" s="15" t="s">
        <v>8285</v>
      </c>
      <c r="C4234" s="15" t="s">
        <v>8338</v>
      </c>
      <c r="D4234" s="13">
        <v>2</v>
      </c>
      <c r="E4234" s="15" t="s">
        <v>8339</v>
      </c>
      <c r="F4234" s="13" t="s">
        <v>11</v>
      </c>
    </row>
    <row r="4235" ht="18" customHeight="1" spans="1:6">
      <c r="A4235" s="15" t="s">
        <v>8209</v>
      </c>
      <c r="B4235" s="15" t="s">
        <v>8285</v>
      </c>
      <c r="C4235" s="15" t="s">
        <v>8340</v>
      </c>
      <c r="D4235" s="13">
        <v>3</v>
      </c>
      <c r="E4235" s="15" t="s">
        <v>8341</v>
      </c>
      <c r="F4235" s="13" t="s">
        <v>11</v>
      </c>
    </row>
    <row r="4236" ht="18" customHeight="1" spans="1:6">
      <c r="A4236" s="15" t="s">
        <v>8209</v>
      </c>
      <c r="B4236" s="15" t="s">
        <v>8285</v>
      </c>
      <c r="C4236" s="15" t="s">
        <v>6711</v>
      </c>
      <c r="D4236" s="13">
        <v>2</v>
      </c>
      <c r="E4236" s="15" t="s">
        <v>8342</v>
      </c>
      <c r="F4236" s="13" t="s">
        <v>11</v>
      </c>
    </row>
    <row r="4237" ht="18" customHeight="1" spans="1:6">
      <c r="A4237" s="15" t="s">
        <v>8209</v>
      </c>
      <c r="B4237" s="15" t="s">
        <v>8285</v>
      </c>
      <c r="C4237" s="15" t="s">
        <v>8343</v>
      </c>
      <c r="D4237" s="13">
        <v>2</v>
      </c>
      <c r="E4237" s="16" t="s">
        <v>8344</v>
      </c>
      <c r="F4237" s="13" t="s">
        <v>11</v>
      </c>
    </row>
    <row r="4238" ht="18" customHeight="1" spans="1:6">
      <c r="A4238" s="15" t="s">
        <v>8209</v>
      </c>
      <c r="B4238" s="15" t="s">
        <v>8285</v>
      </c>
      <c r="C4238" s="15" t="s">
        <v>8345</v>
      </c>
      <c r="D4238" s="13">
        <v>2</v>
      </c>
      <c r="E4238" s="186" t="s">
        <v>8346</v>
      </c>
      <c r="F4238" s="13" t="s">
        <v>11</v>
      </c>
    </row>
    <row r="4239" ht="18" customHeight="1" spans="1:6">
      <c r="A4239" s="15" t="s">
        <v>8209</v>
      </c>
      <c r="B4239" s="15" t="s">
        <v>8285</v>
      </c>
      <c r="C4239" s="15" t="s">
        <v>8347</v>
      </c>
      <c r="D4239" s="13">
        <v>2</v>
      </c>
      <c r="E4239" s="15" t="s">
        <v>8348</v>
      </c>
      <c r="F4239" s="13" t="s">
        <v>11</v>
      </c>
    </row>
    <row r="4240" ht="18" customHeight="1" spans="1:6">
      <c r="A4240" s="15" t="s">
        <v>8209</v>
      </c>
      <c r="B4240" s="15" t="s">
        <v>8285</v>
      </c>
      <c r="C4240" s="15" t="s">
        <v>8349</v>
      </c>
      <c r="D4240" s="13">
        <v>3</v>
      </c>
      <c r="E4240" s="15" t="s">
        <v>8350</v>
      </c>
      <c r="F4240" s="13" t="s">
        <v>11</v>
      </c>
    </row>
    <row r="4241" ht="18" customHeight="1" spans="1:6">
      <c r="A4241" s="15" t="s">
        <v>8209</v>
      </c>
      <c r="B4241" s="15" t="s">
        <v>8285</v>
      </c>
      <c r="C4241" s="15" t="s">
        <v>8351</v>
      </c>
      <c r="D4241" s="13">
        <v>2</v>
      </c>
      <c r="E4241" s="15" t="s">
        <v>8352</v>
      </c>
      <c r="F4241" s="13" t="s">
        <v>11</v>
      </c>
    </row>
    <row r="4242" ht="18" customHeight="1" spans="1:6">
      <c r="A4242" s="15" t="s">
        <v>8209</v>
      </c>
      <c r="B4242" s="15" t="s">
        <v>8285</v>
      </c>
      <c r="C4242" s="15" t="s">
        <v>8353</v>
      </c>
      <c r="D4242" s="13">
        <v>5</v>
      </c>
      <c r="E4242" s="15" t="s">
        <v>8354</v>
      </c>
      <c r="F4242" s="13" t="s">
        <v>11</v>
      </c>
    </row>
    <row r="4243" ht="18" customHeight="1" spans="1:6">
      <c r="A4243" s="15" t="s">
        <v>8209</v>
      </c>
      <c r="B4243" s="15" t="s">
        <v>8285</v>
      </c>
      <c r="C4243" s="15" t="s">
        <v>8355</v>
      </c>
      <c r="D4243" s="13">
        <v>3</v>
      </c>
      <c r="E4243" s="15" t="s">
        <v>8356</v>
      </c>
      <c r="F4243" s="13" t="s">
        <v>11</v>
      </c>
    </row>
    <row r="4244" ht="18" customHeight="1" spans="1:6">
      <c r="A4244" s="15" t="s">
        <v>8209</v>
      </c>
      <c r="B4244" s="15" t="s">
        <v>8357</v>
      </c>
      <c r="C4244" s="9" t="s">
        <v>8358</v>
      </c>
      <c r="D4244" s="13">
        <v>3</v>
      </c>
      <c r="E4244" s="9" t="s">
        <v>8359</v>
      </c>
      <c r="F4244" s="13" t="s">
        <v>11</v>
      </c>
    </row>
    <row r="4245" ht="18" customHeight="1" spans="1:6">
      <c r="A4245" s="15" t="s">
        <v>8209</v>
      </c>
      <c r="B4245" s="15" t="s">
        <v>8357</v>
      </c>
      <c r="C4245" s="9" t="s">
        <v>8360</v>
      </c>
      <c r="D4245" s="13">
        <v>1</v>
      </c>
      <c r="E4245" s="9" t="s">
        <v>8361</v>
      </c>
      <c r="F4245" s="13" t="s">
        <v>11</v>
      </c>
    </row>
    <row r="4246" ht="18" customHeight="1" spans="1:6">
      <c r="A4246" s="15" t="s">
        <v>8209</v>
      </c>
      <c r="B4246" s="15" t="s">
        <v>8357</v>
      </c>
      <c r="C4246" s="9" t="s">
        <v>8362</v>
      </c>
      <c r="D4246" s="13">
        <v>2</v>
      </c>
      <c r="E4246" s="9" t="s">
        <v>8363</v>
      </c>
      <c r="F4246" s="13" t="s">
        <v>11</v>
      </c>
    </row>
    <row r="4247" ht="18" customHeight="1" spans="1:6">
      <c r="A4247" s="15" t="s">
        <v>8209</v>
      </c>
      <c r="B4247" s="15" t="s">
        <v>8357</v>
      </c>
      <c r="C4247" s="9" t="s">
        <v>8364</v>
      </c>
      <c r="D4247" s="13">
        <v>2</v>
      </c>
      <c r="E4247" s="9" t="s">
        <v>8365</v>
      </c>
      <c r="F4247" s="13" t="s">
        <v>11</v>
      </c>
    </row>
    <row r="4248" ht="18" customHeight="1" spans="1:6">
      <c r="A4248" s="15" t="s">
        <v>8209</v>
      </c>
      <c r="B4248" s="15" t="s">
        <v>8357</v>
      </c>
      <c r="C4248" s="9" t="s">
        <v>8366</v>
      </c>
      <c r="D4248" s="13">
        <v>2</v>
      </c>
      <c r="E4248" s="9" t="s">
        <v>8367</v>
      </c>
      <c r="F4248" s="13" t="s">
        <v>11</v>
      </c>
    </row>
    <row r="4249" ht="18" customHeight="1" spans="1:6">
      <c r="A4249" s="15" t="s">
        <v>8209</v>
      </c>
      <c r="B4249" s="15" t="s">
        <v>8357</v>
      </c>
      <c r="C4249" s="9" t="s">
        <v>8368</v>
      </c>
      <c r="D4249" s="13">
        <v>2</v>
      </c>
      <c r="E4249" s="9" t="s">
        <v>8369</v>
      </c>
      <c r="F4249" s="13" t="s">
        <v>11</v>
      </c>
    </row>
    <row r="4250" ht="18" customHeight="1" spans="1:6">
      <c r="A4250" s="15" t="s">
        <v>8209</v>
      </c>
      <c r="B4250" s="15" t="s">
        <v>8357</v>
      </c>
      <c r="C4250" s="9" t="s">
        <v>8370</v>
      </c>
      <c r="D4250" s="13">
        <v>1</v>
      </c>
      <c r="E4250" s="9" t="s">
        <v>8371</v>
      </c>
      <c r="F4250" s="13" t="s">
        <v>11</v>
      </c>
    </row>
    <row r="4251" ht="18" customHeight="1" spans="1:6">
      <c r="A4251" s="15" t="s">
        <v>8209</v>
      </c>
      <c r="B4251" s="15" t="s">
        <v>8357</v>
      </c>
      <c r="C4251" s="9" t="s">
        <v>8372</v>
      </c>
      <c r="D4251" s="13">
        <v>3</v>
      </c>
      <c r="E4251" s="9" t="s">
        <v>8373</v>
      </c>
      <c r="F4251" s="13" t="s">
        <v>11</v>
      </c>
    </row>
    <row r="4252" ht="18" customHeight="1" spans="1:6">
      <c r="A4252" s="15" t="s">
        <v>8209</v>
      </c>
      <c r="B4252" s="15" t="s">
        <v>8357</v>
      </c>
      <c r="C4252" s="9" t="s">
        <v>8374</v>
      </c>
      <c r="D4252" s="13">
        <v>4</v>
      </c>
      <c r="E4252" s="9" t="s">
        <v>8375</v>
      </c>
      <c r="F4252" s="13" t="s">
        <v>11</v>
      </c>
    </row>
    <row r="4253" ht="18" customHeight="1" spans="1:6">
      <c r="A4253" s="15" t="s">
        <v>8209</v>
      </c>
      <c r="B4253" s="15" t="s">
        <v>8357</v>
      </c>
      <c r="C4253" s="9" t="s">
        <v>8376</v>
      </c>
      <c r="D4253" s="13">
        <v>2</v>
      </c>
      <c r="E4253" s="9" t="s">
        <v>8377</v>
      </c>
      <c r="F4253" s="13" t="s">
        <v>11</v>
      </c>
    </row>
    <row r="4254" ht="18" customHeight="1" spans="1:6">
      <c r="A4254" s="15" t="s">
        <v>8209</v>
      </c>
      <c r="B4254" s="15" t="s">
        <v>8357</v>
      </c>
      <c r="C4254" s="9" t="s">
        <v>8378</v>
      </c>
      <c r="D4254" s="13">
        <v>3</v>
      </c>
      <c r="E4254" s="9" t="s">
        <v>8379</v>
      </c>
      <c r="F4254" s="13" t="s">
        <v>11</v>
      </c>
    </row>
    <row r="4255" ht="18" customHeight="1" spans="1:6">
      <c r="A4255" s="15" t="s">
        <v>8209</v>
      </c>
      <c r="B4255" s="15" t="s">
        <v>8357</v>
      </c>
      <c r="C4255" s="9" t="s">
        <v>8380</v>
      </c>
      <c r="D4255" s="13">
        <v>1</v>
      </c>
      <c r="E4255" s="9" t="s">
        <v>8381</v>
      </c>
      <c r="F4255" s="13" t="s">
        <v>11</v>
      </c>
    </row>
    <row r="4256" ht="18" customHeight="1" spans="1:6">
      <c r="A4256" s="15" t="s">
        <v>8209</v>
      </c>
      <c r="B4256" s="15" t="s">
        <v>8357</v>
      </c>
      <c r="C4256" s="9" t="s">
        <v>8382</v>
      </c>
      <c r="D4256" s="13">
        <v>1</v>
      </c>
      <c r="E4256" s="9" t="s">
        <v>8383</v>
      </c>
      <c r="F4256" s="13" t="s">
        <v>11</v>
      </c>
    </row>
    <row r="4257" ht="18" customHeight="1" spans="1:6">
      <c r="A4257" s="15" t="s">
        <v>8209</v>
      </c>
      <c r="B4257" s="15" t="s">
        <v>8357</v>
      </c>
      <c r="C4257" s="9" t="s">
        <v>8384</v>
      </c>
      <c r="D4257" s="13">
        <v>1</v>
      </c>
      <c r="E4257" s="9" t="s">
        <v>8385</v>
      </c>
      <c r="F4257" s="13" t="s">
        <v>11</v>
      </c>
    </row>
    <row r="4258" ht="18" customHeight="1" spans="1:6">
      <c r="A4258" s="15" t="s">
        <v>8209</v>
      </c>
      <c r="B4258" s="15" t="s">
        <v>8357</v>
      </c>
      <c r="C4258" s="9" t="s">
        <v>8386</v>
      </c>
      <c r="D4258" s="13">
        <v>3</v>
      </c>
      <c r="E4258" s="9" t="s">
        <v>8387</v>
      </c>
      <c r="F4258" s="13" t="s">
        <v>11</v>
      </c>
    </row>
    <row r="4259" ht="18" customHeight="1" spans="1:6">
      <c r="A4259" s="15" t="s">
        <v>8209</v>
      </c>
      <c r="B4259" s="15" t="s">
        <v>8357</v>
      </c>
      <c r="C4259" s="9" t="s">
        <v>8388</v>
      </c>
      <c r="D4259" s="13">
        <v>2</v>
      </c>
      <c r="E4259" s="9" t="s">
        <v>8389</v>
      </c>
      <c r="F4259" s="13" t="s">
        <v>11</v>
      </c>
    </row>
    <row r="4260" ht="18" customHeight="1" spans="1:6">
      <c r="A4260" s="15" t="s">
        <v>8209</v>
      </c>
      <c r="B4260" s="15" t="s">
        <v>8357</v>
      </c>
      <c r="C4260" s="9" t="s">
        <v>8390</v>
      </c>
      <c r="D4260" s="13">
        <v>1</v>
      </c>
      <c r="E4260" s="9" t="s">
        <v>8391</v>
      </c>
      <c r="F4260" s="13" t="s">
        <v>11</v>
      </c>
    </row>
    <row r="4261" ht="18" customHeight="1" spans="1:6">
      <c r="A4261" s="15" t="s">
        <v>8209</v>
      </c>
      <c r="B4261" s="15" t="s">
        <v>8357</v>
      </c>
      <c r="C4261" s="9" t="s">
        <v>8392</v>
      </c>
      <c r="D4261" s="13">
        <v>4</v>
      </c>
      <c r="E4261" s="9" t="s">
        <v>8393</v>
      </c>
      <c r="F4261" s="13" t="s">
        <v>11</v>
      </c>
    </row>
    <row r="4262" ht="18" customHeight="1" spans="1:6">
      <c r="A4262" s="15" t="s">
        <v>8209</v>
      </c>
      <c r="B4262" s="15" t="s">
        <v>8357</v>
      </c>
      <c r="C4262" s="9" t="s">
        <v>8394</v>
      </c>
      <c r="D4262" s="13">
        <v>5</v>
      </c>
      <c r="E4262" s="9" t="s">
        <v>8395</v>
      </c>
      <c r="F4262" s="13" t="s">
        <v>11</v>
      </c>
    </row>
    <row r="4263" ht="18" customHeight="1" spans="1:6">
      <c r="A4263" s="15" t="s">
        <v>8209</v>
      </c>
      <c r="B4263" s="15" t="s">
        <v>8357</v>
      </c>
      <c r="C4263" s="9" t="s">
        <v>8396</v>
      </c>
      <c r="D4263" s="13">
        <v>3</v>
      </c>
      <c r="E4263" s="9" t="s">
        <v>8397</v>
      </c>
      <c r="F4263" s="13" t="s">
        <v>11</v>
      </c>
    </row>
    <row r="4264" ht="18" customHeight="1" spans="1:6">
      <c r="A4264" s="15" t="s">
        <v>8209</v>
      </c>
      <c r="B4264" s="15" t="s">
        <v>8357</v>
      </c>
      <c r="C4264" s="9" t="s">
        <v>8398</v>
      </c>
      <c r="D4264" s="13">
        <v>4</v>
      </c>
      <c r="E4264" s="9" t="s">
        <v>8399</v>
      </c>
      <c r="F4264" s="13" t="s">
        <v>11</v>
      </c>
    </row>
    <row r="4265" ht="18" customHeight="1" spans="1:6">
      <c r="A4265" s="15" t="s">
        <v>8209</v>
      </c>
      <c r="B4265" s="15" t="s">
        <v>8357</v>
      </c>
      <c r="C4265" s="9" t="s">
        <v>8400</v>
      </c>
      <c r="D4265" s="13">
        <v>4</v>
      </c>
      <c r="E4265" s="9" t="s">
        <v>8401</v>
      </c>
      <c r="F4265" s="13" t="s">
        <v>11</v>
      </c>
    </row>
    <row r="4266" ht="18" customHeight="1" spans="1:6">
      <c r="A4266" s="15" t="s">
        <v>8209</v>
      </c>
      <c r="B4266" s="15" t="s">
        <v>8357</v>
      </c>
      <c r="C4266" s="9" t="s">
        <v>6411</v>
      </c>
      <c r="D4266" s="13">
        <v>2</v>
      </c>
      <c r="E4266" s="9" t="s">
        <v>8402</v>
      </c>
      <c r="F4266" s="13" t="s">
        <v>11</v>
      </c>
    </row>
    <row r="4267" ht="18" customHeight="1" spans="1:6">
      <c r="A4267" s="15" t="s">
        <v>8209</v>
      </c>
      <c r="B4267" s="15" t="s">
        <v>8357</v>
      </c>
      <c r="C4267" s="9" t="s">
        <v>8403</v>
      </c>
      <c r="D4267" s="13">
        <v>2</v>
      </c>
      <c r="E4267" s="9" t="s">
        <v>8404</v>
      </c>
      <c r="F4267" s="13" t="s">
        <v>11</v>
      </c>
    </row>
    <row r="4268" ht="18" customHeight="1" spans="1:6">
      <c r="A4268" s="15" t="s">
        <v>8209</v>
      </c>
      <c r="B4268" s="15" t="s">
        <v>8357</v>
      </c>
      <c r="C4268" s="9" t="s">
        <v>8266</v>
      </c>
      <c r="D4268" s="13">
        <v>6</v>
      </c>
      <c r="E4268" s="9" t="s">
        <v>8405</v>
      </c>
      <c r="F4268" s="13" t="s">
        <v>11</v>
      </c>
    </row>
    <row r="4269" ht="18" customHeight="1" spans="1:6">
      <c r="A4269" s="15" t="s">
        <v>8209</v>
      </c>
      <c r="B4269" s="15" t="s">
        <v>8357</v>
      </c>
      <c r="C4269" s="9" t="s">
        <v>8406</v>
      </c>
      <c r="D4269" s="13">
        <v>3</v>
      </c>
      <c r="E4269" s="9" t="s">
        <v>8407</v>
      </c>
      <c r="F4269" s="13" t="s">
        <v>11</v>
      </c>
    </row>
    <row r="4270" ht="18" customHeight="1" spans="1:6">
      <c r="A4270" s="15" t="s">
        <v>8209</v>
      </c>
      <c r="B4270" s="15" t="s">
        <v>8357</v>
      </c>
      <c r="C4270" s="9" t="s">
        <v>8408</v>
      </c>
      <c r="D4270" s="13">
        <v>3</v>
      </c>
      <c r="E4270" s="9" t="s">
        <v>8409</v>
      </c>
      <c r="F4270" s="13" t="s">
        <v>11</v>
      </c>
    </row>
    <row r="4271" ht="18" customHeight="1" spans="1:6">
      <c r="A4271" s="15" t="s">
        <v>8209</v>
      </c>
      <c r="B4271" s="15" t="s">
        <v>8357</v>
      </c>
      <c r="C4271" s="9" t="s">
        <v>8410</v>
      </c>
      <c r="D4271" s="13">
        <v>4</v>
      </c>
      <c r="E4271" s="9" t="s">
        <v>8411</v>
      </c>
      <c r="F4271" s="13" t="s">
        <v>11</v>
      </c>
    </row>
    <row r="4272" ht="18" customHeight="1" spans="1:6">
      <c r="A4272" s="15" t="s">
        <v>8209</v>
      </c>
      <c r="B4272" s="15" t="s">
        <v>8357</v>
      </c>
      <c r="C4272" s="9" t="s">
        <v>8412</v>
      </c>
      <c r="D4272" s="13">
        <v>4</v>
      </c>
      <c r="E4272" s="9" t="s">
        <v>8413</v>
      </c>
      <c r="F4272" s="13" t="s">
        <v>11</v>
      </c>
    </row>
    <row r="4273" ht="18" customHeight="1" spans="1:6">
      <c r="A4273" s="15" t="s">
        <v>8209</v>
      </c>
      <c r="B4273" s="15" t="s">
        <v>8357</v>
      </c>
      <c r="C4273" s="9" t="s">
        <v>8414</v>
      </c>
      <c r="D4273" s="13">
        <v>6</v>
      </c>
      <c r="E4273" s="9" t="s">
        <v>8415</v>
      </c>
      <c r="F4273" s="13" t="s">
        <v>11</v>
      </c>
    </row>
    <row r="4274" ht="18" customHeight="1" spans="1:6">
      <c r="A4274" s="15" t="s">
        <v>8209</v>
      </c>
      <c r="B4274" s="15" t="s">
        <v>8357</v>
      </c>
      <c r="C4274" s="9" t="s">
        <v>8416</v>
      </c>
      <c r="D4274" s="13">
        <v>2</v>
      </c>
      <c r="E4274" s="9" t="s">
        <v>8417</v>
      </c>
      <c r="F4274" s="13" t="s">
        <v>11</v>
      </c>
    </row>
    <row r="4275" ht="18" customHeight="1" spans="1:6">
      <c r="A4275" s="15" t="s">
        <v>8209</v>
      </c>
      <c r="B4275" s="15" t="s">
        <v>8357</v>
      </c>
      <c r="C4275" s="9" t="s">
        <v>8418</v>
      </c>
      <c r="D4275" s="13">
        <v>2</v>
      </c>
      <c r="E4275" s="9" t="s">
        <v>8419</v>
      </c>
      <c r="F4275" s="13" t="s">
        <v>11</v>
      </c>
    </row>
    <row r="4276" ht="18" customHeight="1" spans="1:6">
      <c r="A4276" s="15" t="s">
        <v>8209</v>
      </c>
      <c r="B4276" s="15" t="s">
        <v>8357</v>
      </c>
      <c r="C4276" s="9" t="s">
        <v>8420</v>
      </c>
      <c r="D4276" s="13">
        <v>3</v>
      </c>
      <c r="E4276" s="9" t="s">
        <v>8421</v>
      </c>
      <c r="F4276" s="13" t="s">
        <v>11</v>
      </c>
    </row>
    <row r="4277" ht="18" customHeight="1" spans="1:6">
      <c r="A4277" s="15" t="s">
        <v>8209</v>
      </c>
      <c r="B4277" s="15" t="s">
        <v>8357</v>
      </c>
      <c r="C4277" s="9" t="s">
        <v>8422</v>
      </c>
      <c r="D4277" s="13">
        <v>4</v>
      </c>
      <c r="E4277" s="9" t="s">
        <v>8423</v>
      </c>
      <c r="F4277" s="13" t="s">
        <v>11</v>
      </c>
    </row>
    <row r="4278" ht="18" customHeight="1" spans="1:6">
      <c r="A4278" s="15" t="s">
        <v>8209</v>
      </c>
      <c r="B4278" s="15" t="s">
        <v>8357</v>
      </c>
      <c r="C4278" s="9" t="s">
        <v>8424</v>
      </c>
      <c r="D4278" s="13">
        <v>2</v>
      </c>
      <c r="E4278" s="9" t="s">
        <v>8425</v>
      </c>
      <c r="F4278" s="13" t="s">
        <v>11</v>
      </c>
    </row>
    <row r="4279" ht="18" customHeight="1" spans="1:6">
      <c r="A4279" s="15" t="s">
        <v>8209</v>
      </c>
      <c r="B4279" s="15" t="s">
        <v>8357</v>
      </c>
      <c r="C4279" s="9" t="s">
        <v>8426</v>
      </c>
      <c r="D4279" s="13">
        <v>3</v>
      </c>
      <c r="E4279" s="9" t="s">
        <v>8427</v>
      </c>
      <c r="F4279" s="13" t="s">
        <v>11</v>
      </c>
    </row>
    <row r="4280" ht="18" customHeight="1" spans="1:6">
      <c r="A4280" s="15" t="s">
        <v>8209</v>
      </c>
      <c r="B4280" s="15" t="s">
        <v>8357</v>
      </c>
      <c r="C4280" s="9" t="s">
        <v>8428</v>
      </c>
      <c r="D4280" s="13">
        <v>2</v>
      </c>
      <c r="E4280" s="9" t="s">
        <v>8429</v>
      </c>
      <c r="F4280" s="13" t="s">
        <v>11</v>
      </c>
    </row>
    <row r="4281" ht="18" customHeight="1" spans="1:6">
      <c r="A4281" s="15" t="s">
        <v>8209</v>
      </c>
      <c r="B4281" s="15" t="s">
        <v>8357</v>
      </c>
      <c r="C4281" s="9" t="s">
        <v>8430</v>
      </c>
      <c r="D4281" s="13">
        <v>3</v>
      </c>
      <c r="E4281" s="9" t="s">
        <v>8431</v>
      </c>
      <c r="F4281" s="13" t="s">
        <v>11</v>
      </c>
    </row>
    <row r="4282" ht="18" customHeight="1" spans="1:6">
      <c r="A4282" s="15" t="s">
        <v>8209</v>
      </c>
      <c r="B4282" s="15" t="s">
        <v>8357</v>
      </c>
      <c r="C4282" s="9" t="s">
        <v>8432</v>
      </c>
      <c r="D4282" s="13">
        <v>6</v>
      </c>
      <c r="E4282" s="9" t="s">
        <v>8433</v>
      </c>
      <c r="F4282" s="13" t="s">
        <v>11</v>
      </c>
    </row>
    <row r="4283" ht="18" customHeight="1" spans="1:6">
      <c r="A4283" s="15" t="s">
        <v>8209</v>
      </c>
      <c r="B4283" s="15" t="s">
        <v>8357</v>
      </c>
      <c r="C4283" s="9" t="s">
        <v>8434</v>
      </c>
      <c r="D4283" s="13">
        <v>1</v>
      </c>
      <c r="E4283" s="9" t="s">
        <v>8435</v>
      </c>
      <c r="F4283" s="13" t="s">
        <v>11</v>
      </c>
    </row>
    <row r="4284" ht="18" customHeight="1" spans="1:6">
      <c r="A4284" s="15" t="s">
        <v>8209</v>
      </c>
      <c r="B4284" s="15" t="s">
        <v>8357</v>
      </c>
      <c r="C4284" s="9" t="s">
        <v>8436</v>
      </c>
      <c r="D4284" s="13">
        <v>4</v>
      </c>
      <c r="E4284" s="9" t="s">
        <v>8437</v>
      </c>
      <c r="F4284" s="13" t="s">
        <v>11</v>
      </c>
    </row>
    <row r="4285" ht="18" customHeight="1" spans="1:6">
      <c r="A4285" s="15" t="s">
        <v>8209</v>
      </c>
      <c r="B4285" s="15" t="s">
        <v>8357</v>
      </c>
      <c r="C4285" s="9" t="s">
        <v>8438</v>
      </c>
      <c r="D4285" s="13">
        <v>4</v>
      </c>
      <c r="E4285" s="9" t="s">
        <v>8439</v>
      </c>
      <c r="F4285" s="13" t="s">
        <v>11</v>
      </c>
    </row>
    <row r="4286" ht="18" customHeight="1" spans="1:6">
      <c r="A4286" s="15" t="s">
        <v>8209</v>
      </c>
      <c r="B4286" s="15" t="s">
        <v>8357</v>
      </c>
      <c r="C4286" s="9" t="s">
        <v>8440</v>
      </c>
      <c r="D4286" s="13">
        <v>6</v>
      </c>
      <c r="E4286" s="9" t="s">
        <v>8441</v>
      </c>
      <c r="F4286" s="13" t="s">
        <v>11</v>
      </c>
    </row>
    <row r="4287" ht="18" customHeight="1" spans="1:6">
      <c r="A4287" s="15" t="s">
        <v>8209</v>
      </c>
      <c r="B4287" s="15" t="s">
        <v>8357</v>
      </c>
      <c r="C4287" s="9" t="s">
        <v>8442</v>
      </c>
      <c r="D4287" s="13">
        <v>1</v>
      </c>
      <c r="E4287" s="9" t="s">
        <v>8443</v>
      </c>
      <c r="F4287" s="13" t="s">
        <v>11</v>
      </c>
    </row>
    <row r="4288" ht="18" customHeight="1" spans="1:6">
      <c r="A4288" s="15" t="s">
        <v>8209</v>
      </c>
      <c r="B4288" s="15" t="s">
        <v>8357</v>
      </c>
      <c r="C4288" s="9" t="s">
        <v>8444</v>
      </c>
      <c r="D4288" s="13">
        <v>3</v>
      </c>
      <c r="E4288" s="9" t="s">
        <v>8445</v>
      </c>
      <c r="F4288" s="13" t="s">
        <v>11</v>
      </c>
    </row>
    <row r="4289" ht="18" customHeight="1" spans="1:6">
      <c r="A4289" s="15" t="s">
        <v>8209</v>
      </c>
      <c r="B4289" s="15" t="s">
        <v>8357</v>
      </c>
      <c r="C4289" s="9" t="s">
        <v>8446</v>
      </c>
      <c r="D4289" s="13">
        <v>2</v>
      </c>
      <c r="E4289" s="9" t="s">
        <v>8447</v>
      </c>
      <c r="F4289" s="13" t="s">
        <v>11</v>
      </c>
    </row>
    <row r="4290" ht="18" customHeight="1" spans="1:6">
      <c r="A4290" s="15" t="s">
        <v>8209</v>
      </c>
      <c r="B4290" s="15" t="s">
        <v>8357</v>
      </c>
      <c r="C4290" s="9" t="s">
        <v>8448</v>
      </c>
      <c r="D4290" s="13">
        <v>6</v>
      </c>
      <c r="E4290" s="9" t="s">
        <v>8449</v>
      </c>
      <c r="F4290" s="13" t="s">
        <v>11</v>
      </c>
    </row>
    <row r="4291" ht="18" customHeight="1" spans="1:6">
      <c r="A4291" s="15" t="s">
        <v>8209</v>
      </c>
      <c r="B4291" s="15" t="s">
        <v>8357</v>
      </c>
      <c r="C4291" s="9" t="s">
        <v>8450</v>
      </c>
      <c r="D4291" s="13">
        <v>4</v>
      </c>
      <c r="E4291" s="9" t="s">
        <v>8451</v>
      </c>
      <c r="F4291" s="13" t="s">
        <v>11</v>
      </c>
    </row>
    <row r="4292" ht="18" customHeight="1" spans="1:6">
      <c r="A4292" s="15" t="s">
        <v>8209</v>
      </c>
      <c r="B4292" s="15" t="s">
        <v>8357</v>
      </c>
      <c r="C4292" s="9" t="s">
        <v>8452</v>
      </c>
      <c r="D4292" s="13">
        <v>1</v>
      </c>
      <c r="E4292" s="9" t="s">
        <v>8453</v>
      </c>
      <c r="F4292" s="13" t="s">
        <v>11</v>
      </c>
    </row>
    <row r="4293" ht="18" customHeight="1" spans="1:6">
      <c r="A4293" s="15" t="s">
        <v>8209</v>
      </c>
      <c r="B4293" s="15" t="s">
        <v>8357</v>
      </c>
      <c r="C4293" s="9" t="s">
        <v>8454</v>
      </c>
      <c r="D4293" s="13">
        <v>1</v>
      </c>
      <c r="E4293" s="9" t="s">
        <v>8455</v>
      </c>
      <c r="F4293" s="13" t="s">
        <v>11</v>
      </c>
    </row>
    <row r="4294" ht="18" customHeight="1" spans="1:6">
      <c r="A4294" s="15" t="s">
        <v>8209</v>
      </c>
      <c r="B4294" s="15" t="s">
        <v>8357</v>
      </c>
      <c r="C4294" s="9" t="s">
        <v>8456</v>
      </c>
      <c r="D4294" s="13">
        <v>1</v>
      </c>
      <c r="E4294" s="9" t="s">
        <v>8457</v>
      </c>
      <c r="F4294" s="13" t="s">
        <v>11</v>
      </c>
    </row>
    <row r="4295" ht="18" customHeight="1" spans="1:6">
      <c r="A4295" s="15" t="s">
        <v>8209</v>
      </c>
      <c r="B4295" s="15" t="s">
        <v>8357</v>
      </c>
      <c r="C4295" s="9" t="s">
        <v>8458</v>
      </c>
      <c r="D4295" s="13">
        <v>1</v>
      </c>
      <c r="E4295" s="9" t="s">
        <v>8459</v>
      </c>
      <c r="F4295" s="13" t="s">
        <v>11</v>
      </c>
    </row>
    <row r="4296" ht="18" customHeight="1" spans="1:6">
      <c r="A4296" s="15" t="s">
        <v>8209</v>
      </c>
      <c r="B4296" s="15" t="s">
        <v>8357</v>
      </c>
      <c r="C4296" s="9" t="s">
        <v>8460</v>
      </c>
      <c r="D4296" s="13">
        <v>2</v>
      </c>
      <c r="E4296" s="9" t="s">
        <v>8461</v>
      </c>
      <c r="F4296" s="13" t="s">
        <v>11</v>
      </c>
    </row>
    <row r="4297" ht="18" customHeight="1" spans="1:6">
      <c r="A4297" s="15" t="s">
        <v>8209</v>
      </c>
      <c r="B4297" s="15" t="s">
        <v>8357</v>
      </c>
      <c r="C4297" s="9" t="s">
        <v>8462</v>
      </c>
      <c r="D4297" s="13">
        <v>3</v>
      </c>
      <c r="E4297" s="9" t="s">
        <v>8463</v>
      </c>
      <c r="F4297" s="13" t="s">
        <v>11</v>
      </c>
    </row>
    <row r="4298" ht="18" customHeight="1" spans="1:6">
      <c r="A4298" s="15" t="s">
        <v>8209</v>
      </c>
      <c r="B4298" s="15" t="s">
        <v>8357</v>
      </c>
      <c r="C4298" s="9" t="s">
        <v>8464</v>
      </c>
      <c r="D4298" s="13">
        <v>2</v>
      </c>
      <c r="E4298" s="9" t="s">
        <v>8465</v>
      </c>
      <c r="F4298" s="13" t="s">
        <v>11</v>
      </c>
    </row>
    <row r="4299" ht="18" customHeight="1" spans="1:6">
      <c r="A4299" s="15" t="s">
        <v>8209</v>
      </c>
      <c r="B4299" s="15" t="s">
        <v>8357</v>
      </c>
      <c r="C4299" s="9" t="s">
        <v>8466</v>
      </c>
      <c r="D4299" s="13">
        <v>6</v>
      </c>
      <c r="E4299" s="9" t="s">
        <v>8467</v>
      </c>
      <c r="F4299" s="13" t="s">
        <v>11</v>
      </c>
    </row>
    <row r="4300" ht="18" customHeight="1" spans="1:6">
      <c r="A4300" s="15" t="s">
        <v>8209</v>
      </c>
      <c r="B4300" s="15" t="s">
        <v>8357</v>
      </c>
      <c r="C4300" s="9" t="s">
        <v>8468</v>
      </c>
      <c r="D4300" s="13">
        <v>3</v>
      </c>
      <c r="E4300" s="9" t="s">
        <v>8469</v>
      </c>
      <c r="F4300" s="13" t="s">
        <v>11</v>
      </c>
    </row>
    <row r="4301" ht="18" customHeight="1" spans="1:6">
      <c r="A4301" s="15" t="s">
        <v>8209</v>
      </c>
      <c r="B4301" s="15" t="s">
        <v>8357</v>
      </c>
      <c r="C4301" s="9" t="s">
        <v>8470</v>
      </c>
      <c r="D4301" s="13">
        <v>1</v>
      </c>
      <c r="E4301" s="9" t="s">
        <v>8471</v>
      </c>
      <c r="F4301" s="13" t="s">
        <v>11</v>
      </c>
    </row>
    <row r="4302" ht="18" customHeight="1" spans="1:6">
      <c r="A4302" s="15" t="s">
        <v>8209</v>
      </c>
      <c r="B4302" s="15" t="s">
        <v>8357</v>
      </c>
      <c r="C4302" s="9" t="s">
        <v>8472</v>
      </c>
      <c r="D4302" s="13">
        <v>5</v>
      </c>
      <c r="E4302" s="9" t="s">
        <v>8473</v>
      </c>
      <c r="F4302" s="13" t="s">
        <v>11</v>
      </c>
    </row>
    <row r="4303" ht="18" customHeight="1" spans="1:6">
      <c r="A4303" s="15" t="s">
        <v>8209</v>
      </c>
      <c r="B4303" s="15" t="s">
        <v>8357</v>
      </c>
      <c r="C4303" s="9" t="s">
        <v>1412</v>
      </c>
      <c r="D4303" s="13">
        <v>1</v>
      </c>
      <c r="E4303" s="9" t="s">
        <v>8474</v>
      </c>
      <c r="F4303" s="13" t="s">
        <v>11</v>
      </c>
    </row>
    <row r="4304" ht="18" customHeight="1" spans="1:6">
      <c r="A4304" s="15" t="s">
        <v>8209</v>
      </c>
      <c r="B4304" s="15" t="s">
        <v>8357</v>
      </c>
      <c r="C4304" s="9" t="s">
        <v>8475</v>
      </c>
      <c r="D4304" s="13">
        <v>2</v>
      </c>
      <c r="E4304" s="9" t="s">
        <v>8476</v>
      </c>
      <c r="F4304" s="13" t="s">
        <v>11</v>
      </c>
    </row>
    <row r="4305" ht="18" customHeight="1" spans="1:6">
      <c r="A4305" s="15" t="s">
        <v>8209</v>
      </c>
      <c r="B4305" s="15" t="s">
        <v>8357</v>
      </c>
      <c r="C4305" s="9" t="s">
        <v>1897</v>
      </c>
      <c r="D4305" s="13">
        <v>4</v>
      </c>
      <c r="E4305" s="9" t="s">
        <v>8477</v>
      </c>
      <c r="F4305" s="13" t="s">
        <v>11</v>
      </c>
    </row>
    <row r="4306" ht="18" customHeight="1" spans="1:6">
      <c r="A4306" s="15" t="s">
        <v>8209</v>
      </c>
      <c r="B4306" s="15" t="s">
        <v>8357</v>
      </c>
      <c r="C4306" s="9" t="s">
        <v>8478</v>
      </c>
      <c r="D4306" s="13">
        <v>4</v>
      </c>
      <c r="E4306" s="9" t="s">
        <v>8479</v>
      </c>
      <c r="F4306" s="13" t="s">
        <v>11</v>
      </c>
    </row>
    <row r="4307" ht="18" customHeight="1" spans="1:6">
      <c r="A4307" s="15" t="s">
        <v>8209</v>
      </c>
      <c r="B4307" s="15" t="s">
        <v>8357</v>
      </c>
      <c r="C4307" s="9" t="s">
        <v>8480</v>
      </c>
      <c r="D4307" s="13">
        <v>3</v>
      </c>
      <c r="E4307" s="9" t="s">
        <v>8481</v>
      </c>
      <c r="F4307" s="13" t="s">
        <v>11</v>
      </c>
    </row>
    <row r="4308" ht="18" customHeight="1" spans="1:6">
      <c r="A4308" s="15" t="s">
        <v>8209</v>
      </c>
      <c r="B4308" s="15" t="s">
        <v>8357</v>
      </c>
      <c r="C4308" s="9" t="s">
        <v>8482</v>
      </c>
      <c r="D4308" s="13">
        <v>6</v>
      </c>
      <c r="E4308" s="9" t="s">
        <v>8483</v>
      </c>
      <c r="F4308" s="13" t="s">
        <v>11</v>
      </c>
    </row>
    <row r="4309" ht="18" customHeight="1" spans="1:6">
      <c r="A4309" s="15" t="s">
        <v>8209</v>
      </c>
      <c r="B4309" s="15" t="s">
        <v>8357</v>
      </c>
      <c r="C4309" s="9" t="s">
        <v>8484</v>
      </c>
      <c r="D4309" s="13">
        <v>4</v>
      </c>
      <c r="E4309" s="9" t="s">
        <v>8485</v>
      </c>
      <c r="F4309" s="13" t="s">
        <v>11</v>
      </c>
    </row>
    <row r="4310" ht="18" customHeight="1" spans="1:6">
      <c r="A4310" s="15" t="s">
        <v>8209</v>
      </c>
      <c r="B4310" s="15" t="s">
        <v>8357</v>
      </c>
      <c r="C4310" s="9" t="s">
        <v>8486</v>
      </c>
      <c r="D4310" s="13">
        <v>4</v>
      </c>
      <c r="E4310" s="9" t="s">
        <v>8487</v>
      </c>
      <c r="F4310" s="13" t="s">
        <v>11</v>
      </c>
    </row>
    <row r="4311" ht="18" customHeight="1" spans="1:6">
      <c r="A4311" s="15" t="s">
        <v>8209</v>
      </c>
      <c r="B4311" s="15" t="s">
        <v>8357</v>
      </c>
      <c r="C4311" s="9" t="s">
        <v>8488</v>
      </c>
      <c r="D4311" s="13">
        <v>1</v>
      </c>
      <c r="E4311" s="9" t="s">
        <v>8489</v>
      </c>
      <c r="F4311" s="13" t="s">
        <v>11</v>
      </c>
    </row>
    <row r="4312" ht="18" customHeight="1" spans="1:6">
      <c r="A4312" s="15" t="s">
        <v>8209</v>
      </c>
      <c r="B4312" s="15" t="s">
        <v>8357</v>
      </c>
      <c r="C4312" s="9" t="s">
        <v>8490</v>
      </c>
      <c r="D4312" s="13">
        <v>1</v>
      </c>
      <c r="E4312" s="9" t="s">
        <v>8491</v>
      </c>
      <c r="F4312" s="13" t="s">
        <v>11</v>
      </c>
    </row>
    <row r="4313" ht="18" customHeight="1" spans="1:6">
      <c r="A4313" s="15" t="s">
        <v>8209</v>
      </c>
      <c r="B4313" s="15" t="s">
        <v>8357</v>
      </c>
      <c r="C4313" s="9" t="s">
        <v>7602</v>
      </c>
      <c r="D4313" s="13">
        <v>3</v>
      </c>
      <c r="E4313" s="9" t="s">
        <v>8492</v>
      </c>
      <c r="F4313" s="13" t="s">
        <v>11</v>
      </c>
    </row>
    <row r="4314" ht="18" customHeight="1" spans="1:6">
      <c r="A4314" s="15" t="s">
        <v>8209</v>
      </c>
      <c r="B4314" s="15" t="s">
        <v>8357</v>
      </c>
      <c r="C4314" s="9" t="s">
        <v>863</v>
      </c>
      <c r="D4314" s="13">
        <v>1</v>
      </c>
      <c r="E4314" s="9" t="s">
        <v>8493</v>
      </c>
      <c r="F4314" s="13" t="s">
        <v>11</v>
      </c>
    </row>
    <row r="4315" ht="18" customHeight="1" spans="1:6">
      <c r="A4315" s="15" t="s">
        <v>8209</v>
      </c>
      <c r="B4315" s="15" t="s">
        <v>8357</v>
      </c>
      <c r="C4315" s="9" t="s">
        <v>8494</v>
      </c>
      <c r="D4315" s="13">
        <v>1</v>
      </c>
      <c r="E4315" s="9" t="s">
        <v>8495</v>
      </c>
      <c r="F4315" s="13" t="s">
        <v>11</v>
      </c>
    </row>
    <row r="4316" ht="18" customHeight="1" spans="1:6">
      <c r="A4316" s="15" t="s">
        <v>8209</v>
      </c>
      <c r="B4316" s="15" t="s">
        <v>8357</v>
      </c>
      <c r="C4316" s="9" t="s">
        <v>8496</v>
      </c>
      <c r="D4316" s="13" t="s">
        <v>2065</v>
      </c>
      <c r="E4316" s="9" t="s">
        <v>8497</v>
      </c>
      <c r="F4316" s="13" t="s">
        <v>11</v>
      </c>
    </row>
    <row r="4317" ht="18" customHeight="1" spans="1:6">
      <c r="A4317" s="15" t="s">
        <v>8209</v>
      </c>
      <c r="B4317" s="15" t="s">
        <v>8357</v>
      </c>
      <c r="C4317" s="9" t="s">
        <v>8498</v>
      </c>
      <c r="D4317" s="13">
        <v>1</v>
      </c>
      <c r="E4317" s="9" t="s">
        <v>8499</v>
      </c>
      <c r="F4317" s="13" t="s">
        <v>11</v>
      </c>
    </row>
    <row r="4318" ht="18" customHeight="1" spans="1:6">
      <c r="A4318" s="15" t="s">
        <v>8209</v>
      </c>
      <c r="B4318" s="15" t="s">
        <v>8357</v>
      </c>
      <c r="C4318" s="9" t="s">
        <v>8500</v>
      </c>
      <c r="D4318" s="13">
        <v>2</v>
      </c>
      <c r="E4318" s="9" t="s">
        <v>8501</v>
      </c>
      <c r="F4318" s="13" t="s">
        <v>11</v>
      </c>
    </row>
    <row r="4319" ht="18" customHeight="1" spans="1:6">
      <c r="A4319" s="15" t="s">
        <v>8209</v>
      </c>
      <c r="B4319" s="15" t="s">
        <v>8357</v>
      </c>
      <c r="C4319" s="9" t="s">
        <v>8502</v>
      </c>
      <c r="D4319" s="13">
        <v>4</v>
      </c>
      <c r="E4319" s="9" t="s">
        <v>8503</v>
      </c>
      <c r="F4319" s="13" t="s">
        <v>11</v>
      </c>
    </row>
    <row r="4320" ht="18" customHeight="1" spans="1:6">
      <c r="A4320" s="15" t="s">
        <v>8209</v>
      </c>
      <c r="B4320" s="15" t="s">
        <v>8357</v>
      </c>
      <c r="C4320" s="9" t="s">
        <v>4414</v>
      </c>
      <c r="D4320" s="13">
        <v>1</v>
      </c>
      <c r="E4320" s="9" t="s">
        <v>8504</v>
      </c>
      <c r="F4320" s="13" t="s">
        <v>11</v>
      </c>
    </row>
    <row r="4321" ht="18" customHeight="1" spans="1:6">
      <c r="A4321" s="15" t="s">
        <v>8209</v>
      </c>
      <c r="B4321" s="15" t="s">
        <v>8357</v>
      </c>
      <c r="C4321" s="9" t="s">
        <v>8505</v>
      </c>
      <c r="D4321" s="13">
        <v>7</v>
      </c>
      <c r="E4321" s="9" t="s">
        <v>8506</v>
      </c>
      <c r="F4321" s="13" t="s">
        <v>11</v>
      </c>
    </row>
    <row r="4322" ht="18" customHeight="1" spans="1:6">
      <c r="A4322" s="15" t="s">
        <v>8209</v>
      </c>
      <c r="B4322" s="15" t="s">
        <v>8357</v>
      </c>
      <c r="C4322" s="9" t="s">
        <v>8507</v>
      </c>
      <c r="D4322" s="13">
        <v>3</v>
      </c>
      <c r="E4322" s="9" t="s">
        <v>8508</v>
      </c>
      <c r="F4322" s="13" t="s">
        <v>11</v>
      </c>
    </row>
    <row r="4323" ht="18" customHeight="1" spans="1:6">
      <c r="A4323" s="15" t="s">
        <v>8209</v>
      </c>
      <c r="B4323" s="15" t="s">
        <v>8357</v>
      </c>
      <c r="C4323" s="9" t="s">
        <v>8509</v>
      </c>
      <c r="D4323" s="13">
        <v>2</v>
      </c>
      <c r="E4323" s="9" t="s">
        <v>8510</v>
      </c>
      <c r="F4323" s="13" t="s">
        <v>11</v>
      </c>
    </row>
    <row r="4324" ht="18" customHeight="1" spans="1:6">
      <c r="A4324" s="15" t="s">
        <v>8209</v>
      </c>
      <c r="B4324" s="15" t="s">
        <v>8357</v>
      </c>
      <c r="C4324" s="9" t="s">
        <v>8511</v>
      </c>
      <c r="D4324" s="13">
        <v>3</v>
      </c>
      <c r="E4324" s="9" t="s">
        <v>8512</v>
      </c>
      <c r="F4324" s="13" t="s">
        <v>11</v>
      </c>
    </row>
    <row r="4325" ht="18" customHeight="1" spans="1:6">
      <c r="A4325" s="15" t="s">
        <v>8209</v>
      </c>
      <c r="B4325" s="15" t="s">
        <v>8357</v>
      </c>
      <c r="C4325" s="9" t="s">
        <v>8513</v>
      </c>
      <c r="D4325" s="13">
        <v>2</v>
      </c>
      <c r="E4325" s="9" t="s">
        <v>8514</v>
      </c>
      <c r="F4325" s="13" t="s">
        <v>11</v>
      </c>
    </row>
    <row r="4326" ht="18" customHeight="1" spans="1:6">
      <c r="A4326" s="15" t="s">
        <v>8209</v>
      </c>
      <c r="B4326" s="15" t="s">
        <v>8357</v>
      </c>
      <c r="C4326" s="9" t="s">
        <v>7931</v>
      </c>
      <c r="D4326" s="13">
        <v>1</v>
      </c>
      <c r="E4326" s="9" t="s">
        <v>8515</v>
      </c>
      <c r="F4326" s="13" t="s">
        <v>11</v>
      </c>
    </row>
    <row r="4327" ht="18" customHeight="1" spans="1:6">
      <c r="A4327" s="15" t="s">
        <v>8209</v>
      </c>
      <c r="B4327" s="15" t="s">
        <v>8357</v>
      </c>
      <c r="C4327" s="9" t="s">
        <v>8516</v>
      </c>
      <c r="D4327" s="13">
        <v>3</v>
      </c>
      <c r="E4327" s="9" t="s">
        <v>8517</v>
      </c>
      <c r="F4327" s="13" t="s">
        <v>11</v>
      </c>
    </row>
    <row r="4328" ht="18" customHeight="1" spans="1:6">
      <c r="A4328" s="15" t="s">
        <v>8209</v>
      </c>
      <c r="B4328" s="15" t="s">
        <v>8357</v>
      </c>
      <c r="C4328" s="6" t="s">
        <v>8518</v>
      </c>
      <c r="D4328" s="13">
        <v>5</v>
      </c>
      <c r="E4328" s="6" t="s">
        <v>8519</v>
      </c>
      <c r="F4328" s="13" t="s">
        <v>11</v>
      </c>
    </row>
    <row r="4329" ht="18" customHeight="1" spans="1:6">
      <c r="A4329" s="15" t="s">
        <v>8209</v>
      </c>
      <c r="B4329" s="15" t="s">
        <v>8357</v>
      </c>
      <c r="C4329" s="6" t="s">
        <v>8520</v>
      </c>
      <c r="D4329" s="13">
        <v>4</v>
      </c>
      <c r="E4329" s="6" t="s">
        <v>8521</v>
      </c>
      <c r="F4329" s="13" t="s">
        <v>11</v>
      </c>
    </row>
    <row r="4330" ht="18" customHeight="1" spans="1:6">
      <c r="A4330" s="15" t="s">
        <v>8209</v>
      </c>
      <c r="B4330" s="15" t="s">
        <v>8357</v>
      </c>
      <c r="C4330" s="6" t="s">
        <v>8522</v>
      </c>
      <c r="D4330" s="13">
        <v>2</v>
      </c>
      <c r="E4330" s="6" t="s">
        <v>8523</v>
      </c>
      <c r="F4330" s="13" t="s">
        <v>11</v>
      </c>
    </row>
    <row r="4331" ht="18" customHeight="1" spans="1:6">
      <c r="A4331" s="15" t="s">
        <v>8209</v>
      </c>
      <c r="B4331" s="15" t="s">
        <v>8357</v>
      </c>
      <c r="C4331" s="6" t="s">
        <v>8524</v>
      </c>
      <c r="D4331" s="13">
        <v>1</v>
      </c>
      <c r="E4331" s="6" t="s">
        <v>8525</v>
      </c>
      <c r="F4331" s="13" t="s">
        <v>11</v>
      </c>
    </row>
    <row r="4332" ht="18" customHeight="1" spans="1:6">
      <c r="A4332" s="15" t="s">
        <v>8209</v>
      </c>
      <c r="B4332" s="15" t="s">
        <v>8357</v>
      </c>
      <c r="C4332" s="6" t="s">
        <v>8526</v>
      </c>
      <c r="D4332" s="13">
        <v>2</v>
      </c>
      <c r="E4332" s="6" t="s">
        <v>8527</v>
      </c>
      <c r="F4332" s="13" t="s">
        <v>11</v>
      </c>
    </row>
    <row r="4333" ht="18" customHeight="1" spans="1:6">
      <c r="A4333" s="15" t="s">
        <v>8209</v>
      </c>
      <c r="B4333" s="15" t="s">
        <v>8357</v>
      </c>
      <c r="C4333" s="6" t="s">
        <v>8528</v>
      </c>
      <c r="D4333" s="13">
        <v>1</v>
      </c>
      <c r="E4333" s="6" t="s">
        <v>8529</v>
      </c>
      <c r="F4333" s="13" t="s">
        <v>11</v>
      </c>
    </row>
    <row r="4334" ht="18" customHeight="1" spans="1:6">
      <c r="A4334" s="15" t="s">
        <v>8209</v>
      </c>
      <c r="B4334" s="15" t="s">
        <v>8357</v>
      </c>
      <c r="C4334" s="6" t="s">
        <v>8530</v>
      </c>
      <c r="D4334" s="13">
        <v>1</v>
      </c>
      <c r="E4334" s="6" t="s">
        <v>8531</v>
      </c>
      <c r="F4334" s="13" t="s">
        <v>11</v>
      </c>
    </row>
    <row r="4335" ht="18" customHeight="1" spans="1:6">
      <c r="A4335" s="15" t="s">
        <v>8209</v>
      </c>
      <c r="B4335" s="15" t="s">
        <v>8357</v>
      </c>
      <c r="C4335" s="6" t="s">
        <v>8532</v>
      </c>
      <c r="D4335" s="13">
        <v>4</v>
      </c>
      <c r="E4335" s="6" t="s">
        <v>8533</v>
      </c>
      <c r="F4335" s="13" t="s">
        <v>11</v>
      </c>
    </row>
    <row r="4336" ht="18" customHeight="1" spans="1:6">
      <c r="A4336" s="15" t="s">
        <v>8209</v>
      </c>
      <c r="B4336" s="15" t="s">
        <v>8357</v>
      </c>
      <c r="C4336" s="6" t="s">
        <v>8534</v>
      </c>
      <c r="D4336" s="13">
        <v>2</v>
      </c>
      <c r="E4336" s="6" t="s">
        <v>8535</v>
      </c>
      <c r="F4336" s="13" t="s">
        <v>11</v>
      </c>
    </row>
    <row r="4337" ht="18" customHeight="1" spans="1:6">
      <c r="A4337" s="15" t="s">
        <v>8209</v>
      </c>
      <c r="B4337" s="15" t="s">
        <v>8357</v>
      </c>
      <c r="C4337" s="6" t="s">
        <v>8536</v>
      </c>
      <c r="D4337" s="13">
        <v>1</v>
      </c>
      <c r="E4337" s="6" t="s">
        <v>8537</v>
      </c>
      <c r="F4337" s="13" t="s">
        <v>11</v>
      </c>
    </row>
    <row r="4338" ht="18" customHeight="1" spans="1:6">
      <c r="A4338" s="15" t="s">
        <v>8209</v>
      </c>
      <c r="B4338" s="15" t="s">
        <v>8357</v>
      </c>
      <c r="C4338" s="15" t="s">
        <v>8538</v>
      </c>
      <c r="D4338" s="13">
        <v>7</v>
      </c>
      <c r="E4338" s="15" t="s">
        <v>8539</v>
      </c>
      <c r="F4338" s="13" t="s">
        <v>11</v>
      </c>
    </row>
    <row r="4339" ht="18" customHeight="1" spans="1:6">
      <c r="A4339" s="15" t="s">
        <v>8209</v>
      </c>
      <c r="B4339" s="15" t="s">
        <v>8540</v>
      </c>
      <c r="C4339" s="9" t="s">
        <v>8541</v>
      </c>
      <c r="D4339" s="13">
        <v>1</v>
      </c>
      <c r="E4339" s="11" t="s">
        <v>8542</v>
      </c>
      <c r="F4339" s="13" t="s">
        <v>11</v>
      </c>
    </row>
    <row r="4340" ht="18" customHeight="1" spans="1:6">
      <c r="A4340" s="15" t="s">
        <v>8209</v>
      </c>
      <c r="B4340" s="15" t="s">
        <v>8540</v>
      </c>
      <c r="C4340" s="11" t="s">
        <v>8543</v>
      </c>
      <c r="D4340" s="13">
        <v>1</v>
      </c>
      <c r="E4340" s="11" t="s">
        <v>8544</v>
      </c>
      <c r="F4340" s="13" t="s">
        <v>11</v>
      </c>
    </row>
    <row r="4341" ht="18" customHeight="1" spans="1:6">
      <c r="A4341" s="15" t="s">
        <v>8209</v>
      </c>
      <c r="B4341" s="15" t="s">
        <v>8540</v>
      </c>
      <c r="C4341" s="11" t="s">
        <v>8545</v>
      </c>
      <c r="D4341" s="13">
        <v>1</v>
      </c>
      <c r="E4341" s="11" t="s">
        <v>8546</v>
      </c>
      <c r="F4341" s="13" t="s">
        <v>11</v>
      </c>
    </row>
    <row r="4342" ht="18" customHeight="1" spans="1:6">
      <c r="A4342" s="15" t="s">
        <v>8209</v>
      </c>
      <c r="B4342" s="15" t="s">
        <v>8540</v>
      </c>
      <c r="C4342" s="15" t="s">
        <v>8547</v>
      </c>
      <c r="D4342" s="13">
        <v>1</v>
      </c>
      <c r="E4342" s="11" t="s">
        <v>8548</v>
      </c>
      <c r="F4342" s="13" t="s">
        <v>11</v>
      </c>
    </row>
    <row r="4343" ht="18" customHeight="1" spans="1:6">
      <c r="A4343" s="15" t="s">
        <v>8209</v>
      </c>
      <c r="B4343" s="15" t="s">
        <v>8540</v>
      </c>
      <c r="C4343" s="11" t="s">
        <v>8549</v>
      </c>
      <c r="D4343" s="13">
        <v>1</v>
      </c>
      <c r="E4343" s="11" t="s">
        <v>8550</v>
      </c>
      <c r="F4343" s="13" t="s">
        <v>11</v>
      </c>
    </row>
    <row r="4344" ht="18" customHeight="1" spans="1:6">
      <c r="A4344" s="15" t="s">
        <v>8209</v>
      </c>
      <c r="B4344" s="15" t="s">
        <v>8540</v>
      </c>
      <c r="C4344" s="15" t="s">
        <v>8551</v>
      </c>
      <c r="D4344" s="13">
        <v>6</v>
      </c>
      <c r="E4344" s="11" t="s">
        <v>8552</v>
      </c>
      <c r="F4344" s="13" t="s">
        <v>11</v>
      </c>
    </row>
    <row r="4345" ht="18" customHeight="1" spans="1:6">
      <c r="A4345" s="15" t="s">
        <v>8209</v>
      </c>
      <c r="B4345" s="15" t="s">
        <v>8540</v>
      </c>
      <c r="C4345" s="15" t="s">
        <v>8553</v>
      </c>
      <c r="D4345" s="13">
        <v>6</v>
      </c>
      <c r="E4345" s="11" t="s">
        <v>8554</v>
      </c>
      <c r="F4345" s="13" t="s">
        <v>11</v>
      </c>
    </row>
    <row r="4346" ht="18" customHeight="1" spans="1:6">
      <c r="A4346" s="15" t="s">
        <v>8209</v>
      </c>
      <c r="B4346" s="15" t="s">
        <v>8540</v>
      </c>
      <c r="C4346" s="11" t="s">
        <v>8266</v>
      </c>
      <c r="D4346" s="13">
        <v>6</v>
      </c>
      <c r="E4346" s="11" t="s">
        <v>8555</v>
      </c>
      <c r="F4346" s="13" t="s">
        <v>11</v>
      </c>
    </row>
    <row r="4347" ht="18" customHeight="1" spans="1:6">
      <c r="A4347" s="15" t="s">
        <v>8209</v>
      </c>
      <c r="B4347" s="15" t="s">
        <v>8540</v>
      </c>
      <c r="C4347" s="11" t="s">
        <v>8556</v>
      </c>
      <c r="D4347" s="13">
        <v>2</v>
      </c>
      <c r="E4347" s="11" t="s">
        <v>8557</v>
      </c>
      <c r="F4347" s="13" t="s">
        <v>11</v>
      </c>
    </row>
    <row r="4348" ht="18" customHeight="1" spans="1:6">
      <c r="A4348" s="15" t="s">
        <v>8209</v>
      </c>
      <c r="B4348" s="15" t="s">
        <v>8540</v>
      </c>
      <c r="C4348" s="11" t="s">
        <v>8558</v>
      </c>
      <c r="D4348" s="13">
        <v>3</v>
      </c>
      <c r="E4348" s="11" t="s">
        <v>8559</v>
      </c>
      <c r="F4348" s="13" t="s">
        <v>11</v>
      </c>
    </row>
    <row r="4349" ht="18" customHeight="1" spans="1:6">
      <c r="A4349" s="15" t="s">
        <v>8209</v>
      </c>
      <c r="B4349" s="15" t="s">
        <v>8540</v>
      </c>
      <c r="C4349" s="11" t="s">
        <v>8560</v>
      </c>
      <c r="D4349" s="13">
        <v>2</v>
      </c>
      <c r="E4349" s="11" t="s">
        <v>8561</v>
      </c>
      <c r="F4349" s="13" t="s">
        <v>11</v>
      </c>
    </row>
    <row r="4350" ht="18" customHeight="1" spans="1:6">
      <c r="A4350" s="15" t="s">
        <v>8209</v>
      </c>
      <c r="B4350" s="15" t="s">
        <v>8540</v>
      </c>
      <c r="C4350" s="11" t="s">
        <v>8562</v>
      </c>
      <c r="D4350" s="13">
        <v>2</v>
      </c>
      <c r="E4350" s="11" t="s">
        <v>8563</v>
      </c>
      <c r="F4350" s="13" t="s">
        <v>11</v>
      </c>
    </row>
    <row r="4351" ht="18" customHeight="1" spans="1:6">
      <c r="A4351" s="15" t="s">
        <v>8209</v>
      </c>
      <c r="B4351" s="15" t="s">
        <v>8540</v>
      </c>
      <c r="C4351" s="11" t="s">
        <v>8564</v>
      </c>
      <c r="D4351" s="13">
        <v>2</v>
      </c>
      <c r="E4351" s="11" t="s">
        <v>8565</v>
      </c>
      <c r="F4351" s="13" t="s">
        <v>11</v>
      </c>
    </row>
    <row r="4352" ht="18" customHeight="1" spans="1:6">
      <c r="A4352" s="15" t="s">
        <v>8209</v>
      </c>
      <c r="B4352" s="15" t="s">
        <v>8540</v>
      </c>
      <c r="C4352" s="15" t="s">
        <v>8566</v>
      </c>
      <c r="D4352" s="13">
        <v>2</v>
      </c>
      <c r="E4352" s="11" t="s">
        <v>8567</v>
      </c>
      <c r="F4352" s="13" t="s">
        <v>11</v>
      </c>
    </row>
    <row r="4353" ht="18" customHeight="1" spans="1:6">
      <c r="A4353" s="15" t="s">
        <v>8209</v>
      </c>
      <c r="B4353" s="15" t="s">
        <v>8540</v>
      </c>
      <c r="C4353" s="11" t="s">
        <v>8568</v>
      </c>
      <c r="D4353" s="13">
        <v>3</v>
      </c>
      <c r="E4353" s="11" t="s">
        <v>8569</v>
      </c>
      <c r="F4353" s="13" t="s">
        <v>11</v>
      </c>
    </row>
    <row r="4354" ht="18" customHeight="1" spans="1:6">
      <c r="A4354" s="15" t="s">
        <v>8209</v>
      </c>
      <c r="B4354" s="15" t="s">
        <v>8540</v>
      </c>
      <c r="C4354" s="11" t="s">
        <v>8570</v>
      </c>
      <c r="D4354" s="13">
        <v>3</v>
      </c>
      <c r="E4354" s="11" t="s">
        <v>8571</v>
      </c>
      <c r="F4354" s="13" t="s">
        <v>11</v>
      </c>
    </row>
    <row r="4355" ht="18" customHeight="1" spans="1:6">
      <c r="A4355" s="15" t="s">
        <v>8209</v>
      </c>
      <c r="B4355" s="15" t="s">
        <v>8540</v>
      </c>
      <c r="C4355" s="15" t="s">
        <v>8572</v>
      </c>
      <c r="D4355" s="13">
        <v>5</v>
      </c>
      <c r="E4355" s="11" t="s">
        <v>8573</v>
      </c>
      <c r="F4355" s="13" t="s">
        <v>11</v>
      </c>
    </row>
    <row r="4356" ht="18" customHeight="1" spans="1:6">
      <c r="A4356" s="15" t="s">
        <v>8209</v>
      </c>
      <c r="B4356" s="15" t="s">
        <v>8540</v>
      </c>
      <c r="C4356" s="11" t="s">
        <v>8574</v>
      </c>
      <c r="D4356" s="13">
        <v>4</v>
      </c>
      <c r="E4356" s="11" t="s">
        <v>8575</v>
      </c>
      <c r="F4356" s="13" t="s">
        <v>11</v>
      </c>
    </row>
    <row r="4357" ht="18" customHeight="1" spans="1:6">
      <c r="A4357" s="15" t="s">
        <v>8209</v>
      </c>
      <c r="B4357" s="15" t="s">
        <v>8540</v>
      </c>
      <c r="C4357" s="11" t="s">
        <v>8576</v>
      </c>
      <c r="D4357" s="13">
        <v>2</v>
      </c>
      <c r="E4357" s="11" t="s">
        <v>8577</v>
      </c>
      <c r="F4357" s="13" t="s">
        <v>11</v>
      </c>
    </row>
    <row r="4358" ht="18" customHeight="1" spans="1:6">
      <c r="A4358" s="15" t="s">
        <v>8209</v>
      </c>
      <c r="B4358" s="15" t="s">
        <v>8540</v>
      </c>
      <c r="C4358" s="15" t="s">
        <v>8578</v>
      </c>
      <c r="D4358" s="13">
        <v>1</v>
      </c>
      <c r="E4358" s="15" t="s">
        <v>8579</v>
      </c>
      <c r="F4358" s="13" t="s">
        <v>11</v>
      </c>
    </row>
    <row r="4359" ht="18" customHeight="1" spans="1:6">
      <c r="A4359" s="15" t="s">
        <v>8209</v>
      </c>
      <c r="B4359" s="15" t="s">
        <v>8580</v>
      </c>
      <c r="C4359" s="15" t="s">
        <v>8581</v>
      </c>
      <c r="D4359" s="13">
        <v>1</v>
      </c>
      <c r="E4359" s="11" t="s">
        <v>8582</v>
      </c>
      <c r="F4359" s="13" t="s">
        <v>11</v>
      </c>
    </row>
    <row r="4360" ht="18" customHeight="1" spans="1:6">
      <c r="A4360" s="15" t="s">
        <v>8209</v>
      </c>
      <c r="B4360" s="15" t="s">
        <v>8580</v>
      </c>
      <c r="C4360" s="15" t="s">
        <v>8290</v>
      </c>
      <c r="D4360" s="13">
        <v>1</v>
      </c>
      <c r="E4360" s="11" t="s">
        <v>8583</v>
      </c>
      <c r="F4360" s="13" t="s">
        <v>11</v>
      </c>
    </row>
    <row r="4361" ht="18" customHeight="1" spans="1:6">
      <c r="A4361" s="15" t="s">
        <v>8209</v>
      </c>
      <c r="B4361" s="15" t="s">
        <v>8580</v>
      </c>
      <c r="C4361" s="15" t="s">
        <v>8584</v>
      </c>
      <c r="D4361" s="13">
        <v>3</v>
      </c>
      <c r="E4361" s="11" t="s">
        <v>8585</v>
      </c>
      <c r="F4361" s="13" t="s">
        <v>11</v>
      </c>
    </row>
    <row r="4362" ht="18" customHeight="1" spans="1:6">
      <c r="A4362" s="15" t="s">
        <v>8209</v>
      </c>
      <c r="B4362" s="15" t="s">
        <v>8580</v>
      </c>
      <c r="C4362" s="15" t="s">
        <v>8586</v>
      </c>
      <c r="D4362" s="13">
        <v>2</v>
      </c>
      <c r="E4362" s="15" t="s">
        <v>8587</v>
      </c>
      <c r="F4362" s="13" t="s">
        <v>11</v>
      </c>
    </row>
    <row r="4363" ht="18" customHeight="1" spans="1:6">
      <c r="A4363" s="15" t="s">
        <v>8209</v>
      </c>
      <c r="B4363" s="15" t="s">
        <v>8580</v>
      </c>
      <c r="C4363" s="15" t="s">
        <v>8588</v>
      </c>
      <c r="D4363" s="13">
        <v>1</v>
      </c>
      <c r="E4363" s="11" t="s">
        <v>8589</v>
      </c>
      <c r="F4363" s="13" t="s">
        <v>11</v>
      </c>
    </row>
    <row r="4364" ht="18" customHeight="1" spans="1:6">
      <c r="A4364" s="15" t="s">
        <v>8209</v>
      </c>
      <c r="B4364" s="15" t="s">
        <v>8580</v>
      </c>
      <c r="C4364" s="15" t="s">
        <v>8590</v>
      </c>
      <c r="D4364" s="13">
        <v>1</v>
      </c>
      <c r="E4364" s="6" t="s">
        <v>8591</v>
      </c>
      <c r="F4364" s="13" t="s">
        <v>11</v>
      </c>
    </row>
    <row r="4365" ht="18" customHeight="1" spans="1:6">
      <c r="A4365" s="15" t="s">
        <v>8209</v>
      </c>
      <c r="B4365" s="15" t="s">
        <v>8580</v>
      </c>
      <c r="C4365" s="15" t="s">
        <v>8592</v>
      </c>
      <c r="D4365" s="13">
        <v>1</v>
      </c>
      <c r="E4365" s="11" t="s">
        <v>8593</v>
      </c>
      <c r="F4365" s="13" t="s">
        <v>11</v>
      </c>
    </row>
    <row r="4366" ht="18" customHeight="1" spans="1:6">
      <c r="A4366" s="15" t="s">
        <v>8209</v>
      </c>
      <c r="B4366" s="15" t="s">
        <v>8580</v>
      </c>
      <c r="C4366" s="15" t="s">
        <v>8594</v>
      </c>
      <c r="D4366" s="13">
        <v>1</v>
      </c>
      <c r="E4366" s="11" t="s">
        <v>8595</v>
      </c>
      <c r="F4366" s="13" t="s">
        <v>11</v>
      </c>
    </row>
    <row r="4367" ht="18" customHeight="1" spans="1:6">
      <c r="A4367" s="15" t="s">
        <v>8209</v>
      </c>
      <c r="B4367" s="15" t="s">
        <v>8580</v>
      </c>
      <c r="C4367" s="15" t="s">
        <v>8596</v>
      </c>
      <c r="D4367" s="13">
        <v>1</v>
      </c>
      <c r="E4367" s="11" t="s">
        <v>8597</v>
      </c>
      <c r="F4367" s="13" t="s">
        <v>11</v>
      </c>
    </row>
    <row r="4368" ht="18" customHeight="1" spans="1:6">
      <c r="A4368" s="15" t="s">
        <v>8209</v>
      </c>
      <c r="B4368" s="15" t="s">
        <v>8580</v>
      </c>
      <c r="C4368" s="15" t="s">
        <v>8598</v>
      </c>
      <c r="D4368" s="13">
        <v>1</v>
      </c>
      <c r="E4368" s="11" t="s">
        <v>8599</v>
      </c>
      <c r="F4368" s="13" t="s">
        <v>11</v>
      </c>
    </row>
    <row r="4369" ht="18" customHeight="1" spans="1:6">
      <c r="A4369" s="15" t="s">
        <v>8209</v>
      </c>
      <c r="B4369" s="15" t="s">
        <v>8580</v>
      </c>
      <c r="C4369" s="15" t="s">
        <v>8600</v>
      </c>
      <c r="D4369" s="13">
        <v>1</v>
      </c>
      <c r="E4369" s="11" t="s">
        <v>8601</v>
      </c>
      <c r="F4369" s="13" t="s">
        <v>11</v>
      </c>
    </row>
    <row r="4370" ht="18" customHeight="1" spans="1:6">
      <c r="A4370" s="15" t="s">
        <v>8209</v>
      </c>
      <c r="B4370" s="15" t="s">
        <v>8580</v>
      </c>
      <c r="C4370" s="15" t="s">
        <v>8602</v>
      </c>
      <c r="D4370" s="13">
        <v>2</v>
      </c>
      <c r="E4370" s="11" t="s">
        <v>8603</v>
      </c>
      <c r="F4370" s="13" t="s">
        <v>11</v>
      </c>
    </row>
    <row r="4371" ht="18" customHeight="1" spans="1:6">
      <c r="A4371" s="15" t="s">
        <v>8209</v>
      </c>
      <c r="B4371" s="15" t="s">
        <v>8580</v>
      </c>
      <c r="C4371" s="15" t="s">
        <v>8604</v>
      </c>
      <c r="D4371" s="13">
        <v>2</v>
      </c>
      <c r="E4371" s="11" t="s">
        <v>8605</v>
      </c>
      <c r="F4371" s="13" t="s">
        <v>11</v>
      </c>
    </row>
    <row r="4372" ht="18" customHeight="1" spans="1:6">
      <c r="A4372" s="15" t="s">
        <v>8209</v>
      </c>
      <c r="B4372" s="15" t="s">
        <v>8580</v>
      </c>
      <c r="C4372" s="15" t="s">
        <v>8606</v>
      </c>
      <c r="D4372" s="13">
        <v>4</v>
      </c>
      <c r="E4372" s="11" t="s">
        <v>8607</v>
      </c>
      <c r="F4372" s="13" t="s">
        <v>11</v>
      </c>
    </row>
    <row r="4373" ht="18" customHeight="1" spans="1:6">
      <c r="A4373" s="15" t="s">
        <v>8209</v>
      </c>
      <c r="B4373" s="15" t="s">
        <v>8580</v>
      </c>
      <c r="C4373" s="15" t="s">
        <v>8608</v>
      </c>
      <c r="D4373" s="13">
        <v>1</v>
      </c>
      <c r="E4373" s="11" t="s">
        <v>8609</v>
      </c>
      <c r="F4373" s="13" t="s">
        <v>11</v>
      </c>
    </row>
    <row r="4374" ht="18" customHeight="1" spans="1:6">
      <c r="A4374" s="15" t="s">
        <v>8209</v>
      </c>
      <c r="B4374" s="15" t="s">
        <v>8580</v>
      </c>
      <c r="C4374" s="15" t="s">
        <v>8610</v>
      </c>
      <c r="D4374" s="13">
        <v>2</v>
      </c>
      <c r="E4374" s="11" t="s">
        <v>8611</v>
      </c>
      <c r="F4374" s="13" t="s">
        <v>11</v>
      </c>
    </row>
    <row r="4375" ht="18" customHeight="1" spans="1:6">
      <c r="A4375" s="15" t="s">
        <v>8209</v>
      </c>
      <c r="B4375" s="15" t="s">
        <v>8580</v>
      </c>
      <c r="C4375" s="15" t="s">
        <v>8612</v>
      </c>
      <c r="D4375" s="13">
        <v>2</v>
      </c>
      <c r="E4375" s="11" t="s">
        <v>8613</v>
      </c>
      <c r="F4375" s="13" t="s">
        <v>11</v>
      </c>
    </row>
    <row r="4376" ht="18" customHeight="1" spans="1:6">
      <c r="A4376" s="15" t="s">
        <v>8209</v>
      </c>
      <c r="B4376" s="15" t="s">
        <v>8580</v>
      </c>
      <c r="C4376" s="15" t="s">
        <v>8614</v>
      </c>
      <c r="D4376" s="13">
        <v>4</v>
      </c>
      <c r="E4376" s="11" t="s">
        <v>8615</v>
      </c>
      <c r="F4376" s="13" t="s">
        <v>11</v>
      </c>
    </row>
    <row r="4377" ht="18" customHeight="1" spans="1:6">
      <c r="A4377" s="15" t="s">
        <v>8209</v>
      </c>
      <c r="B4377" s="15" t="s">
        <v>8580</v>
      </c>
      <c r="C4377" s="15" t="s">
        <v>8616</v>
      </c>
      <c r="D4377" s="13">
        <v>4</v>
      </c>
      <c r="E4377" s="11" t="s">
        <v>8617</v>
      </c>
      <c r="F4377" s="13" t="s">
        <v>11</v>
      </c>
    </row>
    <row r="4378" ht="18" customHeight="1" spans="1:6">
      <c r="A4378" s="15" t="s">
        <v>8209</v>
      </c>
      <c r="B4378" s="15" t="s">
        <v>8580</v>
      </c>
      <c r="C4378" s="15" t="s">
        <v>8618</v>
      </c>
      <c r="D4378" s="13">
        <v>3</v>
      </c>
      <c r="E4378" s="11" t="s">
        <v>8619</v>
      </c>
      <c r="F4378" s="13" t="s">
        <v>11</v>
      </c>
    </row>
    <row r="4379" ht="18" customHeight="1" spans="1:6">
      <c r="A4379" s="15" t="s">
        <v>8209</v>
      </c>
      <c r="B4379" s="15" t="s">
        <v>8580</v>
      </c>
      <c r="C4379" s="15" t="s">
        <v>8620</v>
      </c>
      <c r="D4379" s="13">
        <v>1</v>
      </c>
      <c r="E4379" s="11" t="s">
        <v>8621</v>
      </c>
      <c r="F4379" s="13" t="s">
        <v>11</v>
      </c>
    </row>
    <row r="4380" ht="18" customHeight="1" spans="1:6">
      <c r="A4380" s="15" t="s">
        <v>8209</v>
      </c>
      <c r="B4380" s="15" t="s">
        <v>8580</v>
      </c>
      <c r="C4380" s="15" t="s">
        <v>8622</v>
      </c>
      <c r="D4380" s="13">
        <v>2</v>
      </c>
      <c r="E4380" s="11" t="s">
        <v>8623</v>
      </c>
      <c r="F4380" s="13" t="s">
        <v>11</v>
      </c>
    </row>
    <row r="4381" ht="18" customHeight="1" spans="1:6">
      <c r="A4381" s="15" t="s">
        <v>8209</v>
      </c>
      <c r="B4381" s="15" t="s">
        <v>8580</v>
      </c>
      <c r="C4381" s="15" t="s">
        <v>8624</v>
      </c>
      <c r="D4381" s="13">
        <v>3</v>
      </c>
      <c r="E4381" s="11" t="s">
        <v>8625</v>
      </c>
      <c r="F4381" s="13" t="s">
        <v>11</v>
      </c>
    </row>
    <row r="4382" ht="18" customHeight="1" spans="1:6">
      <c r="A4382" s="15" t="s">
        <v>8209</v>
      </c>
      <c r="B4382" s="15" t="s">
        <v>8580</v>
      </c>
      <c r="C4382" s="15" t="s">
        <v>8626</v>
      </c>
      <c r="D4382" s="13">
        <v>1</v>
      </c>
      <c r="E4382" s="11" t="s">
        <v>8627</v>
      </c>
      <c r="F4382" s="13" t="s">
        <v>11</v>
      </c>
    </row>
    <row r="4383" ht="18" customHeight="1" spans="1:6">
      <c r="A4383" s="15" t="s">
        <v>8209</v>
      </c>
      <c r="B4383" s="15" t="s">
        <v>8580</v>
      </c>
      <c r="C4383" s="15" t="s">
        <v>8628</v>
      </c>
      <c r="D4383" s="13">
        <v>2</v>
      </c>
      <c r="E4383" s="11" t="s">
        <v>8629</v>
      </c>
      <c r="F4383" s="13" t="s">
        <v>11</v>
      </c>
    </row>
    <row r="4384" ht="18" customHeight="1" spans="1:6">
      <c r="A4384" s="15" t="s">
        <v>8209</v>
      </c>
      <c r="B4384" s="15" t="s">
        <v>8580</v>
      </c>
      <c r="C4384" s="15" t="s">
        <v>8630</v>
      </c>
      <c r="D4384" s="13">
        <v>2</v>
      </c>
      <c r="E4384" s="11" t="s">
        <v>8631</v>
      </c>
      <c r="F4384" s="13" t="s">
        <v>11</v>
      </c>
    </row>
    <row r="4385" ht="18" customHeight="1" spans="1:6">
      <c r="A4385" s="15" t="s">
        <v>8209</v>
      </c>
      <c r="B4385" s="15" t="s">
        <v>8580</v>
      </c>
      <c r="C4385" s="15" t="s">
        <v>8632</v>
      </c>
      <c r="D4385" s="13">
        <v>3</v>
      </c>
      <c r="E4385" s="6" t="s">
        <v>8633</v>
      </c>
      <c r="F4385" s="13" t="s">
        <v>11</v>
      </c>
    </row>
    <row r="4386" ht="18" customHeight="1" spans="1:6">
      <c r="A4386" s="15" t="s">
        <v>8209</v>
      </c>
      <c r="B4386" s="15" t="s">
        <v>8580</v>
      </c>
      <c r="C4386" s="6" t="s">
        <v>8634</v>
      </c>
      <c r="D4386" s="13">
        <v>4</v>
      </c>
      <c r="E4386" s="6" t="s">
        <v>8635</v>
      </c>
      <c r="F4386" s="13" t="s">
        <v>11</v>
      </c>
    </row>
    <row r="4387" ht="18" customHeight="1" spans="1:6">
      <c r="A4387" s="15" t="s">
        <v>8209</v>
      </c>
      <c r="B4387" s="15" t="s">
        <v>8580</v>
      </c>
      <c r="C4387" s="15" t="s">
        <v>8636</v>
      </c>
      <c r="D4387" s="13">
        <v>3</v>
      </c>
      <c r="E4387" s="15" t="s">
        <v>8637</v>
      </c>
      <c r="F4387" s="13" t="s">
        <v>11</v>
      </c>
    </row>
    <row r="4388" ht="18" customHeight="1" spans="1:6">
      <c r="A4388" s="15" t="s">
        <v>8209</v>
      </c>
      <c r="B4388" s="15" t="s">
        <v>8580</v>
      </c>
      <c r="C4388" s="15" t="s">
        <v>8638</v>
      </c>
      <c r="D4388" s="13">
        <v>1</v>
      </c>
      <c r="E4388" s="15" t="s">
        <v>8639</v>
      </c>
      <c r="F4388" s="13" t="s">
        <v>11</v>
      </c>
    </row>
    <row r="4389" ht="18" customHeight="1" spans="1:6">
      <c r="A4389" s="15" t="s">
        <v>8209</v>
      </c>
      <c r="B4389" s="15" t="s">
        <v>8580</v>
      </c>
      <c r="C4389" s="15" t="s">
        <v>8640</v>
      </c>
      <c r="D4389" s="13">
        <v>1</v>
      </c>
      <c r="E4389" s="15" t="s">
        <v>8641</v>
      </c>
      <c r="F4389" s="13" t="s">
        <v>11</v>
      </c>
    </row>
    <row r="4390" ht="18" customHeight="1" spans="1:6">
      <c r="A4390" s="15" t="s">
        <v>8209</v>
      </c>
      <c r="B4390" s="15" t="s">
        <v>8642</v>
      </c>
      <c r="C4390" s="15" t="s">
        <v>8643</v>
      </c>
      <c r="D4390" s="13">
        <v>5</v>
      </c>
      <c r="E4390" s="15" t="s">
        <v>8644</v>
      </c>
      <c r="F4390" s="13" t="s">
        <v>11</v>
      </c>
    </row>
    <row r="4391" ht="18" customHeight="1" spans="1:6">
      <c r="A4391" s="15" t="s">
        <v>8209</v>
      </c>
      <c r="B4391" s="15" t="s">
        <v>8642</v>
      </c>
      <c r="C4391" s="15" t="s">
        <v>8645</v>
      </c>
      <c r="D4391" s="13">
        <v>2</v>
      </c>
      <c r="E4391" s="15" t="s">
        <v>8646</v>
      </c>
      <c r="F4391" s="13" t="s">
        <v>11</v>
      </c>
    </row>
    <row r="4392" ht="18" customHeight="1" spans="1:6">
      <c r="A4392" s="15" t="s">
        <v>8209</v>
      </c>
      <c r="B4392" s="15" t="s">
        <v>8642</v>
      </c>
      <c r="C4392" s="15" t="s">
        <v>8647</v>
      </c>
      <c r="D4392" s="13">
        <v>4</v>
      </c>
      <c r="E4392" s="15" t="s">
        <v>8648</v>
      </c>
      <c r="F4392" s="13" t="s">
        <v>11</v>
      </c>
    </row>
    <row r="4393" ht="18" customHeight="1" spans="1:6">
      <c r="A4393" s="15" t="s">
        <v>8209</v>
      </c>
      <c r="B4393" s="15" t="s">
        <v>8642</v>
      </c>
      <c r="C4393" s="15" t="s">
        <v>8649</v>
      </c>
      <c r="D4393" s="13">
        <v>3</v>
      </c>
      <c r="E4393" s="15" t="s">
        <v>8650</v>
      </c>
      <c r="F4393" s="13" t="s">
        <v>11</v>
      </c>
    </row>
    <row r="4394" ht="18" customHeight="1" spans="1:6">
      <c r="A4394" s="15" t="s">
        <v>8209</v>
      </c>
      <c r="B4394" s="15" t="s">
        <v>8642</v>
      </c>
      <c r="C4394" s="15" t="s">
        <v>8651</v>
      </c>
      <c r="D4394" s="13">
        <v>3</v>
      </c>
      <c r="E4394" s="15" t="s">
        <v>8652</v>
      </c>
      <c r="F4394" s="13" t="s">
        <v>11</v>
      </c>
    </row>
    <row r="4395" ht="18" customHeight="1" spans="1:6">
      <c r="A4395" s="15" t="s">
        <v>8209</v>
      </c>
      <c r="B4395" s="15" t="s">
        <v>8642</v>
      </c>
      <c r="C4395" s="15" t="s">
        <v>8653</v>
      </c>
      <c r="D4395" s="13">
        <v>2</v>
      </c>
      <c r="E4395" s="15" t="s">
        <v>8654</v>
      </c>
      <c r="F4395" s="13" t="s">
        <v>11</v>
      </c>
    </row>
    <row r="4396" ht="18" customHeight="1" spans="1:6">
      <c r="A4396" s="15" t="s">
        <v>8209</v>
      </c>
      <c r="B4396" s="15" t="s">
        <v>8642</v>
      </c>
      <c r="C4396" s="15" t="s">
        <v>8655</v>
      </c>
      <c r="D4396" s="13">
        <v>1</v>
      </c>
      <c r="E4396" s="15" t="s">
        <v>8656</v>
      </c>
      <c r="F4396" s="13" t="s">
        <v>11</v>
      </c>
    </row>
    <row r="4397" ht="18" customHeight="1" spans="1:6">
      <c r="A4397" s="15" t="s">
        <v>8209</v>
      </c>
      <c r="B4397" s="15" t="s">
        <v>8642</v>
      </c>
      <c r="C4397" s="15" t="s">
        <v>8657</v>
      </c>
      <c r="D4397" s="13">
        <v>4</v>
      </c>
      <c r="E4397" s="15" t="s">
        <v>8658</v>
      </c>
      <c r="F4397" s="13" t="s">
        <v>11</v>
      </c>
    </row>
    <row r="4398" ht="18" customHeight="1" spans="1:6">
      <c r="A4398" s="15" t="s">
        <v>8209</v>
      </c>
      <c r="B4398" s="15" t="s">
        <v>8642</v>
      </c>
      <c r="C4398" s="15" t="s">
        <v>8659</v>
      </c>
      <c r="D4398" s="13">
        <v>1</v>
      </c>
      <c r="E4398" s="15" t="s">
        <v>8660</v>
      </c>
      <c r="F4398" s="13" t="s">
        <v>11</v>
      </c>
    </row>
    <row r="4399" ht="18" customHeight="1" spans="1:6">
      <c r="A4399" s="15" t="s">
        <v>8209</v>
      </c>
      <c r="B4399" s="15" t="s">
        <v>8642</v>
      </c>
      <c r="C4399" s="15" t="s">
        <v>8661</v>
      </c>
      <c r="D4399" s="13">
        <v>4</v>
      </c>
      <c r="E4399" s="15" t="s">
        <v>8662</v>
      </c>
      <c r="F4399" s="13" t="s">
        <v>11</v>
      </c>
    </row>
    <row r="4400" ht="18" customHeight="1" spans="1:6">
      <c r="A4400" s="15" t="s">
        <v>8209</v>
      </c>
      <c r="B4400" s="15" t="s">
        <v>8642</v>
      </c>
      <c r="C4400" s="15" t="s">
        <v>8663</v>
      </c>
      <c r="D4400" s="13">
        <v>4</v>
      </c>
      <c r="E4400" s="15" t="s">
        <v>8664</v>
      </c>
      <c r="F4400" s="13" t="s">
        <v>11</v>
      </c>
    </row>
    <row r="4401" ht="18" customHeight="1" spans="1:6">
      <c r="A4401" s="15" t="s">
        <v>8209</v>
      </c>
      <c r="B4401" s="15" t="s">
        <v>8642</v>
      </c>
      <c r="C4401" s="15" t="s">
        <v>8665</v>
      </c>
      <c r="D4401" s="13">
        <v>3</v>
      </c>
      <c r="E4401" s="186" t="s">
        <v>8666</v>
      </c>
      <c r="F4401" s="13" t="s">
        <v>11</v>
      </c>
    </row>
    <row r="4402" ht="18" customHeight="1" spans="1:6">
      <c r="A4402" s="15" t="s">
        <v>8209</v>
      </c>
      <c r="B4402" s="15" t="s">
        <v>8642</v>
      </c>
      <c r="C4402" s="15" t="s">
        <v>8667</v>
      </c>
      <c r="D4402" s="13">
        <v>1</v>
      </c>
      <c r="E4402" s="186" t="s">
        <v>8668</v>
      </c>
      <c r="F4402" s="13" t="s">
        <v>11</v>
      </c>
    </row>
    <row r="4403" ht="18" customHeight="1" spans="1:6">
      <c r="A4403" s="15" t="s">
        <v>8209</v>
      </c>
      <c r="B4403" s="15" t="s">
        <v>8642</v>
      </c>
      <c r="C4403" s="15" t="s">
        <v>8669</v>
      </c>
      <c r="D4403" s="13">
        <v>2</v>
      </c>
      <c r="E4403" s="186" t="s">
        <v>8670</v>
      </c>
      <c r="F4403" s="13" t="s">
        <v>11</v>
      </c>
    </row>
    <row r="4404" ht="18" customHeight="1" spans="1:6">
      <c r="A4404" s="15" t="s">
        <v>8209</v>
      </c>
      <c r="B4404" s="15" t="s">
        <v>8642</v>
      </c>
      <c r="C4404" s="15" t="s">
        <v>8671</v>
      </c>
      <c r="D4404" s="13">
        <v>1</v>
      </c>
      <c r="E4404" s="186" t="s">
        <v>8672</v>
      </c>
      <c r="F4404" s="13" t="s">
        <v>11</v>
      </c>
    </row>
    <row r="4405" ht="18" customHeight="1" spans="1:6">
      <c r="A4405" s="15" t="s">
        <v>8209</v>
      </c>
      <c r="B4405" s="15" t="s">
        <v>8642</v>
      </c>
      <c r="C4405" s="15" t="s">
        <v>8673</v>
      </c>
      <c r="D4405" s="13">
        <v>2</v>
      </c>
      <c r="E4405" s="186" t="s">
        <v>8674</v>
      </c>
      <c r="F4405" s="13" t="s">
        <v>11</v>
      </c>
    </row>
    <row r="4406" ht="18" customHeight="1" spans="1:6">
      <c r="A4406" s="15" t="s">
        <v>8209</v>
      </c>
      <c r="B4406" s="15" t="s">
        <v>8642</v>
      </c>
      <c r="C4406" s="15" t="s">
        <v>8675</v>
      </c>
      <c r="D4406" s="13">
        <v>3</v>
      </c>
      <c r="E4406" s="186" t="s">
        <v>8676</v>
      </c>
      <c r="F4406" s="13" t="s">
        <v>11</v>
      </c>
    </row>
    <row r="4407" ht="18" customHeight="1" spans="1:6">
      <c r="A4407" s="15" t="s">
        <v>8209</v>
      </c>
      <c r="B4407" s="15" t="s">
        <v>8642</v>
      </c>
      <c r="C4407" s="15" t="s">
        <v>8677</v>
      </c>
      <c r="D4407" s="13">
        <v>1</v>
      </c>
      <c r="E4407" s="186" t="s">
        <v>8678</v>
      </c>
      <c r="F4407" s="13" t="s">
        <v>11</v>
      </c>
    </row>
    <row r="4408" ht="18" customHeight="1" spans="1:6">
      <c r="A4408" s="15" t="s">
        <v>8209</v>
      </c>
      <c r="B4408" s="15" t="s">
        <v>8642</v>
      </c>
      <c r="C4408" s="15" t="s">
        <v>8679</v>
      </c>
      <c r="D4408" s="13">
        <v>1</v>
      </c>
      <c r="E4408" s="15" t="s">
        <v>8680</v>
      </c>
      <c r="F4408" s="13" t="s">
        <v>11</v>
      </c>
    </row>
    <row r="4409" ht="18" customHeight="1" spans="1:6">
      <c r="A4409" s="15" t="s">
        <v>8209</v>
      </c>
      <c r="B4409" s="15" t="s">
        <v>8642</v>
      </c>
      <c r="C4409" s="15" t="s">
        <v>8681</v>
      </c>
      <c r="D4409" s="13">
        <v>4</v>
      </c>
      <c r="E4409" s="186" t="s">
        <v>8682</v>
      </c>
      <c r="F4409" s="13" t="s">
        <v>11</v>
      </c>
    </row>
    <row r="4410" ht="18" customHeight="1" spans="1:6">
      <c r="A4410" s="15" t="s">
        <v>8209</v>
      </c>
      <c r="B4410" s="15" t="s">
        <v>8642</v>
      </c>
      <c r="C4410" s="15" t="s">
        <v>8683</v>
      </c>
      <c r="D4410" s="13">
        <v>3</v>
      </c>
      <c r="E4410" s="186" t="s">
        <v>8684</v>
      </c>
      <c r="F4410" s="13" t="s">
        <v>11</v>
      </c>
    </row>
    <row r="4411" ht="18" customHeight="1" spans="1:6">
      <c r="A4411" s="15" t="s">
        <v>8209</v>
      </c>
      <c r="B4411" s="15" t="s">
        <v>8642</v>
      </c>
      <c r="C4411" s="15" t="s">
        <v>8570</v>
      </c>
      <c r="D4411" s="13">
        <v>4</v>
      </c>
      <c r="E4411" s="186" t="s">
        <v>8685</v>
      </c>
      <c r="F4411" s="13" t="s">
        <v>11</v>
      </c>
    </row>
    <row r="4412" ht="18" customHeight="1" spans="1:6">
      <c r="A4412" s="15" t="s">
        <v>8209</v>
      </c>
      <c r="B4412" s="15" t="s">
        <v>8642</v>
      </c>
      <c r="C4412" s="15" t="s">
        <v>3817</v>
      </c>
      <c r="D4412" s="13">
        <v>2</v>
      </c>
      <c r="E4412" s="186" t="s">
        <v>8686</v>
      </c>
      <c r="F4412" s="13" t="s">
        <v>11</v>
      </c>
    </row>
    <row r="4413" ht="18" customHeight="1" spans="1:6">
      <c r="A4413" s="15" t="s">
        <v>8209</v>
      </c>
      <c r="B4413" s="15" t="s">
        <v>8642</v>
      </c>
      <c r="C4413" s="15" t="s">
        <v>8687</v>
      </c>
      <c r="D4413" s="13">
        <v>2</v>
      </c>
      <c r="E4413" s="15" t="s">
        <v>8688</v>
      </c>
      <c r="F4413" s="13" t="s">
        <v>11</v>
      </c>
    </row>
    <row r="4414" ht="18" customHeight="1" spans="1:6">
      <c r="A4414" s="15" t="s">
        <v>8209</v>
      </c>
      <c r="B4414" s="15" t="s">
        <v>8642</v>
      </c>
      <c r="C4414" s="15" t="s">
        <v>8689</v>
      </c>
      <c r="D4414" s="13">
        <v>5</v>
      </c>
      <c r="E4414" s="186" t="s">
        <v>8690</v>
      </c>
      <c r="F4414" s="13" t="s">
        <v>11</v>
      </c>
    </row>
    <row r="4415" ht="18" customHeight="1" spans="1:6">
      <c r="A4415" s="15" t="s">
        <v>8209</v>
      </c>
      <c r="B4415" s="15" t="s">
        <v>8642</v>
      </c>
      <c r="C4415" s="15" t="s">
        <v>8691</v>
      </c>
      <c r="D4415" s="13">
        <v>1</v>
      </c>
      <c r="E4415" s="186" t="s">
        <v>8692</v>
      </c>
      <c r="F4415" s="13" t="s">
        <v>11</v>
      </c>
    </row>
    <row r="4416" ht="18" customHeight="1" spans="1:6">
      <c r="A4416" s="15" t="s">
        <v>8209</v>
      </c>
      <c r="B4416" s="15" t="s">
        <v>8642</v>
      </c>
      <c r="C4416" s="15" t="s">
        <v>8693</v>
      </c>
      <c r="D4416" s="13">
        <v>1</v>
      </c>
      <c r="E4416" s="186" t="s">
        <v>8694</v>
      </c>
      <c r="F4416" s="13" t="s">
        <v>11</v>
      </c>
    </row>
    <row r="4417" ht="18" customHeight="1" spans="1:6">
      <c r="A4417" s="15" t="s">
        <v>8209</v>
      </c>
      <c r="B4417" s="15" t="s">
        <v>8642</v>
      </c>
      <c r="C4417" s="15" t="s">
        <v>8695</v>
      </c>
      <c r="D4417" s="13">
        <v>1</v>
      </c>
      <c r="E4417" s="186" t="s">
        <v>8696</v>
      </c>
      <c r="F4417" s="13" t="s">
        <v>11</v>
      </c>
    </row>
    <row r="4418" ht="18" customHeight="1" spans="1:6">
      <c r="A4418" s="15" t="s">
        <v>8209</v>
      </c>
      <c r="B4418" s="15" t="s">
        <v>8642</v>
      </c>
      <c r="C4418" s="15" t="s">
        <v>8697</v>
      </c>
      <c r="D4418" s="13">
        <v>1</v>
      </c>
      <c r="E4418" s="186" t="s">
        <v>8698</v>
      </c>
      <c r="F4418" s="13" t="s">
        <v>11</v>
      </c>
    </row>
    <row r="4419" ht="18" customHeight="1" spans="1:6">
      <c r="A4419" s="15" t="s">
        <v>8209</v>
      </c>
      <c r="B4419" s="15" t="s">
        <v>8642</v>
      </c>
      <c r="C4419" s="15" t="s">
        <v>8699</v>
      </c>
      <c r="D4419" s="13">
        <v>6</v>
      </c>
      <c r="E4419" s="186" t="s">
        <v>8700</v>
      </c>
      <c r="F4419" s="13" t="s">
        <v>11</v>
      </c>
    </row>
    <row r="4420" ht="18" customHeight="1" spans="1:6">
      <c r="A4420" s="15" t="s">
        <v>8209</v>
      </c>
      <c r="B4420" s="15" t="s">
        <v>8642</v>
      </c>
      <c r="C4420" s="15" t="s">
        <v>8701</v>
      </c>
      <c r="D4420" s="13">
        <v>4</v>
      </c>
      <c r="E4420" s="186" t="s">
        <v>8702</v>
      </c>
      <c r="F4420" s="13" t="s">
        <v>11</v>
      </c>
    </row>
    <row r="4421" ht="18" customHeight="1" spans="1:6">
      <c r="A4421" s="15" t="s">
        <v>8209</v>
      </c>
      <c r="B4421" s="15" t="s">
        <v>8642</v>
      </c>
      <c r="C4421" s="15" t="s">
        <v>8703</v>
      </c>
      <c r="D4421" s="13">
        <v>2</v>
      </c>
      <c r="E4421" s="15" t="s">
        <v>8704</v>
      </c>
      <c r="F4421" s="13" t="s">
        <v>11</v>
      </c>
    </row>
    <row r="4422" ht="18" customHeight="1" spans="1:6">
      <c r="A4422" s="15" t="s">
        <v>8209</v>
      </c>
      <c r="B4422" s="15" t="s">
        <v>8642</v>
      </c>
      <c r="C4422" s="15" t="s">
        <v>8705</v>
      </c>
      <c r="D4422" s="13">
        <v>5</v>
      </c>
      <c r="E4422" s="186" t="s">
        <v>8706</v>
      </c>
      <c r="F4422" s="13" t="s">
        <v>11</v>
      </c>
    </row>
    <row r="4423" ht="18" customHeight="1" spans="1:6">
      <c r="A4423" s="15" t="s">
        <v>8209</v>
      </c>
      <c r="B4423" s="15" t="s">
        <v>8642</v>
      </c>
      <c r="C4423" s="15" t="s">
        <v>8707</v>
      </c>
      <c r="D4423" s="13">
        <v>3</v>
      </c>
      <c r="E4423" s="186" t="s">
        <v>8708</v>
      </c>
      <c r="F4423" s="13" t="s">
        <v>11</v>
      </c>
    </row>
    <row r="4424" ht="18" customHeight="1" spans="1:6">
      <c r="A4424" s="15" t="s">
        <v>8209</v>
      </c>
      <c r="B4424" s="15" t="s">
        <v>8642</v>
      </c>
      <c r="C4424" s="15" t="s">
        <v>8709</v>
      </c>
      <c r="D4424" s="13">
        <v>3</v>
      </c>
      <c r="E4424" s="186" t="s">
        <v>8710</v>
      </c>
      <c r="F4424" s="13" t="s">
        <v>11</v>
      </c>
    </row>
    <row r="4425" ht="18" customHeight="1" spans="1:6">
      <c r="A4425" s="15" t="s">
        <v>8209</v>
      </c>
      <c r="B4425" s="15" t="s">
        <v>8642</v>
      </c>
      <c r="C4425" s="15" t="s">
        <v>8711</v>
      </c>
      <c r="D4425" s="13">
        <v>1</v>
      </c>
      <c r="E4425" s="186" t="s">
        <v>8712</v>
      </c>
      <c r="F4425" s="13" t="s">
        <v>11</v>
      </c>
    </row>
    <row r="4426" ht="18" customHeight="1" spans="1:6">
      <c r="A4426" s="15" t="s">
        <v>8209</v>
      </c>
      <c r="B4426" s="15" t="s">
        <v>8642</v>
      </c>
      <c r="C4426" s="15" t="s">
        <v>8713</v>
      </c>
      <c r="D4426" s="13">
        <v>1</v>
      </c>
      <c r="E4426" s="186" t="s">
        <v>8714</v>
      </c>
      <c r="F4426" s="13" t="s">
        <v>11</v>
      </c>
    </row>
    <row r="4427" ht="18" customHeight="1" spans="1:6">
      <c r="A4427" s="15" t="s">
        <v>8209</v>
      </c>
      <c r="B4427" s="15" t="s">
        <v>8642</v>
      </c>
      <c r="C4427" s="15" t="s">
        <v>8715</v>
      </c>
      <c r="D4427" s="13">
        <v>2</v>
      </c>
      <c r="E4427" s="186" t="s">
        <v>8716</v>
      </c>
      <c r="F4427" s="13" t="s">
        <v>11</v>
      </c>
    </row>
    <row r="4428" ht="18" customHeight="1" spans="1:6">
      <c r="A4428" s="15" t="s">
        <v>8209</v>
      </c>
      <c r="B4428" s="15" t="s">
        <v>8642</v>
      </c>
      <c r="C4428" s="15" t="s">
        <v>8717</v>
      </c>
      <c r="D4428" s="13">
        <v>4</v>
      </c>
      <c r="E4428" s="186" t="s">
        <v>8718</v>
      </c>
      <c r="F4428" s="13" t="s">
        <v>11</v>
      </c>
    </row>
    <row r="4429" ht="18" customHeight="1" spans="1:6">
      <c r="A4429" s="15" t="s">
        <v>8209</v>
      </c>
      <c r="B4429" s="15" t="s">
        <v>8642</v>
      </c>
      <c r="C4429" s="15" t="s">
        <v>8719</v>
      </c>
      <c r="D4429" s="13">
        <v>3</v>
      </c>
      <c r="E4429" s="186" t="s">
        <v>8720</v>
      </c>
      <c r="F4429" s="13" t="s">
        <v>11</v>
      </c>
    </row>
    <row r="4430" ht="18" customHeight="1" spans="1:6">
      <c r="A4430" s="15" t="s">
        <v>8209</v>
      </c>
      <c r="B4430" s="15" t="s">
        <v>8642</v>
      </c>
      <c r="C4430" s="15" t="s">
        <v>8721</v>
      </c>
      <c r="D4430" s="13">
        <v>3</v>
      </c>
      <c r="E4430" s="186" t="s">
        <v>8722</v>
      </c>
      <c r="F4430" s="13" t="s">
        <v>11</v>
      </c>
    </row>
    <row r="4431" ht="18" customHeight="1" spans="1:6">
      <c r="A4431" s="15" t="s">
        <v>8209</v>
      </c>
      <c r="B4431" s="15" t="s">
        <v>8723</v>
      </c>
      <c r="C4431" s="9" t="s">
        <v>8724</v>
      </c>
      <c r="D4431" s="13">
        <v>2</v>
      </c>
      <c r="E4431" s="186" t="s">
        <v>8725</v>
      </c>
      <c r="F4431" s="13" t="s">
        <v>11</v>
      </c>
    </row>
    <row r="4432" ht="18" customHeight="1" spans="1:6">
      <c r="A4432" s="15" t="s">
        <v>8209</v>
      </c>
      <c r="B4432" s="15" t="s">
        <v>8723</v>
      </c>
      <c r="C4432" s="9" t="s">
        <v>8726</v>
      </c>
      <c r="D4432" s="13">
        <v>1</v>
      </c>
      <c r="E4432" s="186" t="s">
        <v>8727</v>
      </c>
      <c r="F4432" s="13" t="s">
        <v>11</v>
      </c>
    </row>
    <row r="4433" ht="18" customHeight="1" spans="1:6">
      <c r="A4433" s="15" t="s">
        <v>8209</v>
      </c>
      <c r="B4433" s="15" t="s">
        <v>8723</v>
      </c>
      <c r="C4433" s="9" t="s">
        <v>8728</v>
      </c>
      <c r="D4433" s="13">
        <v>2</v>
      </c>
      <c r="E4433" s="186" t="s">
        <v>8729</v>
      </c>
      <c r="F4433" s="13" t="s">
        <v>11</v>
      </c>
    </row>
    <row r="4434" ht="18" customHeight="1" spans="1:6">
      <c r="A4434" s="15" t="s">
        <v>8209</v>
      </c>
      <c r="B4434" s="15" t="s">
        <v>8723</v>
      </c>
      <c r="C4434" s="9" t="s">
        <v>8730</v>
      </c>
      <c r="D4434" s="13">
        <v>1</v>
      </c>
      <c r="E4434" s="186" t="s">
        <v>8731</v>
      </c>
      <c r="F4434" s="13" t="s">
        <v>11</v>
      </c>
    </row>
    <row r="4435" ht="18" customHeight="1" spans="1:6">
      <c r="A4435" s="15" t="s">
        <v>8209</v>
      </c>
      <c r="B4435" s="15" t="s">
        <v>8723</v>
      </c>
      <c r="C4435" s="9" t="s">
        <v>8732</v>
      </c>
      <c r="D4435" s="13">
        <v>1</v>
      </c>
      <c r="E4435" s="15" t="s">
        <v>8733</v>
      </c>
      <c r="F4435" s="13" t="s">
        <v>11</v>
      </c>
    </row>
    <row r="4436" ht="18" customHeight="1" spans="1:6">
      <c r="A4436" s="15" t="s">
        <v>8209</v>
      </c>
      <c r="B4436" s="15" t="s">
        <v>8723</v>
      </c>
      <c r="C4436" s="9" t="s">
        <v>8734</v>
      </c>
      <c r="D4436" s="13">
        <v>1</v>
      </c>
      <c r="E4436" s="15" t="s">
        <v>8735</v>
      </c>
      <c r="F4436" s="13" t="s">
        <v>11</v>
      </c>
    </row>
    <row r="4437" ht="18" customHeight="1" spans="1:6">
      <c r="A4437" s="15" t="s">
        <v>8209</v>
      </c>
      <c r="B4437" s="15" t="s">
        <v>8723</v>
      </c>
      <c r="C4437" s="9" t="s">
        <v>8736</v>
      </c>
      <c r="D4437" s="13">
        <v>4</v>
      </c>
      <c r="E4437" s="15" t="s">
        <v>8737</v>
      </c>
      <c r="F4437" s="13" t="s">
        <v>11</v>
      </c>
    </row>
    <row r="4438" ht="18" customHeight="1" spans="1:6">
      <c r="A4438" s="15" t="s">
        <v>8209</v>
      </c>
      <c r="B4438" s="15" t="s">
        <v>8723</v>
      </c>
      <c r="C4438" s="9" t="s">
        <v>8738</v>
      </c>
      <c r="D4438" s="13">
        <v>1</v>
      </c>
      <c r="E4438" s="15" t="s">
        <v>8739</v>
      </c>
      <c r="F4438" s="13" t="s">
        <v>11</v>
      </c>
    </row>
    <row r="4439" ht="18" customHeight="1" spans="1:6">
      <c r="A4439" s="15" t="s">
        <v>8209</v>
      </c>
      <c r="B4439" s="15" t="s">
        <v>8723</v>
      </c>
      <c r="C4439" s="9" t="s">
        <v>8740</v>
      </c>
      <c r="D4439" s="13">
        <v>1</v>
      </c>
      <c r="E4439" s="15" t="s">
        <v>8741</v>
      </c>
      <c r="F4439" s="13" t="s">
        <v>11</v>
      </c>
    </row>
    <row r="4440" ht="18" customHeight="1" spans="1:6">
      <c r="A4440" s="15" t="s">
        <v>8209</v>
      </c>
      <c r="B4440" s="15" t="s">
        <v>8723</v>
      </c>
      <c r="C4440" s="9" t="s">
        <v>8742</v>
      </c>
      <c r="D4440" s="13">
        <v>3</v>
      </c>
      <c r="E4440" s="15" t="s">
        <v>8743</v>
      </c>
      <c r="F4440" s="13" t="s">
        <v>11</v>
      </c>
    </row>
    <row r="4441" ht="18" customHeight="1" spans="1:6">
      <c r="A4441" s="15" t="s">
        <v>8209</v>
      </c>
      <c r="B4441" s="15" t="s">
        <v>8723</v>
      </c>
      <c r="C4441" s="9" t="s">
        <v>8744</v>
      </c>
      <c r="D4441" s="13">
        <v>2</v>
      </c>
      <c r="E4441" s="15" t="s">
        <v>8745</v>
      </c>
      <c r="F4441" s="13" t="s">
        <v>11</v>
      </c>
    </row>
    <row r="4442" ht="18" customHeight="1" spans="1:6">
      <c r="A4442" s="15" t="s">
        <v>8209</v>
      </c>
      <c r="B4442" s="15" t="s">
        <v>8723</v>
      </c>
      <c r="C4442" s="9" t="s">
        <v>8746</v>
      </c>
      <c r="D4442" s="13">
        <v>1</v>
      </c>
      <c r="E4442" s="15" t="s">
        <v>8747</v>
      </c>
      <c r="F4442" s="13" t="s">
        <v>11</v>
      </c>
    </row>
    <row r="4443" ht="18" customHeight="1" spans="1:6">
      <c r="A4443" s="15" t="s">
        <v>8209</v>
      </c>
      <c r="B4443" s="15" t="s">
        <v>8723</v>
      </c>
      <c r="C4443" s="9" t="s">
        <v>8748</v>
      </c>
      <c r="D4443" s="13">
        <v>1</v>
      </c>
      <c r="E4443" s="15" t="s">
        <v>8749</v>
      </c>
      <c r="F4443" s="13" t="s">
        <v>11</v>
      </c>
    </row>
    <row r="4444" ht="18" customHeight="1" spans="1:6">
      <c r="A4444" s="15" t="s">
        <v>8209</v>
      </c>
      <c r="B4444" s="15" t="s">
        <v>8723</v>
      </c>
      <c r="C4444" s="9" t="s">
        <v>8750</v>
      </c>
      <c r="D4444" s="13">
        <v>4</v>
      </c>
      <c r="E4444" s="15" t="s">
        <v>8751</v>
      </c>
      <c r="F4444" s="13" t="s">
        <v>11</v>
      </c>
    </row>
    <row r="4445" ht="18" customHeight="1" spans="1:6">
      <c r="A4445" s="15" t="s">
        <v>8209</v>
      </c>
      <c r="B4445" s="15" t="s">
        <v>8723</v>
      </c>
      <c r="C4445" s="9" t="s">
        <v>8752</v>
      </c>
      <c r="D4445" s="13">
        <v>1</v>
      </c>
      <c r="E4445" s="15" t="s">
        <v>8753</v>
      </c>
      <c r="F4445" s="13" t="s">
        <v>11</v>
      </c>
    </row>
    <row r="4446" ht="18" customHeight="1" spans="1:6">
      <c r="A4446" s="15" t="s">
        <v>8209</v>
      </c>
      <c r="B4446" s="15" t="s">
        <v>8723</v>
      </c>
      <c r="C4446" s="9" t="s">
        <v>8754</v>
      </c>
      <c r="D4446" s="13">
        <v>2</v>
      </c>
      <c r="E4446" s="186" t="s">
        <v>8755</v>
      </c>
      <c r="F4446" s="13" t="s">
        <v>11</v>
      </c>
    </row>
    <row r="4447" ht="18" customHeight="1" spans="1:6">
      <c r="A4447" s="15" t="s">
        <v>8209</v>
      </c>
      <c r="B4447" s="15" t="s">
        <v>8723</v>
      </c>
      <c r="C4447" s="9" t="s">
        <v>8756</v>
      </c>
      <c r="D4447" s="13">
        <v>1</v>
      </c>
      <c r="E4447" s="186" t="s">
        <v>8757</v>
      </c>
      <c r="F4447" s="13" t="s">
        <v>11</v>
      </c>
    </row>
    <row r="4448" ht="18" customHeight="1" spans="1:6">
      <c r="A4448" s="15" t="s">
        <v>8209</v>
      </c>
      <c r="B4448" s="15" t="s">
        <v>8723</v>
      </c>
      <c r="C4448" s="9" t="s">
        <v>8758</v>
      </c>
      <c r="D4448" s="13">
        <v>1</v>
      </c>
      <c r="E4448" s="186" t="s">
        <v>8759</v>
      </c>
      <c r="F4448" s="13" t="s">
        <v>11</v>
      </c>
    </row>
    <row r="4449" ht="18" customHeight="1" spans="1:6">
      <c r="A4449" s="15" t="s">
        <v>8209</v>
      </c>
      <c r="B4449" s="15" t="s">
        <v>8723</v>
      </c>
      <c r="C4449" s="9" t="s">
        <v>8760</v>
      </c>
      <c r="D4449" s="13">
        <v>4</v>
      </c>
      <c r="E4449" s="15" t="s">
        <v>8761</v>
      </c>
      <c r="F4449" s="13" t="s">
        <v>11</v>
      </c>
    </row>
    <row r="4450" ht="18" customHeight="1" spans="1:6">
      <c r="A4450" s="15" t="s">
        <v>8209</v>
      </c>
      <c r="B4450" s="15" t="s">
        <v>8723</v>
      </c>
      <c r="C4450" s="9" t="s">
        <v>8762</v>
      </c>
      <c r="D4450" s="13">
        <v>1</v>
      </c>
      <c r="E4450" s="15" t="s">
        <v>8763</v>
      </c>
      <c r="F4450" s="13" t="s">
        <v>11</v>
      </c>
    </row>
    <row r="4451" ht="18" customHeight="1" spans="1:6">
      <c r="A4451" s="15" t="s">
        <v>8209</v>
      </c>
      <c r="B4451" s="15" t="s">
        <v>8723</v>
      </c>
      <c r="C4451" s="9" t="s">
        <v>8764</v>
      </c>
      <c r="D4451" s="13">
        <v>5</v>
      </c>
      <c r="E4451" s="15" t="s">
        <v>8765</v>
      </c>
      <c r="F4451" s="13" t="s">
        <v>11</v>
      </c>
    </row>
    <row r="4452" ht="18" customHeight="1" spans="1:6">
      <c r="A4452" s="15" t="s">
        <v>8209</v>
      </c>
      <c r="B4452" s="15" t="s">
        <v>8723</v>
      </c>
      <c r="C4452" s="9" t="s">
        <v>8766</v>
      </c>
      <c r="D4452" s="13">
        <v>1</v>
      </c>
      <c r="E4452" s="15" t="s">
        <v>8767</v>
      </c>
      <c r="F4452" s="13" t="s">
        <v>11</v>
      </c>
    </row>
    <row r="4453" ht="18" customHeight="1" spans="1:6">
      <c r="A4453" s="15" t="s">
        <v>8209</v>
      </c>
      <c r="B4453" s="15" t="s">
        <v>8723</v>
      </c>
      <c r="C4453" s="9" t="s">
        <v>8768</v>
      </c>
      <c r="D4453" s="13">
        <v>4</v>
      </c>
      <c r="E4453" s="15" t="s">
        <v>8769</v>
      </c>
      <c r="F4453" s="13" t="s">
        <v>11</v>
      </c>
    </row>
    <row r="4454" ht="18" customHeight="1" spans="1:6">
      <c r="A4454" s="15" t="s">
        <v>8209</v>
      </c>
      <c r="B4454" s="15" t="s">
        <v>8723</v>
      </c>
      <c r="C4454" s="9" t="s">
        <v>8770</v>
      </c>
      <c r="D4454" s="13">
        <v>1</v>
      </c>
      <c r="E4454" s="15" t="s">
        <v>8771</v>
      </c>
      <c r="F4454" s="13" t="s">
        <v>11</v>
      </c>
    </row>
    <row r="4455" ht="18" customHeight="1" spans="1:6">
      <c r="A4455" s="15" t="s">
        <v>8209</v>
      </c>
      <c r="B4455" s="15" t="s">
        <v>8723</v>
      </c>
      <c r="C4455" s="9" t="s">
        <v>8772</v>
      </c>
      <c r="D4455" s="13">
        <v>2</v>
      </c>
      <c r="E4455" s="15" t="s">
        <v>8773</v>
      </c>
      <c r="F4455" s="13" t="s">
        <v>11</v>
      </c>
    </row>
    <row r="4456" ht="18" customHeight="1" spans="1:6">
      <c r="A4456" s="15" t="s">
        <v>8209</v>
      </c>
      <c r="B4456" s="15" t="s">
        <v>8723</v>
      </c>
      <c r="C4456" s="9" t="s">
        <v>8774</v>
      </c>
      <c r="D4456" s="13">
        <v>1</v>
      </c>
      <c r="E4456" s="15" t="s">
        <v>8775</v>
      </c>
      <c r="F4456" s="13" t="s">
        <v>11</v>
      </c>
    </row>
    <row r="4457" ht="18" customHeight="1" spans="1:6">
      <c r="A4457" s="15" t="s">
        <v>8209</v>
      </c>
      <c r="B4457" s="15" t="s">
        <v>8723</v>
      </c>
      <c r="C4457" s="9" t="s">
        <v>8776</v>
      </c>
      <c r="D4457" s="13">
        <v>1</v>
      </c>
      <c r="E4457" s="15" t="s">
        <v>8777</v>
      </c>
      <c r="F4457" s="13" t="s">
        <v>11</v>
      </c>
    </row>
    <row r="4458" ht="18" customHeight="1" spans="1:6">
      <c r="A4458" s="15" t="s">
        <v>8209</v>
      </c>
      <c r="B4458" s="15" t="s">
        <v>8723</v>
      </c>
      <c r="C4458" s="9" t="s">
        <v>8778</v>
      </c>
      <c r="D4458" s="13">
        <v>1</v>
      </c>
      <c r="E4458" s="15" t="s">
        <v>8779</v>
      </c>
      <c r="F4458" s="13" t="s">
        <v>11</v>
      </c>
    </row>
    <row r="4459" ht="18" customHeight="1" spans="1:6">
      <c r="A4459" s="15" t="s">
        <v>8209</v>
      </c>
      <c r="B4459" s="15" t="s">
        <v>8723</v>
      </c>
      <c r="C4459" s="9" t="s">
        <v>8780</v>
      </c>
      <c r="D4459" s="13">
        <v>1</v>
      </c>
      <c r="E4459" s="15" t="s">
        <v>8781</v>
      </c>
      <c r="F4459" s="13" t="s">
        <v>11</v>
      </c>
    </row>
    <row r="4460" ht="18" customHeight="1" spans="1:6">
      <c r="A4460" s="15" t="s">
        <v>8209</v>
      </c>
      <c r="B4460" s="15" t="s">
        <v>8723</v>
      </c>
      <c r="C4460" s="9" t="s">
        <v>8782</v>
      </c>
      <c r="D4460" s="13">
        <v>1</v>
      </c>
      <c r="E4460" s="186" t="s">
        <v>8783</v>
      </c>
      <c r="F4460" s="13" t="s">
        <v>11</v>
      </c>
    </row>
    <row r="4461" ht="18" customHeight="1" spans="1:6">
      <c r="A4461" s="15" t="s">
        <v>8209</v>
      </c>
      <c r="B4461" s="15" t="s">
        <v>8723</v>
      </c>
      <c r="C4461" s="9" t="s">
        <v>8784</v>
      </c>
      <c r="D4461" s="13">
        <v>1</v>
      </c>
      <c r="E4461" s="186" t="s">
        <v>8785</v>
      </c>
      <c r="F4461" s="13" t="s">
        <v>11</v>
      </c>
    </row>
    <row r="4462" ht="18" customHeight="1" spans="1:6">
      <c r="A4462" s="15" t="s">
        <v>8209</v>
      </c>
      <c r="B4462" s="15" t="s">
        <v>8723</v>
      </c>
      <c r="C4462" s="15" t="s">
        <v>8786</v>
      </c>
      <c r="D4462" s="13">
        <v>2</v>
      </c>
      <c r="E4462" s="186" t="s">
        <v>8787</v>
      </c>
      <c r="F4462" s="13" t="s">
        <v>11</v>
      </c>
    </row>
    <row r="4463" ht="18" customHeight="1" spans="1:6">
      <c r="A4463" s="15" t="s">
        <v>8209</v>
      </c>
      <c r="B4463" s="15" t="s">
        <v>8723</v>
      </c>
      <c r="C4463" s="15" t="s">
        <v>8788</v>
      </c>
      <c r="D4463" s="13">
        <v>3</v>
      </c>
      <c r="E4463" s="15" t="s">
        <v>8789</v>
      </c>
      <c r="F4463" s="13" t="s">
        <v>11</v>
      </c>
    </row>
    <row r="4464" ht="18" customHeight="1" spans="1:6">
      <c r="A4464" s="15" t="s">
        <v>8209</v>
      </c>
      <c r="B4464" s="15" t="s">
        <v>8723</v>
      </c>
      <c r="C4464" s="15" t="s">
        <v>8790</v>
      </c>
      <c r="D4464" s="13">
        <v>5</v>
      </c>
      <c r="E4464" s="15" t="s">
        <v>8791</v>
      </c>
      <c r="F4464" s="13" t="s">
        <v>11</v>
      </c>
    </row>
    <row r="4465" ht="18" customHeight="1" spans="1:6">
      <c r="A4465" s="15" t="s">
        <v>8209</v>
      </c>
      <c r="B4465" s="15" t="s">
        <v>8723</v>
      </c>
      <c r="C4465" s="15" t="s">
        <v>8792</v>
      </c>
      <c r="D4465" s="13">
        <v>2</v>
      </c>
      <c r="E4465" s="15" t="s">
        <v>8793</v>
      </c>
      <c r="F4465" s="13" t="s">
        <v>11</v>
      </c>
    </row>
    <row r="4466" ht="18" customHeight="1" spans="1:6">
      <c r="A4466" s="15" t="s">
        <v>8209</v>
      </c>
      <c r="B4466" s="15" t="s">
        <v>8723</v>
      </c>
      <c r="C4466" s="15" t="s">
        <v>8794</v>
      </c>
      <c r="D4466" s="13">
        <v>4</v>
      </c>
      <c r="E4466" s="15" t="s">
        <v>8795</v>
      </c>
      <c r="F4466" s="13" t="s">
        <v>11</v>
      </c>
    </row>
    <row r="4467" ht="18" customHeight="1" spans="1:6">
      <c r="A4467" s="15" t="s">
        <v>8209</v>
      </c>
      <c r="B4467" s="15" t="s">
        <v>8723</v>
      </c>
      <c r="C4467" s="15" t="s">
        <v>8796</v>
      </c>
      <c r="D4467" s="13">
        <v>1</v>
      </c>
      <c r="E4467" s="15" t="s">
        <v>8797</v>
      </c>
      <c r="F4467" s="13" t="s">
        <v>11</v>
      </c>
    </row>
    <row r="4468" ht="18" customHeight="1" spans="1:6">
      <c r="A4468" s="15" t="s">
        <v>8209</v>
      </c>
      <c r="B4468" s="15" t="s">
        <v>8723</v>
      </c>
      <c r="C4468" s="15" t="s">
        <v>8798</v>
      </c>
      <c r="D4468" s="13">
        <v>1</v>
      </c>
      <c r="E4468" s="15" t="s">
        <v>8799</v>
      </c>
      <c r="F4468" s="13" t="s">
        <v>11</v>
      </c>
    </row>
    <row r="4469" ht="18" customHeight="1" spans="1:6">
      <c r="A4469" s="15" t="s">
        <v>8209</v>
      </c>
      <c r="B4469" s="15" t="s">
        <v>8723</v>
      </c>
      <c r="C4469" s="15" t="s">
        <v>8800</v>
      </c>
      <c r="D4469" s="13">
        <v>2</v>
      </c>
      <c r="E4469" s="15" t="s">
        <v>8801</v>
      </c>
      <c r="F4469" s="13" t="s">
        <v>11</v>
      </c>
    </row>
    <row r="4470" ht="18" customHeight="1" spans="1:6">
      <c r="A4470" s="15" t="s">
        <v>8209</v>
      </c>
      <c r="B4470" s="15" t="s">
        <v>8723</v>
      </c>
      <c r="C4470" s="15" t="s">
        <v>8802</v>
      </c>
      <c r="D4470" s="13">
        <v>1</v>
      </c>
      <c r="E4470" s="15" t="s">
        <v>8803</v>
      </c>
      <c r="F4470" s="13" t="s">
        <v>11</v>
      </c>
    </row>
    <row r="4471" ht="18" customHeight="1" spans="1:6">
      <c r="A4471" s="15" t="s">
        <v>8209</v>
      </c>
      <c r="B4471" s="15" t="s">
        <v>8723</v>
      </c>
      <c r="C4471" s="15" t="s">
        <v>8804</v>
      </c>
      <c r="D4471" s="13">
        <v>1</v>
      </c>
      <c r="E4471" s="15" t="s">
        <v>8805</v>
      </c>
      <c r="F4471" s="13" t="s">
        <v>11</v>
      </c>
    </row>
    <row r="4472" ht="18" customHeight="1" spans="1:6">
      <c r="A4472" s="15" t="s">
        <v>8209</v>
      </c>
      <c r="B4472" s="15" t="s">
        <v>8723</v>
      </c>
      <c r="C4472" s="15" t="s">
        <v>8806</v>
      </c>
      <c r="D4472" s="13">
        <v>2</v>
      </c>
      <c r="E4472" s="15" t="s">
        <v>8807</v>
      </c>
      <c r="F4472" s="13" t="s">
        <v>11</v>
      </c>
    </row>
    <row r="4473" ht="18" customHeight="1" spans="1:6">
      <c r="A4473" s="15" t="s">
        <v>8209</v>
      </c>
      <c r="B4473" s="15" t="s">
        <v>8808</v>
      </c>
      <c r="C4473" s="15" t="s">
        <v>8809</v>
      </c>
      <c r="D4473" s="13">
        <v>3</v>
      </c>
      <c r="E4473" s="186" t="s">
        <v>8810</v>
      </c>
      <c r="F4473" s="13" t="s">
        <v>11</v>
      </c>
    </row>
    <row r="4474" ht="18" customHeight="1" spans="1:6">
      <c r="A4474" s="15" t="s">
        <v>8209</v>
      </c>
      <c r="B4474" s="15" t="s">
        <v>8808</v>
      </c>
      <c r="C4474" s="15" t="s">
        <v>8811</v>
      </c>
      <c r="D4474" s="13">
        <v>3</v>
      </c>
      <c r="E4474" s="186" t="s">
        <v>8812</v>
      </c>
      <c r="F4474" s="13" t="s">
        <v>11</v>
      </c>
    </row>
    <row r="4475" ht="18" customHeight="1" spans="1:6">
      <c r="A4475" s="15" t="s">
        <v>8209</v>
      </c>
      <c r="B4475" s="15" t="s">
        <v>8808</v>
      </c>
      <c r="C4475" s="15" t="s">
        <v>8813</v>
      </c>
      <c r="D4475" s="13">
        <v>6</v>
      </c>
      <c r="E4475" s="186" t="s">
        <v>8814</v>
      </c>
      <c r="F4475" s="13" t="s">
        <v>11</v>
      </c>
    </row>
    <row r="4476" ht="18" customHeight="1" spans="1:6">
      <c r="A4476" s="15" t="s">
        <v>8209</v>
      </c>
      <c r="B4476" s="15" t="s">
        <v>8808</v>
      </c>
      <c r="C4476" s="15" t="s">
        <v>8815</v>
      </c>
      <c r="D4476" s="13">
        <v>1</v>
      </c>
      <c r="E4476" s="186" t="s">
        <v>8816</v>
      </c>
      <c r="F4476" s="13" t="s">
        <v>11</v>
      </c>
    </row>
    <row r="4477" ht="18" customHeight="1" spans="1:6">
      <c r="A4477" s="15" t="s">
        <v>8209</v>
      </c>
      <c r="B4477" s="15" t="s">
        <v>8808</v>
      </c>
      <c r="C4477" s="15" t="s">
        <v>8817</v>
      </c>
      <c r="D4477" s="13">
        <v>4</v>
      </c>
      <c r="E4477" s="186" t="s">
        <v>8818</v>
      </c>
      <c r="F4477" s="13" t="s">
        <v>11</v>
      </c>
    </row>
    <row r="4478" ht="18" customHeight="1" spans="1:6">
      <c r="A4478" s="15" t="s">
        <v>8209</v>
      </c>
      <c r="B4478" s="15" t="s">
        <v>8257</v>
      </c>
      <c r="C4478" s="15" t="s">
        <v>8819</v>
      </c>
      <c r="D4478" s="13" t="s">
        <v>8820</v>
      </c>
      <c r="E4478" s="6" t="s">
        <v>8821</v>
      </c>
      <c r="F4478" s="13" t="s">
        <v>11</v>
      </c>
    </row>
    <row r="4479" ht="18" customHeight="1" spans="1:6">
      <c r="A4479" s="15" t="s">
        <v>8209</v>
      </c>
      <c r="B4479" s="15" t="s">
        <v>8257</v>
      </c>
      <c r="C4479" s="15" t="s">
        <v>8822</v>
      </c>
      <c r="D4479" s="13" t="s">
        <v>8820</v>
      </c>
      <c r="E4479" s="186" t="s">
        <v>8823</v>
      </c>
      <c r="F4479" s="13" t="s">
        <v>11</v>
      </c>
    </row>
    <row r="4480" ht="18" customHeight="1" spans="1:6">
      <c r="A4480" s="15" t="s">
        <v>8209</v>
      </c>
      <c r="B4480" s="15" t="s">
        <v>8285</v>
      </c>
      <c r="C4480" s="11" t="s">
        <v>8824</v>
      </c>
      <c r="D4480" s="13" t="s">
        <v>8825</v>
      </c>
      <c r="E4480" s="11" t="s">
        <v>8826</v>
      </c>
      <c r="F4480" s="13" t="s">
        <v>11</v>
      </c>
    </row>
    <row r="4481" ht="18" customHeight="1" spans="1:6">
      <c r="A4481" s="15" t="s">
        <v>8209</v>
      </c>
      <c r="B4481" s="15" t="s">
        <v>8642</v>
      </c>
      <c r="C4481" s="15" t="s">
        <v>8827</v>
      </c>
      <c r="D4481" s="13" t="s">
        <v>8820</v>
      </c>
      <c r="E4481" s="186" t="s">
        <v>8828</v>
      </c>
      <c r="F4481" s="13" t="s">
        <v>11</v>
      </c>
    </row>
    <row r="4482" ht="18" customHeight="1" spans="1:6">
      <c r="A4482" s="15" t="s">
        <v>8209</v>
      </c>
      <c r="B4482" s="15" t="s">
        <v>8642</v>
      </c>
      <c r="C4482" s="15" t="s">
        <v>8829</v>
      </c>
      <c r="D4482" s="13" t="s">
        <v>8820</v>
      </c>
      <c r="E4482" s="186" t="s">
        <v>8830</v>
      </c>
      <c r="F4482" s="13" t="s">
        <v>11</v>
      </c>
    </row>
    <row r="4483" ht="18" customHeight="1" spans="1:6">
      <c r="A4483" s="15" t="s">
        <v>8209</v>
      </c>
      <c r="B4483" s="15" t="s">
        <v>8642</v>
      </c>
      <c r="C4483" s="15" t="s">
        <v>8831</v>
      </c>
      <c r="D4483" s="13" t="s">
        <v>8820</v>
      </c>
      <c r="E4483" s="186" t="s">
        <v>8832</v>
      </c>
      <c r="F4483" s="13" t="s">
        <v>11</v>
      </c>
    </row>
    <row r="4484" ht="18" customHeight="1" spans="1:6">
      <c r="A4484" s="15" t="s">
        <v>8209</v>
      </c>
      <c r="B4484" s="15" t="s">
        <v>8642</v>
      </c>
      <c r="C4484" s="15" t="s">
        <v>8833</v>
      </c>
      <c r="D4484" s="13" t="s">
        <v>8820</v>
      </c>
      <c r="E4484" s="186" t="s">
        <v>8834</v>
      </c>
      <c r="F4484" s="13" t="s">
        <v>11</v>
      </c>
    </row>
    <row r="4485" ht="18" customHeight="1" spans="1:6">
      <c r="A4485" s="15" t="s">
        <v>8209</v>
      </c>
      <c r="B4485" s="15" t="s">
        <v>8642</v>
      </c>
      <c r="C4485" s="15" t="s">
        <v>8835</v>
      </c>
      <c r="D4485" s="13" t="s">
        <v>8820</v>
      </c>
      <c r="E4485" s="186" t="s">
        <v>8836</v>
      </c>
      <c r="F4485" s="13" t="s">
        <v>11</v>
      </c>
    </row>
    <row r="4486" ht="18" customHeight="1" spans="1:6">
      <c r="A4486" s="15" t="s">
        <v>8209</v>
      </c>
      <c r="B4486" s="15" t="s">
        <v>8642</v>
      </c>
      <c r="C4486" s="15" t="s">
        <v>8837</v>
      </c>
      <c r="D4486" s="13" t="s">
        <v>8825</v>
      </c>
      <c r="E4486" s="186" t="s">
        <v>8838</v>
      </c>
      <c r="F4486" s="13" t="s">
        <v>11</v>
      </c>
    </row>
    <row r="4487" ht="18" customHeight="1" spans="1:6">
      <c r="A4487" s="15" t="s">
        <v>8209</v>
      </c>
      <c r="B4487" s="15" t="s">
        <v>8723</v>
      </c>
      <c r="C4487" s="6" t="s">
        <v>8839</v>
      </c>
      <c r="D4487" s="13" t="s">
        <v>8825</v>
      </c>
      <c r="E4487" s="6" t="s">
        <v>8840</v>
      </c>
      <c r="F4487" s="13" t="s">
        <v>11</v>
      </c>
    </row>
    <row r="4488" ht="18" customHeight="1" spans="1:6">
      <c r="A4488" s="15" t="s">
        <v>8209</v>
      </c>
      <c r="B4488" s="15" t="s">
        <v>8808</v>
      </c>
      <c r="C4488" s="15" t="s">
        <v>8841</v>
      </c>
      <c r="D4488" s="13" t="s">
        <v>8842</v>
      </c>
      <c r="E4488" s="186" t="s">
        <v>8843</v>
      </c>
      <c r="F4488" s="13" t="s">
        <v>11</v>
      </c>
    </row>
    <row r="4489" ht="18" customHeight="1" spans="1:6">
      <c r="A4489" s="13" t="s">
        <v>8844</v>
      </c>
      <c r="B4489" s="13"/>
      <c r="C4489" s="13">
        <v>308</v>
      </c>
      <c r="D4489" s="13">
        <v>747</v>
      </c>
      <c r="E4489" s="13"/>
      <c r="F4489" s="13"/>
    </row>
    <row r="4490" ht="18" customHeight="1" spans="1:6">
      <c r="A4490" s="13" t="s">
        <v>8845</v>
      </c>
      <c r="B4490" s="13" t="s">
        <v>8846</v>
      </c>
      <c r="C4490" s="13" t="s">
        <v>8847</v>
      </c>
      <c r="D4490" s="5">
        <v>5</v>
      </c>
      <c r="E4490" s="5" t="s">
        <v>8848</v>
      </c>
      <c r="F4490" s="13" t="s">
        <v>11</v>
      </c>
    </row>
    <row r="4491" ht="18" customHeight="1" spans="1:6">
      <c r="A4491" s="13" t="s">
        <v>8845</v>
      </c>
      <c r="B4491" s="13" t="s">
        <v>8846</v>
      </c>
      <c r="C4491" s="13" t="s">
        <v>8849</v>
      </c>
      <c r="D4491" s="13">
        <v>3</v>
      </c>
      <c r="E4491" s="19" t="s">
        <v>8850</v>
      </c>
      <c r="F4491" s="13" t="s">
        <v>11</v>
      </c>
    </row>
    <row r="4492" ht="18" customHeight="1" spans="1:6">
      <c r="A4492" s="13" t="s">
        <v>8845</v>
      </c>
      <c r="B4492" s="13" t="s">
        <v>8846</v>
      </c>
      <c r="C4492" s="13" t="s">
        <v>8851</v>
      </c>
      <c r="D4492" s="5">
        <v>3</v>
      </c>
      <c r="E4492" s="19" t="s">
        <v>8852</v>
      </c>
      <c r="F4492" s="13" t="s">
        <v>11</v>
      </c>
    </row>
    <row r="4493" ht="18" customHeight="1" spans="1:6">
      <c r="A4493" s="13" t="s">
        <v>8845</v>
      </c>
      <c r="B4493" s="13" t="s">
        <v>8846</v>
      </c>
      <c r="C4493" s="13" t="s">
        <v>8853</v>
      </c>
      <c r="D4493" s="13">
        <v>1</v>
      </c>
      <c r="E4493" s="19" t="s">
        <v>8854</v>
      </c>
      <c r="F4493" s="13" t="s">
        <v>11</v>
      </c>
    </row>
    <row r="4494" ht="18" customHeight="1" spans="1:6">
      <c r="A4494" s="13" t="s">
        <v>8845</v>
      </c>
      <c r="B4494" s="13" t="s">
        <v>8846</v>
      </c>
      <c r="C4494" s="13" t="s">
        <v>8855</v>
      </c>
      <c r="D4494" s="13">
        <v>1</v>
      </c>
      <c r="E4494" s="19" t="s">
        <v>8856</v>
      </c>
      <c r="F4494" s="13" t="s">
        <v>11</v>
      </c>
    </row>
    <row r="4495" ht="18" customHeight="1" spans="1:6">
      <c r="A4495" s="13" t="s">
        <v>8845</v>
      </c>
      <c r="B4495" s="13" t="s">
        <v>8857</v>
      </c>
      <c r="C4495" s="13" t="s">
        <v>8858</v>
      </c>
      <c r="D4495" s="13">
        <v>4</v>
      </c>
      <c r="E4495" s="13" t="s">
        <v>8859</v>
      </c>
      <c r="F4495" s="13" t="s">
        <v>11</v>
      </c>
    </row>
    <row r="4496" ht="18" customHeight="1" spans="1:6">
      <c r="A4496" s="13" t="s">
        <v>8845</v>
      </c>
      <c r="B4496" s="13" t="s">
        <v>8857</v>
      </c>
      <c r="C4496" s="13" t="s">
        <v>8860</v>
      </c>
      <c r="D4496" s="13">
        <v>4</v>
      </c>
      <c r="E4496" s="13" t="s">
        <v>8861</v>
      </c>
      <c r="F4496" s="13" t="s">
        <v>11</v>
      </c>
    </row>
    <row r="4497" ht="18" customHeight="1" spans="1:6">
      <c r="A4497" s="13" t="s">
        <v>8845</v>
      </c>
      <c r="B4497" s="13" t="s">
        <v>8857</v>
      </c>
      <c r="C4497" s="13" t="s">
        <v>8862</v>
      </c>
      <c r="D4497" s="13">
        <v>5</v>
      </c>
      <c r="E4497" s="13" t="s">
        <v>8863</v>
      </c>
      <c r="F4497" s="13" t="s">
        <v>11</v>
      </c>
    </row>
    <row r="4498" ht="18" customHeight="1" spans="1:6">
      <c r="A4498" s="13" t="s">
        <v>8845</v>
      </c>
      <c r="B4498" s="13" t="s">
        <v>8857</v>
      </c>
      <c r="C4498" s="13" t="s">
        <v>8864</v>
      </c>
      <c r="D4498" s="13">
        <v>4</v>
      </c>
      <c r="E4498" s="13" t="s">
        <v>8865</v>
      </c>
      <c r="F4498" s="13" t="s">
        <v>11</v>
      </c>
    </row>
    <row r="4499" ht="18" customHeight="1" spans="1:6">
      <c r="A4499" s="13" t="s">
        <v>8845</v>
      </c>
      <c r="B4499" s="13" t="s">
        <v>8857</v>
      </c>
      <c r="C4499" s="13" t="s">
        <v>8866</v>
      </c>
      <c r="D4499" s="13">
        <v>3</v>
      </c>
      <c r="E4499" s="13" t="s">
        <v>8867</v>
      </c>
      <c r="F4499" s="13" t="s">
        <v>11</v>
      </c>
    </row>
    <row r="4500" ht="18" customHeight="1" spans="1:6">
      <c r="A4500" s="13" t="s">
        <v>8845</v>
      </c>
      <c r="B4500" s="13" t="s">
        <v>8857</v>
      </c>
      <c r="C4500" s="13" t="s">
        <v>8868</v>
      </c>
      <c r="D4500" s="13">
        <v>5</v>
      </c>
      <c r="E4500" s="13" t="s">
        <v>8869</v>
      </c>
      <c r="F4500" s="13" t="s">
        <v>11</v>
      </c>
    </row>
    <row r="4501" ht="18" customHeight="1" spans="1:6">
      <c r="A4501" s="13" t="s">
        <v>8845</v>
      </c>
      <c r="B4501" s="13" t="s">
        <v>8857</v>
      </c>
      <c r="C4501" s="13" t="s">
        <v>8870</v>
      </c>
      <c r="D4501" s="13">
        <v>2</v>
      </c>
      <c r="E4501" s="13" t="s">
        <v>8871</v>
      </c>
      <c r="F4501" s="13" t="s">
        <v>11</v>
      </c>
    </row>
    <row r="4502" ht="18" customHeight="1" spans="1:6">
      <c r="A4502" s="13" t="s">
        <v>8845</v>
      </c>
      <c r="B4502" s="13" t="s">
        <v>8857</v>
      </c>
      <c r="C4502" s="13" t="s">
        <v>8872</v>
      </c>
      <c r="D4502" s="13">
        <v>4</v>
      </c>
      <c r="E4502" s="13" t="s">
        <v>8873</v>
      </c>
      <c r="F4502" s="13" t="s">
        <v>11</v>
      </c>
    </row>
    <row r="4503" ht="18" customHeight="1" spans="1:6">
      <c r="A4503" s="13" t="s">
        <v>8845</v>
      </c>
      <c r="B4503" s="13" t="s">
        <v>8857</v>
      </c>
      <c r="C4503" s="13" t="s">
        <v>8874</v>
      </c>
      <c r="D4503" s="13">
        <v>4</v>
      </c>
      <c r="E4503" s="13" t="s">
        <v>8875</v>
      </c>
      <c r="F4503" s="13" t="s">
        <v>11</v>
      </c>
    </row>
    <row r="4504" ht="18" customHeight="1" spans="1:6">
      <c r="A4504" s="13" t="s">
        <v>8845</v>
      </c>
      <c r="B4504" s="13" t="s">
        <v>8876</v>
      </c>
      <c r="C4504" s="13" t="s">
        <v>8877</v>
      </c>
      <c r="D4504" s="13">
        <v>1</v>
      </c>
      <c r="E4504" s="14" t="s">
        <v>8878</v>
      </c>
      <c r="F4504" s="13" t="s">
        <v>11</v>
      </c>
    </row>
    <row r="4505" ht="18" customHeight="1" spans="1:6">
      <c r="A4505" s="13" t="s">
        <v>8845</v>
      </c>
      <c r="B4505" s="13" t="s">
        <v>8876</v>
      </c>
      <c r="C4505" s="13" t="s">
        <v>8879</v>
      </c>
      <c r="D4505" s="13">
        <v>3</v>
      </c>
      <c r="E4505" s="14" t="s">
        <v>8880</v>
      </c>
      <c r="F4505" s="13" t="s">
        <v>11</v>
      </c>
    </row>
    <row r="4506" ht="18" customHeight="1" spans="1:6">
      <c r="A4506" s="13" t="s">
        <v>8845</v>
      </c>
      <c r="B4506" s="13" t="s">
        <v>8876</v>
      </c>
      <c r="C4506" s="13" t="s">
        <v>8881</v>
      </c>
      <c r="D4506" s="13">
        <v>4</v>
      </c>
      <c r="E4506" s="14" t="str">
        <f>LEFT("422626197102231116",19)</f>
        <v>422626197102231116</v>
      </c>
      <c r="F4506" s="13" t="s">
        <v>11</v>
      </c>
    </row>
    <row r="4507" ht="18" customHeight="1" spans="1:6">
      <c r="A4507" s="13" t="s">
        <v>8845</v>
      </c>
      <c r="B4507" s="13" t="s">
        <v>8876</v>
      </c>
      <c r="C4507" s="13" t="s">
        <v>8882</v>
      </c>
      <c r="D4507" s="13">
        <v>1</v>
      </c>
      <c r="E4507" s="14" t="str">
        <f>LEFT("420325197106161114",19)</f>
        <v>420325197106161114</v>
      </c>
      <c r="F4507" s="13" t="s">
        <v>11</v>
      </c>
    </row>
    <row r="4508" ht="18" customHeight="1" spans="1:6">
      <c r="A4508" s="13" t="s">
        <v>8845</v>
      </c>
      <c r="B4508" s="13" t="s">
        <v>8876</v>
      </c>
      <c r="C4508" s="13" t="s">
        <v>8883</v>
      </c>
      <c r="D4508" s="13">
        <v>1</v>
      </c>
      <c r="E4508" s="14" t="str">
        <f>LEFT("422626197302251138",19)</f>
        <v>422626197302251138</v>
      </c>
      <c r="F4508" s="13" t="s">
        <v>11</v>
      </c>
    </row>
    <row r="4509" ht="18" customHeight="1" spans="1:6">
      <c r="A4509" s="13" t="s">
        <v>8845</v>
      </c>
      <c r="B4509" s="13" t="s">
        <v>8884</v>
      </c>
      <c r="C4509" s="13" t="s">
        <v>8885</v>
      </c>
      <c r="D4509" s="13">
        <v>1</v>
      </c>
      <c r="E4509" s="5" t="str">
        <f>LEFT("42262619491105112X",19)</f>
        <v>42262619491105112X</v>
      </c>
      <c r="F4509" s="13" t="s">
        <v>11</v>
      </c>
    </row>
    <row r="4510" ht="18" customHeight="1" spans="1:6">
      <c r="A4510" s="13" t="s">
        <v>8845</v>
      </c>
      <c r="B4510" s="13" t="s">
        <v>8884</v>
      </c>
      <c r="C4510" s="13" t="s">
        <v>8886</v>
      </c>
      <c r="D4510" s="13">
        <v>1</v>
      </c>
      <c r="E4510" s="5" t="str">
        <f>LEFT("422626196209041115",19)</f>
        <v>422626196209041115</v>
      </c>
      <c r="F4510" s="13" t="s">
        <v>11</v>
      </c>
    </row>
    <row r="4511" ht="18" customHeight="1" spans="1:6">
      <c r="A4511" s="13" t="s">
        <v>8845</v>
      </c>
      <c r="B4511" s="13" t="s">
        <v>8884</v>
      </c>
      <c r="C4511" s="13" t="s">
        <v>8887</v>
      </c>
      <c r="D4511" s="13">
        <v>1</v>
      </c>
      <c r="E4511" s="5" t="str">
        <f>LEFT("422626194801091139",19)</f>
        <v>422626194801091139</v>
      </c>
      <c r="F4511" s="13" t="s">
        <v>11</v>
      </c>
    </row>
    <row r="4512" ht="18" customHeight="1" spans="1:6">
      <c r="A4512" s="13" t="s">
        <v>8845</v>
      </c>
      <c r="B4512" s="13" t="s">
        <v>8884</v>
      </c>
      <c r="C4512" s="13" t="s">
        <v>8888</v>
      </c>
      <c r="D4512" s="13">
        <v>3</v>
      </c>
      <c r="E4512" s="5" t="str">
        <f>LEFT("422626193903041111",19)</f>
        <v>422626193903041111</v>
      </c>
      <c r="F4512" s="13" t="s">
        <v>11</v>
      </c>
    </row>
    <row r="4513" ht="18" customHeight="1" spans="1:6">
      <c r="A4513" s="13" t="s">
        <v>8845</v>
      </c>
      <c r="B4513" s="13" t="s">
        <v>8884</v>
      </c>
      <c r="C4513" s="13" t="s">
        <v>8889</v>
      </c>
      <c r="D4513" s="13">
        <v>3</v>
      </c>
      <c r="E4513" s="5" t="str">
        <f>LEFT("422626196805161113",19)</f>
        <v>422626196805161113</v>
      </c>
      <c r="F4513" s="13" t="s">
        <v>11</v>
      </c>
    </row>
    <row r="4514" ht="18" customHeight="1" spans="1:6">
      <c r="A4514" s="13" t="s">
        <v>8845</v>
      </c>
      <c r="B4514" s="13" t="s">
        <v>8884</v>
      </c>
      <c r="C4514" s="13" t="s">
        <v>8890</v>
      </c>
      <c r="D4514" s="13">
        <v>3</v>
      </c>
      <c r="E4514" s="5" t="str">
        <f>LEFT("420325198210141150",19)</f>
        <v>420325198210141150</v>
      </c>
      <c r="F4514" s="13" t="s">
        <v>11</v>
      </c>
    </row>
    <row r="4515" ht="18" customHeight="1" spans="1:6">
      <c r="A4515" s="13" t="s">
        <v>8845</v>
      </c>
      <c r="B4515" s="13" t="s">
        <v>8884</v>
      </c>
      <c r="C4515" s="13" t="s">
        <v>8891</v>
      </c>
      <c r="D4515" s="13">
        <v>1</v>
      </c>
      <c r="E4515" s="5" t="str">
        <f>LEFT("422626195202041126",19)</f>
        <v>422626195202041126</v>
      </c>
      <c r="F4515" s="13" t="s">
        <v>11</v>
      </c>
    </row>
    <row r="4516" ht="18" customHeight="1" spans="1:6">
      <c r="A4516" s="13" t="s">
        <v>8845</v>
      </c>
      <c r="B4516" s="13" t="s">
        <v>8884</v>
      </c>
      <c r="C4516" s="13" t="s">
        <v>8892</v>
      </c>
      <c r="D4516" s="13">
        <v>2</v>
      </c>
      <c r="E4516" s="5" t="str">
        <f>LEFT("422626193210031113",19)</f>
        <v>422626193210031113</v>
      </c>
      <c r="F4516" s="13" t="s">
        <v>11</v>
      </c>
    </row>
    <row r="4517" ht="18" customHeight="1" spans="1:6">
      <c r="A4517" s="13" t="s">
        <v>8845</v>
      </c>
      <c r="B4517" s="13" t="s">
        <v>8884</v>
      </c>
      <c r="C4517" s="14" t="s">
        <v>8893</v>
      </c>
      <c r="D4517" s="15">
        <v>3</v>
      </c>
      <c r="E4517" s="5" t="str">
        <f>LEFT("42032519810129115X",19)</f>
        <v>42032519810129115X</v>
      </c>
      <c r="F4517" s="13" t="s">
        <v>11</v>
      </c>
    </row>
    <row r="4518" ht="18" customHeight="1" spans="1:6">
      <c r="A4518" s="149" t="s">
        <v>8845</v>
      </c>
      <c r="B4518" s="149" t="s">
        <v>8894</v>
      </c>
      <c r="C4518" s="149" t="s">
        <v>8895</v>
      </c>
      <c r="D4518" s="149">
        <v>4</v>
      </c>
      <c r="E4518" s="149" t="s">
        <v>8896</v>
      </c>
      <c r="F4518" s="149" t="s">
        <v>11</v>
      </c>
    </row>
    <row r="4519" ht="18" customHeight="1" spans="1:6">
      <c r="A4519" s="149" t="s">
        <v>8845</v>
      </c>
      <c r="B4519" s="149" t="s">
        <v>8894</v>
      </c>
      <c r="C4519" s="149" t="s">
        <v>8897</v>
      </c>
      <c r="D4519" s="149">
        <v>4</v>
      </c>
      <c r="E4519" s="149" t="s">
        <v>8898</v>
      </c>
      <c r="F4519" s="149" t="s">
        <v>11</v>
      </c>
    </row>
    <row r="4520" ht="18" customHeight="1" spans="1:6">
      <c r="A4520" s="149" t="s">
        <v>8845</v>
      </c>
      <c r="B4520" s="149" t="s">
        <v>8894</v>
      </c>
      <c r="C4520" s="149" t="s">
        <v>8899</v>
      </c>
      <c r="D4520" s="149">
        <v>5</v>
      </c>
      <c r="E4520" s="149" t="s">
        <v>8900</v>
      </c>
      <c r="F4520" s="149" t="s">
        <v>11</v>
      </c>
    </row>
    <row r="4521" ht="18" customHeight="1" spans="1:6">
      <c r="A4521" s="149" t="s">
        <v>8845</v>
      </c>
      <c r="B4521" s="149" t="s">
        <v>8894</v>
      </c>
      <c r="C4521" s="149" t="s">
        <v>8901</v>
      </c>
      <c r="D4521" s="149">
        <v>3</v>
      </c>
      <c r="E4521" s="149" t="s">
        <v>8902</v>
      </c>
      <c r="F4521" s="149" t="s">
        <v>11</v>
      </c>
    </row>
    <row r="4522" ht="18" customHeight="1" spans="1:6">
      <c r="A4522" s="149" t="s">
        <v>8845</v>
      </c>
      <c r="B4522" s="149" t="s">
        <v>8894</v>
      </c>
      <c r="C4522" s="149" t="s">
        <v>8903</v>
      </c>
      <c r="D4522" s="149">
        <v>4</v>
      </c>
      <c r="E4522" s="149" t="s">
        <v>8904</v>
      </c>
      <c r="F4522" s="149" t="s">
        <v>11</v>
      </c>
    </row>
    <row r="4523" ht="18" customHeight="1" spans="1:6">
      <c r="A4523" s="149" t="s">
        <v>8845</v>
      </c>
      <c r="B4523" s="149" t="s">
        <v>8894</v>
      </c>
      <c r="C4523" s="149" t="s">
        <v>8905</v>
      </c>
      <c r="D4523" s="149">
        <v>3</v>
      </c>
      <c r="E4523" s="149" t="s">
        <v>8906</v>
      </c>
      <c r="F4523" s="149" t="s">
        <v>11</v>
      </c>
    </row>
    <row r="4524" ht="18" customHeight="1" spans="1:6">
      <c r="A4524" s="149" t="s">
        <v>8845</v>
      </c>
      <c r="B4524" s="149" t="s">
        <v>8894</v>
      </c>
      <c r="C4524" s="149" t="s">
        <v>8907</v>
      </c>
      <c r="D4524" s="149">
        <v>3</v>
      </c>
      <c r="E4524" s="149" t="s">
        <v>8908</v>
      </c>
      <c r="F4524" s="149" t="s">
        <v>11</v>
      </c>
    </row>
    <row r="4525" ht="18" customHeight="1" spans="1:6">
      <c r="A4525" s="149" t="s">
        <v>8845</v>
      </c>
      <c r="B4525" s="149" t="s">
        <v>8894</v>
      </c>
      <c r="C4525" s="149" t="s">
        <v>8909</v>
      </c>
      <c r="D4525" s="149">
        <v>4</v>
      </c>
      <c r="E4525" s="149" t="s">
        <v>8910</v>
      </c>
      <c r="F4525" s="149" t="s">
        <v>11</v>
      </c>
    </row>
    <row r="4526" ht="18" customHeight="1" spans="1:6">
      <c r="A4526" s="149" t="s">
        <v>8845</v>
      </c>
      <c r="B4526" s="149" t="s">
        <v>8894</v>
      </c>
      <c r="C4526" s="149" t="s">
        <v>8911</v>
      </c>
      <c r="D4526" s="149">
        <v>4</v>
      </c>
      <c r="E4526" s="149" t="s">
        <v>8912</v>
      </c>
      <c r="F4526" s="149" t="s">
        <v>11</v>
      </c>
    </row>
    <row r="4527" ht="18" customHeight="1" spans="1:6">
      <c r="A4527" s="149" t="s">
        <v>8845</v>
      </c>
      <c r="B4527" s="149" t="s">
        <v>8894</v>
      </c>
      <c r="C4527" s="149" t="s">
        <v>8913</v>
      </c>
      <c r="D4527" s="149">
        <v>4</v>
      </c>
      <c r="E4527" s="149" t="s">
        <v>8914</v>
      </c>
      <c r="F4527" s="149" t="s">
        <v>11</v>
      </c>
    </row>
    <row r="4528" ht="18" customHeight="1" spans="1:6">
      <c r="A4528" s="149" t="s">
        <v>8845</v>
      </c>
      <c r="B4528" s="149" t="s">
        <v>8894</v>
      </c>
      <c r="C4528" s="13" t="s">
        <v>8915</v>
      </c>
      <c r="D4528" s="13">
        <v>1</v>
      </c>
      <c r="E4528" s="5" t="s">
        <v>8916</v>
      </c>
      <c r="F4528" s="149" t="s">
        <v>11</v>
      </c>
    </row>
    <row r="4529" ht="18" customHeight="1" spans="1:6">
      <c r="A4529" s="149" t="s">
        <v>8845</v>
      </c>
      <c r="B4529" s="149" t="s">
        <v>8894</v>
      </c>
      <c r="C4529" s="13" t="s">
        <v>8917</v>
      </c>
      <c r="D4529" s="13">
        <v>1</v>
      </c>
      <c r="E4529" s="5" t="s">
        <v>8918</v>
      </c>
      <c r="F4529" s="149" t="s">
        <v>11</v>
      </c>
    </row>
    <row r="4530" ht="18" customHeight="1" spans="1:6">
      <c r="A4530" s="149" t="s">
        <v>8845</v>
      </c>
      <c r="B4530" s="149" t="s">
        <v>8919</v>
      </c>
      <c r="C4530" s="5" t="s">
        <v>2491</v>
      </c>
      <c r="D4530" s="13">
        <v>1</v>
      </c>
      <c r="E4530" s="8" t="str">
        <f>LEFT("420325198306091135",19)</f>
        <v>420325198306091135</v>
      </c>
      <c r="F4530" s="149" t="s">
        <v>11</v>
      </c>
    </row>
    <row r="4531" ht="18" customHeight="1" spans="1:6">
      <c r="A4531" s="149" t="s">
        <v>8845</v>
      </c>
      <c r="B4531" s="149" t="s">
        <v>8919</v>
      </c>
      <c r="C4531" s="5" t="s">
        <v>8920</v>
      </c>
      <c r="D4531" s="13">
        <v>1</v>
      </c>
      <c r="E4531" s="8" t="str">
        <f>LEFT("420325198508311116",19)</f>
        <v>420325198508311116</v>
      </c>
      <c r="F4531" s="149" t="s">
        <v>11</v>
      </c>
    </row>
    <row r="4532" ht="18" customHeight="1" spans="1:6">
      <c r="A4532" s="149" t="s">
        <v>8845</v>
      </c>
      <c r="B4532" s="149" t="s">
        <v>8919</v>
      </c>
      <c r="C4532" s="5" t="s">
        <v>8921</v>
      </c>
      <c r="D4532" s="13">
        <v>3</v>
      </c>
      <c r="E4532" s="8" t="str">
        <f>LEFT("422626195811011117",19)</f>
        <v>422626195811011117</v>
      </c>
      <c r="F4532" s="149" t="s">
        <v>11</v>
      </c>
    </row>
    <row r="4533" ht="18" customHeight="1" spans="1:6">
      <c r="A4533" s="149" t="s">
        <v>8845</v>
      </c>
      <c r="B4533" s="149" t="s">
        <v>8919</v>
      </c>
      <c r="C4533" s="5" t="s">
        <v>8922</v>
      </c>
      <c r="D4533" s="13">
        <v>4</v>
      </c>
      <c r="E4533" s="8" t="str">
        <f>LEFT("420325197908161159",19)</f>
        <v>420325197908161159</v>
      </c>
      <c r="F4533" s="149" t="s">
        <v>11</v>
      </c>
    </row>
    <row r="4534" ht="18" customHeight="1" spans="1:6">
      <c r="A4534" s="13" t="s">
        <v>8845</v>
      </c>
      <c r="B4534" s="13" t="s">
        <v>8923</v>
      </c>
      <c r="C4534" s="15" t="s">
        <v>8924</v>
      </c>
      <c r="D4534" s="15">
        <v>3</v>
      </c>
      <c r="E4534" s="5" t="s">
        <v>8925</v>
      </c>
      <c r="F4534" s="149" t="s">
        <v>11</v>
      </c>
    </row>
    <row r="4535" ht="18" customHeight="1" spans="1:6">
      <c r="A4535" s="13" t="s">
        <v>8845</v>
      </c>
      <c r="B4535" s="13" t="s">
        <v>8923</v>
      </c>
      <c r="C4535" s="15" t="s">
        <v>8926</v>
      </c>
      <c r="D4535" s="15">
        <v>3</v>
      </c>
      <c r="E4535" s="5" t="s">
        <v>8927</v>
      </c>
      <c r="F4535" s="149" t="s">
        <v>11</v>
      </c>
    </row>
    <row r="4536" ht="18" customHeight="1" spans="1:6">
      <c r="A4536" s="13" t="s">
        <v>8845</v>
      </c>
      <c r="B4536" s="13" t="s">
        <v>8923</v>
      </c>
      <c r="C4536" s="15" t="s">
        <v>8928</v>
      </c>
      <c r="D4536" s="15">
        <v>1</v>
      </c>
      <c r="E4536" s="5" t="s">
        <v>8929</v>
      </c>
      <c r="F4536" s="149" t="s">
        <v>11</v>
      </c>
    </row>
    <row r="4537" ht="18" customHeight="1" spans="1:6">
      <c r="A4537" s="13" t="s">
        <v>8845</v>
      </c>
      <c r="B4537" s="13" t="s">
        <v>8923</v>
      </c>
      <c r="C4537" s="13" t="s">
        <v>8930</v>
      </c>
      <c r="D4537" s="13">
        <v>2</v>
      </c>
      <c r="E4537" s="5" t="str">
        <f>LEFT("420325199102281142",19)</f>
        <v>420325199102281142</v>
      </c>
      <c r="F4537" s="149" t="s">
        <v>11</v>
      </c>
    </row>
    <row r="4538" ht="18" customHeight="1" spans="1:6">
      <c r="A4538" s="13" t="s">
        <v>8845</v>
      </c>
      <c r="B4538" s="13" t="s">
        <v>8923</v>
      </c>
      <c r="C4538" s="13" t="s">
        <v>8931</v>
      </c>
      <c r="D4538" s="13">
        <v>3</v>
      </c>
      <c r="E4538" s="5" t="str">
        <f>LEFT("42262619450131111X",19)</f>
        <v>42262619450131111X</v>
      </c>
      <c r="F4538" s="149" t="s">
        <v>11</v>
      </c>
    </row>
    <row r="4539" ht="18" customHeight="1" spans="1:6">
      <c r="A4539" s="13" t="s">
        <v>8845</v>
      </c>
      <c r="B4539" s="13" t="s">
        <v>8923</v>
      </c>
      <c r="C4539" s="13" t="s">
        <v>8932</v>
      </c>
      <c r="D4539" s="13">
        <v>4</v>
      </c>
      <c r="E4539" s="5" t="str">
        <f>LEFT("422626196907281132",19)</f>
        <v>422626196907281132</v>
      </c>
      <c r="F4539" s="149" t="s">
        <v>11</v>
      </c>
    </row>
    <row r="4540" ht="18" customHeight="1" spans="1:6">
      <c r="A4540" s="13" t="s">
        <v>8845</v>
      </c>
      <c r="B4540" s="13" t="s">
        <v>8923</v>
      </c>
      <c r="C4540" s="13" t="s">
        <v>8933</v>
      </c>
      <c r="D4540" s="13">
        <v>5</v>
      </c>
      <c r="E4540" s="5" t="str">
        <f>LEFT("422626197503081112",19)</f>
        <v>422626197503081112</v>
      </c>
      <c r="F4540" s="149" t="s">
        <v>11</v>
      </c>
    </row>
    <row r="4541" ht="18" customHeight="1" spans="1:6">
      <c r="A4541" s="5" t="s">
        <v>8845</v>
      </c>
      <c r="B4541" s="5" t="s">
        <v>8934</v>
      </c>
      <c r="C4541" s="5" t="s">
        <v>8935</v>
      </c>
      <c r="D4541" s="33">
        <v>5</v>
      </c>
      <c r="E4541" s="8" t="s">
        <v>8936</v>
      </c>
      <c r="F4541" s="5" t="s">
        <v>11</v>
      </c>
    </row>
    <row r="4542" ht="18" customHeight="1" spans="1:6">
      <c r="A4542" s="5" t="s">
        <v>8845</v>
      </c>
      <c r="B4542" s="5" t="s">
        <v>8934</v>
      </c>
      <c r="C4542" s="5" t="s">
        <v>8937</v>
      </c>
      <c r="D4542" s="33">
        <v>4</v>
      </c>
      <c r="E4542" s="8" t="s">
        <v>8938</v>
      </c>
      <c r="F4542" s="5" t="s">
        <v>11</v>
      </c>
    </row>
    <row r="4543" ht="18" customHeight="1" spans="1:6">
      <c r="A4543" s="5" t="s">
        <v>8845</v>
      </c>
      <c r="B4543" s="5" t="s">
        <v>8934</v>
      </c>
      <c r="C4543" s="5" t="s">
        <v>8939</v>
      </c>
      <c r="D4543" s="33">
        <v>2</v>
      </c>
      <c r="E4543" s="8" t="s">
        <v>8940</v>
      </c>
      <c r="F4543" s="5" t="s">
        <v>11</v>
      </c>
    </row>
    <row r="4544" ht="18" customHeight="1" spans="1:6">
      <c r="A4544" s="5" t="s">
        <v>8845</v>
      </c>
      <c r="B4544" s="5" t="s">
        <v>8934</v>
      </c>
      <c r="C4544" s="8" t="s">
        <v>8941</v>
      </c>
      <c r="D4544" s="8">
        <v>3</v>
      </c>
      <c r="E4544" s="5" t="str">
        <f>LEFT("420325197602141147",19)</f>
        <v>420325197602141147</v>
      </c>
      <c r="F4544" s="5" t="s">
        <v>11</v>
      </c>
    </row>
    <row r="4545" ht="18" customHeight="1" spans="1:6">
      <c r="A4545" s="5" t="s">
        <v>8845</v>
      </c>
      <c r="B4545" s="5" t="s">
        <v>8934</v>
      </c>
      <c r="C4545" s="8" t="s">
        <v>8942</v>
      </c>
      <c r="D4545" s="8">
        <v>3</v>
      </c>
      <c r="E4545" s="5" t="str">
        <f>LEFT("422626195704051113",19)</f>
        <v>422626195704051113</v>
      </c>
      <c r="F4545" s="5" t="s">
        <v>11</v>
      </c>
    </row>
    <row r="4546" ht="18" customHeight="1" spans="1:6">
      <c r="A4546" s="5" t="s">
        <v>8845</v>
      </c>
      <c r="B4546" s="5" t="s">
        <v>8934</v>
      </c>
      <c r="C4546" s="8" t="s">
        <v>8943</v>
      </c>
      <c r="D4546" s="8">
        <v>4</v>
      </c>
      <c r="E4546" s="8" t="s">
        <v>8944</v>
      </c>
      <c r="F4546" s="5" t="s">
        <v>11</v>
      </c>
    </row>
    <row r="4547" ht="18" customHeight="1" spans="1:6">
      <c r="A4547" s="5" t="s">
        <v>8845</v>
      </c>
      <c r="B4547" s="5" t="s">
        <v>8934</v>
      </c>
      <c r="C4547" s="5" t="s">
        <v>8945</v>
      </c>
      <c r="D4547" s="33">
        <v>3</v>
      </c>
      <c r="E4547" s="8" t="s">
        <v>8946</v>
      </c>
      <c r="F4547" s="5" t="s">
        <v>11</v>
      </c>
    </row>
    <row r="4548" ht="18" customHeight="1" spans="1:6">
      <c r="A4548" s="5" t="s">
        <v>8845</v>
      </c>
      <c r="B4548" s="5" t="s">
        <v>8934</v>
      </c>
      <c r="C4548" s="8" t="s">
        <v>8947</v>
      </c>
      <c r="D4548" s="33">
        <v>2</v>
      </c>
      <c r="E4548" s="8" t="s">
        <v>8948</v>
      </c>
      <c r="F4548" s="5" t="s">
        <v>11</v>
      </c>
    </row>
    <row r="4549" ht="18" customHeight="1" spans="1:6">
      <c r="A4549" s="5" t="s">
        <v>8845</v>
      </c>
      <c r="B4549" s="5" t="s">
        <v>8934</v>
      </c>
      <c r="C4549" s="5" t="s">
        <v>8949</v>
      </c>
      <c r="D4549" s="150">
        <v>3</v>
      </c>
      <c r="E4549" s="191" t="s">
        <v>8950</v>
      </c>
      <c r="F4549" s="5" t="s">
        <v>11</v>
      </c>
    </row>
    <row r="4550" ht="18" customHeight="1" spans="1:6">
      <c r="A4550" s="5" t="s">
        <v>8845</v>
      </c>
      <c r="B4550" s="5" t="s">
        <v>8934</v>
      </c>
      <c r="C4550" s="5" t="s">
        <v>8951</v>
      </c>
      <c r="D4550" s="5">
        <v>2</v>
      </c>
      <c r="E4550" s="5" t="str">
        <f>LEFT("422626194910191139",19)</f>
        <v>422626194910191139</v>
      </c>
      <c r="F4550" s="5" t="s">
        <v>11</v>
      </c>
    </row>
    <row r="4551" ht="18" customHeight="1" spans="1:6">
      <c r="A4551" s="5" t="s">
        <v>8845</v>
      </c>
      <c r="B4551" s="5" t="s">
        <v>8934</v>
      </c>
      <c r="C4551" s="5" t="s">
        <v>8952</v>
      </c>
      <c r="D4551" s="12" t="s">
        <v>2043</v>
      </c>
      <c r="E4551" s="188" t="s">
        <v>8953</v>
      </c>
      <c r="F4551" s="5" t="s">
        <v>11</v>
      </c>
    </row>
    <row r="4552" ht="18" customHeight="1" spans="1:6">
      <c r="A4552" s="5" t="s">
        <v>8845</v>
      </c>
      <c r="B4552" s="5" t="s">
        <v>8934</v>
      </c>
      <c r="C4552" s="5" t="s">
        <v>8954</v>
      </c>
      <c r="D4552" s="33">
        <v>4</v>
      </c>
      <c r="E4552" s="5" t="str">
        <f>LEFT("422626197004056414",19)</f>
        <v>422626197004056414</v>
      </c>
      <c r="F4552" s="5" t="s">
        <v>11</v>
      </c>
    </row>
    <row r="4553" ht="18" customHeight="1" spans="1:6">
      <c r="A4553" s="5" t="s">
        <v>8845</v>
      </c>
      <c r="B4553" s="5" t="s">
        <v>8934</v>
      </c>
      <c r="C4553" s="5" t="s">
        <v>8955</v>
      </c>
      <c r="D4553" s="12" t="s">
        <v>2043</v>
      </c>
      <c r="E4553" s="188" t="s">
        <v>8956</v>
      </c>
      <c r="F4553" s="5" t="s">
        <v>11</v>
      </c>
    </row>
    <row r="4554" ht="18" customHeight="1" spans="1:6">
      <c r="A4554" s="5" t="s">
        <v>8845</v>
      </c>
      <c r="B4554" s="5" t="s">
        <v>8934</v>
      </c>
      <c r="C4554" s="8" t="s">
        <v>8957</v>
      </c>
      <c r="D4554" s="8">
        <v>4</v>
      </c>
      <c r="E4554" s="5" t="str">
        <f>LEFT("420325198011181117",19)</f>
        <v>420325198011181117</v>
      </c>
      <c r="F4554" s="5" t="s">
        <v>11</v>
      </c>
    </row>
    <row r="4555" ht="18" customHeight="1" spans="1:6">
      <c r="A4555" s="5" t="s">
        <v>8845</v>
      </c>
      <c r="B4555" s="5" t="s">
        <v>8934</v>
      </c>
      <c r="C4555" s="151" t="s">
        <v>8958</v>
      </c>
      <c r="D4555" s="151">
        <v>5</v>
      </c>
      <c r="E4555" s="151" t="s">
        <v>8959</v>
      </c>
      <c r="F4555" s="5" t="s">
        <v>11</v>
      </c>
    </row>
    <row r="4556" ht="18" customHeight="1" spans="1:6">
      <c r="A4556" s="5" t="s">
        <v>8845</v>
      </c>
      <c r="B4556" s="5" t="s">
        <v>8934</v>
      </c>
      <c r="C4556" s="8" t="s">
        <v>8960</v>
      </c>
      <c r="D4556" s="8">
        <v>4</v>
      </c>
      <c r="E4556" s="5" t="str">
        <f>LEFT("420325197502081116",19)</f>
        <v>420325197502081116</v>
      </c>
      <c r="F4556" s="5" t="s">
        <v>11</v>
      </c>
    </row>
    <row r="4557" ht="18" customHeight="1" spans="1:6">
      <c r="A4557" s="5" t="s">
        <v>8845</v>
      </c>
      <c r="B4557" s="5" t="s">
        <v>8934</v>
      </c>
      <c r="C4557" s="5" t="s">
        <v>8961</v>
      </c>
      <c r="D4557" s="33">
        <v>5</v>
      </c>
      <c r="E4557" s="194" t="s">
        <v>8962</v>
      </c>
      <c r="F4557" s="5" t="s">
        <v>11</v>
      </c>
    </row>
    <row r="4558" ht="18" customHeight="1" spans="1:6">
      <c r="A4558" s="5" t="s">
        <v>8845</v>
      </c>
      <c r="B4558" s="5" t="s">
        <v>8934</v>
      </c>
      <c r="C4558" s="5" t="s">
        <v>8963</v>
      </c>
      <c r="D4558" s="33">
        <v>6</v>
      </c>
      <c r="E4558" s="5" t="str">
        <f>LEFT("420325197504171131",19)</f>
        <v>420325197504171131</v>
      </c>
      <c r="F4558" s="5" t="s">
        <v>11</v>
      </c>
    </row>
    <row r="4559" ht="18" customHeight="1" spans="1:6">
      <c r="A4559" s="5" t="s">
        <v>8845</v>
      </c>
      <c r="B4559" s="5" t="s">
        <v>8934</v>
      </c>
      <c r="C4559" s="151" t="s">
        <v>8964</v>
      </c>
      <c r="D4559" s="151">
        <v>4</v>
      </c>
      <c r="E4559" s="151" t="s">
        <v>8965</v>
      </c>
      <c r="F4559" s="5" t="s">
        <v>11</v>
      </c>
    </row>
    <row r="4560" ht="18" customHeight="1" spans="1:6">
      <c r="A4560" s="5" t="s">
        <v>8845</v>
      </c>
      <c r="B4560" s="5" t="s">
        <v>8934</v>
      </c>
      <c r="C4560" s="151" t="s">
        <v>8966</v>
      </c>
      <c r="D4560" s="151">
        <v>3</v>
      </c>
      <c r="E4560" s="151" t="s">
        <v>8967</v>
      </c>
      <c r="F4560" s="5" t="s">
        <v>11</v>
      </c>
    </row>
    <row r="4561" ht="18" customHeight="1" spans="1:6">
      <c r="A4561" s="5" t="s">
        <v>8845</v>
      </c>
      <c r="B4561" s="5" t="s">
        <v>8934</v>
      </c>
      <c r="C4561" s="151" t="s">
        <v>8968</v>
      </c>
      <c r="D4561" s="151">
        <v>4</v>
      </c>
      <c r="E4561" s="151" t="s">
        <v>8969</v>
      </c>
      <c r="F4561" s="5" t="s">
        <v>11</v>
      </c>
    </row>
    <row r="4562" ht="18" customHeight="1" spans="1:6">
      <c r="A4562" s="5" t="s">
        <v>8845</v>
      </c>
      <c r="B4562" s="5" t="s">
        <v>8934</v>
      </c>
      <c r="C4562" s="151" t="s">
        <v>8970</v>
      </c>
      <c r="D4562" s="151">
        <v>2</v>
      </c>
      <c r="E4562" s="151" t="s">
        <v>8971</v>
      </c>
      <c r="F4562" s="5" t="s">
        <v>11</v>
      </c>
    </row>
    <row r="4563" ht="18" customHeight="1" spans="1:6">
      <c r="A4563" s="5" t="s">
        <v>8845</v>
      </c>
      <c r="B4563" s="5" t="s">
        <v>8934</v>
      </c>
      <c r="C4563" s="5" t="s">
        <v>8972</v>
      </c>
      <c r="D4563" s="5">
        <v>6</v>
      </c>
      <c r="E4563" s="5" t="s">
        <v>8973</v>
      </c>
      <c r="F4563" s="5" t="s">
        <v>11</v>
      </c>
    </row>
    <row r="4564" ht="18" customHeight="1" spans="1:6">
      <c r="A4564" s="5" t="s">
        <v>8845</v>
      </c>
      <c r="B4564" s="5" t="s">
        <v>8934</v>
      </c>
      <c r="C4564" s="5" t="s">
        <v>8974</v>
      </c>
      <c r="D4564" s="33">
        <v>5</v>
      </c>
      <c r="E4564" s="194" t="s">
        <v>8975</v>
      </c>
      <c r="F4564" s="5" t="s">
        <v>11</v>
      </c>
    </row>
    <row r="4565" ht="18" customHeight="1" spans="1:6">
      <c r="A4565" s="5" t="s">
        <v>8845</v>
      </c>
      <c r="B4565" s="5" t="s">
        <v>8934</v>
      </c>
      <c r="C4565" s="5" t="s">
        <v>8976</v>
      </c>
      <c r="D4565" s="12" t="s">
        <v>2043</v>
      </c>
      <c r="E4565" s="188" t="s">
        <v>8977</v>
      </c>
      <c r="F4565" s="5" t="s">
        <v>11</v>
      </c>
    </row>
    <row r="4566" ht="18" customHeight="1" spans="1:6">
      <c r="A4566" s="5" t="s">
        <v>8845</v>
      </c>
      <c r="B4566" s="5" t="s">
        <v>8934</v>
      </c>
      <c r="C4566" s="5" t="s">
        <v>8978</v>
      </c>
      <c r="D4566" s="5">
        <v>2</v>
      </c>
      <c r="E4566" s="5" t="s">
        <v>8979</v>
      </c>
      <c r="F4566" s="5" t="s">
        <v>11</v>
      </c>
    </row>
    <row r="4567" ht="18" customHeight="1" spans="1:6">
      <c r="A4567" s="5" t="s">
        <v>8845</v>
      </c>
      <c r="B4567" s="5" t="s">
        <v>8934</v>
      </c>
      <c r="C4567" s="5" t="s">
        <v>8980</v>
      </c>
      <c r="D4567" s="33">
        <v>3</v>
      </c>
      <c r="E4567" s="5" t="str">
        <f>LEFT("422626196203221115",19)</f>
        <v>422626196203221115</v>
      </c>
      <c r="F4567" s="5" t="s">
        <v>11</v>
      </c>
    </row>
    <row r="4568" ht="18" customHeight="1" spans="1:6">
      <c r="A4568" s="5" t="s">
        <v>8845</v>
      </c>
      <c r="B4568" s="5" t="s">
        <v>8934</v>
      </c>
      <c r="C4568" s="5" t="s">
        <v>8981</v>
      </c>
      <c r="D4568" s="9">
        <v>3</v>
      </c>
      <c r="E4568" s="196" t="s">
        <v>8982</v>
      </c>
      <c r="F4568" s="5" t="s">
        <v>11</v>
      </c>
    </row>
    <row r="4569" ht="18" customHeight="1" spans="1:6">
      <c r="A4569" s="5" t="s">
        <v>8845</v>
      </c>
      <c r="B4569" s="5" t="s">
        <v>8934</v>
      </c>
      <c r="C4569" s="5" t="s">
        <v>8983</v>
      </c>
      <c r="D4569" s="6">
        <v>3</v>
      </c>
      <c r="E4569" s="188" t="s">
        <v>8984</v>
      </c>
      <c r="F4569" s="5" t="s">
        <v>11</v>
      </c>
    </row>
    <row r="4570" ht="18" customHeight="1" spans="1:6">
      <c r="A4570" s="5" t="s">
        <v>8845</v>
      </c>
      <c r="B4570" s="5" t="s">
        <v>8934</v>
      </c>
      <c r="C4570" s="5" t="s">
        <v>8985</v>
      </c>
      <c r="D4570" s="33">
        <v>5</v>
      </c>
      <c r="E4570" s="5" t="str">
        <f>LEFT("422626196804141137",19)</f>
        <v>422626196804141137</v>
      </c>
      <c r="F4570" s="5" t="s">
        <v>11</v>
      </c>
    </row>
    <row r="4571" ht="18" customHeight="1" spans="1:6">
      <c r="A4571" s="5" t="s">
        <v>8845</v>
      </c>
      <c r="B4571" s="5" t="s">
        <v>8934</v>
      </c>
      <c r="C4571" s="5" t="s">
        <v>8986</v>
      </c>
      <c r="D4571" s="33">
        <v>3</v>
      </c>
      <c r="E4571" s="178" t="s">
        <v>8987</v>
      </c>
      <c r="F4571" s="5" t="s">
        <v>11</v>
      </c>
    </row>
    <row r="4572" ht="18" customHeight="1" spans="1:6">
      <c r="A4572" s="5" t="s">
        <v>8845</v>
      </c>
      <c r="B4572" s="5" t="s">
        <v>8934</v>
      </c>
      <c r="C4572" s="5" t="s">
        <v>8988</v>
      </c>
      <c r="D4572" s="33">
        <v>2</v>
      </c>
      <c r="E4572" s="178" t="s">
        <v>8989</v>
      </c>
      <c r="F4572" s="5" t="s">
        <v>11</v>
      </c>
    </row>
    <row r="4573" ht="18" customHeight="1" spans="1:6">
      <c r="A4573" s="5" t="s">
        <v>8845</v>
      </c>
      <c r="B4573" s="5" t="s">
        <v>8934</v>
      </c>
      <c r="C4573" s="5" t="s">
        <v>8990</v>
      </c>
      <c r="D4573" s="33">
        <v>3</v>
      </c>
      <c r="E4573" s="191" t="s">
        <v>8991</v>
      </c>
      <c r="F4573" s="5" t="s">
        <v>11</v>
      </c>
    </row>
    <row r="4574" ht="18" customHeight="1" spans="1:6">
      <c r="A4574" s="5" t="s">
        <v>8845</v>
      </c>
      <c r="B4574" s="5" t="s">
        <v>8934</v>
      </c>
      <c r="C4574" s="5" t="s">
        <v>8992</v>
      </c>
      <c r="D4574" s="33">
        <v>4</v>
      </c>
      <c r="E4574" s="191" t="s">
        <v>8993</v>
      </c>
      <c r="F4574" s="5" t="s">
        <v>11</v>
      </c>
    </row>
    <row r="4575" ht="18" customHeight="1" spans="1:6">
      <c r="A4575" s="5" t="s">
        <v>8845</v>
      </c>
      <c r="B4575" s="5" t="s">
        <v>8934</v>
      </c>
      <c r="C4575" s="5" t="s">
        <v>8994</v>
      </c>
      <c r="D4575" s="33">
        <v>4</v>
      </c>
      <c r="E4575" s="10" t="s">
        <v>8995</v>
      </c>
      <c r="F4575" s="5" t="s">
        <v>11</v>
      </c>
    </row>
    <row r="4576" ht="18" customHeight="1" spans="1:6">
      <c r="A4576" s="5" t="s">
        <v>8845</v>
      </c>
      <c r="B4576" s="5" t="s">
        <v>8934</v>
      </c>
      <c r="C4576" s="5" t="s">
        <v>8996</v>
      </c>
      <c r="D4576" s="5">
        <v>3</v>
      </c>
      <c r="E4576" s="10" t="s">
        <v>8997</v>
      </c>
      <c r="F4576" s="5" t="s">
        <v>11</v>
      </c>
    </row>
    <row r="4577" ht="18" customHeight="1" spans="1:6">
      <c r="A4577" s="13" t="s">
        <v>8845</v>
      </c>
      <c r="B4577" s="13" t="s">
        <v>8998</v>
      </c>
      <c r="C4577" s="13" t="s">
        <v>8999</v>
      </c>
      <c r="D4577" s="13">
        <v>3</v>
      </c>
      <c r="E4577" s="5" t="str">
        <f>LEFT("422626195604051116",19)</f>
        <v>422626195604051116</v>
      </c>
      <c r="F4577" s="13" t="s">
        <v>11</v>
      </c>
    </row>
    <row r="4578" ht="18" customHeight="1" spans="1:6">
      <c r="A4578" s="13" t="s">
        <v>8845</v>
      </c>
      <c r="B4578" s="13" t="s">
        <v>8998</v>
      </c>
      <c r="C4578" s="13" t="s">
        <v>9000</v>
      </c>
      <c r="D4578" s="13">
        <v>4</v>
      </c>
      <c r="E4578" s="5" t="str">
        <f>LEFT("420325197802071112",19)</f>
        <v>420325197802071112</v>
      </c>
      <c r="F4578" s="13" t="s">
        <v>11</v>
      </c>
    </row>
    <row r="4579" ht="18" customHeight="1" spans="1:6">
      <c r="A4579" s="13" t="s">
        <v>8845</v>
      </c>
      <c r="B4579" s="13" t="s">
        <v>8998</v>
      </c>
      <c r="C4579" s="13" t="s">
        <v>9001</v>
      </c>
      <c r="D4579" s="13">
        <v>5</v>
      </c>
      <c r="E4579" s="194" t="s">
        <v>9002</v>
      </c>
      <c r="F4579" s="13" t="s">
        <v>11</v>
      </c>
    </row>
    <row r="4580" ht="18" customHeight="1" spans="1:6">
      <c r="A4580" s="13" t="s">
        <v>8845</v>
      </c>
      <c r="B4580" s="13" t="s">
        <v>8998</v>
      </c>
      <c r="C4580" s="13" t="s">
        <v>9003</v>
      </c>
      <c r="D4580" s="13">
        <v>2</v>
      </c>
      <c r="E4580" s="5" t="str">
        <f>LEFT("422626194804171118",19)</f>
        <v>422626194804171118</v>
      </c>
      <c r="F4580" s="13" t="s">
        <v>11</v>
      </c>
    </row>
    <row r="4581" ht="18" customHeight="1" spans="1:6">
      <c r="A4581" s="13" t="s">
        <v>8845</v>
      </c>
      <c r="B4581" s="13" t="s">
        <v>8998</v>
      </c>
      <c r="C4581" s="13" t="s">
        <v>9004</v>
      </c>
      <c r="D4581" s="13">
        <v>1</v>
      </c>
      <c r="E4581" s="5" t="str">
        <f>LEFT("422626195904241157",19)</f>
        <v>422626195904241157</v>
      </c>
      <c r="F4581" s="13" t="s">
        <v>11</v>
      </c>
    </row>
    <row r="4582" ht="18" customHeight="1" spans="1:6">
      <c r="A4582" s="13" t="s">
        <v>8845</v>
      </c>
      <c r="B4582" s="13" t="s">
        <v>8998</v>
      </c>
      <c r="C4582" s="13" t="s">
        <v>9005</v>
      </c>
      <c r="D4582" s="13">
        <v>1</v>
      </c>
      <c r="E4582" s="5" t="str">
        <f>LEFT("422626197108221111",19)</f>
        <v>422626197108221111</v>
      </c>
      <c r="F4582" s="13" t="s">
        <v>11</v>
      </c>
    </row>
    <row r="4583" ht="18" customHeight="1" spans="1:6">
      <c r="A4583" s="13" t="s">
        <v>8845</v>
      </c>
      <c r="B4583" s="13" t="s">
        <v>9006</v>
      </c>
      <c r="C4583" s="10" t="s">
        <v>9007</v>
      </c>
      <c r="D4583" s="11">
        <v>6</v>
      </c>
      <c r="E4583" s="10" t="s">
        <v>9008</v>
      </c>
      <c r="F4583" s="13" t="s">
        <v>11</v>
      </c>
    </row>
    <row r="4584" ht="18" customHeight="1" spans="1:6">
      <c r="A4584" s="13" t="s">
        <v>8845</v>
      </c>
      <c r="B4584" s="13" t="s">
        <v>9006</v>
      </c>
      <c r="C4584" s="13" t="s">
        <v>9009</v>
      </c>
      <c r="D4584" s="13">
        <v>4</v>
      </c>
      <c r="E4584" s="5" t="s">
        <v>9010</v>
      </c>
      <c r="F4584" s="13" t="s">
        <v>11</v>
      </c>
    </row>
    <row r="4585" ht="18" customHeight="1" spans="1:6">
      <c r="A4585" s="13" t="s">
        <v>8845</v>
      </c>
      <c r="B4585" s="13" t="s">
        <v>9006</v>
      </c>
      <c r="C4585" s="13" t="s">
        <v>9011</v>
      </c>
      <c r="D4585" s="13">
        <v>1</v>
      </c>
      <c r="E4585" s="5" t="s">
        <v>9012</v>
      </c>
      <c r="F4585" s="13" t="s">
        <v>11</v>
      </c>
    </row>
    <row r="4586" ht="18" customHeight="1" spans="1:6">
      <c r="A4586" s="13" t="s">
        <v>8845</v>
      </c>
      <c r="B4586" s="13" t="s">
        <v>9006</v>
      </c>
      <c r="C4586" s="13" t="s">
        <v>9013</v>
      </c>
      <c r="D4586" s="13">
        <v>4</v>
      </c>
      <c r="E4586" s="13" t="s">
        <v>9014</v>
      </c>
      <c r="F4586" s="13" t="s">
        <v>11</v>
      </c>
    </row>
    <row r="4587" ht="18" customHeight="1" spans="1:6">
      <c r="A4587" s="13" t="s">
        <v>8845</v>
      </c>
      <c r="B4587" s="13" t="s">
        <v>9006</v>
      </c>
      <c r="C4587" s="13" t="s">
        <v>9015</v>
      </c>
      <c r="D4587" s="13">
        <v>2</v>
      </c>
      <c r="E4587" s="5" t="s">
        <v>9016</v>
      </c>
      <c r="F4587" s="13" t="s">
        <v>11</v>
      </c>
    </row>
    <row r="4588" ht="18" customHeight="1" spans="1:6">
      <c r="A4588" s="13" t="s">
        <v>8845</v>
      </c>
      <c r="B4588" s="13" t="s">
        <v>9006</v>
      </c>
      <c r="C4588" s="13" t="s">
        <v>9017</v>
      </c>
      <c r="D4588" s="13">
        <v>4</v>
      </c>
      <c r="E4588" s="10" t="s">
        <v>9018</v>
      </c>
      <c r="F4588" s="13" t="s">
        <v>11</v>
      </c>
    </row>
    <row r="4589" ht="18" customHeight="1" spans="1:6">
      <c r="A4589" s="13" t="s">
        <v>8845</v>
      </c>
      <c r="B4589" s="13" t="s">
        <v>9006</v>
      </c>
      <c r="C4589" s="13" t="s">
        <v>9019</v>
      </c>
      <c r="D4589" s="13">
        <v>5</v>
      </c>
      <c r="E4589" s="10" t="s">
        <v>9020</v>
      </c>
      <c r="F4589" s="13" t="s">
        <v>11</v>
      </c>
    </row>
    <row r="4590" ht="18" customHeight="1" spans="1:6">
      <c r="A4590" s="13" t="s">
        <v>8845</v>
      </c>
      <c r="B4590" s="13" t="s">
        <v>9021</v>
      </c>
      <c r="C4590" s="13" t="s">
        <v>9022</v>
      </c>
      <c r="D4590" s="13">
        <v>5</v>
      </c>
      <c r="E4590" s="5" t="str">
        <f>LEFT("422626197903231116",19)</f>
        <v>422626197903231116</v>
      </c>
      <c r="F4590" s="13" t="s">
        <v>11</v>
      </c>
    </row>
    <row r="4591" ht="18" customHeight="1" spans="1:6">
      <c r="A4591" s="13" t="s">
        <v>8845</v>
      </c>
      <c r="B4591" s="13" t="s">
        <v>9021</v>
      </c>
      <c r="C4591" s="13" t="s">
        <v>9023</v>
      </c>
      <c r="D4591" s="13">
        <v>2</v>
      </c>
      <c r="E4591" s="5" t="str">
        <f>LEFT("422626197203021118",19)</f>
        <v>422626197203021118</v>
      </c>
      <c r="F4591" s="13" t="s">
        <v>11</v>
      </c>
    </row>
    <row r="4592" ht="18" customHeight="1" spans="1:6">
      <c r="A4592" s="13" t="s">
        <v>8845</v>
      </c>
      <c r="B4592" s="13" t="s">
        <v>9021</v>
      </c>
      <c r="C4592" s="13" t="s">
        <v>9024</v>
      </c>
      <c r="D4592" s="13">
        <v>2</v>
      </c>
      <c r="E4592" s="5" t="str">
        <f>LEFT("422626197205181115",19)</f>
        <v>422626197205181115</v>
      </c>
      <c r="F4592" s="13" t="s">
        <v>11</v>
      </c>
    </row>
    <row r="4593" ht="18" customHeight="1" spans="1:6">
      <c r="A4593" s="13" t="s">
        <v>8845</v>
      </c>
      <c r="B4593" s="13" t="s">
        <v>9021</v>
      </c>
      <c r="C4593" s="13" t="s">
        <v>9025</v>
      </c>
      <c r="D4593" s="13">
        <v>1</v>
      </c>
      <c r="E4593" s="5" t="str">
        <f>LEFT("422626197408211118",19)</f>
        <v>422626197408211118</v>
      </c>
      <c r="F4593" s="13" t="s">
        <v>11</v>
      </c>
    </row>
    <row r="4594" ht="18" customHeight="1" spans="1:6">
      <c r="A4594" s="13" t="s">
        <v>8845</v>
      </c>
      <c r="B4594" s="13" t="s">
        <v>9021</v>
      </c>
      <c r="C4594" s="13" t="s">
        <v>9026</v>
      </c>
      <c r="D4594" s="13">
        <v>1</v>
      </c>
      <c r="E4594" s="5" t="str">
        <f>LEFT("42262619640509111X",19)</f>
        <v>42262619640509111X</v>
      </c>
      <c r="F4594" s="13" t="s">
        <v>11</v>
      </c>
    </row>
    <row r="4595" ht="18" customHeight="1" spans="1:6">
      <c r="A4595" s="13" t="s">
        <v>8845</v>
      </c>
      <c r="B4595" s="13" t="s">
        <v>9021</v>
      </c>
      <c r="C4595" s="13" t="s">
        <v>9027</v>
      </c>
      <c r="D4595" s="13">
        <v>2</v>
      </c>
      <c r="E4595" s="5" t="str">
        <f>LEFT("422626196902141114",19)</f>
        <v>422626196902141114</v>
      </c>
      <c r="F4595" s="13" t="s">
        <v>11</v>
      </c>
    </row>
    <row r="4596" ht="18" customHeight="1" spans="1:6">
      <c r="A4596" s="13" t="s">
        <v>8845</v>
      </c>
      <c r="B4596" s="13" t="s">
        <v>9021</v>
      </c>
      <c r="C4596" s="13" t="s">
        <v>9028</v>
      </c>
      <c r="D4596" s="13">
        <v>3</v>
      </c>
      <c r="E4596" s="5" t="str">
        <f>LEFT("422626195301171110",19)</f>
        <v>422626195301171110</v>
      </c>
      <c r="F4596" s="13" t="s">
        <v>11</v>
      </c>
    </row>
    <row r="4597" ht="18" customHeight="1" spans="1:6">
      <c r="A4597" s="13" t="s">
        <v>8845</v>
      </c>
      <c r="B4597" s="13" t="s">
        <v>9021</v>
      </c>
      <c r="C4597" s="13" t="s">
        <v>9029</v>
      </c>
      <c r="D4597" s="13">
        <v>3</v>
      </c>
      <c r="E4597" s="5" t="str">
        <f>LEFT("422626197307151136",19)</f>
        <v>422626197307151136</v>
      </c>
      <c r="F4597" s="13" t="s">
        <v>11</v>
      </c>
    </row>
    <row r="4598" ht="18" customHeight="1" spans="1:6">
      <c r="A4598" s="13" t="s">
        <v>8845</v>
      </c>
      <c r="B4598" s="13" t="s">
        <v>9021</v>
      </c>
      <c r="C4598" s="13" t="s">
        <v>9030</v>
      </c>
      <c r="D4598" s="13">
        <v>2</v>
      </c>
      <c r="E4598" s="5" t="str">
        <f>LEFT("422626197602201116",19)</f>
        <v>422626197602201116</v>
      </c>
      <c r="F4598" s="13" t="s">
        <v>11</v>
      </c>
    </row>
    <row r="4599" ht="18" customHeight="1" spans="1:6">
      <c r="A4599" s="13" t="s">
        <v>8845</v>
      </c>
      <c r="B4599" s="13" t="s">
        <v>9021</v>
      </c>
      <c r="C4599" s="13" t="s">
        <v>9031</v>
      </c>
      <c r="D4599" s="13">
        <v>3</v>
      </c>
      <c r="E4599" s="5" t="str">
        <f>LEFT("422626195610101116",19)</f>
        <v>422626195610101116</v>
      </c>
      <c r="F4599" s="13" t="s">
        <v>11</v>
      </c>
    </row>
    <row r="4600" ht="18" customHeight="1" spans="1:6">
      <c r="A4600" s="13" t="s">
        <v>8845</v>
      </c>
      <c r="B4600" s="13" t="s">
        <v>9021</v>
      </c>
      <c r="C4600" s="13" t="s">
        <v>9032</v>
      </c>
      <c r="D4600" s="13">
        <v>2</v>
      </c>
      <c r="E4600" s="5" t="str">
        <f>LEFT("42262619640418113X",19)</f>
        <v>42262619640418113X</v>
      </c>
      <c r="F4600" s="13" t="s">
        <v>11</v>
      </c>
    </row>
    <row r="4601" ht="18" customHeight="1" spans="1:6">
      <c r="A4601" s="13" t="s">
        <v>8845</v>
      </c>
      <c r="B4601" s="13" t="s">
        <v>9021</v>
      </c>
      <c r="C4601" s="13" t="s">
        <v>9033</v>
      </c>
      <c r="D4601" s="13">
        <v>1</v>
      </c>
      <c r="E4601" s="5" t="str">
        <f>LEFT("422626195011191113",19)</f>
        <v>422626195011191113</v>
      </c>
      <c r="F4601" s="13" t="s">
        <v>11</v>
      </c>
    </row>
    <row r="4602" ht="18" customHeight="1" spans="1:6">
      <c r="A4602" s="13" t="s">
        <v>8845</v>
      </c>
      <c r="B4602" s="13" t="s">
        <v>9021</v>
      </c>
      <c r="C4602" s="13" t="s">
        <v>9034</v>
      </c>
      <c r="D4602" s="13">
        <v>1</v>
      </c>
      <c r="E4602" s="5" t="str">
        <f>LEFT("422626195711101115",19)</f>
        <v>422626195711101115</v>
      </c>
      <c r="F4602" s="13" t="s">
        <v>11</v>
      </c>
    </row>
    <row r="4603" ht="18" customHeight="1" spans="1:6">
      <c r="A4603" s="13" t="s">
        <v>8845</v>
      </c>
      <c r="B4603" s="13" t="s">
        <v>9035</v>
      </c>
      <c r="C4603" s="13" t="s">
        <v>9036</v>
      </c>
      <c r="D4603" s="13">
        <v>5</v>
      </c>
      <c r="E4603" s="5" t="str">
        <f>LEFT("42262619660125641X",19)</f>
        <v>42262619660125641X</v>
      </c>
      <c r="F4603" s="13" t="s">
        <v>11</v>
      </c>
    </row>
    <row r="4604" ht="18" customHeight="1" spans="1:6">
      <c r="A4604" s="13" t="s">
        <v>8845</v>
      </c>
      <c r="B4604" s="13" t="s">
        <v>9035</v>
      </c>
      <c r="C4604" s="13" t="s">
        <v>9037</v>
      </c>
      <c r="D4604" s="13">
        <v>1</v>
      </c>
      <c r="E4604" s="5" t="str">
        <f>LEFT("422626196205086412",19)</f>
        <v>422626196205086412</v>
      </c>
      <c r="F4604" s="13" t="s">
        <v>11</v>
      </c>
    </row>
    <row r="4605" ht="18" customHeight="1" spans="1:6">
      <c r="A4605" s="13" t="s">
        <v>8845</v>
      </c>
      <c r="B4605" s="13" t="s">
        <v>9035</v>
      </c>
      <c r="C4605" s="13" t="s">
        <v>9038</v>
      </c>
      <c r="D4605" s="13">
        <v>1</v>
      </c>
      <c r="E4605" s="5" t="str">
        <f>LEFT("422626196502186436",19)</f>
        <v>422626196502186436</v>
      </c>
      <c r="F4605" s="13" t="s">
        <v>11</v>
      </c>
    </row>
    <row r="4606" ht="18" customHeight="1" spans="1:6">
      <c r="A4606" s="13" t="s">
        <v>8845</v>
      </c>
      <c r="B4606" s="13" t="s">
        <v>9035</v>
      </c>
      <c r="C4606" s="13" t="s">
        <v>9039</v>
      </c>
      <c r="D4606" s="13">
        <v>1</v>
      </c>
      <c r="E4606" s="5" t="str">
        <f>LEFT("422626194309226425",19)</f>
        <v>422626194309226425</v>
      </c>
      <c r="F4606" s="13" t="s">
        <v>11</v>
      </c>
    </row>
    <row r="4607" ht="18" customHeight="1" spans="1:6">
      <c r="A4607" s="13" t="s">
        <v>8845</v>
      </c>
      <c r="B4607" s="13" t="s">
        <v>9035</v>
      </c>
      <c r="C4607" s="13" t="s">
        <v>9040</v>
      </c>
      <c r="D4607" s="13">
        <v>2</v>
      </c>
      <c r="E4607" s="5" t="str">
        <f>LEFT("422626194810296419",19)</f>
        <v>422626194810296419</v>
      </c>
      <c r="F4607" s="13" t="s">
        <v>11</v>
      </c>
    </row>
    <row r="4608" ht="18" customHeight="1" spans="1:6">
      <c r="A4608" s="13" t="s">
        <v>8845</v>
      </c>
      <c r="B4608" s="13" t="s">
        <v>9035</v>
      </c>
      <c r="C4608" s="13" t="s">
        <v>9041</v>
      </c>
      <c r="D4608" s="13">
        <v>2</v>
      </c>
      <c r="E4608" s="5" t="str">
        <f>LEFT("422626195611286423",19)</f>
        <v>422626195611286423</v>
      </c>
      <c r="F4608" s="13" t="s">
        <v>11</v>
      </c>
    </row>
    <row r="4609" ht="18" customHeight="1" spans="1:6">
      <c r="A4609" s="13" t="s">
        <v>8845</v>
      </c>
      <c r="B4609" s="13" t="s">
        <v>9035</v>
      </c>
      <c r="C4609" s="13" t="s">
        <v>9042</v>
      </c>
      <c r="D4609" s="13">
        <v>2</v>
      </c>
      <c r="E4609" s="5" t="str">
        <f>LEFT("422626197510166413",19)</f>
        <v>422626197510166413</v>
      </c>
      <c r="F4609" s="13" t="s">
        <v>11</v>
      </c>
    </row>
    <row r="4610" ht="18" customHeight="1" spans="1:6">
      <c r="A4610" s="13" t="s">
        <v>8845</v>
      </c>
      <c r="B4610" s="13" t="s">
        <v>9035</v>
      </c>
      <c r="C4610" s="13" t="s">
        <v>9043</v>
      </c>
      <c r="D4610" s="13">
        <v>5</v>
      </c>
      <c r="E4610" s="5" t="str">
        <f>LEFT("422626196809306412",19)</f>
        <v>422626196809306412</v>
      </c>
      <c r="F4610" s="13" t="s">
        <v>11</v>
      </c>
    </row>
    <row r="4611" ht="18" customHeight="1" spans="1:6">
      <c r="A4611" s="13" t="s">
        <v>8845</v>
      </c>
      <c r="B4611" s="13" t="s">
        <v>9035</v>
      </c>
      <c r="C4611" s="13" t="s">
        <v>9044</v>
      </c>
      <c r="D4611" s="13">
        <v>4</v>
      </c>
      <c r="E4611" s="5" t="str">
        <f>LEFT("420325198401026411",19)</f>
        <v>420325198401026411</v>
      </c>
      <c r="F4611" s="13" t="s">
        <v>11</v>
      </c>
    </row>
    <row r="4612" ht="18" customHeight="1" spans="1:6">
      <c r="A4612" s="13" t="s">
        <v>8845</v>
      </c>
      <c r="B4612" s="13" t="s">
        <v>9035</v>
      </c>
      <c r="C4612" s="13" t="s">
        <v>9045</v>
      </c>
      <c r="D4612" s="13">
        <v>3</v>
      </c>
      <c r="E4612" s="5" t="str">
        <f>LEFT("422626195811076412",19)</f>
        <v>422626195811076412</v>
      </c>
      <c r="F4612" s="13" t="s">
        <v>11</v>
      </c>
    </row>
    <row r="4613" ht="18" customHeight="1" spans="1:6">
      <c r="A4613" s="13" t="s">
        <v>8845</v>
      </c>
      <c r="B4613" s="13" t="s">
        <v>9035</v>
      </c>
      <c r="C4613" s="13" t="s">
        <v>9046</v>
      </c>
      <c r="D4613" s="13">
        <v>3</v>
      </c>
      <c r="E4613" s="5" t="str">
        <f>LEFT("422626196510046417",19)</f>
        <v>422626196510046417</v>
      </c>
      <c r="F4613" s="13" t="s">
        <v>11</v>
      </c>
    </row>
    <row r="4614" ht="18" customHeight="1" spans="1:6">
      <c r="A4614" s="13" t="s">
        <v>8845</v>
      </c>
      <c r="B4614" s="13" t="s">
        <v>9035</v>
      </c>
      <c r="C4614" s="13" t="s">
        <v>9047</v>
      </c>
      <c r="D4614" s="13">
        <v>3</v>
      </c>
      <c r="E4614" s="5" t="str">
        <f>LEFT("422626196903316430",19)</f>
        <v>422626196903316430</v>
      </c>
      <c r="F4614" s="13" t="s">
        <v>11</v>
      </c>
    </row>
    <row r="4615" ht="18" customHeight="1" spans="1:6">
      <c r="A4615" s="13" t="s">
        <v>8845</v>
      </c>
      <c r="B4615" s="13" t="s">
        <v>9035</v>
      </c>
      <c r="C4615" s="13" t="s">
        <v>9048</v>
      </c>
      <c r="D4615" s="13">
        <v>3</v>
      </c>
      <c r="E4615" s="5" t="str">
        <f>LEFT("420325196602251114",19)</f>
        <v>420325196602251114</v>
      </c>
      <c r="F4615" s="13" t="s">
        <v>11</v>
      </c>
    </row>
    <row r="4616" ht="18" customHeight="1" spans="1:6">
      <c r="A4616" s="13" t="s">
        <v>8845</v>
      </c>
      <c r="B4616" s="13" t="s">
        <v>9035</v>
      </c>
      <c r="C4616" s="13" t="s">
        <v>9049</v>
      </c>
      <c r="D4616" s="13">
        <v>3</v>
      </c>
      <c r="E4616" s="5" t="str">
        <f>LEFT("42262619510901641X",19)</f>
        <v>42262619510901641X</v>
      </c>
      <c r="F4616" s="13" t="s">
        <v>11</v>
      </c>
    </row>
    <row r="4617" ht="18" customHeight="1" spans="1:6">
      <c r="A4617" s="13" t="s">
        <v>8845</v>
      </c>
      <c r="B4617" s="13" t="s">
        <v>9035</v>
      </c>
      <c r="C4617" s="13" t="s">
        <v>9050</v>
      </c>
      <c r="D4617" s="13">
        <v>2</v>
      </c>
      <c r="E4617" s="5" t="str">
        <f>LEFT("422626196301146411",19)</f>
        <v>422626196301146411</v>
      </c>
      <c r="F4617" s="13" t="s">
        <v>11</v>
      </c>
    </row>
    <row r="4618" ht="18" customHeight="1" spans="1:6">
      <c r="A4618" s="13" t="s">
        <v>8845</v>
      </c>
      <c r="B4618" s="13" t="s">
        <v>9035</v>
      </c>
      <c r="C4618" s="13" t="s">
        <v>680</v>
      </c>
      <c r="D4618" s="13">
        <v>1</v>
      </c>
      <c r="E4618" s="5" t="str">
        <f>LEFT("422626194702236427",19)</f>
        <v>422626194702236427</v>
      </c>
      <c r="F4618" s="13" t="s">
        <v>11</v>
      </c>
    </row>
    <row r="4619" ht="18" customHeight="1" spans="1:6">
      <c r="A4619" s="13" t="s">
        <v>8845</v>
      </c>
      <c r="B4619" s="13" t="s">
        <v>9035</v>
      </c>
      <c r="C4619" s="13" t="s">
        <v>9051</v>
      </c>
      <c r="D4619" s="13">
        <v>2</v>
      </c>
      <c r="E4619" s="5" t="str">
        <f>LEFT("422626194304056412",19)</f>
        <v>422626194304056412</v>
      </c>
      <c r="F4619" s="13" t="s">
        <v>11</v>
      </c>
    </row>
    <row r="4620" ht="18" customHeight="1" spans="1:6">
      <c r="A4620" s="13" t="s">
        <v>8845</v>
      </c>
      <c r="B4620" s="13" t="s">
        <v>9035</v>
      </c>
      <c r="C4620" s="13" t="s">
        <v>9052</v>
      </c>
      <c r="D4620" s="13">
        <v>3</v>
      </c>
      <c r="E4620" s="5" t="str">
        <f>LEFT("422626196906176410",19)</f>
        <v>422626196906176410</v>
      </c>
      <c r="F4620" s="13" t="s">
        <v>11</v>
      </c>
    </row>
    <row r="4621" ht="18" customHeight="1" spans="1:6">
      <c r="A4621" s="13" t="s">
        <v>8845</v>
      </c>
      <c r="B4621" s="13" t="s">
        <v>9035</v>
      </c>
      <c r="C4621" s="13" t="s">
        <v>9053</v>
      </c>
      <c r="D4621" s="13">
        <v>3</v>
      </c>
      <c r="E4621" s="19" t="s">
        <v>9054</v>
      </c>
      <c r="F4621" s="13" t="s">
        <v>11</v>
      </c>
    </row>
    <row r="4622" ht="18" customHeight="1" spans="1:6">
      <c r="A4622" s="13" t="s">
        <v>8845</v>
      </c>
      <c r="B4622" s="13" t="s">
        <v>9035</v>
      </c>
      <c r="C4622" s="13" t="s">
        <v>9055</v>
      </c>
      <c r="D4622" s="13">
        <v>2</v>
      </c>
      <c r="E4622" s="5" t="str">
        <f>LEFT("422626194902116411",19)</f>
        <v>422626194902116411</v>
      </c>
      <c r="F4622" s="13" t="s">
        <v>11</v>
      </c>
    </row>
    <row r="4623" ht="18" customHeight="1" spans="1:6">
      <c r="A4623" s="13" t="s">
        <v>8845</v>
      </c>
      <c r="B4623" s="13" t="s">
        <v>9035</v>
      </c>
      <c r="C4623" s="13" t="s">
        <v>9056</v>
      </c>
      <c r="D4623" s="13">
        <v>3</v>
      </c>
      <c r="E4623" s="5" t="str">
        <f>LEFT("420325197903066419",19)</f>
        <v>420325197903066419</v>
      </c>
      <c r="F4623" s="13" t="s">
        <v>11</v>
      </c>
    </row>
    <row r="4624" ht="18" customHeight="1" spans="1:6">
      <c r="A4624" s="13" t="s">
        <v>8845</v>
      </c>
      <c r="B4624" s="13" t="s">
        <v>9035</v>
      </c>
      <c r="C4624" s="13" t="s">
        <v>9057</v>
      </c>
      <c r="D4624" s="13">
        <v>1</v>
      </c>
      <c r="E4624" s="76" t="s">
        <v>9058</v>
      </c>
      <c r="F4624" s="13" t="s">
        <v>11</v>
      </c>
    </row>
    <row r="4625" ht="18" customHeight="1" spans="1:6">
      <c r="A4625" s="13" t="s">
        <v>8845</v>
      </c>
      <c r="B4625" s="13" t="s">
        <v>9035</v>
      </c>
      <c r="C4625" s="13" t="s">
        <v>9059</v>
      </c>
      <c r="D4625" s="13">
        <v>1</v>
      </c>
      <c r="E4625" s="5" t="str">
        <f>LEFT("422626195305196438",19)</f>
        <v>422626195305196438</v>
      </c>
      <c r="F4625" s="13" t="s">
        <v>11</v>
      </c>
    </row>
    <row r="4626" ht="18" customHeight="1" spans="1:6">
      <c r="A4626" s="13" t="s">
        <v>8845</v>
      </c>
      <c r="B4626" s="13" t="s">
        <v>9035</v>
      </c>
      <c r="C4626" s="13" t="s">
        <v>9060</v>
      </c>
      <c r="D4626" s="13">
        <v>4</v>
      </c>
      <c r="E4626" s="5" t="str">
        <f>LEFT("422626194405106415",19)</f>
        <v>422626194405106415</v>
      </c>
      <c r="F4626" s="13" t="s">
        <v>11</v>
      </c>
    </row>
    <row r="4627" ht="18" customHeight="1" spans="1:6">
      <c r="A4627" s="13" t="s">
        <v>8845</v>
      </c>
      <c r="B4627" s="13" t="s">
        <v>9035</v>
      </c>
      <c r="C4627" s="13" t="s">
        <v>9061</v>
      </c>
      <c r="D4627" s="13">
        <v>2</v>
      </c>
      <c r="E4627" s="14" t="s">
        <v>9062</v>
      </c>
      <c r="F4627" s="13" t="s">
        <v>11</v>
      </c>
    </row>
    <row r="4628" ht="18" customHeight="1" spans="1:6">
      <c r="A4628" s="13" t="s">
        <v>8845</v>
      </c>
      <c r="B4628" s="13" t="s">
        <v>9035</v>
      </c>
      <c r="C4628" s="13" t="s">
        <v>5967</v>
      </c>
      <c r="D4628" s="13">
        <v>3</v>
      </c>
      <c r="E4628" s="14" t="s">
        <v>9063</v>
      </c>
      <c r="F4628" s="13" t="s">
        <v>11</v>
      </c>
    </row>
    <row r="4629" ht="18" customHeight="1" spans="1:6">
      <c r="A4629" s="13" t="s">
        <v>8845</v>
      </c>
      <c r="B4629" s="13" t="s">
        <v>9035</v>
      </c>
      <c r="C4629" s="13" t="s">
        <v>9064</v>
      </c>
      <c r="D4629" s="13">
        <v>3</v>
      </c>
      <c r="E4629" s="14" t="s">
        <v>9065</v>
      </c>
      <c r="F4629" s="13" t="s">
        <v>11</v>
      </c>
    </row>
    <row r="4630" ht="18" customHeight="1" spans="1:6">
      <c r="A4630" s="13" t="s">
        <v>8845</v>
      </c>
      <c r="B4630" s="13" t="s">
        <v>9035</v>
      </c>
      <c r="C4630" s="13" t="s">
        <v>5967</v>
      </c>
      <c r="D4630" s="13">
        <v>1</v>
      </c>
      <c r="E4630" s="19" t="s">
        <v>9066</v>
      </c>
      <c r="F4630" s="13" t="s">
        <v>11</v>
      </c>
    </row>
    <row r="4631" ht="18" customHeight="1" spans="1:6">
      <c r="A4631" s="13" t="s">
        <v>8845</v>
      </c>
      <c r="B4631" s="13" t="s">
        <v>9035</v>
      </c>
      <c r="C4631" s="13" t="s">
        <v>9067</v>
      </c>
      <c r="D4631" s="13">
        <v>1</v>
      </c>
      <c r="E4631" s="19" t="s">
        <v>9068</v>
      </c>
      <c r="F4631" s="13" t="s">
        <v>11</v>
      </c>
    </row>
    <row r="4632" ht="18" customHeight="1" spans="1:6">
      <c r="A4632" s="13" t="s">
        <v>8845</v>
      </c>
      <c r="B4632" s="13" t="s">
        <v>9035</v>
      </c>
      <c r="C4632" s="13" t="s">
        <v>9069</v>
      </c>
      <c r="D4632" s="13">
        <v>4</v>
      </c>
      <c r="E4632" s="5" t="str">
        <f>LEFT("422626196711166431",19)</f>
        <v>422626196711166431</v>
      </c>
      <c r="F4632" s="13" t="s">
        <v>11</v>
      </c>
    </row>
    <row r="4633" ht="18" customHeight="1" spans="1:6">
      <c r="A4633" s="13" t="s">
        <v>8845</v>
      </c>
      <c r="B4633" s="13" t="s">
        <v>9035</v>
      </c>
      <c r="C4633" s="13" t="s">
        <v>9070</v>
      </c>
      <c r="D4633" s="13">
        <v>2</v>
      </c>
      <c r="E4633" s="5" t="str">
        <f>LEFT("422626195403316413",19)</f>
        <v>422626195403316413</v>
      </c>
      <c r="F4633" s="13" t="s">
        <v>11</v>
      </c>
    </row>
    <row r="4634" ht="18" customHeight="1" spans="1:6">
      <c r="A4634" s="13" t="s">
        <v>8845</v>
      </c>
      <c r="B4634" s="13" t="s">
        <v>9035</v>
      </c>
      <c r="C4634" s="13" t="s">
        <v>9071</v>
      </c>
      <c r="D4634" s="13">
        <v>2</v>
      </c>
      <c r="E4634" s="14" t="s">
        <v>9072</v>
      </c>
      <c r="F4634" s="13" t="s">
        <v>11</v>
      </c>
    </row>
    <row r="4635" ht="18" customHeight="1" spans="1:6">
      <c r="A4635" s="13" t="s">
        <v>8845</v>
      </c>
      <c r="B4635" s="13" t="s">
        <v>9035</v>
      </c>
      <c r="C4635" s="13" t="s">
        <v>9073</v>
      </c>
      <c r="D4635" s="13">
        <v>2</v>
      </c>
      <c r="E4635" s="14" t="s">
        <v>9074</v>
      </c>
      <c r="F4635" s="13" t="s">
        <v>11</v>
      </c>
    </row>
    <row r="4636" ht="18" customHeight="1" spans="1:6">
      <c r="A4636" s="13" t="s">
        <v>8845</v>
      </c>
      <c r="B4636" s="13" t="s">
        <v>9035</v>
      </c>
      <c r="C4636" s="13" t="s">
        <v>9075</v>
      </c>
      <c r="D4636" s="13">
        <v>1</v>
      </c>
      <c r="E4636" s="76" t="s">
        <v>9076</v>
      </c>
      <c r="F4636" s="13" t="s">
        <v>11</v>
      </c>
    </row>
    <row r="4637" ht="18" customHeight="1" spans="1:6">
      <c r="A4637" s="13" t="s">
        <v>8845</v>
      </c>
      <c r="B4637" s="13" t="s">
        <v>9035</v>
      </c>
      <c r="C4637" s="13" t="s">
        <v>9077</v>
      </c>
      <c r="D4637" s="13">
        <v>1</v>
      </c>
      <c r="E4637" s="76" t="s">
        <v>9078</v>
      </c>
      <c r="F4637" s="13" t="s">
        <v>11</v>
      </c>
    </row>
    <row r="4638" ht="18" customHeight="1" spans="1:6">
      <c r="A4638" s="13" t="s">
        <v>8845</v>
      </c>
      <c r="B4638" s="13" t="s">
        <v>9035</v>
      </c>
      <c r="C4638" s="13" t="s">
        <v>9079</v>
      </c>
      <c r="D4638" s="13">
        <v>1</v>
      </c>
      <c r="E4638" s="14" t="s">
        <v>9080</v>
      </c>
      <c r="F4638" s="13" t="s">
        <v>11</v>
      </c>
    </row>
    <row r="4639" ht="18" customHeight="1" spans="1:6">
      <c r="A4639" s="13" t="s">
        <v>8845</v>
      </c>
      <c r="B4639" s="13" t="s">
        <v>9035</v>
      </c>
      <c r="C4639" s="13" t="s">
        <v>9081</v>
      </c>
      <c r="D4639" s="13">
        <v>1</v>
      </c>
      <c r="E4639" s="14" t="s">
        <v>9082</v>
      </c>
      <c r="F4639" s="13" t="s">
        <v>11</v>
      </c>
    </row>
    <row r="4640" ht="18" customHeight="1" spans="1:6">
      <c r="A4640" s="13" t="s">
        <v>8845</v>
      </c>
      <c r="B4640" s="13" t="s">
        <v>9035</v>
      </c>
      <c r="C4640" s="13" t="s">
        <v>9083</v>
      </c>
      <c r="D4640" s="13">
        <v>1</v>
      </c>
      <c r="E4640" s="14" t="s">
        <v>9084</v>
      </c>
      <c r="F4640" s="13" t="s">
        <v>11</v>
      </c>
    </row>
    <row r="4641" ht="18" customHeight="1" spans="1:6">
      <c r="A4641" s="13" t="s">
        <v>8845</v>
      </c>
      <c r="B4641" s="13" t="s">
        <v>9035</v>
      </c>
      <c r="C4641" s="13" t="s">
        <v>9085</v>
      </c>
      <c r="D4641" s="13">
        <v>1</v>
      </c>
      <c r="E4641" s="14" t="s">
        <v>9086</v>
      </c>
      <c r="F4641" s="13" t="s">
        <v>11</v>
      </c>
    </row>
    <row r="4642" ht="18" customHeight="1" spans="1:6">
      <c r="A4642" s="13" t="s">
        <v>8845</v>
      </c>
      <c r="B4642" s="13" t="s">
        <v>9035</v>
      </c>
      <c r="C4642" s="13" t="s">
        <v>9087</v>
      </c>
      <c r="D4642" s="13">
        <v>4</v>
      </c>
      <c r="E4642" s="14" t="s">
        <v>9088</v>
      </c>
      <c r="F4642" s="13" t="s">
        <v>11</v>
      </c>
    </row>
    <row r="4643" ht="18" customHeight="1" spans="1:6">
      <c r="A4643" s="13" t="s">
        <v>8845</v>
      </c>
      <c r="B4643" s="13" t="s">
        <v>9035</v>
      </c>
      <c r="C4643" s="13" t="s">
        <v>9089</v>
      </c>
      <c r="D4643" s="13">
        <v>3</v>
      </c>
      <c r="E4643" s="5" t="str">
        <f>LEFT("422626194110086410",19)</f>
        <v>422626194110086410</v>
      </c>
      <c r="F4643" s="13" t="s">
        <v>11</v>
      </c>
    </row>
    <row r="4644" ht="18" customHeight="1" spans="1:6">
      <c r="A4644" s="13" t="s">
        <v>8845</v>
      </c>
      <c r="B4644" s="13" t="s">
        <v>9035</v>
      </c>
      <c r="C4644" s="13" t="s">
        <v>9090</v>
      </c>
      <c r="D4644" s="13">
        <v>1</v>
      </c>
      <c r="E4644" s="5" t="str">
        <f>LEFT("422626195111036428",19)</f>
        <v>422626195111036428</v>
      </c>
      <c r="F4644" s="13" t="s">
        <v>11</v>
      </c>
    </row>
    <row r="4645" ht="18" customHeight="1" spans="1:6">
      <c r="A4645" s="13" t="s">
        <v>8845</v>
      </c>
      <c r="B4645" s="13" t="s">
        <v>9035</v>
      </c>
      <c r="C4645" s="13" t="s">
        <v>9091</v>
      </c>
      <c r="D4645" s="13">
        <v>3</v>
      </c>
      <c r="E4645" s="5" t="str">
        <f>LEFT("420325198204016417",19)</f>
        <v>420325198204016417</v>
      </c>
      <c r="F4645" s="13" t="s">
        <v>11</v>
      </c>
    </row>
    <row r="4646" ht="18" customHeight="1" spans="1:6">
      <c r="A4646" s="13" t="s">
        <v>8845</v>
      </c>
      <c r="B4646" s="13" t="s">
        <v>9035</v>
      </c>
      <c r="C4646" s="13" t="s">
        <v>9092</v>
      </c>
      <c r="D4646" s="13">
        <v>4</v>
      </c>
      <c r="E4646" s="5" t="str">
        <f>LEFT("422626197011086419",19)</f>
        <v>422626197011086419</v>
      </c>
      <c r="F4646" s="13" t="s">
        <v>11</v>
      </c>
    </row>
    <row r="4647" ht="18" customHeight="1" spans="1:6">
      <c r="A4647" s="13" t="s">
        <v>8845</v>
      </c>
      <c r="B4647" s="13" t="s">
        <v>9035</v>
      </c>
      <c r="C4647" s="13" t="s">
        <v>9093</v>
      </c>
      <c r="D4647" s="13">
        <v>3</v>
      </c>
      <c r="E4647" s="5" t="str">
        <f>LEFT("422626197303106418",19)</f>
        <v>422626197303106418</v>
      </c>
      <c r="F4647" s="13" t="s">
        <v>11</v>
      </c>
    </row>
    <row r="4648" ht="18" customHeight="1" spans="1:6">
      <c r="A4648" s="13" t="s">
        <v>8845</v>
      </c>
      <c r="B4648" s="13" t="s">
        <v>9035</v>
      </c>
      <c r="C4648" s="13" t="s">
        <v>9094</v>
      </c>
      <c r="D4648" s="13">
        <v>4</v>
      </c>
      <c r="E4648" s="5" t="str">
        <f>LEFT("420325197801036411",19)</f>
        <v>420325197801036411</v>
      </c>
      <c r="F4648" s="13" t="s">
        <v>11</v>
      </c>
    </row>
    <row r="4649" ht="18" customHeight="1" spans="1:6">
      <c r="A4649" s="13" t="s">
        <v>8845</v>
      </c>
      <c r="B4649" s="13" t="s">
        <v>9035</v>
      </c>
      <c r="C4649" s="13" t="s">
        <v>9095</v>
      </c>
      <c r="D4649" s="13">
        <v>3</v>
      </c>
      <c r="E4649" s="5" t="str">
        <f>LEFT("422626194901206415",19)</f>
        <v>422626194901206415</v>
      </c>
      <c r="F4649" s="13" t="s">
        <v>11</v>
      </c>
    </row>
    <row r="4650" ht="18" customHeight="1" spans="1:6">
      <c r="A4650" s="13" t="s">
        <v>8845</v>
      </c>
      <c r="B4650" s="13" t="s">
        <v>9035</v>
      </c>
      <c r="C4650" s="13" t="s">
        <v>9096</v>
      </c>
      <c r="D4650" s="13">
        <v>3</v>
      </c>
      <c r="E4650" s="5" t="str">
        <f>LEFT("422626197003276415",19)</f>
        <v>422626197003276415</v>
      </c>
      <c r="F4650" s="13" t="s">
        <v>11</v>
      </c>
    </row>
    <row r="4651" ht="18" customHeight="1" spans="1:6">
      <c r="A4651" s="13" t="s">
        <v>8845</v>
      </c>
      <c r="B4651" s="13" t="s">
        <v>9035</v>
      </c>
      <c r="C4651" s="13" t="s">
        <v>9097</v>
      </c>
      <c r="D4651" s="13">
        <v>3</v>
      </c>
      <c r="E4651" s="5" t="str">
        <f>LEFT("422626196312156412",19)</f>
        <v>422626196312156412</v>
      </c>
      <c r="F4651" s="13" t="s">
        <v>11</v>
      </c>
    </row>
    <row r="4652" ht="18" customHeight="1" spans="1:6">
      <c r="A4652" s="13" t="s">
        <v>8845</v>
      </c>
      <c r="B4652" s="13" t="s">
        <v>9035</v>
      </c>
      <c r="C4652" s="13" t="s">
        <v>9098</v>
      </c>
      <c r="D4652" s="13">
        <v>3</v>
      </c>
      <c r="E4652" s="5" t="str">
        <f>LEFT("422626196211226434",19)</f>
        <v>422626196211226434</v>
      </c>
      <c r="F4652" s="13" t="s">
        <v>11</v>
      </c>
    </row>
    <row r="4653" ht="18" customHeight="1" spans="1:6">
      <c r="A4653" s="13" t="s">
        <v>8845</v>
      </c>
      <c r="B4653" s="13" t="s">
        <v>9035</v>
      </c>
      <c r="C4653" s="13" t="s">
        <v>9099</v>
      </c>
      <c r="D4653" s="13">
        <v>2</v>
      </c>
      <c r="E4653" s="5" t="str">
        <f>LEFT("422626196411306412",19)</f>
        <v>422626196411306412</v>
      </c>
      <c r="F4653" s="13" t="s">
        <v>11</v>
      </c>
    </row>
    <row r="4654" ht="18" customHeight="1" spans="1:6">
      <c r="A4654" s="13" t="s">
        <v>8845</v>
      </c>
      <c r="B4654" s="13" t="s">
        <v>9035</v>
      </c>
      <c r="C4654" s="13" t="s">
        <v>9100</v>
      </c>
      <c r="D4654" s="13">
        <v>6</v>
      </c>
      <c r="E4654" s="5" t="str">
        <f>LEFT("422626196805316445",19)</f>
        <v>422626196805316445</v>
      </c>
      <c r="F4654" s="13" t="s">
        <v>11</v>
      </c>
    </row>
    <row r="4655" ht="18" customHeight="1" spans="1:6">
      <c r="A4655" s="13" t="s">
        <v>8845</v>
      </c>
      <c r="B4655" s="13" t="s">
        <v>9035</v>
      </c>
      <c r="C4655" s="13" t="s">
        <v>9101</v>
      </c>
      <c r="D4655" s="13">
        <v>4</v>
      </c>
      <c r="E4655" s="5" t="str">
        <f>LEFT("422626197203156434",19)</f>
        <v>422626197203156434</v>
      </c>
      <c r="F4655" s="13" t="s">
        <v>11</v>
      </c>
    </row>
    <row r="4656" ht="18" customHeight="1" spans="1:6">
      <c r="A4656" s="13" t="s">
        <v>8845</v>
      </c>
      <c r="B4656" s="13" t="s">
        <v>9035</v>
      </c>
      <c r="C4656" s="13" t="s">
        <v>9102</v>
      </c>
      <c r="D4656" s="13">
        <v>2</v>
      </c>
      <c r="E4656" s="5" t="str">
        <f>LEFT("422626196503156431",19)</f>
        <v>422626196503156431</v>
      </c>
      <c r="F4656" s="13" t="s">
        <v>11</v>
      </c>
    </row>
    <row r="4657" ht="18" customHeight="1" spans="1:6">
      <c r="A4657" s="13" t="s">
        <v>8845</v>
      </c>
      <c r="B4657" s="13" t="s">
        <v>9035</v>
      </c>
      <c r="C4657" s="13" t="s">
        <v>9103</v>
      </c>
      <c r="D4657" s="13">
        <v>6</v>
      </c>
      <c r="E4657" s="5" t="str">
        <f>LEFT("422626195706126414",19)</f>
        <v>422626195706126414</v>
      </c>
      <c r="F4657" s="13" t="s">
        <v>11</v>
      </c>
    </row>
    <row r="4658" ht="18" customHeight="1" spans="1:6">
      <c r="A4658" s="13" t="s">
        <v>8845</v>
      </c>
      <c r="B4658" s="13" t="s">
        <v>9035</v>
      </c>
      <c r="C4658" s="13" t="s">
        <v>9104</v>
      </c>
      <c r="D4658" s="13">
        <v>2</v>
      </c>
      <c r="E4658" s="5" t="str">
        <f>LEFT("422626195407086432",19)</f>
        <v>422626195407086432</v>
      </c>
      <c r="F4658" s="13" t="s">
        <v>11</v>
      </c>
    </row>
    <row r="4659" ht="18" customHeight="1" spans="1:6">
      <c r="A4659" s="13" t="s">
        <v>8845</v>
      </c>
      <c r="B4659" s="13" t="s">
        <v>9035</v>
      </c>
      <c r="C4659" s="13" t="s">
        <v>9105</v>
      </c>
      <c r="D4659" s="13">
        <v>4</v>
      </c>
      <c r="E4659" s="19" t="s">
        <v>9106</v>
      </c>
      <c r="F4659" s="13" t="s">
        <v>11</v>
      </c>
    </row>
    <row r="4660" ht="18" customHeight="1" spans="1:6">
      <c r="A4660" s="13" t="s">
        <v>8845</v>
      </c>
      <c r="B4660" s="13" t="s">
        <v>9035</v>
      </c>
      <c r="C4660" s="13" t="s">
        <v>9107</v>
      </c>
      <c r="D4660" s="13">
        <v>3</v>
      </c>
      <c r="E4660" s="5" t="str">
        <f>LEFT("422626195211166414",19)</f>
        <v>422626195211166414</v>
      </c>
      <c r="F4660" s="13" t="s">
        <v>11</v>
      </c>
    </row>
    <row r="4661" ht="18" customHeight="1" spans="1:6">
      <c r="A4661" s="13" t="s">
        <v>8845</v>
      </c>
      <c r="B4661" s="13" t="s">
        <v>9035</v>
      </c>
      <c r="C4661" s="13" t="s">
        <v>9108</v>
      </c>
      <c r="D4661" s="13">
        <v>3</v>
      </c>
      <c r="E4661" s="5" t="str">
        <f>LEFT("420325197910056438",19)</f>
        <v>420325197910056438</v>
      </c>
      <c r="F4661" s="13" t="s">
        <v>11</v>
      </c>
    </row>
    <row r="4662" ht="18" customHeight="1" spans="1:6">
      <c r="A4662" s="13" t="s">
        <v>8845</v>
      </c>
      <c r="B4662" s="13" t="s">
        <v>9035</v>
      </c>
      <c r="C4662" s="13" t="s">
        <v>9109</v>
      </c>
      <c r="D4662" s="13">
        <v>2</v>
      </c>
      <c r="E4662" s="5" t="str">
        <f>LEFT("42262619460123641X",19)</f>
        <v>42262619460123641X</v>
      </c>
      <c r="F4662" s="13" t="s">
        <v>11</v>
      </c>
    </row>
    <row r="4663" ht="18" customHeight="1" spans="1:6">
      <c r="A4663" s="13" t="s">
        <v>8845</v>
      </c>
      <c r="B4663" s="13" t="s">
        <v>9035</v>
      </c>
      <c r="C4663" s="13" t="s">
        <v>9110</v>
      </c>
      <c r="D4663" s="13">
        <v>4</v>
      </c>
      <c r="E4663" s="5" t="str">
        <f>LEFT("42262619740114643X",19)</f>
        <v>42262619740114643X</v>
      </c>
      <c r="F4663" s="13" t="s">
        <v>11</v>
      </c>
    </row>
    <row r="4664" ht="18" customHeight="1" spans="1:6">
      <c r="A4664" s="13" t="s">
        <v>8845</v>
      </c>
      <c r="B4664" s="13" t="s">
        <v>9035</v>
      </c>
      <c r="C4664" s="13" t="s">
        <v>9111</v>
      </c>
      <c r="D4664" s="13">
        <v>2</v>
      </c>
      <c r="E4664" s="5" t="str">
        <f>LEFT("422626195911286417",19)</f>
        <v>422626195911286417</v>
      </c>
      <c r="F4664" s="13" t="s">
        <v>11</v>
      </c>
    </row>
    <row r="4665" ht="18" customHeight="1" spans="1:6">
      <c r="A4665" s="13" t="s">
        <v>8845</v>
      </c>
      <c r="B4665" s="13" t="s">
        <v>9035</v>
      </c>
      <c r="C4665" s="13" t="s">
        <v>9112</v>
      </c>
      <c r="D4665" s="13">
        <v>4</v>
      </c>
      <c r="E4665" s="5" t="str">
        <f>LEFT("420325198207206419",19)</f>
        <v>420325198207206419</v>
      </c>
      <c r="F4665" s="13" t="s">
        <v>11</v>
      </c>
    </row>
    <row r="4666" ht="18" customHeight="1" spans="1:6">
      <c r="A4666" s="13" t="s">
        <v>8845</v>
      </c>
      <c r="B4666" s="13" t="s">
        <v>9035</v>
      </c>
      <c r="C4666" s="13" t="s">
        <v>9113</v>
      </c>
      <c r="D4666" s="13">
        <v>2</v>
      </c>
      <c r="E4666" s="5" t="str">
        <f>LEFT("422626196611296431",19)</f>
        <v>422626196611296431</v>
      </c>
      <c r="F4666" s="13" t="s">
        <v>11</v>
      </c>
    </row>
    <row r="4667" ht="18" customHeight="1" spans="1:6">
      <c r="A4667" s="13" t="s">
        <v>8845</v>
      </c>
      <c r="B4667" s="13" t="s">
        <v>9035</v>
      </c>
      <c r="C4667" s="13" t="s">
        <v>9114</v>
      </c>
      <c r="D4667" s="13">
        <v>4</v>
      </c>
      <c r="E4667" s="19" t="s">
        <v>9115</v>
      </c>
      <c r="F4667" s="13" t="s">
        <v>11</v>
      </c>
    </row>
    <row r="4668" ht="18" customHeight="1" spans="1:6">
      <c r="A4668" s="13" t="s">
        <v>8845</v>
      </c>
      <c r="B4668" s="13" t="s">
        <v>9035</v>
      </c>
      <c r="C4668" s="13" t="s">
        <v>9116</v>
      </c>
      <c r="D4668" s="13">
        <v>3</v>
      </c>
      <c r="E4668" s="19" t="s">
        <v>9117</v>
      </c>
      <c r="F4668" s="13" t="s">
        <v>11</v>
      </c>
    </row>
    <row r="4669" ht="18" customHeight="1" spans="1:6">
      <c r="A4669" s="13" t="s">
        <v>8845</v>
      </c>
      <c r="B4669" s="13" t="s">
        <v>9035</v>
      </c>
      <c r="C4669" s="13" t="s">
        <v>9118</v>
      </c>
      <c r="D4669" s="13">
        <v>2</v>
      </c>
      <c r="E4669" s="19" t="s">
        <v>9119</v>
      </c>
      <c r="F4669" s="13" t="s">
        <v>11</v>
      </c>
    </row>
    <row r="4670" ht="18" customHeight="1" spans="1:6">
      <c r="A4670" s="13" t="s">
        <v>8845</v>
      </c>
      <c r="B4670" s="13" t="s">
        <v>9035</v>
      </c>
      <c r="C4670" s="13" t="s">
        <v>9120</v>
      </c>
      <c r="D4670" s="13">
        <v>3</v>
      </c>
      <c r="E4670" s="5" t="str">
        <f>LEFT("420325197801066418",19)</f>
        <v>420325197801066418</v>
      </c>
      <c r="F4670" s="13" t="s">
        <v>11</v>
      </c>
    </row>
    <row r="4671" ht="18" customHeight="1" spans="1:6">
      <c r="A4671" s="13" t="s">
        <v>8845</v>
      </c>
      <c r="B4671" s="13" t="s">
        <v>9035</v>
      </c>
      <c r="C4671" s="13" t="s">
        <v>9121</v>
      </c>
      <c r="D4671" s="13">
        <v>3</v>
      </c>
      <c r="E4671" s="5" t="str">
        <f>LEFT("422626194904266413",19)</f>
        <v>422626194904266413</v>
      </c>
      <c r="F4671" s="13" t="s">
        <v>11</v>
      </c>
    </row>
    <row r="4672" ht="18" customHeight="1" spans="1:6">
      <c r="A4672" s="13" t="s">
        <v>8845</v>
      </c>
      <c r="B4672" s="13" t="s">
        <v>9035</v>
      </c>
      <c r="C4672" s="13" t="s">
        <v>9122</v>
      </c>
      <c r="D4672" s="13">
        <v>3</v>
      </c>
      <c r="E4672" s="5" t="str">
        <f>LEFT("422626196002056416",19)</f>
        <v>422626196002056416</v>
      </c>
      <c r="F4672" s="13" t="s">
        <v>11</v>
      </c>
    </row>
    <row r="4673" ht="18" customHeight="1" spans="1:6">
      <c r="A4673" s="13" t="s">
        <v>8845</v>
      </c>
      <c r="B4673" s="13" t="s">
        <v>9035</v>
      </c>
      <c r="C4673" s="13" t="s">
        <v>9123</v>
      </c>
      <c r="D4673" s="13">
        <v>2</v>
      </c>
      <c r="E4673" s="5" t="str">
        <f>LEFT("422626194912096418",19)</f>
        <v>422626194912096418</v>
      </c>
      <c r="F4673" s="13" t="s">
        <v>11</v>
      </c>
    </row>
    <row r="4674" ht="18" customHeight="1" spans="1:6">
      <c r="A4674" s="13" t="s">
        <v>8845</v>
      </c>
      <c r="B4674" s="13" t="s">
        <v>9035</v>
      </c>
      <c r="C4674" s="13" t="s">
        <v>9124</v>
      </c>
      <c r="D4674" s="13">
        <v>2</v>
      </c>
      <c r="E4674" s="5" t="str">
        <f>LEFT("422626195712126410",19)</f>
        <v>422626195712126410</v>
      </c>
      <c r="F4674" s="13" t="s">
        <v>11</v>
      </c>
    </row>
    <row r="4675" ht="18" customHeight="1" spans="1:6">
      <c r="A4675" s="13" t="s">
        <v>8845</v>
      </c>
      <c r="B4675" s="13" t="s">
        <v>9035</v>
      </c>
      <c r="C4675" s="13" t="s">
        <v>9125</v>
      </c>
      <c r="D4675" s="13">
        <v>3</v>
      </c>
      <c r="E4675" s="14" t="s">
        <v>9126</v>
      </c>
      <c r="F4675" s="13" t="s">
        <v>11</v>
      </c>
    </row>
    <row r="4676" ht="18" customHeight="1" spans="1:6">
      <c r="A4676" s="13" t="s">
        <v>8845</v>
      </c>
      <c r="B4676" s="13" t="s">
        <v>9035</v>
      </c>
      <c r="C4676" s="13" t="s">
        <v>9127</v>
      </c>
      <c r="D4676" s="13">
        <v>1</v>
      </c>
      <c r="E4676" s="14" t="s">
        <v>9128</v>
      </c>
      <c r="F4676" s="13" t="s">
        <v>11</v>
      </c>
    </row>
    <row r="4677" ht="18" customHeight="1" spans="1:6">
      <c r="A4677" s="13" t="s">
        <v>8845</v>
      </c>
      <c r="B4677" s="13" t="s">
        <v>9035</v>
      </c>
      <c r="C4677" s="13" t="s">
        <v>9129</v>
      </c>
      <c r="D4677" s="13">
        <v>1</v>
      </c>
      <c r="E4677" s="14" t="s">
        <v>9130</v>
      </c>
      <c r="F4677" s="13" t="s">
        <v>11</v>
      </c>
    </row>
    <row r="4678" ht="18" customHeight="1" spans="1:6">
      <c r="A4678" s="13" t="s">
        <v>8845</v>
      </c>
      <c r="B4678" s="13" t="s">
        <v>9035</v>
      </c>
      <c r="C4678" s="13" t="s">
        <v>9131</v>
      </c>
      <c r="D4678" s="13">
        <v>4</v>
      </c>
      <c r="E4678" s="14" t="s">
        <v>9132</v>
      </c>
      <c r="F4678" s="13" t="s">
        <v>11</v>
      </c>
    </row>
    <row r="4679" ht="18" customHeight="1" spans="1:6">
      <c r="A4679" s="13" t="s">
        <v>8845</v>
      </c>
      <c r="B4679" s="13" t="s">
        <v>9035</v>
      </c>
      <c r="C4679" s="13" t="s">
        <v>9133</v>
      </c>
      <c r="D4679" s="13">
        <v>2</v>
      </c>
      <c r="E4679" s="5" t="str">
        <f>LEFT("42262619450128641X",19)</f>
        <v>42262619450128641X</v>
      </c>
      <c r="F4679" s="13" t="s">
        <v>11</v>
      </c>
    </row>
    <row r="4680" ht="18" customHeight="1" spans="1:6">
      <c r="A4680" s="13" t="s">
        <v>8845</v>
      </c>
      <c r="B4680" s="13" t="s">
        <v>9035</v>
      </c>
      <c r="C4680" s="13" t="s">
        <v>9134</v>
      </c>
      <c r="D4680" s="13">
        <v>2</v>
      </c>
      <c r="E4680" s="5" t="str">
        <f>LEFT("42262619700219643X",19)</f>
        <v>42262619700219643X</v>
      </c>
      <c r="F4680" s="13" t="s">
        <v>11</v>
      </c>
    </row>
    <row r="4681" ht="18" customHeight="1" spans="1:6">
      <c r="A4681" s="13" t="s">
        <v>8845</v>
      </c>
      <c r="B4681" s="13" t="s">
        <v>9035</v>
      </c>
      <c r="C4681" s="13" t="s">
        <v>9135</v>
      </c>
      <c r="D4681" s="13">
        <v>2</v>
      </c>
      <c r="E4681" s="5" t="str">
        <f>LEFT("422626196208186427",19)</f>
        <v>422626196208186427</v>
      </c>
      <c r="F4681" s="13" t="s">
        <v>11</v>
      </c>
    </row>
    <row r="4682" ht="18" customHeight="1" spans="1:6">
      <c r="A4682" s="13" t="s">
        <v>8845</v>
      </c>
      <c r="B4682" s="13" t="s">
        <v>9035</v>
      </c>
      <c r="C4682" s="13" t="s">
        <v>9136</v>
      </c>
      <c r="D4682" s="13">
        <v>3</v>
      </c>
      <c r="E4682" s="5" t="str">
        <f>LEFT("422626197303026418",19)</f>
        <v>422626197303026418</v>
      </c>
      <c r="F4682" s="13" t="s">
        <v>11</v>
      </c>
    </row>
    <row r="4683" ht="18" customHeight="1" spans="1:6">
      <c r="A4683" s="13" t="s">
        <v>8845</v>
      </c>
      <c r="B4683" s="13" t="s">
        <v>9035</v>
      </c>
      <c r="C4683" s="13" t="s">
        <v>9137</v>
      </c>
      <c r="D4683" s="13">
        <v>1</v>
      </c>
      <c r="E4683" s="14" t="s">
        <v>9138</v>
      </c>
      <c r="F4683" s="13" t="s">
        <v>11</v>
      </c>
    </row>
    <row r="4684" ht="18" customHeight="1" spans="1:6">
      <c r="A4684" s="13" t="s">
        <v>8845</v>
      </c>
      <c r="B4684" s="13" t="s">
        <v>9035</v>
      </c>
      <c r="C4684" s="13" t="s">
        <v>9139</v>
      </c>
      <c r="D4684" s="13">
        <v>3</v>
      </c>
      <c r="E4684" s="14" t="s">
        <v>9140</v>
      </c>
      <c r="F4684" s="13" t="s">
        <v>11</v>
      </c>
    </row>
    <row r="4685" ht="18" customHeight="1" spans="1:6">
      <c r="A4685" s="13" t="s">
        <v>8845</v>
      </c>
      <c r="B4685" s="13" t="s">
        <v>9035</v>
      </c>
      <c r="C4685" s="13" t="s">
        <v>9141</v>
      </c>
      <c r="D4685" s="13">
        <v>2</v>
      </c>
      <c r="E4685" s="14" t="s">
        <v>9142</v>
      </c>
      <c r="F4685" s="13" t="s">
        <v>11</v>
      </c>
    </row>
    <row r="4686" ht="18" customHeight="1" spans="1:6">
      <c r="A4686" s="13" t="s">
        <v>8845</v>
      </c>
      <c r="B4686" s="13" t="s">
        <v>9035</v>
      </c>
      <c r="C4686" s="13" t="s">
        <v>9143</v>
      </c>
      <c r="D4686" s="13">
        <v>2</v>
      </c>
      <c r="E4686" s="5" t="str">
        <f>LEFT("422626196401276415",19)</f>
        <v>422626196401276415</v>
      </c>
      <c r="F4686" s="13" t="s">
        <v>11</v>
      </c>
    </row>
    <row r="4687" ht="18" customHeight="1" spans="1:6">
      <c r="A4687" s="13" t="s">
        <v>8845</v>
      </c>
      <c r="B4687" s="13" t="s">
        <v>9035</v>
      </c>
      <c r="C4687" s="13" t="s">
        <v>9144</v>
      </c>
      <c r="D4687" s="13">
        <v>2</v>
      </c>
      <c r="E4687" s="5" t="str">
        <f>LEFT("422626196801126441",19)</f>
        <v>422626196801126441</v>
      </c>
      <c r="F4687" s="13" t="s">
        <v>11</v>
      </c>
    </row>
    <row r="4688" ht="18" customHeight="1" spans="1:6">
      <c r="A4688" s="13" t="s">
        <v>8845</v>
      </c>
      <c r="B4688" s="13" t="s">
        <v>9035</v>
      </c>
      <c r="C4688" s="13" t="s">
        <v>9145</v>
      </c>
      <c r="D4688" s="13">
        <v>1</v>
      </c>
      <c r="E4688" s="5" t="str">
        <f>LEFT("422626194307196410",19)</f>
        <v>422626194307196410</v>
      </c>
      <c r="F4688" s="13" t="s">
        <v>11</v>
      </c>
    </row>
    <row r="4689" ht="18" customHeight="1" spans="1:6">
      <c r="A4689" s="13" t="s">
        <v>8845</v>
      </c>
      <c r="B4689" s="13" t="s">
        <v>9035</v>
      </c>
      <c r="C4689" s="13" t="s">
        <v>9146</v>
      </c>
      <c r="D4689" s="13">
        <v>2</v>
      </c>
      <c r="E4689" s="5" t="str">
        <f>LEFT("422626194903036413",19)</f>
        <v>422626194903036413</v>
      </c>
      <c r="F4689" s="13" t="s">
        <v>11</v>
      </c>
    </row>
    <row r="4690" ht="18" customHeight="1" spans="1:6">
      <c r="A4690" s="13" t="s">
        <v>8845</v>
      </c>
      <c r="B4690" s="13" t="s">
        <v>9147</v>
      </c>
      <c r="C4690" s="13" t="s">
        <v>9148</v>
      </c>
      <c r="D4690" s="13">
        <v>3</v>
      </c>
      <c r="E4690" s="179" t="s">
        <v>9149</v>
      </c>
      <c r="F4690" s="13" t="s">
        <v>11</v>
      </c>
    </row>
    <row r="4691" ht="18" customHeight="1" spans="1:6">
      <c r="A4691" s="13" t="s">
        <v>8845</v>
      </c>
      <c r="B4691" s="13" t="s">
        <v>9147</v>
      </c>
      <c r="C4691" s="13" t="s">
        <v>9150</v>
      </c>
      <c r="D4691" s="13">
        <v>2</v>
      </c>
      <c r="E4691" s="179" t="s">
        <v>9151</v>
      </c>
      <c r="F4691" s="13" t="s">
        <v>11</v>
      </c>
    </row>
    <row r="4692" ht="18" customHeight="1" spans="1:6">
      <c r="A4692" s="13" t="s">
        <v>8845</v>
      </c>
      <c r="B4692" s="13" t="s">
        <v>9147</v>
      </c>
      <c r="C4692" s="13" t="s">
        <v>9152</v>
      </c>
      <c r="D4692" s="13">
        <v>1</v>
      </c>
      <c r="E4692" s="13" t="s">
        <v>9153</v>
      </c>
      <c r="F4692" s="13" t="s">
        <v>11</v>
      </c>
    </row>
    <row r="4693" ht="18" customHeight="1" spans="1:6">
      <c r="A4693" s="13" t="s">
        <v>8845</v>
      </c>
      <c r="B4693" s="13" t="s">
        <v>9147</v>
      </c>
      <c r="C4693" s="13" t="s">
        <v>9154</v>
      </c>
      <c r="D4693" s="13">
        <v>3</v>
      </c>
      <c r="E4693" s="179" t="s">
        <v>9155</v>
      </c>
      <c r="F4693" s="13" t="s">
        <v>11</v>
      </c>
    </row>
    <row r="4694" ht="18" customHeight="1" spans="1:6">
      <c r="A4694" s="13" t="s">
        <v>8845</v>
      </c>
      <c r="B4694" s="13" t="s">
        <v>9147</v>
      </c>
      <c r="C4694" s="13" t="s">
        <v>9156</v>
      </c>
      <c r="D4694" s="13">
        <v>3</v>
      </c>
      <c r="E4694" s="179" t="s">
        <v>9157</v>
      </c>
      <c r="F4694" s="13" t="s">
        <v>11</v>
      </c>
    </row>
    <row r="4695" ht="18" customHeight="1" spans="1:6">
      <c r="A4695" s="13" t="s">
        <v>8845</v>
      </c>
      <c r="B4695" s="13" t="s">
        <v>9147</v>
      </c>
      <c r="C4695" s="13" t="s">
        <v>9158</v>
      </c>
      <c r="D4695" s="13">
        <v>2</v>
      </c>
      <c r="E4695" s="179" t="s">
        <v>9159</v>
      </c>
      <c r="F4695" s="13" t="s">
        <v>11</v>
      </c>
    </row>
    <row r="4696" ht="18" customHeight="1" spans="1:6">
      <c r="A4696" s="13" t="s">
        <v>8845</v>
      </c>
      <c r="B4696" s="13" t="s">
        <v>9147</v>
      </c>
      <c r="C4696" s="13" t="s">
        <v>9160</v>
      </c>
      <c r="D4696" s="13">
        <v>4</v>
      </c>
      <c r="E4696" s="179" t="s">
        <v>9161</v>
      </c>
      <c r="F4696" s="13" t="s">
        <v>11</v>
      </c>
    </row>
    <row r="4697" ht="18" customHeight="1" spans="1:6">
      <c r="A4697" s="13" t="s">
        <v>8845</v>
      </c>
      <c r="B4697" s="13" t="s">
        <v>9147</v>
      </c>
      <c r="C4697" s="13" t="s">
        <v>9162</v>
      </c>
      <c r="D4697" s="13">
        <v>2</v>
      </c>
      <c r="E4697" s="12" t="s">
        <v>9163</v>
      </c>
      <c r="F4697" s="13" t="s">
        <v>11</v>
      </c>
    </row>
    <row r="4698" ht="18" customHeight="1" spans="1:6">
      <c r="A4698" s="13" t="s">
        <v>8845</v>
      </c>
      <c r="B4698" s="13" t="s">
        <v>9147</v>
      </c>
      <c r="C4698" s="13" t="s">
        <v>9164</v>
      </c>
      <c r="D4698" s="13">
        <v>4</v>
      </c>
      <c r="E4698" s="179" t="s">
        <v>9165</v>
      </c>
      <c r="F4698" s="13" t="s">
        <v>11</v>
      </c>
    </row>
    <row r="4699" ht="18" customHeight="1" spans="1:6">
      <c r="A4699" s="13" t="s">
        <v>8845</v>
      </c>
      <c r="B4699" s="13" t="s">
        <v>9147</v>
      </c>
      <c r="C4699" s="13" t="s">
        <v>9166</v>
      </c>
      <c r="D4699" s="13">
        <v>4</v>
      </c>
      <c r="E4699" s="179" t="s">
        <v>9167</v>
      </c>
      <c r="F4699" s="13" t="s">
        <v>11</v>
      </c>
    </row>
    <row r="4700" ht="18" customHeight="1" spans="1:6">
      <c r="A4700" s="13" t="s">
        <v>8845</v>
      </c>
      <c r="B4700" s="13" t="s">
        <v>9147</v>
      </c>
      <c r="C4700" s="13" t="s">
        <v>9168</v>
      </c>
      <c r="D4700" s="13">
        <v>1</v>
      </c>
      <c r="E4700" s="179" t="s">
        <v>9169</v>
      </c>
      <c r="F4700" s="13" t="s">
        <v>11</v>
      </c>
    </row>
    <row r="4701" ht="18" customHeight="1" spans="1:6">
      <c r="A4701" s="13" t="s">
        <v>8845</v>
      </c>
      <c r="B4701" s="13" t="s">
        <v>9147</v>
      </c>
      <c r="C4701" s="13" t="s">
        <v>9170</v>
      </c>
      <c r="D4701" s="13">
        <v>3</v>
      </c>
      <c r="E4701" s="179" t="s">
        <v>9171</v>
      </c>
      <c r="F4701" s="13" t="s">
        <v>11</v>
      </c>
    </row>
    <row r="4702" ht="18" customHeight="1" spans="1:6">
      <c r="A4702" s="13" t="s">
        <v>8845</v>
      </c>
      <c r="B4702" s="13" t="s">
        <v>9172</v>
      </c>
      <c r="C4702" s="13" t="s">
        <v>9173</v>
      </c>
      <c r="D4702" s="13">
        <v>3</v>
      </c>
      <c r="E4702" s="5" t="str">
        <f>LEFT("422626197210166411",19)</f>
        <v>422626197210166411</v>
      </c>
      <c r="F4702" s="13" t="s">
        <v>11</v>
      </c>
    </row>
    <row r="4703" ht="18" customHeight="1" spans="1:6">
      <c r="A4703" s="13" t="s">
        <v>8845</v>
      </c>
      <c r="B4703" s="13" t="s">
        <v>9172</v>
      </c>
      <c r="C4703" s="13" t="s">
        <v>9174</v>
      </c>
      <c r="D4703" s="13">
        <v>4</v>
      </c>
      <c r="E4703" s="5" t="str">
        <f>LEFT("422626196907186418",19)</f>
        <v>422626196907186418</v>
      </c>
      <c r="F4703" s="13" t="s">
        <v>11</v>
      </c>
    </row>
    <row r="4704" ht="18" customHeight="1" spans="1:6">
      <c r="A4704" s="13" t="s">
        <v>8845</v>
      </c>
      <c r="B4704" s="13" t="s">
        <v>9172</v>
      </c>
      <c r="C4704" s="13" t="s">
        <v>9175</v>
      </c>
      <c r="D4704" s="13">
        <v>2</v>
      </c>
      <c r="E4704" s="5" t="str">
        <f>LEFT("422626195701186418",19)</f>
        <v>422626195701186418</v>
      </c>
      <c r="F4704" s="13" t="s">
        <v>11</v>
      </c>
    </row>
    <row r="4705" ht="18" customHeight="1" spans="1:6">
      <c r="A4705" s="13" t="s">
        <v>8845</v>
      </c>
      <c r="B4705" s="13" t="s">
        <v>9172</v>
      </c>
      <c r="C4705" s="13" t="s">
        <v>9176</v>
      </c>
      <c r="D4705" s="13">
        <v>3</v>
      </c>
      <c r="E4705" s="5" t="str">
        <f>LEFT("422626195412276433",19)</f>
        <v>422626195412276433</v>
      </c>
      <c r="F4705" s="13" t="s">
        <v>11</v>
      </c>
    </row>
    <row r="4706" ht="18" customHeight="1" spans="1:6">
      <c r="A4706" s="13" t="s">
        <v>8845</v>
      </c>
      <c r="B4706" s="13" t="s">
        <v>9172</v>
      </c>
      <c r="C4706" s="13" t="s">
        <v>9177</v>
      </c>
      <c r="D4706" s="13">
        <v>3</v>
      </c>
      <c r="E4706" s="5" t="str">
        <f>LEFT("422626194911076415",19)</f>
        <v>422626194911076415</v>
      </c>
      <c r="F4706" s="13" t="s">
        <v>11</v>
      </c>
    </row>
    <row r="4707" ht="18" customHeight="1" spans="1:6">
      <c r="A4707" s="13" t="s">
        <v>8845</v>
      </c>
      <c r="B4707" s="13" t="s">
        <v>9172</v>
      </c>
      <c r="C4707" s="13" t="s">
        <v>9178</v>
      </c>
      <c r="D4707" s="13">
        <v>12</v>
      </c>
      <c r="E4707" s="5" t="str">
        <f>LEFT("42262619340924604X",19)</f>
        <v>42262619340924604X</v>
      </c>
      <c r="F4707" s="13" t="s">
        <v>11</v>
      </c>
    </row>
    <row r="4708" ht="18" customHeight="1" spans="1:6">
      <c r="A4708" s="13" t="s">
        <v>8845</v>
      </c>
      <c r="B4708" s="13" t="s">
        <v>9172</v>
      </c>
      <c r="C4708" s="13" t="s">
        <v>9179</v>
      </c>
      <c r="D4708" s="13">
        <v>4</v>
      </c>
      <c r="E4708" s="5" t="str">
        <f>LEFT("422626196801196415",19)</f>
        <v>422626196801196415</v>
      </c>
      <c r="F4708" s="13" t="s">
        <v>11</v>
      </c>
    </row>
    <row r="4709" ht="18" customHeight="1" spans="1:6">
      <c r="A4709" s="13" t="s">
        <v>8845</v>
      </c>
      <c r="B4709" s="13" t="s">
        <v>9172</v>
      </c>
      <c r="C4709" s="13" t="s">
        <v>9180</v>
      </c>
      <c r="D4709" s="13">
        <v>3</v>
      </c>
      <c r="E4709" s="5" t="str">
        <f>LEFT("420325197707256418",19)</f>
        <v>420325197707256418</v>
      </c>
      <c r="F4709" s="13" t="s">
        <v>11</v>
      </c>
    </row>
    <row r="4710" ht="18" customHeight="1" spans="1:6">
      <c r="A4710" s="13" t="s">
        <v>8845</v>
      </c>
      <c r="B4710" s="13" t="s">
        <v>9172</v>
      </c>
      <c r="C4710" s="13" t="s">
        <v>9181</v>
      </c>
      <c r="D4710" s="13">
        <v>3</v>
      </c>
      <c r="E4710" s="5" t="str">
        <f>LEFT("420325197610236410",19)</f>
        <v>420325197610236410</v>
      </c>
      <c r="F4710" s="13" t="s">
        <v>11</v>
      </c>
    </row>
    <row r="4711" ht="18" customHeight="1" spans="1:6">
      <c r="A4711" s="13" t="s">
        <v>8845</v>
      </c>
      <c r="B4711" s="13" t="s">
        <v>9172</v>
      </c>
      <c r="C4711" s="13" t="s">
        <v>9182</v>
      </c>
      <c r="D4711" s="13">
        <v>2</v>
      </c>
      <c r="E4711" s="5" t="str">
        <f>LEFT("422626197211266414",19)</f>
        <v>422626197211266414</v>
      </c>
      <c r="F4711" s="13" t="s">
        <v>11</v>
      </c>
    </row>
    <row r="4712" ht="18" customHeight="1" spans="1:6">
      <c r="A4712" s="13" t="s">
        <v>8845</v>
      </c>
      <c r="B4712" s="13" t="s">
        <v>9172</v>
      </c>
      <c r="C4712" s="13" t="s">
        <v>9183</v>
      </c>
      <c r="D4712" s="13">
        <v>2</v>
      </c>
      <c r="E4712" s="5" t="str">
        <f>LEFT("422626194809256428",19)</f>
        <v>422626194809256428</v>
      </c>
      <c r="F4712" s="13" t="s">
        <v>11</v>
      </c>
    </row>
    <row r="4713" ht="18" customHeight="1" spans="1:6">
      <c r="A4713" s="13" t="s">
        <v>8845</v>
      </c>
      <c r="B4713" s="13" t="s">
        <v>9172</v>
      </c>
      <c r="C4713" s="13" t="s">
        <v>9184</v>
      </c>
      <c r="D4713" s="13">
        <v>5</v>
      </c>
      <c r="E4713" s="5" t="str">
        <f>LEFT("422626196912166411",19)</f>
        <v>422626196912166411</v>
      </c>
      <c r="F4713" s="13" t="s">
        <v>11</v>
      </c>
    </row>
    <row r="4714" ht="18" customHeight="1" spans="1:6">
      <c r="A4714" s="13" t="s">
        <v>8845</v>
      </c>
      <c r="B4714" s="13" t="s">
        <v>9172</v>
      </c>
      <c r="C4714" s="13" t="s">
        <v>9185</v>
      </c>
      <c r="D4714" s="13">
        <v>4</v>
      </c>
      <c r="E4714" s="5" t="str">
        <f>LEFT("422626197012216457",19)</f>
        <v>422626197012216457</v>
      </c>
      <c r="F4714" s="13" t="s">
        <v>11</v>
      </c>
    </row>
    <row r="4715" ht="18" customHeight="1" spans="1:6">
      <c r="A4715" s="13" t="s">
        <v>8845</v>
      </c>
      <c r="B4715" s="13" t="s">
        <v>9172</v>
      </c>
      <c r="C4715" s="13" t="s">
        <v>9186</v>
      </c>
      <c r="D4715" s="13">
        <v>2</v>
      </c>
      <c r="E4715" s="5" t="str">
        <f>LEFT("422626197303276433",19)</f>
        <v>422626197303276433</v>
      </c>
      <c r="F4715" s="13" t="s">
        <v>11</v>
      </c>
    </row>
    <row r="4716" ht="18" customHeight="1" spans="1:6">
      <c r="A4716" s="13" t="s">
        <v>8845</v>
      </c>
      <c r="B4716" s="13" t="s">
        <v>9172</v>
      </c>
      <c r="C4716" s="13" t="s">
        <v>9187</v>
      </c>
      <c r="D4716" s="13">
        <v>4</v>
      </c>
      <c r="E4716" s="5" t="str">
        <f>LEFT("422626194803056417",19)</f>
        <v>422626194803056417</v>
      </c>
      <c r="F4716" s="13" t="s">
        <v>11</v>
      </c>
    </row>
    <row r="4717" ht="18" customHeight="1" spans="1:6">
      <c r="A4717" s="13" t="s">
        <v>8845</v>
      </c>
      <c r="B4717" s="13" t="s">
        <v>9172</v>
      </c>
      <c r="C4717" s="13" t="s">
        <v>9188</v>
      </c>
      <c r="D4717" s="13">
        <v>2</v>
      </c>
      <c r="E4717" s="5" t="str">
        <f>LEFT("422626195709176417",19)</f>
        <v>422626195709176417</v>
      </c>
      <c r="F4717" s="13" t="s">
        <v>11</v>
      </c>
    </row>
    <row r="4718" ht="18" customHeight="1" spans="1:6">
      <c r="A4718" s="13" t="s">
        <v>8845</v>
      </c>
      <c r="B4718" s="13" t="s">
        <v>9172</v>
      </c>
      <c r="C4718" s="13" t="s">
        <v>3807</v>
      </c>
      <c r="D4718" s="13">
        <v>2</v>
      </c>
      <c r="E4718" s="5" t="str">
        <f>LEFT("422626196607046413",19)</f>
        <v>422626196607046413</v>
      </c>
      <c r="F4718" s="13" t="s">
        <v>11</v>
      </c>
    </row>
    <row r="4719" ht="18" customHeight="1" spans="1:6">
      <c r="A4719" s="13" t="s">
        <v>8845</v>
      </c>
      <c r="B4719" s="13" t="s">
        <v>9172</v>
      </c>
      <c r="C4719" s="13" t="s">
        <v>3801</v>
      </c>
      <c r="D4719" s="13">
        <v>3</v>
      </c>
      <c r="E4719" s="5" t="str">
        <f>LEFT("422626197012166410",19)</f>
        <v>422626197012166410</v>
      </c>
      <c r="F4719" s="13" t="s">
        <v>11</v>
      </c>
    </row>
    <row r="4720" ht="18" customHeight="1" spans="1:6">
      <c r="A4720" s="13" t="s">
        <v>8845</v>
      </c>
      <c r="B4720" s="13" t="s">
        <v>9172</v>
      </c>
      <c r="C4720" s="13" t="s">
        <v>9189</v>
      </c>
      <c r="D4720" s="13">
        <v>2</v>
      </c>
      <c r="E4720" s="5" t="str">
        <f>LEFT("42032519930327642X",19)</f>
        <v>42032519930327642X</v>
      </c>
      <c r="F4720" s="13" t="s">
        <v>11</v>
      </c>
    </row>
    <row r="4721" ht="18" customHeight="1" spans="1:6">
      <c r="A4721" s="13" t="s">
        <v>8845</v>
      </c>
      <c r="B4721" s="13" t="s">
        <v>9172</v>
      </c>
      <c r="C4721" s="13" t="s">
        <v>9190</v>
      </c>
      <c r="D4721" s="13">
        <v>5</v>
      </c>
      <c r="E4721" s="5" t="str">
        <f>LEFT("422626195108166416",19)</f>
        <v>422626195108166416</v>
      </c>
      <c r="F4721" s="13" t="s">
        <v>11</v>
      </c>
    </row>
    <row r="4722" ht="18" customHeight="1" spans="1:6">
      <c r="A4722" s="13" t="s">
        <v>8845</v>
      </c>
      <c r="B4722" s="13" t="s">
        <v>9172</v>
      </c>
      <c r="C4722" s="13" t="s">
        <v>9191</v>
      </c>
      <c r="D4722" s="13">
        <v>3</v>
      </c>
      <c r="E4722" s="5" t="str">
        <f>LEFT("42262619470508641X",19)</f>
        <v>42262619470508641X</v>
      </c>
      <c r="F4722" s="13" t="s">
        <v>11</v>
      </c>
    </row>
    <row r="4723" ht="18" customHeight="1" spans="1:6">
      <c r="A4723" s="13" t="s">
        <v>8845</v>
      </c>
      <c r="B4723" s="13" t="s">
        <v>9172</v>
      </c>
      <c r="C4723" s="13" t="s">
        <v>9192</v>
      </c>
      <c r="D4723" s="13">
        <v>3</v>
      </c>
      <c r="E4723" s="5" t="str">
        <f>LEFT("422626195812286411",19)</f>
        <v>422626195812286411</v>
      </c>
      <c r="F4723" s="13" t="s">
        <v>11</v>
      </c>
    </row>
    <row r="4724" ht="18" customHeight="1" spans="1:6">
      <c r="A4724" s="13" t="s">
        <v>8845</v>
      </c>
      <c r="B4724" s="13" t="s">
        <v>9172</v>
      </c>
      <c r="C4724" s="13" t="s">
        <v>9193</v>
      </c>
      <c r="D4724" s="13">
        <v>2</v>
      </c>
      <c r="E4724" s="5" t="str">
        <f>LEFT("420325198201196416",19)</f>
        <v>420325198201196416</v>
      </c>
      <c r="F4724" s="13" t="s">
        <v>11</v>
      </c>
    </row>
    <row r="4725" ht="18" customHeight="1" spans="1:6">
      <c r="A4725" s="13" t="s">
        <v>8845</v>
      </c>
      <c r="B4725" s="13" t="s">
        <v>9172</v>
      </c>
      <c r="C4725" s="13" t="s">
        <v>9194</v>
      </c>
      <c r="D4725" s="13">
        <v>2</v>
      </c>
      <c r="E4725" s="5" t="str">
        <f>LEFT("422626197506296434",19)</f>
        <v>422626197506296434</v>
      </c>
      <c r="F4725" s="13" t="s">
        <v>11</v>
      </c>
    </row>
    <row r="4726" ht="18" customHeight="1" spans="1:6">
      <c r="A4726" s="13" t="s">
        <v>8845</v>
      </c>
      <c r="B4726" s="13" t="s">
        <v>9172</v>
      </c>
      <c r="C4726" s="13" t="s">
        <v>9195</v>
      </c>
      <c r="D4726" s="13">
        <v>3</v>
      </c>
      <c r="E4726" s="5" t="str">
        <f>LEFT("420325197407196433",19)</f>
        <v>420325197407196433</v>
      </c>
      <c r="F4726" s="13" t="s">
        <v>11</v>
      </c>
    </row>
    <row r="4727" ht="18" customHeight="1" spans="1:6">
      <c r="A4727" s="13" t="s">
        <v>8845</v>
      </c>
      <c r="B4727" s="13" t="s">
        <v>9172</v>
      </c>
      <c r="C4727" s="13" t="s">
        <v>9196</v>
      </c>
      <c r="D4727" s="13">
        <v>2</v>
      </c>
      <c r="E4727" s="5" t="str">
        <f>LEFT("422626196304286436",19)</f>
        <v>422626196304286436</v>
      </c>
      <c r="F4727" s="13" t="s">
        <v>11</v>
      </c>
    </row>
    <row r="4728" ht="18" customHeight="1" spans="1:6">
      <c r="A4728" s="13" t="s">
        <v>8845</v>
      </c>
      <c r="B4728" s="13" t="s">
        <v>9172</v>
      </c>
      <c r="C4728" s="13" t="s">
        <v>9197</v>
      </c>
      <c r="D4728" s="13">
        <v>2</v>
      </c>
      <c r="E4728" s="5" t="str">
        <f>LEFT("420325198004046419",19)</f>
        <v>420325198004046419</v>
      </c>
      <c r="F4728" s="13" t="s">
        <v>11</v>
      </c>
    </row>
    <row r="4729" ht="18" customHeight="1" spans="1:6">
      <c r="A4729" s="13" t="s">
        <v>8845</v>
      </c>
      <c r="B4729" s="13" t="s">
        <v>9172</v>
      </c>
      <c r="C4729" s="13" t="s">
        <v>9198</v>
      </c>
      <c r="D4729" s="13">
        <v>3</v>
      </c>
      <c r="E4729" s="5" t="str">
        <f>LEFT("422626194309066417",19)</f>
        <v>422626194309066417</v>
      </c>
      <c r="F4729" s="13" t="s">
        <v>11</v>
      </c>
    </row>
    <row r="4730" ht="18" customHeight="1" spans="1:6">
      <c r="A4730" s="13" t="s">
        <v>8845</v>
      </c>
      <c r="B4730" s="13" t="s">
        <v>9172</v>
      </c>
      <c r="C4730" s="13" t="s">
        <v>9199</v>
      </c>
      <c r="D4730" s="13">
        <v>3</v>
      </c>
      <c r="E4730" s="5" t="str">
        <f>LEFT("420325198503116434",19)</f>
        <v>420325198503116434</v>
      </c>
      <c r="F4730" s="13" t="s">
        <v>11</v>
      </c>
    </row>
    <row r="4731" ht="18" customHeight="1" spans="1:6">
      <c r="A4731" s="13" t="s">
        <v>8845</v>
      </c>
      <c r="B4731" s="13" t="s">
        <v>9172</v>
      </c>
      <c r="C4731" s="13" t="s">
        <v>9200</v>
      </c>
      <c r="D4731" s="13">
        <v>2</v>
      </c>
      <c r="E4731" s="5" t="str">
        <f>LEFT("422626194207156411",19)</f>
        <v>422626194207156411</v>
      </c>
      <c r="F4731" s="13" t="s">
        <v>11</v>
      </c>
    </row>
    <row r="4732" ht="18" customHeight="1" spans="1:6">
      <c r="A4732" s="13" t="s">
        <v>8845</v>
      </c>
      <c r="B4732" s="13" t="s">
        <v>9172</v>
      </c>
      <c r="C4732" s="13" t="s">
        <v>1708</v>
      </c>
      <c r="D4732" s="13">
        <v>2</v>
      </c>
      <c r="E4732" s="5" t="str">
        <f>LEFT("420325197701236416",19)</f>
        <v>420325197701236416</v>
      </c>
      <c r="F4732" s="13" t="s">
        <v>11</v>
      </c>
    </row>
    <row r="4733" ht="18" customHeight="1" spans="1:6">
      <c r="A4733" s="13" t="s">
        <v>8845</v>
      </c>
      <c r="B4733" s="13" t="s">
        <v>9172</v>
      </c>
      <c r="C4733" s="13" t="s">
        <v>9201</v>
      </c>
      <c r="D4733" s="13">
        <v>2</v>
      </c>
      <c r="E4733" s="5" t="str">
        <f>LEFT("422626195503274812",19)</f>
        <v>422626195503274812</v>
      </c>
      <c r="F4733" s="13" t="s">
        <v>11</v>
      </c>
    </row>
    <row r="4734" ht="18" customHeight="1" spans="1:6">
      <c r="A4734" s="13" t="s">
        <v>8845</v>
      </c>
      <c r="B4734" s="13" t="s">
        <v>9172</v>
      </c>
      <c r="C4734" s="13" t="s">
        <v>9202</v>
      </c>
      <c r="D4734" s="13">
        <v>7</v>
      </c>
      <c r="E4734" s="5" t="str">
        <f>LEFT("422626195506076416",19)</f>
        <v>422626195506076416</v>
      </c>
      <c r="F4734" s="13" t="s">
        <v>11</v>
      </c>
    </row>
    <row r="4735" ht="18" customHeight="1" spans="1:6">
      <c r="A4735" s="13" t="s">
        <v>8845</v>
      </c>
      <c r="B4735" s="13" t="s">
        <v>9172</v>
      </c>
      <c r="C4735" s="13" t="s">
        <v>9203</v>
      </c>
      <c r="D4735" s="13">
        <v>3</v>
      </c>
      <c r="E4735" s="5" t="str">
        <f>LEFT("42032519800102111X",19)</f>
        <v>42032519800102111X</v>
      </c>
      <c r="F4735" s="13" t="s">
        <v>11</v>
      </c>
    </row>
    <row r="4736" ht="18" customHeight="1" spans="1:6">
      <c r="A4736" s="13" t="s">
        <v>8845</v>
      </c>
      <c r="B4736" s="13" t="s">
        <v>9172</v>
      </c>
      <c r="C4736" s="13" t="s">
        <v>9204</v>
      </c>
      <c r="D4736" s="13">
        <v>3</v>
      </c>
      <c r="E4736" s="5" t="str">
        <f>LEFT("422626197510276436",19)</f>
        <v>422626197510276436</v>
      </c>
      <c r="F4736" s="13" t="s">
        <v>11</v>
      </c>
    </row>
    <row r="4737" ht="18" customHeight="1" spans="1:6">
      <c r="A4737" s="13" t="s">
        <v>8845</v>
      </c>
      <c r="B4737" s="13" t="s">
        <v>9172</v>
      </c>
      <c r="C4737" s="13" t="s">
        <v>9205</v>
      </c>
      <c r="D4737" s="13">
        <v>5</v>
      </c>
      <c r="E4737" s="5" t="str">
        <f>LEFT("422626195306016419",19)</f>
        <v>422626195306016419</v>
      </c>
      <c r="F4737" s="13" t="s">
        <v>11</v>
      </c>
    </row>
    <row r="4738" ht="18" customHeight="1" spans="1:6">
      <c r="A4738" s="13" t="s">
        <v>8845</v>
      </c>
      <c r="B4738" s="13" t="s">
        <v>9172</v>
      </c>
      <c r="C4738" s="13" t="s">
        <v>9206</v>
      </c>
      <c r="D4738" s="13">
        <v>4</v>
      </c>
      <c r="E4738" s="5" t="str">
        <f>LEFT("422626195401306414",19)</f>
        <v>422626195401306414</v>
      </c>
      <c r="F4738" s="13" t="s">
        <v>11</v>
      </c>
    </row>
    <row r="4739" ht="18" customHeight="1" spans="1:6">
      <c r="A4739" s="13" t="s">
        <v>8845</v>
      </c>
      <c r="B4739" s="13" t="s">
        <v>9172</v>
      </c>
      <c r="C4739" s="13" t="s">
        <v>9207</v>
      </c>
      <c r="D4739" s="13">
        <v>3</v>
      </c>
      <c r="E4739" s="5" t="str">
        <f>LEFT("422626197003096430",19)</f>
        <v>422626197003096430</v>
      </c>
      <c r="F4739" s="13" t="s">
        <v>11</v>
      </c>
    </row>
    <row r="4740" ht="18" customHeight="1" spans="1:6">
      <c r="A4740" s="13" t="s">
        <v>8845</v>
      </c>
      <c r="B4740" s="13" t="s">
        <v>9172</v>
      </c>
      <c r="C4740" s="13" t="s">
        <v>9208</v>
      </c>
      <c r="D4740" s="13">
        <v>2</v>
      </c>
      <c r="E4740" s="5" t="str">
        <f>LEFT("422626194008146421",19)</f>
        <v>422626194008146421</v>
      </c>
      <c r="F4740" s="13" t="s">
        <v>11</v>
      </c>
    </row>
    <row r="4741" ht="18" customHeight="1" spans="1:6">
      <c r="A4741" s="13" t="s">
        <v>8845</v>
      </c>
      <c r="B4741" s="13" t="s">
        <v>9172</v>
      </c>
      <c r="C4741" s="13" t="s">
        <v>9209</v>
      </c>
      <c r="D4741" s="13">
        <v>4</v>
      </c>
      <c r="E4741" s="5" t="str">
        <f>LEFT("422626197401196410",19)</f>
        <v>422626197401196410</v>
      </c>
      <c r="F4741" s="13" t="s">
        <v>11</v>
      </c>
    </row>
    <row r="4742" ht="18" customHeight="1" spans="1:6">
      <c r="A4742" s="13" t="s">
        <v>8845</v>
      </c>
      <c r="B4742" s="13" t="s">
        <v>9172</v>
      </c>
      <c r="C4742" s="13" t="s">
        <v>9210</v>
      </c>
      <c r="D4742" s="13">
        <v>2</v>
      </c>
      <c r="E4742" s="5" t="str">
        <f>LEFT("422626194312046417",19)</f>
        <v>422626194312046417</v>
      </c>
      <c r="F4742" s="13" t="s">
        <v>11</v>
      </c>
    </row>
    <row r="4743" ht="18" customHeight="1" spans="1:6">
      <c r="A4743" s="13" t="s">
        <v>8845</v>
      </c>
      <c r="B4743" s="13" t="s">
        <v>9172</v>
      </c>
      <c r="C4743" s="13" t="s">
        <v>9211</v>
      </c>
      <c r="D4743" s="13">
        <v>3</v>
      </c>
      <c r="E4743" s="5" t="str">
        <f>LEFT("420325198003246435",19)</f>
        <v>420325198003246435</v>
      </c>
      <c r="F4743" s="13" t="s">
        <v>11</v>
      </c>
    </row>
    <row r="4744" ht="18" customHeight="1" spans="1:6">
      <c r="A4744" s="13" t="s">
        <v>8845</v>
      </c>
      <c r="B4744" s="13" t="s">
        <v>9172</v>
      </c>
      <c r="C4744" s="13" t="s">
        <v>9212</v>
      </c>
      <c r="D4744" s="13">
        <v>2</v>
      </c>
      <c r="E4744" s="5" t="str">
        <f>LEFT("422626194906206414",19)</f>
        <v>422626194906206414</v>
      </c>
      <c r="F4744" s="13" t="s">
        <v>11</v>
      </c>
    </row>
    <row r="4745" ht="18" customHeight="1" spans="1:6">
      <c r="A4745" s="13" t="s">
        <v>8845</v>
      </c>
      <c r="B4745" s="13" t="s">
        <v>9172</v>
      </c>
      <c r="C4745" s="13" t="s">
        <v>9213</v>
      </c>
      <c r="D4745" s="13">
        <v>2</v>
      </c>
      <c r="E4745" s="5" t="str">
        <f>LEFT("422626194510206434",19)</f>
        <v>422626194510206434</v>
      </c>
      <c r="F4745" s="13" t="s">
        <v>11</v>
      </c>
    </row>
    <row r="4746" ht="18" customHeight="1" spans="1:6">
      <c r="A4746" s="13" t="s">
        <v>8845</v>
      </c>
      <c r="B4746" s="13" t="s">
        <v>9172</v>
      </c>
      <c r="C4746" s="13" t="s">
        <v>9214</v>
      </c>
      <c r="D4746" s="13">
        <v>2</v>
      </c>
      <c r="E4746" s="5" t="str">
        <f>LEFT("422626194505256437",19)</f>
        <v>422626194505256437</v>
      </c>
      <c r="F4746" s="13" t="s">
        <v>11</v>
      </c>
    </row>
    <row r="4747" ht="18" customHeight="1" spans="1:6">
      <c r="A4747" s="13" t="s">
        <v>8845</v>
      </c>
      <c r="B4747" s="13" t="s">
        <v>9172</v>
      </c>
      <c r="C4747" s="13" t="s">
        <v>9215</v>
      </c>
      <c r="D4747" s="13">
        <v>4</v>
      </c>
      <c r="E4747" s="5" t="str">
        <f>LEFT("42262619630719641X",19)</f>
        <v>42262619630719641X</v>
      </c>
      <c r="F4747" s="13" t="s">
        <v>11</v>
      </c>
    </row>
    <row r="4748" ht="18" customHeight="1" spans="1:6">
      <c r="A4748" s="13" t="s">
        <v>8845</v>
      </c>
      <c r="B4748" s="13" t="s">
        <v>9172</v>
      </c>
      <c r="C4748" s="13" t="s">
        <v>9216</v>
      </c>
      <c r="D4748" s="13">
        <v>7</v>
      </c>
      <c r="E4748" s="5" t="str">
        <f>LEFT("422626195406106411",19)</f>
        <v>422626195406106411</v>
      </c>
      <c r="F4748" s="13" t="s">
        <v>11</v>
      </c>
    </row>
    <row r="4749" ht="18" customHeight="1" spans="1:6">
      <c r="A4749" s="13" t="s">
        <v>8845</v>
      </c>
      <c r="B4749" s="13" t="s">
        <v>9172</v>
      </c>
      <c r="C4749" s="13" t="s">
        <v>9217</v>
      </c>
      <c r="D4749" s="13">
        <v>3</v>
      </c>
      <c r="E4749" s="5" t="str">
        <f>LEFT("422626195612242625",19)</f>
        <v>422626195612242625</v>
      </c>
      <c r="F4749" s="13" t="s">
        <v>11</v>
      </c>
    </row>
    <row r="4750" ht="18" customHeight="1" spans="1:6">
      <c r="A4750" s="13" t="s">
        <v>8845</v>
      </c>
      <c r="B4750" s="13" t="s">
        <v>9172</v>
      </c>
      <c r="C4750" s="13" t="s">
        <v>9218</v>
      </c>
      <c r="D4750" s="13">
        <v>5</v>
      </c>
      <c r="E4750" s="5" t="str">
        <f>LEFT("420325195804136419",19)</f>
        <v>420325195804136419</v>
      </c>
      <c r="F4750" s="13" t="s">
        <v>11</v>
      </c>
    </row>
    <row r="4751" ht="18" customHeight="1" spans="1:6">
      <c r="A4751" s="13" t="s">
        <v>9219</v>
      </c>
      <c r="B4751" s="13"/>
      <c r="C4751" s="13">
        <v>261</v>
      </c>
      <c r="D4751" s="13">
        <v>745</v>
      </c>
      <c r="E4751" s="13"/>
      <c r="F4751" s="13"/>
    </row>
    <row r="4752" ht="18" customHeight="1" spans="1:6">
      <c r="A4752" s="13" t="s">
        <v>9220</v>
      </c>
      <c r="B4752" s="13" t="s">
        <v>9221</v>
      </c>
      <c r="C4752" s="6" t="s">
        <v>9222</v>
      </c>
      <c r="D4752" s="6">
        <v>1</v>
      </c>
      <c r="E4752" s="179" t="s">
        <v>9223</v>
      </c>
      <c r="F4752" s="13" t="s">
        <v>11</v>
      </c>
    </row>
    <row r="4753" ht="18" customHeight="1" spans="1:6">
      <c r="A4753" s="13" t="s">
        <v>9220</v>
      </c>
      <c r="B4753" s="13" t="s">
        <v>9221</v>
      </c>
      <c r="C4753" s="6" t="s">
        <v>9224</v>
      </c>
      <c r="D4753" s="6">
        <v>4</v>
      </c>
      <c r="E4753" s="179" t="s">
        <v>9225</v>
      </c>
      <c r="F4753" s="13" t="s">
        <v>11</v>
      </c>
    </row>
    <row r="4754" ht="18" customHeight="1" spans="1:6">
      <c r="A4754" s="13" t="s">
        <v>9220</v>
      </c>
      <c r="B4754" s="13" t="s">
        <v>9221</v>
      </c>
      <c r="C4754" s="6" t="s">
        <v>789</v>
      </c>
      <c r="D4754" s="6">
        <v>4</v>
      </c>
      <c r="E4754" s="179" t="s">
        <v>9226</v>
      </c>
      <c r="F4754" s="13" t="s">
        <v>11</v>
      </c>
    </row>
    <row r="4755" ht="18" customHeight="1" spans="1:6">
      <c r="A4755" s="13" t="s">
        <v>9220</v>
      </c>
      <c r="B4755" s="13" t="s">
        <v>9221</v>
      </c>
      <c r="C4755" s="6" t="s">
        <v>9227</v>
      </c>
      <c r="D4755" s="6">
        <v>4</v>
      </c>
      <c r="E4755" s="179" t="s">
        <v>9228</v>
      </c>
      <c r="F4755" s="13" t="s">
        <v>11</v>
      </c>
    </row>
    <row r="4756" ht="18" customHeight="1" spans="1:6">
      <c r="A4756" s="13" t="s">
        <v>9220</v>
      </c>
      <c r="B4756" s="13" t="s">
        <v>9221</v>
      </c>
      <c r="C4756" s="6" t="s">
        <v>9229</v>
      </c>
      <c r="D4756" s="6">
        <v>1</v>
      </c>
      <c r="E4756" s="179" t="s">
        <v>9230</v>
      </c>
      <c r="F4756" s="13" t="s">
        <v>11</v>
      </c>
    </row>
    <row r="4757" ht="18" customHeight="1" spans="1:6">
      <c r="A4757" s="13" t="s">
        <v>9220</v>
      </c>
      <c r="B4757" s="13" t="s">
        <v>9221</v>
      </c>
      <c r="C4757" s="6" t="s">
        <v>9231</v>
      </c>
      <c r="D4757" s="6">
        <v>2</v>
      </c>
      <c r="E4757" s="13" t="s">
        <v>9232</v>
      </c>
      <c r="F4757" s="13" t="s">
        <v>11</v>
      </c>
    </row>
    <row r="4758" ht="18" customHeight="1" spans="1:6">
      <c r="A4758" s="13" t="s">
        <v>9220</v>
      </c>
      <c r="B4758" s="13" t="s">
        <v>9221</v>
      </c>
      <c r="C4758" s="6" t="s">
        <v>9233</v>
      </c>
      <c r="D4758" s="6">
        <v>6</v>
      </c>
      <c r="E4758" s="179" t="s">
        <v>9234</v>
      </c>
      <c r="F4758" s="13" t="s">
        <v>11</v>
      </c>
    </row>
    <row r="4759" ht="18" customHeight="1" spans="1:6">
      <c r="A4759" s="13" t="s">
        <v>9220</v>
      </c>
      <c r="B4759" s="13" t="s">
        <v>9221</v>
      </c>
      <c r="C4759" s="6" t="s">
        <v>9235</v>
      </c>
      <c r="D4759" s="6">
        <v>2</v>
      </c>
      <c r="E4759" s="179" t="s">
        <v>9236</v>
      </c>
      <c r="F4759" s="13" t="s">
        <v>11</v>
      </c>
    </row>
    <row r="4760" ht="18" customHeight="1" spans="1:6">
      <c r="A4760" s="13" t="s">
        <v>9220</v>
      </c>
      <c r="B4760" s="13" t="s">
        <v>9221</v>
      </c>
      <c r="C4760" s="6" t="s">
        <v>9237</v>
      </c>
      <c r="D4760" s="6">
        <v>4</v>
      </c>
      <c r="E4760" s="179" t="s">
        <v>9238</v>
      </c>
      <c r="F4760" s="13" t="s">
        <v>11</v>
      </c>
    </row>
    <row r="4761" ht="18" customHeight="1" spans="1:6">
      <c r="A4761" s="13" t="s">
        <v>9220</v>
      </c>
      <c r="B4761" s="13" t="s">
        <v>9221</v>
      </c>
      <c r="C4761" s="13" t="s">
        <v>9239</v>
      </c>
      <c r="D4761" s="13">
        <v>4</v>
      </c>
      <c r="E4761" s="178" t="s">
        <v>9240</v>
      </c>
      <c r="F4761" s="13" t="s">
        <v>11</v>
      </c>
    </row>
    <row r="4762" ht="18" customHeight="1" spans="1:6">
      <c r="A4762" s="13" t="s">
        <v>9220</v>
      </c>
      <c r="B4762" s="13" t="s">
        <v>9221</v>
      </c>
      <c r="C4762" s="6" t="s">
        <v>9241</v>
      </c>
      <c r="D4762" s="13">
        <v>3</v>
      </c>
      <c r="E4762" s="178" t="s">
        <v>9242</v>
      </c>
      <c r="F4762" s="13" t="s">
        <v>11</v>
      </c>
    </row>
    <row r="4763" ht="18" customHeight="1" spans="1:6">
      <c r="A4763" s="13" t="s">
        <v>9220</v>
      </c>
      <c r="B4763" s="13" t="s">
        <v>9221</v>
      </c>
      <c r="C4763" s="6" t="s">
        <v>9243</v>
      </c>
      <c r="D4763" s="13">
        <v>2</v>
      </c>
      <c r="E4763" s="178" t="s">
        <v>9244</v>
      </c>
      <c r="F4763" s="13" t="s">
        <v>11</v>
      </c>
    </row>
    <row r="4764" ht="18" customHeight="1" spans="1:6">
      <c r="A4764" s="13" t="s">
        <v>9220</v>
      </c>
      <c r="B4764" s="13" t="s">
        <v>9221</v>
      </c>
      <c r="C4764" s="6" t="s">
        <v>9245</v>
      </c>
      <c r="D4764" s="13">
        <v>2</v>
      </c>
      <c r="E4764" s="178" t="s">
        <v>9246</v>
      </c>
      <c r="F4764" s="13" t="s">
        <v>11</v>
      </c>
    </row>
    <row r="4765" ht="18" customHeight="1" spans="1:6">
      <c r="A4765" s="13" t="s">
        <v>9220</v>
      </c>
      <c r="B4765" s="13" t="s">
        <v>9221</v>
      </c>
      <c r="C4765" s="6" t="s">
        <v>9247</v>
      </c>
      <c r="D4765" s="13">
        <v>3</v>
      </c>
      <c r="E4765" s="178" t="s">
        <v>9248</v>
      </c>
      <c r="F4765" s="13" t="s">
        <v>11</v>
      </c>
    </row>
    <row r="4766" ht="18" customHeight="1" spans="1:6">
      <c r="A4766" s="13" t="s">
        <v>9220</v>
      </c>
      <c r="B4766" s="13" t="s">
        <v>9221</v>
      </c>
      <c r="C4766" s="6" t="s">
        <v>9249</v>
      </c>
      <c r="D4766" s="13">
        <v>3</v>
      </c>
      <c r="E4766" s="5" t="s">
        <v>9250</v>
      </c>
      <c r="F4766" s="13" t="s">
        <v>11</v>
      </c>
    </row>
    <row r="4767" ht="18" customHeight="1" spans="1:6">
      <c r="A4767" s="13" t="s">
        <v>9220</v>
      </c>
      <c r="B4767" s="13" t="s">
        <v>9221</v>
      </c>
      <c r="C4767" s="6" t="s">
        <v>9251</v>
      </c>
      <c r="D4767" s="13">
        <v>2</v>
      </c>
      <c r="E4767" s="79" t="str">
        <f>LEFT("420325198509116726",19)</f>
        <v>420325198509116726</v>
      </c>
      <c r="F4767" s="13" t="s">
        <v>11</v>
      </c>
    </row>
    <row r="4768" ht="18" customHeight="1" spans="1:6">
      <c r="A4768" s="13" t="s">
        <v>9220</v>
      </c>
      <c r="B4768" s="13" t="s">
        <v>9221</v>
      </c>
      <c r="C4768" s="5" t="s">
        <v>9252</v>
      </c>
      <c r="D4768" s="5">
        <v>4</v>
      </c>
      <c r="E4768" s="178" t="s">
        <v>9253</v>
      </c>
      <c r="F4768" s="13" t="s">
        <v>11</v>
      </c>
    </row>
    <row r="4769" ht="18" customHeight="1" spans="1:6">
      <c r="A4769" s="13" t="s">
        <v>9220</v>
      </c>
      <c r="B4769" s="13" t="s">
        <v>9254</v>
      </c>
      <c r="C4769" s="13" t="s">
        <v>9255</v>
      </c>
      <c r="D4769" s="13">
        <v>2</v>
      </c>
      <c r="E4769" s="179" t="s">
        <v>9256</v>
      </c>
      <c r="F4769" s="13" t="s">
        <v>11</v>
      </c>
    </row>
    <row r="4770" ht="18" customHeight="1" spans="1:6">
      <c r="A4770" s="13" t="s">
        <v>9220</v>
      </c>
      <c r="B4770" s="13" t="s">
        <v>9254</v>
      </c>
      <c r="C4770" s="13" t="s">
        <v>9257</v>
      </c>
      <c r="D4770" s="13">
        <v>4</v>
      </c>
      <c r="E4770" s="179" t="s">
        <v>9258</v>
      </c>
      <c r="F4770" s="13" t="s">
        <v>11</v>
      </c>
    </row>
    <row r="4771" ht="18" customHeight="1" spans="1:6">
      <c r="A4771" s="13" t="s">
        <v>9220</v>
      </c>
      <c r="B4771" s="13" t="s">
        <v>9254</v>
      </c>
      <c r="C4771" s="13" t="s">
        <v>9259</v>
      </c>
      <c r="D4771" s="13">
        <v>4</v>
      </c>
      <c r="E4771" s="179" t="s">
        <v>9260</v>
      </c>
      <c r="F4771" s="13" t="s">
        <v>11</v>
      </c>
    </row>
    <row r="4772" ht="18" customHeight="1" spans="1:6">
      <c r="A4772" s="13" t="s">
        <v>9220</v>
      </c>
      <c r="B4772" s="13" t="s">
        <v>9254</v>
      </c>
      <c r="C4772" s="13" t="s">
        <v>9261</v>
      </c>
      <c r="D4772" s="13">
        <v>2</v>
      </c>
      <c r="E4772" s="179" t="s">
        <v>9262</v>
      </c>
      <c r="F4772" s="13" t="s">
        <v>11</v>
      </c>
    </row>
    <row r="4773" ht="18" customHeight="1" spans="1:6">
      <c r="A4773" s="13" t="s">
        <v>9220</v>
      </c>
      <c r="B4773" s="13" t="s">
        <v>9254</v>
      </c>
      <c r="C4773" s="13" t="s">
        <v>9263</v>
      </c>
      <c r="D4773" s="13">
        <v>3</v>
      </c>
      <c r="E4773" s="179" t="s">
        <v>9264</v>
      </c>
      <c r="F4773" s="13" t="s">
        <v>11</v>
      </c>
    </row>
    <row r="4774" ht="18" customHeight="1" spans="1:6">
      <c r="A4774" s="13" t="s">
        <v>9220</v>
      </c>
      <c r="B4774" s="13" t="s">
        <v>9254</v>
      </c>
      <c r="C4774" s="13" t="s">
        <v>9265</v>
      </c>
      <c r="D4774" s="13">
        <v>1</v>
      </c>
      <c r="E4774" s="179" t="s">
        <v>9266</v>
      </c>
      <c r="F4774" s="13" t="s">
        <v>11</v>
      </c>
    </row>
    <row r="4775" ht="18" customHeight="1" spans="1:6">
      <c r="A4775" s="13" t="s">
        <v>9220</v>
      </c>
      <c r="B4775" s="13" t="s">
        <v>9254</v>
      </c>
      <c r="C4775" s="13" t="s">
        <v>9267</v>
      </c>
      <c r="D4775" s="13">
        <v>3</v>
      </c>
      <c r="E4775" s="179" t="s">
        <v>9268</v>
      </c>
      <c r="F4775" s="13" t="s">
        <v>11</v>
      </c>
    </row>
    <row r="4776" ht="18" customHeight="1" spans="1:6">
      <c r="A4776" s="13" t="s">
        <v>9220</v>
      </c>
      <c r="B4776" s="13" t="s">
        <v>9254</v>
      </c>
      <c r="C4776" s="13" t="s">
        <v>9269</v>
      </c>
      <c r="D4776" s="13">
        <v>4</v>
      </c>
      <c r="E4776" s="179" t="s">
        <v>9270</v>
      </c>
      <c r="F4776" s="13" t="s">
        <v>11</v>
      </c>
    </row>
    <row r="4777" ht="18" customHeight="1" spans="1:6">
      <c r="A4777" s="13" t="s">
        <v>9220</v>
      </c>
      <c r="B4777" s="13" t="s">
        <v>9271</v>
      </c>
      <c r="C4777" s="5" t="s">
        <v>9272</v>
      </c>
      <c r="D4777" s="5">
        <v>3</v>
      </c>
      <c r="E4777" s="12" t="s">
        <v>9273</v>
      </c>
      <c r="F4777" s="13" t="s">
        <v>11</v>
      </c>
    </row>
    <row r="4778" ht="18" customHeight="1" spans="1:6">
      <c r="A4778" s="13" t="s">
        <v>9220</v>
      </c>
      <c r="B4778" s="13" t="s">
        <v>9271</v>
      </c>
      <c r="C4778" s="5" t="s">
        <v>9274</v>
      </c>
      <c r="D4778" s="5">
        <v>4</v>
      </c>
      <c r="E4778" s="12" t="s">
        <v>9275</v>
      </c>
      <c r="F4778" s="13" t="s">
        <v>11</v>
      </c>
    </row>
    <row r="4779" ht="18" customHeight="1" spans="1:6">
      <c r="A4779" s="13" t="s">
        <v>9220</v>
      </c>
      <c r="B4779" s="13" t="s">
        <v>9271</v>
      </c>
      <c r="C4779" s="5" t="s">
        <v>9276</v>
      </c>
      <c r="D4779" s="5">
        <v>1</v>
      </c>
      <c r="E4779" s="12" t="s">
        <v>9277</v>
      </c>
      <c r="F4779" s="13" t="s">
        <v>11</v>
      </c>
    </row>
    <row r="4780" ht="18" customHeight="1" spans="1:6">
      <c r="A4780" s="13" t="s">
        <v>9220</v>
      </c>
      <c r="B4780" s="13" t="s">
        <v>9271</v>
      </c>
      <c r="C4780" s="5" t="s">
        <v>9278</v>
      </c>
      <c r="D4780" s="5">
        <v>1</v>
      </c>
      <c r="E4780" s="12" t="s">
        <v>9279</v>
      </c>
      <c r="F4780" s="13" t="s">
        <v>11</v>
      </c>
    </row>
    <row r="4781" ht="18" customHeight="1" spans="1:6">
      <c r="A4781" s="13" t="s">
        <v>9220</v>
      </c>
      <c r="B4781" s="13" t="s">
        <v>9271</v>
      </c>
      <c r="C4781" s="5" t="s">
        <v>9280</v>
      </c>
      <c r="D4781" s="5">
        <v>1</v>
      </c>
      <c r="E4781" s="12" t="s">
        <v>9281</v>
      </c>
      <c r="F4781" s="13" t="s">
        <v>11</v>
      </c>
    </row>
    <row r="4782" ht="18" customHeight="1" spans="1:6">
      <c r="A4782" s="13" t="s">
        <v>9220</v>
      </c>
      <c r="B4782" s="13" t="s">
        <v>9271</v>
      </c>
      <c r="C4782" s="5" t="s">
        <v>9282</v>
      </c>
      <c r="D4782" s="5">
        <v>5</v>
      </c>
      <c r="E4782" s="12" t="s">
        <v>9283</v>
      </c>
      <c r="F4782" s="13" t="s">
        <v>11</v>
      </c>
    </row>
    <row r="4783" ht="18" customHeight="1" spans="1:6">
      <c r="A4783" s="13" t="s">
        <v>9220</v>
      </c>
      <c r="B4783" s="13" t="s">
        <v>9271</v>
      </c>
      <c r="C4783" s="5" t="s">
        <v>9284</v>
      </c>
      <c r="D4783" s="5">
        <v>4</v>
      </c>
      <c r="E4783" s="12" t="s">
        <v>9285</v>
      </c>
      <c r="F4783" s="13" t="s">
        <v>11</v>
      </c>
    </row>
    <row r="4784" ht="18" customHeight="1" spans="1:6">
      <c r="A4784" s="13" t="s">
        <v>9220</v>
      </c>
      <c r="B4784" s="13" t="s">
        <v>9271</v>
      </c>
      <c r="C4784" s="5" t="s">
        <v>327</v>
      </c>
      <c r="D4784" s="5">
        <v>4</v>
      </c>
      <c r="E4784" s="12" t="s">
        <v>9286</v>
      </c>
      <c r="F4784" s="13" t="s">
        <v>11</v>
      </c>
    </row>
    <row r="4785" ht="18" customHeight="1" spans="1:6">
      <c r="A4785" s="13" t="s">
        <v>9220</v>
      </c>
      <c r="B4785" s="13" t="s">
        <v>9271</v>
      </c>
      <c r="C4785" s="5" t="s">
        <v>6993</v>
      </c>
      <c r="D4785" s="5">
        <v>3</v>
      </c>
      <c r="E4785" s="12" t="s">
        <v>9287</v>
      </c>
      <c r="F4785" s="13" t="s">
        <v>11</v>
      </c>
    </row>
    <row r="4786" ht="18" customHeight="1" spans="1:6">
      <c r="A4786" s="13" t="s">
        <v>9220</v>
      </c>
      <c r="B4786" s="13" t="s">
        <v>9271</v>
      </c>
      <c r="C4786" s="5" t="s">
        <v>9288</v>
      </c>
      <c r="D4786" s="5">
        <v>6</v>
      </c>
      <c r="E4786" s="12" t="s">
        <v>9289</v>
      </c>
      <c r="F4786" s="13" t="s">
        <v>11</v>
      </c>
    </row>
    <row r="4787" ht="18" customHeight="1" spans="1:6">
      <c r="A4787" s="13" t="s">
        <v>9220</v>
      </c>
      <c r="B4787" s="13" t="s">
        <v>9271</v>
      </c>
      <c r="C4787" s="5" t="s">
        <v>9290</v>
      </c>
      <c r="D4787" s="5">
        <v>4</v>
      </c>
      <c r="E4787" s="12" t="s">
        <v>9291</v>
      </c>
      <c r="F4787" s="13" t="s">
        <v>11</v>
      </c>
    </row>
    <row r="4788" ht="18" customHeight="1" spans="1:6">
      <c r="A4788" s="13" t="s">
        <v>9220</v>
      </c>
      <c r="B4788" s="13" t="s">
        <v>9271</v>
      </c>
      <c r="C4788" s="5" t="s">
        <v>9292</v>
      </c>
      <c r="D4788" s="5">
        <v>3</v>
      </c>
      <c r="E4788" s="12" t="s">
        <v>9293</v>
      </c>
      <c r="F4788" s="13" t="s">
        <v>11</v>
      </c>
    </row>
    <row r="4789" ht="18" customHeight="1" spans="1:6">
      <c r="A4789" s="13" t="s">
        <v>9220</v>
      </c>
      <c r="B4789" s="13" t="s">
        <v>9271</v>
      </c>
      <c r="C4789" s="5" t="s">
        <v>9294</v>
      </c>
      <c r="D4789" s="5">
        <v>3</v>
      </c>
      <c r="E4789" s="12" t="s">
        <v>9295</v>
      </c>
      <c r="F4789" s="13" t="s">
        <v>11</v>
      </c>
    </row>
    <row r="4790" ht="18" customHeight="1" spans="1:6">
      <c r="A4790" s="13" t="s">
        <v>9220</v>
      </c>
      <c r="B4790" s="13" t="s">
        <v>9271</v>
      </c>
      <c r="C4790" s="5" t="s">
        <v>9296</v>
      </c>
      <c r="D4790" s="5">
        <v>5</v>
      </c>
      <c r="E4790" s="12" t="s">
        <v>9297</v>
      </c>
      <c r="F4790" s="13" t="s">
        <v>11</v>
      </c>
    </row>
    <row r="4791" ht="18" customHeight="1" spans="1:6">
      <c r="A4791" s="13" t="s">
        <v>9220</v>
      </c>
      <c r="B4791" s="13" t="s">
        <v>9271</v>
      </c>
      <c r="C4791" s="5" t="s">
        <v>9298</v>
      </c>
      <c r="D4791" s="5">
        <v>2</v>
      </c>
      <c r="E4791" s="12" t="s">
        <v>9299</v>
      </c>
      <c r="F4791" s="13" t="s">
        <v>11</v>
      </c>
    </row>
    <row r="4792" ht="18" customHeight="1" spans="1:6">
      <c r="A4792" s="13" t="s">
        <v>9220</v>
      </c>
      <c r="B4792" s="13" t="s">
        <v>9271</v>
      </c>
      <c r="C4792" s="5" t="s">
        <v>9300</v>
      </c>
      <c r="D4792" s="5">
        <v>3</v>
      </c>
      <c r="E4792" s="12" t="s">
        <v>9301</v>
      </c>
      <c r="F4792" s="13" t="s">
        <v>11</v>
      </c>
    </row>
    <row r="4793" ht="18" customHeight="1" spans="1:6">
      <c r="A4793" s="13" t="s">
        <v>9220</v>
      </c>
      <c r="B4793" s="13" t="s">
        <v>9271</v>
      </c>
      <c r="C4793" s="5" t="s">
        <v>3188</v>
      </c>
      <c r="D4793" s="5">
        <v>4</v>
      </c>
      <c r="E4793" s="12" t="s">
        <v>9302</v>
      </c>
      <c r="F4793" s="13" t="s">
        <v>11</v>
      </c>
    </row>
    <row r="4794" ht="18" customHeight="1" spans="1:6">
      <c r="A4794" s="13" t="s">
        <v>9220</v>
      </c>
      <c r="B4794" s="13" t="s">
        <v>9271</v>
      </c>
      <c r="C4794" s="5" t="s">
        <v>9303</v>
      </c>
      <c r="D4794" s="5">
        <v>2</v>
      </c>
      <c r="E4794" s="12" t="s">
        <v>9304</v>
      </c>
      <c r="F4794" s="13" t="s">
        <v>11</v>
      </c>
    </row>
    <row r="4795" ht="18" customHeight="1" spans="1:6">
      <c r="A4795" s="13" t="s">
        <v>9220</v>
      </c>
      <c r="B4795" s="13" t="s">
        <v>9271</v>
      </c>
      <c r="C4795" s="79" t="s">
        <v>9305</v>
      </c>
      <c r="D4795" s="5">
        <v>4</v>
      </c>
      <c r="E4795" s="79" t="str">
        <f>LEFT("422626195502236718",19)</f>
        <v>422626195502236718</v>
      </c>
      <c r="F4795" s="13" t="s">
        <v>11</v>
      </c>
    </row>
    <row r="4796" ht="18" customHeight="1" spans="1:6">
      <c r="A4796" s="13" t="s">
        <v>9220</v>
      </c>
      <c r="B4796" s="13" t="s">
        <v>9271</v>
      </c>
      <c r="C4796" s="79" t="s">
        <v>9306</v>
      </c>
      <c r="D4796" s="5">
        <v>3</v>
      </c>
      <c r="E4796" s="79" t="str">
        <f>LEFT("422626197207156714",19)</f>
        <v>422626197207156714</v>
      </c>
      <c r="F4796" s="13" t="s">
        <v>11</v>
      </c>
    </row>
    <row r="4797" ht="18" customHeight="1" spans="1:6">
      <c r="A4797" s="13" t="s">
        <v>9220</v>
      </c>
      <c r="B4797" s="13" t="s">
        <v>9271</v>
      </c>
      <c r="C4797" s="79" t="s">
        <v>9307</v>
      </c>
      <c r="D4797" s="5">
        <v>2</v>
      </c>
      <c r="E4797" s="79" t="str">
        <f>LEFT("420325198910036730",19)</f>
        <v>420325198910036730</v>
      </c>
      <c r="F4797" s="13" t="s">
        <v>11</v>
      </c>
    </row>
    <row r="4798" ht="18" customHeight="1" spans="1:6">
      <c r="A4798" s="13" t="s">
        <v>9220</v>
      </c>
      <c r="B4798" s="13" t="s">
        <v>9271</v>
      </c>
      <c r="C4798" s="79" t="s">
        <v>9308</v>
      </c>
      <c r="D4798" s="5">
        <v>2</v>
      </c>
      <c r="E4798" s="197" t="s">
        <v>9309</v>
      </c>
      <c r="F4798" s="13" t="s">
        <v>11</v>
      </c>
    </row>
    <row r="4799" ht="18" customHeight="1" spans="1:6">
      <c r="A4799" s="13" t="s">
        <v>9220</v>
      </c>
      <c r="B4799" s="13" t="s">
        <v>9271</v>
      </c>
      <c r="C4799" s="79" t="s">
        <v>9310</v>
      </c>
      <c r="D4799" s="5">
        <v>5</v>
      </c>
      <c r="E4799" s="79" t="str">
        <f>LEFT("42262619730607671X",19)</f>
        <v>42262619730607671X</v>
      </c>
      <c r="F4799" s="13" t="s">
        <v>11</v>
      </c>
    </row>
    <row r="4800" ht="18" customHeight="1" spans="1:6">
      <c r="A4800" s="13" t="s">
        <v>9220</v>
      </c>
      <c r="B4800" s="13" t="s">
        <v>9311</v>
      </c>
      <c r="C4800" s="13" t="s">
        <v>9312</v>
      </c>
      <c r="D4800" s="13">
        <v>3</v>
      </c>
      <c r="E4800" s="14" t="s">
        <v>9313</v>
      </c>
      <c r="F4800" s="13" t="s">
        <v>11</v>
      </c>
    </row>
    <row r="4801" ht="18" customHeight="1" spans="1:6">
      <c r="A4801" s="13" t="s">
        <v>9220</v>
      </c>
      <c r="B4801" s="13" t="s">
        <v>9311</v>
      </c>
      <c r="C4801" s="13" t="s">
        <v>9314</v>
      </c>
      <c r="D4801" s="13">
        <v>4</v>
      </c>
      <c r="E4801" s="14" t="s">
        <v>9315</v>
      </c>
      <c r="F4801" s="13" t="s">
        <v>11</v>
      </c>
    </row>
    <row r="4802" ht="18" customHeight="1" spans="1:6">
      <c r="A4802" s="13" t="s">
        <v>9220</v>
      </c>
      <c r="B4802" s="13" t="s">
        <v>9311</v>
      </c>
      <c r="C4802" s="13" t="s">
        <v>9316</v>
      </c>
      <c r="D4802" s="13">
        <v>5</v>
      </c>
      <c r="E4802" s="14" t="s">
        <v>9317</v>
      </c>
      <c r="F4802" s="13" t="s">
        <v>11</v>
      </c>
    </row>
    <row r="4803" ht="18" customHeight="1" spans="1:6">
      <c r="A4803" s="13" t="s">
        <v>9220</v>
      </c>
      <c r="B4803" s="13" t="s">
        <v>9311</v>
      </c>
      <c r="C4803" s="13" t="s">
        <v>9318</v>
      </c>
      <c r="D4803" s="13">
        <v>5</v>
      </c>
      <c r="E4803" s="14" t="s">
        <v>9319</v>
      </c>
      <c r="F4803" s="13" t="s">
        <v>11</v>
      </c>
    </row>
    <row r="4804" ht="18" customHeight="1" spans="1:6">
      <c r="A4804" s="13" t="s">
        <v>9220</v>
      </c>
      <c r="B4804" s="13" t="s">
        <v>9311</v>
      </c>
      <c r="C4804" s="13" t="s">
        <v>9320</v>
      </c>
      <c r="D4804" s="13">
        <v>3</v>
      </c>
      <c r="E4804" s="14" t="s">
        <v>9321</v>
      </c>
      <c r="F4804" s="13" t="s">
        <v>11</v>
      </c>
    </row>
    <row r="4805" ht="18" customHeight="1" spans="1:6">
      <c r="A4805" s="13" t="s">
        <v>9220</v>
      </c>
      <c r="B4805" s="13" t="s">
        <v>9311</v>
      </c>
      <c r="C4805" s="13" t="s">
        <v>9322</v>
      </c>
      <c r="D4805" s="13">
        <v>3</v>
      </c>
      <c r="E4805" s="14" t="s">
        <v>9323</v>
      </c>
      <c r="F4805" s="13" t="s">
        <v>11</v>
      </c>
    </row>
    <row r="4806" ht="18" customHeight="1" spans="1:6">
      <c r="A4806" s="13" t="s">
        <v>9220</v>
      </c>
      <c r="B4806" s="13" t="s">
        <v>9311</v>
      </c>
      <c r="C4806" s="13" t="s">
        <v>9324</v>
      </c>
      <c r="D4806" s="13">
        <v>4</v>
      </c>
      <c r="E4806" s="14" t="s">
        <v>9325</v>
      </c>
      <c r="F4806" s="13" t="s">
        <v>11</v>
      </c>
    </row>
    <row r="4807" ht="18" customHeight="1" spans="1:6">
      <c r="A4807" s="13" t="s">
        <v>9220</v>
      </c>
      <c r="B4807" s="13" t="s">
        <v>9311</v>
      </c>
      <c r="C4807" s="13" t="s">
        <v>9326</v>
      </c>
      <c r="D4807" s="13">
        <v>7</v>
      </c>
      <c r="E4807" s="14" t="s">
        <v>9327</v>
      </c>
      <c r="F4807" s="13" t="s">
        <v>11</v>
      </c>
    </row>
    <row r="4808" ht="18" customHeight="1" spans="1:6">
      <c r="A4808" s="13" t="s">
        <v>9220</v>
      </c>
      <c r="B4808" s="13" t="s">
        <v>9311</v>
      </c>
      <c r="C4808" s="13" t="s">
        <v>9328</v>
      </c>
      <c r="D4808" s="13">
        <v>3</v>
      </c>
      <c r="E4808" s="14" t="s">
        <v>9329</v>
      </c>
      <c r="F4808" s="13" t="s">
        <v>11</v>
      </c>
    </row>
    <row r="4809" ht="18" customHeight="1" spans="1:6">
      <c r="A4809" s="13" t="s">
        <v>9220</v>
      </c>
      <c r="B4809" s="13" t="s">
        <v>9311</v>
      </c>
      <c r="C4809" s="13" t="s">
        <v>9330</v>
      </c>
      <c r="D4809" s="13">
        <v>2</v>
      </c>
      <c r="E4809" s="14" t="s">
        <v>9331</v>
      </c>
      <c r="F4809" s="13" t="s">
        <v>11</v>
      </c>
    </row>
    <row r="4810" ht="18" customHeight="1" spans="1:6">
      <c r="A4810" s="13" t="s">
        <v>9220</v>
      </c>
      <c r="B4810" s="13" t="s">
        <v>9332</v>
      </c>
      <c r="C4810" s="13" t="s">
        <v>9333</v>
      </c>
      <c r="D4810" s="13">
        <v>4</v>
      </c>
      <c r="E4810" s="179" t="s">
        <v>9334</v>
      </c>
      <c r="F4810" s="13" t="s">
        <v>11</v>
      </c>
    </row>
    <row r="4811" ht="18" customHeight="1" spans="1:6">
      <c r="A4811" s="13" t="s">
        <v>9220</v>
      </c>
      <c r="B4811" s="13" t="s">
        <v>9332</v>
      </c>
      <c r="C4811" s="13" t="s">
        <v>9335</v>
      </c>
      <c r="D4811" s="13">
        <v>1</v>
      </c>
      <c r="E4811" s="179" t="s">
        <v>9336</v>
      </c>
      <c r="F4811" s="13" t="s">
        <v>11</v>
      </c>
    </row>
    <row r="4812" ht="18" customHeight="1" spans="1:6">
      <c r="A4812" s="13" t="s">
        <v>9220</v>
      </c>
      <c r="B4812" s="13" t="s">
        <v>9332</v>
      </c>
      <c r="C4812" s="13" t="s">
        <v>9337</v>
      </c>
      <c r="D4812" s="13">
        <v>4</v>
      </c>
      <c r="E4812" s="179" t="s">
        <v>9338</v>
      </c>
      <c r="F4812" s="13" t="s">
        <v>11</v>
      </c>
    </row>
    <row r="4813" ht="18" customHeight="1" spans="1:6">
      <c r="A4813" s="13" t="s">
        <v>9220</v>
      </c>
      <c r="B4813" s="13" t="s">
        <v>9332</v>
      </c>
      <c r="C4813" s="13" t="s">
        <v>4842</v>
      </c>
      <c r="D4813" s="13">
        <v>1</v>
      </c>
      <c r="E4813" s="179" t="s">
        <v>9339</v>
      </c>
      <c r="F4813" s="13" t="s">
        <v>11</v>
      </c>
    </row>
    <row r="4814" ht="18" customHeight="1" spans="1:6">
      <c r="A4814" s="13" t="s">
        <v>9220</v>
      </c>
      <c r="B4814" s="13" t="s">
        <v>9332</v>
      </c>
      <c r="C4814" s="13" t="s">
        <v>9340</v>
      </c>
      <c r="D4814" s="13">
        <v>3</v>
      </c>
      <c r="E4814" s="13" t="s">
        <v>9341</v>
      </c>
      <c r="F4814" s="13" t="s">
        <v>11</v>
      </c>
    </row>
    <row r="4815" ht="18" customHeight="1" spans="1:6">
      <c r="A4815" s="13" t="s">
        <v>9220</v>
      </c>
      <c r="B4815" s="13" t="s">
        <v>9332</v>
      </c>
      <c r="C4815" s="13" t="s">
        <v>9342</v>
      </c>
      <c r="D4815" s="13">
        <v>2</v>
      </c>
      <c r="E4815" s="13" t="s">
        <v>9343</v>
      </c>
      <c r="F4815" s="13" t="s">
        <v>11</v>
      </c>
    </row>
    <row r="4816" ht="18" customHeight="1" spans="1:6">
      <c r="A4816" s="13" t="s">
        <v>9220</v>
      </c>
      <c r="B4816" s="13" t="s">
        <v>9332</v>
      </c>
      <c r="C4816" s="13" t="s">
        <v>9344</v>
      </c>
      <c r="D4816" s="13">
        <v>2</v>
      </c>
      <c r="E4816" s="179" t="s">
        <v>9345</v>
      </c>
      <c r="F4816" s="13" t="s">
        <v>11</v>
      </c>
    </row>
    <row r="4817" ht="18" customHeight="1" spans="1:6">
      <c r="A4817" s="13" t="s">
        <v>9220</v>
      </c>
      <c r="B4817" s="13" t="s">
        <v>9332</v>
      </c>
      <c r="C4817" s="13" t="s">
        <v>9346</v>
      </c>
      <c r="D4817" s="13">
        <v>4</v>
      </c>
      <c r="E4817" s="179" t="s">
        <v>9347</v>
      </c>
      <c r="F4817" s="13" t="s">
        <v>11</v>
      </c>
    </row>
    <row r="4818" ht="18" customHeight="1" spans="1:6">
      <c r="A4818" s="13" t="s">
        <v>9220</v>
      </c>
      <c r="B4818" s="13" t="s">
        <v>9332</v>
      </c>
      <c r="C4818" s="13" t="s">
        <v>9348</v>
      </c>
      <c r="D4818" s="13">
        <v>2</v>
      </c>
      <c r="E4818" s="179" t="s">
        <v>9349</v>
      </c>
      <c r="F4818" s="13" t="s">
        <v>11</v>
      </c>
    </row>
    <row r="4819" ht="18" customHeight="1" spans="1:6">
      <c r="A4819" s="13" t="s">
        <v>9220</v>
      </c>
      <c r="B4819" s="13" t="s">
        <v>9332</v>
      </c>
      <c r="C4819" s="13" t="s">
        <v>622</v>
      </c>
      <c r="D4819" s="13">
        <v>4</v>
      </c>
      <c r="E4819" s="179" t="s">
        <v>9350</v>
      </c>
      <c r="F4819" s="13" t="s">
        <v>11</v>
      </c>
    </row>
    <row r="4820" ht="18" customHeight="1" spans="1:6">
      <c r="A4820" s="13" t="s">
        <v>9220</v>
      </c>
      <c r="B4820" s="13" t="s">
        <v>9332</v>
      </c>
      <c r="C4820" s="13" t="s">
        <v>9061</v>
      </c>
      <c r="D4820" s="13">
        <v>3</v>
      </c>
      <c r="E4820" s="179" t="s">
        <v>9351</v>
      </c>
      <c r="F4820" s="13" t="s">
        <v>11</v>
      </c>
    </row>
    <row r="4821" ht="18" customHeight="1" spans="1:6">
      <c r="A4821" s="13" t="s">
        <v>9220</v>
      </c>
      <c r="B4821" s="13" t="s">
        <v>9332</v>
      </c>
      <c r="C4821" s="13" t="s">
        <v>9352</v>
      </c>
      <c r="D4821" s="13">
        <v>4</v>
      </c>
      <c r="E4821" s="179" t="s">
        <v>9353</v>
      </c>
      <c r="F4821" s="13" t="s">
        <v>11</v>
      </c>
    </row>
    <row r="4822" ht="18" customHeight="1" spans="1:6">
      <c r="A4822" s="13" t="s">
        <v>9220</v>
      </c>
      <c r="B4822" s="13" t="s">
        <v>9332</v>
      </c>
      <c r="C4822" s="13" t="s">
        <v>9354</v>
      </c>
      <c r="D4822" s="13">
        <v>2</v>
      </c>
      <c r="E4822" s="179" t="s">
        <v>9355</v>
      </c>
      <c r="F4822" s="13" t="s">
        <v>11</v>
      </c>
    </row>
    <row r="4823" ht="18" customHeight="1" spans="1:6">
      <c r="A4823" s="13" t="s">
        <v>9220</v>
      </c>
      <c r="B4823" s="13" t="s">
        <v>9332</v>
      </c>
      <c r="C4823" s="13" t="s">
        <v>9356</v>
      </c>
      <c r="D4823" s="13">
        <v>3</v>
      </c>
      <c r="E4823" s="13" t="s">
        <v>9357</v>
      </c>
      <c r="F4823" s="13" t="s">
        <v>11</v>
      </c>
    </row>
    <row r="4824" ht="18" customHeight="1" spans="1:6">
      <c r="A4824" s="13" t="s">
        <v>9220</v>
      </c>
      <c r="B4824" s="13" t="s">
        <v>9332</v>
      </c>
      <c r="C4824" s="13" t="s">
        <v>9358</v>
      </c>
      <c r="D4824" s="13">
        <v>3</v>
      </c>
      <c r="E4824" s="179" t="s">
        <v>9359</v>
      </c>
      <c r="F4824" s="13" t="s">
        <v>11</v>
      </c>
    </row>
    <row r="4825" ht="18" customHeight="1" spans="1:6">
      <c r="A4825" s="13" t="s">
        <v>9220</v>
      </c>
      <c r="B4825" s="13" t="s">
        <v>9332</v>
      </c>
      <c r="C4825" s="13" t="s">
        <v>9360</v>
      </c>
      <c r="D4825" s="13">
        <v>3</v>
      </c>
      <c r="E4825" s="179" t="s">
        <v>9361</v>
      </c>
      <c r="F4825" s="13" t="s">
        <v>11</v>
      </c>
    </row>
    <row r="4826" ht="18" customHeight="1" spans="1:6">
      <c r="A4826" s="13" t="s">
        <v>9220</v>
      </c>
      <c r="B4826" s="13" t="s">
        <v>9332</v>
      </c>
      <c r="C4826" s="13" t="s">
        <v>9362</v>
      </c>
      <c r="D4826" s="13">
        <v>1</v>
      </c>
      <c r="E4826" s="179" t="s">
        <v>9363</v>
      </c>
      <c r="F4826" s="13" t="s">
        <v>11</v>
      </c>
    </row>
    <row r="4827" ht="18" customHeight="1" spans="1:6">
      <c r="A4827" s="13" t="s">
        <v>9220</v>
      </c>
      <c r="B4827" s="13" t="s">
        <v>9332</v>
      </c>
      <c r="C4827" s="13" t="s">
        <v>9364</v>
      </c>
      <c r="D4827" s="13">
        <v>3</v>
      </c>
      <c r="E4827" s="179" t="s">
        <v>9365</v>
      </c>
      <c r="F4827" s="13" t="s">
        <v>11</v>
      </c>
    </row>
    <row r="4828" ht="18" customHeight="1" spans="1:6">
      <c r="A4828" s="13" t="s">
        <v>9220</v>
      </c>
      <c r="B4828" s="13" t="s">
        <v>9332</v>
      </c>
      <c r="C4828" s="13" t="s">
        <v>9366</v>
      </c>
      <c r="D4828" s="13">
        <v>4</v>
      </c>
      <c r="E4828" s="179" t="s">
        <v>9367</v>
      </c>
      <c r="F4828" s="13" t="s">
        <v>11</v>
      </c>
    </row>
    <row r="4829" ht="18" customHeight="1" spans="1:6">
      <c r="A4829" s="13" t="s">
        <v>9220</v>
      </c>
      <c r="B4829" s="13" t="s">
        <v>9332</v>
      </c>
      <c r="C4829" s="13" t="s">
        <v>9368</v>
      </c>
      <c r="D4829" s="13">
        <v>5</v>
      </c>
      <c r="E4829" s="13" t="s">
        <v>9369</v>
      </c>
      <c r="F4829" s="13" t="s">
        <v>11</v>
      </c>
    </row>
    <row r="4830" ht="18" customHeight="1" spans="1:6">
      <c r="A4830" s="13" t="s">
        <v>9220</v>
      </c>
      <c r="B4830" s="13" t="s">
        <v>9332</v>
      </c>
      <c r="C4830" s="13" t="s">
        <v>9370</v>
      </c>
      <c r="D4830" s="13">
        <v>4</v>
      </c>
      <c r="E4830" s="179" t="s">
        <v>9371</v>
      </c>
      <c r="F4830" s="13" t="s">
        <v>11</v>
      </c>
    </row>
    <row r="4831" ht="18" customHeight="1" spans="1:6">
      <c r="A4831" s="13" t="s">
        <v>9220</v>
      </c>
      <c r="B4831" s="13" t="s">
        <v>9332</v>
      </c>
      <c r="C4831" s="13" t="s">
        <v>9372</v>
      </c>
      <c r="D4831" s="13">
        <v>5</v>
      </c>
      <c r="E4831" s="179" t="s">
        <v>9373</v>
      </c>
      <c r="F4831" s="13" t="s">
        <v>11</v>
      </c>
    </row>
    <row r="4832" ht="18" customHeight="1" spans="1:6">
      <c r="A4832" s="13" t="s">
        <v>9220</v>
      </c>
      <c r="B4832" s="13" t="s">
        <v>9332</v>
      </c>
      <c r="C4832" s="13" t="s">
        <v>9374</v>
      </c>
      <c r="D4832" s="13">
        <v>4</v>
      </c>
      <c r="E4832" s="179" t="s">
        <v>9375</v>
      </c>
      <c r="F4832" s="13" t="s">
        <v>11</v>
      </c>
    </row>
    <row r="4833" ht="18" customHeight="1" spans="1:6">
      <c r="A4833" s="13" t="s">
        <v>9220</v>
      </c>
      <c r="B4833" s="13" t="s">
        <v>9332</v>
      </c>
      <c r="C4833" s="13" t="s">
        <v>9376</v>
      </c>
      <c r="D4833" s="13">
        <v>3</v>
      </c>
      <c r="E4833" s="179" t="s">
        <v>9377</v>
      </c>
      <c r="F4833" s="13" t="s">
        <v>11</v>
      </c>
    </row>
    <row r="4834" ht="18" customHeight="1" spans="1:6">
      <c r="A4834" s="13" t="s">
        <v>9220</v>
      </c>
      <c r="B4834" s="13" t="s">
        <v>9332</v>
      </c>
      <c r="C4834" s="13" t="s">
        <v>9378</v>
      </c>
      <c r="D4834" s="13">
        <v>2</v>
      </c>
      <c r="E4834" s="179" t="s">
        <v>9379</v>
      </c>
      <c r="F4834" s="13" t="s">
        <v>11</v>
      </c>
    </row>
    <row r="4835" ht="18" customHeight="1" spans="1:6">
      <c r="A4835" s="13" t="s">
        <v>9220</v>
      </c>
      <c r="B4835" s="13" t="s">
        <v>9332</v>
      </c>
      <c r="C4835" s="13" t="s">
        <v>9380</v>
      </c>
      <c r="D4835" s="13">
        <v>2</v>
      </c>
      <c r="E4835" s="179" t="s">
        <v>9381</v>
      </c>
      <c r="F4835" s="13" t="s">
        <v>11</v>
      </c>
    </row>
    <row r="4836" ht="18" customHeight="1" spans="1:6">
      <c r="A4836" s="13" t="s">
        <v>9220</v>
      </c>
      <c r="B4836" s="13" t="s">
        <v>9332</v>
      </c>
      <c r="C4836" s="13" t="s">
        <v>9382</v>
      </c>
      <c r="D4836" s="13">
        <v>2</v>
      </c>
      <c r="E4836" s="179" t="s">
        <v>9383</v>
      </c>
      <c r="F4836" s="13" t="s">
        <v>11</v>
      </c>
    </row>
    <row r="4837" ht="18" customHeight="1" spans="1:6">
      <c r="A4837" s="13" t="s">
        <v>9220</v>
      </c>
      <c r="B4837" s="13" t="s">
        <v>9332</v>
      </c>
      <c r="C4837" s="13" t="s">
        <v>9384</v>
      </c>
      <c r="D4837" s="13">
        <v>5</v>
      </c>
      <c r="E4837" s="179" t="s">
        <v>9385</v>
      </c>
      <c r="F4837" s="13" t="s">
        <v>11</v>
      </c>
    </row>
    <row r="4838" ht="18" customHeight="1" spans="1:6">
      <c r="A4838" s="13" t="s">
        <v>9220</v>
      </c>
      <c r="B4838" s="13" t="s">
        <v>9332</v>
      </c>
      <c r="C4838" s="13" t="s">
        <v>9386</v>
      </c>
      <c r="D4838" s="13">
        <v>3</v>
      </c>
      <c r="E4838" s="179" t="s">
        <v>9387</v>
      </c>
      <c r="F4838" s="13" t="s">
        <v>11</v>
      </c>
    </row>
    <row r="4839" ht="18" customHeight="1" spans="1:6">
      <c r="A4839" s="13" t="s">
        <v>9220</v>
      </c>
      <c r="B4839" s="13" t="s">
        <v>9388</v>
      </c>
      <c r="C4839" s="13" t="s">
        <v>9389</v>
      </c>
      <c r="D4839" s="13">
        <v>2</v>
      </c>
      <c r="E4839" s="5" t="str">
        <f>LEFT("422626197610216414",19)</f>
        <v>422626197610216414</v>
      </c>
      <c r="F4839" s="13" t="s">
        <v>11</v>
      </c>
    </row>
    <row r="4840" ht="18" customHeight="1" spans="1:6">
      <c r="A4840" s="13" t="s">
        <v>9220</v>
      </c>
      <c r="B4840" s="13" t="s">
        <v>9388</v>
      </c>
      <c r="C4840" s="13" t="s">
        <v>9390</v>
      </c>
      <c r="D4840" s="13">
        <v>4</v>
      </c>
      <c r="E4840" s="5" t="str">
        <f>LEFT("420325198101236417",19)</f>
        <v>420325198101236417</v>
      </c>
      <c r="F4840" s="13" t="s">
        <v>11</v>
      </c>
    </row>
    <row r="4841" ht="18" customHeight="1" spans="1:6">
      <c r="A4841" s="13" t="s">
        <v>9220</v>
      </c>
      <c r="B4841" s="13" t="s">
        <v>9388</v>
      </c>
      <c r="C4841" s="13" t="s">
        <v>9391</v>
      </c>
      <c r="D4841" s="13">
        <v>3</v>
      </c>
      <c r="E4841" s="5" t="str">
        <f>LEFT("422626196802116413",19)</f>
        <v>422626196802116413</v>
      </c>
      <c r="F4841" s="13" t="s">
        <v>11</v>
      </c>
    </row>
    <row r="4842" ht="18" customHeight="1" spans="1:6">
      <c r="A4842" s="13" t="s">
        <v>9220</v>
      </c>
      <c r="B4842" s="13" t="s">
        <v>9388</v>
      </c>
      <c r="C4842" s="13" t="s">
        <v>9392</v>
      </c>
      <c r="D4842" s="13">
        <v>5</v>
      </c>
      <c r="E4842" s="5" t="str">
        <f>LEFT("422626195412266411",19)</f>
        <v>422626195412266411</v>
      </c>
      <c r="F4842" s="13" t="s">
        <v>11</v>
      </c>
    </row>
    <row r="4843" ht="18" customHeight="1" spans="1:6">
      <c r="A4843" s="13" t="s">
        <v>9220</v>
      </c>
      <c r="B4843" s="13" t="s">
        <v>9388</v>
      </c>
      <c r="C4843" s="13" t="s">
        <v>9393</v>
      </c>
      <c r="D4843" s="13">
        <v>3</v>
      </c>
      <c r="E4843" s="5" t="str">
        <f>LEFT("422626196001026418",19)</f>
        <v>422626196001026418</v>
      </c>
      <c r="F4843" s="13" t="s">
        <v>11</v>
      </c>
    </row>
    <row r="4844" ht="18" customHeight="1" spans="1:6">
      <c r="A4844" s="13" t="s">
        <v>9220</v>
      </c>
      <c r="B4844" s="13" t="s">
        <v>9388</v>
      </c>
      <c r="C4844" s="13" t="s">
        <v>9394</v>
      </c>
      <c r="D4844" s="13">
        <v>2</v>
      </c>
      <c r="E4844" s="5" t="str">
        <f>LEFT("422626195605086425",19)</f>
        <v>422626195605086425</v>
      </c>
      <c r="F4844" s="13" t="s">
        <v>11</v>
      </c>
    </row>
    <row r="4845" ht="18" customHeight="1" spans="1:6">
      <c r="A4845" s="13" t="s">
        <v>9220</v>
      </c>
      <c r="B4845" s="13" t="s">
        <v>9388</v>
      </c>
      <c r="C4845" s="13" t="s">
        <v>9395</v>
      </c>
      <c r="D4845" s="13">
        <v>3</v>
      </c>
      <c r="E4845" s="5" t="str">
        <f>LEFT("42262619570330641X",19)</f>
        <v>42262619570330641X</v>
      </c>
      <c r="F4845" s="13" t="s">
        <v>11</v>
      </c>
    </row>
    <row r="4846" ht="18" customHeight="1" spans="1:6">
      <c r="A4846" s="13" t="s">
        <v>9220</v>
      </c>
      <c r="B4846" s="13" t="s">
        <v>9388</v>
      </c>
      <c r="C4846" s="13" t="s">
        <v>9396</v>
      </c>
      <c r="D4846" s="13">
        <v>2</v>
      </c>
      <c r="E4846" s="5" t="str">
        <f>LEFT("422626196403256419",19)</f>
        <v>422626196403256419</v>
      </c>
      <c r="F4846" s="13" t="s">
        <v>11</v>
      </c>
    </row>
    <row r="4847" ht="18" customHeight="1" spans="1:6">
      <c r="A4847" s="13" t="s">
        <v>9220</v>
      </c>
      <c r="B4847" s="13" t="s">
        <v>9388</v>
      </c>
      <c r="C4847" s="13" t="s">
        <v>9397</v>
      </c>
      <c r="D4847" s="13">
        <v>2</v>
      </c>
      <c r="E4847" s="5" t="str">
        <f>LEFT("422626196101146417",19)</f>
        <v>422626196101146417</v>
      </c>
      <c r="F4847" s="13" t="s">
        <v>11</v>
      </c>
    </row>
    <row r="4848" ht="18" customHeight="1" spans="1:6">
      <c r="A4848" s="13" t="s">
        <v>9220</v>
      </c>
      <c r="B4848" s="13" t="s">
        <v>9388</v>
      </c>
      <c r="C4848" s="13" t="s">
        <v>9398</v>
      </c>
      <c r="D4848" s="13">
        <v>3</v>
      </c>
      <c r="E4848" s="5" t="str">
        <f>LEFT("422626195201196425",19)</f>
        <v>422626195201196425</v>
      </c>
      <c r="F4848" s="13" t="s">
        <v>11</v>
      </c>
    </row>
    <row r="4849" ht="18" customHeight="1" spans="1:6">
      <c r="A4849" s="13" t="s">
        <v>9220</v>
      </c>
      <c r="B4849" s="13" t="s">
        <v>9388</v>
      </c>
      <c r="C4849" s="13" t="s">
        <v>9399</v>
      </c>
      <c r="D4849" s="13">
        <v>4</v>
      </c>
      <c r="E4849" s="5" t="str">
        <f>LEFT("422626196704246417",19)</f>
        <v>422626196704246417</v>
      </c>
      <c r="F4849" s="13" t="s">
        <v>11</v>
      </c>
    </row>
    <row r="4850" ht="18" customHeight="1" spans="1:6">
      <c r="A4850" s="13" t="s">
        <v>9220</v>
      </c>
      <c r="B4850" s="13" t="s">
        <v>9388</v>
      </c>
      <c r="C4850" s="13" t="s">
        <v>9400</v>
      </c>
      <c r="D4850" s="13">
        <v>5</v>
      </c>
      <c r="E4850" s="5" t="str">
        <f>LEFT("422626195702056412",19)</f>
        <v>422626195702056412</v>
      </c>
      <c r="F4850" s="13" t="s">
        <v>11</v>
      </c>
    </row>
    <row r="4851" ht="18" customHeight="1" spans="1:6">
      <c r="A4851" s="13" t="s">
        <v>9220</v>
      </c>
      <c r="B4851" s="13" t="s">
        <v>9388</v>
      </c>
      <c r="C4851" s="13" t="s">
        <v>9401</v>
      </c>
      <c r="D4851" s="13">
        <v>4</v>
      </c>
      <c r="E4851" s="5" t="str">
        <f>LEFT("42032519830103641X",19)</f>
        <v>42032519830103641X</v>
      </c>
      <c r="F4851" s="13" t="s">
        <v>11</v>
      </c>
    </row>
    <row r="4852" ht="18" customHeight="1" spans="1:6">
      <c r="A4852" s="13" t="s">
        <v>9220</v>
      </c>
      <c r="B4852" s="13" t="s">
        <v>9388</v>
      </c>
      <c r="C4852" s="13" t="s">
        <v>9402</v>
      </c>
      <c r="D4852" s="13">
        <v>3</v>
      </c>
      <c r="E4852" s="5" t="str">
        <f>LEFT("42032519851119642X",19)</f>
        <v>42032519851119642X</v>
      </c>
      <c r="F4852" s="13" t="s">
        <v>11</v>
      </c>
    </row>
    <row r="4853" ht="18" customHeight="1" spans="1:6">
      <c r="A4853" s="13" t="s">
        <v>9220</v>
      </c>
      <c r="B4853" s="13" t="s">
        <v>9388</v>
      </c>
      <c r="C4853" s="13" t="s">
        <v>9403</v>
      </c>
      <c r="D4853" s="13">
        <v>1</v>
      </c>
      <c r="E4853" s="5" t="str">
        <f>LEFT("422626194311176420",19)</f>
        <v>422626194311176420</v>
      </c>
      <c r="F4853" s="13" t="s">
        <v>11</v>
      </c>
    </row>
    <row r="4854" ht="18" customHeight="1" spans="1:6">
      <c r="A4854" s="13" t="s">
        <v>9220</v>
      </c>
      <c r="B4854" s="13" t="s">
        <v>9388</v>
      </c>
      <c r="C4854" s="6" t="s">
        <v>9404</v>
      </c>
      <c r="D4854" s="13">
        <v>2</v>
      </c>
      <c r="E4854" s="5" t="s">
        <v>9405</v>
      </c>
      <c r="F4854" s="13" t="s">
        <v>11</v>
      </c>
    </row>
    <row r="4855" ht="18" customHeight="1" spans="1:6">
      <c r="A4855" s="13" t="s">
        <v>9220</v>
      </c>
      <c r="B4855" s="13" t="s">
        <v>9388</v>
      </c>
      <c r="C4855" s="6" t="s">
        <v>9406</v>
      </c>
      <c r="D4855" s="13">
        <v>1</v>
      </c>
      <c r="E4855" s="195" t="s">
        <v>9407</v>
      </c>
      <c r="F4855" s="13" t="s">
        <v>11</v>
      </c>
    </row>
    <row r="4856" ht="18" customHeight="1" spans="1:6">
      <c r="A4856" s="13" t="s">
        <v>9220</v>
      </c>
      <c r="B4856" s="13" t="s">
        <v>9408</v>
      </c>
      <c r="C4856" s="13" t="s">
        <v>9409</v>
      </c>
      <c r="D4856" s="13">
        <v>5</v>
      </c>
      <c r="E4856" s="179" t="s">
        <v>9410</v>
      </c>
      <c r="F4856" s="13" t="s">
        <v>11</v>
      </c>
    </row>
    <row r="4857" ht="18" customHeight="1" spans="1:6">
      <c r="A4857" s="13" t="s">
        <v>9220</v>
      </c>
      <c r="B4857" s="13" t="s">
        <v>9408</v>
      </c>
      <c r="C4857" s="13" t="s">
        <v>9411</v>
      </c>
      <c r="D4857" s="13">
        <v>3</v>
      </c>
      <c r="E4857" s="13" t="s">
        <v>9412</v>
      </c>
      <c r="F4857" s="13" t="s">
        <v>11</v>
      </c>
    </row>
    <row r="4858" ht="18" customHeight="1" spans="1:6">
      <c r="A4858" s="13" t="s">
        <v>9220</v>
      </c>
      <c r="B4858" s="13" t="s">
        <v>9408</v>
      </c>
      <c r="C4858" s="13" t="s">
        <v>9413</v>
      </c>
      <c r="D4858" s="13">
        <v>4</v>
      </c>
      <c r="E4858" s="179" t="s">
        <v>9414</v>
      </c>
      <c r="F4858" s="13" t="s">
        <v>11</v>
      </c>
    </row>
    <row r="4859" ht="18" customHeight="1" spans="1:6">
      <c r="A4859" s="13" t="s">
        <v>9220</v>
      </c>
      <c r="B4859" s="13" t="s">
        <v>9408</v>
      </c>
      <c r="C4859" s="13" t="s">
        <v>9415</v>
      </c>
      <c r="D4859" s="13">
        <v>3</v>
      </c>
      <c r="E4859" s="179" t="s">
        <v>9416</v>
      </c>
      <c r="F4859" s="13" t="s">
        <v>11</v>
      </c>
    </row>
    <row r="4860" ht="18" customHeight="1" spans="1:6">
      <c r="A4860" s="13" t="s">
        <v>9220</v>
      </c>
      <c r="B4860" s="13" t="s">
        <v>9408</v>
      </c>
      <c r="C4860" s="13" t="s">
        <v>9417</v>
      </c>
      <c r="D4860" s="13">
        <v>3</v>
      </c>
      <c r="E4860" s="179" t="s">
        <v>9418</v>
      </c>
      <c r="F4860" s="13" t="s">
        <v>11</v>
      </c>
    </row>
    <row r="4861" ht="18" customHeight="1" spans="1:6">
      <c r="A4861" s="13" t="s">
        <v>9220</v>
      </c>
      <c r="B4861" s="13" t="s">
        <v>9408</v>
      </c>
      <c r="C4861" s="13" t="s">
        <v>9419</v>
      </c>
      <c r="D4861" s="13">
        <v>6</v>
      </c>
      <c r="E4861" s="13" t="s">
        <v>9420</v>
      </c>
      <c r="F4861" s="13" t="s">
        <v>11</v>
      </c>
    </row>
    <row r="4862" ht="18" customHeight="1" spans="1:6">
      <c r="A4862" s="13" t="s">
        <v>9220</v>
      </c>
      <c r="B4862" s="13" t="s">
        <v>9408</v>
      </c>
      <c r="C4862" s="13" t="s">
        <v>9421</v>
      </c>
      <c r="D4862" s="13">
        <v>4</v>
      </c>
      <c r="E4862" s="179" t="s">
        <v>9422</v>
      </c>
      <c r="F4862" s="13" t="s">
        <v>11</v>
      </c>
    </row>
    <row r="4863" ht="18" customHeight="1" spans="1:6">
      <c r="A4863" s="13" t="s">
        <v>9220</v>
      </c>
      <c r="B4863" s="13" t="s">
        <v>9408</v>
      </c>
      <c r="C4863" s="13" t="s">
        <v>7912</v>
      </c>
      <c r="D4863" s="13">
        <v>2</v>
      </c>
      <c r="E4863" s="179" t="s">
        <v>9423</v>
      </c>
      <c r="F4863" s="13" t="s">
        <v>11</v>
      </c>
    </row>
    <row r="4864" ht="18" customHeight="1" spans="1:6">
      <c r="A4864" s="13" t="s">
        <v>9220</v>
      </c>
      <c r="B4864" s="13" t="s">
        <v>9408</v>
      </c>
      <c r="C4864" s="13" t="s">
        <v>9424</v>
      </c>
      <c r="D4864" s="13">
        <v>5</v>
      </c>
      <c r="E4864" s="179" t="s">
        <v>9425</v>
      </c>
      <c r="F4864" s="13" t="s">
        <v>11</v>
      </c>
    </row>
    <row r="4865" ht="18" customHeight="1" spans="1:6">
      <c r="A4865" s="13" t="s">
        <v>9220</v>
      </c>
      <c r="B4865" s="13" t="s">
        <v>9408</v>
      </c>
      <c r="C4865" s="13" t="s">
        <v>9426</v>
      </c>
      <c r="D4865" s="13">
        <v>2</v>
      </c>
      <c r="E4865" s="179" t="s">
        <v>9427</v>
      </c>
      <c r="F4865" s="13" t="s">
        <v>11</v>
      </c>
    </row>
    <row r="4866" ht="18" customHeight="1" spans="1:6">
      <c r="A4866" s="13" t="s">
        <v>9220</v>
      </c>
      <c r="B4866" s="13" t="s">
        <v>9408</v>
      </c>
      <c r="C4866" s="13" t="s">
        <v>9428</v>
      </c>
      <c r="D4866" s="13">
        <v>2</v>
      </c>
      <c r="E4866" s="179" t="s">
        <v>9429</v>
      </c>
      <c r="F4866" s="13" t="s">
        <v>11</v>
      </c>
    </row>
    <row r="4867" ht="18" customHeight="1" spans="1:6">
      <c r="A4867" s="13" t="s">
        <v>9220</v>
      </c>
      <c r="B4867" s="13" t="s">
        <v>9408</v>
      </c>
      <c r="C4867" s="13" t="s">
        <v>9430</v>
      </c>
      <c r="D4867" s="9">
        <v>3</v>
      </c>
      <c r="E4867" s="179" t="s">
        <v>9431</v>
      </c>
      <c r="F4867" s="13" t="s">
        <v>11</v>
      </c>
    </row>
    <row r="4868" ht="18" customHeight="1" spans="1:6">
      <c r="A4868" s="13" t="s">
        <v>9220</v>
      </c>
      <c r="B4868" s="13" t="s">
        <v>9432</v>
      </c>
      <c r="C4868" s="6" t="s">
        <v>9433</v>
      </c>
      <c r="D4868" s="6">
        <v>1</v>
      </c>
      <c r="E4868" s="195" t="s">
        <v>9434</v>
      </c>
      <c r="F4868" s="13" t="s">
        <v>11</v>
      </c>
    </row>
    <row r="4869" ht="18" customHeight="1" spans="1:6">
      <c r="A4869" s="13" t="s">
        <v>9220</v>
      </c>
      <c r="B4869" s="13" t="s">
        <v>9432</v>
      </c>
      <c r="C4869" s="6" t="s">
        <v>9435</v>
      </c>
      <c r="D4869" s="6">
        <v>1</v>
      </c>
      <c r="E4869" s="195" t="s">
        <v>9436</v>
      </c>
      <c r="F4869" s="13" t="s">
        <v>11</v>
      </c>
    </row>
    <row r="4870" ht="18" customHeight="1" spans="1:6">
      <c r="A4870" s="13" t="s">
        <v>9220</v>
      </c>
      <c r="B4870" s="13" t="s">
        <v>9432</v>
      </c>
      <c r="C4870" s="6" t="s">
        <v>9437</v>
      </c>
      <c r="D4870" s="6">
        <v>1</v>
      </c>
      <c r="E4870" s="195" t="s">
        <v>9438</v>
      </c>
      <c r="F4870" s="13" t="s">
        <v>11</v>
      </c>
    </row>
    <row r="4871" ht="18" customHeight="1" spans="1:6">
      <c r="A4871" s="13" t="s">
        <v>9220</v>
      </c>
      <c r="B4871" s="13" t="s">
        <v>9432</v>
      </c>
      <c r="C4871" s="6" t="s">
        <v>9439</v>
      </c>
      <c r="D4871" s="6">
        <v>1</v>
      </c>
      <c r="E4871" s="195" t="s">
        <v>9440</v>
      </c>
      <c r="F4871" s="13" t="s">
        <v>11</v>
      </c>
    </row>
    <row r="4872" ht="18" customHeight="1" spans="1:6">
      <c r="A4872" s="13" t="s">
        <v>9220</v>
      </c>
      <c r="B4872" s="13" t="s">
        <v>9432</v>
      </c>
      <c r="C4872" s="6" t="s">
        <v>9441</v>
      </c>
      <c r="D4872" s="6">
        <v>1</v>
      </c>
      <c r="E4872" s="195" t="s">
        <v>9442</v>
      </c>
      <c r="F4872" s="13" t="s">
        <v>11</v>
      </c>
    </row>
    <row r="4873" ht="18" customHeight="1" spans="1:6">
      <c r="A4873" s="13" t="s">
        <v>9220</v>
      </c>
      <c r="B4873" s="13" t="s">
        <v>9432</v>
      </c>
      <c r="C4873" s="6" t="s">
        <v>9443</v>
      </c>
      <c r="D4873" s="6">
        <v>1</v>
      </c>
      <c r="E4873" s="195" t="s">
        <v>9444</v>
      </c>
      <c r="F4873" s="13" t="s">
        <v>11</v>
      </c>
    </row>
    <row r="4874" ht="18" customHeight="1" spans="1:6">
      <c r="A4874" s="13" t="s">
        <v>9220</v>
      </c>
      <c r="B4874" s="13" t="s">
        <v>9432</v>
      </c>
      <c r="C4874" s="6" t="s">
        <v>9445</v>
      </c>
      <c r="D4874" s="6">
        <v>1</v>
      </c>
      <c r="E4874" s="195" t="s">
        <v>9446</v>
      </c>
      <c r="F4874" s="13" t="s">
        <v>11</v>
      </c>
    </row>
    <row r="4875" ht="18" customHeight="1" spans="1:6">
      <c r="A4875" s="13" t="s">
        <v>9220</v>
      </c>
      <c r="B4875" s="13" t="s">
        <v>9432</v>
      </c>
      <c r="C4875" s="6" t="s">
        <v>9447</v>
      </c>
      <c r="D4875" s="6">
        <v>1</v>
      </c>
      <c r="E4875" s="195" t="s">
        <v>9448</v>
      </c>
      <c r="F4875" s="13" t="s">
        <v>11</v>
      </c>
    </row>
    <row r="4876" ht="18" customHeight="1" spans="1:6">
      <c r="A4876" s="13" t="s">
        <v>9220</v>
      </c>
      <c r="B4876" s="13" t="s">
        <v>9432</v>
      </c>
      <c r="C4876" s="6" t="s">
        <v>9449</v>
      </c>
      <c r="D4876" s="6">
        <v>1</v>
      </c>
      <c r="E4876" s="195" t="s">
        <v>9450</v>
      </c>
      <c r="F4876" s="13" t="s">
        <v>11</v>
      </c>
    </row>
    <row r="4877" ht="18" customHeight="1" spans="1:6">
      <c r="A4877" s="13" t="s">
        <v>9220</v>
      </c>
      <c r="B4877" s="13" t="s">
        <v>9432</v>
      </c>
      <c r="C4877" s="6" t="s">
        <v>9451</v>
      </c>
      <c r="D4877" s="6">
        <v>1</v>
      </c>
      <c r="E4877" s="195" t="s">
        <v>9452</v>
      </c>
      <c r="F4877" s="13" t="s">
        <v>11</v>
      </c>
    </row>
    <row r="4878" ht="18" customHeight="1" spans="1:6">
      <c r="A4878" s="13" t="s">
        <v>9220</v>
      </c>
      <c r="B4878" s="13" t="s">
        <v>9432</v>
      </c>
      <c r="C4878" s="6" t="s">
        <v>9453</v>
      </c>
      <c r="D4878" s="6">
        <v>1</v>
      </c>
      <c r="E4878" s="195" t="s">
        <v>9454</v>
      </c>
      <c r="F4878" s="13" t="s">
        <v>11</v>
      </c>
    </row>
    <row r="4879" ht="18" customHeight="1" spans="1:6">
      <c r="A4879" s="13" t="s">
        <v>9220</v>
      </c>
      <c r="B4879" s="13" t="s">
        <v>9432</v>
      </c>
      <c r="C4879" s="6" t="s">
        <v>9455</v>
      </c>
      <c r="D4879" s="6">
        <v>3</v>
      </c>
      <c r="E4879" s="195" t="s">
        <v>9456</v>
      </c>
      <c r="F4879" s="13" t="s">
        <v>11</v>
      </c>
    </row>
    <row r="4880" ht="18" customHeight="1" spans="1:6">
      <c r="A4880" s="13" t="s">
        <v>9220</v>
      </c>
      <c r="B4880" s="13" t="s">
        <v>9432</v>
      </c>
      <c r="C4880" s="6" t="s">
        <v>9457</v>
      </c>
      <c r="D4880" s="13">
        <v>2</v>
      </c>
      <c r="E4880" s="195" t="s">
        <v>9458</v>
      </c>
      <c r="F4880" s="13" t="s">
        <v>11</v>
      </c>
    </row>
    <row r="4881" ht="18" customHeight="1" spans="1:6">
      <c r="A4881" s="13" t="s">
        <v>9220</v>
      </c>
      <c r="B4881" s="13" t="s">
        <v>9432</v>
      </c>
      <c r="C4881" s="13" t="s">
        <v>9459</v>
      </c>
      <c r="D4881" s="13">
        <v>3</v>
      </c>
      <c r="E4881" s="179" t="s">
        <v>9460</v>
      </c>
      <c r="F4881" s="13" t="s">
        <v>11</v>
      </c>
    </row>
    <row r="4882" ht="18" customHeight="1" spans="1:6">
      <c r="A4882" s="13" t="s">
        <v>9220</v>
      </c>
      <c r="B4882" s="13" t="s">
        <v>9432</v>
      </c>
      <c r="C4882" s="13" t="s">
        <v>9461</v>
      </c>
      <c r="D4882" s="13">
        <v>4</v>
      </c>
      <c r="E4882" s="179" t="s">
        <v>9462</v>
      </c>
      <c r="F4882" s="13" t="s">
        <v>11</v>
      </c>
    </row>
    <row r="4883" ht="18" customHeight="1" spans="1:6">
      <c r="A4883" s="13" t="s">
        <v>9220</v>
      </c>
      <c r="B4883" s="13" t="s">
        <v>9432</v>
      </c>
      <c r="C4883" s="13" t="s">
        <v>9463</v>
      </c>
      <c r="D4883" s="13">
        <v>2</v>
      </c>
      <c r="E4883" s="179" t="s">
        <v>9464</v>
      </c>
      <c r="F4883" s="13" t="s">
        <v>11</v>
      </c>
    </row>
    <row r="4884" ht="18" customHeight="1" spans="1:6">
      <c r="A4884" s="13" t="s">
        <v>9220</v>
      </c>
      <c r="B4884" s="13" t="s">
        <v>9432</v>
      </c>
      <c r="C4884" s="13" t="s">
        <v>9465</v>
      </c>
      <c r="D4884" s="13">
        <v>2</v>
      </c>
      <c r="E4884" s="179" t="s">
        <v>9466</v>
      </c>
      <c r="F4884" s="13" t="s">
        <v>11</v>
      </c>
    </row>
    <row r="4885" ht="18" customHeight="1" spans="1:6">
      <c r="A4885" s="13" t="s">
        <v>9220</v>
      </c>
      <c r="B4885" s="13" t="s">
        <v>9432</v>
      </c>
      <c r="C4885" s="13" t="s">
        <v>6924</v>
      </c>
      <c r="D4885" s="13">
        <v>1</v>
      </c>
      <c r="E4885" s="179" t="s">
        <v>9467</v>
      </c>
      <c r="F4885" s="13" t="s">
        <v>11</v>
      </c>
    </row>
    <row r="4886" ht="18" customHeight="1" spans="1:6">
      <c r="A4886" s="13" t="s">
        <v>9220</v>
      </c>
      <c r="B4886" s="13" t="s">
        <v>9432</v>
      </c>
      <c r="C4886" s="13" t="s">
        <v>9468</v>
      </c>
      <c r="D4886" s="13">
        <v>1</v>
      </c>
      <c r="E4886" s="179" t="s">
        <v>9469</v>
      </c>
      <c r="F4886" s="13" t="s">
        <v>11</v>
      </c>
    </row>
    <row r="4887" ht="18" customHeight="1" spans="1:6">
      <c r="A4887" s="13" t="s">
        <v>9220</v>
      </c>
      <c r="B4887" s="13" t="s">
        <v>9432</v>
      </c>
      <c r="C4887" s="13" t="s">
        <v>9470</v>
      </c>
      <c r="D4887" s="13">
        <v>2</v>
      </c>
      <c r="E4887" s="179" t="s">
        <v>9471</v>
      </c>
      <c r="F4887" s="13" t="s">
        <v>11</v>
      </c>
    </row>
    <row r="4888" ht="18" customHeight="1" spans="1:6">
      <c r="A4888" s="13" t="s">
        <v>9220</v>
      </c>
      <c r="B4888" s="13" t="s">
        <v>9432</v>
      </c>
      <c r="C4888" s="13" t="s">
        <v>8120</v>
      </c>
      <c r="D4888" s="13">
        <v>4</v>
      </c>
      <c r="E4888" s="179" t="s">
        <v>9472</v>
      </c>
      <c r="F4888" s="13" t="s">
        <v>11</v>
      </c>
    </row>
    <row r="4889" ht="18" customHeight="1" spans="1:6">
      <c r="A4889" s="13" t="s">
        <v>9220</v>
      </c>
      <c r="B4889" s="13" t="s">
        <v>9432</v>
      </c>
      <c r="C4889" s="13" t="s">
        <v>9473</v>
      </c>
      <c r="D4889" s="13">
        <v>4</v>
      </c>
      <c r="E4889" s="179" t="s">
        <v>9474</v>
      </c>
      <c r="F4889" s="13" t="s">
        <v>11</v>
      </c>
    </row>
    <row r="4890" ht="18" customHeight="1" spans="1:6">
      <c r="A4890" s="13" t="s">
        <v>9220</v>
      </c>
      <c r="B4890" s="13" t="s">
        <v>9432</v>
      </c>
      <c r="C4890" s="13" t="s">
        <v>9475</v>
      </c>
      <c r="D4890" s="13">
        <v>6</v>
      </c>
      <c r="E4890" s="179" t="s">
        <v>9476</v>
      </c>
      <c r="F4890" s="13" t="s">
        <v>11</v>
      </c>
    </row>
    <row r="4891" ht="18" customHeight="1" spans="1:6">
      <c r="A4891" s="13" t="s">
        <v>9220</v>
      </c>
      <c r="B4891" s="13" t="s">
        <v>9432</v>
      </c>
      <c r="C4891" s="13" t="s">
        <v>9477</v>
      </c>
      <c r="D4891" s="13">
        <v>3</v>
      </c>
      <c r="E4891" s="179" t="s">
        <v>9478</v>
      </c>
      <c r="F4891" s="13" t="s">
        <v>11</v>
      </c>
    </row>
    <row r="4892" ht="18" customHeight="1" spans="1:6">
      <c r="A4892" s="13" t="s">
        <v>9220</v>
      </c>
      <c r="B4892" s="13" t="s">
        <v>9432</v>
      </c>
      <c r="C4892" s="13" t="s">
        <v>9479</v>
      </c>
      <c r="D4892" s="13">
        <v>2</v>
      </c>
      <c r="E4892" s="13" t="s">
        <v>9480</v>
      </c>
      <c r="F4892" s="13" t="s">
        <v>11</v>
      </c>
    </row>
    <row r="4893" ht="18" customHeight="1" spans="1:6">
      <c r="A4893" s="13" t="s">
        <v>9220</v>
      </c>
      <c r="B4893" s="13" t="s">
        <v>9432</v>
      </c>
      <c r="C4893" s="13" t="s">
        <v>9481</v>
      </c>
      <c r="D4893" s="13">
        <v>3</v>
      </c>
      <c r="E4893" s="179" t="s">
        <v>9482</v>
      </c>
      <c r="F4893" s="13" t="s">
        <v>11</v>
      </c>
    </row>
    <row r="4894" ht="18" customHeight="1" spans="1:6">
      <c r="A4894" s="13" t="s">
        <v>9220</v>
      </c>
      <c r="B4894" s="13" t="s">
        <v>9432</v>
      </c>
      <c r="C4894" s="13" t="s">
        <v>9483</v>
      </c>
      <c r="D4894" s="13">
        <v>2</v>
      </c>
      <c r="E4894" s="179" t="s">
        <v>9484</v>
      </c>
      <c r="F4894" s="13" t="s">
        <v>11</v>
      </c>
    </row>
    <row r="4895" ht="18" customHeight="1" spans="1:6">
      <c r="A4895" s="13" t="s">
        <v>9220</v>
      </c>
      <c r="B4895" s="13" t="s">
        <v>9432</v>
      </c>
      <c r="C4895" s="13" t="s">
        <v>9485</v>
      </c>
      <c r="D4895" s="13">
        <v>3</v>
      </c>
      <c r="E4895" s="179" t="s">
        <v>9486</v>
      </c>
      <c r="F4895" s="13" t="s">
        <v>11</v>
      </c>
    </row>
    <row r="4896" ht="18" customHeight="1" spans="1:6">
      <c r="A4896" s="13" t="s">
        <v>9220</v>
      </c>
      <c r="B4896" s="13" t="s">
        <v>9432</v>
      </c>
      <c r="C4896" s="13" t="s">
        <v>9487</v>
      </c>
      <c r="D4896" s="13">
        <v>2</v>
      </c>
      <c r="E4896" s="179" t="s">
        <v>9488</v>
      </c>
      <c r="F4896" s="13" t="s">
        <v>11</v>
      </c>
    </row>
    <row r="4897" ht="18" customHeight="1" spans="1:6">
      <c r="A4897" s="13" t="s">
        <v>9220</v>
      </c>
      <c r="B4897" s="13" t="s">
        <v>9432</v>
      </c>
      <c r="C4897" s="13" t="s">
        <v>9489</v>
      </c>
      <c r="D4897" s="13">
        <v>3</v>
      </c>
      <c r="E4897" s="186" t="s">
        <v>9490</v>
      </c>
      <c r="F4897" s="13" t="s">
        <v>11</v>
      </c>
    </row>
    <row r="4898" ht="18" customHeight="1" spans="1:6">
      <c r="A4898" s="13" t="s">
        <v>9220</v>
      </c>
      <c r="B4898" s="13" t="s">
        <v>9432</v>
      </c>
      <c r="C4898" s="13" t="s">
        <v>9491</v>
      </c>
      <c r="D4898" s="13">
        <v>2</v>
      </c>
      <c r="E4898" s="179" t="s">
        <v>9492</v>
      </c>
      <c r="F4898" s="13" t="s">
        <v>11</v>
      </c>
    </row>
    <row r="4899" ht="18" customHeight="1" spans="1:6">
      <c r="A4899" s="13" t="s">
        <v>9220</v>
      </c>
      <c r="B4899" s="13" t="s">
        <v>9493</v>
      </c>
      <c r="C4899" s="13" t="s">
        <v>9494</v>
      </c>
      <c r="D4899" s="13">
        <v>2</v>
      </c>
      <c r="E4899" s="195" t="s">
        <v>9495</v>
      </c>
      <c r="F4899" s="13" t="s">
        <v>11</v>
      </c>
    </row>
    <row r="4900" ht="18" customHeight="1" spans="1:6">
      <c r="A4900" s="13" t="s">
        <v>9220</v>
      </c>
      <c r="B4900" s="13" t="s">
        <v>9493</v>
      </c>
      <c r="C4900" s="13" t="s">
        <v>9496</v>
      </c>
      <c r="D4900" s="13">
        <v>2</v>
      </c>
      <c r="E4900" s="14" t="s">
        <v>9497</v>
      </c>
      <c r="F4900" s="13" t="s">
        <v>11</v>
      </c>
    </row>
    <row r="4901" ht="18" customHeight="1" spans="1:6">
      <c r="A4901" s="13" t="s">
        <v>9220</v>
      </c>
      <c r="B4901" s="13" t="s">
        <v>9493</v>
      </c>
      <c r="C4901" s="13" t="s">
        <v>9498</v>
      </c>
      <c r="D4901" s="13">
        <v>2</v>
      </c>
      <c r="E4901" s="14" t="s">
        <v>9499</v>
      </c>
      <c r="F4901" s="13" t="s">
        <v>11</v>
      </c>
    </row>
    <row r="4902" ht="18" customHeight="1" spans="1:6">
      <c r="A4902" s="13" t="s">
        <v>9220</v>
      </c>
      <c r="B4902" s="5" t="s">
        <v>9500</v>
      </c>
      <c r="C4902" s="6" t="s">
        <v>5715</v>
      </c>
      <c r="D4902" s="6">
        <v>2</v>
      </c>
      <c r="E4902" s="79" t="str">
        <f>LEFT("422626195012246710",19)</f>
        <v>422626195012246710</v>
      </c>
      <c r="F4902" s="13" t="s">
        <v>11</v>
      </c>
    </row>
    <row r="4903" ht="18" customHeight="1" spans="1:6">
      <c r="A4903" s="13" t="s">
        <v>9220</v>
      </c>
      <c r="B4903" s="5" t="s">
        <v>9500</v>
      </c>
      <c r="C4903" s="6" t="s">
        <v>9501</v>
      </c>
      <c r="D4903" s="6">
        <v>3</v>
      </c>
      <c r="E4903" s="8" t="s">
        <v>9502</v>
      </c>
      <c r="F4903" s="13" t="s">
        <v>11</v>
      </c>
    </row>
    <row r="4904" ht="18" customHeight="1" spans="1:6">
      <c r="A4904" s="13" t="s">
        <v>9220</v>
      </c>
      <c r="B4904" s="5" t="s">
        <v>9500</v>
      </c>
      <c r="C4904" s="8" t="s">
        <v>9503</v>
      </c>
      <c r="D4904" s="6">
        <v>5</v>
      </c>
      <c r="E4904" s="8" t="s">
        <v>9504</v>
      </c>
      <c r="F4904" s="13" t="s">
        <v>11</v>
      </c>
    </row>
    <row r="4905" ht="18" customHeight="1" spans="1:6">
      <c r="A4905" s="13" t="s">
        <v>9220</v>
      </c>
      <c r="B4905" s="5" t="s">
        <v>9500</v>
      </c>
      <c r="C4905" s="6" t="s">
        <v>9505</v>
      </c>
      <c r="D4905" s="6">
        <v>4</v>
      </c>
      <c r="E4905" s="79" t="str">
        <f>LEFT("422626196706126718",19)</f>
        <v>422626196706126718</v>
      </c>
      <c r="F4905" s="13" t="s">
        <v>11</v>
      </c>
    </row>
    <row r="4906" ht="18" customHeight="1" spans="1:6">
      <c r="A4906" s="13" t="s">
        <v>9220</v>
      </c>
      <c r="B4906" s="5" t="s">
        <v>9500</v>
      </c>
      <c r="C4906" s="5" t="s">
        <v>9506</v>
      </c>
      <c r="D4906" s="5">
        <v>4</v>
      </c>
      <c r="E4906" s="79" t="str">
        <f>LEFT("422626196510156739",19)</f>
        <v>422626196510156739</v>
      </c>
      <c r="F4906" s="13" t="s">
        <v>11</v>
      </c>
    </row>
    <row r="4907" ht="18" customHeight="1" spans="1:6">
      <c r="A4907" s="13" t="s">
        <v>9220</v>
      </c>
      <c r="B4907" s="5" t="s">
        <v>9500</v>
      </c>
      <c r="C4907" s="5" t="s">
        <v>9507</v>
      </c>
      <c r="D4907" s="5">
        <v>6</v>
      </c>
      <c r="E4907" s="79" t="str">
        <f>LEFT("422626196602246715",19)</f>
        <v>422626196602246715</v>
      </c>
      <c r="F4907" s="13" t="s">
        <v>11</v>
      </c>
    </row>
    <row r="4908" ht="18" customHeight="1" spans="1:6">
      <c r="A4908" s="13" t="s">
        <v>9220</v>
      </c>
      <c r="B4908" s="5" t="s">
        <v>9500</v>
      </c>
      <c r="C4908" s="5" t="s">
        <v>9508</v>
      </c>
      <c r="D4908" s="5">
        <v>4</v>
      </c>
      <c r="E4908" s="79" t="str">
        <f>LEFT("422626194903016711",19)</f>
        <v>422626194903016711</v>
      </c>
      <c r="F4908" s="13" t="s">
        <v>11</v>
      </c>
    </row>
    <row r="4909" ht="18" customHeight="1" spans="1:6">
      <c r="A4909" s="13" t="s">
        <v>9220</v>
      </c>
      <c r="B4909" s="5" t="s">
        <v>9500</v>
      </c>
      <c r="C4909" s="5" t="s">
        <v>9509</v>
      </c>
      <c r="D4909" s="5">
        <v>4</v>
      </c>
      <c r="E4909" s="79" t="str">
        <f>LEFT("422626194612216713",19)</f>
        <v>422626194612216713</v>
      </c>
      <c r="F4909" s="13" t="s">
        <v>11</v>
      </c>
    </row>
    <row r="4910" ht="18" customHeight="1" spans="1:6">
      <c r="A4910" s="13" t="s">
        <v>9220</v>
      </c>
      <c r="B4910" s="5" t="s">
        <v>9500</v>
      </c>
      <c r="C4910" s="5" t="s">
        <v>9510</v>
      </c>
      <c r="D4910" s="5">
        <v>1</v>
      </c>
      <c r="E4910" s="178" t="s">
        <v>9511</v>
      </c>
      <c r="F4910" s="13" t="s">
        <v>11</v>
      </c>
    </row>
    <row r="4911" ht="18" customHeight="1" spans="1:6">
      <c r="A4911" s="13" t="s">
        <v>9220</v>
      </c>
      <c r="B4911" s="5" t="s">
        <v>9500</v>
      </c>
      <c r="C4911" s="5" t="s">
        <v>9512</v>
      </c>
      <c r="D4911" s="5">
        <v>5</v>
      </c>
      <c r="E4911" s="79" t="str">
        <f>LEFT("422626194209236714",19)</f>
        <v>422626194209236714</v>
      </c>
      <c r="F4911" s="13" t="s">
        <v>11</v>
      </c>
    </row>
    <row r="4912" ht="18" customHeight="1" spans="1:6">
      <c r="A4912" s="13" t="s">
        <v>9220</v>
      </c>
      <c r="B4912" s="5" t="s">
        <v>9500</v>
      </c>
      <c r="C4912" s="8" t="s">
        <v>9513</v>
      </c>
      <c r="D4912" s="5">
        <v>4</v>
      </c>
      <c r="E4912" s="8" t="s">
        <v>9514</v>
      </c>
      <c r="F4912" s="13" t="s">
        <v>11</v>
      </c>
    </row>
    <row r="4913" ht="18" customHeight="1" spans="1:6">
      <c r="A4913" s="13" t="s">
        <v>9220</v>
      </c>
      <c r="B4913" s="5" t="s">
        <v>9500</v>
      </c>
      <c r="C4913" s="8" t="s">
        <v>9515</v>
      </c>
      <c r="D4913" s="5">
        <v>3</v>
      </c>
      <c r="E4913" s="194" t="s">
        <v>9516</v>
      </c>
      <c r="F4913" s="13" t="s">
        <v>11</v>
      </c>
    </row>
    <row r="4914" ht="18" customHeight="1" spans="1:6">
      <c r="A4914" s="13" t="s">
        <v>9220</v>
      </c>
      <c r="B4914" s="5" t="s">
        <v>9500</v>
      </c>
      <c r="C4914" s="5" t="s">
        <v>9517</v>
      </c>
      <c r="D4914" s="5">
        <v>4</v>
      </c>
      <c r="E4914" s="79" t="str">
        <f>LEFT("420325198105176714",19)</f>
        <v>420325198105176714</v>
      </c>
      <c r="F4914" s="13" t="s">
        <v>11</v>
      </c>
    </row>
    <row r="4915" ht="18" customHeight="1" spans="1:6">
      <c r="A4915" s="13" t="s">
        <v>9220</v>
      </c>
      <c r="B4915" s="5" t="s">
        <v>9500</v>
      </c>
      <c r="C4915" s="5" t="s">
        <v>9518</v>
      </c>
      <c r="D4915" s="5">
        <v>2</v>
      </c>
      <c r="E4915" s="178" t="s">
        <v>9519</v>
      </c>
      <c r="F4915" s="13" t="s">
        <v>11</v>
      </c>
    </row>
    <row r="4916" ht="18" customHeight="1" spans="1:6">
      <c r="A4916" s="13" t="s">
        <v>9220</v>
      </c>
      <c r="B4916" s="5" t="s">
        <v>9500</v>
      </c>
      <c r="C4916" s="8" t="s">
        <v>9520</v>
      </c>
      <c r="D4916" s="6">
        <v>3</v>
      </c>
      <c r="E4916" s="8" t="s">
        <v>9521</v>
      </c>
      <c r="F4916" s="13" t="s">
        <v>11</v>
      </c>
    </row>
    <row r="4917" ht="18" customHeight="1" spans="1:6">
      <c r="A4917" s="13" t="s">
        <v>9220</v>
      </c>
      <c r="B4917" s="5" t="s">
        <v>9500</v>
      </c>
      <c r="C4917" s="6" t="s">
        <v>9522</v>
      </c>
      <c r="D4917" s="6">
        <v>3</v>
      </c>
      <c r="E4917" s="79" t="str">
        <f>LEFT("422626195406156734",19)</f>
        <v>422626195406156734</v>
      </c>
      <c r="F4917" s="13" t="s">
        <v>11</v>
      </c>
    </row>
    <row r="4918" ht="18" customHeight="1" spans="1:6">
      <c r="A4918" s="13" t="s">
        <v>9220</v>
      </c>
      <c r="B4918" s="5" t="s">
        <v>9500</v>
      </c>
      <c r="C4918" s="6" t="s">
        <v>9523</v>
      </c>
      <c r="D4918" s="6">
        <v>5</v>
      </c>
      <c r="E4918" s="79" t="str">
        <f>LEFT("422626195707056710",19)</f>
        <v>422626195707056710</v>
      </c>
      <c r="F4918" s="13" t="s">
        <v>11</v>
      </c>
    </row>
    <row r="4919" ht="18" customHeight="1" spans="1:6">
      <c r="A4919" s="13" t="s">
        <v>9220</v>
      </c>
      <c r="B4919" s="5" t="s">
        <v>9500</v>
      </c>
      <c r="C4919" s="8" t="s">
        <v>9524</v>
      </c>
      <c r="D4919" s="5">
        <v>3</v>
      </c>
      <c r="E4919" s="8" t="s">
        <v>9525</v>
      </c>
      <c r="F4919" s="13" t="s">
        <v>11</v>
      </c>
    </row>
    <row r="4920" ht="18" customHeight="1" spans="1:6">
      <c r="A4920" s="13" t="s">
        <v>9220</v>
      </c>
      <c r="B4920" s="5" t="s">
        <v>9500</v>
      </c>
      <c r="C4920" s="6" t="s">
        <v>9526</v>
      </c>
      <c r="D4920" s="6">
        <v>3</v>
      </c>
      <c r="E4920" s="79" t="str">
        <f>LEFT("422626195808226715",19)</f>
        <v>422626195808226715</v>
      </c>
      <c r="F4920" s="13" t="s">
        <v>11</v>
      </c>
    </row>
    <row r="4921" ht="18" customHeight="1" spans="1:6">
      <c r="A4921" s="13" t="s">
        <v>9220</v>
      </c>
      <c r="B4921" s="5" t="s">
        <v>9500</v>
      </c>
      <c r="C4921" s="8" t="s">
        <v>9527</v>
      </c>
      <c r="D4921" s="6">
        <v>4</v>
      </c>
      <c r="E4921" s="8" t="s">
        <v>9528</v>
      </c>
      <c r="F4921" s="13" t="s">
        <v>11</v>
      </c>
    </row>
    <row r="4922" ht="18" customHeight="1" spans="1:6">
      <c r="A4922" s="13" t="s">
        <v>9220</v>
      </c>
      <c r="B4922" s="5" t="s">
        <v>9500</v>
      </c>
      <c r="C4922" s="8" t="s">
        <v>9529</v>
      </c>
      <c r="D4922" s="6">
        <v>2</v>
      </c>
      <c r="E4922" s="8" t="s">
        <v>9530</v>
      </c>
      <c r="F4922" s="13" t="s">
        <v>11</v>
      </c>
    </row>
    <row r="4923" ht="18" customHeight="1" spans="1:6">
      <c r="A4923" s="13" t="s">
        <v>9220</v>
      </c>
      <c r="B4923" s="5" t="s">
        <v>9500</v>
      </c>
      <c r="C4923" s="8" t="s">
        <v>9531</v>
      </c>
      <c r="D4923" s="6">
        <v>5</v>
      </c>
      <c r="E4923" s="8" t="s">
        <v>9532</v>
      </c>
      <c r="F4923" s="13" t="s">
        <v>11</v>
      </c>
    </row>
    <row r="4924" ht="18" customHeight="1" spans="1:6">
      <c r="A4924" s="13" t="s">
        <v>9220</v>
      </c>
      <c r="B4924" s="5" t="s">
        <v>9500</v>
      </c>
      <c r="C4924" s="8" t="s">
        <v>9533</v>
      </c>
      <c r="D4924" s="6">
        <v>4</v>
      </c>
      <c r="E4924" s="8" t="s">
        <v>9534</v>
      </c>
      <c r="F4924" s="13" t="s">
        <v>11</v>
      </c>
    </row>
    <row r="4925" ht="18" customHeight="1" spans="1:6">
      <c r="A4925" s="13" t="s">
        <v>9220</v>
      </c>
      <c r="B4925" s="5" t="s">
        <v>9500</v>
      </c>
      <c r="C4925" s="8" t="s">
        <v>9535</v>
      </c>
      <c r="D4925" s="6">
        <v>2</v>
      </c>
      <c r="E4925" s="8" t="s">
        <v>9536</v>
      </c>
      <c r="F4925" s="13" t="s">
        <v>11</v>
      </c>
    </row>
    <row r="4926" ht="18" customHeight="1" spans="1:6">
      <c r="A4926" s="13" t="s">
        <v>9220</v>
      </c>
      <c r="B4926" s="5" t="s">
        <v>9500</v>
      </c>
      <c r="C4926" s="8" t="s">
        <v>9537</v>
      </c>
      <c r="D4926" s="6">
        <v>2</v>
      </c>
      <c r="E4926" s="8" t="s">
        <v>9538</v>
      </c>
      <c r="F4926" s="13" t="s">
        <v>11</v>
      </c>
    </row>
    <row r="4927" ht="18" customHeight="1" spans="1:6">
      <c r="A4927" s="13" t="s">
        <v>9220</v>
      </c>
      <c r="B4927" s="5" t="s">
        <v>9500</v>
      </c>
      <c r="C4927" s="8" t="s">
        <v>9539</v>
      </c>
      <c r="D4927" s="6">
        <v>1</v>
      </c>
      <c r="E4927" s="8" t="s">
        <v>9540</v>
      </c>
      <c r="F4927" s="13" t="s">
        <v>11</v>
      </c>
    </row>
    <row r="4928" ht="18" customHeight="1" spans="1:6">
      <c r="A4928" s="13" t="s">
        <v>9220</v>
      </c>
      <c r="B4928" s="5" t="s">
        <v>9500</v>
      </c>
      <c r="C4928" s="8" t="s">
        <v>5715</v>
      </c>
      <c r="D4928" s="6">
        <v>2</v>
      </c>
      <c r="E4928" s="8" t="s">
        <v>9541</v>
      </c>
      <c r="F4928" s="13" t="s">
        <v>11</v>
      </c>
    </row>
    <row r="4929" ht="18" customHeight="1" spans="1:6">
      <c r="A4929" s="13" t="s">
        <v>9220</v>
      </c>
      <c r="B4929" s="5" t="s">
        <v>9500</v>
      </c>
      <c r="C4929" s="6" t="s">
        <v>9542</v>
      </c>
      <c r="D4929" s="6">
        <v>4</v>
      </c>
      <c r="E4929" s="79" t="str">
        <f>LEFT("422626196104306711",19)</f>
        <v>422626196104306711</v>
      </c>
      <c r="F4929" s="13" t="s">
        <v>11</v>
      </c>
    </row>
    <row r="4930" ht="18" customHeight="1" spans="1:6">
      <c r="A4930" s="13" t="s">
        <v>9220</v>
      </c>
      <c r="B4930" s="5" t="s">
        <v>9500</v>
      </c>
      <c r="C4930" s="6" t="s">
        <v>9543</v>
      </c>
      <c r="D4930" s="6">
        <v>5</v>
      </c>
      <c r="E4930" s="79" t="str">
        <f>LEFT("422626195702146717",19)</f>
        <v>422626195702146717</v>
      </c>
      <c r="F4930" s="13" t="s">
        <v>11</v>
      </c>
    </row>
    <row r="4931" ht="18" customHeight="1" spans="1:6">
      <c r="A4931" s="13" t="s">
        <v>9220</v>
      </c>
      <c r="B4931" s="5" t="s">
        <v>9500</v>
      </c>
      <c r="C4931" s="8" t="s">
        <v>9544</v>
      </c>
      <c r="D4931" s="6">
        <v>1</v>
      </c>
      <c r="E4931" s="8" t="s">
        <v>9545</v>
      </c>
      <c r="F4931" s="13" t="s">
        <v>11</v>
      </c>
    </row>
    <row r="4932" ht="18" customHeight="1" spans="1:6">
      <c r="A4932" s="13" t="s">
        <v>9220</v>
      </c>
      <c r="B4932" s="5" t="s">
        <v>9500</v>
      </c>
      <c r="C4932" s="8" t="s">
        <v>9546</v>
      </c>
      <c r="D4932" s="6">
        <v>4</v>
      </c>
      <c r="E4932" s="8" t="s">
        <v>9547</v>
      </c>
      <c r="F4932" s="13" t="s">
        <v>11</v>
      </c>
    </row>
    <row r="4933" ht="18" customHeight="1" spans="1:6">
      <c r="A4933" s="13" t="s">
        <v>9220</v>
      </c>
      <c r="B4933" s="5" t="s">
        <v>9500</v>
      </c>
      <c r="C4933" s="6" t="s">
        <v>9548</v>
      </c>
      <c r="D4933" s="6">
        <v>3</v>
      </c>
      <c r="E4933" s="79" t="str">
        <f>LEFT("42262619641129671X",19)</f>
        <v>42262619641129671X</v>
      </c>
      <c r="F4933" s="13" t="s">
        <v>11</v>
      </c>
    </row>
    <row r="4934" ht="18" customHeight="1" spans="1:6">
      <c r="A4934" s="13" t="s">
        <v>9220</v>
      </c>
      <c r="B4934" s="5" t="s">
        <v>9500</v>
      </c>
      <c r="C4934" s="6" t="s">
        <v>9549</v>
      </c>
      <c r="D4934" s="6">
        <v>2</v>
      </c>
      <c r="E4934" s="79" t="str">
        <f>LEFT("422626196102106716",19)</f>
        <v>422626196102106716</v>
      </c>
      <c r="F4934" s="13" t="s">
        <v>11</v>
      </c>
    </row>
    <row r="4935" ht="18" customHeight="1" spans="1:6">
      <c r="A4935" s="13" t="s">
        <v>9220</v>
      </c>
      <c r="B4935" s="5" t="s">
        <v>9500</v>
      </c>
      <c r="C4935" s="5" t="s">
        <v>9550</v>
      </c>
      <c r="D4935" s="5">
        <v>3</v>
      </c>
      <c r="E4935" s="79" t="str">
        <f>LEFT("422626196604026716",19)</f>
        <v>422626196604026716</v>
      </c>
      <c r="F4935" s="13" t="s">
        <v>11</v>
      </c>
    </row>
    <row r="4936" ht="18" customHeight="1" spans="1:6">
      <c r="A4936" s="13" t="s">
        <v>9220</v>
      </c>
      <c r="B4936" s="5" t="s">
        <v>9500</v>
      </c>
      <c r="C4936" s="5" t="s">
        <v>9551</v>
      </c>
      <c r="D4936" s="5">
        <v>3</v>
      </c>
      <c r="E4936" s="79" t="str">
        <f>LEFT("420325198009066718",19)</f>
        <v>420325198009066718</v>
      </c>
      <c r="F4936" s="13" t="s">
        <v>11</v>
      </c>
    </row>
    <row r="4937" ht="18" customHeight="1" spans="1:6">
      <c r="A4937" s="13" t="s">
        <v>9220</v>
      </c>
      <c r="B4937" s="5" t="s">
        <v>9500</v>
      </c>
      <c r="C4937" s="5" t="s">
        <v>9552</v>
      </c>
      <c r="D4937" s="5">
        <v>3</v>
      </c>
      <c r="E4937" s="79" t="str">
        <f>LEFT("422626196609246718",19)</f>
        <v>422626196609246718</v>
      </c>
      <c r="F4937" s="13" t="s">
        <v>11</v>
      </c>
    </row>
    <row r="4938" ht="18" customHeight="1" spans="1:6">
      <c r="A4938" s="13" t="s">
        <v>9220</v>
      </c>
      <c r="B4938" s="5" t="s">
        <v>9500</v>
      </c>
      <c r="C4938" s="5" t="s">
        <v>9553</v>
      </c>
      <c r="D4938" s="5">
        <v>2</v>
      </c>
      <c r="E4938" s="79" t="str">
        <f>LEFT("422626196205046728",19)</f>
        <v>422626196205046728</v>
      </c>
      <c r="F4938" s="13" t="s">
        <v>11</v>
      </c>
    </row>
    <row r="4939" ht="18" customHeight="1" spans="1:6">
      <c r="A4939" s="13" t="s">
        <v>9220</v>
      </c>
      <c r="B4939" s="5" t="s">
        <v>9500</v>
      </c>
      <c r="C4939" s="5" t="s">
        <v>9554</v>
      </c>
      <c r="D4939" s="5">
        <v>3</v>
      </c>
      <c r="E4939" s="79" t="str">
        <f>LEFT("420325198201186728",19)</f>
        <v>420325198201186728</v>
      </c>
      <c r="F4939" s="13" t="s">
        <v>11</v>
      </c>
    </row>
    <row r="4940" ht="18" customHeight="1" spans="1:6">
      <c r="A4940" s="13" t="s">
        <v>9220</v>
      </c>
      <c r="B4940" s="5" t="s">
        <v>9500</v>
      </c>
      <c r="C4940" s="5" t="s">
        <v>9555</v>
      </c>
      <c r="D4940" s="5">
        <v>4</v>
      </c>
      <c r="E4940" s="79" t="str">
        <f>LEFT("422626195312256718",19)</f>
        <v>422626195312256718</v>
      </c>
      <c r="F4940" s="13" t="s">
        <v>11</v>
      </c>
    </row>
    <row r="4941" ht="18" customHeight="1" spans="1:6">
      <c r="A4941" s="13" t="s">
        <v>9220</v>
      </c>
      <c r="B4941" s="5" t="s">
        <v>9500</v>
      </c>
      <c r="C4941" s="5" t="s">
        <v>9556</v>
      </c>
      <c r="D4941" s="5">
        <v>4</v>
      </c>
      <c r="E4941" s="79" t="str">
        <f>LEFT("420325197708016715",19)</f>
        <v>420325197708016715</v>
      </c>
      <c r="F4941" s="13" t="s">
        <v>11</v>
      </c>
    </row>
    <row r="4942" ht="18" customHeight="1" spans="1:6">
      <c r="A4942" s="13" t="s">
        <v>9220</v>
      </c>
      <c r="B4942" s="5" t="s">
        <v>9500</v>
      </c>
      <c r="C4942" s="5" t="s">
        <v>9557</v>
      </c>
      <c r="D4942" s="5">
        <v>6</v>
      </c>
      <c r="E4942" s="79" t="str">
        <f>LEFT("422626194702226712",19)</f>
        <v>422626194702226712</v>
      </c>
      <c r="F4942" s="13" t="s">
        <v>11</v>
      </c>
    </row>
    <row r="4943" ht="18" customHeight="1" spans="1:6">
      <c r="A4943" s="13" t="s">
        <v>9220</v>
      </c>
      <c r="B4943" s="5" t="s">
        <v>9500</v>
      </c>
      <c r="C4943" s="5" t="s">
        <v>9558</v>
      </c>
      <c r="D4943" s="5">
        <v>4</v>
      </c>
      <c r="E4943" s="79" t="str">
        <f>LEFT("422626196105296711",19)</f>
        <v>422626196105296711</v>
      </c>
      <c r="F4943" s="13" t="s">
        <v>11</v>
      </c>
    </row>
    <row r="4944" ht="18" customHeight="1" spans="1:6">
      <c r="A4944" s="13" t="s">
        <v>9220</v>
      </c>
      <c r="B4944" s="5" t="s">
        <v>9500</v>
      </c>
      <c r="C4944" s="5" t="s">
        <v>9559</v>
      </c>
      <c r="D4944" s="5">
        <v>3</v>
      </c>
      <c r="E4944" s="79" t="str">
        <f>LEFT("422626196506106712",19)</f>
        <v>422626196506106712</v>
      </c>
      <c r="F4944" s="13" t="s">
        <v>11</v>
      </c>
    </row>
    <row r="4945" ht="18" customHeight="1" spans="1:6">
      <c r="A4945" s="13" t="s">
        <v>9220</v>
      </c>
      <c r="B4945" s="5" t="s">
        <v>9500</v>
      </c>
      <c r="C4945" s="8" t="s">
        <v>9560</v>
      </c>
      <c r="D4945" s="5">
        <v>2</v>
      </c>
      <c r="E4945" s="8" t="s">
        <v>9561</v>
      </c>
      <c r="F4945" s="13" t="s">
        <v>11</v>
      </c>
    </row>
    <row r="4946" ht="18" customHeight="1" spans="1:6">
      <c r="A4946" s="13" t="s">
        <v>9220</v>
      </c>
      <c r="B4946" s="5" t="s">
        <v>9500</v>
      </c>
      <c r="C4946" s="5" t="s">
        <v>9562</v>
      </c>
      <c r="D4946" s="5">
        <v>1</v>
      </c>
      <c r="E4946" s="79" t="str">
        <f>LEFT("422626194906196711",19)</f>
        <v>422626194906196711</v>
      </c>
      <c r="F4946" s="13" t="s">
        <v>11</v>
      </c>
    </row>
    <row r="4947" ht="18" customHeight="1" spans="1:6">
      <c r="A4947" s="13" t="s">
        <v>9220</v>
      </c>
      <c r="B4947" s="5" t="s">
        <v>9500</v>
      </c>
      <c r="C4947" s="8" t="s">
        <v>9563</v>
      </c>
      <c r="D4947" s="5">
        <v>4</v>
      </c>
      <c r="E4947" s="8" t="s">
        <v>9564</v>
      </c>
      <c r="F4947" s="13" t="s">
        <v>11</v>
      </c>
    </row>
    <row r="4948" ht="18" customHeight="1" spans="1:6">
      <c r="A4948" s="13" t="s">
        <v>9220</v>
      </c>
      <c r="B4948" s="5" t="s">
        <v>9500</v>
      </c>
      <c r="C4948" s="5" t="s">
        <v>9565</v>
      </c>
      <c r="D4948" s="5">
        <v>1</v>
      </c>
      <c r="E4948" s="79" t="str">
        <f>LEFT("42262619531210671X",19)</f>
        <v>42262619531210671X</v>
      </c>
      <c r="F4948" s="13" t="s">
        <v>11</v>
      </c>
    </row>
    <row r="4949" ht="18" customHeight="1" spans="1:6">
      <c r="A4949" s="13" t="s">
        <v>9220</v>
      </c>
      <c r="B4949" s="5" t="s">
        <v>9500</v>
      </c>
      <c r="C4949" s="6" t="s">
        <v>9566</v>
      </c>
      <c r="D4949" s="5">
        <v>2</v>
      </c>
      <c r="E4949" s="79" t="str">
        <f>LEFT("420325197104146746",19)</f>
        <v>420325197104146746</v>
      </c>
      <c r="F4949" s="13" t="s">
        <v>11</v>
      </c>
    </row>
    <row r="4950" ht="18" customHeight="1" spans="1:6">
      <c r="A4950" s="13" t="s">
        <v>9220</v>
      </c>
      <c r="B4950" s="5" t="s">
        <v>9500</v>
      </c>
      <c r="C4950" s="6" t="s">
        <v>9567</v>
      </c>
      <c r="D4950" s="5">
        <v>4</v>
      </c>
      <c r="E4950" s="79" t="str">
        <f>LEFT("422626195012026718",19)</f>
        <v>422626195012026718</v>
      </c>
      <c r="F4950" s="13" t="s">
        <v>11</v>
      </c>
    </row>
    <row r="4951" ht="18" customHeight="1" spans="1:6">
      <c r="A4951" s="13" t="s">
        <v>9220</v>
      </c>
      <c r="B4951" s="5" t="s">
        <v>9500</v>
      </c>
      <c r="C4951" s="5" t="s">
        <v>9568</v>
      </c>
      <c r="D4951" s="5">
        <v>3</v>
      </c>
      <c r="E4951" s="79" t="str">
        <f>LEFT("420325197302226739",19)</f>
        <v>420325197302226739</v>
      </c>
      <c r="F4951" s="13" t="s">
        <v>11</v>
      </c>
    </row>
    <row r="4952" ht="18" customHeight="1" spans="1:6">
      <c r="A4952" s="13" t="s">
        <v>9220</v>
      </c>
      <c r="B4952" s="5" t="s">
        <v>9500</v>
      </c>
      <c r="C4952" s="6" t="s">
        <v>9569</v>
      </c>
      <c r="D4952" s="6">
        <v>3</v>
      </c>
      <c r="E4952" s="79" t="str">
        <f>LEFT("422626195807076735",19)</f>
        <v>422626195807076735</v>
      </c>
      <c r="F4952" s="13" t="s">
        <v>11</v>
      </c>
    </row>
    <row r="4953" ht="18" customHeight="1" spans="1:6">
      <c r="A4953" s="13" t="s">
        <v>9220</v>
      </c>
      <c r="B4953" s="5" t="s">
        <v>9500</v>
      </c>
      <c r="C4953" s="5" t="s">
        <v>9570</v>
      </c>
      <c r="D4953" s="5">
        <v>3</v>
      </c>
      <c r="E4953" s="79" t="str">
        <f>LEFT("422626195501186712",19)</f>
        <v>422626195501186712</v>
      </c>
      <c r="F4953" s="13" t="s">
        <v>11</v>
      </c>
    </row>
    <row r="4954" ht="18" customHeight="1" spans="1:6">
      <c r="A4954" s="13" t="s">
        <v>9220</v>
      </c>
      <c r="B4954" s="5" t="s">
        <v>9500</v>
      </c>
      <c r="C4954" s="5" t="s">
        <v>9571</v>
      </c>
      <c r="D4954" s="5">
        <v>3</v>
      </c>
      <c r="E4954" s="79" t="str">
        <f>LEFT("422626196706126718",19)</f>
        <v>422626196706126718</v>
      </c>
      <c r="F4954" s="13" t="s">
        <v>11</v>
      </c>
    </row>
    <row r="4955" ht="18" customHeight="1" spans="1:6">
      <c r="A4955" s="13" t="s">
        <v>9220</v>
      </c>
      <c r="B4955" s="5" t="s">
        <v>9500</v>
      </c>
      <c r="C4955" s="5" t="s">
        <v>9572</v>
      </c>
      <c r="D4955" s="5">
        <v>5</v>
      </c>
      <c r="E4955" s="8" t="s">
        <v>9573</v>
      </c>
      <c r="F4955" s="13" t="s">
        <v>11</v>
      </c>
    </row>
    <row r="4956" ht="18" customHeight="1" spans="1:6">
      <c r="A4956" s="13" t="s">
        <v>9220</v>
      </c>
      <c r="B4956" s="5" t="s">
        <v>9500</v>
      </c>
      <c r="C4956" s="5" t="s">
        <v>9574</v>
      </c>
      <c r="D4956" s="5">
        <v>5</v>
      </c>
      <c r="E4956" s="79" t="str">
        <f>LEFT("422626196508086719",19)</f>
        <v>422626196508086719</v>
      </c>
      <c r="F4956" s="13" t="s">
        <v>11</v>
      </c>
    </row>
    <row r="4957" ht="18" customHeight="1" spans="1:6">
      <c r="A4957" s="13" t="s">
        <v>9220</v>
      </c>
      <c r="B4957" s="5" t="s">
        <v>9500</v>
      </c>
      <c r="C4957" s="5" t="s">
        <v>9575</v>
      </c>
      <c r="D4957" s="5">
        <v>3</v>
      </c>
      <c r="E4957" s="79" t="str">
        <f>LEFT("422626194905036716",19)</f>
        <v>422626194905036716</v>
      </c>
      <c r="F4957" s="13" t="s">
        <v>11</v>
      </c>
    </row>
    <row r="4958" ht="18" customHeight="1" spans="1:6">
      <c r="A4958" s="13" t="s">
        <v>9220</v>
      </c>
      <c r="B4958" s="5" t="s">
        <v>9500</v>
      </c>
      <c r="C4958" s="5" t="s">
        <v>9576</v>
      </c>
      <c r="D4958" s="5">
        <v>3</v>
      </c>
      <c r="E4958" s="79" t="str">
        <f>LEFT("422626194410236425",19)</f>
        <v>422626194410236425</v>
      </c>
      <c r="F4958" s="13" t="s">
        <v>11</v>
      </c>
    </row>
    <row r="4959" ht="18" customHeight="1" spans="1:6">
      <c r="A4959" s="13" t="s">
        <v>9220</v>
      </c>
      <c r="B4959" s="13" t="s">
        <v>4335</v>
      </c>
      <c r="C4959" s="13" t="s">
        <v>9577</v>
      </c>
      <c r="D4959" s="13">
        <v>3</v>
      </c>
      <c r="E4959" s="5" t="s">
        <v>9578</v>
      </c>
      <c r="F4959" s="13" t="s">
        <v>11</v>
      </c>
    </row>
    <row r="4960" ht="18" customHeight="1" spans="1:6">
      <c r="A4960" s="13" t="s">
        <v>9220</v>
      </c>
      <c r="B4960" s="13" t="s">
        <v>4335</v>
      </c>
      <c r="C4960" s="6" t="s">
        <v>9579</v>
      </c>
      <c r="D4960" s="13">
        <v>4</v>
      </c>
      <c r="E4960" s="5" t="s">
        <v>9580</v>
      </c>
      <c r="F4960" s="13" t="s">
        <v>11</v>
      </c>
    </row>
    <row r="4961" ht="18" customHeight="1" spans="1:6">
      <c r="A4961" s="13" t="s">
        <v>9220</v>
      </c>
      <c r="B4961" s="13" t="s">
        <v>4335</v>
      </c>
      <c r="C4961" s="6" t="s">
        <v>9581</v>
      </c>
      <c r="D4961" s="13">
        <v>3</v>
      </c>
      <c r="E4961" s="5" t="s">
        <v>9582</v>
      </c>
      <c r="F4961" s="13" t="s">
        <v>11</v>
      </c>
    </row>
    <row r="4962" ht="18" customHeight="1" spans="1:6">
      <c r="A4962" s="13" t="s">
        <v>9220</v>
      </c>
      <c r="B4962" s="13" t="s">
        <v>4335</v>
      </c>
      <c r="C4962" s="6" t="s">
        <v>9583</v>
      </c>
      <c r="D4962" s="13">
        <v>4</v>
      </c>
      <c r="E4962" s="5" t="s">
        <v>9584</v>
      </c>
      <c r="F4962" s="13" t="s">
        <v>11</v>
      </c>
    </row>
    <row r="4963" ht="18" customHeight="1" spans="1:6">
      <c r="A4963" s="13" t="s">
        <v>9220</v>
      </c>
      <c r="B4963" s="13" t="s">
        <v>4335</v>
      </c>
      <c r="C4963" s="6" t="s">
        <v>4814</v>
      </c>
      <c r="D4963" s="13">
        <v>1</v>
      </c>
      <c r="E4963" s="5" t="s">
        <v>9585</v>
      </c>
      <c r="F4963" s="13" t="s">
        <v>11</v>
      </c>
    </row>
    <row r="4964" ht="18" customHeight="1" spans="1:6">
      <c r="A4964" s="13" t="s">
        <v>9220</v>
      </c>
      <c r="B4964" s="13" t="s">
        <v>4335</v>
      </c>
      <c r="C4964" s="6" t="s">
        <v>9586</v>
      </c>
      <c r="D4964" s="13">
        <v>4</v>
      </c>
      <c r="E4964" s="5" t="s">
        <v>9587</v>
      </c>
      <c r="F4964" s="13" t="s">
        <v>11</v>
      </c>
    </row>
    <row r="4965" ht="18" customHeight="1" spans="1:6">
      <c r="A4965" s="13" t="s">
        <v>9220</v>
      </c>
      <c r="B4965" s="13" t="s">
        <v>4335</v>
      </c>
      <c r="C4965" s="6" t="s">
        <v>9588</v>
      </c>
      <c r="D4965" s="13">
        <v>4</v>
      </c>
      <c r="E4965" s="5" t="s">
        <v>9589</v>
      </c>
      <c r="F4965" s="13" t="s">
        <v>11</v>
      </c>
    </row>
    <row r="4966" ht="18" customHeight="1" spans="1:6">
      <c r="A4966" s="13" t="s">
        <v>9220</v>
      </c>
      <c r="B4966" s="13" t="s">
        <v>4335</v>
      </c>
      <c r="C4966" s="13" t="s">
        <v>9590</v>
      </c>
      <c r="D4966" s="13">
        <v>4</v>
      </c>
      <c r="E4966" s="14" t="s">
        <v>9591</v>
      </c>
      <c r="F4966" s="13" t="s">
        <v>11</v>
      </c>
    </row>
    <row r="4967" ht="18" customHeight="1" spans="1:6">
      <c r="A4967" s="13" t="s">
        <v>9220</v>
      </c>
      <c r="B4967" s="13" t="s">
        <v>4335</v>
      </c>
      <c r="C4967" s="13" t="s">
        <v>9592</v>
      </c>
      <c r="D4967" s="13">
        <v>4</v>
      </c>
      <c r="E4967" s="14" t="s">
        <v>9593</v>
      </c>
      <c r="F4967" s="13" t="s">
        <v>11</v>
      </c>
    </row>
    <row r="4968" ht="18" customHeight="1" spans="1:6">
      <c r="A4968" s="13" t="s">
        <v>9220</v>
      </c>
      <c r="B4968" s="13" t="s">
        <v>4335</v>
      </c>
      <c r="C4968" s="9" t="s">
        <v>9594</v>
      </c>
      <c r="D4968" s="9" t="s">
        <v>2043</v>
      </c>
      <c r="E4968" s="9" t="s">
        <v>9595</v>
      </c>
      <c r="F4968" s="13" t="s">
        <v>11</v>
      </c>
    </row>
    <row r="4969" ht="18" customHeight="1" spans="1:6">
      <c r="A4969" s="13" t="s">
        <v>9220</v>
      </c>
      <c r="B4969" s="13" t="s">
        <v>9596</v>
      </c>
      <c r="C4969" s="13" t="s">
        <v>9597</v>
      </c>
      <c r="D4969" s="13">
        <v>3</v>
      </c>
      <c r="E4969" s="179" t="s">
        <v>9598</v>
      </c>
      <c r="F4969" s="13" t="s">
        <v>11</v>
      </c>
    </row>
    <row r="4970" ht="18" customHeight="1" spans="1:6">
      <c r="A4970" s="13" t="s">
        <v>9220</v>
      </c>
      <c r="B4970" s="13" t="s">
        <v>9599</v>
      </c>
      <c r="C4970" s="13" t="s">
        <v>9600</v>
      </c>
      <c r="D4970" s="13">
        <v>1</v>
      </c>
      <c r="E4970" s="179" t="s">
        <v>9601</v>
      </c>
      <c r="F4970" s="13" t="s">
        <v>11</v>
      </c>
    </row>
    <row r="4971" ht="18" customHeight="1" spans="1:6">
      <c r="A4971" s="13" t="s">
        <v>9220</v>
      </c>
      <c r="B4971" s="13" t="s">
        <v>9602</v>
      </c>
      <c r="C4971" s="5" t="s">
        <v>9603</v>
      </c>
      <c r="D4971" s="13">
        <v>4</v>
      </c>
      <c r="E4971" s="5" t="str">
        <f>LEFT("422626196704266733",19)</f>
        <v>422626196704266733</v>
      </c>
      <c r="F4971" s="13" t="s">
        <v>11</v>
      </c>
    </row>
    <row r="4972" ht="18" customHeight="1" spans="1:6">
      <c r="A4972" s="13" t="s">
        <v>9220</v>
      </c>
      <c r="B4972" s="13" t="s">
        <v>9602</v>
      </c>
      <c r="C4972" s="5" t="s">
        <v>9604</v>
      </c>
      <c r="D4972" s="13">
        <v>3</v>
      </c>
      <c r="E4972" s="5" t="str">
        <f>LEFT("422626196104126710",19)</f>
        <v>422626196104126710</v>
      </c>
      <c r="F4972" s="13" t="s">
        <v>11</v>
      </c>
    </row>
    <row r="4973" ht="18" customHeight="1" spans="1:6">
      <c r="A4973" s="13" t="s">
        <v>9220</v>
      </c>
      <c r="B4973" s="13" t="s">
        <v>9605</v>
      </c>
      <c r="C4973" s="5" t="s">
        <v>2619</v>
      </c>
      <c r="D4973" s="13">
        <v>4</v>
      </c>
      <c r="E4973" s="5" t="str">
        <f>LEFT("422626197103316736",19)</f>
        <v>422626197103316736</v>
      </c>
      <c r="F4973" s="13" t="s">
        <v>11</v>
      </c>
    </row>
    <row r="4974" ht="18" customHeight="1" spans="1:6">
      <c r="A4974" s="13" t="s">
        <v>9220</v>
      </c>
      <c r="B4974" s="13" t="s">
        <v>9605</v>
      </c>
      <c r="C4974" s="5" t="s">
        <v>9577</v>
      </c>
      <c r="D4974" s="13">
        <v>2</v>
      </c>
      <c r="E4974" s="12" t="s">
        <v>9606</v>
      </c>
      <c r="F4974" s="13" t="s">
        <v>11</v>
      </c>
    </row>
    <row r="4975" ht="18" customHeight="1" spans="1:6">
      <c r="A4975" s="13" t="s">
        <v>9220</v>
      </c>
      <c r="B4975" s="13" t="s">
        <v>9599</v>
      </c>
      <c r="C4975" s="8" t="s">
        <v>9607</v>
      </c>
      <c r="D4975" s="13">
        <v>4</v>
      </c>
      <c r="E4975" s="8" t="s">
        <v>9608</v>
      </c>
      <c r="F4975" s="13" t="s">
        <v>11</v>
      </c>
    </row>
    <row r="4976" ht="18" customHeight="1" spans="1:6">
      <c r="A4976" s="13" t="s">
        <v>9220</v>
      </c>
      <c r="B4976" s="13" t="s">
        <v>9599</v>
      </c>
      <c r="C4976" s="8" t="s">
        <v>9609</v>
      </c>
      <c r="D4976" s="13">
        <v>3</v>
      </c>
      <c r="E4976" s="8" t="s">
        <v>9610</v>
      </c>
      <c r="F4976" s="13" t="s">
        <v>11</v>
      </c>
    </row>
    <row r="4977" ht="18" customHeight="1" spans="1:6">
      <c r="A4977" s="13" t="s">
        <v>9220</v>
      </c>
      <c r="B4977" s="13" t="s">
        <v>9599</v>
      </c>
      <c r="C4977" s="8" t="s">
        <v>9611</v>
      </c>
      <c r="D4977" s="13">
        <v>3</v>
      </c>
      <c r="E4977" s="8" t="s">
        <v>9612</v>
      </c>
      <c r="F4977" s="13" t="s">
        <v>11</v>
      </c>
    </row>
    <row r="4978" ht="18" customHeight="1" spans="1:6">
      <c r="A4978" s="13" t="s">
        <v>9220</v>
      </c>
      <c r="B4978" s="13" t="s">
        <v>9599</v>
      </c>
      <c r="C4978" s="9" t="s">
        <v>9613</v>
      </c>
      <c r="D4978" s="13">
        <v>2</v>
      </c>
      <c r="E4978" s="8" t="s">
        <v>9614</v>
      </c>
      <c r="F4978" s="13" t="s">
        <v>11</v>
      </c>
    </row>
    <row r="4979" ht="18" customHeight="1" spans="1:6">
      <c r="A4979" s="13" t="s">
        <v>9220</v>
      </c>
      <c r="B4979" s="13" t="s">
        <v>9602</v>
      </c>
      <c r="C4979" s="9" t="s">
        <v>9615</v>
      </c>
      <c r="D4979" s="13">
        <v>4</v>
      </c>
      <c r="E4979" s="8" t="s">
        <v>9616</v>
      </c>
      <c r="F4979" s="13" t="s">
        <v>11</v>
      </c>
    </row>
    <row r="4980" ht="18" customHeight="1" spans="1:6">
      <c r="A4980" s="13" t="s">
        <v>9220</v>
      </c>
      <c r="B4980" s="13" t="s">
        <v>9617</v>
      </c>
      <c r="C4980" s="13" t="s">
        <v>9618</v>
      </c>
      <c r="D4980" s="13">
        <v>2</v>
      </c>
      <c r="E4980" s="179" t="s">
        <v>9619</v>
      </c>
      <c r="F4980" s="13" t="s">
        <v>11</v>
      </c>
    </row>
    <row r="4981" ht="18" customHeight="1" spans="1:6">
      <c r="A4981" s="13" t="s">
        <v>9220</v>
      </c>
      <c r="B4981" s="13" t="s">
        <v>9617</v>
      </c>
      <c r="C4981" s="13" t="s">
        <v>9620</v>
      </c>
      <c r="D4981" s="13">
        <v>2</v>
      </c>
      <c r="E4981" s="179" t="s">
        <v>9621</v>
      </c>
      <c r="F4981" s="13" t="s">
        <v>11</v>
      </c>
    </row>
    <row r="4982" ht="18" customHeight="1" spans="1:6">
      <c r="A4982" s="13" t="s">
        <v>9220</v>
      </c>
      <c r="B4982" s="13" t="s">
        <v>9617</v>
      </c>
      <c r="C4982" s="5" t="s">
        <v>363</v>
      </c>
      <c r="D4982" s="13">
        <v>4</v>
      </c>
      <c r="E4982" s="178" t="s">
        <v>9622</v>
      </c>
      <c r="F4982" s="13" t="s">
        <v>11</v>
      </c>
    </row>
    <row r="4983" ht="18" customHeight="1" spans="1:6">
      <c r="A4983" s="13" t="s">
        <v>9220</v>
      </c>
      <c r="B4983" s="19" t="s">
        <v>9623</v>
      </c>
      <c r="C4983" s="9" t="s">
        <v>9624</v>
      </c>
      <c r="D4983" s="9">
        <v>5</v>
      </c>
      <c r="E4983" s="9" t="s">
        <v>9625</v>
      </c>
      <c r="F4983" s="13" t="s">
        <v>11</v>
      </c>
    </row>
    <row r="4984" ht="18" customHeight="1" spans="1:6">
      <c r="A4984" s="13" t="s">
        <v>9220</v>
      </c>
      <c r="B4984" s="19" t="s">
        <v>9623</v>
      </c>
      <c r="C4984" s="9" t="s">
        <v>9626</v>
      </c>
      <c r="D4984" s="9">
        <v>3</v>
      </c>
      <c r="E4984" s="198" t="s">
        <v>9627</v>
      </c>
      <c r="F4984" s="13" t="s">
        <v>11</v>
      </c>
    </row>
    <row r="4985" ht="18" customHeight="1" spans="1:6">
      <c r="A4985" s="13" t="s">
        <v>9220</v>
      </c>
      <c r="B4985" s="19" t="s">
        <v>9623</v>
      </c>
      <c r="C4985" s="9" t="s">
        <v>9628</v>
      </c>
      <c r="D4985" s="9">
        <v>5</v>
      </c>
      <c r="E4985" s="79" t="s">
        <v>9629</v>
      </c>
      <c r="F4985" s="13" t="s">
        <v>11</v>
      </c>
    </row>
    <row r="4986" ht="18" customHeight="1" spans="1:6">
      <c r="A4986" s="13" t="s">
        <v>9220</v>
      </c>
      <c r="B4986" s="19" t="s">
        <v>9623</v>
      </c>
      <c r="C4986" s="9" t="s">
        <v>9630</v>
      </c>
      <c r="D4986" s="9">
        <v>2</v>
      </c>
      <c r="E4986" s="79" t="s">
        <v>9631</v>
      </c>
      <c r="F4986" s="13" t="s">
        <v>11</v>
      </c>
    </row>
    <row r="4987" ht="18" customHeight="1" spans="1:6">
      <c r="A4987" s="13" t="s">
        <v>9220</v>
      </c>
      <c r="B4987" s="19" t="s">
        <v>9623</v>
      </c>
      <c r="C4987" s="9" t="s">
        <v>9632</v>
      </c>
      <c r="D4987" s="9">
        <v>4</v>
      </c>
      <c r="E4987" s="79" t="s">
        <v>9633</v>
      </c>
      <c r="F4987" s="13" t="s">
        <v>11</v>
      </c>
    </row>
    <row r="4988" ht="18" customHeight="1" spans="1:6">
      <c r="A4988" s="13" t="s">
        <v>9220</v>
      </c>
      <c r="B4988" s="19" t="s">
        <v>9623</v>
      </c>
      <c r="C4988" s="9" t="s">
        <v>9634</v>
      </c>
      <c r="D4988" s="9">
        <v>3</v>
      </c>
      <c r="E4988" s="79" t="s">
        <v>9635</v>
      </c>
      <c r="F4988" s="13" t="s">
        <v>11</v>
      </c>
    </row>
    <row r="4989" ht="18" customHeight="1" spans="1:6">
      <c r="A4989" s="13" t="s">
        <v>9220</v>
      </c>
      <c r="B4989" s="19" t="s">
        <v>9623</v>
      </c>
      <c r="C4989" s="9" t="s">
        <v>9636</v>
      </c>
      <c r="D4989" s="9">
        <v>3</v>
      </c>
      <c r="E4989" s="79" t="s">
        <v>9637</v>
      </c>
      <c r="F4989" s="13" t="s">
        <v>11</v>
      </c>
    </row>
    <row r="4990" ht="18" customHeight="1" spans="1:6">
      <c r="A4990" s="13" t="s">
        <v>9220</v>
      </c>
      <c r="B4990" s="19" t="s">
        <v>9623</v>
      </c>
      <c r="C4990" s="9" t="s">
        <v>9638</v>
      </c>
      <c r="D4990" s="9">
        <v>4</v>
      </c>
      <c r="E4990" s="79" t="s">
        <v>9639</v>
      </c>
      <c r="F4990" s="13" t="s">
        <v>11</v>
      </c>
    </row>
    <row r="4991" ht="18" customHeight="1" spans="1:6">
      <c r="A4991" s="13" t="s">
        <v>9220</v>
      </c>
      <c r="B4991" s="19" t="s">
        <v>9623</v>
      </c>
      <c r="C4991" s="9" t="s">
        <v>9640</v>
      </c>
      <c r="D4991" s="9">
        <v>4</v>
      </c>
      <c r="E4991" s="79" t="s">
        <v>9641</v>
      </c>
      <c r="F4991" s="13" t="s">
        <v>11</v>
      </c>
    </row>
    <row r="4992" ht="18" customHeight="1" spans="1:6">
      <c r="A4992" s="13" t="s">
        <v>9220</v>
      </c>
      <c r="B4992" s="19" t="s">
        <v>9623</v>
      </c>
      <c r="C4992" s="9" t="s">
        <v>9642</v>
      </c>
      <c r="D4992" s="9">
        <v>5</v>
      </c>
      <c r="E4992" s="79" t="s">
        <v>9643</v>
      </c>
      <c r="F4992" s="13" t="s">
        <v>11</v>
      </c>
    </row>
    <row r="4993" ht="18" customHeight="1" spans="1:6">
      <c r="A4993" s="13" t="s">
        <v>9220</v>
      </c>
      <c r="B4993" s="19" t="s">
        <v>9623</v>
      </c>
      <c r="C4993" s="9" t="s">
        <v>9644</v>
      </c>
      <c r="D4993" s="9">
        <v>2</v>
      </c>
      <c r="E4993" s="79" t="s">
        <v>9645</v>
      </c>
      <c r="F4993" s="13" t="s">
        <v>11</v>
      </c>
    </row>
    <row r="4994" ht="18" customHeight="1" spans="1:6">
      <c r="A4994" s="13" t="s">
        <v>9220</v>
      </c>
      <c r="B4994" s="19" t="s">
        <v>9623</v>
      </c>
      <c r="C4994" s="9" t="s">
        <v>9646</v>
      </c>
      <c r="D4994" s="5">
        <v>2</v>
      </c>
      <c r="E4994" s="79" t="str">
        <f>LEFT("422626197812066426",19)</f>
        <v>422626197812066426</v>
      </c>
      <c r="F4994" s="13" t="s">
        <v>11</v>
      </c>
    </row>
    <row r="4995" ht="18" customHeight="1" spans="1:6">
      <c r="A4995" s="13" t="s">
        <v>9220</v>
      </c>
      <c r="B4995" s="19" t="s">
        <v>9623</v>
      </c>
      <c r="C4995" s="9" t="s">
        <v>9647</v>
      </c>
      <c r="D4995" s="5">
        <v>2</v>
      </c>
      <c r="E4995" s="79" t="str">
        <f>LEFT("42262619621113672X",19)</f>
        <v>42262619621113672X</v>
      </c>
      <c r="F4995" s="13" t="s">
        <v>11</v>
      </c>
    </row>
    <row r="4996" ht="18" customHeight="1" spans="1:6">
      <c r="A4996" s="13" t="s">
        <v>9220</v>
      </c>
      <c r="B4996" s="19" t="s">
        <v>9623</v>
      </c>
      <c r="C4996" s="9" t="s">
        <v>9648</v>
      </c>
      <c r="D4996" s="5">
        <v>2</v>
      </c>
      <c r="E4996" s="79" t="str">
        <f>LEFT("422626196004306423",19)</f>
        <v>422626196004306423</v>
      </c>
      <c r="F4996" s="13" t="s">
        <v>11</v>
      </c>
    </row>
    <row r="4997" ht="18" customHeight="1" spans="1:6">
      <c r="A4997" s="13" t="s">
        <v>9220</v>
      </c>
      <c r="B4997" s="19" t="s">
        <v>9623</v>
      </c>
      <c r="C4997" s="9" t="s">
        <v>9649</v>
      </c>
      <c r="D4997" s="5">
        <v>5</v>
      </c>
      <c r="E4997" s="5" t="s">
        <v>9650</v>
      </c>
      <c r="F4997" s="13" t="s">
        <v>11</v>
      </c>
    </row>
    <row r="4998" ht="18" customHeight="1" spans="1:6">
      <c r="A4998" s="13" t="s">
        <v>9220</v>
      </c>
      <c r="B4998" s="19" t="s">
        <v>9623</v>
      </c>
      <c r="C4998" s="9" t="s">
        <v>9651</v>
      </c>
      <c r="D4998" s="5">
        <v>2</v>
      </c>
      <c r="E4998" s="5" t="s">
        <v>9652</v>
      </c>
      <c r="F4998" s="13" t="s">
        <v>11</v>
      </c>
    </row>
    <row r="4999" ht="18" customHeight="1" spans="1:6">
      <c r="A4999" s="13" t="s">
        <v>9220</v>
      </c>
      <c r="B4999" s="19" t="s">
        <v>9623</v>
      </c>
      <c r="C4999" s="9" t="s">
        <v>9653</v>
      </c>
      <c r="D4999" s="5">
        <v>1</v>
      </c>
      <c r="E4999" s="5" t="s">
        <v>9654</v>
      </c>
      <c r="F4999" s="13" t="s">
        <v>11</v>
      </c>
    </row>
    <row r="5000" ht="18" customHeight="1" spans="1:6">
      <c r="A5000" s="13" t="s">
        <v>9220</v>
      </c>
      <c r="B5000" s="19" t="s">
        <v>9623</v>
      </c>
      <c r="C5000" s="9" t="s">
        <v>667</v>
      </c>
      <c r="D5000" s="5">
        <v>1</v>
      </c>
      <c r="E5000" s="5" t="s">
        <v>9655</v>
      </c>
      <c r="F5000" s="13" t="s">
        <v>11</v>
      </c>
    </row>
    <row r="5001" ht="18" customHeight="1" spans="1:6">
      <c r="A5001" s="13" t="s">
        <v>9220</v>
      </c>
      <c r="B5001" s="5" t="s">
        <v>9656</v>
      </c>
      <c r="C5001" s="5" t="s">
        <v>9657</v>
      </c>
      <c r="D5001" s="5">
        <v>2</v>
      </c>
      <c r="E5001" s="12" t="s">
        <v>9658</v>
      </c>
      <c r="F5001" s="5" t="s">
        <v>11</v>
      </c>
    </row>
    <row r="5002" ht="18" customHeight="1" spans="1:6">
      <c r="A5002" s="13" t="s">
        <v>9220</v>
      </c>
      <c r="B5002" s="5" t="s">
        <v>9656</v>
      </c>
      <c r="C5002" s="5" t="s">
        <v>9659</v>
      </c>
      <c r="D5002" s="5">
        <v>4</v>
      </c>
      <c r="E5002" s="12" t="s">
        <v>9660</v>
      </c>
      <c r="F5002" s="5" t="s">
        <v>11</v>
      </c>
    </row>
    <row r="5003" ht="18" customHeight="1" spans="1:6">
      <c r="A5003" s="13" t="s">
        <v>9220</v>
      </c>
      <c r="B5003" s="5" t="s">
        <v>9656</v>
      </c>
      <c r="C5003" s="5" t="s">
        <v>9661</v>
      </c>
      <c r="D5003" s="5">
        <v>3</v>
      </c>
      <c r="E5003" s="12" t="s">
        <v>9662</v>
      </c>
      <c r="F5003" s="5" t="s">
        <v>11</v>
      </c>
    </row>
    <row r="5004" ht="18" customHeight="1" spans="1:6">
      <c r="A5004" s="13" t="s">
        <v>9220</v>
      </c>
      <c r="B5004" s="5" t="s">
        <v>9656</v>
      </c>
      <c r="C5004" s="5" t="s">
        <v>6101</v>
      </c>
      <c r="D5004" s="5">
        <v>4</v>
      </c>
      <c r="E5004" s="12" t="s">
        <v>9663</v>
      </c>
      <c r="F5004" s="5" t="s">
        <v>11</v>
      </c>
    </row>
    <row r="5005" ht="18" customHeight="1" spans="1:6">
      <c r="A5005" s="13" t="s">
        <v>9220</v>
      </c>
      <c r="B5005" s="5" t="s">
        <v>9656</v>
      </c>
      <c r="C5005" s="5" t="s">
        <v>9664</v>
      </c>
      <c r="D5005" s="5">
        <v>4</v>
      </c>
      <c r="E5005" s="12" t="s">
        <v>9665</v>
      </c>
      <c r="F5005" s="5" t="s">
        <v>11</v>
      </c>
    </row>
    <row r="5006" ht="18" customHeight="1" spans="1:6">
      <c r="A5006" s="13" t="s">
        <v>9220</v>
      </c>
      <c r="B5006" s="5" t="s">
        <v>9656</v>
      </c>
      <c r="C5006" s="5" t="s">
        <v>9666</v>
      </c>
      <c r="D5006" s="5">
        <v>3</v>
      </c>
      <c r="E5006" s="12" t="s">
        <v>9667</v>
      </c>
      <c r="F5006" s="5" t="s">
        <v>11</v>
      </c>
    </row>
    <row r="5007" ht="18" customHeight="1" spans="1:6">
      <c r="A5007" s="13" t="s">
        <v>9220</v>
      </c>
      <c r="B5007" s="5" t="s">
        <v>9656</v>
      </c>
      <c r="C5007" s="5" t="s">
        <v>9668</v>
      </c>
      <c r="D5007" s="5">
        <v>2</v>
      </c>
      <c r="E5007" s="12" t="s">
        <v>9669</v>
      </c>
      <c r="F5007" s="5" t="s">
        <v>11</v>
      </c>
    </row>
    <row r="5008" ht="18" customHeight="1" spans="1:6">
      <c r="A5008" s="13" t="s">
        <v>9220</v>
      </c>
      <c r="B5008" s="5" t="s">
        <v>9656</v>
      </c>
      <c r="C5008" s="5" t="s">
        <v>9670</v>
      </c>
      <c r="D5008" s="5">
        <v>3</v>
      </c>
      <c r="E5008" s="12" t="s">
        <v>9671</v>
      </c>
      <c r="F5008" s="5" t="s">
        <v>11</v>
      </c>
    </row>
    <row r="5009" ht="18" customHeight="1" spans="1:6">
      <c r="A5009" s="13" t="s">
        <v>9220</v>
      </c>
      <c r="B5009" s="5" t="s">
        <v>9656</v>
      </c>
      <c r="C5009" s="5" t="s">
        <v>9672</v>
      </c>
      <c r="D5009" s="5">
        <v>4</v>
      </c>
      <c r="E5009" s="12" t="s">
        <v>9673</v>
      </c>
      <c r="F5009" s="5" t="s">
        <v>11</v>
      </c>
    </row>
    <row r="5010" ht="18" customHeight="1" spans="1:6">
      <c r="A5010" s="13" t="s">
        <v>9220</v>
      </c>
      <c r="B5010" s="5" t="s">
        <v>9656</v>
      </c>
      <c r="C5010" s="5" t="s">
        <v>9674</v>
      </c>
      <c r="D5010" s="5">
        <v>3</v>
      </c>
      <c r="E5010" s="12" t="s">
        <v>9675</v>
      </c>
      <c r="F5010" s="5" t="s">
        <v>11</v>
      </c>
    </row>
    <row r="5011" ht="18" customHeight="1" spans="1:6">
      <c r="A5011" s="13" t="s">
        <v>9220</v>
      </c>
      <c r="B5011" s="5" t="s">
        <v>9656</v>
      </c>
      <c r="C5011" s="5" t="s">
        <v>9384</v>
      </c>
      <c r="D5011" s="5">
        <v>4</v>
      </c>
      <c r="E5011" s="12" t="s">
        <v>9676</v>
      </c>
      <c r="F5011" s="5" t="s">
        <v>11</v>
      </c>
    </row>
    <row r="5012" ht="18" customHeight="1" spans="1:6">
      <c r="A5012" s="13" t="s">
        <v>9220</v>
      </c>
      <c r="B5012" s="5" t="s">
        <v>9656</v>
      </c>
      <c r="C5012" s="5" t="s">
        <v>9677</v>
      </c>
      <c r="D5012" s="5">
        <v>2</v>
      </c>
      <c r="E5012" s="12" t="s">
        <v>9678</v>
      </c>
      <c r="F5012" s="5" t="s">
        <v>11</v>
      </c>
    </row>
    <row r="5013" ht="18" customHeight="1" spans="1:6">
      <c r="A5013" s="13" t="s">
        <v>9220</v>
      </c>
      <c r="B5013" s="5" t="s">
        <v>9656</v>
      </c>
      <c r="C5013" s="5" t="s">
        <v>9679</v>
      </c>
      <c r="D5013" s="5">
        <v>3</v>
      </c>
      <c r="E5013" s="12" t="s">
        <v>9680</v>
      </c>
      <c r="F5013" s="5" t="s">
        <v>11</v>
      </c>
    </row>
    <row r="5014" ht="18" customHeight="1" spans="1:6">
      <c r="A5014" s="13" t="s">
        <v>9220</v>
      </c>
      <c r="B5014" s="5" t="s">
        <v>9656</v>
      </c>
      <c r="C5014" s="5" t="s">
        <v>6733</v>
      </c>
      <c r="D5014" s="5">
        <v>4</v>
      </c>
      <c r="E5014" s="12" t="s">
        <v>9681</v>
      </c>
      <c r="F5014" s="5" t="s">
        <v>11</v>
      </c>
    </row>
    <row r="5015" ht="18" customHeight="1" spans="1:6">
      <c r="A5015" s="13" t="s">
        <v>9220</v>
      </c>
      <c r="B5015" s="5" t="s">
        <v>9656</v>
      </c>
      <c r="C5015" s="5" t="s">
        <v>9682</v>
      </c>
      <c r="D5015" s="5">
        <v>4</v>
      </c>
      <c r="E5015" s="12" t="s">
        <v>9683</v>
      </c>
      <c r="F5015" s="5" t="s">
        <v>11</v>
      </c>
    </row>
    <row r="5016" ht="18" customHeight="1" spans="1:6">
      <c r="A5016" s="13" t="s">
        <v>9220</v>
      </c>
      <c r="B5016" s="5" t="s">
        <v>9656</v>
      </c>
      <c r="C5016" s="5" t="s">
        <v>9684</v>
      </c>
      <c r="D5016" s="5">
        <v>3</v>
      </c>
      <c r="E5016" s="12" t="s">
        <v>9685</v>
      </c>
      <c r="F5016" s="5" t="s">
        <v>11</v>
      </c>
    </row>
    <row r="5017" ht="18" customHeight="1" spans="1:6">
      <c r="A5017" s="13" t="s">
        <v>9220</v>
      </c>
      <c r="B5017" s="5" t="s">
        <v>9656</v>
      </c>
      <c r="C5017" s="5" t="s">
        <v>9686</v>
      </c>
      <c r="D5017" s="5">
        <v>3</v>
      </c>
      <c r="E5017" s="12" t="s">
        <v>9687</v>
      </c>
      <c r="F5017" s="5" t="s">
        <v>11</v>
      </c>
    </row>
    <row r="5018" ht="18" customHeight="1" spans="1:6">
      <c r="A5018" s="13" t="s">
        <v>9220</v>
      </c>
      <c r="B5018" s="5" t="s">
        <v>9656</v>
      </c>
      <c r="C5018" s="5" t="s">
        <v>9688</v>
      </c>
      <c r="D5018" s="5">
        <v>4</v>
      </c>
      <c r="E5018" s="12" t="s">
        <v>9689</v>
      </c>
      <c r="F5018" s="5" t="s">
        <v>11</v>
      </c>
    </row>
    <row r="5019" ht="18" customHeight="1" spans="1:6">
      <c r="A5019" s="13" t="s">
        <v>9220</v>
      </c>
      <c r="B5019" s="5" t="s">
        <v>9656</v>
      </c>
      <c r="C5019" s="5" t="s">
        <v>9690</v>
      </c>
      <c r="D5019" s="5">
        <v>3</v>
      </c>
      <c r="E5019" s="12" t="s">
        <v>9691</v>
      </c>
      <c r="F5019" s="5" t="s">
        <v>11</v>
      </c>
    </row>
    <row r="5020" ht="18" customHeight="1" spans="1:6">
      <c r="A5020" s="13" t="s">
        <v>9220</v>
      </c>
      <c r="B5020" s="5" t="s">
        <v>9656</v>
      </c>
      <c r="C5020" s="5" t="s">
        <v>9692</v>
      </c>
      <c r="D5020" s="5">
        <v>3</v>
      </c>
      <c r="E5020" s="12" t="s">
        <v>9693</v>
      </c>
      <c r="F5020" s="5" t="s">
        <v>11</v>
      </c>
    </row>
    <row r="5021" ht="18" customHeight="1" spans="1:6">
      <c r="A5021" s="13" t="s">
        <v>9220</v>
      </c>
      <c r="B5021" s="5" t="s">
        <v>9656</v>
      </c>
      <c r="C5021" s="5" t="s">
        <v>9694</v>
      </c>
      <c r="D5021" s="5">
        <v>3</v>
      </c>
      <c r="E5021" s="12" t="s">
        <v>9695</v>
      </c>
      <c r="F5021" s="5" t="s">
        <v>11</v>
      </c>
    </row>
    <row r="5022" ht="18" customHeight="1" spans="1:6">
      <c r="A5022" s="13" t="s">
        <v>9220</v>
      </c>
      <c r="B5022" s="5" t="s">
        <v>9656</v>
      </c>
      <c r="C5022" s="5" t="s">
        <v>9696</v>
      </c>
      <c r="D5022" s="5">
        <v>2</v>
      </c>
      <c r="E5022" s="12" t="s">
        <v>9697</v>
      </c>
      <c r="F5022" s="5" t="s">
        <v>11</v>
      </c>
    </row>
    <row r="5023" ht="18" customHeight="1" spans="1:6">
      <c r="A5023" s="13" t="s">
        <v>9220</v>
      </c>
      <c r="B5023" s="5" t="s">
        <v>9656</v>
      </c>
      <c r="C5023" s="5" t="s">
        <v>9698</v>
      </c>
      <c r="D5023" s="5">
        <v>2</v>
      </c>
      <c r="E5023" s="12" t="s">
        <v>9699</v>
      </c>
      <c r="F5023" s="5" t="s">
        <v>11</v>
      </c>
    </row>
    <row r="5024" ht="18" customHeight="1" spans="1:6">
      <c r="A5024" s="13" t="s">
        <v>9220</v>
      </c>
      <c r="B5024" s="5" t="s">
        <v>9656</v>
      </c>
      <c r="C5024" s="5" t="s">
        <v>9700</v>
      </c>
      <c r="D5024" s="5">
        <v>2</v>
      </c>
      <c r="E5024" s="12" t="s">
        <v>9701</v>
      </c>
      <c r="F5024" s="5" t="s">
        <v>11</v>
      </c>
    </row>
    <row r="5025" ht="18" customHeight="1" spans="1:6">
      <c r="A5025" s="13" t="s">
        <v>9220</v>
      </c>
      <c r="B5025" s="5" t="s">
        <v>9656</v>
      </c>
      <c r="C5025" s="5" t="s">
        <v>9702</v>
      </c>
      <c r="D5025" s="5">
        <v>2</v>
      </c>
      <c r="E5025" s="12" t="s">
        <v>9703</v>
      </c>
      <c r="F5025" s="5" t="s">
        <v>11</v>
      </c>
    </row>
    <row r="5026" ht="18" customHeight="1" spans="1:6">
      <c r="A5026" s="13" t="s">
        <v>9220</v>
      </c>
      <c r="B5026" s="5" t="s">
        <v>9656</v>
      </c>
      <c r="C5026" s="5" t="s">
        <v>9704</v>
      </c>
      <c r="D5026" s="5">
        <v>3</v>
      </c>
      <c r="E5026" s="12" t="s">
        <v>9705</v>
      </c>
      <c r="F5026" s="5" t="s">
        <v>11</v>
      </c>
    </row>
    <row r="5027" ht="18" customHeight="1" spans="1:6">
      <c r="A5027" s="13" t="s">
        <v>9220</v>
      </c>
      <c r="B5027" s="5" t="s">
        <v>9656</v>
      </c>
      <c r="C5027" s="5" t="s">
        <v>9706</v>
      </c>
      <c r="D5027" s="5">
        <v>3</v>
      </c>
      <c r="E5027" s="12" t="s">
        <v>9707</v>
      </c>
      <c r="F5027" s="5" t="s">
        <v>11</v>
      </c>
    </row>
    <row r="5028" ht="18" customHeight="1" spans="1:6">
      <c r="A5028" s="13" t="s">
        <v>9220</v>
      </c>
      <c r="B5028" s="5" t="s">
        <v>9656</v>
      </c>
      <c r="C5028" s="5" t="s">
        <v>9708</v>
      </c>
      <c r="D5028" s="5">
        <v>5</v>
      </c>
      <c r="E5028" s="12" t="s">
        <v>9709</v>
      </c>
      <c r="F5028" s="5" t="s">
        <v>11</v>
      </c>
    </row>
    <row r="5029" ht="18" customHeight="1" spans="1:6">
      <c r="A5029" s="13" t="s">
        <v>9220</v>
      </c>
      <c r="B5029" s="5" t="s">
        <v>9656</v>
      </c>
      <c r="C5029" s="5" t="s">
        <v>9710</v>
      </c>
      <c r="D5029" s="5">
        <v>5</v>
      </c>
      <c r="E5029" s="12" t="s">
        <v>9711</v>
      </c>
      <c r="F5029" s="5" t="s">
        <v>11</v>
      </c>
    </row>
    <row r="5030" ht="18" customHeight="1" spans="1:6">
      <c r="A5030" s="13" t="s">
        <v>9220</v>
      </c>
      <c r="B5030" s="5" t="s">
        <v>9656</v>
      </c>
      <c r="C5030" s="5" t="s">
        <v>9712</v>
      </c>
      <c r="D5030" s="5">
        <v>3</v>
      </c>
      <c r="E5030" s="12" t="s">
        <v>9713</v>
      </c>
      <c r="F5030" s="5" t="s">
        <v>11</v>
      </c>
    </row>
    <row r="5031" ht="18" customHeight="1" spans="1:6">
      <c r="A5031" s="13" t="s">
        <v>9220</v>
      </c>
      <c r="B5031" s="5" t="s">
        <v>9656</v>
      </c>
      <c r="C5031" s="5" t="s">
        <v>9714</v>
      </c>
      <c r="D5031" s="5">
        <v>2</v>
      </c>
      <c r="E5031" s="12" t="s">
        <v>9715</v>
      </c>
      <c r="F5031" s="5" t="s">
        <v>11</v>
      </c>
    </row>
    <row r="5032" ht="18" customHeight="1" spans="1:6">
      <c r="A5032" s="13" t="s">
        <v>9220</v>
      </c>
      <c r="B5032" s="5" t="s">
        <v>9656</v>
      </c>
      <c r="C5032" s="5" t="s">
        <v>9716</v>
      </c>
      <c r="D5032" s="5">
        <v>2</v>
      </c>
      <c r="E5032" s="12" t="s">
        <v>9717</v>
      </c>
      <c r="F5032" s="5" t="s">
        <v>11</v>
      </c>
    </row>
    <row r="5033" ht="18" customHeight="1" spans="1:6">
      <c r="A5033" s="13" t="s">
        <v>9220</v>
      </c>
      <c r="B5033" s="5" t="s">
        <v>9656</v>
      </c>
      <c r="C5033" s="5" t="s">
        <v>9718</v>
      </c>
      <c r="D5033" s="5">
        <v>3</v>
      </c>
      <c r="E5033" s="12" t="s">
        <v>9719</v>
      </c>
      <c r="F5033" s="5" t="s">
        <v>11</v>
      </c>
    </row>
    <row r="5034" ht="18" customHeight="1" spans="1:6">
      <c r="A5034" s="13" t="s">
        <v>9220</v>
      </c>
      <c r="B5034" s="5" t="s">
        <v>9656</v>
      </c>
      <c r="C5034" s="5" t="s">
        <v>9720</v>
      </c>
      <c r="D5034" s="5">
        <v>3</v>
      </c>
      <c r="E5034" s="12" t="s">
        <v>9721</v>
      </c>
      <c r="F5034" s="5" t="s">
        <v>11</v>
      </c>
    </row>
    <row r="5035" ht="18" customHeight="1" spans="1:6">
      <c r="A5035" s="13" t="s">
        <v>9220</v>
      </c>
      <c r="B5035" s="5" t="s">
        <v>9656</v>
      </c>
      <c r="C5035" s="5" t="s">
        <v>9722</v>
      </c>
      <c r="D5035" s="5">
        <v>3</v>
      </c>
      <c r="E5035" s="12" t="s">
        <v>9723</v>
      </c>
      <c r="F5035" s="5" t="s">
        <v>11</v>
      </c>
    </row>
    <row r="5036" ht="18" customHeight="1" spans="1:6">
      <c r="A5036" s="13" t="s">
        <v>9220</v>
      </c>
      <c r="B5036" s="5" t="s">
        <v>9656</v>
      </c>
      <c r="C5036" s="5" t="s">
        <v>9724</v>
      </c>
      <c r="D5036" s="5">
        <v>5</v>
      </c>
      <c r="E5036" s="12" t="s">
        <v>9725</v>
      </c>
      <c r="F5036" s="5" t="s">
        <v>11</v>
      </c>
    </row>
    <row r="5037" ht="18" customHeight="1" spans="1:6">
      <c r="A5037" s="13" t="s">
        <v>9220</v>
      </c>
      <c r="B5037" s="5" t="s">
        <v>9656</v>
      </c>
      <c r="C5037" s="5" t="s">
        <v>1708</v>
      </c>
      <c r="D5037" s="5">
        <v>3</v>
      </c>
      <c r="E5037" s="12" t="s">
        <v>9726</v>
      </c>
      <c r="F5037" s="5" t="s">
        <v>11</v>
      </c>
    </row>
    <row r="5038" ht="18" customHeight="1" spans="1:6">
      <c r="A5038" s="13" t="s">
        <v>9220</v>
      </c>
      <c r="B5038" s="5" t="s">
        <v>9656</v>
      </c>
      <c r="C5038" s="5" t="s">
        <v>9727</v>
      </c>
      <c r="D5038" s="5">
        <v>4</v>
      </c>
      <c r="E5038" s="12" t="s">
        <v>9728</v>
      </c>
      <c r="F5038" s="5" t="s">
        <v>11</v>
      </c>
    </row>
    <row r="5039" ht="18" customHeight="1" spans="1:6">
      <c r="A5039" s="13" t="s">
        <v>9220</v>
      </c>
      <c r="B5039" s="5" t="s">
        <v>9656</v>
      </c>
      <c r="C5039" s="5" t="s">
        <v>9729</v>
      </c>
      <c r="D5039" s="5">
        <v>3</v>
      </c>
      <c r="E5039" s="12" t="s">
        <v>9730</v>
      </c>
      <c r="F5039" s="5" t="s">
        <v>11</v>
      </c>
    </row>
    <row r="5040" ht="18" customHeight="1" spans="1:6">
      <c r="A5040" s="13" t="s">
        <v>9220</v>
      </c>
      <c r="B5040" s="5" t="s">
        <v>9656</v>
      </c>
      <c r="C5040" s="5" t="s">
        <v>9731</v>
      </c>
      <c r="D5040" s="5">
        <v>3</v>
      </c>
      <c r="E5040" s="12" t="s">
        <v>9732</v>
      </c>
      <c r="F5040" s="5" t="s">
        <v>11</v>
      </c>
    </row>
    <row r="5041" ht="18" customHeight="1" spans="1:6">
      <c r="A5041" s="13" t="s">
        <v>9220</v>
      </c>
      <c r="B5041" s="5" t="s">
        <v>9656</v>
      </c>
      <c r="C5041" s="5" t="s">
        <v>9733</v>
      </c>
      <c r="D5041" s="5">
        <v>2</v>
      </c>
      <c r="E5041" s="12" t="s">
        <v>9734</v>
      </c>
      <c r="F5041" s="5" t="s">
        <v>11</v>
      </c>
    </row>
    <row r="5042" ht="18" customHeight="1" spans="1:6">
      <c r="A5042" s="13" t="s">
        <v>9220</v>
      </c>
      <c r="B5042" s="5" t="s">
        <v>9656</v>
      </c>
      <c r="C5042" s="5" t="s">
        <v>9735</v>
      </c>
      <c r="D5042" s="5">
        <v>4</v>
      </c>
      <c r="E5042" s="12" t="s">
        <v>9736</v>
      </c>
      <c r="F5042" s="5" t="s">
        <v>11</v>
      </c>
    </row>
    <row r="5043" ht="18" customHeight="1" spans="1:6">
      <c r="A5043" s="13" t="s">
        <v>9220</v>
      </c>
      <c r="B5043" s="5" t="s">
        <v>9656</v>
      </c>
      <c r="C5043" s="5" t="s">
        <v>9737</v>
      </c>
      <c r="D5043" s="5">
        <v>4</v>
      </c>
      <c r="E5043" s="12" t="s">
        <v>9738</v>
      </c>
      <c r="F5043" s="5" t="s">
        <v>11</v>
      </c>
    </row>
    <row r="5044" ht="18" customHeight="1" spans="1:6">
      <c r="A5044" s="13" t="s">
        <v>9220</v>
      </c>
      <c r="B5044" s="5" t="s">
        <v>9656</v>
      </c>
      <c r="C5044" s="5" t="s">
        <v>9739</v>
      </c>
      <c r="D5044" s="5">
        <v>1</v>
      </c>
      <c r="E5044" s="12" t="s">
        <v>9740</v>
      </c>
      <c r="F5044" s="13" t="s">
        <v>11</v>
      </c>
    </row>
    <row r="5045" ht="18" customHeight="1" spans="1:6">
      <c r="A5045" s="13" t="s">
        <v>9220</v>
      </c>
      <c r="B5045" s="5" t="s">
        <v>9656</v>
      </c>
      <c r="C5045" s="5" t="s">
        <v>9741</v>
      </c>
      <c r="D5045" s="5">
        <v>1</v>
      </c>
      <c r="E5045" s="12" t="s">
        <v>9742</v>
      </c>
      <c r="F5045" s="13" t="s">
        <v>11</v>
      </c>
    </row>
    <row r="5046" ht="18" customHeight="1" spans="1:6">
      <c r="A5046" s="13" t="s">
        <v>9220</v>
      </c>
      <c r="B5046" s="5" t="s">
        <v>9656</v>
      </c>
      <c r="C5046" s="5" t="s">
        <v>9743</v>
      </c>
      <c r="D5046" s="5">
        <v>1</v>
      </c>
      <c r="E5046" s="12" t="s">
        <v>9744</v>
      </c>
      <c r="F5046" s="13" t="s">
        <v>11</v>
      </c>
    </row>
    <row r="5047" ht="18" customHeight="1" spans="1:6">
      <c r="A5047" s="13" t="s">
        <v>9220</v>
      </c>
      <c r="B5047" s="5" t="s">
        <v>9656</v>
      </c>
      <c r="C5047" s="5" t="s">
        <v>9745</v>
      </c>
      <c r="D5047" s="5">
        <v>1</v>
      </c>
      <c r="E5047" s="12" t="s">
        <v>9746</v>
      </c>
      <c r="F5047" s="13" t="s">
        <v>11</v>
      </c>
    </row>
    <row r="5048" ht="18" customHeight="1" spans="1:6">
      <c r="A5048" s="13" t="s">
        <v>9220</v>
      </c>
      <c r="B5048" s="5" t="s">
        <v>9656</v>
      </c>
      <c r="C5048" s="5" t="s">
        <v>9747</v>
      </c>
      <c r="D5048" s="5">
        <v>1</v>
      </c>
      <c r="E5048" s="12" t="s">
        <v>9748</v>
      </c>
      <c r="F5048" s="13" t="s">
        <v>11</v>
      </c>
    </row>
    <row r="5049" ht="18" customHeight="1" spans="1:6">
      <c r="A5049" s="13" t="s">
        <v>9220</v>
      </c>
      <c r="B5049" s="5" t="s">
        <v>9656</v>
      </c>
      <c r="C5049" s="5" t="s">
        <v>9749</v>
      </c>
      <c r="D5049" s="5">
        <v>1</v>
      </c>
      <c r="E5049" s="12" t="s">
        <v>9750</v>
      </c>
      <c r="F5049" s="13" t="s">
        <v>11</v>
      </c>
    </row>
    <row r="5050" ht="18" customHeight="1" spans="1:6">
      <c r="A5050" s="13" t="s">
        <v>9220</v>
      </c>
      <c r="B5050" s="5" t="s">
        <v>9656</v>
      </c>
      <c r="C5050" s="5" t="s">
        <v>9751</v>
      </c>
      <c r="D5050" s="5">
        <v>1</v>
      </c>
      <c r="E5050" s="178" t="s">
        <v>9752</v>
      </c>
      <c r="F5050" s="13" t="s">
        <v>11</v>
      </c>
    </row>
    <row r="5051" ht="18" customHeight="1" spans="1:6">
      <c r="A5051" s="13" t="s">
        <v>9220</v>
      </c>
      <c r="B5051" s="5" t="s">
        <v>9656</v>
      </c>
      <c r="C5051" s="5" t="s">
        <v>9753</v>
      </c>
      <c r="D5051" s="5">
        <v>1</v>
      </c>
      <c r="E5051" s="178" t="s">
        <v>9754</v>
      </c>
      <c r="F5051" s="13" t="s">
        <v>11</v>
      </c>
    </row>
    <row r="5052" ht="18" customHeight="1" spans="1:6">
      <c r="A5052" s="13" t="s">
        <v>9220</v>
      </c>
      <c r="B5052" s="13" t="s">
        <v>9432</v>
      </c>
      <c r="C5052" s="13" t="s">
        <v>9755</v>
      </c>
      <c r="D5052" s="13">
        <v>4</v>
      </c>
      <c r="E5052" s="14" t="s">
        <v>9756</v>
      </c>
      <c r="F5052" s="13" t="s">
        <v>11</v>
      </c>
    </row>
    <row r="5053" ht="18" customHeight="1" spans="1:6">
      <c r="A5053" s="13" t="s">
        <v>9220</v>
      </c>
      <c r="B5053" s="13" t="s">
        <v>4335</v>
      </c>
      <c r="C5053" s="13" t="s">
        <v>9757</v>
      </c>
      <c r="D5053" s="13">
        <v>4</v>
      </c>
      <c r="E5053" s="14" t="s">
        <v>9758</v>
      </c>
      <c r="F5053" s="13" t="s">
        <v>11</v>
      </c>
    </row>
    <row r="5054" ht="18" customHeight="1" spans="1:6">
      <c r="A5054" s="13" t="s">
        <v>9220</v>
      </c>
      <c r="B5054" s="13" t="s">
        <v>9311</v>
      </c>
      <c r="C5054" s="13" t="s">
        <v>2504</v>
      </c>
      <c r="D5054" s="13">
        <v>3</v>
      </c>
      <c r="E5054" s="14" t="s">
        <v>9759</v>
      </c>
      <c r="F5054" s="13" t="s">
        <v>11</v>
      </c>
    </row>
    <row r="5055" ht="18" customHeight="1" spans="1:6">
      <c r="A5055" s="13" t="s">
        <v>9760</v>
      </c>
      <c r="B5055" s="13"/>
      <c r="C5055" s="13">
        <v>303</v>
      </c>
      <c r="D5055" s="13">
        <v>905</v>
      </c>
      <c r="E5055" s="13"/>
      <c r="F5055" s="13"/>
    </row>
    <row r="5056" ht="18" customHeight="1" spans="1:6">
      <c r="A5056" s="13" t="s">
        <v>9761</v>
      </c>
      <c r="B5056" s="5" t="s">
        <v>9762</v>
      </c>
      <c r="C5056" s="13" t="s">
        <v>9763</v>
      </c>
      <c r="D5056" s="13">
        <v>5</v>
      </c>
      <c r="E5056" s="47" t="s">
        <v>9764</v>
      </c>
      <c r="F5056" s="5" t="s">
        <v>11</v>
      </c>
    </row>
    <row r="5057" ht="18" customHeight="1" spans="1:6">
      <c r="A5057" s="13" t="s">
        <v>9761</v>
      </c>
      <c r="B5057" s="5" t="s">
        <v>9762</v>
      </c>
      <c r="C5057" s="13" t="s">
        <v>9765</v>
      </c>
      <c r="D5057" s="13">
        <v>4</v>
      </c>
      <c r="E5057" s="47" t="s">
        <v>9766</v>
      </c>
      <c r="F5057" s="5" t="s">
        <v>11</v>
      </c>
    </row>
    <row r="5058" ht="18" customHeight="1" spans="1:6">
      <c r="A5058" s="13" t="s">
        <v>9761</v>
      </c>
      <c r="B5058" s="5" t="s">
        <v>9767</v>
      </c>
      <c r="C5058" s="13" t="s">
        <v>1125</v>
      </c>
      <c r="D5058" s="5">
        <v>4</v>
      </c>
      <c r="E5058" s="5" t="s">
        <v>9768</v>
      </c>
      <c r="F5058" s="5" t="s">
        <v>11</v>
      </c>
    </row>
    <row r="5059" ht="18" customHeight="1" spans="1:6">
      <c r="A5059" s="13" t="s">
        <v>9761</v>
      </c>
      <c r="B5059" s="5" t="s">
        <v>9769</v>
      </c>
      <c r="C5059" s="13" t="s">
        <v>9770</v>
      </c>
      <c r="D5059" s="13">
        <v>1</v>
      </c>
      <c r="E5059" s="14" t="s">
        <v>9771</v>
      </c>
      <c r="F5059" s="5" t="s">
        <v>11</v>
      </c>
    </row>
    <row r="5060" ht="18" customHeight="1" spans="1:6">
      <c r="A5060" s="13" t="s">
        <v>9761</v>
      </c>
      <c r="B5060" s="5" t="s">
        <v>9762</v>
      </c>
      <c r="C5060" s="13" t="s">
        <v>9772</v>
      </c>
      <c r="D5060" s="5">
        <v>3</v>
      </c>
      <c r="E5060" s="14" t="s">
        <v>9773</v>
      </c>
      <c r="F5060" s="5" t="s">
        <v>11</v>
      </c>
    </row>
    <row r="5061" ht="18" customHeight="1" spans="1:6">
      <c r="A5061" s="13" t="s">
        <v>9761</v>
      </c>
      <c r="B5061" s="5" t="s">
        <v>9762</v>
      </c>
      <c r="C5061" s="13" t="s">
        <v>9774</v>
      </c>
      <c r="D5061" s="5">
        <v>2</v>
      </c>
      <c r="E5061" s="14" t="s">
        <v>9775</v>
      </c>
      <c r="F5061" s="5" t="s">
        <v>11</v>
      </c>
    </row>
    <row r="5062" ht="18" customHeight="1" spans="1:6">
      <c r="A5062" s="13" t="s">
        <v>9761</v>
      </c>
      <c r="B5062" s="5" t="s">
        <v>9762</v>
      </c>
      <c r="C5062" s="13" t="s">
        <v>8815</v>
      </c>
      <c r="D5062" s="5">
        <v>3</v>
      </c>
      <c r="E5062" s="14" t="s">
        <v>9776</v>
      </c>
      <c r="F5062" s="5" t="s">
        <v>11</v>
      </c>
    </row>
    <row r="5063" ht="18" customHeight="1" spans="1:6">
      <c r="A5063" s="13" t="s">
        <v>9761</v>
      </c>
      <c r="B5063" s="5" t="s">
        <v>9762</v>
      </c>
      <c r="C5063" s="13" t="s">
        <v>9777</v>
      </c>
      <c r="D5063" s="13">
        <v>3</v>
      </c>
      <c r="E5063" s="14" t="s">
        <v>9778</v>
      </c>
      <c r="F5063" s="5" t="s">
        <v>11</v>
      </c>
    </row>
    <row r="5064" ht="18" customHeight="1" spans="1:6">
      <c r="A5064" s="13" t="s">
        <v>9761</v>
      </c>
      <c r="B5064" s="5" t="s">
        <v>9762</v>
      </c>
      <c r="C5064" s="13" t="s">
        <v>8638</v>
      </c>
      <c r="D5064" s="13">
        <v>5</v>
      </c>
      <c r="E5064" s="8" t="s">
        <v>9779</v>
      </c>
      <c r="F5064" s="5" t="s">
        <v>11</v>
      </c>
    </row>
    <row r="5065" ht="18" customHeight="1" spans="1:6">
      <c r="A5065" s="13" t="s">
        <v>9761</v>
      </c>
      <c r="B5065" s="5" t="s">
        <v>9769</v>
      </c>
      <c r="C5065" s="13" t="s">
        <v>9780</v>
      </c>
      <c r="D5065" s="5">
        <v>4</v>
      </c>
      <c r="E5065" s="14" t="s">
        <v>9781</v>
      </c>
      <c r="F5065" s="5" t="s">
        <v>11</v>
      </c>
    </row>
    <row r="5066" ht="18" customHeight="1" spans="1:6">
      <c r="A5066" s="13" t="s">
        <v>9761</v>
      </c>
      <c r="B5066" s="5" t="s">
        <v>9782</v>
      </c>
      <c r="C5066" s="13" t="s">
        <v>9783</v>
      </c>
      <c r="D5066" s="13">
        <v>5</v>
      </c>
      <c r="E5066" s="13" t="s">
        <v>9784</v>
      </c>
      <c r="F5066" s="5" t="s">
        <v>11</v>
      </c>
    </row>
    <row r="5067" ht="18" customHeight="1" spans="1:6">
      <c r="A5067" s="13" t="s">
        <v>9761</v>
      </c>
      <c r="B5067" s="5" t="s">
        <v>9785</v>
      </c>
      <c r="C5067" s="13" t="s">
        <v>9786</v>
      </c>
      <c r="D5067" s="5">
        <v>4</v>
      </c>
      <c r="E5067" s="14" t="s">
        <v>9787</v>
      </c>
      <c r="F5067" s="5" t="s">
        <v>11</v>
      </c>
    </row>
    <row r="5068" ht="18" customHeight="1" spans="1:6">
      <c r="A5068" s="13" t="s">
        <v>9761</v>
      </c>
      <c r="B5068" s="5" t="s">
        <v>9785</v>
      </c>
      <c r="C5068" s="13" t="s">
        <v>9788</v>
      </c>
      <c r="D5068" s="5">
        <v>2</v>
      </c>
      <c r="E5068" s="14" t="s">
        <v>9789</v>
      </c>
      <c r="F5068" s="5" t="s">
        <v>11</v>
      </c>
    </row>
    <row r="5069" ht="18" customHeight="1" spans="1:6">
      <c r="A5069" s="13" t="s">
        <v>9761</v>
      </c>
      <c r="B5069" s="5" t="s">
        <v>9785</v>
      </c>
      <c r="C5069" s="13" t="s">
        <v>9790</v>
      </c>
      <c r="D5069" s="5">
        <v>4</v>
      </c>
      <c r="E5069" s="14" t="s">
        <v>9791</v>
      </c>
      <c r="F5069" s="5" t="s">
        <v>11</v>
      </c>
    </row>
    <row r="5070" ht="18" customHeight="1" spans="1:6">
      <c r="A5070" s="13" t="s">
        <v>9761</v>
      </c>
      <c r="B5070" s="5" t="s">
        <v>9785</v>
      </c>
      <c r="C5070" s="13" t="s">
        <v>9792</v>
      </c>
      <c r="D5070" s="5">
        <v>4</v>
      </c>
      <c r="E5070" s="14" t="s">
        <v>9793</v>
      </c>
      <c r="F5070" s="5" t="s">
        <v>11</v>
      </c>
    </row>
    <row r="5071" ht="18" customHeight="1" spans="1:6">
      <c r="A5071" s="13" t="s">
        <v>9761</v>
      </c>
      <c r="B5071" s="5" t="s">
        <v>9785</v>
      </c>
      <c r="C5071" s="13" t="s">
        <v>9794</v>
      </c>
      <c r="D5071" s="5">
        <v>4</v>
      </c>
      <c r="E5071" s="14" t="s">
        <v>9795</v>
      </c>
      <c r="F5071" s="5" t="s">
        <v>11</v>
      </c>
    </row>
    <row r="5072" ht="18" customHeight="1" spans="1:6">
      <c r="A5072" s="13" t="s">
        <v>9761</v>
      </c>
      <c r="B5072" s="5" t="s">
        <v>9785</v>
      </c>
      <c r="C5072" s="13" t="s">
        <v>9796</v>
      </c>
      <c r="D5072" s="5">
        <v>3</v>
      </c>
      <c r="E5072" s="14" t="s">
        <v>9797</v>
      </c>
      <c r="F5072" s="5" t="s">
        <v>11</v>
      </c>
    </row>
    <row r="5073" ht="18" customHeight="1" spans="1:6">
      <c r="A5073" s="13" t="s">
        <v>9761</v>
      </c>
      <c r="B5073" s="5" t="s">
        <v>9798</v>
      </c>
      <c r="C5073" s="13" t="s">
        <v>9799</v>
      </c>
      <c r="D5073" s="13">
        <v>1</v>
      </c>
      <c r="E5073" s="5" t="str">
        <f>LEFT("420323195503104912",19)</f>
        <v>420323195503104912</v>
      </c>
      <c r="F5073" s="5" t="s">
        <v>11</v>
      </c>
    </row>
    <row r="5074" ht="18" customHeight="1" spans="1:6">
      <c r="A5074" s="13" t="s">
        <v>9761</v>
      </c>
      <c r="B5074" s="5" t="s">
        <v>9798</v>
      </c>
      <c r="C5074" s="13" t="s">
        <v>9800</v>
      </c>
      <c r="D5074" s="13">
        <v>1</v>
      </c>
      <c r="E5074" s="5" t="str">
        <f>LEFT("420325196309037012",19)</f>
        <v>420325196309037012</v>
      </c>
      <c r="F5074" s="5" t="s">
        <v>11</v>
      </c>
    </row>
    <row r="5075" ht="18" customHeight="1" spans="1:6">
      <c r="A5075" s="13" t="s">
        <v>9761</v>
      </c>
      <c r="B5075" s="5" t="s">
        <v>9798</v>
      </c>
      <c r="C5075" s="13" t="s">
        <v>9801</v>
      </c>
      <c r="D5075" s="13">
        <v>1</v>
      </c>
      <c r="E5075" s="5" t="str">
        <f>LEFT("422626194601257018",19)</f>
        <v>422626194601257018</v>
      </c>
      <c r="F5075" s="5" t="s">
        <v>11</v>
      </c>
    </row>
    <row r="5076" ht="18" customHeight="1" spans="1:6">
      <c r="A5076" s="13" t="s">
        <v>9761</v>
      </c>
      <c r="B5076" s="5" t="s">
        <v>9798</v>
      </c>
      <c r="C5076" s="13" t="s">
        <v>9802</v>
      </c>
      <c r="D5076" s="13">
        <v>1</v>
      </c>
      <c r="E5076" s="5" t="str">
        <f>LEFT("422626195311167019",19)</f>
        <v>422626195311167019</v>
      </c>
      <c r="F5076" s="5" t="s">
        <v>11</v>
      </c>
    </row>
    <row r="5077" ht="18" customHeight="1" spans="1:6">
      <c r="A5077" s="13" t="s">
        <v>9761</v>
      </c>
      <c r="B5077" s="5" t="s">
        <v>9798</v>
      </c>
      <c r="C5077" s="13" t="s">
        <v>9803</v>
      </c>
      <c r="D5077" s="13">
        <v>1</v>
      </c>
      <c r="E5077" s="5" t="str">
        <f>LEFT("422626194101287026",19)</f>
        <v>422626194101287026</v>
      </c>
      <c r="F5077" s="5" t="s">
        <v>11</v>
      </c>
    </row>
    <row r="5078" ht="18" customHeight="1" spans="1:6">
      <c r="A5078" s="13" t="s">
        <v>9761</v>
      </c>
      <c r="B5078" s="5" t="s">
        <v>9798</v>
      </c>
      <c r="C5078" s="13" t="s">
        <v>9804</v>
      </c>
      <c r="D5078" s="13">
        <v>1</v>
      </c>
      <c r="E5078" s="5" t="str">
        <f>LEFT("422626193808107012",19)</f>
        <v>422626193808107012</v>
      </c>
      <c r="F5078" s="5" t="s">
        <v>11</v>
      </c>
    </row>
    <row r="5079" ht="18" customHeight="1" spans="1:6">
      <c r="A5079" s="13" t="s">
        <v>9761</v>
      </c>
      <c r="B5079" s="5" t="s">
        <v>9805</v>
      </c>
      <c r="C5079" s="13" t="s">
        <v>9806</v>
      </c>
      <c r="D5079" s="13">
        <v>8</v>
      </c>
      <c r="E5079" s="8" t="s">
        <v>9807</v>
      </c>
      <c r="F5079" s="13" t="s">
        <v>11</v>
      </c>
    </row>
    <row r="5080" ht="18" customHeight="1" spans="1:6">
      <c r="A5080" s="13" t="s">
        <v>9761</v>
      </c>
      <c r="B5080" s="5" t="s">
        <v>9805</v>
      </c>
      <c r="C5080" s="8" t="s">
        <v>9808</v>
      </c>
      <c r="D5080" s="13">
        <v>4</v>
      </c>
      <c r="E5080" s="8" t="s">
        <v>9809</v>
      </c>
      <c r="F5080" s="13" t="s">
        <v>11</v>
      </c>
    </row>
    <row r="5081" ht="18" customHeight="1" spans="1:6">
      <c r="A5081" s="13" t="s">
        <v>9761</v>
      </c>
      <c r="B5081" s="5" t="s">
        <v>9805</v>
      </c>
      <c r="C5081" s="13" t="s">
        <v>9810</v>
      </c>
      <c r="D5081" s="13">
        <v>4</v>
      </c>
      <c r="E5081" s="8" t="s">
        <v>9811</v>
      </c>
      <c r="F5081" s="13" t="s">
        <v>11</v>
      </c>
    </row>
    <row r="5082" ht="18" customHeight="1" spans="1:6">
      <c r="A5082" s="13" t="s">
        <v>9761</v>
      </c>
      <c r="B5082" s="5" t="s">
        <v>9805</v>
      </c>
      <c r="C5082" s="13" t="s">
        <v>9812</v>
      </c>
      <c r="D5082" s="5">
        <v>4</v>
      </c>
      <c r="E5082" s="14" t="s">
        <v>9813</v>
      </c>
      <c r="F5082" s="5" t="s">
        <v>11</v>
      </c>
    </row>
    <row r="5083" ht="18" customHeight="1" spans="1:6">
      <c r="A5083" s="13" t="s">
        <v>9761</v>
      </c>
      <c r="B5083" s="5" t="s">
        <v>9814</v>
      </c>
      <c r="C5083" s="5" t="s">
        <v>9815</v>
      </c>
      <c r="D5083" s="5">
        <v>3</v>
      </c>
      <c r="E5083" s="185" t="s">
        <v>9816</v>
      </c>
      <c r="F5083" s="5" t="s">
        <v>11</v>
      </c>
    </row>
    <row r="5084" ht="18" customHeight="1" spans="1:6">
      <c r="A5084" s="13" t="s">
        <v>9761</v>
      </c>
      <c r="B5084" s="5" t="s">
        <v>9814</v>
      </c>
      <c r="C5084" s="5" t="s">
        <v>9817</v>
      </c>
      <c r="D5084" s="5">
        <v>6</v>
      </c>
      <c r="E5084" s="199" t="s">
        <v>9818</v>
      </c>
      <c r="F5084" s="5" t="s">
        <v>11</v>
      </c>
    </row>
    <row r="5085" ht="18" customHeight="1" spans="1:6">
      <c r="A5085" s="13" t="s">
        <v>9761</v>
      </c>
      <c r="B5085" s="5" t="s">
        <v>9814</v>
      </c>
      <c r="C5085" s="5" t="s">
        <v>9819</v>
      </c>
      <c r="D5085" s="5">
        <v>5</v>
      </c>
      <c r="E5085" s="178" t="s">
        <v>9820</v>
      </c>
      <c r="F5085" s="5" t="s">
        <v>11</v>
      </c>
    </row>
    <row r="5086" ht="18" customHeight="1" spans="1:6">
      <c r="A5086" s="13" t="s">
        <v>9761</v>
      </c>
      <c r="B5086" s="5" t="s">
        <v>9821</v>
      </c>
      <c r="C5086" s="5" t="s">
        <v>9822</v>
      </c>
      <c r="D5086" s="5">
        <v>4</v>
      </c>
      <c r="E5086" s="178" t="s">
        <v>9823</v>
      </c>
      <c r="F5086" s="5" t="s">
        <v>11</v>
      </c>
    </row>
    <row r="5087" ht="18" customHeight="1" spans="1:6">
      <c r="A5087" s="13" t="s">
        <v>9761</v>
      </c>
      <c r="B5087" s="5" t="s">
        <v>9824</v>
      </c>
      <c r="C5087" s="5" t="s">
        <v>9825</v>
      </c>
      <c r="D5087" s="5">
        <v>6</v>
      </c>
      <c r="E5087" s="200" t="s">
        <v>9826</v>
      </c>
      <c r="F5087" s="5" t="s">
        <v>11</v>
      </c>
    </row>
    <row r="5088" ht="18" customHeight="1" spans="1:6">
      <c r="A5088" s="13" t="s">
        <v>9761</v>
      </c>
      <c r="B5088" s="5" t="s">
        <v>9824</v>
      </c>
      <c r="C5088" s="5" t="s">
        <v>9827</v>
      </c>
      <c r="D5088" s="5">
        <v>4</v>
      </c>
      <c r="E5088" s="201" t="s">
        <v>9828</v>
      </c>
      <c r="F5088" s="5" t="s">
        <v>11</v>
      </c>
    </row>
    <row r="5089" ht="18" customHeight="1" spans="1:6">
      <c r="A5089" s="13" t="s">
        <v>9761</v>
      </c>
      <c r="B5089" s="5" t="s">
        <v>9824</v>
      </c>
      <c r="C5089" s="5" t="s">
        <v>9829</v>
      </c>
      <c r="D5089" s="5">
        <v>3</v>
      </c>
      <c r="E5089" s="202" t="s">
        <v>9830</v>
      </c>
      <c r="F5089" s="5" t="s">
        <v>11</v>
      </c>
    </row>
    <row r="5090" ht="18" customHeight="1" spans="1:6">
      <c r="A5090" s="13" t="s">
        <v>9761</v>
      </c>
      <c r="B5090" s="5" t="s">
        <v>9824</v>
      </c>
      <c r="C5090" s="5" t="s">
        <v>9831</v>
      </c>
      <c r="D5090" s="5">
        <v>2</v>
      </c>
      <c r="E5090" s="203" t="s">
        <v>9832</v>
      </c>
      <c r="F5090" s="5" t="s">
        <v>11</v>
      </c>
    </row>
    <row r="5091" ht="18" customHeight="1" spans="1:6">
      <c r="A5091" s="13" t="s">
        <v>9761</v>
      </c>
      <c r="B5091" s="5" t="s">
        <v>9824</v>
      </c>
      <c r="C5091" s="5" t="s">
        <v>9833</v>
      </c>
      <c r="D5091" s="5">
        <v>3</v>
      </c>
      <c r="E5091" s="204" t="s">
        <v>9834</v>
      </c>
      <c r="F5091" s="5" t="s">
        <v>11</v>
      </c>
    </row>
    <row r="5092" ht="18" customHeight="1" spans="1:6">
      <c r="A5092" s="13" t="s">
        <v>9761</v>
      </c>
      <c r="B5092" s="5" t="s">
        <v>9824</v>
      </c>
      <c r="C5092" s="5" t="s">
        <v>9835</v>
      </c>
      <c r="D5092" s="5">
        <v>1</v>
      </c>
      <c r="E5092" s="205" t="s">
        <v>9836</v>
      </c>
      <c r="F5092" s="5" t="s">
        <v>11</v>
      </c>
    </row>
    <row r="5093" ht="18" customHeight="1" spans="1:6">
      <c r="A5093" s="13" t="s">
        <v>9761</v>
      </c>
      <c r="B5093" s="5" t="s">
        <v>9824</v>
      </c>
      <c r="C5093" s="5" t="s">
        <v>9837</v>
      </c>
      <c r="D5093" s="5">
        <v>4</v>
      </c>
      <c r="E5093" s="206" t="s">
        <v>9838</v>
      </c>
      <c r="F5093" s="5" t="s">
        <v>11</v>
      </c>
    </row>
    <row r="5094" ht="18" customHeight="1" spans="1:6">
      <c r="A5094" s="13" t="s">
        <v>9761</v>
      </c>
      <c r="B5094" s="5" t="s">
        <v>9824</v>
      </c>
      <c r="C5094" s="5" t="s">
        <v>9839</v>
      </c>
      <c r="D5094" s="5">
        <v>5</v>
      </c>
      <c r="E5094" s="207" t="s">
        <v>9840</v>
      </c>
      <c r="F5094" s="5" t="s">
        <v>11</v>
      </c>
    </row>
    <row r="5095" ht="18" customHeight="1" spans="1:6">
      <c r="A5095" s="13" t="s">
        <v>9761</v>
      </c>
      <c r="B5095" s="5" t="s">
        <v>9824</v>
      </c>
      <c r="C5095" s="5" t="s">
        <v>9841</v>
      </c>
      <c r="D5095" s="5">
        <v>4</v>
      </c>
      <c r="E5095" s="119" t="s">
        <v>9842</v>
      </c>
      <c r="F5095" s="5" t="s">
        <v>11</v>
      </c>
    </row>
    <row r="5096" ht="18" customHeight="1" spans="1:6">
      <c r="A5096" s="13" t="s">
        <v>9761</v>
      </c>
      <c r="B5096" s="5" t="s">
        <v>9824</v>
      </c>
      <c r="C5096" s="5" t="s">
        <v>9843</v>
      </c>
      <c r="D5096" s="5">
        <v>3</v>
      </c>
      <c r="E5096" s="208" t="s">
        <v>9844</v>
      </c>
      <c r="F5096" s="5" t="s">
        <v>11</v>
      </c>
    </row>
    <row r="5097" ht="18" customHeight="1" spans="1:6">
      <c r="A5097" s="13" t="s">
        <v>9761</v>
      </c>
      <c r="B5097" s="5" t="s">
        <v>9824</v>
      </c>
      <c r="C5097" s="5" t="s">
        <v>9845</v>
      </c>
      <c r="D5097" s="5">
        <v>3</v>
      </c>
      <c r="E5097" s="209" t="s">
        <v>9846</v>
      </c>
      <c r="F5097" s="5" t="s">
        <v>11</v>
      </c>
    </row>
    <row r="5098" ht="18" customHeight="1" spans="1:6">
      <c r="A5098" s="13" t="s">
        <v>9761</v>
      </c>
      <c r="B5098" s="5" t="s">
        <v>9824</v>
      </c>
      <c r="C5098" s="5" t="s">
        <v>9847</v>
      </c>
      <c r="D5098" s="5">
        <v>6</v>
      </c>
      <c r="E5098" s="178" t="s">
        <v>9848</v>
      </c>
      <c r="F5098" s="5" t="s">
        <v>11</v>
      </c>
    </row>
    <row r="5099" ht="18" customHeight="1" spans="1:6">
      <c r="A5099" s="13" t="s">
        <v>9761</v>
      </c>
      <c r="B5099" s="5" t="s">
        <v>9824</v>
      </c>
      <c r="C5099" s="5" t="s">
        <v>9849</v>
      </c>
      <c r="D5099" s="5">
        <v>2</v>
      </c>
      <c r="E5099" s="178" t="s">
        <v>9850</v>
      </c>
      <c r="F5099" s="5" t="s">
        <v>11</v>
      </c>
    </row>
    <row r="5100" ht="18" customHeight="1" spans="1:6">
      <c r="A5100" s="13" t="s">
        <v>9761</v>
      </c>
      <c r="B5100" s="5" t="s">
        <v>9824</v>
      </c>
      <c r="C5100" s="5" t="s">
        <v>9851</v>
      </c>
      <c r="D5100" s="5">
        <v>4</v>
      </c>
      <c r="E5100" s="178" t="s">
        <v>9852</v>
      </c>
      <c r="F5100" s="5" t="s">
        <v>11</v>
      </c>
    </row>
    <row r="5101" ht="18" customHeight="1" spans="1:6">
      <c r="A5101" s="13" t="s">
        <v>9761</v>
      </c>
      <c r="B5101" s="5" t="s">
        <v>9824</v>
      </c>
      <c r="C5101" s="5" t="s">
        <v>9853</v>
      </c>
      <c r="D5101" s="5">
        <v>7</v>
      </c>
      <c r="E5101" s="178" t="s">
        <v>9854</v>
      </c>
      <c r="F5101" s="5" t="s">
        <v>11</v>
      </c>
    </row>
    <row r="5102" ht="18" customHeight="1" spans="1:6">
      <c r="A5102" s="13" t="s">
        <v>9761</v>
      </c>
      <c r="B5102" s="5" t="s">
        <v>9824</v>
      </c>
      <c r="C5102" s="5" t="s">
        <v>9855</v>
      </c>
      <c r="D5102" s="5">
        <v>1</v>
      </c>
      <c r="E5102" s="178" t="s">
        <v>9856</v>
      </c>
      <c r="F5102" s="5" t="s">
        <v>11</v>
      </c>
    </row>
    <row r="5103" ht="18" customHeight="1" spans="1:6">
      <c r="A5103" s="13" t="s">
        <v>9761</v>
      </c>
      <c r="B5103" s="5" t="s">
        <v>9824</v>
      </c>
      <c r="C5103" s="5" t="s">
        <v>9857</v>
      </c>
      <c r="D5103" s="5">
        <v>2</v>
      </c>
      <c r="E5103" s="178" t="s">
        <v>9858</v>
      </c>
      <c r="F5103" s="5" t="s">
        <v>11</v>
      </c>
    </row>
    <row r="5104" ht="18" customHeight="1" spans="1:6">
      <c r="A5104" s="13" t="s">
        <v>9761</v>
      </c>
      <c r="B5104" s="5" t="s">
        <v>9824</v>
      </c>
      <c r="C5104" s="5" t="s">
        <v>9859</v>
      </c>
      <c r="D5104" s="5">
        <v>3</v>
      </c>
      <c r="E5104" s="5" t="s">
        <v>9860</v>
      </c>
      <c r="F5104" s="5" t="s">
        <v>11</v>
      </c>
    </row>
    <row r="5105" ht="18" customHeight="1" spans="1:6">
      <c r="A5105" s="13" t="s">
        <v>9761</v>
      </c>
      <c r="B5105" s="5" t="s">
        <v>9824</v>
      </c>
      <c r="C5105" s="5" t="s">
        <v>9861</v>
      </c>
      <c r="D5105" s="5">
        <v>4</v>
      </c>
      <c r="E5105" s="5" t="s">
        <v>9862</v>
      </c>
      <c r="F5105" s="5" t="s">
        <v>11</v>
      </c>
    </row>
    <row r="5106" ht="18" customHeight="1" spans="1:6">
      <c r="A5106" s="13" t="s">
        <v>9761</v>
      </c>
      <c r="B5106" s="5" t="s">
        <v>9824</v>
      </c>
      <c r="C5106" s="5" t="s">
        <v>9863</v>
      </c>
      <c r="D5106" s="5">
        <v>1</v>
      </c>
      <c r="E5106" s="5" t="s">
        <v>9864</v>
      </c>
      <c r="F5106" s="5" t="s">
        <v>11</v>
      </c>
    </row>
    <row r="5107" ht="18" customHeight="1" spans="1:6">
      <c r="A5107" s="13" t="s">
        <v>9761</v>
      </c>
      <c r="B5107" s="5" t="s">
        <v>9865</v>
      </c>
      <c r="C5107" s="5" t="s">
        <v>9866</v>
      </c>
      <c r="D5107" s="5">
        <v>4</v>
      </c>
      <c r="E5107" s="8" t="s">
        <v>9867</v>
      </c>
      <c r="F5107" s="5" t="s">
        <v>4458</v>
      </c>
    </row>
    <row r="5108" ht="18" customHeight="1" spans="1:6">
      <c r="A5108" s="13" t="s">
        <v>9761</v>
      </c>
      <c r="B5108" s="5" t="s">
        <v>9865</v>
      </c>
      <c r="C5108" s="5" t="s">
        <v>9868</v>
      </c>
      <c r="D5108" s="5">
        <v>3</v>
      </c>
      <c r="E5108" s="8" t="s">
        <v>9869</v>
      </c>
      <c r="F5108" s="5" t="s">
        <v>4458</v>
      </c>
    </row>
    <row r="5109" ht="18" customHeight="1" spans="1:6">
      <c r="A5109" s="13" t="s">
        <v>9761</v>
      </c>
      <c r="B5109" s="5" t="s">
        <v>9865</v>
      </c>
      <c r="C5109" s="5" t="s">
        <v>9870</v>
      </c>
      <c r="D5109" s="5">
        <v>2</v>
      </c>
      <c r="E5109" s="8" t="s">
        <v>9871</v>
      </c>
      <c r="F5109" s="5" t="s">
        <v>4458</v>
      </c>
    </row>
    <row r="5110" ht="18" customHeight="1" spans="1:6">
      <c r="A5110" s="13" t="s">
        <v>9761</v>
      </c>
      <c r="B5110" s="5" t="s">
        <v>9865</v>
      </c>
      <c r="C5110" s="5" t="s">
        <v>9872</v>
      </c>
      <c r="D5110" s="5">
        <v>1</v>
      </c>
      <c r="E5110" s="8" t="s">
        <v>9873</v>
      </c>
      <c r="F5110" s="5" t="s">
        <v>11</v>
      </c>
    </row>
    <row r="5111" ht="18" customHeight="1" spans="1:6">
      <c r="A5111" s="13" t="s">
        <v>9761</v>
      </c>
      <c r="B5111" s="5" t="s">
        <v>9865</v>
      </c>
      <c r="C5111" s="5" t="s">
        <v>9874</v>
      </c>
      <c r="D5111" s="5">
        <v>4</v>
      </c>
      <c r="E5111" s="8" t="s">
        <v>9875</v>
      </c>
      <c r="F5111" s="5" t="s">
        <v>4458</v>
      </c>
    </row>
    <row r="5112" ht="18" customHeight="1" spans="1:6">
      <c r="A5112" s="13" t="s">
        <v>9761</v>
      </c>
      <c r="B5112" s="5" t="s">
        <v>9865</v>
      </c>
      <c r="C5112" s="5" t="s">
        <v>9876</v>
      </c>
      <c r="D5112" s="5">
        <v>5</v>
      </c>
      <c r="E5112" s="8" t="s">
        <v>9877</v>
      </c>
      <c r="F5112" s="5" t="s">
        <v>4458</v>
      </c>
    </row>
    <row r="5113" ht="18" customHeight="1" spans="1:6">
      <c r="A5113" s="13" t="s">
        <v>9761</v>
      </c>
      <c r="B5113" s="5" t="s">
        <v>9865</v>
      </c>
      <c r="C5113" s="5" t="s">
        <v>9878</v>
      </c>
      <c r="D5113" s="5">
        <v>1</v>
      </c>
      <c r="E5113" s="8" t="s">
        <v>9879</v>
      </c>
      <c r="F5113" s="5" t="s">
        <v>4458</v>
      </c>
    </row>
    <row r="5114" ht="18" customHeight="1" spans="1:6">
      <c r="A5114" s="13" t="s">
        <v>9761</v>
      </c>
      <c r="B5114" s="5" t="s">
        <v>9865</v>
      </c>
      <c r="C5114" s="5" t="s">
        <v>9880</v>
      </c>
      <c r="D5114" s="5">
        <v>2</v>
      </c>
      <c r="E5114" s="205" t="s">
        <v>9881</v>
      </c>
      <c r="F5114" s="5" t="s">
        <v>11</v>
      </c>
    </row>
    <row r="5115" ht="18" customHeight="1" spans="1:6">
      <c r="A5115" s="13" t="s">
        <v>9761</v>
      </c>
      <c r="B5115" s="5" t="s">
        <v>9865</v>
      </c>
      <c r="C5115" s="5" t="s">
        <v>9882</v>
      </c>
      <c r="D5115" s="5">
        <v>3</v>
      </c>
      <c r="E5115" s="206" t="s">
        <v>9883</v>
      </c>
      <c r="F5115" s="5" t="s">
        <v>11</v>
      </c>
    </row>
    <row r="5116" ht="18" customHeight="1" spans="1:6">
      <c r="A5116" s="13" t="s">
        <v>9761</v>
      </c>
      <c r="B5116" s="5" t="s">
        <v>9865</v>
      </c>
      <c r="C5116" s="5" t="s">
        <v>9884</v>
      </c>
      <c r="D5116" s="5">
        <v>3</v>
      </c>
      <c r="E5116" s="207" t="s">
        <v>9885</v>
      </c>
      <c r="F5116" s="5" t="s">
        <v>11</v>
      </c>
    </row>
    <row r="5117" ht="18" customHeight="1" spans="1:6">
      <c r="A5117" s="13" t="s">
        <v>9761</v>
      </c>
      <c r="B5117" s="5" t="s">
        <v>9865</v>
      </c>
      <c r="C5117" s="5" t="s">
        <v>9886</v>
      </c>
      <c r="D5117" s="5">
        <v>2</v>
      </c>
      <c r="E5117" s="119" t="s">
        <v>9887</v>
      </c>
      <c r="F5117" s="5" t="s">
        <v>11</v>
      </c>
    </row>
    <row r="5118" ht="18" customHeight="1" spans="1:6">
      <c r="A5118" s="13" t="s">
        <v>9761</v>
      </c>
      <c r="B5118" s="5" t="s">
        <v>9865</v>
      </c>
      <c r="C5118" s="5" t="s">
        <v>9888</v>
      </c>
      <c r="D5118" s="5">
        <v>1</v>
      </c>
      <c r="E5118" s="8" t="s">
        <v>9889</v>
      </c>
      <c r="F5118" s="5" t="s">
        <v>11</v>
      </c>
    </row>
    <row r="5119" ht="18" customHeight="1" spans="1:6">
      <c r="A5119" s="13" t="s">
        <v>9761</v>
      </c>
      <c r="B5119" s="5" t="s">
        <v>9865</v>
      </c>
      <c r="C5119" s="5" t="s">
        <v>9890</v>
      </c>
      <c r="D5119" s="5">
        <v>1</v>
      </c>
      <c r="E5119" s="8" t="s">
        <v>9891</v>
      </c>
      <c r="F5119" s="5" t="s">
        <v>11</v>
      </c>
    </row>
    <row r="5120" ht="18" customHeight="1" spans="1:6">
      <c r="A5120" s="13" t="s">
        <v>9761</v>
      </c>
      <c r="B5120" s="5" t="s">
        <v>9865</v>
      </c>
      <c r="C5120" s="5" t="s">
        <v>9892</v>
      </c>
      <c r="D5120" s="5">
        <v>4</v>
      </c>
      <c r="E5120" s="5" t="s">
        <v>9893</v>
      </c>
      <c r="F5120" s="5" t="s">
        <v>11</v>
      </c>
    </row>
    <row r="5121" ht="18" customHeight="1" spans="1:6">
      <c r="A5121" s="13" t="s">
        <v>9761</v>
      </c>
      <c r="B5121" s="5" t="s">
        <v>9865</v>
      </c>
      <c r="C5121" s="5" t="s">
        <v>9894</v>
      </c>
      <c r="D5121" s="5">
        <v>3</v>
      </c>
      <c r="E5121" s="8" t="s">
        <v>9895</v>
      </c>
      <c r="F5121" s="5" t="s">
        <v>11</v>
      </c>
    </row>
    <row r="5122" ht="18" customHeight="1" spans="1:6">
      <c r="A5122" s="13" t="s">
        <v>9761</v>
      </c>
      <c r="B5122" s="5" t="s">
        <v>9865</v>
      </c>
      <c r="C5122" s="5" t="s">
        <v>9896</v>
      </c>
      <c r="D5122" s="5">
        <v>2</v>
      </c>
      <c r="E5122" s="8" t="s">
        <v>9897</v>
      </c>
      <c r="F5122" s="5" t="s">
        <v>11</v>
      </c>
    </row>
    <row r="5123" ht="18" customHeight="1" spans="1:6">
      <c r="A5123" s="13" t="s">
        <v>9761</v>
      </c>
      <c r="B5123" s="5" t="s">
        <v>9865</v>
      </c>
      <c r="C5123" s="5" t="s">
        <v>9898</v>
      </c>
      <c r="D5123" s="5">
        <v>2</v>
      </c>
      <c r="E5123" s="8" t="s">
        <v>9899</v>
      </c>
      <c r="F5123" s="5" t="s">
        <v>11</v>
      </c>
    </row>
    <row r="5124" ht="18" customHeight="1" spans="1:6">
      <c r="A5124" s="13" t="s">
        <v>9761</v>
      </c>
      <c r="B5124" s="5" t="s">
        <v>9900</v>
      </c>
      <c r="C5124" s="5" t="s">
        <v>9901</v>
      </c>
      <c r="D5124" s="5">
        <v>2</v>
      </c>
      <c r="E5124" s="201" t="s">
        <v>9902</v>
      </c>
      <c r="F5124" s="5" t="s">
        <v>11</v>
      </c>
    </row>
    <row r="5125" ht="18" customHeight="1" spans="1:6">
      <c r="A5125" s="13" t="s">
        <v>9761</v>
      </c>
      <c r="B5125" s="5" t="s">
        <v>9903</v>
      </c>
      <c r="C5125" s="13" t="s">
        <v>9904</v>
      </c>
      <c r="D5125" s="13">
        <v>6</v>
      </c>
      <c r="E5125" s="5" t="s">
        <v>9905</v>
      </c>
      <c r="F5125" s="5" t="s">
        <v>11</v>
      </c>
    </row>
    <row r="5126" ht="18" customHeight="1" spans="1:6">
      <c r="A5126" s="13" t="s">
        <v>9761</v>
      </c>
      <c r="B5126" s="5" t="s">
        <v>9906</v>
      </c>
      <c r="C5126" s="5" t="s">
        <v>9907</v>
      </c>
      <c r="D5126" s="5">
        <v>3</v>
      </c>
      <c r="E5126" s="5" t="s">
        <v>9908</v>
      </c>
      <c r="F5126" s="5" t="s">
        <v>11</v>
      </c>
    </row>
    <row r="5127" ht="18" customHeight="1" spans="1:6">
      <c r="A5127" s="13" t="s">
        <v>9761</v>
      </c>
      <c r="B5127" s="5" t="s">
        <v>9906</v>
      </c>
      <c r="C5127" s="13" t="s">
        <v>9909</v>
      </c>
      <c r="D5127" s="13">
        <v>2</v>
      </c>
      <c r="E5127" s="5" t="s">
        <v>9910</v>
      </c>
      <c r="F5127" s="5" t="s">
        <v>11</v>
      </c>
    </row>
    <row r="5128" ht="18" customHeight="1" spans="1:6">
      <c r="A5128" s="13" t="s">
        <v>9761</v>
      </c>
      <c r="B5128" s="5" t="s">
        <v>9911</v>
      </c>
      <c r="C5128" s="5" t="s">
        <v>9912</v>
      </c>
      <c r="D5128" s="5">
        <v>1</v>
      </c>
      <c r="E5128" s="178" t="s">
        <v>9913</v>
      </c>
      <c r="F5128" s="5" t="s">
        <v>11</v>
      </c>
    </row>
    <row r="5129" ht="18" customHeight="1" spans="1:6">
      <c r="A5129" s="13" t="s">
        <v>9761</v>
      </c>
      <c r="B5129" s="5" t="s">
        <v>9911</v>
      </c>
      <c r="C5129" s="5" t="s">
        <v>9914</v>
      </c>
      <c r="D5129" s="5">
        <v>1</v>
      </c>
      <c r="E5129" s="178" t="s">
        <v>9915</v>
      </c>
      <c r="F5129" s="5" t="s">
        <v>11</v>
      </c>
    </row>
    <row r="5130" ht="18" customHeight="1" spans="1:6">
      <c r="A5130" s="13" t="s">
        <v>9761</v>
      </c>
      <c r="B5130" s="5" t="s">
        <v>9911</v>
      </c>
      <c r="C5130" s="5" t="s">
        <v>9916</v>
      </c>
      <c r="D5130" s="5">
        <v>1</v>
      </c>
      <c r="E5130" s="178" t="s">
        <v>9917</v>
      </c>
      <c r="F5130" s="5" t="s">
        <v>11</v>
      </c>
    </row>
    <row r="5131" ht="18" customHeight="1" spans="1:6">
      <c r="A5131" s="13" t="s">
        <v>9761</v>
      </c>
      <c r="B5131" s="5" t="s">
        <v>9918</v>
      </c>
      <c r="C5131" s="5" t="s">
        <v>9919</v>
      </c>
      <c r="D5131" s="5">
        <v>1</v>
      </c>
      <c r="E5131" s="178" t="s">
        <v>9920</v>
      </c>
      <c r="F5131" s="5" t="s">
        <v>11</v>
      </c>
    </row>
    <row r="5132" ht="18" customHeight="1" spans="1:6">
      <c r="A5132" s="13" t="s">
        <v>9761</v>
      </c>
      <c r="B5132" s="5" t="s">
        <v>9918</v>
      </c>
      <c r="C5132" s="5" t="s">
        <v>9921</v>
      </c>
      <c r="D5132" s="5">
        <v>1</v>
      </c>
      <c r="E5132" s="178" t="s">
        <v>9922</v>
      </c>
      <c r="F5132" s="5" t="s">
        <v>11</v>
      </c>
    </row>
    <row r="5133" ht="18" customHeight="1" spans="1:6">
      <c r="A5133" s="13" t="s">
        <v>9761</v>
      </c>
      <c r="B5133" s="5" t="s">
        <v>9918</v>
      </c>
      <c r="C5133" s="5" t="s">
        <v>9923</v>
      </c>
      <c r="D5133" s="5">
        <v>1</v>
      </c>
      <c r="E5133" s="178" t="s">
        <v>9924</v>
      </c>
      <c r="F5133" s="5" t="s">
        <v>11</v>
      </c>
    </row>
    <row r="5134" ht="18" customHeight="1" spans="1:6">
      <c r="A5134" s="13" t="s">
        <v>9761</v>
      </c>
      <c r="B5134" s="5" t="s">
        <v>9918</v>
      </c>
      <c r="C5134" s="5" t="s">
        <v>9925</v>
      </c>
      <c r="D5134" s="5">
        <v>2</v>
      </c>
      <c r="E5134" s="178" t="s">
        <v>9926</v>
      </c>
      <c r="F5134" s="5" t="s">
        <v>11</v>
      </c>
    </row>
    <row r="5135" ht="18" customHeight="1" spans="1:6">
      <c r="A5135" s="13" t="s">
        <v>9761</v>
      </c>
      <c r="B5135" s="5" t="s">
        <v>9918</v>
      </c>
      <c r="C5135" s="5" t="s">
        <v>9927</v>
      </c>
      <c r="D5135" s="5">
        <v>1</v>
      </c>
      <c r="E5135" s="178" t="s">
        <v>9928</v>
      </c>
      <c r="F5135" s="5" t="s">
        <v>11</v>
      </c>
    </row>
    <row r="5136" ht="18" customHeight="1" spans="1:6">
      <c r="A5136" s="13" t="s">
        <v>9761</v>
      </c>
      <c r="B5136" s="5" t="s">
        <v>9929</v>
      </c>
      <c r="C5136" s="5" t="s">
        <v>9930</v>
      </c>
      <c r="D5136" s="5">
        <v>3</v>
      </c>
      <c r="E5136" s="178" t="s">
        <v>9931</v>
      </c>
      <c r="F5136" s="5" t="s">
        <v>11</v>
      </c>
    </row>
    <row r="5137" ht="18" customHeight="1" spans="1:6">
      <c r="A5137" s="13" t="s">
        <v>9761</v>
      </c>
      <c r="B5137" s="5" t="s">
        <v>9929</v>
      </c>
      <c r="C5137" s="5" t="s">
        <v>9932</v>
      </c>
      <c r="D5137" s="5">
        <v>5</v>
      </c>
      <c r="E5137" s="178" t="s">
        <v>9933</v>
      </c>
      <c r="F5137" s="5" t="s">
        <v>11</v>
      </c>
    </row>
    <row r="5138" ht="18" customHeight="1" spans="1:6">
      <c r="A5138" s="13" t="s">
        <v>9761</v>
      </c>
      <c r="B5138" s="5" t="s">
        <v>9934</v>
      </c>
      <c r="C5138" s="5" t="s">
        <v>9935</v>
      </c>
      <c r="D5138" s="5">
        <v>5</v>
      </c>
      <c r="E5138" s="178" t="s">
        <v>9936</v>
      </c>
      <c r="F5138" s="5" t="s">
        <v>11</v>
      </c>
    </row>
    <row r="5139" ht="18" customHeight="1" spans="1:6">
      <c r="A5139" s="13" t="s">
        <v>9761</v>
      </c>
      <c r="B5139" s="5" t="s">
        <v>9934</v>
      </c>
      <c r="C5139" s="5" t="s">
        <v>9937</v>
      </c>
      <c r="D5139" s="5">
        <v>5</v>
      </c>
      <c r="E5139" s="5" t="str">
        <f>LEFT("422626195404157370",19)</f>
        <v>422626195404157370</v>
      </c>
      <c r="F5139" s="5" t="s">
        <v>11</v>
      </c>
    </row>
    <row r="5140" ht="18" customHeight="1" spans="1:6">
      <c r="A5140" s="13" t="s">
        <v>9761</v>
      </c>
      <c r="B5140" s="5" t="s">
        <v>9934</v>
      </c>
      <c r="C5140" s="5" t="s">
        <v>9938</v>
      </c>
      <c r="D5140" s="5">
        <v>3</v>
      </c>
      <c r="E5140" s="5" t="str">
        <f>LEFT("422626196504147318",19)</f>
        <v>422626196504147318</v>
      </c>
      <c r="F5140" s="5" t="s">
        <v>11</v>
      </c>
    </row>
    <row r="5141" ht="18" customHeight="1" spans="1:6">
      <c r="A5141" s="13" t="s">
        <v>9761</v>
      </c>
      <c r="B5141" s="5" t="s">
        <v>9934</v>
      </c>
      <c r="C5141" s="5" t="s">
        <v>9939</v>
      </c>
      <c r="D5141" s="5">
        <v>4</v>
      </c>
      <c r="E5141" s="178" t="s">
        <v>9940</v>
      </c>
      <c r="F5141" s="5" t="s">
        <v>11</v>
      </c>
    </row>
    <row r="5142" ht="18" customHeight="1" spans="1:6">
      <c r="A5142" s="13" t="s">
        <v>9761</v>
      </c>
      <c r="B5142" s="5" t="s">
        <v>9934</v>
      </c>
      <c r="C5142" s="5" t="s">
        <v>2900</v>
      </c>
      <c r="D5142" s="5">
        <v>5</v>
      </c>
      <c r="E5142" s="178" t="s">
        <v>9941</v>
      </c>
      <c r="F5142" s="5" t="s">
        <v>11</v>
      </c>
    </row>
    <row r="5143" ht="18" customHeight="1" spans="1:6">
      <c r="A5143" s="13" t="s">
        <v>9761</v>
      </c>
      <c r="B5143" s="5" t="s">
        <v>9942</v>
      </c>
      <c r="C5143" s="5" t="s">
        <v>9943</v>
      </c>
      <c r="D5143" s="5">
        <v>1</v>
      </c>
      <c r="E5143" s="5" t="str">
        <f>LEFT("422626195602027315",19)</f>
        <v>422626195602027315</v>
      </c>
      <c r="F5143" s="5" t="s">
        <v>11</v>
      </c>
    </row>
    <row r="5144" ht="18" customHeight="1" spans="1:6">
      <c r="A5144" s="13" t="s">
        <v>9761</v>
      </c>
      <c r="B5144" s="5" t="s">
        <v>9944</v>
      </c>
      <c r="C5144" s="5" t="s">
        <v>9945</v>
      </c>
      <c r="D5144" s="5">
        <v>1</v>
      </c>
      <c r="E5144" s="178" t="s">
        <v>9946</v>
      </c>
      <c r="F5144" s="5" t="s">
        <v>11</v>
      </c>
    </row>
    <row r="5145" ht="18" customHeight="1" spans="1:6">
      <c r="A5145" s="13" t="s">
        <v>9761</v>
      </c>
      <c r="B5145" s="5" t="s">
        <v>9944</v>
      </c>
      <c r="C5145" s="5" t="s">
        <v>9947</v>
      </c>
      <c r="D5145" s="5">
        <v>1</v>
      </c>
      <c r="E5145" s="12" t="s">
        <v>9948</v>
      </c>
      <c r="F5145" s="5" t="s">
        <v>11</v>
      </c>
    </row>
    <row r="5146" ht="18" customHeight="1" spans="1:6">
      <c r="A5146" s="13" t="s">
        <v>9761</v>
      </c>
      <c r="B5146" s="5" t="s">
        <v>9949</v>
      </c>
      <c r="C5146" s="13" t="s">
        <v>9950</v>
      </c>
      <c r="D5146" s="13">
        <v>1</v>
      </c>
      <c r="E5146" s="179" t="s">
        <v>9951</v>
      </c>
      <c r="F5146" s="5" t="s">
        <v>11</v>
      </c>
    </row>
    <row r="5147" ht="18" customHeight="1" spans="1:6">
      <c r="A5147" s="13" t="s">
        <v>9761</v>
      </c>
      <c r="B5147" s="5" t="s">
        <v>9952</v>
      </c>
      <c r="C5147" s="13" t="s">
        <v>9953</v>
      </c>
      <c r="D5147" s="13">
        <v>1</v>
      </c>
      <c r="E5147" s="179" t="s">
        <v>9954</v>
      </c>
      <c r="F5147" s="5" t="s">
        <v>11</v>
      </c>
    </row>
    <row r="5148" ht="18" customHeight="1" spans="1:6">
      <c r="A5148" s="13" t="s">
        <v>9761</v>
      </c>
      <c r="B5148" s="8" t="s">
        <v>9955</v>
      </c>
      <c r="C5148" s="159" t="s">
        <v>9956</v>
      </c>
      <c r="D5148" s="160">
        <v>4</v>
      </c>
      <c r="E5148" s="159" t="s">
        <v>9957</v>
      </c>
      <c r="F5148" s="5" t="s">
        <v>11</v>
      </c>
    </row>
    <row r="5149" ht="18" customHeight="1" spans="1:6">
      <c r="A5149" s="13" t="s">
        <v>9761</v>
      </c>
      <c r="B5149" s="5" t="s">
        <v>9958</v>
      </c>
      <c r="C5149" s="119" t="s">
        <v>9959</v>
      </c>
      <c r="D5149" s="5">
        <v>4</v>
      </c>
      <c r="E5149" s="161" t="s">
        <v>9960</v>
      </c>
      <c r="F5149" s="5" t="s">
        <v>11</v>
      </c>
    </row>
    <row r="5150" ht="18" customHeight="1" spans="1:6">
      <c r="A5150" s="13" t="s">
        <v>9761</v>
      </c>
      <c r="B5150" s="5" t="s">
        <v>9958</v>
      </c>
      <c r="C5150" s="161" t="s">
        <v>9961</v>
      </c>
      <c r="D5150" s="5">
        <v>1</v>
      </c>
      <c r="E5150" s="162" t="s">
        <v>9962</v>
      </c>
      <c r="F5150" s="5" t="s">
        <v>11</v>
      </c>
    </row>
    <row r="5151" ht="18" customHeight="1" spans="1:6">
      <c r="A5151" s="13" t="s">
        <v>9761</v>
      </c>
      <c r="B5151" s="5" t="s">
        <v>9958</v>
      </c>
      <c r="C5151" s="163" t="s">
        <v>9963</v>
      </c>
      <c r="D5151" s="5">
        <v>4</v>
      </c>
      <c r="E5151" s="164" t="s">
        <v>9964</v>
      </c>
      <c r="F5151" s="5" t="s">
        <v>11</v>
      </c>
    </row>
    <row r="5152" ht="18" customHeight="1" spans="1:6">
      <c r="A5152" s="13" t="s">
        <v>9761</v>
      </c>
      <c r="B5152" s="5" t="s">
        <v>9958</v>
      </c>
      <c r="C5152" s="165" t="s">
        <v>9965</v>
      </c>
      <c r="D5152" s="5">
        <v>6</v>
      </c>
      <c r="E5152" s="165" t="s">
        <v>9966</v>
      </c>
      <c r="F5152" s="5" t="s">
        <v>11</v>
      </c>
    </row>
    <row r="5153" ht="18" customHeight="1" spans="1:6">
      <c r="A5153" s="13" t="s">
        <v>9761</v>
      </c>
      <c r="B5153" s="5" t="s">
        <v>9958</v>
      </c>
      <c r="C5153" s="166" t="s">
        <v>9967</v>
      </c>
      <c r="D5153" s="5">
        <v>3</v>
      </c>
      <c r="E5153" s="165" t="s">
        <v>9968</v>
      </c>
      <c r="F5153" s="5" t="s">
        <v>11</v>
      </c>
    </row>
    <row r="5154" ht="18" customHeight="1" spans="1:6">
      <c r="A5154" s="13" t="s">
        <v>9761</v>
      </c>
      <c r="B5154" s="5" t="s">
        <v>9958</v>
      </c>
      <c r="C5154" s="165" t="s">
        <v>9969</v>
      </c>
      <c r="D5154" s="13">
        <v>3</v>
      </c>
      <c r="E5154" s="165" t="s">
        <v>9970</v>
      </c>
      <c r="F5154" s="5" t="s">
        <v>11</v>
      </c>
    </row>
    <row r="5155" ht="18" customHeight="1" spans="1:6">
      <c r="A5155" s="13" t="s">
        <v>9761</v>
      </c>
      <c r="B5155" s="5" t="s">
        <v>9958</v>
      </c>
      <c r="C5155" s="165" t="s">
        <v>9971</v>
      </c>
      <c r="D5155" s="13">
        <v>4</v>
      </c>
      <c r="E5155" s="165" t="s">
        <v>9972</v>
      </c>
      <c r="F5155" s="5" t="s">
        <v>11</v>
      </c>
    </row>
    <row r="5156" ht="18" customHeight="1" spans="1:6">
      <c r="A5156" s="13" t="s">
        <v>9761</v>
      </c>
      <c r="B5156" s="5" t="s">
        <v>9958</v>
      </c>
      <c r="C5156" s="13" t="s">
        <v>9973</v>
      </c>
      <c r="D5156" s="13">
        <v>4</v>
      </c>
      <c r="E5156" s="167" t="s">
        <v>9974</v>
      </c>
      <c r="F5156" s="5" t="s">
        <v>11</v>
      </c>
    </row>
    <row r="5157" ht="18" customHeight="1" spans="1:6">
      <c r="A5157" s="13" t="s">
        <v>9761</v>
      </c>
      <c r="B5157" s="5" t="s">
        <v>9958</v>
      </c>
      <c r="C5157" s="168" t="s">
        <v>9975</v>
      </c>
      <c r="D5157" s="13">
        <v>4</v>
      </c>
      <c r="E5157" s="169" t="s">
        <v>9976</v>
      </c>
      <c r="F5157" s="5" t="s">
        <v>11</v>
      </c>
    </row>
    <row r="5158" ht="18" customHeight="1" spans="1:6">
      <c r="A5158" s="13" t="s">
        <v>9761</v>
      </c>
      <c r="B5158" s="5" t="s">
        <v>9977</v>
      </c>
      <c r="C5158" s="5" t="s">
        <v>9978</v>
      </c>
      <c r="D5158" s="5">
        <v>4</v>
      </c>
      <c r="E5158" s="82" t="s">
        <v>9979</v>
      </c>
      <c r="F5158" s="5" t="s">
        <v>11</v>
      </c>
    </row>
    <row r="5159" ht="18" customHeight="1" spans="1:6">
      <c r="A5159" s="13" t="s">
        <v>9761</v>
      </c>
      <c r="B5159" s="5" t="s">
        <v>9980</v>
      </c>
      <c r="C5159" s="5" t="s">
        <v>9981</v>
      </c>
      <c r="D5159" s="5">
        <v>4</v>
      </c>
      <c r="E5159" s="82" t="s">
        <v>9982</v>
      </c>
      <c r="F5159" s="5" t="s">
        <v>11</v>
      </c>
    </row>
    <row r="5160" ht="18" customHeight="1" spans="1:6">
      <c r="A5160" s="13" t="s">
        <v>9761</v>
      </c>
      <c r="B5160" s="5" t="s">
        <v>9977</v>
      </c>
      <c r="C5160" s="5" t="s">
        <v>9983</v>
      </c>
      <c r="D5160" s="5">
        <v>6</v>
      </c>
      <c r="E5160" s="82" t="s">
        <v>9984</v>
      </c>
      <c r="F5160" s="5" t="s">
        <v>11</v>
      </c>
    </row>
    <row r="5161" ht="18" customHeight="1" spans="1:6">
      <c r="A5161" s="13" t="s">
        <v>9761</v>
      </c>
      <c r="B5161" s="5" t="s">
        <v>9985</v>
      </c>
      <c r="C5161" s="5" t="s">
        <v>242</v>
      </c>
      <c r="D5161" s="5">
        <v>2</v>
      </c>
      <c r="E5161" s="170" t="s">
        <v>9986</v>
      </c>
      <c r="F5161" s="5" t="s">
        <v>11</v>
      </c>
    </row>
    <row r="5162" ht="18" customHeight="1" spans="1:6">
      <c r="A5162" s="13" t="s">
        <v>9761</v>
      </c>
      <c r="B5162" s="5" t="s">
        <v>9987</v>
      </c>
      <c r="C5162" s="5" t="s">
        <v>9988</v>
      </c>
      <c r="D5162" s="5">
        <v>3</v>
      </c>
      <c r="E5162" s="171" t="s">
        <v>9989</v>
      </c>
      <c r="F5162" s="5" t="s">
        <v>11</v>
      </c>
    </row>
    <row r="5163" ht="18" customHeight="1" spans="1:6">
      <c r="A5163" s="13" t="s">
        <v>9761</v>
      </c>
      <c r="B5163" s="5" t="s">
        <v>9980</v>
      </c>
      <c r="C5163" s="5" t="s">
        <v>9990</v>
      </c>
      <c r="D5163" s="5">
        <v>3</v>
      </c>
      <c r="E5163" s="172" t="s">
        <v>9991</v>
      </c>
      <c r="F5163" s="5" t="s">
        <v>11</v>
      </c>
    </row>
    <row r="5164" ht="18" customHeight="1" spans="1:6">
      <c r="A5164" s="13" t="s">
        <v>9761</v>
      </c>
      <c r="B5164" s="5" t="s">
        <v>9992</v>
      </c>
      <c r="C5164" s="5" t="s">
        <v>9993</v>
      </c>
      <c r="D5164" s="5">
        <v>2</v>
      </c>
      <c r="E5164" s="173" t="s">
        <v>9994</v>
      </c>
      <c r="F5164" s="5" t="s">
        <v>11</v>
      </c>
    </row>
    <row r="5165" ht="18" customHeight="1" spans="1:6">
      <c r="A5165" s="13" t="s">
        <v>9761</v>
      </c>
      <c r="B5165" s="5" t="s">
        <v>9995</v>
      </c>
      <c r="C5165" s="13" t="s">
        <v>9996</v>
      </c>
      <c r="D5165" s="13">
        <v>2</v>
      </c>
      <c r="E5165" s="5" t="s">
        <v>9997</v>
      </c>
      <c r="F5165" s="13" t="s">
        <v>4458</v>
      </c>
    </row>
    <row r="5166" ht="18" customHeight="1" spans="1:6">
      <c r="A5166" s="13" t="s">
        <v>9761</v>
      </c>
      <c r="B5166" s="5" t="s">
        <v>9995</v>
      </c>
      <c r="C5166" s="13" t="s">
        <v>9998</v>
      </c>
      <c r="D5166" s="13">
        <v>6</v>
      </c>
      <c r="E5166" s="5" t="s">
        <v>9999</v>
      </c>
      <c r="F5166" s="13" t="s">
        <v>4458</v>
      </c>
    </row>
    <row r="5167" ht="18" customHeight="1" spans="1:6">
      <c r="A5167" s="13" t="s">
        <v>9761</v>
      </c>
      <c r="B5167" s="5" t="s">
        <v>10000</v>
      </c>
      <c r="C5167" s="13" t="s">
        <v>10001</v>
      </c>
      <c r="D5167" s="13">
        <v>1</v>
      </c>
      <c r="E5167" s="179" t="s">
        <v>10002</v>
      </c>
      <c r="F5167" s="13" t="s">
        <v>4458</v>
      </c>
    </row>
    <row r="5168" ht="18" customHeight="1" spans="1:6">
      <c r="A5168" s="13" t="s">
        <v>9761</v>
      </c>
      <c r="B5168" s="5" t="s">
        <v>10000</v>
      </c>
      <c r="C5168" s="13" t="s">
        <v>10003</v>
      </c>
      <c r="D5168" s="13">
        <v>5</v>
      </c>
      <c r="E5168" s="5" t="s">
        <v>10004</v>
      </c>
      <c r="F5168" s="13" t="s">
        <v>4458</v>
      </c>
    </row>
    <row r="5169" ht="18" customHeight="1" spans="1:6">
      <c r="A5169" s="13" t="s">
        <v>9761</v>
      </c>
      <c r="B5169" s="5" t="s">
        <v>10000</v>
      </c>
      <c r="C5169" s="13" t="s">
        <v>9044</v>
      </c>
      <c r="D5169" s="13">
        <v>4</v>
      </c>
      <c r="E5169" s="5" t="s">
        <v>10005</v>
      </c>
      <c r="F5169" s="13" t="s">
        <v>4458</v>
      </c>
    </row>
    <row r="5170" ht="18" customHeight="1" spans="1:6">
      <c r="A5170" s="13" t="s">
        <v>9761</v>
      </c>
      <c r="B5170" s="5" t="s">
        <v>10006</v>
      </c>
      <c r="C5170" s="13" t="s">
        <v>10007</v>
      </c>
      <c r="D5170" s="13">
        <v>1</v>
      </c>
      <c r="E5170" s="5" t="s">
        <v>10008</v>
      </c>
      <c r="F5170" s="13" t="s">
        <v>4458</v>
      </c>
    </row>
    <row r="5171" ht="18" customHeight="1" spans="1:6">
      <c r="A5171" s="13" t="s">
        <v>9761</v>
      </c>
      <c r="B5171" s="5" t="s">
        <v>10006</v>
      </c>
      <c r="C5171" s="13" t="s">
        <v>10009</v>
      </c>
      <c r="D5171" s="13">
        <v>1</v>
      </c>
      <c r="E5171" s="5" t="s">
        <v>10010</v>
      </c>
      <c r="F5171" s="13" t="s">
        <v>4458</v>
      </c>
    </row>
    <row r="5172" ht="18" customHeight="1" spans="1:6">
      <c r="A5172" s="13" t="s">
        <v>9761</v>
      </c>
      <c r="B5172" s="5" t="s">
        <v>10006</v>
      </c>
      <c r="C5172" s="13" t="s">
        <v>10011</v>
      </c>
      <c r="D5172" s="13">
        <v>1</v>
      </c>
      <c r="E5172" s="14" t="s">
        <v>10012</v>
      </c>
      <c r="F5172" s="13" t="s">
        <v>4458</v>
      </c>
    </row>
    <row r="5173" ht="18" customHeight="1" spans="1:6">
      <c r="A5173" s="13" t="s">
        <v>9761</v>
      </c>
      <c r="B5173" s="5" t="s">
        <v>10006</v>
      </c>
      <c r="C5173" s="13" t="s">
        <v>10013</v>
      </c>
      <c r="D5173" s="13">
        <v>1</v>
      </c>
      <c r="E5173" s="5" t="s">
        <v>10014</v>
      </c>
      <c r="F5173" s="13" t="s">
        <v>4458</v>
      </c>
    </row>
    <row r="5174" ht="18" customHeight="1" spans="1:6">
      <c r="A5174" s="13" t="s">
        <v>9761</v>
      </c>
      <c r="B5174" s="13" t="s">
        <v>10015</v>
      </c>
      <c r="C5174" s="13" t="s">
        <v>10016</v>
      </c>
      <c r="D5174" s="13">
        <v>3</v>
      </c>
      <c r="E5174" s="5" t="s">
        <v>10017</v>
      </c>
      <c r="F5174" s="13" t="s">
        <v>4458</v>
      </c>
    </row>
    <row r="5175" ht="18" customHeight="1" spans="1:6">
      <c r="A5175" s="13" t="s">
        <v>9761</v>
      </c>
      <c r="B5175" s="13" t="s">
        <v>10015</v>
      </c>
      <c r="C5175" s="13" t="s">
        <v>10018</v>
      </c>
      <c r="D5175" s="13">
        <v>3</v>
      </c>
      <c r="E5175" s="5" t="s">
        <v>10019</v>
      </c>
      <c r="F5175" s="13" t="s">
        <v>4458</v>
      </c>
    </row>
    <row r="5176" ht="18" customHeight="1" spans="1:6">
      <c r="A5176" s="13" t="s">
        <v>9761</v>
      </c>
      <c r="B5176" s="13" t="s">
        <v>10015</v>
      </c>
      <c r="C5176" s="13" t="s">
        <v>10020</v>
      </c>
      <c r="D5176" s="13">
        <v>5</v>
      </c>
      <c r="E5176" s="5" t="s">
        <v>10021</v>
      </c>
      <c r="F5176" s="13" t="s">
        <v>4458</v>
      </c>
    </row>
    <row r="5177" ht="18" customHeight="1" spans="1:6">
      <c r="A5177" s="13" t="s">
        <v>9761</v>
      </c>
      <c r="B5177" s="13" t="s">
        <v>10015</v>
      </c>
      <c r="C5177" s="13" t="s">
        <v>10022</v>
      </c>
      <c r="D5177" s="13">
        <v>3</v>
      </c>
      <c r="E5177" s="5" t="s">
        <v>10023</v>
      </c>
      <c r="F5177" s="13" t="s">
        <v>4458</v>
      </c>
    </row>
    <row r="5178" ht="18" customHeight="1" spans="1:6">
      <c r="A5178" s="13" t="s">
        <v>9761</v>
      </c>
      <c r="B5178" s="13" t="s">
        <v>10015</v>
      </c>
      <c r="C5178" s="13" t="s">
        <v>10024</v>
      </c>
      <c r="D5178" s="13">
        <v>4</v>
      </c>
      <c r="E5178" s="5" t="s">
        <v>10025</v>
      </c>
      <c r="F5178" s="13" t="s">
        <v>4458</v>
      </c>
    </row>
    <row r="5179" ht="18" customHeight="1" spans="1:6">
      <c r="A5179" s="13" t="s">
        <v>9761</v>
      </c>
      <c r="B5179" s="13" t="s">
        <v>10015</v>
      </c>
      <c r="C5179" s="13" t="s">
        <v>10026</v>
      </c>
      <c r="D5179" s="13">
        <v>2</v>
      </c>
      <c r="E5179" s="179" t="s">
        <v>10027</v>
      </c>
      <c r="F5179" s="13" t="s">
        <v>4458</v>
      </c>
    </row>
    <row r="5180" ht="18" customHeight="1" spans="1:6">
      <c r="A5180" s="13" t="s">
        <v>9761</v>
      </c>
      <c r="B5180" s="5" t="s">
        <v>10028</v>
      </c>
      <c r="C5180" s="13" t="s">
        <v>10029</v>
      </c>
      <c r="D5180" s="13">
        <v>5</v>
      </c>
      <c r="E5180" s="178" t="s">
        <v>10030</v>
      </c>
      <c r="F5180" s="5" t="s">
        <v>11</v>
      </c>
    </row>
    <row r="5181" ht="18" customHeight="1" spans="1:6">
      <c r="A5181" s="13" t="s">
        <v>9761</v>
      </c>
      <c r="B5181" s="5" t="s">
        <v>10031</v>
      </c>
      <c r="C5181" s="13" t="s">
        <v>10032</v>
      </c>
      <c r="D5181" s="13">
        <v>4</v>
      </c>
      <c r="E5181" s="178" t="s">
        <v>10033</v>
      </c>
      <c r="F5181" s="5" t="s">
        <v>11</v>
      </c>
    </row>
    <row r="5182" ht="18" customHeight="1" spans="1:6">
      <c r="A5182" s="13" t="s">
        <v>9761</v>
      </c>
      <c r="B5182" s="5" t="s">
        <v>10034</v>
      </c>
      <c r="C5182" s="13" t="s">
        <v>10035</v>
      </c>
      <c r="D5182" s="13">
        <v>2</v>
      </c>
      <c r="E5182" s="8" t="s">
        <v>10036</v>
      </c>
      <c r="F5182" s="5" t="s">
        <v>11</v>
      </c>
    </row>
    <row r="5183" ht="18" customHeight="1" spans="1:6">
      <c r="A5183" s="13" t="s">
        <v>9761</v>
      </c>
      <c r="B5183" s="5" t="s">
        <v>10034</v>
      </c>
      <c r="C5183" s="13" t="s">
        <v>10037</v>
      </c>
      <c r="D5183" s="13">
        <v>4</v>
      </c>
      <c r="E5183" s="8" t="s">
        <v>10038</v>
      </c>
      <c r="F5183" s="5" t="s">
        <v>11</v>
      </c>
    </row>
    <row r="5184" ht="18" customHeight="1" spans="1:6">
      <c r="A5184" s="13" t="s">
        <v>9761</v>
      </c>
      <c r="B5184" s="5" t="s">
        <v>10034</v>
      </c>
      <c r="C5184" s="13" t="s">
        <v>10039</v>
      </c>
      <c r="D5184" s="13">
        <v>3</v>
      </c>
      <c r="E5184" s="8" t="s">
        <v>10040</v>
      </c>
      <c r="F5184" s="5" t="s">
        <v>11</v>
      </c>
    </row>
    <row r="5185" ht="18" customHeight="1" spans="1:6">
      <c r="A5185" s="13" t="s">
        <v>9761</v>
      </c>
      <c r="B5185" s="5" t="s">
        <v>10041</v>
      </c>
      <c r="C5185" s="13" t="s">
        <v>10042</v>
      </c>
      <c r="D5185" s="13">
        <v>4</v>
      </c>
      <c r="E5185" s="179" t="s">
        <v>10043</v>
      </c>
      <c r="F5185" s="5" t="s">
        <v>11</v>
      </c>
    </row>
    <row r="5186" ht="18" customHeight="1" spans="1:6">
      <c r="A5186" s="13" t="s">
        <v>9761</v>
      </c>
      <c r="B5186" s="5" t="s">
        <v>10044</v>
      </c>
      <c r="C5186" s="13" t="s">
        <v>10045</v>
      </c>
      <c r="D5186" s="13">
        <v>4</v>
      </c>
      <c r="E5186" s="8" t="s">
        <v>10046</v>
      </c>
      <c r="F5186" s="5" t="s">
        <v>11</v>
      </c>
    </row>
    <row r="5187" ht="18" customHeight="1" spans="1:6">
      <c r="A5187" s="13" t="s">
        <v>9761</v>
      </c>
      <c r="B5187" s="5" t="s">
        <v>10031</v>
      </c>
      <c r="C5187" s="13" t="s">
        <v>10047</v>
      </c>
      <c r="D5187" s="13">
        <v>3</v>
      </c>
      <c r="E5187" s="179" t="s">
        <v>10048</v>
      </c>
      <c r="F5187" s="5" t="s">
        <v>11</v>
      </c>
    </row>
    <row r="5188" ht="18" customHeight="1" spans="1:6">
      <c r="A5188" s="13" t="s">
        <v>9761</v>
      </c>
      <c r="B5188" s="5" t="s">
        <v>10034</v>
      </c>
      <c r="C5188" s="13" t="s">
        <v>10049</v>
      </c>
      <c r="D5188" s="13">
        <v>1</v>
      </c>
      <c r="E5188" s="8" t="s">
        <v>10050</v>
      </c>
      <c r="F5188" s="5" t="s">
        <v>11</v>
      </c>
    </row>
    <row r="5189" ht="18" customHeight="1" spans="1:6">
      <c r="A5189" s="13" t="s">
        <v>9761</v>
      </c>
      <c r="B5189" s="5" t="s">
        <v>10034</v>
      </c>
      <c r="C5189" s="13" t="s">
        <v>10051</v>
      </c>
      <c r="D5189" s="13">
        <v>4</v>
      </c>
      <c r="E5189" s="8" t="s">
        <v>10052</v>
      </c>
      <c r="F5189" s="5" t="s">
        <v>11</v>
      </c>
    </row>
    <row r="5190" ht="18" customHeight="1" spans="1:6">
      <c r="A5190" s="13" t="s">
        <v>9761</v>
      </c>
      <c r="B5190" s="5" t="s">
        <v>10034</v>
      </c>
      <c r="C5190" s="13" t="s">
        <v>10053</v>
      </c>
      <c r="D5190" s="13">
        <v>2</v>
      </c>
      <c r="E5190" s="8" t="s">
        <v>10054</v>
      </c>
      <c r="F5190" s="5" t="s">
        <v>11</v>
      </c>
    </row>
    <row r="5191" ht="18" customHeight="1" spans="1:6">
      <c r="A5191" s="13" t="s">
        <v>9761</v>
      </c>
      <c r="B5191" s="5" t="s">
        <v>10034</v>
      </c>
      <c r="C5191" s="13" t="s">
        <v>10055</v>
      </c>
      <c r="D5191" s="13">
        <v>3</v>
      </c>
      <c r="E5191" s="8" t="s">
        <v>10056</v>
      </c>
      <c r="F5191" s="5" t="s">
        <v>11</v>
      </c>
    </row>
    <row r="5192" ht="18" customHeight="1" spans="1:6">
      <c r="A5192" s="13" t="s">
        <v>9761</v>
      </c>
      <c r="B5192" s="5" t="s">
        <v>10057</v>
      </c>
      <c r="C5192" s="14" t="s">
        <v>10058</v>
      </c>
      <c r="D5192" s="15">
        <v>3</v>
      </c>
      <c r="E5192" s="5" t="s">
        <v>10059</v>
      </c>
      <c r="F5192" s="5" t="s">
        <v>11</v>
      </c>
    </row>
    <row r="5193" ht="18" customHeight="1" spans="1:6">
      <c r="A5193" s="13" t="s">
        <v>9761</v>
      </c>
      <c r="B5193" s="5" t="s">
        <v>10057</v>
      </c>
      <c r="C5193" s="14" t="s">
        <v>10060</v>
      </c>
      <c r="D5193" s="15">
        <v>3</v>
      </c>
      <c r="E5193" s="14" t="s">
        <v>10061</v>
      </c>
      <c r="F5193" s="5" t="s">
        <v>11</v>
      </c>
    </row>
    <row r="5194" ht="18" customHeight="1" spans="1:6">
      <c r="A5194" s="13" t="s">
        <v>9761</v>
      </c>
      <c r="B5194" s="5" t="s">
        <v>10057</v>
      </c>
      <c r="C5194" s="14" t="s">
        <v>10062</v>
      </c>
      <c r="D5194" s="15">
        <v>3</v>
      </c>
      <c r="E5194" s="14" t="s">
        <v>10063</v>
      </c>
      <c r="F5194" s="5" t="s">
        <v>11</v>
      </c>
    </row>
    <row r="5195" ht="18" customHeight="1" spans="1:6">
      <c r="A5195" s="13" t="s">
        <v>9761</v>
      </c>
      <c r="B5195" s="5" t="s">
        <v>10057</v>
      </c>
      <c r="C5195" s="14" t="s">
        <v>10064</v>
      </c>
      <c r="D5195" s="15">
        <v>4</v>
      </c>
      <c r="E5195" s="14" t="s">
        <v>10065</v>
      </c>
      <c r="F5195" s="5" t="s">
        <v>11</v>
      </c>
    </row>
    <row r="5196" ht="18" customHeight="1" spans="1:6">
      <c r="A5196" s="13" t="s">
        <v>9761</v>
      </c>
      <c r="B5196" s="5" t="s">
        <v>10057</v>
      </c>
      <c r="C5196" s="14" t="s">
        <v>10066</v>
      </c>
      <c r="D5196" s="15">
        <v>2</v>
      </c>
      <c r="E5196" s="14" t="s">
        <v>10067</v>
      </c>
      <c r="F5196" s="5" t="s">
        <v>11</v>
      </c>
    </row>
    <row r="5197" ht="18" customHeight="1" spans="1:6">
      <c r="A5197" s="13" t="s">
        <v>9761</v>
      </c>
      <c r="B5197" s="5" t="s">
        <v>10057</v>
      </c>
      <c r="C5197" s="14" t="s">
        <v>10068</v>
      </c>
      <c r="D5197" s="15">
        <v>2</v>
      </c>
      <c r="E5197" s="14" t="s">
        <v>10069</v>
      </c>
      <c r="F5197" s="5" t="s">
        <v>11</v>
      </c>
    </row>
    <row r="5198" ht="18" customHeight="1" spans="1:6">
      <c r="A5198" s="13" t="s">
        <v>9761</v>
      </c>
      <c r="B5198" s="5" t="s">
        <v>10057</v>
      </c>
      <c r="C5198" s="14" t="s">
        <v>10070</v>
      </c>
      <c r="D5198" s="15">
        <v>3</v>
      </c>
      <c r="E5198" s="14" t="s">
        <v>10071</v>
      </c>
      <c r="F5198" s="5" t="s">
        <v>11</v>
      </c>
    </row>
    <row r="5199" ht="18" customHeight="1" spans="1:6">
      <c r="A5199" s="13" t="s">
        <v>9761</v>
      </c>
      <c r="B5199" s="5" t="s">
        <v>10057</v>
      </c>
      <c r="C5199" s="14" t="s">
        <v>10072</v>
      </c>
      <c r="D5199" s="15">
        <v>3</v>
      </c>
      <c r="E5199" s="14" t="s">
        <v>10073</v>
      </c>
      <c r="F5199" s="5" t="s">
        <v>11</v>
      </c>
    </row>
    <row r="5200" ht="18" customHeight="1" spans="1:6">
      <c r="A5200" s="13" t="s">
        <v>9761</v>
      </c>
      <c r="B5200" s="5" t="s">
        <v>10057</v>
      </c>
      <c r="C5200" s="14" t="s">
        <v>10074</v>
      </c>
      <c r="D5200" s="15">
        <v>2</v>
      </c>
      <c r="E5200" s="14" t="s">
        <v>10075</v>
      </c>
      <c r="F5200" s="5" t="s">
        <v>11</v>
      </c>
    </row>
    <row r="5201" ht="18" customHeight="1" spans="1:6">
      <c r="A5201" s="13" t="s">
        <v>9761</v>
      </c>
      <c r="B5201" s="5" t="s">
        <v>10057</v>
      </c>
      <c r="C5201" s="14" t="s">
        <v>10076</v>
      </c>
      <c r="D5201" s="15">
        <v>4</v>
      </c>
      <c r="E5201" s="14" t="s">
        <v>10077</v>
      </c>
      <c r="F5201" s="5" t="s">
        <v>11</v>
      </c>
    </row>
    <row r="5202" ht="18" customHeight="1" spans="1:6">
      <c r="A5202" s="13" t="s">
        <v>9761</v>
      </c>
      <c r="B5202" s="5" t="s">
        <v>10078</v>
      </c>
      <c r="C5202" s="5" t="s">
        <v>10079</v>
      </c>
      <c r="D5202" s="5">
        <v>4</v>
      </c>
      <c r="E5202" s="5" t="s">
        <v>10080</v>
      </c>
      <c r="F5202" s="5" t="s">
        <v>11</v>
      </c>
    </row>
    <row r="5203" ht="18" customHeight="1" spans="1:6">
      <c r="A5203" s="13" t="s">
        <v>9761</v>
      </c>
      <c r="B5203" s="5" t="s">
        <v>10078</v>
      </c>
      <c r="C5203" s="5" t="s">
        <v>10081</v>
      </c>
      <c r="D5203" s="5">
        <v>3</v>
      </c>
      <c r="E5203" s="5" t="s">
        <v>10082</v>
      </c>
      <c r="F5203" s="5" t="s">
        <v>11</v>
      </c>
    </row>
    <row r="5204" ht="18" customHeight="1" spans="1:6">
      <c r="A5204" s="13" t="s">
        <v>9761</v>
      </c>
      <c r="B5204" s="5" t="s">
        <v>10078</v>
      </c>
      <c r="C5204" s="5" t="s">
        <v>10083</v>
      </c>
      <c r="D5204" s="5">
        <v>2</v>
      </c>
      <c r="E5204" s="5" t="s">
        <v>10084</v>
      </c>
      <c r="F5204" s="5" t="s">
        <v>11</v>
      </c>
    </row>
    <row r="5205" ht="18" customHeight="1" spans="1:6">
      <c r="A5205" s="13" t="s">
        <v>9761</v>
      </c>
      <c r="B5205" s="5" t="s">
        <v>10078</v>
      </c>
      <c r="C5205" s="5" t="s">
        <v>10085</v>
      </c>
      <c r="D5205" s="5">
        <v>2</v>
      </c>
      <c r="E5205" s="5" t="s">
        <v>10086</v>
      </c>
      <c r="F5205" s="5" t="s">
        <v>11</v>
      </c>
    </row>
    <row r="5206" ht="18" customHeight="1" spans="1:6">
      <c r="A5206" s="13" t="s">
        <v>9761</v>
      </c>
      <c r="B5206" s="5" t="s">
        <v>10078</v>
      </c>
      <c r="C5206" s="5" t="s">
        <v>10087</v>
      </c>
      <c r="D5206" s="5">
        <v>1</v>
      </c>
      <c r="E5206" s="5" t="s">
        <v>10088</v>
      </c>
      <c r="F5206" s="5" t="s">
        <v>11</v>
      </c>
    </row>
    <row r="5207" ht="18" customHeight="1" spans="1:6">
      <c r="A5207" s="13" t="s">
        <v>9761</v>
      </c>
      <c r="B5207" s="5" t="s">
        <v>10078</v>
      </c>
      <c r="C5207" s="5" t="s">
        <v>10089</v>
      </c>
      <c r="D5207" s="5">
        <v>1</v>
      </c>
      <c r="E5207" s="5" t="s">
        <v>10090</v>
      </c>
      <c r="F5207" s="5" t="s">
        <v>11</v>
      </c>
    </row>
    <row r="5208" ht="18" customHeight="1" spans="1:6">
      <c r="A5208" s="13" t="s">
        <v>9761</v>
      </c>
      <c r="B5208" s="5" t="s">
        <v>10078</v>
      </c>
      <c r="C5208" s="5" t="s">
        <v>10091</v>
      </c>
      <c r="D5208" s="5">
        <v>4</v>
      </c>
      <c r="E5208" s="5" t="s">
        <v>10092</v>
      </c>
      <c r="F5208" s="5" t="s">
        <v>11</v>
      </c>
    </row>
    <row r="5209" ht="18" customHeight="1" spans="1:6">
      <c r="A5209" s="13" t="s">
        <v>9761</v>
      </c>
      <c r="B5209" s="5" t="s">
        <v>10078</v>
      </c>
      <c r="C5209" s="5" t="s">
        <v>10093</v>
      </c>
      <c r="D5209" s="5">
        <v>6</v>
      </c>
      <c r="E5209" s="5" t="s">
        <v>10094</v>
      </c>
      <c r="F5209" s="5" t="s">
        <v>11</v>
      </c>
    </row>
    <row r="5210" ht="18" customHeight="1" spans="1:6">
      <c r="A5210" s="13" t="s">
        <v>9761</v>
      </c>
      <c r="B5210" s="5" t="s">
        <v>10078</v>
      </c>
      <c r="C5210" s="5" t="s">
        <v>10095</v>
      </c>
      <c r="D5210" s="5">
        <v>1</v>
      </c>
      <c r="E5210" s="5" t="s">
        <v>10096</v>
      </c>
      <c r="F5210" s="5" t="s">
        <v>11</v>
      </c>
    </row>
    <row r="5211" ht="18" customHeight="1" spans="1:6">
      <c r="A5211" s="13" t="s">
        <v>9761</v>
      </c>
      <c r="B5211" s="5" t="s">
        <v>10078</v>
      </c>
      <c r="C5211" s="10" t="s">
        <v>10097</v>
      </c>
      <c r="D5211" s="11">
        <v>6</v>
      </c>
      <c r="E5211" s="5" t="s">
        <v>10098</v>
      </c>
      <c r="F5211" s="5" t="s">
        <v>11</v>
      </c>
    </row>
    <row r="5212" ht="18" customHeight="1" spans="1:6">
      <c r="A5212" s="13" t="s">
        <v>9761</v>
      </c>
      <c r="B5212" s="5" t="s">
        <v>10078</v>
      </c>
      <c r="C5212" s="10" t="s">
        <v>10099</v>
      </c>
      <c r="D5212" s="11">
        <v>7</v>
      </c>
      <c r="E5212" s="5" t="s">
        <v>10100</v>
      </c>
      <c r="F5212" s="5" t="s">
        <v>11</v>
      </c>
    </row>
    <row r="5213" ht="18" customHeight="1" spans="1:6">
      <c r="A5213" s="13" t="s">
        <v>9761</v>
      </c>
      <c r="B5213" s="5" t="s">
        <v>10078</v>
      </c>
      <c r="C5213" s="10" t="s">
        <v>10101</v>
      </c>
      <c r="D5213" s="11">
        <v>6</v>
      </c>
      <c r="E5213" s="5" t="s">
        <v>10102</v>
      </c>
      <c r="F5213" s="5" t="s">
        <v>11</v>
      </c>
    </row>
    <row r="5214" ht="18" customHeight="1" spans="1:6">
      <c r="A5214" s="13" t="s">
        <v>9761</v>
      </c>
      <c r="B5214" s="5" t="s">
        <v>10078</v>
      </c>
      <c r="C5214" s="10" t="s">
        <v>10103</v>
      </c>
      <c r="D5214" s="11">
        <v>3</v>
      </c>
      <c r="E5214" s="5" t="s">
        <v>10104</v>
      </c>
      <c r="F5214" s="5" t="s">
        <v>11</v>
      </c>
    </row>
    <row r="5215" ht="18" customHeight="1" spans="1:6">
      <c r="A5215" s="13" t="s">
        <v>9761</v>
      </c>
      <c r="B5215" s="5" t="s">
        <v>10105</v>
      </c>
      <c r="C5215" s="5" t="s">
        <v>10106</v>
      </c>
      <c r="D5215" s="5">
        <v>1</v>
      </c>
      <c r="E5215" s="5" t="s">
        <v>10107</v>
      </c>
      <c r="F5215" s="5" t="s">
        <v>11</v>
      </c>
    </row>
    <row r="5216" ht="18" customHeight="1" spans="1:6">
      <c r="A5216" s="13" t="s">
        <v>9761</v>
      </c>
      <c r="B5216" s="5" t="s">
        <v>10105</v>
      </c>
      <c r="C5216" s="5" t="s">
        <v>10108</v>
      </c>
      <c r="D5216" s="5">
        <v>4</v>
      </c>
      <c r="E5216" s="5" t="s">
        <v>10109</v>
      </c>
      <c r="F5216" s="5" t="s">
        <v>11</v>
      </c>
    </row>
    <row r="5217" ht="18" customHeight="1" spans="1:6">
      <c r="A5217" s="13" t="s">
        <v>9761</v>
      </c>
      <c r="B5217" s="5" t="s">
        <v>10105</v>
      </c>
      <c r="C5217" s="5" t="s">
        <v>10110</v>
      </c>
      <c r="D5217" s="5">
        <v>1</v>
      </c>
      <c r="E5217" s="5" t="s">
        <v>10111</v>
      </c>
      <c r="F5217" s="5" t="s">
        <v>11</v>
      </c>
    </row>
    <row r="5218" ht="18" customHeight="1" spans="1:6">
      <c r="A5218" s="13" t="s">
        <v>9761</v>
      </c>
      <c r="B5218" s="5" t="s">
        <v>10105</v>
      </c>
      <c r="C5218" s="5" t="s">
        <v>10112</v>
      </c>
      <c r="D5218" s="5">
        <v>1</v>
      </c>
      <c r="E5218" s="5" t="s">
        <v>10113</v>
      </c>
      <c r="F5218" s="5" t="s">
        <v>11</v>
      </c>
    </row>
    <row r="5219" ht="18" customHeight="1" spans="1:6">
      <c r="A5219" s="13" t="s">
        <v>9761</v>
      </c>
      <c r="B5219" s="5" t="s">
        <v>10105</v>
      </c>
      <c r="C5219" s="5" t="s">
        <v>10114</v>
      </c>
      <c r="D5219" s="5">
        <v>5</v>
      </c>
      <c r="E5219" s="5" t="s">
        <v>10115</v>
      </c>
      <c r="F5219" s="5" t="s">
        <v>11</v>
      </c>
    </row>
    <row r="5220" ht="18" customHeight="1" spans="1:6">
      <c r="A5220" s="13" t="s">
        <v>9761</v>
      </c>
      <c r="B5220" s="5" t="s">
        <v>10105</v>
      </c>
      <c r="C5220" s="5" t="s">
        <v>10116</v>
      </c>
      <c r="D5220" s="5">
        <v>2</v>
      </c>
      <c r="E5220" s="5" t="s">
        <v>10117</v>
      </c>
      <c r="F5220" s="5" t="s">
        <v>11</v>
      </c>
    </row>
    <row r="5221" ht="18" customHeight="1" spans="1:6">
      <c r="A5221" s="13" t="s">
        <v>9761</v>
      </c>
      <c r="B5221" s="5" t="s">
        <v>10105</v>
      </c>
      <c r="C5221" s="5" t="s">
        <v>10118</v>
      </c>
      <c r="D5221" s="5">
        <v>4</v>
      </c>
      <c r="E5221" s="5" t="s">
        <v>10119</v>
      </c>
      <c r="F5221" s="5" t="s">
        <v>11</v>
      </c>
    </row>
    <row r="5222" ht="18" customHeight="1" spans="1:6">
      <c r="A5222" s="13" t="s">
        <v>9761</v>
      </c>
      <c r="B5222" s="5" t="s">
        <v>10105</v>
      </c>
      <c r="C5222" s="5" t="s">
        <v>10120</v>
      </c>
      <c r="D5222" s="5">
        <v>5</v>
      </c>
      <c r="E5222" s="5" t="s">
        <v>10121</v>
      </c>
      <c r="F5222" s="5" t="s">
        <v>11</v>
      </c>
    </row>
    <row r="5223" ht="18" customHeight="1" spans="1:6">
      <c r="A5223" s="13" t="s">
        <v>9761</v>
      </c>
      <c r="B5223" s="5" t="s">
        <v>10105</v>
      </c>
      <c r="C5223" s="5" t="s">
        <v>10108</v>
      </c>
      <c r="D5223" s="5">
        <v>4</v>
      </c>
      <c r="E5223" s="5" t="s">
        <v>10109</v>
      </c>
      <c r="F5223" s="5" t="s">
        <v>11</v>
      </c>
    </row>
    <row r="5224" ht="18" customHeight="1" spans="1:6">
      <c r="A5224" s="13" t="s">
        <v>9761</v>
      </c>
      <c r="B5224" s="5" t="s">
        <v>10105</v>
      </c>
      <c r="C5224" s="5" t="s">
        <v>10122</v>
      </c>
      <c r="D5224" s="5">
        <v>4</v>
      </c>
      <c r="E5224" s="5" t="s">
        <v>10123</v>
      </c>
      <c r="F5224" s="5" t="s">
        <v>11</v>
      </c>
    </row>
    <row r="5225" ht="18" customHeight="1" spans="1:6">
      <c r="A5225" s="13" t="s">
        <v>9761</v>
      </c>
      <c r="B5225" s="5" t="s">
        <v>10105</v>
      </c>
      <c r="C5225" s="5" t="s">
        <v>10124</v>
      </c>
      <c r="D5225" s="5">
        <v>5</v>
      </c>
      <c r="E5225" s="5" t="s">
        <v>10125</v>
      </c>
      <c r="F5225" s="5" t="s">
        <v>11</v>
      </c>
    </row>
    <row r="5226" ht="18" customHeight="1" spans="1:6">
      <c r="A5226" s="13" t="s">
        <v>9761</v>
      </c>
      <c r="B5226" s="5" t="s">
        <v>10105</v>
      </c>
      <c r="C5226" s="5" t="s">
        <v>10126</v>
      </c>
      <c r="D5226" s="5">
        <v>5</v>
      </c>
      <c r="E5226" s="5" t="s">
        <v>10127</v>
      </c>
      <c r="F5226" s="5" t="s">
        <v>11</v>
      </c>
    </row>
    <row r="5227" ht="18" customHeight="1" spans="1:6">
      <c r="A5227" s="13" t="s">
        <v>9761</v>
      </c>
      <c r="B5227" s="5" t="s">
        <v>10105</v>
      </c>
      <c r="C5227" s="5" t="s">
        <v>10128</v>
      </c>
      <c r="D5227" s="5">
        <v>2</v>
      </c>
      <c r="E5227" s="5" t="s">
        <v>10129</v>
      </c>
      <c r="F5227" s="5" t="s">
        <v>11</v>
      </c>
    </row>
    <row r="5228" ht="18" customHeight="1" spans="1:6">
      <c r="A5228" s="13" t="s">
        <v>9761</v>
      </c>
      <c r="B5228" s="5" t="s">
        <v>10105</v>
      </c>
      <c r="C5228" s="10" t="s">
        <v>10130</v>
      </c>
      <c r="D5228" s="11">
        <v>3</v>
      </c>
      <c r="E5228" s="5" t="s">
        <v>10131</v>
      </c>
      <c r="F5228" s="5" t="s">
        <v>11</v>
      </c>
    </row>
    <row r="5229" ht="18" customHeight="1" spans="1:6">
      <c r="A5229" s="13" t="s">
        <v>9761</v>
      </c>
      <c r="B5229" s="5" t="s">
        <v>10105</v>
      </c>
      <c r="C5229" s="10" t="s">
        <v>10132</v>
      </c>
      <c r="D5229" s="11">
        <v>5</v>
      </c>
      <c r="E5229" s="5" t="s">
        <v>10133</v>
      </c>
      <c r="F5229" s="5" t="s">
        <v>11</v>
      </c>
    </row>
    <row r="5230" ht="18" customHeight="1" spans="1:6">
      <c r="A5230" s="13" t="s">
        <v>9761</v>
      </c>
      <c r="B5230" s="5" t="s">
        <v>2596</v>
      </c>
      <c r="C5230" s="5" t="s">
        <v>10134</v>
      </c>
      <c r="D5230" s="5">
        <v>1</v>
      </c>
      <c r="E5230" s="5" t="s">
        <v>10135</v>
      </c>
      <c r="F5230" s="5" t="s">
        <v>11</v>
      </c>
    </row>
    <row r="5231" ht="18" customHeight="1" spans="1:6">
      <c r="A5231" s="13" t="s">
        <v>9761</v>
      </c>
      <c r="B5231" s="5" t="s">
        <v>2596</v>
      </c>
      <c r="C5231" s="5" t="s">
        <v>10136</v>
      </c>
      <c r="D5231" s="5">
        <v>3</v>
      </c>
      <c r="E5231" s="5" t="s">
        <v>10137</v>
      </c>
      <c r="F5231" s="5" t="s">
        <v>11</v>
      </c>
    </row>
    <row r="5232" ht="18" customHeight="1" spans="1:6">
      <c r="A5232" s="13" t="s">
        <v>9761</v>
      </c>
      <c r="B5232" s="5" t="s">
        <v>2596</v>
      </c>
      <c r="C5232" s="5" t="s">
        <v>10138</v>
      </c>
      <c r="D5232" s="5">
        <v>4</v>
      </c>
      <c r="E5232" s="5" t="s">
        <v>10139</v>
      </c>
      <c r="F5232" s="5" t="s">
        <v>11</v>
      </c>
    </row>
    <row r="5233" ht="18" customHeight="1" spans="1:6">
      <c r="A5233" s="13" t="s">
        <v>9761</v>
      </c>
      <c r="B5233" s="5" t="s">
        <v>2596</v>
      </c>
      <c r="C5233" s="5" t="s">
        <v>10140</v>
      </c>
      <c r="D5233" s="5">
        <v>4</v>
      </c>
      <c r="E5233" s="5" t="s">
        <v>10141</v>
      </c>
      <c r="F5233" s="5" t="s">
        <v>11</v>
      </c>
    </row>
    <row r="5234" ht="18" customHeight="1" spans="1:6">
      <c r="A5234" s="13" t="s">
        <v>9761</v>
      </c>
      <c r="B5234" s="5" t="s">
        <v>2596</v>
      </c>
      <c r="C5234" s="5" t="s">
        <v>10142</v>
      </c>
      <c r="D5234" s="5">
        <v>3</v>
      </c>
      <c r="E5234" s="5" t="s">
        <v>10143</v>
      </c>
      <c r="F5234" s="5" t="s">
        <v>11</v>
      </c>
    </row>
    <row r="5235" ht="18" customHeight="1" spans="1:6">
      <c r="A5235" s="13" t="s">
        <v>9761</v>
      </c>
      <c r="B5235" s="5" t="s">
        <v>2596</v>
      </c>
      <c r="C5235" s="5" t="s">
        <v>10144</v>
      </c>
      <c r="D5235" s="5">
        <v>3</v>
      </c>
      <c r="E5235" s="5" t="s">
        <v>10145</v>
      </c>
      <c r="F5235" s="5" t="s">
        <v>11</v>
      </c>
    </row>
    <row r="5236" ht="18" customHeight="1" spans="1:6">
      <c r="A5236" s="13" t="s">
        <v>9761</v>
      </c>
      <c r="B5236" s="5" t="s">
        <v>2596</v>
      </c>
      <c r="C5236" s="5" t="s">
        <v>10146</v>
      </c>
      <c r="D5236" s="5">
        <v>5</v>
      </c>
      <c r="E5236" s="5" t="s">
        <v>10147</v>
      </c>
      <c r="F5236" s="5" t="s">
        <v>11</v>
      </c>
    </row>
    <row r="5237" ht="18" customHeight="1" spans="1:6">
      <c r="A5237" s="13" t="s">
        <v>9761</v>
      </c>
      <c r="B5237" s="5" t="s">
        <v>2596</v>
      </c>
      <c r="C5237" s="5" t="s">
        <v>10148</v>
      </c>
      <c r="D5237" s="5">
        <v>4</v>
      </c>
      <c r="E5237" s="5" t="s">
        <v>10149</v>
      </c>
      <c r="F5237" s="5" t="s">
        <v>11</v>
      </c>
    </row>
    <row r="5238" ht="18" customHeight="1" spans="1:6">
      <c r="A5238" s="13" t="s">
        <v>9761</v>
      </c>
      <c r="B5238" s="5" t="s">
        <v>2596</v>
      </c>
      <c r="C5238" s="10" t="s">
        <v>10150</v>
      </c>
      <c r="D5238" s="11">
        <v>4</v>
      </c>
      <c r="E5238" s="5" t="s">
        <v>10151</v>
      </c>
      <c r="F5238" s="5" t="s">
        <v>11</v>
      </c>
    </row>
    <row r="5239" ht="18" customHeight="1" spans="1:6">
      <c r="A5239" s="13" t="s">
        <v>9761</v>
      </c>
      <c r="B5239" s="5" t="s">
        <v>2596</v>
      </c>
      <c r="C5239" s="10" t="s">
        <v>10152</v>
      </c>
      <c r="D5239" s="11">
        <v>2</v>
      </c>
      <c r="E5239" s="5" t="s">
        <v>10153</v>
      </c>
      <c r="F5239" s="5" t="s">
        <v>11</v>
      </c>
    </row>
    <row r="5240" ht="18" customHeight="1" spans="1:6">
      <c r="A5240" s="13" t="s">
        <v>9761</v>
      </c>
      <c r="B5240" s="5" t="s">
        <v>2596</v>
      </c>
      <c r="C5240" s="10" t="s">
        <v>10154</v>
      </c>
      <c r="D5240" s="10">
        <v>1</v>
      </c>
      <c r="E5240" s="5" t="s">
        <v>10155</v>
      </c>
      <c r="F5240" s="5" t="s">
        <v>11</v>
      </c>
    </row>
    <row r="5241" ht="18" customHeight="1" spans="1:6">
      <c r="A5241" s="13" t="s">
        <v>9761</v>
      </c>
      <c r="B5241" s="5" t="s">
        <v>2596</v>
      </c>
      <c r="C5241" s="10" t="s">
        <v>10156</v>
      </c>
      <c r="D5241" s="11">
        <v>3</v>
      </c>
      <c r="E5241" s="5" t="s">
        <v>10157</v>
      </c>
      <c r="F5241" s="5" t="s">
        <v>11</v>
      </c>
    </row>
    <row r="5242" ht="18" customHeight="1" spans="1:6">
      <c r="A5242" s="13" t="s">
        <v>9761</v>
      </c>
      <c r="B5242" s="83" t="s">
        <v>10158</v>
      </c>
      <c r="C5242" s="83" t="s">
        <v>10159</v>
      </c>
      <c r="D5242" s="5">
        <v>3</v>
      </c>
      <c r="E5242" s="84" t="s">
        <v>10160</v>
      </c>
      <c r="F5242" s="83" t="s">
        <v>11</v>
      </c>
    </row>
    <row r="5243" ht="18" customHeight="1" spans="1:6">
      <c r="A5243" s="13" t="s">
        <v>9761</v>
      </c>
      <c r="B5243" s="83" t="s">
        <v>10161</v>
      </c>
      <c r="C5243" s="13" t="s">
        <v>10162</v>
      </c>
      <c r="D5243" s="13">
        <v>3</v>
      </c>
      <c r="E5243" s="14" t="s">
        <v>10163</v>
      </c>
      <c r="F5243" s="83" t="s">
        <v>11</v>
      </c>
    </row>
    <row r="5244" ht="18" customHeight="1" spans="1:6">
      <c r="A5244" s="13" t="s">
        <v>9761</v>
      </c>
      <c r="B5244" s="83" t="s">
        <v>10164</v>
      </c>
      <c r="C5244" s="85" t="s">
        <v>10165</v>
      </c>
      <c r="D5244" s="85">
        <v>5</v>
      </c>
      <c r="E5244" s="86" t="s">
        <v>10166</v>
      </c>
      <c r="F5244" s="83" t="s">
        <v>11</v>
      </c>
    </row>
    <row r="5245" ht="18" customHeight="1" spans="1:6">
      <c r="A5245" s="13" t="s">
        <v>9761</v>
      </c>
      <c r="B5245" s="83" t="s">
        <v>10164</v>
      </c>
      <c r="C5245" s="13" t="s">
        <v>10167</v>
      </c>
      <c r="D5245" s="13">
        <v>4</v>
      </c>
      <c r="E5245" s="14" t="s">
        <v>10168</v>
      </c>
      <c r="F5245" s="83" t="s">
        <v>11</v>
      </c>
    </row>
    <row r="5246" ht="18" customHeight="1" spans="1:6">
      <c r="A5246" s="13" t="s">
        <v>9761</v>
      </c>
      <c r="B5246" s="83" t="s">
        <v>10169</v>
      </c>
      <c r="C5246" s="13" t="s">
        <v>10170</v>
      </c>
      <c r="D5246" s="13">
        <v>1</v>
      </c>
      <c r="E5246" s="14" t="s">
        <v>10171</v>
      </c>
      <c r="F5246" s="83" t="s">
        <v>11</v>
      </c>
    </row>
    <row r="5247" ht="18" customHeight="1" spans="1:6">
      <c r="A5247" s="13" t="s">
        <v>9761</v>
      </c>
      <c r="B5247" s="83" t="s">
        <v>10169</v>
      </c>
      <c r="C5247" s="13" t="s">
        <v>10172</v>
      </c>
      <c r="D5247" s="13">
        <v>3</v>
      </c>
      <c r="E5247" s="14" t="s">
        <v>10173</v>
      </c>
      <c r="F5247" s="83" t="s">
        <v>11</v>
      </c>
    </row>
    <row r="5248" ht="18" customHeight="1" spans="1:6">
      <c r="A5248" s="13" t="s">
        <v>9761</v>
      </c>
      <c r="B5248" s="83" t="s">
        <v>10169</v>
      </c>
      <c r="C5248" s="13" t="s">
        <v>10174</v>
      </c>
      <c r="D5248" s="13">
        <v>8</v>
      </c>
      <c r="E5248" s="14" t="s">
        <v>10175</v>
      </c>
      <c r="F5248" s="83" t="s">
        <v>11</v>
      </c>
    </row>
    <row r="5249" ht="18" customHeight="1" spans="1:6">
      <c r="A5249" s="13" t="s">
        <v>9761</v>
      </c>
      <c r="B5249" s="83" t="s">
        <v>10169</v>
      </c>
      <c r="C5249" s="13" t="s">
        <v>10176</v>
      </c>
      <c r="D5249" s="5">
        <v>5</v>
      </c>
      <c r="E5249" s="14" t="s">
        <v>10177</v>
      </c>
      <c r="F5249" s="83" t="s">
        <v>11</v>
      </c>
    </row>
    <row r="5250" ht="18" customHeight="1" spans="1:6">
      <c r="A5250" s="13" t="s">
        <v>9761</v>
      </c>
      <c r="B5250" s="83" t="s">
        <v>10169</v>
      </c>
      <c r="C5250" s="13" t="s">
        <v>10178</v>
      </c>
      <c r="D5250" s="5">
        <v>5</v>
      </c>
      <c r="E5250" s="14" t="s">
        <v>10179</v>
      </c>
      <c r="F5250" s="83" t="s">
        <v>11</v>
      </c>
    </row>
    <row r="5251" ht="18" customHeight="1" spans="1:6">
      <c r="A5251" s="13" t="s">
        <v>9761</v>
      </c>
      <c r="B5251" s="83" t="s">
        <v>10169</v>
      </c>
      <c r="C5251" s="13" t="s">
        <v>10180</v>
      </c>
      <c r="D5251" s="5">
        <v>6</v>
      </c>
      <c r="E5251" s="14" t="s">
        <v>10181</v>
      </c>
      <c r="F5251" s="83" t="s">
        <v>11</v>
      </c>
    </row>
    <row r="5252" ht="18" customHeight="1" spans="1:6">
      <c r="A5252" s="13" t="s">
        <v>9761</v>
      </c>
      <c r="B5252" s="83" t="s">
        <v>10182</v>
      </c>
      <c r="C5252" s="13" t="s">
        <v>10183</v>
      </c>
      <c r="D5252" s="5">
        <v>3</v>
      </c>
      <c r="E5252" s="14" t="s">
        <v>10184</v>
      </c>
      <c r="F5252" s="83" t="s">
        <v>11</v>
      </c>
    </row>
    <row r="5253" ht="18" customHeight="1" spans="1:6">
      <c r="A5253" s="13" t="s">
        <v>9761</v>
      </c>
      <c r="B5253" s="83" t="s">
        <v>10182</v>
      </c>
      <c r="C5253" s="13" t="s">
        <v>10185</v>
      </c>
      <c r="D5253" s="5">
        <v>3</v>
      </c>
      <c r="E5253" s="14" t="s">
        <v>10186</v>
      </c>
      <c r="F5253" s="83" t="s">
        <v>11</v>
      </c>
    </row>
    <row r="5254" ht="18" customHeight="1" spans="1:6">
      <c r="A5254" s="13" t="s">
        <v>9761</v>
      </c>
      <c r="B5254" s="83" t="s">
        <v>10187</v>
      </c>
      <c r="C5254" s="13" t="s">
        <v>10188</v>
      </c>
      <c r="D5254" s="13">
        <v>5</v>
      </c>
      <c r="E5254" s="14" t="s">
        <v>10189</v>
      </c>
      <c r="F5254" s="83" t="s">
        <v>11</v>
      </c>
    </row>
    <row r="5255" ht="18" customHeight="1" spans="1:6">
      <c r="A5255" s="13" t="s">
        <v>9761</v>
      </c>
      <c r="B5255" s="83" t="s">
        <v>10187</v>
      </c>
      <c r="C5255" s="13" t="s">
        <v>10190</v>
      </c>
      <c r="D5255" s="13">
        <v>2</v>
      </c>
      <c r="E5255" s="14" t="s">
        <v>10191</v>
      </c>
      <c r="F5255" s="83" t="s">
        <v>11</v>
      </c>
    </row>
    <row r="5256" ht="18" customHeight="1" spans="1:6">
      <c r="A5256" s="13" t="s">
        <v>9761</v>
      </c>
      <c r="B5256" s="83" t="s">
        <v>10187</v>
      </c>
      <c r="C5256" s="13" t="s">
        <v>10192</v>
      </c>
      <c r="D5256" s="13">
        <v>4</v>
      </c>
      <c r="E5256" s="14" t="s">
        <v>10193</v>
      </c>
      <c r="F5256" s="83" t="s">
        <v>11</v>
      </c>
    </row>
    <row r="5257" ht="18" customHeight="1" spans="1:6">
      <c r="A5257" s="13" t="s">
        <v>9761</v>
      </c>
      <c r="B5257" s="83" t="s">
        <v>10194</v>
      </c>
      <c r="C5257" s="13" t="s">
        <v>10195</v>
      </c>
      <c r="D5257" s="13">
        <v>3</v>
      </c>
      <c r="E5257" s="14" t="s">
        <v>10196</v>
      </c>
      <c r="F5257" s="83" t="s">
        <v>11</v>
      </c>
    </row>
    <row r="5258" ht="18" customHeight="1" spans="1:6">
      <c r="A5258" s="13" t="s">
        <v>9761</v>
      </c>
      <c r="B5258" s="83" t="s">
        <v>10197</v>
      </c>
      <c r="C5258" s="13" t="s">
        <v>10198</v>
      </c>
      <c r="D5258" s="13">
        <v>3</v>
      </c>
      <c r="E5258" s="14" t="s">
        <v>10199</v>
      </c>
      <c r="F5258" s="83" t="s">
        <v>11</v>
      </c>
    </row>
    <row r="5259" ht="18" customHeight="1" spans="1:6">
      <c r="A5259" s="13" t="s">
        <v>9761</v>
      </c>
      <c r="B5259" s="83" t="s">
        <v>10197</v>
      </c>
      <c r="C5259" s="13" t="s">
        <v>10200</v>
      </c>
      <c r="D5259" s="13">
        <v>3</v>
      </c>
      <c r="E5259" s="14" t="s">
        <v>10201</v>
      </c>
      <c r="F5259" s="83" t="s">
        <v>11</v>
      </c>
    </row>
    <row r="5260" ht="18" customHeight="1" spans="1:6">
      <c r="A5260" s="13" t="s">
        <v>9761</v>
      </c>
      <c r="B5260" s="83" t="s">
        <v>10197</v>
      </c>
      <c r="C5260" s="13" t="s">
        <v>10202</v>
      </c>
      <c r="D5260" s="5">
        <v>4</v>
      </c>
      <c r="E5260" s="14" t="s">
        <v>10203</v>
      </c>
      <c r="F5260" s="83" t="s">
        <v>11</v>
      </c>
    </row>
    <row r="5261" ht="18" customHeight="1" spans="1:6">
      <c r="A5261" s="13" t="s">
        <v>9761</v>
      </c>
      <c r="B5261" s="83" t="s">
        <v>10197</v>
      </c>
      <c r="C5261" s="13" t="s">
        <v>10204</v>
      </c>
      <c r="D5261" s="5">
        <v>3</v>
      </c>
      <c r="E5261" s="14" t="s">
        <v>10205</v>
      </c>
      <c r="F5261" s="83" t="s">
        <v>11</v>
      </c>
    </row>
    <row r="5262" ht="18" customHeight="1" spans="1:6">
      <c r="A5262" s="13" t="s">
        <v>9761</v>
      </c>
      <c r="B5262" s="83" t="s">
        <v>10197</v>
      </c>
      <c r="C5262" s="13" t="s">
        <v>767</v>
      </c>
      <c r="D5262" s="13">
        <v>4</v>
      </c>
      <c r="E5262" s="13" t="s">
        <v>10206</v>
      </c>
      <c r="F5262" s="83" t="s">
        <v>11</v>
      </c>
    </row>
    <row r="5263" ht="18" customHeight="1" spans="1:6">
      <c r="A5263" s="13" t="s">
        <v>9761</v>
      </c>
      <c r="B5263" s="12" t="s">
        <v>10207</v>
      </c>
      <c r="C5263" s="13" t="s">
        <v>10208</v>
      </c>
      <c r="D5263" s="13">
        <v>4</v>
      </c>
      <c r="E5263" s="179" t="s">
        <v>10209</v>
      </c>
      <c r="F5263" s="83" t="s">
        <v>11</v>
      </c>
    </row>
    <row r="5264" ht="18" customHeight="1" spans="1:6">
      <c r="A5264" s="13" t="s">
        <v>9761</v>
      </c>
      <c r="B5264" s="12" t="s">
        <v>10210</v>
      </c>
      <c r="C5264" s="13" t="s">
        <v>10211</v>
      </c>
      <c r="D5264" s="13">
        <v>3</v>
      </c>
      <c r="E5264" s="179" t="s">
        <v>10212</v>
      </c>
      <c r="F5264" s="83" t="s">
        <v>11</v>
      </c>
    </row>
    <row r="5265" ht="18" customHeight="1" spans="1:6">
      <c r="A5265" s="13" t="s">
        <v>9761</v>
      </c>
      <c r="B5265" s="12" t="s">
        <v>10213</v>
      </c>
      <c r="C5265" s="13" t="s">
        <v>10214</v>
      </c>
      <c r="D5265" s="13">
        <v>2</v>
      </c>
      <c r="E5265" s="179" t="s">
        <v>10215</v>
      </c>
      <c r="F5265" s="83" t="s">
        <v>11</v>
      </c>
    </row>
    <row r="5266" ht="18" customHeight="1" spans="1:6">
      <c r="A5266" s="13" t="s">
        <v>9761</v>
      </c>
      <c r="B5266" s="12" t="s">
        <v>10210</v>
      </c>
      <c r="C5266" s="13" t="s">
        <v>10216</v>
      </c>
      <c r="D5266" s="13">
        <v>6</v>
      </c>
      <c r="E5266" s="179" t="s">
        <v>10217</v>
      </c>
      <c r="F5266" s="83" t="s">
        <v>11</v>
      </c>
    </row>
    <row r="5267" ht="18" customHeight="1" spans="1:6">
      <c r="A5267" s="13" t="s">
        <v>9761</v>
      </c>
      <c r="B5267" s="12" t="s">
        <v>10210</v>
      </c>
      <c r="C5267" s="13" t="s">
        <v>10218</v>
      </c>
      <c r="D5267" s="13">
        <v>6</v>
      </c>
      <c r="E5267" s="179" t="s">
        <v>10219</v>
      </c>
      <c r="F5267" s="83" t="s">
        <v>11</v>
      </c>
    </row>
    <row r="5268" ht="18" customHeight="1" spans="1:6">
      <c r="A5268" s="13" t="s">
        <v>9761</v>
      </c>
      <c r="B5268" s="12" t="s">
        <v>10213</v>
      </c>
      <c r="C5268" s="13" t="s">
        <v>10220</v>
      </c>
      <c r="D5268" s="13">
        <v>4</v>
      </c>
      <c r="E5268" s="179" t="s">
        <v>10221</v>
      </c>
      <c r="F5268" s="83" t="s">
        <v>11</v>
      </c>
    </row>
    <row r="5269" ht="18" customHeight="1" spans="1:6">
      <c r="A5269" s="13" t="s">
        <v>9761</v>
      </c>
      <c r="B5269" s="12" t="s">
        <v>10213</v>
      </c>
      <c r="C5269" s="13" t="s">
        <v>10222</v>
      </c>
      <c r="D5269" s="13">
        <v>5</v>
      </c>
      <c r="E5269" s="179" t="s">
        <v>10223</v>
      </c>
      <c r="F5269" s="83" t="s">
        <v>11</v>
      </c>
    </row>
    <row r="5270" ht="18" customHeight="1" spans="1:6">
      <c r="A5270" s="13" t="s">
        <v>9761</v>
      </c>
      <c r="B5270" s="12" t="s">
        <v>10213</v>
      </c>
      <c r="C5270" s="13" t="s">
        <v>10224</v>
      </c>
      <c r="D5270" s="13">
        <v>4</v>
      </c>
      <c r="E5270" s="179" t="s">
        <v>10225</v>
      </c>
      <c r="F5270" s="83" t="s">
        <v>11</v>
      </c>
    </row>
    <row r="5271" ht="18" customHeight="1" spans="1:6">
      <c r="A5271" s="13" t="s">
        <v>9761</v>
      </c>
      <c r="B5271" s="12" t="s">
        <v>10213</v>
      </c>
      <c r="C5271" s="13" t="s">
        <v>10226</v>
      </c>
      <c r="D5271" s="13">
        <v>4</v>
      </c>
      <c r="E5271" s="179" t="s">
        <v>10227</v>
      </c>
      <c r="F5271" s="83" t="s">
        <v>11</v>
      </c>
    </row>
    <row r="5272" ht="18" customHeight="1" spans="1:6">
      <c r="A5272" s="13" t="s">
        <v>9761</v>
      </c>
      <c r="B5272" s="12" t="s">
        <v>10213</v>
      </c>
      <c r="C5272" s="13" t="s">
        <v>10228</v>
      </c>
      <c r="D5272" s="13">
        <v>5</v>
      </c>
      <c r="E5272" s="179" t="s">
        <v>10229</v>
      </c>
      <c r="F5272" s="83" t="s">
        <v>11</v>
      </c>
    </row>
    <row r="5273" ht="18" customHeight="1" spans="1:6">
      <c r="A5273" s="13" t="s">
        <v>9761</v>
      </c>
      <c r="B5273" s="12" t="s">
        <v>10213</v>
      </c>
      <c r="C5273" s="13" t="s">
        <v>10230</v>
      </c>
      <c r="D5273" s="13">
        <v>5</v>
      </c>
      <c r="E5273" s="179" t="s">
        <v>10231</v>
      </c>
      <c r="F5273" s="83" t="s">
        <v>11</v>
      </c>
    </row>
    <row r="5274" ht="18" customHeight="1" spans="1:6">
      <c r="A5274" s="13" t="s">
        <v>9761</v>
      </c>
      <c r="B5274" s="12" t="s">
        <v>10213</v>
      </c>
      <c r="C5274" s="13" t="s">
        <v>10232</v>
      </c>
      <c r="D5274" s="13">
        <v>3</v>
      </c>
      <c r="E5274" s="179" t="s">
        <v>10233</v>
      </c>
      <c r="F5274" s="83" t="s">
        <v>11</v>
      </c>
    </row>
    <row r="5275" ht="18" customHeight="1" spans="1:6">
      <c r="A5275" s="13" t="s">
        <v>9761</v>
      </c>
      <c r="B5275" s="12" t="s">
        <v>10213</v>
      </c>
      <c r="C5275" s="13" t="s">
        <v>10234</v>
      </c>
      <c r="D5275" s="13">
        <v>4</v>
      </c>
      <c r="E5275" s="179" t="s">
        <v>10235</v>
      </c>
      <c r="F5275" s="83" t="s">
        <v>11</v>
      </c>
    </row>
    <row r="5276" ht="18" customHeight="1" spans="1:6">
      <c r="A5276" s="13" t="s">
        <v>9761</v>
      </c>
      <c r="B5276" s="12" t="s">
        <v>10213</v>
      </c>
      <c r="C5276" s="13" t="s">
        <v>10236</v>
      </c>
      <c r="D5276" s="13">
        <v>5</v>
      </c>
      <c r="E5276" s="179" t="s">
        <v>10237</v>
      </c>
      <c r="F5276" s="83" t="s">
        <v>11</v>
      </c>
    </row>
    <row r="5277" ht="18" customHeight="1" spans="1:6">
      <c r="A5277" s="13" t="s">
        <v>9761</v>
      </c>
      <c r="B5277" s="12" t="s">
        <v>10210</v>
      </c>
      <c r="C5277" s="13" t="s">
        <v>10238</v>
      </c>
      <c r="D5277" s="13">
        <v>2</v>
      </c>
      <c r="E5277" s="179" t="s">
        <v>10239</v>
      </c>
      <c r="F5277" s="83" t="s">
        <v>11</v>
      </c>
    </row>
    <row r="5278" ht="18" customHeight="1" spans="1:6">
      <c r="A5278" s="13" t="s">
        <v>9761</v>
      </c>
      <c r="B5278" s="12" t="s">
        <v>10213</v>
      </c>
      <c r="C5278" s="12" t="s">
        <v>10240</v>
      </c>
      <c r="D5278" s="6">
        <v>5</v>
      </c>
      <c r="E5278" s="12" t="s">
        <v>10241</v>
      </c>
      <c r="F5278" s="83" t="s">
        <v>11</v>
      </c>
    </row>
    <row r="5279" ht="18" customHeight="1" spans="1:6">
      <c r="A5279" s="13" t="s">
        <v>9761</v>
      </c>
      <c r="B5279" s="12" t="s">
        <v>10213</v>
      </c>
      <c r="C5279" s="12" t="s">
        <v>10242</v>
      </c>
      <c r="D5279" s="6">
        <v>3</v>
      </c>
      <c r="E5279" s="12" t="s">
        <v>10243</v>
      </c>
      <c r="F5279" s="83" t="s">
        <v>11</v>
      </c>
    </row>
    <row r="5280" ht="18" customHeight="1" spans="1:6">
      <c r="A5280" s="13" t="s">
        <v>9761</v>
      </c>
      <c r="B5280" s="12" t="s">
        <v>10213</v>
      </c>
      <c r="C5280" s="12" t="s">
        <v>10244</v>
      </c>
      <c r="D5280" s="6">
        <v>3</v>
      </c>
      <c r="E5280" s="12" t="s">
        <v>10245</v>
      </c>
      <c r="F5280" s="83" t="s">
        <v>11</v>
      </c>
    </row>
    <row r="5281" ht="18" customHeight="1" spans="1:6">
      <c r="A5281" s="13" t="s">
        <v>9761</v>
      </c>
      <c r="B5281" s="12" t="s">
        <v>10213</v>
      </c>
      <c r="C5281" s="12" t="s">
        <v>10246</v>
      </c>
      <c r="D5281" s="6">
        <v>3</v>
      </c>
      <c r="E5281" s="12" t="s">
        <v>10247</v>
      </c>
      <c r="F5281" s="83" t="s">
        <v>11</v>
      </c>
    </row>
    <row r="5282" ht="18" customHeight="1" spans="1:6">
      <c r="A5282" s="13" t="s">
        <v>9761</v>
      </c>
      <c r="B5282" s="12" t="s">
        <v>10213</v>
      </c>
      <c r="C5282" s="12" t="s">
        <v>2226</v>
      </c>
      <c r="D5282" s="6">
        <v>4</v>
      </c>
      <c r="E5282" s="12" t="s">
        <v>10248</v>
      </c>
      <c r="F5282" s="83" t="s">
        <v>11</v>
      </c>
    </row>
    <row r="5283" ht="18" customHeight="1" spans="1:6">
      <c r="A5283" s="13" t="s">
        <v>9761</v>
      </c>
      <c r="B5283" s="12" t="s">
        <v>10213</v>
      </c>
      <c r="C5283" s="12" t="s">
        <v>10249</v>
      </c>
      <c r="D5283" s="6">
        <v>3</v>
      </c>
      <c r="E5283" s="12" t="s">
        <v>10250</v>
      </c>
      <c r="F5283" s="83" t="s">
        <v>11</v>
      </c>
    </row>
    <row r="5284" ht="18" customHeight="1" spans="1:6">
      <c r="A5284" s="13" t="s">
        <v>9761</v>
      </c>
      <c r="B5284" s="12" t="s">
        <v>10213</v>
      </c>
      <c r="C5284" s="14" t="s">
        <v>10251</v>
      </c>
      <c r="D5284" s="15">
        <v>2</v>
      </c>
      <c r="E5284" s="12" t="s">
        <v>10252</v>
      </c>
      <c r="F5284" s="83" t="s">
        <v>11</v>
      </c>
    </row>
    <row r="5285" ht="18" customHeight="1" spans="1:6">
      <c r="A5285" s="13" t="s">
        <v>9761</v>
      </c>
      <c r="B5285" s="12" t="s">
        <v>10207</v>
      </c>
      <c r="C5285" s="14" t="s">
        <v>10253</v>
      </c>
      <c r="D5285" s="15">
        <v>5</v>
      </c>
      <c r="E5285" s="12" t="s">
        <v>10254</v>
      </c>
      <c r="F5285" s="83" t="s">
        <v>11</v>
      </c>
    </row>
    <row r="5286" ht="18" customHeight="1" spans="1:6">
      <c r="A5286" s="13" t="s">
        <v>9761</v>
      </c>
      <c r="B5286" s="12" t="s">
        <v>10207</v>
      </c>
      <c r="C5286" s="14" t="s">
        <v>10255</v>
      </c>
      <c r="D5286" s="15">
        <v>3</v>
      </c>
      <c r="E5286" s="12" t="s">
        <v>10256</v>
      </c>
      <c r="F5286" s="83" t="s">
        <v>11</v>
      </c>
    </row>
    <row r="5287" ht="18" customHeight="1" spans="1:6">
      <c r="A5287" s="13" t="s">
        <v>9761</v>
      </c>
      <c r="B5287" s="12" t="s">
        <v>10207</v>
      </c>
      <c r="C5287" s="14" t="s">
        <v>10257</v>
      </c>
      <c r="D5287" s="15">
        <v>4</v>
      </c>
      <c r="E5287" s="12" t="s">
        <v>10258</v>
      </c>
      <c r="F5287" s="83" t="s">
        <v>11</v>
      </c>
    </row>
    <row r="5288" ht="18" customHeight="1" spans="1:6">
      <c r="A5288" s="13" t="s">
        <v>9761</v>
      </c>
      <c r="B5288" s="12" t="s">
        <v>10210</v>
      </c>
      <c r="C5288" s="14" t="s">
        <v>10259</v>
      </c>
      <c r="D5288" s="15">
        <v>6</v>
      </c>
      <c r="E5288" s="12" t="s">
        <v>10260</v>
      </c>
      <c r="F5288" s="83" t="s">
        <v>11</v>
      </c>
    </row>
    <row r="5289" ht="18" customHeight="1" spans="1:6">
      <c r="A5289" s="13" t="s">
        <v>9761</v>
      </c>
      <c r="B5289" s="12" t="s">
        <v>10210</v>
      </c>
      <c r="C5289" s="14" t="s">
        <v>10261</v>
      </c>
      <c r="D5289" s="15">
        <v>5</v>
      </c>
      <c r="E5289" s="12" t="s">
        <v>10262</v>
      </c>
      <c r="F5289" s="83" t="s">
        <v>11</v>
      </c>
    </row>
    <row r="5290" ht="18" customHeight="1" spans="1:6">
      <c r="A5290" s="13" t="s">
        <v>9761</v>
      </c>
      <c r="B5290" s="12" t="s">
        <v>10210</v>
      </c>
      <c r="C5290" s="14" t="s">
        <v>10263</v>
      </c>
      <c r="D5290" s="15">
        <v>4</v>
      </c>
      <c r="E5290" s="12" t="s">
        <v>10264</v>
      </c>
      <c r="F5290" s="83" t="s">
        <v>11</v>
      </c>
    </row>
    <row r="5291" ht="18" customHeight="1" spans="1:6">
      <c r="A5291" s="13" t="s">
        <v>9761</v>
      </c>
      <c r="B5291" s="12" t="s">
        <v>10210</v>
      </c>
      <c r="C5291" s="14" t="s">
        <v>10265</v>
      </c>
      <c r="D5291" s="15">
        <v>3</v>
      </c>
      <c r="E5291" s="12" t="s">
        <v>10266</v>
      </c>
      <c r="F5291" s="83" t="s">
        <v>11</v>
      </c>
    </row>
    <row r="5292" ht="18" customHeight="1" spans="1:6">
      <c r="A5292" s="13" t="s">
        <v>9761</v>
      </c>
      <c r="B5292" s="12" t="s">
        <v>10210</v>
      </c>
      <c r="C5292" s="14" t="s">
        <v>10267</v>
      </c>
      <c r="D5292" s="15">
        <v>2</v>
      </c>
      <c r="E5292" s="12" t="s">
        <v>10268</v>
      </c>
      <c r="F5292" s="83" t="s">
        <v>11</v>
      </c>
    </row>
    <row r="5293" ht="18" customHeight="1" spans="1:6">
      <c r="A5293" s="13" t="s">
        <v>9761</v>
      </c>
      <c r="B5293" s="12" t="s">
        <v>10210</v>
      </c>
      <c r="C5293" s="14" t="s">
        <v>10269</v>
      </c>
      <c r="D5293" s="15">
        <v>2</v>
      </c>
      <c r="E5293" s="12" t="s">
        <v>10270</v>
      </c>
      <c r="F5293" s="83" t="s">
        <v>11</v>
      </c>
    </row>
    <row r="5294" ht="18" customHeight="1" spans="1:6">
      <c r="A5294" s="13" t="s">
        <v>9761</v>
      </c>
      <c r="B5294" s="12" t="s">
        <v>10210</v>
      </c>
      <c r="C5294" s="14" t="s">
        <v>10271</v>
      </c>
      <c r="D5294" s="15">
        <v>2</v>
      </c>
      <c r="E5294" s="12" t="s">
        <v>10272</v>
      </c>
      <c r="F5294" s="83" t="s">
        <v>11</v>
      </c>
    </row>
    <row r="5295" ht="18" customHeight="1" spans="1:6">
      <c r="A5295" s="13" t="s">
        <v>9761</v>
      </c>
      <c r="B5295" s="12" t="s">
        <v>10210</v>
      </c>
      <c r="C5295" s="14" t="s">
        <v>10273</v>
      </c>
      <c r="D5295" s="15">
        <v>2</v>
      </c>
      <c r="E5295" s="12" t="s">
        <v>10274</v>
      </c>
      <c r="F5295" s="83" t="s">
        <v>11</v>
      </c>
    </row>
    <row r="5296" ht="18" customHeight="1" spans="1:6">
      <c r="A5296" s="13" t="s">
        <v>9761</v>
      </c>
      <c r="B5296" s="12" t="s">
        <v>10210</v>
      </c>
      <c r="C5296" s="14" t="s">
        <v>10275</v>
      </c>
      <c r="D5296" s="15">
        <v>6</v>
      </c>
      <c r="E5296" s="12" t="s">
        <v>10276</v>
      </c>
      <c r="F5296" s="83" t="s">
        <v>11</v>
      </c>
    </row>
    <row r="5297" ht="18" customHeight="1" spans="1:6">
      <c r="A5297" s="13" t="s">
        <v>9761</v>
      </c>
      <c r="B5297" s="12" t="s">
        <v>10210</v>
      </c>
      <c r="C5297" s="14" t="s">
        <v>10277</v>
      </c>
      <c r="D5297" s="15">
        <v>2</v>
      </c>
      <c r="E5297" s="12" t="s">
        <v>10278</v>
      </c>
      <c r="F5297" s="83" t="s">
        <v>11</v>
      </c>
    </row>
    <row r="5298" ht="18" customHeight="1" spans="1:6">
      <c r="A5298" s="13" t="s">
        <v>9761</v>
      </c>
      <c r="B5298" s="12" t="s">
        <v>10279</v>
      </c>
      <c r="C5298" s="14" t="s">
        <v>10280</v>
      </c>
      <c r="D5298" s="15">
        <v>6</v>
      </c>
      <c r="E5298" s="12" t="s">
        <v>10281</v>
      </c>
      <c r="F5298" s="83" t="s">
        <v>11</v>
      </c>
    </row>
    <row r="5299" ht="18" customHeight="1" spans="1:6">
      <c r="A5299" s="13" t="s">
        <v>9761</v>
      </c>
      <c r="B5299" s="12" t="s">
        <v>10207</v>
      </c>
      <c r="C5299" s="14" t="s">
        <v>10282</v>
      </c>
      <c r="D5299" s="15">
        <v>2</v>
      </c>
      <c r="E5299" s="12" t="s">
        <v>10283</v>
      </c>
      <c r="F5299" s="83" t="s">
        <v>11</v>
      </c>
    </row>
    <row r="5300" ht="18" customHeight="1" spans="1:6">
      <c r="A5300" s="13" t="s">
        <v>9761</v>
      </c>
      <c r="B5300" s="12" t="s">
        <v>10207</v>
      </c>
      <c r="C5300" s="14" t="s">
        <v>10284</v>
      </c>
      <c r="D5300" s="15">
        <v>3</v>
      </c>
      <c r="E5300" s="12" t="s">
        <v>10285</v>
      </c>
      <c r="F5300" s="83" t="s">
        <v>11</v>
      </c>
    </row>
    <row r="5301" ht="18" customHeight="1" spans="1:6">
      <c r="A5301" s="13" t="s">
        <v>9761</v>
      </c>
      <c r="B5301" s="12" t="s">
        <v>10279</v>
      </c>
      <c r="C5301" s="14" t="s">
        <v>10286</v>
      </c>
      <c r="D5301" s="15">
        <v>3</v>
      </c>
      <c r="E5301" s="12" t="s">
        <v>10287</v>
      </c>
      <c r="F5301" s="83" t="s">
        <v>11</v>
      </c>
    </row>
    <row r="5302" ht="18" customHeight="1" spans="1:6">
      <c r="A5302" s="13" t="s">
        <v>9761</v>
      </c>
      <c r="B5302" s="12" t="s">
        <v>10279</v>
      </c>
      <c r="C5302" s="14" t="s">
        <v>10288</v>
      </c>
      <c r="D5302" s="15">
        <v>4</v>
      </c>
      <c r="E5302" s="12" t="s">
        <v>10289</v>
      </c>
      <c r="F5302" s="83" t="s">
        <v>11</v>
      </c>
    </row>
    <row r="5303" ht="18" customHeight="1" spans="1:6">
      <c r="A5303" s="13" t="s">
        <v>9761</v>
      </c>
      <c r="B5303" s="12" t="s">
        <v>10207</v>
      </c>
      <c r="C5303" s="14" t="s">
        <v>10290</v>
      </c>
      <c r="D5303" s="15">
        <v>3</v>
      </c>
      <c r="E5303" s="12" t="s">
        <v>10291</v>
      </c>
      <c r="F5303" s="83" t="s">
        <v>11</v>
      </c>
    </row>
    <row r="5304" ht="18" customHeight="1" spans="1:6">
      <c r="A5304" s="13" t="s">
        <v>9761</v>
      </c>
      <c r="B5304" s="12" t="s">
        <v>10207</v>
      </c>
      <c r="C5304" s="14" t="s">
        <v>10292</v>
      </c>
      <c r="D5304" s="15">
        <v>5</v>
      </c>
      <c r="E5304" s="12" t="s">
        <v>10293</v>
      </c>
      <c r="F5304" s="83" t="s">
        <v>11</v>
      </c>
    </row>
    <row r="5305" ht="18" customHeight="1" spans="1:6">
      <c r="A5305" s="13" t="s">
        <v>9761</v>
      </c>
      <c r="B5305" s="12" t="s">
        <v>10213</v>
      </c>
      <c r="C5305" s="13" t="s">
        <v>10294</v>
      </c>
      <c r="D5305" s="13">
        <v>4</v>
      </c>
      <c r="E5305" s="179" t="s">
        <v>10295</v>
      </c>
      <c r="F5305" s="83" t="s">
        <v>11</v>
      </c>
    </row>
    <row r="5306" ht="18" customHeight="1" spans="1:6">
      <c r="A5306" s="13" t="s">
        <v>9761</v>
      </c>
      <c r="B5306" s="8" t="s">
        <v>10296</v>
      </c>
      <c r="C5306" s="13" t="s">
        <v>10297</v>
      </c>
      <c r="D5306" s="13">
        <v>1</v>
      </c>
      <c r="E5306" s="5" t="s">
        <v>10298</v>
      </c>
      <c r="F5306" s="13" t="s">
        <v>11</v>
      </c>
    </row>
    <row r="5307" ht="18" customHeight="1" spans="1:6">
      <c r="A5307" s="13" t="s">
        <v>9761</v>
      </c>
      <c r="B5307" s="8" t="s">
        <v>10299</v>
      </c>
      <c r="C5307" s="8" t="s">
        <v>10300</v>
      </c>
      <c r="D5307" s="8">
        <v>1</v>
      </c>
      <c r="E5307" s="5" t="s">
        <v>10301</v>
      </c>
      <c r="F5307" s="13" t="s">
        <v>11</v>
      </c>
    </row>
    <row r="5308" ht="18" customHeight="1" spans="1:6">
      <c r="A5308" s="13" t="s">
        <v>9761</v>
      </c>
      <c r="B5308" s="8" t="s">
        <v>10299</v>
      </c>
      <c r="C5308" s="8" t="s">
        <v>10302</v>
      </c>
      <c r="D5308" s="8">
        <v>1</v>
      </c>
      <c r="E5308" s="5" t="s">
        <v>10303</v>
      </c>
      <c r="F5308" s="13" t="s">
        <v>11</v>
      </c>
    </row>
    <row r="5309" ht="18" customHeight="1" spans="1:6">
      <c r="A5309" s="13" t="s">
        <v>9761</v>
      </c>
      <c r="B5309" s="8" t="s">
        <v>10299</v>
      </c>
      <c r="C5309" s="8" t="s">
        <v>10304</v>
      </c>
      <c r="D5309" s="8">
        <v>1</v>
      </c>
      <c r="E5309" s="5" t="s">
        <v>10305</v>
      </c>
      <c r="F5309" s="13" t="s">
        <v>11</v>
      </c>
    </row>
    <row r="5310" ht="18" customHeight="1" spans="1:6">
      <c r="A5310" s="13" t="s">
        <v>9761</v>
      </c>
      <c r="B5310" s="8" t="s">
        <v>10306</v>
      </c>
      <c r="C5310" s="8" t="s">
        <v>10307</v>
      </c>
      <c r="D5310" s="8">
        <v>1</v>
      </c>
      <c r="E5310" s="5" t="s">
        <v>10308</v>
      </c>
      <c r="F5310" s="13" t="s">
        <v>11</v>
      </c>
    </row>
    <row r="5311" ht="18" customHeight="1" spans="1:6">
      <c r="A5311" s="13" t="s">
        <v>9761</v>
      </c>
      <c r="B5311" s="8" t="s">
        <v>10306</v>
      </c>
      <c r="C5311" s="8" t="s">
        <v>10309</v>
      </c>
      <c r="D5311" s="8">
        <v>1</v>
      </c>
      <c r="E5311" s="5" t="s">
        <v>10310</v>
      </c>
      <c r="F5311" s="13" t="s">
        <v>11</v>
      </c>
    </row>
    <row r="5312" ht="18" customHeight="1" spans="1:6">
      <c r="A5312" s="13" t="s">
        <v>9761</v>
      </c>
      <c r="B5312" s="8" t="s">
        <v>10306</v>
      </c>
      <c r="C5312" s="8" t="s">
        <v>10311</v>
      </c>
      <c r="D5312" s="8">
        <v>1</v>
      </c>
      <c r="E5312" s="5" t="s">
        <v>10312</v>
      </c>
      <c r="F5312" s="13" t="s">
        <v>11</v>
      </c>
    </row>
    <row r="5313" ht="18" customHeight="1" spans="1:6">
      <c r="A5313" s="13" t="s">
        <v>9761</v>
      </c>
      <c r="B5313" s="8" t="s">
        <v>10306</v>
      </c>
      <c r="C5313" s="8" t="s">
        <v>10313</v>
      </c>
      <c r="D5313" s="8">
        <v>1</v>
      </c>
      <c r="E5313" s="5" t="s">
        <v>10314</v>
      </c>
      <c r="F5313" s="13" t="s">
        <v>11</v>
      </c>
    </row>
    <row r="5314" ht="18" customHeight="1" spans="1:6">
      <c r="A5314" s="13" t="s">
        <v>9761</v>
      </c>
      <c r="B5314" s="8" t="s">
        <v>10315</v>
      </c>
      <c r="C5314" s="8" t="s">
        <v>10316</v>
      </c>
      <c r="D5314" s="8">
        <v>1</v>
      </c>
      <c r="E5314" s="5" t="s">
        <v>10317</v>
      </c>
      <c r="F5314" s="13" t="s">
        <v>11</v>
      </c>
    </row>
    <row r="5315" ht="18" customHeight="1" spans="1:6">
      <c r="A5315" s="13" t="s">
        <v>9761</v>
      </c>
      <c r="B5315" s="8" t="s">
        <v>10315</v>
      </c>
      <c r="C5315" s="8" t="s">
        <v>10318</v>
      </c>
      <c r="D5315" s="8">
        <v>1</v>
      </c>
      <c r="E5315" s="5" t="s">
        <v>10319</v>
      </c>
      <c r="F5315" s="13" t="s">
        <v>11</v>
      </c>
    </row>
    <row r="5316" ht="18" customHeight="1" spans="1:6">
      <c r="A5316" s="13" t="s">
        <v>9761</v>
      </c>
      <c r="B5316" s="8" t="s">
        <v>10315</v>
      </c>
      <c r="C5316" s="8" t="s">
        <v>10320</v>
      </c>
      <c r="D5316" s="8">
        <v>1</v>
      </c>
      <c r="E5316" s="5" t="s">
        <v>10321</v>
      </c>
      <c r="F5316" s="13" t="s">
        <v>11</v>
      </c>
    </row>
    <row r="5317" ht="18" customHeight="1" spans="1:6">
      <c r="A5317" s="13" t="s">
        <v>9761</v>
      </c>
      <c r="B5317" s="8" t="s">
        <v>10322</v>
      </c>
      <c r="C5317" s="8" t="s">
        <v>10323</v>
      </c>
      <c r="D5317" s="8">
        <v>1</v>
      </c>
      <c r="E5317" s="5" t="s">
        <v>10324</v>
      </c>
      <c r="F5317" s="13" t="s">
        <v>11</v>
      </c>
    </row>
    <row r="5318" ht="18" customHeight="1" spans="1:6">
      <c r="A5318" s="13" t="s">
        <v>9761</v>
      </c>
      <c r="B5318" s="8" t="s">
        <v>10296</v>
      </c>
      <c r="C5318" s="13" t="s">
        <v>10325</v>
      </c>
      <c r="D5318" s="13">
        <v>1</v>
      </c>
      <c r="E5318" s="5" t="s">
        <v>10326</v>
      </c>
      <c r="F5318" s="13" t="s">
        <v>11</v>
      </c>
    </row>
    <row r="5319" ht="18" customHeight="1" spans="1:6">
      <c r="A5319" s="13" t="s">
        <v>9761</v>
      </c>
      <c r="B5319" s="8" t="s">
        <v>10296</v>
      </c>
      <c r="C5319" s="13" t="s">
        <v>10327</v>
      </c>
      <c r="D5319" s="13">
        <v>1</v>
      </c>
      <c r="E5319" s="5" t="s">
        <v>10328</v>
      </c>
      <c r="F5319" s="13" t="s">
        <v>11</v>
      </c>
    </row>
    <row r="5320" ht="18" customHeight="1" spans="1:6">
      <c r="A5320" s="13" t="s">
        <v>9761</v>
      </c>
      <c r="B5320" s="8" t="s">
        <v>10296</v>
      </c>
      <c r="C5320" s="13" t="s">
        <v>10329</v>
      </c>
      <c r="D5320" s="13">
        <v>1</v>
      </c>
      <c r="E5320" s="5" t="s">
        <v>10330</v>
      </c>
      <c r="F5320" s="13" t="s">
        <v>11</v>
      </c>
    </row>
    <row r="5321" ht="18" customHeight="1" spans="1:6">
      <c r="A5321" s="13" t="s">
        <v>9761</v>
      </c>
      <c r="B5321" s="8" t="s">
        <v>10296</v>
      </c>
      <c r="C5321" s="13" t="s">
        <v>10331</v>
      </c>
      <c r="D5321" s="13">
        <v>1</v>
      </c>
      <c r="E5321" s="5" t="s">
        <v>10332</v>
      </c>
      <c r="F5321" s="13" t="s">
        <v>11</v>
      </c>
    </row>
    <row r="5322" ht="18" customHeight="1" spans="1:6">
      <c r="A5322" s="13" t="s">
        <v>9761</v>
      </c>
      <c r="B5322" s="8" t="s">
        <v>10296</v>
      </c>
      <c r="C5322" s="13" t="s">
        <v>10333</v>
      </c>
      <c r="D5322" s="13">
        <v>1</v>
      </c>
      <c r="E5322" s="5" t="s">
        <v>10334</v>
      </c>
      <c r="F5322" s="13" t="s">
        <v>11</v>
      </c>
    </row>
    <row r="5323" ht="18" customHeight="1" spans="1:6">
      <c r="A5323" s="13" t="s">
        <v>9761</v>
      </c>
      <c r="B5323" s="8" t="s">
        <v>10296</v>
      </c>
      <c r="C5323" s="13" t="s">
        <v>10335</v>
      </c>
      <c r="D5323" s="13">
        <v>1</v>
      </c>
      <c r="E5323" s="5" t="s">
        <v>10336</v>
      </c>
      <c r="F5323" s="13" t="s">
        <v>11</v>
      </c>
    </row>
    <row r="5324" ht="18" customHeight="1" spans="1:6">
      <c r="A5324" s="13" t="s">
        <v>9761</v>
      </c>
      <c r="B5324" s="8" t="s">
        <v>10296</v>
      </c>
      <c r="C5324" s="13" t="s">
        <v>10337</v>
      </c>
      <c r="D5324" s="13">
        <v>1</v>
      </c>
      <c r="E5324" s="5" t="s">
        <v>10338</v>
      </c>
      <c r="F5324" s="13" t="s">
        <v>11</v>
      </c>
    </row>
    <row r="5325" ht="18" customHeight="1" spans="1:6">
      <c r="A5325" s="13" t="s">
        <v>9761</v>
      </c>
      <c r="B5325" s="8" t="s">
        <v>10296</v>
      </c>
      <c r="C5325" s="13" t="s">
        <v>10339</v>
      </c>
      <c r="D5325" s="13">
        <v>1</v>
      </c>
      <c r="E5325" s="5" t="s">
        <v>10340</v>
      </c>
      <c r="F5325" s="13" t="s">
        <v>11</v>
      </c>
    </row>
    <row r="5326" ht="18" customHeight="1" spans="1:6">
      <c r="A5326" s="13" t="s">
        <v>9761</v>
      </c>
      <c r="B5326" s="8" t="s">
        <v>10296</v>
      </c>
      <c r="C5326" s="13" t="s">
        <v>10341</v>
      </c>
      <c r="D5326" s="13">
        <v>1</v>
      </c>
      <c r="E5326" s="5" t="s">
        <v>10342</v>
      </c>
      <c r="F5326" s="13" t="s">
        <v>11</v>
      </c>
    </row>
    <row r="5327" ht="18" customHeight="1" spans="1:6">
      <c r="A5327" s="13" t="s">
        <v>9761</v>
      </c>
      <c r="B5327" s="8" t="s">
        <v>10296</v>
      </c>
      <c r="C5327" s="13" t="s">
        <v>10343</v>
      </c>
      <c r="D5327" s="13">
        <v>1</v>
      </c>
      <c r="E5327" s="5" t="s">
        <v>10344</v>
      </c>
      <c r="F5327" s="13" t="s">
        <v>11</v>
      </c>
    </row>
    <row r="5328" ht="18" customHeight="1" spans="1:6">
      <c r="A5328" s="13" t="s">
        <v>9761</v>
      </c>
      <c r="B5328" s="8" t="s">
        <v>10345</v>
      </c>
      <c r="C5328" s="13" t="s">
        <v>10346</v>
      </c>
      <c r="D5328" s="13">
        <v>1</v>
      </c>
      <c r="E5328" s="5" t="str">
        <f>LEFT("420325195602087014",19)</f>
        <v>420325195602087014</v>
      </c>
      <c r="F5328" s="13" t="s">
        <v>11</v>
      </c>
    </row>
    <row r="5329" ht="18" customHeight="1" spans="1:6">
      <c r="A5329" s="13" t="s">
        <v>9761</v>
      </c>
      <c r="B5329" s="8" t="s">
        <v>10345</v>
      </c>
      <c r="C5329" s="8" t="s">
        <v>10347</v>
      </c>
      <c r="D5329" s="8">
        <v>3</v>
      </c>
      <c r="E5329" s="5" t="s">
        <v>10348</v>
      </c>
      <c r="F5329" s="13" t="s">
        <v>11</v>
      </c>
    </row>
    <row r="5330" ht="18" customHeight="1" spans="1:6">
      <c r="A5330" s="13" t="s">
        <v>9761</v>
      </c>
      <c r="B5330" s="8" t="s">
        <v>10349</v>
      </c>
      <c r="C5330" s="8" t="s">
        <v>10350</v>
      </c>
      <c r="D5330" s="8">
        <v>3</v>
      </c>
      <c r="E5330" s="5" t="s">
        <v>10351</v>
      </c>
      <c r="F5330" s="13" t="s">
        <v>11</v>
      </c>
    </row>
    <row r="5331" ht="18" customHeight="1" spans="1:6">
      <c r="A5331" s="13" t="s">
        <v>9761</v>
      </c>
      <c r="B5331" s="8" t="s">
        <v>10349</v>
      </c>
      <c r="C5331" s="8" t="s">
        <v>10352</v>
      </c>
      <c r="D5331" s="8">
        <v>3</v>
      </c>
      <c r="E5331" s="5" t="s">
        <v>10353</v>
      </c>
      <c r="F5331" s="13" t="s">
        <v>11</v>
      </c>
    </row>
    <row r="5332" ht="18" customHeight="1" spans="1:6">
      <c r="A5332" s="13" t="s">
        <v>9761</v>
      </c>
      <c r="B5332" s="8" t="s">
        <v>10349</v>
      </c>
      <c r="C5332" s="8" t="s">
        <v>10354</v>
      </c>
      <c r="D5332" s="8">
        <v>3</v>
      </c>
      <c r="E5332" s="5" t="s">
        <v>10355</v>
      </c>
      <c r="F5332" s="13" t="s">
        <v>11</v>
      </c>
    </row>
    <row r="5333" ht="18" customHeight="1" spans="1:6">
      <c r="A5333" s="13" t="s">
        <v>9761</v>
      </c>
      <c r="B5333" s="8" t="s">
        <v>10296</v>
      </c>
      <c r="C5333" s="13" t="s">
        <v>10356</v>
      </c>
      <c r="D5333" s="13">
        <v>3</v>
      </c>
      <c r="E5333" s="5" t="s">
        <v>10357</v>
      </c>
      <c r="F5333" s="13" t="s">
        <v>11</v>
      </c>
    </row>
    <row r="5334" ht="18" customHeight="1" spans="1:6">
      <c r="A5334" s="13" t="s">
        <v>9761</v>
      </c>
      <c r="B5334" s="8" t="s">
        <v>10296</v>
      </c>
      <c r="C5334" s="13" t="s">
        <v>10358</v>
      </c>
      <c r="D5334" s="13">
        <v>2</v>
      </c>
      <c r="E5334" s="5" t="s">
        <v>10359</v>
      </c>
      <c r="F5334" s="13" t="s">
        <v>11</v>
      </c>
    </row>
    <row r="5335" ht="18" customHeight="1" spans="1:6">
      <c r="A5335" s="13" t="s">
        <v>9761</v>
      </c>
      <c r="B5335" s="13" t="s">
        <v>10360</v>
      </c>
      <c r="C5335" s="13" t="s">
        <v>10361</v>
      </c>
      <c r="D5335" s="13">
        <v>1</v>
      </c>
      <c r="E5335" s="14" t="s">
        <v>10362</v>
      </c>
      <c r="F5335" s="13" t="s">
        <v>11</v>
      </c>
    </row>
    <row r="5336" ht="18" customHeight="1" spans="1:6">
      <c r="A5336" s="13" t="s">
        <v>9761</v>
      </c>
      <c r="B5336" s="13" t="s">
        <v>10363</v>
      </c>
      <c r="C5336" s="13" t="s">
        <v>10364</v>
      </c>
      <c r="D5336" s="13">
        <v>4</v>
      </c>
      <c r="E5336" s="14" t="s">
        <v>10365</v>
      </c>
      <c r="F5336" s="13" t="s">
        <v>11</v>
      </c>
    </row>
    <row r="5337" ht="18" customHeight="1" spans="1:6">
      <c r="A5337" s="13" t="s">
        <v>9761</v>
      </c>
      <c r="B5337" s="13" t="s">
        <v>10363</v>
      </c>
      <c r="C5337" s="13" t="s">
        <v>10366</v>
      </c>
      <c r="D5337" s="13">
        <v>4</v>
      </c>
      <c r="E5337" s="14" t="s">
        <v>10367</v>
      </c>
      <c r="F5337" s="13" t="s">
        <v>11</v>
      </c>
    </row>
    <row r="5338" ht="18" customHeight="1" spans="1:6">
      <c r="A5338" s="13" t="s">
        <v>9761</v>
      </c>
      <c r="B5338" s="13" t="s">
        <v>10363</v>
      </c>
      <c r="C5338" s="13" t="s">
        <v>1273</v>
      </c>
      <c r="D5338" s="13">
        <v>4</v>
      </c>
      <c r="E5338" s="14" t="s">
        <v>10368</v>
      </c>
      <c r="F5338" s="13" t="s">
        <v>11</v>
      </c>
    </row>
    <row r="5339" ht="18" customHeight="1" spans="1:6">
      <c r="A5339" s="13" t="s">
        <v>9761</v>
      </c>
      <c r="B5339" s="13" t="s">
        <v>10363</v>
      </c>
      <c r="C5339" s="13" t="s">
        <v>10369</v>
      </c>
      <c r="D5339" s="13">
        <v>2</v>
      </c>
      <c r="E5339" s="14" t="s">
        <v>10370</v>
      </c>
      <c r="F5339" s="13" t="s">
        <v>11</v>
      </c>
    </row>
    <row r="5340" ht="18" customHeight="1" spans="1:6">
      <c r="A5340" s="13" t="s">
        <v>9761</v>
      </c>
      <c r="B5340" s="13" t="s">
        <v>10363</v>
      </c>
      <c r="C5340" s="13" t="s">
        <v>10371</v>
      </c>
      <c r="D5340" s="13">
        <v>3</v>
      </c>
      <c r="E5340" s="14" t="s">
        <v>10372</v>
      </c>
      <c r="F5340" s="13" t="s">
        <v>11</v>
      </c>
    </row>
    <row r="5341" ht="18" customHeight="1" spans="1:6">
      <c r="A5341" s="13" t="s">
        <v>9761</v>
      </c>
      <c r="B5341" s="13" t="s">
        <v>10363</v>
      </c>
      <c r="C5341" s="13" t="s">
        <v>10373</v>
      </c>
      <c r="D5341" s="13">
        <v>2</v>
      </c>
      <c r="E5341" s="14" t="s">
        <v>10374</v>
      </c>
      <c r="F5341" s="13" t="s">
        <v>11</v>
      </c>
    </row>
    <row r="5342" ht="18" customHeight="1" spans="1:6">
      <c r="A5342" s="13" t="s">
        <v>9761</v>
      </c>
      <c r="B5342" s="13" t="s">
        <v>10363</v>
      </c>
      <c r="C5342" s="13" t="s">
        <v>10375</v>
      </c>
      <c r="D5342" s="13">
        <v>2</v>
      </c>
      <c r="E5342" s="14" t="s">
        <v>10376</v>
      </c>
      <c r="F5342" s="13" t="s">
        <v>11</v>
      </c>
    </row>
    <row r="5343" ht="18" customHeight="1" spans="1:6">
      <c r="A5343" s="13" t="s">
        <v>9761</v>
      </c>
      <c r="B5343" s="13" t="s">
        <v>10377</v>
      </c>
      <c r="C5343" s="13" t="s">
        <v>10378</v>
      </c>
      <c r="D5343" s="13">
        <v>5</v>
      </c>
      <c r="E5343" s="14" t="s">
        <v>10379</v>
      </c>
      <c r="F5343" s="13" t="s">
        <v>11</v>
      </c>
    </row>
    <row r="5344" ht="18" customHeight="1" spans="1:6">
      <c r="A5344" s="13" t="s">
        <v>9761</v>
      </c>
      <c r="B5344" s="13" t="s">
        <v>10377</v>
      </c>
      <c r="C5344" s="13" t="s">
        <v>10380</v>
      </c>
      <c r="D5344" s="13">
        <v>1</v>
      </c>
      <c r="E5344" s="14" t="s">
        <v>10381</v>
      </c>
      <c r="F5344" s="13" t="s">
        <v>11</v>
      </c>
    </row>
    <row r="5345" ht="18" customHeight="1" spans="1:6">
      <c r="A5345" s="13" t="s">
        <v>9761</v>
      </c>
      <c r="B5345" s="13" t="s">
        <v>10360</v>
      </c>
      <c r="C5345" s="13" t="s">
        <v>10382</v>
      </c>
      <c r="D5345" s="13">
        <v>1</v>
      </c>
      <c r="E5345" s="14" t="s">
        <v>10383</v>
      </c>
      <c r="F5345" s="13" t="s">
        <v>11</v>
      </c>
    </row>
    <row r="5346" ht="18" customHeight="1" spans="1:6">
      <c r="A5346" s="13" t="s">
        <v>9761</v>
      </c>
      <c r="B5346" s="13" t="s">
        <v>10363</v>
      </c>
      <c r="C5346" s="13" t="s">
        <v>10384</v>
      </c>
      <c r="D5346" s="13">
        <v>5</v>
      </c>
      <c r="E5346" s="14" t="s">
        <v>10385</v>
      </c>
      <c r="F5346" s="13" t="s">
        <v>11</v>
      </c>
    </row>
    <row r="5347" ht="18" customHeight="1" spans="1:6">
      <c r="A5347" s="13" t="s">
        <v>9761</v>
      </c>
      <c r="B5347" s="13" t="s">
        <v>10363</v>
      </c>
      <c r="C5347" s="13" t="s">
        <v>10386</v>
      </c>
      <c r="D5347" s="13">
        <v>3</v>
      </c>
      <c r="E5347" s="14" t="s">
        <v>10387</v>
      </c>
      <c r="F5347" s="13" t="s">
        <v>11</v>
      </c>
    </row>
    <row r="5348" ht="18" customHeight="1" spans="1:6">
      <c r="A5348" s="13" t="s">
        <v>9761</v>
      </c>
      <c r="B5348" s="13" t="s">
        <v>10377</v>
      </c>
      <c r="C5348" s="13" t="s">
        <v>10388</v>
      </c>
      <c r="D5348" s="13">
        <v>2</v>
      </c>
      <c r="E5348" s="14" t="s">
        <v>10389</v>
      </c>
      <c r="F5348" s="13" t="s">
        <v>11</v>
      </c>
    </row>
    <row r="5349" ht="18" customHeight="1" spans="1:6">
      <c r="A5349" s="13" t="s">
        <v>9761</v>
      </c>
      <c r="B5349" s="13" t="s">
        <v>10363</v>
      </c>
      <c r="C5349" s="13" t="s">
        <v>10390</v>
      </c>
      <c r="D5349" s="13">
        <v>3</v>
      </c>
      <c r="E5349" s="14" t="s">
        <v>10391</v>
      </c>
      <c r="F5349" s="13" t="s">
        <v>11</v>
      </c>
    </row>
    <row r="5350" ht="18" customHeight="1" spans="1:6">
      <c r="A5350" s="13" t="s">
        <v>9761</v>
      </c>
      <c r="B5350" s="13" t="s">
        <v>10377</v>
      </c>
      <c r="C5350" s="13" t="s">
        <v>10392</v>
      </c>
      <c r="D5350" s="13">
        <v>3</v>
      </c>
      <c r="E5350" s="14" t="s">
        <v>10393</v>
      </c>
      <c r="F5350" s="13" t="s">
        <v>11</v>
      </c>
    </row>
    <row r="5351" ht="18" customHeight="1" spans="1:6">
      <c r="A5351" s="13" t="s">
        <v>9761</v>
      </c>
      <c r="B5351" s="13" t="s">
        <v>10377</v>
      </c>
      <c r="C5351" s="13" t="s">
        <v>10394</v>
      </c>
      <c r="D5351" s="13">
        <v>2</v>
      </c>
      <c r="E5351" s="14" t="s">
        <v>10395</v>
      </c>
      <c r="F5351" s="13" t="s">
        <v>11</v>
      </c>
    </row>
    <row r="5352" ht="18" customHeight="1" spans="1:6">
      <c r="A5352" s="13" t="s">
        <v>9761</v>
      </c>
      <c r="B5352" s="13" t="s">
        <v>10363</v>
      </c>
      <c r="C5352" s="13" t="s">
        <v>9727</v>
      </c>
      <c r="D5352" s="13">
        <v>3</v>
      </c>
      <c r="E5352" s="14" t="s">
        <v>10396</v>
      </c>
      <c r="F5352" s="13" t="s">
        <v>11</v>
      </c>
    </row>
    <row r="5353" ht="18" customHeight="1" spans="1:6">
      <c r="A5353" s="13" t="s">
        <v>9761</v>
      </c>
      <c r="B5353" s="13" t="s">
        <v>10360</v>
      </c>
      <c r="C5353" s="13" t="s">
        <v>10397</v>
      </c>
      <c r="D5353" s="13">
        <v>1</v>
      </c>
      <c r="E5353" s="14" t="s">
        <v>10398</v>
      </c>
      <c r="F5353" s="13" t="s">
        <v>11</v>
      </c>
    </row>
    <row r="5354" ht="18" customHeight="1" spans="1:6">
      <c r="A5354" s="13" t="s">
        <v>9761</v>
      </c>
      <c r="B5354" s="13" t="s">
        <v>10377</v>
      </c>
      <c r="C5354" s="13" t="s">
        <v>10399</v>
      </c>
      <c r="D5354" s="13">
        <v>4</v>
      </c>
      <c r="E5354" s="14" t="s">
        <v>10400</v>
      </c>
      <c r="F5354" s="13" t="s">
        <v>11</v>
      </c>
    </row>
    <row r="5355" ht="18" customHeight="1" spans="1:6">
      <c r="A5355" s="13" t="s">
        <v>9761</v>
      </c>
      <c r="B5355" s="13" t="s">
        <v>10377</v>
      </c>
      <c r="C5355" s="13" t="s">
        <v>10401</v>
      </c>
      <c r="D5355" s="13">
        <v>1</v>
      </c>
      <c r="E5355" s="14" t="s">
        <v>10402</v>
      </c>
      <c r="F5355" s="13" t="s">
        <v>11</v>
      </c>
    </row>
    <row r="5356" ht="18" customHeight="1" spans="1:6">
      <c r="A5356" s="13" t="s">
        <v>9761</v>
      </c>
      <c r="B5356" s="13" t="s">
        <v>10363</v>
      </c>
      <c r="C5356" s="13" t="s">
        <v>10403</v>
      </c>
      <c r="D5356" s="13">
        <v>3</v>
      </c>
      <c r="E5356" s="14" t="s">
        <v>10404</v>
      </c>
      <c r="F5356" s="13" t="s">
        <v>11</v>
      </c>
    </row>
    <row r="5357" ht="18" customHeight="1" spans="1:6">
      <c r="A5357" s="13" t="s">
        <v>9761</v>
      </c>
      <c r="B5357" s="5" t="s">
        <v>10405</v>
      </c>
      <c r="C5357" s="5" t="s">
        <v>10406</v>
      </c>
      <c r="D5357" s="98">
        <v>3</v>
      </c>
      <c r="E5357" s="99" t="s">
        <v>10407</v>
      </c>
      <c r="F5357" s="5" t="s">
        <v>11</v>
      </c>
    </row>
    <row r="5358" ht="18" customHeight="1" spans="1:6">
      <c r="A5358" s="13" t="s">
        <v>9761</v>
      </c>
      <c r="B5358" s="5" t="s">
        <v>10405</v>
      </c>
      <c r="C5358" s="5" t="s">
        <v>10408</v>
      </c>
      <c r="D5358" s="98">
        <v>4</v>
      </c>
      <c r="E5358" s="99" t="s">
        <v>10409</v>
      </c>
      <c r="F5358" s="5" t="s">
        <v>11</v>
      </c>
    </row>
    <row r="5359" ht="18" customHeight="1" spans="1:6">
      <c r="A5359" s="13" t="s">
        <v>9761</v>
      </c>
      <c r="B5359" s="5" t="s">
        <v>10405</v>
      </c>
      <c r="C5359" s="5" t="s">
        <v>10410</v>
      </c>
      <c r="D5359" s="98">
        <v>1</v>
      </c>
      <c r="E5359" s="99" t="s">
        <v>10411</v>
      </c>
      <c r="F5359" s="5" t="s">
        <v>11</v>
      </c>
    </row>
    <row r="5360" ht="18" customHeight="1" spans="1:6">
      <c r="A5360" s="13" t="s">
        <v>9761</v>
      </c>
      <c r="B5360" s="5" t="s">
        <v>10412</v>
      </c>
      <c r="C5360" s="13" t="s">
        <v>10413</v>
      </c>
      <c r="D5360" s="13">
        <v>5</v>
      </c>
      <c r="E5360" s="14" t="s">
        <v>10414</v>
      </c>
      <c r="F5360" s="5" t="s">
        <v>11</v>
      </c>
    </row>
    <row r="5361" ht="18" customHeight="1" spans="1:6">
      <c r="A5361" s="13" t="s">
        <v>9761</v>
      </c>
      <c r="B5361" s="5" t="s">
        <v>10412</v>
      </c>
      <c r="C5361" s="13" t="s">
        <v>10415</v>
      </c>
      <c r="D5361" s="13">
        <v>6</v>
      </c>
      <c r="E5361" s="14" t="s">
        <v>10416</v>
      </c>
      <c r="F5361" s="5" t="s">
        <v>11</v>
      </c>
    </row>
    <row r="5362" ht="18" customHeight="1" spans="1:6">
      <c r="A5362" s="13" t="s">
        <v>9761</v>
      </c>
      <c r="B5362" s="5" t="s">
        <v>10412</v>
      </c>
      <c r="C5362" s="13" t="s">
        <v>10417</v>
      </c>
      <c r="D5362" s="13">
        <v>3</v>
      </c>
      <c r="E5362" s="14" t="s">
        <v>10418</v>
      </c>
      <c r="F5362" s="5" t="s">
        <v>11</v>
      </c>
    </row>
    <row r="5363" ht="18" customHeight="1" spans="1:6">
      <c r="A5363" s="13" t="s">
        <v>9761</v>
      </c>
      <c r="B5363" s="5" t="s">
        <v>10412</v>
      </c>
      <c r="C5363" s="13" t="s">
        <v>10419</v>
      </c>
      <c r="D5363" s="13">
        <v>3</v>
      </c>
      <c r="E5363" s="94" t="s">
        <v>10420</v>
      </c>
      <c r="F5363" s="5" t="s">
        <v>11</v>
      </c>
    </row>
    <row r="5364" ht="18" customHeight="1" spans="1:6">
      <c r="A5364" s="13" t="s">
        <v>9761</v>
      </c>
      <c r="B5364" s="5" t="s">
        <v>10412</v>
      </c>
      <c r="C5364" s="13" t="s">
        <v>10421</v>
      </c>
      <c r="D5364" s="13">
        <v>4</v>
      </c>
      <c r="E5364" s="14" t="s">
        <v>10422</v>
      </c>
      <c r="F5364" s="5" t="s">
        <v>11</v>
      </c>
    </row>
    <row r="5365" ht="18" customHeight="1" spans="1:6">
      <c r="A5365" s="13" t="s">
        <v>9761</v>
      </c>
      <c r="B5365" s="5" t="s">
        <v>10423</v>
      </c>
      <c r="C5365" s="13" t="s">
        <v>10424</v>
      </c>
      <c r="D5365" s="13">
        <v>6</v>
      </c>
      <c r="E5365" s="96" t="s">
        <v>10425</v>
      </c>
      <c r="F5365" s="5" t="s">
        <v>11</v>
      </c>
    </row>
    <row r="5366" ht="18" customHeight="1" spans="1:6">
      <c r="A5366" s="13" t="s">
        <v>9761</v>
      </c>
      <c r="B5366" s="5" t="s">
        <v>10423</v>
      </c>
      <c r="C5366" s="13" t="s">
        <v>10426</v>
      </c>
      <c r="D5366" s="13">
        <v>3</v>
      </c>
      <c r="E5366" s="97" t="s">
        <v>10427</v>
      </c>
      <c r="F5366" s="5" t="s">
        <v>11</v>
      </c>
    </row>
    <row r="5367" ht="18" customHeight="1" spans="1:6">
      <c r="A5367" s="13" t="s">
        <v>9761</v>
      </c>
      <c r="B5367" s="5" t="s">
        <v>10405</v>
      </c>
      <c r="C5367" s="13" t="s">
        <v>10428</v>
      </c>
      <c r="D5367" s="13">
        <v>2</v>
      </c>
      <c r="E5367" s="8" t="s">
        <v>10429</v>
      </c>
      <c r="F5367" s="5" t="s">
        <v>11</v>
      </c>
    </row>
    <row r="5368" ht="18" customHeight="1" spans="1:6">
      <c r="A5368" s="13" t="s">
        <v>9761</v>
      </c>
      <c r="B5368" s="5" t="s">
        <v>10405</v>
      </c>
      <c r="C5368" s="13" t="s">
        <v>10430</v>
      </c>
      <c r="D5368" s="13">
        <v>1</v>
      </c>
      <c r="E5368" s="194" t="s">
        <v>10431</v>
      </c>
      <c r="F5368" s="5" t="s">
        <v>11</v>
      </c>
    </row>
    <row r="5369" ht="18" customHeight="1" spans="1:6">
      <c r="A5369" s="13" t="s">
        <v>9761</v>
      </c>
      <c r="B5369" s="5" t="s">
        <v>10405</v>
      </c>
      <c r="C5369" s="13" t="s">
        <v>10432</v>
      </c>
      <c r="D5369" s="13">
        <v>3</v>
      </c>
      <c r="E5369" s="8" t="s">
        <v>10433</v>
      </c>
      <c r="F5369" s="5" t="s">
        <v>11</v>
      </c>
    </row>
    <row r="5370" ht="18" customHeight="1" spans="1:6">
      <c r="A5370" s="13" t="s">
        <v>9761</v>
      </c>
      <c r="B5370" s="5" t="s">
        <v>10405</v>
      </c>
      <c r="C5370" s="13" t="s">
        <v>10434</v>
      </c>
      <c r="D5370" s="13">
        <v>2</v>
      </c>
      <c r="E5370" s="8" t="s">
        <v>10435</v>
      </c>
      <c r="F5370" s="5" t="s">
        <v>11</v>
      </c>
    </row>
    <row r="5371" ht="18" customHeight="1" spans="1:6">
      <c r="A5371" s="13" t="s">
        <v>9761</v>
      </c>
      <c r="B5371" s="5" t="s">
        <v>10405</v>
      </c>
      <c r="C5371" s="13" t="s">
        <v>10436</v>
      </c>
      <c r="D5371" s="13">
        <v>1</v>
      </c>
      <c r="E5371" s="194" t="s">
        <v>10437</v>
      </c>
      <c r="F5371" s="5" t="s">
        <v>11</v>
      </c>
    </row>
    <row r="5372" ht="18" customHeight="1" spans="1:6">
      <c r="A5372" s="13" t="s">
        <v>9761</v>
      </c>
      <c r="B5372" s="5" t="s">
        <v>10405</v>
      </c>
      <c r="C5372" s="13" t="s">
        <v>10438</v>
      </c>
      <c r="D5372" s="13">
        <v>1</v>
      </c>
      <c r="E5372" s="8" t="s">
        <v>10439</v>
      </c>
      <c r="F5372" s="5" t="s">
        <v>11</v>
      </c>
    </row>
    <row r="5373" ht="18" customHeight="1" spans="1:6">
      <c r="A5373" s="13" t="s">
        <v>9761</v>
      </c>
      <c r="B5373" s="5" t="s">
        <v>10405</v>
      </c>
      <c r="C5373" s="13" t="s">
        <v>10440</v>
      </c>
      <c r="D5373" s="13">
        <v>1</v>
      </c>
      <c r="E5373" s="8" t="s">
        <v>10441</v>
      </c>
      <c r="F5373" s="5" t="s">
        <v>11</v>
      </c>
    </row>
    <row r="5374" ht="18" customHeight="1" spans="1:6">
      <c r="A5374" s="13" t="s">
        <v>9761</v>
      </c>
      <c r="B5374" s="5" t="s">
        <v>10405</v>
      </c>
      <c r="C5374" s="13" t="s">
        <v>10442</v>
      </c>
      <c r="D5374" s="13">
        <v>4</v>
      </c>
      <c r="E5374" s="8" t="s">
        <v>10443</v>
      </c>
      <c r="F5374" s="5" t="s">
        <v>11</v>
      </c>
    </row>
    <row r="5375" ht="18" customHeight="1" spans="1:6">
      <c r="A5375" s="13" t="s">
        <v>9761</v>
      </c>
      <c r="B5375" s="5" t="s">
        <v>10405</v>
      </c>
      <c r="C5375" s="13" t="s">
        <v>10444</v>
      </c>
      <c r="D5375" s="13">
        <v>3</v>
      </c>
      <c r="E5375" s="8" t="s">
        <v>10445</v>
      </c>
      <c r="F5375" s="5" t="s">
        <v>11</v>
      </c>
    </row>
    <row r="5376" ht="18" customHeight="1" spans="1:6">
      <c r="A5376" s="13" t="s">
        <v>9761</v>
      </c>
      <c r="B5376" s="5" t="s">
        <v>10405</v>
      </c>
      <c r="C5376" s="13" t="s">
        <v>10446</v>
      </c>
      <c r="D5376" s="13">
        <v>3</v>
      </c>
      <c r="E5376" s="8" t="s">
        <v>10447</v>
      </c>
      <c r="F5376" s="5" t="s">
        <v>11</v>
      </c>
    </row>
    <row r="5377" ht="18" customHeight="1" spans="1:6">
      <c r="A5377" s="13" t="s">
        <v>9761</v>
      </c>
      <c r="B5377" s="5" t="s">
        <v>10405</v>
      </c>
      <c r="C5377" s="13" t="s">
        <v>10448</v>
      </c>
      <c r="D5377" s="13">
        <v>5</v>
      </c>
      <c r="E5377" s="8" t="s">
        <v>10449</v>
      </c>
      <c r="F5377" s="5" t="s">
        <v>11</v>
      </c>
    </row>
    <row r="5378" ht="18" customHeight="1" spans="1:6">
      <c r="A5378" s="13" t="s">
        <v>9761</v>
      </c>
      <c r="B5378" s="5" t="s">
        <v>10405</v>
      </c>
      <c r="C5378" s="13" t="s">
        <v>10450</v>
      </c>
      <c r="D5378" s="13">
        <v>1</v>
      </c>
      <c r="E5378" s="8" t="s">
        <v>10451</v>
      </c>
      <c r="F5378" s="5" t="s">
        <v>11</v>
      </c>
    </row>
    <row r="5379" ht="18" customHeight="1" spans="1:6">
      <c r="A5379" s="13" t="s">
        <v>9761</v>
      </c>
      <c r="B5379" s="5" t="s">
        <v>10405</v>
      </c>
      <c r="C5379" s="13" t="s">
        <v>10452</v>
      </c>
      <c r="D5379" s="13">
        <v>3</v>
      </c>
      <c r="E5379" s="8" t="s">
        <v>10453</v>
      </c>
      <c r="F5379" s="5" t="s">
        <v>11</v>
      </c>
    </row>
    <row r="5380" ht="18" customHeight="1" spans="1:6">
      <c r="A5380" s="13" t="s">
        <v>9761</v>
      </c>
      <c r="B5380" s="5" t="s">
        <v>10405</v>
      </c>
      <c r="C5380" s="13" t="s">
        <v>8502</v>
      </c>
      <c r="D5380" s="13">
        <v>6</v>
      </c>
      <c r="E5380" s="8" t="s">
        <v>10454</v>
      </c>
      <c r="F5380" s="5" t="s">
        <v>11</v>
      </c>
    </row>
    <row r="5381" ht="18" customHeight="1" spans="1:6">
      <c r="A5381" s="13" t="s">
        <v>9761</v>
      </c>
      <c r="B5381" s="5" t="s">
        <v>10405</v>
      </c>
      <c r="C5381" s="13" t="s">
        <v>10455</v>
      </c>
      <c r="D5381" s="13">
        <v>5</v>
      </c>
      <c r="E5381" s="8" t="s">
        <v>10456</v>
      </c>
      <c r="F5381" s="5" t="s">
        <v>11</v>
      </c>
    </row>
    <row r="5382" ht="18" customHeight="1" spans="1:6">
      <c r="A5382" s="13" t="s">
        <v>9761</v>
      </c>
      <c r="B5382" s="5" t="s">
        <v>10405</v>
      </c>
      <c r="C5382" s="13" t="s">
        <v>10457</v>
      </c>
      <c r="D5382" s="13">
        <v>4</v>
      </c>
      <c r="E5382" s="8" t="s">
        <v>10458</v>
      </c>
      <c r="F5382" s="5" t="s">
        <v>11</v>
      </c>
    </row>
    <row r="5383" ht="18" customHeight="1" spans="1:6">
      <c r="A5383" s="13" t="s">
        <v>9761</v>
      </c>
      <c r="B5383" s="5" t="s">
        <v>10405</v>
      </c>
      <c r="C5383" s="13" t="s">
        <v>10459</v>
      </c>
      <c r="D5383" s="13">
        <v>5</v>
      </c>
      <c r="E5383" s="8" t="s">
        <v>10460</v>
      </c>
      <c r="F5383" s="5" t="s">
        <v>11</v>
      </c>
    </row>
    <row r="5384" ht="18" customHeight="1" spans="1:6">
      <c r="A5384" s="13" t="s">
        <v>9761</v>
      </c>
      <c r="B5384" s="5" t="s">
        <v>10405</v>
      </c>
      <c r="C5384" s="13" t="s">
        <v>10461</v>
      </c>
      <c r="D5384" s="13">
        <v>1</v>
      </c>
      <c r="E5384" s="8" t="s">
        <v>10462</v>
      </c>
      <c r="F5384" s="5" t="s">
        <v>11</v>
      </c>
    </row>
    <row r="5385" ht="18" customHeight="1" spans="1:6">
      <c r="A5385" s="13" t="s">
        <v>9761</v>
      </c>
      <c r="B5385" s="5" t="s">
        <v>10405</v>
      </c>
      <c r="C5385" s="13" t="s">
        <v>10463</v>
      </c>
      <c r="D5385" s="13">
        <v>1</v>
      </c>
      <c r="E5385" s="194" t="s">
        <v>10464</v>
      </c>
      <c r="F5385" s="5" t="s">
        <v>11</v>
      </c>
    </row>
    <row r="5386" ht="18" customHeight="1" spans="1:6">
      <c r="A5386" s="13" t="s">
        <v>9761</v>
      </c>
      <c r="B5386" s="5" t="s">
        <v>10405</v>
      </c>
      <c r="C5386" s="13" t="s">
        <v>10465</v>
      </c>
      <c r="D5386" s="13">
        <v>1</v>
      </c>
      <c r="E5386" s="8" t="s">
        <v>10466</v>
      </c>
      <c r="F5386" s="5" t="s">
        <v>11</v>
      </c>
    </row>
    <row r="5387" ht="18" customHeight="1" spans="1:6">
      <c r="A5387" s="13" t="s">
        <v>9761</v>
      </c>
      <c r="B5387" s="5" t="s">
        <v>10405</v>
      </c>
      <c r="C5387" s="13" t="s">
        <v>10467</v>
      </c>
      <c r="D5387" s="13">
        <v>1</v>
      </c>
      <c r="E5387" s="8" t="s">
        <v>10468</v>
      </c>
      <c r="F5387" s="5" t="s">
        <v>11</v>
      </c>
    </row>
    <row r="5388" ht="18" customHeight="1" spans="1:6">
      <c r="A5388" s="13" t="s">
        <v>9761</v>
      </c>
      <c r="B5388" s="5" t="s">
        <v>10405</v>
      </c>
      <c r="C5388" s="13" t="s">
        <v>10469</v>
      </c>
      <c r="D5388" s="13">
        <v>3</v>
      </c>
      <c r="E5388" s="8" t="s">
        <v>10470</v>
      </c>
      <c r="F5388" s="5" t="s">
        <v>11</v>
      </c>
    </row>
    <row r="5389" ht="18" customHeight="1" spans="1:6">
      <c r="A5389" s="13" t="s">
        <v>9761</v>
      </c>
      <c r="B5389" s="5" t="s">
        <v>10405</v>
      </c>
      <c r="C5389" s="13" t="s">
        <v>10471</v>
      </c>
      <c r="D5389" s="13">
        <v>4</v>
      </c>
      <c r="E5389" s="8" t="s">
        <v>10472</v>
      </c>
      <c r="F5389" s="5" t="s">
        <v>11</v>
      </c>
    </row>
    <row r="5390" ht="18" customHeight="1" spans="1:6">
      <c r="A5390" s="13" t="s">
        <v>9761</v>
      </c>
      <c r="B5390" s="5" t="s">
        <v>10405</v>
      </c>
      <c r="C5390" s="13" t="s">
        <v>10473</v>
      </c>
      <c r="D5390" s="13">
        <v>3</v>
      </c>
      <c r="E5390" s="8" t="s">
        <v>10474</v>
      </c>
      <c r="F5390" s="5" t="s">
        <v>11</v>
      </c>
    </row>
    <row r="5391" ht="18" customHeight="1" spans="1:6">
      <c r="A5391" s="13" t="s">
        <v>9761</v>
      </c>
      <c r="B5391" s="5" t="s">
        <v>10405</v>
      </c>
      <c r="C5391" s="13" t="s">
        <v>10475</v>
      </c>
      <c r="D5391" s="13">
        <v>2</v>
      </c>
      <c r="E5391" s="8" t="s">
        <v>10476</v>
      </c>
      <c r="F5391" s="5" t="s">
        <v>11</v>
      </c>
    </row>
    <row r="5392" ht="18" customHeight="1" spans="1:6">
      <c r="A5392" s="13" t="s">
        <v>9761</v>
      </c>
      <c r="B5392" s="5" t="s">
        <v>10405</v>
      </c>
      <c r="C5392" s="13" t="s">
        <v>10477</v>
      </c>
      <c r="D5392" s="13">
        <v>2</v>
      </c>
      <c r="E5392" s="8" t="s">
        <v>10478</v>
      </c>
      <c r="F5392" s="5" t="s">
        <v>11</v>
      </c>
    </row>
    <row r="5393" ht="18" customHeight="1" spans="1:6">
      <c r="A5393" s="13" t="s">
        <v>9761</v>
      </c>
      <c r="B5393" s="5" t="s">
        <v>10405</v>
      </c>
      <c r="C5393" s="13" t="s">
        <v>10479</v>
      </c>
      <c r="D5393" s="13">
        <v>5</v>
      </c>
      <c r="E5393" s="8" t="s">
        <v>10480</v>
      </c>
      <c r="F5393" s="5" t="s">
        <v>11</v>
      </c>
    </row>
    <row r="5394" ht="18" customHeight="1" spans="1:6">
      <c r="A5394" s="13" t="s">
        <v>9761</v>
      </c>
      <c r="B5394" s="5" t="s">
        <v>10405</v>
      </c>
      <c r="C5394" s="13" t="s">
        <v>10481</v>
      </c>
      <c r="D5394" s="13">
        <v>3</v>
      </c>
      <c r="E5394" s="8" t="s">
        <v>10482</v>
      </c>
      <c r="F5394" s="5" t="s">
        <v>11</v>
      </c>
    </row>
    <row r="5395" ht="18" customHeight="1" spans="1:6">
      <c r="A5395" s="13" t="s">
        <v>9761</v>
      </c>
      <c r="B5395" s="5" t="s">
        <v>10405</v>
      </c>
      <c r="C5395" s="13" t="s">
        <v>10483</v>
      </c>
      <c r="D5395" s="13">
        <v>2</v>
      </c>
      <c r="E5395" s="8" t="s">
        <v>10484</v>
      </c>
      <c r="F5395" s="5" t="s">
        <v>11</v>
      </c>
    </row>
    <row r="5396" ht="18" customHeight="1" spans="1:6">
      <c r="A5396" s="13" t="s">
        <v>9761</v>
      </c>
      <c r="B5396" s="5" t="s">
        <v>10405</v>
      </c>
      <c r="C5396" s="13" t="s">
        <v>10485</v>
      </c>
      <c r="D5396" s="13">
        <v>1</v>
      </c>
      <c r="E5396" s="194" t="s">
        <v>10486</v>
      </c>
      <c r="F5396" s="5" t="s">
        <v>11</v>
      </c>
    </row>
    <row r="5397" ht="18" customHeight="1" spans="1:6">
      <c r="A5397" s="13" t="s">
        <v>9761</v>
      </c>
      <c r="B5397" s="5" t="s">
        <v>10405</v>
      </c>
      <c r="C5397" s="13" t="s">
        <v>10487</v>
      </c>
      <c r="D5397" s="13">
        <v>1</v>
      </c>
      <c r="E5397" s="8" t="s">
        <v>10488</v>
      </c>
      <c r="F5397" s="5" t="s">
        <v>11</v>
      </c>
    </row>
    <row r="5398" ht="18" customHeight="1" spans="1:6">
      <c r="A5398" s="13" t="s">
        <v>9761</v>
      </c>
      <c r="B5398" s="5" t="s">
        <v>10405</v>
      </c>
      <c r="C5398" s="13" t="s">
        <v>10489</v>
      </c>
      <c r="D5398" s="13">
        <v>5</v>
      </c>
      <c r="E5398" s="8" t="s">
        <v>10490</v>
      </c>
      <c r="F5398" s="5" t="s">
        <v>11</v>
      </c>
    </row>
    <row r="5399" ht="18" customHeight="1" spans="1:6">
      <c r="A5399" s="13" t="s">
        <v>9761</v>
      </c>
      <c r="B5399" s="5" t="s">
        <v>10405</v>
      </c>
      <c r="C5399" s="13" t="s">
        <v>10491</v>
      </c>
      <c r="D5399" s="13">
        <v>1</v>
      </c>
      <c r="E5399" s="8" t="s">
        <v>10492</v>
      </c>
      <c r="F5399" s="5" t="s">
        <v>11</v>
      </c>
    </row>
    <row r="5400" ht="18" customHeight="1" spans="1:6">
      <c r="A5400" s="13" t="s">
        <v>9761</v>
      </c>
      <c r="B5400" s="5" t="s">
        <v>10405</v>
      </c>
      <c r="C5400" s="13" t="s">
        <v>10493</v>
      </c>
      <c r="D5400" s="13">
        <v>2</v>
      </c>
      <c r="E5400" s="8" t="s">
        <v>10494</v>
      </c>
      <c r="F5400" s="5" t="s">
        <v>11</v>
      </c>
    </row>
    <row r="5401" ht="18" customHeight="1" spans="1:6">
      <c r="A5401" s="13" t="s">
        <v>9761</v>
      </c>
      <c r="B5401" s="5" t="s">
        <v>10405</v>
      </c>
      <c r="C5401" s="13" t="s">
        <v>10495</v>
      </c>
      <c r="D5401" s="13">
        <v>1</v>
      </c>
      <c r="E5401" s="8" t="s">
        <v>10496</v>
      </c>
      <c r="F5401" s="5" t="s">
        <v>11</v>
      </c>
    </row>
    <row r="5402" ht="18" customHeight="1" spans="1:6">
      <c r="A5402" s="13" t="s">
        <v>9761</v>
      </c>
      <c r="B5402" s="5" t="s">
        <v>10405</v>
      </c>
      <c r="C5402" s="13" t="s">
        <v>10497</v>
      </c>
      <c r="D5402" s="13">
        <v>1</v>
      </c>
      <c r="E5402" s="194" t="s">
        <v>10498</v>
      </c>
      <c r="F5402" s="5" t="s">
        <v>11</v>
      </c>
    </row>
    <row r="5403" ht="18" customHeight="1" spans="1:6">
      <c r="A5403" s="13" t="s">
        <v>9761</v>
      </c>
      <c r="B5403" s="5" t="s">
        <v>10405</v>
      </c>
      <c r="C5403" s="13" t="s">
        <v>10499</v>
      </c>
      <c r="D5403" s="13">
        <v>7</v>
      </c>
      <c r="E5403" s="8" t="s">
        <v>10500</v>
      </c>
      <c r="F5403" s="5" t="s">
        <v>11</v>
      </c>
    </row>
    <row r="5404" ht="18" customHeight="1" spans="1:6">
      <c r="A5404" s="13" t="s">
        <v>9761</v>
      </c>
      <c r="B5404" s="5" t="s">
        <v>10405</v>
      </c>
      <c r="C5404" s="13" t="s">
        <v>2730</v>
      </c>
      <c r="D5404" s="13">
        <v>2</v>
      </c>
      <c r="E5404" s="8" t="s">
        <v>10501</v>
      </c>
      <c r="F5404" s="5" t="s">
        <v>11</v>
      </c>
    </row>
    <row r="5405" ht="18" customHeight="1" spans="1:6">
      <c r="A5405" s="13" t="s">
        <v>9761</v>
      </c>
      <c r="B5405" s="5" t="s">
        <v>10405</v>
      </c>
      <c r="C5405" s="13" t="s">
        <v>10502</v>
      </c>
      <c r="D5405" s="13">
        <v>3</v>
      </c>
      <c r="E5405" s="194" t="s">
        <v>10503</v>
      </c>
      <c r="F5405" s="5" t="s">
        <v>11</v>
      </c>
    </row>
    <row r="5406" ht="18" customHeight="1" spans="1:6">
      <c r="A5406" s="13" t="s">
        <v>9761</v>
      </c>
      <c r="B5406" s="5" t="s">
        <v>10405</v>
      </c>
      <c r="C5406" s="13" t="s">
        <v>10504</v>
      </c>
      <c r="D5406" s="13">
        <v>6</v>
      </c>
      <c r="E5406" s="8" t="s">
        <v>10505</v>
      </c>
      <c r="F5406" s="5" t="s">
        <v>11</v>
      </c>
    </row>
    <row r="5407" ht="18" customHeight="1" spans="1:6">
      <c r="A5407" s="13" t="s">
        <v>9761</v>
      </c>
      <c r="B5407" s="5" t="s">
        <v>10405</v>
      </c>
      <c r="C5407" s="13" t="s">
        <v>10506</v>
      </c>
      <c r="D5407" s="13">
        <v>8</v>
      </c>
      <c r="E5407" s="8" t="s">
        <v>10507</v>
      </c>
      <c r="F5407" s="5" t="s">
        <v>11</v>
      </c>
    </row>
    <row r="5408" ht="18" customHeight="1" spans="1:6">
      <c r="A5408" s="13" t="s">
        <v>9761</v>
      </c>
      <c r="B5408" s="5" t="s">
        <v>10405</v>
      </c>
      <c r="C5408" s="13" t="s">
        <v>10508</v>
      </c>
      <c r="D5408" s="13">
        <v>1</v>
      </c>
      <c r="E5408" s="8" t="s">
        <v>10509</v>
      </c>
      <c r="F5408" s="5" t="s">
        <v>11</v>
      </c>
    </row>
    <row r="5409" ht="18" customHeight="1" spans="1:6">
      <c r="A5409" s="13" t="s">
        <v>9761</v>
      </c>
      <c r="B5409" s="5" t="s">
        <v>10405</v>
      </c>
      <c r="C5409" s="13" t="s">
        <v>10510</v>
      </c>
      <c r="D5409" s="13">
        <v>3</v>
      </c>
      <c r="E5409" s="8" t="s">
        <v>10511</v>
      </c>
      <c r="F5409" s="5" t="s">
        <v>11</v>
      </c>
    </row>
    <row r="5410" ht="18" customHeight="1" spans="1:6">
      <c r="A5410" s="13" t="s">
        <v>9761</v>
      </c>
      <c r="B5410" s="5" t="s">
        <v>10405</v>
      </c>
      <c r="C5410" s="13" t="s">
        <v>10512</v>
      </c>
      <c r="D5410" s="13">
        <v>4</v>
      </c>
      <c r="E5410" s="8" t="s">
        <v>10513</v>
      </c>
      <c r="F5410" s="5" t="s">
        <v>11</v>
      </c>
    </row>
    <row r="5411" ht="18" customHeight="1" spans="1:6">
      <c r="A5411" s="13" t="s">
        <v>9761</v>
      </c>
      <c r="B5411" s="5" t="s">
        <v>10405</v>
      </c>
      <c r="C5411" s="13" t="s">
        <v>10514</v>
      </c>
      <c r="D5411" s="13">
        <v>4</v>
      </c>
      <c r="E5411" s="8" t="s">
        <v>10515</v>
      </c>
      <c r="F5411" s="5" t="s">
        <v>11</v>
      </c>
    </row>
    <row r="5412" ht="18" customHeight="1" spans="1:6">
      <c r="A5412" s="13" t="s">
        <v>9761</v>
      </c>
      <c r="B5412" s="5" t="s">
        <v>10405</v>
      </c>
      <c r="C5412" s="13" t="s">
        <v>10516</v>
      </c>
      <c r="D5412" s="13">
        <v>4</v>
      </c>
      <c r="E5412" s="8" t="s">
        <v>10517</v>
      </c>
      <c r="F5412" s="5" t="s">
        <v>11</v>
      </c>
    </row>
    <row r="5413" ht="18" customHeight="1" spans="1:6">
      <c r="A5413" s="13" t="s">
        <v>9761</v>
      </c>
      <c r="B5413" s="5" t="s">
        <v>10405</v>
      </c>
      <c r="C5413" s="13" t="s">
        <v>10518</v>
      </c>
      <c r="D5413" s="13">
        <v>3</v>
      </c>
      <c r="E5413" s="8" t="s">
        <v>10519</v>
      </c>
      <c r="F5413" s="5" t="s">
        <v>11</v>
      </c>
    </row>
    <row r="5414" ht="18" customHeight="1" spans="1:6">
      <c r="A5414" s="13" t="s">
        <v>9761</v>
      </c>
      <c r="B5414" s="5" t="s">
        <v>10405</v>
      </c>
      <c r="C5414" s="13" t="s">
        <v>10520</v>
      </c>
      <c r="D5414" s="13">
        <v>4</v>
      </c>
      <c r="E5414" s="8" t="s">
        <v>10521</v>
      </c>
      <c r="F5414" s="5" t="s">
        <v>11</v>
      </c>
    </row>
    <row r="5415" ht="18" customHeight="1" spans="1:6">
      <c r="A5415" s="13" t="s">
        <v>9761</v>
      </c>
      <c r="B5415" s="5" t="s">
        <v>10405</v>
      </c>
      <c r="C5415" s="13" t="s">
        <v>10522</v>
      </c>
      <c r="D5415" s="13">
        <v>1</v>
      </c>
      <c r="E5415" s="8" t="s">
        <v>10523</v>
      </c>
      <c r="F5415" s="5" t="s">
        <v>11</v>
      </c>
    </row>
    <row r="5416" ht="18" customHeight="1" spans="1:6">
      <c r="A5416" s="13" t="s">
        <v>9761</v>
      </c>
      <c r="B5416" s="5" t="s">
        <v>10405</v>
      </c>
      <c r="C5416" s="13" t="s">
        <v>10524</v>
      </c>
      <c r="D5416" s="13">
        <v>3</v>
      </c>
      <c r="E5416" s="8" t="s">
        <v>10525</v>
      </c>
      <c r="F5416" s="5" t="s">
        <v>11</v>
      </c>
    </row>
    <row r="5417" ht="18" customHeight="1" spans="1:6">
      <c r="A5417" s="13" t="s">
        <v>9761</v>
      </c>
      <c r="B5417" s="5" t="s">
        <v>10405</v>
      </c>
      <c r="C5417" s="13" t="s">
        <v>10526</v>
      </c>
      <c r="D5417" s="13">
        <v>4</v>
      </c>
      <c r="E5417" s="8" t="s">
        <v>10527</v>
      </c>
      <c r="F5417" s="5" t="s">
        <v>11</v>
      </c>
    </row>
    <row r="5418" ht="18" customHeight="1" spans="1:6">
      <c r="A5418" s="13" t="s">
        <v>9761</v>
      </c>
      <c r="B5418" s="5" t="s">
        <v>10405</v>
      </c>
      <c r="C5418" s="13" t="s">
        <v>10528</v>
      </c>
      <c r="D5418" s="13">
        <v>6</v>
      </c>
      <c r="E5418" s="8" t="s">
        <v>10529</v>
      </c>
      <c r="F5418" s="5" t="s">
        <v>11</v>
      </c>
    </row>
    <row r="5419" ht="18" customHeight="1" spans="1:6">
      <c r="A5419" s="13" t="s">
        <v>9761</v>
      </c>
      <c r="B5419" s="5" t="s">
        <v>10405</v>
      </c>
      <c r="C5419" s="13" t="s">
        <v>10530</v>
      </c>
      <c r="D5419" s="13">
        <v>5</v>
      </c>
      <c r="E5419" s="83" t="s">
        <v>10531</v>
      </c>
      <c r="F5419" s="5" t="s">
        <v>11</v>
      </c>
    </row>
    <row r="5420" ht="18" customHeight="1" spans="1:6">
      <c r="A5420" s="13" t="s">
        <v>9761</v>
      </c>
      <c r="B5420" s="5" t="s">
        <v>10405</v>
      </c>
      <c r="C5420" s="13" t="s">
        <v>10532</v>
      </c>
      <c r="D5420" s="13">
        <v>2</v>
      </c>
      <c r="E5420" s="8" t="s">
        <v>10533</v>
      </c>
      <c r="F5420" s="5" t="s">
        <v>11</v>
      </c>
    </row>
    <row r="5421" ht="18" customHeight="1" spans="1:6">
      <c r="A5421" s="13" t="s">
        <v>9761</v>
      </c>
      <c r="B5421" s="5" t="s">
        <v>10412</v>
      </c>
      <c r="C5421" s="13" t="s">
        <v>10534</v>
      </c>
      <c r="D5421" s="13">
        <v>1</v>
      </c>
      <c r="E5421" s="194" t="s">
        <v>10535</v>
      </c>
      <c r="F5421" s="5" t="s">
        <v>11</v>
      </c>
    </row>
    <row r="5422" ht="18" customHeight="1" spans="1:6">
      <c r="A5422" s="13" t="s">
        <v>9761</v>
      </c>
      <c r="B5422" s="5" t="s">
        <v>10412</v>
      </c>
      <c r="C5422" s="13" t="s">
        <v>10536</v>
      </c>
      <c r="D5422" s="13">
        <v>1</v>
      </c>
      <c r="E5422" s="8" t="s">
        <v>10537</v>
      </c>
      <c r="F5422" s="5" t="s">
        <v>11</v>
      </c>
    </row>
    <row r="5423" ht="18" customHeight="1" spans="1:6">
      <c r="A5423" s="13" t="s">
        <v>9761</v>
      </c>
      <c r="B5423" s="5" t="s">
        <v>10412</v>
      </c>
      <c r="C5423" s="13" t="s">
        <v>10538</v>
      </c>
      <c r="D5423" s="13">
        <v>1</v>
      </c>
      <c r="E5423" s="194" t="s">
        <v>10539</v>
      </c>
      <c r="F5423" s="5" t="s">
        <v>11</v>
      </c>
    </row>
    <row r="5424" ht="18" customHeight="1" spans="1:6">
      <c r="A5424" s="13" t="s">
        <v>9761</v>
      </c>
      <c r="B5424" s="5" t="s">
        <v>10412</v>
      </c>
      <c r="C5424" s="13" t="s">
        <v>10479</v>
      </c>
      <c r="D5424" s="13">
        <v>1</v>
      </c>
      <c r="E5424" s="8" t="s">
        <v>10480</v>
      </c>
      <c r="F5424" s="5" t="s">
        <v>11</v>
      </c>
    </row>
    <row r="5425" ht="18" customHeight="1" spans="1:6">
      <c r="A5425" s="13" t="s">
        <v>9761</v>
      </c>
      <c r="B5425" s="5" t="s">
        <v>10412</v>
      </c>
      <c r="C5425" s="13" t="s">
        <v>10540</v>
      </c>
      <c r="D5425" s="13">
        <v>2</v>
      </c>
      <c r="E5425" s="8" t="s">
        <v>10541</v>
      </c>
      <c r="F5425" s="5" t="s">
        <v>11</v>
      </c>
    </row>
    <row r="5426" ht="18" customHeight="1" spans="1:6">
      <c r="A5426" s="13" t="s">
        <v>9761</v>
      </c>
      <c r="B5426" s="5" t="s">
        <v>10412</v>
      </c>
      <c r="C5426" s="13" t="s">
        <v>10542</v>
      </c>
      <c r="D5426" s="13">
        <v>2</v>
      </c>
      <c r="E5426" s="8" t="s">
        <v>10543</v>
      </c>
      <c r="F5426" s="5" t="s">
        <v>11</v>
      </c>
    </row>
    <row r="5427" ht="18" customHeight="1" spans="1:6">
      <c r="A5427" s="13" t="s">
        <v>9761</v>
      </c>
      <c r="B5427" s="5" t="s">
        <v>10412</v>
      </c>
      <c r="C5427" s="13" t="s">
        <v>10544</v>
      </c>
      <c r="D5427" s="13">
        <v>1</v>
      </c>
      <c r="E5427" s="8" t="s">
        <v>10545</v>
      </c>
      <c r="F5427" s="5" t="s">
        <v>11</v>
      </c>
    </row>
    <row r="5428" ht="18" customHeight="1" spans="1:6">
      <c r="A5428" s="13" t="s">
        <v>9761</v>
      </c>
      <c r="B5428" s="5" t="s">
        <v>10412</v>
      </c>
      <c r="C5428" s="13" t="s">
        <v>3308</v>
      </c>
      <c r="D5428" s="13">
        <v>1</v>
      </c>
      <c r="E5428" s="8" t="s">
        <v>10546</v>
      </c>
      <c r="F5428" s="5" t="s">
        <v>11</v>
      </c>
    </row>
    <row r="5429" ht="18" customHeight="1" spans="1:6">
      <c r="A5429" s="13" t="s">
        <v>9761</v>
      </c>
      <c r="B5429" s="5" t="s">
        <v>10412</v>
      </c>
      <c r="C5429" s="13" t="s">
        <v>10547</v>
      </c>
      <c r="D5429" s="13">
        <v>1</v>
      </c>
      <c r="E5429" s="8" t="s">
        <v>10548</v>
      </c>
      <c r="F5429" s="5" t="s">
        <v>11</v>
      </c>
    </row>
    <row r="5430" ht="18" customHeight="1" spans="1:6">
      <c r="A5430" s="13" t="s">
        <v>9761</v>
      </c>
      <c r="B5430" s="5" t="s">
        <v>10412</v>
      </c>
      <c r="C5430" s="13" t="s">
        <v>10549</v>
      </c>
      <c r="D5430" s="13">
        <v>1</v>
      </c>
      <c r="E5430" s="8" t="s">
        <v>10550</v>
      </c>
      <c r="F5430" s="5" t="s">
        <v>11</v>
      </c>
    </row>
    <row r="5431" ht="18" customHeight="1" spans="1:6">
      <c r="A5431" s="13" t="s">
        <v>9761</v>
      </c>
      <c r="B5431" s="5" t="s">
        <v>10412</v>
      </c>
      <c r="C5431" s="13" t="s">
        <v>10551</v>
      </c>
      <c r="D5431" s="13">
        <v>1</v>
      </c>
      <c r="E5431" s="8" t="s">
        <v>10552</v>
      </c>
      <c r="F5431" s="5" t="s">
        <v>11</v>
      </c>
    </row>
    <row r="5432" ht="18" customHeight="1" spans="1:6">
      <c r="A5432" s="13" t="s">
        <v>9761</v>
      </c>
      <c r="B5432" s="5" t="s">
        <v>10412</v>
      </c>
      <c r="C5432" s="13" t="s">
        <v>10553</v>
      </c>
      <c r="D5432" s="13">
        <v>1</v>
      </c>
      <c r="E5432" s="8" t="s">
        <v>10554</v>
      </c>
      <c r="F5432" s="5" t="s">
        <v>11</v>
      </c>
    </row>
    <row r="5433" ht="18" customHeight="1" spans="1:6">
      <c r="A5433" s="13" t="s">
        <v>9761</v>
      </c>
      <c r="B5433" s="5" t="s">
        <v>10412</v>
      </c>
      <c r="C5433" s="13" t="s">
        <v>10555</v>
      </c>
      <c r="D5433" s="13">
        <v>2</v>
      </c>
      <c r="E5433" s="8" t="s">
        <v>10556</v>
      </c>
      <c r="F5433" s="5" t="s">
        <v>11</v>
      </c>
    </row>
    <row r="5434" ht="18" customHeight="1" spans="1:6">
      <c r="A5434" s="13" t="s">
        <v>9761</v>
      </c>
      <c r="B5434" s="5" t="s">
        <v>10412</v>
      </c>
      <c r="C5434" s="13" t="s">
        <v>10557</v>
      </c>
      <c r="D5434" s="13">
        <v>2</v>
      </c>
      <c r="E5434" s="8" t="s">
        <v>10558</v>
      </c>
      <c r="F5434" s="5" t="s">
        <v>11</v>
      </c>
    </row>
    <row r="5435" ht="18" customHeight="1" spans="1:6">
      <c r="A5435" s="13" t="s">
        <v>9761</v>
      </c>
      <c r="B5435" s="5" t="s">
        <v>10412</v>
      </c>
      <c r="C5435" s="13" t="s">
        <v>7079</v>
      </c>
      <c r="D5435" s="13">
        <v>2</v>
      </c>
      <c r="E5435" s="8" t="s">
        <v>10559</v>
      </c>
      <c r="F5435" s="5" t="s">
        <v>11</v>
      </c>
    </row>
    <row r="5436" ht="18" customHeight="1" spans="1:6">
      <c r="A5436" s="13" t="s">
        <v>9761</v>
      </c>
      <c r="B5436" s="5" t="s">
        <v>10412</v>
      </c>
      <c r="C5436" s="13" t="s">
        <v>10560</v>
      </c>
      <c r="D5436" s="13">
        <v>2</v>
      </c>
      <c r="E5436" s="8" t="s">
        <v>10561</v>
      </c>
      <c r="F5436" s="5" t="s">
        <v>11</v>
      </c>
    </row>
    <row r="5437" ht="18" customHeight="1" spans="1:6">
      <c r="A5437" s="13" t="s">
        <v>9761</v>
      </c>
      <c r="B5437" s="5" t="s">
        <v>10412</v>
      </c>
      <c r="C5437" s="13" t="s">
        <v>10562</v>
      </c>
      <c r="D5437" s="13">
        <v>2</v>
      </c>
      <c r="E5437" s="8" t="s">
        <v>10563</v>
      </c>
      <c r="F5437" s="5" t="s">
        <v>11</v>
      </c>
    </row>
    <row r="5438" ht="18" customHeight="1" spans="1:6">
      <c r="A5438" s="13" t="s">
        <v>9761</v>
      </c>
      <c r="B5438" s="5" t="s">
        <v>10412</v>
      </c>
      <c r="C5438" s="13" t="s">
        <v>10564</v>
      </c>
      <c r="D5438" s="13">
        <v>4</v>
      </c>
      <c r="E5438" s="8" t="s">
        <v>10565</v>
      </c>
      <c r="F5438" s="5" t="s">
        <v>11</v>
      </c>
    </row>
    <row r="5439" ht="18" customHeight="1" spans="1:6">
      <c r="A5439" s="13" t="s">
        <v>9761</v>
      </c>
      <c r="B5439" s="5" t="s">
        <v>10412</v>
      </c>
      <c r="C5439" s="13" t="s">
        <v>10566</v>
      </c>
      <c r="D5439" s="13">
        <v>4</v>
      </c>
      <c r="E5439" s="8" t="s">
        <v>10567</v>
      </c>
      <c r="F5439" s="5" t="s">
        <v>11</v>
      </c>
    </row>
    <row r="5440" ht="18" customHeight="1" spans="1:6">
      <c r="A5440" s="13" t="s">
        <v>9761</v>
      </c>
      <c r="B5440" s="5" t="s">
        <v>10412</v>
      </c>
      <c r="C5440" s="13" t="s">
        <v>10568</v>
      </c>
      <c r="D5440" s="13">
        <v>4</v>
      </c>
      <c r="E5440" s="8" t="s">
        <v>10569</v>
      </c>
      <c r="F5440" s="5" t="s">
        <v>11</v>
      </c>
    </row>
    <row r="5441" ht="18" customHeight="1" spans="1:6">
      <c r="A5441" s="13" t="s">
        <v>9761</v>
      </c>
      <c r="B5441" s="5" t="s">
        <v>10412</v>
      </c>
      <c r="C5441" s="13" t="s">
        <v>10570</v>
      </c>
      <c r="D5441" s="13">
        <v>4</v>
      </c>
      <c r="E5441" s="8" t="s">
        <v>10571</v>
      </c>
      <c r="F5441" s="5" t="s">
        <v>11</v>
      </c>
    </row>
    <row r="5442" ht="18" customHeight="1" spans="1:6">
      <c r="A5442" s="13" t="s">
        <v>9761</v>
      </c>
      <c r="B5442" s="5" t="s">
        <v>10412</v>
      </c>
      <c r="C5442" s="13" t="s">
        <v>10572</v>
      </c>
      <c r="D5442" s="13">
        <v>4</v>
      </c>
      <c r="E5442" s="8" t="s">
        <v>10573</v>
      </c>
      <c r="F5442" s="5" t="s">
        <v>11</v>
      </c>
    </row>
    <row r="5443" ht="18" customHeight="1" spans="1:6">
      <c r="A5443" s="13" t="s">
        <v>9761</v>
      </c>
      <c r="B5443" s="5" t="s">
        <v>10412</v>
      </c>
      <c r="C5443" s="13" t="s">
        <v>10574</v>
      </c>
      <c r="D5443" s="13">
        <v>4</v>
      </c>
      <c r="E5443" s="8" t="s">
        <v>10575</v>
      </c>
      <c r="F5443" s="5" t="s">
        <v>11</v>
      </c>
    </row>
    <row r="5444" ht="18" customHeight="1" spans="1:6">
      <c r="A5444" s="13" t="s">
        <v>9761</v>
      </c>
      <c r="B5444" s="5" t="s">
        <v>10412</v>
      </c>
      <c r="C5444" s="13" t="s">
        <v>10576</v>
      </c>
      <c r="D5444" s="13">
        <v>5</v>
      </c>
      <c r="E5444" s="83" t="s">
        <v>10577</v>
      </c>
      <c r="F5444" s="5" t="s">
        <v>11</v>
      </c>
    </row>
    <row r="5445" ht="18" customHeight="1" spans="1:6">
      <c r="A5445" s="13" t="s">
        <v>9761</v>
      </c>
      <c r="B5445" s="5" t="s">
        <v>10412</v>
      </c>
      <c r="C5445" s="13" t="s">
        <v>10578</v>
      </c>
      <c r="D5445" s="13">
        <v>5</v>
      </c>
      <c r="E5445" s="8" t="s">
        <v>10579</v>
      </c>
      <c r="F5445" s="5" t="s">
        <v>11</v>
      </c>
    </row>
    <row r="5446" ht="18" customHeight="1" spans="1:6">
      <c r="A5446" s="13" t="s">
        <v>9761</v>
      </c>
      <c r="B5446" s="5" t="s">
        <v>10412</v>
      </c>
      <c r="C5446" s="13" t="s">
        <v>10580</v>
      </c>
      <c r="D5446" s="13">
        <v>5</v>
      </c>
      <c r="E5446" s="8" t="s">
        <v>10581</v>
      </c>
      <c r="F5446" s="5" t="s">
        <v>11</v>
      </c>
    </row>
    <row r="5447" ht="18" customHeight="1" spans="1:6">
      <c r="A5447" s="13" t="s">
        <v>9761</v>
      </c>
      <c r="B5447" s="5" t="s">
        <v>10412</v>
      </c>
      <c r="C5447" s="13" t="s">
        <v>10582</v>
      </c>
      <c r="D5447" s="13">
        <v>2</v>
      </c>
      <c r="E5447" s="8" t="s">
        <v>10583</v>
      </c>
      <c r="F5447" s="5" t="s">
        <v>11</v>
      </c>
    </row>
    <row r="5448" ht="18" customHeight="1" spans="1:6">
      <c r="A5448" s="13" t="s">
        <v>9761</v>
      </c>
      <c r="B5448" s="5" t="s">
        <v>10412</v>
      </c>
      <c r="C5448" s="13" t="s">
        <v>10584</v>
      </c>
      <c r="D5448" s="13">
        <v>2</v>
      </c>
      <c r="E5448" s="8" t="s">
        <v>10585</v>
      </c>
      <c r="F5448" s="5" t="s">
        <v>11</v>
      </c>
    </row>
    <row r="5449" ht="18" customHeight="1" spans="1:6">
      <c r="A5449" s="13" t="s">
        <v>9761</v>
      </c>
      <c r="B5449" s="5" t="s">
        <v>10412</v>
      </c>
      <c r="C5449" s="13" t="s">
        <v>10586</v>
      </c>
      <c r="D5449" s="13">
        <v>3</v>
      </c>
      <c r="E5449" s="8" t="s">
        <v>10587</v>
      </c>
      <c r="F5449" s="5" t="s">
        <v>11</v>
      </c>
    </row>
    <row r="5450" ht="18" customHeight="1" spans="1:6">
      <c r="A5450" s="13" t="s">
        <v>9761</v>
      </c>
      <c r="B5450" s="5" t="s">
        <v>10412</v>
      </c>
      <c r="C5450" s="13" t="s">
        <v>8502</v>
      </c>
      <c r="D5450" s="13">
        <v>3</v>
      </c>
      <c r="E5450" s="8" t="s">
        <v>10454</v>
      </c>
      <c r="F5450" s="5" t="s">
        <v>11</v>
      </c>
    </row>
    <row r="5451" ht="18" customHeight="1" spans="1:6">
      <c r="A5451" s="13" t="s">
        <v>9761</v>
      </c>
      <c r="B5451" s="5" t="s">
        <v>10412</v>
      </c>
      <c r="C5451" s="13" t="s">
        <v>10417</v>
      </c>
      <c r="D5451" s="13">
        <v>3</v>
      </c>
      <c r="E5451" s="8" t="s">
        <v>10418</v>
      </c>
      <c r="F5451" s="5" t="s">
        <v>11</v>
      </c>
    </row>
    <row r="5452" ht="18" customHeight="1" spans="1:6">
      <c r="A5452" s="13" t="s">
        <v>9761</v>
      </c>
      <c r="B5452" s="5" t="s">
        <v>10412</v>
      </c>
      <c r="C5452" s="13" t="s">
        <v>10588</v>
      </c>
      <c r="D5452" s="13">
        <v>4</v>
      </c>
      <c r="E5452" s="8" t="s">
        <v>10589</v>
      </c>
      <c r="F5452" s="5" t="s">
        <v>11</v>
      </c>
    </row>
    <row r="5453" ht="18" customHeight="1" spans="1:6">
      <c r="A5453" s="13" t="s">
        <v>9761</v>
      </c>
      <c r="B5453" s="5" t="s">
        <v>10412</v>
      </c>
      <c r="C5453" s="13" t="s">
        <v>10590</v>
      </c>
      <c r="D5453" s="13">
        <v>4</v>
      </c>
      <c r="E5453" s="8" t="s">
        <v>10591</v>
      </c>
      <c r="F5453" s="5" t="s">
        <v>11</v>
      </c>
    </row>
    <row r="5454" ht="18" customHeight="1" spans="1:6">
      <c r="A5454" s="13" t="s">
        <v>9761</v>
      </c>
      <c r="B5454" s="5" t="s">
        <v>10412</v>
      </c>
      <c r="C5454" s="13" t="s">
        <v>10592</v>
      </c>
      <c r="D5454" s="13">
        <v>4</v>
      </c>
      <c r="E5454" s="8" t="s">
        <v>10593</v>
      </c>
      <c r="F5454" s="5" t="s">
        <v>11</v>
      </c>
    </row>
    <row r="5455" ht="18" customHeight="1" spans="1:6">
      <c r="A5455" s="13" t="s">
        <v>9761</v>
      </c>
      <c r="B5455" s="5" t="s">
        <v>10412</v>
      </c>
      <c r="C5455" s="13" t="s">
        <v>10594</v>
      </c>
      <c r="D5455" s="13">
        <v>4</v>
      </c>
      <c r="E5455" s="8" t="s">
        <v>10595</v>
      </c>
      <c r="F5455" s="5" t="s">
        <v>11</v>
      </c>
    </row>
    <row r="5456" ht="18" customHeight="1" spans="1:6">
      <c r="A5456" s="13" t="s">
        <v>9761</v>
      </c>
      <c r="B5456" s="5" t="s">
        <v>10412</v>
      </c>
      <c r="C5456" s="13" t="s">
        <v>10596</v>
      </c>
      <c r="D5456" s="13">
        <v>4</v>
      </c>
      <c r="E5456" s="8" t="s">
        <v>10597</v>
      </c>
      <c r="F5456" s="5" t="s">
        <v>11</v>
      </c>
    </row>
    <row r="5457" ht="18" customHeight="1" spans="1:6">
      <c r="A5457" s="13" t="s">
        <v>9761</v>
      </c>
      <c r="B5457" s="5" t="s">
        <v>10412</v>
      </c>
      <c r="C5457" s="13" t="s">
        <v>10598</v>
      </c>
      <c r="D5457" s="13">
        <v>4</v>
      </c>
      <c r="E5457" s="8" t="s">
        <v>10599</v>
      </c>
      <c r="F5457" s="5" t="s">
        <v>11</v>
      </c>
    </row>
    <row r="5458" ht="18" customHeight="1" spans="1:6">
      <c r="A5458" s="13" t="s">
        <v>9761</v>
      </c>
      <c r="B5458" s="5" t="s">
        <v>10412</v>
      </c>
      <c r="C5458" s="13" t="s">
        <v>10600</v>
      </c>
      <c r="D5458" s="13">
        <v>4</v>
      </c>
      <c r="E5458" s="8" t="s">
        <v>10601</v>
      </c>
      <c r="F5458" s="5" t="s">
        <v>11</v>
      </c>
    </row>
    <row r="5459" ht="18" customHeight="1" spans="1:6">
      <c r="A5459" s="13" t="s">
        <v>9761</v>
      </c>
      <c r="B5459" s="5" t="s">
        <v>10412</v>
      </c>
      <c r="C5459" s="13" t="s">
        <v>10602</v>
      </c>
      <c r="D5459" s="13">
        <v>4</v>
      </c>
      <c r="E5459" s="8" t="s">
        <v>10603</v>
      </c>
      <c r="F5459" s="5" t="s">
        <v>11</v>
      </c>
    </row>
    <row r="5460" ht="18" customHeight="1" spans="1:6">
      <c r="A5460" s="13" t="s">
        <v>9761</v>
      </c>
      <c r="B5460" s="5" t="s">
        <v>10412</v>
      </c>
      <c r="C5460" s="13" t="s">
        <v>10604</v>
      </c>
      <c r="D5460" s="13">
        <v>4</v>
      </c>
      <c r="E5460" s="8" t="s">
        <v>10605</v>
      </c>
      <c r="F5460" s="5" t="s">
        <v>11</v>
      </c>
    </row>
    <row r="5461" ht="18" customHeight="1" spans="1:6">
      <c r="A5461" s="13" t="s">
        <v>9761</v>
      </c>
      <c r="B5461" s="5" t="s">
        <v>10412</v>
      </c>
      <c r="C5461" s="13" t="s">
        <v>10606</v>
      </c>
      <c r="D5461" s="13">
        <v>4</v>
      </c>
      <c r="E5461" s="8" t="s">
        <v>10607</v>
      </c>
      <c r="F5461" s="5" t="s">
        <v>11</v>
      </c>
    </row>
    <row r="5462" ht="18" customHeight="1" spans="1:6">
      <c r="A5462" s="13" t="s">
        <v>9761</v>
      </c>
      <c r="B5462" s="5" t="s">
        <v>10412</v>
      </c>
      <c r="C5462" s="13" t="s">
        <v>10608</v>
      </c>
      <c r="D5462" s="13">
        <v>4</v>
      </c>
      <c r="E5462" s="8" t="s">
        <v>10609</v>
      </c>
      <c r="F5462" s="5" t="s">
        <v>11</v>
      </c>
    </row>
    <row r="5463" ht="18" customHeight="1" spans="1:6">
      <c r="A5463" s="13" t="s">
        <v>9761</v>
      </c>
      <c r="B5463" s="5" t="s">
        <v>10412</v>
      </c>
      <c r="C5463" s="13" t="s">
        <v>10610</v>
      </c>
      <c r="D5463" s="13">
        <v>4</v>
      </c>
      <c r="E5463" s="8" t="s">
        <v>10611</v>
      </c>
      <c r="F5463" s="5" t="s">
        <v>11</v>
      </c>
    </row>
    <row r="5464" ht="18" customHeight="1" spans="1:6">
      <c r="A5464" s="13" t="s">
        <v>9761</v>
      </c>
      <c r="B5464" s="5" t="s">
        <v>10412</v>
      </c>
      <c r="C5464" s="13" t="s">
        <v>10612</v>
      </c>
      <c r="D5464" s="13">
        <v>5</v>
      </c>
      <c r="E5464" s="8" t="s">
        <v>10613</v>
      </c>
      <c r="F5464" s="5" t="s">
        <v>11</v>
      </c>
    </row>
    <row r="5465" ht="18" customHeight="1" spans="1:6">
      <c r="A5465" s="13" t="s">
        <v>9761</v>
      </c>
      <c r="B5465" s="5" t="s">
        <v>10412</v>
      </c>
      <c r="C5465" s="13" t="s">
        <v>657</v>
      </c>
      <c r="D5465" s="13">
        <v>5</v>
      </c>
      <c r="E5465" s="8" t="s">
        <v>10614</v>
      </c>
      <c r="F5465" s="5" t="s">
        <v>11</v>
      </c>
    </row>
    <row r="5466" ht="18" customHeight="1" spans="1:6">
      <c r="A5466" s="13" t="s">
        <v>9761</v>
      </c>
      <c r="B5466" s="5" t="s">
        <v>10412</v>
      </c>
      <c r="C5466" s="13" t="s">
        <v>10316</v>
      </c>
      <c r="D5466" s="13">
        <v>5</v>
      </c>
      <c r="E5466" s="8" t="s">
        <v>10615</v>
      </c>
      <c r="F5466" s="5" t="s">
        <v>11</v>
      </c>
    </row>
    <row r="5467" ht="18" customHeight="1" spans="1:6">
      <c r="A5467" s="13" t="s">
        <v>9761</v>
      </c>
      <c r="B5467" s="5" t="s">
        <v>10412</v>
      </c>
      <c r="C5467" s="13" t="s">
        <v>10616</v>
      </c>
      <c r="D5467" s="13">
        <v>5</v>
      </c>
      <c r="E5467" s="8" t="s">
        <v>10617</v>
      </c>
      <c r="F5467" s="5" t="s">
        <v>11</v>
      </c>
    </row>
    <row r="5468" ht="18" customHeight="1" spans="1:6">
      <c r="A5468" s="13" t="s">
        <v>9761</v>
      </c>
      <c r="B5468" s="5" t="s">
        <v>10412</v>
      </c>
      <c r="C5468" s="13" t="s">
        <v>10618</v>
      </c>
      <c r="D5468" s="13">
        <v>6</v>
      </c>
      <c r="E5468" s="8" t="s">
        <v>10619</v>
      </c>
      <c r="F5468" s="5" t="s">
        <v>11</v>
      </c>
    </row>
    <row r="5469" ht="18" customHeight="1" spans="1:6">
      <c r="A5469" s="13" t="s">
        <v>9761</v>
      </c>
      <c r="B5469" s="5" t="s">
        <v>10412</v>
      </c>
      <c r="C5469" s="13" t="s">
        <v>10620</v>
      </c>
      <c r="D5469" s="13">
        <v>6</v>
      </c>
      <c r="E5469" s="8" t="s">
        <v>10621</v>
      </c>
      <c r="F5469" s="5" t="s">
        <v>11</v>
      </c>
    </row>
    <row r="5470" ht="18" customHeight="1" spans="1:6">
      <c r="A5470" s="13" t="s">
        <v>9761</v>
      </c>
      <c r="B5470" s="5" t="s">
        <v>10412</v>
      </c>
      <c r="C5470" s="13" t="s">
        <v>10622</v>
      </c>
      <c r="D5470" s="13">
        <v>6</v>
      </c>
      <c r="E5470" s="8" t="s">
        <v>10623</v>
      </c>
      <c r="F5470" s="5" t="s">
        <v>11</v>
      </c>
    </row>
    <row r="5471" ht="18" customHeight="1" spans="1:6">
      <c r="A5471" s="13" t="s">
        <v>9761</v>
      </c>
      <c r="B5471" s="5" t="s">
        <v>10412</v>
      </c>
      <c r="C5471" s="13" t="s">
        <v>10624</v>
      </c>
      <c r="D5471" s="13">
        <v>6</v>
      </c>
      <c r="E5471" s="8" t="s">
        <v>10625</v>
      </c>
      <c r="F5471" s="5" t="s">
        <v>11</v>
      </c>
    </row>
    <row r="5472" ht="18" customHeight="1" spans="1:6">
      <c r="A5472" s="13" t="s">
        <v>9761</v>
      </c>
      <c r="B5472" s="5" t="s">
        <v>10423</v>
      </c>
      <c r="C5472" s="13" t="s">
        <v>10626</v>
      </c>
      <c r="D5472" s="13">
        <v>8</v>
      </c>
      <c r="E5472" s="8" t="s">
        <v>10627</v>
      </c>
      <c r="F5472" s="5" t="s">
        <v>11</v>
      </c>
    </row>
    <row r="5473" ht="18" customHeight="1" spans="1:6">
      <c r="A5473" s="13" t="s">
        <v>9761</v>
      </c>
      <c r="B5473" s="5" t="s">
        <v>10423</v>
      </c>
      <c r="C5473" s="13" t="s">
        <v>10628</v>
      </c>
      <c r="D5473" s="13">
        <v>5</v>
      </c>
      <c r="E5473" s="8" t="s">
        <v>10629</v>
      </c>
      <c r="F5473" s="5" t="s">
        <v>11</v>
      </c>
    </row>
    <row r="5474" ht="18" customHeight="1" spans="1:6">
      <c r="A5474" s="13" t="s">
        <v>9761</v>
      </c>
      <c r="B5474" s="5" t="s">
        <v>10423</v>
      </c>
      <c r="C5474" s="13" t="s">
        <v>10630</v>
      </c>
      <c r="D5474" s="13">
        <v>3</v>
      </c>
      <c r="E5474" s="8" t="s">
        <v>10631</v>
      </c>
      <c r="F5474" s="5" t="s">
        <v>11</v>
      </c>
    </row>
    <row r="5475" ht="18" customHeight="1" spans="1:6">
      <c r="A5475" s="13" t="s">
        <v>9761</v>
      </c>
      <c r="B5475" s="5" t="s">
        <v>10423</v>
      </c>
      <c r="C5475" s="13" t="s">
        <v>10632</v>
      </c>
      <c r="D5475" s="13">
        <v>3</v>
      </c>
      <c r="E5475" s="8" t="s">
        <v>10633</v>
      </c>
      <c r="F5475" s="5" t="s">
        <v>11</v>
      </c>
    </row>
    <row r="5476" ht="18" customHeight="1" spans="1:6">
      <c r="A5476" s="13" t="s">
        <v>9761</v>
      </c>
      <c r="B5476" s="5" t="s">
        <v>10423</v>
      </c>
      <c r="C5476" s="13" t="s">
        <v>10634</v>
      </c>
      <c r="D5476" s="13">
        <v>4</v>
      </c>
      <c r="E5476" s="194" t="s">
        <v>10635</v>
      </c>
      <c r="F5476" s="5" t="s">
        <v>11</v>
      </c>
    </row>
    <row r="5477" ht="18" customHeight="1" spans="1:6">
      <c r="A5477" s="13" t="s">
        <v>9761</v>
      </c>
      <c r="B5477" s="5" t="s">
        <v>10423</v>
      </c>
      <c r="C5477" s="13" t="s">
        <v>10636</v>
      </c>
      <c r="D5477" s="13">
        <v>3</v>
      </c>
      <c r="E5477" s="8" t="s">
        <v>10637</v>
      </c>
      <c r="F5477" s="5" t="s">
        <v>11</v>
      </c>
    </row>
    <row r="5478" ht="18" customHeight="1" spans="1:6">
      <c r="A5478" s="13" t="s">
        <v>9761</v>
      </c>
      <c r="B5478" s="5" t="s">
        <v>10423</v>
      </c>
      <c r="C5478" s="13" t="s">
        <v>10638</v>
      </c>
      <c r="D5478" s="13">
        <v>5</v>
      </c>
      <c r="E5478" s="8" t="s">
        <v>10639</v>
      </c>
      <c r="F5478" s="5" t="s">
        <v>11</v>
      </c>
    </row>
    <row r="5479" ht="18" customHeight="1" spans="1:6">
      <c r="A5479" s="13" t="s">
        <v>9761</v>
      </c>
      <c r="B5479" s="5" t="s">
        <v>10423</v>
      </c>
      <c r="C5479" s="13" t="s">
        <v>10640</v>
      </c>
      <c r="D5479" s="13">
        <v>2</v>
      </c>
      <c r="E5479" s="8" t="s">
        <v>10641</v>
      </c>
      <c r="F5479" s="5" t="s">
        <v>11</v>
      </c>
    </row>
    <row r="5480" ht="18" customHeight="1" spans="1:6">
      <c r="A5480" s="13" t="s">
        <v>9761</v>
      </c>
      <c r="B5480" s="5" t="s">
        <v>10423</v>
      </c>
      <c r="C5480" s="13" t="s">
        <v>10642</v>
      </c>
      <c r="D5480" s="13">
        <v>3</v>
      </c>
      <c r="E5480" s="194" t="s">
        <v>10643</v>
      </c>
      <c r="F5480" s="5" t="s">
        <v>11</v>
      </c>
    </row>
    <row r="5481" ht="18" customHeight="1" spans="1:6">
      <c r="A5481" s="13" t="s">
        <v>9761</v>
      </c>
      <c r="B5481" s="5" t="s">
        <v>10423</v>
      </c>
      <c r="C5481" s="13" t="s">
        <v>10644</v>
      </c>
      <c r="D5481" s="13">
        <v>4</v>
      </c>
      <c r="E5481" s="8" t="s">
        <v>10645</v>
      </c>
      <c r="F5481" s="5" t="s">
        <v>11</v>
      </c>
    </row>
    <row r="5482" ht="18" customHeight="1" spans="1:6">
      <c r="A5482" s="13" t="s">
        <v>9761</v>
      </c>
      <c r="B5482" s="5" t="s">
        <v>10423</v>
      </c>
      <c r="C5482" s="13" t="s">
        <v>10646</v>
      </c>
      <c r="D5482" s="13">
        <v>3</v>
      </c>
      <c r="E5482" s="8" t="s">
        <v>10647</v>
      </c>
      <c r="F5482" s="5" t="s">
        <v>11</v>
      </c>
    </row>
    <row r="5483" ht="18" customHeight="1" spans="1:6">
      <c r="A5483" s="13" t="s">
        <v>9761</v>
      </c>
      <c r="B5483" s="5" t="s">
        <v>10423</v>
      </c>
      <c r="C5483" s="13" t="s">
        <v>10648</v>
      </c>
      <c r="D5483" s="13">
        <v>4</v>
      </c>
      <c r="E5483" s="8" t="s">
        <v>10649</v>
      </c>
      <c r="F5483" s="5" t="s">
        <v>11</v>
      </c>
    </row>
    <row r="5484" ht="18" customHeight="1" spans="1:6">
      <c r="A5484" s="13" t="s">
        <v>9761</v>
      </c>
      <c r="B5484" s="5" t="s">
        <v>10423</v>
      </c>
      <c r="C5484" s="13" t="s">
        <v>10650</v>
      </c>
      <c r="D5484" s="13">
        <v>4</v>
      </c>
      <c r="E5484" s="8" t="s">
        <v>10651</v>
      </c>
      <c r="F5484" s="5" t="s">
        <v>11</v>
      </c>
    </row>
    <row r="5485" ht="18" customHeight="1" spans="1:6">
      <c r="A5485" s="13" t="s">
        <v>9761</v>
      </c>
      <c r="B5485" s="5" t="s">
        <v>10423</v>
      </c>
      <c r="C5485" s="13" t="s">
        <v>10652</v>
      </c>
      <c r="D5485" s="13">
        <v>4</v>
      </c>
      <c r="E5485" s="8" t="s">
        <v>10653</v>
      </c>
      <c r="F5485" s="5" t="s">
        <v>11</v>
      </c>
    </row>
    <row r="5486" ht="18" customHeight="1" spans="1:6">
      <c r="A5486" s="13" t="s">
        <v>9761</v>
      </c>
      <c r="B5486" s="5" t="s">
        <v>10423</v>
      </c>
      <c r="C5486" s="13" t="s">
        <v>10654</v>
      </c>
      <c r="D5486" s="13">
        <v>1</v>
      </c>
      <c r="E5486" s="8" t="s">
        <v>10655</v>
      </c>
      <c r="F5486" s="5" t="s">
        <v>11</v>
      </c>
    </row>
    <row r="5487" ht="18" customHeight="1" spans="1:6">
      <c r="A5487" s="13" t="s">
        <v>9761</v>
      </c>
      <c r="B5487" s="5" t="s">
        <v>10423</v>
      </c>
      <c r="C5487" s="13" t="s">
        <v>10656</v>
      </c>
      <c r="D5487" s="13">
        <v>1</v>
      </c>
      <c r="E5487" s="8" t="s">
        <v>10657</v>
      </c>
      <c r="F5487" s="5" t="s">
        <v>11</v>
      </c>
    </row>
    <row r="5488" ht="18" customHeight="1" spans="1:6">
      <c r="A5488" s="13" t="s">
        <v>9761</v>
      </c>
      <c r="B5488" s="5" t="s">
        <v>10423</v>
      </c>
      <c r="C5488" s="13" t="s">
        <v>10658</v>
      </c>
      <c r="D5488" s="13">
        <v>1</v>
      </c>
      <c r="E5488" s="8" t="s">
        <v>10659</v>
      </c>
      <c r="F5488" s="5" t="s">
        <v>11</v>
      </c>
    </row>
    <row r="5489" ht="18" customHeight="1" spans="1:6">
      <c r="A5489" s="13" t="s">
        <v>9761</v>
      </c>
      <c r="B5489" s="5" t="s">
        <v>10423</v>
      </c>
      <c r="C5489" s="13" t="s">
        <v>10660</v>
      </c>
      <c r="D5489" s="13">
        <v>1</v>
      </c>
      <c r="E5489" s="8" t="s">
        <v>10661</v>
      </c>
      <c r="F5489" s="5" t="s">
        <v>11</v>
      </c>
    </row>
    <row r="5490" ht="18" customHeight="1" spans="1:6">
      <c r="A5490" s="13" t="s">
        <v>9761</v>
      </c>
      <c r="B5490" s="5" t="s">
        <v>10423</v>
      </c>
      <c r="C5490" s="13" t="s">
        <v>10662</v>
      </c>
      <c r="D5490" s="13">
        <v>1</v>
      </c>
      <c r="E5490" s="194" t="s">
        <v>10663</v>
      </c>
      <c r="F5490" s="5" t="s">
        <v>11</v>
      </c>
    </row>
    <row r="5491" ht="18" customHeight="1" spans="1:6">
      <c r="A5491" s="13" t="s">
        <v>9761</v>
      </c>
      <c r="B5491" s="5" t="s">
        <v>10423</v>
      </c>
      <c r="C5491" s="13" t="s">
        <v>10664</v>
      </c>
      <c r="D5491" s="13">
        <v>1</v>
      </c>
      <c r="E5491" s="8" t="s">
        <v>10665</v>
      </c>
      <c r="F5491" s="5" t="s">
        <v>11</v>
      </c>
    </row>
    <row r="5492" ht="18" customHeight="1" spans="1:6">
      <c r="A5492" s="13" t="s">
        <v>9761</v>
      </c>
      <c r="B5492" s="5" t="s">
        <v>10423</v>
      </c>
      <c r="C5492" s="13" t="s">
        <v>10666</v>
      </c>
      <c r="D5492" s="13">
        <v>1</v>
      </c>
      <c r="E5492" s="194" t="s">
        <v>10667</v>
      </c>
      <c r="F5492" s="5" t="s">
        <v>11</v>
      </c>
    </row>
    <row r="5493" ht="18" customHeight="1" spans="1:6">
      <c r="A5493" s="13" t="s">
        <v>9761</v>
      </c>
      <c r="B5493" s="5" t="s">
        <v>10423</v>
      </c>
      <c r="C5493" s="13" t="s">
        <v>10668</v>
      </c>
      <c r="D5493" s="13">
        <v>3</v>
      </c>
      <c r="E5493" s="8" t="s">
        <v>10669</v>
      </c>
      <c r="F5493" s="5" t="s">
        <v>11</v>
      </c>
    </row>
    <row r="5494" ht="18" customHeight="1" spans="1:6">
      <c r="A5494" s="13" t="s">
        <v>9761</v>
      </c>
      <c r="B5494" s="5" t="s">
        <v>10423</v>
      </c>
      <c r="C5494" s="13" t="s">
        <v>10670</v>
      </c>
      <c r="D5494" s="13">
        <v>4</v>
      </c>
      <c r="E5494" s="8" t="s">
        <v>10671</v>
      </c>
      <c r="F5494" s="5" t="s">
        <v>11</v>
      </c>
    </row>
    <row r="5495" ht="18" customHeight="1" spans="1:6">
      <c r="A5495" s="13" t="s">
        <v>9761</v>
      </c>
      <c r="B5495" s="5" t="s">
        <v>10423</v>
      </c>
      <c r="C5495" s="13" t="s">
        <v>10672</v>
      </c>
      <c r="D5495" s="13">
        <v>3</v>
      </c>
      <c r="E5495" s="8" t="s">
        <v>10673</v>
      </c>
      <c r="F5495" s="5" t="s">
        <v>11</v>
      </c>
    </row>
    <row r="5496" ht="18" customHeight="1" spans="1:6">
      <c r="A5496" s="13" t="s">
        <v>9761</v>
      </c>
      <c r="B5496" s="5" t="s">
        <v>10423</v>
      </c>
      <c r="C5496" s="13" t="s">
        <v>10674</v>
      </c>
      <c r="D5496" s="13">
        <v>4</v>
      </c>
      <c r="E5496" s="8" t="s">
        <v>10675</v>
      </c>
      <c r="F5496" s="5" t="s">
        <v>11</v>
      </c>
    </row>
    <row r="5497" ht="18" customHeight="1" spans="1:6">
      <c r="A5497" s="13" t="s">
        <v>9761</v>
      </c>
      <c r="B5497" s="5" t="s">
        <v>10423</v>
      </c>
      <c r="C5497" s="13" t="s">
        <v>10676</v>
      </c>
      <c r="D5497" s="13">
        <v>4</v>
      </c>
      <c r="E5497" s="8" t="s">
        <v>10677</v>
      </c>
      <c r="F5497" s="5" t="s">
        <v>11</v>
      </c>
    </row>
    <row r="5498" ht="18" customHeight="1" spans="1:6">
      <c r="A5498" s="13" t="s">
        <v>9761</v>
      </c>
      <c r="B5498" s="5" t="s">
        <v>10423</v>
      </c>
      <c r="C5498" s="13" t="s">
        <v>10678</v>
      </c>
      <c r="D5498" s="13">
        <v>4</v>
      </c>
      <c r="E5498" s="8" t="s">
        <v>10679</v>
      </c>
      <c r="F5498" s="5" t="s">
        <v>11</v>
      </c>
    </row>
    <row r="5499" ht="18" customHeight="1" spans="1:6">
      <c r="A5499" s="13" t="s">
        <v>9761</v>
      </c>
      <c r="B5499" s="5" t="s">
        <v>10423</v>
      </c>
      <c r="C5499" s="13" t="s">
        <v>10680</v>
      </c>
      <c r="D5499" s="13">
        <v>6</v>
      </c>
      <c r="E5499" s="8" t="s">
        <v>10681</v>
      </c>
      <c r="F5499" s="5" t="s">
        <v>11</v>
      </c>
    </row>
    <row r="5500" ht="18" customHeight="1" spans="1:6">
      <c r="A5500" s="13" t="s">
        <v>9761</v>
      </c>
      <c r="B5500" s="5" t="s">
        <v>10423</v>
      </c>
      <c r="C5500" s="13" t="s">
        <v>10682</v>
      </c>
      <c r="D5500" s="13">
        <v>6</v>
      </c>
      <c r="E5500" s="8" t="s">
        <v>10683</v>
      </c>
      <c r="F5500" s="5" t="s">
        <v>11</v>
      </c>
    </row>
    <row r="5501" ht="18" customHeight="1" spans="1:6">
      <c r="A5501" s="13" t="s">
        <v>9761</v>
      </c>
      <c r="B5501" s="5" t="s">
        <v>10423</v>
      </c>
      <c r="C5501" s="13" t="s">
        <v>10684</v>
      </c>
      <c r="D5501" s="13">
        <v>5</v>
      </c>
      <c r="E5501" s="8" t="s">
        <v>10685</v>
      </c>
      <c r="F5501" s="5" t="s">
        <v>11</v>
      </c>
    </row>
    <row r="5502" ht="18" customHeight="1" spans="1:6">
      <c r="A5502" s="13" t="s">
        <v>9761</v>
      </c>
      <c r="B5502" s="5" t="s">
        <v>10423</v>
      </c>
      <c r="C5502" s="13" t="s">
        <v>10686</v>
      </c>
      <c r="D5502" s="13">
        <v>6</v>
      </c>
      <c r="E5502" s="8" t="s">
        <v>10687</v>
      </c>
      <c r="F5502" s="5" t="s">
        <v>11</v>
      </c>
    </row>
    <row r="5503" ht="18" customHeight="1" spans="1:6">
      <c r="A5503" s="13" t="s">
        <v>9761</v>
      </c>
      <c r="B5503" s="5" t="s">
        <v>10423</v>
      </c>
      <c r="C5503" s="13" t="s">
        <v>10688</v>
      </c>
      <c r="D5503" s="13">
        <v>5</v>
      </c>
      <c r="E5503" s="8" t="s">
        <v>10689</v>
      </c>
      <c r="F5503" s="5" t="s">
        <v>11</v>
      </c>
    </row>
    <row r="5504" ht="18" customHeight="1" spans="1:6">
      <c r="A5504" s="13" t="s">
        <v>9761</v>
      </c>
      <c r="B5504" s="5" t="s">
        <v>10423</v>
      </c>
      <c r="C5504" s="13" t="s">
        <v>4352</v>
      </c>
      <c r="D5504" s="13">
        <v>5</v>
      </c>
      <c r="E5504" s="8" t="s">
        <v>10690</v>
      </c>
      <c r="F5504" s="5" t="s">
        <v>11</v>
      </c>
    </row>
    <row r="5505" ht="18" customHeight="1" spans="1:6">
      <c r="A5505" s="13" t="s">
        <v>9761</v>
      </c>
      <c r="B5505" s="5" t="s">
        <v>10423</v>
      </c>
      <c r="C5505" s="13" t="s">
        <v>10691</v>
      </c>
      <c r="D5505" s="13">
        <v>2</v>
      </c>
      <c r="E5505" s="8" t="s">
        <v>10692</v>
      </c>
      <c r="F5505" s="5" t="s">
        <v>11</v>
      </c>
    </row>
    <row r="5506" ht="18" customHeight="1" spans="1:6">
      <c r="A5506" s="13" t="s">
        <v>9761</v>
      </c>
      <c r="B5506" s="5" t="s">
        <v>10423</v>
      </c>
      <c r="C5506" s="13" t="s">
        <v>10693</v>
      </c>
      <c r="D5506" s="13">
        <v>3</v>
      </c>
      <c r="E5506" s="8" t="s">
        <v>10694</v>
      </c>
      <c r="F5506" s="5" t="s">
        <v>11</v>
      </c>
    </row>
    <row r="5507" ht="18" customHeight="1" spans="1:6">
      <c r="A5507" s="13" t="s">
        <v>9761</v>
      </c>
      <c r="B5507" s="5" t="s">
        <v>10423</v>
      </c>
      <c r="C5507" s="13" t="s">
        <v>10695</v>
      </c>
      <c r="D5507" s="13">
        <v>1</v>
      </c>
      <c r="E5507" s="8" t="s">
        <v>10696</v>
      </c>
      <c r="F5507" s="5" t="s">
        <v>11</v>
      </c>
    </row>
    <row r="5508" ht="18" customHeight="1" spans="1:6">
      <c r="A5508" s="13" t="s">
        <v>9761</v>
      </c>
      <c r="B5508" s="5" t="s">
        <v>10423</v>
      </c>
      <c r="C5508" s="13" t="s">
        <v>10697</v>
      </c>
      <c r="D5508" s="13">
        <v>1</v>
      </c>
      <c r="E5508" s="194" t="s">
        <v>10698</v>
      </c>
      <c r="F5508" s="5" t="s">
        <v>11</v>
      </c>
    </row>
    <row r="5509" ht="18" customHeight="1" spans="1:6">
      <c r="A5509" s="13" t="s">
        <v>9761</v>
      </c>
      <c r="B5509" s="5" t="s">
        <v>10423</v>
      </c>
      <c r="C5509" s="13" t="s">
        <v>10699</v>
      </c>
      <c r="D5509" s="13">
        <v>1</v>
      </c>
      <c r="E5509" s="8" t="s">
        <v>10700</v>
      </c>
      <c r="F5509" s="5" t="s">
        <v>11</v>
      </c>
    </row>
    <row r="5510" ht="18" customHeight="1" spans="1:6">
      <c r="A5510" s="13" t="s">
        <v>9761</v>
      </c>
      <c r="B5510" s="5" t="s">
        <v>10423</v>
      </c>
      <c r="C5510" s="13" t="s">
        <v>10701</v>
      </c>
      <c r="D5510" s="13">
        <v>1</v>
      </c>
      <c r="E5510" s="8" t="s">
        <v>10702</v>
      </c>
      <c r="F5510" s="5" t="s">
        <v>11</v>
      </c>
    </row>
    <row r="5511" ht="18" customHeight="1" spans="1:6">
      <c r="A5511" s="13" t="s">
        <v>9761</v>
      </c>
      <c r="B5511" s="5" t="s">
        <v>10423</v>
      </c>
      <c r="C5511" s="13" t="s">
        <v>10703</v>
      </c>
      <c r="D5511" s="13">
        <v>1</v>
      </c>
      <c r="E5511" s="8" t="s">
        <v>10704</v>
      </c>
      <c r="F5511" s="5" t="s">
        <v>11</v>
      </c>
    </row>
    <row r="5512" ht="18" customHeight="1" spans="1:6">
      <c r="A5512" s="13" t="s">
        <v>9761</v>
      </c>
      <c r="B5512" s="5" t="s">
        <v>10423</v>
      </c>
      <c r="C5512" s="13" t="s">
        <v>10705</v>
      </c>
      <c r="D5512" s="13">
        <v>1</v>
      </c>
      <c r="E5512" s="194" t="s">
        <v>10706</v>
      </c>
      <c r="F5512" s="5" t="s">
        <v>11</v>
      </c>
    </row>
    <row r="5513" ht="18" customHeight="1" spans="1:6">
      <c r="A5513" s="13" t="s">
        <v>9761</v>
      </c>
      <c r="B5513" s="5" t="s">
        <v>10423</v>
      </c>
      <c r="C5513" s="13" t="s">
        <v>10707</v>
      </c>
      <c r="D5513" s="13">
        <v>1</v>
      </c>
      <c r="E5513" s="8" t="s">
        <v>10708</v>
      </c>
      <c r="F5513" s="5" t="s">
        <v>11</v>
      </c>
    </row>
    <row r="5514" ht="18" customHeight="1" spans="1:6">
      <c r="A5514" s="13" t="s">
        <v>9761</v>
      </c>
      <c r="B5514" s="5" t="s">
        <v>10423</v>
      </c>
      <c r="C5514" s="13" t="s">
        <v>10709</v>
      </c>
      <c r="D5514" s="13">
        <v>5</v>
      </c>
      <c r="E5514" s="8" t="s">
        <v>10710</v>
      </c>
      <c r="F5514" s="5" t="s">
        <v>11</v>
      </c>
    </row>
    <row r="5515" ht="18" customHeight="1" spans="1:6">
      <c r="A5515" s="13" t="s">
        <v>10711</v>
      </c>
      <c r="B5515" s="13"/>
      <c r="C5515" s="13">
        <v>459</v>
      </c>
      <c r="D5515" s="13">
        <v>1417</v>
      </c>
      <c r="E5515" s="13"/>
      <c r="F5515" s="13"/>
    </row>
    <row r="5516" ht="18" customHeight="1" spans="1:6">
      <c r="A5516" s="13" t="s">
        <v>10712</v>
      </c>
      <c r="B5516" s="13" t="s">
        <v>10713</v>
      </c>
      <c r="C5516" s="13" t="s">
        <v>10714</v>
      </c>
      <c r="D5516" s="13">
        <v>4</v>
      </c>
      <c r="E5516" s="13" t="str">
        <f>LEFT("420325198405017619",19)</f>
        <v>420325198405017619</v>
      </c>
      <c r="F5516" s="13" t="s">
        <v>11</v>
      </c>
    </row>
    <row r="5517" ht="18" customHeight="1" spans="1:6">
      <c r="A5517" s="13" t="s">
        <v>10712</v>
      </c>
      <c r="B5517" s="13" t="s">
        <v>10715</v>
      </c>
      <c r="C5517" s="13" t="s">
        <v>10716</v>
      </c>
      <c r="D5517" s="13">
        <v>6</v>
      </c>
      <c r="E5517" s="13" t="s">
        <v>10717</v>
      </c>
      <c r="F5517" s="13" t="s">
        <v>11</v>
      </c>
    </row>
    <row r="5518" ht="18" customHeight="1" spans="1:6">
      <c r="A5518" s="13" t="s">
        <v>10712</v>
      </c>
      <c r="B5518" s="13" t="s">
        <v>10718</v>
      </c>
      <c r="C5518" s="13" t="s">
        <v>10719</v>
      </c>
      <c r="D5518" s="13">
        <v>3</v>
      </c>
      <c r="E5518" s="13" t="s">
        <v>10720</v>
      </c>
      <c r="F5518" s="13" t="s">
        <v>11</v>
      </c>
    </row>
    <row r="5519" ht="18" customHeight="1" spans="1:6">
      <c r="A5519" s="13" t="s">
        <v>10712</v>
      </c>
      <c r="B5519" s="13" t="s">
        <v>10721</v>
      </c>
      <c r="C5519" s="13" t="s">
        <v>10722</v>
      </c>
      <c r="D5519" s="13">
        <v>2</v>
      </c>
      <c r="E5519" s="13" t="str">
        <f>LEFT("422626194305017618",19)</f>
        <v>422626194305017618</v>
      </c>
      <c r="F5519" s="13" t="s">
        <v>11</v>
      </c>
    </row>
    <row r="5520" ht="18" customHeight="1" spans="1:6">
      <c r="A5520" s="13" t="s">
        <v>10712</v>
      </c>
      <c r="B5520" s="10" t="s">
        <v>10721</v>
      </c>
      <c r="C5520" s="10" t="s">
        <v>10723</v>
      </c>
      <c r="D5520" s="10">
        <v>3</v>
      </c>
      <c r="E5520" s="10" t="str">
        <f>LEFT("422626195610267618",19)</f>
        <v>422626195610267618</v>
      </c>
      <c r="F5520" s="10" t="s">
        <v>11</v>
      </c>
    </row>
    <row r="5521" ht="18" customHeight="1" spans="1:6">
      <c r="A5521" s="10" t="s">
        <v>10712</v>
      </c>
      <c r="B5521" s="10" t="s">
        <v>10721</v>
      </c>
      <c r="C5521" s="10" t="s">
        <v>10724</v>
      </c>
      <c r="D5521" s="10">
        <v>2</v>
      </c>
      <c r="E5521" s="10" t="str">
        <f>LEFT("422626194003017612",19)</f>
        <v>422626194003017612</v>
      </c>
      <c r="F5521" s="10" t="s">
        <v>11</v>
      </c>
    </row>
    <row r="5522" ht="18" customHeight="1" spans="1:6">
      <c r="A5522" s="10" t="s">
        <v>10712</v>
      </c>
      <c r="B5522" s="10" t="s">
        <v>10721</v>
      </c>
      <c r="C5522" s="10" t="s">
        <v>10725</v>
      </c>
      <c r="D5522" s="10">
        <v>3</v>
      </c>
      <c r="E5522" s="10" t="str">
        <f>LEFT("422626194310257616",19)</f>
        <v>422626194310257616</v>
      </c>
      <c r="F5522" s="10" t="s">
        <v>11</v>
      </c>
    </row>
    <row r="5523" ht="18" customHeight="1" spans="1:6">
      <c r="A5523" s="10" t="s">
        <v>10712</v>
      </c>
      <c r="B5523" s="10" t="s">
        <v>10721</v>
      </c>
      <c r="C5523" s="10" t="s">
        <v>10726</v>
      </c>
      <c r="D5523" s="10">
        <v>4</v>
      </c>
      <c r="E5523" s="10" t="str">
        <f>LEFT("422626196712197635",19)</f>
        <v>422626196712197635</v>
      </c>
      <c r="F5523" s="10" t="s">
        <v>11</v>
      </c>
    </row>
    <row r="5524" ht="18" customHeight="1" spans="1:6">
      <c r="A5524" s="10" t="s">
        <v>10712</v>
      </c>
      <c r="B5524" s="10" t="s">
        <v>10721</v>
      </c>
      <c r="C5524" s="10" t="s">
        <v>10727</v>
      </c>
      <c r="D5524" s="10">
        <v>5</v>
      </c>
      <c r="E5524" s="10" t="str">
        <f>LEFT("422626194806117617",19)</f>
        <v>422626194806117617</v>
      </c>
      <c r="F5524" s="10" t="s">
        <v>11</v>
      </c>
    </row>
    <row r="5525" ht="18" customHeight="1" spans="1:6">
      <c r="A5525" s="10" t="s">
        <v>10712</v>
      </c>
      <c r="B5525" s="10" t="s">
        <v>10721</v>
      </c>
      <c r="C5525" s="10" t="s">
        <v>10728</v>
      </c>
      <c r="D5525" s="10">
        <v>4</v>
      </c>
      <c r="E5525" s="10" t="str">
        <f>LEFT("420325197708207618",19)</f>
        <v>420325197708207618</v>
      </c>
      <c r="F5525" s="10" t="s">
        <v>11</v>
      </c>
    </row>
    <row r="5526" ht="18" customHeight="1" spans="1:6">
      <c r="A5526" s="10" t="s">
        <v>10712</v>
      </c>
      <c r="B5526" s="10" t="s">
        <v>10721</v>
      </c>
      <c r="C5526" s="10" t="s">
        <v>10729</v>
      </c>
      <c r="D5526" s="10">
        <v>2</v>
      </c>
      <c r="E5526" s="10" t="str">
        <f>LEFT("420325198810077674",19)</f>
        <v>420325198810077674</v>
      </c>
      <c r="F5526" s="10" t="s">
        <v>11</v>
      </c>
    </row>
    <row r="5527" ht="18" customHeight="1" spans="1:6">
      <c r="A5527" s="10" t="s">
        <v>10712</v>
      </c>
      <c r="B5527" s="10" t="s">
        <v>10721</v>
      </c>
      <c r="C5527" s="10" t="s">
        <v>10730</v>
      </c>
      <c r="D5527" s="10">
        <v>3</v>
      </c>
      <c r="E5527" s="10" t="str">
        <f>LEFT("422626196907127610",19)</f>
        <v>422626196907127610</v>
      </c>
      <c r="F5527" s="10" t="s">
        <v>11</v>
      </c>
    </row>
    <row r="5528" ht="18" customHeight="1" spans="1:6">
      <c r="A5528" s="10" t="s">
        <v>10712</v>
      </c>
      <c r="B5528" s="10" t="s">
        <v>10721</v>
      </c>
      <c r="C5528" s="10" t="s">
        <v>10731</v>
      </c>
      <c r="D5528" s="10">
        <v>2</v>
      </c>
      <c r="E5528" s="10" t="str">
        <f>LEFT("422626194611217618",19)</f>
        <v>422626194611217618</v>
      </c>
      <c r="F5528" s="10" t="s">
        <v>11</v>
      </c>
    </row>
    <row r="5529" ht="18" customHeight="1" spans="1:6">
      <c r="A5529" s="10" t="s">
        <v>10712</v>
      </c>
      <c r="B5529" s="10" t="s">
        <v>10721</v>
      </c>
      <c r="C5529" s="10" t="s">
        <v>10732</v>
      </c>
      <c r="D5529" s="10">
        <v>4</v>
      </c>
      <c r="E5529" s="10" t="str">
        <f>LEFT("422626193902107617",19)</f>
        <v>422626193902107617</v>
      </c>
      <c r="F5529" s="10" t="s">
        <v>11</v>
      </c>
    </row>
    <row r="5530" ht="18" customHeight="1" spans="1:6">
      <c r="A5530" s="10" t="s">
        <v>10712</v>
      </c>
      <c r="B5530" s="10" t="s">
        <v>10721</v>
      </c>
      <c r="C5530" s="10" t="s">
        <v>10733</v>
      </c>
      <c r="D5530" s="10">
        <v>3</v>
      </c>
      <c r="E5530" s="10" t="str">
        <f>LEFT("420325197906287639",19)</f>
        <v>420325197906287639</v>
      </c>
      <c r="F5530" s="10" t="s">
        <v>11</v>
      </c>
    </row>
    <row r="5531" ht="18" customHeight="1" spans="1:6">
      <c r="A5531" s="10" t="s">
        <v>10712</v>
      </c>
      <c r="B5531" s="10" t="s">
        <v>10721</v>
      </c>
      <c r="C5531" s="10" t="s">
        <v>10734</v>
      </c>
      <c r="D5531" s="10">
        <v>3</v>
      </c>
      <c r="E5531" s="10" t="str">
        <f>LEFT("422626197001157615",19)</f>
        <v>422626197001157615</v>
      </c>
      <c r="F5531" s="10" t="s">
        <v>11</v>
      </c>
    </row>
    <row r="5532" ht="18" customHeight="1" spans="1:6">
      <c r="A5532" s="10" t="s">
        <v>10712</v>
      </c>
      <c r="B5532" s="10" t="s">
        <v>10721</v>
      </c>
      <c r="C5532" s="10" t="s">
        <v>10735</v>
      </c>
      <c r="D5532" s="10">
        <v>2</v>
      </c>
      <c r="E5532" s="10" t="str">
        <f>LEFT("422626194812247610",19)</f>
        <v>422626194812247610</v>
      </c>
      <c r="F5532" s="10" t="s">
        <v>11</v>
      </c>
    </row>
    <row r="5533" ht="18" customHeight="1" spans="1:6">
      <c r="A5533" s="10" t="s">
        <v>10712</v>
      </c>
      <c r="B5533" s="10" t="s">
        <v>10721</v>
      </c>
      <c r="C5533" s="10" t="s">
        <v>10736</v>
      </c>
      <c r="D5533" s="10">
        <v>3</v>
      </c>
      <c r="E5533" s="10" t="str">
        <f>LEFT("422626194612227615",19)</f>
        <v>422626194612227615</v>
      </c>
      <c r="F5533" s="10" t="s">
        <v>11</v>
      </c>
    </row>
    <row r="5534" ht="18" customHeight="1" spans="1:6">
      <c r="A5534" s="10" t="s">
        <v>10712</v>
      </c>
      <c r="B5534" s="10" t="s">
        <v>10721</v>
      </c>
      <c r="C5534" s="10" t="s">
        <v>10737</v>
      </c>
      <c r="D5534" s="10">
        <v>2</v>
      </c>
      <c r="E5534" s="10" t="str">
        <f>LEFT("422626196406017616",19)</f>
        <v>422626196406017616</v>
      </c>
      <c r="F5534" s="10" t="s">
        <v>11</v>
      </c>
    </row>
    <row r="5535" ht="18" customHeight="1" spans="1:6">
      <c r="A5535" s="10" t="s">
        <v>10712</v>
      </c>
      <c r="B5535" s="10" t="s">
        <v>10721</v>
      </c>
      <c r="C5535" s="10" t="s">
        <v>10738</v>
      </c>
      <c r="D5535" s="10">
        <v>3</v>
      </c>
      <c r="E5535" s="10" t="str">
        <f>LEFT("422626195408257619",19)</f>
        <v>422626195408257619</v>
      </c>
      <c r="F5535" s="10" t="s">
        <v>11</v>
      </c>
    </row>
    <row r="5536" ht="18" customHeight="1" spans="1:6">
      <c r="A5536" s="10" t="s">
        <v>10712</v>
      </c>
      <c r="B5536" s="10" t="s">
        <v>10721</v>
      </c>
      <c r="C5536" s="10" t="s">
        <v>10739</v>
      </c>
      <c r="D5536" s="10">
        <v>6</v>
      </c>
      <c r="E5536" s="10" t="str">
        <f>LEFT("422626195306187613",19)</f>
        <v>422626195306187613</v>
      </c>
      <c r="F5536" s="10" t="s">
        <v>11</v>
      </c>
    </row>
    <row r="5537" ht="18" customHeight="1" spans="1:6">
      <c r="A5537" s="10" t="s">
        <v>10712</v>
      </c>
      <c r="B5537" s="10" t="s">
        <v>10721</v>
      </c>
      <c r="C5537" s="10" t="s">
        <v>10740</v>
      </c>
      <c r="D5537" s="10">
        <v>5</v>
      </c>
      <c r="E5537" s="10" t="str">
        <f>LEFT("420325198712047631",19)</f>
        <v>420325198712047631</v>
      </c>
      <c r="F5537" s="10" t="s">
        <v>11</v>
      </c>
    </row>
    <row r="5538" ht="18" customHeight="1" spans="1:6">
      <c r="A5538" s="10" t="s">
        <v>10712</v>
      </c>
      <c r="B5538" s="10" t="s">
        <v>10721</v>
      </c>
      <c r="C5538" s="10" t="s">
        <v>10741</v>
      </c>
      <c r="D5538" s="10">
        <v>5</v>
      </c>
      <c r="E5538" s="10" t="str">
        <f>LEFT("422626196704267613",19)</f>
        <v>422626196704267613</v>
      </c>
      <c r="F5538" s="10" t="s">
        <v>11</v>
      </c>
    </row>
    <row r="5539" ht="18" customHeight="1" spans="1:6">
      <c r="A5539" s="10" t="s">
        <v>10712</v>
      </c>
      <c r="B5539" s="10" t="s">
        <v>10721</v>
      </c>
      <c r="C5539" s="10" t="s">
        <v>10742</v>
      </c>
      <c r="D5539" s="10">
        <v>3</v>
      </c>
      <c r="E5539" s="10" t="str">
        <f>LEFT("422626195911157615",19)</f>
        <v>422626195911157615</v>
      </c>
      <c r="F5539" s="10" t="s">
        <v>11</v>
      </c>
    </row>
    <row r="5540" ht="18" customHeight="1" spans="1:6">
      <c r="A5540" s="10" t="s">
        <v>10712</v>
      </c>
      <c r="B5540" s="10" t="s">
        <v>10721</v>
      </c>
      <c r="C5540" s="10" t="s">
        <v>10743</v>
      </c>
      <c r="D5540" s="10">
        <v>5</v>
      </c>
      <c r="E5540" s="10" t="str">
        <f>LEFT("420325198401017611",19)</f>
        <v>420325198401017611</v>
      </c>
      <c r="F5540" s="10" t="s">
        <v>11</v>
      </c>
    </row>
    <row r="5541" ht="18" customHeight="1" spans="1:6">
      <c r="A5541" s="10" t="s">
        <v>10712</v>
      </c>
      <c r="B5541" s="10" t="s">
        <v>10721</v>
      </c>
      <c r="C5541" s="10" t="s">
        <v>10744</v>
      </c>
      <c r="D5541" s="10">
        <v>2</v>
      </c>
      <c r="E5541" s="10" t="str">
        <f>LEFT("422626195905227613",19)</f>
        <v>422626195905227613</v>
      </c>
      <c r="F5541" s="10" t="s">
        <v>11</v>
      </c>
    </row>
    <row r="5542" ht="18" customHeight="1" spans="1:6">
      <c r="A5542" s="10" t="s">
        <v>10712</v>
      </c>
      <c r="B5542" s="10" t="s">
        <v>10721</v>
      </c>
      <c r="C5542" s="10" t="s">
        <v>10745</v>
      </c>
      <c r="D5542" s="10">
        <v>3</v>
      </c>
      <c r="E5542" s="10" t="str">
        <f>LEFT("420325197910187673",19)</f>
        <v>420325197910187673</v>
      </c>
      <c r="F5542" s="10" t="s">
        <v>11</v>
      </c>
    </row>
    <row r="5543" ht="18" customHeight="1" spans="1:6">
      <c r="A5543" s="10" t="s">
        <v>10712</v>
      </c>
      <c r="B5543" s="10" t="s">
        <v>10746</v>
      </c>
      <c r="C5543" s="10" t="s">
        <v>10747</v>
      </c>
      <c r="D5543" s="10">
        <v>4</v>
      </c>
      <c r="E5543" s="10" t="str">
        <f>LEFT("420325198308037650",19)</f>
        <v>420325198308037650</v>
      </c>
      <c r="F5543" s="10" t="s">
        <v>11</v>
      </c>
    </row>
    <row r="5544" ht="18" customHeight="1" spans="1:6">
      <c r="A5544" s="10" t="s">
        <v>10712</v>
      </c>
      <c r="B5544" s="10" t="s">
        <v>10746</v>
      </c>
      <c r="C5544" s="10" t="s">
        <v>10748</v>
      </c>
      <c r="D5544" s="10">
        <v>2</v>
      </c>
      <c r="E5544" s="10" t="str">
        <f>LEFT("422626196607027618",19)</f>
        <v>422626196607027618</v>
      </c>
      <c r="F5544" s="10" t="s">
        <v>11</v>
      </c>
    </row>
    <row r="5545" ht="18" customHeight="1" spans="1:6">
      <c r="A5545" s="10" t="s">
        <v>10712</v>
      </c>
      <c r="B5545" s="10" t="s">
        <v>10746</v>
      </c>
      <c r="C5545" s="10" t="s">
        <v>10749</v>
      </c>
      <c r="D5545" s="10">
        <v>4</v>
      </c>
      <c r="E5545" s="10" t="str">
        <f>LEFT("422626196304107610",19)</f>
        <v>422626196304107610</v>
      </c>
      <c r="F5545" s="10" t="s">
        <v>11</v>
      </c>
    </row>
    <row r="5546" ht="18" customHeight="1" spans="1:6">
      <c r="A5546" s="10" t="s">
        <v>10712</v>
      </c>
      <c r="B5546" s="10" t="s">
        <v>10746</v>
      </c>
      <c r="C5546" s="10" t="s">
        <v>10750</v>
      </c>
      <c r="D5546" s="10">
        <v>5</v>
      </c>
      <c r="E5546" s="10" t="str">
        <f>LEFT("420325198106157611",19)</f>
        <v>420325198106157611</v>
      </c>
      <c r="F5546" s="10" t="s">
        <v>11</v>
      </c>
    </row>
    <row r="5547" ht="18" customHeight="1" spans="1:6">
      <c r="A5547" s="10" t="s">
        <v>10712</v>
      </c>
      <c r="B5547" s="10" t="s">
        <v>10746</v>
      </c>
      <c r="C5547" s="10" t="s">
        <v>10751</v>
      </c>
      <c r="D5547" s="10">
        <v>4</v>
      </c>
      <c r="E5547" s="10" t="str">
        <f>LEFT("422626197304297615",19)</f>
        <v>422626197304297615</v>
      </c>
      <c r="F5547" s="10" t="s">
        <v>11</v>
      </c>
    </row>
    <row r="5548" ht="18" customHeight="1" spans="1:6">
      <c r="A5548" s="10" t="s">
        <v>10712</v>
      </c>
      <c r="B5548" s="10" t="s">
        <v>10746</v>
      </c>
      <c r="C5548" s="10" t="s">
        <v>10752</v>
      </c>
      <c r="D5548" s="10">
        <v>4</v>
      </c>
      <c r="E5548" s="10" t="str">
        <f>LEFT("422626196301187619",19)</f>
        <v>422626196301187619</v>
      </c>
      <c r="F5548" s="10" t="s">
        <v>11</v>
      </c>
    </row>
    <row r="5549" ht="18" customHeight="1" spans="1:6">
      <c r="A5549" s="10" t="s">
        <v>10712</v>
      </c>
      <c r="B5549" s="10" t="s">
        <v>10746</v>
      </c>
      <c r="C5549" s="10" t="s">
        <v>10753</v>
      </c>
      <c r="D5549" s="10">
        <v>2</v>
      </c>
      <c r="E5549" s="10" t="str">
        <f>LEFT("420325199412227643",19)</f>
        <v>420325199412227643</v>
      </c>
      <c r="F5549" s="10" t="s">
        <v>11</v>
      </c>
    </row>
    <row r="5550" ht="18" customHeight="1" spans="1:6">
      <c r="A5550" s="10" t="s">
        <v>10712</v>
      </c>
      <c r="B5550" s="10" t="s">
        <v>10746</v>
      </c>
      <c r="C5550" s="10" t="s">
        <v>10754</v>
      </c>
      <c r="D5550" s="10">
        <v>2</v>
      </c>
      <c r="E5550" s="10" t="str">
        <f>LEFT("422626195702077619",19)</f>
        <v>422626195702077619</v>
      </c>
      <c r="F5550" s="10" t="s">
        <v>11</v>
      </c>
    </row>
    <row r="5551" ht="18" customHeight="1" spans="1:6">
      <c r="A5551" s="10" t="s">
        <v>10712</v>
      </c>
      <c r="B5551" s="10" t="s">
        <v>10746</v>
      </c>
      <c r="C5551" s="10" t="s">
        <v>10755</v>
      </c>
      <c r="D5551" s="10">
        <v>4</v>
      </c>
      <c r="E5551" s="10" t="str">
        <f>LEFT("422626196408297615",19)</f>
        <v>422626196408297615</v>
      </c>
      <c r="F5551" s="10" t="s">
        <v>11</v>
      </c>
    </row>
    <row r="5552" ht="18" customHeight="1" spans="1:6">
      <c r="A5552" s="10" t="s">
        <v>10712</v>
      </c>
      <c r="B5552" s="10" t="s">
        <v>10746</v>
      </c>
      <c r="C5552" s="10" t="s">
        <v>10756</v>
      </c>
      <c r="D5552" s="10">
        <v>5</v>
      </c>
      <c r="E5552" s="10" t="str">
        <f>LEFT("422626196701237611",19)</f>
        <v>422626196701237611</v>
      </c>
      <c r="F5552" s="10" t="s">
        <v>11</v>
      </c>
    </row>
    <row r="5553" ht="18" customHeight="1" spans="1:6">
      <c r="A5553" s="10" t="s">
        <v>10712</v>
      </c>
      <c r="B5553" s="10" t="s">
        <v>10746</v>
      </c>
      <c r="C5553" s="10" t="s">
        <v>10757</v>
      </c>
      <c r="D5553" s="10">
        <v>3</v>
      </c>
      <c r="E5553" s="10" t="str">
        <f>LEFT("422626196002067617",19)</f>
        <v>422626196002067617</v>
      </c>
      <c r="F5553" s="10" t="s">
        <v>11</v>
      </c>
    </row>
    <row r="5554" ht="18" customHeight="1" spans="1:6">
      <c r="A5554" s="10" t="s">
        <v>10712</v>
      </c>
      <c r="B5554" s="10" t="s">
        <v>10746</v>
      </c>
      <c r="C5554" s="10" t="s">
        <v>10758</v>
      </c>
      <c r="D5554" s="10">
        <v>4</v>
      </c>
      <c r="E5554" s="10" t="str">
        <f>LEFT("420325198607107612",19)</f>
        <v>420325198607107612</v>
      </c>
      <c r="F5554" s="10" t="s">
        <v>11</v>
      </c>
    </row>
    <row r="5555" ht="18" customHeight="1" spans="1:6">
      <c r="A5555" s="10" t="s">
        <v>10712</v>
      </c>
      <c r="B5555" s="10" t="s">
        <v>10746</v>
      </c>
      <c r="C5555" s="10" t="s">
        <v>10759</v>
      </c>
      <c r="D5555" s="10">
        <v>2</v>
      </c>
      <c r="E5555" s="10" t="str">
        <f>LEFT("422626196411157613",19)</f>
        <v>422626196411157613</v>
      </c>
      <c r="F5555" s="10" t="s">
        <v>11</v>
      </c>
    </row>
    <row r="5556" ht="18" customHeight="1" spans="1:6">
      <c r="A5556" s="10" t="s">
        <v>10712</v>
      </c>
      <c r="B5556" s="10" t="s">
        <v>10746</v>
      </c>
      <c r="C5556" s="10" t="s">
        <v>10760</v>
      </c>
      <c r="D5556" s="10">
        <v>3</v>
      </c>
      <c r="E5556" s="10" t="str">
        <f>LEFT("422626195312157648",19)</f>
        <v>422626195312157648</v>
      </c>
      <c r="F5556" s="10" t="s">
        <v>11</v>
      </c>
    </row>
    <row r="5557" ht="18" customHeight="1" spans="1:6">
      <c r="A5557" s="10" t="s">
        <v>10712</v>
      </c>
      <c r="B5557" s="10" t="s">
        <v>10746</v>
      </c>
      <c r="C5557" s="10" t="s">
        <v>10761</v>
      </c>
      <c r="D5557" s="10">
        <v>4</v>
      </c>
      <c r="E5557" s="10" t="str">
        <f>LEFT("422626196503207614",19)</f>
        <v>422626196503207614</v>
      </c>
      <c r="F5557" s="10" t="s">
        <v>11</v>
      </c>
    </row>
    <row r="5558" ht="18" customHeight="1" spans="1:6">
      <c r="A5558" s="10" t="s">
        <v>10712</v>
      </c>
      <c r="B5558" s="10" t="s">
        <v>10762</v>
      </c>
      <c r="C5558" s="10" t="s">
        <v>10763</v>
      </c>
      <c r="D5558" s="10">
        <v>3</v>
      </c>
      <c r="E5558" s="10" t="str">
        <f>LEFT("422626195310037618",19)</f>
        <v>422626195310037618</v>
      </c>
      <c r="F5558" s="10" t="s">
        <v>11</v>
      </c>
    </row>
    <row r="5559" ht="18" customHeight="1" spans="1:6">
      <c r="A5559" s="10" t="s">
        <v>10712</v>
      </c>
      <c r="B5559" s="10" t="s">
        <v>10762</v>
      </c>
      <c r="C5559" s="10" t="s">
        <v>10764</v>
      </c>
      <c r="D5559" s="10">
        <v>3</v>
      </c>
      <c r="E5559" s="10" t="str">
        <f>LEFT("422626196111067616",19)</f>
        <v>422626196111067616</v>
      </c>
      <c r="F5559" s="10" t="s">
        <v>11</v>
      </c>
    </row>
    <row r="5560" ht="18" customHeight="1" spans="1:6">
      <c r="A5560" s="10" t="s">
        <v>10712</v>
      </c>
      <c r="B5560" s="10" t="s">
        <v>10762</v>
      </c>
      <c r="C5560" s="10" t="s">
        <v>10765</v>
      </c>
      <c r="D5560" s="10">
        <v>2</v>
      </c>
      <c r="E5560" s="10" t="str">
        <f>LEFT("422626195603317613",19)</f>
        <v>422626195603317613</v>
      </c>
      <c r="F5560" s="10" t="s">
        <v>11</v>
      </c>
    </row>
    <row r="5561" ht="18" customHeight="1" spans="1:6">
      <c r="A5561" s="10" t="s">
        <v>10712</v>
      </c>
      <c r="B5561" s="10" t="s">
        <v>10762</v>
      </c>
      <c r="C5561" s="10" t="s">
        <v>10766</v>
      </c>
      <c r="D5561" s="10">
        <v>2</v>
      </c>
      <c r="E5561" s="10" t="str">
        <f>LEFT("422626196212067615",19)</f>
        <v>422626196212067615</v>
      </c>
      <c r="F5561" s="10" t="s">
        <v>11</v>
      </c>
    </row>
    <row r="5562" ht="18" customHeight="1" spans="1:6">
      <c r="A5562" s="10" t="s">
        <v>10712</v>
      </c>
      <c r="B5562" s="10" t="s">
        <v>10762</v>
      </c>
      <c r="C5562" s="10" t="s">
        <v>10767</v>
      </c>
      <c r="D5562" s="10">
        <v>4</v>
      </c>
      <c r="E5562" s="10" t="str">
        <f>LEFT("422626196706297613",19)</f>
        <v>422626196706297613</v>
      </c>
      <c r="F5562" s="10" t="s">
        <v>11</v>
      </c>
    </row>
    <row r="5563" ht="18" customHeight="1" spans="1:6">
      <c r="A5563" s="10" t="s">
        <v>10712</v>
      </c>
      <c r="B5563" s="10" t="s">
        <v>10762</v>
      </c>
      <c r="C5563" s="10" t="s">
        <v>10768</v>
      </c>
      <c r="D5563" s="10">
        <v>3</v>
      </c>
      <c r="E5563" s="10" t="str">
        <f>LEFT("422626194710027617",19)</f>
        <v>422626194710027617</v>
      </c>
      <c r="F5563" s="10" t="s">
        <v>11</v>
      </c>
    </row>
    <row r="5564" ht="18" customHeight="1" spans="1:6">
      <c r="A5564" s="10" t="s">
        <v>10712</v>
      </c>
      <c r="B5564" s="10" t="s">
        <v>10762</v>
      </c>
      <c r="C5564" s="10" t="s">
        <v>10769</v>
      </c>
      <c r="D5564" s="10">
        <v>5</v>
      </c>
      <c r="E5564" s="10" t="str">
        <f>LEFT("420325197907017630",19)</f>
        <v>420325197907017630</v>
      </c>
      <c r="F5564" s="10" t="s">
        <v>11</v>
      </c>
    </row>
    <row r="5565" ht="18" customHeight="1" spans="1:6">
      <c r="A5565" s="10" t="s">
        <v>10712</v>
      </c>
      <c r="B5565" s="10" t="s">
        <v>10762</v>
      </c>
      <c r="C5565" s="10" t="s">
        <v>10770</v>
      </c>
      <c r="D5565" s="10">
        <v>5</v>
      </c>
      <c r="E5565" s="10" t="str">
        <f>LEFT("422626197110207618",19)</f>
        <v>422626197110207618</v>
      </c>
      <c r="F5565" s="10" t="s">
        <v>11</v>
      </c>
    </row>
    <row r="5566" ht="18" customHeight="1" spans="1:6">
      <c r="A5566" s="10" t="s">
        <v>10712</v>
      </c>
      <c r="B5566" s="10" t="s">
        <v>10762</v>
      </c>
      <c r="C5566" s="10" t="s">
        <v>10771</v>
      </c>
      <c r="D5566" s="10">
        <v>6</v>
      </c>
      <c r="E5566" s="10" t="str">
        <f>LEFT("422626195608177621",19)</f>
        <v>422626195608177621</v>
      </c>
      <c r="F5566" s="10" t="s">
        <v>11</v>
      </c>
    </row>
    <row r="5567" ht="18" customHeight="1" spans="1:6">
      <c r="A5567" s="10" t="s">
        <v>10712</v>
      </c>
      <c r="B5567" s="10" t="s">
        <v>10762</v>
      </c>
      <c r="C5567" s="10" t="s">
        <v>10772</v>
      </c>
      <c r="D5567" s="10">
        <v>4</v>
      </c>
      <c r="E5567" s="10" t="str">
        <f>LEFT("420325198002067638",19)</f>
        <v>420325198002067638</v>
      </c>
      <c r="F5567" s="10" t="s">
        <v>11</v>
      </c>
    </row>
    <row r="5568" ht="18" customHeight="1" spans="1:6">
      <c r="A5568" s="10" t="s">
        <v>10712</v>
      </c>
      <c r="B5568" s="10" t="s">
        <v>10762</v>
      </c>
      <c r="C5568" s="10" t="s">
        <v>10773</v>
      </c>
      <c r="D5568" s="10">
        <v>3</v>
      </c>
      <c r="E5568" s="10" t="str">
        <f>LEFT("422626195101307618",19)</f>
        <v>422626195101307618</v>
      </c>
      <c r="F5568" s="10" t="s">
        <v>11</v>
      </c>
    </row>
    <row r="5569" ht="18" customHeight="1" spans="1:6">
      <c r="A5569" s="10" t="s">
        <v>10712</v>
      </c>
      <c r="B5569" s="10" t="s">
        <v>10762</v>
      </c>
      <c r="C5569" s="10" t="s">
        <v>10774</v>
      </c>
      <c r="D5569" s="10">
        <v>2</v>
      </c>
      <c r="E5569" s="187" t="s">
        <v>10775</v>
      </c>
      <c r="F5569" s="10" t="s">
        <v>11</v>
      </c>
    </row>
    <row r="5570" ht="18" customHeight="1" spans="1:6">
      <c r="A5570" s="10" t="s">
        <v>10712</v>
      </c>
      <c r="B5570" s="10" t="s">
        <v>10762</v>
      </c>
      <c r="C5570" s="10" t="s">
        <v>10776</v>
      </c>
      <c r="D5570" s="10">
        <v>3</v>
      </c>
      <c r="E5570" s="10" t="str">
        <f>LEFT("422626197203047617",19)</f>
        <v>422626197203047617</v>
      </c>
      <c r="F5570" s="10" t="s">
        <v>11</v>
      </c>
    </row>
    <row r="5571" ht="18" customHeight="1" spans="1:6">
      <c r="A5571" s="10" t="s">
        <v>10712</v>
      </c>
      <c r="B5571" s="10" t="s">
        <v>10762</v>
      </c>
      <c r="C5571" s="10" t="s">
        <v>10777</v>
      </c>
      <c r="D5571" s="10">
        <v>3</v>
      </c>
      <c r="E5571" s="10" t="str">
        <f>LEFT("422626195709137610",19)</f>
        <v>422626195709137610</v>
      </c>
      <c r="F5571" s="10" t="s">
        <v>11</v>
      </c>
    </row>
    <row r="5572" ht="18" customHeight="1" spans="1:6">
      <c r="A5572" s="10" t="s">
        <v>10712</v>
      </c>
      <c r="B5572" s="10" t="s">
        <v>10762</v>
      </c>
      <c r="C5572" s="10" t="s">
        <v>10778</v>
      </c>
      <c r="D5572" s="10">
        <v>4</v>
      </c>
      <c r="E5572" s="10" t="str">
        <f>LEFT("422626196501067611",19)</f>
        <v>422626196501067611</v>
      </c>
      <c r="F5572" s="10" t="s">
        <v>11</v>
      </c>
    </row>
    <row r="5573" ht="18" customHeight="1" spans="1:6">
      <c r="A5573" s="10" t="s">
        <v>10712</v>
      </c>
      <c r="B5573" s="10" t="s">
        <v>10762</v>
      </c>
      <c r="C5573" s="10" t="s">
        <v>10779</v>
      </c>
      <c r="D5573" s="10">
        <v>4</v>
      </c>
      <c r="E5573" s="10" t="str">
        <f>LEFT("422626197512117615",19)</f>
        <v>422626197512117615</v>
      </c>
      <c r="F5573" s="10" t="s">
        <v>11</v>
      </c>
    </row>
    <row r="5574" ht="18" customHeight="1" spans="1:6">
      <c r="A5574" s="10" t="s">
        <v>10712</v>
      </c>
      <c r="B5574" s="10" t="s">
        <v>10762</v>
      </c>
      <c r="C5574" s="10" t="s">
        <v>10011</v>
      </c>
      <c r="D5574" s="10">
        <v>2</v>
      </c>
      <c r="E5574" s="10" t="str">
        <f>LEFT("42262619370925763X",19)</f>
        <v>42262619370925763X</v>
      </c>
      <c r="F5574" s="10" t="s">
        <v>11</v>
      </c>
    </row>
    <row r="5575" ht="18" customHeight="1" spans="1:6">
      <c r="A5575" s="10" t="s">
        <v>10712</v>
      </c>
      <c r="B5575" s="10" t="s">
        <v>10762</v>
      </c>
      <c r="C5575" s="10" t="s">
        <v>10780</v>
      </c>
      <c r="D5575" s="10">
        <v>5</v>
      </c>
      <c r="E5575" s="10" t="str">
        <f>LEFT("420325197903077636",19)</f>
        <v>420325197903077636</v>
      </c>
      <c r="F5575" s="10" t="s">
        <v>11</v>
      </c>
    </row>
    <row r="5576" ht="18" customHeight="1" spans="1:6">
      <c r="A5576" s="10" t="s">
        <v>10712</v>
      </c>
      <c r="B5576" s="10" t="s">
        <v>10762</v>
      </c>
      <c r="C5576" s="10" t="s">
        <v>10781</v>
      </c>
      <c r="D5576" s="10">
        <v>6</v>
      </c>
      <c r="E5576" s="10" t="str">
        <f>LEFT("422626196611287615",19)</f>
        <v>422626196611287615</v>
      </c>
      <c r="F5576" s="10" t="s">
        <v>11</v>
      </c>
    </row>
    <row r="5577" ht="18" customHeight="1" spans="1:6">
      <c r="A5577" s="10" t="s">
        <v>10712</v>
      </c>
      <c r="B5577" s="10" t="s">
        <v>10782</v>
      </c>
      <c r="C5577" s="10" t="s">
        <v>10783</v>
      </c>
      <c r="D5577" s="10">
        <v>2</v>
      </c>
      <c r="E5577" s="10" t="str">
        <f>LEFT("422626194412037614",19)</f>
        <v>422626194412037614</v>
      </c>
      <c r="F5577" s="10" t="s">
        <v>11</v>
      </c>
    </row>
    <row r="5578" ht="18" customHeight="1" spans="1:6">
      <c r="A5578" s="10" t="s">
        <v>10712</v>
      </c>
      <c r="B5578" s="10" t="s">
        <v>10782</v>
      </c>
      <c r="C5578" s="10" t="s">
        <v>10784</v>
      </c>
      <c r="D5578" s="10">
        <v>4</v>
      </c>
      <c r="E5578" s="187" t="s">
        <v>10785</v>
      </c>
      <c r="F5578" s="10" t="s">
        <v>11</v>
      </c>
    </row>
    <row r="5579" ht="18" customHeight="1" spans="1:6">
      <c r="A5579" s="10" t="s">
        <v>10712</v>
      </c>
      <c r="B5579" s="10" t="s">
        <v>10782</v>
      </c>
      <c r="C5579" s="10" t="s">
        <v>10786</v>
      </c>
      <c r="D5579" s="10">
        <v>4</v>
      </c>
      <c r="E5579" s="10" t="str">
        <f>LEFT("420325198902207616",19)</f>
        <v>420325198902207616</v>
      </c>
      <c r="F5579" s="10" t="s">
        <v>11</v>
      </c>
    </row>
    <row r="5580" ht="18" customHeight="1" spans="1:6">
      <c r="A5580" s="10" t="s">
        <v>10712</v>
      </c>
      <c r="B5580" s="10" t="s">
        <v>10782</v>
      </c>
      <c r="C5580" s="10" t="s">
        <v>10787</v>
      </c>
      <c r="D5580" s="10">
        <v>4</v>
      </c>
      <c r="E5580" s="10" t="str">
        <f>LEFT("420325197907217624",19)</f>
        <v>420325197907217624</v>
      </c>
      <c r="F5580" s="10" t="s">
        <v>11</v>
      </c>
    </row>
    <row r="5581" ht="18" customHeight="1" spans="1:6">
      <c r="A5581" s="10" t="s">
        <v>10712</v>
      </c>
      <c r="B5581" s="10" t="s">
        <v>10782</v>
      </c>
      <c r="C5581" s="10" t="s">
        <v>10788</v>
      </c>
      <c r="D5581" s="10">
        <v>2</v>
      </c>
      <c r="E5581" s="10" t="str">
        <f>LEFT("422626194106097627",19)</f>
        <v>422626194106097627</v>
      </c>
      <c r="F5581" s="10" t="s">
        <v>11</v>
      </c>
    </row>
    <row r="5582" ht="18" customHeight="1" spans="1:6">
      <c r="A5582" s="10" t="s">
        <v>10712</v>
      </c>
      <c r="B5582" s="10" t="s">
        <v>10782</v>
      </c>
      <c r="C5582" s="10" t="s">
        <v>10789</v>
      </c>
      <c r="D5582" s="10">
        <v>2</v>
      </c>
      <c r="E5582" s="187" t="s">
        <v>10790</v>
      </c>
      <c r="F5582" s="10" t="s">
        <v>11</v>
      </c>
    </row>
    <row r="5583" ht="18" customHeight="1" spans="1:6">
      <c r="A5583" s="10" t="s">
        <v>10712</v>
      </c>
      <c r="B5583" s="10" t="s">
        <v>10782</v>
      </c>
      <c r="C5583" s="10" t="s">
        <v>10791</v>
      </c>
      <c r="D5583" s="10">
        <v>6</v>
      </c>
      <c r="E5583" s="10" t="str">
        <f>LEFT("422626194210167613",19)</f>
        <v>422626194210167613</v>
      </c>
      <c r="F5583" s="10" t="s">
        <v>11</v>
      </c>
    </row>
    <row r="5584" ht="18" customHeight="1" spans="1:6">
      <c r="A5584" s="10" t="s">
        <v>10712</v>
      </c>
      <c r="B5584" s="10" t="s">
        <v>10782</v>
      </c>
      <c r="C5584" s="10" t="s">
        <v>10792</v>
      </c>
      <c r="D5584" s="10">
        <v>2</v>
      </c>
      <c r="E5584" s="10" t="str">
        <f>LEFT("422626194912097613",19)</f>
        <v>422626194912097613</v>
      </c>
      <c r="F5584" s="10" t="s">
        <v>11</v>
      </c>
    </row>
    <row r="5585" ht="18" customHeight="1" spans="1:6">
      <c r="A5585" s="10" t="s">
        <v>10712</v>
      </c>
      <c r="B5585" s="10" t="s">
        <v>10782</v>
      </c>
      <c r="C5585" s="10" t="s">
        <v>10793</v>
      </c>
      <c r="D5585" s="10">
        <v>3</v>
      </c>
      <c r="E5585" s="10" t="str">
        <f>LEFT("422626196205267619",19)</f>
        <v>422626196205267619</v>
      </c>
      <c r="F5585" s="10" t="s">
        <v>11</v>
      </c>
    </row>
    <row r="5586" ht="18" customHeight="1" spans="1:6">
      <c r="A5586" s="10" t="s">
        <v>10712</v>
      </c>
      <c r="B5586" s="10" t="s">
        <v>10782</v>
      </c>
      <c r="C5586" s="10" t="s">
        <v>10794</v>
      </c>
      <c r="D5586" s="10">
        <v>2</v>
      </c>
      <c r="E5586" s="10" t="str">
        <f>LEFT("42262619371031761X",19)</f>
        <v>42262619371031761X</v>
      </c>
      <c r="F5586" s="10" t="s">
        <v>11</v>
      </c>
    </row>
    <row r="5587" ht="18" customHeight="1" spans="1:6">
      <c r="A5587" s="10" t="s">
        <v>10712</v>
      </c>
      <c r="B5587" s="10" t="s">
        <v>10782</v>
      </c>
      <c r="C5587" s="10" t="s">
        <v>10795</v>
      </c>
      <c r="D5587" s="10">
        <v>3</v>
      </c>
      <c r="E5587" s="10" t="str">
        <f>LEFT("422626195606067613",19)</f>
        <v>422626195606067613</v>
      </c>
      <c r="F5587" s="10" t="s">
        <v>11</v>
      </c>
    </row>
    <row r="5588" ht="18" customHeight="1" spans="1:6">
      <c r="A5588" s="10" t="s">
        <v>10712</v>
      </c>
      <c r="B5588" s="10" t="s">
        <v>10782</v>
      </c>
      <c r="C5588" s="10" t="s">
        <v>10796</v>
      </c>
      <c r="D5588" s="10">
        <v>2</v>
      </c>
      <c r="E5588" s="10" t="str">
        <f>LEFT("422626194812117613",19)</f>
        <v>422626194812117613</v>
      </c>
      <c r="F5588" s="10" t="s">
        <v>11</v>
      </c>
    </row>
    <row r="5589" ht="18" customHeight="1" spans="1:6">
      <c r="A5589" s="10" t="s">
        <v>10712</v>
      </c>
      <c r="B5589" s="10" t="s">
        <v>10782</v>
      </c>
      <c r="C5589" s="10" t="s">
        <v>10797</v>
      </c>
      <c r="D5589" s="10">
        <v>3</v>
      </c>
      <c r="E5589" s="10" t="str">
        <f>LEFT("422626192911027614",19)</f>
        <v>422626192911027614</v>
      </c>
      <c r="F5589" s="10" t="s">
        <v>11</v>
      </c>
    </row>
    <row r="5590" ht="18" customHeight="1" spans="1:6">
      <c r="A5590" s="10" t="s">
        <v>10712</v>
      </c>
      <c r="B5590" s="10" t="s">
        <v>10782</v>
      </c>
      <c r="C5590" s="10" t="s">
        <v>10798</v>
      </c>
      <c r="D5590" s="10">
        <v>2</v>
      </c>
      <c r="E5590" s="10" t="str">
        <f>LEFT("422626196507207611",19)</f>
        <v>422626196507207611</v>
      </c>
      <c r="F5590" s="10" t="s">
        <v>11</v>
      </c>
    </row>
    <row r="5591" ht="18" customHeight="1" spans="1:6">
      <c r="A5591" s="10" t="s">
        <v>10712</v>
      </c>
      <c r="B5591" s="10" t="s">
        <v>10782</v>
      </c>
      <c r="C5591" s="10" t="s">
        <v>10799</v>
      </c>
      <c r="D5591" s="10">
        <v>4</v>
      </c>
      <c r="E5591" s="10" t="str">
        <f>LEFT("422626197608307616",19)</f>
        <v>422626197608307616</v>
      </c>
      <c r="F5591" s="10" t="s">
        <v>11</v>
      </c>
    </row>
    <row r="5592" ht="18" customHeight="1" spans="1:6">
      <c r="A5592" s="10" t="s">
        <v>10712</v>
      </c>
      <c r="B5592" s="10" t="s">
        <v>10782</v>
      </c>
      <c r="C5592" s="10" t="s">
        <v>10800</v>
      </c>
      <c r="D5592" s="10">
        <v>3</v>
      </c>
      <c r="E5592" s="10" t="str">
        <f>LEFT("420325197909287618",19)</f>
        <v>420325197909287618</v>
      </c>
      <c r="F5592" s="10" t="s">
        <v>11</v>
      </c>
    </row>
    <row r="5593" ht="18" customHeight="1" spans="1:6">
      <c r="A5593" s="10" t="s">
        <v>10712</v>
      </c>
      <c r="B5593" s="10" t="s">
        <v>10782</v>
      </c>
      <c r="C5593" s="10" t="s">
        <v>10801</v>
      </c>
      <c r="D5593" s="10">
        <v>4</v>
      </c>
      <c r="E5593" s="10" t="str">
        <f>LEFT("422626196904067616",19)</f>
        <v>422626196904067616</v>
      </c>
      <c r="F5593" s="10" t="s">
        <v>11</v>
      </c>
    </row>
    <row r="5594" ht="18" customHeight="1" spans="1:6">
      <c r="A5594" s="10" t="s">
        <v>10712</v>
      </c>
      <c r="B5594" s="10" t="s">
        <v>10782</v>
      </c>
      <c r="C5594" s="10" t="s">
        <v>10802</v>
      </c>
      <c r="D5594" s="10">
        <v>4</v>
      </c>
      <c r="E5594" s="10" t="str">
        <f>LEFT("420325197003257615",19)</f>
        <v>420325197003257615</v>
      </c>
      <c r="F5594" s="10" t="s">
        <v>11</v>
      </c>
    </row>
    <row r="5595" ht="18" customHeight="1" spans="1:6">
      <c r="A5595" s="10" t="s">
        <v>10712</v>
      </c>
      <c r="B5595" s="10" t="s">
        <v>10782</v>
      </c>
      <c r="C5595" s="10" t="s">
        <v>10803</v>
      </c>
      <c r="D5595" s="10">
        <v>4</v>
      </c>
      <c r="E5595" s="10" t="str">
        <f>LEFT("420325197811267651",19)</f>
        <v>420325197811267651</v>
      </c>
      <c r="F5595" s="10" t="s">
        <v>11</v>
      </c>
    </row>
    <row r="5596" ht="18" customHeight="1" spans="1:6">
      <c r="A5596" s="10" t="s">
        <v>10712</v>
      </c>
      <c r="B5596" s="10" t="s">
        <v>10804</v>
      </c>
      <c r="C5596" s="10" t="s">
        <v>10805</v>
      </c>
      <c r="D5596" s="10">
        <v>6</v>
      </c>
      <c r="E5596" s="187" t="s">
        <v>10806</v>
      </c>
      <c r="F5596" s="10" t="s">
        <v>11</v>
      </c>
    </row>
    <row r="5597" ht="18" customHeight="1" spans="1:6">
      <c r="A5597" s="10" t="s">
        <v>10712</v>
      </c>
      <c r="B5597" s="10" t="s">
        <v>10804</v>
      </c>
      <c r="C5597" s="10" t="s">
        <v>10807</v>
      </c>
      <c r="D5597" s="10">
        <v>5</v>
      </c>
      <c r="E5597" s="187" t="s">
        <v>10808</v>
      </c>
      <c r="F5597" s="10" t="s">
        <v>11</v>
      </c>
    </row>
    <row r="5598" ht="18" customHeight="1" spans="1:6">
      <c r="A5598" s="10" t="s">
        <v>10712</v>
      </c>
      <c r="B5598" s="10" t="s">
        <v>10804</v>
      </c>
      <c r="C5598" s="10" t="s">
        <v>10809</v>
      </c>
      <c r="D5598" s="10">
        <v>3</v>
      </c>
      <c r="E5598" s="187" t="s">
        <v>10810</v>
      </c>
      <c r="F5598" s="10" t="s">
        <v>11</v>
      </c>
    </row>
    <row r="5599" ht="18" customHeight="1" spans="1:6">
      <c r="A5599" s="10" t="s">
        <v>10712</v>
      </c>
      <c r="B5599" s="10" t="s">
        <v>10804</v>
      </c>
      <c r="C5599" s="10" t="s">
        <v>10811</v>
      </c>
      <c r="D5599" s="10">
        <v>3</v>
      </c>
      <c r="E5599" s="187" t="s">
        <v>10812</v>
      </c>
      <c r="F5599" s="10" t="s">
        <v>11</v>
      </c>
    </row>
    <row r="5600" ht="18" customHeight="1" spans="1:6">
      <c r="A5600" s="10" t="s">
        <v>10712</v>
      </c>
      <c r="B5600" s="10" t="s">
        <v>10804</v>
      </c>
      <c r="C5600" s="10" t="s">
        <v>10813</v>
      </c>
      <c r="D5600" s="10">
        <v>3</v>
      </c>
      <c r="E5600" s="187" t="s">
        <v>10814</v>
      </c>
      <c r="F5600" s="10" t="s">
        <v>11</v>
      </c>
    </row>
    <row r="5601" ht="18" customHeight="1" spans="1:6">
      <c r="A5601" s="10" t="s">
        <v>10712</v>
      </c>
      <c r="B5601" s="10" t="s">
        <v>10804</v>
      </c>
      <c r="C5601" s="10" t="s">
        <v>10815</v>
      </c>
      <c r="D5601" s="10">
        <v>2</v>
      </c>
      <c r="E5601" s="187" t="s">
        <v>10816</v>
      </c>
      <c r="F5601" s="10" t="s">
        <v>11</v>
      </c>
    </row>
    <row r="5602" ht="18" customHeight="1" spans="1:6">
      <c r="A5602" s="10" t="s">
        <v>10712</v>
      </c>
      <c r="B5602" s="10" t="s">
        <v>10804</v>
      </c>
      <c r="C5602" s="10" t="s">
        <v>10817</v>
      </c>
      <c r="D5602" s="10">
        <v>4</v>
      </c>
      <c r="E5602" s="10" t="s">
        <v>10818</v>
      </c>
      <c r="F5602" s="10" t="s">
        <v>11</v>
      </c>
    </row>
    <row r="5603" ht="18" customHeight="1" spans="1:6">
      <c r="A5603" s="10" t="s">
        <v>10712</v>
      </c>
      <c r="B5603" s="10" t="s">
        <v>10804</v>
      </c>
      <c r="C5603" s="10" t="s">
        <v>10819</v>
      </c>
      <c r="D5603" s="10">
        <v>4</v>
      </c>
      <c r="E5603" s="187" t="s">
        <v>10820</v>
      </c>
      <c r="F5603" s="10" t="s">
        <v>11</v>
      </c>
    </row>
    <row r="5604" ht="18" customHeight="1" spans="1:6">
      <c r="A5604" s="10" t="s">
        <v>10712</v>
      </c>
      <c r="B5604" s="10" t="s">
        <v>10804</v>
      </c>
      <c r="C5604" s="10" t="s">
        <v>10821</v>
      </c>
      <c r="D5604" s="10">
        <v>3</v>
      </c>
      <c r="E5604" s="10" t="s">
        <v>10822</v>
      </c>
      <c r="F5604" s="10" t="s">
        <v>11</v>
      </c>
    </row>
    <row r="5605" ht="18" customHeight="1" spans="1:6">
      <c r="A5605" s="10" t="s">
        <v>10712</v>
      </c>
      <c r="B5605" s="10" t="s">
        <v>10804</v>
      </c>
      <c r="C5605" s="10" t="s">
        <v>10823</v>
      </c>
      <c r="D5605" s="10">
        <v>4</v>
      </c>
      <c r="E5605" s="187" t="s">
        <v>10824</v>
      </c>
      <c r="F5605" s="10" t="s">
        <v>11</v>
      </c>
    </row>
    <row r="5606" ht="18" customHeight="1" spans="1:6">
      <c r="A5606" s="10" t="s">
        <v>10712</v>
      </c>
      <c r="B5606" s="10" t="s">
        <v>10804</v>
      </c>
      <c r="C5606" s="174" t="s">
        <v>10825</v>
      </c>
      <c r="D5606" s="174">
        <v>5</v>
      </c>
      <c r="E5606" s="174" t="s">
        <v>10826</v>
      </c>
      <c r="F5606" s="10" t="s">
        <v>11</v>
      </c>
    </row>
    <row r="5607" ht="18" customHeight="1" spans="1:6">
      <c r="A5607" s="10" t="s">
        <v>10712</v>
      </c>
      <c r="B5607" s="10" t="s">
        <v>10804</v>
      </c>
      <c r="C5607" s="174" t="s">
        <v>10827</v>
      </c>
      <c r="D5607" s="174">
        <v>5</v>
      </c>
      <c r="E5607" s="174" t="s">
        <v>10828</v>
      </c>
      <c r="F5607" s="10" t="s">
        <v>11</v>
      </c>
    </row>
    <row r="5608" ht="18" customHeight="1" spans="1:6">
      <c r="A5608" s="10" t="s">
        <v>10712</v>
      </c>
      <c r="B5608" s="10" t="s">
        <v>10804</v>
      </c>
      <c r="C5608" s="174" t="s">
        <v>10829</v>
      </c>
      <c r="D5608" s="174">
        <v>4</v>
      </c>
      <c r="E5608" s="174" t="s">
        <v>10830</v>
      </c>
      <c r="F5608" s="10" t="s">
        <v>11</v>
      </c>
    </row>
    <row r="5609" ht="18" customHeight="1" spans="1:6">
      <c r="A5609" s="10" t="s">
        <v>10712</v>
      </c>
      <c r="B5609" s="10" t="s">
        <v>10804</v>
      </c>
      <c r="C5609" s="174" t="s">
        <v>10831</v>
      </c>
      <c r="D5609" s="174">
        <v>4</v>
      </c>
      <c r="E5609" s="174" t="s">
        <v>10832</v>
      </c>
      <c r="F5609" s="10" t="s">
        <v>11</v>
      </c>
    </row>
    <row r="5610" ht="18" customHeight="1" spans="1:6">
      <c r="A5610" s="10" t="s">
        <v>10712</v>
      </c>
      <c r="B5610" s="10" t="s">
        <v>10833</v>
      </c>
      <c r="C5610" s="10" t="s">
        <v>10834</v>
      </c>
      <c r="D5610" s="10">
        <v>4</v>
      </c>
      <c r="E5610" s="10" t="str">
        <f>LEFT("42262619690227761X",19)</f>
        <v>42262619690227761X</v>
      </c>
      <c r="F5610" s="10" t="s">
        <v>11</v>
      </c>
    </row>
    <row r="5611" ht="18" customHeight="1" spans="1:6">
      <c r="A5611" s="10" t="s">
        <v>10712</v>
      </c>
      <c r="B5611" s="10" t="s">
        <v>10833</v>
      </c>
      <c r="C5611" s="10" t="s">
        <v>10835</v>
      </c>
      <c r="D5611" s="10">
        <v>4</v>
      </c>
      <c r="E5611" s="10" t="str">
        <f>LEFT("42032519860715761X",19)</f>
        <v>42032519860715761X</v>
      </c>
      <c r="F5611" s="10" t="s">
        <v>11</v>
      </c>
    </row>
    <row r="5612" ht="18" customHeight="1" spans="1:6">
      <c r="A5612" s="10" t="s">
        <v>10712</v>
      </c>
      <c r="B5612" s="10" t="s">
        <v>10833</v>
      </c>
      <c r="C5612" s="10" t="s">
        <v>10836</v>
      </c>
      <c r="D5612" s="10">
        <v>4</v>
      </c>
      <c r="E5612" s="10" t="str">
        <f>LEFT("422626196603287631",19)</f>
        <v>422626196603287631</v>
      </c>
      <c r="F5612" s="10" t="s">
        <v>11</v>
      </c>
    </row>
    <row r="5613" ht="18" customHeight="1" spans="1:6">
      <c r="A5613" s="10" t="s">
        <v>10712</v>
      </c>
      <c r="B5613" s="10" t="s">
        <v>10833</v>
      </c>
      <c r="C5613" s="10" t="s">
        <v>10837</v>
      </c>
      <c r="D5613" s="10">
        <v>4</v>
      </c>
      <c r="E5613" s="10" t="str">
        <f>LEFT("420325197802067615",19)</f>
        <v>420325197802067615</v>
      </c>
      <c r="F5613" s="10" t="s">
        <v>11</v>
      </c>
    </row>
    <row r="5614" ht="18" customHeight="1" spans="1:6">
      <c r="A5614" s="10" t="s">
        <v>10712</v>
      </c>
      <c r="B5614" s="10" t="s">
        <v>10833</v>
      </c>
      <c r="C5614" s="10" t="s">
        <v>10838</v>
      </c>
      <c r="D5614" s="10">
        <v>3</v>
      </c>
      <c r="E5614" s="10" t="str">
        <f>LEFT("422626195311057610",19)</f>
        <v>422626195311057610</v>
      </c>
      <c r="F5614" s="10" t="s">
        <v>11</v>
      </c>
    </row>
    <row r="5615" ht="18" customHeight="1" spans="1:6">
      <c r="A5615" s="10" t="s">
        <v>10712</v>
      </c>
      <c r="B5615" s="10" t="s">
        <v>10833</v>
      </c>
      <c r="C5615" s="10" t="s">
        <v>10839</v>
      </c>
      <c r="D5615" s="10">
        <v>3</v>
      </c>
      <c r="E5615" s="10" t="str">
        <f>LEFT("422626197602297613",19)</f>
        <v>422626197602297613</v>
      </c>
      <c r="F5615" s="10" t="s">
        <v>11</v>
      </c>
    </row>
    <row r="5616" ht="18" customHeight="1" spans="1:6">
      <c r="A5616" s="10" t="s">
        <v>10712</v>
      </c>
      <c r="B5616" s="10" t="s">
        <v>10833</v>
      </c>
      <c r="C5616" s="10" t="s">
        <v>10840</v>
      </c>
      <c r="D5616" s="10">
        <v>2</v>
      </c>
      <c r="E5616" s="10" t="str">
        <f>LEFT("422626196105087610",19)</f>
        <v>422626196105087610</v>
      </c>
      <c r="F5616" s="10" t="s">
        <v>11</v>
      </c>
    </row>
    <row r="5617" ht="18" customHeight="1" spans="1:6">
      <c r="A5617" s="10" t="s">
        <v>10712</v>
      </c>
      <c r="B5617" s="10" t="s">
        <v>10833</v>
      </c>
      <c r="C5617" s="10" t="s">
        <v>10841</v>
      </c>
      <c r="D5617" s="10">
        <v>3</v>
      </c>
      <c r="E5617" s="10" t="str">
        <f>LEFT("420325197705027654",19)</f>
        <v>420325197705027654</v>
      </c>
      <c r="F5617" s="10" t="s">
        <v>11</v>
      </c>
    </row>
    <row r="5618" ht="18" customHeight="1" spans="1:6">
      <c r="A5618" s="10" t="s">
        <v>10712</v>
      </c>
      <c r="B5618" s="10" t="s">
        <v>10833</v>
      </c>
      <c r="C5618" s="10" t="s">
        <v>10842</v>
      </c>
      <c r="D5618" s="10">
        <v>3</v>
      </c>
      <c r="E5618" s="10" t="str">
        <f>LEFT("420325198207287618",19)</f>
        <v>420325198207287618</v>
      </c>
      <c r="F5618" s="10" t="s">
        <v>11</v>
      </c>
    </row>
    <row r="5619" ht="18" customHeight="1" spans="1:6">
      <c r="A5619" s="10" t="s">
        <v>10712</v>
      </c>
      <c r="B5619" s="10" t="s">
        <v>10833</v>
      </c>
      <c r="C5619" s="10" t="s">
        <v>10843</v>
      </c>
      <c r="D5619" s="10">
        <v>3</v>
      </c>
      <c r="E5619" s="10" t="str">
        <f>LEFT("422626195210137638",19)</f>
        <v>422626195210137638</v>
      </c>
      <c r="F5619" s="10" t="s">
        <v>11</v>
      </c>
    </row>
    <row r="5620" ht="18" customHeight="1" spans="1:6">
      <c r="A5620" s="10" t="s">
        <v>10712</v>
      </c>
      <c r="B5620" s="10" t="s">
        <v>10833</v>
      </c>
      <c r="C5620" s="10" t="s">
        <v>10844</v>
      </c>
      <c r="D5620" s="10">
        <v>3</v>
      </c>
      <c r="E5620" s="10" t="str">
        <f>LEFT("422626197311307631",19)</f>
        <v>422626197311307631</v>
      </c>
      <c r="F5620" s="10" t="s">
        <v>11</v>
      </c>
    </row>
    <row r="5621" ht="18" customHeight="1" spans="1:6">
      <c r="A5621" s="10" t="s">
        <v>10712</v>
      </c>
      <c r="B5621" s="10" t="s">
        <v>10833</v>
      </c>
      <c r="C5621" s="10" t="s">
        <v>10845</v>
      </c>
      <c r="D5621" s="10">
        <v>6</v>
      </c>
      <c r="E5621" s="10" t="str">
        <f>LEFT("422626196610207636",19)</f>
        <v>422626196610207636</v>
      </c>
      <c r="F5621" s="10" t="s">
        <v>11</v>
      </c>
    </row>
    <row r="5622" ht="18" customHeight="1" spans="1:6">
      <c r="A5622" s="10" t="s">
        <v>10712</v>
      </c>
      <c r="B5622" s="10" t="s">
        <v>10833</v>
      </c>
      <c r="C5622" s="10" t="s">
        <v>10846</v>
      </c>
      <c r="D5622" s="10">
        <v>3</v>
      </c>
      <c r="E5622" s="10" t="s">
        <v>10847</v>
      </c>
      <c r="F5622" s="10" t="s">
        <v>11</v>
      </c>
    </row>
    <row r="5623" ht="18" customHeight="1" spans="1:6">
      <c r="A5623" s="10" t="s">
        <v>10712</v>
      </c>
      <c r="B5623" s="10" t="s">
        <v>10833</v>
      </c>
      <c r="C5623" s="10" t="s">
        <v>10848</v>
      </c>
      <c r="D5623" s="10">
        <v>2</v>
      </c>
      <c r="E5623" s="10" t="s">
        <v>10849</v>
      </c>
      <c r="F5623" s="10" t="s">
        <v>11</v>
      </c>
    </row>
    <row r="5624" ht="18" customHeight="1" spans="1:6">
      <c r="A5624" s="10" t="s">
        <v>10712</v>
      </c>
      <c r="B5624" s="10" t="s">
        <v>10833</v>
      </c>
      <c r="C5624" s="10" t="s">
        <v>10850</v>
      </c>
      <c r="D5624" s="10">
        <v>6</v>
      </c>
      <c r="E5624" s="10" t="s">
        <v>10851</v>
      </c>
      <c r="F5624" s="10" t="s">
        <v>11</v>
      </c>
    </row>
    <row r="5625" ht="18" customHeight="1" spans="1:6">
      <c r="A5625" s="10" t="s">
        <v>10712</v>
      </c>
      <c r="B5625" s="10" t="s">
        <v>10833</v>
      </c>
      <c r="C5625" s="10" t="s">
        <v>10852</v>
      </c>
      <c r="D5625" s="10">
        <v>3</v>
      </c>
      <c r="E5625" s="10" t="s">
        <v>10853</v>
      </c>
      <c r="F5625" s="10" t="s">
        <v>11</v>
      </c>
    </row>
    <row r="5626" ht="18" customHeight="1" spans="1:6">
      <c r="A5626" s="10" t="s">
        <v>10712</v>
      </c>
      <c r="B5626" s="10" t="s">
        <v>10833</v>
      </c>
      <c r="C5626" s="10" t="s">
        <v>10854</v>
      </c>
      <c r="D5626" s="10">
        <v>2</v>
      </c>
      <c r="E5626" s="10" t="s">
        <v>10855</v>
      </c>
      <c r="F5626" s="10" t="s">
        <v>11</v>
      </c>
    </row>
    <row r="5627" ht="18" customHeight="1" spans="1:6">
      <c r="A5627" s="10" t="s">
        <v>10712</v>
      </c>
      <c r="B5627" s="10" t="s">
        <v>10833</v>
      </c>
      <c r="C5627" s="10" t="s">
        <v>10856</v>
      </c>
      <c r="D5627" s="10">
        <v>4</v>
      </c>
      <c r="E5627" s="10" t="s">
        <v>10857</v>
      </c>
      <c r="F5627" s="10" t="s">
        <v>11</v>
      </c>
    </row>
    <row r="5628" ht="18" customHeight="1" spans="1:6">
      <c r="A5628" s="10" t="s">
        <v>10712</v>
      </c>
      <c r="B5628" s="10" t="s">
        <v>10833</v>
      </c>
      <c r="C5628" s="10" t="s">
        <v>10858</v>
      </c>
      <c r="D5628" s="10">
        <v>2</v>
      </c>
      <c r="E5628" s="10" t="s">
        <v>10859</v>
      </c>
      <c r="F5628" s="10" t="s">
        <v>11</v>
      </c>
    </row>
    <row r="5629" ht="18" customHeight="1" spans="1:6">
      <c r="A5629" s="10" t="s">
        <v>10712</v>
      </c>
      <c r="B5629" s="10" t="s">
        <v>10833</v>
      </c>
      <c r="C5629" s="10" t="s">
        <v>10860</v>
      </c>
      <c r="D5629" s="10">
        <v>2</v>
      </c>
      <c r="E5629" s="10" t="s">
        <v>10861</v>
      </c>
      <c r="F5629" s="10" t="s">
        <v>11</v>
      </c>
    </row>
    <row r="5630" ht="18" customHeight="1" spans="1:6">
      <c r="A5630" s="10" t="s">
        <v>10712</v>
      </c>
      <c r="B5630" s="10" t="s">
        <v>10833</v>
      </c>
      <c r="C5630" s="10" t="s">
        <v>10862</v>
      </c>
      <c r="D5630" s="10">
        <v>2</v>
      </c>
      <c r="E5630" s="10" t="s">
        <v>10863</v>
      </c>
      <c r="F5630" s="10" t="s">
        <v>11</v>
      </c>
    </row>
    <row r="5631" ht="18" customHeight="1" spans="1:6">
      <c r="A5631" s="10" t="s">
        <v>10712</v>
      </c>
      <c r="B5631" s="10" t="s">
        <v>10833</v>
      </c>
      <c r="C5631" s="10" t="s">
        <v>10864</v>
      </c>
      <c r="D5631" s="10">
        <v>2</v>
      </c>
      <c r="E5631" s="10" t="s">
        <v>10865</v>
      </c>
      <c r="F5631" s="10" t="s">
        <v>11</v>
      </c>
    </row>
    <row r="5632" ht="18" customHeight="1" spans="1:6">
      <c r="A5632" s="10" t="s">
        <v>10712</v>
      </c>
      <c r="B5632" s="10" t="s">
        <v>10833</v>
      </c>
      <c r="C5632" s="10" t="s">
        <v>10866</v>
      </c>
      <c r="D5632" s="10">
        <v>2</v>
      </c>
      <c r="E5632" s="10" t="s">
        <v>10867</v>
      </c>
      <c r="F5632" s="10" t="s">
        <v>11</v>
      </c>
    </row>
    <row r="5633" ht="18" customHeight="1" spans="1:6">
      <c r="A5633" s="10" t="s">
        <v>10712</v>
      </c>
      <c r="B5633" s="10" t="s">
        <v>10868</v>
      </c>
      <c r="C5633" s="10" t="s">
        <v>2199</v>
      </c>
      <c r="D5633" s="10">
        <v>6</v>
      </c>
      <c r="E5633" s="187" t="s">
        <v>10869</v>
      </c>
      <c r="F5633" s="10" t="s">
        <v>11</v>
      </c>
    </row>
    <row r="5634" ht="18" customHeight="1" spans="1:6">
      <c r="A5634" s="10" t="s">
        <v>10712</v>
      </c>
      <c r="B5634" s="10" t="s">
        <v>10868</v>
      </c>
      <c r="C5634" s="10" t="s">
        <v>10870</v>
      </c>
      <c r="D5634" s="10">
        <v>6</v>
      </c>
      <c r="E5634" s="187" t="s">
        <v>10871</v>
      </c>
      <c r="F5634" s="10" t="s">
        <v>11</v>
      </c>
    </row>
    <row r="5635" ht="18" customHeight="1" spans="1:6">
      <c r="A5635" s="10" t="s">
        <v>10712</v>
      </c>
      <c r="B5635" s="10" t="s">
        <v>10868</v>
      </c>
      <c r="C5635" s="10" t="s">
        <v>10872</v>
      </c>
      <c r="D5635" s="10">
        <v>5</v>
      </c>
      <c r="E5635" s="187" t="s">
        <v>10873</v>
      </c>
      <c r="F5635" s="10" t="s">
        <v>11</v>
      </c>
    </row>
    <row r="5636" ht="18" customHeight="1" spans="1:6">
      <c r="A5636" s="10" t="s">
        <v>10712</v>
      </c>
      <c r="B5636" s="10" t="s">
        <v>10868</v>
      </c>
      <c r="C5636" s="10" t="s">
        <v>10874</v>
      </c>
      <c r="D5636" s="10">
        <v>3</v>
      </c>
      <c r="E5636" s="187" t="s">
        <v>10875</v>
      </c>
      <c r="F5636" s="10" t="s">
        <v>11</v>
      </c>
    </row>
    <row r="5637" ht="18" customHeight="1" spans="1:6">
      <c r="A5637" s="10" t="s">
        <v>10712</v>
      </c>
      <c r="B5637" s="10" t="s">
        <v>10868</v>
      </c>
      <c r="C5637" s="10" t="s">
        <v>10876</v>
      </c>
      <c r="D5637" s="10">
        <v>3</v>
      </c>
      <c r="E5637" s="187" t="s">
        <v>10877</v>
      </c>
      <c r="F5637" s="10" t="s">
        <v>11</v>
      </c>
    </row>
    <row r="5638" ht="18" customHeight="1" spans="1:6">
      <c r="A5638" s="10" t="s">
        <v>10712</v>
      </c>
      <c r="B5638" s="10" t="s">
        <v>10868</v>
      </c>
      <c r="C5638" s="10" t="s">
        <v>10878</v>
      </c>
      <c r="D5638" s="10">
        <v>4</v>
      </c>
      <c r="E5638" s="187" t="s">
        <v>10879</v>
      </c>
      <c r="F5638" s="10" t="s">
        <v>11</v>
      </c>
    </row>
    <row r="5639" ht="18" customHeight="1" spans="1:6">
      <c r="A5639" s="10" t="s">
        <v>10712</v>
      </c>
      <c r="B5639" s="10" t="s">
        <v>10868</v>
      </c>
      <c r="C5639" s="10" t="s">
        <v>10880</v>
      </c>
      <c r="D5639" s="10">
        <v>4</v>
      </c>
      <c r="E5639" s="187" t="s">
        <v>10881</v>
      </c>
      <c r="F5639" s="10" t="s">
        <v>11</v>
      </c>
    </row>
    <row r="5640" ht="18" customHeight="1" spans="1:6">
      <c r="A5640" s="10" t="s">
        <v>10712</v>
      </c>
      <c r="B5640" s="10" t="s">
        <v>10868</v>
      </c>
      <c r="C5640" s="10" t="s">
        <v>10882</v>
      </c>
      <c r="D5640" s="10">
        <v>5</v>
      </c>
      <c r="E5640" s="187" t="s">
        <v>10883</v>
      </c>
      <c r="F5640" s="10" t="s">
        <v>11</v>
      </c>
    </row>
    <row r="5641" ht="18" customHeight="1" spans="1:6">
      <c r="A5641" s="10" t="s">
        <v>10712</v>
      </c>
      <c r="B5641" s="174" t="s">
        <v>10884</v>
      </c>
      <c r="C5641" s="175" t="s">
        <v>10885</v>
      </c>
      <c r="D5641" s="175">
        <v>5</v>
      </c>
      <c r="E5641" s="5" t="str">
        <f>LEFT("422626194906187612",19)</f>
        <v>422626194906187612</v>
      </c>
      <c r="F5641" s="175" t="s">
        <v>11</v>
      </c>
    </row>
    <row r="5642" ht="18" customHeight="1" spans="1:6">
      <c r="A5642" s="10" t="s">
        <v>10712</v>
      </c>
      <c r="B5642" s="174" t="s">
        <v>10884</v>
      </c>
      <c r="C5642" s="175" t="s">
        <v>10886</v>
      </c>
      <c r="D5642" s="175">
        <v>6</v>
      </c>
      <c r="E5642" s="5" t="str">
        <f>LEFT("422626195506257639",19)</f>
        <v>422626195506257639</v>
      </c>
      <c r="F5642" s="175" t="s">
        <v>11</v>
      </c>
    </row>
    <row r="5643" ht="18" customHeight="1" spans="1:6">
      <c r="A5643" s="10" t="s">
        <v>10712</v>
      </c>
      <c r="B5643" s="174" t="s">
        <v>10884</v>
      </c>
      <c r="C5643" s="5" t="s">
        <v>10887</v>
      </c>
      <c r="D5643" s="6">
        <v>3</v>
      </c>
      <c r="E5643" s="5" t="str">
        <f>LEFT("422626195502187610",19)</f>
        <v>422626195502187610</v>
      </c>
      <c r="F5643" s="175" t="s">
        <v>11</v>
      </c>
    </row>
    <row r="5644" ht="18" customHeight="1" spans="1:6">
      <c r="A5644" s="10" t="s">
        <v>10712</v>
      </c>
      <c r="B5644" s="174" t="s">
        <v>10888</v>
      </c>
      <c r="C5644" s="5" t="s">
        <v>10889</v>
      </c>
      <c r="D5644" s="6">
        <v>5</v>
      </c>
      <c r="E5644" s="5" t="str">
        <f>LEFT("420325197211277610",19)</f>
        <v>420325197211277610</v>
      </c>
      <c r="F5644" s="175" t="s">
        <v>11</v>
      </c>
    </row>
    <row r="5645" ht="18" customHeight="1" spans="1:6">
      <c r="A5645" s="10" t="s">
        <v>10712</v>
      </c>
      <c r="B5645" s="174" t="s">
        <v>10888</v>
      </c>
      <c r="C5645" s="5" t="s">
        <v>10890</v>
      </c>
      <c r="D5645" s="6">
        <v>4</v>
      </c>
      <c r="E5645" s="5" t="str">
        <f>LEFT("422626195811117616",19)</f>
        <v>422626195811117616</v>
      </c>
      <c r="F5645" s="175" t="s">
        <v>11</v>
      </c>
    </row>
    <row r="5646" ht="18" customHeight="1" spans="1:6">
      <c r="A5646" s="10" t="s">
        <v>10712</v>
      </c>
      <c r="B5646" s="174" t="s">
        <v>10888</v>
      </c>
      <c r="C5646" s="5" t="s">
        <v>10891</v>
      </c>
      <c r="D5646" s="6">
        <v>4</v>
      </c>
      <c r="E5646" s="5" t="str">
        <f>LEFT("422626195904177618",19)</f>
        <v>422626195904177618</v>
      </c>
      <c r="F5646" s="175" t="s">
        <v>11</v>
      </c>
    </row>
    <row r="5647" ht="18" customHeight="1" spans="1:6">
      <c r="A5647" s="10" t="s">
        <v>10712</v>
      </c>
      <c r="B5647" s="174" t="s">
        <v>10892</v>
      </c>
      <c r="C5647" s="5" t="s">
        <v>10893</v>
      </c>
      <c r="D5647" s="6">
        <v>4</v>
      </c>
      <c r="E5647" s="5" t="str">
        <f>LEFT("420325197803017636",19)</f>
        <v>420325197803017636</v>
      </c>
      <c r="F5647" s="175" t="s">
        <v>11</v>
      </c>
    </row>
    <row r="5648" ht="18" customHeight="1" spans="1:6">
      <c r="A5648" s="10" t="s">
        <v>10712</v>
      </c>
      <c r="B5648" s="174" t="s">
        <v>10894</v>
      </c>
      <c r="C5648" s="5" t="s">
        <v>10895</v>
      </c>
      <c r="D5648" s="6">
        <v>4</v>
      </c>
      <c r="E5648" s="5" t="str">
        <f>LEFT("422626195904167612",19)</f>
        <v>422626195904167612</v>
      </c>
      <c r="F5648" s="175" t="s">
        <v>11</v>
      </c>
    </row>
    <row r="5649" ht="18" customHeight="1" spans="1:6">
      <c r="A5649" s="10" t="s">
        <v>10712</v>
      </c>
      <c r="B5649" s="174" t="s">
        <v>10896</v>
      </c>
      <c r="C5649" s="5" t="s">
        <v>10897</v>
      </c>
      <c r="D5649" s="6">
        <v>3</v>
      </c>
      <c r="E5649" s="5" t="str">
        <f>LEFT("422626196609267615",19)</f>
        <v>422626196609267615</v>
      </c>
      <c r="F5649" s="175" t="s">
        <v>11</v>
      </c>
    </row>
    <row r="5650" ht="18" customHeight="1" spans="1:6">
      <c r="A5650" s="10" t="s">
        <v>10712</v>
      </c>
      <c r="B5650" s="174" t="s">
        <v>10896</v>
      </c>
      <c r="C5650" s="5" t="s">
        <v>10898</v>
      </c>
      <c r="D5650" s="6">
        <v>3</v>
      </c>
      <c r="E5650" s="5" t="str">
        <f>LEFT("420325197911177637",19)</f>
        <v>420325197911177637</v>
      </c>
      <c r="F5650" s="175" t="s">
        <v>11</v>
      </c>
    </row>
    <row r="5651" ht="18" customHeight="1" spans="1:6">
      <c r="A5651" s="10" t="s">
        <v>10712</v>
      </c>
      <c r="B5651" s="174" t="s">
        <v>10894</v>
      </c>
      <c r="C5651" s="174" t="s">
        <v>10899</v>
      </c>
      <c r="D5651" s="174">
        <v>2</v>
      </c>
      <c r="E5651" s="5" t="str">
        <f>LEFT("422626195305137614",19)</f>
        <v>422626195305137614</v>
      </c>
      <c r="F5651" s="175" t="s">
        <v>11</v>
      </c>
    </row>
    <row r="5652" ht="18" customHeight="1" spans="1:6">
      <c r="A5652" s="10" t="s">
        <v>10712</v>
      </c>
      <c r="B5652" s="174" t="s">
        <v>10894</v>
      </c>
      <c r="C5652" s="174" t="s">
        <v>10900</v>
      </c>
      <c r="D5652" s="174">
        <v>2</v>
      </c>
      <c r="E5652" s="5" t="str">
        <f>LEFT("422626195002227620",19)</f>
        <v>422626195002227620</v>
      </c>
      <c r="F5652" s="175" t="s">
        <v>11</v>
      </c>
    </row>
    <row r="5653" ht="18" customHeight="1" spans="1:6">
      <c r="A5653" s="10" t="s">
        <v>10712</v>
      </c>
      <c r="B5653" s="174" t="s">
        <v>10901</v>
      </c>
      <c r="C5653" s="174" t="s">
        <v>10902</v>
      </c>
      <c r="D5653" s="174">
        <v>3</v>
      </c>
      <c r="E5653" s="5" t="str">
        <f>LEFT("420325197612057619",19)</f>
        <v>420325197612057619</v>
      </c>
      <c r="F5653" s="175" t="s">
        <v>11</v>
      </c>
    </row>
    <row r="5654" ht="18" customHeight="1" spans="1:6">
      <c r="A5654" s="10" t="s">
        <v>10712</v>
      </c>
      <c r="B5654" s="174" t="s">
        <v>10901</v>
      </c>
      <c r="C5654" s="174" t="s">
        <v>10903</v>
      </c>
      <c r="D5654" s="174">
        <v>4</v>
      </c>
      <c r="E5654" s="5" t="s">
        <v>10904</v>
      </c>
      <c r="F5654" s="175" t="s">
        <v>11</v>
      </c>
    </row>
    <row r="5655" ht="18" customHeight="1" spans="1:6">
      <c r="A5655" s="10" t="s">
        <v>10712</v>
      </c>
      <c r="B5655" s="174" t="s">
        <v>10894</v>
      </c>
      <c r="C5655" s="174" t="s">
        <v>10905</v>
      </c>
      <c r="D5655" s="174">
        <v>4</v>
      </c>
      <c r="E5655" s="5" t="s">
        <v>10906</v>
      </c>
      <c r="F5655" s="175" t="s">
        <v>11</v>
      </c>
    </row>
    <row r="5656" ht="18" customHeight="1" spans="1:6">
      <c r="A5656" s="10" t="s">
        <v>10712</v>
      </c>
      <c r="B5656" s="174" t="s">
        <v>10894</v>
      </c>
      <c r="C5656" s="174" t="s">
        <v>10907</v>
      </c>
      <c r="D5656" s="174">
        <v>4</v>
      </c>
      <c r="E5656" s="5" t="s">
        <v>10908</v>
      </c>
      <c r="F5656" s="175" t="s">
        <v>11</v>
      </c>
    </row>
    <row r="5657" ht="18" customHeight="1" spans="1:6">
      <c r="A5657" s="10" t="s">
        <v>10712</v>
      </c>
      <c r="B5657" s="174" t="s">
        <v>10884</v>
      </c>
      <c r="C5657" s="174" t="s">
        <v>10909</v>
      </c>
      <c r="D5657" s="174">
        <v>5</v>
      </c>
      <c r="E5657" s="5" t="s">
        <v>10910</v>
      </c>
      <c r="F5657" s="175" t="s">
        <v>11</v>
      </c>
    </row>
    <row r="5658" ht="18" customHeight="1" spans="1:6">
      <c r="A5658" s="10" t="s">
        <v>10712</v>
      </c>
      <c r="B5658" s="174" t="s">
        <v>10884</v>
      </c>
      <c r="C5658" s="174" t="s">
        <v>10911</v>
      </c>
      <c r="D5658" s="174">
        <v>6</v>
      </c>
      <c r="E5658" s="5" t="s">
        <v>10912</v>
      </c>
      <c r="F5658" s="175" t="s">
        <v>11</v>
      </c>
    </row>
    <row r="5659" ht="18" customHeight="1" spans="1:6">
      <c r="A5659" s="10" t="s">
        <v>10712</v>
      </c>
      <c r="B5659" s="174" t="s">
        <v>10884</v>
      </c>
      <c r="C5659" s="174" t="s">
        <v>10913</v>
      </c>
      <c r="D5659" s="174">
        <v>4</v>
      </c>
      <c r="E5659" s="5" t="s">
        <v>10914</v>
      </c>
      <c r="F5659" s="175" t="s">
        <v>11</v>
      </c>
    </row>
    <row r="5660" ht="18" customHeight="1" spans="1:6">
      <c r="A5660" s="10" t="s">
        <v>10712</v>
      </c>
      <c r="B5660" s="174" t="s">
        <v>10901</v>
      </c>
      <c r="C5660" s="174" t="s">
        <v>10915</v>
      </c>
      <c r="D5660" s="174">
        <v>3</v>
      </c>
      <c r="E5660" s="5" t="s">
        <v>10916</v>
      </c>
      <c r="F5660" s="175" t="s">
        <v>11</v>
      </c>
    </row>
    <row r="5661" ht="18" customHeight="1" spans="1:6">
      <c r="A5661" s="10" t="s">
        <v>10712</v>
      </c>
      <c r="B5661" s="174" t="s">
        <v>10892</v>
      </c>
      <c r="C5661" s="175" t="s">
        <v>10917</v>
      </c>
      <c r="D5661" s="175">
        <v>4</v>
      </c>
      <c r="E5661" s="5" t="s">
        <v>10918</v>
      </c>
      <c r="F5661" s="175" t="s">
        <v>11</v>
      </c>
    </row>
    <row r="5662" ht="18" customHeight="1" spans="1:6">
      <c r="A5662" s="10" t="s">
        <v>10712</v>
      </c>
      <c r="B5662" s="174" t="s">
        <v>10892</v>
      </c>
      <c r="C5662" s="175" t="s">
        <v>10919</v>
      </c>
      <c r="D5662" s="175">
        <v>4</v>
      </c>
      <c r="E5662" s="5" t="s">
        <v>10920</v>
      </c>
      <c r="F5662" s="175" t="s">
        <v>11</v>
      </c>
    </row>
    <row r="5663" ht="18" customHeight="1" spans="1:6">
      <c r="A5663" s="10" t="s">
        <v>10712</v>
      </c>
      <c r="B5663" s="174" t="s">
        <v>10892</v>
      </c>
      <c r="C5663" s="175" t="s">
        <v>10921</v>
      </c>
      <c r="D5663" s="175">
        <v>3</v>
      </c>
      <c r="E5663" s="5" t="s">
        <v>10922</v>
      </c>
      <c r="F5663" s="175" t="s">
        <v>11</v>
      </c>
    </row>
    <row r="5664" ht="18" customHeight="1" spans="1:6">
      <c r="A5664" s="10" t="s">
        <v>10712</v>
      </c>
      <c r="B5664" s="174" t="s">
        <v>10892</v>
      </c>
      <c r="C5664" s="175" t="s">
        <v>10923</v>
      </c>
      <c r="D5664" s="175">
        <v>5</v>
      </c>
      <c r="E5664" s="5" t="s">
        <v>10924</v>
      </c>
      <c r="F5664" s="175" t="s">
        <v>11</v>
      </c>
    </row>
    <row r="5665" ht="18" customHeight="1" spans="1:6">
      <c r="A5665" s="10" t="s">
        <v>10712</v>
      </c>
      <c r="B5665" s="174" t="s">
        <v>10892</v>
      </c>
      <c r="C5665" s="175" t="s">
        <v>10925</v>
      </c>
      <c r="D5665" s="175">
        <v>6</v>
      </c>
      <c r="E5665" s="5" t="s">
        <v>10926</v>
      </c>
      <c r="F5665" s="175" t="s">
        <v>11</v>
      </c>
    </row>
    <row r="5666" ht="18" customHeight="1" spans="1:6">
      <c r="A5666" s="10" t="s">
        <v>10712</v>
      </c>
      <c r="B5666" s="174" t="s">
        <v>10892</v>
      </c>
      <c r="C5666" s="175" t="s">
        <v>10927</v>
      </c>
      <c r="D5666" s="175">
        <v>3</v>
      </c>
      <c r="E5666" s="5" t="s">
        <v>10928</v>
      </c>
      <c r="F5666" s="175" t="s">
        <v>11</v>
      </c>
    </row>
    <row r="5667" ht="18" customHeight="1" spans="1:6">
      <c r="A5667" s="10" t="s">
        <v>10712</v>
      </c>
      <c r="B5667" s="174" t="s">
        <v>10888</v>
      </c>
      <c r="C5667" s="175" t="s">
        <v>10929</v>
      </c>
      <c r="D5667" s="175">
        <v>3</v>
      </c>
      <c r="E5667" s="5" t="s">
        <v>10930</v>
      </c>
      <c r="F5667" s="175" t="s">
        <v>11</v>
      </c>
    </row>
    <row r="5668" ht="18" customHeight="1" spans="1:6">
      <c r="A5668" s="10" t="s">
        <v>10712</v>
      </c>
      <c r="B5668" s="174" t="s">
        <v>10892</v>
      </c>
      <c r="C5668" s="175" t="s">
        <v>10931</v>
      </c>
      <c r="D5668" s="175">
        <v>5</v>
      </c>
      <c r="E5668" s="5" t="s">
        <v>10932</v>
      </c>
      <c r="F5668" s="175" t="s">
        <v>11</v>
      </c>
    </row>
    <row r="5669" ht="18" customHeight="1" spans="1:6">
      <c r="A5669" s="10" t="s">
        <v>10712</v>
      </c>
      <c r="B5669" s="174" t="s">
        <v>10933</v>
      </c>
      <c r="C5669" s="175" t="s">
        <v>10934</v>
      </c>
      <c r="D5669" s="175">
        <v>3</v>
      </c>
      <c r="E5669" s="5" t="s">
        <v>10935</v>
      </c>
      <c r="F5669" s="175" t="s">
        <v>11</v>
      </c>
    </row>
    <row r="5670" ht="18" customHeight="1" spans="1:6">
      <c r="A5670" s="10" t="s">
        <v>10712</v>
      </c>
      <c r="B5670" s="174" t="s">
        <v>10894</v>
      </c>
      <c r="C5670" s="175" t="s">
        <v>10936</v>
      </c>
      <c r="D5670" s="175">
        <v>6</v>
      </c>
      <c r="E5670" s="5" t="s">
        <v>10937</v>
      </c>
      <c r="F5670" s="175" t="s">
        <v>11</v>
      </c>
    </row>
    <row r="5671" ht="18" customHeight="1" spans="1:6">
      <c r="A5671" s="10" t="s">
        <v>10712</v>
      </c>
      <c r="B5671" s="174" t="s">
        <v>10884</v>
      </c>
      <c r="C5671" s="175" t="s">
        <v>10938</v>
      </c>
      <c r="D5671" s="175">
        <v>6</v>
      </c>
      <c r="E5671" s="5" t="s">
        <v>10939</v>
      </c>
      <c r="F5671" s="175" t="s">
        <v>11</v>
      </c>
    </row>
    <row r="5672" ht="18" customHeight="1" spans="1:6">
      <c r="A5672" s="10" t="s">
        <v>10712</v>
      </c>
      <c r="B5672" s="174" t="s">
        <v>10884</v>
      </c>
      <c r="C5672" s="175" t="s">
        <v>10940</v>
      </c>
      <c r="D5672" s="175">
        <v>3</v>
      </c>
      <c r="E5672" s="5" t="s">
        <v>10941</v>
      </c>
      <c r="F5672" s="175" t="s">
        <v>11</v>
      </c>
    </row>
    <row r="5673" ht="18" customHeight="1" spans="1:6">
      <c r="A5673" s="10" t="s">
        <v>10712</v>
      </c>
      <c r="B5673" s="174" t="s">
        <v>10884</v>
      </c>
      <c r="C5673" s="175" t="s">
        <v>10942</v>
      </c>
      <c r="D5673" s="175">
        <v>4</v>
      </c>
      <c r="E5673" s="5" t="s">
        <v>10943</v>
      </c>
      <c r="F5673" s="175" t="s">
        <v>11</v>
      </c>
    </row>
    <row r="5674" ht="18" customHeight="1" spans="1:6">
      <c r="A5674" s="10" t="s">
        <v>10712</v>
      </c>
      <c r="B5674" s="174" t="s">
        <v>10933</v>
      </c>
      <c r="C5674" s="175" t="s">
        <v>10944</v>
      </c>
      <c r="D5674" s="175">
        <v>5</v>
      </c>
      <c r="E5674" s="5" t="s">
        <v>10945</v>
      </c>
      <c r="F5674" s="175" t="s">
        <v>11</v>
      </c>
    </row>
    <row r="5675" ht="18" customHeight="1" spans="1:6">
      <c r="A5675" s="10" t="s">
        <v>10712</v>
      </c>
      <c r="B5675" s="174" t="s">
        <v>10884</v>
      </c>
      <c r="C5675" s="175" t="s">
        <v>10946</v>
      </c>
      <c r="D5675" s="175">
        <v>3</v>
      </c>
      <c r="E5675" s="5" t="s">
        <v>10947</v>
      </c>
      <c r="F5675" s="175" t="s">
        <v>11</v>
      </c>
    </row>
    <row r="5676" ht="18" customHeight="1" spans="1:6">
      <c r="A5676" s="10" t="s">
        <v>10712</v>
      </c>
      <c r="B5676" s="174" t="s">
        <v>10901</v>
      </c>
      <c r="C5676" s="175" t="s">
        <v>10948</v>
      </c>
      <c r="D5676" s="175">
        <v>4</v>
      </c>
      <c r="E5676" s="5" t="s">
        <v>10949</v>
      </c>
      <c r="F5676" s="175" t="s">
        <v>11</v>
      </c>
    </row>
    <row r="5677" ht="18" customHeight="1" spans="1:6">
      <c r="A5677" s="10" t="s">
        <v>10712</v>
      </c>
      <c r="B5677" s="174" t="s">
        <v>10901</v>
      </c>
      <c r="C5677" s="175" t="s">
        <v>10950</v>
      </c>
      <c r="D5677" s="175">
        <v>4</v>
      </c>
      <c r="E5677" s="5" t="s">
        <v>10951</v>
      </c>
      <c r="F5677" s="175" t="s">
        <v>11</v>
      </c>
    </row>
    <row r="5678" ht="18" customHeight="1" spans="1:6">
      <c r="A5678" s="10" t="s">
        <v>10712</v>
      </c>
      <c r="B5678" s="174" t="s">
        <v>10901</v>
      </c>
      <c r="C5678" s="175" t="s">
        <v>2441</v>
      </c>
      <c r="D5678" s="175">
        <v>2</v>
      </c>
      <c r="E5678" s="5" t="s">
        <v>10952</v>
      </c>
      <c r="F5678" s="175" t="s">
        <v>11</v>
      </c>
    </row>
    <row r="5679" ht="18" customHeight="1" spans="1:6">
      <c r="A5679" s="10" t="s">
        <v>10712</v>
      </c>
      <c r="B5679" s="174" t="s">
        <v>10884</v>
      </c>
      <c r="C5679" s="175" t="s">
        <v>10953</v>
      </c>
      <c r="D5679" s="175">
        <v>4</v>
      </c>
      <c r="E5679" s="5" t="s">
        <v>10954</v>
      </c>
      <c r="F5679" s="175" t="s">
        <v>11</v>
      </c>
    </row>
    <row r="5680" ht="18" customHeight="1" spans="1:6">
      <c r="A5680" s="10" t="s">
        <v>10712</v>
      </c>
      <c r="B5680" s="174" t="s">
        <v>10901</v>
      </c>
      <c r="C5680" s="175" t="s">
        <v>10955</v>
      </c>
      <c r="D5680" s="175">
        <v>3</v>
      </c>
      <c r="E5680" s="5" t="s">
        <v>10956</v>
      </c>
      <c r="F5680" s="175" t="s">
        <v>11</v>
      </c>
    </row>
    <row r="5681" ht="18" customHeight="1" spans="1:6">
      <c r="A5681" s="10" t="s">
        <v>10712</v>
      </c>
      <c r="B5681" s="174" t="s">
        <v>10888</v>
      </c>
      <c r="C5681" s="175" t="s">
        <v>10957</v>
      </c>
      <c r="D5681" s="175">
        <v>5</v>
      </c>
      <c r="E5681" s="5" t="s">
        <v>10958</v>
      </c>
      <c r="F5681" s="175" t="s">
        <v>11</v>
      </c>
    </row>
    <row r="5682" ht="18" customHeight="1" spans="1:6">
      <c r="A5682" s="10" t="s">
        <v>10712</v>
      </c>
      <c r="B5682" s="174" t="s">
        <v>10901</v>
      </c>
      <c r="C5682" s="175" t="s">
        <v>10959</v>
      </c>
      <c r="D5682" s="175">
        <v>4</v>
      </c>
      <c r="E5682" s="5" t="s">
        <v>10960</v>
      </c>
      <c r="F5682" s="175" t="s">
        <v>11</v>
      </c>
    </row>
    <row r="5683" ht="18" customHeight="1" spans="1:6">
      <c r="A5683" s="10" t="s">
        <v>10712</v>
      </c>
      <c r="B5683" s="174" t="s">
        <v>10888</v>
      </c>
      <c r="C5683" s="5" t="s">
        <v>10961</v>
      </c>
      <c r="D5683" s="5">
        <v>4</v>
      </c>
      <c r="E5683" s="5" t="str">
        <f>LEFT("420325198801167635",19)</f>
        <v>420325198801167635</v>
      </c>
      <c r="F5683" s="175" t="s">
        <v>11</v>
      </c>
    </row>
    <row r="5684" ht="18" customHeight="1" spans="1:6">
      <c r="A5684" s="10" t="s">
        <v>10712</v>
      </c>
      <c r="B5684" s="174" t="s">
        <v>10892</v>
      </c>
      <c r="C5684" s="175" t="s">
        <v>10962</v>
      </c>
      <c r="D5684" s="175">
        <v>4</v>
      </c>
      <c r="E5684" s="5" t="s">
        <v>10963</v>
      </c>
      <c r="F5684" s="175" t="s">
        <v>11</v>
      </c>
    </row>
    <row r="5685" ht="18" customHeight="1" spans="1:6">
      <c r="A5685" s="10" t="s">
        <v>10712</v>
      </c>
      <c r="B5685" s="174" t="s">
        <v>10888</v>
      </c>
      <c r="C5685" s="175" t="s">
        <v>10964</v>
      </c>
      <c r="D5685" s="175">
        <v>4</v>
      </c>
      <c r="E5685" s="5" t="s">
        <v>10965</v>
      </c>
      <c r="F5685" s="175" t="s">
        <v>11</v>
      </c>
    </row>
    <row r="5686" ht="18" customHeight="1" spans="1:6">
      <c r="A5686" s="10" t="s">
        <v>10712</v>
      </c>
      <c r="B5686" s="174" t="s">
        <v>10894</v>
      </c>
      <c r="C5686" s="12" t="s">
        <v>10966</v>
      </c>
      <c r="D5686" s="15">
        <v>7</v>
      </c>
      <c r="E5686" s="5" t="s">
        <v>10967</v>
      </c>
      <c r="F5686" s="175" t="s">
        <v>11</v>
      </c>
    </row>
    <row r="5687" ht="18" customHeight="1" spans="1:6">
      <c r="A5687" s="10" t="s">
        <v>10712</v>
      </c>
      <c r="B5687" s="174" t="s">
        <v>10896</v>
      </c>
      <c r="C5687" s="14" t="s">
        <v>10968</v>
      </c>
      <c r="D5687" s="15">
        <v>6</v>
      </c>
      <c r="E5687" s="5" t="s">
        <v>10969</v>
      </c>
      <c r="F5687" s="175" t="s">
        <v>11</v>
      </c>
    </row>
    <row r="5688" ht="18" customHeight="1" spans="1:6">
      <c r="A5688" s="10" t="s">
        <v>10712</v>
      </c>
      <c r="B5688" s="174" t="s">
        <v>10901</v>
      </c>
      <c r="C5688" s="14" t="s">
        <v>10970</v>
      </c>
      <c r="D5688" s="15">
        <v>4</v>
      </c>
      <c r="E5688" s="5" t="s">
        <v>10971</v>
      </c>
      <c r="F5688" s="175" t="s">
        <v>11</v>
      </c>
    </row>
    <row r="5689" ht="18" customHeight="1" spans="1:6">
      <c r="A5689" s="10" t="s">
        <v>10712</v>
      </c>
      <c r="B5689" s="174" t="s">
        <v>10896</v>
      </c>
      <c r="C5689" s="14" t="s">
        <v>10927</v>
      </c>
      <c r="D5689" s="15">
        <v>6</v>
      </c>
      <c r="E5689" s="5" t="s">
        <v>10972</v>
      </c>
      <c r="F5689" s="175" t="s">
        <v>11</v>
      </c>
    </row>
    <row r="5690" ht="18" customHeight="1" spans="1:6">
      <c r="A5690" s="10" t="s">
        <v>10712</v>
      </c>
      <c r="B5690" s="174" t="s">
        <v>10901</v>
      </c>
      <c r="C5690" s="14" t="s">
        <v>10938</v>
      </c>
      <c r="D5690" s="15">
        <v>4</v>
      </c>
      <c r="E5690" s="5" t="s">
        <v>10973</v>
      </c>
      <c r="F5690" s="175" t="s">
        <v>11</v>
      </c>
    </row>
    <row r="5691" ht="18" customHeight="1" spans="1:6">
      <c r="A5691" s="10" t="s">
        <v>10712</v>
      </c>
      <c r="B5691" s="174" t="s">
        <v>10888</v>
      </c>
      <c r="C5691" s="14" t="s">
        <v>10974</v>
      </c>
      <c r="D5691" s="15">
        <v>4</v>
      </c>
      <c r="E5691" s="5" t="s">
        <v>10975</v>
      </c>
      <c r="F5691" s="175" t="s">
        <v>11</v>
      </c>
    </row>
    <row r="5692" ht="18" customHeight="1" spans="1:6">
      <c r="A5692" s="10" t="s">
        <v>10712</v>
      </c>
      <c r="B5692" s="174" t="s">
        <v>10901</v>
      </c>
      <c r="C5692" s="12" t="s">
        <v>10976</v>
      </c>
      <c r="D5692" s="6">
        <v>3</v>
      </c>
      <c r="E5692" s="5" t="s">
        <v>10977</v>
      </c>
      <c r="F5692" s="175" t="s">
        <v>11</v>
      </c>
    </row>
    <row r="5693" ht="18" customHeight="1" spans="1:6">
      <c r="A5693" s="10" t="s">
        <v>10712</v>
      </c>
      <c r="B5693" s="174" t="s">
        <v>10888</v>
      </c>
      <c r="C5693" s="13" t="s">
        <v>10978</v>
      </c>
      <c r="D5693" s="13">
        <v>3</v>
      </c>
      <c r="E5693" s="5" t="s">
        <v>10979</v>
      </c>
      <c r="F5693" s="175" t="s">
        <v>11</v>
      </c>
    </row>
    <row r="5694" ht="18" customHeight="1" spans="1:6">
      <c r="A5694" s="10" t="s">
        <v>10712</v>
      </c>
      <c r="B5694" s="174" t="s">
        <v>10888</v>
      </c>
      <c r="C5694" s="13" t="s">
        <v>10980</v>
      </c>
      <c r="D5694" s="13">
        <v>3</v>
      </c>
      <c r="E5694" s="5" t="s">
        <v>10981</v>
      </c>
      <c r="F5694" s="175" t="s">
        <v>11</v>
      </c>
    </row>
    <row r="5695" ht="18" customHeight="1" spans="1:6">
      <c r="A5695" s="10" t="s">
        <v>10712</v>
      </c>
      <c r="B5695" s="174" t="s">
        <v>10892</v>
      </c>
      <c r="C5695" s="13" t="s">
        <v>10982</v>
      </c>
      <c r="D5695" s="13">
        <v>3</v>
      </c>
      <c r="E5695" s="5" t="s">
        <v>10983</v>
      </c>
      <c r="F5695" s="175" t="s">
        <v>11</v>
      </c>
    </row>
    <row r="5696" ht="18" customHeight="1" spans="1:6">
      <c r="A5696" s="10" t="s">
        <v>10712</v>
      </c>
      <c r="B5696" s="174" t="s">
        <v>10896</v>
      </c>
      <c r="C5696" s="13" t="s">
        <v>10984</v>
      </c>
      <c r="D5696" s="13">
        <v>4</v>
      </c>
      <c r="E5696" s="5" t="s">
        <v>10985</v>
      </c>
      <c r="F5696" s="175" t="s">
        <v>11</v>
      </c>
    </row>
    <row r="5697" ht="18" customHeight="1" spans="1:6">
      <c r="A5697" s="10" t="s">
        <v>10712</v>
      </c>
      <c r="B5697" s="174" t="s">
        <v>10901</v>
      </c>
      <c r="C5697" s="13" t="s">
        <v>10986</v>
      </c>
      <c r="D5697" s="13">
        <v>4</v>
      </c>
      <c r="E5697" s="5" t="s">
        <v>10987</v>
      </c>
      <c r="F5697" s="175" t="s">
        <v>11</v>
      </c>
    </row>
    <row r="5698" ht="18" customHeight="1" spans="1:6">
      <c r="A5698" s="10" t="s">
        <v>10712</v>
      </c>
      <c r="B5698" s="174" t="s">
        <v>10894</v>
      </c>
      <c r="C5698" s="13" t="s">
        <v>10988</v>
      </c>
      <c r="D5698" s="13">
        <v>3</v>
      </c>
      <c r="E5698" s="178" t="s">
        <v>10989</v>
      </c>
      <c r="F5698" s="175" t="s">
        <v>11</v>
      </c>
    </row>
    <row r="5699" ht="18" customHeight="1" spans="1:6">
      <c r="A5699" s="10" t="s">
        <v>10712</v>
      </c>
      <c r="B5699" s="174" t="s">
        <v>10884</v>
      </c>
      <c r="C5699" s="13" t="s">
        <v>10990</v>
      </c>
      <c r="D5699" s="13">
        <v>5</v>
      </c>
      <c r="E5699" s="5" t="s">
        <v>10991</v>
      </c>
      <c r="F5699" s="175" t="s">
        <v>11</v>
      </c>
    </row>
    <row r="5700" ht="18" customHeight="1" spans="1:6">
      <c r="A5700" s="10" t="s">
        <v>10712</v>
      </c>
      <c r="B5700" s="174" t="s">
        <v>10896</v>
      </c>
      <c r="C5700" s="14" t="s">
        <v>1701</v>
      </c>
      <c r="D5700" s="15">
        <v>3</v>
      </c>
      <c r="E5700" s="5" t="s">
        <v>10992</v>
      </c>
      <c r="F5700" s="175" t="s">
        <v>11</v>
      </c>
    </row>
    <row r="5701" ht="18" customHeight="1" spans="1:6">
      <c r="A5701" s="10" t="s">
        <v>10712</v>
      </c>
      <c r="B5701" s="174" t="s">
        <v>10896</v>
      </c>
      <c r="C5701" s="14" t="s">
        <v>10993</v>
      </c>
      <c r="D5701" s="15">
        <v>5</v>
      </c>
      <c r="E5701" s="5" t="s">
        <v>10994</v>
      </c>
      <c r="F5701" s="175" t="s">
        <v>11</v>
      </c>
    </row>
    <row r="5702" ht="18" customHeight="1" spans="1:6">
      <c r="A5702" s="10" t="s">
        <v>10712</v>
      </c>
      <c r="B5702" s="174" t="s">
        <v>10884</v>
      </c>
      <c r="C5702" s="14" t="s">
        <v>10995</v>
      </c>
      <c r="D5702" s="15">
        <v>5</v>
      </c>
      <c r="E5702" s="5" t="s">
        <v>10996</v>
      </c>
      <c r="F5702" s="175" t="s">
        <v>11</v>
      </c>
    </row>
    <row r="5703" ht="18" customHeight="1" spans="1:6">
      <c r="A5703" s="10" t="s">
        <v>10712</v>
      </c>
      <c r="B5703" s="174" t="s">
        <v>10894</v>
      </c>
      <c r="C5703" s="14" t="s">
        <v>10997</v>
      </c>
      <c r="D5703" s="15">
        <v>2</v>
      </c>
      <c r="E5703" s="5" t="s">
        <v>10998</v>
      </c>
      <c r="F5703" s="175" t="s">
        <v>11</v>
      </c>
    </row>
    <row r="5704" ht="18" customHeight="1" spans="1:6">
      <c r="A5704" s="10" t="s">
        <v>10712</v>
      </c>
      <c r="B5704" s="174" t="s">
        <v>10888</v>
      </c>
      <c r="C5704" s="14" t="s">
        <v>10999</v>
      </c>
      <c r="D5704" s="15">
        <v>5</v>
      </c>
      <c r="E5704" s="5" t="s">
        <v>11000</v>
      </c>
      <c r="F5704" s="175" t="s">
        <v>11</v>
      </c>
    </row>
    <row r="5705" ht="18" customHeight="1" spans="1:6">
      <c r="A5705" s="10" t="s">
        <v>10712</v>
      </c>
      <c r="B5705" s="174" t="s">
        <v>10933</v>
      </c>
      <c r="C5705" s="14" t="s">
        <v>11001</v>
      </c>
      <c r="D5705" s="15">
        <v>3</v>
      </c>
      <c r="E5705" s="5" t="s">
        <v>11002</v>
      </c>
      <c r="F5705" s="175" t="s">
        <v>11</v>
      </c>
    </row>
    <row r="5706" ht="18" customHeight="1" spans="1:6">
      <c r="A5706" s="10" t="s">
        <v>10712</v>
      </c>
      <c r="B5706" s="174" t="s">
        <v>10894</v>
      </c>
      <c r="C5706" s="14" t="s">
        <v>11003</v>
      </c>
      <c r="D5706" s="15">
        <v>5</v>
      </c>
      <c r="E5706" s="5" t="s">
        <v>11004</v>
      </c>
      <c r="F5706" s="175" t="s">
        <v>11</v>
      </c>
    </row>
    <row r="5707" ht="18" customHeight="1" spans="1:6">
      <c r="A5707" s="10" t="s">
        <v>10712</v>
      </c>
      <c r="B5707" s="174" t="s">
        <v>10896</v>
      </c>
      <c r="C5707" s="14" t="s">
        <v>11005</v>
      </c>
      <c r="D5707" s="15">
        <v>4</v>
      </c>
      <c r="E5707" s="5" t="s">
        <v>11006</v>
      </c>
      <c r="F5707" s="175" t="s">
        <v>11</v>
      </c>
    </row>
    <row r="5708" ht="18" customHeight="1" spans="1:6">
      <c r="A5708" s="10" t="s">
        <v>10712</v>
      </c>
      <c r="B5708" s="174" t="s">
        <v>10884</v>
      </c>
      <c r="C5708" s="14" t="s">
        <v>11007</v>
      </c>
      <c r="D5708" s="15">
        <v>3</v>
      </c>
      <c r="E5708" s="14" t="s">
        <v>11008</v>
      </c>
      <c r="F5708" s="175" t="s">
        <v>11</v>
      </c>
    </row>
    <row r="5709" ht="18" customHeight="1" spans="1:6">
      <c r="A5709" s="10" t="s">
        <v>10712</v>
      </c>
      <c r="B5709" s="174" t="s">
        <v>10892</v>
      </c>
      <c r="C5709" s="14" t="s">
        <v>11009</v>
      </c>
      <c r="D5709" s="15">
        <v>4</v>
      </c>
      <c r="E5709" s="14" t="s">
        <v>11010</v>
      </c>
      <c r="F5709" s="175" t="s">
        <v>11</v>
      </c>
    </row>
    <row r="5710" ht="18" customHeight="1" spans="1:6">
      <c r="A5710" s="13" t="s">
        <v>11011</v>
      </c>
      <c r="B5710" s="174" t="s">
        <v>11012</v>
      </c>
      <c r="C5710" s="13" t="s">
        <v>11013</v>
      </c>
      <c r="D5710" s="13">
        <v>6</v>
      </c>
      <c r="E5710" s="196" t="s">
        <v>11014</v>
      </c>
      <c r="F5710" s="175" t="s">
        <v>11</v>
      </c>
    </row>
    <row r="5711" ht="18" customHeight="1" spans="1:6">
      <c r="A5711" s="13" t="s">
        <v>11011</v>
      </c>
      <c r="B5711" s="174" t="s">
        <v>11015</v>
      </c>
      <c r="C5711" s="13" t="s">
        <v>11016</v>
      </c>
      <c r="D5711" s="13">
        <v>4</v>
      </c>
      <c r="E5711" s="196" t="s">
        <v>11017</v>
      </c>
      <c r="F5711" s="175" t="s">
        <v>11</v>
      </c>
    </row>
    <row r="5712" ht="18" customHeight="1" spans="1:6">
      <c r="A5712" s="13" t="s">
        <v>11011</v>
      </c>
      <c r="B5712" s="174" t="s">
        <v>11015</v>
      </c>
      <c r="C5712" s="13" t="s">
        <v>11018</v>
      </c>
      <c r="D5712" s="13">
        <v>6</v>
      </c>
      <c r="E5712" s="47" t="s">
        <v>11019</v>
      </c>
      <c r="F5712" s="175" t="s">
        <v>11</v>
      </c>
    </row>
    <row r="5713" ht="18" customHeight="1" spans="1:6">
      <c r="A5713" s="13" t="s">
        <v>11011</v>
      </c>
      <c r="B5713" s="174" t="s">
        <v>11015</v>
      </c>
      <c r="C5713" s="13" t="s">
        <v>11020</v>
      </c>
      <c r="D5713" s="13">
        <v>4</v>
      </c>
      <c r="E5713" s="47" t="s">
        <v>11021</v>
      </c>
      <c r="F5713" s="175" t="s">
        <v>11</v>
      </c>
    </row>
    <row r="5714" ht="18" customHeight="1" spans="1:6">
      <c r="A5714" s="10" t="s">
        <v>10712</v>
      </c>
      <c r="B5714" s="10" t="s">
        <v>11022</v>
      </c>
      <c r="C5714" s="174" t="s">
        <v>11023</v>
      </c>
      <c r="D5714" s="174">
        <v>4</v>
      </c>
      <c r="E5714" s="47" t="s">
        <v>11024</v>
      </c>
      <c r="F5714" s="174" t="s">
        <v>4458</v>
      </c>
    </row>
    <row r="5715" ht="18" customHeight="1" spans="1:6">
      <c r="A5715" s="10" t="s">
        <v>10712</v>
      </c>
      <c r="B5715" s="10" t="s">
        <v>11022</v>
      </c>
      <c r="C5715" s="174" t="s">
        <v>11025</v>
      </c>
      <c r="D5715" s="174">
        <v>4</v>
      </c>
      <c r="E5715" s="47" t="s">
        <v>11026</v>
      </c>
      <c r="F5715" s="174" t="s">
        <v>4458</v>
      </c>
    </row>
    <row r="5716" ht="18" customHeight="1" spans="1:6">
      <c r="A5716" s="10" t="s">
        <v>10712</v>
      </c>
      <c r="B5716" s="10" t="s">
        <v>11022</v>
      </c>
      <c r="C5716" s="174" t="s">
        <v>11027</v>
      </c>
      <c r="D5716" s="174">
        <v>3</v>
      </c>
      <c r="E5716" s="47" t="s">
        <v>11028</v>
      </c>
      <c r="F5716" s="174" t="s">
        <v>4458</v>
      </c>
    </row>
    <row r="5717" ht="18" customHeight="1" spans="1:6">
      <c r="A5717" s="10" t="s">
        <v>10712</v>
      </c>
      <c r="B5717" s="10" t="s">
        <v>11029</v>
      </c>
      <c r="C5717" s="10" t="s">
        <v>11030</v>
      </c>
      <c r="D5717" s="10">
        <v>3</v>
      </c>
      <c r="E5717" s="10" t="s">
        <v>11031</v>
      </c>
      <c r="F5717" s="10" t="s">
        <v>11</v>
      </c>
    </row>
    <row r="5718" ht="18" customHeight="1" spans="1:6">
      <c r="A5718" s="10" t="s">
        <v>10712</v>
      </c>
      <c r="B5718" s="10" t="s">
        <v>11032</v>
      </c>
      <c r="C5718" s="10" t="s">
        <v>11033</v>
      </c>
      <c r="D5718" s="10">
        <v>3</v>
      </c>
      <c r="E5718" s="10" t="s">
        <v>11034</v>
      </c>
      <c r="F5718" s="10" t="s">
        <v>11</v>
      </c>
    </row>
    <row r="5719" ht="18" customHeight="1" spans="1:6">
      <c r="A5719" s="10" t="s">
        <v>10712</v>
      </c>
      <c r="B5719" s="10" t="s">
        <v>11035</v>
      </c>
      <c r="C5719" s="10" t="s">
        <v>11036</v>
      </c>
      <c r="D5719" s="10">
        <v>4</v>
      </c>
      <c r="E5719" s="10" t="s">
        <v>11037</v>
      </c>
      <c r="F5719" s="10" t="s">
        <v>11</v>
      </c>
    </row>
    <row r="5720" ht="18" customHeight="1" spans="1:6">
      <c r="A5720" s="10" t="s">
        <v>10712</v>
      </c>
      <c r="B5720" s="10" t="s">
        <v>11038</v>
      </c>
      <c r="C5720" s="10" t="s">
        <v>11039</v>
      </c>
      <c r="D5720" s="10">
        <v>4</v>
      </c>
      <c r="E5720" s="187" t="s">
        <v>11040</v>
      </c>
      <c r="F5720" s="10" t="s">
        <v>11</v>
      </c>
    </row>
    <row r="5721" ht="18" customHeight="1" spans="1:6">
      <c r="A5721" s="10" t="s">
        <v>10712</v>
      </c>
      <c r="B5721" s="10" t="s">
        <v>11041</v>
      </c>
      <c r="C5721" s="10" t="s">
        <v>11042</v>
      </c>
      <c r="D5721" s="10">
        <v>4</v>
      </c>
      <c r="E5721" s="10" t="s">
        <v>11043</v>
      </c>
      <c r="F5721" s="13" t="s">
        <v>11</v>
      </c>
    </row>
    <row r="5722" ht="18" customHeight="1" spans="1:6">
      <c r="A5722" s="10" t="s">
        <v>10712</v>
      </c>
      <c r="B5722" s="10" t="s">
        <v>11041</v>
      </c>
      <c r="C5722" s="10" t="s">
        <v>11044</v>
      </c>
      <c r="D5722" s="10">
        <v>5</v>
      </c>
      <c r="E5722" s="187" t="s">
        <v>11045</v>
      </c>
      <c r="F5722" s="13" t="s">
        <v>11</v>
      </c>
    </row>
    <row r="5723" ht="18" customHeight="1" spans="1:6">
      <c r="A5723" s="10" t="s">
        <v>10712</v>
      </c>
      <c r="B5723" s="10" t="s">
        <v>11041</v>
      </c>
      <c r="C5723" s="10" t="s">
        <v>11046</v>
      </c>
      <c r="D5723" s="10">
        <v>5</v>
      </c>
      <c r="E5723" s="10" t="str">
        <f>LEFT("42262619700429763X",19)</f>
        <v>42262619700429763X</v>
      </c>
      <c r="F5723" s="13" t="s">
        <v>11</v>
      </c>
    </row>
    <row r="5724" ht="18" customHeight="1" spans="1:6">
      <c r="A5724" s="10" t="s">
        <v>10712</v>
      </c>
      <c r="B5724" s="10" t="s">
        <v>11041</v>
      </c>
      <c r="C5724" s="10" t="s">
        <v>11047</v>
      </c>
      <c r="D5724" s="10">
        <v>5</v>
      </c>
      <c r="E5724" s="10" t="str">
        <f>LEFT("42262619680125761X",19)</f>
        <v>42262619680125761X</v>
      </c>
      <c r="F5724" s="13" t="s">
        <v>11</v>
      </c>
    </row>
    <row r="5725" ht="18" customHeight="1" spans="1:6">
      <c r="A5725" s="10" t="s">
        <v>10712</v>
      </c>
      <c r="B5725" s="10" t="s">
        <v>11041</v>
      </c>
      <c r="C5725" s="10" t="s">
        <v>11048</v>
      </c>
      <c r="D5725" s="10">
        <v>5</v>
      </c>
      <c r="E5725" s="10" t="str">
        <f>LEFT("422626196912177655",19)</f>
        <v>422626196912177655</v>
      </c>
      <c r="F5725" s="13" t="s">
        <v>11</v>
      </c>
    </row>
    <row r="5726" ht="18" customHeight="1" spans="1:6">
      <c r="A5726" s="10" t="s">
        <v>10712</v>
      </c>
      <c r="B5726" s="10" t="s">
        <v>11041</v>
      </c>
      <c r="C5726" s="10" t="s">
        <v>11049</v>
      </c>
      <c r="D5726" s="10">
        <v>4</v>
      </c>
      <c r="E5726" s="10" t="str">
        <f>LEFT("422626195701137616",19)</f>
        <v>422626195701137616</v>
      </c>
      <c r="F5726" s="13" t="s">
        <v>11</v>
      </c>
    </row>
    <row r="5727" ht="18" customHeight="1" spans="1:6">
      <c r="A5727" s="10" t="s">
        <v>10712</v>
      </c>
      <c r="B5727" s="10" t="s">
        <v>11041</v>
      </c>
      <c r="C5727" s="10" t="s">
        <v>11050</v>
      </c>
      <c r="D5727" s="10">
        <v>4</v>
      </c>
      <c r="E5727" s="10" t="str">
        <f>LEFT("420325199112027631",19)</f>
        <v>420325199112027631</v>
      </c>
      <c r="F5727" s="13" t="s">
        <v>11</v>
      </c>
    </row>
    <row r="5728" ht="18" customHeight="1" spans="1:6">
      <c r="A5728" s="10" t="s">
        <v>10712</v>
      </c>
      <c r="B5728" s="10" t="s">
        <v>11041</v>
      </c>
      <c r="C5728" s="10" t="s">
        <v>11051</v>
      </c>
      <c r="D5728" s="10">
        <v>5</v>
      </c>
      <c r="E5728" s="10" t="str">
        <f>LEFT("422626195504137617",19)</f>
        <v>422626195504137617</v>
      </c>
      <c r="F5728" s="13" t="s">
        <v>11</v>
      </c>
    </row>
    <row r="5729" ht="18" customHeight="1" spans="1:6">
      <c r="A5729" s="10" t="s">
        <v>10712</v>
      </c>
      <c r="B5729" s="10" t="s">
        <v>11041</v>
      </c>
      <c r="C5729" s="10" t="s">
        <v>11052</v>
      </c>
      <c r="D5729" s="10">
        <v>4</v>
      </c>
      <c r="E5729" s="10" t="str">
        <f>LEFT("42262619520819764X",19)</f>
        <v>42262619520819764X</v>
      </c>
      <c r="F5729" s="13" t="s">
        <v>11</v>
      </c>
    </row>
    <row r="5730" ht="18" customHeight="1" spans="1:6">
      <c r="A5730" s="10" t="s">
        <v>10712</v>
      </c>
      <c r="B5730" s="10" t="s">
        <v>11041</v>
      </c>
      <c r="C5730" s="10" t="s">
        <v>11053</v>
      </c>
      <c r="D5730" s="10">
        <v>5</v>
      </c>
      <c r="E5730" s="10" t="str">
        <f>LEFT("422626196501247612",19)</f>
        <v>422626196501247612</v>
      </c>
      <c r="F5730" s="10" t="s">
        <v>11</v>
      </c>
    </row>
    <row r="5731" ht="18" customHeight="1" spans="1:6">
      <c r="A5731" s="10" t="s">
        <v>10712</v>
      </c>
      <c r="B5731" s="10" t="s">
        <v>11041</v>
      </c>
      <c r="C5731" s="10" t="s">
        <v>11054</v>
      </c>
      <c r="D5731" s="10">
        <v>6</v>
      </c>
      <c r="E5731" s="10" t="str">
        <f>LEFT("422626193905067614",19)</f>
        <v>422626193905067614</v>
      </c>
      <c r="F5731" s="10" t="s">
        <v>11</v>
      </c>
    </row>
    <row r="5732" ht="18" customHeight="1" spans="1:6">
      <c r="A5732" s="10" t="s">
        <v>10712</v>
      </c>
      <c r="B5732" s="10" t="s">
        <v>11041</v>
      </c>
      <c r="C5732" s="10" t="s">
        <v>11055</v>
      </c>
      <c r="D5732" s="10">
        <v>5</v>
      </c>
      <c r="E5732" s="10" t="str">
        <f>LEFT("422626195404307615",19)</f>
        <v>422626195404307615</v>
      </c>
      <c r="F5732" s="10" t="s">
        <v>11</v>
      </c>
    </row>
    <row r="5733" ht="18" customHeight="1" spans="1:6">
      <c r="A5733" s="10" t="s">
        <v>10712</v>
      </c>
      <c r="B5733" s="10" t="s">
        <v>11041</v>
      </c>
      <c r="C5733" s="10" t="s">
        <v>11056</v>
      </c>
      <c r="D5733" s="10">
        <v>3</v>
      </c>
      <c r="E5733" s="187" t="s">
        <v>11057</v>
      </c>
      <c r="F5733" s="10" t="s">
        <v>11</v>
      </c>
    </row>
    <row r="5734" ht="18" customHeight="1" spans="1:6">
      <c r="A5734" s="10" t="s">
        <v>10712</v>
      </c>
      <c r="B5734" s="10" t="s">
        <v>11041</v>
      </c>
      <c r="C5734" s="10" t="s">
        <v>11058</v>
      </c>
      <c r="D5734" s="10">
        <v>6</v>
      </c>
      <c r="E5734" s="10" t="str">
        <f>LEFT("420325198103087638",19)</f>
        <v>420325198103087638</v>
      </c>
      <c r="F5734" s="10" t="s">
        <v>11</v>
      </c>
    </row>
    <row r="5735" ht="18" customHeight="1" spans="1:6">
      <c r="A5735" s="10" t="s">
        <v>10712</v>
      </c>
      <c r="B5735" s="10" t="s">
        <v>11041</v>
      </c>
      <c r="C5735" s="10" t="s">
        <v>11059</v>
      </c>
      <c r="D5735" s="10">
        <v>5</v>
      </c>
      <c r="E5735" s="10" t="str">
        <f>LEFT("420325197602217615",19)</f>
        <v>420325197602217615</v>
      </c>
      <c r="F5735" s="10" t="s">
        <v>11</v>
      </c>
    </row>
    <row r="5736" ht="18" customHeight="1" spans="1:6">
      <c r="A5736" s="10" t="s">
        <v>10712</v>
      </c>
      <c r="B5736" s="10" t="s">
        <v>11041</v>
      </c>
      <c r="C5736" s="10" t="s">
        <v>11060</v>
      </c>
      <c r="D5736" s="10">
        <v>4</v>
      </c>
      <c r="E5736" s="10" t="str">
        <f>LEFT("422626196003127618",19)</f>
        <v>422626196003127618</v>
      </c>
      <c r="F5736" s="10" t="s">
        <v>11</v>
      </c>
    </row>
    <row r="5737" ht="18" customHeight="1" spans="1:6">
      <c r="A5737" s="10" t="s">
        <v>10712</v>
      </c>
      <c r="B5737" s="10" t="s">
        <v>11041</v>
      </c>
      <c r="C5737" s="10" t="s">
        <v>11061</v>
      </c>
      <c r="D5737" s="10">
        <v>3</v>
      </c>
      <c r="E5737" s="10" t="str">
        <f>LEFT("422626194903097611",19)</f>
        <v>422626194903097611</v>
      </c>
      <c r="F5737" s="10" t="s">
        <v>11</v>
      </c>
    </row>
    <row r="5738" ht="18" customHeight="1" spans="1:6">
      <c r="A5738" s="10" t="s">
        <v>10712</v>
      </c>
      <c r="B5738" s="10" t="s">
        <v>11041</v>
      </c>
      <c r="C5738" s="10" t="s">
        <v>11062</v>
      </c>
      <c r="D5738" s="10">
        <v>5</v>
      </c>
      <c r="E5738" s="10" t="str">
        <f>LEFT("42032519790307761X",19)</f>
        <v>42032519790307761X</v>
      </c>
      <c r="F5738" s="10" t="s">
        <v>11</v>
      </c>
    </row>
    <row r="5739" ht="18" customHeight="1" spans="1:6">
      <c r="A5739" s="10" t="s">
        <v>10712</v>
      </c>
      <c r="B5739" s="10" t="s">
        <v>11041</v>
      </c>
      <c r="C5739" s="10" t="s">
        <v>11063</v>
      </c>
      <c r="D5739" s="10">
        <v>3</v>
      </c>
      <c r="E5739" s="10" t="str">
        <f>LEFT("420325197605207631",19)</f>
        <v>420325197605207631</v>
      </c>
      <c r="F5739" s="10" t="s">
        <v>11</v>
      </c>
    </row>
    <row r="5740" ht="18" customHeight="1" spans="1:6">
      <c r="A5740" s="10" t="s">
        <v>10712</v>
      </c>
      <c r="B5740" s="10" t="s">
        <v>11041</v>
      </c>
      <c r="C5740" s="10" t="s">
        <v>11064</v>
      </c>
      <c r="D5740" s="10">
        <v>5</v>
      </c>
      <c r="E5740" s="10" t="str">
        <f>LEFT("420325197608267656",19)</f>
        <v>420325197608267656</v>
      </c>
      <c r="F5740" s="10" t="s">
        <v>11</v>
      </c>
    </row>
    <row r="5741" ht="18" customHeight="1" spans="1:6">
      <c r="A5741" s="10" t="s">
        <v>10712</v>
      </c>
      <c r="B5741" s="10" t="s">
        <v>11041</v>
      </c>
      <c r="C5741" s="10" t="s">
        <v>11065</v>
      </c>
      <c r="D5741" s="10">
        <v>4</v>
      </c>
      <c r="E5741" s="10" t="str">
        <f>LEFT("422626194202177619",19)</f>
        <v>422626194202177619</v>
      </c>
      <c r="F5741" s="10" t="s">
        <v>11</v>
      </c>
    </row>
    <row r="5742" ht="18" customHeight="1" spans="1:6">
      <c r="A5742" s="10" t="s">
        <v>10712</v>
      </c>
      <c r="B5742" s="10" t="s">
        <v>11041</v>
      </c>
      <c r="C5742" s="10" t="s">
        <v>11066</v>
      </c>
      <c r="D5742" s="10">
        <v>4</v>
      </c>
      <c r="E5742" s="187" t="s">
        <v>11067</v>
      </c>
      <c r="F5742" s="10" t="s">
        <v>11</v>
      </c>
    </row>
    <row r="5743" ht="18" customHeight="1" spans="1:6">
      <c r="A5743" s="10" t="s">
        <v>10712</v>
      </c>
      <c r="B5743" s="10" t="s">
        <v>11041</v>
      </c>
      <c r="C5743" s="10" t="s">
        <v>11068</v>
      </c>
      <c r="D5743" s="10">
        <v>3</v>
      </c>
      <c r="E5743" s="10" t="str">
        <f>LEFT("422626194203037618",19)</f>
        <v>422626194203037618</v>
      </c>
      <c r="F5743" s="10" t="s">
        <v>11</v>
      </c>
    </row>
    <row r="5744" ht="18" customHeight="1" spans="1:6">
      <c r="A5744" s="10" t="s">
        <v>10712</v>
      </c>
      <c r="B5744" s="10" t="s">
        <v>11069</v>
      </c>
      <c r="C5744" s="10" t="s">
        <v>11070</v>
      </c>
      <c r="D5744" s="10">
        <v>4</v>
      </c>
      <c r="E5744" s="10" t="s">
        <v>11071</v>
      </c>
      <c r="F5744" s="10" t="s">
        <v>11</v>
      </c>
    </row>
    <row r="5745" ht="18" customHeight="1" spans="1:6">
      <c r="A5745" s="10" t="s">
        <v>10712</v>
      </c>
      <c r="B5745" s="10" t="s">
        <v>11069</v>
      </c>
      <c r="C5745" s="10" t="s">
        <v>11072</v>
      </c>
      <c r="D5745" s="10">
        <v>4</v>
      </c>
      <c r="E5745" s="10" t="s">
        <v>11073</v>
      </c>
      <c r="F5745" s="10" t="s">
        <v>11</v>
      </c>
    </row>
    <row r="5746" ht="18" customHeight="1" spans="1:6">
      <c r="A5746" s="10" t="s">
        <v>10712</v>
      </c>
      <c r="B5746" s="10" t="s">
        <v>11069</v>
      </c>
      <c r="C5746" s="10" t="s">
        <v>11074</v>
      </c>
      <c r="D5746" s="10">
        <v>5</v>
      </c>
      <c r="E5746" s="10" t="s">
        <v>11075</v>
      </c>
      <c r="F5746" s="10" t="s">
        <v>11</v>
      </c>
    </row>
    <row r="5747" ht="18" customHeight="1" spans="1:6">
      <c r="A5747" s="10" t="s">
        <v>10712</v>
      </c>
      <c r="B5747" s="10" t="s">
        <v>11069</v>
      </c>
      <c r="C5747" s="10" t="s">
        <v>11076</v>
      </c>
      <c r="D5747" s="10">
        <v>4</v>
      </c>
      <c r="E5747" s="10" t="str">
        <f>LEFT("422626195607077610",19)</f>
        <v>422626195607077610</v>
      </c>
      <c r="F5747" s="10" t="s">
        <v>11</v>
      </c>
    </row>
    <row r="5748" ht="18" customHeight="1" spans="1:6">
      <c r="A5748" s="10" t="s">
        <v>10712</v>
      </c>
      <c r="B5748" s="10" t="s">
        <v>11069</v>
      </c>
      <c r="C5748" s="10" t="s">
        <v>11077</v>
      </c>
      <c r="D5748" s="10">
        <v>4</v>
      </c>
      <c r="E5748" s="10" t="s">
        <v>11078</v>
      </c>
      <c r="F5748" s="10" t="s">
        <v>11</v>
      </c>
    </row>
    <row r="5749" ht="18" customHeight="1" spans="1:6">
      <c r="A5749" s="10" t="s">
        <v>10712</v>
      </c>
      <c r="B5749" s="10" t="s">
        <v>11069</v>
      </c>
      <c r="C5749" s="10" t="s">
        <v>11079</v>
      </c>
      <c r="D5749" s="10">
        <v>3</v>
      </c>
      <c r="E5749" s="187" t="s">
        <v>11080</v>
      </c>
      <c r="F5749" s="10" t="s">
        <v>11</v>
      </c>
    </row>
    <row r="5750" ht="18" customHeight="1" spans="1:6">
      <c r="A5750" s="10" t="s">
        <v>10712</v>
      </c>
      <c r="B5750" s="10" t="s">
        <v>11069</v>
      </c>
      <c r="C5750" s="10" t="s">
        <v>11081</v>
      </c>
      <c r="D5750" s="10">
        <v>4</v>
      </c>
      <c r="E5750" s="10" t="str">
        <f>LEFT("420325198305147635",19)</f>
        <v>420325198305147635</v>
      </c>
      <c r="F5750" s="10" t="s">
        <v>11</v>
      </c>
    </row>
    <row r="5751" ht="18" customHeight="1" spans="1:6">
      <c r="A5751" s="10" t="s">
        <v>10712</v>
      </c>
      <c r="B5751" s="10" t="s">
        <v>11082</v>
      </c>
      <c r="C5751" s="10" t="s">
        <v>11083</v>
      </c>
      <c r="D5751" s="10">
        <v>3</v>
      </c>
      <c r="E5751" s="10" t="s">
        <v>11084</v>
      </c>
      <c r="F5751" s="10" t="s">
        <v>11</v>
      </c>
    </row>
    <row r="5752" ht="18" customHeight="1" spans="1:6">
      <c r="A5752" s="10" t="s">
        <v>10712</v>
      </c>
      <c r="B5752" s="10" t="s">
        <v>11082</v>
      </c>
      <c r="C5752" s="10" t="s">
        <v>11085</v>
      </c>
      <c r="D5752" s="10">
        <v>5</v>
      </c>
      <c r="E5752" s="10" t="s">
        <v>11086</v>
      </c>
      <c r="F5752" s="10" t="s">
        <v>11</v>
      </c>
    </row>
    <row r="5753" ht="18" customHeight="1" spans="1:6">
      <c r="A5753" s="10" t="s">
        <v>10712</v>
      </c>
      <c r="B5753" s="10" t="s">
        <v>11082</v>
      </c>
      <c r="C5753" s="10" t="s">
        <v>11049</v>
      </c>
      <c r="D5753" s="10">
        <v>4</v>
      </c>
      <c r="E5753" s="10" t="str">
        <f>LEFT("422626195701137616",19)</f>
        <v>422626195701137616</v>
      </c>
      <c r="F5753" s="10" t="s">
        <v>11</v>
      </c>
    </row>
    <row r="5754" ht="18" customHeight="1" spans="1:6">
      <c r="A5754" s="10" t="s">
        <v>10712</v>
      </c>
      <c r="B5754" s="10" t="s">
        <v>11082</v>
      </c>
      <c r="C5754" s="10" t="s">
        <v>11087</v>
      </c>
      <c r="D5754" s="10">
        <v>4</v>
      </c>
      <c r="E5754" s="10" t="s">
        <v>11088</v>
      </c>
      <c r="F5754" s="10" t="s">
        <v>11</v>
      </c>
    </row>
    <row r="5755" ht="18" customHeight="1" spans="1:6">
      <c r="A5755" s="10" t="s">
        <v>10712</v>
      </c>
      <c r="B5755" s="10" t="s">
        <v>11082</v>
      </c>
      <c r="C5755" s="10" t="s">
        <v>11089</v>
      </c>
      <c r="D5755" s="10">
        <v>3</v>
      </c>
      <c r="E5755" s="10" t="s">
        <v>11090</v>
      </c>
      <c r="F5755" s="10" t="s">
        <v>11</v>
      </c>
    </row>
    <row r="5756" ht="18" customHeight="1" spans="1:6">
      <c r="A5756" s="10" t="s">
        <v>10712</v>
      </c>
      <c r="B5756" s="10" t="s">
        <v>11082</v>
      </c>
      <c r="C5756" s="10" t="s">
        <v>11091</v>
      </c>
      <c r="D5756" s="10">
        <v>5</v>
      </c>
      <c r="E5756" s="10" t="str">
        <f>LEFT("42262619700907761X",19)</f>
        <v>42262619700907761X</v>
      </c>
      <c r="F5756" s="10" t="s">
        <v>11</v>
      </c>
    </row>
    <row r="5757" ht="18" customHeight="1" spans="1:6">
      <c r="A5757" s="10" t="s">
        <v>10712</v>
      </c>
      <c r="B5757" s="10" t="s">
        <v>11092</v>
      </c>
      <c r="C5757" s="10" t="s">
        <v>11093</v>
      </c>
      <c r="D5757" s="10">
        <v>3</v>
      </c>
      <c r="E5757" s="10" t="s">
        <v>11094</v>
      </c>
      <c r="F5757" s="10" t="s">
        <v>11</v>
      </c>
    </row>
    <row r="5758" ht="18" customHeight="1" spans="1:6">
      <c r="A5758" s="10" t="s">
        <v>10712</v>
      </c>
      <c r="B5758" s="10" t="s">
        <v>11092</v>
      </c>
      <c r="C5758" s="10" t="s">
        <v>11095</v>
      </c>
      <c r="D5758" s="10">
        <v>3</v>
      </c>
      <c r="E5758" s="10" t="s">
        <v>11096</v>
      </c>
      <c r="F5758" s="10" t="s">
        <v>11</v>
      </c>
    </row>
    <row r="5759" ht="18" customHeight="1" spans="1:6">
      <c r="A5759" s="10" t="s">
        <v>10712</v>
      </c>
      <c r="B5759" s="10" t="s">
        <v>11092</v>
      </c>
      <c r="C5759" s="10" t="s">
        <v>11097</v>
      </c>
      <c r="D5759" s="10">
        <v>4</v>
      </c>
      <c r="E5759" s="10" t="s">
        <v>11098</v>
      </c>
      <c r="F5759" s="10" t="s">
        <v>11</v>
      </c>
    </row>
    <row r="5760" ht="18" customHeight="1" spans="1:6">
      <c r="A5760" s="10" t="s">
        <v>10712</v>
      </c>
      <c r="B5760" s="10" t="s">
        <v>11092</v>
      </c>
      <c r="C5760" s="10" t="s">
        <v>11099</v>
      </c>
      <c r="D5760" s="10">
        <v>3</v>
      </c>
      <c r="E5760" s="10" t="s">
        <v>11100</v>
      </c>
      <c r="F5760" s="10" t="s">
        <v>11</v>
      </c>
    </row>
    <row r="5761" ht="18" customHeight="1" spans="1:6">
      <c r="A5761" s="10" t="s">
        <v>10712</v>
      </c>
      <c r="B5761" s="10" t="s">
        <v>11092</v>
      </c>
      <c r="C5761" s="10" t="s">
        <v>11101</v>
      </c>
      <c r="D5761" s="10">
        <v>3</v>
      </c>
      <c r="E5761" s="10" t="s">
        <v>11102</v>
      </c>
      <c r="F5761" s="10" t="s">
        <v>11</v>
      </c>
    </row>
    <row r="5762" ht="18" customHeight="1" spans="1:6">
      <c r="A5762" s="10" t="s">
        <v>10712</v>
      </c>
      <c r="B5762" s="10" t="s">
        <v>11092</v>
      </c>
      <c r="C5762" s="10" t="s">
        <v>11103</v>
      </c>
      <c r="D5762" s="10">
        <v>2</v>
      </c>
      <c r="E5762" s="10" t="str">
        <f>LEFT("42262619710216761X",19)</f>
        <v>42262619710216761X</v>
      </c>
      <c r="F5762" s="10" t="s">
        <v>11</v>
      </c>
    </row>
    <row r="5763" ht="18" customHeight="1" spans="1:6">
      <c r="A5763" s="10" t="s">
        <v>10712</v>
      </c>
      <c r="B5763" s="10" t="s">
        <v>11092</v>
      </c>
      <c r="C5763" s="10" t="s">
        <v>11104</v>
      </c>
      <c r="D5763" s="10">
        <v>5</v>
      </c>
      <c r="E5763" s="10" t="str">
        <f>LEFT("420325197911187675",19)</f>
        <v>420325197911187675</v>
      </c>
      <c r="F5763" s="10" t="s">
        <v>11</v>
      </c>
    </row>
    <row r="5764" ht="18" customHeight="1" spans="1:6">
      <c r="A5764" s="10" t="s">
        <v>10712</v>
      </c>
      <c r="B5764" s="10" t="s">
        <v>11092</v>
      </c>
      <c r="C5764" s="10" t="s">
        <v>11105</v>
      </c>
      <c r="D5764" s="10">
        <v>6</v>
      </c>
      <c r="E5764" s="10" t="str">
        <f>LEFT("422626195511037614",19)</f>
        <v>422626195511037614</v>
      </c>
      <c r="F5764" s="10" t="s">
        <v>11</v>
      </c>
    </row>
    <row r="5765" ht="18" customHeight="1" spans="1:6">
      <c r="A5765" s="10" t="s">
        <v>10712</v>
      </c>
      <c r="B5765" s="10" t="s">
        <v>11092</v>
      </c>
      <c r="C5765" s="10" t="s">
        <v>11106</v>
      </c>
      <c r="D5765" s="10">
        <v>4</v>
      </c>
      <c r="E5765" s="10" t="str">
        <f>LEFT("420325198305027676",19)</f>
        <v>420325198305027676</v>
      </c>
      <c r="F5765" s="10" t="s">
        <v>11</v>
      </c>
    </row>
    <row r="5766" ht="18" customHeight="1" spans="1:6">
      <c r="A5766" s="10" t="s">
        <v>10712</v>
      </c>
      <c r="B5766" s="10" t="s">
        <v>11107</v>
      </c>
      <c r="C5766" s="10" t="s">
        <v>11108</v>
      </c>
      <c r="D5766" s="10">
        <v>2</v>
      </c>
      <c r="E5766" s="10" t="str">
        <f>LEFT("422626196603247613",19)</f>
        <v>422626196603247613</v>
      </c>
      <c r="F5766" s="10" t="s">
        <v>11</v>
      </c>
    </row>
    <row r="5767" ht="18" customHeight="1" spans="1:6">
      <c r="A5767" s="10" t="s">
        <v>10712</v>
      </c>
      <c r="B5767" s="10" t="s">
        <v>11107</v>
      </c>
      <c r="C5767" s="10" t="s">
        <v>11109</v>
      </c>
      <c r="D5767" s="10">
        <v>2</v>
      </c>
      <c r="E5767" s="10" t="str">
        <f>LEFT("422626195504207638",19)</f>
        <v>422626195504207638</v>
      </c>
      <c r="F5767" s="10" t="s">
        <v>11</v>
      </c>
    </row>
    <row r="5768" ht="18" customHeight="1" spans="1:6">
      <c r="A5768" s="10" t="s">
        <v>10712</v>
      </c>
      <c r="B5768" s="10" t="s">
        <v>11110</v>
      </c>
      <c r="C5768" s="10" t="s">
        <v>11111</v>
      </c>
      <c r="D5768" s="10">
        <v>2</v>
      </c>
      <c r="E5768" s="10" t="str">
        <f>LEFT("422626196103177612",19)</f>
        <v>422626196103177612</v>
      </c>
      <c r="F5768" s="10" t="s">
        <v>11</v>
      </c>
    </row>
    <row r="5769" ht="18" customHeight="1" spans="1:6">
      <c r="A5769" s="10" t="s">
        <v>10712</v>
      </c>
      <c r="B5769" s="10" t="s">
        <v>11112</v>
      </c>
      <c r="C5769" s="10" t="s">
        <v>11113</v>
      </c>
      <c r="D5769" s="10">
        <v>3</v>
      </c>
      <c r="E5769" s="10" t="s">
        <v>11114</v>
      </c>
      <c r="F5769" s="10" t="s">
        <v>11</v>
      </c>
    </row>
    <row r="5770" ht="18" customHeight="1" spans="1:6">
      <c r="A5770" s="10" t="s">
        <v>10712</v>
      </c>
      <c r="B5770" s="10" t="s">
        <v>11112</v>
      </c>
      <c r="C5770" s="10" t="s">
        <v>11115</v>
      </c>
      <c r="D5770" s="10">
        <v>3</v>
      </c>
      <c r="E5770" s="10" t="str">
        <f>LEFT("422626194505287612",19)</f>
        <v>422626194505287612</v>
      </c>
      <c r="F5770" s="10" t="s">
        <v>11</v>
      </c>
    </row>
    <row r="5771" ht="18" customHeight="1" spans="1:6">
      <c r="A5771" s="10" t="s">
        <v>10712</v>
      </c>
      <c r="B5771" s="10" t="s">
        <v>11116</v>
      </c>
      <c r="C5771" s="10" t="s">
        <v>11117</v>
      </c>
      <c r="D5771" s="10">
        <v>4</v>
      </c>
      <c r="E5771" s="10" t="str">
        <f>LEFT("422626196807297612",19)</f>
        <v>422626196807297612</v>
      </c>
      <c r="F5771" s="10" t="s">
        <v>11</v>
      </c>
    </row>
    <row r="5772" ht="18" customHeight="1" spans="1:6">
      <c r="A5772" s="10" t="s">
        <v>10712</v>
      </c>
      <c r="B5772" s="10" t="s">
        <v>11112</v>
      </c>
      <c r="C5772" s="10" t="s">
        <v>11118</v>
      </c>
      <c r="D5772" s="10">
        <v>3</v>
      </c>
      <c r="E5772" s="10" t="str">
        <f>LEFT("422626196309287614",19)</f>
        <v>422626196309287614</v>
      </c>
      <c r="F5772" s="10" t="s">
        <v>11</v>
      </c>
    </row>
    <row r="5773" ht="18" customHeight="1" spans="1:6">
      <c r="A5773" s="10" t="s">
        <v>10712</v>
      </c>
      <c r="B5773" s="10" t="s">
        <v>11112</v>
      </c>
      <c r="C5773" s="10" t="s">
        <v>11119</v>
      </c>
      <c r="D5773" s="10">
        <v>4</v>
      </c>
      <c r="E5773" s="10" t="str">
        <f>LEFT("42032519910305761X",19)</f>
        <v>42032519910305761X</v>
      </c>
      <c r="F5773" s="10" t="s">
        <v>11</v>
      </c>
    </row>
    <row r="5774" ht="18" customHeight="1" spans="1:6">
      <c r="A5774" s="10" t="s">
        <v>10712</v>
      </c>
      <c r="B5774" s="10" t="s">
        <v>11116</v>
      </c>
      <c r="C5774" s="10" t="s">
        <v>11120</v>
      </c>
      <c r="D5774" s="10">
        <v>4</v>
      </c>
      <c r="E5774" s="10" t="str">
        <f>LEFT("420325198402187612",19)</f>
        <v>420325198402187612</v>
      </c>
      <c r="F5774" s="10" t="s">
        <v>11</v>
      </c>
    </row>
    <row r="5775" ht="18" customHeight="1" spans="1:6">
      <c r="A5775" s="10" t="s">
        <v>10712</v>
      </c>
      <c r="B5775" s="10" t="s">
        <v>11110</v>
      </c>
      <c r="C5775" s="10" t="s">
        <v>11121</v>
      </c>
      <c r="D5775" s="10">
        <v>3</v>
      </c>
      <c r="E5775" s="10" t="str">
        <f>LEFT("422626197801227618",19)</f>
        <v>422626197801227618</v>
      </c>
      <c r="F5775" s="10" t="s">
        <v>11</v>
      </c>
    </row>
    <row r="5776" ht="18" customHeight="1" spans="1:6">
      <c r="A5776" s="10" t="s">
        <v>10712</v>
      </c>
      <c r="B5776" s="10" t="s">
        <v>11107</v>
      </c>
      <c r="C5776" s="10" t="s">
        <v>11122</v>
      </c>
      <c r="D5776" s="10">
        <v>4</v>
      </c>
      <c r="E5776" s="10" t="str">
        <f>LEFT("420325197702137612",19)</f>
        <v>420325197702137612</v>
      </c>
      <c r="F5776" s="10" t="s">
        <v>11</v>
      </c>
    </row>
    <row r="5777" ht="18" customHeight="1" spans="1:6">
      <c r="A5777" s="10" t="s">
        <v>10712</v>
      </c>
      <c r="B5777" s="10" t="s">
        <v>11107</v>
      </c>
      <c r="C5777" s="10" t="s">
        <v>11123</v>
      </c>
      <c r="D5777" s="10">
        <v>3</v>
      </c>
      <c r="E5777" s="10" t="str">
        <f>LEFT("420325197908307656",19)</f>
        <v>420325197908307656</v>
      </c>
      <c r="F5777" s="10" t="s">
        <v>11</v>
      </c>
    </row>
    <row r="5778" ht="18" customHeight="1" spans="1:6">
      <c r="A5778" s="10" t="s">
        <v>10712</v>
      </c>
      <c r="B5778" s="10" t="s">
        <v>11107</v>
      </c>
      <c r="C5778" s="10" t="s">
        <v>11124</v>
      </c>
      <c r="D5778" s="10">
        <v>4</v>
      </c>
      <c r="E5778" s="10" t="str">
        <f>LEFT("420325198303227615",19)</f>
        <v>420325198303227615</v>
      </c>
      <c r="F5778" s="10" t="s">
        <v>11</v>
      </c>
    </row>
    <row r="5779" ht="18" customHeight="1" spans="1:6">
      <c r="A5779" s="10" t="s">
        <v>10712</v>
      </c>
      <c r="B5779" s="10" t="s">
        <v>11125</v>
      </c>
      <c r="C5779" s="10" t="s">
        <v>11126</v>
      </c>
      <c r="D5779" s="10">
        <v>7</v>
      </c>
      <c r="E5779" s="10" t="s">
        <v>11127</v>
      </c>
      <c r="F5779" s="10" t="s">
        <v>11</v>
      </c>
    </row>
    <row r="5780" ht="18" customHeight="1" spans="1:6">
      <c r="A5780" s="10" t="s">
        <v>10712</v>
      </c>
      <c r="B5780" s="10" t="s">
        <v>11107</v>
      </c>
      <c r="C5780" s="10" t="s">
        <v>11128</v>
      </c>
      <c r="D5780" s="10">
        <v>6</v>
      </c>
      <c r="E5780" s="10" t="s">
        <v>11129</v>
      </c>
      <c r="F5780" s="10" t="s">
        <v>11</v>
      </c>
    </row>
    <row r="5781" ht="18" customHeight="1" spans="1:6">
      <c r="A5781" s="10" t="s">
        <v>10712</v>
      </c>
      <c r="B5781" s="10" t="s">
        <v>11107</v>
      </c>
      <c r="C5781" s="10" t="s">
        <v>11130</v>
      </c>
      <c r="D5781" s="10">
        <v>3</v>
      </c>
      <c r="E5781" s="187" t="s">
        <v>11131</v>
      </c>
      <c r="F5781" s="10" t="s">
        <v>11</v>
      </c>
    </row>
    <row r="5782" ht="18" customHeight="1" spans="1:6">
      <c r="A5782" s="10" t="s">
        <v>10712</v>
      </c>
      <c r="B5782" s="10" t="s">
        <v>11112</v>
      </c>
      <c r="C5782" s="10" t="s">
        <v>11132</v>
      </c>
      <c r="D5782" s="10">
        <v>2</v>
      </c>
      <c r="E5782" s="187" t="s">
        <v>11133</v>
      </c>
      <c r="F5782" s="10" t="s">
        <v>11</v>
      </c>
    </row>
    <row r="5783" ht="18" customHeight="1" spans="1:6">
      <c r="A5783" s="10" t="s">
        <v>10712</v>
      </c>
      <c r="B5783" s="10" t="s">
        <v>11116</v>
      </c>
      <c r="C5783" s="10" t="s">
        <v>11134</v>
      </c>
      <c r="D5783" s="10">
        <v>3</v>
      </c>
      <c r="E5783" s="187" t="s">
        <v>11135</v>
      </c>
      <c r="F5783" s="10" t="s">
        <v>11</v>
      </c>
    </row>
    <row r="5784" ht="18" customHeight="1" spans="1:6">
      <c r="A5784" s="10" t="s">
        <v>10712</v>
      </c>
      <c r="B5784" s="10" t="s">
        <v>11136</v>
      </c>
      <c r="C5784" s="10" t="s">
        <v>2797</v>
      </c>
      <c r="D5784" s="10">
        <v>2</v>
      </c>
      <c r="E5784" s="10" t="str">
        <f>LEFT("422626196301077639",19)</f>
        <v>422626196301077639</v>
      </c>
      <c r="F5784" s="10" t="s">
        <v>11</v>
      </c>
    </row>
    <row r="5785" ht="18" customHeight="1" spans="1:6">
      <c r="A5785" s="10" t="s">
        <v>10712</v>
      </c>
      <c r="B5785" s="10" t="s">
        <v>11136</v>
      </c>
      <c r="C5785" s="10" t="s">
        <v>11137</v>
      </c>
      <c r="D5785" s="10">
        <v>1</v>
      </c>
      <c r="E5785" s="10" t="str">
        <f>LEFT("422626194701077612",19)</f>
        <v>422626194701077612</v>
      </c>
      <c r="F5785" s="10" t="s">
        <v>11</v>
      </c>
    </row>
    <row r="5786" ht="18" customHeight="1" spans="1:6">
      <c r="A5786" s="10" t="s">
        <v>10712</v>
      </c>
      <c r="B5786" s="10" t="s">
        <v>11136</v>
      </c>
      <c r="C5786" s="10" t="s">
        <v>11138</v>
      </c>
      <c r="D5786" s="10">
        <v>3</v>
      </c>
      <c r="E5786" s="187" t="s">
        <v>11139</v>
      </c>
      <c r="F5786" s="10" t="s">
        <v>11</v>
      </c>
    </row>
    <row r="5787" ht="18" customHeight="1" spans="1:6">
      <c r="A5787" s="10" t="s">
        <v>10712</v>
      </c>
      <c r="B5787" s="10" t="s">
        <v>11140</v>
      </c>
      <c r="C5787" s="10" t="s">
        <v>11141</v>
      </c>
      <c r="D5787" s="10">
        <v>3</v>
      </c>
      <c r="E5787" s="187" t="s">
        <v>11142</v>
      </c>
      <c r="F5787" s="10" t="s">
        <v>11</v>
      </c>
    </row>
    <row r="5788" ht="18" customHeight="1" spans="1:6">
      <c r="A5788" s="10" t="s">
        <v>10712</v>
      </c>
      <c r="B5788" s="10" t="s">
        <v>11140</v>
      </c>
      <c r="C5788" s="10" t="s">
        <v>11143</v>
      </c>
      <c r="D5788" s="10">
        <v>2</v>
      </c>
      <c r="E5788" s="10" t="s">
        <v>11144</v>
      </c>
      <c r="F5788" s="10" t="s">
        <v>11</v>
      </c>
    </row>
    <row r="5789" ht="18" customHeight="1" spans="1:6">
      <c r="A5789" s="10" t="s">
        <v>10712</v>
      </c>
      <c r="B5789" s="10" t="s">
        <v>11145</v>
      </c>
      <c r="C5789" s="10" t="s">
        <v>1924</v>
      </c>
      <c r="D5789" s="10">
        <v>4</v>
      </c>
      <c r="E5789" s="187" t="s">
        <v>11146</v>
      </c>
      <c r="F5789" s="10" t="s">
        <v>11</v>
      </c>
    </row>
    <row r="5790" ht="18" customHeight="1" spans="1:6">
      <c r="A5790" s="10" t="s">
        <v>10712</v>
      </c>
      <c r="B5790" s="10" t="s">
        <v>11147</v>
      </c>
      <c r="C5790" s="10" t="s">
        <v>11148</v>
      </c>
      <c r="D5790" s="10">
        <v>5</v>
      </c>
      <c r="E5790" s="187" t="s">
        <v>11149</v>
      </c>
      <c r="F5790" s="10" t="s">
        <v>11</v>
      </c>
    </row>
    <row r="5791" ht="18" customHeight="1" spans="1:6">
      <c r="A5791" s="10" t="s">
        <v>10712</v>
      </c>
      <c r="B5791" s="10" t="s">
        <v>11147</v>
      </c>
      <c r="C5791" s="10" t="s">
        <v>11150</v>
      </c>
      <c r="D5791" s="10">
        <v>4</v>
      </c>
      <c r="E5791" s="187" t="s">
        <v>11151</v>
      </c>
      <c r="F5791" s="10" t="s">
        <v>11</v>
      </c>
    </row>
    <row r="5792" ht="18" customHeight="1" spans="1:6">
      <c r="A5792" s="10" t="s">
        <v>10712</v>
      </c>
      <c r="B5792" s="10" t="s">
        <v>11152</v>
      </c>
      <c r="C5792" s="10" t="s">
        <v>11153</v>
      </c>
      <c r="D5792" s="10">
        <v>2</v>
      </c>
      <c r="E5792" s="187" t="s">
        <v>11154</v>
      </c>
      <c r="F5792" s="10" t="s">
        <v>11</v>
      </c>
    </row>
    <row r="5793" ht="18" customHeight="1" spans="1:6">
      <c r="A5793" s="10" t="s">
        <v>10712</v>
      </c>
      <c r="B5793" s="10" t="s">
        <v>11147</v>
      </c>
      <c r="C5793" s="10" t="s">
        <v>11155</v>
      </c>
      <c r="D5793" s="10">
        <v>3</v>
      </c>
      <c r="E5793" s="187" t="s">
        <v>11156</v>
      </c>
      <c r="F5793" s="10" t="s">
        <v>11</v>
      </c>
    </row>
    <row r="5794" ht="18" customHeight="1" spans="1:6">
      <c r="A5794" s="10" t="s">
        <v>10712</v>
      </c>
      <c r="B5794" s="10" t="s">
        <v>11147</v>
      </c>
      <c r="C5794" s="10" t="s">
        <v>11157</v>
      </c>
      <c r="D5794" s="10">
        <v>5</v>
      </c>
      <c r="E5794" s="187" t="s">
        <v>11158</v>
      </c>
      <c r="F5794" s="10" t="s">
        <v>11</v>
      </c>
    </row>
    <row r="5795" ht="18" customHeight="1" spans="1:6">
      <c r="A5795" s="10" t="s">
        <v>10712</v>
      </c>
      <c r="B5795" s="10" t="s">
        <v>11159</v>
      </c>
      <c r="C5795" s="10" t="s">
        <v>11160</v>
      </c>
      <c r="D5795" s="10">
        <v>4</v>
      </c>
      <c r="E5795" s="10" t="s">
        <v>11161</v>
      </c>
      <c r="F5795" s="10" t="s">
        <v>11</v>
      </c>
    </row>
    <row r="5796" ht="18" customHeight="1" spans="1:6">
      <c r="A5796" s="10" t="s">
        <v>10712</v>
      </c>
      <c r="B5796" s="10" t="s">
        <v>11159</v>
      </c>
      <c r="C5796" s="10" t="s">
        <v>11162</v>
      </c>
      <c r="D5796" s="10">
        <v>6</v>
      </c>
      <c r="E5796" s="187" t="s">
        <v>11163</v>
      </c>
      <c r="F5796" s="10" t="s">
        <v>11</v>
      </c>
    </row>
    <row r="5797" ht="18" customHeight="1" spans="1:6">
      <c r="A5797" s="10" t="s">
        <v>10712</v>
      </c>
      <c r="B5797" s="10" t="s">
        <v>11159</v>
      </c>
      <c r="C5797" s="10" t="s">
        <v>2549</v>
      </c>
      <c r="D5797" s="10">
        <v>2</v>
      </c>
      <c r="E5797" s="187" t="s">
        <v>11164</v>
      </c>
      <c r="F5797" s="10" t="s">
        <v>11</v>
      </c>
    </row>
    <row r="5798" ht="18" customHeight="1" spans="1:6">
      <c r="A5798" s="10" t="s">
        <v>10712</v>
      </c>
      <c r="B5798" s="10" t="s">
        <v>11159</v>
      </c>
      <c r="C5798" s="10" t="s">
        <v>11165</v>
      </c>
      <c r="D5798" s="10">
        <v>4</v>
      </c>
      <c r="E5798" s="187" t="s">
        <v>11166</v>
      </c>
      <c r="F5798" s="10" t="s">
        <v>11</v>
      </c>
    </row>
    <row r="5799" ht="18" customHeight="1" spans="1:6">
      <c r="A5799" s="10" t="s">
        <v>10712</v>
      </c>
      <c r="B5799" s="10" t="s">
        <v>11145</v>
      </c>
      <c r="C5799" s="10" t="s">
        <v>11167</v>
      </c>
      <c r="D5799" s="10">
        <v>2</v>
      </c>
      <c r="E5799" s="187" t="s">
        <v>11168</v>
      </c>
      <c r="F5799" s="10" t="s">
        <v>11</v>
      </c>
    </row>
    <row r="5800" ht="18" customHeight="1" spans="1:6">
      <c r="A5800" s="10" t="s">
        <v>10712</v>
      </c>
      <c r="B5800" s="10" t="s">
        <v>11159</v>
      </c>
      <c r="C5800" s="10" t="s">
        <v>11169</v>
      </c>
      <c r="D5800" s="10">
        <v>4</v>
      </c>
      <c r="E5800" s="187" t="s">
        <v>11170</v>
      </c>
      <c r="F5800" s="10" t="s">
        <v>11</v>
      </c>
    </row>
    <row r="5801" ht="18" customHeight="1" spans="1:6">
      <c r="A5801" s="10" t="s">
        <v>10712</v>
      </c>
      <c r="B5801" s="10" t="s">
        <v>11147</v>
      </c>
      <c r="C5801" s="10" t="s">
        <v>11171</v>
      </c>
      <c r="D5801" s="10">
        <v>4</v>
      </c>
      <c r="E5801" s="10" t="s">
        <v>11172</v>
      </c>
      <c r="F5801" s="10" t="s">
        <v>11</v>
      </c>
    </row>
    <row r="5802" ht="18" customHeight="1" spans="1:6">
      <c r="A5802" s="10" t="s">
        <v>10712</v>
      </c>
      <c r="B5802" s="10" t="s">
        <v>11147</v>
      </c>
      <c r="C5802" s="10" t="s">
        <v>11173</v>
      </c>
      <c r="D5802" s="10">
        <v>4</v>
      </c>
      <c r="E5802" s="187" t="s">
        <v>11174</v>
      </c>
      <c r="F5802" s="10" t="s">
        <v>11</v>
      </c>
    </row>
    <row r="5803" ht="18" customHeight="1" spans="1:6">
      <c r="A5803" s="10" t="s">
        <v>10712</v>
      </c>
      <c r="B5803" s="10" t="s">
        <v>11147</v>
      </c>
      <c r="C5803" s="10" t="s">
        <v>11175</v>
      </c>
      <c r="D5803" s="10">
        <v>3</v>
      </c>
      <c r="E5803" s="187" t="s">
        <v>11176</v>
      </c>
      <c r="F5803" s="10" t="s">
        <v>11</v>
      </c>
    </row>
    <row r="5804" ht="18" customHeight="1" spans="1:6">
      <c r="A5804" s="10" t="s">
        <v>10712</v>
      </c>
      <c r="B5804" s="10" t="s">
        <v>11147</v>
      </c>
      <c r="C5804" s="10" t="s">
        <v>11177</v>
      </c>
      <c r="D5804" s="10">
        <v>4</v>
      </c>
      <c r="E5804" s="187" t="s">
        <v>11178</v>
      </c>
      <c r="F5804" s="10" t="s">
        <v>11</v>
      </c>
    </row>
    <row r="5805" ht="18" customHeight="1" spans="1:6">
      <c r="A5805" s="10" t="s">
        <v>10712</v>
      </c>
      <c r="B5805" s="10" t="s">
        <v>11145</v>
      </c>
      <c r="C5805" s="10" t="s">
        <v>11179</v>
      </c>
      <c r="D5805" s="10">
        <v>2</v>
      </c>
      <c r="E5805" s="187" t="s">
        <v>11180</v>
      </c>
      <c r="F5805" s="10" t="s">
        <v>11</v>
      </c>
    </row>
    <row r="5806" ht="18" customHeight="1" spans="1:6">
      <c r="A5806" s="10" t="s">
        <v>10712</v>
      </c>
      <c r="B5806" s="10" t="s">
        <v>11159</v>
      </c>
      <c r="C5806" s="10" t="s">
        <v>11181</v>
      </c>
      <c r="D5806" s="10">
        <v>7</v>
      </c>
      <c r="E5806" s="187" t="s">
        <v>11182</v>
      </c>
      <c r="F5806" s="10" t="s">
        <v>11</v>
      </c>
    </row>
    <row r="5807" ht="18" customHeight="1" spans="1:6">
      <c r="A5807" s="10" t="s">
        <v>10712</v>
      </c>
      <c r="B5807" s="10" t="s">
        <v>11159</v>
      </c>
      <c r="C5807" s="10" t="s">
        <v>7434</v>
      </c>
      <c r="D5807" s="10">
        <v>4</v>
      </c>
      <c r="E5807" s="10" t="s">
        <v>11183</v>
      </c>
      <c r="F5807" s="10" t="s">
        <v>11</v>
      </c>
    </row>
    <row r="5808" ht="18" customHeight="1" spans="1:6">
      <c r="A5808" s="10" t="s">
        <v>10712</v>
      </c>
      <c r="B5808" s="10" t="s">
        <v>11147</v>
      </c>
      <c r="C5808" s="10" t="s">
        <v>11184</v>
      </c>
      <c r="D5808" s="10">
        <v>4</v>
      </c>
      <c r="E5808" s="187" t="s">
        <v>11185</v>
      </c>
      <c r="F5808" s="10" t="s">
        <v>11</v>
      </c>
    </row>
    <row r="5809" ht="18" customHeight="1" spans="1:6">
      <c r="A5809" s="10" t="s">
        <v>10712</v>
      </c>
      <c r="B5809" s="10" t="s">
        <v>11147</v>
      </c>
      <c r="C5809" s="10" t="s">
        <v>11186</v>
      </c>
      <c r="D5809" s="10">
        <v>3</v>
      </c>
      <c r="E5809" s="187" t="s">
        <v>11187</v>
      </c>
      <c r="F5809" s="10" t="s">
        <v>11</v>
      </c>
    </row>
    <row r="5810" ht="18" customHeight="1" spans="1:6">
      <c r="A5810" s="10" t="s">
        <v>10712</v>
      </c>
      <c r="B5810" s="10" t="s">
        <v>11159</v>
      </c>
      <c r="C5810" s="10" t="s">
        <v>11188</v>
      </c>
      <c r="D5810" s="10">
        <v>7</v>
      </c>
      <c r="E5810" s="10" t="s">
        <v>11189</v>
      </c>
      <c r="F5810" s="10" t="s">
        <v>11</v>
      </c>
    </row>
    <row r="5811" ht="18" customHeight="1" spans="1:6">
      <c r="A5811" s="10" t="s">
        <v>10712</v>
      </c>
      <c r="B5811" s="10" t="s">
        <v>11145</v>
      </c>
      <c r="C5811" s="10" t="s">
        <v>11190</v>
      </c>
      <c r="D5811" s="10">
        <v>7</v>
      </c>
      <c r="E5811" s="10" t="s">
        <v>11191</v>
      </c>
      <c r="F5811" s="10" t="s">
        <v>11</v>
      </c>
    </row>
    <row r="5812" ht="18" customHeight="1" spans="1:6">
      <c r="A5812" s="10" t="s">
        <v>10712</v>
      </c>
      <c r="B5812" s="10" t="s">
        <v>11192</v>
      </c>
      <c r="C5812" s="10" t="s">
        <v>11193</v>
      </c>
      <c r="D5812" s="10">
        <v>7</v>
      </c>
      <c r="E5812" s="10" t="s">
        <v>11194</v>
      </c>
      <c r="F5812" s="10" t="s">
        <v>11</v>
      </c>
    </row>
    <row r="5813" ht="18" customHeight="1" spans="1:6">
      <c r="A5813" s="10" t="s">
        <v>10712</v>
      </c>
      <c r="B5813" s="10" t="s">
        <v>11195</v>
      </c>
      <c r="C5813" s="10" t="s">
        <v>11196</v>
      </c>
      <c r="D5813" s="10">
        <v>2</v>
      </c>
      <c r="E5813" s="10" t="s">
        <v>11197</v>
      </c>
      <c r="F5813" s="10" t="s">
        <v>11</v>
      </c>
    </row>
    <row r="5814" ht="18" customHeight="1" spans="1:6">
      <c r="A5814" s="10" t="s">
        <v>10712</v>
      </c>
      <c r="B5814" s="10" t="s">
        <v>11195</v>
      </c>
      <c r="C5814" s="10" t="s">
        <v>2024</v>
      </c>
      <c r="D5814" s="10">
        <v>4</v>
      </c>
      <c r="E5814" s="10" t="s">
        <v>11198</v>
      </c>
      <c r="F5814" s="10" t="s">
        <v>11</v>
      </c>
    </row>
    <row r="5815" ht="18" customHeight="1" spans="1:6">
      <c r="A5815" s="10" t="s">
        <v>10712</v>
      </c>
      <c r="B5815" s="10" t="s">
        <v>11195</v>
      </c>
      <c r="C5815" s="10" t="s">
        <v>11199</v>
      </c>
      <c r="D5815" s="10">
        <v>3</v>
      </c>
      <c r="E5815" s="10" t="s">
        <v>11200</v>
      </c>
      <c r="F5815" s="10" t="s">
        <v>11</v>
      </c>
    </row>
    <row r="5816" ht="18" customHeight="1" spans="1:6">
      <c r="A5816" s="10" t="s">
        <v>10712</v>
      </c>
      <c r="B5816" s="10" t="s">
        <v>11201</v>
      </c>
      <c r="C5816" s="10" t="s">
        <v>11202</v>
      </c>
      <c r="D5816" s="10">
        <v>3</v>
      </c>
      <c r="E5816" s="10" t="s">
        <v>11203</v>
      </c>
      <c r="F5816" s="13" t="s">
        <v>11</v>
      </c>
    </row>
    <row r="5817" ht="18" customHeight="1" spans="1:6">
      <c r="A5817" s="10" t="s">
        <v>10712</v>
      </c>
      <c r="B5817" s="10" t="s">
        <v>11204</v>
      </c>
      <c r="C5817" s="5" t="s">
        <v>5671</v>
      </c>
      <c r="D5817" s="174">
        <v>5</v>
      </c>
      <c r="E5817" s="10" t="s">
        <v>11205</v>
      </c>
      <c r="F5817" s="174" t="s">
        <v>11</v>
      </c>
    </row>
    <row r="5818" ht="18" customHeight="1" spans="1:6">
      <c r="A5818" s="10" t="s">
        <v>10712</v>
      </c>
      <c r="B5818" s="10" t="s">
        <v>11204</v>
      </c>
      <c r="C5818" s="5" t="s">
        <v>11206</v>
      </c>
      <c r="D5818" s="174">
        <v>5</v>
      </c>
      <c r="E5818" s="10" t="s">
        <v>11207</v>
      </c>
      <c r="F5818" s="174" t="s">
        <v>11</v>
      </c>
    </row>
    <row r="5819" ht="18" customHeight="1" spans="1:6">
      <c r="A5819" s="10" t="s">
        <v>10712</v>
      </c>
      <c r="B5819" s="10" t="s">
        <v>11204</v>
      </c>
      <c r="C5819" s="5" t="s">
        <v>11208</v>
      </c>
      <c r="D5819" s="174">
        <v>3</v>
      </c>
      <c r="E5819" s="10" t="s">
        <v>11209</v>
      </c>
      <c r="F5819" s="174" t="s">
        <v>11</v>
      </c>
    </row>
    <row r="5820" ht="18" customHeight="1" spans="1:6">
      <c r="A5820" s="10" t="s">
        <v>10712</v>
      </c>
      <c r="B5820" s="10" t="s">
        <v>11204</v>
      </c>
      <c r="C5820" s="5" t="s">
        <v>11210</v>
      </c>
      <c r="D5820" s="174">
        <v>4</v>
      </c>
      <c r="E5820" s="10" t="s">
        <v>11211</v>
      </c>
      <c r="F5820" s="174" t="s">
        <v>11</v>
      </c>
    </row>
    <row r="5821" ht="18" customHeight="1" spans="1:6">
      <c r="A5821" s="10" t="s">
        <v>10712</v>
      </c>
      <c r="B5821" s="10" t="s">
        <v>11204</v>
      </c>
      <c r="C5821" s="5" t="s">
        <v>11212</v>
      </c>
      <c r="D5821" s="174">
        <v>4</v>
      </c>
      <c r="E5821" s="10" t="s">
        <v>11213</v>
      </c>
      <c r="F5821" s="174" t="s">
        <v>11</v>
      </c>
    </row>
    <row r="5822" ht="18" customHeight="1" spans="1:6">
      <c r="A5822" s="10" t="s">
        <v>10712</v>
      </c>
      <c r="B5822" s="10" t="s">
        <v>11204</v>
      </c>
      <c r="C5822" s="5" t="s">
        <v>11214</v>
      </c>
      <c r="D5822" s="174">
        <v>6</v>
      </c>
      <c r="E5822" s="10" t="s">
        <v>11215</v>
      </c>
      <c r="F5822" s="174" t="s">
        <v>11</v>
      </c>
    </row>
    <row r="5823" ht="18" customHeight="1" spans="1:6">
      <c r="A5823" s="10" t="s">
        <v>10712</v>
      </c>
      <c r="B5823" s="10" t="s">
        <v>11204</v>
      </c>
      <c r="C5823" s="5" t="s">
        <v>11216</v>
      </c>
      <c r="D5823" s="174">
        <v>4</v>
      </c>
      <c r="E5823" s="10" t="s">
        <v>11217</v>
      </c>
      <c r="F5823" s="174" t="s">
        <v>11</v>
      </c>
    </row>
    <row r="5824" ht="18" customHeight="1" spans="1:6">
      <c r="A5824" s="10" t="s">
        <v>10712</v>
      </c>
      <c r="B5824" s="10" t="s">
        <v>11204</v>
      </c>
      <c r="C5824" s="5" t="s">
        <v>2829</v>
      </c>
      <c r="D5824" s="174">
        <v>3</v>
      </c>
      <c r="E5824" s="10" t="s">
        <v>11218</v>
      </c>
      <c r="F5824" s="174" t="s">
        <v>11</v>
      </c>
    </row>
    <row r="5825" ht="18" customHeight="1" spans="1:6">
      <c r="A5825" s="10" t="s">
        <v>10712</v>
      </c>
      <c r="B5825" s="10" t="s">
        <v>11204</v>
      </c>
      <c r="C5825" s="5" t="s">
        <v>11219</v>
      </c>
      <c r="D5825" s="174">
        <v>1</v>
      </c>
      <c r="E5825" s="10" t="s">
        <v>11220</v>
      </c>
      <c r="F5825" s="174" t="s">
        <v>11</v>
      </c>
    </row>
    <row r="5826" ht="18" customHeight="1" spans="1:6">
      <c r="A5826" s="10" t="s">
        <v>10712</v>
      </c>
      <c r="B5826" s="10" t="s">
        <v>11204</v>
      </c>
      <c r="C5826" s="5" t="s">
        <v>2825</v>
      </c>
      <c r="D5826" s="174">
        <v>1</v>
      </c>
      <c r="E5826" s="10" t="s">
        <v>11221</v>
      </c>
      <c r="F5826" s="174" t="s">
        <v>11</v>
      </c>
    </row>
    <row r="5827" ht="18" customHeight="1" spans="1:6">
      <c r="A5827" s="10" t="s">
        <v>10712</v>
      </c>
      <c r="B5827" s="10" t="s">
        <v>11204</v>
      </c>
      <c r="C5827" s="5" t="s">
        <v>11222</v>
      </c>
      <c r="D5827" s="174">
        <v>3</v>
      </c>
      <c r="E5827" s="10" t="s">
        <v>11223</v>
      </c>
      <c r="F5827" s="174" t="s">
        <v>11</v>
      </c>
    </row>
    <row r="5828" ht="18" customHeight="1" spans="1:6">
      <c r="A5828" s="10" t="s">
        <v>10712</v>
      </c>
      <c r="B5828" s="10" t="s">
        <v>11204</v>
      </c>
      <c r="C5828" s="5" t="s">
        <v>11224</v>
      </c>
      <c r="D5828" s="174">
        <v>5</v>
      </c>
      <c r="E5828" s="10" t="s">
        <v>11225</v>
      </c>
      <c r="F5828" s="174" t="s">
        <v>11</v>
      </c>
    </row>
    <row r="5829" ht="18" customHeight="1" spans="1:6">
      <c r="A5829" s="10" t="s">
        <v>10712</v>
      </c>
      <c r="B5829" s="10" t="s">
        <v>11204</v>
      </c>
      <c r="C5829" s="5" t="s">
        <v>11226</v>
      </c>
      <c r="D5829" s="174">
        <v>4</v>
      </c>
      <c r="E5829" s="10" t="s">
        <v>11227</v>
      </c>
      <c r="F5829" s="174" t="s">
        <v>11</v>
      </c>
    </row>
    <row r="5830" ht="18" customHeight="1" spans="1:6">
      <c r="A5830" s="10" t="s">
        <v>10712</v>
      </c>
      <c r="B5830" s="10" t="s">
        <v>11204</v>
      </c>
      <c r="C5830" s="5" t="s">
        <v>11228</v>
      </c>
      <c r="D5830" s="174">
        <v>1</v>
      </c>
      <c r="E5830" s="10" t="s">
        <v>11229</v>
      </c>
      <c r="F5830" s="174" t="s">
        <v>11</v>
      </c>
    </row>
    <row r="5831" ht="18" customHeight="1" spans="1:6">
      <c r="A5831" s="10" t="s">
        <v>10712</v>
      </c>
      <c r="B5831" s="10" t="s">
        <v>11204</v>
      </c>
      <c r="C5831" s="5" t="s">
        <v>11230</v>
      </c>
      <c r="D5831" s="174">
        <v>3</v>
      </c>
      <c r="E5831" s="10" t="s">
        <v>11231</v>
      </c>
      <c r="F5831" s="174" t="s">
        <v>11</v>
      </c>
    </row>
    <row r="5832" ht="18" customHeight="1" spans="1:6">
      <c r="A5832" s="10" t="s">
        <v>10712</v>
      </c>
      <c r="B5832" s="10" t="s">
        <v>11204</v>
      </c>
      <c r="C5832" s="5" t="s">
        <v>11232</v>
      </c>
      <c r="D5832" s="174">
        <v>5</v>
      </c>
      <c r="E5832" s="10" t="s">
        <v>11233</v>
      </c>
      <c r="F5832" s="174" t="s">
        <v>11</v>
      </c>
    </row>
    <row r="5833" ht="18" customHeight="1" spans="1:6">
      <c r="A5833" s="10" t="s">
        <v>10712</v>
      </c>
      <c r="B5833" s="10" t="s">
        <v>11204</v>
      </c>
      <c r="C5833" s="5" t="s">
        <v>11234</v>
      </c>
      <c r="D5833" s="174">
        <v>3</v>
      </c>
      <c r="E5833" s="10" t="s">
        <v>11235</v>
      </c>
      <c r="F5833" s="174" t="s">
        <v>11</v>
      </c>
    </row>
    <row r="5834" ht="18" customHeight="1" spans="1:6">
      <c r="A5834" s="10" t="s">
        <v>10712</v>
      </c>
      <c r="B5834" s="10" t="s">
        <v>11204</v>
      </c>
      <c r="C5834" s="5" t="s">
        <v>11236</v>
      </c>
      <c r="D5834" s="174">
        <v>2</v>
      </c>
      <c r="E5834" s="5" t="s">
        <v>11237</v>
      </c>
      <c r="F5834" s="174" t="s">
        <v>11</v>
      </c>
    </row>
    <row r="5835" ht="18" customHeight="1" spans="1:6">
      <c r="A5835" s="10" t="s">
        <v>10712</v>
      </c>
      <c r="B5835" s="10" t="s">
        <v>11204</v>
      </c>
      <c r="C5835" s="5" t="s">
        <v>11238</v>
      </c>
      <c r="D5835" s="174">
        <v>2</v>
      </c>
      <c r="E5835" s="5" t="s">
        <v>11239</v>
      </c>
      <c r="F5835" s="174" t="s">
        <v>11</v>
      </c>
    </row>
    <row r="5836" ht="18" customHeight="1" spans="1:6">
      <c r="A5836" s="10" t="s">
        <v>10712</v>
      </c>
      <c r="B5836" s="10" t="s">
        <v>11204</v>
      </c>
      <c r="C5836" s="5" t="s">
        <v>11240</v>
      </c>
      <c r="D5836" s="174">
        <v>2</v>
      </c>
      <c r="E5836" s="5" t="str">
        <f>LEFT("42262619611223763X",19)</f>
        <v>42262619611223763X</v>
      </c>
      <c r="F5836" s="174" t="s">
        <v>11</v>
      </c>
    </row>
    <row r="5837" ht="18" customHeight="1" spans="1:6">
      <c r="A5837" s="10" t="s">
        <v>10712</v>
      </c>
      <c r="B5837" s="10" t="s">
        <v>11241</v>
      </c>
      <c r="C5837" s="10" t="s">
        <v>11242</v>
      </c>
      <c r="D5837" s="10">
        <v>4</v>
      </c>
      <c r="E5837" s="10" t="s">
        <v>11243</v>
      </c>
      <c r="F5837" s="10" t="s">
        <v>11</v>
      </c>
    </row>
    <row r="5838" ht="18" customHeight="1" spans="1:6">
      <c r="A5838" s="10" t="s">
        <v>10712</v>
      </c>
      <c r="B5838" s="10" t="s">
        <v>11241</v>
      </c>
      <c r="C5838" s="10" t="s">
        <v>11244</v>
      </c>
      <c r="D5838" s="10">
        <v>3</v>
      </c>
      <c r="E5838" s="10" t="s">
        <v>11245</v>
      </c>
      <c r="F5838" s="10" t="s">
        <v>11</v>
      </c>
    </row>
    <row r="5839" ht="18" customHeight="1" spans="1:6">
      <c r="A5839" s="10" t="s">
        <v>10712</v>
      </c>
      <c r="B5839" s="10" t="s">
        <v>11241</v>
      </c>
      <c r="C5839" s="10" t="s">
        <v>11246</v>
      </c>
      <c r="D5839" s="10">
        <v>4</v>
      </c>
      <c r="E5839" s="10" t="s">
        <v>11247</v>
      </c>
      <c r="F5839" s="10" t="s">
        <v>11</v>
      </c>
    </row>
    <row r="5840" ht="18" customHeight="1" spans="1:6">
      <c r="A5840" s="10" t="s">
        <v>10712</v>
      </c>
      <c r="B5840" s="10" t="s">
        <v>11241</v>
      </c>
      <c r="C5840" s="10" t="s">
        <v>11248</v>
      </c>
      <c r="D5840" s="10">
        <v>4</v>
      </c>
      <c r="E5840" s="10" t="s">
        <v>11249</v>
      </c>
      <c r="F5840" s="10" t="s">
        <v>11</v>
      </c>
    </row>
    <row r="5841" ht="18" customHeight="1" spans="1:6">
      <c r="A5841" s="10" t="s">
        <v>10712</v>
      </c>
      <c r="B5841" s="10" t="s">
        <v>11241</v>
      </c>
      <c r="C5841" s="10" t="s">
        <v>11250</v>
      </c>
      <c r="D5841" s="10">
        <v>6</v>
      </c>
      <c r="E5841" s="10" t="s">
        <v>11251</v>
      </c>
      <c r="F5841" s="10" t="s">
        <v>11</v>
      </c>
    </row>
    <row r="5842" ht="18" customHeight="1" spans="1:6">
      <c r="A5842" s="10" t="s">
        <v>10712</v>
      </c>
      <c r="B5842" s="10" t="s">
        <v>11241</v>
      </c>
      <c r="C5842" s="10" t="s">
        <v>11252</v>
      </c>
      <c r="D5842" s="10">
        <v>3</v>
      </c>
      <c r="E5842" s="10" t="s">
        <v>11253</v>
      </c>
      <c r="F5842" s="10" t="s">
        <v>11</v>
      </c>
    </row>
    <row r="5843" ht="18" customHeight="1" spans="1:6">
      <c r="A5843" s="10" t="s">
        <v>10712</v>
      </c>
      <c r="B5843" s="10" t="s">
        <v>11241</v>
      </c>
      <c r="C5843" s="10" t="s">
        <v>11254</v>
      </c>
      <c r="D5843" s="10">
        <v>4</v>
      </c>
      <c r="E5843" s="10" t="s">
        <v>11255</v>
      </c>
      <c r="F5843" s="10" t="s">
        <v>11</v>
      </c>
    </row>
    <row r="5844" ht="18" customHeight="1" spans="1:6">
      <c r="A5844" s="10" t="s">
        <v>10712</v>
      </c>
      <c r="B5844" s="10" t="s">
        <v>11241</v>
      </c>
      <c r="C5844" s="10" t="s">
        <v>11256</v>
      </c>
      <c r="D5844" s="10">
        <v>4</v>
      </c>
      <c r="E5844" s="10" t="s">
        <v>11257</v>
      </c>
      <c r="F5844" s="10" t="s">
        <v>11</v>
      </c>
    </row>
    <row r="5845" ht="18" customHeight="1" spans="1:6">
      <c r="A5845" s="10" t="s">
        <v>10712</v>
      </c>
      <c r="B5845" s="10" t="s">
        <v>11241</v>
      </c>
      <c r="C5845" s="10" t="s">
        <v>11258</v>
      </c>
      <c r="D5845" s="10">
        <v>5</v>
      </c>
      <c r="E5845" s="10" t="s">
        <v>11259</v>
      </c>
      <c r="F5845" s="10" t="s">
        <v>11</v>
      </c>
    </row>
    <row r="5846" ht="18" customHeight="1" spans="1:6">
      <c r="A5846" s="10" t="s">
        <v>10712</v>
      </c>
      <c r="B5846" s="10" t="s">
        <v>11241</v>
      </c>
      <c r="C5846" s="10" t="s">
        <v>11260</v>
      </c>
      <c r="D5846" s="10">
        <v>3</v>
      </c>
      <c r="E5846" s="10" t="s">
        <v>11261</v>
      </c>
      <c r="F5846" s="10" t="s">
        <v>11</v>
      </c>
    </row>
    <row r="5847" ht="18" customHeight="1" spans="1:6">
      <c r="A5847" s="10" t="s">
        <v>10712</v>
      </c>
      <c r="B5847" s="10" t="s">
        <v>11262</v>
      </c>
      <c r="C5847" s="10" t="s">
        <v>11263</v>
      </c>
      <c r="D5847" s="10">
        <v>4</v>
      </c>
      <c r="E5847" s="10" t="s">
        <v>11264</v>
      </c>
      <c r="F5847" s="10" t="s">
        <v>11</v>
      </c>
    </row>
    <row r="5848" ht="18" customHeight="1" spans="1:6">
      <c r="A5848" s="10" t="s">
        <v>10712</v>
      </c>
      <c r="B5848" s="10" t="s">
        <v>11265</v>
      </c>
      <c r="C5848" s="10" t="s">
        <v>11266</v>
      </c>
      <c r="D5848" s="10">
        <v>7</v>
      </c>
      <c r="E5848" s="10" t="s">
        <v>11267</v>
      </c>
      <c r="F5848" s="10" t="s">
        <v>11</v>
      </c>
    </row>
    <row r="5849" ht="18" customHeight="1" spans="1:6">
      <c r="A5849" s="10" t="s">
        <v>10712</v>
      </c>
      <c r="B5849" s="10" t="s">
        <v>11262</v>
      </c>
      <c r="C5849" s="10" t="s">
        <v>11268</v>
      </c>
      <c r="D5849" s="10">
        <v>8</v>
      </c>
      <c r="E5849" s="10" t="s">
        <v>11269</v>
      </c>
      <c r="F5849" s="10" t="s">
        <v>11</v>
      </c>
    </row>
    <row r="5850" ht="18" customHeight="1" spans="1:6">
      <c r="A5850" s="10" t="s">
        <v>10712</v>
      </c>
      <c r="B5850" s="10" t="s">
        <v>11262</v>
      </c>
      <c r="C5850" s="10" t="s">
        <v>11270</v>
      </c>
      <c r="D5850" s="10">
        <v>2</v>
      </c>
      <c r="E5850" s="10" t="s">
        <v>11271</v>
      </c>
      <c r="F5850" s="10" t="s">
        <v>11</v>
      </c>
    </row>
    <row r="5851" ht="18" customHeight="1" spans="1:6">
      <c r="A5851" s="10" t="s">
        <v>10712</v>
      </c>
      <c r="B5851" s="10" t="s">
        <v>11262</v>
      </c>
      <c r="C5851" s="10" t="s">
        <v>11272</v>
      </c>
      <c r="D5851" s="10">
        <v>6</v>
      </c>
      <c r="E5851" s="10" t="s">
        <v>11273</v>
      </c>
      <c r="F5851" s="10" t="s">
        <v>11</v>
      </c>
    </row>
    <row r="5852" ht="18" customHeight="1" spans="1:6">
      <c r="A5852" s="10" t="s">
        <v>10712</v>
      </c>
      <c r="B5852" s="10" t="s">
        <v>11274</v>
      </c>
      <c r="C5852" s="10" t="s">
        <v>11275</v>
      </c>
      <c r="D5852" s="10">
        <v>3</v>
      </c>
      <c r="E5852" s="10" t="s">
        <v>11276</v>
      </c>
      <c r="F5852" s="10" t="s">
        <v>11</v>
      </c>
    </row>
    <row r="5853" ht="18" customHeight="1" spans="1:6">
      <c r="A5853" s="10" t="s">
        <v>10712</v>
      </c>
      <c r="B5853" s="10" t="s">
        <v>11262</v>
      </c>
      <c r="C5853" s="10" t="s">
        <v>11277</v>
      </c>
      <c r="D5853" s="10">
        <v>7</v>
      </c>
      <c r="E5853" s="10" t="s">
        <v>11278</v>
      </c>
      <c r="F5853" s="10" t="s">
        <v>11</v>
      </c>
    </row>
    <row r="5854" ht="18" customHeight="1" spans="1:6">
      <c r="A5854" s="10" t="s">
        <v>10712</v>
      </c>
      <c r="B5854" s="10" t="s">
        <v>11262</v>
      </c>
      <c r="C5854" s="10" t="s">
        <v>11279</v>
      </c>
      <c r="D5854" s="10">
        <v>3</v>
      </c>
      <c r="E5854" s="10" t="s">
        <v>11280</v>
      </c>
      <c r="F5854" s="10" t="s">
        <v>11</v>
      </c>
    </row>
    <row r="5855" ht="18" customHeight="1" spans="1:6">
      <c r="A5855" s="10" t="s">
        <v>10712</v>
      </c>
      <c r="B5855" s="10" t="s">
        <v>11274</v>
      </c>
      <c r="C5855" s="10" t="s">
        <v>11281</v>
      </c>
      <c r="D5855" s="10">
        <v>4</v>
      </c>
      <c r="E5855" s="10" t="s">
        <v>11282</v>
      </c>
      <c r="F5855" s="10" t="s">
        <v>11</v>
      </c>
    </row>
    <row r="5856" ht="18" customHeight="1" spans="1:6">
      <c r="A5856" s="10" t="s">
        <v>10712</v>
      </c>
      <c r="B5856" s="10" t="s">
        <v>11265</v>
      </c>
      <c r="C5856" s="10" t="s">
        <v>11188</v>
      </c>
      <c r="D5856" s="10">
        <v>7</v>
      </c>
      <c r="E5856" s="10" t="s">
        <v>11283</v>
      </c>
      <c r="F5856" s="10" t="s">
        <v>11</v>
      </c>
    </row>
    <row r="5857" ht="18" customHeight="1" spans="1:6">
      <c r="A5857" s="10" t="s">
        <v>10712</v>
      </c>
      <c r="B5857" s="10" t="s">
        <v>11262</v>
      </c>
      <c r="C5857" s="10" t="s">
        <v>11284</v>
      </c>
      <c r="D5857" s="10">
        <v>7</v>
      </c>
      <c r="E5857" s="10" t="s">
        <v>11285</v>
      </c>
      <c r="F5857" s="10" t="s">
        <v>11</v>
      </c>
    </row>
    <row r="5858" ht="18" customHeight="1" spans="1:6">
      <c r="A5858" s="10" t="s">
        <v>10712</v>
      </c>
      <c r="B5858" s="10" t="s">
        <v>11274</v>
      </c>
      <c r="C5858" s="10" t="s">
        <v>11286</v>
      </c>
      <c r="D5858" s="10">
        <v>5</v>
      </c>
      <c r="E5858" s="10" t="s">
        <v>11287</v>
      </c>
      <c r="F5858" s="10" t="s">
        <v>11</v>
      </c>
    </row>
    <row r="5859" ht="18" customHeight="1" spans="1:6">
      <c r="A5859" s="10" t="s">
        <v>10712</v>
      </c>
      <c r="B5859" s="10" t="s">
        <v>11262</v>
      </c>
      <c r="C5859" s="10" t="s">
        <v>11288</v>
      </c>
      <c r="D5859" s="10">
        <v>5</v>
      </c>
      <c r="E5859" s="10" t="s">
        <v>11289</v>
      </c>
      <c r="F5859" s="10" t="s">
        <v>11</v>
      </c>
    </row>
    <row r="5860" ht="18" customHeight="1" spans="1:6">
      <c r="A5860" s="10" t="s">
        <v>10712</v>
      </c>
      <c r="B5860" s="10" t="s">
        <v>11274</v>
      </c>
      <c r="C5860" s="10" t="s">
        <v>11290</v>
      </c>
      <c r="D5860" s="10">
        <v>4</v>
      </c>
      <c r="E5860" s="10" t="s">
        <v>11291</v>
      </c>
      <c r="F5860" s="10" t="s">
        <v>11</v>
      </c>
    </row>
    <row r="5861" ht="18" customHeight="1" spans="1:6">
      <c r="A5861" s="10" t="s">
        <v>10712</v>
      </c>
      <c r="B5861" s="10" t="s">
        <v>11274</v>
      </c>
      <c r="C5861" s="10" t="s">
        <v>10741</v>
      </c>
      <c r="D5861" s="10">
        <v>6</v>
      </c>
      <c r="E5861" s="10" t="s">
        <v>11292</v>
      </c>
      <c r="F5861" s="10" t="s">
        <v>11</v>
      </c>
    </row>
    <row r="5862" ht="18" customHeight="1" spans="1:6">
      <c r="A5862" s="10" t="s">
        <v>10712</v>
      </c>
      <c r="B5862" s="10" t="s">
        <v>11274</v>
      </c>
      <c r="C5862" s="10" t="s">
        <v>11293</v>
      </c>
      <c r="D5862" s="10">
        <v>4</v>
      </c>
      <c r="E5862" s="10" t="s">
        <v>11294</v>
      </c>
      <c r="F5862" s="10" t="s">
        <v>11</v>
      </c>
    </row>
    <row r="5863" ht="18" customHeight="1" spans="1:6">
      <c r="A5863" s="10" t="s">
        <v>10712</v>
      </c>
      <c r="B5863" s="10" t="s">
        <v>11265</v>
      </c>
      <c r="C5863" s="10" t="s">
        <v>11295</v>
      </c>
      <c r="D5863" s="10">
        <v>7</v>
      </c>
      <c r="E5863" s="10" t="s">
        <v>11296</v>
      </c>
      <c r="F5863" s="10" t="s">
        <v>11</v>
      </c>
    </row>
    <row r="5864" ht="18" customHeight="1" spans="1:6">
      <c r="A5864" s="10" t="s">
        <v>10712</v>
      </c>
      <c r="B5864" s="10" t="s">
        <v>11265</v>
      </c>
      <c r="C5864" s="10" t="s">
        <v>11297</v>
      </c>
      <c r="D5864" s="10">
        <v>2</v>
      </c>
      <c r="E5864" s="10" t="s">
        <v>11298</v>
      </c>
      <c r="F5864" s="10" t="s">
        <v>11</v>
      </c>
    </row>
    <row r="5865" ht="18" customHeight="1" spans="1:6">
      <c r="A5865" s="10" t="s">
        <v>10712</v>
      </c>
      <c r="B5865" s="10" t="s">
        <v>11265</v>
      </c>
      <c r="C5865" s="10" t="s">
        <v>11299</v>
      </c>
      <c r="D5865" s="10">
        <v>4</v>
      </c>
      <c r="E5865" s="10" t="s">
        <v>11300</v>
      </c>
      <c r="F5865" s="10" t="s">
        <v>11</v>
      </c>
    </row>
    <row r="5866" ht="18" customHeight="1" spans="1:6">
      <c r="A5866" s="10" t="s">
        <v>10712</v>
      </c>
      <c r="B5866" s="10" t="s">
        <v>11265</v>
      </c>
      <c r="C5866" s="10" t="s">
        <v>11301</v>
      </c>
      <c r="D5866" s="10">
        <v>2</v>
      </c>
      <c r="E5866" s="10" t="s">
        <v>11302</v>
      </c>
      <c r="F5866" s="10" t="s">
        <v>11</v>
      </c>
    </row>
    <row r="5867" ht="18" customHeight="1" spans="1:6">
      <c r="A5867" s="10" t="s">
        <v>10712</v>
      </c>
      <c r="B5867" s="10" t="s">
        <v>11265</v>
      </c>
      <c r="C5867" s="10" t="s">
        <v>11303</v>
      </c>
      <c r="D5867" s="10">
        <v>2</v>
      </c>
      <c r="E5867" s="10" t="s">
        <v>11304</v>
      </c>
      <c r="F5867" s="10" t="s">
        <v>11</v>
      </c>
    </row>
    <row r="5868" ht="18" customHeight="1" spans="1:6">
      <c r="A5868" s="10" t="s">
        <v>10712</v>
      </c>
      <c r="B5868" s="10" t="s">
        <v>11265</v>
      </c>
      <c r="C5868" s="10" t="s">
        <v>11305</v>
      </c>
      <c r="D5868" s="10">
        <v>3</v>
      </c>
      <c r="E5868" s="10" t="s">
        <v>11306</v>
      </c>
      <c r="F5868" s="10" t="s">
        <v>11</v>
      </c>
    </row>
    <row r="5869" ht="18" customHeight="1" spans="1:6">
      <c r="A5869" s="10" t="s">
        <v>10712</v>
      </c>
      <c r="B5869" s="10" t="s">
        <v>11265</v>
      </c>
      <c r="C5869" s="10" t="s">
        <v>11307</v>
      </c>
      <c r="D5869" s="10">
        <v>2</v>
      </c>
      <c r="E5869" s="10" t="s">
        <v>11308</v>
      </c>
      <c r="F5869" s="10" t="s">
        <v>11</v>
      </c>
    </row>
    <row r="5870" ht="18" customHeight="1" spans="1:6">
      <c r="A5870" s="13" t="s">
        <v>10712</v>
      </c>
      <c r="B5870" s="13" t="s">
        <v>11265</v>
      </c>
      <c r="C5870" s="13" t="s">
        <v>11309</v>
      </c>
      <c r="D5870" s="13">
        <v>2</v>
      </c>
      <c r="E5870" s="5" t="s">
        <v>11310</v>
      </c>
      <c r="F5870" s="13" t="s">
        <v>11</v>
      </c>
    </row>
    <row r="5871" ht="18" customHeight="1" spans="1:6">
      <c r="A5871" s="13" t="s">
        <v>11311</v>
      </c>
      <c r="B5871" s="13"/>
      <c r="C5871" s="13">
        <v>355</v>
      </c>
      <c r="D5871" s="13">
        <v>1343</v>
      </c>
      <c r="E5871" s="13"/>
      <c r="F5871" s="13"/>
    </row>
    <row r="5872" ht="18" customHeight="1" spans="1:6">
      <c r="A5872" s="13" t="s">
        <v>11312</v>
      </c>
      <c r="B5872" s="13" t="s">
        <v>11313</v>
      </c>
      <c r="C5872" s="13" t="s">
        <v>10136</v>
      </c>
      <c r="D5872" s="13">
        <v>7</v>
      </c>
      <c r="E5872" s="14" t="s">
        <v>11314</v>
      </c>
      <c r="F5872" s="13" t="s">
        <v>11</v>
      </c>
    </row>
    <row r="5873" ht="18" customHeight="1" spans="1:6">
      <c r="A5873" s="13" t="s">
        <v>11312</v>
      </c>
      <c r="B5873" s="13" t="s">
        <v>11313</v>
      </c>
      <c r="C5873" s="13" t="s">
        <v>5926</v>
      </c>
      <c r="D5873" s="13">
        <v>4</v>
      </c>
      <c r="E5873" s="176" t="s">
        <v>11315</v>
      </c>
      <c r="F5873" s="13" t="s">
        <v>11</v>
      </c>
    </row>
    <row r="5874" ht="18" customHeight="1" spans="1:6">
      <c r="A5874" s="13" t="s">
        <v>11312</v>
      </c>
      <c r="B5874" s="13" t="s">
        <v>11313</v>
      </c>
      <c r="C5874" s="23" t="s">
        <v>11316</v>
      </c>
      <c r="D5874" s="13">
        <v>4</v>
      </c>
      <c r="E5874" s="176" t="s">
        <v>11317</v>
      </c>
      <c r="F5874" s="13" t="s">
        <v>11</v>
      </c>
    </row>
    <row r="5875" ht="18" customHeight="1" spans="1:6">
      <c r="A5875" s="13" t="s">
        <v>11312</v>
      </c>
      <c r="B5875" s="13" t="s">
        <v>11313</v>
      </c>
      <c r="C5875" s="23" t="s">
        <v>11318</v>
      </c>
      <c r="D5875" s="13">
        <v>4</v>
      </c>
      <c r="E5875" s="176" t="s">
        <v>11319</v>
      </c>
      <c r="F5875" s="13" t="s">
        <v>11</v>
      </c>
    </row>
    <row r="5876" ht="18" customHeight="1" spans="1:6">
      <c r="A5876" s="13" t="s">
        <v>11312</v>
      </c>
      <c r="B5876" s="13" t="s">
        <v>11313</v>
      </c>
      <c r="C5876" s="23" t="s">
        <v>7364</v>
      </c>
      <c r="D5876" s="13">
        <v>4</v>
      </c>
      <c r="E5876" s="176" t="s">
        <v>11320</v>
      </c>
      <c r="F5876" s="13" t="s">
        <v>11</v>
      </c>
    </row>
    <row r="5877" ht="18" customHeight="1" spans="1:6">
      <c r="A5877" s="13" t="s">
        <v>11312</v>
      </c>
      <c r="B5877" s="13" t="s">
        <v>11313</v>
      </c>
      <c r="C5877" s="23" t="s">
        <v>11321</v>
      </c>
      <c r="D5877" s="13">
        <v>3</v>
      </c>
      <c r="E5877" s="176" t="s">
        <v>11322</v>
      </c>
      <c r="F5877" s="13" t="s">
        <v>11</v>
      </c>
    </row>
    <row r="5878" ht="18" customHeight="1" spans="1:6">
      <c r="A5878" s="13" t="s">
        <v>11312</v>
      </c>
      <c r="B5878" s="13" t="s">
        <v>11313</v>
      </c>
      <c r="C5878" s="23" t="s">
        <v>11323</v>
      </c>
      <c r="D5878" s="13">
        <v>3</v>
      </c>
      <c r="E5878" s="176" t="s">
        <v>11324</v>
      </c>
      <c r="F5878" s="13" t="s">
        <v>11</v>
      </c>
    </row>
    <row r="5879" ht="18" customHeight="1" spans="1:6">
      <c r="A5879" s="13" t="s">
        <v>11312</v>
      </c>
      <c r="B5879" s="13" t="s">
        <v>11313</v>
      </c>
      <c r="C5879" s="23" t="s">
        <v>11325</v>
      </c>
      <c r="D5879" s="13">
        <v>3</v>
      </c>
      <c r="E5879" s="176" t="s">
        <v>11326</v>
      </c>
      <c r="F5879" s="13" t="s">
        <v>11</v>
      </c>
    </row>
    <row r="5880" ht="18" customHeight="1" spans="1:6">
      <c r="A5880" s="13" t="s">
        <v>11312</v>
      </c>
      <c r="B5880" s="13" t="s">
        <v>11313</v>
      </c>
      <c r="C5880" s="23" t="s">
        <v>4270</v>
      </c>
      <c r="D5880" s="13">
        <v>3</v>
      </c>
      <c r="E5880" s="176" t="s">
        <v>11327</v>
      </c>
      <c r="F5880" s="13" t="s">
        <v>11</v>
      </c>
    </row>
    <row r="5881" ht="18" customHeight="1" spans="1:6">
      <c r="A5881" s="13" t="s">
        <v>11312</v>
      </c>
      <c r="B5881" s="13" t="s">
        <v>11313</v>
      </c>
      <c r="C5881" s="23" t="s">
        <v>11328</v>
      </c>
      <c r="D5881" s="13">
        <v>3</v>
      </c>
      <c r="E5881" s="176" t="s">
        <v>11329</v>
      </c>
      <c r="F5881" s="13" t="s">
        <v>11</v>
      </c>
    </row>
    <row r="5882" ht="18" customHeight="1" spans="1:6">
      <c r="A5882" s="13" t="s">
        <v>11312</v>
      </c>
      <c r="B5882" s="13" t="s">
        <v>11313</v>
      </c>
      <c r="C5882" s="23" t="s">
        <v>11330</v>
      </c>
      <c r="D5882" s="13">
        <v>3</v>
      </c>
      <c r="E5882" s="176" t="s">
        <v>11331</v>
      </c>
      <c r="F5882" s="13" t="s">
        <v>11</v>
      </c>
    </row>
    <row r="5883" ht="18" customHeight="1" spans="1:6">
      <c r="A5883" s="13" t="s">
        <v>11312</v>
      </c>
      <c r="B5883" s="13" t="s">
        <v>11313</v>
      </c>
      <c r="C5883" s="23" t="s">
        <v>11332</v>
      </c>
      <c r="D5883" s="13">
        <v>3</v>
      </c>
      <c r="E5883" s="176" t="s">
        <v>11333</v>
      </c>
      <c r="F5883" s="13" t="s">
        <v>11</v>
      </c>
    </row>
    <row r="5884" ht="18" customHeight="1" spans="1:6">
      <c r="A5884" s="13" t="s">
        <v>11312</v>
      </c>
      <c r="B5884" s="13" t="s">
        <v>11313</v>
      </c>
      <c r="C5884" s="23" t="s">
        <v>11334</v>
      </c>
      <c r="D5884" s="13">
        <v>3</v>
      </c>
      <c r="E5884" s="176" t="s">
        <v>11335</v>
      </c>
      <c r="F5884" s="13" t="s">
        <v>11</v>
      </c>
    </row>
    <row r="5885" ht="18" customHeight="1" spans="1:6">
      <c r="A5885" s="13" t="s">
        <v>11312</v>
      </c>
      <c r="B5885" s="13" t="s">
        <v>11313</v>
      </c>
      <c r="C5885" s="23" t="s">
        <v>11336</v>
      </c>
      <c r="D5885" s="13">
        <v>5</v>
      </c>
      <c r="E5885" s="176" t="s">
        <v>11337</v>
      </c>
      <c r="F5885" s="13" t="s">
        <v>11</v>
      </c>
    </row>
    <row r="5886" ht="18" customHeight="1" spans="1:6">
      <c r="A5886" s="13" t="s">
        <v>11312</v>
      </c>
      <c r="B5886" s="13" t="s">
        <v>11313</v>
      </c>
      <c r="C5886" s="23" t="s">
        <v>11338</v>
      </c>
      <c r="D5886" s="13">
        <v>3</v>
      </c>
      <c r="E5886" s="176" t="s">
        <v>11339</v>
      </c>
      <c r="F5886" s="13" t="s">
        <v>11</v>
      </c>
    </row>
    <row r="5887" ht="18" customHeight="1" spans="1:6">
      <c r="A5887" s="13" t="s">
        <v>11312</v>
      </c>
      <c r="B5887" s="13" t="s">
        <v>11313</v>
      </c>
      <c r="C5887" s="23" t="s">
        <v>11340</v>
      </c>
      <c r="D5887" s="13">
        <v>6</v>
      </c>
      <c r="E5887" s="176" t="s">
        <v>11341</v>
      </c>
      <c r="F5887" s="13" t="s">
        <v>11</v>
      </c>
    </row>
    <row r="5888" ht="18" customHeight="1" spans="1:6">
      <c r="A5888" s="13" t="s">
        <v>11312</v>
      </c>
      <c r="B5888" s="13" t="s">
        <v>11313</v>
      </c>
      <c r="C5888" s="23" t="s">
        <v>11342</v>
      </c>
      <c r="D5888" s="13">
        <v>6</v>
      </c>
      <c r="E5888" s="176" t="s">
        <v>11343</v>
      </c>
      <c r="F5888" s="13" t="s">
        <v>11</v>
      </c>
    </row>
    <row r="5889" ht="18" customHeight="1" spans="1:6">
      <c r="A5889" s="13" t="s">
        <v>11312</v>
      </c>
      <c r="B5889" s="13" t="s">
        <v>11313</v>
      </c>
      <c r="C5889" s="23" t="s">
        <v>11344</v>
      </c>
      <c r="D5889" s="13">
        <v>4</v>
      </c>
      <c r="E5889" s="176" t="s">
        <v>11345</v>
      </c>
      <c r="F5889" s="13" t="s">
        <v>11</v>
      </c>
    </row>
    <row r="5890" ht="18" customHeight="1" spans="1:6">
      <c r="A5890" s="13" t="s">
        <v>11312</v>
      </c>
      <c r="B5890" s="13" t="s">
        <v>11313</v>
      </c>
      <c r="C5890" s="23" t="s">
        <v>11346</v>
      </c>
      <c r="D5890" s="13">
        <v>2</v>
      </c>
      <c r="E5890" s="176" t="s">
        <v>11347</v>
      </c>
      <c r="F5890" s="13" t="s">
        <v>11</v>
      </c>
    </row>
    <row r="5891" ht="18" customHeight="1" spans="1:6">
      <c r="A5891" s="13" t="s">
        <v>11312</v>
      </c>
      <c r="B5891" s="13" t="s">
        <v>11348</v>
      </c>
      <c r="C5891" s="13" t="s">
        <v>11349</v>
      </c>
      <c r="D5891" s="13">
        <v>1</v>
      </c>
      <c r="E5891" s="176" t="s">
        <v>11350</v>
      </c>
      <c r="F5891" s="13" t="s">
        <v>11</v>
      </c>
    </row>
    <row r="5892" ht="18" customHeight="1" spans="1:6">
      <c r="A5892" s="13" t="s">
        <v>11312</v>
      </c>
      <c r="B5892" s="13" t="s">
        <v>11348</v>
      </c>
      <c r="C5892" s="13" t="s">
        <v>11351</v>
      </c>
      <c r="D5892" s="13">
        <v>3</v>
      </c>
      <c r="E5892" s="176" t="s">
        <v>11352</v>
      </c>
      <c r="F5892" s="13" t="s">
        <v>11</v>
      </c>
    </row>
    <row r="5893" ht="18" customHeight="1" spans="1:6">
      <c r="A5893" s="13" t="s">
        <v>11312</v>
      </c>
      <c r="B5893" s="13" t="s">
        <v>11353</v>
      </c>
      <c r="C5893" s="13" t="s">
        <v>11354</v>
      </c>
      <c r="D5893" s="13">
        <v>1</v>
      </c>
      <c r="E5893" s="186" t="s">
        <v>11355</v>
      </c>
      <c r="F5893" s="13" t="s">
        <v>11</v>
      </c>
    </row>
    <row r="5894" ht="18" customHeight="1" spans="1:6">
      <c r="A5894" s="13" t="s">
        <v>11312</v>
      </c>
      <c r="B5894" s="13" t="s">
        <v>11356</v>
      </c>
      <c r="C5894" s="13" t="s">
        <v>11357</v>
      </c>
      <c r="D5894" s="13">
        <v>1</v>
      </c>
      <c r="E5894" s="179" t="s">
        <v>11358</v>
      </c>
      <c r="F5894" s="13" t="s">
        <v>11</v>
      </c>
    </row>
    <row r="5895" ht="18" customHeight="1" spans="1:6">
      <c r="A5895" s="13" t="s">
        <v>11312</v>
      </c>
      <c r="B5895" s="13" t="s">
        <v>11359</v>
      </c>
      <c r="C5895" s="141" t="s">
        <v>11360</v>
      </c>
      <c r="D5895" s="141">
        <v>1</v>
      </c>
      <c r="E5895" s="199" t="s">
        <v>11361</v>
      </c>
      <c r="F5895" s="13" t="s">
        <v>11</v>
      </c>
    </row>
    <row r="5896" ht="18" customHeight="1" spans="1:6">
      <c r="A5896" s="13" t="s">
        <v>11312</v>
      </c>
      <c r="B5896" s="13" t="s">
        <v>11359</v>
      </c>
      <c r="C5896" s="141" t="s">
        <v>11362</v>
      </c>
      <c r="D5896" s="141">
        <v>4</v>
      </c>
      <c r="E5896" s="210" t="s">
        <v>11363</v>
      </c>
      <c r="F5896" s="13" t="s">
        <v>11</v>
      </c>
    </row>
    <row r="5897" ht="18" customHeight="1" spans="1:6">
      <c r="A5897" s="13" t="s">
        <v>11312</v>
      </c>
      <c r="B5897" s="13" t="s">
        <v>11364</v>
      </c>
      <c r="C5897" s="13" t="s">
        <v>11365</v>
      </c>
      <c r="D5897" s="13">
        <v>6</v>
      </c>
      <c r="E5897" s="87" t="s">
        <v>11366</v>
      </c>
      <c r="F5897" s="13" t="s">
        <v>11</v>
      </c>
    </row>
    <row r="5898" ht="18" customHeight="1" spans="1:6">
      <c r="A5898" s="13" t="s">
        <v>11312</v>
      </c>
      <c r="B5898" s="13" t="s">
        <v>11364</v>
      </c>
      <c r="C5898" s="13" t="s">
        <v>4474</v>
      </c>
      <c r="D5898" s="13">
        <v>4</v>
      </c>
      <c r="E5898" s="87" t="s">
        <v>11367</v>
      </c>
      <c r="F5898" s="13" t="s">
        <v>11</v>
      </c>
    </row>
    <row r="5899" ht="18" customHeight="1" spans="1:6">
      <c r="A5899" s="13" t="s">
        <v>11312</v>
      </c>
      <c r="B5899" s="13" t="s">
        <v>11368</v>
      </c>
      <c r="C5899" s="13" t="s">
        <v>11369</v>
      </c>
      <c r="D5899" s="13">
        <v>4</v>
      </c>
      <c r="E5899" s="179" t="s">
        <v>11370</v>
      </c>
      <c r="F5899" s="13" t="s">
        <v>11</v>
      </c>
    </row>
    <row r="5900" ht="18" customHeight="1" spans="1:6">
      <c r="A5900" s="13" t="s">
        <v>11312</v>
      </c>
      <c r="B5900" s="13" t="s">
        <v>11368</v>
      </c>
      <c r="C5900" s="13" t="s">
        <v>11371</v>
      </c>
      <c r="D5900" s="13">
        <v>3</v>
      </c>
      <c r="E5900" s="179" t="s">
        <v>11372</v>
      </c>
      <c r="F5900" s="13" t="s">
        <v>11</v>
      </c>
    </row>
    <row r="5901" ht="18" customHeight="1" spans="1:6">
      <c r="A5901" s="13" t="s">
        <v>11312</v>
      </c>
      <c r="B5901" s="13" t="s">
        <v>11368</v>
      </c>
      <c r="C5901" s="13" t="s">
        <v>11373</v>
      </c>
      <c r="D5901" s="13">
        <v>2</v>
      </c>
      <c r="E5901" s="83" t="s">
        <v>11374</v>
      </c>
      <c r="F5901" s="13" t="s">
        <v>11</v>
      </c>
    </row>
    <row r="5902" ht="18" customHeight="1" spans="1:6">
      <c r="A5902" s="13" t="s">
        <v>11312</v>
      </c>
      <c r="B5902" s="13" t="s">
        <v>11368</v>
      </c>
      <c r="C5902" s="13" t="s">
        <v>11375</v>
      </c>
      <c r="D5902" s="13">
        <v>3</v>
      </c>
      <c r="E5902" s="83" t="s">
        <v>11376</v>
      </c>
      <c r="F5902" s="13" t="s">
        <v>11</v>
      </c>
    </row>
    <row r="5903" ht="18" customHeight="1" spans="1:6">
      <c r="A5903" s="13" t="s">
        <v>11312</v>
      </c>
      <c r="B5903" s="13" t="s">
        <v>11368</v>
      </c>
      <c r="C5903" s="13" t="s">
        <v>11377</v>
      </c>
      <c r="D5903" s="13">
        <v>2</v>
      </c>
      <c r="E5903" s="19" t="s">
        <v>11378</v>
      </c>
      <c r="F5903" s="13" t="s">
        <v>11</v>
      </c>
    </row>
    <row r="5904" ht="18" customHeight="1" spans="1:6">
      <c r="A5904" s="13" t="s">
        <v>11312</v>
      </c>
      <c r="B5904" s="13" t="s">
        <v>11368</v>
      </c>
      <c r="C5904" s="13" t="s">
        <v>11379</v>
      </c>
      <c r="D5904" s="13">
        <v>5</v>
      </c>
      <c r="E5904" s="141" t="s">
        <v>11380</v>
      </c>
      <c r="F5904" s="13" t="s">
        <v>11</v>
      </c>
    </row>
    <row r="5905" ht="18" customHeight="1" spans="1:6">
      <c r="A5905" s="13" t="s">
        <v>11312</v>
      </c>
      <c r="B5905" s="13" t="s">
        <v>11368</v>
      </c>
      <c r="C5905" s="13" t="s">
        <v>11381</v>
      </c>
      <c r="D5905" s="13">
        <v>1</v>
      </c>
      <c r="E5905" s="141" t="s">
        <v>11382</v>
      </c>
      <c r="F5905" s="13" t="s">
        <v>11</v>
      </c>
    </row>
    <row r="5906" ht="18" customHeight="1" spans="1:6">
      <c r="A5906" s="13" t="s">
        <v>11312</v>
      </c>
      <c r="B5906" s="13" t="s">
        <v>11368</v>
      </c>
      <c r="C5906" s="13" t="s">
        <v>11383</v>
      </c>
      <c r="D5906" s="13">
        <v>1</v>
      </c>
      <c r="E5906" s="19" t="s">
        <v>11384</v>
      </c>
      <c r="F5906" s="13" t="s">
        <v>11</v>
      </c>
    </row>
    <row r="5907" ht="18" customHeight="1" spans="1:6">
      <c r="A5907" s="13" t="s">
        <v>11312</v>
      </c>
      <c r="B5907" s="13" t="s">
        <v>11368</v>
      </c>
      <c r="C5907" s="13" t="s">
        <v>11385</v>
      </c>
      <c r="D5907" s="13">
        <v>4</v>
      </c>
      <c r="E5907" s="152" t="s">
        <v>11386</v>
      </c>
      <c r="F5907" s="13" t="s">
        <v>11</v>
      </c>
    </row>
    <row r="5908" ht="18" customHeight="1" spans="1:6">
      <c r="A5908" s="13" t="s">
        <v>11312</v>
      </c>
      <c r="B5908" s="13" t="s">
        <v>11368</v>
      </c>
      <c r="C5908" s="13" t="s">
        <v>11387</v>
      </c>
      <c r="D5908" s="13">
        <v>3</v>
      </c>
      <c r="E5908" s="5" t="str">
        <f>LEFT("422626196106108129",19)</f>
        <v>422626196106108129</v>
      </c>
      <c r="F5908" s="13" t="s">
        <v>11</v>
      </c>
    </row>
    <row r="5909" ht="18" customHeight="1" spans="1:6">
      <c r="A5909" s="13" t="s">
        <v>11388</v>
      </c>
      <c r="B5909" s="13"/>
      <c r="C5909" s="13">
        <v>37</v>
      </c>
      <c r="D5909" s="13">
        <v>122</v>
      </c>
      <c r="E5909" s="13"/>
      <c r="F5909" s="13"/>
    </row>
    <row r="5910" ht="18" customHeight="1" spans="1:6">
      <c r="A5910" s="13" t="s">
        <v>11389</v>
      </c>
      <c r="B5910" s="13" t="s">
        <v>11390</v>
      </c>
      <c r="C5910" s="13" t="s">
        <v>11391</v>
      </c>
      <c r="D5910" s="13">
        <v>3</v>
      </c>
      <c r="E5910" s="5" t="str">
        <f>LEFT("422626197005067916",19)</f>
        <v>422626197005067916</v>
      </c>
      <c r="F5910" s="13" t="s">
        <v>11</v>
      </c>
    </row>
    <row r="5911" ht="18" customHeight="1" spans="1:6">
      <c r="A5911" s="13" t="s">
        <v>11389</v>
      </c>
      <c r="B5911" s="13" t="s">
        <v>11392</v>
      </c>
      <c r="C5911" s="13" t="s">
        <v>11393</v>
      </c>
      <c r="D5911" s="13">
        <v>5</v>
      </c>
      <c r="E5911" s="5" t="str">
        <f>LEFT("422626197001267910",19)</f>
        <v>422626197001267910</v>
      </c>
      <c r="F5911" s="13" t="s">
        <v>11</v>
      </c>
    </row>
    <row r="5912" ht="18" customHeight="1" spans="1:6">
      <c r="A5912" s="13" t="s">
        <v>11389</v>
      </c>
      <c r="B5912" s="13" t="s">
        <v>11392</v>
      </c>
      <c r="C5912" s="13" t="s">
        <v>11394</v>
      </c>
      <c r="D5912" s="13">
        <v>6</v>
      </c>
      <c r="E5912" s="5" t="str">
        <f>LEFT("422626195612057913",19)</f>
        <v>422626195612057913</v>
      </c>
      <c r="F5912" s="13" t="s">
        <v>11</v>
      </c>
    </row>
    <row r="5913" ht="18" customHeight="1" spans="1:6">
      <c r="A5913" s="13" t="s">
        <v>11389</v>
      </c>
      <c r="B5913" s="13" t="s">
        <v>11392</v>
      </c>
      <c r="C5913" s="13" t="s">
        <v>11395</v>
      </c>
      <c r="D5913" s="13">
        <v>1</v>
      </c>
      <c r="E5913" s="13" t="s">
        <v>11396</v>
      </c>
      <c r="F5913" s="13" t="s">
        <v>11</v>
      </c>
    </row>
    <row r="5914" ht="18" customHeight="1" spans="1:6">
      <c r="A5914" s="13" t="s">
        <v>11389</v>
      </c>
      <c r="B5914" s="13" t="s">
        <v>11390</v>
      </c>
      <c r="C5914" s="13" t="s">
        <v>11397</v>
      </c>
      <c r="D5914" s="13">
        <v>1</v>
      </c>
      <c r="E5914" s="179" t="s">
        <v>11398</v>
      </c>
      <c r="F5914" s="13" t="s">
        <v>11</v>
      </c>
    </row>
    <row r="5915" ht="18" customHeight="1" spans="1:6">
      <c r="A5915" s="13" t="s">
        <v>11389</v>
      </c>
      <c r="B5915" s="13" t="s">
        <v>11390</v>
      </c>
      <c r="C5915" s="13" t="s">
        <v>11399</v>
      </c>
      <c r="D5915" s="13">
        <v>4</v>
      </c>
      <c r="E5915" s="13" t="s">
        <v>11400</v>
      </c>
      <c r="F5915" s="13" t="s">
        <v>11</v>
      </c>
    </row>
    <row r="5916" ht="18" customHeight="1" spans="1:6">
      <c r="A5916" s="13" t="s">
        <v>11389</v>
      </c>
      <c r="B5916" s="13" t="s">
        <v>11390</v>
      </c>
      <c r="C5916" s="13" t="s">
        <v>11401</v>
      </c>
      <c r="D5916" s="13">
        <v>1</v>
      </c>
      <c r="E5916" s="179" t="s">
        <v>11402</v>
      </c>
      <c r="F5916" s="13" t="s">
        <v>11</v>
      </c>
    </row>
    <row r="5917" ht="18" customHeight="1" spans="1:6">
      <c r="A5917" s="13" t="s">
        <v>11389</v>
      </c>
      <c r="B5917" s="13" t="s">
        <v>11390</v>
      </c>
      <c r="C5917" s="13" t="s">
        <v>11403</v>
      </c>
      <c r="D5917" s="13">
        <v>3</v>
      </c>
      <c r="E5917" s="13" t="s">
        <v>11404</v>
      </c>
      <c r="F5917" s="13" t="s">
        <v>11</v>
      </c>
    </row>
    <row r="5918" ht="18" customHeight="1" spans="1:6">
      <c r="A5918" s="13" t="s">
        <v>11389</v>
      </c>
      <c r="B5918" s="13" t="s">
        <v>11405</v>
      </c>
      <c r="C5918" s="13" t="s">
        <v>11406</v>
      </c>
      <c r="D5918" s="13">
        <v>2</v>
      </c>
      <c r="E5918" s="13" t="s">
        <v>11407</v>
      </c>
      <c r="F5918" s="13" t="s">
        <v>11</v>
      </c>
    </row>
    <row r="5919" ht="18" customHeight="1" spans="1:6">
      <c r="A5919" s="13" t="s">
        <v>11389</v>
      </c>
      <c r="B5919" s="13" t="s">
        <v>11405</v>
      </c>
      <c r="C5919" s="13" t="s">
        <v>11408</v>
      </c>
      <c r="D5919" s="13">
        <v>2</v>
      </c>
      <c r="E5919" s="13" t="s">
        <v>11409</v>
      </c>
      <c r="F5919" s="13" t="s">
        <v>11</v>
      </c>
    </row>
    <row r="5920" ht="18" customHeight="1" spans="1:6">
      <c r="A5920" s="13" t="s">
        <v>11389</v>
      </c>
      <c r="B5920" s="13" t="s">
        <v>11390</v>
      </c>
      <c r="C5920" s="13" t="s">
        <v>11410</v>
      </c>
      <c r="D5920" s="13">
        <v>3</v>
      </c>
      <c r="E5920" s="5" t="str">
        <f>LEFT("420325193803177914",19)</f>
        <v>420325193803177914</v>
      </c>
      <c r="F5920" s="13" t="s">
        <v>11</v>
      </c>
    </row>
    <row r="5921" ht="18" customHeight="1" spans="1:6">
      <c r="A5921" s="13" t="s">
        <v>11389</v>
      </c>
      <c r="B5921" s="13" t="s">
        <v>11390</v>
      </c>
      <c r="C5921" s="13" t="s">
        <v>11411</v>
      </c>
      <c r="D5921" s="13">
        <v>3</v>
      </c>
      <c r="E5921" s="5" t="str">
        <f>LEFT("420325195404057914",19)</f>
        <v>420325195404057914</v>
      </c>
      <c r="F5921" s="13" t="s">
        <v>11</v>
      </c>
    </row>
    <row r="5922" ht="18" customHeight="1" spans="1:6">
      <c r="A5922" s="13" t="s">
        <v>11389</v>
      </c>
      <c r="B5922" s="13" t="s">
        <v>11412</v>
      </c>
      <c r="C5922" s="13" t="s">
        <v>11413</v>
      </c>
      <c r="D5922" s="13">
        <v>1</v>
      </c>
      <c r="E5922" s="5" t="str">
        <f>LEFT("422626193904284510",19)</f>
        <v>422626193904284510</v>
      </c>
      <c r="F5922" s="13" t="s">
        <v>11</v>
      </c>
    </row>
    <row r="5923" ht="18" customHeight="1" spans="1:6">
      <c r="A5923" s="13" t="s">
        <v>11389</v>
      </c>
      <c r="B5923" s="13" t="s">
        <v>11412</v>
      </c>
      <c r="C5923" s="13" t="s">
        <v>11414</v>
      </c>
      <c r="D5923" s="13">
        <v>2</v>
      </c>
      <c r="E5923" s="5" t="str">
        <f>LEFT("422626193110187911",19)</f>
        <v>422626193110187911</v>
      </c>
      <c r="F5923" s="13" t="s">
        <v>11</v>
      </c>
    </row>
    <row r="5924" ht="18" customHeight="1" spans="1:6">
      <c r="A5924" s="13" t="s">
        <v>11389</v>
      </c>
      <c r="B5924" s="13" t="s">
        <v>11412</v>
      </c>
      <c r="C5924" s="13" t="s">
        <v>11415</v>
      </c>
      <c r="D5924" s="13">
        <v>2</v>
      </c>
      <c r="E5924" s="5" t="str">
        <f>LEFT("422626194409037912",19)</f>
        <v>422626194409037912</v>
      </c>
      <c r="F5924" s="13" t="s">
        <v>11</v>
      </c>
    </row>
    <row r="5925" ht="18" customHeight="1" spans="1:6">
      <c r="A5925" s="13" t="s">
        <v>11389</v>
      </c>
      <c r="B5925" s="13" t="s">
        <v>11412</v>
      </c>
      <c r="C5925" s="13" t="s">
        <v>11416</v>
      </c>
      <c r="D5925" s="13">
        <v>3</v>
      </c>
      <c r="E5925" s="5" t="str">
        <f>LEFT("422626195606207911",19)</f>
        <v>422626195606207911</v>
      </c>
      <c r="F5925" s="13" t="s">
        <v>11</v>
      </c>
    </row>
    <row r="5926" ht="18" customHeight="1" spans="1:6">
      <c r="A5926" s="13" t="s">
        <v>11389</v>
      </c>
      <c r="B5926" s="13" t="s">
        <v>11417</v>
      </c>
      <c r="C5926" s="13" t="s">
        <v>11418</v>
      </c>
      <c r="D5926" s="13">
        <v>2</v>
      </c>
      <c r="E5926" s="5" t="str">
        <f>LEFT("422626193701157917",19)</f>
        <v>422626193701157917</v>
      </c>
      <c r="F5926" s="13" t="s">
        <v>11</v>
      </c>
    </row>
    <row r="5927" ht="18" customHeight="1" spans="1:6">
      <c r="A5927" s="13" t="s">
        <v>11389</v>
      </c>
      <c r="B5927" s="13" t="s">
        <v>11417</v>
      </c>
      <c r="C5927" s="13" t="s">
        <v>11419</v>
      </c>
      <c r="D5927" s="13">
        <v>2</v>
      </c>
      <c r="E5927" s="5" t="str">
        <f>LEFT("42262619490710791X",19)</f>
        <v>42262619490710791X</v>
      </c>
      <c r="F5927" s="13" t="s">
        <v>11</v>
      </c>
    </row>
    <row r="5928" ht="18" customHeight="1" spans="1:6">
      <c r="A5928" s="13" t="s">
        <v>11389</v>
      </c>
      <c r="B5928" s="13" t="s">
        <v>11417</v>
      </c>
      <c r="C5928" s="13" t="s">
        <v>11420</v>
      </c>
      <c r="D5928" s="13">
        <v>2</v>
      </c>
      <c r="E5928" s="5" t="str">
        <f>LEFT("422626196710307917",19)</f>
        <v>422626196710307917</v>
      </c>
      <c r="F5928" s="13" t="s">
        <v>11</v>
      </c>
    </row>
    <row r="5929" ht="18" customHeight="1" spans="1:6">
      <c r="A5929" s="13" t="s">
        <v>11389</v>
      </c>
      <c r="B5929" s="13" t="s">
        <v>11417</v>
      </c>
      <c r="C5929" s="13" t="s">
        <v>11421</v>
      </c>
      <c r="D5929" s="13">
        <v>3</v>
      </c>
      <c r="E5929" s="5" t="str">
        <f>LEFT("422626196205317911",19)</f>
        <v>422626196205317911</v>
      </c>
      <c r="F5929" s="13" t="s">
        <v>11</v>
      </c>
    </row>
    <row r="5930" ht="18" customHeight="1" spans="1:6">
      <c r="A5930" s="13" t="s">
        <v>11389</v>
      </c>
      <c r="B5930" s="13" t="s">
        <v>11417</v>
      </c>
      <c r="C5930" s="13" t="s">
        <v>11422</v>
      </c>
      <c r="D5930" s="13">
        <v>3</v>
      </c>
      <c r="E5930" s="5" t="str">
        <f>LEFT("422626197901067914",19)</f>
        <v>422626197901067914</v>
      </c>
      <c r="F5930" s="13" t="s">
        <v>11</v>
      </c>
    </row>
    <row r="5931" ht="18" customHeight="1" spans="1:6">
      <c r="A5931" s="13" t="s">
        <v>11389</v>
      </c>
      <c r="B5931" s="13" t="s">
        <v>11417</v>
      </c>
      <c r="C5931" s="13" t="s">
        <v>11423</v>
      </c>
      <c r="D5931" s="13">
        <v>3</v>
      </c>
      <c r="E5931" s="5" t="str">
        <f>LEFT("422626198112307916",19)</f>
        <v>422626198112307916</v>
      </c>
      <c r="F5931" s="13" t="s">
        <v>11</v>
      </c>
    </row>
    <row r="5932" ht="18" customHeight="1" spans="1:6">
      <c r="A5932" s="13" t="s">
        <v>11389</v>
      </c>
      <c r="B5932" s="13" t="s">
        <v>11417</v>
      </c>
      <c r="C5932" s="13" t="s">
        <v>11424</v>
      </c>
      <c r="D5932" s="13">
        <v>3</v>
      </c>
      <c r="E5932" s="5" t="str">
        <f>LEFT("422626194512197914",19)</f>
        <v>422626194512197914</v>
      </c>
      <c r="F5932" s="13" t="s">
        <v>11</v>
      </c>
    </row>
    <row r="5933" ht="18" customHeight="1" spans="1:6">
      <c r="A5933" s="13" t="s">
        <v>11389</v>
      </c>
      <c r="B5933" s="13" t="s">
        <v>11417</v>
      </c>
      <c r="C5933" s="13" t="s">
        <v>11425</v>
      </c>
      <c r="D5933" s="13">
        <v>6</v>
      </c>
      <c r="E5933" s="5" t="str">
        <f>LEFT("422626195212017912",19)</f>
        <v>422626195212017912</v>
      </c>
      <c r="F5933" s="13" t="s">
        <v>11</v>
      </c>
    </row>
    <row r="5934" ht="18" customHeight="1" spans="1:6">
      <c r="A5934" s="13" t="s">
        <v>11389</v>
      </c>
      <c r="B5934" s="13" t="s">
        <v>11426</v>
      </c>
      <c r="C5934" s="13" t="s">
        <v>11427</v>
      </c>
      <c r="D5934" s="13">
        <v>2</v>
      </c>
      <c r="E5934" s="5" t="str">
        <f>LEFT("422626194504197914",19)</f>
        <v>422626194504197914</v>
      </c>
      <c r="F5934" s="13" t="s">
        <v>11</v>
      </c>
    </row>
    <row r="5935" ht="18" customHeight="1" spans="1:6">
      <c r="A5935" s="13" t="s">
        <v>11389</v>
      </c>
      <c r="B5935" s="13" t="s">
        <v>11426</v>
      </c>
      <c r="C5935" s="13" t="s">
        <v>6791</v>
      </c>
      <c r="D5935" s="13">
        <v>2</v>
      </c>
      <c r="E5935" s="5" t="str">
        <f>LEFT("422626194808297914",19)</f>
        <v>422626194808297914</v>
      </c>
      <c r="F5935" s="13" t="s">
        <v>11</v>
      </c>
    </row>
    <row r="5936" ht="18" customHeight="1" spans="1:6">
      <c r="A5936" s="13" t="s">
        <v>11389</v>
      </c>
      <c r="B5936" s="13" t="s">
        <v>11426</v>
      </c>
      <c r="C5936" s="13" t="s">
        <v>11428</v>
      </c>
      <c r="D5936" s="13">
        <v>3</v>
      </c>
      <c r="E5936" s="5" t="str">
        <f>LEFT("422626196104107915",19)</f>
        <v>422626196104107915</v>
      </c>
      <c r="F5936" s="13" t="s">
        <v>11</v>
      </c>
    </row>
    <row r="5937" ht="18" customHeight="1" spans="1:6">
      <c r="A5937" s="13" t="s">
        <v>11389</v>
      </c>
      <c r="B5937" s="13" t="s">
        <v>11426</v>
      </c>
      <c r="C5937" s="13" t="s">
        <v>11429</v>
      </c>
      <c r="D5937" s="13">
        <v>4</v>
      </c>
      <c r="E5937" s="5" t="str">
        <f>LEFT("420325196904287913",19)</f>
        <v>420325196904287913</v>
      </c>
      <c r="F5937" s="13" t="s">
        <v>11</v>
      </c>
    </row>
    <row r="5938" ht="18" customHeight="1" spans="1:6">
      <c r="A5938" s="13" t="s">
        <v>11389</v>
      </c>
      <c r="B5938" s="13" t="s">
        <v>11426</v>
      </c>
      <c r="C5938" s="13" t="s">
        <v>11430</v>
      </c>
      <c r="D5938" s="13">
        <v>6</v>
      </c>
      <c r="E5938" s="5" t="str">
        <f>LEFT("422626195703277911",19)</f>
        <v>422626195703277911</v>
      </c>
      <c r="F5938" s="13" t="s">
        <v>11</v>
      </c>
    </row>
    <row r="5939" ht="18" customHeight="1" spans="1:6">
      <c r="A5939" s="13" t="s">
        <v>11389</v>
      </c>
      <c r="B5939" s="13" t="s">
        <v>11426</v>
      </c>
      <c r="C5939" s="13" t="s">
        <v>11431</v>
      </c>
      <c r="D5939" s="13">
        <v>7</v>
      </c>
      <c r="E5939" s="5" t="str">
        <f>LEFT("422626195809067912",19)</f>
        <v>422626195809067912</v>
      </c>
      <c r="F5939" s="13" t="s">
        <v>11</v>
      </c>
    </row>
    <row r="5940" ht="18" customHeight="1" spans="1:6">
      <c r="A5940" s="13" t="s">
        <v>11389</v>
      </c>
      <c r="B5940" s="13" t="s">
        <v>11426</v>
      </c>
      <c r="C5940" s="13" t="s">
        <v>11432</v>
      </c>
      <c r="D5940" s="13">
        <v>3</v>
      </c>
      <c r="E5940" s="5" t="str">
        <f>LEFT("422626196601117911",19)</f>
        <v>422626196601117911</v>
      </c>
      <c r="F5940" s="13" t="s">
        <v>11</v>
      </c>
    </row>
    <row r="5941" ht="18" customHeight="1" spans="1:6">
      <c r="A5941" s="13" t="s">
        <v>11389</v>
      </c>
      <c r="B5941" s="13" t="s">
        <v>11426</v>
      </c>
      <c r="C5941" s="13" t="s">
        <v>11433</v>
      </c>
      <c r="D5941" s="13">
        <v>3</v>
      </c>
      <c r="E5941" s="5" t="str">
        <f>LEFT("422626195211117911",19)</f>
        <v>422626195211117911</v>
      </c>
      <c r="F5941" s="13" t="s">
        <v>11</v>
      </c>
    </row>
    <row r="5942" ht="18" customHeight="1" spans="1:6">
      <c r="A5942" s="13" t="s">
        <v>11389</v>
      </c>
      <c r="B5942" s="13" t="s">
        <v>11434</v>
      </c>
      <c r="C5942" s="13" t="s">
        <v>11435</v>
      </c>
      <c r="D5942" s="13">
        <v>2</v>
      </c>
      <c r="E5942" s="10" t="s">
        <v>11436</v>
      </c>
      <c r="F5942" s="13" t="s">
        <v>11</v>
      </c>
    </row>
    <row r="5943" ht="18" customHeight="1" spans="1:6">
      <c r="A5943" s="13" t="s">
        <v>11389</v>
      </c>
      <c r="B5943" s="13" t="s">
        <v>11434</v>
      </c>
      <c r="C5943" s="13" t="s">
        <v>11437</v>
      </c>
      <c r="D5943" s="13">
        <v>5</v>
      </c>
      <c r="E5943" s="179" t="s">
        <v>11438</v>
      </c>
      <c r="F5943" s="13" t="s">
        <v>11</v>
      </c>
    </row>
    <row r="5944" ht="18" customHeight="1" spans="1:6">
      <c r="A5944" s="13" t="s">
        <v>11389</v>
      </c>
      <c r="B5944" s="13" t="s">
        <v>11439</v>
      </c>
      <c r="C5944" s="13" t="s">
        <v>11440</v>
      </c>
      <c r="D5944" s="13">
        <v>2</v>
      </c>
      <c r="E5944" s="10" t="s">
        <v>11441</v>
      </c>
      <c r="F5944" s="13" t="s">
        <v>11</v>
      </c>
    </row>
    <row r="5945" ht="18" customHeight="1" spans="1:6">
      <c r="A5945" s="13" t="s">
        <v>11389</v>
      </c>
      <c r="B5945" s="13" t="s">
        <v>11439</v>
      </c>
      <c r="C5945" s="13" t="s">
        <v>11442</v>
      </c>
      <c r="D5945" s="13">
        <v>2</v>
      </c>
      <c r="E5945" s="10" t="s">
        <v>11443</v>
      </c>
      <c r="F5945" s="13" t="s">
        <v>11</v>
      </c>
    </row>
    <row r="5946" ht="18" customHeight="1" spans="1:6">
      <c r="A5946" s="13" t="s">
        <v>11389</v>
      </c>
      <c r="B5946" s="13" t="s">
        <v>11439</v>
      </c>
      <c r="C5946" s="13" t="s">
        <v>11444</v>
      </c>
      <c r="D5946" s="13">
        <v>2</v>
      </c>
      <c r="E5946" s="10" t="s">
        <v>11445</v>
      </c>
      <c r="F5946" s="13" t="s">
        <v>11</v>
      </c>
    </row>
    <row r="5947" ht="18" customHeight="1" spans="1:6">
      <c r="A5947" s="13" t="s">
        <v>11389</v>
      </c>
      <c r="B5947" s="13" t="s">
        <v>11439</v>
      </c>
      <c r="C5947" s="13" t="s">
        <v>11446</v>
      </c>
      <c r="D5947" s="13">
        <v>1</v>
      </c>
      <c r="E5947" s="5" t="s">
        <v>11447</v>
      </c>
      <c r="F5947" s="13" t="s">
        <v>11</v>
      </c>
    </row>
    <row r="5948" ht="18" customHeight="1" spans="1:6">
      <c r="A5948" s="13" t="s">
        <v>11389</v>
      </c>
      <c r="B5948" s="13" t="s">
        <v>11439</v>
      </c>
      <c r="C5948" s="13" t="s">
        <v>11448</v>
      </c>
      <c r="D5948" s="13">
        <v>3</v>
      </c>
      <c r="E5948" s="5" t="s">
        <v>11449</v>
      </c>
      <c r="F5948" s="13" t="s">
        <v>11</v>
      </c>
    </row>
    <row r="5949" ht="18" customHeight="1" spans="1:6">
      <c r="A5949" s="13" t="s">
        <v>11389</v>
      </c>
      <c r="B5949" s="13" t="s">
        <v>11439</v>
      </c>
      <c r="C5949" s="13" t="s">
        <v>11450</v>
      </c>
      <c r="D5949" s="13">
        <v>4</v>
      </c>
      <c r="E5949" s="179" t="s">
        <v>11451</v>
      </c>
      <c r="F5949" s="13" t="s">
        <v>11</v>
      </c>
    </row>
    <row r="5950" ht="18" customHeight="1" spans="1:6">
      <c r="A5950" s="13" t="s">
        <v>11389</v>
      </c>
      <c r="B5950" s="13" t="s">
        <v>11439</v>
      </c>
      <c r="C5950" s="13" t="s">
        <v>11452</v>
      </c>
      <c r="D5950" s="13">
        <v>1</v>
      </c>
      <c r="E5950" s="179" t="s">
        <v>11453</v>
      </c>
      <c r="F5950" s="13" t="s">
        <v>11</v>
      </c>
    </row>
    <row r="5951" ht="18" customHeight="1" spans="1:6">
      <c r="A5951" s="13" t="s">
        <v>11389</v>
      </c>
      <c r="B5951" s="13" t="s">
        <v>11439</v>
      </c>
      <c r="C5951" s="13" t="s">
        <v>11454</v>
      </c>
      <c r="D5951" s="13">
        <v>1</v>
      </c>
      <c r="E5951" s="179" t="s">
        <v>11455</v>
      </c>
      <c r="F5951" s="13" t="s">
        <v>11</v>
      </c>
    </row>
    <row r="5952" ht="18" customHeight="1" spans="1:6">
      <c r="A5952" s="13" t="s">
        <v>11389</v>
      </c>
      <c r="B5952" s="13" t="s">
        <v>11456</v>
      </c>
      <c r="C5952" s="13" t="s">
        <v>11457</v>
      </c>
      <c r="D5952" s="13">
        <v>2</v>
      </c>
      <c r="E5952" s="179" t="s">
        <v>11458</v>
      </c>
      <c r="F5952" s="13" t="s">
        <v>11</v>
      </c>
    </row>
    <row r="5953" ht="18" customHeight="1" spans="1:6">
      <c r="A5953" s="13" t="s">
        <v>11389</v>
      </c>
      <c r="B5953" s="13" t="s">
        <v>11456</v>
      </c>
      <c r="C5953" s="13" t="s">
        <v>11459</v>
      </c>
      <c r="D5953" s="13">
        <v>4</v>
      </c>
      <c r="E5953" s="179" t="s">
        <v>11460</v>
      </c>
      <c r="F5953" s="13" t="s">
        <v>11</v>
      </c>
    </row>
    <row r="5954" ht="18" customHeight="1" spans="1:6">
      <c r="A5954" s="13" t="s">
        <v>11389</v>
      </c>
      <c r="B5954" s="13" t="s">
        <v>11434</v>
      </c>
      <c r="C5954" s="5" t="s">
        <v>11461</v>
      </c>
      <c r="D5954" s="13">
        <v>1</v>
      </c>
      <c r="E5954" s="5" t="s">
        <v>11462</v>
      </c>
      <c r="F5954" s="13" t="s">
        <v>11</v>
      </c>
    </row>
    <row r="5955" ht="18" customHeight="1" spans="1:6">
      <c r="A5955" s="13" t="s">
        <v>11389</v>
      </c>
      <c r="B5955" s="13" t="s">
        <v>11434</v>
      </c>
      <c r="C5955" s="5" t="s">
        <v>11463</v>
      </c>
      <c r="D5955" s="13">
        <v>1</v>
      </c>
      <c r="E5955" s="5" t="s">
        <v>11464</v>
      </c>
      <c r="F5955" s="13" t="s">
        <v>11</v>
      </c>
    </row>
    <row r="5956" ht="18" customHeight="1" spans="1:6">
      <c r="A5956" s="13" t="s">
        <v>11389</v>
      </c>
      <c r="B5956" s="13" t="s">
        <v>11434</v>
      </c>
      <c r="C5956" s="5" t="s">
        <v>11465</v>
      </c>
      <c r="D5956" s="13">
        <v>1</v>
      </c>
      <c r="E5956" s="5" t="s">
        <v>11466</v>
      </c>
      <c r="F5956" s="13" t="s">
        <v>11</v>
      </c>
    </row>
    <row r="5957" ht="18" customHeight="1" spans="1:6">
      <c r="A5957" s="13" t="s">
        <v>11389</v>
      </c>
      <c r="B5957" s="13" t="s">
        <v>11434</v>
      </c>
      <c r="C5957" s="5" t="s">
        <v>11467</v>
      </c>
      <c r="D5957" s="13">
        <v>1</v>
      </c>
      <c r="E5957" s="5" t="s">
        <v>11468</v>
      </c>
      <c r="F5957" s="13" t="s">
        <v>11</v>
      </c>
    </row>
    <row r="5958" ht="18" customHeight="1" spans="1:6">
      <c r="A5958" s="13" t="s">
        <v>11389</v>
      </c>
      <c r="B5958" s="13" t="s">
        <v>11434</v>
      </c>
      <c r="C5958" s="5" t="s">
        <v>11469</v>
      </c>
      <c r="D5958" s="13">
        <v>1</v>
      </c>
      <c r="E5958" s="5" t="s">
        <v>11470</v>
      </c>
      <c r="F5958" s="13" t="s">
        <v>11</v>
      </c>
    </row>
    <row r="5959" ht="18" customHeight="1" spans="1:6">
      <c r="A5959" s="13" t="s">
        <v>11389</v>
      </c>
      <c r="B5959" s="13" t="s">
        <v>11434</v>
      </c>
      <c r="C5959" s="5" t="s">
        <v>11471</v>
      </c>
      <c r="D5959" s="13">
        <v>1</v>
      </c>
      <c r="E5959" s="5" t="s">
        <v>11472</v>
      </c>
      <c r="F5959" s="13" t="s">
        <v>11</v>
      </c>
    </row>
    <row r="5960" ht="18" customHeight="1" spans="1:6">
      <c r="A5960" s="13" t="s">
        <v>11389</v>
      </c>
      <c r="B5960" s="13" t="s">
        <v>11434</v>
      </c>
      <c r="C5960" s="5" t="s">
        <v>11473</v>
      </c>
      <c r="D5960" s="13">
        <v>1</v>
      </c>
      <c r="E5960" s="5" t="s">
        <v>11474</v>
      </c>
      <c r="F5960" s="13" t="s">
        <v>11</v>
      </c>
    </row>
    <row r="5961" ht="18" customHeight="1" spans="1:6">
      <c r="A5961" s="13" t="s">
        <v>11389</v>
      </c>
      <c r="B5961" s="13" t="s">
        <v>11434</v>
      </c>
      <c r="C5961" s="5" t="s">
        <v>11475</v>
      </c>
      <c r="D5961" s="13">
        <v>1</v>
      </c>
      <c r="E5961" s="5" t="s">
        <v>11476</v>
      </c>
      <c r="F5961" s="13" t="s">
        <v>11</v>
      </c>
    </row>
    <row r="5962" ht="18" customHeight="1" spans="1:6">
      <c r="A5962" s="13" t="s">
        <v>11389</v>
      </c>
      <c r="B5962" s="13" t="s">
        <v>11434</v>
      </c>
      <c r="C5962" s="5" t="s">
        <v>11477</v>
      </c>
      <c r="D5962" s="13">
        <v>1</v>
      </c>
      <c r="E5962" s="5" t="s">
        <v>11478</v>
      </c>
      <c r="F5962" s="13" t="s">
        <v>11</v>
      </c>
    </row>
    <row r="5963" ht="18" customHeight="1" spans="1:6">
      <c r="A5963" s="13" t="s">
        <v>11389</v>
      </c>
      <c r="B5963" s="13" t="s">
        <v>11434</v>
      </c>
      <c r="C5963" s="5" t="s">
        <v>11479</v>
      </c>
      <c r="D5963" s="13">
        <v>1</v>
      </c>
      <c r="E5963" s="5" t="s">
        <v>11480</v>
      </c>
      <c r="F5963" s="13" t="s">
        <v>11</v>
      </c>
    </row>
    <row r="5964" ht="18" customHeight="1" spans="1:6">
      <c r="A5964" s="13" t="s">
        <v>11389</v>
      </c>
      <c r="B5964" s="13" t="s">
        <v>11439</v>
      </c>
      <c r="C5964" s="5" t="s">
        <v>11481</v>
      </c>
      <c r="D5964" s="13">
        <v>1</v>
      </c>
      <c r="E5964" s="5" t="s">
        <v>11482</v>
      </c>
      <c r="F5964" s="13" t="s">
        <v>11</v>
      </c>
    </row>
    <row r="5965" ht="18" customHeight="1" spans="1:6">
      <c r="A5965" s="13" t="s">
        <v>11389</v>
      </c>
      <c r="B5965" s="13" t="s">
        <v>11439</v>
      </c>
      <c r="C5965" s="5" t="s">
        <v>11483</v>
      </c>
      <c r="D5965" s="13">
        <v>1</v>
      </c>
      <c r="E5965" s="5" t="s">
        <v>11484</v>
      </c>
      <c r="F5965" s="13" t="s">
        <v>11</v>
      </c>
    </row>
    <row r="5966" ht="18" customHeight="1" spans="1:6">
      <c r="A5966" s="13" t="s">
        <v>11389</v>
      </c>
      <c r="B5966" s="13" t="s">
        <v>11439</v>
      </c>
      <c r="C5966" s="5" t="s">
        <v>11485</v>
      </c>
      <c r="D5966" s="13">
        <v>1</v>
      </c>
      <c r="E5966" s="5" t="s">
        <v>11486</v>
      </c>
      <c r="F5966" s="13" t="s">
        <v>11</v>
      </c>
    </row>
    <row r="5967" ht="18" customHeight="1" spans="1:6">
      <c r="A5967" s="13" t="s">
        <v>11389</v>
      </c>
      <c r="B5967" s="13" t="s">
        <v>11439</v>
      </c>
      <c r="C5967" s="5" t="s">
        <v>11487</v>
      </c>
      <c r="D5967" s="13">
        <v>1</v>
      </c>
      <c r="E5967" s="5" t="s">
        <v>11488</v>
      </c>
      <c r="F5967" s="13" t="s">
        <v>11</v>
      </c>
    </row>
    <row r="5968" ht="18" customHeight="1" spans="1:6">
      <c r="A5968" s="13" t="s">
        <v>11389</v>
      </c>
      <c r="B5968" s="13" t="s">
        <v>11439</v>
      </c>
      <c r="C5968" s="5" t="s">
        <v>11489</v>
      </c>
      <c r="D5968" s="13">
        <v>1</v>
      </c>
      <c r="E5968" s="5" t="s">
        <v>11490</v>
      </c>
      <c r="F5968" s="13" t="s">
        <v>11</v>
      </c>
    </row>
    <row r="5969" ht="18" customHeight="1" spans="1:6">
      <c r="A5969" s="13" t="s">
        <v>11389</v>
      </c>
      <c r="B5969" s="13" t="s">
        <v>11439</v>
      </c>
      <c r="C5969" s="5" t="s">
        <v>11491</v>
      </c>
      <c r="D5969" s="13">
        <v>1</v>
      </c>
      <c r="E5969" s="5" t="s">
        <v>11492</v>
      </c>
      <c r="F5969" s="13" t="s">
        <v>11</v>
      </c>
    </row>
    <row r="5970" ht="18" customHeight="1" spans="1:6">
      <c r="A5970" s="13" t="s">
        <v>11389</v>
      </c>
      <c r="B5970" s="13" t="s">
        <v>11439</v>
      </c>
      <c r="C5970" s="5" t="s">
        <v>11493</v>
      </c>
      <c r="D5970" s="13">
        <v>1</v>
      </c>
      <c r="E5970" s="5" t="s">
        <v>11494</v>
      </c>
      <c r="F5970" s="13" t="s">
        <v>11</v>
      </c>
    </row>
    <row r="5971" ht="18" customHeight="1" spans="1:6">
      <c r="A5971" s="13" t="s">
        <v>11389</v>
      </c>
      <c r="B5971" s="13" t="s">
        <v>11439</v>
      </c>
      <c r="C5971" s="5" t="s">
        <v>11495</v>
      </c>
      <c r="D5971" s="13">
        <v>1</v>
      </c>
      <c r="E5971" s="5" t="s">
        <v>11496</v>
      </c>
      <c r="F5971" s="13" t="s">
        <v>11</v>
      </c>
    </row>
    <row r="5972" ht="18" customHeight="1" spans="1:6">
      <c r="A5972" s="13" t="s">
        <v>11389</v>
      </c>
      <c r="B5972" s="13" t="s">
        <v>11439</v>
      </c>
      <c r="C5972" s="5" t="s">
        <v>11497</v>
      </c>
      <c r="D5972" s="13">
        <v>1</v>
      </c>
      <c r="E5972" s="5" t="s">
        <v>11498</v>
      </c>
      <c r="F5972" s="13" t="s">
        <v>11</v>
      </c>
    </row>
    <row r="5973" ht="18" customHeight="1" spans="1:6">
      <c r="A5973" s="13" t="s">
        <v>11389</v>
      </c>
      <c r="B5973" s="13" t="s">
        <v>11439</v>
      </c>
      <c r="C5973" s="5" t="s">
        <v>11499</v>
      </c>
      <c r="D5973" s="13">
        <v>1</v>
      </c>
      <c r="E5973" s="5" t="s">
        <v>11500</v>
      </c>
      <c r="F5973" s="13" t="s">
        <v>11</v>
      </c>
    </row>
    <row r="5974" ht="18" customHeight="1" spans="1:6">
      <c r="A5974" s="13" t="s">
        <v>11389</v>
      </c>
      <c r="B5974" s="13" t="s">
        <v>11439</v>
      </c>
      <c r="C5974" s="5" t="s">
        <v>11501</v>
      </c>
      <c r="D5974" s="13">
        <v>1</v>
      </c>
      <c r="E5974" s="5" t="s">
        <v>11502</v>
      </c>
      <c r="F5974" s="13" t="s">
        <v>11</v>
      </c>
    </row>
    <row r="5975" ht="18" customHeight="1" spans="1:6">
      <c r="A5975" s="13" t="s">
        <v>11389</v>
      </c>
      <c r="B5975" s="13" t="s">
        <v>11439</v>
      </c>
      <c r="C5975" s="5" t="s">
        <v>11503</v>
      </c>
      <c r="D5975" s="13">
        <v>1</v>
      </c>
      <c r="E5975" s="5" t="s">
        <v>11504</v>
      </c>
      <c r="F5975" s="13" t="s">
        <v>11</v>
      </c>
    </row>
    <row r="5976" ht="18" customHeight="1" spans="1:6">
      <c r="A5976" s="13" t="s">
        <v>11389</v>
      </c>
      <c r="B5976" s="13" t="s">
        <v>11439</v>
      </c>
      <c r="C5976" s="5" t="s">
        <v>11505</v>
      </c>
      <c r="D5976" s="13">
        <v>1</v>
      </c>
      <c r="E5976" s="5" t="s">
        <v>11506</v>
      </c>
      <c r="F5976" s="13" t="s">
        <v>11</v>
      </c>
    </row>
    <row r="5977" ht="18" customHeight="1" spans="1:6">
      <c r="A5977" s="13" t="s">
        <v>11389</v>
      </c>
      <c r="B5977" s="13" t="s">
        <v>11456</v>
      </c>
      <c r="C5977" s="5" t="s">
        <v>11507</v>
      </c>
      <c r="D5977" s="13">
        <v>1</v>
      </c>
      <c r="E5977" s="5" t="s">
        <v>11508</v>
      </c>
      <c r="F5977" s="13" t="s">
        <v>11</v>
      </c>
    </row>
    <row r="5978" ht="18" customHeight="1" spans="1:6">
      <c r="A5978" s="13" t="s">
        <v>11389</v>
      </c>
      <c r="B5978" s="13" t="s">
        <v>11456</v>
      </c>
      <c r="C5978" s="5" t="s">
        <v>11509</v>
      </c>
      <c r="D5978" s="13">
        <v>1</v>
      </c>
      <c r="E5978" s="5" t="s">
        <v>11510</v>
      </c>
      <c r="F5978" s="13" t="s">
        <v>11</v>
      </c>
    </row>
    <row r="5979" ht="18" customHeight="1" spans="1:6">
      <c r="A5979" s="13" t="s">
        <v>11389</v>
      </c>
      <c r="B5979" s="13" t="s">
        <v>11439</v>
      </c>
      <c r="C5979" s="5" t="s">
        <v>11511</v>
      </c>
      <c r="D5979" s="13">
        <v>4</v>
      </c>
      <c r="E5979" s="178" t="s">
        <v>11512</v>
      </c>
      <c r="F5979" s="13" t="s">
        <v>11</v>
      </c>
    </row>
    <row r="5980" ht="18" customHeight="1" spans="1:6">
      <c r="A5980" s="13" t="s">
        <v>11389</v>
      </c>
      <c r="B5980" s="13" t="s">
        <v>11513</v>
      </c>
      <c r="C5980" s="5" t="s">
        <v>11514</v>
      </c>
      <c r="D5980" s="13">
        <v>3</v>
      </c>
      <c r="E5980" s="5" t="str">
        <f>LEFT("420325197003287910",19)</f>
        <v>420325197003287910</v>
      </c>
      <c r="F5980" s="13" t="s">
        <v>11</v>
      </c>
    </row>
    <row r="5981" ht="18" customHeight="1" spans="1:6">
      <c r="A5981" s="13" t="s">
        <v>11389</v>
      </c>
      <c r="B5981" s="13" t="s">
        <v>11515</v>
      </c>
      <c r="C5981" s="5" t="s">
        <v>11516</v>
      </c>
      <c r="D5981" s="13">
        <v>2</v>
      </c>
      <c r="E5981" s="10" t="s">
        <v>11517</v>
      </c>
      <c r="F5981" s="13" t="s">
        <v>11</v>
      </c>
    </row>
    <row r="5982" ht="18" customHeight="1" spans="1:6">
      <c r="A5982" s="13" t="s">
        <v>11389</v>
      </c>
      <c r="B5982" s="13" t="s">
        <v>11518</v>
      </c>
      <c r="C5982" s="5" t="s">
        <v>11519</v>
      </c>
      <c r="D5982" s="13">
        <v>4</v>
      </c>
      <c r="E5982" s="10" t="s">
        <v>11520</v>
      </c>
      <c r="F5982" s="13" t="s">
        <v>11</v>
      </c>
    </row>
    <row r="5983" ht="18" customHeight="1" spans="1:6">
      <c r="A5983" s="13" t="s">
        <v>11389</v>
      </c>
      <c r="B5983" s="13" t="s">
        <v>11515</v>
      </c>
      <c r="C5983" s="5" t="s">
        <v>11521</v>
      </c>
      <c r="D5983" s="13">
        <v>2</v>
      </c>
      <c r="E5983" s="10" t="s">
        <v>11522</v>
      </c>
      <c r="F5983" s="13" t="s">
        <v>11</v>
      </c>
    </row>
    <row r="5984" ht="18" customHeight="1" spans="1:6">
      <c r="A5984" s="13" t="s">
        <v>11389</v>
      </c>
      <c r="B5984" s="13" t="s">
        <v>11518</v>
      </c>
      <c r="C5984" s="5" t="s">
        <v>11523</v>
      </c>
      <c r="D5984" s="13">
        <v>7</v>
      </c>
      <c r="E5984" s="10" t="s">
        <v>11524</v>
      </c>
      <c r="F5984" s="13" t="s">
        <v>11</v>
      </c>
    </row>
    <row r="5985" ht="18" customHeight="1" spans="1:6">
      <c r="A5985" s="13" t="s">
        <v>11389</v>
      </c>
      <c r="B5985" s="13" t="s">
        <v>11515</v>
      </c>
      <c r="C5985" s="5" t="s">
        <v>11525</v>
      </c>
      <c r="D5985" s="13">
        <v>2</v>
      </c>
      <c r="E5985" s="5" t="str">
        <f>LEFT("422626194505267910",19)</f>
        <v>422626194505267910</v>
      </c>
      <c r="F5985" s="13" t="s">
        <v>11</v>
      </c>
    </row>
    <row r="5986" ht="18" customHeight="1" spans="1:6">
      <c r="A5986" s="13" t="s">
        <v>11389</v>
      </c>
      <c r="B5986" s="13" t="s">
        <v>11515</v>
      </c>
      <c r="C5986" s="5" t="s">
        <v>11526</v>
      </c>
      <c r="D5986" s="13">
        <v>2</v>
      </c>
      <c r="E5986" s="5" t="str">
        <f>LEFT("42262619470314791X",19)</f>
        <v>42262619470314791X</v>
      </c>
      <c r="F5986" s="13" t="s">
        <v>11</v>
      </c>
    </row>
    <row r="5987" ht="18" customHeight="1" spans="1:6">
      <c r="A5987" s="13" t="s">
        <v>11389</v>
      </c>
      <c r="B5987" s="13" t="s">
        <v>11513</v>
      </c>
      <c r="C5987" s="5" t="s">
        <v>11527</v>
      </c>
      <c r="D5987" s="13">
        <v>2</v>
      </c>
      <c r="E5987" s="5" t="str">
        <f>LEFT("420325193912057911",19)</f>
        <v>420325193912057911</v>
      </c>
      <c r="F5987" s="13" t="s">
        <v>11</v>
      </c>
    </row>
    <row r="5988" ht="18" customHeight="1" spans="1:6">
      <c r="A5988" s="13" t="s">
        <v>11389</v>
      </c>
      <c r="B5988" s="13" t="s">
        <v>11513</v>
      </c>
      <c r="C5988" s="5" t="s">
        <v>11528</v>
      </c>
      <c r="D5988" s="13">
        <v>2</v>
      </c>
      <c r="E5988" s="5" t="str">
        <f>LEFT("420325195502117917",19)</f>
        <v>420325195502117917</v>
      </c>
      <c r="F5988" s="13" t="s">
        <v>11</v>
      </c>
    </row>
    <row r="5989" ht="18" customHeight="1" spans="1:6">
      <c r="A5989" s="13" t="s">
        <v>11389</v>
      </c>
      <c r="B5989" s="13" t="s">
        <v>11513</v>
      </c>
      <c r="C5989" s="5" t="s">
        <v>11529</v>
      </c>
      <c r="D5989" s="13">
        <v>5</v>
      </c>
      <c r="E5989" s="5" t="str">
        <f>LEFT("420325195604137919",19)</f>
        <v>420325195604137919</v>
      </c>
      <c r="F5989" s="13" t="s">
        <v>11</v>
      </c>
    </row>
    <row r="5990" ht="18" customHeight="1" spans="1:6">
      <c r="A5990" s="13" t="s">
        <v>11389</v>
      </c>
      <c r="B5990" s="13" t="s">
        <v>11513</v>
      </c>
      <c r="C5990" s="5" t="s">
        <v>11530</v>
      </c>
      <c r="D5990" s="13">
        <v>6</v>
      </c>
      <c r="E5990" s="5" t="str">
        <f>LEFT("420325197208077917",19)</f>
        <v>420325197208077917</v>
      </c>
      <c r="F5990" s="13" t="s">
        <v>11</v>
      </c>
    </row>
    <row r="5991" ht="18" customHeight="1" spans="1:6">
      <c r="A5991" s="13" t="s">
        <v>11389</v>
      </c>
      <c r="B5991" s="13" t="s">
        <v>11392</v>
      </c>
      <c r="C5991" s="5" t="s">
        <v>11531</v>
      </c>
      <c r="D5991" s="13">
        <v>4</v>
      </c>
      <c r="E5991" s="13" t="s">
        <v>11532</v>
      </c>
      <c r="F5991" s="13" t="s">
        <v>11</v>
      </c>
    </row>
    <row r="5992" ht="18" customHeight="1" spans="1:6">
      <c r="A5992" s="13" t="s">
        <v>11533</v>
      </c>
      <c r="B5992" s="13"/>
      <c r="C5992" s="13">
        <v>82</v>
      </c>
      <c r="D5992" s="13">
        <v>195</v>
      </c>
      <c r="E5992" s="13"/>
      <c r="F5992" s="13"/>
    </row>
  </sheetData>
  <mergeCells count="19">
    <mergeCell ref="A1:F1"/>
    <mergeCell ref="D3127:D3128"/>
    <mergeCell ref="D3133:D3134"/>
    <mergeCell ref="D3138:D3139"/>
    <mergeCell ref="D3140:D3141"/>
    <mergeCell ref="D3143:D3144"/>
    <mergeCell ref="D3148:D3149"/>
    <mergeCell ref="D3161:D3162"/>
    <mergeCell ref="D3163:D3164"/>
    <mergeCell ref="D3166:D3167"/>
    <mergeCell ref="F3127:F3128"/>
    <mergeCell ref="F3133:F3134"/>
    <mergeCell ref="F3138:F3139"/>
    <mergeCell ref="F3140:F3141"/>
    <mergeCell ref="F3143:F3144"/>
    <mergeCell ref="F3148:F3149"/>
    <mergeCell ref="F3161:F3162"/>
    <mergeCell ref="F3163:F3164"/>
    <mergeCell ref="F3166:F3167"/>
  </mergeCells>
  <conditionalFormatting sqref="C398">
    <cfRule type="duplicateValues" dxfId="0" priority="66"/>
  </conditionalFormatting>
  <conditionalFormatting sqref="C399">
    <cfRule type="duplicateValues" dxfId="0" priority="65"/>
  </conditionalFormatting>
  <conditionalFormatting sqref="C400">
    <cfRule type="duplicateValues" dxfId="0" priority="64"/>
  </conditionalFormatting>
  <conditionalFormatting sqref="C401">
    <cfRule type="duplicateValues" dxfId="0" priority="63"/>
  </conditionalFormatting>
  <conditionalFormatting sqref="C402">
    <cfRule type="duplicateValues" dxfId="0" priority="62"/>
  </conditionalFormatting>
  <conditionalFormatting sqref="C403">
    <cfRule type="duplicateValues" dxfId="0" priority="61"/>
  </conditionalFormatting>
  <conditionalFormatting sqref="C404">
    <cfRule type="duplicateValues" dxfId="0" priority="60"/>
  </conditionalFormatting>
  <conditionalFormatting sqref="C405">
    <cfRule type="duplicateValues" dxfId="0" priority="59"/>
  </conditionalFormatting>
  <conditionalFormatting sqref="C406">
    <cfRule type="duplicateValues" dxfId="0" priority="58"/>
  </conditionalFormatting>
  <conditionalFormatting sqref="C407">
    <cfRule type="duplicateValues" dxfId="0" priority="57"/>
  </conditionalFormatting>
  <conditionalFormatting sqref="C408">
    <cfRule type="duplicateValues" dxfId="0" priority="56"/>
  </conditionalFormatting>
  <conditionalFormatting sqref="C409">
    <cfRule type="duplicateValues" dxfId="0" priority="55"/>
  </conditionalFormatting>
  <conditionalFormatting sqref="C410">
    <cfRule type="duplicateValues" dxfId="0" priority="54"/>
  </conditionalFormatting>
  <conditionalFormatting sqref="C411">
    <cfRule type="duplicateValues" dxfId="0" priority="53"/>
  </conditionalFormatting>
  <conditionalFormatting sqref="C412">
    <cfRule type="duplicateValues" dxfId="0" priority="52"/>
  </conditionalFormatting>
  <conditionalFormatting sqref="C413">
    <cfRule type="duplicateValues" dxfId="0" priority="51"/>
  </conditionalFormatting>
  <conditionalFormatting sqref="C429">
    <cfRule type="duplicateValues" dxfId="0" priority="48"/>
  </conditionalFormatting>
  <conditionalFormatting sqref="C443">
    <cfRule type="duplicateValues" dxfId="1" priority="45"/>
    <cfRule type="duplicateValues" dxfId="1" priority="46"/>
    <cfRule type="duplicateValues" dxfId="1" priority="47"/>
  </conditionalFormatting>
  <conditionalFormatting sqref="C444">
    <cfRule type="duplicateValues" dxfId="1" priority="44"/>
  </conditionalFormatting>
  <conditionalFormatting sqref="C445">
    <cfRule type="duplicateValues" dxfId="1" priority="43"/>
  </conditionalFormatting>
  <conditionalFormatting sqref="C446">
    <cfRule type="duplicateValues" dxfId="1" priority="42"/>
  </conditionalFormatting>
  <conditionalFormatting sqref="C447">
    <cfRule type="duplicateValues" dxfId="1" priority="41"/>
  </conditionalFormatting>
  <conditionalFormatting sqref="C448">
    <cfRule type="duplicateValues" dxfId="1" priority="40"/>
  </conditionalFormatting>
  <conditionalFormatting sqref="C449">
    <cfRule type="duplicateValues" dxfId="1" priority="39"/>
  </conditionalFormatting>
  <conditionalFormatting sqref="C450">
    <cfRule type="duplicateValues" dxfId="1" priority="38"/>
  </conditionalFormatting>
  <conditionalFormatting sqref="C451">
    <cfRule type="duplicateValues" dxfId="1" priority="37"/>
  </conditionalFormatting>
  <conditionalFormatting sqref="C452">
    <cfRule type="duplicateValues" dxfId="1" priority="36"/>
  </conditionalFormatting>
  <conditionalFormatting sqref="C455">
    <cfRule type="duplicateValues" dxfId="1" priority="30"/>
    <cfRule type="duplicateValues" dxfId="1" priority="31"/>
    <cfRule type="duplicateValues" dxfId="1" priority="32"/>
  </conditionalFormatting>
  <conditionalFormatting sqref="C456">
    <cfRule type="duplicateValues" dxfId="1" priority="29"/>
  </conditionalFormatting>
  <conditionalFormatting sqref="C457">
    <cfRule type="duplicateValues" dxfId="1" priority="28"/>
  </conditionalFormatting>
  <conditionalFormatting sqref="C458">
    <cfRule type="duplicateValues" dxfId="2" priority="24"/>
    <cfRule type="duplicateValues" dxfId="3" priority="25" stopIfTrue="1"/>
  </conditionalFormatting>
  <conditionalFormatting sqref="C467">
    <cfRule type="duplicateValues" dxfId="2" priority="21"/>
  </conditionalFormatting>
  <conditionalFormatting sqref="C468">
    <cfRule type="duplicateValues" dxfId="2" priority="19"/>
  </conditionalFormatting>
  <conditionalFormatting sqref="C472">
    <cfRule type="duplicateValues" dxfId="3" priority="17" stopIfTrue="1"/>
  </conditionalFormatting>
  <conditionalFormatting sqref="C492">
    <cfRule type="duplicateValues" dxfId="3" priority="9" stopIfTrue="1"/>
  </conditionalFormatting>
  <conditionalFormatting sqref="C493">
    <cfRule type="duplicateValues" dxfId="2" priority="7"/>
    <cfRule type="duplicateValues" dxfId="3" priority="8" stopIfTrue="1"/>
  </conditionalFormatting>
  <conditionalFormatting sqref="C494">
    <cfRule type="duplicateValues" dxfId="2" priority="5"/>
    <cfRule type="duplicateValues" dxfId="3" priority="6" stopIfTrue="1"/>
  </conditionalFormatting>
  <conditionalFormatting sqref="C495">
    <cfRule type="duplicateValues" dxfId="3" priority="4" stopIfTrue="1"/>
  </conditionalFormatting>
  <conditionalFormatting sqref="C498">
    <cfRule type="duplicateValues" dxfId="2" priority="1"/>
    <cfRule type="duplicateValues" dxfId="3" priority="2" stopIfTrue="1"/>
  </conditionalFormatting>
  <conditionalFormatting sqref="C414:C422">
    <cfRule type="duplicateValues" dxfId="0" priority="50"/>
  </conditionalFormatting>
  <conditionalFormatting sqref="C444:C454">
    <cfRule type="duplicateValues" dxfId="1" priority="33"/>
    <cfRule type="duplicateValues" dxfId="1" priority="34"/>
  </conditionalFormatting>
  <conditionalFormatting sqref="C453:C454">
    <cfRule type="duplicateValues" dxfId="1" priority="35"/>
  </conditionalFormatting>
  <conditionalFormatting sqref="C456:C457">
    <cfRule type="duplicateValues" dxfId="1" priority="26"/>
    <cfRule type="duplicateValues" dxfId="1" priority="27"/>
  </conditionalFormatting>
  <conditionalFormatting sqref="C459:C467">
    <cfRule type="duplicateValues" dxfId="3" priority="23" stopIfTrue="1"/>
  </conditionalFormatting>
  <conditionalFormatting sqref="C468:C469">
    <cfRule type="duplicateValues" dxfId="3" priority="20" stopIfTrue="1"/>
  </conditionalFormatting>
  <conditionalFormatting sqref="C470:C471">
    <cfRule type="duplicateValues" dxfId="3" priority="18" stopIfTrue="1"/>
  </conditionalFormatting>
  <conditionalFormatting sqref="C473:C476">
    <cfRule type="duplicateValues" dxfId="2" priority="15"/>
    <cfRule type="duplicateValues" dxfId="3" priority="16" stopIfTrue="1"/>
  </conditionalFormatting>
  <conditionalFormatting sqref="C477:C483">
    <cfRule type="duplicateValues" dxfId="2" priority="13"/>
    <cfRule type="duplicateValues" dxfId="3" priority="14" stopIfTrue="1"/>
  </conditionalFormatting>
  <conditionalFormatting sqref="C484:C491">
    <cfRule type="duplicateValues" dxfId="3" priority="12" stopIfTrue="1"/>
  </conditionalFormatting>
  <conditionalFormatting sqref="C485:C488">
    <cfRule type="duplicateValues" dxfId="2" priority="10"/>
  </conditionalFormatting>
  <conditionalFormatting sqref="C496:C497">
    <cfRule type="duplicateValues" dxfId="3" priority="3" stopIfTrue="1"/>
  </conditionalFormatting>
  <conditionalFormatting sqref="C430 C424:C428">
    <cfRule type="duplicateValues" dxfId="0" priority="49"/>
  </conditionalFormatting>
  <conditionalFormatting sqref="C459:C461 C463:C466">
    <cfRule type="duplicateValues" dxfId="2" priority="22"/>
  </conditionalFormatting>
  <conditionalFormatting sqref="C484 C489">
    <cfRule type="duplicateValues" dxfId="2" priority="11"/>
  </conditionalFormatting>
  <hyperlinks>
    <hyperlink ref="C4098" r:id="rId2" display="刘波" tooltip="http://cpadisc4.cpad.gov.cn/cpad/javascript:void(0)"/>
    <hyperlink ref="C4026" r:id="rId2" display="李洪仙" tooltip="http://cpadisc4.cpad.gov.cn/cpad/javascript:void(0)"/>
    <hyperlink ref="C4027" r:id="rId2" display="王青云" tooltip="http://cpadisc4.cpad.gov.cn/cpad/javascript:void(0)"/>
    <hyperlink ref="C4028" r:id="rId2" display="罗天明" tooltip="http://cpadisc4.cpad.gov.cn/cpad/javascript:void(0)"/>
  </hyperlinks>
  <pageMargins left="0.55" right="0.393055555555556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854"/>
  <sheetViews>
    <sheetView workbookViewId="0">
      <selection activeCell="A1" sqref="A1:F1"/>
    </sheetView>
  </sheetViews>
  <sheetFormatPr defaultColWidth="9" defaultRowHeight="13.5"/>
  <cols>
    <col min="1" max="1" width="9" style="1"/>
    <col min="2" max="2" width="16.775" style="1" customWidth="1"/>
    <col min="3" max="3" width="10" style="1" customWidth="1"/>
    <col min="4" max="4" width="10.25" style="1" customWidth="1"/>
    <col min="5" max="5" width="27.3333333333333" style="1" customWidth="1"/>
    <col min="6" max="6" width="14.5583333333333" style="1" customWidth="1"/>
  </cols>
  <sheetData>
    <row r="1" ht="29" customHeight="1" spans="1:6">
      <c r="A1" s="2" t="s">
        <v>11534</v>
      </c>
      <c r="B1" s="2"/>
      <c r="C1" s="2"/>
      <c r="D1" s="2"/>
      <c r="E1" s="2"/>
      <c r="F1" s="2"/>
    </row>
    <row r="2" ht="18" customHeight="1" spans="1:6">
      <c r="A2" s="3" t="s">
        <v>1</v>
      </c>
      <c r="B2" s="3" t="s">
        <v>2</v>
      </c>
      <c r="C2" s="4" t="s">
        <v>3</v>
      </c>
      <c r="D2" s="4" t="s">
        <v>4</v>
      </c>
      <c r="E2" s="3" t="s">
        <v>5</v>
      </c>
      <c r="F2" s="3" t="s">
        <v>11535</v>
      </c>
    </row>
    <row r="3" ht="18" customHeight="1" spans="1:6">
      <c r="A3" s="5" t="s">
        <v>7</v>
      </c>
      <c r="B3" s="5"/>
      <c r="C3" s="6">
        <v>3795</v>
      </c>
      <c r="D3" s="6">
        <v>11898</v>
      </c>
      <c r="E3" s="5"/>
      <c r="F3" s="5"/>
    </row>
    <row r="4" ht="18" customHeight="1" spans="1:6">
      <c r="A4" s="5" t="s">
        <v>8</v>
      </c>
      <c r="B4" s="5" t="s">
        <v>11536</v>
      </c>
      <c r="C4" s="5" t="s">
        <v>11537</v>
      </c>
      <c r="D4" s="5">
        <v>3</v>
      </c>
      <c r="E4" s="5" t="str">
        <f>LEFT("420325199006120058",19)</f>
        <v>420325199006120058</v>
      </c>
      <c r="F4" s="7" t="s">
        <v>11535</v>
      </c>
    </row>
    <row r="5" ht="18" customHeight="1" spans="1:6">
      <c r="A5" s="5" t="s">
        <v>8</v>
      </c>
      <c r="B5" s="5" t="s">
        <v>11538</v>
      </c>
      <c r="C5" s="5" t="s">
        <v>11539</v>
      </c>
      <c r="D5" s="5">
        <v>6</v>
      </c>
      <c r="E5" s="5" t="str">
        <f>LEFT("422626197202054516",19)</f>
        <v>422626197202054516</v>
      </c>
      <c r="F5" s="7" t="s">
        <v>11535</v>
      </c>
    </row>
    <row r="6" ht="18" customHeight="1" spans="1:6">
      <c r="A6" s="5" t="s">
        <v>8</v>
      </c>
      <c r="B6" s="5" t="s">
        <v>11540</v>
      </c>
      <c r="C6" s="5" t="s">
        <v>11541</v>
      </c>
      <c r="D6" s="5">
        <v>2</v>
      </c>
      <c r="E6" s="5" t="str">
        <f>LEFT("42262619411020005X",19)</f>
        <v>42262619411020005X</v>
      </c>
      <c r="F6" s="7" t="s">
        <v>11535</v>
      </c>
    </row>
    <row r="7" ht="18" customHeight="1" spans="1:6">
      <c r="A7" s="5" t="s">
        <v>8</v>
      </c>
      <c r="B7" s="5" t="s">
        <v>11536</v>
      </c>
      <c r="C7" s="5" t="s">
        <v>11542</v>
      </c>
      <c r="D7" s="5">
        <v>2</v>
      </c>
      <c r="E7" s="5" t="str">
        <f>LEFT("422626197401270019",19)</f>
        <v>422626197401270019</v>
      </c>
      <c r="F7" s="7" t="s">
        <v>11535</v>
      </c>
    </row>
    <row r="8" ht="18" customHeight="1" spans="1:6">
      <c r="A8" s="5" t="s">
        <v>8</v>
      </c>
      <c r="B8" s="5" t="s">
        <v>11543</v>
      </c>
      <c r="C8" s="5" t="s">
        <v>11544</v>
      </c>
      <c r="D8" s="5">
        <v>3</v>
      </c>
      <c r="E8" s="5" t="str">
        <f>LEFT("422626195010210095",19)</f>
        <v>422626195010210095</v>
      </c>
      <c r="F8" s="7" t="s">
        <v>11535</v>
      </c>
    </row>
    <row r="9" ht="18" customHeight="1" spans="1:6">
      <c r="A9" s="5" t="s">
        <v>8</v>
      </c>
      <c r="B9" s="5" t="s">
        <v>11536</v>
      </c>
      <c r="C9" s="5" t="s">
        <v>11545</v>
      </c>
      <c r="D9" s="5">
        <v>1</v>
      </c>
      <c r="E9" s="5" t="str">
        <f>LEFT("42262619590116001X",19)</f>
        <v>42262619590116001X</v>
      </c>
      <c r="F9" s="7" t="s">
        <v>11535</v>
      </c>
    </row>
    <row r="10" ht="18" customHeight="1" spans="1:6">
      <c r="A10" s="5" t="s">
        <v>8</v>
      </c>
      <c r="B10" s="5" t="s">
        <v>11546</v>
      </c>
      <c r="C10" s="5" t="s">
        <v>11547</v>
      </c>
      <c r="D10" s="5">
        <v>5</v>
      </c>
      <c r="E10" s="178" t="s">
        <v>11548</v>
      </c>
      <c r="F10" s="7" t="s">
        <v>11535</v>
      </c>
    </row>
    <row r="11" ht="18" customHeight="1" spans="1:6">
      <c r="A11" s="5" t="s">
        <v>8</v>
      </c>
      <c r="B11" s="8" t="s">
        <v>11549</v>
      </c>
      <c r="C11" s="8" t="s">
        <v>11550</v>
      </c>
      <c r="D11" s="9">
        <v>4</v>
      </c>
      <c r="E11" s="8" t="s">
        <v>11551</v>
      </c>
      <c r="F11" s="7" t="s">
        <v>11535</v>
      </c>
    </row>
    <row r="12" ht="18" customHeight="1" spans="1:6">
      <c r="A12" s="5" t="s">
        <v>8</v>
      </c>
      <c r="B12" s="8" t="s">
        <v>11549</v>
      </c>
      <c r="C12" s="8" t="s">
        <v>11552</v>
      </c>
      <c r="D12" s="9">
        <v>2</v>
      </c>
      <c r="E12" s="8" t="s">
        <v>11553</v>
      </c>
      <c r="F12" s="7" t="s">
        <v>11535</v>
      </c>
    </row>
    <row r="13" ht="18" customHeight="1" spans="1:6">
      <c r="A13" s="5" t="s">
        <v>8</v>
      </c>
      <c r="B13" s="8" t="s">
        <v>11549</v>
      </c>
      <c r="C13" s="8" t="s">
        <v>11554</v>
      </c>
      <c r="D13" s="9">
        <v>2</v>
      </c>
      <c r="E13" s="8" t="s">
        <v>11555</v>
      </c>
      <c r="F13" s="7" t="s">
        <v>11535</v>
      </c>
    </row>
    <row r="14" ht="18" customHeight="1" spans="1:6">
      <c r="A14" s="5" t="s">
        <v>8</v>
      </c>
      <c r="B14" s="8" t="s">
        <v>11549</v>
      </c>
      <c r="C14" s="8" t="s">
        <v>11556</v>
      </c>
      <c r="D14" s="9">
        <v>3</v>
      </c>
      <c r="E14" s="8" t="s">
        <v>11557</v>
      </c>
      <c r="F14" s="7" t="s">
        <v>11535</v>
      </c>
    </row>
    <row r="15" ht="18" customHeight="1" spans="1:6">
      <c r="A15" s="5" t="s">
        <v>8</v>
      </c>
      <c r="B15" s="5" t="s">
        <v>11558</v>
      </c>
      <c r="C15" s="10" t="s">
        <v>11559</v>
      </c>
      <c r="D15" s="5">
        <v>1</v>
      </c>
      <c r="E15" s="10" t="s">
        <v>11560</v>
      </c>
      <c r="F15" s="7" t="s">
        <v>11535</v>
      </c>
    </row>
    <row r="16" ht="18" customHeight="1" spans="1:6">
      <c r="A16" s="5" t="s">
        <v>8</v>
      </c>
      <c r="B16" s="5" t="s">
        <v>11558</v>
      </c>
      <c r="C16" s="10" t="s">
        <v>11561</v>
      </c>
      <c r="D16" s="5">
        <v>1</v>
      </c>
      <c r="E16" s="10" t="s">
        <v>11562</v>
      </c>
      <c r="F16" s="7" t="s">
        <v>11535</v>
      </c>
    </row>
    <row r="17" ht="18" customHeight="1" spans="1:6">
      <c r="A17" s="5" t="s">
        <v>8</v>
      </c>
      <c r="B17" s="5" t="s">
        <v>11563</v>
      </c>
      <c r="C17" s="10" t="s">
        <v>11564</v>
      </c>
      <c r="D17" s="5">
        <v>1</v>
      </c>
      <c r="E17" s="10" t="s">
        <v>11565</v>
      </c>
      <c r="F17" s="7" t="s">
        <v>11535</v>
      </c>
    </row>
    <row r="18" ht="18" customHeight="1" spans="1:6">
      <c r="A18" s="5" t="s">
        <v>8</v>
      </c>
      <c r="B18" s="5" t="s">
        <v>11566</v>
      </c>
      <c r="C18" s="5" t="s">
        <v>11567</v>
      </c>
      <c r="D18" s="5">
        <v>2</v>
      </c>
      <c r="E18" s="5" t="s">
        <v>11568</v>
      </c>
      <c r="F18" s="7" t="s">
        <v>11535</v>
      </c>
    </row>
    <row r="19" ht="18" customHeight="1" spans="1:6">
      <c r="A19" s="5" t="s">
        <v>8</v>
      </c>
      <c r="B19" s="5" t="s">
        <v>101</v>
      </c>
      <c r="C19" s="10" t="s">
        <v>11569</v>
      </c>
      <c r="D19" s="11">
        <v>5</v>
      </c>
      <c r="E19" s="5" t="s">
        <v>11570</v>
      </c>
      <c r="F19" s="7" t="s">
        <v>11535</v>
      </c>
    </row>
    <row r="20" ht="18" customHeight="1" spans="1:6">
      <c r="A20" s="5" t="s">
        <v>8</v>
      </c>
      <c r="B20" s="5" t="s">
        <v>11571</v>
      </c>
      <c r="C20" s="5" t="s">
        <v>11572</v>
      </c>
      <c r="D20" s="5">
        <v>1</v>
      </c>
      <c r="E20" s="5" t="s">
        <v>11573</v>
      </c>
      <c r="F20" s="7" t="s">
        <v>11535</v>
      </c>
    </row>
    <row r="21" ht="18" customHeight="1" spans="1:6">
      <c r="A21" s="5" t="s">
        <v>8</v>
      </c>
      <c r="B21" s="5" t="s">
        <v>101</v>
      </c>
      <c r="C21" s="5" t="s">
        <v>11574</v>
      </c>
      <c r="D21" s="5">
        <v>1</v>
      </c>
      <c r="E21" s="5" t="s">
        <v>11575</v>
      </c>
      <c r="F21" s="7" t="s">
        <v>11535</v>
      </c>
    </row>
    <row r="22" ht="18" customHeight="1" spans="1:6">
      <c r="A22" s="5" t="s">
        <v>8</v>
      </c>
      <c r="B22" s="5" t="s">
        <v>11576</v>
      </c>
      <c r="C22" s="5" t="s">
        <v>11577</v>
      </c>
      <c r="D22" s="5">
        <v>2</v>
      </c>
      <c r="E22" s="5" t="str">
        <f>LEFT("42262619470314003X",19)</f>
        <v>42262619470314003X</v>
      </c>
      <c r="F22" s="7" t="s">
        <v>11535</v>
      </c>
    </row>
    <row r="23" ht="18" customHeight="1" spans="1:6">
      <c r="A23" s="5" t="s">
        <v>8</v>
      </c>
      <c r="B23" s="5" t="s">
        <v>11576</v>
      </c>
      <c r="C23" s="5" t="s">
        <v>11578</v>
      </c>
      <c r="D23" s="5">
        <v>4</v>
      </c>
      <c r="E23" s="5" t="str">
        <f>LEFT("420325195807010029",19)</f>
        <v>420325195807010029</v>
      </c>
      <c r="F23" s="7" t="s">
        <v>11535</v>
      </c>
    </row>
    <row r="24" ht="18" customHeight="1" spans="1:6">
      <c r="A24" s="5" t="s">
        <v>8</v>
      </c>
      <c r="B24" s="5" t="s">
        <v>11579</v>
      </c>
      <c r="C24" s="5" t="s">
        <v>11580</v>
      </c>
      <c r="D24" s="5">
        <v>4</v>
      </c>
      <c r="E24" s="5" t="str">
        <f>LEFT("422626195308250057",19)</f>
        <v>422626195308250057</v>
      </c>
      <c r="F24" s="7" t="s">
        <v>11535</v>
      </c>
    </row>
    <row r="25" ht="18" customHeight="1" spans="1:6">
      <c r="A25" s="5" t="s">
        <v>8</v>
      </c>
      <c r="B25" s="5" t="s">
        <v>11581</v>
      </c>
      <c r="C25" s="5" t="s">
        <v>11582</v>
      </c>
      <c r="D25" s="5">
        <v>2</v>
      </c>
      <c r="E25" s="5" t="str">
        <f>LEFT("422626195806090041",19)</f>
        <v>422626195806090041</v>
      </c>
      <c r="F25" s="7" t="s">
        <v>11535</v>
      </c>
    </row>
    <row r="26" ht="18" customHeight="1" spans="1:6">
      <c r="A26" s="5" t="s">
        <v>8</v>
      </c>
      <c r="B26" s="5" t="s">
        <v>11579</v>
      </c>
      <c r="C26" s="5" t="s">
        <v>11583</v>
      </c>
      <c r="D26" s="5">
        <v>2</v>
      </c>
      <c r="E26" s="5" t="str">
        <f>LEFT("422626193612180031",19)</f>
        <v>422626193612180031</v>
      </c>
      <c r="F26" s="7" t="s">
        <v>11535</v>
      </c>
    </row>
    <row r="27" ht="18" customHeight="1" spans="1:6">
      <c r="A27" s="5" t="s">
        <v>8</v>
      </c>
      <c r="B27" s="5" t="s">
        <v>11584</v>
      </c>
      <c r="C27" s="5" t="s">
        <v>11585</v>
      </c>
      <c r="D27" s="5">
        <v>2</v>
      </c>
      <c r="E27" s="5" t="str">
        <f>LEFT("422626193712050015",19)</f>
        <v>422626193712050015</v>
      </c>
      <c r="F27" s="7" t="s">
        <v>11535</v>
      </c>
    </row>
    <row r="28" ht="18" customHeight="1" spans="1:6">
      <c r="A28" s="5" t="s">
        <v>8</v>
      </c>
      <c r="B28" s="5" t="s">
        <v>11584</v>
      </c>
      <c r="C28" s="5" t="s">
        <v>11586</v>
      </c>
      <c r="D28" s="5">
        <v>3</v>
      </c>
      <c r="E28" s="5" t="s">
        <v>11587</v>
      </c>
      <c r="F28" s="7" t="s">
        <v>11535</v>
      </c>
    </row>
    <row r="29" ht="18" customHeight="1" spans="1:6">
      <c r="A29" s="5" t="s">
        <v>8</v>
      </c>
      <c r="B29" s="5" t="s">
        <v>11581</v>
      </c>
      <c r="C29" s="5" t="s">
        <v>11588</v>
      </c>
      <c r="D29" s="6">
        <v>2</v>
      </c>
      <c r="E29" s="5" t="s">
        <v>11589</v>
      </c>
      <c r="F29" s="7" t="s">
        <v>11535</v>
      </c>
    </row>
    <row r="30" ht="18" customHeight="1" spans="1:6">
      <c r="A30" s="5" t="s">
        <v>8</v>
      </c>
      <c r="B30" s="5" t="s">
        <v>11590</v>
      </c>
      <c r="C30" s="5" t="s">
        <v>11591</v>
      </c>
      <c r="D30" s="6">
        <v>1</v>
      </c>
      <c r="E30" s="5" t="s">
        <v>11592</v>
      </c>
      <c r="F30" s="7" t="s">
        <v>11535</v>
      </c>
    </row>
    <row r="31" ht="18" customHeight="1" spans="1:6">
      <c r="A31" s="5" t="s">
        <v>8</v>
      </c>
      <c r="B31" s="5" t="s">
        <v>11581</v>
      </c>
      <c r="C31" s="5" t="s">
        <v>11593</v>
      </c>
      <c r="D31" s="6">
        <v>3</v>
      </c>
      <c r="E31" s="5" t="s">
        <v>11594</v>
      </c>
      <c r="F31" s="7" t="s">
        <v>11535</v>
      </c>
    </row>
    <row r="32" ht="18" customHeight="1" spans="1:6">
      <c r="A32" s="5" t="s">
        <v>8</v>
      </c>
      <c r="B32" s="5" t="s">
        <v>11595</v>
      </c>
      <c r="C32" s="5" t="s">
        <v>11596</v>
      </c>
      <c r="D32" s="6">
        <v>4</v>
      </c>
      <c r="E32" s="5" t="s">
        <v>11597</v>
      </c>
      <c r="F32" s="7" t="s">
        <v>11535</v>
      </c>
    </row>
    <row r="33" ht="18" customHeight="1" spans="1:6">
      <c r="A33" s="5" t="s">
        <v>8</v>
      </c>
      <c r="B33" s="5" t="s">
        <v>11581</v>
      </c>
      <c r="C33" s="5" t="s">
        <v>11598</v>
      </c>
      <c r="D33" s="6">
        <v>2</v>
      </c>
      <c r="E33" s="5" t="s">
        <v>11599</v>
      </c>
      <c r="F33" s="7" t="s">
        <v>11535</v>
      </c>
    </row>
    <row r="34" ht="18" customHeight="1" spans="1:6">
      <c r="A34" s="5" t="s">
        <v>8</v>
      </c>
      <c r="B34" s="5" t="s">
        <v>11600</v>
      </c>
      <c r="C34" s="5" t="s">
        <v>11601</v>
      </c>
      <c r="D34" s="5">
        <v>3</v>
      </c>
      <c r="E34" s="12" t="s">
        <v>11602</v>
      </c>
      <c r="F34" s="7" t="s">
        <v>11535</v>
      </c>
    </row>
    <row r="35" ht="18" customHeight="1" spans="1:6">
      <c r="A35" s="5" t="s">
        <v>8</v>
      </c>
      <c r="B35" s="5" t="s">
        <v>11603</v>
      </c>
      <c r="C35" s="5" t="s">
        <v>11604</v>
      </c>
      <c r="D35" s="5">
        <v>3</v>
      </c>
      <c r="E35" s="12" t="str">
        <f>LEFT("422626197505240017",19)</f>
        <v>422626197505240017</v>
      </c>
      <c r="F35" s="7" t="s">
        <v>11535</v>
      </c>
    </row>
    <row r="36" ht="18" customHeight="1" spans="1:6">
      <c r="A36" s="5" t="s">
        <v>8</v>
      </c>
      <c r="B36" s="5" t="s">
        <v>11605</v>
      </c>
      <c r="C36" s="5" t="s">
        <v>11606</v>
      </c>
      <c r="D36" s="5">
        <v>1</v>
      </c>
      <c r="E36" s="12" t="str">
        <f>LEFT("420325193106050010",19)</f>
        <v>420325193106050010</v>
      </c>
      <c r="F36" s="7" t="s">
        <v>11535</v>
      </c>
    </row>
    <row r="37" ht="18" customHeight="1" spans="1:6">
      <c r="A37" s="5" t="s">
        <v>8</v>
      </c>
      <c r="B37" s="5" t="s">
        <v>11605</v>
      </c>
      <c r="C37" s="5" t="s">
        <v>11607</v>
      </c>
      <c r="D37" s="5">
        <v>1</v>
      </c>
      <c r="E37" s="12" t="s">
        <v>11608</v>
      </c>
      <c r="F37" s="7" t="s">
        <v>11535</v>
      </c>
    </row>
    <row r="38" ht="18" customHeight="1" spans="1:6">
      <c r="A38" s="5" t="s">
        <v>8</v>
      </c>
      <c r="B38" s="5" t="s">
        <v>11605</v>
      </c>
      <c r="C38" s="5" t="s">
        <v>11609</v>
      </c>
      <c r="D38" s="5">
        <v>1</v>
      </c>
      <c r="E38" s="12" t="s">
        <v>11610</v>
      </c>
      <c r="F38" s="7" t="s">
        <v>11535</v>
      </c>
    </row>
    <row r="39" ht="18" customHeight="1" spans="1:6">
      <c r="A39" s="5" t="s">
        <v>8</v>
      </c>
      <c r="B39" s="5" t="s">
        <v>11611</v>
      </c>
      <c r="C39" s="5" t="s">
        <v>6670</v>
      </c>
      <c r="D39" s="5">
        <v>1</v>
      </c>
      <c r="E39" s="12" t="str">
        <f>LEFT("422626196604070012",19)</f>
        <v>422626196604070012</v>
      </c>
      <c r="F39" s="7" t="s">
        <v>11535</v>
      </c>
    </row>
    <row r="40" ht="18" customHeight="1" spans="1:6">
      <c r="A40" s="5" t="s">
        <v>8</v>
      </c>
      <c r="B40" s="5" t="s">
        <v>11612</v>
      </c>
      <c r="C40" s="5" t="s">
        <v>11613</v>
      </c>
      <c r="D40" s="5">
        <v>2</v>
      </c>
      <c r="E40" s="12" t="s">
        <v>11614</v>
      </c>
      <c r="F40" s="7" t="s">
        <v>11535</v>
      </c>
    </row>
    <row r="41" ht="18" customHeight="1" spans="1:6">
      <c r="A41" s="5" t="s">
        <v>8</v>
      </c>
      <c r="B41" s="5" t="s">
        <v>11612</v>
      </c>
      <c r="C41" s="5" t="s">
        <v>11615</v>
      </c>
      <c r="D41" s="5">
        <v>1</v>
      </c>
      <c r="E41" s="12" t="str">
        <f>LEFT("420325195401270015",19)</f>
        <v>420325195401270015</v>
      </c>
      <c r="F41" s="7" t="s">
        <v>11535</v>
      </c>
    </row>
    <row r="42" ht="18" customHeight="1" spans="1:6">
      <c r="A42" s="5" t="s">
        <v>8</v>
      </c>
      <c r="B42" s="5" t="s">
        <v>11603</v>
      </c>
      <c r="C42" s="5" t="s">
        <v>11616</v>
      </c>
      <c r="D42" s="5">
        <v>1</v>
      </c>
      <c r="E42" s="12" t="s">
        <v>11617</v>
      </c>
      <c r="F42" s="7" t="s">
        <v>11535</v>
      </c>
    </row>
    <row r="43" ht="18" customHeight="1" spans="1:6">
      <c r="A43" s="5" t="s">
        <v>8</v>
      </c>
      <c r="B43" s="5" t="s">
        <v>11618</v>
      </c>
      <c r="C43" s="5" t="s">
        <v>11619</v>
      </c>
      <c r="D43" s="5">
        <v>3</v>
      </c>
      <c r="E43" s="12" t="str">
        <f>LEFT("422626195012090031",19)</f>
        <v>422626195012090031</v>
      </c>
      <c r="F43" s="7" t="s">
        <v>11535</v>
      </c>
    </row>
    <row r="44" ht="18" customHeight="1" spans="1:6">
      <c r="A44" s="5" t="s">
        <v>8</v>
      </c>
      <c r="B44" s="5" t="s">
        <v>11620</v>
      </c>
      <c r="C44" s="5" t="s">
        <v>11621</v>
      </c>
      <c r="D44" s="5">
        <v>2</v>
      </c>
      <c r="E44" s="12" t="str">
        <f>LEFT("422626193906220019",19)</f>
        <v>422626193906220019</v>
      </c>
      <c r="F44" s="7" t="s">
        <v>11535</v>
      </c>
    </row>
    <row r="45" ht="18" customHeight="1" spans="1:6">
      <c r="A45" s="5" t="s">
        <v>8</v>
      </c>
      <c r="B45" s="5" t="s">
        <v>11622</v>
      </c>
      <c r="C45" s="5" t="s">
        <v>11623</v>
      </c>
      <c r="D45" s="5">
        <v>3</v>
      </c>
      <c r="E45" s="12" t="str">
        <f>LEFT("422626194110020059",19)</f>
        <v>422626194110020059</v>
      </c>
      <c r="F45" s="7" t="s">
        <v>11535</v>
      </c>
    </row>
    <row r="46" ht="18" customHeight="1" spans="1:6">
      <c r="A46" s="5" t="s">
        <v>8</v>
      </c>
      <c r="B46" s="5" t="s">
        <v>11624</v>
      </c>
      <c r="C46" s="5" t="s">
        <v>11625</v>
      </c>
      <c r="D46" s="5">
        <v>2</v>
      </c>
      <c r="E46" s="12" t="s">
        <v>11626</v>
      </c>
      <c r="F46" s="7" t="s">
        <v>11535</v>
      </c>
    </row>
    <row r="47" ht="18" customHeight="1" spans="1:6">
      <c r="A47" s="5" t="s">
        <v>8</v>
      </c>
      <c r="B47" s="5"/>
      <c r="C47" s="5" t="s">
        <v>11627</v>
      </c>
      <c r="D47" s="5">
        <v>1</v>
      </c>
      <c r="E47" s="12" t="s">
        <v>11628</v>
      </c>
      <c r="F47" s="7" t="s">
        <v>11535</v>
      </c>
    </row>
    <row r="48" ht="18" customHeight="1" spans="1:6">
      <c r="A48" s="5" t="s">
        <v>8</v>
      </c>
      <c r="B48" s="5" t="s">
        <v>11629</v>
      </c>
      <c r="C48" s="5" t="s">
        <v>11630</v>
      </c>
      <c r="D48" s="5">
        <v>1</v>
      </c>
      <c r="E48" s="178" t="s">
        <v>11631</v>
      </c>
      <c r="F48" s="7" t="s">
        <v>11535</v>
      </c>
    </row>
    <row r="49" ht="18" customHeight="1" spans="1:6">
      <c r="A49" s="5" t="s">
        <v>8</v>
      </c>
      <c r="B49" s="6" t="s">
        <v>11632</v>
      </c>
      <c r="C49" s="6" t="s">
        <v>11633</v>
      </c>
      <c r="D49" s="6">
        <v>4</v>
      </c>
      <c r="E49" s="5" t="s">
        <v>11634</v>
      </c>
      <c r="F49" s="7" t="s">
        <v>11535</v>
      </c>
    </row>
    <row r="50" ht="18" customHeight="1" spans="1:6">
      <c r="A50" s="5" t="s">
        <v>8</v>
      </c>
      <c r="B50" s="6" t="s">
        <v>11629</v>
      </c>
      <c r="C50" s="6" t="s">
        <v>11635</v>
      </c>
      <c r="D50" s="6">
        <v>1</v>
      </c>
      <c r="E50" s="5" t="s">
        <v>11636</v>
      </c>
      <c r="F50" s="7" t="s">
        <v>11535</v>
      </c>
    </row>
    <row r="51" ht="18" customHeight="1" spans="1:6">
      <c r="A51" s="5" t="s">
        <v>8</v>
      </c>
      <c r="B51" s="6" t="s">
        <v>179</v>
      </c>
      <c r="C51" s="6" t="s">
        <v>11637</v>
      </c>
      <c r="D51" s="6">
        <v>6</v>
      </c>
      <c r="E51" s="178" t="s">
        <v>11638</v>
      </c>
      <c r="F51" s="7" t="s">
        <v>11535</v>
      </c>
    </row>
    <row r="52" ht="18" customHeight="1" spans="1:6">
      <c r="A52" s="5" t="s">
        <v>8</v>
      </c>
      <c r="B52" s="6" t="s">
        <v>179</v>
      </c>
      <c r="C52" s="6" t="s">
        <v>11639</v>
      </c>
      <c r="D52" s="6">
        <v>3</v>
      </c>
      <c r="E52" s="178" t="s">
        <v>11640</v>
      </c>
      <c r="F52" s="7" t="s">
        <v>11535</v>
      </c>
    </row>
    <row r="53" ht="18" customHeight="1" spans="1:6">
      <c r="A53" s="5" t="s">
        <v>8</v>
      </c>
      <c r="B53" s="6" t="s">
        <v>11629</v>
      </c>
      <c r="C53" s="6" t="s">
        <v>11641</v>
      </c>
      <c r="D53" s="6">
        <v>3</v>
      </c>
      <c r="E53" s="178" t="s">
        <v>11642</v>
      </c>
      <c r="F53" s="7" t="s">
        <v>11535</v>
      </c>
    </row>
    <row r="54" ht="18" customHeight="1" spans="1:6">
      <c r="A54" s="5" t="s">
        <v>8</v>
      </c>
      <c r="B54" s="6" t="s">
        <v>11629</v>
      </c>
      <c r="C54" s="6" t="s">
        <v>11643</v>
      </c>
      <c r="D54" s="6">
        <v>1</v>
      </c>
      <c r="E54" s="178" t="s">
        <v>11644</v>
      </c>
      <c r="F54" s="7" t="s">
        <v>11535</v>
      </c>
    </row>
    <row r="55" ht="18" customHeight="1" spans="1:6">
      <c r="A55" s="5" t="s">
        <v>8</v>
      </c>
      <c r="B55" s="6" t="s">
        <v>11645</v>
      </c>
      <c r="C55" s="6" t="s">
        <v>11646</v>
      </c>
      <c r="D55" s="6">
        <v>5</v>
      </c>
      <c r="E55" s="178" t="s">
        <v>11647</v>
      </c>
      <c r="F55" s="7" t="s">
        <v>11535</v>
      </c>
    </row>
    <row r="56" ht="18" customHeight="1" spans="1:6">
      <c r="A56" s="5" t="s">
        <v>8</v>
      </c>
      <c r="B56" s="6" t="s">
        <v>11632</v>
      </c>
      <c r="C56" s="6" t="s">
        <v>11648</v>
      </c>
      <c r="D56" s="6">
        <v>4</v>
      </c>
      <c r="E56" s="5" t="s">
        <v>11649</v>
      </c>
      <c r="F56" s="7" t="s">
        <v>11535</v>
      </c>
    </row>
    <row r="57" ht="18" customHeight="1" spans="1:6">
      <c r="A57" s="5" t="s">
        <v>8</v>
      </c>
      <c r="B57" s="6" t="s">
        <v>11632</v>
      </c>
      <c r="C57" s="6" t="s">
        <v>11650</v>
      </c>
      <c r="D57" s="6">
        <v>2</v>
      </c>
      <c r="E57" s="178" t="s">
        <v>11651</v>
      </c>
      <c r="F57" s="7" t="s">
        <v>11535</v>
      </c>
    </row>
    <row r="58" ht="18" customHeight="1" spans="1:6">
      <c r="A58" s="5" t="s">
        <v>8</v>
      </c>
      <c r="B58" s="6" t="s">
        <v>174</v>
      </c>
      <c r="C58" s="6" t="s">
        <v>135</v>
      </c>
      <c r="D58" s="6">
        <v>4</v>
      </c>
      <c r="E58" s="178" t="s">
        <v>11652</v>
      </c>
      <c r="F58" s="7" t="s">
        <v>11535</v>
      </c>
    </row>
    <row r="59" ht="18" customHeight="1" spans="1:6">
      <c r="A59" s="5" t="s">
        <v>8</v>
      </c>
      <c r="B59" s="6" t="s">
        <v>11653</v>
      </c>
      <c r="C59" s="6" t="s">
        <v>11654</v>
      </c>
      <c r="D59" s="6">
        <v>5</v>
      </c>
      <c r="E59" s="178" t="s">
        <v>11651</v>
      </c>
      <c r="F59" s="7" t="s">
        <v>11535</v>
      </c>
    </row>
    <row r="60" ht="18" customHeight="1" spans="1:6">
      <c r="A60" s="5" t="s">
        <v>8</v>
      </c>
      <c r="B60" s="6" t="s">
        <v>11653</v>
      </c>
      <c r="C60" s="6" t="s">
        <v>11655</v>
      </c>
      <c r="D60" s="6">
        <v>3</v>
      </c>
      <c r="E60" s="195" t="s">
        <v>11656</v>
      </c>
      <c r="F60" s="7" t="s">
        <v>11535</v>
      </c>
    </row>
    <row r="61" ht="18" customHeight="1" spans="1:6">
      <c r="A61" s="5" t="s">
        <v>8</v>
      </c>
      <c r="B61" s="6" t="s">
        <v>171</v>
      </c>
      <c r="C61" s="6" t="s">
        <v>11657</v>
      </c>
      <c r="D61" s="6">
        <v>2</v>
      </c>
      <c r="E61" s="195" t="s">
        <v>11658</v>
      </c>
      <c r="F61" s="7" t="s">
        <v>11535</v>
      </c>
    </row>
    <row r="62" ht="18" customHeight="1" spans="1:6">
      <c r="A62" s="5" t="s">
        <v>8</v>
      </c>
      <c r="B62" s="6" t="s">
        <v>171</v>
      </c>
      <c r="C62" s="6" t="s">
        <v>11659</v>
      </c>
      <c r="D62" s="6">
        <v>1</v>
      </c>
      <c r="E62" s="6" t="s">
        <v>11660</v>
      </c>
      <c r="F62" s="7" t="s">
        <v>11535</v>
      </c>
    </row>
    <row r="63" ht="18" customHeight="1" spans="1:6">
      <c r="A63" s="5" t="s">
        <v>8</v>
      </c>
      <c r="B63" s="6" t="s">
        <v>11653</v>
      </c>
      <c r="C63" s="6" t="s">
        <v>11661</v>
      </c>
      <c r="D63" s="6">
        <v>1</v>
      </c>
      <c r="E63" s="6" t="s">
        <v>11662</v>
      </c>
      <c r="F63" s="7" t="s">
        <v>11535</v>
      </c>
    </row>
    <row r="64" ht="18" customHeight="1" spans="1:6">
      <c r="A64" s="5" t="s">
        <v>8</v>
      </c>
      <c r="B64" s="6" t="s">
        <v>11663</v>
      </c>
      <c r="C64" s="6" t="s">
        <v>11664</v>
      </c>
      <c r="D64" s="6">
        <v>4</v>
      </c>
      <c r="E64" s="195" t="s">
        <v>11665</v>
      </c>
      <c r="F64" s="7" t="s">
        <v>11535</v>
      </c>
    </row>
    <row r="65" ht="18" customHeight="1" spans="1:6">
      <c r="A65" s="5" t="s">
        <v>8</v>
      </c>
      <c r="B65" s="6" t="s">
        <v>171</v>
      </c>
      <c r="C65" s="6" t="s">
        <v>11666</v>
      </c>
      <c r="D65" s="6">
        <v>2</v>
      </c>
      <c r="E65" s="195" t="s">
        <v>11667</v>
      </c>
      <c r="F65" s="7" t="s">
        <v>11535</v>
      </c>
    </row>
    <row r="66" ht="18" customHeight="1" spans="1:6">
      <c r="A66" s="5" t="s">
        <v>8</v>
      </c>
      <c r="B66" s="6" t="s">
        <v>171</v>
      </c>
      <c r="C66" s="6" t="s">
        <v>11668</v>
      </c>
      <c r="D66" s="6">
        <v>1</v>
      </c>
      <c r="E66" s="195" t="s">
        <v>11669</v>
      </c>
      <c r="F66" s="7" t="s">
        <v>11535</v>
      </c>
    </row>
    <row r="67" ht="18" customHeight="1" spans="1:6">
      <c r="A67" s="5" t="s">
        <v>8</v>
      </c>
      <c r="B67" s="6" t="s">
        <v>11670</v>
      </c>
      <c r="C67" s="6" t="s">
        <v>11671</v>
      </c>
      <c r="D67" s="6">
        <v>4</v>
      </c>
      <c r="E67" s="195" t="s">
        <v>11672</v>
      </c>
      <c r="F67" s="7" t="s">
        <v>11535</v>
      </c>
    </row>
    <row r="68" ht="18" customHeight="1" spans="1:6">
      <c r="A68" s="5" t="s">
        <v>8</v>
      </c>
      <c r="B68" s="6" t="s">
        <v>11663</v>
      </c>
      <c r="C68" s="6" t="s">
        <v>11673</v>
      </c>
      <c r="D68" s="6">
        <v>3</v>
      </c>
      <c r="E68" s="6" t="s">
        <v>11674</v>
      </c>
      <c r="F68" s="7" t="s">
        <v>11535</v>
      </c>
    </row>
    <row r="69" ht="18" customHeight="1" spans="1:6">
      <c r="A69" s="5" t="s">
        <v>8</v>
      </c>
      <c r="B69" s="6" t="s">
        <v>11670</v>
      </c>
      <c r="C69" s="6" t="s">
        <v>11675</v>
      </c>
      <c r="D69" s="6">
        <v>2</v>
      </c>
      <c r="E69" s="195" t="s">
        <v>11676</v>
      </c>
      <c r="F69" s="7" t="s">
        <v>11535</v>
      </c>
    </row>
    <row r="70" ht="18" customHeight="1" spans="1:6">
      <c r="A70" s="5" t="s">
        <v>8</v>
      </c>
      <c r="B70" s="6" t="s">
        <v>171</v>
      </c>
      <c r="C70" s="6" t="s">
        <v>11677</v>
      </c>
      <c r="D70" s="6">
        <v>2</v>
      </c>
      <c r="E70" s="195" t="s">
        <v>11678</v>
      </c>
      <c r="F70" s="7" t="s">
        <v>11535</v>
      </c>
    </row>
    <row r="71" ht="18" customHeight="1" spans="1:6">
      <c r="A71" s="13" t="s">
        <v>185</v>
      </c>
      <c r="B71" s="13"/>
      <c r="C71" s="13">
        <v>67</v>
      </c>
      <c r="D71" s="13">
        <v>165</v>
      </c>
      <c r="E71" s="13"/>
      <c r="F71" s="5"/>
    </row>
    <row r="72" ht="18" customHeight="1" spans="1:6">
      <c r="A72" s="13" t="s">
        <v>186</v>
      </c>
      <c r="B72" s="5" t="s">
        <v>11679</v>
      </c>
      <c r="C72" s="14" t="s">
        <v>1677</v>
      </c>
      <c r="D72" s="15">
        <v>3</v>
      </c>
      <c r="E72" s="6" t="s">
        <v>11680</v>
      </c>
      <c r="F72" s="7" t="s">
        <v>11535</v>
      </c>
    </row>
    <row r="73" ht="18" customHeight="1" spans="1:6">
      <c r="A73" s="13" t="s">
        <v>186</v>
      </c>
      <c r="B73" s="13" t="s">
        <v>11681</v>
      </c>
      <c r="C73" s="13" t="s">
        <v>11682</v>
      </c>
      <c r="D73" s="15">
        <v>2</v>
      </c>
      <c r="E73" s="195" t="s">
        <v>11683</v>
      </c>
      <c r="F73" s="7" t="s">
        <v>11535</v>
      </c>
    </row>
    <row r="74" ht="18" customHeight="1" spans="1:6">
      <c r="A74" s="13" t="s">
        <v>186</v>
      </c>
      <c r="B74" s="13" t="s">
        <v>11684</v>
      </c>
      <c r="C74" s="13" t="s">
        <v>11685</v>
      </c>
      <c r="D74" s="15">
        <v>4</v>
      </c>
      <c r="E74" s="6" t="s">
        <v>11686</v>
      </c>
      <c r="F74" s="7" t="s">
        <v>11535</v>
      </c>
    </row>
    <row r="75" ht="18" customHeight="1" spans="1:6">
      <c r="A75" s="13" t="s">
        <v>186</v>
      </c>
      <c r="B75" s="13" t="s">
        <v>11687</v>
      </c>
      <c r="C75" s="13" t="s">
        <v>11688</v>
      </c>
      <c r="D75" s="15">
        <v>3</v>
      </c>
      <c r="E75" s="6" t="s">
        <v>11689</v>
      </c>
      <c r="F75" s="7" t="s">
        <v>11535</v>
      </c>
    </row>
    <row r="76" ht="18" customHeight="1" spans="1:6">
      <c r="A76" s="13" t="s">
        <v>186</v>
      </c>
      <c r="B76" s="13" t="s">
        <v>11687</v>
      </c>
      <c r="C76" s="13" t="s">
        <v>11690</v>
      </c>
      <c r="D76" s="15">
        <v>3</v>
      </c>
      <c r="E76" s="6" t="s">
        <v>11691</v>
      </c>
      <c r="F76" s="7" t="s">
        <v>11535</v>
      </c>
    </row>
    <row r="77" ht="18" customHeight="1" spans="1:6">
      <c r="A77" s="13" t="s">
        <v>186</v>
      </c>
      <c r="B77" s="13" t="s">
        <v>11692</v>
      </c>
      <c r="C77" s="13" t="s">
        <v>11693</v>
      </c>
      <c r="D77" s="15">
        <v>4</v>
      </c>
      <c r="E77" s="195" t="s">
        <v>11694</v>
      </c>
      <c r="F77" s="7" t="s">
        <v>11535</v>
      </c>
    </row>
    <row r="78" ht="18" customHeight="1" spans="1:6">
      <c r="A78" s="13" t="s">
        <v>186</v>
      </c>
      <c r="B78" s="13" t="s">
        <v>11692</v>
      </c>
      <c r="C78" s="13" t="s">
        <v>11695</v>
      </c>
      <c r="D78" s="15">
        <v>2</v>
      </c>
      <c r="E78" s="195" t="s">
        <v>11696</v>
      </c>
      <c r="F78" s="7" t="s">
        <v>11535</v>
      </c>
    </row>
    <row r="79" ht="18" customHeight="1" spans="1:6">
      <c r="A79" s="13" t="s">
        <v>186</v>
      </c>
      <c r="B79" s="13" t="s">
        <v>11692</v>
      </c>
      <c r="C79" s="13" t="s">
        <v>11697</v>
      </c>
      <c r="D79" s="15">
        <v>3</v>
      </c>
      <c r="E79" s="195" t="s">
        <v>11698</v>
      </c>
      <c r="F79" s="7" t="s">
        <v>11535</v>
      </c>
    </row>
    <row r="80" ht="18" customHeight="1" spans="1:6">
      <c r="A80" s="13" t="s">
        <v>186</v>
      </c>
      <c r="B80" s="13" t="s">
        <v>11699</v>
      </c>
      <c r="C80" s="13" t="s">
        <v>89</v>
      </c>
      <c r="D80" s="15">
        <v>4</v>
      </c>
      <c r="E80" s="195" t="s">
        <v>11700</v>
      </c>
      <c r="F80" s="7" t="s">
        <v>11535</v>
      </c>
    </row>
    <row r="81" ht="18" customHeight="1" spans="1:6">
      <c r="A81" s="13" t="s">
        <v>186</v>
      </c>
      <c r="B81" s="13" t="s">
        <v>11701</v>
      </c>
      <c r="C81" s="13" t="s">
        <v>11702</v>
      </c>
      <c r="D81" s="15">
        <v>2</v>
      </c>
      <c r="E81" s="195" t="s">
        <v>11703</v>
      </c>
      <c r="F81" s="7" t="s">
        <v>11535</v>
      </c>
    </row>
    <row r="82" ht="18" customHeight="1" spans="1:6">
      <c r="A82" s="13" t="s">
        <v>186</v>
      </c>
      <c r="B82" s="13" t="s">
        <v>11699</v>
      </c>
      <c r="C82" s="13" t="s">
        <v>11704</v>
      </c>
      <c r="D82" s="15">
        <v>4</v>
      </c>
      <c r="E82" s="195" t="s">
        <v>11705</v>
      </c>
      <c r="F82" s="7" t="s">
        <v>11535</v>
      </c>
    </row>
    <row r="83" ht="18" customHeight="1" spans="1:6">
      <c r="A83" s="13" t="s">
        <v>186</v>
      </c>
      <c r="B83" s="13" t="s">
        <v>11692</v>
      </c>
      <c r="C83" s="13" t="s">
        <v>11706</v>
      </c>
      <c r="D83" s="15">
        <v>5</v>
      </c>
      <c r="E83" s="6" t="s">
        <v>11707</v>
      </c>
      <c r="F83" s="7" t="s">
        <v>11535</v>
      </c>
    </row>
    <row r="84" ht="18" customHeight="1" spans="1:6">
      <c r="A84" s="13" t="s">
        <v>186</v>
      </c>
      <c r="B84" s="6" t="s">
        <v>11708</v>
      </c>
      <c r="C84" s="6" t="s">
        <v>11709</v>
      </c>
      <c r="D84" s="6">
        <v>5</v>
      </c>
      <c r="E84" s="6" t="s">
        <v>11710</v>
      </c>
      <c r="F84" s="7" t="s">
        <v>11535</v>
      </c>
    </row>
    <row r="85" ht="18" customHeight="1" spans="1:6">
      <c r="A85" s="13" t="s">
        <v>186</v>
      </c>
      <c r="B85" s="6" t="s">
        <v>11711</v>
      </c>
      <c r="C85" s="6" t="s">
        <v>11712</v>
      </c>
      <c r="D85" s="6">
        <v>4</v>
      </c>
      <c r="E85" s="6" t="s">
        <v>11713</v>
      </c>
      <c r="F85" s="7" t="s">
        <v>11535</v>
      </c>
    </row>
    <row r="86" ht="18" customHeight="1" spans="1:6">
      <c r="A86" s="13" t="s">
        <v>186</v>
      </c>
      <c r="B86" s="6" t="s">
        <v>11714</v>
      </c>
      <c r="C86" s="6" t="s">
        <v>11715</v>
      </c>
      <c r="D86" s="6">
        <v>2</v>
      </c>
      <c r="E86" s="6" t="s">
        <v>11716</v>
      </c>
      <c r="F86" s="7" t="s">
        <v>11535</v>
      </c>
    </row>
    <row r="87" ht="18" customHeight="1" spans="1:6">
      <c r="A87" s="13" t="s">
        <v>186</v>
      </c>
      <c r="B87" s="13" t="s">
        <v>11717</v>
      </c>
      <c r="C87" s="13" t="s">
        <v>11718</v>
      </c>
      <c r="D87" s="15">
        <v>4</v>
      </c>
      <c r="E87" s="195" t="s">
        <v>11719</v>
      </c>
      <c r="F87" s="7" t="s">
        <v>11535</v>
      </c>
    </row>
    <row r="88" ht="18" customHeight="1" spans="1:6">
      <c r="A88" s="13" t="s">
        <v>186</v>
      </c>
      <c r="B88" s="13" t="s">
        <v>11720</v>
      </c>
      <c r="C88" s="13" t="s">
        <v>8638</v>
      </c>
      <c r="D88" s="15">
        <v>3</v>
      </c>
      <c r="E88" s="195" t="s">
        <v>11721</v>
      </c>
      <c r="F88" s="7" t="s">
        <v>11535</v>
      </c>
    </row>
    <row r="89" ht="18" customHeight="1" spans="1:6">
      <c r="A89" s="13" t="s">
        <v>186</v>
      </c>
      <c r="B89" s="13" t="s">
        <v>11722</v>
      </c>
      <c r="C89" s="13" t="s">
        <v>11723</v>
      </c>
      <c r="D89" s="15">
        <v>3</v>
      </c>
      <c r="E89" s="195" t="s">
        <v>11724</v>
      </c>
      <c r="F89" s="7" t="s">
        <v>11535</v>
      </c>
    </row>
    <row r="90" ht="18" customHeight="1" spans="1:6">
      <c r="A90" s="13" t="s">
        <v>186</v>
      </c>
      <c r="B90" s="13" t="s">
        <v>11725</v>
      </c>
      <c r="C90" s="13" t="s">
        <v>8638</v>
      </c>
      <c r="D90" s="15">
        <v>4</v>
      </c>
      <c r="E90" s="195" t="s">
        <v>11726</v>
      </c>
      <c r="F90" s="7" t="s">
        <v>11535</v>
      </c>
    </row>
    <row r="91" ht="18" customHeight="1" spans="1:6">
      <c r="A91" s="13" t="s">
        <v>186</v>
      </c>
      <c r="B91" s="13" t="s">
        <v>11727</v>
      </c>
      <c r="C91" s="13" t="s">
        <v>11728</v>
      </c>
      <c r="D91" s="15">
        <v>3</v>
      </c>
      <c r="E91" s="195" t="s">
        <v>11729</v>
      </c>
      <c r="F91" s="7" t="s">
        <v>11535</v>
      </c>
    </row>
    <row r="92" ht="18" customHeight="1" spans="1:6">
      <c r="A92" s="13" t="s">
        <v>186</v>
      </c>
      <c r="B92" s="13" t="s">
        <v>11730</v>
      </c>
      <c r="C92" s="13" t="s">
        <v>11731</v>
      </c>
      <c r="D92" s="15">
        <v>2</v>
      </c>
      <c r="E92" s="195" t="s">
        <v>11732</v>
      </c>
      <c r="F92" s="7" t="s">
        <v>11535</v>
      </c>
    </row>
    <row r="93" ht="18" customHeight="1" spans="1:6">
      <c r="A93" s="13" t="s">
        <v>186</v>
      </c>
      <c r="B93" s="13" t="s">
        <v>11733</v>
      </c>
      <c r="C93" s="13" t="s">
        <v>11734</v>
      </c>
      <c r="D93" s="15">
        <v>2</v>
      </c>
      <c r="E93" s="6" t="s">
        <v>11735</v>
      </c>
      <c r="F93" s="7" t="s">
        <v>11535</v>
      </c>
    </row>
    <row r="94" ht="18" customHeight="1" spans="1:6">
      <c r="A94" s="13" t="s">
        <v>186</v>
      </c>
      <c r="B94" s="13" t="s">
        <v>11733</v>
      </c>
      <c r="C94" s="13" t="s">
        <v>11736</v>
      </c>
      <c r="D94" s="15">
        <v>4</v>
      </c>
      <c r="E94" s="195" t="s">
        <v>11737</v>
      </c>
      <c r="F94" s="7" t="s">
        <v>11535</v>
      </c>
    </row>
    <row r="95" ht="18" customHeight="1" spans="1:6">
      <c r="A95" s="13" t="s">
        <v>186</v>
      </c>
      <c r="B95" s="13" t="s">
        <v>11738</v>
      </c>
      <c r="C95" s="13" t="s">
        <v>11739</v>
      </c>
      <c r="D95" s="15">
        <v>4</v>
      </c>
      <c r="E95" s="195" t="s">
        <v>11740</v>
      </c>
      <c r="F95" s="7" t="s">
        <v>11535</v>
      </c>
    </row>
    <row r="96" ht="18" customHeight="1" spans="1:6">
      <c r="A96" s="13" t="s">
        <v>186</v>
      </c>
      <c r="B96" s="13" t="s">
        <v>11741</v>
      </c>
      <c r="C96" s="13" t="s">
        <v>11742</v>
      </c>
      <c r="D96" s="15">
        <v>4</v>
      </c>
      <c r="E96" s="6" t="s">
        <v>11743</v>
      </c>
      <c r="F96" s="7" t="s">
        <v>11535</v>
      </c>
    </row>
    <row r="97" ht="18" customHeight="1" spans="1:6">
      <c r="A97" s="13" t="s">
        <v>186</v>
      </c>
      <c r="B97" s="13" t="s">
        <v>11741</v>
      </c>
      <c r="C97" s="13" t="s">
        <v>11744</v>
      </c>
      <c r="D97" s="15">
        <v>4</v>
      </c>
      <c r="E97" s="6" t="s">
        <v>11745</v>
      </c>
      <c r="F97" s="7" t="s">
        <v>11535</v>
      </c>
    </row>
    <row r="98" ht="18" customHeight="1" spans="1:6">
      <c r="A98" s="13" t="s">
        <v>186</v>
      </c>
      <c r="B98" s="13" t="s">
        <v>11746</v>
      </c>
      <c r="C98" s="13" t="s">
        <v>11747</v>
      </c>
      <c r="D98" s="15">
        <v>3</v>
      </c>
      <c r="E98" s="6" t="s">
        <v>11748</v>
      </c>
      <c r="F98" s="7" t="s">
        <v>11535</v>
      </c>
    </row>
    <row r="99" ht="18" customHeight="1" spans="1:6">
      <c r="A99" s="13" t="s">
        <v>186</v>
      </c>
      <c r="B99" s="13" t="s">
        <v>11746</v>
      </c>
      <c r="C99" s="13" t="s">
        <v>11749</v>
      </c>
      <c r="D99" s="15">
        <v>3</v>
      </c>
      <c r="E99" s="6" t="s">
        <v>11750</v>
      </c>
      <c r="F99" s="7" t="s">
        <v>11535</v>
      </c>
    </row>
    <row r="100" ht="18" customHeight="1" spans="1:6">
      <c r="A100" s="13" t="s">
        <v>186</v>
      </c>
      <c r="B100" s="13" t="s">
        <v>11746</v>
      </c>
      <c r="C100" s="13" t="s">
        <v>11751</v>
      </c>
      <c r="D100" s="15">
        <v>2</v>
      </c>
      <c r="E100" s="6" t="s">
        <v>11752</v>
      </c>
      <c r="F100" s="7" t="s">
        <v>11535</v>
      </c>
    </row>
    <row r="101" ht="18" customHeight="1" spans="1:6">
      <c r="A101" s="13" t="s">
        <v>186</v>
      </c>
      <c r="B101" s="13" t="s">
        <v>11746</v>
      </c>
      <c r="C101" s="13" t="s">
        <v>11753</v>
      </c>
      <c r="D101" s="15">
        <v>2</v>
      </c>
      <c r="E101" s="6" t="s">
        <v>11754</v>
      </c>
      <c r="F101" s="7" t="s">
        <v>11535</v>
      </c>
    </row>
    <row r="102" ht="18" customHeight="1" spans="1:6">
      <c r="A102" s="13" t="s">
        <v>186</v>
      </c>
      <c r="B102" s="13" t="s">
        <v>11746</v>
      </c>
      <c r="C102" s="13" t="s">
        <v>11755</v>
      </c>
      <c r="D102" s="15">
        <v>1</v>
      </c>
      <c r="E102" s="6" t="s">
        <v>11756</v>
      </c>
      <c r="F102" s="7" t="s">
        <v>11535</v>
      </c>
    </row>
    <row r="103" ht="18" customHeight="1" spans="1:6">
      <c r="A103" s="13" t="s">
        <v>186</v>
      </c>
      <c r="B103" s="13" t="s">
        <v>11746</v>
      </c>
      <c r="C103" s="13" t="s">
        <v>11757</v>
      </c>
      <c r="D103" s="15">
        <v>3</v>
      </c>
      <c r="E103" s="6" t="s">
        <v>11758</v>
      </c>
      <c r="F103" s="7" t="s">
        <v>11535</v>
      </c>
    </row>
    <row r="104" ht="18" customHeight="1" spans="1:6">
      <c r="A104" s="13" t="s">
        <v>186</v>
      </c>
      <c r="B104" s="13" t="s">
        <v>11746</v>
      </c>
      <c r="C104" s="13" t="s">
        <v>11759</v>
      </c>
      <c r="D104" s="15">
        <v>2</v>
      </c>
      <c r="E104" s="6" t="s">
        <v>11760</v>
      </c>
      <c r="F104" s="7" t="s">
        <v>11535</v>
      </c>
    </row>
    <row r="105" ht="18" customHeight="1" spans="1:6">
      <c r="A105" s="13" t="s">
        <v>186</v>
      </c>
      <c r="B105" s="13" t="s">
        <v>11761</v>
      </c>
      <c r="C105" s="13" t="s">
        <v>11762</v>
      </c>
      <c r="D105" s="15">
        <v>2</v>
      </c>
      <c r="E105" s="6" t="s">
        <v>11763</v>
      </c>
      <c r="F105" s="7" t="s">
        <v>11535</v>
      </c>
    </row>
    <row r="106" ht="18" customHeight="1" spans="1:6">
      <c r="A106" s="13" t="s">
        <v>186</v>
      </c>
      <c r="B106" s="13" t="s">
        <v>11761</v>
      </c>
      <c r="C106" s="13" t="s">
        <v>11764</v>
      </c>
      <c r="D106" s="15">
        <v>2</v>
      </c>
      <c r="E106" s="6" t="s">
        <v>11765</v>
      </c>
      <c r="F106" s="7" t="s">
        <v>11535</v>
      </c>
    </row>
    <row r="107" ht="18" customHeight="1" spans="1:6">
      <c r="A107" s="13" t="s">
        <v>186</v>
      </c>
      <c r="B107" s="13" t="s">
        <v>11746</v>
      </c>
      <c r="C107" s="13" t="s">
        <v>11766</v>
      </c>
      <c r="D107" s="15">
        <v>1</v>
      </c>
      <c r="E107" s="6" t="s">
        <v>11767</v>
      </c>
      <c r="F107" s="7" t="s">
        <v>11535</v>
      </c>
    </row>
    <row r="108" ht="18" customHeight="1" spans="1:6">
      <c r="A108" s="13" t="s">
        <v>186</v>
      </c>
      <c r="B108" s="13" t="s">
        <v>11768</v>
      </c>
      <c r="C108" s="5" t="s">
        <v>11769</v>
      </c>
      <c r="D108" s="6">
        <v>3</v>
      </c>
      <c r="E108" s="195" t="s">
        <v>11770</v>
      </c>
      <c r="F108" s="7" t="s">
        <v>11535</v>
      </c>
    </row>
    <row r="109" ht="18" customHeight="1" spans="1:6">
      <c r="A109" s="13" t="s">
        <v>186</v>
      </c>
      <c r="B109" s="13" t="s">
        <v>11771</v>
      </c>
      <c r="C109" s="5" t="s">
        <v>11772</v>
      </c>
      <c r="D109" s="6">
        <v>3</v>
      </c>
      <c r="E109" s="195" t="s">
        <v>11773</v>
      </c>
      <c r="F109" s="7" t="s">
        <v>11535</v>
      </c>
    </row>
    <row r="110" ht="18" customHeight="1" spans="1:6">
      <c r="A110" s="13" t="s">
        <v>186</v>
      </c>
      <c r="B110" s="13" t="s">
        <v>11771</v>
      </c>
      <c r="C110" s="5" t="s">
        <v>11774</v>
      </c>
      <c r="D110" s="6">
        <v>2</v>
      </c>
      <c r="E110" s="195" t="s">
        <v>11775</v>
      </c>
      <c r="F110" s="7" t="s">
        <v>11535</v>
      </c>
    </row>
    <row r="111" ht="18" customHeight="1" spans="1:6">
      <c r="A111" s="13" t="s">
        <v>186</v>
      </c>
      <c r="B111" s="13" t="s">
        <v>11768</v>
      </c>
      <c r="C111" s="5" t="s">
        <v>11776</v>
      </c>
      <c r="D111" s="6">
        <v>3</v>
      </c>
      <c r="E111" s="195" t="s">
        <v>11777</v>
      </c>
      <c r="F111" s="7" t="s">
        <v>11535</v>
      </c>
    </row>
    <row r="112" ht="18" customHeight="1" spans="1:6">
      <c r="A112" s="13" t="s">
        <v>186</v>
      </c>
      <c r="B112" s="13" t="s">
        <v>11771</v>
      </c>
      <c r="C112" s="5" t="s">
        <v>11778</v>
      </c>
      <c r="D112" s="6">
        <v>3</v>
      </c>
      <c r="E112" s="195" t="s">
        <v>11779</v>
      </c>
      <c r="F112" s="7" t="s">
        <v>11535</v>
      </c>
    </row>
    <row r="113" ht="18" customHeight="1" spans="1:6">
      <c r="A113" s="13" t="s">
        <v>186</v>
      </c>
      <c r="B113" s="13" t="s">
        <v>11768</v>
      </c>
      <c r="C113" s="5" t="s">
        <v>11780</v>
      </c>
      <c r="D113" s="6">
        <v>3</v>
      </c>
      <c r="E113" s="195" t="s">
        <v>11781</v>
      </c>
      <c r="F113" s="7" t="s">
        <v>11535</v>
      </c>
    </row>
    <row r="114" ht="18" customHeight="1" spans="1:6">
      <c r="A114" s="13" t="s">
        <v>186</v>
      </c>
      <c r="B114" s="13" t="s">
        <v>11782</v>
      </c>
      <c r="C114" s="5" t="s">
        <v>11783</v>
      </c>
      <c r="D114" s="6">
        <v>2</v>
      </c>
      <c r="E114" s="195" t="s">
        <v>11784</v>
      </c>
      <c r="F114" s="7" t="s">
        <v>11535</v>
      </c>
    </row>
    <row r="115" ht="18" customHeight="1" spans="1:6">
      <c r="A115" s="13" t="s">
        <v>186</v>
      </c>
      <c r="B115" s="13" t="s">
        <v>11785</v>
      </c>
      <c r="C115" s="13" t="s">
        <v>11786</v>
      </c>
      <c r="D115" s="15">
        <v>3</v>
      </c>
      <c r="E115" s="6" t="s">
        <v>11787</v>
      </c>
      <c r="F115" s="7" t="s">
        <v>11535</v>
      </c>
    </row>
    <row r="116" ht="18" customHeight="1" spans="1:6">
      <c r="A116" s="13" t="s">
        <v>186</v>
      </c>
      <c r="B116" s="13" t="s">
        <v>11788</v>
      </c>
      <c r="C116" s="13" t="s">
        <v>11789</v>
      </c>
      <c r="D116" s="15">
        <v>1</v>
      </c>
      <c r="E116" s="6" t="s">
        <v>11790</v>
      </c>
      <c r="F116" s="7" t="s">
        <v>11535</v>
      </c>
    </row>
    <row r="117" ht="18" customHeight="1" spans="1:6">
      <c r="A117" s="13" t="s">
        <v>186</v>
      </c>
      <c r="B117" s="13" t="s">
        <v>11788</v>
      </c>
      <c r="C117" s="13" t="s">
        <v>11791</v>
      </c>
      <c r="D117" s="15">
        <v>3</v>
      </c>
      <c r="E117" s="6" t="s">
        <v>11792</v>
      </c>
      <c r="F117" s="7" t="s">
        <v>11535</v>
      </c>
    </row>
    <row r="118" ht="18" customHeight="1" spans="1:6">
      <c r="A118" s="13" t="s">
        <v>186</v>
      </c>
      <c r="B118" s="13" t="s">
        <v>11793</v>
      </c>
      <c r="C118" s="14" t="s">
        <v>11794</v>
      </c>
      <c r="D118" s="15">
        <v>2</v>
      </c>
      <c r="E118" s="6" t="s">
        <v>11795</v>
      </c>
      <c r="F118" s="7" t="s">
        <v>11535</v>
      </c>
    </row>
    <row r="119" ht="18" customHeight="1" spans="1:6">
      <c r="A119" s="13" t="s">
        <v>186</v>
      </c>
      <c r="B119" s="13" t="s">
        <v>11793</v>
      </c>
      <c r="C119" s="14" t="s">
        <v>11796</v>
      </c>
      <c r="D119" s="15">
        <v>3</v>
      </c>
      <c r="E119" s="6" t="s">
        <v>11797</v>
      </c>
      <c r="F119" s="7" t="s">
        <v>11535</v>
      </c>
    </row>
    <row r="120" ht="18" customHeight="1" spans="1:6">
      <c r="A120" s="13" t="s">
        <v>186</v>
      </c>
      <c r="B120" s="5" t="s">
        <v>11798</v>
      </c>
      <c r="C120" s="5" t="s">
        <v>11799</v>
      </c>
      <c r="D120" s="16">
        <v>2</v>
      </c>
      <c r="E120" s="6" t="s">
        <v>11800</v>
      </c>
      <c r="F120" s="7" t="s">
        <v>11535</v>
      </c>
    </row>
    <row r="121" ht="18" customHeight="1" spans="1:6">
      <c r="A121" s="13" t="s">
        <v>186</v>
      </c>
      <c r="B121" s="5" t="s">
        <v>11798</v>
      </c>
      <c r="C121" s="5" t="s">
        <v>11801</v>
      </c>
      <c r="D121" s="16">
        <v>3</v>
      </c>
      <c r="E121" s="6" t="s">
        <v>11802</v>
      </c>
      <c r="F121" s="7" t="s">
        <v>11535</v>
      </c>
    </row>
    <row r="122" ht="18" customHeight="1" spans="1:6">
      <c r="A122" s="13" t="s">
        <v>186</v>
      </c>
      <c r="B122" s="5" t="s">
        <v>11803</v>
      </c>
      <c r="C122" s="14" t="s">
        <v>11804</v>
      </c>
      <c r="D122" s="15">
        <v>3</v>
      </c>
      <c r="E122" s="6" t="s">
        <v>11805</v>
      </c>
      <c r="F122" s="7" t="s">
        <v>11535</v>
      </c>
    </row>
    <row r="123" ht="18" customHeight="1" spans="1:6">
      <c r="A123" s="13" t="s">
        <v>186</v>
      </c>
      <c r="B123" s="5" t="s">
        <v>11806</v>
      </c>
      <c r="C123" s="14" t="s">
        <v>11807</v>
      </c>
      <c r="D123" s="15">
        <v>1</v>
      </c>
      <c r="E123" s="6" t="s">
        <v>11808</v>
      </c>
      <c r="F123" s="7" t="s">
        <v>11535</v>
      </c>
    </row>
    <row r="124" ht="18" customHeight="1" spans="1:6">
      <c r="A124" s="13" t="s">
        <v>186</v>
      </c>
      <c r="B124" s="5" t="s">
        <v>11798</v>
      </c>
      <c r="C124" s="14" t="s">
        <v>1916</v>
      </c>
      <c r="D124" s="15">
        <v>1</v>
      </c>
      <c r="E124" s="6" t="s">
        <v>11809</v>
      </c>
      <c r="F124" s="7" t="s">
        <v>11535</v>
      </c>
    </row>
    <row r="125" ht="18" customHeight="1" spans="1:6">
      <c r="A125" s="13" t="s">
        <v>186</v>
      </c>
      <c r="B125" s="13" t="s">
        <v>11810</v>
      </c>
      <c r="C125" s="13" t="s">
        <v>11811</v>
      </c>
      <c r="D125" s="15">
        <v>2</v>
      </c>
      <c r="E125" s="195" t="s">
        <v>11812</v>
      </c>
      <c r="F125" s="7" t="s">
        <v>11535</v>
      </c>
    </row>
    <row r="126" ht="18" customHeight="1" spans="1:6">
      <c r="A126" s="13" t="s">
        <v>186</v>
      </c>
      <c r="B126" s="13" t="s">
        <v>11813</v>
      </c>
      <c r="C126" s="13" t="s">
        <v>11814</v>
      </c>
      <c r="D126" s="15">
        <v>4</v>
      </c>
      <c r="E126" s="195" t="s">
        <v>11815</v>
      </c>
      <c r="F126" s="7" t="s">
        <v>11535</v>
      </c>
    </row>
    <row r="127" ht="18" customHeight="1" spans="1:6">
      <c r="A127" s="13" t="s">
        <v>186</v>
      </c>
      <c r="B127" s="13" t="s">
        <v>11816</v>
      </c>
      <c r="C127" s="13" t="s">
        <v>11817</v>
      </c>
      <c r="D127" s="15">
        <v>3</v>
      </c>
      <c r="E127" s="195" t="s">
        <v>11818</v>
      </c>
      <c r="F127" s="7" t="s">
        <v>11535</v>
      </c>
    </row>
    <row r="128" ht="18" customHeight="1" spans="1:6">
      <c r="A128" s="13" t="s">
        <v>186</v>
      </c>
      <c r="B128" s="6" t="s">
        <v>11819</v>
      </c>
      <c r="C128" s="6" t="s">
        <v>11820</v>
      </c>
      <c r="D128" s="6">
        <v>2</v>
      </c>
      <c r="E128" s="6" t="s">
        <v>11821</v>
      </c>
      <c r="F128" s="7" t="s">
        <v>11535</v>
      </c>
    </row>
    <row r="129" ht="18" customHeight="1" spans="1:6">
      <c r="A129" s="13" t="s">
        <v>186</v>
      </c>
      <c r="B129" s="6" t="s">
        <v>11822</v>
      </c>
      <c r="C129" s="6" t="s">
        <v>11823</v>
      </c>
      <c r="D129" s="6">
        <v>3</v>
      </c>
      <c r="E129" s="6" t="s">
        <v>11824</v>
      </c>
      <c r="F129" s="7" t="s">
        <v>11535</v>
      </c>
    </row>
    <row r="130" ht="18" customHeight="1" spans="1:6">
      <c r="A130" s="13" t="s">
        <v>186</v>
      </c>
      <c r="B130" s="6" t="s">
        <v>11819</v>
      </c>
      <c r="C130" s="6" t="s">
        <v>11825</v>
      </c>
      <c r="D130" s="6">
        <v>3</v>
      </c>
      <c r="E130" s="6" t="s">
        <v>11826</v>
      </c>
      <c r="F130" s="7" t="s">
        <v>11535</v>
      </c>
    </row>
    <row r="131" ht="18" customHeight="1" spans="1:6">
      <c r="A131" s="13" t="s">
        <v>186</v>
      </c>
      <c r="B131" s="6" t="s">
        <v>11822</v>
      </c>
      <c r="C131" s="6" t="s">
        <v>11827</v>
      </c>
      <c r="D131" s="6">
        <v>2</v>
      </c>
      <c r="E131" s="6" t="s">
        <v>11828</v>
      </c>
      <c r="F131" s="7" t="s">
        <v>11535</v>
      </c>
    </row>
    <row r="132" ht="18" customHeight="1" spans="1:6">
      <c r="A132" s="13" t="s">
        <v>186</v>
      </c>
      <c r="B132" s="6" t="s">
        <v>11819</v>
      </c>
      <c r="C132" s="6" t="s">
        <v>11829</v>
      </c>
      <c r="D132" s="6">
        <v>3</v>
      </c>
      <c r="E132" s="6" t="s">
        <v>11830</v>
      </c>
      <c r="F132" s="7" t="s">
        <v>11535</v>
      </c>
    </row>
    <row r="133" ht="18" customHeight="1" spans="1:6">
      <c r="A133" s="13" t="s">
        <v>186</v>
      </c>
      <c r="B133" s="6" t="s">
        <v>11819</v>
      </c>
      <c r="C133" s="6" t="s">
        <v>11831</v>
      </c>
      <c r="D133" s="6">
        <v>3</v>
      </c>
      <c r="E133" s="6" t="s">
        <v>11832</v>
      </c>
      <c r="F133" s="7" t="s">
        <v>11535</v>
      </c>
    </row>
    <row r="134" ht="18" customHeight="1" spans="1:6">
      <c r="A134" s="13" t="s">
        <v>186</v>
      </c>
      <c r="B134" s="6" t="s">
        <v>11833</v>
      </c>
      <c r="C134" s="6" t="s">
        <v>11834</v>
      </c>
      <c r="D134" s="6">
        <v>2</v>
      </c>
      <c r="E134" s="6" t="s">
        <v>11835</v>
      </c>
      <c r="F134" s="7" t="s">
        <v>11535</v>
      </c>
    </row>
    <row r="135" ht="18" customHeight="1" spans="1:6">
      <c r="A135" s="13" t="s">
        <v>186</v>
      </c>
      <c r="B135" s="13" t="s">
        <v>11836</v>
      </c>
      <c r="C135" s="13" t="s">
        <v>11837</v>
      </c>
      <c r="D135" s="15">
        <v>5</v>
      </c>
      <c r="E135" s="195" t="s">
        <v>11838</v>
      </c>
      <c r="F135" s="7" t="s">
        <v>11535</v>
      </c>
    </row>
    <row r="136" ht="18" customHeight="1" spans="1:6">
      <c r="A136" s="13" t="s">
        <v>186</v>
      </c>
      <c r="B136" s="13" t="s">
        <v>11836</v>
      </c>
      <c r="C136" s="13" t="s">
        <v>11839</v>
      </c>
      <c r="D136" s="15">
        <v>1</v>
      </c>
      <c r="E136" s="195" t="s">
        <v>11840</v>
      </c>
      <c r="F136" s="7" t="s">
        <v>11535</v>
      </c>
    </row>
    <row r="137" ht="18" customHeight="1" spans="1:6">
      <c r="A137" s="13" t="s">
        <v>186</v>
      </c>
      <c r="B137" s="13" t="s">
        <v>11841</v>
      </c>
      <c r="C137" s="13" t="s">
        <v>11842</v>
      </c>
      <c r="D137" s="15">
        <v>4</v>
      </c>
      <c r="E137" s="195" t="s">
        <v>11843</v>
      </c>
      <c r="F137" s="7" t="s">
        <v>11535</v>
      </c>
    </row>
    <row r="138" ht="18" customHeight="1" spans="1:6">
      <c r="A138" s="13" t="s">
        <v>186</v>
      </c>
      <c r="B138" s="13" t="s">
        <v>11836</v>
      </c>
      <c r="C138" s="13" t="s">
        <v>11844</v>
      </c>
      <c r="D138" s="15">
        <v>2</v>
      </c>
      <c r="E138" s="195" t="s">
        <v>11845</v>
      </c>
      <c r="F138" s="7" t="s">
        <v>11535</v>
      </c>
    </row>
    <row r="139" ht="18" customHeight="1" spans="1:6">
      <c r="A139" s="13" t="s">
        <v>186</v>
      </c>
      <c r="B139" s="13" t="s">
        <v>11841</v>
      </c>
      <c r="C139" s="13" t="s">
        <v>11846</v>
      </c>
      <c r="D139" s="15">
        <v>5</v>
      </c>
      <c r="E139" s="195" t="s">
        <v>11847</v>
      </c>
      <c r="F139" s="7" t="s">
        <v>11535</v>
      </c>
    </row>
    <row r="140" ht="18" customHeight="1" spans="1:6">
      <c r="A140" s="13" t="s">
        <v>186</v>
      </c>
      <c r="B140" s="13" t="s">
        <v>11848</v>
      </c>
      <c r="C140" s="13" t="s">
        <v>11849</v>
      </c>
      <c r="D140" s="15">
        <v>2</v>
      </c>
      <c r="E140" s="195" t="s">
        <v>11850</v>
      </c>
      <c r="F140" s="7" t="s">
        <v>11535</v>
      </c>
    </row>
    <row r="141" ht="18" customHeight="1" spans="1:6">
      <c r="A141" s="13" t="s">
        <v>186</v>
      </c>
      <c r="B141" s="13" t="s">
        <v>11848</v>
      </c>
      <c r="C141" s="13" t="s">
        <v>11851</v>
      </c>
      <c r="D141" s="15">
        <v>2</v>
      </c>
      <c r="E141" s="195" t="s">
        <v>11852</v>
      </c>
      <c r="F141" s="7" t="s">
        <v>11535</v>
      </c>
    </row>
    <row r="142" ht="18" customHeight="1" spans="1:6">
      <c r="A142" s="13" t="s">
        <v>186</v>
      </c>
      <c r="B142" s="5" t="s">
        <v>11853</v>
      </c>
      <c r="C142" s="5" t="s">
        <v>11854</v>
      </c>
      <c r="D142" s="16">
        <v>4</v>
      </c>
      <c r="E142" s="6" t="s">
        <v>11855</v>
      </c>
      <c r="F142" s="7" t="s">
        <v>11535</v>
      </c>
    </row>
    <row r="143" ht="18" customHeight="1" spans="1:6">
      <c r="A143" s="13" t="s">
        <v>186</v>
      </c>
      <c r="B143" s="13" t="s">
        <v>11856</v>
      </c>
      <c r="C143" s="13" t="s">
        <v>11857</v>
      </c>
      <c r="D143" s="15">
        <v>3</v>
      </c>
      <c r="E143" s="195" t="s">
        <v>11858</v>
      </c>
      <c r="F143" s="7" t="s">
        <v>11535</v>
      </c>
    </row>
    <row r="144" ht="18" customHeight="1" spans="1:6">
      <c r="A144" s="13" t="s">
        <v>186</v>
      </c>
      <c r="B144" s="10" t="s">
        <v>382</v>
      </c>
      <c r="C144" s="10" t="s">
        <v>11859</v>
      </c>
      <c r="D144" s="10">
        <v>5</v>
      </c>
      <c r="E144" s="10" t="s">
        <v>11860</v>
      </c>
      <c r="F144" s="7" t="s">
        <v>11535</v>
      </c>
    </row>
    <row r="145" ht="18" customHeight="1" spans="1:6">
      <c r="A145" s="13" t="s">
        <v>186</v>
      </c>
      <c r="B145" s="10" t="s">
        <v>382</v>
      </c>
      <c r="C145" s="10" t="s">
        <v>11861</v>
      </c>
      <c r="D145" s="10">
        <v>4</v>
      </c>
      <c r="E145" s="10" t="s">
        <v>11862</v>
      </c>
      <c r="F145" s="7" t="s">
        <v>11535</v>
      </c>
    </row>
    <row r="146" ht="18" customHeight="1" spans="1:6">
      <c r="A146" s="13" t="s">
        <v>186</v>
      </c>
      <c r="B146" s="10" t="s">
        <v>382</v>
      </c>
      <c r="C146" s="10" t="s">
        <v>11863</v>
      </c>
      <c r="D146" s="10">
        <v>4</v>
      </c>
      <c r="E146" s="10" t="s">
        <v>11864</v>
      </c>
      <c r="F146" s="7" t="s">
        <v>11535</v>
      </c>
    </row>
    <row r="147" ht="18" customHeight="1" spans="1:6">
      <c r="A147" s="13" t="s">
        <v>186</v>
      </c>
      <c r="B147" s="10" t="s">
        <v>382</v>
      </c>
      <c r="C147" s="10" t="s">
        <v>11865</v>
      </c>
      <c r="D147" s="10">
        <v>2</v>
      </c>
      <c r="E147" s="10" t="s">
        <v>11866</v>
      </c>
      <c r="F147" s="7" t="s">
        <v>11535</v>
      </c>
    </row>
    <row r="148" ht="18" customHeight="1" spans="1:6">
      <c r="A148" s="13" t="s">
        <v>186</v>
      </c>
      <c r="B148" s="10" t="s">
        <v>382</v>
      </c>
      <c r="C148" s="10" t="s">
        <v>11867</v>
      </c>
      <c r="D148" s="10">
        <v>4</v>
      </c>
      <c r="E148" s="10" t="s">
        <v>11868</v>
      </c>
      <c r="F148" s="7" t="s">
        <v>11535</v>
      </c>
    </row>
    <row r="149" ht="18" customHeight="1" spans="1:6">
      <c r="A149" s="13" t="s">
        <v>186</v>
      </c>
      <c r="B149" s="10" t="s">
        <v>382</v>
      </c>
      <c r="C149" s="10" t="s">
        <v>11869</v>
      </c>
      <c r="D149" s="10">
        <v>2</v>
      </c>
      <c r="E149" s="10" t="s">
        <v>11870</v>
      </c>
      <c r="F149" s="7" t="s">
        <v>11535</v>
      </c>
    </row>
    <row r="150" ht="18" customHeight="1" spans="1:6">
      <c r="A150" s="13" t="s">
        <v>186</v>
      </c>
      <c r="B150" s="5" t="s">
        <v>11871</v>
      </c>
      <c r="C150" s="5" t="s">
        <v>11872</v>
      </c>
      <c r="D150" s="16">
        <v>2</v>
      </c>
      <c r="E150" s="6" t="s">
        <v>11873</v>
      </c>
      <c r="F150" s="7" t="s">
        <v>11535</v>
      </c>
    </row>
    <row r="151" ht="18" customHeight="1" spans="1:6">
      <c r="A151" s="13" t="s">
        <v>186</v>
      </c>
      <c r="B151" s="5" t="s">
        <v>11871</v>
      </c>
      <c r="C151" s="5" t="s">
        <v>11874</v>
      </c>
      <c r="D151" s="16">
        <v>2</v>
      </c>
      <c r="E151" s="6" t="s">
        <v>11875</v>
      </c>
      <c r="F151" s="7" t="s">
        <v>11535</v>
      </c>
    </row>
    <row r="152" ht="18" customHeight="1" spans="1:6">
      <c r="A152" s="13" t="s">
        <v>186</v>
      </c>
      <c r="B152" s="5" t="s">
        <v>11876</v>
      </c>
      <c r="C152" s="5" t="s">
        <v>11877</v>
      </c>
      <c r="D152" s="16">
        <v>4</v>
      </c>
      <c r="E152" s="6" t="s">
        <v>11878</v>
      </c>
      <c r="F152" s="7" t="s">
        <v>11535</v>
      </c>
    </row>
    <row r="153" ht="18" customHeight="1" spans="1:6">
      <c r="A153" s="13" t="s">
        <v>186</v>
      </c>
      <c r="B153" s="5" t="s">
        <v>11879</v>
      </c>
      <c r="C153" s="5" t="s">
        <v>11880</v>
      </c>
      <c r="D153" s="16">
        <v>3</v>
      </c>
      <c r="E153" s="6" t="s">
        <v>11881</v>
      </c>
      <c r="F153" s="7" t="s">
        <v>11535</v>
      </c>
    </row>
    <row r="154" ht="18" customHeight="1" spans="1:6">
      <c r="A154" s="13" t="s">
        <v>186</v>
      </c>
      <c r="B154" s="5" t="s">
        <v>11879</v>
      </c>
      <c r="C154" s="5" t="s">
        <v>11882</v>
      </c>
      <c r="D154" s="16">
        <v>4</v>
      </c>
      <c r="E154" s="6" t="s">
        <v>11883</v>
      </c>
      <c r="F154" s="7" t="s">
        <v>11535</v>
      </c>
    </row>
    <row r="155" ht="18" customHeight="1" spans="1:6">
      <c r="A155" s="13" t="s">
        <v>186</v>
      </c>
      <c r="B155" s="5" t="s">
        <v>11879</v>
      </c>
      <c r="C155" s="5" t="s">
        <v>11884</v>
      </c>
      <c r="D155" s="16">
        <v>7</v>
      </c>
      <c r="E155" s="6" t="s">
        <v>11885</v>
      </c>
      <c r="F155" s="7" t="s">
        <v>11535</v>
      </c>
    </row>
    <row r="156" ht="18" customHeight="1" spans="1:6">
      <c r="A156" s="13" t="s">
        <v>186</v>
      </c>
      <c r="B156" s="5" t="s">
        <v>11886</v>
      </c>
      <c r="C156" s="5" t="s">
        <v>11887</v>
      </c>
      <c r="D156" s="16">
        <v>4</v>
      </c>
      <c r="E156" s="6" t="s">
        <v>11888</v>
      </c>
      <c r="F156" s="7" t="s">
        <v>11535</v>
      </c>
    </row>
    <row r="157" ht="18" customHeight="1" spans="1:6">
      <c r="A157" s="13" t="s">
        <v>186</v>
      </c>
      <c r="B157" s="5" t="s">
        <v>11871</v>
      </c>
      <c r="C157" s="5" t="s">
        <v>11889</v>
      </c>
      <c r="D157" s="16">
        <v>4</v>
      </c>
      <c r="E157" s="6" t="s">
        <v>11890</v>
      </c>
      <c r="F157" s="7" t="s">
        <v>11535</v>
      </c>
    </row>
    <row r="158" ht="18" customHeight="1" spans="1:6">
      <c r="A158" s="13" t="s">
        <v>186</v>
      </c>
      <c r="B158" s="5" t="s">
        <v>11871</v>
      </c>
      <c r="C158" s="5" t="s">
        <v>11891</v>
      </c>
      <c r="D158" s="16">
        <v>5</v>
      </c>
      <c r="E158" s="6" t="s">
        <v>11892</v>
      </c>
      <c r="F158" s="7" t="s">
        <v>11535</v>
      </c>
    </row>
    <row r="159" ht="18" customHeight="1" spans="1:6">
      <c r="A159" s="13" t="s">
        <v>186</v>
      </c>
      <c r="B159" s="5" t="s">
        <v>11893</v>
      </c>
      <c r="C159" s="5" t="s">
        <v>11894</v>
      </c>
      <c r="D159" s="16">
        <v>3</v>
      </c>
      <c r="E159" s="6" t="s">
        <v>11895</v>
      </c>
      <c r="F159" s="7" t="s">
        <v>11535</v>
      </c>
    </row>
    <row r="160" ht="18" customHeight="1" spans="1:6">
      <c r="A160" s="13" t="s">
        <v>186</v>
      </c>
      <c r="B160" s="5" t="s">
        <v>11879</v>
      </c>
      <c r="C160" s="5" t="s">
        <v>11896</v>
      </c>
      <c r="D160" s="16">
        <v>4</v>
      </c>
      <c r="E160" s="6" t="s">
        <v>11897</v>
      </c>
      <c r="F160" s="7" t="s">
        <v>11535</v>
      </c>
    </row>
    <row r="161" ht="18" customHeight="1" spans="1:6">
      <c r="A161" s="13" t="s">
        <v>186</v>
      </c>
      <c r="B161" s="5" t="s">
        <v>11879</v>
      </c>
      <c r="C161" s="5" t="s">
        <v>11898</v>
      </c>
      <c r="D161" s="16">
        <v>5</v>
      </c>
      <c r="E161" s="6" t="s">
        <v>11899</v>
      </c>
      <c r="F161" s="7" t="s">
        <v>11535</v>
      </c>
    </row>
    <row r="162" ht="18" customHeight="1" spans="1:6">
      <c r="A162" s="13" t="s">
        <v>186</v>
      </c>
      <c r="B162" s="5" t="s">
        <v>11893</v>
      </c>
      <c r="C162" s="14" t="s">
        <v>11900</v>
      </c>
      <c r="D162" s="15">
        <v>1</v>
      </c>
      <c r="E162" s="6" t="s">
        <v>11901</v>
      </c>
      <c r="F162" s="7" t="s">
        <v>11535</v>
      </c>
    </row>
    <row r="163" ht="18" customHeight="1" spans="1:6">
      <c r="A163" s="13" t="s">
        <v>186</v>
      </c>
      <c r="B163" s="13" t="s">
        <v>11902</v>
      </c>
      <c r="C163" s="17" t="s">
        <v>11903</v>
      </c>
      <c r="D163" s="18">
        <v>3</v>
      </c>
      <c r="E163" s="6" t="s">
        <v>11904</v>
      </c>
      <c r="F163" s="7" t="s">
        <v>11535</v>
      </c>
    </row>
    <row r="164" ht="18" customHeight="1" spans="1:6">
      <c r="A164" s="13" t="s">
        <v>186</v>
      </c>
      <c r="B164" s="13" t="s">
        <v>11905</v>
      </c>
      <c r="C164" s="17" t="s">
        <v>11906</v>
      </c>
      <c r="D164" s="18">
        <v>2</v>
      </c>
      <c r="E164" s="6" t="s">
        <v>11907</v>
      </c>
      <c r="F164" s="7" t="s">
        <v>11535</v>
      </c>
    </row>
    <row r="165" ht="18" customHeight="1" spans="1:6">
      <c r="A165" s="13" t="s">
        <v>186</v>
      </c>
      <c r="B165" s="13" t="s">
        <v>11908</v>
      </c>
      <c r="C165" s="17" t="s">
        <v>427</v>
      </c>
      <c r="D165" s="18">
        <v>3</v>
      </c>
      <c r="E165" s="6" t="s">
        <v>11909</v>
      </c>
      <c r="F165" s="7" t="s">
        <v>11535</v>
      </c>
    </row>
    <row r="166" ht="18" customHeight="1" spans="1:6">
      <c r="A166" s="13" t="s">
        <v>186</v>
      </c>
      <c r="B166" s="13" t="s">
        <v>11910</v>
      </c>
      <c r="C166" s="17" t="s">
        <v>11911</v>
      </c>
      <c r="D166" s="18">
        <v>2</v>
      </c>
      <c r="E166" s="6" t="s">
        <v>11912</v>
      </c>
      <c r="F166" s="7" t="s">
        <v>11535</v>
      </c>
    </row>
    <row r="167" ht="18" customHeight="1" spans="1:6">
      <c r="A167" s="13" t="s">
        <v>186</v>
      </c>
      <c r="B167" s="13" t="s">
        <v>11910</v>
      </c>
      <c r="C167" s="17" t="s">
        <v>11913</v>
      </c>
      <c r="D167" s="18">
        <v>4</v>
      </c>
      <c r="E167" s="6" t="s">
        <v>11914</v>
      </c>
      <c r="F167" s="7" t="s">
        <v>11535</v>
      </c>
    </row>
    <row r="168" ht="18" customHeight="1" spans="1:6">
      <c r="A168" s="13" t="s">
        <v>186</v>
      </c>
      <c r="B168" s="13" t="s">
        <v>11910</v>
      </c>
      <c r="C168" s="17" t="s">
        <v>11915</v>
      </c>
      <c r="D168" s="18">
        <v>3</v>
      </c>
      <c r="E168" s="6" t="s">
        <v>11916</v>
      </c>
      <c r="F168" s="7" t="s">
        <v>11535</v>
      </c>
    </row>
    <row r="169" ht="18" customHeight="1" spans="1:6">
      <c r="A169" s="13" t="s">
        <v>186</v>
      </c>
      <c r="B169" s="13" t="s">
        <v>11910</v>
      </c>
      <c r="C169" s="8" t="s">
        <v>11917</v>
      </c>
      <c r="D169" s="18">
        <v>5</v>
      </c>
      <c r="E169" s="6" t="s">
        <v>11918</v>
      </c>
      <c r="F169" s="7" t="s">
        <v>11535</v>
      </c>
    </row>
    <row r="170" ht="18" customHeight="1" spans="1:6">
      <c r="A170" s="13" t="s">
        <v>186</v>
      </c>
      <c r="B170" s="13" t="s">
        <v>11919</v>
      </c>
      <c r="C170" s="17" t="s">
        <v>11920</v>
      </c>
      <c r="D170" s="18">
        <v>3</v>
      </c>
      <c r="E170" s="6" t="s">
        <v>11921</v>
      </c>
      <c r="F170" s="7" t="s">
        <v>11535</v>
      </c>
    </row>
    <row r="171" ht="18" customHeight="1" spans="1:6">
      <c r="A171" s="13" t="s">
        <v>186</v>
      </c>
      <c r="B171" s="13" t="s">
        <v>11919</v>
      </c>
      <c r="C171" s="17" t="s">
        <v>11922</v>
      </c>
      <c r="D171" s="18">
        <v>3</v>
      </c>
      <c r="E171" s="6" t="s">
        <v>11923</v>
      </c>
      <c r="F171" s="7" t="s">
        <v>11535</v>
      </c>
    </row>
    <row r="172" ht="18" customHeight="1" spans="1:6">
      <c r="A172" s="13" t="s">
        <v>186</v>
      </c>
      <c r="B172" s="13" t="s">
        <v>11919</v>
      </c>
      <c r="C172" s="17" t="s">
        <v>11924</v>
      </c>
      <c r="D172" s="18">
        <v>3</v>
      </c>
      <c r="E172" s="6" t="s">
        <v>11925</v>
      </c>
      <c r="F172" s="7" t="s">
        <v>11535</v>
      </c>
    </row>
    <row r="173" ht="18" customHeight="1" spans="1:6">
      <c r="A173" s="13" t="s">
        <v>186</v>
      </c>
      <c r="B173" s="13" t="s">
        <v>11919</v>
      </c>
      <c r="C173" s="17" t="s">
        <v>11926</v>
      </c>
      <c r="D173" s="18">
        <v>3</v>
      </c>
      <c r="E173" s="6" t="s">
        <v>11927</v>
      </c>
      <c r="F173" s="7" t="s">
        <v>11535</v>
      </c>
    </row>
    <row r="174" ht="18" customHeight="1" spans="1:6">
      <c r="A174" s="13" t="s">
        <v>186</v>
      </c>
      <c r="B174" s="13" t="s">
        <v>11919</v>
      </c>
      <c r="C174" s="17" t="s">
        <v>11928</v>
      </c>
      <c r="D174" s="18">
        <v>4</v>
      </c>
      <c r="E174" s="6" t="s">
        <v>11929</v>
      </c>
      <c r="F174" s="7" t="s">
        <v>11535</v>
      </c>
    </row>
    <row r="175" ht="18" customHeight="1" spans="1:6">
      <c r="A175" s="13" t="s">
        <v>186</v>
      </c>
      <c r="B175" s="13" t="s">
        <v>11919</v>
      </c>
      <c r="C175" s="17" t="s">
        <v>11930</v>
      </c>
      <c r="D175" s="18">
        <v>5</v>
      </c>
      <c r="E175" s="6" t="s">
        <v>11931</v>
      </c>
      <c r="F175" s="7" t="s">
        <v>11535</v>
      </c>
    </row>
    <row r="176" ht="18" customHeight="1" spans="1:6">
      <c r="A176" s="13" t="s">
        <v>186</v>
      </c>
      <c r="B176" s="13" t="s">
        <v>11919</v>
      </c>
      <c r="C176" s="17" t="s">
        <v>11932</v>
      </c>
      <c r="D176" s="18">
        <v>4</v>
      </c>
      <c r="E176" s="6" t="s">
        <v>11933</v>
      </c>
      <c r="F176" s="7" t="s">
        <v>11535</v>
      </c>
    </row>
    <row r="177" ht="18" customHeight="1" spans="1:6">
      <c r="A177" s="13" t="s">
        <v>186</v>
      </c>
      <c r="B177" s="13" t="s">
        <v>11919</v>
      </c>
      <c r="C177" s="17" t="s">
        <v>11934</v>
      </c>
      <c r="D177" s="18">
        <v>4</v>
      </c>
      <c r="E177" s="6" t="s">
        <v>11935</v>
      </c>
      <c r="F177" s="7" t="s">
        <v>11535</v>
      </c>
    </row>
    <row r="178" ht="18" customHeight="1" spans="1:6">
      <c r="A178" s="13" t="s">
        <v>186</v>
      </c>
      <c r="B178" s="13" t="s">
        <v>11919</v>
      </c>
      <c r="C178" s="17" t="s">
        <v>11936</v>
      </c>
      <c r="D178" s="18">
        <v>3</v>
      </c>
      <c r="E178" s="6" t="s">
        <v>11937</v>
      </c>
      <c r="F178" s="7" t="s">
        <v>11535</v>
      </c>
    </row>
    <row r="179" ht="18" customHeight="1" spans="1:6">
      <c r="A179" s="13" t="s">
        <v>186</v>
      </c>
      <c r="B179" s="13" t="s">
        <v>11919</v>
      </c>
      <c r="C179" s="17" t="s">
        <v>11938</v>
      </c>
      <c r="D179" s="18">
        <v>3</v>
      </c>
      <c r="E179" s="6" t="s">
        <v>11939</v>
      </c>
      <c r="F179" s="7" t="s">
        <v>11535</v>
      </c>
    </row>
    <row r="180" ht="18" customHeight="1" spans="1:6">
      <c r="A180" s="13" t="s">
        <v>186</v>
      </c>
      <c r="B180" s="13" t="s">
        <v>11919</v>
      </c>
      <c r="C180" s="17" t="s">
        <v>11940</v>
      </c>
      <c r="D180" s="18">
        <v>2</v>
      </c>
      <c r="E180" s="6" t="s">
        <v>11941</v>
      </c>
      <c r="F180" s="7" t="s">
        <v>11535</v>
      </c>
    </row>
    <row r="181" ht="18" customHeight="1" spans="1:6">
      <c r="A181" s="13" t="s">
        <v>186</v>
      </c>
      <c r="B181" s="13" t="s">
        <v>11919</v>
      </c>
      <c r="C181" s="13" t="s">
        <v>11942</v>
      </c>
      <c r="D181" s="15">
        <v>3</v>
      </c>
      <c r="E181" s="6" t="s">
        <v>11943</v>
      </c>
      <c r="F181" s="7" t="s">
        <v>11535</v>
      </c>
    </row>
    <row r="182" ht="18" customHeight="1" spans="1:6">
      <c r="A182" s="13" t="s">
        <v>186</v>
      </c>
      <c r="B182" s="13" t="s">
        <v>11944</v>
      </c>
      <c r="C182" s="17" t="s">
        <v>11945</v>
      </c>
      <c r="D182" s="18">
        <v>2</v>
      </c>
      <c r="E182" s="6" t="s">
        <v>11946</v>
      </c>
      <c r="F182" s="7" t="s">
        <v>11535</v>
      </c>
    </row>
    <row r="183" ht="18" customHeight="1" spans="1:6">
      <c r="A183" s="13" t="s">
        <v>186</v>
      </c>
      <c r="B183" s="13" t="s">
        <v>11944</v>
      </c>
      <c r="C183" s="17" t="s">
        <v>9907</v>
      </c>
      <c r="D183" s="18">
        <v>2</v>
      </c>
      <c r="E183" s="6" t="s">
        <v>11947</v>
      </c>
      <c r="F183" s="7" t="s">
        <v>11535</v>
      </c>
    </row>
    <row r="184" ht="18" customHeight="1" spans="1:6">
      <c r="A184" s="13" t="s">
        <v>186</v>
      </c>
      <c r="B184" s="13" t="s">
        <v>11908</v>
      </c>
      <c r="C184" s="13" t="s">
        <v>11948</v>
      </c>
      <c r="D184" s="15">
        <v>1</v>
      </c>
      <c r="E184" s="6" t="s">
        <v>11949</v>
      </c>
      <c r="F184" s="7" t="s">
        <v>11535</v>
      </c>
    </row>
    <row r="185" ht="18" customHeight="1" spans="1:6">
      <c r="A185" s="13" t="s">
        <v>186</v>
      </c>
      <c r="B185" s="13" t="s">
        <v>11908</v>
      </c>
      <c r="C185" s="13" t="s">
        <v>11950</v>
      </c>
      <c r="D185" s="15">
        <v>2</v>
      </c>
      <c r="E185" s="6" t="s">
        <v>11951</v>
      </c>
      <c r="F185" s="7" t="s">
        <v>11535</v>
      </c>
    </row>
    <row r="186" ht="18" customHeight="1" spans="1:6">
      <c r="A186" s="13" t="s">
        <v>186</v>
      </c>
      <c r="B186" s="13" t="s">
        <v>11952</v>
      </c>
      <c r="C186" s="13" t="s">
        <v>11953</v>
      </c>
      <c r="D186" s="15">
        <v>4</v>
      </c>
      <c r="E186" s="6" t="s">
        <v>11954</v>
      </c>
      <c r="F186" s="7" t="s">
        <v>11535</v>
      </c>
    </row>
    <row r="187" ht="18" customHeight="1" spans="1:6">
      <c r="A187" s="13" t="s">
        <v>186</v>
      </c>
      <c r="B187" s="5" t="s">
        <v>11955</v>
      </c>
      <c r="C187" s="5" t="s">
        <v>11956</v>
      </c>
      <c r="D187" s="6">
        <v>5</v>
      </c>
      <c r="E187" s="195" t="s">
        <v>11957</v>
      </c>
      <c r="F187" s="7" t="s">
        <v>11535</v>
      </c>
    </row>
    <row r="188" ht="18" customHeight="1" spans="1:6">
      <c r="A188" s="13" t="s">
        <v>186</v>
      </c>
      <c r="B188" s="5" t="s">
        <v>11958</v>
      </c>
      <c r="C188" s="5" t="s">
        <v>11959</v>
      </c>
      <c r="D188" s="6">
        <v>2</v>
      </c>
      <c r="E188" s="195" t="s">
        <v>11960</v>
      </c>
      <c r="F188" s="7" t="s">
        <v>11535</v>
      </c>
    </row>
    <row r="189" ht="18" customHeight="1" spans="1:6">
      <c r="A189" s="13" t="s">
        <v>186</v>
      </c>
      <c r="B189" s="5" t="s">
        <v>11958</v>
      </c>
      <c r="C189" s="5" t="s">
        <v>11961</v>
      </c>
      <c r="D189" s="6">
        <v>7</v>
      </c>
      <c r="E189" s="195" t="s">
        <v>11962</v>
      </c>
      <c r="F189" s="7" t="s">
        <v>11535</v>
      </c>
    </row>
    <row r="190" ht="18" customHeight="1" spans="1:6">
      <c r="A190" s="13" t="s">
        <v>186</v>
      </c>
      <c r="B190" s="5" t="s">
        <v>11963</v>
      </c>
      <c r="C190" s="5" t="s">
        <v>11964</v>
      </c>
      <c r="D190" s="6">
        <v>1</v>
      </c>
      <c r="E190" s="195" t="s">
        <v>11965</v>
      </c>
      <c r="F190" s="7" t="s">
        <v>11535</v>
      </c>
    </row>
    <row r="191" ht="18" customHeight="1" spans="1:6">
      <c r="A191" s="13" t="s">
        <v>186</v>
      </c>
      <c r="B191" s="5" t="s">
        <v>11955</v>
      </c>
      <c r="C191" s="5" t="s">
        <v>11966</v>
      </c>
      <c r="D191" s="6">
        <v>4</v>
      </c>
      <c r="E191" s="195" t="s">
        <v>11967</v>
      </c>
      <c r="F191" s="7" t="s">
        <v>11535</v>
      </c>
    </row>
    <row r="192" ht="18" customHeight="1" spans="1:6">
      <c r="A192" s="13" t="s">
        <v>186</v>
      </c>
      <c r="B192" s="5" t="s">
        <v>11968</v>
      </c>
      <c r="C192" s="5" t="s">
        <v>11969</v>
      </c>
      <c r="D192" s="6">
        <v>2</v>
      </c>
      <c r="E192" s="195" t="s">
        <v>11970</v>
      </c>
      <c r="F192" s="7" t="s">
        <v>11535</v>
      </c>
    </row>
    <row r="193" ht="18" customHeight="1" spans="1:6">
      <c r="A193" s="13" t="s">
        <v>186</v>
      </c>
      <c r="B193" s="5" t="s">
        <v>11958</v>
      </c>
      <c r="C193" s="5" t="s">
        <v>9092</v>
      </c>
      <c r="D193" s="6">
        <v>5</v>
      </c>
      <c r="E193" s="195" t="s">
        <v>11971</v>
      </c>
      <c r="F193" s="7" t="s">
        <v>11535</v>
      </c>
    </row>
    <row r="194" ht="18" customHeight="1" spans="1:6">
      <c r="A194" s="13" t="s">
        <v>186</v>
      </c>
      <c r="B194" s="5" t="s">
        <v>11968</v>
      </c>
      <c r="C194" s="5" t="s">
        <v>11972</v>
      </c>
      <c r="D194" s="6">
        <v>5</v>
      </c>
      <c r="E194" s="195" t="s">
        <v>11973</v>
      </c>
      <c r="F194" s="7" t="s">
        <v>11535</v>
      </c>
    </row>
    <row r="195" ht="18" customHeight="1" spans="1:6">
      <c r="A195" s="13" t="s">
        <v>186</v>
      </c>
      <c r="B195" s="5" t="s">
        <v>11968</v>
      </c>
      <c r="C195" s="5" t="s">
        <v>11974</v>
      </c>
      <c r="D195" s="6">
        <v>3</v>
      </c>
      <c r="E195" s="195" t="s">
        <v>11975</v>
      </c>
      <c r="F195" s="7" t="s">
        <v>11535</v>
      </c>
    </row>
    <row r="196" ht="18" customHeight="1" spans="1:6">
      <c r="A196" s="13" t="s">
        <v>186</v>
      </c>
      <c r="B196" s="5" t="s">
        <v>11968</v>
      </c>
      <c r="C196" s="5" t="s">
        <v>11976</v>
      </c>
      <c r="D196" s="6">
        <v>4</v>
      </c>
      <c r="E196" s="195" t="s">
        <v>11977</v>
      </c>
      <c r="F196" s="7" t="s">
        <v>11535</v>
      </c>
    </row>
    <row r="197" ht="18" customHeight="1" spans="1:6">
      <c r="A197" s="13" t="s">
        <v>186</v>
      </c>
      <c r="B197" s="5" t="s">
        <v>11968</v>
      </c>
      <c r="C197" s="5" t="s">
        <v>11978</v>
      </c>
      <c r="D197" s="6">
        <v>2</v>
      </c>
      <c r="E197" s="195" t="s">
        <v>11979</v>
      </c>
      <c r="F197" s="7" t="s">
        <v>11535</v>
      </c>
    </row>
    <row r="198" ht="18" customHeight="1" spans="1:6">
      <c r="A198" s="13" t="s">
        <v>186</v>
      </c>
      <c r="B198" s="5" t="s">
        <v>11980</v>
      </c>
      <c r="C198" s="5" t="s">
        <v>11981</v>
      </c>
      <c r="D198" s="6">
        <v>3</v>
      </c>
      <c r="E198" s="195" t="s">
        <v>11982</v>
      </c>
      <c r="F198" s="7" t="s">
        <v>11535</v>
      </c>
    </row>
    <row r="199" ht="18" customHeight="1" spans="1:6">
      <c r="A199" s="13" t="s">
        <v>186</v>
      </c>
      <c r="B199" s="5" t="s">
        <v>11968</v>
      </c>
      <c r="C199" s="5" t="s">
        <v>11983</v>
      </c>
      <c r="D199" s="6">
        <v>2</v>
      </c>
      <c r="E199" s="195" t="s">
        <v>11984</v>
      </c>
      <c r="F199" s="7" t="s">
        <v>11535</v>
      </c>
    </row>
    <row r="200" ht="18" customHeight="1" spans="1:6">
      <c r="A200" s="13" t="s">
        <v>186</v>
      </c>
      <c r="B200" s="13" t="s">
        <v>11985</v>
      </c>
      <c r="C200" s="19" t="s">
        <v>11986</v>
      </c>
      <c r="D200" s="6">
        <v>6</v>
      </c>
      <c r="E200" s="6" t="s">
        <v>11987</v>
      </c>
      <c r="F200" s="7" t="s">
        <v>11535</v>
      </c>
    </row>
    <row r="201" ht="18" customHeight="1" spans="1:6">
      <c r="A201" s="13" t="s">
        <v>186</v>
      </c>
      <c r="B201" s="13" t="s">
        <v>11988</v>
      </c>
      <c r="C201" s="13" t="s">
        <v>11989</v>
      </c>
      <c r="D201" s="6">
        <v>1</v>
      </c>
      <c r="E201" s="6" t="s">
        <v>11990</v>
      </c>
      <c r="F201" s="7" t="s">
        <v>11535</v>
      </c>
    </row>
    <row r="202" ht="18" customHeight="1" spans="1:6">
      <c r="A202" s="13" t="s">
        <v>186</v>
      </c>
      <c r="B202" s="13" t="s">
        <v>11988</v>
      </c>
      <c r="C202" s="13" t="s">
        <v>11991</v>
      </c>
      <c r="D202" s="6">
        <v>5</v>
      </c>
      <c r="E202" s="6" t="s">
        <v>11992</v>
      </c>
      <c r="F202" s="7" t="s">
        <v>11535</v>
      </c>
    </row>
    <row r="203" ht="18" customHeight="1" spans="1:6">
      <c r="A203" s="13" t="s">
        <v>186</v>
      </c>
      <c r="B203" s="13" t="s">
        <v>11993</v>
      </c>
      <c r="C203" s="13" t="s">
        <v>11994</v>
      </c>
      <c r="D203" s="6">
        <v>4</v>
      </c>
      <c r="E203" s="6" t="s">
        <v>11995</v>
      </c>
      <c r="F203" s="7" t="s">
        <v>11535</v>
      </c>
    </row>
    <row r="204" ht="18" customHeight="1" spans="1:6">
      <c r="A204" s="13" t="s">
        <v>186</v>
      </c>
      <c r="B204" s="13" t="s">
        <v>11993</v>
      </c>
      <c r="C204" s="13" t="s">
        <v>11996</v>
      </c>
      <c r="D204" s="6">
        <v>5</v>
      </c>
      <c r="E204" s="6" t="s">
        <v>11997</v>
      </c>
      <c r="F204" s="7" t="s">
        <v>11535</v>
      </c>
    </row>
    <row r="205" ht="18" customHeight="1" spans="1:6">
      <c r="A205" s="13" t="s">
        <v>186</v>
      </c>
      <c r="B205" s="13" t="s">
        <v>11993</v>
      </c>
      <c r="C205" s="14" t="s">
        <v>11998</v>
      </c>
      <c r="D205" s="15">
        <v>4</v>
      </c>
      <c r="E205" s="6" t="s">
        <v>11999</v>
      </c>
      <c r="F205" s="7" t="s">
        <v>11535</v>
      </c>
    </row>
    <row r="206" ht="18" customHeight="1" spans="1:6">
      <c r="A206" s="13" t="s">
        <v>186</v>
      </c>
      <c r="B206" s="13" t="s">
        <v>12000</v>
      </c>
      <c r="C206" s="14" t="s">
        <v>5842</v>
      </c>
      <c r="D206" s="15">
        <v>3</v>
      </c>
      <c r="E206" s="6" t="s">
        <v>12001</v>
      </c>
      <c r="F206" s="7" t="s">
        <v>11535</v>
      </c>
    </row>
    <row r="207" ht="18" customHeight="1" spans="1:6">
      <c r="A207" s="13" t="s">
        <v>186</v>
      </c>
      <c r="B207" s="13" t="s">
        <v>11988</v>
      </c>
      <c r="C207" s="13" t="s">
        <v>12002</v>
      </c>
      <c r="D207" s="15">
        <v>2</v>
      </c>
      <c r="E207" s="195" t="s">
        <v>12003</v>
      </c>
      <c r="F207" s="7" t="s">
        <v>11535</v>
      </c>
    </row>
    <row r="208" ht="18" customHeight="1" spans="1:6">
      <c r="A208" s="13" t="s">
        <v>186</v>
      </c>
      <c r="B208" s="13" t="s">
        <v>11988</v>
      </c>
      <c r="C208" s="13" t="s">
        <v>12004</v>
      </c>
      <c r="D208" s="15">
        <v>1</v>
      </c>
      <c r="E208" s="6" t="s">
        <v>12005</v>
      </c>
      <c r="F208" s="7" t="s">
        <v>11535</v>
      </c>
    </row>
    <row r="209" ht="18" customHeight="1" spans="1:6">
      <c r="A209" s="13" t="s">
        <v>186</v>
      </c>
      <c r="B209" s="13" t="s">
        <v>11687</v>
      </c>
      <c r="C209" s="10" t="s">
        <v>12006</v>
      </c>
      <c r="D209" s="13">
        <v>1</v>
      </c>
      <c r="E209" s="10" t="s">
        <v>12007</v>
      </c>
      <c r="F209" s="7" t="s">
        <v>11535</v>
      </c>
    </row>
    <row r="210" ht="18" customHeight="1" spans="1:6">
      <c r="A210" s="13" t="s">
        <v>854</v>
      </c>
      <c r="B210" s="13"/>
      <c r="C210" s="13">
        <v>138</v>
      </c>
      <c r="D210" s="13">
        <f>SUM(D72:D209)</f>
        <v>423</v>
      </c>
      <c r="E210" s="13"/>
      <c r="F210" s="5"/>
    </row>
    <row r="211" ht="18" customHeight="1" spans="1:6">
      <c r="A211" s="13" t="s">
        <v>855</v>
      </c>
      <c r="B211" s="13" t="s">
        <v>12008</v>
      </c>
      <c r="C211" s="20" t="s">
        <v>12009</v>
      </c>
      <c r="D211" s="21">
        <v>3</v>
      </c>
      <c r="E211" s="22" t="s">
        <v>12010</v>
      </c>
      <c r="F211" s="7" t="s">
        <v>11535</v>
      </c>
    </row>
    <row r="212" ht="18" customHeight="1" spans="1:6">
      <c r="A212" s="13" t="s">
        <v>855</v>
      </c>
      <c r="B212" s="13" t="s">
        <v>12008</v>
      </c>
      <c r="C212" s="20" t="s">
        <v>12011</v>
      </c>
      <c r="D212" s="21">
        <v>3</v>
      </c>
      <c r="E212" s="22" t="s">
        <v>12012</v>
      </c>
      <c r="F212" s="7" t="s">
        <v>11535</v>
      </c>
    </row>
    <row r="213" ht="18" customHeight="1" spans="1:6">
      <c r="A213" s="13" t="s">
        <v>855</v>
      </c>
      <c r="B213" s="13" t="s">
        <v>12008</v>
      </c>
      <c r="C213" s="20" t="s">
        <v>12013</v>
      </c>
      <c r="D213" s="21">
        <v>5</v>
      </c>
      <c r="E213" s="22" t="s">
        <v>12014</v>
      </c>
      <c r="F213" s="7" t="s">
        <v>11535</v>
      </c>
    </row>
    <row r="214" ht="18" customHeight="1" spans="1:6">
      <c r="A214" s="13" t="s">
        <v>855</v>
      </c>
      <c r="B214" s="13" t="s">
        <v>12008</v>
      </c>
      <c r="C214" s="20" t="s">
        <v>12015</v>
      </c>
      <c r="D214" s="21">
        <v>4</v>
      </c>
      <c r="E214" s="22" t="s">
        <v>12016</v>
      </c>
      <c r="F214" s="7" t="s">
        <v>11535</v>
      </c>
    </row>
    <row r="215" ht="18" customHeight="1" spans="1:6">
      <c r="A215" s="13" t="s">
        <v>855</v>
      </c>
      <c r="B215" s="13" t="s">
        <v>12008</v>
      </c>
      <c r="C215" s="20" t="s">
        <v>12017</v>
      </c>
      <c r="D215" s="21">
        <v>4</v>
      </c>
      <c r="E215" s="22" t="s">
        <v>12018</v>
      </c>
      <c r="F215" s="7" t="s">
        <v>11535</v>
      </c>
    </row>
    <row r="216" ht="18" customHeight="1" spans="1:6">
      <c r="A216" s="13" t="s">
        <v>855</v>
      </c>
      <c r="B216" s="13" t="s">
        <v>12008</v>
      </c>
      <c r="C216" s="20" t="s">
        <v>12019</v>
      </c>
      <c r="D216" s="21">
        <v>3</v>
      </c>
      <c r="E216" s="22" t="s">
        <v>12020</v>
      </c>
      <c r="F216" s="7" t="s">
        <v>11535</v>
      </c>
    </row>
    <row r="217" ht="18" customHeight="1" spans="1:6">
      <c r="A217" s="13" t="s">
        <v>855</v>
      </c>
      <c r="B217" s="13" t="s">
        <v>12008</v>
      </c>
      <c r="C217" s="20" t="s">
        <v>12021</v>
      </c>
      <c r="D217" s="21">
        <v>4</v>
      </c>
      <c r="E217" s="22" t="s">
        <v>12022</v>
      </c>
      <c r="F217" s="7" t="s">
        <v>11535</v>
      </c>
    </row>
    <row r="218" ht="18" customHeight="1" spans="1:6">
      <c r="A218" s="13" t="s">
        <v>855</v>
      </c>
      <c r="B218" s="13" t="s">
        <v>12008</v>
      </c>
      <c r="C218" s="20" t="s">
        <v>12023</v>
      </c>
      <c r="D218" s="21">
        <v>4</v>
      </c>
      <c r="E218" s="22" t="s">
        <v>12024</v>
      </c>
      <c r="F218" s="7" t="s">
        <v>11535</v>
      </c>
    </row>
    <row r="219" ht="18" customHeight="1" spans="1:6">
      <c r="A219" s="13" t="s">
        <v>855</v>
      </c>
      <c r="B219" s="13" t="s">
        <v>12008</v>
      </c>
      <c r="C219" s="20" t="s">
        <v>12025</v>
      </c>
      <c r="D219" s="21">
        <v>5</v>
      </c>
      <c r="E219" s="22" t="s">
        <v>12026</v>
      </c>
      <c r="F219" s="7" t="s">
        <v>11535</v>
      </c>
    </row>
    <row r="220" ht="18" customHeight="1" spans="1:6">
      <c r="A220" s="13" t="s">
        <v>855</v>
      </c>
      <c r="B220" s="13" t="s">
        <v>12008</v>
      </c>
      <c r="C220" s="20" t="s">
        <v>12027</v>
      </c>
      <c r="D220" s="21">
        <v>4</v>
      </c>
      <c r="E220" s="22" t="s">
        <v>12028</v>
      </c>
      <c r="F220" s="7" t="s">
        <v>11535</v>
      </c>
    </row>
    <row r="221" ht="18" customHeight="1" spans="1:6">
      <c r="A221" s="13" t="s">
        <v>855</v>
      </c>
      <c r="B221" s="13" t="s">
        <v>12008</v>
      </c>
      <c r="C221" s="20" t="s">
        <v>12029</v>
      </c>
      <c r="D221" s="21">
        <v>2</v>
      </c>
      <c r="E221" s="22" t="s">
        <v>12030</v>
      </c>
      <c r="F221" s="7" t="s">
        <v>11535</v>
      </c>
    </row>
    <row r="222" ht="18" customHeight="1" spans="1:6">
      <c r="A222" s="13" t="s">
        <v>855</v>
      </c>
      <c r="B222" s="13" t="s">
        <v>12008</v>
      </c>
      <c r="C222" s="20" t="s">
        <v>12031</v>
      </c>
      <c r="D222" s="21">
        <v>4</v>
      </c>
      <c r="E222" s="22" t="s">
        <v>12032</v>
      </c>
      <c r="F222" s="7" t="s">
        <v>11535</v>
      </c>
    </row>
    <row r="223" ht="18" customHeight="1" spans="1:6">
      <c r="A223" s="13" t="s">
        <v>855</v>
      </c>
      <c r="B223" s="13" t="s">
        <v>12008</v>
      </c>
      <c r="C223" s="20" t="s">
        <v>12033</v>
      </c>
      <c r="D223" s="21">
        <v>3</v>
      </c>
      <c r="E223" s="22" t="s">
        <v>12034</v>
      </c>
      <c r="F223" s="7" t="s">
        <v>11535</v>
      </c>
    </row>
    <row r="224" ht="18" customHeight="1" spans="1:6">
      <c r="A224" s="13" t="s">
        <v>855</v>
      </c>
      <c r="B224" s="13" t="s">
        <v>12008</v>
      </c>
      <c r="C224" s="20" t="s">
        <v>12035</v>
      </c>
      <c r="D224" s="21">
        <v>2</v>
      </c>
      <c r="E224" s="22" t="s">
        <v>12036</v>
      </c>
      <c r="F224" s="7" t="s">
        <v>11535</v>
      </c>
    </row>
    <row r="225" ht="18" customHeight="1" spans="1:6">
      <c r="A225" s="13" t="s">
        <v>855</v>
      </c>
      <c r="B225" s="13" t="s">
        <v>12008</v>
      </c>
      <c r="C225" s="20" t="s">
        <v>12037</v>
      </c>
      <c r="D225" s="21">
        <v>5</v>
      </c>
      <c r="E225" s="22" t="s">
        <v>12038</v>
      </c>
      <c r="F225" s="7" t="s">
        <v>11535</v>
      </c>
    </row>
    <row r="226" ht="18" customHeight="1" spans="1:6">
      <c r="A226" s="13" t="s">
        <v>855</v>
      </c>
      <c r="B226" s="13" t="s">
        <v>12008</v>
      </c>
      <c r="C226" s="20" t="s">
        <v>12039</v>
      </c>
      <c r="D226" s="21">
        <v>4</v>
      </c>
      <c r="E226" s="22" t="s">
        <v>12040</v>
      </c>
      <c r="F226" s="7" t="s">
        <v>11535</v>
      </c>
    </row>
    <row r="227" ht="18" customHeight="1" spans="1:6">
      <c r="A227" s="13" t="s">
        <v>855</v>
      </c>
      <c r="B227" s="13" t="s">
        <v>12008</v>
      </c>
      <c r="C227" s="20" t="s">
        <v>12041</v>
      </c>
      <c r="D227" s="21">
        <v>5</v>
      </c>
      <c r="E227" s="22" t="s">
        <v>12042</v>
      </c>
      <c r="F227" s="7" t="s">
        <v>11535</v>
      </c>
    </row>
    <row r="228" ht="18" customHeight="1" spans="1:6">
      <c r="A228" s="13" t="s">
        <v>855</v>
      </c>
      <c r="B228" s="13" t="s">
        <v>12008</v>
      </c>
      <c r="C228" s="20" t="s">
        <v>12043</v>
      </c>
      <c r="D228" s="21">
        <v>1</v>
      </c>
      <c r="E228" s="22" t="s">
        <v>12044</v>
      </c>
      <c r="F228" s="7" t="s">
        <v>11535</v>
      </c>
    </row>
    <row r="229" ht="18" customHeight="1" spans="1:6">
      <c r="A229" s="13" t="s">
        <v>855</v>
      </c>
      <c r="B229" s="13" t="s">
        <v>12008</v>
      </c>
      <c r="C229" s="20" t="s">
        <v>12045</v>
      </c>
      <c r="D229" s="21">
        <v>2</v>
      </c>
      <c r="E229" s="22" t="s">
        <v>12046</v>
      </c>
      <c r="F229" s="7" t="s">
        <v>11535</v>
      </c>
    </row>
    <row r="230" ht="18" customHeight="1" spans="1:6">
      <c r="A230" s="13" t="s">
        <v>855</v>
      </c>
      <c r="B230" s="13" t="s">
        <v>12008</v>
      </c>
      <c r="C230" s="20" t="s">
        <v>12047</v>
      </c>
      <c r="D230" s="21">
        <v>4</v>
      </c>
      <c r="E230" s="22" t="s">
        <v>12048</v>
      </c>
      <c r="F230" s="7" t="s">
        <v>11535</v>
      </c>
    </row>
    <row r="231" ht="18" customHeight="1" spans="1:6">
      <c r="A231" s="13" t="s">
        <v>855</v>
      </c>
      <c r="B231" s="13" t="s">
        <v>12008</v>
      </c>
      <c r="C231" s="20" t="s">
        <v>12049</v>
      </c>
      <c r="D231" s="21">
        <v>4</v>
      </c>
      <c r="E231" s="22" t="s">
        <v>12050</v>
      </c>
      <c r="F231" s="7" t="s">
        <v>11535</v>
      </c>
    </row>
    <row r="232" ht="18" customHeight="1" spans="1:6">
      <c r="A232" s="13" t="s">
        <v>855</v>
      </c>
      <c r="B232" s="13" t="s">
        <v>12008</v>
      </c>
      <c r="C232" s="20" t="s">
        <v>12051</v>
      </c>
      <c r="D232" s="21">
        <v>4</v>
      </c>
      <c r="E232" s="22" t="s">
        <v>12052</v>
      </c>
      <c r="F232" s="7" t="s">
        <v>11535</v>
      </c>
    </row>
    <row r="233" ht="18" customHeight="1" spans="1:6">
      <c r="A233" s="13" t="s">
        <v>855</v>
      </c>
      <c r="B233" s="13" t="s">
        <v>12053</v>
      </c>
      <c r="C233" s="13" t="s">
        <v>12054</v>
      </c>
      <c r="D233" s="13">
        <v>4</v>
      </c>
      <c r="E233" s="14" t="s">
        <v>12055</v>
      </c>
      <c r="F233" s="7" t="s">
        <v>11535</v>
      </c>
    </row>
    <row r="234" ht="18" customHeight="1" spans="1:6">
      <c r="A234" s="13" t="s">
        <v>855</v>
      </c>
      <c r="B234" s="13" t="s">
        <v>12053</v>
      </c>
      <c r="C234" s="20" t="s">
        <v>11690</v>
      </c>
      <c r="D234" s="13">
        <v>2</v>
      </c>
      <c r="E234" s="14" t="s">
        <v>12056</v>
      </c>
      <c r="F234" s="7" t="s">
        <v>11535</v>
      </c>
    </row>
    <row r="235" ht="18" customHeight="1" spans="1:6">
      <c r="A235" s="13" t="s">
        <v>855</v>
      </c>
      <c r="B235" s="13" t="s">
        <v>12053</v>
      </c>
      <c r="C235" s="20" t="s">
        <v>12057</v>
      </c>
      <c r="D235" s="13">
        <v>3</v>
      </c>
      <c r="E235" s="14" t="s">
        <v>12058</v>
      </c>
      <c r="F235" s="7" t="s">
        <v>11535</v>
      </c>
    </row>
    <row r="236" ht="18" customHeight="1" spans="1:6">
      <c r="A236" s="13" t="s">
        <v>855</v>
      </c>
      <c r="B236" s="8" t="s">
        <v>856</v>
      </c>
      <c r="C236" s="10" t="s">
        <v>12059</v>
      </c>
      <c r="D236" s="13">
        <v>1</v>
      </c>
      <c r="E236" s="10" t="s">
        <v>12060</v>
      </c>
      <c r="F236" s="7" t="s">
        <v>11535</v>
      </c>
    </row>
    <row r="237" ht="18" customHeight="1" spans="1:6">
      <c r="A237" s="13" t="s">
        <v>855</v>
      </c>
      <c r="B237" s="8" t="s">
        <v>856</v>
      </c>
      <c r="C237" s="10" t="s">
        <v>12061</v>
      </c>
      <c r="D237" s="13">
        <v>3</v>
      </c>
      <c r="E237" s="10" t="s">
        <v>12062</v>
      </c>
      <c r="F237" s="7" t="s">
        <v>11535</v>
      </c>
    </row>
    <row r="238" ht="18" customHeight="1" spans="1:6">
      <c r="A238" s="13" t="s">
        <v>855</v>
      </c>
      <c r="B238" s="8" t="s">
        <v>856</v>
      </c>
      <c r="C238" s="10" t="s">
        <v>12063</v>
      </c>
      <c r="D238" s="13">
        <v>4</v>
      </c>
      <c r="E238" s="10" t="s">
        <v>12064</v>
      </c>
      <c r="F238" s="7" t="s">
        <v>11535</v>
      </c>
    </row>
    <row r="239" ht="18" customHeight="1" spans="1:6">
      <c r="A239" s="13" t="s">
        <v>855</v>
      </c>
      <c r="B239" s="8" t="s">
        <v>856</v>
      </c>
      <c r="C239" s="10" t="s">
        <v>12065</v>
      </c>
      <c r="D239" s="13">
        <v>4</v>
      </c>
      <c r="E239" s="10" t="s">
        <v>12066</v>
      </c>
      <c r="F239" s="7" t="s">
        <v>11535</v>
      </c>
    </row>
    <row r="240" ht="18" customHeight="1" spans="1:6">
      <c r="A240" s="13" t="s">
        <v>855</v>
      </c>
      <c r="B240" s="8" t="s">
        <v>856</v>
      </c>
      <c r="C240" s="10" t="s">
        <v>12067</v>
      </c>
      <c r="D240" s="13">
        <v>3</v>
      </c>
      <c r="E240" s="10" t="s">
        <v>12068</v>
      </c>
      <c r="F240" s="7" t="s">
        <v>11535</v>
      </c>
    </row>
    <row r="241" ht="18" customHeight="1" spans="1:6">
      <c r="A241" s="13" t="s">
        <v>855</v>
      </c>
      <c r="B241" s="8" t="s">
        <v>856</v>
      </c>
      <c r="C241" s="10" t="s">
        <v>12069</v>
      </c>
      <c r="D241" s="13">
        <v>2</v>
      </c>
      <c r="E241" s="10" t="s">
        <v>12070</v>
      </c>
      <c r="F241" s="7" t="s">
        <v>11535</v>
      </c>
    </row>
    <row r="242" ht="18" customHeight="1" spans="1:6">
      <c r="A242" s="13" t="s">
        <v>855</v>
      </c>
      <c r="B242" s="8" t="s">
        <v>856</v>
      </c>
      <c r="C242" s="10" t="s">
        <v>12071</v>
      </c>
      <c r="D242" s="13">
        <v>4</v>
      </c>
      <c r="E242" s="10" t="s">
        <v>12072</v>
      </c>
      <c r="F242" s="7" t="s">
        <v>11535</v>
      </c>
    </row>
    <row r="243" ht="18" customHeight="1" spans="1:6">
      <c r="A243" s="13" t="s">
        <v>855</v>
      </c>
      <c r="B243" s="8" t="s">
        <v>856</v>
      </c>
      <c r="C243" s="10" t="s">
        <v>12073</v>
      </c>
      <c r="D243" s="13">
        <v>4</v>
      </c>
      <c r="E243" s="10" t="s">
        <v>12074</v>
      </c>
      <c r="F243" s="7" t="s">
        <v>11535</v>
      </c>
    </row>
    <row r="244" ht="18" customHeight="1" spans="1:6">
      <c r="A244" s="13" t="s">
        <v>855</v>
      </c>
      <c r="B244" s="8" t="s">
        <v>856</v>
      </c>
      <c r="C244" s="10" t="s">
        <v>12075</v>
      </c>
      <c r="D244" s="13">
        <v>3</v>
      </c>
      <c r="E244" s="10" t="s">
        <v>12076</v>
      </c>
      <c r="F244" s="7" t="s">
        <v>11535</v>
      </c>
    </row>
    <row r="245" ht="18" customHeight="1" spans="1:6">
      <c r="A245" s="13" t="s">
        <v>855</v>
      </c>
      <c r="B245" s="8" t="s">
        <v>856</v>
      </c>
      <c r="C245" s="10" t="s">
        <v>12077</v>
      </c>
      <c r="D245" s="13">
        <v>5</v>
      </c>
      <c r="E245" s="10" t="s">
        <v>12078</v>
      </c>
      <c r="F245" s="7" t="s">
        <v>11535</v>
      </c>
    </row>
    <row r="246" ht="18" customHeight="1" spans="1:6">
      <c r="A246" s="13" t="s">
        <v>855</v>
      </c>
      <c r="B246" s="8" t="s">
        <v>856</v>
      </c>
      <c r="C246" s="10" t="s">
        <v>12079</v>
      </c>
      <c r="D246" s="13">
        <v>3</v>
      </c>
      <c r="E246" s="10" t="s">
        <v>12080</v>
      </c>
      <c r="F246" s="7" t="s">
        <v>11535</v>
      </c>
    </row>
    <row r="247" ht="18" customHeight="1" spans="1:6">
      <c r="A247" s="13" t="s">
        <v>855</v>
      </c>
      <c r="B247" s="8" t="s">
        <v>856</v>
      </c>
      <c r="C247" s="10" t="s">
        <v>12081</v>
      </c>
      <c r="D247" s="13">
        <v>3</v>
      </c>
      <c r="E247" s="10" t="s">
        <v>12082</v>
      </c>
      <c r="F247" s="7" t="s">
        <v>11535</v>
      </c>
    </row>
    <row r="248" ht="18" customHeight="1" spans="1:6">
      <c r="A248" s="13" t="s">
        <v>855</v>
      </c>
      <c r="B248" s="8" t="s">
        <v>856</v>
      </c>
      <c r="C248" s="10" t="s">
        <v>12083</v>
      </c>
      <c r="D248" s="13">
        <v>4</v>
      </c>
      <c r="E248" s="10" t="s">
        <v>12084</v>
      </c>
      <c r="F248" s="7" t="s">
        <v>11535</v>
      </c>
    </row>
    <row r="249" ht="18" customHeight="1" spans="1:6">
      <c r="A249" s="13" t="s">
        <v>855</v>
      </c>
      <c r="B249" s="8" t="s">
        <v>856</v>
      </c>
      <c r="C249" s="10" t="s">
        <v>12085</v>
      </c>
      <c r="D249" s="13">
        <v>1</v>
      </c>
      <c r="E249" s="10" t="s">
        <v>12086</v>
      </c>
      <c r="F249" s="7" t="s">
        <v>11535</v>
      </c>
    </row>
    <row r="250" ht="18" customHeight="1" spans="1:6">
      <c r="A250" s="13" t="s">
        <v>855</v>
      </c>
      <c r="B250" s="8" t="s">
        <v>856</v>
      </c>
      <c r="C250" s="10" t="s">
        <v>12087</v>
      </c>
      <c r="D250" s="13">
        <v>1</v>
      </c>
      <c r="E250" s="10" t="s">
        <v>12088</v>
      </c>
      <c r="F250" s="7" t="s">
        <v>11535</v>
      </c>
    </row>
    <row r="251" ht="18" customHeight="1" spans="1:6">
      <c r="A251" s="13" t="s">
        <v>855</v>
      </c>
      <c r="B251" s="8" t="s">
        <v>856</v>
      </c>
      <c r="C251" s="10" t="s">
        <v>12089</v>
      </c>
      <c r="D251" s="13">
        <v>1</v>
      </c>
      <c r="E251" s="10" t="s">
        <v>12090</v>
      </c>
      <c r="F251" s="7" t="s">
        <v>11535</v>
      </c>
    </row>
    <row r="252" ht="18" customHeight="1" spans="1:6">
      <c r="A252" s="13" t="s">
        <v>855</v>
      </c>
      <c r="B252" s="8" t="s">
        <v>856</v>
      </c>
      <c r="C252" s="10" t="s">
        <v>4894</v>
      </c>
      <c r="D252" s="13">
        <v>4</v>
      </c>
      <c r="E252" s="10" t="s">
        <v>12091</v>
      </c>
      <c r="F252" s="7" t="s">
        <v>11535</v>
      </c>
    </row>
    <row r="253" ht="18" customHeight="1" spans="1:6">
      <c r="A253" s="13" t="s">
        <v>855</v>
      </c>
      <c r="B253" s="8" t="s">
        <v>856</v>
      </c>
      <c r="C253" s="10" t="s">
        <v>12092</v>
      </c>
      <c r="D253" s="13">
        <v>1</v>
      </c>
      <c r="E253" s="10" t="s">
        <v>12093</v>
      </c>
      <c r="F253" s="7" t="s">
        <v>11535</v>
      </c>
    </row>
    <row r="254" ht="18" customHeight="1" spans="1:6">
      <c r="A254" s="13" t="s">
        <v>855</v>
      </c>
      <c r="B254" s="8" t="s">
        <v>856</v>
      </c>
      <c r="C254" s="10" t="s">
        <v>12094</v>
      </c>
      <c r="D254" s="13">
        <v>1</v>
      </c>
      <c r="E254" s="10" t="s">
        <v>12095</v>
      </c>
      <c r="F254" s="7" t="s">
        <v>11535</v>
      </c>
    </row>
    <row r="255" ht="18" customHeight="1" spans="1:6">
      <c r="A255" s="13" t="s">
        <v>855</v>
      </c>
      <c r="B255" s="8" t="s">
        <v>856</v>
      </c>
      <c r="C255" s="10" t="s">
        <v>12096</v>
      </c>
      <c r="D255" s="13">
        <v>4</v>
      </c>
      <c r="E255" s="10" t="s">
        <v>12097</v>
      </c>
      <c r="F255" s="7" t="s">
        <v>11535</v>
      </c>
    </row>
    <row r="256" ht="18" customHeight="1" spans="1:6">
      <c r="A256" s="13" t="s">
        <v>855</v>
      </c>
      <c r="B256" s="8" t="s">
        <v>856</v>
      </c>
      <c r="C256" s="10" t="s">
        <v>12098</v>
      </c>
      <c r="D256" s="13">
        <v>5</v>
      </c>
      <c r="E256" s="10" t="s">
        <v>12099</v>
      </c>
      <c r="F256" s="7" t="s">
        <v>11535</v>
      </c>
    </row>
    <row r="257" ht="18" customHeight="1" spans="1:6">
      <c r="A257" s="13" t="s">
        <v>855</v>
      </c>
      <c r="B257" s="8" t="s">
        <v>856</v>
      </c>
      <c r="C257" s="10" t="s">
        <v>12100</v>
      </c>
      <c r="D257" s="13">
        <v>2</v>
      </c>
      <c r="E257" s="10" t="s">
        <v>12101</v>
      </c>
      <c r="F257" s="7" t="s">
        <v>11535</v>
      </c>
    </row>
    <row r="258" ht="18" customHeight="1" spans="1:6">
      <c r="A258" s="13" t="s">
        <v>855</v>
      </c>
      <c r="B258" s="8" t="s">
        <v>856</v>
      </c>
      <c r="C258" s="10" t="s">
        <v>12102</v>
      </c>
      <c r="D258" s="13">
        <v>1</v>
      </c>
      <c r="E258" s="10" t="s">
        <v>12103</v>
      </c>
      <c r="F258" s="7" t="s">
        <v>11535</v>
      </c>
    </row>
    <row r="259" ht="18" customHeight="1" spans="1:6">
      <c r="A259" s="13" t="s">
        <v>855</v>
      </c>
      <c r="B259" s="8" t="s">
        <v>856</v>
      </c>
      <c r="C259" s="10" t="s">
        <v>12104</v>
      </c>
      <c r="D259" s="13">
        <v>3</v>
      </c>
      <c r="E259" s="10" t="s">
        <v>12105</v>
      </c>
      <c r="F259" s="7" t="s">
        <v>11535</v>
      </c>
    </row>
    <row r="260" ht="18" customHeight="1" spans="1:6">
      <c r="A260" s="13" t="s">
        <v>855</v>
      </c>
      <c r="B260" s="8" t="s">
        <v>856</v>
      </c>
      <c r="C260" s="10" t="s">
        <v>12106</v>
      </c>
      <c r="D260" s="13">
        <v>4</v>
      </c>
      <c r="E260" s="10" t="s">
        <v>12107</v>
      </c>
      <c r="F260" s="7" t="s">
        <v>11535</v>
      </c>
    </row>
    <row r="261" ht="18" customHeight="1" spans="1:6">
      <c r="A261" s="13" t="s">
        <v>855</v>
      </c>
      <c r="B261" s="8" t="s">
        <v>856</v>
      </c>
      <c r="C261" s="10" t="s">
        <v>12108</v>
      </c>
      <c r="D261" s="13">
        <v>2</v>
      </c>
      <c r="E261" s="10" t="s">
        <v>12109</v>
      </c>
      <c r="F261" s="7" t="s">
        <v>11535</v>
      </c>
    </row>
    <row r="262" ht="18" customHeight="1" spans="1:6">
      <c r="A262" s="13" t="s">
        <v>855</v>
      </c>
      <c r="B262" s="8" t="s">
        <v>856</v>
      </c>
      <c r="C262" s="10" t="s">
        <v>12110</v>
      </c>
      <c r="D262" s="13">
        <v>2</v>
      </c>
      <c r="E262" s="10" t="s">
        <v>12111</v>
      </c>
      <c r="F262" s="7" t="s">
        <v>11535</v>
      </c>
    </row>
    <row r="263" ht="18" customHeight="1" spans="1:6">
      <c r="A263" s="13" t="s">
        <v>855</v>
      </c>
      <c r="B263" s="8" t="s">
        <v>856</v>
      </c>
      <c r="C263" s="10" t="s">
        <v>12112</v>
      </c>
      <c r="D263" s="13">
        <v>1</v>
      </c>
      <c r="E263" s="10" t="s">
        <v>12113</v>
      </c>
      <c r="F263" s="7" t="s">
        <v>11535</v>
      </c>
    </row>
    <row r="264" ht="18" customHeight="1" spans="1:6">
      <c r="A264" s="13" t="s">
        <v>855</v>
      </c>
      <c r="B264" s="8" t="s">
        <v>856</v>
      </c>
      <c r="C264" s="10" t="s">
        <v>12114</v>
      </c>
      <c r="D264" s="13">
        <v>4</v>
      </c>
      <c r="E264" s="10" t="s">
        <v>12115</v>
      </c>
      <c r="F264" s="7" t="s">
        <v>11535</v>
      </c>
    </row>
    <row r="265" ht="18" customHeight="1" spans="1:6">
      <c r="A265" s="13" t="s">
        <v>855</v>
      </c>
      <c r="B265" s="8" t="s">
        <v>856</v>
      </c>
      <c r="C265" s="10" t="s">
        <v>12116</v>
      </c>
      <c r="D265" s="13">
        <v>3</v>
      </c>
      <c r="E265" s="10" t="s">
        <v>12117</v>
      </c>
      <c r="F265" s="7" t="s">
        <v>11535</v>
      </c>
    </row>
    <row r="266" ht="18" customHeight="1" spans="1:6">
      <c r="A266" s="13" t="s">
        <v>855</v>
      </c>
      <c r="B266" s="8" t="s">
        <v>856</v>
      </c>
      <c r="C266" s="10" t="s">
        <v>12118</v>
      </c>
      <c r="D266" s="13">
        <v>2</v>
      </c>
      <c r="E266" s="10" t="s">
        <v>12119</v>
      </c>
      <c r="F266" s="7" t="s">
        <v>11535</v>
      </c>
    </row>
    <row r="267" ht="18" customHeight="1" spans="1:6">
      <c r="A267" s="13" t="s">
        <v>855</v>
      </c>
      <c r="B267" s="8" t="s">
        <v>856</v>
      </c>
      <c r="C267" s="10" t="s">
        <v>12120</v>
      </c>
      <c r="D267" s="13">
        <v>3</v>
      </c>
      <c r="E267" s="10" t="s">
        <v>12121</v>
      </c>
      <c r="F267" s="7" t="s">
        <v>11535</v>
      </c>
    </row>
    <row r="268" ht="18" customHeight="1" spans="1:6">
      <c r="A268" s="13" t="s">
        <v>855</v>
      </c>
      <c r="B268" s="8" t="s">
        <v>856</v>
      </c>
      <c r="C268" s="10" t="s">
        <v>12122</v>
      </c>
      <c r="D268" s="13">
        <v>2</v>
      </c>
      <c r="E268" s="10" t="s">
        <v>12123</v>
      </c>
      <c r="F268" s="7" t="s">
        <v>11535</v>
      </c>
    </row>
    <row r="269" ht="18" customHeight="1" spans="1:6">
      <c r="A269" s="13" t="s">
        <v>855</v>
      </c>
      <c r="B269" s="8" t="s">
        <v>856</v>
      </c>
      <c r="C269" s="10" t="s">
        <v>12124</v>
      </c>
      <c r="D269" s="13">
        <v>2</v>
      </c>
      <c r="E269" s="10" t="s">
        <v>12125</v>
      </c>
      <c r="F269" s="7" t="s">
        <v>11535</v>
      </c>
    </row>
    <row r="270" ht="18" customHeight="1" spans="1:6">
      <c r="A270" s="13" t="s">
        <v>855</v>
      </c>
      <c r="B270" s="8" t="s">
        <v>856</v>
      </c>
      <c r="C270" s="10" t="s">
        <v>11974</v>
      </c>
      <c r="D270" s="13">
        <v>1</v>
      </c>
      <c r="E270" s="10" t="s">
        <v>12126</v>
      </c>
      <c r="F270" s="7" t="s">
        <v>11535</v>
      </c>
    </row>
    <row r="271" ht="18" customHeight="1" spans="1:6">
      <c r="A271" s="13" t="s">
        <v>855</v>
      </c>
      <c r="B271" s="8" t="s">
        <v>856</v>
      </c>
      <c r="C271" s="10" t="s">
        <v>12127</v>
      </c>
      <c r="D271" s="13">
        <v>1</v>
      </c>
      <c r="E271" s="10" t="s">
        <v>12128</v>
      </c>
      <c r="F271" s="7" t="s">
        <v>11535</v>
      </c>
    </row>
    <row r="272" ht="18" customHeight="1" spans="1:6">
      <c r="A272" s="13" t="s">
        <v>855</v>
      </c>
      <c r="B272" s="8" t="s">
        <v>856</v>
      </c>
      <c r="C272" s="10" t="s">
        <v>12129</v>
      </c>
      <c r="D272" s="13">
        <v>2</v>
      </c>
      <c r="E272" s="10" t="s">
        <v>12130</v>
      </c>
      <c r="F272" s="7" t="s">
        <v>11535</v>
      </c>
    </row>
    <row r="273" ht="18" customHeight="1" spans="1:6">
      <c r="A273" s="13" t="s">
        <v>855</v>
      </c>
      <c r="B273" s="8" t="s">
        <v>856</v>
      </c>
      <c r="C273" s="10" t="s">
        <v>12131</v>
      </c>
      <c r="D273" s="13">
        <v>5</v>
      </c>
      <c r="E273" s="10" t="s">
        <v>12132</v>
      </c>
      <c r="F273" s="7" t="s">
        <v>11535</v>
      </c>
    </row>
    <row r="274" ht="18" customHeight="1" spans="1:6">
      <c r="A274" s="13" t="s">
        <v>855</v>
      </c>
      <c r="B274" s="8" t="s">
        <v>856</v>
      </c>
      <c r="C274" s="10" t="s">
        <v>12133</v>
      </c>
      <c r="D274" s="13">
        <v>3</v>
      </c>
      <c r="E274" s="10" t="s">
        <v>12134</v>
      </c>
      <c r="F274" s="7" t="s">
        <v>11535</v>
      </c>
    </row>
    <row r="275" ht="18" customHeight="1" spans="1:6">
      <c r="A275" s="13" t="s">
        <v>855</v>
      </c>
      <c r="B275" s="8" t="s">
        <v>856</v>
      </c>
      <c r="C275" s="10" t="s">
        <v>12135</v>
      </c>
      <c r="D275" s="13">
        <v>5</v>
      </c>
      <c r="E275" s="10" t="s">
        <v>12136</v>
      </c>
      <c r="F275" s="7" t="s">
        <v>11535</v>
      </c>
    </row>
    <row r="276" ht="18" customHeight="1" spans="1:6">
      <c r="A276" s="13" t="s">
        <v>855</v>
      </c>
      <c r="B276" s="8" t="s">
        <v>856</v>
      </c>
      <c r="C276" s="10" t="s">
        <v>12137</v>
      </c>
      <c r="D276" s="13">
        <v>3</v>
      </c>
      <c r="E276" s="10" t="s">
        <v>12138</v>
      </c>
      <c r="F276" s="7" t="s">
        <v>11535</v>
      </c>
    </row>
    <row r="277" ht="18" customHeight="1" spans="1:6">
      <c r="A277" s="13" t="s">
        <v>855</v>
      </c>
      <c r="B277" s="8" t="s">
        <v>856</v>
      </c>
      <c r="C277" s="10" t="s">
        <v>12139</v>
      </c>
      <c r="D277" s="13">
        <v>3</v>
      </c>
      <c r="E277" s="10" t="s">
        <v>12140</v>
      </c>
      <c r="F277" s="7" t="s">
        <v>11535</v>
      </c>
    </row>
    <row r="278" ht="18" customHeight="1" spans="1:6">
      <c r="A278" s="13" t="s">
        <v>855</v>
      </c>
      <c r="B278" s="8" t="s">
        <v>856</v>
      </c>
      <c r="C278" s="10" t="s">
        <v>12141</v>
      </c>
      <c r="D278" s="13">
        <v>4</v>
      </c>
      <c r="E278" s="10" t="s">
        <v>12142</v>
      </c>
      <c r="F278" s="7" t="s">
        <v>11535</v>
      </c>
    </row>
    <row r="279" ht="18" customHeight="1" spans="1:6">
      <c r="A279" s="13" t="s">
        <v>855</v>
      </c>
      <c r="B279" s="8" t="s">
        <v>856</v>
      </c>
      <c r="C279" s="10" t="s">
        <v>12143</v>
      </c>
      <c r="D279" s="13">
        <v>4</v>
      </c>
      <c r="E279" s="10" t="s">
        <v>12144</v>
      </c>
      <c r="F279" s="7" t="s">
        <v>11535</v>
      </c>
    </row>
    <row r="280" ht="18" customHeight="1" spans="1:6">
      <c r="A280" s="13" t="s">
        <v>855</v>
      </c>
      <c r="B280" s="8" t="s">
        <v>856</v>
      </c>
      <c r="C280" s="10" t="s">
        <v>12145</v>
      </c>
      <c r="D280" s="13">
        <v>2</v>
      </c>
      <c r="E280" s="10" t="s">
        <v>12146</v>
      </c>
      <c r="F280" s="7" t="s">
        <v>11535</v>
      </c>
    </row>
    <row r="281" ht="18" customHeight="1" spans="1:6">
      <c r="A281" s="13" t="s">
        <v>855</v>
      </c>
      <c r="B281" s="8" t="s">
        <v>856</v>
      </c>
      <c r="C281" s="10" t="s">
        <v>12147</v>
      </c>
      <c r="D281" s="13">
        <v>1</v>
      </c>
      <c r="E281" s="10" t="s">
        <v>12148</v>
      </c>
      <c r="F281" s="7" t="s">
        <v>11535</v>
      </c>
    </row>
    <row r="282" ht="18" customHeight="1" spans="1:6">
      <c r="A282" s="13" t="s">
        <v>855</v>
      </c>
      <c r="B282" s="8" t="s">
        <v>856</v>
      </c>
      <c r="C282" s="10" t="s">
        <v>12149</v>
      </c>
      <c r="D282" s="13">
        <v>1</v>
      </c>
      <c r="E282" s="10" t="s">
        <v>12150</v>
      </c>
      <c r="F282" s="7" t="s">
        <v>11535</v>
      </c>
    </row>
    <row r="283" ht="18" customHeight="1" spans="1:6">
      <c r="A283" s="13" t="s">
        <v>855</v>
      </c>
      <c r="B283" s="8" t="s">
        <v>856</v>
      </c>
      <c r="C283" s="10" t="s">
        <v>12151</v>
      </c>
      <c r="D283" s="13">
        <v>1</v>
      </c>
      <c r="E283" s="10" t="s">
        <v>12152</v>
      </c>
      <c r="F283" s="7" t="s">
        <v>11535</v>
      </c>
    </row>
    <row r="284" ht="18" customHeight="1" spans="1:6">
      <c r="A284" s="13" t="s">
        <v>855</v>
      </c>
      <c r="B284" s="8" t="s">
        <v>856</v>
      </c>
      <c r="C284" s="10" t="s">
        <v>12153</v>
      </c>
      <c r="D284" s="13">
        <v>4</v>
      </c>
      <c r="E284" s="10" t="s">
        <v>12154</v>
      </c>
      <c r="F284" s="7" t="s">
        <v>11535</v>
      </c>
    </row>
    <row r="285" ht="18" customHeight="1" spans="1:6">
      <c r="A285" s="13" t="s">
        <v>855</v>
      </c>
      <c r="B285" s="8" t="s">
        <v>856</v>
      </c>
      <c r="C285" s="10" t="s">
        <v>12155</v>
      </c>
      <c r="D285" s="13">
        <v>3</v>
      </c>
      <c r="E285" s="10" t="s">
        <v>12156</v>
      </c>
      <c r="F285" s="7" t="s">
        <v>11535</v>
      </c>
    </row>
    <row r="286" ht="18" customHeight="1" spans="1:6">
      <c r="A286" s="13" t="s">
        <v>855</v>
      </c>
      <c r="B286" s="8" t="s">
        <v>856</v>
      </c>
      <c r="C286" s="10" t="s">
        <v>12157</v>
      </c>
      <c r="D286" s="13">
        <v>3</v>
      </c>
      <c r="E286" s="10" t="s">
        <v>12158</v>
      </c>
      <c r="F286" s="7" t="s">
        <v>11535</v>
      </c>
    </row>
    <row r="287" ht="18" customHeight="1" spans="1:6">
      <c r="A287" s="13" t="s">
        <v>855</v>
      </c>
      <c r="B287" s="8" t="s">
        <v>856</v>
      </c>
      <c r="C287" s="10" t="s">
        <v>12159</v>
      </c>
      <c r="D287" s="13">
        <v>1</v>
      </c>
      <c r="E287" s="10" t="s">
        <v>12160</v>
      </c>
      <c r="F287" s="7" t="s">
        <v>11535</v>
      </c>
    </row>
    <row r="288" ht="18" customHeight="1" spans="1:6">
      <c r="A288" s="13" t="s">
        <v>855</v>
      </c>
      <c r="B288" s="8" t="s">
        <v>856</v>
      </c>
      <c r="C288" s="10" t="s">
        <v>12161</v>
      </c>
      <c r="D288" s="13">
        <v>4</v>
      </c>
      <c r="E288" s="10" t="s">
        <v>12162</v>
      </c>
      <c r="F288" s="7" t="s">
        <v>11535</v>
      </c>
    </row>
    <row r="289" ht="18" customHeight="1" spans="1:6">
      <c r="A289" s="13" t="s">
        <v>855</v>
      </c>
      <c r="B289" s="8" t="s">
        <v>856</v>
      </c>
      <c r="C289" s="10" t="s">
        <v>12163</v>
      </c>
      <c r="D289" s="13">
        <v>5</v>
      </c>
      <c r="E289" s="10" t="s">
        <v>12164</v>
      </c>
      <c r="F289" s="7" t="s">
        <v>11535</v>
      </c>
    </row>
    <row r="290" ht="18" customHeight="1" spans="1:6">
      <c r="A290" s="13" t="s">
        <v>855</v>
      </c>
      <c r="B290" s="8" t="s">
        <v>856</v>
      </c>
      <c r="C290" s="10" t="s">
        <v>12165</v>
      </c>
      <c r="D290" s="10" t="s">
        <v>2053</v>
      </c>
      <c r="E290" s="10" t="s">
        <v>12166</v>
      </c>
      <c r="F290" s="7" t="s">
        <v>11535</v>
      </c>
    </row>
    <row r="291" ht="18" customHeight="1" spans="1:6">
      <c r="A291" s="13" t="s">
        <v>855</v>
      </c>
      <c r="B291" s="8" t="s">
        <v>856</v>
      </c>
      <c r="C291" s="10" t="s">
        <v>12167</v>
      </c>
      <c r="D291" s="10" t="s">
        <v>2043</v>
      </c>
      <c r="E291" s="10" t="s">
        <v>12168</v>
      </c>
      <c r="F291" s="7" t="s">
        <v>11535</v>
      </c>
    </row>
    <row r="292" ht="18" customHeight="1" spans="1:6">
      <c r="A292" s="13" t="s">
        <v>855</v>
      </c>
      <c r="B292" s="8" t="s">
        <v>856</v>
      </c>
      <c r="C292" s="10" t="s">
        <v>12169</v>
      </c>
      <c r="D292" s="10" t="s">
        <v>2043</v>
      </c>
      <c r="E292" s="10" t="s">
        <v>12170</v>
      </c>
      <c r="F292" s="7" t="s">
        <v>11535</v>
      </c>
    </row>
    <row r="293" ht="18" customHeight="1" spans="1:6">
      <c r="A293" s="13" t="s">
        <v>855</v>
      </c>
      <c r="B293" s="8" t="s">
        <v>856</v>
      </c>
      <c r="C293" s="10" t="s">
        <v>12171</v>
      </c>
      <c r="D293" s="10" t="s">
        <v>2046</v>
      </c>
      <c r="E293" s="10" t="s">
        <v>12172</v>
      </c>
      <c r="F293" s="7" t="s">
        <v>11535</v>
      </c>
    </row>
    <row r="294" ht="18" customHeight="1" spans="1:6">
      <c r="A294" s="13" t="s">
        <v>855</v>
      </c>
      <c r="B294" s="8" t="s">
        <v>856</v>
      </c>
      <c r="C294" s="10" t="s">
        <v>12173</v>
      </c>
      <c r="D294" s="10" t="s">
        <v>2053</v>
      </c>
      <c r="E294" s="10" t="s">
        <v>12174</v>
      </c>
      <c r="F294" s="7" t="s">
        <v>11535</v>
      </c>
    </row>
    <row r="295" ht="18" customHeight="1" spans="1:6">
      <c r="A295" s="13" t="s">
        <v>855</v>
      </c>
      <c r="B295" s="8" t="s">
        <v>856</v>
      </c>
      <c r="C295" s="10" t="s">
        <v>12175</v>
      </c>
      <c r="D295" s="10" t="s">
        <v>2053</v>
      </c>
      <c r="E295" s="10" t="s">
        <v>12176</v>
      </c>
      <c r="F295" s="7" t="s">
        <v>11535</v>
      </c>
    </row>
    <row r="296" ht="18" customHeight="1" spans="1:6">
      <c r="A296" s="13" t="s">
        <v>855</v>
      </c>
      <c r="B296" s="8" t="s">
        <v>856</v>
      </c>
      <c r="C296" s="10" t="s">
        <v>2574</v>
      </c>
      <c r="D296" s="10" t="s">
        <v>2046</v>
      </c>
      <c r="E296" s="10" t="s">
        <v>12177</v>
      </c>
      <c r="F296" s="7" t="s">
        <v>11535</v>
      </c>
    </row>
    <row r="297" ht="18" customHeight="1" spans="1:6">
      <c r="A297" s="13" t="s">
        <v>855</v>
      </c>
      <c r="B297" s="8" t="s">
        <v>856</v>
      </c>
      <c r="C297" s="10" t="s">
        <v>12178</v>
      </c>
      <c r="D297" s="10" t="s">
        <v>2043</v>
      </c>
      <c r="E297" s="10" t="s">
        <v>12179</v>
      </c>
      <c r="F297" s="7" t="s">
        <v>11535</v>
      </c>
    </row>
    <row r="298" ht="18" customHeight="1" spans="1:6">
      <c r="A298" s="13" t="s">
        <v>855</v>
      </c>
      <c r="B298" s="8" t="s">
        <v>856</v>
      </c>
      <c r="C298" s="10" t="s">
        <v>12180</v>
      </c>
      <c r="D298" s="10" t="s">
        <v>2043</v>
      </c>
      <c r="E298" s="10" t="s">
        <v>12181</v>
      </c>
      <c r="F298" s="7" t="s">
        <v>11535</v>
      </c>
    </row>
    <row r="299" ht="18" customHeight="1" spans="1:6">
      <c r="A299" s="13" t="s">
        <v>855</v>
      </c>
      <c r="B299" s="8" t="s">
        <v>856</v>
      </c>
      <c r="C299" s="10" t="s">
        <v>12182</v>
      </c>
      <c r="D299" s="10" t="s">
        <v>2056</v>
      </c>
      <c r="E299" s="10" t="s">
        <v>12183</v>
      </c>
      <c r="F299" s="7" t="s">
        <v>11535</v>
      </c>
    </row>
    <row r="300" ht="18" customHeight="1" spans="1:6">
      <c r="A300" s="13" t="s">
        <v>855</v>
      </c>
      <c r="B300" s="8" t="s">
        <v>856</v>
      </c>
      <c r="C300" s="23" t="s">
        <v>12184</v>
      </c>
      <c r="D300" s="13">
        <v>2</v>
      </c>
      <c r="E300" s="23" t="s">
        <v>12185</v>
      </c>
      <c r="F300" s="7" t="s">
        <v>11535</v>
      </c>
    </row>
    <row r="301" ht="18" customHeight="1" spans="1:6">
      <c r="A301" s="13" t="s">
        <v>855</v>
      </c>
      <c r="B301" s="8" t="s">
        <v>856</v>
      </c>
      <c r="C301" s="23" t="s">
        <v>12186</v>
      </c>
      <c r="D301" s="13">
        <v>4</v>
      </c>
      <c r="E301" s="23" t="s">
        <v>12187</v>
      </c>
      <c r="F301" s="7" t="s">
        <v>11535</v>
      </c>
    </row>
    <row r="302" ht="18" customHeight="1" spans="1:6">
      <c r="A302" s="13" t="s">
        <v>855</v>
      </c>
      <c r="B302" s="8" t="s">
        <v>856</v>
      </c>
      <c r="C302" s="23" t="s">
        <v>12188</v>
      </c>
      <c r="D302" s="13">
        <v>2</v>
      </c>
      <c r="E302" s="23" t="s">
        <v>12189</v>
      </c>
      <c r="F302" s="7" t="s">
        <v>11535</v>
      </c>
    </row>
    <row r="303" ht="18" customHeight="1" spans="1:6">
      <c r="A303" s="13" t="s">
        <v>855</v>
      </c>
      <c r="B303" s="8" t="s">
        <v>856</v>
      </c>
      <c r="C303" s="23" t="s">
        <v>12190</v>
      </c>
      <c r="D303" s="13">
        <v>4</v>
      </c>
      <c r="E303" s="23" t="s">
        <v>12191</v>
      </c>
      <c r="F303" s="7" t="s">
        <v>11535</v>
      </c>
    </row>
    <row r="304" ht="18" customHeight="1" spans="1:6">
      <c r="A304" s="13" t="s">
        <v>855</v>
      </c>
      <c r="B304" s="8" t="s">
        <v>856</v>
      </c>
      <c r="C304" s="23" t="s">
        <v>12192</v>
      </c>
      <c r="D304" s="13">
        <v>2</v>
      </c>
      <c r="E304" s="23" t="s">
        <v>12193</v>
      </c>
      <c r="F304" s="7" t="s">
        <v>11535</v>
      </c>
    </row>
    <row r="305" ht="18" customHeight="1" spans="1:6">
      <c r="A305" s="13" t="s">
        <v>855</v>
      </c>
      <c r="B305" s="8" t="s">
        <v>856</v>
      </c>
      <c r="C305" s="23" t="s">
        <v>12194</v>
      </c>
      <c r="D305" s="13">
        <v>2</v>
      </c>
      <c r="E305" s="23" t="s">
        <v>12195</v>
      </c>
      <c r="F305" s="7" t="s">
        <v>11535</v>
      </c>
    </row>
    <row r="306" ht="18" customHeight="1" spans="1:6">
      <c r="A306" s="13" t="s">
        <v>855</v>
      </c>
      <c r="B306" s="8" t="s">
        <v>856</v>
      </c>
      <c r="C306" s="23" t="s">
        <v>87</v>
      </c>
      <c r="D306" s="13">
        <v>3</v>
      </c>
      <c r="E306" s="23" t="s">
        <v>12196</v>
      </c>
      <c r="F306" s="7" t="s">
        <v>11535</v>
      </c>
    </row>
    <row r="307" ht="18" customHeight="1" spans="1:6">
      <c r="A307" s="13" t="s">
        <v>855</v>
      </c>
      <c r="B307" s="8" t="s">
        <v>856</v>
      </c>
      <c r="C307" s="23" t="s">
        <v>12197</v>
      </c>
      <c r="D307" s="13">
        <v>3</v>
      </c>
      <c r="E307" s="23" t="s">
        <v>12198</v>
      </c>
      <c r="F307" s="7" t="s">
        <v>11535</v>
      </c>
    </row>
    <row r="308" ht="18" customHeight="1" spans="1:6">
      <c r="A308" s="13" t="s">
        <v>855</v>
      </c>
      <c r="B308" s="8" t="s">
        <v>856</v>
      </c>
      <c r="C308" s="23" t="s">
        <v>12199</v>
      </c>
      <c r="D308" s="13">
        <v>5</v>
      </c>
      <c r="E308" s="23" t="s">
        <v>12200</v>
      </c>
      <c r="F308" s="7" t="s">
        <v>11535</v>
      </c>
    </row>
    <row r="309" ht="18" customHeight="1" spans="1:6">
      <c r="A309" s="13" t="s">
        <v>855</v>
      </c>
      <c r="B309" s="8" t="s">
        <v>856</v>
      </c>
      <c r="C309" s="23" t="s">
        <v>12201</v>
      </c>
      <c r="D309" s="13">
        <v>3</v>
      </c>
      <c r="E309" s="23" t="s">
        <v>12202</v>
      </c>
      <c r="F309" s="7" t="s">
        <v>11535</v>
      </c>
    </row>
    <row r="310" ht="18" customHeight="1" spans="1:6">
      <c r="A310" s="13" t="s">
        <v>855</v>
      </c>
      <c r="B310" s="8" t="s">
        <v>856</v>
      </c>
      <c r="C310" s="23" t="s">
        <v>12203</v>
      </c>
      <c r="D310" s="13">
        <v>5</v>
      </c>
      <c r="E310" s="211" t="s">
        <v>12204</v>
      </c>
      <c r="F310" s="7" t="s">
        <v>11535</v>
      </c>
    </row>
    <row r="311" ht="18" customHeight="1" spans="1:6">
      <c r="A311" s="13" t="s">
        <v>855</v>
      </c>
      <c r="B311" s="8" t="s">
        <v>856</v>
      </c>
      <c r="C311" s="23" t="s">
        <v>12205</v>
      </c>
      <c r="D311" s="13">
        <v>3</v>
      </c>
      <c r="E311" s="23" t="s">
        <v>12206</v>
      </c>
      <c r="F311" s="7" t="s">
        <v>11535</v>
      </c>
    </row>
    <row r="312" ht="18" customHeight="1" spans="1:6">
      <c r="A312" s="13" t="s">
        <v>855</v>
      </c>
      <c r="B312" s="8" t="s">
        <v>856</v>
      </c>
      <c r="C312" s="23" t="s">
        <v>12207</v>
      </c>
      <c r="D312" s="13">
        <v>1</v>
      </c>
      <c r="E312" s="23" t="s">
        <v>12208</v>
      </c>
      <c r="F312" s="7" t="s">
        <v>11535</v>
      </c>
    </row>
    <row r="313" ht="18" customHeight="1" spans="1:6">
      <c r="A313" s="13" t="s">
        <v>855</v>
      </c>
      <c r="B313" s="8" t="s">
        <v>856</v>
      </c>
      <c r="C313" s="23" t="s">
        <v>12209</v>
      </c>
      <c r="D313" s="13">
        <v>3</v>
      </c>
      <c r="E313" s="23" t="s">
        <v>12210</v>
      </c>
      <c r="F313" s="7" t="s">
        <v>11535</v>
      </c>
    </row>
    <row r="314" ht="18" customHeight="1" spans="1:6">
      <c r="A314" s="13" t="s">
        <v>855</v>
      </c>
      <c r="B314" s="8" t="s">
        <v>856</v>
      </c>
      <c r="C314" s="23" t="s">
        <v>12211</v>
      </c>
      <c r="D314" s="13">
        <v>1</v>
      </c>
      <c r="E314" s="23" t="s">
        <v>12212</v>
      </c>
      <c r="F314" s="7" t="s">
        <v>11535</v>
      </c>
    </row>
    <row r="315" ht="18" customHeight="1" spans="1:6">
      <c r="A315" s="13" t="s">
        <v>855</v>
      </c>
      <c r="B315" s="8" t="s">
        <v>856</v>
      </c>
      <c r="C315" s="23" t="s">
        <v>12213</v>
      </c>
      <c r="D315" s="13">
        <v>3</v>
      </c>
      <c r="E315" s="23" t="s">
        <v>12214</v>
      </c>
      <c r="F315" s="7" t="s">
        <v>11535</v>
      </c>
    </row>
    <row r="316" ht="18" customHeight="1" spans="1:6">
      <c r="A316" s="13" t="s">
        <v>855</v>
      </c>
      <c r="B316" s="13" t="s">
        <v>12215</v>
      </c>
      <c r="C316" s="10" t="s">
        <v>12216</v>
      </c>
      <c r="D316" s="13">
        <v>5</v>
      </c>
      <c r="E316" s="10" t="s">
        <v>12217</v>
      </c>
      <c r="F316" s="7" t="s">
        <v>11535</v>
      </c>
    </row>
    <row r="317" ht="18" customHeight="1" spans="1:6">
      <c r="A317" s="13" t="s">
        <v>855</v>
      </c>
      <c r="B317" s="13" t="s">
        <v>12215</v>
      </c>
      <c r="C317" s="10" t="s">
        <v>12218</v>
      </c>
      <c r="D317" s="13">
        <v>4</v>
      </c>
      <c r="E317" s="10" t="s">
        <v>12219</v>
      </c>
      <c r="F317" s="7" t="s">
        <v>11535</v>
      </c>
    </row>
    <row r="318" ht="18" customHeight="1" spans="1:6">
      <c r="A318" s="13" t="s">
        <v>855</v>
      </c>
      <c r="B318" s="13" t="s">
        <v>12215</v>
      </c>
      <c r="C318" s="10" t="s">
        <v>12220</v>
      </c>
      <c r="D318" s="13">
        <v>2</v>
      </c>
      <c r="E318" s="10" t="s">
        <v>12221</v>
      </c>
      <c r="F318" s="7" t="s">
        <v>11535</v>
      </c>
    </row>
    <row r="319" ht="18" customHeight="1" spans="1:6">
      <c r="A319" s="13" t="s">
        <v>855</v>
      </c>
      <c r="B319" s="13" t="s">
        <v>12215</v>
      </c>
      <c r="C319" s="10" t="s">
        <v>12222</v>
      </c>
      <c r="D319" s="13">
        <v>5</v>
      </c>
      <c r="E319" s="10" t="s">
        <v>12223</v>
      </c>
      <c r="F319" s="7" t="s">
        <v>11535</v>
      </c>
    </row>
    <row r="320" ht="18" customHeight="1" spans="1:6">
      <c r="A320" s="13" t="s">
        <v>855</v>
      </c>
      <c r="B320" s="13" t="s">
        <v>12215</v>
      </c>
      <c r="C320" s="10" t="s">
        <v>12224</v>
      </c>
      <c r="D320" s="13">
        <v>3</v>
      </c>
      <c r="E320" s="10" t="s">
        <v>12225</v>
      </c>
      <c r="F320" s="7" t="s">
        <v>11535</v>
      </c>
    </row>
    <row r="321" ht="18" customHeight="1" spans="1:6">
      <c r="A321" s="13" t="s">
        <v>855</v>
      </c>
      <c r="B321" s="13" t="s">
        <v>12215</v>
      </c>
      <c r="C321" s="10" t="s">
        <v>12226</v>
      </c>
      <c r="D321" s="13">
        <v>2</v>
      </c>
      <c r="E321" s="10" t="s">
        <v>12227</v>
      </c>
      <c r="F321" s="7" t="s">
        <v>11535</v>
      </c>
    </row>
    <row r="322" ht="18" customHeight="1" spans="1:6">
      <c r="A322" s="13" t="s">
        <v>855</v>
      </c>
      <c r="B322" s="13" t="s">
        <v>12215</v>
      </c>
      <c r="C322" s="24" t="s">
        <v>12228</v>
      </c>
      <c r="D322" s="13">
        <v>6</v>
      </c>
      <c r="E322" s="14" t="s">
        <v>12229</v>
      </c>
      <c r="F322" s="7" t="s">
        <v>11535</v>
      </c>
    </row>
    <row r="323" ht="18" customHeight="1" spans="1:6">
      <c r="A323" s="13" t="s">
        <v>855</v>
      </c>
      <c r="B323" s="13" t="s">
        <v>12215</v>
      </c>
      <c r="C323" s="24" t="s">
        <v>12230</v>
      </c>
      <c r="D323" s="13">
        <v>4</v>
      </c>
      <c r="E323" s="14" t="s">
        <v>12231</v>
      </c>
      <c r="F323" s="7" t="s">
        <v>11535</v>
      </c>
    </row>
    <row r="324" ht="18" customHeight="1" spans="1:6">
      <c r="A324" s="13" t="s">
        <v>855</v>
      </c>
      <c r="B324" s="13" t="s">
        <v>12215</v>
      </c>
      <c r="C324" s="24" t="s">
        <v>12232</v>
      </c>
      <c r="D324" s="13">
        <v>3</v>
      </c>
      <c r="E324" s="14" t="s">
        <v>12233</v>
      </c>
      <c r="F324" s="7" t="s">
        <v>11535</v>
      </c>
    </row>
    <row r="325" ht="18" customHeight="1" spans="1:6">
      <c r="A325" s="13" t="s">
        <v>855</v>
      </c>
      <c r="B325" s="13" t="s">
        <v>12215</v>
      </c>
      <c r="C325" s="24" t="s">
        <v>12234</v>
      </c>
      <c r="D325" s="13">
        <v>3</v>
      </c>
      <c r="E325" s="14" t="s">
        <v>12235</v>
      </c>
      <c r="F325" s="7" t="s">
        <v>11535</v>
      </c>
    </row>
    <row r="326" ht="18" customHeight="1" spans="1:6">
      <c r="A326" s="13" t="s">
        <v>855</v>
      </c>
      <c r="B326" s="13" t="s">
        <v>12215</v>
      </c>
      <c r="C326" s="24" t="s">
        <v>12236</v>
      </c>
      <c r="D326" s="13">
        <v>2</v>
      </c>
      <c r="E326" s="14" t="s">
        <v>12237</v>
      </c>
      <c r="F326" s="7" t="s">
        <v>11535</v>
      </c>
    </row>
    <row r="327" ht="18" customHeight="1" spans="1:6">
      <c r="A327" s="13" t="s">
        <v>855</v>
      </c>
      <c r="B327" s="13" t="s">
        <v>12215</v>
      </c>
      <c r="C327" s="20" t="s">
        <v>12238</v>
      </c>
      <c r="D327" s="13">
        <v>3</v>
      </c>
      <c r="E327" s="14" t="s">
        <v>12239</v>
      </c>
      <c r="F327" s="7" t="s">
        <v>11535</v>
      </c>
    </row>
    <row r="328" ht="18" customHeight="1" spans="1:6">
      <c r="A328" s="13" t="s">
        <v>855</v>
      </c>
      <c r="B328" s="13" t="s">
        <v>12215</v>
      </c>
      <c r="C328" s="24" t="s">
        <v>12240</v>
      </c>
      <c r="D328" s="13">
        <v>3</v>
      </c>
      <c r="E328" s="14" t="s">
        <v>12241</v>
      </c>
      <c r="F328" s="7" t="s">
        <v>11535</v>
      </c>
    </row>
    <row r="329" ht="18" customHeight="1" spans="1:6">
      <c r="A329" s="13" t="s">
        <v>855</v>
      </c>
      <c r="B329" s="13" t="s">
        <v>12215</v>
      </c>
      <c r="C329" s="24" t="s">
        <v>12242</v>
      </c>
      <c r="D329" s="13">
        <v>5</v>
      </c>
      <c r="E329" s="14" t="s">
        <v>12243</v>
      </c>
      <c r="F329" s="7" t="s">
        <v>11535</v>
      </c>
    </row>
    <row r="330" ht="18" customHeight="1" spans="1:6">
      <c r="A330" s="13" t="s">
        <v>855</v>
      </c>
      <c r="B330" s="13" t="s">
        <v>12215</v>
      </c>
      <c r="C330" s="24" t="s">
        <v>12244</v>
      </c>
      <c r="D330" s="13">
        <v>5</v>
      </c>
      <c r="E330" s="14" t="s">
        <v>12245</v>
      </c>
      <c r="F330" s="7" t="s">
        <v>11535</v>
      </c>
    </row>
    <row r="331" ht="18" customHeight="1" spans="1:6">
      <c r="A331" s="13" t="s">
        <v>855</v>
      </c>
      <c r="B331" s="13" t="s">
        <v>12215</v>
      </c>
      <c r="C331" s="20" t="s">
        <v>12246</v>
      </c>
      <c r="D331" s="13">
        <v>3</v>
      </c>
      <c r="E331" s="14" t="s">
        <v>12247</v>
      </c>
      <c r="F331" s="7" t="s">
        <v>11535</v>
      </c>
    </row>
    <row r="332" ht="18" customHeight="1" spans="1:6">
      <c r="A332" s="13" t="s">
        <v>855</v>
      </c>
      <c r="B332" s="13" t="s">
        <v>12215</v>
      </c>
      <c r="C332" s="20" t="s">
        <v>12248</v>
      </c>
      <c r="D332" s="13">
        <v>4</v>
      </c>
      <c r="E332" s="14" t="s">
        <v>12249</v>
      </c>
      <c r="F332" s="7" t="s">
        <v>11535</v>
      </c>
    </row>
    <row r="333" ht="18" customHeight="1" spans="1:6">
      <c r="A333" s="13" t="s">
        <v>855</v>
      </c>
      <c r="B333" s="13" t="s">
        <v>12215</v>
      </c>
      <c r="C333" s="20" t="s">
        <v>12250</v>
      </c>
      <c r="D333" s="13">
        <v>4</v>
      </c>
      <c r="E333" s="14" t="s">
        <v>12251</v>
      </c>
      <c r="F333" s="7" t="s">
        <v>11535</v>
      </c>
    </row>
    <row r="334" ht="18" customHeight="1" spans="1:6">
      <c r="A334" s="13" t="s">
        <v>855</v>
      </c>
      <c r="B334" s="13" t="s">
        <v>12215</v>
      </c>
      <c r="C334" s="20" t="s">
        <v>12252</v>
      </c>
      <c r="D334" s="13">
        <v>4</v>
      </c>
      <c r="E334" s="14" t="s">
        <v>12253</v>
      </c>
      <c r="F334" s="7" t="s">
        <v>11535</v>
      </c>
    </row>
    <row r="335" ht="18" customHeight="1" spans="1:6">
      <c r="A335" s="13" t="s">
        <v>855</v>
      </c>
      <c r="B335" s="13" t="s">
        <v>12215</v>
      </c>
      <c r="C335" s="20" t="s">
        <v>12254</v>
      </c>
      <c r="D335" s="13">
        <v>2</v>
      </c>
      <c r="E335" s="14" t="s">
        <v>12255</v>
      </c>
      <c r="F335" s="7" t="s">
        <v>11535</v>
      </c>
    </row>
    <row r="336" ht="18" customHeight="1" spans="1:6">
      <c r="A336" s="13" t="s">
        <v>855</v>
      </c>
      <c r="B336" s="13" t="s">
        <v>12215</v>
      </c>
      <c r="C336" s="20" t="s">
        <v>12256</v>
      </c>
      <c r="D336" s="13">
        <v>1</v>
      </c>
      <c r="E336" s="5" t="str">
        <f>LEFT("422626195208081516",19)</f>
        <v>422626195208081516</v>
      </c>
      <c r="F336" s="7" t="s">
        <v>11535</v>
      </c>
    </row>
    <row r="337" ht="18" customHeight="1" spans="1:6">
      <c r="A337" s="13" t="s">
        <v>855</v>
      </c>
      <c r="B337" s="13" t="s">
        <v>12215</v>
      </c>
      <c r="C337" s="20" t="s">
        <v>12250</v>
      </c>
      <c r="D337" s="13">
        <v>4</v>
      </c>
      <c r="E337" s="10" t="s">
        <v>12251</v>
      </c>
      <c r="F337" s="7" t="s">
        <v>11535</v>
      </c>
    </row>
    <row r="338" ht="18" customHeight="1" spans="1:6">
      <c r="A338" s="13" t="s">
        <v>855</v>
      </c>
      <c r="B338" s="13" t="s">
        <v>12215</v>
      </c>
      <c r="C338" s="20" t="s">
        <v>12257</v>
      </c>
      <c r="D338" s="13">
        <v>2</v>
      </c>
      <c r="E338" s="10" t="s">
        <v>12258</v>
      </c>
      <c r="F338" s="7" t="s">
        <v>11535</v>
      </c>
    </row>
    <row r="339" ht="18" customHeight="1" spans="1:6">
      <c r="A339" s="13" t="s">
        <v>855</v>
      </c>
      <c r="B339" s="13" t="s">
        <v>12215</v>
      </c>
      <c r="C339" s="20" t="s">
        <v>12259</v>
      </c>
      <c r="D339" s="13">
        <v>2</v>
      </c>
      <c r="E339" s="10" t="s">
        <v>12260</v>
      </c>
      <c r="F339" s="7" t="s">
        <v>11535</v>
      </c>
    </row>
    <row r="340" ht="18" customHeight="1" spans="1:6">
      <c r="A340" s="13" t="s">
        <v>855</v>
      </c>
      <c r="B340" s="13" t="s">
        <v>12215</v>
      </c>
      <c r="C340" s="20" t="s">
        <v>12261</v>
      </c>
      <c r="D340" s="13">
        <v>4</v>
      </c>
      <c r="E340" s="10" t="s">
        <v>12262</v>
      </c>
      <c r="F340" s="7" t="s">
        <v>11535</v>
      </c>
    </row>
    <row r="341" ht="18" customHeight="1" spans="1:6">
      <c r="A341" s="13" t="s">
        <v>855</v>
      </c>
      <c r="B341" s="13" t="s">
        <v>12215</v>
      </c>
      <c r="C341" s="20" t="s">
        <v>12263</v>
      </c>
      <c r="D341" s="13">
        <v>8</v>
      </c>
      <c r="E341" s="10" t="s">
        <v>12264</v>
      </c>
      <c r="F341" s="7" t="s">
        <v>11535</v>
      </c>
    </row>
    <row r="342" ht="18" customHeight="1" spans="1:6">
      <c r="A342" s="13" t="s">
        <v>855</v>
      </c>
      <c r="B342" s="6" t="s">
        <v>12265</v>
      </c>
      <c r="C342" s="11" t="s">
        <v>12266</v>
      </c>
      <c r="D342" s="6">
        <v>6</v>
      </c>
      <c r="E342" s="12" t="str">
        <f>LEFT("422626195506201512",19)</f>
        <v>422626195506201512</v>
      </c>
      <c r="F342" s="7" t="s">
        <v>11535</v>
      </c>
    </row>
    <row r="343" ht="18" customHeight="1" spans="1:6">
      <c r="A343" s="13" t="s">
        <v>855</v>
      </c>
      <c r="B343" s="6" t="s">
        <v>12267</v>
      </c>
      <c r="C343" s="11" t="s">
        <v>12268</v>
      </c>
      <c r="D343" s="6">
        <v>4</v>
      </c>
      <c r="E343" s="12" t="s">
        <v>12269</v>
      </c>
      <c r="F343" s="7" t="s">
        <v>11535</v>
      </c>
    </row>
    <row r="344" ht="18" customHeight="1" spans="1:6">
      <c r="A344" s="13" t="s">
        <v>855</v>
      </c>
      <c r="B344" s="6" t="s">
        <v>12270</v>
      </c>
      <c r="C344" s="6" t="s">
        <v>12271</v>
      </c>
      <c r="D344" s="6">
        <v>2</v>
      </c>
      <c r="E344" s="12" t="s">
        <v>12272</v>
      </c>
      <c r="F344" s="7" t="s">
        <v>11535</v>
      </c>
    </row>
    <row r="345" ht="18" customHeight="1" spans="1:6">
      <c r="A345" s="13" t="s">
        <v>855</v>
      </c>
      <c r="B345" s="6" t="s">
        <v>12273</v>
      </c>
      <c r="C345" s="6" t="s">
        <v>12274</v>
      </c>
      <c r="D345" s="6">
        <v>3</v>
      </c>
      <c r="E345" s="12" t="s">
        <v>12275</v>
      </c>
      <c r="F345" s="7" t="s">
        <v>11535</v>
      </c>
    </row>
    <row r="346" ht="18" customHeight="1" spans="1:6">
      <c r="A346" s="13" t="s">
        <v>855</v>
      </c>
      <c r="B346" s="6" t="s">
        <v>12273</v>
      </c>
      <c r="C346" s="6" t="s">
        <v>12276</v>
      </c>
      <c r="D346" s="6">
        <v>1</v>
      </c>
      <c r="E346" s="12" t="s">
        <v>12277</v>
      </c>
      <c r="F346" s="7" t="s">
        <v>11535</v>
      </c>
    </row>
    <row r="347" ht="18" customHeight="1" spans="1:6">
      <c r="A347" s="13" t="s">
        <v>855</v>
      </c>
      <c r="B347" s="6" t="s">
        <v>12278</v>
      </c>
      <c r="C347" s="6" t="s">
        <v>12279</v>
      </c>
      <c r="D347" s="6">
        <v>4</v>
      </c>
      <c r="E347" s="12" t="s">
        <v>12280</v>
      </c>
      <c r="F347" s="7" t="s">
        <v>11535</v>
      </c>
    </row>
    <row r="348" ht="18" customHeight="1" spans="1:6">
      <c r="A348" s="13" t="s">
        <v>855</v>
      </c>
      <c r="B348" s="6" t="s">
        <v>12281</v>
      </c>
      <c r="C348" s="6" t="s">
        <v>12282</v>
      </c>
      <c r="D348" s="6">
        <v>4</v>
      </c>
      <c r="E348" s="12" t="s">
        <v>12283</v>
      </c>
      <c r="F348" s="7" t="s">
        <v>11535</v>
      </c>
    </row>
    <row r="349" ht="18" customHeight="1" spans="1:6">
      <c r="A349" s="13" t="s">
        <v>855</v>
      </c>
      <c r="B349" s="6" t="s">
        <v>904</v>
      </c>
      <c r="C349" s="6" t="s">
        <v>12284</v>
      </c>
      <c r="D349" s="6">
        <v>2</v>
      </c>
      <c r="E349" s="12" t="s">
        <v>12285</v>
      </c>
      <c r="F349" s="7" t="s">
        <v>11535</v>
      </c>
    </row>
    <row r="350" ht="18" customHeight="1" spans="1:6">
      <c r="A350" s="13" t="s">
        <v>855</v>
      </c>
      <c r="B350" s="6" t="s">
        <v>904</v>
      </c>
      <c r="C350" s="6" t="s">
        <v>12286</v>
      </c>
      <c r="D350" s="6">
        <v>2</v>
      </c>
      <c r="E350" s="12" t="s">
        <v>12287</v>
      </c>
      <c r="F350" s="7" t="s">
        <v>11535</v>
      </c>
    </row>
    <row r="351" ht="18" customHeight="1" spans="1:6">
      <c r="A351" s="13" t="s">
        <v>855</v>
      </c>
      <c r="B351" s="6" t="s">
        <v>904</v>
      </c>
      <c r="C351" s="6" t="s">
        <v>12288</v>
      </c>
      <c r="D351" s="6">
        <v>6</v>
      </c>
      <c r="E351" s="12" t="s">
        <v>12289</v>
      </c>
      <c r="F351" s="7" t="s">
        <v>11535</v>
      </c>
    </row>
    <row r="352" ht="18" customHeight="1" spans="1:6">
      <c r="A352" s="13" t="s">
        <v>855</v>
      </c>
      <c r="B352" s="6" t="s">
        <v>12290</v>
      </c>
      <c r="C352" s="6" t="s">
        <v>12291</v>
      </c>
      <c r="D352" s="6">
        <v>3</v>
      </c>
      <c r="E352" s="8" t="s">
        <v>12292</v>
      </c>
      <c r="F352" s="7" t="s">
        <v>11535</v>
      </c>
    </row>
    <row r="353" ht="18" customHeight="1" spans="1:6">
      <c r="A353" s="13" t="s">
        <v>855</v>
      </c>
      <c r="B353" s="6" t="s">
        <v>12293</v>
      </c>
      <c r="C353" s="6" t="s">
        <v>12294</v>
      </c>
      <c r="D353" s="6">
        <v>4</v>
      </c>
      <c r="E353" s="8" t="s">
        <v>12295</v>
      </c>
      <c r="F353" s="7" t="s">
        <v>11535</v>
      </c>
    </row>
    <row r="354" ht="18" customHeight="1" spans="1:6">
      <c r="A354" s="13" t="s">
        <v>855</v>
      </c>
      <c r="B354" s="6" t="s">
        <v>12293</v>
      </c>
      <c r="C354" s="6" t="s">
        <v>12296</v>
      </c>
      <c r="D354" s="6">
        <v>4</v>
      </c>
      <c r="E354" s="8" t="s">
        <v>12297</v>
      </c>
      <c r="F354" s="7" t="s">
        <v>11535</v>
      </c>
    </row>
    <row r="355" ht="18" customHeight="1" spans="1:6">
      <c r="A355" s="13" t="s">
        <v>855</v>
      </c>
      <c r="B355" s="6" t="s">
        <v>12298</v>
      </c>
      <c r="C355" s="6" t="s">
        <v>12299</v>
      </c>
      <c r="D355" s="6">
        <v>1</v>
      </c>
      <c r="E355" s="179" t="s">
        <v>12300</v>
      </c>
      <c r="F355" s="7" t="s">
        <v>11535</v>
      </c>
    </row>
    <row r="356" ht="18" customHeight="1" spans="1:6">
      <c r="A356" s="13" t="s">
        <v>855</v>
      </c>
      <c r="B356" s="6" t="s">
        <v>12301</v>
      </c>
      <c r="C356" s="13" t="s">
        <v>12302</v>
      </c>
      <c r="D356" s="6">
        <v>3</v>
      </c>
      <c r="E356" s="8" t="s">
        <v>12303</v>
      </c>
      <c r="F356" s="7" t="s">
        <v>11535</v>
      </c>
    </row>
    <row r="357" ht="18" customHeight="1" spans="1:6">
      <c r="A357" s="13" t="s">
        <v>855</v>
      </c>
      <c r="B357" s="6" t="s">
        <v>12304</v>
      </c>
      <c r="C357" s="13" t="s">
        <v>12305</v>
      </c>
      <c r="D357" s="6">
        <v>3</v>
      </c>
      <c r="E357" s="8" t="s">
        <v>12306</v>
      </c>
      <c r="F357" s="7" t="s">
        <v>11535</v>
      </c>
    </row>
    <row r="358" ht="18" customHeight="1" spans="1:6">
      <c r="A358" s="13" t="s">
        <v>855</v>
      </c>
      <c r="B358" s="6" t="s">
        <v>12304</v>
      </c>
      <c r="C358" s="13" t="s">
        <v>12307</v>
      </c>
      <c r="D358" s="6">
        <v>6</v>
      </c>
      <c r="E358" s="8" t="s">
        <v>12308</v>
      </c>
      <c r="F358" s="7" t="s">
        <v>11535</v>
      </c>
    </row>
    <row r="359" ht="18" customHeight="1" spans="1:6">
      <c r="A359" s="13" t="s">
        <v>855</v>
      </c>
      <c r="B359" s="6" t="s">
        <v>12298</v>
      </c>
      <c r="C359" s="13" t="s">
        <v>12309</v>
      </c>
      <c r="D359" s="6">
        <v>5</v>
      </c>
      <c r="E359" s="8" t="s">
        <v>12310</v>
      </c>
      <c r="F359" s="7" t="s">
        <v>11535</v>
      </c>
    </row>
    <row r="360" ht="18" customHeight="1" spans="1:6">
      <c r="A360" s="13" t="s">
        <v>855</v>
      </c>
      <c r="B360" s="6" t="s">
        <v>12298</v>
      </c>
      <c r="C360" s="13" t="s">
        <v>12311</v>
      </c>
      <c r="D360" s="6">
        <v>6</v>
      </c>
      <c r="E360" s="8" t="s">
        <v>12312</v>
      </c>
      <c r="F360" s="7" t="s">
        <v>11535</v>
      </c>
    </row>
    <row r="361" ht="18" customHeight="1" spans="1:6">
      <c r="A361" s="13" t="s">
        <v>855</v>
      </c>
      <c r="B361" s="6" t="s">
        <v>12301</v>
      </c>
      <c r="C361" s="13" t="s">
        <v>12313</v>
      </c>
      <c r="D361" s="6">
        <v>7</v>
      </c>
      <c r="E361" s="8" t="s">
        <v>12314</v>
      </c>
      <c r="F361" s="7" t="s">
        <v>11535</v>
      </c>
    </row>
    <row r="362" ht="18" customHeight="1" spans="1:6">
      <c r="A362" s="13" t="s">
        <v>855</v>
      </c>
      <c r="B362" s="13" t="s">
        <v>918</v>
      </c>
      <c r="C362" s="25" t="s">
        <v>12315</v>
      </c>
      <c r="D362" s="13">
        <v>1</v>
      </c>
      <c r="E362" s="25" t="s">
        <v>12316</v>
      </c>
      <c r="F362" s="7" t="s">
        <v>11535</v>
      </c>
    </row>
    <row r="363" ht="18" customHeight="1" spans="1:6">
      <c r="A363" s="13" t="s">
        <v>855</v>
      </c>
      <c r="B363" s="13" t="s">
        <v>918</v>
      </c>
      <c r="C363" s="25" t="s">
        <v>12317</v>
      </c>
      <c r="D363" s="13">
        <v>4</v>
      </c>
      <c r="E363" s="25" t="s">
        <v>12318</v>
      </c>
      <c r="F363" s="7" t="s">
        <v>11535</v>
      </c>
    </row>
    <row r="364" ht="18" customHeight="1" spans="1:6">
      <c r="A364" s="13" t="s">
        <v>855</v>
      </c>
      <c r="B364" s="13" t="s">
        <v>918</v>
      </c>
      <c r="C364" s="25" t="s">
        <v>12319</v>
      </c>
      <c r="D364" s="13">
        <v>4</v>
      </c>
      <c r="E364" s="25" t="s">
        <v>12320</v>
      </c>
      <c r="F364" s="7" t="s">
        <v>11535</v>
      </c>
    </row>
    <row r="365" ht="18" customHeight="1" spans="1:6">
      <c r="A365" s="13" t="s">
        <v>855</v>
      </c>
      <c r="B365" s="13" t="s">
        <v>918</v>
      </c>
      <c r="C365" s="25" t="s">
        <v>12321</v>
      </c>
      <c r="D365" s="13">
        <v>1</v>
      </c>
      <c r="E365" s="25" t="s">
        <v>12322</v>
      </c>
      <c r="F365" s="7" t="s">
        <v>11535</v>
      </c>
    </row>
    <row r="366" ht="18" customHeight="1" spans="1:6">
      <c r="A366" s="13" t="s">
        <v>855</v>
      </c>
      <c r="B366" s="13" t="s">
        <v>918</v>
      </c>
      <c r="C366" s="25" t="s">
        <v>12323</v>
      </c>
      <c r="D366" s="13">
        <v>6</v>
      </c>
      <c r="E366" s="25" t="s">
        <v>12324</v>
      </c>
      <c r="F366" s="7" t="s">
        <v>11535</v>
      </c>
    </row>
    <row r="367" ht="18" customHeight="1" spans="1:6">
      <c r="A367" s="13" t="s">
        <v>855</v>
      </c>
      <c r="B367" s="13" t="s">
        <v>918</v>
      </c>
      <c r="C367" s="25" t="s">
        <v>2625</v>
      </c>
      <c r="D367" s="13">
        <v>5</v>
      </c>
      <c r="E367" s="25" t="s">
        <v>12325</v>
      </c>
      <c r="F367" s="7" t="s">
        <v>11535</v>
      </c>
    </row>
    <row r="368" ht="18" customHeight="1" spans="1:6">
      <c r="A368" s="13" t="s">
        <v>855</v>
      </c>
      <c r="B368" s="13" t="s">
        <v>918</v>
      </c>
      <c r="C368" s="25" t="s">
        <v>12326</v>
      </c>
      <c r="D368" s="13">
        <v>4</v>
      </c>
      <c r="E368" s="25" t="s">
        <v>12327</v>
      </c>
      <c r="F368" s="7" t="s">
        <v>11535</v>
      </c>
    </row>
    <row r="369" ht="18" customHeight="1" spans="1:6">
      <c r="A369" s="13" t="s">
        <v>855</v>
      </c>
      <c r="B369" s="13" t="s">
        <v>918</v>
      </c>
      <c r="C369" s="25" t="s">
        <v>12328</v>
      </c>
      <c r="D369" s="13">
        <v>5</v>
      </c>
      <c r="E369" s="25" t="s">
        <v>12329</v>
      </c>
      <c r="F369" s="7" t="s">
        <v>11535</v>
      </c>
    </row>
    <row r="370" ht="18" customHeight="1" spans="1:6">
      <c r="A370" s="13" t="s">
        <v>855</v>
      </c>
      <c r="B370" s="13" t="s">
        <v>918</v>
      </c>
      <c r="C370" s="25" t="s">
        <v>12330</v>
      </c>
      <c r="D370" s="13">
        <v>4</v>
      </c>
      <c r="E370" s="25" t="s">
        <v>12331</v>
      </c>
      <c r="F370" s="7" t="s">
        <v>11535</v>
      </c>
    </row>
    <row r="371" ht="18" customHeight="1" spans="1:6">
      <c r="A371" s="13" t="s">
        <v>855</v>
      </c>
      <c r="B371" s="13" t="s">
        <v>918</v>
      </c>
      <c r="C371" s="25" t="s">
        <v>12332</v>
      </c>
      <c r="D371" s="13">
        <v>3</v>
      </c>
      <c r="E371" s="25" t="s">
        <v>12333</v>
      </c>
      <c r="F371" s="7" t="s">
        <v>11535</v>
      </c>
    </row>
    <row r="372" ht="18" customHeight="1" spans="1:6">
      <c r="A372" s="13" t="s">
        <v>855</v>
      </c>
      <c r="B372" s="13" t="s">
        <v>918</v>
      </c>
      <c r="C372" s="25" t="s">
        <v>12334</v>
      </c>
      <c r="D372" s="13">
        <v>5</v>
      </c>
      <c r="E372" s="25" t="s">
        <v>12335</v>
      </c>
      <c r="F372" s="7" t="s">
        <v>11535</v>
      </c>
    </row>
    <row r="373" ht="18" customHeight="1" spans="1:6">
      <c r="A373" s="13" t="s">
        <v>855</v>
      </c>
      <c r="B373" s="13" t="s">
        <v>918</v>
      </c>
      <c r="C373" s="25" t="s">
        <v>767</v>
      </c>
      <c r="D373" s="13">
        <v>6</v>
      </c>
      <c r="E373" s="25" t="s">
        <v>12336</v>
      </c>
      <c r="F373" s="7" t="s">
        <v>11535</v>
      </c>
    </row>
    <row r="374" ht="18" customHeight="1" spans="1:6">
      <c r="A374" s="13" t="s">
        <v>855</v>
      </c>
      <c r="B374" s="13" t="s">
        <v>918</v>
      </c>
      <c r="C374" s="25" t="s">
        <v>12337</v>
      </c>
      <c r="D374" s="13">
        <v>2</v>
      </c>
      <c r="E374" s="25" t="s">
        <v>12338</v>
      </c>
      <c r="F374" s="7" t="s">
        <v>11535</v>
      </c>
    </row>
    <row r="375" ht="18" customHeight="1" spans="1:6">
      <c r="A375" s="13" t="s">
        <v>855</v>
      </c>
      <c r="B375" s="13" t="s">
        <v>918</v>
      </c>
      <c r="C375" s="25" t="s">
        <v>12339</v>
      </c>
      <c r="D375" s="13">
        <v>5</v>
      </c>
      <c r="E375" s="25" t="s">
        <v>12340</v>
      </c>
      <c r="F375" s="7" t="s">
        <v>11535</v>
      </c>
    </row>
    <row r="376" ht="18" customHeight="1" spans="1:6">
      <c r="A376" s="13" t="s">
        <v>855</v>
      </c>
      <c r="B376" s="13" t="s">
        <v>918</v>
      </c>
      <c r="C376" s="25" t="s">
        <v>12341</v>
      </c>
      <c r="D376" s="13">
        <v>3</v>
      </c>
      <c r="E376" s="25" t="s">
        <v>12342</v>
      </c>
      <c r="F376" s="7" t="s">
        <v>11535</v>
      </c>
    </row>
    <row r="377" ht="18" customHeight="1" spans="1:6">
      <c r="A377" s="13" t="s">
        <v>855</v>
      </c>
      <c r="B377" s="13" t="s">
        <v>918</v>
      </c>
      <c r="C377" s="25" t="s">
        <v>12343</v>
      </c>
      <c r="D377" s="13">
        <v>5</v>
      </c>
      <c r="E377" s="25" t="s">
        <v>12344</v>
      </c>
      <c r="F377" s="7" t="s">
        <v>11535</v>
      </c>
    </row>
    <row r="378" ht="18" customHeight="1" spans="1:6">
      <c r="A378" s="13" t="s">
        <v>855</v>
      </c>
      <c r="B378" s="13" t="s">
        <v>918</v>
      </c>
      <c r="C378" s="25" t="s">
        <v>12345</v>
      </c>
      <c r="D378" s="13">
        <v>3</v>
      </c>
      <c r="E378" s="25" t="s">
        <v>12346</v>
      </c>
      <c r="F378" s="7" t="s">
        <v>11535</v>
      </c>
    </row>
    <row r="379" ht="18" customHeight="1" spans="1:6">
      <c r="A379" s="13" t="s">
        <v>855</v>
      </c>
      <c r="B379" s="13" t="s">
        <v>918</v>
      </c>
      <c r="C379" s="25" t="s">
        <v>3898</v>
      </c>
      <c r="D379" s="13">
        <v>5</v>
      </c>
      <c r="E379" s="25" t="s">
        <v>12347</v>
      </c>
      <c r="F379" s="7" t="s">
        <v>11535</v>
      </c>
    </row>
    <row r="380" ht="18" customHeight="1" spans="1:6">
      <c r="A380" s="13" t="s">
        <v>855</v>
      </c>
      <c r="B380" s="13" t="s">
        <v>918</v>
      </c>
      <c r="C380" s="25" t="s">
        <v>12348</v>
      </c>
      <c r="D380" s="13">
        <v>4</v>
      </c>
      <c r="E380" s="25" t="s">
        <v>12349</v>
      </c>
      <c r="F380" s="7" t="s">
        <v>11535</v>
      </c>
    </row>
    <row r="381" ht="18" customHeight="1" spans="1:6">
      <c r="A381" s="13" t="s">
        <v>855</v>
      </c>
      <c r="B381" s="13" t="s">
        <v>918</v>
      </c>
      <c r="C381" s="25" t="s">
        <v>12350</v>
      </c>
      <c r="D381" s="13">
        <v>4</v>
      </c>
      <c r="E381" s="25" t="s">
        <v>12351</v>
      </c>
      <c r="F381" s="7" t="s">
        <v>11535</v>
      </c>
    </row>
    <row r="382" ht="18" customHeight="1" spans="1:6">
      <c r="A382" s="13" t="s">
        <v>855</v>
      </c>
      <c r="B382" s="13" t="s">
        <v>918</v>
      </c>
      <c r="C382" s="25" t="s">
        <v>12352</v>
      </c>
      <c r="D382" s="13">
        <v>5</v>
      </c>
      <c r="E382" s="25" t="s">
        <v>12353</v>
      </c>
      <c r="F382" s="7" t="s">
        <v>11535</v>
      </c>
    </row>
    <row r="383" ht="18" customHeight="1" spans="1:6">
      <c r="A383" s="13" t="s">
        <v>855</v>
      </c>
      <c r="B383" s="13" t="s">
        <v>918</v>
      </c>
      <c r="C383" s="25" t="s">
        <v>12354</v>
      </c>
      <c r="D383" s="13">
        <v>4</v>
      </c>
      <c r="E383" s="25" t="s">
        <v>12355</v>
      </c>
      <c r="F383" s="7" t="s">
        <v>11535</v>
      </c>
    </row>
    <row r="384" ht="18" customHeight="1" spans="1:6">
      <c r="A384" s="13" t="s">
        <v>855</v>
      </c>
      <c r="B384" s="13" t="s">
        <v>918</v>
      </c>
      <c r="C384" s="25" t="s">
        <v>12356</v>
      </c>
      <c r="D384" s="13">
        <v>3</v>
      </c>
      <c r="E384" s="25" t="s">
        <v>12357</v>
      </c>
      <c r="F384" s="7" t="s">
        <v>11535</v>
      </c>
    </row>
    <row r="385" ht="18" customHeight="1" spans="1:6">
      <c r="A385" s="13" t="s">
        <v>855</v>
      </c>
      <c r="B385" s="13" t="s">
        <v>12358</v>
      </c>
      <c r="C385" s="13" t="s">
        <v>12359</v>
      </c>
      <c r="D385" s="13">
        <v>6</v>
      </c>
      <c r="E385" s="179" t="s">
        <v>12360</v>
      </c>
      <c r="F385" s="7" t="s">
        <v>11535</v>
      </c>
    </row>
    <row r="386" ht="18" customHeight="1" spans="1:6">
      <c r="A386" s="13" t="s">
        <v>855</v>
      </c>
      <c r="B386" s="13" t="s">
        <v>943</v>
      </c>
      <c r="C386" s="13" t="s">
        <v>12361</v>
      </c>
      <c r="D386" s="13">
        <v>2</v>
      </c>
      <c r="E386" s="179" t="s">
        <v>12362</v>
      </c>
      <c r="F386" s="7" t="s">
        <v>11535</v>
      </c>
    </row>
    <row r="387" ht="18" customHeight="1" spans="1:6">
      <c r="A387" s="13" t="s">
        <v>855</v>
      </c>
      <c r="B387" s="13" t="s">
        <v>12363</v>
      </c>
      <c r="C387" s="13" t="s">
        <v>12364</v>
      </c>
      <c r="D387" s="13">
        <v>4</v>
      </c>
      <c r="E387" s="179" t="s">
        <v>12365</v>
      </c>
      <c r="F387" s="7" t="s">
        <v>11535</v>
      </c>
    </row>
    <row r="388" ht="18" customHeight="1" spans="1:6">
      <c r="A388" s="13" t="s">
        <v>855</v>
      </c>
      <c r="B388" s="13" t="s">
        <v>12366</v>
      </c>
      <c r="C388" s="13" t="s">
        <v>12367</v>
      </c>
      <c r="D388" s="13">
        <v>4</v>
      </c>
      <c r="E388" s="13" t="s">
        <v>12368</v>
      </c>
      <c r="F388" s="7" t="s">
        <v>11535</v>
      </c>
    </row>
    <row r="389" ht="18" customHeight="1" spans="1:6">
      <c r="A389" s="13" t="s">
        <v>855</v>
      </c>
      <c r="B389" s="13" t="s">
        <v>12366</v>
      </c>
      <c r="C389" s="13" t="s">
        <v>12369</v>
      </c>
      <c r="D389" s="13">
        <v>2</v>
      </c>
      <c r="E389" s="13" t="s">
        <v>12370</v>
      </c>
      <c r="F389" s="7" t="s">
        <v>11535</v>
      </c>
    </row>
    <row r="390" ht="18" customHeight="1" spans="1:6">
      <c r="A390" s="13" t="s">
        <v>855</v>
      </c>
      <c r="B390" s="13" t="s">
        <v>12371</v>
      </c>
      <c r="C390" s="13" t="s">
        <v>12372</v>
      </c>
      <c r="D390" s="13">
        <v>3</v>
      </c>
      <c r="E390" s="13" t="s">
        <v>12373</v>
      </c>
      <c r="F390" s="7" t="s">
        <v>11535</v>
      </c>
    </row>
    <row r="391" ht="18" customHeight="1" spans="1:6">
      <c r="A391" s="13" t="s">
        <v>855</v>
      </c>
      <c r="B391" s="13" t="s">
        <v>12374</v>
      </c>
      <c r="C391" s="13" t="s">
        <v>12375</v>
      </c>
      <c r="D391" s="13">
        <v>5</v>
      </c>
      <c r="E391" s="13" t="s">
        <v>12376</v>
      </c>
      <c r="F391" s="7" t="s">
        <v>11535</v>
      </c>
    </row>
    <row r="392" ht="18" customHeight="1" spans="1:6">
      <c r="A392" s="13" t="s">
        <v>855</v>
      </c>
      <c r="B392" s="13" t="s">
        <v>12377</v>
      </c>
      <c r="C392" s="13" t="s">
        <v>12378</v>
      </c>
      <c r="D392" s="13">
        <v>3</v>
      </c>
      <c r="E392" s="13" t="s">
        <v>12379</v>
      </c>
      <c r="F392" s="7" t="s">
        <v>11535</v>
      </c>
    </row>
    <row r="393" ht="18" customHeight="1" spans="1:6">
      <c r="A393" s="13" t="s">
        <v>855</v>
      </c>
      <c r="B393" s="13" t="s">
        <v>946</v>
      </c>
      <c r="C393" s="10" t="s">
        <v>12380</v>
      </c>
      <c r="D393" s="11">
        <v>3</v>
      </c>
      <c r="E393" s="10" t="s">
        <v>12381</v>
      </c>
      <c r="F393" s="7" t="s">
        <v>11535</v>
      </c>
    </row>
    <row r="394" ht="18" customHeight="1" spans="1:6">
      <c r="A394" s="13" t="s">
        <v>855</v>
      </c>
      <c r="B394" s="13" t="s">
        <v>946</v>
      </c>
      <c r="C394" s="10" t="s">
        <v>12382</v>
      </c>
      <c r="D394" s="11">
        <v>4</v>
      </c>
      <c r="E394" s="10" t="s">
        <v>12383</v>
      </c>
      <c r="F394" s="7" t="s">
        <v>11535</v>
      </c>
    </row>
    <row r="395" ht="18" customHeight="1" spans="1:6">
      <c r="A395" s="13" t="s">
        <v>855</v>
      </c>
      <c r="B395" s="13" t="s">
        <v>946</v>
      </c>
      <c r="C395" s="10" t="s">
        <v>12384</v>
      </c>
      <c r="D395" s="11">
        <v>4</v>
      </c>
      <c r="E395" s="10" t="str">
        <f>LEFT("422626196505111536",19)</f>
        <v>422626196505111536</v>
      </c>
      <c r="F395" s="7" t="s">
        <v>11535</v>
      </c>
    </row>
    <row r="396" ht="18" customHeight="1" spans="1:6">
      <c r="A396" s="13" t="s">
        <v>855</v>
      </c>
      <c r="B396" s="13" t="s">
        <v>946</v>
      </c>
      <c r="C396" s="10" t="s">
        <v>12385</v>
      </c>
      <c r="D396" s="11">
        <v>1</v>
      </c>
      <c r="E396" s="10" t="s">
        <v>12386</v>
      </c>
      <c r="F396" s="7" t="s">
        <v>11535</v>
      </c>
    </row>
    <row r="397" ht="18" customHeight="1" spans="1:6">
      <c r="A397" s="13" t="s">
        <v>855</v>
      </c>
      <c r="B397" s="13" t="s">
        <v>946</v>
      </c>
      <c r="C397" s="10" t="s">
        <v>12387</v>
      </c>
      <c r="D397" s="11">
        <v>1</v>
      </c>
      <c r="E397" s="10" t="s">
        <v>12388</v>
      </c>
      <c r="F397" s="7" t="s">
        <v>11535</v>
      </c>
    </row>
    <row r="398" ht="18" customHeight="1" spans="1:6">
      <c r="A398" s="13" t="s">
        <v>855</v>
      </c>
      <c r="B398" s="13" t="s">
        <v>946</v>
      </c>
      <c r="C398" s="10" t="s">
        <v>12389</v>
      </c>
      <c r="D398" s="11">
        <v>2</v>
      </c>
      <c r="E398" s="10" t="s">
        <v>12390</v>
      </c>
      <c r="F398" s="7" t="s">
        <v>11535</v>
      </c>
    </row>
    <row r="399" ht="18" customHeight="1" spans="1:6">
      <c r="A399" s="13" t="s">
        <v>855</v>
      </c>
      <c r="B399" s="13" t="s">
        <v>946</v>
      </c>
      <c r="C399" s="10" t="s">
        <v>12391</v>
      </c>
      <c r="D399" s="11">
        <v>3</v>
      </c>
      <c r="E399" s="10" t="s">
        <v>12392</v>
      </c>
      <c r="F399" s="7" t="s">
        <v>11535</v>
      </c>
    </row>
    <row r="400" ht="18" customHeight="1" spans="1:6">
      <c r="A400" s="13" t="s">
        <v>855</v>
      </c>
      <c r="B400" s="13" t="s">
        <v>946</v>
      </c>
      <c r="C400" s="10" t="s">
        <v>12393</v>
      </c>
      <c r="D400" s="11">
        <v>2</v>
      </c>
      <c r="E400" s="10" t="s">
        <v>12394</v>
      </c>
      <c r="F400" s="7" t="s">
        <v>11535</v>
      </c>
    </row>
    <row r="401" ht="18" customHeight="1" spans="1:6">
      <c r="A401" s="13" t="s">
        <v>855</v>
      </c>
      <c r="B401" s="13" t="s">
        <v>946</v>
      </c>
      <c r="C401" s="10" t="s">
        <v>12395</v>
      </c>
      <c r="D401" s="11">
        <v>5</v>
      </c>
      <c r="E401" s="10" t="s">
        <v>12396</v>
      </c>
      <c r="F401" s="7" t="s">
        <v>11535</v>
      </c>
    </row>
    <row r="402" ht="18" customHeight="1" spans="1:6">
      <c r="A402" s="13" t="s">
        <v>855</v>
      </c>
      <c r="B402" s="13" t="s">
        <v>946</v>
      </c>
      <c r="C402" s="10" t="s">
        <v>12397</v>
      </c>
      <c r="D402" s="11">
        <v>4</v>
      </c>
      <c r="E402" s="10" t="s">
        <v>12398</v>
      </c>
      <c r="F402" s="7" t="s">
        <v>11535</v>
      </c>
    </row>
    <row r="403" ht="18" customHeight="1" spans="1:6">
      <c r="A403" s="13" t="s">
        <v>855</v>
      </c>
      <c r="B403" s="13" t="s">
        <v>946</v>
      </c>
      <c r="C403" s="6" t="s">
        <v>12399</v>
      </c>
      <c r="D403" s="6">
        <v>3</v>
      </c>
      <c r="E403" s="6" t="s">
        <v>12400</v>
      </c>
      <c r="F403" s="7" t="s">
        <v>11535</v>
      </c>
    </row>
    <row r="404" ht="18" customHeight="1" spans="1:6">
      <c r="A404" s="13" t="s">
        <v>855</v>
      </c>
      <c r="B404" s="13" t="s">
        <v>946</v>
      </c>
      <c r="C404" s="6" t="s">
        <v>12401</v>
      </c>
      <c r="D404" s="6">
        <v>4</v>
      </c>
      <c r="E404" s="6" t="s">
        <v>12402</v>
      </c>
      <c r="F404" s="7" t="s">
        <v>11535</v>
      </c>
    </row>
    <row r="405" ht="18" customHeight="1" spans="1:6">
      <c r="A405" s="13" t="s">
        <v>855</v>
      </c>
      <c r="B405" s="13" t="s">
        <v>946</v>
      </c>
      <c r="C405" s="6" t="s">
        <v>12403</v>
      </c>
      <c r="D405" s="6">
        <v>3</v>
      </c>
      <c r="E405" s="6" t="s">
        <v>12404</v>
      </c>
      <c r="F405" s="7" t="s">
        <v>11535</v>
      </c>
    </row>
    <row r="406" ht="18" customHeight="1" spans="1:6">
      <c r="A406" s="13" t="s">
        <v>855</v>
      </c>
      <c r="B406" s="13" t="s">
        <v>946</v>
      </c>
      <c r="C406" s="6" t="s">
        <v>12405</v>
      </c>
      <c r="D406" s="6">
        <v>1</v>
      </c>
      <c r="E406" s="6" t="s">
        <v>12406</v>
      </c>
      <c r="F406" s="7" t="s">
        <v>11535</v>
      </c>
    </row>
    <row r="407" ht="18" customHeight="1" spans="1:6">
      <c r="A407" s="13" t="s">
        <v>855</v>
      </c>
      <c r="B407" s="13" t="s">
        <v>946</v>
      </c>
      <c r="C407" s="6" t="s">
        <v>12407</v>
      </c>
      <c r="D407" s="6">
        <v>4</v>
      </c>
      <c r="E407" s="6" t="s">
        <v>12408</v>
      </c>
      <c r="F407" s="7" t="s">
        <v>11535</v>
      </c>
    </row>
    <row r="408" ht="18" customHeight="1" spans="1:6">
      <c r="A408" s="13" t="s">
        <v>855</v>
      </c>
      <c r="B408" s="13" t="s">
        <v>946</v>
      </c>
      <c r="C408" s="6" t="s">
        <v>12409</v>
      </c>
      <c r="D408" s="6">
        <v>3</v>
      </c>
      <c r="E408" s="6" t="s">
        <v>12410</v>
      </c>
      <c r="F408" s="7" t="s">
        <v>11535</v>
      </c>
    </row>
    <row r="409" ht="18" customHeight="1" spans="1:6">
      <c r="A409" s="13" t="s">
        <v>855</v>
      </c>
      <c r="B409" s="13" t="s">
        <v>946</v>
      </c>
      <c r="C409" s="6" t="s">
        <v>12411</v>
      </c>
      <c r="D409" s="6">
        <v>3</v>
      </c>
      <c r="E409" s="6" t="s">
        <v>12412</v>
      </c>
      <c r="F409" s="7" t="s">
        <v>11535</v>
      </c>
    </row>
    <row r="410" ht="18" customHeight="1" spans="1:6">
      <c r="A410" s="13" t="s">
        <v>855</v>
      </c>
      <c r="B410" s="13" t="s">
        <v>946</v>
      </c>
      <c r="C410" s="6" t="s">
        <v>12413</v>
      </c>
      <c r="D410" s="6">
        <v>5</v>
      </c>
      <c r="E410" s="195" t="s">
        <v>12414</v>
      </c>
      <c r="F410" s="7" t="s">
        <v>11535</v>
      </c>
    </row>
    <row r="411" ht="18" customHeight="1" spans="1:6">
      <c r="A411" s="13" t="s">
        <v>855</v>
      </c>
      <c r="B411" s="13" t="s">
        <v>946</v>
      </c>
      <c r="C411" s="6" t="s">
        <v>12415</v>
      </c>
      <c r="D411" s="6">
        <v>2</v>
      </c>
      <c r="E411" s="6" t="s">
        <v>12416</v>
      </c>
      <c r="F411" s="7" t="s">
        <v>11535</v>
      </c>
    </row>
    <row r="412" ht="18" customHeight="1" spans="1:6">
      <c r="A412" s="13" t="s">
        <v>855</v>
      </c>
      <c r="B412" s="13" t="s">
        <v>946</v>
      </c>
      <c r="C412" s="10" t="s">
        <v>12417</v>
      </c>
      <c r="D412" s="13">
        <v>2</v>
      </c>
      <c r="E412" s="10" t="s">
        <v>12418</v>
      </c>
      <c r="F412" s="7" t="s">
        <v>11535</v>
      </c>
    </row>
    <row r="413" ht="18" customHeight="1" spans="1:6">
      <c r="A413" s="13" t="s">
        <v>855</v>
      </c>
      <c r="B413" s="13" t="s">
        <v>946</v>
      </c>
      <c r="C413" s="8" t="s">
        <v>12419</v>
      </c>
      <c r="D413" s="11">
        <v>2</v>
      </c>
      <c r="E413" s="10" t="s">
        <v>12420</v>
      </c>
      <c r="F413" s="7" t="s">
        <v>11535</v>
      </c>
    </row>
    <row r="414" ht="18" customHeight="1" spans="1:6">
      <c r="A414" s="13" t="s">
        <v>855</v>
      </c>
      <c r="B414" s="13" t="s">
        <v>946</v>
      </c>
      <c r="C414" s="8" t="s">
        <v>12421</v>
      </c>
      <c r="D414" s="11">
        <v>2</v>
      </c>
      <c r="E414" s="10" t="s">
        <v>12422</v>
      </c>
      <c r="F414" s="7" t="s">
        <v>11535</v>
      </c>
    </row>
    <row r="415" ht="18" customHeight="1" spans="1:6">
      <c r="A415" s="13" t="s">
        <v>855</v>
      </c>
      <c r="B415" s="13" t="s">
        <v>946</v>
      </c>
      <c r="C415" s="8" t="s">
        <v>12423</v>
      </c>
      <c r="D415" s="11">
        <v>3</v>
      </c>
      <c r="E415" s="10" t="s">
        <v>12424</v>
      </c>
      <c r="F415" s="7" t="s">
        <v>11535</v>
      </c>
    </row>
    <row r="416" ht="18" customHeight="1" spans="1:6">
      <c r="A416" s="13" t="s">
        <v>855</v>
      </c>
      <c r="B416" s="13" t="s">
        <v>946</v>
      </c>
      <c r="C416" s="8" t="s">
        <v>12425</v>
      </c>
      <c r="D416" s="11">
        <v>4</v>
      </c>
      <c r="E416" s="10" t="s">
        <v>12426</v>
      </c>
      <c r="F416" s="7" t="s">
        <v>11535</v>
      </c>
    </row>
    <row r="417" ht="18" customHeight="1" spans="1:6">
      <c r="A417" s="13" t="s">
        <v>855</v>
      </c>
      <c r="B417" s="13" t="s">
        <v>946</v>
      </c>
      <c r="C417" s="8" t="s">
        <v>12427</v>
      </c>
      <c r="D417" s="11">
        <v>4</v>
      </c>
      <c r="E417" s="10" t="s">
        <v>12428</v>
      </c>
      <c r="F417" s="7" t="s">
        <v>11535</v>
      </c>
    </row>
    <row r="418" ht="18" customHeight="1" spans="1:6">
      <c r="A418" s="13" t="s">
        <v>855</v>
      </c>
      <c r="B418" s="13" t="s">
        <v>946</v>
      </c>
      <c r="C418" s="8" t="s">
        <v>12429</v>
      </c>
      <c r="D418" s="11">
        <v>3</v>
      </c>
      <c r="E418" s="10" t="s">
        <v>12430</v>
      </c>
      <c r="F418" s="7" t="s">
        <v>11535</v>
      </c>
    </row>
    <row r="419" ht="18" customHeight="1" spans="1:6">
      <c r="A419" s="13" t="s">
        <v>855</v>
      </c>
      <c r="B419" s="13" t="s">
        <v>946</v>
      </c>
      <c r="C419" s="8" t="s">
        <v>12431</v>
      </c>
      <c r="D419" s="11">
        <v>4</v>
      </c>
      <c r="E419" s="10" t="s">
        <v>12432</v>
      </c>
      <c r="F419" s="7" t="s">
        <v>11535</v>
      </c>
    </row>
    <row r="420" ht="18" customHeight="1" spans="1:6">
      <c r="A420" s="13" t="s">
        <v>855</v>
      </c>
      <c r="B420" s="13" t="s">
        <v>946</v>
      </c>
      <c r="C420" s="8" t="s">
        <v>10016</v>
      </c>
      <c r="D420" s="11">
        <v>2</v>
      </c>
      <c r="E420" s="10" t="s">
        <v>12433</v>
      </c>
      <c r="F420" s="7" t="s">
        <v>11535</v>
      </c>
    </row>
    <row r="421" ht="18" customHeight="1" spans="1:6">
      <c r="A421" s="13" t="s">
        <v>855</v>
      </c>
      <c r="B421" s="13" t="s">
        <v>946</v>
      </c>
      <c r="C421" s="8" t="s">
        <v>12434</v>
      </c>
      <c r="D421" s="11">
        <v>8</v>
      </c>
      <c r="E421" s="10" t="s">
        <v>12435</v>
      </c>
      <c r="F421" s="7" t="s">
        <v>11535</v>
      </c>
    </row>
    <row r="422" ht="18" customHeight="1" spans="1:6">
      <c r="A422" s="13" t="s">
        <v>855</v>
      </c>
      <c r="B422" s="13" t="s">
        <v>946</v>
      </c>
      <c r="C422" s="8" t="s">
        <v>12436</v>
      </c>
      <c r="D422" s="11">
        <v>3</v>
      </c>
      <c r="E422" s="10" t="s">
        <v>12437</v>
      </c>
      <c r="F422" s="7" t="s">
        <v>11535</v>
      </c>
    </row>
    <row r="423" ht="18" customHeight="1" spans="1:6">
      <c r="A423" s="13" t="s">
        <v>855</v>
      </c>
      <c r="B423" s="13" t="s">
        <v>946</v>
      </c>
      <c r="C423" s="8" t="s">
        <v>12438</v>
      </c>
      <c r="D423" s="11">
        <v>4</v>
      </c>
      <c r="E423" s="10" t="s">
        <v>12439</v>
      </c>
      <c r="F423" s="7" t="s">
        <v>11535</v>
      </c>
    </row>
    <row r="424" ht="18" customHeight="1" spans="1:6">
      <c r="A424" s="13" t="s">
        <v>855</v>
      </c>
      <c r="B424" s="13" t="s">
        <v>946</v>
      </c>
      <c r="C424" s="8" t="s">
        <v>4472</v>
      </c>
      <c r="D424" s="11">
        <v>4</v>
      </c>
      <c r="E424" s="10" t="s">
        <v>12440</v>
      </c>
      <c r="F424" s="7" t="s">
        <v>11535</v>
      </c>
    </row>
    <row r="425" ht="18" customHeight="1" spans="1:6">
      <c r="A425" s="13" t="s">
        <v>855</v>
      </c>
      <c r="B425" s="13" t="s">
        <v>946</v>
      </c>
      <c r="C425" s="8" t="s">
        <v>12441</v>
      </c>
      <c r="D425" s="11">
        <v>4</v>
      </c>
      <c r="E425" s="10" t="s">
        <v>12442</v>
      </c>
      <c r="F425" s="7" t="s">
        <v>11535</v>
      </c>
    </row>
    <row r="426" ht="18" customHeight="1" spans="1:6">
      <c r="A426" s="13" t="s">
        <v>855</v>
      </c>
      <c r="B426" s="13" t="s">
        <v>946</v>
      </c>
      <c r="C426" s="8" t="s">
        <v>12443</v>
      </c>
      <c r="D426" s="11">
        <v>3</v>
      </c>
      <c r="E426" s="10" t="s">
        <v>12444</v>
      </c>
      <c r="F426" s="7" t="s">
        <v>11535</v>
      </c>
    </row>
    <row r="427" ht="18" customHeight="1" spans="1:6">
      <c r="A427" s="13" t="s">
        <v>855</v>
      </c>
      <c r="B427" s="13" t="s">
        <v>946</v>
      </c>
      <c r="C427" s="8" t="s">
        <v>12445</v>
      </c>
      <c r="D427" s="11">
        <v>4</v>
      </c>
      <c r="E427" s="10" t="s">
        <v>12446</v>
      </c>
      <c r="F427" s="7" t="s">
        <v>11535</v>
      </c>
    </row>
    <row r="428" ht="18" customHeight="1" spans="1:6">
      <c r="A428" s="13" t="s">
        <v>855</v>
      </c>
      <c r="B428" s="13" t="s">
        <v>946</v>
      </c>
      <c r="C428" s="8" t="s">
        <v>12447</v>
      </c>
      <c r="D428" s="11">
        <v>4</v>
      </c>
      <c r="E428" s="10" t="s">
        <v>12448</v>
      </c>
      <c r="F428" s="7" t="s">
        <v>11535</v>
      </c>
    </row>
    <row r="429" ht="18" customHeight="1" spans="1:6">
      <c r="A429" s="13" t="s">
        <v>855</v>
      </c>
      <c r="B429" s="13" t="s">
        <v>946</v>
      </c>
      <c r="C429" s="8" t="s">
        <v>12449</v>
      </c>
      <c r="D429" s="11">
        <v>4</v>
      </c>
      <c r="E429" s="10" t="s">
        <v>12450</v>
      </c>
      <c r="F429" s="7" t="s">
        <v>11535</v>
      </c>
    </row>
    <row r="430" ht="18" customHeight="1" spans="1:6">
      <c r="A430" s="13" t="s">
        <v>855</v>
      </c>
      <c r="B430" s="13" t="s">
        <v>946</v>
      </c>
      <c r="C430" s="8" t="s">
        <v>12451</v>
      </c>
      <c r="D430" s="11">
        <v>3</v>
      </c>
      <c r="E430" s="10" t="s">
        <v>12452</v>
      </c>
      <c r="F430" s="7" t="s">
        <v>11535</v>
      </c>
    </row>
    <row r="431" ht="18" customHeight="1" spans="1:6">
      <c r="A431" s="13" t="s">
        <v>855</v>
      </c>
      <c r="B431" s="13" t="s">
        <v>946</v>
      </c>
      <c r="C431" s="8" t="s">
        <v>12453</v>
      </c>
      <c r="D431" s="11">
        <v>5</v>
      </c>
      <c r="E431" s="10" t="s">
        <v>12454</v>
      </c>
      <c r="F431" s="7" t="s">
        <v>11535</v>
      </c>
    </row>
    <row r="432" ht="18" customHeight="1" spans="1:6">
      <c r="A432" s="13" t="s">
        <v>855</v>
      </c>
      <c r="B432" s="13" t="s">
        <v>946</v>
      </c>
      <c r="C432" s="8" t="s">
        <v>12455</v>
      </c>
      <c r="D432" s="11">
        <v>4</v>
      </c>
      <c r="E432" s="10" t="s">
        <v>12456</v>
      </c>
      <c r="F432" s="7" t="s">
        <v>11535</v>
      </c>
    </row>
    <row r="433" ht="18" customHeight="1" spans="1:6">
      <c r="A433" s="13" t="s">
        <v>855</v>
      </c>
      <c r="B433" s="13" t="s">
        <v>946</v>
      </c>
      <c r="C433" s="8" t="s">
        <v>12457</v>
      </c>
      <c r="D433" s="11">
        <v>4</v>
      </c>
      <c r="E433" s="10" t="s">
        <v>12458</v>
      </c>
      <c r="F433" s="7" t="s">
        <v>11535</v>
      </c>
    </row>
    <row r="434" ht="18" customHeight="1" spans="1:6">
      <c r="A434" s="13" t="s">
        <v>855</v>
      </c>
      <c r="B434" s="13" t="s">
        <v>946</v>
      </c>
      <c r="C434" s="8" t="s">
        <v>12459</v>
      </c>
      <c r="D434" s="11">
        <v>5</v>
      </c>
      <c r="E434" s="10" t="s">
        <v>12460</v>
      </c>
      <c r="F434" s="7" t="s">
        <v>11535</v>
      </c>
    </row>
    <row r="435" ht="18" customHeight="1" spans="1:6">
      <c r="A435" s="13" t="s">
        <v>855</v>
      </c>
      <c r="B435" s="13" t="s">
        <v>946</v>
      </c>
      <c r="C435" s="8" t="s">
        <v>12461</v>
      </c>
      <c r="D435" s="11">
        <v>1</v>
      </c>
      <c r="E435" s="10" t="s">
        <v>12462</v>
      </c>
      <c r="F435" s="7" t="s">
        <v>11535</v>
      </c>
    </row>
    <row r="436" ht="18" customHeight="1" spans="1:6">
      <c r="A436" s="13" t="s">
        <v>855</v>
      </c>
      <c r="B436" s="13" t="s">
        <v>946</v>
      </c>
      <c r="C436" s="8" t="s">
        <v>12463</v>
      </c>
      <c r="D436" s="11">
        <v>1</v>
      </c>
      <c r="E436" s="10" t="s">
        <v>12464</v>
      </c>
      <c r="F436" s="7" t="s">
        <v>11535</v>
      </c>
    </row>
    <row r="437" ht="18" customHeight="1" spans="1:6">
      <c r="A437" s="13" t="s">
        <v>855</v>
      </c>
      <c r="B437" s="13" t="s">
        <v>946</v>
      </c>
      <c r="C437" s="8" t="s">
        <v>12465</v>
      </c>
      <c r="D437" s="11">
        <v>3</v>
      </c>
      <c r="E437" s="10" t="s">
        <v>12466</v>
      </c>
      <c r="F437" s="7" t="s">
        <v>11535</v>
      </c>
    </row>
    <row r="438" ht="18" customHeight="1" spans="1:6">
      <c r="A438" s="13" t="s">
        <v>855</v>
      </c>
      <c r="B438" s="13" t="s">
        <v>946</v>
      </c>
      <c r="C438" s="8" t="s">
        <v>12467</v>
      </c>
      <c r="D438" s="11">
        <v>3</v>
      </c>
      <c r="E438" s="10" t="s">
        <v>12468</v>
      </c>
      <c r="F438" s="7" t="s">
        <v>11535</v>
      </c>
    </row>
    <row r="439" ht="18" customHeight="1" spans="1:6">
      <c r="A439" s="13" t="s">
        <v>855</v>
      </c>
      <c r="B439" s="13" t="s">
        <v>946</v>
      </c>
      <c r="C439" s="8" t="s">
        <v>12469</v>
      </c>
      <c r="D439" s="11">
        <v>2</v>
      </c>
      <c r="E439" s="10" t="s">
        <v>12470</v>
      </c>
      <c r="F439" s="7" t="s">
        <v>11535</v>
      </c>
    </row>
    <row r="440" ht="18" customHeight="1" spans="1:6">
      <c r="A440" s="13" t="s">
        <v>855</v>
      </c>
      <c r="B440" s="13" t="s">
        <v>946</v>
      </c>
      <c r="C440" s="8" t="s">
        <v>1147</v>
      </c>
      <c r="D440" s="11">
        <v>4</v>
      </c>
      <c r="E440" s="10" t="s">
        <v>12471</v>
      </c>
      <c r="F440" s="7" t="s">
        <v>11535</v>
      </c>
    </row>
    <row r="441" ht="18" customHeight="1" spans="1:6">
      <c r="A441" s="13" t="s">
        <v>855</v>
      </c>
      <c r="B441" s="13" t="s">
        <v>946</v>
      </c>
      <c r="C441" s="8" t="s">
        <v>12472</v>
      </c>
      <c r="D441" s="11">
        <v>4</v>
      </c>
      <c r="E441" s="10" t="s">
        <v>12473</v>
      </c>
      <c r="F441" s="7" t="s">
        <v>11535</v>
      </c>
    </row>
    <row r="442" ht="18" customHeight="1" spans="1:6">
      <c r="A442" s="13" t="s">
        <v>855</v>
      </c>
      <c r="B442" s="13" t="s">
        <v>946</v>
      </c>
      <c r="C442" s="8" t="s">
        <v>12474</v>
      </c>
      <c r="D442" s="11">
        <v>4</v>
      </c>
      <c r="E442" s="10" t="s">
        <v>12475</v>
      </c>
      <c r="F442" s="7" t="s">
        <v>11535</v>
      </c>
    </row>
    <row r="443" ht="18" customHeight="1" spans="1:6">
      <c r="A443" s="13" t="s">
        <v>855</v>
      </c>
      <c r="B443" s="13" t="s">
        <v>946</v>
      </c>
      <c r="C443" s="8" t="s">
        <v>12476</v>
      </c>
      <c r="D443" s="11">
        <v>6</v>
      </c>
      <c r="E443" s="10" t="s">
        <v>12477</v>
      </c>
      <c r="F443" s="7" t="s">
        <v>11535</v>
      </c>
    </row>
    <row r="444" ht="18" customHeight="1" spans="1:6">
      <c r="A444" s="13" t="s">
        <v>855</v>
      </c>
      <c r="B444" s="13" t="s">
        <v>946</v>
      </c>
      <c r="C444" s="8" t="s">
        <v>12478</v>
      </c>
      <c r="D444" s="11">
        <v>5</v>
      </c>
      <c r="E444" s="10" t="s">
        <v>12479</v>
      </c>
      <c r="F444" s="7" t="s">
        <v>11535</v>
      </c>
    </row>
    <row r="445" ht="18" customHeight="1" spans="1:6">
      <c r="A445" s="13" t="s">
        <v>855</v>
      </c>
      <c r="B445" s="13" t="s">
        <v>946</v>
      </c>
      <c r="C445" s="8" t="s">
        <v>12480</v>
      </c>
      <c r="D445" s="11">
        <v>6</v>
      </c>
      <c r="E445" s="10" t="s">
        <v>12481</v>
      </c>
      <c r="F445" s="7" t="s">
        <v>11535</v>
      </c>
    </row>
    <row r="446" ht="18" customHeight="1" spans="1:6">
      <c r="A446" s="13" t="s">
        <v>855</v>
      </c>
      <c r="B446" s="13" t="s">
        <v>946</v>
      </c>
      <c r="C446" s="8" t="s">
        <v>12482</v>
      </c>
      <c r="D446" s="11">
        <v>4</v>
      </c>
      <c r="E446" s="10" t="s">
        <v>12483</v>
      </c>
      <c r="F446" s="7" t="s">
        <v>11535</v>
      </c>
    </row>
    <row r="447" ht="18" customHeight="1" spans="1:6">
      <c r="A447" s="13" t="s">
        <v>855</v>
      </c>
      <c r="B447" s="13" t="s">
        <v>946</v>
      </c>
      <c r="C447" s="8" t="s">
        <v>12484</v>
      </c>
      <c r="D447" s="11">
        <v>4</v>
      </c>
      <c r="E447" s="10" t="s">
        <v>12485</v>
      </c>
      <c r="F447" s="7" t="s">
        <v>11535</v>
      </c>
    </row>
    <row r="448" ht="18" customHeight="1" spans="1:6">
      <c r="A448" s="13" t="s">
        <v>855</v>
      </c>
      <c r="B448" s="13" t="s">
        <v>946</v>
      </c>
      <c r="C448" s="8" t="s">
        <v>12486</v>
      </c>
      <c r="D448" s="11">
        <v>2</v>
      </c>
      <c r="E448" s="10" t="s">
        <v>12487</v>
      </c>
      <c r="F448" s="7" t="s">
        <v>11535</v>
      </c>
    </row>
    <row r="449" ht="18" customHeight="1" spans="1:6">
      <c r="A449" s="13" t="s">
        <v>855</v>
      </c>
      <c r="B449" s="13" t="s">
        <v>946</v>
      </c>
      <c r="C449" s="8" t="s">
        <v>12488</v>
      </c>
      <c r="D449" s="11">
        <v>4</v>
      </c>
      <c r="E449" s="10" t="s">
        <v>12489</v>
      </c>
      <c r="F449" s="7" t="s">
        <v>11535</v>
      </c>
    </row>
    <row r="450" ht="18" customHeight="1" spans="1:6">
      <c r="A450" s="13" t="s">
        <v>855</v>
      </c>
      <c r="B450" s="13" t="s">
        <v>946</v>
      </c>
      <c r="C450" s="8" t="s">
        <v>12490</v>
      </c>
      <c r="D450" s="11">
        <v>5</v>
      </c>
      <c r="E450" s="10" t="s">
        <v>12491</v>
      </c>
      <c r="F450" s="7" t="s">
        <v>11535</v>
      </c>
    </row>
    <row r="451" ht="18" customHeight="1" spans="1:6">
      <c r="A451" s="13" t="s">
        <v>855</v>
      </c>
      <c r="B451" s="13" t="s">
        <v>946</v>
      </c>
      <c r="C451" s="8" t="s">
        <v>12492</v>
      </c>
      <c r="D451" s="11">
        <v>4</v>
      </c>
      <c r="E451" s="10" t="s">
        <v>12493</v>
      </c>
      <c r="F451" s="7" t="s">
        <v>11535</v>
      </c>
    </row>
    <row r="452" ht="18" customHeight="1" spans="1:6">
      <c r="A452" s="13" t="s">
        <v>855</v>
      </c>
      <c r="B452" s="13" t="s">
        <v>946</v>
      </c>
      <c r="C452" s="8" t="s">
        <v>12494</v>
      </c>
      <c r="D452" s="11">
        <v>4</v>
      </c>
      <c r="E452" s="10" t="s">
        <v>12495</v>
      </c>
      <c r="F452" s="7" t="s">
        <v>11535</v>
      </c>
    </row>
    <row r="453" ht="18" customHeight="1" spans="1:6">
      <c r="A453" s="13" t="s">
        <v>855</v>
      </c>
      <c r="B453" s="13" t="s">
        <v>946</v>
      </c>
      <c r="C453" s="8" t="s">
        <v>12496</v>
      </c>
      <c r="D453" s="11">
        <v>5</v>
      </c>
      <c r="E453" s="10" t="s">
        <v>12497</v>
      </c>
      <c r="F453" s="7" t="s">
        <v>11535</v>
      </c>
    </row>
    <row r="454" ht="18" customHeight="1" spans="1:6">
      <c r="A454" s="13" t="s">
        <v>855</v>
      </c>
      <c r="B454" s="13" t="s">
        <v>946</v>
      </c>
      <c r="C454" s="8" t="s">
        <v>12498</v>
      </c>
      <c r="D454" s="11">
        <v>4</v>
      </c>
      <c r="E454" s="10" t="s">
        <v>12499</v>
      </c>
      <c r="F454" s="7" t="s">
        <v>11535</v>
      </c>
    </row>
    <row r="455" ht="18" customHeight="1" spans="1:6">
      <c r="A455" s="13" t="s">
        <v>855</v>
      </c>
      <c r="B455" s="13" t="s">
        <v>946</v>
      </c>
      <c r="C455" s="8" t="s">
        <v>3134</v>
      </c>
      <c r="D455" s="11">
        <v>4</v>
      </c>
      <c r="E455" s="10" t="s">
        <v>12500</v>
      </c>
      <c r="F455" s="7" t="s">
        <v>11535</v>
      </c>
    </row>
    <row r="456" ht="18" customHeight="1" spans="1:6">
      <c r="A456" s="13" t="s">
        <v>855</v>
      </c>
      <c r="B456" s="13" t="s">
        <v>946</v>
      </c>
      <c r="C456" s="8" t="s">
        <v>12501</v>
      </c>
      <c r="D456" s="11">
        <v>6</v>
      </c>
      <c r="E456" s="10" t="s">
        <v>12502</v>
      </c>
      <c r="F456" s="7" t="s">
        <v>11535</v>
      </c>
    </row>
    <row r="457" ht="18" customHeight="1" spans="1:6">
      <c r="A457" s="13" t="s">
        <v>855</v>
      </c>
      <c r="B457" s="13" t="s">
        <v>946</v>
      </c>
      <c r="C457" s="8" t="s">
        <v>12503</v>
      </c>
      <c r="D457" s="11">
        <v>6</v>
      </c>
      <c r="E457" s="10" t="s">
        <v>12504</v>
      </c>
      <c r="F457" s="7" t="s">
        <v>11535</v>
      </c>
    </row>
    <row r="458" ht="18" customHeight="1" spans="1:6">
      <c r="A458" s="13" t="s">
        <v>855</v>
      </c>
      <c r="B458" s="13" t="s">
        <v>946</v>
      </c>
      <c r="C458" s="8" t="s">
        <v>12505</v>
      </c>
      <c r="D458" s="11">
        <v>3</v>
      </c>
      <c r="E458" s="10" t="s">
        <v>12506</v>
      </c>
      <c r="F458" s="7" t="s">
        <v>11535</v>
      </c>
    </row>
    <row r="459" ht="18" customHeight="1" spans="1:6">
      <c r="A459" s="13" t="s">
        <v>855</v>
      </c>
      <c r="B459" s="13" t="s">
        <v>946</v>
      </c>
      <c r="C459" s="8" t="s">
        <v>12507</v>
      </c>
      <c r="D459" s="11">
        <v>3</v>
      </c>
      <c r="E459" s="10" t="s">
        <v>12508</v>
      </c>
      <c r="F459" s="7" t="s">
        <v>11535</v>
      </c>
    </row>
    <row r="460" ht="18" customHeight="1" spans="1:6">
      <c r="A460" s="13" t="s">
        <v>855</v>
      </c>
      <c r="B460" s="13" t="s">
        <v>946</v>
      </c>
      <c r="C460" s="8" t="s">
        <v>12509</v>
      </c>
      <c r="D460" s="11">
        <v>3</v>
      </c>
      <c r="E460" s="10" t="s">
        <v>12510</v>
      </c>
      <c r="F460" s="7" t="s">
        <v>11535</v>
      </c>
    </row>
    <row r="461" ht="18" customHeight="1" spans="1:6">
      <c r="A461" s="13" t="s">
        <v>855</v>
      </c>
      <c r="B461" s="13" t="s">
        <v>946</v>
      </c>
      <c r="C461" s="8" t="s">
        <v>12511</v>
      </c>
      <c r="D461" s="11">
        <v>3</v>
      </c>
      <c r="E461" s="10" t="s">
        <v>12512</v>
      </c>
      <c r="F461" s="7" t="s">
        <v>11535</v>
      </c>
    </row>
    <row r="462" ht="18" customHeight="1" spans="1:6">
      <c r="A462" s="13" t="s">
        <v>855</v>
      </c>
      <c r="B462" s="13" t="s">
        <v>946</v>
      </c>
      <c r="C462" s="8" t="s">
        <v>8986</v>
      </c>
      <c r="D462" s="11">
        <v>4</v>
      </c>
      <c r="E462" s="10" t="s">
        <v>12513</v>
      </c>
      <c r="F462" s="7" t="s">
        <v>11535</v>
      </c>
    </row>
    <row r="463" ht="18" customHeight="1" spans="1:6">
      <c r="A463" s="13" t="s">
        <v>855</v>
      </c>
      <c r="B463" s="13" t="s">
        <v>946</v>
      </c>
      <c r="C463" s="8" t="s">
        <v>12514</v>
      </c>
      <c r="D463" s="11">
        <v>2</v>
      </c>
      <c r="E463" s="10" t="s">
        <v>12515</v>
      </c>
      <c r="F463" s="7" t="s">
        <v>11535</v>
      </c>
    </row>
    <row r="464" ht="18" customHeight="1" spans="1:6">
      <c r="A464" s="13" t="s">
        <v>855</v>
      </c>
      <c r="B464" s="13" t="s">
        <v>946</v>
      </c>
      <c r="C464" s="8" t="s">
        <v>12516</v>
      </c>
      <c r="D464" s="11">
        <v>3</v>
      </c>
      <c r="E464" s="10" t="s">
        <v>12517</v>
      </c>
      <c r="F464" s="7" t="s">
        <v>11535</v>
      </c>
    </row>
    <row r="465" ht="18" customHeight="1" spans="1:6">
      <c r="A465" s="13" t="s">
        <v>855</v>
      </c>
      <c r="B465" s="13" t="s">
        <v>946</v>
      </c>
      <c r="C465" s="8" t="s">
        <v>12518</v>
      </c>
      <c r="D465" s="11">
        <v>1</v>
      </c>
      <c r="E465" s="10" t="s">
        <v>12519</v>
      </c>
      <c r="F465" s="7" t="s">
        <v>11535</v>
      </c>
    </row>
    <row r="466" ht="18" customHeight="1" spans="1:6">
      <c r="A466" s="13" t="s">
        <v>855</v>
      </c>
      <c r="B466" s="13" t="s">
        <v>946</v>
      </c>
      <c r="C466" s="8" t="s">
        <v>12520</v>
      </c>
      <c r="D466" s="11">
        <v>4</v>
      </c>
      <c r="E466" s="10" t="s">
        <v>12521</v>
      </c>
      <c r="F466" s="7" t="s">
        <v>11535</v>
      </c>
    </row>
    <row r="467" ht="18" customHeight="1" spans="1:6">
      <c r="A467" s="13" t="s">
        <v>855</v>
      </c>
      <c r="B467" s="13" t="s">
        <v>946</v>
      </c>
      <c r="C467" s="8" t="s">
        <v>12522</v>
      </c>
      <c r="D467" s="11">
        <v>3</v>
      </c>
      <c r="E467" s="10" t="s">
        <v>12523</v>
      </c>
      <c r="F467" s="7" t="s">
        <v>11535</v>
      </c>
    </row>
    <row r="468" ht="18" customHeight="1" spans="1:6">
      <c r="A468" s="13" t="s">
        <v>855</v>
      </c>
      <c r="B468" s="13" t="s">
        <v>946</v>
      </c>
      <c r="C468" s="8" t="s">
        <v>12524</v>
      </c>
      <c r="D468" s="11">
        <v>6</v>
      </c>
      <c r="E468" s="10" t="s">
        <v>12525</v>
      </c>
      <c r="F468" s="7" t="s">
        <v>11535</v>
      </c>
    </row>
    <row r="469" ht="18" customHeight="1" spans="1:6">
      <c r="A469" s="13" t="s">
        <v>855</v>
      </c>
      <c r="B469" s="13" t="s">
        <v>946</v>
      </c>
      <c r="C469" s="8" t="s">
        <v>12526</v>
      </c>
      <c r="D469" s="11">
        <v>5</v>
      </c>
      <c r="E469" s="10" t="s">
        <v>12527</v>
      </c>
      <c r="F469" s="7" t="s">
        <v>11535</v>
      </c>
    </row>
    <row r="470" ht="18" customHeight="1" spans="1:6">
      <c r="A470" s="13" t="s">
        <v>855</v>
      </c>
      <c r="B470" s="13" t="s">
        <v>946</v>
      </c>
      <c r="C470" s="8" t="s">
        <v>12528</v>
      </c>
      <c r="D470" s="11">
        <v>3</v>
      </c>
      <c r="E470" s="10" t="s">
        <v>12529</v>
      </c>
      <c r="F470" s="7" t="s">
        <v>11535</v>
      </c>
    </row>
    <row r="471" ht="18" customHeight="1" spans="1:6">
      <c r="A471" s="13" t="s">
        <v>855</v>
      </c>
      <c r="B471" s="13" t="s">
        <v>946</v>
      </c>
      <c r="C471" s="8" t="s">
        <v>12530</v>
      </c>
      <c r="D471" s="11">
        <v>4</v>
      </c>
      <c r="E471" s="10" t="s">
        <v>12531</v>
      </c>
      <c r="F471" s="7" t="s">
        <v>11535</v>
      </c>
    </row>
    <row r="472" ht="18" customHeight="1" spans="1:6">
      <c r="A472" s="13" t="s">
        <v>855</v>
      </c>
      <c r="B472" s="13" t="s">
        <v>946</v>
      </c>
      <c r="C472" s="8" t="s">
        <v>12532</v>
      </c>
      <c r="D472" s="11">
        <v>2</v>
      </c>
      <c r="E472" s="10" t="s">
        <v>12533</v>
      </c>
      <c r="F472" s="7" t="s">
        <v>11535</v>
      </c>
    </row>
    <row r="473" ht="18" customHeight="1" spans="1:6">
      <c r="A473" s="13" t="s">
        <v>855</v>
      </c>
      <c r="B473" s="13" t="s">
        <v>946</v>
      </c>
      <c r="C473" s="8" t="s">
        <v>12534</v>
      </c>
      <c r="D473" s="11">
        <v>1</v>
      </c>
      <c r="E473" s="10" t="s">
        <v>12535</v>
      </c>
      <c r="F473" s="7" t="s">
        <v>11535</v>
      </c>
    </row>
    <row r="474" ht="18" customHeight="1" spans="1:6">
      <c r="A474" s="13" t="s">
        <v>855</v>
      </c>
      <c r="B474" s="13" t="s">
        <v>946</v>
      </c>
      <c r="C474" s="8" t="s">
        <v>12536</v>
      </c>
      <c r="D474" s="11">
        <v>2</v>
      </c>
      <c r="E474" s="10" t="s">
        <v>12537</v>
      </c>
      <c r="F474" s="7" t="s">
        <v>11535</v>
      </c>
    </row>
    <row r="475" ht="18" customHeight="1" spans="1:6">
      <c r="A475" s="13" t="s">
        <v>855</v>
      </c>
      <c r="B475" s="13" t="s">
        <v>946</v>
      </c>
      <c r="C475" s="8" t="s">
        <v>12538</v>
      </c>
      <c r="D475" s="11">
        <v>2</v>
      </c>
      <c r="E475" s="10" t="s">
        <v>12539</v>
      </c>
      <c r="F475" s="7" t="s">
        <v>11535</v>
      </c>
    </row>
    <row r="476" ht="18" customHeight="1" spans="1:6">
      <c r="A476" s="13" t="s">
        <v>855</v>
      </c>
      <c r="B476" s="13" t="s">
        <v>946</v>
      </c>
      <c r="C476" s="8" t="s">
        <v>12540</v>
      </c>
      <c r="D476" s="11">
        <v>3</v>
      </c>
      <c r="E476" s="10" t="s">
        <v>12541</v>
      </c>
      <c r="F476" s="7" t="s">
        <v>11535</v>
      </c>
    </row>
    <row r="477" ht="18" customHeight="1" spans="1:6">
      <c r="A477" s="13" t="s">
        <v>855</v>
      </c>
      <c r="B477" s="13" t="s">
        <v>946</v>
      </c>
      <c r="C477" s="8" t="s">
        <v>9044</v>
      </c>
      <c r="D477" s="11">
        <v>3</v>
      </c>
      <c r="E477" s="10" t="s">
        <v>12542</v>
      </c>
      <c r="F477" s="7" t="s">
        <v>11535</v>
      </c>
    </row>
    <row r="478" ht="18" customHeight="1" spans="1:6">
      <c r="A478" s="13" t="s">
        <v>855</v>
      </c>
      <c r="B478" s="13" t="s">
        <v>946</v>
      </c>
      <c r="C478" s="8" t="s">
        <v>12543</v>
      </c>
      <c r="D478" s="11">
        <v>2</v>
      </c>
      <c r="E478" s="10" t="s">
        <v>12544</v>
      </c>
      <c r="F478" s="7" t="s">
        <v>11535</v>
      </c>
    </row>
    <row r="479" ht="18" customHeight="1" spans="1:6">
      <c r="A479" s="13" t="s">
        <v>855</v>
      </c>
      <c r="B479" s="13" t="s">
        <v>946</v>
      </c>
      <c r="C479" s="8" t="s">
        <v>12545</v>
      </c>
      <c r="D479" s="11">
        <v>5</v>
      </c>
      <c r="E479" s="10" t="s">
        <v>12546</v>
      </c>
      <c r="F479" s="7" t="s">
        <v>11535</v>
      </c>
    </row>
    <row r="480" ht="18" customHeight="1" spans="1:6">
      <c r="A480" s="13" t="s">
        <v>855</v>
      </c>
      <c r="B480" s="13" t="s">
        <v>946</v>
      </c>
      <c r="C480" s="8" t="s">
        <v>12547</v>
      </c>
      <c r="D480" s="11">
        <v>3</v>
      </c>
      <c r="E480" s="10" t="s">
        <v>12548</v>
      </c>
      <c r="F480" s="7" t="s">
        <v>11535</v>
      </c>
    </row>
    <row r="481" ht="18" customHeight="1" spans="1:6">
      <c r="A481" s="13" t="s">
        <v>855</v>
      </c>
      <c r="B481" s="13" t="s">
        <v>946</v>
      </c>
      <c r="C481" s="8" t="s">
        <v>12549</v>
      </c>
      <c r="D481" s="11">
        <v>4</v>
      </c>
      <c r="E481" s="10" t="s">
        <v>12550</v>
      </c>
      <c r="F481" s="7" t="s">
        <v>11535</v>
      </c>
    </row>
    <row r="482" ht="18" customHeight="1" spans="1:6">
      <c r="A482" s="13" t="s">
        <v>855</v>
      </c>
      <c r="B482" s="13" t="s">
        <v>946</v>
      </c>
      <c r="C482" s="8" t="s">
        <v>12551</v>
      </c>
      <c r="D482" s="11">
        <v>1</v>
      </c>
      <c r="E482" s="10" t="s">
        <v>12552</v>
      </c>
      <c r="F482" s="7" t="s">
        <v>11535</v>
      </c>
    </row>
    <row r="483" ht="18" customHeight="1" spans="1:6">
      <c r="A483" s="13" t="s">
        <v>855</v>
      </c>
      <c r="B483" s="13" t="s">
        <v>946</v>
      </c>
      <c r="C483" s="8" t="s">
        <v>12553</v>
      </c>
      <c r="D483" s="11">
        <v>3</v>
      </c>
      <c r="E483" s="10" t="s">
        <v>12554</v>
      </c>
      <c r="F483" s="7" t="s">
        <v>11535</v>
      </c>
    </row>
    <row r="484" ht="18" customHeight="1" spans="1:6">
      <c r="A484" s="13" t="s">
        <v>855</v>
      </c>
      <c r="B484" s="13" t="s">
        <v>946</v>
      </c>
      <c r="C484" s="8" t="s">
        <v>12555</v>
      </c>
      <c r="D484" s="11">
        <v>3</v>
      </c>
      <c r="E484" s="10" t="s">
        <v>12556</v>
      </c>
      <c r="F484" s="7" t="s">
        <v>11535</v>
      </c>
    </row>
    <row r="485" ht="18" customHeight="1" spans="1:6">
      <c r="A485" s="13" t="s">
        <v>855</v>
      </c>
      <c r="B485" s="13" t="s">
        <v>946</v>
      </c>
      <c r="C485" s="8" t="s">
        <v>12557</v>
      </c>
      <c r="D485" s="11">
        <v>1</v>
      </c>
      <c r="E485" s="10" t="s">
        <v>12558</v>
      </c>
      <c r="F485" s="7" t="s">
        <v>11535</v>
      </c>
    </row>
    <row r="486" ht="18" customHeight="1" spans="1:6">
      <c r="A486" s="13" t="s">
        <v>855</v>
      </c>
      <c r="B486" s="13" t="s">
        <v>946</v>
      </c>
      <c r="C486" s="8" t="s">
        <v>12559</v>
      </c>
      <c r="D486" s="11">
        <v>5</v>
      </c>
      <c r="E486" s="10" t="s">
        <v>12560</v>
      </c>
      <c r="F486" s="7" t="s">
        <v>11535</v>
      </c>
    </row>
    <row r="487" ht="18" customHeight="1" spans="1:6">
      <c r="A487" s="13" t="s">
        <v>855</v>
      </c>
      <c r="B487" s="13" t="s">
        <v>946</v>
      </c>
      <c r="C487" s="8" t="s">
        <v>2491</v>
      </c>
      <c r="D487" s="11">
        <v>6</v>
      </c>
      <c r="E487" s="10" t="s">
        <v>12561</v>
      </c>
      <c r="F487" s="7" t="s">
        <v>11535</v>
      </c>
    </row>
    <row r="488" ht="18" customHeight="1" spans="1:6">
      <c r="A488" s="13" t="s">
        <v>855</v>
      </c>
      <c r="B488" s="13" t="s">
        <v>946</v>
      </c>
      <c r="C488" s="8" t="s">
        <v>12562</v>
      </c>
      <c r="D488" s="11">
        <v>4</v>
      </c>
      <c r="E488" s="10" t="s">
        <v>12563</v>
      </c>
      <c r="F488" s="7" t="s">
        <v>11535</v>
      </c>
    </row>
    <row r="489" ht="18" customHeight="1" spans="1:6">
      <c r="A489" s="13" t="s">
        <v>855</v>
      </c>
      <c r="B489" s="13" t="s">
        <v>946</v>
      </c>
      <c r="C489" s="8" t="s">
        <v>12564</v>
      </c>
      <c r="D489" s="11">
        <v>4</v>
      </c>
      <c r="E489" s="10" t="s">
        <v>12565</v>
      </c>
      <c r="F489" s="7" t="s">
        <v>11535</v>
      </c>
    </row>
    <row r="490" ht="18" customHeight="1" spans="1:6">
      <c r="A490" s="13" t="s">
        <v>855</v>
      </c>
      <c r="B490" s="13" t="s">
        <v>946</v>
      </c>
      <c r="C490" s="8" t="s">
        <v>12566</v>
      </c>
      <c r="D490" s="11">
        <v>5</v>
      </c>
      <c r="E490" s="10" t="s">
        <v>12567</v>
      </c>
      <c r="F490" s="7" t="s">
        <v>11535</v>
      </c>
    </row>
    <row r="491" ht="18" customHeight="1" spans="1:6">
      <c r="A491" s="13" t="s">
        <v>855</v>
      </c>
      <c r="B491" s="13" t="s">
        <v>946</v>
      </c>
      <c r="C491" s="8" t="s">
        <v>12568</v>
      </c>
      <c r="D491" s="11">
        <v>1</v>
      </c>
      <c r="E491" s="10" t="s">
        <v>12569</v>
      </c>
      <c r="F491" s="7" t="s">
        <v>11535</v>
      </c>
    </row>
    <row r="492" ht="18" customHeight="1" spans="1:6">
      <c r="A492" s="13" t="s">
        <v>855</v>
      </c>
      <c r="B492" s="13" t="s">
        <v>946</v>
      </c>
      <c r="C492" s="8" t="s">
        <v>12570</v>
      </c>
      <c r="D492" s="11">
        <v>1</v>
      </c>
      <c r="E492" s="10" t="s">
        <v>12571</v>
      </c>
      <c r="F492" s="7" t="s">
        <v>11535</v>
      </c>
    </row>
    <row r="493" ht="18" customHeight="1" spans="1:6">
      <c r="A493" s="13" t="s">
        <v>855</v>
      </c>
      <c r="B493" s="13" t="s">
        <v>946</v>
      </c>
      <c r="C493" s="8" t="s">
        <v>12572</v>
      </c>
      <c r="D493" s="11">
        <v>7</v>
      </c>
      <c r="E493" s="10" t="s">
        <v>12573</v>
      </c>
      <c r="F493" s="7" t="s">
        <v>11535</v>
      </c>
    </row>
    <row r="494" ht="18" customHeight="1" spans="1:6">
      <c r="A494" s="13" t="s">
        <v>855</v>
      </c>
      <c r="B494" s="13" t="s">
        <v>946</v>
      </c>
      <c r="C494" s="8" t="s">
        <v>12574</v>
      </c>
      <c r="D494" s="11">
        <v>6</v>
      </c>
      <c r="E494" s="10" t="s">
        <v>12575</v>
      </c>
      <c r="F494" s="7" t="s">
        <v>11535</v>
      </c>
    </row>
    <row r="495" ht="18" customHeight="1" spans="1:6">
      <c r="A495" s="13" t="s">
        <v>855</v>
      </c>
      <c r="B495" s="13" t="s">
        <v>946</v>
      </c>
      <c r="C495" s="8" t="s">
        <v>12576</v>
      </c>
      <c r="D495" s="11">
        <v>1</v>
      </c>
      <c r="E495" s="10" t="s">
        <v>12577</v>
      </c>
      <c r="F495" s="7" t="s">
        <v>11535</v>
      </c>
    </row>
    <row r="496" ht="18" customHeight="1" spans="1:6">
      <c r="A496" s="13" t="s">
        <v>855</v>
      </c>
      <c r="B496" s="13" t="s">
        <v>946</v>
      </c>
      <c r="C496" s="8" t="s">
        <v>12578</v>
      </c>
      <c r="D496" s="11">
        <v>5</v>
      </c>
      <c r="E496" s="10" t="s">
        <v>12579</v>
      </c>
      <c r="F496" s="7" t="s">
        <v>11535</v>
      </c>
    </row>
    <row r="497" ht="18" customHeight="1" spans="1:6">
      <c r="A497" s="13" t="s">
        <v>855</v>
      </c>
      <c r="B497" s="13" t="s">
        <v>946</v>
      </c>
      <c r="C497" s="8" t="s">
        <v>12580</v>
      </c>
      <c r="D497" s="11">
        <v>4</v>
      </c>
      <c r="E497" s="10" t="s">
        <v>12581</v>
      </c>
      <c r="F497" s="7" t="s">
        <v>11535</v>
      </c>
    </row>
    <row r="498" ht="18" customHeight="1" spans="1:6">
      <c r="A498" s="13" t="s">
        <v>855</v>
      </c>
      <c r="B498" s="13" t="s">
        <v>946</v>
      </c>
      <c r="C498" s="8" t="s">
        <v>12582</v>
      </c>
      <c r="D498" s="11">
        <v>4</v>
      </c>
      <c r="E498" s="10" t="s">
        <v>12583</v>
      </c>
      <c r="F498" s="7" t="s">
        <v>11535</v>
      </c>
    </row>
    <row r="499" ht="18" customHeight="1" spans="1:6">
      <c r="A499" s="13" t="s">
        <v>855</v>
      </c>
      <c r="B499" s="13" t="s">
        <v>946</v>
      </c>
      <c r="C499" s="8" t="s">
        <v>12584</v>
      </c>
      <c r="D499" s="11">
        <v>7</v>
      </c>
      <c r="E499" s="10" t="s">
        <v>12585</v>
      </c>
      <c r="F499" s="7" t="s">
        <v>11535</v>
      </c>
    </row>
    <row r="500" ht="18" customHeight="1" spans="1:6">
      <c r="A500" s="13" t="s">
        <v>855</v>
      </c>
      <c r="B500" s="13" t="s">
        <v>946</v>
      </c>
      <c r="C500" s="8" t="s">
        <v>12586</v>
      </c>
      <c r="D500" s="11">
        <v>4</v>
      </c>
      <c r="E500" s="10" t="s">
        <v>12587</v>
      </c>
      <c r="F500" s="7" t="s">
        <v>11535</v>
      </c>
    </row>
    <row r="501" ht="18" customHeight="1" spans="1:6">
      <c r="A501" s="13" t="s">
        <v>855</v>
      </c>
      <c r="B501" s="13" t="s">
        <v>946</v>
      </c>
      <c r="C501" s="8" t="s">
        <v>12588</v>
      </c>
      <c r="D501" s="11">
        <v>4</v>
      </c>
      <c r="E501" s="10" t="s">
        <v>12589</v>
      </c>
      <c r="F501" s="7" t="s">
        <v>11535</v>
      </c>
    </row>
    <row r="502" ht="18" customHeight="1" spans="1:6">
      <c r="A502" s="13" t="s">
        <v>855</v>
      </c>
      <c r="B502" s="13" t="s">
        <v>946</v>
      </c>
      <c r="C502" s="8" t="s">
        <v>12590</v>
      </c>
      <c r="D502" s="11">
        <v>6</v>
      </c>
      <c r="E502" s="10" t="s">
        <v>12591</v>
      </c>
      <c r="F502" s="7" t="s">
        <v>11535</v>
      </c>
    </row>
    <row r="503" ht="18" customHeight="1" spans="1:6">
      <c r="A503" s="13" t="s">
        <v>855</v>
      </c>
      <c r="B503" s="13" t="s">
        <v>946</v>
      </c>
      <c r="C503" s="8" t="s">
        <v>12592</v>
      </c>
      <c r="D503" s="11">
        <v>3</v>
      </c>
      <c r="E503" s="10" t="s">
        <v>12593</v>
      </c>
      <c r="F503" s="7" t="s">
        <v>11535</v>
      </c>
    </row>
    <row r="504" ht="18" customHeight="1" spans="1:6">
      <c r="A504" s="13" t="s">
        <v>855</v>
      </c>
      <c r="B504" s="13" t="s">
        <v>946</v>
      </c>
      <c r="C504" s="8" t="s">
        <v>12594</v>
      </c>
      <c r="D504" s="11">
        <v>3</v>
      </c>
      <c r="E504" s="10" t="s">
        <v>12595</v>
      </c>
      <c r="F504" s="7" t="s">
        <v>11535</v>
      </c>
    </row>
    <row r="505" ht="18" customHeight="1" spans="1:6">
      <c r="A505" s="13" t="s">
        <v>855</v>
      </c>
      <c r="B505" s="13" t="s">
        <v>946</v>
      </c>
      <c r="C505" s="8" t="s">
        <v>12596</v>
      </c>
      <c r="D505" s="11">
        <v>1</v>
      </c>
      <c r="E505" s="10" t="s">
        <v>12597</v>
      </c>
      <c r="F505" s="7" t="s">
        <v>11535</v>
      </c>
    </row>
    <row r="506" ht="18" customHeight="1" spans="1:6">
      <c r="A506" s="13" t="s">
        <v>855</v>
      </c>
      <c r="B506" s="13" t="s">
        <v>946</v>
      </c>
      <c r="C506" s="8" t="s">
        <v>12598</v>
      </c>
      <c r="D506" s="11">
        <v>5</v>
      </c>
      <c r="E506" s="10" t="s">
        <v>12599</v>
      </c>
      <c r="F506" s="7" t="s">
        <v>11535</v>
      </c>
    </row>
    <row r="507" ht="18" customHeight="1" spans="1:6">
      <c r="A507" s="13" t="s">
        <v>855</v>
      </c>
      <c r="B507" s="13" t="s">
        <v>1046</v>
      </c>
      <c r="C507" s="24" t="s">
        <v>12600</v>
      </c>
      <c r="D507" s="13">
        <v>4</v>
      </c>
      <c r="E507" s="10" t="s">
        <v>12601</v>
      </c>
      <c r="F507" s="7" t="s">
        <v>11535</v>
      </c>
    </row>
    <row r="508" ht="18" customHeight="1" spans="1:6">
      <c r="A508" s="13" t="s">
        <v>855</v>
      </c>
      <c r="B508" s="13" t="s">
        <v>1046</v>
      </c>
      <c r="C508" s="24" t="s">
        <v>12602</v>
      </c>
      <c r="D508" s="13">
        <v>4</v>
      </c>
      <c r="E508" s="10" t="s">
        <v>12603</v>
      </c>
      <c r="F508" s="7" t="s">
        <v>11535</v>
      </c>
    </row>
    <row r="509" ht="18" customHeight="1" spans="1:6">
      <c r="A509" s="13" t="s">
        <v>855</v>
      </c>
      <c r="B509" s="13" t="s">
        <v>1046</v>
      </c>
      <c r="C509" s="24" t="s">
        <v>12604</v>
      </c>
      <c r="D509" s="13">
        <v>2</v>
      </c>
      <c r="E509" s="19" t="s">
        <v>12605</v>
      </c>
      <c r="F509" s="7" t="s">
        <v>11535</v>
      </c>
    </row>
    <row r="510" ht="18" customHeight="1" spans="1:6">
      <c r="A510" s="13" t="s">
        <v>855</v>
      </c>
      <c r="B510" s="13" t="s">
        <v>979</v>
      </c>
      <c r="C510" s="24" t="s">
        <v>12606</v>
      </c>
      <c r="D510" s="13">
        <v>5</v>
      </c>
      <c r="E510" s="10" t="s">
        <v>12607</v>
      </c>
      <c r="F510" s="7" t="s">
        <v>11535</v>
      </c>
    </row>
    <row r="511" ht="18" customHeight="1" spans="1:6">
      <c r="A511" s="13" t="s">
        <v>855</v>
      </c>
      <c r="B511" s="13" t="s">
        <v>1021</v>
      </c>
      <c r="C511" s="24" t="s">
        <v>12608</v>
      </c>
      <c r="D511" s="13">
        <v>5</v>
      </c>
      <c r="E511" s="10" t="s">
        <v>12609</v>
      </c>
      <c r="F511" s="7" t="s">
        <v>11535</v>
      </c>
    </row>
    <row r="512" ht="18" customHeight="1" spans="1:6">
      <c r="A512" s="13" t="s">
        <v>855</v>
      </c>
      <c r="B512" s="13" t="s">
        <v>1008</v>
      </c>
      <c r="C512" s="20" t="s">
        <v>12610</v>
      </c>
      <c r="D512" s="13">
        <v>4</v>
      </c>
      <c r="E512" s="10" t="s">
        <v>12611</v>
      </c>
      <c r="F512" s="7" t="s">
        <v>11535</v>
      </c>
    </row>
    <row r="513" ht="18" customHeight="1" spans="1:6">
      <c r="A513" s="13" t="s">
        <v>855</v>
      </c>
      <c r="B513" s="13" t="s">
        <v>1002</v>
      </c>
      <c r="C513" s="20" t="s">
        <v>12612</v>
      </c>
      <c r="D513" s="13">
        <v>4</v>
      </c>
      <c r="E513" s="10" t="s">
        <v>12613</v>
      </c>
      <c r="F513" s="7" t="s">
        <v>11535</v>
      </c>
    </row>
    <row r="514" ht="18" customHeight="1" spans="1:6">
      <c r="A514" s="13" t="s">
        <v>855</v>
      </c>
      <c r="B514" s="13" t="s">
        <v>1046</v>
      </c>
      <c r="C514" s="20" t="s">
        <v>12614</v>
      </c>
      <c r="D514" s="13">
        <v>3</v>
      </c>
      <c r="E514" s="10" t="s">
        <v>12615</v>
      </c>
      <c r="F514" s="7" t="s">
        <v>11535</v>
      </c>
    </row>
    <row r="515" ht="18" customHeight="1" spans="1:6">
      <c r="A515" s="13" t="s">
        <v>855</v>
      </c>
      <c r="B515" s="13" t="s">
        <v>982</v>
      </c>
      <c r="C515" s="20" t="s">
        <v>12616</v>
      </c>
      <c r="D515" s="13">
        <v>1</v>
      </c>
      <c r="E515" s="10" t="s">
        <v>12617</v>
      </c>
      <c r="F515" s="7" t="s">
        <v>11535</v>
      </c>
    </row>
    <row r="516" ht="18" customHeight="1" spans="1:6">
      <c r="A516" s="13" t="s">
        <v>855</v>
      </c>
      <c r="B516" s="13" t="s">
        <v>1005</v>
      </c>
      <c r="C516" s="20" t="s">
        <v>12618</v>
      </c>
      <c r="D516" s="13">
        <v>2</v>
      </c>
      <c r="E516" s="10" t="s">
        <v>12619</v>
      </c>
      <c r="F516" s="7" t="s">
        <v>11535</v>
      </c>
    </row>
    <row r="517" ht="18" customHeight="1" spans="1:6">
      <c r="A517" s="13" t="s">
        <v>855</v>
      </c>
      <c r="B517" s="13" t="s">
        <v>982</v>
      </c>
      <c r="C517" s="20" t="s">
        <v>12067</v>
      </c>
      <c r="D517" s="13">
        <v>3</v>
      </c>
      <c r="E517" s="10" t="s">
        <v>12620</v>
      </c>
      <c r="F517" s="7" t="s">
        <v>11535</v>
      </c>
    </row>
    <row r="518" ht="18" customHeight="1" spans="1:6">
      <c r="A518" s="13" t="s">
        <v>855</v>
      </c>
      <c r="B518" s="13" t="s">
        <v>12621</v>
      </c>
      <c r="C518" s="20" t="s">
        <v>12622</v>
      </c>
      <c r="D518" s="13">
        <v>3</v>
      </c>
      <c r="E518" s="10" t="s">
        <v>12623</v>
      </c>
      <c r="F518" s="7" t="s">
        <v>11535</v>
      </c>
    </row>
    <row r="519" ht="18" customHeight="1" spans="1:6">
      <c r="A519" s="13" t="s">
        <v>855</v>
      </c>
      <c r="B519" s="13" t="s">
        <v>1046</v>
      </c>
      <c r="C519" s="20" t="s">
        <v>12624</v>
      </c>
      <c r="D519" s="13">
        <v>4</v>
      </c>
      <c r="E519" s="19" t="s">
        <v>12625</v>
      </c>
      <c r="F519" s="7" t="s">
        <v>11535</v>
      </c>
    </row>
    <row r="520" ht="18" customHeight="1" spans="1:6">
      <c r="A520" s="13" t="s">
        <v>855</v>
      </c>
      <c r="B520" s="13" t="s">
        <v>966</v>
      </c>
      <c r="C520" s="13" t="s">
        <v>12626</v>
      </c>
      <c r="D520" s="13">
        <v>4</v>
      </c>
      <c r="E520" s="10" t="s">
        <v>12627</v>
      </c>
      <c r="F520" s="7" t="s">
        <v>11535</v>
      </c>
    </row>
    <row r="521" ht="18" customHeight="1" spans="1:6">
      <c r="A521" s="13" t="s">
        <v>855</v>
      </c>
      <c r="B521" s="13" t="s">
        <v>966</v>
      </c>
      <c r="C521" s="13" t="s">
        <v>12628</v>
      </c>
      <c r="D521" s="13">
        <v>4</v>
      </c>
      <c r="E521" s="10" t="s">
        <v>12629</v>
      </c>
      <c r="F521" s="7" t="s">
        <v>11535</v>
      </c>
    </row>
    <row r="522" ht="18" customHeight="1" spans="1:6">
      <c r="A522" s="13" t="s">
        <v>855</v>
      </c>
      <c r="B522" s="13" t="s">
        <v>963</v>
      </c>
      <c r="C522" s="8" t="s">
        <v>12630</v>
      </c>
      <c r="D522" s="13">
        <v>2</v>
      </c>
      <c r="E522" s="10" t="s">
        <v>12631</v>
      </c>
      <c r="F522" s="7" t="s">
        <v>11535</v>
      </c>
    </row>
    <row r="523" ht="18" customHeight="1" spans="1:6">
      <c r="A523" s="13" t="s">
        <v>855</v>
      </c>
      <c r="B523" s="13" t="s">
        <v>979</v>
      </c>
      <c r="C523" s="8" t="s">
        <v>12632</v>
      </c>
      <c r="D523" s="13">
        <v>3</v>
      </c>
      <c r="E523" s="10" t="s">
        <v>12633</v>
      </c>
      <c r="F523" s="7" t="s">
        <v>11535</v>
      </c>
    </row>
    <row r="524" ht="18" customHeight="1" spans="1:6">
      <c r="A524" s="13" t="s">
        <v>855</v>
      </c>
      <c r="B524" s="13" t="s">
        <v>1058</v>
      </c>
      <c r="C524" s="8" t="s">
        <v>12634</v>
      </c>
      <c r="D524" s="13">
        <v>2</v>
      </c>
      <c r="E524" s="10" t="s">
        <v>12635</v>
      </c>
      <c r="F524" s="7" t="s">
        <v>11535</v>
      </c>
    </row>
    <row r="525" ht="18" customHeight="1" spans="1:6">
      <c r="A525" s="13" t="s">
        <v>855</v>
      </c>
      <c r="B525" s="13" t="s">
        <v>963</v>
      </c>
      <c r="C525" s="8" t="s">
        <v>12636</v>
      </c>
      <c r="D525" s="13">
        <v>3</v>
      </c>
      <c r="E525" s="10" t="s">
        <v>12637</v>
      </c>
      <c r="F525" s="7" t="s">
        <v>11535</v>
      </c>
    </row>
    <row r="526" ht="18" customHeight="1" spans="1:6">
      <c r="A526" s="13" t="s">
        <v>855</v>
      </c>
      <c r="B526" s="13" t="s">
        <v>1050</v>
      </c>
      <c r="C526" s="8" t="s">
        <v>12638</v>
      </c>
      <c r="D526" s="13">
        <v>1</v>
      </c>
      <c r="E526" s="10" t="s">
        <v>12639</v>
      </c>
      <c r="F526" s="7" t="s">
        <v>11535</v>
      </c>
    </row>
    <row r="527" ht="18" customHeight="1" spans="1:6">
      <c r="A527" s="13" t="s">
        <v>855</v>
      </c>
      <c r="B527" s="13" t="s">
        <v>1050</v>
      </c>
      <c r="C527" s="8" t="s">
        <v>12640</v>
      </c>
      <c r="D527" s="13">
        <v>4</v>
      </c>
      <c r="E527" s="10" t="s">
        <v>12641</v>
      </c>
      <c r="F527" s="7" t="s">
        <v>11535</v>
      </c>
    </row>
    <row r="528" ht="18" customHeight="1" spans="1:6">
      <c r="A528" s="13" t="s">
        <v>855</v>
      </c>
      <c r="B528" s="13" t="s">
        <v>974</v>
      </c>
      <c r="C528" s="8" t="s">
        <v>12642</v>
      </c>
      <c r="D528" s="13">
        <v>2</v>
      </c>
      <c r="E528" s="10" t="s">
        <v>12643</v>
      </c>
      <c r="F528" s="7" t="s">
        <v>11535</v>
      </c>
    </row>
    <row r="529" ht="18" customHeight="1" spans="1:6">
      <c r="A529" s="13" t="s">
        <v>855</v>
      </c>
      <c r="B529" s="13" t="s">
        <v>12644</v>
      </c>
      <c r="C529" s="8" t="s">
        <v>12645</v>
      </c>
      <c r="D529" s="13">
        <v>3</v>
      </c>
      <c r="E529" s="10" t="s">
        <v>12646</v>
      </c>
      <c r="F529" s="7" t="s">
        <v>11535</v>
      </c>
    </row>
    <row r="530" ht="18" customHeight="1" spans="1:6">
      <c r="A530" s="13" t="s">
        <v>855</v>
      </c>
      <c r="B530" s="13" t="s">
        <v>1005</v>
      </c>
      <c r="C530" s="8" t="s">
        <v>12647</v>
      </c>
      <c r="D530" s="13">
        <v>2</v>
      </c>
      <c r="E530" s="10" t="s">
        <v>12648</v>
      </c>
      <c r="F530" s="7" t="s">
        <v>11535</v>
      </c>
    </row>
    <row r="531" ht="18" customHeight="1" spans="1:6">
      <c r="A531" s="13" t="s">
        <v>855</v>
      </c>
      <c r="B531" s="13" t="s">
        <v>985</v>
      </c>
      <c r="C531" s="8" t="s">
        <v>12649</v>
      </c>
      <c r="D531" s="13">
        <v>1</v>
      </c>
      <c r="E531" s="10" t="s">
        <v>12650</v>
      </c>
      <c r="F531" s="7" t="s">
        <v>11535</v>
      </c>
    </row>
    <row r="532" ht="18" customHeight="1" spans="1:6">
      <c r="A532" s="13" t="s">
        <v>855</v>
      </c>
      <c r="B532" s="13" t="s">
        <v>1064</v>
      </c>
      <c r="C532" s="10" t="s">
        <v>12651</v>
      </c>
      <c r="D532" s="10">
        <v>6</v>
      </c>
      <c r="E532" s="10" t="s">
        <v>12652</v>
      </c>
      <c r="F532" s="7" t="s">
        <v>11535</v>
      </c>
    </row>
    <row r="533" ht="18" customHeight="1" spans="1:6">
      <c r="A533" s="13" t="s">
        <v>855</v>
      </c>
      <c r="B533" s="13" t="s">
        <v>1064</v>
      </c>
      <c r="C533" s="10" t="s">
        <v>12653</v>
      </c>
      <c r="D533" s="10">
        <v>2</v>
      </c>
      <c r="E533" s="10" t="s">
        <v>12654</v>
      </c>
      <c r="F533" s="7" t="s">
        <v>11535</v>
      </c>
    </row>
    <row r="534" ht="18" customHeight="1" spans="1:6">
      <c r="A534" s="13" t="s">
        <v>855</v>
      </c>
      <c r="B534" s="13" t="s">
        <v>12655</v>
      </c>
      <c r="C534" s="10" t="s">
        <v>12656</v>
      </c>
      <c r="D534" s="10">
        <v>5</v>
      </c>
      <c r="E534" s="10" t="s">
        <v>12657</v>
      </c>
      <c r="F534" s="7" t="s">
        <v>11535</v>
      </c>
    </row>
    <row r="535" ht="18" customHeight="1" spans="1:6">
      <c r="A535" s="13" t="s">
        <v>855</v>
      </c>
      <c r="B535" s="13" t="s">
        <v>12655</v>
      </c>
      <c r="C535" s="10" t="s">
        <v>12658</v>
      </c>
      <c r="D535" s="10">
        <v>4</v>
      </c>
      <c r="E535" s="187" t="s">
        <v>12659</v>
      </c>
      <c r="F535" s="7" t="s">
        <v>11535</v>
      </c>
    </row>
    <row r="536" ht="18" customHeight="1" spans="1:6">
      <c r="A536" s="13" t="s">
        <v>855</v>
      </c>
      <c r="B536" s="13" t="s">
        <v>12660</v>
      </c>
      <c r="C536" s="10" t="s">
        <v>12661</v>
      </c>
      <c r="D536" s="10">
        <v>2</v>
      </c>
      <c r="E536" s="10" t="s">
        <v>12662</v>
      </c>
      <c r="F536" s="7" t="s">
        <v>11535</v>
      </c>
    </row>
    <row r="537" ht="18" customHeight="1" spans="1:6">
      <c r="A537" s="13" t="s">
        <v>855</v>
      </c>
      <c r="B537" s="13" t="s">
        <v>12660</v>
      </c>
      <c r="C537" s="10" t="s">
        <v>12663</v>
      </c>
      <c r="D537" s="10">
        <v>1</v>
      </c>
      <c r="E537" s="10" t="s">
        <v>12664</v>
      </c>
      <c r="F537" s="7" t="s">
        <v>11535</v>
      </c>
    </row>
    <row r="538" ht="18" customHeight="1" spans="1:6">
      <c r="A538" s="13" t="s">
        <v>855</v>
      </c>
      <c r="B538" s="13" t="s">
        <v>1061</v>
      </c>
      <c r="C538" s="10" t="s">
        <v>12665</v>
      </c>
      <c r="D538" s="10">
        <v>1</v>
      </c>
      <c r="E538" s="10" t="s">
        <v>12666</v>
      </c>
      <c r="F538" s="7" t="s">
        <v>11535</v>
      </c>
    </row>
    <row r="539" ht="18" customHeight="1" spans="1:6">
      <c r="A539" s="13" t="s">
        <v>855</v>
      </c>
      <c r="B539" s="13" t="s">
        <v>12667</v>
      </c>
      <c r="C539" s="10" t="s">
        <v>12668</v>
      </c>
      <c r="D539" s="10">
        <v>3</v>
      </c>
      <c r="E539" s="10" t="s">
        <v>12669</v>
      </c>
      <c r="F539" s="7" t="s">
        <v>11535</v>
      </c>
    </row>
    <row r="540" ht="18" customHeight="1" spans="1:6">
      <c r="A540" s="13" t="s">
        <v>855</v>
      </c>
      <c r="B540" s="13" t="s">
        <v>12667</v>
      </c>
      <c r="C540" s="10" t="s">
        <v>12670</v>
      </c>
      <c r="D540" s="10">
        <v>1</v>
      </c>
      <c r="E540" s="10" t="s">
        <v>12671</v>
      </c>
      <c r="F540" s="7" t="s">
        <v>11535</v>
      </c>
    </row>
    <row r="541" ht="18" customHeight="1" spans="1:6">
      <c r="A541" s="13" t="s">
        <v>855</v>
      </c>
      <c r="B541" s="13" t="s">
        <v>12672</v>
      </c>
      <c r="C541" s="10" t="s">
        <v>12673</v>
      </c>
      <c r="D541" s="10">
        <v>2</v>
      </c>
      <c r="E541" s="10" t="s">
        <v>12674</v>
      </c>
      <c r="F541" s="7" t="s">
        <v>11535</v>
      </c>
    </row>
    <row r="542" ht="18" customHeight="1" spans="1:6">
      <c r="A542" s="13" t="s">
        <v>855</v>
      </c>
      <c r="B542" s="13" t="s">
        <v>12672</v>
      </c>
      <c r="C542" s="10" t="s">
        <v>12675</v>
      </c>
      <c r="D542" s="10">
        <v>4</v>
      </c>
      <c r="E542" s="10" t="s">
        <v>12676</v>
      </c>
      <c r="F542" s="7" t="s">
        <v>11535</v>
      </c>
    </row>
    <row r="543" ht="18" customHeight="1" spans="1:6">
      <c r="A543" s="13" t="s">
        <v>855</v>
      </c>
      <c r="B543" s="13" t="s">
        <v>12672</v>
      </c>
      <c r="C543" s="10" t="s">
        <v>12677</v>
      </c>
      <c r="D543" s="10">
        <v>5</v>
      </c>
      <c r="E543" s="10" t="s">
        <v>12678</v>
      </c>
      <c r="F543" s="7" t="s">
        <v>11535</v>
      </c>
    </row>
    <row r="544" ht="18" customHeight="1" spans="1:6">
      <c r="A544" s="13" t="s">
        <v>855</v>
      </c>
      <c r="B544" s="13" t="s">
        <v>12672</v>
      </c>
      <c r="C544" s="10" t="s">
        <v>12679</v>
      </c>
      <c r="D544" s="10">
        <v>4</v>
      </c>
      <c r="E544" s="10" t="s">
        <v>12680</v>
      </c>
      <c r="F544" s="7" t="s">
        <v>11535</v>
      </c>
    </row>
    <row r="545" ht="18" customHeight="1" spans="1:6">
      <c r="A545" s="13" t="s">
        <v>855</v>
      </c>
      <c r="B545" s="13" t="s">
        <v>12681</v>
      </c>
      <c r="C545" s="10" t="s">
        <v>12682</v>
      </c>
      <c r="D545" s="10">
        <v>1</v>
      </c>
      <c r="E545" s="10" t="s">
        <v>12683</v>
      </c>
      <c r="F545" s="7" t="s">
        <v>11535</v>
      </c>
    </row>
    <row r="546" ht="18" customHeight="1" spans="1:6">
      <c r="A546" s="13" t="s">
        <v>855</v>
      </c>
      <c r="B546" s="13" t="s">
        <v>12655</v>
      </c>
      <c r="C546" s="10" t="s">
        <v>12684</v>
      </c>
      <c r="D546" s="10">
        <v>2</v>
      </c>
      <c r="E546" s="10" t="s">
        <v>12685</v>
      </c>
      <c r="F546" s="7" t="s">
        <v>11535</v>
      </c>
    </row>
    <row r="547" ht="18" customHeight="1" spans="1:6">
      <c r="A547" s="13" t="s">
        <v>855</v>
      </c>
      <c r="B547" s="13" t="s">
        <v>1064</v>
      </c>
      <c r="C547" s="10" t="s">
        <v>12686</v>
      </c>
      <c r="D547" s="10">
        <v>3</v>
      </c>
      <c r="E547" s="10" t="s">
        <v>12687</v>
      </c>
      <c r="F547" s="7" t="s">
        <v>11535</v>
      </c>
    </row>
    <row r="548" ht="18" customHeight="1" spans="1:6">
      <c r="A548" s="13" t="s">
        <v>855</v>
      </c>
      <c r="B548" s="13" t="s">
        <v>1064</v>
      </c>
      <c r="C548" s="10" t="s">
        <v>12688</v>
      </c>
      <c r="D548" s="10">
        <v>5</v>
      </c>
      <c r="E548" s="10" t="s">
        <v>12689</v>
      </c>
      <c r="F548" s="7" t="s">
        <v>11535</v>
      </c>
    </row>
    <row r="549" ht="18" customHeight="1" spans="1:6">
      <c r="A549" s="13" t="s">
        <v>855</v>
      </c>
      <c r="B549" s="13" t="s">
        <v>12655</v>
      </c>
      <c r="C549" s="10" t="s">
        <v>12690</v>
      </c>
      <c r="D549" s="10">
        <v>3</v>
      </c>
      <c r="E549" s="10" t="s">
        <v>12691</v>
      </c>
      <c r="F549" s="7" t="s">
        <v>11535</v>
      </c>
    </row>
    <row r="550" ht="18" customHeight="1" spans="1:6">
      <c r="A550" s="13" t="s">
        <v>855</v>
      </c>
      <c r="B550" s="13" t="s">
        <v>12667</v>
      </c>
      <c r="C550" s="10" t="s">
        <v>1353</v>
      </c>
      <c r="D550" s="10">
        <v>2</v>
      </c>
      <c r="E550" s="10" t="s">
        <v>12692</v>
      </c>
      <c r="F550" s="7" t="s">
        <v>11535</v>
      </c>
    </row>
    <row r="551" ht="18" customHeight="1" spans="1:6">
      <c r="A551" s="13" t="s">
        <v>855</v>
      </c>
      <c r="B551" s="13" t="s">
        <v>12693</v>
      </c>
      <c r="C551" s="10" t="s">
        <v>12694</v>
      </c>
      <c r="D551" s="10">
        <v>5</v>
      </c>
      <c r="E551" s="10" t="s">
        <v>12695</v>
      </c>
      <c r="F551" s="7" t="s">
        <v>11535</v>
      </c>
    </row>
    <row r="552" ht="18" customHeight="1" spans="1:6">
      <c r="A552" s="13" t="s">
        <v>855</v>
      </c>
      <c r="B552" s="13" t="s">
        <v>12693</v>
      </c>
      <c r="C552" s="10" t="s">
        <v>12696</v>
      </c>
      <c r="D552" s="10">
        <v>4</v>
      </c>
      <c r="E552" s="10" t="s">
        <v>12697</v>
      </c>
      <c r="F552" s="7" t="s">
        <v>11535</v>
      </c>
    </row>
    <row r="553" ht="18" customHeight="1" spans="1:6">
      <c r="A553" s="13" t="s">
        <v>855</v>
      </c>
      <c r="B553" s="13" t="s">
        <v>12660</v>
      </c>
      <c r="C553" s="10" t="s">
        <v>12698</v>
      </c>
      <c r="D553" s="10">
        <v>2</v>
      </c>
      <c r="E553" s="10" t="s">
        <v>12699</v>
      </c>
      <c r="F553" s="7" t="s">
        <v>11535</v>
      </c>
    </row>
    <row r="554" ht="18" customHeight="1" spans="1:6">
      <c r="A554" s="13" t="s">
        <v>855</v>
      </c>
      <c r="B554" s="13" t="s">
        <v>12672</v>
      </c>
      <c r="C554" s="10" t="s">
        <v>12700</v>
      </c>
      <c r="D554" s="10">
        <v>3</v>
      </c>
      <c r="E554" s="10" t="s">
        <v>12701</v>
      </c>
      <c r="F554" s="7" t="s">
        <v>11535</v>
      </c>
    </row>
    <row r="555" ht="18" customHeight="1" spans="1:6">
      <c r="A555" s="13" t="s">
        <v>855</v>
      </c>
      <c r="B555" s="13" t="s">
        <v>1064</v>
      </c>
      <c r="C555" s="10" t="s">
        <v>12702</v>
      </c>
      <c r="D555" s="13">
        <v>3</v>
      </c>
      <c r="E555" s="10" t="s">
        <v>12703</v>
      </c>
      <c r="F555" s="7" t="s">
        <v>11535</v>
      </c>
    </row>
    <row r="556" ht="18" customHeight="1" spans="1:6">
      <c r="A556" s="13" t="s">
        <v>855</v>
      </c>
      <c r="B556" s="5" t="s">
        <v>1067</v>
      </c>
      <c r="C556" s="26" t="s">
        <v>12704</v>
      </c>
      <c r="D556" s="13">
        <v>4</v>
      </c>
      <c r="E556" s="14" t="s">
        <v>12705</v>
      </c>
      <c r="F556" s="7" t="s">
        <v>11535</v>
      </c>
    </row>
    <row r="557" ht="18" customHeight="1" spans="1:6">
      <c r="A557" s="13" t="s">
        <v>855</v>
      </c>
      <c r="B557" s="5" t="s">
        <v>1067</v>
      </c>
      <c r="C557" s="26" t="s">
        <v>12706</v>
      </c>
      <c r="D557" s="13">
        <v>4</v>
      </c>
      <c r="E557" s="14" t="s">
        <v>12707</v>
      </c>
      <c r="F557" s="7" t="s">
        <v>11535</v>
      </c>
    </row>
    <row r="558" ht="18" customHeight="1" spans="1:6">
      <c r="A558" s="13" t="s">
        <v>855</v>
      </c>
      <c r="B558" s="5" t="s">
        <v>1067</v>
      </c>
      <c r="C558" s="26" t="s">
        <v>12708</v>
      </c>
      <c r="D558" s="13">
        <v>5</v>
      </c>
      <c r="E558" s="14" t="s">
        <v>12709</v>
      </c>
      <c r="F558" s="7" t="s">
        <v>11535</v>
      </c>
    </row>
    <row r="559" ht="18" customHeight="1" spans="1:6">
      <c r="A559" s="13" t="s">
        <v>855</v>
      </c>
      <c r="B559" s="5" t="s">
        <v>1067</v>
      </c>
      <c r="C559" s="26" t="s">
        <v>12710</v>
      </c>
      <c r="D559" s="13">
        <v>1</v>
      </c>
      <c r="E559" s="14" t="s">
        <v>12711</v>
      </c>
      <c r="F559" s="7" t="s">
        <v>11535</v>
      </c>
    </row>
    <row r="560" ht="18" customHeight="1" spans="1:6">
      <c r="A560" s="13" t="s">
        <v>855</v>
      </c>
      <c r="B560" s="5" t="s">
        <v>1067</v>
      </c>
      <c r="C560" s="26" t="s">
        <v>12712</v>
      </c>
      <c r="D560" s="13">
        <v>4</v>
      </c>
      <c r="E560" s="14" t="s">
        <v>12713</v>
      </c>
      <c r="F560" s="7" t="s">
        <v>11535</v>
      </c>
    </row>
    <row r="561" ht="18" customHeight="1" spans="1:6">
      <c r="A561" s="13" t="s">
        <v>855</v>
      </c>
      <c r="B561" s="5" t="s">
        <v>1067</v>
      </c>
      <c r="C561" s="26" t="s">
        <v>12714</v>
      </c>
      <c r="D561" s="13">
        <v>3</v>
      </c>
      <c r="E561" s="14" t="s">
        <v>12715</v>
      </c>
      <c r="F561" s="7" t="s">
        <v>11535</v>
      </c>
    </row>
    <row r="562" ht="18" customHeight="1" spans="1:6">
      <c r="A562" s="13" t="s">
        <v>855</v>
      </c>
      <c r="B562" s="5" t="s">
        <v>1067</v>
      </c>
      <c r="C562" s="26" t="s">
        <v>12716</v>
      </c>
      <c r="D562" s="13">
        <v>4</v>
      </c>
      <c r="E562" s="14" t="s">
        <v>12717</v>
      </c>
      <c r="F562" s="7" t="s">
        <v>11535</v>
      </c>
    </row>
    <row r="563" ht="18" customHeight="1" spans="1:6">
      <c r="A563" s="13" t="s">
        <v>855</v>
      </c>
      <c r="B563" s="5" t="s">
        <v>1067</v>
      </c>
      <c r="C563" s="26" t="s">
        <v>12718</v>
      </c>
      <c r="D563" s="13">
        <v>5</v>
      </c>
      <c r="E563" s="14" t="s">
        <v>12719</v>
      </c>
      <c r="F563" s="7" t="s">
        <v>11535</v>
      </c>
    </row>
    <row r="564" ht="18" customHeight="1" spans="1:6">
      <c r="A564" s="13" t="s">
        <v>855</v>
      </c>
      <c r="B564" s="5" t="s">
        <v>1067</v>
      </c>
      <c r="C564" s="26" t="s">
        <v>12720</v>
      </c>
      <c r="D564" s="13">
        <v>3</v>
      </c>
      <c r="E564" s="14" t="s">
        <v>12721</v>
      </c>
      <c r="F564" s="7" t="s">
        <v>11535</v>
      </c>
    </row>
    <row r="565" ht="18" customHeight="1" spans="1:6">
      <c r="A565" s="13" t="s">
        <v>855</v>
      </c>
      <c r="B565" s="5" t="s">
        <v>1067</v>
      </c>
      <c r="C565" s="26" t="s">
        <v>12722</v>
      </c>
      <c r="D565" s="13">
        <v>3</v>
      </c>
      <c r="E565" s="14" t="s">
        <v>12723</v>
      </c>
      <c r="F565" s="7" t="s">
        <v>11535</v>
      </c>
    </row>
    <row r="566" ht="18" customHeight="1" spans="1:6">
      <c r="A566" s="13" t="s">
        <v>855</v>
      </c>
      <c r="B566" s="5" t="s">
        <v>1067</v>
      </c>
      <c r="C566" s="20" t="s">
        <v>12724</v>
      </c>
      <c r="D566" s="13">
        <v>1</v>
      </c>
      <c r="E566" s="12" t="s">
        <v>12725</v>
      </c>
      <c r="F566" s="7" t="s">
        <v>11535</v>
      </c>
    </row>
    <row r="567" ht="18" customHeight="1" spans="1:6">
      <c r="A567" s="13" t="s">
        <v>855</v>
      </c>
      <c r="B567" s="5" t="s">
        <v>1067</v>
      </c>
      <c r="C567" s="20" t="s">
        <v>12726</v>
      </c>
      <c r="D567" s="13">
        <v>3</v>
      </c>
      <c r="E567" s="12" t="s">
        <v>12727</v>
      </c>
      <c r="F567" s="7" t="s">
        <v>11535</v>
      </c>
    </row>
    <row r="568" ht="18" customHeight="1" spans="1:6">
      <c r="A568" s="13" t="s">
        <v>855</v>
      </c>
      <c r="B568" s="5" t="s">
        <v>1067</v>
      </c>
      <c r="C568" s="20" t="s">
        <v>12728</v>
      </c>
      <c r="D568" s="13">
        <v>6</v>
      </c>
      <c r="E568" s="12" t="s">
        <v>12729</v>
      </c>
      <c r="F568" s="7" t="s">
        <v>11535</v>
      </c>
    </row>
    <row r="569" ht="18" customHeight="1" spans="1:6">
      <c r="A569" s="13" t="s">
        <v>855</v>
      </c>
      <c r="B569" s="5" t="s">
        <v>1067</v>
      </c>
      <c r="C569" s="20" t="s">
        <v>12730</v>
      </c>
      <c r="D569" s="13">
        <v>4</v>
      </c>
      <c r="E569" s="12" t="s">
        <v>12731</v>
      </c>
      <c r="F569" s="7" t="s">
        <v>11535</v>
      </c>
    </row>
    <row r="570" ht="18" customHeight="1" spans="1:6">
      <c r="A570" s="13" t="s">
        <v>855</v>
      </c>
      <c r="B570" s="5" t="s">
        <v>1067</v>
      </c>
      <c r="C570" s="20" t="s">
        <v>12732</v>
      </c>
      <c r="D570" s="13">
        <v>3</v>
      </c>
      <c r="E570" s="12" t="s">
        <v>12733</v>
      </c>
      <c r="F570" s="7" t="s">
        <v>11535</v>
      </c>
    </row>
    <row r="571" ht="18" customHeight="1" spans="1:6">
      <c r="A571" s="13" t="s">
        <v>855</v>
      </c>
      <c r="B571" s="5" t="s">
        <v>1067</v>
      </c>
      <c r="C571" s="20" t="s">
        <v>12734</v>
      </c>
      <c r="D571" s="13">
        <v>1</v>
      </c>
      <c r="E571" s="12" t="s">
        <v>12735</v>
      </c>
      <c r="F571" s="7" t="s">
        <v>11535</v>
      </c>
    </row>
    <row r="572" ht="18" customHeight="1" spans="1:6">
      <c r="A572" s="13" t="s">
        <v>855</v>
      </c>
      <c r="B572" s="5" t="s">
        <v>1067</v>
      </c>
      <c r="C572" s="20" t="s">
        <v>12736</v>
      </c>
      <c r="D572" s="13">
        <v>4</v>
      </c>
      <c r="E572" s="12" t="s">
        <v>12737</v>
      </c>
      <c r="F572" s="7" t="s">
        <v>11535</v>
      </c>
    </row>
    <row r="573" ht="18" customHeight="1" spans="1:6">
      <c r="A573" s="13" t="s">
        <v>855</v>
      </c>
      <c r="B573" s="5" t="s">
        <v>1067</v>
      </c>
      <c r="C573" s="20" t="s">
        <v>12738</v>
      </c>
      <c r="D573" s="13">
        <v>3</v>
      </c>
      <c r="E573" s="12" t="s">
        <v>12739</v>
      </c>
      <c r="F573" s="7" t="s">
        <v>11535</v>
      </c>
    </row>
    <row r="574" ht="18" customHeight="1" spans="1:6">
      <c r="A574" s="13" t="s">
        <v>855</v>
      </c>
      <c r="B574" s="5" t="s">
        <v>1067</v>
      </c>
      <c r="C574" s="20" t="s">
        <v>12726</v>
      </c>
      <c r="D574" s="13">
        <v>4</v>
      </c>
      <c r="E574" s="12" t="s">
        <v>12740</v>
      </c>
      <c r="F574" s="7" t="s">
        <v>11535</v>
      </c>
    </row>
    <row r="575" ht="18" customHeight="1" spans="1:6">
      <c r="A575" s="13" t="s">
        <v>855</v>
      </c>
      <c r="B575" s="5" t="s">
        <v>1067</v>
      </c>
      <c r="C575" s="20" t="s">
        <v>12741</v>
      </c>
      <c r="D575" s="13">
        <v>4</v>
      </c>
      <c r="E575" s="14" t="s">
        <v>12742</v>
      </c>
      <c r="F575" s="7" t="s">
        <v>11535</v>
      </c>
    </row>
    <row r="576" ht="18" customHeight="1" spans="1:6">
      <c r="A576" s="13" t="s">
        <v>855</v>
      </c>
      <c r="B576" s="5" t="s">
        <v>1067</v>
      </c>
      <c r="C576" s="20" t="s">
        <v>12743</v>
      </c>
      <c r="D576" s="13">
        <v>2</v>
      </c>
      <c r="E576" s="14" t="s">
        <v>12744</v>
      </c>
      <c r="F576" s="7" t="s">
        <v>11535</v>
      </c>
    </row>
    <row r="577" ht="18" customHeight="1" spans="1:6">
      <c r="A577" s="13" t="s">
        <v>855</v>
      </c>
      <c r="B577" s="5" t="s">
        <v>1067</v>
      </c>
      <c r="C577" s="20" t="s">
        <v>12745</v>
      </c>
      <c r="D577" s="13">
        <v>2</v>
      </c>
      <c r="E577" s="14" t="s">
        <v>12746</v>
      </c>
      <c r="F577" s="7" t="s">
        <v>11535</v>
      </c>
    </row>
    <row r="578" ht="18" customHeight="1" spans="1:6">
      <c r="A578" s="13" t="s">
        <v>855</v>
      </c>
      <c r="B578" s="5" t="s">
        <v>1067</v>
      </c>
      <c r="C578" s="20" t="s">
        <v>12747</v>
      </c>
      <c r="D578" s="13">
        <v>3</v>
      </c>
      <c r="E578" s="14" t="s">
        <v>12748</v>
      </c>
      <c r="F578" s="7" t="s">
        <v>11535</v>
      </c>
    </row>
    <row r="579" ht="18" customHeight="1" spans="1:6">
      <c r="A579" s="13" t="s">
        <v>855</v>
      </c>
      <c r="B579" s="5" t="s">
        <v>1067</v>
      </c>
      <c r="C579" s="20" t="s">
        <v>12749</v>
      </c>
      <c r="D579" s="13">
        <v>6</v>
      </c>
      <c r="E579" s="14" t="s">
        <v>12750</v>
      </c>
      <c r="F579" s="7" t="s">
        <v>11535</v>
      </c>
    </row>
    <row r="580" ht="18" customHeight="1" spans="1:6">
      <c r="A580" s="13" t="s">
        <v>855</v>
      </c>
      <c r="B580" s="13" t="s">
        <v>1084</v>
      </c>
      <c r="C580" s="24" t="s">
        <v>12751</v>
      </c>
      <c r="D580" s="27">
        <v>4</v>
      </c>
      <c r="E580" s="28" t="s">
        <v>12752</v>
      </c>
      <c r="F580" s="7" t="s">
        <v>11535</v>
      </c>
    </row>
    <row r="581" ht="18" customHeight="1" spans="1:6">
      <c r="A581" s="13" t="s">
        <v>855</v>
      </c>
      <c r="B581" s="13" t="s">
        <v>1084</v>
      </c>
      <c r="C581" s="24" t="s">
        <v>12753</v>
      </c>
      <c r="D581" s="27">
        <v>2</v>
      </c>
      <c r="E581" s="28" t="s">
        <v>12754</v>
      </c>
      <c r="F581" s="7" t="s">
        <v>11535</v>
      </c>
    </row>
    <row r="582" ht="18" customHeight="1" spans="1:6">
      <c r="A582" s="13" t="s">
        <v>855</v>
      </c>
      <c r="B582" s="13" t="s">
        <v>1084</v>
      </c>
      <c r="C582" s="24" t="s">
        <v>12755</v>
      </c>
      <c r="D582" s="27">
        <v>2</v>
      </c>
      <c r="E582" s="28" t="s">
        <v>12756</v>
      </c>
      <c r="F582" s="7" t="s">
        <v>11535</v>
      </c>
    </row>
    <row r="583" ht="18" customHeight="1" spans="1:6">
      <c r="A583" s="13" t="s">
        <v>855</v>
      </c>
      <c r="B583" s="13" t="s">
        <v>1084</v>
      </c>
      <c r="C583" s="24" t="s">
        <v>12757</v>
      </c>
      <c r="D583" s="27">
        <v>4</v>
      </c>
      <c r="E583" s="28" t="s">
        <v>12758</v>
      </c>
      <c r="F583" s="7" t="s">
        <v>11535</v>
      </c>
    </row>
    <row r="584" ht="18" customHeight="1" spans="1:6">
      <c r="A584" s="13" t="s">
        <v>855</v>
      </c>
      <c r="B584" s="13" t="s">
        <v>1084</v>
      </c>
      <c r="C584" s="27" t="s">
        <v>12759</v>
      </c>
      <c r="D584" s="27">
        <v>2</v>
      </c>
      <c r="E584" s="19" t="s">
        <v>12760</v>
      </c>
      <c r="F584" s="7" t="s">
        <v>11535</v>
      </c>
    </row>
    <row r="585" ht="18" customHeight="1" spans="1:6">
      <c r="A585" s="13" t="s">
        <v>855</v>
      </c>
      <c r="B585" s="13" t="s">
        <v>1084</v>
      </c>
      <c r="C585" s="24" t="s">
        <v>12761</v>
      </c>
      <c r="D585" s="27">
        <v>4</v>
      </c>
      <c r="E585" s="26" t="s">
        <v>12762</v>
      </c>
      <c r="F585" s="7" t="s">
        <v>11535</v>
      </c>
    </row>
    <row r="586" ht="18" customHeight="1" spans="1:6">
      <c r="A586" s="13" t="s">
        <v>855</v>
      </c>
      <c r="B586" s="13" t="s">
        <v>1084</v>
      </c>
      <c r="C586" s="24" t="s">
        <v>12763</v>
      </c>
      <c r="D586" s="27">
        <v>2</v>
      </c>
      <c r="E586" s="26" t="s">
        <v>12764</v>
      </c>
      <c r="F586" s="7" t="s">
        <v>11535</v>
      </c>
    </row>
    <row r="587" ht="18" customHeight="1" spans="1:6">
      <c r="A587" s="13" t="s">
        <v>855</v>
      </c>
      <c r="B587" s="13" t="s">
        <v>1084</v>
      </c>
      <c r="C587" s="24" t="s">
        <v>12765</v>
      </c>
      <c r="D587" s="27">
        <v>1</v>
      </c>
      <c r="E587" s="26" t="s">
        <v>12766</v>
      </c>
      <c r="F587" s="7" t="s">
        <v>11535</v>
      </c>
    </row>
    <row r="588" ht="18" customHeight="1" spans="1:6">
      <c r="A588" s="13" t="s">
        <v>855</v>
      </c>
      <c r="B588" s="13" t="s">
        <v>1084</v>
      </c>
      <c r="C588" s="27" t="s">
        <v>12767</v>
      </c>
      <c r="D588" s="27">
        <v>1</v>
      </c>
      <c r="E588" s="19" t="s">
        <v>12768</v>
      </c>
      <c r="F588" s="7" t="s">
        <v>11535</v>
      </c>
    </row>
    <row r="589" ht="18" customHeight="1" spans="1:6">
      <c r="A589" s="13" t="s">
        <v>855</v>
      </c>
      <c r="B589" s="13" t="s">
        <v>1084</v>
      </c>
      <c r="C589" s="24" t="s">
        <v>12769</v>
      </c>
      <c r="D589" s="27">
        <v>1</v>
      </c>
      <c r="E589" s="26" t="s">
        <v>12770</v>
      </c>
      <c r="F589" s="7" t="s">
        <v>11535</v>
      </c>
    </row>
    <row r="590" ht="18" customHeight="1" spans="1:6">
      <c r="A590" s="13" t="s">
        <v>855</v>
      </c>
      <c r="B590" s="13" t="s">
        <v>1084</v>
      </c>
      <c r="C590" s="27" t="s">
        <v>12771</v>
      </c>
      <c r="D590" s="27">
        <v>2</v>
      </c>
      <c r="E590" s="19" t="s">
        <v>12772</v>
      </c>
      <c r="F590" s="7" t="s">
        <v>11535</v>
      </c>
    </row>
    <row r="591" ht="18" customHeight="1" spans="1:6">
      <c r="A591" s="13" t="s">
        <v>855</v>
      </c>
      <c r="B591" s="13" t="s">
        <v>1084</v>
      </c>
      <c r="C591" s="24" t="s">
        <v>12773</v>
      </c>
      <c r="D591" s="27">
        <v>2</v>
      </c>
      <c r="E591" s="26" t="s">
        <v>12774</v>
      </c>
      <c r="F591" s="7" t="s">
        <v>11535</v>
      </c>
    </row>
    <row r="592" ht="18" customHeight="1" spans="1:6">
      <c r="A592" s="13" t="s">
        <v>855</v>
      </c>
      <c r="B592" s="13" t="s">
        <v>1084</v>
      </c>
      <c r="C592" s="27" t="s">
        <v>12775</v>
      </c>
      <c r="D592" s="27">
        <v>3</v>
      </c>
      <c r="E592" s="19" t="s">
        <v>12776</v>
      </c>
      <c r="F592" s="7" t="s">
        <v>11535</v>
      </c>
    </row>
    <row r="593" ht="18" customHeight="1" spans="1:6">
      <c r="A593" s="13" t="s">
        <v>855</v>
      </c>
      <c r="B593" s="13" t="s">
        <v>1084</v>
      </c>
      <c r="C593" s="24" t="s">
        <v>12777</v>
      </c>
      <c r="D593" s="27">
        <v>1</v>
      </c>
      <c r="E593" s="26" t="s">
        <v>12778</v>
      </c>
      <c r="F593" s="7" t="s">
        <v>11535</v>
      </c>
    </row>
    <row r="594" ht="18" customHeight="1" spans="1:6">
      <c r="A594" s="13" t="s">
        <v>855</v>
      </c>
      <c r="B594" s="13" t="s">
        <v>1084</v>
      </c>
      <c r="C594" s="27" t="s">
        <v>12779</v>
      </c>
      <c r="D594" s="27">
        <v>2</v>
      </c>
      <c r="E594" s="19" t="s">
        <v>12780</v>
      </c>
      <c r="F594" s="7" t="s">
        <v>11535</v>
      </c>
    </row>
    <row r="595" ht="18" customHeight="1" spans="1:6">
      <c r="A595" s="13" t="s">
        <v>855</v>
      </c>
      <c r="B595" s="13" t="s">
        <v>1084</v>
      </c>
      <c r="C595" s="24" t="s">
        <v>12781</v>
      </c>
      <c r="D595" s="27">
        <v>1</v>
      </c>
      <c r="E595" s="26" t="s">
        <v>12782</v>
      </c>
      <c r="F595" s="7" t="s">
        <v>11535</v>
      </c>
    </row>
    <row r="596" ht="18" customHeight="1" spans="1:6">
      <c r="A596" s="13" t="s">
        <v>855</v>
      </c>
      <c r="B596" s="13" t="s">
        <v>1084</v>
      </c>
      <c r="C596" s="24" t="s">
        <v>1133</v>
      </c>
      <c r="D596" s="27">
        <v>4</v>
      </c>
      <c r="E596" s="19" t="s">
        <v>12783</v>
      </c>
      <c r="F596" s="7" t="s">
        <v>11535</v>
      </c>
    </row>
    <row r="597" ht="18" customHeight="1" spans="1:6">
      <c r="A597" s="13" t="s">
        <v>855</v>
      </c>
      <c r="B597" s="13" t="s">
        <v>1084</v>
      </c>
      <c r="C597" s="29" t="s">
        <v>12784</v>
      </c>
      <c r="D597" s="30">
        <v>5</v>
      </c>
      <c r="E597" s="31" t="s">
        <v>12785</v>
      </c>
      <c r="F597" s="7" t="s">
        <v>11535</v>
      </c>
    </row>
    <row r="598" ht="18" customHeight="1" spans="1:6">
      <c r="A598" s="13" t="s">
        <v>855</v>
      </c>
      <c r="B598" s="13" t="s">
        <v>1084</v>
      </c>
      <c r="C598" s="29" t="s">
        <v>12786</v>
      </c>
      <c r="D598" s="30">
        <v>5</v>
      </c>
      <c r="E598" s="31" t="s">
        <v>12787</v>
      </c>
      <c r="F598" s="7" t="s">
        <v>11535</v>
      </c>
    </row>
    <row r="599" ht="18" customHeight="1" spans="1:6">
      <c r="A599" s="13" t="s">
        <v>855</v>
      </c>
      <c r="B599" s="13" t="s">
        <v>1084</v>
      </c>
      <c r="C599" s="29" t="s">
        <v>12788</v>
      </c>
      <c r="D599" s="30">
        <v>5</v>
      </c>
      <c r="E599" s="31" t="s">
        <v>12789</v>
      </c>
      <c r="F599" s="7" t="s">
        <v>11535</v>
      </c>
    </row>
    <row r="600" ht="18" customHeight="1" spans="1:6">
      <c r="A600" s="13" t="s">
        <v>855</v>
      </c>
      <c r="B600" s="13" t="s">
        <v>1084</v>
      </c>
      <c r="C600" s="24" t="s">
        <v>12790</v>
      </c>
      <c r="D600" s="30">
        <v>3</v>
      </c>
      <c r="E600" s="31" t="s">
        <v>12791</v>
      </c>
      <c r="F600" s="7" t="s">
        <v>11535</v>
      </c>
    </row>
    <row r="601" ht="18" customHeight="1" spans="1:6">
      <c r="A601" s="13" t="s">
        <v>855</v>
      </c>
      <c r="B601" s="13" t="s">
        <v>1084</v>
      </c>
      <c r="C601" s="24" t="s">
        <v>12792</v>
      </c>
      <c r="D601" s="30">
        <v>2</v>
      </c>
      <c r="E601" s="31" t="s">
        <v>12793</v>
      </c>
      <c r="F601" s="7" t="s">
        <v>11535</v>
      </c>
    </row>
    <row r="602" ht="18" customHeight="1" spans="1:6">
      <c r="A602" s="13" t="s">
        <v>855</v>
      </c>
      <c r="B602" s="13" t="s">
        <v>1084</v>
      </c>
      <c r="C602" s="24" t="s">
        <v>12794</v>
      </c>
      <c r="D602" s="30">
        <v>2</v>
      </c>
      <c r="E602" s="31" t="s">
        <v>12795</v>
      </c>
      <c r="F602" s="7" t="s">
        <v>11535</v>
      </c>
    </row>
    <row r="603" ht="18" customHeight="1" spans="1:6">
      <c r="A603" s="13" t="s">
        <v>855</v>
      </c>
      <c r="B603" s="13" t="s">
        <v>1084</v>
      </c>
      <c r="C603" s="29" t="s">
        <v>12582</v>
      </c>
      <c r="D603" s="30">
        <v>4</v>
      </c>
      <c r="E603" s="31" t="s">
        <v>12796</v>
      </c>
      <c r="F603" s="7" t="s">
        <v>11535</v>
      </c>
    </row>
    <row r="604" ht="18" customHeight="1" spans="1:6">
      <c r="A604" s="13" t="s">
        <v>855</v>
      </c>
      <c r="B604" s="13" t="s">
        <v>1084</v>
      </c>
      <c r="C604" s="20" t="s">
        <v>12797</v>
      </c>
      <c r="D604" s="30">
        <v>6</v>
      </c>
      <c r="E604" s="31" t="s">
        <v>12798</v>
      </c>
      <c r="F604" s="7" t="s">
        <v>11535</v>
      </c>
    </row>
    <row r="605" ht="18" customHeight="1" spans="1:6">
      <c r="A605" s="13" t="s">
        <v>855</v>
      </c>
      <c r="B605" s="13" t="s">
        <v>1084</v>
      </c>
      <c r="C605" s="20" t="s">
        <v>12799</v>
      </c>
      <c r="D605" s="30">
        <v>2</v>
      </c>
      <c r="E605" s="31" t="s">
        <v>12800</v>
      </c>
      <c r="F605" s="7" t="s">
        <v>11535</v>
      </c>
    </row>
    <row r="606" ht="18" customHeight="1" spans="1:6">
      <c r="A606" s="13" t="s">
        <v>855</v>
      </c>
      <c r="B606" s="13" t="s">
        <v>1084</v>
      </c>
      <c r="C606" s="20" t="s">
        <v>12801</v>
      </c>
      <c r="D606" s="30">
        <v>5</v>
      </c>
      <c r="E606" s="31" t="s">
        <v>12802</v>
      </c>
      <c r="F606" s="7" t="s">
        <v>11535</v>
      </c>
    </row>
    <row r="607" ht="18" customHeight="1" spans="1:6">
      <c r="A607" s="13" t="s">
        <v>855</v>
      </c>
      <c r="B607" s="13" t="s">
        <v>1084</v>
      </c>
      <c r="C607" s="20" t="s">
        <v>12803</v>
      </c>
      <c r="D607" s="30">
        <v>2</v>
      </c>
      <c r="E607" s="31" t="s">
        <v>12804</v>
      </c>
      <c r="F607" s="7" t="s">
        <v>11535</v>
      </c>
    </row>
    <row r="608" ht="18" customHeight="1" spans="1:6">
      <c r="A608" s="13" t="s">
        <v>855</v>
      </c>
      <c r="B608" s="13" t="s">
        <v>1084</v>
      </c>
      <c r="C608" s="20" t="s">
        <v>12805</v>
      </c>
      <c r="D608" s="30">
        <v>6</v>
      </c>
      <c r="E608" s="31" t="s">
        <v>12806</v>
      </c>
      <c r="F608" s="7" t="s">
        <v>11535</v>
      </c>
    </row>
    <row r="609" ht="18" customHeight="1" spans="1:6">
      <c r="A609" s="13" t="s">
        <v>855</v>
      </c>
      <c r="B609" s="13" t="s">
        <v>1084</v>
      </c>
      <c r="C609" s="20" t="s">
        <v>12807</v>
      </c>
      <c r="D609" s="30">
        <v>4</v>
      </c>
      <c r="E609" s="31" t="s">
        <v>12808</v>
      </c>
      <c r="F609" s="7" t="s">
        <v>11535</v>
      </c>
    </row>
    <row r="610" ht="18" customHeight="1" spans="1:6">
      <c r="A610" s="13" t="s">
        <v>855</v>
      </c>
      <c r="B610" s="13" t="s">
        <v>1084</v>
      </c>
      <c r="C610" s="24" t="s">
        <v>1119</v>
      </c>
      <c r="D610" s="5">
        <v>2</v>
      </c>
      <c r="E610" s="26" t="s">
        <v>1120</v>
      </c>
      <c r="F610" s="7" t="s">
        <v>11535</v>
      </c>
    </row>
    <row r="611" ht="18" customHeight="1" spans="1:6">
      <c r="A611" s="13" t="s">
        <v>855</v>
      </c>
      <c r="B611" s="13" t="s">
        <v>1084</v>
      </c>
      <c r="C611" s="27" t="s">
        <v>1149</v>
      </c>
      <c r="D611" s="27">
        <v>3</v>
      </c>
      <c r="E611" s="19" t="s">
        <v>1150</v>
      </c>
      <c r="F611" s="7" t="s">
        <v>11535</v>
      </c>
    </row>
    <row r="612" ht="18" customHeight="1" spans="1:6">
      <c r="A612" s="13" t="s">
        <v>855</v>
      </c>
      <c r="B612" s="14" t="s">
        <v>1177</v>
      </c>
      <c r="C612" s="14" t="s">
        <v>12809</v>
      </c>
      <c r="D612" s="5">
        <v>2</v>
      </c>
      <c r="E612" s="14" t="s">
        <v>12810</v>
      </c>
      <c r="F612" s="7" t="s">
        <v>11535</v>
      </c>
    </row>
    <row r="613" ht="18" customHeight="1" spans="1:6">
      <c r="A613" s="13" t="s">
        <v>855</v>
      </c>
      <c r="B613" s="14" t="s">
        <v>1177</v>
      </c>
      <c r="C613" s="14" t="s">
        <v>12811</v>
      </c>
      <c r="D613" s="5">
        <v>1</v>
      </c>
      <c r="E613" s="14" t="s">
        <v>12812</v>
      </c>
      <c r="F613" s="7" t="s">
        <v>11535</v>
      </c>
    </row>
    <row r="614" ht="18" customHeight="1" spans="1:6">
      <c r="A614" s="13" t="s">
        <v>855</v>
      </c>
      <c r="B614" s="14" t="s">
        <v>1196</v>
      </c>
      <c r="C614" s="14" t="s">
        <v>12813</v>
      </c>
      <c r="D614" s="5">
        <v>3</v>
      </c>
      <c r="E614" s="14" t="s">
        <v>12814</v>
      </c>
      <c r="F614" s="7" t="s">
        <v>11535</v>
      </c>
    </row>
    <row r="615" ht="18" customHeight="1" spans="1:6">
      <c r="A615" s="13" t="s">
        <v>855</v>
      </c>
      <c r="B615" s="14" t="s">
        <v>1224</v>
      </c>
      <c r="C615" s="14" t="s">
        <v>12815</v>
      </c>
      <c r="D615" s="5">
        <v>1</v>
      </c>
      <c r="E615" s="14" t="s">
        <v>12816</v>
      </c>
      <c r="F615" s="7" t="s">
        <v>11535</v>
      </c>
    </row>
    <row r="616" ht="18" customHeight="1" spans="1:6">
      <c r="A616" s="13" t="s">
        <v>855</v>
      </c>
      <c r="B616" s="14" t="s">
        <v>1196</v>
      </c>
      <c r="C616" s="14" t="s">
        <v>12817</v>
      </c>
      <c r="D616" s="5">
        <v>3</v>
      </c>
      <c r="E616" s="14" t="s">
        <v>12818</v>
      </c>
      <c r="F616" s="7" t="s">
        <v>11535</v>
      </c>
    </row>
    <row r="617" ht="18" customHeight="1" spans="1:6">
      <c r="A617" s="13" t="s">
        <v>855</v>
      </c>
      <c r="B617" s="14" t="s">
        <v>1196</v>
      </c>
      <c r="C617" s="14" t="s">
        <v>12819</v>
      </c>
      <c r="D617" s="5">
        <v>3</v>
      </c>
      <c r="E617" s="14" t="s">
        <v>12820</v>
      </c>
      <c r="F617" s="7" t="s">
        <v>11535</v>
      </c>
    </row>
    <row r="618" ht="18" customHeight="1" spans="1:6">
      <c r="A618" s="13" t="s">
        <v>855</v>
      </c>
      <c r="B618" s="14" t="s">
        <v>1166</v>
      </c>
      <c r="C618" s="14" t="s">
        <v>12821</v>
      </c>
      <c r="D618" s="5">
        <v>3</v>
      </c>
      <c r="E618" s="14" t="s">
        <v>12822</v>
      </c>
      <c r="F618" s="7" t="s">
        <v>11535</v>
      </c>
    </row>
    <row r="619" ht="18" customHeight="1" spans="1:6">
      <c r="A619" s="13" t="s">
        <v>855</v>
      </c>
      <c r="B619" s="14" t="s">
        <v>1196</v>
      </c>
      <c r="C619" s="14" t="s">
        <v>12823</v>
      </c>
      <c r="D619" s="5">
        <v>1</v>
      </c>
      <c r="E619" s="14" t="s">
        <v>12824</v>
      </c>
      <c r="F619" s="7" t="s">
        <v>11535</v>
      </c>
    </row>
    <row r="620" ht="18" customHeight="1" spans="1:6">
      <c r="A620" s="13" t="s">
        <v>855</v>
      </c>
      <c r="B620" s="14" t="s">
        <v>1196</v>
      </c>
      <c r="C620" s="14" t="s">
        <v>12276</v>
      </c>
      <c r="D620" s="5">
        <v>1</v>
      </c>
      <c r="E620" s="14" t="s">
        <v>12825</v>
      </c>
      <c r="F620" s="7" t="s">
        <v>11535</v>
      </c>
    </row>
    <row r="621" ht="18" customHeight="1" spans="1:6">
      <c r="A621" s="13" t="s">
        <v>855</v>
      </c>
      <c r="B621" s="14" t="s">
        <v>1196</v>
      </c>
      <c r="C621" s="14" t="s">
        <v>12826</v>
      </c>
      <c r="D621" s="5">
        <v>4</v>
      </c>
      <c r="E621" s="14" t="s">
        <v>12827</v>
      </c>
      <c r="F621" s="7" t="s">
        <v>11535</v>
      </c>
    </row>
    <row r="622" ht="18" customHeight="1" spans="1:6">
      <c r="A622" s="13" t="s">
        <v>855</v>
      </c>
      <c r="B622" s="14" t="s">
        <v>1196</v>
      </c>
      <c r="C622" s="14" t="s">
        <v>12828</v>
      </c>
      <c r="D622" s="5">
        <v>1</v>
      </c>
      <c r="E622" s="14" t="s">
        <v>12829</v>
      </c>
      <c r="F622" s="7" t="s">
        <v>11535</v>
      </c>
    </row>
    <row r="623" ht="18" customHeight="1" spans="1:6">
      <c r="A623" s="13" t="s">
        <v>855</v>
      </c>
      <c r="B623" s="14" t="s">
        <v>1201</v>
      </c>
      <c r="C623" s="14" t="s">
        <v>975</v>
      </c>
      <c r="D623" s="5">
        <v>1</v>
      </c>
      <c r="E623" s="14" t="s">
        <v>12830</v>
      </c>
      <c r="F623" s="7" t="s">
        <v>11535</v>
      </c>
    </row>
    <row r="624" ht="18" customHeight="1" spans="1:6">
      <c r="A624" s="13" t="s">
        <v>855</v>
      </c>
      <c r="B624" s="14" t="s">
        <v>1224</v>
      </c>
      <c r="C624" s="14" t="s">
        <v>12831</v>
      </c>
      <c r="D624" s="5">
        <v>1</v>
      </c>
      <c r="E624" s="14" t="s">
        <v>12832</v>
      </c>
      <c r="F624" s="7" t="s">
        <v>11535</v>
      </c>
    </row>
    <row r="625" ht="18" customHeight="1" spans="1:6">
      <c r="A625" s="13" t="s">
        <v>855</v>
      </c>
      <c r="B625" s="14" t="s">
        <v>1163</v>
      </c>
      <c r="C625" s="14" t="s">
        <v>12833</v>
      </c>
      <c r="D625" s="5">
        <v>1</v>
      </c>
      <c r="E625" s="14" t="s">
        <v>12834</v>
      </c>
      <c r="F625" s="7" t="s">
        <v>11535</v>
      </c>
    </row>
    <row r="626" ht="18" customHeight="1" spans="1:6">
      <c r="A626" s="13" t="s">
        <v>855</v>
      </c>
      <c r="B626" s="14" t="s">
        <v>1196</v>
      </c>
      <c r="C626" s="14" t="s">
        <v>12835</v>
      </c>
      <c r="D626" s="5">
        <v>1</v>
      </c>
      <c r="E626" s="14" t="s">
        <v>12836</v>
      </c>
      <c r="F626" s="7" t="s">
        <v>11535</v>
      </c>
    </row>
    <row r="627" ht="18" customHeight="1" spans="1:6">
      <c r="A627" s="13" t="s">
        <v>855</v>
      </c>
      <c r="B627" s="14" t="s">
        <v>1177</v>
      </c>
      <c r="C627" s="14" t="s">
        <v>12837</v>
      </c>
      <c r="D627" s="5">
        <v>1</v>
      </c>
      <c r="E627" s="14" t="s">
        <v>12838</v>
      </c>
      <c r="F627" s="7" t="s">
        <v>11535</v>
      </c>
    </row>
    <row r="628" ht="18" customHeight="1" spans="1:6">
      <c r="A628" s="13" t="s">
        <v>855</v>
      </c>
      <c r="B628" s="14" t="s">
        <v>1196</v>
      </c>
      <c r="C628" s="14" t="s">
        <v>12839</v>
      </c>
      <c r="D628" s="5">
        <v>5</v>
      </c>
      <c r="E628" s="14" t="s">
        <v>12840</v>
      </c>
      <c r="F628" s="7" t="s">
        <v>11535</v>
      </c>
    </row>
    <row r="629" ht="18" customHeight="1" spans="1:6">
      <c r="A629" s="13" t="s">
        <v>855</v>
      </c>
      <c r="B629" s="14" t="s">
        <v>1166</v>
      </c>
      <c r="C629" s="14" t="s">
        <v>12841</v>
      </c>
      <c r="D629" s="5">
        <v>2</v>
      </c>
      <c r="E629" s="14" t="s">
        <v>12842</v>
      </c>
      <c r="F629" s="7" t="s">
        <v>11535</v>
      </c>
    </row>
    <row r="630" ht="18" customHeight="1" spans="1:6">
      <c r="A630" s="13" t="s">
        <v>855</v>
      </c>
      <c r="B630" s="14" t="s">
        <v>1196</v>
      </c>
      <c r="C630" s="14" t="s">
        <v>12843</v>
      </c>
      <c r="D630" s="5">
        <v>1</v>
      </c>
      <c r="E630" s="14" t="s">
        <v>12844</v>
      </c>
      <c r="F630" s="7" t="s">
        <v>11535</v>
      </c>
    </row>
    <row r="631" ht="18" customHeight="1" spans="1:6">
      <c r="A631" s="13" t="s">
        <v>855</v>
      </c>
      <c r="B631" s="14" t="s">
        <v>1201</v>
      </c>
      <c r="C631" s="14" t="s">
        <v>12845</v>
      </c>
      <c r="D631" s="5">
        <v>1</v>
      </c>
      <c r="E631" s="14" t="s">
        <v>12846</v>
      </c>
      <c r="F631" s="7" t="s">
        <v>11535</v>
      </c>
    </row>
    <row r="632" ht="18" customHeight="1" spans="1:6">
      <c r="A632" s="13" t="s">
        <v>855</v>
      </c>
      <c r="B632" s="14" t="s">
        <v>1177</v>
      </c>
      <c r="C632" s="14" t="s">
        <v>12847</v>
      </c>
      <c r="D632" s="5">
        <v>1</v>
      </c>
      <c r="E632" s="14" t="s">
        <v>12848</v>
      </c>
      <c r="F632" s="7" t="s">
        <v>11535</v>
      </c>
    </row>
    <row r="633" ht="18" customHeight="1" spans="1:6">
      <c r="A633" s="13" t="s">
        <v>855</v>
      </c>
      <c r="B633" s="14" t="s">
        <v>1166</v>
      </c>
      <c r="C633" s="14" t="s">
        <v>12849</v>
      </c>
      <c r="D633" s="5">
        <v>2</v>
      </c>
      <c r="E633" s="14" t="s">
        <v>12850</v>
      </c>
      <c r="F633" s="7" t="s">
        <v>11535</v>
      </c>
    </row>
    <row r="634" ht="18" customHeight="1" spans="1:6">
      <c r="A634" s="13" t="s">
        <v>855</v>
      </c>
      <c r="B634" s="14" t="s">
        <v>1251</v>
      </c>
      <c r="C634" s="14" t="s">
        <v>12851</v>
      </c>
      <c r="D634" s="5">
        <v>2</v>
      </c>
      <c r="E634" s="14" t="s">
        <v>12852</v>
      </c>
      <c r="F634" s="7" t="s">
        <v>11535</v>
      </c>
    </row>
    <row r="635" ht="18" customHeight="1" spans="1:6">
      <c r="A635" s="13" t="s">
        <v>855</v>
      </c>
      <c r="B635" s="14" t="s">
        <v>1177</v>
      </c>
      <c r="C635" s="14" t="s">
        <v>12853</v>
      </c>
      <c r="D635" s="5">
        <v>1</v>
      </c>
      <c r="E635" s="14" t="s">
        <v>12854</v>
      </c>
      <c r="F635" s="7" t="s">
        <v>11535</v>
      </c>
    </row>
    <row r="636" ht="18" customHeight="1" spans="1:6">
      <c r="A636" s="13" t="s">
        <v>855</v>
      </c>
      <c r="B636" s="13" t="s">
        <v>1251</v>
      </c>
      <c r="C636" s="13" t="s">
        <v>8549</v>
      </c>
      <c r="D636" s="13">
        <v>2</v>
      </c>
      <c r="E636" s="8" t="s">
        <v>12855</v>
      </c>
      <c r="F636" s="7" t="s">
        <v>11535</v>
      </c>
    </row>
    <row r="637" ht="18" customHeight="1" spans="1:6">
      <c r="A637" s="13" t="s">
        <v>855</v>
      </c>
      <c r="B637" s="14" t="s">
        <v>1163</v>
      </c>
      <c r="C637" s="13" t="s">
        <v>12856</v>
      </c>
      <c r="D637" s="13">
        <v>4</v>
      </c>
      <c r="E637" s="8" t="s">
        <v>12857</v>
      </c>
      <c r="F637" s="7" t="s">
        <v>11535</v>
      </c>
    </row>
    <row r="638" ht="18" customHeight="1" spans="1:6">
      <c r="A638" s="13" t="s">
        <v>855</v>
      </c>
      <c r="B638" s="14" t="s">
        <v>1163</v>
      </c>
      <c r="C638" s="13" t="s">
        <v>12858</v>
      </c>
      <c r="D638" s="13">
        <v>6</v>
      </c>
      <c r="E638" s="8" t="s">
        <v>12859</v>
      </c>
      <c r="F638" s="7" t="s">
        <v>11535</v>
      </c>
    </row>
    <row r="639" ht="18" customHeight="1" spans="1:6">
      <c r="A639" s="13" t="s">
        <v>855</v>
      </c>
      <c r="B639" s="14" t="s">
        <v>1163</v>
      </c>
      <c r="C639" s="13" t="s">
        <v>12860</v>
      </c>
      <c r="D639" s="13">
        <v>5</v>
      </c>
      <c r="E639" s="8" t="s">
        <v>12861</v>
      </c>
      <c r="F639" s="7" t="s">
        <v>11535</v>
      </c>
    </row>
    <row r="640" ht="18" customHeight="1" spans="1:6">
      <c r="A640" s="13" t="s">
        <v>855</v>
      </c>
      <c r="B640" s="14" t="s">
        <v>1163</v>
      </c>
      <c r="C640" s="13" t="s">
        <v>12862</v>
      </c>
      <c r="D640" s="13">
        <v>2</v>
      </c>
      <c r="E640" s="8" t="s">
        <v>12863</v>
      </c>
      <c r="F640" s="7" t="s">
        <v>11535</v>
      </c>
    </row>
    <row r="641" ht="18" customHeight="1" spans="1:6">
      <c r="A641" s="13" t="s">
        <v>1256</v>
      </c>
      <c r="B641" s="13"/>
      <c r="C641" s="13">
        <v>430</v>
      </c>
      <c r="D641" s="13">
        <f>SUM(D211:D640)</f>
        <v>1358</v>
      </c>
      <c r="E641" s="13"/>
      <c r="F641" s="5"/>
    </row>
    <row r="642" ht="18" customHeight="1" spans="1:6">
      <c r="A642" s="13" t="s">
        <v>1257</v>
      </c>
      <c r="B642" s="32" t="s">
        <v>1791</v>
      </c>
      <c r="C642" s="32" t="s">
        <v>12864</v>
      </c>
      <c r="D642" s="32">
        <v>5</v>
      </c>
      <c r="E642" s="33" t="str">
        <f>LEFT("422626195803041914",19)</f>
        <v>422626195803041914</v>
      </c>
      <c r="F642" s="7" t="s">
        <v>11535</v>
      </c>
    </row>
    <row r="643" ht="18" customHeight="1" spans="1:6">
      <c r="A643" s="13" t="s">
        <v>1257</v>
      </c>
      <c r="B643" s="32" t="s">
        <v>1791</v>
      </c>
      <c r="C643" s="32" t="s">
        <v>12865</v>
      </c>
      <c r="D643" s="32">
        <v>4</v>
      </c>
      <c r="E643" s="33" t="str">
        <f>LEFT("422626195802281916",19)</f>
        <v>422626195802281916</v>
      </c>
      <c r="F643" s="7" t="s">
        <v>11535</v>
      </c>
    </row>
    <row r="644" ht="18" customHeight="1" spans="1:6">
      <c r="A644" s="13" t="s">
        <v>1257</v>
      </c>
      <c r="B644" s="32" t="s">
        <v>1791</v>
      </c>
      <c r="C644" s="32" t="s">
        <v>12866</v>
      </c>
      <c r="D644" s="32">
        <v>5</v>
      </c>
      <c r="E644" s="178" t="s">
        <v>12867</v>
      </c>
      <c r="F644" s="7" t="s">
        <v>11535</v>
      </c>
    </row>
    <row r="645" ht="18" customHeight="1" spans="1:6">
      <c r="A645" s="13" t="s">
        <v>1257</v>
      </c>
      <c r="B645" s="32" t="s">
        <v>1791</v>
      </c>
      <c r="C645" s="32" t="s">
        <v>12868</v>
      </c>
      <c r="D645" s="32">
        <v>3</v>
      </c>
      <c r="E645" s="34" t="s">
        <v>12869</v>
      </c>
      <c r="F645" s="7" t="s">
        <v>11535</v>
      </c>
    </row>
    <row r="646" ht="18" customHeight="1" spans="1:6">
      <c r="A646" s="13" t="s">
        <v>1257</v>
      </c>
      <c r="B646" s="32" t="s">
        <v>1791</v>
      </c>
      <c r="C646" s="32" t="s">
        <v>12870</v>
      </c>
      <c r="D646" s="32">
        <v>3</v>
      </c>
      <c r="E646" s="34" t="s">
        <v>12871</v>
      </c>
      <c r="F646" s="7" t="s">
        <v>11535</v>
      </c>
    </row>
    <row r="647" ht="18" customHeight="1" spans="1:6">
      <c r="A647" s="13" t="s">
        <v>1257</v>
      </c>
      <c r="B647" s="32" t="s">
        <v>1791</v>
      </c>
      <c r="C647" s="32" t="s">
        <v>12872</v>
      </c>
      <c r="D647" s="32">
        <v>6</v>
      </c>
      <c r="E647" s="34" t="s">
        <v>12873</v>
      </c>
      <c r="F647" s="7" t="s">
        <v>11535</v>
      </c>
    </row>
    <row r="648" ht="18" customHeight="1" spans="1:6">
      <c r="A648" s="13" t="s">
        <v>1257</v>
      </c>
      <c r="B648" s="32" t="s">
        <v>1791</v>
      </c>
      <c r="C648" s="32" t="s">
        <v>12874</v>
      </c>
      <c r="D648" s="32">
        <v>6</v>
      </c>
      <c r="E648" s="33" t="str">
        <f>LEFT("422626196110151912",19)</f>
        <v>422626196110151912</v>
      </c>
      <c r="F648" s="7" t="s">
        <v>11535</v>
      </c>
    </row>
    <row r="649" ht="18" customHeight="1" spans="1:6">
      <c r="A649" s="13" t="s">
        <v>1257</v>
      </c>
      <c r="B649" s="32" t="s">
        <v>1791</v>
      </c>
      <c r="C649" s="32" t="s">
        <v>12875</v>
      </c>
      <c r="D649" s="32">
        <v>3</v>
      </c>
      <c r="E649" s="34" t="s">
        <v>12876</v>
      </c>
      <c r="F649" s="7" t="s">
        <v>11535</v>
      </c>
    </row>
    <row r="650" ht="18" customHeight="1" spans="1:6">
      <c r="A650" s="13" t="s">
        <v>1257</v>
      </c>
      <c r="B650" s="32" t="s">
        <v>1791</v>
      </c>
      <c r="C650" s="13" t="s">
        <v>12877</v>
      </c>
      <c r="D650" s="13">
        <v>5</v>
      </c>
      <c r="E650" s="14" t="s">
        <v>12878</v>
      </c>
      <c r="F650" s="7" t="s">
        <v>11535</v>
      </c>
    </row>
    <row r="651" ht="18" customHeight="1" spans="1:6">
      <c r="A651" s="13" t="s">
        <v>1257</v>
      </c>
      <c r="B651" s="15" t="s">
        <v>12879</v>
      </c>
      <c r="C651" s="14" t="s">
        <v>1406</v>
      </c>
      <c r="D651" s="15">
        <v>4</v>
      </c>
      <c r="E651" s="14" t="s">
        <v>12880</v>
      </c>
      <c r="F651" s="7" t="s">
        <v>11535</v>
      </c>
    </row>
    <row r="652" ht="18" customHeight="1" spans="1:6">
      <c r="A652" s="13" t="s">
        <v>1257</v>
      </c>
      <c r="B652" s="15" t="s">
        <v>12881</v>
      </c>
      <c r="C652" s="14" t="s">
        <v>12882</v>
      </c>
      <c r="D652" s="15">
        <v>4</v>
      </c>
      <c r="E652" s="14" t="s">
        <v>12883</v>
      </c>
      <c r="F652" s="7" t="s">
        <v>11535</v>
      </c>
    </row>
    <row r="653" ht="18" customHeight="1" spans="1:6">
      <c r="A653" s="13" t="s">
        <v>1257</v>
      </c>
      <c r="B653" s="15" t="s">
        <v>12881</v>
      </c>
      <c r="C653" s="14" t="s">
        <v>12884</v>
      </c>
      <c r="D653" s="15">
        <v>2</v>
      </c>
      <c r="E653" s="14" t="s">
        <v>12885</v>
      </c>
      <c r="F653" s="7" t="s">
        <v>11535</v>
      </c>
    </row>
    <row r="654" ht="18" customHeight="1" spans="1:6">
      <c r="A654" s="13" t="s">
        <v>1257</v>
      </c>
      <c r="B654" s="15" t="s">
        <v>12879</v>
      </c>
      <c r="C654" s="14" t="s">
        <v>12886</v>
      </c>
      <c r="D654" s="15">
        <v>3</v>
      </c>
      <c r="E654" s="14" t="s">
        <v>12887</v>
      </c>
      <c r="F654" s="7" t="s">
        <v>11535</v>
      </c>
    </row>
    <row r="655" ht="18" customHeight="1" spans="1:6">
      <c r="A655" s="13" t="s">
        <v>1257</v>
      </c>
      <c r="B655" s="15" t="s">
        <v>12888</v>
      </c>
      <c r="C655" s="14" t="s">
        <v>12889</v>
      </c>
      <c r="D655" s="15">
        <v>2</v>
      </c>
      <c r="E655" s="14" t="s">
        <v>12890</v>
      </c>
      <c r="F655" s="7" t="s">
        <v>11535</v>
      </c>
    </row>
    <row r="656" ht="18" customHeight="1" spans="1:6">
      <c r="A656" s="13" t="s">
        <v>1257</v>
      </c>
      <c r="B656" s="15" t="s">
        <v>12891</v>
      </c>
      <c r="C656" s="15" t="s">
        <v>12892</v>
      </c>
      <c r="D656" s="15">
        <v>2</v>
      </c>
      <c r="E656" s="15" t="s">
        <v>12893</v>
      </c>
      <c r="F656" s="7" t="s">
        <v>11535</v>
      </c>
    </row>
    <row r="657" ht="18" customHeight="1" spans="1:6">
      <c r="A657" s="13" t="s">
        <v>1257</v>
      </c>
      <c r="B657" s="15" t="s">
        <v>12894</v>
      </c>
      <c r="C657" s="15" t="s">
        <v>12895</v>
      </c>
      <c r="D657" s="15">
        <v>4</v>
      </c>
      <c r="E657" s="15" t="s">
        <v>12896</v>
      </c>
      <c r="F657" s="7" t="s">
        <v>11535</v>
      </c>
    </row>
    <row r="658" ht="18" customHeight="1" spans="1:6">
      <c r="A658" s="13" t="s">
        <v>1257</v>
      </c>
      <c r="B658" s="15" t="s">
        <v>12894</v>
      </c>
      <c r="C658" s="15" t="s">
        <v>1959</v>
      </c>
      <c r="D658" s="15">
        <v>4</v>
      </c>
      <c r="E658" s="15" t="s">
        <v>12897</v>
      </c>
      <c r="F658" s="7" t="s">
        <v>11535</v>
      </c>
    </row>
    <row r="659" ht="18" customHeight="1" spans="1:6">
      <c r="A659" s="13" t="s">
        <v>1257</v>
      </c>
      <c r="B659" s="15" t="s">
        <v>12898</v>
      </c>
      <c r="C659" s="15" t="s">
        <v>12899</v>
      </c>
      <c r="D659" s="15">
        <v>3</v>
      </c>
      <c r="E659" s="15" t="s">
        <v>12900</v>
      </c>
      <c r="F659" s="7" t="s">
        <v>11535</v>
      </c>
    </row>
    <row r="660" ht="18" customHeight="1" spans="1:6">
      <c r="A660" s="13" t="s">
        <v>1257</v>
      </c>
      <c r="B660" s="15" t="s">
        <v>12891</v>
      </c>
      <c r="C660" s="15" t="s">
        <v>12901</v>
      </c>
      <c r="D660" s="15">
        <v>4</v>
      </c>
      <c r="E660" s="15" t="s">
        <v>12902</v>
      </c>
      <c r="F660" s="7" t="s">
        <v>11535</v>
      </c>
    </row>
    <row r="661" ht="18" customHeight="1" spans="1:6">
      <c r="A661" s="13" t="s">
        <v>1257</v>
      </c>
      <c r="B661" s="13" t="s">
        <v>1277</v>
      </c>
      <c r="C661" s="8" t="s">
        <v>12903</v>
      </c>
      <c r="D661" s="9">
        <v>3</v>
      </c>
      <c r="E661" s="194" t="s">
        <v>12904</v>
      </c>
      <c r="F661" s="7" t="s">
        <v>11535</v>
      </c>
    </row>
    <row r="662" ht="18" customHeight="1" spans="1:6">
      <c r="A662" s="13" t="s">
        <v>1257</v>
      </c>
      <c r="B662" s="13" t="s">
        <v>12905</v>
      </c>
      <c r="C662" s="8" t="s">
        <v>12906</v>
      </c>
      <c r="D662" s="9">
        <v>4</v>
      </c>
      <c r="E662" s="8" t="s">
        <v>12907</v>
      </c>
      <c r="F662" s="7" t="s">
        <v>11535</v>
      </c>
    </row>
    <row r="663" ht="18" customHeight="1" spans="1:6">
      <c r="A663" s="13" t="s">
        <v>1257</v>
      </c>
      <c r="B663" s="13" t="s">
        <v>1277</v>
      </c>
      <c r="C663" s="8" t="s">
        <v>12908</v>
      </c>
      <c r="D663" s="9">
        <v>2</v>
      </c>
      <c r="E663" s="8" t="s">
        <v>12909</v>
      </c>
      <c r="F663" s="7" t="s">
        <v>11535</v>
      </c>
    </row>
    <row r="664" ht="18" customHeight="1" spans="1:6">
      <c r="A664" s="13" t="s">
        <v>1257</v>
      </c>
      <c r="B664" s="13" t="s">
        <v>1277</v>
      </c>
      <c r="C664" s="8" t="s">
        <v>12910</v>
      </c>
      <c r="D664" s="9">
        <v>6</v>
      </c>
      <c r="E664" s="8" t="s">
        <v>12911</v>
      </c>
      <c r="F664" s="7" t="s">
        <v>11535</v>
      </c>
    </row>
    <row r="665" ht="18" customHeight="1" spans="1:6">
      <c r="A665" s="13" t="s">
        <v>1257</v>
      </c>
      <c r="B665" s="13" t="s">
        <v>12905</v>
      </c>
      <c r="C665" s="8" t="s">
        <v>12912</v>
      </c>
      <c r="D665" s="9">
        <v>4</v>
      </c>
      <c r="E665" s="8" t="s">
        <v>12913</v>
      </c>
      <c r="F665" s="7" t="s">
        <v>11535</v>
      </c>
    </row>
    <row r="666" ht="18" customHeight="1" spans="1:6">
      <c r="A666" s="13" t="s">
        <v>1257</v>
      </c>
      <c r="B666" s="13" t="s">
        <v>1284</v>
      </c>
      <c r="C666" s="8" t="s">
        <v>12914</v>
      </c>
      <c r="D666" s="9">
        <v>3</v>
      </c>
      <c r="E666" s="194" t="s">
        <v>12915</v>
      </c>
      <c r="F666" s="7" t="s">
        <v>11535</v>
      </c>
    </row>
    <row r="667" ht="18" customHeight="1" spans="1:6">
      <c r="A667" s="13" t="s">
        <v>1257</v>
      </c>
      <c r="B667" s="13" t="s">
        <v>1309</v>
      </c>
      <c r="C667" s="19" t="s">
        <v>12916</v>
      </c>
      <c r="D667" s="19">
        <v>5</v>
      </c>
      <c r="E667" s="185" t="s">
        <v>12917</v>
      </c>
      <c r="F667" s="7" t="s">
        <v>11535</v>
      </c>
    </row>
    <row r="668" ht="18" customHeight="1" spans="1:6">
      <c r="A668" s="13" t="s">
        <v>1257</v>
      </c>
      <c r="B668" s="13" t="s">
        <v>1309</v>
      </c>
      <c r="C668" s="19" t="s">
        <v>12918</v>
      </c>
      <c r="D668" s="19">
        <v>5</v>
      </c>
      <c r="E668" s="185" t="s">
        <v>12919</v>
      </c>
      <c r="F668" s="7" t="s">
        <v>11535</v>
      </c>
    </row>
    <row r="669" ht="18" customHeight="1" spans="1:6">
      <c r="A669" s="13" t="s">
        <v>1257</v>
      </c>
      <c r="B669" s="13" t="s">
        <v>1309</v>
      </c>
      <c r="C669" s="19" t="s">
        <v>12920</v>
      </c>
      <c r="D669" s="19">
        <v>4</v>
      </c>
      <c r="E669" s="185" t="s">
        <v>12921</v>
      </c>
      <c r="F669" s="7" t="s">
        <v>11535</v>
      </c>
    </row>
    <row r="670" ht="18" customHeight="1" spans="1:6">
      <c r="A670" s="13" t="s">
        <v>1257</v>
      </c>
      <c r="B670" s="13" t="s">
        <v>1309</v>
      </c>
      <c r="C670" s="13" t="s">
        <v>12922</v>
      </c>
      <c r="D670" s="13">
        <v>4</v>
      </c>
      <c r="E670" s="179" t="s">
        <v>12923</v>
      </c>
      <c r="F670" s="7" t="s">
        <v>11535</v>
      </c>
    </row>
    <row r="671" ht="18" customHeight="1" spans="1:6">
      <c r="A671" s="13" t="s">
        <v>1257</v>
      </c>
      <c r="B671" s="13" t="s">
        <v>1309</v>
      </c>
      <c r="C671" s="8" t="s">
        <v>12924</v>
      </c>
      <c r="D671" s="11">
        <v>3</v>
      </c>
      <c r="E671" s="10" t="s">
        <v>12925</v>
      </c>
      <c r="F671" s="7" t="s">
        <v>11535</v>
      </c>
    </row>
    <row r="672" ht="18" customHeight="1" spans="1:6">
      <c r="A672" s="13" t="s">
        <v>1257</v>
      </c>
      <c r="B672" s="13" t="s">
        <v>1309</v>
      </c>
      <c r="C672" s="8" t="s">
        <v>12926</v>
      </c>
      <c r="D672" s="11">
        <v>3</v>
      </c>
      <c r="E672" s="10" t="s">
        <v>12927</v>
      </c>
      <c r="F672" s="7" t="s">
        <v>11535</v>
      </c>
    </row>
    <row r="673" ht="18" customHeight="1" spans="1:6">
      <c r="A673" s="13" t="s">
        <v>1257</v>
      </c>
      <c r="B673" s="13" t="s">
        <v>1309</v>
      </c>
      <c r="C673" s="8" t="s">
        <v>12928</v>
      </c>
      <c r="D673" s="11">
        <v>4</v>
      </c>
      <c r="E673" s="10" t="s">
        <v>12929</v>
      </c>
      <c r="F673" s="7" t="s">
        <v>11535</v>
      </c>
    </row>
    <row r="674" ht="18" customHeight="1" spans="1:6">
      <c r="A674" s="13" t="s">
        <v>1257</v>
      </c>
      <c r="B674" s="13" t="s">
        <v>1309</v>
      </c>
      <c r="C674" s="8" t="s">
        <v>12930</v>
      </c>
      <c r="D674" s="11">
        <v>3</v>
      </c>
      <c r="E674" s="10" t="s">
        <v>12931</v>
      </c>
      <c r="F674" s="7" t="s">
        <v>11535</v>
      </c>
    </row>
    <row r="675" ht="18" customHeight="1" spans="1:6">
      <c r="A675" s="13" t="s">
        <v>1257</v>
      </c>
      <c r="B675" s="13" t="s">
        <v>12932</v>
      </c>
      <c r="C675" s="13" t="s">
        <v>12933</v>
      </c>
      <c r="D675" s="13">
        <v>4</v>
      </c>
      <c r="E675" s="179" t="s">
        <v>12934</v>
      </c>
      <c r="F675" s="7" t="s">
        <v>11535</v>
      </c>
    </row>
    <row r="676" ht="18" customHeight="1" spans="1:6">
      <c r="A676" s="13" t="s">
        <v>1257</v>
      </c>
      <c r="B676" s="13" t="s">
        <v>12935</v>
      </c>
      <c r="C676" s="13" t="s">
        <v>12936</v>
      </c>
      <c r="D676" s="13">
        <v>2</v>
      </c>
      <c r="E676" s="179" t="s">
        <v>12937</v>
      </c>
      <c r="F676" s="7" t="s">
        <v>11535</v>
      </c>
    </row>
    <row r="677" ht="18" customHeight="1" spans="1:6">
      <c r="A677" s="13" t="s">
        <v>1257</v>
      </c>
      <c r="B677" s="13" t="s">
        <v>12938</v>
      </c>
      <c r="C677" s="32" t="s">
        <v>12939</v>
      </c>
      <c r="D677" s="32">
        <v>2</v>
      </c>
      <c r="E677" s="212" t="s">
        <v>12940</v>
      </c>
      <c r="F677" s="7" t="s">
        <v>11535</v>
      </c>
    </row>
    <row r="678" ht="18" customHeight="1" spans="1:6">
      <c r="A678" s="13" t="s">
        <v>1257</v>
      </c>
      <c r="B678" s="13" t="s">
        <v>12938</v>
      </c>
      <c r="C678" s="32" t="s">
        <v>12941</v>
      </c>
      <c r="D678" s="32">
        <v>3</v>
      </c>
      <c r="E678" s="212" t="s">
        <v>12942</v>
      </c>
      <c r="F678" s="7" t="s">
        <v>11535</v>
      </c>
    </row>
    <row r="679" ht="18" customHeight="1" spans="1:6">
      <c r="A679" s="13" t="s">
        <v>1257</v>
      </c>
      <c r="B679" s="13" t="s">
        <v>12938</v>
      </c>
      <c r="C679" s="32" t="s">
        <v>12943</v>
      </c>
      <c r="D679" s="32">
        <v>3</v>
      </c>
      <c r="E679" s="212" t="s">
        <v>12944</v>
      </c>
      <c r="F679" s="7" t="s">
        <v>11535</v>
      </c>
    </row>
    <row r="680" ht="18" customHeight="1" spans="1:6">
      <c r="A680" s="13" t="s">
        <v>1257</v>
      </c>
      <c r="B680" s="13" t="s">
        <v>12938</v>
      </c>
      <c r="C680" s="32" t="s">
        <v>12945</v>
      </c>
      <c r="D680" s="32">
        <v>3</v>
      </c>
      <c r="E680" s="212" t="s">
        <v>12946</v>
      </c>
      <c r="F680" s="7" t="s">
        <v>11535</v>
      </c>
    </row>
    <row r="681" ht="18" customHeight="1" spans="1:6">
      <c r="A681" s="13" t="s">
        <v>1257</v>
      </c>
      <c r="B681" s="13" t="s">
        <v>12938</v>
      </c>
      <c r="C681" s="32" t="s">
        <v>12947</v>
      </c>
      <c r="D681" s="32">
        <v>4</v>
      </c>
      <c r="E681" s="212" t="s">
        <v>12948</v>
      </c>
      <c r="F681" s="7" t="s">
        <v>11535</v>
      </c>
    </row>
    <row r="682" ht="18" customHeight="1" spans="1:6">
      <c r="A682" s="13" t="s">
        <v>1257</v>
      </c>
      <c r="B682" s="13" t="s">
        <v>12938</v>
      </c>
      <c r="C682" s="32" t="s">
        <v>12949</v>
      </c>
      <c r="D682" s="32">
        <v>4</v>
      </c>
      <c r="E682" s="212" t="s">
        <v>12950</v>
      </c>
      <c r="F682" s="7" t="s">
        <v>11535</v>
      </c>
    </row>
    <row r="683" ht="18" customHeight="1" spans="1:6">
      <c r="A683" s="13" t="s">
        <v>1257</v>
      </c>
      <c r="B683" s="13" t="s">
        <v>12938</v>
      </c>
      <c r="C683" s="32" t="s">
        <v>12951</v>
      </c>
      <c r="D683" s="32">
        <v>1</v>
      </c>
      <c r="E683" s="212" t="s">
        <v>12952</v>
      </c>
      <c r="F683" s="7" t="s">
        <v>11535</v>
      </c>
    </row>
    <row r="684" ht="18" customHeight="1" spans="1:6">
      <c r="A684" s="13" t="s">
        <v>1257</v>
      </c>
      <c r="B684" s="13" t="s">
        <v>12953</v>
      </c>
      <c r="C684" s="13" t="s">
        <v>12954</v>
      </c>
      <c r="D684" s="13">
        <v>2</v>
      </c>
      <c r="E684" s="10" t="s">
        <v>12955</v>
      </c>
      <c r="F684" s="7" t="s">
        <v>11535</v>
      </c>
    </row>
    <row r="685" ht="18" customHeight="1" spans="1:6">
      <c r="A685" s="13" t="s">
        <v>1257</v>
      </c>
      <c r="B685" s="13" t="s">
        <v>12956</v>
      </c>
      <c r="C685" s="13" t="s">
        <v>12957</v>
      </c>
      <c r="D685" s="13">
        <v>3</v>
      </c>
      <c r="E685" s="10" t="s">
        <v>12958</v>
      </c>
      <c r="F685" s="7" t="s">
        <v>11535</v>
      </c>
    </row>
    <row r="686" ht="18" customHeight="1" spans="1:6">
      <c r="A686" s="13" t="s">
        <v>1257</v>
      </c>
      <c r="B686" s="13" t="s">
        <v>12959</v>
      </c>
      <c r="C686" s="13" t="s">
        <v>12960</v>
      </c>
      <c r="D686" s="13">
        <v>3</v>
      </c>
      <c r="E686" s="10" t="s">
        <v>12961</v>
      </c>
      <c r="F686" s="7" t="s">
        <v>11535</v>
      </c>
    </row>
    <row r="687" ht="18" customHeight="1" spans="1:6">
      <c r="A687" s="13" t="s">
        <v>1257</v>
      </c>
      <c r="B687" s="13" t="s">
        <v>12959</v>
      </c>
      <c r="C687" s="13" t="s">
        <v>8815</v>
      </c>
      <c r="D687" s="13">
        <v>3</v>
      </c>
      <c r="E687" s="10" t="s">
        <v>12962</v>
      </c>
      <c r="F687" s="7" t="s">
        <v>11535</v>
      </c>
    </row>
    <row r="688" ht="18" customHeight="1" spans="1:6">
      <c r="A688" s="13" t="s">
        <v>1257</v>
      </c>
      <c r="B688" s="13" t="s">
        <v>12963</v>
      </c>
      <c r="C688" s="13" t="s">
        <v>12964</v>
      </c>
      <c r="D688" s="13">
        <v>3</v>
      </c>
      <c r="E688" s="10" t="s">
        <v>12965</v>
      </c>
      <c r="F688" s="7" t="s">
        <v>11535</v>
      </c>
    </row>
    <row r="689" ht="18" customHeight="1" spans="1:6">
      <c r="A689" s="13" t="s">
        <v>1257</v>
      </c>
      <c r="B689" s="13" t="s">
        <v>12963</v>
      </c>
      <c r="C689" s="13" t="s">
        <v>12966</v>
      </c>
      <c r="D689" s="13">
        <v>3</v>
      </c>
      <c r="E689" s="10" t="s">
        <v>12967</v>
      </c>
      <c r="F689" s="7" t="s">
        <v>11535</v>
      </c>
    </row>
    <row r="690" ht="18" customHeight="1" spans="1:6">
      <c r="A690" s="13" t="s">
        <v>1257</v>
      </c>
      <c r="B690" s="13" t="s">
        <v>12963</v>
      </c>
      <c r="C690" s="13" t="s">
        <v>12968</v>
      </c>
      <c r="D690" s="13">
        <v>5</v>
      </c>
      <c r="E690" s="10" t="s">
        <v>12969</v>
      </c>
      <c r="F690" s="7" t="s">
        <v>11535</v>
      </c>
    </row>
    <row r="691" ht="18" customHeight="1" spans="1:6">
      <c r="A691" s="13" t="s">
        <v>1257</v>
      </c>
      <c r="B691" s="13" t="s">
        <v>12959</v>
      </c>
      <c r="C691" s="13" t="s">
        <v>12970</v>
      </c>
      <c r="D691" s="13">
        <v>3</v>
      </c>
      <c r="E691" s="10" t="s">
        <v>12969</v>
      </c>
      <c r="F691" s="7" t="s">
        <v>11535</v>
      </c>
    </row>
    <row r="692" ht="18" customHeight="1" spans="1:6">
      <c r="A692" s="13" t="s">
        <v>1257</v>
      </c>
      <c r="B692" s="13" t="s">
        <v>12971</v>
      </c>
      <c r="C692" s="13" t="s">
        <v>12972</v>
      </c>
      <c r="D692" s="13">
        <v>2</v>
      </c>
      <c r="E692" s="179" t="s">
        <v>12973</v>
      </c>
      <c r="F692" s="7" t="s">
        <v>11535</v>
      </c>
    </row>
    <row r="693" ht="18" customHeight="1" spans="1:6">
      <c r="A693" s="13" t="s">
        <v>1257</v>
      </c>
      <c r="B693" s="13" t="s">
        <v>12974</v>
      </c>
      <c r="C693" s="8" t="s">
        <v>12975</v>
      </c>
      <c r="D693" s="9">
        <v>4</v>
      </c>
      <c r="E693" s="8" t="s">
        <v>12976</v>
      </c>
      <c r="F693" s="7" t="s">
        <v>11535</v>
      </c>
    </row>
    <row r="694" ht="18" customHeight="1" spans="1:6">
      <c r="A694" s="13" t="s">
        <v>1257</v>
      </c>
      <c r="B694" s="13" t="s">
        <v>12977</v>
      </c>
      <c r="C694" s="8" t="s">
        <v>12978</v>
      </c>
      <c r="D694" s="9">
        <v>3</v>
      </c>
      <c r="E694" s="8" t="s">
        <v>12979</v>
      </c>
      <c r="F694" s="7" t="s">
        <v>11535</v>
      </c>
    </row>
    <row r="695" ht="18" customHeight="1" spans="1:6">
      <c r="A695" s="13" t="s">
        <v>1257</v>
      </c>
      <c r="B695" s="13" t="s">
        <v>12974</v>
      </c>
      <c r="C695" s="8" t="s">
        <v>12980</v>
      </c>
      <c r="D695" s="15">
        <v>5</v>
      </c>
      <c r="E695" s="8" t="s">
        <v>12981</v>
      </c>
      <c r="F695" s="7" t="s">
        <v>11535</v>
      </c>
    </row>
    <row r="696" ht="18" customHeight="1" spans="1:6">
      <c r="A696" s="13" t="s">
        <v>1257</v>
      </c>
      <c r="B696" s="13" t="s">
        <v>12982</v>
      </c>
      <c r="C696" s="8" t="s">
        <v>12983</v>
      </c>
      <c r="D696" s="9">
        <v>5</v>
      </c>
      <c r="E696" s="8" t="s">
        <v>12984</v>
      </c>
      <c r="F696" s="7" t="s">
        <v>11535</v>
      </c>
    </row>
    <row r="697" ht="18" customHeight="1" spans="1:6">
      <c r="A697" s="13" t="s">
        <v>1257</v>
      </c>
      <c r="B697" s="13" t="s">
        <v>12974</v>
      </c>
      <c r="C697" s="8" t="s">
        <v>12985</v>
      </c>
      <c r="D697" s="9">
        <v>4</v>
      </c>
      <c r="E697" s="8" t="s">
        <v>12986</v>
      </c>
      <c r="F697" s="7" t="s">
        <v>11535</v>
      </c>
    </row>
    <row r="698" ht="18" customHeight="1" spans="1:6">
      <c r="A698" s="13" t="s">
        <v>1257</v>
      </c>
      <c r="B698" s="13" t="s">
        <v>12974</v>
      </c>
      <c r="C698" s="8" t="s">
        <v>12987</v>
      </c>
      <c r="D698" s="9">
        <v>5</v>
      </c>
      <c r="E698" s="8" t="s">
        <v>12988</v>
      </c>
      <c r="F698" s="7" t="s">
        <v>11535</v>
      </c>
    </row>
    <row r="699" ht="18" customHeight="1" spans="1:6">
      <c r="A699" s="13" t="s">
        <v>1257</v>
      </c>
      <c r="B699" s="13" t="s">
        <v>12982</v>
      </c>
      <c r="C699" s="8" t="s">
        <v>12989</v>
      </c>
      <c r="D699" s="9">
        <v>8</v>
      </c>
      <c r="E699" s="8" t="s">
        <v>12990</v>
      </c>
      <c r="F699" s="7" t="s">
        <v>11535</v>
      </c>
    </row>
    <row r="700" ht="18" customHeight="1" spans="1:6">
      <c r="A700" s="13" t="s">
        <v>1257</v>
      </c>
      <c r="B700" s="13" t="s">
        <v>12982</v>
      </c>
      <c r="C700" s="8" t="s">
        <v>12991</v>
      </c>
      <c r="D700" s="9">
        <v>4</v>
      </c>
      <c r="E700" s="8" t="s">
        <v>12992</v>
      </c>
      <c r="F700" s="7" t="s">
        <v>11535</v>
      </c>
    </row>
    <row r="701" ht="18" customHeight="1" spans="1:6">
      <c r="A701" s="13" t="s">
        <v>1257</v>
      </c>
      <c r="B701" s="13" t="s">
        <v>12982</v>
      </c>
      <c r="C701" s="8" t="s">
        <v>12993</v>
      </c>
      <c r="D701" s="9">
        <v>4</v>
      </c>
      <c r="E701" s="8" t="s">
        <v>12994</v>
      </c>
      <c r="F701" s="7" t="s">
        <v>11535</v>
      </c>
    </row>
    <row r="702" ht="18" customHeight="1" spans="1:6">
      <c r="A702" s="13" t="s">
        <v>1257</v>
      </c>
      <c r="B702" s="13" t="s">
        <v>12982</v>
      </c>
      <c r="C702" s="8" t="s">
        <v>12995</v>
      </c>
      <c r="D702" s="9">
        <v>4</v>
      </c>
      <c r="E702" s="8" t="s">
        <v>12996</v>
      </c>
      <c r="F702" s="7" t="s">
        <v>11535</v>
      </c>
    </row>
    <row r="703" ht="18" customHeight="1" spans="1:6">
      <c r="A703" s="13" t="s">
        <v>1257</v>
      </c>
      <c r="B703" s="13" t="s">
        <v>12974</v>
      </c>
      <c r="C703" s="8" t="s">
        <v>12997</v>
      </c>
      <c r="D703" s="9">
        <v>4</v>
      </c>
      <c r="E703" s="8" t="s">
        <v>12998</v>
      </c>
      <c r="F703" s="7" t="s">
        <v>11535</v>
      </c>
    </row>
    <row r="704" ht="18" customHeight="1" spans="1:6">
      <c r="A704" s="13" t="s">
        <v>1257</v>
      </c>
      <c r="B704" s="13" t="s">
        <v>12974</v>
      </c>
      <c r="C704" s="8" t="s">
        <v>12999</v>
      </c>
      <c r="D704" s="15">
        <v>4</v>
      </c>
      <c r="E704" s="8" t="s">
        <v>13000</v>
      </c>
      <c r="F704" s="7" t="s">
        <v>11535</v>
      </c>
    </row>
    <row r="705" ht="18" customHeight="1" spans="1:6">
      <c r="A705" s="13" t="s">
        <v>1257</v>
      </c>
      <c r="B705" s="13" t="s">
        <v>12977</v>
      </c>
      <c r="C705" s="8" t="s">
        <v>13001</v>
      </c>
      <c r="D705" s="15">
        <v>2</v>
      </c>
      <c r="E705" s="8" t="s">
        <v>13002</v>
      </c>
      <c r="F705" s="7" t="s">
        <v>11535</v>
      </c>
    </row>
    <row r="706" ht="18" customHeight="1" spans="1:6">
      <c r="A706" s="13" t="s">
        <v>1257</v>
      </c>
      <c r="B706" s="13" t="s">
        <v>12977</v>
      </c>
      <c r="C706" s="8" t="s">
        <v>13003</v>
      </c>
      <c r="D706" s="15">
        <v>3</v>
      </c>
      <c r="E706" s="194" t="s">
        <v>13004</v>
      </c>
      <c r="F706" s="7" t="s">
        <v>11535</v>
      </c>
    </row>
    <row r="707" ht="18" customHeight="1" spans="1:6">
      <c r="A707" s="13" t="s">
        <v>1257</v>
      </c>
      <c r="B707" s="13" t="s">
        <v>12974</v>
      </c>
      <c r="C707" s="8" t="s">
        <v>13005</v>
      </c>
      <c r="D707" s="15">
        <v>6</v>
      </c>
      <c r="E707" s="194" t="s">
        <v>13006</v>
      </c>
      <c r="F707" s="7" t="s">
        <v>11535</v>
      </c>
    </row>
    <row r="708" ht="18" customHeight="1" spans="1:6">
      <c r="A708" s="13" t="s">
        <v>1257</v>
      </c>
      <c r="B708" s="13" t="s">
        <v>1331</v>
      </c>
      <c r="C708" s="13" t="s">
        <v>13007</v>
      </c>
      <c r="D708" s="13">
        <v>2</v>
      </c>
      <c r="E708" s="8" t="s">
        <v>13008</v>
      </c>
      <c r="F708" s="7" t="s">
        <v>11535</v>
      </c>
    </row>
    <row r="709" ht="18" customHeight="1" spans="1:6">
      <c r="A709" s="13" t="s">
        <v>1257</v>
      </c>
      <c r="B709" s="13" t="s">
        <v>13009</v>
      </c>
      <c r="C709" s="31" t="s">
        <v>13010</v>
      </c>
      <c r="D709" s="31">
        <v>3</v>
      </c>
      <c r="E709" s="31" t="s">
        <v>13011</v>
      </c>
      <c r="F709" s="7" t="s">
        <v>11535</v>
      </c>
    </row>
    <row r="710" ht="18" customHeight="1" spans="1:6">
      <c r="A710" s="13" t="s">
        <v>1257</v>
      </c>
      <c r="B710" s="13" t="s">
        <v>13009</v>
      </c>
      <c r="C710" s="31" t="s">
        <v>13012</v>
      </c>
      <c r="D710" s="35">
        <v>2</v>
      </c>
      <c r="E710" s="31" t="s">
        <v>13013</v>
      </c>
      <c r="F710" s="7" t="s">
        <v>11535</v>
      </c>
    </row>
    <row r="711" ht="18" customHeight="1" spans="1:6">
      <c r="A711" s="13" t="s">
        <v>1257</v>
      </c>
      <c r="B711" s="13" t="s">
        <v>13009</v>
      </c>
      <c r="C711" s="31" t="s">
        <v>13014</v>
      </c>
      <c r="D711" s="35">
        <v>2</v>
      </c>
      <c r="E711" s="31" t="s">
        <v>13015</v>
      </c>
      <c r="F711" s="7" t="s">
        <v>11535</v>
      </c>
    </row>
    <row r="712" ht="18" customHeight="1" spans="1:6">
      <c r="A712" s="13" t="s">
        <v>1257</v>
      </c>
      <c r="B712" s="13" t="s">
        <v>13009</v>
      </c>
      <c r="C712" s="31" t="s">
        <v>13016</v>
      </c>
      <c r="D712" s="35">
        <v>2</v>
      </c>
      <c r="E712" s="31" t="s">
        <v>13017</v>
      </c>
      <c r="F712" s="7" t="s">
        <v>11535</v>
      </c>
    </row>
    <row r="713" ht="18" customHeight="1" spans="1:6">
      <c r="A713" s="13" t="s">
        <v>1257</v>
      </c>
      <c r="B713" s="13" t="s">
        <v>13009</v>
      </c>
      <c r="C713" s="31" t="s">
        <v>13018</v>
      </c>
      <c r="D713" s="35">
        <v>3</v>
      </c>
      <c r="E713" s="31" t="s">
        <v>13019</v>
      </c>
      <c r="F713" s="7" t="s">
        <v>11535</v>
      </c>
    </row>
    <row r="714" ht="18" customHeight="1" spans="1:6">
      <c r="A714" s="13" t="s">
        <v>1257</v>
      </c>
      <c r="B714" s="13" t="s">
        <v>13009</v>
      </c>
      <c r="C714" s="36" t="s">
        <v>13020</v>
      </c>
      <c r="D714" s="36">
        <v>4</v>
      </c>
      <c r="E714" s="37" t="s">
        <v>13021</v>
      </c>
      <c r="F714" s="7" t="s">
        <v>11535</v>
      </c>
    </row>
    <row r="715" ht="18" customHeight="1" spans="1:6">
      <c r="A715" s="13" t="s">
        <v>1257</v>
      </c>
      <c r="B715" s="13" t="s">
        <v>13009</v>
      </c>
      <c r="C715" s="36" t="s">
        <v>13022</v>
      </c>
      <c r="D715" s="36">
        <v>1</v>
      </c>
      <c r="E715" s="37" t="s">
        <v>13023</v>
      </c>
      <c r="F715" s="7" t="s">
        <v>11535</v>
      </c>
    </row>
    <row r="716" ht="18" customHeight="1" spans="1:6">
      <c r="A716" s="13" t="s">
        <v>1257</v>
      </c>
      <c r="B716" s="13" t="s">
        <v>13009</v>
      </c>
      <c r="C716" s="36" t="s">
        <v>13024</v>
      </c>
      <c r="D716" s="36">
        <v>5</v>
      </c>
      <c r="E716" s="37" t="s">
        <v>13025</v>
      </c>
      <c r="F716" s="7" t="s">
        <v>11535</v>
      </c>
    </row>
    <row r="717" ht="18" customHeight="1" spans="1:6">
      <c r="A717" s="13" t="s">
        <v>1257</v>
      </c>
      <c r="B717" s="13" t="s">
        <v>13009</v>
      </c>
      <c r="C717" s="36" t="s">
        <v>13026</v>
      </c>
      <c r="D717" s="36">
        <v>4</v>
      </c>
      <c r="E717" s="37" t="s">
        <v>13027</v>
      </c>
      <c r="F717" s="7" t="s">
        <v>11535</v>
      </c>
    </row>
    <row r="718" ht="18" customHeight="1" spans="1:6">
      <c r="A718" s="13" t="s">
        <v>1257</v>
      </c>
      <c r="B718" s="13" t="s">
        <v>13028</v>
      </c>
      <c r="C718" s="10" t="s">
        <v>13029</v>
      </c>
      <c r="D718" s="13">
        <v>2</v>
      </c>
      <c r="E718" s="179" t="s">
        <v>13030</v>
      </c>
      <c r="F718" s="7" t="s">
        <v>11535</v>
      </c>
    </row>
    <row r="719" ht="18" customHeight="1" spans="1:6">
      <c r="A719" s="13" t="s">
        <v>1257</v>
      </c>
      <c r="B719" s="13" t="s">
        <v>13028</v>
      </c>
      <c r="C719" s="10" t="s">
        <v>13031</v>
      </c>
      <c r="D719" s="13">
        <v>3</v>
      </c>
      <c r="E719" s="179" t="s">
        <v>13032</v>
      </c>
      <c r="F719" s="7" t="s">
        <v>11535</v>
      </c>
    </row>
    <row r="720" ht="18" customHeight="1" spans="1:6">
      <c r="A720" s="13" t="s">
        <v>1257</v>
      </c>
      <c r="B720" s="13" t="s">
        <v>13028</v>
      </c>
      <c r="C720" s="19" t="s">
        <v>13033</v>
      </c>
      <c r="D720" s="19">
        <v>3</v>
      </c>
      <c r="E720" s="179" t="s">
        <v>13034</v>
      </c>
      <c r="F720" s="7" t="s">
        <v>11535</v>
      </c>
    </row>
    <row r="721" ht="18" customHeight="1" spans="1:6">
      <c r="A721" s="13" t="s">
        <v>1257</v>
      </c>
      <c r="B721" s="13" t="s">
        <v>13028</v>
      </c>
      <c r="C721" s="19" t="s">
        <v>13035</v>
      </c>
      <c r="D721" s="19">
        <v>4</v>
      </c>
      <c r="E721" s="13" t="s">
        <v>13036</v>
      </c>
      <c r="F721" s="7" t="s">
        <v>11535</v>
      </c>
    </row>
    <row r="722" ht="18" customHeight="1" spans="1:6">
      <c r="A722" s="13" t="s">
        <v>1257</v>
      </c>
      <c r="B722" s="13" t="s">
        <v>13028</v>
      </c>
      <c r="C722" s="19" t="s">
        <v>13037</v>
      </c>
      <c r="D722" s="19">
        <v>3</v>
      </c>
      <c r="E722" s="179" t="s">
        <v>13038</v>
      </c>
      <c r="F722" s="7" t="s">
        <v>11535</v>
      </c>
    </row>
    <row r="723" ht="18" customHeight="1" spans="1:6">
      <c r="A723" s="13" t="s">
        <v>1257</v>
      </c>
      <c r="B723" s="13" t="s">
        <v>13028</v>
      </c>
      <c r="C723" s="32" t="s">
        <v>11688</v>
      </c>
      <c r="D723" s="32">
        <v>4</v>
      </c>
      <c r="E723" s="13" t="s">
        <v>13039</v>
      </c>
      <c r="F723" s="7" t="s">
        <v>11535</v>
      </c>
    </row>
    <row r="724" ht="18" customHeight="1" spans="1:6">
      <c r="A724" s="13" t="s">
        <v>1257</v>
      </c>
      <c r="B724" s="13" t="s">
        <v>13028</v>
      </c>
      <c r="C724" s="32" t="s">
        <v>13040</v>
      </c>
      <c r="D724" s="32">
        <v>4</v>
      </c>
      <c r="E724" s="179" t="s">
        <v>13041</v>
      </c>
      <c r="F724" s="7" t="s">
        <v>11535</v>
      </c>
    </row>
    <row r="725" ht="18" customHeight="1" spans="1:6">
      <c r="A725" s="13" t="s">
        <v>1257</v>
      </c>
      <c r="B725" s="13" t="s">
        <v>13028</v>
      </c>
      <c r="C725" s="32" t="s">
        <v>13042</v>
      </c>
      <c r="D725" s="32">
        <v>6</v>
      </c>
      <c r="E725" s="179" t="s">
        <v>13043</v>
      </c>
      <c r="F725" s="7" t="s">
        <v>11535</v>
      </c>
    </row>
    <row r="726" ht="18" customHeight="1" spans="1:6">
      <c r="A726" s="13" t="s">
        <v>1257</v>
      </c>
      <c r="B726" s="13" t="s">
        <v>13028</v>
      </c>
      <c r="C726" s="32" t="s">
        <v>13044</v>
      </c>
      <c r="D726" s="32">
        <v>4</v>
      </c>
      <c r="E726" s="179" t="s">
        <v>13045</v>
      </c>
      <c r="F726" s="7" t="s">
        <v>11535</v>
      </c>
    </row>
    <row r="727" ht="18" customHeight="1" spans="1:6">
      <c r="A727" s="13" t="s">
        <v>1257</v>
      </c>
      <c r="B727" s="13" t="s">
        <v>13028</v>
      </c>
      <c r="C727" s="32" t="s">
        <v>13046</v>
      </c>
      <c r="D727" s="32">
        <v>3</v>
      </c>
      <c r="E727" s="179" t="s">
        <v>13047</v>
      </c>
      <c r="F727" s="7" t="s">
        <v>11535</v>
      </c>
    </row>
    <row r="728" ht="18" customHeight="1" spans="1:6">
      <c r="A728" s="13" t="s">
        <v>1257</v>
      </c>
      <c r="B728" s="13" t="s">
        <v>13028</v>
      </c>
      <c r="C728" s="19" t="s">
        <v>13048</v>
      </c>
      <c r="D728" s="19">
        <v>1</v>
      </c>
      <c r="E728" s="179" t="s">
        <v>13049</v>
      </c>
      <c r="F728" s="7" t="s">
        <v>11535</v>
      </c>
    </row>
    <row r="729" ht="18" customHeight="1" spans="1:6">
      <c r="A729" s="13" t="s">
        <v>1257</v>
      </c>
      <c r="B729" s="13" t="s">
        <v>13028</v>
      </c>
      <c r="C729" s="19" t="s">
        <v>13050</v>
      </c>
      <c r="D729" s="19">
        <v>3</v>
      </c>
      <c r="E729" s="179" t="s">
        <v>13051</v>
      </c>
      <c r="F729" s="7" t="s">
        <v>11535</v>
      </c>
    </row>
    <row r="730" ht="18" customHeight="1" spans="1:6">
      <c r="A730" s="13" t="s">
        <v>1257</v>
      </c>
      <c r="B730" s="10" t="s">
        <v>13052</v>
      </c>
      <c r="C730" s="10" t="s">
        <v>7434</v>
      </c>
      <c r="D730" s="13">
        <v>2</v>
      </c>
      <c r="E730" s="10" t="s">
        <v>13053</v>
      </c>
      <c r="F730" s="7" t="s">
        <v>11535</v>
      </c>
    </row>
    <row r="731" ht="18" customHeight="1" spans="1:6">
      <c r="A731" s="13" t="s">
        <v>1257</v>
      </c>
      <c r="B731" s="10" t="s">
        <v>13052</v>
      </c>
      <c r="C731" s="10" t="s">
        <v>13054</v>
      </c>
      <c r="D731" s="13">
        <v>3</v>
      </c>
      <c r="E731" s="10" t="s">
        <v>13055</v>
      </c>
      <c r="F731" s="7" t="s">
        <v>11535</v>
      </c>
    </row>
    <row r="732" ht="18" customHeight="1" spans="1:6">
      <c r="A732" s="13" t="s">
        <v>1257</v>
      </c>
      <c r="B732" s="10" t="s">
        <v>13056</v>
      </c>
      <c r="C732" s="10" t="s">
        <v>13057</v>
      </c>
      <c r="D732" s="13">
        <v>3</v>
      </c>
      <c r="E732" s="10" t="s">
        <v>13058</v>
      </c>
      <c r="F732" s="7" t="s">
        <v>11535</v>
      </c>
    </row>
    <row r="733" ht="18" customHeight="1" spans="1:6">
      <c r="A733" s="13" t="s">
        <v>1257</v>
      </c>
      <c r="B733" s="13" t="s">
        <v>13059</v>
      </c>
      <c r="C733" s="32" t="s">
        <v>13060</v>
      </c>
      <c r="D733" s="32">
        <v>1</v>
      </c>
      <c r="E733" s="178" t="s">
        <v>13061</v>
      </c>
      <c r="F733" s="7" t="s">
        <v>11535</v>
      </c>
    </row>
    <row r="734" ht="18" customHeight="1" spans="1:6">
      <c r="A734" s="13" t="s">
        <v>1257</v>
      </c>
      <c r="B734" s="13" t="s">
        <v>13059</v>
      </c>
      <c r="C734" s="32" t="s">
        <v>13062</v>
      </c>
      <c r="D734" s="32">
        <v>2</v>
      </c>
      <c r="E734" s="178" t="s">
        <v>13063</v>
      </c>
      <c r="F734" s="7" t="s">
        <v>11535</v>
      </c>
    </row>
    <row r="735" ht="18" customHeight="1" spans="1:6">
      <c r="A735" s="13" t="s">
        <v>1257</v>
      </c>
      <c r="B735" s="13" t="s">
        <v>13059</v>
      </c>
      <c r="C735" s="32" t="s">
        <v>13064</v>
      </c>
      <c r="D735" s="32">
        <v>2</v>
      </c>
      <c r="E735" s="178" t="s">
        <v>13065</v>
      </c>
      <c r="F735" s="7" t="s">
        <v>11535</v>
      </c>
    </row>
    <row r="736" ht="18" customHeight="1" spans="1:6">
      <c r="A736" s="13" t="s">
        <v>1257</v>
      </c>
      <c r="B736" s="13" t="s">
        <v>13059</v>
      </c>
      <c r="C736" s="32" t="s">
        <v>13066</v>
      </c>
      <c r="D736" s="32">
        <v>1</v>
      </c>
      <c r="E736" s="178" t="s">
        <v>13067</v>
      </c>
      <c r="F736" s="7" t="s">
        <v>11535</v>
      </c>
    </row>
    <row r="737" ht="18" customHeight="1" spans="1:6">
      <c r="A737" s="13" t="s">
        <v>1257</v>
      </c>
      <c r="B737" s="13" t="s">
        <v>13059</v>
      </c>
      <c r="C737" s="32" t="s">
        <v>13068</v>
      </c>
      <c r="D737" s="32">
        <v>1</v>
      </c>
      <c r="E737" s="178" t="s">
        <v>13069</v>
      </c>
      <c r="F737" s="7" t="s">
        <v>11535</v>
      </c>
    </row>
    <row r="738" ht="18" customHeight="1" spans="1:6">
      <c r="A738" s="13" t="s">
        <v>1257</v>
      </c>
      <c r="B738" s="13" t="s">
        <v>13059</v>
      </c>
      <c r="C738" s="32" t="s">
        <v>13070</v>
      </c>
      <c r="D738" s="32">
        <v>4</v>
      </c>
      <c r="E738" s="178" t="s">
        <v>13071</v>
      </c>
      <c r="F738" s="7" t="s">
        <v>11535</v>
      </c>
    </row>
    <row r="739" ht="18" customHeight="1" spans="1:6">
      <c r="A739" s="13" t="s">
        <v>1257</v>
      </c>
      <c r="B739" s="13" t="s">
        <v>1726</v>
      </c>
      <c r="C739" s="13" t="s">
        <v>13072</v>
      </c>
      <c r="D739" s="13">
        <v>2</v>
      </c>
      <c r="E739" s="13" t="s">
        <v>13073</v>
      </c>
      <c r="F739" s="7" t="s">
        <v>11535</v>
      </c>
    </row>
    <row r="740" ht="18" customHeight="1" spans="1:6">
      <c r="A740" s="13" t="s">
        <v>1257</v>
      </c>
      <c r="B740" s="13" t="s">
        <v>1726</v>
      </c>
      <c r="C740" s="13" t="s">
        <v>2882</v>
      </c>
      <c r="D740" s="13">
        <v>6</v>
      </c>
      <c r="E740" s="13" t="s">
        <v>13074</v>
      </c>
      <c r="F740" s="7" t="s">
        <v>11535</v>
      </c>
    </row>
    <row r="741" ht="18" customHeight="1" spans="1:6">
      <c r="A741" s="13" t="s">
        <v>1257</v>
      </c>
      <c r="B741" s="13" t="s">
        <v>1726</v>
      </c>
      <c r="C741" s="13" t="s">
        <v>13075</v>
      </c>
      <c r="D741" s="13">
        <v>2</v>
      </c>
      <c r="E741" s="13" t="s">
        <v>13076</v>
      </c>
      <c r="F741" s="7" t="s">
        <v>11535</v>
      </c>
    </row>
    <row r="742" ht="18" customHeight="1" spans="1:6">
      <c r="A742" s="13" t="s">
        <v>1257</v>
      </c>
      <c r="B742" s="13" t="s">
        <v>13077</v>
      </c>
      <c r="C742" s="5" t="s">
        <v>13078</v>
      </c>
      <c r="D742" s="5">
        <v>2</v>
      </c>
      <c r="E742" s="178" t="s">
        <v>13079</v>
      </c>
      <c r="F742" s="7" t="s">
        <v>11535</v>
      </c>
    </row>
    <row r="743" ht="18" customHeight="1" spans="1:6">
      <c r="A743" s="13" t="s">
        <v>1257</v>
      </c>
      <c r="B743" s="13" t="s">
        <v>13077</v>
      </c>
      <c r="C743" s="5" t="s">
        <v>13080</v>
      </c>
      <c r="D743" s="5">
        <v>2</v>
      </c>
      <c r="E743" s="178" t="s">
        <v>13081</v>
      </c>
      <c r="F743" s="7" t="s">
        <v>11535</v>
      </c>
    </row>
    <row r="744" ht="18" customHeight="1" spans="1:6">
      <c r="A744" s="13" t="s">
        <v>1257</v>
      </c>
      <c r="B744" s="13" t="s">
        <v>13082</v>
      </c>
      <c r="C744" s="8" t="s">
        <v>13083</v>
      </c>
      <c r="D744" s="9">
        <v>6</v>
      </c>
      <c r="E744" s="8" t="s">
        <v>13084</v>
      </c>
      <c r="F744" s="7" t="s">
        <v>11535</v>
      </c>
    </row>
    <row r="745" ht="18" customHeight="1" spans="1:6">
      <c r="A745" s="13" t="s">
        <v>1257</v>
      </c>
      <c r="B745" s="13" t="s">
        <v>13077</v>
      </c>
      <c r="C745" s="8" t="s">
        <v>13085</v>
      </c>
      <c r="D745" s="9">
        <v>6</v>
      </c>
      <c r="E745" s="8" t="s">
        <v>13086</v>
      </c>
      <c r="F745" s="7" t="s">
        <v>11535</v>
      </c>
    </row>
    <row r="746" ht="18" customHeight="1" spans="1:6">
      <c r="A746" s="13" t="s">
        <v>1257</v>
      </c>
      <c r="B746" s="13" t="s">
        <v>13087</v>
      </c>
      <c r="C746" s="8" t="s">
        <v>13088</v>
      </c>
      <c r="D746" s="9">
        <v>3</v>
      </c>
      <c r="E746" s="8" t="s">
        <v>13089</v>
      </c>
      <c r="F746" s="7" t="s">
        <v>11535</v>
      </c>
    </row>
    <row r="747" ht="18" customHeight="1" spans="1:6">
      <c r="A747" s="13" t="s">
        <v>1257</v>
      </c>
      <c r="B747" s="13" t="s">
        <v>13082</v>
      </c>
      <c r="C747" s="8" t="s">
        <v>13090</v>
      </c>
      <c r="D747" s="9">
        <v>4</v>
      </c>
      <c r="E747" s="8" t="s">
        <v>13091</v>
      </c>
      <c r="F747" s="7" t="s">
        <v>11535</v>
      </c>
    </row>
    <row r="748" ht="18" customHeight="1" spans="1:6">
      <c r="A748" s="13" t="s">
        <v>1257</v>
      </c>
      <c r="B748" s="13" t="s">
        <v>13092</v>
      </c>
      <c r="C748" s="8" t="s">
        <v>13093</v>
      </c>
      <c r="D748" s="9">
        <v>5</v>
      </c>
      <c r="E748" s="8" t="s">
        <v>13094</v>
      </c>
      <c r="F748" s="7" t="s">
        <v>11535</v>
      </c>
    </row>
    <row r="749" ht="18" customHeight="1" spans="1:6">
      <c r="A749" s="13" t="s">
        <v>1257</v>
      </c>
      <c r="B749" s="13" t="s">
        <v>13095</v>
      </c>
      <c r="C749" s="8" t="s">
        <v>13096</v>
      </c>
      <c r="D749" s="9">
        <v>3</v>
      </c>
      <c r="E749" s="8" t="s">
        <v>13097</v>
      </c>
      <c r="F749" s="7" t="s">
        <v>11535</v>
      </c>
    </row>
    <row r="750" ht="18" customHeight="1" spans="1:6">
      <c r="A750" s="13" t="s">
        <v>1257</v>
      </c>
      <c r="B750" s="13" t="s">
        <v>13098</v>
      </c>
      <c r="C750" s="13" t="s">
        <v>13099</v>
      </c>
      <c r="D750" s="13">
        <v>3</v>
      </c>
      <c r="E750" s="10" t="s">
        <v>13100</v>
      </c>
      <c r="F750" s="7" t="s">
        <v>11535</v>
      </c>
    </row>
    <row r="751" ht="18" customHeight="1" spans="1:6">
      <c r="A751" s="13" t="s">
        <v>1257</v>
      </c>
      <c r="B751" s="32" t="s">
        <v>13098</v>
      </c>
      <c r="C751" s="32" t="s">
        <v>13101</v>
      </c>
      <c r="D751" s="13">
        <v>2</v>
      </c>
      <c r="E751" s="10" t="s">
        <v>13102</v>
      </c>
      <c r="F751" s="7" t="s">
        <v>11535</v>
      </c>
    </row>
    <row r="752" ht="18" customHeight="1" spans="1:6">
      <c r="A752" s="13" t="s">
        <v>1257</v>
      </c>
      <c r="B752" s="32" t="s">
        <v>1783</v>
      </c>
      <c r="C752" s="32" t="s">
        <v>13103</v>
      </c>
      <c r="D752" s="13">
        <v>4</v>
      </c>
      <c r="E752" s="10" t="s">
        <v>13104</v>
      </c>
      <c r="F752" s="7" t="s">
        <v>11535</v>
      </c>
    </row>
    <row r="753" ht="18" customHeight="1" spans="1:6">
      <c r="A753" s="13" t="s">
        <v>1257</v>
      </c>
      <c r="B753" s="32" t="s">
        <v>13105</v>
      </c>
      <c r="C753" s="13" t="s">
        <v>13106</v>
      </c>
      <c r="D753" s="13">
        <v>3</v>
      </c>
      <c r="E753" s="10" t="s">
        <v>13107</v>
      </c>
      <c r="F753" s="7" t="s">
        <v>11535</v>
      </c>
    </row>
    <row r="754" ht="18" customHeight="1" spans="1:6">
      <c r="A754" s="13" t="s">
        <v>1257</v>
      </c>
      <c r="B754" s="32" t="s">
        <v>1771</v>
      </c>
      <c r="C754" s="38" t="s">
        <v>13108</v>
      </c>
      <c r="D754" s="13">
        <v>4</v>
      </c>
      <c r="E754" s="10" t="s">
        <v>13109</v>
      </c>
      <c r="F754" s="7" t="s">
        <v>11535</v>
      </c>
    </row>
    <row r="755" ht="18" customHeight="1" spans="1:6">
      <c r="A755" s="13" t="s">
        <v>1257</v>
      </c>
      <c r="B755" s="13" t="s">
        <v>13110</v>
      </c>
      <c r="C755" s="13" t="s">
        <v>13111</v>
      </c>
      <c r="D755" s="13">
        <v>2</v>
      </c>
      <c r="E755" s="179" t="s">
        <v>13112</v>
      </c>
      <c r="F755" s="7" t="s">
        <v>11535</v>
      </c>
    </row>
    <row r="756" ht="18" customHeight="1" spans="1:6">
      <c r="A756" s="13" t="s">
        <v>1257</v>
      </c>
      <c r="B756" s="13" t="s">
        <v>1796</v>
      </c>
      <c r="C756" s="36" t="s">
        <v>13113</v>
      </c>
      <c r="D756" s="36">
        <v>4</v>
      </c>
      <c r="E756" s="213" t="s">
        <v>13114</v>
      </c>
      <c r="F756" s="7" t="s">
        <v>11535</v>
      </c>
    </row>
    <row r="757" ht="18" customHeight="1" spans="1:6">
      <c r="A757" s="13" t="s">
        <v>1257</v>
      </c>
      <c r="B757" s="13" t="s">
        <v>1796</v>
      </c>
      <c r="C757" s="36" t="s">
        <v>13115</v>
      </c>
      <c r="D757" s="36">
        <v>2</v>
      </c>
      <c r="E757" s="213" t="s">
        <v>13116</v>
      </c>
      <c r="F757" s="7" t="s">
        <v>11535</v>
      </c>
    </row>
    <row r="758" ht="18" customHeight="1" spans="1:6">
      <c r="A758" s="13" t="s">
        <v>1257</v>
      </c>
      <c r="B758" s="13" t="s">
        <v>1796</v>
      </c>
      <c r="C758" s="36" t="s">
        <v>13117</v>
      </c>
      <c r="D758" s="36">
        <v>3</v>
      </c>
      <c r="E758" s="213" t="s">
        <v>13118</v>
      </c>
      <c r="F758" s="7" t="s">
        <v>11535</v>
      </c>
    </row>
    <row r="759" ht="18" customHeight="1" spans="1:6">
      <c r="A759" s="13" t="s">
        <v>1257</v>
      </c>
      <c r="B759" s="13" t="s">
        <v>1796</v>
      </c>
      <c r="C759" s="36" t="s">
        <v>13119</v>
      </c>
      <c r="D759" s="36">
        <v>6</v>
      </c>
      <c r="E759" s="213" t="s">
        <v>13120</v>
      </c>
      <c r="F759" s="7" t="s">
        <v>11535</v>
      </c>
    </row>
    <row r="760" ht="18" customHeight="1" spans="1:6">
      <c r="A760" s="13" t="s">
        <v>1257</v>
      </c>
      <c r="B760" s="13" t="s">
        <v>1791</v>
      </c>
      <c r="C760" s="38" t="s">
        <v>13121</v>
      </c>
      <c r="D760" s="39">
        <v>6</v>
      </c>
      <c r="E760" s="5" t="str">
        <f>LEFT("422626195212231919",19)</f>
        <v>422626195212231919</v>
      </c>
      <c r="F760" s="7" t="s">
        <v>11535</v>
      </c>
    </row>
    <row r="761" ht="18" customHeight="1" spans="1:6">
      <c r="A761" s="13" t="s">
        <v>1257</v>
      </c>
      <c r="B761" s="13" t="s">
        <v>1791</v>
      </c>
      <c r="C761" s="38" t="s">
        <v>13122</v>
      </c>
      <c r="D761" s="39">
        <v>4</v>
      </c>
      <c r="E761" s="5" t="str">
        <f>LEFT("422626196202281917",19)</f>
        <v>422626196202281917</v>
      </c>
      <c r="F761" s="7" t="s">
        <v>11535</v>
      </c>
    </row>
    <row r="762" ht="18" customHeight="1" spans="1:6">
      <c r="A762" s="13" t="s">
        <v>1257</v>
      </c>
      <c r="B762" s="13" t="s">
        <v>1791</v>
      </c>
      <c r="C762" s="38" t="s">
        <v>13123</v>
      </c>
      <c r="D762" s="39">
        <v>6</v>
      </c>
      <c r="E762" s="5" t="str">
        <f>LEFT("422626196804133639",19)</f>
        <v>422626196804133639</v>
      </c>
      <c r="F762" s="7" t="s">
        <v>11535</v>
      </c>
    </row>
    <row r="763" ht="18" customHeight="1" spans="1:6">
      <c r="A763" s="13" t="s">
        <v>1257</v>
      </c>
      <c r="B763" s="13" t="s">
        <v>1791</v>
      </c>
      <c r="C763" s="38" t="s">
        <v>13124</v>
      </c>
      <c r="D763" s="39">
        <v>5</v>
      </c>
      <c r="E763" s="5" t="str">
        <f>LEFT("422626194910151911",19)</f>
        <v>422626194910151911</v>
      </c>
      <c r="F763" s="7" t="s">
        <v>11535</v>
      </c>
    </row>
    <row r="764" ht="18" customHeight="1" spans="1:6">
      <c r="A764" s="13" t="s">
        <v>1257</v>
      </c>
      <c r="B764" s="13" t="s">
        <v>13125</v>
      </c>
      <c r="C764" s="38" t="s">
        <v>13126</v>
      </c>
      <c r="D764" s="39">
        <v>3</v>
      </c>
      <c r="E764" s="13" t="s">
        <v>13127</v>
      </c>
      <c r="F764" s="7" t="s">
        <v>11535</v>
      </c>
    </row>
    <row r="765" ht="18" customHeight="1" spans="1:6">
      <c r="A765" s="13" t="s">
        <v>1257</v>
      </c>
      <c r="B765" s="13" t="s">
        <v>13125</v>
      </c>
      <c r="C765" s="38" t="s">
        <v>13128</v>
      </c>
      <c r="D765" s="39">
        <v>4</v>
      </c>
      <c r="E765" s="13" t="s">
        <v>13129</v>
      </c>
      <c r="F765" s="7" t="s">
        <v>11535</v>
      </c>
    </row>
    <row r="766" ht="18" customHeight="1" spans="1:6">
      <c r="A766" s="13" t="s">
        <v>1811</v>
      </c>
      <c r="B766" s="13"/>
      <c r="C766" s="13">
        <v>124</v>
      </c>
      <c r="D766" s="13">
        <f>SUM(D642:D765)</f>
        <v>432</v>
      </c>
      <c r="E766" s="13"/>
      <c r="F766" s="5"/>
    </row>
    <row r="767" ht="18" customHeight="1" spans="1:6">
      <c r="A767" s="13" t="s">
        <v>1812</v>
      </c>
      <c r="B767" s="13" t="s">
        <v>13130</v>
      </c>
      <c r="C767" s="13" t="s">
        <v>13131</v>
      </c>
      <c r="D767" s="13">
        <v>4</v>
      </c>
      <c r="E767" s="5" t="str">
        <f>LEFT("420325196804162312",19)</f>
        <v>420325196804162312</v>
      </c>
      <c r="F767" s="7" t="s">
        <v>11535</v>
      </c>
    </row>
    <row r="768" ht="18" customHeight="1" spans="1:6">
      <c r="A768" s="13" t="s">
        <v>1812</v>
      </c>
      <c r="B768" s="13" t="s">
        <v>13130</v>
      </c>
      <c r="C768" s="13" t="s">
        <v>13132</v>
      </c>
      <c r="D768" s="13">
        <v>3</v>
      </c>
      <c r="E768" s="5" t="str">
        <f>LEFT("422626196411152310",19)</f>
        <v>422626196411152310</v>
      </c>
      <c r="F768" s="7" t="s">
        <v>11535</v>
      </c>
    </row>
    <row r="769" ht="18" customHeight="1" spans="1:6">
      <c r="A769" s="13" t="s">
        <v>1812</v>
      </c>
      <c r="B769" s="13" t="s">
        <v>13130</v>
      </c>
      <c r="C769" s="13" t="s">
        <v>13133</v>
      </c>
      <c r="D769" s="13">
        <v>4</v>
      </c>
      <c r="E769" s="5" t="str">
        <f>LEFT("420325196003042310",19)</f>
        <v>420325196003042310</v>
      </c>
      <c r="F769" s="7" t="s">
        <v>11535</v>
      </c>
    </row>
    <row r="770" ht="18" customHeight="1" spans="1:6">
      <c r="A770" s="13" t="s">
        <v>1812</v>
      </c>
      <c r="B770" s="13" t="s">
        <v>13130</v>
      </c>
      <c r="C770" s="13" t="s">
        <v>13134</v>
      </c>
      <c r="D770" s="13">
        <v>5</v>
      </c>
      <c r="E770" s="5" t="str">
        <f>LEFT("422626195408152315",19)</f>
        <v>422626195408152315</v>
      </c>
      <c r="F770" s="7" t="s">
        <v>11535</v>
      </c>
    </row>
    <row r="771" ht="18" customHeight="1" spans="1:6">
      <c r="A771" s="13" t="s">
        <v>1812</v>
      </c>
      <c r="B771" s="13" t="s">
        <v>13130</v>
      </c>
      <c r="C771" s="13" t="s">
        <v>13135</v>
      </c>
      <c r="D771" s="13">
        <v>3</v>
      </c>
      <c r="E771" s="5" t="str">
        <f>LEFT("422626195310162312",19)</f>
        <v>422626195310162312</v>
      </c>
      <c r="F771" s="7" t="s">
        <v>11535</v>
      </c>
    </row>
    <row r="772" ht="18" customHeight="1" spans="1:6">
      <c r="A772" s="13" t="s">
        <v>1812</v>
      </c>
      <c r="B772" s="13" t="s">
        <v>13130</v>
      </c>
      <c r="C772" s="13" t="s">
        <v>13136</v>
      </c>
      <c r="D772" s="13">
        <v>1</v>
      </c>
      <c r="E772" s="5" t="str">
        <f>LEFT("422626193605242310",19)</f>
        <v>422626193605242310</v>
      </c>
      <c r="F772" s="7" t="s">
        <v>11535</v>
      </c>
    </row>
    <row r="773" ht="18" customHeight="1" spans="1:6">
      <c r="A773" s="13" t="s">
        <v>1812</v>
      </c>
      <c r="B773" s="13" t="s">
        <v>13130</v>
      </c>
      <c r="C773" s="13" t="s">
        <v>13137</v>
      </c>
      <c r="D773" s="13">
        <v>2</v>
      </c>
      <c r="E773" s="5" t="str">
        <f>LEFT("422626194708092313",19)</f>
        <v>422626194708092313</v>
      </c>
      <c r="F773" s="7" t="s">
        <v>11535</v>
      </c>
    </row>
    <row r="774" ht="18" customHeight="1" spans="1:6">
      <c r="A774" s="13" t="s">
        <v>1812</v>
      </c>
      <c r="B774" s="13" t="s">
        <v>13130</v>
      </c>
      <c r="C774" s="13" t="s">
        <v>13138</v>
      </c>
      <c r="D774" s="13">
        <v>2</v>
      </c>
      <c r="E774" s="5" t="str">
        <f>LEFT("42262419520108552X",19)</f>
        <v>42262419520108552X</v>
      </c>
      <c r="F774" s="7" t="s">
        <v>11535</v>
      </c>
    </row>
    <row r="775" ht="18" customHeight="1" spans="1:6">
      <c r="A775" s="13" t="s">
        <v>1812</v>
      </c>
      <c r="B775" s="13" t="s">
        <v>13130</v>
      </c>
      <c r="C775" s="13" t="s">
        <v>13139</v>
      </c>
      <c r="D775" s="13">
        <v>2</v>
      </c>
      <c r="E775" s="5" t="str">
        <f>LEFT("422626194808072379",19)</f>
        <v>422626194808072379</v>
      </c>
      <c r="F775" s="7" t="s">
        <v>11535</v>
      </c>
    </row>
    <row r="776" ht="18" customHeight="1" spans="1:6">
      <c r="A776" s="13" t="s">
        <v>1812</v>
      </c>
      <c r="B776" s="13" t="s">
        <v>13130</v>
      </c>
      <c r="C776" s="13" t="s">
        <v>13140</v>
      </c>
      <c r="D776" s="13">
        <v>8</v>
      </c>
      <c r="E776" s="5" t="str">
        <f>LEFT("422624197201015555",19)</f>
        <v>422624197201015555</v>
      </c>
      <c r="F776" s="7" t="s">
        <v>11535</v>
      </c>
    </row>
    <row r="777" ht="18" customHeight="1" spans="1:6">
      <c r="A777" s="13" t="s">
        <v>1812</v>
      </c>
      <c r="B777" s="13" t="s">
        <v>2015</v>
      </c>
      <c r="C777" s="13" t="s">
        <v>13141</v>
      </c>
      <c r="D777" s="13">
        <v>4</v>
      </c>
      <c r="E777" s="14" t="s">
        <v>13142</v>
      </c>
      <c r="F777" s="7" t="s">
        <v>11535</v>
      </c>
    </row>
    <row r="778" ht="18" customHeight="1" spans="1:6">
      <c r="A778" s="13" t="s">
        <v>1812</v>
      </c>
      <c r="B778" s="13" t="s">
        <v>1998</v>
      </c>
      <c r="C778" s="13" t="s">
        <v>13143</v>
      </c>
      <c r="D778" s="13">
        <v>5</v>
      </c>
      <c r="E778" s="14" t="s">
        <v>13144</v>
      </c>
      <c r="F778" s="7" t="s">
        <v>11535</v>
      </c>
    </row>
    <row r="779" ht="18" customHeight="1" spans="1:6">
      <c r="A779" s="13" t="s">
        <v>1812</v>
      </c>
      <c r="B779" s="13" t="s">
        <v>1938</v>
      </c>
      <c r="C779" s="13" t="s">
        <v>13145</v>
      </c>
      <c r="D779" s="13">
        <v>2</v>
      </c>
      <c r="E779" s="14" t="s">
        <v>13146</v>
      </c>
      <c r="F779" s="7" t="s">
        <v>11535</v>
      </c>
    </row>
    <row r="780" ht="18" customHeight="1" spans="1:6">
      <c r="A780" s="13" t="s">
        <v>1812</v>
      </c>
      <c r="B780" s="13" t="s">
        <v>1913</v>
      </c>
      <c r="C780" s="13" t="s">
        <v>13147</v>
      </c>
      <c r="D780" s="13">
        <v>4</v>
      </c>
      <c r="E780" s="14" t="s">
        <v>13148</v>
      </c>
      <c r="F780" s="7" t="s">
        <v>11535</v>
      </c>
    </row>
    <row r="781" ht="18" customHeight="1" spans="1:6">
      <c r="A781" s="13" t="s">
        <v>1812</v>
      </c>
      <c r="B781" s="13" t="s">
        <v>2101</v>
      </c>
      <c r="C781" s="13" t="s">
        <v>13149</v>
      </c>
      <c r="D781" s="13">
        <v>4</v>
      </c>
      <c r="E781" s="10" t="s">
        <v>13150</v>
      </c>
      <c r="F781" s="7" t="s">
        <v>11535</v>
      </c>
    </row>
    <row r="782" ht="18" customHeight="1" spans="1:6">
      <c r="A782" s="13" t="s">
        <v>1812</v>
      </c>
      <c r="B782" s="13" t="s">
        <v>2101</v>
      </c>
      <c r="C782" s="13" t="s">
        <v>13151</v>
      </c>
      <c r="D782" s="13">
        <v>1</v>
      </c>
      <c r="E782" s="10" t="s">
        <v>13152</v>
      </c>
      <c r="F782" s="7" t="s">
        <v>11535</v>
      </c>
    </row>
    <row r="783" ht="18" customHeight="1" spans="1:6">
      <c r="A783" s="13" t="s">
        <v>1812</v>
      </c>
      <c r="B783" s="13" t="s">
        <v>2101</v>
      </c>
      <c r="C783" s="13" t="s">
        <v>13153</v>
      </c>
      <c r="D783" s="13">
        <v>2</v>
      </c>
      <c r="E783" s="10" t="s">
        <v>13154</v>
      </c>
      <c r="F783" s="7" t="s">
        <v>11535</v>
      </c>
    </row>
    <row r="784" ht="18" customHeight="1" spans="1:6">
      <c r="A784" s="13" t="s">
        <v>1812</v>
      </c>
      <c r="B784" s="13" t="s">
        <v>2109</v>
      </c>
      <c r="C784" s="13" t="s">
        <v>13155</v>
      </c>
      <c r="D784" s="13">
        <v>3</v>
      </c>
      <c r="E784" s="10" t="s">
        <v>13156</v>
      </c>
      <c r="F784" s="7" t="s">
        <v>11535</v>
      </c>
    </row>
    <row r="785" ht="18" customHeight="1" spans="1:6">
      <c r="A785" s="13" t="s">
        <v>1812</v>
      </c>
      <c r="B785" s="13" t="s">
        <v>2109</v>
      </c>
      <c r="C785" s="13" t="s">
        <v>13157</v>
      </c>
      <c r="D785" s="13">
        <v>6</v>
      </c>
      <c r="E785" s="10" t="s">
        <v>13158</v>
      </c>
      <c r="F785" s="7" t="s">
        <v>11535</v>
      </c>
    </row>
    <row r="786" ht="18" customHeight="1" spans="1:6">
      <c r="A786" s="13" t="s">
        <v>1812</v>
      </c>
      <c r="B786" s="13" t="s">
        <v>2109</v>
      </c>
      <c r="C786" s="13" t="s">
        <v>13159</v>
      </c>
      <c r="D786" s="13">
        <v>4</v>
      </c>
      <c r="E786" s="10" t="s">
        <v>13160</v>
      </c>
      <c r="F786" s="7" t="s">
        <v>11535</v>
      </c>
    </row>
    <row r="787" ht="18" customHeight="1" spans="1:6">
      <c r="A787" s="13" t="s">
        <v>1812</v>
      </c>
      <c r="B787" s="13" t="s">
        <v>2109</v>
      </c>
      <c r="C787" s="13" t="s">
        <v>13161</v>
      </c>
      <c r="D787" s="13">
        <v>2</v>
      </c>
      <c r="E787" s="10" t="s">
        <v>13162</v>
      </c>
      <c r="F787" s="7" t="s">
        <v>11535</v>
      </c>
    </row>
    <row r="788" ht="18" customHeight="1" spans="1:6">
      <c r="A788" s="13" t="s">
        <v>1812</v>
      </c>
      <c r="B788" s="13" t="s">
        <v>2112</v>
      </c>
      <c r="C788" s="13" t="s">
        <v>13163</v>
      </c>
      <c r="D788" s="13">
        <v>3</v>
      </c>
      <c r="E788" s="10" t="s">
        <v>13164</v>
      </c>
      <c r="F788" s="7" t="s">
        <v>11535</v>
      </c>
    </row>
    <row r="789" ht="18" customHeight="1" spans="1:6">
      <c r="A789" s="13" t="s">
        <v>1812</v>
      </c>
      <c r="B789" s="13" t="s">
        <v>2112</v>
      </c>
      <c r="C789" s="13" t="s">
        <v>13165</v>
      </c>
      <c r="D789" s="13">
        <v>2</v>
      </c>
      <c r="E789" s="10" t="s">
        <v>13166</v>
      </c>
      <c r="F789" s="7" t="s">
        <v>11535</v>
      </c>
    </row>
    <row r="790" ht="18" customHeight="1" spans="1:6">
      <c r="A790" s="13" t="s">
        <v>1812</v>
      </c>
      <c r="B790" s="13" t="s">
        <v>2099</v>
      </c>
      <c r="C790" s="13" t="s">
        <v>13167</v>
      </c>
      <c r="D790" s="13">
        <v>2</v>
      </c>
      <c r="E790" s="10" t="s">
        <v>13168</v>
      </c>
      <c r="F790" s="7" t="s">
        <v>11535</v>
      </c>
    </row>
    <row r="791" ht="18" customHeight="1" spans="1:6">
      <c r="A791" s="13" t="s">
        <v>1812</v>
      </c>
      <c r="B791" s="13" t="s">
        <v>2101</v>
      </c>
      <c r="C791" s="13" t="s">
        <v>13169</v>
      </c>
      <c r="D791" s="13">
        <v>1</v>
      </c>
      <c r="E791" s="10" t="s">
        <v>13170</v>
      </c>
      <c r="F791" s="7" t="s">
        <v>11535</v>
      </c>
    </row>
    <row r="792" ht="18" customHeight="1" spans="1:6">
      <c r="A792" s="13" t="s">
        <v>1812</v>
      </c>
      <c r="B792" s="13" t="s">
        <v>13171</v>
      </c>
      <c r="C792" s="13" t="s">
        <v>13172</v>
      </c>
      <c r="D792" s="13">
        <v>4</v>
      </c>
      <c r="E792" s="10" t="s">
        <v>13173</v>
      </c>
      <c r="F792" s="7" t="s">
        <v>11535</v>
      </c>
    </row>
    <row r="793" ht="18" customHeight="1" spans="1:6">
      <c r="A793" s="13" t="s">
        <v>1812</v>
      </c>
      <c r="B793" s="13" t="s">
        <v>13171</v>
      </c>
      <c r="C793" s="13" t="s">
        <v>13174</v>
      </c>
      <c r="D793" s="13">
        <v>1</v>
      </c>
      <c r="E793" s="10" t="s">
        <v>13175</v>
      </c>
      <c r="F793" s="7" t="s">
        <v>11535</v>
      </c>
    </row>
    <row r="794" ht="18" customHeight="1" spans="1:6">
      <c r="A794" s="13" t="s">
        <v>1812</v>
      </c>
      <c r="B794" s="13" t="s">
        <v>2122</v>
      </c>
      <c r="C794" s="13" t="s">
        <v>13176</v>
      </c>
      <c r="D794" s="13">
        <v>1</v>
      </c>
      <c r="E794" s="33" t="str">
        <f>LEFT("42262619620320231X",19)</f>
        <v>42262619620320231X</v>
      </c>
      <c r="F794" s="7" t="s">
        <v>11535</v>
      </c>
    </row>
    <row r="795" ht="18" customHeight="1" spans="1:6">
      <c r="A795" s="13" t="s">
        <v>1812</v>
      </c>
      <c r="B795" s="13" t="s">
        <v>2122</v>
      </c>
      <c r="C795" s="13" t="s">
        <v>13177</v>
      </c>
      <c r="D795" s="13">
        <v>3</v>
      </c>
      <c r="E795" s="33" t="str">
        <f>LEFT("422626195403102378",19)</f>
        <v>422626195403102378</v>
      </c>
      <c r="F795" s="7" t="s">
        <v>11535</v>
      </c>
    </row>
    <row r="796" ht="18" customHeight="1" spans="1:6">
      <c r="A796" s="13" t="s">
        <v>1812</v>
      </c>
      <c r="B796" s="13" t="s">
        <v>2122</v>
      </c>
      <c r="C796" s="13" t="s">
        <v>13178</v>
      </c>
      <c r="D796" s="13">
        <v>3</v>
      </c>
      <c r="E796" s="33" t="str">
        <f>LEFT("422626194811012318",19)</f>
        <v>422626194811012318</v>
      </c>
      <c r="F796" s="7" t="s">
        <v>11535</v>
      </c>
    </row>
    <row r="797" ht="18" customHeight="1" spans="1:6">
      <c r="A797" s="13" t="s">
        <v>1812</v>
      </c>
      <c r="B797" s="13" t="s">
        <v>2122</v>
      </c>
      <c r="C797" s="13" t="s">
        <v>13179</v>
      </c>
      <c r="D797" s="13">
        <v>6</v>
      </c>
      <c r="E797" s="33" t="str">
        <f>LEFT("422626194701282317",19)</f>
        <v>422626194701282317</v>
      </c>
      <c r="F797" s="7" t="s">
        <v>11535</v>
      </c>
    </row>
    <row r="798" ht="18" customHeight="1" spans="1:6">
      <c r="A798" s="13" t="s">
        <v>1812</v>
      </c>
      <c r="B798" s="13" t="s">
        <v>2208</v>
      </c>
      <c r="C798" s="13" t="s">
        <v>13180</v>
      </c>
      <c r="D798" s="13">
        <v>3</v>
      </c>
      <c r="E798" s="5" t="str">
        <f>LEFT("420325199212252318",19)</f>
        <v>420325199212252318</v>
      </c>
      <c r="F798" s="7" t="s">
        <v>11535</v>
      </c>
    </row>
    <row r="799" ht="18" customHeight="1" spans="1:6">
      <c r="A799" s="13" t="s">
        <v>1812</v>
      </c>
      <c r="B799" s="13" t="s">
        <v>2208</v>
      </c>
      <c r="C799" s="13" t="s">
        <v>13181</v>
      </c>
      <c r="D799" s="13">
        <v>4</v>
      </c>
      <c r="E799" s="5" t="str">
        <f>LEFT("422626197203202314",19)</f>
        <v>422626197203202314</v>
      </c>
      <c r="F799" s="7" t="s">
        <v>11535</v>
      </c>
    </row>
    <row r="800" ht="18" customHeight="1" spans="1:6">
      <c r="A800" s="13" t="s">
        <v>1812</v>
      </c>
      <c r="B800" s="13" t="s">
        <v>2208</v>
      </c>
      <c r="C800" s="13" t="s">
        <v>13182</v>
      </c>
      <c r="D800" s="13">
        <v>4</v>
      </c>
      <c r="E800" s="5" t="str">
        <f>LEFT("420325197706092319",19)</f>
        <v>420325197706092319</v>
      </c>
      <c r="F800" s="7" t="s">
        <v>11535</v>
      </c>
    </row>
    <row r="801" ht="18" customHeight="1" spans="1:6">
      <c r="A801" s="13" t="s">
        <v>1812</v>
      </c>
      <c r="B801" s="13" t="s">
        <v>2208</v>
      </c>
      <c r="C801" s="13" t="s">
        <v>13183</v>
      </c>
      <c r="D801" s="13">
        <v>4</v>
      </c>
      <c r="E801" s="5" t="str">
        <f>LEFT("42262619720326235X",19)</f>
        <v>42262619720326235X</v>
      </c>
      <c r="F801" s="7" t="s">
        <v>11535</v>
      </c>
    </row>
    <row r="802" ht="18" customHeight="1" spans="1:6">
      <c r="A802" s="13" t="s">
        <v>1812</v>
      </c>
      <c r="B802" s="13" t="s">
        <v>2208</v>
      </c>
      <c r="C802" s="13" t="s">
        <v>13184</v>
      </c>
      <c r="D802" s="13">
        <v>4</v>
      </c>
      <c r="E802" s="5" t="str">
        <f>LEFT("422626196107022335",19)</f>
        <v>422626196107022335</v>
      </c>
      <c r="F802" s="7" t="s">
        <v>11535</v>
      </c>
    </row>
    <row r="803" ht="18" customHeight="1" spans="1:6">
      <c r="A803" s="13" t="s">
        <v>1812</v>
      </c>
      <c r="B803" s="13" t="s">
        <v>13185</v>
      </c>
      <c r="C803" s="13" t="s">
        <v>13186</v>
      </c>
      <c r="D803" s="13">
        <v>4</v>
      </c>
      <c r="E803" s="179" t="s">
        <v>13187</v>
      </c>
      <c r="F803" s="7" t="s">
        <v>11535</v>
      </c>
    </row>
    <row r="804" ht="18" customHeight="1" spans="1:6">
      <c r="A804" s="13" t="s">
        <v>1812</v>
      </c>
      <c r="B804" s="13" t="s">
        <v>13185</v>
      </c>
      <c r="C804" s="13" t="s">
        <v>3770</v>
      </c>
      <c r="D804" s="13">
        <v>2</v>
      </c>
      <c r="E804" s="179" t="s">
        <v>13188</v>
      </c>
      <c r="F804" s="7" t="s">
        <v>11535</v>
      </c>
    </row>
    <row r="805" ht="18" customHeight="1" spans="1:6">
      <c r="A805" s="13" t="s">
        <v>1812</v>
      </c>
      <c r="B805" s="13" t="s">
        <v>13185</v>
      </c>
      <c r="C805" s="13" t="s">
        <v>13189</v>
      </c>
      <c r="D805" s="13">
        <v>4</v>
      </c>
      <c r="E805" s="179" t="s">
        <v>13190</v>
      </c>
      <c r="F805" s="7" t="s">
        <v>11535</v>
      </c>
    </row>
    <row r="806" ht="18" customHeight="1" spans="1:6">
      <c r="A806" s="13" t="s">
        <v>1812</v>
      </c>
      <c r="B806" s="13" t="s">
        <v>13185</v>
      </c>
      <c r="C806" s="13" t="s">
        <v>13191</v>
      </c>
      <c r="D806" s="13">
        <v>1</v>
      </c>
      <c r="E806" s="13" t="s">
        <v>13192</v>
      </c>
      <c r="F806" s="7" t="s">
        <v>11535</v>
      </c>
    </row>
    <row r="807" ht="18" customHeight="1" spans="1:6">
      <c r="A807" s="13" t="s">
        <v>1812</v>
      </c>
      <c r="B807" s="13" t="s">
        <v>13185</v>
      </c>
      <c r="C807" s="13" t="s">
        <v>13193</v>
      </c>
      <c r="D807" s="13">
        <v>1</v>
      </c>
      <c r="E807" s="179" t="s">
        <v>13194</v>
      </c>
      <c r="F807" s="7" t="s">
        <v>11535</v>
      </c>
    </row>
    <row r="808" ht="18" customHeight="1" spans="1:6">
      <c r="A808" s="13" t="s">
        <v>1812</v>
      </c>
      <c r="B808" s="13" t="s">
        <v>13195</v>
      </c>
      <c r="C808" s="13" t="s">
        <v>13196</v>
      </c>
      <c r="D808" s="13">
        <v>4</v>
      </c>
      <c r="E808" s="33" t="s">
        <v>13197</v>
      </c>
      <c r="F808" s="7" t="s">
        <v>11535</v>
      </c>
    </row>
    <row r="809" ht="18" customHeight="1" spans="1:6">
      <c r="A809" s="13" t="s">
        <v>1812</v>
      </c>
      <c r="B809" s="13" t="s">
        <v>13195</v>
      </c>
      <c r="C809" s="13" t="s">
        <v>2518</v>
      </c>
      <c r="D809" s="13">
        <v>3</v>
      </c>
      <c r="E809" s="10" t="s">
        <v>2519</v>
      </c>
      <c r="F809" s="7" t="s">
        <v>11535</v>
      </c>
    </row>
    <row r="810" ht="18" customHeight="1" spans="1:6">
      <c r="A810" s="13" t="s">
        <v>1812</v>
      </c>
      <c r="B810" s="13" t="s">
        <v>13198</v>
      </c>
      <c r="C810" s="13" t="s">
        <v>13199</v>
      </c>
      <c r="D810" s="13">
        <v>4</v>
      </c>
      <c r="E810" s="10" t="s">
        <v>13200</v>
      </c>
      <c r="F810" s="7" t="s">
        <v>11535</v>
      </c>
    </row>
    <row r="811" ht="18" customHeight="1" spans="1:6">
      <c r="A811" s="13" t="s">
        <v>1812</v>
      </c>
      <c r="B811" s="13" t="s">
        <v>13201</v>
      </c>
      <c r="C811" s="13" t="s">
        <v>2479</v>
      </c>
      <c r="D811" s="13">
        <v>3</v>
      </c>
      <c r="E811" s="10" t="s">
        <v>2480</v>
      </c>
      <c r="F811" s="7" t="s">
        <v>11535</v>
      </c>
    </row>
    <row r="812" ht="18" customHeight="1" spans="1:6">
      <c r="A812" s="13" t="s">
        <v>1812</v>
      </c>
      <c r="B812" s="13" t="s">
        <v>13201</v>
      </c>
      <c r="C812" s="13" t="s">
        <v>13202</v>
      </c>
      <c r="D812" s="13">
        <v>5</v>
      </c>
      <c r="E812" s="10" t="s">
        <v>13203</v>
      </c>
      <c r="F812" s="7" t="s">
        <v>11535</v>
      </c>
    </row>
    <row r="813" ht="18" customHeight="1" spans="1:6">
      <c r="A813" s="13" t="s">
        <v>1812</v>
      </c>
      <c r="B813" s="13" t="s">
        <v>13195</v>
      </c>
      <c r="C813" s="13" t="s">
        <v>13204</v>
      </c>
      <c r="D813" s="13">
        <v>4</v>
      </c>
      <c r="E813" s="10" t="s">
        <v>13205</v>
      </c>
      <c r="F813" s="7" t="s">
        <v>11535</v>
      </c>
    </row>
    <row r="814" ht="18" customHeight="1" spans="1:6">
      <c r="A814" s="13" t="s">
        <v>1812</v>
      </c>
      <c r="B814" s="13" t="s">
        <v>13195</v>
      </c>
      <c r="C814" s="13" t="s">
        <v>13206</v>
      </c>
      <c r="D814" s="13">
        <v>3</v>
      </c>
      <c r="E814" s="10" t="s">
        <v>13207</v>
      </c>
      <c r="F814" s="7" t="s">
        <v>11535</v>
      </c>
    </row>
    <row r="815" ht="18" customHeight="1" spans="1:6">
      <c r="A815" s="13" t="s">
        <v>1812</v>
      </c>
      <c r="B815" s="13" t="s">
        <v>13208</v>
      </c>
      <c r="C815" s="13" t="s">
        <v>2708</v>
      </c>
      <c r="D815" s="13">
        <v>5</v>
      </c>
      <c r="E815" s="10" t="s">
        <v>13209</v>
      </c>
      <c r="F815" s="7" t="s">
        <v>11535</v>
      </c>
    </row>
    <row r="816" ht="18" customHeight="1" spans="1:6">
      <c r="A816" s="13" t="s">
        <v>1812</v>
      </c>
      <c r="B816" s="13" t="s">
        <v>13195</v>
      </c>
      <c r="C816" s="13" t="s">
        <v>13210</v>
      </c>
      <c r="D816" s="13">
        <v>3</v>
      </c>
      <c r="E816" s="10" t="s">
        <v>13211</v>
      </c>
      <c r="F816" s="7" t="s">
        <v>11535</v>
      </c>
    </row>
    <row r="817" ht="18" customHeight="1" spans="1:6">
      <c r="A817" s="13" t="s">
        <v>1812</v>
      </c>
      <c r="B817" s="13" t="s">
        <v>13208</v>
      </c>
      <c r="C817" s="13" t="s">
        <v>13212</v>
      </c>
      <c r="D817" s="13">
        <v>4</v>
      </c>
      <c r="E817" s="10" t="s">
        <v>13213</v>
      </c>
      <c r="F817" s="7" t="s">
        <v>11535</v>
      </c>
    </row>
    <row r="818" ht="18" customHeight="1" spans="1:6">
      <c r="A818" s="13" t="s">
        <v>1812</v>
      </c>
      <c r="B818" s="13" t="s">
        <v>13214</v>
      </c>
      <c r="C818" s="13" t="s">
        <v>13215</v>
      </c>
      <c r="D818" s="13">
        <v>2</v>
      </c>
      <c r="E818" s="33" t="str">
        <f>LEFT("42262619660602233X",19)</f>
        <v>42262619660602233X</v>
      </c>
      <c r="F818" s="7" t="s">
        <v>11535</v>
      </c>
    </row>
    <row r="819" ht="18" customHeight="1" spans="1:6">
      <c r="A819" s="13" t="s">
        <v>1812</v>
      </c>
      <c r="B819" s="13" t="s">
        <v>13214</v>
      </c>
      <c r="C819" s="13" t="s">
        <v>13216</v>
      </c>
      <c r="D819" s="13">
        <v>3</v>
      </c>
      <c r="E819" s="33" t="str">
        <f>LEFT("422626197411262311",19)</f>
        <v>422626197411262311</v>
      </c>
      <c r="F819" s="7" t="s">
        <v>11535</v>
      </c>
    </row>
    <row r="820" ht="18" customHeight="1" spans="1:6">
      <c r="A820" s="13" t="s">
        <v>1812</v>
      </c>
      <c r="B820" s="13" t="s">
        <v>13214</v>
      </c>
      <c r="C820" s="13" t="s">
        <v>13217</v>
      </c>
      <c r="D820" s="13">
        <v>4</v>
      </c>
      <c r="E820" s="33" t="str">
        <f>LEFT("422626196310152311",19)</f>
        <v>422626196310152311</v>
      </c>
      <c r="F820" s="7" t="s">
        <v>11535</v>
      </c>
    </row>
    <row r="821" ht="18" customHeight="1" spans="1:6">
      <c r="A821" s="13" t="s">
        <v>1812</v>
      </c>
      <c r="B821" s="13" t="s">
        <v>13214</v>
      </c>
      <c r="C821" s="13" t="s">
        <v>13218</v>
      </c>
      <c r="D821" s="13">
        <v>3</v>
      </c>
      <c r="E821" s="33" t="str">
        <f>LEFT("422626197001302317",19)</f>
        <v>422626197001302317</v>
      </c>
      <c r="F821" s="7" t="s">
        <v>11535</v>
      </c>
    </row>
    <row r="822" ht="18" customHeight="1" spans="1:6">
      <c r="A822" s="13" t="s">
        <v>1812</v>
      </c>
      <c r="B822" s="13" t="s">
        <v>13214</v>
      </c>
      <c r="C822" s="13" t="s">
        <v>13219</v>
      </c>
      <c r="D822" s="13">
        <v>3</v>
      </c>
      <c r="E822" s="33" t="str">
        <f>LEFT("422626196302192313",19)</f>
        <v>422626196302192313</v>
      </c>
      <c r="F822" s="7" t="s">
        <v>11535</v>
      </c>
    </row>
    <row r="823" ht="18" customHeight="1" spans="1:6">
      <c r="A823" s="13" t="s">
        <v>1812</v>
      </c>
      <c r="B823" s="13" t="s">
        <v>13214</v>
      </c>
      <c r="C823" s="13" t="s">
        <v>13220</v>
      </c>
      <c r="D823" s="13">
        <v>3</v>
      </c>
      <c r="E823" s="33" t="str">
        <f>LEFT("422626196505192313",19)</f>
        <v>422626196505192313</v>
      </c>
      <c r="F823" s="7" t="s">
        <v>11535</v>
      </c>
    </row>
    <row r="824" ht="18" customHeight="1" spans="1:6">
      <c r="A824" s="13" t="s">
        <v>1812</v>
      </c>
      <c r="B824" s="13" t="s">
        <v>13214</v>
      </c>
      <c r="C824" s="13" t="s">
        <v>1809</v>
      </c>
      <c r="D824" s="13">
        <v>3</v>
      </c>
      <c r="E824" s="33" t="str">
        <f>LEFT("42262619560831231X",19)</f>
        <v>42262619560831231X</v>
      </c>
      <c r="F824" s="7" t="s">
        <v>11535</v>
      </c>
    </row>
    <row r="825" ht="18" customHeight="1" spans="1:6">
      <c r="A825" s="13" t="s">
        <v>1812</v>
      </c>
      <c r="B825" s="13" t="s">
        <v>13214</v>
      </c>
      <c r="C825" s="13" t="s">
        <v>13221</v>
      </c>
      <c r="D825" s="13">
        <v>3</v>
      </c>
      <c r="E825" s="33" t="str">
        <f>LEFT("422626194212172360",19)</f>
        <v>422626194212172360</v>
      </c>
      <c r="F825" s="7" t="s">
        <v>11535</v>
      </c>
    </row>
    <row r="826" ht="18" customHeight="1" spans="1:6">
      <c r="A826" s="13" t="s">
        <v>1812</v>
      </c>
      <c r="B826" s="13" t="s">
        <v>13214</v>
      </c>
      <c r="C826" s="13" t="s">
        <v>13222</v>
      </c>
      <c r="D826" s="13">
        <v>2</v>
      </c>
      <c r="E826" s="33" t="str">
        <f>LEFT("422626193702052316",19)</f>
        <v>422626193702052316</v>
      </c>
      <c r="F826" s="7" t="s">
        <v>11535</v>
      </c>
    </row>
    <row r="827" ht="18" customHeight="1" spans="1:6">
      <c r="A827" s="13" t="s">
        <v>1812</v>
      </c>
      <c r="B827" s="13" t="s">
        <v>13214</v>
      </c>
      <c r="C827" s="13" t="s">
        <v>13223</v>
      </c>
      <c r="D827" s="13">
        <v>5</v>
      </c>
      <c r="E827" s="33" t="str">
        <f>LEFT("422626194611212315",19)</f>
        <v>422626194611212315</v>
      </c>
      <c r="F827" s="7" t="s">
        <v>11535</v>
      </c>
    </row>
    <row r="828" ht="18" customHeight="1" spans="1:6">
      <c r="A828" s="13" t="s">
        <v>1812</v>
      </c>
      <c r="B828" s="13" t="s">
        <v>2653</v>
      </c>
      <c r="C828" s="13" t="s">
        <v>13224</v>
      </c>
      <c r="D828" s="13">
        <v>5</v>
      </c>
      <c r="E828" s="179" t="s">
        <v>13225</v>
      </c>
      <c r="F828" s="7" t="s">
        <v>11535</v>
      </c>
    </row>
    <row r="829" ht="18" customHeight="1" spans="1:6">
      <c r="A829" s="13" t="s">
        <v>1812</v>
      </c>
      <c r="B829" s="13" t="s">
        <v>2653</v>
      </c>
      <c r="C829" s="13" t="s">
        <v>13226</v>
      </c>
      <c r="D829" s="13">
        <v>2</v>
      </c>
      <c r="E829" s="179" t="s">
        <v>13227</v>
      </c>
      <c r="F829" s="7" t="s">
        <v>11535</v>
      </c>
    </row>
    <row r="830" ht="18" customHeight="1" spans="1:6">
      <c r="A830" s="13" t="s">
        <v>1812</v>
      </c>
      <c r="B830" s="13" t="s">
        <v>2653</v>
      </c>
      <c r="C830" s="13" t="s">
        <v>13228</v>
      </c>
      <c r="D830" s="13">
        <v>4</v>
      </c>
      <c r="E830" s="179" t="s">
        <v>13229</v>
      </c>
      <c r="F830" s="7" t="s">
        <v>11535</v>
      </c>
    </row>
    <row r="831" ht="18" customHeight="1" spans="1:6">
      <c r="A831" s="13" t="s">
        <v>1812</v>
      </c>
      <c r="B831" s="13" t="s">
        <v>2653</v>
      </c>
      <c r="C831" s="13" t="s">
        <v>13230</v>
      </c>
      <c r="D831" s="13">
        <v>4</v>
      </c>
      <c r="E831" s="179" t="s">
        <v>13231</v>
      </c>
      <c r="F831" s="7" t="s">
        <v>11535</v>
      </c>
    </row>
    <row r="832" ht="18" customHeight="1" spans="1:6">
      <c r="A832" s="13" t="s">
        <v>1812</v>
      </c>
      <c r="B832" s="13" t="s">
        <v>2653</v>
      </c>
      <c r="C832" s="13" t="s">
        <v>13232</v>
      </c>
      <c r="D832" s="13">
        <v>6</v>
      </c>
      <c r="E832" s="179" t="s">
        <v>13233</v>
      </c>
      <c r="F832" s="7" t="s">
        <v>11535</v>
      </c>
    </row>
    <row r="833" ht="18" customHeight="1" spans="1:6">
      <c r="A833" s="13" t="s">
        <v>1812</v>
      </c>
      <c r="B833" s="13" t="s">
        <v>2653</v>
      </c>
      <c r="C833" s="13" t="s">
        <v>13234</v>
      </c>
      <c r="D833" s="13">
        <v>4</v>
      </c>
      <c r="E833" s="179" t="s">
        <v>13235</v>
      </c>
      <c r="F833" s="7" t="s">
        <v>11535</v>
      </c>
    </row>
    <row r="834" ht="18" customHeight="1" spans="1:6">
      <c r="A834" s="13" t="s">
        <v>1812</v>
      </c>
      <c r="B834" s="13" t="s">
        <v>2596</v>
      </c>
      <c r="C834" s="13" t="s">
        <v>13236</v>
      </c>
      <c r="D834" s="13">
        <v>2</v>
      </c>
      <c r="E834" s="179" t="s">
        <v>13237</v>
      </c>
      <c r="F834" s="7" t="s">
        <v>11535</v>
      </c>
    </row>
    <row r="835" ht="18" customHeight="1" spans="1:6">
      <c r="A835" s="13" t="s">
        <v>1812</v>
      </c>
      <c r="B835" s="13" t="s">
        <v>2596</v>
      </c>
      <c r="C835" s="13" t="s">
        <v>13238</v>
      </c>
      <c r="D835" s="13">
        <v>4</v>
      </c>
      <c r="E835" s="179" t="s">
        <v>13239</v>
      </c>
      <c r="F835" s="7" t="s">
        <v>11535</v>
      </c>
    </row>
    <row r="836" ht="18" customHeight="1" spans="1:6">
      <c r="A836" s="13" t="s">
        <v>1812</v>
      </c>
      <c r="B836" s="13" t="s">
        <v>2596</v>
      </c>
      <c r="C836" s="13" t="s">
        <v>13240</v>
      </c>
      <c r="D836" s="13">
        <v>3</v>
      </c>
      <c r="E836" s="179" t="s">
        <v>13241</v>
      </c>
      <c r="F836" s="7" t="s">
        <v>11535</v>
      </c>
    </row>
    <row r="837" ht="18" customHeight="1" spans="1:6">
      <c r="A837" s="13" t="s">
        <v>1812</v>
      </c>
      <c r="B837" s="13" t="s">
        <v>2596</v>
      </c>
      <c r="C837" s="13" t="s">
        <v>13242</v>
      </c>
      <c r="D837" s="13">
        <v>5</v>
      </c>
      <c r="E837" s="179" t="s">
        <v>13243</v>
      </c>
      <c r="F837" s="7" t="s">
        <v>11535</v>
      </c>
    </row>
    <row r="838" ht="18" customHeight="1" spans="1:6">
      <c r="A838" s="13" t="s">
        <v>1812</v>
      </c>
      <c r="B838" s="13" t="s">
        <v>2596</v>
      </c>
      <c r="C838" s="13" t="s">
        <v>13244</v>
      </c>
      <c r="D838" s="13">
        <v>2</v>
      </c>
      <c r="E838" s="179" t="s">
        <v>13245</v>
      </c>
      <c r="F838" s="7" t="s">
        <v>11535</v>
      </c>
    </row>
    <row r="839" ht="18" customHeight="1" spans="1:6">
      <c r="A839" s="13" t="s">
        <v>1812</v>
      </c>
      <c r="B839" s="13" t="s">
        <v>2596</v>
      </c>
      <c r="C839" s="13" t="s">
        <v>13246</v>
      </c>
      <c r="D839" s="13">
        <v>3</v>
      </c>
      <c r="E839" s="179" t="s">
        <v>13247</v>
      </c>
      <c r="F839" s="7" t="s">
        <v>11535</v>
      </c>
    </row>
    <row r="840" ht="18" customHeight="1" spans="1:6">
      <c r="A840" s="13" t="s">
        <v>1812</v>
      </c>
      <c r="B840" s="13" t="s">
        <v>2596</v>
      </c>
      <c r="C840" s="13" t="s">
        <v>13248</v>
      </c>
      <c r="D840" s="13">
        <v>3</v>
      </c>
      <c r="E840" s="179" t="s">
        <v>13249</v>
      </c>
      <c r="F840" s="7" t="s">
        <v>11535</v>
      </c>
    </row>
    <row r="841" ht="18" customHeight="1" spans="1:6">
      <c r="A841" s="13" t="s">
        <v>1812</v>
      </c>
      <c r="B841" s="13" t="s">
        <v>2596</v>
      </c>
      <c r="C841" s="13" t="s">
        <v>12276</v>
      </c>
      <c r="D841" s="13">
        <v>2</v>
      </c>
      <c r="E841" s="179" t="s">
        <v>13250</v>
      </c>
      <c r="F841" s="7" t="s">
        <v>11535</v>
      </c>
    </row>
    <row r="842" ht="18" customHeight="1" spans="1:6">
      <c r="A842" s="13" t="s">
        <v>1812</v>
      </c>
      <c r="B842" s="13" t="s">
        <v>2596</v>
      </c>
      <c r="C842" s="13" t="s">
        <v>13251</v>
      </c>
      <c r="D842" s="13">
        <v>1</v>
      </c>
      <c r="E842" s="179" t="s">
        <v>13252</v>
      </c>
      <c r="F842" s="7" t="s">
        <v>11535</v>
      </c>
    </row>
    <row r="843" ht="18" customHeight="1" spans="1:6">
      <c r="A843" s="13" t="s">
        <v>1812</v>
      </c>
      <c r="B843" s="13" t="s">
        <v>2596</v>
      </c>
      <c r="C843" s="13" t="s">
        <v>13253</v>
      </c>
      <c r="D843" s="13">
        <v>4</v>
      </c>
      <c r="E843" s="179" t="s">
        <v>13254</v>
      </c>
      <c r="F843" s="7" t="s">
        <v>11535</v>
      </c>
    </row>
    <row r="844" ht="18" customHeight="1" spans="1:6">
      <c r="A844" s="13" t="s">
        <v>1812</v>
      </c>
      <c r="B844" s="13" t="s">
        <v>2596</v>
      </c>
      <c r="C844" s="13" t="s">
        <v>13255</v>
      </c>
      <c r="D844" s="13">
        <v>1</v>
      </c>
      <c r="E844" s="179" t="s">
        <v>13256</v>
      </c>
      <c r="F844" s="7" t="s">
        <v>11535</v>
      </c>
    </row>
    <row r="845" ht="18" customHeight="1" spans="1:6">
      <c r="A845" s="13" t="s">
        <v>1812</v>
      </c>
      <c r="B845" s="13" t="s">
        <v>13257</v>
      </c>
      <c r="C845" s="13" t="s">
        <v>13258</v>
      </c>
      <c r="D845" s="13">
        <v>3</v>
      </c>
      <c r="E845" s="5" t="str">
        <f>LEFT("422626196901272315",19)</f>
        <v>422626196901272315</v>
      </c>
      <c r="F845" s="7" t="s">
        <v>11535</v>
      </c>
    </row>
    <row r="846" ht="18" customHeight="1" spans="1:6">
      <c r="A846" s="13" t="s">
        <v>1812</v>
      </c>
      <c r="B846" s="13" t="s">
        <v>13257</v>
      </c>
      <c r="C846" s="13" t="s">
        <v>13259</v>
      </c>
      <c r="D846" s="13">
        <v>3</v>
      </c>
      <c r="E846" s="5" t="str">
        <f>LEFT("422626196202032355",19)</f>
        <v>422626196202032355</v>
      </c>
      <c r="F846" s="7" t="s">
        <v>11535</v>
      </c>
    </row>
    <row r="847" ht="18" customHeight="1" spans="1:6">
      <c r="A847" s="13" t="s">
        <v>1812</v>
      </c>
      <c r="B847" s="13" t="s">
        <v>13257</v>
      </c>
      <c r="C847" s="13" t="s">
        <v>13260</v>
      </c>
      <c r="D847" s="13">
        <v>2</v>
      </c>
      <c r="E847" s="5" t="str">
        <f>LEFT("422626195207042312",19)</f>
        <v>422626195207042312</v>
      </c>
      <c r="F847" s="7" t="s">
        <v>11535</v>
      </c>
    </row>
    <row r="848" ht="18" customHeight="1" spans="1:6">
      <c r="A848" s="13" t="s">
        <v>1812</v>
      </c>
      <c r="B848" s="13" t="s">
        <v>13257</v>
      </c>
      <c r="C848" s="13" t="s">
        <v>13261</v>
      </c>
      <c r="D848" s="13">
        <v>5</v>
      </c>
      <c r="E848" s="5" t="str">
        <f>LEFT("422626195507122314",19)</f>
        <v>422626195507122314</v>
      </c>
      <c r="F848" s="7" t="s">
        <v>11535</v>
      </c>
    </row>
    <row r="849" ht="18" customHeight="1" spans="1:6">
      <c r="A849" s="13" t="s">
        <v>1812</v>
      </c>
      <c r="B849" s="13" t="s">
        <v>13262</v>
      </c>
      <c r="C849" s="13" t="s">
        <v>13263</v>
      </c>
      <c r="D849" s="13">
        <v>2</v>
      </c>
      <c r="E849" s="179" t="s">
        <v>13264</v>
      </c>
      <c r="F849" s="7" t="s">
        <v>11535</v>
      </c>
    </row>
    <row r="850" ht="18" customHeight="1" spans="1:6">
      <c r="A850" s="13" t="s">
        <v>1812</v>
      </c>
      <c r="B850" s="13" t="s">
        <v>13262</v>
      </c>
      <c r="C850" s="13" t="s">
        <v>13265</v>
      </c>
      <c r="D850" s="13">
        <v>4</v>
      </c>
      <c r="E850" s="5" t="str">
        <f>LEFT("420325198604182318",19)</f>
        <v>420325198604182318</v>
      </c>
      <c r="F850" s="7" t="s">
        <v>11535</v>
      </c>
    </row>
    <row r="851" ht="18" customHeight="1" spans="1:6">
      <c r="A851" s="13" t="s">
        <v>1812</v>
      </c>
      <c r="B851" s="13" t="s">
        <v>13262</v>
      </c>
      <c r="C851" s="13" t="s">
        <v>13266</v>
      </c>
      <c r="D851" s="13">
        <v>2</v>
      </c>
      <c r="E851" s="5" t="str">
        <f>LEFT("422626197002112312",19)</f>
        <v>422626197002112312</v>
      </c>
      <c r="F851" s="7" t="s">
        <v>11535</v>
      </c>
    </row>
    <row r="852" ht="18" customHeight="1" spans="1:6">
      <c r="A852" s="13" t="s">
        <v>1812</v>
      </c>
      <c r="B852" s="13" t="s">
        <v>13262</v>
      </c>
      <c r="C852" s="13" t="s">
        <v>8328</v>
      </c>
      <c r="D852" s="13">
        <v>4</v>
      </c>
      <c r="E852" s="5" t="str">
        <f>LEFT("420325197301042313",19)</f>
        <v>420325197301042313</v>
      </c>
      <c r="F852" s="7" t="s">
        <v>11535</v>
      </c>
    </row>
    <row r="853" ht="18" customHeight="1" spans="1:6">
      <c r="A853" s="13" t="s">
        <v>1812</v>
      </c>
      <c r="B853" s="13" t="s">
        <v>13267</v>
      </c>
      <c r="C853" s="13" t="s">
        <v>13268</v>
      </c>
      <c r="D853" s="13">
        <v>6</v>
      </c>
      <c r="E853" s="5" t="str">
        <f>LEFT("422626195311032317",19)</f>
        <v>422626195311032317</v>
      </c>
      <c r="F853" s="7" t="s">
        <v>11535</v>
      </c>
    </row>
    <row r="854" ht="18" customHeight="1" spans="1:6">
      <c r="A854" s="13" t="s">
        <v>1812</v>
      </c>
      <c r="B854" s="13" t="s">
        <v>13257</v>
      </c>
      <c r="C854" s="13" t="s">
        <v>13269</v>
      </c>
      <c r="D854" s="13">
        <v>1</v>
      </c>
      <c r="E854" s="5" t="str">
        <f>LEFT("422626197311262314",19)</f>
        <v>422626197311262314</v>
      </c>
      <c r="F854" s="7" t="s">
        <v>11535</v>
      </c>
    </row>
    <row r="855" ht="18" customHeight="1" spans="1:6">
      <c r="A855" s="13" t="s">
        <v>1812</v>
      </c>
      <c r="B855" s="13" t="s">
        <v>13262</v>
      </c>
      <c r="C855" s="13" t="s">
        <v>13270</v>
      </c>
      <c r="D855" s="13">
        <v>4</v>
      </c>
      <c r="E855" s="5" t="str">
        <f>LEFT("420325197409262318",19)</f>
        <v>420325197409262318</v>
      </c>
      <c r="F855" s="7" t="s">
        <v>11535</v>
      </c>
    </row>
    <row r="856" ht="18" customHeight="1" spans="1:6">
      <c r="A856" s="13" t="s">
        <v>1812</v>
      </c>
      <c r="B856" s="13" t="s">
        <v>13267</v>
      </c>
      <c r="C856" s="13" t="s">
        <v>13271</v>
      </c>
      <c r="D856" s="13">
        <v>4</v>
      </c>
      <c r="E856" s="5" t="str">
        <f>LEFT("420325198405273014",19)</f>
        <v>420325198405273014</v>
      </c>
      <c r="F856" s="7" t="s">
        <v>11535</v>
      </c>
    </row>
    <row r="857" ht="18" customHeight="1" spans="1:6">
      <c r="A857" s="13" t="s">
        <v>1812</v>
      </c>
      <c r="B857" s="13" t="s">
        <v>13267</v>
      </c>
      <c r="C857" s="13" t="s">
        <v>13272</v>
      </c>
      <c r="D857" s="13">
        <v>4</v>
      </c>
      <c r="E857" s="5" t="str">
        <f>LEFT("422626195107292314",19)</f>
        <v>422626195107292314</v>
      </c>
      <c r="F857" s="7" t="s">
        <v>11535</v>
      </c>
    </row>
    <row r="858" ht="18" customHeight="1" spans="1:6">
      <c r="A858" s="13" t="s">
        <v>1812</v>
      </c>
      <c r="B858" s="13" t="s">
        <v>13273</v>
      </c>
      <c r="C858" s="13" t="s">
        <v>13274</v>
      </c>
      <c r="D858" s="13">
        <v>2</v>
      </c>
      <c r="E858" s="186" t="s">
        <v>13275</v>
      </c>
      <c r="F858" s="7" t="s">
        <v>11535</v>
      </c>
    </row>
    <row r="859" ht="18" customHeight="1" spans="1:6">
      <c r="A859" s="13" t="s">
        <v>1812</v>
      </c>
      <c r="B859" s="13" t="s">
        <v>13273</v>
      </c>
      <c r="C859" s="13" t="s">
        <v>13276</v>
      </c>
      <c r="D859" s="13">
        <v>3</v>
      </c>
      <c r="E859" s="15" t="s">
        <v>13277</v>
      </c>
      <c r="F859" s="7" t="s">
        <v>11535</v>
      </c>
    </row>
    <row r="860" ht="18" customHeight="1" spans="1:6">
      <c r="A860" s="13" t="s">
        <v>1812</v>
      </c>
      <c r="B860" s="13" t="s">
        <v>13273</v>
      </c>
      <c r="C860" s="13" t="s">
        <v>13278</v>
      </c>
      <c r="D860" s="13">
        <v>3</v>
      </c>
      <c r="E860" s="186" t="s">
        <v>13279</v>
      </c>
      <c r="F860" s="7" t="s">
        <v>11535</v>
      </c>
    </row>
    <row r="861" ht="18" customHeight="1" spans="1:6">
      <c r="A861" s="13" t="s">
        <v>1812</v>
      </c>
      <c r="B861" s="13" t="s">
        <v>2666</v>
      </c>
      <c r="C861" s="10" t="s">
        <v>13280</v>
      </c>
      <c r="D861" s="10" t="s">
        <v>2043</v>
      </c>
      <c r="E861" s="10" t="s">
        <v>13281</v>
      </c>
      <c r="F861" s="7" t="s">
        <v>11535</v>
      </c>
    </row>
    <row r="862" ht="18" customHeight="1" spans="1:6">
      <c r="A862" s="13" t="s">
        <v>1812</v>
      </c>
      <c r="B862" s="13" t="s">
        <v>2836</v>
      </c>
      <c r="C862" s="13" t="s">
        <v>13282</v>
      </c>
      <c r="D862" s="13">
        <v>3</v>
      </c>
      <c r="E862" s="14" t="s">
        <v>13283</v>
      </c>
      <c r="F862" s="7" t="s">
        <v>11535</v>
      </c>
    </row>
    <row r="863" ht="18" customHeight="1" spans="1:6">
      <c r="A863" s="13" t="s">
        <v>1812</v>
      </c>
      <c r="B863" s="13" t="s">
        <v>2836</v>
      </c>
      <c r="C863" s="13" t="s">
        <v>13284</v>
      </c>
      <c r="D863" s="13">
        <v>4</v>
      </c>
      <c r="E863" s="14" t="s">
        <v>13285</v>
      </c>
      <c r="F863" s="7" t="s">
        <v>11535</v>
      </c>
    </row>
    <row r="864" ht="18" customHeight="1" spans="1:6">
      <c r="A864" s="13" t="s">
        <v>1812</v>
      </c>
      <c r="B864" s="13" t="s">
        <v>2836</v>
      </c>
      <c r="C864" s="13" t="s">
        <v>13286</v>
      </c>
      <c r="D864" s="13">
        <v>4</v>
      </c>
      <c r="E864" s="14" t="s">
        <v>13287</v>
      </c>
      <c r="F864" s="7" t="s">
        <v>11535</v>
      </c>
    </row>
    <row r="865" ht="18" customHeight="1" spans="1:6">
      <c r="A865" s="13" t="s">
        <v>1812</v>
      </c>
      <c r="B865" s="13" t="s">
        <v>2836</v>
      </c>
      <c r="C865" s="13" t="s">
        <v>13288</v>
      </c>
      <c r="D865" s="13">
        <v>2</v>
      </c>
      <c r="E865" s="14" t="s">
        <v>13289</v>
      </c>
      <c r="F865" s="7" t="s">
        <v>11535</v>
      </c>
    </row>
    <row r="866" ht="18" customHeight="1" spans="1:6">
      <c r="A866" s="13" t="s">
        <v>1812</v>
      </c>
      <c r="B866" s="13" t="s">
        <v>2847</v>
      </c>
      <c r="C866" s="13" t="s">
        <v>10774</v>
      </c>
      <c r="D866" s="13">
        <v>3</v>
      </c>
      <c r="E866" s="14" t="s">
        <v>13290</v>
      </c>
      <c r="F866" s="7" t="s">
        <v>11535</v>
      </c>
    </row>
    <row r="867" ht="18" customHeight="1" spans="1:6">
      <c r="A867" s="13" t="s">
        <v>1812</v>
      </c>
      <c r="B867" s="13" t="s">
        <v>2847</v>
      </c>
      <c r="C867" s="13" t="s">
        <v>13291</v>
      </c>
      <c r="D867" s="13">
        <v>3</v>
      </c>
      <c r="E867" s="14" t="s">
        <v>13292</v>
      </c>
      <c r="F867" s="7" t="s">
        <v>11535</v>
      </c>
    </row>
    <row r="868" ht="18" customHeight="1" spans="1:6">
      <c r="A868" s="13" t="s">
        <v>1812</v>
      </c>
      <c r="B868" s="13" t="s">
        <v>2847</v>
      </c>
      <c r="C868" s="13" t="s">
        <v>13293</v>
      </c>
      <c r="D868" s="13">
        <v>2</v>
      </c>
      <c r="E868" s="14" t="s">
        <v>13294</v>
      </c>
      <c r="F868" s="7" t="s">
        <v>11535</v>
      </c>
    </row>
    <row r="869" ht="18" customHeight="1" spans="1:6">
      <c r="A869" s="13" t="s">
        <v>1812</v>
      </c>
      <c r="B869" s="13" t="s">
        <v>2847</v>
      </c>
      <c r="C869" s="13" t="s">
        <v>13295</v>
      </c>
      <c r="D869" s="13">
        <v>2</v>
      </c>
      <c r="E869" s="14" t="s">
        <v>13296</v>
      </c>
      <c r="F869" s="7" t="s">
        <v>11535</v>
      </c>
    </row>
    <row r="870" ht="18" customHeight="1" spans="1:6">
      <c r="A870" s="13" t="s">
        <v>1812</v>
      </c>
      <c r="B870" s="13" t="s">
        <v>2847</v>
      </c>
      <c r="C870" s="13" t="s">
        <v>13297</v>
      </c>
      <c r="D870" s="13">
        <v>1</v>
      </c>
      <c r="E870" s="14" t="s">
        <v>13298</v>
      </c>
      <c r="F870" s="7" t="s">
        <v>11535</v>
      </c>
    </row>
    <row r="871" ht="18" customHeight="1" spans="1:6">
      <c r="A871" s="13" t="s">
        <v>1812</v>
      </c>
      <c r="B871" s="13" t="s">
        <v>2847</v>
      </c>
      <c r="C871" s="13" t="s">
        <v>13299</v>
      </c>
      <c r="D871" s="13">
        <v>1</v>
      </c>
      <c r="E871" s="14" t="s">
        <v>13300</v>
      </c>
      <c r="F871" s="7" t="s">
        <v>11535</v>
      </c>
    </row>
    <row r="872" ht="18" customHeight="1" spans="1:6">
      <c r="A872" s="13" t="s">
        <v>1812</v>
      </c>
      <c r="B872" s="13" t="s">
        <v>2847</v>
      </c>
      <c r="C872" s="13" t="s">
        <v>13301</v>
      </c>
      <c r="D872" s="13">
        <v>1</v>
      </c>
      <c r="E872" s="14" t="s">
        <v>13302</v>
      </c>
      <c r="F872" s="7" t="s">
        <v>11535</v>
      </c>
    </row>
    <row r="873" ht="18" customHeight="1" spans="1:6">
      <c r="A873" s="13" t="s">
        <v>1812</v>
      </c>
      <c r="B873" s="13" t="s">
        <v>2847</v>
      </c>
      <c r="C873" s="13" t="s">
        <v>13303</v>
      </c>
      <c r="D873" s="13">
        <v>1</v>
      </c>
      <c r="E873" s="14" t="s">
        <v>13304</v>
      </c>
      <c r="F873" s="7" t="s">
        <v>11535</v>
      </c>
    </row>
    <row r="874" ht="18" customHeight="1" spans="1:6">
      <c r="A874" s="13" t="s">
        <v>1812</v>
      </c>
      <c r="B874" s="13" t="s">
        <v>2847</v>
      </c>
      <c r="C874" s="13" t="s">
        <v>13305</v>
      </c>
      <c r="D874" s="13">
        <v>3</v>
      </c>
      <c r="E874" s="14" t="s">
        <v>13306</v>
      </c>
      <c r="F874" s="7" t="s">
        <v>11535</v>
      </c>
    </row>
    <row r="875" ht="18" customHeight="1" spans="1:6">
      <c r="A875" s="13" t="s">
        <v>1812</v>
      </c>
      <c r="B875" s="13" t="s">
        <v>2847</v>
      </c>
      <c r="C875" s="13" t="s">
        <v>13307</v>
      </c>
      <c r="D875" s="13">
        <v>3</v>
      </c>
      <c r="E875" s="14" t="s">
        <v>13308</v>
      </c>
      <c r="F875" s="7" t="s">
        <v>11535</v>
      </c>
    </row>
    <row r="876" ht="18" customHeight="1" spans="1:6">
      <c r="A876" s="13" t="s">
        <v>1812</v>
      </c>
      <c r="B876" s="13" t="s">
        <v>2847</v>
      </c>
      <c r="C876" s="13" t="s">
        <v>13309</v>
      </c>
      <c r="D876" s="13">
        <v>4</v>
      </c>
      <c r="E876" s="14" t="s">
        <v>13310</v>
      </c>
      <c r="F876" s="7" t="s">
        <v>11535</v>
      </c>
    </row>
    <row r="877" ht="18" customHeight="1" spans="1:6">
      <c r="A877" s="13" t="s">
        <v>1812</v>
      </c>
      <c r="B877" s="13" t="s">
        <v>2847</v>
      </c>
      <c r="C877" s="13" t="s">
        <v>13311</v>
      </c>
      <c r="D877" s="13">
        <v>5</v>
      </c>
      <c r="E877" s="14" t="s">
        <v>13312</v>
      </c>
      <c r="F877" s="7" t="s">
        <v>11535</v>
      </c>
    </row>
    <row r="878" ht="18" customHeight="1" spans="1:6">
      <c r="A878" s="13" t="s">
        <v>1812</v>
      </c>
      <c r="B878" s="13" t="s">
        <v>2847</v>
      </c>
      <c r="C878" s="13" t="s">
        <v>13313</v>
      </c>
      <c r="D878" s="13">
        <v>4</v>
      </c>
      <c r="E878" s="14" t="s">
        <v>13314</v>
      </c>
      <c r="F878" s="7" t="s">
        <v>11535</v>
      </c>
    </row>
    <row r="879" ht="18" customHeight="1" spans="1:6">
      <c r="A879" s="13" t="s">
        <v>1812</v>
      </c>
      <c r="B879" s="13" t="s">
        <v>2858</v>
      </c>
      <c r="C879" s="13" t="s">
        <v>13315</v>
      </c>
      <c r="D879" s="13">
        <v>4</v>
      </c>
      <c r="E879" s="14" t="s">
        <v>13316</v>
      </c>
      <c r="F879" s="7" t="s">
        <v>11535</v>
      </c>
    </row>
    <row r="880" ht="18" customHeight="1" spans="1:6">
      <c r="A880" s="13" t="s">
        <v>1812</v>
      </c>
      <c r="B880" s="13" t="s">
        <v>2858</v>
      </c>
      <c r="C880" s="13" t="s">
        <v>2559</v>
      </c>
      <c r="D880" s="13">
        <v>4</v>
      </c>
      <c r="E880" s="14" t="s">
        <v>13317</v>
      </c>
      <c r="F880" s="7" t="s">
        <v>11535</v>
      </c>
    </row>
    <row r="881" ht="18" customHeight="1" spans="1:6">
      <c r="A881" s="13" t="s">
        <v>1812</v>
      </c>
      <c r="B881" s="13" t="s">
        <v>2858</v>
      </c>
      <c r="C881" s="13" t="s">
        <v>13318</v>
      </c>
      <c r="D881" s="13">
        <v>1</v>
      </c>
      <c r="E881" s="14" t="s">
        <v>13319</v>
      </c>
      <c r="F881" s="7" t="s">
        <v>11535</v>
      </c>
    </row>
    <row r="882" ht="18" customHeight="1" spans="1:6">
      <c r="A882" s="13" t="s">
        <v>1812</v>
      </c>
      <c r="B882" s="13" t="s">
        <v>2858</v>
      </c>
      <c r="C882" s="13" t="s">
        <v>13320</v>
      </c>
      <c r="D882" s="13">
        <v>1</v>
      </c>
      <c r="E882" s="14" t="s">
        <v>13321</v>
      </c>
      <c r="F882" s="7" t="s">
        <v>11535</v>
      </c>
    </row>
    <row r="883" ht="18" customHeight="1" spans="1:6">
      <c r="A883" s="13" t="s">
        <v>1812</v>
      </c>
      <c r="B883" s="13" t="s">
        <v>2858</v>
      </c>
      <c r="C883" s="13" t="s">
        <v>13322</v>
      </c>
      <c r="D883" s="13">
        <v>1</v>
      </c>
      <c r="E883" s="14" t="s">
        <v>13323</v>
      </c>
      <c r="F883" s="7" t="s">
        <v>11535</v>
      </c>
    </row>
    <row r="884" ht="18" customHeight="1" spans="1:6">
      <c r="A884" s="13" t="s">
        <v>1812</v>
      </c>
      <c r="B884" s="13" t="s">
        <v>2858</v>
      </c>
      <c r="C884" s="13" t="s">
        <v>13324</v>
      </c>
      <c r="D884" s="13">
        <v>1</v>
      </c>
      <c r="E884" s="14" t="s">
        <v>13325</v>
      </c>
      <c r="F884" s="7" t="s">
        <v>11535</v>
      </c>
    </row>
    <row r="885" ht="18" customHeight="1" spans="1:6">
      <c r="A885" s="13" t="s">
        <v>1812</v>
      </c>
      <c r="B885" s="13" t="s">
        <v>2858</v>
      </c>
      <c r="C885" s="13" t="s">
        <v>13326</v>
      </c>
      <c r="D885" s="13">
        <v>3</v>
      </c>
      <c r="E885" s="14" t="s">
        <v>13327</v>
      </c>
      <c r="F885" s="7" t="s">
        <v>11535</v>
      </c>
    </row>
    <row r="886" ht="18" customHeight="1" spans="1:6">
      <c r="A886" s="13" t="s">
        <v>1812</v>
      </c>
      <c r="B886" s="13" t="s">
        <v>2858</v>
      </c>
      <c r="C886" s="13" t="s">
        <v>13328</v>
      </c>
      <c r="D886" s="13">
        <v>4</v>
      </c>
      <c r="E886" s="14" t="s">
        <v>13329</v>
      </c>
      <c r="F886" s="7" t="s">
        <v>11535</v>
      </c>
    </row>
    <row r="887" ht="18" customHeight="1" spans="1:6">
      <c r="A887" s="13" t="s">
        <v>1812</v>
      </c>
      <c r="B887" s="13" t="s">
        <v>2858</v>
      </c>
      <c r="C887" s="13" t="s">
        <v>13330</v>
      </c>
      <c r="D887" s="13">
        <v>2</v>
      </c>
      <c r="E887" s="14" t="s">
        <v>13331</v>
      </c>
      <c r="F887" s="7" t="s">
        <v>11535</v>
      </c>
    </row>
    <row r="888" ht="18" customHeight="1" spans="1:6">
      <c r="A888" s="13" t="s">
        <v>1812</v>
      </c>
      <c r="B888" s="13" t="s">
        <v>2858</v>
      </c>
      <c r="C888" s="13" t="s">
        <v>13332</v>
      </c>
      <c r="D888" s="13">
        <v>6</v>
      </c>
      <c r="E888" s="14" t="s">
        <v>13333</v>
      </c>
      <c r="F888" s="7" t="s">
        <v>11535</v>
      </c>
    </row>
    <row r="889" ht="18" customHeight="1" spans="1:6">
      <c r="A889" s="13" t="s">
        <v>1812</v>
      </c>
      <c r="B889" s="13" t="s">
        <v>2858</v>
      </c>
      <c r="C889" s="13" t="s">
        <v>13334</v>
      </c>
      <c r="D889" s="13">
        <v>5</v>
      </c>
      <c r="E889" s="14" t="s">
        <v>13335</v>
      </c>
      <c r="F889" s="7" t="s">
        <v>11535</v>
      </c>
    </row>
    <row r="890" ht="18" customHeight="1" spans="1:6">
      <c r="A890" s="13" t="s">
        <v>1812</v>
      </c>
      <c r="B890" s="13" t="s">
        <v>2873</v>
      </c>
      <c r="C890" s="13" t="s">
        <v>13336</v>
      </c>
      <c r="D890" s="13">
        <v>4</v>
      </c>
      <c r="E890" s="14" t="s">
        <v>13337</v>
      </c>
      <c r="F890" s="7" t="s">
        <v>11535</v>
      </c>
    </row>
    <row r="891" ht="18" customHeight="1" spans="1:6">
      <c r="A891" s="13" t="s">
        <v>1812</v>
      </c>
      <c r="B891" s="13" t="s">
        <v>2873</v>
      </c>
      <c r="C891" s="13" t="s">
        <v>13338</v>
      </c>
      <c r="D891" s="13">
        <v>3</v>
      </c>
      <c r="E891" s="14" t="s">
        <v>13339</v>
      </c>
      <c r="F891" s="7" t="s">
        <v>11535</v>
      </c>
    </row>
    <row r="892" ht="18" customHeight="1" spans="1:6">
      <c r="A892" s="13" t="s">
        <v>1812</v>
      </c>
      <c r="B892" s="13" t="s">
        <v>2873</v>
      </c>
      <c r="C892" s="13" t="s">
        <v>13340</v>
      </c>
      <c r="D892" s="13">
        <v>2</v>
      </c>
      <c r="E892" s="14" t="s">
        <v>13341</v>
      </c>
      <c r="F892" s="7" t="s">
        <v>11535</v>
      </c>
    </row>
    <row r="893" ht="18" customHeight="1" spans="1:6">
      <c r="A893" s="13" t="s">
        <v>1812</v>
      </c>
      <c r="B893" s="13" t="s">
        <v>2873</v>
      </c>
      <c r="C893" s="13" t="s">
        <v>13342</v>
      </c>
      <c r="D893" s="13">
        <v>2</v>
      </c>
      <c r="E893" s="14" t="s">
        <v>13343</v>
      </c>
      <c r="F893" s="7" t="s">
        <v>11535</v>
      </c>
    </row>
    <row r="894" ht="18" customHeight="1" spans="1:6">
      <c r="A894" s="13" t="s">
        <v>1812</v>
      </c>
      <c r="B894" s="13" t="s">
        <v>2884</v>
      </c>
      <c r="C894" s="13" t="s">
        <v>13344</v>
      </c>
      <c r="D894" s="13">
        <v>3</v>
      </c>
      <c r="E894" s="14" t="s">
        <v>13345</v>
      </c>
      <c r="F894" s="7" t="s">
        <v>11535</v>
      </c>
    </row>
    <row r="895" ht="18" customHeight="1" spans="1:6">
      <c r="A895" s="13" t="s">
        <v>1812</v>
      </c>
      <c r="B895" s="13" t="s">
        <v>2884</v>
      </c>
      <c r="C895" s="13" t="s">
        <v>13346</v>
      </c>
      <c r="D895" s="13">
        <v>3</v>
      </c>
      <c r="E895" s="14" t="s">
        <v>13347</v>
      </c>
      <c r="F895" s="7" t="s">
        <v>11535</v>
      </c>
    </row>
    <row r="896" ht="18" customHeight="1" spans="1:6">
      <c r="A896" s="13" t="s">
        <v>1812</v>
      </c>
      <c r="B896" s="13" t="s">
        <v>2884</v>
      </c>
      <c r="C896" s="13" t="s">
        <v>13348</v>
      </c>
      <c r="D896" s="13">
        <v>1</v>
      </c>
      <c r="E896" s="14" t="s">
        <v>13349</v>
      </c>
      <c r="F896" s="7" t="s">
        <v>11535</v>
      </c>
    </row>
    <row r="897" ht="18" customHeight="1" spans="1:6">
      <c r="A897" s="13" t="s">
        <v>1812</v>
      </c>
      <c r="B897" s="13" t="s">
        <v>2884</v>
      </c>
      <c r="C897" s="13" t="s">
        <v>13350</v>
      </c>
      <c r="D897" s="13">
        <v>2</v>
      </c>
      <c r="E897" s="14" t="s">
        <v>13351</v>
      </c>
      <c r="F897" s="7" t="s">
        <v>11535</v>
      </c>
    </row>
    <row r="898" ht="18" customHeight="1" spans="1:6">
      <c r="A898" s="13" t="s">
        <v>1812</v>
      </c>
      <c r="B898" s="13" t="s">
        <v>2884</v>
      </c>
      <c r="C898" s="13" t="s">
        <v>13352</v>
      </c>
      <c r="D898" s="13">
        <v>4</v>
      </c>
      <c r="E898" s="14" t="s">
        <v>13353</v>
      </c>
      <c r="F898" s="7" t="s">
        <v>11535</v>
      </c>
    </row>
    <row r="899" ht="18" customHeight="1" spans="1:6">
      <c r="A899" s="13" t="s">
        <v>1812</v>
      </c>
      <c r="B899" s="13" t="s">
        <v>2884</v>
      </c>
      <c r="C899" s="13" t="s">
        <v>13354</v>
      </c>
      <c r="D899" s="13">
        <v>1</v>
      </c>
      <c r="E899" s="14" t="s">
        <v>13355</v>
      </c>
      <c r="F899" s="7" t="s">
        <v>11535</v>
      </c>
    </row>
    <row r="900" ht="18" customHeight="1" spans="1:6">
      <c r="A900" s="13" t="s">
        <v>2918</v>
      </c>
      <c r="B900" s="13"/>
      <c r="C900" s="13">
        <v>133</v>
      </c>
      <c r="D900" s="13">
        <f>SUM(D767:D899)</f>
        <v>407</v>
      </c>
      <c r="E900" s="13"/>
      <c r="F900" s="5"/>
    </row>
    <row r="901" ht="18" customHeight="1" spans="1:6">
      <c r="A901" s="13" t="s">
        <v>2919</v>
      </c>
      <c r="B901" s="13" t="s">
        <v>2920</v>
      </c>
      <c r="C901" s="13" t="s">
        <v>13356</v>
      </c>
      <c r="D901" s="13">
        <v>4</v>
      </c>
      <c r="E901" s="179" t="s">
        <v>13357</v>
      </c>
      <c r="F901" s="7" t="s">
        <v>11535</v>
      </c>
    </row>
    <row r="902" ht="18" customHeight="1" spans="1:6">
      <c r="A902" s="13" t="s">
        <v>2919</v>
      </c>
      <c r="B902" s="13" t="s">
        <v>2920</v>
      </c>
      <c r="C902" s="13" t="s">
        <v>13358</v>
      </c>
      <c r="D902" s="13">
        <v>4</v>
      </c>
      <c r="E902" s="179" t="s">
        <v>13359</v>
      </c>
      <c r="F902" s="7" t="s">
        <v>11535</v>
      </c>
    </row>
    <row r="903" ht="18" customHeight="1" spans="1:6">
      <c r="A903" s="13" t="s">
        <v>2919</v>
      </c>
      <c r="B903" s="13" t="s">
        <v>2920</v>
      </c>
      <c r="C903" s="13" t="s">
        <v>13360</v>
      </c>
      <c r="D903" s="13">
        <v>3</v>
      </c>
      <c r="E903" s="179" t="s">
        <v>13361</v>
      </c>
      <c r="F903" s="7" t="s">
        <v>11535</v>
      </c>
    </row>
    <row r="904" ht="18" customHeight="1" spans="1:6">
      <c r="A904" s="13" t="s">
        <v>2919</v>
      </c>
      <c r="B904" s="13" t="s">
        <v>2920</v>
      </c>
      <c r="C904" s="13" t="s">
        <v>13362</v>
      </c>
      <c r="D904" s="13">
        <v>4</v>
      </c>
      <c r="E904" s="179" t="s">
        <v>13363</v>
      </c>
      <c r="F904" s="7" t="s">
        <v>11535</v>
      </c>
    </row>
    <row r="905" ht="18" customHeight="1" spans="1:6">
      <c r="A905" s="13" t="s">
        <v>2919</v>
      </c>
      <c r="B905" s="13" t="s">
        <v>2920</v>
      </c>
      <c r="C905" s="13" t="s">
        <v>13364</v>
      </c>
      <c r="D905" s="13">
        <v>4</v>
      </c>
      <c r="E905" s="179" t="s">
        <v>13365</v>
      </c>
      <c r="F905" s="7" t="s">
        <v>11535</v>
      </c>
    </row>
    <row r="906" ht="18" customHeight="1" spans="1:6">
      <c r="A906" s="13" t="s">
        <v>2919</v>
      </c>
      <c r="B906" s="13" t="s">
        <v>2920</v>
      </c>
      <c r="C906" s="13" t="s">
        <v>13366</v>
      </c>
      <c r="D906" s="13">
        <v>2</v>
      </c>
      <c r="E906" s="179" t="s">
        <v>13367</v>
      </c>
      <c r="F906" s="7" t="s">
        <v>11535</v>
      </c>
    </row>
    <row r="907" ht="18" customHeight="1" spans="1:6">
      <c r="A907" s="13" t="s">
        <v>2919</v>
      </c>
      <c r="B907" s="13" t="s">
        <v>2920</v>
      </c>
      <c r="C907" s="13" t="s">
        <v>13368</v>
      </c>
      <c r="D907" s="13">
        <v>3</v>
      </c>
      <c r="E907" s="13" t="s">
        <v>13369</v>
      </c>
      <c r="F907" s="7" t="s">
        <v>11535</v>
      </c>
    </row>
    <row r="908" ht="18" customHeight="1" spans="1:6">
      <c r="A908" s="13" t="s">
        <v>2919</v>
      </c>
      <c r="B908" s="13" t="s">
        <v>2920</v>
      </c>
      <c r="C908" s="13" t="s">
        <v>13370</v>
      </c>
      <c r="D908" s="13">
        <v>3</v>
      </c>
      <c r="E908" s="179" t="s">
        <v>13371</v>
      </c>
      <c r="F908" s="7" t="s">
        <v>11535</v>
      </c>
    </row>
    <row r="909" ht="18" customHeight="1" spans="1:6">
      <c r="A909" s="13" t="s">
        <v>2919</v>
      </c>
      <c r="B909" s="13" t="s">
        <v>2920</v>
      </c>
      <c r="C909" s="13" t="s">
        <v>13372</v>
      </c>
      <c r="D909" s="13">
        <v>3</v>
      </c>
      <c r="E909" s="179" t="s">
        <v>13373</v>
      </c>
      <c r="F909" s="7" t="s">
        <v>11535</v>
      </c>
    </row>
    <row r="910" ht="18" customHeight="1" spans="1:6">
      <c r="A910" s="13" t="s">
        <v>2919</v>
      </c>
      <c r="B910" s="13" t="s">
        <v>2920</v>
      </c>
      <c r="C910" s="13" t="s">
        <v>13374</v>
      </c>
      <c r="D910" s="13">
        <v>6</v>
      </c>
      <c r="E910" s="179" t="s">
        <v>13375</v>
      </c>
      <c r="F910" s="7" t="s">
        <v>11535</v>
      </c>
    </row>
    <row r="911" ht="18" customHeight="1" spans="1:6">
      <c r="A911" s="13" t="s">
        <v>2919</v>
      </c>
      <c r="B911" s="13" t="s">
        <v>2920</v>
      </c>
      <c r="C911" s="13" t="s">
        <v>13376</v>
      </c>
      <c r="D911" s="13">
        <v>2</v>
      </c>
      <c r="E911" s="179" t="s">
        <v>13377</v>
      </c>
      <c r="F911" s="7" t="s">
        <v>11535</v>
      </c>
    </row>
    <row r="912" ht="18" customHeight="1" spans="1:6">
      <c r="A912" s="13" t="s">
        <v>2919</v>
      </c>
      <c r="B912" s="13" t="s">
        <v>2920</v>
      </c>
      <c r="C912" s="13" t="s">
        <v>13378</v>
      </c>
      <c r="D912" s="13">
        <v>5</v>
      </c>
      <c r="E912" s="179" t="s">
        <v>13379</v>
      </c>
      <c r="F912" s="7" t="s">
        <v>11535</v>
      </c>
    </row>
    <row r="913" ht="18" customHeight="1" spans="1:6">
      <c r="A913" s="13" t="s">
        <v>2919</v>
      </c>
      <c r="B913" s="13" t="s">
        <v>2920</v>
      </c>
      <c r="C913" s="13" t="s">
        <v>13380</v>
      </c>
      <c r="D913" s="13">
        <v>4</v>
      </c>
      <c r="E913" s="179" t="s">
        <v>13381</v>
      </c>
      <c r="F913" s="7" t="s">
        <v>11535</v>
      </c>
    </row>
    <row r="914" ht="18" customHeight="1" spans="1:6">
      <c r="A914" s="13" t="s">
        <v>2919</v>
      </c>
      <c r="B914" s="13" t="s">
        <v>2920</v>
      </c>
      <c r="C914" s="13" t="s">
        <v>13382</v>
      </c>
      <c r="D914" s="13">
        <v>4</v>
      </c>
      <c r="E914" s="179" t="s">
        <v>13383</v>
      </c>
      <c r="F914" s="7" t="s">
        <v>11535</v>
      </c>
    </row>
    <row r="915" ht="18" customHeight="1" spans="1:6">
      <c r="A915" s="13" t="s">
        <v>2919</v>
      </c>
      <c r="B915" s="13" t="s">
        <v>2920</v>
      </c>
      <c r="C915" s="13" t="s">
        <v>2564</v>
      </c>
      <c r="D915" s="13">
        <v>1</v>
      </c>
      <c r="E915" s="179" t="s">
        <v>13384</v>
      </c>
      <c r="F915" s="7" t="s">
        <v>11535</v>
      </c>
    </row>
    <row r="916" ht="18" customHeight="1" spans="1:6">
      <c r="A916" s="13" t="s">
        <v>2919</v>
      </c>
      <c r="B916" s="13" t="s">
        <v>2920</v>
      </c>
      <c r="C916" s="13" t="s">
        <v>13385</v>
      </c>
      <c r="D916" s="13">
        <v>3</v>
      </c>
      <c r="E916" s="179" t="s">
        <v>13386</v>
      </c>
      <c r="F916" s="7" t="s">
        <v>11535</v>
      </c>
    </row>
    <row r="917" ht="18" customHeight="1" spans="1:6">
      <c r="A917" s="13" t="s">
        <v>2919</v>
      </c>
      <c r="B917" s="13" t="s">
        <v>2920</v>
      </c>
      <c r="C917" s="13" t="s">
        <v>13387</v>
      </c>
      <c r="D917" s="13">
        <v>3</v>
      </c>
      <c r="E917" s="179" t="s">
        <v>13388</v>
      </c>
      <c r="F917" s="7" t="s">
        <v>11535</v>
      </c>
    </row>
    <row r="918" ht="18" customHeight="1" spans="1:6">
      <c r="A918" s="13" t="s">
        <v>2919</v>
      </c>
      <c r="B918" s="13" t="s">
        <v>2920</v>
      </c>
      <c r="C918" s="13" t="s">
        <v>13389</v>
      </c>
      <c r="D918" s="13">
        <v>3</v>
      </c>
      <c r="E918" s="179" t="s">
        <v>13390</v>
      </c>
      <c r="F918" s="7" t="s">
        <v>11535</v>
      </c>
    </row>
    <row r="919" ht="18" customHeight="1" spans="1:6">
      <c r="A919" s="13" t="s">
        <v>2919</v>
      </c>
      <c r="B919" s="13" t="s">
        <v>2920</v>
      </c>
      <c r="C919" s="13" t="s">
        <v>13391</v>
      </c>
      <c r="D919" s="13">
        <v>1</v>
      </c>
      <c r="E919" s="179" t="s">
        <v>13392</v>
      </c>
      <c r="F919" s="7" t="s">
        <v>11535</v>
      </c>
    </row>
    <row r="920" ht="18" customHeight="1" spans="1:6">
      <c r="A920" s="13" t="s">
        <v>2919</v>
      </c>
      <c r="B920" s="13" t="s">
        <v>2920</v>
      </c>
      <c r="C920" s="13" t="s">
        <v>13393</v>
      </c>
      <c r="D920" s="13">
        <v>3</v>
      </c>
      <c r="E920" s="179" t="s">
        <v>13394</v>
      </c>
      <c r="F920" s="7" t="s">
        <v>11535</v>
      </c>
    </row>
    <row r="921" ht="18" customHeight="1" spans="1:6">
      <c r="A921" s="13" t="s">
        <v>2919</v>
      </c>
      <c r="B921" s="13" t="s">
        <v>2920</v>
      </c>
      <c r="C921" s="13" t="s">
        <v>13395</v>
      </c>
      <c r="D921" s="13">
        <v>2</v>
      </c>
      <c r="E921" s="179" t="s">
        <v>13396</v>
      </c>
      <c r="F921" s="7" t="s">
        <v>11535</v>
      </c>
    </row>
    <row r="922" ht="18" customHeight="1" spans="1:6">
      <c r="A922" s="13" t="s">
        <v>2919</v>
      </c>
      <c r="B922" s="13" t="s">
        <v>2920</v>
      </c>
      <c r="C922" s="13" t="s">
        <v>13397</v>
      </c>
      <c r="D922" s="13">
        <v>4</v>
      </c>
      <c r="E922" s="179" t="s">
        <v>13398</v>
      </c>
      <c r="F922" s="7" t="s">
        <v>11535</v>
      </c>
    </row>
    <row r="923" ht="18" customHeight="1" spans="1:6">
      <c r="A923" s="13" t="s">
        <v>2919</v>
      </c>
      <c r="B923" s="13" t="s">
        <v>2920</v>
      </c>
      <c r="C923" s="13" t="s">
        <v>13399</v>
      </c>
      <c r="D923" s="13">
        <v>3</v>
      </c>
      <c r="E923" s="179" t="s">
        <v>13400</v>
      </c>
      <c r="F923" s="7" t="s">
        <v>11535</v>
      </c>
    </row>
    <row r="924" ht="18" customHeight="1" spans="1:6">
      <c r="A924" s="13" t="s">
        <v>2919</v>
      </c>
      <c r="B924" s="13" t="s">
        <v>2920</v>
      </c>
      <c r="C924" s="13" t="s">
        <v>13401</v>
      </c>
      <c r="D924" s="13">
        <v>3</v>
      </c>
      <c r="E924" s="179" t="s">
        <v>13402</v>
      </c>
      <c r="F924" s="7" t="s">
        <v>11535</v>
      </c>
    </row>
    <row r="925" ht="18" customHeight="1" spans="1:6">
      <c r="A925" s="13" t="s">
        <v>2919</v>
      </c>
      <c r="B925" s="13" t="s">
        <v>2920</v>
      </c>
      <c r="C925" s="13" t="s">
        <v>3602</v>
      </c>
      <c r="D925" s="13">
        <v>1</v>
      </c>
      <c r="E925" s="179" t="s">
        <v>13403</v>
      </c>
      <c r="F925" s="7" t="s">
        <v>11535</v>
      </c>
    </row>
    <row r="926" ht="18" customHeight="1" spans="1:6">
      <c r="A926" s="13" t="s">
        <v>2919</v>
      </c>
      <c r="B926" s="13" t="s">
        <v>2920</v>
      </c>
      <c r="C926" s="13" t="s">
        <v>3647</v>
      </c>
      <c r="D926" s="13">
        <v>2</v>
      </c>
      <c r="E926" s="179" t="s">
        <v>13404</v>
      </c>
      <c r="F926" s="7" t="s">
        <v>11535</v>
      </c>
    </row>
    <row r="927" ht="18" customHeight="1" spans="1:6">
      <c r="A927" s="13" t="s">
        <v>2919</v>
      </c>
      <c r="B927" s="13" t="s">
        <v>2920</v>
      </c>
      <c r="C927" s="13" t="s">
        <v>13405</v>
      </c>
      <c r="D927" s="13">
        <v>5</v>
      </c>
      <c r="E927" s="179" t="s">
        <v>13406</v>
      </c>
      <c r="F927" s="7" t="s">
        <v>11535</v>
      </c>
    </row>
    <row r="928" ht="18" customHeight="1" spans="1:6">
      <c r="A928" s="13" t="s">
        <v>2919</v>
      </c>
      <c r="B928" s="13" t="s">
        <v>2920</v>
      </c>
      <c r="C928" s="13" t="s">
        <v>13407</v>
      </c>
      <c r="D928" s="13">
        <v>5</v>
      </c>
      <c r="E928" s="179" t="s">
        <v>13408</v>
      </c>
      <c r="F928" s="7" t="s">
        <v>11535</v>
      </c>
    </row>
    <row r="929" ht="18" customHeight="1" spans="1:6">
      <c r="A929" s="13" t="s">
        <v>2919</v>
      </c>
      <c r="B929" s="13" t="s">
        <v>2920</v>
      </c>
      <c r="C929" s="13" t="s">
        <v>13409</v>
      </c>
      <c r="D929" s="13">
        <v>2</v>
      </c>
      <c r="E929" s="179" t="s">
        <v>13410</v>
      </c>
      <c r="F929" s="7" t="s">
        <v>11535</v>
      </c>
    </row>
    <row r="930" ht="18" customHeight="1" spans="1:6">
      <c r="A930" s="13" t="s">
        <v>2919</v>
      </c>
      <c r="B930" s="13" t="s">
        <v>2920</v>
      </c>
      <c r="C930" s="13" t="s">
        <v>13411</v>
      </c>
      <c r="D930" s="13">
        <v>2</v>
      </c>
      <c r="E930" s="179" t="s">
        <v>13412</v>
      </c>
      <c r="F930" s="7" t="s">
        <v>11535</v>
      </c>
    </row>
    <row r="931" ht="18" customHeight="1" spans="1:6">
      <c r="A931" s="13" t="s">
        <v>2919</v>
      </c>
      <c r="B931" s="13" t="s">
        <v>2920</v>
      </c>
      <c r="C931" s="13" t="s">
        <v>2708</v>
      </c>
      <c r="D931" s="13">
        <v>4</v>
      </c>
      <c r="E931" s="179" t="s">
        <v>13413</v>
      </c>
      <c r="F931" s="7" t="s">
        <v>11535</v>
      </c>
    </row>
    <row r="932" ht="18" customHeight="1" spans="1:6">
      <c r="A932" s="13" t="s">
        <v>2919</v>
      </c>
      <c r="B932" s="13" t="s">
        <v>2920</v>
      </c>
      <c r="C932" s="13" t="s">
        <v>13414</v>
      </c>
      <c r="D932" s="13">
        <v>3</v>
      </c>
      <c r="E932" s="13" t="s">
        <v>13415</v>
      </c>
      <c r="F932" s="7" t="s">
        <v>11535</v>
      </c>
    </row>
    <row r="933" ht="18" customHeight="1" spans="1:6">
      <c r="A933" s="13" t="s">
        <v>2919</v>
      </c>
      <c r="B933" s="13" t="s">
        <v>2920</v>
      </c>
      <c r="C933" s="13" t="s">
        <v>13416</v>
      </c>
      <c r="D933" s="13">
        <v>5</v>
      </c>
      <c r="E933" s="179" t="s">
        <v>13417</v>
      </c>
      <c r="F933" s="7" t="s">
        <v>11535</v>
      </c>
    </row>
    <row r="934" ht="18" customHeight="1" spans="1:6">
      <c r="A934" s="13" t="s">
        <v>2919</v>
      </c>
      <c r="B934" s="13" t="s">
        <v>2920</v>
      </c>
      <c r="C934" s="13" t="s">
        <v>13418</v>
      </c>
      <c r="D934" s="13">
        <v>4</v>
      </c>
      <c r="E934" s="179" t="s">
        <v>13419</v>
      </c>
      <c r="F934" s="7" t="s">
        <v>11535</v>
      </c>
    </row>
    <row r="935" ht="18" customHeight="1" spans="1:6">
      <c r="A935" s="13" t="s">
        <v>2919</v>
      </c>
      <c r="B935" s="13" t="s">
        <v>2920</v>
      </c>
      <c r="C935" s="13" t="s">
        <v>13420</v>
      </c>
      <c r="D935" s="13">
        <v>3</v>
      </c>
      <c r="E935" s="13" t="s">
        <v>13421</v>
      </c>
      <c r="F935" s="7" t="s">
        <v>11535</v>
      </c>
    </row>
    <row r="936" ht="18" customHeight="1" spans="1:6">
      <c r="A936" s="13" t="s">
        <v>2919</v>
      </c>
      <c r="B936" s="13" t="s">
        <v>2920</v>
      </c>
      <c r="C936" s="13" t="s">
        <v>13422</v>
      </c>
      <c r="D936" s="13">
        <v>4</v>
      </c>
      <c r="E936" s="179" t="s">
        <v>13423</v>
      </c>
      <c r="F936" s="7" t="s">
        <v>11535</v>
      </c>
    </row>
    <row r="937" ht="18" customHeight="1" spans="1:6">
      <c r="A937" s="13" t="s">
        <v>2919</v>
      </c>
      <c r="B937" s="13" t="s">
        <v>2920</v>
      </c>
      <c r="C937" s="13" t="s">
        <v>13424</v>
      </c>
      <c r="D937" s="13">
        <v>5</v>
      </c>
      <c r="E937" s="179" t="s">
        <v>13425</v>
      </c>
      <c r="F937" s="7" t="s">
        <v>11535</v>
      </c>
    </row>
    <row r="938" ht="18" customHeight="1" spans="1:6">
      <c r="A938" s="13" t="s">
        <v>2919</v>
      </c>
      <c r="B938" s="13" t="s">
        <v>2920</v>
      </c>
      <c r="C938" s="13" t="s">
        <v>13426</v>
      </c>
      <c r="D938" s="13">
        <v>4</v>
      </c>
      <c r="E938" s="179" t="s">
        <v>13427</v>
      </c>
      <c r="F938" s="7" t="s">
        <v>11535</v>
      </c>
    </row>
    <row r="939" ht="18" customHeight="1" spans="1:6">
      <c r="A939" s="13" t="s">
        <v>2919</v>
      </c>
      <c r="B939" s="13" t="s">
        <v>2920</v>
      </c>
      <c r="C939" s="13" t="s">
        <v>13428</v>
      </c>
      <c r="D939" s="13">
        <v>2</v>
      </c>
      <c r="E939" s="179" t="s">
        <v>13429</v>
      </c>
      <c r="F939" s="7" t="s">
        <v>11535</v>
      </c>
    </row>
    <row r="940" ht="18" customHeight="1" spans="1:6">
      <c r="A940" s="13" t="s">
        <v>2919</v>
      </c>
      <c r="B940" s="13" t="s">
        <v>2920</v>
      </c>
      <c r="C940" s="13" t="s">
        <v>13430</v>
      </c>
      <c r="D940" s="13">
        <v>3</v>
      </c>
      <c r="E940" s="179" t="s">
        <v>13431</v>
      </c>
      <c r="F940" s="7" t="s">
        <v>11535</v>
      </c>
    </row>
    <row r="941" ht="18" customHeight="1" spans="1:6">
      <c r="A941" s="13" t="s">
        <v>2919</v>
      </c>
      <c r="B941" s="13" t="s">
        <v>2920</v>
      </c>
      <c r="C941" s="13" t="s">
        <v>13432</v>
      </c>
      <c r="D941" s="13">
        <v>3</v>
      </c>
      <c r="E941" s="179" t="s">
        <v>13433</v>
      </c>
      <c r="F941" s="7" t="s">
        <v>11535</v>
      </c>
    </row>
    <row r="942" ht="18" customHeight="1" spans="1:6">
      <c r="A942" s="13" t="s">
        <v>2919</v>
      </c>
      <c r="B942" s="13" t="s">
        <v>2920</v>
      </c>
      <c r="C942" s="13" t="s">
        <v>13434</v>
      </c>
      <c r="D942" s="13">
        <v>3</v>
      </c>
      <c r="E942" s="179" t="s">
        <v>13435</v>
      </c>
      <c r="F942" s="7" t="s">
        <v>11535</v>
      </c>
    </row>
    <row r="943" ht="18" customHeight="1" spans="1:6">
      <c r="A943" s="13" t="s">
        <v>2919</v>
      </c>
      <c r="B943" s="13" t="s">
        <v>2920</v>
      </c>
      <c r="C943" s="13" t="s">
        <v>13436</v>
      </c>
      <c r="D943" s="13">
        <v>3</v>
      </c>
      <c r="E943" s="179" t="s">
        <v>13437</v>
      </c>
      <c r="F943" s="7" t="s">
        <v>11535</v>
      </c>
    </row>
    <row r="944" ht="18" customHeight="1" spans="1:6">
      <c r="A944" s="13" t="s">
        <v>2919</v>
      </c>
      <c r="B944" s="13" t="s">
        <v>2920</v>
      </c>
      <c r="C944" s="13" t="s">
        <v>13438</v>
      </c>
      <c r="D944" s="13">
        <v>4</v>
      </c>
      <c r="E944" s="179" t="s">
        <v>13439</v>
      </c>
      <c r="F944" s="7" t="s">
        <v>11535</v>
      </c>
    </row>
    <row r="945" ht="18" customHeight="1" spans="1:6">
      <c r="A945" s="13" t="s">
        <v>2919</v>
      </c>
      <c r="B945" s="13" t="s">
        <v>2920</v>
      </c>
      <c r="C945" s="13" t="s">
        <v>13440</v>
      </c>
      <c r="D945" s="13">
        <v>2</v>
      </c>
      <c r="E945" s="179" t="s">
        <v>13441</v>
      </c>
      <c r="F945" s="7" t="s">
        <v>11535</v>
      </c>
    </row>
    <row r="946" ht="18" customHeight="1" spans="1:6">
      <c r="A946" s="13" t="s">
        <v>2919</v>
      </c>
      <c r="B946" s="13" t="s">
        <v>2920</v>
      </c>
      <c r="C946" s="13" t="s">
        <v>13442</v>
      </c>
      <c r="D946" s="13">
        <v>1</v>
      </c>
      <c r="E946" s="179" t="s">
        <v>13443</v>
      </c>
      <c r="F946" s="7" t="s">
        <v>11535</v>
      </c>
    </row>
    <row r="947" ht="18" customHeight="1" spans="1:6">
      <c r="A947" s="13" t="s">
        <v>2919</v>
      </c>
      <c r="B947" s="13" t="s">
        <v>2920</v>
      </c>
      <c r="C947" s="13" t="s">
        <v>13444</v>
      </c>
      <c r="D947" s="13">
        <v>3</v>
      </c>
      <c r="E947" s="179" t="s">
        <v>13445</v>
      </c>
      <c r="F947" s="7" t="s">
        <v>11535</v>
      </c>
    </row>
    <row r="948" ht="18" customHeight="1" spans="1:6">
      <c r="A948" s="13" t="s">
        <v>2919</v>
      </c>
      <c r="B948" s="13" t="s">
        <v>2920</v>
      </c>
      <c r="C948" s="13" t="s">
        <v>13446</v>
      </c>
      <c r="D948" s="13">
        <v>6</v>
      </c>
      <c r="E948" s="179" t="s">
        <v>13447</v>
      </c>
      <c r="F948" s="7" t="s">
        <v>11535</v>
      </c>
    </row>
    <row r="949" ht="18" customHeight="1" spans="1:6">
      <c r="A949" s="13" t="s">
        <v>2919</v>
      </c>
      <c r="B949" s="13" t="s">
        <v>2920</v>
      </c>
      <c r="C949" s="13" t="s">
        <v>13448</v>
      </c>
      <c r="D949" s="13">
        <v>4</v>
      </c>
      <c r="E949" s="179" t="s">
        <v>13449</v>
      </c>
      <c r="F949" s="7" t="s">
        <v>11535</v>
      </c>
    </row>
    <row r="950" ht="18" customHeight="1" spans="1:6">
      <c r="A950" s="13" t="s">
        <v>2919</v>
      </c>
      <c r="B950" s="13" t="s">
        <v>2920</v>
      </c>
      <c r="C950" s="13" t="s">
        <v>13450</v>
      </c>
      <c r="D950" s="13">
        <v>1</v>
      </c>
      <c r="E950" s="179" t="s">
        <v>13451</v>
      </c>
      <c r="F950" s="7" t="s">
        <v>11535</v>
      </c>
    </row>
    <row r="951" ht="18" customHeight="1" spans="1:6">
      <c r="A951" s="13" t="s">
        <v>2919</v>
      </c>
      <c r="B951" s="13" t="s">
        <v>2920</v>
      </c>
      <c r="C951" s="13" t="s">
        <v>13452</v>
      </c>
      <c r="D951" s="13">
        <v>1</v>
      </c>
      <c r="E951" s="179" t="s">
        <v>13453</v>
      </c>
      <c r="F951" s="7" t="s">
        <v>11535</v>
      </c>
    </row>
    <row r="952" ht="18" customHeight="1" spans="1:6">
      <c r="A952" s="13" t="s">
        <v>2919</v>
      </c>
      <c r="B952" s="13" t="s">
        <v>2920</v>
      </c>
      <c r="C952" s="13" t="s">
        <v>13454</v>
      </c>
      <c r="D952" s="13">
        <v>2</v>
      </c>
      <c r="E952" s="179" t="s">
        <v>13455</v>
      </c>
      <c r="F952" s="7" t="s">
        <v>11535</v>
      </c>
    </row>
    <row r="953" ht="18" customHeight="1" spans="1:6">
      <c r="A953" s="13" t="s">
        <v>2919</v>
      </c>
      <c r="B953" s="13" t="s">
        <v>2920</v>
      </c>
      <c r="C953" s="13" t="s">
        <v>13456</v>
      </c>
      <c r="D953" s="13">
        <v>1</v>
      </c>
      <c r="E953" s="179" t="s">
        <v>13457</v>
      </c>
      <c r="F953" s="7" t="s">
        <v>11535</v>
      </c>
    </row>
    <row r="954" ht="18" customHeight="1" spans="1:6">
      <c r="A954" s="13" t="s">
        <v>2919</v>
      </c>
      <c r="B954" s="13" t="s">
        <v>2920</v>
      </c>
      <c r="C954" s="13" t="s">
        <v>13458</v>
      </c>
      <c r="D954" s="13">
        <v>2</v>
      </c>
      <c r="E954" s="179" t="s">
        <v>13459</v>
      </c>
      <c r="F954" s="7" t="s">
        <v>11535</v>
      </c>
    </row>
    <row r="955" ht="18" customHeight="1" spans="1:6">
      <c r="A955" s="13" t="s">
        <v>2919</v>
      </c>
      <c r="B955" s="13" t="s">
        <v>2920</v>
      </c>
      <c r="C955" s="13" t="s">
        <v>13460</v>
      </c>
      <c r="D955" s="13">
        <v>1</v>
      </c>
      <c r="E955" s="179" t="s">
        <v>13461</v>
      </c>
      <c r="F955" s="7" t="s">
        <v>11535</v>
      </c>
    </row>
    <row r="956" ht="18" customHeight="1" spans="1:6">
      <c r="A956" s="13" t="s">
        <v>2919</v>
      </c>
      <c r="B956" s="13" t="s">
        <v>2920</v>
      </c>
      <c r="C956" s="13" t="s">
        <v>13462</v>
      </c>
      <c r="D956" s="13">
        <v>1</v>
      </c>
      <c r="E956" s="179" t="s">
        <v>13463</v>
      </c>
      <c r="F956" s="7" t="s">
        <v>11535</v>
      </c>
    </row>
    <row r="957" ht="18" customHeight="1" spans="1:6">
      <c r="A957" s="13" t="s">
        <v>2919</v>
      </c>
      <c r="B957" s="13" t="s">
        <v>2920</v>
      </c>
      <c r="C957" s="13" t="s">
        <v>13464</v>
      </c>
      <c r="D957" s="13">
        <v>3</v>
      </c>
      <c r="E957" s="179" t="s">
        <v>13465</v>
      </c>
      <c r="F957" s="7" t="s">
        <v>11535</v>
      </c>
    </row>
    <row r="958" ht="18" customHeight="1" spans="1:6">
      <c r="A958" s="13" t="s">
        <v>2919</v>
      </c>
      <c r="B958" s="13" t="s">
        <v>2920</v>
      </c>
      <c r="C958" s="13" t="s">
        <v>13466</v>
      </c>
      <c r="D958" s="13">
        <v>2</v>
      </c>
      <c r="E958" s="179" t="s">
        <v>13467</v>
      </c>
      <c r="F958" s="7" t="s">
        <v>11535</v>
      </c>
    </row>
    <row r="959" ht="18" customHeight="1" spans="1:6">
      <c r="A959" s="13" t="s">
        <v>2919</v>
      </c>
      <c r="B959" s="13" t="s">
        <v>2998</v>
      </c>
      <c r="C959" s="13" t="s">
        <v>13468</v>
      </c>
      <c r="D959" s="13">
        <v>7</v>
      </c>
      <c r="E959" s="13" t="s">
        <v>13469</v>
      </c>
      <c r="F959" s="7" t="s">
        <v>11535</v>
      </c>
    </row>
    <row r="960" ht="18" customHeight="1" spans="1:6">
      <c r="A960" s="13" t="s">
        <v>2919</v>
      </c>
      <c r="B960" s="13" t="s">
        <v>2998</v>
      </c>
      <c r="C960" s="13" t="s">
        <v>13470</v>
      </c>
      <c r="D960" s="13">
        <v>3</v>
      </c>
      <c r="E960" s="13" t="s">
        <v>13471</v>
      </c>
      <c r="F960" s="7" t="s">
        <v>11535</v>
      </c>
    </row>
    <row r="961" ht="18" customHeight="1" spans="1:6">
      <c r="A961" s="13" t="s">
        <v>2919</v>
      </c>
      <c r="B961" s="13" t="s">
        <v>2998</v>
      </c>
      <c r="C961" s="13" t="s">
        <v>13472</v>
      </c>
      <c r="D961" s="13">
        <v>4</v>
      </c>
      <c r="E961" s="13" t="s">
        <v>13473</v>
      </c>
      <c r="F961" s="7" t="s">
        <v>11535</v>
      </c>
    </row>
    <row r="962" ht="18" customHeight="1" spans="1:6">
      <c r="A962" s="13" t="s">
        <v>2919</v>
      </c>
      <c r="B962" s="13" t="s">
        <v>2998</v>
      </c>
      <c r="C962" s="13" t="s">
        <v>13474</v>
      </c>
      <c r="D962" s="13">
        <v>4</v>
      </c>
      <c r="E962" s="179" t="s">
        <v>13475</v>
      </c>
      <c r="F962" s="7" t="s">
        <v>11535</v>
      </c>
    </row>
    <row r="963" ht="18" customHeight="1" spans="1:6">
      <c r="A963" s="13" t="s">
        <v>2919</v>
      </c>
      <c r="B963" s="13" t="s">
        <v>2998</v>
      </c>
      <c r="C963" s="13" t="s">
        <v>13476</v>
      </c>
      <c r="D963" s="13">
        <v>1</v>
      </c>
      <c r="E963" s="13" t="s">
        <v>13477</v>
      </c>
      <c r="F963" s="7" t="s">
        <v>11535</v>
      </c>
    </row>
    <row r="964" ht="18" customHeight="1" spans="1:6">
      <c r="A964" s="13" t="s">
        <v>2919</v>
      </c>
      <c r="B964" s="13" t="s">
        <v>2998</v>
      </c>
      <c r="C964" s="13" t="s">
        <v>13478</v>
      </c>
      <c r="D964" s="13">
        <v>4</v>
      </c>
      <c r="E964" s="13" t="s">
        <v>13479</v>
      </c>
      <c r="F964" s="7" t="s">
        <v>11535</v>
      </c>
    </row>
    <row r="965" ht="18" customHeight="1" spans="1:6">
      <c r="A965" s="13" t="s">
        <v>2919</v>
      </c>
      <c r="B965" s="13" t="s">
        <v>2998</v>
      </c>
      <c r="C965" s="13" t="s">
        <v>13480</v>
      </c>
      <c r="D965" s="13">
        <v>4</v>
      </c>
      <c r="E965" s="13" t="s">
        <v>13481</v>
      </c>
      <c r="F965" s="7" t="s">
        <v>11535</v>
      </c>
    </row>
    <row r="966" ht="18" customHeight="1" spans="1:6">
      <c r="A966" s="13" t="s">
        <v>2919</v>
      </c>
      <c r="B966" s="13" t="s">
        <v>2998</v>
      </c>
      <c r="C966" s="13" t="s">
        <v>13482</v>
      </c>
      <c r="D966" s="13">
        <v>3</v>
      </c>
      <c r="E966" s="13" t="s">
        <v>13483</v>
      </c>
      <c r="F966" s="7" t="s">
        <v>11535</v>
      </c>
    </row>
    <row r="967" ht="18" customHeight="1" spans="1:6">
      <c r="A967" s="13" t="s">
        <v>2919</v>
      </c>
      <c r="B967" s="13" t="s">
        <v>2998</v>
      </c>
      <c r="C967" s="13" t="s">
        <v>13484</v>
      </c>
      <c r="D967" s="13">
        <v>2</v>
      </c>
      <c r="E967" s="13" t="s">
        <v>13485</v>
      </c>
      <c r="F967" s="7" t="s">
        <v>11535</v>
      </c>
    </row>
    <row r="968" ht="18" customHeight="1" spans="1:6">
      <c r="A968" s="13" t="s">
        <v>2919</v>
      </c>
      <c r="B968" s="13" t="s">
        <v>2998</v>
      </c>
      <c r="C968" s="13" t="s">
        <v>13486</v>
      </c>
      <c r="D968" s="13">
        <v>4</v>
      </c>
      <c r="E968" s="13" t="s">
        <v>13487</v>
      </c>
      <c r="F968" s="7" t="s">
        <v>11535</v>
      </c>
    </row>
    <row r="969" ht="18" customHeight="1" spans="1:6">
      <c r="A969" s="13" t="s">
        <v>2919</v>
      </c>
      <c r="B969" s="13" t="s">
        <v>3037</v>
      </c>
      <c r="C969" s="13" t="s">
        <v>13488</v>
      </c>
      <c r="D969" s="13">
        <v>5</v>
      </c>
      <c r="E969" s="13" t="s">
        <v>13489</v>
      </c>
      <c r="F969" s="7" t="s">
        <v>11535</v>
      </c>
    </row>
    <row r="970" ht="18" customHeight="1" spans="1:6">
      <c r="A970" s="13" t="s">
        <v>2919</v>
      </c>
      <c r="B970" s="13" t="s">
        <v>3037</v>
      </c>
      <c r="C970" s="13" t="s">
        <v>13490</v>
      </c>
      <c r="D970" s="13">
        <v>2</v>
      </c>
      <c r="E970" s="13" t="s">
        <v>13491</v>
      </c>
      <c r="F970" s="7" t="s">
        <v>11535</v>
      </c>
    </row>
    <row r="971" ht="18" customHeight="1" spans="1:6">
      <c r="A971" s="13" t="s">
        <v>2919</v>
      </c>
      <c r="B971" s="13" t="s">
        <v>3037</v>
      </c>
      <c r="C971" s="13" t="s">
        <v>13492</v>
      </c>
      <c r="D971" s="13">
        <v>4</v>
      </c>
      <c r="E971" s="13" t="s">
        <v>13493</v>
      </c>
      <c r="F971" s="7" t="s">
        <v>11535</v>
      </c>
    </row>
    <row r="972" ht="18" customHeight="1" spans="1:6">
      <c r="A972" s="13" t="s">
        <v>2919</v>
      </c>
      <c r="B972" s="13" t="s">
        <v>3037</v>
      </c>
      <c r="C972" s="13" t="s">
        <v>13494</v>
      </c>
      <c r="D972" s="13">
        <v>7</v>
      </c>
      <c r="E972" s="13" t="s">
        <v>13495</v>
      </c>
      <c r="F972" s="7" t="s">
        <v>11535</v>
      </c>
    </row>
    <row r="973" ht="18" customHeight="1" spans="1:6">
      <c r="A973" s="13" t="s">
        <v>2919</v>
      </c>
      <c r="B973" s="13" t="s">
        <v>3037</v>
      </c>
      <c r="C973" s="13" t="s">
        <v>13496</v>
      </c>
      <c r="D973" s="13">
        <v>3</v>
      </c>
      <c r="E973" s="13" t="s">
        <v>13497</v>
      </c>
      <c r="F973" s="7" t="s">
        <v>11535</v>
      </c>
    </row>
    <row r="974" ht="18" customHeight="1" spans="1:6">
      <c r="A974" s="13" t="s">
        <v>2919</v>
      </c>
      <c r="B974" s="13" t="s">
        <v>3037</v>
      </c>
      <c r="C974" s="13" t="s">
        <v>13498</v>
      </c>
      <c r="D974" s="13">
        <v>3</v>
      </c>
      <c r="E974" s="13" t="s">
        <v>13499</v>
      </c>
      <c r="F974" s="7" t="s">
        <v>11535</v>
      </c>
    </row>
    <row r="975" ht="18" customHeight="1" spans="1:6">
      <c r="A975" s="13" t="s">
        <v>2919</v>
      </c>
      <c r="B975" s="13" t="s">
        <v>3037</v>
      </c>
      <c r="C975" s="13" t="s">
        <v>13500</v>
      </c>
      <c r="D975" s="13">
        <v>3</v>
      </c>
      <c r="E975" s="13" t="s">
        <v>13501</v>
      </c>
      <c r="F975" s="7" t="s">
        <v>11535</v>
      </c>
    </row>
    <row r="976" ht="18" customHeight="1" spans="1:6">
      <c r="A976" s="13" t="s">
        <v>2919</v>
      </c>
      <c r="B976" s="13" t="s">
        <v>3037</v>
      </c>
      <c r="C976" s="13" t="s">
        <v>13502</v>
      </c>
      <c r="D976" s="13">
        <v>3</v>
      </c>
      <c r="E976" s="13" t="s">
        <v>13503</v>
      </c>
      <c r="F976" s="7" t="s">
        <v>11535</v>
      </c>
    </row>
    <row r="977" ht="18" customHeight="1" spans="1:6">
      <c r="A977" s="13" t="s">
        <v>2919</v>
      </c>
      <c r="B977" s="13" t="s">
        <v>3037</v>
      </c>
      <c r="C977" s="13" t="s">
        <v>13504</v>
      </c>
      <c r="D977" s="13">
        <v>2</v>
      </c>
      <c r="E977" s="13" t="s">
        <v>13505</v>
      </c>
      <c r="F977" s="7" t="s">
        <v>11535</v>
      </c>
    </row>
    <row r="978" ht="18" customHeight="1" spans="1:6">
      <c r="A978" s="13" t="s">
        <v>2919</v>
      </c>
      <c r="B978" s="13" t="s">
        <v>3037</v>
      </c>
      <c r="C978" s="13" t="s">
        <v>13506</v>
      </c>
      <c r="D978" s="13">
        <v>4</v>
      </c>
      <c r="E978" s="13" t="s">
        <v>13507</v>
      </c>
      <c r="F978" s="7" t="s">
        <v>11535</v>
      </c>
    </row>
    <row r="979" ht="18" customHeight="1" spans="1:6">
      <c r="A979" s="13" t="s">
        <v>2919</v>
      </c>
      <c r="B979" s="13" t="s">
        <v>3037</v>
      </c>
      <c r="C979" s="13" t="s">
        <v>13508</v>
      </c>
      <c r="D979" s="13">
        <v>1</v>
      </c>
      <c r="E979" s="179" t="s">
        <v>13509</v>
      </c>
      <c r="F979" s="7" t="s">
        <v>11535</v>
      </c>
    </row>
    <row r="980" ht="18" customHeight="1" spans="1:6">
      <c r="A980" s="13" t="s">
        <v>2919</v>
      </c>
      <c r="B980" s="13" t="s">
        <v>3146</v>
      </c>
      <c r="C980" s="13" t="s">
        <v>13510</v>
      </c>
      <c r="D980" s="13">
        <v>3</v>
      </c>
      <c r="E980" s="13" t="s">
        <v>13511</v>
      </c>
      <c r="F980" s="7" t="s">
        <v>11535</v>
      </c>
    </row>
    <row r="981" ht="18" customHeight="1" spans="1:6">
      <c r="A981" s="13" t="s">
        <v>2919</v>
      </c>
      <c r="B981" s="13" t="s">
        <v>3146</v>
      </c>
      <c r="C981" s="13" t="s">
        <v>13512</v>
      </c>
      <c r="D981" s="13">
        <v>4</v>
      </c>
      <c r="E981" s="13" t="s">
        <v>13513</v>
      </c>
      <c r="F981" s="7" t="s">
        <v>11535</v>
      </c>
    </row>
    <row r="982" ht="18" customHeight="1" spans="1:6">
      <c r="A982" s="13" t="s">
        <v>2919</v>
      </c>
      <c r="B982" s="13" t="s">
        <v>3146</v>
      </c>
      <c r="C982" s="13" t="s">
        <v>13514</v>
      </c>
      <c r="D982" s="13">
        <v>2</v>
      </c>
      <c r="E982" s="13" t="s">
        <v>13515</v>
      </c>
      <c r="F982" s="7" t="s">
        <v>11535</v>
      </c>
    </row>
    <row r="983" ht="18" customHeight="1" spans="1:6">
      <c r="A983" s="13" t="s">
        <v>2919</v>
      </c>
      <c r="B983" s="13" t="s">
        <v>3146</v>
      </c>
      <c r="C983" s="13" t="s">
        <v>3439</v>
      </c>
      <c r="D983" s="13">
        <v>5</v>
      </c>
      <c r="E983" s="13" t="s">
        <v>13516</v>
      </c>
      <c r="F983" s="7" t="s">
        <v>11535</v>
      </c>
    </row>
    <row r="984" ht="18" customHeight="1" spans="1:6">
      <c r="A984" s="13" t="s">
        <v>2919</v>
      </c>
      <c r="B984" s="13" t="s">
        <v>3146</v>
      </c>
      <c r="C984" s="13" t="s">
        <v>13517</v>
      </c>
      <c r="D984" s="13">
        <v>2</v>
      </c>
      <c r="E984" s="13" t="s">
        <v>13518</v>
      </c>
      <c r="F984" s="7" t="s">
        <v>11535</v>
      </c>
    </row>
    <row r="985" ht="18" customHeight="1" spans="1:6">
      <c r="A985" s="13" t="s">
        <v>2919</v>
      </c>
      <c r="B985" s="13" t="s">
        <v>3146</v>
      </c>
      <c r="C985" s="13" t="s">
        <v>13519</v>
      </c>
      <c r="D985" s="13">
        <v>5</v>
      </c>
      <c r="E985" s="13" t="s">
        <v>13520</v>
      </c>
      <c r="F985" s="7" t="s">
        <v>11535</v>
      </c>
    </row>
    <row r="986" ht="18" customHeight="1" spans="1:6">
      <c r="A986" s="13" t="s">
        <v>2919</v>
      </c>
      <c r="B986" s="13" t="s">
        <v>3146</v>
      </c>
      <c r="C986" s="13" t="s">
        <v>13521</v>
      </c>
      <c r="D986" s="13">
        <v>2</v>
      </c>
      <c r="E986" s="13" t="s">
        <v>13522</v>
      </c>
      <c r="F986" s="7" t="s">
        <v>11535</v>
      </c>
    </row>
    <row r="987" ht="18" customHeight="1" spans="1:6">
      <c r="A987" s="13" t="s">
        <v>2919</v>
      </c>
      <c r="B987" s="13" t="s">
        <v>3146</v>
      </c>
      <c r="C987" s="13" t="s">
        <v>13523</v>
      </c>
      <c r="D987" s="13">
        <v>3</v>
      </c>
      <c r="E987" s="13" t="s">
        <v>13524</v>
      </c>
      <c r="F987" s="7" t="s">
        <v>11535</v>
      </c>
    </row>
    <row r="988" ht="18" customHeight="1" spans="1:6">
      <c r="A988" s="13" t="s">
        <v>2919</v>
      </c>
      <c r="B988" s="13" t="s">
        <v>3146</v>
      </c>
      <c r="C988" s="13" t="s">
        <v>13525</v>
      </c>
      <c r="D988" s="13">
        <v>1</v>
      </c>
      <c r="E988" s="13" t="s">
        <v>13526</v>
      </c>
      <c r="F988" s="7" t="s">
        <v>11535</v>
      </c>
    </row>
    <row r="989" ht="18" customHeight="1" spans="1:6">
      <c r="A989" s="13" t="s">
        <v>2919</v>
      </c>
      <c r="B989" s="13" t="s">
        <v>3146</v>
      </c>
      <c r="C989" s="13" t="s">
        <v>13527</v>
      </c>
      <c r="D989" s="13">
        <v>2</v>
      </c>
      <c r="E989" s="13" t="s">
        <v>13528</v>
      </c>
      <c r="F989" s="7" t="s">
        <v>11535</v>
      </c>
    </row>
    <row r="990" ht="18" customHeight="1" spans="1:6">
      <c r="A990" s="13" t="s">
        <v>2919</v>
      </c>
      <c r="B990" s="13" t="s">
        <v>3146</v>
      </c>
      <c r="C990" s="13" t="s">
        <v>13529</v>
      </c>
      <c r="D990" s="13">
        <v>2</v>
      </c>
      <c r="E990" s="13" t="s">
        <v>13530</v>
      </c>
      <c r="F990" s="7" t="s">
        <v>11535</v>
      </c>
    </row>
    <row r="991" ht="18" customHeight="1" spans="1:6">
      <c r="A991" s="13" t="s">
        <v>2919</v>
      </c>
      <c r="B991" s="13" t="s">
        <v>3146</v>
      </c>
      <c r="C991" s="13" t="s">
        <v>13531</v>
      </c>
      <c r="D991" s="13">
        <v>4</v>
      </c>
      <c r="E991" s="13" t="s">
        <v>13532</v>
      </c>
      <c r="F991" s="7" t="s">
        <v>11535</v>
      </c>
    </row>
    <row r="992" ht="18" customHeight="1" spans="1:6">
      <c r="A992" s="13" t="s">
        <v>2919</v>
      </c>
      <c r="B992" s="13" t="s">
        <v>3146</v>
      </c>
      <c r="C992" s="13" t="s">
        <v>13533</v>
      </c>
      <c r="D992" s="13">
        <v>3</v>
      </c>
      <c r="E992" s="13" t="s">
        <v>13534</v>
      </c>
      <c r="F992" s="7" t="s">
        <v>11535</v>
      </c>
    </row>
    <row r="993" ht="18" customHeight="1" spans="1:6">
      <c r="A993" s="13" t="s">
        <v>2919</v>
      </c>
      <c r="B993" s="13" t="s">
        <v>3146</v>
      </c>
      <c r="C993" s="13" t="s">
        <v>13535</v>
      </c>
      <c r="D993" s="13">
        <v>3</v>
      </c>
      <c r="E993" s="13" t="s">
        <v>13536</v>
      </c>
      <c r="F993" s="7" t="s">
        <v>11535</v>
      </c>
    </row>
    <row r="994" ht="18" customHeight="1" spans="1:6">
      <c r="A994" s="13" t="s">
        <v>2919</v>
      </c>
      <c r="B994" s="13" t="s">
        <v>3146</v>
      </c>
      <c r="C994" s="13" t="s">
        <v>13537</v>
      </c>
      <c r="D994" s="13">
        <v>4</v>
      </c>
      <c r="E994" s="13" t="s">
        <v>13538</v>
      </c>
      <c r="F994" s="7" t="s">
        <v>11535</v>
      </c>
    </row>
    <row r="995" ht="18" customHeight="1" spans="1:6">
      <c r="A995" s="13" t="s">
        <v>2919</v>
      </c>
      <c r="B995" s="13" t="s">
        <v>3340</v>
      </c>
      <c r="C995" s="13" t="s">
        <v>13539</v>
      </c>
      <c r="D995" s="13">
        <v>4</v>
      </c>
      <c r="E995" s="13" t="str">
        <f>LEFT("422626196505023018",19)</f>
        <v>422626196505023018</v>
      </c>
      <c r="F995" s="7" t="s">
        <v>11535</v>
      </c>
    </row>
    <row r="996" ht="18" customHeight="1" spans="1:6">
      <c r="A996" s="13" t="s">
        <v>2919</v>
      </c>
      <c r="B996" s="13" t="s">
        <v>3340</v>
      </c>
      <c r="C996" s="13" t="s">
        <v>13540</v>
      </c>
      <c r="D996" s="13">
        <v>4</v>
      </c>
      <c r="E996" s="13" t="str">
        <f>LEFT("422626194904203025",19)</f>
        <v>422626194904203025</v>
      </c>
      <c r="F996" s="7" t="s">
        <v>11535</v>
      </c>
    </row>
    <row r="997" ht="18" customHeight="1" spans="1:6">
      <c r="A997" s="13" t="s">
        <v>2919</v>
      </c>
      <c r="B997" s="13" t="s">
        <v>3340</v>
      </c>
      <c r="C997" s="13" t="s">
        <v>13541</v>
      </c>
      <c r="D997" s="13">
        <v>3</v>
      </c>
      <c r="E997" s="13" t="s">
        <v>13542</v>
      </c>
      <c r="F997" s="7" t="s">
        <v>11535</v>
      </c>
    </row>
    <row r="998" ht="18" customHeight="1" spans="1:6">
      <c r="A998" s="13" t="s">
        <v>2919</v>
      </c>
      <c r="B998" s="13" t="s">
        <v>3340</v>
      </c>
      <c r="C998" s="13" t="s">
        <v>13543</v>
      </c>
      <c r="D998" s="13">
        <v>1</v>
      </c>
      <c r="E998" s="13" t="s">
        <v>13544</v>
      </c>
      <c r="F998" s="7" t="s">
        <v>11535</v>
      </c>
    </row>
    <row r="999" ht="18" customHeight="1" spans="1:6">
      <c r="A999" s="13" t="s">
        <v>2919</v>
      </c>
      <c r="B999" s="13" t="s">
        <v>3340</v>
      </c>
      <c r="C999" s="13" t="s">
        <v>13545</v>
      </c>
      <c r="D999" s="13">
        <v>1</v>
      </c>
      <c r="E999" s="13" t="s">
        <v>13546</v>
      </c>
      <c r="F999" s="7" t="s">
        <v>11535</v>
      </c>
    </row>
    <row r="1000" ht="18" customHeight="1" spans="1:6">
      <c r="A1000" s="13" t="s">
        <v>2919</v>
      </c>
      <c r="B1000" s="13" t="s">
        <v>3340</v>
      </c>
      <c r="C1000" s="13" t="s">
        <v>13547</v>
      </c>
      <c r="D1000" s="13">
        <v>2</v>
      </c>
      <c r="E1000" s="13" t="s">
        <v>13548</v>
      </c>
      <c r="F1000" s="7" t="s">
        <v>11535</v>
      </c>
    </row>
    <row r="1001" ht="18" customHeight="1" spans="1:6">
      <c r="A1001" s="13" t="s">
        <v>2919</v>
      </c>
      <c r="B1001" s="13" t="s">
        <v>3340</v>
      </c>
      <c r="C1001" s="13" t="s">
        <v>13549</v>
      </c>
      <c r="D1001" s="13">
        <v>2</v>
      </c>
      <c r="E1001" s="13" t="s">
        <v>13550</v>
      </c>
      <c r="F1001" s="7" t="s">
        <v>11535</v>
      </c>
    </row>
    <row r="1002" ht="18" customHeight="1" spans="1:6">
      <c r="A1002" s="13" t="s">
        <v>2919</v>
      </c>
      <c r="B1002" s="13" t="s">
        <v>3340</v>
      </c>
      <c r="C1002" s="13" t="s">
        <v>13551</v>
      </c>
      <c r="D1002" s="13">
        <v>3</v>
      </c>
      <c r="E1002" s="13" t="s">
        <v>13552</v>
      </c>
      <c r="F1002" s="7" t="s">
        <v>11535</v>
      </c>
    </row>
    <row r="1003" ht="18" customHeight="1" spans="1:6">
      <c r="A1003" s="13" t="s">
        <v>2919</v>
      </c>
      <c r="B1003" s="13" t="s">
        <v>3340</v>
      </c>
      <c r="C1003" s="13" t="s">
        <v>13553</v>
      </c>
      <c r="D1003" s="13">
        <v>4</v>
      </c>
      <c r="E1003" s="13" t="s">
        <v>13554</v>
      </c>
      <c r="F1003" s="7" t="s">
        <v>11535</v>
      </c>
    </row>
    <row r="1004" ht="18" customHeight="1" spans="1:6">
      <c r="A1004" s="13" t="s">
        <v>2919</v>
      </c>
      <c r="B1004" s="13" t="s">
        <v>3340</v>
      </c>
      <c r="C1004" s="13" t="s">
        <v>13555</v>
      </c>
      <c r="D1004" s="13">
        <v>3</v>
      </c>
      <c r="E1004" s="13" t="s">
        <v>13556</v>
      </c>
      <c r="F1004" s="7" t="s">
        <v>11535</v>
      </c>
    </row>
    <row r="1005" ht="18" customHeight="1" spans="1:6">
      <c r="A1005" s="13" t="s">
        <v>2919</v>
      </c>
      <c r="B1005" s="13" t="s">
        <v>3340</v>
      </c>
      <c r="C1005" s="13" t="s">
        <v>13557</v>
      </c>
      <c r="D1005" s="13">
        <v>5</v>
      </c>
      <c r="E1005" s="13" t="s">
        <v>13558</v>
      </c>
      <c r="F1005" s="7" t="s">
        <v>11535</v>
      </c>
    </row>
    <row r="1006" ht="18" customHeight="1" spans="1:6">
      <c r="A1006" s="13" t="s">
        <v>2919</v>
      </c>
      <c r="B1006" s="13" t="s">
        <v>3340</v>
      </c>
      <c r="C1006" s="13" t="s">
        <v>13559</v>
      </c>
      <c r="D1006" s="13">
        <v>1</v>
      </c>
      <c r="E1006" s="13" t="s">
        <v>13560</v>
      </c>
      <c r="F1006" s="7" t="s">
        <v>11535</v>
      </c>
    </row>
    <row r="1007" ht="18" customHeight="1" spans="1:6">
      <c r="A1007" s="13" t="s">
        <v>2919</v>
      </c>
      <c r="B1007" s="13" t="s">
        <v>3340</v>
      </c>
      <c r="C1007" s="13" t="s">
        <v>13561</v>
      </c>
      <c r="D1007" s="13">
        <v>6</v>
      </c>
      <c r="E1007" s="13" t="s">
        <v>13562</v>
      </c>
      <c r="F1007" s="7" t="s">
        <v>11535</v>
      </c>
    </row>
    <row r="1008" ht="18" customHeight="1" spans="1:6">
      <c r="A1008" s="13" t="s">
        <v>2919</v>
      </c>
      <c r="B1008" s="13" t="s">
        <v>3340</v>
      </c>
      <c r="C1008" s="13" t="s">
        <v>13563</v>
      </c>
      <c r="D1008" s="13">
        <v>4</v>
      </c>
      <c r="E1008" s="13" t="s">
        <v>13564</v>
      </c>
      <c r="F1008" s="7" t="s">
        <v>11535</v>
      </c>
    </row>
    <row r="1009" ht="18" customHeight="1" spans="1:6">
      <c r="A1009" s="13" t="s">
        <v>2919</v>
      </c>
      <c r="B1009" s="13" t="s">
        <v>3340</v>
      </c>
      <c r="C1009" s="13" t="s">
        <v>13565</v>
      </c>
      <c r="D1009" s="13">
        <v>3</v>
      </c>
      <c r="E1009" s="13" t="s">
        <v>13566</v>
      </c>
      <c r="F1009" s="7" t="s">
        <v>11535</v>
      </c>
    </row>
    <row r="1010" ht="18" customHeight="1" spans="1:6">
      <c r="A1010" s="13" t="s">
        <v>2919</v>
      </c>
      <c r="B1010" s="13" t="s">
        <v>3402</v>
      </c>
      <c r="C1010" s="13" t="s">
        <v>13567</v>
      </c>
      <c r="D1010" s="13">
        <v>3</v>
      </c>
      <c r="E1010" s="179" t="s">
        <v>13568</v>
      </c>
      <c r="F1010" s="7" t="s">
        <v>11535</v>
      </c>
    </row>
    <row r="1011" ht="18" customHeight="1" spans="1:6">
      <c r="A1011" s="13" t="s">
        <v>2919</v>
      </c>
      <c r="B1011" s="13" t="s">
        <v>3402</v>
      </c>
      <c r="C1011" s="13" t="s">
        <v>13569</v>
      </c>
      <c r="D1011" s="13">
        <v>3</v>
      </c>
      <c r="E1011" s="179" t="s">
        <v>13570</v>
      </c>
      <c r="F1011" s="7" t="s">
        <v>11535</v>
      </c>
    </row>
    <row r="1012" ht="18" customHeight="1" spans="1:6">
      <c r="A1012" s="13" t="s">
        <v>2919</v>
      </c>
      <c r="B1012" s="13" t="s">
        <v>3402</v>
      </c>
      <c r="C1012" s="13" t="s">
        <v>13571</v>
      </c>
      <c r="D1012" s="13">
        <v>2</v>
      </c>
      <c r="E1012" s="179" t="s">
        <v>13572</v>
      </c>
      <c r="F1012" s="7" t="s">
        <v>11535</v>
      </c>
    </row>
    <row r="1013" ht="18" customHeight="1" spans="1:6">
      <c r="A1013" s="13" t="s">
        <v>2919</v>
      </c>
      <c r="B1013" s="13" t="s">
        <v>3402</v>
      </c>
      <c r="C1013" s="13" t="s">
        <v>13573</v>
      </c>
      <c r="D1013" s="13">
        <v>3</v>
      </c>
      <c r="E1013" s="179" t="s">
        <v>13574</v>
      </c>
      <c r="F1013" s="7" t="s">
        <v>11535</v>
      </c>
    </row>
    <row r="1014" ht="18" customHeight="1" spans="1:6">
      <c r="A1014" s="13" t="s">
        <v>2919</v>
      </c>
      <c r="B1014" s="13" t="s">
        <v>3402</v>
      </c>
      <c r="C1014" s="13" t="s">
        <v>13575</v>
      </c>
      <c r="D1014" s="13">
        <v>2</v>
      </c>
      <c r="E1014" s="179" t="s">
        <v>13576</v>
      </c>
      <c r="F1014" s="7" t="s">
        <v>11535</v>
      </c>
    </row>
    <row r="1015" ht="18" customHeight="1" spans="1:6">
      <c r="A1015" s="13" t="s">
        <v>2919</v>
      </c>
      <c r="B1015" s="13" t="s">
        <v>3402</v>
      </c>
      <c r="C1015" s="13" t="s">
        <v>13577</v>
      </c>
      <c r="D1015" s="13">
        <v>2</v>
      </c>
      <c r="E1015" s="179" t="s">
        <v>13578</v>
      </c>
      <c r="F1015" s="7" t="s">
        <v>11535</v>
      </c>
    </row>
    <row r="1016" ht="18" customHeight="1" spans="1:6">
      <c r="A1016" s="13" t="s">
        <v>2919</v>
      </c>
      <c r="B1016" s="13" t="s">
        <v>3402</v>
      </c>
      <c r="C1016" s="13" t="s">
        <v>13579</v>
      </c>
      <c r="D1016" s="13">
        <v>3</v>
      </c>
      <c r="E1016" s="179" t="s">
        <v>13580</v>
      </c>
      <c r="F1016" s="7" t="s">
        <v>11535</v>
      </c>
    </row>
    <row r="1017" ht="18" customHeight="1" spans="1:6">
      <c r="A1017" s="13" t="s">
        <v>2919</v>
      </c>
      <c r="B1017" s="13" t="s">
        <v>3402</v>
      </c>
      <c r="C1017" s="13" t="s">
        <v>13581</v>
      </c>
      <c r="D1017" s="13">
        <v>5</v>
      </c>
      <c r="E1017" s="179" t="s">
        <v>13582</v>
      </c>
      <c r="F1017" s="7" t="s">
        <v>11535</v>
      </c>
    </row>
    <row r="1018" ht="18" customHeight="1" spans="1:6">
      <c r="A1018" s="13" t="s">
        <v>2919</v>
      </c>
      <c r="B1018" s="13" t="s">
        <v>3402</v>
      </c>
      <c r="C1018" s="13" t="s">
        <v>13583</v>
      </c>
      <c r="D1018" s="13">
        <v>5</v>
      </c>
      <c r="E1018" s="179" t="s">
        <v>13584</v>
      </c>
      <c r="F1018" s="7" t="s">
        <v>11535</v>
      </c>
    </row>
    <row r="1019" ht="18" customHeight="1" spans="1:6">
      <c r="A1019" s="13" t="s">
        <v>2919</v>
      </c>
      <c r="B1019" s="13" t="s">
        <v>3402</v>
      </c>
      <c r="C1019" s="13" t="s">
        <v>13585</v>
      </c>
      <c r="D1019" s="13">
        <v>2</v>
      </c>
      <c r="E1019" s="179" t="s">
        <v>13586</v>
      </c>
      <c r="F1019" s="7" t="s">
        <v>11535</v>
      </c>
    </row>
    <row r="1020" ht="18" customHeight="1" spans="1:6">
      <c r="A1020" s="13" t="s">
        <v>2919</v>
      </c>
      <c r="B1020" s="13" t="s">
        <v>3402</v>
      </c>
      <c r="C1020" s="13" t="s">
        <v>13587</v>
      </c>
      <c r="D1020" s="13">
        <v>4</v>
      </c>
      <c r="E1020" s="179" t="s">
        <v>13588</v>
      </c>
      <c r="F1020" s="7" t="s">
        <v>11535</v>
      </c>
    </row>
    <row r="1021" ht="18" customHeight="1" spans="1:6">
      <c r="A1021" s="13" t="s">
        <v>2919</v>
      </c>
      <c r="B1021" s="13" t="s">
        <v>3402</v>
      </c>
      <c r="C1021" s="13" t="s">
        <v>13589</v>
      </c>
      <c r="D1021" s="13">
        <v>6</v>
      </c>
      <c r="E1021" s="179" t="s">
        <v>13590</v>
      </c>
      <c r="F1021" s="7" t="s">
        <v>11535</v>
      </c>
    </row>
    <row r="1022" ht="18" customHeight="1" spans="1:6">
      <c r="A1022" s="13" t="s">
        <v>2919</v>
      </c>
      <c r="B1022" s="13" t="s">
        <v>3402</v>
      </c>
      <c r="C1022" s="13" t="s">
        <v>13591</v>
      </c>
      <c r="D1022" s="13">
        <v>2</v>
      </c>
      <c r="E1022" s="179" t="s">
        <v>13592</v>
      </c>
      <c r="F1022" s="7" t="s">
        <v>11535</v>
      </c>
    </row>
    <row r="1023" ht="18" customHeight="1" spans="1:6">
      <c r="A1023" s="13" t="s">
        <v>2919</v>
      </c>
      <c r="B1023" s="13" t="s">
        <v>3402</v>
      </c>
      <c r="C1023" s="13" t="s">
        <v>6101</v>
      </c>
      <c r="D1023" s="13">
        <v>3</v>
      </c>
      <c r="E1023" s="179" t="s">
        <v>13593</v>
      </c>
      <c r="F1023" s="7" t="s">
        <v>11535</v>
      </c>
    </row>
    <row r="1024" ht="18" customHeight="1" spans="1:6">
      <c r="A1024" s="13" t="s">
        <v>2919</v>
      </c>
      <c r="B1024" s="13" t="s">
        <v>3402</v>
      </c>
      <c r="C1024" s="13" t="s">
        <v>13594</v>
      </c>
      <c r="D1024" s="13">
        <v>3</v>
      </c>
      <c r="E1024" s="179" t="s">
        <v>13595</v>
      </c>
      <c r="F1024" s="7" t="s">
        <v>11535</v>
      </c>
    </row>
    <row r="1025" ht="18" customHeight="1" spans="1:6">
      <c r="A1025" s="13" t="s">
        <v>2919</v>
      </c>
      <c r="B1025" s="13" t="s">
        <v>3402</v>
      </c>
      <c r="C1025" s="13" t="s">
        <v>13596</v>
      </c>
      <c r="D1025" s="13">
        <v>4</v>
      </c>
      <c r="E1025" s="179" t="s">
        <v>13597</v>
      </c>
      <c r="F1025" s="7" t="s">
        <v>11535</v>
      </c>
    </row>
    <row r="1026" ht="18" customHeight="1" spans="1:6">
      <c r="A1026" s="13" t="s">
        <v>2919</v>
      </c>
      <c r="B1026" s="13" t="s">
        <v>3402</v>
      </c>
      <c r="C1026" s="13" t="s">
        <v>13598</v>
      </c>
      <c r="D1026" s="13">
        <v>2</v>
      </c>
      <c r="E1026" s="179" t="s">
        <v>13599</v>
      </c>
      <c r="F1026" s="7" t="s">
        <v>11535</v>
      </c>
    </row>
    <row r="1027" ht="18" customHeight="1" spans="1:6">
      <c r="A1027" s="13" t="s">
        <v>2919</v>
      </c>
      <c r="B1027" s="13" t="s">
        <v>3402</v>
      </c>
      <c r="C1027" s="13" t="s">
        <v>13600</v>
      </c>
      <c r="D1027" s="13">
        <v>3</v>
      </c>
      <c r="E1027" s="179" t="s">
        <v>13601</v>
      </c>
      <c r="F1027" s="7" t="s">
        <v>11535</v>
      </c>
    </row>
    <row r="1028" ht="18" customHeight="1" spans="1:6">
      <c r="A1028" s="13" t="s">
        <v>2919</v>
      </c>
      <c r="B1028" s="13" t="s">
        <v>3402</v>
      </c>
      <c r="C1028" s="13" t="s">
        <v>13602</v>
      </c>
      <c r="D1028" s="13">
        <v>3</v>
      </c>
      <c r="E1028" s="179" t="s">
        <v>13603</v>
      </c>
      <c r="F1028" s="7" t="s">
        <v>11535</v>
      </c>
    </row>
    <row r="1029" ht="18" customHeight="1" spans="1:6">
      <c r="A1029" s="13" t="s">
        <v>2919</v>
      </c>
      <c r="B1029" s="13" t="s">
        <v>3402</v>
      </c>
      <c r="C1029" s="13" t="s">
        <v>13604</v>
      </c>
      <c r="D1029" s="13">
        <v>4</v>
      </c>
      <c r="E1029" s="179" t="s">
        <v>13605</v>
      </c>
      <c r="F1029" s="7" t="s">
        <v>11535</v>
      </c>
    </row>
    <row r="1030" ht="18" customHeight="1" spans="1:6">
      <c r="A1030" s="13" t="s">
        <v>2919</v>
      </c>
      <c r="B1030" s="13" t="s">
        <v>3402</v>
      </c>
      <c r="C1030" s="13" t="s">
        <v>13606</v>
      </c>
      <c r="D1030" s="13">
        <v>2</v>
      </c>
      <c r="E1030" s="179" t="s">
        <v>13607</v>
      </c>
      <c r="F1030" s="7" t="s">
        <v>11535</v>
      </c>
    </row>
    <row r="1031" ht="18" customHeight="1" spans="1:6">
      <c r="A1031" s="13" t="s">
        <v>2919</v>
      </c>
      <c r="B1031" s="13" t="s">
        <v>3402</v>
      </c>
      <c r="C1031" s="13" t="s">
        <v>13608</v>
      </c>
      <c r="D1031" s="13">
        <v>3</v>
      </c>
      <c r="E1031" s="13" t="s">
        <v>13609</v>
      </c>
      <c r="F1031" s="7" t="s">
        <v>11535</v>
      </c>
    </row>
    <row r="1032" ht="18" customHeight="1" spans="1:6">
      <c r="A1032" s="13" t="s">
        <v>2919</v>
      </c>
      <c r="B1032" s="13" t="s">
        <v>3462</v>
      </c>
      <c r="C1032" s="13" t="s">
        <v>13610</v>
      </c>
      <c r="D1032" s="13">
        <v>2</v>
      </c>
      <c r="E1032" s="179" t="s">
        <v>13611</v>
      </c>
      <c r="F1032" s="7" t="s">
        <v>11535</v>
      </c>
    </row>
    <row r="1033" ht="18" customHeight="1" spans="1:6">
      <c r="A1033" s="13" t="s">
        <v>2919</v>
      </c>
      <c r="B1033" s="13" t="s">
        <v>3462</v>
      </c>
      <c r="C1033" s="13" t="s">
        <v>13612</v>
      </c>
      <c r="D1033" s="13">
        <v>2</v>
      </c>
      <c r="E1033" s="179" t="s">
        <v>13613</v>
      </c>
      <c r="F1033" s="7" t="s">
        <v>11535</v>
      </c>
    </row>
    <row r="1034" ht="18" customHeight="1" spans="1:6">
      <c r="A1034" s="13" t="s">
        <v>2919</v>
      </c>
      <c r="B1034" s="13" t="s">
        <v>3462</v>
      </c>
      <c r="C1034" s="13" t="s">
        <v>13614</v>
      </c>
      <c r="D1034" s="13">
        <v>3</v>
      </c>
      <c r="E1034" s="13" t="s">
        <v>13615</v>
      </c>
      <c r="F1034" s="7" t="s">
        <v>11535</v>
      </c>
    </row>
    <row r="1035" ht="18" customHeight="1" spans="1:6">
      <c r="A1035" s="13" t="s">
        <v>2919</v>
      </c>
      <c r="B1035" s="13" t="s">
        <v>3462</v>
      </c>
      <c r="C1035" s="13" t="s">
        <v>13616</v>
      </c>
      <c r="D1035" s="13">
        <v>4</v>
      </c>
      <c r="E1035" s="179" t="s">
        <v>13617</v>
      </c>
      <c r="F1035" s="7" t="s">
        <v>11535</v>
      </c>
    </row>
    <row r="1036" ht="18" customHeight="1" spans="1:6">
      <c r="A1036" s="13" t="s">
        <v>2919</v>
      </c>
      <c r="B1036" s="13" t="s">
        <v>3462</v>
      </c>
      <c r="C1036" s="13" t="s">
        <v>13618</v>
      </c>
      <c r="D1036" s="13">
        <v>3</v>
      </c>
      <c r="E1036" s="179" t="s">
        <v>13619</v>
      </c>
      <c r="F1036" s="7" t="s">
        <v>11535</v>
      </c>
    </row>
    <row r="1037" ht="18" customHeight="1" spans="1:6">
      <c r="A1037" s="13" t="s">
        <v>2919</v>
      </c>
      <c r="B1037" s="13" t="s">
        <v>3462</v>
      </c>
      <c r="C1037" s="13" t="s">
        <v>13620</v>
      </c>
      <c r="D1037" s="13">
        <v>2</v>
      </c>
      <c r="E1037" s="179" t="s">
        <v>13621</v>
      </c>
      <c r="F1037" s="7" t="s">
        <v>11535</v>
      </c>
    </row>
    <row r="1038" ht="18" customHeight="1" spans="1:6">
      <c r="A1038" s="13" t="s">
        <v>2919</v>
      </c>
      <c r="B1038" s="13" t="s">
        <v>3462</v>
      </c>
      <c r="C1038" s="13" t="s">
        <v>13622</v>
      </c>
      <c r="D1038" s="13">
        <v>2</v>
      </c>
      <c r="E1038" s="179" t="s">
        <v>13623</v>
      </c>
      <c r="F1038" s="7" t="s">
        <v>11535</v>
      </c>
    </row>
    <row r="1039" ht="18" customHeight="1" spans="1:6">
      <c r="A1039" s="13" t="s">
        <v>2919</v>
      </c>
      <c r="B1039" s="13" t="s">
        <v>3462</v>
      </c>
      <c r="C1039" s="13" t="s">
        <v>13624</v>
      </c>
      <c r="D1039" s="13">
        <v>3</v>
      </c>
      <c r="E1039" s="179" t="s">
        <v>13625</v>
      </c>
      <c r="F1039" s="7" t="s">
        <v>11535</v>
      </c>
    </row>
    <row r="1040" ht="18" customHeight="1" spans="1:6">
      <c r="A1040" s="13" t="s">
        <v>2919</v>
      </c>
      <c r="B1040" s="13" t="s">
        <v>3462</v>
      </c>
      <c r="C1040" s="13" t="s">
        <v>2317</v>
      </c>
      <c r="D1040" s="13">
        <v>5</v>
      </c>
      <c r="E1040" s="179" t="s">
        <v>13626</v>
      </c>
      <c r="F1040" s="7" t="s">
        <v>11535</v>
      </c>
    </row>
    <row r="1041" ht="18" customHeight="1" spans="1:6">
      <c r="A1041" s="13" t="s">
        <v>2919</v>
      </c>
      <c r="B1041" s="13" t="s">
        <v>3508</v>
      </c>
      <c r="C1041" s="13" t="s">
        <v>13627</v>
      </c>
      <c r="D1041" s="13">
        <v>5</v>
      </c>
      <c r="E1041" s="13" t="s">
        <v>13628</v>
      </c>
      <c r="F1041" s="7" t="s">
        <v>11535</v>
      </c>
    </row>
    <row r="1042" ht="18" customHeight="1" spans="1:6">
      <c r="A1042" s="13" t="s">
        <v>2919</v>
      </c>
      <c r="B1042" s="13" t="s">
        <v>3508</v>
      </c>
      <c r="C1042" s="13" t="s">
        <v>13629</v>
      </c>
      <c r="D1042" s="13">
        <v>4</v>
      </c>
      <c r="E1042" s="13" t="s">
        <v>13630</v>
      </c>
      <c r="F1042" s="7" t="s">
        <v>11535</v>
      </c>
    </row>
    <row r="1043" ht="18" customHeight="1" spans="1:6">
      <c r="A1043" s="13" t="s">
        <v>2919</v>
      </c>
      <c r="B1043" s="13" t="s">
        <v>3508</v>
      </c>
      <c r="C1043" s="13" t="s">
        <v>13631</v>
      </c>
      <c r="D1043" s="13">
        <v>3</v>
      </c>
      <c r="E1043" s="13" t="s">
        <v>13632</v>
      </c>
      <c r="F1043" s="7" t="s">
        <v>11535</v>
      </c>
    </row>
    <row r="1044" ht="18" customHeight="1" spans="1:6">
      <c r="A1044" s="13" t="s">
        <v>2919</v>
      </c>
      <c r="B1044" s="13" t="s">
        <v>3508</v>
      </c>
      <c r="C1044" s="13" t="s">
        <v>13633</v>
      </c>
      <c r="D1044" s="13">
        <v>2</v>
      </c>
      <c r="E1044" s="13" t="s">
        <v>13634</v>
      </c>
      <c r="F1044" s="7" t="s">
        <v>11535</v>
      </c>
    </row>
    <row r="1045" ht="18" customHeight="1" spans="1:6">
      <c r="A1045" s="13" t="s">
        <v>2919</v>
      </c>
      <c r="B1045" s="13" t="s">
        <v>3508</v>
      </c>
      <c r="C1045" s="13" t="s">
        <v>13635</v>
      </c>
      <c r="D1045" s="13">
        <v>1</v>
      </c>
      <c r="E1045" s="13" t="s">
        <v>13636</v>
      </c>
      <c r="F1045" s="7" t="s">
        <v>11535</v>
      </c>
    </row>
    <row r="1046" ht="18" customHeight="1" spans="1:6">
      <c r="A1046" s="13" t="s">
        <v>2919</v>
      </c>
      <c r="B1046" s="13" t="s">
        <v>3508</v>
      </c>
      <c r="C1046" s="13" t="s">
        <v>13637</v>
      </c>
      <c r="D1046" s="13">
        <v>6</v>
      </c>
      <c r="E1046" s="13" t="s">
        <v>13638</v>
      </c>
      <c r="F1046" s="7" t="s">
        <v>11535</v>
      </c>
    </row>
    <row r="1047" ht="18" customHeight="1" spans="1:6">
      <c r="A1047" s="13" t="s">
        <v>2919</v>
      </c>
      <c r="B1047" s="13" t="s">
        <v>3508</v>
      </c>
      <c r="C1047" s="13" t="s">
        <v>13639</v>
      </c>
      <c r="D1047" s="13">
        <v>2</v>
      </c>
      <c r="E1047" s="13" t="s">
        <v>13640</v>
      </c>
      <c r="F1047" s="7" t="s">
        <v>11535</v>
      </c>
    </row>
    <row r="1048" ht="18" customHeight="1" spans="1:6">
      <c r="A1048" s="13" t="s">
        <v>2919</v>
      </c>
      <c r="B1048" s="13" t="s">
        <v>3508</v>
      </c>
      <c r="C1048" s="13" t="s">
        <v>13641</v>
      </c>
      <c r="D1048" s="13">
        <v>3</v>
      </c>
      <c r="E1048" s="13" t="s">
        <v>13642</v>
      </c>
      <c r="F1048" s="7" t="s">
        <v>11535</v>
      </c>
    </row>
    <row r="1049" ht="18" customHeight="1" spans="1:6">
      <c r="A1049" s="13" t="s">
        <v>2919</v>
      </c>
      <c r="B1049" s="13" t="s">
        <v>3508</v>
      </c>
      <c r="C1049" s="13" t="s">
        <v>13643</v>
      </c>
      <c r="D1049" s="13">
        <v>5</v>
      </c>
      <c r="E1049" s="13" t="s">
        <v>13644</v>
      </c>
      <c r="F1049" s="7" t="s">
        <v>11535</v>
      </c>
    </row>
    <row r="1050" ht="18" customHeight="1" spans="1:6">
      <c r="A1050" s="13" t="s">
        <v>2919</v>
      </c>
      <c r="B1050" s="13" t="s">
        <v>3508</v>
      </c>
      <c r="C1050" s="13" t="s">
        <v>13645</v>
      </c>
      <c r="D1050" s="13">
        <v>2</v>
      </c>
      <c r="E1050" s="13" t="s">
        <v>13646</v>
      </c>
      <c r="F1050" s="7" t="s">
        <v>11535</v>
      </c>
    </row>
    <row r="1051" ht="18" customHeight="1" spans="1:6">
      <c r="A1051" s="13" t="s">
        <v>2919</v>
      </c>
      <c r="B1051" s="13" t="s">
        <v>3508</v>
      </c>
      <c r="C1051" s="13" t="s">
        <v>13647</v>
      </c>
      <c r="D1051" s="13">
        <v>2</v>
      </c>
      <c r="E1051" s="13" t="s">
        <v>13648</v>
      </c>
      <c r="F1051" s="7" t="s">
        <v>11535</v>
      </c>
    </row>
    <row r="1052" ht="18" customHeight="1" spans="1:6">
      <c r="A1052" s="13" t="s">
        <v>2919</v>
      </c>
      <c r="B1052" s="13" t="s">
        <v>3508</v>
      </c>
      <c r="C1052" s="13" t="s">
        <v>9042</v>
      </c>
      <c r="D1052" s="13">
        <v>4</v>
      </c>
      <c r="E1052" s="13" t="s">
        <v>13649</v>
      </c>
      <c r="F1052" s="7" t="s">
        <v>11535</v>
      </c>
    </row>
    <row r="1053" ht="18" customHeight="1" spans="1:6">
      <c r="A1053" s="13" t="s">
        <v>2919</v>
      </c>
      <c r="B1053" s="13" t="s">
        <v>3508</v>
      </c>
      <c r="C1053" s="13" t="s">
        <v>13650</v>
      </c>
      <c r="D1053" s="13">
        <v>6</v>
      </c>
      <c r="E1053" s="13" t="s">
        <v>13651</v>
      </c>
      <c r="F1053" s="7" t="s">
        <v>11535</v>
      </c>
    </row>
    <row r="1054" ht="18" customHeight="1" spans="1:6">
      <c r="A1054" s="13" t="s">
        <v>2919</v>
      </c>
      <c r="B1054" s="13" t="s">
        <v>3508</v>
      </c>
      <c r="C1054" s="13" t="s">
        <v>13652</v>
      </c>
      <c r="D1054" s="13">
        <v>3</v>
      </c>
      <c r="E1054" s="13" t="s">
        <v>13653</v>
      </c>
      <c r="F1054" s="7" t="s">
        <v>11535</v>
      </c>
    </row>
    <row r="1055" ht="18" customHeight="1" spans="1:6">
      <c r="A1055" s="13" t="s">
        <v>2919</v>
      </c>
      <c r="B1055" s="13" t="s">
        <v>3508</v>
      </c>
      <c r="C1055" s="13" t="s">
        <v>13654</v>
      </c>
      <c r="D1055" s="13">
        <v>4</v>
      </c>
      <c r="E1055" s="13" t="s">
        <v>13655</v>
      </c>
      <c r="F1055" s="7" t="s">
        <v>11535</v>
      </c>
    </row>
    <row r="1056" ht="18" customHeight="1" spans="1:6">
      <c r="A1056" s="13" t="s">
        <v>2919</v>
      </c>
      <c r="B1056" s="13" t="s">
        <v>3508</v>
      </c>
      <c r="C1056" s="13" t="s">
        <v>13656</v>
      </c>
      <c r="D1056" s="13">
        <v>6</v>
      </c>
      <c r="E1056" s="13" t="s">
        <v>13657</v>
      </c>
      <c r="F1056" s="7" t="s">
        <v>11535</v>
      </c>
    </row>
    <row r="1057" ht="18" customHeight="1" spans="1:6">
      <c r="A1057" s="13" t="s">
        <v>2919</v>
      </c>
      <c r="B1057" s="13" t="s">
        <v>3508</v>
      </c>
      <c r="C1057" s="13" t="s">
        <v>13658</v>
      </c>
      <c r="D1057" s="13">
        <v>4</v>
      </c>
      <c r="E1057" s="13" t="s">
        <v>13659</v>
      </c>
      <c r="F1057" s="7" t="s">
        <v>11535</v>
      </c>
    </row>
    <row r="1058" ht="18" customHeight="1" spans="1:6">
      <c r="A1058" s="13" t="s">
        <v>2919</v>
      </c>
      <c r="B1058" s="13" t="s">
        <v>3508</v>
      </c>
      <c r="C1058" s="13" t="s">
        <v>13660</v>
      </c>
      <c r="D1058" s="13">
        <v>4</v>
      </c>
      <c r="E1058" s="13" t="s">
        <v>13661</v>
      </c>
      <c r="F1058" s="7" t="s">
        <v>11535</v>
      </c>
    </row>
    <row r="1059" ht="18" customHeight="1" spans="1:6">
      <c r="A1059" s="13" t="s">
        <v>2919</v>
      </c>
      <c r="B1059" s="13" t="s">
        <v>3508</v>
      </c>
      <c r="C1059" s="13" t="s">
        <v>13662</v>
      </c>
      <c r="D1059" s="13">
        <v>4</v>
      </c>
      <c r="E1059" s="13" t="s">
        <v>13663</v>
      </c>
      <c r="F1059" s="7" t="s">
        <v>11535</v>
      </c>
    </row>
    <row r="1060" ht="18" customHeight="1" spans="1:6">
      <c r="A1060" s="13" t="s">
        <v>2919</v>
      </c>
      <c r="B1060" s="13" t="s">
        <v>3508</v>
      </c>
      <c r="C1060" s="13" t="s">
        <v>13664</v>
      </c>
      <c r="D1060" s="13">
        <v>2</v>
      </c>
      <c r="E1060" s="13" t="s">
        <v>13665</v>
      </c>
      <c r="F1060" s="7" t="s">
        <v>11535</v>
      </c>
    </row>
    <row r="1061" ht="18" customHeight="1" spans="1:6">
      <c r="A1061" s="13" t="s">
        <v>2919</v>
      </c>
      <c r="B1061" s="13" t="s">
        <v>3508</v>
      </c>
      <c r="C1061" s="13" t="s">
        <v>13666</v>
      </c>
      <c r="D1061" s="13">
        <v>1</v>
      </c>
      <c r="E1061" s="13" t="s">
        <v>13667</v>
      </c>
      <c r="F1061" s="7" t="s">
        <v>11535</v>
      </c>
    </row>
    <row r="1062" ht="18" customHeight="1" spans="1:6">
      <c r="A1062" s="13" t="s">
        <v>2919</v>
      </c>
      <c r="B1062" s="13" t="s">
        <v>3508</v>
      </c>
      <c r="C1062" s="13" t="s">
        <v>13668</v>
      </c>
      <c r="D1062" s="13">
        <v>4</v>
      </c>
      <c r="E1062" s="13" t="s">
        <v>13669</v>
      </c>
      <c r="F1062" s="7" t="s">
        <v>11535</v>
      </c>
    </row>
    <row r="1063" ht="18" customHeight="1" spans="1:6">
      <c r="A1063" s="13" t="s">
        <v>2919</v>
      </c>
      <c r="B1063" s="13" t="s">
        <v>3595</v>
      </c>
      <c r="C1063" s="13" t="s">
        <v>13670</v>
      </c>
      <c r="D1063" s="13">
        <v>6</v>
      </c>
      <c r="E1063" s="13" t="s">
        <v>13671</v>
      </c>
      <c r="F1063" s="7" t="s">
        <v>11535</v>
      </c>
    </row>
    <row r="1064" ht="18" customHeight="1" spans="1:6">
      <c r="A1064" s="13" t="s">
        <v>2919</v>
      </c>
      <c r="B1064" s="13" t="s">
        <v>3595</v>
      </c>
      <c r="C1064" s="13" t="s">
        <v>13672</v>
      </c>
      <c r="D1064" s="13">
        <v>2</v>
      </c>
      <c r="E1064" s="13" t="s">
        <v>13673</v>
      </c>
      <c r="F1064" s="7" t="s">
        <v>11535</v>
      </c>
    </row>
    <row r="1065" ht="18" customHeight="1" spans="1:6">
      <c r="A1065" s="13" t="s">
        <v>2919</v>
      </c>
      <c r="B1065" s="13" t="s">
        <v>3595</v>
      </c>
      <c r="C1065" s="13" t="s">
        <v>13674</v>
      </c>
      <c r="D1065" s="13">
        <v>3</v>
      </c>
      <c r="E1065" s="13" t="s">
        <v>13675</v>
      </c>
      <c r="F1065" s="7" t="s">
        <v>11535</v>
      </c>
    </row>
    <row r="1066" ht="18" customHeight="1" spans="1:6">
      <c r="A1066" s="13" t="s">
        <v>2919</v>
      </c>
      <c r="B1066" s="13" t="s">
        <v>3595</v>
      </c>
      <c r="C1066" s="13" t="s">
        <v>13676</v>
      </c>
      <c r="D1066" s="13">
        <v>2</v>
      </c>
      <c r="E1066" s="13" t="s">
        <v>13677</v>
      </c>
      <c r="F1066" s="7" t="s">
        <v>11535</v>
      </c>
    </row>
    <row r="1067" ht="18" customHeight="1" spans="1:6">
      <c r="A1067" s="13" t="s">
        <v>2919</v>
      </c>
      <c r="B1067" s="13" t="s">
        <v>3595</v>
      </c>
      <c r="C1067" s="13" t="s">
        <v>13678</v>
      </c>
      <c r="D1067" s="13">
        <v>7</v>
      </c>
      <c r="E1067" s="13" t="s">
        <v>13679</v>
      </c>
      <c r="F1067" s="7" t="s">
        <v>11535</v>
      </c>
    </row>
    <row r="1068" ht="18" customHeight="1" spans="1:6">
      <c r="A1068" s="13" t="s">
        <v>2919</v>
      </c>
      <c r="B1068" s="13" t="s">
        <v>3595</v>
      </c>
      <c r="C1068" s="13" t="s">
        <v>13680</v>
      </c>
      <c r="D1068" s="13">
        <v>2</v>
      </c>
      <c r="E1068" s="13" t="s">
        <v>13681</v>
      </c>
      <c r="F1068" s="7" t="s">
        <v>11535</v>
      </c>
    </row>
    <row r="1069" ht="18" customHeight="1" spans="1:6">
      <c r="A1069" s="13" t="s">
        <v>2919</v>
      </c>
      <c r="B1069" s="13" t="s">
        <v>3595</v>
      </c>
      <c r="C1069" s="13" t="s">
        <v>13682</v>
      </c>
      <c r="D1069" s="13">
        <v>4</v>
      </c>
      <c r="E1069" s="13" t="s">
        <v>13683</v>
      </c>
      <c r="F1069" s="7" t="s">
        <v>11535</v>
      </c>
    </row>
    <row r="1070" ht="18" customHeight="1" spans="1:6">
      <c r="A1070" s="13" t="s">
        <v>2919</v>
      </c>
      <c r="B1070" s="13" t="s">
        <v>3595</v>
      </c>
      <c r="C1070" s="13" t="s">
        <v>13684</v>
      </c>
      <c r="D1070" s="13">
        <v>3</v>
      </c>
      <c r="E1070" s="13" t="s">
        <v>13685</v>
      </c>
      <c r="F1070" s="7" t="s">
        <v>11535</v>
      </c>
    </row>
    <row r="1071" ht="18" customHeight="1" spans="1:6">
      <c r="A1071" s="13" t="s">
        <v>2919</v>
      </c>
      <c r="B1071" s="13" t="s">
        <v>3595</v>
      </c>
      <c r="C1071" s="13" t="s">
        <v>13686</v>
      </c>
      <c r="D1071" s="13">
        <v>2</v>
      </c>
      <c r="E1071" s="13" t="s">
        <v>13687</v>
      </c>
      <c r="F1071" s="7" t="s">
        <v>11535</v>
      </c>
    </row>
    <row r="1072" ht="18" customHeight="1" spans="1:6">
      <c r="A1072" s="13" t="s">
        <v>2919</v>
      </c>
      <c r="B1072" s="13" t="s">
        <v>3595</v>
      </c>
      <c r="C1072" s="13" t="s">
        <v>13688</v>
      </c>
      <c r="D1072" s="13">
        <v>4</v>
      </c>
      <c r="E1072" s="13" t="s">
        <v>13689</v>
      </c>
      <c r="F1072" s="7" t="s">
        <v>11535</v>
      </c>
    </row>
    <row r="1073" ht="18" customHeight="1" spans="1:6">
      <c r="A1073" s="13" t="s">
        <v>2919</v>
      </c>
      <c r="B1073" s="13" t="s">
        <v>3595</v>
      </c>
      <c r="C1073" s="13" t="s">
        <v>13690</v>
      </c>
      <c r="D1073" s="13">
        <v>2</v>
      </c>
      <c r="E1073" s="13" t="s">
        <v>13691</v>
      </c>
      <c r="F1073" s="7" t="s">
        <v>11535</v>
      </c>
    </row>
    <row r="1074" ht="18" customHeight="1" spans="1:6">
      <c r="A1074" s="13" t="s">
        <v>2919</v>
      </c>
      <c r="B1074" s="13" t="s">
        <v>3595</v>
      </c>
      <c r="C1074" s="13" t="s">
        <v>13692</v>
      </c>
      <c r="D1074" s="13">
        <v>3</v>
      </c>
      <c r="E1074" s="13" t="s">
        <v>13693</v>
      </c>
      <c r="F1074" s="7" t="s">
        <v>11535</v>
      </c>
    </row>
    <row r="1075" ht="18" customHeight="1" spans="1:6">
      <c r="A1075" s="13" t="s">
        <v>2919</v>
      </c>
      <c r="B1075" s="13" t="s">
        <v>3595</v>
      </c>
      <c r="C1075" s="13" t="s">
        <v>13694</v>
      </c>
      <c r="D1075" s="13">
        <v>2</v>
      </c>
      <c r="E1075" s="13" t="s">
        <v>13695</v>
      </c>
      <c r="F1075" s="7" t="s">
        <v>11535</v>
      </c>
    </row>
    <row r="1076" ht="18" customHeight="1" spans="1:6">
      <c r="A1076" s="13" t="s">
        <v>2919</v>
      </c>
      <c r="B1076" s="13" t="s">
        <v>3595</v>
      </c>
      <c r="C1076" s="13" t="s">
        <v>13696</v>
      </c>
      <c r="D1076" s="13">
        <v>4</v>
      </c>
      <c r="E1076" s="13" t="s">
        <v>13697</v>
      </c>
      <c r="F1076" s="7" t="s">
        <v>11535</v>
      </c>
    </row>
    <row r="1077" ht="18" customHeight="1" spans="1:6">
      <c r="A1077" s="13" t="s">
        <v>2919</v>
      </c>
      <c r="B1077" s="13" t="s">
        <v>3595</v>
      </c>
      <c r="C1077" s="13" t="s">
        <v>13698</v>
      </c>
      <c r="D1077" s="13">
        <v>3</v>
      </c>
      <c r="E1077" s="13" t="s">
        <v>13699</v>
      </c>
      <c r="F1077" s="7" t="s">
        <v>11535</v>
      </c>
    </row>
    <row r="1078" ht="18" customHeight="1" spans="1:6">
      <c r="A1078" s="13" t="s">
        <v>2919</v>
      </c>
      <c r="B1078" s="13" t="s">
        <v>3595</v>
      </c>
      <c r="C1078" s="13" t="s">
        <v>13700</v>
      </c>
      <c r="D1078" s="13">
        <v>2</v>
      </c>
      <c r="E1078" s="13" t="s">
        <v>13701</v>
      </c>
      <c r="F1078" s="7" t="s">
        <v>11535</v>
      </c>
    </row>
    <row r="1079" ht="18" customHeight="1" spans="1:6">
      <c r="A1079" s="13" t="s">
        <v>2919</v>
      </c>
      <c r="B1079" s="13" t="s">
        <v>3595</v>
      </c>
      <c r="C1079" s="13" t="s">
        <v>13702</v>
      </c>
      <c r="D1079" s="13">
        <v>4</v>
      </c>
      <c r="E1079" s="13" t="s">
        <v>13703</v>
      </c>
      <c r="F1079" s="7" t="s">
        <v>11535</v>
      </c>
    </row>
    <row r="1080" ht="18" customHeight="1" spans="1:6">
      <c r="A1080" s="13" t="s">
        <v>2919</v>
      </c>
      <c r="B1080" s="13" t="s">
        <v>3595</v>
      </c>
      <c r="C1080" s="13" t="s">
        <v>13704</v>
      </c>
      <c r="D1080" s="13">
        <v>4</v>
      </c>
      <c r="E1080" s="13" t="s">
        <v>13705</v>
      </c>
      <c r="F1080" s="7" t="s">
        <v>11535</v>
      </c>
    </row>
    <row r="1081" ht="18" customHeight="1" spans="1:6">
      <c r="A1081" s="13" t="s">
        <v>2919</v>
      </c>
      <c r="B1081" s="13" t="s">
        <v>3595</v>
      </c>
      <c r="C1081" s="13" t="s">
        <v>13706</v>
      </c>
      <c r="D1081" s="13">
        <v>5</v>
      </c>
      <c r="E1081" s="13" t="s">
        <v>13707</v>
      </c>
      <c r="F1081" s="7" t="s">
        <v>11535</v>
      </c>
    </row>
    <row r="1082" ht="18" customHeight="1" spans="1:6">
      <c r="A1082" s="13" t="s">
        <v>2919</v>
      </c>
      <c r="B1082" s="13" t="s">
        <v>3595</v>
      </c>
      <c r="C1082" s="13" t="s">
        <v>13708</v>
      </c>
      <c r="D1082" s="13">
        <v>3</v>
      </c>
      <c r="E1082" s="13" t="s">
        <v>13709</v>
      </c>
      <c r="F1082" s="7" t="s">
        <v>11535</v>
      </c>
    </row>
    <row r="1083" ht="18" customHeight="1" spans="1:6">
      <c r="A1083" s="13" t="s">
        <v>2919</v>
      </c>
      <c r="B1083" s="13" t="s">
        <v>3595</v>
      </c>
      <c r="C1083" s="13" t="s">
        <v>13710</v>
      </c>
      <c r="D1083" s="13">
        <v>3</v>
      </c>
      <c r="E1083" s="179" t="s">
        <v>13711</v>
      </c>
      <c r="F1083" s="7" t="s">
        <v>11535</v>
      </c>
    </row>
    <row r="1084" ht="18" customHeight="1" spans="1:6">
      <c r="A1084" s="13" t="s">
        <v>2919</v>
      </c>
      <c r="B1084" s="13" t="s">
        <v>3700</v>
      </c>
      <c r="C1084" s="13" t="s">
        <v>13712</v>
      </c>
      <c r="D1084" s="13">
        <v>3</v>
      </c>
      <c r="E1084" s="179" t="s">
        <v>13713</v>
      </c>
      <c r="F1084" s="7" t="s">
        <v>11535</v>
      </c>
    </row>
    <row r="1085" ht="18" customHeight="1" spans="1:6">
      <c r="A1085" s="13" t="s">
        <v>2919</v>
      </c>
      <c r="B1085" s="13" t="s">
        <v>3700</v>
      </c>
      <c r="C1085" s="13" t="s">
        <v>13714</v>
      </c>
      <c r="D1085" s="13">
        <v>3</v>
      </c>
      <c r="E1085" s="179" t="s">
        <v>13715</v>
      </c>
      <c r="F1085" s="7" t="s">
        <v>11535</v>
      </c>
    </row>
    <row r="1086" ht="18" customHeight="1" spans="1:6">
      <c r="A1086" s="13" t="s">
        <v>2919</v>
      </c>
      <c r="B1086" s="13" t="s">
        <v>3700</v>
      </c>
      <c r="C1086" s="13" t="s">
        <v>13716</v>
      </c>
      <c r="D1086" s="13">
        <v>2</v>
      </c>
      <c r="E1086" s="179" t="s">
        <v>13717</v>
      </c>
      <c r="F1086" s="7" t="s">
        <v>11535</v>
      </c>
    </row>
    <row r="1087" ht="18" customHeight="1" spans="1:6">
      <c r="A1087" s="13" t="s">
        <v>2919</v>
      </c>
      <c r="B1087" s="13" t="s">
        <v>3700</v>
      </c>
      <c r="C1087" s="13" t="s">
        <v>13718</v>
      </c>
      <c r="D1087" s="13">
        <v>2</v>
      </c>
      <c r="E1087" s="179" t="s">
        <v>13719</v>
      </c>
      <c r="F1087" s="7" t="s">
        <v>11535</v>
      </c>
    </row>
    <row r="1088" ht="18" customHeight="1" spans="1:6">
      <c r="A1088" s="13" t="s">
        <v>2919</v>
      </c>
      <c r="B1088" s="13" t="s">
        <v>3700</v>
      </c>
      <c r="C1088" s="13" t="s">
        <v>13720</v>
      </c>
      <c r="D1088" s="13">
        <v>2</v>
      </c>
      <c r="E1088" s="179" t="s">
        <v>13721</v>
      </c>
      <c r="F1088" s="7" t="s">
        <v>11535</v>
      </c>
    </row>
    <row r="1089" ht="18" customHeight="1" spans="1:6">
      <c r="A1089" s="13" t="s">
        <v>2919</v>
      </c>
      <c r="B1089" s="13" t="s">
        <v>3700</v>
      </c>
      <c r="C1089" s="13" t="s">
        <v>13722</v>
      </c>
      <c r="D1089" s="13">
        <v>3</v>
      </c>
      <c r="E1089" s="179" t="s">
        <v>13723</v>
      </c>
      <c r="F1089" s="7" t="s">
        <v>11535</v>
      </c>
    </row>
    <row r="1090" ht="18" customHeight="1" spans="1:6">
      <c r="A1090" s="13" t="s">
        <v>2919</v>
      </c>
      <c r="B1090" s="13" t="s">
        <v>3700</v>
      </c>
      <c r="C1090" s="13" t="s">
        <v>13724</v>
      </c>
      <c r="D1090" s="13">
        <v>3</v>
      </c>
      <c r="E1090" s="179" t="s">
        <v>13725</v>
      </c>
      <c r="F1090" s="7" t="s">
        <v>11535</v>
      </c>
    </row>
    <row r="1091" ht="18" customHeight="1" spans="1:6">
      <c r="A1091" s="13" t="s">
        <v>2919</v>
      </c>
      <c r="B1091" s="13" t="s">
        <v>3700</v>
      </c>
      <c r="C1091" s="13" t="s">
        <v>13726</v>
      </c>
      <c r="D1091" s="13">
        <v>7</v>
      </c>
      <c r="E1091" s="179" t="s">
        <v>13727</v>
      </c>
      <c r="F1091" s="7" t="s">
        <v>11535</v>
      </c>
    </row>
    <row r="1092" ht="18" customHeight="1" spans="1:6">
      <c r="A1092" s="13" t="s">
        <v>2919</v>
      </c>
      <c r="B1092" s="13" t="s">
        <v>3700</v>
      </c>
      <c r="C1092" s="13" t="s">
        <v>13728</v>
      </c>
      <c r="D1092" s="13">
        <v>3</v>
      </c>
      <c r="E1092" s="179" t="s">
        <v>13729</v>
      </c>
      <c r="F1092" s="7" t="s">
        <v>11535</v>
      </c>
    </row>
    <row r="1093" ht="18" customHeight="1" spans="1:6">
      <c r="A1093" s="13" t="s">
        <v>2919</v>
      </c>
      <c r="B1093" s="13" t="s">
        <v>3700</v>
      </c>
      <c r="C1093" s="13" t="s">
        <v>13730</v>
      </c>
      <c r="D1093" s="13">
        <v>4</v>
      </c>
      <c r="E1093" s="13" t="s">
        <v>13731</v>
      </c>
      <c r="F1093" s="7" t="s">
        <v>11535</v>
      </c>
    </row>
    <row r="1094" ht="18" customHeight="1" spans="1:6">
      <c r="A1094" s="13" t="s">
        <v>2919</v>
      </c>
      <c r="B1094" s="13" t="s">
        <v>3700</v>
      </c>
      <c r="C1094" s="13" t="s">
        <v>13732</v>
      </c>
      <c r="D1094" s="13">
        <v>4</v>
      </c>
      <c r="E1094" s="179" t="s">
        <v>13733</v>
      </c>
      <c r="F1094" s="7" t="s">
        <v>11535</v>
      </c>
    </row>
    <row r="1095" ht="18" customHeight="1" spans="1:6">
      <c r="A1095" s="13" t="s">
        <v>2919</v>
      </c>
      <c r="B1095" s="13" t="s">
        <v>3769</v>
      </c>
      <c r="C1095" s="13" t="s">
        <v>13734</v>
      </c>
      <c r="D1095" s="13">
        <v>4</v>
      </c>
      <c r="E1095" s="13" t="s">
        <v>13735</v>
      </c>
      <c r="F1095" s="7" t="s">
        <v>11535</v>
      </c>
    </row>
    <row r="1096" ht="18" customHeight="1" spans="1:6">
      <c r="A1096" s="13" t="s">
        <v>2919</v>
      </c>
      <c r="B1096" s="13" t="s">
        <v>3769</v>
      </c>
      <c r="C1096" s="13" t="s">
        <v>13736</v>
      </c>
      <c r="D1096" s="13">
        <v>3</v>
      </c>
      <c r="E1096" s="13" t="s">
        <v>13737</v>
      </c>
      <c r="F1096" s="7" t="s">
        <v>11535</v>
      </c>
    </row>
    <row r="1097" ht="18" customHeight="1" spans="1:6">
      <c r="A1097" s="13" t="s">
        <v>2919</v>
      </c>
      <c r="B1097" s="13" t="s">
        <v>3769</v>
      </c>
      <c r="C1097" s="13" t="s">
        <v>13738</v>
      </c>
      <c r="D1097" s="13">
        <v>3</v>
      </c>
      <c r="E1097" s="13" t="s">
        <v>13739</v>
      </c>
      <c r="F1097" s="7" t="s">
        <v>11535</v>
      </c>
    </row>
    <row r="1098" ht="18" customHeight="1" spans="1:6">
      <c r="A1098" s="13" t="s">
        <v>2919</v>
      </c>
      <c r="B1098" s="13" t="s">
        <v>3769</v>
      </c>
      <c r="C1098" s="13" t="s">
        <v>13740</v>
      </c>
      <c r="D1098" s="13">
        <v>3</v>
      </c>
      <c r="E1098" s="13" t="s">
        <v>13741</v>
      </c>
      <c r="F1098" s="7" t="s">
        <v>11535</v>
      </c>
    </row>
    <row r="1099" ht="18" customHeight="1" spans="1:6">
      <c r="A1099" s="13" t="s">
        <v>2919</v>
      </c>
      <c r="B1099" s="13" t="s">
        <v>3769</v>
      </c>
      <c r="C1099" s="13" t="s">
        <v>13742</v>
      </c>
      <c r="D1099" s="13">
        <v>4</v>
      </c>
      <c r="E1099" s="13" t="s">
        <v>13743</v>
      </c>
      <c r="F1099" s="7" t="s">
        <v>11535</v>
      </c>
    </row>
    <row r="1100" ht="18" customHeight="1" spans="1:6">
      <c r="A1100" s="13" t="s">
        <v>2919</v>
      </c>
      <c r="B1100" s="13" t="s">
        <v>3769</v>
      </c>
      <c r="C1100" s="13" t="s">
        <v>13744</v>
      </c>
      <c r="D1100" s="13">
        <v>3</v>
      </c>
      <c r="E1100" s="13" t="s">
        <v>13745</v>
      </c>
      <c r="F1100" s="7" t="s">
        <v>11535</v>
      </c>
    </row>
    <row r="1101" ht="18" customHeight="1" spans="1:6">
      <c r="A1101" s="13" t="s">
        <v>2919</v>
      </c>
      <c r="B1101" s="13" t="s">
        <v>3769</v>
      </c>
      <c r="C1101" s="13" t="s">
        <v>13746</v>
      </c>
      <c r="D1101" s="13">
        <v>3</v>
      </c>
      <c r="E1101" s="13" t="s">
        <v>13747</v>
      </c>
      <c r="F1101" s="7" t="s">
        <v>11535</v>
      </c>
    </row>
    <row r="1102" ht="18" customHeight="1" spans="1:6">
      <c r="A1102" s="13" t="s">
        <v>2919</v>
      </c>
      <c r="B1102" s="13" t="s">
        <v>3769</v>
      </c>
      <c r="C1102" s="13" t="s">
        <v>13748</v>
      </c>
      <c r="D1102" s="13">
        <v>4</v>
      </c>
      <c r="E1102" s="13" t="s">
        <v>13749</v>
      </c>
      <c r="F1102" s="7" t="s">
        <v>11535</v>
      </c>
    </row>
    <row r="1103" ht="18" customHeight="1" spans="1:6">
      <c r="A1103" s="13" t="s">
        <v>2919</v>
      </c>
      <c r="B1103" s="13" t="s">
        <v>3769</v>
      </c>
      <c r="C1103" s="13" t="s">
        <v>13750</v>
      </c>
      <c r="D1103" s="13">
        <v>4</v>
      </c>
      <c r="E1103" s="13" t="s">
        <v>13751</v>
      </c>
      <c r="F1103" s="7" t="s">
        <v>11535</v>
      </c>
    </row>
    <row r="1104" ht="18" customHeight="1" spans="1:6">
      <c r="A1104" s="13" t="s">
        <v>2919</v>
      </c>
      <c r="B1104" s="13" t="s">
        <v>3769</v>
      </c>
      <c r="C1104" s="13" t="s">
        <v>13752</v>
      </c>
      <c r="D1104" s="13">
        <v>2</v>
      </c>
      <c r="E1104" s="13" t="s">
        <v>13753</v>
      </c>
      <c r="F1104" s="7" t="s">
        <v>11535</v>
      </c>
    </row>
    <row r="1105" ht="18" customHeight="1" spans="1:6">
      <c r="A1105" s="13" t="s">
        <v>2919</v>
      </c>
      <c r="B1105" s="13" t="s">
        <v>3769</v>
      </c>
      <c r="C1105" s="13" t="s">
        <v>13754</v>
      </c>
      <c r="D1105" s="13">
        <v>2</v>
      </c>
      <c r="E1105" s="13" t="s">
        <v>13755</v>
      </c>
      <c r="F1105" s="7" t="s">
        <v>11535</v>
      </c>
    </row>
    <row r="1106" ht="18" customHeight="1" spans="1:6">
      <c r="A1106" s="13" t="s">
        <v>2919</v>
      </c>
      <c r="B1106" s="13" t="s">
        <v>3769</v>
      </c>
      <c r="C1106" s="13" t="s">
        <v>13756</v>
      </c>
      <c r="D1106" s="13">
        <v>6</v>
      </c>
      <c r="E1106" s="13" t="s">
        <v>13757</v>
      </c>
      <c r="F1106" s="7" t="s">
        <v>11535</v>
      </c>
    </row>
    <row r="1107" ht="18" customHeight="1" spans="1:6">
      <c r="A1107" s="13" t="s">
        <v>2919</v>
      </c>
      <c r="B1107" s="13" t="s">
        <v>3769</v>
      </c>
      <c r="C1107" s="13" t="s">
        <v>13758</v>
      </c>
      <c r="D1107" s="13">
        <v>2</v>
      </c>
      <c r="E1107" s="13" t="s">
        <v>13759</v>
      </c>
      <c r="F1107" s="7" t="s">
        <v>11535</v>
      </c>
    </row>
    <row r="1108" ht="18" customHeight="1" spans="1:6">
      <c r="A1108" s="13" t="s">
        <v>2919</v>
      </c>
      <c r="B1108" s="13" t="s">
        <v>3769</v>
      </c>
      <c r="C1108" s="13" t="s">
        <v>13760</v>
      </c>
      <c r="D1108" s="13">
        <v>3</v>
      </c>
      <c r="E1108" s="13" t="s">
        <v>13761</v>
      </c>
      <c r="F1108" s="7" t="s">
        <v>11535</v>
      </c>
    </row>
    <row r="1109" ht="18" customHeight="1" spans="1:6">
      <c r="A1109" s="13" t="s">
        <v>2919</v>
      </c>
      <c r="B1109" s="13" t="s">
        <v>3769</v>
      </c>
      <c r="C1109" s="13" t="s">
        <v>13762</v>
      </c>
      <c r="D1109" s="13">
        <v>4</v>
      </c>
      <c r="E1109" s="13" t="s">
        <v>13763</v>
      </c>
      <c r="F1109" s="7" t="s">
        <v>11535</v>
      </c>
    </row>
    <row r="1110" ht="18" customHeight="1" spans="1:6">
      <c r="A1110" s="13" t="s">
        <v>2919</v>
      </c>
      <c r="B1110" s="13" t="s">
        <v>3769</v>
      </c>
      <c r="C1110" s="13" t="s">
        <v>13764</v>
      </c>
      <c r="D1110" s="13">
        <v>5</v>
      </c>
      <c r="E1110" s="13" t="s">
        <v>13765</v>
      </c>
      <c r="F1110" s="7" t="s">
        <v>11535</v>
      </c>
    </row>
    <row r="1111" ht="18" customHeight="1" spans="1:6">
      <c r="A1111" s="13" t="s">
        <v>2919</v>
      </c>
      <c r="B1111" s="13" t="s">
        <v>3769</v>
      </c>
      <c r="C1111" s="13" t="s">
        <v>13766</v>
      </c>
      <c r="D1111" s="13">
        <v>5</v>
      </c>
      <c r="E1111" s="13" t="s">
        <v>13767</v>
      </c>
      <c r="F1111" s="7" t="s">
        <v>11535</v>
      </c>
    </row>
    <row r="1112" ht="18" customHeight="1" spans="1:6">
      <c r="A1112" s="13" t="s">
        <v>2919</v>
      </c>
      <c r="B1112" s="13" t="s">
        <v>3769</v>
      </c>
      <c r="C1112" s="13" t="s">
        <v>13768</v>
      </c>
      <c r="D1112" s="13">
        <v>3</v>
      </c>
      <c r="E1112" s="13" t="s">
        <v>13769</v>
      </c>
      <c r="F1112" s="7" t="s">
        <v>11535</v>
      </c>
    </row>
    <row r="1113" ht="18" customHeight="1" spans="1:6">
      <c r="A1113" s="13" t="s">
        <v>2919</v>
      </c>
      <c r="B1113" s="13" t="s">
        <v>3769</v>
      </c>
      <c r="C1113" s="13" t="s">
        <v>13770</v>
      </c>
      <c r="D1113" s="13">
        <v>5</v>
      </c>
      <c r="E1113" s="13" t="s">
        <v>13771</v>
      </c>
      <c r="F1113" s="7" t="s">
        <v>11535</v>
      </c>
    </row>
    <row r="1114" ht="18" customHeight="1" spans="1:6">
      <c r="A1114" s="13" t="s">
        <v>2919</v>
      </c>
      <c r="B1114" s="13" t="s">
        <v>3769</v>
      </c>
      <c r="C1114" s="13" t="s">
        <v>13772</v>
      </c>
      <c r="D1114" s="13">
        <v>3</v>
      </c>
      <c r="E1114" s="13" t="s">
        <v>13773</v>
      </c>
      <c r="F1114" s="7" t="s">
        <v>11535</v>
      </c>
    </row>
    <row r="1115" ht="18" customHeight="1" spans="1:6">
      <c r="A1115" s="13" t="s">
        <v>2919</v>
      </c>
      <c r="B1115" s="13" t="s">
        <v>3769</v>
      </c>
      <c r="C1115" s="13" t="s">
        <v>13774</v>
      </c>
      <c r="D1115" s="13">
        <v>3</v>
      </c>
      <c r="E1115" s="13" t="s">
        <v>13775</v>
      </c>
      <c r="F1115" s="7" t="s">
        <v>11535</v>
      </c>
    </row>
    <row r="1116" ht="18" customHeight="1" spans="1:6">
      <c r="A1116" s="13" t="s">
        <v>2919</v>
      </c>
      <c r="B1116" s="13" t="s">
        <v>3769</v>
      </c>
      <c r="C1116" s="13" t="s">
        <v>13776</v>
      </c>
      <c r="D1116" s="13">
        <v>2</v>
      </c>
      <c r="E1116" s="13" t="s">
        <v>13777</v>
      </c>
      <c r="F1116" s="7" t="s">
        <v>11535</v>
      </c>
    </row>
    <row r="1117" ht="18" customHeight="1" spans="1:6">
      <c r="A1117" s="13" t="s">
        <v>2919</v>
      </c>
      <c r="B1117" s="13" t="s">
        <v>3769</v>
      </c>
      <c r="C1117" s="13" t="s">
        <v>13778</v>
      </c>
      <c r="D1117" s="13">
        <v>2</v>
      </c>
      <c r="E1117" s="13" t="s">
        <v>13779</v>
      </c>
      <c r="F1117" s="7" t="s">
        <v>11535</v>
      </c>
    </row>
    <row r="1118" ht="18" customHeight="1" spans="1:6">
      <c r="A1118" s="13" t="s">
        <v>2919</v>
      </c>
      <c r="B1118" s="13" t="s">
        <v>3769</v>
      </c>
      <c r="C1118" s="13" t="s">
        <v>13780</v>
      </c>
      <c r="D1118" s="13">
        <v>2</v>
      </c>
      <c r="E1118" s="13" t="s">
        <v>13781</v>
      </c>
      <c r="F1118" s="7" t="s">
        <v>11535</v>
      </c>
    </row>
    <row r="1119" ht="18" customHeight="1" spans="1:6">
      <c r="A1119" s="13" t="s">
        <v>2919</v>
      </c>
      <c r="B1119" s="13" t="s">
        <v>3769</v>
      </c>
      <c r="C1119" s="13" t="s">
        <v>2904</v>
      </c>
      <c r="D1119" s="13">
        <v>1</v>
      </c>
      <c r="E1119" s="13" t="s">
        <v>13782</v>
      </c>
      <c r="F1119" s="7" t="s">
        <v>11535</v>
      </c>
    </row>
    <row r="1120" ht="18" customHeight="1" spans="1:6">
      <c r="A1120" s="13" t="s">
        <v>2919</v>
      </c>
      <c r="B1120" s="13" t="s">
        <v>3769</v>
      </c>
      <c r="C1120" s="13" t="s">
        <v>13783</v>
      </c>
      <c r="D1120" s="13">
        <v>4</v>
      </c>
      <c r="E1120" s="13" t="s">
        <v>13784</v>
      </c>
      <c r="F1120" s="7" t="s">
        <v>11535</v>
      </c>
    </row>
    <row r="1121" ht="18" customHeight="1" spans="1:6">
      <c r="A1121" s="13" t="s">
        <v>2919</v>
      </c>
      <c r="B1121" s="13" t="s">
        <v>3769</v>
      </c>
      <c r="C1121" s="13" t="s">
        <v>13785</v>
      </c>
      <c r="D1121" s="13">
        <v>5</v>
      </c>
      <c r="E1121" s="13" t="s">
        <v>13786</v>
      </c>
      <c r="F1121" s="7" t="s">
        <v>11535</v>
      </c>
    </row>
    <row r="1122" ht="18" customHeight="1" spans="1:6">
      <c r="A1122" s="13" t="s">
        <v>2919</v>
      </c>
      <c r="B1122" s="13" t="s">
        <v>3769</v>
      </c>
      <c r="C1122" s="13" t="s">
        <v>13787</v>
      </c>
      <c r="D1122" s="13">
        <v>3</v>
      </c>
      <c r="E1122" s="13" t="s">
        <v>13788</v>
      </c>
      <c r="F1122" s="7" t="s">
        <v>11535</v>
      </c>
    </row>
    <row r="1123" ht="18" customHeight="1" spans="1:6">
      <c r="A1123" s="13" t="s">
        <v>2919</v>
      </c>
      <c r="B1123" s="13" t="s">
        <v>3769</v>
      </c>
      <c r="C1123" s="13" t="s">
        <v>13789</v>
      </c>
      <c r="D1123" s="13">
        <v>4</v>
      </c>
      <c r="E1123" s="13" t="s">
        <v>13790</v>
      </c>
      <c r="F1123" s="7" t="s">
        <v>11535</v>
      </c>
    </row>
    <row r="1124" ht="18" customHeight="1" spans="1:6">
      <c r="A1124" s="13" t="s">
        <v>2919</v>
      </c>
      <c r="B1124" s="13" t="s">
        <v>3769</v>
      </c>
      <c r="C1124" s="13" t="s">
        <v>13191</v>
      </c>
      <c r="D1124" s="13">
        <v>2</v>
      </c>
      <c r="E1124" s="13" t="s">
        <v>13791</v>
      </c>
      <c r="F1124" s="7" t="s">
        <v>11535</v>
      </c>
    </row>
    <row r="1125" ht="18" customHeight="1" spans="1:6">
      <c r="A1125" s="13" t="s">
        <v>2919</v>
      </c>
      <c r="B1125" s="13" t="s">
        <v>3769</v>
      </c>
      <c r="C1125" s="13" t="s">
        <v>13792</v>
      </c>
      <c r="D1125" s="13">
        <v>4</v>
      </c>
      <c r="E1125" s="13" t="s">
        <v>13793</v>
      </c>
      <c r="F1125" s="7" t="s">
        <v>11535</v>
      </c>
    </row>
    <row r="1126" ht="18" customHeight="1" spans="1:6">
      <c r="A1126" s="13" t="s">
        <v>2919</v>
      </c>
      <c r="B1126" s="13" t="s">
        <v>3769</v>
      </c>
      <c r="C1126" s="13" t="s">
        <v>13794</v>
      </c>
      <c r="D1126" s="13">
        <v>4</v>
      </c>
      <c r="E1126" s="13" t="s">
        <v>13795</v>
      </c>
      <c r="F1126" s="7" t="s">
        <v>11535</v>
      </c>
    </row>
    <row r="1127" ht="18" customHeight="1" spans="1:6">
      <c r="A1127" s="13" t="s">
        <v>2919</v>
      </c>
      <c r="B1127" s="13" t="s">
        <v>3769</v>
      </c>
      <c r="C1127" s="13" t="s">
        <v>13796</v>
      </c>
      <c r="D1127" s="13">
        <v>3</v>
      </c>
      <c r="E1127" s="13" t="s">
        <v>13797</v>
      </c>
      <c r="F1127" s="7" t="s">
        <v>11535</v>
      </c>
    </row>
    <row r="1128" ht="18" customHeight="1" spans="1:6">
      <c r="A1128" s="13" t="s">
        <v>2919</v>
      </c>
      <c r="B1128" s="13" t="s">
        <v>3769</v>
      </c>
      <c r="C1128" s="13" t="s">
        <v>13798</v>
      </c>
      <c r="D1128" s="13">
        <v>4</v>
      </c>
      <c r="E1128" s="13" t="s">
        <v>13799</v>
      </c>
      <c r="F1128" s="7" t="s">
        <v>11535</v>
      </c>
    </row>
    <row r="1129" ht="18" customHeight="1" spans="1:6">
      <c r="A1129" s="13" t="s">
        <v>2919</v>
      </c>
      <c r="B1129" s="13" t="s">
        <v>3769</v>
      </c>
      <c r="C1129" s="13" t="s">
        <v>13800</v>
      </c>
      <c r="D1129" s="13">
        <v>2</v>
      </c>
      <c r="E1129" s="13" t="s">
        <v>13801</v>
      </c>
      <c r="F1129" s="7" t="s">
        <v>11535</v>
      </c>
    </row>
    <row r="1130" ht="18" customHeight="1" spans="1:6">
      <c r="A1130" s="13" t="s">
        <v>2919</v>
      </c>
      <c r="B1130" s="13" t="s">
        <v>3769</v>
      </c>
      <c r="C1130" s="13" t="s">
        <v>13802</v>
      </c>
      <c r="D1130" s="13">
        <v>2</v>
      </c>
      <c r="E1130" s="13" t="s">
        <v>13803</v>
      </c>
      <c r="F1130" s="7" t="s">
        <v>11535</v>
      </c>
    </row>
    <row r="1131" ht="18" customHeight="1" spans="1:6">
      <c r="A1131" s="13" t="s">
        <v>2919</v>
      </c>
      <c r="B1131" s="13" t="s">
        <v>3769</v>
      </c>
      <c r="C1131" s="13" t="s">
        <v>13804</v>
      </c>
      <c r="D1131" s="13">
        <v>2</v>
      </c>
      <c r="E1131" s="13" t="s">
        <v>13805</v>
      </c>
      <c r="F1131" s="7" t="s">
        <v>11535</v>
      </c>
    </row>
    <row r="1132" ht="18" customHeight="1" spans="1:6">
      <c r="A1132" s="13" t="s">
        <v>2919</v>
      </c>
      <c r="B1132" s="13" t="s">
        <v>3769</v>
      </c>
      <c r="C1132" s="13" t="s">
        <v>13806</v>
      </c>
      <c r="D1132" s="13">
        <v>3</v>
      </c>
      <c r="E1132" s="13" t="s">
        <v>13807</v>
      </c>
      <c r="F1132" s="7" t="s">
        <v>11535</v>
      </c>
    </row>
    <row r="1133" ht="18" customHeight="1" spans="1:6">
      <c r="A1133" s="13" t="s">
        <v>2919</v>
      </c>
      <c r="B1133" s="13" t="s">
        <v>3769</v>
      </c>
      <c r="C1133" s="13" t="s">
        <v>13808</v>
      </c>
      <c r="D1133" s="13">
        <v>4</v>
      </c>
      <c r="E1133" s="13" t="s">
        <v>13809</v>
      </c>
      <c r="F1133" s="7" t="s">
        <v>11535</v>
      </c>
    </row>
    <row r="1134" ht="18" customHeight="1" spans="1:6">
      <c r="A1134" s="13" t="s">
        <v>2919</v>
      </c>
      <c r="B1134" s="13" t="s">
        <v>3769</v>
      </c>
      <c r="C1134" s="13" t="s">
        <v>13810</v>
      </c>
      <c r="D1134" s="13">
        <v>5</v>
      </c>
      <c r="E1134" s="13" t="s">
        <v>13811</v>
      </c>
      <c r="F1134" s="7" t="s">
        <v>11535</v>
      </c>
    </row>
    <row r="1135" ht="18" customHeight="1" spans="1:6">
      <c r="A1135" s="13" t="s">
        <v>2919</v>
      </c>
      <c r="B1135" s="13" t="s">
        <v>3769</v>
      </c>
      <c r="C1135" s="13" t="s">
        <v>13812</v>
      </c>
      <c r="D1135" s="13">
        <v>2</v>
      </c>
      <c r="E1135" s="13" t="s">
        <v>13813</v>
      </c>
      <c r="F1135" s="7" t="s">
        <v>11535</v>
      </c>
    </row>
    <row r="1136" ht="18" customHeight="1" spans="1:6">
      <c r="A1136" s="13" t="s">
        <v>2919</v>
      </c>
      <c r="B1136" s="13" t="s">
        <v>3769</v>
      </c>
      <c r="C1136" s="13" t="s">
        <v>13814</v>
      </c>
      <c r="D1136" s="13">
        <v>6</v>
      </c>
      <c r="E1136" s="13" t="s">
        <v>13815</v>
      </c>
      <c r="F1136" s="7" t="s">
        <v>11535</v>
      </c>
    </row>
    <row r="1137" ht="18" customHeight="1" spans="1:6">
      <c r="A1137" s="13" t="s">
        <v>2919</v>
      </c>
      <c r="B1137" s="13" t="s">
        <v>3769</v>
      </c>
      <c r="C1137" s="13" t="s">
        <v>13816</v>
      </c>
      <c r="D1137" s="13">
        <v>4</v>
      </c>
      <c r="E1137" s="13" t="s">
        <v>13817</v>
      </c>
      <c r="F1137" s="7" t="s">
        <v>11535</v>
      </c>
    </row>
    <row r="1138" ht="18" customHeight="1" spans="1:6">
      <c r="A1138" s="13" t="s">
        <v>2919</v>
      </c>
      <c r="B1138" s="13" t="s">
        <v>3769</v>
      </c>
      <c r="C1138" s="13" t="s">
        <v>13818</v>
      </c>
      <c r="D1138" s="13">
        <v>6</v>
      </c>
      <c r="E1138" s="13" t="s">
        <v>13819</v>
      </c>
      <c r="F1138" s="7" t="s">
        <v>11535</v>
      </c>
    </row>
    <row r="1139" ht="18" customHeight="1" spans="1:6">
      <c r="A1139" s="13" t="s">
        <v>2919</v>
      </c>
      <c r="B1139" s="13" t="s">
        <v>3769</v>
      </c>
      <c r="C1139" s="13" t="s">
        <v>12918</v>
      </c>
      <c r="D1139" s="13">
        <v>4</v>
      </c>
      <c r="E1139" s="13" t="s">
        <v>13820</v>
      </c>
      <c r="F1139" s="7" t="s">
        <v>11535</v>
      </c>
    </row>
    <row r="1140" ht="18" customHeight="1" spans="1:6">
      <c r="A1140" s="13" t="s">
        <v>2919</v>
      </c>
      <c r="B1140" s="13" t="s">
        <v>3769</v>
      </c>
      <c r="C1140" s="13" t="s">
        <v>13821</v>
      </c>
      <c r="D1140" s="13">
        <v>4</v>
      </c>
      <c r="E1140" s="13" t="s">
        <v>13822</v>
      </c>
      <c r="F1140" s="7" t="s">
        <v>11535</v>
      </c>
    </row>
    <row r="1141" ht="18" customHeight="1" spans="1:6">
      <c r="A1141" s="13" t="s">
        <v>2919</v>
      </c>
      <c r="B1141" s="13" t="s">
        <v>3769</v>
      </c>
      <c r="C1141" s="13" t="s">
        <v>13823</v>
      </c>
      <c r="D1141" s="13">
        <v>4</v>
      </c>
      <c r="E1141" s="13" t="s">
        <v>13824</v>
      </c>
      <c r="F1141" s="7" t="s">
        <v>11535</v>
      </c>
    </row>
    <row r="1142" ht="18" customHeight="1" spans="1:6">
      <c r="A1142" s="13" t="s">
        <v>2919</v>
      </c>
      <c r="B1142" s="13" t="s">
        <v>3769</v>
      </c>
      <c r="C1142" s="13" t="s">
        <v>13825</v>
      </c>
      <c r="D1142" s="13">
        <v>4</v>
      </c>
      <c r="E1142" s="13" t="s">
        <v>13826</v>
      </c>
      <c r="F1142" s="7" t="s">
        <v>11535</v>
      </c>
    </row>
    <row r="1143" ht="18" customHeight="1" spans="1:6">
      <c r="A1143" s="13" t="s">
        <v>2919</v>
      </c>
      <c r="B1143" s="13" t="s">
        <v>3769</v>
      </c>
      <c r="C1143" s="13" t="s">
        <v>13827</v>
      </c>
      <c r="D1143" s="13">
        <v>4</v>
      </c>
      <c r="E1143" s="13" t="s">
        <v>13828</v>
      </c>
      <c r="F1143" s="7" t="s">
        <v>11535</v>
      </c>
    </row>
    <row r="1144" ht="18" customHeight="1" spans="1:6">
      <c r="A1144" s="13" t="s">
        <v>2919</v>
      </c>
      <c r="B1144" s="13" t="s">
        <v>3769</v>
      </c>
      <c r="C1144" s="13" t="s">
        <v>13829</v>
      </c>
      <c r="D1144" s="13">
        <v>3</v>
      </c>
      <c r="E1144" s="13" t="s">
        <v>13830</v>
      </c>
      <c r="F1144" s="7" t="s">
        <v>11535</v>
      </c>
    </row>
    <row r="1145" ht="18" customHeight="1" spans="1:6">
      <c r="A1145" s="13" t="s">
        <v>2919</v>
      </c>
      <c r="B1145" s="13" t="s">
        <v>3769</v>
      </c>
      <c r="C1145" s="13" t="s">
        <v>13831</v>
      </c>
      <c r="D1145" s="13">
        <v>3</v>
      </c>
      <c r="E1145" s="13" t="s">
        <v>13832</v>
      </c>
      <c r="F1145" s="7" t="s">
        <v>11535</v>
      </c>
    </row>
    <row r="1146" ht="18" customHeight="1" spans="1:6">
      <c r="A1146" s="13" t="s">
        <v>2919</v>
      </c>
      <c r="B1146" s="13" t="s">
        <v>3769</v>
      </c>
      <c r="C1146" s="13" t="s">
        <v>13833</v>
      </c>
      <c r="D1146" s="13">
        <v>4</v>
      </c>
      <c r="E1146" s="13" t="s">
        <v>13834</v>
      </c>
      <c r="F1146" s="7" t="s">
        <v>11535</v>
      </c>
    </row>
    <row r="1147" ht="18" customHeight="1" spans="1:6">
      <c r="A1147" s="13" t="s">
        <v>2919</v>
      </c>
      <c r="B1147" s="13" t="s">
        <v>3782</v>
      </c>
      <c r="C1147" s="13" t="s">
        <v>13835</v>
      </c>
      <c r="D1147" s="13">
        <v>5</v>
      </c>
      <c r="E1147" s="179" t="s">
        <v>13836</v>
      </c>
      <c r="F1147" s="7" t="s">
        <v>11535</v>
      </c>
    </row>
    <row r="1148" ht="18" customHeight="1" spans="1:6">
      <c r="A1148" s="13" t="s">
        <v>2919</v>
      </c>
      <c r="B1148" s="13" t="s">
        <v>3782</v>
      </c>
      <c r="C1148" s="13" t="s">
        <v>13837</v>
      </c>
      <c r="D1148" s="13">
        <v>8</v>
      </c>
      <c r="E1148" s="179" t="s">
        <v>13838</v>
      </c>
      <c r="F1148" s="7" t="s">
        <v>11535</v>
      </c>
    </row>
    <row r="1149" ht="18" customHeight="1" spans="1:6">
      <c r="A1149" s="13" t="s">
        <v>2919</v>
      </c>
      <c r="B1149" s="13" t="s">
        <v>3782</v>
      </c>
      <c r="C1149" s="13" t="s">
        <v>13839</v>
      </c>
      <c r="D1149" s="13">
        <v>4</v>
      </c>
      <c r="E1149" s="179" t="s">
        <v>13840</v>
      </c>
      <c r="F1149" s="7" t="s">
        <v>11535</v>
      </c>
    </row>
    <row r="1150" ht="18" customHeight="1" spans="1:6">
      <c r="A1150" s="13" t="s">
        <v>2919</v>
      </c>
      <c r="B1150" s="13" t="s">
        <v>3782</v>
      </c>
      <c r="C1150" s="13" t="s">
        <v>13841</v>
      </c>
      <c r="D1150" s="13">
        <v>3</v>
      </c>
      <c r="E1150" s="179" t="s">
        <v>13842</v>
      </c>
      <c r="F1150" s="7" t="s">
        <v>11535</v>
      </c>
    </row>
    <row r="1151" ht="18" customHeight="1" spans="1:6">
      <c r="A1151" s="13" t="s">
        <v>2919</v>
      </c>
      <c r="B1151" s="13" t="s">
        <v>3782</v>
      </c>
      <c r="C1151" s="13" t="s">
        <v>13843</v>
      </c>
      <c r="D1151" s="13">
        <v>2</v>
      </c>
      <c r="E1151" s="179" t="s">
        <v>13844</v>
      </c>
      <c r="F1151" s="7" t="s">
        <v>11535</v>
      </c>
    </row>
    <row r="1152" ht="18" customHeight="1" spans="1:6">
      <c r="A1152" s="13" t="s">
        <v>2919</v>
      </c>
      <c r="B1152" s="13" t="s">
        <v>3782</v>
      </c>
      <c r="C1152" s="13" t="s">
        <v>13845</v>
      </c>
      <c r="D1152" s="13">
        <v>3</v>
      </c>
      <c r="E1152" s="179" t="s">
        <v>13846</v>
      </c>
      <c r="F1152" s="7" t="s">
        <v>11535</v>
      </c>
    </row>
    <row r="1153" ht="18" customHeight="1" spans="1:6">
      <c r="A1153" s="13" t="s">
        <v>2919</v>
      </c>
      <c r="B1153" s="13" t="s">
        <v>3849</v>
      </c>
      <c r="C1153" s="13" t="s">
        <v>13847</v>
      </c>
      <c r="D1153" s="13">
        <v>2</v>
      </c>
      <c r="E1153" s="179" t="s">
        <v>13848</v>
      </c>
      <c r="F1153" s="7" t="s">
        <v>11535</v>
      </c>
    </row>
    <row r="1154" ht="18" customHeight="1" spans="1:6">
      <c r="A1154" s="13" t="s">
        <v>2919</v>
      </c>
      <c r="B1154" s="13" t="s">
        <v>3849</v>
      </c>
      <c r="C1154" s="13" t="s">
        <v>13849</v>
      </c>
      <c r="D1154" s="13">
        <v>5</v>
      </c>
      <c r="E1154" s="179" t="s">
        <v>13850</v>
      </c>
      <c r="F1154" s="7" t="s">
        <v>11535</v>
      </c>
    </row>
    <row r="1155" ht="18" customHeight="1" spans="1:6">
      <c r="A1155" s="13" t="s">
        <v>2919</v>
      </c>
      <c r="B1155" s="13" t="s">
        <v>3849</v>
      </c>
      <c r="C1155" s="13" t="s">
        <v>13851</v>
      </c>
      <c r="D1155" s="13">
        <v>4</v>
      </c>
      <c r="E1155" s="179" t="s">
        <v>13852</v>
      </c>
      <c r="F1155" s="7" t="s">
        <v>11535</v>
      </c>
    </row>
    <row r="1156" ht="18" customHeight="1" spans="1:6">
      <c r="A1156" s="13" t="s">
        <v>2919</v>
      </c>
      <c r="B1156" s="13" t="s">
        <v>3849</v>
      </c>
      <c r="C1156" s="13" t="s">
        <v>13853</v>
      </c>
      <c r="D1156" s="13">
        <v>3</v>
      </c>
      <c r="E1156" s="13" t="s">
        <v>13854</v>
      </c>
      <c r="F1156" s="7" t="s">
        <v>11535</v>
      </c>
    </row>
    <row r="1157" ht="18" customHeight="1" spans="1:6">
      <c r="A1157" s="13" t="s">
        <v>2919</v>
      </c>
      <c r="B1157" s="13" t="s">
        <v>3849</v>
      </c>
      <c r="C1157" s="13" t="s">
        <v>13855</v>
      </c>
      <c r="D1157" s="13">
        <v>3</v>
      </c>
      <c r="E1157" s="179" t="s">
        <v>13856</v>
      </c>
      <c r="F1157" s="7" t="s">
        <v>11535</v>
      </c>
    </row>
    <row r="1158" ht="18" customHeight="1" spans="1:6">
      <c r="A1158" s="13" t="s">
        <v>2919</v>
      </c>
      <c r="B1158" s="13" t="s">
        <v>3849</v>
      </c>
      <c r="C1158" s="13" t="s">
        <v>13857</v>
      </c>
      <c r="D1158" s="13">
        <v>3</v>
      </c>
      <c r="E1158" s="179" t="s">
        <v>13858</v>
      </c>
      <c r="F1158" s="7" t="s">
        <v>11535</v>
      </c>
    </row>
    <row r="1159" ht="18" customHeight="1" spans="1:6">
      <c r="A1159" s="13" t="s">
        <v>2919</v>
      </c>
      <c r="B1159" s="13" t="s">
        <v>3849</v>
      </c>
      <c r="C1159" s="13" t="s">
        <v>13859</v>
      </c>
      <c r="D1159" s="13">
        <v>4</v>
      </c>
      <c r="E1159" s="179" t="s">
        <v>13860</v>
      </c>
      <c r="F1159" s="7" t="s">
        <v>11535</v>
      </c>
    </row>
    <row r="1160" ht="18" customHeight="1" spans="1:6">
      <c r="A1160" s="13" t="s">
        <v>2919</v>
      </c>
      <c r="B1160" s="13" t="s">
        <v>3849</v>
      </c>
      <c r="C1160" s="13" t="s">
        <v>13861</v>
      </c>
      <c r="D1160" s="13">
        <v>1</v>
      </c>
      <c r="E1160" s="179" t="s">
        <v>13862</v>
      </c>
      <c r="F1160" s="7" t="s">
        <v>11535</v>
      </c>
    </row>
    <row r="1161" ht="18" customHeight="1" spans="1:6">
      <c r="A1161" s="13" t="s">
        <v>2919</v>
      </c>
      <c r="B1161" s="13" t="s">
        <v>3849</v>
      </c>
      <c r="C1161" s="13" t="s">
        <v>13863</v>
      </c>
      <c r="D1161" s="13">
        <v>1</v>
      </c>
      <c r="E1161" s="179" t="s">
        <v>13864</v>
      </c>
      <c r="F1161" s="7" t="s">
        <v>11535</v>
      </c>
    </row>
    <row r="1162" ht="18" customHeight="1" spans="1:6">
      <c r="A1162" s="13" t="s">
        <v>2919</v>
      </c>
      <c r="B1162" s="13" t="s">
        <v>3849</v>
      </c>
      <c r="C1162" s="13" t="s">
        <v>13865</v>
      </c>
      <c r="D1162" s="13">
        <v>3</v>
      </c>
      <c r="E1162" s="179" t="s">
        <v>13866</v>
      </c>
      <c r="F1162" s="7" t="s">
        <v>11535</v>
      </c>
    </row>
    <row r="1163" ht="18" customHeight="1" spans="1:6">
      <c r="A1163" s="13" t="s">
        <v>2919</v>
      </c>
      <c r="B1163" s="13" t="s">
        <v>3849</v>
      </c>
      <c r="C1163" s="13" t="s">
        <v>13867</v>
      </c>
      <c r="D1163" s="13">
        <v>5</v>
      </c>
      <c r="E1163" s="179" t="s">
        <v>13868</v>
      </c>
      <c r="F1163" s="7" t="s">
        <v>11535</v>
      </c>
    </row>
    <row r="1164" ht="18" customHeight="1" spans="1:6">
      <c r="A1164" s="13" t="s">
        <v>2919</v>
      </c>
      <c r="B1164" s="13" t="s">
        <v>3849</v>
      </c>
      <c r="C1164" s="13" t="s">
        <v>13869</v>
      </c>
      <c r="D1164" s="13">
        <v>4</v>
      </c>
      <c r="E1164" s="13" t="s">
        <v>13870</v>
      </c>
      <c r="F1164" s="7" t="s">
        <v>11535</v>
      </c>
    </row>
    <row r="1165" ht="18" customHeight="1" spans="1:6">
      <c r="A1165" s="13" t="s">
        <v>2919</v>
      </c>
      <c r="B1165" s="13" t="s">
        <v>3849</v>
      </c>
      <c r="C1165" s="13" t="s">
        <v>13871</v>
      </c>
      <c r="D1165" s="13">
        <v>2</v>
      </c>
      <c r="E1165" s="179" t="s">
        <v>13872</v>
      </c>
      <c r="F1165" s="7" t="s">
        <v>11535</v>
      </c>
    </row>
    <row r="1166" ht="18" customHeight="1" spans="1:6">
      <c r="A1166" s="13" t="s">
        <v>2919</v>
      </c>
      <c r="B1166" s="13" t="s">
        <v>3871</v>
      </c>
      <c r="C1166" s="13" t="s">
        <v>13873</v>
      </c>
      <c r="D1166" s="13">
        <v>3</v>
      </c>
      <c r="E1166" s="13" t="s">
        <v>13874</v>
      </c>
      <c r="F1166" s="7" t="s">
        <v>11535</v>
      </c>
    </row>
    <row r="1167" ht="18" customHeight="1" spans="1:6">
      <c r="A1167" s="13" t="s">
        <v>2919</v>
      </c>
      <c r="B1167" s="13" t="s">
        <v>3871</v>
      </c>
      <c r="C1167" s="13" t="s">
        <v>13875</v>
      </c>
      <c r="D1167" s="13">
        <v>6</v>
      </c>
      <c r="E1167" s="13" t="s">
        <v>13876</v>
      </c>
      <c r="F1167" s="7" t="s">
        <v>11535</v>
      </c>
    </row>
    <row r="1168" ht="18" customHeight="1" spans="1:6">
      <c r="A1168" s="13" t="s">
        <v>2919</v>
      </c>
      <c r="B1168" s="13" t="s">
        <v>3871</v>
      </c>
      <c r="C1168" s="13" t="s">
        <v>13877</v>
      </c>
      <c r="D1168" s="13">
        <v>5</v>
      </c>
      <c r="E1168" s="13" t="s">
        <v>13878</v>
      </c>
      <c r="F1168" s="7" t="s">
        <v>11535</v>
      </c>
    </row>
    <row r="1169" ht="18" customHeight="1" spans="1:6">
      <c r="A1169" s="13" t="s">
        <v>2919</v>
      </c>
      <c r="B1169" s="13" t="s">
        <v>3871</v>
      </c>
      <c r="C1169" s="13" t="s">
        <v>13879</v>
      </c>
      <c r="D1169" s="13">
        <v>3</v>
      </c>
      <c r="E1169" s="179" t="s">
        <v>13880</v>
      </c>
      <c r="F1169" s="7" t="s">
        <v>11535</v>
      </c>
    </row>
    <row r="1170" ht="18" customHeight="1" spans="1:6">
      <c r="A1170" s="13" t="s">
        <v>2919</v>
      </c>
      <c r="B1170" s="13" t="s">
        <v>3871</v>
      </c>
      <c r="C1170" s="13" t="s">
        <v>13881</v>
      </c>
      <c r="D1170" s="13">
        <v>3</v>
      </c>
      <c r="E1170" s="13" t="s">
        <v>13882</v>
      </c>
      <c r="F1170" s="7" t="s">
        <v>11535</v>
      </c>
    </row>
    <row r="1171" ht="18" customHeight="1" spans="1:6">
      <c r="A1171" s="13" t="s">
        <v>2919</v>
      </c>
      <c r="B1171" s="13" t="s">
        <v>3871</v>
      </c>
      <c r="C1171" s="13" t="s">
        <v>13883</v>
      </c>
      <c r="D1171" s="13">
        <v>3</v>
      </c>
      <c r="E1171" s="13" t="s">
        <v>13884</v>
      </c>
      <c r="F1171" s="7" t="s">
        <v>11535</v>
      </c>
    </row>
    <row r="1172" ht="18" customHeight="1" spans="1:6">
      <c r="A1172" s="13" t="s">
        <v>2919</v>
      </c>
      <c r="B1172" s="13" t="s">
        <v>3871</v>
      </c>
      <c r="C1172" s="13" t="s">
        <v>13885</v>
      </c>
      <c r="D1172" s="13">
        <v>4</v>
      </c>
      <c r="E1172" s="179" t="s">
        <v>13886</v>
      </c>
      <c r="F1172" s="7" t="s">
        <v>11535</v>
      </c>
    </row>
    <row r="1173" ht="18" customHeight="1" spans="1:6">
      <c r="A1173" s="13" t="s">
        <v>2919</v>
      </c>
      <c r="B1173" s="13" t="s">
        <v>3871</v>
      </c>
      <c r="C1173" s="13" t="s">
        <v>13887</v>
      </c>
      <c r="D1173" s="13">
        <v>4</v>
      </c>
      <c r="E1173" s="179" t="s">
        <v>13888</v>
      </c>
      <c r="F1173" s="7" t="s">
        <v>11535</v>
      </c>
    </row>
    <row r="1174" ht="18" customHeight="1" spans="1:6">
      <c r="A1174" s="13" t="s">
        <v>2919</v>
      </c>
      <c r="B1174" s="13" t="s">
        <v>3871</v>
      </c>
      <c r="C1174" s="13" t="s">
        <v>13889</v>
      </c>
      <c r="D1174" s="13">
        <v>3</v>
      </c>
      <c r="E1174" s="179" t="s">
        <v>13890</v>
      </c>
      <c r="F1174" s="7" t="s">
        <v>11535</v>
      </c>
    </row>
    <row r="1175" ht="18" customHeight="1" spans="1:6">
      <c r="A1175" s="13" t="s">
        <v>2919</v>
      </c>
      <c r="B1175" s="13" t="s">
        <v>3871</v>
      </c>
      <c r="C1175" s="13" t="s">
        <v>13891</v>
      </c>
      <c r="D1175" s="13">
        <v>4</v>
      </c>
      <c r="E1175" s="13" t="s">
        <v>13892</v>
      </c>
      <c r="F1175" s="7" t="s">
        <v>11535</v>
      </c>
    </row>
    <row r="1176" ht="18" customHeight="1" spans="1:6">
      <c r="A1176" s="13" t="s">
        <v>2919</v>
      </c>
      <c r="B1176" s="13" t="s">
        <v>3871</v>
      </c>
      <c r="C1176" s="13" t="s">
        <v>13893</v>
      </c>
      <c r="D1176" s="13">
        <v>4</v>
      </c>
      <c r="E1176" s="179" t="s">
        <v>13894</v>
      </c>
      <c r="F1176" s="7" t="s">
        <v>11535</v>
      </c>
    </row>
    <row r="1177" ht="18" customHeight="1" spans="1:6">
      <c r="A1177" s="13" t="s">
        <v>2919</v>
      </c>
      <c r="B1177" s="13" t="s">
        <v>3871</v>
      </c>
      <c r="C1177" s="13" t="s">
        <v>13895</v>
      </c>
      <c r="D1177" s="13">
        <v>4</v>
      </c>
      <c r="E1177" s="179" t="s">
        <v>13896</v>
      </c>
      <c r="F1177" s="7" t="s">
        <v>11535</v>
      </c>
    </row>
    <row r="1178" ht="18" customHeight="1" spans="1:6">
      <c r="A1178" s="13" t="s">
        <v>2919</v>
      </c>
      <c r="B1178" s="13" t="s">
        <v>3992</v>
      </c>
      <c r="C1178" s="13" t="s">
        <v>13897</v>
      </c>
      <c r="D1178" s="13">
        <v>4</v>
      </c>
      <c r="E1178" s="179" t="s">
        <v>13898</v>
      </c>
      <c r="F1178" s="7" t="s">
        <v>11535</v>
      </c>
    </row>
    <row r="1179" ht="18" customHeight="1" spans="1:6">
      <c r="A1179" s="13" t="s">
        <v>2919</v>
      </c>
      <c r="B1179" s="13" t="s">
        <v>3992</v>
      </c>
      <c r="C1179" s="13" t="s">
        <v>13899</v>
      </c>
      <c r="D1179" s="13">
        <v>3</v>
      </c>
      <c r="E1179" s="179" t="s">
        <v>13900</v>
      </c>
      <c r="F1179" s="7" t="s">
        <v>11535</v>
      </c>
    </row>
    <row r="1180" ht="18" customHeight="1" spans="1:6">
      <c r="A1180" s="13" t="s">
        <v>2919</v>
      </c>
      <c r="B1180" s="13" t="s">
        <v>3992</v>
      </c>
      <c r="C1180" s="13" t="s">
        <v>13901</v>
      </c>
      <c r="D1180" s="13">
        <v>5</v>
      </c>
      <c r="E1180" s="179" t="s">
        <v>13902</v>
      </c>
      <c r="F1180" s="7" t="s">
        <v>11535</v>
      </c>
    </row>
    <row r="1181" ht="18" customHeight="1" spans="1:6">
      <c r="A1181" s="13" t="s">
        <v>2919</v>
      </c>
      <c r="B1181" s="13" t="s">
        <v>3992</v>
      </c>
      <c r="C1181" s="13" t="s">
        <v>619</v>
      </c>
      <c r="D1181" s="13">
        <v>1</v>
      </c>
      <c r="E1181" s="13" t="s">
        <v>13903</v>
      </c>
      <c r="F1181" s="7" t="s">
        <v>11535</v>
      </c>
    </row>
    <row r="1182" ht="18" customHeight="1" spans="1:6">
      <c r="A1182" s="13" t="s">
        <v>2919</v>
      </c>
      <c r="B1182" s="13" t="s">
        <v>3992</v>
      </c>
      <c r="C1182" s="13" t="s">
        <v>13904</v>
      </c>
      <c r="D1182" s="13">
        <v>1</v>
      </c>
      <c r="E1182" s="179" t="s">
        <v>13905</v>
      </c>
      <c r="F1182" s="7" t="s">
        <v>11535</v>
      </c>
    </row>
    <row r="1183" ht="18" customHeight="1" spans="1:6">
      <c r="A1183" s="13" t="s">
        <v>2919</v>
      </c>
      <c r="B1183" s="13" t="s">
        <v>3992</v>
      </c>
      <c r="C1183" s="13" t="s">
        <v>13906</v>
      </c>
      <c r="D1183" s="13">
        <v>2</v>
      </c>
      <c r="E1183" s="179" t="s">
        <v>13907</v>
      </c>
      <c r="F1183" s="7" t="s">
        <v>11535</v>
      </c>
    </row>
    <row r="1184" ht="18" customHeight="1" spans="1:6">
      <c r="A1184" s="13" t="s">
        <v>2919</v>
      </c>
      <c r="B1184" s="13" t="s">
        <v>3992</v>
      </c>
      <c r="C1184" s="13" t="s">
        <v>13908</v>
      </c>
      <c r="D1184" s="13">
        <v>4</v>
      </c>
      <c r="E1184" s="179" t="s">
        <v>13909</v>
      </c>
      <c r="F1184" s="7" t="s">
        <v>11535</v>
      </c>
    </row>
    <row r="1185" ht="18" customHeight="1" spans="1:6">
      <c r="A1185" s="13" t="s">
        <v>2919</v>
      </c>
      <c r="B1185" s="13" t="s">
        <v>3992</v>
      </c>
      <c r="C1185" s="13" t="s">
        <v>13910</v>
      </c>
      <c r="D1185" s="13">
        <v>4</v>
      </c>
      <c r="E1185" s="13" t="s">
        <v>13911</v>
      </c>
      <c r="F1185" s="7" t="s">
        <v>11535</v>
      </c>
    </row>
    <row r="1186" ht="18" customHeight="1" spans="1:6">
      <c r="A1186" s="13" t="s">
        <v>2919</v>
      </c>
      <c r="B1186" s="13" t="s">
        <v>3992</v>
      </c>
      <c r="C1186" s="13" t="s">
        <v>13912</v>
      </c>
      <c r="D1186" s="13">
        <v>1</v>
      </c>
      <c r="E1186" s="179" t="s">
        <v>13913</v>
      </c>
      <c r="F1186" s="7" t="s">
        <v>11535</v>
      </c>
    </row>
    <row r="1187" ht="18" customHeight="1" spans="1:6">
      <c r="A1187" s="13" t="s">
        <v>2919</v>
      </c>
      <c r="B1187" s="13" t="s">
        <v>3992</v>
      </c>
      <c r="C1187" s="13" t="s">
        <v>13914</v>
      </c>
      <c r="D1187" s="13">
        <v>3</v>
      </c>
      <c r="E1187" s="179" t="s">
        <v>13915</v>
      </c>
      <c r="F1187" s="7" t="s">
        <v>11535</v>
      </c>
    </row>
    <row r="1188" ht="18" customHeight="1" spans="1:6">
      <c r="A1188" s="13" t="s">
        <v>2919</v>
      </c>
      <c r="B1188" s="13" t="s">
        <v>3992</v>
      </c>
      <c r="C1188" s="13" t="s">
        <v>13916</v>
      </c>
      <c r="D1188" s="13">
        <v>3</v>
      </c>
      <c r="E1188" s="179" t="s">
        <v>13917</v>
      </c>
      <c r="F1188" s="7" t="s">
        <v>11535</v>
      </c>
    </row>
    <row r="1189" ht="18" customHeight="1" spans="1:6">
      <c r="A1189" s="13" t="s">
        <v>2919</v>
      </c>
      <c r="B1189" s="13" t="s">
        <v>3992</v>
      </c>
      <c r="C1189" s="13" t="s">
        <v>9542</v>
      </c>
      <c r="D1189" s="13">
        <v>2</v>
      </c>
      <c r="E1189" s="179" t="s">
        <v>13918</v>
      </c>
      <c r="F1189" s="7" t="s">
        <v>11535</v>
      </c>
    </row>
    <row r="1190" ht="18" customHeight="1" spans="1:6">
      <c r="A1190" s="13" t="s">
        <v>2919</v>
      </c>
      <c r="B1190" s="13" t="s">
        <v>3992</v>
      </c>
      <c r="C1190" s="13" t="s">
        <v>13919</v>
      </c>
      <c r="D1190" s="13">
        <v>4</v>
      </c>
      <c r="E1190" s="179" t="s">
        <v>13920</v>
      </c>
      <c r="F1190" s="7" t="s">
        <v>11535</v>
      </c>
    </row>
    <row r="1191" ht="18" customHeight="1" spans="1:6">
      <c r="A1191" s="13" t="s">
        <v>2919</v>
      </c>
      <c r="B1191" s="13" t="s">
        <v>3992</v>
      </c>
      <c r="C1191" s="13" t="s">
        <v>13921</v>
      </c>
      <c r="D1191" s="13">
        <v>5</v>
      </c>
      <c r="E1191" s="179" t="s">
        <v>13922</v>
      </c>
      <c r="F1191" s="7" t="s">
        <v>11535</v>
      </c>
    </row>
    <row r="1192" ht="18" customHeight="1" spans="1:6">
      <c r="A1192" s="13" t="s">
        <v>2919</v>
      </c>
      <c r="B1192" s="13" t="s">
        <v>3992</v>
      </c>
      <c r="C1192" s="13" t="s">
        <v>13923</v>
      </c>
      <c r="D1192" s="13">
        <v>3</v>
      </c>
      <c r="E1192" s="179" t="s">
        <v>13924</v>
      </c>
      <c r="F1192" s="7" t="s">
        <v>11535</v>
      </c>
    </row>
    <row r="1193" ht="18" customHeight="1" spans="1:6">
      <c r="A1193" s="13" t="s">
        <v>2919</v>
      </c>
      <c r="B1193" s="13" t="s">
        <v>3992</v>
      </c>
      <c r="C1193" s="13" t="s">
        <v>13925</v>
      </c>
      <c r="D1193" s="13">
        <v>3</v>
      </c>
      <c r="E1193" s="179" t="s">
        <v>13926</v>
      </c>
      <c r="F1193" s="7" t="s">
        <v>11535</v>
      </c>
    </row>
    <row r="1194" ht="18" customHeight="1" spans="1:6">
      <c r="A1194" s="13" t="s">
        <v>2919</v>
      </c>
      <c r="B1194" s="13" t="s">
        <v>3992</v>
      </c>
      <c r="C1194" s="13" t="s">
        <v>13927</v>
      </c>
      <c r="D1194" s="13">
        <v>4</v>
      </c>
      <c r="E1194" s="179" t="s">
        <v>13928</v>
      </c>
      <c r="F1194" s="7" t="s">
        <v>11535</v>
      </c>
    </row>
    <row r="1195" ht="18" customHeight="1" spans="1:6">
      <c r="A1195" s="13" t="s">
        <v>2919</v>
      </c>
      <c r="B1195" s="13" t="s">
        <v>3992</v>
      </c>
      <c r="C1195" s="13" t="s">
        <v>13929</v>
      </c>
      <c r="D1195" s="13">
        <v>3</v>
      </c>
      <c r="E1195" s="13" t="s">
        <v>13930</v>
      </c>
      <c r="F1195" s="7" t="s">
        <v>11535</v>
      </c>
    </row>
    <row r="1196" ht="18" customHeight="1" spans="1:6">
      <c r="A1196" s="13" t="s">
        <v>2919</v>
      </c>
      <c r="B1196" s="13" t="s">
        <v>3992</v>
      </c>
      <c r="C1196" s="13" t="s">
        <v>13931</v>
      </c>
      <c r="D1196" s="13">
        <v>3</v>
      </c>
      <c r="E1196" s="179" t="s">
        <v>13932</v>
      </c>
      <c r="F1196" s="7" t="s">
        <v>11535</v>
      </c>
    </row>
    <row r="1197" ht="18" customHeight="1" spans="1:6">
      <c r="A1197" s="13" t="s">
        <v>2919</v>
      </c>
      <c r="B1197" s="13" t="s">
        <v>3992</v>
      </c>
      <c r="C1197" s="13" t="s">
        <v>13933</v>
      </c>
      <c r="D1197" s="13">
        <v>3</v>
      </c>
      <c r="E1197" s="179" t="s">
        <v>13934</v>
      </c>
      <c r="F1197" s="7" t="s">
        <v>11535</v>
      </c>
    </row>
    <row r="1198" ht="18" customHeight="1" spans="1:6">
      <c r="A1198" s="13" t="s">
        <v>2919</v>
      </c>
      <c r="B1198" s="13" t="s">
        <v>3992</v>
      </c>
      <c r="C1198" s="13" t="s">
        <v>5322</v>
      </c>
      <c r="D1198" s="13">
        <v>4</v>
      </c>
      <c r="E1198" s="13" t="s">
        <v>13935</v>
      </c>
      <c r="F1198" s="7" t="s">
        <v>11535</v>
      </c>
    </row>
    <row r="1199" ht="18" customHeight="1" spans="1:6">
      <c r="A1199" s="13" t="s">
        <v>2919</v>
      </c>
      <c r="B1199" s="13" t="s">
        <v>3992</v>
      </c>
      <c r="C1199" s="13" t="s">
        <v>4414</v>
      </c>
      <c r="D1199" s="13">
        <v>4</v>
      </c>
      <c r="E1199" s="179" t="s">
        <v>13936</v>
      </c>
      <c r="F1199" s="7" t="s">
        <v>11535</v>
      </c>
    </row>
    <row r="1200" ht="18" customHeight="1" spans="1:6">
      <c r="A1200" s="13" t="s">
        <v>2919</v>
      </c>
      <c r="B1200" s="13" t="s">
        <v>3992</v>
      </c>
      <c r="C1200" s="13" t="s">
        <v>13937</v>
      </c>
      <c r="D1200" s="13">
        <v>4</v>
      </c>
      <c r="E1200" s="179" t="s">
        <v>13938</v>
      </c>
      <c r="F1200" s="7" t="s">
        <v>11535</v>
      </c>
    </row>
    <row r="1201" ht="18" customHeight="1" spans="1:6">
      <c r="A1201" s="13" t="s">
        <v>2919</v>
      </c>
      <c r="B1201" s="13" t="s">
        <v>3992</v>
      </c>
      <c r="C1201" s="13" t="s">
        <v>13939</v>
      </c>
      <c r="D1201" s="13">
        <v>4</v>
      </c>
      <c r="E1201" s="179" t="s">
        <v>13940</v>
      </c>
      <c r="F1201" s="7" t="s">
        <v>11535</v>
      </c>
    </row>
    <row r="1202" ht="18" customHeight="1" spans="1:6">
      <c r="A1202" s="13" t="s">
        <v>2919</v>
      </c>
      <c r="B1202" s="13" t="s">
        <v>3992</v>
      </c>
      <c r="C1202" s="13" t="s">
        <v>13358</v>
      </c>
      <c r="D1202" s="13">
        <v>5</v>
      </c>
      <c r="E1202" s="179" t="s">
        <v>13941</v>
      </c>
      <c r="F1202" s="7" t="s">
        <v>11535</v>
      </c>
    </row>
    <row r="1203" ht="18" customHeight="1" spans="1:6">
      <c r="A1203" s="13" t="s">
        <v>2919</v>
      </c>
      <c r="B1203" s="13" t="s">
        <v>3992</v>
      </c>
      <c r="C1203" s="13" t="s">
        <v>13942</v>
      </c>
      <c r="D1203" s="13">
        <v>4</v>
      </c>
      <c r="E1203" s="179" t="s">
        <v>13943</v>
      </c>
      <c r="F1203" s="7" t="s">
        <v>11535</v>
      </c>
    </row>
    <row r="1204" ht="18" customHeight="1" spans="1:6">
      <c r="A1204" s="13" t="s">
        <v>2919</v>
      </c>
      <c r="B1204" s="13" t="s">
        <v>3992</v>
      </c>
      <c r="C1204" s="13" t="s">
        <v>13944</v>
      </c>
      <c r="D1204" s="13">
        <v>4</v>
      </c>
      <c r="E1204" s="179" t="s">
        <v>13945</v>
      </c>
      <c r="F1204" s="7" t="s">
        <v>11535</v>
      </c>
    </row>
    <row r="1205" ht="18" customHeight="1" spans="1:6">
      <c r="A1205" s="13" t="s">
        <v>2919</v>
      </c>
      <c r="B1205" s="13" t="s">
        <v>3992</v>
      </c>
      <c r="C1205" s="13" t="s">
        <v>13946</v>
      </c>
      <c r="D1205" s="13">
        <v>4</v>
      </c>
      <c r="E1205" s="179" t="s">
        <v>13947</v>
      </c>
      <c r="F1205" s="7" t="s">
        <v>11535</v>
      </c>
    </row>
    <row r="1206" ht="18" customHeight="1" spans="1:6">
      <c r="A1206" s="13" t="s">
        <v>2919</v>
      </c>
      <c r="B1206" s="13" t="s">
        <v>3992</v>
      </c>
      <c r="C1206" s="13" t="s">
        <v>13948</v>
      </c>
      <c r="D1206" s="13">
        <v>3</v>
      </c>
      <c r="E1206" s="179" t="s">
        <v>13949</v>
      </c>
      <c r="F1206" s="7" t="s">
        <v>11535</v>
      </c>
    </row>
    <row r="1207" ht="18" customHeight="1" spans="1:6">
      <c r="A1207" s="13" t="s">
        <v>2919</v>
      </c>
      <c r="B1207" s="13" t="s">
        <v>3992</v>
      </c>
      <c r="C1207" s="13" t="s">
        <v>13950</v>
      </c>
      <c r="D1207" s="13">
        <v>3</v>
      </c>
      <c r="E1207" s="179" t="s">
        <v>13951</v>
      </c>
      <c r="F1207" s="7" t="s">
        <v>11535</v>
      </c>
    </row>
    <row r="1208" ht="18" customHeight="1" spans="1:6">
      <c r="A1208" s="13" t="s">
        <v>2919</v>
      </c>
      <c r="B1208" s="13" t="s">
        <v>3992</v>
      </c>
      <c r="C1208" s="13" t="s">
        <v>13952</v>
      </c>
      <c r="D1208" s="13">
        <v>5</v>
      </c>
      <c r="E1208" s="179" t="s">
        <v>13953</v>
      </c>
      <c r="F1208" s="7" t="s">
        <v>11535</v>
      </c>
    </row>
    <row r="1209" ht="18" customHeight="1" spans="1:6">
      <c r="A1209" s="13" t="s">
        <v>2919</v>
      </c>
      <c r="B1209" s="13" t="s">
        <v>3992</v>
      </c>
      <c r="C1209" s="13" t="s">
        <v>13954</v>
      </c>
      <c r="D1209" s="13">
        <v>2</v>
      </c>
      <c r="E1209" s="179" t="s">
        <v>13955</v>
      </c>
      <c r="F1209" s="7" t="s">
        <v>11535</v>
      </c>
    </row>
    <row r="1210" ht="18" customHeight="1" spans="1:6">
      <c r="A1210" s="13" t="s">
        <v>2919</v>
      </c>
      <c r="B1210" s="13" t="s">
        <v>3992</v>
      </c>
      <c r="C1210" s="13" t="s">
        <v>13956</v>
      </c>
      <c r="D1210" s="13">
        <v>4</v>
      </c>
      <c r="E1210" s="179" t="s">
        <v>13957</v>
      </c>
      <c r="F1210" s="7" t="s">
        <v>11535</v>
      </c>
    </row>
    <row r="1211" ht="18" customHeight="1" spans="1:6">
      <c r="A1211" s="13" t="s">
        <v>2919</v>
      </c>
      <c r="B1211" s="13" t="s">
        <v>3992</v>
      </c>
      <c r="C1211" s="13" t="s">
        <v>13958</v>
      </c>
      <c r="D1211" s="13">
        <v>3</v>
      </c>
      <c r="E1211" s="179" t="s">
        <v>13959</v>
      </c>
      <c r="F1211" s="7" t="s">
        <v>11535</v>
      </c>
    </row>
    <row r="1212" ht="18" customHeight="1" spans="1:6">
      <c r="A1212" s="13" t="s">
        <v>2919</v>
      </c>
      <c r="B1212" s="13" t="s">
        <v>3992</v>
      </c>
      <c r="C1212" s="13" t="s">
        <v>1289</v>
      </c>
      <c r="D1212" s="13">
        <v>3</v>
      </c>
      <c r="E1212" s="179" t="s">
        <v>13960</v>
      </c>
      <c r="F1212" s="7" t="s">
        <v>11535</v>
      </c>
    </row>
    <row r="1213" ht="18" customHeight="1" spans="1:6">
      <c r="A1213" s="13" t="s">
        <v>2919</v>
      </c>
      <c r="B1213" s="13" t="s">
        <v>3992</v>
      </c>
      <c r="C1213" s="13" t="s">
        <v>13961</v>
      </c>
      <c r="D1213" s="13">
        <v>2</v>
      </c>
      <c r="E1213" s="179" t="s">
        <v>13962</v>
      </c>
      <c r="F1213" s="7" t="s">
        <v>11535</v>
      </c>
    </row>
    <row r="1214" ht="18" customHeight="1" spans="1:6">
      <c r="A1214" s="13" t="s">
        <v>2919</v>
      </c>
      <c r="B1214" s="13" t="s">
        <v>3992</v>
      </c>
      <c r="C1214" s="13" t="s">
        <v>13963</v>
      </c>
      <c r="D1214" s="13">
        <v>3</v>
      </c>
      <c r="E1214" s="179" t="s">
        <v>13964</v>
      </c>
      <c r="F1214" s="7" t="s">
        <v>11535</v>
      </c>
    </row>
    <row r="1215" ht="18" customHeight="1" spans="1:6">
      <c r="A1215" s="13" t="s">
        <v>2919</v>
      </c>
      <c r="B1215" s="13" t="s">
        <v>3992</v>
      </c>
      <c r="C1215" s="13" t="s">
        <v>13965</v>
      </c>
      <c r="D1215" s="13">
        <v>3</v>
      </c>
      <c r="E1215" s="13" t="s">
        <v>13966</v>
      </c>
      <c r="F1215" s="7" t="s">
        <v>11535</v>
      </c>
    </row>
    <row r="1216" ht="18" customHeight="1" spans="1:6">
      <c r="A1216" s="13" t="s">
        <v>2919</v>
      </c>
      <c r="B1216" s="13" t="s">
        <v>4057</v>
      </c>
      <c r="C1216" s="13" t="s">
        <v>13967</v>
      </c>
      <c r="D1216" s="13">
        <v>4</v>
      </c>
      <c r="E1216" s="13" t="s">
        <v>13968</v>
      </c>
      <c r="F1216" s="7" t="s">
        <v>11535</v>
      </c>
    </row>
    <row r="1217" ht="18" customHeight="1" spans="1:6">
      <c r="A1217" s="13" t="s">
        <v>2919</v>
      </c>
      <c r="B1217" s="13" t="s">
        <v>4057</v>
      </c>
      <c r="C1217" s="13" t="s">
        <v>13969</v>
      </c>
      <c r="D1217" s="13">
        <v>4</v>
      </c>
      <c r="E1217" s="179" t="s">
        <v>13970</v>
      </c>
      <c r="F1217" s="7" t="s">
        <v>11535</v>
      </c>
    </row>
    <row r="1218" ht="18" customHeight="1" spans="1:6">
      <c r="A1218" s="13" t="s">
        <v>2919</v>
      </c>
      <c r="B1218" s="13" t="s">
        <v>4057</v>
      </c>
      <c r="C1218" s="13" t="s">
        <v>13971</v>
      </c>
      <c r="D1218" s="13">
        <v>5</v>
      </c>
      <c r="E1218" s="13" t="s">
        <v>13972</v>
      </c>
      <c r="F1218" s="7" t="s">
        <v>11535</v>
      </c>
    </row>
    <row r="1219" ht="18" customHeight="1" spans="1:6">
      <c r="A1219" s="13" t="s">
        <v>2919</v>
      </c>
      <c r="B1219" s="13" t="s">
        <v>4057</v>
      </c>
      <c r="C1219" s="13" t="s">
        <v>13973</v>
      </c>
      <c r="D1219" s="13">
        <v>3</v>
      </c>
      <c r="E1219" s="179" t="s">
        <v>13974</v>
      </c>
      <c r="F1219" s="7" t="s">
        <v>11535</v>
      </c>
    </row>
    <row r="1220" ht="18" customHeight="1" spans="1:6">
      <c r="A1220" s="13" t="s">
        <v>2919</v>
      </c>
      <c r="B1220" s="13" t="s">
        <v>4057</v>
      </c>
      <c r="C1220" s="13" t="s">
        <v>13975</v>
      </c>
      <c r="D1220" s="13">
        <v>4</v>
      </c>
      <c r="E1220" s="179" t="s">
        <v>13976</v>
      </c>
      <c r="F1220" s="7" t="s">
        <v>11535</v>
      </c>
    </row>
    <row r="1221" ht="18" customHeight="1" spans="1:6">
      <c r="A1221" s="13" t="s">
        <v>2919</v>
      </c>
      <c r="B1221" s="13" t="s">
        <v>4057</v>
      </c>
      <c r="C1221" s="13" t="s">
        <v>13977</v>
      </c>
      <c r="D1221" s="13">
        <v>3</v>
      </c>
      <c r="E1221" s="179" t="s">
        <v>13978</v>
      </c>
      <c r="F1221" s="7" t="s">
        <v>11535</v>
      </c>
    </row>
    <row r="1222" ht="18" customHeight="1" spans="1:6">
      <c r="A1222" s="13" t="s">
        <v>2919</v>
      </c>
      <c r="B1222" s="13" t="s">
        <v>4057</v>
      </c>
      <c r="C1222" s="13" t="s">
        <v>13979</v>
      </c>
      <c r="D1222" s="13">
        <v>4</v>
      </c>
      <c r="E1222" s="13" t="s">
        <v>13980</v>
      </c>
      <c r="F1222" s="7" t="s">
        <v>11535</v>
      </c>
    </row>
    <row r="1223" ht="18" customHeight="1" spans="1:6">
      <c r="A1223" s="13" t="s">
        <v>2919</v>
      </c>
      <c r="B1223" s="13" t="s">
        <v>4057</v>
      </c>
      <c r="C1223" s="13" t="s">
        <v>13981</v>
      </c>
      <c r="D1223" s="13">
        <v>4</v>
      </c>
      <c r="E1223" s="179" t="s">
        <v>13982</v>
      </c>
      <c r="F1223" s="7" t="s">
        <v>11535</v>
      </c>
    </row>
    <row r="1224" ht="18" customHeight="1" spans="1:6">
      <c r="A1224" s="13" t="s">
        <v>2919</v>
      </c>
      <c r="B1224" s="13" t="s">
        <v>4057</v>
      </c>
      <c r="C1224" s="13" t="s">
        <v>13983</v>
      </c>
      <c r="D1224" s="13">
        <v>1</v>
      </c>
      <c r="E1224" s="13" t="s">
        <v>13984</v>
      </c>
      <c r="F1224" s="7" t="s">
        <v>11535</v>
      </c>
    </row>
    <row r="1225" ht="18" customHeight="1" spans="1:6">
      <c r="A1225" s="13" t="s">
        <v>2919</v>
      </c>
      <c r="B1225" s="13" t="s">
        <v>4057</v>
      </c>
      <c r="C1225" s="13" t="s">
        <v>13985</v>
      </c>
      <c r="D1225" s="13">
        <v>3</v>
      </c>
      <c r="E1225" s="179" t="s">
        <v>13986</v>
      </c>
      <c r="F1225" s="7" t="s">
        <v>11535</v>
      </c>
    </row>
    <row r="1226" ht="18" customHeight="1" spans="1:6">
      <c r="A1226" s="13" t="s">
        <v>2919</v>
      </c>
      <c r="B1226" s="13" t="s">
        <v>4057</v>
      </c>
      <c r="C1226" s="13" t="s">
        <v>7507</v>
      </c>
      <c r="D1226" s="13">
        <v>2</v>
      </c>
      <c r="E1226" s="179" t="s">
        <v>13987</v>
      </c>
      <c r="F1226" s="7" t="s">
        <v>11535</v>
      </c>
    </row>
    <row r="1227" ht="18" customHeight="1" spans="1:6">
      <c r="A1227" s="13" t="s">
        <v>2919</v>
      </c>
      <c r="B1227" s="13" t="s">
        <v>4100</v>
      </c>
      <c r="C1227" s="13" t="s">
        <v>13988</v>
      </c>
      <c r="D1227" s="13">
        <v>3</v>
      </c>
      <c r="E1227" s="13" t="s">
        <v>13989</v>
      </c>
      <c r="F1227" s="7" t="s">
        <v>11535</v>
      </c>
    </row>
    <row r="1228" ht="18" customHeight="1" spans="1:6">
      <c r="A1228" s="13" t="s">
        <v>2919</v>
      </c>
      <c r="B1228" s="13" t="s">
        <v>4100</v>
      </c>
      <c r="C1228" s="13" t="s">
        <v>13990</v>
      </c>
      <c r="D1228" s="13">
        <v>3</v>
      </c>
      <c r="E1228" s="13" t="s">
        <v>13991</v>
      </c>
      <c r="F1228" s="7" t="s">
        <v>11535</v>
      </c>
    </row>
    <row r="1229" ht="18" customHeight="1" spans="1:6">
      <c r="A1229" s="13" t="s">
        <v>2919</v>
      </c>
      <c r="B1229" s="13" t="s">
        <v>4100</v>
      </c>
      <c r="C1229" s="13" t="s">
        <v>13992</v>
      </c>
      <c r="D1229" s="13">
        <v>4</v>
      </c>
      <c r="E1229" s="13" t="s">
        <v>13993</v>
      </c>
      <c r="F1229" s="7" t="s">
        <v>11535</v>
      </c>
    </row>
    <row r="1230" ht="18" customHeight="1" spans="1:6">
      <c r="A1230" s="13" t="s">
        <v>2919</v>
      </c>
      <c r="B1230" s="13" t="s">
        <v>4100</v>
      </c>
      <c r="C1230" s="13" t="s">
        <v>13994</v>
      </c>
      <c r="D1230" s="13">
        <v>2</v>
      </c>
      <c r="E1230" s="13" t="s">
        <v>13995</v>
      </c>
      <c r="F1230" s="7" t="s">
        <v>11535</v>
      </c>
    </row>
    <row r="1231" ht="18" customHeight="1" spans="1:6">
      <c r="A1231" s="13" t="s">
        <v>2919</v>
      </c>
      <c r="B1231" s="13" t="s">
        <v>4100</v>
      </c>
      <c r="C1231" s="13" t="s">
        <v>13996</v>
      </c>
      <c r="D1231" s="13">
        <v>4</v>
      </c>
      <c r="E1231" s="13" t="s">
        <v>13997</v>
      </c>
      <c r="F1231" s="7" t="s">
        <v>11535</v>
      </c>
    </row>
    <row r="1232" ht="18" customHeight="1" spans="1:6">
      <c r="A1232" s="13" t="s">
        <v>2919</v>
      </c>
      <c r="B1232" s="13" t="s">
        <v>4100</v>
      </c>
      <c r="C1232" s="13" t="s">
        <v>13998</v>
      </c>
      <c r="D1232" s="13">
        <v>3</v>
      </c>
      <c r="E1232" s="13" t="s">
        <v>13999</v>
      </c>
      <c r="F1232" s="7" t="s">
        <v>11535</v>
      </c>
    </row>
    <row r="1233" ht="18" customHeight="1" spans="1:6">
      <c r="A1233" s="13" t="s">
        <v>2919</v>
      </c>
      <c r="B1233" s="13" t="s">
        <v>4100</v>
      </c>
      <c r="C1233" s="13" t="s">
        <v>13688</v>
      </c>
      <c r="D1233" s="13">
        <v>4</v>
      </c>
      <c r="E1233" s="13" t="s">
        <v>14000</v>
      </c>
      <c r="F1233" s="7" t="s">
        <v>11535</v>
      </c>
    </row>
    <row r="1234" ht="18" customHeight="1" spans="1:6">
      <c r="A1234" s="13" t="s">
        <v>2919</v>
      </c>
      <c r="B1234" s="13" t="s">
        <v>4100</v>
      </c>
      <c r="C1234" s="13" t="s">
        <v>14001</v>
      </c>
      <c r="D1234" s="13">
        <v>4</v>
      </c>
      <c r="E1234" s="13" t="s">
        <v>14002</v>
      </c>
      <c r="F1234" s="7" t="s">
        <v>11535</v>
      </c>
    </row>
    <row r="1235" ht="18" customHeight="1" spans="1:6">
      <c r="A1235" s="13" t="s">
        <v>2919</v>
      </c>
      <c r="B1235" s="13" t="s">
        <v>4100</v>
      </c>
      <c r="C1235" s="13" t="s">
        <v>14003</v>
      </c>
      <c r="D1235" s="13">
        <v>3</v>
      </c>
      <c r="E1235" s="13" t="s">
        <v>14004</v>
      </c>
      <c r="F1235" s="7" t="s">
        <v>11535</v>
      </c>
    </row>
    <row r="1236" ht="18" customHeight="1" spans="1:6">
      <c r="A1236" s="13" t="s">
        <v>2919</v>
      </c>
      <c r="B1236" s="13" t="s">
        <v>4100</v>
      </c>
      <c r="C1236" s="13" t="s">
        <v>14005</v>
      </c>
      <c r="D1236" s="13">
        <v>3</v>
      </c>
      <c r="E1236" s="13" t="s">
        <v>14006</v>
      </c>
      <c r="F1236" s="7" t="s">
        <v>11535</v>
      </c>
    </row>
    <row r="1237" ht="18" customHeight="1" spans="1:6">
      <c r="A1237" s="13" t="s">
        <v>2919</v>
      </c>
      <c r="B1237" s="13" t="s">
        <v>4100</v>
      </c>
      <c r="C1237" s="13" t="s">
        <v>14007</v>
      </c>
      <c r="D1237" s="13">
        <v>3</v>
      </c>
      <c r="E1237" s="13" t="s">
        <v>14008</v>
      </c>
      <c r="F1237" s="7" t="s">
        <v>11535</v>
      </c>
    </row>
    <row r="1238" ht="18" customHeight="1" spans="1:6">
      <c r="A1238" s="13" t="s">
        <v>2919</v>
      </c>
      <c r="B1238" s="13" t="s">
        <v>4100</v>
      </c>
      <c r="C1238" s="13" t="s">
        <v>14009</v>
      </c>
      <c r="D1238" s="13">
        <v>2</v>
      </c>
      <c r="E1238" s="13" t="s">
        <v>14010</v>
      </c>
      <c r="F1238" s="7" t="s">
        <v>11535</v>
      </c>
    </row>
    <row r="1239" ht="18" customHeight="1" spans="1:6">
      <c r="A1239" s="13" t="s">
        <v>2919</v>
      </c>
      <c r="B1239" s="13" t="s">
        <v>4100</v>
      </c>
      <c r="C1239" s="13" t="s">
        <v>14011</v>
      </c>
      <c r="D1239" s="13">
        <v>3</v>
      </c>
      <c r="E1239" s="13" t="s">
        <v>14012</v>
      </c>
      <c r="F1239" s="7" t="s">
        <v>11535</v>
      </c>
    </row>
    <row r="1240" ht="18" customHeight="1" spans="1:6">
      <c r="A1240" s="13" t="s">
        <v>2919</v>
      </c>
      <c r="B1240" s="13" t="s">
        <v>4100</v>
      </c>
      <c r="C1240" s="13" t="s">
        <v>14013</v>
      </c>
      <c r="D1240" s="13">
        <v>2</v>
      </c>
      <c r="E1240" s="13" t="s">
        <v>14014</v>
      </c>
      <c r="F1240" s="7" t="s">
        <v>11535</v>
      </c>
    </row>
    <row r="1241" ht="18" customHeight="1" spans="1:6">
      <c r="A1241" s="13" t="s">
        <v>2919</v>
      </c>
      <c r="B1241" s="13" t="s">
        <v>4100</v>
      </c>
      <c r="C1241" s="13" t="s">
        <v>14015</v>
      </c>
      <c r="D1241" s="13">
        <v>3</v>
      </c>
      <c r="E1241" s="13" t="s">
        <v>14016</v>
      </c>
      <c r="F1241" s="7" t="s">
        <v>11535</v>
      </c>
    </row>
    <row r="1242" ht="18" customHeight="1" spans="1:6">
      <c r="A1242" s="13" t="s">
        <v>2919</v>
      </c>
      <c r="B1242" s="13" t="s">
        <v>4100</v>
      </c>
      <c r="C1242" s="13" t="s">
        <v>14017</v>
      </c>
      <c r="D1242" s="13">
        <v>4</v>
      </c>
      <c r="E1242" s="13" t="s">
        <v>14018</v>
      </c>
      <c r="F1242" s="7" t="s">
        <v>11535</v>
      </c>
    </row>
    <row r="1243" ht="18" customHeight="1" spans="1:6">
      <c r="A1243" s="13" t="s">
        <v>2919</v>
      </c>
      <c r="B1243" s="13" t="s">
        <v>4100</v>
      </c>
      <c r="C1243" s="13" t="s">
        <v>14019</v>
      </c>
      <c r="D1243" s="13">
        <v>5</v>
      </c>
      <c r="E1243" s="13" t="s">
        <v>14020</v>
      </c>
      <c r="F1243" s="7" t="s">
        <v>11535</v>
      </c>
    </row>
    <row r="1244" ht="18" customHeight="1" spans="1:6">
      <c r="A1244" s="13" t="s">
        <v>2919</v>
      </c>
      <c r="B1244" s="13" t="s">
        <v>4100</v>
      </c>
      <c r="C1244" s="13" t="s">
        <v>13352</v>
      </c>
      <c r="D1244" s="13">
        <v>3</v>
      </c>
      <c r="E1244" s="13" t="s">
        <v>14021</v>
      </c>
      <c r="F1244" s="7" t="s">
        <v>11535</v>
      </c>
    </row>
    <row r="1245" ht="18" customHeight="1" spans="1:6">
      <c r="A1245" s="13" t="s">
        <v>2919</v>
      </c>
      <c r="B1245" s="13" t="s">
        <v>4100</v>
      </c>
      <c r="C1245" s="13" t="s">
        <v>14022</v>
      </c>
      <c r="D1245" s="13">
        <v>2</v>
      </c>
      <c r="E1245" s="13" t="s">
        <v>14023</v>
      </c>
      <c r="F1245" s="7" t="s">
        <v>11535</v>
      </c>
    </row>
    <row r="1246" ht="18" customHeight="1" spans="1:6">
      <c r="A1246" s="13" t="s">
        <v>2919</v>
      </c>
      <c r="B1246" s="13" t="s">
        <v>4100</v>
      </c>
      <c r="C1246" s="13" t="s">
        <v>14024</v>
      </c>
      <c r="D1246" s="13">
        <v>4</v>
      </c>
      <c r="E1246" s="13" t="s">
        <v>14025</v>
      </c>
      <c r="F1246" s="7" t="s">
        <v>11535</v>
      </c>
    </row>
    <row r="1247" ht="18" customHeight="1" spans="1:6">
      <c r="A1247" s="13" t="s">
        <v>2919</v>
      </c>
      <c r="B1247" s="13" t="s">
        <v>4100</v>
      </c>
      <c r="C1247" s="13" t="s">
        <v>14026</v>
      </c>
      <c r="D1247" s="13">
        <v>3</v>
      </c>
      <c r="E1247" s="13" t="s">
        <v>14027</v>
      </c>
      <c r="F1247" s="7" t="s">
        <v>11535</v>
      </c>
    </row>
    <row r="1248" ht="18" customHeight="1" spans="1:6">
      <c r="A1248" s="13" t="s">
        <v>2919</v>
      </c>
      <c r="B1248" s="13" t="s">
        <v>4100</v>
      </c>
      <c r="C1248" s="13" t="s">
        <v>14028</v>
      </c>
      <c r="D1248" s="13">
        <v>4</v>
      </c>
      <c r="E1248" s="13" t="s">
        <v>14029</v>
      </c>
      <c r="F1248" s="7" t="s">
        <v>11535</v>
      </c>
    </row>
    <row r="1249" ht="18" customHeight="1" spans="1:6">
      <c r="A1249" s="13" t="s">
        <v>2919</v>
      </c>
      <c r="B1249" s="13" t="s">
        <v>4100</v>
      </c>
      <c r="C1249" s="13" t="s">
        <v>13352</v>
      </c>
      <c r="D1249" s="13">
        <v>1</v>
      </c>
      <c r="E1249" s="13" t="s">
        <v>14030</v>
      </c>
      <c r="F1249" s="7" t="s">
        <v>11535</v>
      </c>
    </row>
    <row r="1250" ht="18" customHeight="1" spans="1:6">
      <c r="A1250" s="13" t="s">
        <v>2919</v>
      </c>
      <c r="B1250" s="13" t="s">
        <v>4100</v>
      </c>
      <c r="C1250" s="13" t="s">
        <v>14031</v>
      </c>
      <c r="D1250" s="13">
        <v>2</v>
      </c>
      <c r="E1250" s="13" t="s">
        <v>14032</v>
      </c>
      <c r="F1250" s="7" t="s">
        <v>11535</v>
      </c>
    </row>
    <row r="1251" ht="18" customHeight="1" spans="1:6">
      <c r="A1251" s="13" t="s">
        <v>2919</v>
      </c>
      <c r="B1251" s="13" t="s">
        <v>4100</v>
      </c>
      <c r="C1251" s="13" t="s">
        <v>14033</v>
      </c>
      <c r="D1251" s="13">
        <v>5</v>
      </c>
      <c r="E1251" s="13" t="s">
        <v>14034</v>
      </c>
      <c r="F1251" s="7" t="s">
        <v>11535</v>
      </c>
    </row>
    <row r="1252" ht="18" customHeight="1" spans="1:6">
      <c r="A1252" s="13" t="s">
        <v>2919</v>
      </c>
      <c r="B1252" s="13" t="s">
        <v>4100</v>
      </c>
      <c r="C1252" s="13" t="s">
        <v>14035</v>
      </c>
      <c r="D1252" s="13">
        <v>5</v>
      </c>
      <c r="E1252" s="13" t="s">
        <v>14036</v>
      </c>
      <c r="F1252" s="7" t="s">
        <v>11535</v>
      </c>
    </row>
    <row r="1253" ht="18" customHeight="1" spans="1:6">
      <c r="A1253" s="13" t="s">
        <v>2919</v>
      </c>
      <c r="B1253" s="13" t="s">
        <v>4100</v>
      </c>
      <c r="C1253" s="13" t="s">
        <v>14037</v>
      </c>
      <c r="D1253" s="13">
        <v>4</v>
      </c>
      <c r="E1253" s="13" t="s">
        <v>14038</v>
      </c>
      <c r="F1253" s="7" t="s">
        <v>11535</v>
      </c>
    </row>
    <row r="1254" ht="18" customHeight="1" spans="1:6">
      <c r="A1254" s="13" t="s">
        <v>2919</v>
      </c>
      <c r="B1254" s="13" t="s">
        <v>4100</v>
      </c>
      <c r="C1254" s="13" t="s">
        <v>14039</v>
      </c>
      <c r="D1254" s="13">
        <v>4</v>
      </c>
      <c r="E1254" s="13" t="s">
        <v>14040</v>
      </c>
      <c r="F1254" s="7" t="s">
        <v>11535</v>
      </c>
    </row>
    <row r="1255" ht="18" customHeight="1" spans="1:6">
      <c r="A1255" s="13" t="s">
        <v>2919</v>
      </c>
      <c r="B1255" s="13" t="s">
        <v>4100</v>
      </c>
      <c r="C1255" s="13" t="s">
        <v>3890</v>
      </c>
      <c r="D1255" s="13">
        <v>3</v>
      </c>
      <c r="E1255" s="13" t="s">
        <v>14041</v>
      </c>
      <c r="F1255" s="7" t="s">
        <v>11535</v>
      </c>
    </row>
    <row r="1256" ht="18" customHeight="1" spans="1:6">
      <c r="A1256" s="13" t="s">
        <v>2919</v>
      </c>
      <c r="B1256" s="13" t="s">
        <v>4100</v>
      </c>
      <c r="C1256" s="13" t="s">
        <v>14042</v>
      </c>
      <c r="D1256" s="13">
        <v>3</v>
      </c>
      <c r="E1256" s="13" t="s">
        <v>14043</v>
      </c>
      <c r="F1256" s="7" t="s">
        <v>11535</v>
      </c>
    </row>
    <row r="1257" ht="18" customHeight="1" spans="1:6">
      <c r="A1257" s="13" t="s">
        <v>2919</v>
      </c>
      <c r="B1257" s="13" t="s">
        <v>4100</v>
      </c>
      <c r="C1257" s="13" t="s">
        <v>14044</v>
      </c>
      <c r="D1257" s="13">
        <v>2</v>
      </c>
      <c r="E1257" s="13" t="s">
        <v>14045</v>
      </c>
      <c r="F1257" s="7" t="s">
        <v>11535</v>
      </c>
    </row>
    <row r="1258" ht="18" customHeight="1" spans="1:6">
      <c r="A1258" s="13" t="s">
        <v>2919</v>
      </c>
      <c r="B1258" s="13" t="s">
        <v>4100</v>
      </c>
      <c r="C1258" s="13" t="s">
        <v>14046</v>
      </c>
      <c r="D1258" s="13">
        <v>4</v>
      </c>
      <c r="E1258" s="13" t="s">
        <v>14047</v>
      </c>
      <c r="F1258" s="7" t="s">
        <v>11535</v>
      </c>
    </row>
    <row r="1259" ht="18" customHeight="1" spans="1:6">
      <c r="A1259" s="13" t="s">
        <v>2919</v>
      </c>
      <c r="B1259" s="13" t="s">
        <v>4100</v>
      </c>
      <c r="C1259" s="13" t="s">
        <v>14048</v>
      </c>
      <c r="D1259" s="13">
        <v>2</v>
      </c>
      <c r="E1259" s="13" t="s">
        <v>14049</v>
      </c>
      <c r="F1259" s="7" t="s">
        <v>11535</v>
      </c>
    </row>
    <row r="1260" ht="18" customHeight="1" spans="1:6">
      <c r="A1260" s="13" t="s">
        <v>2919</v>
      </c>
      <c r="B1260" s="13" t="s">
        <v>4100</v>
      </c>
      <c r="C1260" s="13" t="s">
        <v>14050</v>
      </c>
      <c r="D1260" s="13">
        <v>2</v>
      </c>
      <c r="E1260" s="13" t="s">
        <v>14051</v>
      </c>
      <c r="F1260" s="7" t="s">
        <v>11535</v>
      </c>
    </row>
    <row r="1261" ht="18" customHeight="1" spans="1:6">
      <c r="A1261" s="13" t="s">
        <v>2919</v>
      </c>
      <c r="B1261" s="13" t="s">
        <v>4100</v>
      </c>
      <c r="C1261" s="13" t="s">
        <v>14052</v>
      </c>
      <c r="D1261" s="13">
        <v>3</v>
      </c>
      <c r="E1261" s="13" t="s">
        <v>14053</v>
      </c>
      <c r="F1261" s="7" t="s">
        <v>11535</v>
      </c>
    </row>
    <row r="1262" ht="18" customHeight="1" spans="1:6">
      <c r="A1262" s="13" t="s">
        <v>2919</v>
      </c>
      <c r="B1262" s="13" t="s">
        <v>4100</v>
      </c>
      <c r="C1262" s="13" t="s">
        <v>14054</v>
      </c>
      <c r="D1262" s="13">
        <v>3</v>
      </c>
      <c r="E1262" s="13" t="s">
        <v>14055</v>
      </c>
      <c r="F1262" s="7" t="s">
        <v>11535</v>
      </c>
    </row>
    <row r="1263" ht="18" customHeight="1" spans="1:6">
      <c r="A1263" s="13" t="s">
        <v>2919</v>
      </c>
      <c r="B1263" s="13" t="s">
        <v>4100</v>
      </c>
      <c r="C1263" s="13" t="s">
        <v>14056</v>
      </c>
      <c r="D1263" s="13">
        <v>4</v>
      </c>
      <c r="E1263" s="13" t="s">
        <v>14057</v>
      </c>
      <c r="F1263" s="7" t="s">
        <v>11535</v>
      </c>
    </row>
    <row r="1264" ht="18" customHeight="1" spans="1:6">
      <c r="A1264" s="13" t="s">
        <v>2919</v>
      </c>
      <c r="B1264" s="13" t="s">
        <v>4100</v>
      </c>
      <c r="C1264" s="13" t="s">
        <v>14058</v>
      </c>
      <c r="D1264" s="13">
        <v>3</v>
      </c>
      <c r="E1264" s="13" t="s">
        <v>14059</v>
      </c>
      <c r="F1264" s="7" t="s">
        <v>11535</v>
      </c>
    </row>
    <row r="1265" ht="18" customHeight="1" spans="1:6">
      <c r="A1265" s="13" t="s">
        <v>2919</v>
      </c>
      <c r="B1265" s="13" t="s">
        <v>4100</v>
      </c>
      <c r="C1265" s="13" t="s">
        <v>14060</v>
      </c>
      <c r="D1265" s="13">
        <v>2</v>
      </c>
      <c r="E1265" s="13" t="s">
        <v>14061</v>
      </c>
      <c r="F1265" s="7" t="s">
        <v>11535</v>
      </c>
    </row>
    <row r="1266" ht="18" customHeight="1" spans="1:6">
      <c r="A1266" s="13" t="s">
        <v>2919</v>
      </c>
      <c r="B1266" s="13" t="s">
        <v>4100</v>
      </c>
      <c r="C1266" s="13" t="s">
        <v>14062</v>
      </c>
      <c r="D1266" s="13">
        <v>2</v>
      </c>
      <c r="E1266" s="13" t="s">
        <v>14063</v>
      </c>
      <c r="F1266" s="7" t="s">
        <v>11535</v>
      </c>
    </row>
    <row r="1267" ht="18" customHeight="1" spans="1:6">
      <c r="A1267" s="13" t="s">
        <v>2919</v>
      </c>
      <c r="B1267" s="13" t="s">
        <v>4100</v>
      </c>
      <c r="C1267" s="13" t="s">
        <v>14064</v>
      </c>
      <c r="D1267" s="13">
        <v>4</v>
      </c>
      <c r="E1267" s="13" t="s">
        <v>14065</v>
      </c>
      <c r="F1267" s="7" t="s">
        <v>11535</v>
      </c>
    </row>
    <row r="1268" ht="18" customHeight="1" spans="1:6">
      <c r="A1268" s="13" t="s">
        <v>2919</v>
      </c>
      <c r="B1268" s="13" t="s">
        <v>4100</v>
      </c>
      <c r="C1268" s="13" t="s">
        <v>14066</v>
      </c>
      <c r="D1268" s="13">
        <v>1</v>
      </c>
      <c r="E1268" s="13" t="s">
        <v>14067</v>
      </c>
      <c r="F1268" s="7" t="s">
        <v>11535</v>
      </c>
    </row>
    <row r="1269" ht="18" customHeight="1" spans="1:6">
      <c r="A1269" s="13" t="s">
        <v>2919</v>
      </c>
      <c r="B1269" s="13" t="s">
        <v>4100</v>
      </c>
      <c r="C1269" s="13" t="s">
        <v>14068</v>
      </c>
      <c r="D1269" s="13">
        <v>3</v>
      </c>
      <c r="E1269" s="13" t="s">
        <v>14069</v>
      </c>
      <c r="F1269" s="7" t="s">
        <v>11535</v>
      </c>
    </row>
    <row r="1270" ht="18" customHeight="1" spans="1:6">
      <c r="A1270" s="13" t="s">
        <v>2919</v>
      </c>
      <c r="B1270" s="13" t="s">
        <v>4100</v>
      </c>
      <c r="C1270" s="13" t="s">
        <v>14070</v>
      </c>
      <c r="D1270" s="13">
        <v>2</v>
      </c>
      <c r="E1270" s="13" t="s">
        <v>14071</v>
      </c>
      <c r="F1270" s="7" t="s">
        <v>11535</v>
      </c>
    </row>
    <row r="1271" ht="18" customHeight="1" spans="1:6">
      <c r="A1271" s="13" t="s">
        <v>2919</v>
      </c>
      <c r="B1271" s="13" t="s">
        <v>4100</v>
      </c>
      <c r="C1271" s="13" t="s">
        <v>14072</v>
      </c>
      <c r="D1271" s="13">
        <v>3</v>
      </c>
      <c r="E1271" s="13" t="s">
        <v>14073</v>
      </c>
      <c r="F1271" s="7" t="s">
        <v>11535</v>
      </c>
    </row>
    <row r="1272" ht="18" customHeight="1" spans="1:6">
      <c r="A1272" s="13" t="s">
        <v>2919</v>
      </c>
      <c r="B1272" s="13" t="s">
        <v>4100</v>
      </c>
      <c r="C1272" s="13" t="s">
        <v>14074</v>
      </c>
      <c r="D1272" s="13">
        <v>2</v>
      </c>
      <c r="E1272" s="13" t="s">
        <v>14075</v>
      </c>
      <c r="F1272" s="7" t="s">
        <v>11535</v>
      </c>
    </row>
    <row r="1273" ht="18" customHeight="1" spans="1:6">
      <c r="A1273" s="13" t="s">
        <v>2919</v>
      </c>
      <c r="B1273" s="13" t="s">
        <v>4100</v>
      </c>
      <c r="C1273" s="13" t="s">
        <v>14076</v>
      </c>
      <c r="D1273" s="13">
        <v>3</v>
      </c>
      <c r="E1273" s="13" t="s">
        <v>14077</v>
      </c>
      <c r="F1273" s="7" t="s">
        <v>11535</v>
      </c>
    </row>
    <row r="1274" ht="18" customHeight="1" spans="1:6">
      <c r="A1274" s="13" t="s">
        <v>2919</v>
      </c>
      <c r="B1274" s="13" t="s">
        <v>4100</v>
      </c>
      <c r="C1274" s="13" t="s">
        <v>14078</v>
      </c>
      <c r="D1274" s="13">
        <v>2</v>
      </c>
      <c r="E1274" s="13" t="s">
        <v>14079</v>
      </c>
      <c r="F1274" s="7" t="s">
        <v>11535</v>
      </c>
    </row>
    <row r="1275" ht="18" customHeight="1" spans="1:6">
      <c r="A1275" s="13" t="s">
        <v>2919</v>
      </c>
      <c r="B1275" s="13" t="s">
        <v>4100</v>
      </c>
      <c r="C1275" s="13" t="s">
        <v>14080</v>
      </c>
      <c r="D1275" s="13">
        <v>5</v>
      </c>
      <c r="E1275" s="13" t="s">
        <v>14081</v>
      </c>
      <c r="F1275" s="7" t="s">
        <v>11535</v>
      </c>
    </row>
    <row r="1276" ht="18" customHeight="1" spans="1:6">
      <c r="A1276" s="13" t="s">
        <v>2919</v>
      </c>
      <c r="B1276" s="13" t="s">
        <v>4100</v>
      </c>
      <c r="C1276" s="13" t="s">
        <v>14082</v>
      </c>
      <c r="D1276" s="13">
        <v>3</v>
      </c>
      <c r="E1276" s="13" t="s">
        <v>14083</v>
      </c>
      <c r="F1276" s="7" t="s">
        <v>11535</v>
      </c>
    </row>
    <row r="1277" ht="18" customHeight="1" spans="1:6">
      <c r="A1277" s="13" t="s">
        <v>2919</v>
      </c>
      <c r="B1277" s="13" t="s">
        <v>4100</v>
      </c>
      <c r="C1277" s="13" t="s">
        <v>14084</v>
      </c>
      <c r="D1277" s="13">
        <v>3</v>
      </c>
      <c r="E1277" s="13" t="s">
        <v>14085</v>
      </c>
      <c r="F1277" s="7" t="s">
        <v>11535</v>
      </c>
    </row>
    <row r="1278" ht="18" customHeight="1" spans="1:6">
      <c r="A1278" s="13" t="s">
        <v>2919</v>
      </c>
      <c r="B1278" s="13" t="s">
        <v>4100</v>
      </c>
      <c r="C1278" s="13" t="s">
        <v>14086</v>
      </c>
      <c r="D1278" s="13">
        <v>2</v>
      </c>
      <c r="E1278" s="13" t="s">
        <v>14087</v>
      </c>
      <c r="F1278" s="7" t="s">
        <v>11535</v>
      </c>
    </row>
    <row r="1279" ht="18" customHeight="1" spans="1:6">
      <c r="A1279" s="13" t="s">
        <v>2919</v>
      </c>
      <c r="B1279" s="13" t="s">
        <v>4100</v>
      </c>
      <c r="C1279" s="13" t="s">
        <v>14088</v>
      </c>
      <c r="D1279" s="13">
        <v>4</v>
      </c>
      <c r="E1279" s="13" t="s">
        <v>14089</v>
      </c>
      <c r="F1279" s="7" t="s">
        <v>11535</v>
      </c>
    </row>
    <row r="1280" ht="18" customHeight="1" spans="1:6">
      <c r="A1280" s="13" t="s">
        <v>2919</v>
      </c>
      <c r="B1280" s="13" t="s">
        <v>4100</v>
      </c>
      <c r="C1280" s="13" t="s">
        <v>14090</v>
      </c>
      <c r="D1280" s="13">
        <v>4</v>
      </c>
      <c r="E1280" s="13" t="s">
        <v>14091</v>
      </c>
      <c r="F1280" s="7" t="s">
        <v>11535</v>
      </c>
    </row>
    <row r="1281" ht="18" customHeight="1" spans="1:6">
      <c r="A1281" s="13" t="s">
        <v>2919</v>
      </c>
      <c r="B1281" s="13" t="s">
        <v>4127</v>
      </c>
      <c r="C1281" s="13" t="s">
        <v>14092</v>
      </c>
      <c r="D1281" s="13">
        <v>3</v>
      </c>
      <c r="E1281" s="179" t="s">
        <v>14093</v>
      </c>
      <c r="F1281" s="7" t="s">
        <v>11535</v>
      </c>
    </row>
    <row r="1282" ht="18" customHeight="1" spans="1:6">
      <c r="A1282" s="13" t="s">
        <v>2919</v>
      </c>
      <c r="B1282" s="13" t="s">
        <v>4127</v>
      </c>
      <c r="C1282" s="13" t="s">
        <v>14094</v>
      </c>
      <c r="D1282" s="13">
        <v>3</v>
      </c>
      <c r="E1282" s="179" t="s">
        <v>14095</v>
      </c>
      <c r="F1282" s="7" t="s">
        <v>11535</v>
      </c>
    </row>
    <row r="1283" ht="18" customHeight="1" spans="1:6">
      <c r="A1283" s="13" t="s">
        <v>2919</v>
      </c>
      <c r="B1283" s="13" t="s">
        <v>4158</v>
      </c>
      <c r="C1283" s="13" t="s">
        <v>4921</v>
      </c>
      <c r="D1283" s="13">
        <v>4</v>
      </c>
      <c r="E1283" s="13" t="s">
        <v>14096</v>
      </c>
      <c r="F1283" s="7" t="s">
        <v>11535</v>
      </c>
    </row>
    <row r="1284" ht="18" customHeight="1" spans="1:6">
      <c r="A1284" s="13" t="s">
        <v>2919</v>
      </c>
      <c r="B1284" s="13" t="s">
        <v>4158</v>
      </c>
      <c r="C1284" s="13" t="s">
        <v>622</v>
      </c>
      <c r="D1284" s="13">
        <v>1</v>
      </c>
      <c r="E1284" s="13" t="s">
        <v>14097</v>
      </c>
      <c r="F1284" s="7" t="s">
        <v>11535</v>
      </c>
    </row>
    <row r="1285" ht="18" customHeight="1" spans="1:6">
      <c r="A1285" s="13" t="s">
        <v>2919</v>
      </c>
      <c r="B1285" s="13" t="s">
        <v>4158</v>
      </c>
      <c r="C1285" s="13" t="s">
        <v>14098</v>
      </c>
      <c r="D1285" s="13">
        <v>3</v>
      </c>
      <c r="E1285" s="13" t="s">
        <v>14099</v>
      </c>
      <c r="F1285" s="7" t="s">
        <v>11535</v>
      </c>
    </row>
    <row r="1286" ht="18" customHeight="1" spans="1:6">
      <c r="A1286" s="13" t="s">
        <v>2919</v>
      </c>
      <c r="B1286" s="13" t="s">
        <v>4217</v>
      </c>
      <c r="C1286" s="13" t="s">
        <v>14100</v>
      </c>
      <c r="D1286" s="13">
        <v>2</v>
      </c>
      <c r="E1286" s="13" t="s">
        <v>14101</v>
      </c>
      <c r="F1286" s="7" t="s">
        <v>11535</v>
      </c>
    </row>
    <row r="1287" ht="18" customHeight="1" spans="1:6">
      <c r="A1287" s="13" t="s">
        <v>2919</v>
      </c>
      <c r="B1287" s="13" t="s">
        <v>4217</v>
      </c>
      <c r="C1287" s="13" t="s">
        <v>14102</v>
      </c>
      <c r="D1287" s="13">
        <v>4</v>
      </c>
      <c r="E1287" s="13" t="s">
        <v>14103</v>
      </c>
      <c r="F1287" s="7" t="s">
        <v>11535</v>
      </c>
    </row>
    <row r="1288" ht="18" customHeight="1" spans="1:6">
      <c r="A1288" s="13" t="s">
        <v>2919</v>
      </c>
      <c r="B1288" s="13" t="s">
        <v>4217</v>
      </c>
      <c r="C1288" s="13" t="s">
        <v>14104</v>
      </c>
      <c r="D1288" s="13">
        <v>4</v>
      </c>
      <c r="E1288" s="13" t="s">
        <v>14105</v>
      </c>
      <c r="F1288" s="7" t="s">
        <v>11535</v>
      </c>
    </row>
    <row r="1289" ht="18" customHeight="1" spans="1:6">
      <c r="A1289" s="13" t="s">
        <v>2919</v>
      </c>
      <c r="B1289" s="13" t="s">
        <v>4217</v>
      </c>
      <c r="C1289" s="13" t="s">
        <v>14106</v>
      </c>
      <c r="D1289" s="13">
        <v>3</v>
      </c>
      <c r="E1289" s="13" t="s">
        <v>14107</v>
      </c>
      <c r="F1289" s="7" t="s">
        <v>11535</v>
      </c>
    </row>
    <row r="1290" ht="18" customHeight="1" spans="1:6">
      <c r="A1290" s="13" t="s">
        <v>2919</v>
      </c>
      <c r="B1290" s="13" t="s">
        <v>4217</v>
      </c>
      <c r="C1290" s="13" t="s">
        <v>14108</v>
      </c>
      <c r="D1290" s="13">
        <v>5</v>
      </c>
      <c r="E1290" s="13" t="s">
        <v>14109</v>
      </c>
      <c r="F1290" s="7" t="s">
        <v>11535</v>
      </c>
    </row>
    <row r="1291" ht="18" customHeight="1" spans="1:6">
      <c r="A1291" s="13" t="s">
        <v>2919</v>
      </c>
      <c r="B1291" s="13" t="s">
        <v>4261</v>
      </c>
      <c r="C1291" s="13" t="s">
        <v>4268</v>
      </c>
      <c r="D1291" s="13">
        <v>5</v>
      </c>
      <c r="E1291" s="13" t="s">
        <v>14110</v>
      </c>
      <c r="F1291" s="7" t="s">
        <v>11535</v>
      </c>
    </row>
    <row r="1292" ht="18" customHeight="1" spans="1:6">
      <c r="A1292" s="13" t="s">
        <v>2919</v>
      </c>
      <c r="B1292" s="13" t="s">
        <v>4261</v>
      </c>
      <c r="C1292" s="13" t="s">
        <v>14111</v>
      </c>
      <c r="D1292" s="13">
        <v>3</v>
      </c>
      <c r="E1292" s="13" t="s">
        <v>14112</v>
      </c>
      <c r="F1292" s="7" t="s">
        <v>11535</v>
      </c>
    </row>
    <row r="1293" ht="18" customHeight="1" spans="1:6">
      <c r="A1293" s="13" t="s">
        <v>2919</v>
      </c>
      <c r="B1293" s="13" t="s">
        <v>4261</v>
      </c>
      <c r="C1293" s="13" t="s">
        <v>14113</v>
      </c>
      <c r="D1293" s="13">
        <v>5</v>
      </c>
      <c r="E1293" s="13" t="s">
        <v>14114</v>
      </c>
      <c r="F1293" s="7" t="s">
        <v>11535</v>
      </c>
    </row>
    <row r="1294" ht="18" customHeight="1" spans="1:6">
      <c r="A1294" s="13" t="s">
        <v>2919</v>
      </c>
      <c r="B1294" s="13" t="s">
        <v>4261</v>
      </c>
      <c r="C1294" s="13" t="s">
        <v>14115</v>
      </c>
      <c r="D1294" s="13">
        <v>4</v>
      </c>
      <c r="E1294" s="13" t="s">
        <v>14116</v>
      </c>
      <c r="F1294" s="7" t="s">
        <v>11535</v>
      </c>
    </row>
    <row r="1295" ht="18" customHeight="1" spans="1:6">
      <c r="A1295" s="13" t="s">
        <v>2919</v>
      </c>
      <c r="B1295" s="13" t="s">
        <v>4261</v>
      </c>
      <c r="C1295" s="13" t="s">
        <v>14117</v>
      </c>
      <c r="D1295" s="13">
        <v>2</v>
      </c>
      <c r="E1295" s="13" t="s">
        <v>14118</v>
      </c>
      <c r="F1295" s="7" t="s">
        <v>11535</v>
      </c>
    </row>
    <row r="1296" ht="18" customHeight="1" spans="1:6">
      <c r="A1296" s="13" t="s">
        <v>2919</v>
      </c>
      <c r="B1296" s="13" t="s">
        <v>4261</v>
      </c>
      <c r="C1296" s="13" t="s">
        <v>14119</v>
      </c>
      <c r="D1296" s="13">
        <v>4</v>
      </c>
      <c r="E1296" s="13" t="s">
        <v>14120</v>
      </c>
      <c r="F1296" s="7" t="s">
        <v>11535</v>
      </c>
    </row>
    <row r="1297" ht="18" customHeight="1" spans="1:6">
      <c r="A1297" s="13" t="s">
        <v>2919</v>
      </c>
      <c r="B1297" s="13" t="s">
        <v>4261</v>
      </c>
      <c r="C1297" s="13" t="s">
        <v>14121</v>
      </c>
      <c r="D1297" s="13">
        <v>2</v>
      </c>
      <c r="E1297" s="13" t="s">
        <v>14122</v>
      </c>
      <c r="F1297" s="7" t="s">
        <v>11535</v>
      </c>
    </row>
    <row r="1298" ht="18" customHeight="1" spans="1:6">
      <c r="A1298" s="13" t="s">
        <v>2919</v>
      </c>
      <c r="B1298" s="13" t="s">
        <v>4261</v>
      </c>
      <c r="C1298" s="13" t="s">
        <v>14123</v>
      </c>
      <c r="D1298" s="13">
        <v>8</v>
      </c>
      <c r="E1298" s="13" t="s">
        <v>14124</v>
      </c>
      <c r="F1298" s="7" t="s">
        <v>11535</v>
      </c>
    </row>
    <row r="1299" ht="18" customHeight="1" spans="1:6">
      <c r="A1299" s="13" t="s">
        <v>2919</v>
      </c>
      <c r="B1299" s="13" t="s">
        <v>4261</v>
      </c>
      <c r="C1299" s="13" t="s">
        <v>6069</v>
      </c>
      <c r="D1299" s="13">
        <v>5</v>
      </c>
      <c r="E1299" s="13" t="s">
        <v>14125</v>
      </c>
      <c r="F1299" s="7" t="s">
        <v>11535</v>
      </c>
    </row>
    <row r="1300" ht="18" customHeight="1" spans="1:6">
      <c r="A1300" s="13" t="s">
        <v>2919</v>
      </c>
      <c r="B1300" s="13" t="s">
        <v>4298</v>
      </c>
      <c r="C1300" s="13" t="s">
        <v>14126</v>
      </c>
      <c r="D1300" s="13">
        <v>1</v>
      </c>
      <c r="E1300" s="179" t="s">
        <v>14127</v>
      </c>
      <c r="F1300" s="7" t="s">
        <v>11535</v>
      </c>
    </row>
    <row r="1301" ht="18" customHeight="1" spans="1:6">
      <c r="A1301" s="13" t="s">
        <v>2919</v>
      </c>
      <c r="B1301" s="13" t="s">
        <v>4298</v>
      </c>
      <c r="C1301" s="13" t="s">
        <v>14128</v>
      </c>
      <c r="D1301" s="13">
        <v>1</v>
      </c>
      <c r="E1301" s="179" t="s">
        <v>14129</v>
      </c>
      <c r="F1301" s="7" t="s">
        <v>11535</v>
      </c>
    </row>
    <row r="1302" ht="18" customHeight="1" spans="1:6">
      <c r="A1302" s="13" t="s">
        <v>2919</v>
      </c>
      <c r="B1302" s="13" t="s">
        <v>4298</v>
      </c>
      <c r="C1302" s="13" t="s">
        <v>13111</v>
      </c>
      <c r="D1302" s="13">
        <v>1</v>
      </c>
      <c r="E1302" s="179" t="s">
        <v>14130</v>
      </c>
      <c r="F1302" s="7" t="s">
        <v>11535</v>
      </c>
    </row>
    <row r="1303" ht="18" customHeight="1" spans="1:6">
      <c r="A1303" s="13" t="s">
        <v>2919</v>
      </c>
      <c r="B1303" s="13" t="s">
        <v>4298</v>
      </c>
      <c r="C1303" s="13" t="s">
        <v>14131</v>
      </c>
      <c r="D1303" s="13">
        <v>2</v>
      </c>
      <c r="E1303" s="179" t="s">
        <v>14132</v>
      </c>
      <c r="F1303" s="7" t="s">
        <v>11535</v>
      </c>
    </row>
    <row r="1304" ht="18" customHeight="1" spans="1:6">
      <c r="A1304" s="13" t="s">
        <v>2919</v>
      </c>
      <c r="B1304" s="13" t="s">
        <v>4298</v>
      </c>
      <c r="C1304" s="13" t="s">
        <v>14133</v>
      </c>
      <c r="D1304" s="13">
        <v>3</v>
      </c>
      <c r="E1304" s="179" t="s">
        <v>14134</v>
      </c>
      <c r="F1304" s="7" t="s">
        <v>11535</v>
      </c>
    </row>
    <row r="1305" ht="18" customHeight="1" spans="1:6">
      <c r="A1305" s="13" t="s">
        <v>2919</v>
      </c>
      <c r="B1305" s="13" t="s">
        <v>4298</v>
      </c>
      <c r="C1305" s="13" t="s">
        <v>14135</v>
      </c>
      <c r="D1305" s="13">
        <v>6</v>
      </c>
      <c r="E1305" s="179" t="s">
        <v>14136</v>
      </c>
      <c r="F1305" s="7" t="s">
        <v>11535</v>
      </c>
    </row>
    <row r="1306" ht="18" customHeight="1" spans="1:6">
      <c r="A1306" s="13" t="s">
        <v>2919</v>
      </c>
      <c r="B1306" s="13" t="s">
        <v>4335</v>
      </c>
      <c r="C1306" s="13" t="s">
        <v>14137</v>
      </c>
      <c r="D1306" s="13">
        <v>1</v>
      </c>
      <c r="E1306" s="179" t="s">
        <v>14138</v>
      </c>
      <c r="F1306" s="7" t="s">
        <v>11535</v>
      </c>
    </row>
    <row r="1307" ht="18" customHeight="1" spans="1:6">
      <c r="A1307" s="13" t="s">
        <v>2919</v>
      </c>
      <c r="B1307" s="13" t="s">
        <v>4335</v>
      </c>
      <c r="C1307" s="13" t="s">
        <v>14139</v>
      </c>
      <c r="D1307" s="13">
        <v>1</v>
      </c>
      <c r="E1307" s="179" t="s">
        <v>14140</v>
      </c>
      <c r="F1307" s="7" t="s">
        <v>11535</v>
      </c>
    </row>
    <row r="1308" ht="18" customHeight="1" spans="1:6">
      <c r="A1308" s="13" t="s">
        <v>2919</v>
      </c>
      <c r="B1308" s="13" t="s">
        <v>4335</v>
      </c>
      <c r="C1308" s="13" t="s">
        <v>14141</v>
      </c>
      <c r="D1308" s="13">
        <v>1</v>
      </c>
      <c r="E1308" s="179" t="s">
        <v>14142</v>
      </c>
      <c r="F1308" s="7" t="s">
        <v>11535</v>
      </c>
    </row>
    <row r="1309" ht="18" customHeight="1" spans="1:6">
      <c r="A1309" s="13" t="s">
        <v>2919</v>
      </c>
      <c r="B1309" s="13" t="s">
        <v>4335</v>
      </c>
      <c r="C1309" s="13" t="s">
        <v>14143</v>
      </c>
      <c r="D1309" s="13">
        <v>1</v>
      </c>
      <c r="E1309" s="179" t="s">
        <v>14144</v>
      </c>
      <c r="F1309" s="7" t="s">
        <v>11535</v>
      </c>
    </row>
    <row r="1310" ht="18" customHeight="1" spans="1:6">
      <c r="A1310" s="13" t="s">
        <v>2919</v>
      </c>
      <c r="B1310" s="13" t="s">
        <v>4335</v>
      </c>
      <c r="C1310" s="13" t="s">
        <v>14145</v>
      </c>
      <c r="D1310" s="13">
        <v>2</v>
      </c>
      <c r="E1310" s="13" t="s">
        <v>14146</v>
      </c>
      <c r="F1310" s="7" t="s">
        <v>11535</v>
      </c>
    </row>
    <row r="1311" ht="18" customHeight="1" spans="1:6">
      <c r="A1311" s="13" t="s">
        <v>2919</v>
      </c>
      <c r="B1311" s="13" t="s">
        <v>4335</v>
      </c>
      <c r="C1311" s="13" t="s">
        <v>2593</v>
      </c>
      <c r="D1311" s="13">
        <v>1</v>
      </c>
      <c r="E1311" s="179" t="s">
        <v>14147</v>
      </c>
      <c r="F1311" s="7" t="s">
        <v>11535</v>
      </c>
    </row>
    <row r="1312" ht="18" customHeight="1" spans="1:6">
      <c r="A1312" s="13" t="s">
        <v>2919</v>
      </c>
      <c r="B1312" s="13" t="s">
        <v>4335</v>
      </c>
      <c r="C1312" s="13" t="s">
        <v>14148</v>
      </c>
      <c r="D1312" s="13">
        <v>2</v>
      </c>
      <c r="E1312" s="179" t="s">
        <v>14149</v>
      </c>
      <c r="F1312" s="7" t="s">
        <v>11535</v>
      </c>
    </row>
    <row r="1313" ht="18" customHeight="1" spans="1:6">
      <c r="A1313" s="13" t="s">
        <v>2919</v>
      </c>
      <c r="B1313" s="13" t="s">
        <v>4335</v>
      </c>
      <c r="C1313" s="13" t="s">
        <v>14150</v>
      </c>
      <c r="D1313" s="13">
        <v>2</v>
      </c>
      <c r="E1313" s="179" t="s">
        <v>14151</v>
      </c>
      <c r="F1313" s="7" t="s">
        <v>11535</v>
      </c>
    </row>
    <row r="1314" ht="18" customHeight="1" spans="1:6">
      <c r="A1314" s="13" t="s">
        <v>2919</v>
      </c>
      <c r="B1314" s="13" t="s">
        <v>4335</v>
      </c>
      <c r="C1314" s="13" t="s">
        <v>14152</v>
      </c>
      <c r="D1314" s="13">
        <v>2</v>
      </c>
      <c r="E1314" s="179" t="s">
        <v>14153</v>
      </c>
      <c r="F1314" s="7" t="s">
        <v>11535</v>
      </c>
    </row>
    <row r="1315" ht="18" customHeight="1" spans="1:6">
      <c r="A1315" s="13" t="s">
        <v>2919</v>
      </c>
      <c r="B1315" s="13" t="s">
        <v>4335</v>
      </c>
      <c r="C1315" s="13" t="s">
        <v>14154</v>
      </c>
      <c r="D1315" s="13">
        <v>6</v>
      </c>
      <c r="E1315" s="179" t="s">
        <v>14155</v>
      </c>
      <c r="F1315" s="7" t="s">
        <v>11535</v>
      </c>
    </row>
    <row r="1316" ht="18" customHeight="1" spans="1:6">
      <c r="A1316" s="13" t="s">
        <v>4389</v>
      </c>
      <c r="B1316" s="13"/>
      <c r="C1316" s="13">
        <v>415</v>
      </c>
      <c r="D1316" s="13">
        <f>SUM(D901:D1315)</f>
        <v>1338</v>
      </c>
      <c r="E1316" s="13"/>
      <c r="F1316" s="5"/>
    </row>
    <row r="1317" ht="18" customHeight="1" spans="1:6">
      <c r="A1317" s="13" t="s">
        <v>4390</v>
      </c>
      <c r="B1317" s="13" t="s">
        <v>4391</v>
      </c>
      <c r="C1317" s="13" t="s">
        <v>14156</v>
      </c>
      <c r="D1317" s="13">
        <v>1</v>
      </c>
      <c r="E1317" s="14" t="s">
        <v>14157</v>
      </c>
      <c r="F1317" s="7" t="s">
        <v>11535</v>
      </c>
    </row>
    <row r="1318" ht="18" customHeight="1" spans="1:6">
      <c r="A1318" s="13" t="s">
        <v>4390</v>
      </c>
      <c r="B1318" s="13" t="s">
        <v>4391</v>
      </c>
      <c r="C1318" s="13" t="s">
        <v>14158</v>
      </c>
      <c r="D1318" s="13">
        <v>3</v>
      </c>
      <c r="E1318" s="14" t="s">
        <v>14159</v>
      </c>
      <c r="F1318" s="7" t="s">
        <v>11535</v>
      </c>
    </row>
    <row r="1319" ht="18" customHeight="1" spans="1:6">
      <c r="A1319" s="13" t="s">
        <v>4390</v>
      </c>
      <c r="B1319" s="13" t="s">
        <v>4391</v>
      </c>
      <c r="C1319" s="13" t="s">
        <v>14160</v>
      </c>
      <c r="D1319" s="13">
        <v>1</v>
      </c>
      <c r="E1319" s="14" t="s">
        <v>14161</v>
      </c>
      <c r="F1319" s="7" t="s">
        <v>11535</v>
      </c>
    </row>
    <row r="1320" ht="18" customHeight="1" spans="1:6">
      <c r="A1320" s="13" t="s">
        <v>4390</v>
      </c>
      <c r="B1320" s="13" t="s">
        <v>4391</v>
      </c>
      <c r="C1320" s="13" t="s">
        <v>14162</v>
      </c>
      <c r="D1320" s="13">
        <v>2</v>
      </c>
      <c r="E1320" s="14" t="s">
        <v>14163</v>
      </c>
      <c r="F1320" s="7" t="s">
        <v>11535</v>
      </c>
    </row>
    <row r="1321" ht="18" customHeight="1" spans="1:6">
      <c r="A1321" s="13" t="s">
        <v>4390</v>
      </c>
      <c r="B1321" s="13" t="s">
        <v>4391</v>
      </c>
      <c r="C1321" s="13" t="s">
        <v>14164</v>
      </c>
      <c r="D1321" s="13">
        <v>1</v>
      </c>
      <c r="E1321" s="14" t="s">
        <v>14165</v>
      </c>
      <c r="F1321" s="7" t="s">
        <v>11535</v>
      </c>
    </row>
    <row r="1322" ht="18" customHeight="1" spans="1:6">
      <c r="A1322" s="13" t="s">
        <v>4390</v>
      </c>
      <c r="B1322" s="13" t="s">
        <v>4391</v>
      </c>
      <c r="C1322" s="13" t="s">
        <v>14166</v>
      </c>
      <c r="D1322" s="13">
        <v>3</v>
      </c>
      <c r="E1322" s="14" t="s">
        <v>14167</v>
      </c>
      <c r="F1322" s="7" t="s">
        <v>11535</v>
      </c>
    </row>
    <row r="1323" ht="18" customHeight="1" spans="1:6">
      <c r="A1323" s="13" t="s">
        <v>4390</v>
      </c>
      <c r="B1323" s="13" t="s">
        <v>4391</v>
      </c>
      <c r="C1323" s="13" t="s">
        <v>14168</v>
      </c>
      <c r="D1323" s="13">
        <v>3</v>
      </c>
      <c r="E1323" s="14" t="s">
        <v>14169</v>
      </c>
      <c r="F1323" s="7" t="s">
        <v>11535</v>
      </c>
    </row>
    <row r="1324" ht="18" customHeight="1" spans="1:6">
      <c r="A1324" s="13" t="s">
        <v>4390</v>
      </c>
      <c r="B1324" s="13" t="s">
        <v>4391</v>
      </c>
      <c r="C1324" s="13" t="s">
        <v>14170</v>
      </c>
      <c r="D1324" s="13">
        <v>3</v>
      </c>
      <c r="E1324" s="14" t="s">
        <v>14171</v>
      </c>
      <c r="F1324" s="7" t="s">
        <v>11535</v>
      </c>
    </row>
    <row r="1325" ht="18" customHeight="1" spans="1:6">
      <c r="A1325" s="13" t="s">
        <v>4390</v>
      </c>
      <c r="B1325" s="13" t="s">
        <v>4391</v>
      </c>
      <c r="C1325" s="13" t="s">
        <v>14172</v>
      </c>
      <c r="D1325" s="13">
        <v>2</v>
      </c>
      <c r="E1325" s="14" t="s">
        <v>14173</v>
      </c>
      <c r="F1325" s="7" t="s">
        <v>11535</v>
      </c>
    </row>
    <row r="1326" ht="18" customHeight="1" spans="1:6">
      <c r="A1326" s="13" t="s">
        <v>4390</v>
      </c>
      <c r="B1326" s="13" t="s">
        <v>4391</v>
      </c>
      <c r="C1326" s="13" t="s">
        <v>14174</v>
      </c>
      <c r="D1326" s="13">
        <v>3</v>
      </c>
      <c r="E1326" s="14" t="s">
        <v>14175</v>
      </c>
      <c r="F1326" s="7" t="s">
        <v>11535</v>
      </c>
    </row>
    <row r="1327" ht="18" customHeight="1" spans="1:6">
      <c r="A1327" s="13" t="s">
        <v>4390</v>
      </c>
      <c r="B1327" s="13" t="s">
        <v>4391</v>
      </c>
      <c r="C1327" s="13" t="s">
        <v>14176</v>
      </c>
      <c r="D1327" s="13">
        <v>1</v>
      </c>
      <c r="E1327" s="14" t="s">
        <v>14177</v>
      </c>
      <c r="F1327" s="7" t="s">
        <v>11535</v>
      </c>
    </row>
    <row r="1328" ht="18" customHeight="1" spans="1:6">
      <c r="A1328" s="13" t="s">
        <v>4390</v>
      </c>
      <c r="B1328" s="13" t="s">
        <v>4391</v>
      </c>
      <c r="C1328" s="13" t="s">
        <v>14178</v>
      </c>
      <c r="D1328" s="13">
        <v>2</v>
      </c>
      <c r="E1328" s="14" t="s">
        <v>14179</v>
      </c>
      <c r="F1328" s="7" t="s">
        <v>11535</v>
      </c>
    </row>
    <row r="1329" ht="18" customHeight="1" spans="1:6">
      <c r="A1329" s="13" t="s">
        <v>4390</v>
      </c>
      <c r="B1329" s="13" t="s">
        <v>4391</v>
      </c>
      <c r="C1329" s="13" t="s">
        <v>14180</v>
      </c>
      <c r="D1329" s="13">
        <v>2</v>
      </c>
      <c r="E1329" s="179" t="s">
        <v>14181</v>
      </c>
      <c r="F1329" s="7" t="s">
        <v>11535</v>
      </c>
    </row>
    <row r="1330" ht="18" customHeight="1" spans="1:6">
      <c r="A1330" s="13" t="s">
        <v>4390</v>
      </c>
      <c r="B1330" s="13" t="s">
        <v>4391</v>
      </c>
      <c r="C1330" s="13" t="s">
        <v>14182</v>
      </c>
      <c r="D1330" s="13">
        <v>5</v>
      </c>
      <c r="E1330" s="179" t="s">
        <v>14183</v>
      </c>
      <c r="F1330" s="7" t="s">
        <v>11535</v>
      </c>
    </row>
    <row r="1331" ht="18" customHeight="1" spans="1:6">
      <c r="A1331" s="13" t="s">
        <v>4390</v>
      </c>
      <c r="B1331" s="13" t="s">
        <v>4391</v>
      </c>
      <c r="C1331" s="13" t="s">
        <v>14184</v>
      </c>
      <c r="D1331" s="13">
        <v>3</v>
      </c>
      <c r="E1331" s="179" t="s">
        <v>14185</v>
      </c>
      <c r="F1331" s="7" t="s">
        <v>11535</v>
      </c>
    </row>
    <row r="1332" ht="18" customHeight="1" spans="1:6">
      <c r="A1332" s="13" t="s">
        <v>4390</v>
      </c>
      <c r="B1332" s="13" t="s">
        <v>4391</v>
      </c>
      <c r="C1332" s="13" t="s">
        <v>14186</v>
      </c>
      <c r="D1332" s="13">
        <v>5</v>
      </c>
      <c r="E1332" s="179" t="s">
        <v>14187</v>
      </c>
      <c r="F1332" s="7" t="s">
        <v>11535</v>
      </c>
    </row>
    <row r="1333" ht="18" customHeight="1" spans="1:6">
      <c r="A1333" s="13" t="s">
        <v>4390</v>
      </c>
      <c r="B1333" s="13" t="s">
        <v>4424</v>
      </c>
      <c r="C1333" s="13" t="s">
        <v>14188</v>
      </c>
      <c r="D1333" s="13">
        <v>2</v>
      </c>
      <c r="E1333" s="14" t="s">
        <v>14189</v>
      </c>
      <c r="F1333" s="7" t="s">
        <v>11535</v>
      </c>
    </row>
    <row r="1334" ht="18" customHeight="1" spans="1:6">
      <c r="A1334" s="13" t="s">
        <v>4390</v>
      </c>
      <c r="B1334" s="13" t="s">
        <v>4424</v>
      </c>
      <c r="C1334" s="13" t="s">
        <v>14190</v>
      </c>
      <c r="D1334" s="13">
        <v>2</v>
      </c>
      <c r="E1334" s="14" t="s">
        <v>14191</v>
      </c>
      <c r="F1334" s="7" t="s">
        <v>11535</v>
      </c>
    </row>
    <row r="1335" ht="18" customHeight="1" spans="1:6">
      <c r="A1335" s="13" t="s">
        <v>4390</v>
      </c>
      <c r="B1335" s="13" t="s">
        <v>4424</v>
      </c>
      <c r="C1335" s="13" t="s">
        <v>14192</v>
      </c>
      <c r="D1335" s="13">
        <v>2</v>
      </c>
      <c r="E1335" s="14" t="s">
        <v>14193</v>
      </c>
      <c r="F1335" s="7" t="s">
        <v>11535</v>
      </c>
    </row>
    <row r="1336" ht="18" customHeight="1" spans="1:6">
      <c r="A1336" s="13" t="s">
        <v>4390</v>
      </c>
      <c r="B1336" s="13" t="s">
        <v>4424</v>
      </c>
      <c r="C1336" s="13" t="s">
        <v>14194</v>
      </c>
      <c r="D1336" s="13">
        <v>4</v>
      </c>
      <c r="E1336" s="14" t="s">
        <v>14195</v>
      </c>
      <c r="F1336" s="7" t="s">
        <v>11535</v>
      </c>
    </row>
    <row r="1337" ht="18" customHeight="1" spans="1:6">
      <c r="A1337" s="13" t="s">
        <v>4390</v>
      </c>
      <c r="B1337" s="13" t="s">
        <v>4424</v>
      </c>
      <c r="C1337" s="13" t="s">
        <v>14196</v>
      </c>
      <c r="D1337" s="13">
        <v>2</v>
      </c>
      <c r="E1337" s="14" t="s">
        <v>14197</v>
      </c>
      <c r="F1337" s="7" t="s">
        <v>11535</v>
      </c>
    </row>
    <row r="1338" ht="18" customHeight="1" spans="1:6">
      <c r="A1338" s="13" t="s">
        <v>4390</v>
      </c>
      <c r="B1338" s="13" t="s">
        <v>4424</v>
      </c>
      <c r="C1338" s="13" t="s">
        <v>14198</v>
      </c>
      <c r="D1338" s="13">
        <v>3</v>
      </c>
      <c r="E1338" s="14" t="s">
        <v>14199</v>
      </c>
      <c r="F1338" s="7" t="s">
        <v>11535</v>
      </c>
    </row>
    <row r="1339" ht="18" customHeight="1" spans="1:6">
      <c r="A1339" s="13" t="s">
        <v>4390</v>
      </c>
      <c r="B1339" s="13" t="s">
        <v>4424</v>
      </c>
      <c r="C1339" s="13" t="s">
        <v>14200</v>
      </c>
      <c r="D1339" s="13">
        <v>3</v>
      </c>
      <c r="E1339" s="14" t="s">
        <v>14201</v>
      </c>
      <c r="F1339" s="7" t="s">
        <v>11535</v>
      </c>
    </row>
    <row r="1340" ht="18" customHeight="1" spans="1:6">
      <c r="A1340" s="13" t="s">
        <v>4390</v>
      </c>
      <c r="B1340" s="13" t="s">
        <v>4424</v>
      </c>
      <c r="C1340" s="13" t="s">
        <v>14202</v>
      </c>
      <c r="D1340" s="13">
        <v>3</v>
      </c>
      <c r="E1340" s="14" t="s">
        <v>14203</v>
      </c>
      <c r="F1340" s="7" t="s">
        <v>11535</v>
      </c>
    </row>
    <row r="1341" ht="18" customHeight="1" spans="1:6">
      <c r="A1341" s="13" t="s">
        <v>4390</v>
      </c>
      <c r="B1341" s="13" t="s">
        <v>4424</v>
      </c>
      <c r="C1341" s="13" t="s">
        <v>14204</v>
      </c>
      <c r="D1341" s="13">
        <v>5</v>
      </c>
      <c r="E1341" s="14" t="s">
        <v>14205</v>
      </c>
      <c r="F1341" s="7" t="s">
        <v>11535</v>
      </c>
    </row>
    <row r="1342" ht="18" customHeight="1" spans="1:6">
      <c r="A1342" s="13" t="s">
        <v>4390</v>
      </c>
      <c r="B1342" s="13" t="s">
        <v>4424</v>
      </c>
      <c r="C1342" s="13" t="s">
        <v>14206</v>
      </c>
      <c r="D1342" s="13">
        <v>6</v>
      </c>
      <c r="E1342" s="14" t="s">
        <v>14207</v>
      </c>
      <c r="F1342" s="7" t="s">
        <v>11535</v>
      </c>
    </row>
    <row r="1343" ht="18" customHeight="1" spans="1:6">
      <c r="A1343" s="13" t="s">
        <v>4390</v>
      </c>
      <c r="B1343" s="13" t="s">
        <v>4424</v>
      </c>
      <c r="C1343" s="13" t="s">
        <v>14208</v>
      </c>
      <c r="D1343" s="13">
        <v>5</v>
      </c>
      <c r="E1343" s="14" t="s">
        <v>14209</v>
      </c>
      <c r="F1343" s="7" t="s">
        <v>11535</v>
      </c>
    </row>
    <row r="1344" ht="18" customHeight="1" spans="1:6">
      <c r="A1344" s="13" t="s">
        <v>4390</v>
      </c>
      <c r="B1344" s="13" t="s">
        <v>4424</v>
      </c>
      <c r="C1344" s="13" t="s">
        <v>14210</v>
      </c>
      <c r="D1344" s="13">
        <v>3</v>
      </c>
      <c r="E1344" s="14" t="s">
        <v>14211</v>
      </c>
      <c r="F1344" s="7" t="s">
        <v>11535</v>
      </c>
    </row>
    <row r="1345" ht="18" customHeight="1" spans="1:6">
      <c r="A1345" s="13" t="s">
        <v>4390</v>
      </c>
      <c r="B1345" s="13" t="s">
        <v>4465</v>
      </c>
      <c r="C1345" s="13" t="s">
        <v>14212</v>
      </c>
      <c r="D1345" s="13">
        <v>3</v>
      </c>
      <c r="E1345" s="14" t="s">
        <v>14213</v>
      </c>
      <c r="F1345" s="7" t="s">
        <v>11535</v>
      </c>
    </row>
    <row r="1346" ht="18" customHeight="1" spans="1:6">
      <c r="A1346" s="13" t="s">
        <v>4390</v>
      </c>
      <c r="B1346" s="13" t="s">
        <v>4465</v>
      </c>
      <c r="C1346" s="13" t="s">
        <v>14214</v>
      </c>
      <c r="D1346" s="13">
        <v>2</v>
      </c>
      <c r="E1346" s="14" t="s">
        <v>14215</v>
      </c>
      <c r="F1346" s="7" t="s">
        <v>11535</v>
      </c>
    </row>
    <row r="1347" ht="18" customHeight="1" spans="1:6">
      <c r="A1347" s="13" t="s">
        <v>4390</v>
      </c>
      <c r="B1347" s="13" t="s">
        <v>4465</v>
      </c>
      <c r="C1347" s="13" t="s">
        <v>14216</v>
      </c>
      <c r="D1347" s="13">
        <v>3</v>
      </c>
      <c r="E1347" s="14" t="s">
        <v>14217</v>
      </c>
      <c r="F1347" s="7" t="s">
        <v>11535</v>
      </c>
    </row>
    <row r="1348" ht="18" customHeight="1" spans="1:6">
      <c r="A1348" s="13" t="s">
        <v>4390</v>
      </c>
      <c r="B1348" s="13" t="s">
        <v>4465</v>
      </c>
      <c r="C1348" s="13" t="s">
        <v>14218</v>
      </c>
      <c r="D1348" s="13">
        <v>3</v>
      </c>
      <c r="E1348" s="14" t="s">
        <v>14219</v>
      </c>
      <c r="F1348" s="7" t="s">
        <v>11535</v>
      </c>
    </row>
    <row r="1349" ht="18" customHeight="1" spans="1:6">
      <c r="A1349" s="13" t="s">
        <v>4390</v>
      </c>
      <c r="B1349" s="13" t="s">
        <v>4465</v>
      </c>
      <c r="C1349" s="13" t="s">
        <v>14220</v>
      </c>
      <c r="D1349" s="13">
        <v>5</v>
      </c>
      <c r="E1349" s="14" t="s">
        <v>14221</v>
      </c>
      <c r="F1349" s="7" t="s">
        <v>11535</v>
      </c>
    </row>
    <row r="1350" ht="18" customHeight="1" spans="1:6">
      <c r="A1350" s="13" t="s">
        <v>4390</v>
      </c>
      <c r="B1350" s="13" t="s">
        <v>4465</v>
      </c>
      <c r="C1350" s="13" t="s">
        <v>14222</v>
      </c>
      <c r="D1350" s="13">
        <v>3</v>
      </c>
      <c r="E1350" s="14" t="s">
        <v>14223</v>
      </c>
      <c r="F1350" s="7" t="s">
        <v>11535</v>
      </c>
    </row>
    <row r="1351" ht="18" customHeight="1" spans="1:6">
      <c r="A1351" s="13" t="s">
        <v>4390</v>
      </c>
      <c r="B1351" s="13" t="s">
        <v>4465</v>
      </c>
      <c r="C1351" s="13" t="s">
        <v>14224</v>
      </c>
      <c r="D1351" s="13">
        <v>3</v>
      </c>
      <c r="E1351" s="14" t="s">
        <v>14225</v>
      </c>
      <c r="F1351" s="7" t="s">
        <v>11535</v>
      </c>
    </row>
    <row r="1352" ht="18" customHeight="1" spans="1:6">
      <c r="A1352" s="13" t="s">
        <v>4390</v>
      </c>
      <c r="B1352" s="13" t="s">
        <v>4465</v>
      </c>
      <c r="C1352" s="13" t="s">
        <v>14226</v>
      </c>
      <c r="D1352" s="13">
        <v>3</v>
      </c>
      <c r="E1352" s="14" t="s">
        <v>14227</v>
      </c>
      <c r="F1352" s="7" t="s">
        <v>11535</v>
      </c>
    </row>
    <row r="1353" ht="18" customHeight="1" spans="1:6">
      <c r="A1353" s="13" t="s">
        <v>4390</v>
      </c>
      <c r="B1353" s="13" t="s">
        <v>4465</v>
      </c>
      <c r="C1353" s="13" t="s">
        <v>14228</v>
      </c>
      <c r="D1353" s="13">
        <v>4</v>
      </c>
      <c r="E1353" s="14" t="s">
        <v>14229</v>
      </c>
      <c r="F1353" s="7" t="s">
        <v>11535</v>
      </c>
    </row>
    <row r="1354" ht="18" customHeight="1" spans="1:6">
      <c r="A1354" s="13" t="s">
        <v>4390</v>
      </c>
      <c r="B1354" s="13" t="s">
        <v>4465</v>
      </c>
      <c r="C1354" s="13" t="s">
        <v>10738</v>
      </c>
      <c r="D1354" s="13">
        <v>4</v>
      </c>
      <c r="E1354" s="14" t="s">
        <v>14230</v>
      </c>
      <c r="F1354" s="7" t="s">
        <v>11535</v>
      </c>
    </row>
    <row r="1355" ht="18" customHeight="1" spans="1:6">
      <c r="A1355" s="13" t="s">
        <v>4390</v>
      </c>
      <c r="B1355" s="13" t="s">
        <v>4465</v>
      </c>
      <c r="C1355" s="13" t="s">
        <v>14231</v>
      </c>
      <c r="D1355" s="13">
        <v>4</v>
      </c>
      <c r="E1355" s="14" t="s">
        <v>14232</v>
      </c>
      <c r="F1355" s="7" t="s">
        <v>11535</v>
      </c>
    </row>
    <row r="1356" ht="18" customHeight="1" spans="1:6">
      <c r="A1356" s="13" t="s">
        <v>4390</v>
      </c>
      <c r="B1356" s="13" t="s">
        <v>4465</v>
      </c>
      <c r="C1356" s="13" t="s">
        <v>14233</v>
      </c>
      <c r="D1356" s="13">
        <v>5</v>
      </c>
      <c r="E1356" s="14" t="s">
        <v>14234</v>
      </c>
      <c r="F1356" s="7" t="s">
        <v>11535</v>
      </c>
    </row>
    <row r="1357" ht="18" customHeight="1" spans="1:6">
      <c r="A1357" s="13" t="s">
        <v>4390</v>
      </c>
      <c r="B1357" s="13" t="s">
        <v>4465</v>
      </c>
      <c r="C1357" s="13" t="s">
        <v>14235</v>
      </c>
      <c r="D1357" s="13">
        <v>5</v>
      </c>
      <c r="E1357" s="14" t="s">
        <v>14236</v>
      </c>
      <c r="F1357" s="7" t="s">
        <v>11535</v>
      </c>
    </row>
    <row r="1358" ht="18" customHeight="1" spans="1:6">
      <c r="A1358" s="13" t="s">
        <v>4390</v>
      </c>
      <c r="B1358" s="13" t="s">
        <v>4465</v>
      </c>
      <c r="C1358" s="13" t="s">
        <v>14237</v>
      </c>
      <c r="D1358" s="13">
        <v>3</v>
      </c>
      <c r="E1358" s="14" t="s">
        <v>14238</v>
      </c>
      <c r="F1358" s="7" t="s">
        <v>11535</v>
      </c>
    </row>
    <row r="1359" ht="18" customHeight="1" spans="1:6">
      <c r="A1359" s="13" t="s">
        <v>4390</v>
      </c>
      <c r="B1359" s="13" t="s">
        <v>4465</v>
      </c>
      <c r="C1359" s="13" t="s">
        <v>14239</v>
      </c>
      <c r="D1359" s="13">
        <v>5</v>
      </c>
      <c r="E1359" s="14" t="s">
        <v>14240</v>
      </c>
      <c r="F1359" s="7" t="s">
        <v>11535</v>
      </c>
    </row>
    <row r="1360" ht="18" customHeight="1" spans="1:6">
      <c r="A1360" s="13" t="s">
        <v>4390</v>
      </c>
      <c r="B1360" s="13" t="s">
        <v>4482</v>
      </c>
      <c r="C1360" s="5" t="s">
        <v>14241</v>
      </c>
      <c r="D1360" s="5">
        <v>3</v>
      </c>
      <c r="E1360" s="178" t="s">
        <v>14242</v>
      </c>
      <c r="F1360" s="7" t="s">
        <v>11535</v>
      </c>
    </row>
    <row r="1361" ht="18" customHeight="1" spans="1:6">
      <c r="A1361" s="13" t="s">
        <v>4390</v>
      </c>
      <c r="B1361" s="13" t="s">
        <v>4482</v>
      </c>
      <c r="C1361" s="5" t="s">
        <v>14243</v>
      </c>
      <c r="D1361" s="5">
        <v>3</v>
      </c>
      <c r="E1361" s="178" t="s">
        <v>14244</v>
      </c>
      <c r="F1361" s="7" t="s">
        <v>11535</v>
      </c>
    </row>
    <row r="1362" ht="18" customHeight="1" spans="1:6">
      <c r="A1362" s="13" t="s">
        <v>4390</v>
      </c>
      <c r="B1362" s="13" t="s">
        <v>4482</v>
      </c>
      <c r="C1362" s="5" t="s">
        <v>14245</v>
      </c>
      <c r="D1362" s="5">
        <v>4</v>
      </c>
      <c r="E1362" s="178" t="s">
        <v>14246</v>
      </c>
      <c r="F1362" s="7" t="s">
        <v>11535</v>
      </c>
    </row>
    <row r="1363" ht="18" customHeight="1" spans="1:6">
      <c r="A1363" s="13" t="s">
        <v>4390</v>
      </c>
      <c r="B1363" s="13" t="s">
        <v>4482</v>
      </c>
      <c r="C1363" s="5" t="s">
        <v>14247</v>
      </c>
      <c r="D1363" s="5">
        <v>3</v>
      </c>
      <c r="E1363" s="178" t="s">
        <v>14248</v>
      </c>
      <c r="F1363" s="7" t="s">
        <v>11535</v>
      </c>
    </row>
    <row r="1364" ht="18" customHeight="1" spans="1:6">
      <c r="A1364" s="13" t="s">
        <v>4390</v>
      </c>
      <c r="B1364" s="13" t="s">
        <v>4482</v>
      </c>
      <c r="C1364" s="5" t="s">
        <v>14249</v>
      </c>
      <c r="D1364" s="5">
        <v>3</v>
      </c>
      <c r="E1364" s="178" t="s">
        <v>14250</v>
      </c>
      <c r="F1364" s="7" t="s">
        <v>11535</v>
      </c>
    </row>
    <row r="1365" ht="18" customHeight="1" spans="1:6">
      <c r="A1365" s="13" t="s">
        <v>4390</v>
      </c>
      <c r="B1365" s="13" t="s">
        <v>4482</v>
      </c>
      <c r="C1365" s="5" t="s">
        <v>14251</v>
      </c>
      <c r="D1365" s="5">
        <v>3</v>
      </c>
      <c r="E1365" s="178" t="s">
        <v>14252</v>
      </c>
      <c r="F1365" s="7" t="s">
        <v>11535</v>
      </c>
    </row>
    <row r="1366" ht="18" customHeight="1" spans="1:6">
      <c r="A1366" s="13" t="s">
        <v>4390</v>
      </c>
      <c r="B1366" s="13" t="s">
        <v>4482</v>
      </c>
      <c r="C1366" s="5" t="s">
        <v>14253</v>
      </c>
      <c r="D1366" s="5">
        <v>4</v>
      </c>
      <c r="E1366" s="178" t="s">
        <v>14254</v>
      </c>
      <c r="F1366" s="7" t="s">
        <v>11535</v>
      </c>
    </row>
    <row r="1367" ht="18" customHeight="1" spans="1:6">
      <c r="A1367" s="13" t="s">
        <v>4390</v>
      </c>
      <c r="B1367" s="13" t="s">
        <v>4482</v>
      </c>
      <c r="C1367" s="5" t="s">
        <v>14255</v>
      </c>
      <c r="D1367" s="5">
        <v>2</v>
      </c>
      <c r="E1367" s="178" t="s">
        <v>14256</v>
      </c>
      <c r="F1367" s="7" t="s">
        <v>11535</v>
      </c>
    </row>
    <row r="1368" ht="18" customHeight="1" spans="1:6">
      <c r="A1368" s="13" t="s">
        <v>4390</v>
      </c>
      <c r="B1368" s="13" t="s">
        <v>4482</v>
      </c>
      <c r="C1368" s="5" t="s">
        <v>14257</v>
      </c>
      <c r="D1368" s="5">
        <v>4</v>
      </c>
      <c r="E1368" s="178" t="s">
        <v>14258</v>
      </c>
      <c r="F1368" s="7" t="s">
        <v>11535</v>
      </c>
    </row>
    <row r="1369" ht="18" customHeight="1" spans="1:6">
      <c r="A1369" s="13" t="s">
        <v>4390</v>
      </c>
      <c r="B1369" s="13" t="s">
        <v>4482</v>
      </c>
      <c r="C1369" s="5" t="s">
        <v>14259</v>
      </c>
      <c r="D1369" s="5">
        <v>2</v>
      </c>
      <c r="E1369" s="178" t="s">
        <v>14260</v>
      </c>
      <c r="F1369" s="7" t="s">
        <v>11535</v>
      </c>
    </row>
    <row r="1370" ht="18" customHeight="1" spans="1:6">
      <c r="A1370" s="13" t="s">
        <v>4390</v>
      </c>
      <c r="B1370" s="13" t="s">
        <v>4482</v>
      </c>
      <c r="C1370" s="5" t="s">
        <v>14261</v>
      </c>
      <c r="D1370" s="5">
        <v>3</v>
      </c>
      <c r="E1370" s="178" t="s">
        <v>14262</v>
      </c>
      <c r="F1370" s="7" t="s">
        <v>11535</v>
      </c>
    </row>
    <row r="1371" ht="18" customHeight="1" spans="1:6">
      <c r="A1371" s="13" t="s">
        <v>4390</v>
      </c>
      <c r="B1371" s="13" t="s">
        <v>4482</v>
      </c>
      <c r="C1371" s="5" t="s">
        <v>14263</v>
      </c>
      <c r="D1371" s="5">
        <v>3</v>
      </c>
      <c r="E1371" s="178" t="s">
        <v>14264</v>
      </c>
      <c r="F1371" s="7" t="s">
        <v>11535</v>
      </c>
    </row>
    <row r="1372" ht="18" customHeight="1" spans="1:6">
      <c r="A1372" s="13" t="s">
        <v>4390</v>
      </c>
      <c r="B1372" s="13" t="s">
        <v>4482</v>
      </c>
      <c r="C1372" s="5" t="s">
        <v>14265</v>
      </c>
      <c r="D1372" s="5">
        <v>4</v>
      </c>
      <c r="E1372" s="178" t="s">
        <v>14266</v>
      </c>
      <c r="F1372" s="7" t="s">
        <v>11535</v>
      </c>
    </row>
    <row r="1373" ht="18" customHeight="1" spans="1:6">
      <c r="A1373" s="13" t="s">
        <v>4390</v>
      </c>
      <c r="B1373" s="13" t="s">
        <v>4482</v>
      </c>
      <c r="C1373" s="5" t="s">
        <v>14267</v>
      </c>
      <c r="D1373" s="5">
        <v>3</v>
      </c>
      <c r="E1373" s="178" t="s">
        <v>14268</v>
      </c>
      <c r="F1373" s="7" t="s">
        <v>11535</v>
      </c>
    </row>
    <row r="1374" ht="18" customHeight="1" spans="1:6">
      <c r="A1374" s="13" t="s">
        <v>4390</v>
      </c>
      <c r="B1374" s="13" t="s">
        <v>4482</v>
      </c>
      <c r="C1374" s="5" t="s">
        <v>14269</v>
      </c>
      <c r="D1374" s="5">
        <v>1</v>
      </c>
      <c r="E1374" s="178" t="s">
        <v>14270</v>
      </c>
      <c r="F1374" s="7" t="s">
        <v>11535</v>
      </c>
    </row>
    <row r="1375" ht="18" customHeight="1" spans="1:6">
      <c r="A1375" s="13" t="s">
        <v>4390</v>
      </c>
      <c r="B1375" s="13" t="s">
        <v>4482</v>
      </c>
      <c r="C1375" s="5" t="s">
        <v>4493</v>
      </c>
      <c r="D1375" s="5">
        <v>4</v>
      </c>
      <c r="E1375" s="178" t="s">
        <v>4494</v>
      </c>
      <c r="F1375" s="7" t="s">
        <v>11535</v>
      </c>
    </row>
    <row r="1376" ht="18" customHeight="1" spans="1:6">
      <c r="A1376" s="13" t="s">
        <v>4390</v>
      </c>
      <c r="B1376" s="13" t="s">
        <v>4482</v>
      </c>
      <c r="C1376" s="5" t="s">
        <v>14271</v>
      </c>
      <c r="D1376" s="5">
        <v>4</v>
      </c>
      <c r="E1376" s="178" t="s">
        <v>14272</v>
      </c>
      <c r="F1376" s="7" t="s">
        <v>11535</v>
      </c>
    </row>
    <row r="1377" ht="18" customHeight="1" spans="1:6">
      <c r="A1377" s="13" t="s">
        <v>4390</v>
      </c>
      <c r="B1377" s="13" t="s">
        <v>4482</v>
      </c>
      <c r="C1377" s="5" t="s">
        <v>14273</v>
      </c>
      <c r="D1377" s="5">
        <v>4</v>
      </c>
      <c r="E1377" s="178" t="s">
        <v>14274</v>
      </c>
      <c r="F1377" s="7" t="s">
        <v>11535</v>
      </c>
    </row>
    <row r="1378" ht="18" customHeight="1" spans="1:6">
      <c r="A1378" s="13" t="s">
        <v>4390</v>
      </c>
      <c r="B1378" s="13" t="s">
        <v>4482</v>
      </c>
      <c r="C1378" s="5" t="s">
        <v>7650</v>
      </c>
      <c r="D1378" s="5">
        <v>5</v>
      </c>
      <c r="E1378" s="178" t="s">
        <v>14275</v>
      </c>
      <c r="F1378" s="7" t="s">
        <v>11535</v>
      </c>
    </row>
    <row r="1379" ht="18" customHeight="1" spans="1:6">
      <c r="A1379" s="13" t="s">
        <v>4390</v>
      </c>
      <c r="B1379" s="13" t="s">
        <v>4482</v>
      </c>
      <c r="C1379" s="5" t="s">
        <v>14276</v>
      </c>
      <c r="D1379" s="5">
        <v>2</v>
      </c>
      <c r="E1379" s="178" t="s">
        <v>14277</v>
      </c>
      <c r="F1379" s="7" t="s">
        <v>11535</v>
      </c>
    </row>
    <row r="1380" ht="18" customHeight="1" spans="1:6">
      <c r="A1380" s="13" t="s">
        <v>4390</v>
      </c>
      <c r="B1380" s="13" t="s">
        <v>4482</v>
      </c>
      <c r="C1380" s="5" t="s">
        <v>14278</v>
      </c>
      <c r="D1380" s="5">
        <v>5</v>
      </c>
      <c r="E1380" s="5" t="s">
        <v>14279</v>
      </c>
      <c r="F1380" s="7" t="s">
        <v>11535</v>
      </c>
    </row>
    <row r="1381" ht="18" customHeight="1" spans="1:6">
      <c r="A1381" s="13" t="s">
        <v>4390</v>
      </c>
      <c r="B1381" s="13" t="s">
        <v>4482</v>
      </c>
      <c r="C1381" s="5" t="s">
        <v>14280</v>
      </c>
      <c r="D1381" s="5">
        <v>5</v>
      </c>
      <c r="E1381" s="178" t="s">
        <v>14281</v>
      </c>
      <c r="F1381" s="7" t="s">
        <v>11535</v>
      </c>
    </row>
    <row r="1382" ht="18" customHeight="1" spans="1:6">
      <c r="A1382" s="13" t="s">
        <v>4390</v>
      </c>
      <c r="B1382" s="13" t="s">
        <v>4482</v>
      </c>
      <c r="C1382" s="5" t="s">
        <v>14282</v>
      </c>
      <c r="D1382" s="5">
        <v>3</v>
      </c>
      <c r="E1382" s="178" t="s">
        <v>14283</v>
      </c>
      <c r="F1382" s="7" t="s">
        <v>11535</v>
      </c>
    </row>
    <row r="1383" ht="18" customHeight="1" spans="1:6">
      <c r="A1383" s="13" t="s">
        <v>4390</v>
      </c>
      <c r="B1383" s="13" t="s">
        <v>4482</v>
      </c>
      <c r="C1383" s="5" t="s">
        <v>14284</v>
      </c>
      <c r="D1383" s="5">
        <v>3</v>
      </c>
      <c r="E1383" s="178" t="s">
        <v>14285</v>
      </c>
      <c r="F1383" s="7" t="s">
        <v>11535</v>
      </c>
    </row>
    <row r="1384" ht="18" customHeight="1" spans="1:6">
      <c r="A1384" s="13" t="s">
        <v>4390</v>
      </c>
      <c r="B1384" s="13" t="s">
        <v>4482</v>
      </c>
      <c r="C1384" s="5" t="s">
        <v>11842</v>
      </c>
      <c r="D1384" s="5">
        <v>5</v>
      </c>
      <c r="E1384" s="178" t="s">
        <v>14286</v>
      </c>
      <c r="F1384" s="7" t="s">
        <v>11535</v>
      </c>
    </row>
    <row r="1385" ht="18" customHeight="1" spans="1:6">
      <c r="A1385" s="13" t="s">
        <v>4390</v>
      </c>
      <c r="B1385" s="13" t="s">
        <v>4482</v>
      </c>
      <c r="C1385" s="5" t="s">
        <v>14287</v>
      </c>
      <c r="D1385" s="5">
        <v>1</v>
      </c>
      <c r="E1385" s="5" t="s">
        <v>14288</v>
      </c>
      <c r="F1385" s="7" t="s">
        <v>11535</v>
      </c>
    </row>
    <row r="1386" ht="18" customHeight="1" spans="1:6">
      <c r="A1386" s="13" t="s">
        <v>4390</v>
      </c>
      <c r="B1386" s="13" t="s">
        <v>4482</v>
      </c>
      <c r="C1386" s="5" t="s">
        <v>14289</v>
      </c>
      <c r="D1386" s="5">
        <v>5</v>
      </c>
      <c r="E1386" s="178" t="s">
        <v>14290</v>
      </c>
      <c r="F1386" s="7" t="s">
        <v>11535</v>
      </c>
    </row>
    <row r="1387" ht="18" customHeight="1" spans="1:6">
      <c r="A1387" s="13" t="s">
        <v>4390</v>
      </c>
      <c r="B1387" s="13" t="s">
        <v>4482</v>
      </c>
      <c r="C1387" s="5" t="s">
        <v>14291</v>
      </c>
      <c r="D1387" s="5">
        <v>3</v>
      </c>
      <c r="E1387" s="178" t="s">
        <v>14292</v>
      </c>
      <c r="F1387" s="7" t="s">
        <v>11535</v>
      </c>
    </row>
    <row r="1388" ht="18" customHeight="1" spans="1:6">
      <c r="A1388" s="13" t="s">
        <v>4390</v>
      </c>
      <c r="B1388" s="13" t="s">
        <v>4482</v>
      </c>
      <c r="C1388" s="5" t="s">
        <v>14293</v>
      </c>
      <c r="D1388" s="5">
        <v>2</v>
      </c>
      <c r="E1388" s="178" t="s">
        <v>14294</v>
      </c>
      <c r="F1388" s="7" t="s">
        <v>11535</v>
      </c>
    </row>
    <row r="1389" ht="18" customHeight="1" spans="1:6">
      <c r="A1389" s="13" t="s">
        <v>4390</v>
      </c>
      <c r="B1389" s="13" t="s">
        <v>4482</v>
      </c>
      <c r="C1389" s="5" t="s">
        <v>14295</v>
      </c>
      <c r="D1389" s="5">
        <v>2</v>
      </c>
      <c r="E1389" s="178" t="s">
        <v>14296</v>
      </c>
      <c r="F1389" s="7" t="s">
        <v>11535</v>
      </c>
    </row>
    <row r="1390" ht="18" customHeight="1" spans="1:6">
      <c r="A1390" s="13" t="s">
        <v>4390</v>
      </c>
      <c r="B1390" s="13" t="s">
        <v>4482</v>
      </c>
      <c r="C1390" s="5" t="s">
        <v>14297</v>
      </c>
      <c r="D1390" s="5">
        <v>3</v>
      </c>
      <c r="E1390" s="178" t="s">
        <v>14298</v>
      </c>
      <c r="F1390" s="7" t="s">
        <v>11535</v>
      </c>
    </row>
    <row r="1391" ht="18" customHeight="1" spans="1:6">
      <c r="A1391" s="13" t="s">
        <v>4390</v>
      </c>
      <c r="B1391" s="13" t="s">
        <v>4482</v>
      </c>
      <c r="C1391" s="5" t="s">
        <v>14299</v>
      </c>
      <c r="D1391" s="5">
        <v>1</v>
      </c>
      <c r="E1391" s="5" t="s">
        <v>14300</v>
      </c>
      <c r="F1391" s="7" t="s">
        <v>11535</v>
      </c>
    </row>
    <row r="1392" ht="18" customHeight="1" spans="1:6">
      <c r="A1392" s="13" t="s">
        <v>4390</v>
      </c>
      <c r="B1392" s="13" t="s">
        <v>4482</v>
      </c>
      <c r="C1392" s="5" t="s">
        <v>14301</v>
      </c>
      <c r="D1392" s="5">
        <v>2</v>
      </c>
      <c r="E1392" s="10" t="s">
        <v>14302</v>
      </c>
      <c r="F1392" s="7" t="s">
        <v>11535</v>
      </c>
    </row>
    <row r="1393" ht="18" customHeight="1" spans="1:6">
      <c r="A1393" s="13" t="s">
        <v>4390</v>
      </c>
      <c r="B1393" s="13" t="s">
        <v>4482</v>
      </c>
      <c r="C1393" s="5" t="s">
        <v>14303</v>
      </c>
      <c r="D1393" s="5">
        <v>3</v>
      </c>
      <c r="E1393" s="178" t="s">
        <v>14304</v>
      </c>
      <c r="F1393" s="7" t="s">
        <v>11535</v>
      </c>
    </row>
    <row r="1394" ht="18" customHeight="1" spans="1:6">
      <c r="A1394" s="13" t="s">
        <v>4390</v>
      </c>
      <c r="B1394" s="13" t="s">
        <v>4482</v>
      </c>
      <c r="C1394" s="5" t="s">
        <v>14305</v>
      </c>
      <c r="D1394" s="5">
        <v>4</v>
      </c>
      <c r="E1394" s="178" t="s">
        <v>14306</v>
      </c>
      <c r="F1394" s="7" t="s">
        <v>11535</v>
      </c>
    </row>
    <row r="1395" ht="18" customHeight="1" spans="1:6">
      <c r="A1395" s="13" t="s">
        <v>4390</v>
      </c>
      <c r="B1395" s="13" t="s">
        <v>4482</v>
      </c>
      <c r="C1395" s="5" t="s">
        <v>14307</v>
      </c>
      <c r="D1395" s="5">
        <v>2</v>
      </c>
      <c r="E1395" s="178" t="s">
        <v>14308</v>
      </c>
      <c r="F1395" s="7" t="s">
        <v>11535</v>
      </c>
    </row>
    <row r="1396" ht="18" customHeight="1" spans="1:6">
      <c r="A1396" s="13" t="s">
        <v>4390</v>
      </c>
      <c r="B1396" s="13" t="s">
        <v>4482</v>
      </c>
      <c r="C1396" s="5" t="s">
        <v>14309</v>
      </c>
      <c r="D1396" s="5">
        <v>3</v>
      </c>
      <c r="E1396" s="178" t="s">
        <v>14310</v>
      </c>
      <c r="F1396" s="7" t="s">
        <v>11535</v>
      </c>
    </row>
    <row r="1397" ht="18" customHeight="1" spans="1:6">
      <c r="A1397" s="13" t="s">
        <v>4390</v>
      </c>
      <c r="B1397" s="13" t="s">
        <v>4482</v>
      </c>
      <c r="C1397" s="5" t="s">
        <v>14311</v>
      </c>
      <c r="D1397" s="5">
        <v>2</v>
      </c>
      <c r="E1397" s="178" t="s">
        <v>14312</v>
      </c>
      <c r="F1397" s="7" t="s">
        <v>11535</v>
      </c>
    </row>
    <row r="1398" ht="18" customHeight="1" spans="1:6">
      <c r="A1398" s="13" t="s">
        <v>4390</v>
      </c>
      <c r="B1398" s="13" t="s">
        <v>4482</v>
      </c>
      <c r="C1398" s="5" t="s">
        <v>14303</v>
      </c>
      <c r="D1398" s="5">
        <v>3</v>
      </c>
      <c r="E1398" s="178" t="s">
        <v>14304</v>
      </c>
      <c r="F1398" s="7" t="s">
        <v>11535</v>
      </c>
    </row>
    <row r="1399" ht="18" customHeight="1" spans="1:6">
      <c r="A1399" s="13" t="s">
        <v>4390</v>
      </c>
      <c r="B1399" s="13" t="s">
        <v>4482</v>
      </c>
      <c r="C1399" s="5" t="s">
        <v>14313</v>
      </c>
      <c r="D1399" s="5">
        <v>2</v>
      </c>
      <c r="E1399" s="178" t="s">
        <v>14314</v>
      </c>
      <c r="F1399" s="7" t="s">
        <v>11535</v>
      </c>
    </row>
    <row r="1400" ht="18" customHeight="1" spans="1:6">
      <c r="A1400" s="13" t="s">
        <v>4390</v>
      </c>
      <c r="B1400" s="13" t="s">
        <v>4497</v>
      </c>
      <c r="C1400" s="13" t="s">
        <v>14315</v>
      </c>
      <c r="D1400" s="13">
        <v>1</v>
      </c>
      <c r="E1400" s="14" t="s">
        <v>14316</v>
      </c>
      <c r="F1400" s="7" t="s">
        <v>11535</v>
      </c>
    </row>
    <row r="1401" ht="18" customHeight="1" spans="1:6">
      <c r="A1401" s="13" t="s">
        <v>4390</v>
      </c>
      <c r="B1401" s="13" t="s">
        <v>4497</v>
      </c>
      <c r="C1401" s="13" t="s">
        <v>14317</v>
      </c>
      <c r="D1401" s="13">
        <v>4</v>
      </c>
      <c r="E1401" s="14" t="s">
        <v>14318</v>
      </c>
      <c r="F1401" s="7" t="s">
        <v>11535</v>
      </c>
    </row>
    <row r="1402" ht="18" customHeight="1" spans="1:6">
      <c r="A1402" s="13" t="s">
        <v>4390</v>
      </c>
      <c r="B1402" s="13" t="s">
        <v>4497</v>
      </c>
      <c r="C1402" s="13" t="s">
        <v>4502</v>
      </c>
      <c r="D1402" s="13">
        <v>3</v>
      </c>
      <c r="E1402" s="40" t="s">
        <v>14319</v>
      </c>
      <c r="F1402" s="7" t="s">
        <v>11535</v>
      </c>
    </row>
    <row r="1403" ht="18" customHeight="1" spans="1:6">
      <c r="A1403" s="13" t="s">
        <v>4390</v>
      </c>
      <c r="B1403" s="13" t="s">
        <v>4497</v>
      </c>
      <c r="C1403" s="13" t="s">
        <v>14320</v>
      </c>
      <c r="D1403" s="13">
        <v>5</v>
      </c>
      <c r="E1403" s="40" t="s">
        <v>14321</v>
      </c>
      <c r="F1403" s="7" t="s">
        <v>11535</v>
      </c>
    </row>
    <row r="1404" ht="18" customHeight="1" spans="1:6">
      <c r="A1404" s="13" t="s">
        <v>4390</v>
      </c>
      <c r="B1404" s="13" t="s">
        <v>4497</v>
      </c>
      <c r="C1404" s="13" t="s">
        <v>14322</v>
      </c>
      <c r="D1404" s="13">
        <v>5</v>
      </c>
      <c r="E1404" s="40" t="s">
        <v>14323</v>
      </c>
      <c r="F1404" s="7" t="s">
        <v>11535</v>
      </c>
    </row>
    <row r="1405" ht="18" customHeight="1" spans="1:6">
      <c r="A1405" s="13" t="s">
        <v>4390</v>
      </c>
      <c r="B1405" s="13" t="s">
        <v>4497</v>
      </c>
      <c r="C1405" s="13" t="s">
        <v>14324</v>
      </c>
      <c r="D1405" s="13">
        <v>4</v>
      </c>
      <c r="E1405" s="40" t="s">
        <v>14325</v>
      </c>
      <c r="F1405" s="7" t="s">
        <v>11535</v>
      </c>
    </row>
    <row r="1406" ht="18" customHeight="1" spans="1:6">
      <c r="A1406" s="13" t="s">
        <v>4390</v>
      </c>
      <c r="B1406" s="13" t="s">
        <v>4497</v>
      </c>
      <c r="C1406" s="13" t="s">
        <v>14326</v>
      </c>
      <c r="D1406" s="13">
        <v>2</v>
      </c>
      <c r="E1406" s="40" t="s">
        <v>14327</v>
      </c>
      <c r="F1406" s="7" t="s">
        <v>11535</v>
      </c>
    </row>
    <row r="1407" ht="18" customHeight="1" spans="1:6">
      <c r="A1407" s="13" t="s">
        <v>4390</v>
      </c>
      <c r="B1407" s="13" t="s">
        <v>4497</v>
      </c>
      <c r="C1407" s="13" t="s">
        <v>14328</v>
      </c>
      <c r="D1407" s="13">
        <v>5</v>
      </c>
      <c r="E1407" s="40" t="s">
        <v>14329</v>
      </c>
      <c r="F1407" s="7" t="s">
        <v>11535</v>
      </c>
    </row>
    <row r="1408" ht="18" customHeight="1" spans="1:6">
      <c r="A1408" s="13" t="s">
        <v>4390</v>
      </c>
      <c r="B1408" s="13" t="s">
        <v>4497</v>
      </c>
      <c r="C1408" s="13" t="s">
        <v>14330</v>
      </c>
      <c r="D1408" s="13">
        <v>4</v>
      </c>
      <c r="E1408" s="40" t="s">
        <v>14331</v>
      </c>
      <c r="F1408" s="7" t="s">
        <v>11535</v>
      </c>
    </row>
    <row r="1409" ht="18" customHeight="1" spans="1:6">
      <c r="A1409" s="13" t="s">
        <v>4390</v>
      </c>
      <c r="B1409" s="13" t="s">
        <v>4497</v>
      </c>
      <c r="C1409" s="13" t="s">
        <v>14332</v>
      </c>
      <c r="D1409" s="13">
        <v>6</v>
      </c>
      <c r="E1409" s="40" t="s">
        <v>14333</v>
      </c>
      <c r="F1409" s="7" t="s">
        <v>11535</v>
      </c>
    </row>
    <row r="1410" ht="18" customHeight="1" spans="1:6">
      <c r="A1410" s="13" t="s">
        <v>4390</v>
      </c>
      <c r="B1410" s="13" t="s">
        <v>4497</v>
      </c>
      <c r="C1410" s="13" t="s">
        <v>14334</v>
      </c>
      <c r="D1410" s="13">
        <v>6</v>
      </c>
      <c r="E1410" s="40" t="s">
        <v>14335</v>
      </c>
      <c r="F1410" s="7" t="s">
        <v>11535</v>
      </c>
    </row>
    <row r="1411" ht="18" customHeight="1" spans="1:6">
      <c r="A1411" s="13" t="s">
        <v>4390</v>
      </c>
      <c r="B1411" s="13" t="s">
        <v>4455</v>
      </c>
      <c r="C1411" s="13" t="s">
        <v>14336</v>
      </c>
      <c r="D1411" s="13">
        <v>2</v>
      </c>
      <c r="E1411" s="14" t="s">
        <v>14337</v>
      </c>
      <c r="F1411" s="7" t="s">
        <v>11535</v>
      </c>
    </row>
    <row r="1412" ht="18" customHeight="1" spans="1:6">
      <c r="A1412" s="13" t="s">
        <v>4390</v>
      </c>
      <c r="B1412" s="13" t="s">
        <v>4455</v>
      </c>
      <c r="C1412" s="13" t="s">
        <v>14338</v>
      </c>
      <c r="D1412" s="13">
        <v>3</v>
      </c>
      <c r="E1412" s="14" t="s">
        <v>14339</v>
      </c>
      <c r="F1412" s="7" t="s">
        <v>11535</v>
      </c>
    </row>
    <row r="1413" ht="18" customHeight="1" spans="1:6">
      <c r="A1413" s="13" t="s">
        <v>4390</v>
      </c>
      <c r="B1413" s="13" t="s">
        <v>4455</v>
      </c>
      <c r="C1413" s="13" t="s">
        <v>14340</v>
      </c>
      <c r="D1413" s="13">
        <v>1</v>
      </c>
      <c r="E1413" s="179" t="s">
        <v>14341</v>
      </c>
      <c r="F1413" s="7" t="s">
        <v>11535</v>
      </c>
    </row>
    <row r="1414" ht="18" customHeight="1" spans="1:6">
      <c r="A1414" s="13" t="s">
        <v>4390</v>
      </c>
      <c r="B1414" s="13" t="s">
        <v>4455</v>
      </c>
      <c r="C1414" s="13" t="s">
        <v>14342</v>
      </c>
      <c r="D1414" s="13">
        <v>1</v>
      </c>
      <c r="E1414" s="14" t="s">
        <v>14343</v>
      </c>
      <c r="F1414" s="7" t="s">
        <v>11535</v>
      </c>
    </row>
    <row r="1415" ht="18" customHeight="1" spans="1:6">
      <c r="A1415" s="13" t="s">
        <v>4390</v>
      </c>
      <c r="B1415" s="13" t="s">
        <v>4455</v>
      </c>
      <c r="C1415" s="13" t="s">
        <v>14344</v>
      </c>
      <c r="D1415" s="13">
        <v>3</v>
      </c>
      <c r="E1415" s="14" t="s">
        <v>14345</v>
      </c>
      <c r="F1415" s="7" t="s">
        <v>11535</v>
      </c>
    </row>
    <row r="1416" ht="18" customHeight="1" spans="1:6">
      <c r="A1416" s="13" t="s">
        <v>4390</v>
      </c>
      <c r="B1416" s="13" t="s">
        <v>4455</v>
      </c>
      <c r="C1416" s="13" t="s">
        <v>14346</v>
      </c>
      <c r="D1416" s="13">
        <v>1</v>
      </c>
      <c r="E1416" s="14" t="s">
        <v>14347</v>
      </c>
      <c r="F1416" s="7" t="s">
        <v>11535</v>
      </c>
    </row>
    <row r="1417" ht="18" customHeight="1" spans="1:6">
      <c r="A1417" s="13" t="s">
        <v>4390</v>
      </c>
      <c r="B1417" s="13" t="s">
        <v>4455</v>
      </c>
      <c r="C1417" s="13" t="s">
        <v>11650</v>
      </c>
      <c r="D1417" s="13">
        <v>2</v>
      </c>
      <c r="E1417" s="10" t="s">
        <v>14348</v>
      </c>
      <c r="F1417" s="7" t="s">
        <v>11535</v>
      </c>
    </row>
    <row r="1418" ht="18" customHeight="1" spans="1:6">
      <c r="A1418" s="13" t="s">
        <v>4390</v>
      </c>
      <c r="B1418" s="13" t="s">
        <v>4455</v>
      </c>
      <c r="C1418" s="13" t="s">
        <v>14349</v>
      </c>
      <c r="D1418" s="13">
        <v>4</v>
      </c>
      <c r="E1418" s="10" t="s">
        <v>14350</v>
      </c>
      <c r="F1418" s="7" t="s">
        <v>11535</v>
      </c>
    </row>
    <row r="1419" ht="18" customHeight="1" spans="1:6">
      <c r="A1419" s="13" t="s">
        <v>4390</v>
      </c>
      <c r="B1419" s="13" t="s">
        <v>4455</v>
      </c>
      <c r="C1419" s="13" t="s">
        <v>14351</v>
      </c>
      <c r="D1419" s="13">
        <v>1</v>
      </c>
      <c r="E1419" s="10" t="s">
        <v>14352</v>
      </c>
      <c r="F1419" s="7" t="s">
        <v>11535</v>
      </c>
    </row>
    <row r="1420" ht="18" customHeight="1" spans="1:6">
      <c r="A1420" s="13" t="s">
        <v>4390</v>
      </c>
      <c r="B1420" s="13" t="s">
        <v>4455</v>
      </c>
      <c r="C1420" s="13" t="s">
        <v>14353</v>
      </c>
      <c r="D1420" s="13">
        <v>1</v>
      </c>
      <c r="E1420" s="10" t="s">
        <v>14354</v>
      </c>
      <c r="F1420" s="7" t="s">
        <v>11535</v>
      </c>
    </row>
    <row r="1421" ht="18" customHeight="1" spans="1:6">
      <c r="A1421" s="13" t="s">
        <v>4390</v>
      </c>
      <c r="B1421" s="13" t="s">
        <v>4455</v>
      </c>
      <c r="C1421" s="13" t="s">
        <v>14355</v>
      </c>
      <c r="D1421" s="13">
        <v>2</v>
      </c>
      <c r="E1421" s="10" t="s">
        <v>14356</v>
      </c>
      <c r="F1421" s="7" t="s">
        <v>11535</v>
      </c>
    </row>
    <row r="1422" ht="18" customHeight="1" spans="1:6">
      <c r="A1422" s="13" t="s">
        <v>4390</v>
      </c>
      <c r="B1422" s="13" t="s">
        <v>4455</v>
      </c>
      <c r="C1422" s="13" t="s">
        <v>14357</v>
      </c>
      <c r="D1422" s="13">
        <v>4</v>
      </c>
      <c r="E1422" s="10" t="s">
        <v>14358</v>
      </c>
      <c r="F1422" s="7" t="s">
        <v>11535</v>
      </c>
    </row>
    <row r="1423" ht="18" customHeight="1" spans="1:6">
      <c r="A1423" s="13" t="s">
        <v>4390</v>
      </c>
      <c r="B1423" s="13" t="s">
        <v>4455</v>
      </c>
      <c r="C1423" s="6" t="s">
        <v>14359</v>
      </c>
      <c r="D1423" s="13">
        <v>4</v>
      </c>
      <c r="E1423" s="10" t="s">
        <v>14360</v>
      </c>
      <c r="F1423" s="7" t="s">
        <v>11535</v>
      </c>
    </row>
    <row r="1424" ht="18" customHeight="1" spans="1:6">
      <c r="A1424" s="13" t="s">
        <v>4390</v>
      </c>
      <c r="B1424" s="13" t="s">
        <v>4455</v>
      </c>
      <c r="C1424" s="13" t="s">
        <v>14361</v>
      </c>
      <c r="D1424" s="13">
        <v>2</v>
      </c>
      <c r="E1424" s="10" t="s">
        <v>14362</v>
      </c>
      <c r="F1424" s="7" t="s">
        <v>11535</v>
      </c>
    </row>
    <row r="1425" ht="18" customHeight="1" spans="1:6">
      <c r="A1425" s="13" t="s">
        <v>4390</v>
      </c>
      <c r="B1425" s="13" t="s">
        <v>4455</v>
      </c>
      <c r="C1425" s="6" t="s">
        <v>14363</v>
      </c>
      <c r="D1425" s="13">
        <v>2</v>
      </c>
      <c r="E1425" s="187" t="s">
        <v>14364</v>
      </c>
      <c r="F1425" s="7" t="s">
        <v>11535</v>
      </c>
    </row>
    <row r="1426" ht="18" customHeight="1" spans="1:6">
      <c r="A1426" s="13" t="s">
        <v>4390</v>
      </c>
      <c r="B1426" s="13" t="s">
        <v>4455</v>
      </c>
      <c r="C1426" s="6" t="s">
        <v>14365</v>
      </c>
      <c r="D1426" s="13">
        <v>3</v>
      </c>
      <c r="E1426" s="10" t="s">
        <v>14366</v>
      </c>
      <c r="F1426" s="7" t="s">
        <v>11535</v>
      </c>
    </row>
    <row r="1427" ht="18" customHeight="1" spans="1:6">
      <c r="A1427" s="13" t="s">
        <v>4390</v>
      </c>
      <c r="B1427" s="13" t="s">
        <v>4455</v>
      </c>
      <c r="C1427" s="6" t="s">
        <v>14367</v>
      </c>
      <c r="D1427" s="13">
        <v>2</v>
      </c>
      <c r="E1427" s="10" t="s">
        <v>14368</v>
      </c>
      <c r="F1427" s="7" t="s">
        <v>11535</v>
      </c>
    </row>
    <row r="1428" ht="18" customHeight="1" spans="1:6">
      <c r="A1428" s="13" t="s">
        <v>4390</v>
      </c>
      <c r="B1428" s="13" t="s">
        <v>4455</v>
      </c>
      <c r="C1428" s="6" t="s">
        <v>14369</v>
      </c>
      <c r="D1428" s="13">
        <v>7</v>
      </c>
      <c r="E1428" s="10" t="s">
        <v>14370</v>
      </c>
      <c r="F1428" s="7" t="s">
        <v>11535</v>
      </c>
    </row>
    <row r="1429" ht="18" customHeight="1" spans="1:6">
      <c r="A1429" s="13" t="s">
        <v>4390</v>
      </c>
      <c r="B1429" s="13" t="s">
        <v>4514</v>
      </c>
      <c r="C1429" s="13" t="s">
        <v>14371</v>
      </c>
      <c r="D1429" s="13">
        <v>1</v>
      </c>
      <c r="E1429" s="14" t="s">
        <v>14372</v>
      </c>
      <c r="F1429" s="7" t="s">
        <v>11535</v>
      </c>
    </row>
    <row r="1430" ht="18" customHeight="1" spans="1:6">
      <c r="A1430" s="13" t="s">
        <v>4390</v>
      </c>
      <c r="B1430" s="13" t="s">
        <v>4514</v>
      </c>
      <c r="C1430" s="13" t="s">
        <v>14373</v>
      </c>
      <c r="D1430" s="13">
        <v>1</v>
      </c>
      <c r="E1430" s="14" t="s">
        <v>14374</v>
      </c>
      <c r="F1430" s="7" t="s">
        <v>11535</v>
      </c>
    </row>
    <row r="1431" ht="18" customHeight="1" spans="1:6">
      <c r="A1431" s="13" t="s">
        <v>4390</v>
      </c>
      <c r="B1431" s="13" t="s">
        <v>4514</v>
      </c>
      <c r="C1431" s="13" t="s">
        <v>14375</v>
      </c>
      <c r="D1431" s="13">
        <v>1</v>
      </c>
      <c r="E1431" s="14" t="s">
        <v>14376</v>
      </c>
      <c r="F1431" s="7" t="s">
        <v>11535</v>
      </c>
    </row>
    <row r="1432" ht="18" customHeight="1" spans="1:6">
      <c r="A1432" s="13" t="s">
        <v>4390</v>
      </c>
      <c r="B1432" s="13" t="s">
        <v>4514</v>
      </c>
      <c r="C1432" s="13" t="s">
        <v>14377</v>
      </c>
      <c r="D1432" s="13">
        <v>1</v>
      </c>
      <c r="E1432" s="14" t="s">
        <v>14378</v>
      </c>
      <c r="F1432" s="7" t="s">
        <v>11535</v>
      </c>
    </row>
    <row r="1433" ht="18" customHeight="1" spans="1:6">
      <c r="A1433" s="13" t="s">
        <v>4390</v>
      </c>
      <c r="B1433" s="13" t="s">
        <v>4514</v>
      </c>
      <c r="C1433" s="13" t="s">
        <v>14379</v>
      </c>
      <c r="D1433" s="13">
        <v>3</v>
      </c>
      <c r="E1433" s="14" t="s">
        <v>14380</v>
      </c>
      <c r="F1433" s="7" t="s">
        <v>11535</v>
      </c>
    </row>
    <row r="1434" ht="18" customHeight="1" spans="1:6">
      <c r="A1434" s="13" t="s">
        <v>4390</v>
      </c>
      <c r="B1434" s="13" t="s">
        <v>4514</v>
      </c>
      <c r="C1434" s="13" t="s">
        <v>14381</v>
      </c>
      <c r="D1434" s="13">
        <v>1</v>
      </c>
      <c r="E1434" s="14" t="s">
        <v>14382</v>
      </c>
      <c r="F1434" s="7" t="s">
        <v>11535</v>
      </c>
    </row>
    <row r="1435" ht="18" customHeight="1" spans="1:6">
      <c r="A1435" s="13" t="s">
        <v>4873</v>
      </c>
      <c r="B1435" s="13"/>
      <c r="C1435" s="13">
        <v>118</v>
      </c>
      <c r="D1435" s="13">
        <f>SUM(D1317:D1434)</f>
        <v>356</v>
      </c>
      <c r="E1435" s="13"/>
      <c r="F1435" s="5"/>
    </row>
    <row r="1436" ht="18" customHeight="1" spans="1:6">
      <c r="A1436" s="13" t="s">
        <v>4874</v>
      </c>
      <c r="B1436" s="13" t="s">
        <v>4925</v>
      </c>
      <c r="C1436" s="41" t="s">
        <v>14383</v>
      </c>
      <c r="D1436" s="13">
        <v>3</v>
      </c>
      <c r="E1436" s="8" t="s">
        <v>14384</v>
      </c>
      <c r="F1436" s="7" t="s">
        <v>11535</v>
      </c>
    </row>
    <row r="1437" ht="18" customHeight="1" spans="1:6">
      <c r="A1437" s="13" t="s">
        <v>4874</v>
      </c>
      <c r="B1437" s="13" t="s">
        <v>4925</v>
      </c>
      <c r="C1437" s="41" t="s">
        <v>14385</v>
      </c>
      <c r="D1437" s="13">
        <v>2</v>
      </c>
      <c r="E1437" s="8" t="s">
        <v>14386</v>
      </c>
      <c r="F1437" s="7" t="s">
        <v>11535</v>
      </c>
    </row>
    <row r="1438" ht="18" customHeight="1" spans="1:6">
      <c r="A1438" s="13" t="s">
        <v>4874</v>
      </c>
      <c r="B1438" s="13" t="s">
        <v>4925</v>
      </c>
      <c r="C1438" s="41" t="s">
        <v>14387</v>
      </c>
      <c r="D1438" s="13">
        <v>1</v>
      </c>
      <c r="E1438" s="8" t="s">
        <v>14388</v>
      </c>
      <c r="F1438" s="7" t="s">
        <v>11535</v>
      </c>
    </row>
    <row r="1439" ht="18" customHeight="1" spans="1:6">
      <c r="A1439" s="13" t="s">
        <v>4874</v>
      </c>
      <c r="B1439" s="13" t="s">
        <v>4925</v>
      </c>
      <c r="C1439" s="42" t="s">
        <v>14389</v>
      </c>
      <c r="D1439" s="13">
        <v>3</v>
      </c>
      <c r="E1439" s="8" t="s">
        <v>14390</v>
      </c>
      <c r="F1439" s="7" t="s">
        <v>11535</v>
      </c>
    </row>
    <row r="1440" ht="18" customHeight="1" spans="1:6">
      <c r="A1440" s="13" t="s">
        <v>4874</v>
      </c>
      <c r="B1440" s="13" t="s">
        <v>4925</v>
      </c>
      <c r="C1440" s="42" t="s">
        <v>14391</v>
      </c>
      <c r="D1440" s="13">
        <v>5</v>
      </c>
      <c r="E1440" s="8" t="s">
        <v>14392</v>
      </c>
      <c r="F1440" s="7" t="s">
        <v>11535</v>
      </c>
    </row>
    <row r="1441" ht="18" customHeight="1" spans="1:6">
      <c r="A1441" s="13" t="s">
        <v>4874</v>
      </c>
      <c r="B1441" s="13" t="s">
        <v>4925</v>
      </c>
      <c r="C1441" s="43" t="s">
        <v>14393</v>
      </c>
      <c r="D1441" s="13">
        <v>2</v>
      </c>
      <c r="E1441" s="194" t="s">
        <v>14394</v>
      </c>
      <c r="F1441" s="7" t="s">
        <v>11535</v>
      </c>
    </row>
    <row r="1442" ht="18" customHeight="1" spans="1:6">
      <c r="A1442" s="13" t="s">
        <v>4874</v>
      </c>
      <c r="B1442" s="13" t="s">
        <v>4925</v>
      </c>
      <c r="C1442" s="44" t="s">
        <v>14395</v>
      </c>
      <c r="D1442" s="13">
        <v>4</v>
      </c>
      <c r="E1442" s="8" t="s">
        <v>14396</v>
      </c>
      <c r="F1442" s="7" t="s">
        <v>11535</v>
      </c>
    </row>
    <row r="1443" ht="18" customHeight="1" spans="1:6">
      <c r="A1443" s="13" t="s">
        <v>4874</v>
      </c>
      <c r="B1443" s="13" t="s">
        <v>4925</v>
      </c>
      <c r="C1443" s="44" t="s">
        <v>14397</v>
      </c>
      <c r="D1443" s="13">
        <v>1</v>
      </c>
      <c r="E1443" s="8" t="s">
        <v>14398</v>
      </c>
      <c r="F1443" s="7" t="s">
        <v>11535</v>
      </c>
    </row>
    <row r="1444" ht="18" customHeight="1" spans="1:6">
      <c r="A1444" s="13" t="s">
        <v>4874</v>
      </c>
      <c r="B1444" s="13" t="s">
        <v>4925</v>
      </c>
      <c r="C1444" s="44" t="s">
        <v>4313</v>
      </c>
      <c r="D1444" s="13">
        <v>2</v>
      </c>
      <c r="E1444" s="8" t="s">
        <v>14399</v>
      </c>
      <c r="F1444" s="7" t="s">
        <v>11535</v>
      </c>
    </row>
    <row r="1445" ht="18" customHeight="1" spans="1:6">
      <c r="A1445" s="13" t="s">
        <v>4874</v>
      </c>
      <c r="B1445" s="13" t="s">
        <v>4925</v>
      </c>
      <c r="C1445" s="45" t="s">
        <v>14400</v>
      </c>
      <c r="D1445" s="13">
        <v>4</v>
      </c>
      <c r="E1445" s="8" t="s">
        <v>14401</v>
      </c>
      <c r="F1445" s="7" t="s">
        <v>11535</v>
      </c>
    </row>
    <row r="1446" ht="18" customHeight="1" spans="1:6">
      <c r="A1446" s="13" t="s">
        <v>4874</v>
      </c>
      <c r="B1446" s="13" t="s">
        <v>4925</v>
      </c>
      <c r="C1446" s="45" t="s">
        <v>14402</v>
      </c>
      <c r="D1446" s="13">
        <v>4</v>
      </c>
      <c r="E1446" s="8" t="s">
        <v>14403</v>
      </c>
      <c r="F1446" s="7" t="s">
        <v>11535</v>
      </c>
    </row>
    <row r="1447" ht="18" customHeight="1" spans="1:6">
      <c r="A1447" s="13" t="s">
        <v>4874</v>
      </c>
      <c r="B1447" s="13" t="s">
        <v>4925</v>
      </c>
      <c r="C1447" s="45" t="s">
        <v>14404</v>
      </c>
      <c r="D1447" s="13">
        <v>4</v>
      </c>
      <c r="E1447" s="8" t="s">
        <v>14405</v>
      </c>
      <c r="F1447" s="7" t="s">
        <v>11535</v>
      </c>
    </row>
    <row r="1448" ht="18" customHeight="1" spans="1:6">
      <c r="A1448" s="13" t="s">
        <v>4874</v>
      </c>
      <c r="B1448" s="13" t="s">
        <v>4925</v>
      </c>
      <c r="C1448" s="45" t="s">
        <v>14406</v>
      </c>
      <c r="D1448" s="13">
        <v>3</v>
      </c>
      <c r="E1448" s="8" t="s">
        <v>14407</v>
      </c>
      <c r="F1448" s="7" t="s">
        <v>11535</v>
      </c>
    </row>
    <row r="1449" ht="18" customHeight="1" spans="1:6">
      <c r="A1449" s="13" t="s">
        <v>4874</v>
      </c>
      <c r="B1449" s="13" t="s">
        <v>4925</v>
      </c>
      <c r="C1449" s="45" t="s">
        <v>14408</v>
      </c>
      <c r="D1449" s="13">
        <v>1</v>
      </c>
      <c r="E1449" s="8" t="s">
        <v>14409</v>
      </c>
      <c r="F1449" s="7" t="s">
        <v>11535</v>
      </c>
    </row>
    <row r="1450" ht="18" customHeight="1" spans="1:6">
      <c r="A1450" s="13" t="s">
        <v>4874</v>
      </c>
      <c r="B1450" s="13" t="s">
        <v>4925</v>
      </c>
      <c r="C1450" s="45" t="s">
        <v>14410</v>
      </c>
      <c r="D1450" s="13">
        <v>1</v>
      </c>
      <c r="E1450" s="8" t="s">
        <v>14411</v>
      </c>
      <c r="F1450" s="7" t="s">
        <v>11535</v>
      </c>
    </row>
    <row r="1451" ht="18" customHeight="1" spans="1:6">
      <c r="A1451" s="13" t="s">
        <v>4874</v>
      </c>
      <c r="B1451" s="13" t="s">
        <v>4925</v>
      </c>
      <c r="C1451" s="45" t="s">
        <v>14412</v>
      </c>
      <c r="D1451" s="13">
        <v>2</v>
      </c>
      <c r="E1451" s="8" t="s">
        <v>14413</v>
      </c>
      <c r="F1451" s="7" t="s">
        <v>11535</v>
      </c>
    </row>
    <row r="1452" ht="18" customHeight="1" spans="1:6">
      <c r="A1452" s="13" t="s">
        <v>4874</v>
      </c>
      <c r="B1452" s="13" t="s">
        <v>4925</v>
      </c>
      <c r="C1452" s="45" t="s">
        <v>14414</v>
      </c>
      <c r="D1452" s="13">
        <v>2</v>
      </c>
      <c r="E1452" s="8" t="s">
        <v>14415</v>
      </c>
      <c r="F1452" s="7" t="s">
        <v>11535</v>
      </c>
    </row>
    <row r="1453" ht="18" customHeight="1" spans="1:6">
      <c r="A1453" s="13" t="s">
        <v>4874</v>
      </c>
      <c r="B1453" s="13" t="s">
        <v>4925</v>
      </c>
      <c r="C1453" s="45" t="s">
        <v>14416</v>
      </c>
      <c r="D1453" s="13">
        <v>5</v>
      </c>
      <c r="E1453" s="8" t="s">
        <v>14417</v>
      </c>
      <c r="F1453" s="7" t="s">
        <v>11535</v>
      </c>
    </row>
    <row r="1454" ht="18" customHeight="1" spans="1:6">
      <c r="A1454" s="13" t="s">
        <v>4874</v>
      </c>
      <c r="B1454" s="13" t="s">
        <v>4925</v>
      </c>
      <c r="C1454" s="45" t="s">
        <v>14418</v>
      </c>
      <c r="D1454" s="13">
        <v>5</v>
      </c>
      <c r="E1454" s="8" t="s">
        <v>14419</v>
      </c>
      <c r="F1454" s="7" t="s">
        <v>11535</v>
      </c>
    </row>
    <row r="1455" ht="18" customHeight="1" spans="1:6">
      <c r="A1455" s="13" t="s">
        <v>4874</v>
      </c>
      <c r="B1455" s="13" t="s">
        <v>4925</v>
      </c>
      <c r="C1455" s="45" t="s">
        <v>14420</v>
      </c>
      <c r="D1455" s="13">
        <v>2</v>
      </c>
      <c r="E1455" s="8" t="s">
        <v>14421</v>
      </c>
      <c r="F1455" s="7" t="s">
        <v>11535</v>
      </c>
    </row>
    <row r="1456" ht="18" customHeight="1" spans="1:6">
      <c r="A1456" s="13" t="s">
        <v>4874</v>
      </c>
      <c r="B1456" s="13" t="s">
        <v>4925</v>
      </c>
      <c r="C1456" s="45" t="s">
        <v>14422</v>
      </c>
      <c r="D1456" s="13">
        <v>1</v>
      </c>
      <c r="E1456" s="8" t="s">
        <v>14423</v>
      </c>
      <c r="F1456" s="7" t="s">
        <v>11535</v>
      </c>
    </row>
    <row r="1457" ht="18" customHeight="1" spans="1:6">
      <c r="A1457" s="13" t="s">
        <v>4874</v>
      </c>
      <c r="B1457" s="13" t="s">
        <v>4925</v>
      </c>
      <c r="C1457" s="45" t="s">
        <v>14424</v>
      </c>
      <c r="D1457" s="13">
        <v>1</v>
      </c>
      <c r="E1457" s="8" t="s">
        <v>14425</v>
      </c>
      <c r="F1457" s="7" t="s">
        <v>11535</v>
      </c>
    </row>
    <row r="1458" ht="18" customHeight="1" spans="1:6">
      <c r="A1458" s="13" t="s">
        <v>4874</v>
      </c>
      <c r="B1458" s="13" t="s">
        <v>4925</v>
      </c>
      <c r="C1458" s="45" t="s">
        <v>14426</v>
      </c>
      <c r="D1458" s="13">
        <v>1</v>
      </c>
      <c r="E1458" s="8" t="s">
        <v>14427</v>
      </c>
      <c r="F1458" s="7" t="s">
        <v>11535</v>
      </c>
    </row>
    <row r="1459" ht="18" customHeight="1" spans="1:6">
      <c r="A1459" s="13" t="s">
        <v>4874</v>
      </c>
      <c r="B1459" s="13" t="s">
        <v>4925</v>
      </c>
      <c r="C1459" s="45" t="s">
        <v>14428</v>
      </c>
      <c r="D1459" s="13">
        <v>1</v>
      </c>
      <c r="E1459" s="8" t="s">
        <v>14429</v>
      </c>
      <c r="F1459" s="7" t="s">
        <v>11535</v>
      </c>
    </row>
    <row r="1460" ht="18" customHeight="1" spans="1:6">
      <c r="A1460" s="13" t="s">
        <v>4874</v>
      </c>
      <c r="B1460" s="13" t="s">
        <v>4925</v>
      </c>
      <c r="C1460" s="45" t="s">
        <v>14430</v>
      </c>
      <c r="D1460" s="13">
        <v>1</v>
      </c>
      <c r="E1460" s="8" t="s">
        <v>14431</v>
      </c>
      <c r="F1460" s="7" t="s">
        <v>11535</v>
      </c>
    </row>
    <row r="1461" ht="18" customHeight="1" spans="1:6">
      <c r="A1461" s="13" t="s">
        <v>4874</v>
      </c>
      <c r="B1461" s="13" t="s">
        <v>4925</v>
      </c>
      <c r="C1461" s="45" t="s">
        <v>14432</v>
      </c>
      <c r="D1461" s="13">
        <v>1</v>
      </c>
      <c r="E1461" s="8" t="s">
        <v>14433</v>
      </c>
      <c r="F1461" s="7" t="s">
        <v>11535</v>
      </c>
    </row>
    <row r="1462" ht="18" customHeight="1" spans="1:6">
      <c r="A1462" s="13" t="s">
        <v>4874</v>
      </c>
      <c r="B1462" s="13" t="s">
        <v>4925</v>
      </c>
      <c r="C1462" s="45" t="s">
        <v>14434</v>
      </c>
      <c r="D1462" s="13">
        <v>1</v>
      </c>
      <c r="E1462" s="8" t="s">
        <v>14435</v>
      </c>
      <c r="F1462" s="7" t="s">
        <v>11535</v>
      </c>
    </row>
    <row r="1463" ht="18" customHeight="1" spans="1:6">
      <c r="A1463" s="13" t="s">
        <v>4874</v>
      </c>
      <c r="B1463" s="13" t="s">
        <v>4925</v>
      </c>
      <c r="C1463" s="45" t="s">
        <v>14436</v>
      </c>
      <c r="D1463" s="13">
        <v>1</v>
      </c>
      <c r="E1463" s="8" t="s">
        <v>14437</v>
      </c>
      <c r="F1463" s="7" t="s">
        <v>11535</v>
      </c>
    </row>
    <row r="1464" ht="18" customHeight="1" spans="1:6">
      <c r="A1464" s="13" t="s">
        <v>4874</v>
      </c>
      <c r="B1464" s="13" t="s">
        <v>4925</v>
      </c>
      <c r="C1464" s="45" t="s">
        <v>14438</v>
      </c>
      <c r="D1464" s="13">
        <v>1</v>
      </c>
      <c r="E1464" s="8" t="s">
        <v>14439</v>
      </c>
      <c r="F1464" s="7" t="s">
        <v>11535</v>
      </c>
    </row>
    <row r="1465" ht="18" customHeight="1" spans="1:6">
      <c r="A1465" s="13" t="s">
        <v>4874</v>
      </c>
      <c r="B1465" s="13" t="s">
        <v>4925</v>
      </c>
      <c r="C1465" s="45" t="s">
        <v>14440</v>
      </c>
      <c r="D1465" s="13">
        <v>4</v>
      </c>
      <c r="E1465" s="8" t="s">
        <v>14441</v>
      </c>
      <c r="F1465" s="7" t="s">
        <v>11535</v>
      </c>
    </row>
    <row r="1466" ht="18" customHeight="1" spans="1:6">
      <c r="A1466" s="13" t="s">
        <v>4874</v>
      </c>
      <c r="B1466" s="13" t="s">
        <v>4925</v>
      </c>
      <c r="C1466" s="46" t="s">
        <v>14442</v>
      </c>
      <c r="D1466" s="13">
        <v>2</v>
      </c>
      <c r="E1466" s="8" t="s">
        <v>14443</v>
      </c>
      <c r="F1466" s="7" t="s">
        <v>11535</v>
      </c>
    </row>
    <row r="1467" ht="18" customHeight="1" spans="1:6">
      <c r="A1467" s="13" t="s">
        <v>4874</v>
      </c>
      <c r="B1467" s="13" t="s">
        <v>4925</v>
      </c>
      <c r="C1467" s="46" t="s">
        <v>2614</v>
      </c>
      <c r="D1467" s="13">
        <v>2</v>
      </c>
      <c r="E1467" s="8" t="s">
        <v>14444</v>
      </c>
      <c r="F1467" s="7" t="s">
        <v>11535</v>
      </c>
    </row>
    <row r="1468" ht="18" customHeight="1" spans="1:6">
      <c r="A1468" s="13" t="s">
        <v>4874</v>
      </c>
      <c r="B1468" s="13" t="s">
        <v>4878</v>
      </c>
      <c r="C1468" s="13" t="s">
        <v>14445</v>
      </c>
      <c r="D1468" s="13">
        <v>3</v>
      </c>
      <c r="E1468" s="8" t="s">
        <v>14446</v>
      </c>
      <c r="F1468" s="7" t="s">
        <v>11535</v>
      </c>
    </row>
    <row r="1469" ht="18" customHeight="1" spans="1:6">
      <c r="A1469" s="13" t="s">
        <v>4874</v>
      </c>
      <c r="B1469" s="13" t="s">
        <v>4878</v>
      </c>
      <c r="C1469" s="13" t="s">
        <v>14447</v>
      </c>
      <c r="D1469" s="13">
        <v>2</v>
      </c>
      <c r="E1469" s="8" t="s">
        <v>14448</v>
      </c>
      <c r="F1469" s="7" t="s">
        <v>11535</v>
      </c>
    </row>
    <row r="1470" ht="18" customHeight="1" spans="1:6">
      <c r="A1470" s="13" t="s">
        <v>4874</v>
      </c>
      <c r="B1470" s="13" t="s">
        <v>14449</v>
      </c>
      <c r="C1470" s="13" t="s">
        <v>14450</v>
      </c>
      <c r="D1470" s="13">
        <v>3</v>
      </c>
      <c r="E1470" s="8" t="s">
        <v>14451</v>
      </c>
      <c r="F1470" s="7" t="s">
        <v>11535</v>
      </c>
    </row>
    <row r="1471" ht="18" customHeight="1" spans="1:6">
      <c r="A1471" s="13" t="s">
        <v>4874</v>
      </c>
      <c r="B1471" s="13" t="s">
        <v>14449</v>
      </c>
      <c r="C1471" s="13" t="s">
        <v>14452</v>
      </c>
      <c r="D1471" s="13">
        <v>4</v>
      </c>
      <c r="E1471" s="8" t="s">
        <v>14453</v>
      </c>
      <c r="F1471" s="7" t="s">
        <v>11535</v>
      </c>
    </row>
    <row r="1472" ht="18" customHeight="1" spans="1:6">
      <c r="A1472" s="13" t="s">
        <v>4874</v>
      </c>
      <c r="B1472" s="13" t="s">
        <v>14449</v>
      </c>
      <c r="C1472" s="13" t="s">
        <v>6932</v>
      </c>
      <c r="D1472" s="13">
        <v>3</v>
      </c>
      <c r="E1472" s="8" t="s">
        <v>14454</v>
      </c>
      <c r="F1472" s="7" t="s">
        <v>11535</v>
      </c>
    </row>
    <row r="1473" ht="18" customHeight="1" spans="1:6">
      <c r="A1473" s="13" t="s">
        <v>4874</v>
      </c>
      <c r="B1473" s="13" t="s">
        <v>14449</v>
      </c>
      <c r="C1473" s="13" t="s">
        <v>14455</v>
      </c>
      <c r="D1473" s="13">
        <v>2</v>
      </c>
      <c r="E1473" s="8" t="s">
        <v>14456</v>
      </c>
      <c r="F1473" s="7" t="s">
        <v>11535</v>
      </c>
    </row>
    <row r="1474" ht="18" customHeight="1" spans="1:6">
      <c r="A1474" s="13" t="s">
        <v>4874</v>
      </c>
      <c r="B1474" s="13" t="s">
        <v>14449</v>
      </c>
      <c r="C1474" s="10" t="s">
        <v>14457</v>
      </c>
      <c r="D1474" s="13">
        <v>7</v>
      </c>
      <c r="E1474" s="8" t="s">
        <v>14458</v>
      </c>
      <c r="F1474" s="7" t="s">
        <v>11535</v>
      </c>
    </row>
    <row r="1475" ht="18" customHeight="1" spans="1:6">
      <c r="A1475" s="13" t="s">
        <v>4874</v>
      </c>
      <c r="B1475" s="13" t="s">
        <v>14449</v>
      </c>
      <c r="C1475" s="10" t="s">
        <v>14459</v>
      </c>
      <c r="D1475" s="11">
        <v>4</v>
      </c>
      <c r="E1475" s="8" t="s">
        <v>14460</v>
      </c>
      <c r="F1475" s="7" t="s">
        <v>11535</v>
      </c>
    </row>
    <row r="1476" ht="18" customHeight="1" spans="1:6">
      <c r="A1476" s="13" t="s">
        <v>4874</v>
      </c>
      <c r="B1476" s="13" t="s">
        <v>14449</v>
      </c>
      <c r="C1476" s="10" t="s">
        <v>14461</v>
      </c>
      <c r="D1476" s="11">
        <v>2</v>
      </c>
      <c r="E1476" s="8" t="s">
        <v>14462</v>
      </c>
      <c r="F1476" s="7" t="s">
        <v>11535</v>
      </c>
    </row>
    <row r="1477" ht="18" customHeight="1" spans="1:6">
      <c r="A1477" s="13" t="s">
        <v>4874</v>
      </c>
      <c r="B1477" s="13" t="s">
        <v>14449</v>
      </c>
      <c r="C1477" s="10" t="s">
        <v>14463</v>
      </c>
      <c r="D1477" s="10">
        <v>4</v>
      </c>
      <c r="E1477" s="8" t="s">
        <v>14464</v>
      </c>
      <c r="F1477" s="7" t="s">
        <v>11535</v>
      </c>
    </row>
    <row r="1478" ht="18" customHeight="1" spans="1:6">
      <c r="A1478" s="13" t="s">
        <v>4874</v>
      </c>
      <c r="B1478" s="13" t="s">
        <v>14449</v>
      </c>
      <c r="C1478" s="10" t="s">
        <v>9052</v>
      </c>
      <c r="D1478" s="11">
        <v>3</v>
      </c>
      <c r="E1478" s="8" t="s">
        <v>14465</v>
      </c>
      <c r="F1478" s="7" t="s">
        <v>11535</v>
      </c>
    </row>
    <row r="1479" ht="18" customHeight="1" spans="1:6">
      <c r="A1479" s="13" t="s">
        <v>4874</v>
      </c>
      <c r="B1479" s="13" t="s">
        <v>14449</v>
      </c>
      <c r="C1479" s="10" t="s">
        <v>14466</v>
      </c>
      <c r="D1479" s="11">
        <v>4</v>
      </c>
      <c r="E1479" s="194" t="s">
        <v>14467</v>
      </c>
      <c r="F1479" s="7" t="s">
        <v>11535</v>
      </c>
    </row>
    <row r="1480" ht="18" customHeight="1" spans="1:6">
      <c r="A1480" s="13" t="s">
        <v>4874</v>
      </c>
      <c r="B1480" s="13" t="s">
        <v>14449</v>
      </c>
      <c r="C1480" s="10" t="s">
        <v>14468</v>
      </c>
      <c r="D1480" s="11">
        <v>3</v>
      </c>
      <c r="E1480" s="8" t="s">
        <v>14469</v>
      </c>
      <c r="F1480" s="7" t="s">
        <v>11535</v>
      </c>
    </row>
    <row r="1481" ht="18" customHeight="1" spans="1:6">
      <c r="A1481" s="13" t="s">
        <v>4874</v>
      </c>
      <c r="B1481" s="13" t="s">
        <v>14449</v>
      </c>
      <c r="C1481" s="10" t="s">
        <v>14470</v>
      </c>
      <c r="D1481" s="11">
        <v>4</v>
      </c>
      <c r="E1481" s="8" t="s">
        <v>14471</v>
      </c>
      <c r="F1481" s="7" t="s">
        <v>11535</v>
      </c>
    </row>
    <row r="1482" ht="18" customHeight="1" spans="1:6">
      <c r="A1482" s="13" t="s">
        <v>4874</v>
      </c>
      <c r="B1482" s="13" t="s">
        <v>14449</v>
      </c>
      <c r="C1482" s="10" t="s">
        <v>14472</v>
      </c>
      <c r="D1482" s="11">
        <v>6</v>
      </c>
      <c r="E1482" s="8" t="s">
        <v>14473</v>
      </c>
      <c r="F1482" s="7" t="s">
        <v>11535</v>
      </c>
    </row>
    <row r="1483" ht="18" customHeight="1" spans="1:6">
      <c r="A1483" s="13" t="s">
        <v>4874</v>
      </c>
      <c r="B1483" s="13" t="s">
        <v>14449</v>
      </c>
      <c r="C1483" s="10" t="s">
        <v>14474</v>
      </c>
      <c r="D1483" s="10">
        <v>4</v>
      </c>
      <c r="E1483" s="8" t="s">
        <v>14475</v>
      </c>
      <c r="F1483" s="7" t="s">
        <v>11535</v>
      </c>
    </row>
    <row r="1484" ht="18" customHeight="1" spans="1:6">
      <c r="A1484" s="13" t="s">
        <v>4874</v>
      </c>
      <c r="B1484" s="13" t="s">
        <v>14449</v>
      </c>
      <c r="C1484" s="10" t="s">
        <v>14476</v>
      </c>
      <c r="D1484" s="11">
        <v>4</v>
      </c>
      <c r="E1484" s="8" t="s">
        <v>14477</v>
      </c>
      <c r="F1484" s="7" t="s">
        <v>11535</v>
      </c>
    </row>
    <row r="1485" ht="18" customHeight="1" spans="1:6">
      <c r="A1485" s="13" t="s">
        <v>4874</v>
      </c>
      <c r="B1485" s="13" t="s">
        <v>14449</v>
      </c>
      <c r="C1485" s="10" t="s">
        <v>14478</v>
      </c>
      <c r="D1485" s="11">
        <v>4</v>
      </c>
      <c r="E1485" s="8" t="s">
        <v>14479</v>
      </c>
      <c r="F1485" s="7" t="s">
        <v>11535</v>
      </c>
    </row>
    <row r="1486" ht="18" customHeight="1" spans="1:6">
      <c r="A1486" s="13" t="s">
        <v>4874</v>
      </c>
      <c r="B1486" s="5" t="s">
        <v>4891</v>
      </c>
      <c r="C1486" s="5" t="s">
        <v>14480</v>
      </c>
      <c r="D1486" s="5">
        <v>3</v>
      </c>
      <c r="E1486" s="194" t="s">
        <v>14481</v>
      </c>
      <c r="F1486" s="7" t="s">
        <v>11535</v>
      </c>
    </row>
    <row r="1487" ht="18" customHeight="1" spans="1:6">
      <c r="A1487" s="13" t="s">
        <v>4874</v>
      </c>
      <c r="B1487" s="5" t="s">
        <v>4891</v>
      </c>
      <c r="C1487" s="5" t="s">
        <v>14482</v>
      </c>
      <c r="D1487" s="5">
        <v>2</v>
      </c>
      <c r="E1487" s="194" t="s">
        <v>14483</v>
      </c>
      <c r="F1487" s="7" t="s">
        <v>11535</v>
      </c>
    </row>
    <row r="1488" ht="18" customHeight="1" spans="1:6">
      <c r="A1488" s="13" t="s">
        <v>4874</v>
      </c>
      <c r="B1488" s="5" t="s">
        <v>4891</v>
      </c>
      <c r="C1488" s="5" t="s">
        <v>14484</v>
      </c>
      <c r="D1488" s="5">
        <v>2</v>
      </c>
      <c r="E1488" s="194" t="s">
        <v>14485</v>
      </c>
      <c r="F1488" s="7" t="s">
        <v>11535</v>
      </c>
    </row>
    <row r="1489" ht="18" customHeight="1" spans="1:6">
      <c r="A1489" s="13" t="s">
        <v>4874</v>
      </c>
      <c r="B1489" s="5" t="s">
        <v>4891</v>
      </c>
      <c r="C1489" s="5" t="s">
        <v>14486</v>
      </c>
      <c r="D1489" s="5">
        <v>3</v>
      </c>
      <c r="E1489" s="8" t="s">
        <v>14487</v>
      </c>
      <c r="F1489" s="7" t="s">
        <v>11535</v>
      </c>
    </row>
    <row r="1490" ht="18" customHeight="1" spans="1:6">
      <c r="A1490" s="13" t="s">
        <v>4874</v>
      </c>
      <c r="B1490" s="5" t="s">
        <v>4891</v>
      </c>
      <c r="C1490" s="5" t="s">
        <v>14488</v>
      </c>
      <c r="D1490" s="5">
        <v>2</v>
      </c>
      <c r="E1490" s="194" t="s">
        <v>14489</v>
      </c>
      <c r="F1490" s="7" t="s">
        <v>11535</v>
      </c>
    </row>
    <row r="1491" ht="18" customHeight="1" spans="1:6">
      <c r="A1491" s="13" t="s">
        <v>4874</v>
      </c>
      <c r="B1491" s="5" t="s">
        <v>4891</v>
      </c>
      <c r="C1491" s="5" t="s">
        <v>11406</v>
      </c>
      <c r="D1491" s="5">
        <v>2</v>
      </c>
      <c r="E1491" s="194" t="s">
        <v>14490</v>
      </c>
      <c r="F1491" s="7" t="s">
        <v>11535</v>
      </c>
    </row>
    <row r="1492" ht="18" customHeight="1" spans="1:6">
      <c r="A1492" s="13" t="s">
        <v>4874</v>
      </c>
      <c r="B1492" s="5" t="s">
        <v>4891</v>
      </c>
      <c r="C1492" s="5" t="s">
        <v>14491</v>
      </c>
      <c r="D1492" s="5">
        <v>2</v>
      </c>
      <c r="E1492" s="194" t="s">
        <v>14492</v>
      </c>
      <c r="F1492" s="7" t="s">
        <v>11535</v>
      </c>
    </row>
    <row r="1493" ht="18" customHeight="1" spans="1:6">
      <c r="A1493" s="13" t="s">
        <v>4874</v>
      </c>
      <c r="B1493" s="5" t="s">
        <v>4891</v>
      </c>
      <c r="C1493" s="5" t="s">
        <v>14493</v>
      </c>
      <c r="D1493" s="5">
        <v>2</v>
      </c>
      <c r="E1493" s="194" t="s">
        <v>14494</v>
      </c>
      <c r="F1493" s="7" t="s">
        <v>11535</v>
      </c>
    </row>
    <row r="1494" ht="18" customHeight="1" spans="1:6">
      <c r="A1494" s="13" t="s">
        <v>4874</v>
      </c>
      <c r="B1494" s="5" t="s">
        <v>4891</v>
      </c>
      <c r="C1494" s="5" t="s">
        <v>14495</v>
      </c>
      <c r="D1494" s="5">
        <v>2</v>
      </c>
      <c r="E1494" s="194" t="s">
        <v>14496</v>
      </c>
      <c r="F1494" s="7" t="s">
        <v>11535</v>
      </c>
    </row>
    <row r="1495" ht="18" customHeight="1" spans="1:6">
      <c r="A1495" s="13" t="s">
        <v>4874</v>
      </c>
      <c r="B1495" s="5" t="s">
        <v>4891</v>
      </c>
      <c r="C1495" s="5" t="s">
        <v>14497</v>
      </c>
      <c r="D1495" s="5">
        <v>2</v>
      </c>
      <c r="E1495" s="194" t="s">
        <v>14498</v>
      </c>
      <c r="F1495" s="7" t="s">
        <v>11535</v>
      </c>
    </row>
    <row r="1496" ht="18" customHeight="1" spans="1:6">
      <c r="A1496" s="13" t="s">
        <v>4874</v>
      </c>
      <c r="B1496" s="5" t="s">
        <v>4891</v>
      </c>
      <c r="C1496" s="5" t="s">
        <v>14499</v>
      </c>
      <c r="D1496" s="5">
        <v>2</v>
      </c>
      <c r="E1496" s="194" t="s">
        <v>14500</v>
      </c>
      <c r="F1496" s="7" t="s">
        <v>11535</v>
      </c>
    </row>
    <row r="1497" ht="18" customHeight="1" spans="1:6">
      <c r="A1497" s="13" t="s">
        <v>4874</v>
      </c>
      <c r="B1497" s="5" t="s">
        <v>4891</v>
      </c>
      <c r="C1497" s="5" t="s">
        <v>14501</v>
      </c>
      <c r="D1497" s="5">
        <v>1</v>
      </c>
      <c r="E1497" s="194" t="s">
        <v>14502</v>
      </c>
      <c r="F1497" s="7" t="s">
        <v>11535</v>
      </c>
    </row>
    <row r="1498" ht="18" customHeight="1" spans="1:6">
      <c r="A1498" s="13" t="s">
        <v>4874</v>
      </c>
      <c r="B1498" s="5" t="s">
        <v>4891</v>
      </c>
      <c r="C1498" s="5" t="s">
        <v>8108</v>
      </c>
      <c r="D1498" s="5">
        <v>2</v>
      </c>
      <c r="E1498" s="8" t="s">
        <v>14503</v>
      </c>
      <c r="F1498" s="7" t="s">
        <v>11535</v>
      </c>
    </row>
    <row r="1499" ht="18" customHeight="1" spans="1:6">
      <c r="A1499" s="13" t="s">
        <v>4874</v>
      </c>
      <c r="B1499" s="5" t="s">
        <v>4891</v>
      </c>
      <c r="C1499" s="5" t="s">
        <v>14504</v>
      </c>
      <c r="D1499" s="5">
        <v>5</v>
      </c>
      <c r="E1499" s="194" t="s">
        <v>14505</v>
      </c>
      <c r="F1499" s="7" t="s">
        <v>11535</v>
      </c>
    </row>
    <row r="1500" ht="18" customHeight="1" spans="1:6">
      <c r="A1500" s="13" t="s">
        <v>4874</v>
      </c>
      <c r="B1500" s="5" t="s">
        <v>4891</v>
      </c>
      <c r="C1500" s="5" t="s">
        <v>14506</v>
      </c>
      <c r="D1500" s="5">
        <v>3</v>
      </c>
      <c r="E1500" s="194" t="s">
        <v>14507</v>
      </c>
      <c r="F1500" s="7" t="s">
        <v>11535</v>
      </c>
    </row>
    <row r="1501" ht="18" customHeight="1" spans="1:6">
      <c r="A1501" s="13" t="s">
        <v>4874</v>
      </c>
      <c r="B1501" s="5" t="s">
        <v>4891</v>
      </c>
      <c r="C1501" s="5" t="s">
        <v>14508</v>
      </c>
      <c r="D1501" s="5">
        <v>4</v>
      </c>
      <c r="E1501" s="194" t="s">
        <v>14509</v>
      </c>
      <c r="F1501" s="7" t="s">
        <v>11535</v>
      </c>
    </row>
    <row r="1502" ht="18" customHeight="1" spans="1:6">
      <c r="A1502" s="13" t="s">
        <v>4874</v>
      </c>
      <c r="B1502" s="5" t="s">
        <v>4891</v>
      </c>
      <c r="C1502" s="5" t="s">
        <v>14510</v>
      </c>
      <c r="D1502" s="5">
        <v>1</v>
      </c>
      <c r="E1502" s="194" t="s">
        <v>14511</v>
      </c>
      <c r="F1502" s="7" t="s">
        <v>11535</v>
      </c>
    </row>
    <row r="1503" ht="18" customHeight="1" spans="1:6">
      <c r="A1503" s="13" t="s">
        <v>4874</v>
      </c>
      <c r="B1503" s="5" t="s">
        <v>4891</v>
      </c>
      <c r="C1503" s="5" t="s">
        <v>14512</v>
      </c>
      <c r="D1503" s="5">
        <v>4</v>
      </c>
      <c r="E1503" s="194" t="s">
        <v>14513</v>
      </c>
      <c r="F1503" s="7" t="s">
        <v>11535</v>
      </c>
    </row>
    <row r="1504" ht="18" customHeight="1" spans="1:6">
      <c r="A1504" s="13" t="s">
        <v>4874</v>
      </c>
      <c r="B1504" s="5" t="s">
        <v>4891</v>
      </c>
      <c r="C1504" s="5" t="s">
        <v>14514</v>
      </c>
      <c r="D1504" s="5">
        <v>3</v>
      </c>
      <c r="E1504" s="194" t="s">
        <v>14515</v>
      </c>
      <c r="F1504" s="7" t="s">
        <v>11535</v>
      </c>
    </row>
    <row r="1505" ht="18" customHeight="1" spans="1:6">
      <c r="A1505" s="13" t="s">
        <v>4874</v>
      </c>
      <c r="B1505" s="5" t="s">
        <v>4891</v>
      </c>
      <c r="C1505" s="5" t="s">
        <v>14516</v>
      </c>
      <c r="D1505" s="5">
        <v>2</v>
      </c>
      <c r="E1505" s="194" t="s">
        <v>14517</v>
      </c>
      <c r="F1505" s="7" t="s">
        <v>11535</v>
      </c>
    </row>
    <row r="1506" ht="18" customHeight="1" spans="1:6">
      <c r="A1506" s="13" t="s">
        <v>4874</v>
      </c>
      <c r="B1506" s="5" t="s">
        <v>4891</v>
      </c>
      <c r="C1506" s="5" t="s">
        <v>14518</v>
      </c>
      <c r="D1506" s="5">
        <v>3</v>
      </c>
      <c r="E1506" s="194" t="s">
        <v>14519</v>
      </c>
      <c r="F1506" s="7" t="s">
        <v>11535</v>
      </c>
    </row>
    <row r="1507" ht="18" customHeight="1" spans="1:6">
      <c r="A1507" s="13" t="s">
        <v>4874</v>
      </c>
      <c r="B1507" s="5" t="s">
        <v>4891</v>
      </c>
      <c r="C1507" s="5" t="s">
        <v>14520</v>
      </c>
      <c r="D1507" s="5">
        <v>3</v>
      </c>
      <c r="E1507" s="194" t="s">
        <v>14521</v>
      </c>
      <c r="F1507" s="7" t="s">
        <v>11535</v>
      </c>
    </row>
    <row r="1508" ht="18" customHeight="1" spans="1:6">
      <c r="A1508" s="13" t="s">
        <v>4874</v>
      </c>
      <c r="B1508" s="5" t="s">
        <v>4891</v>
      </c>
      <c r="C1508" s="5" t="s">
        <v>14522</v>
      </c>
      <c r="D1508" s="5">
        <v>3</v>
      </c>
      <c r="E1508" s="194" t="s">
        <v>14523</v>
      </c>
      <c r="F1508" s="7" t="s">
        <v>11535</v>
      </c>
    </row>
    <row r="1509" ht="18" customHeight="1" spans="1:6">
      <c r="A1509" s="13" t="s">
        <v>4874</v>
      </c>
      <c r="B1509" s="5" t="s">
        <v>4900</v>
      </c>
      <c r="C1509" s="5" t="s">
        <v>14524</v>
      </c>
      <c r="D1509" s="5">
        <v>2</v>
      </c>
      <c r="E1509" s="194" t="s">
        <v>14525</v>
      </c>
      <c r="F1509" s="7" t="s">
        <v>11535</v>
      </c>
    </row>
    <row r="1510" ht="18" customHeight="1" spans="1:6">
      <c r="A1510" s="13" t="s">
        <v>4874</v>
      </c>
      <c r="B1510" s="5" t="s">
        <v>4900</v>
      </c>
      <c r="C1510" s="5" t="s">
        <v>14526</v>
      </c>
      <c r="D1510" s="5">
        <v>1</v>
      </c>
      <c r="E1510" s="8" t="s">
        <v>14527</v>
      </c>
      <c r="F1510" s="7" t="s">
        <v>11535</v>
      </c>
    </row>
    <row r="1511" ht="18" customHeight="1" spans="1:6">
      <c r="A1511" s="13" t="s">
        <v>4874</v>
      </c>
      <c r="B1511" s="5" t="s">
        <v>4900</v>
      </c>
      <c r="C1511" s="5" t="s">
        <v>14528</v>
      </c>
      <c r="D1511" s="5">
        <v>3</v>
      </c>
      <c r="E1511" s="8" t="s">
        <v>14529</v>
      </c>
      <c r="F1511" s="7" t="s">
        <v>11535</v>
      </c>
    </row>
    <row r="1512" ht="18" customHeight="1" spans="1:6">
      <c r="A1512" s="13" t="s">
        <v>4874</v>
      </c>
      <c r="B1512" s="5" t="s">
        <v>4900</v>
      </c>
      <c r="C1512" s="5" t="s">
        <v>14530</v>
      </c>
      <c r="D1512" s="5">
        <v>3</v>
      </c>
      <c r="E1512" s="8" t="s">
        <v>14531</v>
      </c>
      <c r="F1512" s="7" t="s">
        <v>11535</v>
      </c>
    </row>
    <row r="1513" ht="18" customHeight="1" spans="1:6">
      <c r="A1513" s="13" t="s">
        <v>4874</v>
      </c>
      <c r="B1513" s="5" t="s">
        <v>4900</v>
      </c>
      <c r="C1513" s="5" t="s">
        <v>14532</v>
      </c>
      <c r="D1513" s="5">
        <v>4</v>
      </c>
      <c r="E1513" s="8" t="s">
        <v>14533</v>
      </c>
      <c r="F1513" s="7" t="s">
        <v>11535</v>
      </c>
    </row>
    <row r="1514" ht="18" customHeight="1" spans="1:6">
      <c r="A1514" s="13" t="s">
        <v>4874</v>
      </c>
      <c r="B1514" s="5" t="s">
        <v>4900</v>
      </c>
      <c r="C1514" s="5" t="s">
        <v>14534</v>
      </c>
      <c r="D1514" s="5">
        <v>4</v>
      </c>
      <c r="E1514" s="8" t="s">
        <v>14535</v>
      </c>
      <c r="F1514" s="7" t="s">
        <v>11535</v>
      </c>
    </row>
    <row r="1515" ht="18" customHeight="1" spans="1:6">
      <c r="A1515" s="13" t="s">
        <v>4874</v>
      </c>
      <c r="B1515" s="5" t="s">
        <v>4900</v>
      </c>
      <c r="C1515" s="5" t="s">
        <v>14536</v>
      </c>
      <c r="D1515" s="5">
        <v>2</v>
      </c>
      <c r="E1515" s="8" t="s">
        <v>14537</v>
      </c>
      <c r="F1515" s="7" t="s">
        <v>11535</v>
      </c>
    </row>
    <row r="1516" ht="18" customHeight="1" spans="1:6">
      <c r="A1516" s="13" t="s">
        <v>4874</v>
      </c>
      <c r="B1516" s="5" t="s">
        <v>4900</v>
      </c>
      <c r="C1516" s="5" t="s">
        <v>14538</v>
      </c>
      <c r="D1516" s="5">
        <v>2</v>
      </c>
      <c r="E1516" s="8" t="s">
        <v>14539</v>
      </c>
      <c r="F1516" s="7" t="s">
        <v>11535</v>
      </c>
    </row>
    <row r="1517" ht="18" customHeight="1" spans="1:6">
      <c r="A1517" s="13" t="s">
        <v>4874</v>
      </c>
      <c r="B1517" s="5" t="s">
        <v>4900</v>
      </c>
      <c r="C1517" s="5" t="s">
        <v>14540</v>
      </c>
      <c r="D1517" s="5">
        <v>3</v>
      </c>
      <c r="E1517" s="8" t="s">
        <v>14541</v>
      </c>
      <c r="F1517" s="7" t="s">
        <v>11535</v>
      </c>
    </row>
    <row r="1518" ht="18" customHeight="1" spans="1:6">
      <c r="A1518" s="13" t="s">
        <v>4874</v>
      </c>
      <c r="B1518" s="5" t="s">
        <v>4900</v>
      </c>
      <c r="C1518" s="5" t="s">
        <v>126</v>
      </c>
      <c r="D1518" s="5">
        <v>3</v>
      </c>
      <c r="E1518" s="8" t="s">
        <v>14542</v>
      </c>
      <c r="F1518" s="7" t="s">
        <v>11535</v>
      </c>
    </row>
    <row r="1519" ht="18" customHeight="1" spans="1:6">
      <c r="A1519" s="13" t="s">
        <v>4874</v>
      </c>
      <c r="B1519" s="13" t="s">
        <v>4906</v>
      </c>
      <c r="C1519" s="13" t="s">
        <v>14543</v>
      </c>
      <c r="D1519" s="13">
        <v>2</v>
      </c>
      <c r="E1519" s="8" t="s">
        <v>14544</v>
      </c>
      <c r="F1519" s="7" t="s">
        <v>11535</v>
      </c>
    </row>
    <row r="1520" ht="18" customHeight="1" spans="1:6">
      <c r="A1520" s="13" t="s">
        <v>4874</v>
      </c>
      <c r="B1520" s="13" t="s">
        <v>4906</v>
      </c>
      <c r="C1520" s="13" t="s">
        <v>14545</v>
      </c>
      <c r="D1520" s="15">
        <v>4</v>
      </c>
      <c r="E1520" s="8" t="s">
        <v>14546</v>
      </c>
      <c r="F1520" s="7" t="s">
        <v>11535</v>
      </c>
    </row>
    <row r="1521" ht="18" customHeight="1" spans="1:6">
      <c r="A1521" s="13" t="s">
        <v>4874</v>
      </c>
      <c r="B1521" s="13" t="s">
        <v>4906</v>
      </c>
      <c r="C1521" s="13" t="s">
        <v>14547</v>
      </c>
      <c r="D1521" s="15">
        <v>2</v>
      </c>
      <c r="E1521" s="8" t="s">
        <v>14548</v>
      </c>
      <c r="F1521" s="7" t="s">
        <v>11535</v>
      </c>
    </row>
    <row r="1522" ht="18" customHeight="1" spans="1:6">
      <c r="A1522" s="13" t="s">
        <v>4874</v>
      </c>
      <c r="B1522" s="13" t="s">
        <v>4906</v>
      </c>
      <c r="C1522" s="13" t="s">
        <v>14549</v>
      </c>
      <c r="D1522" s="15">
        <v>3</v>
      </c>
      <c r="E1522" s="8" t="s">
        <v>14550</v>
      </c>
      <c r="F1522" s="7" t="s">
        <v>11535</v>
      </c>
    </row>
    <row r="1523" ht="18" customHeight="1" spans="1:6">
      <c r="A1523" s="13" t="s">
        <v>4874</v>
      </c>
      <c r="B1523" s="13" t="s">
        <v>4906</v>
      </c>
      <c r="C1523" s="13" t="s">
        <v>14551</v>
      </c>
      <c r="D1523" s="15">
        <v>2</v>
      </c>
      <c r="E1523" s="8" t="s">
        <v>14552</v>
      </c>
      <c r="F1523" s="7" t="s">
        <v>11535</v>
      </c>
    </row>
    <row r="1524" ht="18" customHeight="1" spans="1:6">
      <c r="A1524" s="13" t="s">
        <v>4874</v>
      </c>
      <c r="B1524" s="13" t="s">
        <v>4906</v>
      </c>
      <c r="C1524" s="13" t="s">
        <v>14553</v>
      </c>
      <c r="D1524" s="15">
        <v>5</v>
      </c>
      <c r="E1524" s="8" t="s">
        <v>14554</v>
      </c>
      <c r="F1524" s="7" t="s">
        <v>11535</v>
      </c>
    </row>
    <row r="1525" ht="18" customHeight="1" spans="1:6">
      <c r="A1525" s="13" t="s">
        <v>4874</v>
      </c>
      <c r="B1525" s="13" t="s">
        <v>4906</v>
      </c>
      <c r="C1525" s="13" t="s">
        <v>14555</v>
      </c>
      <c r="D1525" s="15">
        <v>3</v>
      </c>
      <c r="E1525" s="194" t="s">
        <v>14556</v>
      </c>
      <c r="F1525" s="7" t="s">
        <v>11535</v>
      </c>
    </row>
    <row r="1526" ht="18" customHeight="1" spans="1:6">
      <c r="A1526" s="13" t="s">
        <v>4874</v>
      </c>
      <c r="B1526" s="13" t="s">
        <v>4906</v>
      </c>
      <c r="C1526" s="13" t="s">
        <v>14557</v>
      </c>
      <c r="D1526" s="15">
        <v>2</v>
      </c>
      <c r="E1526" s="8" t="s">
        <v>14558</v>
      </c>
      <c r="F1526" s="7" t="s">
        <v>11535</v>
      </c>
    </row>
    <row r="1527" ht="18" customHeight="1" spans="1:6">
      <c r="A1527" s="13" t="s">
        <v>4874</v>
      </c>
      <c r="B1527" s="13" t="s">
        <v>4906</v>
      </c>
      <c r="C1527" s="13" t="s">
        <v>14559</v>
      </c>
      <c r="D1527" s="15">
        <v>2</v>
      </c>
      <c r="E1527" s="8" t="s">
        <v>14560</v>
      </c>
      <c r="F1527" s="7" t="s">
        <v>11535</v>
      </c>
    </row>
    <row r="1528" ht="18" customHeight="1" spans="1:6">
      <c r="A1528" s="13" t="s">
        <v>4874</v>
      </c>
      <c r="B1528" s="13" t="s">
        <v>4906</v>
      </c>
      <c r="C1528" s="13" t="s">
        <v>14561</v>
      </c>
      <c r="D1528" s="15">
        <v>1</v>
      </c>
      <c r="E1528" s="8" t="s">
        <v>14562</v>
      </c>
      <c r="F1528" s="7" t="s">
        <v>11535</v>
      </c>
    </row>
    <row r="1529" ht="18" customHeight="1" spans="1:6">
      <c r="A1529" s="13" t="s">
        <v>4874</v>
      </c>
      <c r="B1529" s="13" t="s">
        <v>4906</v>
      </c>
      <c r="C1529" s="13" t="s">
        <v>14563</v>
      </c>
      <c r="D1529" s="15">
        <v>4</v>
      </c>
      <c r="E1529" s="8" t="s">
        <v>14564</v>
      </c>
      <c r="F1529" s="7" t="s">
        <v>11535</v>
      </c>
    </row>
    <row r="1530" ht="18" customHeight="1" spans="1:6">
      <c r="A1530" s="13" t="s">
        <v>4874</v>
      </c>
      <c r="B1530" s="13" t="s">
        <v>4906</v>
      </c>
      <c r="C1530" s="13" t="s">
        <v>14565</v>
      </c>
      <c r="D1530" s="15">
        <v>4</v>
      </c>
      <c r="E1530" s="8" t="s">
        <v>14566</v>
      </c>
      <c r="F1530" s="7" t="s">
        <v>11535</v>
      </c>
    </row>
    <row r="1531" ht="18" customHeight="1" spans="1:6">
      <c r="A1531" s="13" t="s">
        <v>4874</v>
      </c>
      <c r="B1531" s="13" t="s">
        <v>4906</v>
      </c>
      <c r="C1531" s="13" t="s">
        <v>14567</v>
      </c>
      <c r="D1531" s="15">
        <v>6</v>
      </c>
      <c r="E1531" s="194" t="s">
        <v>14568</v>
      </c>
      <c r="F1531" s="7" t="s">
        <v>11535</v>
      </c>
    </row>
    <row r="1532" ht="18" customHeight="1" spans="1:6">
      <c r="A1532" s="13" t="s">
        <v>4874</v>
      </c>
      <c r="B1532" s="13" t="s">
        <v>4906</v>
      </c>
      <c r="C1532" s="13" t="s">
        <v>14569</v>
      </c>
      <c r="D1532" s="15">
        <v>5</v>
      </c>
      <c r="E1532" s="8" t="s">
        <v>14570</v>
      </c>
      <c r="F1532" s="7" t="s">
        <v>11535</v>
      </c>
    </row>
    <row r="1533" ht="18" customHeight="1" spans="1:6">
      <c r="A1533" s="13" t="s">
        <v>4874</v>
      </c>
      <c r="B1533" s="13" t="s">
        <v>4906</v>
      </c>
      <c r="C1533" s="13" t="s">
        <v>14571</v>
      </c>
      <c r="D1533" s="15">
        <v>1</v>
      </c>
      <c r="E1533" s="8" t="s">
        <v>14572</v>
      </c>
      <c r="F1533" s="7" t="s">
        <v>11535</v>
      </c>
    </row>
    <row r="1534" ht="18" customHeight="1" spans="1:6">
      <c r="A1534" s="13" t="s">
        <v>4874</v>
      </c>
      <c r="B1534" s="13" t="s">
        <v>4906</v>
      </c>
      <c r="C1534" s="13" t="s">
        <v>14573</v>
      </c>
      <c r="D1534" s="13">
        <v>6</v>
      </c>
      <c r="E1534" s="8" t="s">
        <v>14574</v>
      </c>
      <c r="F1534" s="7" t="s">
        <v>11535</v>
      </c>
    </row>
    <row r="1535" ht="18" customHeight="1" spans="1:6">
      <c r="A1535" s="13" t="s">
        <v>4874</v>
      </c>
      <c r="B1535" s="13" t="s">
        <v>4906</v>
      </c>
      <c r="C1535" s="13" t="s">
        <v>14575</v>
      </c>
      <c r="D1535" s="13">
        <v>3</v>
      </c>
      <c r="E1535" s="8" t="s">
        <v>14576</v>
      </c>
      <c r="F1535" s="7" t="s">
        <v>11535</v>
      </c>
    </row>
    <row r="1536" ht="18" customHeight="1" spans="1:6">
      <c r="A1536" s="13" t="s">
        <v>4874</v>
      </c>
      <c r="B1536" s="13" t="s">
        <v>4906</v>
      </c>
      <c r="C1536" s="13" t="s">
        <v>14577</v>
      </c>
      <c r="D1536" s="13">
        <v>4</v>
      </c>
      <c r="E1536" s="8" t="s">
        <v>14578</v>
      </c>
      <c r="F1536" s="7" t="s">
        <v>11535</v>
      </c>
    </row>
    <row r="1537" ht="18" customHeight="1" spans="1:6">
      <c r="A1537" s="13" t="s">
        <v>4874</v>
      </c>
      <c r="B1537" s="13" t="s">
        <v>4906</v>
      </c>
      <c r="C1537" s="13" t="s">
        <v>14579</v>
      </c>
      <c r="D1537" s="13">
        <v>1</v>
      </c>
      <c r="E1537" s="8" t="s">
        <v>14580</v>
      </c>
      <c r="F1537" s="7" t="s">
        <v>11535</v>
      </c>
    </row>
    <row r="1538" ht="18" customHeight="1" spans="1:6">
      <c r="A1538" s="13" t="s">
        <v>4874</v>
      </c>
      <c r="B1538" s="13" t="s">
        <v>4906</v>
      </c>
      <c r="C1538" s="13" t="s">
        <v>8893</v>
      </c>
      <c r="D1538" s="13">
        <v>2</v>
      </c>
      <c r="E1538" s="8" t="s">
        <v>14581</v>
      </c>
      <c r="F1538" s="7" t="s">
        <v>11535</v>
      </c>
    </row>
    <row r="1539" ht="18" customHeight="1" spans="1:6">
      <c r="A1539" s="13" t="s">
        <v>4874</v>
      </c>
      <c r="B1539" s="13" t="s">
        <v>4906</v>
      </c>
      <c r="C1539" s="13" t="s">
        <v>14582</v>
      </c>
      <c r="D1539" s="13">
        <v>2</v>
      </c>
      <c r="E1539" s="8" t="s">
        <v>14544</v>
      </c>
      <c r="F1539" s="7" t="s">
        <v>11535</v>
      </c>
    </row>
    <row r="1540" ht="18" customHeight="1" spans="1:6">
      <c r="A1540" s="13" t="s">
        <v>4874</v>
      </c>
      <c r="B1540" s="13" t="s">
        <v>4906</v>
      </c>
      <c r="C1540" s="13" t="s">
        <v>14583</v>
      </c>
      <c r="D1540" s="13">
        <v>5</v>
      </c>
      <c r="E1540" s="5" t="str">
        <f>LEFT("422626195802253616",19)</f>
        <v>422626195802253616</v>
      </c>
      <c r="F1540" s="7" t="s">
        <v>11535</v>
      </c>
    </row>
    <row r="1541" ht="18" customHeight="1" spans="1:6">
      <c r="A1541" s="13" t="s">
        <v>4874</v>
      </c>
      <c r="B1541" s="13" t="s">
        <v>4906</v>
      </c>
      <c r="C1541" s="13" t="s">
        <v>14584</v>
      </c>
      <c r="D1541" s="13">
        <v>1</v>
      </c>
      <c r="E1541" s="8" t="s">
        <v>14585</v>
      </c>
      <c r="F1541" s="7" t="s">
        <v>11535</v>
      </c>
    </row>
    <row r="1542" ht="18" customHeight="1" spans="1:6">
      <c r="A1542" s="13" t="s">
        <v>4874</v>
      </c>
      <c r="B1542" s="13" t="s">
        <v>4906</v>
      </c>
      <c r="C1542" s="13" t="s">
        <v>14586</v>
      </c>
      <c r="D1542" s="13">
        <v>4</v>
      </c>
      <c r="E1542" s="8" t="s">
        <v>14587</v>
      </c>
      <c r="F1542" s="7" t="s">
        <v>11535</v>
      </c>
    </row>
    <row r="1543" ht="18" customHeight="1" spans="1:6">
      <c r="A1543" s="13" t="s">
        <v>4874</v>
      </c>
      <c r="B1543" s="13" t="s">
        <v>4906</v>
      </c>
      <c r="C1543" s="13" t="s">
        <v>14588</v>
      </c>
      <c r="D1543" s="13">
        <v>2</v>
      </c>
      <c r="E1543" s="8" t="s">
        <v>14589</v>
      </c>
      <c r="F1543" s="7" t="s">
        <v>11535</v>
      </c>
    </row>
    <row r="1544" ht="18" customHeight="1" spans="1:6">
      <c r="A1544" s="13" t="s">
        <v>4874</v>
      </c>
      <c r="B1544" s="13" t="s">
        <v>4906</v>
      </c>
      <c r="C1544" s="13" t="s">
        <v>14590</v>
      </c>
      <c r="D1544" s="13">
        <v>6</v>
      </c>
      <c r="E1544" s="8" t="s">
        <v>14591</v>
      </c>
      <c r="F1544" s="7" t="s">
        <v>11535</v>
      </c>
    </row>
    <row r="1545" ht="18" customHeight="1" spans="1:6">
      <c r="A1545" s="13" t="s">
        <v>4874</v>
      </c>
      <c r="B1545" s="13" t="s">
        <v>4906</v>
      </c>
      <c r="C1545" s="13" t="s">
        <v>14592</v>
      </c>
      <c r="D1545" s="13">
        <v>5</v>
      </c>
      <c r="E1545" s="8" t="s">
        <v>14593</v>
      </c>
      <c r="F1545" s="7" t="s">
        <v>11535</v>
      </c>
    </row>
    <row r="1546" ht="18" customHeight="1" spans="1:6">
      <c r="A1546" s="13" t="s">
        <v>4874</v>
      </c>
      <c r="B1546" s="13" t="s">
        <v>4906</v>
      </c>
      <c r="C1546" s="13" t="s">
        <v>14594</v>
      </c>
      <c r="D1546" s="13">
        <v>1</v>
      </c>
      <c r="E1546" s="8" t="s">
        <v>14595</v>
      </c>
      <c r="F1546" s="7" t="s">
        <v>11535</v>
      </c>
    </row>
    <row r="1547" ht="18" customHeight="1" spans="1:6">
      <c r="A1547" s="13" t="s">
        <v>4874</v>
      </c>
      <c r="B1547" s="13" t="s">
        <v>4906</v>
      </c>
      <c r="C1547" s="13" t="s">
        <v>10757</v>
      </c>
      <c r="D1547" s="13">
        <v>2</v>
      </c>
      <c r="E1547" s="8" t="s">
        <v>14596</v>
      </c>
      <c r="F1547" s="7" t="s">
        <v>11535</v>
      </c>
    </row>
    <row r="1548" ht="18" customHeight="1" spans="1:6">
      <c r="A1548" s="13" t="s">
        <v>4874</v>
      </c>
      <c r="B1548" s="13" t="s">
        <v>4906</v>
      </c>
      <c r="C1548" s="13" t="s">
        <v>14597</v>
      </c>
      <c r="D1548" s="13">
        <v>3</v>
      </c>
      <c r="E1548" s="194" t="s">
        <v>14598</v>
      </c>
      <c r="F1548" s="7" t="s">
        <v>11535</v>
      </c>
    </row>
    <row r="1549" ht="18" customHeight="1" spans="1:6">
      <c r="A1549" s="13" t="s">
        <v>4874</v>
      </c>
      <c r="B1549" s="13" t="s">
        <v>4906</v>
      </c>
      <c r="C1549" s="13" t="s">
        <v>14599</v>
      </c>
      <c r="D1549" s="13">
        <v>4</v>
      </c>
      <c r="E1549" s="8" t="s">
        <v>14600</v>
      </c>
      <c r="F1549" s="7" t="s">
        <v>11535</v>
      </c>
    </row>
    <row r="1550" ht="18" customHeight="1" spans="1:6">
      <c r="A1550" s="13" t="s">
        <v>4874</v>
      </c>
      <c r="B1550" s="13" t="s">
        <v>4906</v>
      </c>
      <c r="C1550" s="13" t="s">
        <v>14601</v>
      </c>
      <c r="D1550" s="13">
        <v>5</v>
      </c>
      <c r="E1550" s="8" t="s">
        <v>14602</v>
      </c>
      <c r="F1550" s="7" t="s">
        <v>11535</v>
      </c>
    </row>
    <row r="1551" ht="18" customHeight="1" spans="1:6">
      <c r="A1551" s="13" t="s">
        <v>4874</v>
      </c>
      <c r="B1551" s="13" t="s">
        <v>4906</v>
      </c>
      <c r="C1551" s="13" t="s">
        <v>14603</v>
      </c>
      <c r="D1551" s="13">
        <v>4</v>
      </c>
      <c r="E1551" s="8" t="s">
        <v>14604</v>
      </c>
      <c r="F1551" s="7" t="s">
        <v>11535</v>
      </c>
    </row>
    <row r="1552" ht="18" customHeight="1" spans="1:6">
      <c r="A1552" s="13" t="s">
        <v>4874</v>
      </c>
      <c r="B1552" s="13" t="s">
        <v>4906</v>
      </c>
      <c r="C1552" s="13" t="s">
        <v>14162</v>
      </c>
      <c r="D1552" s="13">
        <v>6</v>
      </c>
      <c r="E1552" s="8" t="s">
        <v>14605</v>
      </c>
      <c r="F1552" s="7" t="s">
        <v>11535</v>
      </c>
    </row>
    <row r="1553" ht="18" customHeight="1" spans="1:6">
      <c r="A1553" s="13" t="s">
        <v>4874</v>
      </c>
      <c r="B1553" s="13" t="s">
        <v>4906</v>
      </c>
      <c r="C1553" s="13" t="s">
        <v>14606</v>
      </c>
      <c r="D1553" s="13">
        <v>1</v>
      </c>
      <c r="E1553" s="8" t="s">
        <v>14607</v>
      </c>
      <c r="F1553" s="7" t="s">
        <v>11535</v>
      </c>
    </row>
    <row r="1554" ht="18" customHeight="1" spans="1:6">
      <c r="A1554" s="13" t="s">
        <v>4874</v>
      </c>
      <c r="B1554" s="13" t="s">
        <v>4906</v>
      </c>
      <c r="C1554" s="13" t="s">
        <v>14608</v>
      </c>
      <c r="D1554" s="13">
        <v>4</v>
      </c>
      <c r="E1554" s="5" t="str">
        <f>LEFT("420325198212043634",19)</f>
        <v>420325198212043634</v>
      </c>
      <c r="F1554" s="7" t="s">
        <v>11535</v>
      </c>
    </row>
    <row r="1555" ht="18" customHeight="1" spans="1:6">
      <c r="A1555" s="13" t="s">
        <v>4874</v>
      </c>
      <c r="B1555" s="13" t="s">
        <v>4906</v>
      </c>
      <c r="C1555" s="13" t="s">
        <v>14609</v>
      </c>
      <c r="D1555" s="13">
        <v>3</v>
      </c>
      <c r="E1555" s="8" t="s">
        <v>14610</v>
      </c>
      <c r="F1555" s="7" t="s">
        <v>11535</v>
      </c>
    </row>
    <row r="1556" ht="18" customHeight="1" spans="1:6">
      <c r="A1556" s="13" t="s">
        <v>4874</v>
      </c>
      <c r="B1556" s="13" t="s">
        <v>4906</v>
      </c>
      <c r="C1556" s="13" t="s">
        <v>14611</v>
      </c>
      <c r="D1556" s="13">
        <v>4</v>
      </c>
      <c r="E1556" s="8" t="s">
        <v>14612</v>
      </c>
      <c r="F1556" s="7" t="s">
        <v>11535</v>
      </c>
    </row>
    <row r="1557" ht="18" customHeight="1" spans="1:6">
      <c r="A1557" s="13" t="s">
        <v>4874</v>
      </c>
      <c r="B1557" s="13" t="s">
        <v>4906</v>
      </c>
      <c r="C1557" s="13" t="s">
        <v>14613</v>
      </c>
      <c r="D1557" s="13">
        <v>3</v>
      </c>
      <c r="E1557" s="8" t="s">
        <v>14614</v>
      </c>
      <c r="F1557" s="7" t="s">
        <v>11535</v>
      </c>
    </row>
    <row r="1558" ht="18" customHeight="1" spans="1:6">
      <c r="A1558" s="13" t="s">
        <v>4874</v>
      </c>
      <c r="B1558" s="13" t="s">
        <v>4906</v>
      </c>
      <c r="C1558" s="13" t="s">
        <v>14615</v>
      </c>
      <c r="D1558" s="13">
        <v>5</v>
      </c>
      <c r="E1558" s="8" t="s">
        <v>14616</v>
      </c>
      <c r="F1558" s="7" t="s">
        <v>11535</v>
      </c>
    </row>
    <row r="1559" ht="18" customHeight="1" spans="1:6">
      <c r="A1559" s="13" t="s">
        <v>4874</v>
      </c>
      <c r="B1559" s="13" t="s">
        <v>4906</v>
      </c>
      <c r="C1559" s="13" t="s">
        <v>14617</v>
      </c>
      <c r="D1559" s="13">
        <v>5</v>
      </c>
      <c r="E1559" s="8" t="s">
        <v>14618</v>
      </c>
      <c r="F1559" s="7" t="s">
        <v>11535</v>
      </c>
    </row>
    <row r="1560" ht="18" customHeight="1" spans="1:6">
      <c r="A1560" s="13" t="s">
        <v>4874</v>
      </c>
      <c r="B1560" s="13" t="s">
        <v>4906</v>
      </c>
      <c r="C1560" s="13" t="s">
        <v>14619</v>
      </c>
      <c r="D1560" s="13">
        <v>4</v>
      </c>
      <c r="E1560" s="8" t="s">
        <v>14620</v>
      </c>
      <c r="F1560" s="7" t="s">
        <v>11535</v>
      </c>
    </row>
    <row r="1561" ht="18" customHeight="1" spans="1:6">
      <c r="A1561" s="13" t="s">
        <v>4874</v>
      </c>
      <c r="B1561" s="13" t="s">
        <v>4906</v>
      </c>
      <c r="C1561" s="13" t="s">
        <v>14621</v>
      </c>
      <c r="D1561" s="13">
        <v>4</v>
      </c>
      <c r="E1561" s="8" t="s">
        <v>14622</v>
      </c>
      <c r="F1561" s="7" t="s">
        <v>11535</v>
      </c>
    </row>
    <row r="1562" ht="18" customHeight="1" spans="1:6">
      <c r="A1562" s="13" t="s">
        <v>4874</v>
      </c>
      <c r="B1562" s="13" t="s">
        <v>4906</v>
      </c>
      <c r="C1562" s="13" t="s">
        <v>14623</v>
      </c>
      <c r="D1562" s="13">
        <v>4</v>
      </c>
      <c r="E1562" s="8" t="s">
        <v>14624</v>
      </c>
      <c r="F1562" s="7" t="s">
        <v>11535</v>
      </c>
    </row>
    <row r="1563" ht="18" customHeight="1" spans="1:6">
      <c r="A1563" s="13" t="s">
        <v>4874</v>
      </c>
      <c r="B1563" s="13" t="s">
        <v>4906</v>
      </c>
      <c r="C1563" s="13" t="s">
        <v>14625</v>
      </c>
      <c r="D1563" s="13">
        <v>4</v>
      </c>
      <c r="E1563" s="8" t="s">
        <v>14626</v>
      </c>
      <c r="F1563" s="7" t="s">
        <v>11535</v>
      </c>
    </row>
    <row r="1564" ht="18" customHeight="1" spans="1:6">
      <c r="A1564" s="13" t="s">
        <v>4874</v>
      </c>
      <c r="B1564" s="13" t="s">
        <v>4906</v>
      </c>
      <c r="C1564" s="13" t="s">
        <v>14627</v>
      </c>
      <c r="D1564" s="13">
        <v>3</v>
      </c>
      <c r="E1564" s="8" t="s">
        <v>14628</v>
      </c>
      <c r="F1564" s="7" t="s">
        <v>11535</v>
      </c>
    </row>
    <row r="1565" ht="18" customHeight="1" spans="1:6">
      <c r="A1565" s="13" t="s">
        <v>4874</v>
      </c>
      <c r="B1565" s="13" t="s">
        <v>4906</v>
      </c>
      <c r="C1565" s="13" t="s">
        <v>14629</v>
      </c>
      <c r="D1565" s="13">
        <v>3</v>
      </c>
      <c r="E1565" s="8" t="s">
        <v>14630</v>
      </c>
      <c r="F1565" s="7" t="s">
        <v>11535</v>
      </c>
    </row>
    <row r="1566" ht="18" customHeight="1" spans="1:6">
      <c r="A1566" s="13" t="s">
        <v>4874</v>
      </c>
      <c r="B1566" s="13" t="s">
        <v>4878</v>
      </c>
      <c r="C1566" s="13" t="s">
        <v>14631</v>
      </c>
      <c r="D1566" s="13">
        <v>3</v>
      </c>
      <c r="E1566" s="8" t="s">
        <v>14632</v>
      </c>
      <c r="F1566" s="7" t="s">
        <v>11535</v>
      </c>
    </row>
    <row r="1567" ht="18" customHeight="1" spans="1:6">
      <c r="A1567" s="13" t="s">
        <v>4874</v>
      </c>
      <c r="B1567" s="13" t="s">
        <v>4878</v>
      </c>
      <c r="C1567" s="13" t="s">
        <v>14633</v>
      </c>
      <c r="D1567" s="13">
        <v>4</v>
      </c>
      <c r="E1567" s="8" t="s">
        <v>14634</v>
      </c>
      <c r="F1567" s="7" t="s">
        <v>11535</v>
      </c>
    </row>
    <row r="1568" ht="18" customHeight="1" spans="1:6">
      <c r="A1568" s="13" t="s">
        <v>4874</v>
      </c>
      <c r="B1568" s="13" t="s">
        <v>4878</v>
      </c>
      <c r="C1568" s="13" t="s">
        <v>14635</v>
      </c>
      <c r="D1568" s="13">
        <v>4</v>
      </c>
      <c r="E1568" s="8" t="s">
        <v>14636</v>
      </c>
      <c r="F1568" s="7" t="s">
        <v>11535</v>
      </c>
    </row>
    <row r="1569" ht="18" customHeight="1" spans="1:6">
      <c r="A1569" s="13" t="s">
        <v>4874</v>
      </c>
      <c r="B1569" s="13" t="s">
        <v>4878</v>
      </c>
      <c r="C1569" s="13" t="s">
        <v>14637</v>
      </c>
      <c r="D1569" s="13">
        <v>3</v>
      </c>
      <c r="E1569" s="8" t="s">
        <v>14638</v>
      </c>
      <c r="F1569" s="7" t="s">
        <v>11535</v>
      </c>
    </row>
    <row r="1570" ht="18" customHeight="1" spans="1:6">
      <c r="A1570" s="13" t="s">
        <v>4874</v>
      </c>
      <c r="B1570" s="13" t="s">
        <v>4878</v>
      </c>
      <c r="C1570" s="13" t="s">
        <v>14639</v>
      </c>
      <c r="D1570" s="13">
        <v>4</v>
      </c>
      <c r="E1570" s="8" t="s">
        <v>14640</v>
      </c>
      <c r="F1570" s="7" t="s">
        <v>11535</v>
      </c>
    </row>
    <row r="1571" ht="18" customHeight="1" spans="1:6">
      <c r="A1571" s="13" t="s">
        <v>4952</v>
      </c>
      <c r="B1571" s="13"/>
      <c r="C1571" s="13">
        <v>135</v>
      </c>
      <c r="D1571" s="13">
        <f>SUM(D1436:D1570)</f>
        <v>401</v>
      </c>
      <c r="E1571" s="13"/>
      <c r="F1571" s="5"/>
    </row>
    <row r="1572" ht="18" customHeight="1" spans="1:6">
      <c r="A1572" s="14" t="s">
        <v>4953</v>
      </c>
      <c r="B1572" s="14" t="s">
        <v>14641</v>
      </c>
      <c r="C1572" s="14" t="s">
        <v>5754</v>
      </c>
      <c r="D1572" s="14">
        <v>3</v>
      </c>
      <c r="E1572" s="14" t="s">
        <v>14642</v>
      </c>
      <c r="F1572" s="7" t="s">
        <v>11535</v>
      </c>
    </row>
    <row r="1573" ht="18" customHeight="1" spans="1:6">
      <c r="A1573" s="14" t="s">
        <v>4953</v>
      </c>
      <c r="B1573" s="14" t="s">
        <v>14641</v>
      </c>
      <c r="C1573" s="14" t="s">
        <v>14643</v>
      </c>
      <c r="D1573" s="14">
        <v>2</v>
      </c>
      <c r="E1573" s="14" t="s">
        <v>14644</v>
      </c>
      <c r="F1573" s="7" t="s">
        <v>11535</v>
      </c>
    </row>
    <row r="1574" ht="18" customHeight="1" spans="1:6">
      <c r="A1574" s="14" t="s">
        <v>4953</v>
      </c>
      <c r="B1574" s="14" t="s">
        <v>4954</v>
      </c>
      <c r="C1574" s="14" t="s">
        <v>14645</v>
      </c>
      <c r="D1574" s="14">
        <v>3</v>
      </c>
      <c r="E1574" s="14" t="s">
        <v>14646</v>
      </c>
      <c r="F1574" s="7" t="s">
        <v>11535</v>
      </c>
    </row>
    <row r="1575" ht="18" customHeight="1" spans="1:6">
      <c r="A1575" s="14" t="s">
        <v>4953</v>
      </c>
      <c r="B1575" s="14" t="s">
        <v>4954</v>
      </c>
      <c r="C1575" s="14" t="s">
        <v>14647</v>
      </c>
      <c r="D1575" s="14">
        <v>2</v>
      </c>
      <c r="E1575" s="14" t="s">
        <v>5011</v>
      </c>
      <c r="F1575" s="7" t="s">
        <v>11535</v>
      </c>
    </row>
    <row r="1576" ht="18" customHeight="1" spans="1:6">
      <c r="A1576" s="14" t="s">
        <v>4953</v>
      </c>
      <c r="B1576" s="14" t="s">
        <v>4976</v>
      </c>
      <c r="C1576" s="14" t="s">
        <v>14648</v>
      </c>
      <c r="D1576" s="14">
        <v>7</v>
      </c>
      <c r="E1576" s="14" t="s">
        <v>14649</v>
      </c>
      <c r="F1576" s="7" t="s">
        <v>11535</v>
      </c>
    </row>
    <row r="1577" ht="18" customHeight="1" spans="1:6">
      <c r="A1577" s="14" t="s">
        <v>4953</v>
      </c>
      <c r="B1577" s="14" t="s">
        <v>4976</v>
      </c>
      <c r="C1577" s="14" t="s">
        <v>14650</v>
      </c>
      <c r="D1577" s="14">
        <v>1</v>
      </c>
      <c r="E1577" s="14" t="s">
        <v>14651</v>
      </c>
      <c r="F1577" s="7" t="s">
        <v>11535</v>
      </c>
    </row>
    <row r="1578" ht="18" customHeight="1" spans="1:6">
      <c r="A1578" s="14" t="s">
        <v>4953</v>
      </c>
      <c r="B1578" s="14" t="s">
        <v>4976</v>
      </c>
      <c r="C1578" s="14" t="s">
        <v>14652</v>
      </c>
      <c r="D1578" s="14">
        <v>1</v>
      </c>
      <c r="E1578" s="14" t="s">
        <v>14653</v>
      </c>
      <c r="F1578" s="7" t="s">
        <v>11535</v>
      </c>
    </row>
    <row r="1579" ht="18" customHeight="1" spans="1:6">
      <c r="A1579" s="14" t="s">
        <v>4953</v>
      </c>
      <c r="B1579" s="14" t="s">
        <v>4976</v>
      </c>
      <c r="C1579" s="14" t="s">
        <v>14654</v>
      </c>
      <c r="D1579" s="14">
        <v>1</v>
      </c>
      <c r="E1579" s="14" t="s">
        <v>14655</v>
      </c>
      <c r="F1579" s="7" t="s">
        <v>11535</v>
      </c>
    </row>
    <row r="1580" ht="18" customHeight="1" spans="1:6">
      <c r="A1580" s="14" t="s">
        <v>4953</v>
      </c>
      <c r="B1580" s="14" t="s">
        <v>4976</v>
      </c>
      <c r="C1580" s="14" t="s">
        <v>14656</v>
      </c>
      <c r="D1580" s="14">
        <v>1</v>
      </c>
      <c r="E1580" s="14" t="s">
        <v>14657</v>
      </c>
      <c r="F1580" s="7" t="s">
        <v>11535</v>
      </c>
    </row>
    <row r="1581" ht="18" customHeight="1" spans="1:6">
      <c r="A1581" s="14" t="s">
        <v>4953</v>
      </c>
      <c r="B1581" s="14" t="s">
        <v>4976</v>
      </c>
      <c r="C1581" s="14" t="s">
        <v>14658</v>
      </c>
      <c r="D1581" s="14">
        <v>2</v>
      </c>
      <c r="E1581" s="14" t="s">
        <v>14659</v>
      </c>
      <c r="F1581" s="7" t="s">
        <v>11535</v>
      </c>
    </row>
    <row r="1582" ht="18" customHeight="1" spans="1:6">
      <c r="A1582" s="14" t="s">
        <v>4953</v>
      </c>
      <c r="B1582" s="14" t="s">
        <v>4954</v>
      </c>
      <c r="C1582" s="14" t="s">
        <v>14660</v>
      </c>
      <c r="D1582" s="15">
        <v>4</v>
      </c>
      <c r="E1582" s="14" t="s">
        <v>14661</v>
      </c>
      <c r="F1582" s="7" t="s">
        <v>11535</v>
      </c>
    </row>
    <row r="1583" ht="18" customHeight="1" spans="1:6">
      <c r="A1583" s="14" t="s">
        <v>4953</v>
      </c>
      <c r="B1583" s="14" t="s">
        <v>5012</v>
      </c>
      <c r="C1583" s="14" t="s">
        <v>14662</v>
      </c>
      <c r="D1583" s="14">
        <v>4</v>
      </c>
      <c r="E1583" s="14" t="s">
        <v>14663</v>
      </c>
      <c r="F1583" s="7" t="s">
        <v>11535</v>
      </c>
    </row>
    <row r="1584" ht="18" customHeight="1" spans="1:6">
      <c r="A1584" s="14" t="s">
        <v>4953</v>
      </c>
      <c r="B1584" s="14" t="s">
        <v>5086</v>
      </c>
      <c r="C1584" s="14" t="s">
        <v>14664</v>
      </c>
      <c r="D1584" s="14">
        <v>2</v>
      </c>
      <c r="E1584" s="14" t="s">
        <v>14665</v>
      </c>
      <c r="F1584" s="7" t="s">
        <v>11535</v>
      </c>
    </row>
    <row r="1585" ht="18" customHeight="1" spans="1:6">
      <c r="A1585" s="14" t="s">
        <v>4953</v>
      </c>
      <c r="B1585" s="14" t="s">
        <v>5033</v>
      </c>
      <c r="C1585" s="14" t="s">
        <v>14666</v>
      </c>
      <c r="D1585" s="14">
        <v>2</v>
      </c>
      <c r="E1585" s="14" t="s">
        <v>14667</v>
      </c>
      <c r="F1585" s="7" t="s">
        <v>11535</v>
      </c>
    </row>
    <row r="1586" ht="18" customHeight="1" spans="1:6">
      <c r="A1586" s="14" t="s">
        <v>4953</v>
      </c>
      <c r="B1586" s="14" t="s">
        <v>5033</v>
      </c>
      <c r="C1586" s="14" t="s">
        <v>14668</v>
      </c>
      <c r="D1586" s="14">
        <v>4</v>
      </c>
      <c r="E1586" s="14" t="s">
        <v>14669</v>
      </c>
      <c r="F1586" s="7" t="s">
        <v>11535</v>
      </c>
    </row>
    <row r="1587" ht="18" customHeight="1" spans="1:6">
      <c r="A1587" s="14" t="s">
        <v>4953</v>
      </c>
      <c r="B1587" s="14" t="s">
        <v>5299</v>
      </c>
      <c r="C1587" s="14" t="s">
        <v>14670</v>
      </c>
      <c r="D1587" s="14">
        <v>4</v>
      </c>
      <c r="E1587" s="14" t="s">
        <v>14671</v>
      </c>
      <c r="F1587" s="7" t="s">
        <v>11535</v>
      </c>
    </row>
    <row r="1588" ht="18" customHeight="1" spans="1:6">
      <c r="A1588" s="14" t="s">
        <v>4953</v>
      </c>
      <c r="B1588" s="14" t="s">
        <v>5299</v>
      </c>
      <c r="C1588" s="14" t="s">
        <v>14672</v>
      </c>
      <c r="D1588" s="14">
        <v>2</v>
      </c>
      <c r="E1588" s="14" t="s">
        <v>14673</v>
      </c>
      <c r="F1588" s="7" t="s">
        <v>11535</v>
      </c>
    </row>
    <row r="1589" ht="18" customHeight="1" spans="1:6">
      <c r="A1589" s="14" t="s">
        <v>4953</v>
      </c>
      <c r="B1589" s="14" t="s">
        <v>14674</v>
      </c>
      <c r="C1589" s="14" t="s">
        <v>14675</v>
      </c>
      <c r="D1589" s="15">
        <v>4</v>
      </c>
      <c r="E1589" s="14" t="s">
        <v>14676</v>
      </c>
      <c r="F1589" s="7" t="s">
        <v>11535</v>
      </c>
    </row>
    <row r="1590" ht="18" customHeight="1" spans="1:6">
      <c r="A1590" s="14" t="s">
        <v>4953</v>
      </c>
      <c r="B1590" s="14" t="s">
        <v>14674</v>
      </c>
      <c r="C1590" s="14" t="s">
        <v>14677</v>
      </c>
      <c r="D1590" s="15">
        <v>2</v>
      </c>
      <c r="E1590" s="14" t="s">
        <v>14678</v>
      </c>
      <c r="F1590" s="7" t="s">
        <v>11535</v>
      </c>
    </row>
    <row r="1591" ht="18" customHeight="1" spans="1:6">
      <c r="A1591" s="14" t="s">
        <v>4953</v>
      </c>
      <c r="B1591" s="14" t="s">
        <v>14679</v>
      </c>
      <c r="C1591" s="14" t="s">
        <v>14680</v>
      </c>
      <c r="D1591" s="14">
        <v>3</v>
      </c>
      <c r="E1591" s="14" t="s">
        <v>14681</v>
      </c>
      <c r="F1591" s="7" t="s">
        <v>11535</v>
      </c>
    </row>
    <row r="1592" ht="18" customHeight="1" spans="1:6">
      <c r="A1592" s="14" t="s">
        <v>4953</v>
      </c>
      <c r="B1592" s="14" t="s">
        <v>14679</v>
      </c>
      <c r="C1592" s="14" t="s">
        <v>14682</v>
      </c>
      <c r="D1592" s="14">
        <v>3</v>
      </c>
      <c r="E1592" s="14" t="s">
        <v>14683</v>
      </c>
      <c r="F1592" s="7" t="s">
        <v>11535</v>
      </c>
    </row>
    <row r="1593" ht="18" customHeight="1" spans="1:6">
      <c r="A1593" s="14" t="s">
        <v>4953</v>
      </c>
      <c r="B1593" s="14" t="s">
        <v>14674</v>
      </c>
      <c r="C1593" s="14" t="s">
        <v>14684</v>
      </c>
      <c r="D1593" s="14">
        <v>4</v>
      </c>
      <c r="E1593" s="14" t="s">
        <v>14685</v>
      </c>
      <c r="F1593" s="7" t="s">
        <v>11535</v>
      </c>
    </row>
    <row r="1594" ht="18" customHeight="1" spans="1:6">
      <c r="A1594" s="14" t="s">
        <v>4953</v>
      </c>
      <c r="B1594" s="14" t="s">
        <v>14674</v>
      </c>
      <c r="C1594" s="14" t="s">
        <v>14686</v>
      </c>
      <c r="D1594" s="14">
        <v>3</v>
      </c>
      <c r="E1594" s="14" t="s">
        <v>14687</v>
      </c>
      <c r="F1594" s="7" t="s">
        <v>11535</v>
      </c>
    </row>
    <row r="1595" ht="18" customHeight="1" spans="1:6">
      <c r="A1595" s="14" t="s">
        <v>4953</v>
      </c>
      <c r="B1595" s="14" t="s">
        <v>14674</v>
      </c>
      <c r="C1595" s="14" t="s">
        <v>14688</v>
      </c>
      <c r="D1595" s="14">
        <v>3</v>
      </c>
      <c r="E1595" s="14" t="s">
        <v>14689</v>
      </c>
      <c r="F1595" s="7" t="s">
        <v>11535</v>
      </c>
    </row>
    <row r="1596" ht="18" customHeight="1" spans="1:6">
      <c r="A1596" s="14" t="s">
        <v>4953</v>
      </c>
      <c r="B1596" s="14" t="s">
        <v>14679</v>
      </c>
      <c r="C1596" s="14" t="s">
        <v>14690</v>
      </c>
      <c r="D1596" s="14">
        <v>3</v>
      </c>
      <c r="E1596" s="14" t="s">
        <v>14691</v>
      </c>
      <c r="F1596" s="7" t="s">
        <v>11535</v>
      </c>
    </row>
    <row r="1597" ht="18" customHeight="1" spans="1:6">
      <c r="A1597" s="14" t="s">
        <v>4953</v>
      </c>
      <c r="B1597" s="14" t="s">
        <v>14692</v>
      </c>
      <c r="C1597" s="14" t="s">
        <v>14693</v>
      </c>
      <c r="D1597" s="14">
        <v>4</v>
      </c>
      <c r="E1597" s="14" t="s">
        <v>14694</v>
      </c>
      <c r="F1597" s="7" t="s">
        <v>11535</v>
      </c>
    </row>
    <row r="1598" ht="18" customHeight="1" spans="1:6">
      <c r="A1598" s="14" t="s">
        <v>4953</v>
      </c>
      <c r="B1598" s="14" t="s">
        <v>14692</v>
      </c>
      <c r="C1598" s="14" t="s">
        <v>14695</v>
      </c>
      <c r="D1598" s="14">
        <v>3</v>
      </c>
      <c r="E1598" s="14" t="s">
        <v>14696</v>
      </c>
      <c r="F1598" s="7" t="s">
        <v>11535</v>
      </c>
    </row>
    <row r="1599" ht="18" customHeight="1" spans="1:6">
      <c r="A1599" s="14" t="s">
        <v>4953</v>
      </c>
      <c r="B1599" s="14" t="s">
        <v>14692</v>
      </c>
      <c r="C1599" s="14" t="s">
        <v>14697</v>
      </c>
      <c r="D1599" s="14">
        <v>3</v>
      </c>
      <c r="E1599" s="14" t="s">
        <v>14698</v>
      </c>
      <c r="F1599" s="7" t="s">
        <v>11535</v>
      </c>
    </row>
    <row r="1600" ht="18" customHeight="1" spans="1:6">
      <c r="A1600" s="14" t="s">
        <v>4953</v>
      </c>
      <c r="B1600" s="14" t="s">
        <v>14692</v>
      </c>
      <c r="C1600" s="14" t="s">
        <v>14699</v>
      </c>
      <c r="D1600" s="14">
        <v>5</v>
      </c>
      <c r="E1600" s="14" t="s">
        <v>14700</v>
      </c>
      <c r="F1600" s="7" t="s">
        <v>11535</v>
      </c>
    </row>
    <row r="1601" ht="18" customHeight="1" spans="1:6">
      <c r="A1601" s="14" t="s">
        <v>4953</v>
      </c>
      <c r="B1601" s="14" t="s">
        <v>14692</v>
      </c>
      <c r="C1601" s="14" t="s">
        <v>14701</v>
      </c>
      <c r="D1601" s="14">
        <v>2</v>
      </c>
      <c r="E1601" s="14" t="s">
        <v>14702</v>
      </c>
      <c r="F1601" s="7" t="s">
        <v>11535</v>
      </c>
    </row>
    <row r="1602" ht="18" customHeight="1" spans="1:6">
      <c r="A1602" s="14" t="s">
        <v>4953</v>
      </c>
      <c r="B1602" s="14" t="s">
        <v>14692</v>
      </c>
      <c r="C1602" s="14" t="s">
        <v>14703</v>
      </c>
      <c r="D1602" s="14">
        <v>4</v>
      </c>
      <c r="E1602" s="14" t="s">
        <v>14704</v>
      </c>
      <c r="F1602" s="7" t="s">
        <v>11535</v>
      </c>
    </row>
    <row r="1603" ht="18" customHeight="1" spans="1:6">
      <c r="A1603" s="14" t="s">
        <v>4953</v>
      </c>
      <c r="B1603" s="14" t="s">
        <v>14692</v>
      </c>
      <c r="C1603" s="14" t="s">
        <v>14705</v>
      </c>
      <c r="D1603" s="14">
        <v>3</v>
      </c>
      <c r="E1603" s="14" t="s">
        <v>14706</v>
      </c>
      <c r="F1603" s="7" t="s">
        <v>11535</v>
      </c>
    </row>
    <row r="1604" ht="18" customHeight="1" spans="1:6">
      <c r="A1604" s="14" t="s">
        <v>4953</v>
      </c>
      <c r="B1604" s="14" t="s">
        <v>14692</v>
      </c>
      <c r="C1604" s="14" t="s">
        <v>14707</v>
      </c>
      <c r="D1604" s="14">
        <v>2</v>
      </c>
      <c r="E1604" s="14" t="s">
        <v>14708</v>
      </c>
      <c r="F1604" s="7" t="s">
        <v>11535</v>
      </c>
    </row>
    <row r="1605" ht="18" customHeight="1" spans="1:6">
      <c r="A1605" s="14" t="s">
        <v>4953</v>
      </c>
      <c r="B1605" s="14" t="s">
        <v>14692</v>
      </c>
      <c r="C1605" s="14" t="s">
        <v>14709</v>
      </c>
      <c r="D1605" s="14">
        <v>1</v>
      </c>
      <c r="E1605" s="14" t="s">
        <v>14710</v>
      </c>
      <c r="F1605" s="7" t="s">
        <v>11535</v>
      </c>
    </row>
    <row r="1606" ht="18" customHeight="1" spans="1:6">
      <c r="A1606" s="14" t="s">
        <v>4953</v>
      </c>
      <c r="B1606" s="14" t="s">
        <v>14692</v>
      </c>
      <c r="C1606" s="14" t="s">
        <v>14711</v>
      </c>
      <c r="D1606" s="14">
        <v>2</v>
      </c>
      <c r="E1606" s="14" t="s">
        <v>14712</v>
      </c>
      <c r="F1606" s="7" t="s">
        <v>11535</v>
      </c>
    </row>
    <row r="1607" ht="18" customHeight="1" spans="1:6">
      <c r="A1607" s="14" t="s">
        <v>4953</v>
      </c>
      <c r="B1607" s="14" t="s">
        <v>14692</v>
      </c>
      <c r="C1607" s="14" t="s">
        <v>14713</v>
      </c>
      <c r="D1607" s="14">
        <v>2</v>
      </c>
      <c r="E1607" s="14" t="s">
        <v>14714</v>
      </c>
      <c r="F1607" s="7" t="s">
        <v>11535</v>
      </c>
    </row>
    <row r="1608" ht="18" customHeight="1" spans="1:6">
      <c r="A1608" s="14" t="s">
        <v>4953</v>
      </c>
      <c r="B1608" s="14" t="s">
        <v>14692</v>
      </c>
      <c r="C1608" s="14" t="s">
        <v>14715</v>
      </c>
      <c r="D1608" s="14">
        <v>4</v>
      </c>
      <c r="E1608" s="14" t="s">
        <v>14716</v>
      </c>
      <c r="F1608" s="7" t="s">
        <v>11535</v>
      </c>
    </row>
    <row r="1609" ht="18" customHeight="1" spans="1:6">
      <c r="A1609" s="14" t="s">
        <v>4953</v>
      </c>
      <c r="B1609" s="14" t="s">
        <v>14692</v>
      </c>
      <c r="C1609" s="14" t="s">
        <v>14717</v>
      </c>
      <c r="D1609" s="14">
        <v>4</v>
      </c>
      <c r="E1609" s="14" t="s">
        <v>14718</v>
      </c>
      <c r="F1609" s="7" t="s">
        <v>11535</v>
      </c>
    </row>
    <row r="1610" ht="18" customHeight="1" spans="1:6">
      <c r="A1610" s="14" t="s">
        <v>4953</v>
      </c>
      <c r="B1610" s="14" t="s">
        <v>14692</v>
      </c>
      <c r="C1610" s="14" t="s">
        <v>14719</v>
      </c>
      <c r="D1610" s="14">
        <v>1</v>
      </c>
      <c r="E1610" s="14" t="s">
        <v>14720</v>
      </c>
      <c r="F1610" s="7" t="s">
        <v>11535</v>
      </c>
    </row>
    <row r="1611" ht="18" customHeight="1" spans="1:6">
      <c r="A1611" s="14" t="s">
        <v>4953</v>
      </c>
      <c r="B1611" s="14" t="s">
        <v>14692</v>
      </c>
      <c r="C1611" s="14" t="s">
        <v>14721</v>
      </c>
      <c r="D1611" s="14">
        <v>5</v>
      </c>
      <c r="E1611" s="14" t="s">
        <v>14722</v>
      </c>
      <c r="F1611" s="7" t="s">
        <v>11535</v>
      </c>
    </row>
    <row r="1612" ht="18" customHeight="1" spans="1:6">
      <c r="A1612" s="14" t="s">
        <v>4953</v>
      </c>
      <c r="B1612" s="14" t="s">
        <v>14692</v>
      </c>
      <c r="C1612" s="14" t="s">
        <v>14723</v>
      </c>
      <c r="D1612" s="14">
        <v>2</v>
      </c>
      <c r="E1612" s="14" t="s">
        <v>14724</v>
      </c>
      <c r="F1612" s="7" t="s">
        <v>11535</v>
      </c>
    </row>
    <row r="1613" ht="18" customHeight="1" spans="1:6">
      <c r="A1613" s="14" t="s">
        <v>4953</v>
      </c>
      <c r="B1613" s="14" t="s">
        <v>14692</v>
      </c>
      <c r="C1613" s="14" t="s">
        <v>14725</v>
      </c>
      <c r="D1613" s="15">
        <v>1</v>
      </c>
      <c r="E1613" s="14" t="s">
        <v>14726</v>
      </c>
      <c r="F1613" s="7" t="s">
        <v>11535</v>
      </c>
    </row>
    <row r="1614" ht="18" customHeight="1" spans="1:6">
      <c r="A1614" s="14" t="s">
        <v>4953</v>
      </c>
      <c r="B1614" s="14" t="s">
        <v>5760</v>
      </c>
      <c r="C1614" s="14" t="s">
        <v>14727</v>
      </c>
      <c r="D1614" s="14">
        <v>3</v>
      </c>
      <c r="E1614" s="14" t="s">
        <v>14728</v>
      </c>
      <c r="F1614" s="7" t="s">
        <v>11535</v>
      </c>
    </row>
    <row r="1615" ht="18" customHeight="1" spans="1:6">
      <c r="A1615" s="14" t="s">
        <v>4953</v>
      </c>
      <c r="B1615" s="14" t="s">
        <v>5760</v>
      </c>
      <c r="C1615" s="14" t="s">
        <v>14729</v>
      </c>
      <c r="D1615" s="14">
        <v>4</v>
      </c>
      <c r="E1615" s="14" t="s">
        <v>14730</v>
      </c>
      <c r="F1615" s="7" t="s">
        <v>11535</v>
      </c>
    </row>
    <row r="1616" ht="18" customHeight="1" spans="1:6">
      <c r="A1616" s="14" t="s">
        <v>4953</v>
      </c>
      <c r="B1616" s="14" t="s">
        <v>5760</v>
      </c>
      <c r="C1616" s="14" t="s">
        <v>14731</v>
      </c>
      <c r="D1616" s="14">
        <v>4</v>
      </c>
      <c r="E1616" s="14" t="s">
        <v>14732</v>
      </c>
      <c r="F1616" s="7" t="s">
        <v>11535</v>
      </c>
    </row>
    <row r="1617" ht="18" customHeight="1" spans="1:6">
      <c r="A1617" s="14" t="s">
        <v>4953</v>
      </c>
      <c r="B1617" s="14" t="s">
        <v>5760</v>
      </c>
      <c r="C1617" s="14" t="s">
        <v>14733</v>
      </c>
      <c r="D1617" s="14">
        <v>3</v>
      </c>
      <c r="E1617" s="14" t="s">
        <v>14734</v>
      </c>
      <c r="F1617" s="7" t="s">
        <v>11535</v>
      </c>
    </row>
    <row r="1618" ht="18" customHeight="1" spans="1:6">
      <c r="A1618" s="14" t="s">
        <v>4953</v>
      </c>
      <c r="B1618" s="14" t="s">
        <v>5760</v>
      </c>
      <c r="C1618" s="14" t="s">
        <v>14735</v>
      </c>
      <c r="D1618" s="14">
        <v>5</v>
      </c>
      <c r="E1618" s="14" t="s">
        <v>14736</v>
      </c>
      <c r="F1618" s="7" t="s">
        <v>11535</v>
      </c>
    </row>
    <row r="1619" ht="18" customHeight="1" spans="1:6">
      <c r="A1619" s="14" t="s">
        <v>4953</v>
      </c>
      <c r="B1619" s="14" t="s">
        <v>5760</v>
      </c>
      <c r="C1619" s="14" t="s">
        <v>14737</v>
      </c>
      <c r="D1619" s="14">
        <v>4</v>
      </c>
      <c r="E1619" s="14" t="s">
        <v>14738</v>
      </c>
      <c r="F1619" s="7" t="s">
        <v>11535</v>
      </c>
    </row>
    <row r="1620" ht="18" customHeight="1" spans="1:6">
      <c r="A1620" s="14" t="s">
        <v>4953</v>
      </c>
      <c r="B1620" s="14" t="s">
        <v>5760</v>
      </c>
      <c r="C1620" s="14" t="s">
        <v>14739</v>
      </c>
      <c r="D1620" s="14">
        <v>2</v>
      </c>
      <c r="E1620" s="14" t="s">
        <v>14740</v>
      </c>
      <c r="F1620" s="7" t="s">
        <v>11535</v>
      </c>
    </row>
    <row r="1621" ht="18" customHeight="1" spans="1:6">
      <c r="A1621" s="14" t="s">
        <v>4953</v>
      </c>
      <c r="B1621" s="14" t="s">
        <v>5760</v>
      </c>
      <c r="C1621" s="14" t="s">
        <v>14741</v>
      </c>
      <c r="D1621" s="14">
        <v>3</v>
      </c>
      <c r="E1621" s="14" t="s">
        <v>14742</v>
      </c>
      <c r="F1621" s="7" t="s">
        <v>11535</v>
      </c>
    </row>
    <row r="1622" ht="18" customHeight="1" spans="1:6">
      <c r="A1622" s="14" t="s">
        <v>4953</v>
      </c>
      <c r="B1622" s="14" t="s">
        <v>5760</v>
      </c>
      <c r="C1622" s="14" t="s">
        <v>14743</v>
      </c>
      <c r="D1622" s="14">
        <v>3</v>
      </c>
      <c r="E1622" s="14" t="s">
        <v>14744</v>
      </c>
      <c r="F1622" s="7" t="s">
        <v>11535</v>
      </c>
    </row>
    <row r="1623" ht="18" customHeight="1" spans="1:6">
      <c r="A1623" s="14" t="s">
        <v>4953</v>
      </c>
      <c r="B1623" s="14" t="s">
        <v>5760</v>
      </c>
      <c r="C1623" s="14" t="s">
        <v>14745</v>
      </c>
      <c r="D1623" s="14">
        <v>2</v>
      </c>
      <c r="E1623" s="14" t="s">
        <v>14746</v>
      </c>
      <c r="F1623" s="7" t="s">
        <v>11535</v>
      </c>
    </row>
    <row r="1624" ht="18" customHeight="1" spans="1:6">
      <c r="A1624" s="14" t="s">
        <v>4953</v>
      </c>
      <c r="B1624" s="14" t="s">
        <v>5760</v>
      </c>
      <c r="C1624" s="14" t="s">
        <v>14747</v>
      </c>
      <c r="D1624" s="14">
        <v>3</v>
      </c>
      <c r="E1624" s="14" t="s">
        <v>14748</v>
      </c>
      <c r="F1624" s="7" t="s">
        <v>11535</v>
      </c>
    </row>
    <row r="1625" ht="18" customHeight="1" spans="1:6">
      <c r="A1625" s="14" t="s">
        <v>4953</v>
      </c>
      <c r="B1625" s="14" t="s">
        <v>5760</v>
      </c>
      <c r="C1625" s="14" t="s">
        <v>14749</v>
      </c>
      <c r="D1625" s="14">
        <v>4</v>
      </c>
      <c r="E1625" s="14" t="s">
        <v>14750</v>
      </c>
      <c r="F1625" s="7" t="s">
        <v>11535</v>
      </c>
    </row>
    <row r="1626" ht="18" customHeight="1" spans="1:6">
      <c r="A1626" s="14" t="s">
        <v>4953</v>
      </c>
      <c r="B1626" s="14" t="s">
        <v>5760</v>
      </c>
      <c r="C1626" s="14" t="s">
        <v>14751</v>
      </c>
      <c r="D1626" s="14">
        <v>3</v>
      </c>
      <c r="E1626" s="14" t="s">
        <v>14752</v>
      </c>
      <c r="F1626" s="7" t="s">
        <v>11535</v>
      </c>
    </row>
    <row r="1627" ht="18" customHeight="1" spans="1:6">
      <c r="A1627" s="14" t="s">
        <v>4953</v>
      </c>
      <c r="B1627" s="14" t="s">
        <v>5760</v>
      </c>
      <c r="C1627" s="14" t="s">
        <v>14753</v>
      </c>
      <c r="D1627" s="14">
        <v>2</v>
      </c>
      <c r="E1627" s="14" t="s">
        <v>14754</v>
      </c>
      <c r="F1627" s="7" t="s">
        <v>11535</v>
      </c>
    </row>
    <row r="1628" ht="18" customHeight="1" spans="1:6">
      <c r="A1628" s="14" t="s">
        <v>4953</v>
      </c>
      <c r="B1628" s="14" t="s">
        <v>5760</v>
      </c>
      <c r="C1628" s="14" t="s">
        <v>14755</v>
      </c>
      <c r="D1628" s="14">
        <v>5</v>
      </c>
      <c r="E1628" s="14" t="s">
        <v>14756</v>
      </c>
      <c r="F1628" s="7" t="s">
        <v>11535</v>
      </c>
    </row>
    <row r="1629" ht="18" customHeight="1" spans="1:6">
      <c r="A1629" s="14" t="s">
        <v>4953</v>
      </c>
      <c r="B1629" s="14" t="s">
        <v>5760</v>
      </c>
      <c r="C1629" s="14" t="s">
        <v>14757</v>
      </c>
      <c r="D1629" s="14">
        <v>4</v>
      </c>
      <c r="E1629" s="14" t="s">
        <v>14758</v>
      </c>
      <c r="F1629" s="7" t="s">
        <v>11535</v>
      </c>
    </row>
    <row r="1630" ht="18" customHeight="1" spans="1:6">
      <c r="A1630" s="14" t="s">
        <v>4953</v>
      </c>
      <c r="B1630" s="14" t="s">
        <v>5760</v>
      </c>
      <c r="C1630" s="14" t="s">
        <v>14759</v>
      </c>
      <c r="D1630" s="14">
        <v>3</v>
      </c>
      <c r="E1630" s="14" t="s">
        <v>14760</v>
      </c>
      <c r="F1630" s="7" t="s">
        <v>11535</v>
      </c>
    </row>
    <row r="1631" ht="18" customHeight="1" spans="1:6">
      <c r="A1631" s="14" t="s">
        <v>4953</v>
      </c>
      <c r="B1631" s="14" t="s">
        <v>5760</v>
      </c>
      <c r="C1631" s="14" t="s">
        <v>14761</v>
      </c>
      <c r="D1631" s="14">
        <v>1</v>
      </c>
      <c r="E1631" s="14" t="s">
        <v>14762</v>
      </c>
      <c r="F1631" s="7" t="s">
        <v>11535</v>
      </c>
    </row>
    <row r="1632" ht="18" customHeight="1" spans="1:6">
      <c r="A1632" s="14" t="s">
        <v>4953</v>
      </c>
      <c r="B1632" s="14" t="s">
        <v>5760</v>
      </c>
      <c r="C1632" s="14" t="s">
        <v>9812</v>
      </c>
      <c r="D1632" s="14">
        <v>2</v>
      </c>
      <c r="E1632" s="14" t="s">
        <v>14763</v>
      </c>
      <c r="F1632" s="7" t="s">
        <v>11535</v>
      </c>
    </row>
    <row r="1633" ht="18" customHeight="1" spans="1:6">
      <c r="A1633" s="14" t="s">
        <v>4953</v>
      </c>
      <c r="B1633" s="14" t="s">
        <v>5760</v>
      </c>
      <c r="C1633" s="14" t="s">
        <v>14764</v>
      </c>
      <c r="D1633" s="14">
        <v>3</v>
      </c>
      <c r="E1633" s="14" t="s">
        <v>14765</v>
      </c>
      <c r="F1633" s="7" t="s">
        <v>11535</v>
      </c>
    </row>
    <row r="1634" ht="18" customHeight="1" spans="1:6">
      <c r="A1634" s="14" t="s">
        <v>4953</v>
      </c>
      <c r="B1634" s="14" t="s">
        <v>5760</v>
      </c>
      <c r="C1634" s="14" t="s">
        <v>14766</v>
      </c>
      <c r="D1634" s="14">
        <v>4</v>
      </c>
      <c r="E1634" s="14" t="s">
        <v>14767</v>
      </c>
      <c r="F1634" s="7" t="s">
        <v>11535</v>
      </c>
    </row>
    <row r="1635" ht="18" customHeight="1" spans="1:6">
      <c r="A1635" s="14" t="s">
        <v>4953</v>
      </c>
      <c r="B1635" s="14" t="s">
        <v>5760</v>
      </c>
      <c r="C1635" s="14" t="s">
        <v>14768</v>
      </c>
      <c r="D1635" s="14">
        <v>6</v>
      </c>
      <c r="E1635" s="14" t="s">
        <v>14769</v>
      </c>
      <c r="F1635" s="7" t="s">
        <v>11535</v>
      </c>
    </row>
    <row r="1636" ht="18" customHeight="1" spans="1:6">
      <c r="A1636" s="14" t="s">
        <v>4953</v>
      </c>
      <c r="B1636" s="14" t="s">
        <v>14770</v>
      </c>
      <c r="C1636" s="14" t="s">
        <v>14771</v>
      </c>
      <c r="D1636" s="14">
        <v>2</v>
      </c>
      <c r="E1636" s="14" t="s">
        <v>14772</v>
      </c>
      <c r="F1636" s="7" t="s">
        <v>11535</v>
      </c>
    </row>
    <row r="1637" ht="18" customHeight="1" spans="1:6">
      <c r="A1637" s="14" t="s">
        <v>4953</v>
      </c>
      <c r="B1637" s="14" t="s">
        <v>14770</v>
      </c>
      <c r="C1637" s="14" t="s">
        <v>14773</v>
      </c>
      <c r="D1637" s="14">
        <v>3</v>
      </c>
      <c r="E1637" s="14" t="s">
        <v>14774</v>
      </c>
      <c r="F1637" s="7" t="s">
        <v>11535</v>
      </c>
    </row>
    <row r="1638" ht="18" customHeight="1" spans="1:6">
      <c r="A1638" s="14" t="s">
        <v>4953</v>
      </c>
      <c r="B1638" s="14" t="s">
        <v>14770</v>
      </c>
      <c r="C1638" s="14" t="s">
        <v>14775</v>
      </c>
      <c r="D1638" s="14">
        <v>2</v>
      </c>
      <c r="E1638" s="14" t="s">
        <v>14776</v>
      </c>
      <c r="F1638" s="7" t="s">
        <v>11535</v>
      </c>
    </row>
    <row r="1639" ht="18" customHeight="1" spans="1:6">
      <c r="A1639" s="14" t="s">
        <v>4953</v>
      </c>
      <c r="B1639" s="14" t="s">
        <v>14770</v>
      </c>
      <c r="C1639" s="14" t="s">
        <v>14777</v>
      </c>
      <c r="D1639" s="14">
        <v>4</v>
      </c>
      <c r="E1639" s="14" t="s">
        <v>14778</v>
      </c>
      <c r="F1639" s="7" t="s">
        <v>11535</v>
      </c>
    </row>
    <row r="1640" ht="18" customHeight="1" spans="1:6">
      <c r="A1640" s="14" t="s">
        <v>4953</v>
      </c>
      <c r="B1640" s="14" t="s">
        <v>14770</v>
      </c>
      <c r="C1640" s="14" t="s">
        <v>14779</v>
      </c>
      <c r="D1640" s="14">
        <v>3</v>
      </c>
      <c r="E1640" s="14" t="s">
        <v>14780</v>
      </c>
      <c r="F1640" s="7" t="s">
        <v>11535</v>
      </c>
    </row>
    <row r="1641" ht="18" customHeight="1" spans="1:6">
      <c r="A1641" s="14" t="s">
        <v>4953</v>
      </c>
      <c r="B1641" s="14" t="s">
        <v>14770</v>
      </c>
      <c r="C1641" s="14" t="s">
        <v>14781</v>
      </c>
      <c r="D1641" s="14">
        <v>3</v>
      </c>
      <c r="E1641" s="14" t="s">
        <v>14782</v>
      </c>
      <c r="F1641" s="7" t="s">
        <v>11535</v>
      </c>
    </row>
    <row r="1642" ht="18" customHeight="1" spans="1:6">
      <c r="A1642" s="14" t="s">
        <v>4953</v>
      </c>
      <c r="B1642" s="14" t="s">
        <v>14770</v>
      </c>
      <c r="C1642" s="14" t="s">
        <v>14783</v>
      </c>
      <c r="D1642" s="14">
        <v>3</v>
      </c>
      <c r="E1642" s="14" t="s">
        <v>14784</v>
      </c>
      <c r="F1642" s="7" t="s">
        <v>11535</v>
      </c>
    </row>
    <row r="1643" ht="18" customHeight="1" spans="1:6">
      <c r="A1643" s="14" t="s">
        <v>4953</v>
      </c>
      <c r="B1643" s="14" t="s">
        <v>14770</v>
      </c>
      <c r="C1643" s="14" t="s">
        <v>14785</v>
      </c>
      <c r="D1643" s="14">
        <v>2</v>
      </c>
      <c r="E1643" s="14" t="s">
        <v>14786</v>
      </c>
      <c r="F1643" s="7" t="s">
        <v>11535</v>
      </c>
    </row>
    <row r="1644" ht="18" customHeight="1" spans="1:6">
      <c r="A1644" s="14" t="s">
        <v>4953</v>
      </c>
      <c r="B1644" s="14" t="s">
        <v>14770</v>
      </c>
      <c r="C1644" s="14" t="s">
        <v>14787</v>
      </c>
      <c r="D1644" s="14">
        <v>2</v>
      </c>
      <c r="E1644" s="14" t="s">
        <v>14788</v>
      </c>
      <c r="F1644" s="7" t="s">
        <v>11535</v>
      </c>
    </row>
    <row r="1645" ht="18" customHeight="1" spans="1:6">
      <c r="A1645" s="14" t="s">
        <v>4953</v>
      </c>
      <c r="B1645" s="14" t="s">
        <v>14770</v>
      </c>
      <c r="C1645" s="14" t="s">
        <v>14789</v>
      </c>
      <c r="D1645" s="14">
        <v>3</v>
      </c>
      <c r="E1645" s="14" t="s">
        <v>14790</v>
      </c>
      <c r="F1645" s="7" t="s">
        <v>11535</v>
      </c>
    </row>
    <row r="1646" ht="18" customHeight="1" spans="1:6">
      <c r="A1646" s="14" t="s">
        <v>4953</v>
      </c>
      <c r="B1646" s="14" t="s">
        <v>14770</v>
      </c>
      <c r="C1646" s="14" t="s">
        <v>14791</v>
      </c>
      <c r="D1646" s="14">
        <v>4</v>
      </c>
      <c r="E1646" s="14" t="s">
        <v>14792</v>
      </c>
      <c r="F1646" s="7" t="s">
        <v>11535</v>
      </c>
    </row>
    <row r="1647" ht="18" customHeight="1" spans="1:6">
      <c r="A1647" s="14" t="s">
        <v>4953</v>
      </c>
      <c r="B1647" s="14" t="s">
        <v>14770</v>
      </c>
      <c r="C1647" s="14" t="s">
        <v>14793</v>
      </c>
      <c r="D1647" s="14">
        <v>2</v>
      </c>
      <c r="E1647" s="14" t="s">
        <v>14794</v>
      </c>
      <c r="F1647" s="7" t="s">
        <v>11535</v>
      </c>
    </row>
    <row r="1648" ht="18" customHeight="1" spans="1:6">
      <c r="A1648" s="14" t="s">
        <v>4953</v>
      </c>
      <c r="B1648" s="14" t="s">
        <v>14770</v>
      </c>
      <c r="C1648" s="14" t="s">
        <v>14795</v>
      </c>
      <c r="D1648" s="14">
        <v>5</v>
      </c>
      <c r="E1648" s="14" t="s">
        <v>14796</v>
      </c>
      <c r="F1648" s="7" t="s">
        <v>11535</v>
      </c>
    </row>
    <row r="1649" ht="18" customHeight="1" spans="1:6">
      <c r="A1649" s="14" t="s">
        <v>4953</v>
      </c>
      <c r="B1649" s="14" t="s">
        <v>14770</v>
      </c>
      <c r="C1649" s="14" t="s">
        <v>14797</v>
      </c>
      <c r="D1649" s="14">
        <v>5</v>
      </c>
      <c r="E1649" s="14" t="s">
        <v>14798</v>
      </c>
      <c r="F1649" s="7" t="s">
        <v>11535</v>
      </c>
    </row>
    <row r="1650" ht="18" customHeight="1" spans="1:6">
      <c r="A1650" s="14" t="s">
        <v>4953</v>
      </c>
      <c r="B1650" s="14" t="s">
        <v>14770</v>
      </c>
      <c r="C1650" s="14" t="s">
        <v>14799</v>
      </c>
      <c r="D1650" s="14">
        <v>5</v>
      </c>
      <c r="E1650" s="14" t="s">
        <v>14800</v>
      </c>
      <c r="F1650" s="7" t="s">
        <v>11535</v>
      </c>
    </row>
    <row r="1651" ht="18" customHeight="1" spans="1:6">
      <c r="A1651" s="14" t="s">
        <v>4953</v>
      </c>
      <c r="B1651" s="14" t="s">
        <v>14770</v>
      </c>
      <c r="C1651" s="14" t="s">
        <v>14801</v>
      </c>
      <c r="D1651" s="14">
        <v>3</v>
      </c>
      <c r="E1651" s="14" t="s">
        <v>14802</v>
      </c>
      <c r="F1651" s="7" t="s">
        <v>11535</v>
      </c>
    </row>
    <row r="1652" ht="18" customHeight="1" spans="1:6">
      <c r="A1652" s="14" t="s">
        <v>4953</v>
      </c>
      <c r="B1652" s="14" t="s">
        <v>14770</v>
      </c>
      <c r="C1652" s="14" t="s">
        <v>14803</v>
      </c>
      <c r="D1652" s="14">
        <v>4</v>
      </c>
      <c r="E1652" s="14" t="s">
        <v>14804</v>
      </c>
      <c r="F1652" s="7" t="s">
        <v>11535</v>
      </c>
    </row>
    <row r="1653" ht="18" customHeight="1" spans="1:6">
      <c r="A1653" s="14" t="s">
        <v>4953</v>
      </c>
      <c r="B1653" s="14" t="s">
        <v>14770</v>
      </c>
      <c r="C1653" s="14" t="s">
        <v>5639</v>
      </c>
      <c r="D1653" s="14">
        <v>6</v>
      </c>
      <c r="E1653" s="14" t="s">
        <v>14805</v>
      </c>
      <c r="F1653" s="7" t="s">
        <v>11535</v>
      </c>
    </row>
    <row r="1654" ht="18" customHeight="1" spans="1:6">
      <c r="A1654" s="14" t="s">
        <v>4953</v>
      </c>
      <c r="B1654" s="14" t="s">
        <v>14770</v>
      </c>
      <c r="C1654" s="14" t="s">
        <v>14806</v>
      </c>
      <c r="D1654" s="14">
        <v>2</v>
      </c>
      <c r="E1654" s="14" t="s">
        <v>14807</v>
      </c>
      <c r="F1654" s="7" t="s">
        <v>11535</v>
      </c>
    </row>
    <row r="1655" ht="18" customHeight="1" spans="1:6">
      <c r="A1655" s="14" t="s">
        <v>4953</v>
      </c>
      <c r="B1655" s="14" t="s">
        <v>14770</v>
      </c>
      <c r="C1655" s="14" t="s">
        <v>14808</v>
      </c>
      <c r="D1655" s="14">
        <v>5</v>
      </c>
      <c r="E1655" s="14" t="s">
        <v>14809</v>
      </c>
      <c r="F1655" s="7" t="s">
        <v>11535</v>
      </c>
    </row>
    <row r="1656" ht="18" customHeight="1" spans="1:6">
      <c r="A1656" s="14" t="s">
        <v>4953</v>
      </c>
      <c r="B1656" s="14" t="s">
        <v>14770</v>
      </c>
      <c r="C1656" s="14" t="s">
        <v>14810</v>
      </c>
      <c r="D1656" s="14">
        <v>3</v>
      </c>
      <c r="E1656" s="14" t="s">
        <v>14811</v>
      </c>
      <c r="F1656" s="7" t="s">
        <v>11535</v>
      </c>
    </row>
    <row r="1657" ht="18" customHeight="1" spans="1:6">
      <c r="A1657" s="14" t="s">
        <v>4953</v>
      </c>
      <c r="B1657" s="14" t="s">
        <v>14770</v>
      </c>
      <c r="C1657" s="14" t="s">
        <v>14812</v>
      </c>
      <c r="D1657" s="14">
        <v>4</v>
      </c>
      <c r="E1657" s="14" t="s">
        <v>14813</v>
      </c>
      <c r="F1657" s="7" t="s">
        <v>11535</v>
      </c>
    </row>
    <row r="1658" ht="18" customHeight="1" spans="1:6">
      <c r="A1658" s="14" t="s">
        <v>4953</v>
      </c>
      <c r="B1658" s="14" t="s">
        <v>14770</v>
      </c>
      <c r="C1658" s="14" t="s">
        <v>14814</v>
      </c>
      <c r="D1658" s="14">
        <v>2</v>
      </c>
      <c r="E1658" s="14" t="s">
        <v>14815</v>
      </c>
      <c r="F1658" s="7" t="s">
        <v>11535</v>
      </c>
    </row>
    <row r="1659" ht="18" customHeight="1" spans="1:6">
      <c r="A1659" s="14" t="s">
        <v>4953</v>
      </c>
      <c r="B1659" s="14" t="s">
        <v>14770</v>
      </c>
      <c r="C1659" s="14" t="s">
        <v>14816</v>
      </c>
      <c r="D1659" s="14">
        <v>2</v>
      </c>
      <c r="E1659" s="14" t="s">
        <v>14817</v>
      </c>
      <c r="F1659" s="7" t="s">
        <v>11535</v>
      </c>
    </row>
    <row r="1660" ht="18" customHeight="1" spans="1:6">
      <c r="A1660" s="14" t="s">
        <v>4953</v>
      </c>
      <c r="B1660" s="14" t="s">
        <v>14770</v>
      </c>
      <c r="C1660" s="14" t="s">
        <v>14818</v>
      </c>
      <c r="D1660" s="14">
        <v>4</v>
      </c>
      <c r="E1660" s="14" t="s">
        <v>14819</v>
      </c>
      <c r="F1660" s="7" t="s">
        <v>11535</v>
      </c>
    </row>
    <row r="1661" ht="18" customHeight="1" spans="1:6">
      <c r="A1661" s="14" t="s">
        <v>4953</v>
      </c>
      <c r="B1661" s="14" t="s">
        <v>14770</v>
      </c>
      <c r="C1661" s="14" t="s">
        <v>14820</v>
      </c>
      <c r="D1661" s="14">
        <v>1</v>
      </c>
      <c r="E1661" s="14" t="s">
        <v>14821</v>
      </c>
      <c r="F1661" s="7" t="s">
        <v>11535</v>
      </c>
    </row>
    <row r="1662" ht="18" customHeight="1" spans="1:6">
      <c r="A1662" s="14" t="s">
        <v>4953</v>
      </c>
      <c r="B1662" s="14" t="s">
        <v>14770</v>
      </c>
      <c r="C1662" s="14" t="s">
        <v>14822</v>
      </c>
      <c r="D1662" s="14">
        <v>5</v>
      </c>
      <c r="E1662" s="14" t="s">
        <v>14823</v>
      </c>
      <c r="F1662" s="7" t="s">
        <v>11535</v>
      </c>
    </row>
    <row r="1663" ht="18" customHeight="1" spans="1:6">
      <c r="A1663" s="13" t="s">
        <v>5826</v>
      </c>
      <c r="B1663" s="13"/>
      <c r="C1663" s="13">
        <v>91</v>
      </c>
      <c r="D1663" s="13">
        <f>SUM(D1572:D1662)</f>
        <v>280</v>
      </c>
      <c r="E1663" s="13"/>
      <c r="F1663" s="5"/>
    </row>
    <row r="1664" ht="18" customHeight="1" spans="1:6">
      <c r="A1664" s="5" t="s">
        <v>5827</v>
      </c>
      <c r="B1664" s="5" t="s">
        <v>5844</v>
      </c>
      <c r="C1664" s="5" t="s">
        <v>14824</v>
      </c>
      <c r="D1664" s="5">
        <v>2</v>
      </c>
      <c r="E1664" s="8" t="s">
        <v>14825</v>
      </c>
      <c r="F1664" s="7" t="s">
        <v>11535</v>
      </c>
    </row>
    <row r="1665" ht="18" customHeight="1" spans="1:6">
      <c r="A1665" s="5" t="s">
        <v>5827</v>
      </c>
      <c r="B1665" s="5" t="s">
        <v>5902</v>
      </c>
      <c r="C1665" s="12" t="s">
        <v>14826</v>
      </c>
      <c r="D1665" s="6">
        <v>2</v>
      </c>
      <c r="E1665" s="8" t="s">
        <v>14827</v>
      </c>
      <c r="F1665" s="7" t="s">
        <v>11535</v>
      </c>
    </row>
    <row r="1666" ht="18" customHeight="1" spans="1:6">
      <c r="A1666" s="5" t="s">
        <v>5827</v>
      </c>
      <c r="B1666" s="5" t="s">
        <v>5912</v>
      </c>
      <c r="C1666" s="12" t="s">
        <v>14828</v>
      </c>
      <c r="D1666" s="6">
        <v>2</v>
      </c>
      <c r="E1666" s="8" t="s">
        <v>14829</v>
      </c>
      <c r="F1666" s="7" t="s">
        <v>11535</v>
      </c>
    </row>
    <row r="1667" ht="18" customHeight="1" spans="1:6">
      <c r="A1667" s="5" t="s">
        <v>5827</v>
      </c>
      <c r="B1667" s="5" t="s">
        <v>5902</v>
      </c>
      <c r="C1667" s="12" t="s">
        <v>14830</v>
      </c>
      <c r="D1667" s="6">
        <v>3</v>
      </c>
      <c r="E1667" s="8" t="s">
        <v>14831</v>
      </c>
      <c r="F1667" s="7" t="s">
        <v>11535</v>
      </c>
    </row>
    <row r="1668" ht="18" customHeight="1" spans="1:6">
      <c r="A1668" s="5" t="s">
        <v>5827</v>
      </c>
      <c r="B1668" s="5" t="s">
        <v>5902</v>
      </c>
      <c r="C1668" s="12" t="s">
        <v>14832</v>
      </c>
      <c r="D1668" s="6">
        <v>1</v>
      </c>
      <c r="E1668" s="8" t="s">
        <v>14833</v>
      </c>
      <c r="F1668" s="7" t="s">
        <v>11535</v>
      </c>
    </row>
    <row r="1669" ht="18" customHeight="1" spans="1:6">
      <c r="A1669" s="5" t="s">
        <v>5827</v>
      </c>
      <c r="B1669" s="5" t="s">
        <v>5912</v>
      </c>
      <c r="C1669" s="12" t="s">
        <v>14834</v>
      </c>
      <c r="D1669" s="6">
        <v>3</v>
      </c>
      <c r="E1669" s="8" t="s">
        <v>14835</v>
      </c>
      <c r="F1669" s="7" t="s">
        <v>11535</v>
      </c>
    </row>
    <row r="1670" ht="18" customHeight="1" spans="1:6">
      <c r="A1670" s="5" t="s">
        <v>5827</v>
      </c>
      <c r="B1670" s="5" t="s">
        <v>6153</v>
      </c>
      <c r="C1670" s="12" t="s">
        <v>14836</v>
      </c>
      <c r="D1670" s="6">
        <v>2</v>
      </c>
      <c r="E1670" s="8" t="s">
        <v>14837</v>
      </c>
      <c r="F1670" s="7" t="s">
        <v>11535</v>
      </c>
    </row>
    <row r="1671" ht="18" customHeight="1" spans="1:6">
      <c r="A1671" s="5" t="s">
        <v>5827</v>
      </c>
      <c r="B1671" s="5" t="s">
        <v>5902</v>
      </c>
      <c r="C1671" s="12" t="s">
        <v>14838</v>
      </c>
      <c r="D1671" s="6">
        <v>2</v>
      </c>
      <c r="E1671" s="194" t="s">
        <v>14839</v>
      </c>
      <c r="F1671" s="7" t="s">
        <v>11535</v>
      </c>
    </row>
    <row r="1672" ht="18" customHeight="1" spans="1:6">
      <c r="A1672" s="5" t="s">
        <v>5827</v>
      </c>
      <c r="B1672" s="5" t="s">
        <v>5902</v>
      </c>
      <c r="C1672" s="12" t="s">
        <v>14840</v>
      </c>
      <c r="D1672" s="6">
        <v>3</v>
      </c>
      <c r="E1672" s="12" t="s">
        <v>14841</v>
      </c>
      <c r="F1672" s="7" t="s">
        <v>11535</v>
      </c>
    </row>
    <row r="1673" ht="18" customHeight="1" spans="1:6">
      <c r="A1673" s="5" t="s">
        <v>5827</v>
      </c>
      <c r="B1673" s="5" t="s">
        <v>5902</v>
      </c>
      <c r="C1673" s="12" t="s">
        <v>14842</v>
      </c>
      <c r="D1673" s="6">
        <v>4</v>
      </c>
      <c r="E1673" s="12" t="s">
        <v>14843</v>
      </c>
      <c r="F1673" s="7" t="s">
        <v>11535</v>
      </c>
    </row>
    <row r="1674" ht="18" customHeight="1" spans="1:6">
      <c r="A1674" s="5" t="s">
        <v>5827</v>
      </c>
      <c r="B1674" s="5" t="s">
        <v>5902</v>
      </c>
      <c r="C1674" s="12" t="s">
        <v>14844</v>
      </c>
      <c r="D1674" s="6">
        <v>2</v>
      </c>
      <c r="E1674" s="8" t="s">
        <v>14845</v>
      </c>
      <c r="F1674" s="7" t="s">
        <v>11535</v>
      </c>
    </row>
    <row r="1675" ht="18" customHeight="1" spans="1:6">
      <c r="A1675" s="5" t="s">
        <v>5827</v>
      </c>
      <c r="B1675" s="5" t="s">
        <v>5902</v>
      </c>
      <c r="C1675" s="12" t="s">
        <v>14846</v>
      </c>
      <c r="D1675" s="6">
        <v>2</v>
      </c>
      <c r="E1675" s="8" t="s">
        <v>14847</v>
      </c>
      <c r="F1675" s="7" t="s">
        <v>11535</v>
      </c>
    </row>
    <row r="1676" ht="18" customHeight="1" spans="1:6">
      <c r="A1676" s="5" t="s">
        <v>5827</v>
      </c>
      <c r="B1676" s="5" t="s">
        <v>5902</v>
      </c>
      <c r="C1676" s="12" t="s">
        <v>14848</v>
      </c>
      <c r="D1676" s="6">
        <v>3</v>
      </c>
      <c r="E1676" s="8" t="s">
        <v>14849</v>
      </c>
      <c r="F1676" s="7" t="s">
        <v>11535</v>
      </c>
    </row>
    <row r="1677" ht="18" customHeight="1" spans="1:6">
      <c r="A1677" s="5" t="s">
        <v>5827</v>
      </c>
      <c r="B1677" s="5" t="s">
        <v>5902</v>
      </c>
      <c r="C1677" s="12" t="s">
        <v>14850</v>
      </c>
      <c r="D1677" s="6">
        <v>5</v>
      </c>
      <c r="E1677" s="8" t="s">
        <v>14851</v>
      </c>
      <c r="F1677" s="7" t="s">
        <v>11535</v>
      </c>
    </row>
    <row r="1678" ht="18" customHeight="1" spans="1:6">
      <c r="A1678" s="5" t="s">
        <v>5827</v>
      </c>
      <c r="B1678" s="5" t="s">
        <v>6153</v>
      </c>
      <c r="C1678" s="12" t="s">
        <v>14852</v>
      </c>
      <c r="D1678" s="6">
        <v>3</v>
      </c>
      <c r="E1678" s="8" t="s">
        <v>14853</v>
      </c>
      <c r="F1678" s="7" t="s">
        <v>11535</v>
      </c>
    </row>
    <row r="1679" ht="18" customHeight="1" spans="1:6">
      <c r="A1679" s="5" t="s">
        <v>5827</v>
      </c>
      <c r="B1679" s="5" t="s">
        <v>5909</v>
      </c>
      <c r="C1679" s="12" t="s">
        <v>14854</v>
      </c>
      <c r="D1679" s="6">
        <v>2</v>
      </c>
      <c r="E1679" s="8" t="s">
        <v>14855</v>
      </c>
      <c r="F1679" s="7" t="s">
        <v>11535</v>
      </c>
    </row>
    <row r="1680" ht="18" customHeight="1" spans="1:6">
      <c r="A1680" s="5" t="s">
        <v>5827</v>
      </c>
      <c r="B1680" s="5" t="s">
        <v>5912</v>
      </c>
      <c r="C1680" s="6" t="s">
        <v>14856</v>
      </c>
      <c r="D1680" s="8">
        <v>2</v>
      </c>
      <c r="E1680" s="12" t="s">
        <v>14857</v>
      </c>
      <c r="F1680" s="7" t="s">
        <v>11535</v>
      </c>
    </row>
    <row r="1681" ht="18" customHeight="1" spans="1:6">
      <c r="A1681" s="5" t="s">
        <v>5827</v>
      </c>
      <c r="B1681" s="13" t="s">
        <v>5912</v>
      </c>
      <c r="C1681" s="14" t="s">
        <v>14858</v>
      </c>
      <c r="D1681" s="15">
        <v>2</v>
      </c>
      <c r="E1681" s="194" t="s">
        <v>14859</v>
      </c>
      <c r="F1681" s="7" t="s">
        <v>11535</v>
      </c>
    </row>
    <row r="1682" ht="18" customHeight="1" spans="1:6">
      <c r="A1682" s="5" t="s">
        <v>5827</v>
      </c>
      <c r="B1682" s="13" t="s">
        <v>5909</v>
      </c>
      <c r="C1682" s="14" t="s">
        <v>14860</v>
      </c>
      <c r="D1682" s="15">
        <v>3</v>
      </c>
      <c r="E1682" s="194" t="s">
        <v>14861</v>
      </c>
      <c r="F1682" s="7" t="s">
        <v>11535</v>
      </c>
    </row>
    <row r="1683" ht="18" customHeight="1" spans="1:6">
      <c r="A1683" s="5" t="s">
        <v>5827</v>
      </c>
      <c r="B1683" s="13" t="s">
        <v>5902</v>
      </c>
      <c r="C1683" s="14" t="s">
        <v>14862</v>
      </c>
      <c r="D1683" s="9">
        <v>4</v>
      </c>
      <c r="E1683" s="12" t="s">
        <v>14863</v>
      </c>
      <c r="F1683" s="7" t="s">
        <v>11535</v>
      </c>
    </row>
    <row r="1684" ht="18" customHeight="1" spans="1:6">
      <c r="A1684" s="5" t="s">
        <v>5827</v>
      </c>
      <c r="B1684" s="5" t="s">
        <v>5920</v>
      </c>
      <c r="C1684" s="8" t="s">
        <v>14864</v>
      </c>
      <c r="D1684" s="8">
        <v>1</v>
      </c>
      <c r="E1684" s="194" t="s">
        <v>14865</v>
      </c>
      <c r="F1684" s="7" t="s">
        <v>11535</v>
      </c>
    </row>
    <row r="1685" ht="18" customHeight="1" spans="1:6">
      <c r="A1685" s="5" t="s">
        <v>5827</v>
      </c>
      <c r="B1685" s="5" t="s">
        <v>5915</v>
      </c>
      <c r="C1685" s="8" t="s">
        <v>14866</v>
      </c>
      <c r="D1685" s="9">
        <v>1</v>
      </c>
      <c r="E1685" s="8" t="s">
        <v>14867</v>
      </c>
      <c r="F1685" s="7" t="s">
        <v>11535</v>
      </c>
    </row>
    <row r="1686" ht="18" customHeight="1" spans="1:6">
      <c r="A1686" s="5" t="s">
        <v>5827</v>
      </c>
      <c r="B1686" s="5" t="s">
        <v>14868</v>
      </c>
      <c r="C1686" s="8" t="s">
        <v>14869</v>
      </c>
      <c r="D1686" s="9">
        <v>3</v>
      </c>
      <c r="E1686" s="8" t="s">
        <v>14870</v>
      </c>
      <c r="F1686" s="7" t="s">
        <v>11535</v>
      </c>
    </row>
    <row r="1687" ht="18" customHeight="1" spans="1:6">
      <c r="A1687" s="5" t="s">
        <v>5827</v>
      </c>
      <c r="B1687" s="5" t="s">
        <v>5915</v>
      </c>
      <c r="C1687" s="8" t="s">
        <v>14871</v>
      </c>
      <c r="D1687" s="9">
        <v>3</v>
      </c>
      <c r="E1687" s="8" t="s">
        <v>14872</v>
      </c>
      <c r="F1687" s="7" t="s">
        <v>11535</v>
      </c>
    </row>
    <row r="1688" ht="18" customHeight="1" spans="1:6">
      <c r="A1688" s="5" t="s">
        <v>5827</v>
      </c>
      <c r="B1688" s="5" t="s">
        <v>5920</v>
      </c>
      <c r="C1688" s="8" t="s">
        <v>14873</v>
      </c>
      <c r="D1688" s="9">
        <v>3</v>
      </c>
      <c r="E1688" s="8" t="s">
        <v>14874</v>
      </c>
      <c r="F1688" s="7" t="s">
        <v>11535</v>
      </c>
    </row>
    <row r="1689" ht="18" customHeight="1" spans="1:6">
      <c r="A1689" s="5" t="s">
        <v>5827</v>
      </c>
      <c r="B1689" s="5" t="s">
        <v>5920</v>
      </c>
      <c r="C1689" s="8" t="s">
        <v>14875</v>
      </c>
      <c r="D1689" s="9">
        <v>1</v>
      </c>
      <c r="E1689" s="8" t="s">
        <v>14876</v>
      </c>
      <c r="F1689" s="7" t="s">
        <v>11535</v>
      </c>
    </row>
    <row r="1690" ht="18" customHeight="1" spans="1:6">
      <c r="A1690" s="5" t="s">
        <v>5827</v>
      </c>
      <c r="B1690" s="5" t="s">
        <v>5923</v>
      </c>
      <c r="C1690" s="8" t="s">
        <v>14877</v>
      </c>
      <c r="D1690" s="9">
        <v>2</v>
      </c>
      <c r="E1690" s="8" t="s">
        <v>14878</v>
      </c>
      <c r="F1690" s="7" t="s">
        <v>11535</v>
      </c>
    </row>
    <row r="1691" ht="18" customHeight="1" spans="1:6">
      <c r="A1691" s="5" t="s">
        <v>5827</v>
      </c>
      <c r="B1691" s="5" t="s">
        <v>5915</v>
      </c>
      <c r="C1691" s="8" t="s">
        <v>14879</v>
      </c>
      <c r="D1691" s="9">
        <v>2</v>
      </c>
      <c r="E1691" s="8" t="s">
        <v>14880</v>
      </c>
      <c r="F1691" s="7" t="s">
        <v>11535</v>
      </c>
    </row>
    <row r="1692" ht="18" customHeight="1" spans="1:6">
      <c r="A1692" s="5" t="s">
        <v>5827</v>
      </c>
      <c r="B1692" s="5" t="s">
        <v>14881</v>
      </c>
      <c r="C1692" s="5" t="s">
        <v>14882</v>
      </c>
      <c r="D1692" s="5">
        <v>2</v>
      </c>
      <c r="E1692" s="8" t="s">
        <v>14883</v>
      </c>
      <c r="F1692" s="7" t="s">
        <v>11535</v>
      </c>
    </row>
    <row r="1693" ht="18" customHeight="1" spans="1:6">
      <c r="A1693" s="5" t="s">
        <v>5827</v>
      </c>
      <c r="B1693" s="5" t="s">
        <v>14881</v>
      </c>
      <c r="C1693" s="5" t="s">
        <v>14884</v>
      </c>
      <c r="D1693" s="5">
        <v>1</v>
      </c>
      <c r="E1693" s="12" t="s">
        <v>14885</v>
      </c>
      <c r="F1693" s="7" t="s">
        <v>11535</v>
      </c>
    </row>
    <row r="1694" ht="18" customHeight="1" spans="1:6">
      <c r="A1694" s="5" t="s">
        <v>5827</v>
      </c>
      <c r="B1694" s="5" t="s">
        <v>14881</v>
      </c>
      <c r="C1694" s="5" t="s">
        <v>14886</v>
      </c>
      <c r="D1694" s="5">
        <v>2</v>
      </c>
      <c r="E1694" s="12" t="s">
        <v>14887</v>
      </c>
      <c r="F1694" s="7" t="s">
        <v>11535</v>
      </c>
    </row>
    <row r="1695" ht="18" customHeight="1" spans="1:6">
      <c r="A1695" s="5" t="s">
        <v>5827</v>
      </c>
      <c r="B1695" s="5" t="s">
        <v>14881</v>
      </c>
      <c r="C1695" s="5" t="s">
        <v>12675</v>
      </c>
      <c r="D1695" s="5">
        <v>1</v>
      </c>
      <c r="E1695" s="12" t="s">
        <v>14888</v>
      </c>
      <c r="F1695" s="7" t="s">
        <v>11535</v>
      </c>
    </row>
    <row r="1696" ht="18" customHeight="1" spans="1:6">
      <c r="A1696" s="5" t="s">
        <v>5827</v>
      </c>
      <c r="B1696" s="5" t="s">
        <v>14881</v>
      </c>
      <c r="C1696" s="5" t="s">
        <v>14889</v>
      </c>
      <c r="D1696" s="5">
        <v>2</v>
      </c>
      <c r="E1696" s="12" t="s">
        <v>14890</v>
      </c>
      <c r="F1696" s="7" t="s">
        <v>11535</v>
      </c>
    </row>
    <row r="1697" ht="18" customHeight="1" spans="1:6">
      <c r="A1697" s="5" t="s">
        <v>5827</v>
      </c>
      <c r="B1697" s="5" t="s">
        <v>14891</v>
      </c>
      <c r="C1697" s="5" t="s">
        <v>14892</v>
      </c>
      <c r="D1697" s="5">
        <v>3</v>
      </c>
      <c r="E1697" s="12" t="s">
        <v>14893</v>
      </c>
      <c r="F1697" s="7" t="s">
        <v>11535</v>
      </c>
    </row>
    <row r="1698" ht="18" customHeight="1" spans="1:6">
      <c r="A1698" s="5" t="s">
        <v>5827</v>
      </c>
      <c r="B1698" s="5" t="s">
        <v>5920</v>
      </c>
      <c r="C1698" s="8" t="s">
        <v>14894</v>
      </c>
      <c r="D1698" s="9">
        <v>1</v>
      </c>
      <c r="E1698" s="8" t="s">
        <v>14895</v>
      </c>
      <c r="F1698" s="7" t="s">
        <v>11535</v>
      </c>
    </row>
    <row r="1699" ht="18" customHeight="1" spans="1:6">
      <c r="A1699" s="5" t="s">
        <v>5827</v>
      </c>
      <c r="B1699" s="5" t="s">
        <v>14891</v>
      </c>
      <c r="C1699" s="13" t="s">
        <v>14896</v>
      </c>
      <c r="D1699" s="13">
        <v>3</v>
      </c>
      <c r="E1699" s="179" t="s">
        <v>14897</v>
      </c>
      <c r="F1699" s="7" t="s">
        <v>11535</v>
      </c>
    </row>
    <row r="1700" ht="18" customHeight="1" spans="1:6">
      <c r="A1700" s="5" t="s">
        <v>5827</v>
      </c>
      <c r="B1700" s="5" t="s">
        <v>14891</v>
      </c>
      <c r="C1700" s="13" t="s">
        <v>14898</v>
      </c>
      <c r="D1700" s="13">
        <v>2</v>
      </c>
      <c r="E1700" s="179" t="s">
        <v>14899</v>
      </c>
      <c r="F1700" s="7" t="s">
        <v>11535</v>
      </c>
    </row>
    <row r="1701" ht="18" customHeight="1" spans="1:6">
      <c r="A1701" s="5" t="s">
        <v>5827</v>
      </c>
      <c r="B1701" s="5" t="s">
        <v>5940</v>
      </c>
      <c r="C1701" s="5" t="s">
        <v>14900</v>
      </c>
      <c r="D1701" s="5">
        <v>2</v>
      </c>
      <c r="E1701" s="8" t="s">
        <v>14901</v>
      </c>
      <c r="F1701" s="7" t="s">
        <v>11535</v>
      </c>
    </row>
    <row r="1702" ht="18" customHeight="1" spans="1:6">
      <c r="A1702" s="5" t="s">
        <v>5827</v>
      </c>
      <c r="B1702" s="5" t="s">
        <v>5940</v>
      </c>
      <c r="C1702" s="5" t="s">
        <v>14902</v>
      </c>
      <c r="D1702" s="5">
        <v>3</v>
      </c>
      <c r="E1702" s="194" t="s">
        <v>14903</v>
      </c>
      <c r="F1702" s="7" t="s">
        <v>11535</v>
      </c>
    </row>
    <row r="1703" ht="18" customHeight="1" spans="1:6">
      <c r="A1703" s="5" t="s">
        <v>5827</v>
      </c>
      <c r="B1703" s="5" t="s">
        <v>5940</v>
      </c>
      <c r="C1703" s="5" t="s">
        <v>14904</v>
      </c>
      <c r="D1703" s="5">
        <v>1</v>
      </c>
      <c r="E1703" s="194" t="s">
        <v>14905</v>
      </c>
      <c r="F1703" s="7" t="s">
        <v>11535</v>
      </c>
    </row>
    <row r="1704" ht="18" customHeight="1" spans="1:6">
      <c r="A1704" s="5" t="s">
        <v>5827</v>
      </c>
      <c r="B1704" s="5" t="s">
        <v>14906</v>
      </c>
      <c r="C1704" s="9" t="s">
        <v>14907</v>
      </c>
      <c r="D1704" s="11">
        <v>2</v>
      </c>
      <c r="E1704" s="11" t="s">
        <v>14908</v>
      </c>
      <c r="F1704" s="7" t="s">
        <v>11535</v>
      </c>
    </row>
    <row r="1705" ht="18" customHeight="1" spans="1:6">
      <c r="A1705" s="5" t="s">
        <v>5827</v>
      </c>
      <c r="B1705" s="5" t="s">
        <v>14906</v>
      </c>
      <c r="C1705" s="9" t="s">
        <v>14909</v>
      </c>
      <c r="D1705" s="11">
        <v>2</v>
      </c>
      <c r="E1705" s="11" t="s">
        <v>14910</v>
      </c>
      <c r="F1705" s="7" t="s">
        <v>11535</v>
      </c>
    </row>
    <row r="1706" ht="18" customHeight="1" spans="1:6">
      <c r="A1706" s="5" t="s">
        <v>5827</v>
      </c>
      <c r="B1706" s="5" t="s">
        <v>14906</v>
      </c>
      <c r="C1706" s="9" t="s">
        <v>14911</v>
      </c>
      <c r="D1706" s="11">
        <v>3</v>
      </c>
      <c r="E1706" s="11" t="s">
        <v>14912</v>
      </c>
      <c r="F1706" s="7" t="s">
        <v>11535</v>
      </c>
    </row>
    <row r="1707" ht="18" customHeight="1" spans="1:6">
      <c r="A1707" s="5" t="s">
        <v>5827</v>
      </c>
      <c r="B1707" s="5" t="s">
        <v>14906</v>
      </c>
      <c r="C1707" s="9" t="s">
        <v>14913</v>
      </c>
      <c r="D1707" s="11">
        <v>2</v>
      </c>
      <c r="E1707" s="11" t="s">
        <v>14914</v>
      </c>
      <c r="F1707" s="7" t="s">
        <v>11535</v>
      </c>
    </row>
    <row r="1708" ht="18" customHeight="1" spans="1:6">
      <c r="A1708" s="5" t="s">
        <v>5827</v>
      </c>
      <c r="B1708" s="5" t="s">
        <v>14915</v>
      </c>
      <c r="C1708" s="9" t="s">
        <v>14916</v>
      </c>
      <c r="D1708" s="11">
        <v>3</v>
      </c>
      <c r="E1708" s="11" t="s">
        <v>14917</v>
      </c>
      <c r="F1708" s="7" t="s">
        <v>11535</v>
      </c>
    </row>
    <row r="1709" ht="18" customHeight="1" spans="1:6">
      <c r="A1709" s="5" t="s">
        <v>5827</v>
      </c>
      <c r="B1709" s="5" t="s">
        <v>14915</v>
      </c>
      <c r="C1709" s="9" t="s">
        <v>14918</v>
      </c>
      <c r="D1709" s="11">
        <v>2</v>
      </c>
      <c r="E1709" s="11" t="s">
        <v>14919</v>
      </c>
      <c r="F1709" s="7" t="s">
        <v>11535</v>
      </c>
    </row>
    <row r="1710" ht="18" customHeight="1" spans="1:6">
      <c r="A1710" s="5" t="s">
        <v>5827</v>
      </c>
      <c r="B1710" s="5" t="s">
        <v>14906</v>
      </c>
      <c r="C1710" s="9" t="s">
        <v>14920</v>
      </c>
      <c r="D1710" s="11">
        <v>5</v>
      </c>
      <c r="E1710" s="11" t="s">
        <v>14921</v>
      </c>
      <c r="F1710" s="7" t="s">
        <v>11535</v>
      </c>
    </row>
    <row r="1711" ht="18" customHeight="1" spans="1:6">
      <c r="A1711" s="5" t="s">
        <v>5827</v>
      </c>
      <c r="B1711" s="5" t="s">
        <v>14922</v>
      </c>
      <c r="C1711" s="5" t="s">
        <v>14923</v>
      </c>
      <c r="D1711" s="5">
        <v>2</v>
      </c>
      <c r="E1711" s="12" t="s">
        <v>14924</v>
      </c>
      <c r="F1711" s="7" t="s">
        <v>11535</v>
      </c>
    </row>
    <row r="1712" ht="18" customHeight="1" spans="1:6">
      <c r="A1712" s="5" t="s">
        <v>5827</v>
      </c>
      <c r="B1712" s="5" t="s">
        <v>5947</v>
      </c>
      <c r="C1712" s="5" t="s">
        <v>14925</v>
      </c>
      <c r="D1712" s="5">
        <v>1</v>
      </c>
      <c r="E1712" s="12" t="s">
        <v>14926</v>
      </c>
      <c r="F1712" s="7" t="s">
        <v>11535</v>
      </c>
    </row>
    <row r="1713" ht="18" customHeight="1" spans="1:6">
      <c r="A1713" s="5" t="s">
        <v>5827</v>
      </c>
      <c r="B1713" s="5" t="s">
        <v>14927</v>
      </c>
      <c r="C1713" s="5" t="s">
        <v>14928</v>
      </c>
      <c r="D1713" s="5">
        <v>4</v>
      </c>
      <c r="E1713" s="12" t="s">
        <v>14929</v>
      </c>
      <c r="F1713" s="7" t="s">
        <v>11535</v>
      </c>
    </row>
    <row r="1714" ht="18" customHeight="1" spans="1:6">
      <c r="A1714" s="5" t="s">
        <v>5827</v>
      </c>
      <c r="B1714" s="5" t="s">
        <v>14922</v>
      </c>
      <c r="C1714" s="5" t="s">
        <v>14930</v>
      </c>
      <c r="D1714" s="5">
        <v>3</v>
      </c>
      <c r="E1714" s="12" t="s">
        <v>14931</v>
      </c>
      <c r="F1714" s="7" t="s">
        <v>11535</v>
      </c>
    </row>
    <row r="1715" ht="18" customHeight="1" spans="1:6">
      <c r="A1715" s="5" t="s">
        <v>5827</v>
      </c>
      <c r="B1715" s="5" t="s">
        <v>5947</v>
      </c>
      <c r="C1715" s="5" t="s">
        <v>14932</v>
      </c>
      <c r="D1715" s="5">
        <v>3</v>
      </c>
      <c r="E1715" s="12" t="s">
        <v>14933</v>
      </c>
      <c r="F1715" s="7" t="s">
        <v>11535</v>
      </c>
    </row>
    <row r="1716" ht="18" customHeight="1" spans="1:6">
      <c r="A1716" s="5" t="s">
        <v>5827</v>
      </c>
      <c r="B1716" s="5" t="s">
        <v>14922</v>
      </c>
      <c r="C1716" s="5" t="s">
        <v>14934</v>
      </c>
      <c r="D1716" s="5">
        <v>3</v>
      </c>
      <c r="E1716" s="12" t="s">
        <v>14935</v>
      </c>
      <c r="F1716" s="7" t="s">
        <v>11535</v>
      </c>
    </row>
    <row r="1717" ht="18" customHeight="1" spans="1:6">
      <c r="A1717" s="5" t="s">
        <v>5827</v>
      </c>
      <c r="B1717" s="5" t="s">
        <v>5947</v>
      </c>
      <c r="C1717" s="5" t="s">
        <v>14936</v>
      </c>
      <c r="D1717" s="5">
        <v>1</v>
      </c>
      <c r="E1717" s="5" t="s">
        <v>14937</v>
      </c>
      <c r="F1717" s="7" t="s">
        <v>11535</v>
      </c>
    </row>
    <row r="1718" ht="18" customHeight="1" spans="1:6">
      <c r="A1718" s="5" t="s">
        <v>5827</v>
      </c>
      <c r="B1718" s="5" t="s">
        <v>14922</v>
      </c>
      <c r="C1718" s="5" t="s">
        <v>14938</v>
      </c>
      <c r="D1718" s="5">
        <v>2</v>
      </c>
      <c r="E1718" s="5" t="s">
        <v>14939</v>
      </c>
      <c r="F1718" s="7" t="s">
        <v>11535</v>
      </c>
    </row>
    <row r="1719" ht="18" customHeight="1" spans="1:6">
      <c r="A1719" s="5" t="s">
        <v>5827</v>
      </c>
      <c r="B1719" s="5" t="s">
        <v>5956</v>
      </c>
      <c r="C1719" s="5" t="s">
        <v>14940</v>
      </c>
      <c r="D1719" s="5">
        <v>3</v>
      </c>
      <c r="E1719" s="8" t="s">
        <v>14941</v>
      </c>
      <c r="F1719" s="7" t="s">
        <v>11535</v>
      </c>
    </row>
    <row r="1720" ht="18" customHeight="1" spans="1:6">
      <c r="A1720" s="5" t="s">
        <v>5827</v>
      </c>
      <c r="B1720" s="5" t="s">
        <v>5953</v>
      </c>
      <c r="C1720" s="5" t="s">
        <v>14942</v>
      </c>
      <c r="D1720" s="5">
        <v>2</v>
      </c>
      <c r="E1720" s="8" t="s">
        <v>14943</v>
      </c>
      <c r="F1720" s="7" t="s">
        <v>11535</v>
      </c>
    </row>
    <row r="1721" ht="18" customHeight="1" spans="1:6">
      <c r="A1721" s="5" t="s">
        <v>5827</v>
      </c>
      <c r="B1721" s="5" t="s">
        <v>5979</v>
      </c>
      <c r="C1721" s="5" t="s">
        <v>14944</v>
      </c>
      <c r="D1721" s="5">
        <v>5</v>
      </c>
      <c r="E1721" s="8" t="s">
        <v>14945</v>
      </c>
      <c r="F1721" s="7" t="s">
        <v>11535</v>
      </c>
    </row>
    <row r="1722" ht="18" customHeight="1" spans="1:6">
      <c r="A1722" s="5" t="s">
        <v>5827</v>
      </c>
      <c r="B1722" s="5" t="s">
        <v>5953</v>
      </c>
      <c r="C1722" s="5" t="s">
        <v>14946</v>
      </c>
      <c r="D1722" s="5">
        <v>2</v>
      </c>
      <c r="E1722" s="8" t="s">
        <v>14947</v>
      </c>
      <c r="F1722" s="7" t="s">
        <v>11535</v>
      </c>
    </row>
    <row r="1723" ht="18" customHeight="1" spans="1:6">
      <c r="A1723" s="5" t="s">
        <v>5827</v>
      </c>
      <c r="B1723" s="5" t="s">
        <v>5950</v>
      </c>
      <c r="C1723" s="13" t="s">
        <v>14948</v>
      </c>
      <c r="D1723" s="5">
        <v>4</v>
      </c>
      <c r="E1723" s="8" t="s">
        <v>14949</v>
      </c>
      <c r="F1723" s="7" t="s">
        <v>11535</v>
      </c>
    </row>
    <row r="1724" ht="18" customHeight="1" spans="1:6">
      <c r="A1724" s="5" t="s">
        <v>5827</v>
      </c>
      <c r="B1724" s="5" t="s">
        <v>5979</v>
      </c>
      <c r="C1724" s="13" t="s">
        <v>14950</v>
      </c>
      <c r="D1724" s="5">
        <v>3</v>
      </c>
      <c r="E1724" s="8" t="s">
        <v>14951</v>
      </c>
      <c r="F1724" s="7" t="s">
        <v>11535</v>
      </c>
    </row>
    <row r="1725" ht="18" customHeight="1" spans="1:6">
      <c r="A1725" s="5" t="s">
        <v>5827</v>
      </c>
      <c r="B1725" s="5" t="s">
        <v>5979</v>
      </c>
      <c r="C1725" s="13" t="s">
        <v>14952</v>
      </c>
      <c r="D1725" s="5">
        <v>3</v>
      </c>
      <c r="E1725" s="8" t="s">
        <v>14953</v>
      </c>
      <c r="F1725" s="7" t="s">
        <v>11535</v>
      </c>
    </row>
    <row r="1726" ht="18" customHeight="1" spans="1:6">
      <c r="A1726" s="5" t="s">
        <v>5827</v>
      </c>
      <c r="B1726" s="5" t="s">
        <v>5950</v>
      </c>
      <c r="C1726" s="13" t="s">
        <v>14954</v>
      </c>
      <c r="D1726" s="5">
        <v>2</v>
      </c>
      <c r="E1726" s="8" t="s">
        <v>14955</v>
      </c>
      <c r="F1726" s="7" t="s">
        <v>11535</v>
      </c>
    </row>
    <row r="1727" ht="18" customHeight="1" spans="1:6">
      <c r="A1727" s="5" t="s">
        <v>5827</v>
      </c>
      <c r="B1727" s="5" t="s">
        <v>5956</v>
      </c>
      <c r="C1727" s="13" t="s">
        <v>14956</v>
      </c>
      <c r="D1727" s="5">
        <v>3</v>
      </c>
      <c r="E1727" s="8" t="s">
        <v>14957</v>
      </c>
      <c r="F1727" s="7" t="s">
        <v>11535</v>
      </c>
    </row>
    <row r="1728" ht="18" customHeight="1" spans="1:6">
      <c r="A1728" s="5" t="s">
        <v>5827</v>
      </c>
      <c r="B1728" s="5" t="s">
        <v>5979</v>
      </c>
      <c r="C1728" s="13" t="s">
        <v>14958</v>
      </c>
      <c r="D1728" s="5">
        <v>2</v>
      </c>
      <c r="E1728" s="8" t="s">
        <v>14959</v>
      </c>
      <c r="F1728" s="7" t="s">
        <v>11535</v>
      </c>
    </row>
    <row r="1729" ht="18" customHeight="1" spans="1:6">
      <c r="A1729" s="5" t="s">
        <v>5827</v>
      </c>
      <c r="B1729" s="5" t="s">
        <v>5979</v>
      </c>
      <c r="C1729" s="13" t="s">
        <v>14960</v>
      </c>
      <c r="D1729" s="5">
        <v>8</v>
      </c>
      <c r="E1729" s="8" t="s">
        <v>14961</v>
      </c>
      <c r="F1729" s="7" t="s">
        <v>11535</v>
      </c>
    </row>
    <row r="1730" ht="18" customHeight="1" spans="1:6">
      <c r="A1730" s="5" t="s">
        <v>5827</v>
      </c>
      <c r="B1730" s="5" t="s">
        <v>5979</v>
      </c>
      <c r="C1730" s="13" t="s">
        <v>14962</v>
      </c>
      <c r="D1730" s="5">
        <v>2</v>
      </c>
      <c r="E1730" s="13" t="s">
        <v>14963</v>
      </c>
      <c r="F1730" s="7" t="s">
        <v>11535</v>
      </c>
    </row>
    <row r="1731" ht="18" customHeight="1" spans="1:6">
      <c r="A1731" s="5" t="s">
        <v>5827</v>
      </c>
      <c r="B1731" s="5" t="s">
        <v>6034</v>
      </c>
      <c r="C1731" s="13" t="s">
        <v>14964</v>
      </c>
      <c r="D1731" s="5">
        <v>5</v>
      </c>
      <c r="E1731" s="179" t="s">
        <v>14965</v>
      </c>
      <c r="F1731" s="7" t="s">
        <v>11535</v>
      </c>
    </row>
    <row r="1732" ht="18" customHeight="1" spans="1:6">
      <c r="A1732" s="5" t="s">
        <v>5827</v>
      </c>
      <c r="B1732" s="5" t="s">
        <v>14966</v>
      </c>
      <c r="C1732" s="10" t="s">
        <v>14967</v>
      </c>
      <c r="D1732" s="13">
        <v>2</v>
      </c>
      <c r="E1732" s="10" t="s">
        <v>14968</v>
      </c>
      <c r="F1732" s="7" t="s">
        <v>11535</v>
      </c>
    </row>
    <row r="1733" ht="18" customHeight="1" spans="1:6">
      <c r="A1733" s="5" t="s">
        <v>5827</v>
      </c>
      <c r="B1733" s="5" t="s">
        <v>14969</v>
      </c>
      <c r="C1733" s="10" t="s">
        <v>14970</v>
      </c>
      <c r="D1733" s="13">
        <v>1</v>
      </c>
      <c r="E1733" s="10" t="s">
        <v>14971</v>
      </c>
      <c r="F1733" s="7" t="s">
        <v>11535</v>
      </c>
    </row>
    <row r="1734" ht="18" customHeight="1" spans="1:6">
      <c r="A1734" s="5" t="s">
        <v>5827</v>
      </c>
      <c r="B1734" s="5" t="s">
        <v>14969</v>
      </c>
      <c r="C1734" s="10" t="s">
        <v>14972</v>
      </c>
      <c r="D1734" s="13">
        <v>1</v>
      </c>
      <c r="E1734" s="10" t="s">
        <v>14973</v>
      </c>
      <c r="F1734" s="7" t="s">
        <v>11535</v>
      </c>
    </row>
    <row r="1735" ht="18" customHeight="1" spans="1:6">
      <c r="A1735" s="5" t="s">
        <v>5827</v>
      </c>
      <c r="B1735" s="5" t="s">
        <v>14969</v>
      </c>
      <c r="C1735" s="10" t="s">
        <v>14974</v>
      </c>
      <c r="D1735" s="13">
        <v>4</v>
      </c>
      <c r="E1735" s="10" t="s">
        <v>14975</v>
      </c>
      <c r="F1735" s="7" t="s">
        <v>11535</v>
      </c>
    </row>
    <row r="1736" ht="18" customHeight="1" spans="1:6">
      <c r="A1736" s="5" t="s">
        <v>5827</v>
      </c>
      <c r="B1736" s="5" t="s">
        <v>14969</v>
      </c>
      <c r="C1736" s="10" t="s">
        <v>14976</v>
      </c>
      <c r="D1736" s="13">
        <v>1</v>
      </c>
      <c r="E1736" s="10" t="s">
        <v>14977</v>
      </c>
      <c r="F1736" s="7" t="s">
        <v>11535</v>
      </c>
    </row>
    <row r="1737" ht="18" customHeight="1" spans="1:6">
      <c r="A1737" s="5" t="s">
        <v>5827</v>
      </c>
      <c r="B1737" s="5" t="s">
        <v>14969</v>
      </c>
      <c r="C1737" s="10" t="s">
        <v>14978</v>
      </c>
      <c r="D1737" s="13">
        <v>4</v>
      </c>
      <c r="E1737" s="10" t="s">
        <v>14979</v>
      </c>
      <c r="F1737" s="7" t="s">
        <v>11535</v>
      </c>
    </row>
    <row r="1738" ht="18" customHeight="1" spans="1:6">
      <c r="A1738" s="5" t="s">
        <v>5827</v>
      </c>
      <c r="B1738" s="5" t="s">
        <v>14966</v>
      </c>
      <c r="C1738" s="10" t="s">
        <v>14980</v>
      </c>
      <c r="D1738" s="13">
        <v>3</v>
      </c>
      <c r="E1738" s="10" t="s">
        <v>14981</v>
      </c>
      <c r="F1738" s="7" t="s">
        <v>11535</v>
      </c>
    </row>
    <row r="1739" ht="18" customHeight="1" spans="1:6">
      <c r="A1739" s="5" t="s">
        <v>5827</v>
      </c>
      <c r="B1739" s="5" t="s">
        <v>14982</v>
      </c>
      <c r="C1739" s="10" t="s">
        <v>14983</v>
      </c>
      <c r="D1739" s="13">
        <v>1</v>
      </c>
      <c r="E1739" s="10" t="s">
        <v>14984</v>
      </c>
      <c r="F1739" s="7" t="s">
        <v>11535</v>
      </c>
    </row>
    <row r="1740" ht="18" customHeight="1" spans="1:6">
      <c r="A1740" s="5" t="s">
        <v>5827</v>
      </c>
      <c r="B1740" s="5" t="s">
        <v>14966</v>
      </c>
      <c r="C1740" s="10" t="s">
        <v>14985</v>
      </c>
      <c r="D1740" s="13">
        <v>4</v>
      </c>
      <c r="E1740" s="10" t="s">
        <v>14986</v>
      </c>
      <c r="F1740" s="7" t="s">
        <v>11535</v>
      </c>
    </row>
    <row r="1741" ht="18" customHeight="1" spans="1:6">
      <c r="A1741" s="5" t="s">
        <v>5827</v>
      </c>
      <c r="B1741" s="5" t="s">
        <v>14982</v>
      </c>
      <c r="C1741" s="10" t="s">
        <v>14987</v>
      </c>
      <c r="D1741" s="13">
        <v>5</v>
      </c>
      <c r="E1741" s="10" t="s">
        <v>14988</v>
      </c>
      <c r="F1741" s="7" t="s">
        <v>11535</v>
      </c>
    </row>
    <row r="1742" ht="18" customHeight="1" spans="1:6">
      <c r="A1742" s="5" t="s">
        <v>5827</v>
      </c>
      <c r="B1742" s="5" t="s">
        <v>14982</v>
      </c>
      <c r="C1742" s="10" t="s">
        <v>14989</v>
      </c>
      <c r="D1742" s="13">
        <v>5</v>
      </c>
      <c r="E1742" s="10" t="s">
        <v>14990</v>
      </c>
      <c r="F1742" s="7" t="s">
        <v>11535</v>
      </c>
    </row>
    <row r="1743" ht="18" customHeight="1" spans="1:6">
      <c r="A1743" s="5" t="s">
        <v>5827</v>
      </c>
      <c r="B1743" s="5" t="s">
        <v>14982</v>
      </c>
      <c r="C1743" s="10" t="s">
        <v>14991</v>
      </c>
      <c r="D1743" s="13">
        <v>1</v>
      </c>
      <c r="E1743" s="10" t="s">
        <v>14992</v>
      </c>
      <c r="F1743" s="7" t="s">
        <v>11535</v>
      </c>
    </row>
    <row r="1744" ht="18" customHeight="1" spans="1:6">
      <c r="A1744" s="5" t="s">
        <v>5827</v>
      </c>
      <c r="B1744" s="5" t="s">
        <v>14969</v>
      </c>
      <c r="C1744" s="10" t="s">
        <v>14993</v>
      </c>
      <c r="D1744" s="13">
        <v>1</v>
      </c>
      <c r="E1744" s="10" t="s">
        <v>14994</v>
      </c>
      <c r="F1744" s="7" t="s">
        <v>11535</v>
      </c>
    </row>
    <row r="1745" ht="18" customHeight="1" spans="1:6">
      <c r="A1745" s="5" t="s">
        <v>5827</v>
      </c>
      <c r="B1745" s="5" t="s">
        <v>14982</v>
      </c>
      <c r="C1745" s="10" t="s">
        <v>14995</v>
      </c>
      <c r="D1745" s="13">
        <v>6</v>
      </c>
      <c r="E1745" s="10" t="s">
        <v>14996</v>
      </c>
      <c r="F1745" s="7" t="s">
        <v>11535</v>
      </c>
    </row>
    <row r="1746" ht="18" customHeight="1" spans="1:6">
      <c r="A1746" s="5" t="s">
        <v>5827</v>
      </c>
      <c r="B1746" s="5" t="s">
        <v>14969</v>
      </c>
      <c r="C1746" s="10" t="s">
        <v>14997</v>
      </c>
      <c r="D1746" s="13">
        <v>3</v>
      </c>
      <c r="E1746" s="10" t="s">
        <v>14998</v>
      </c>
      <c r="F1746" s="7" t="s">
        <v>11535</v>
      </c>
    </row>
    <row r="1747" ht="18" customHeight="1" spans="1:6">
      <c r="A1747" s="5" t="s">
        <v>5827</v>
      </c>
      <c r="B1747" s="5" t="s">
        <v>14982</v>
      </c>
      <c r="C1747" s="10" t="s">
        <v>14999</v>
      </c>
      <c r="D1747" s="13">
        <v>2</v>
      </c>
      <c r="E1747" s="10" t="s">
        <v>15000</v>
      </c>
      <c r="F1747" s="7" t="s">
        <v>11535</v>
      </c>
    </row>
    <row r="1748" ht="18" customHeight="1" spans="1:6">
      <c r="A1748" s="5" t="s">
        <v>5827</v>
      </c>
      <c r="B1748" s="5" t="s">
        <v>14966</v>
      </c>
      <c r="C1748" s="10" t="s">
        <v>15001</v>
      </c>
      <c r="D1748" s="13">
        <v>1</v>
      </c>
      <c r="E1748" s="10" t="s">
        <v>15002</v>
      </c>
      <c r="F1748" s="7" t="s">
        <v>11535</v>
      </c>
    </row>
    <row r="1749" ht="18" customHeight="1" spans="1:6">
      <c r="A1749" s="5" t="s">
        <v>5827</v>
      </c>
      <c r="B1749" s="5" t="s">
        <v>14969</v>
      </c>
      <c r="C1749" s="10" t="s">
        <v>15003</v>
      </c>
      <c r="D1749" s="13">
        <v>1</v>
      </c>
      <c r="E1749" s="10" t="s">
        <v>15004</v>
      </c>
      <c r="F1749" s="7" t="s">
        <v>11535</v>
      </c>
    </row>
    <row r="1750" ht="18" customHeight="1" spans="1:6">
      <c r="A1750" s="5" t="s">
        <v>5827</v>
      </c>
      <c r="B1750" s="5" t="s">
        <v>14966</v>
      </c>
      <c r="C1750" s="10" t="s">
        <v>15005</v>
      </c>
      <c r="D1750" s="13">
        <v>4</v>
      </c>
      <c r="E1750" s="10" t="s">
        <v>15006</v>
      </c>
      <c r="F1750" s="7" t="s">
        <v>11535</v>
      </c>
    </row>
    <row r="1751" ht="18" customHeight="1" spans="1:6">
      <c r="A1751" s="5" t="s">
        <v>5827</v>
      </c>
      <c r="B1751" s="5" t="s">
        <v>14969</v>
      </c>
      <c r="C1751" s="10" t="s">
        <v>15007</v>
      </c>
      <c r="D1751" s="13">
        <v>3</v>
      </c>
      <c r="E1751" s="10" t="s">
        <v>15008</v>
      </c>
      <c r="F1751" s="7" t="s">
        <v>11535</v>
      </c>
    </row>
    <row r="1752" ht="18" customHeight="1" spans="1:6">
      <c r="A1752" s="5" t="s">
        <v>5827</v>
      </c>
      <c r="B1752" s="5" t="s">
        <v>6052</v>
      </c>
      <c r="C1752" s="5" t="s">
        <v>15009</v>
      </c>
      <c r="D1752" s="5">
        <v>4</v>
      </c>
      <c r="E1752" s="12" t="s">
        <v>15010</v>
      </c>
      <c r="F1752" s="7" t="s">
        <v>11535</v>
      </c>
    </row>
    <row r="1753" ht="18" customHeight="1" spans="1:6">
      <c r="A1753" s="5" t="s">
        <v>5827</v>
      </c>
      <c r="B1753" s="5" t="s">
        <v>6049</v>
      </c>
      <c r="C1753" s="5" t="s">
        <v>15011</v>
      </c>
      <c r="D1753" s="5">
        <v>3</v>
      </c>
      <c r="E1753" s="12" t="s">
        <v>15012</v>
      </c>
      <c r="F1753" s="7" t="s">
        <v>11535</v>
      </c>
    </row>
    <row r="1754" ht="18" customHeight="1" spans="1:6">
      <c r="A1754" s="5" t="s">
        <v>5827</v>
      </c>
      <c r="B1754" s="5" t="s">
        <v>6052</v>
      </c>
      <c r="C1754" s="5" t="s">
        <v>15013</v>
      </c>
      <c r="D1754" s="5">
        <v>1</v>
      </c>
      <c r="E1754" s="12" t="s">
        <v>15014</v>
      </c>
      <c r="F1754" s="7" t="s">
        <v>11535</v>
      </c>
    </row>
    <row r="1755" ht="18" customHeight="1" spans="1:6">
      <c r="A1755" s="5" t="s">
        <v>5827</v>
      </c>
      <c r="B1755" s="5" t="s">
        <v>15015</v>
      </c>
      <c r="C1755" s="5" t="s">
        <v>15016</v>
      </c>
      <c r="D1755" s="5">
        <v>3</v>
      </c>
      <c r="E1755" s="12" t="s">
        <v>15017</v>
      </c>
      <c r="F1755" s="7" t="s">
        <v>11535</v>
      </c>
    </row>
    <row r="1756" ht="18" customHeight="1" spans="1:6">
      <c r="A1756" s="5" t="s">
        <v>5827</v>
      </c>
      <c r="B1756" s="5" t="s">
        <v>15015</v>
      </c>
      <c r="C1756" s="5" t="s">
        <v>15018</v>
      </c>
      <c r="D1756" s="5">
        <v>2</v>
      </c>
      <c r="E1756" s="12" t="s">
        <v>15019</v>
      </c>
      <c r="F1756" s="7" t="s">
        <v>11535</v>
      </c>
    </row>
    <row r="1757" ht="18" customHeight="1" spans="1:6">
      <c r="A1757" s="5" t="s">
        <v>5827</v>
      </c>
      <c r="B1757" s="5" t="s">
        <v>15020</v>
      </c>
      <c r="C1757" s="5" t="s">
        <v>15021</v>
      </c>
      <c r="D1757" s="5">
        <v>2</v>
      </c>
      <c r="E1757" s="12" t="s">
        <v>15022</v>
      </c>
      <c r="F1757" s="7" t="s">
        <v>11535</v>
      </c>
    </row>
    <row r="1758" ht="18" customHeight="1" spans="1:6">
      <c r="A1758" s="5" t="s">
        <v>5827</v>
      </c>
      <c r="B1758" s="5" t="s">
        <v>6049</v>
      </c>
      <c r="C1758" s="5" t="s">
        <v>15023</v>
      </c>
      <c r="D1758" s="5">
        <v>2</v>
      </c>
      <c r="E1758" s="12" t="s">
        <v>15024</v>
      </c>
      <c r="F1758" s="7" t="s">
        <v>11535</v>
      </c>
    </row>
    <row r="1759" ht="18" customHeight="1" spans="1:6">
      <c r="A1759" s="5" t="s">
        <v>5827</v>
      </c>
      <c r="B1759" s="5" t="s">
        <v>6049</v>
      </c>
      <c r="C1759" s="5" t="s">
        <v>15025</v>
      </c>
      <c r="D1759" s="5">
        <v>2</v>
      </c>
      <c r="E1759" s="12" t="s">
        <v>15026</v>
      </c>
      <c r="F1759" s="7" t="s">
        <v>11535</v>
      </c>
    </row>
    <row r="1760" ht="18" customHeight="1" spans="1:6">
      <c r="A1760" s="5" t="s">
        <v>5827</v>
      </c>
      <c r="B1760" s="5" t="s">
        <v>15015</v>
      </c>
      <c r="C1760" s="5" t="s">
        <v>15027</v>
      </c>
      <c r="D1760" s="5">
        <v>2</v>
      </c>
      <c r="E1760" s="12" t="s">
        <v>15028</v>
      </c>
      <c r="F1760" s="7" t="s">
        <v>11535</v>
      </c>
    </row>
    <row r="1761" ht="18" customHeight="1" spans="1:6">
      <c r="A1761" s="5" t="s">
        <v>5827</v>
      </c>
      <c r="B1761" s="5" t="s">
        <v>15020</v>
      </c>
      <c r="C1761" s="5" t="s">
        <v>15029</v>
      </c>
      <c r="D1761" s="5">
        <v>3</v>
      </c>
      <c r="E1761" s="12" t="s">
        <v>15030</v>
      </c>
      <c r="F1761" s="7" t="s">
        <v>11535</v>
      </c>
    </row>
    <row r="1762" ht="18" customHeight="1" spans="1:6">
      <c r="A1762" s="5" t="s">
        <v>5827</v>
      </c>
      <c r="B1762" s="5" t="s">
        <v>6052</v>
      </c>
      <c r="C1762" s="5" t="s">
        <v>15031</v>
      </c>
      <c r="D1762" s="5">
        <v>4</v>
      </c>
      <c r="E1762" s="12" t="s">
        <v>15032</v>
      </c>
      <c r="F1762" s="7" t="s">
        <v>11535</v>
      </c>
    </row>
    <row r="1763" ht="18" customHeight="1" spans="1:6">
      <c r="A1763" s="5" t="s">
        <v>5827</v>
      </c>
      <c r="B1763" s="5" t="s">
        <v>6052</v>
      </c>
      <c r="C1763" s="5" t="s">
        <v>15033</v>
      </c>
      <c r="D1763" s="5">
        <v>4</v>
      </c>
      <c r="E1763" s="12" t="s">
        <v>15034</v>
      </c>
      <c r="F1763" s="7" t="s">
        <v>11535</v>
      </c>
    </row>
    <row r="1764" ht="18" customHeight="1" spans="1:6">
      <c r="A1764" s="5" t="s">
        <v>5827</v>
      </c>
      <c r="B1764" s="5" t="s">
        <v>15020</v>
      </c>
      <c r="C1764" s="5" t="s">
        <v>15035</v>
      </c>
      <c r="D1764" s="5">
        <v>5</v>
      </c>
      <c r="E1764" s="12" t="s">
        <v>15036</v>
      </c>
      <c r="F1764" s="7" t="s">
        <v>11535</v>
      </c>
    </row>
    <row r="1765" ht="18" customHeight="1" spans="1:6">
      <c r="A1765" s="5" t="s">
        <v>5827</v>
      </c>
      <c r="B1765" s="5" t="s">
        <v>6049</v>
      </c>
      <c r="C1765" s="5" t="s">
        <v>15037</v>
      </c>
      <c r="D1765" s="5">
        <v>3</v>
      </c>
      <c r="E1765" s="12" t="s">
        <v>15038</v>
      </c>
      <c r="F1765" s="7" t="s">
        <v>11535</v>
      </c>
    </row>
    <row r="1766" ht="18" customHeight="1" spans="1:6">
      <c r="A1766" s="5" t="s">
        <v>5827</v>
      </c>
      <c r="B1766" s="5" t="s">
        <v>15015</v>
      </c>
      <c r="C1766" s="5" t="s">
        <v>15039</v>
      </c>
      <c r="D1766" s="5">
        <v>3</v>
      </c>
      <c r="E1766" s="12" t="s">
        <v>15040</v>
      </c>
      <c r="F1766" s="7" t="s">
        <v>11535</v>
      </c>
    </row>
    <row r="1767" ht="18" customHeight="1" spans="1:6">
      <c r="A1767" s="5" t="s">
        <v>5827</v>
      </c>
      <c r="B1767" s="5" t="s">
        <v>15020</v>
      </c>
      <c r="C1767" s="5" t="s">
        <v>15041</v>
      </c>
      <c r="D1767" s="5">
        <v>5</v>
      </c>
      <c r="E1767" s="12" t="s">
        <v>15042</v>
      </c>
      <c r="F1767" s="7" t="s">
        <v>11535</v>
      </c>
    </row>
    <row r="1768" ht="18" customHeight="1" spans="1:6">
      <c r="A1768" s="5" t="s">
        <v>5827</v>
      </c>
      <c r="B1768" s="5" t="s">
        <v>6052</v>
      </c>
      <c r="C1768" s="5" t="s">
        <v>15043</v>
      </c>
      <c r="D1768" s="5">
        <v>3</v>
      </c>
      <c r="E1768" s="12" t="s">
        <v>15044</v>
      </c>
      <c r="F1768" s="7" t="s">
        <v>11535</v>
      </c>
    </row>
    <row r="1769" ht="18" customHeight="1" spans="1:6">
      <c r="A1769" s="5" t="s">
        <v>5827</v>
      </c>
      <c r="B1769" s="5" t="s">
        <v>6068</v>
      </c>
      <c r="C1769" s="12" t="s">
        <v>15045</v>
      </c>
      <c r="D1769" s="6">
        <v>2</v>
      </c>
      <c r="E1769" s="12" t="s">
        <v>15046</v>
      </c>
      <c r="F1769" s="7" t="s">
        <v>11535</v>
      </c>
    </row>
    <row r="1770" ht="18" customHeight="1" spans="1:6">
      <c r="A1770" s="5" t="s">
        <v>5827</v>
      </c>
      <c r="B1770" s="5" t="s">
        <v>6068</v>
      </c>
      <c r="C1770" s="12" t="s">
        <v>15047</v>
      </c>
      <c r="D1770" s="6">
        <v>2</v>
      </c>
      <c r="E1770" s="12" t="s">
        <v>15048</v>
      </c>
      <c r="F1770" s="7" t="s">
        <v>11535</v>
      </c>
    </row>
    <row r="1771" ht="18" customHeight="1" spans="1:6">
      <c r="A1771" s="5" t="s">
        <v>5827</v>
      </c>
      <c r="B1771" s="5" t="s">
        <v>6068</v>
      </c>
      <c r="C1771" s="12" t="s">
        <v>15049</v>
      </c>
      <c r="D1771" s="6">
        <v>1</v>
      </c>
      <c r="E1771" s="12" t="s">
        <v>15050</v>
      </c>
      <c r="F1771" s="7" t="s">
        <v>11535</v>
      </c>
    </row>
    <row r="1772" ht="18" customHeight="1" spans="1:6">
      <c r="A1772" s="5" t="s">
        <v>5827</v>
      </c>
      <c r="B1772" s="5" t="s">
        <v>6068</v>
      </c>
      <c r="C1772" s="12" t="s">
        <v>15051</v>
      </c>
      <c r="D1772" s="6">
        <v>2</v>
      </c>
      <c r="E1772" s="12" t="s">
        <v>15052</v>
      </c>
      <c r="F1772" s="7" t="s">
        <v>11535</v>
      </c>
    </row>
    <row r="1773" ht="18" customHeight="1" spans="1:6">
      <c r="A1773" s="5" t="s">
        <v>5827</v>
      </c>
      <c r="B1773" s="5" t="s">
        <v>6068</v>
      </c>
      <c r="C1773" s="12" t="s">
        <v>15053</v>
      </c>
      <c r="D1773" s="6">
        <v>6</v>
      </c>
      <c r="E1773" s="12" t="s">
        <v>15054</v>
      </c>
      <c r="F1773" s="7" t="s">
        <v>11535</v>
      </c>
    </row>
    <row r="1774" ht="18" customHeight="1" spans="1:6">
      <c r="A1774" s="5" t="s">
        <v>5827</v>
      </c>
      <c r="B1774" s="5" t="s">
        <v>6068</v>
      </c>
      <c r="C1774" s="12" t="s">
        <v>15055</v>
      </c>
      <c r="D1774" s="6">
        <v>3</v>
      </c>
      <c r="E1774" s="12" t="s">
        <v>15056</v>
      </c>
      <c r="F1774" s="7" t="s">
        <v>11535</v>
      </c>
    </row>
    <row r="1775" ht="18" customHeight="1" spans="1:6">
      <c r="A1775" s="5" t="s">
        <v>5827</v>
      </c>
      <c r="B1775" s="5" t="s">
        <v>6075</v>
      </c>
      <c r="C1775" s="12" t="s">
        <v>15057</v>
      </c>
      <c r="D1775" s="6">
        <v>4</v>
      </c>
      <c r="E1775" s="12" t="s">
        <v>15058</v>
      </c>
      <c r="F1775" s="7" t="s">
        <v>11535</v>
      </c>
    </row>
    <row r="1776" ht="18" customHeight="1" spans="1:6">
      <c r="A1776" s="5" t="s">
        <v>5827</v>
      </c>
      <c r="B1776" s="13" t="s">
        <v>15059</v>
      </c>
      <c r="C1776" s="14" t="s">
        <v>15060</v>
      </c>
      <c r="D1776" s="15">
        <v>5</v>
      </c>
      <c r="E1776" s="14" t="s">
        <v>15061</v>
      </c>
      <c r="F1776" s="7" t="s">
        <v>11535</v>
      </c>
    </row>
    <row r="1777" ht="18" customHeight="1" spans="1:6">
      <c r="A1777" s="5" t="s">
        <v>5827</v>
      </c>
      <c r="B1777" s="13" t="s">
        <v>15059</v>
      </c>
      <c r="C1777" s="13" t="s">
        <v>15062</v>
      </c>
      <c r="D1777" s="13">
        <v>3</v>
      </c>
      <c r="E1777" s="13" t="s">
        <v>15063</v>
      </c>
      <c r="F1777" s="7" t="s">
        <v>11535</v>
      </c>
    </row>
    <row r="1778" ht="18" customHeight="1" spans="1:6">
      <c r="A1778" s="5" t="s">
        <v>5827</v>
      </c>
      <c r="B1778" s="13" t="s">
        <v>15059</v>
      </c>
      <c r="C1778" s="13" t="s">
        <v>15064</v>
      </c>
      <c r="D1778" s="13">
        <v>3</v>
      </c>
      <c r="E1778" s="13" t="s">
        <v>15065</v>
      </c>
      <c r="F1778" s="7" t="s">
        <v>11535</v>
      </c>
    </row>
    <row r="1779" ht="18" customHeight="1" spans="1:6">
      <c r="A1779" s="5" t="s">
        <v>5827</v>
      </c>
      <c r="B1779" s="13" t="s">
        <v>15066</v>
      </c>
      <c r="C1779" s="13" t="s">
        <v>15067</v>
      </c>
      <c r="D1779" s="13">
        <v>3</v>
      </c>
      <c r="E1779" s="13" t="s">
        <v>15068</v>
      </c>
      <c r="F1779" s="7" t="s">
        <v>11535</v>
      </c>
    </row>
    <row r="1780" ht="18" customHeight="1" spans="1:6">
      <c r="A1780" s="5" t="s">
        <v>5827</v>
      </c>
      <c r="B1780" s="13" t="s">
        <v>15069</v>
      </c>
      <c r="C1780" s="13" t="s">
        <v>15070</v>
      </c>
      <c r="D1780" s="13">
        <v>4</v>
      </c>
      <c r="E1780" s="13" t="s">
        <v>15071</v>
      </c>
      <c r="F1780" s="7" t="s">
        <v>11535</v>
      </c>
    </row>
    <row r="1781" ht="18" customHeight="1" spans="1:6">
      <c r="A1781" s="5" t="s">
        <v>5827</v>
      </c>
      <c r="B1781" s="19" t="s">
        <v>6103</v>
      </c>
      <c r="C1781" s="8" t="s">
        <v>15072</v>
      </c>
      <c r="D1781" s="19">
        <v>2</v>
      </c>
      <c r="E1781" s="8" t="s">
        <v>15073</v>
      </c>
      <c r="F1781" s="7" t="s">
        <v>11535</v>
      </c>
    </row>
    <row r="1782" ht="18" customHeight="1" spans="1:6">
      <c r="A1782" s="5" t="s">
        <v>5827</v>
      </c>
      <c r="B1782" s="19" t="s">
        <v>6103</v>
      </c>
      <c r="C1782" s="8" t="s">
        <v>15074</v>
      </c>
      <c r="D1782" s="19">
        <v>1</v>
      </c>
      <c r="E1782" s="8" t="s">
        <v>15075</v>
      </c>
      <c r="F1782" s="7" t="s">
        <v>11535</v>
      </c>
    </row>
    <row r="1783" ht="18" customHeight="1" spans="1:6">
      <c r="A1783" s="5" t="s">
        <v>5827</v>
      </c>
      <c r="B1783" s="19" t="s">
        <v>6106</v>
      </c>
      <c r="C1783" s="8" t="s">
        <v>8343</v>
      </c>
      <c r="D1783" s="19">
        <v>1</v>
      </c>
      <c r="E1783" s="10" t="s">
        <v>15076</v>
      </c>
      <c r="F1783" s="7" t="s">
        <v>11535</v>
      </c>
    </row>
    <row r="1784" ht="18" customHeight="1" spans="1:6">
      <c r="A1784" s="5" t="s">
        <v>5827</v>
      </c>
      <c r="B1784" s="19" t="s">
        <v>6078</v>
      </c>
      <c r="C1784" s="13" t="s">
        <v>15077</v>
      </c>
      <c r="D1784" s="13">
        <v>3</v>
      </c>
      <c r="E1784" s="179" t="s">
        <v>15078</v>
      </c>
      <c r="F1784" s="7" t="s">
        <v>11535</v>
      </c>
    </row>
    <row r="1785" ht="18" customHeight="1" spans="1:6">
      <c r="A1785" s="5" t="s">
        <v>5827</v>
      </c>
      <c r="B1785" s="19" t="s">
        <v>6098</v>
      </c>
      <c r="C1785" s="13" t="s">
        <v>15079</v>
      </c>
      <c r="D1785" s="13">
        <v>2</v>
      </c>
      <c r="E1785" s="179" t="s">
        <v>15080</v>
      </c>
      <c r="F1785" s="7" t="s">
        <v>11535</v>
      </c>
    </row>
    <row r="1786" ht="18" customHeight="1" spans="1:6">
      <c r="A1786" s="5" t="s">
        <v>5827</v>
      </c>
      <c r="B1786" s="19" t="s">
        <v>6081</v>
      </c>
      <c r="C1786" s="13" t="s">
        <v>15081</v>
      </c>
      <c r="D1786" s="13">
        <v>2</v>
      </c>
      <c r="E1786" s="179" t="s">
        <v>15082</v>
      </c>
      <c r="F1786" s="7" t="s">
        <v>11535</v>
      </c>
    </row>
    <row r="1787" ht="18" customHeight="1" spans="1:6">
      <c r="A1787" s="5" t="s">
        <v>5827</v>
      </c>
      <c r="B1787" s="19" t="s">
        <v>6098</v>
      </c>
      <c r="C1787" s="13" t="s">
        <v>15083</v>
      </c>
      <c r="D1787" s="13">
        <v>1</v>
      </c>
      <c r="E1787" s="179" t="s">
        <v>15084</v>
      </c>
      <c r="F1787" s="7" t="s">
        <v>11535</v>
      </c>
    </row>
    <row r="1788" ht="18" customHeight="1" spans="1:6">
      <c r="A1788" s="5" t="s">
        <v>5827</v>
      </c>
      <c r="B1788" s="19" t="s">
        <v>6106</v>
      </c>
      <c r="C1788" s="13" t="s">
        <v>1941</v>
      </c>
      <c r="D1788" s="13">
        <v>1</v>
      </c>
      <c r="E1788" s="179" t="s">
        <v>15085</v>
      </c>
      <c r="F1788" s="7" t="s">
        <v>11535</v>
      </c>
    </row>
    <row r="1789" ht="18" customHeight="1" spans="1:6">
      <c r="A1789" s="5" t="s">
        <v>5827</v>
      </c>
      <c r="B1789" s="19" t="s">
        <v>6098</v>
      </c>
      <c r="C1789" s="13" t="s">
        <v>15086</v>
      </c>
      <c r="D1789" s="13">
        <v>1</v>
      </c>
      <c r="E1789" s="179" t="s">
        <v>15087</v>
      </c>
      <c r="F1789" s="7" t="s">
        <v>11535</v>
      </c>
    </row>
    <row r="1790" ht="18" customHeight="1" spans="1:6">
      <c r="A1790" s="5" t="s">
        <v>5827</v>
      </c>
      <c r="B1790" s="19" t="s">
        <v>6081</v>
      </c>
      <c r="C1790" s="13" t="s">
        <v>15088</v>
      </c>
      <c r="D1790" s="13">
        <v>1</v>
      </c>
      <c r="E1790" s="179" t="s">
        <v>15089</v>
      </c>
      <c r="F1790" s="7" t="s">
        <v>11535</v>
      </c>
    </row>
    <row r="1791" ht="18" customHeight="1" spans="1:6">
      <c r="A1791" s="5" t="s">
        <v>5827</v>
      </c>
      <c r="B1791" s="19" t="s">
        <v>6103</v>
      </c>
      <c r="C1791" s="13" t="s">
        <v>15090</v>
      </c>
      <c r="D1791" s="13">
        <v>1</v>
      </c>
      <c r="E1791" s="179" t="s">
        <v>15091</v>
      </c>
      <c r="F1791" s="7" t="s">
        <v>11535</v>
      </c>
    </row>
    <row r="1792" ht="18" customHeight="1" spans="1:6">
      <c r="A1792" s="5" t="s">
        <v>5827</v>
      </c>
      <c r="B1792" s="19" t="s">
        <v>6098</v>
      </c>
      <c r="C1792" s="13" t="s">
        <v>15092</v>
      </c>
      <c r="D1792" s="13">
        <v>1</v>
      </c>
      <c r="E1792" s="179" t="s">
        <v>15093</v>
      </c>
      <c r="F1792" s="7" t="s">
        <v>11535</v>
      </c>
    </row>
    <row r="1793" ht="18" customHeight="1" spans="1:6">
      <c r="A1793" s="5" t="s">
        <v>5827</v>
      </c>
      <c r="B1793" s="19" t="s">
        <v>6078</v>
      </c>
      <c r="C1793" s="13" t="s">
        <v>15094</v>
      </c>
      <c r="D1793" s="13">
        <v>1</v>
      </c>
      <c r="E1793" s="179" t="s">
        <v>15095</v>
      </c>
      <c r="F1793" s="7" t="s">
        <v>11535</v>
      </c>
    </row>
    <row r="1794" ht="18" customHeight="1" spans="1:6">
      <c r="A1794" s="5" t="s">
        <v>5827</v>
      </c>
      <c r="B1794" s="19" t="s">
        <v>6086</v>
      </c>
      <c r="C1794" s="13" t="s">
        <v>15096</v>
      </c>
      <c r="D1794" s="13">
        <v>1</v>
      </c>
      <c r="E1794" s="179" t="s">
        <v>15097</v>
      </c>
      <c r="F1794" s="7" t="s">
        <v>11535</v>
      </c>
    </row>
    <row r="1795" ht="18" customHeight="1" spans="1:6">
      <c r="A1795" s="5" t="s">
        <v>5827</v>
      </c>
      <c r="B1795" s="19" t="s">
        <v>6103</v>
      </c>
      <c r="C1795" s="13" t="s">
        <v>15098</v>
      </c>
      <c r="D1795" s="13">
        <v>7</v>
      </c>
      <c r="E1795" s="179" t="s">
        <v>15099</v>
      </c>
      <c r="F1795" s="7" t="s">
        <v>11535</v>
      </c>
    </row>
    <row r="1796" ht="18" customHeight="1" spans="1:6">
      <c r="A1796" s="5" t="s">
        <v>5827</v>
      </c>
      <c r="B1796" s="19" t="s">
        <v>6106</v>
      </c>
      <c r="C1796" s="13" t="s">
        <v>15100</v>
      </c>
      <c r="D1796" s="13">
        <v>1</v>
      </c>
      <c r="E1796" s="13" t="s">
        <v>15101</v>
      </c>
      <c r="F1796" s="7" t="s">
        <v>11535</v>
      </c>
    </row>
    <row r="1797" ht="18" customHeight="1" spans="1:6">
      <c r="A1797" s="5" t="s">
        <v>5827</v>
      </c>
      <c r="B1797" s="19" t="s">
        <v>6098</v>
      </c>
      <c r="C1797" s="13" t="s">
        <v>15102</v>
      </c>
      <c r="D1797" s="13">
        <v>1</v>
      </c>
      <c r="E1797" s="13" t="s">
        <v>15103</v>
      </c>
      <c r="F1797" s="7" t="s">
        <v>11535</v>
      </c>
    </row>
    <row r="1798" ht="18" customHeight="1" spans="1:6">
      <c r="A1798" s="5" t="s">
        <v>5827</v>
      </c>
      <c r="B1798" s="19" t="s">
        <v>6103</v>
      </c>
      <c r="C1798" s="13" t="s">
        <v>15104</v>
      </c>
      <c r="D1798" s="13">
        <v>3</v>
      </c>
      <c r="E1798" s="13" t="s">
        <v>15105</v>
      </c>
      <c r="F1798" s="7" t="s">
        <v>11535</v>
      </c>
    </row>
    <row r="1799" ht="18" customHeight="1" spans="1:6">
      <c r="A1799" s="5" t="s">
        <v>5827</v>
      </c>
      <c r="B1799" s="19" t="s">
        <v>6078</v>
      </c>
      <c r="C1799" s="13" t="s">
        <v>15106</v>
      </c>
      <c r="D1799" s="13">
        <v>2</v>
      </c>
      <c r="E1799" s="13" t="s">
        <v>15107</v>
      </c>
      <c r="F1799" s="7" t="s">
        <v>11535</v>
      </c>
    </row>
    <row r="1800" ht="18" customHeight="1" spans="1:6">
      <c r="A1800" s="5" t="s">
        <v>5827</v>
      </c>
      <c r="B1800" s="5" t="s">
        <v>15108</v>
      </c>
      <c r="C1800" s="5" t="s">
        <v>15109</v>
      </c>
      <c r="D1800" s="5">
        <v>5</v>
      </c>
      <c r="E1800" s="10" t="s">
        <v>15110</v>
      </c>
      <c r="F1800" s="7" t="s">
        <v>11535</v>
      </c>
    </row>
    <row r="1801" ht="18" customHeight="1" spans="1:6">
      <c r="A1801" s="5" t="s">
        <v>5827</v>
      </c>
      <c r="B1801" s="5" t="s">
        <v>15108</v>
      </c>
      <c r="C1801" s="5" t="s">
        <v>15111</v>
      </c>
      <c r="D1801" s="5">
        <v>5</v>
      </c>
      <c r="E1801" s="10" t="s">
        <v>15112</v>
      </c>
      <c r="F1801" s="7" t="s">
        <v>11535</v>
      </c>
    </row>
    <row r="1802" ht="18" customHeight="1" spans="1:6">
      <c r="A1802" s="5" t="s">
        <v>5827</v>
      </c>
      <c r="B1802" s="5" t="s">
        <v>15113</v>
      </c>
      <c r="C1802" s="5" t="s">
        <v>15114</v>
      </c>
      <c r="D1802" s="5">
        <v>3</v>
      </c>
      <c r="E1802" s="10" t="s">
        <v>15115</v>
      </c>
      <c r="F1802" s="7" t="s">
        <v>11535</v>
      </c>
    </row>
    <row r="1803" ht="18" customHeight="1" spans="1:6">
      <c r="A1803" s="5" t="s">
        <v>5827</v>
      </c>
      <c r="B1803" s="5" t="s">
        <v>15108</v>
      </c>
      <c r="C1803" s="5" t="s">
        <v>15116</v>
      </c>
      <c r="D1803" s="5">
        <v>3</v>
      </c>
      <c r="E1803" s="10" t="s">
        <v>15117</v>
      </c>
      <c r="F1803" s="7" t="s">
        <v>11535</v>
      </c>
    </row>
    <row r="1804" ht="18" customHeight="1" spans="1:6">
      <c r="A1804" s="5" t="s">
        <v>5827</v>
      </c>
      <c r="B1804" s="5" t="s">
        <v>15108</v>
      </c>
      <c r="C1804" s="5" t="s">
        <v>15118</v>
      </c>
      <c r="D1804" s="5">
        <v>2</v>
      </c>
      <c r="E1804" s="10" t="s">
        <v>15119</v>
      </c>
      <c r="F1804" s="7" t="s">
        <v>11535</v>
      </c>
    </row>
    <row r="1805" ht="18" customHeight="1" spans="1:6">
      <c r="A1805" s="5" t="s">
        <v>5827</v>
      </c>
      <c r="B1805" s="5" t="s">
        <v>15113</v>
      </c>
      <c r="C1805" s="5" t="s">
        <v>15120</v>
      </c>
      <c r="D1805" s="5">
        <v>5</v>
      </c>
      <c r="E1805" s="187" t="s">
        <v>15121</v>
      </c>
      <c r="F1805" s="7" t="s">
        <v>11535</v>
      </c>
    </row>
    <row r="1806" ht="18" customHeight="1" spans="1:6">
      <c r="A1806" s="5" t="s">
        <v>5827</v>
      </c>
      <c r="B1806" s="5" t="s">
        <v>15113</v>
      </c>
      <c r="C1806" s="5" t="s">
        <v>15122</v>
      </c>
      <c r="D1806" s="5">
        <v>5</v>
      </c>
      <c r="E1806" s="10" t="s">
        <v>15123</v>
      </c>
      <c r="F1806" s="7" t="s">
        <v>11535</v>
      </c>
    </row>
    <row r="1807" ht="18" customHeight="1" spans="1:6">
      <c r="A1807" s="5" t="s">
        <v>5827</v>
      </c>
      <c r="B1807" s="5" t="s">
        <v>15113</v>
      </c>
      <c r="C1807" s="5" t="s">
        <v>15124</v>
      </c>
      <c r="D1807" s="5">
        <v>2</v>
      </c>
      <c r="E1807" s="10" t="s">
        <v>15125</v>
      </c>
      <c r="F1807" s="7" t="s">
        <v>11535</v>
      </c>
    </row>
    <row r="1808" ht="18" customHeight="1" spans="1:6">
      <c r="A1808" s="5" t="s">
        <v>5827</v>
      </c>
      <c r="B1808" s="5" t="s">
        <v>15108</v>
      </c>
      <c r="C1808" s="5" t="s">
        <v>15126</v>
      </c>
      <c r="D1808" s="5">
        <v>3</v>
      </c>
      <c r="E1808" s="10" t="s">
        <v>15127</v>
      </c>
      <c r="F1808" s="7" t="s">
        <v>11535</v>
      </c>
    </row>
    <row r="1809" ht="18" customHeight="1" spans="1:6">
      <c r="A1809" s="5" t="s">
        <v>5827</v>
      </c>
      <c r="B1809" s="5" t="s">
        <v>15113</v>
      </c>
      <c r="C1809" s="5" t="s">
        <v>15128</v>
      </c>
      <c r="D1809" s="5">
        <v>1</v>
      </c>
      <c r="E1809" s="10" t="s">
        <v>15129</v>
      </c>
      <c r="F1809" s="7" t="s">
        <v>11535</v>
      </c>
    </row>
    <row r="1810" ht="18" customHeight="1" spans="1:6">
      <c r="A1810" s="5" t="s">
        <v>5827</v>
      </c>
      <c r="B1810" s="5" t="s">
        <v>15113</v>
      </c>
      <c r="C1810" s="5" t="s">
        <v>15130</v>
      </c>
      <c r="D1810" s="5">
        <v>5</v>
      </c>
      <c r="E1810" s="10" t="s">
        <v>15131</v>
      </c>
      <c r="F1810" s="7" t="s">
        <v>11535</v>
      </c>
    </row>
    <row r="1811" ht="18" customHeight="1" spans="1:6">
      <c r="A1811" s="5" t="s">
        <v>5827</v>
      </c>
      <c r="B1811" s="5" t="s">
        <v>15108</v>
      </c>
      <c r="C1811" s="5" t="s">
        <v>15132</v>
      </c>
      <c r="D1811" s="5">
        <v>2</v>
      </c>
      <c r="E1811" s="10" t="s">
        <v>15133</v>
      </c>
      <c r="F1811" s="7" t="s">
        <v>11535</v>
      </c>
    </row>
    <row r="1812" ht="18" customHeight="1" spans="1:6">
      <c r="A1812" s="5" t="s">
        <v>5827</v>
      </c>
      <c r="B1812" s="5" t="s">
        <v>15108</v>
      </c>
      <c r="C1812" s="5" t="s">
        <v>15134</v>
      </c>
      <c r="D1812" s="5">
        <v>3</v>
      </c>
      <c r="E1812" s="10" t="s">
        <v>15135</v>
      </c>
      <c r="F1812" s="7" t="s">
        <v>11535</v>
      </c>
    </row>
    <row r="1813" ht="18" customHeight="1" spans="1:6">
      <c r="A1813" s="5" t="s">
        <v>5827</v>
      </c>
      <c r="B1813" s="5" t="s">
        <v>15113</v>
      </c>
      <c r="C1813" s="5" t="s">
        <v>15136</v>
      </c>
      <c r="D1813" s="5">
        <v>3</v>
      </c>
      <c r="E1813" s="10" t="s">
        <v>15137</v>
      </c>
      <c r="F1813" s="7" t="s">
        <v>11535</v>
      </c>
    </row>
    <row r="1814" ht="18" customHeight="1" spans="1:6">
      <c r="A1814" s="5" t="s">
        <v>5827</v>
      </c>
      <c r="B1814" s="5" t="s">
        <v>15113</v>
      </c>
      <c r="C1814" s="5" t="s">
        <v>15138</v>
      </c>
      <c r="D1814" s="5">
        <v>1</v>
      </c>
      <c r="E1814" s="10" t="s">
        <v>15139</v>
      </c>
      <c r="F1814" s="7" t="s">
        <v>11535</v>
      </c>
    </row>
    <row r="1815" ht="18" customHeight="1" spans="1:6">
      <c r="A1815" s="5" t="s">
        <v>5827</v>
      </c>
      <c r="B1815" s="5" t="s">
        <v>5891</v>
      </c>
      <c r="C1815" s="5" t="s">
        <v>15140</v>
      </c>
      <c r="D1815" s="5">
        <v>5</v>
      </c>
      <c r="E1815" s="10" t="s">
        <v>15141</v>
      </c>
      <c r="F1815" s="7" t="s">
        <v>11535</v>
      </c>
    </row>
    <row r="1816" ht="18" customHeight="1" spans="1:6">
      <c r="A1816" s="5" t="s">
        <v>5827</v>
      </c>
      <c r="B1816" s="5" t="s">
        <v>6129</v>
      </c>
      <c r="C1816" s="5" t="s">
        <v>15142</v>
      </c>
      <c r="D1816" s="5">
        <v>1</v>
      </c>
      <c r="E1816" s="14" t="s">
        <v>15143</v>
      </c>
      <c r="F1816" s="7" t="s">
        <v>11535</v>
      </c>
    </row>
    <row r="1817" ht="18" customHeight="1" spans="1:6">
      <c r="A1817" s="5" t="s">
        <v>5827</v>
      </c>
      <c r="B1817" s="5" t="s">
        <v>6129</v>
      </c>
      <c r="C1817" s="5" t="s">
        <v>15144</v>
      </c>
      <c r="D1817" s="5">
        <v>1</v>
      </c>
      <c r="E1817" s="14" t="s">
        <v>15145</v>
      </c>
      <c r="F1817" s="7" t="s">
        <v>11535</v>
      </c>
    </row>
    <row r="1818" ht="18" customHeight="1" spans="1:6">
      <c r="A1818" s="5" t="s">
        <v>5827</v>
      </c>
      <c r="B1818" s="5" t="s">
        <v>6129</v>
      </c>
      <c r="C1818" s="5" t="s">
        <v>15146</v>
      </c>
      <c r="D1818" s="5">
        <v>1</v>
      </c>
      <c r="E1818" s="47" t="s">
        <v>15147</v>
      </c>
      <c r="F1818" s="7" t="s">
        <v>11535</v>
      </c>
    </row>
    <row r="1819" ht="18" customHeight="1" spans="1:6">
      <c r="A1819" s="5" t="s">
        <v>5827</v>
      </c>
      <c r="B1819" s="5" t="s">
        <v>6129</v>
      </c>
      <c r="C1819" s="5" t="s">
        <v>15148</v>
      </c>
      <c r="D1819" s="5">
        <v>3</v>
      </c>
      <c r="E1819" s="47" t="s">
        <v>15149</v>
      </c>
      <c r="F1819" s="7" t="s">
        <v>11535</v>
      </c>
    </row>
    <row r="1820" ht="18" customHeight="1" spans="1:6">
      <c r="A1820" s="5" t="s">
        <v>5827</v>
      </c>
      <c r="B1820" s="5" t="s">
        <v>15150</v>
      </c>
      <c r="C1820" s="5" t="s">
        <v>15151</v>
      </c>
      <c r="D1820" s="5">
        <v>3</v>
      </c>
      <c r="E1820" s="47" t="s">
        <v>15152</v>
      </c>
      <c r="F1820" s="7" t="s">
        <v>11535</v>
      </c>
    </row>
    <row r="1821" ht="18" customHeight="1" spans="1:6">
      <c r="A1821" s="13" t="s">
        <v>5827</v>
      </c>
      <c r="B1821" s="8" t="s">
        <v>15153</v>
      </c>
      <c r="C1821" s="8" t="s">
        <v>15154</v>
      </c>
      <c r="D1821" s="9">
        <v>1</v>
      </c>
      <c r="E1821" s="8" t="s">
        <v>15155</v>
      </c>
      <c r="F1821" s="7" t="s">
        <v>11535</v>
      </c>
    </row>
    <row r="1822" ht="18" customHeight="1" spans="1:6">
      <c r="A1822" s="13" t="s">
        <v>5827</v>
      </c>
      <c r="B1822" s="8" t="s">
        <v>15153</v>
      </c>
      <c r="C1822" s="8" t="s">
        <v>15156</v>
      </c>
      <c r="D1822" s="9">
        <v>2</v>
      </c>
      <c r="E1822" s="8" t="s">
        <v>15157</v>
      </c>
      <c r="F1822" s="7" t="s">
        <v>11535</v>
      </c>
    </row>
    <row r="1823" ht="18" customHeight="1" spans="1:6">
      <c r="A1823" s="13" t="s">
        <v>5827</v>
      </c>
      <c r="B1823" s="8" t="s">
        <v>15153</v>
      </c>
      <c r="C1823" s="8" t="s">
        <v>15158</v>
      </c>
      <c r="D1823" s="9">
        <v>1</v>
      </c>
      <c r="E1823" s="8" t="s">
        <v>15159</v>
      </c>
      <c r="F1823" s="7" t="s">
        <v>11535</v>
      </c>
    </row>
    <row r="1824" ht="18" customHeight="1" spans="1:6">
      <c r="A1824" s="13" t="s">
        <v>5827</v>
      </c>
      <c r="B1824" s="8" t="s">
        <v>15153</v>
      </c>
      <c r="C1824" s="8" t="s">
        <v>15160</v>
      </c>
      <c r="D1824" s="9">
        <v>1</v>
      </c>
      <c r="E1824" s="8" t="s">
        <v>15161</v>
      </c>
      <c r="F1824" s="7" t="s">
        <v>11535</v>
      </c>
    </row>
    <row r="1825" ht="18" customHeight="1" spans="1:6">
      <c r="A1825" s="13" t="s">
        <v>5827</v>
      </c>
      <c r="B1825" s="8" t="s">
        <v>15153</v>
      </c>
      <c r="C1825" s="8" t="s">
        <v>15162</v>
      </c>
      <c r="D1825" s="9">
        <v>3</v>
      </c>
      <c r="E1825" s="8" t="s">
        <v>15163</v>
      </c>
      <c r="F1825" s="7" t="s">
        <v>11535</v>
      </c>
    </row>
    <row r="1826" ht="18" customHeight="1" spans="1:6">
      <c r="A1826" s="13" t="s">
        <v>5827</v>
      </c>
      <c r="B1826" s="8" t="s">
        <v>15153</v>
      </c>
      <c r="C1826" s="8" t="s">
        <v>15164</v>
      </c>
      <c r="D1826" s="9">
        <v>4</v>
      </c>
      <c r="E1826" s="8" t="s">
        <v>15165</v>
      </c>
      <c r="F1826" s="7" t="s">
        <v>11535</v>
      </c>
    </row>
    <row r="1827" ht="18" customHeight="1" spans="1:6">
      <c r="A1827" s="13" t="s">
        <v>5827</v>
      </c>
      <c r="B1827" s="8" t="s">
        <v>15153</v>
      </c>
      <c r="C1827" s="8" t="s">
        <v>15166</v>
      </c>
      <c r="D1827" s="9">
        <v>5</v>
      </c>
      <c r="E1827" s="8" t="s">
        <v>15167</v>
      </c>
      <c r="F1827" s="7" t="s">
        <v>11535</v>
      </c>
    </row>
    <row r="1828" ht="18" customHeight="1" spans="1:6">
      <c r="A1828" s="13" t="s">
        <v>5827</v>
      </c>
      <c r="B1828" s="8" t="s">
        <v>15153</v>
      </c>
      <c r="C1828" s="8" t="s">
        <v>15168</v>
      </c>
      <c r="D1828" s="9">
        <v>4</v>
      </c>
      <c r="E1828" s="8" t="s">
        <v>15169</v>
      </c>
      <c r="F1828" s="7" t="s">
        <v>11535</v>
      </c>
    </row>
    <row r="1829" ht="18" customHeight="1" spans="1:6">
      <c r="A1829" s="13" t="s">
        <v>5827</v>
      </c>
      <c r="B1829" s="8" t="s">
        <v>15153</v>
      </c>
      <c r="C1829" s="8" t="s">
        <v>15170</v>
      </c>
      <c r="D1829" s="9">
        <v>4</v>
      </c>
      <c r="E1829" s="8" t="s">
        <v>15171</v>
      </c>
      <c r="F1829" s="7" t="s">
        <v>11535</v>
      </c>
    </row>
    <row r="1830" ht="18" customHeight="1" spans="1:6">
      <c r="A1830" s="13" t="s">
        <v>5827</v>
      </c>
      <c r="B1830" s="8" t="s">
        <v>15153</v>
      </c>
      <c r="C1830" s="8" t="s">
        <v>15172</v>
      </c>
      <c r="D1830" s="9">
        <v>4</v>
      </c>
      <c r="E1830" s="8" t="s">
        <v>15173</v>
      </c>
      <c r="F1830" s="7" t="s">
        <v>11535</v>
      </c>
    </row>
    <row r="1831" ht="18" customHeight="1" spans="1:6">
      <c r="A1831" s="13" t="s">
        <v>5827</v>
      </c>
      <c r="B1831" s="8" t="s">
        <v>15153</v>
      </c>
      <c r="C1831" s="8" t="s">
        <v>15174</v>
      </c>
      <c r="D1831" s="9">
        <v>4</v>
      </c>
      <c r="E1831" s="8" t="s">
        <v>15175</v>
      </c>
      <c r="F1831" s="7" t="s">
        <v>11535</v>
      </c>
    </row>
    <row r="1832" ht="18" customHeight="1" spans="1:6">
      <c r="A1832" s="13" t="s">
        <v>5827</v>
      </c>
      <c r="B1832" s="8" t="s">
        <v>15153</v>
      </c>
      <c r="C1832" s="8" t="s">
        <v>15176</v>
      </c>
      <c r="D1832" s="9">
        <v>1</v>
      </c>
      <c r="E1832" s="8" t="s">
        <v>15177</v>
      </c>
      <c r="F1832" s="7" t="s">
        <v>11535</v>
      </c>
    </row>
    <row r="1833" ht="18" customHeight="1" spans="1:6">
      <c r="A1833" s="13" t="s">
        <v>5827</v>
      </c>
      <c r="B1833" s="8" t="s">
        <v>15153</v>
      </c>
      <c r="C1833" s="8" t="s">
        <v>15178</v>
      </c>
      <c r="D1833" s="9">
        <v>4</v>
      </c>
      <c r="E1833" s="8" t="s">
        <v>15179</v>
      </c>
      <c r="F1833" s="7" t="s">
        <v>11535</v>
      </c>
    </row>
    <row r="1834" ht="18" customHeight="1" spans="1:6">
      <c r="A1834" s="13" t="s">
        <v>5827</v>
      </c>
      <c r="B1834" s="8" t="s">
        <v>15153</v>
      </c>
      <c r="C1834" s="8" t="s">
        <v>15180</v>
      </c>
      <c r="D1834" s="9">
        <v>5</v>
      </c>
      <c r="E1834" s="8" t="s">
        <v>15181</v>
      </c>
      <c r="F1834" s="7" t="s">
        <v>11535</v>
      </c>
    </row>
    <row r="1835" ht="18" customHeight="1" spans="1:6">
      <c r="A1835" s="13" t="s">
        <v>5827</v>
      </c>
      <c r="B1835" s="8" t="s">
        <v>15153</v>
      </c>
      <c r="C1835" s="8" t="s">
        <v>15182</v>
      </c>
      <c r="D1835" s="9">
        <v>4</v>
      </c>
      <c r="E1835" s="8" t="s">
        <v>15183</v>
      </c>
      <c r="F1835" s="7" t="s">
        <v>11535</v>
      </c>
    </row>
    <row r="1836" ht="18" customHeight="1" spans="1:6">
      <c r="A1836" s="13" t="s">
        <v>5827</v>
      </c>
      <c r="B1836" s="8" t="s">
        <v>15153</v>
      </c>
      <c r="C1836" s="8" t="s">
        <v>15184</v>
      </c>
      <c r="D1836" s="9">
        <v>3</v>
      </c>
      <c r="E1836" s="8" t="s">
        <v>15185</v>
      </c>
      <c r="F1836" s="7" t="s">
        <v>11535</v>
      </c>
    </row>
    <row r="1837" ht="18" customHeight="1" spans="1:6">
      <c r="A1837" s="13" t="s">
        <v>5827</v>
      </c>
      <c r="B1837" s="8" t="s">
        <v>15153</v>
      </c>
      <c r="C1837" s="8" t="s">
        <v>3400</v>
      </c>
      <c r="D1837" s="9">
        <v>3</v>
      </c>
      <c r="E1837" s="8" t="s">
        <v>15186</v>
      </c>
      <c r="F1837" s="7" t="s">
        <v>11535</v>
      </c>
    </row>
    <row r="1838" ht="18" customHeight="1" spans="1:6">
      <c r="A1838" s="13" t="s">
        <v>5827</v>
      </c>
      <c r="B1838" s="8" t="s">
        <v>15153</v>
      </c>
      <c r="C1838" s="8" t="s">
        <v>15187</v>
      </c>
      <c r="D1838" s="9">
        <v>1</v>
      </c>
      <c r="E1838" s="8" t="s">
        <v>15188</v>
      </c>
      <c r="F1838" s="7" t="s">
        <v>11535</v>
      </c>
    </row>
    <row r="1839" ht="18" customHeight="1" spans="1:6">
      <c r="A1839" s="13" t="s">
        <v>5827</v>
      </c>
      <c r="B1839" s="8" t="s">
        <v>15153</v>
      </c>
      <c r="C1839" s="8" t="s">
        <v>15189</v>
      </c>
      <c r="D1839" s="9">
        <v>2</v>
      </c>
      <c r="E1839" s="8" t="s">
        <v>15190</v>
      </c>
      <c r="F1839" s="7" t="s">
        <v>11535</v>
      </c>
    </row>
    <row r="1840" ht="18" customHeight="1" spans="1:6">
      <c r="A1840" s="13" t="s">
        <v>5827</v>
      </c>
      <c r="B1840" s="8" t="s">
        <v>15153</v>
      </c>
      <c r="C1840" s="8" t="s">
        <v>15191</v>
      </c>
      <c r="D1840" s="9">
        <v>2</v>
      </c>
      <c r="E1840" s="8" t="s">
        <v>15192</v>
      </c>
      <c r="F1840" s="7" t="s">
        <v>11535</v>
      </c>
    </row>
    <row r="1841" ht="18" customHeight="1" spans="1:6">
      <c r="A1841" s="13" t="s">
        <v>5827</v>
      </c>
      <c r="B1841" s="8" t="s">
        <v>15153</v>
      </c>
      <c r="C1841" s="8" t="s">
        <v>15193</v>
      </c>
      <c r="D1841" s="9">
        <v>3</v>
      </c>
      <c r="E1841" s="8" t="s">
        <v>15194</v>
      </c>
      <c r="F1841" s="7" t="s">
        <v>11535</v>
      </c>
    </row>
    <row r="1842" ht="18" customHeight="1" spans="1:6">
      <c r="A1842" s="13" t="s">
        <v>5827</v>
      </c>
      <c r="B1842" s="8" t="s">
        <v>15153</v>
      </c>
      <c r="C1842" s="8" t="s">
        <v>15195</v>
      </c>
      <c r="D1842" s="9">
        <v>1</v>
      </c>
      <c r="E1842" s="8" t="s">
        <v>15196</v>
      </c>
      <c r="F1842" s="7" t="s">
        <v>11535</v>
      </c>
    </row>
    <row r="1843" ht="18" customHeight="1" spans="1:6">
      <c r="A1843" s="13" t="s">
        <v>5827</v>
      </c>
      <c r="B1843" s="8" t="s">
        <v>15153</v>
      </c>
      <c r="C1843" s="8" t="s">
        <v>15197</v>
      </c>
      <c r="D1843" s="9">
        <v>5</v>
      </c>
      <c r="E1843" s="8" t="s">
        <v>15198</v>
      </c>
      <c r="F1843" s="7" t="s">
        <v>11535</v>
      </c>
    </row>
    <row r="1844" ht="18" customHeight="1" spans="1:6">
      <c r="A1844" s="13" t="s">
        <v>5827</v>
      </c>
      <c r="B1844" s="8" t="s">
        <v>15153</v>
      </c>
      <c r="C1844" s="8" t="s">
        <v>15199</v>
      </c>
      <c r="D1844" s="9">
        <v>3</v>
      </c>
      <c r="E1844" s="8" t="s">
        <v>15200</v>
      </c>
      <c r="F1844" s="7" t="s">
        <v>11535</v>
      </c>
    </row>
    <row r="1845" ht="18" customHeight="1" spans="1:6">
      <c r="A1845" s="13" t="s">
        <v>5827</v>
      </c>
      <c r="B1845" s="8" t="s">
        <v>15153</v>
      </c>
      <c r="C1845" s="8" t="s">
        <v>15201</v>
      </c>
      <c r="D1845" s="9">
        <v>2</v>
      </c>
      <c r="E1845" s="8" t="s">
        <v>15202</v>
      </c>
      <c r="F1845" s="7" t="s">
        <v>11535</v>
      </c>
    </row>
    <row r="1846" ht="18" customHeight="1" spans="1:6">
      <c r="A1846" s="13" t="s">
        <v>5827</v>
      </c>
      <c r="B1846" s="8" t="s">
        <v>15153</v>
      </c>
      <c r="C1846" s="8" t="s">
        <v>15203</v>
      </c>
      <c r="D1846" s="9">
        <v>3</v>
      </c>
      <c r="E1846" s="8" t="s">
        <v>15204</v>
      </c>
      <c r="F1846" s="7" t="s">
        <v>11535</v>
      </c>
    </row>
    <row r="1847" ht="18" customHeight="1" spans="1:6">
      <c r="A1847" s="13" t="s">
        <v>5827</v>
      </c>
      <c r="B1847" s="8" t="s">
        <v>15153</v>
      </c>
      <c r="C1847" s="8" t="s">
        <v>15205</v>
      </c>
      <c r="D1847" s="9">
        <v>4</v>
      </c>
      <c r="E1847" s="8" t="s">
        <v>15206</v>
      </c>
      <c r="F1847" s="7" t="s">
        <v>11535</v>
      </c>
    </row>
    <row r="1848" ht="18" customHeight="1" spans="1:6">
      <c r="A1848" s="13" t="s">
        <v>5827</v>
      </c>
      <c r="B1848" s="8" t="s">
        <v>15153</v>
      </c>
      <c r="C1848" s="8" t="s">
        <v>15207</v>
      </c>
      <c r="D1848" s="9">
        <v>2</v>
      </c>
      <c r="E1848" s="10" t="s">
        <v>15208</v>
      </c>
      <c r="F1848" s="7" t="s">
        <v>11535</v>
      </c>
    </row>
    <row r="1849" ht="18" customHeight="1" spans="1:6">
      <c r="A1849" s="13" t="s">
        <v>5827</v>
      </c>
      <c r="B1849" s="8" t="s">
        <v>15153</v>
      </c>
      <c r="C1849" s="8" t="s">
        <v>15209</v>
      </c>
      <c r="D1849" s="9">
        <v>5</v>
      </c>
      <c r="E1849" s="8" t="s">
        <v>15210</v>
      </c>
      <c r="F1849" s="7" t="s">
        <v>11535</v>
      </c>
    </row>
    <row r="1850" ht="18" customHeight="1" spans="1:6">
      <c r="A1850" s="13" t="s">
        <v>5827</v>
      </c>
      <c r="B1850" s="8" t="s">
        <v>15153</v>
      </c>
      <c r="C1850" s="8" t="s">
        <v>15211</v>
      </c>
      <c r="D1850" s="9">
        <v>2</v>
      </c>
      <c r="E1850" s="8" t="s">
        <v>15212</v>
      </c>
      <c r="F1850" s="7" t="s">
        <v>11535</v>
      </c>
    </row>
    <row r="1851" ht="18" customHeight="1" spans="1:6">
      <c r="A1851" s="13" t="s">
        <v>5827</v>
      </c>
      <c r="B1851" s="8" t="s">
        <v>15153</v>
      </c>
      <c r="C1851" s="8" t="s">
        <v>15213</v>
      </c>
      <c r="D1851" s="9">
        <v>1</v>
      </c>
      <c r="E1851" s="8" t="s">
        <v>15214</v>
      </c>
      <c r="F1851" s="7" t="s">
        <v>11535</v>
      </c>
    </row>
    <row r="1852" ht="18" customHeight="1" spans="1:6">
      <c r="A1852" s="13" t="s">
        <v>5827</v>
      </c>
      <c r="B1852" s="8" t="s">
        <v>15153</v>
      </c>
      <c r="C1852" s="8" t="s">
        <v>15215</v>
      </c>
      <c r="D1852" s="9">
        <v>2</v>
      </c>
      <c r="E1852" s="8" t="s">
        <v>15216</v>
      </c>
      <c r="F1852" s="7" t="s">
        <v>11535</v>
      </c>
    </row>
    <row r="1853" ht="18" customHeight="1" spans="1:6">
      <c r="A1853" s="13" t="s">
        <v>5827</v>
      </c>
      <c r="B1853" s="8" t="s">
        <v>15153</v>
      </c>
      <c r="C1853" s="8" t="s">
        <v>15217</v>
      </c>
      <c r="D1853" s="9">
        <v>2</v>
      </c>
      <c r="E1853" s="8" t="s">
        <v>15218</v>
      </c>
      <c r="F1853" s="7" t="s">
        <v>11535</v>
      </c>
    </row>
    <row r="1854" ht="18" customHeight="1" spans="1:6">
      <c r="A1854" s="13" t="s">
        <v>5827</v>
      </c>
      <c r="B1854" s="8" t="s">
        <v>15153</v>
      </c>
      <c r="C1854" s="8" t="s">
        <v>15219</v>
      </c>
      <c r="D1854" s="9">
        <v>3</v>
      </c>
      <c r="E1854" s="8" t="s">
        <v>15220</v>
      </c>
      <c r="F1854" s="7" t="s">
        <v>11535</v>
      </c>
    </row>
    <row r="1855" ht="18" customHeight="1" spans="1:6">
      <c r="A1855" s="13" t="s">
        <v>5827</v>
      </c>
      <c r="B1855" s="8" t="s">
        <v>15153</v>
      </c>
      <c r="C1855" s="8" t="s">
        <v>13434</v>
      </c>
      <c r="D1855" s="9">
        <v>2</v>
      </c>
      <c r="E1855" s="8" t="s">
        <v>15221</v>
      </c>
      <c r="F1855" s="7" t="s">
        <v>11535</v>
      </c>
    </row>
    <row r="1856" ht="18" customHeight="1" spans="1:6">
      <c r="A1856" s="13" t="s">
        <v>5827</v>
      </c>
      <c r="B1856" s="8" t="s">
        <v>15153</v>
      </c>
      <c r="C1856" s="8" t="s">
        <v>15222</v>
      </c>
      <c r="D1856" s="9">
        <v>1</v>
      </c>
      <c r="E1856" s="8" t="s">
        <v>15223</v>
      </c>
      <c r="F1856" s="7" t="s">
        <v>11535</v>
      </c>
    </row>
    <row r="1857" ht="18" customHeight="1" spans="1:6">
      <c r="A1857" s="13" t="s">
        <v>5827</v>
      </c>
      <c r="B1857" s="8" t="s">
        <v>15153</v>
      </c>
      <c r="C1857" s="8" t="s">
        <v>2045</v>
      </c>
      <c r="D1857" s="9">
        <v>5</v>
      </c>
      <c r="E1857" s="8" t="s">
        <v>15224</v>
      </c>
      <c r="F1857" s="7" t="s">
        <v>11535</v>
      </c>
    </row>
    <row r="1858" ht="18" customHeight="1" spans="1:6">
      <c r="A1858" s="13" t="s">
        <v>5827</v>
      </c>
      <c r="B1858" s="8" t="s">
        <v>15153</v>
      </c>
      <c r="C1858" s="8" t="s">
        <v>15225</v>
      </c>
      <c r="D1858" s="9">
        <v>3</v>
      </c>
      <c r="E1858" s="8" t="s">
        <v>15226</v>
      </c>
      <c r="F1858" s="7" t="s">
        <v>11535</v>
      </c>
    </row>
    <row r="1859" ht="18" customHeight="1" spans="1:6">
      <c r="A1859" s="13" t="s">
        <v>5827</v>
      </c>
      <c r="B1859" s="8" t="s">
        <v>15153</v>
      </c>
      <c r="C1859" s="8" t="s">
        <v>15227</v>
      </c>
      <c r="D1859" s="9">
        <v>4</v>
      </c>
      <c r="E1859" s="8" t="s">
        <v>15228</v>
      </c>
      <c r="F1859" s="7" t="s">
        <v>11535</v>
      </c>
    </row>
    <row r="1860" ht="18" customHeight="1" spans="1:6">
      <c r="A1860" s="13" t="s">
        <v>5827</v>
      </c>
      <c r="B1860" s="8" t="s">
        <v>15153</v>
      </c>
      <c r="C1860" s="8" t="s">
        <v>15229</v>
      </c>
      <c r="D1860" s="9">
        <v>3</v>
      </c>
      <c r="E1860" s="8" t="s">
        <v>15230</v>
      </c>
      <c r="F1860" s="7" t="s">
        <v>11535</v>
      </c>
    </row>
    <row r="1861" ht="18" customHeight="1" spans="1:6">
      <c r="A1861" s="13" t="s">
        <v>5827</v>
      </c>
      <c r="B1861" s="8" t="s">
        <v>15153</v>
      </c>
      <c r="C1861" s="8" t="s">
        <v>15231</v>
      </c>
      <c r="D1861" s="9">
        <v>3</v>
      </c>
      <c r="E1861" s="8" t="s">
        <v>15232</v>
      </c>
      <c r="F1861" s="7" t="s">
        <v>11535</v>
      </c>
    </row>
    <row r="1862" ht="18" customHeight="1" spans="1:6">
      <c r="A1862" s="13" t="s">
        <v>5827</v>
      </c>
      <c r="B1862" s="8" t="s">
        <v>15153</v>
      </c>
      <c r="C1862" s="8" t="s">
        <v>15233</v>
      </c>
      <c r="D1862" s="9">
        <v>3</v>
      </c>
      <c r="E1862" s="8" t="s">
        <v>15234</v>
      </c>
      <c r="F1862" s="7" t="s">
        <v>11535</v>
      </c>
    </row>
    <row r="1863" ht="18" customHeight="1" spans="1:6">
      <c r="A1863" s="13" t="s">
        <v>5827</v>
      </c>
      <c r="B1863" s="8" t="s">
        <v>15153</v>
      </c>
      <c r="C1863" s="8" t="s">
        <v>15235</v>
      </c>
      <c r="D1863" s="9">
        <v>4</v>
      </c>
      <c r="E1863" s="8" t="s">
        <v>15236</v>
      </c>
      <c r="F1863" s="7" t="s">
        <v>11535</v>
      </c>
    </row>
    <row r="1864" ht="18" customHeight="1" spans="1:6">
      <c r="A1864" s="13" t="s">
        <v>5827</v>
      </c>
      <c r="B1864" s="8" t="s">
        <v>15237</v>
      </c>
      <c r="C1864" s="8" t="s">
        <v>15238</v>
      </c>
      <c r="D1864" s="9">
        <v>4</v>
      </c>
      <c r="E1864" s="194" t="s">
        <v>15239</v>
      </c>
      <c r="F1864" s="7" t="s">
        <v>11535</v>
      </c>
    </row>
    <row r="1865" ht="18" customHeight="1" spans="1:6">
      <c r="A1865" s="13" t="s">
        <v>5827</v>
      </c>
      <c r="B1865" s="8" t="s">
        <v>15237</v>
      </c>
      <c r="C1865" s="8" t="s">
        <v>15240</v>
      </c>
      <c r="D1865" s="9">
        <v>3</v>
      </c>
      <c r="E1865" s="194" t="s">
        <v>15241</v>
      </c>
      <c r="F1865" s="7" t="s">
        <v>11535</v>
      </c>
    </row>
    <row r="1866" ht="18" customHeight="1" spans="1:6">
      <c r="A1866" s="13" t="s">
        <v>5827</v>
      </c>
      <c r="B1866" s="13" t="s">
        <v>15242</v>
      </c>
      <c r="C1866" s="13" t="s">
        <v>15243</v>
      </c>
      <c r="D1866" s="13">
        <v>2</v>
      </c>
      <c r="E1866" s="14" t="s">
        <v>15244</v>
      </c>
      <c r="F1866" s="7" t="s">
        <v>11535</v>
      </c>
    </row>
    <row r="1867" ht="18" customHeight="1" spans="1:6">
      <c r="A1867" s="13" t="s">
        <v>5827</v>
      </c>
      <c r="B1867" s="13" t="s">
        <v>15242</v>
      </c>
      <c r="C1867" s="13" t="s">
        <v>15245</v>
      </c>
      <c r="D1867" s="13">
        <v>2</v>
      </c>
      <c r="E1867" s="14" t="s">
        <v>15246</v>
      </c>
      <c r="F1867" s="7" t="s">
        <v>11535</v>
      </c>
    </row>
    <row r="1868" ht="18" customHeight="1" spans="1:6">
      <c r="A1868" s="13" t="s">
        <v>5827</v>
      </c>
      <c r="B1868" s="5" t="s">
        <v>6221</v>
      </c>
      <c r="C1868" s="48" t="s">
        <v>15247</v>
      </c>
      <c r="D1868" s="5">
        <v>3</v>
      </c>
      <c r="E1868" s="14" t="s">
        <v>15248</v>
      </c>
      <c r="F1868" s="7" t="s">
        <v>11535</v>
      </c>
    </row>
    <row r="1869" ht="18" customHeight="1" spans="1:6">
      <c r="A1869" s="13" t="s">
        <v>5827</v>
      </c>
      <c r="B1869" s="5" t="s">
        <v>6221</v>
      </c>
      <c r="C1869" s="48" t="s">
        <v>15249</v>
      </c>
      <c r="D1869" s="5">
        <v>4</v>
      </c>
      <c r="E1869" s="14" t="s">
        <v>15250</v>
      </c>
      <c r="F1869" s="7" t="s">
        <v>11535</v>
      </c>
    </row>
    <row r="1870" ht="18" customHeight="1" spans="1:6">
      <c r="A1870" s="13" t="s">
        <v>5827</v>
      </c>
      <c r="B1870" s="5" t="s">
        <v>6221</v>
      </c>
      <c r="C1870" s="48" t="s">
        <v>487</v>
      </c>
      <c r="D1870" s="5">
        <v>2</v>
      </c>
      <c r="E1870" s="14" t="s">
        <v>15251</v>
      </c>
      <c r="F1870" s="7" t="s">
        <v>11535</v>
      </c>
    </row>
    <row r="1871" ht="18" customHeight="1" spans="1:6">
      <c r="A1871" s="13" t="s">
        <v>5827</v>
      </c>
      <c r="B1871" s="13" t="s">
        <v>15252</v>
      </c>
      <c r="C1871" s="48" t="s">
        <v>15253</v>
      </c>
      <c r="D1871" s="5">
        <v>3</v>
      </c>
      <c r="E1871" s="14" t="s">
        <v>15254</v>
      </c>
      <c r="F1871" s="7" t="s">
        <v>11535</v>
      </c>
    </row>
    <row r="1872" ht="18" customHeight="1" spans="1:6">
      <c r="A1872" s="13" t="s">
        <v>5827</v>
      </c>
      <c r="B1872" s="13" t="s">
        <v>15255</v>
      </c>
      <c r="C1872" s="48" t="s">
        <v>15256</v>
      </c>
      <c r="D1872" s="5">
        <v>2</v>
      </c>
      <c r="E1872" s="14" t="s">
        <v>15257</v>
      </c>
      <c r="F1872" s="7" t="s">
        <v>11535</v>
      </c>
    </row>
    <row r="1873" ht="18" customHeight="1" spans="1:6">
      <c r="A1873" s="13" t="s">
        <v>5827</v>
      </c>
      <c r="B1873" s="13" t="s">
        <v>15255</v>
      </c>
      <c r="C1873" s="48" t="s">
        <v>15258</v>
      </c>
      <c r="D1873" s="5">
        <v>3</v>
      </c>
      <c r="E1873" s="14" t="s">
        <v>15259</v>
      </c>
      <c r="F1873" s="7" t="s">
        <v>11535</v>
      </c>
    </row>
    <row r="1874" ht="18" customHeight="1" spans="1:6">
      <c r="A1874" s="13" t="s">
        <v>5827</v>
      </c>
      <c r="B1874" s="13" t="s">
        <v>15255</v>
      </c>
      <c r="C1874" s="48" t="s">
        <v>15260</v>
      </c>
      <c r="D1874" s="5">
        <v>4</v>
      </c>
      <c r="E1874" s="14" t="s">
        <v>15261</v>
      </c>
      <c r="F1874" s="7" t="s">
        <v>11535</v>
      </c>
    </row>
    <row r="1875" ht="18" customHeight="1" spans="1:6">
      <c r="A1875" s="13" t="s">
        <v>5827</v>
      </c>
      <c r="B1875" s="13" t="s">
        <v>15262</v>
      </c>
      <c r="C1875" s="48" t="s">
        <v>15263</v>
      </c>
      <c r="D1875" s="5">
        <v>3</v>
      </c>
      <c r="E1875" s="14" t="s">
        <v>15264</v>
      </c>
      <c r="F1875" s="7" t="s">
        <v>11535</v>
      </c>
    </row>
    <row r="1876" ht="18" customHeight="1" spans="1:6">
      <c r="A1876" s="13" t="s">
        <v>5827</v>
      </c>
      <c r="B1876" s="13" t="s">
        <v>15262</v>
      </c>
      <c r="C1876" s="48" t="s">
        <v>15265</v>
      </c>
      <c r="D1876" s="5">
        <v>5</v>
      </c>
      <c r="E1876" s="14" t="s">
        <v>15266</v>
      </c>
      <c r="F1876" s="7" t="s">
        <v>11535</v>
      </c>
    </row>
    <row r="1877" ht="18" customHeight="1" spans="1:6">
      <c r="A1877" s="13" t="s">
        <v>5827</v>
      </c>
      <c r="B1877" s="5" t="s">
        <v>6166</v>
      </c>
      <c r="C1877" s="5" t="s">
        <v>15267</v>
      </c>
      <c r="D1877" s="5">
        <v>7</v>
      </c>
      <c r="E1877" s="8" t="s">
        <v>15268</v>
      </c>
      <c r="F1877" s="7" t="s">
        <v>11535</v>
      </c>
    </row>
    <row r="1878" ht="18" customHeight="1" spans="1:6">
      <c r="A1878" s="13" t="s">
        <v>5827</v>
      </c>
      <c r="B1878" s="5" t="s">
        <v>6166</v>
      </c>
      <c r="C1878" s="5" t="s">
        <v>15269</v>
      </c>
      <c r="D1878" s="13">
        <v>7</v>
      </c>
      <c r="E1878" s="194" t="s">
        <v>15270</v>
      </c>
      <c r="F1878" s="7" t="s">
        <v>11535</v>
      </c>
    </row>
    <row r="1879" ht="18" customHeight="1" spans="1:6">
      <c r="A1879" s="13" t="s">
        <v>5827</v>
      </c>
      <c r="B1879" s="5" t="s">
        <v>6166</v>
      </c>
      <c r="C1879" s="5" t="s">
        <v>15271</v>
      </c>
      <c r="D1879" s="5">
        <v>3</v>
      </c>
      <c r="E1879" s="8" t="s">
        <v>15272</v>
      </c>
      <c r="F1879" s="7" t="s">
        <v>11535</v>
      </c>
    </row>
    <row r="1880" ht="18" customHeight="1" spans="1:6">
      <c r="A1880" s="13" t="s">
        <v>5827</v>
      </c>
      <c r="B1880" s="5" t="s">
        <v>6166</v>
      </c>
      <c r="C1880" s="5" t="s">
        <v>15273</v>
      </c>
      <c r="D1880" s="5">
        <v>5</v>
      </c>
      <c r="E1880" s="8" t="s">
        <v>15274</v>
      </c>
      <c r="F1880" s="7" t="s">
        <v>11535</v>
      </c>
    </row>
    <row r="1881" ht="18" customHeight="1" spans="1:6">
      <c r="A1881" s="13" t="s">
        <v>5827</v>
      </c>
      <c r="B1881" s="5" t="s">
        <v>6166</v>
      </c>
      <c r="C1881" s="5" t="s">
        <v>15275</v>
      </c>
      <c r="D1881" s="5">
        <v>3</v>
      </c>
      <c r="E1881" s="8" t="s">
        <v>15276</v>
      </c>
      <c r="F1881" s="7" t="s">
        <v>11535</v>
      </c>
    </row>
    <row r="1882" ht="18" customHeight="1" spans="1:6">
      <c r="A1882" s="13" t="s">
        <v>5827</v>
      </c>
      <c r="B1882" s="5" t="s">
        <v>6166</v>
      </c>
      <c r="C1882" s="5" t="s">
        <v>15277</v>
      </c>
      <c r="D1882" s="5">
        <v>2</v>
      </c>
      <c r="E1882" s="8" t="s">
        <v>15278</v>
      </c>
      <c r="F1882" s="7" t="s">
        <v>11535</v>
      </c>
    </row>
    <row r="1883" ht="18" customHeight="1" spans="1:6">
      <c r="A1883" s="13" t="s">
        <v>6224</v>
      </c>
      <c r="B1883" s="13"/>
      <c r="C1883" s="13">
        <v>219</v>
      </c>
      <c r="D1883" s="13">
        <f>SUM(D1664:D1882)</f>
        <v>601</v>
      </c>
      <c r="E1883" s="13"/>
      <c r="F1883" s="5"/>
    </row>
    <row r="1884" ht="18" customHeight="1" spans="1:6">
      <c r="A1884" s="13" t="s">
        <v>6225</v>
      </c>
      <c r="B1884" s="13" t="s">
        <v>15279</v>
      </c>
      <c r="C1884" s="13" t="s">
        <v>15280</v>
      </c>
      <c r="D1884" s="13">
        <v>4</v>
      </c>
      <c r="E1884" s="192" t="s">
        <v>15281</v>
      </c>
      <c r="F1884" s="7" t="s">
        <v>11535</v>
      </c>
    </row>
    <row r="1885" ht="18" customHeight="1" spans="1:6">
      <c r="A1885" s="13" t="s">
        <v>6225</v>
      </c>
      <c r="B1885" s="13" t="s">
        <v>15279</v>
      </c>
      <c r="C1885" s="13" t="s">
        <v>7423</v>
      </c>
      <c r="D1885" s="13">
        <v>1</v>
      </c>
      <c r="E1885" s="192" t="s">
        <v>15282</v>
      </c>
      <c r="F1885" s="7" t="s">
        <v>11535</v>
      </c>
    </row>
    <row r="1886" ht="18" customHeight="1" spans="1:6">
      <c r="A1886" s="13" t="s">
        <v>6225</v>
      </c>
      <c r="B1886" s="13" t="s">
        <v>15279</v>
      </c>
      <c r="C1886" s="13" t="s">
        <v>15283</v>
      </c>
      <c r="D1886" s="13">
        <v>4</v>
      </c>
      <c r="E1886" s="14" t="s">
        <v>15284</v>
      </c>
      <c r="F1886" s="7" t="s">
        <v>11535</v>
      </c>
    </row>
    <row r="1887" ht="18" customHeight="1" spans="1:6">
      <c r="A1887" s="13" t="s">
        <v>6225</v>
      </c>
      <c r="B1887" s="13" t="s">
        <v>15279</v>
      </c>
      <c r="C1887" s="13" t="s">
        <v>15285</v>
      </c>
      <c r="D1887" s="13">
        <v>2</v>
      </c>
      <c r="E1887" s="14" t="s">
        <v>15286</v>
      </c>
      <c r="F1887" s="7" t="s">
        <v>11535</v>
      </c>
    </row>
    <row r="1888" ht="18" customHeight="1" spans="1:6">
      <c r="A1888" s="13" t="s">
        <v>6225</v>
      </c>
      <c r="B1888" s="13" t="s">
        <v>15287</v>
      </c>
      <c r="C1888" s="13" t="s">
        <v>15288</v>
      </c>
      <c r="D1888" s="13">
        <v>3</v>
      </c>
      <c r="E1888" s="192" t="s">
        <v>15289</v>
      </c>
      <c r="F1888" s="7" t="s">
        <v>11535</v>
      </c>
    </row>
    <row r="1889" ht="18" customHeight="1" spans="1:6">
      <c r="A1889" s="13" t="s">
        <v>6225</v>
      </c>
      <c r="B1889" s="13" t="s">
        <v>15287</v>
      </c>
      <c r="C1889" s="13" t="s">
        <v>15290</v>
      </c>
      <c r="D1889" s="13">
        <v>4</v>
      </c>
      <c r="E1889" s="192" t="s">
        <v>15291</v>
      </c>
      <c r="F1889" s="7" t="s">
        <v>11535</v>
      </c>
    </row>
    <row r="1890" ht="18" customHeight="1" spans="1:6">
      <c r="A1890" s="13" t="s">
        <v>6225</v>
      </c>
      <c r="B1890" s="13" t="s">
        <v>15287</v>
      </c>
      <c r="C1890" s="13" t="s">
        <v>15292</v>
      </c>
      <c r="D1890" s="13">
        <v>3</v>
      </c>
      <c r="E1890" s="192" t="s">
        <v>15293</v>
      </c>
      <c r="F1890" s="7" t="s">
        <v>11535</v>
      </c>
    </row>
    <row r="1891" ht="18" customHeight="1" spans="1:6">
      <c r="A1891" s="13" t="s">
        <v>6225</v>
      </c>
      <c r="B1891" s="13" t="s">
        <v>15287</v>
      </c>
      <c r="C1891" s="13" t="s">
        <v>15294</v>
      </c>
      <c r="D1891" s="13">
        <v>3</v>
      </c>
      <c r="E1891" s="192" t="s">
        <v>15295</v>
      </c>
      <c r="F1891" s="7" t="s">
        <v>11535</v>
      </c>
    </row>
    <row r="1892" ht="18" customHeight="1" spans="1:6">
      <c r="A1892" s="13" t="s">
        <v>6225</v>
      </c>
      <c r="B1892" s="13" t="s">
        <v>15287</v>
      </c>
      <c r="C1892" s="13" t="s">
        <v>15296</v>
      </c>
      <c r="D1892" s="13">
        <v>3</v>
      </c>
      <c r="E1892" s="14" t="s">
        <v>15297</v>
      </c>
      <c r="F1892" s="7" t="s">
        <v>11535</v>
      </c>
    </row>
    <row r="1893" ht="18" customHeight="1" spans="1:6">
      <c r="A1893" s="13" t="s">
        <v>6225</v>
      </c>
      <c r="B1893" s="13" t="s">
        <v>15298</v>
      </c>
      <c r="C1893" s="13" t="s">
        <v>15299</v>
      </c>
      <c r="D1893" s="13">
        <v>1</v>
      </c>
      <c r="E1893" s="192" t="s">
        <v>15300</v>
      </c>
      <c r="F1893" s="7" t="s">
        <v>11535</v>
      </c>
    </row>
    <row r="1894" ht="18" customHeight="1" spans="1:6">
      <c r="A1894" s="13" t="s">
        <v>6225</v>
      </c>
      <c r="B1894" s="13" t="s">
        <v>15298</v>
      </c>
      <c r="C1894" s="13" t="s">
        <v>15301</v>
      </c>
      <c r="D1894" s="13">
        <v>2</v>
      </c>
      <c r="E1894" s="192" t="s">
        <v>15302</v>
      </c>
      <c r="F1894" s="7" t="s">
        <v>11535</v>
      </c>
    </row>
    <row r="1895" ht="18" customHeight="1" spans="1:6">
      <c r="A1895" s="13" t="s">
        <v>6225</v>
      </c>
      <c r="B1895" s="13" t="s">
        <v>15303</v>
      </c>
      <c r="C1895" s="13" t="s">
        <v>15304</v>
      </c>
      <c r="D1895" s="13">
        <v>1</v>
      </c>
      <c r="E1895" s="192" t="s">
        <v>15305</v>
      </c>
      <c r="F1895" s="7" t="s">
        <v>11535</v>
      </c>
    </row>
    <row r="1896" ht="18" customHeight="1" spans="1:6">
      <c r="A1896" s="13" t="s">
        <v>6225</v>
      </c>
      <c r="B1896" s="13" t="s">
        <v>15303</v>
      </c>
      <c r="C1896" s="13" t="s">
        <v>15306</v>
      </c>
      <c r="D1896" s="13">
        <v>1</v>
      </c>
      <c r="E1896" s="192" t="s">
        <v>15307</v>
      </c>
      <c r="F1896" s="7" t="s">
        <v>11535</v>
      </c>
    </row>
    <row r="1897" ht="18" customHeight="1" spans="1:6">
      <c r="A1897" s="13" t="s">
        <v>6225</v>
      </c>
      <c r="B1897" s="13" t="s">
        <v>15303</v>
      </c>
      <c r="C1897" s="13" t="s">
        <v>15308</v>
      </c>
      <c r="D1897" s="13">
        <v>3</v>
      </c>
      <c r="E1897" s="192" t="s">
        <v>15309</v>
      </c>
      <c r="F1897" s="7" t="s">
        <v>11535</v>
      </c>
    </row>
    <row r="1898" ht="18" customHeight="1" spans="1:6">
      <c r="A1898" s="13" t="s">
        <v>6225</v>
      </c>
      <c r="B1898" s="13" t="s">
        <v>15310</v>
      </c>
      <c r="C1898" s="13" t="s">
        <v>15311</v>
      </c>
      <c r="D1898" s="13">
        <v>1</v>
      </c>
      <c r="E1898" s="192" t="s">
        <v>15312</v>
      </c>
      <c r="F1898" s="7" t="s">
        <v>11535</v>
      </c>
    </row>
    <row r="1899" ht="18" customHeight="1" spans="1:6">
      <c r="A1899" s="13" t="s">
        <v>6225</v>
      </c>
      <c r="B1899" s="13" t="s">
        <v>15310</v>
      </c>
      <c r="C1899" s="13" t="s">
        <v>15313</v>
      </c>
      <c r="D1899" s="13">
        <v>3</v>
      </c>
      <c r="E1899" s="192" t="s">
        <v>15314</v>
      </c>
      <c r="F1899" s="7" t="s">
        <v>11535</v>
      </c>
    </row>
    <row r="1900" ht="18" customHeight="1" spans="1:6">
      <c r="A1900" s="13" t="s">
        <v>6225</v>
      </c>
      <c r="B1900" s="13" t="s">
        <v>15310</v>
      </c>
      <c r="C1900" s="13" t="s">
        <v>15315</v>
      </c>
      <c r="D1900" s="13">
        <v>4</v>
      </c>
      <c r="E1900" s="14" t="s">
        <v>15316</v>
      </c>
      <c r="F1900" s="7" t="s">
        <v>11535</v>
      </c>
    </row>
    <row r="1901" ht="18" customHeight="1" spans="1:6">
      <c r="A1901" s="13" t="s">
        <v>6225</v>
      </c>
      <c r="B1901" s="13" t="s">
        <v>6657</v>
      </c>
      <c r="C1901" s="13" t="s">
        <v>15317</v>
      </c>
      <c r="D1901" s="13">
        <v>1</v>
      </c>
      <c r="E1901" s="192" t="s">
        <v>15318</v>
      </c>
      <c r="F1901" s="7" t="s">
        <v>11535</v>
      </c>
    </row>
    <row r="1902" ht="18" customHeight="1" spans="1:6">
      <c r="A1902" s="13" t="s">
        <v>6225</v>
      </c>
      <c r="B1902" s="13" t="s">
        <v>6657</v>
      </c>
      <c r="C1902" s="13" t="s">
        <v>15319</v>
      </c>
      <c r="D1902" s="13">
        <v>1</v>
      </c>
      <c r="E1902" s="192" t="s">
        <v>15320</v>
      </c>
      <c r="F1902" s="7" t="s">
        <v>11535</v>
      </c>
    </row>
    <row r="1903" ht="18" customHeight="1" spans="1:6">
      <c r="A1903" s="13" t="s">
        <v>6225</v>
      </c>
      <c r="B1903" s="13" t="s">
        <v>6399</v>
      </c>
      <c r="C1903" s="13" t="s">
        <v>8314</v>
      </c>
      <c r="D1903" s="13">
        <v>1</v>
      </c>
      <c r="E1903" s="192" t="s">
        <v>15321</v>
      </c>
      <c r="F1903" s="7" t="s">
        <v>11535</v>
      </c>
    </row>
    <row r="1904" ht="18" customHeight="1" spans="1:6">
      <c r="A1904" s="13" t="s">
        <v>6225</v>
      </c>
      <c r="B1904" s="13" t="s">
        <v>6399</v>
      </c>
      <c r="C1904" s="13" t="s">
        <v>7177</v>
      </c>
      <c r="D1904" s="13">
        <v>3</v>
      </c>
      <c r="E1904" s="192" t="s">
        <v>15322</v>
      </c>
      <c r="F1904" s="7" t="s">
        <v>11535</v>
      </c>
    </row>
    <row r="1905" ht="18" customHeight="1" spans="1:6">
      <c r="A1905" s="13" t="s">
        <v>6225</v>
      </c>
      <c r="B1905" s="13" t="s">
        <v>6399</v>
      </c>
      <c r="C1905" s="13" t="s">
        <v>15323</v>
      </c>
      <c r="D1905" s="13">
        <v>6</v>
      </c>
      <c r="E1905" s="192" t="s">
        <v>15324</v>
      </c>
      <c r="F1905" s="7" t="s">
        <v>11535</v>
      </c>
    </row>
    <row r="1906" ht="18" customHeight="1" spans="1:6">
      <c r="A1906" s="13" t="s">
        <v>6225</v>
      </c>
      <c r="B1906" s="13" t="s">
        <v>6399</v>
      </c>
      <c r="C1906" s="13" t="s">
        <v>15325</v>
      </c>
      <c r="D1906" s="13">
        <v>3</v>
      </c>
      <c r="E1906" s="192" t="s">
        <v>15326</v>
      </c>
      <c r="F1906" s="7" t="s">
        <v>11535</v>
      </c>
    </row>
    <row r="1907" ht="18" customHeight="1" spans="1:6">
      <c r="A1907" s="13" t="s">
        <v>6225</v>
      </c>
      <c r="B1907" s="13" t="s">
        <v>6399</v>
      </c>
      <c r="C1907" s="13" t="s">
        <v>15327</v>
      </c>
      <c r="D1907" s="13">
        <v>4</v>
      </c>
      <c r="E1907" s="192" t="s">
        <v>15328</v>
      </c>
      <c r="F1907" s="7" t="s">
        <v>11535</v>
      </c>
    </row>
    <row r="1908" ht="18" customHeight="1" spans="1:6">
      <c r="A1908" s="13" t="s">
        <v>6225</v>
      </c>
      <c r="B1908" s="13" t="s">
        <v>6399</v>
      </c>
      <c r="C1908" s="13" t="s">
        <v>3228</v>
      </c>
      <c r="D1908" s="13">
        <v>5</v>
      </c>
      <c r="E1908" s="192" t="s">
        <v>15329</v>
      </c>
      <c r="F1908" s="7" t="s">
        <v>11535</v>
      </c>
    </row>
    <row r="1909" ht="18" customHeight="1" spans="1:6">
      <c r="A1909" s="13" t="s">
        <v>6225</v>
      </c>
      <c r="B1909" s="13" t="s">
        <v>6399</v>
      </c>
      <c r="C1909" s="13" t="s">
        <v>15330</v>
      </c>
      <c r="D1909" s="13">
        <v>2</v>
      </c>
      <c r="E1909" s="192" t="s">
        <v>15331</v>
      </c>
      <c r="F1909" s="7" t="s">
        <v>11535</v>
      </c>
    </row>
    <row r="1910" ht="18" customHeight="1" spans="1:6">
      <c r="A1910" s="13" t="s">
        <v>6225</v>
      </c>
      <c r="B1910" s="13" t="s">
        <v>6399</v>
      </c>
      <c r="C1910" s="13" t="s">
        <v>15332</v>
      </c>
      <c r="D1910" s="13">
        <v>3</v>
      </c>
      <c r="E1910" s="14" t="s">
        <v>15333</v>
      </c>
      <c r="F1910" s="7" t="s">
        <v>11535</v>
      </c>
    </row>
    <row r="1911" ht="18" customHeight="1" spans="1:6">
      <c r="A1911" s="13" t="s">
        <v>6225</v>
      </c>
      <c r="B1911" s="13" t="s">
        <v>15334</v>
      </c>
      <c r="C1911" s="13" t="s">
        <v>15335</v>
      </c>
      <c r="D1911" s="13">
        <v>1</v>
      </c>
      <c r="E1911" s="192" t="s">
        <v>15336</v>
      </c>
      <c r="F1911" s="7" t="s">
        <v>11535</v>
      </c>
    </row>
    <row r="1912" ht="18" customHeight="1" spans="1:6">
      <c r="A1912" s="13" t="s">
        <v>6225</v>
      </c>
      <c r="B1912" s="13" t="s">
        <v>15334</v>
      </c>
      <c r="C1912" s="13" t="s">
        <v>15337</v>
      </c>
      <c r="D1912" s="13">
        <v>2</v>
      </c>
      <c r="E1912" s="14" t="s">
        <v>15338</v>
      </c>
      <c r="F1912" s="7" t="s">
        <v>11535</v>
      </c>
    </row>
    <row r="1913" ht="18" customHeight="1" spans="1:6">
      <c r="A1913" s="13" t="s">
        <v>6225</v>
      </c>
      <c r="B1913" s="13" t="s">
        <v>15334</v>
      </c>
      <c r="C1913" s="13" t="s">
        <v>15339</v>
      </c>
      <c r="D1913" s="13">
        <v>2</v>
      </c>
      <c r="E1913" s="14" t="s">
        <v>15340</v>
      </c>
      <c r="F1913" s="7" t="s">
        <v>11535</v>
      </c>
    </row>
    <row r="1914" ht="18" customHeight="1" spans="1:6">
      <c r="A1914" s="13" t="s">
        <v>6225</v>
      </c>
      <c r="B1914" s="13" t="s">
        <v>15334</v>
      </c>
      <c r="C1914" s="13" t="s">
        <v>15341</v>
      </c>
      <c r="D1914" s="13">
        <v>3</v>
      </c>
      <c r="E1914" s="14" t="s">
        <v>15342</v>
      </c>
      <c r="F1914" s="7" t="s">
        <v>11535</v>
      </c>
    </row>
    <row r="1915" ht="18" customHeight="1" spans="1:6">
      <c r="A1915" s="13" t="s">
        <v>6225</v>
      </c>
      <c r="B1915" s="13" t="s">
        <v>15343</v>
      </c>
      <c r="C1915" s="13" t="s">
        <v>15344</v>
      </c>
      <c r="D1915" s="13">
        <v>4</v>
      </c>
      <c r="E1915" s="192" t="s">
        <v>15345</v>
      </c>
      <c r="F1915" s="7" t="s">
        <v>11535</v>
      </c>
    </row>
    <row r="1916" ht="18" customHeight="1" spans="1:6">
      <c r="A1916" s="13" t="s">
        <v>6225</v>
      </c>
      <c r="B1916" s="13" t="s">
        <v>15343</v>
      </c>
      <c r="C1916" s="13" t="s">
        <v>15346</v>
      </c>
      <c r="D1916" s="13">
        <v>3</v>
      </c>
      <c r="E1916" s="192" t="s">
        <v>15347</v>
      </c>
      <c r="F1916" s="7" t="s">
        <v>11535</v>
      </c>
    </row>
    <row r="1917" ht="18" customHeight="1" spans="1:6">
      <c r="A1917" s="13" t="s">
        <v>6225</v>
      </c>
      <c r="B1917" s="13" t="s">
        <v>15343</v>
      </c>
      <c r="C1917" s="13" t="s">
        <v>15348</v>
      </c>
      <c r="D1917" s="13">
        <v>1</v>
      </c>
      <c r="E1917" s="192" t="s">
        <v>15349</v>
      </c>
      <c r="F1917" s="7" t="s">
        <v>11535</v>
      </c>
    </row>
    <row r="1918" ht="18" customHeight="1" spans="1:6">
      <c r="A1918" s="13" t="s">
        <v>6225</v>
      </c>
      <c r="B1918" s="13" t="s">
        <v>15350</v>
      </c>
      <c r="C1918" s="13" t="s">
        <v>15351</v>
      </c>
      <c r="D1918" s="13">
        <v>3</v>
      </c>
      <c r="E1918" s="192" t="s">
        <v>15352</v>
      </c>
      <c r="F1918" s="7" t="s">
        <v>11535</v>
      </c>
    </row>
    <row r="1919" ht="18" customHeight="1" spans="1:6">
      <c r="A1919" s="13" t="s">
        <v>6225</v>
      </c>
      <c r="B1919" s="13" t="s">
        <v>15353</v>
      </c>
      <c r="C1919" s="13" t="s">
        <v>15354</v>
      </c>
      <c r="D1919" s="13">
        <v>2</v>
      </c>
      <c r="E1919" s="192" t="s">
        <v>15355</v>
      </c>
      <c r="F1919" s="7" t="s">
        <v>11535</v>
      </c>
    </row>
    <row r="1920" ht="18" customHeight="1" spans="1:6">
      <c r="A1920" s="13" t="s">
        <v>6225</v>
      </c>
      <c r="B1920" s="13" t="s">
        <v>15356</v>
      </c>
      <c r="C1920" s="13" t="s">
        <v>15357</v>
      </c>
      <c r="D1920" s="13">
        <v>3</v>
      </c>
      <c r="E1920" s="192" t="s">
        <v>15358</v>
      </c>
      <c r="F1920" s="7" t="s">
        <v>11535</v>
      </c>
    </row>
    <row r="1921" ht="18" customHeight="1" spans="1:6">
      <c r="A1921" s="13" t="s">
        <v>6225</v>
      </c>
      <c r="B1921" s="13" t="s">
        <v>15356</v>
      </c>
      <c r="C1921" s="13" t="s">
        <v>15359</v>
      </c>
      <c r="D1921" s="13">
        <v>3</v>
      </c>
      <c r="E1921" s="192" t="s">
        <v>15360</v>
      </c>
      <c r="F1921" s="7" t="s">
        <v>11535</v>
      </c>
    </row>
    <row r="1922" ht="18" customHeight="1" spans="1:6">
      <c r="A1922" s="13" t="s">
        <v>6225</v>
      </c>
      <c r="B1922" s="13" t="s">
        <v>15356</v>
      </c>
      <c r="C1922" s="13" t="s">
        <v>15361</v>
      </c>
      <c r="D1922" s="13">
        <v>3</v>
      </c>
      <c r="E1922" s="192" t="s">
        <v>15362</v>
      </c>
      <c r="F1922" s="7" t="s">
        <v>11535</v>
      </c>
    </row>
    <row r="1923" ht="18" customHeight="1" spans="1:6">
      <c r="A1923" s="13" t="s">
        <v>6225</v>
      </c>
      <c r="B1923" s="13" t="s">
        <v>6786</v>
      </c>
      <c r="C1923" s="13" t="s">
        <v>15363</v>
      </c>
      <c r="D1923" s="13">
        <v>4</v>
      </c>
      <c r="E1923" s="192" t="s">
        <v>15364</v>
      </c>
      <c r="F1923" s="7" t="s">
        <v>11535</v>
      </c>
    </row>
    <row r="1924" ht="18" customHeight="1" spans="1:6">
      <c r="A1924" s="13" t="s">
        <v>6225</v>
      </c>
      <c r="B1924" s="13" t="s">
        <v>6786</v>
      </c>
      <c r="C1924" s="13" t="s">
        <v>15365</v>
      </c>
      <c r="D1924" s="13">
        <v>4</v>
      </c>
      <c r="E1924" s="14" t="s">
        <v>15366</v>
      </c>
      <c r="F1924" s="7" t="s">
        <v>11535</v>
      </c>
    </row>
    <row r="1925" ht="18" customHeight="1" spans="1:6">
      <c r="A1925" s="13" t="s">
        <v>6225</v>
      </c>
      <c r="B1925" s="13" t="s">
        <v>6384</v>
      </c>
      <c r="C1925" s="13" t="s">
        <v>15367</v>
      </c>
      <c r="D1925" s="13">
        <v>3</v>
      </c>
      <c r="E1925" s="14" t="s">
        <v>15368</v>
      </c>
      <c r="F1925" s="7" t="s">
        <v>11535</v>
      </c>
    </row>
    <row r="1926" ht="18" customHeight="1" spans="1:6">
      <c r="A1926" s="13" t="s">
        <v>6225</v>
      </c>
      <c r="B1926" s="13" t="s">
        <v>6384</v>
      </c>
      <c r="C1926" s="13" t="s">
        <v>15369</v>
      </c>
      <c r="D1926" s="13">
        <v>3</v>
      </c>
      <c r="E1926" s="192" t="s">
        <v>15370</v>
      </c>
      <c r="F1926" s="7" t="s">
        <v>11535</v>
      </c>
    </row>
    <row r="1927" ht="18" customHeight="1" spans="1:6">
      <c r="A1927" s="13" t="s">
        <v>6225</v>
      </c>
      <c r="B1927" s="13" t="s">
        <v>6384</v>
      </c>
      <c r="C1927" s="13" t="s">
        <v>15371</v>
      </c>
      <c r="D1927" s="13">
        <v>3</v>
      </c>
      <c r="E1927" s="14" t="s">
        <v>15372</v>
      </c>
      <c r="F1927" s="7" t="s">
        <v>11535</v>
      </c>
    </row>
    <row r="1928" ht="18" customHeight="1" spans="1:6">
      <c r="A1928" s="13" t="s">
        <v>6225</v>
      </c>
      <c r="B1928" s="13" t="s">
        <v>6384</v>
      </c>
      <c r="C1928" s="13" t="s">
        <v>15373</v>
      </c>
      <c r="D1928" s="13">
        <v>3</v>
      </c>
      <c r="E1928" s="192" t="s">
        <v>15374</v>
      </c>
      <c r="F1928" s="7" t="s">
        <v>11535</v>
      </c>
    </row>
    <row r="1929" ht="18" customHeight="1" spans="1:6">
      <c r="A1929" s="13" t="s">
        <v>6225</v>
      </c>
      <c r="B1929" s="13" t="s">
        <v>6384</v>
      </c>
      <c r="C1929" s="13" t="s">
        <v>15375</v>
      </c>
      <c r="D1929" s="13">
        <v>3</v>
      </c>
      <c r="E1929" s="192" t="s">
        <v>15376</v>
      </c>
      <c r="F1929" s="7" t="s">
        <v>11535</v>
      </c>
    </row>
    <row r="1930" ht="18" customHeight="1" spans="1:6">
      <c r="A1930" s="13" t="s">
        <v>6225</v>
      </c>
      <c r="B1930" s="13" t="s">
        <v>6384</v>
      </c>
      <c r="C1930" s="13" t="s">
        <v>15377</v>
      </c>
      <c r="D1930" s="13">
        <v>2</v>
      </c>
      <c r="E1930" s="192" t="s">
        <v>15378</v>
      </c>
      <c r="F1930" s="7" t="s">
        <v>11535</v>
      </c>
    </row>
    <row r="1931" ht="18" customHeight="1" spans="1:6">
      <c r="A1931" s="13" t="s">
        <v>6225</v>
      </c>
      <c r="B1931" s="13" t="s">
        <v>6384</v>
      </c>
      <c r="C1931" s="13" t="s">
        <v>15379</v>
      </c>
      <c r="D1931" s="13">
        <v>2</v>
      </c>
      <c r="E1931" s="14" t="s">
        <v>15380</v>
      </c>
      <c r="F1931" s="7" t="s">
        <v>11535</v>
      </c>
    </row>
    <row r="1932" ht="18" customHeight="1" spans="1:6">
      <c r="A1932" s="13" t="s">
        <v>6225</v>
      </c>
      <c r="B1932" s="13" t="s">
        <v>6546</v>
      </c>
      <c r="C1932" s="13" t="s">
        <v>15381</v>
      </c>
      <c r="D1932" s="13">
        <v>3</v>
      </c>
      <c r="E1932" s="14" t="s">
        <v>15382</v>
      </c>
      <c r="F1932" s="7" t="s">
        <v>11535</v>
      </c>
    </row>
    <row r="1933" ht="18" customHeight="1" spans="1:6">
      <c r="A1933" s="13" t="s">
        <v>6225</v>
      </c>
      <c r="B1933" s="13" t="s">
        <v>6546</v>
      </c>
      <c r="C1933" s="13" t="s">
        <v>15383</v>
      </c>
      <c r="D1933" s="13">
        <v>2</v>
      </c>
      <c r="E1933" s="14" t="s">
        <v>15384</v>
      </c>
      <c r="F1933" s="7" t="s">
        <v>11535</v>
      </c>
    </row>
    <row r="1934" ht="18" customHeight="1" spans="1:6">
      <c r="A1934" s="13" t="s">
        <v>6225</v>
      </c>
      <c r="B1934" s="13" t="s">
        <v>6546</v>
      </c>
      <c r="C1934" s="13" t="s">
        <v>15385</v>
      </c>
      <c r="D1934" s="13">
        <v>2</v>
      </c>
      <c r="E1934" s="14" t="s">
        <v>15386</v>
      </c>
      <c r="F1934" s="7" t="s">
        <v>11535</v>
      </c>
    </row>
    <row r="1935" ht="18" customHeight="1" spans="1:6">
      <c r="A1935" s="13" t="s">
        <v>6225</v>
      </c>
      <c r="B1935" s="13" t="s">
        <v>6546</v>
      </c>
      <c r="C1935" s="13" t="s">
        <v>7144</v>
      </c>
      <c r="D1935" s="13">
        <v>2</v>
      </c>
      <c r="E1935" s="14" t="s">
        <v>15387</v>
      </c>
      <c r="F1935" s="7" t="s">
        <v>11535</v>
      </c>
    </row>
    <row r="1936" ht="18" customHeight="1" spans="1:6">
      <c r="A1936" s="13" t="s">
        <v>6225</v>
      </c>
      <c r="B1936" s="13" t="s">
        <v>6546</v>
      </c>
      <c r="C1936" s="13" t="s">
        <v>15388</v>
      </c>
      <c r="D1936" s="13">
        <v>4</v>
      </c>
      <c r="E1936" s="14" t="s">
        <v>15389</v>
      </c>
      <c r="F1936" s="7" t="s">
        <v>11535</v>
      </c>
    </row>
    <row r="1937" ht="18" customHeight="1" spans="1:6">
      <c r="A1937" s="13" t="s">
        <v>6225</v>
      </c>
      <c r="B1937" s="13" t="s">
        <v>6546</v>
      </c>
      <c r="C1937" s="13" t="s">
        <v>15390</v>
      </c>
      <c r="D1937" s="13">
        <v>3</v>
      </c>
      <c r="E1937" s="14" t="s">
        <v>15391</v>
      </c>
      <c r="F1937" s="7" t="s">
        <v>11535</v>
      </c>
    </row>
    <row r="1938" ht="18" customHeight="1" spans="1:6">
      <c r="A1938" s="13" t="s">
        <v>6225</v>
      </c>
      <c r="B1938" s="13" t="s">
        <v>6546</v>
      </c>
      <c r="C1938" s="13" t="s">
        <v>15392</v>
      </c>
      <c r="D1938" s="13">
        <v>2</v>
      </c>
      <c r="E1938" s="14" t="s">
        <v>15393</v>
      </c>
      <c r="F1938" s="7" t="s">
        <v>11535</v>
      </c>
    </row>
    <row r="1939" ht="18" customHeight="1" spans="1:6">
      <c r="A1939" s="13" t="s">
        <v>6225</v>
      </c>
      <c r="B1939" s="13" t="s">
        <v>6546</v>
      </c>
      <c r="C1939" s="13" t="s">
        <v>6965</v>
      </c>
      <c r="D1939" s="13">
        <v>2</v>
      </c>
      <c r="E1939" s="14" t="s">
        <v>15394</v>
      </c>
      <c r="F1939" s="7" t="s">
        <v>11535</v>
      </c>
    </row>
    <row r="1940" ht="18" customHeight="1" spans="1:6">
      <c r="A1940" s="13" t="s">
        <v>6225</v>
      </c>
      <c r="B1940" s="13" t="s">
        <v>15395</v>
      </c>
      <c r="C1940" s="13" t="s">
        <v>15396</v>
      </c>
      <c r="D1940" s="13">
        <v>4</v>
      </c>
      <c r="E1940" s="192" t="s">
        <v>15397</v>
      </c>
      <c r="F1940" s="7" t="s">
        <v>11535</v>
      </c>
    </row>
    <row r="1941" ht="18" customHeight="1" spans="1:6">
      <c r="A1941" s="13" t="s">
        <v>6225</v>
      </c>
      <c r="B1941" s="13" t="s">
        <v>15395</v>
      </c>
      <c r="C1941" s="13" t="s">
        <v>15398</v>
      </c>
      <c r="D1941" s="13">
        <v>5</v>
      </c>
      <c r="E1941" s="192" t="s">
        <v>15399</v>
      </c>
      <c r="F1941" s="7" t="s">
        <v>11535</v>
      </c>
    </row>
    <row r="1942" ht="18" customHeight="1" spans="1:6">
      <c r="A1942" s="13" t="s">
        <v>6225</v>
      </c>
      <c r="B1942" s="13" t="s">
        <v>15395</v>
      </c>
      <c r="C1942" s="13" t="s">
        <v>15400</v>
      </c>
      <c r="D1942" s="13">
        <v>4</v>
      </c>
      <c r="E1942" s="192" t="s">
        <v>15401</v>
      </c>
      <c r="F1942" s="7" t="s">
        <v>11535</v>
      </c>
    </row>
    <row r="1943" ht="18" customHeight="1" spans="1:6">
      <c r="A1943" s="13" t="s">
        <v>6225</v>
      </c>
      <c r="B1943" s="13" t="s">
        <v>15395</v>
      </c>
      <c r="C1943" s="13" t="s">
        <v>15402</v>
      </c>
      <c r="D1943" s="13">
        <v>4</v>
      </c>
      <c r="E1943" s="192" t="s">
        <v>15403</v>
      </c>
      <c r="F1943" s="7" t="s">
        <v>11535</v>
      </c>
    </row>
    <row r="1944" ht="18" customHeight="1" spans="1:6">
      <c r="A1944" s="13" t="s">
        <v>6225</v>
      </c>
      <c r="B1944" s="13" t="s">
        <v>15395</v>
      </c>
      <c r="C1944" s="13" t="s">
        <v>15404</v>
      </c>
      <c r="D1944" s="13">
        <v>3</v>
      </c>
      <c r="E1944" s="192" t="s">
        <v>15405</v>
      </c>
      <c r="F1944" s="7" t="s">
        <v>11535</v>
      </c>
    </row>
    <row r="1945" ht="18" customHeight="1" spans="1:6">
      <c r="A1945" s="13" t="s">
        <v>6225</v>
      </c>
      <c r="B1945" s="13" t="s">
        <v>15395</v>
      </c>
      <c r="C1945" s="13" t="s">
        <v>15406</v>
      </c>
      <c r="D1945" s="13">
        <v>3</v>
      </c>
      <c r="E1945" s="192" t="s">
        <v>15407</v>
      </c>
      <c r="F1945" s="7" t="s">
        <v>11535</v>
      </c>
    </row>
    <row r="1946" ht="18" customHeight="1" spans="1:6">
      <c r="A1946" s="13" t="s">
        <v>6225</v>
      </c>
      <c r="B1946" s="13" t="s">
        <v>15395</v>
      </c>
      <c r="C1946" s="13" t="s">
        <v>15408</v>
      </c>
      <c r="D1946" s="13">
        <v>5</v>
      </c>
      <c r="E1946" s="192" t="s">
        <v>15409</v>
      </c>
      <c r="F1946" s="7" t="s">
        <v>11535</v>
      </c>
    </row>
    <row r="1947" ht="18" customHeight="1" spans="1:6">
      <c r="A1947" s="13" t="s">
        <v>6225</v>
      </c>
      <c r="B1947" s="13" t="s">
        <v>15395</v>
      </c>
      <c r="C1947" s="13" t="s">
        <v>15410</v>
      </c>
      <c r="D1947" s="13">
        <v>5</v>
      </c>
      <c r="E1947" s="192" t="s">
        <v>15411</v>
      </c>
      <c r="F1947" s="7" t="s">
        <v>11535</v>
      </c>
    </row>
    <row r="1948" ht="18" customHeight="1" spans="1:6">
      <c r="A1948" s="13" t="s">
        <v>6225</v>
      </c>
      <c r="B1948" s="13" t="s">
        <v>6692</v>
      </c>
      <c r="C1948" s="13" t="s">
        <v>15412</v>
      </c>
      <c r="D1948" s="13">
        <v>3</v>
      </c>
      <c r="E1948" s="192" t="s">
        <v>15413</v>
      </c>
      <c r="F1948" s="7" t="s">
        <v>11535</v>
      </c>
    </row>
    <row r="1949" ht="18" customHeight="1" spans="1:6">
      <c r="A1949" s="13" t="s">
        <v>6225</v>
      </c>
      <c r="B1949" s="13" t="s">
        <v>6692</v>
      </c>
      <c r="C1949" s="13" t="s">
        <v>15414</v>
      </c>
      <c r="D1949" s="13">
        <v>4</v>
      </c>
      <c r="E1949" s="192" t="s">
        <v>15415</v>
      </c>
      <c r="F1949" s="7" t="s">
        <v>11535</v>
      </c>
    </row>
    <row r="1950" ht="18" customHeight="1" spans="1:6">
      <c r="A1950" s="13" t="s">
        <v>6225</v>
      </c>
      <c r="B1950" s="13" t="s">
        <v>15416</v>
      </c>
      <c r="C1950" s="13" t="s">
        <v>15417</v>
      </c>
      <c r="D1950" s="13">
        <v>5</v>
      </c>
      <c r="E1950" s="192" t="s">
        <v>15418</v>
      </c>
      <c r="F1950" s="7" t="s">
        <v>11535</v>
      </c>
    </row>
    <row r="1951" ht="18" customHeight="1" spans="1:6">
      <c r="A1951" s="13" t="s">
        <v>6225</v>
      </c>
      <c r="B1951" s="13" t="s">
        <v>15416</v>
      </c>
      <c r="C1951" s="13" t="s">
        <v>6721</v>
      </c>
      <c r="D1951" s="13">
        <v>3</v>
      </c>
      <c r="E1951" s="14" t="s">
        <v>15419</v>
      </c>
      <c r="F1951" s="7" t="s">
        <v>11535</v>
      </c>
    </row>
    <row r="1952" ht="18" customHeight="1" spans="1:6">
      <c r="A1952" s="13" t="s">
        <v>6225</v>
      </c>
      <c r="B1952" s="13" t="s">
        <v>6404</v>
      </c>
      <c r="C1952" s="13" t="s">
        <v>15420</v>
      </c>
      <c r="D1952" s="13">
        <v>5</v>
      </c>
      <c r="E1952" s="14" t="s">
        <v>15421</v>
      </c>
      <c r="F1952" s="7" t="s">
        <v>11535</v>
      </c>
    </row>
    <row r="1953" ht="18" customHeight="1" spans="1:6">
      <c r="A1953" s="13" t="s">
        <v>6225</v>
      </c>
      <c r="B1953" s="13" t="s">
        <v>6404</v>
      </c>
      <c r="C1953" s="13" t="s">
        <v>15422</v>
      </c>
      <c r="D1953" s="13">
        <v>4</v>
      </c>
      <c r="E1953" s="14" t="s">
        <v>15423</v>
      </c>
      <c r="F1953" s="7" t="s">
        <v>11535</v>
      </c>
    </row>
    <row r="1954" ht="18" customHeight="1" spans="1:6">
      <c r="A1954" s="13" t="s">
        <v>6225</v>
      </c>
      <c r="B1954" s="13" t="s">
        <v>6404</v>
      </c>
      <c r="C1954" s="13" t="s">
        <v>15424</v>
      </c>
      <c r="D1954" s="13">
        <v>6</v>
      </c>
      <c r="E1954" s="14" t="s">
        <v>15425</v>
      </c>
      <c r="F1954" s="7" t="s">
        <v>11535</v>
      </c>
    </row>
    <row r="1955" ht="18" customHeight="1" spans="1:6">
      <c r="A1955" s="13" t="s">
        <v>6225</v>
      </c>
      <c r="B1955" s="13" t="s">
        <v>6404</v>
      </c>
      <c r="C1955" s="13" t="s">
        <v>11119</v>
      </c>
      <c r="D1955" s="13">
        <v>4</v>
      </c>
      <c r="E1955" s="14" t="s">
        <v>15426</v>
      </c>
      <c r="F1955" s="7" t="s">
        <v>11535</v>
      </c>
    </row>
    <row r="1956" ht="18" customHeight="1" spans="1:6">
      <c r="A1956" s="13" t="s">
        <v>6225</v>
      </c>
      <c r="B1956" s="13" t="s">
        <v>6404</v>
      </c>
      <c r="C1956" s="13" t="s">
        <v>15427</v>
      </c>
      <c r="D1956" s="13">
        <v>4</v>
      </c>
      <c r="E1956" s="14" t="s">
        <v>15428</v>
      </c>
      <c r="F1956" s="7" t="s">
        <v>11535</v>
      </c>
    </row>
    <row r="1957" ht="18" customHeight="1" spans="1:6">
      <c r="A1957" s="13" t="s">
        <v>6225</v>
      </c>
      <c r="B1957" s="13" t="s">
        <v>6404</v>
      </c>
      <c r="C1957" s="13" t="s">
        <v>15429</v>
      </c>
      <c r="D1957" s="13">
        <v>6</v>
      </c>
      <c r="E1957" s="14" t="s">
        <v>15430</v>
      </c>
      <c r="F1957" s="7" t="s">
        <v>11535</v>
      </c>
    </row>
    <row r="1958" ht="18" customHeight="1" spans="1:6">
      <c r="A1958" s="13" t="s">
        <v>6225</v>
      </c>
      <c r="B1958" s="13" t="s">
        <v>6404</v>
      </c>
      <c r="C1958" s="13" t="s">
        <v>15431</v>
      </c>
      <c r="D1958" s="13">
        <v>4</v>
      </c>
      <c r="E1958" s="192" t="s">
        <v>15432</v>
      </c>
      <c r="F1958" s="7" t="s">
        <v>11535</v>
      </c>
    </row>
    <row r="1959" ht="18" customHeight="1" spans="1:6">
      <c r="A1959" s="13" t="s">
        <v>6225</v>
      </c>
      <c r="B1959" s="13" t="s">
        <v>6404</v>
      </c>
      <c r="C1959" s="13" t="s">
        <v>15433</v>
      </c>
      <c r="D1959" s="13">
        <v>3</v>
      </c>
      <c r="E1959" s="14" t="s">
        <v>15434</v>
      </c>
      <c r="F1959" s="7" t="s">
        <v>11535</v>
      </c>
    </row>
    <row r="1960" ht="18" customHeight="1" spans="1:6">
      <c r="A1960" s="13" t="s">
        <v>6225</v>
      </c>
      <c r="B1960" s="13" t="s">
        <v>6404</v>
      </c>
      <c r="C1960" s="13" t="s">
        <v>15435</v>
      </c>
      <c r="D1960" s="13">
        <v>4</v>
      </c>
      <c r="E1960" s="14" t="s">
        <v>15436</v>
      </c>
      <c r="F1960" s="7" t="s">
        <v>11535</v>
      </c>
    </row>
    <row r="1961" ht="18" customHeight="1" spans="1:6">
      <c r="A1961" s="13" t="s">
        <v>6225</v>
      </c>
      <c r="B1961" s="13" t="s">
        <v>6404</v>
      </c>
      <c r="C1961" s="13" t="s">
        <v>15437</v>
      </c>
      <c r="D1961" s="13">
        <v>3</v>
      </c>
      <c r="E1961" s="14" t="s">
        <v>15438</v>
      </c>
      <c r="F1961" s="7" t="s">
        <v>11535</v>
      </c>
    </row>
    <row r="1962" ht="18" customHeight="1" spans="1:6">
      <c r="A1962" s="13" t="s">
        <v>6225</v>
      </c>
      <c r="B1962" s="13" t="s">
        <v>6404</v>
      </c>
      <c r="C1962" s="13" t="s">
        <v>15439</v>
      </c>
      <c r="D1962" s="13">
        <v>4</v>
      </c>
      <c r="E1962" s="14" t="s">
        <v>15440</v>
      </c>
      <c r="F1962" s="7" t="s">
        <v>11535</v>
      </c>
    </row>
    <row r="1963" ht="18" customHeight="1" spans="1:6">
      <c r="A1963" s="13" t="s">
        <v>6225</v>
      </c>
      <c r="B1963" s="13" t="s">
        <v>6404</v>
      </c>
      <c r="C1963" s="13" t="s">
        <v>15441</v>
      </c>
      <c r="D1963" s="13">
        <v>3</v>
      </c>
      <c r="E1963" s="14" t="s">
        <v>15442</v>
      </c>
      <c r="F1963" s="7" t="s">
        <v>11535</v>
      </c>
    </row>
    <row r="1964" ht="18" customHeight="1" spans="1:6">
      <c r="A1964" s="13" t="s">
        <v>6225</v>
      </c>
      <c r="B1964" s="13" t="s">
        <v>6404</v>
      </c>
      <c r="C1964" s="13" t="s">
        <v>15443</v>
      </c>
      <c r="D1964" s="13">
        <v>4</v>
      </c>
      <c r="E1964" s="14" t="s">
        <v>15444</v>
      </c>
      <c r="F1964" s="7" t="s">
        <v>11535</v>
      </c>
    </row>
    <row r="1965" ht="18" customHeight="1" spans="1:6">
      <c r="A1965" s="13" t="s">
        <v>6225</v>
      </c>
      <c r="B1965" s="13" t="s">
        <v>6404</v>
      </c>
      <c r="C1965" s="13" t="s">
        <v>15445</v>
      </c>
      <c r="D1965" s="13">
        <v>3</v>
      </c>
      <c r="E1965" s="14" t="s">
        <v>15446</v>
      </c>
      <c r="F1965" s="7" t="s">
        <v>11535</v>
      </c>
    </row>
    <row r="1966" ht="18" customHeight="1" spans="1:6">
      <c r="A1966" s="13" t="s">
        <v>6225</v>
      </c>
      <c r="B1966" s="13" t="s">
        <v>7106</v>
      </c>
      <c r="C1966" s="13" t="s">
        <v>15447</v>
      </c>
      <c r="D1966" s="13">
        <v>2</v>
      </c>
      <c r="E1966" s="14" t="s">
        <v>15448</v>
      </c>
      <c r="F1966" s="7" t="s">
        <v>11535</v>
      </c>
    </row>
    <row r="1967" ht="18" customHeight="1" spans="1:6">
      <c r="A1967" s="13" t="s">
        <v>6225</v>
      </c>
      <c r="B1967" s="13" t="s">
        <v>7106</v>
      </c>
      <c r="C1967" s="13" t="s">
        <v>15449</v>
      </c>
      <c r="D1967" s="13">
        <v>4</v>
      </c>
      <c r="E1967" s="14" t="s">
        <v>15450</v>
      </c>
      <c r="F1967" s="7" t="s">
        <v>11535</v>
      </c>
    </row>
    <row r="1968" ht="18" customHeight="1" spans="1:6">
      <c r="A1968" s="13" t="s">
        <v>6225</v>
      </c>
      <c r="B1968" s="13" t="s">
        <v>7106</v>
      </c>
      <c r="C1968" s="13" t="s">
        <v>9996</v>
      </c>
      <c r="D1968" s="13">
        <v>5</v>
      </c>
      <c r="E1968" s="14" t="s">
        <v>15451</v>
      </c>
      <c r="F1968" s="7" t="s">
        <v>11535</v>
      </c>
    </row>
    <row r="1969" ht="18" customHeight="1" spans="1:6">
      <c r="A1969" s="13" t="s">
        <v>6225</v>
      </c>
      <c r="B1969" s="13" t="s">
        <v>7106</v>
      </c>
      <c r="C1969" s="13" t="s">
        <v>15452</v>
      </c>
      <c r="D1969" s="13">
        <v>3</v>
      </c>
      <c r="E1969" s="14" t="s">
        <v>15453</v>
      </c>
      <c r="F1969" s="7" t="s">
        <v>11535</v>
      </c>
    </row>
    <row r="1970" ht="18" customHeight="1" spans="1:6">
      <c r="A1970" s="13" t="s">
        <v>6225</v>
      </c>
      <c r="B1970" s="13" t="s">
        <v>7106</v>
      </c>
      <c r="C1970" s="13" t="s">
        <v>15454</v>
      </c>
      <c r="D1970" s="13">
        <v>3</v>
      </c>
      <c r="E1970" s="14" t="s">
        <v>15455</v>
      </c>
      <c r="F1970" s="7" t="s">
        <v>11535</v>
      </c>
    </row>
    <row r="1971" ht="18" customHeight="1" spans="1:6">
      <c r="A1971" s="13" t="s">
        <v>6225</v>
      </c>
      <c r="B1971" s="13" t="s">
        <v>7106</v>
      </c>
      <c r="C1971" s="13" t="s">
        <v>15456</v>
      </c>
      <c r="D1971" s="13">
        <v>1</v>
      </c>
      <c r="E1971" s="14" t="s">
        <v>15457</v>
      </c>
      <c r="F1971" s="7" t="s">
        <v>11535</v>
      </c>
    </row>
    <row r="1972" ht="18" customHeight="1" spans="1:6">
      <c r="A1972" s="13" t="s">
        <v>6225</v>
      </c>
      <c r="B1972" s="13" t="s">
        <v>7106</v>
      </c>
      <c r="C1972" s="13" t="s">
        <v>15458</v>
      </c>
      <c r="D1972" s="13">
        <v>2</v>
      </c>
      <c r="E1972" s="14" t="s">
        <v>15459</v>
      </c>
      <c r="F1972" s="7" t="s">
        <v>11535</v>
      </c>
    </row>
    <row r="1973" ht="18" customHeight="1" spans="1:6">
      <c r="A1973" s="13" t="s">
        <v>6225</v>
      </c>
      <c r="B1973" s="13" t="s">
        <v>15460</v>
      </c>
      <c r="C1973" s="13" t="s">
        <v>15461</v>
      </c>
      <c r="D1973" s="13">
        <v>1</v>
      </c>
      <c r="E1973" s="14" t="s">
        <v>15462</v>
      </c>
      <c r="F1973" s="7" t="s">
        <v>11535</v>
      </c>
    </row>
    <row r="1974" ht="18" customHeight="1" spans="1:6">
      <c r="A1974" s="13" t="s">
        <v>6225</v>
      </c>
      <c r="B1974" s="13" t="s">
        <v>15460</v>
      </c>
      <c r="C1974" s="13" t="s">
        <v>15463</v>
      </c>
      <c r="D1974" s="13">
        <v>5</v>
      </c>
      <c r="E1974" s="14" t="s">
        <v>15464</v>
      </c>
      <c r="F1974" s="7" t="s">
        <v>11535</v>
      </c>
    </row>
    <row r="1975" ht="18" customHeight="1" spans="1:6">
      <c r="A1975" s="13" t="s">
        <v>6225</v>
      </c>
      <c r="B1975" s="13" t="s">
        <v>15460</v>
      </c>
      <c r="C1975" s="13" t="s">
        <v>15465</v>
      </c>
      <c r="D1975" s="13">
        <v>3</v>
      </c>
      <c r="E1975" s="14" t="s">
        <v>15466</v>
      </c>
      <c r="F1975" s="7" t="s">
        <v>11535</v>
      </c>
    </row>
    <row r="1976" ht="18" customHeight="1" spans="1:6">
      <c r="A1976" s="13" t="s">
        <v>6225</v>
      </c>
      <c r="B1976" s="13" t="s">
        <v>15460</v>
      </c>
      <c r="C1976" s="13" t="s">
        <v>6754</v>
      </c>
      <c r="D1976" s="13">
        <v>4</v>
      </c>
      <c r="E1976" s="14" t="s">
        <v>15467</v>
      </c>
      <c r="F1976" s="7" t="s">
        <v>11535</v>
      </c>
    </row>
    <row r="1977" ht="18" customHeight="1" spans="1:6">
      <c r="A1977" s="13" t="s">
        <v>6225</v>
      </c>
      <c r="B1977" s="13" t="s">
        <v>15460</v>
      </c>
      <c r="C1977" s="13" t="s">
        <v>15468</v>
      </c>
      <c r="D1977" s="13">
        <v>4</v>
      </c>
      <c r="E1977" s="14" t="s">
        <v>15469</v>
      </c>
      <c r="F1977" s="7" t="s">
        <v>11535</v>
      </c>
    </row>
    <row r="1978" ht="18" customHeight="1" spans="1:6">
      <c r="A1978" s="13" t="s">
        <v>6225</v>
      </c>
      <c r="B1978" s="13" t="s">
        <v>15460</v>
      </c>
      <c r="C1978" s="13" t="s">
        <v>6235</v>
      </c>
      <c r="D1978" s="13">
        <v>4</v>
      </c>
      <c r="E1978" s="14" t="s">
        <v>15470</v>
      </c>
      <c r="F1978" s="7" t="s">
        <v>11535</v>
      </c>
    </row>
    <row r="1979" ht="18" customHeight="1" spans="1:6">
      <c r="A1979" s="13" t="s">
        <v>6225</v>
      </c>
      <c r="B1979" s="13" t="s">
        <v>15460</v>
      </c>
      <c r="C1979" s="13" t="s">
        <v>15471</v>
      </c>
      <c r="D1979" s="13">
        <v>3</v>
      </c>
      <c r="E1979" s="14" t="s">
        <v>15472</v>
      </c>
      <c r="F1979" s="7" t="s">
        <v>11535</v>
      </c>
    </row>
    <row r="1980" ht="18" customHeight="1" spans="1:6">
      <c r="A1980" s="13" t="s">
        <v>6225</v>
      </c>
      <c r="B1980" s="13" t="s">
        <v>15460</v>
      </c>
      <c r="C1980" s="13" t="s">
        <v>15473</v>
      </c>
      <c r="D1980" s="13">
        <v>2</v>
      </c>
      <c r="E1980" s="14" t="s">
        <v>15474</v>
      </c>
      <c r="F1980" s="7" t="s">
        <v>11535</v>
      </c>
    </row>
    <row r="1981" ht="18" customHeight="1" spans="1:6">
      <c r="A1981" s="13" t="s">
        <v>6225</v>
      </c>
      <c r="B1981" s="13" t="s">
        <v>15460</v>
      </c>
      <c r="C1981" s="13" t="s">
        <v>15475</v>
      </c>
      <c r="D1981" s="13">
        <v>2</v>
      </c>
      <c r="E1981" s="14" t="s">
        <v>15476</v>
      </c>
      <c r="F1981" s="7" t="s">
        <v>11535</v>
      </c>
    </row>
    <row r="1982" ht="18" customHeight="1" spans="1:6">
      <c r="A1982" s="13" t="s">
        <v>6225</v>
      </c>
      <c r="B1982" s="13" t="s">
        <v>15477</v>
      </c>
      <c r="C1982" s="13" t="s">
        <v>15478</v>
      </c>
      <c r="D1982" s="13">
        <v>3</v>
      </c>
      <c r="E1982" s="14" t="s">
        <v>15479</v>
      </c>
      <c r="F1982" s="7" t="s">
        <v>11535</v>
      </c>
    </row>
    <row r="1983" ht="18" customHeight="1" spans="1:6">
      <c r="A1983" s="13" t="s">
        <v>6225</v>
      </c>
      <c r="B1983" s="13" t="s">
        <v>15303</v>
      </c>
      <c r="C1983" s="13" t="s">
        <v>15480</v>
      </c>
      <c r="D1983" s="13">
        <v>1</v>
      </c>
      <c r="E1983" s="14" t="s">
        <v>15481</v>
      </c>
      <c r="F1983" s="7" t="s">
        <v>11535</v>
      </c>
    </row>
    <row r="1984" ht="18" customHeight="1" spans="1:6">
      <c r="A1984" s="13" t="s">
        <v>6225</v>
      </c>
      <c r="B1984" s="13" t="s">
        <v>15482</v>
      </c>
      <c r="C1984" s="13" t="s">
        <v>15483</v>
      </c>
      <c r="D1984" s="13">
        <v>2</v>
      </c>
      <c r="E1984" s="14" t="s">
        <v>15484</v>
      </c>
      <c r="F1984" s="7" t="s">
        <v>11535</v>
      </c>
    </row>
    <row r="1985" ht="18" customHeight="1" spans="1:6">
      <c r="A1985" s="13" t="s">
        <v>6225</v>
      </c>
      <c r="B1985" s="13" t="s">
        <v>15343</v>
      </c>
      <c r="C1985" s="13" t="s">
        <v>15485</v>
      </c>
      <c r="D1985" s="13">
        <v>1</v>
      </c>
      <c r="E1985" s="14" t="s">
        <v>15486</v>
      </c>
      <c r="F1985" s="7" t="s">
        <v>11535</v>
      </c>
    </row>
    <row r="1986" ht="18" customHeight="1" spans="1:6">
      <c r="A1986" s="13" t="s">
        <v>6225</v>
      </c>
      <c r="B1986" s="13" t="s">
        <v>15343</v>
      </c>
      <c r="C1986" s="13" t="s">
        <v>15487</v>
      </c>
      <c r="D1986" s="13">
        <v>1</v>
      </c>
      <c r="E1986" s="14" t="s">
        <v>15488</v>
      </c>
      <c r="F1986" s="7" t="s">
        <v>11535</v>
      </c>
    </row>
    <row r="1987" ht="18" customHeight="1" spans="1:6">
      <c r="A1987" s="13" t="s">
        <v>6225</v>
      </c>
      <c r="B1987" s="13" t="s">
        <v>15343</v>
      </c>
      <c r="C1987" s="13" t="s">
        <v>15489</v>
      </c>
      <c r="D1987" s="13">
        <v>1</v>
      </c>
      <c r="E1987" s="14" t="s">
        <v>15490</v>
      </c>
      <c r="F1987" s="7" t="s">
        <v>11535</v>
      </c>
    </row>
    <row r="1988" ht="18" customHeight="1" spans="1:6">
      <c r="A1988" s="13" t="s">
        <v>6225</v>
      </c>
      <c r="B1988" s="13" t="s">
        <v>15491</v>
      </c>
      <c r="C1988" s="13" t="s">
        <v>1412</v>
      </c>
      <c r="D1988" s="13">
        <v>1</v>
      </c>
      <c r="E1988" s="192" t="s">
        <v>15492</v>
      </c>
      <c r="F1988" s="7" t="s">
        <v>11535</v>
      </c>
    </row>
    <row r="1989" ht="18" customHeight="1" spans="1:6">
      <c r="A1989" s="13" t="s">
        <v>6225</v>
      </c>
      <c r="B1989" s="13" t="s">
        <v>15493</v>
      </c>
      <c r="C1989" s="13" t="s">
        <v>15494</v>
      </c>
      <c r="D1989" s="13">
        <v>1</v>
      </c>
      <c r="E1989" s="14" t="s">
        <v>15495</v>
      </c>
      <c r="F1989" s="7" t="s">
        <v>11535</v>
      </c>
    </row>
    <row r="1990" ht="18" customHeight="1" spans="1:6">
      <c r="A1990" s="13" t="s">
        <v>6225</v>
      </c>
      <c r="B1990" s="13" t="s">
        <v>15493</v>
      </c>
      <c r="C1990" s="13" t="s">
        <v>15496</v>
      </c>
      <c r="D1990" s="13">
        <v>4</v>
      </c>
      <c r="E1990" s="14" t="s">
        <v>15497</v>
      </c>
      <c r="F1990" s="7" t="s">
        <v>11535</v>
      </c>
    </row>
    <row r="1991" ht="18" customHeight="1" spans="1:6">
      <c r="A1991" s="13" t="s">
        <v>6225</v>
      </c>
      <c r="B1991" s="13" t="s">
        <v>7106</v>
      </c>
      <c r="C1991" s="13" t="s">
        <v>15498</v>
      </c>
      <c r="D1991" s="13">
        <v>1</v>
      </c>
      <c r="E1991" s="14" t="s">
        <v>15499</v>
      </c>
      <c r="F1991" s="7" t="s">
        <v>11535</v>
      </c>
    </row>
    <row r="1992" ht="18" customHeight="1" spans="1:6">
      <c r="A1992" s="13" t="s">
        <v>6225</v>
      </c>
      <c r="B1992" s="13" t="s">
        <v>15334</v>
      </c>
      <c r="C1992" s="13" t="s">
        <v>15500</v>
      </c>
      <c r="D1992" s="13">
        <v>1</v>
      </c>
      <c r="E1992" s="192" t="s">
        <v>15501</v>
      </c>
      <c r="F1992" s="7" t="s">
        <v>11535</v>
      </c>
    </row>
    <row r="1993" ht="18" customHeight="1" spans="1:6">
      <c r="A1993" s="13" t="s">
        <v>6225</v>
      </c>
      <c r="B1993" s="13" t="s">
        <v>15334</v>
      </c>
      <c r="C1993" s="13" t="s">
        <v>15502</v>
      </c>
      <c r="D1993" s="13">
        <v>1</v>
      </c>
      <c r="E1993" s="192" t="s">
        <v>15503</v>
      </c>
      <c r="F1993" s="7" t="s">
        <v>11535</v>
      </c>
    </row>
    <row r="1994" ht="18" customHeight="1" spans="1:6">
      <c r="A1994" s="13" t="s">
        <v>6225</v>
      </c>
      <c r="B1994" s="13" t="s">
        <v>15504</v>
      </c>
      <c r="C1994" s="13" t="s">
        <v>15505</v>
      </c>
      <c r="D1994" s="13">
        <v>1</v>
      </c>
      <c r="E1994" s="192" t="s">
        <v>15506</v>
      </c>
      <c r="F1994" s="7" t="s">
        <v>11535</v>
      </c>
    </row>
    <row r="1995" ht="18" customHeight="1" spans="1:6">
      <c r="A1995" s="13" t="s">
        <v>6225</v>
      </c>
      <c r="B1995" s="13" t="s">
        <v>15504</v>
      </c>
      <c r="C1995" s="13" t="s">
        <v>15507</v>
      </c>
      <c r="D1995" s="13">
        <v>1</v>
      </c>
      <c r="E1995" s="14" t="s">
        <v>15508</v>
      </c>
      <c r="F1995" s="7" t="s">
        <v>11535</v>
      </c>
    </row>
    <row r="1996" ht="18" customHeight="1" spans="1:6">
      <c r="A1996" s="13" t="s">
        <v>6225</v>
      </c>
      <c r="B1996" s="13" t="s">
        <v>15504</v>
      </c>
      <c r="C1996" s="13" t="s">
        <v>15509</v>
      </c>
      <c r="D1996" s="13">
        <v>1</v>
      </c>
      <c r="E1996" s="192" t="s">
        <v>15510</v>
      </c>
      <c r="F1996" s="7" t="s">
        <v>11535</v>
      </c>
    </row>
    <row r="1997" ht="18" customHeight="1" spans="1:6">
      <c r="A1997" s="13" t="s">
        <v>6225</v>
      </c>
      <c r="B1997" s="13" t="s">
        <v>15504</v>
      </c>
      <c r="C1997" s="13" t="s">
        <v>15511</v>
      </c>
      <c r="D1997" s="13">
        <v>1</v>
      </c>
      <c r="E1997" s="192" t="s">
        <v>15512</v>
      </c>
      <c r="F1997" s="7" t="s">
        <v>11535</v>
      </c>
    </row>
    <row r="1998" ht="18" customHeight="1" spans="1:6">
      <c r="A1998" s="13" t="s">
        <v>6225</v>
      </c>
      <c r="B1998" s="13" t="s">
        <v>15504</v>
      </c>
      <c r="C1998" s="13" t="s">
        <v>15513</v>
      </c>
      <c r="D1998" s="13">
        <v>1</v>
      </c>
      <c r="E1998" s="192" t="s">
        <v>15514</v>
      </c>
      <c r="F1998" s="7" t="s">
        <v>11535</v>
      </c>
    </row>
    <row r="1999" ht="18" customHeight="1" spans="1:6">
      <c r="A1999" s="13" t="s">
        <v>6225</v>
      </c>
      <c r="B1999" s="13" t="s">
        <v>15504</v>
      </c>
      <c r="C1999" s="13" t="s">
        <v>15515</v>
      </c>
      <c r="D1999" s="13">
        <v>1</v>
      </c>
      <c r="E1999" s="192" t="s">
        <v>15516</v>
      </c>
      <c r="F1999" s="7" t="s">
        <v>11535</v>
      </c>
    </row>
    <row r="2000" ht="18" customHeight="1" spans="1:6">
      <c r="A2000" s="13" t="s">
        <v>6225</v>
      </c>
      <c r="B2000" s="13" t="s">
        <v>15310</v>
      </c>
      <c r="C2000" s="13" t="s">
        <v>15517</v>
      </c>
      <c r="D2000" s="13">
        <v>1</v>
      </c>
      <c r="E2000" s="192" t="s">
        <v>15518</v>
      </c>
      <c r="F2000" s="7" t="s">
        <v>11535</v>
      </c>
    </row>
    <row r="2001" ht="18" customHeight="1" spans="1:6">
      <c r="A2001" s="13" t="s">
        <v>6225</v>
      </c>
      <c r="B2001" s="13" t="s">
        <v>15310</v>
      </c>
      <c r="C2001" s="13" t="s">
        <v>15519</v>
      </c>
      <c r="D2001" s="13">
        <v>1</v>
      </c>
      <c r="E2001" s="192" t="s">
        <v>15520</v>
      </c>
      <c r="F2001" s="7" t="s">
        <v>11535</v>
      </c>
    </row>
    <row r="2002" ht="18" customHeight="1" spans="1:6">
      <c r="A2002" s="13" t="s">
        <v>6225</v>
      </c>
      <c r="B2002" s="13" t="s">
        <v>15353</v>
      </c>
      <c r="C2002" s="13" t="s">
        <v>15521</v>
      </c>
      <c r="D2002" s="13">
        <v>1</v>
      </c>
      <c r="E2002" s="14" t="s">
        <v>15522</v>
      </c>
      <c r="F2002" s="7" t="s">
        <v>11535</v>
      </c>
    </row>
    <row r="2003" ht="18" customHeight="1" spans="1:6">
      <c r="A2003" s="13" t="s">
        <v>6225</v>
      </c>
      <c r="B2003" s="13" t="s">
        <v>15353</v>
      </c>
      <c r="C2003" s="13" t="s">
        <v>15523</v>
      </c>
      <c r="D2003" s="13">
        <v>1</v>
      </c>
      <c r="E2003" s="14" t="s">
        <v>15524</v>
      </c>
      <c r="F2003" s="7" t="s">
        <v>11535</v>
      </c>
    </row>
    <row r="2004" ht="18" customHeight="1" spans="1:6">
      <c r="A2004" s="13" t="s">
        <v>6225</v>
      </c>
      <c r="B2004" s="13" t="s">
        <v>15353</v>
      </c>
      <c r="C2004" s="13" t="s">
        <v>15525</v>
      </c>
      <c r="D2004" s="13">
        <v>1</v>
      </c>
      <c r="E2004" s="192" t="s">
        <v>15526</v>
      </c>
      <c r="F2004" s="7" t="s">
        <v>11535</v>
      </c>
    </row>
    <row r="2005" ht="18" customHeight="1" spans="1:6">
      <c r="A2005" s="13" t="s">
        <v>6225</v>
      </c>
      <c r="B2005" s="13" t="s">
        <v>15287</v>
      </c>
      <c r="C2005" s="13" t="s">
        <v>15527</v>
      </c>
      <c r="D2005" s="13">
        <v>2</v>
      </c>
      <c r="E2005" s="14" t="s">
        <v>15528</v>
      </c>
      <c r="F2005" s="7" t="s">
        <v>11535</v>
      </c>
    </row>
    <row r="2006" ht="18" customHeight="1" spans="1:6">
      <c r="A2006" s="13" t="s">
        <v>6225</v>
      </c>
      <c r="B2006" s="13" t="s">
        <v>15287</v>
      </c>
      <c r="C2006" s="13" t="s">
        <v>15529</v>
      </c>
      <c r="D2006" s="13">
        <v>3</v>
      </c>
      <c r="E2006" s="192" t="s">
        <v>15530</v>
      </c>
      <c r="F2006" s="7" t="s">
        <v>11535</v>
      </c>
    </row>
    <row r="2007" ht="18" customHeight="1" spans="1:6">
      <c r="A2007" s="13" t="s">
        <v>6225</v>
      </c>
      <c r="B2007" s="13" t="s">
        <v>6399</v>
      </c>
      <c r="C2007" s="13" t="s">
        <v>15531</v>
      </c>
      <c r="D2007" s="13">
        <v>1</v>
      </c>
      <c r="E2007" s="14" t="s">
        <v>15532</v>
      </c>
      <c r="F2007" s="7" t="s">
        <v>11535</v>
      </c>
    </row>
    <row r="2008" ht="18" customHeight="1" spans="1:6">
      <c r="A2008" s="13" t="s">
        <v>6225</v>
      </c>
      <c r="B2008" s="13" t="s">
        <v>6399</v>
      </c>
      <c r="C2008" s="13" t="s">
        <v>15533</v>
      </c>
      <c r="D2008" s="13">
        <v>1</v>
      </c>
      <c r="E2008" s="14" t="s">
        <v>15534</v>
      </c>
      <c r="F2008" s="7" t="s">
        <v>11535</v>
      </c>
    </row>
    <row r="2009" ht="18" customHeight="1" spans="1:6">
      <c r="A2009" s="13" t="s">
        <v>6225</v>
      </c>
      <c r="B2009" s="13" t="s">
        <v>6399</v>
      </c>
      <c r="C2009" s="13" t="s">
        <v>15535</v>
      </c>
      <c r="D2009" s="13">
        <v>3</v>
      </c>
      <c r="E2009" s="14" t="s">
        <v>15536</v>
      </c>
      <c r="F2009" s="7" t="s">
        <v>11535</v>
      </c>
    </row>
    <row r="2010" ht="18" customHeight="1" spans="1:6">
      <c r="A2010" s="13" t="s">
        <v>6225</v>
      </c>
      <c r="B2010" s="13" t="s">
        <v>6399</v>
      </c>
      <c r="C2010" s="13" t="s">
        <v>15537</v>
      </c>
      <c r="D2010" s="13">
        <v>1</v>
      </c>
      <c r="E2010" s="14" t="s">
        <v>15538</v>
      </c>
      <c r="F2010" s="7" t="s">
        <v>11535</v>
      </c>
    </row>
    <row r="2011" ht="18" customHeight="1" spans="1:6">
      <c r="A2011" s="13" t="s">
        <v>6225</v>
      </c>
      <c r="B2011" s="13" t="s">
        <v>6399</v>
      </c>
      <c r="C2011" s="13" t="s">
        <v>6423</v>
      </c>
      <c r="D2011" s="13">
        <v>1</v>
      </c>
      <c r="E2011" s="14" t="s">
        <v>15539</v>
      </c>
      <c r="F2011" s="7" t="s">
        <v>11535</v>
      </c>
    </row>
    <row r="2012" ht="18" customHeight="1" spans="1:6">
      <c r="A2012" s="13" t="s">
        <v>6225</v>
      </c>
      <c r="B2012" s="13" t="s">
        <v>6399</v>
      </c>
      <c r="C2012" s="13" t="s">
        <v>15540</v>
      </c>
      <c r="D2012" s="13">
        <v>1</v>
      </c>
      <c r="E2012" s="14" t="s">
        <v>15541</v>
      </c>
      <c r="F2012" s="7" t="s">
        <v>11535</v>
      </c>
    </row>
    <row r="2013" ht="18" customHeight="1" spans="1:6">
      <c r="A2013" s="13" t="s">
        <v>6225</v>
      </c>
      <c r="B2013" s="13" t="s">
        <v>6399</v>
      </c>
      <c r="C2013" s="13" t="s">
        <v>15542</v>
      </c>
      <c r="D2013" s="13">
        <v>1</v>
      </c>
      <c r="E2013" s="14" t="s">
        <v>15543</v>
      </c>
      <c r="F2013" s="7" t="s">
        <v>11535</v>
      </c>
    </row>
    <row r="2014" ht="18" customHeight="1" spans="1:6">
      <c r="A2014" s="13" t="s">
        <v>6225</v>
      </c>
      <c r="B2014" s="13" t="s">
        <v>6399</v>
      </c>
      <c r="C2014" s="13" t="s">
        <v>15544</v>
      </c>
      <c r="D2014" s="13">
        <v>1</v>
      </c>
      <c r="E2014" s="14" t="s">
        <v>15545</v>
      </c>
      <c r="F2014" s="7" t="s">
        <v>11535</v>
      </c>
    </row>
    <row r="2015" ht="18" customHeight="1" spans="1:6">
      <c r="A2015" s="13" t="s">
        <v>6225</v>
      </c>
      <c r="B2015" s="13" t="s">
        <v>6399</v>
      </c>
      <c r="C2015" s="13" t="s">
        <v>15546</v>
      </c>
      <c r="D2015" s="13">
        <v>1</v>
      </c>
      <c r="E2015" s="14" t="s">
        <v>15547</v>
      </c>
      <c r="F2015" s="7" t="s">
        <v>11535</v>
      </c>
    </row>
    <row r="2016" ht="18" customHeight="1" spans="1:6">
      <c r="A2016" s="13" t="s">
        <v>6225</v>
      </c>
      <c r="B2016" s="13" t="s">
        <v>6399</v>
      </c>
      <c r="C2016" s="13" t="s">
        <v>15548</v>
      </c>
      <c r="D2016" s="13">
        <v>1</v>
      </c>
      <c r="E2016" s="14" t="s">
        <v>15549</v>
      </c>
      <c r="F2016" s="7" t="s">
        <v>11535</v>
      </c>
    </row>
    <row r="2017" ht="18" customHeight="1" spans="1:6">
      <c r="A2017" s="13" t="s">
        <v>6225</v>
      </c>
      <c r="B2017" s="13" t="s">
        <v>6905</v>
      </c>
      <c r="C2017" s="13" t="s">
        <v>15550</v>
      </c>
      <c r="D2017" s="13">
        <v>1</v>
      </c>
      <c r="E2017" s="14" t="s">
        <v>15551</v>
      </c>
      <c r="F2017" s="7" t="s">
        <v>11535</v>
      </c>
    </row>
    <row r="2018" ht="18" customHeight="1" spans="1:6">
      <c r="A2018" s="13" t="s">
        <v>6225</v>
      </c>
      <c r="B2018" s="13" t="s">
        <v>6657</v>
      </c>
      <c r="C2018" s="13" t="s">
        <v>7243</v>
      </c>
      <c r="D2018" s="13">
        <v>3</v>
      </c>
      <c r="E2018" s="14" t="s">
        <v>15552</v>
      </c>
      <c r="F2018" s="7" t="s">
        <v>11535</v>
      </c>
    </row>
    <row r="2019" ht="18" customHeight="1" spans="1:6">
      <c r="A2019" s="13" t="s">
        <v>6225</v>
      </c>
      <c r="B2019" s="13" t="s">
        <v>6692</v>
      </c>
      <c r="C2019" s="13" t="s">
        <v>15553</v>
      </c>
      <c r="D2019" s="13">
        <v>7</v>
      </c>
      <c r="E2019" s="14" t="s">
        <v>15554</v>
      </c>
      <c r="F2019" s="7" t="s">
        <v>11535</v>
      </c>
    </row>
    <row r="2020" ht="18" customHeight="1" spans="1:6">
      <c r="A2020" s="13" t="s">
        <v>6225</v>
      </c>
      <c r="B2020" s="13" t="s">
        <v>6692</v>
      </c>
      <c r="C2020" s="13" t="s">
        <v>15555</v>
      </c>
      <c r="D2020" s="13">
        <v>3</v>
      </c>
      <c r="E2020" s="14" t="s">
        <v>15556</v>
      </c>
      <c r="F2020" s="7" t="s">
        <v>11535</v>
      </c>
    </row>
    <row r="2021" ht="18" customHeight="1" spans="1:6">
      <c r="A2021" s="13" t="s">
        <v>6225</v>
      </c>
      <c r="B2021" s="13" t="s">
        <v>6692</v>
      </c>
      <c r="C2021" s="13" t="s">
        <v>15557</v>
      </c>
      <c r="D2021" s="13">
        <v>4</v>
      </c>
      <c r="E2021" s="14" t="s">
        <v>15558</v>
      </c>
      <c r="F2021" s="7" t="s">
        <v>11535</v>
      </c>
    </row>
    <row r="2022" ht="18" customHeight="1" spans="1:6">
      <c r="A2022" s="13" t="s">
        <v>6225</v>
      </c>
      <c r="B2022" s="13" t="s">
        <v>6692</v>
      </c>
      <c r="C2022" s="13" t="s">
        <v>15559</v>
      </c>
      <c r="D2022" s="13">
        <v>2</v>
      </c>
      <c r="E2022" s="14" t="s">
        <v>15560</v>
      </c>
      <c r="F2022" s="7" t="s">
        <v>11535</v>
      </c>
    </row>
    <row r="2023" ht="18" customHeight="1" spans="1:6">
      <c r="A2023" s="13" t="s">
        <v>6225</v>
      </c>
      <c r="B2023" s="13" t="s">
        <v>6692</v>
      </c>
      <c r="C2023" s="13" t="s">
        <v>15561</v>
      </c>
      <c r="D2023" s="13">
        <v>6</v>
      </c>
      <c r="E2023" s="14" t="s">
        <v>15562</v>
      </c>
      <c r="F2023" s="7" t="s">
        <v>11535</v>
      </c>
    </row>
    <row r="2024" ht="18" customHeight="1" spans="1:6">
      <c r="A2024" s="13" t="s">
        <v>6225</v>
      </c>
      <c r="B2024" s="13" t="s">
        <v>6692</v>
      </c>
      <c r="C2024" s="13" t="s">
        <v>6731</v>
      </c>
      <c r="D2024" s="13">
        <v>4</v>
      </c>
      <c r="E2024" s="14" t="s">
        <v>15563</v>
      </c>
      <c r="F2024" s="7" t="s">
        <v>11535</v>
      </c>
    </row>
    <row r="2025" ht="18" customHeight="1" spans="1:6">
      <c r="A2025" s="13" t="s">
        <v>6225</v>
      </c>
      <c r="B2025" s="13" t="s">
        <v>6692</v>
      </c>
      <c r="C2025" s="13" t="s">
        <v>15564</v>
      </c>
      <c r="D2025" s="13">
        <v>1</v>
      </c>
      <c r="E2025" s="14" t="s">
        <v>15565</v>
      </c>
      <c r="F2025" s="7" t="s">
        <v>11535</v>
      </c>
    </row>
    <row r="2026" ht="18" customHeight="1" spans="1:6">
      <c r="A2026" s="13" t="s">
        <v>6225</v>
      </c>
      <c r="B2026" s="13" t="s">
        <v>6657</v>
      </c>
      <c r="C2026" s="13" t="s">
        <v>15566</v>
      </c>
      <c r="D2026" s="13">
        <v>1</v>
      </c>
      <c r="E2026" s="14" t="s">
        <v>15567</v>
      </c>
      <c r="F2026" s="7" t="s">
        <v>11535</v>
      </c>
    </row>
    <row r="2027" ht="18" customHeight="1" spans="1:6">
      <c r="A2027" s="13" t="s">
        <v>6225</v>
      </c>
      <c r="B2027" s="13" t="s">
        <v>6786</v>
      </c>
      <c r="C2027" s="13" t="s">
        <v>15568</v>
      </c>
      <c r="D2027" s="13">
        <v>2</v>
      </c>
      <c r="E2027" s="14" t="s">
        <v>15569</v>
      </c>
      <c r="F2027" s="7" t="s">
        <v>11535</v>
      </c>
    </row>
    <row r="2028" ht="18" customHeight="1" spans="1:6">
      <c r="A2028" s="13" t="s">
        <v>6225</v>
      </c>
      <c r="B2028" s="13" t="s">
        <v>6404</v>
      </c>
      <c r="C2028" s="13" t="s">
        <v>15570</v>
      </c>
      <c r="D2028" s="13">
        <v>2</v>
      </c>
      <c r="E2028" s="14" t="s">
        <v>15571</v>
      </c>
      <c r="F2028" s="7" t="s">
        <v>11535</v>
      </c>
    </row>
    <row r="2029" ht="18" customHeight="1" spans="1:6">
      <c r="A2029" s="13" t="s">
        <v>6225</v>
      </c>
      <c r="B2029" s="13" t="s">
        <v>7368</v>
      </c>
      <c r="C2029" s="13" t="s">
        <v>15572</v>
      </c>
      <c r="D2029" s="13">
        <v>1</v>
      </c>
      <c r="E2029" s="14" t="s">
        <v>15573</v>
      </c>
      <c r="F2029" s="7" t="s">
        <v>11535</v>
      </c>
    </row>
    <row r="2030" ht="18" customHeight="1" spans="1:6">
      <c r="A2030" s="13" t="s">
        <v>6225</v>
      </c>
      <c r="B2030" s="13" t="s">
        <v>6384</v>
      </c>
      <c r="C2030" s="13" t="s">
        <v>15574</v>
      </c>
      <c r="D2030" s="13">
        <v>3</v>
      </c>
      <c r="E2030" s="14" t="s">
        <v>15575</v>
      </c>
      <c r="F2030" s="7" t="s">
        <v>11535</v>
      </c>
    </row>
    <row r="2031" ht="18" customHeight="1" spans="1:6">
      <c r="A2031" s="13" t="s">
        <v>6225</v>
      </c>
      <c r="B2031" s="13" t="s">
        <v>7429</v>
      </c>
      <c r="C2031" s="13" t="s">
        <v>15576</v>
      </c>
      <c r="D2031" s="13">
        <v>3</v>
      </c>
      <c r="E2031" s="14" t="s">
        <v>15577</v>
      </c>
      <c r="F2031" s="7" t="s">
        <v>11535</v>
      </c>
    </row>
    <row r="2032" ht="18" customHeight="1" spans="1:6">
      <c r="A2032" s="13" t="s">
        <v>6225</v>
      </c>
      <c r="B2032" s="13" t="s">
        <v>6546</v>
      </c>
      <c r="C2032" s="13" t="s">
        <v>15578</v>
      </c>
      <c r="D2032" s="13">
        <v>2</v>
      </c>
      <c r="E2032" s="14" t="s">
        <v>15579</v>
      </c>
      <c r="F2032" s="7" t="s">
        <v>11535</v>
      </c>
    </row>
    <row r="2033" ht="18" customHeight="1" spans="1:6">
      <c r="A2033" s="13" t="s">
        <v>6225</v>
      </c>
      <c r="B2033" s="13" t="s">
        <v>6546</v>
      </c>
      <c r="C2033" s="13" t="s">
        <v>15580</v>
      </c>
      <c r="D2033" s="13">
        <v>2</v>
      </c>
      <c r="E2033" s="14" t="s">
        <v>15581</v>
      </c>
      <c r="F2033" s="7" t="s">
        <v>11535</v>
      </c>
    </row>
    <row r="2034" ht="18" customHeight="1" spans="1:6">
      <c r="A2034" s="13" t="s">
        <v>6225</v>
      </c>
      <c r="B2034" s="13" t="s">
        <v>7283</v>
      </c>
      <c r="C2034" s="13" t="s">
        <v>15582</v>
      </c>
      <c r="D2034" s="13">
        <v>4</v>
      </c>
      <c r="E2034" s="14" t="s">
        <v>15583</v>
      </c>
      <c r="F2034" s="7" t="s">
        <v>11535</v>
      </c>
    </row>
    <row r="2035" ht="18" customHeight="1" spans="1:6">
      <c r="A2035" s="13" t="s">
        <v>6225</v>
      </c>
      <c r="B2035" s="13" t="s">
        <v>7283</v>
      </c>
      <c r="C2035" s="13" t="s">
        <v>15584</v>
      </c>
      <c r="D2035" s="13">
        <v>4</v>
      </c>
      <c r="E2035" s="14" t="s">
        <v>15585</v>
      </c>
      <c r="F2035" s="7" t="s">
        <v>11535</v>
      </c>
    </row>
    <row r="2036" ht="18" customHeight="1" spans="1:6">
      <c r="A2036" s="13" t="s">
        <v>6225</v>
      </c>
      <c r="B2036" s="13" t="s">
        <v>7283</v>
      </c>
      <c r="C2036" s="13" t="s">
        <v>15586</v>
      </c>
      <c r="D2036" s="13">
        <v>4</v>
      </c>
      <c r="E2036" s="14" t="s">
        <v>15587</v>
      </c>
      <c r="F2036" s="7" t="s">
        <v>11535</v>
      </c>
    </row>
    <row r="2037" ht="18" customHeight="1" spans="1:6">
      <c r="A2037" s="13" t="s">
        <v>6225</v>
      </c>
      <c r="B2037" s="13" t="s">
        <v>7283</v>
      </c>
      <c r="C2037" s="13" t="s">
        <v>15588</v>
      </c>
      <c r="D2037" s="13">
        <v>6</v>
      </c>
      <c r="E2037" s="14" t="s">
        <v>15589</v>
      </c>
      <c r="F2037" s="7" t="s">
        <v>11535</v>
      </c>
    </row>
    <row r="2038" ht="18" customHeight="1" spans="1:6">
      <c r="A2038" s="13" t="s">
        <v>6225</v>
      </c>
      <c r="B2038" s="13" t="s">
        <v>7283</v>
      </c>
      <c r="C2038" s="13" t="s">
        <v>15590</v>
      </c>
      <c r="D2038" s="13">
        <v>3</v>
      </c>
      <c r="E2038" s="14" t="s">
        <v>15591</v>
      </c>
      <c r="F2038" s="7" t="s">
        <v>11535</v>
      </c>
    </row>
    <row r="2039" ht="18" customHeight="1" spans="1:6">
      <c r="A2039" s="13" t="s">
        <v>6225</v>
      </c>
      <c r="B2039" s="13" t="s">
        <v>7283</v>
      </c>
      <c r="C2039" s="13" t="s">
        <v>15592</v>
      </c>
      <c r="D2039" s="13">
        <v>3</v>
      </c>
      <c r="E2039" s="14" t="s">
        <v>15593</v>
      </c>
      <c r="F2039" s="7" t="s">
        <v>11535</v>
      </c>
    </row>
    <row r="2040" ht="18" customHeight="1" spans="1:6">
      <c r="A2040" s="13" t="s">
        <v>6225</v>
      </c>
      <c r="B2040" s="13" t="s">
        <v>7429</v>
      </c>
      <c r="C2040" s="13" t="s">
        <v>15594</v>
      </c>
      <c r="D2040" s="13">
        <v>4</v>
      </c>
      <c r="E2040" s="14" t="s">
        <v>15595</v>
      </c>
      <c r="F2040" s="7" t="s">
        <v>11535</v>
      </c>
    </row>
    <row r="2041" ht="18" customHeight="1" spans="1:6">
      <c r="A2041" s="13" t="s">
        <v>6225</v>
      </c>
      <c r="B2041" s="13" t="s">
        <v>7429</v>
      </c>
      <c r="C2041" s="13" t="s">
        <v>15596</v>
      </c>
      <c r="D2041" s="13">
        <v>4</v>
      </c>
      <c r="E2041" s="14" t="s">
        <v>15597</v>
      </c>
      <c r="F2041" s="7" t="s">
        <v>11535</v>
      </c>
    </row>
    <row r="2042" ht="18" customHeight="1" spans="1:6">
      <c r="A2042" s="13" t="s">
        <v>6225</v>
      </c>
      <c r="B2042" s="13" t="s">
        <v>7210</v>
      </c>
      <c r="C2042" s="13" t="s">
        <v>15598</v>
      </c>
      <c r="D2042" s="13">
        <v>2</v>
      </c>
      <c r="E2042" s="14" t="s">
        <v>15599</v>
      </c>
      <c r="F2042" s="7" t="s">
        <v>11535</v>
      </c>
    </row>
    <row r="2043" ht="18" customHeight="1" spans="1:6">
      <c r="A2043" s="13" t="s">
        <v>6225</v>
      </c>
      <c r="B2043" s="13" t="s">
        <v>7210</v>
      </c>
      <c r="C2043" s="13" t="s">
        <v>1980</v>
      </c>
      <c r="D2043" s="13">
        <v>5</v>
      </c>
      <c r="E2043" s="14" t="s">
        <v>15600</v>
      </c>
      <c r="F2043" s="7" t="s">
        <v>11535</v>
      </c>
    </row>
    <row r="2044" ht="18" customHeight="1" spans="1:6">
      <c r="A2044" s="13" t="s">
        <v>6225</v>
      </c>
      <c r="B2044" s="13" t="s">
        <v>7156</v>
      </c>
      <c r="C2044" s="13" t="s">
        <v>15601</v>
      </c>
      <c r="D2044" s="13">
        <v>1</v>
      </c>
      <c r="E2044" s="14" t="s">
        <v>15602</v>
      </c>
      <c r="F2044" s="7" t="s">
        <v>11535</v>
      </c>
    </row>
    <row r="2045" ht="18" customHeight="1" spans="1:6">
      <c r="A2045" s="13" t="s">
        <v>6225</v>
      </c>
      <c r="B2045" s="13" t="s">
        <v>6404</v>
      </c>
      <c r="C2045" s="13" t="s">
        <v>15603</v>
      </c>
      <c r="D2045" s="13">
        <v>3</v>
      </c>
      <c r="E2045" s="14" t="s">
        <v>15604</v>
      </c>
      <c r="F2045" s="7" t="s">
        <v>11535</v>
      </c>
    </row>
    <row r="2046" ht="18" customHeight="1" spans="1:6">
      <c r="A2046" s="13" t="s">
        <v>6225</v>
      </c>
      <c r="B2046" s="13" t="s">
        <v>6404</v>
      </c>
      <c r="C2046" s="13" t="s">
        <v>15605</v>
      </c>
      <c r="D2046" s="13">
        <v>3</v>
      </c>
      <c r="E2046" s="14" t="s">
        <v>15606</v>
      </c>
      <c r="F2046" s="7" t="s">
        <v>11535</v>
      </c>
    </row>
    <row r="2047" ht="18" customHeight="1" spans="1:6">
      <c r="A2047" s="13" t="s">
        <v>6225</v>
      </c>
      <c r="B2047" s="13" t="s">
        <v>7368</v>
      </c>
      <c r="C2047" s="13" t="s">
        <v>15607</v>
      </c>
      <c r="D2047" s="13">
        <v>2</v>
      </c>
      <c r="E2047" s="14" t="s">
        <v>15608</v>
      </c>
      <c r="F2047" s="7" t="s">
        <v>11535</v>
      </c>
    </row>
    <row r="2048" ht="18" customHeight="1" spans="1:6">
      <c r="A2048" s="13" t="s">
        <v>6225</v>
      </c>
      <c r="B2048" s="13" t="s">
        <v>7368</v>
      </c>
      <c r="C2048" s="13" t="s">
        <v>15609</v>
      </c>
      <c r="D2048" s="13">
        <v>1</v>
      </c>
      <c r="E2048" s="14" t="s">
        <v>15610</v>
      </c>
      <c r="F2048" s="7" t="s">
        <v>11535</v>
      </c>
    </row>
    <row r="2049" ht="18" customHeight="1" spans="1:6">
      <c r="A2049" s="13" t="s">
        <v>6225</v>
      </c>
      <c r="B2049" s="13" t="s">
        <v>7368</v>
      </c>
      <c r="C2049" s="13" t="s">
        <v>15611</v>
      </c>
      <c r="D2049" s="13">
        <v>1</v>
      </c>
      <c r="E2049" s="14" t="s">
        <v>15612</v>
      </c>
      <c r="F2049" s="7" t="s">
        <v>11535</v>
      </c>
    </row>
    <row r="2050" ht="18" customHeight="1" spans="1:6">
      <c r="A2050" s="13" t="s">
        <v>6225</v>
      </c>
      <c r="B2050" s="13" t="s">
        <v>7368</v>
      </c>
      <c r="C2050" s="13" t="s">
        <v>15613</v>
      </c>
      <c r="D2050" s="13">
        <v>1</v>
      </c>
      <c r="E2050" s="14" t="s">
        <v>15614</v>
      </c>
      <c r="F2050" s="7" t="s">
        <v>11535</v>
      </c>
    </row>
    <row r="2051" ht="18" customHeight="1" spans="1:6">
      <c r="A2051" s="13" t="s">
        <v>6225</v>
      </c>
      <c r="B2051" s="13" t="s">
        <v>7341</v>
      </c>
      <c r="C2051" s="13" t="s">
        <v>15615</v>
      </c>
      <c r="D2051" s="13">
        <v>2</v>
      </c>
      <c r="E2051" s="14" t="s">
        <v>15616</v>
      </c>
      <c r="F2051" s="7" t="s">
        <v>11535</v>
      </c>
    </row>
    <row r="2052" ht="18" customHeight="1" spans="1:6">
      <c r="A2052" s="13" t="s">
        <v>6225</v>
      </c>
      <c r="B2052" s="13" t="s">
        <v>7341</v>
      </c>
      <c r="C2052" s="13" t="s">
        <v>15617</v>
      </c>
      <c r="D2052" s="13">
        <v>6</v>
      </c>
      <c r="E2052" s="14" t="s">
        <v>15618</v>
      </c>
      <c r="F2052" s="7" t="s">
        <v>11535</v>
      </c>
    </row>
    <row r="2053" ht="18" customHeight="1" spans="1:6">
      <c r="A2053" s="13" t="s">
        <v>6225</v>
      </c>
      <c r="B2053" s="13" t="s">
        <v>7341</v>
      </c>
      <c r="C2053" s="13" t="s">
        <v>15619</v>
      </c>
      <c r="D2053" s="13">
        <v>3</v>
      </c>
      <c r="E2053" s="14" t="s">
        <v>15620</v>
      </c>
      <c r="F2053" s="7" t="s">
        <v>11535</v>
      </c>
    </row>
    <row r="2054" ht="18" customHeight="1" spans="1:6">
      <c r="A2054" s="13" t="s">
        <v>6225</v>
      </c>
      <c r="B2054" s="13" t="s">
        <v>7341</v>
      </c>
      <c r="C2054" s="13" t="s">
        <v>15621</v>
      </c>
      <c r="D2054" s="13">
        <v>4</v>
      </c>
      <c r="E2054" s="14" t="s">
        <v>15622</v>
      </c>
      <c r="F2054" s="7" t="s">
        <v>11535</v>
      </c>
    </row>
    <row r="2055" ht="18" customHeight="1" spans="1:6">
      <c r="A2055" s="13" t="s">
        <v>6225</v>
      </c>
      <c r="B2055" s="13" t="s">
        <v>6399</v>
      </c>
      <c r="C2055" s="13" t="s">
        <v>15623</v>
      </c>
      <c r="D2055" s="13">
        <v>1</v>
      </c>
      <c r="E2055" s="14" t="s">
        <v>15624</v>
      </c>
      <c r="F2055" s="7" t="s">
        <v>11535</v>
      </c>
    </row>
    <row r="2056" ht="18" customHeight="1" spans="1:6">
      <c r="A2056" s="13" t="s">
        <v>6225</v>
      </c>
      <c r="B2056" s="13" t="s">
        <v>7191</v>
      </c>
      <c r="C2056" s="13" t="s">
        <v>15625</v>
      </c>
      <c r="D2056" s="13">
        <v>2</v>
      </c>
      <c r="E2056" s="14" t="s">
        <v>15626</v>
      </c>
      <c r="F2056" s="7" t="s">
        <v>11535</v>
      </c>
    </row>
    <row r="2057" ht="18" customHeight="1" spans="1:6">
      <c r="A2057" s="13" t="s">
        <v>6225</v>
      </c>
      <c r="B2057" s="13" t="s">
        <v>7191</v>
      </c>
      <c r="C2057" s="13" t="s">
        <v>15627</v>
      </c>
      <c r="D2057" s="13">
        <v>3</v>
      </c>
      <c r="E2057" s="14" t="s">
        <v>15628</v>
      </c>
      <c r="F2057" s="7" t="s">
        <v>11535</v>
      </c>
    </row>
    <row r="2058" ht="18" customHeight="1" spans="1:6">
      <c r="A2058" s="13" t="s">
        <v>6225</v>
      </c>
      <c r="B2058" s="13" t="s">
        <v>7429</v>
      </c>
      <c r="C2058" s="13" t="s">
        <v>15629</v>
      </c>
      <c r="D2058" s="13">
        <v>2</v>
      </c>
      <c r="E2058" s="14" t="s">
        <v>15630</v>
      </c>
      <c r="F2058" s="7" t="s">
        <v>11535</v>
      </c>
    </row>
    <row r="2059" ht="18" customHeight="1" spans="1:6">
      <c r="A2059" s="13" t="s">
        <v>6225</v>
      </c>
      <c r="B2059" s="13" t="s">
        <v>15460</v>
      </c>
      <c r="C2059" s="13" t="s">
        <v>15631</v>
      </c>
      <c r="D2059" s="13">
        <v>1</v>
      </c>
      <c r="E2059" s="14" t="s">
        <v>15632</v>
      </c>
      <c r="F2059" s="7" t="s">
        <v>11535</v>
      </c>
    </row>
    <row r="2060" ht="18" customHeight="1" spans="1:6">
      <c r="A2060" s="13" t="s">
        <v>6225</v>
      </c>
      <c r="B2060" s="13" t="s">
        <v>6255</v>
      </c>
      <c r="C2060" s="13" t="s">
        <v>15633</v>
      </c>
      <c r="D2060" s="13">
        <v>1</v>
      </c>
      <c r="E2060" s="14" t="s">
        <v>15634</v>
      </c>
      <c r="F2060" s="7" t="s">
        <v>11535</v>
      </c>
    </row>
    <row r="2061" ht="18" customHeight="1" spans="1:6">
      <c r="A2061" s="13" t="s">
        <v>6225</v>
      </c>
      <c r="B2061" s="13" t="s">
        <v>6399</v>
      </c>
      <c r="C2061" s="13" t="s">
        <v>15635</v>
      </c>
      <c r="D2061" s="13">
        <v>4</v>
      </c>
      <c r="E2061" s="192" t="s">
        <v>15636</v>
      </c>
      <c r="F2061" s="7" t="s">
        <v>11535</v>
      </c>
    </row>
    <row r="2062" ht="18" customHeight="1" spans="1:6">
      <c r="A2062" s="13" t="s">
        <v>6225</v>
      </c>
      <c r="B2062" s="13" t="s">
        <v>6399</v>
      </c>
      <c r="C2062" s="13" t="s">
        <v>15637</v>
      </c>
      <c r="D2062" s="13">
        <v>2</v>
      </c>
      <c r="E2062" s="192" t="s">
        <v>15638</v>
      </c>
      <c r="F2062" s="7" t="s">
        <v>11535</v>
      </c>
    </row>
    <row r="2063" ht="18" customHeight="1" spans="1:6">
      <c r="A2063" s="13" t="s">
        <v>6225</v>
      </c>
      <c r="B2063" s="13" t="s">
        <v>7341</v>
      </c>
      <c r="C2063" s="13" t="s">
        <v>15639</v>
      </c>
      <c r="D2063" s="13">
        <v>3</v>
      </c>
      <c r="E2063" s="192" t="s">
        <v>15640</v>
      </c>
      <c r="F2063" s="7" t="s">
        <v>11535</v>
      </c>
    </row>
    <row r="2064" ht="18" customHeight="1" spans="1:6">
      <c r="A2064" s="13" t="s">
        <v>6225</v>
      </c>
      <c r="B2064" s="13" t="s">
        <v>7156</v>
      </c>
      <c r="C2064" s="13" t="s">
        <v>15601</v>
      </c>
      <c r="D2064" s="13">
        <v>1</v>
      </c>
      <c r="E2064" s="14" t="s">
        <v>15602</v>
      </c>
      <c r="F2064" s="7" t="s">
        <v>11535</v>
      </c>
    </row>
    <row r="2065" ht="18" customHeight="1" spans="1:6">
      <c r="A2065" s="13" t="s">
        <v>6225</v>
      </c>
      <c r="B2065" s="13" t="s">
        <v>6255</v>
      </c>
      <c r="C2065" s="13" t="s">
        <v>15641</v>
      </c>
      <c r="D2065" s="13">
        <v>3</v>
      </c>
      <c r="E2065" s="192" t="s">
        <v>15642</v>
      </c>
      <c r="F2065" s="7" t="s">
        <v>11535</v>
      </c>
    </row>
    <row r="2066" ht="18" customHeight="1" spans="1:6">
      <c r="A2066" s="13" t="s">
        <v>6225</v>
      </c>
      <c r="B2066" s="13" t="s">
        <v>6255</v>
      </c>
      <c r="C2066" s="13" t="s">
        <v>15643</v>
      </c>
      <c r="D2066" s="13">
        <v>1</v>
      </c>
      <c r="E2066" s="192" t="s">
        <v>15644</v>
      </c>
      <c r="F2066" s="7" t="s">
        <v>11535</v>
      </c>
    </row>
    <row r="2067" ht="18" customHeight="1" spans="1:6">
      <c r="A2067" s="13" t="s">
        <v>6225</v>
      </c>
      <c r="B2067" s="13" t="s">
        <v>6357</v>
      </c>
      <c r="C2067" s="13" t="s">
        <v>15645</v>
      </c>
      <c r="D2067" s="13">
        <v>1</v>
      </c>
      <c r="E2067" s="192" t="s">
        <v>15646</v>
      </c>
      <c r="F2067" s="7" t="s">
        <v>11535</v>
      </c>
    </row>
    <row r="2068" ht="18" customHeight="1" spans="1:6">
      <c r="A2068" s="13" t="s">
        <v>6225</v>
      </c>
      <c r="B2068" s="13" t="s">
        <v>6357</v>
      </c>
      <c r="C2068" s="13" t="s">
        <v>15647</v>
      </c>
      <c r="D2068" s="13">
        <v>1</v>
      </c>
      <c r="E2068" s="192" t="s">
        <v>15648</v>
      </c>
      <c r="F2068" s="7" t="s">
        <v>11535</v>
      </c>
    </row>
    <row r="2069" ht="18" customHeight="1" spans="1:6">
      <c r="A2069" s="13" t="s">
        <v>6225</v>
      </c>
      <c r="B2069" s="13" t="s">
        <v>6357</v>
      </c>
      <c r="C2069" s="13" t="s">
        <v>15649</v>
      </c>
      <c r="D2069" s="13">
        <v>1</v>
      </c>
      <c r="E2069" s="192" t="s">
        <v>15650</v>
      </c>
      <c r="F2069" s="7" t="s">
        <v>11535</v>
      </c>
    </row>
    <row r="2070" ht="18" customHeight="1" spans="1:6">
      <c r="A2070" s="13" t="s">
        <v>6225</v>
      </c>
      <c r="B2070" s="13" t="s">
        <v>6657</v>
      </c>
      <c r="C2070" s="13" t="s">
        <v>15651</v>
      </c>
      <c r="D2070" s="13">
        <v>1</v>
      </c>
      <c r="E2070" s="192" t="s">
        <v>15652</v>
      </c>
      <c r="F2070" s="7" t="s">
        <v>11535</v>
      </c>
    </row>
    <row r="2071" ht="18" customHeight="1" spans="1:6">
      <c r="A2071" s="13" t="s">
        <v>6225</v>
      </c>
      <c r="B2071" s="13" t="s">
        <v>6657</v>
      </c>
      <c r="C2071" s="13" t="s">
        <v>15653</v>
      </c>
      <c r="D2071" s="13">
        <v>1</v>
      </c>
      <c r="E2071" s="192" t="s">
        <v>15654</v>
      </c>
      <c r="F2071" s="7" t="s">
        <v>11535</v>
      </c>
    </row>
    <row r="2072" ht="18" customHeight="1" spans="1:6">
      <c r="A2072" s="13" t="s">
        <v>6225</v>
      </c>
      <c r="B2072" s="13" t="s">
        <v>7368</v>
      </c>
      <c r="C2072" s="13" t="s">
        <v>15655</v>
      </c>
      <c r="D2072" s="13">
        <v>3</v>
      </c>
      <c r="E2072" s="192" t="s">
        <v>15656</v>
      </c>
      <c r="F2072" s="7" t="s">
        <v>11535</v>
      </c>
    </row>
    <row r="2073" ht="18" customHeight="1" spans="1:6">
      <c r="A2073" s="13" t="s">
        <v>6225</v>
      </c>
      <c r="B2073" s="13" t="s">
        <v>7368</v>
      </c>
      <c r="C2073" s="13" t="s">
        <v>15657</v>
      </c>
      <c r="D2073" s="13">
        <v>4</v>
      </c>
      <c r="E2073" s="192" t="s">
        <v>15658</v>
      </c>
      <c r="F2073" s="7" t="s">
        <v>11535</v>
      </c>
    </row>
    <row r="2074" ht="18" customHeight="1" spans="1:6">
      <c r="A2074" s="13" t="s">
        <v>6225</v>
      </c>
      <c r="B2074" s="13" t="s">
        <v>7368</v>
      </c>
      <c r="C2074" s="13" t="s">
        <v>15607</v>
      </c>
      <c r="D2074" s="13">
        <v>2</v>
      </c>
      <c r="E2074" s="192" t="s">
        <v>15608</v>
      </c>
      <c r="F2074" s="7" t="s">
        <v>11535</v>
      </c>
    </row>
    <row r="2075" ht="18" customHeight="1" spans="1:6">
      <c r="A2075" s="13" t="s">
        <v>6225</v>
      </c>
      <c r="B2075" s="13" t="s">
        <v>7106</v>
      </c>
      <c r="C2075" s="13" t="s">
        <v>15659</v>
      </c>
      <c r="D2075" s="13">
        <v>4</v>
      </c>
      <c r="E2075" s="192" t="s">
        <v>15660</v>
      </c>
      <c r="F2075" s="7" t="s">
        <v>11535</v>
      </c>
    </row>
    <row r="2076" ht="18" customHeight="1" spans="1:6">
      <c r="A2076" s="13" t="s">
        <v>6225</v>
      </c>
      <c r="B2076" s="13" t="s">
        <v>7106</v>
      </c>
      <c r="C2076" s="13" t="s">
        <v>15661</v>
      </c>
      <c r="D2076" s="13">
        <v>1</v>
      </c>
      <c r="E2076" s="192" t="s">
        <v>15662</v>
      </c>
      <c r="F2076" s="7" t="s">
        <v>11535</v>
      </c>
    </row>
    <row r="2077" ht="18" customHeight="1" spans="1:6">
      <c r="A2077" s="13" t="s">
        <v>6225</v>
      </c>
      <c r="B2077" s="13" t="s">
        <v>7106</v>
      </c>
      <c r="C2077" s="13" t="s">
        <v>15663</v>
      </c>
      <c r="D2077" s="13">
        <v>3</v>
      </c>
      <c r="E2077" s="192" t="s">
        <v>15664</v>
      </c>
      <c r="F2077" s="7" t="s">
        <v>11535</v>
      </c>
    </row>
    <row r="2078" ht="18" customHeight="1" spans="1:6">
      <c r="A2078" s="13" t="s">
        <v>6225</v>
      </c>
      <c r="B2078" s="13" t="s">
        <v>7106</v>
      </c>
      <c r="C2078" s="13" t="s">
        <v>15665</v>
      </c>
      <c r="D2078" s="13">
        <v>3</v>
      </c>
      <c r="E2078" s="192" t="s">
        <v>15666</v>
      </c>
      <c r="F2078" s="7" t="s">
        <v>11535</v>
      </c>
    </row>
    <row r="2079" ht="18" customHeight="1" spans="1:6">
      <c r="A2079" s="13" t="s">
        <v>6225</v>
      </c>
      <c r="B2079" s="13" t="s">
        <v>7106</v>
      </c>
      <c r="C2079" s="13" t="s">
        <v>15667</v>
      </c>
      <c r="D2079" s="13">
        <v>3</v>
      </c>
      <c r="E2079" s="192" t="s">
        <v>15668</v>
      </c>
      <c r="F2079" s="7" t="s">
        <v>11535</v>
      </c>
    </row>
    <row r="2080" ht="18" customHeight="1" spans="1:6">
      <c r="A2080" s="13" t="s">
        <v>6225</v>
      </c>
      <c r="B2080" s="13" t="s">
        <v>7106</v>
      </c>
      <c r="C2080" s="13" t="s">
        <v>767</v>
      </c>
      <c r="D2080" s="13">
        <v>4</v>
      </c>
      <c r="E2080" s="192" t="s">
        <v>15669</v>
      </c>
      <c r="F2080" s="7" t="s">
        <v>11535</v>
      </c>
    </row>
    <row r="2081" ht="18" customHeight="1" spans="1:6">
      <c r="A2081" s="13" t="s">
        <v>6225</v>
      </c>
      <c r="B2081" s="13" t="s">
        <v>7106</v>
      </c>
      <c r="C2081" s="13" t="s">
        <v>15670</v>
      </c>
      <c r="D2081" s="13">
        <v>2</v>
      </c>
      <c r="E2081" s="192" t="s">
        <v>15671</v>
      </c>
      <c r="F2081" s="7" t="s">
        <v>11535</v>
      </c>
    </row>
    <row r="2082" ht="18" customHeight="1" spans="1:6">
      <c r="A2082" s="13" t="s">
        <v>6225</v>
      </c>
      <c r="B2082" s="13" t="s">
        <v>7106</v>
      </c>
      <c r="C2082" s="13" t="s">
        <v>15672</v>
      </c>
      <c r="D2082" s="13">
        <v>3</v>
      </c>
      <c r="E2082" s="192" t="s">
        <v>15673</v>
      </c>
      <c r="F2082" s="7" t="s">
        <v>11535</v>
      </c>
    </row>
    <row r="2083" ht="18" customHeight="1" spans="1:6">
      <c r="A2083" s="13" t="s">
        <v>6225</v>
      </c>
      <c r="B2083" s="13" t="s">
        <v>7106</v>
      </c>
      <c r="C2083" s="13" t="s">
        <v>15674</v>
      </c>
      <c r="D2083" s="13">
        <v>2</v>
      </c>
      <c r="E2083" s="192" t="s">
        <v>15675</v>
      </c>
      <c r="F2083" s="7" t="s">
        <v>11535</v>
      </c>
    </row>
    <row r="2084" ht="18" customHeight="1" spans="1:6">
      <c r="A2084" s="13" t="s">
        <v>6225</v>
      </c>
      <c r="B2084" s="13" t="s">
        <v>7106</v>
      </c>
      <c r="C2084" s="13" t="s">
        <v>15676</v>
      </c>
      <c r="D2084" s="13">
        <v>4</v>
      </c>
      <c r="E2084" s="192" t="s">
        <v>15677</v>
      </c>
      <c r="F2084" s="7" t="s">
        <v>11535</v>
      </c>
    </row>
    <row r="2085" ht="18" customHeight="1" spans="1:6">
      <c r="A2085" s="13" t="s">
        <v>6225</v>
      </c>
      <c r="B2085" s="13" t="s">
        <v>6404</v>
      </c>
      <c r="C2085" s="13" t="s">
        <v>15678</v>
      </c>
      <c r="D2085" s="13">
        <v>2</v>
      </c>
      <c r="E2085" s="192" t="s">
        <v>15679</v>
      </c>
      <c r="F2085" s="7" t="s">
        <v>11535</v>
      </c>
    </row>
    <row r="2086" ht="18" customHeight="1" spans="1:6">
      <c r="A2086" s="13" t="s">
        <v>6225</v>
      </c>
      <c r="B2086" s="13" t="s">
        <v>6404</v>
      </c>
      <c r="C2086" s="13" t="s">
        <v>15680</v>
      </c>
      <c r="D2086" s="13">
        <v>2</v>
      </c>
      <c r="E2086" s="192" t="s">
        <v>15681</v>
      </c>
      <c r="F2086" s="7" t="s">
        <v>11535</v>
      </c>
    </row>
    <row r="2087" ht="18" customHeight="1" spans="1:6">
      <c r="A2087" s="13" t="s">
        <v>6225</v>
      </c>
      <c r="B2087" s="13" t="s">
        <v>6404</v>
      </c>
      <c r="C2087" s="13" t="s">
        <v>15682</v>
      </c>
      <c r="D2087" s="13">
        <v>4</v>
      </c>
      <c r="E2087" s="192" t="s">
        <v>15683</v>
      </c>
      <c r="F2087" s="7" t="s">
        <v>11535</v>
      </c>
    </row>
    <row r="2088" ht="18" customHeight="1" spans="1:6">
      <c r="A2088" s="13" t="s">
        <v>6225</v>
      </c>
      <c r="B2088" s="13" t="s">
        <v>6404</v>
      </c>
      <c r="C2088" s="13" t="s">
        <v>15684</v>
      </c>
      <c r="D2088" s="13">
        <v>3</v>
      </c>
      <c r="E2088" s="192" t="s">
        <v>15685</v>
      </c>
      <c r="F2088" s="7" t="s">
        <v>11535</v>
      </c>
    </row>
    <row r="2089" ht="18" customHeight="1" spans="1:6">
      <c r="A2089" s="13" t="s">
        <v>6225</v>
      </c>
      <c r="B2089" s="13" t="s">
        <v>6404</v>
      </c>
      <c r="C2089" s="13" t="s">
        <v>15686</v>
      </c>
      <c r="D2089" s="13">
        <v>3</v>
      </c>
      <c r="E2089" s="192" t="s">
        <v>15687</v>
      </c>
      <c r="F2089" s="7" t="s">
        <v>11535</v>
      </c>
    </row>
    <row r="2090" ht="18" customHeight="1" spans="1:6">
      <c r="A2090" s="13" t="s">
        <v>6225</v>
      </c>
      <c r="B2090" s="13" t="s">
        <v>6404</v>
      </c>
      <c r="C2090" s="13" t="s">
        <v>15688</v>
      </c>
      <c r="D2090" s="13">
        <v>2</v>
      </c>
      <c r="E2090" s="192" t="s">
        <v>15689</v>
      </c>
      <c r="F2090" s="7" t="s">
        <v>11535</v>
      </c>
    </row>
    <row r="2091" ht="18" customHeight="1" spans="1:6">
      <c r="A2091" s="13" t="s">
        <v>6225</v>
      </c>
      <c r="B2091" s="13" t="s">
        <v>6404</v>
      </c>
      <c r="C2091" s="13" t="s">
        <v>15690</v>
      </c>
      <c r="D2091" s="13">
        <v>3</v>
      </c>
      <c r="E2091" s="192" t="s">
        <v>15691</v>
      </c>
      <c r="F2091" s="7" t="s">
        <v>11535</v>
      </c>
    </row>
    <row r="2092" ht="18" customHeight="1" spans="1:6">
      <c r="A2092" s="13" t="s">
        <v>6225</v>
      </c>
      <c r="B2092" s="13" t="s">
        <v>6404</v>
      </c>
      <c r="C2092" s="13" t="s">
        <v>15692</v>
      </c>
      <c r="D2092" s="13">
        <v>3</v>
      </c>
      <c r="E2092" s="192" t="s">
        <v>15693</v>
      </c>
      <c r="F2092" s="7" t="s">
        <v>11535</v>
      </c>
    </row>
    <row r="2093" ht="18" customHeight="1" spans="1:6">
      <c r="A2093" s="13" t="s">
        <v>6225</v>
      </c>
      <c r="B2093" s="13" t="s">
        <v>6404</v>
      </c>
      <c r="C2093" s="13" t="s">
        <v>15694</v>
      </c>
      <c r="D2093" s="13">
        <v>3</v>
      </c>
      <c r="E2093" s="192" t="s">
        <v>15695</v>
      </c>
      <c r="F2093" s="7" t="s">
        <v>11535</v>
      </c>
    </row>
    <row r="2094" ht="18" customHeight="1" spans="1:6">
      <c r="A2094" s="13" t="s">
        <v>6225</v>
      </c>
      <c r="B2094" s="13" t="s">
        <v>6692</v>
      </c>
      <c r="C2094" s="13" t="s">
        <v>15696</v>
      </c>
      <c r="D2094" s="13">
        <v>3</v>
      </c>
      <c r="E2094" s="192" t="s">
        <v>15697</v>
      </c>
      <c r="F2094" s="7" t="s">
        <v>11535</v>
      </c>
    </row>
    <row r="2095" ht="18" customHeight="1" spans="1:6">
      <c r="A2095" s="13" t="s">
        <v>6225</v>
      </c>
      <c r="B2095" s="13" t="s">
        <v>6692</v>
      </c>
      <c r="C2095" s="13" t="s">
        <v>15698</v>
      </c>
      <c r="D2095" s="13">
        <v>6</v>
      </c>
      <c r="E2095" s="192" t="s">
        <v>15699</v>
      </c>
      <c r="F2095" s="7" t="s">
        <v>11535</v>
      </c>
    </row>
    <row r="2096" ht="18" customHeight="1" spans="1:6">
      <c r="A2096" s="13" t="s">
        <v>6225</v>
      </c>
      <c r="B2096" s="13" t="s">
        <v>7429</v>
      </c>
      <c r="C2096" s="13" t="s">
        <v>15700</v>
      </c>
      <c r="D2096" s="13">
        <v>3</v>
      </c>
      <c r="E2096" s="192" t="s">
        <v>15701</v>
      </c>
      <c r="F2096" s="7" t="s">
        <v>11535</v>
      </c>
    </row>
    <row r="2097" ht="18" customHeight="1" spans="1:6">
      <c r="A2097" s="13" t="s">
        <v>6225</v>
      </c>
      <c r="B2097" s="13" t="s">
        <v>7429</v>
      </c>
      <c r="C2097" s="13" t="s">
        <v>15702</v>
      </c>
      <c r="D2097" s="13">
        <v>2</v>
      </c>
      <c r="E2097" s="192" t="s">
        <v>15703</v>
      </c>
      <c r="F2097" s="7" t="s">
        <v>11535</v>
      </c>
    </row>
    <row r="2098" ht="18" customHeight="1" spans="1:6">
      <c r="A2098" s="13" t="s">
        <v>6225</v>
      </c>
      <c r="B2098" s="13" t="s">
        <v>7429</v>
      </c>
      <c r="C2098" s="13" t="s">
        <v>15704</v>
      </c>
      <c r="D2098" s="13">
        <v>2</v>
      </c>
      <c r="E2098" s="192" t="s">
        <v>15705</v>
      </c>
      <c r="F2098" s="7" t="s">
        <v>11535</v>
      </c>
    </row>
    <row r="2099" ht="18" customHeight="1" spans="1:6">
      <c r="A2099" s="13" t="s">
        <v>6225</v>
      </c>
      <c r="B2099" s="13" t="s">
        <v>7429</v>
      </c>
      <c r="C2099" s="13" t="s">
        <v>15706</v>
      </c>
      <c r="D2099" s="13">
        <v>5</v>
      </c>
      <c r="E2099" s="14" t="s">
        <v>15707</v>
      </c>
      <c r="F2099" s="7" t="s">
        <v>11535</v>
      </c>
    </row>
    <row r="2100" ht="18" customHeight="1" spans="1:6">
      <c r="A2100" s="13" t="s">
        <v>6225</v>
      </c>
      <c r="B2100" s="13" t="s">
        <v>15460</v>
      </c>
      <c r="C2100" s="13" t="s">
        <v>15708</v>
      </c>
      <c r="D2100" s="13">
        <v>1</v>
      </c>
      <c r="E2100" s="14" t="s">
        <v>15709</v>
      </c>
      <c r="F2100" s="7" t="s">
        <v>11535</v>
      </c>
    </row>
    <row r="2101" ht="18" customHeight="1" spans="1:6">
      <c r="A2101" s="13" t="s">
        <v>6225</v>
      </c>
      <c r="B2101" s="13" t="s">
        <v>2402</v>
      </c>
      <c r="C2101" s="13" t="s">
        <v>15710</v>
      </c>
      <c r="D2101" s="13">
        <v>6</v>
      </c>
      <c r="E2101" s="14" t="s">
        <v>15711</v>
      </c>
      <c r="F2101" s="7" t="s">
        <v>11535</v>
      </c>
    </row>
    <row r="2102" ht="18" customHeight="1" spans="1:6">
      <c r="A2102" s="13" t="s">
        <v>6225</v>
      </c>
      <c r="B2102" s="13" t="s">
        <v>6786</v>
      </c>
      <c r="C2102" s="13" t="s">
        <v>15712</v>
      </c>
      <c r="D2102" s="13">
        <v>2</v>
      </c>
      <c r="E2102" s="14" t="s">
        <v>15713</v>
      </c>
      <c r="F2102" s="7" t="s">
        <v>11535</v>
      </c>
    </row>
    <row r="2103" ht="18" customHeight="1" spans="1:6">
      <c r="A2103" s="13" t="s">
        <v>6225</v>
      </c>
      <c r="B2103" s="13" t="s">
        <v>6786</v>
      </c>
      <c r="C2103" s="13" t="s">
        <v>15714</v>
      </c>
      <c r="D2103" s="13">
        <v>1</v>
      </c>
      <c r="E2103" s="14" t="s">
        <v>15715</v>
      </c>
      <c r="F2103" s="7" t="s">
        <v>11535</v>
      </c>
    </row>
    <row r="2104" ht="18" customHeight="1" spans="1:6">
      <c r="A2104" s="13" t="s">
        <v>6225</v>
      </c>
      <c r="B2104" s="13" t="s">
        <v>6786</v>
      </c>
      <c r="C2104" s="13" t="s">
        <v>15716</v>
      </c>
      <c r="D2104" s="13">
        <v>1</v>
      </c>
      <c r="E2104" s="14" t="s">
        <v>15717</v>
      </c>
      <c r="F2104" s="7" t="s">
        <v>11535</v>
      </c>
    </row>
    <row r="2105" ht="18" customHeight="1" spans="1:6">
      <c r="A2105" s="13" t="s">
        <v>6225</v>
      </c>
      <c r="B2105" s="13" t="s">
        <v>6786</v>
      </c>
      <c r="C2105" s="13" t="s">
        <v>15718</v>
      </c>
      <c r="D2105" s="13">
        <v>5</v>
      </c>
      <c r="E2105" s="14" t="s">
        <v>15719</v>
      </c>
      <c r="F2105" s="7" t="s">
        <v>11535</v>
      </c>
    </row>
    <row r="2106" ht="18" customHeight="1" spans="1:6">
      <c r="A2106" s="13" t="s">
        <v>6225</v>
      </c>
      <c r="B2106" s="13" t="s">
        <v>6786</v>
      </c>
      <c r="C2106" s="13" t="s">
        <v>15720</v>
      </c>
      <c r="D2106" s="13">
        <v>5</v>
      </c>
      <c r="E2106" s="14" t="s">
        <v>15721</v>
      </c>
      <c r="F2106" s="7" t="s">
        <v>11535</v>
      </c>
    </row>
    <row r="2107" ht="18" customHeight="1" spans="1:6">
      <c r="A2107" s="13" t="s">
        <v>6225</v>
      </c>
      <c r="B2107" s="13" t="s">
        <v>6786</v>
      </c>
      <c r="C2107" s="13" t="s">
        <v>15722</v>
      </c>
      <c r="D2107" s="13">
        <v>1</v>
      </c>
      <c r="E2107" s="14" t="s">
        <v>15723</v>
      </c>
      <c r="F2107" s="7" t="s">
        <v>11535</v>
      </c>
    </row>
    <row r="2108" ht="18" customHeight="1" spans="1:6">
      <c r="A2108" s="13" t="s">
        <v>6225</v>
      </c>
      <c r="B2108" s="13" t="s">
        <v>6786</v>
      </c>
      <c r="C2108" s="13" t="s">
        <v>15724</v>
      </c>
      <c r="D2108" s="13">
        <v>5</v>
      </c>
      <c r="E2108" s="14" t="s">
        <v>15725</v>
      </c>
      <c r="F2108" s="7" t="s">
        <v>11535</v>
      </c>
    </row>
    <row r="2109" ht="18" customHeight="1" spans="1:6">
      <c r="A2109" s="13" t="s">
        <v>6225</v>
      </c>
      <c r="B2109" s="13" t="s">
        <v>6786</v>
      </c>
      <c r="C2109" s="13" t="s">
        <v>15726</v>
      </c>
      <c r="D2109" s="13">
        <v>4</v>
      </c>
      <c r="E2109" s="14" t="s">
        <v>15727</v>
      </c>
      <c r="F2109" s="7" t="s">
        <v>11535</v>
      </c>
    </row>
    <row r="2110" ht="18" customHeight="1" spans="1:6">
      <c r="A2110" s="13" t="s">
        <v>6225</v>
      </c>
      <c r="B2110" s="13" t="s">
        <v>15287</v>
      </c>
      <c r="C2110" s="13" t="s">
        <v>15728</v>
      </c>
      <c r="D2110" s="13">
        <v>4</v>
      </c>
      <c r="E2110" s="14" t="s">
        <v>15729</v>
      </c>
      <c r="F2110" s="7" t="s">
        <v>11535</v>
      </c>
    </row>
    <row r="2111" ht="18" customHeight="1" spans="1:6">
      <c r="A2111" s="13" t="s">
        <v>6225</v>
      </c>
      <c r="B2111" s="13" t="s">
        <v>15395</v>
      </c>
      <c r="C2111" s="13" t="s">
        <v>15730</v>
      </c>
      <c r="D2111" s="13">
        <v>5</v>
      </c>
      <c r="E2111" s="14" t="s">
        <v>15731</v>
      </c>
      <c r="F2111" s="7" t="s">
        <v>11535</v>
      </c>
    </row>
    <row r="2112" ht="18" customHeight="1" spans="1:6">
      <c r="A2112" s="13" t="s">
        <v>6225</v>
      </c>
      <c r="B2112" s="13" t="s">
        <v>15395</v>
      </c>
      <c r="C2112" s="13" t="s">
        <v>15732</v>
      </c>
      <c r="D2112" s="13">
        <v>4</v>
      </c>
      <c r="E2112" s="14" t="s">
        <v>15733</v>
      </c>
      <c r="F2112" s="7" t="s">
        <v>11535</v>
      </c>
    </row>
    <row r="2113" ht="18" customHeight="1" spans="1:6">
      <c r="A2113" s="13" t="s">
        <v>6225</v>
      </c>
      <c r="B2113" s="13" t="s">
        <v>7429</v>
      </c>
      <c r="C2113" s="14" t="s">
        <v>15734</v>
      </c>
      <c r="D2113" s="14">
        <v>4</v>
      </c>
      <c r="E2113" s="14" t="s">
        <v>15735</v>
      </c>
      <c r="F2113" s="7" t="s">
        <v>11535</v>
      </c>
    </row>
    <row r="2114" ht="18" customHeight="1" spans="1:6">
      <c r="A2114" s="13" t="s">
        <v>6225</v>
      </c>
      <c r="B2114" s="13" t="s">
        <v>6226</v>
      </c>
      <c r="C2114" s="13" t="s">
        <v>15736</v>
      </c>
      <c r="D2114" s="13">
        <v>1</v>
      </c>
      <c r="E2114" s="14" t="s">
        <v>15737</v>
      </c>
      <c r="F2114" s="7" t="s">
        <v>11535</v>
      </c>
    </row>
    <row r="2115" ht="18" customHeight="1" spans="1:6">
      <c r="A2115" s="13" t="s">
        <v>6225</v>
      </c>
      <c r="B2115" s="13" t="s">
        <v>6226</v>
      </c>
      <c r="C2115" s="13" t="s">
        <v>15738</v>
      </c>
      <c r="D2115" s="13">
        <v>1</v>
      </c>
      <c r="E2115" s="14" t="s">
        <v>15739</v>
      </c>
      <c r="F2115" s="7" t="s">
        <v>11535</v>
      </c>
    </row>
    <row r="2116" ht="18" customHeight="1" spans="1:6">
      <c r="A2116" s="13" t="s">
        <v>6225</v>
      </c>
      <c r="B2116" s="13" t="s">
        <v>6255</v>
      </c>
      <c r="C2116" s="13" t="s">
        <v>15740</v>
      </c>
      <c r="D2116" s="13">
        <v>1</v>
      </c>
      <c r="E2116" s="14" t="s">
        <v>15741</v>
      </c>
      <c r="F2116" s="7" t="s">
        <v>11535</v>
      </c>
    </row>
    <row r="2117" ht="18" customHeight="1" spans="1:6">
      <c r="A2117" s="13" t="s">
        <v>6225</v>
      </c>
      <c r="B2117" s="13" t="s">
        <v>6255</v>
      </c>
      <c r="C2117" s="13" t="s">
        <v>15742</v>
      </c>
      <c r="D2117" s="13">
        <v>1</v>
      </c>
      <c r="E2117" s="14" t="s">
        <v>15743</v>
      </c>
      <c r="F2117" s="7" t="s">
        <v>11535</v>
      </c>
    </row>
    <row r="2118" ht="18" customHeight="1" spans="1:6">
      <c r="A2118" s="13" t="s">
        <v>6225</v>
      </c>
      <c r="B2118" s="13" t="s">
        <v>6255</v>
      </c>
      <c r="C2118" s="13" t="s">
        <v>15744</v>
      </c>
      <c r="D2118" s="13">
        <v>1</v>
      </c>
      <c r="E2118" s="14" t="s">
        <v>15745</v>
      </c>
      <c r="F2118" s="7" t="s">
        <v>11535</v>
      </c>
    </row>
    <row r="2119" ht="18" customHeight="1" spans="1:6">
      <c r="A2119" s="13" t="s">
        <v>6225</v>
      </c>
      <c r="B2119" s="13" t="s">
        <v>6255</v>
      </c>
      <c r="C2119" s="13" t="s">
        <v>15746</v>
      </c>
      <c r="D2119" s="13">
        <v>1</v>
      </c>
      <c r="E2119" s="14" t="s">
        <v>15747</v>
      </c>
      <c r="F2119" s="7" t="s">
        <v>11535</v>
      </c>
    </row>
    <row r="2120" ht="18" customHeight="1" spans="1:6">
      <c r="A2120" s="13" t="s">
        <v>6225</v>
      </c>
      <c r="B2120" s="13" t="s">
        <v>6255</v>
      </c>
      <c r="C2120" s="13" t="s">
        <v>15748</v>
      </c>
      <c r="D2120" s="13">
        <v>1</v>
      </c>
      <c r="E2120" s="14" t="s">
        <v>15749</v>
      </c>
      <c r="F2120" s="7" t="s">
        <v>11535</v>
      </c>
    </row>
    <row r="2121" ht="18" customHeight="1" spans="1:6">
      <c r="A2121" s="13" t="s">
        <v>6225</v>
      </c>
      <c r="B2121" s="13" t="s">
        <v>6255</v>
      </c>
      <c r="C2121" s="13" t="s">
        <v>15750</v>
      </c>
      <c r="D2121" s="13">
        <v>4</v>
      </c>
      <c r="E2121" s="14" t="s">
        <v>15751</v>
      </c>
      <c r="F2121" s="7" t="s">
        <v>11535</v>
      </c>
    </row>
    <row r="2122" ht="18" customHeight="1" spans="1:6">
      <c r="A2122" s="13" t="s">
        <v>6225</v>
      </c>
      <c r="B2122" s="13" t="s">
        <v>6255</v>
      </c>
      <c r="C2122" s="13" t="s">
        <v>15752</v>
      </c>
      <c r="D2122" s="13">
        <v>1</v>
      </c>
      <c r="E2122" s="14" t="s">
        <v>15753</v>
      </c>
      <c r="F2122" s="7" t="s">
        <v>11535</v>
      </c>
    </row>
    <row r="2123" ht="18" customHeight="1" spans="1:6">
      <c r="A2123" s="13" t="s">
        <v>6225</v>
      </c>
      <c r="B2123" s="13" t="s">
        <v>6255</v>
      </c>
      <c r="C2123" s="13" t="s">
        <v>15754</v>
      </c>
      <c r="D2123" s="13">
        <v>2</v>
      </c>
      <c r="E2123" s="14" t="s">
        <v>15755</v>
      </c>
      <c r="F2123" s="7" t="s">
        <v>11535</v>
      </c>
    </row>
    <row r="2124" ht="18" customHeight="1" spans="1:6">
      <c r="A2124" s="13" t="s">
        <v>6225</v>
      </c>
      <c r="B2124" s="13" t="s">
        <v>6255</v>
      </c>
      <c r="C2124" s="13" t="s">
        <v>15756</v>
      </c>
      <c r="D2124" s="13">
        <v>1</v>
      </c>
      <c r="E2124" s="14" t="s">
        <v>15757</v>
      </c>
      <c r="F2124" s="7" t="s">
        <v>11535</v>
      </c>
    </row>
    <row r="2125" ht="18" customHeight="1" spans="1:6">
      <c r="A2125" s="13" t="s">
        <v>6225</v>
      </c>
      <c r="B2125" s="13" t="s">
        <v>6255</v>
      </c>
      <c r="C2125" s="13" t="s">
        <v>15758</v>
      </c>
      <c r="D2125" s="13">
        <v>3</v>
      </c>
      <c r="E2125" s="14" t="s">
        <v>15759</v>
      </c>
      <c r="F2125" s="7" t="s">
        <v>11535</v>
      </c>
    </row>
    <row r="2126" ht="18" customHeight="1" spans="1:6">
      <c r="A2126" s="13" t="s">
        <v>6225</v>
      </c>
      <c r="B2126" s="13" t="s">
        <v>6255</v>
      </c>
      <c r="C2126" s="13" t="s">
        <v>15760</v>
      </c>
      <c r="D2126" s="13">
        <v>1</v>
      </c>
      <c r="E2126" s="14" t="s">
        <v>15761</v>
      </c>
      <c r="F2126" s="7" t="s">
        <v>11535</v>
      </c>
    </row>
    <row r="2127" ht="18" customHeight="1" spans="1:6">
      <c r="A2127" s="13" t="s">
        <v>6225</v>
      </c>
      <c r="B2127" s="13" t="s">
        <v>6255</v>
      </c>
      <c r="C2127" s="13" t="s">
        <v>15762</v>
      </c>
      <c r="D2127" s="13">
        <v>2</v>
      </c>
      <c r="E2127" s="14" t="s">
        <v>15763</v>
      </c>
      <c r="F2127" s="7" t="s">
        <v>11535</v>
      </c>
    </row>
    <row r="2128" ht="18" customHeight="1" spans="1:6">
      <c r="A2128" s="13" t="s">
        <v>6225</v>
      </c>
      <c r="B2128" s="13" t="s">
        <v>6255</v>
      </c>
      <c r="C2128" s="13" t="s">
        <v>15764</v>
      </c>
      <c r="D2128" s="13">
        <v>1</v>
      </c>
      <c r="E2128" s="14" t="s">
        <v>15765</v>
      </c>
      <c r="F2128" s="7" t="s">
        <v>11535</v>
      </c>
    </row>
    <row r="2129" ht="18" customHeight="1" spans="1:6">
      <c r="A2129" s="13" t="s">
        <v>6225</v>
      </c>
      <c r="B2129" s="13" t="s">
        <v>6255</v>
      </c>
      <c r="C2129" s="13" t="s">
        <v>15766</v>
      </c>
      <c r="D2129" s="13">
        <v>5</v>
      </c>
      <c r="E2129" s="14" t="s">
        <v>15767</v>
      </c>
      <c r="F2129" s="7" t="s">
        <v>11535</v>
      </c>
    </row>
    <row r="2130" ht="18" customHeight="1" spans="1:6">
      <c r="A2130" s="13" t="s">
        <v>6225</v>
      </c>
      <c r="B2130" s="13" t="s">
        <v>6255</v>
      </c>
      <c r="C2130" s="13" t="s">
        <v>15768</v>
      </c>
      <c r="D2130" s="13">
        <v>1</v>
      </c>
      <c r="E2130" s="14" t="s">
        <v>15769</v>
      </c>
      <c r="F2130" s="7" t="s">
        <v>11535</v>
      </c>
    </row>
    <row r="2131" ht="18" customHeight="1" spans="1:6">
      <c r="A2131" s="13" t="s">
        <v>6225</v>
      </c>
      <c r="B2131" s="13" t="s">
        <v>7210</v>
      </c>
      <c r="C2131" s="13" t="s">
        <v>3379</v>
      </c>
      <c r="D2131" s="13">
        <v>1</v>
      </c>
      <c r="E2131" s="14" t="s">
        <v>15770</v>
      </c>
      <c r="F2131" s="7" t="s">
        <v>11535</v>
      </c>
    </row>
    <row r="2132" ht="18" customHeight="1" spans="1:6">
      <c r="A2132" s="13" t="s">
        <v>6225</v>
      </c>
      <c r="B2132" s="13" t="s">
        <v>7210</v>
      </c>
      <c r="C2132" s="13" t="s">
        <v>15771</v>
      </c>
      <c r="D2132" s="13">
        <v>1</v>
      </c>
      <c r="E2132" s="14" t="s">
        <v>15772</v>
      </c>
      <c r="F2132" s="7" t="s">
        <v>11535</v>
      </c>
    </row>
    <row r="2133" ht="18" customHeight="1" spans="1:6">
      <c r="A2133" s="13" t="s">
        <v>6225</v>
      </c>
      <c r="B2133" s="13" t="s">
        <v>7210</v>
      </c>
      <c r="C2133" s="13" t="s">
        <v>15773</v>
      </c>
      <c r="D2133" s="13">
        <v>1</v>
      </c>
      <c r="E2133" s="14" t="s">
        <v>15774</v>
      </c>
      <c r="F2133" s="7" t="s">
        <v>11535</v>
      </c>
    </row>
    <row r="2134" ht="18" customHeight="1" spans="1:6">
      <c r="A2134" s="13" t="s">
        <v>6225</v>
      </c>
      <c r="B2134" s="13" t="s">
        <v>7210</v>
      </c>
      <c r="C2134" s="13" t="s">
        <v>15775</v>
      </c>
      <c r="D2134" s="13">
        <v>4</v>
      </c>
      <c r="E2134" s="14" t="s">
        <v>15776</v>
      </c>
      <c r="F2134" s="7" t="s">
        <v>11535</v>
      </c>
    </row>
    <row r="2135" ht="18" customHeight="1" spans="1:6">
      <c r="A2135" s="13" t="s">
        <v>6225</v>
      </c>
      <c r="B2135" s="13" t="s">
        <v>7210</v>
      </c>
      <c r="C2135" s="13" t="s">
        <v>15777</v>
      </c>
      <c r="D2135" s="13">
        <v>1</v>
      </c>
      <c r="E2135" s="14" t="s">
        <v>15778</v>
      </c>
      <c r="F2135" s="7" t="s">
        <v>11535</v>
      </c>
    </row>
    <row r="2136" ht="18" customHeight="1" spans="1:6">
      <c r="A2136" s="13" t="s">
        <v>6225</v>
      </c>
      <c r="B2136" s="13" t="s">
        <v>7210</v>
      </c>
      <c r="C2136" s="13" t="s">
        <v>15779</v>
      </c>
      <c r="D2136" s="13">
        <v>3</v>
      </c>
      <c r="E2136" s="14" t="s">
        <v>15780</v>
      </c>
      <c r="F2136" s="7" t="s">
        <v>11535</v>
      </c>
    </row>
    <row r="2137" ht="18" customHeight="1" spans="1:6">
      <c r="A2137" s="13" t="s">
        <v>6225</v>
      </c>
      <c r="B2137" s="13" t="s">
        <v>7210</v>
      </c>
      <c r="C2137" s="13" t="s">
        <v>15781</v>
      </c>
      <c r="D2137" s="13">
        <v>1</v>
      </c>
      <c r="E2137" s="14" t="s">
        <v>15782</v>
      </c>
      <c r="F2137" s="7" t="s">
        <v>11535</v>
      </c>
    </row>
    <row r="2138" ht="18" customHeight="1" spans="1:6">
      <c r="A2138" s="13" t="s">
        <v>6225</v>
      </c>
      <c r="B2138" s="13" t="s">
        <v>7210</v>
      </c>
      <c r="C2138" s="13" t="s">
        <v>15783</v>
      </c>
      <c r="D2138" s="13">
        <v>1</v>
      </c>
      <c r="E2138" s="14" t="s">
        <v>15784</v>
      </c>
      <c r="F2138" s="7" t="s">
        <v>11535</v>
      </c>
    </row>
    <row r="2139" ht="18" customHeight="1" spans="1:6">
      <c r="A2139" s="13" t="s">
        <v>6225</v>
      </c>
      <c r="B2139" s="13" t="s">
        <v>7210</v>
      </c>
      <c r="C2139" s="13" t="s">
        <v>15785</v>
      </c>
      <c r="D2139" s="13">
        <v>5</v>
      </c>
      <c r="E2139" s="14" t="s">
        <v>15786</v>
      </c>
      <c r="F2139" s="7" t="s">
        <v>11535</v>
      </c>
    </row>
    <row r="2140" ht="18" customHeight="1" spans="1:6">
      <c r="A2140" s="13" t="s">
        <v>6225</v>
      </c>
      <c r="B2140" s="13" t="s">
        <v>7210</v>
      </c>
      <c r="C2140" s="13" t="s">
        <v>15787</v>
      </c>
      <c r="D2140" s="13">
        <v>1</v>
      </c>
      <c r="E2140" s="14" t="s">
        <v>15788</v>
      </c>
      <c r="F2140" s="7" t="s">
        <v>11535</v>
      </c>
    </row>
    <row r="2141" ht="18" customHeight="1" spans="1:6">
      <c r="A2141" s="13" t="s">
        <v>6225</v>
      </c>
      <c r="B2141" s="13" t="s">
        <v>7210</v>
      </c>
      <c r="C2141" s="13" t="s">
        <v>15789</v>
      </c>
      <c r="D2141" s="13">
        <v>4</v>
      </c>
      <c r="E2141" s="14" t="s">
        <v>15790</v>
      </c>
      <c r="F2141" s="7" t="s">
        <v>11535</v>
      </c>
    </row>
    <row r="2142" ht="18" customHeight="1" spans="1:6">
      <c r="A2142" s="13" t="s">
        <v>6225</v>
      </c>
      <c r="B2142" s="13" t="s">
        <v>7210</v>
      </c>
      <c r="C2142" s="13" t="s">
        <v>15791</v>
      </c>
      <c r="D2142" s="13">
        <v>1</v>
      </c>
      <c r="E2142" s="14" t="s">
        <v>15792</v>
      </c>
      <c r="F2142" s="7" t="s">
        <v>11535</v>
      </c>
    </row>
    <row r="2143" ht="18" customHeight="1" spans="1:6">
      <c r="A2143" s="13" t="s">
        <v>6225</v>
      </c>
      <c r="B2143" s="13" t="s">
        <v>6357</v>
      </c>
      <c r="C2143" s="13" t="s">
        <v>15793</v>
      </c>
      <c r="D2143" s="13">
        <v>1</v>
      </c>
      <c r="E2143" s="14" t="s">
        <v>15794</v>
      </c>
      <c r="F2143" s="7" t="s">
        <v>11535</v>
      </c>
    </row>
    <row r="2144" ht="18" customHeight="1" spans="1:6">
      <c r="A2144" s="13" t="s">
        <v>6225</v>
      </c>
      <c r="B2144" s="13" t="s">
        <v>6357</v>
      </c>
      <c r="C2144" s="13" t="s">
        <v>15795</v>
      </c>
      <c r="D2144" s="13">
        <v>1</v>
      </c>
      <c r="E2144" s="14" t="s">
        <v>15796</v>
      </c>
      <c r="F2144" s="7" t="s">
        <v>11535</v>
      </c>
    </row>
    <row r="2145" ht="18" customHeight="1" spans="1:6">
      <c r="A2145" s="13" t="s">
        <v>6225</v>
      </c>
      <c r="B2145" s="13" t="s">
        <v>6357</v>
      </c>
      <c r="C2145" s="13" t="s">
        <v>15797</v>
      </c>
      <c r="D2145" s="13">
        <v>2</v>
      </c>
      <c r="E2145" s="14" t="s">
        <v>15798</v>
      </c>
      <c r="F2145" s="7" t="s">
        <v>11535</v>
      </c>
    </row>
    <row r="2146" ht="18" customHeight="1" spans="1:6">
      <c r="A2146" s="13" t="s">
        <v>6225</v>
      </c>
      <c r="B2146" s="13" t="s">
        <v>6357</v>
      </c>
      <c r="C2146" s="13" t="s">
        <v>15799</v>
      </c>
      <c r="D2146" s="13">
        <v>3</v>
      </c>
      <c r="E2146" s="14" t="s">
        <v>15800</v>
      </c>
      <c r="F2146" s="7" t="s">
        <v>11535</v>
      </c>
    </row>
    <row r="2147" ht="18" customHeight="1" spans="1:6">
      <c r="A2147" s="13" t="s">
        <v>6225</v>
      </c>
      <c r="B2147" s="13" t="s">
        <v>6399</v>
      </c>
      <c r="C2147" s="13" t="s">
        <v>15801</v>
      </c>
      <c r="D2147" s="13">
        <v>2</v>
      </c>
      <c r="E2147" s="14" t="s">
        <v>15802</v>
      </c>
      <c r="F2147" s="7" t="s">
        <v>11535</v>
      </c>
    </row>
    <row r="2148" ht="18" customHeight="1" spans="1:6">
      <c r="A2148" s="13" t="s">
        <v>6225</v>
      </c>
      <c r="B2148" s="13" t="s">
        <v>6399</v>
      </c>
      <c r="C2148" s="13" t="s">
        <v>6849</v>
      </c>
      <c r="D2148" s="13">
        <v>2</v>
      </c>
      <c r="E2148" s="14" t="s">
        <v>15803</v>
      </c>
      <c r="F2148" s="7" t="s">
        <v>11535</v>
      </c>
    </row>
    <row r="2149" ht="18" customHeight="1" spans="1:6">
      <c r="A2149" s="13" t="s">
        <v>6225</v>
      </c>
      <c r="B2149" s="13" t="s">
        <v>6399</v>
      </c>
      <c r="C2149" s="13" t="s">
        <v>6776</v>
      </c>
      <c r="D2149" s="13">
        <v>3</v>
      </c>
      <c r="E2149" s="14" t="s">
        <v>15804</v>
      </c>
      <c r="F2149" s="7" t="s">
        <v>11535</v>
      </c>
    </row>
    <row r="2150" ht="18" customHeight="1" spans="1:6">
      <c r="A2150" s="13" t="s">
        <v>6225</v>
      </c>
      <c r="B2150" s="13" t="s">
        <v>6399</v>
      </c>
      <c r="C2150" s="13" t="s">
        <v>15805</v>
      </c>
      <c r="D2150" s="13">
        <v>1</v>
      </c>
      <c r="E2150" s="14" t="s">
        <v>15806</v>
      </c>
      <c r="F2150" s="7" t="s">
        <v>11535</v>
      </c>
    </row>
    <row r="2151" ht="18" customHeight="1" spans="1:6">
      <c r="A2151" s="13" t="s">
        <v>6225</v>
      </c>
      <c r="B2151" s="13" t="s">
        <v>6399</v>
      </c>
      <c r="C2151" s="13" t="s">
        <v>15807</v>
      </c>
      <c r="D2151" s="13">
        <v>1</v>
      </c>
      <c r="E2151" s="14" t="s">
        <v>15808</v>
      </c>
      <c r="F2151" s="7" t="s">
        <v>11535</v>
      </c>
    </row>
    <row r="2152" ht="18" customHeight="1" spans="1:6">
      <c r="A2152" s="13" t="s">
        <v>6225</v>
      </c>
      <c r="B2152" s="13" t="s">
        <v>6399</v>
      </c>
      <c r="C2152" s="13" t="s">
        <v>15809</v>
      </c>
      <c r="D2152" s="13">
        <v>7</v>
      </c>
      <c r="E2152" s="14" t="s">
        <v>15810</v>
      </c>
      <c r="F2152" s="7" t="s">
        <v>11535</v>
      </c>
    </row>
    <row r="2153" ht="18" customHeight="1" spans="1:6">
      <c r="A2153" s="13" t="s">
        <v>6225</v>
      </c>
      <c r="B2153" s="13" t="s">
        <v>6399</v>
      </c>
      <c r="C2153" s="13" t="s">
        <v>15531</v>
      </c>
      <c r="D2153" s="13">
        <v>1</v>
      </c>
      <c r="E2153" s="14" t="s">
        <v>15811</v>
      </c>
      <c r="F2153" s="7" t="s">
        <v>11535</v>
      </c>
    </row>
    <row r="2154" ht="18" customHeight="1" spans="1:6">
      <c r="A2154" s="13" t="s">
        <v>6225</v>
      </c>
      <c r="B2154" s="13" t="s">
        <v>6399</v>
      </c>
      <c r="C2154" s="13" t="s">
        <v>15812</v>
      </c>
      <c r="D2154" s="13">
        <v>1</v>
      </c>
      <c r="E2154" s="14" t="s">
        <v>15813</v>
      </c>
      <c r="F2154" s="7" t="s">
        <v>11535</v>
      </c>
    </row>
    <row r="2155" ht="18" customHeight="1" spans="1:6">
      <c r="A2155" s="13" t="s">
        <v>6225</v>
      </c>
      <c r="B2155" s="13" t="s">
        <v>6399</v>
      </c>
      <c r="C2155" s="13" t="s">
        <v>15814</v>
      </c>
      <c r="D2155" s="13">
        <v>2</v>
      </c>
      <c r="E2155" s="14" t="s">
        <v>15815</v>
      </c>
      <c r="F2155" s="7" t="s">
        <v>11535</v>
      </c>
    </row>
    <row r="2156" ht="18" customHeight="1" spans="1:6">
      <c r="A2156" s="13" t="s">
        <v>6225</v>
      </c>
      <c r="B2156" s="13" t="s">
        <v>6399</v>
      </c>
      <c r="C2156" s="13" t="s">
        <v>15816</v>
      </c>
      <c r="D2156" s="13">
        <v>2</v>
      </c>
      <c r="E2156" s="14" t="s">
        <v>15817</v>
      </c>
      <c r="F2156" s="7" t="s">
        <v>11535</v>
      </c>
    </row>
    <row r="2157" ht="18" customHeight="1" spans="1:6">
      <c r="A2157" s="13" t="s">
        <v>6225</v>
      </c>
      <c r="B2157" s="13" t="s">
        <v>6399</v>
      </c>
      <c r="C2157" s="13" t="s">
        <v>8300</v>
      </c>
      <c r="D2157" s="13">
        <v>5</v>
      </c>
      <c r="E2157" s="14" t="s">
        <v>15818</v>
      </c>
      <c r="F2157" s="7" t="s">
        <v>11535</v>
      </c>
    </row>
    <row r="2158" ht="18" customHeight="1" spans="1:6">
      <c r="A2158" s="13" t="s">
        <v>6225</v>
      </c>
      <c r="B2158" s="13" t="s">
        <v>6399</v>
      </c>
      <c r="C2158" s="13" t="s">
        <v>15819</v>
      </c>
      <c r="D2158" s="13">
        <v>1</v>
      </c>
      <c r="E2158" s="14" t="s">
        <v>15820</v>
      </c>
      <c r="F2158" s="7" t="s">
        <v>11535</v>
      </c>
    </row>
    <row r="2159" ht="18" customHeight="1" spans="1:6">
      <c r="A2159" s="13" t="s">
        <v>6225</v>
      </c>
      <c r="B2159" s="13" t="s">
        <v>6399</v>
      </c>
      <c r="C2159" s="13" t="s">
        <v>15533</v>
      </c>
      <c r="D2159" s="13">
        <v>5</v>
      </c>
      <c r="E2159" s="14" t="s">
        <v>15821</v>
      </c>
      <c r="F2159" s="7" t="s">
        <v>11535</v>
      </c>
    </row>
    <row r="2160" ht="18" customHeight="1" spans="1:6">
      <c r="A2160" s="13" t="s">
        <v>6225</v>
      </c>
      <c r="B2160" s="13" t="s">
        <v>6399</v>
      </c>
      <c r="C2160" s="13" t="s">
        <v>8314</v>
      </c>
      <c r="D2160" s="13">
        <v>1</v>
      </c>
      <c r="E2160" s="14" t="s">
        <v>15822</v>
      </c>
      <c r="F2160" s="7" t="s">
        <v>11535</v>
      </c>
    </row>
    <row r="2161" ht="18" customHeight="1" spans="1:6">
      <c r="A2161" s="13" t="s">
        <v>6225</v>
      </c>
      <c r="B2161" s="13" t="s">
        <v>6399</v>
      </c>
      <c r="C2161" s="13" t="s">
        <v>15823</v>
      </c>
      <c r="D2161" s="13">
        <v>3</v>
      </c>
      <c r="E2161" s="14" t="s">
        <v>15824</v>
      </c>
      <c r="F2161" s="7" t="s">
        <v>11535</v>
      </c>
    </row>
    <row r="2162" ht="18" customHeight="1" spans="1:6">
      <c r="A2162" s="13" t="s">
        <v>6225</v>
      </c>
      <c r="B2162" s="13" t="s">
        <v>6399</v>
      </c>
      <c r="C2162" s="13" t="s">
        <v>15367</v>
      </c>
      <c r="D2162" s="13">
        <v>1</v>
      </c>
      <c r="E2162" s="14" t="s">
        <v>15825</v>
      </c>
      <c r="F2162" s="7" t="s">
        <v>11535</v>
      </c>
    </row>
    <row r="2163" ht="18" customHeight="1" spans="1:6">
      <c r="A2163" s="13" t="s">
        <v>6225</v>
      </c>
      <c r="B2163" s="13" t="s">
        <v>6399</v>
      </c>
      <c r="C2163" s="13" t="s">
        <v>15826</v>
      </c>
      <c r="D2163" s="13">
        <v>3</v>
      </c>
      <c r="E2163" s="14" t="s">
        <v>15827</v>
      </c>
      <c r="F2163" s="7" t="s">
        <v>11535</v>
      </c>
    </row>
    <row r="2164" ht="18" customHeight="1" spans="1:6">
      <c r="A2164" s="13" t="s">
        <v>6225</v>
      </c>
      <c r="B2164" s="13" t="s">
        <v>6399</v>
      </c>
      <c r="C2164" s="13" t="s">
        <v>15535</v>
      </c>
      <c r="D2164" s="13">
        <v>3</v>
      </c>
      <c r="E2164" s="14" t="s">
        <v>15828</v>
      </c>
      <c r="F2164" s="7" t="s">
        <v>11535</v>
      </c>
    </row>
    <row r="2165" ht="18" customHeight="1" spans="1:6">
      <c r="A2165" s="13" t="s">
        <v>6225</v>
      </c>
      <c r="B2165" s="13" t="s">
        <v>6399</v>
      </c>
      <c r="C2165" s="13" t="s">
        <v>15829</v>
      </c>
      <c r="D2165" s="13">
        <v>3</v>
      </c>
      <c r="E2165" s="14" t="s">
        <v>15830</v>
      </c>
      <c r="F2165" s="7" t="s">
        <v>11535</v>
      </c>
    </row>
    <row r="2166" ht="18" customHeight="1" spans="1:6">
      <c r="A2166" s="13" t="s">
        <v>6225</v>
      </c>
      <c r="B2166" s="13" t="s">
        <v>6399</v>
      </c>
      <c r="C2166" s="13" t="s">
        <v>15831</v>
      </c>
      <c r="D2166" s="13">
        <v>3</v>
      </c>
      <c r="E2166" s="14" t="s">
        <v>15832</v>
      </c>
      <c r="F2166" s="7" t="s">
        <v>11535</v>
      </c>
    </row>
    <row r="2167" ht="18" customHeight="1" spans="1:6">
      <c r="A2167" s="13" t="s">
        <v>6225</v>
      </c>
      <c r="B2167" s="13" t="s">
        <v>6404</v>
      </c>
      <c r="C2167" s="13" t="s">
        <v>15833</v>
      </c>
      <c r="D2167" s="13">
        <v>1</v>
      </c>
      <c r="E2167" s="14" t="s">
        <v>15834</v>
      </c>
      <c r="F2167" s="7" t="s">
        <v>11535</v>
      </c>
    </row>
    <row r="2168" ht="18" customHeight="1" spans="1:6">
      <c r="A2168" s="13" t="s">
        <v>6225</v>
      </c>
      <c r="B2168" s="13" t="s">
        <v>6404</v>
      </c>
      <c r="C2168" s="13" t="s">
        <v>15835</v>
      </c>
      <c r="D2168" s="13">
        <v>1</v>
      </c>
      <c r="E2168" s="14" t="s">
        <v>15836</v>
      </c>
      <c r="F2168" s="7" t="s">
        <v>11535</v>
      </c>
    </row>
    <row r="2169" ht="18" customHeight="1" spans="1:6">
      <c r="A2169" s="13" t="s">
        <v>6225</v>
      </c>
      <c r="B2169" s="13" t="s">
        <v>6404</v>
      </c>
      <c r="C2169" s="13" t="s">
        <v>15837</v>
      </c>
      <c r="D2169" s="13">
        <v>1</v>
      </c>
      <c r="E2169" s="14" t="s">
        <v>15838</v>
      </c>
      <c r="F2169" s="7" t="s">
        <v>11535</v>
      </c>
    </row>
    <row r="2170" ht="18" customHeight="1" spans="1:6">
      <c r="A2170" s="13" t="s">
        <v>6225</v>
      </c>
      <c r="B2170" s="13" t="s">
        <v>6404</v>
      </c>
      <c r="C2170" s="13" t="s">
        <v>15839</v>
      </c>
      <c r="D2170" s="13">
        <v>1</v>
      </c>
      <c r="E2170" s="14" t="s">
        <v>15840</v>
      </c>
      <c r="F2170" s="7" t="s">
        <v>11535</v>
      </c>
    </row>
    <row r="2171" ht="18" customHeight="1" spans="1:6">
      <c r="A2171" s="13" t="s">
        <v>6225</v>
      </c>
      <c r="B2171" s="13" t="s">
        <v>6546</v>
      </c>
      <c r="C2171" s="13" t="s">
        <v>15841</v>
      </c>
      <c r="D2171" s="13">
        <v>5</v>
      </c>
      <c r="E2171" s="14" t="s">
        <v>15842</v>
      </c>
      <c r="F2171" s="7" t="s">
        <v>11535</v>
      </c>
    </row>
    <row r="2172" ht="18" customHeight="1" spans="1:6">
      <c r="A2172" s="13" t="s">
        <v>6225</v>
      </c>
      <c r="B2172" s="13" t="s">
        <v>6546</v>
      </c>
      <c r="C2172" s="13" t="s">
        <v>15843</v>
      </c>
      <c r="D2172" s="13">
        <v>3</v>
      </c>
      <c r="E2172" s="14" t="s">
        <v>15844</v>
      </c>
      <c r="F2172" s="7" t="s">
        <v>11535</v>
      </c>
    </row>
    <row r="2173" ht="18" customHeight="1" spans="1:6">
      <c r="A2173" s="13" t="s">
        <v>6225</v>
      </c>
      <c r="B2173" s="13" t="s">
        <v>6546</v>
      </c>
      <c r="C2173" s="13" t="s">
        <v>15845</v>
      </c>
      <c r="D2173" s="13">
        <v>2</v>
      </c>
      <c r="E2173" s="14" t="s">
        <v>15846</v>
      </c>
      <c r="F2173" s="7" t="s">
        <v>11535</v>
      </c>
    </row>
    <row r="2174" ht="18" customHeight="1" spans="1:6">
      <c r="A2174" s="13" t="s">
        <v>6225</v>
      </c>
      <c r="B2174" s="13" t="s">
        <v>6546</v>
      </c>
      <c r="C2174" s="13" t="s">
        <v>7104</v>
      </c>
      <c r="D2174" s="13">
        <v>2</v>
      </c>
      <c r="E2174" s="14" t="s">
        <v>15847</v>
      </c>
      <c r="F2174" s="7" t="s">
        <v>11535</v>
      </c>
    </row>
    <row r="2175" ht="18" customHeight="1" spans="1:6">
      <c r="A2175" s="13" t="s">
        <v>6225</v>
      </c>
      <c r="B2175" s="13" t="s">
        <v>7314</v>
      </c>
      <c r="C2175" s="13" t="s">
        <v>15848</v>
      </c>
      <c r="D2175" s="13">
        <v>3</v>
      </c>
      <c r="E2175" s="14" t="s">
        <v>15849</v>
      </c>
      <c r="F2175" s="7" t="s">
        <v>11535</v>
      </c>
    </row>
    <row r="2176" ht="18" customHeight="1" spans="1:6">
      <c r="A2176" s="13" t="s">
        <v>6225</v>
      </c>
      <c r="B2176" s="13" t="s">
        <v>7314</v>
      </c>
      <c r="C2176" s="13" t="s">
        <v>15850</v>
      </c>
      <c r="D2176" s="13">
        <v>5</v>
      </c>
      <c r="E2176" s="14" t="s">
        <v>15851</v>
      </c>
      <c r="F2176" s="7" t="s">
        <v>11535</v>
      </c>
    </row>
    <row r="2177" ht="18" customHeight="1" spans="1:6">
      <c r="A2177" s="13" t="s">
        <v>6225</v>
      </c>
      <c r="B2177" s="13" t="s">
        <v>7191</v>
      </c>
      <c r="C2177" s="13" t="s">
        <v>15852</v>
      </c>
      <c r="D2177" s="13">
        <v>2</v>
      </c>
      <c r="E2177" s="14" t="s">
        <v>15853</v>
      </c>
      <c r="F2177" s="7" t="s">
        <v>11535</v>
      </c>
    </row>
    <row r="2178" ht="18" customHeight="1" spans="1:6">
      <c r="A2178" s="13" t="s">
        <v>6225</v>
      </c>
      <c r="B2178" s="13" t="s">
        <v>7191</v>
      </c>
      <c r="C2178" s="13" t="s">
        <v>15854</v>
      </c>
      <c r="D2178" s="13">
        <v>3</v>
      </c>
      <c r="E2178" s="14" t="s">
        <v>15855</v>
      </c>
      <c r="F2178" s="7" t="s">
        <v>11535</v>
      </c>
    </row>
    <row r="2179" ht="18" customHeight="1" spans="1:6">
      <c r="A2179" s="13" t="s">
        <v>6225</v>
      </c>
      <c r="B2179" s="13" t="s">
        <v>7191</v>
      </c>
      <c r="C2179" s="13" t="s">
        <v>15856</v>
      </c>
      <c r="D2179" s="13">
        <v>1</v>
      </c>
      <c r="E2179" s="14" t="s">
        <v>15857</v>
      </c>
      <c r="F2179" s="7" t="s">
        <v>11535</v>
      </c>
    </row>
    <row r="2180" ht="18" customHeight="1" spans="1:6">
      <c r="A2180" s="13" t="s">
        <v>6225</v>
      </c>
      <c r="B2180" s="13" t="s">
        <v>7191</v>
      </c>
      <c r="C2180" s="13" t="s">
        <v>15858</v>
      </c>
      <c r="D2180" s="13">
        <v>1</v>
      </c>
      <c r="E2180" s="14" t="s">
        <v>15859</v>
      </c>
      <c r="F2180" s="7" t="s">
        <v>11535</v>
      </c>
    </row>
    <row r="2181" ht="18" customHeight="1" spans="1:6">
      <c r="A2181" s="13" t="s">
        <v>6225</v>
      </c>
      <c r="B2181" s="13" t="s">
        <v>7106</v>
      </c>
      <c r="C2181" s="13" t="s">
        <v>15670</v>
      </c>
      <c r="D2181" s="13">
        <v>2</v>
      </c>
      <c r="E2181" s="14" t="s">
        <v>15860</v>
      </c>
      <c r="F2181" s="7" t="s">
        <v>11535</v>
      </c>
    </row>
    <row r="2182" ht="18" customHeight="1" spans="1:6">
      <c r="A2182" s="13" t="s">
        <v>6225</v>
      </c>
      <c r="B2182" s="13" t="s">
        <v>7106</v>
      </c>
      <c r="C2182" s="13" t="s">
        <v>15498</v>
      </c>
      <c r="D2182" s="13">
        <v>1</v>
      </c>
      <c r="E2182" s="14" t="s">
        <v>15861</v>
      </c>
      <c r="F2182" s="7" t="s">
        <v>11535</v>
      </c>
    </row>
    <row r="2183" ht="18" customHeight="1" spans="1:6">
      <c r="A2183" s="13" t="s">
        <v>6225</v>
      </c>
      <c r="B2183" s="13" t="s">
        <v>6946</v>
      </c>
      <c r="C2183" s="13" t="s">
        <v>15862</v>
      </c>
      <c r="D2183" s="13">
        <v>2</v>
      </c>
      <c r="E2183" s="14" t="s">
        <v>15863</v>
      </c>
      <c r="F2183" s="7" t="s">
        <v>11535</v>
      </c>
    </row>
    <row r="2184" ht="18" customHeight="1" spans="1:6">
      <c r="A2184" s="13" t="s">
        <v>6225</v>
      </c>
      <c r="B2184" s="13" t="s">
        <v>6946</v>
      </c>
      <c r="C2184" s="13" t="s">
        <v>15864</v>
      </c>
      <c r="D2184" s="13">
        <v>1</v>
      </c>
      <c r="E2184" s="14" t="s">
        <v>15865</v>
      </c>
      <c r="F2184" s="7" t="s">
        <v>11535</v>
      </c>
    </row>
    <row r="2185" ht="18" customHeight="1" spans="1:6">
      <c r="A2185" s="13" t="s">
        <v>6225</v>
      </c>
      <c r="B2185" s="13" t="s">
        <v>6946</v>
      </c>
      <c r="C2185" s="13" t="s">
        <v>15829</v>
      </c>
      <c r="D2185" s="13">
        <v>1</v>
      </c>
      <c r="E2185" s="14" t="s">
        <v>15866</v>
      </c>
      <c r="F2185" s="7" t="s">
        <v>11535</v>
      </c>
    </row>
    <row r="2186" ht="18" customHeight="1" spans="1:6">
      <c r="A2186" s="13" t="s">
        <v>6225</v>
      </c>
      <c r="B2186" s="13" t="s">
        <v>6946</v>
      </c>
      <c r="C2186" s="13" t="s">
        <v>15867</v>
      </c>
      <c r="D2186" s="13">
        <v>2</v>
      </c>
      <c r="E2186" s="14" t="s">
        <v>15868</v>
      </c>
      <c r="F2186" s="7" t="s">
        <v>11535</v>
      </c>
    </row>
    <row r="2187" ht="18" customHeight="1" spans="1:6">
      <c r="A2187" s="13" t="s">
        <v>6225</v>
      </c>
      <c r="B2187" s="13" t="s">
        <v>6657</v>
      </c>
      <c r="C2187" s="13" t="s">
        <v>15651</v>
      </c>
      <c r="D2187" s="13">
        <v>1</v>
      </c>
      <c r="E2187" s="14" t="s">
        <v>15869</v>
      </c>
      <c r="F2187" s="7" t="s">
        <v>11535</v>
      </c>
    </row>
    <row r="2188" ht="18" customHeight="1" spans="1:6">
      <c r="A2188" s="13" t="s">
        <v>6225</v>
      </c>
      <c r="B2188" s="13" t="s">
        <v>6657</v>
      </c>
      <c r="C2188" s="13" t="s">
        <v>15870</v>
      </c>
      <c r="D2188" s="13">
        <v>3</v>
      </c>
      <c r="E2188" s="14" t="s">
        <v>15871</v>
      </c>
      <c r="F2188" s="7" t="s">
        <v>11535</v>
      </c>
    </row>
    <row r="2189" ht="18" customHeight="1" spans="1:6">
      <c r="A2189" s="13" t="s">
        <v>6225</v>
      </c>
      <c r="B2189" s="13" t="s">
        <v>6657</v>
      </c>
      <c r="C2189" s="13" t="s">
        <v>15872</v>
      </c>
      <c r="D2189" s="13">
        <v>3</v>
      </c>
      <c r="E2189" s="14" t="s">
        <v>15873</v>
      </c>
      <c r="F2189" s="7" t="s">
        <v>11535</v>
      </c>
    </row>
    <row r="2190" ht="18" customHeight="1" spans="1:6">
      <c r="A2190" s="13" t="s">
        <v>6225</v>
      </c>
      <c r="B2190" s="13" t="s">
        <v>6657</v>
      </c>
      <c r="C2190" s="13" t="s">
        <v>15874</v>
      </c>
      <c r="D2190" s="13">
        <v>2</v>
      </c>
      <c r="E2190" s="14" t="s">
        <v>15875</v>
      </c>
      <c r="F2190" s="7" t="s">
        <v>11535</v>
      </c>
    </row>
    <row r="2191" ht="18" customHeight="1" spans="1:6">
      <c r="A2191" s="13" t="s">
        <v>6225</v>
      </c>
      <c r="B2191" s="13" t="s">
        <v>7341</v>
      </c>
      <c r="C2191" s="13" t="s">
        <v>15876</v>
      </c>
      <c r="D2191" s="13">
        <v>2</v>
      </c>
      <c r="E2191" s="14" t="s">
        <v>15877</v>
      </c>
      <c r="F2191" s="7" t="s">
        <v>11535</v>
      </c>
    </row>
    <row r="2192" ht="18" customHeight="1" spans="1:6">
      <c r="A2192" s="13" t="s">
        <v>6225</v>
      </c>
      <c r="B2192" s="13" t="s">
        <v>7341</v>
      </c>
      <c r="C2192" s="13" t="s">
        <v>15878</v>
      </c>
      <c r="D2192" s="13">
        <v>1</v>
      </c>
      <c r="E2192" s="14" t="s">
        <v>15879</v>
      </c>
      <c r="F2192" s="7" t="s">
        <v>11535</v>
      </c>
    </row>
    <row r="2193" ht="18" customHeight="1" spans="1:6">
      <c r="A2193" s="13" t="s">
        <v>6225</v>
      </c>
      <c r="B2193" s="13" t="s">
        <v>7341</v>
      </c>
      <c r="C2193" s="13" t="s">
        <v>15880</v>
      </c>
      <c r="D2193" s="13">
        <v>1</v>
      </c>
      <c r="E2193" s="14" t="s">
        <v>15881</v>
      </c>
      <c r="F2193" s="7" t="s">
        <v>11535</v>
      </c>
    </row>
    <row r="2194" ht="18" customHeight="1" spans="1:6">
      <c r="A2194" s="13" t="s">
        <v>6225</v>
      </c>
      <c r="B2194" s="13" t="s">
        <v>6905</v>
      </c>
      <c r="C2194" s="13" t="s">
        <v>15882</v>
      </c>
      <c r="D2194" s="13">
        <v>3</v>
      </c>
      <c r="E2194" s="14" t="s">
        <v>15883</v>
      </c>
      <c r="F2194" s="7" t="s">
        <v>11535</v>
      </c>
    </row>
    <row r="2195" ht="18" customHeight="1" spans="1:6">
      <c r="A2195" s="13" t="s">
        <v>6225</v>
      </c>
      <c r="B2195" s="13" t="s">
        <v>7283</v>
      </c>
      <c r="C2195" s="13" t="s">
        <v>15884</v>
      </c>
      <c r="D2195" s="13">
        <v>2</v>
      </c>
      <c r="E2195" s="14" t="s">
        <v>15885</v>
      </c>
      <c r="F2195" s="7" t="s">
        <v>11535</v>
      </c>
    </row>
    <row r="2196" ht="18" customHeight="1" spans="1:6">
      <c r="A2196" s="13" t="s">
        <v>6225</v>
      </c>
      <c r="B2196" s="13" t="s">
        <v>7283</v>
      </c>
      <c r="C2196" s="13" t="s">
        <v>7286</v>
      </c>
      <c r="D2196" s="13">
        <v>3</v>
      </c>
      <c r="E2196" s="14" t="s">
        <v>15886</v>
      </c>
      <c r="F2196" s="7" t="s">
        <v>11535</v>
      </c>
    </row>
    <row r="2197" ht="18" customHeight="1" spans="1:6">
      <c r="A2197" s="13" t="s">
        <v>6225</v>
      </c>
      <c r="B2197" s="13" t="s">
        <v>7283</v>
      </c>
      <c r="C2197" s="13" t="s">
        <v>15887</v>
      </c>
      <c r="D2197" s="13">
        <v>3</v>
      </c>
      <c r="E2197" s="14" t="s">
        <v>15888</v>
      </c>
      <c r="F2197" s="7" t="s">
        <v>11535</v>
      </c>
    </row>
    <row r="2198" ht="18" customHeight="1" spans="1:6">
      <c r="A2198" s="13" t="s">
        <v>6225</v>
      </c>
      <c r="B2198" s="13" t="s">
        <v>7283</v>
      </c>
      <c r="C2198" s="13" t="s">
        <v>15889</v>
      </c>
      <c r="D2198" s="13">
        <v>4</v>
      </c>
      <c r="E2198" s="14" t="s">
        <v>15890</v>
      </c>
      <c r="F2198" s="7" t="s">
        <v>11535</v>
      </c>
    </row>
    <row r="2199" ht="18" customHeight="1" spans="1:6">
      <c r="A2199" s="13" t="s">
        <v>6225</v>
      </c>
      <c r="B2199" s="13" t="s">
        <v>7283</v>
      </c>
      <c r="C2199" s="13" t="s">
        <v>15891</v>
      </c>
      <c r="D2199" s="13">
        <v>3</v>
      </c>
      <c r="E2199" s="14" t="s">
        <v>15892</v>
      </c>
      <c r="F2199" s="7" t="s">
        <v>11535</v>
      </c>
    </row>
    <row r="2200" ht="18" customHeight="1" spans="1:6">
      <c r="A2200" s="13" t="s">
        <v>6225</v>
      </c>
      <c r="B2200" s="13" t="s">
        <v>7283</v>
      </c>
      <c r="C2200" s="13" t="s">
        <v>15893</v>
      </c>
      <c r="D2200" s="13">
        <v>3</v>
      </c>
      <c r="E2200" s="14" t="s">
        <v>15894</v>
      </c>
      <c r="F2200" s="7" t="s">
        <v>11535</v>
      </c>
    </row>
    <row r="2201" ht="18" customHeight="1" spans="1:6">
      <c r="A2201" s="13" t="s">
        <v>6225</v>
      </c>
      <c r="B2201" s="13" t="s">
        <v>7368</v>
      </c>
      <c r="C2201" s="13" t="s">
        <v>15895</v>
      </c>
      <c r="D2201" s="13">
        <v>1</v>
      </c>
      <c r="E2201" s="14" t="s">
        <v>15896</v>
      </c>
      <c r="F2201" s="7" t="s">
        <v>11535</v>
      </c>
    </row>
    <row r="2202" ht="18" customHeight="1" spans="1:6">
      <c r="A2202" s="13" t="s">
        <v>6225</v>
      </c>
      <c r="B2202" s="13" t="s">
        <v>7368</v>
      </c>
      <c r="C2202" s="13" t="s">
        <v>15897</v>
      </c>
      <c r="D2202" s="13">
        <v>1</v>
      </c>
      <c r="E2202" s="14" t="s">
        <v>15898</v>
      </c>
      <c r="F2202" s="7" t="s">
        <v>11535</v>
      </c>
    </row>
    <row r="2203" ht="18" customHeight="1" spans="1:6">
      <c r="A2203" s="13" t="s">
        <v>6225</v>
      </c>
      <c r="B2203" s="13" t="s">
        <v>7368</v>
      </c>
      <c r="C2203" s="13" t="s">
        <v>15899</v>
      </c>
      <c r="D2203" s="13">
        <v>1</v>
      </c>
      <c r="E2203" s="14" t="s">
        <v>15900</v>
      </c>
      <c r="F2203" s="7" t="s">
        <v>11535</v>
      </c>
    </row>
    <row r="2204" ht="18" customHeight="1" spans="1:6">
      <c r="A2204" s="13" t="s">
        <v>6225</v>
      </c>
      <c r="B2204" s="13" t="s">
        <v>7368</v>
      </c>
      <c r="C2204" s="13" t="s">
        <v>15901</v>
      </c>
      <c r="D2204" s="13">
        <v>2</v>
      </c>
      <c r="E2204" s="14" t="s">
        <v>15902</v>
      </c>
      <c r="F2204" s="7" t="s">
        <v>11535</v>
      </c>
    </row>
    <row r="2205" ht="18" customHeight="1" spans="1:6">
      <c r="A2205" s="13" t="s">
        <v>6225</v>
      </c>
      <c r="B2205" s="13" t="s">
        <v>7368</v>
      </c>
      <c r="C2205" s="13" t="s">
        <v>15903</v>
      </c>
      <c r="D2205" s="13">
        <v>1</v>
      </c>
      <c r="E2205" s="14" t="s">
        <v>15904</v>
      </c>
      <c r="F2205" s="7" t="s">
        <v>11535</v>
      </c>
    </row>
    <row r="2206" ht="18" customHeight="1" spans="1:6">
      <c r="A2206" s="13" t="s">
        <v>6225</v>
      </c>
      <c r="B2206" s="13" t="s">
        <v>7368</v>
      </c>
      <c r="C2206" s="13" t="s">
        <v>15905</v>
      </c>
      <c r="D2206" s="13">
        <v>3</v>
      </c>
      <c r="E2206" s="14" t="s">
        <v>15906</v>
      </c>
      <c r="F2206" s="7" t="s">
        <v>11535</v>
      </c>
    </row>
    <row r="2207" ht="18" customHeight="1" spans="1:6">
      <c r="A2207" s="13" t="s">
        <v>6225</v>
      </c>
      <c r="B2207" s="13" t="s">
        <v>7368</v>
      </c>
      <c r="C2207" s="13" t="s">
        <v>15907</v>
      </c>
      <c r="D2207" s="13">
        <v>1</v>
      </c>
      <c r="E2207" s="14" t="s">
        <v>15908</v>
      </c>
      <c r="F2207" s="7" t="s">
        <v>11535</v>
      </c>
    </row>
    <row r="2208" ht="18" customHeight="1" spans="1:6">
      <c r="A2208" s="13" t="s">
        <v>6225</v>
      </c>
      <c r="B2208" s="13" t="s">
        <v>7368</v>
      </c>
      <c r="C2208" s="13" t="s">
        <v>15909</v>
      </c>
      <c r="D2208" s="13">
        <v>2</v>
      </c>
      <c r="E2208" s="14" t="s">
        <v>15910</v>
      </c>
      <c r="F2208" s="7" t="s">
        <v>11535</v>
      </c>
    </row>
    <row r="2209" ht="18" customHeight="1" spans="1:6">
      <c r="A2209" s="13" t="s">
        <v>6225</v>
      </c>
      <c r="B2209" s="13" t="s">
        <v>6692</v>
      </c>
      <c r="C2209" s="13" t="s">
        <v>15911</v>
      </c>
      <c r="D2209" s="13">
        <v>7</v>
      </c>
      <c r="E2209" s="14" t="s">
        <v>15912</v>
      </c>
      <c r="F2209" s="7" t="s">
        <v>11535</v>
      </c>
    </row>
    <row r="2210" ht="18" customHeight="1" spans="1:6">
      <c r="A2210" s="13" t="s">
        <v>6225</v>
      </c>
      <c r="B2210" s="13" t="s">
        <v>6692</v>
      </c>
      <c r="C2210" s="13" t="s">
        <v>15696</v>
      </c>
      <c r="D2210" s="13">
        <v>3</v>
      </c>
      <c r="E2210" s="14" t="s">
        <v>15913</v>
      </c>
      <c r="F2210" s="7" t="s">
        <v>11535</v>
      </c>
    </row>
    <row r="2211" ht="18" customHeight="1" spans="1:6">
      <c r="A2211" s="13" t="s">
        <v>6225</v>
      </c>
      <c r="B2211" s="13" t="s">
        <v>6692</v>
      </c>
      <c r="C2211" s="13" t="s">
        <v>15914</v>
      </c>
      <c r="D2211" s="13">
        <v>3</v>
      </c>
      <c r="E2211" s="14" t="s">
        <v>15915</v>
      </c>
      <c r="F2211" s="7" t="s">
        <v>11535</v>
      </c>
    </row>
    <row r="2212" ht="18" customHeight="1" spans="1:6">
      <c r="A2212" s="13" t="s">
        <v>6225</v>
      </c>
      <c r="B2212" s="13" t="s">
        <v>6692</v>
      </c>
      <c r="C2212" s="13" t="s">
        <v>15916</v>
      </c>
      <c r="D2212" s="13">
        <v>4</v>
      </c>
      <c r="E2212" s="14" t="s">
        <v>15917</v>
      </c>
      <c r="F2212" s="7" t="s">
        <v>11535</v>
      </c>
    </row>
    <row r="2213" ht="18" customHeight="1" spans="1:6">
      <c r="A2213" s="13" t="s">
        <v>6225</v>
      </c>
      <c r="B2213" s="13" t="s">
        <v>6692</v>
      </c>
      <c r="C2213" s="13" t="s">
        <v>15918</v>
      </c>
      <c r="D2213" s="13">
        <v>3</v>
      </c>
      <c r="E2213" s="14" t="s">
        <v>15919</v>
      </c>
      <c r="F2213" s="7" t="s">
        <v>11535</v>
      </c>
    </row>
    <row r="2214" ht="18" customHeight="1" spans="1:6">
      <c r="A2214" s="13" t="s">
        <v>6225</v>
      </c>
      <c r="B2214" s="13" t="s">
        <v>7156</v>
      </c>
      <c r="C2214" s="13" t="s">
        <v>15920</v>
      </c>
      <c r="D2214" s="13">
        <v>2</v>
      </c>
      <c r="E2214" s="14" t="s">
        <v>15921</v>
      </c>
      <c r="F2214" s="7" t="s">
        <v>11535</v>
      </c>
    </row>
    <row r="2215" ht="18" customHeight="1" spans="1:6">
      <c r="A2215" s="13" t="s">
        <v>6225</v>
      </c>
      <c r="B2215" s="13" t="s">
        <v>7156</v>
      </c>
      <c r="C2215" s="13" t="s">
        <v>15922</v>
      </c>
      <c r="D2215" s="13">
        <v>1</v>
      </c>
      <c r="E2215" s="14" t="s">
        <v>15923</v>
      </c>
      <c r="F2215" s="7" t="s">
        <v>11535</v>
      </c>
    </row>
    <row r="2216" ht="18" customHeight="1" spans="1:6">
      <c r="A2216" s="13" t="s">
        <v>6225</v>
      </c>
      <c r="B2216" s="13" t="s">
        <v>7156</v>
      </c>
      <c r="C2216" s="13" t="s">
        <v>7554</v>
      </c>
      <c r="D2216" s="13">
        <v>1</v>
      </c>
      <c r="E2216" s="14" t="s">
        <v>15924</v>
      </c>
      <c r="F2216" s="7" t="s">
        <v>11535</v>
      </c>
    </row>
    <row r="2217" ht="18" customHeight="1" spans="1:6">
      <c r="A2217" s="13" t="s">
        <v>6225</v>
      </c>
      <c r="B2217" s="13" t="s">
        <v>7156</v>
      </c>
      <c r="C2217" s="13" t="s">
        <v>15925</v>
      </c>
      <c r="D2217" s="13">
        <v>1</v>
      </c>
      <c r="E2217" s="14" t="s">
        <v>15926</v>
      </c>
      <c r="F2217" s="7" t="s">
        <v>11535</v>
      </c>
    </row>
    <row r="2218" ht="18" customHeight="1" spans="1:6">
      <c r="A2218" s="13" t="s">
        <v>6225</v>
      </c>
      <c r="B2218" s="13" t="s">
        <v>7429</v>
      </c>
      <c r="C2218" s="13" t="s">
        <v>15927</v>
      </c>
      <c r="D2218" s="13">
        <v>1</v>
      </c>
      <c r="E2218" s="14" t="s">
        <v>15928</v>
      </c>
      <c r="F2218" s="7" t="s">
        <v>11535</v>
      </c>
    </row>
    <row r="2219" ht="18" customHeight="1" spans="1:6">
      <c r="A2219" s="13" t="s">
        <v>6225</v>
      </c>
      <c r="B2219" s="13" t="s">
        <v>7429</v>
      </c>
      <c r="C2219" s="13" t="s">
        <v>15929</v>
      </c>
      <c r="D2219" s="13">
        <v>5</v>
      </c>
      <c r="E2219" s="14" t="s">
        <v>15930</v>
      </c>
      <c r="F2219" s="7" t="s">
        <v>11535</v>
      </c>
    </row>
    <row r="2220" ht="18" customHeight="1" spans="1:6">
      <c r="A2220" s="13" t="s">
        <v>6225</v>
      </c>
      <c r="B2220" s="13" t="s">
        <v>7429</v>
      </c>
      <c r="C2220" s="13" t="s">
        <v>15931</v>
      </c>
      <c r="D2220" s="13">
        <v>2</v>
      </c>
      <c r="E2220" s="14" t="s">
        <v>15932</v>
      </c>
      <c r="F2220" s="7" t="s">
        <v>11535</v>
      </c>
    </row>
    <row r="2221" ht="18" customHeight="1" spans="1:6">
      <c r="A2221" s="13" t="s">
        <v>6225</v>
      </c>
      <c r="B2221" s="13" t="s">
        <v>7429</v>
      </c>
      <c r="C2221" s="13" t="s">
        <v>6725</v>
      </c>
      <c r="D2221" s="13">
        <v>1</v>
      </c>
      <c r="E2221" s="14" t="s">
        <v>15933</v>
      </c>
      <c r="F2221" s="7" t="s">
        <v>11535</v>
      </c>
    </row>
    <row r="2222" ht="18" customHeight="1" spans="1:6">
      <c r="A2222" s="13" t="s">
        <v>6225</v>
      </c>
      <c r="B2222" s="13" t="s">
        <v>7429</v>
      </c>
      <c r="C2222" s="13" t="s">
        <v>15934</v>
      </c>
      <c r="D2222" s="13">
        <v>3</v>
      </c>
      <c r="E2222" s="14" t="s">
        <v>15935</v>
      </c>
      <c r="F2222" s="7" t="s">
        <v>11535</v>
      </c>
    </row>
    <row r="2223" ht="18" customHeight="1" spans="1:6">
      <c r="A2223" s="13" t="s">
        <v>7504</v>
      </c>
      <c r="B2223" s="13"/>
      <c r="C2223" s="13">
        <v>339</v>
      </c>
      <c r="D2223" s="13">
        <f>SUM(D1884:D2222)</f>
        <v>854</v>
      </c>
      <c r="E2223" s="13"/>
      <c r="F2223" s="5"/>
    </row>
    <row r="2224" ht="18" customHeight="1" spans="1:6">
      <c r="A2224" s="13" t="s">
        <v>7505</v>
      </c>
      <c r="B2224" s="13" t="s">
        <v>7624</v>
      </c>
      <c r="C2224" s="13" t="s">
        <v>15936</v>
      </c>
      <c r="D2224" s="13">
        <v>3</v>
      </c>
      <c r="E2224" s="14" t="s">
        <v>15937</v>
      </c>
      <c r="F2224" s="7" t="s">
        <v>11535</v>
      </c>
    </row>
    <row r="2225" ht="18" customHeight="1" spans="1:6">
      <c r="A2225" s="13" t="s">
        <v>7505</v>
      </c>
      <c r="B2225" s="13" t="s">
        <v>7624</v>
      </c>
      <c r="C2225" s="13" t="s">
        <v>10758</v>
      </c>
      <c r="D2225" s="13">
        <v>2</v>
      </c>
      <c r="E2225" s="14" t="s">
        <v>15938</v>
      </c>
      <c r="F2225" s="7" t="s">
        <v>11535</v>
      </c>
    </row>
    <row r="2226" ht="18" customHeight="1" spans="1:6">
      <c r="A2226" s="13" t="s">
        <v>7505</v>
      </c>
      <c r="B2226" s="13" t="s">
        <v>7624</v>
      </c>
      <c r="C2226" s="13" t="s">
        <v>15939</v>
      </c>
      <c r="D2226" s="13">
        <v>4</v>
      </c>
      <c r="E2226" s="14" t="s">
        <v>15940</v>
      </c>
      <c r="F2226" s="7" t="s">
        <v>11535</v>
      </c>
    </row>
    <row r="2227" ht="18" customHeight="1" spans="1:6">
      <c r="A2227" s="13" t="s">
        <v>7505</v>
      </c>
      <c r="B2227" s="13" t="s">
        <v>7624</v>
      </c>
      <c r="C2227" s="13" t="s">
        <v>15941</v>
      </c>
      <c r="D2227" s="13">
        <v>5</v>
      </c>
      <c r="E2227" s="14" t="s">
        <v>15942</v>
      </c>
      <c r="F2227" s="7" t="s">
        <v>11535</v>
      </c>
    </row>
    <row r="2228" ht="18" customHeight="1" spans="1:6">
      <c r="A2228" s="13" t="s">
        <v>7505</v>
      </c>
      <c r="B2228" s="13" t="s">
        <v>7624</v>
      </c>
      <c r="C2228" s="13" t="s">
        <v>15943</v>
      </c>
      <c r="D2228" s="13">
        <v>6</v>
      </c>
      <c r="E2228" s="14" t="s">
        <v>15944</v>
      </c>
      <c r="F2228" s="7" t="s">
        <v>11535</v>
      </c>
    </row>
    <row r="2229" ht="18" customHeight="1" spans="1:6">
      <c r="A2229" s="13" t="s">
        <v>7505</v>
      </c>
      <c r="B2229" s="13" t="s">
        <v>7631</v>
      </c>
      <c r="C2229" s="13" t="s">
        <v>15945</v>
      </c>
      <c r="D2229" s="13">
        <v>1</v>
      </c>
      <c r="E2229" s="14" t="s">
        <v>15946</v>
      </c>
      <c r="F2229" s="7" t="s">
        <v>11535</v>
      </c>
    </row>
    <row r="2230" ht="18" customHeight="1" spans="1:6">
      <c r="A2230" s="13" t="s">
        <v>7505</v>
      </c>
      <c r="B2230" s="13" t="s">
        <v>7544</v>
      </c>
      <c r="C2230" s="13" t="s">
        <v>15947</v>
      </c>
      <c r="D2230" s="13">
        <v>3</v>
      </c>
      <c r="E2230" s="14" t="s">
        <v>15948</v>
      </c>
      <c r="F2230" s="7" t="s">
        <v>11535</v>
      </c>
    </row>
    <row r="2231" ht="18" customHeight="1" spans="1:6">
      <c r="A2231" s="13" t="s">
        <v>7505</v>
      </c>
      <c r="B2231" s="13" t="s">
        <v>7544</v>
      </c>
      <c r="C2231" s="49" t="s">
        <v>15949</v>
      </c>
      <c r="D2231" s="49">
        <v>3</v>
      </c>
      <c r="E2231" s="50" t="s">
        <v>15950</v>
      </c>
      <c r="F2231" s="7" t="s">
        <v>11535</v>
      </c>
    </row>
    <row r="2232" ht="18" customHeight="1" spans="1:6">
      <c r="A2232" s="13" t="s">
        <v>7505</v>
      </c>
      <c r="B2232" s="13" t="s">
        <v>7544</v>
      </c>
      <c r="C2232" s="49" t="s">
        <v>15951</v>
      </c>
      <c r="D2232" s="49">
        <v>3</v>
      </c>
      <c r="E2232" s="50" t="s">
        <v>15952</v>
      </c>
      <c r="F2232" s="7" t="s">
        <v>11535</v>
      </c>
    </row>
    <row r="2233" ht="18" customHeight="1" spans="1:6">
      <c r="A2233" s="13" t="s">
        <v>7505</v>
      </c>
      <c r="B2233" s="13" t="s">
        <v>7535</v>
      </c>
      <c r="C2233" s="49" t="s">
        <v>6843</v>
      </c>
      <c r="D2233" s="49">
        <v>2</v>
      </c>
      <c r="E2233" s="50" t="s">
        <v>15953</v>
      </c>
      <c r="F2233" s="7" t="s">
        <v>11535</v>
      </c>
    </row>
    <row r="2234" ht="18" customHeight="1" spans="1:6">
      <c r="A2234" s="13" t="s">
        <v>7505</v>
      </c>
      <c r="B2234" s="13" t="s">
        <v>7535</v>
      </c>
      <c r="C2234" s="49" t="s">
        <v>15954</v>
      </c>
      <c r="D2234" s="49">
        <v>1</v>
      </c>
      <c r="E2234" s="50" t="s">
        <v>15955</v>
      </c>
      <c r="F2234" s="7" t="s">
        <v>11535</v>
      </c>
    </row>
    <row r="2235" ht="18" customHeight="1" spans="1:6">
      <c r="A2235" s="13" t="s">
        <v>7505</v>
      </c>
      <c r="B2235" s="13" t="s">
        <v>7535</v>
      </c>
      <c r="C2235" s="49" t="s">
        <v>15956</v>
      </c>
      <c r="D2235" s="49">
        <v>3</v>
      </c>
      <c r="E2235" s="50" t="s">
        <v>15957</v>
      </c>
      <c r="F2235" s="7" t="s">
        <v>11535</v>
      </c>
    </row>
    <row r="2236" ht="18" customHeight="1" spans="1:6">
      <c r="A2236" s="13" t="s">
        <v>7505</v>
      </c>
      <c r="B2236" s="13" t="s">
        <v>7506</v>
      </c>
      <c r="C2236" s="49" t="s">
        <v>15958</v>
      </c>
      <c r="D2236" s="49">
        <v>2</v>
      </c>
      <c r="E2236" s="50" t="s">
        <v>15959</v>
      </c>
      <c r="F2236" s="7" t="s">
        <v>11535</v>
      </c>
    </row>
    <row r="2237" ht="18" customHeight="1" spans="1:6">
      <c r="A2237" s="13" t="s">
        <v>7505</v>
      </c>
      <c r="B2237" s="13" t="s">
        <v>7506</v>
      </c>
      <c r="C2237" s="49" t="s">
        <v>15960</v>
      </c>
      <c r="D2237" s="49">
        <v>4</v>
      </c>
      <c r="E2237" s="50" t="s">
        <v>15961</v>
      </c>
      <c r="F2237" s="7" t="s">
        <v>11535</v>
      </c>
    </row>
    <row r="2238" ht="18" customHeight="1" spans="1:6">
      <c r="A2238" s="13" t="s">
        <v>7505</v>
      </c>
      <c r="B2238" s="13" t="s">
        <v>7506</v>
      </c>
      <c r="C2238" s="49" t="s">
        <v>15962</v>
      </c>
      <c r="D2238" s="49">
        <v>1</v>
      </c>
      <c r="E2238" s="50" t="s">
        <v>15963</v>
      </c>
      <c r="F2238" s="7" t="s">
        <v>11535</v>
      </c>
    </row>
    <row r="2239" ht="18" customHeight="1" spans="1:6">
      <c r="A2239" s="13" t="s">
        <v>7505</v>
      </c>
      <c r="B2239" s="13" t="s">
        <v>7506</v>
      </c>
      <c r="C2239" s="49" t="s">
        <v>15964</v>
      </c>
      <c r="D2239" s="49">
        <v>1</v>
      </c>
      <c r="E2239" s="50" t="s">
        <v>15965</v>
      </c>
      <c r="F2239" s="7" t="s">
        <v>11535</v>
      </c>
    </row>
    <row r="2240" ht="18" customHeight="1" spans="1:6">
      <c r="A2240" s="13" t="s">
        <v>7505</v>
      </c>
      <c r="B2240" s="13" t="s">
        <v>7506</v>
      </c>
      <c r="C2240" s="49" t="s">
        <v>15966</v>
      </c>
      <c r="D2240" s="49">
        <v>5</v>
      </c>
      <c r="E2240" s="50" t="s">
        <v>15967</v>
      </c>
      <c r="F2240" s="7" t="s">
        <v>11535</v>
      </c>
    </row>
    <row r="2241" ht="18" customHeight="1" spans="1:6">
      <c r="A2241" s="13" t="s">
        <v>7505</v>
      </c>
      <c r="B2241" s="13" t="s">
        <v>7506</v>
      </c>
      <c r="C2241" s="49" t="s">
        <v>15968</v>
      </c>
      <c r="D2241" s="49">
        <v>5</v>
      </c>
      <c r="E2241" s="50" t="s">
        <v>15969</v>
      </c>
      <c r="F2241" s="7" t="s">
        <v>11535</v>
      </c>
    </row>
    <row r="2242" ht="18" customHeight="1" spans="1:6">
      <c r="A2242" s="13" t="s">
        <v>7505</v>
      </c>
      <c r="B2242" s="13" t="s">
        <v>7506</v>
      </c>
      <c r="C2242" s="49" t="s">
        <v>15706</v>
      </c>
      <c r="D2242" s="49">
        <v>4</v>
      </c>
      <c r="E2242" s="50" t="s">
        <v>15970</v>
      </c>
      <c r="F2242" s="7" t="s">
        <v>11535</v>
      </c>
    </row>
    <row r="2243" ht="18" customHeight="1" spans="1:6">
      <c r="A2243" s="13" t="s">
        <v>7505</v>
      </c>
      <c r="B2243" s="13" t="s">
        <v>7506</v>
      </c>
      <c r="C2243" s="49" t="s">
        <v>15971</v>
      </c>
      <c r="D2243" s="49">
        <v>5</v>
      </c>
      <c r="E2243" s="50" t="s">
        <v>15972</v>
      </c>
      <c r="F2243" s="7" t="s">
        <v>11535</v>
      </c>
    </row>
    <row r="2244" ht="18" customHeight="1" spans="1:6">
      <c r="A2244" s="13" t="s">
        <v>7505</v>
      </c>
      <c r="B2244" s="13" t="s">
        <v>7506</v>
      </c>
      <c r="C2244" s="49" t="s">
        <v>15973</v>
      </c>
      <c r="D2244" s="49">
        <v>4</v>
      </c>
      <c r="E2244" s="50" t="s">
        <v>15974</v>
      </c>
      <c r="F2244" s="7" t="s">
        <v>11535</v>
      </c>
    </row>
    <row r="2245" ht="18" customHeight="1" spans="1:6">
      <c r="A2245" s="13" t="s">
        <v>7505</v>
      </c>
      <c r="B2245" s="13" t="s">
        <v>7506</v>
      </c>
      <c r="C2245" s="49" t="s">
        <v>15975</v>
      </c>
      <c r="D2245" s="49">
        <v>2</v>
      </c>
      <c r="E2245" s="50" t="s">
        <v>15976</v>
      </c>
      <c r="F2245" s="7" t="s">
        <v>11535</v>
      </c>
    </row>
    <row r="2246" ht="18" customHeight="1" spans="1:6">
      <c r="A2246" s="13" t="s">
        <v>7505</v>
      </c>
      <c r="B2246" s="13" t="s">
        <v>7560</v>
      </c>
      <c r="C2246" s="49" t="s">
        <v>15977</v>
      </c>
      <c r="D2246" s="49">
        <v>4</v>
      </c>
      <c r="E2246" s="50" t="s">
        <v>15978</v>
      </c>
      <c r="F2246" s="7" t="s">
        <v>11535</v>
      </c>
    </row>
    <row r="2247" ht="18" customHeight="1" spans="1:6">
      <c r="A2247" s="13" t="s">
        <v>7505</v>
      </c>
      <c r="B2247" s="13" t="s">
        <v>7560</v>
      </c>
      <c r="C2247" s="49" t="s">
        <v>6965</v>
      </c>
      <c r="D2247" s="49">
        <v>4</v>
      </c>
      <c r="E2247" s="50" t="s">
        <v>7566</v>
      </c>
      <c r="F2247" s="7" t="s">
        <v>11535</v>
      </c>
    </row>
    <row r="2248" ht="18" customHeight="1" spans="1:6">
      <c r="A2248" s="13" t="s">
        <v>7505</v>
      </c>
      <c r="B2248" s="13" t="s">
        <v>7560</v>
      </c>
      <c r="C2248" s="49" t="s">
        <v>15979</v>
      </c>
      <c r="D2248" s="49">
        <v>3</v>
      </c>
      <c r="E2248" s="50" t="s">
        <v>15980</v>
      </c>
      <c r="F2248" s="7" t="s">
        <v>11535</v>
      </c>
    </row>
    <row r="2249" ht="18" customHeight="1" spans="1:6">
      <c r="A2249" s="13" t="s">
        <v>7505</v>
      </c>
      <c r="B2249" s="13" t="s">
        <v>7573</v>
      </c>
      <c r="C2249" s="49" t="s">
        <v>15981</v>
      </c>
      <c r="D2249" s="50" t="s">
        <v>2065</v>
      </c>
      <c r="E2249" s="49" t="s">
        <v>15982</v>
      </c>
      <c r="F2249" s="7" t="s">
        <v>11535</v>
      </c>
    </row>
    <row r="2250" ht="18" customHeight="1" spans="1:6">
      <c r="A2250" s="13" t="s">
        <v>7505</v>
      </c>
      <c r="B2250" s="13" t="s">
        <v>7573</v>
      </c>
      <c r="C2250" s="49" t="s">
        <v>15983</v>
      </c>
      <c r="D2250" s="50" t="s">
        <v>2043</v>
      </c>
      <c r="E2250" s="214" t="s">
        <v>15984</v>
      </c>
      <c r="F2250" s="7" t="s">
        <v>11535</v>
      </c>
    </row>
    <row r="2251" ht="18" customHeight="1" spans="1:6">
      <c r="A2251" s="13" t="s">
        <v>7505</v>
      </c>
      <c r="B2251" s="13" t="s">
        <v>7573</v>
      </c>
      <c r="C2251" s="49" t="s">
        <v>15985</v>
      </c>
      <c r="D2251" s="50" t="s">
        <v>2065</v>
      </c>
      <c r="E2251" s="214" t="s">
        <v>15986</v>
      </c>
      <c r="F2251" s="7" t="s">
        <v>11535</v>
      </c>
    </row>
    <row r="2252" ht="18" customHeight="1" spans="1:6">
      <c r="A2252" s="13" t="s">
        <v>7505</v>
      </c>
      <c r="B2252" s="13" t="s">
        <v>7631</v>
      </c>
      <c r="C2252" s="49" t="s">
        <v>15987</v>
      </c>
      <c r="D2252" s="49">
        <v>2</v>
      </c>
      <c r="E2252" s="12" t="s">
        <v>15988</v>
      </c>
      <c r="F2252" s="7" t="s">
        <v>11535</v>
      </c>
    </row>
    <row r="2253" ht="18" customHeight="1" spans="1:6">
      <c r="A2253" s="13" t="s">
        <v>7505</v>
      </c>
      <c r="B2253" s="13" t="s">
        <v>7631</v>
      </c>
      <c r="C2253" s="49" t="s">
        <v>15989</v>
      </c>
      <c r="D2253" s="49">
        <v>6</v>
      </c>
      <c r="E2253" s="12" t="s">
        <v>15990</v>
      </c>
      <c r="F2253" s="7" t="s">
        <v>11535</v>
      </c>
    </row>
    <row r="2254" ht="18" customHeight="1" spans="1:6">
      <c r="A2254" s="13" t="s">
        <v>7505</v>
      </c>
      <c r="B2254" s="13" t="s">
        <v>7631</v>
      </c>
      <c r="C2254" s="49" t="s">
        <v>15991</v>
      </c>
      <c r="D2254" s="49">
        <v>3</v>
      </c>
      <c r="E2254" s="12" t="s">
        <v>15992</v>
      </c>
      <c r="F2254" s="7" t="s">
        <v>11535</v>
      </c>
    </row>
    <row r="2255" ht="18" customHeight="1" spans="1:6">
      <c r="A2255" s="13" t="s">
        <v>7505</v>
      </c>
      <c r="B2255" s="13" t="s">
        <v>7631</v>
      </c>
      <c r="C2255" s="49" t="s">
        <v>13242</v>
      </c>
      <c r="D2255" s="49">
        <v>3</v>
      </c>
      <c r="E2255" s="12" t="s">
        <v>15993</v>
      </c>
      <c r="F2255" s="7" t="s">
        <v>11535</v>
      </c>
    </row>
    <row r="2256" ht="18" customHeight="1" spans="1:6">
      <c r="A2256" s="13" t="s">
        <v>7505</v>
      </c>
      <c r="B2256" s="13" t="s">
        <v>7631</v>
      </c>
      <c r="C2256" s="49" t="s">
        <v>15994</v>
      </c>
      <c r="D2256" s="49">
        <v>3</v>
      </c>
      <c r="E2256" s="12" t="s">
        <v>15995</v>
      </c>
      <c r="F2256" s="7" t="s">
        <v>11535</v>
      </c>
    </row>
    <row r="2257" ht="18" customHeight="1" spans="1:6">
      <c r="A2257" s="13" t="s">
        <v>7505</v>
      </c>
      <c r="B2257" s="13" t="s">
        <v>7631</v>
      </c>
      <c r="C2257" s="49" t="s">
        <v>15996</v>
      </c>
      <c r="D2257" s="49">
        <v>2</v>
      </c>
      <c r="E2257" s="12" t="s">
        <v>15997</v>
      </c>
      <c r="F2257" s="7" t="s">
        <v>11535</v>
      </c>
    </row>
    <row r="2258" ht="18" customHeight="1" spans="1:6">
      <c r="A2258" s="13" t="s">
        <v>7505</v>
      </c>
      <c r="B2258" s="13" t="s">
        <v>7631</v>
      </c>
      <c r="C2258" s="49" t="s">
        <v>15998</v>
      </c>
      <c r="D2258" s="49">
        <v>2</v>
      </c>
      <c r="E2258" s="50" t="s">
        <v>15999</v>
      </c>
      <c r="F2258" s="7" t="s">
        <v>11535</v>
      </c>
    </row>
    <row r="2259" ht="18" customHeight="1" spans="1:6">
      <c r="A2259" s="13" t="s">
        <v>7505</v>
      </c>
      <c r="B2259" s="13" t="s">
        <v>7506</v>
      </c>
      <c r="C2259" s="49" t="s">
        <v>16000</v>
      </c>
      <c r="D2259" s="13">
        <v>2</v>
      </c>
      <c r="E2259" s="194" t="s">
        <v>16001</v>
      </c>
      <c r="F2259" s="7" t="s">
        <v>11535</v>
      </c>
    </row>
    <row r="2260" ht="18" customHeight="1" spans="1:6">
      <c r="A2260" s="13" t="s">
        <v>7505</v>
      </c>
      <c r="B2260" s="13" t="s">
        <v>7506</v>
      </c>
      <c r="C2260" s="13" t="s">
        <v>16002</v>
      </c>
      <c r="D2260" s="13">
        <v>2</v>
      </c>
      <c r="E2260" s="8" t="s">
        <v>16003</v>
      </c>
      <c r="F2260" s="7" t="s">
        <v>11535</v>
      </c>
    </row>
    <row r="2261" ht="18" customHeight="1" spans="1:6">
      <c r="A2261" s="13" t="s">
        <v>7505</v>
      </c>
      <c r="B2261" s="13" t="s">
        <v>7506</v>
      </c>
      <c r="C2261" s="24" t="s">
        <v>16004</v>
      </c>
      <c r="D2261" s="13">
        <v>4</v>
      </c>
      <c r="E2261" s="8" t="s">
        <v>16005</v>
      </c>
      <c r="F2261" s="7" t="s">
        <v>11535</v>
      </c>
    </row>
    <row r="2262" ht="18" customHeight="1" spans="1:6">
      <c r="A2262" s="13" t="s">
        <v>7505</v>
      </c>
      <c r="B2262" s="13" t="s">
        <v>7506</v>
      </c>
      <c r="C2262" s="24" t="s">
        <v>16006</v>
      </c>
      <c r="D2262" s="13">
        <v>2</v>
      </c>
      <c r="E2262" s="8" t="s">
        <v>16007</v>
      </c>
      <c r="F2262" s="7" t="s">
        <v>11535</v>
      </c>
    </row>
    <row r="2263" ht="18" customHeight="1" spans="1:6">
      <c r="A2263" s="13" t="s">
        <v>7505</v>
      </c>
      <c r="B2263" s="13" t="s">
        <v>7506</v>
      </c>
      <c r="C2263" s="24" t="s">
        <v>16008</v>
      </c>
      <c r="D2263" s="13">
        <v>5</v>
      </c>
      <c r="E2263" s="194" t="s">
        <v>16009</v>
      </c>
      <c r="F2263" s="7" t="s">
        <v>11535</v>
      </c>
    </row>
    <row r="2264" ht="18" customHeight="1" spans="1:6">
      <c r="A2264" s="13" t="s">
        <v>7505</v>
      </c>
      <c r="B2264" s="13" t="s">
        <v>7506</v>
      </c>
      <c r="C2264" s="24" t="s">
        <v>7728</v>
      </c>
      <c r="D2264" s="13">
        <v>1</v>
      </c>
      <c r="E2264" s="194" t="s">
        <v>16010</v>
      </c>
      <c r="F2264" s="7" t="s">
        <v>11535</v>
      </c>
    </row>
    <row r="2265" ht="18" customHeight="1" spans="1:6">
      <c r="A2265" s="13" t="s">
        <v>7505</v>
      </c>
      <c r="B2265" s="13" t="s">
        <v>7535</v>
      </c>
      <c r="C2265" s="24" t="s">
        <v>16011</v>
      </c>
      <c r="D2265" s="13">
        <v>6</v>
      </c>
      <c r="E2265" s="8" t="s">
        <v>16012</v>
      </c>
      <c r="F2265" s="7" t="s">
        <v>11535</v>
      </c>
    </row>
    <row r="2266" ht="18" customHeight="1" spans="1:6">
      <c r="A2266" s="13" t="s">
        <v>7505</v>
      </c>
      <c r="B2266" s="13" t="s">
        <v>7631</v>
      </c>
      <c r="C2266" s="24" t="s">
        <v>16013</v>
      </c>
      <c r="D2266" s="13">
        <v>5</v>
      </c>
      <c r="E2266" s="8" t="s">
        <v>16014</v>
      </c>
      <c r="F2266" s="7" t="s">
        <v>11535</v>
      </c>
    </row>
    <row r="2267" ht="18" customHeight="1" spans="1:6">
      <c r="A2267" s="13" t="s">
        <v>7505</v>
      </c>
      <c r="B2267" s="13" t="s">
        <v>7631</v>
      </c>
      <c r="C2267" s="24" t="s">
        <v>16015</v>
      </c>
      <c r="D2267" s="13">
        <v>4</v>
      </c>
      <c r="E2267" s="8" t="s">
        <v>16016</v>
      </c>
      <c r="F2267" s="7" t="s">
        <v>11535</v>
      </c>
    </row>
    <row r="2268" ht="18" customHeight="1" spans="1:6">
      <c r="A2268" s="13" t="s">
        <v>7505</v>
      </c>
      <c r="B2268" s="13" t="s">
        <v>7631</v>
      </c>
      <c r="C2268" s="24" t="s">
        <v>16017</v>
      </c>
      <c r="D2268" s="13">
        <v>2</v>
      </c>
      <c r="E2268" s="8" t="s">
        <v>16018</v>
      </c>
      <c r="F2268" s="7" t="s">
        <v>11535</v>
      </c>
    </row>
    <row r="2269" ht="18" customHeight="1" spans="1:6">
      <c r="A2269" s="13" t="s">
        <v>7505</v>
      </c>
      <c r="B2269" s="13" t="s">
        <v>7631</v>
      </c>
      <c r="C2269" s="24" t="s">
        <v>16019</v>
      </c>
      <c r="D2269" s="13">
        <v>4</v>
      </c>
      <c r="E2269" s="8" t="s">
        <v>16020</v>
      </c>
      <c r="F2269" s="7" t="s">
        <v>11535</v>
      </c>
    </row>
    <row r="2270" ht="18" customHeight="1" spans="1:6">
      <c r="A2270" s="13" t="s">
        <v>7505</v>
      </c>
      <c r="B2270" s="13" t="s">
        <v>7631</v>
      </c>
      <c r="C2270" s="24" t="s">
        <v>16021</v>
      </c>
      <c r="D2270" s="13">
        <v>3</v>
      </c>
      <c r="E2270" s="8" t="s">
        <v>16022</v>
      </c>
      <c r="F2270" s="7" t="s">
        <v>11535</v>
      </c>
    </row>
    <row r="2271" ht="18" customHeight="1" spans="1:6">
      <c r="A2271" s="13" t="s">
        <v>7505</v>
      </c>
      <c r="B2271" s="13" t="s">
        <v>7631</v>
      </c>
      <c r="C2271" s="24" t="s">
        <v>16023</v>
      </c>
      <c r="D2271" s="13">
        <v>7</v>
      </c>
      <c r="E2271" s="8" t="s">
        <v>16024</v>
      </c>
      <c r="F2271" s="7" t="s">
        <v>11535</v>
      </c>
    </row>
    <row r="2272" ht="18" customHeight="1" spans="1:6">
      <c r="A2272" s="13" t="s">
        <v>7505</v>
      </c>
      <c r="B2272" s="13" t="s">
        <v>7631</v>
      </c>
      <c r="C2272" s="24" t="s">
        <v>16025</v>
      </c>
      <c r="D2272" s="13">
        <v>3</v>
      </c>
      <c r="E2272" s="8" t="s">
        <v>16026</v>
      </c>
      <c r="F2272" s="7" t="s">
        <v>11535</v>
      </c>
    </row>
    <row r="2273" ht="18" customHeight="1" spans="1:6">
      <c r="A2273" s="13" t="s">
        <v>7505</v>
      </c>
      <c r="B2273" s="13" t="s">
        <v>7631</v>
      </c>
      <c r="C2273" s="24" t="s">
        <v>16027</v>
      </c>
      <c r="D2273" s="13">
        <v>2</v>
      </c>
      <c r="E2273" s="8" t="s">
        <v>16028</v>
      </c>
      <c r="F2273" s="7" t="s">
        <v>11535</v>
      </c>
    </row>
    <row r="2274" ht="18" customHeight="1" spans="1:6">
      <c r="A2274" s="13" t="s">
        <v>7505</v>
      </c>
      <c r="B2274" s="13" t="s">
        <v>7631</v>
      </c>
      <c r="C2274" s="24" t="s">
        <v>16029</v>
      </c>
      <c r="D2274" s="13">
        <v>3</v>
      </c>
      <c r="E2274" s="8" t="s">
        <v>16030</v>
      </c>
      <c r="F2274" s="7" t="s">
        <v>11535</v>
      </c>
    </row>
    <row r="2275" ht="18" customHeight="1" spans="1:6">
      <c r="A2275" s="13" t="s">
        <v>7505</v>
      </c>
      <c r="B2275" s="13" t="s">
        <v>7631</v>
      </c>
      <c r="C2275" s="24" t="s">
        <v>16031</v>
      </c>
      <c r="D2275" s="13">
        <v>3</v>
      </c>
      <c r="E2275" s="8" t="s">
        <v>16032</v>
      </c>
      <c r="F2275" s="7" t="s">
        <v>11535</v>
      </c>
    </row>
    <row r="2276" ht="18" customHeight="1" spans="1:6">
      <c r="A2276" s="13" t="s">
        <v>7505</v>
      </c>
      <c r="B2276" s="13" t="s">
        <v>7631</v>
      </c>
      <c r="C2276" s="24" t="s">
        <v>8464</v>
      </c>
      <c r="D2276" s="13">
        <v>3</v>
      </c>
      <c r="E2276" s="8" t="s">
        <v>16033</v>
      </c>
      <c r="F2276" s="7" t="s">
        <v>11535</v>
      </c>
    </row>
    <row r="2277" ht="18" customHeight="1" spans="1:6">
      <c r="A2277" s="13" t="s">
        <v>7505</v>
      </c>
      <c r="B2277" s="13" t="s">
        <v>7631</v>
      </c>
      <c r="C2277" s="13" t="s">
        <v>16034</v>
      </c>
      <c r="D2277" s="13">
        <v>4</v>
      </c>
      <c r="E2277" s="8" t="s">
        <v>16035</v>
      </c>
      <c r="F2277" s="7" t="s">
        <v>11535</v>
      </c>
    </row>
    <row r="2278" ht="18" customHeight="1" spans="1:6">
      <c r="A2278" s="13" t="s">
        <v>7505</v>
      </c>
      <c r="B2278" s="13" t="s">
        <v>7631</v>
      </c>
      <c r="C2278" s="13" t="s">
        <v>16036</v>
      </c>
      <c r="D2278" s="13">
        <v>4</v>
      </c>
      <c r="E2278" s="8" t="s">
        <v>16037</v>
      </c>
      <c r="F2278" s="7" t="s">
        <v>11535</v>
      </c>
    </row>
    <row r="2279" ht="18" customHeight="1" spans="1:6">
      <c r="A2279" s="13" t="s">
        <v>7505</v>
      </c>
      <c r="B2279" s="13" t="s">
        <v>7631</v>
      </c>
      <c r="C2279" s="13" t="s">
        <v>16038</v>
      </c>
      <c r="D2279" s="13">
        <v>3</v>
      </c>
      <c r="E2279" s="8" t="s">
        <v>16039</v>
      </c>
      <c r="F2279" s="7" t="s">
        <v>11535</v>
      </c>
    </row>
    <row r="2280" ht="18" customHeight="1" spans="1:6">
      <c r="A2280" s="13" t="s">
        <v>7505</v>
      </c>
      <c r="B2280" s="49" t="s">
        <v>7573</v>
      </c>
      <c r="C2280" s="49" t="s">
        <v>16040</v>
      </c>
      <c r="D2280" s="49">
        <v>3</v>
      </c>
      <c r="E2280" s="8" t="s">
        <v>16041</v>
      </c>
      <c r="F2280" s="7" t="s">
        <v>11535</v>
      </c>
    </row>
    <row r="2281" ht="18" customHeight="1" spans="1:6">
      <c r="A2281" s="13" t="s">
        <v>7505</v>
      </c>
      <c r="B2281" s="49" t="s">
        <v>7560</v>
      </c>
      <c r="C2281" s="49" t="s">
        <v>16042</v>
      </c>
      <c r="D2281" s="49">
        <v>5</v>
      </c>
      <c r="E2281" s="194" t="s">
        <v>16043</v>
      </c>
      <c r="F2281" s="7" t="s">
        <v>11535</v>
      </c>
    </row>
    <row r="2282" ht="18" customHeight="1" spans="1:6">
      <c r="A2282" s="13" t="s">
        <v>7505</v>
      </c>
      <c r="B2282" s="49" t="s">
        <v>7560</v>
      </c>
      <c r="C2282" s="49" t="s">
        <v>6965</v>
      </c>
      <c r="D2282" s="49">
        <v>5</v>
      </c>
      <c r="E2282" s="194" t="s">
        <v>16044</v>
      </c>
      <c r="F2282" s="7" t="s">
        <v>11535</v>
      </c>
    </row>
    <row r="2283" ht="18" customHeight="1" spans="1:6">
      <c r="A2283" s="49" t="s">
        <v>7505</v>
      </c>
      <c r="B2283" s="49" t="s">
        <v>7631</v>
      </c>
      <c r="C2283" s="49" t="s">
        <v>16045</v>
      </c>
      <c r="D2283" s="49">
        <v>2</v>
      </c>
      <c r="E2283" s="194" t="s">
        <v>16046</v>
      </c>
      <c r="F2283" s="7" t="s">
        <v>11535</v>
      </c>
    </row>
    <row r="2284" ht="18" customHeight="1" spans="1:6">
      <c r="A2284" s="13" t="s">
        <v>7885</v>
      </c>
      <c r="B2284" s="13"/>
      <c r="C2284" s="13">
        <v>60</v>
      </c>
      <c r="D2284" s="13">
        <v>188</v>
      </c>
      <c r="E2284" s="13"/>
      <c r="F2284" s="5"/>
    </row>
    <row r="2285" ht="18" customHeight="1" spans="1:6">
      <c r="A2285" s="5" t="s">
        <v>7886</v>
      </c>
      <c r="B2285" s="13" t="s">
        <v>7887</v>
      </c>
      <c r="C2285" s="13" t="s">
        <v>16047</v>
      </c>
      <c r="D2285" s="13">
        <v>1</v>
      </c>
      <c r="E2285" s="179" t="s">
        <v>16048</v>
      </c>
      <c r="F2285" s="7" t="s">
        <v>11535</v>
      </c>
    </row>
    <row r="2286" ht="18" customHeight="1" spans="1:6">
      <c r="A2286" s="5" t="s">
        <v>7886</v>
      </c>
      <c r="B2286" s="13" t="s">
        <v>7887</v>
      </c>
      <c r="C2286" s="13" t="s">
        <v>16049</v>
      </c>
      <c r="D2286" s="13">
        <v>7</v>
      </c>
      <c r="E2286" s="179" t="s">
        <v>16050</v>
      </c>
      <c r="F2286" s="7" t="s">
        <v>11535</v>
      </c>
    </row>
    <row r="2287" ht="18" customHeight="1" spans="1:6">
      <c r="A2287" s="5" t="s">
        <v>7886</v>
      </c>
      <c r="B2287" s="13" t="s">
        <v>7905</v>
      </c>
      <c r="C2287" s="13" t="s">
        <v>16051</v>
      </c>
      <c r="D2287" s="13">
        <v>2</v>
      </c>
      <c r="E2287" s="179" t="s">
        <v>16052</v>
      </c>
      <c r="F2287" s="7" t="s">
        <v>11535</v>
      </c>
    </row>
    <row r="2288" ht="18" customHeight="1" spans="1:6">
      <c r="A2288" s="5" t="s">
        <v>7886</v>
      </c>
      <c r="B2288" s="13" t="s">
        <v>7905</v>
      </c>
      <c r="C2288" s="13" t="s">
        <v>16053</v>
      </c>
      <c r="D2288" s="13">
        <v>1</v>
      </c>
      <c r="E2288" s="13" t="s">
        <v>16054</v>
      </c>
      <c r="F2288" s="7" t="s">
        <v>11535</v>
      </c>
    </row>
    <row r="2289" ht="18" customHeight="1" spans="1:6">
      <c r="A2289" s="5" t="s">
        <v>7886</v>
      </c>
      <c r="B2289" s="13" t="s">
        <v>7905</v>
      </c>
      <c r="C2289" s="13" t="s">
        <v>16055</v>
      </c>
      <c r="D2289" s="13">
        <v>2</v>
      </c>
      <c r="E2289" s="179" t="s">
        <v>16056</v>
      </c>
      <c r="F2289" s="7" t="s">
        <v>11535</v>
      </c>
    </row>
    <row r="2290" ht="18" customHeight="1" spans="1:6">
      <c r="A2290" s="5" t="s">
        <v>7886</v>
      </c>
      <c r="B2290" s="13" t="s">
        <v>7905</v>
      </c>
      <c r="C2290" s="13" t="s">
        <v>16057</v>
      </c>
      <c r="D2290" s="13">
        <v>2</v>
      </c>
      <c r="E2290" s="13" t="s">
        <v>16058</v>
      </c>
      <c r="F2290" s="7" t="s">
        <v>11535</v>
      </c>
    </row>
    <row r="2291" ht="18" customHeight="1" spans="1:6">
      <c r="A2291" s="5" t="s">
        <v>7886</v>
      </c>
      <c r="B2291" s="13" t="s">
        <v>7905</v>
      </c>
      <c r="C2291" s="13" t="s">
        <v>14220</v>
      </c>
      <c r="D2291" s="13">
        <v>4</v>
      </c>
      <c r="E2291" s="13" t="s">
        <v>16059</v>
      </c>
      <c r="F2291" s="7" t="s">
        <v>11535</v>
      </c>
    </row>
    <row r="2292" ht="18" customHeight="1" spans="1:6">
      <c r="A2292" s="5" t="s">
        <v>7886</v>
      </c>
      <c r="B2292" s="13" t="s">
        <v>7905</v>
      </c>
      <c r="C2292" s="48" t="s">
        <v>16060</v>
      </c>
      <c r="D2292" s="13">
        <v>2</v>
      </c>
      <c r="E2292" s="14" t="s">
        <v>16061</v>
      </c>
      <c r="F2292" s="7" t="s">
        <v>11535</v>
      </c>
    </row>
    <row r="2293" ht="18" customHeight="1" spans="1:6">
      <c r="A2293" s="5" t="s">
        <v>7886</v>
      </c>
      <c r="B2293" s="13" t="s">
        <v>8032</v>
      </c>
      <c r="C2293" s="13" t="s">
        <v>16062</v>
      </c>
      <c r="D2293" s="13">
        <v>2</v>
      </c>
      <c r="E2293" s="179" t="s">
        <v>16063</v>
      </c>
      <c r="F2293" s="7" t="s">
        <v>11535</v>
      </c>
    </row>
    <row r="2294" ht="18" customHeight="1" spans="1:6">
      <c r="A2294" s="5" t="s">
        <v>7886</v>
      </c>
      <c r="B2294" s="13" t="s">
        <v>8032</v>
      </c>
      <c r="C2294" s="13" t="s">
        <v>16064</v>
      </c>
      <c r="D2294" s="13">
        <v>2</v>
      </c>
      <c r="E2294" s="179" t="s">
        <v>16065</v>
      </c>
      <c r="F2294" s="7" t="s">
        <v>11535</v>
      </c>
    </row>
    <row r="2295" ht="18" customHeight="1" spans="1:6">
      <c r="A2295" s="5" t="s">
        <v>7886</v>
      </c>
      <c r="B2295" s="13" t="s">
        <v>8032</v>
      </c>
      <c r="C2295" s="13" t="s">
        <v>16066</v>
      </c>
      <c r="D2295" s="13">
        <v>2</v>
      </c>
      <c r="E2295" s="179" t="s">
        <v>16067</v>
      </c>
      <c r="F2295" s="7" t="s">
        <v>11535</v>
      </c>
    </row>
    <row r="2296" ht="18" customHeight="1" spans="1:6">
      <c r="A2296" s="5" t="s">
        <v>7886</v>
      </c>
      <c r="B2296" s="13" t="s">
        <v>8032</v>
      </c>
      <c r="C2296" s="13" t="s">
        <v>16068</v>
      </c>
      <c r="D2296" s="13">
        <v>2</v>
      </c>
      <c r="E2296" s="179" t="s">
        <v>16069</v>
      </c>
      <c r="F2296" s="7" t="s">
        <v>11535</v>
      </c>
    </row>
    <row r="2297" ht="18" customHeight="1" spans="1:6">
      <c r="A2297" s="5" t="s">
        <v>7886</v>
      </c>
      <c r="B2297" s="13" t="s">
        <v>16070</v>
      </c>
      <c r="C2297" s="13" t="s">
        <v>15949</v>
      </c>
      <c r="D2297" s="13">
        <v>3</v>
      </c>
      <c r="E2297" s="179" t="s">
        <v>16071</v>
      </c>
      <c r="F2297" s="7" t="s">
        <v>11535</v>
      </c>
    </row>
    <row r="2298" ht="18" customHeight="1" spans="1:6">
      <c r="A2298" s="5" t="s">
        <v>7886</v>
      </c>
      <c r="B2298" s="13" t="s">
        <v>16070</v>
      </c>
      <c r="C2298" s="13" t="s">
        <v>16072</v>
      </c>
      <c r="D2298" s="13">
        <v>5</v>
      </c>
      <c r="E2298" s="179" t="s">
        <v>16073</v>
      </c>
      <c r="F2298" s="7" t="s">
        <v>11535</v>
      </c>
    </row>
    <row r="2299" ht="18" customHeight="1" spans="1:6">
      <c r="A2299" s="5" t="s">
        <v>7886</v>
      </c>
      <c r="B2299" s="13" t="s">
        <v>16070</v>
      </c>
      <c r="C2299" s="13" t="s">
        <v>7945</v>
      </c>
      <c r="D2299" s="13">
        <v>4</v>
      </c>
      <c r="E2299" s="179" t="s">
        <v>16074</v>
      </c>
      <c r="F2299" s="7" t="s">
        <v>11535</v>
      </c>
    </row>
    <row r="2300" ht="18" customHeight="1" spans="1:6">
      <c r="A2300" s="5" t="s">
        <v>7886</v>
      </c>
      <c r="B2300" s="13" t="s">
        <v>16075</v>
      </c>
      <c r="C2300" s="13" t="s">
        <v>16076</v>
      </c>
      <c r="D2300" s="13">
        <v>1</v>
      </c>
      <c r="E2300" s="179" t="s">
        <v>16077</v>
      </c>
      <c r="F2300" s="7" t="s">
        <v>11535</v>
      </c>
    </row>
    <row r="2301" ht="18" customHeight="1" spans="1:6">
      <c r="A2301" s="5" t="s">
        <v>7886</v>
      </c>
      <c r="B2301" s="13" t="s">
        <v>16078</v>
      </c>
      <c r="C2301" s="13" t="s">
        <v>6492</v>
      </c>
      <c r="D2301" s="13">
        <v>1</v>
      </c>
      <c r="E2301" s="179" t="s">
        <v>16079</v>
      </c>
      <c r="F2301" s="7" t="s">
        <v>11535</v>
      </c>
    </row>
    <row r="2302" ht="18" customHeight="1" spans="1:6">
      <c r="A2302" s="5" t="s">
        <v>7886</v>
      </c>
      <c r="B2302" s="13" t="s">
        <v>16078</v>
      </c>
      <c r="C2302" s="13" t="s">
        <v>16080</v>
      </c>
      <c r="D2302" s="13">
        <v>1</v>
      </c>
      <c r="E2302" s="179" t="s">
        <v>16081</v>
      </c>
      <c r="F2302" s="7" t="s">
        <v>11535</v>
      </c>
    </row>
    <row r="2303" ht="18" customHeight="1" spans="1:6">
      <c r="A2303" s="5" t="s">
        <v>7886</v>
      </c>
      <c r="B2303" s="13" t="s">
        <v>16078</v>
      </c>
      <c r="C2303" s="48" t="s">
        <v>8502</v>
      </c>
      <c r="D2303" s="13">
        <v>2</v>
      </c>
      <c r="E2303" s="179" t="s">
        <v>16082</v>
      </c>
      <c r="F2303" s="7" t="s">
        <v>11535</v>
      </c>
    </row>
    <row r="2304" ht="18" customHeight="1" spans="1:6">
      <c r="A2304" s="5" t="s">
        <v>7886</v>
      </c>
      <c r="B2304" s="13" t="s">
        <v>16078</v>
      </c>
      <c r="C2304" s="48" t="s">
        <v>16083</v>
      </c>
      <c r="D2304" s="13">
        <v>2</v>
      </c>
      <c r="E2304" s="14" t="s">
        <v>16084</v>
      </c>
      <c r="F2304" s="7" t="s">
        <v>11535</v>
      </c>
    </row>
    <row r="2305" ht="18" customHeight="1" spans="1:6">
      <c r="A2305" s="5" t="s">
        <v>7886</v>
      </c>
      <c r="B2305" s="13" t="s">
        <v>16078</v>
      </c>
      <c r="C2305" s="13" t="s">
        <v>16085</v>
      </c>
      <c r="D2305" s="13">
        <v>1</v>
      </c>
      <c r="E2305" s="13" t="s">
        <v>16086</v>
      </c>
      <c r="F2305" s="7" t="s">
        <v>11535</v>
      </c>
    </row>
    <row r="2306" ht="18" customHeight="1" spans="1:6">
      <c r="A2306" s="5" t="s">
        <v>7886</v>
      </c>
      <c r="B2306" s="13" t="s">
        <v>8013</v>
      </c>
      <c r="C2306" s="13" t="s">
        <v>16087</v>
      </c>
      <c r="D2306" s="5">
        <v>1</v>
      </c>
      <c r="E2306" s="178" t="s">
        <v>16088</v>
      </c>
      <c r="F2306" s="7" t="s">
        <v>11535</v>
      </c>
    </row>
    <row r="2307" ht="18" customHeight="1" spans="1:6">
      <c r="A2307" s="5" t="s">
        <v>7886</v>
      </c>
      <c r="B2307" s="13" t="s">
        <v>8013</v>
      </c>
      <c r="C2307" s="13" t="s">
        <v>16089</v>
      </c>
      <c r="D2307" s="5">
        <v>1</v>
      </c>
      <c r="E2307" s="178" t="s">
        <v>16090</v>
      </c>
      <c r="F2307" s="7" t="s">
        <v>11535</v>
      </c>
    </row>
    <row r="2308" ht="18" customHeight="1" spans="1:6">
      <c r="A2308" s="5" t="s">
        <v>7886</v>
      </c>
      <c r="B2308" s="13" t="s">
        <v>8013</v>
      </c>
      <c r="C2308" s="13" t="s">
        <v>16091</v>
      </c>
      <c r="D2308" s="5">
        <v>4</v>
      </c>
      <c r="E2308" s="178" t="s">
        <v>16092</v>
      </c>
      <c r="F2308" s="7" t="s">
        <v>11535</v>
      </c>
    </row>
    <row r="2309" ht="18" customHeight="1" spans="1:6">
      <c r="A2309" s="5" t="s">
        <v>7886</v>
      </c>
      <c r="B2309" s="13" t="s">
        <v>8013</v>
      </c>
      <c r="C2309" s="13" t="s">
        <v>16093</v>
      </c>
      <c r="D2309" s="5">
        <v>3</v>
      </c>
      <c r="E2309" s="178" t="s">
        <v>16094</v>
      </c>
      <c r="F2309" s="7" t="s">
        <v>11535</v>
      </c>
    </row>
    <row r="2310" ht="18" customHeight="1" spans="1:6">
      <c r="A2310" s="5" t="s">
        <v>7886</v>
      </c>
      <c r="B2310" s="13" t="s">
        <v>8013</v>
      </c>
      <c r="C2310" s="13" t="s">
        <v>16095</v>
      </c>
      <c r="D2310" s="5">
        <v>3</v>
      </c>
      <c r="E2310" s="5" t="s">
        <v>16096</v>
      </c>
      <c r="F2310" s="7" t="s">
        <v>11535</v>
      </c>
    </row>
    <row r="2311" ht="18" customHeight="1" spans="1:6">
      <c r="A2311" s="5" t="s">
        <v>7886</v>
      </c>
      <c r="B2311" s="13" t="s">
        <v>8013</v>
      </c>
      <c r="C2311" s="13" t="s">
        <v>16097</v>
      </c>
      <c r="D2311" s="5">
        <v>2</v>
      </c>
      <c r="E2311" s="178" t="s">
        <v>16098</v>
      </c>
      <c r="F2311" s="7" t="s">
        <v>11535</v>
      </c>
    </row>
    <row r="2312" ht="18" customHeight="1" spans="1:6">
      <c r="A2312" s="5" t="s">
        <v>7886</v>
      </c>
      <c r="B2312" s="13" t="s">
        <v>8013</v>
      </c>
      <c r="C2312" s="13" t="s">
        <v>16099</v>
      </c>
      <c r="D2312" s="5">
        <v>2</v>
      </c>
      <c r="E2312" s="178" t="s">
        <v>16100</v>
      </c>
      <c r="F2312" s="7" t="s">
        <v>11535</v>
      </c>
    </row>
    <row r="2313" ht="18" customHeight="1" spans="1:6">
      <c r="A2313" s="5" t="s">
        <v>7886</v>
      </c>
      <c r="B2313" s="13" t="s">
        <v>8013</v>
      </c>
      <c r="C2313" s="13" t="s">
        <v>16101</v>
      </c>
      <c r="D2313" s="5">
        <v>2</v>
      </c>
      <c r="E2313" s="5" t="s">
        <v>16102</v>
      </c>
      <c r="F2313" s="7" t="s">
        <v>11535</v>
      </c>
    </row>
    <row r="2314" ht="18" customHeight="1" spans="1:6">
      <c r="A2314" s="5" t="s">
        <v>7886</v>
      </c>
      <c r="B2314" s="13" t="s">
        <v>8013</v>
      </c>
      <c r="C2314" s="13" t="s">
        <v>16103</v>
      </c>
      <c r="D2314" s="5">
        <v>1</v>
      </c>
      <c r="E2314" s="178" t="s">
        <v>16104</v>
      </c>
      <c r="F2314" s="7" t="s">
        <v>11535</v>
      </c>
    </row>
    <row r="2315" ht="18" customHeight="1" spans="1:6">
      <c r="A2315" s="5" t="s">
        <v>7886</v>
      </c>
      <c r="B2315" s="13" t="s">
        <v>8013</v>
      </c>
      <c r="C2315" s="13" t="s">
        <v>16105</v>
      </c>
      <c r="D2315" s="5">
        <v>1</v>
      </c>
      <c r="E2315" s="178" t="s">
        <v>16106</v>
      </c>
      <c r="F2315" s="7" t="s">
        <v>11535</v>
      </c>
    </row>
    <row r="2316" ht="18" customHeight="1" spans="1:6">
      <c r="A2316" s="5" t="s">
        <v>7886</v>
      </c>
      <c r="B2316" s="13" t="s">
        <v>8013</v>
      </c>
      <c r="C2316" s="13" t="s">
        <v>16107</v>
      </c>
      <c r="D2316" s="5">
        <v>1</v>
      </c>
      <c r="E2316" s="178" t="s">
        <v>16108</v>
      </c>
      <c r="F2316" s="7" t="s">
        <v>11535</v>
      </c>
    </row>
    <row r="2317" ht="18" customHeight="1" spans="1:6">
      <c r="A2317" s="5" t="s">
        <v>7886</v>
      </c>
      <c r="B2317" s="13" t="s">
        <v>8013</v>
      </c>
      <c r="C2317" s="13" t="s">
        <v>16109</v>
      </c>
      <c r="D2317" s="5">
        <v>1</v>
      </c>
      <c r="E2317" s="178" t="s">
        <v>16110</v>
      </c>
      <c r="F2317" s="7" t="s">
        <v>11535</v>
      </c>
    </row>
    <row r="2318" ht="18" customHeight="1" spans="1:6">
      <c r="A2318" s="5" t="s">
        <v>7886</v>
      </c>
      <c r="B2318" s="13" t="s">
        <v>8013</v>
      </c>
      <c r="C2318" s="13" t="s">
        <v>16111</v>
      </c>
      <c r="D2318" s="5">
        <v>1</v>
      </c>
      <c r="E2318" s="178" t="s">
        <v>16112</v>
      </c>
      <c r="F2318" s="7" t="s">
        <v>11535</v>
      </c>
    </row>
    <row r="2319" ht="18" customHeight="1" spans="1:6">
      <c r="A2319" s="5" t="s">
        <v>7886</v>
      </c>
      <c r="B2319" s="13" t="s">
        <v>8013</v>
      </c>
      <c r="C2319" s="13" t="s">
        <v>16113</v>
      </c>
      <c r="D2319" s="5">
        <v>2</v>
      </c>
      <c r="E2319" s="178" t="s">
        <v>16114</v>
      </c>
      <c r="F2319" s="7" t="s">
        <v>11535</v>
      </c>
    </row>
    <row r="2320" ht="18" customHeight="1" spans="1:6">
      <c r="A2320" s="5" t="s">
        <v>7886</v>
      </c>
      <c r="B2320" s="13" t="s">
        <v>8079</v>
      </c>
      <c r="C2320" s="13" t="s">
        <v>16115</v>
      </c>
      <c r="D2320" s="5">
        <v>3</v>
      </c>
      <c r="E2320" s="13" t="s">
        <v>16116</v>
      </c>
      <c r="F2320" s="7" t="s">
        <v>11535</v>
      </c>
    </row>
    <row r="2321" ht="18" customHeight="1" spans="1:6">
      <c r="A2321" s="5" t="s">
        <v>7886</v>
      </c>
      <c r="B2321" s="13" t="s">
        <v>8079</v>
      </c>
      <c r="C2321" s="13" t="s">
        <v>16117</v>
      </c>
      <c r="D2321" s="5">
        <v>1</v>
      </c>
      <c r="E2321" s="13" t="s">
        <v>16118</v>
      </c>
      <c r="F2321" s="7" t="s">
        <v>11535</v>
      </c>
    </row>
    <row r="2322" ht="18" customHeight="1" spans="1:6">
      <c r="A2322" s="5" t="s">
        <v>7886</v>
      </c>
      <c r="B2322" s="13" t="s">
        <v>8079</v>
      </c>
      <c r="C2322" s="13" t="s">
        <v>16119</v>
      </c>
      <c r="D2322" s="5">
        <v>1</v>
      </c>
      <c r="E2322" s="13" t="s">
        <v>16120</v>
      </c>
      <c r="F2322" s="7" t="s">
        <v>11535</v>
      </c>
    </row>
    <row r="2323" ht="18" customHeight="1" spans="1:6">
      <c r="A2323" s="5" t="s">
        <v>7886</v>
      </c>
      <c r="B2323" s="13" t="s">
        <v>8079</v>
      </c>
      <c r="C2323" s="13" t="s">
        <v>16121</v>
      </c>
      <c r="D2323" s="5">
        <v>1</v>
      </c>
      <c r="E2323" s="13" t="s">
        <v>16122</v>
      </c>
      <c r="F2323" s="7" t="s">
        <v>11535</v>
      </c>
    </row>
    <row r="2324" ht="18" customHeight="1" spans="1:6">
      <c r="A2324" s="5" t="s">
        <v>7886</v>
      </c>
      <c r="B2324" s="13" t="s">
        <v>8079</v>
      </c>
      <c r="C2324" s="13" t="s">
        <v>16123</v>
      </c>
      <c r="D2324" s="5">
        <v>1</v>
      </c>
      <c r="E2324" s="13" t="s">
        <v>16124</v>
      </c>
      <c r="F2324" s="7" t="s">
        <v>11535</v>
      </c>
    </row>
    <row r="2325" ht="18" customHeight="1" spans="1:6">
      <c r="A2325" s="5" t="s">
        <v>7886</v>
      </c>
      <c r="B2325" s="13" t="s">
        <v>8079</v>
      </c>
      <c r="C2325" s="13" t="s">
        <v>16125</v>
      </c>
      <c r="D2325" s="5">
        <v>1</v>
      </c>
      <c r="E2325" s="13" t="s">
        <v>16126</v>
      </c>
      <c r="F2325" s="7" t="s">
        <v>11535</v>
      </c>
    </row>
    <row r="2326" ht="18" customHeight="1" spans="1:6">
      <c r="A2326" s="5" t="s">
        <v>7886</v>
      </c>
      <c r="B2326" s="13" t="s">
        <v>8079</v>
      </c>
      <c r="C2326" s="13" t="s">
        <v>16127</v>
      </c>
      <c r="D2326" s="5">
        <v>1</v>
      </c>
      <c r="E2326" s="13" t="s">
        <v>16128</v>
      </c>
      <c r="F2326" s="7" t="s">
        <v>11535</v>
      </c>
    </row>
    <row r="2327" ht="18" customHeight="1" spans="1:6">
      <c r="A2327" s="5" t="s">
        <v>7886</v>
      </c>
      <c r="B2327" s="13" t="s">
        <v>8079</v>
      </c>
      <c r="C2327" s="13" t="s">
        <v>16129</v>
      </c>
      <c r="D2327" s="13">
        <v>2</v>
      </c>
      <c r="E2327" s="14" t="s">
        <v>16130</v>
      </c>
      <c r="F2327" s="7" t="s">
        <v>11535</v>
      </c>
    </row>
    <row r="2328" ht="18" customHeight="1" spans="1:6">
      <c r="A2328" s="5" t="s">
        <v>7886</v>
      </c>
      <c r="B2328" s="13" t="s">
        <v>8079</v>
      </c>
      <c r="C2328" s="48" t="s">
        <v>16131</v>
      </c>
      <c r="D2328" s="13">
        <v>3</v>
      </c>
      <c r="E2328" s="14" t="s">
        <v>16132</v>
      </c>
      <c r="F2328" s="7" t="s">
        <v>11535</v>
      </c>
    </row>
    <row r="2329" ht="18" customHeight="1" spans="1:6">
      <c r="A2329" s="5" t="s">
        <v>7886</v>
      </c>
      <c r="B2329" s="13" t="s">
        <v>8079</v>
      </c>
      <c r="C2329" s="48" t="s">
        <v>6308</v>
      </c>
      <c r="D2329" s="13">
        <v>3</v>
      </c>
      <c r="E2329" s="14" t="s">
        <v>16133</v>
      </c>
      <c r="F2329" s="7" t="s">
        <v>11535</v>
      </c>
    </row>
    <row r="2330" ht="18" customHeight="1" spans="1:6">
      <c r="A2330" s="5" t="s">
        <v>7886</v>
      </c>
      <c r="B2330" s="13" t="s">
        <v>8147</v>
      </c>
      <c r="C2330" s="48" t="s">
        <v>16134</v>
      </c>
      <c r="D2330" s="13">
        <v>2</v>
      </c>
      <c r="E2330" s="14" t="s">
        <v>16135</v>
      </c>
      <c r="F2330" s="7" t="s">
        <v>11535</v>
      </c>
    </row>
    <row r="2331" ht="18" customHeight="1" spans="1:6">
      <c r="A2331" s="5" t="s">
        <v>7886</v>
      </c>
      <c r="B2331" s="5" t="s">
        <v>16136</v>
      </c>
      <c r="C2331" s="48" t="s">
        <v>16137</v>
      </c>
      <c r="D2331" s="15">
        <v>3</v>
      </c>
      <c r="E2331" s="14" t="s">
        <v>16138</v>
      </c>
      <c r="F2331" s="7" t="s">
        <v>11535</v>
      </c>
    </row>
    <row r="2332" ht="18" customHeight="1" spans="1:6">
      <c r="A2332" s="5" t="s">
        <v>7886</v>
      </c>
      <c r="B2332" s="5" t="s">
        <v>16136</v>
      </c>
      <c r="C2332" s="48" t="s">
        <v>16139</v>
      </c>
      <c r="D2332" s="15">
        <v>1</v>
      </c>
      <c r="E2332" s="14" t="s">
        <v>16140</v>
      </c>
      <c r="F2332" s="7" t="s">
        <v>11535</v>
      </c>
    </row>
    <row r="2333" ht="18" customHeight="1" spans="1:6">
      <c r="A2333" s="5" t="s">
        <v>7886</v>
      </c>
      <c r="B2333" s="5" t="s">
        <v>16136</v>
      </c>
      <c r="C2333" s="48" t="s">
        <v>16141</v>
      </c>
      <c r="D2333" s="15">
        <v>1</v>
      </c>
      <c r="E2333" s="14" t="s">
        <v>16142</v>
      </c>
      <c r="F2333" s="7" t="s">
        <v>11535</v>
      </c>
    </row>
    <row r="2334" ht="18" customHeight="1" spans="1:6">
      <c r="A2334" s="5" t="s">
        <v>7886</v>
      </c>
      <c r="B2334" s="5" t="s">
        <v>16136</v>
      </c>
      <c r="C2334" s="48" t="s">
        <v>16143</v>
      </c>
      <c r="D2334" s="15">
        <v>1</v>
      </c>
      <c r="E2334" s="14" t="s">
        <v>16144</v>
      </c>
      <c r="F2334" s="7" t="s">
        <v>11535</v>
      </c>
    </row>
    <row r="2335" ht="18" customHeight="1" spans="1:6">
      <c r="A2335" s="5" t="s">
        <v>7886</v>
      </c>
      <c r="B2335" s="5" t="s">
        <v>16136</v>
      </c>
      <c r="C2335" s="48" t="s">
        <v>16145</v>
      </c>
      <c r="D2335" s="15">
        <v>1</v>
      </c>
      <c r="E2335" s="14" t="s">
        <v>16146</v>
      </c>
      <c r="F2335" s="7" t="s">
        <v>11535</v>
      </c>
    </row>
    <row r="2336" ht="18" customHeight="1" spans="1:6">
      <c r="A2336" s="5" t="s">
        <v>7886</v>
      </c>
      <c r="B2336" s="5" t="s">
        <v>16136</v>
      </c>
      <c r="C2336" s="48" t="s">
        <v>16147</v>
      </c>
      <c r="D2336" s="15">
        <v>3</v>
      </c>
      <c r="E2336" s="5" t="str">
        <f>LEFT("42262619550423541X",19)</f>
        <v>42262619550423541X</v>
      </c>
      <c r="F2336" s="7" t="s">
        <v>11535</v>
      </c>
    </row>
    <row r="2337" ht="18" customHeight="1" spans="1:6">
      <c r="A2337" s="5" t="s">
        <v>7886</v>
      </c>
      <c r="B2337" s="5" t="s">
        <v>16136</v>
      </c>
      <c r="C2337" s="48" t="s">
        <v>16148</v>
      </c>
      <c r="D2337" s="15">
        <v>3</v>
      </c>
      <c r="E2337" s="14" t="s">
        <v>16149</v>
      </c>
      <c r="F2337" s="7" t="s">
        <v>11535</v>
      </c>
    </row>
    <row r="2338" ht="18" customHeight="1" spans="1:6">
      <c r="A2338" s="5" t="s">
        <v>7886</v>
      </c>
      <c r="B2338" s="5" t="s">
        <v>16136</v>
      </c>
      <c r="C2338" s="48" t="s">
        <v>16150</v>
      </c>
      <c r="D2338" s="15">
        <v>1</v>
      </c>
      <c r="E2338" s="14" t="s">
        <v>16151</v>
      </c>
      <c r="F2338" s="7" t="s">
        <v>11535</v>
      </c>
    </row>
    <row r="2339" ht="18" customHeight="1" spans="1:6">
      <c r="A2339" s="5" t="s">
        <v>7886</v>
      </c>
      <c r="B2339" s="5" t="s">
        <v>16136</v>
      </c>
      <c r="C2339" s="48" t="s">
        <v>628</v>
      </c>
      <c r="D2339" s="15">
        <v>3</v>
      </c>
      <c r="E2339" s="14" t="s">
        <v>16152</v>
      </c>
      <c r="F2339" s="7" t="s">
        <v>11535</v>
      </c>
    </row>
    <row r="2340" ht="18" customHeight="1" spans="1:6">
      <c r="A2340" s="5" t="s">
        <v>7886</v>
      </c>
      <c r="B2340" s="5" t="s">
        <v>16136</v>
      </c>
      <c r="C2340" s="48" t="s">
        <v>16153</v>
      </c>
      <c r="D2340" s="15">
        <v>1</v>
      </c>
      <c r="E2340" s="14" t="s">
        <v>16154</v>
      </c>
      <c r="F2340" s="7" t="s">
        <v>11535</v>
      </c>
    </row>
    <row r="2341" ht="18" customHeight="1" spans="1:6">
      <c r="A2341" s="5" t="s">
        <v>7886</v>
      </c>
      <c r="B2341" s="5" t="s">
        <v>16136</v>
      </c>
      <c r="C2341" s="48" t="s">
        <v>16155</v>
      </c>
      <c r="D2341" s="15">
        <v>2</v>
      </c>
      <c r="E2341" s="5" t="str">
        <f>LEFT("422626198002105416",19)</f>
        <v>422626198002105416</v>
      </c>
      <c r="F2341" s="7" t="s">
        <v>11535</v>
      </c>
    </row>
    <row r="2342" ht="18" customHeight="1" spans="1:6">
      <c r="A2342" s="5" t="s">
        <v>7886</v>
      </c>
      <c r="B2342" s="5" t="s">
        <v>16136</v>
      </c>
      <c r="C2342" s="48" t="s">
        <v>16156</v>
      </c>
      <c r="D2342" s="15">
        <v>1</v>
      </c>
      <c r="E2342" s="14" t="s">
        <v>16157</v>
      </c>
      <c r="F2342" s="7" t="s">
        <v>11535</v>
      </c>
    </row>
    <row r="2343" ht="18" customHeight="1" spans="1:6">
      <c r="A2343" s="5" t="s">
        <v>7886</v>
      </c>
      <c r="B2343" s="5" t="s">
        <v>16136</v>
      </c>
      <c r="C2343" s="48" t="s">
        <v>16158</v>
      </c>
      <c r="D2343" s="15">
        <v>4</v>
      </c>
      <c r="E2343" s="14" t="s">
        <v>16159</v>
      </c>
      <c r="F2343" s="7" t="s">
        <v>11535</v>
      </c>
    </row>
    <row r="2344" ht="18" customHeight="1" spans="1:6">
      <c r="A2344" s="5" t="s">
        <v>7886</v>
      </c>
      <c r="B2344" s="5" t="s">
        <v>16136</v>
      </c>
      <c r="C2344" s="48" t="s">
        <v>7716</v>
      </c>
      <c r="D2344" s="15">
        <v>4</v>
      </c>
      <c r="E2344" s="14" t="s">
        <v>16160</v>
      </c>
      <c r="F2344" s="7" t="s">
        <v>11535</v>
      </c>
    </row>
    <row r="2345" ht="18" customHeight="1" spans="1:6">
      <c r="A2345" s="5" t="s">
        <v>7886</v>
      </c>
      <c r="B2345" s="15" t="s">
        <v>16161</v>
      </c>
      <c r="C2345" s="13" t="s">
        <v>16162</v>
      </c>
      <c r="D2345" s="5">
        <v>6</v>
      </c>
      <c r="E2345" s="178" t="s">
        <v>16163</v>
      </c>
      <c r="F2345" s="7" t="s">
        <v>11535</v>
      </c>
    </row>
    <row r="2346" ht="18" customHeight="1" spans="1:6">
      <c r="A2346" s="5" t="s">
        <v>7886</v>
      </c>
      <c r="B2346" s="15" t="s">
        <v>16161</v>
      </c>
      <c r="C2346" s="13" t="s">
        <v>16164</v>
      </c>
      <c r="D2346" s="5">
        <v>2</v>
      </c>
      <c r="E2346" s="5" t="s">
        <v>16165</v>
      </c>
      <c r="F2346" s="7" t="s">
        <v>11535</v>
      </c>
    </row>
    <row r="2347" ht="18" customHeight="1" spans="1:6">
      <c r="A2347" s="5" t="s">
        <v>7886</v>
      </c>
      <c r="B2347" s="15" t="s">
        <v>16161</v>
      </c>
      <c r="C2347" s="13" t="s">
        <v>16166</v>
      </c>
      <c r="D2347" s="13">
        <v>1</v>
      </c>
      <c r="E2347" s="13" t="s">
        <v>16167</v>
      </c>
      <c r="F2347" s="7" t="s">
        <v>11535</v>
      </c>
    </row>
    <row r="2348" ht="18" customHeight="1" spans="1:6">
      <c r="A2348" s="5" t="s">
        <v>7886</v>
      </c>
      <c r="B2348" s="13" t="s">
        <v>8160</v>
      </c>
      <c r="C2348" s="5" t="s">
        <v>16168</v>
      </c>
      <c r="D2348" s="13">
        <v>1</v>
      </c>
      <c r="E2348" s="5" t="str">
        <f>LEFT("422626194708065411",19)</f>
        <v>422626194708065411</v>
      </c>
      <c r="F2348" s="7" t="s">
        <v>11535</v>
      </c>
    </row>
    <row r="2349" ht="18" customHeight="1" spans="1:6">
      <c r="A2349" s="5" t="s">
        <v>7886</v>
      </c>
      <c r="B2349" s="13" t="s">
        <v>8160</v>
      </c>
      <c r="C2349" s="5" t="s">
        <v>16169</v>
      </c>
      <c r="D2349" s="13">
        <v>3</v>
      </c>
      <c r="E2349" s="5" t="s">
        <v>16170</v>
      </c>
      <c r="F2349" s="7" t="s">
        <v>11535</v>
      </c>
    </row>
    <row r="2350" ht="18" customHeight="1" spans="1:6">
      <c r="A2350" s="5" t="s">
        <v>7886</v>
      </c>
      <c r="B2350" s="13" t="s">
        <v>8160</v>
      </c>
      <c r="C2350" s="13" t="s">
        <v>16171</v>
      </c>
      <c r="D2350" s="13">
        <v>3</v>
      </c>
      <c r="E2350" s="179" t="s">
        <v>16172</v>
      </c>
      <c r="F2350" s="7" t="s">
        <v>11535</v>
      </c>
    </row>
    <row r="2351" ht="18" customHeight="1" spans="1:6">
      <c r="A2351" s="5" t="s">
        <v>7886</v>
      </c>
      <c r="B2351" s="13" t="s">
        <v>8160</v>
      </c>
      <c r="C2351" s="13" t="s">
        <v>16173</v>
      </c>
      <c r="D2351" s="13">
        <v>3</v>
      </c>
      <c r="E2351" s="179" t="s">
        <v>16174</v>
      </c>
      <c r="F2351" s="7" t="s">
        <v>11535</v>
      </c>
    </row>
    <row r="2352" ht="18" customHeight="1" spans="1:6">
      <c r="A2352" s="5" t="s">
        <v>7886</v>
      </c>
      <c r="B2352" s="13" t="s">
        <v>8160</v>
      </c>
      <c r="C2352" s="48" t="s">
        <v>16175</v>
      </c>
      <c r="D2352" s="13">
        <v>2</v>
      </c>
      <c r="E2352" s="14" t="s">
        <v>16176</v>
      </c>
      <c r="F2352" s="7" t="s">
        <v>11535</v>
      </c>
    </row>
    <row r="2353" ht="18" customHeight="1" spans="1:6">
      <c r="A2353" s="13" t="s">
        <v>8208</v>
      </c>
      <c r="B2353" s="13"/>
      <c r="C2353" s="13">
        <v>68</v>
      </c>
      <c r="D2353" s="13">
        <v>143</v>
      </c>
      <c r="E2353" s="13"/>
      <c r="F2353" s="5"/>
    </row>
    <row r="2354" ht="18" customHeight="1" spans="1:6">
      <c r="A2354" s="6" t="s">
        <v>8209</v>
      </c>
      <c r="B2354" s="6" t="s">
        <v>8210</v>
      </c>
      <c r="C2354" s="51" t="s">
        <v>16177</v>
      </c>
      <c r="D2354" s="5">
        <v>4</v>
      </c>
      <c r="E2354" s="16" t="s">
        <v>16178</v>
      </c>
      <c r="F2354" s="7" t="s">
        <v>11535</v>
      </c>
    </row>
    <row r="2355" ht="18" customHeight="1" spans="1:6">
      <c r="A2355" s="6" t="s">
        <v>8209</v>
      </c>
      <c r="B2355" s="6" t="s">
        <v>8210</v>
      </c>
      <c r="C2355" s="51" t="s">
        <v>16179</v>
      </c>
      <c r="D2355" s="5">
        <v>4</v>
      </c>
      <c r="E2355" s="6" t="s">
        <v>16180</v>
      </c>
      <c r="F2355" s="7" t="s">
        <v>11535</v>
      </c>
    </row>
    <row r="2356" ht="18" customHeight="1" spans="1:6">
      <c r="A2356" s="6" t="s">
        <v>8209</v>
      </c>
      <c r="B2356" s="6" t="s">
        <v>8210</v>
      </c>
      <c r="C2356" s="6" t="s">
        <v>16181</v>
      </c>
      <c r="D2356" s="5">
        <v>5</v>
      </c>
      <c r="E2356" s="6" t="s">
        <v>16182</v>
      </c>
      <c r="F2356" s="7" t="s">
        <v>11535</v>
      </c>
    </row>
    <row r="2357" ht="18" customHeight="1" spans="1:6">
      <c r="A2357" s="6" t="s">
        <v>8209</v>
      </c>
      <c r="B2357" s="6" t="s">
        <v>8257</v>
      </c>
      <c r="C2357" s="51" t="s">
        <v>6387</v>
      </c>
      <c r="D2357" s="5">
        <v>1</v>
      </c>
      <c r="E2357" s="6" t="s">
        <v>16183</v>
      </c>
      <c r="F2357" s="7" t="s">
        <v>11535</v>
      </c>
    </row>
    <row r="2358" ht="18" customHeight="1" spans="1:6">
      <c r="A2358" s="6" t="s">
        <v>8209</v>
      </c>
      <c r="B2358" s="6" t="s">
        <v>8257</v>
      </c>
      <c r="C2358" s="51" t="s">
        <v>16184</v>
      </c>
      <c r="D2358" s="5">
        <v>2</v>
      </c>
      <c r="E2358" s="6" t="s">
        <v>16185</v>
      </c>
      <c r="F2358" s="7" t="s">
        <v>11535</v>
      </c>
    </row>
    <row r="2359" ht="18" customHeight="1" spans="1:6">
      <c r="A2359" s="6" t="s">
        <v>8209</v>
      </c>
      <c r="B2359" s="6" t="s">
        <v>8257</v>
      </c>
      <c r="C2359" s="51" t="s">
        <v>16186</v>
      </c>
      <c r="D2359" s="5">
        <v>4</v>
      </c>
      <c r="E2359" s="195" t="s">
        <v>16187</v>
      </c>
      <c r="F2359" s="7" t="s">
        <v>11535</v>
      </c>
    </row>
    <row r="2360" ht="18" customHeight="1" spans="1:6">
      <c r="A2360" s="6" t="s">
        <v>8209</v>
      </c>
      <c r="B2360" s="6" t="s">
        <v>8257</v>
      </c>
      <c r="C2360" s="51" t="s">
        <v>16188</v>
      </c>
      <c r="D2360" s="5">
        <v>4</v>
      </c>
      <c r="E2360" s="6" t="s">
        <v>16189</v>
      </c>
      <c r="F2360" s="7" t="s">
        <v>11535</v>
      </c>
    </row>
    <row r="2361" ht="18" customHeight="1" spans="1:6">
      <c r="A2361" s="6" t="s">
        <v>8209</v>
      </c>
      <c r="B2361" s="6" t="s">
        <v>8257</v>
      </c>
      <c r="C2361" s="6" t="s">
        <v>16190</v>
      </c>
      <c r="D2361" s="5">
        <v>5</v>
      </c>
      <c r="E2361" s="6" t="s">
        <v>16191</v>
      </c>
      <c r="F2361" s="7" t="s">
        <v>11535</v>
      </c>
    </row>
    <row r="2362" ht="18" customHeight="1" spans="1:6">
      <c r="A2362" s="6" t="s">
        <v>8209</v>
      </c>
      <c r="B2362" s="6" t="s">
        <v>8257</v>
      </c>
      <c r="C2362" s="6" t="s">
        <v>16192</v>
      </c>
      <c r="D2362" s="5">
        <v>6</v>
      </c>
      <c r="E2362" s="195" t="s">
        <v>16193</v>
      </c>
      <c r="F2362" s="7" t="s">
        <v>11535</v>
      </c>
    </row>
    <row r="2363" ht="18" customHeight="1" spans="1:6">
      <c r="A2363" s="6" t="s">
        <v>8209</v>
      </c>
      <c r="B2363" s="6" t="s">
        <v>8257</v>
      </c>
      <c r="C2363" s="6" t="s">
        <v>16194</v>
      </c>
      <c r="D2363" s="5">
        <v>3</v>
      </c>
      <c r="E2363" s="195" t="s">
        <v>16195</v>
      </c>
      <c r="F2363" s="7" t="s">
        <v>11535</v>
      </c>
    </row>
    <row r="2364" ht="18" customHeight="1" spans="1:6">
      <c r="A2364" s="6" t="s">
        <v>8209</v>
      </c>
      <c r="B2364" s="6" t="s">
        <v>8257</v>
      </c>
      <c r="C2364" s="6" t="s">
        <v>16196</v>
      </c>
      <c r="D2364" s="5">
        <v>4</v>
      </c>
      <c r="E2364" s="195" t="s">
        <v>16197</v>
      </c>
      <c r="F2364" s="7" t="s">
        <v>11535</v>
      </c>
    </row>
    <row r="2365" ht="18" customHeight="1" spans="1:6">
      <c r="A2365" s="6" t="s">
        <v>8209</v>
      </c>
      <c r="B2365" s="6" t="s">
        <v>8257</v>
      </c>
      <c r="C2365" s="6" t="s">
        <v>16198</v>
      </c>
      <c r="D2365" s="5">
        <v>1</v>
      </c>
      <c r="E2365" s="195" t="s">
        <v>16199</v>
      </c>
      <c r="F2365" s="7" t="s">
        <v>11535</v>
      </c>
    </row>
    <row r="2366" ht="18" customHeight="1" spans="1:6">
      <c r="A2366" s="6" t="s">
        <v>8209</v>
      </c>
      <c r="B2366" s="6" t="s">
        <v>8257</v>
      </c>
      <c r="C2366" s="6" t="s">
        <v>16200</v>
      </c>
      <c r="D2366" s="5">
        <v>4</v>
      </c>
      <c r="E2366" s="6" t="s">
        <v>16201</v>
      </c>
      <c r="F2366" s="7" t="s">
        <v>11535</v>
      </c>
    </row>
    <row r="2367" ht="18" customHeight="1" spans="1:6">
      <c r="A2367" s="6" t="s">
        <v>8209</v>
      </c>
      <c r="B2367" s="6" t="s">
        <v>8257</v>
      </c>
      <c r="C2367" s="6" t="s">
        <v>16202</v>
      </c>
      <c r="D2367" s="5">
        <v>2</v>
      </c>
      <c r="E2367" s="6" t="s">
        <v>16203</v>
      </c>
      <c r="F2367" s="7" t="s">
        <v>11535</v>
      </c>
    </row>
    <row r="2368" ht="18" customHeight="1" spans="1:6">
      <c r="A2368" s="6" t="s">
        <v>8209</v>
      </c>
      <c r="B2368" s="6" t="s">
        <v>8257</v>
      </c>
      <c r="C2368" s="51" t="s">
        <v>16204</v>
      </c>
      <c r="D2368" s="5">
        <v>4</v>
      </c>
      <c r="E2368" s="195" t="s">
        <v>16205</v>
      </c>
      <c r="F2368" s="7" t="s">
        <v>11535</v>
      </c>
    </row>
    <row r="2369" ht="18" customHeight="1" spans="1:6">
      <c r="A2369" s="6" t="s">
        <v>8209</v>
      </c>
      <c r="B2369" s="6" t="s">
        <v>8257</v>
      </c>
      <c r="C2369" s="51" t="s">
        <v>16206</v>
      </c>
      <c r="D2369" s="5">
        <v>1</v>
      </c>
      <c r="E2369" s="6" t="s">
        <v>16207</v>
      </c>
      <c r="F2369" s="7" t="s">
        <v>11535</v>
      </c>
    </row>
    <row r="2370" ht="18" customHeight="1" spans="1:6">
      <c r="A2370" s="6" t="s">
        <v>8209</v>
      </c>
      <c r="B2370" s="6" t="s">
        <v>8257</v>
      </c>
      <c r="C2370" s="51" t="s">
        <v>16208</v>
      </c>
      <c r="D2370" s="5">
        <v>3</v>
      </c>
      <c r="E2370" s="6" t="s">
        <v>16209</v>
      </c>
      <c r="F2370" s="7" t="s">
        <v>11535</v>
      </c>
    </row>
    <row r="2371" ht="18" customHeight="1" spans="1:6">
      <c r="A2371" s="6" t="s">
        <v>8209</v>
      </c>
      <c r="B2371" s="6" t="s">
        <v>8285</v>
      </c>
      <c r="C2371" s="11" t="s">
        <v>15667</v>
      </c>
      <c r="D2371" s="5">
        <v>3</v>
      </c>
      <c r="E2371" s="11" t="s">
        <v>16210</v>
      </c>
      <c r="F2371" s="7" t="s">
        <v>11535</v>
      </c>
    </row>
    <row r="2372" ht="18" customHeight="1" spans="1:6">
      <c r="A2372" s="6" t="s">
        <v>8209</v>
      </c>
      <c r="B2372" s="6" t="s">
        <v>8285</v>
      </c>
      <c r="C2372" s="11" t="s">
        <v>16211</v>
      </c>
      <c r="D2372" s="5">
        <v>6</v>
      </c>
      <c r="E2372" s="11" t="s">
        <v>16212</v>
      </c>
      <c r="F2372" s="7" t="s">
        <v>11535</v>
      </c>
    </row>
    <row r="2373" ht="18" customHeight="1" spans="1:6">
      <c r="A2373" s="6" t="s">
        <v>8209</v>
      </c>
      <c r="B2373" s="6" t="s">
        <v>8285</v>
      </c>
      <c r="C2373" s="11" t="s">
        <v>8268</v>
      </c>
      <c r="D2373" s="5">
        <v>4</v>
      </c>
      <c r="E2373" s="11" t="s">
        <v>16213</v>
      </c>
      <c r="F2373" s="7" t="s">
        <v>11535</v>
      </c>
    </row>
    <row r="2374" ht="18" customHeight="1" spans="1:6">
      <c r="A2374" s="6" t="s">
        <v>8209</v>
      </c>
      <c r="B2374" s="6" t="s">
        <v>8540</v>
      </c>
      <c r="C2374" s="11" t="s">
        <v>16214</v>
      </c>
      <c r="D2374" s="5">
        <v>1</v>
      </c>
      <c r="E2374" s="11" t="s">
        <v>16215</v>
      </c>
      <c r="F2374" s="7" t="s">
        <v>11535</v>
      </c>
    </row>
    <row r="2375" ht="18" customHeight="1" spans="1:6">
      <c r="A2375" s="6" t="s">
        <v>8209</v>
      </c>
      <c r="B2375" s="6" t="s">
        <v>8540</v>
      </c>
      <c r="C2375" s="11" t="s">
        <v>16216</v>
      </c>
      <c r="D2375" s="5">
        <v>4</v>
      </c>
      <c r="E2375" s="11" t="s">
        <v>16217</v>
      </c>
      <c r="F2375" s="7" t="s">
        <v>11535</v>
      </c>
    </row>
    <row r="2376" ht="18" customHeight="1" spans="1:6">
      <c r="A2376" s="6" t="s">
        <v>8209</v>
      </c>
      <c r="B2376" s="6" t="s">
        <v>8540</v>
      </c>
      <c r="C2376" s="11" t="s">
        <v>16218</v>
      </c>
      <c r="D2376" s="5">
        <v>6</v>
      </c>
      <c r="E2376" s="11" t="s">
        <v>16219</v>
      </c>
      <c r="F2376" s="7" t="s">
        <v>11535</v>
      </c>
    </row>
    <row r="2377" ht="18" customHeight="1" spans="1:6">
      <c r="A2377" s="6" t="s">
        <v>8209</v>
      </c>
      <c r="B2377" s="6" t="s">
        <v>8540</v>
      </c>
      <c r="C2377" s="11" t="s">
        <v>16220</v>
      </c>
      <c r="D2377" s="5">
        <v>3</v>
      </c>
      <c r="E2377" s="11" t="s">
        <v>16221</v>
      </c>
      <c r="F2377" s="7" t="s">
        <v>11535</v>
      </c>
    </row>
    <row r="2378" ht="18" customHeight="1" spans="1:6">
      <c r="A2378" s="6" t="s">
        <v>8209</v>
      </c>
      <c r="B2378" s="6" t="s">
        <v>8540</v>
      </c>
      <c r="C2378" s="11" t="s">
        <v>16222</v>
      </c>
      <c r="D2378" s="5">
        <v>5</v>
      </c>
      <c r="E2378" s="11" t="s">
        <v>16223</v>
      </c>
      <c r="F2378" s="7" t="s">
        <v>11535</v>
      </c>
    </row>
    <row r="2379" ht="18" customHeight="1" spans="1:6">
      <c r="A2379" s="6" t="s">
        <v>8209</v>
      </c>
      <c r="B2379" s="6" t="s">
        <v>8540</v>
      </c>
      <c r="C2379" s="11" t="s">
        <v>16224</v>
      </c>
      <c r="D2379" s="5">
        <v>2</v>
      </c>
      <c r="E2379" s="11" t="s">
        <v>16225</v>
      </c>
      <c r="F2379" s="7" t="s">
        <v>11535</v>
      </c>
    </row>
    <row r="2380" ht="18" customHeight="1" spans="1:6">
      <c r="A2380" s="6" t="s">
        <v>8209</v>
      </c>
      <c r="B2380" s="6" t="s">
        <v>8540</v>
      </c>
      <c r="C2380" s="11" t="s">
        <v>16226</v>
      </c>
      <c r="D2380" s="5">
        <v>3</v>
      </c>
      <c r="E2380" s="11" t="s">
        <v>16227</v>
      </c>
      <c r="F2380" s="7" t="s">
        <v>11535</v>
      </c>
    </row>
    <row r="2381" ht="18" customHeight="1" spans="1:6">
      <c r="A2381" s="6" t="s">
        <v>8209</v>
      </c>
      <c r="B2381" s="6" t="s">
        <v>8540</v>
      </c>
      <c r="C2381" s="11" t="s">
        <v>16228</v>
      </c>
      <c r="D2381" s="5">
        <v>1</v>
      </c>
      <c r="E2381" s="11" t="s">
        <v>16229</v>
      </c>
      <c r="F2381" s="7" t="s">
        <v>11535</v>
      </c>
    </row>
    <row r="2382" ht="18" customHeight="1" spans="1:6">
      <c r="A2382" s="6" t="s">
        <v>8209</v>
      </c>
      <c r="B2382" s="6" t="s">
        <v>8540</v>
      </c>
      <c r="C2382" s="11" t="s">
        <v>16230</v>
      </c>
      <c r="D2382" s="5">
        <v>1</v>
      </c>
      <c r="E2382" s="11" t="s">
        <v>16231</v>
      </c>
      <c r="F2382" s="7" t="s">
        <v>11535</v>
      </c>
    </row>
    <row r="2383" ht="18" customHeight="1" spans="1:6">
      <c r="A2383" s="6" t="s">
        <v>8209</v>
      </c>
      <c r="B2383" s="6" t="s">
        <v>8540</v>
      </c>
      <c r="C2383" s="11" t="s">
        <v>16232</v>
      </c>
      <c r="D2383" s="5">
        <v>5</v>
      </c>
      <c r="E2383" s="11" t="s">
        <v>16233</v>
      </c>
      <c r="F2383" s="7" t="s">
        <v>11535</v>
      </c>
    </row>
    <row r="2384" ht="18" customHeight="1" spans="1:6">
      <c r="A2384" s="6" t="s">
        <v>8209</v>
      </c>
      <c r="B2384" s="6" t="s">
        <v>8540</v>
      </c>
      <c r="C2384" s="11" t="s">
        <v>16234</v>
      </c>
      <c r="D2384" s="5">
        <v>4</v>
      </c>
      <c r="E2384" s="11" t="s">
        <v>16235</v>
      </c>
      <c r="F2384" s="7" t="s">
        <v>11535</v>
      </c>
    </row>
    <row r="2385" ht="18" customHeight="1" spans="1:6">
      <c r="A2385" s="6" t="s">
        <v>8209</v>
      </c>
      <c r="B2385" s="6" t="s">
        <v>8580</v>
      </c>
      <c r="C2385" s="51" t="s">
        <v>8584</v>
      </c>
      <c r="D2385" s="5">
        <v>3</v>
      </c>
      <c r="E2385" s="6" t="s">
        <v>8585</v>
      </c>
      <c r="F2385" s="7" t="s">
        <v>11535</v>
      </c>
    </row>
    <row r="2386" ht="18" customHeight="1" spans="1:6">
      <c r="A2386" s="6" t="s">
        <v>8209</v>
      </c>
      <c r="B2386" s="6" t="s">
        <v>8580</v>
      </c>
      <c r="C2386" s="51" t="s">
        <v>16236</v>
      </c>
      <c r="D2386" s="5">
        <v>3</v>
      </c>
      <c r="E2386" s="6" t="s">
        <v>16237</v>
      </c>
      <c r="F2386" s="7" t="s">
        <v>11535</v>
      </c>
    </row>
    <row r="2387" ht="18" customHeight="1" spans="1:6">
      <c r="A2387" s="6" t="s">
        <v>8209</v>
      </c>
      <c r="B2387" s="6" t="s">
        <v>8580</v>
      </c>
      <c r="C2387" s="6" t="s">
        <v>16238</v>
      </c>
      <c r="D2387" s="5">
        <v>4</v>
      </c>
      <c r="E2387" s="6" t="s">
        <v>16239</v>
      </c>
      <c r="F2387" s="7" t="s">
        <v>11535</v>
      </c>
    </row>
    <row r="2388" ht="18" customHeight="1" spans="1:6">
      <c r="A2388" s="6" t="s">
        <v>8209</v>
      </c>
      <c r="B2388" s="6" t="s">
        <v>8580</v>
      </c>
      <c r="C2388" s="6" t="s">
        <v>16240</v>
      </c>
      <c r="D2388" s="5">
        <v>5</v>
      </c>
      <c r="E2388" s="6" t="s">
        <v>16241</v>
      </c>
      <c r="F2388" s="7" t="s">
        <v>11535</v>
      </c>
    </row>
    <row r="2389" ht="18" customHeight="1" spans="1:6">
      <c r="A2389" s="6" t="s">
        <v>8209</v>
      </c>
      <c r="B2389" s="6" t="s">
        <v>8580</v>
      </c>
      <c r="C2389" s="6" t="s">
        <v>16242</v>
      </c>
      <c r="D2389" s="5">
        <v>5</v>
      </c>
      <c r="E2389" s="6" t="s">
        <v>16243</v>
      </c>
      <c r="F2389" s="7" t="s">
        <v>11535</v>
      </c>
    </row>
    <row r="2390" ht="18" customHeight="1" spans="1:6">
      <c r="A2390" s="6" t="s">
        <v>8209</v>
      </c>
      <c r="B2390" s="6" t="s">
        <v>8580</v>
      </c>
      <c r="C2390" s="6" t="s">
        <v>16244</v>
      </c>
      <c r="D2390" s="5">
        <v>2</v>
      </c>
      <c r="E2390" s="6" t="s">
        <v>16245</v>
      </c>
      <c r="F2390" s="7" t="s">
        <v>11535</v>
      </c>
    </row>
    <row r="2391" ht="18" customHeight="1" spans="1:6">
      <c r="A2391" s="6" t="s">
        <v>8209</v>
      </c>
      <c r="B2391" s="6" t="s">
        <v>8580</v>
      </c>
      <c r="C2391" s="6" t="s">
        <v>16246</v>
      </c>
      <c r="D2391" s="5">
        <v>4</v>
      </c>
      <c r="E2391" s="6" t="s">
        <v>16247</v>
      </c>
      <c r="F2391" s="7" t="s">
        <v>11535</v>
      </c>
    </row>
    <row r="2392" ht="18" customHeight="1" spans="1:6">
      <c r="A2392" s="6" t="s">
        <v>8209</v>
      </c>
      <c r="B2392" s="6" t="s">
        <v>8580</v>
      </c>
      <c r="C2392" s="6" t="s">
        <v>16248</v>
      </c>
      <c r="D2392" s="5">
        <v>1</v>
      </c>
      <c r="E2392" s="195" t="s">
        <v>16249</v>
      </c>
      <c r="F2392" s="7" t="s">
        <v>11535</v>
      </c>
    </row>
    <row r="2393" ht="18" customHeight="1" spans="1:6">
      <c r="A2393" s="6" t="s">
        <v>8209</v>
      </c>
      <c r="B2393" s="6" t="s">
        <v>8580</v>
      </c>
      <c r="C2393" s="6" t="s">
        <v>16250</v>
      </c>
      <c r="D2393" s="5">
        <v>2</v>
      </c>
      <c r="E2393" s="6" t="s">
        <v>16251</v>
      </c>
      <c r="F2393" s="7" t="s">
        <v>11535</v>
      </c>
    </row>
    <row r="2394" ht="18" customHeight="1" spans="1:6">
      <c r="A2394" s="6" t="s">
        <v>8209</v>
      </c>
      <c r="B2394" s="6" t="s">
        <v>8580</v>
      </c>
      <c r="C2394" s="51" t="s">
        <v>16252</v>
      </c>
      <c r="D2394" s="5">
        <v>2</v>
      </c>
      <c r="E2394" s="6" t="s">
        <v>16251</v>
      </c>
      <c r="F2394" s="7" t="s">
        <v>11535</v>
      </c>
    </row>
    <row r="2395" ht="18" customHeight="1" spans="1:6">
      <c r="A2395" s="6" t="s">
        <v>8209</v>
      </c>
      <c r="B2395" s="6" t="s">
        <v>8580</v>
      </c>
      <c r="C2395" s="51" t="s">
        <v>7023</v>
      </c>
      <c r="D2395" s="5">
        <v>4</v>
      </c>
      <c r="E2395" s="6" t="s">
        <v>16253</v>
      </c>
      <c r="F2395" s="7" t="s">
        <v>11535</v>
      </c>
    </row>
    <row r="2396" ht="18" customHeight="1" spans="1:6">
      <c r="A2396" s="6" t="s">
        <v>8209</v>
      </c>
      <c r="B2396" s="6" t="s">
        <v>8580</v>
      </c>
      <c r="C2396" s="51" t="s">
        <v>16254</v>
      </c>
      <c r="D2396" s="5">
        <v>3</v>
      </c>
      <c r="E2396" s="9" t="s">
        <v>16255</v>
      </c>
      <c r="F2396" s="7" t="s">
        <v>11535</v>
      </c>
    </row>
    <row r="2397" ht="18" customHeight="1" spans="1:6">
      <c r="A2397" s="6" t="s">
        <v>8209</v>
      </c>
      <c r="B2397" s="6" t="s">
        <v>8580</v>
      </c>
      <c r="C2397" s="51" t="s">
        <v>16256</v>
      </c>
      <c r="D2397" s="5">
        <v>3</v>
      </c>
      <c r="E2397" s="6" t="s">
        <v>16257</v>
      </c>
      <c r="F2397" s="7" t="s">
        <v>11535</v>
      </c>
    </row>
    <row r="2398" ht="18" customHeight="1" spans="1:6">
      <c r="A2398" s="6" t="s">
        <v>8209</v>
      </c>
      <c r="B2398" s="6" t="s">
        <v>8580</v>
      </c>
      <c r="C2398" s="51" t="s">
        <v>16258</v>
      </c>
      <c r="D2398" s="5">
        <v>1</v>
      </c>
      <c r="E2398" s="6" t="s">
        <v>16259</v>
      </c>
      <c r="F2398" s="7" t="s">
        <v>11535</v>
      </c>
    </row>
    <row r="2399" ht="18" customHeight="1" spans="1:6">
      <c r="A2399" s="6" t="s">
        <v>8209</v>
      </c>
      <c r="B2399" s="6" t="s">
        <v>8580</v>
      </c>
      <c r="C2399" s="51" t="s">
        <v>16260</v>
      </c>
      <c r="D2399" s="5">
        <v>2</v>
      </c>
      <c r="E2399" s="11" t="s">
        <v>16261</v>
      </c>
      <c r="F2399" s="7" t="s">
        <v>11535</v>
      </c>
    </row>
    <row r="2400" ht="18" customHeight="1" spans="1:6">
      <c r="A2400" s="6" t="s">
        <v>8209</v>
      </c>
      <c r="B2400" s="6" t="s">
        <v>8580</v>
      </c>
      <c r="C2400" s="51" t="s">
        <v>16262</v>
      </c>
      <c r="D2400" s="5">
        <v>3</v>
      </c>
      <c r="E2400" s="11" t="s">
        <v>16263</v>
      </c>
      <c r="F2400" s="7" t="s">
        <v>11535</v>
      </c>
    </row>
    <row r="2401" ht="18" customHeight="1" spans="1:6">
      <c r="A2401" s="6" t="s">
        <v>8209</v>
      </c>
      <c r="B2401" s="6" t="s">
        <v>8357</v>
      </c>
      <c r="C2401" s="51" t="s">
        <v>16264</v>
      </c>
      <c r="D2401" s="5">
        <v>1</v>
      </c>
      <c r="E2401" s="6" t="s">
        <v>16265</v>
      </c>
      <c r="F2401" s="7" t="s">
        <v>11535</v>
      </c>
    </row>
    <row r="2402" ht="18" customHeight="1" spans="1:6">
      <c r="A2402" s="6" t="s">
        <v>8209</v>
      </c>
      <c r="B2402" s="6" t="s">
        <v>8357</v>
      </c>
      <c r="C2402" s="51" t="s">
        <v>16266</v>
      </c>
      <c r="D2402" s="5">
        <v>3</v>
      </c>
      <c r="E2402" s="6" t="s">
        <v>16267</v>
      </c>
      <c r="F2402" s="7" t="s">
        <v>11535</v>
      </c>
    </row>
    <row r="2403" ht="18" customHeight="1" spans="1:6">
      <c r="A2403" s="6" t="s">
        <v>8209</v>
      </c>
      <c r="B2403" s="6" t="s">
        <v>8357</v>
      </c>
      <c r="C2403" s="6" t="s">
        <v>16268</v>
      </c>
      <c r="D2403" s="5">
        <v>1</v>
      </c>
      <c r="E2403" s="6" t="s">
        <v>16269</v>
      </c>
      <c r="F2403" s="7" t="s">
        <v>11535</v>
      </c>
    </row>
    <row r="2404" ht="18" customHeight="1" spans="1:6">
      <c r="A2404" s="6" t="s">
        <v>8209</v>
      </c>
      <c r="B2404" s="6" t="s">
        <v>8357</v>
      </c>
      <c r="C2404" s="6" t="s">
        <v>8496</v>
      </c>
      <c r="D2404" s="5">
        <v>6</v>
      </c>
      <c r="E2404" s="6" t="s">
        <v>16270</v>
      </c>
      <c r="F2404" s="7" t="s">
        <v>11535</v>
      </c>
    </row>
    <row r="2405" ht="18" customHeight="1" spans="1:6">
      <c r="A2405" s="6" t="s">
        <v>8209</v>
      </c>
      <c r="B2405" s="6" t="s">
        <v>8357</v>
      </c>
      <c r="C2405" s="6" t="s">
        <v>16271</v>
      </c>
      <c r="D2405" s="5">
        <v>4</v>
      </c>
      <c r="E2405" s="6" t="s">
        <v>16272</v>
      </c>
      <c r="F2405" s="7" t="s">
        <v>11535</v>
      </c>
    </row>
    <row r="2406" ht="18" customHeight="1" spans="1:6">
      <c r="A2406" s="6" t="s">
        <v>8209</v>
      </c>
      <c r="B2406" s="6" t="s">
        <v>8357</v>
      </c>
      <c r="C2406" s="6" t="s">
        <v>16273</v>
      </c>
      <c r="D2406" s="5">
        <v>6</v>
      </c>
      <c r="E2406" s="6" t="s">
        <v>16274</v>
      </c>
      <c r="F2406" s="7" t="s">
        <v>11535</v>
      </c>
    </row>
    <row r="2407" ht="18" customHeight="1" spans="1:6">
      <c r="A2407" s="6" t="s">
        <v>8209</v>
      </c>
      <c r="B2407" s="6" t="s">
        <v>8642</v>
      </c>
      <c r="C2407" s="6" t="s">
        <v>16275</v>
      </c>
      <c r="D2407" s="5">
        <v>3</v>
      </c>
      <c r="E2407" s="195" t="s">
        <v>16276</v>
      </c>
      <c r="F2407" s="7" t="s">
        <v>11535</v>
      </c>
    </row>
    <row r="2408" ht="18" customHeight="1" spans="1:6">
      <c r="A2408" s="6" t="s">
        <v>8209</v>
      </c>
      <c r="B2408" s="6" t="s">
        <v>8642</v>
      </c>
      <c r="C2408" s="6" t="s">
        <v>16277</v>
      </c>
      <c r="D2408" s="5">
        <v>3</v>
      </c>
      <c r="E2408" s="195" t="s">
        <v>16278</v>
      </c>
      <c r="F2408" s="7" t="s">
        <v>11535</v>
      </c>
    </row>
    <row r="2409" ht="18" customHeight="1" spans="1:6">
      <c r="A2409" s="6" t="s">
        <v>8209</v>
      </c>
      <c r="B2409" s="6" t="s">
        <v>8642</v>
      </c>
      <c r="C2409" s="6" t="s">
        <v>16279</v>
      </c>
      <c r="D2409" s="5">
        <v>3</v>
      </c>
      <c r="E2409" s="195" t="s">
        <v>16280</v>
      </c>
      <c r="F2409" s="7" t="s">
        <v>11535</v>
      </c>
    </row>
    <row r="2410" ht="18" customHeight="1" spans="1:6">
      <c r="A2410" s="6" t="s">
        <v>8209</v>
      </c>
      <c r="B2410" s="6" t="s">
        <v>8642</v>
      </c>
      <c r="C2410" s="51" t="s">
        <v>16281</v>
      </c>
      <c r="D2410" s="5">
        <v>5</v>
      </c>
      <c r="E2410" s="6" t="s">
        <v>16282</v>
      </c>
      <c r="F2410" s="7" t="s">
        <v>11535</v>
      </c>
    </row>
    <row r="2411" ht="18" customHeight="1" spans="1:6">
      <c r="A2411" s="6" t="s">
        <v>8209</v>
      </c>
      <c r="B2411" s="6" t="s">
        <v>8642</v>
      </c>
      <c r="C2411" s="51" t="s">
        <v>16283</v>
      </c>
      <c r="D2411" s="5">
        <v>2</v>
      </c>
      <c r="E2411" s="215" t="s">
        <v>16284</v>
      </c>
      <c r="F2411" s="7" t="s">
        <v>11535</v>
      </c>
    </row>
    <row r="2412" ht="18" customHeight="1" spans="1:6">
      <c r="A2412" s="6" t="s">
        <v>8209</v>
      </c>
      <c r="B2412" s="6" t="s">
        <v>8642</v>
      </c>
      <c r="C2412" s="51" t="s">
        <v>8424</v>
      </c>
      <c r="D2412" s="5">
        <v>3</v>
      </c>
      <c r="E2412" s="6" t="s">
        <v>16285</v>
      </c>
      <c r="F2412" s="7" t="s">
        <v>11535</v>
      </c>
    </row>
    <row r="2413" ht="18" customHeight="1" spans="1:6">
      <c r="A2413" s="6" t="s">
        <v>8209</v>
      </c>
      <c r="B2413" s="6" t="s">
        <v>8642</v>
      </c>
      <c r="C2413" s="6" t="s">
        <v>16286</v>
      </c>
      <c r="D2413" s="5">
        <v>2</v>
      </c>
      <c r="E2413" s="195" t="s">
        <v>16287</v>
      </c>
      <c r="F2413" s="7" t="s">
        <v>11535</v>
      </c>
    </row>
    <row r="2414" ht="18" customHeight="1" spans="1:6">
      <c r="A2414" s="6" t="s">
        <v>8209</v>
      </c>
      <c r="B2414" s="6" t="s">
        <v>8642</v>
      </c>
      <c r="C2414" s="6" t="s">
        <v>16288</v>
      </c>
      <c r="D2414" s="5">
        <v>1</v>
      </c>
      <c r="E2414" s="195" t="s">
        <v>16289</v>
      </c>
      <c r="F2414" s="7" t="s">
        <v>11535</v>
      </c>
    </row>
    <row r="2415" ht="18" customHeight="1" spans="1:6">
      <c r="A2415" s="6" t="s">
        <v>8209</v>
      </c>
      <c r="B2415" s="6" t="s">
        <v>8642</v>
      </c>
      <c r="C2415" s="6" t="s">
        <v>16290</v>
      </c>
      <c r="D2415" s="5">
        <v>1</v>
      </c>
      <c r="E2415" s="195" t="s">
        <v>16291</v>
      </c>
      <c r="F2415" s="7" t="s">
        <v>11535</v>
      </c>
    </row>
    <row r="2416" ht="18" customHeight="1" spans="1:6">
      <c r="A2416" s="6" t="s">
        <v>8209</v>
      </c>
      <c r="B2416" s="6" t="s">
        <v>8642</v>
      </c>
      <c r="C2416" s="6" t="s">
        <v>16292</v>
      </c>
      <c r="D2416" s="5">
        <v>1</v>
      </c>
      <c r="E2416" s="195" t="s">
        <v>16293</v>
      </c>
      <c r="F2416" s="7" t="s">
        <v>11535</v>
      </c>
    </row>
    <row r="2417" ht="18" customHeight="1" spans="1:6">
      <c r="A2417" s="6" t="s">
        <v>8209</v>
      </c>
      <c r="B2417" s="6" t="s">
        <v>8642</v>
      </c>
      <c r="C2417" s="6" t="s">
        <v>8703</v>
      </c>
      <c r="D2417" s="5">
        <v>6</v>
      </c>
      <c r="E2417" s="195" t="s">
        <v>16294</v>
      </c>
      <c r="F2417" s="7" t="s">
        <v>11535</v>
      </c>
    </row>
    <row r="2418" ht="18" customHeight="1" spans="1:6">
      <c r="A2418" s="6" t="s">
        <v>8209</v>
      </c>
      <c r="B2418" s="6" t="s">
        <v>8642</v>
      </c>
      <c r="C2418" s="6" t="s">
        <v>16295</v>
      </c>
      <c r="D2418" s="5">
        <v>5</v>
      </c>
      <c r="E2418" s="195" t="s">
        <v>16296</v>
      </c>
      <c r="F2418" s="7" t="s">
        <v>11535</v>
      </c>
    </row>
    <row r="2419" ht="18" customHeight="1" spans="1:6">
      <c r="A2419" s="6" t="s">
        <v>8209</v>
      </c>
      <c r="B2419" s="6" t="s">
        <v>8723</v>
      </c>
      <c r="C2419" s="52" t="s">
        <v>1928</v>
      </c>
      <c r="D2419" s="5">
        <v>1</v>
      </c>
      <c r="E2419" s="6" t="s">
        <v>16297</v>
      </c>
      <c r="F2419" s="7" t="s">
        <v>11535</v>
      </c>
    </row>
    <row r="2420" ht="18" customHeight="1" spans="1:6">
      <c r="A2420" s="6" t="s">
        <v>8209</v>
      </c>
      <c r="B2420" s="6" t="s">
        <v>8723</v>
      </c>
      <c r="C2420" s="52" t="s">
        <v>16298</v>
      </c>
      <c r="D2420" s="5">
        <v>2</v>
      </c>
      <c r="E2420" s="6" t="s">
        <v>16299</v>
      </c>
      <c r="F2420" s="7" t="s">
        <v>11535</v>
      </c>
    </row>
    <row r="2421" ht="18" customHeight="1" spans="1:6">
      <c r="A2421" s="6" t="s">
        <v>8209</v>
      </c>
      <c r="B2421" s="6" t="s">
        <v>8723</v>
      </c>
      <c r="C2421" s="52" t="s">
        <v>16300</v>
      </c>
      <c r="D2421" s="5">
        <v>6</v>
      </c>
      <c r="E2421" s="6" t="s">
        <v>16301</v>
      </c>
      <c r="F2421" s="7" t="s">
        <v>11535</v>
      </c>
    </row>
    <row r="2422" ht="18" customHeight="1" spans="1:6">
      <c r="A2422" s="6" t="s">
        <v>8209</v>
      </c>
      <c r="B2422" s="6" t="s">
        <v>8723</v>
      </c>
      <c r="C2422" s="52" t="s">
        <v>16302</v>
      </c>
      <c r="D2422" s="5">
        <v>5</v>
      </c>
      <c r="E2422" s="6" t="s">
        <v>16303</v>
      </c>
      <c r="F2422" s="7" t="s">
        <v>11535</v>
      </c>
    </row>
    <row r="2423" ht="18" customHeight="1" spans="1:6">
      <c r="A2423" s="6" t="s">
        <v>8209</v>
      </c>
      <c r="B2423" s="6" t="s">
        <v>8723</v>
      </c>
      <c r="C2423" s="52" t="s">
        <v>16304</v>
      </c>
      <c r="D2423" s="5">
        <v>2</v>
      </c>
      <c r="E2423" s="6" t="s">
        <v>16305</v>
      </c>
      <c r="F2423" s="7" t="s">
        <v>11535</v>
      </c>
    </row>
    <row r="2424" ht="18" customHeight="1" spans="1:6">
      <c r="A2424" s="6" t="s">
        <v>8209</v>
      </c>
      <c r="B2424" s="6" t="s">
        <v>8723</v>
      </c>
      <c r="C2424" s="52" t="s">
        <v>16306</v>
      </c>
      <c r="D2424" s="5">
        <v>6</v>
      </c>
      <c r="E2424" s="6" t="s">
        <v>16307</v>
      </c>
      <c r="F2424" s="7" t="s">
        <v>11535</v>
      </c>
    </row>
    <row r="2425" ht="18" customHeight="1" spans="1:6">
      <c r="A2425" s="6" t="s">
        <v>8209</v>
      </c>
      <c r="B2425" s="6" t="s">
        <v>8723</v>
      </c>
      <c r="C2425" s="52" t="s">
        <v>16308</v>
      </c>
      <c r="D2425" s="5">
        <v>5</v>
      </c>
      <c r="E2425" s="6" t="s">
        <v>16309</v>
      </c>
      <c r="F2425" s="7" t="s">
        <v>11535</v>
      </c>
    </row>
    <row r="2426" ht="18" customHeight="1" spans="1:6">
      <c r="A2426" s="6" t="s">
        <v>8209</v>
      </c>
      <c r="B2426" s="6" t="s">
        <v>8723</v>
      </c>
      <c r="C2426" s="52" t="s">
        <v>16310</v>
      </c>
      <c r="D2426" s="5">
        <v>3</v>
      </c>
      <c r="E2426" s="6" t="s">
        <v>16311</v>
      </c>
      <c r="F2426" s="7" t="s">
        <v>11535</v>
      </c>
    </row>
    <row r="2427" ht="18" customHeight="1" spans="1:6">
      <c r="A2427" s="6" t="s">
        <v>8209</v>
      </c>
      <c r="B2427" s="6" t="s">
        <v>8723</v>
      </c>
      <c r="C2427" s="52" t="s">
        <v>16312</v>
      </c>
      <c r="D2427" s="5">
        <v>5</v>
      </c>
      <c r="E2427" s="6" t="s">
        <v>16313</v>
      </c>
      <c r="F2427" s="7" t="s">
        <v>11535</v>
      </c>
    </row>
    <row r="2428" ht="18" customHeight="1" spans="1:6">
      <c r="A2428" s="6" t="s">
        <v>8209</v>
      </c>
      <c r="B2428" s="6" t="s">
        <v>8723</v>
      </c>
      <c r="C2428" s="52" t="s">
        <v>16314</v>
      </c>
      <c r="D2428" s="5">
        <v>4</v>
      </c>
      <c r="E2428" s="6" t="s">
        <v>16315</v>
      </c>
      <c r="F2428" s="7" t="s">
        <v>11535</v>
      </c>
    </row>
    <row r="2429" ht="18" customHeight="1" spans="1:6">
      <c r="A2429" s="6" t="s">
        <v>8209</v>
      </c>
      <c r="B2429" s="6" t="s">
        <v>8723</v>
      </c>
      <c r="C2429" s="52" t="s">
        <v>16316</v>
      </c>
      <c r="D2429" s="5">
        <v>3</v>
      </c>
      <c r="E2429" s="6" t="s">
        <v>16317</v>
      </c>
      <c r="F2429" s="7" t="s">
        <v>11535</v>
      </c>
    </row>
    <row r="2430" ht="18" customHeight="1" spans="1:6">
      <c r="A2430" s="6" t="s">
        <v>8209</v>
      </c>
      <c r="B2430" s="6" t="s">
        <v>8723</v>
      </c>
      <c r="C2430" s="52" t="s">
        <v>16318</v>
      </c>
      <c r="D2430" s="5">
        <v>1</v>
      </c>
      <c r="E2430" s="6" t="s">
        <v>16319</v>
      </c>
      <c r="F2430" s="7" t="s">
        <v>11535</v>
      </c>
    </row>
    <row r="2431" ht="18" customHeight="1" spans="1:6">
      <c r="A2431" s="6" t="s">
        <v>8209</v>
      </c>
      <c r="B2431" s="6" t="s">
        <v>8723</v>
      </c>
      <c r="C2431" s="52" t="s">
        <v>16320</v>
      </c>
      <c r="D2431" s="5">
        <v>2</v>
      </c>
      <c r="E2431" s="6" t="s">
        <v>16321</v>
      </c>
      <c r="F2431" s="7" t="s">
        <v>11535</v>
      </c>
    </row>
    <row r="2432" ht="18" customHeight="1" spans="1:6">
      <c r="A2432" s="6" t="s">
        <v>8209</v>
      </c>
      <c r="B2432" s="6" t="s">
        <v>8723</v>
      </c>
      <c r="C2432" s="52" t="s">
        <v>16322</v>
      </c>
      <c r="D2432" s="5">
        <v>4</v>
      </c>
      <c r="E2432" s="215" t="s">
        <v>16323</v>
      </c>
      <c r="F2432" s="7" t="s">
        <v>11535</v>
      </c>
    </row>
    <row r="2433" ht="18" customHeight="1" spans="1:6">
      <c r="A2433" s="6" t="s">
        <v>8209</v>
      </c>
      <c r="B2433" s="6" t="s">
        <v>8723</v>
      </c>
      <c r="C2433" s="52" t="s">
        <v>16324</v>
      </c>
      <c r="D2433" s="5">
        <v>2</v>
      </c>
      <c r="E2433" s="6" t="s">
        <v>16325</v>
      </c>
      <c r="F2433" s="7" t="s">
        <v>11535</v>
      </c>
    </row>
    <row r="2434" ht="18" customHeight="1" spans="1:6">
      <c r="A2434" s="6" t="s">
        <v>8209</v>
      </c>
      <c r="B2434" s="6" t="s">
        <v>8723</v>
      </c>
      <c r="C2434" s="52" t="s">
        <v>16326</v>
      </c>
      <c r="D2434" s="5">
        <v>5</v>
      </c>
      <c r="E2434" s="195" t="s">
        <v>16327</v>
      </c>
      <c r="F2434" s="7" t="s">
        <v>11535</v>
      </c>
    </row>
    <row r="2435" ht="18" customHeight="1" spans="1:6">
      <c r="A2435" s="6" t="s">
        <v>8209</v>
      </c>
      <c r="B2435" s="6" t="s">
        <v>8723</v>
      </c>
      <c r="C2435" s="52" t="s">
        <v>16328</v>
      </c>
      <c r="D2435" s="5">
        <v>2</v>
      </c>
      <c r="E2435" s="195" t="s">
        <v>16329</v>
      </c>
      <c r="F2435" s="7" t="s">
        <v>11535</v>
      </c>
    </row>
    <row r="2436" ht="18" customHeight="1" spans="1:6">
      <c r="A2436" s="6" t="s">
        <v>8209</v>
      </c>
      <c r="B2436" s="6" t="s">
        <v>8723</v>
      </c>
      <c r="C2436" s="52" t="s">
        <v>16330</v>
      </c>
      <c r="D2436" s="5">
        <v>4</v>
      </c>
      <c r="E2436" s="195" t="s">
        <v>16331</v>
      </c>
      <c r="F2436" s="7" t="s">
        <v>11535</v>
      </c>
    </row>
    <row r="2437" ht="18" customHeight="1" spans="1:6">
      <c r="A2437" s="6" t="s">
        <v>8209</v>
      </c>
      <c r="B2437" s="6" t="s">
        <v>8723</v>
      </c>
      <c r="C2437" s="52" t="s">
        <v>16332</v>
      </c>
      <c r="D2437" s="5">
        <v>1</v>
      </c>
      <c r="E2437" s="195" t="s">
        <v>16333</v>
      </c>
      <c r="F2437" s="7" t="s">
        <v>11535</v>
      </c>
    </row>
    <row r="2438" ht="18" customHeight="1" spans="1:6">
      <c r="A2438" s="6" t="s">
        <v>8209</v>
      </c>
      <c r="B2438" s="6" t="s">
        <v>8808</v>
      </c>
      <c r="C2438" s="51" t="s">
        <v>16334</v>
      </c>
      <c r="D2438" s="5">
        <v>3</v>
      </c>
      <c r="E2438" s="6" t="s">
        <v>16335</v>
      </c>
      <c r="F2438" s="7" t="s">
        <v>11535</v>
      </c>
    </row>
    <row r="2439" ht="18" customHeight="1" spans="1:6">
      <c r="A2439" s="6" t="s">
        <v>8209</v>
      </c>
      <c r="B2439" s="6" t="s">
        <v>8808</v>
      </c>
      <c r="C2439" s="51" t="s">
        <v>16336</v>
      </c>
      <c r="D2439" s="5">
        <v>1</v>
      </c>
      <c r="E2439" s="6" t="s">
        <v>16337</v>
      </c>
      <c r="F2439" s="7" t="s">
        <v>11535</v>
      </c>
    </row>
    <row r="2440" ht="18" customHeight="1" spans="1:6">
      <c r="A2440" s="6" t="s">
        <v>8209</v>
      </c>
      <c r="B2440" s="6" t="s">
        <v>8808</v>
      </c>
      <c r="C2440" s="6" t="s">
        <v>16338</v>
      </c>
      <c r="D2440" s="5">
        <v>1</v>
      </c>
      <c r="E2440" s="6" t="s">
        <v>16339</v>
      </c>
      <c r="F2440" s="7" t="s">
        <v>11535</v>
      </c>
    </row>
    <row r="2441" ht="18" customHeight="1" spans="1:6">
      <c r="A2441" s="6" t="s">
        <v>8209</v>
      </c>
      <c r="B2441" s="6" t="s">
        <v>8808</v>
      </c>
      <c r="C2441" s="6" t="s">
        <v>15400</v>
      </c>
      <c r="D2441" s="5">
        <v>5</v>
      </c>
      <c r="E2441" s="6" t="s">
        <v>16340</v>
      </c>
      <c r="F2441" s="7" t="s">
        <v>11535</v>
      </c>
    </row>
    <row r="2442" ht="18" customHeight="1" spans="1:6">
      <c r="A2442" s="6" t="s">
        <v>8209</v>
      </c>
      <c r="B2442" s="6" t="s">
        <v>8808</v>
      </c>
      <c r="C2442" s="6" t="s">
        <v>16341</v>
      </c>
      <c r="D2442" s="5">
        <v>4</v>
      </c>
      <c r="E2442" s="6" t="s">
        <v>16342</v>
      </c>
      <c r="F2442" s="7" t="s">
        <v>11535</v>
      </c>
    </row>
    <row r="2443" ht="18" customHeight="1" spans="1:6">
      <c r="A2443" s="6" t="s">
        <v>8209</v>
      </c>
      <c r="B2443" s="6" t="s">
        <v>8808</v>
      </c>
      <c r="C2443" s="6" t="s">
        <v>16343</v>
      </c>
      <c r="D2443" s="5">
        <v>4</v>
      </c>
      <c r="E2443" s="6" t="s">
        <v>16344</v>
      </c>
      <c r="F2443" s="7" t="s">
        <v>11535</v>
      </c>
    </row>
    <row r="2444" ht="18" customHeight="1" spans="1:6">
      <c r="A2444" s="6" t="s">
        <v>8209</v>
      </c>
      <c r="B2444" s="6" t="s">
        <v>8808</v>
      </c>
      <c r="C2444" s="6" t="s">
        <v>16345</v>
      </c>
      <c r="D2444" s="5">
        <v>3</v>
      </c>
      <c r="E2444" s="6" t="s">
        <v>16346</v>
      </c>
      <c r="F2444" s="7" t="s">
        <v>11535</v>
      </c>
    </row>
    <row r="2445" ht="18" customHeight="1" spans="1:6">
      <c r="A2445" s="6" t="s">
        <v>8209</v>
      </c>
      <c r="B2445" s="6" t="s">
        <v>8808</v>
      </c>
      <c r="C2445" s="6" t="s">
        <v>14190</v>
      </c>
      <c r="D2445" s="5">
        <v>4</v>
      </c>
      <c r="E2445" s="6" t="s">
        <v>16347</v>
      </c>
      <c r="F2445" s="7" t="s">
        <v>11535</v>
      </c>
    </row>
    <row r="2446" ht="18" customHeight="1" spans="1:6">
      <c r="A2446" s="6" t="s">
        <v>8209</v>
      </c>
      <c r="B2446" s="6" t="s">
        <v>8808</v>
      </c>
      <c r="C2446" s="6" t="s">
        <v>16348</v>
      </c>
      <c r="D2446" s="5">
        <v>2</v>
      </c>
      <c r="E2446" s="6" t="s">
        <v>16349</v>
      </c>
      <c r="F2446" s="7" t="s">
        <v>11535</v>
      </c>
    </row>
    <row r="2447" ht="18" customHeight="1" spans="1:6">
      <c r="A2447" s="6" t="s">
        <v>8209</v>
      </c>
      <c r="B2447" s="6" t="s">
        <v>8808</v>
      </c>
      <c r="C2447" s="51" t="s">
        <v>16350</v>
      </c>
      <c r="D2447" s="5">
        <v>3</v>
      </c>
      <c r="E2447" s="6" t="s">
        <v>16351</v>
      </c>
      <c r="F2447" s="7" t="s">
        <v>11535</v>
      </c>
    </row>
    <row r="2448" ht="18" customHeight="1" spans="1:6">
      <c r="A2448" s="6" t="s">
        <v>8209</v>
      </c>
      <c r="B2448" s="6" t="s">
        <v>8808</v>
      </c>
      <c r="C2448" s="51" t="s">
        <v>16352</v>
      </c>
      <c r="D2448" s="5">
        <v>2</v>
      </c>
      <c r="E2448" s="6" t="s">
        <v>16353</v>
      </c>
      <c r="F2448" s="7" t="s">
        <v>11535</v>
      </c>
    </row>
    <row r="2449" ht="18" customHeight="1" spans="1:6">
      <c r="A2449" s="6" t="s">
        <v>8209</v>
      </c>
      <c r="B2449" s="6" t="s">
        <v>8808</v>
      </c>
      <c r="C2449" s="51" t="s">
        <v>16354</v>
      </c>
      <c r="D2449" s="5">
        <v>3</v>
      </c>
      <c r="E2449" s="6" t="s">
        <v>16355</v>
      </c>
      <c r="F2449" s="7" t="s">
        <v>11535</v>
      </c>
    </row>
    <row r="2450" ht="18" customHeight="1" spans="1:6">
      <c r="A2450" s="6" t="s">
        <v>8209</v>
      </c>
      <c r="B2450" s="6" t="s">
        <v>8808</v>
      </c>
      <c r="C2450" s="51" t="s">
        <v>16356</v>
      </c>
      <c r="D2450" s="5">
        <v>6</v>
      </c>
      <c r="E2450" s="6" t="s">
        <v>16357</v>
      </c>
      <c r="F2450" s="7" t="s">
        <v>11535</v>
      </c>
    </row>
    <row r="2451" ht="18" customHeight="1" spans="1:6">
      <c r="A2451" s="6" t="s">
        <v>8209</v>
      </c>
      <c r="B2451" s="6" t="s">
        <v>8808</v>
      </c>
      <c r="C2451" s="51" t="s">
        <v>16358</v>
      </c>
      <c r="D2451" s="5">
        <v>4</v>
      </c>
      <c r="E2451" s="6" t="s">
        <v>16359</v>
      </c>
      <c r="F2451" s="7" t="s">
        <v>11535</v>
      </c>
    </row>
    <row r="2452" ht="18" customHeight="1" spans="1:6">
      <c r="A2452" s="6" t="s">
        <v>8209</v>
      </c>
      <c r="B2452" s="6" t="s">
        <v>8808</v>
      </c>
      <c r="C2452" s="51" t="s">
        <v>16360</v>
      </c>
      <c r="D2452" s="5">
        <v>1</v>
      </c>
      <c r="E2452" s="6" t="s">
        <v>16361</v>
      </c>
      <c r="F2452" s="7" t="s">
        <v>11535</v>
      </c>
    </row>
    <row r="2453" ht="18" customHeight="1" spans="1:6">
      <c r="A2453" s="6" t="s">
        <v>8209</v>
      </c>
      <c r="B2453" s="6" t="s">
        <v>8808</v>
      </c>
      <c r="C2453" s="51" t="s">
        <v>16362</v>
      </c>
      <c r="D2453" s="5">
        <v>1</v>
      </c>
      <c r="E2453" s="6" t="s">
        <v>16363</v>
      </c>
      <c r="F2453" s="7" t="s">
        <v>11535</v>
      </c>
    </row>
    <row r="2454" ht="18" customHeight="1" spans="1:6">
      <c r="A2454" s="6" t="s">
        <v>8209</v>
      </c>
      <c r="B2454" s="6" t="s">
        <v>8808</v>
      </c>
      <c r="C2454" s="51" t="s">
        <v>16364</v>
      </c>
      <c r="D2454" s="5">
        <v>4</v>
      </c>
      <c r="E2454" s="6" t="s">
        <v>16365</v>
      </c>
      <c r="F2454" s="7" t="s">
        <v>11535</v>
      </c>
    </row>
    <row r="2455" ht="18" customHeight="1" spans="1:6">
      <c r="A2455" s="6" t="s">
        <v>8209</v>
      </c>
      <c r="B2455" s="6" t="s">
        <v>8808</v>
      </c>
      <c r="C2455" s="51" t="s">
        <v>7492</v>
      </c>
      <c r="D2455" s="5">
        <v>2</v>
      </c>
      <c r="E2455" s="6" t="s">
        <v>16366</v>
      </c>
      <c r="F2455" s="7" t="s">
        <v>11535</v>
      </c>
    </row>
    <row r="2456" ht="18" customHeight="1" spans="1:6">
      <c r="A2456" s="6" t="s">
        <v>8209</v>
      </c>
      <c r="B2456" s="6" t="s">
        <v>8808</v>
      </c>
      <c r="C2456" s="51" t="s">
        <v>16367</v>
      </c>
      <c r="D2456" s="5">
        <v>1</v>
      </c>
      <c r="E2456" s="6" t="s">
        <v>16368</v>
      </c>
      <c r="F2456" s="7" t="s">
        <v>11535</v>
      </c>
    </row>
    <row r="2457" ht="18" customHeight="1" spans="1:6">
      <c r="A2457" s="6" t="s">
        <v>8209</v>
      </c>
      <c r="B2457" s="6" t="s">
        <v>8808</v>
      </c>
      <c r="C2457" s="6" t="s">
        <v>16369</v>
      </c>
      <c r="D2457" s="5">
        <v>3</v>
      </c>
      <c r="E2457" s="195" t="s">
        <v>16370</v>
      </c>
      <c r="F2457" s="7" t="s">
        <v>11535</v>
      </c>
    </row>
    <row r="2458" ht="18" customHeight="1" spans="1:6">
      <c r="A2458" s="6" t="s">
        <v>8209</v>
      </c>
      <c r="B2458" s="6" t="s">
        <v>8808</v>
      </c>
      <c r="C2458" s="6" t="s">
        <v>16371</v>
      </c>
      <c r="D2458" s="5">
        <v>4</v>
      </c>
      <c r="E2458" s="195" t="s">
        <v>16372</v>
      </c>
      <c r="F2458" s="7" t="s">
        <v>11535</v>
      </c>
    </row>
    <row r="2459" ht="18" customHeight="1" spans="1:16377">
      <c r="A2459" s="6" t="s">
        <v>8209</v>
      </c>
      <c r="B2459" s="6" t="s">
        <v>8257</v>
      </c>
      <c r="C2459" s="6" t="s">
        <v>16373</v>
      </c>
      <c r="D2459" s="5" t="s">
        <v>16374</v>
      </c>
      <c r="E2459" s="6" t="s">
        <v>16375</v>
      </c>
      <c r="F2459" s="7" t="s">
        <v>11535</v>
      </c>
      <c r="G2459" s="53"/>
      <c r="H2459" s="53"/>
      <c r="I2459" s="53"/>
      <c r="J2459" s="60"/>
      <c r="K2459" s="53"/>
      <c r="L2459" s="53"/>
      <c r="M2459" s="53"/>
      <c r="N2459" s="61"/>
      <c r="O2459" s="53"/>
      <c r="P2459" s="53"/>
      <c r="Q2459" s="53"/>
      <c r="R2459" s="60"/>
      <c r="S2459" s="53"/>
      <c r="T2459" s="53"/>
      <c r="U2459" s="53"/>
      <c r="V2459" s="61"/>
      <c r="W2459" s="53"/>
      <c r="X2459" s="53"/>
      <c r="Y2459" s="53"/>
      <c r="Z2459" s="60"/>
      <c r="AA2459" s="53"/>
      <c r="AB2459" s="53"/>
      <c r="AC2459" s="53"/>
      <c r="AD2459" s="61"/>
      <c r="AE2459" s="53"/>
      <c r="AF2459" s="53"/>
      <c r="AG2459" s="53"/>
      <c r="AH2459" s="60"/>
      <c r="AI2459" s="53"/>
      <c r="AJ2459" s="53"/>
      <c r="AK2459" s="53"/>
      <c r="AL2459" s="61"/>
      <c r="AM2459" s="53"/>
      <c r="AN2459" s="53"/>
      <c r="AO2459" s="53"/>
      <c r="AP2459" s="60"/>
      <c r="AQ2459" s="53"/>
      <c r="AR2459" s="53"/>
      <c r="AS2459" s="53"/>
      <c r="AT2459" s="61"/>
      <c r="AU2459" s="53"/>
      <c r="AV2459" s="53"/>
      <c r="AW2459" s="53"/>
      <c r="AX2459" s="60"/>
      <c r="AY2459" s="53"/>
      <c r="AZ2459" s="53"/>
      <c r="BA2459" s="53"/>
      <c r="BB2459" s="61"/>
      <c r="BC2459" s="53"/>
      <c r="BD2459" s="53"/>
      <c r="BE2459" s="53"/>
      <c r="BF2459" s="60"/>
      <c r="BG2459" s="53"/>
      <c r="BH2459" s="53"/>
      <c r="BI2459" s="53"/>
      <c r="BJ2459" s="61"/>
      <c r="BK2459" s="53"/>
      <c r="BL2459" s="53"/>
      <c r="BM2459" s="53"/>
      <c r="BN2459" s="60"/>
      <c r="BO2459" s="53"/>
      <c r="BP2459" s="53"/>
      <c r="BQ2459" s="53"/>
      <c r="BR2459" s="61"/>
      <c r="BS2459" s="53"/>
      <c r="BT2459" s="53"/>
      <c r="BU2459" s="53"/>
      <c r="BV2459" s="60"/>
      <c r="BW2459" s="53"/>
      <c r="BX2459" s="53"/>
      <c r="BY2459" s="53"/>
      <c r="BZ2459" s="61"/>
      <c r="CA2459" s="53"/>
      <c r="CB2459" s="53"/>
      <c r="CC2459" s="53"/>
      <c r="CD2459" s="60"/>
      <c r="CE2459" s="53"/>
      <c r="CF2459" s="53"/>
      <c r="CG2459" s="53"/>
      <c r="CH2459" s="61"/>
      <c r="CI2459" s="53"/>
      <c r="CJ2459" s="53"/>
      <c r="CK2459" s="53"/>
      <c r="CL2459" s="60"/>
      <c r="CM2459" s="53"/>
      <c r="CN2459" s="53"/>
      <c r="CO2459" s="53"/>
      <c r="CP2459" s="61"/>
      <c r="CQ2459" s="53"/>
      <c r="CR2459" s="53"/>
      <c r="CS2459" s="53"/>
      <c r="CT2459" s="60"/>
      <c r="CU2459" s="53"/>
      <c r="CV2459" s="53"/>
      <c r="CW2459" s="53"/>
      <c r="CX2459" s="61"/>
      <c r="CY2459" s="53"/>
      <c r="CZ2459" s="53"/>
      <c r="DA2459" s="53"/>
      <c r="DB2459" s="60"/>
      <c r="DC2459" s="53"/>
      <c r="DD2459" s="53"/>
      <c r="DE2459" s="53"/>
      <c r="DF2459" s="61"/>
      <c r="DG2459" s="53"/>
      <c r="DH2459" s="53"/>
      <c r="DI2459" s="53"/>
      <c r="DJ2459" s="60"/>
      <c r="DK2459" s="53"/>
      <c r="DL2459" s="53"/>
      <c r="DM2459" s="53"/>
      <c r="DN2459" s="61"/>
      <c r="DO2459" s="53"/>
      <c r="DP2459" s="53"/>
      <c r="DQ2459" s="53"/>
      <c r="DR2459" s="60"/>
      <c r="DS2459" s="53"/>
      <c r="DT2459" s="53"/>
      <c r="DU2459" s="53"/>
      <c r="DV2459" s="61"/>
      <c r="DW2459" s="53"/>
      <c r="DX2459" s="53"/>
      <c r="DY2459" s="53"/>
      <c r="DZ2459" s="60"/>
      <c r="EA2459" s="53"/>
      <c r="EB2459" s="53"/>
      <c r="EC2459" s="53"/>
      <c r="ED2459" s="61"/>
      <c r="EE2459" s="53"/>
      <c r="EF2459" s="53"/>
      <c r="EG2459" s="53"/>
      <c r="EH2459" s="60"/>
      <c r="EI2459" s="53"/>
      <c r="EJ2459" s="53"/>
      <c r="EK2459" s="53"/>
      <c r="EL2459" s="61"/>
      <c r="EM2459" s="53"/>
      <c r="EN2459" s="53"/>
      <c r="EO2459" s="53"/>
      <c r="EP2459" s="60"/>
      <c r="EQ2459" s="53"/>
      <c r="ER2459" s="53"/>
      <c r="ES2459" s="53"/>
      <c r="ET2459" s="61"/>
      <c r="EU2459" s="53"/>
      <c r="EV2459" s="53"/>
      <c r="EW2459" s="53"/>
      <c r="EX2459" s="60"/>
      <c r="EY2459" s="53"/>
      <c r="EZ2459" s="53"/>
      <c r="FA2459" s="53"/>
      <c r="FB2459" s="61"/>
      <c r="FC2459" s="53"/>
      <c r="FD2459" s="53"/>
      <c r="FE2459" s="53"/>
      <c r="FF2459" s="60"/>
      <c r="FG2459" s="53"/>
      <c r="FH2459" s="53"/>
      <c r="FI2459" s="53"/>
      <c r="FJ2459" s="61"/>
      <c r="FK2459" s="53"/>
      <c r="FL2459" s="53"/>
      <c r="FM2459" s="53"/>
      <c r="FN2459" s="60"/>
      <c r="FO2459" s="53"/>
      <c r="FP2459" s="53"/>
      <c r="FQ2459" s="53"/>
      <c r="FR2459" s="61"/>
      <c r="FS2459" s="53"/>
      <c r="FT2459" s="53"/>
      <c r="FU2459" s="53"/>
      <c r="FV2459" s="60"/>
      <c r="FW2459" s="53"/>
      <c r="FX2459" s="53"/>
      <c r="FY2459" s="53"/>
      <c r="FZ2459" s="61"/>
      <c r="GA2459" s="53"/>
      <c r="GB2459" s="53"/>
      <c r="GC2459" s="53"/>
      <c r="GD2459" s="60"/>
      <c r="GE2459" s="53"/>
      <c r="GF2459" s="53"/>
      <c r="GG2459" s="53"/>
      <c r="GH2459" s="61"/>
      <c r="GI2459" s="53"/>
      <c r="GJ2459" s="53"/>
      <c r="GK2459" s="53"/>
      <c r="GL2459" s="60"/>
      <c r="GM2459" s="53"/>
      <c r="GN2459" s="53"/>
      <c r="GO2459" s="53"/>
      <c r="GP2459" s="61"/>
      <c r="GQ2459" s="53"/>
      <c r="GR2459" s="53"/>
      <c r="GS2459" s="53"/>
      <c r="GT2459" s="60"/>
      <c r="GU2459" s="53"/>
      <c r="GV2459" s="53"/>
      <c r="GW2459" s="53"/>
      <c r="GX2459" s="61"/>
      <c r="GY2459" s="53"/>
      <c r="GZ2459" s="53"/>
      <c r="HA2459" s="53"/>
      <c r="HB2459" s="60"/>
      <c r="HC2459" s="53"/>
      <c r="HD2459" s="53"/>
      <c r="HE2459" s="53"/>
      <c r="HF2459" s="61"/>
      <c r="HG2459" s="53"/>
      <c r="HH2459" s="53"/>
      <c r="HI2459" s="53"/>
      <c r="HJ2459" s="60"/>
      <c r="HK2459" s="53"/>
      <c r="HL2459" s="53"/>
      <c r="HM2459" s="53"/>
      <c r="HN2459" s="61"/>
      <c r="HO2459" s="53"/>
      <c r="HP2459" s="53"/>
      <c r="HQ2459" s="53"/>
      <c r="HR2459" s="60"/>
      <c r="HS2459" s="53"/>
      <c r="HT2459" s="53"/>
      <c r="HU2459" s="53"/>
      <c r="HV2459" s="61"/>
      <c r="HW2459" s="53"/>
      <c r="HX2459" s="53"/>
      <c r="HY2459" s="53"/>
      <c r="HZ2459" s="60"/>
      <c r="IA2459" s="53"/>
      <c r="IB2459" s="53"/>
      <c r="IC2459" s="53"/>
      <c r="ID2459" s="61"/>
      <c r="IE2459" s="53"/>
      <c r="IF2459" s="53"/>
      <c r="IG2459" s="53"/>
      <c r="IH2459" s="60"/>
      <c r="II2459" s="53"/>
      <c r="IJ2459" s="53"/>
      <c r="IK2459" s="53"/>
      <c r="IL2459" s="61"/>
      <c r="IM2459" s="53"/>
      <c r="IN2459" s="53"/>
      <c r="IO2459" s="53"/>
      <c r="IP2459" s="60"/>
      <c r="IQ2459" s="53"/>
      <c r="IR2459" s="53"/>
      <c r="IS2459" s="53"/>
      <c r="IT2459" s="61"/>
      <c r="IU2459" s="53"/>
      <c r="IV2459" s="53"/>
      <c r="IW2459" s="53"/>
      <c r="IX2459" s="60"/>
      <c r="IY2459" s="53"/>
      <c r="IZ2459" s="53"/>
      <c r="JA2459" s="53"/>
      <c r="JB2459" s="61"/>
      <c r="JC2459" s="53"/>
      <c r="JD2459" s="53"/>
      <c r="JE2459" s="53"/>
      <c r="JF2459" s="60"/>
      <c r="JG2459" s="53"/>
      <c r="JH2459" s="53"/>
      <c r="JI2459" s="53"/>
      <c r="JJ2459" s="61"/>
      <c r="JK2459" s="53"/>
      <c r="JL2459" s="53"/>
      <c r="JM2459" s="53"/>
      <c r="JN2459" s="60"/>
      <c r="JO2459" s="53"/>
      <c r="JP2459" s="53"/>
      <c r="JQ2459" s="53"/>
      <c r="JR2459" s="61"/>
      <c r="JS2459" s="53"/>
      <c r="JT2459" s="53"/>
      <c r="JU2459" s="53"/>
      <c r="JV2459" s="60"/>
      <c r="JW2459" s="53"/>
      <c r="JX2459" s="53"/>
      <c r="JY2459" s="53"/>
      <c r="JZ2459" s="61"/>
      <c r="KA2459" s="53"/>
      <c r="KB2459" s="53"/>
      <c r="KC2459" s="53"/>
      <c r="KD2459" s="60"/>
      <c r="KE2459" s="53"/>
      <c r="KF2459" s="53"/>
      <c r="KG2459" s="53"/>
      <c r="KH2459" s="61"/>
      <c r="KI2459" s="53"/>
      <c r="KJ2459" s="53"/>
      <c r="KK2459" s="53"/>
      <c r="KL2459" s="60"/>
      <c r="KM2459" s="53"/>
      <c r="KN2459" s="53"/>
      <c r="KO2459" s="53"/>
      <c r="KP2459" s="61"/>
      <c r="KQ2459" s="53"/>
      <c r="KR2459" s="53"/>
      <c r="KS2459" s="53"/>
      <c r="KT2459" s="60"/>
      <c r="KU2459" s="53"/>
      <c r="KV2459" s="53"/>
      <c r="KW2459" s="53"/>
      <c r="KX2459" s="61"/>
      <c r="KY2459" s="53"/>
      <c r="KZ2459" s="53"/>
      <c r="LA2459" s="53"/>
      <c r="LB2459" s="60"/>
      <c r="LC2459" s="53"/>
      <c r="LD2459" s="53"/>
      <c r="LE2459" s="53"/>
      <c r="LF2459" s="61"/>
      <c r="LG2459" s="53"/>
      <c r="LH2459" s="53"/>
      <c r="LI2459" s="53"/>
      <c r="LJ2459" s="60"/>
      <c r="LK2459" s="53"/>
      <c r="LL2459" s="53"/>
      <c r="LM2459" s="53"/>
      <c r="LN2459" s="61"/>
      <c r="LO2459" s="53"/>
      <c r="LP2459" s="53"/>
      <c r="LQ2459" s="53"/>
      <c r="LR2459" s="60"/>
      <c r="LS2459" s="53"/>
      <c r="LT2459" s="53"/>
      <c r="LU2459" s="53"/>
      <c r="LV2459" s="61"/>
      <c r="LW2459" s="53"/>
      <c r="LX2459" s="53"/>
      <c r="LY2459" s="53"/>
      <c r="LZ2459" s="60"/>
      <c r="MA2459" s="53"/>
      <c r="MB2459" s="53"/>
      <c r="MC2459" s="53"/>
      <c r="MD2459" s="61"/>
      <c r="ME2459" s="53"/>
      <c r="MF2459" s="53"/>
      <c r="MG2459" s="53"/>
      <c r="MH2459" s="60"/>
      <c r="MI2459" s="53"/>
      <c r="MJ2459" s="53"/>
      <c r="MK2459" s="53"/>
      <c r="ML2459" s="61"/>
      <c r="MM2459" s="53"/>
      <c r="MN2459" s="53"/>
      <c r="MO2459" s="53"/>
      <c r="MP2459" s="60"/>
      <c r="MQ2459" s="53"/>
      <c r="MR2459" s="53"/>
      <c r="MS2459" s="53"/>
      <c r="MT2459" s="61"/>
      <c r="MU2459" s="53"/>
      <c r="MV2459" s="53"/>
      <c r="MW2459" s="53"/>
      <c r="MX2459" s="60"/>
      <c r="MY2459" s="53"/>
      <c r="MZ2459" s="53"/>
      <c r="NA2459" s="53"/>
      <c r="NB2459" s="61"/>
      <c r="NC2459" s="53"/>
      <c r="ND2459" s="53"/>
      <c r="NE2459" s="53"/>
      <c r="NF2459" s="60"/>
      <c r="NG2459" s="53"/>
      <c r="NH2459" s="53"/>
      <c r="NI2459" s="53"/>
      <c r="NJ2459" s="61"/>
      <c r="NK2459" s="53"/>
      <c r="NL2459" s="53"/>
      <c r="NM2459" s="53"/>
      <c r="NN2459" s="60"/>
      <c r="NO2459" s="53"/>
      <c r="NP2459" s="53"/>
      <c r="NQ2459" s="53"/>
      <c r="NR2459" s="61"/>
      <c r="NS2459" s="53"/>
      <c r="NT2459" s="53"/>
      <c r="NU2459" s="53"/>
      <c r="NV2459" s="60"/>
      <c r="NW2459" s="53"/>
      <c r="NX2459" s="53"/>
      <c r="NY2459" s="53"/>
      <c r="NZ2459" s="61"/>
      <c r="OA2459" s="53"/>
      <c r="OB2459" s="53"/>
      <c r="OC2459" s="53"/>
      <c r="OD2459" s="60"/>
      <c r="OE2459" s="53"/>
      <c r="OF2459" s="53"/>
      <c r="OG2459" s="53"/>
      <c r="OH2459" s="61"/>
      <c r="OI2459" s="53"/>
      <c r="OJ2459" s="53"/>
      <c r="OK2459" s="53"/>
      <c r="OL2459" s="60"/>
      <c r="OM2459" s="53"/>
      <c r="ON2459" s="53"/>
      <c r="OO2459" s="53"/>
      <c r="OP2459" s="61"/>
      <c r="OQ2459" s="53"/>
      <c r="OR2459" s="53"/>
      <c r="OS2459" s="53"/>
      <c r="OT2459" s="60"/>
      <c r="OU2459" s="53"/>
      <c r="OV2459" s="53"/>
      <c r="OW2459" s="53"/>
      <c r="OX2459" s="61"/>
      <c r="OY2459" s="53"/>
      <c r="OZ2459" s="53"/>
      <c r="PA2459" s="53"/>
      <c r="PB2459" s="60"/>
      <c r="PC2459" s="53"/>
      <c r="PD2459" s="53"/>
      <c r="PE2459" s="53"/>
      <c r="PF2459" s="61"/>
      <c r="PG2459" s="53"/>
      <c r="PH2459" s="53"/>
      <c r="PI2459" s="53"/>
      <c r="PJ2459" s="60"/>
      <c r="PK2459" s="53"/>
      <c r="PL2459" s="53"/>
      <c r="PM2459" s="53"/>
      <c r="PN2459" s="61"/>
      <c r="PO2459" s="53"/>
      <c r="PP2459" s="53"/>
      <c r="PQ2459" s="53"/>
      <c r="PR2459" s="60"/>
      <c r="PS2459" s="53"/>
      <c r="PT2459" s="53"/>
      <c r="PU2459" s="53"/>
      <c r="PV2459" s="61"/>
      <c r="PW2459" s="53"/>
      <c r="PX2459" s="53"/>
      <c r="PY2459" s="53"/>
      <c r="PZ2459" s="60"/>
      <c r="QA2459" s="53"/>
      <c r="QB2459" s="53"/>
      <c r="QC2459" s="53"/>
      <c r="QD2459" s="61"/>
      <c r="QE2459" s="53"/>
      <c r="QF2459" s="53"/>
      <c r="QG2459" s="53"/>
      <c r="QH2459" s="60"/>
      <c r="QI2459" s="53"/>
      <c r="QJ2459" s="53"/>
      <c r="QK2459" s="53"/>
      <c r="QL2459" s="61"/>
      <c r="QM2459" s="53"/>
      <c r="QN2459" s="53"/>
      <c r="QO2459" s="53"/>
      <c r="QP2459" s="60"/>
      <c r="QQ2459" s="53"/>
      <c r="QR2459" s="53"/>
      <c r="QS2459" s="53"/>
      <c r="QT2459" s="61"/>
      <c r="QU2459" s="53"/>
      <c r="QV2459" s="53"/>
      <c r="QW2459" s="53"/>
      <c r="QX2459" s="60"/>
      <c r="QY2459" s="53"/>
      <c r="QZ2459" s="53"/>
      <c r="RA2459" s="53"/>
      <c r="RB2459" s="61"/>
      <c r="RC2459" s="53"/>
      <c r="RD2459" s="53"/>
      <c r="RE2459" s="53"/>
      <c r="RF2459" s="60"/>
      <c r="RG2459" s="53"/>
      <c r="RH2459" s="53"/>
      <c r="RI2459" s="53"/>
      <c r="RJ2459" s="61"/>
      <c r="RK2459" s="53"/>
      <c r="RL2459" s="53"/>
      <c r="RM2459" s="53"/>
      <c r="RN2459" s="60"/>
      <c r="RO2459" s="53"/>
      <c r="RP2459" s="53"/>
      <c r="RQ2459" s="53"/>
      <c r="RR2459" s="61"/>
      <c r="RS2459" s="53"/>
      <c r="RT2459" s="53"/>
      <c r="RU2459" s="53"/>
      <c r="RV2459" s="60"/>
      <c r="RW2459" s="53"/>
      <c r="RX2459" s="53"/>
      <c r="RY2459" s="53"/>
      <c r="RZ2459" s="61"/>
      <c r="SA2459" s="53"/>
      <c r="SB2459" s="53"/>
      <c r="SC2459" s="53"/>
      <c r="SD2459" s="60"/>
      <c r="SE2459" s="53"/>
      <c r="SF2459" s="53"/>
      <c r="SG2459" s="53"/>
      <c r="SH2459" s="61"/>
      <c r="SI2459" s="53"/>
      <c r="SJ2459" s="53"/>
      <c r="SK2459" s="53"/>
      <c r="SL2459" s="60"/>
      <c r="SM2459" s="53"/>
      <c r="SN2459" s="53"/>
      <c r="SO2459" s="53"/>
      <c r="SP2459" s="61"/>
      <c r="SQ2459" s="53"/>
      <c r="SR2459" s="53"/>
      <c r="SS2459" s="53"/>
      <c r="ST2459" s="60"/>
      <c r="SU2459" s="53"/>
      <c r="SV2459" s="53"/>
      <c r="SW2459" s="53"/>
      <c r="SX2459" s="61"/>
      <c r="SY2459" s="53"/>
      <c r="SZ2459" s="53"/>
      <c r="TA2459" s="53"/>
      <c r="TB2459" s="60"/>
      <c r="TC2459" s="53"/>
      <c r="TD2459" s="53"/>
      <c r="TE2459" s="53"/>
      <c r="TF2459" s="61"/>
      <c r="TG2459" s="53"/>
      <c r="TH2459" s="53"/>
      <c r="TI2459" s="53"/>
      <c r="TJ2459" s="60"/>
      <c r="TK2459" s="53"/>
      <c r="TL2459" s="53"/>
      <c r="TM2459" s="53"/>
      <c r="TN2459" s="61"/>
      <c r="TO2459" s="53"/>
      <c r="TP2459" s="53"/>
      <c r="TQ2459" s="53"/>
      <c r="TR2459" s="60"/>
      <c r="TS2459" s="53"/>
      <c r="TT2459" s="53"/>
      <c r="TU2459" s="53"/>
      <c r="TV2459" s="61"/>
      <c r="TW2459" s="53"/>
      <c r="TX2459" s="53"/>
      <c r="TY2459" s="53"/>
      <c r="TZ2459" s="60"/>
      <c r="UA2459" s="53"/>
      <c r="UB2459" s="53"/>
      <c r="UC2459" s="53"/>
      <c r="UD2459" s="61"/>
      <c r="UE2459" s="53"/>
      <c r="UF2459" s="53"/>
      <c r="UG2459" s="53"/>
      <c r="UH2459" s="60"/>
      <c r="UI2459" s="53"/>
      <c r="UJ2459" s="53"/>
      <c r="UK2459" s="53"/>
      <c r="UL2459" s="61"/>
      <c r="UM2459" s="53"/>
      <c r="UN2459" s="53"/>
      <c r="UO2459" s="53"/>
      <c r="UP2459" s="60"/>
      <c r="UQ2459" s="53"/>
      <c r="UR2459" s="53"/>
      <c r="US2459" s="53"/>
      <c r="UT2459" s="61"/>
      <c r="UU2459" s="53"/>
      <c r="UV2459" s="53"/>
      <c r="UW2459" s="53"/>
      <c r="UX2459" s="60"/>
      <c r="UY2459" s="53"/>
      <c r="UZ2459" s="53"/>
      <c r="VA2459" s="53"/>
      <c r="VB2459" s="61"/>
      <c r="VC2459" s="53"/>
      <c r="VD2459" s="53"/>
      <c r="VE2459" s="53"/>
      <c r="VF2459" s="60"/>
      <c r="VG2459" s="53"/>
      <c r="VH2459" s="53"/>
      <c r="VI2459" s="53"/>
      <c r="VJ2459" s="61"/>
      <c r="VK2459" s="53"/>
      <c r="VL2459" s="53"/>
      <c r="VM2459" s="53"/>
      <c r="VN2459" s="60"/>
      <c r="VO2459" s="53"/>
      <c r="VP2459" s="53"/>
      <c r="VQ2459" s="53"/>
      <c r="VR2459" s="61"/>
      <c r="VS2459" s="53"/>
      <c r="VT2459" s="53"/>
      <c r="VU2459" s="53"/>
      <c r="VV2459" s="60"/>
      <c r="VW2459" s="53"/>
      <c r="VX2459" s="53"/>
      <c r="VY2459" s="53"/>
      <c r="VZ2459" s="61"/>
      <c r="WA2459" s="53"/>
      <c r="WB2459" s="53"/>
      <c r="WC2459" s="53"/>
      <c r="WD2459" s="60"/>
      <c r="WE2459" s="53"/>
      <c r="WF2459" s="53"/>
      <c r="WG2459" s="53"/>
      <c r="WH2459" s="61"/>
      <c r="WI2459" s="53"/>
      <c r="WJ2459" s="53"/>
      <c r="WK2459" s="53"/>
      <c r="WL2459" s="60"/>
      <c r="WM2459" s="53"/>
      <c r="WN2459" s="53"/>
      <c r="WO2459" s="53"/>
      <c r="WP2459" s="61"/>
      <c r="WQ2459" s="53"/>
      <c r="WR2459" s="53"/>
      <c r="WS2459" s="53"/>
      <c r="WT2459" s="60"/>
      <c r="WU2459" s="53"/>
      <c r="WV2459" s="53"/>
      <c r="WW2459" s="53"/>
      <c r="WX2459" s="61"/>
      <c r="WY2459" s="53"/>
      <c r="WZ2459" s="53"/>
      <c r="XA2459" s="53"/>
      <c r="XB2459" s="60"/>
      <c r="XC2459" s="53"/>
      <c r="XD2459" s="53"/>
      <c r="XE2459" s="53"/>
      <c r="XF2459" s="61"/>
      <c r="XG2459" s="53"/>
      <c r="XH2459" s="53"/>
      <c r="XI2459" s="53"/>
      <c r="XJ2459" s="60"/>
      <c r="XK2459" s="53"/>
      <c r="XL2459" s="53"/>
      <c r="XM2459" s="53"/>
      <c r="XN2459" s="61"/>
      <c r="XO2459" s="53"/>
      <c r="XP2459" s="53"/>
      <c r="XQ2459" s="53"/>
      <c r="XR2459" s="60"/>
      <c r="XS2459" s="53"/>
      <c r="XT2459" s="53"/>
      <c r="XU2459" s="53"/>
      <c r="XV2459" s="61"/>
      <c r="XW2459" s="53"/>
      <c r="XX2459" s="53"/>
      <c r="XY2459" s="53"/>
      <c r="XZ2459" s="60"/>
      <c r="YA2459" s="53"/>
      <c r="YB2459" s="53"/>
      <c r="YC2459" s="53"/>
      <c r="YD2459" s="61"/>
      <c r="YE2459" s="53"/>
      <c r="YF2459" s="53"/>
      <c r="YG2459" s="53"/>
      <c r="YH2459" s="60"/>
      <c r="YI2459" s="53"/>
      <c r="YJ2459" s="53"/>
      <c r="YK2459" s="53"/>
      <c r="YL2459" s="61"/>
      <c r="YM2459" s="53"/>
      <c r="YN2459" s="53"/>
      <c r="YO2459" s="53"/>
      <c r="YP2459" s="60"/>
      <c r="YQ2459" s="53"/>
      <c r="YR2459" s="53"/>
      <c r="YS2459" s="53"/>
      <c r="YT2459" s="61"/>
      <c r="YU2459" s="53"/>
      <c r="YV2459" s="53"/>
      <c r="YW2459" s="53"/>
      <c r="YX2459" s="60"/>
      <c r="YY2459" s="53"/>
      <c r="YZ2459" s="53"/>
      <c r="ZA2459" s="53"/>
      <c r="ZB2459" s="61"/>
      <c r="ZC2459" s="53"/>
      <c r="ZD2459" s="53"/>
      <c r="ZE2459" s="53"/>
      <c r="ZF2459" s="60"/>
      <c r="ZG2459" s="53"/>
      <c r="ZH2459" s="53"/>
      <c r="ZI2459" s="53"/>
      <c r="ZJ2459" s="61"/>
      <c r="ZK2459" s="53"/>
      <c r="ZL2459" s="53"/>
      <c r="ZM2459" s="53"/>
      <c r="ZN2459" s="60"/>
      <c r="ZO2459" s="53"/>
      <c r="ZP2459" s="53"/>
      <c r="ZQ2459" s="53"/>
      <c r="ZR2459" s="61"/>
      <c r="ZS2459" s="53"/>
      <c r="ZT2459" s="53"/>
      <c r="ZU2459" s="53"/>
      <c r="ZV2459" s="60"/>
      <c r="ZW2459" s="53"/>
      <c r="ZX2459" s="53"/>
      <c r="ZY2459" s="53"/>
      <c r="ZZ2459" s="61"/>
      <c r="AAA2459" s="53"/>
      <c r="AAB2459" s="53"/>
      <c r="AAC2459" s="53"/>
      <c r="AAD2459" s="60"/>
      <c r="AAE2459" s="53"/>
      <c r="AAF2459" s="53"/>
      <c r="AAG2459" s="53"/>
      <c r="AAH2459" s="61"/>
      <c r="AAI2459" s="53"/>
      <c r="AAJ2459" s="53"/>
      <c r="AAK2459" s="53"/>
      <c r="AAL2459" s="60"/>
      <c r="AAM2459" s="53"/>
      <c r="AAN2459" s="53"/>
      <c r="AAO2459" s="53"/>
      <c r="AAP2459" s="61"/>
      <c r="AAQ2459" s="53"/>
      <c r="AAR2459" s="53"/>
      <c r="AAS2459" s="53"/>
      <c r="AAT2459" s="60"/>
      <c r="AAU2459" s="53"/>
      <c r="AAV2459" s="53"/>
      <c r="AAW2459" s="53"/>
      <c r="AAX2459" s="61"/>
      <c r="AAY2459" s="53"/>
      <c r="AAZ2459" s="53"/>
      <c r="ABA2459" s="53"/>
      <c r="ABB2459" s="60"/>
      <c r="ABC2459" s="53"/>
      <c r="ABD2459" s="53"/>
      <c r="ABE2459" s="53"/>
      <c r="ABF2459" s="61"/>
      <c r="ABG2459" s="53"/>
      <c r="ABH2459" s="53"/>
      <c r="ABI2459" s="53"/>
      <c r="ABJ2459" s="60"/>
      <c r="ABK2459" s="53"/>
      <c r="ABL2459" s="53"/>
      <c r="ABM2459" s="53"/>
      <c r="ABN2459" s="61"/>
      <c r="ABO2459" s="53"/>
      <c r="ABP2459" s="53"/>
      <c r="ABQ2459" s="53"/>
      <c r="ABR2459" s="60"/>
      <c r="ABS2459" s="53"/>
      <c r="ABT2459" s="53"/>
      <c r="ABU2459" s="53"/>
      <c r="ABV2459" s="61"/>
      <c r="ABW2459" s="53"/>
      <c r="ABX2459" s="53"/>
      <c r="ABY2459" s="53"/>
      <c r="ABZ2459" s="60"/>
      <c r="ACA2459" s="53"/>
      <c r="ACB2459" s="53"/>
      <c r="ACC2459" s="53"/>
      <c r="ACD2459" s="61"/>
      <c r="ACE2459" s="53"/>
      <c r="ACF2459" s="53"/>
      <c r="ACG2459" s="53"/>
      <c r="ACH2459" s="60"/>
      <c r="ACI2459" s="53"/>
      <c r="ACJ2459" s="53"/>
      <c r="ACK2459" s="53"/>
      <c r="ACL2459" s="61"/>
      <c r="ACM2459" s="53"/>
      <c r="ACN2459" s="53"/>
      <c r="ACO2459" s="53"/>
      <c r="ACP2459" s="60"/>
      <c r="ACQ2459" s="53"/>
      <c r="ACR2459" s="53"/>
      <c r="ACS2459" s="53"/>
      <c r="ACT2459" s="61"/>
      <c r="ACU2459" s="53"/>
      <c r="ACV2459" s="53"/>
      <c r="ACW2459" s="53"/>
      <c r="ACX2459" s="60"/>
      <c r="ACY2459" s="53"/>
      <c r="ACZ2459" s="53"/>
      <c r="ADA2459" s="53"/>
      <c r="ADB2459" s="61"/>
      <c r="ADC2459" s="53"/>
      <c r="ADD2459" s="53"/>
      <c r="ADE2459" s="53"/>
      <c r="ADF2459" s="60"/>
      <c r="ADG2459" s="53"/>
      <c r="ADH2459" s="53"/>
      <c r="ADI2459" s="53"/>
      <c r="ADJ2459" s="61"/>
      <c r="ADK2459" s="53"/>
      <c r="ADL2459" s="53"/>
      <c r="ADM2459" s="53"/>
      <c r="ADN2459" s="60"/>
      <c r="ADO2459" s="53"/>
      <c r="ADP2459" s="53"/>
      <c r="ADQ2459" s="53"/>
      <c r="ADR2459" s="61"/>
      <c r="ADS2459" s="53"/>
      <c r="ADT2459" s="53"/>
      <c r="ADU2459" s="53"/>
      <c r="ADV2459" s="60"/>
      <c r="ADW2459" s="53"/>
      <c r="ADX2459" s="53"/>
      <c r="ADY2459" s="53"/>
      <c r="ADZ2459" s="61"/>
      <c r="AEA2459" s="53"/>
      <c r="AEB2459" s="53"/>
      <c r="AEC2459" s="53"/>
      <c r="AED2459" s="60"/>
      <c r="AEE2459" s="53"/>
      <c r="AEF2459" s="53"/>
      <c r="AEG2459" s="53"/>
      <c r="AEH2459" s="61"/>
      <c r="AEI2459" s="53"/>
      <c r="AEJ2459" s="53"/>
      <c r="AEK2459" s="53"/>
      <c r="AEL2459" s="60"/>
      <c r="AEM2459" s="53"/>
      <c r="AEN2459" s="53"/>
      <c r="AEO2459" s="53"/>
      <c r="AEP2459" s="61"/>
      <c r="AEQ2459" s="53"/>
      <c r="AER2459" s="53"/>
      <c r="AES2459" s="53"/>
      <c r="AET2459" s="60"/>
      <c r="AEU2459" s="53"/>
      <c r="AEV2459" s="53"/>
      <c r="AEW2459" s="53"/>
      <c r="AEX2459" s="61"/>
      <c r="AEY2459" s="53"/>
      <c r="AEZ2459" s="53"/>
      <c r="AFA2459" s="53"/>
      <c r="AFB2459" s="60"/>
      <c r="AFC2459" s="53"/>
      <c r="AFD2459" s="53"/>
      <c r="AFE2459" s="53"/>
      <c r="AFF2459" s="61"/>
      <c r="AFG2459" s="53"/>
      <c r="AFH2459" s="53"/>
      <c r="AFI2459" s="53"/>
      <c r="AFJ2459" s="60"/>
      <c r="AFK2459" s="53"/>
      <c r="AFL2459" s="53"/>
      <c r="AFM2459" s="53"/>
      <c r="AFN2459" s="61"/>
      <c r="AFO2459" s="53"/>
      <c r="AFP2459" s="53"/>
      <c r="AFQ2459" s="53"/>
      <c r="AFR2459" s="60"/>
      <c r="AFS2459" s="53"/>
      <c r="AFT2459" s="53"/>
      <c r="AFU2459" s="53"/>
      <c r="AFV2459" s="61"/>
      <c r="AFW2459" s="53"/>
      <c r="AFX2459" s="53"/>
      <c r="AFY2459" s="53"/>
      <c r="AFZ2459" s="60"/>
      <c r="AGA2459" s="53"/>
      <c r="AGB2459" s="53"/>
      <c r="AGC2459" s="53"/>
      <c r="AGD2459" s="61"/>
      <c r="AGE2459" s="53"/>
      <c r="AGF2459" s="53"/>
      <c r="AGG2459" s="53"/>
      <c r="AGH2459" s="60"/>
      <c r="AGI2459" s="53"/>
      <c r="AGJ2459" s="53"/>
      <c r="AGK2459" s="53"/>
      <c r="AGL2459" s="61"/>
      <c r="AGM2459" s="53"/>
      <c r="AGN2459" s="53"/>
      <c r="AGO2459" s="53"/>
      <c r="AGP2459" s="60"/>
      <c r="AGQ2459" s="53"/>
      <c r="AGR2459" s="53"/>
      <c r="AGS2459" s="53"/>
      <c r="AGT2459" s="61"/>
      <c r="AGU2459" s="53"/>
      <c r="AGV2459" s="53"/>
      <c r="AGW2459" s="53"/>
      <c r="AGX2459" s="60"/>
      <c r="AGY2459" s="53"/>
      <c r="AGZ2459" s="53"/>
      <c r="AHA2459" s="53"/>
      <c r="AHB2459" s="61"/>
      <c r="AHC2459" s="53"/>
      <c r="AHD2459" s="53"/>
      <c r="AHE2459" s="53"/>
      <c r="AHF2459" s="60"/>
      <c r="AHG2459" s="53"/>
      <c r="AHH2459" s="53"/>
      <c r="AHI2459" s="53"/>
      <c r="AHJ2459" s="61"/>
      <c r="AHK2459" s="53"/>
      <c r="AHL2459" s="53"/>
      <c r="AHM2459" s="53"/>
      <c r="AHN2459" s="60"/>
      <c r="AHO2459" s="53"/>
      <c r="AHP2459" s="53"/>
      <c r="AHQ2459" s="53"/>
      <c r="AHR2459" s="61"/>
      <c r="AHS2459" s="53"/>
      <c r="AHT2459" s="53"/>
      <c r="AHU2459" s="53"/>
      <c r="AHV2459" s="60"/>
      <c r="AHW2459" s="53"/>
      <c r="AHX2459" s="53"/>
      <c r="AHY2459" s="53"/>
      <c r="AHZ2459" s="61"/>
      <c r="AIA2459" s="53"/>
      <c r="AIB2459" s="53"/>
      <c r="AIC2459" s="53"/>
      <c r="AID2459" s="60"/>
      <c r="AIE2459" s="53"/>
      <c r="AIF2459" s="53"/>
      <c r="AIG2459" s="53"/>
      <c r="AIH2459" s="61"/>
      <c r="AII2459" s="53"/>
      <c r="AIJ2459" s="53"/>
      <c r="AIK2459" s="53"/>
      <c r="AIL2459" s="60"/>
      <c r="AIM2459" s="53"/>
      <c r="AIN2459" s="53"/>
      <c r="AIO2459" s="53"/>
      <c r="AIP2459" s="61"/>
      <c r="AIQ2459" s="53"/>
      <c r="AIR2459" s="53"/>
      <c r="AIS2459" s="53"/>
      <c r="AIT2459" s="60"/>
      <c r="AIU2459" s="53"/>
      <c r="AIV2459" s="53"/>
      <c r="AIW2459" s="53"/>
      <c r="AIX2459" s="61"/>
      <c r="AIY2459" s="53"/>
      <c r="AIZ2459" s="53"/>
      <c r="AJA2459" s="53"/>
      <c r="AJB2459" s="60"/>
      <c r="AJC2459" s="53"/>
      <c r="AJD2459" s="53"/>
      <c r="AJE2459" s="53"/>
      <c r="AJF2459" s="61"/>
      <c r="AJG2459" s="53"/>
      <c r="AJH2459" s="53"/>
      <c r="AJI2459" s="53"/>
      <c r="AJJ2459" s="60"/>
      <c r="AJK2459" s="53"/>
      <c r="AJL2459" s="53"/>
      <c r="AJM2459" s="53"/>
      <c r="AJN2459" s="61"/>
      <c r="AJO2459" s="53"/>
      <c r="AJP2459" s="53"/>
      <c r="AJQ2459" s="53"/>
      <c r="AJR2459" s="60"/>
      <c r="AJS2459" s="53"/>
      <c r="AJT2459" s="53"/>
      <c r="AJU2459" s="53"/>
      <c r="AJV2459" s="61"/>
      <c r="AJW2459" s="53"/>
      <c r="AJX2459" s="53"/>
      <c r="AJY2459" s="53"/>
      <c r="AJZ2459" s="60"/>
      <c r="AKA2459" s="53"/>
      <c r="AKB2459" s="53"/>
      <c r="AKC2459" s="53"/>
      <c r="AKD2459" s="61"/>
      <c r="AKE2459" s="53"/>
      <c r="AKF2459" s="53"/>
      <c r="AKG2459" s="53"/>
      <c r="AKH2459" s="60"/>
      <c r="AKI2459" s="53"/>
      <c r="AKJ2459" s="53"/>
      <c r="AKK2459" s="53"/>
      <c r="AKL2459" s="61"/>
      <c r="AKM2459" s="53"/>
      <c r="AKN2459" s="53"/>
      <c r="AKO2459" s="53"/>
      <c r="AKP2459" s="60"/>
      <c r="AKQ2459" s="53"/>
      <c r="AKR2459" s="53"/>
      <c r="AKS2459" s="53"/>
      <c r="AKT2459" s="61"/>
      <c r="AKU2459" s="53"/>
      <c r="AKV2459" s="53"/>
      <c r="AKW2459" s="53"/>
      <c r="AKX2459" s="60"/>
      <c r="AKY2459" s="53"/>
      <c r="AKZ2459" s="53"/>
      <c r="ALA2459" s="53"/>
      <c r="ALB2459" s="61"/>
      <c r="ALC2459" s="53"/>
      <c r="ALD2459" s="53"/>
      <c r="ALE2459" s="53"/>
      <c r="ALF2459" s="60"/>
      <c r="ALG2459" s="53"/>
      <c r="ALH2459" s="53"/>
      <c r="ALI2459" s="53"/>
      <c r="ALJ2459" s="61"/>
      <c r="ALK2459" s="53"/>
      <c r="ALL2459" s="53"/>
      <c r="ALM2459" s="53"/>
      <c r="ALN2459" s="60"/>
      <c r="ALO2459" s="53"/>
      <c r="ALP2459" s="53"/>
      <c r="ALQ2459" s="53"/>
      <c r="ALR2459" s="61"/>
      <c r="ALS2459" s="53"/>
      <c r="ALT2459" s="53"/>
      <c r="ALU2459" s="53"/>
      <c r="ALV2459" s="60"/>
      <c r="ALW2459" s="53"/>
      <c r="ALX2459" s="53"/>
      <c r="ALY2459" s="53"/>
      <c r="ALZ2459" s="61"/>
      <c r="AMA2459" s="53"/>
      <c r="AMB2459" s="53"/>
      <c r="AMC2459" s="53"/>
      <c r="AMD2459" s="60"/>
      <c r="AME2459" s="53"/>
      <c r="AMF2459" s="53"/>
      <c r="AMG2459" s="53"/>
      <c r="AMH2459" s="61"/>
      <c r="AMI2459" s="53"/>
      <c r="AMJ2459" s="53"/>
      <c r="AMK2459" s="53"/>
      <c r="AML2459" s="60"/>
      <c r="AMM2459" s="53"/>
      <c r="AMN2459" s="53"/>
      <c r="AMO2459" s="53"/>
      <c r="AMP2459" s="61"/>
      <c r="AMQ2459" s="53"/>
      <c r="AMR2459" s="53"/>
      <c r="AMS2459" s="53"/>
      <c r="AMT2459" s="60"/>
      <c r="AMU2459" s="53"/>
      <c r="AMV2459" s="53"/>
      <c r="AMW2459" s="53"/>
      <c r="AMX2459" s="61"/>
      <c r="AMY2459" s="53"/>
      <c r="AMZ2459" s="53"/>
      <c r="ANA2459" s="53"/>
      <c r="ANB2459" s="60"/>
      <c r="ANC2459" s="53"/>
      <c r="AND2459" s="53"/>
      <c r="ANE2459" s="53"/>
      <c r="ANF2459" s="61"/>
      <c r="ANG2459" s="53"/>
      <c r="ANH2459" s="53"/>
      <c r="ANI2459" s="53"/>
      <c r="ANJ2459" s="60"/>
      <c r="ANK2459" s="53"/>
      <c r="ANL2459" s="53"/>
      <c r="ANM2459" s="53"/>
      <c r="ANN2459" s="61"/>
      <c r="ANO2459" s="53"/>
      <c r="ANP2459" s="53"/>
      <c r="ANQ2459" s="53"/>
      <c r="ANR2459" s="60"/>
      <c r="ANS2459" s="53"/>
      <c r="ANT2459" s="53"/>
      <c r="ANU2459" s="53"/>
      <c r="ANV2459" s="61"/>
      <c r="ANW2459" s="53"/>
      <c r="ANX2459" s="53"/>
      <c r="ANY2459" s="53"/>
      <c r="ANZ2459" s="60"/>
      <c r="AOA2459" s="53"/>
      <c r="AOB2459" s="53"/>
      <c r="AOC2459" s="53"/>
      <c r="AOD2459" s="61"/>
      <c r="AOE2459" s="53"/>
      <c r="AOF2459" s="53"/>
      <c r="AOG2459" s="53"/>
      <c r="AOH2459" s="60"/>
      <c r="AOI2459" s="53"/>
      <c r="AOJ2459" s="53"/>
      <c r="AOK2459" s="53"/>
      <c r="AOL2459" s="61"/>
      <c r="AOM2459" s="53"/>
      <c r="AON2459" s="53"/>
      <c r="AOO2459" s="53"/>
      <c r="AOP2459" s="60"/>
      <c r="AOQ2459" s="53"/>
      <c r="AOR2459" s="53"/>
      <c r="AOS2459" s="53"/>
      <c r="AOT2459" s="61"/>
      <c r="AOU2459" s="53"/>
      <c r="AOV2459" s="53"/>
      <c r="AOW2459" s="53"/>
      <c r="AOX2459" s="60"/>
      <c r="AOY2459" s="53"/>
      <c r="AOZ2459" s="53"/>
      <c r="APA2459" s="53"/>
      <c r="APB2459" s="61"/>
      <c r="APC2459" s="53"/>
      <c r="APD2459" s="53"/>
      <c r="APE2459" s="53"/>
      <c r="APF2459" s="60"/>
      <c r="APG2459" s="53"/>
      <c r="APH2459" s="53"/>
      <c r="API2459" s="53"/>
      <c r="APJ2459" s="61"/>
      <c r="APK2459" s="53"/>
      <c r="APL2459" s="53"/>
      <c r="APM2459" s="53"/>
      <c r="APN2459" s="60"/>
      <c r="APO2459" s="53"/>
      <c r="APP2459" s="53"/>
      <c r="APQ2459" s="53"/>
      <c r="APR2459" s="61"/>
      <c r="APS2459" s="53"/>
      <c r="APT2459" s="53"/>
      <c r="APU2459" s="53"/>
      <c r="APV2459" s="60"/>
      <c r="APW2459" s="53"/>
      <c r="APX2459" s="53"/>
      <c r="APY2459" s="53"/>
      <c r="APZ2459" s="61"/>
      <c r="AQA2459" s="53"/>
      <c r="AQB2459" s="53"/>
      <c r="AQC2459" s="53"/>
      <c r="AQD2459" s="60"/>
      <c r="AQE2459" s="53"/>
      <c r="AQF2459" s="53"/>
      <c r="AQG2459" s="53"/>
      <c r="AQH2459" s="61"/>
      <c r="AQI2459" s="53"/>
      <c r="AQJ2459" s="53"/>
      <c r="AQK2459" s="53"/>
      <c r="AQL2459" s="60"/>
      <c r="AQM2459" s="53"/>
      <c r="AQN2459" s="53"/>
      <c r="AQO2459" s="53"/>
      <c r="AQP2459" s="61"/>
      <c r="AQQ2459" s="53"/>
      <c r="AQR2459" s="53"/>
      <c r="AQS2459" s="53"/>
      <c r="AQT2459" s="60"/>
      <c r="AQU2459" s="53"/>
      <c r="AQV2459" s="53"/>
      <c r="AQW2459" s="53"/>
      <c r="AQX2459" s="61"/>
      <c r="AQY2459" s="53"/>
      <c r="AQZ2459" s="53"/>
      <c r="ARA2459" s="53"/>
      <c r="ARB2459" s="60"/>
      <c r="ARC2459" s="53"/>
      <c r="ARD2459" s="53"/>
      <c r="ARE2459" s="53"/>
      <c r="ARF2459" s="61"/>
      <c r="ARG2459" s="53"/>
      <c r="ARH2459" s="53"/>
      <c r="ARI2459" s="53"/>
      <c r="ARJ2459" s="60"/>
      <c r="ARK2459" s="53"/>
      <c r="ARL2459" s="53"/>
      <c r="ARM2459" s="53"/>
      <c r="ARN2459" s="61"/>
      <c r="ARO2459" s="53"/>
      <c r="ARP2459" s="53"/>
      <c r="ARQ2459" s="53"/>
      <c r="ARR2459" s="60"/>
      <c r="ARS2459" s="53"/>
      <c r="ART2459" s="53"/>
      <c r="ARU2459" s="53"/>
      <c r="ARV2459" s="61"/>
      <c r="ARW2459" s="53"/>
      <c r="ARX2459" s="53"/>
      <c r="ARY2459" s="53"/>
      <c r="ARZ2459" s="60"/>
      <c r="ASA2459" s="53"/>
      <c r="ASB2459" s="53"/>
      <c r="ASC2459" s="53"/>
      <c r="ASD2459" s="61"/>
      <c r="ASE2459" s="53"/>
      <c r="ASF2459" s="53"/>
      <c r="ASG2459" s="53"/>
      <c r="ASH2459" s="60"/>
      <c r="ASI2459" s="53"/>
      <c r="ASJ2459" s="53"/>
      <c r="ASK2459" s="53"/>
      <c r="ASL2459" s="61"/>
      <c r="ASM2459" s="53"/>
      <c r="ASN2459" s="53"/>
      <c r="ASO2459" s="53"/>
      <c r="ASP2459" s="60"/>
      <c r="ASQ2459" s="53"/>
      <c r="ASR2459" s="53"/>
      <c r="ASS2459" s="53"/>
      <c r="AST2459" s="61"/>
      <c r="ASU2459" s="53"/>
      <c r="ASV2459" s="53"/>
      <c r="ASW2459" s="53"/>
      <c r="ASX2459" s="60"/>
      <c r="ASY2459" s="53"/>
      <c r="ASZ2459" s="53"/>
      <c r="ATA2459" s="53"/>
      <c r="ATB2459" s="61"/>
      <c r="ATC2459" s="53"/>
      <c r="ATD2459" s="53"/>
      <c r="ATE2459" s="53"/>
      <c r="ATF2459" s="60"/>
      <c r="ATG2459" s="53"/>
      <c r="ATH2459" s="53"/>
      <c r="ATI2459" s="53"/>
      <c r="ATJ2459" s="61"/>
      <c r="ATK2459" s="53"/>
      <c r="ATL2459" s="53"/>
      <c r="ATM2459" s="53"/>
      <c r="ATN2459" s="60"/>
      <c r="ATO2459" s="53"/>
      <c r="ATP2459" s="53"/>
      <c r="ATQ2459" s="53"/>
      <c r="ATR2459" s="61"/>
      <c r="ATS2459" s="53"/>
      <c r="ATT2459" s="53"/>
      <c r="ATU2459" s="53"/>
      <c r="ATV2459" s="60"/>
      <c r="ATW2459" s="53"/>
      <c r="ATX2459" s="53"/>
      <c r="ATY2459" s="53"/>
      <c r="ATZ2459" s="61"/>
      <c r="AUA2459" s="53"/>
      <c r="AUB2459" s="53"/>
      <c r="AUC2459" s="53"/>
      <c r="AUD2459" s="60"/>
      <c r="AUE2459" s="53"/>
      <c r="AUF2459" s="53"/>
      <c r="AUG2459" s="53"/>
      <c r="AUH2459" s="61"/>
      <c r="AUI2459" s="53"/>
      <c r="AUJ2459" s="53"/>
      <c r="AUK2459" s="53"/>
      <c r="AUL2459" s="60"/>
      <c r="AUM2459" s="53"/>
      <c r="AUN2459" s="53"/>
      <c r="AUO2459" s="53"/>
      <c r="AUP2459" s="61"/>
      <c r="AUQ2459" s="53"/>
      <c r="AUR2459" s="53"/>
      <c r="AUS2459" s="53"/>
      <c r="AUT2459" s="60"/>
      <c r="AUU2459" s="53"/>
      <c r="AUV2459" s="53"/>
      <c r="AUW2459" s="53"/>
      <c r="AUX2459" s="61"/>
      <c r="AUY2459" s="53"/>
      <c r="AUZ2459" s="53"/>
      <c r="AVA2459" s="53"/>
      <c r="AVB2459" s="60"/>
      <c r="AVC2459" s="53"/>
      <c r="AVD2459" s="53"/>
      <c r="AVE2459" s="53"/>
      <c r="AVF2459" s="61"/>
      <c r="AVG2459" s="53"/>
      <c r="AVH2459" s="53"/>
      <c r="AVI2459" s="53"/>
      <c r="AVJ2459" s="60"/>
      <c r="AVK2459" s="53"/>
      <c r="AVL2459" s="53"/>
      <c r="AVM2459" s="53"/>
      <c r="AVN2459" s="61"/>
      <c r="AVO2459" s="53"/>
      <c r="AVP2459" s="53"/>
      <c r="AVQ2459" s="53"/>
      <c r="AVR2459" s="60"/>
      <c r="AVS2459" s="53"/>
      <c r="AVT2459" s="53"/>
      <c r="AVU2459" s="53"/>
      <c r="AVV2459" s="61"/>
      <c r="AVW2459" s="53"/>
      <c r="AVX2459" s="53"/>
      <c r="AVY2459" s="53"/>
      <c r="AVZ2459" s="60"/>
      <c r="AWA2459" s="53"/>
      <c r="AWB2459" s="53"/>
      <c r="AWC2459" s="53"/>
      <c r="AWD2459" s="61"/>
      <c r="AWE2459" s="53"/>
      <c r="AWF2459" s="53"/>
      <c r="AWG2459" s="53"/>
      <c r="AWH2459" s="60"/>
      <c r="AWI2459" s="53"/>
      <c r="AWJ2459" s="53"/>
      <c r="AWK2459" s="53"/>
      <c r="AWL2459" s="61"/>
      <c r="AWM2459" s="53"/>
      <c r="AWN2459" s="53"/>
      <c r="AWO2459" s="53"/>
      <c r="AWP2459" s="60"/>
      <c r="AWQ2459" s="53"/>
      <c r="AWR2459" s="53"/>
      <c r="AWS2459" s="53"/>
      <c r="AWT2459" s="61"/>
      <c r="AWU2459" s="53"/>
      <c r="AWV2459" s="53"/>
      <c r="AWW2459" s="53"/>
      <c r="AWX2459" s="60"/>
      <c r="AWY2459" s="53"/>
      <c r="AWZ2459" s="53"/>
      <c r="AXA2459" s="53"/>
      <c r="AXB2459" s="61"/>
      <c r="AXC2459" s="53"/>
      <c r="AXD2459" s="53"/>
      <c r="AXE2459" s="53"/>
      <c r="AXF2459" s="60"/>
      <c r="AXG2459" s="53"/>
      <c r="AXH2459" s="53"/>
      <c r="AXI2459" s="53"/>
      <c r="AXJ2459" s="61"/>
      <c r="AXK2459" s="53"/>
      <c r="AXL2459" s="53"/>
      <c r="AXM2459" s="53"/>
      <c r="AXN2459" s="60"/>
      <c r="AXO2459" s="53"/>
      <c r="AXP2459" s="53"/>
      <c r="AXQ2459" s="53"/>
      <c r="AXR2459" s="61"/>
      <c r="AXS2459" s="53"/>
      <c r="AXT2459" s="53"/>
      <c r="AXU2459" s="53"/>
      <c r="AXV2459" s="60"/>
      <c r="AXW2459" s="53"/>
      <c r="AXX2459" s="53"/>
      <c r="AXY2459" s="53"/>
      <c r="AXZ2459" s="61"/>
      <c r="AYA2459" s="53"/>
      <c r="AYB2459" s="53"/>
      <c r="AYC2459" s="53"/>
      <c r="AYD2459" s="60"/>
      <c r="AYE2459" s="53"/>
      <c r="AYF2459" s="53"/>
      <c r="AYG2459" s="53"/>
      <c r="AYH2459" s="61"/>
      <c r="AYI2459" s="53"/>
      <c r="AYJ2459" s="53"/>
      <c r="AYK2459" s="53"/>
      <c r="AYL2459" s="60"/>
      <c r="AYM2459" s="53"/>
      <c r="AYN2459" s="53"/>
      <c r="AYO2459" s="53"/>
      <c r="AYP2459" s="61"/>
      <c r="AYQ2459" s="53"/>
      <c r="AYR2459" s="53"/>
      <c r="AYS2459" s="53"/>
      <c r="AYT2459" s="60"/>
      <c r="AYU2459" s="53"/>
      <c r="AYV2459" s="53"/>
      <c r="AYW2459" s="53"/>
      <c r="AYX2459" s="61"/>
      <c r="AYY2459" s="53"/>
      <c r="AYZ2459" s="53"/>
      <c r="AZA2459" s="53"/>
      <c r="AZB2459" s="60"/>
      <c r="AZC2459" s="53"/>
      <c r="AZD2459" s="53"/>
      <c r="AZE2459" s="53"/>
      <c r="AZF2459" s="61"/>
      <c r="AZG2459" s="53"/>
      <c r="AZH2459" s="53"/>
      <c r="AZI2459" s="53"/>
      <c r="AZJ2459" s="60"/>
      <c r="AZK2459" s="53"/>
      <c r="AZL2459" s="53"/>
      <c r="AZM2459" s="53"/>
      <c r="AZN2459" s="61"/>
      <c r="AZO2459" s="53"/>
      <c r="AZP2459" s="53"/>
      <c r="AZQ2459" s="53"/>
      <c r="AZR2459" s="60"/>
      <c r="AZS2459" s="53"/>
      <c r="AZT2459" s="53"/>
      <c r="AZU2459" s="53"/>
      <c r="AZV2459" s="61"/>
      <c r="AZW2459" s="53"/>
      <c r="AZX2459" s="53"/>
      <c r="AZY2459" s="53"/>
      <c r="AZZ2459" s="60"/>
      <c r="BAA2459" s="53"/>
      <c r="BAB2459" s="53"/>
      <c r="BAC2459" s="53"/>
      <c r="BAD2459" s="61"/>
      <c r="BAE2459" s="53"/>
      <c r="BAF2459" s="53"/>
      <c r="BAG2459" s="53"/>
      <c r="BAH2459" s="60"/>
      <c r="BAI2459" s="53"/>
      <c r="BAJ2459" s="53"/>
      <c r="BAK2459" s="53"/>
      <c r="BAL2459" s="61"/>
      <c r="BAM2459" s="53"/>
      <c r="BAN2459" s="53"/>
      <c r="BAO2459" s="53"/>
      <c r="BAP2459" s="60"/>
      <c r="BAQ2459" s="53"/>
      <c r="BAR2459" s="53"/>
      <c r="BAS2459" s="53"/>
      <c r="BAT2459" s="61"/>
      <c r="BAU2459" s="53"/>
      <c r="BAV2459" s="53"/>
      <c r="BAW2459" s="53"/>
      <c r="BAX2459" s="60"/>
      <c r="BAY2459" s="53"/>
      <c r="BAZ2459" s="53"/>
      <c r="BBA2459" s="53"/>
      <c r="BBB2459" s="61"/>
      <c r="BBC2459" s="53"/>
      <c r="BBD2459" s="53"/>
      <c r="BBE2459" s="53"/>
      <c r="BBF2459" s="60"/>
      <c r="BBG2459" s="53"/>
      <c r="BBH2459" s="53"/>
      <c r="BBI2459" s="53"/>
      <c r="BBJ2459" s="61"/>
      <c r="BBK2459" s="53"/>
      <c r="BBL2459" s="53"/>
      <c r="BBM2459" s="53"/>
      <c r="BBN2459" s="60"/>
      <c r="BBO2459" s="53"/>
      <c r="BBP2459" s="53"/>
      <c r="BBQ2459" s="53"/>
      <c r="BBR2459" s="61"/>
      <c r="BBS2459" s="53"/>
      <c r="BBT2459" s="53"/>
      <c r="BBU2459" s="53"/>
      <c r="BBV2459" s="60"/>
      <c r="BBW2459" s="53"/>
      <c r="BBX2459" s="53"/>
      <c r="BBY2459" s="53"/>
      <c r="BBZ2459" s="61"/>
      <c r="BCA2459" s="53"/>
      <c r="BCB2459" s="53"/>
      <c r="BCC2459" s="53"/>
      <c r="BCD2459" s="60"/>
      <c r="BCE2459" s="53"/>
      <c r="BCF2459" s="53"/>
      <c r="BCG2459" s="53"/>
      <c r="BCH2459" s="61"/>
      <c r="BCI2459" s="53"/>
      <c r="BCJ2459" s="53"/>
      <c r="BCK2459" s="53"/>
      <c r="BCL2459" s="60"/>
      <c r="BCM2459" s="53"/>
      <c r="BCN2459" s="53"/>
      <c r="BCO2459" s="53"/>
      <c r="BCP2459" s="61"/>
      <c r="BCQ2459" s="53"/>
      <c r="BCR2459" s="53"/>
      <c r="BCS2459" s="53"/>
      <c r="BCT2459" s="60"/>
      <c r="BCU2459" s="53"/>
      <c r="BCV2459" s="53"/>
      <c r="BCW2459" s="53"/>
      <c r="BCX2459" s="61"/>
      <c r="BCY2459" s="53"/>
      <c r="BCZ2459" s="53"/>
      <c r="BDA2459" s="53"/>
      <c r="BDB2459" s="60"/>
      <c r="BDC2459" s="53"/>
      <c r="BDD2459" s="53"/>
      <c r="BDE2459" s="53"/>
      <c r="BDF2459" s="61"/>
      <c r="BDG2459" s="53"/>
      <c r="BDH2459" s="53"/>
      <c r="BDI2459" s="53"/>
      <c r="BDJ2459" s="60"/>
      <c r="BDK2459" s="53"/>
      <c r="BDL2459" s="53"/>
      <c r="BDM2459" s="53"/>
      <c r="BDN2459" s="61"/>
      <c r="BDO2459" s="53"/>
      <c r="BDP2459" s="53"/>
      <c r="BDQ2459" s="53"/>
      <c r="BDR2459" s="60"/>
      <c r="BDS2459" s="53"/>
      <c r="BDT2459" s="53"/>
      <c r="BDU2459" s="53"/>
      <c r="BDV2459" s="61"/>
      <c r="BDW2459" s="53"/>
      <c r="BDX2459" s="53"/>
      <c r="BDY2459" s="53"/>
      <c r="BDZ2459" s="60"/>
      <c r="BEA2459" s="53"/>
      <c r="BEB2459" s="53"/>
      <c r="BEC2459" s="53"/>
      <c r="BED2459" s="61"/>
      <c r="BEE2459" s="53"/>
      <c r="BEF2459" s="53"/>
      <c r="BEG2459" s="53"/>
      <c r="BEH2459" s="60"/>
      <c r="BEI2459" s="53"/>
      <c r="BEJ2459" s="53"/>
      <c r="BEK2459" s="53"/>
      <c r="BEL2459" s="61"/>
      <c r="BEM2459" s="53"/>
      <c r="BEN2459" s="53"/>
      <c r="BEO2459" s="53"/>
      <c r="BEP2459" s="60"/>
      <c r="BEQ2459" s="53"/>
      <c r="BER2459" s="53"/>
      <c r="BES2459" s="53"/>
      <c r="BET2459" s="61"/>
      <c r="BEU2459" s="53"/>
      <c r="BEV2459" s="53"/>
      <c r="BEW2459" s="53"/>
      <c r="BEX2459" s="60"/>
      <c r="BEY2459" s="53"/>
      <c r="BEZ2459" s="53"/>
      <c r="BFA2459" s="53"/>
      <c r="BFB2459" s="61"/>
      <c r="BFC2459" s="53"/>
      <c r="BFD2459" s="53"/>
      <c r="BFE2459" s="53"/>
      <c r="BFF2459" s="60"/>
      <c r="BFG2459" s="53"/>
      <c r="BFH2459" s="53"/>
      <c r="BFI2459" s="53"/>
      <c r="BFJ2459" s="61"/>
      <c r="BFK2459" s="53"/>
      <c r="BFL2459" s="53"/>
      <c r="BFM2459" s="53"/>
      <c r="BFN2459" s="60"/>
      <c r="BFO2459" s="53"/>
      <c r="BFP2459" s="53"/>
      <c r="BFQ2459" s="53"/>
      <c r="BFR2459" s="61"/>
      <c r="BFS2459" s="53"/>
      <c r="BFT2459" s="53"/>
      <c r="BFU2459" s="53"/>
      <c r="BFV2459" s="60"/>
      <c r="BFW2459" s="53"/>
      <c r="BFX2459" s="53"/>
      <c r="BFY2459" s="53"/>
      <c r="BFZ2459" s="61"/>
      <c r="BGA2459" s="53"/>
      <c r="BGB2459" s="53"/>
      <c r="BGC2459" s="53"/>
      <c r="BGD2459" s="60"/>
      <c r="BGE2459" s="53"/>
      <c r="BGF2459" s="53"/>
      <c r="BGG2459" s="53"/>
      <c r="BGH2459" s="61"/>
      <c r="BGI2459" s="53"/>
      <c r="BGJ2459" s="53"/>
      <c r="BGK2459" s="53"/>
      <c r="BGL2459" s="60"/>
      <c r="BGM2459" s="53"/>
      <c r="BGN2459" s="53"/>
      <c r="BGO2459" s="53"/>
      <c r="BGP2459" s="61"/>
      <c r="BGQ2459" s="53"/>
      <c r="BGR2459" s="53"/>
      <c r="BGS2459" s="53"/>
      <c r="BGT2459" s="60"/>
      <c r="BGU2459" s="53"/>
      <c r="BGV2459" s="53"/>
      <c r="BGW2459" s="53"/>
      <c r="BGX2459" s="61"/>
      <c r="BGY2459" s="53"/>
      <c r="BGZ2459" s="53"/>
      <c r="BHA2459" s="53"/>
      <c r="BHB2459" s="60"/>
      <c r="BHC2459" s="53"/>
      <c r="BHD2459" s="53"/>
      <c r="BHE2459" s="53"/>
      <c r="BHF2459" s="61"/>
      <c r="BHG2459" s="53"/>
      <c r="BHH2459" s="53"/>
      <c r="BHI2459" s="53"/>
      <c r="BHJ2459" s="60"/>
      <c r="BHK2459" s="53"/>
      <c r="BHL2459" s="53"/>
      <c r="BHM2459" s="53"/>
      <c r="BHN2459" s="61"/>
      <c r="BHO2459" s="53"/>
      <c r="BHP2459" s="53"/>
      <c r="BHQ2459" s="53"/>
      <c r="BHR2459" s="60"/>
      <c r="BHS2459" s="53"/>
      <c r="BHT2459" s="53"/>
      <c r="BHU2459" s="53"/>
      <c r="BHV2459" s="61"/>
      <c r="BHW2459" s="53"/>
      <c r="BHX2459" s="53"/>
      <c r="BHY2459" s="53"/>
      <c r="BHZ2459" s="60"/>
      <c r="BIA2459" s="53"/>
      <c r="BIB2459" s="53"/>
      <c r="BIC2459" s="53"/>
      <c r="BID2459" s="61"/>
      <c r="BIE2459" s="53"/>
      <c r="BIF2459" s="53"/>
      <c r="BIG2459" s="53"/>
      <c r="BIH2459" s="60"/>
      <c r="BII2459" s="53"/>
      <c r="BIJ2459" s="53"/>
      <c r="BIK2459" s="53"/>
      <c r="BIL2459" s="61"/>
      <c r="BIM2459" s="53"/>
      <c r="BIN2459" s="53"/>
      <c r="BIO2459" s="53"/>
      <c r="BIP2459" s="60"/>
      <c r="BIQ2459" s="53"/>
      <c r="BIR2459" s="53"/>
      <c r="BIS2459" s="53"/>
      <c r="BIT2459" s="61"/>
      <c r="BIU2459" s="53"/>
      <c r="BIV2459" s="53"/>
      <c r="BIW2459" s="53"/>
      <c r="BIX2459" s="60"/>
      <c r="BIY2459" s="53"/>
      <c r="BIZ2459" s="53"/>
      <c r="BJA2459" s="53"/>
      <c r="BJB2459" s="61"/>
      <c r="BJC2459" s="53"/>
      <c r="BJD2459" s="53"/>
      <c r="BJE2459" s="53"/>
      <c r="BJF2459" s="60"/>
      <c r="BJG2459" s="53"/>
      <c r="BJH2459" s="53"/>
      <c r="BJI2459" s="53"/>
      <c r="BJJ2459" s="61"/>
      <c r="BJK2459" s="53"/>
      <c r="BJL2459" s="53"/>
      <c r="BJM2459" s="53"/>
      <c r="BJN2459" s="60"/>
      <c r="BJO2459" s="53"/>
      <c r="BJP2459" s="53"/>
      <c r="BJQ2459" s="53"/>
      <c r="BJR2459" s="61"/>
      <c r="BJS2459" s="53"/>
      <c r="BJT2459" s="53"/>
      <c r="BJU2459" s="53"/>
      <c r="BJV2459" s="60"/>
      <c r="BJW2459" s="53"/>
      <c r="BJX2459" s="53"/>
      <c r="BJY2459" s="53"/>
      <c r="BJZ2459" s="61"/>
      <c r="BKA2459" s="53"/>
      <c r="BKB2459" s="53"/>
      <c r="BKC2459" s="53"/>
      <c r="BKD2459" s="60"/>
      <c r="BKE2459" s="53"/>
      <c r="BKF2459" s="53"/>
      <c r="BKG2459" s="53"/>
      <c r="BKH2459" s="61"/>
      <c r="BKI2459" s="53"/>
      <c r="BKJ2459" s="53"/>
      <c r="BKK2459" s="53"/>
      <c r="BKL2459" s="60"/>
      <c r="BKM2459" s="53"/>
      <c r="BKN2459" s="53"/>
      <c r="BKO2459" s="53"/>
      <c r="BKP2459" s="61"/>
      <c r="BKQ2459" s="53"/>
      <c r="BKR2459" s="53"/>
      <c r="BKS2459" s="53"/>
      <c r="BKT2459" s="60"/>
      <c r="BKU2459" s="53"/>
      <c r="BKV2459" s="53"/>
      <c r="BKW2459" s="53"/>
      <c r="BKX2459" s="61"/>
      <c r="BKY2459" s="53"/>
      <c r="BKZ2459" s="53"/>
      <c r="BLA2459" s="53"/>
      <c r="BLB2459" s="60"/>
      <c r="BLC2459" s="53"/>
      <c r="BLD2459" s="53"/>
      <c r="BLE2459" s="53"/>
      <c r="BLF2459" s="61"/>
      <c r="BLG2459" s="53"/>
      <c r="BLH2459" s="53"/>
      <c r="BLI2459" s="53"/>
      <c r="BLJ2459" s="60"/>
      <c r="BLK2459" s="53"/>
      <c r="BLL2459" s="53"/>
      <c r="BLM2459" s="53"/>
      <c r="BLN2459" s="61"/>
      <c r="BLO2459" s="53"/>
      <c r="BLP2459" s="53"/>
      <c r="BLQ2459" s="53"/>
      <c r="BLR2459" s="60"/>
      <c r="BLS2459" s="53"/>
      <c r="BLT2459" s="53"/>
      <c r="BLU2459" s="53"/>
      <c r="BLV2459" s="61"/>
      <c r="BLW2459" s="53"/>
      <c r="BLX2459" s="53"/>
      <c r="BLY2459" s="53"/>
      <c r="BLZ2459" s="60"/>
      <c r="BMA2459" s="53"/>
      <c r="BMB2459" s="53"/>
      <c r="BMC2459" s="53"/>
      <c r="BMD2459" s="61"/>
      <c r="BME2459" s="53"/>
      <c r="BMF2459" s="53"/>
      <c r="BMG2459" s="53"/>
      <c r="BMH2459" s="60"/>
      <c r="BMI2459" s="53"/>
      <c r="BMJ2459" s="53"/>
      <c r="BMK2459" s="53"/>
      <c r="BML2459" s="61"/>
      <c r="BMM2459" s="53"/>
      <c r="BMN2459" s="53"/>
      <c r="BMO2459" s="53"/>
      <c r="BMP2459" s="60"/>
      <c r="BMQ2459" s="53"/>
      <c r="BMR2459" s="53"/>
      <c r="BMS2459" s="53"/>
      <c r="BMT2459" s="61"/>
      <c r="BMU2459" s="53"/>
      <c r="BMV2459" s="53"/>
      <c r="BMW2459" s="53"/>
      <c r="BMX2459" s="60"/>
      <c r="BMY2459" s="53"/>
      <c r="BMZ2459" s="53"/>
      <c r="BNA2459" s="53"/>
      <c r="BNB2459" s="61"/>
      <c r="BNC2459" s="53"/>
      <c r="BND2459" s="53"/>
      <c r="BNE2459" s="53"/>
      <c r="BNF2459" s="60"/>
      <c r="BNG2459" s="53"/>
      <c r="BNH2459" s="53"/>
      <c r="BNI2459" s="53"/>
      <c r="BNJ2459" s="61"/>
      <c r="BNK2459" s="53"/>
      <c r="BNL2459" s="53"/>
      <c r="BNM2459" s="53"/>
      <c r="BNN2459" s="60"/>
      <c r="BNO2459" s="53"/>
      <c r="BNP2459" s="53"/>
      <c r="BNQ2459" s="53"/>
      <c r="BNR2459" s="61"/>
      <c r="BNS2459" s="53"/>
      <c r="BNT2459" s="53"/>
      <c r="BNU2459" s="53"/>
      <c r="BNV2459" s="60"/>
      <c r="BNW2459" s="53"/>
      <c r="BNX2459" s="53"/>
      <c r="BNY2459" s="53"/>
      <c r="BNZ2459" s="61"/>
      <c r="BOA2459" s="53"/>
      <c r="BOB2459" s="53"/>
      <c r="BOC2459" s="53"/>
      <c r="BOD2459" s="60"/>
      <c r="BOE2459" s="53"/>
      <c r="BOF2459" s="53"/>
      <c r="BOG2459" s="53"/>
      <c r="BOH2459" s="61"/>
      <c r="BOI2459" s="53"/>
      <c r="BOJ2459" s="53"/>
      <c r="BOK2459" s="53"/>
      <c r="BOL2459" s="60"/>
      <c r="BOM2459" s="53"/>
      <c r="BON2459" s="53"/>
      <c r="BOO2459" s="53"/>
      <c r="BOP2459" s="61"/>
      <c r="BOQ2459" s="53"/>
      <c r="BOR2459" s="53"/>
      <c r="BOS2459" s="53"/>
      <c r="BOT2459" s="60"/>
      <c r="BOU2459" s="53"/>
      <c r="BOV2459" s="53"/>
      <c r="BOW2459" s="53"/>
      <c r="BOX2459" s="61"/>
      <c r="BOY2459" s="53"/>
      <c r="BOZ2459" s="53"/>
      <c r="BPA2459" s="53"/>
      <c r="BPB2459" s="60"/>
      <c r="BPC2459" s="53"/>
      <c r="BPD2459" s="53"/>
      <c r="BPE2459" s="53"/>
      <c r="BPF2459" s="61"/>
      <c r="BPG2459" s="53"/>
      <c r="BPH2459" s="53"/>
      <c r="BPI2459" s="53"/>
      <c r="BPJ2459" s="60"/>
      <c r="BPK2459" s="53"/>
      <c r="BPL2459" s="53"/>
      <c r="BPM2459" s="53"/>
      <c r="BPN2459" s="61"/>
      <c r="BPO2459" s="53"/>
      <c r="BPP2459" s="53"/>
      <c r="BPQ2459" s="53"/>
      <c r="BPR2459" s="60"/>
      <c r="BPS2459" s="53"/>
      <c r="BPT2459" s="53"/>
      <c r="BPU2459" s="53"/>
      <c r="BPV2459" s="61"/>
      <c r="BPW2459" s="53"/>
      <c r="BPX2459" s="53"/>
      <c r="BPY2459" s="53"/>
      <c r="BPZ2459" s="60"/>
      <c r="BQA2459" s="53"/>
      <c r="BQB2459" s="53"/>
      <c r="BQC2459" s="53"/>
      <c r="BQD2459" s="61"/>
      <c r="BQE2459" s="53"/>
      <c r="BQF2459" s="53"/>
      <c r="BQG2459" s="53"/>
      <c r="BQH2459" s="60"/>
      <c r="BQI2459" s="53"/>
      <c r="BQJ2459" s="53"/>
      <c r="BQK2459" s="53"/>
      <c r="BQL2459" s="61"/>
      <c r="BQM2459" s="53"/>
      <c r="BQN2459" s="53"/>
      <c r="BQO2459" s="53"/>
      <c r="BQP2459" s="60"/>
      <c r="BQQ2459" s="53"/>
      <c r="BQR2459" s="53"/>
      <c r="BQS2459" s="53"/>
      <c r="BQT2459" s="61"/>
      <c r="BQU2459" s="53"/>
      <c r="BQV2459" s="53"/>
      <c r="BQW2459" s="53"/>
      <c r="BQX2459" s="60"/>
      <c r="BQY2459" s="53"/>
      <c r="BQZ2459" s="53"/>
      <c r="BRA2459" s="53"/>
      <c r="BRB2459" s="61"/>
      <c r="BRC2459" s="53"/>
      <c r="BRD2459" s="53"/>
      <c r="BRE2459" s="53"/>
      <c r="BRF2459" s="60"/>
      <c r="BRG2459" s="53"/>
      <c r="BRH2459" s="53"/>
      <c r="BRI2459" s="53"/>
      <c r="BRJ2459" s="61"/>
      <c r="BRK2459" s="53"/>
      <c r="BRL2459" s="53"/>
      <c r="BRM2459" s="53"/>
      <c r="BRN2459" s="60"/>
      <c r="BRO2459" s="53"/>
      <c r="BRP2459" s="53"/>
      <c r="BRQ2459" s="53"/>
      <c r="BRR2459" s="61"/>
      <c r="BRS2459" s="53"/>
      <c r="BRT2459" s="53"/>
      <c r="BRU2459" s="53"/>
      <c r="BRV2459" s="60"/>
      <c r="BRW2459" s="53"/>
      <c r="BRX2459" s="53"/>
      <c r="BRY2459" s="53"/>
      <c r="BRZ2459" s="61"/>
      <c r="BSA2459" s="53"/>
      <c r="BSB2459" s="53"/>
      <c r="BSC2459" s="53"/>
      <c r="BSD2459" s="60"/>
      <c r="BSE2459" s="53"/>
      <c r="BSF2459" s="53"/>
      <c r="BSG2459" s="53"/>
      <c r="BSH2459" s="61"/>
      <c r="BSI2459" s="53"/>
      <c r="BSJ2459" s="53"/>
      <c r="BSK2459" s="53"/>
      <c r="BSL2459" s="60"/>
      <c r="BSM2459" s="53"/>
      <c r="BSN2459" s="53"/>
      <c r="BSO2459" s="53"/>
      <c r="BSP2459" s="61"/>
      <c r="BSQ2459" s="53"/>
      <c r="BSR2459" s="53"/>
      <c r="BSS2459" s="53"/>
      <c r="BST2459" s="60"/>
      <c r="BSU2459" s="53"/>
      <c r="BSV2459" s="53"/>
      <c r="BSW2459" s="53"/>
      <c r="BSX2459" s="61"/>
      <c r="BSY2459" s="53"/>
      <c r="BSZ2459" s="53"/>
      <c r="BTA2459" s="53"/>
      <c r="BTB2459" s="60"/>
      <c r="BTC2459" s="53"/>
      <c r="BTD2459" s="53"/>
      <c r="BTE2459" s="53"/>
      <c r="BTF2459" s="61"/>
      <c r="BTG2459" s="53"/>
      <c r="BTH2459" s="53"/>
      <c r="BTI2459" s="53"/>
      <c r="BTJ2459" s="60"/>
      <c r="BTK2459" s="53"/>
      <c r="BTL2459" s="53"/>
      <c r="BTM2459" s="53"/>
      <c r="BTN2459" s="61"/>
      <c r="BTO2459" s="53"/>
      <c r="BTP2459" s="53"/>
      <c r="BTQ2459" s="53"/>
      <c r="BTR2459" s="60"/>
      <c r="BTS2459" s="53"/>
      <c r="BTT2459" s="53"/>
      <c r="BTU2459" s="53"/>
      <c r="BTV2459" s="61"/>
      <c r="BTW2459" s="53"/>
      <c r="BTX2459" s="53"/>
      <c r="BTY2459" s="53"/>
      <c r="BTZ2459" s="60"/>
      <c r="BUA2459" s="53"/>
      <c r="BUB2459" s="53"/>
      <c r="BUC2459" s="53"/>
      <c r="BUD2459" s="61"/>
      <c r="BUE2459" s="53"/>
      <c r="BUF2459" s="53"/>
      <c r="BUG2459" s="53"/>
      <c r="BUH2459" s="60"/>
      <c r="BUI2459" s="53"/>
      <c r="BUJ2459" s="53"/>
      <c r="BUK2459" s="53"/>
      <c r="BUL2459" s="61"/>
      <c r="BUM2459" s="53"/>
      <c r="BUN2459" s="53"/>
      <c r="BUO2459" s="53"/>
      <c r="BUP2459" s="60"/>
      <c r="BUQ2459" s="53"/>
      <c r="BUR2459" s="53"/>
      <c r="BUS2459" s="53"/>
      <c r="BUT2459" s="61"/>
      <c r="BUU2459" s="53"/>
      <c r="BUV2459" s="53"/>
      <c r="BUW2459" s="53"/>
      <c r="BUX2459" s="60"/>
      <c r="BUY2459" s="53"/>
      <c r="BUZ2459" s="53"/>
      <c r="BVA2459" s="53"/>
      <c r="BVB2459" s="61"/>
      <c r="BVC2459" s="53"/>
      <c r="BVD2459" s="53"/>
      <c r="BVE2459" s="53"/>
      <c r="BVF2459" s="60"/>
      <c r="BVG2459" s="53"/>
      <c r="BVH2459" s="53"/>
      <c r="BVI2459" s="53"/>
      <c r="BVJ2459" s="61"/>
      <c r="BVK2459" s="53"/>
      <c r="BVL2459" s="53"/>
      <c r="BVM2459" s="53"/>
      <c r="BVN2459" s="60"/>
      <c r="BVO2459" s="53"/>
      <c r="BVP2459" s="53"/>
      <c r="BVQ2459" s="53"/>
      <c r="BVR2459" s="61"/>
      <c r="BVS2459" s="53"/>
      <c r="BVT2459" s="53"/>
      <c r="BVU2459" s="53"/>
      <c r="BVV2459" s="60"/>
      <c r="BVW2459" s="53"/>
      <c r="BVX2459" s="53"/>
      <c r="BVY2459" s="53"/>
      <c r="BVZ2459" s="61"/>
      <c r="BWA2459" s="53"/>
      <c r="BWB2459" s="53"/>
      <c r="BWC2459" s="53"/>
      <c r="BWD2459" s="60"/>
      <c r="BWE2459" s="53"/>
      <c r="BWF2459" s="53"/>
      <c r="BWG2459" s="53"/>
      <c r="BWH2459" s="61"/>
      <c r="BWI2459" s="53"/>
      <c r="BWJ2459" s="53"/>
      <c r="BWK2459" s="53"/>
      <c r="BWL2459" s="60"/>
      <c r="BWM2459" s="53"/>
      <c r="BWN2459" s="53"/>
      <c r="BWO2459" s="53"/>
      <c r="BWP2459" s="61"/>
      <c r="BWQ2459" s="53"/>
      <c r="BWR2459" s="53"/>
      <c r="BWS2459" s="53"/>
      <c r="BWT2459" s="60"/>
      <c r="BWU2459" s="53"/>
      <c r="BWV2459" s="53"/>
      <c r="BWW2459" s="53"/>
      <c r="BWX2459" s="61"/>
      <c r="BWY2459" s="53"/>
      <c r="BWZ2459" s="53"/>
      <c r="BXA2459" s="53"/>
      <c r="BXB2459" s="60"/>
      <c r="BXC2459" s="53"/>
      <c r="BXD2459" s="53"/>
      <c r="BXE2459" s="53"/>
      <c r="BXF2459" s="61"/>
      <c r="BXG2459" s="53"/>
      <c r="BXH2459" s="53"/>
      <c r="BXI2459" s="53"/>
      <c r="BXJ2459" s="60"/>
      <c r="BXK2459" s="53"/>
      <c r="BXL2459" s="53"/>
      <c r="BXM2459" s="53"/>
      <c r="BXN2459" s="61"/>
      <c r="BXO2459" s="53"/>
      <c r="BXP2459" s="53"/>
      <c r="BXQ2459" s="53"/>
      <c r="BXR2459" s="60"/>
      <c r="BXS2459" s="53"/>
      <c r="BXT2459" s="53"/>
      <c r="BXU2459" s="53"/>
      <c r="BXV2459" s="61"/>
      <c r="BXW2459" s="53"/>
      <c r="BXX2459" s="53"/>
      <c r="BXY2459" s="53"/>
      <c r="BXZ2459" s="60"/>
      <c r="BYA2459" s="53"/>
      <c r="BYB2459" s="53"/>
      <c r="BYC2459" s="53"/>
      <c r="BYD2459" s="61"/>
      <c r="BYE2459" s="53"/>
      <c r="BYF2459" s="53"/>
      <c r="BYG2459" s="53"/>
      <c r="BYH2459" s="60"/>
      <c r="BYI2459" s="53"/>
      <c r="BYJ2459" s="53"/>
      <c r="BYK2459" s="53"/>
      <c r="BYL2459" s="61"/>
      <c r="BYM2459" s="53"/>
      <c r="BYN2459" s="53"/>
      <c r="BYO2459" s="53"/>
      <c r="BYP2459" s="60"/>
      <c r="BYQ2459" s="53"/>
      <c r="BYR2459" s="53"/>
      <c r="BYS2459" s="53"/>
      <c r="BYT2459" s="61"/>
      <c r="BYU2459" s="53"/>
      <c r="BYV2459" s="53"/>
      <c r="BYW2459" s="53"/>
      <c r="BYX2459" s="60"/>
      <c r="BYY2459" s="53"/>
      <c r="BYZ2459" s="53"/>
      <c r="BZA2459" s="53"/>
      <c r="BZB2459" s="61"/>
      <c r="BZC2459" s="53"/>
      <c r="BZD2459" s="53"/>
      <c r="BZE2459" s="53"/>
      <c r="BZF2459" s="60"/>
      <c r="BZG2459" s="53"/>
      <c r="BZH2459" s="53"/>
      <c r="BZI2459" s="53"/>
      <c r="BZJ2459" s="61"/>
      <c r="BZK2459" s="53"/>
      <c r="BZL2459" s="53"/>
      <c r="BZM2459" s="53"/>
      <c r="BZN2459" s="60"/>
      <c r="BZO2459" s="53"/>
      <c r="BZP2459" s="53"/>
      <c r="BZQ2459" s="53"/>
      <c r="BZR2459" s="61"/>
      <c r="BZS2459" s="53"/>
      <c r="BZT2459" s="53"/>
      <c r="BZU2459" s="53"/>
      <c r="BZV2459" s="60"/>
      <c r="BZW2459" s="53"/>
      <c r="BZX2459" s="53"/>
      <c r="BZY2459" s="53"/>
      <c r="BZZ2459" s="61"/>
      <c r="CAA2459" s="53"/>
      <c r="CAB2459" s="53"/>
      <c r="CAC2459" s="53"/>
      <c r="CAD2459" s="60"/>
      <c r="CAE2459" s="53"/>
      <c r="CAF2459" s="53"/>
      <c r="CAG2459" s="53"/>
      <c r="CAH2459" s="61"/>
      <c r="CAI2459" s="53"/>
      <c r="CAJ2459" s="53"/>
      <c r="CAK2459" s="53"/>
      <c r="CAL2459" s="60"/>
      <c r="CAM2459" s="53"/>
      <c r="CAN2459" s="53"/>
      <c r="CAO2459" s="53"/>
      <c r="CAP2459" s="61"/>
      <c r="CAQ2459" s="53"/>
      <c r="CAR2459" s="53"/>
      <c r="CAS2459" s="53"/>
      <c r="CAT2459" s="60"/>
      <c r="CAU2459" s="53"/>
      <c r="CAV2459" s="53"/>
      <c r="CAW2459" s="53"/>
      <c r="CAX2459" s="61"/>
      <c r="CAY2459" s="53"/>
      <c r="CAZ2459" s="53"/>
      <c r="CBA2459" s="53"/>
      <c r="CBB2459" s="60"/>
      <c r="CBC2459" s="53"/>
      <c r="CBD2459" s="53"/>
      <c r="CBE2459" s="53"/>
      <c r="CBF2459" s="61"/>
      <c r="CBG2459" s="53"/>
      <c r="CBH2459" s="53"/>
      <c r="CBI2459" s="53"/>
      <c r="CBJ2459" s="60"/>
      <c r="CBK2459" s="53"/>
      <c r="CBL2459" s="53"/>
      <c r="CBM2459" s="53"/>
      <c r="CBN2459" s="61"/>
      <c r="CBO2459" s="53"/>
      <c r="CBP2459" s="53"/>
      <c r="CBQ2459" s="53"/>
      <c r="CBR2459" s="60"/>
      <c r="CBS2459" s="53"/>
      <c r="CBT2459" s="53"/>
      <c r="CBU2459" s="53"/>
      <c r="CBV2459" s="61"/>
      <c r="CBW2459" s="53"/>
      <c r="CBX2459" s="53"/>
      <c r="CBY2459" s="53"/>
      <c r="CBZ2459" s="60"/>
      <c r="CCA2459" s="53"/>
      <c r="CCB2459" s="53"/>
      <c r="CCC2459" s="53"/>
      <c r="CCD2459" s="61"/>
      <c r="CCE2459" s="53"/>
      <c r="CCF2459" s="53"/>
      <c r="CCG2459" s="53"/>
      <c r="CCH2459" s="60"/>
      <c r="CCI2459" s="53"/>
      <c r="CCJ2459" s="53"/>
      <c r="CCK2459" s="53"/>
      <c r="CCL2459" s="61"/>
      <c r="CCM2459" s="53"/>
      <c r="CCN2459" s="53"/>
      <c r="CCO2459" s="53"/>
      <c r="CCP2459" s="60"/>
      <c r="CCQ2459" s="53"/>
      <c r="CCR2459" s="53"/>
      <c r="CCS2459" s="53"/>
      <c r="CCT2459" s="61"/>
      <c r="CCU2459" s="53"/>
      <c r="CCV2459" s="53"/>
      <c r="CCW2459" s="53"/>
      <c r="CCX2459" s="60"/>
      <c r="CCY2459" s="53"/>
      <c r="CCZ2459" s="53"/>
      <c r="CDA2459" s="53"/>
      <c r="CDB2459" s="61"/>
      <c r="CDC2459" s="53"/>
      <c r="CDD2459" s="53"/>
      <c r="CDE2459" s="53"/>
      <c r="CDF2459" s="60"/>
      <c r="CDG2459" s="53"/>
      <c r="CDH2459" s="53"/>
      <c r="CDI2459" s="53"/>
      <c r="CDJ2459" s="61"/>
      <c r="CDK2459" s="53"/>
      <c r="CDL2459" s="53"/>
      <c r="CDM2459" s="53"/>
      <c r="CDN2459" s="60"/>
      <c r="CDO2459" s="53"/>
      <c r="CDP2459" s="53"/>
      <c r="CDQ2459" s="53"/>
      <c r="CDR2459" s="61"/>
      <c r="CDS2459" s="53"/>
      <c r="CDT2459" s="53"/>
      <c r="CDU2459" s="53"/>
      <c r="CDV2459" s="60"/>
      <c r="CDW2459" s="53"/>
      <c r="CDX2459" s="53"/>
      <c r="CDY2459" s="53"/>
      <c r="CDZ2459" s="61"/>
      <c r="CEA2459" s="53"/>
      <c r="CEB2459" s="53"/>
      <c r="CEC2459" s="53"/>
      <c r="CED2459" s="60"/>
      <c r="CEE2459" s="53"/>
      <c r="CEF2459" s="53"/>
      <c r="CEG2459" s="53"/>
      <c r="CEH2459" s="61"/>
      <c r="CEI2459" s="53"/>
      <c r="CEJ2459" s="53"/>
      <c r="CEK2459" s="53"/>
      <c r="CEL2459" s="60"/>
      <c r="CEM2459" s="53"/>
      <c r="CEN2459" s="53"/>
      <c r="CEO2459" s="53"/>
      <c r="CEP2459" s="61"/>
      <c r="CEQ2459" s="53"/>
      <c r="CER2459" s="53"/>
      <c r="CES2459" s="53"/>
      <c r="CET2459" s="60"/>
      <c r="CEU2459" s="53"/>
      <c r="CEV2459" s="53"/>
      <c r="CEW2459" s="53"/>
      <c r="CEX2459" s="61"/>
      <c r="CEY2459" s="53"/>
      <c r="CEZ2459" s="53"/>
      <c r="CFA2459" s="53"/>
      <c r="CFB2459" s="60"/>
      <c r="CFC2459" s="53"/>
      <c r="CFD2459" s="53"/>
      <c r="CFE2459" s="53"/>
      <c r="CFF2459" s="61"/>
      <c r="CFG2459" s="53"/>
      <c r="CFH2459" s="53"/>
      <c r="CFI2459" s="53"/>
      <c r="CFJ2459" s="60"/>
      <c r="CFK2459" s="53"/>
      <c r="CFL2459" s="53"/>
      <c r="CFM2459" s="53"/>
      <c r="CFN2459" s="61"/>
      <c r="CFO2459" s="53"/>
      <c r="CFP2459" s="53"/>
      <c r="CFQ2459" s="53"/>
      <c r="CFR2459" s="60"/>
      <c r="CFS2459" s="53"/>
      <c r="CFT2459" s="53"/>
      <c r="CFU2459" s="53"/>
      <c r="CFV2459" s="61"/>
      <c r="CFW2459" s="53"/>
      <c r="CFX2459" s="53"/>
      <c r="CFY2459" s="53"/>
      <c r="CFZ2459" s="60"/>
      <c r="CGA2459" s="53"/>
      <c r="CGB2459" s="53"/>
      <c r="CGC2459" s="53"/>
      <c r="CGD2459" s="61"/>
      <c r="CGE2459" s="53"/>
      <c r="CGF2459" s="53"/>
      <c r="CGG2459" s="53"/>
      <c r="CGH2459" s="60"/>
      <c r="CGI2459" s="53"/>
      <c r="CGJ2459" s="53"/>
      <c r="CGK2459" s="53"/>
      <c r="CGL2459" s="61"/>
      <c r="CGM2459" s="53"/>
      <c r="CGN2459" s="53"/>
      <c r="CGO2459" s="53"/>
      <c r="CGP2459" s="60"/>
      <c r="CGQ2459" s="53"/>
      <c r="CGR2459" s="53"/>
      <c r="CGS2459" s="53"/>
      <c r="CGT2459" s="61"/>
      <c r="CGU2459" s="53"/>
      <c r="CGV2459" s="53"/>
      <c r="CGW2459" s="53"/>
      <c r="CGX2459" s="60"/>
      <c r="CGY2459" s="53"/>
      <c r="CGZ2459" s="53"/>
      <c r="CHA2459" s="53"/>
      <c r="CHB2459" s="61"/>
      <c r="CHC2459" s="53"/>
      <c r="CHD2459" s="53"/>
      <c r="CHE2459" s="53"/>
      <c r="CHF2459" s="60"/>
      <c r="CHG2459" s="53"/>
      <c r="CHH2459" s="53"/>
      <c r="CHI2459" s="53"/>
      <c r="CHJ2459" s="61"/>
      <c r="CHK2459" s="53"/>
      <c r="CHL2459" s="53"/>
      <c r="CHM2459" s="53"/>
      <c r="CHN2459" s="60"/>
      <c r="CHO2459" s="53"/>
      <c r="CHP2459" s="53"/>
      <c r="CHQ2459" s="53"/>
      <c r="CHR2459" s="61"/>
      <c r="CHS2459" s="53"/>
      <c r="CHT2459" s="53"/>
      <c r="CHU2459" s="53"/>
      <c r="CHV2459" s="60"/>
      <c r="CHW2459" s="53"/>
      <c r="CHX2459" s="53"/>
      <c r="CHY2459" s="53"/>
      <c r="CHZ2459" s="61"/>
      <c r="CIA2459" s="53"/>
      <c r="CIB2459" s="53"/>
      <c r="CIC2459" s="53"/>
      <c r="CID2459" s="60"/>
      <c r="CIE2459" s="53"/>
      <c r="CIF2459" s="53"/>
      <c r="CIG2459" s="53"/>
      <c r="CIH2459" s="61"/>
      <c r="CII2459" s="53"/>
      <c r="CIJ2459" s="53"/>
      <c r="CIK2459" s="53"/>
      <c r="CIL2459" s="60"/>
      <c r="CIM2459" s="53"/>
      <c r="CIN2459" s="53"/>
      <c r="CIO2459" s="53"/>
      <c r="CIP2459" s="61"/>
      <c r="CIQ2459" s="53"/>
      <c r="CIR2459" s="53"/>
      <c r="CIS2459" s="53"/>
      <c r="CIT2459" s="60"/>
      <c r="CIU2459" s="53"/>
      <c r="CIV2459" s="53"/>
      <c r="CIW2459" s="53"/>
      <c r="CIX2459" s="61"/>
      <c r="CIY2459" s="53"/>
      <c r="CIZ2459" s="53"/>
      <c r="CJA2459" s="53"/>
      <c r="CJB2459" s="60"/>
      <c r="CJC2459" s="53"/>
      <c r="CJD2459" s="53"/>
      <c r="CJE2459" s="53"/>
      <c r="CJF2459" s="61"/>
      <c r="CJG2459" s="53"/>
      <c r="CJH2459" s="53"/>
      <c r="CJI2459" s="53"/>
      <c r="CJJ2459" s="60"/>
      <c r="CJK2459" s="53"/>
      <c r="CJL2459" s="53"/>
      <c r="CJM2459" s="53"/>
      <c r="CJN2459" s="61"/>
      <c r="CJO2459" s="53"/>
      <c r="CJP2459" s="53"/>
      <c r="CJQ2459" s="53"/>
      <c r="CJR2459" s="60"/>
      <c r="CJS2459" s="53"/>
      <c r="CJT2459" s="53"/>
      <c r="CJU2459" s="53"/>
      <c r="CJV2459" s="61"/>
      <c r="CJW2459" s="53"/>
      <c r="CJX2459" s="53"/>
      <c r="CJY2459" s="53"/>
      <c r="CJZ2459" s="60"/>
      <c r="CKA2459" s="53"/>
      <c r="CKB2459" s="53"/>
      <c r="CKC2459" s="53"/>
      <c r="CKD2459" s="61"/>
      <c r="CKE2459" s="53"/>
      <c r="CKF2459" s="53"/>
      <c r="CKG2459" s="53"/>
      <c r="CKH2459" s="60"/>
      <c r="CKI2459" s="53"/>
      <c r="CKJ2459" s="53"/>
      <c r="CKK2459" s="53"/>
      <c r="CKL2459" s="61"/>
      <c r="CKM2459" s="53"/>
      <c r="CKN2459" s="53"/>
      <c r="CKO2459" s="53"/>
      <c r="CKP2459" s="60"/>
      <c r="CKQ2459" s="53"/>
      <c r="CKR2459" s="53"/>
      <c r="CKS2459" s="53"/>
      <c r="CKT2459" s="61"/>
      <c r="CKU2459" s="53"/>
      <c r="CKV2459" s="53"/>
      <c r="CKW2459" s="53"/>
      <c r="CKX2459" s="60"/>
      <c r="CKY2459" s="53"/>
      <c r="CKZ2459" s="53"/>
      <c r="CLA2459" s="53"/>
      <c r="CLB2459" s="61"/>
      <c r="CLC2459" s="53"/>
      <c r="CLD2459" s="53"/>
      <c r="CLE2459" s="53"/>
      <c r="CLF2459" s="60"/>
      <c r="CLG2459" s="53"/>
      <c r="CLH2459" s="53"/>
      <c r="CLI2459" s="53"/>
      <c r="CLJ2459" s="61"/>
      <c r="CLK2459" s="53"/>
      <c r="CLL2459" s="53"/>
      <c r="CLM2459" s="53"/>
      <c r="CLN2459" s="60"/>
      <c r="CLO2459" s="53"/>
      <c r="CLP2459" s="53"/>
      <c r="CLQ2459" s="53"/>
      <c r="CLR2459" s="61"/>
      <c r="CLS2459" s="53"/>
      <c r="CLT2459" s="53"/>
      <c r="CLU2459" s="53"/>
      <c r="CLV2459" s="60"/>
      <c r="CLW2459" s="53"/>
      <c r="CLX2459" s="53"/>
      <c r="CLY2459" s="53"/>
      <c r="CLZ2459" s="61"/>
      <c r="CMA2459" s="53"/>
      <c r="CMB2459" s="53"/>
      <c r="CMC2459" s="53"/>
      <c r="CMD2459" s="60"/>
      <c r="CME2459" s="53"/>
      <c r="CMF2459" s="53"/>
      <c r="CMG2459" s="53"/>
      <c r="CMH2459" s="61"/>
      <c r="CMI2459" s="53"/>
      <c r="CMJ2459" s="53"/>
      <c r="CMK2459" s="53"/>
      <c r="CML2459" s="60"/>
      <c r="CMM2459" s="53"/>
      <c r="CMN2459" s="53"/>
      <c r="CMO2459" s="53"/>
      <c r="CMP2459" s="61"/>
      <c r="CMQ2459" s="53"/>
      <c r="CMR2459" s="53"/>
      <c r="CMS2459" s="53"/>
      <c r="CMT2459" s="60"/>
      <c r="CMU2459" s="53"/>
      <c r="CMV2459" s="53"/>
      <c r="CMW2459" s="53"/>
      <c r="CMX2459" s="61"/>
      <c r="CMY2459" s="53"/>
      <c r="CMZ2459" s="53"/>
      <c r="CNA2459" s="53"/>
      <c r="CNB2459" s="60"/>
      <c r="CNC2459" s="53"/>
      <c r="CND2459" s="53"/>
      <c r="CNE2459" s="53"/>
      <c r="CNF2459" s="61"/>
      <c r="CNG2459" s="53"/>
      <c r="CNH2459" s="53"/>
      <c r="CNI2459" s="53"/>
      <c r="CNJ2459" s="60"/>
      <c r="CNK2459" s="53"/>
      <c r="CNL2459" s="53"/>
      <c r="CNM2459" s="53"/>
      <c r="CNN2459" s="61"/>
      <c r="CNO2459" s="53"/>
      <c r="CNP2459" s="53"/>
      <c r="CNQ2459" s="53"/>
      <c r="CNR2459" s="60"/>
      <c r="CNS2459" s="53"/>
      <c r="CNT2459" s="53"/>
      <c r="CNU2459" s="53"/>
      <c r="CNV2459" s="61"/>
      <c r="CNW2459" s="53"/>
      <c r="CNX2459" s="53"/>
      <c r="CNY2459" s="53"/>
      <c r="CNZ2459" s="60"/>
      <c r="COA2459" s="53"/>
      <c r="COB2459" s="53"/>
      <c r="COC2459" s="53"/>
      <c r="COD2459" s="61"/>
      <c r="COE2459" s="53"/>
      <c r="COF2459" s="53"/>
      <c r="COG2459" s="53"/>
      <c r="COH2459" s="60"/>
      <c r="COI2459" s="53"/>
      <c r="COJ2459" s="53"/>
      <c r="COK2459" s="53"/>
      <c r="COL2459" s="61"/>
      <c r="COM2459" s="53"/>
      <c r="CON2459" s="53"/>
      <c r="COO2459" s="53"/>
      <c r="COP2459" s="60"/>
      <c r="COQ2459" s="53"/>
      <c r="COR2459" s="53"/>
      <c r="COS2459" s="53"/>
      <c r="COT2459" s="61"/>
      <c r="COU2459" s="53"/>
      <c r="COV2459" s="53"/>
      <c r="COW2459" s="53"/>
      <c r="COX2459" s="60"/>
      <c r="COY2459" s="53"/>
      <c r="COZ2459" s="53"/>
      <c r="CPA2459" s="53"/>
      <c r="CPB2459" s="61"/>
      <c r="CPC2459" s="53"/>
      <c r="CPD2459" s="53"/>
      <c r="CPE2459" s="53"/>
      <c r="CPF2459" s="60"/>
      <c r="CPG2459" s="53"/>
      <c r="CPH2459" s="53"/>
      <c r="CPI2459" s="53"/>
      <c r="CPJ2459" s="61"/>
      <c r="CPK2459" s="53"/>
      <c r="CPL2459" s="53"/>
      <c r="CPM2459" s="53"/>
      <c r="CPN2459" s="60"/>
      <c r="CPO2459" s="53"/>
      <c r="CPP2459" s="53"/>
      <c r="CPQ2459" s="53"/>
      <c r="CPR2459" s="61"/>
      <c r="CPS2459" s="53"/>
      <c r="CPT2459" s="53"/>
      <c r="CPU2459" s="53"/>
      <c r="CPV2459" s="60"/>
      <c r="CPW2459" s="53"/>
      <c r="CPX2459" s="53"/>
      <c r="CPY2459" s="53"/>
      <c r="CPZ2459" s="61"/>
      <c r="CQA2459" s="53"/>
      <c r="CQB2459" s="53"/>
      <c r="CQC2459" s="53"/>
      <c r="CQD2459" s="60"/>
      <c r="CQE2459" s="53"/>
      <c r="CQF2459" s="53"/>
      <c r="CQG2459" s="53"/>
      <c r="CQH2459" s="61"/>
      <c r="CQI2459" s="53"/>
      <c r="CQJ2459" s="53"/>
      <c r="CQK2459" s="53"/>
      <c r="CQL2459" s="60"/>
      <c r="CQM2459" s="53"/>
      <c r="CQN2459" s="53"/>
      <c r="CQO2459" s="53"/>
      <c r="CQP2459" s="61"/>
      <c r="CQQ2459" s="53"/>
      <c r="CQR2459" s="53"/>
      <c r="CQS2459" s="53"/>
      <c r="CQT2459" s="60"/>
      <c r="CQU2459" s="53"/>
      <c r="CQV2459" s="53"/>
      <c r="CQW2459" s="53"/>
      <c r="CQX2459" s="61"/>
      <c r="CQY2459" s="53"/>
      <c r="CQZ2459" s="53"/>
      <c r="CRA2459" s="53"/>
      <c r="CRB2459" s="60"/>
      <c r="CRC2459" s="53"/>
      <c r="CRD2459" s="53"/>
      <c r="CRE2459" s="53"/>
      <c r="CRF2459" s="61"/>
      <c r="CRG2459" s="53"/>
      <c r="CRH2459" s="53"/>
      <c r="CRI2459" s="53"/>
      <c r="CRJ2459" s="60"/>
      <c r="CRK2459" s="53"/>
      <c r="CRL2459" s="53"/>
      <c r="CRM2459" s="53"/>
      <c r="CRN2459" s="61"/>
      <c r="CRO2459" s="53"/>
      <c r="CRP2459" s="53"/>
      <c r="CRQ2459" s="53"/>
      <c r="CRR2459" s="60"/>
      <c r="CRS2459" s="53"/>
      <c r="CRT2459" s="53"/>
      <c r="CRU2459" s="53"/>
      <c r="CRV2459" s="61"/>
      <c r="CRW2459" s="53"/>
      <c r="CRX2459" s="53"/>
      <c r="CRY2459" s="53"/>
      <c r="CRZ2459" s="60"/>
      <c r="CSA2459" s="53"/>
      <c r="CSB2459" s="53"/>
      <c r="CSC2459" s="53"/>
      <c r="CSD2459" s="61"/>
      <c r="CSE2459" s="53"/>
      <c r="CSF2459" s="53"/>
      <c r="CSG2459" s="53"/>
      <c r="CSH2459" s="60"/>
      <c r="CSI2459" s="53"/>
      <c r="CSJ2459" s="53"/>
      <c r="CSK2459" s="53"/>
      <c r="CSL2459" s="61"/>
      <c r="CSM2459" s="53"/>
      <c r="CSN2459" s="53"/>
      <c r="CSO2459" s="53"/>
      <c r="CSP2459" s="60"/>
      <c r="CSQ2459" s="53"/>
      <c r="CSR2459" s="53"/>
      <c r="CSS2459" s="53"/>
      <c r="CST2459" s="61"/>
      <c r="CSU2459" s="53"/>
      <c r="CSV2459" s="53"/>
      <c r="CSW2459" s="53"/>
      <c r="CSX2459" s="60"/>
      <c r="CSY2459" s="53"/>
      <c r="CSZ2459" s="53"/>
      <c r="CTA2459" s="53"/>
      <c r="CTB2459" s="61"/>
      <c r="CTC2459" s="53"/>
      <c r="CTD2459" s="53"/>
      <c r="CTE2459" s="53"/>
      <c r="CTF2459" s="60"/>
      <c r="CTG2459" s="53"/>
      <c r="CTH2459" s="53"/>
      <c r="CTI2459" s="53"/>
      <c r="CTJ2459" s="61"/>
      <c r="CTK2459" s="53"/>
      <c r="CTL2459" s="53"/>
      <c r="CTM2459" s="53"/>
      <c r="CTN2459" s="60"/>
      <c r="CTO2459" s="53"/>
      <c r="CTP2459" s="53"/>
      <c r="CTQ2459" s="53"/>
      <c r="CTR2459" s="61"/>
      <c r="CTS2459" s="53"/>
      <c r="CTT2459" s="53"/>
      <c r="CTU2459" s="53"/>
      <c r="CTV2459" s="60"/>
      <c r="CTW2459" s="53"/>
      <c r="CTX2459" s="53"/>
      <c r="CTY2459" s="53"/>
      <c r="CTZ2459" s="61"/>
      <c r="CUA2459" s="53"/>
      <c r="CUB2459" s="53"/>
      <c r="CUC2459" s="53"/>
      <c r="CUD2459" s="60"/>
      <c r="CUE2459" s="53"/>
      <c r="CUF2459" s="53"/>
      <c r="CUG2459" s="53"/>
      <c r="CUH2459" s="61"/>
      <c r="CUI2459" s="53"/>
      <c r="CUJ2459" s="53"/>
      <c r="CUK2459" s="53"/>
      <c r="CUL2459" s="60"/>
      <c r="CUM2459" s="53"/>
      <c r="CUN2459" s="53"/>
      <c r="CUO2459" s="53"/>
      <c r="CUP2459" s="61"/>
      <c r="CUQ2459" s="53"/>
      <c r="CUR2459" s="53"/>
      <c r="CUS2459" s="53"/>
      <c r="CUT2459" s="60"/>
      <c r="CUU2459" s="53"/>
      <c r="CUV2459" s="53"/>
      <c r="CUW2459" s="53"/>
      <c r="CUX2459" s="61"/>
      <c r="CUY2459" s="53"/>
      <c r="CUZ2459" s="53"/>
      <c r="CVA2459" s="53"/>
      <c r="CVB2459" s="60"/>
      <c r="CVC2459" s="53"/>
      <c r="CVD2459" s="53"/>
      <c r="CVE2459" s="53"/>
      <c r="CVF2459" s="61"/>
      <c r="CVG2459" s="53"/>
      <c r="CVH2459" s="53"/>
      <c r="CVI2459" s="53"/>
      <c r="CVJ2459" s="60"/>
      <c r="CVK2459" s="53"/>
      <c r="CVL2459" s="53"/>
      <c r="CVM2459" s="53"/>
      <c r="CVN2459" s="61"/>
      <c r="CVO2459" s="53"/>
      <c r="CVP2459" s="53"/>
      <c r="CVQ2459" s="53"/>
      <c r="CVR2459" s="60"/>
      <c r="CVS2459" s="53"/>
      <c r="CVT2459" s="53"/>
      <c r="CVU2459" s="53"/>
      <c r="CVV2459" s="61"/>
      <c r="CVW2459" s="53"/>
      <c r="CVX2459" s="53"/>
      <c r="CVY2459" s="53"/>
      <c r="CVZ2459" s="60"/>
      <c r="CWA2459" s="53"/>
      <c r="CWB2459" s="53"/>
      <c r="CWC2459" s="53"/>
      <c r="CWD2459" s="61"/>
      <c r="CWE2459" s="53"/>
      <c r="CWF2459" s="53"/>
      <c r="CWG2459" s="53"/>
      <c r="CWH2459" s="60"/>
      <c r="CWI2459" s="53"/>
      <c r="CWJ2459" s="53"/>
      <c r="CWK2459" s="53"/>
      <c r="CWL2459" s="61"/>
      <c r="CWM2459" s="53"/>
      <c r="CWN2459" s="53"/>
      <c r="CWO2459" s="53"/>
      <c r="CWP2459" s="60"/>
      <c r="CWQ2459" s="53"/>
      <c r="CWR2459" s="53"/>
      <c r="CWS2459" s="53"/>
      <c r="CWT2459" s="61"/>
      <c r="CWU2459" s="53"/>
      <c r="CWV2459" s="53"/>
      <c r="CWW2459" s="53"/>
      <c r="CWX2459" s="60"/>
      <c r="CWY2459" s="53"/>
      <c r="CWZ2459" s="53"/>
      <c r="CXA2459" s="53"/>
      <c r="CXB2459" s="61"/>
      <c r="CXC2459" s="53"/>
      <c r="CXD2459" s="53"/>
      <c r="CXE2459" s="53"/>
      <c r="CXF2459" s="60"/>
      <c r="CXG2459" s="53"/>
      <c r="CXH2459" s="53"/>
      <c r="CXI2459" s="53"/>
      <c r="CXJ2459" s="61"/>
      <c r="CXK2459" s="53"/>
      <c r="CXL2459" s="53"/>
      <c r="CXM2459" s="53"/>
      <c r="CXN2459" s="60"/>
      <c r="CXO2459" s="53"/>
      <c r="CXP2459" s="53"/>
      <c r="CXQ2459" s="53"/>
      <c r="CXR2459" s="61"/>
      <c r="CXS2459" s="53"/>
      <c r="CXT2459" s="53"/>
      <c r="CXU2459" s="53"/>
      <c r="CXV2459" s="60"/>
      <c r="CXW2459" s="53"/>
      <c r="CXX2459" s="53"/>
      <c r="CXY2459" s="53"/>
      <c r="CXZ2459" s="61"/>
      <c r="CYA2459" s="53"/>
      <c r="CYB2459" s="53"/>
      <c r="CYC2459" s="53"/>
      <c r="CYD2459" s="60"/>
      <c r="CYE2459" s="53"/>
      <c r="CYF2459" s="53"/>
      <c r="CYG2459" s="53"/>
      <c r="CYH2459" s="61"/>
      <c r="CYI2459" s="53"/>
      <c r="CYJ2459" s="53"/>
      <c r="CYK2459" s="53"/>
      <c r="CYL2459" s="60"/>
      <c r="CYM2459" s="53"/>
      <c r="CYN2459" s="53"/>
      <c r="CYO2459" s="53"/>
      <c r="CYP2459" s="61"/>
      <c r="CYQ2459" s="53"/>
      <c r="CYR2459" s="53"/>
      <c r="CYS2459" s="53"/>
      <c r="CYT2459" s="60"/>
      <c r="CYU2459" s="53"/>
      <c r="CYV2459" s="53"/>
      <c r="CYW2459" s="53"/>
      <c r="CYX2459" s="61"/>
      <c r="CYY2459" s="53"/>
      <c r="CYZ2459" s="53"/>
      <c r="CZA2459" s="53"/>
      <c r="CZB2459" s="60"/>
      <c r="CZC2459" s="53"/>
      <c r="CZD2459" s="53"/>
      <c r="CZE2459" s="53"/>
      <c r="CZF2459" s="61"/>
      <c r="CZG2459" s="53"/>
      <c r="CZH2459" s="53"/>
      <c r="CZI2459" s="53"/>
      <c r="CZJ2459" s="60"/>
      <c r="CZK2459" s="53"/>
      <c r="CZL2459" s="53"/>
      <c r="CZM2459" s="53"/>
      <c r="CZN2459" s="61"/>
      <c r="CZO2459" s="53"/>
      <c r="CZP2459" s="53"/>
      <c r="CZQ2459" s="53"/>
      <c r="CZR2459" s="60"/>
      <c r="CZS2459" s="53"/>
      <c r="CZT2459" s="53"/>
      <c r="CZU2459" s="53"/>
      <c r="CZV2459" s="61"/>
      <c r="CZW2459" s="53"/>
      <c r="CZX2459" s="53"/>
      <c r="CZY2459" s="53"/>
      <c r="CZZ2459" s="60"/>
      <c r="DAA2459" s="53"/>
      <c r="DAB2459" s="53"/>
      <c r="DAC2459" s="53"/>
      <c r="DAD2459" s="61"/>
      <c r="DAE2459" s="53"/>
      <c r="DAF2459" s="53"/>
      <c r="DAG2459" s="53"/>
      <c r="DAH2459" s="60"/>
      <c r="DAI2459" s="53"/>
      <c r="DAJ2459" s="53"/>
      <c r="DAK2459" s="53"/>
      <c r="DAL2459" s="61"/>
      <c r="DAM2459" s="53"/>
      <c r="DAN2459" s="53"/>
      <c r="DAO2459" s="53"/>
      <c r="DAP2459" s="60"/>
      <c r="DAQ2459" s="53"/>
      <c r="DAR2459" s="53"/>
      <c r="DAS2459" s="53"/>
      <c r="DAT2459" s="61"/>
      <c r="DAU2459" s="53"/>
      <c r="DAV2459" s="53"/>
      <c r="DAW2459" s="53"/>
      <c r="DAX2459" s="60"/>
      <c r="DAY2459" s="53"/>
      <c r="DAZ2459" s="53"/>
      <c r="DBA2459" s="53"/>
      <c r="DBB2459" s="61"/>
      <c r="DBC2459" s="53"/>
      <c r="DBD2459" s="53"/>
      <c r="DBE2459" s="53"/>
      <c r="DBF2459" s="60"/>
      <c r="DBG2459" s="53"/>
      <c r="DBH2459" s="53"/>
      <c r="DBI2459" s="53"/>
      <c r="DBJ2459" s="61"/>
      <c r="DBK2459" s="53"/>
      <c r="DBL2459" s="53"/>
      <c r="DBM2459" s="53"/>
      <c r="DBN2459" s="60"/>
      <c r="DBO2459" s="53"/>
      <c r="DBP2459" s="53"/>
      <c r="DBQ2459" s="53"/>
      <c r="DBR2459" s="61"/>
      <c r="DBS2459" s="53"/>
      <c r="DBT2459" s="53"/>
      <c r="DBU2459" s="53"/>
      <c r="DBV2459" s="60"/>
      <c r="DBW2459" s="53"/>
      <c r="DBX2459" s="53"/>
      <c r="DBY2459" s="53"/>
      <c r="DBZ2459" s="61"/>
      <c r="DCA2459" s="53"/>
      <c r="DCB2459" s="53"/>
      <c r="DCC2459" s="53"/>
      <c r="DCD2459" s="60"/>
      <c r="DCE2459" s="53"/>
      <c r="DCF2459" s="53"/>
      <c r="DCG2459" s="53"/>
      <c r="DCH2459" s="61"/>
      <c r="DCI2459" s="53"/>
      <c r="DCJ2459" s="53"/>
      <c r="DCK2459" s="53"/>
      <c r="DCL2459" s="60"/>
      <c r="DCM2459" s="53"/>
      <c r="DCN2459" s="53"/>
      <c r="DCO2459" s="53"/>
      <c r="DCP2459" s="61"/>
      <c r="DCQ2459" s="53"/>
      <c r="DCR2459" s="53"/>
      <c r="DCS2459" s="53"/>
      <c r="DCT2459" s="60"/>
      <c r="DCU2459" s="53"/>
      <c r="DCV2459" s="53"/>
      <c r="DCW2459" s="53"/>
      <c r="DCX2459" s="61"/>
      <c r="DCY2459" s="53"/>
      <c r="DCZ2459" s="53"/>
      <c r="DDA2459" s="53"/>
      <c r="DDB2459" s="60"/>
      <c r="DDC2459" s="53"/>
      <c r="DDD2459" s="53"/>
      <c r="DDE2459" s="53"/>
      <c r="DDF2459" s="61"/>
      <c r="DDG2459" s="53"/>
      <c r="DDH2459" s="53"/>
      <c r="DDI2459" s="53"/>
      <c r="DDJ2459" s="60"/>
      <c r="DDK2459" s="53"/>
      <c r="DDL2459" s="53"/>
      <c r="DDM2459" s="53"/>
      <c r="DDN2459" s="61"/>
      <c r="DDO2459" s="53"/>
      <c r="DDP2459" s="53"/>
      <c r="DDQ2459" s="53"/>
      <c r="DDR2459" s="60"/>
      <c r="DDS2459" s="53"/>
      <c r="DDT2459" s="53"/>
      <c r="DDU2459" s="53"/>
      <c r="DDV2459" s="61"/>
      <c r="DDW2459" s="53"/>
      <c r="DDX2459" s="53"/>
      <c r="DDY2459" s="53"/>
      <c r="DDZ2459" s="60"/>
      <c r="DEA2459" s="53"/>
      <c r="DEB2459" s="53"/>
      <c r="DEC2459" s="53"/>
      <c r="DED2459" s="61"/>
      <c r="DEE2459" s="53"/>
      <c r="DEF2459" s="53"/>
      <c r="DEG2459" s="53"/>
      <c r="DEH2459" s="60"/>
      <c r="DEI2459" s="53"/>
      <c r="DEJ2459" s="53"/>
      <c r="DEK2459" s="53"/>
      <c r="DEL2459" s="61"/>
      <c r="DEM2459" s="53"/>
      <c r="DEN2459" s="53"/>
      <c r="DEO2459" s="53"/>
      <c r="DEP2459" s="60"/>
      <c r="DEQ2459" s="53"/>
      <c r="DER2459" s="53"/>
      <c r="DES2459" s="53"/>
      <c r="DET2459" s="61"/>
      <c r="DEU2459" s="53"/>
      <c r="DEV2459" s="53"/>
      <c r="DEW2459" s="53"/>
      <c r="DEX2459" s="60"/>
      <c r="DEY2459" s="53"/>
      <c r="DEZ2459" s="53"/>
      <c r="DFA2459" s="53"/>
      <c r="DFB2459" s="61"/>
      <c r="DFC2459" s="53"/>
      <c r="DFD2459" s="53"/>
      <c r="DFE2459" s="53"/>
      <c r="DFF2459" s="60"/>
      <c r="DFG2459" s="53"/>
      <c r="DFH2459" s="53"/>
      <c r="DFI2459" s="53"/>
      <c r="DFJ2459" s="61"/>
      <c r="DFK2459" s="53"/>
      <c r="DFL2459" s="53"/>
      <c r="DFM2459" s="53"/>
      <c r="DFN2459" s="60"/>
      <c r="DFO2459" s="53"/>
      <c r="DFP2459" s="53"/>
      <c r="DFQ2459" s="53"/>
      <c r="DFR2459" s="61"/>
      <c r="DFS2459" s="53"/>
      <c r="DFT2459" s="53"/>
      <c r="DFU2459" s="53"/>
      <c r="DFV2459" s="60"/>
      <c r="DFW2459" s="53"/>
      <c r="DFX2459" s="53"/>
      <c r="DFY2459" s="53"/>
      <c r="DFZ2459" s="61"/>
      <c r="DGA2459" s="53"/>
      <c r="DGB2459" s="53"/>
      <c r="DGC2459" s="53"/>
      <c r="DGD2459" s="60"/>
      <c r="DGE2459" s="53"/>
      <c r="DGF2459" s="53"/>
      <c r="DGG2459" s="53"/>
      <c r="DGH2459" s="61"/>
      <c r="DGI2459" s="53"/>
      <c r="DGJ2459" s="53"/>
      <c r="DGK2459" s="53"/>
      <c r="DGL2459" s="60"/>
      <c r="DGM2459" s="53"/>
      <c r="DGN2459" s="53"/>
      <c r="DGO2459" s="53"/>
      <c r="DGP2459" s="61"/>
      <c r="DGQ2459" s="53"/>
      <c r="DGR2459" s="53"/>
      <c r="DGS2459" s="53"/>
      <c r="DGT2459" s="60"/>
      <c r="DGU2459" s="53"/>
      <c r="DGV2459" s="53"/>
      <c r="DGW2459" s="53"/>
      <c r="DGX2459" s="61"/>
      <c r="DGY2459" s="53"/>
      <c r="DGZ2459" s="53"/>
      <c r="DHA2459" s="53"/>
      <c r="DHB2459" s="60"/>
      <c r="DHC2459" s="53"/>
      <c r="DHD2459" s="53"/>
      <c r="DHE2459" s="53"/>
      <c r="DHF2459" s="61"/>
      <c r="DHG2459" s="53"/>
      <c r="DHH2459" s="53"/>
      <c r="DHI2459" s="53"/>
      <c r="DHJ2459" s="60"/>
      <c r="DHK2459" s="53"/>
      <c r="DHL2459" s="53"/>
      <c r="DHM2459" s="53"/>
      <c r="DHN2459" s="61"/>
      <c r="DHO2459" s="53"/>
      <c r="DHP2459" s="53"/>
      <c r="DHQ2459" s="53"/>
      <c r="DHR2459" s="60"/>
      <c r="DHS2459" s="53"/>
      <c r="DHT2459" s="53"/>
      <c r="DHU2459" s="53"/>
      <c r="DHV2459" s="61"/>
      <c r="DHW2459" s="53"/>
      <c r="DHX2459" s="53"/>
      <c r="DHY2459" s="53"/>
      <c r="DHZ2459" s="60"/>
      <c r="DIA2459" s="53"/>
      <c r="DIB2459" s="53"/>
      <c r="DIC2459" s="53"/>
      <c r="DID2459" s="61"/>
      <c r="DIE2459" s="53"/>
      <c r="DIF2459" s="53"/>
      <c r="DIG2459" s="53"/>
      <c r="DIH2459" s="60"/>
      <c r="DII2459" s="53"/>
      <c r="DIJ2459" s="53"/>
      <c r="DIK2459" s="53"/>
      <c r="DIL2459" s="61"/>
      <c r="DIM2459" s="53"/>
      <c r="DIN2459" s="53"/>
      <c r="DIO2459" s="53"/>
      <c r="DIP2459" s="60"/>
      <c r="DIQ2459" s="53"/>
      <c r="DIR2459" s="53"/>
      <c r="DIS2459" s="53"/>
      <c r="DIT2459" s="61"/>
      <c r="DIU2459" s="53"/>
      <c r="DIV2459" s="53"/>
      <c r="DIW2459" s="53"/>
      <c r="DIX2459" s="60"/>
      <c r="DIY2459" s="53"/>
      <c r="DIZ2459" s="53"/>
      <c r="DJA2459" s="53"/>
      <c r="DJB2459" s="61"/>
      <c r="DJC2459" s="53"/>
      <c r="DJD2459" s="53"/>
      <c r="DJE2459" s="53"/>
      <c r="DJF2459" s="60"/>
      <c r="DJG2459" s="53"/>
      <c r="DJH2459" s="53"/>
      <c r="DJI2459" s="53"/>
      <c r="DJJ2459" s="61"/>
      <c r="DJK2459" s="53"/>
      <c r="DJL2459" s="53"/>
      <c r="DJM2459" s="53"/>
      <c r="DJN2459" s="60"/>
      <c r="DJO2459" s="53"/>
      <c r="DJP2459" s="53"/>
      <c r="DJQ2459" s="53"/>
      <c r="DJR2459" s="61"/>
      <c r="DJS2459" s="53"/>
      <c r="DJT2459" s="53"/>
      <c r="DJU2459" s="53"/>
      <c r="DJV2459" s="60"/>
      <c r="DJW2459" s="53"/>
      <c r="DJX2459" s="53"/>
      <c r="DJY2459" s="53"/>
      <c r="DJZ2459" s="61"/>
      <c r="DKA2459" s="53"/>
      <c r="DKB2459" s="53"/>
      <c r="DKC2459" s="53"/>
      <c r="DKD2459" s="60"/>
      <c r="DKE2459" s="53"/>
      <c r="DKF2459" s="53"/>
      <c r="DKG2459" s="53"/>
      <c r="DKH2459" s="61"/>
      <c r="DKI2459" s="53"/>
      <c r="DKJ2459" s="53"/>
      <c r="DKK2459" s="53"/>
      <c r="DKL2459" s="60"/>
      <c r="DKM2459" s="53"/>
      <c r="DKN2459" s="53"/>
      <c r="DKO2459" s="53"/>
      <c r="DKP2459" s="61"/>
      <c r="DKQ2459" s="53"/>
      <c r="DKR2459" s="53"/>
      <c r="DKS2459" s="53"/>
      <c r="DKT2459" s="60"/>
      <c r="DKU2459" s="53"/>
      <c r="DKV2459" s="53"/>
      <c r="DKW2459" s="53"/>
      <c r="DKX2459" s="61"/>
      <c r="DKY2459" s="53"/>
      <c r="DKZ2459" s="53"/>
      <c r="DLA2459" s="53"/>
      <c r="DLB2459" s="60"/>
      <c r="DLC2459" s="53"/>
      <c r="DLD2459" s="53"/>
      <c r="DLE2459" s="53"/>
      <c r="DLF2459" s="61"/>
      <c r="DLG2459" s="53"/>
      <c r="DLH2459" s="53"/>
      <c r="DLI2459" s="53"/>
      <c r="DLJ2459" s="60"/>
      <c r="DLK2459" s="53"/>
      <c r="DLL2459" s="53"/>
      <c r="DLM2459" s="53"/>
      <c r="DLN2459" s="61"/>
      <c r="DLO2459" s="53"/>
      <c r="DLP2459" s="53"/>
      <c r="DLQ2459" s="53"/>
      <c r="DLR2459" s="60"/>
      <c r="DLS2459" s="53"/>
      <c r="DLT2459" s="53"/>
      <c r="DLU2459" s="53"/>
      <c r="DLV2459" s="61"/>
      <c r="DLW2459" s="53"/>
      <c r="DLX2459" s="53"/>
      <c r="DLY2459" s="53"/>
      <c r="DLZ2459" s="60"/>
      <c r="DMA2459" s="53"/>
      <c r="DMB2459" s="53"/>
      <c r="DMC2459" s="53"/>
      <c r="DMD2459" s="61"/>
      <c r="DME2459" s="53"/>
      <c r="DMF2459" s="53"/>
      <c r="DMG2459" s="53"/>
      <c r="DMH2459" s="60"/>
      <c r="DMI2459" s="53"/>
      <c r="DMJ2459" s="53"/>
      <c r="DMK2459" s="53"/>
      <c r="DML2459" s="61"/>
      <c r="DMM2459" s="53"/>
      <c r="DMN2459" s="53"/>
      <c r="DMO2459" s="53"/>
      <c r="DMP2459" s="60"/>
      <c r="DMQ2459" s="53"/>
      <c r="DMR2459" s="53"/>
      <c r="DMS2459" s="53"/>
      <c r="DMT2459" s="61"/>
      <c r="DMU2459" s="53"/>
      <c r="DMV2459" s="53"/>
      <c r="DMW2459" s="53"/>
      <c r="DMX2459" s="60"/>
      <c r="DMY2459" s="53"/>
      <c r="DMZ2459" s="53"/>
      <c r="DNA2459" s="53"/>
      <c r="DNB2459" s="61"/>
      <c r="DNC2459" s="53"/>
      <c r="DND2459" s="53"/>
      <c r="DNE2459" s="53"/>
      <c r="DNF2459" s="60"/>
      <c r="DNG2459" s="53"/>
      <c r="DNH2459" s="53"/>
      <c r="DNI2459" s="53"/>
      <c r="DNJ2459" s="61"/>
      <c r="DNK2459" s="53"/>
      <c r="DNL2459" s="53"/>
      <c r="DNM2459" s="53"/>
      <c r="DNN2459" s="60"/>
      <c r="DNO2459" s="53"/>
      <c r="DNP2459" s="53"/>
      <c r="DNQ2459" s="53"/>
      <c r="DNR2459" s="61"/>
      <c r="DNS2459" s="53"/>
      <c r="DNT2459" s="53"/>
      <c r="DNU2459" s="53"/>
      <c r="DNV2459" s="60"/>
      <c r="DNW2459" s="53"/>
      <c r="DNX2459" s="53"/>
      <c r="DNY2459" s="53"/>
      <c r="DNZ2459" s="61"/>
      <c r="DOA2459" s="53"/>
      <c r="DOB2459" s="53"/>
      <c r="DOC2459" s="53"/>
      <c r="DOD2459" s="60"/>
      <c r="DOE2459" s="53"/>
      <c r="DOF2459" s="53"/>
      <c r="DOG2459" s="53"/>
      <c r="DOH2459" s="61"/>
      <c r="DOI2459" s="53"/>
      <c r="DOJ2459" s="53"/>
      <c r="DOK2459" s="53"/>
      <c r="DOL2459" s="60"/>
      <c r="DOM2459" s="53"/>
      <c r="DON2459" s="53"/>
      <c r="DOO2459" s="53"/>
      <c r="DOP2459" s="61"/>
      <c r="DOQ2459" s="53"/>
      <c r="DOR2459" s="53"/>
      <c r="DOS2459" s="53"/>
      <c r="DOT2459" s="60"/>
      <c r="DOU2459" s="53"/>
      <c r="DOV2459" s="53"/>
      <c r="DOW2459" s="53"/>
      <c r="DOX2459" s="61"/>
      <c r="DOY2459" s="53"/>
      <c r="DOZ2459" s="53"/>
      <c r="DPA2459" s="53"/>
      <c r="DPB2459" s="60"/>
      <c r="DPC2459" s="53"/>
      <c r="DPD2459" s="53"/>
      <c r="DPE2459" s="53"/>
      <c r="DPF2459" s="61"/>
      <c r="DPG2459" s="53"/>
      <c r="DPH2459" s="53"/>
      <c r="DPI2459" s="53"/>
      <c r="DPJ2459" s="60"/>
      <c r="DPK2459" s="53"/>
      <c r="DPL2459" s="53"/>
      <c r="DPM2459" s="53"/>
      <c r="DPN2459" s="61"/>
      <c r="DPO2459" s="53"/>
      <c r="DPP2459" s="53"/>
      <c r="DPQ2459" s="53"/>
      <c r="DPR2459" s="60"/>
      <c r="DPS2459" s="53"/>
      <c r="DPT2459" s="53"/>
      <c r="DPU2459" s="53"/>
      <c r="DPV2459" s="61"/>
      <c r="DPW2459" s="53"/>
      <c r="DPX2459" s="53"/>
      <c r="DPY2459" s="53"/>
      <c r="DPZ2459" s="60"/>
      <c r="DQA2459" s="53"/>
      <c r="DQB2459" s="53"/>
      <c r="DQC2459" s="53"/>
      <c r="DQD2459" s="61"/>
      <c r="DQE2459" s="53"/>
      <c r="DQF2459" s="53"/>
      <c r="DQG2459" s="53"/>
      <c r="DQH2459" s="60"/>
      <c r="DQI2459" s="53"/>
      <c r="DQJ2459" s="53"/>
      <c r="DQK2459" s="53"/>
      <c r="DQL2459" s="61"/>
      <c r="DQM2459" s="53"/>
      <c r="DQN2459" s="53"/>
      <c r="DQO2459" s="53"/>
      <c r="DQP2459" s="60"/>
      <c r="DQQ2459" s="53"/>
      <c r="DQR2459" s="53"/>
      <c r="DQS2459" s="53"/>
      <c r="DQT2459" s="61"/>
      <c r="DQU2459" s="53"/>
      <c r="DQV2459" s="53"/>
      <c r="DQW2459" s="53"/>
      <c r="DQX2459" s="60"/>
      <c r="DQY2459" s="53"/>
      <c r="DQZ2459" s="53"/>
      <c r="DRA2459" s="53"/>
      <c r="DRB2459" s="61"/>
      <c r="DRC2459" s="53"/>
      <c r="DRD2459" s="53"/>
      <c r="DRE2459" s="53"/>
      <c r="DRF2459" s="60"/>
      <c r="DRG2459" s="53"/>
      <c r="DRH2459" s="53"/>
      <c r="DRI2459" s="53"/>
      <c r="DRJ2459" s="61"/>
      <c r="DRK2459" s="53"/>
      <c r="DRL2459" s="53"/>
      <c r="DRM2459" s="53"/>
      <c r="DRN2459" s="60"/>
      <c r="DRO2459" s="53"/>
      <c r="DRP2459" s="53"/>
      <c r="DRQ2459" s="53"/>
      <c r="DRR2459" s="61"/>
      <c r="DRS2459" s="53"/>
      <c r="DRT2459" s="53"/>
      <c r="DRU2459" s="53"/>
      <c r="DRV2459" s="60"/>
      <c r="DRW2459" s="53"/>
      <c r="DRX2459" s="53"/>
      <c r="DRY2459" s="53"/>
      <c r="DRZ2459" s="61"/>
      <c r="DSA2459" s="53"/>
      <c r="DSB2459" s="53"/>
      <c r="DSC2459" s="53"/>
      <c r="DSD2459" s="60"/>
      <c r="DSE2459" s="53"/>
      <c r="DSF2459" s="53"/>
      <c r="DSG2459" s="53"/>
      <c r="DSH2459" s="61"/>
      <c r="DSI2459" s="53"/>
      <c r="DSJ2459" s="53"/>
      <c r="DSK2459" s="53"/>
      <c r="DSL2459" s="60"/>
      <c r="DSM2459" s="53"/>
      <c r="DSN2459" s="53"/>
      <c r="DSO2459" s="53"/>
      <c r="DSP2459" s="61"/>
      <c r="DSQ2459" s="53"/>
      <c r="DSR2459" s="53"/>
      <c r="DSS2459" s="53"/>
      <c r="DST2459" s="60"/>
      <c r="DSU2459" s="53"/>
      <c r="DSV2459" s="53"/>
      <c r="DSW2459" s="53"/>
      <c r="DSX2459" s="61"/>
      <c r="DSY2459" s="53"/>
      <c r="DSZ2459" s="53"/>
      <c r="DTA2459" s="53"/>
      <c r="DTB2459" s="60"/>
      <c r="DTC2459" s="53"/>
      <c r="DTD2459" s="53"/>
      <c r="DTE2459" s="53"/>
      <c r="DTF2459" s="61"/>
      <c r="DTG2459" s="53"/>
      <c r="DTH2459" s="53"/>
      <c r="DTI2459" s="53"/>
      <c r="DTJ2459" s="60"/>
      <c r="DTK2459" s="53"/>
      <c r="DTL2459" s="53"/>
      <c r="DTM2459" s="53"/>
      <c r="DTN2459" s="61"/>
      <c r="DTO2459" s="53"/>
      <c r="DTP2459" s="53"/>
      <c r="DTQ2459" s="53"/>
      <c r="DTR2459" s="60"/>
      <c r="DTS2459" s="53"/>
      <c r="DTT2459" s="53"/>
      <c r="DTU2459" s="53"/>
      <c r="DTV2459" s="61"/>
      <c r="DTW2459" s="53"/>
      <c r="DTX2459" s="53"/>
      <c r="DTY2459" s="53"/>
      <c r="DTZ2459" s="60"/>
      <c r="DUA2459" s="53"/>
      <c r="DUB2459" s="53"/>
      <c r="DUC2459" s="53"/>
      <c r="DUD2459" s="61"/>
      <c r="DUE2459" s="53"/>
      <c r="DUF2459" s="53"/>
      <c r="DUG2459" s="53"/>
      <c r="DUH2459" s="60"/>
      <c r="DUI2459" s="53"/>
      <c r="DUJ2459" s="53"/>
      <c r="DUK2459" s="53"/>
      <c r="DUL2459" s="61"/>
      <c r="DUM2459" s="53"/>
      <c r="DUN2459" s="53"/>
      <c r="DUO2459" s="53"/>
      <c r="DUP2459" s="60"/>
      <c r="DUQ2459" s="53"/>
      <c r="DUR2459" s="53"/>
      <c r="DUS2459" s="53"/>
      <c r="DUT2459" s="61"/>
      <c r="DUU2459" s="53"/>
      <c r="DUV2459" s="53"/>
      <c r="DUW2459" s="53"/>
      <c r="DUX2459" s="60"/>
      <c r="DUY2459" s="53"/>
      <c r="DUZ2459" s="53"/>
      <c r="DVA2459" s="53"/>
      <c r="DVB2459" s="61"/>
      <c r="DVC2459" s="53"/>
      <c r="DVD2459" s="53"/>
      <c r="DVE2459" s="53"/>
      <c r="DVF2459" s="60"/>
      <c r="DVG2459" s="53"/>
      <c r="DVH2459" s="53"/>
      <c r="DVI2459" s="53"/>
      <c r="DVJ2459" s="61"/>
      <c r="DVK2459" s="53"/>
      <c r="DVL2459" s="53"/>
      <c r="DVM2459" s="53"/>
      <c r="DVN2459" s="60"/>
      <c r="DVO2459" s="53"/>
      <c r="DVP2459" s="53"/>
      <c r="DVQ2459" s="53"/>
      <c r="DVR2459" s="61"/>
      <c r="DVS2459" s="53"/>
      <c r="DVT2459" s="53"/>
      <c r="DVU2459" s="53"/>
      <c r="DVV2459" s="60"/>
      <c r="DVW2459" s="53"/>
      <c r="DVX2459" s="53"/>
      <c r="DVY2459" s="53"/>
      <c r="DVZ2459" s="61"/>
      <c r="DWA2459" s="53"/>
      <c r="DWB2459" s="53"/>
      <c r="DWC2459" s="53"/>
      <c r="DWD2459" s="60"/>
      <c r="DWE2459" s="53"/>
      <c r="DWF2459" s="53"/>
      <c r="DWG2459" s="53"/>
      <c r="DWH2459" s="61"/>
      <c r="DWI2459" s="53"/>
      <c r="DWJ2459" s="53"/>
      <c r="DWK2459" s="53"/>
      <c r="DWL2459" s="60"/>
      <c r="DWM2459" s="53"/>
      <c r="DWN2459" s="53"/>
      <c r="DWO2459" s="53"/>
      <c r="DWP2459" s="61"/>
      <c r="DWQ2459" s="53"/>
      <c r="DWR2459" s="53"/>
      <c r="DWS2459" s="53"/>
      <c r="DWT2459" s="60"/>
      <c r="DWU2459" s="53"/>
      <c r="DWV2459" s="53"/>
      <c r="DWW2459" s="53"/>
      <c r="DWX2459" s="61"/>
      <c r="DWY2459" s="53"/>
      <c r="DWZ2459" s="53"/>
      <c r="DXA2459" s="53"/>
      <c r="DXB2459" s="60"/>
      <c r="DXC2459" s="53"/>
      <c r="DXD2459" s="53"/>
      <c r="DXE2459" s="53"/>
      <c r="DXF2459" s="61"/>
      <c r="DXG2459" s="53"/>
      <c r="DXH2459" s="53"/>
      <c r="DXI2459" s="53"/>
      <c r="DXJ2459" s="60"/>
      <c r="DXK2459" s="53"/>
      <c r="DXL2459" s="53"/>
      <c r="DXM2459" s="53"/>
      <c r="DXN2459" s="61"/>
      <c r="DXO2459" s="53"/>
      <c r="DXP2459" s="53"/>
      <c r="DXQ2459" s="53"/>
      <c r="DXR2459" s="60"/>
      <c r="DXS2459" s="53"/>
      <c r="DXT2459" s="53"/>
      <c r="DXU2459" s="53"/>
      <c r="DXV2459" s="61"/>
      <c r="DXW2459" s="53"/>
      <c r="DXX2459" s="53"/>
      <c r="DXY2459" s="53"/>
      <c r="DXZ2459" s="60"/>
      <c r="DYA2459" s="53"/>
      <c r="DYB2459" s="53"/>
      <c r="DYC2459" s="53"/>
      <c r="DYD2459" s="61"/>
      <c r="DYE2459" s="53"/>
      <c r="DYF2459" s="53"/>
      <c r="DYG2459" s="53"/>
      <c r="DYH2459" s="60"/>
      <c r="DYI2459" s="53"/>
      <c r="DYJ2459" s="53"/>
      <c r="DYK2459" s="53"/>
      <c r="DYL2459" s="61"/>
      <c r="DYM2459" s="53"/>
      <c r="DYN2459" s="53"/>
      <c r="DYO2459" s="53"/>
      <c r="DYP2459" s="60"/>
      <c r="DYQ2459" s="53"/>
      <c r="DYR2459" s="53"/>
      <c r="DYS2459" s="53"/>
      <c r="DYT2459" s="61"/>
      <c r="DYU2459" s="53"/>
      <c r="DYV2459" s="53"/>
      <c r="DYW2459" s="53"/>
      <c r="DYX2459" s="60"/>
      <c r="DYY2459" s="53"/>
      <c r="DYZ2459" s="53"/>
      <c r="DZA2459" s="53"/>
      <c r="DZB2459" s="61"/>
      <c r="DZC2459" s="53"/>
      <c r="DZD2459" s="53"/>
      <c r="DZE2459" s="53"/>
      <c r="DZF2459" s="60"/>
      <c r="DZG2459" s="53"/>
      <c r="DZH2459" s="53"/>
      <c r="DZI2459" s="53"/>
      <c r="DZJ2459" s="61"/>
      <c r="DZK2459" s="53"/>
      <c r="DZL2459" s="53"/>
      <c r="DZM2459" s="53"/>
      <c r="DZN2459" s="60"/>
      <c r="DZO2459" s="53"/>
      <c r="DZP2459" s="53"/>
      <c r="DZQ2459" s="53"/>
      <c r="DZR2459" s="61"/>
      <c r="DZS2459" s="53"/>
      <c r="DZT2459" s="53"/>
      <c r="DZU2459" s="53"/>
      <c r="DZV2459" s="60"/>
      <c r="DZW2459" s="53"/>
      <c r="DZX2459" s="53"/>
      <c r="DZY2459" s="53"/>
      <c r="DZZ2459" s="61"/>
      <c r="EAA2459" s="53"/>
      <c r="EAB2459" s="53"/>
      <c r="EAC2459" s="53"/>
      <c r="EAD2459" s="60"/>
      <c r="EAE2459" s="53"/>
      <c r="EAF2459" s="53"/>
      <c r="EAG2459" s="53"/>
      <c r="EAH2459" s="61"/>
      <c r="EAI2459" s="53"/>
      <c r="EAJ2459" s="53"/>
      <c r="EAK2459" s="53"/>
      <c r="EAL2459" s="60"/>
      <c r="EAM2459" s="53"/>
      <c r="EAN2459" s="53"/>
      <c r="EAO2459" s="53"/>
      <c r="EAP2459" s="61"/>
      <c r="EAQ2459" s="53"/>
      <c r="EAR2459" s="53"/>
      <c r="EAS2459" s="53"/>
      <c r="EAT2459" s="60"/>
      <c r="EAU2459" s="53"/>
      <c r="EAV2459" s="53"/>
      <c r="EAW2459" s="53"/>
      <c r="EAX2459" s="61"/>
      <c r="EAY2459" s="53"/>
      <c r="EAZ2459" s="53"/>
      <c r="EBA2459" s="53"/>
      <c r="EBB2459" s="60"/>
      <c r="EBC2459" s="53"/>
      <c r="EBD2459" s="53"/>
      <c r="EBE2459" s="53"/>
      <c r="EBF2459" s="61"/>
      <c r="EBG2459" s="53"/>
      <c r="EBH2459" s="53"/>
      <c r="EBI2459" s="53"/>
      <c r="EBJ2459" s="60"/>
      <c r="EBK2459" s="53"/>
      <c r="EBL2459" s="53"/>
      <c r="EBM2459" s="53"/>
      <c r="EBN2459" s="61"/>
      <c r="EBO2459" s="53"/>
      <c r="EBP2459" s="53"/>
      <c r="EBQ2459" s="53"/>
      <c r="EBR2459" s="60"/>
      <c r="EBS2459" s="53"/>
      <c r="EBT2459" s="53"/>
      <c r="EBU2459" s="53"/>
      <c r="EBV2459" s="61"/>
      <c r="EBW2459" s="53"/>
      <c r="EBX2459" s="53"/>
      <c r="EBY2459" s="53"/>
      <c r="EBZ2459" s="60"/>
      <c r="ECA2459" s="53"/>
      <c r="ECB2459" s="53"/>
      <c r="ECC2459" s="53"/>
      <c r="ECD2459" s="61"/>
      <c r="ECE2459" s="53"/>
      <c r="ECF2459" s="53"/>
      <c r="ECG2459" s="53"/>
      <c r="ECH2459" s="60"/>
      <c r="ECI2459" s="53"/>
      <c r="ECJ2459" s="53"/>
      <c r="ECK2459" s="53"/>
      <c r="ECL2459" s="61"/>
      <c r="ECM2459" s="53"/>
      <c r="ECN2459" s="53"/>
      <c r="ECO2459" s="53"/>
      <c r="ECP2459" s="60"/>
      <c r="ECQ2459" s="53"/>
      <c r="ECR2459" s="53"/>
      <c r="ECS2459" s="53"/>
      <c r="ECT2459" s="61"/>
      <c r="ECU2459" s="53"/>
      <c r="ECV2459" s="53"/>
      <c r="ECW2459" s="53"/>
      <c r="ECX2459" s="60"/>
      <c r="ECY2459" s="53"/>
      <c r="ECZ2459" s="53"/>
      <c r="EDA2459" s="53"/>
      <c r="EDB2459" s="61"/>
      <c r="EDC2459" s="53"/>
      <c r="EDD2459" s="53"/>
      <c r="EDE2459" s="53"/>
      <c r="EDF2459" s="60"/>
      <c r="EDG2459" s="53"/>
      <c r="EDH2459" s="53"/>
      <c r="EDI2459" s="53"/>
      <c r="EDJ2459" s="61"/>
      <c r="EDK2459" s="53"/>
      <c r="EDL2459" s="53"/>
      <c r="EDM2459" s="53"/>
      <c r="EDN2459" s="60"/>
      <c r="EDO2459" s="53"/>
      <c r="EDP2459" s="53"/>
      <c r="EDQ2459" s="53"/>
      <c r="EDR2459" s="61"/>
      <c r="EDS2459" s="53"/>
      <c r="EDT2459" s="53"/>
      <c r="EDU2459" s="53"/>
      <c r="EDV2459" s="60"/>
      <c r="EDW2459" s="53"/>
      <c r="EDX2459" s="53"/>
      <c r="EDY2459" s="53"/>
      <c r="EDZ2459" s="61"/>
      <c r="EEA2459" s="53"/>
      <c r="EEB2459" s="53"/>
      <c r="EEC2459" s="53"/>
      <c r="EED2459" s="60"/>
      <c r="EEE2459" s="53"/>
      <c r="EEF2459" s="53"/>
      <c r="EEG2459" s="53"/>
      <c r="EEH2459" s="61"/>
      <c r="EEI2459" s="53"/>
      <c r="EEJ2459" s="53"/>
      <c r="EEK2459" s="53"/>
      <c r="EEL2459" s="60"/>
      <c r="EEM2459" s="53"/>
      <c r="EEN2459" s="53"/>
      <c r="EEO2459" s="53"/>
      <c r="EEP2459" s="61"/>
      <c r="EEQ2459" s="53"/>
      <c r="EER2459" s="53"/>
      <c r="EES2459" s="53"/>
      <c r="EET2459" s="60"/>
      <c r="EEU2459" s="53"/>
      <c r="EEV2459" s="53"/>
      <c r="EEW2459" s="53"/>
      <c r="EEX2459" s="61"/>
      <c r="EEY2459" s="53"/>
      <c r="EEZ2459" s="53"/>
      <c r="EFA2459" s="53"/>
      <c r="EFB2459" s="60"/>
      <c r="EFC2459" s="53"/>
      <c r="EFD2459" s="53"/>
      <c r="EFE2459" s="53"/>
      <c r="EFF2459" s="61"/>
      <c r="EFG2459" s="53"/>
      <c r="EFH2459" s="53"/>
      <c r="EFI2459" s="53"/>
      <c r="EFJ2459" s="60"/>
      <c r="EFK2459" s="53"/>
      <c r="EFL2459" s="53"/>
      <c r="EFM2459" s="53"/>
      <c r="EFN2459" s="61"/>
      <c r="EFO2459" s="53"/>
      <c r="EFP2459" s="53"/>
      <c r="EFQ2459" s="53"/>
      <c r="EFR2459" s="60"/>
      <c r="EFS2459" s="53"/>
      <c r="EFT2459" s="53"/>
      <c r="EFU2459" s="53"/>
      <c r="EFV2459" s="61"/>
      <c r="EFW2459" s="53"/>
      <c r="EFX2459" s="53"/>
      <c r="EFY2459" s="53"/>
      <c r="EFZ2459" s="60"/>
      <c r="EGA2459" s="53"/>
      <c r="EGB2459" s="53"/>
      <c r="EGC2459" s="53"/>
      <c r="EGD2459" s="61"/>
      <c r="EGE2459" s="53"/>
      <c r="EGF2459" s="53"/>
      <c r="EGG2459" s="53"/>
      <c r="EGH2459" s="60"/>
      <c r="EGI2459" s="53"/>
      <c r="EGJ2459" s="53"/>
      <c r="EGK2459" s="53"/>
      <c r="EGL2459" s="61"/>
      <c r="EGM2459" s="53"/>
      <c r="EGN2459" s="53"/>
      <c r="EGO2459" s="53"/>
      <c r="EGP2459" s="60"/>
      <c r="EGQ2459" s="53"/>
      <c r="EGR2459" s="53"/>
      <c r="EGS2459" s="53"/>
      <c r="EGT2459" s="61"/>
      <c r="EGU2459" s="53"/>
      <c r="EGV2459" s="53"/>
      <c r="EGW2459" s="53"/>
      <c r="EGX2459" s="60"/>
      <c r="EGY2459" s="53"/>
      <c r="EGZ2459" s="53"/>
      <c r="EHA2459" s="53"/>
      <c r="EHB2459" s="61"/>
      <c r="EHC2459" s="53"/>
      <c r="EHD2459" s="53"/>
      <c r="EHE2459" s="53"/>
      <c r="EHF2459" s="60"/>
      <c r="EHG2459" s="53"/>
      <c r="EHH2459" s="53"/>
      <c r="EHI2459" s="53"/>
      <c r="EHJ2459" s="61"/>
      <c r="EHK2459" s="53"/>
      <c r="EHL2459" s="53"/>
      <c r="EHM2459" s="53"/>
      <c r="EHN2459" s="60"/>
      <c r="EHO2459" s="53"/>
      <c r="EHP2459" s="53"/>
      <c r="EHQ2459" s="53"/>
      <c r="EHR2459" s="61"/>
      <c r="EHS2459" s="53"/>
      <c r="EHT2459" s="53"/>
      <c r="EHU2459" s="53"/>
      <c r="EHV2459" s="60"/>
      <c r="EHW2459" s="53"/>
      <c r="EHX2459" s="53"/>
      <c r="EHY2459" s="53"/>
      <c r="EHZ2459" s="61"/>
      <c r="EIA2459" s="53"/>
      <c r="EIB2459" s="53"/>
      <c r="EIC2459" s="53"/>
      <c r="EID2459" s="60"/>
      <c r="EIE2459" s="53"/>
      <c r="EIF2459" s="53"/>
      <c r="EIG2459" s="53"/>
      <c r="EIH2459" s="61"/>
      <c r="EII2459" s="53"/>
      <c r="EIJ2459" s="53"/>
      <c r="EIK2459" s="53"/>
      <c r="EIL2459" s="60"/>
      <c r="EIM2459" s="53"/>
      <c r="EIN2459" s="53"/>
      <c r="EIO2459" s="53"/>
      <c r="EIP2459" s="61"/>
      <c r="EIQ2459" s="53"/>
      <c r="EIR2459" s="53"/>
      <c r="EIS2459" s="53"/>
      <c r="EIT2459" s="60"/>
      <c r="EIU2459" s="53"/>
      <c r="EIV2459" s="53"/>
      <c r="EIW2459" s="53"/>
      <c r="EIX2459" s="61"/>
      <c r="EIY2459" s="53"/>
      <c r="EIZ2459" s="53"/>
      <c r="EJA2459" s="53"/>
      <c r="EJB2459" s="60"/>
      <c r="EJC2459" s="53"/>
      <c r="EJD2459" s="53"/>
      <c r="EJE2459" s="53"/>
      <c r="EJF2459" s="61"/>
      <c r="EJG2459" s="53"/>
      <c r="EJH2459" s="53"/>
      <c r="EJI2459" s="53"/>
      <c r="EJJ2459" s="60"/>
      <c r="EJK2459" s="53"/>
      <c r="EJL2459" s="53"/>
      <c r="EJM2459" s="53"/>
      <c r="EJN2459" s="61"/>
      <c r="EJO2459" s="53"/>
      <c r="EJP2459" s="53"/>
      <c r="EJQ2459" s="53"/>
      <c r="EJR2459" s="60"/>
      <c r="EJS2459" s="53"/>
      <c r="EJT2459" s="53"/>
      <c r="EJU2459" s="53"/>
      <c r="EJV2459" s="61"/>
      <c r="EJW2459" s="53"/>
      <c r="EJX2459" s="53"/>
      <c r="EJY2459" s="53"/>
      <c r="EJZ2459" s="60"/>
      <c r="EKA2459" s="53"/>
      <c r="EKB2459" s="53"/>
      <c r="EKC2459" s="53"/>
      <c r="EKD2459" s="61"/>
      <c r="EKE2459" s="53"/>
      <c r="EKF2459" s="53"/>
      <c r="EKG2459" s="53"/>
      <c r="EKH2459" s="60"/>
      <c r="EKI2459" s="53"/>
      <c r="EKJ2459" s="53"/>
      <c r="EKK2459" s="53"/>
      <c r="EKL2459" s="61"/>
      <c r="EKM2459" s="53"/>
      <c r="EKN2459" s="53"/>
      <c r="EKO2459" s="53"/>
      <c r="EKP2459" s="60"/>
      <c r="EKQ2459" s="53"/>
      <c r="EKR2459" s="53"/>
      <c r="EKS2459" s="53"/>
      <c r="EKT2459" s="61"/>
      <c r="EKU2459" s="53"/>
      <c r="EKV2459" s="53"/>
      <c r="EKW2459" s="53"/>
      <c r="EKX2459" s="60"/>
      <c r="EKY2459" s="53"/>
      <c r="EKZ2459" s="53"/>
      <c r="ELA2459" s="53"/>
      <c r="ELB2459" s="61"/>
      <c r="ELC2459" s="53"/>
      <c r="ELD2459" s="53"/>
      <c r="ELE2459" s="53"/>
      <c r="ELF2459" s="60"/>
      <c r="ELG2459" s="53"/>
      <c r="ELH2459" s="53"/>
      <c r="ELI2459" s="53"/>
      <c r="ELJ2459" s="61"/>
      <c r="ELK2459" s="53"/>
      <c r="ELL2459" s="53"/>
      <c r="ELM2459" s="53"/>
      <c r="ELN2459" s="60"/>
      <c r="ELO2459" s="53"/>
      <c r="ELP2459" s="53"/>
      <c r="ELQ2459" s="53"/>
      <c r="ELR2459" s="61"/>
      <c r="ELS2459" s="53"/>
      <c r="ELT2459" s="53"/>
      <c r="ELU2459" s="53"/>
      <c r="ELV2459" s="60"/>
      <c r="ELW2459" s="53"/>
      <c r="ELX2459" s="53"/>
      <c r="ELY2459" s="53"/>
      <c r="ELZ2459" s="61"/>
      <c r="EMA2459" s="53"/>
      <c r="EMB2459" s="53"/>
      <c r="EMC2459" s="53"/>
      <c r="EMD2459" s="60"/>
      <c r="EME2459" s="53"/>
      <c r="EMF2459" s="53"/>
      <c r="EMG2459" s="53"/>
      <c r="EMH2459" s="61"/>
      <c r="EMI2459" s="53"/>
      <c r="EMJ2459" s="53"/>
      <c r="EMK2459" s="53"/>
      <c r="EML2459" s="60"/>
      <c r="EMM2459" s="53"/>
      <c r="EMN2459" s="53"/>
      <c r="EMO2459" s="53"/>
      <c r="EMP2459" s="61"/>
      <c r="EMQ2459" s="53"/>
      <c r="EMR2459" s="53"/>
      <c r="EMS2459" s="53"/>
      <c r="EMT2459" s="60"/>
      <c r="EMU2459" s="53"/>
      <c r="EMV2459" s="53"/>
      <c r="EMW2459" s="53"/>
      <c r="EMX2459" s="61"/>
      <c r="EMY2459" s="53"/>
      <c r="EMZ2459" s="53"/>
      <c r="ENA2459" s="53"/>
      <c r="ENB2459" s="60"/>
      <c r="ENC2459" s="53"/>
      <c r="END2459" s="53"/>
      <c r="ENE2459" s="53"/>
      <c r="ENF2459" s="61"/>
      <c r="ENG2459" s="53"/>
      <c r="ENH2459" s="53"/>
      <c r="ENI2459" s="53"/>
      <c r="ENJ2459" s="60"/>
      <c r="ENK2459" s="53"/>
      <c r="ENL2459" s="53"/>
      <c r="ENM2459" s="53"/>
      <c r="ENN2459" s="61"/>
      <c r="ENO2459" s="53"/>
      <c r="ENP2459" s="53"/>
      <c r="ENQ2459" s="53"/>
      <c r="ENR2459" s="60"/>
      <c r="ENS2459" s="53"/>
      <c r="ENT2459" s="53"/>
      <c r="ENU2459" s="53"/>
      <c r="ENV2459" s="61"/>
      <c r="ENW2459" s="53"/>
      <c r="ENX2459" s="53"/>
      <c r="ENY2459" s="53"/>
      <c r="ENZ2459" s="60"/>
      <c r="EOA2459" s="53"/>
      <c r="EOB2459" s="53"/>
      <c r="EOC2459" s="53"/>
      <c r="EOD2459" s="61"/>
      <c r="EOE2459" s="53"/>
      <c r="EOF2459" s="53"/>
      <c r="EOG2459" s="53"/>
      <c r="EOH2459" s="60"/>
      <c r="EOI2459" s="53"/>
      <c r="EOJ2459" s="53"/>
      <c r="EOK2459" s="53"/>
      <c r="EOL2459" s="61"/>
      <c r="EOM2459" s="53"/>
      <c r="EON2459" s="53"/>
      <c r="EOO2459" s="53"/>
      <c r="EOP2459" s="60"/>
      <c r="EOQ2459" s="53"/>
      <c r="EOR2459" s="53"/>
      <c r="EOS2459" s="53"/>
      <c r="EOT2459" s="61"/>
      <c r="EOU2459" s="53"/>
      <c r="EOV2459" s="53"/>
      <c r="EOW2459" s="53"/>
      <c r="EOX2459" s="60"/>
      <c r="EOY2459" s="53"/>
      <c r="EOZ2459" s="53"/>
      <c r="EPA2459" s="53"/>
      <c r="EPB2459" s="61"/>
      <c r="EPC2459" s="53"/>
      <c r="EPD2459" s="53"/>
      <c r="EPE2459" s="53"/>
      <c r="EPF2459" s="60"/>
      <c r="EPG2459" s="53"/>
      <c r="EPH2459" s="53"/>
      <c r="EPI2459" s="53"/>
      <c r="EPJ2459" s="61"/>
      <c r="EPK2459" s="53"/>
      <c r="EPL2459" s="53"/>
      <c r="EPM2459" s="53"/>
      <c r="EPN2459" s="60"/>
      <c r="EPO2459" s="53"/>
      <c r="EPP2459" s="53"/>
      <c r="EPQ2459" s="53"/>
      <c r="EPR2459" s="61"/>
      <c r="EPS2459" s="53"/>
      <c r="EPT2459" s="53"/>
      <c r="EPU2459" s="53"/>
      <c r="EPV2459" s="60"/>
      <c r="EPW2459" s="53"/>
      <c r="EPX2459" s="53"/>
      <c r="EPY2459" s="53"/>
      <c r="EPZ2459" s="61"/>
      <c r="EQA2459" s="53"/>
      <c r="EQB2459" s="53"/>
      <c r="EQC2459" s="53"/>
      <c r="EQD2459" s="60"/>
      <c r="EQE2459" s="53"/>
      <c r="EQF2459" s="53"/>
      <c r="EQG2459" s="53"/>
      <c r="EQH2459" s="61"/>
      <c r="EQI2459" s="53"/>
      <c r="EQJ2459" s="53"/>
      <c r="EQK2459" s="53"/>
      <c r="EQL2459" s="60"/>
      <c r="EQM2459" s="53"/>
      <c r="EQN2459" s="53"/>
      <c r="EQO2459" s="53"/>
      <c r="EQP2459" s="61"/>
      <c r="EQQ2459" s="53"/>
      <c r="EQR2459" s="53"/>
      <c r="EQS2459" s="53"/>
      <c r="EQT2459" s="60"/>
      <c r="EQU2459" s="53"/>
      <c r="EQV2459" s="53"/>
      <c r="EQW2459" s="53"/>
      <c r="EQX2459" s="61"/>
      <c r="EQY2459" s="53"/>
      <c r="EQZ2459" s="53"/>
      <c r="ERA2459" s="53"/>
      <c r="ERB2459" s="60"/>
      <c r="ERC2459" s="53"/>
      <c r="ERD2459" s="53"/>
      <c r="ERE2459" s="53"/>
      <c r="ERF2459" s="61"/>
      <c r="ERG2459" s="53"/>
      <c r="ERH2459" s="53"/>
      <c r="ERI2459" s="53"/>
      <c r="ERJ2459" s="60"/>
      <c r="ERK2459" s="53"/>
      <c r="ERL2459" s="53"/>
      <c r="ERM2459" s="53"/>
      <c r="ERN2459" s="61"/>
      <c r="ERO2459" s="53"/>
      <c r="ERP2459" s="53"/>
      <c r="ERQ2459" s="53"/>
      <c r="ERR2459" s="60"/>
      <c r="ERS2459" s="53"/>
      <c r="ERT2459" s="53"/>
      <c r="ERU2459" s="53"/>
      <c r="ERV2459" s="61"/>
      <c r="ERW2459" s="53"/>
      <c r="ERX2459" s="53"/>
      <c r="ERY2459" s="53"/>
      <c r="ERZ2459" s="60"/>
      <c r="ESA2459" s="53"/>
      <c r="ESB2459" s="53"/>
      <c r="ESC2459" s="53"/>
      <c r="ESD2459" s="61"/>
      <c r="ESE2459" s="53"/>
      <c r="ESF2459" s="53"/>
      <c r="ESG2459" s="53"/>
      <c r="ESH2459" s="60"/>
      <c r="ESI2459" s="53"/>
      <c r="ESJ2459" s="53"/>
      <c r="ESK2459" s="53"/>
      <c r="ESL2459" s="61"/>
      <c r="ESM2459" s="53"/>
      <c r="ESN2459" s="53"/>
      <c r="ESO2459" s="53"/>
      <c r="ESP2459" s="60"/>
      <c r="ESQ2459" s="53"/>
      <c r="ESR2459" s="53"/>
      <c r="ESS2459" s="53"/>
      <c r="EST2459" s="61"/>
      <c r="ESU2459" s="53"/>
      <c r="ESV2459" s="53"/>
      <c r="ESW2459" s="53"/>
      <c r="ESX2459" s="60"/>
      <c r="ESY2459" s="53"/>
      <c r="ESZ2459" s="53"/>
      <c r="ETA2459" s="53"/>
      <c r="ETB2459" s="61"/>
      <c r="ETC2459" s="53"/>
      <c r="ETD2459" s="53"/>
      <c r="ETE2459" s="53"/>
      <c r="ETF2459" s="60"/>
      <c r="ETG2459" s="53"/>
      <c r="ETH2459" s="53"/>
      <c r="ETI2459" s="53"/>
      <c r="ETJ2459" s="61"/>
      <c r="ETK2459" s="53"/>
      <c r="ETL2459" s="53"/>
      <c r="ETM2459" s="53"/>
      <c r="ETN2459" s="60"/>
      <c r="ETO2459" s="53"/>
      <c r="ETP2459" s="53"/>
      <c r="ETQ2459" s="53"/>
      <c r="ETR2459" s="61"/>
      <c r="ETS2459" s="53"/>
      <c r="ETT2459" s="53"/>
      <c r="ETU2459" s="53"/>
      <c r="ETV2459" s="60"/>
      <c r="ETW2459" s="53"/>
      <c r="ETX2459" s="53"/>
      <c r="ETY2459" s="53"/>
      <c r="ETZ2459" s="61"/>
      <c r="EUA2459" s="53"/>
      <c r="EUB2459" s="53"/>
      <c r="EUC2459" s="53"/>
      <c r="EUD2459" s="60"/>
      <c r="EUE2459" s="53"/>
      <c r="EUF2459" s="53"/>
      <c r="EUG2459" s="53"/>
      <c r="EUH2459" s="61"/>
      <c r="EUI2459" s="53"/>
      <c r="EUJ2459" s="53"/>
      <c r="EUK2459" s="53"/>
      <c r="EUL2459" s="60"/>
      <c r="EUM2459" s="53"/>
      <c r="EUN2459" s="53"/>
      <c r="EUO2459" s="53"/>
      <c r="EUP2459" s="61"/>
      <c r="EUQ2459" s="53"/>
      <c r="EUR2459" s="53"/>
      <c r="EUS2459" s="53"/>
      <c r="EUT2459" s="60"/>
      <c r="EUU2459" s="53"/>
      <c r="EUV2459" s="53"/>
      <c r="EUW2459" s="53"/>
      <c r="EUX2459" s="61"/>
      <c r="EUY2459" s="53"/>
      <c r="EUZ2459" s="53"/>
      <c r="EVA2459" s="53"/>
      <c r="EVB2459" s="60"/>
      <c r="EVC2459" s="53"/>
      <c r="EVD2459" s="53"/>
      <c r="EVE2459" s="53"/>
      <c r="EVF2459" s="61"/>
      <c r="EVG2459" s="53"/>
      <c r="EVH2459" s="53"/>
      <c r="EVI2459" s="53"/>
      <c r="EVJ2459" s="60"/>
      <c r="EVK2459" s="53"/>
      <c r="EVL2459" s="53"/>
      <c r="EVM2459" s="53"/>
      <c r="EVN2459" s="61"/>
      <c r="EVO2459" s="53"/>
      <c r="EVP2459" s="53"/>
      <c r="EVQ2459" s="53"/>
      <c r="EVR2459" s="60"/>
      <c r="EVS2459" s="53"/>
      <c r="EVT2459" s="53"/>
      <c r="EVU2459" s="53"/>
      <c r="EVV2459" s="61"/>
      <c r="EVW2459" s="53"/>
      <c r="EVX2459" s="53"/>
      <c r="EVY2459" s="53"/>
      <c r="EVZ2459" s="60"/>
      <c r="EWA2459" s="53"/>
      <c r="EWB2459" s="53"/>
      <c r="EWC2459" s="53"/>
      <c r="EWD2459" s="61"/>
      <c r="EWE2459" s="53"/>
      <c r="EWF2459" s="53"/>
      <c r="EWG2459" s="53"/>
      <c r="EWH2459" s="60"/>
      <c r="EWI2459" s="53"/>
      <c r="EWJ2459" s="53"/>
      <c r="EWK2459" s="53"/>
      <c r="EWL2459" s="61"/>
      <c r="EWM2459" s="53"/>
      <c r="EWN2459" s="53"/>
      <c r="EWO2459" s="53"/>
      <c r="EWP2459" s="60"/>
      <c r="EWQ2459" s="53"/>
      <c r="EWR2459" s="53"/>
      <c r="EWS2459" s="53"/>
      <c r="EWT2459" s="61"/>
      <c r="EWU2459" s="53"/>
      <c r="EWV2459" s="53"/>
      <c r="EWW2459" s="53"/>
      <c r="EWX2459" s="60"/>
      <c r="EWY2459" s="53"/>
      <c r="EWZ2459" s="53"/>
      <c r="EXA2459" s="53"/>
      <c r="EXB2459" s="61"/>
      <c r="EXC2459" s="53"/>
      <c r="EXD2459" s="53"/>
      <c r="EXE2459" s="53"/>
      <c r="EXF2459" s="60"/>
      <c r="EXG2459" s="53"/>
      <c r="EXH2459" s="53"/>
      <c r="EXI2459" s="53"/>
      <c r="EXJ2459" s="61"/>
      <c r="EXK2459" s="53"/>
      <c r="EXL2459" s="53"/>
      <c r="EXM2459" s="53"/>
      <c r="EXN2459" s="60"/>
      <c r="EXO2459" s="53"/>
      <c r="EXP2459" s="53"/>
      <c r="EXQ2459" s="53"/>
      <c r="EXR2459" s="61"/>
      <c r="EXS2459" s="53"/>
      <c r="EXT2459" s="53"/>
      <c r="EXU2459" s="53"/>
      <c r="EXV2459" s="60"/>
      <c r="EXW2459" s="53"/>
      <c r="EXX2459" s="53"/>
      <c r="EXY2459" s="53"/>
      <c r="EXZ2459" s="61"/>
      <c r="EYA2459" s="53"/>
      <c r="EYB2459" s="53"/>
      <c r="EYC2459" s="53"/>
      <c r="EYD2459" s="60"/>
      <c r="EYE2459" s="53"/>
      <c r="EYF2459" s="53"/>
      <c r="EYG2459" s="53"/>
      <c r="EYH2459" s="61"/>
      <c r="EYI2459" s="53"/>
      <c r="EYJ2459" s="53"/>
      <c r="EYK2459" s="53"/>
      <c r="EYL2459" s="60"/>
      <c r="EYM2459" s="53"/>
      <c r="EYN2459" s="53"/>
      <c r="EYO2459" s="53"/>
      <c r="EYP2459" s="61"/>
      <c r="EYQ2459" s="53"/>
      <c r="EYR2459" s="53"/>
      <c r="EYS2459" s="53"/>
      <c r="EYT2459" s="60"/>
      <c r="EYU2459" s="53"/>
      <c r="EYV2459" s="53"/>
      <c r="EYW2459" s="53"/>
      <c r="EYX2459" s="61"/>
      <c r="EYY2459" s="53"/>
      <c r="EYZ2459" s="53"/>
      <c r="EZA2459" s="53"/>
      <c r="EZB2459" s="60"/>
      <c r="EZC2459" s="53"/>
      <c r="EZD2459" s="53"/>
      <c r="EZE2459" s="53"/>
      <c r="EZF2459" s="61"/>
      <c r="EZG2459" s="53"/>
      <c r="EZH2459" s="53"/>
      <c r="EZI2459" s="53"/>
      <c r="EZJ2459" s="60"/>
      <c r="EZK2459" s="53"/>
      <c r="EZL2459" s="53"/>
      <c r="EZM2459" s="53"/>
      <c r="EZN2459" s="61"/>
      <c r="EZO2459" s="53"/>
      <c r="EZP2459" s="53"/>
      <c r="EZQ2459" s="53"/>
      <c r="EZR2459" s="60"/>
      <c r="EZS2459" s="53"/>
      <c r="EZT2459" s="53"/>
      <c r="EZU2459" s="53"/>
      <c r="EZV2459" s="61"/>
      <c r="EZW2459" s="53"/>
      <c r="EZX2459" s="53"/>
      <c r="EZY2459" s="53"/>
      <c r="EZZ2459" s="60"/>
      <c r="FAA2459" s="53"/>
      <c r="FAB2459" s="53"/>
      <c r="FAC2459" s="53"/>
      <c r="FAD2459" s="61"/>
      <c r="FAE2459" s="53"/>
      <c r="FAF2459" s="53"/>
      <c r="FAG2459" s="53"/>
      <c r="FAH2459" s="60"/>
      <c r="FAI2459" s="53"/>
      <c r="FAJ2459" s="53"/>
      <c r="FAK2459" s="53"/>
      <c r="FAL2459" s="61"/>
      <c r="FAM2459" s="53"/>
      <c r="FAN2459" s="53"/>
      <c r="FAO2459" s="53"/>
      <c r="FAP2459" s="60"/>
      <c r="FAQ2459" s="53"/>
      <c r="FAR2459" s="53"/>
      <c r="FAS2459" s="53"/>
      <c r="FAT2459" s="61"/>
      <c r="FAU2459" s="53"/>
      <c r="FAV2459" s="53"/>
      <c r="FAW2459" s="53"/>
      <c r="FAX2459" s="60"/>
      <c r="FAY2459" s="53"/>
      <c r="FAZ2459" s="53"/>
      <c r="FBA2459" s="53"/>
      <c r="FBB2459" s="61"/>
      <c r="FBC2459" s="53"/>
      <c r="FBD2459" s="53"/>
      <c r="FBE2459" s="53"/>
      <c r="FBF2459" s="60"/>
      <c r="FBG2459" s="53"/>
      <c r="FBH2459" s="53"/>
      <c r="FBI2459" s="53"/>
      <c r="FBJ2459" s="61"/>
      <c r="FBK2459" s="53"/>
      <c r="FBL2459" s="53"/>
      <c r="FBM2459" s="53"/>
      <c r="FBN2459" s="60"/>
      <c r="FBO2459" s="53"/>
      <c r="FBP2459" s="53"/>
      <c r="FBQ2459" s="53"/>
      <c r="FBR2459" s="61"/>
      <c r="FBS2459" s="53"/>
      <c r="FBT2459" s="53"/>
      <c r="FBU2459" s="53"/>
      <c r="FBV2459" s="60"/>
      <c r="FBW2459" s="53"/>
      <c r="FBX2459" s="53"/>
      <c r="FBY2459" s="53"/>
      <c r="FBZ2459" s="61"/>
      <c r="FCA2459" s="53"/>
      <c r="FCB2459" s="53"/>
      <c r="FCC2459" s="53"/>
      <c r="FCD2459" s="60"/>
      <c r="FCE2459" s="53"/>
      <c r="FCF2459" s="53"/>
      <c r="FCG2459" s="53"/>
      <c r="FCH2459" s="61"/>
      <c r="FCI2459" s="53"/>
      <c r="FCJ2459" s="53"/>
      <c r="FCK2459" s="53"/>
      <c r="FCL2459" s="60"/>
      <c r="FCM2459" s="53"/>
      <c r="FCN2459" s="53"/>
      <c r="FCO2459" s="53"/>
      <c r="FCP2459" s="61"/>
      <c r="FCQ2459" s="53"/>
      <c r="FCR2459" s="53"/>
      <c r="FCS2459" s="53"/>
      <c r="FCT2459" s="60"/>
      <c r="FCU2459" s="53"/>
      <c r="FCV2459" s="53"/>
      <c r="FCW2459" s="53"/>
      <c r="FCX2459" s="61"/>
      <c r="FCY2459" s="53"/>
      <c r="FCZ2459" s="53"/>
      <c r="FDA2459" s="53"/>
      <c r="FDB2459" s="60"/>
      <c r="FDC2459" s="53"/>
      <c r="FDD2459" s="53"/>
      <c r="FDE2459" s="53"/>
      <c r="FDF2459" s="61"/>
      <c r="FDG2459" s="53"/>
      <c r="FDH2459" s="53"/>
      <c r="FDI2459" s="53"/>
      <c r="FDJ2459" s="60"/>
      <c r="FDK2459" s="53"/>
      <c r="FDL2459" s="53"/>
      <c r="FDM2459" s="53"/>
      <c r="FDN2459" s="61"/>
      <c r="FDO2459" s="53"/>
      <c r="FDP2459" s="53"/>
      <c r="FDQ2459" s="53"/>
      <c r="FDR2459" s="60"/>
      <c r="FDS2459" s="53"/>
      <c r="FDT2459" s="53"/>
      <c r="FDU2459" s="53"/>
      <c r="FDV2459" s="61"/>
      <c r="FDW2459" s="53"/>
      <c r="FDX2459" s="53"/>
      <c r="FDY2459" s="53"/>
      <c r="FDZ2459" s="60"/>
      <c r="FEA2459" s="53"/>
      <c r="FEB2459" s="53"/>
      <c r="FEC2459" s="53"/>
      <c r="FED2459" s="61"/>
      <c r="FEE2459" s="53"/>
      <c r="FEF2459" s="53"/>
      <c r="FEG2459" s="53"/>
      <c r="FEH2459" s="60"/>
      <c r="FEI2459" s="53"/>
      <c r="FEJ2459" s="53"/>
      <c r="FEK2459" s="53"/>
      <c r="FEL2459" s="61"/>
      <c r="FEM2459" s="53"/>
      <c r="FEN2459" s="53"/>
      <c r="FEO2459" s="53"/>
      <c r="FEP2459" s="60"/>
      <c r="FEQ2459" s="53"/>
      <c r="FER2459" s="53"/>
      <c r="FES2459" s="53"/>
      <c r="FET2459" s="61"/>
      <c r="FEU2459" s="53"/>
      <c r="FEV2459" s="53"/>
      <c r="FEW2459" s="53"/>
      <c r="FEX2459" s="60"/>
      <c r="FEY2459" s="53"/>
      <c r="FEZ2459" s="53"/>
      <c r="FFA2459" s="53"/>
      <c r="FFB2459" s="61"/>
      <c r="FFC2459" s="53"/>
      <c r="FFD2459" s="53"/>
      <c r="FFE2459" s="53"/>
      <c r="FFF2459" s="60"/>
      <c r="FFG2459" s="53"/>
      <c r="FFH2459" s="53"/>
      <c r="FFI2459" s="53"/>
      <c r="FFJ2459" s="61"/>
      <c r="FFK2459" s="53"/>
      <c r="FFL2459" s="53"/>
      <c r="FFM2459" s="53"/>
      <c r="FFN2459" s="60"/>
      <c r="FFO2459" s="53"/>
      <c r="FFP2459" s="53"/>
      <c r="FFQ2459" s="53"/>
      <c r="FFR2459" s="61"/>
      <c r="FFS2459" s="53"/>
      <c r="FFT2459" s="53"/>
      <c r="FFU2459" s="53"/>
      <c r="FFV2459" s="60"/>
      <c r="FFW2459" s="53"/>
      <c r="FFX2459" s="53"/>
      <c r="FFY2459" s="53"/>
      <c r="FFZ2459" s="61"/>
      <c r="FGA2459" s="53"/>
      <c r="FGB2459" s="53"/>
      <c r="FGC2459" s="53"/>
      <c r="FGD2459" s="60"/>
      <c r="FGE2459" s="53"/>
      <c r="FGF2459" s="53"/>
      <c r="FGG2459" s="53"/>
      <c r="FGH2459" s="61"/>
      <c r="FGI2459" s="53"/>
      <c r="FGJ2459" s="53"/>
      <c r="FGK2459" s="53"/>
      <c r="FGL2459" s="60"/>
      <c r="FGM2459" s="53"/>
      <c r="FGN2459" s="53"/>
      <c r="FGO2459" s="53"/>
      <c r="FGP2459" s="61"/>
      <c r="FGQ2459" s="53"/>
      <c r="FGR2459" s="53"/>
      <c r="FGS2459" s="53"/>
      <c r="FGT2459" s="60"/>
      <c r="FGU2459" s="53"/>
      <c r="FGV2459" s="53"/>
      <c r="FGW2459" s="53"/>
      <c r="FGX2459" s="61"/>
      <c r="FGY2459" s="53"/>
      <c r="FGZ2459" s="53"/>
      <c r="FHA2459" s="53"/>
      <c r="FHB2459" s="60"/>
      <c r="FHC2459" s="53"/>
      <c r="FHD2459" s="53"/>
      <c r="FHE2459" s="53"/>
      <c r="FHF2459" s="61"/>
      <c r="FHG2459" s="53"/>
      <c r="FHH2459" s="53"/>
      <c r="FHI2459" s="53"/>
      <c r="FHJ2459" s="60"/>
      <c r="FHK2459" s="53"/>
      <c r="FHL2459" s="53"/>
      <c r="FHM2459" s="53"/>
      <c r="FHN2459" s="61"/>
      <c r="FHO2459" s="53"/>
      <c r="FHP2459" s="53"/>
      <c r="FHQ2459" s="53"/>
      <c r="FHR2459" s="60"/>
      <c r="FHS2459" s="53"/>
      <c r="FHT2459" s="53"/>
      <c r="FHU2459" s="53"/>
      <c r="FHV2459" s="61"/>
      <c r="FHW2459" s="53"/>
      <c r="FHX2459" s="53"/>
      <c r="FHY2459" s="53"/>
      <c r="FHZ2459" s="60"/>
      <c r="FIA2459" s="53"/>
      <c r="FIB2459" s="53"/>
      <c r="FIC2459" s="53"/>
      <c r="FID2459" s="61"/>
      <c r="FIE2459" s="53"/>
      <c r="FIF2459" s="53"/>
      <c r="FIG2459" s="53"/>
      <c r="FIH2459" s="60"/>
      <c r="FII2459" s="53"/>
      <c r="FIJ2459" s="53"/>
      <c r="FIK2459" s="53"/>
      <c r="FIL2459" s="61"/>
      <c r="FIM2459" s="53"/>
      <c r="FIN2459" s="53"/>
      <c r="FIO2459" s="53"/>
      <c r="FIP2459" s="60"/>
      <c r="FIQ2459" s="53"/>
      <c r="FIR2459" s="53"/>
      <c r="FIS2459" s="53"/>
      <c r="FIT2459" s="61"/>
      <c r="FIU2459" s="53"/>
      <c r="FIV2459" s="53"/>
      <c r="FIW2459" s="53"/>
      <c r="FIX2459" s="60"/>
      <c r="FIY2459" s="53"/>
      <c r="FIZ2459" s="53"/>
      <c r="FJA2459" s="53"/>
      <c r="FJB2459" s="61"/>
      <c r="FJC2459" s="53"/>
      <c r="FJD2459" s="53"/>
      <c r="FJE2459" s="53"/>
      <c r="FJF2459" s="60"/>
      <c r="FJG2459" s="53"/>
      <c r="FJH2459" s="53"/>
      <c r="FJI2459" s="53"/>
      <c r="FJJ2459" s="61"/>
      <c r="FJK2459" s="53"/>
      <c r="FJL2459" s="53"/>
      <c r="FJM2459" s="53"/>
      <c r="FJN2459" s="60"/>
      <c r="FJO2459" s="53"/>
      <c r="FJP2459" s="53"/>
      <c r="FJQ2459" s="53"/>
      <c r="FJR2459" s="61"/>
      <c r="FJS2459" s="53"/>
      <c r="FJT2459" s="53"/>
      <c r="FJU2459" s="53"/>
      <c r="FJV2459" s="60"/>
      <c r="FJW2459" s="53"/>
      <c r="FJX2459" s="53"/>
      <c r="FJY2459" s="53"/>
      <c r="FJZ2459" s="61"/>
      <c r="FKA2459" s="53"/>
      <c r="FKB2459" s="53"/>
      <c r="FKC2459" s="53"/>
      <c r="FKD2459" s="60"/>
      <c r="FKE2459" s="53"/>
      <c r="FKF2459" s="53"/>
      <c r="FKG2459" s="53"/>
      <c r="FKH2459" s="61"/>
      <c r="FKI2459" s="53"/>
      <c r="FKJ2459" s="53"/>
      <c r="FKK2459" s="53"/>
      <c r="FKL2459" s="60"/>
      <c r="FKM2459" s="53"/>
      <c r="FKN2459" s="53"/>
      <c r="FKO2459" s="53"/>
      <c r="FKP2459" s="61"/>
      <c r="FKQ2459" s="53"/>
      <c r="FKR2459" s="53"/>
      <c r="FKS2459" s="53"/>
      <c r="FKT2459" s="60"/>
      <c r="FKU2459" s="53"/>
      <c r="FKV2459" s="53"/>
      <c r="FKW2459" s="53"/>
      <c r="FKX2459" s="61"/>
      <c r="FKY2459" s="53"/>
      <c r="FKZ2459" s="53"/>
      <c r="FLA2459" s="53"/>
      <c r="FLB2459" s="60"/>
      <c r="FLC2459" s="53"/>
      <c r="FLD2459" s="53"/>
      <c r="FLE2459" s="53"/>
      <c r="FLF2459" s="61"/>
      <c r="FLG2459" s="53"/>
      <c r="FLH2459" s="53"/>
      <c r="FLI2459" s="53"/>
      <c r="FLJ2459" s="60"/>
      <c r="FLK2459" s="53"/>
      <c r="FLL2459" s="53"/>
      <c r="FLM2459" s="53"/>
      <c r="FLN2459" s="61"/>
      <c r="FLO2459" s="53"/>
      <c r="FLP2459" s="53"/>
      <c r="FLQ2459" s="53"/>
      <c r="FLR2459" s="60"/>
      <c r="FLS2459" s="53"/>
      <c r="FLT2459" s="53"/>
      <c r="FLU2459" s="53"/>
      <c r="FLV2459" s="61"/>
      <c r="FLW2459" s="53"/>
      <c r="FLX2459" s="53"/>
      <c r="FLY2459" s="53"/>
      <c r="FLZ2459" s="60"/>
      <c r="FMA2459" s="53"/>
      <c r="FMB2459" s="53"/>
      <c r="FMC2459" s="53"/>
      <c r="FMD2459" s="61"/>
      <c r="FME2459" s="53"/>
      <c r="FMF2459" s="53"/>
      <c r="FMG2459" s="53"/>
      <c r="FMH2459" s="60"/>
      <c r="FMI2459" s="53"/>
      <c r="FMJ2459" s="53"/>
      <c r="FMK2459" s="53"/>
      <c r="FML2459" s="61"/>
      <c r="FMM2459" s="53"/>
      <c r="FMN2459" s="53"/>
      <c r="FMO2459" s="53"/>
      <c r="FMP2459" s="60"/>
      <c r="FMQ2459" s="53"/>
      <c r="FMR2459" s="53"/>
      <c r="FMS2459" s="53"/>
      <c r="FMT2459" s="61"/>
      <c r="FMU2459" s="53"/>
      <c r="FMV2459" s="53"/>
      <c r="FMW2459" s="53"/>
      <c r="FMX2459" s="60"/>
      <c r="FMY2459" s="53"/>
      <c r="FMZ2459" s="53"/>
      <c r="FNA2459" s="53"/>
      <c r="FNB2459" s="61"/>
      <c r="FNC2459" s="53"/>
      <c r="FND2459" s="53"/>
      <c r="FNE2459" s="53"/>
      <c r="FNF2459" s="60"/>
      <c r="FNG2459" s="53"/>
      <c r="FNH2459" s="53"/>
      <c r="FNI2459" s="53"/>
      <c r="FNJ2459" s="61"/>
      <c r="FNK2459" s="53"/>
      <c r="FNL2459" s="53"/>
      <c r="FNM2459" s="53"/>
      <c r="FNN2459" s="60"/>
      <c r="FNO2459" s="53"/>
      <c r="FNP2459" s="53"/>
      <c r="FNQ2459" s="53"/>
      <c r="FNR2459" s="61"/>
      <c r="FNS2459" s="53"/>
      <c r="FNT2459" s="53"/>
      <c r="FNU2459" s="53"/>
      <c r="FNV2459" s="60"/>
      <c r="FNW2459" s="53"/>
      <c r="FNX2459" s="53"/>
      <c r="FNY2459" s="53"/>
      <c r="FNZ2459" s="61"/>
      <c r="FOA2459" s="53"/>
      <c r="FOB2459" s="53"/>
      <c r="FOC2459" s="53"/>
      <c r="FOD2459" s="60"/>
      <c r="FOE2459" s="53"/>
      <c r="FOF2459" s="53"/>
      <c r="FOG2459" s="53"/>
      <c r="FOH2459" s="61"/>
      <c r="FOI2459" s="53"/>
      <c r="FOJ2459" s="53"/>
      <c r="FOK2459" s="53"/>
      <c r="FOL2459" s="60"/>
      <c r="FOM2459" s="53"/>
      <c r="FON2459" s="53"/>
      <c r="FOO2459" s="53"/>
      <c r="FOP2459" s="61"/>
      <c r="FOQ2459" s="53"/>
      <c r="FOR2459" s="53"/>
      <c r="FOS2459" s="53"/>
      <c r="FOT2459" s="60"/>
      <c r="FOU2459" s="53"/>
      <c r="FOV2459" s="53"/>
      <c r="FOW2459" s="53"/>
      <c r="FOX2459" s="61"/>
      <c r="FOY2459" s="53"/>
      <c r="FOZ2459" s="53"/>
      <c r="FPA2459" s="53"/>
      <c r="FPB2459" s="60"/>
      <c r="FPC2459" s="53"/>
      <c r="FPD2459" s="53"/>
      <c r="FPE2459" s="53"/>
      <c r="FPF2459" s="61"/>
      <c r="FPG2459" s="53"/>
      <c r="FPH2459" s="53"/>
      <c r="FPI2459" s="53"/>
      <c r="FPJ2459" s="60"/>
      <c r="FPK2459" s="53"/>
      <c r="FPL2459" s="53"/>
      <c r="FPM2459" s="53"/>
      <c r="FPN2459" s="61"/>
      <c r="FPO2459" s="53"/>
      <c r="FPP2459" s="53"/>
      <c r="FPQ2459" s="53"/>
      <c r="FPR2459" s="60"/>
      <c r="FPS2459" s="53"/>
      <c r="FPT2459" s="53"/>
      <c r="FPU2459" s="53"/>
      <c r="FPV2459" s="61"/>
      <c r="FPW2459" s="53"/>
      <c r="FPX2459" s="53"/>
      <c r="FPY2459" s="53"/>
      <c r="FPZ2459" s="60"/>
      <c r="FQA2459" s="53"/>
      <c r="FQB2459" s="53"/>
      <c r="FQC2459" s="53"/>
      <c r="FQD2459" s="61"/>
      <c r="FQE2459" s="53"/>
      <c r="FQF2459" s="53"/>
      <c r="FQG2459" s="53"/>
      <c r="FQH2459" s="60"/>
      <c r="FQI2459" s="53"/>
      <c r="FQJ2459" s="53"/>
      <c r="FQK2459" s="53"/>
      <c r="FQL2459" s="61"/>
      <c r="FQM2459" s="53"/>
      <c r="FQN2459" s="53"/>
      <c r="FQO2459" s="53"/>
      <c r="FQP2459" s="60"/>
      <c r="FQQ2459" s="53"/>
      <c r="FQR2459" s="53"/>
      <c r="FQS2459" s="53"/>
      <c r="FQT2459" s="61"/>
      <c r="FQU2459" s="53"/>
      <c r="FQV2459" s="53"/>
      <c r="FQW2459" s="53"/>
      <c r="FQX2459" s="60"/>
      <c r="FQY2459" s="53"/>
      <c r="FQZ2459" s="53"/>
      <c r="FRA2459" s="53"/>
      <c r="FRB2459" s="61"/>
      <c r="FRC2459" s="53"/>
      <c r="FRD2459" s="53"/>
      <c r="FRE2459" s="53"/>
      <c r="FRF2459" s="60"/>
      <c r="FRG2459" s="53"/>
      <c r="FRH2459" s="53"/>
      <c r="FRI2459" s="53"/>
      <c r="FRJ2459" s="61"/>
      <c r="FRK2459" s="53"/>
      <c r="FRL2459" s="53"/>
      <c r="FRM2459" s="53"/>
      <c r="FRN2459" s="60"/>
      <c r="FRO2459" s="53"/>
      <c r="FRP2459" s="53"/>
      <c r="FRQ2459" s="53"/>
      <c r="FRR2459" s="61"/>
      <c r="FRS2459" s="53"/>
      <c r="FRT2459" s="53"/>
      <c r="FRU2459" s="53"/>
      <c r="FRV2459" s="60"/>
      <c r="FRW2459" s="53"/>
      <c r="FRX2459" s="53"/>
      <c r="FRY2459" s="53"/>
      <c r="FRZ2459" s="61"/>
      <c r="FSA2459" s="53"/>
      <c r="FSB2459" s="53"/>
      <c r="FSC2459" s="53"/>
      <c r="FSD2459" s="60"/>
      <c r="FSE2459" s="53"/>
      <c r="FSF2459" s="53"/>
      <c r="FSG2459" s="53"/>
      <c r="FSH2459" s="61"/>
      <c r="FSI2459" s="53"/>
      <c r="FSJ2459" s="53"/>
      <c r="FSK2459" s="53"/>
      <c r="FSL2459" s="60"/>
      <c r="FSM2459" s="53"/>
      <c r="FSN2459" s="53"/>
      <c r="FSO2459" s="53"/>
      <c r="FSP2459" s="61"/>
      <c r="FSQ2459" s="53"/>
      <c r="FSR2459" s="53"/>
      <c r="FSS2459" s="53"/>
      <c r="FST2459" s="60"/>
      <c r="FSU2459" s="53"/>
      <c r="FSV2459" s="53"/>
      <c r="FSW2459" s="53"/>
      <c r="FSX2459" s="61"/>
      <c r="FSY2459" s="53"/>
      <c r="FSZ2459" s="53"/>
      <c r="FTA2459" s="53"/>
      <c r="FTB2459" s="60"/>
      <c r="FTC2459" s="53"/>
      <c r="FTD2459" s="53"/>
      <c r="FTE2459" s="53"/>
      <c r="FTF2459" s="61"/>
      <c r="FTG2459" s="53"/>
      <c r="FTH2459" s="53"/>
      <c r="FTI2459" s="53"/>
      <c r="FTJ2459" s="60"/>
      <c r="FTK2459" s="53"/>
      <c r="FTL2459" s="53"/>
      <c r="FTM2459" s="53"/>
      <c r="FTN2459" s="61"/>
      <c r="FTO2459" s="53"/>
      <c r="FTP2459" s="53"/>
      <c r="FTQ2459" s="53"/>
      <c r="FTR2459" s="60"/>
      <c r="FTS2459" s="53"/>
      <c r="FTT2459" s="53"/>
      <c r="FTU2459" s="53"/>
      <c r="FTV2459" s="61"/>
      <c r="FTW2459" s="53"/>
      <c r="FTX2459" s="53"/>
      <c r="FTY2459" s="53"/>
      <c r="FTZ2459" s="60"/>
      <c r="FUA2459" s="53"/>
      <c r="FUB2459" s="53"/>
      <c r="FUC2459" s="53"/>
      <c r="FUD2459" s="61"/>
      <c r="FUE2459" s="53"/>
      <c r="FUF2459" s="53"/>
      <c r="FUG2459" s="53"/>
      <c r="FUH2459" s="60"/>
      <c r="FUI2459" s="53"/>
      <c r="FUJ2459" s="53"/>
      <c r="FUK2459" s="53"/>
      <c r="FUL2459" s="61"/>
      <c r="FUM2459" s="53"/>
      <c r="FUN2459" s="53"/>
      <c r="FUO2459" s="53"/>
      <c r="FUP2459" s="60"/>
      <c r="FUQ2459" s="53"/>
      <c r="FUR2459" s="53"/>
      <c r="FUS2459" s="53"/>
      <c r="FUT2459" s="61"/>
      <c r="FUU2459" s="53"/>
      <c r="FUV2459" s="53"/>
      <c r="FUW2459" s="53"/>
      <c r="FUX2459" s="60"/>
      <c r="FUY2459" s="53"/>
      <c r="FUZ2459" s="53"/>
      <c r="FVA2459" s="53"/>
      <c r="FVB2459" s="61"/>
      <c r="FVC2459" s="53"/>
      <c r="FVD2459" s="53"/>
      <c r="FVE2459" s="53"/>
      <c r="FVF2459" s="60"/>
      <c r="FVG2459" s="53"/>
      <c r="FVH2459" s="53"/>
      <c r="FVI2459" s="53"/>
      <c r="FVJ2459" s="61"/>
      <c r="FVK2459" s="53"/>
      <c r="FVL2459" s="53"/>
      <c r="FVM2459" s="53"/>
      <c r="FVN2459" s="60"/>
      <c r="FVO2459" s="53"/>
      <c r="FVP2459" s="53"/>
      <c r="FVQ2459" s="53"/>
      <c r="FVR2459" s="61"/>
      <c r="FVS2459" s="53"/>
      <c r="FVT2459" s="53"/>
      <c r="FVU2459" s="53"/>
      <c r="FVV2459" s="60"/>
      <c r="FVW2459" s="53"/>
      <c r="FVX2459" s="53"/>
      <c r="FVY2459" s="53"/>
      <c r="FVZ2459" s="61"/>
      <c r="FWA2459" s="53"/>
      <c r="FWB2459" s="53"/>
      <c r="FWC2459" s="53"/>
      <c r="FWD2459" s="60"/>
      <c r="FWE2459" s="53"/>
      <c r="FWF2459" s="53"/>
      <c r="FWG2459" s="53"/>
      <c r="FWH2459" s="61"/>
      <c r="FWI2459" s="53"/>
      <c r="FWJ2459" s="53"/>
      <c r="FWK2459" s="53"/>
      <c r="FWL2459" s="60"/>
      <c r="FWM2459" s="53"/>
      <c r="FWN2459" s="53"/>
      <c r="FWO2459" s="53"/>
      <c r="FWP2459" s="61"/>
      <c r="FWQ2459" s="53"/>
      <c r="FWR2459" s="53"/>
      <c r="FWS2459" s="53"/>
      <c r="FWT2459" s="60"/>
      <c r="FWU2459" s="53"/>
      <c r="FWV2459" s="53"/>
      <c r="FWW2459" s="53"/>
      <c r="FWX2459" s="61"/>
      <c r="FWY2459" s="53"/>
      <c r="FWZ2459" s="53"/>
      <c r="FXA2459" s="53"/>
      <c r="FXB2459" s="60"/>
      <c r="FXC2459" s="53"/>
      <c r="FXD2459" s="53"/>
      <c r="FXE2459" s="53"/>
      <c r="FXF2459" s="61"/>
      <c r="FXG2459" s="53"/>
      <c r="FXH2459" s="53"/>
      <c r="FXI2459" s="53"/>
      <c r="FXJ2459" s="60"/>
      <c r="FXK2459" s="53"/>
      <c r="FXL2459" s="53"/>
      <c r="FXM2459" s="53"/>
      <c r="FXN2459" s="61"/>
      <c r="FXO2459" s="53"/>
      <c r="FXP2459" s="53"/>
      <c r="FXQ2459" s="53"/>
      <c r="FXR2459" s="60"/>
      <c r="FXS2459" s="53"/>
      <c r="FXT2459" s="53"/>
      <c r="FXU2459" s="53"/>
      <c r="FXV2459" s="61"/>
      <c r="FXW2459" s="53"/>
      <c r="FXX2459" s="53"/>
      <c r="FXY2459" s="53"/>
      <c r="FXZ2459" s="60"/>
      <c r="FYA2459" s="53"/>
      <c r="FYB2459" s="53"/>
      <c r="FYC2459" s="53"/>
      <c r="FYD2459" s="61"/>
      <c r="FYE2459" s="53"/>
      <c r="FYF2459" s="53"/>
      <c r="FYG2459" s="53"/>
      <c r="FYH2459" s="60"/>
      <c r="FYI2459" s="53"/>
      <c r="FYJ2459" s="53"/>
      <c r="FYK2459" s="53"/>
      <c r="FYL2459" s="61"/>
      <c r="FYM2459" s="53"/>
      <c r="FYN2459" s="53"/>
      <c r="FYO2459" s="53"/>
      <c r="FYP2459" s="60"/>
      <c r="FYQ2459" s="53"/>
      <c r="FYR2459" s="53"/>
      <c r="FYS2459" s="53"/>
      <c r="FYT2459" s="61"/>
      <c r="FYU2459" s="53"/>
      <c r="FYV2459" s="53"/>
      <c r="FYW2459" s="53"/>
      <c r="FYX2459" s="60"/>
      <c r="FYY2459" s="53"/>
      <c r="FYZ2459" s="53"/>
      <c r="FZA2459" s="53"/>
      <c r="FZB2459" s="61"/>
      <c r="FZC2459" s="53"/>
      <c r="FZD2459" s="53"/>
      <c r="FZE2459" s="53"/>
      <c r="FZF2459" s="60"/>
      <c r="FZG2459" s="53"/>
      <c r="FZH2459" s="53"/>
      <c r="FZI2459" s="53"/>
      <c r="FZJ2459" s="61"/>
      <c r="FZK2459" s="53"/>
      <c r="FZL2459" s="53"/>
      <c r="FZM2459" s="53"/>
      <c r="FZN2459" s="60"/>
      <c r="FZO2459" s="53"/>
      <c r="FZP2459" s="53"/>
      <c r="FZQ2459" s="53"/>
      <c r="FZR2459" s="61"/>
      <c r="FZS2459" s="53"/>
      <c r="FZT2459" s="53"/>
      <c r="FZU2459" s="53"/>
      <c r="FZV2459" s="60"/>
      <c r="FZW2459" s="53"/>
      <c r="FZX2459" s="53"/>
      <c r="FZY2459" s="53"/>
      <c r="FZZ2459" s="61"/>
      <c r="GAA2459" s="53"/>
      <c r="GAB2459" s="53"/>
      <c r="GAC2459" s="53"/>
      <c r="GAD2459" s="60"/>
      <c r="GAE2459" s="53"/>
      <c r="GAF2459" s="53"/>
      <c r="GAG2459" s="53"/>
      <c r="GAH2459" s="61"/>
      <c r="GAI2459" s="53"/>
      <c r="GAJ2459" s="53"/>
      <c r="GAK2459" s="53"/>
      <c r="GAL2459" s="60"/>
      <c r="GAM2459" s="53"/>
      <c r="GAN2459" s="53"/>
      <c r="GAO2459" s="53"/>
      <c r="GAP2459" s="61"/>
      <c r="GAQ2459" s="53"/>
      <c r="GAR2459" s="53"/>
      <c r="GAS2459" s="53"/>
      <c r="GAT2459" s="60"/>
      <c r="GAU2459" s="53"/>
      <c r="GAV2459" s="53"/>
      <c r="GAW2459" s="53"/>
      <c r="GAX2459" s="61"/>
      <c r="GAY2459" s="53"/>
      <c r="GAZ2459" s="53"/>
      <c r="GBA2459" s="53"/>
      <c r="GBB2459" s="60"/>
      <c r="GBC2459" s="53"/>
      <c r="GBD2459" s="53"/>
      <c r="GBE2459" s="53"/>
      <c r="GBF2459" s="61"/>
      <c r="GBG2459" s="53"/>
      <c r="GBH2459" s="53"/>
      <c r="GBI2459" s="53"/>
      <c r="GBJ2459" s="60"/>
      <c r="GBK2459" s="53"/>
      <c r="GBL2459" s="53"/>
      <c r="GBM2459" s="53"/>
      <c r="GBN2459" s="61"/>
      <c r="GBO2459" s="53"/>
      <c r="GBP2459" s="53"/>
      <c r="GBQ2459" s="53"/>
      <c r="GBR2459" s="60"/>
      <c r="GBS2459" s="53"/>
      <c r="GBT2459" s="53"/>
      <c r="GBU2459" s="53"/>
      <c r="GBV2459" s="61"/>
      <c r="GBW2459" s="53"/>
      <c r="GBX2459" s="53"/>
      <c r="GBY2459" s="53"/>
      <c r="GBZ2459" s="60"/>
      <c r="GCA2459" s="53"/>
      <c r="GCB2459" s="53"/>
      <c r="GCC2459" s="53"/>
      <c r="GCD2459" s="61"/>
      <c r="GCE2459" s="53"/>
      <c r="GCF2459" s="53"/>
      <c r="GCG2459" s="53"/>
      <c r="GCH2459" s="60"/>
      <c r="GCI2459" s="53"/>
      <c r="GCJ2459" s="53"/>
      <c r="GCK2459" s="53"/>
      <c r="GCL2459" s="61"/>
      <c r="GCM2459" s="53"/>
      <c r="GCN2459" s="53"/>
      <c r="GCO2459" s="53"/>
      <c r="GCP2459" s="60"/>
      <c r="GCQ2459" s="53"/>
      <c r="GCR2459" s="53"/>
      <c r="GCS2459" s="53"/>
      <c r="GCT2459" s="61"/>
      <c r="GCU2459" s="53"/>
      <c r="GCV2459" s="53"/>
      <c r="GCW2459" s="53"/>
      <c r="GCX2459" s="60"/>
      <c r="GCY2459" s="53"/>
      <c r="GCZ2459" s="53"/>
      <c r="GDA2459" s="53"/>
      <c r="GDB2459" s="61"/>
      <c r="GDC2459" s="53"/>
      <c r="GDD2459" s="53"/>
      <c r="GDE2459" s="53"/>
      <c r="GDF2459" s="60"/>
      <c r="GDG2459" s="53"/>
      <c r="GDH2459" s="53"/>
      <c r="GDI2459" s="53"/>
      <c r="GDJ2459" s="61"/>
      <c r="GDK2459" s="53"/>
      <c r="GDL2459" s="53"/>
      <c r="GDM2459" s="53"/>
      <c r="GDN2459" s="60"/>
      <c r="GDO2459" s="53"/>
      <c r="GDP2459" s="53"/>
      <c r="GDQ2459" s="53"/>
      <c r="GDR2459" s="61"/>
      <c r="GDS2459" s="53"/>
      <c r="GDT2459" s="53"/>
      <c r="GDU2459" s="53"/>
      <c r="GDV2459" s="60"/>
      <c r="GDW2459" s="53"/>
      <c r="GDX2459" s="53"/>
      <c r="GDY2459" s="53"/>
      <c r="GDZ2459" s="61"/>
      <c r="GEA2459" s="53"/>
      <c r="GEB2459" s="53"/>
      <c r="GEC2459" s="53"/>
      <c r="GED2459" s="60"/>
      <c r="GEE2459" s="53"/>
      <c r="GEF2459" s="53"/>
      <c r="GEG2459" s="53"/>
      <c r="GEH2459" s="61"/>
      <c r="GEI2459" s="53"/>
      <c r="GEJ2459" s="53"/>
      <c r="GEK2459" s="53"/>
      <c r="GEL2459" s="60"/>
      <c r="GEM2459" s="53"/>
      <c r="GEN2459" s="53"/>
      <c r="GEO2459" s="53"/>
      <c r="GEP2459" s="61"/>
      <c r="GEQ2459" s="53"/>
      <c r="GER2459" s="53"/>
      <c r="GES2459" s="53"/>
      <c r="GET2459" s="60"/>
      <c r="GEU2459" s="53"/>
      <c r="GEV2459" s="53"/>
      <c r="GEW2459" s="53"/>
      <c r="GEX2459" s="61"/>
      <c r="GEY2459" s="53"/>
      <c r="GEZ2459" s="53"/>
      <c r="GFA2459" s="53"/>
      <c r="GFB2459" s="60"/>
      <c r="GFC2459" s="53"/>
      <c r="GFD2459" s="53"/>
      <c r="GFE2459" s="53"/>
      <c r="GFF2459" s="61"/>
      <c r="GFG2459" s="53"/>
      <c r="GFH2459" s="53"/>
      <c r="GFI2459" s="53"/>
      <c r="GFJ2459" s="60"/>
      <c r="GFK2459" s="53"/>
      <c r="GFL2459" s="53"/>
      <c r="GFM2459" s="53"/>
      <c r="GFN2459" s="61"/>
      <c r="GFO2459" s="53"/>
      <c r="GFP2459" s="53"/>
      <c r="GFQ2459" s="53"/>
      <c r="GFR2459" s="60"/>
      <c r="GFS2459" s="53"/>
      <c r="GFT2459" s="53"/>
      <c r="GFU2459" s="53"/>
      <c r="GFV2459" s="61"/>
      <c r="GFW2459" s="53"/>
      <c r="GFX2459" s="53"/>
      <c r="GFY2459" s="53"/>
      <c r="GFZ2459" s="60"/>
      <c r="GGA2459" s="53"/>
      <c r="GGB2459" s="53"/>
      <c r="GGC2459" s="53"/>
      <c r="GGD2459" s="61"/>
      <c r="GGE2459" s="53"/>
      <c r="GGF2459" s="53"/>
      <c r="GGG2459" s="53"/>
      <c r="GGH2459" s="60"/>
      <c r="GGI2459" s="53"/>
      <c r="GGJ2459" s="53"/>
      <c r="GGK2459" s="53"/>
      <c r="GGL2459" s="61"/>
      <c r="GGM2459" s="53"/>
      <c r="GGN2459" s="53"/>
      <c r="GGO2459" s="53"/>
      <c r="GGP2459" s="60"/>
      <c r="GGQ2459" s="53"/>
      <c r="GGR2459" s="53"/>
      <c r="GGS2459" s="53"/>
      <c r="GGT2459" s="61"/>
      <c r="GGU2459" s="53"/>
      <c r="GGV2459" s="53"/>
      <c r="GGW2459" s="53"/>
      <c r="GGX2459" s="60"/>
      <c r="GGY2459" s="53"/>
      <c r="GGZ2459" s="53"/>
      <c r="GHA2459" s="53"/>
      <c r="GHB2459" s="61"/>
      <c r="GHC2459" s="53"/>
      <c r="GHD2459" s="53"/>
      <c r="GHE2459" s="53"/>
      <c r="GHF2459" s="60"/>
      <c r="GHG2459" s="53"/>
      <c r="GHH2459" s="53"/>
      <c r="GHI2459" s="53"/>
      <c r="GHJ2459" s="61"/>
      <c r="GHK2459" s="53"/>
      <c r="GHL2459" s="53"/>
      <c r="GHM2459" s="53"/>
      <c r="GHN2459" s="60"/>
      <c r="GHO2459" s="53"/>
      <c r="GHP2459" s="53"/>
      <c r="GHQ2459" s="53"/>
      <c r="GHR2459" s="61"/>
      <c r="GHS2459" s="53"/>
      <c r="GHT2459" s="53"/>
      <c r="GHU2459" s="53"/>
      <c r="GHV2459" s="60"/>
      <c r="GHW2459" s="53"/>
      <c r="GHX2459" s="53"/>
      <c r="GHY2459" s="53"/>
      <c r="GHZ2459" s="61"/>
      <c r="GIA2459" s="53"/>
      <c r="GIB2459" s="53"/>
      <c r="GIC2459" s="53"/>
      <c r="GID2459" s="60"/>
      <c r="GIE2459" s="53"/>
      <c r="GIF2459" s="53"/>
      <c r="GIG2459" s="53"/>
      <c r="GIH2459" s="61"/>
      <c r="GII2459" s="53"/>
      <c r="GIJ2459" s="53"/>
      <c r="GIK2459" s="53"/>
      <c r="GIL2459" s="60"/>
      <c r="GIM2459" s="53"/>
      <c r="GIN2459" s="53"/>
      <c r="GIO2459" s="53"/>
      <c r="GIP2459" s="61"/>
      <c r="GIQ2459" s="53"/>
      <c r="GIR2459" s="53"/>
      <c r="GIS2459" s="53"/>
      <c r="GIT2459" s="60"/>
      <c r="GIU2459" s="53"/>
      <c r="GIV2459" s="53"/>
      <c r="GIW2459" s="53"/>
      <c r="GIX2459" s="61"/>
      <c r="GIY2459" s="53"/>
      <c r="GIZ2459" s="53"/>
      <c r="GJA2459" s="53"/>
      <c r="GJB2459" s="60"/>
      <c r="GJC2459" s="53"/>
      <c r="GJD2459" s="53"/>
      <c r="GJE2459" s="53"/>
      <c r="GJF2459" s="61"/>
      <c r="GJG2459" s="53"/>
      <c r="GJH2459" s="53"/>
      <c r="GJI2459" s="53"/>
      <c r="GJJ2459" s="60"/>
      <c r="GJK2459" s="53"/>
      <c r="GJL2459" s="53"/>
      <c r="GJM2459" s="53"/>
      <c r="GJN2459" s="61"/>
      <c r="GJO2459" s="53"/>
      <c r="GJP2459" s="53"/>
      <c r="GJQ2459" s="53"/>
      <c r="GJR2459" s="60"/>
      <c r="GJS2459" s="53"/>
      <c r="GJT2459" s="53"/>
      <c r="GJU2459" s="53"/>
      <c r="GJV2459" s="61"/>
      <c r="GJW2459" s="53"/>
      <c r="GJX2459" s="53"/>
      <c r="GJY2459" s="53"/>
      <c r="GJZ2459" s="60"/>
      <c r="GKA2459" s="53"/>
      <c r="GKB2459" s="53"/>
      <c r="GKC2459" s="53"/>
      <c r="GKD2459" s="61"/>
      <c r="GKE2459" s="53"/>
      <c r="GKF2459" s="53"/>
      <c r="GKG2459" s="53"/>
      <c r="GKH2459" s="60"/>
      <c r="GKI2459" s="53"/>
      <c r="GKJ2459" s="53"/>
      <c r="GKK2459" s="53"/>
      <c r="GKL2459" s="61"/>
      <c r="GKM2459" s="53"/>
      <c r="GKN2459" s="53"/>
      <c r="GKO2459" s="53"/>
      <c r="GKP2459" s="60"/>
      <c r="GKQ2459" s="53"/>
      <c r="GKR2459" s="53"/>
      <c r="GKS2459" s="53"/>
      <c r="GKT2459" s="61"/>
      <c r="GKU2459" s="53"/>
      <c r="GKV2459" s="53"/>
      <c r="GKW2459" s="53"/>
      <c r="GKX2459" s="60"/>
      <c r="GKY2459" s="53"/>
      <c r="GKZ2459" s="53"/>
      <c r="GLA2459" s="53"/>
      <c r="GLB2459" s="61"/>
      <c r="GLC2459" s="53"/>
      <c r="GLD2459" s="53"/>
      <c r="GLE2459" s="53"/>
      <c r="GLF2459" s="60"/>
      <c r="GLG2459" s="53"/>
      <c r="GLH2459" s="53"/>
      <c r="GLI2459" s="53"/>
      <c r="GLJ2459" s="61"/>
      <c r="GLK2459" s="53"/>
      <c r="GLL2459" s="53"/>
      <c r="GLM2459" s="53"/>
      <c r="GLN2459" s="60"/>
      <c r="GLO2459" s="53"/>
      <c r="GLP2459" s="53"/>
      <c r="GLQ2459" s="53"/>
      <c r="GLR2459" s="61"/>
      <c r="GLS2459" s="53"/>
      <c r="GLT2459" s="53"/>
      <c r="GLU2459" s="53"/>
      <c r="GLV2459" s="60"/>
      <c r="GLW2459" s="53"/>
      <c r="GLX2459" s="53"/>
      <c r="GLY2459" s="53"/>
      <c r="GLZ2459" s="61"/>
      <c r="GMA2459" s="53"/>
      <c r="GMB2459" s="53"/>
      <c r="GMC2459" s="53"/>
      <c r="GMD2459" s="60"/>
      <c r="GME2459" s="53"/>
      <c r="GMF2459" s="53"/>
      <c r="GMG2459" s="53"/>
      <c r="GMH2459" s="61"/>
      <c r="GMI2459" s="53"/>
      <c r="GMJ2459" s="53"/>
      <c r="GMK2459" s="53"/>
      <c r="GML2459" s="60"/>
      <c r="GMM2459" s="53"/>
      <c r="GMN2459" s="53"/>
      <c r="GMO2459" s="53"/>
      <c r="GMP2459" s="61"/>
      <c r="GMQ2459" s="53"/>
      <c r="GMR2459" s="53"/>
      <c r="GMS2459" s="53"/>
      <c r="GMT2459" s="60"/>
      <c r="GMU2459" s="53"/>
      <c r="GMV2459" s="53"/>
      <c r="GMW2459" s="53"/>
      <c r="GMX2459" s="61"/>
      <c r="GMY2459" s="53"/>
      <c r="GMZ2459" s="53"/>
      <c r="GNA2459" s="53"/>
      <c r="GNB2459" s="60"/>
      <c r="GNC2459" s="53"/>
      <c r="GND2459" s="53"/>
      <c r="GNE2459" s="53"/>
      <c r="GNF2459" s="61"/>
      <c r="GNG2459" s="53"/>
      <c r="GNH2459" s="53"/>
      <c r="GNI2459" s="53"/>
      <c r="GNJ2459" s="60"/>
      <c r="GNK2459" s="53"/>
      <c r="GNL2459" s="53"/>
      <c r="GNM2459" s="53"/>
      <c r="GNN2459" s="61"/>
      <c r="GNO2459" s="53"/>
      <c r="GNP2459" s="53"/>
      <c r="GNQ2459" s="53"/>
      <c r="GNR2459" s="60"/>
      <c r="GNS2459" s="53"/>
      <c r="GNT2459" s="53"/>
      <c r="GNU2459" s="53"/>
      <c r="GNV2459" s="61"/>
      <c r="GNW2459" s="53"/>
      <c r="GNX2459" s="53"/>
      <c r="GNY2459" s="53"/>
      <c r="GNZ2459" s="60"/>
      <c r="GOA2459" s="53"/>
      <c r="GOB2459" s="53"/>
      <c r="GOC2459" s="53"/>
      <c r="GOD2459" s="61"/>
      <c r="GOE2459" s="53"/>
      <c r="GOF2459" s="53"/>
      <c r="GOG2459" s="53"/>
      <c r="GOH2459" s="60"/>
      <c r="GOI2459" s="53"/>
      <c r="GOJ2459" s="53"/>
      <c r="GOK2459" s="53"/>
      <c r="GOL2459" s="61"/>
      <c r="GOM2459" s="53"/>
      <c r="GON2459" s="53"/>
      <c r="GOO2459" s="53"/>
      <c r="GOP2459" s="60"/>
      <c r="GOQ2459" s="53"/>
      <c r="GOR2459" s="53"/>
      <c r="GOS2459" s="53"/>
      <c r="GOT2459" s="61"/>
      <c r="GOU2459" s="53"/>
      <c r="GOV2459" s="53"/>
      <c r="GOW2459" s="53"/>
      <c r="GOX2459" s="60"/>
      <c r="GOY2459" s="53"/>
      <c r="GOZ2459" s="53"/>
      <c r="GPA2459" s="53"/>
      <c r="GPB2459" s="61"/>
      <c r="GPC2459" s="53"/>
      <c r="GPD2459" s="53"/>
      <c r="GPE2459" s="53"/>
      <c r="GPF2459" s="60"/>
      <c r="GPG2459" s="53"/>
      <c r="GPH2459" s="53"/>
      <c r="GPI2459" s="53"/>
      <c r="GPJ2459" s="61"/>
      <c r="GPK2459" s="53"/>
      <c r="GPL2459" s="53"/>
      <c r="GPM2459" s="53"/>
      <c r="GPN2459" s="60"/>
      <c r="GPO2459" s="53"/>
      <c r="GPP2459" s="53"/>
      <c r="GPQ2459" s="53"/>
      <c r="GPR2459" s="61"/>
      <c r="GPS2459" s="53"/>
      <c r="GPT2459" s="53"/>
      <c r="GPU2459" s="53"/>
      <c r="GPV2459" s="60"/>
      <c r="GPW2459" s="53"/>
      <c r="GPX2459" s="53"/>
      <c r="GPY2459" s="53"/>
      <c r="GPZ2459" s="61"/>
      <c r="GQA2459" s="53"/>
      <c r="GQB2459" s="53"/>
      <c r="GQC2459" s="53"/>
      <c r="GQD2459" s="60"/>
      <c r="GQE2459" s="53"/>
      <c r="GQF2459" s="53"/>
      <c r="GQG2459" s="53"/>
      <c r="GQH2459" s="61"/>
      <c r="GQI2459" s="53"/>
      <c r="GQJ2459" s="53"/>
      <c r="GQK2459" s="53"/>
      <c r="GQL2459" s="60"/>
      <c r="GQM2459" s="53"/>
      <c r="GQN2459" s="53"/>
      <c r="GQO2459" s="53"/>
      <c r="GQP2459" s="61"/>
      <c r="GQQ2459" s="53"/>
      <c r="GQR2459" s="53"/>
      <c r="GQS2459" s="53"/>
      <c r="GQT2459" s="60"/>
      <c r="GQU2459" s="53"/>
      <c r="GQV2459" s="53"/>
      <c r="GQW2459" s="53"/>
      <c r="GQX2459" s="61"/>
      <c r="GQY2459" s="53"/>
      <c r="GQZ2459" s="53"/>
      <c r="GRA2459" s="53"/>
      <c r="GRB2459" s="60"/>
      <c r="GRC2459" s="53"/>
      <c r="GRD2459" s="53"/>
      <c r="GRE2459" s="53"/>
      <c r="GRF2459" s="61"/>
      <c r="GRG2459" s="53"/>
      <c r="GRH2459" s="53"/>
      <c r="GRI2459" s="53"/>
      <c r="GRJ2459" s="60"/>
      <c r="GRK2459" s="53"/>
      <c r="GRL2459" s="53"/>
      <c r="GRM2459" s="53"/>
      <c r="GRN2459" s="61"/>
      <c r="GRO2459" s="53"/>
      <c r="GRP2459" s="53"/>
      <c r="GRQ2459" s="53"/>
      <c r="GRR2459" s="60"/>
      <c r="GRS2459" s="53"/>
      <c r="GRT2459" s="53"/>
      <c r="GRU2459" s="53"/>
      <c r="GRV2459" s="61"/>
      <c r="GRW2459" s="53"/>
      <c r="GRX2459" s="53"/>
      <c r="GRY2459" s="53"/>
      <c r="GRZ2459" s="60"/>
      <c r="GSA2459" s="53"/>
      <c r="GSB2459" s="53"/>
      <c r="GSC2459" s="53"/>
      <c r="GSD2459" s="61"/>
      <c r="GSE2459" s="53"/>
      <c r="GSF2459" s="53"/>
      <c r="GSG2459" s="53"/>
      <c r="GSH2459" s="60"/>
      <c r="GSI2459" s="53"/>
      <c r="GSJ2459" s="53"/>
      <c r="GSK2459" s="53"/>
      <c r="GSL2459" s="61"/>
      <c r="GSM2459" s="53"/>
      <c r="GSN2459" s="53"/>
      <c r="GSO2459" s="53"/>
      <c r="GSP2459" s="60"/>
      <c r="GSQ2459" s="53"/>
      <c r="GSR2459" s="53"/>
      <c r="GSS2459" s="53"/>
      <c r="GST2459" s="61"/>
      <c r="GSU2459" s="53"/>
      <c r="GSV2459" s="53"/>
      <c r="GSW2459" s="53"/>
      <c r="GSX2459" s="60"/>
      <c r="GSY2459" s="53"/>
      <c r="GSZ2459" s="53"/>
      <c r="GTA2459" s="53"/>
      <c r="GTB2459" s="61"/>
      <c r="GTC2459" s="53"/>
      <c r="GTD2459" s="53"/>
      <c r="GTE2459" s="53"/>
      <c r="GTF2459" s="60"/>
      <c r="GTG2459" s="53"/>
      <c r="GTH2459" s="53"/>
      <c r="GTI2459" s="53"/>
      <c r="GTJ2459" s="61"/>
      <c r="GTK2459" s="53"/>
      <c r="GTL2459" s="53"/>
      <c r="GTM2459" s="53"/>
      <c r="GTN2459" s="60"/>
      <c r="GTO2459" s="53"/>
      <c r="GTP2459" s="53"/>
      <c r="GTQ2459" s="53"/>
      <c r="GTR2459" s="61"/>
      <c r="GTS2459" s="53"/>
      <c r="GTT2459" s="53"/>
      <c r="GTU2459" s="53"/>
      <c r="GTV2459" s="60"/>
      <c r="GTW2459" s="53"/>
      <c r="GTX2459" s="53"/>
      <c r="GTY2459" s="53"/>
      <c r="GTZ2459" s="61"/>
      <c r="GUA2459" s="53"/>
      <c r="GUB2459" s="53"/>
      <c r="GUC2459" s="53"/>
      <c r="GUD2459" s="60"/>
      <c r="GUE2459" s="53"/>
      <c r="GUF2459" s="53"/>
      <c r="GUG2459" s="53"/>
      <c r="GUH2459" s="61"/>
      <c r="GUI2459" s="53"/>
      <c r="GUJ2459" s="53"/>
      <c r="GUK2459" s="53"/>
      <c r="GUL2459" s="60"/>
      <c r="GUM2459" s="53"/>
      <c r="GUN2459" s="53"/>
      <c r="GUO2459" s="53"/>
      <c r="GUP2459" s="61"/>
      <c r="GUQ2459" s="53"/>
      <c r="GUR2459" s="53"/>
      <c r="GUS2459" s="53"/>
      <c r="GUT2459" s="60"/>
      <c r="GUU2459" s="53"/>
      <c r="GUV2459" s="53"/>
      <c r="GUW2459" s="53"/>
      <c r="GUX2459" s="61"/>
      <c r="GUY2459" s="53"/>
      <c r="GUZ2459" s="53"/>
      <c r="GVA2459" s="53"/>
      <c r="GVB2459" s="60"/>
      <c r="GVC2459" s="53"/>
      <c r="GVD2459" s="53"/>
      <c r="GVE2459" s="53"/>
      <c r="GVF2459" s="61"/>
      <c r="GVG2459" s="53"/>
      <c r="GVH2459" s="53"/>
      <c r="GVI2459" s="53"/>
      <c r="GVJ2459" s="60"/>
      <c r="GVK2459" s="53"/>
      <c r="GVL2459" s="53"/>
      <c r="GVM2459" s="53"/>
      <c r="GVN2459" s="61"/>
      <c r="GVO2459" s="53"/>
      <c r="GVP2459" s="53"/>
      <c r="GVQ2459" s="53"/>
      <c r="GVR2459" s="60"/>
      <c r="GVS2459" s="53"/>
      <c r="GVT2459" s="53"/>
      <c r="GVU2459" s="53"/>
      <c r="GVV2459" s="61"/>
      <c r="GVW2459" s="53"/>
      <c r="GVX2459" s="53"/>
      <c r="GVY2459" s="53"/>
      <c r="GVZ2459" s="60"/>
      <c r="GWA2459" s="53"/>
      <c r="GWB2459" s="53"/>
      <c r="GWC2459" s="53"/>
      <c r="GWD2459" s="61"/>
      <c r="GWE2459" s="53"/>
      <c r="GWF2459" s="53"/>
      <c r="GWG2459" s="53"/>
      <c r="GWH2459" s="60"/>
      <c r="GWI2459" s="53"/>
      <c r="GWJ2459" s="53"/>
      <c r="GWK2459" s="53"/>
      <c r="GWL2459" s="61"/>
      <c r="GWM2459" s="53"/>
      <c r="GWN2459" s="53"/>
      <c r="GWO2459" s="53"/>
      <c r="GWP2459" s="60"/>
      <c r="GWQ2459" s="53"/>
      <c r="GWR2459" s="53"/>
      <c r="GWS2459" s="53"/>
      <c r="GWT2459" s="61"/>
      <c r="GWU2459" s="53"/>
      <c r="GWV2459" s="53"/>
      <c r="GWW2459" s="53"/>
      <c r="GWX2459" s="60"/>
      <c r="GWY2459" s="53"/>
      <c r="GWZ2459" s="53"/>
      <c r="GXA2459" s="53"/>
      <c r="GXB2459" s="61"/>
      <c r="GXC2459" s="53"/>
      <c r="GXD2459" s="53"/>
      <c r="GXE2459" s="53"/>
      <c r="GXF2459" s="60"/>
      <c r="GXG2459" s="53"/>
      <c r="GXH2459" s="53"/>
      <c r="GXI2459" s="53"/>
      <c r="GXJ2459" s="61"/>
      <c r="GXK2459" s="53"/>
      <c r="GXL2459" s="53"/>
      <c r="GXM2459" s="53"/>
      <c r="GXN2459" s="60"/>
      <c r="GXO2459" s="53"/>
      <c r="GXP2459" s="53"/>
      <c r="GXQ2459" s="53"/>
      <c r="GXR2459" s="61"/>
      <c r="GXS2459" s="53"/>
      <c r="GXT2459" s="53"/>
      <c r="GXU2459" s="53"/>
      <c r="GXV2459" s="60"/>
      <c r="GXW2459" s="53"/>
      <c r="GXX2459" s="53"/>
      <c r="GXY2459" s="53"/>
      <c r="GXZ2459" s="61"/>
      <c r="GYA2459" s="53"/>
      <c r="GYB2459" s="53"/>
      <c r="GYC2459" s="53"/>
      <c r="GYD2459" s="60"/>
      <c r="GYE2459" s="53"/>
      <c r="GYF2459" s="53"/>
      <c r="GYG2459" s="53"/>
      <c r="GYH2459" s="61"/>
      <c r="GYI2459" s="53"/>
      <c r="GYJ2459" s="53"/>
      <c r="GYK2459" s="53"/>
      <c r="GYL2459" s="60"/>
      <c r="GYM2459" s="53"/>
      <c r="GYN2459" s="53"/>
      <c r="GYO2459" s="53"/>
      <c r="GYP2459" s="61"/>
      <c r="GYQ2459" s="53"/>
      <c r="GYR2459" s="53"/>
      <c r="GYS2459" s="53"/>
      <c r="GYT2459" s="60"/>
      <c r="GYU2459" s="53"/>
      <c r="GYV2459" s="53"/>
      <c r="GYW2459" s="53"/>
      <c r="GYX2459" s="61"/>
      <c r="GYY2459" s="53"/>
      <c r="GYZ2459" s="53"/>
      <c r="GZA2459" s="53"/>
      <c r="GZB2459" s="60"/>
      <c r="GZC2459" s="53"/>
      <c r="GZD2459" s="53"/>
      <c r="GZE2459" s="53"/>
      <c r="GZF2459" s="61"/>
      <c r="GZG2459" s="53"/>
      <c r="GZH2459" s="53"/>
      <c r="GZI2459" s="53"/>
      <c r="GZJ2459" s="60"/>
      <c r="GZK2459" s="53"/>
      <c r="GZL2459" s="53"/>
      <c r="GZM2459" s="53"/>
      <c r="GZN2459" s="61"/>
      <c r="GZO2459" s="53"/>
      <c r="GZP2459" s="53"/>
      <c r="GZQ2459" s="53"/>
      <c r="GZR2459" s="60"/>
      <c r="GZS2459" s="53"/>
      <c r="GZT2459" s="53"/>
      <c r="GZU2459" s="53"/>
      <c r="GZV2459" s="61"/>
      <c r="GZW2459" s="53"/>
      <c r="GZX2459" s="53"/>
      <c r="GZY2459" s="53"/>
      <c r="GZZ2459" s="60"/>
      <c r="HAA2459" s="53"/>
      <c r="HAB2459" s="53"/>
      <c r="HAC2459" s="53"/>
      <c r="HAD2459" s="61"/>
      <c r="HAE2459" s="53"/>
      <c r="HAF2459" s="53"/>
      <c r="HAG2459" s="53"/>
      <c r="HAH2459" s="60"/>
      <c r="HAI2459" s="53"/>
      <c r="HAJ2459" s="53"/>
      <c r="HAK2459" s="53"/>
      <c r="HAL2459" s="61"/>
      <c r="HAM2459" s="53"/>
      <c r="HAN2459" s="53"/>
      <c r="HAO2459" s="53"/>
      <c r="HAP2459" s="60"/>
      <c r="HAQ2459" s="53"/>
      <c r="HAR2459" s="53"/>
      <c r="HAS2459" s="53"/>
      <c r="HAT2459" s="61"/>
      <c r="HAU2459" s="53"/>
      <c r="HAV2459" s="53"/>
      <c r="HAW2459" s="53"/>
      <c r="HAX2459" s="60"/>
      <c r="HAY2459" s="53"/>
      <c r="HAZ2459" s="53"/>
      <c r="HBA2459" s="53"/>
      <c r="HBB2459" s="61"/>
      <c r="HBC2459" s="53"/>
      <c r="HBD2459" s="53"/>
      <c r="HBE2459" s="53"/>
      <c r="HBF2459" s="60"/>
      <c r="HBG2459" s="53"/>
      <c r="HBH2459" s="53"/>
      <c r="HBI2459" s="53"/>
      <c r="HBJ2459" s="61"/>
      <c r="HBK2459" s="53"/>
      <c r="HBL2459" s="53"/>
      <c r="HBM2459" s="53"/>
      <c r="HBN2459" s="60"/>
      <c r="HBO2459" s="53"/>
      <c r="HBP2459" s="53"/>
      <c r="HBQ2459" s="53"/>
      <c r="HBR2459" s="61"/>
      <c r="HBS2459" s="53"/>
      <c r="HBT2459" s="53"/>
      <c r="HBU2459" s="53"/>
      <c r="HBV2459" s="60"/>
      <c r="HBW2459" s="53"/>
      <c r="HBX2459" s="53"/>
      <c r="HBY2459" s="53"/>
      <c r="HBZ2459" s="61"/>
      <c r="HCA2459" s="53"/>
      <c r="HCB2459" s="53"/>
      <c r="HCC2459" s="53"/>
      <c r="HCD2459" s="60"/>
      <c r="HCE2459" s="53"/>
      <c r="HCF2459" s="53"/>
      <c r="HCG2459" s="53"/>
      <c r="HCH2459" s="61"/>
      <c r="HCI2459" s="53"/>
      <c r="HCJ2459" s="53"/>
      <c r="HCK2459" s="53"/>
      <c r="HCL2459" s="60"/>
      <c r="HCM2459" s="53"/>
      <c r="HCN2459" s="53"/>
      <c r="HCO2459" s="53"/>
      <c r="HCP2459" s="61"/>
      <c r="HCQ2459" s="53"/>
      <c r="HCR2459" s="53"/>
      <c r="HCS2459" s="53"/>
      <c r="HCT2459" s="60"/>
      <c r="HCU2459" s="53"/>
      <c r="HCV2459" s="53"/>
      <c r="HCW2459" s="53"/>
      <c r="HCX2459" s="61"/>
      <c r="HCY2459" s="53"/>
      <c r="HCZ2459" s="53"/>
      <c r="HDA2459" s="53"/>
      <c r="HDB2459" s="60"/>
      <c r="HDC2459" s="53"/>
      <c r="HDD2459" s="53"/>
      <c r="HDE2459" s="53"/>
      <c r="HDF2459" s="61"/>
      <c r="HDG2459" s="53"/>
      <c r="HDH2459" s="53"/>
      <c r="HDI2459" s="53"/>
      <c r="HDJ2459" s="60"/>
      <c r="HDK2459" s="53"/>
      <c r="HDL2459" s="53"/>
      <c r="HDM2459" s="53"/>
      <c r="HDN2459" s="61"/>
      <c r="HDO2459" s="53"/>
      <c r="HDP2459" s="53"/>
      <c r="HDQ2459" s="53"/>
      <c r="HDR2459" s="60"/>
      <c r="HDS2459" s="53"/>
      <c r="HDT2459" s="53"/>
      <c r="HDU2459" s="53"/>
      <c r="HDV2459" s="61"/>
      <c r="HDW2459" s="53"/>
      <c r="HDX2459" s="53"/>
      <c r="HDY2459" s="53"/>
      <c r="HDZ2459" s="60"/>
      <c r="HEA2459" s="53"/>
      <c r="HEB2459" s="53"/>
      <c r="HEC2459" s="53"/>
      <c r="HED2459" s="61"/>
      <c r="HEE2459" s="53"/>
      <c r="HEF2459" s="53"/>
      <c r="HEG2459" s="53"/>
      <c r="HEH2459" s="60"/>
      <c r="HEI2459" s="53"/>
      <c r="HEJ2459" s="53"/>
      <c r="HEK2459" s="53"/>
      <c r="HEL2459" s="61"/>
      <c r="HEM2459" s="53"/>
      <c r="HEN2459" s="53"/>
      <c r="HEO2459" s="53"/>
      <c r="HEP2459" s="60"/>
      <c r="HEQ2459" s="53"/>
      <c r="HER2459" s="53"/>
      <c r="HES2459" s="53"/>
      <c r="HET2459" s="61"/>
      <c r="HEU2459" s="53"/>
      <c r="HEV2459" s="53"/>
      <c r="HEW2459" s="53"/>
      <c r="HEX2459" s="60"/>
      <c r="HEY2459" s="53"/>
      <c r="HEZ2459" s="53"/>
      <c r="HFA2459" s="53"/>
      <c r="HFB2459" s="61"/>
      <c r="HFC2459" s="53"/>
      <c r="HFD2459" s="53"/>
      <c r="HFE2459" s="53"/>
      <c r="HFF2459" s="60"/>
      <c r="HFG2459" s="53"/>
      <c r="HFH2459" s="53"/>
      <c r="HFI2459" s="53"/>
      <c r="HFJ2459" s="61"/>
      <c r="HFK2459" s="53"/>
      <c r="HFL2459" s="53"/>
      <c r="HFM2459" s="53"/>
      <c r="HFN2459" s="60"/>
      <c r="HFO2459" s="53"/>
      <c r="HFP2459" s="53"/>
      <c r="HFQ2459" s="53"/>
      <c r="HFR2459" s="61"/>
      <c r="HFS2459" s="53"/>
      <c r="HFT2459" s="53"/>
      <c r="HFU2459" s="53"/>
      <c r="HFV2459" s="60"/>
      <c r="HFW2459" s="53"/>
      <c r="HFX2459" s="53"/>
      <c r="HFY2459" s="53"/>
      <c r="HFZ2459" s="61"/>
      <c r="HGA2459" s="53"/>
      <c r="HGB2459" s="53"/>
      <c r="HGC2459" s="53"/>
      <c r="HGD2459" s="60"/>
      <c r="HGE2459" s="53"/>
      <c r="HGF2459" s="53"/>
      <c r="HGG2459" s="53"/>
      <c r="HGH2459" s="61"/>
      <c r="HGI2459" s="53"/>
      <c r="HGJ2459" s="53"/>
      <c r="HGK2459" s="53"/>
      <c r="HGL2459" s="60"/>
      <c r="HGM2459" s="53"/>
      <c r="HGN2459" s="53"/>
      <c r="HGO2459" s="53"/>
      <c r="HGP2459" s="61"/>
      <c r="HGQ2459" s="53"/>
      <c r="HGR2459" s="53"/>
      <c r="HGS2459" s="53"/>
      <c r="HGT2459" s="60"/>
      <c r="HGU2459" s="53"/>
      <c r="HGV2459" s="53"/>
      <c r="HGW2459" s="53"/>
      <c r="HGX2459" s="61"/>
      <c r="HGY2459" s="53"/>
      <c r="HGZ2459" s="53"/>
      <c r="HHA2459" s="53"/>
      <c r="HHB2459" s="60"/>
      <c r="HHC2459" s="53"/>
      <c r="HHD2459" s="53"/>
      <c r="HHE2459" s="53"/>
      <c r="HHF2459" s="61"/>
      <c r="HHG2459" s="53"/>
      <c r="HHH2459" s="53"/>
      <c r="HHI2459" s="53"/>
      <c r="HHJ2459" s="60"/>
      <c r="HHK2459" s="53"/>
      <c r="HHL2459" s="53"/>
      <c r="HHM2459" s="53"/>
      <c r="HHN2459" s="61"/>
      <c r="HHO2459" s="53"/>
      <c r="HHP2459" s="53"/>
      <c r="HHQ2459" s="53"/>
      <c r="HHR2459" s="60"/>
      <c r="HHS2459" s="53"/>
      <c r="HHT2459" s="53"/>
      <c r="HHU2459" s="53"/>
      <c r="HHV2459" s="61"/>
      <c r="HHW2459" s="53"/>
      <c r="HHX2459" s="53"/>
      <c r="HHY2459" s="53"/>
      <c r="HHZ2459" s="60"/>
      <c r="HIA2459" s="53"/>
      <c r="HIB2459" s="53"/>
      <c r="HIC2459" s="53"/>
      <c r="HID2459" s="61"/>
      <c r="HIE2459" s="53"/>
      <c r="HIF2459" s="53"/>
      <c r="HIG2459" s="53"/>
      <c r="HIH2459" s="60"/>
      <c r="HII2459" s="53"/>
      <c r="HIJ2459" s="53"/>
      <c r="HIK2459" s="53"/>
      <c r="HIL2459" s="61"/>
      <c r="HIM2459" s="53"/>
      <c r="HIN2459" s="53"/>
      <c r="HIO2459" s="53"/>
      <c r="HIP2459" s="60"/>
      <c r="HIQ2459" s="53"/>
      <c r="HIR2459" s="53"/>
      <c r="HIS2459" s="53"/>
      <c r="HIT2459" s="61"/>
      <c r="HIU2459" s="53"/>
      <c r="HIV2459" s="53"/>
      <c r="HIW2459" s="53"/>
      <c r="HIX2459" s="60"/>
      <c r="HIY2459" s="53"/>
      <c r="HIZ2459" s="53"/>
      <c r="HJA2459" s="53"/>
      <c r="HJB2459" s="61"/>
      <c r="HJC2459" s="53"/>
      <c r="HJD2459" s="53"/>
      <c r="HJE2459" s="53"/>
      <c r="HJF2459" s="60"/>
      <c r="HJG2459" s="53"/>
      <c r="HJH2459" s="53"/>
      <c r="HJI2459" s="53"/>
      <c r="HJJ2459" s="61"/>
      <c r="HJK2459" s="53"/>
      <c r="HJL2459" s="53"/>
      <c r="HJM2459" s="53"/>
      <c r="HJN2459" s="60"/>
      <c r="HJO2459" s="53"/>
      <c r="HJP2459" s="53"/>
      <c r="HJQ2459" s="53"/>
      <c r="HJR2459" s="61"/>
      <c r="HJS2459" s="53"/>
      <c r="HJT2459" s="53"/>
      <c r="HJU2459" s="53"/>
      <c r="HJV2459" s="60"/>
      <c r="HJW2459" s="53"/>
      <c r="HJX2459" s="53"/>
      <c r="HJY2459" s="53"/>
      <c r="HJZ2459" s="61"/>
      <c r="HKA2459" s="53"/>
      <c r="HKB2459" s="53"/>
      <c r="HKC2459" s="53"/>
      <c r="HKD2459" s="60"/>
      <c r="HKE2459" s="53"/>
      <c r="HKF2459" s="53"/>
      <c r="HKG2459" s="53"/>
      <c r="HKH2459" s="61"/>
      <c r="HKI2459" s="53"/>
      <c r="HKJ2459" s="53"/>
      <c r="HKK2459" s="53"/>
      <c r="HKL2459" s="60"/>
      <c r="HKM2459" s="53"/>
      <c r="HKN2459" s="53"/>
      <c r="HKO2459" s="53"/>
      <c r="HKP2459" s="61"/>
      <c r="HKQ2459" s="53"/>
      <c r="HKR2459" s="53"/>
      <c r="HKS2459" s="53"/>
      <c r="HKT2459" s="60"/>
      <c r="HKU2459" s="53"/>
      <c r="HKV2459" s="53"/>
      <c r="HKW2459" s="53"/>
      <c r="HKX2459" s="61"/>
      <c r="HKY2459" s="53"/>
      <c r="HKZ2459" s="53"/>
      <c r="HLA2459" s="53"/>
      <c r="HLB2459" s="60"/>
      <c r="HLC2459" s="53"/>
      <c r="HLD2459" s="53"/>
      <c r="HLE2459" s="53"/>
      <c r="HLF2459" s="61"/>
      <c r="HLG2459" s="53"/>
      <c r="HLH2459" s="53"/>
      <c r="HLI2459" s="53"/>
      <c r="HLJ2459" s="60"/>
      <c r="HLK2459" s="53"/>
      <c r="HLL2459" s="53"/>
      <c r="HLM2459" s="53"/>
      <c r="HLN2459" s="61"/>
      <c r="HLO2459" s="53"/>
      <c r="HLP2459" s="53"/>
      <c r="HLQ2459" s="53"/>
      <c r="HLR2459" s="60"/>
      <c r="HLS2459" s="53"/>
      <c r="HLT2459" s="53"/>
      <c r="HLU2459" s="53"/>
      <c r="HLV2459" s="61"/>
      <c r="HLW2459" s="53"/>
      <c r="HLX2459" s="53"/>
      <c r="HLY2459" s="53"/>
      <c r="HLZ2459" s="60"/>
      <c r="HMA2459" s="53"/>
      <c r="HMB2459" s="53"/>
      <c r="HMC2459" s="53"/>
      <c r="HMD2459" s="61"/>
      <c r="HME2459" s="53"/>
      <c r="HMF2459" s="53"/>
      <c r="HMG2459" s="53"/>
      <c r="HMH2459" s="60"/>
      <c r="HMI2459" s="53"/>
      <c r="HMJ2459" s="53"/>
      <c r="HMK2459" s="53"/>
      <c r="HML2459" s="61"/>
      <c r="HMM2459" s="53"/>
      <c r="HMN2459" s="53"/>
      <c r="HMO2459" s="53"/>
      <c r="HMP2459" s="60"/>
      <c r="HMQ2459" s="53"/>
      <c r="HMR2459" s="53"/>
      <c r="HMS2459" s="53"/>
      <c r="HMT2459" s="61"/>
      <c r="HMU2459" s="53"/>
      <c r="HMV2459" s="53"/>
      <c r="HMW2459" s="53"/>
      <c r="HMX2459" s="60"/>
      <c r="HMY2459" s="53"/>
      <c r="HMZ2459" s="53"/>
      <c r="HNA2459" s="53"/>
      <c r="HNB2459" s="61"/>
      <c r="HNC2459" s="53"/>
      <c r="HND2459" s="53"/>
      <c r="HNE2459" s="53"/>
      <c r="HNF2459" s="60"/>
      <c r="HNG2459" s="53"/>
      <c r="HNH2459" s="53"/>
      <c r="HNI2459" s="53"/>
      <c r="HNJ2459" s="61"/>
      <c r="HNK2459" s="53"/>
      <c r="HNL2459" s="53"/>
      <c r="HNM2459" s="53"/>
      <c r="HNN2459" s="60"/>
      <c r="HNO2459" s="53"/>
      <c r="HNP2459" s="53"/>
      <c r="HNQ2459" s="53"/>
      <c r="HNR2459" s="61"/>
      <c r="HNS2459" s="53"/>
      <c r="HNT2459" s="53"/>
      <c r="HNU2459" s="53"/>
      <c r="HNV2459" s="60"/>
      <c r="HNW2459" s="53"/>
      <c r="HNX2459" s="53"/>
      <c r="HNY2459" s="53"/>
      <c r="HNZ2459" s="61"/>
      <c r="HOA2459" s="53"/>
      <c r="HOB2459" s="53"/>
      <c r="HOC2459" s="53"/>
      <c r="HOD2459" s="60"/>
      <c r="HOE2459" s="53"/>
      <c r="HOF2459" s="53"/>
      <c r="HOG2459" s="53"/>
      <c r="HOH2459" s="61"/>
      <c r="HOI2459" s="53"/>
      <c r="HOJ2459" s="53"/>
      <c r="HOK2459" s="53"/>
      <c r="HOL2459" s="60"/>
      <c r="HOM2459" s="53"/>
      <c r="HON2459" s="53"/>
      <c r="HOO2459" s="53"/>
      <c r="HOP2459" s="61"/>
      <c r="HOQ2459" s="53"/>
      <c r="HOR2459" s="53"/>
      <c r="HOS2459" s="53"/>
      <c r="HOT2459" s="60"/>
      <c r="HOU2459" s="53"/>
      <c r="HOV2459" s="53"/>
      <c r="HOW2459" s="53"/>
      <c r="HOX2459" s="61"/>
      <c r="HOY2459" s="53"/>
      <c r="HOZ2459" s="53"/>
      <c r="HPA2459" s="53"/>
      <c r="HPB2459" s="60"/>
      <c r="HPC2459" s="53"/>
      <c r="HPD2459" s="53"/>
      <c r="HPE2459" s="53"/>
      <c r="HPF2459" s="61"/>
      <c r="HPG2459" s="53"/>
      <c r="HPH2459" s="53"/>
      <c r="HPI2459" s="53"/>
      <c r="HPJ2459" s="60"/>
      <c r="HPK2459" s="53"/>
      <c r="HPL2459" s="53"/>
      <c r="HPM2459" s="53"/>
      <c r="HPN2459" s="61"/>
      <c r="HPO2459" s="53"/>
      <c r="HPP2459" s="53"/>
      <c r="HPQ2459" s="53"/>
      <c r="HPR2459" s="60"/>
      <c r="HPS2459" s="53"/>
      <c r="HPT2459" s="53"/>
      <c r="HPU2459" s="53"/>
      <c r="HPV2459" s="61"/>
      <c r="HPW2459" s="53"/>
      <c r="HPX2459" s="53"/>
      <c r="HPY2459" s="53"/>
      <c r="HPZ2459" s="60"/>
      <c r="HQA2459" s="53"/>
      <c r="HQB2459" s="53"/>
      <c r="HQC2459" s="53"/>
      <c r="HQD2459" s="61"/>
      <c r="HQE2459" s="53"/>
      <c r="HQF2459" s="53"/>
      <c r="HQG2459" s="53"/>
      <c r="HQH2459" s="60"/>
      <c r="HQI2459" s="53"/>
      <c r="HQJ2459" s="53"/>
      <c r="HQK2459" s="53"/>
      <c r="HQL2459" s="61"/>
      <c r="HQM2459" s="53"/>
      <c r="HQN2459" s="53"/>
      <c r="HQO2459" s="53"/>
      <c r="HQP2459" s="60"/>
      <c r="HQQ2459" s="53"/>
      <c r="HQR2459" s="53"/>
      <c r="HQS2459" s="53"/>
      <c r="HQT2459" s="61"/>
      <c r="HQU2459" s="53"/>
      <c r="HQV2459" s="53"/>
      <c r="HQW2459" s="53"/>
      <c r="HQX2459" s="60"/>
      <c r="HQY2459" s="53"/>
      <c r="HQZ2459" s="53"/>
      <c r="HRA2459" s="53"/>
      <c r="HRB2459" s="61"/>
      <c r="HRC2459" s="53"/>
      <c r="HRD2459" s="53"/>
      <c r="HRE2459" s="53"/>
      <c r="HRF2459" s="60"/>
      <c r="HRG2459" s="53"/>
      <c r="HRH2459" s="53"/>
      <c r="HRI2459" s="53"/>
      <c r="HRJ2459" s="61"/>
      <c r="HRK2459" s="53"/>
      <c r="HRL2459" s="53"/>
      <c r="HRM2459" s="53"/>
      <c r="HRN2459" s="60"/>
      <c r="HRO2459" s="53"/>
      <c r="HRP2459" s="53"/>
      <c r="HRQ2459" s="53"/>
      <c r="HRR2459" s="61"/>
      <c r="HRS2459" s="53"/>
      <c r="HRT2459" s="53"/>
      <c r="HRU2459" s="53"/>
      <c r="HRV2459" s="60"/>
      <c r="HRW2459" s="53"/>
      <c r="HRX2459" s="53"/>
      <c r="HRY2459" s="53"/>
      <c r="HRZ2459" s="61"/>
      <c r="HSA2459" s="53"/>
      <c r="HSB2459" s="53"/>
      <c r="HSC2459" s="53"/>
      <c r="HSD2459" s="60"/>
      <c r="HSE2459" s="53"/>
      <c r="HSF2459" s="53"/>
      <c r="HSG2459" s="53"/>
      <c r="HSH2459" s="61"/>
      <c r="HSI2459" s="53"/>
      <c r="HSJ2459" s="53"/>
      <c r="HSK2459" s="53"/>
      <c r="HSL2459" s="60"/>
      <c r="HSM2459" s="53"/>
      <c r="HSN2459" s="53"/>
      <c r="HSO2459" s="53"/>
      <c r="HSP2459" s="61"/>
      <c r="HSQ2459" s="53"/>
      <c r="HSR2459" s="53"/>
      <c r="HSS2459" s="53"/>
      <c r="HST2459" s="60"/>
      <c r="HSU2459" s="53"/>
      <c r="HSV2459" s="53"/>
      <c r="HSW2459" s="53"/>
      <c r="HSX2459" s="61"/>
      <c r="HSY2459" s="53"/>
      <c r="HSZ2459" s="53"/>
      <c r="HTA2459" s="53"/>
      <c r="HTB2459" s="60"/>
      <c r="HTC2459" s="53"/>
      <c r="HTD2459" s="53"/>
      <c r="HTE2459" s="53"/>
      <c r="HTF2459" s="61"/>
      <c r="HTG2459" s="53"/>
      <c r="HTH2459" s="53"/>
      <c r="HTI2459" s="53"/>
      <c r="HTJ2459" s="60"/>
      <c r="HTK2459" s="53"/>
      <c r="HTL2459" s="53"/>
      <c r="HTM2459" s="53"/>
      <c r="HTN2459" s="61"/>
      <c r="HTO2459" s="53"/>
      <c r="HTP2459" s="53"/>
      <c r="HTQ2459" s="53"/>
      <c r="HTR2459" s="60"/>
      <c r="HTS2459" s="53"/>
      <c r="HTT2459" s="53"/>
      <c r="HTU2459" s="53"/>
      <c r="HTV2459" s="61"/>
      <c r="HTW2459" s="53"/>
      <c r="HTX2459" s="53"/>
      <c r="HTY2459" s="53"/>
      <c r="HTZ2459" s="60"/>
      <c r="HUA2459" s="53"/>
      <c r="HUB2459" s="53"/>
      <c r="HUC2459" s="53"/>
      <c r="HUD2459" s="61"/>
      <c r="HUE2459" s="53"/>
      <c r="HUF2459" s="53"/>
      <c r="HUG2459" s="53"/>
      <c r="HUH2459" s="60"/>
      <c r="HUI2459" s="53"/>
      <c r="HUJ2459" s="53"/>
      <c r="HUK2459" s="53"/>
      <c r="HUL2459" s="61"/>
      <c r="HUM2459" s="53"/>
      <c r="HUN2459" s="53"/>
      <c r="HUO2459" s="53"/>
      <c r="HUP2459" s="60"/>
      <c r="HUQ2459" s="53"/>
      <c r="HUR2459" s="53"/>
      <c r="HUS2459" s="53"/>
      <c r="HUT2459" s="61"/>
      <c r="HUU2459" s="53"/>
      <c r="HUV2459" s="53"/>
      <c r="HUW2459" s="53"/>
      <c r="HUX2459" s="60"/>
      <c r="HUY2459" s="53"/>
      <c r="HUZ2459" s="53"/>
      <c r="HVA2459" s="53"/>
      <c r="HVB2459" s="61"/>
      <c r="HVC2459" s="53"/>
      <c r="HVD2459" s="53"/>
      <c r="HVE2459" s="53"/>
      <c r="HVF2459" s="60"/>
      <c r="HVG2459" s="53"/>
      <c r="HVH2459" s="53"/>
      <c r="HVI2459" s="53"/>
      <c r="HVJ2459" s="61"/>
      <c r="HVK2459" s="53"/>
      <c r="HVL2459" s="53"/>
      <c r="HVM2459" s="53"/>
      <c r="HVN2459" s="60"/>
      <c r="HVO2459" s="53"/>
      <c r="HVP2459" s="53"/>
      <c r="HVQ2459" s="53"/>
      <c r="HVR2459" s="61"/>
      <c r="HVS2459" s="53"/>
      <c r="HVT2459" s="53"/>
      <c r="HVU2459" s="53"/>
      <c r="HVV2459" s="60"/>
      <c r="HVW2459" s="53"/>
      <c r="HVX2459" s="53"/>
      <c r="HVY2459" s="53"/>
      <c r="HVZ2459" s="61"/>
      <c r="HWA2459" s="53"/>
      <c r="HWB2459" s="53"/>
      <c r="HWC2459" s="53"/>
      <c r="HWD2459" s="60"/>
      <c r="HWE2459" s="53"/>
      <c r="HWF2459" s="53"/>
      <c r="HWG2459" s="53"/>
      <c r="HWH2459" s="61"/>
      <c r="HWI2459" s="53"/>
      <c r="HWJ2459" s="53"/>
      <c r="HWK2459" s="53"/>
      <c r="HWL2459" s="60"/>
      <c r="HWM2459" s="53"/>
      <c r="HWN2459" s="53"/>
      <c r="HWO2459" s="53"/>
      <c r="HWP2459" s="61"/>
      <c r="HWQ2459" s="53"/>
      <c r="HWR2459" s="53"/>
      <c r="HWS2459" s="53"/>
      <c r="HWT2459" s="60"/>
      <c r="HWU2459" s="53"/>
      <c r="HWV2459" s="53"/>
      <c r="HWW2459" s="53"/>
      <c r="HWX2459" s="61"/>
      <c r="HWY2459" s="53"/>
      <c r="HWZ2459" s="53"/>
      <c r="HXA2459" s="53"/>
      <c r="HXB2459" s="60"/>
      <c r="HXC2459" s="53"/>
      <c r="HXD2459" s="53"/>
      <c r="HXE2459" s="53"/>
      <c r="HXF2459" s="61"/>
      <c r="HXG2459" s="53"/>
      <c r="HXH2459" s="53"/>
      <c r="HXI2459" s="53"/>
      <c r="HXJ2459" s="60"/>
      <c r="HXK2459" s="53"/>
      <c r="HXL2459" s="53"/>
      <c r="HXM2459" s="53"/>
      <c r="HXN2459" s="61"/>
      <c r="HXO2459" s="53"/>
      <c r="HXP2459" s="53"/>
      <c r="HXQ2459" s="53"/>
      <c r="HXR2459" s="60"/>
      <c r="HXS2459" s="53"/>
      <c r="HXT2459" s="53"/>
      <c r="HXU2459" s="53"/>
      <c r="HXV2459" s="61"/>
      <c r="HXW2459" s="53"/>
      <c r="HXX2459" s="53"/>
      <c r="HXY2459" s="53"/>
      <c r="HXZ2459" s="60"/>
      <c r="HYA2459" s="53"/>
      <c r="HYB2459" s="53"/>
      <c r="HYC2459" s="53"/>
      <c r="HYD2459" s="61"/>
      <c r="HYE2459" s="53"/>
      <c r="HYF2459" s="53"/>
      <c r="HYG2459" s="53"/>
      <c r="HYH2459" s="60"/>
      <c r="HYI2459" s="53"/>
      <c r="HYJ2459" s="53"/>
      <c r="HYK2459" s="53"/>
      <c r="HYL2459" s="61"/>
      <c r="HYM2459" s="53"/>
      <c r="HYN2459" s="53"/>
      <c r="HYO2459" s="53"/>
      <c r="HYP2459" s="60"/>
      <c r="HYQ2459" s="53"/>
      <c r="HYR2459" s="53"/>
      <c r="HYS2459" s="53"/>
      <c r="HYT2459" s="61"/>
      <c r="HYU2459" s="53"/>
      <c r="HYV2459" s="53"/>
      <c r="HYW2459" s="53"/>
      <c r="HYX2459" s="60"/>
      <c r="HYY2459" s="53"/>
      <c r="HYZ2459" s="53"/>
      <c r="HZA2459" s="53"/>
      <c r="HZB2459" s="61"/>
      <c r="HZC2459" s="53"/>
      <c r="HZD2459" s="53"/>
      <c r="HZE2459" s="53"/>
      <c r="HZF2459" s="60"/>
      <c r="HZG2459" s="53"/>
      <c r="HZH2459" s="53"/>
      <c r="HZI2459" s="53"/>
      <c r="HZJ2459" s="61"/>
      <c r="HZK2459" s="53"/>
      <c r="HZL2459" s="53"/>
      <c r="HZM2459" s="53"/>
      <c r="HZN2459" s="60"/>
      <c r="HZO2459" s="53"/>
      <c r="HZP2459" s="53"/>
      <c r="HZQ2459" s="53"/>
      <c r="HZR2459" s="61"/>
      <c r="HZS2459" s="53"/>
      <c r="HZT2459" s="53"/>
      <c r="HZU2459" s="53"/>
      <c r="HZV2459" s="60"/>
      <c r="HZW2459" s="53"/>
      <c r="HZX2459" s="53"/>
      <c r="HZY2459" s="53"/>
      <c r="HZZ2459" s="61"/>
      <c r="IAA2459" s="53"/>
      <c r="IAB2459" s="53"/>
      <c r="IAC2459" s="53"/>
      <c r="IAD2459" s="60"/>
      <c r="IAE2459" s="53"/>
      <c r="IAF2459" s="53"/>
      <c r="IAG2459" s="53"/>
      <c r="IAH2459" s="61"/>
      <c r="IAI2459" s="53"/>
      <c r="IAJ2459" s="53"/>
      <c r="IAK2459" s="53"/>
      <c r="IAL2459" s="60"/>
      <c r="IAM2459" s="53"/>
      <c r="IAN2459" s="53"/>
      <c r="IAO2459" s="53"/>
      <c r="IAP2459" s="61"/>
      <c r="IAQ2459" s="53"/>
      <c r="IAR2459" s="53"/>
      <c r="IAS2459" s="53"/>
      <c r="IAT2459" s="60"/>
      <c r="IAU2459" s="53"/>
      <c r="IAV2459" s="53"/>
      <c r="IAW2459" s="53"/>
      <c r="IAX2459" s="61"/>
      <c r="IAY2459" s="53"/>
      <c r="IAZ2459" s="53"/>
      <c r="IBA2459" s="53"/>
      <c r="IBB2459" s="60"/>
      <c r="IBC2459" s="53"/>
      <c r="IBD2459" s="53"/>
      <c r="IBE2459" s="53"/>
      <c r="IBF2459" s="61"/>
      <c r="IBG2459" s="53"/>
      <c r="IBH2459" s="53"/>
      <c r="IBI2459" s="53"/>
      <c r="IBJ2459" s="60"/>
      <c r="IBK2459" s="53"/>
      <c r="IBL2459" s="53"/>
      <c r="IBM2459" s="53"/>
      <c r="IBN2459" s="61"/>
      <c r="IBO2459" s="53"/>
      <c r="IBP2459" s="53"/>
      <c r="IBQ2459" s="53"/>
      <c r="IBR2459" s="60"/>
      <c r="IBS2459" s="53"/>
      <c r="IBT2459" s="53"/>
      <c r="IBU2459" s="53"/>
      <c r="IBV2459" s="61"/>
      <c r="IBW2459" s="53"/>
      <c r="IBX2459" s="53"/>
      <c r="IBY2459" s="53"/>
      <c r="IBZ2459" s="60"/>
      <c r="ICA2459" s="53"/>
      <c r="ICB2459" s="53"/>
      <c r="ICC2459" s="53"/>
      <c r="ICD2459" s="61"/>
      <c r="ICE2459" s="53"/>
      <c r="ICF2459" s="53"/>
      <c r="ICG2459" s="53"/>
      <c r="ICH2459" s="60"/>
      <c r="ICI2459" s="53"/>
      <c r="ICJ2459" s="53"/>
      <c r="ICK2459" s="53"/>
      <c r="ICL2459" s="61"/>
      <c r="ICM2459" s="53"/>
      <c r="ICN2459" s="53"/>
      <c r="ICO2459" s="53"/>
      <c r="ICP2459" s="60"/>
      <c r="ICQ2459" s="53"/>
      <c r="ICR2459" s="53"/>
      <c r="ICS2459" s="53"/>
      <c r="ICT2459" s="61"/>
      <c r="ICU2459" s="53"/>
      <c r="ICV2459" s="53"/>
      <c r="ICW2459" s="53"/>
      <c r="ICX2459" s="60"/>
      <c r="ICY2459" s="53"/>
      <c r="ICZ2459" s="53"/>
      <c r="IDA2459" s="53"/>
      <c r="IDB2459" s="61"/>
      <c r="IDC2459" s="53"/>
      <c r="IDD2459" s="53"/>
      <c r="IDE2459" s="53"/>
      <c r="IDF2459" s="60"/>
      <c r="IDG2459" s="53"/>
      <c r="IDH2459" s="53"/>
      <c r="IDI2459" s="53"/>
      <c r="IDJ2459" s="61"/>
      <c r="IDK2459" s="53"/>
      <c r="IDL2459" s="53"/>
      <c r="IDM2459" s="53"/>
      <c r="IDN2459" s="60"/>
      <c r="IDO2459" s="53"/>
      <c r="IDP2459" s="53"/>
      <c r="IDQ2459" s="53"/>
      <c r="IDR2459" s="61"/>
      <c r="IDS2459" s="53"/>
      <c r="IDT2459" s="53"/>
      <c r="IDU2459" s="53"/>
      <c r="IDV2459" s="60"/>
      <c r="IDW2459" s="53"/>
      <c r="IDX2459" s="53"/>
      <c r="IDY2459" s="53"/>
      <c r="IDZ2459" s="61"/>
      <c r="IEA2459" s="53"/>
      <c r="IEB2459" s="53"/>
      <c r="IEC2459" s="53"/>
      <c r="IED2459" s="60"/>
      <c r="IEE2459" s="53"/>
      <c r="IEF2459" s="53"/>
      <c r="IEG2459" s="53"/>
      <c r="IEH2459" s="61"/>
      <c r="IEI2459" s="53"/>
      <c r="IEJ2459" s="53"/>
      <c r="IEK2459" s="53"/>
      <c r="IEL2459" s="60"/>
      <c r="IEM2459" s="53"/>
      <c r="IEN2459" s="53"/>
      <c r="IEO2459" s="53"/>
      <c r="IEP2459" s="61"/>
      <c r="IEQ2459" s="53"/>
      <c r="IER2459" s="53"/>
      <c r="IES2459" s="53"/>
      <c r="IET2459" s="60"/>
      <c r="IEU2459" s="53"/>
      <c r="IEV2459" s="53"/>
      <c r="IEW2459" s="53"/>
      <c r="IEX2459" s="61"/>
      <c r="IEY2459" s="53"/>
      <c r="IEZ2459" s="53"/>
      <c r="IFA2459" s="53"/>
      <c r="IFB2459" s="60"/>
      <c r="IFC2459" s="53"/>
      <c r="IFD2459" s="53"/>
      <c r="IFE2459" s="53"/>
      <c r="IFF2459" s="61"/>
      <c r="IFG2459" s="53"/>
      <c r="IFH2459" s="53"/>
      <c r="IFI2459" s="53"/>
      <c r="IFJ2459" s="60"/>
      <c r="IFK2459" s="53"/>
      <c r="IFL2459" s="53"/>
      <c r="IFM2459" s="53"/>
      <c r="IFN2459" s="61"/>
      <c r="IFO2459" s="53"/>
      <c r="IFP2459" s="53"/>
      <c r="IFQ2459" s="53"/>
      <c r="IFR2459" s="60"/>
      <c r="IFS2459" s="53"/>
      <c r="IFT2459" s="53"/>
      <c r="IFU2459" s="53"/>
      <c r="IFV2459" s="61"/>
      <c r="IFW2459" s="53"/>
      <c r="IFX2459" s="53"/>
      <c r="IFY2459" s="53"/>
      <c r="IFZ2459" s="60"/>
      <c r="IGA2459" s="53"/>
      <c r="IGB2459" s="53"/>
      <c r="IGC2459" s="53"/>
      <c r="IGD2459" s="61"/>
      <c r="IGE2459" s="53"/>
      <c r="IGF2459" s="53"/>
      <c r="IGG2459" s="53"/>
      <c r="IGH2459" s="60"/>
      <c r="IGI2459" s="53"/>
      <c r="IGJ2459" s="53"/>
      <c r="IGK2459" s="53"/>
      <c r="IGL2459" s="61"/>
      <c r="IGM2459" s="53"/>
      <c r="IGN2459" s="53"/>
      <c r="IGO2459" s="53"/>
      <c r="IGP2459" s="60"/>
      <c r="IGQ2459" s="53"/>
      <c r="IGR2459" s="53"/>
      <c r="IGS2459" s="53"/>
      <c r="IGT2459" s="61"/>
      <c r="IGU2459" s="53"/>
      <c r="IGV2459" s="53"/>
      <c r="IGW2459" s="53"/>
      <c r="IGX2459" s="60"/>
      <c r="IGY2459" s="53"/>
      <c r="IGZ2459" s="53"/>
      <c r="IHA2459" s="53"/>
      <c r="IHB2459" s="61"/>
      <c r="IHC2459" s="53"/>
      <c r="IHD2459" s="53"/>
      <c r="IHE2459" s="53"/>
      <c r="IHF2459" s="60"/>
      <c r="IHG2459" s="53"/>
      <c r="IHH2459" s="53"/>
      <c r="IHI2459" s="53"/>
      <c r="IHJ2459" s="61"/>
      <c r="IHK2459" s="53"/>
      <c r="IHL2459" s="53"/>
      <c r="IHM2459" s="53"/>
      <c r="IHN2459" s="60"/>
      <c r="IHO2459" s="53"/>
      <c r="IHP2459" s="53"/>
      <c r="IHQ2459" s="53"/>
      <c r="IHR2459" s="61"/>
      <c r="IHS2459" s="53"/>
      <c r="IHT2459" s="53"/>
      <c r="IHU2459" s="53"/>
      <c r="IHV2459" s="60"/>
      <c r="IHW2459" s="53"/>
      <c r="IHX2459" s="53"/>
      <c r="IHY2459" s="53"/>
      <c r="IHZ2459" s="61"/>
      <c r="IIA2459" s="53"/>
      <c r="IIB2459" s="53"/>
      <c r="IIC2459" s="53"/>
      <c r="IID2459" s="60"/>
      <c r="IIE2459" s="53"/>
      <c r="IIF2459" s="53"/>
      <c r="IIG2459" s="53"/>
      <c r="IIH2459" s="61"/>
      <c r="III2459" s="53"/>
      <c r="IIJ2459" s="53"/>
      <c r="IIK2459" s="53"/>
      <c r="IIL2459" s="60"/>
      <c r="IIM2459" s="53"/>
      <c r="IIN2459" s="53"/>
      <c r="IIO2459" s="53"/>
      <c r="IIP2459" s="61"/>
      <c r="IIQ2459" s="53"/>
      <c r="IIR2459" s="53"/>
      <c r="IIS2459" s="53"/>
      <c r="IIT2459" s="60"/>
      <c r="IIU2459" s="53"/>
      <c r="IIV2459" s="53"/>
      <c r="IIW2459" s="53"/>
      <c r="IIX2459" s="61"/>
      <c r="IIY2459" s="53"/>
      <c r="IIZ2459" s="53"/>
      <c r="IJA2459" s="53"/>
      <c r="IJB2459" s="60"/>
      <c r="IJC2459" s="53"/>
      <c r="IJD2459" s="53"/>
      <c r="IJE2459" s="53"/>
      <c r="IJF2459" s="61"/>
      <c r="IJG2459" s="53"/>
      <c r="IJH2459" s="53"/>
      <c r="IJI2459" s="53"/>
      <c r="IJJ2459" s="60"/>
      <c r="IJK2459" s="53"/>
      <c r="IJL2459" s="53"/>
      <c r="IJM2459" s="53"/>
      <c r="IJN2459" s="61"/>
      <c r="IJO2459" s="53"/>
      <c r="IJP2459" s="53"/>
      <c r="IJQ2459" s="53"/>
      <c r="IJR2459" s="60"/>
      <c r="IJS2459" s="53"/>
      <c r="IJT2459" s="53"/>
      <c r="IJU2459" s="53"/>
      <c r="IJV2459" s="61"/>
      <c r="IJW2459" s="53"/>
      <c r="IJX2459" s="53"/>
      <c r="IJY2459" s="53"/>
      <c r="IJZ2459" s="60"/>
      <c r="IKA2459" s="53"/>
      <c r="IKB2459" s="53"/>
      <c r="IKC2459" s="53"/>
      <c r="IKD2459" s="61"/>
      <c r="IKE2459" s="53"/>
      <c r="IKF2459" s="53"/>
      <c r="IKG2459" s="53"/>
      <c r="IKH2459" s="60"/>
      <c r="IKI2459" s="53"/>
      <c r="IKJ2459" s="53"/>
      <c r="IKK2459" s="53"/>
      <c r="IKL2459" s="61"/>
      <c r="IKM2459" s="53"/>
      <c r="IKN2459" s="53"/>
      <c r="IKO2459" s="53"/>
      <c r="IKP2459" s="60"/>
      <c r="IKQ2459" s="53"/>
      <c r="IKR2459" s="53"/>
      <c r="IKS2459" s="53"/>
      <c r="IKT2459" s="61"/>
      <c r="IKU2459" s="53"/>
      <c r="IKV2459" s="53"/>
      <c r="IKW2459" s="53"/>
      <c r="IKX2459" s="60"/>
      <c r="IKY2459" s="53"/>
      <c r="IKZ2459" s="53"/>
      <c r="ILA2459" s="53"/>
      <c r="ILB2459" s="61"/>
      <c r="ILC2459" s="53"/>
      <c r="ILD2459" s="53"/>
      <c r="ILE2459" s="53"/>
      <c r="ILF2459" s="60"/>
      <c r="ILG2459" s="53"/>
      <c r="ILH2459" s="53"/>
      <c r="ILI2459" s="53"/>
      <c r="ILJ2459" s="61"/>
      <c r="ILK2459" s="53"/>
      <c r="ILL2459" s="53"/>
      <c r="ILM2459" s="53"/>
      <c r="ILN2459" s="60"/>
      <c r="ILO2459" s="53"/>
      <c r="ILP2459" s="53"/>
      <c r="ILQ2459" s="53"/>
      <c r="ILR2459" s="61"/>
      <c r="ILS2459" s="53"/>
      <c r="ILT2459" s="53"/>
      <c r="ILU2459" s="53"/>
      <c r="ILV2459" s="60"/>
      <c r="ILW2459" s="53"/>
      <c r="ILX2459" s="53"/>
      <c r="ILY2459" s="53"/>
      <c r="ILZ2459" s="61"/>
      <c r="IMA2459" s="53"/>
      <c r="IMB2459" s="53"/>
      <c r="IMC2459" s="53"/>
      <c r="IMD2459" s="60"/>
      <c r="IME2459" s="53"/>
      <c r="IMF2459" s="53"/>
      <c r="IMG2459" s="53"/>
      <c r="IMH2459" s="61"/>
      <c r="IMI2459" s="53"/>
      <c r="IMJ2459" s="53"/>
      <c r="IMK2459" s="53"/>
      <c r="IML2459" s="60"/>
      <c r="IMM2459" s="53"/>
      <c r="IMN2459" s="53"/>
      <c r="IMO2459" s="53"/>
      <c r="IMP2459" s="61"/>
      <c r="IMQ2459" s="53"/>
      <c r="IMR2459" s="53"/>
      <c r="IMS2459" s="53"/>
      <c r="IMT2459" s="60"/>
      <c r="IMU2459" s="53"/>
      <c r="IMV2459" s="53"/>
      <c r="IMW2459" s="53"/>
      <c r="IMX2459" s="61"/>
      <c r="IMY2459" s="53"/>
      <c r="IMZ2459" s="53"/>
      <c r="INA2459" s="53"/>
      <c r="INB2459" s="60"/>
      <c r="INC2459" s="53"/>
      <c r="IND2459" s="53"/>
      <c r="INE2459" s="53"/>
      <c r="INF2459" s="61"/>
      <c r="ING2459" s="53"/>
      <c r="INH2459" s="53"/>
      <c r="INI2459" s="53"/>
      <c r="INJ2459" s="60"/>
      <c r="INK2459" s="53"/>
      <c r="INL2459" s="53"/>
      <c r="INM2459" s="53"/>
      <c r="INN2459" s="61"/>
      <c r="INO2459" s="53"/>
      <c r="INP2459" s="53"/>
      <c r="INQ2459" s="53"/>
      <c r="INR2459" s="60"/>
      <c r="INS2459" s="53"/>
      <c r="INT2459" s="53"/>
      <c r="INU2459" s="53"/>
      <c r="INV2459" s="61"/>
      <c r="INW2459" s="53"/>
      <c r="INX2459" s="53"/>
      <c r="INY2459" s="53"/>
      <c r="INZ2459" s="60"/>
      <c r="IOA2459" s="53"/>
      <c r="IOB2459" s="53"/>
      <c r="IOC2459" s="53"/>
      <c r="IOD2459" s="61"/>
      <c r="IOE2459" s="53"/>
      <c r="IOF2459" s="53"/>
      <c r="IOG2459" s="53"/>
      <c r="IOH2459" s="60"/>
      <c r="IOI2459" s="53"/>
      <c r="IOJ2459" s="53"/>
      <c r="IOK2459" s="53"/>
      <c r="IOL2459" s="61"/>
      <c r="IOM2459" s="53"/>
      <c r="ION2459" s="53"/>
      <c r="IOO2459" s="53"/>
      <c r="IOP2459" s="60"/>
      <c r="IOQ2459" s="53"/>
      <c r="IOR2459" s="53"/>
      <c r="IOS2459" s="53"/>
      <c r="IOT2459" s="61"/>
      <c r="IOU2459" s="53"/>
      <c r="IOV2459" s="53"/>
      <c r="IOW2459" s="53"/>
      <c r="IOX2459" s="60"/>
      <c r="IOY2459" s="53"/>
      <c r="IOZ2459" s="53"/>
      <c r="IPA2459" s="53"/>
      <c r="IPB2459" s="61"/>
      <c r="IPC2459" s="53"/>
      <c r="IPD2459" s="53"/>
      <c r="IPE2459" s="53"/>
      <c r="IPF2459" s="60"/>
      <c r="IPG2459" s="53"/>
      <c r="IPH2459" s="53"/>
      <c r="IPI2459" s="53"/>
      <c r="IPJ2459" s="61"/>
      <c r="IPK2459" s="53"/>
      <c r="IPL2459" s="53"/>
      <c r="IPM2459" s="53"/>
      <c r="IPN2459" s="60"/>
      <c r="IPO2459" s="53"/>
      <c r="IPP2459" s="53"/>
      <c r="IPQ2459" s="53"/>
      <c r="IPR2459" s="61"/>
      <c r="IPS2459" s="53"/>
      <c r="IPT2459" s="53"/>
      <c r="IPU2459" s="53"/>
      <c r="IPV2459" s="60"/>
      <c r="IPW2459" s="53"/>
      <c r="IPX2459" s="53"/>
      <c r="IPY2459" s="53"/>
      <c r="IPZ2459" s="61"/>
      <c r="IQA2459" s="53"/>
      <c r="IQB2459" s="53"/>
      <c r="IQC2459" s="53"/>
      <c r="IQD2459" s="60"/>
      <c r="IQE2459" s="53"/>
      <c r="IQF2459" s="53"/>
      <c r="IQG2459" s="53"/>
      <c r="IQH2459" s="61"/>
      <c r="IQI2459" s="53"/>
      <c r="IQJ2459" s="53"/>
      <c r="IQK2459" s="53"/>
      <c r="IQL2459" s="60"/>
      <c r="IQM2459" s="53"/>
      <c r="IQN2459" s="53"/>
      <c r="IQO2459" s="53"/>
      <c r="IQP2459" s="61"/>
      <c r="IQQ2459" s="53"/>
      <c r="IQR2459" s="53"/>
      <c r="IQS2459" s="53"/>
      <c r="IQT2459" s="60"/>
      <c r="IQU2459" s="53"/>
      <c r="IQV2459" s="53"/>
      <c r="IQW2459" s="53"/>
      <c r="IQX2459" s="61"/>
      <c r="IQY2459" s="53"/>
      <c r="IQZ2459" s="53"/>
      <c r="IRA2459" s="53"/>
      <c r="IRB2459" s="60"/>
      <c r="IRC2459" s="53"/>
      <c r="IRD2459" s="53"/>
      <c r="IRE2459" s="53"/>
      <c r="IRF2459" s="61"/>
      <c r="IRG2459" s="53"/>
      <c r="IRH2459" s="53"/>
      <c r="IRI2459" s="53"/>
      <c r="IRJ2459" s="60"/>
      <c r="IRK2459" s="53"/>
      <c r="IRL2459" s="53"/>
      <c r="IRM2459" s="53"/>
      <c r="IRN2459" s="61"/>
      <c r="IRO2459" s="53"/>
      <c r="IRP2459" s="53"/>
      <c r="IRQ2459" s="53"/>
      <c r="IRR2459" s="60"/>
      <c r="IRS2459" s="53"/>
      <c r="IRT2459" s="53"/>
      <c r="IRU2459" s="53"/>
      <c r="IRV2459" s="61"/>
      <c r="IRW2459" s="53"/>
      <c r="IRX2459" s="53"/>
      <c r="IRY2459" s="53"/>
      <c r="IRZ2459" s="60"/>
      <c r="ISA2459" s="53"/>
      <c r="ISB2459" s="53"/>
      <c r="ISC2459" s="53"/>
      <c r="ISD2459" s="61"/>
      <c r="ISE2459" s="53"/>
      <c r="ISF2459" s="53"/>
      <c r="ISG2459" s="53"/>
      <c r="ISH2459" s="60"/>
      <c r="ISI2459" s="53"/>
      <c r="ISJ2459" s="53"/>
      <c r="ISK2459" s="53"/>
      <c r="ISL2459" s="61"/>
      <c r="ISM2459" s="53"/>
      <c r="ISN2459" s="53"/>
      <c r="ISO2459" s="53"/>
      <c r="ISP2459" s="60"/>
      <c r="ISQ2459" s="53"/>
      <c r="ISR2459" s="53"/>
      <c r="ISS2459" s="53"/>
      <c r="IST2459" s="61"/>
      <c r="ISU2459" s="53"/>
      <c r="ISV2459" s="53"/>
      <c r="ISW2459" s="53"/>
      <c r="ISX2459" s="60"/>
      <c r="ISY2459" s="53"/>
      <c r="ISZ2459" s="53"/>
      <c r="ITA2459" s="53"/>
      <c r="ITB2459" s="61"/>
      <c r="ITC2459" s="53"/>
      <c r="ITD2459" s="53"/>
      <c r="ITE2459" s="53"/>
      <c r="ITF2459" s="60"/>
      <c r="ITG2459" s="53"/>
      <c r="ITH2459" s="53"/>
      <c r="ITI2459" s="53"/>
      <c r="ITJ2459" s="61"/>
      <c r="ITK2459" s="53"/>
      <c r="ITL2459" s="53"/>
      <c r="ITM2459" s="53"/>
      <c r="ITN2459" s="60"/>
      <c r="ITO2459" s="53"/>
      <c r="ITP2459" s="53"/>
      <c r="ITQ2459" s="53"/>
      <c r="ITR2459" s="61"/>
      <c r="ITS2459" s="53"/>
      <c r="ITT2459" s="53"/>
      <c r="ITU2459" s="53"/>
      <c r="ITV2459" s="60"/>
      <c r="ITW2459" s="53"/>
      <c r="ITX2459" s="53"/>
      <c r="ITY2459" s="53"/>
      <c r="ITZ2459" s="61"/>
      <c r="IUA2459" s="53"/>
      <c r="IUB2459" s="53"/>
      <c r="IUC2459" s="53"/>
      <c r="IUD2459" s="60"/>
      <c r="IUE2459" s="53"/>
      <c r="IUF2459" s="53"/>
      <c r="IUG2459" s="53"/>
      <c r="IUH2459" s="61"/>
      <c r="IUI2459" s="53"/>
      <c r="IUJ2459" s="53"/>
      <c r="IUK2459" s="53"/>
      <c r="IUL2459" s="60"/>
      <c r="IUM2459" s="53"/>
      <c r="IUN2459" s="53"/>
      <c r="IUO2459" s="53"/>
      <c r="IUP2459" s="61"/>
      <c r="IUQ2459" s="53"/>
      <c r="IUR2459" s="53"/>
      <c r="IUS2459" s="53"/>
      <c r="IUT2459" s="60"/>
      <c r="IUU2459" s="53"/>
      <c r="IUV2459" s="53"/>
      <c r="IUW2459" s="53"/>
      <c r="IUX2459" s="61"/>
      <c r="IUY2459" s="53"/>
      <c r="IUZ2459" s="53"/>
      <c r="IVA2459" s="53"/>
      <c r="IVB2459" s="60"/>
      <c r="IVC2459" s="53"/>
      <c r="IVD2459" s="53"/>
      <c r="IVE2459" s="53"/>
      <c r="IVF2459" s="61"/>
      <c r="IVG2459" s="53"/>
      <c r="IVH2459" s="53"/>
      <c r="IVI2459" s="53"/>
      <c r="IVJ2459" s="60"/>
      <c r="IVK2459" s="53"/>
      <c r="IVL2459" s="53"/>
      <c r="IVM2459" s="53"/>
      <c r="IVN2459" s="61"/>
      <c r="IVO2459" s="53"/>
      <c r="IVP2459" s="53"/>
      <c r="IVQ2459" s="53"/>
      <c r="IVR2459" s="60"/>
      <c r="IVS2459" s="53"/>
      <c r="IVT2459" s="53"/>
      <c r="IVU2459" s="53"/>
      <c r="IVV2459" s="61"/>
      <c r="IVW2459" s="53"/>
      <c r="IVX2459" s="53"/>
      <c r="IVY2459" s="53"/>
      <c r="IVZ2459" s="60"/>
      <c r="IWA2459" s="53"/>
      <c r="IWB2459" s="53"/>
      <c r="IWC2459" s="53"/>
      <c r="IWD2459" s="61"/>
      <c r="IWE2459" s="53"/>
      <c r="IWF2459" s="53"/>
      <c r="IWG2459" s="53"/>
      <c r="IWH2459" s="60"/>
      <c r="IWI2459" s="53"/>
      <c r="IWJ2459" s="53"/>
      <c r="IWK2459" s="53"/>
      <c r="IWL2459" s="61"/>
      <c r="IWM2459" s="53"/>
      <c r="IWN2459" s="53"/>
      <c r="IWO2459" s="53"/>
      <c r="IWP2459" s="60"/>
      <c r="IWQ2459" s="53"/>
      <c r="IWR2459" s="53"/>
      <c r="IWS2459" s="53"/>
      <c r="IWT2459" s="61"/>
      <c r="IWU2459" s="53"/>
      <c r="IWV2459" s="53"/>
      <c r="IWW2459" s="53"/>
      <c r="IWX2459" s="60"/>
      <c r="IWY2459" s="53"/>
      <c r="IWZ2459" s="53"/>
      <c r="IXA2459" s="53"/>
      <c r="IXB2459" s="61"/>
      <c r="IXC2459" s="53"/>
      <c r="IXD2459" s="53"/>
      <c r="IXE2459" s="53"/>
      <c r="IXF2459" s="60"/>
      <c r="IXG2459" s="53"/>
      <c r="IXH2459" s="53"/>
      <c r="IXI2459" s="53"/>
      <c r="IXJ2459" s="61"/>
      <c r="IXK2459" s="53"/>
      <c r="IXL2459" s="53"/>
      <c r="IXM2459" s="53"/>
      <c r="IXN2459" s="60"/>
      <c r="IXO2459" s="53"/>
      <c r="IXP2459" s="53"/>
      <c r="IXQ2459" s="53"/>
      <c r="IXR2459" s="61"/>
      <c r="IXS2459" s="53"/>
      <c r="IXT2459" s="53"/>
      <c r="IXU2459" s="53"/>
      <c r="IXV2459" s="60"/>
      <c r="IXW2459" s="53"/>
      <c r="IXX2459" s="53"/>
      <c r="IXY2459" s="53"/>
      <c r="IXZ2459" s="61"/>
      <c r="IYA2459" s="53"/>
      <c r="IYB2459" s="53"/>
      <c r="IYC2459" s="53"/>
      <c r="IYD2459" s="60"/>
      <c r="IYE2459" s="53"/>
      <c r="IYF2459" s="53"/>
      <c r="IYG2459" s="53"/>
      <c r="IYH2459" s="61"/>
      <c r="IYI2459" s="53"/>
      <c r="IYJ2459" s="53"/>
      <c r="IYK2459" s="53"/>
      <c r="IYL2459" s="60"/>
      <c r="IYM2459" s="53"/>
      <c r="IYN2459" s="53"/>
      <c r="IYO2459" s="53"/>
      <c r="IYP2459" s="61"/>
      <c r="IYQ2459" s="53"/>
      <c r="IYR2459" s="53"/>
      <c r="IYS2459" s="53"/>
      <c r="IYT2459" s="60"/>
      <c r="IYU2459" s="53"/>
      <c r="IYV2459" s="53"/>
      <c r="IYW2459" s="53"/>
      <c r="IYX2459" s="61"/>
      <c r="IYY2459" s="53"/>
      <c r="IYZ2459" s="53"/>
      <c r="IZA2459" s="53"/>
      <c r="IZB2459" s="60"/>
      <c r="IZC2459" s="53"/>
      <c r="IZD2459" s="53"/>
      <c r="IZE2459" s="53"/>
      <c r="IZF2459" s="61"/>
      <c r="IZG2459" s="53"/>
      <c r="IZH2459" s="53"/>
      <c r="IZI2459" s="53"/>
      <c r="IZJ2459" s="60"/>
      <c r="IZK2459" s="53"/>
      <c r="IZL2459" s="53"/>
      <c r="IZM2459" s="53"/>
      <c r="IZN2459" s="61"/>
      <c r="IZO2459" s="53"/>
      <c r="IZP2459" s="53"/>
      <c r="IZQ2459" s="53"/>
      <c r="IZR2459" s="60"/>
      <c r="IZS2459" s="53"/>
      <c r="IZT2459" s="53"/>
      <c r="IZU2459" s="53"/>
      <c r="IZV2459" s="61"/>
      <c r="IZW2459" s="53"/>
      <c r="IZX2459" s="53"/>
      <c r="IZY2459" s="53"/>
      <c r="IZZ2459" s="60"/>
      <c r="JAA2459" s="53"/>
      <c r="JAB2459" s="53"/>
      <c r="JAC2459" s="53"/>
      <c r="JAD2459" s="61"/>
      <c r="JAE2459" s="53"/>
      <c r="JAF2459" s="53"/>
      <c r="JAG2459" s="53"/>
      <c r="JAH2459" s="60"/>
      <c r="JAI2459" s="53"/>
      <c r="JAJ2459" s="53"/>
      <c r="JAK2459" s="53"/>
      <c r="JAL2459" s="61"/>
      <c r="JAM2459" s="53"/>
      <c r="JAN2459" s="53"/>
      <c r="JAO2459" s="53"/>
      <c r="JAP2459" s="60"/>
      <c r="JAQ2459" s="53"/>
      <c r="JAR2459" s="53"/>
      <c r="JAS2459" s="53"/>
      <c r="JAT2459" s="61"/>
      <c r="JAU2459" s="53"/>
      <c r="JAV2459" s="53"/>
      <c r="JAW2459" s="53"/>
      <c r="JAX2459" s="60"/>
      <c r="JAY2459" s="53"/>
      <c r="JAZ2459" s="53"/>
      <c r="JBA2459" s="53"/>
      <c r="JBB2459" s="61"/>
      <c r="JBC2459" s="53"/>
      <c r="JBD2459" s="53"/>
      <c r="JBE2459" s="53"/>
      <c r="JBF2459" s="60"/>
      <c r="JBG2459" s="53"/>
      <c r="JBH2459" s="53"/>
      <c r="JBI2459" s="53"/>
      <c r="JBJ2459" s="61"/>
      <c r="JBK2459" s="53"/>
      <c r="JBL2459" s="53"/>
      <c r="JBM2459" s="53"/>
      <c r="JBN2459" s="60"/>
      <c r="JBO2459" s="53"/>
      <c r="JBP2459" s="53"/>
      <c r="JBQ2459" s="53"/>
      <c r="JBR2459" s="61"/>
      <c r="JBS2459" s="53"/>
      <c r="JBT2459" s="53"/>
      <c r="JBU2459" s="53"/>
      <c r="JBV2459" s="60"/>
      <c r="JBW2459" s="53"/>
      <c r="JBX2459" s="53"/>
      <c r="JBY2459" s="53"/>
      <c r="JBZ2459" s="61"/>
      <c r="JCA2459" s="53"/>
      <c r="JCB2459" s="53"/>
      <c r="JCC2459" s="53"/>
      <c r="JCD2459" s="60"/>
      <c r="JCE2459" s="53"/>
      <c r="JCF2459" s="53"/>
      <c r="JCG2459" s="53"/>
      <c r="JCH2459" s="61"/>
      <c r="JCI2459" s="53"/>
      <c r="JCJ2459" s="53"/>
      <c r="JCK2459" s="53"/>
      <c r="JCL2459" s="60"/>
      <c r="JCM2459" s="53"/>
      <c r="JCN2459" s="53"/>
      <c r="JCO2459" s="53"/>
      <c r="JCP2459" s="61"/>
      <c r="JCQ2459" s="53"/>
      <c r="JCR2459" s="53"/>
      <c r="JCS2459" s="53"/>
      <c r="JCT2459" s="60"/>
      <c r="JCU2459" s="53"/>
      <c r="JCV2459" s="53"/>
      <c r="JCW2459" s="53"/>
      <c r="JCX2459" s="61"/>
      <c r="JCY2459" s="53"/>
      <c r="JCZ2459" s="53"/>
      <c r="JDA2459" s="53"/>
      <c r="JDB2459" s="60"/>
      <c r="JDC2459" s="53"/>
      <c r="JDD2459" s="53"/>
      <c r="JDE2459" s="53"/>
      <c r="JDF2459" s="61"/>
      <c r="JDG2459" s="53"/>
      <c r="JDH2459" s="53"/>
      <c r="JDI2459" s="53"/>
      <c r="JDJ2459" s="60"/>
      <c r="JDK2459" s="53"/>
      <c r="JDL2459" s="53"/>
      <c r="JDM2459" s="53"/>
      <c r="JDN2459" s="61"/>
      <c r="JDO2459" s="53"/>
      <c r="JDP2459" s="53"/>
      <c r="JDQ2459" s="53"/>
      <c r="JDR2459" s="60"/>
      <c r="JDS2459" s="53"/>
      <c r="JDT2459" s="53"/>
      <c r="JDU2459" s="53"/>
      <c r="JDV2459" s="61"/>
      <c r="JDW2459" s="53"/>
      <c r="JDX2459" s="53"/>
      <c r="JDY2459" s="53"/>
      <c r="JDZ2459" s="60"/>
      <c r="JEA2459" s="53"/>
      <c r="JEB2459" s="53"/>
      <c r="JEC2459" s="53"/>
      <c r="JED2459" s="61"/>
      <c r="JEE2459" s="53"/>
      <c r="JEF2459" s="53"/>
      <c r="JEG2459" s="53"/>
      <c r="JEH2459" s="60"/>
      <c r="JEI2459" s="53"/>
      <c r="JEJ2459" s="53"/>
      <c r="JEK2459" s="53"/>
      <c r="JEL2459" s="61"/>
      <c r="JEM2459" s="53"/>
      <c r="JEN2459" s="53"/>
      <c r="JEO2459" s="53"/>
      <c r="JEP2459" s="60"/>
      <c r="JEQ2459" s="53"/>
      <c r="JER2459" s="53"/>
      <c r="JES2459" s="53"/>
      <c r="JET2459" s="61"/>
      <c r="JEU2459" s="53"/>
      <c r="JEV2459" s="53"/>
      <c r="JEW2459" s="53"/>
      <c r="JEX2459" s="60"/>
      <c r="JEY2459" s="53"/>
      <c r="JEZ2459" s="53"/>
      <c r="JFA2459" s="53"/>
      <c r="JFB2459" s="61"/>
      <c r="JFC2459" s="53"/>
      <c r="JFD2459" s="53"/>
      <c r="JFE2459" s="53"/>
      <c r="JFF2459" s="60"/>
      <c r="JFG2459" s="53"/>
      <c r="JFH2459" s="53"/>
      <c r="JFI2459" s="53"/>
      <c r="JFJ2459" s="61"/>
      <c r="JFK2459" s="53"/>
      <c r="JFL2459" s="53"/>
      <c r="JFM2459" s="53"/>
      <c r="JFN2459" s="60"/>
      <c r="JFO2459" s="53"/>
      <c r="JFP2459" s="53"/>
      <c r="JFQ2459" s="53"/>
      <c r="JFR2459" s="61"/>
      <c r="JFS2459" s="53"/>
      <c r="JFT2459" s="53"/>
      <c r="JFU2459" s="53"/>
      <c r="JFV2459" s="60"/>
      <c r="JFW2459" s="53"/>
      <c r="JFX2459" s="53"/>
      <c r="JFY2459" s="53"/>
      <c r="JFZ2459" s="61"/>
      <c r="JGA2459" s="53"/>
      <c r="JGB2459" s="53"/>
      <c r="JGC2459" s="53"/>
      <c r="JGD2459" s="60"/>
      <c r="JGE2459" s="53"/>
      <c r="JGF2459" s="53"/>
      <c r="JGG2459" s="53"/>
      <c r="JGH2459" s="61"/>
      <c r="JGI2459" s="53"/>
      <c r="JGJ2459" s="53"/>
      <c r="JGK2459" s="53"/>
      <c r="JGL2459" s="60"/>
      <c r="JGM2459" s="53"/>
      <c r="JGN2459" s="53"/>
      <c r="JGO2459" s="53"/>
      <c r="JGP2459" s="61"/>
      <c r="JGQ2459" s="53"/>
      <c r="JGR2459" s="53"/>
      <c r="JGS2459" s="53"/>
      <c r="JGT2459" s="60"/>
      <c r="JGU2459" s="53"/>
      <c r="JGV2459" s="53"/>
      <c r="JGW2459" s="53"/>
      <c r="JGX2459" s="61"/>
      <c r="JGY2459" s="53"/>
      <c r="JGZ2459" s="53"/>
      <c r="JHA2459" s="53"/>
      <c r="JHB2459" s="60"/>
      <c r="JHC2459" s="53"/>
      <c r="JHD2459" s="53"/>
      <c r="JHE2459" s="53"/>
      <c r="JHF2459" s="61"/>
      <c r="JHG2459" s="53"/>
      <c r="JHH2459" s="53"/>
      <c r="JHI2459" s="53"/>
      <c r="JHJ2459" s="60"/>
      <c r="JHK2459" s="53"/>
      <c r="JHL2459" s="53"/>
      <c r="JHM2459" s="53"/>
      <c r="JHN2459" s="61"/>
      <c r="JHO2459" s="53"/>
      <c r="JHP2459" s="53"/>
      <c r="JHQ2459" s="53"/>
      <c r="JHR2459" s="60"/>
      <c r="JHS2459" s="53"/>
      <c r="JHT2459" s="53"/>
      <c r="JHU2459" s="53"/>
      <c r="JHV2459" s="61"/>
      <c r="JHW2459" s="53"/>
      <c r="JHX2459" s="53"/>
      <c r="JHY2459" s="53"/>
      <c r="JHZ2459" s="60"/>
      <c r="JIA2459" s="53"/>
      <c r="JIB2459" s="53"/>
      <c r="JIC2459" s="53"/>
      <c r="JID2459" s="61"/>
      <c r="JIE2459" s="53"/>
      <c r="JIF2459" s="53"/>
      <c r="JIG2459" s="53"/>
      <c r="JIH2459" s="60"/>
      <c r="JII2459" s="53"/>
      <c r="JIJ2459" s="53"/>
      <c r="JIK2459" s="53"/>
      <c r="JIL2459" s="61"/>
      <c r="JIM2459" s="53"/>
      <c r="JIN2459" s="53"/>
      <c r="JIO2459" s="53"/>
      <c r="JIP2459" s="60"/>
      <c r="JIQ2459" s="53"/>
      <c r="JIR2459" s="53"/>
      <c r="JIS2459" s="53"/>
      <c r="JIT2459" s="61"/>
      <c r="JIU2459" s="53"/>
      <c r="JIV2459" s="53"/>
      <c r="JIW2459" s="53"/>
      <c r="JIX2459" s="60"/>
      <c r="JIY2459" s="53"/>
      <c r="JIZ2459" s="53"/>
      <c r="JJA2459" s="53"/>
      <c r="JJB2459" s="61"/>
      <c r="JJC2459" s="53"/>
      <c r="JJD2459" s="53"/>
      <c r="JJE2459" s="53"/>
      <c r="JJF2459" s="60"/>
      <c r="JJG2459" s="53"/>
      <c r="JJH2459" s="53"/>
      <c r="JJI2459" s="53"/>
      <c r="JJJ2459" s="61"/>
      <c r="JJK2459" s="53"/>
      <c r="JJL2459" s="53"/>
      <c r="JJM2459" s="53"/>
      <c r="JJN2459" s="60"/>
      <c r="JJO2459" s="53"/>
      <c r="JJP2459" s="53"/>
      <c r="JJQ2459" s="53"/>
      <c r="JJR2459" s="61"/>
      <c r="JJS2459" s="53"/>
      <c r="JJT2459" s="53"/>
      <c r="JJU2459" s="53"/>
      <c r="JJV2459" s="60"/>
      <c r="JJW2459" s="53"/>
      <c r="JJX2459" s="53"/>
      <c r="JJY2459" s="53"/>
      <c r="JJZ2459" s="61"/>
      <c r="JKA2459" s="53"/>
      <c r="JKB2459" s="53"/>
      <c r="JKC2459" s="53"/>
      <c r="JKD2459" s="60"/>
      <c r="JKE2459" s="53"/>
      <c r="JKF2459" s="53"/>
      <c r="JKG2459" s="53"/>
      <c r="JKH2459" s="61"/>
      <c r="JKI2459" s="53"/>
      <c r="JKJ2459" s="53"/>
      <c r="JKK2459" s="53"/>
      <c r="JKL2459" s="60"/>
      <c r="JKM2459" s="53"/>
      <c r="JKN2459" s="53"/>
      <c r="JKO2459" s="53"/>
      <c r="JKP2459" s="61"/>
      <c r="JKQ2459" s="53"/>
      <c r="JKR2459" s="53"/>
      <c r="JKS2459" s="53"/>
      <c r="JKT2459" s="60"/>
      <c r="JKU2459" s="53"/>
      <c r="JKV2459" s="53"/>
      <c r="JKW2459" s="53"/>
      <c r="JKX2459" s="61"/>
      <c r="JKY2459" s="53"/>
      <c r="JKZ2459" s="53"/>
      <c r="JLA2459" s="53"/>
      <c r="JLB2459" s="60"/>
      <c r="JLC2459" s="53"/>
      <c r="JLD2459" s="53"/>
      <c r="JLE2459" s="53"/>
      <c r="JLF2459" s="61"/>
      <c r="JLG2459" s="53"/>
      <c r="JLH2459" s="53"/>
      <c r="JLI2459" s="53"/>
      <c r="JLJ2459" s="60"/>
      <c r="JLK2459" s="53"/>
      <c r="JLL2459" s="53"/>
      <c r="JLM2459" s="53"/>
      <c r="JLN2459" s="61"/>
      <c r="JLO2459" s="53"/>
      <c r="JLP2459" s="53"/>
      <c r="JLQ2459" s="53"/>
      <c r="JLR2459" s="60"/>
      <c r="JLS2459" s="53"/>
      <c r="JLT2459" s="53"/>
      <c r="JLU2459" s="53"/>
      <c r="JLV2459" s="61"/>
      <c r="JLW2459" s="53"/>
      <c r="JLX2459" s="53"/>
      <c r="JLY2459" s="53"/>
      <c r="JLZ2459" s="60"/>
      <c r="JMA2459" s="53"/>
      <c r="JMB2459" s="53"/>
      <c r="JMC2459" s="53"/>
      <c r="JMD2459" s="61"/>
      <c r="JME2459" s="53"/>
      <c r="JMF2459" s="53"/>
      <c r="JMG2459" s="53"/>
      <c r="JMH2459" s="60"/>
      <c r="JMI2459" s="53"/>
      <c r="JMJ2459" s="53"/>
      <c r="JMK2459" s="53"/>
      <c r="JML2459" s="61"/>
      <c r="JMM2459" s="53"/>
      <c r="JMN2459" s="53"/>
      <c r="JMO2459" s="53"/>
      <c r="JMP2459" s="60"/>
      <c r="JMQ2459" s="53"/>
      <c r="JMR2459" s="53"/>
      <c r="JMS2459" s="53"/>
      <c r="JMT2459" s="61"/>
      <c r="JMU2459" s="53"/>
      <c r="JMV2459" s="53"/>
      <c r="JMW2459" s="53"/>
      <c r="JMX2459" s="60"/>
      <c r="JMY2459" s="53"/>
      <c r="JMZ2459" s="53"/>
      <c r="JNA2459" s="53"/>
      <c r="JNB2459" s="61"/>
      <c r="JNC2459" s="53"/>
      <c r="JND2459" s="53"/>
      <c r="JNE2459" s="53"/>
      <c r="JNF2459" s="60"/>
      <c r="JNG2459" s="53"/>
      <c r="JNH2459" s="53"/>
      <c r="JNI2459" s="53"/>
      <c r="JNJ2459" s="61"/>
      <c r="JNK2459" s="53"/>
      <c r="JNL2459" s="53"/>
      <c r="JNM2459" s="53"/>
      <c r="JNN2459" s="60"/>
      <c r="JNO2459" s="53"/>
      <c r="JNP2459" s="53"/>
      <c r="JNQ2459" s="53"/>
      <c r="JNR2459" s="61"/>
      <c r="JNS2459" s="53"/>
      <c r="JNT2459" s="53"/>
      <c r="JNU2459" s="53"/>
      <c r="JNV2459" s="60"/>
      <c r="JNW2459" s="53"/>
      <c r="JNX2459" s="53"/>
      <c r="JNY2459" s="53"/>
      <c r="JNZ2459" s="61"/>
      <c r="JOA2459" s="53"/>
      <c r="JOB2459" s="53"/>
      <c r="JOC2459" s="53"/>
      <c r="JOD2459" s="60"/>
      <c r="JOE2459" s="53"/>
      <c r="JOF2459" s="53"/>
      <c r="JOG2459" s="53"/>
      <c r="JOH2459" s="61"/>
      <c r="JOI2459" s="53"/>
      <c r="JOJ2459" s="53"/>
      <c r="JOK2459" s="53"/>
      <c r="JOL2459" s="60"/>
      <c r="JOM2459" s="53"/>
      <c r="JON2459" s="53"/>
      <c r="JOO2459" s="53"/>
      <c r="JOP2459" s="61"/>
      <c r="JOQ2459" s="53"/>
      <c r="JOR2459" s="53"/>
      <c r="JOS2459" s="53"/>
      <c r="JOT2459" s="60"/>
      <c r="JOU2459" s="53"/>
      <c r="JOV2459" s="53"/>
      <c r="JOW2459" s="53"/>
      <c r="JOX2459" s="61"/>
      <c r="JOY2459" s="53"/>
      <c r="JOZ2459" s="53"/>
      <c r="JPA2459" s="53"/>
      <c r="JPB2459" s="60"/>
      <c r="JPC2459" s="53"/>
      <c r="JPD2459" s="53"/>
      <c r="JPE2459" s="53"/>
      <c r="JPF2459" s="61"/>
      <c r="JPG2459" s="53"/>
      <c r="JPH2459" s="53"/>
      <c r="JPI2459" s="53"/>
      <c r="JPJ2459" s="60"/>
      <c r="JPK2459" s="53"/>
      <c r="JPL2459" s="53"/>
      <c r="JPM2459" s="53"/>
      <c r="JPN2459" s="61"/>
      <c r="JPO2459" s="53"/>
      <c r="JPP2459" s="53"/>
      <c r="JPQ2459" s="53"/>
      <c r="JPR2459" s="60"/>
      <c r="JPS2459" s="53"/>
      <c r="JPT2459" s="53"/>
      <c r="JPU2459" s="53"/>
      <c r="JPV2459" s="61"/>
      <c r="JPW2459" s="53"/>
      <c r="JPX2459" s="53"/>
      <c r="JPY2459" s="53"/>
      <c r="JPZ2459" s="60"/>
      <c r="JQA2459" s="53"/>
      <c r="JQB2459" s="53"/>
      <c r="JQC2459" s="53"/>
      <c r="JQD2459" s="61"/>
      <c r="JQE2459" s="53"/>
      <c r="JQF2459" s="53"/>
      <c r="JQG2459" s="53"/>
      <c r="JQH2459" s="60"/>
      <c r="JQI2459" s="53"/>
      <c r="JQJ2459" s="53"/>
      <c r="JQK2459" s="53"/>
      <c r="JQL2459" s="61"/>
      <c r="JQM2459" s="53"/>
      <c r="JQN2459" s="53"/>
      <c r="JQO2459" s="53"/>
      <c r="JQP2459" s="60"/>
      <c r="JQQ2459" s="53"/>
      <c r="JQR2459" s="53"/>
      <c r="JQS2459" s="53"/>
      <c r="JQT2459" s="61"/>
      <c r="JQU2459" s="53"/>
      <c r="JQV2459" s="53"/>
      <c r="JQW2459" s="53"/>
      <c r="JQX2459" s="60"/>
      <c r="JQY2459" s="53"/>
      <c r="JQZ2459" s="53"/>
      <c r="JRA2459" s="53"/>
      <c r="JRB2459" s="61"/>
      <c r="JRC2459" s="53"/>
      <c r="JRD2459" s="53"/>
      <c r="JRE2459" s="53"/>
      <c r="JRF2459" s="60"/>
      <c r="JRG2459" s="53"/>
      <c r="JRH2459" s="53"/>
      <c r="JRI2459" s="53"/>
      <c r="JRJ2459" s="61"/>
      <c r="JRK2459" s="53"/>
      <c r="JRL2459" s="53"/>
      <c r="JRM2459" s="53"/>
      <c r="JRN2459" s="60"/>
      <c r="JRO2459" s="53"/>
      <c r="JRP2459" s="53"/>
      <c r="JRQ2459" s="53"/>
      <c r="JRR2459" s="61"/>
      <c r="JRS2459" s="53"/>
      <c r="JRT2459" s="53"/>
      <c r="JRU2459" s="53"/>
      <c r="JRV2459" s="60"/>
      <c r="JRW2459" s="53"/>
      <c r="JRX2459" s="53"/>
      <c r="JRY2459" s="53"/>
      <c r="JRZ2459" s="61"/>
      <c r="JSA2459" s="53"/>
      <c r="JSB2459" s="53"/>
      <c r="JSC2459" s="53"/>
      <c r="JSD2459" s="60"/>
      <c r="JSE2459" s="53"/>
      <c r="JSF2459" s="53"/>
      <c r="JSG2459" s="53"/>
      <c r="JSH2459" s="61"/>
      <c r="JSI2459" s="53"/>
      <c r="JSJ2459" s="53"/>
      <c r="JSK2459" s="53"/>
      <c r="JSL2459" s="60"/>
      <c r="JSM2459" s="53"/>
      <c r="JSN2459" s="53"/>
      <c r="JSO2459" s="53"/>
      <c r="JSP2459" s="61"/>
      <c r="JSQ2459" s="53"/>
      <c r="JSR2459" s="53"/>
      <c r="JSS2459" s="53"/>
      <c r="JST2459" s="60"/>
      <c r="JSU2459" s="53"/>
      <c r="JSV2459" s="53"/>
      <c r="JSW2459" s="53"/>
      <c r="JSX2459" s="61"/>
      <c r="JSY2459" s="53"/>
      <c r="JSZ2459" s="53"/>
      <c r="JTA2459" s="53"/>
      <c r="JTB2459" s="60"/>
      <c r="JTC2459" s="53"/>
      <c r="JTD2459" s="53"/>
      <c r="JTE2459" s="53"/>
      <c r="JTF2459" s="61"/>
      <c r="JTG2459" s="53"/>
      <c r="JTH2459" s="53"/>
      <c r="JTI2459" s="53"/>
      <c r="JTJ2459" s="60"/>
      <c r="JTK2459" s="53"/>
      <c r="JTL2459" s="53"/>
      <c r="JTM2459" s="53"/>
      <c r="JTN2459" s="61"/>
      <c r="JTO2459" s="53"/>
      <c r="JTP2459" s="53"/>
      <c r="JTQ2459" s="53"/>
      <c r="JTR2459" s="60"/>
      <c r="JTS2459" s="53"/>
      <c r="JTT2459" s="53"/>
      <c r="JTU2459" s="53"/>
      <c r="JTV2459" s="61"/>
      <c r="JTW2459" s="53"/>
      <c r="JTX2459" s="53"/>
      <c r="JTY2459" s="53"/>
      <c r="JTZ2459" s="60"/>
      <c r="JUA2459" s="53"/>
      <c r="JUB2459" s="53"/>
      <c r="JUC2459" s="53"/>
      <c r="JUD2459" s="61"/>
      <c r="JUE2459" s="53"/>
      <c r="JUF2459" s="53"/>
      <c r="JUG2459" s="53"/>
      <c r="JUH2459" s="60"/>
      <c r="JUI2459" s="53"/>
      <c r="JUJ2459" s="53"/>
      <c r="JUK2459" s="53"/>
      <c r="JUL2459" s="61"/>
      <c r="JUM2459" s="53"/>
      <c r="JUN2459" s="53"/>
      <c r="JUO2459" s="53"/>
      <c r="JUP2459" s="60"/>
      <c r="JUQ2459" s="53"/>
      <c r="JUR2459" s="53"/>
      <c r="JUS2459" s="53"/>
      <c r="JUT2459" s="61"/>
      <c r="JUU2459" s="53"/>
      <c r="JUV2459" s="53"/>
      <c r="JUW2459" s="53"/>
      <c r="JUX2459" s="60"/>
      <c r="JUY2459" s="53"/>
      <c r="JUZ2459" s="53"/>
      <c r="JVA2459" s="53"/>
      <c r="JVB2459" s="61"/>
      <c r="JVC2459" s="53"/>
      <c r="JVD2459" s="53"/>
      <c r="JVE2459" s="53"/>
      <c r="JVF2459" s="60"/>
      <c r="JVG2459" s="53"/>
      <c r="JVH2459" s="53"/>
      <c r="JVI2459" s="53"/>
      <c r="JVJ2459" s="61"/>
      <c r="JVK2459" s="53"/>
      <c r="JVL2459" s="53"/>
      <c r="JVM2459" s="53"/>
      <c r="JVN2459" s="60"/>
      <c r="JVO2459" s="53"/>
      <c r="JVP2459" s="53"/>
      <c r="JVQ2459" s="53"/>
      <c r="JVR2459" s="61"/>
      <c r="JVS2459" s="53"/>
      <c r="JVT2459" s="53"/>
      <c r="JVU2459" s="53"/>
      <c r="JVV2459" s="60"/>
      <c r="JVW2459" s="53"/>
      <c r="JVX2459" s="53"/>
      <c r="JVY2459" s="53"/>
      <c r="JVZ2459" s="61"/>
      <c r="JWA2459" s="53"/>
      <c r="JWB2459" s="53"/>
      <c r="JWC2459" s="53"/>
      <c r="JWD2459" s="60"/>
      <c r="JWE2459" s="53"/>
      <c r="JWF2459" s="53"/>
      <c r="JWG2459" s="53"/>
      <c r="JWH2459" s="61"/>
      <c r="JWI2459" s="53"/>
      <c r="JWJ2459" s="53"/>
      <c r="JWK2459" s="53"/>
      <c r="JWL2459" s="60"/>
      <c r="JWM2459" s="53"/>
      <c r="JWN2459" s="53"/>
      <c r="JWO2459" s="53"/>
      <c r="JWP2459" s="61"/>
      <c r="JWQ2459" s="53"/>
      <c r="JWR2459" s="53"/>
      <c r="JWS2459" s="53"/>
      <c r="JWT2459" s="60"/>
      <c r="JWU2459" s="53"/>
      <c r="JWV2459" s="53"/>
      <c r="JWW2459" s="53"/>
      <c r="JWX2459" s="61"/>
      <c r="JWY2459" s="53"/>
      <c r="JWZ2459" s="53"/>
      <c r="JXA2459" s="53"/>
      <c r="JXB2459" s="60"/>
      <c r="JXC2459" s="53"/>
      <c r="JXD2459" s="53"/>
      <c r="JXE2459" s="53"/>
      <c r="JXF2459" s="61"/>
      <c r="JXG2459" s="53"/>
      <c r="JXH2459" s="53"/>
      <c r="JXI2459" s="53"/>
      <c r="JXJ2459" s="60"/>
      <c r="JXK2459" s="53"/>
      <c r="JXL2459" s="53"/>
      <c r="JXM2459" s="53"/>
      <c r="JXN2459" s="61"/>
      <c r="JXO2459" s="53"/>
      <c r="JXP2459" s="53"/>
      <c r="JXQ2459" s="53"/>
      <c r="JXR2459" s="60"/>
      <c r="JXS2459" s="53"/>
      <c r="JXT2459" s="53"/>
      <c r="JXU2459" s="53"/>
      <c r="JXV2459" s="61"/>
      <c r="JXW2459" s="53"/>
      <c r="JXX2459" s="53"/>
      <c r="JXY2459" s="53"/>
      <c r="JXZ2459" s="60"/>
      <c r="JYA2459" s="53"/>
      <c r="JYB2459" s="53"/>
      <c r="JYC2459" s="53"/>
      <c r="JYD2459" s="61"/>
      <c r="JYE2459" s="53"/>
      <c r="JYF2459" s="53"/>
      <c r="JYG2459" s="53"/>
      <c r="JYH2459" s="60"/>
      <c r="JYI2459" s="53"/>
      <c r="JYJ2459" s="53"/>
      <c r="JYK2459" s="53"/>
      <c r="JYL2459" s="61"/>
      <c r="JYM2459" s="53"/>
      <c r="JYN2459" s="53"/>
      <c r="JYO2459" s="53"/>
      <c r="JYP2459" s="60"/>
      <c r="JYQ2459" s="53"/>
      <c r="JYR2459" s="53"/>
      <c r="JYS2459" s="53"/>
      <c r="JYT2459" s="61"/>
      <c r="JYU2459" s="53"/>
      <c r="JYV2459" s="53"/>
      <c r="JYW2459" s="53"/>
      <c r="JYX2459" s="60"/>
      <c r="JYY2459" s="53"/>
      <c r="JYZ2459" s="53"/>
      <c r="JZA2459" s="53"/>
      <c r="JZB2459" s="61"/>
      <c r="JZC2459" s="53"/>
      <c r="JZD2459" s="53"/>
      <c r="JZE2459" s="53"/>
      <c r="JZF2459" s="60"/>
      <c r="JZG2459" s="53"/>
      <c r="JZH2459" s="53"/>
      <c r="JZI2459" s="53"/>
      <c r="JZJ2459" s="61"/>
      <c r="JZK2459" s="53"/>
      <c r="JZL2459" s="53"/>
      <c r="JZM2459" s="53"/>
      <c r="JZN2459" s="60"/>
      <c r="JZO2459" s="53"/>
      <c r="JZP2459" s="53"/>
      <c r="JZQ2459" s="53"/>
      <c r="JZR2459" s="61"/>
      <c r="JZS2459" s="53"/>
      <c r="JZT2459" s="53"/>
      <c r="JZU2459" s="53"/>
      <c r="JZV2459" s="60"/>
      <c r="JZW2459" s="53"/>
      <c r="JZX2459" s="53"/>
      <c r="JZY2459" s="53"/>
      <c r="JZZ2459" s="61"/>
      <c r="KAA2459" s="53"/>
      <c r="KAB2459" s="53"/>
      <c r="KAC2459" s="53"/>
      <c r="KAD2459" s="60"/>
      <c r="KAE2459" s="53"/>
      <c r="KAF2459" s="53"/>
      <c r="KAG2459" s="53"/>
      <c r="KAH2459" s="61"/>
      <c r="KAI2459" s="53"/>
      <c r="KAJ2459" s="53"/>
      <c r="KAK2459" s="53"/>
      <c r="KAL2459" s="60"/>
      <c r="KAM2459" s="53"/>
      <c r="KAN2459" s="53"/>
      <c r="KAO2459" s="53"/>
      <c r="KAP2459" s="61"/>
      <c r="KAQ2459" s="53"/>
      <c r="KAR2459" s="53"/>
      <c r="KAS2459" s="53"/>
      <c r="KAT2459" s="60"/>
      <c r="KAU2459" s="53"/>
      <c r="KAV2459" s="53"/>
      <c r="KAW2459" s="53"/>
      <c r="KAX2459" s="61"/>
      <c r="KAY2459" s="53"/>
      <c r="KAZ2459" s="53"/>
      <c r="KBA2459" s="53"/>
      <c r="KBB2459" s="60"/>
      <c r="KBC2459" s="53"/>
      <c r="KBD2459" s="53"/>
      <c r="KBE2459" s="53"/>
      <c r="KBF2459" s="61"/>
      <c r="KBG2459" s="53"/>
      <c r="KBH2459" s="53"/>
      <c r="KBI2459" s="53"/>
      <c r="KBJ2459" s="60"/>
      <c r="KBK2459" s="53"/>
      <c r="KBL2459" s="53"/>
      <c r="KBM2459" s="53"/>
      <c r="KBN2459" s="61"/>
      <c r="KBO2459" s="53"/>
      <c r="KBP2459" s="53"/>
      <c r="KBQ2459" s="53"/>
      <c r="KBR2459" s="60"/>
      <c r="KBS2459" s="53"/>
      <c r="KBT2459" s="53"/>
      <c r="KBU2459" s="53"/>
      <c r="KBV2459" s="61"/>
      <c r="KBW2459" s="53"/>
      <c r="KBX2459" s="53"/>
      <c r="KBY2459" s="53"/>
      <c r="KBZ2459" s="60"/>
      <c r="KCA2459" s="53"/>
      <c r="KCB2459" s="53"/>
      <c r="KCC2459" s="53"/>
      <c r="KCD2459" s="61"/>
      <c r="KCE2459" s="53"/>
      <c r="KCF2459" s="53"/>
      <c r="KCG2459" s="53"/>
      <c r="KCH2459" s="60"/>
      <c r="KCI2459" s="53"/>
      <c r="KCJ2459" s="53"/>
      <c r="KCK2459" s="53"/>
      <c r="KCL2459" s="61"/>
      <c r="KCM2459" s="53"/>
      <c r="KCN2459" s="53"/>
      <c r="KCO2459" s="53"/>
      <c r="KCP2459" s="60"/>
      <c r="KCQ2459" s="53"/>
      <c r="KCR2459" s="53"/>
      <c r="KCS2459" s="53"/>
      <c r="KCT2459" s="61"/>
      <c r="KCU2459" s="53"/>
      <c r="KCV2459" s="53"/>
      <c r="KCW2459" s="53"/>
      <c r="KCX2459" s="60"/>
      <c r="KCY2459" s="53"/>
      <c r="KCZ2459" s="53"/>
      <c r="KDA2459" s="53"/>
      <c r="KDB2459" s="61"/>
      <c r="KDC2459" s="53"/>
      <c r="KDD2459" s="53"/>
      <c r="KDE2459" s="53"/>
      <c r="KDF2459" s="60"/>
      <c r="KDG2459" s="53"/>
      <c r="KDH2459" s="53"/>
      <c r="KDI2459" s="53"/>
      <c r="KDJ2459" s="61"/>
      <c r="KDK2459" s="53"/>
      <c r="KDL2459" s="53"/>
      <c r="KDM2459" s="53"/>
      <c r="KDN2459" s="60"/>
      <c r="KDO2459" s="53"/>
      <c r="KDP2459" s="53"/>
      <c r="KDQ2459" s="53"/>
      <c r="KDR2459" s="61"/>
      <c r="KDS2459" s="53"/>
      <c r="KDT2459" s="53"/>
      <c r="KDU2459" s="53"/>
      <c r="KDV2459" s="60"/>
      <c r="KDW2459" s="53"/>
      <c r="KDX2459" s="53"/>
      <c r="KDY2459" s="53"/>
      <c r="KDZ2459" s="61"/>
      <c r="KEA2459" s="53"/>
      <c r="KEB2459" s="53"/>
      <c r="KEC2459" s="53"/>
      <c r="KED2459" s="60"/>
      <c r="KEE2459" s="53"/>
      <c r="KEF2459" s="53"/>
      <c r="KEG2459" s="53"/>
      <c r="KEH2459" s="61"/>
      <c r="KEI2459" s="53"/>
      <c r="KEJ2459" s="53"/>
      <c r="KEK2459" s="53"/>
      <c r="KEL2459" s="60"/>
      <c r="KEM2459" s="53"/>
      <c r="KEN2459" s="53"/>
      <c r="KEO2459" s="53"/>
      <c r="KEP2459" s="61"/>
      <c r="KEQ2459" s="53"/>
      <c r="KER2459" s="53"/>
      <c r="KES2459" s="53"/>
      <c r="KET2459" s="60"/>
      <c r="KEU2459" s="53"/>
      <c r="KEV2459" s="53"/>
      <c r="KEW2459" s="53"/>
      <c r="KEX2459" s="61"/>
      <c r="KEY2459" s="53"/>
      <c r="KEZ2459" s="53"/>
      <c r="KFA2459" s="53"/>
      <c r="KFB2459" s="60"/>
      <c r="KFC2459" s="53"/>
      <c r="KFD2459" s="53"/>
      <c r="KFE2459" s="53"/>
      <c r="KFF2459" s="61"/>
      <c r="KFG2459" s="53"/>
      <c r="KFH2459" s="53"/>
      <c r="KFI2459" s="53"/>
      <c r="KFJ2459" s="60"/>
      <c r="KFK2459" s="53"/>
      <c r="KFL2459" s="53"/>
      <c r="KFM2459" s="53"/>
      <c r="KFN2459" s="61"/>
      <c r="KFO2459" s="53"/>
      <c r="KFP2459" s="53"/>
      <c r="KFQ2459" s="53"/>
      <c r="KFR2459" s="60"/>
      <c r="KFS2459" s="53"/>
      <c r="KFT2459" s="53"/>
      <c r="KFU2459" s="53"/>
      <c r="KFV2459" s="61"/>
      <c r="KFW2459" s="53"/>
      <c r="KFX2459" s="53"/>
      <c r="KFY2459" s="53"/>
      <c r="KFZ2459" s="60"/>
      <c r="KGA2459" s="53"/>
      <c r="KGB2459" s="53"/>
      <c r="KGC2459" s="53"/>
      <c r="KGD2459" s="61"/>
      <c r="KGE2459" s="53"/>
      <c r="KGF2459" s="53"/>
      <c r="KGG2459" s="53"/>
      <c r="KGH2459" s="60"/>
      <c r="KGI2459" s="53"/>
      <c r="KGJ2459" s="53"/>
      <c r="KGK2459" s="53"/>
      <c r="KGL2459" s="61"/>
      <c r="KGM2459" s="53"/>
      <c r="KGN2459" s="53"/>
      <c r="KGO2459" s="53"/>
      <c r="KGP2459" s="60"/>
      <c r="KGQ2459" s="53"/>
      <c r="KGR2459" s="53"/>
      <c r="KGS2459" s="53"/>
      <c r="KGT2459" s="61"/>
      <c r="KGU2459" s="53"/>
      <c r="KGV2459" s="53"/>
      <c r="KGW2459" s="53"/>
      <c r="KGX2459" s="60"/>
      <c r="KGY2459" s="53"/>
      <c r="KGZ2459" s="53"/>
      <c r="KHA2459" s="53"/>
      <c r="KHB2459" s="61"/>
      <c r="KHC2459" s="53"/>
      <c r="KHD2459" s="53"/>
      <c r="KHE2459" s="53"/>
      <c r="KHF2459" s="60"/>
      <c r="KHG2459" s="53"/>
      <c r="KHH2459" s="53"/>
      <c r="KHI2459" s="53"/>
      <c r="KHJ2459" s="61"/>
      <c r="KHK2459" s="53"/>
      <c r="KHL2459" s="53"/>
      <c r="KHM2459" s="53"/>
      <c r="KHN2459" s="60"/>
      <c r="KHO2459" s="53"/>
      <c r="KHP2459" s="53"/>
      <c r="KHQ2459" s="53"/>
      <c r="KHR2459" s="61"/>
      <c r="KHS2459" s="53"/>
      <c r="KHT2459" s="53"/>
      <c r="KHU2459" s="53"/>
      <c r="KHV2459" s="60"/>
      <c r="KHW2459" s="53"/>
      <c r="KHX2459" s="53"/>
      <c r="KHY2459" s="53"/>
      <c r="KHZ2459" s="61"/>
      <c r="KIA2459" s="53"/>
      <c r="KIB2459" s="53"/>
      <c r="KIC2459" s="53"/>
      <c r="KID2459" s="60"/>
      <c r="KIE2459" s="53"/>
      <c r="KIF2459" s="53"/>
      <c r="KIG2459" s="53"/>
      <c r="KIH2459" s="61"/>
      <c r="KII2459" s="53"/>
      <c r="KIJ2459" s="53"/>
      <c r="KIK2459" s="53"/>
      <c r="KIL2459" s="60"/>
      <c r="KIM2459" s="53"/>
      <c r="KIN2459" s="53"/>
      <c r="KIO2459" s="53"/>
      <c r="KIP2459" s="61"/>
      <c r="KIQ2459" s="53"/>
      <c r="KIR2459" s="53"/>
      <c r="KIS2459" s="53"/>
      <c r="KIT2459" s="60"/>
      <c r="KIU2459" s="53"/>
      <c r="KIV2459" s="53"/>
      <c r="KIW2459" s="53"/>
      <c r="KIX2459" s="61"/>
      <c r="KIY2459" s="53"/>
      <c r="KIZ2459" s="53"/>
      <c r="KJA2459" s="53"/>
      <c r="KJB2459" s="60"/>
      <c r="KJC2459" s="53"/>
      <c r="KJD2459" s="53"/>
      <c r="KJE2459" s="53"/>
      <c r="KJF2459" s="61"/>
      <c r="KJG2459" s="53"/>
      <c r="KJH2459" s="53"/>
      <c r="KJI2459" s="53"/>
      <c r="KJJ2459" s="60"/>
      <c r="KJK2459" s="53"/>
      <c r="KJL2459" s="53"/>
      <c r="KJM2459" s="53"/>
      <c r="KJN2459" s="61"/>
      <c r="KJO2459" s="53"/>
      <c r="KJP2459" s="53"/>
      <c r="KJQ2459" s="53"/>
      <c r="KJR2459" s="60"/>
      <c r="KJS2459" s="53"/>
      <c r="KJT2459" s="53"/>
      <c r="KJU2459" s="53"/>
      <c r="KJV2459" s="61"/>
      <c r="KJW2459" s="53"/>
      <c r="KJX2459" s="53"/>
      <c r="KJY2459" s="53"/>
      <c r="KJZ2459" s="60"/>
      <c r="KKA2459" s="53"/>
      <c r="KKB2459" s="53"/>
      <c r="KKC2459" s="53"/>
      <c r="KKD2459" s="61"/>
      <c r="KKE2459" s="53"/>
      <c r="KKF2459" s="53"/>
      <c r="KKG2459" s="53"/>
      <c r="KKH2459" s="60"/>
      <c r="KKI2459" s="53"/>
      <c r="KKJ2459" s="53"/>
      <c r="KKK2459" s="53"/>
      <c r="KKL2459" s="61"/>
      <c r="KKM2459" s="53"/>
      <c r="KKN2459" s="53"/>
      <c r="KKO2459" s="53"/>
      <c r="KKP2459" s="60"/>
      <c r="KKQ2459" s="53"/>
      <c r="KKR2459" s="53"/>
      <c r="KKS2459" s="53"/>
      <c r="KKT2459" s="61"/>
      <c r="KKU2459" s="53"/>
      <c r="KKV2459" s="53"/>
      <c r="KKW2459" s="53"/>
      <c r="KKX2459" s="60"/>
      <c r="KKY2459" s="53"/>
      <c r="KKZ2459" s="53"/>
      <c r="KLA2459" s="53"/>
      <c r="KLB2459" s="61"/>
      <c r="KLC2459" s="53"/>
      <c r="KLD2459" s="53"/>
      <c r="KLE2459" s="53"/>
      <c r="KLF2459" s="60"/>
      <c r="KLG2459" s="53"/>
      <c r="KLH2459" s="53"/>
      <c r="KLI2459" s="53"/>
      <c r="KLJ2459" s="61"/>
      <c r="KLK2459" s="53"/>
      <c r="KLL2459" s="53"/>
      <c r="KLM2459" s="53"/>
      <c r="KLN2459" s="60"/>
      <c r="KLO2459" s="53"/>
      <c r="KLP2459" s="53"/>
      <c r="KLQ2459" s="53"/>
      <c r="KLR2459" s="61"/>
      <c r="KLS2459" s="53"/>
      <c r="KLT2459" s="53"/>
      <c r="KLU2459" s="53"/>
      <c r="KLV2459" s="60"/>
      <c r="KLW2459" s="53"/>
      <c r="KLX2459" s="53"/>
      <c r="KLY2459" s="53"/>
      <c r="KLZ2459" s="61"/>
      <c r="KMA2459" s="53"/>
      <c r="KMB2459" s="53"/>
      <c r="KMC2459" s="53"/>
      <c r="KMD2459" s="60"/>
      <c r="KME2459" s="53"/>
      <c r="KMF2459" s="53"/>
      <c r="KMG2459" s="53"/>
      <c r="KMH2459" s="61"/>
      <c r="KMI2459" s="53"/>
      <c r="KMJ2459" s="53"/>
      <c r="KMK2459" s="53"/>
      <c r="KML2459" s="60"/>
      <c r="KMM2459" s="53"/>
      <c r="KMN2459" s="53"/>
      <c r="KMO2459" s="53"/>
      <c r="KMP2459" s="61"/>
      <c r="KMQ2459" s="53"/>
      <c r="KMR2459" s="53"/>
      <c r="KMS2459" s="53"/>
      <c r="KMT2459" s="60"/>
      <c r="KMU2459" s="53"/>
      <c r="KMV2459" s="53"/>
      <c r="KMW2459" s="53"/>
      <c r="KMX2459" s="61"/>
      <c r="KMY2459" s="53"/>
      <c r="KMZ2459" s="53"/>
      <c r="KNA2459" s="53"/>
      <c r="KNB2459" s="60"/>
      <c r="KNC2459" s="53"/>
      <c r="KND2459" s="53"/>
      <c r="KNE2459" s="53"/>
      <c r="KNF2459" s="61"/>
      <c r="KNG2459" s="53"/>
      <c r="KNH2459" s="53"/>
      <c r="KNI2459" s="53"/>
      <c r="KNJ2459" s="60"/>
      <c r="KNK2459" s="53"/>
      <c r="KNL2459" s="53"/>
      <c r="KNM2459" s="53"/>
      <c r="KNN2459" s="61"/>
      <c r="KNO2459" s="53"/>
      <c r="KNP2459" s="53"/>
      <c r="KNQ2459" s="53"/>
      <c r="KNR2459" s="60"/>
      <c r="KNS2459" s="53"/>
      <c r="KNT2459" s="53"/>
      <c r="KNU2459" s="53"/>
      <c r="KNV2459" s="61"/>
      <c r="KNW2459" s="53"/>
      <c r="KNX2459" s="53"/>
      <c r="KNY2459" s="53"/>
      <c r="KNZ2459" s="60"/>
      <c r="KOA2459" s="53"/>
      <c r="KOB2459" s="53"/>
      <c r="KOC2459" s="53"/>
      <c r="KOD2459" s="61"/>
      <c r="KOE2459" s="53"/>
      <c r="KOF2459" s="53"/>
      <c r="KOG2459" s="53"/>
      <c r="KOH2459" s="60"/>
      <c r="KOI2459" s="53"/>
      <c r="KOJ2459" s="53"/>
      <c r="KOK2459" s="53"/>
      <c r="KOL2459" s="61"/>
      <c r="KOM2459" s="53"/>
      <c r="KON2459" s="53"/>
      <c r="KOO2459" s="53"/>
      <c r="KOP2459" s="60"/>
      <c r="KOQ2459" s="53"/>
      <c r="KOR2459" s="53"/>
      <c r="KOS2459" s="53"/>
      <c r="KOT2459" s="61"/>
      <c r="KOU2459" s="53"/>
      <c r="KOV2459" s="53"/>
      <c r="KOW2459" s="53"/>
      <c r="KOX2459" s="60"/>
      <c r="KOY2459" s="53"/>
      <c r="KOZ2459" s="53"/>
      <c r="KPA2459" s="53"/>
      <c r="KPB2459" s="61"/>
      <c r="KPC2459" s="53"/>
      <c r="KPD2459" s="53"/>
      <c r="KPE2459" s="53"/>
      <c r="KPF2459" s="60"/>
      <c r="KPG2459" s="53"/>
      <c r="KPH2459" s="53"/>
      <c r="KPI2459" s="53"/>
      <c r="KPJ2459" s="61"/>
      <c r="KPK2459" s="53"/>
      <c r="KPL2459" s="53"/>
      <c r="KPM2459" s="53"/>
      <c r="KPN2459" s="60"/>
      <c r="KPO2459" s="53"/>
      <c r="KPP2459" s="53"/>
      <c r="KPQ2459" s="53"/>
      <c r="KPR2459" s="61"/>
      <c r="KPS2459" s="53"/>
      <c r="KPT2459" s="53"/>
      <c r="KPU2459" s="53"/>
      <c r="KPV2459" s="60"/>
      <c r="KPW2459" s="53"/>
      <c r="KPX2459" s="53"/>
      <c r="KPY2459" s="53"/>
      <c r="KPZ2459" s="61"/>
      <c r="KQA2459" s="53"/>
      <c r="KQB2459" s="53"/>
      <c r="KQC2459" s="53"/>
      <c r="KQD2459" s="60"/>
      <c r="KQE2459" s="53"/>
      <c r="KQF2459" s="53"/>
      <c r="KQG2459" s="53"/>
      <c r="KQH2459" s="61"/>
      <c r="KQI2459" s="53"/>
      <c r="KQJ2459" s="53"/>
      <c r="KQK2459" s="53"/>
      <c r="KQL2459" s="60"/>
      <c r="KQM2459" s="53"/>
      <c r="KQN2459" s="53"/>
      <c r="KQO2459" s="53"/>
      <c r="KQP2459" s="61"/>
      <c r="KQQ2459" s="53"/>
      <c r="KQR2459" s="53"/>
      <c r="KQS2459" s="53"/>
      <c r="KQT2459" s="60"/>
      <c r="KQU2459" s="53"/>
      <c r="KQV2459" s="53"/>
      <c r="KQW2459" s="53"/>
      <c r="KQX2459" s="61"/>
      <c r="KQY2459" s="53"/>
      <c r="KQZ2459" s="53"/>
      <c r="KRA2459" s="53"/>
      <c r="KRB2459" s="60"/>
      <c r="KRC2459" s="53"/>
      <c r="KRD2459" s="53"/>
      <c r="KRE2459" s="53"/>
      <c r="KRF2459" s="61"/>
      <c r="KRG2459" s="53"/>
      <c r="KRH2459" s="53"/>
      <c r="KRI2459" s="53"/>
      <c r="KRJ2459" s="60"/>
      <c r="KRK2459" s="53"/>
      <c r="KRL2459" s="53"/>
      <c r="KRM2459" s="53"/>
      <c r="KRN2459" s="61"/>
      <c r="KRO2459" s="53"/>
      <c r="KRP2459" s="53"/>
      <c r="KRQ2459" s="53"/>
      <c r="KRR2459" s="60"/>
      <c r="KRS2459" s="53"/>
      <c r="KRT2459" s="53"/>
      <c r="KRU2459" s="53"/>
      <c r="KRV2459" s="61"/>
      <c r="KRW2459" s="53"/>
      <c r="KRX2459" s="53"/>
      <c r="KRY2459" s="53"/>
      <c r="KRZ2459" s="60"/>
      <c r="KSA2459" s="53"/>
      <c r="KSB2459" s="53"/>
      <c r="KSC2459" s="53"/>
      <c r="KSD2459" s="61"/>
      <c r="KSE2459" s="53"/>
      <c r="KSF2459" s="53"/>
      <c r="KSG2459" s="53"/>
      <c r="KSH2459" s="60"/>
      <c r="KSI2459" s="53"/>
      <c r="KSJ2459" s="53"/>
      <c r="KSK2459" s="53"/>
      <c r="KSL2459" s="61"/>
      <c r="KSM2459" s="53"/>
      <c r="KSN2459" s="53"/>
      <c r="KSO2459" s="53"/>
      <c r="KSP2459" s="60"/>
      <c r="KSQ2459" s="53"/>
      <c r="KSR2459" s="53"/>
      <c r="KSS2459" s="53"/>
      <c r="KST2459" s="61"/>
      <c r="KSU2459" s="53"/>
      <c r="KSV2459" s="53"/>
      <c r="KSW2459" s="53"/>
      <c r="KSX2459" s="60"/>
      <c r="KSY2459" s="53"/>
      <c r="KSZ2459" s="53"/>
      <c r="KTA2459" s="53"/>
      <c r="KTB2459" s="61"/>
      <c r="KTC2459" s="53"/>
      <c r="KTD2459" s="53"/>
      <c r="KTE2459" s="53"/>
      <c r="KTF2459" s="60"/>
      <c r="KTG2459" s="53"/>
      <c r="KTH2459" s="53"/>
      <c r="KTI2459" s="53"/>
      <c r="KTJ2459" s="61"/>
      <c r="KTK2459" s="53"/>
      <c r="KTL2459" s="53"/>
      <c r="KTM2459" s="53"/>
      <c r="KTN2459" s="60"/>
      <c r="KTO2459" s="53"/>
      <c r="KTP2459" s="53"/>
      <c r="KTQ2459" s="53"/>
      <c r="KTR2459" s="61"/>
      <c r="KTS2459" s="53"/>
      <c r="KTT2459" s="53"/>
      <c r="KTU2459" s="53"/>
      <c r="KTV2459" s="60"/>
      <c r="KTW2459" s="53"/>
      <c r="KTX2459" s="53"/>
      <c r="KTY2459" s="53"/>
      <c r="KTZ2459" s="61"/>
      <c r="KUA2459" s="53"/>
      <c r="KUB2459" s="53"/>
      <c r="KUC2459" s="53"/>
      <c r="KUD2459" s="60"/>
      <c r="KUE2459" s="53"/>
      <c r="KUF2459" s="53"/>
      <c r="KUG2459" s="53"/>
      <c r="KUH2459" s="61"/>
      <c r="KUI2459" s="53"/>
      <c r="KUJ2459" s="53"/>
      <c r="KUK2459" s="53"/>
      <c r="KUL2459" s="60"/>
      <c r="KUM2459" s="53"/>
      <c r="KUN2459" s="53"/>
      <c r="KUO2459" s="53"/>
      <c r="KUP2459" s="61"/>
      <c r="KUQ2459" s="53"/>
      <c r="KUR2459" s="53"/>
      <c r="KUS2459" s="53"/>
      <c r="KUT2459" s="60"/>
      <c r="KUU2459" s="53"/>
      <c r="KUV2459" s="53"/>
      <c r="KUW2459" s="53"/>
      <c r="KUX2459" s="61"/>
      <c r="KUY2459" s="53"/>
      <c r="KUZ2459" s="53"/>
      <c r="KVA2459" s="53"/>
      <c r="KVB2459" s="60"/>
      <c r="KVC2459" s="53"/>
      <c r="KVD2459" s="53"/>
      <c r="KVE2459" s="53"/>
      <c r="KVF2459" s="61"/>
      <c r="KVG2459" s="53"/>
      <c r="KVH2459" s="53"/>
      <c r="KVI2459" s="53"/>
      <c r="KVJ2459" s="60"/>
      <c r="KVK2459" s="53"/>
      <c r="KVL2459" s="53"/>
      <c r="KVM2459" s="53"/>
      <c r="KVN2459" s="61"/>
      <c r="KVO2459" s="53"/>
      <c r="KVP2459" s="53"/>
      <c r="KVQ2459" s="53"/>
      <c r="KVR2459" s="60"/>
      <c r="KVS2459" s="53"/>
      <c r="KVT2459" s="53"/>
      <c r="KVU2459" s="53"/>
      <c r="KVV2459" s="61"/>
      <c r="KVW2459" s="53"/>
      <c r="KVX2459" s="53"/>
      <c r="KVY2459" s="53"/>
      <c r="KVZ2459" s="60"/>
      <c r="KWA2459" s="53"/>
      <c r="KWB2459" s="53"/>
      <c r="KWC2459" s="53"/>
      <c r="KWD2459" s="61"/>
      <c r="KWE2459" s="53"/>
      <c r="KWF2459" s="53"/>
      <c r="KWG2459" s="53"/>
      <c r="KWH2459" s="60"/>
      <c r="KWI2459" s="53"/>
      <c r="KWJ2459" s="53"/>
      <c r="KWK2459" s="53"/>
      <c r="KWL2459" s="61"/>
      <c r="KWM2459" s="53"/>
      <c r="KWN2459" s="53"/>
      <c r="KWO2459" s="53"/>
      <c r="KWP2459" s="60"/>
      <c r="KWQ2459" s="53"/>
      <c r="KWR2459" s="53"/>
      <c r="KWS2459" s="53"/>
      <c r="KWT2459" s="61"/>
      <c r="KWU2459" s="53"/>
      <c r="KWV2459" s="53"/>
      <c r="KWW2459" s="53"/>
      <c r="KWX2459" s="60"/>
      <c r="KWY2459" s="53"/>
      <c r="KWZ2459" s="53"/>
      <c r="KXA2459" s="53"/>
      <c r="KXB2459" s="61"/>
      <c r="KXC2459" s="53"/>
      <c r="KXD2459" s="53"/>
      <c r="KXE2459" s="53"/>
      <c r="KXF2459" s="60"/>
      <c r="KXG2459" s="53"/>
      <c r="KXH2459" s="53"/>
      <c r="KXI2459" s="53"/>
      <c r="KXJ2459" s="61"/>
      <c r="KXK2459" s="53"/>
      <c r="KXL2459" s="53"/>
      <c r="KXM2459" s="53"/>
      <c r="KXN2459" s="60"/>
      <c r="KXO2459" s="53"/>
      <c r="KXP2459" s="53"/>
      <c r="KXQ2459" s="53"/>
      <c r="KXR2459" s="61"/>
      <c r="KXS2459" s="53"/>
      <c r="KXT2459" s="53"/>
      <c r="KXU2459" s="53"/>
      <c r="KXV2459" s="60"/>
      <c r="KXW2459" s="53"/>
      <c r="KXX2459" s="53"/>
      <c r="KXY2459" s="53"/>
      <c r="KXZ2459" s="61"/>
      <c r="KYA2459" s="53"/>
      <c r="KYB2459" s="53"/>
      <c r="KYC2459" s="53"/>
      <c r="KYD2459" s="60"/>
      <c r="KYE2459" s="53"/>
      <c r="KYF2459" s="53"/>
      <c r="KYG2459" s="53"/>
      <c r="KYH2459" s="61"/>
      <c r="KYI2459" s="53"/>
      <c r="KYJ2459" s="53"/>
      <c r="KYK2459" s="53"/>
      <c r="KYL2459" s="60"/>
      <c r="KYM2459" s="53"/>
      <c r="KYN2459" s="53"/>
      <c r="KYO2459" s="53"/>
      <c r="KYP2459" s="61"/>
      <c r="KYQ2459" s="53"/>
      <c r="KYR2459" s="53"/>
      <c r="KYS2459" s="53"/>
      <c r="KYT2459" s="60"/>
      <c r="KYU2459" s="53"/>
      <c r="KYV2459" s="53"/>
      <c r="KYW2459" s="53"/>
      <c r="KYX2459" s="61"/>
      <c r="KYY2459" s="53"/>
      <c r="KYZ2459" s="53"/>
      <c r="KZA2459" s="53"/>
      <c r="KZB2459" s="60"/>
      <c r="KZC2459" s="53"/>
      <c r="KZD2459" s="53"/>
      <c r="KZE2459" s="53"/>
      <c r="KZF2459" s="61"/>
      <c r="KZG2459" s="53"/>
      <c r="KZH2459" s="53"/>
      <c r="KZI2459" s="53"/>
      <c r="KZJ2459" s="60"/>
      <c r="KZK2459" s="53"/>
      <c r="KZL2459" s="53"/>
      <c r="KZM2459" s="53"/>
      <c r="KZN2459" s="61"/>
      <c r="KZO2459" s="53"/>
      <c r="KZP2459" s="53"/>
      <c r="KZQ2459" s="53"/>
      <c r="KZR2459" s="60"/>
      <c r="KZS2459" s="53"/>
      <c r="KZT2459" s="53"/>
      <c r="KZU2459" s="53"/>
      <c r="KZV2459" s="61"/>
      <c r="KZW2459" s="53"/>
      <c r="KZX2459" s="53"/>
      <c r="KZY2459" s="53"/>
      <c r="KZZ2459" s="60"/>
      <c r="LAA2459" s="53"/>
      <c r="LAB2459" s="53"/>
      <c r="LAC2459" s="53"/>
      <c r="LAD2459" s="61"/>
      <c r="LAE2459" s="53"/>
      <c r="LAF2459" s="53"/>
      <c r="LAG2459" s="53"/>
      <c r="LAH2459" s="60"/>
      <c r="LAI2459" s="53"/>
      <c r="LAJ2459" s="53"/>
      <c r="LAK2459" s="53"/>
      <c r="LAL2459" s="61"/>
      <c r="LAM2459" s="53"/>
      <c r="LAN2459" s="53"/>
      <c r="LAO2459" s="53"/>
      <c r="LAP2459" s="60"/>
      <c r="LAQ2459" s="53"/>
      <c r="LAR2459" s="53"/>
      <c r="LAS2459" s="53"/>
      <c r="LAT2459" s="61"/>
      <c r="LAU2459" s="53"/>
      <c r="LAV2459" s="53"/>
      <c r="LAW2459" s="53"/>
      <c r="LAX2459" s="60"/>
      <c r="LAY2459" s="53"/>
      <c r="LAZ2459" s="53"/>
      <c r="LBA2459" s="53"/>
      <c r="LBB2459" s="61"/>
      <c r="LBC2459" s="53"/>
      <c r="LBD2459" s="53"/>
      <c r="LBE2459" s="53"/>
      <c r="LBF2459" s="60"/>
      <c r="LBG2459" s="53"/>
      <c r="LBH2459" s="53"/>
      <c r="LBI2459" s="53"/>
      <c r="LBJ2459" s="61"/>
      <c r="LBK2459" s="53"/>
      <c r="LBL2459" s="53"/>
      <c r="LBM2459" s="53"/>
      <c r="LBN2459" s="60"/>
      <c r="LBO2459" s="53"/>
      <c r="LBP2459" s="53"/>
      <c r="LBQ2459" s="53"/>
      <c r="LBR2459" s="61"/>
      <c r="LBS2459" s="53"/>
      <c r="LBT2459" s="53"/>
      <c r="LBU2459" s="53"/>
      <c r="LBV2459" s="60"/>
      <c r="LBW2459" s="53"/>
      <c r="LBX2459" s="53"/>
      <c r="LBY2459" s="53"/>
      <c r="LBZ2459" s="61"/>
      <c r="LCA2459" s="53"/>
      <c r="LCB2459" s="53"/>
      <c r="LCC2459" s="53"/>
      <c r="LCD2459" s="60"/>
      <c r="LCE2459" s="53"/>
      <c r="LCF2459" s="53"/>
      <c r="LCG2459" s="53"/>
      <c r="LCH2459" s="61"/>
      <c r="LCI2459" s="53"/>
      <c r="LCJ2459" s="53"/>
      <c r="LCK2459" s="53"/>
      <c r="LCL2459" s="60"/>
      <c r="LCM2459" s="53"/>
      <c r="LCN2459" s="53"/>
      <c r="LCO2459" s="53"/>
      <c r="LCP2459" s="61"/>
      <c r="LCQ2459" s="53"/>
      <c r="LCR2459" s="53"/>
      <c r="LCS2459" s="53"/>
      <c r="LCT2459" s="60"/>
      <c r="LCU2459" s="53"/>
      <c r="LCV2459" s="53"/>
      <c r="LCW2459" s="53"/>
      <c r="LCX2459" s="61"/>
      <c r="LCY2459" s="53"/>
      <c r="LCZ2459" s="53"/>
      <c r="LDA2459" s="53"/>
      <c r="LDB2459" s="60"/>
      <c r="LDC2459" s="53"/>
      <c r="LDD2459" s="53"/>
      <c r="LDE2459" s="53"/>
      <c r="LDF2459" s="61"/>
      <c r="LDG2459" s="53"/>
      <c r="LDH2459" s="53"/>
      <c r="LDI2459" s="53"/>
      <c r="LDJ2459" s="60"/>
      <c r="LDK2459" s="53"/>
      <c r="LDL2459" s="53"/>
      <c r="LDM2459" s="53"/>
      <c r="LDN2459" s="61"/>
      <c r="LDO2459" s="53"/>
      <c r="LDP2459" s="53"/>
      <c r="LDQ2459" s="53"/>
      <c r="LDR2459" s="60"/>
      <c r="LDS2459" s="53"/>
      <c r="LDT2459" s="53"/>
      <c r="LDU2459" s="53"/>
      <c r="LDV2459" s="61"/>
      <c r="LDW2459" s="53"/>
      <c r="LDX2459" s="53"/>
      <c r="LDY2459" s="53"/>
      <c r="LDZ2459" s="60"/>
      <c r="LEA2459" s="53"/>
      <c r="LEB2459" s="53"/>
      <c r="LEC2459" s="53"/>
      <c r="LED2459" s="61"/>
      <c r="LEE2459" s="53"/>
      <c r="LEF2459" s="53"/>
      <c r="LEG2459" s="53"/>
      <c r="LEH2459" s="60"/>
      <c r="LEI2459" s="53"/>
      <c r="LEJ2459" s="53"/>
      <c r="LEK2459" s="53"/>
      <c r="LEL2459" s="61"/>
      <c r="LEM2459" s="53"/>
      <c r="LEN2459" s="53"/>
      <c r="LEO2459" s="53"/>
      <c r="LEP2459" s="60"/>
      <c r="LEQ2459" s="53"/>
      <c r="LER2459" s="53"/>
      <c r="LES2459" s="53"/>
      <c r="LET2459" s="61"/>
      <c r="LEU2459" s="53"/>
      <c r="LEV2459" s="53"/>
      <c r="LEW2459" s="53"/>
      <c r="LEX2459" s="60"/>
      <c r="LEY2459" s="53"/>
      <c r="LEZ2459" s="53"/>
      <c r="LFA2459" s="53"/>
      <c r="LFB2459" s="61"/>
      <c r="LFC2459" s="53"/>
      <c r="LFD2459" s="53"/>
      <c r="LFE2459" s="53"/>
      <c r="LFF2459" s="60"/>
      <c r="LFG2459" s="53"/>
      <c r="LFH2459" s="53"/>
      <c r="LFI2459" s="53"/>
      <c r="LFJ2459" s="61"/>
      <c r="LFK2459" s="53"/>
      <c r="LFL2459" s="53"/>
      <c r="LFM2459" s="53"/>
      <c r="LFN2459" s="60"/>
      <c r="LFO2459" s="53"/>
      <c r="LFP2459" s="53"/>
      <c r="LFQ2459" s="53"/>
      <c r="LFR2459" s="61"/>
      <c r="LFS2459" s="53"/>
      <c r="LFT2459" s="53"/>
      <c r="LFU2459" s="53"/>
      <c r="LFV2459" s="60"/>
      <c r="LFW2459" s="53"/>
      <c r="LFX2459" s="53"/>
      <c r="LFY2459" s="53"/>
      <c r="LFZ2459" s="61"/>
      <c r="LGA2459" s="53"/>
      <c r="LGB2459" s="53"/>
      <c r="LGC2459" s="53"/>
      <c r="LGD2459" s="60"/>
      <c r="LGE2459" s="53"/>
      <c r="LGF2459" s="53"/>
      <c r="LGG2459" s="53"/>
      <c r="LGH2459" s="61"/>
      <c r="LGI2459" s="53"/>
      <c r="LGJ2459" s="53"/>
      <c r="LGK2459" s="53"/>
      <c r="LGL2459" s="60"/>
      <c r="LGM2459" s="53"/>
      <c r="LGN2459" s="53"/>
      <c r="LGO2459" s="53"/>
      <c r="LGP2459" s="61"/>
      <c r="LGQ2459" s="53"/>
      <c r="LGR2459" s="53"/>
      <c r="LGS2459" s="53"/>
      <c r="LGT2459" s="60"/>
      <c r="LGU2459" s="53"/>
      <c r="LGV2459" s="53"/>
      <c r="LGW2459" s="53"/>
      <c r="LGX2459" s="61"/>
      <c r="LGY2459" s="53"/>
      <c r="LGZ2459" s="53"/>
      <c r="LHA2459" s="53"/>
      <c r="LHB2459" s="60"/>
      <c r="LHC2459" s="53"/>
      <c r="LHD2459" s="53"/>
      <c r="LHE2459" s="53"/>
      <c r="LHF2459" s="61"/>
      <c r="LHG2459" s="53"/>
      <c r="LHH2459" s="53"/>
      <c r="LHI2459" s="53"/>
      <c r="LHJ2459" s="60"/>
      <c r="LHK2459" s="53"/>
      <c r="LHL2459" s="53"/>
      <c r="LHM2459" s="53"/>
      <c r="LHN2459" s="61"/>
      <c r="LHO2459" s="53"/>
      <c r="LHP2459" s="53"/>
      <c r="LHQ2459" s="53"/>
      <c r="LHR2459" s="60"/>
      <c r="LHS2459" s="53"/>
      <c r="LHT2459" s="53"/>
      <c r="LHU2459" s="53"/>
      <c r="LHV2459" s="61"/>
      <c r="LHW2459" s="53"/>
      <c r="LHX2459" s="53"/>
      <c r="LHY2459" s="53"/>
      <c r="LHZ2459" s="60"/>
      <c r="LIA2459" s="53"/>
      <c r="LIB2459" s="53"/>
      <c r="LIC2459" s="53"/>
      <c r="LID2459" s="61"/>
      <c r="LIE2459" s="53"/>
      <c r="LIF2459" s="53"/>
      <c r="LIG2459" s="53"/>
      <c r="LIH2459" s="60"/>
      <c r="LII2459" s="53"/>
      <c r="LIJ2459" s="53"/>
      <c r="LIK2459" s="53"/>
      <c r="LIL2459" s="61"/>
      <c r="LIM2459" s="53"/>
      <c r="LIN2459" s="53"/>
      <c r="LIO2459" s="53"/>
      <c r="LIP2459" s="60"/>
      <c r="LIQ2459" s="53"/>
      <c r="LIR2459" s="53"/>
      <c r="LIS2459" s="53"/>
      <c r="LIT2459" s="61"/>
      <c r="LIU2459" s="53"/>
      <c r="LIV2459" s="53"/>
      <c r="LIW2459" s="53"/>
      <c r="LIX2459" s="60"/>
      <c r="LIY2459" s="53"/>
      <c r="LIZ2459" s="53"/>
      <c r="LJA2459" s="53"/>
      <c r="LJB2459" s="61"/>
      <c r="LJC2459" s="53"/>
      <c r="LJD2459" s="53"/>
      <c r="LJE2459" s="53"/>
      <c r="LJF2459" s="60"/>
      <c r="LJG2459" s="53"/>
      <c r="LJH2459" s="53"/>
      <c r="LJI2459" s="53"/>
      <c r="LJJ2459" s="61"/>
      <c r="LJK2459" s="53"/>
      <c r="LJL2459" s="53"/>
      <c r="LJM2459" s="53"/>
      <c r="LJN2459" s="60"/>
      <c r="LJO2459" s="53"/>
      <c r="LJP2459" s="53"/>
      <c r="LJQ2459" s="53"/>
      <c r="LJR2459" s="61"/>
      <c r="LJS2459" s="53"/>
      <c r="LJT2459" s="53"/>
      <c r="LJU2459" s="53"/>
      <c r="LJV2459" s="60"/>
      <c r="LJW2459" s="53"/>
      <c r="LJX2459" s="53"/>
      <c r="LJY2459" s="53"/>
      <c r="LJZ2459" s="61"/>
      <c r="LKA2459" s="53"/>
      <c r="LKB2459" s="53"/>
      <c r="LKC2459" s="53"/>
      <c r="LKD2459" s="60"/>
      <c r="LKE2459" s="53"/>
      <c r="LKF2459" s="53"/>
      <c r="LKG2459" s="53"/>
      <c r="LKH2459" s="61"/>
      <c r="LKI2459" s="53"/>
      <c r="LKJ2459" s="53"/>
      <c r="LKK2459" s="53"/>
      <c r="LKL2459" s="60"/>
      <c r="LKM2459" s="53"/>
      <c r="LKN2459" s="53"/>
      <c r="LKO2459" s="53"/>
      <c r="LKP2459" s="61"/>
      <c r="LKQ2459" s="53"/>
      <c r="LKR2459" s="53"/>
      <c r="LKS2459" s="53"/>
      <c r="LKT2459" s="60"/>
      <c r="LKU2459" s="53"/>
      <c r="LKV2459" s="53"/>
      <c r="LKW2459" s="53"/>
      <c r="LKX2459" s="61"/>
      <c r="LKY2459" s="53"/>
      <c r="LKZ2459" s="53"/>
      <c r="LLA2459" s="53"/>
      <c r="LLB2459" s="60"/>
      <c r="LLC2459" s="53"/>
      <c r="LLD2459" s="53"/>
      <c r="LLE2459" s="53"/>
      <c r="LLF2459" s="61"/>
      <c r="LLG2459" s="53"/>
      <c r="LLH2459" s="53"/>
      <c r="LLI2459" s="53"/>
      <c r="LLJ2459" s="60"/>
      <c r="LLK2459" s="53"/>
      <c r="LLL2459" s="53"/>
      <c r="LLM2459" s="53"/>
      <c r="LLN2459" s="61"/>
      <c r="LLO2459" s="53"/>
      <c r="LLP2459" s="53"/>
      <c r="LLQ2459" s="53"/>
      <c r="LLR2459" s="60"/>
      <c r="LLS2459" s="53"/>
      <c r="LLT2459" s="53"/>
      <c r="LLU2459" s="53"/>
      <c r="LLV2459" s="61"/>
      <c r="LLW2459" s="53"/>
      <c r="LLX2459" s="53"/>
      <c r="LLY2459" s="53"/>
      <c r="LLZ2459" s="60"/>
      <c r="LMA2459" s="53"/>
      <c r="LMB2459" s="53"/>
      <c r="LMC2459" s="53"/>
      <c r="LMD2459" s="61"/>
      <c r="LME2459" s="53"/>
      <c r="LMF2459" s="53"/>
      <c r="LMG2459" s="53"/>
      <c r="LMH2459" s="60"/>
      <c r="LMI2459" s="53"/>
      <c r="LMJ2459" s="53"/>
      <c r="LMK2459" s="53"/>
      <c r="LML2459" s="61"/>
      <c r="LMM2459" s="53"/>
      <c r="LMN2459" s="53"/>
      <c r="LMO2459" s="53"/>
      <c r="LMP2459" s="60"/>
      <c r="LMQ2459" s="53"/>
      <c r="LMR2459" s="53"/>
      <c r="LMS2459" s="53"/>
      <c r="LMT2459" s="61"/>
      <c r="LMU2459" s="53"/>
      <c r="LMV2459" s="53"/>
      <c r="LMW2459" s="53"/>
      <c r="LMX2459" s="60"/>
      <c r="LMY2459" s="53"/>
      <c r="LMZ2459" s="53"/>
      <c r="LNA2459" s="53"/>
      <c r="LNB2459" s="61"/>
      <c r="LNC2459" s="53"/>
      <c r="LND2459" s="53"/>
      <c r="LNE2459" s="53"/>
      <c r="LNF2459" s="60"/>
      <c r="LNG2459" s="53"/>
      <c r="LNH2459" s="53"/>
      <c r="LNI2459" s="53"/>
      <c r="LNJ2459" s="61"/>
      <c r="LNK2459" s="53"/>
      <c r="LNL2459" s="53"/>
      <c r="LNM2459" s="53"/>
      <c r="LNN2459" s="60"/>
      <c r="LNO2459" s="53"/>
      <c r="LNP2459" s="53"/>
      <c r="LNQ2459" s="53"/>
      <c r="LNR2459" s="61"/>
      <c r="LNS2459" s="53"/>
      <c r="LNT2459" s="53"/>
      <c r="LNU2459" s="53"/>
      <c r="LNV2459" s="60"/>
      <c r="LNW2459" s="53"/>
      <c r="LNX2459" s="53"/>
      <c r="LNY2459" s="53"/>
      <c r="LNZ2459" s="61"/>
      <c r="LOA2459" s="53"/>
      <c r="LOB2459" s="53"/>
      <c r="LOC2459" s="53"/>
      <c r="LOD2459" s="60"/>
      <c r="LOE2459" s="53"/>
      <c r="LOF2459" s="53"/>
      <c r="LOG2459" s="53"/>
      <c r="LOH2459" s="61"/>
      <c r="LOI2459" s="53"/>
      <c r="LOJ2459" s="53"/>
      <c r="LOK2459" s="53"/>
      <c r="LOL2459" s="60"/>
      <c r="LOM2459" s="53"/>
      <c r="LON2459" s="53"/>
      <c r="LOO2459" s="53"/>
      <c r="LOP2459" s="61"/>
      <c r="LOQ2459" s="53"/>
      <c r="LOR2459" s="53"/>
      <c r="LOS2459" s="53"/>
      <c r="LOT2459" s="60"/>
      <c r="LOU2459" s="53"/>
      <c r="LOV2459" s="53"/>
      <c r="LOW2459" s="53"/>
      <c r="LOX2459" s="61"/>
      <c r="LOY2459" s="53"/>
      <c r="LOZ2459" s="53"/>
      <c r="LPA2459" s="53"/>
      <c r="LPB2459" s="60"/>
      <c r="LPC2459" s="53"/>
      <c r="LPD2459" s="53"/>
      <c r="LPE2459" s="53"/>
      <c r="LPF2459" s="61"/>
      <c r="LPG2459" s="53"/>
      <c r="LPH2459" s="53"/>
      <c r="LPI2459" s="53"/>
      <c r="LPJ2459" s="60"/>
      <c r="LPK2459" s="53"/>
      <c r="LPL2459" s="53"/>
      <c r="LPM2459" s="53"/>
      <c r="LPN2459" s="61"/>
      <c r="LPO2459" s="53"/>
      <c r="LPP2459" s="53"/>
      <c r="LPQ2459" s="53"/>
      <c r="LPR2459" s="60"/>
      <c r="LPS2459" s="53"/>
      <c r="LPT2459" s="53"/>
      <c r="LPU2459" s="53"/>
      <c r="LPV2459" s="61"/>
      <c r="LPW2459" s="53"/>
      <c r="LPX2459" s="53"/>
      <c r="LPY2459" s="53"/>
      <c r="LPZ2459" s="60"/>
      <c r="LQA2459" s="53"/>
      <c r="LQB2459" s="53"/>
      <c r="LQC2459" s="53"/>
      <c r="LQD2459" s="61"/>
      <c r="LQE2459" s="53"/>
      <c r="LQF2459" s="53"/>
      <c r="LQG2459" s="53"/>
      <c r="LQH2459" s="60"/>
      <c r="LQI2459" s="53"/>
      <c r="LQJ2459" s="53"/>
      <c r="LQK2459" s="53"/>
      <c r="LQL2459" s="61"/>
      <c r="LQM2459" s="53"/>
      <c r="LQN2459" s="53"/>
      <c r="LQO2459" s="53"/>
      <c r="LQP2459" s="60"/>
      <c r="LQQ2459" s="53"/>
      <c r="LQR2459" s="53"/>
      <c r="LQS2459" s="53"/>
      <c r="LQT2459" s="61"/>
      <c r="LQU2459" s="53"/>
      <c r="LQV2459" s="53"/>
      <c r="LQW2459" s="53"/>
      <c r="LQX2459" s="60"/>
      <c r="LQY2459" s="53"/>
      <c r="LQZ2459" s="53"/>
      <c r="LRA2459" s="53"/>
      <c r="LRB2459" s="61"/>
      <c r="LRC2459" s="53"/>
      <c r="LRD2459" s="53"/>
      <c r="LRE2459" s="53"/>
      <c r="LRF2459" s="60"/>
      <c r="LRG2459" s="53"/>
      <c r="LRH2459" s="53"/>
      <c r="LRI2459" s="53"/>
      <c r="LRJ2459" s="61"/>
      <c r="LRK2459" s="53"/>
      <c r="LRL2459" s="53"/>
      <c r="LRM2459" s="53"/>
      <c r="LRN2459" s="60"/>
      <c r="LRO2459" s="53"/>
      <c r="LRP2459" s="53"/>
      <c r="LRQ2459" s="53"/>
      <c r="LRR2459" s="61"/>
      <c r="LRS2459" s="53"/>
      <c r="LRT2459" s="53"/>
      <c r="LRU2459" s="53"/>
      <c r="LRV2459" s="60"/>
      <c r="LRW2459" s="53"/>
      <c r="LRX2459" s="53"/>
      <c r="LRY2459" s="53"/>
      <c r="LRZ2459" s="61"/>
      <c r="LSA2459" s="53"/>
      <c r="LSB2459" s="53"/>
      <c r="LSC2459" s="53"/>
      <c r="LSD2459" s="60"/>
      <c r="LSE2459" s="53"/>
      <c r="LSF2459" s="53"/>
      <c r="LSG2459" s="53"/>
      <c r="LSH2459" s="61"/>
      <c r="LSI2459" s="53"/>
      <c r="LSJ2459" s="53"/>
      <c r="LSK2459" s="53"/>
      <c r="LSL2459" s="60"/>
      <c r="LSM2459" s="53"/>
      <c r="LSN2459" s="53"/>
      <c r="LSO2459" s="53"/>
      <c r="LSP2459" s="61"/>
      <c r="LSQ2459" s="53"/>
      <c r="LSR2459" s="53"/>
      <c r="LSS2459" s="53"/>
      <c r="LST2459" s="60"/>
      <c r="LSU2459" s="53"/>
      <c r="LSV2459" s="53"/>
      <c r="LSW2459" s="53"/>
      <c r="LSX2459" s="61"/>
      <c r="LSY2459" s="53"/>
      <c r="LSZ2459" s="53"/>
      <c r="LTA2459" s="53"/>
      <c r="LTB2459" s="60"/>
      <c r="LTC2459" s="53"/>
      <c r="LTD2459" s="53"/>
      <c r="LTE2459" s="53"/>
      <c r="LTF2459" s="61"/>
      <c r="LTG2459" s="53"/>
      <c r="LTH2459" s="53"/>
      <c r="LTI2459" s="53"/>
      <c r="LTJ2459" s="60"/>
      <c r="LTK2459" s="53"/>
      <c r="LTL2459" s="53"/>
      <c r="LTM2459" s="53"/>
      <c r="LTN2459" s="61"/>
      <c r="LTO2459" s="53"/>
      <c r="LTP2459" s="53"/>
      <c r="LTQ2459" s="53"/>
      <c r="LTR2459" s="60"/>
      <c r="LTS2459" s="53"/>
      <c r="LTT2459" s="53"/>
      <c r="LTU2459" s="53"/>
      <c r="LTV2459" s="61"/>
      <c r="LTW2459" s="53"/>
      <c r="LTX2459" s="53"/>
      <c r="LTY2459" s="53"/>
      <c r="LTZ2459" s="60"/>
      <c r="LUA2459" s="53"/>
      <c r="LUB2459" s="53"/>
      <c r="LUC2459" s="53"/>
      <c r="LUD2459" s="61"/>
      <c r="LUE2459" s="53"/>
      <c r="LUF2459" s="53"/>
      <c r="LUG2459" s="53"/>
      <c r="LUH2459" s="60"/>
      <c r="LUI2459" s="53"/>
      <c r="LUJ2459" s="53"/>
      <c r="LUK2459" s="53"/>
      <c r="LUL2459" s="61"/>
      <c r="LUM2459" s="53"/>
      <c r="LUN2459" s="53"/>
      <c r="LUO2459" s="53"/>
      <c r="LUP2459" s="60"/>
      <c r="LUQ2459" s="53"/>
      <c r="LUR2459" s="53"/>
      <c r="LUS2459" s="53"/>
      <c r="LUT2459" s="61"/>
      <c r="LUU2459" s="53"/>
      <c r="LUV2459" s="53"/>
      <c r="LUW2459" s="53"/>
      <c r="LUX2459" s="60"/>
      <c r="LUY2459" s="53"/>
      <c r="LUZ2459" s="53"/>
      <c r="LVA2459" s="53"/>
      <c r="LVB2459" s="61"/>
      <c r="LVC2459" s="53"/>
      <c r="LVD2459" s="53"/>
      <c r="LVE2459" s="53"/>
      <c r="LVF2459" s="60"/>
      <c r="LVG2459" s="53"/>
      <c r="LVH2459" s="53"/>
      <c r="LVI2459" s="53"/>
      <c r="LVJ2459" s="61"/>
      <c r="LVK2459" s="53"/>
      <c r="LVL2459" s="53"/>
      <c r="LVM2459" s="53"/>
      <c r="LVN2459" s="60"/>
      <c r="LVO2459" s="53"/>
      <c r="LVP2459" s="53"/>
      <c r="LVQ2459" s="53"/>
      <c r="LVR2459" s="61"/>
      <c r="LVS2459" s="53"/>
      <c r="LVT2459" s="53"/>
      <c r="LVU2459" s="53"/>
      <c r="LVV2459" s="60"/>
      <c r="LVW2459" s="53"/>
      <c r="LVX2459" s="53"/>
      <c r="LVY2459" s="53"/>
      <c r="LVZ2459" s="61"/>
      <c r="LWA2459" s="53"/>
      <c r="LWB2459" s="53"/>
      <c r="LWC2459" s="53"/>
      <c r="LWD2459" s="60"/>
      <c r="LWE2459" s="53"/>
      <c r="LWF2459" s="53"/>
      <c r="LWG2459" s="53"/>
      <c r="LWH2459" s="61"/>
      <c r="LWI2459" s="53"/>
      <c r="LWJ2459" s="53"/>
      <c r="LWK2459" s="53"/>
      <c r="LWL2459" s="60"/>
      <c r="LWM2459" s="53"/>
      <c r="LWN2459" s="53"/>
      <c r="LWO2459" s="53"/>
      <c r="LWP2459" s="61"/>
      <c r="LWQ2459" s="53"/>
      <c r="LWR2459" s="53"/>
      <c r="LWS2459" s="53"/>
      <c r="LWT2459" s="60"/>
      <c r="LWU2459" s="53"/>
      <c r="LWV2459" s="53"/>
      <c r="LWW2459" s="53"/>
      <c r="LWX2459" s="61"/>
      <c r="LWY2459" s="53"/>
      <c r="LWZ2459" s="53"/>
      <c r="LXA2459" s="53"/>
      <c r="LXB2459" s="60"/>
      <c r="LXC2459" s="53"/>
      <c r="LXD2459" s="53"/>
      <c r="LXE2459" s="53"/>
      <c r="LXF2459" s="61"/>
      <c r="LXG2459" s="53"/>
      <c r="LXH2459" s="53"/>
      <c r="LXI2459" s="53"/>
      <c r="LXJ2459" s="60"/>
      <c r="LXK2459" s="53"/>
      <c r="LXL2459" s="53"/>
      <c r="LXM2459" s="53"/>
      <c r="LXN2459" s="61"/>
      <c r="LXO2459" s="53"/>
      <c r="LXP2459" s="53"/>
      <c r="LXQ2459" s="53"/>
      <c r="LXR2459" s="60"/>
      <c r="LXS2459" s="53"/>
      <c r="LXT2459" s="53"/>
      <c r="LXU2459" s="53"/>
      <c r="LXV2459" s="61"/>
      <c r="LXW2459" s="53"/>
      <c r="LXX2459" s="53"/>
      <c r="LXY2459" s="53"/>
      <c r="LXZ2459" s="60"/>
      <c r="LYA2459" s="53"/>
      <c r="LYB2459" s="53"/>
      <c r="LYC2459" s="53"/>
      <c r="LYD2459" s="61"/>
      <c r="LYE2459" s="53"/>
      <c r="LYF2459" s="53"/>
      <c r="LYG2459" s="53"/>
      <c r="LYH2459" s="60"/>
      <c r="LYI2459" s="53"/>
      <c r="LYJ2459" s="53"/>
      <c r="LYK2459" s="53"/>
      <c r="LYL2459" s="61"/>
      <c r="LYM2459" s="53"/>
      <c r="LYN2459" s="53"/>
      <c r="LYO2459" s="53"/>
      <c r="LYP2459" s="60"/>
      <c r="LYQ2459" s="53"/>
      <c r="LYR2459" s="53"/>
      <c r="LYS2459" s="53"/>
      <c r="LYT2459" s="61"/>
      <c r="LYU2459" s="53"/>
      <c r="LYV2459" s="53"/>
      <c r="LYW2459" s="53"/>
      <c r="LYX2459" s="60"/>
      <c r="LYY2459" s="53"/>
      <c r="LYZ2459" s="53"/>
      <c r="LZA2459" s="53"/>
      <c r="LZB2459" s="61"/>
      <c r="LZC2459" s="53"/>
      <c r="LZD2459" s="53"/>
      <c r="LZE2459" s="53"/>
      <c r="LZF2459" s="60"/>
      <c r="LZG2459" s="53"/>
      <c r="LZH2459" s="53"/>
      <c r="LZI2459" s="53"/>
      <c r="LZJ2459" s="61"/>
      <c r="LZK2459" s="53"/>
      <c r="LZL2459" s="53"/>
      <c r="LZM2459" s="53"/>
      <c r="LZN2459" s="60"/>
      <c r="LZO2459" s="53"/>
      <c r="LZP2459" s="53"/>
      <c r="LZQ2459" s="53"/>
      <c r="LZR2459" s="61"/>
      <c r="LZS2459" s="53"/>
      <c r="LZT2459" s="53"/>
      <c r="LZU2459" s="53"/>
      <c r="LZV2459" s="60"/>
      <c r="LZW2459" s="53"/>
      <c r="LZX2459" s="53"/>
      <c r="LZY2459" s="53"/>
      <c r="LZZ2459" s="61"/>
      <c r="MAA2459" s="53"/>
      <c r="MAB2459" s="53"/>
      <c r="MAC2459" s="53"/>
      <c r="MAD2459" s="60"/>
      <c r="MAE2459" s="53"/>
      <c r="MAF2459" s="53"/>
      <c r="MAG2459" s="53"/>
      <c r="MAH2459" s="61"/>
      <c r="MAI2459" s="53"/>
      <c r="MAJ2459" s="53"/>
      <c r="MAK2459" s="53"/>
      <c r="MAL2459" s="60"/>
      <c r="MAM2459" s="53"/>
      <c r="MAN2459" s="53"/>
      <c r="MAO2459" s="53"/>
      <c r="MAP2459" s="61"/>
      <c r="MAQ2459" s="53"/>
      <c r="MAR2459" s="53"/>
      <c r="MAS2459" s="53"/>
      <c r="MAT2459" s="60"/>
      <c r="MAU2459" s="53"/>
      <c r="MAV2459" s="53"/>
      <c r="MAW2459" s="53"/>
      <c r="MAX2459" s="61"/>
      <c r="MAY2459" s="53"/>
      <c r="MAZ2459" s="53"/>
      <c r="MBA2459" s="53"/>
      <c r="MBB2459" s="60"/>
      <c r="MBC2459" s="53"/>
      <c r="MBD2459" s="53"/>
      <c r="MBE2459" s="53"/>
      <c r="MBF2459" s="61"/>
      <c r="MBG2459" s="53"/>
      <c r="MBH2459" s="53"/>
      <c r="MBI2459" s="53"/>
      <c r="MBJ2459" s="60"/>
      <c r="MBK2459" s="53"/>
      <c r="MBL2459" s="53"/>
      <c r="MBM2459" s="53"/>
      <c r="MBN2459" s="61"/>
      <c r="MBO2459" s="53"/>
      <c r="MBP2459" s="53"/>
      <c r="MBQ2459" s="53"/>
      <c r="MBR2459" s="60"/>
      <c r="MBS2459" s="53"/>
      <c r="MBT2459" s="53"/>
      <c r="MBU2459" s="53"/>
      <c r="MBV2459" s="61"/>
      <c r="MBW2459" s="53"/>
      <c r="MBX2459" s="53"/>
      <c r="MBY2459" s="53"/>
      <c r="MBZ2459" s="60"/>
      <c r="MCA2459" s="53"/>
      <c r="MCB2459" s="53"/>
      <c r="MCC2459" s="53"/>
      <c r="MCD2459" s="61"/>
      <c r="MCE2459" s="53"/>
      <c r="MCF2459" s="53"/>
      <c r="MCG2459" s="53"/>
      <c r="MCH2459" s="60"/>
      <c r="MCI2459" s="53"/>
      <c r="MCJ2459" s="53"/>
      <c r="MCK2459" s="53"/>
      <c r="MCL2459" s="61"/>
      <c r="MCM2459" s="53"/>
      <c r="MCN2459" s="53"/>
      <c r="MCO2459" s="53"/>
      <c r="MCP2459" s="60"/>
      <c r="MCQ2459" s="53"/>
      <c r="MCR2459" s="53"/>
      <c r="MCS2459" s="53"/>
      <c r="MCT2459" s="61"/>
      <c r="MCU2459" s="53"/>
      <c r="MCV2459" s="53"/>
      <c r="MCW2459" s="53"/>
      <c r="MCX2459" s="60"/>
      <c r="MCY2459" s="53"/>
      <c r="MCZ2459" s="53"/>
      <c r="MDA2459" s="53"/>
      <c r="MDB2459" s="61"/>
      <c r="MDC2459" s="53"/>
      <c r="MDD2459" s="53"/>
      <c r="MDE2459" s="53"/>
      <c r="MDF2459" s="60"/>
      <c r="MDG2459" s="53"/>
      <c r="MDH2459" s="53"/>
      <c r="MDI2459" s="53"/>
      <c r="MDJ2459" s="61"/>
      <c r="MDK2459" s="53"/>
      <c r="MDL2459" s="53"/>
      <c r="MDM2459" s="53"/>
      <c r="MDN2459" s="60"/>
      <c r="MDO2459" s="53"/>
      <c r="MDP2459" s="53"/>
      <c r="MDQ2459" s="53"/>
      <c r="MDR2459" s="61"/>
      <c r="MDS2459" s="53"/>
      <c r="MDT2459" s="53"/>
      <c r="MDU2459" s="53"/>
      <c r="MDV2459" s="60"/>
      <c r="MDW2459" s="53"/>
      <c r="MDX2459" s="53"/>
      <c r="MDY2459" s="53"/>
      <c r="MDZ2459" s="61"/>
      <c r="MEA2459" s="53"/>
      <c r="MEB2459" s="53"/>
      <c r="MEC2459" s="53"/>
      <c r="MED2459" s="60"/>
      <c r="MEE2459" s="53"/>
      <c r="MEF2459" s="53"/>
      <c r="MEG2459" s="53"/>
      <c r="MEH2459" s="61"/>
      <c r="MEI2459" s="53"/>
      <c r="MEJ2459" s="53"/>
      <c r="MEK2459" s="53"/>
      <c r="MEL2459" s="60"/>
      <c r="MEM2459" s="53"/>
      <c r="MEN2459" s="53"/>
      <c r="MEO2459" s="53"/>
      <c r="MEP2459" s="61"/>
      <c r="MEQ2459" s="53"/>
      <c r="MER2459" s="53"/>
      <c r="MES2459" s="53"/>
      <c r="MET2459" s="60"/>
      <c r="MEU2459" s="53"/>
      <c r="MEV2459" s="53"/>
      <c r="MEW2459" s="53"/>
      <c r="MEX2459" s="61"/>
      <c r="MEY2459" s="53"/>
      <c r="MEZ2459" s="53"/>
      <c r="MFA2459" s="53"/>
      <c r="MFB2459" s="60"/>
      <c r="MFC2459" s="53"/>
      <c r="MFD2459" s="53"/>
      <c r="MFE2459" s="53"/>
      <c r="MFF2459" s="61"/>
      <c r="MFG2459" s="53"/>
      <c r="MFH2459" s="53"/>
      <c r="MFI2459" s="53"/>
      <c r="MFJ2459" s="60"/>
      <c r="MFK2459" s="53"/>
      <c r="MFL2459" s="53"/>
      <c r="MFM2459" s="53"/>
      <c r="MFN2459" s="61"/>
      <c r="MFO2459" s="53"/>
      <c r="MFP2459" s="53"/>
      <c r="MFQ2459" s="53"/>
      <c r="MFR2459" s="60"/>
      <c r="MFS2459" s="53"/>
      <c r="MFT2459" s="53"/>
      <c r="MFU2459" s="53"/>
      <c r="MFV2459" s="61"/>
      <c r="MFW2459" s="53"/>
      <c r="MFX2459" s="53"/>
      <c r="MFY2459" s="53"/>
      <c r="MFZ2459" s="60"/>
      <c r="MGA2459" s="53"/>
      <c r="MGB2459" s="53"/>
      <c r="MGC2459" s="53"/>
      <c r="MGD2459" s="61"/>
      <c r="MGE2459" s="53"/>
      <c r="MGF2459" s="53"/>
      <c r="MGG2459" s="53"/>
      <c r="MGH2459" s="60"/>
      <c r="MGI2459" s="53"/>
      <c r="MGJ2459" s="53"/>
      <c r="MGK2459" s="53"/>
      <c r="MGL2459" s="61"/>
      <c r="MGM2459" s="53"/>
      <c r="MGN2459" s="53"/>
      <c r="MGO2459" s="53"/>
      <c r="MGP2459" s="60"/>
      <c r="MGQ2459" s="53"/>
      <c r="MGR2459" s="53"/>
      <c r="MGS2459" s="53"/>
      <c r="MGT2459" s="61"/>
      <c r="MGU2459" s="53"/>
      <c r="MGV2459" s="53"/>
      <c r="MGW2459" s="53"/>
      <c r="MGX2459" s="60"/>
      <c r="MGY2459" s="53"/>
      <c r="MGZ2459" s="53"/>
      <c r="MHA2459" s="53"/>
      <c r="MHB2459" s="61"/>
      <c r="MHC2459" s="53"/>
      <c r="MHD2459" s="53"/>
      <c r="MHE2459" s="53"/>
      <c r="MHF2459" s="60"/>
      <c r="MHG2459" s="53"/>
      <c r="MHH2459" s="53"/>
      <c r="MHI2459" s="53"/>
      <c r="MHJ2459" s="61"/>
      <c r="MHK2459" s="53"/>
      <c r="MHL2459" s="53"/>
      <c r="MHM2459" s="53"/>
      <c r="MHN2459" s="60"/>
      <c r="MHO2459" s="53"/>
      <c r="MHP2459" s="53"/>
      <c r="MHQ2459" s="53"/>
      <c r="MHR2459" s="61"/>
      <c r="MHS2459" s="53"/>
      <c r="MHT2459" s="53"/>
      <c r="MHU2459" s="53"/>
      <c r="MHV2459" s="60"/>
      <c r="MHW2459" s="53"/>
      <c r="MHX2459" s="53"/>
      <c r="MHY2459" s="53"/>
      <c r="MHZ2459" s="61"/>
      <c r="MIA2459" s="53"/>
      <c r="MIB2459" s="53"/>
      <c r="MIC2459" s="53"/>
      <c r="MID2459" s="60"/>
      <c r="MIE2459" s="53"/>
      <c r="MIF2459" s="53"/>
      <c r="MIG2459" s="53"/>
      <c r="MIH2459" s="61"/>
      <c r="MII2459" s="53"/>
      <c r="MIJ2459" s="53"/>
      <c r="MIK2459" s="53"/>
      <c r="MIL2459" s="60"/>
      <c r="MIM2459" s="53"/>
      <c r="MIN2459" s="53"/>
      <c r="MIO2459" s="53"/>
      <c r="MIP2459" s="61"/>
      <c r="MIQ2459" s="53"/>
      <c r="MIR2459" s="53"/>
      <c r="MIS2459" s="53"/>
      <c r="MIT2459" s="60"/>
      <c r="MIU2459" s="53"/>
      <c r="MIV2459" s="53"/>
      <c r="MIW2459" s="53"/>
      <c r="MIX2459" s="61"/>
      <c r="MIY2459" s="53"/>
      <c r="MIZ2459" s="53"/>
      <c r="MJA2459" s="53"/>
      <c r="MJB2459" s="60"/>
      <c r="MJC2459" s="53"/>
      <c r="MJD2459" s="53"/>
      <c r="MJE2459" s="53"/>
      <c r="MJF2459" s="61"/>
      <c r="MJG2459" s="53"/>
      <c r="MJH2459" s="53"/>
      <c r="MJI2459" s="53"/>
      <c r="MJJ2459" s="60"/>
      <c r="MJK2459" s="53"/>
      <c r="MJL2459" s="53"/>
      <c r="MJM2459" s="53"/>
      <c r="MJN2459" s="61"/>
      <c r="MJO2459" s="53"/>
      <c r="MJP2459" s="53"/>
      <c r="MJQ2459" s="53"/>
      <c r="MJR2459" s="60"/>
      <c r="MJS2459" s="53"/>
      <c r="MJT2459" s="53"/>
      <c r="MJU2459" s="53"/>
      <c r="MJV2459" s="61"/>
      <c r="MJW2459" s="53"/>
      <c r="MJX2459" s="53"/>
      <c r="MJY2459" s="53"/>
      <c r="MJZ2459" s="60"/>
      <c r="MKA2459" s="53"/>
      <c r="MKB2459" s="53"/>
      <c r="MKC2459" s="53"/>
      <c r="MKD2459" s="61"/>
      <c r="MKE2459" s="53"/>
      <c r="MKF2459" s="53"/>
      <c r="MKG2459" s="53"/>
      <c r="MKH2459" s="60"/>
      <c r="MKI2459" s="53"/>
      <c r="MKJ2459" s="53"/>
      <c r="MKK2459" s="53"/>
      <c r="MKL2459" s="61"/>
      <c r="MKM2459" s="53"/>
      <c r="MKN2459" s="53"/>
      <c r="MKO2459" s="53"/>
      <c r="MKP2459" s="60"/>
      <c r="MKQ2459" s="53"/>
      <c r="MKR2459" s="53"/>
      <c r="MKS2459" s="53"/>
      <c r="MKT2459" s="61"/>
      <c r="MKU2459" s="53"/>
      <c r="MKV2459" s="53"/>
      <c r="MKW2459" s="53"/>
      <c r="MKX2459" s="60"/>
      <c r="MKY2459" s="53"/>
      <c r="MKZ2459" s="53"/>
      <c r="MLA2459" s="53"/>
      <c r="MLB2459" s="61"/>
      <c r="MLC2459" s="53"/>
      <c r="MLD2459" s="53"/>
      <c r="MLE2459" s="53"/>
      <c r="MLF2459" s="60"/>
      <c r="MLG2459" s="53"/>
      <c r="MLH2459" s="53"/>
      <c r="MLI2459" s="53"/>
      <c r="MLJ2459" s="61"/>
      <c r="MLK2459" s="53"/>
      <c r="MLL2459" s="53"/>
      <c r="MLM2459" s="53"/>
      <c r="MLN2459" s="60"/>
      <c r="MLO2459" s="53"/>
      <c r="MLP2459" s="53"/>
      <c r="MLQ2459" s="53"/>
      <c r="MLR2459" s="61"/>
      <c r="MLS2459" s="53"/>
      <c r="MLT2459" s="53"/>
      <c r="MLU2459" s="53"/>
      <c r="MLV2459" s="60"/>
      <c r="MLW2459" s="53"/>
      <c r="MLX2459" s="53"/>
      <c r="MLY2459" s="53"/>
      <c r="MLZ2459" s="61"/>
      <c r="MMA2459" s="53"/>
      <c r="MMB2459" s="53"/>
      <c r="MMC2459" s="53"/>
      <c r="MMD2459" s="60"/>
      <c r="MME2459" s="53"/>
      <c r="MMF2459" s="53"/>
      <c r="MMG2459" s="53"/>
      <c r="MMH2459" s="61"/>
      <c r="MMI2459" s="53"/>
      <c r="MMJ2459" s="53"/>
      <c r="MMK2459" s="53"/>
      <c r="MML2459" s="60"/>
      <c r="MMM2459" s="53"/>
      <c r="MMN2459" s="53"/>
      <c r="MMO2459" s="53"/>
      <c r="MMP2459" s="61"/>
      <c r="MMQ2459" s="53"/>
      <c r="MMR2459" s="53"/>
      <c r="MMS2459" s="53"/>
      <c r="MMT2459" s="60"/>
      <c r="MMU2459" s="53"/>
      <c r="MMV2459" s="53"/>
      <c r="MMW2459" s="53"/>
      <c r="MMX2459" s="61"/>
      <c r="MMY2459" s="53"/>
      <c r="MMZ2459" s="53"/>
      <c r="MNA2459" s="53"/>
      <c r="MNB2459" s="60"/>
      <c r="MNC2459" s="53"/>
      <c r="MND2459" s="53"/>
      <c r="MNE2459" s="53"/>
      <c r="MNF2459" s="61"/>
      <c r="MNG2459" s="53"/>
      <c r="MNH2459" s="53"/>
      <c r="MNI2459" s="53"/>
      <c r="MNJ2459" s="60"/>
      <c r="MNK2459" s="53"/>
      <c r="MNL2459" s="53"/>
      <c r="MNM2459" s="53"/>
      <c r="MNN2459" s="61"/>
      <c r="MNO2459" s="53"/>
      <c r="MNP2459" s="53"/>
      <c r="MNQ2459" s="53"/>
      <c r="MNR2459" s="60"/>
      <c r="MNS2459" s="53"/>
      <c r="MNT2459" s="53"/>
      <c r="MNU2459" s="53"/>
      <c r="MNV2459" s="61"/>
      <c r="MNW2459" s="53"/>
      <c r="MNX2459" s="53"/>
      <c r="MNY2459" s="53"/>
      <c r="MNZ2459" s="60"/>
      <c r="MOA2459" s="53"/>
      <c r="MOB2459" s="53"/>
      <c r="MOC2459" s="53"/>
      <c r="MOD2459" s="61"/>
      <c r="MOE2459" s="53"/>
      <c r="MOF2459" s="53"/>
      <c r="MOG2459" s="53"/>
      <c r="MOH2459" s="60"/>
      <c r="MOI2459" s="53"/>
      <c r="MOJ2459" s="53"/>
      <c r="MOK2459" s="53"/>
      <c r="MOL2459" s="61"/>
      <c r="MOM2459" s="53"/>
      <c r="MON2459" s="53"/>
      <c r="MOO2459" s="53"/>
      <c r="MOP2459" s="60"/>
      <c r="MOQ2459" s="53"/>
      <c r="MOR2459" s="53"/>
      <c r="MOS2459" s="53"/>
      <c r="MOT2459" s="61"/>
      <c r="MOU2459" s="53"/>
      <c r="MOV2459" s="53"/>
      <c r="MOW2459" s="53"/>
      <c r="MOX2459" s="60"/>
      <c r="MOY2459" s="53"/>
      <c r="MOZ2459" s="53"/>
      <c r="MPA2459" s="53"/>
      <c r="MPB2459" s="61"/>
      <c r="MPC2459" s="53"/>
      <c r="MPD2459" s="53"/>
      <c r="MPE2459" s="53"/>
      <c r="MPF2459" s="60"/>
      <c r="MPG2459" s="53"/>
      <c r="MPH2459" s="53"/>
      <c r="MPI2459" s="53"/>
      <c r="MPJ2459" s="61"/>
      <c r="MPK2459" s="53"/>
      <c r="MPL2459" s="53"/>
      <c r="MPM2459" s="53"/>
      <c r="MPN2459" s="60"/>
      <c r="MPO2459" s="53"/>
      <c r="MPP2459" s="53"/>
      <c r="MPQ2459" s="53"/>
      <c r="MPR2459" s="61"/>
      <c r="MPS2459" s="53"/>
      <c r="MPT2459" s="53"/>
      <c r="MPU2459" s="53"/>
      <c r="MPV2459" s="60"/>
      <c r="MPW2459" s="53"/>
      <c r="MPX2459" s="53"/>
      <c r="MPY2459" s="53"/>
      <c r="MPZ2459" s="61"/>
      <c r="MQA2459" s="53"/>
      <c r="MQB2459" s="53"/>
      <c r="MQC2459" s="53"/>
      <c r="MQD2459" s="60"/>
      <c r="MQE2459" s="53"/>
      <c r="MQF2459" s="53"/>
      <c r="MQG2459" s="53"/>
      <c r="MQH2459" s="61"/>
      <c r="MQI2459" s="53"/>
      <c r="MQJ2459" s="53"/>
      <c r="MQK2459" s="53"/>
      <c r="MQL2459" s="60"/>
      <c r="MQM2459" s="53"/>
      <c r="MQN2459" s="53"/>
      <c r="MQO2459" s="53"/>
      <c r="MQP2459" s="61"/>
      <c r="MQQ2459" s="53"/>
      <c r="MQR2459" s="53"/>
      <c r="MQS2459" s="53"/>
      <c r="MQT2459" s="60"/>
      <c r="MQU2459" s="53"/>
      <c r="MQV2459" s="53"/>
      <c r="MQW2459" s="53"/>
      <c r="MQX2459" s="61"/>
      <c r="MQY2459" s="53"/>
      <c r="MQZ2459" s="53"/>
      <c r="MRA2459" s="53"/>
      <c r="MRB2459" s="60"/>
      <c r="MRC2459" s="53"/>
      <c r="MRD2459" s="53"/>
      <c r="MRE2459" s="53"/>
      <c r="MRF2459" s="61"/>
      <c r="MRG2459" s="53"/>
      <c r="MRH2459" s="53"/>
      <c r="MRI2459" s="53"/>
      <c r="MRJ2459" s="60"/>
      <c r="MRK2459" s="53"/>
      <c r="MRL2459" s="53"/>
      <c r="MRM2459" s="53"/>
      <c r="MRN2459" s="61"/>
      <c r="MRO2459" s="53"/>
      <c r="MRP2459" s="53"/>
      <c r="MRQ2459" s="53"/>
      <c r="MRR2459" s="60"/>
      <c r="MRS2459" s="53"/>
      <c r="MRT2459" s="53"/>
      <c r="MRU2459" s="53"/>
      <c r="MRV2459" s="61"/>
      <c r="MRW2459" s="53"/>
      <c r="MRX2459" s="53"/>
      <c r="MRY2459" s="53"/>
      <c r="MRZ2459" s="60"/>
      <c r="MSA2459" s="53"/>
      <c r="MSB2459" s="53"/>
      <c r="MSC2459" s="53"/>
      <c r="MSD2459" s="61"/>
      <c r="MSE2459" s="53"/>
      <c r="MSF2459" s="53"/>
      <c r="MSG2459" s="53"/>
      <c r="MSH2459" s="60"/>
      <c r="MSI2459" s="53"/>
      <c r="MSJ2459" s="53"/>
      <c r="MSK2459" s="53"/>
      <c r="MSL2459" s="61"/>
      <c r="MSM2459" s="53"/>
      <c r="MSN2459" s="53"/>
      <c r="MSO2459" s="53"/>
      <c r="MSP2459" s="60"/>
      <c r="MSQ2459" s="53"/>
      <c r="MSR2459" s="53"/>
      <c r="MSS2459" s="53"/>
      <c r="MST2459" s="61"/>
      <c r="MSU2459" s="53"/>
      <c r="MSV2459" s="53"/>
      <c r="MSW2459" s="53"/>
      <c r="MSX2459" s="60"/>
      <c r="MSY2459" s="53"/>
      <c r="MSZ2459" s="53"/>
      <c r="MTA2459" s="53"/>
      <c r="MTB2459" s="61"/>
      <c r="MTC2459" s="53"/>
      <c r="MTD2459" s="53"/>
      <c r="MTE2459" s="53"/>
      <c r="MTF2459" s="60"/>
      <c r="MTG2459" s="53"/>
      <c r="MTH2459" s="53"/>
      <c r="MTI2459" s="53"/>
      <c r="MTJ2459" s="61"/>
      <c r="MTK2459" s="53"/>
      <c r="MTL2459" s="53"/>
      <c r="MTM2459" s="53"/>
      <c r="MTN2459" s="60"/>
      <c r="MTO2459" s="53"/>
      <c r="MTP2459" s="53"/>
      <c r="MTQ2459" s="53"/>
      <c r="MTR2459" s="61"/>
      <c r="MTS2459" s="53"/>
      <c r="MTT2459" s="53"/>
      <c r="MTU2459" s="53"/>
      <c r="MTV2459" s="60"/>
      <c r="MTW2459" s="53"/>
      <c r="MTX2459" s="53"/>
      <c r="MTY2459" s="53"/>
      <c r="MTZ2459" s="61"/>
      <c r="MUA2459" s="53"/>
      <c r="MUB2459" s="53"/>
      <c r="MUC2459" s="53"/>
      <c r="MUD2459" s="60"/>
      <c r="MUE2459" s="53"/>
      <c r="MUF2459" s="53"/>
      <c r="MUG2459" s="53"/>
      <c r="MUH2459" s="61"/>
      <c r="MUI2459" s="53"/>
      <c r="MUJ2459" s="53"/>
      <c r="MUK2459" s="53"/>
      <c r="MUL2459" s="60"/>
      <c r="MUM2459" s="53"/>
      <c r="MUN2459" s="53"/>
      <c r="MUO2459" s="53"/>
      <c r="MUP2459" s="61"/>
      <c r="MUQ2459" s="53"/>
      <c r="MUR2459" s="53"/>
      <c r="MUS2459" s="53"/>
      <c r="MUT2459" s="60"/>
      <c r="MUU2459" s="53"/>
      <c r="MUV2459" s="53"/>
      <c r="MUW2459" s="53"/>
      <c r="MUX2459" s="61"/>
      <c r="MUY2459" s="53"/>
      <c r="MUZ2459" s="53"/>
      <c r="MVA2459" s="53"/>
      <c r="MVB2459" s="60"/>
      <c r="MVC2459" s="53"/>
      <c r="MVD2459" s="53"/>
      <c r="MVE2459" s="53"/>
      <c r="MVF2459" s="61"/>
      <c r="MVG2459" s="53"/>
      <c r="MVH2459" s="53"/>
      <c r="MVI2459" s="53"/>
      <c r="MVJ2459" s="60"/>
      <c r="MVK2459" s="53"/>
      <c r="MVL2459" s="53"/>
      <c r="MVM2459" s="53"/>
      <c r="MVN2459" s="61"/>
      <c r="MVO2459" s="53"/>
      <c r="MVP2459" s="53"/>
      <c r="MVQ2459" s="53"/>
      <c r="MVR2459" s="60"/>
      <c r="MVS2459" s="53"/>
      <c r="MVT2459" s="53"/>
      <c r="MVU2459" s="53"/>
      <c r="MVV2459" s="61"/>
      <c r="MVW2459" s="53"/>
      <c r="MVX2459" s="53"/>
      <c r="MVY2459" s="53"/>
      <c r="MVZ2459" s="60"/>
      <c r="MWA2459" s="53"/>
      <c r="MWB2459" s="53"/>
      <c r="MWC2459" s="53"/>
      <c r="MWD2459" s="61"/>
      <c r="MWE2459" s="53"/>
      <c r="MWF2459" s="53"/>
      <c r="MWG2459" s="53"/>
      <c r="MWH2459" s="60"/>
      <c r="MWI2459" s="53"/>
      <c r="MWJ2459" s="53"/>
      <c r="MWK2459" s="53"/>
      <c r="MWL2459" s="61"/>
      <c r="MWM2459" s="53"/>
      <c r="MWN2459" s="53"/>
      <c r="MWO2459" s="53"/>
      <c r="MWP2459" s="60"/>
      <c r="MWQ2459" s="53"/>
      <c r="MWR2459" s="53"/>
      <c r="MWS2459" s="53"/>
      <c r="MWT2459" s="61"/>
      <c r="MWU2459" s="53"/>
      <c r="MWV2459" s="53"/>
      <c r="MWW2459" s="53"/>
      <c r="MWX2459" s="60"/>
      <c r="MWY2459" s="53"/>
      <c r="MWZ2459" s="53"/>
      <c r="MXA2459" s="53"/>
      <c r="MXB2459" s="61"/>
      <c r="MXC2459" s="53"/>
      <c r="MXD2459" s="53"/>
      <c r="MXE2459" s="53"/>
      <c r="MXF2459" s="60"/>
      <c r="MXG2459" s="53"/>
      <c r="MXH2459" s="53"/>
      <c r="MXI2459" s="53"/>
      <c r="MXJ2459" s="61"/>
      <c r="MXK2459" s="53"/>
      <c r="MXL2459" s="53"/>
      <c r="MXM2459" s="53"/>
      <c r="MXN2459" s="60"/>
      <c r="MXO2459" s="53"/>
      <c r="MXP2459" s="53"/>
      <c r="MXQ2459" s="53"/>
      <c r="MXR2459" s="61"/>
      <c r="MXS2459" s="53"/>
      <c r="MXT2459" s="53"/>
      <c r="MXU2459" s="53"/>
      <c r="MXV2459" s="60"/>
      <c r="MXW2459" s="53"/>
      <c r="MXX2459" s="53"/>
      <c r="MXY2459" s="53"/>
      <c r="MXZ2459" s="61"/>
      <c r="MYA2459" s="53"/>
      <c r="MYB2459" s="53"/>
      <c r="MYC2459" s="53"/>
      <c r="MYD2459" s="60"/>
      <c r="MYE2459" s="53"/>
      <c r="MYF2459" s="53"/>
      <c r="MYG2459" s="53"/>
      <c r="MYH2459" s="61"/>
      <c r="MYI2459" s="53"/>
      <c r="MYJ2459" s="53"/>
      <c r="MYK2459" s="53"/>
      <c r="MYL2459" s="60"/>
      <c r="MYM2459" s="53"/>
      <c r="MYN2459" s="53"/>
      <c r="MYO2459" s="53"/>
      <c r="MYP2459" s="61"/>
      <c r="MYQ2459" s="53"/>
      <c r="MYR2459" s="53"/>
      <c r="MYS2459" s="53"/>
      <c r="MYT2459" s="60"/>
      <c r="MYU2459" s="53"/>
      <c r="MYV2459" s="53"/>
      <c r="MYW2459" s="53"/>
      <c r="MYX2459" s="61"/>
      <c r="MYY2459" s="53"/>
      <c r="MYZ2459" s="53"/>
      <c r="MZA2459" s="53"/>
      <c r="MZB2459" s="60"/>
      <c r="MZC2459" s="53"/>
      <c r="MZD2459" s="53"/>
      <c r="MZE2459" s="53"/>
      <c r="MZF2459" s="61"/>
      <c r="MZG2459" s="53"/>
      <c r="MZH2459" s="53"/>
      <c r="MZI2459" s="53"/>
      <c r="MZJ2459" s="60"/>
      <c r="MZK2459" s="53"/>
      <c r="MZL2459" s="53"/>
      <c r="MZM2459" s="53"/>
      <c r="MZN2459" s="61"/>
      <c r="MZO2459" s="53"/>
      <c r="MZP2459" s="53"/>
      <c r="MZQ2459" s="53"/>
      <c r="MZR2459" s="60"/>
      <c r="MZS2459" s="53"/>
      <c r="MZT2459" s="53"/>
      <c r="MZU2459" s="53"/>
      <c r="MZV2459" s="61"/>
      <c r="MZW2459" s="53"/>
      <c r="MZX2459" s="53"/>
      <c r="MZY2459" s="53"/>
      <c r="MZZ2459" s="60"/>
      <c r="NAA2459" s="53"/>
      <c r="NAB2459" s="53"/>
      <c r="NAC2459" s="53"/>
      <c r="NAD2459" s="61"/>
      <c r="NAE2459" s="53"/>
      <c r="NAF2459" s="53"/>
      <c r="NAG2459" s="53"/>
      <c r="NAH2459" s="60"/>
      <c r="NAI2459" s="53"/>
      <c r="NAJ2459" s="53"/>
      <c r="NAK2459" s="53"/>
      <c r="NAL2459" s="61"/>
      <c r="NAM2459" s="53"/>
      <c r="NAN2459" s="53"/>
      <c r="NAO2459" s="53"/>
      <c r="NAP2459" s="60"/>
      <c r="NAQ2459" s="53"/>
      <c r="NAR2459" s="53"/>
      <c r="NAS2459" s="53"/>
      <c r="NAT2459" s="61"/>
      <c r="NAU2459" s="53"/>
      <c r="NAV2459" s="53"/>
      <c r="NAW2459" s="53"/>
      <c r="NAX2459" s="60"/>
      <c r="NAY2459" s="53"/>
      <c r="NAZ2459" s="53"/>
      <c r="NBA2459" s="53"/>
      <c r="NBB2459" s="61"/>
      <c r="NBC2459" s="53"/>
      <c r="NBD2459" s="53"/>
      <c r="NBE2459" s="53"/>
      <c r="NBF2459" s="60"/>
      <c r="NBG2459" s="53"/>
      <c r="NBH2459" s="53"/>
      <c r="NBI2459" s="53"/>
      <c r="NBJ2459" s="61"/>
      <c r="NBK2459" s="53"/>
      <c r="NBL2459" s="53"/>
      <c r="NBM2459" s="53"/>
      <c r="NBN2459" s="60"/>
      <c r="NBO2459" s="53"/>
      <c r="NBP2459" s="53"/>
      <c r="NBQ2459" s="53"/>
      <c r="NBR2459" s="61"/>
      <c r="NBS2459" s="53"/>
      <c r="NBT2459" s="53"/>
      <c r="NBU2459" s="53"/>
      <c r="NBV2459" s="60"/>
      <c r="NBW2459" s="53"/>
      <c r="NBX2459" s="53"/>
      <c r="NBY2459" s="53"/>
      <c r="NBZ2459" s="61"/>
      <c r="NCA2459" s="53"/>
      <c r="NCB2459" s="53"/>
      <c r="NCC2459" s="53"/>
      <c r="NCD2459" s="60"/>
      <c r="NCE2459" s="53"/>
      <c r="NCF2459" s="53"/>
      <c r="NCG2459" s="53"/>
      <c r="NCH2459" s="61"/>
      <c r="NCI2459" s="53"/>
      <c r="NCJ2459" s="53"/>
      <c r="NCK2459" s="53"/>
      <c r="NCL2459" s="60"/>
      <c r="NCM2459" s="53"/>
      <c r="NCN2459" s="53"/>
      <c r="NCO2459" s="53"/>
      <c r="NCP2459" s="61"/>
      <c r="NCQ2459" s="53"/>
      <c r="NCR2459" s="53"/>
      <c r="NCS2459" s="53"/>
      <c r="NCT2459" s="60"/>
      <c r="NCU2459" s="53"/>
      <c r="NCV2459" s="53"/>
      <c r="NCW2459" s="53"/>
      <c r="NCX2459" s="61"/>
      <c r="NCY2459" s="53"/>
      <c r="NCZ2459" s="53"/>
      <c r="NDA2459" s="53"/>
      <c r="NDB2459" s="60"/>
      <c r="NDC2459" s="53"/>
      <c r="NDD2459" s="53"/>
      <c r="NDE2459" s="53"/>
      <c r="NDF2459" s="61"/>
      <c r="NDG2459" s="53"/>
      <c r="NDH2459" s="53"/>
      <c r="NDI2459" s="53"/>
      <c r="NDJ2459" s="60"/>
      <c r="NDK2459" s="53"/>
      <c r="NDL2459" s="53"/>
      <c r="NDM2459" s="53"/>
      <c r="NDN2459" s="61"/>
      <c r="NDO2459" s="53"/>
      <c r="NDP2459" s="53"/>
      <c r="NDQ2459" s="53"/>
      <c r="NDR2459" s="60"/>
      <c r="NDS2459" s="53"/>
      <c r="NDT2459" s="53"/>
      <c r="NDU2459" s="53"/>
      <c r="NDV2459" s="61"/>
      <c r="NDW2459" s="53"/>
      <c r="NDX2459" s="53"/>
      <c r="NDY2459" s="53"/>
      <c r="NDZ2459" s="60"/>
      <c r="NEA2459" s="53"/>
      <c r="NEB2459" s="53"/>
      <c r="NEC2459" s="53"/>
      <c r="NED2459" s="61"/>
      <c r="NEE2459" s="53"/>
      <c r="NEF2459" s="53"/>
      <c r="NEG2459" s="53"/>
      <c r="NEH2459" s="60"/>
      <c r="NEI2459" s="53"/>
      <c r="NEJ2459" s="53"/>
      <c r="NEK2459" s="53"/>
      <c r="NEL2459" s="61"/>
      <c r="NEM2459" s="53"/>
      <c r="NEN2459" s="53"/>
      <c r="NEO2459" s="53"/>
      <c r="NEP2459" s="60"/>
      <c r="NEQ2459" s="53"/>
      <c r="NER2459" s="53"/>
      <c r="NES2459" s="53"/>
      <c r="NET2459" s="61"/>
      <c r="NEU2459" s="53"/>
      <c r="NEV2459" s="53"/>
      <c r="NEW2459" s="53"/>
      <c r="NEX2459" s="60"/>
      <c r="NEY2459" s="53"/>
      <c r="NEZ2459" s="53"/>
      <c r="NFA2459" s="53"/>
      <c r="NFB2459" s="61"/>
      <c r="NFC2459" s="53"/>
      <c r="NFD2459" s="53"/>
      <c r="NFE2459" s="53"/>
      <c r="NFF2459" s="60"/>
      <c r="NFG2459" s="53"/>
      <c r="NFH2459" s="53"/>
      <c r="NFI2459" s="53"/>
      <c r="NFJ2459" s="61"/>
      <c r="NFK2459" s="53"/>
      <c r="NFL2459" s="53"/>
      <c r="NFM2459" s="53"/>
      <c r="NFN2459" s="60"/>
      <c r="NFO2459" s="53"/>
      <c r="NFP2459" s="53"/>
      <c r="NFQ2459" s="53"/>
      <c r="NFR2459" s="61"/>
      <c r="NFS2459" s="53"/>
      <c r="NFT2459" s="53"/>
      <c r="NFU2459" s="53"/>
      <c r="NFV2459" s="60"/>
      <c r="NFW2459" s="53"/>
      <c r="NFX2459" s="53"/>
      <c r="NFY2459" s="53"/>
      <c r="NFZ2459" s="61"/>
      <c r="NGA2459" s="53"/>
      <c r="NGB2459" s="53"/>
      <c r="NGC2459" s="53"/>
      <c r="NGD2459" s="60"/>
      <c r="NGE2459" s="53"/>
      <c r="NGF2459" s="53"/>
      <c r="NGG2459" s="53"/>
      <c r="NGH2459" s="61"/>
      <c r="NGI2459" s="53"/>
      <c r="NGJ2459" s="53"/>
      <c r="NGK2459" s="53"/>
      <c r="NGL2459" s="60"/>
      <c r="NGM2459" s="53"/>
      <c r="NGN2459" s="53"/>
      <c r="NGO2459" s="53"/>
      <c r="NGP2459" s="61"/>
      <c r="NGQ2459" s="53"/>
      <c r="NGR2459" s="53"/>
      <c r="NGS2459" s="53"/>
      <c r="NGT2459" s="60"/>
      <c r="NGU2459" s="53"/>
      <c r="NGV2459" s="53"/>
      <c r="NGW2459" s="53"/>
      <c r="NGX2459" s="61"/>
      <c r="NGY2459" s="53"/>
      <c r="NGZ2459" s="53"/>
      <c r="NHA2459" s="53"/>
      <c r="NHB2459" s="60"/>
      <c r="NHC2459" s="53"/>
      <c r="NHD2459" s="53"/>
      <c r="NHE2459" s="53"/>
      <c r="NHF2459" s="61"/>
      <c r="NHG2459" s="53"/>
      <c r="NHH2459" s="53"/>
      <c r="NHI2459" s="53"/>
      <c r="NHJ2459" s="60"/>
      <c r="NHK2459" s="53"/>
      <c r="NHL2459" s="53"/>
      <c r="NHM2459" s="53"/>
      <c r="NHN2459" s="61"/>
      <c r="NHO2459" s="53"/>
      <c r="NHP2459" s="53"/>
      <c r="NHQ2459" s="53"/>
      <c r="NHR2459" s="60"/>
      <c r="NHS2459" s="53"/>
      <c r="NHT2459" s="53"/>
      <c r="NHU2459" s="53"/>
      <c r="NHV2459" s="61"/>
      <c r="NHW2459" s="53"/>
      <c r="NHX2459" s="53"/>
      <c r="NHY2459" s="53"/>
      <c r="NHZ2459" s="60"/>
      <c r="NIA2459" s="53"/>
      <c r="NIB2459" s="53"/>
      <c r="NIC2459" s="53"/>
      <c r="NID2459" s="61"/>
      <c r="NIE2459" s="53"/>
      <c r="NIF2459" s="53"/>
      <c r="NIG2459" s="53"/>
      <c r="NIH2459" s="60"/>
      <c r="NII2459" s="53"/>
      <c r="NIJ2459" s="53"/>
      <c r="NIK2459" s="53"/>
      <c r="NIL2459" s="61"/>
      <c r="NIM2459" s="53"/>
      <c r="NIN2459" s="53"/>
      <c r="NIO2459" s="53"/>
      <c r="NIP2459" s="60"/>
      <c r="NIQ2459" s="53"/>
      <c r="NIR2459" s="53"/>
      <c r="NIS2459" s="53"/>
      <c r="NIT2459" s="61"/>
      <c r="NIU2459" s="53"/>
      <c r="NIV2459" s="53"/>
      <c r="NIW2459" s="53"/>
      <c r="NIX2459" s="60"/>
      <c r="NIY2459" s="53"/>
      <c r="NIZ2459" s="53"/>
      <c r="NJA2459" s="53"/>
      <c r="NJB2459" s="61"/>
      <c r="NJC2459" s="53"/>
      <c r="NJD2459" s="53"/>
      <c r="NJE2459" s="53"/>
      <c r="NJF2459" s="60"/>
      <c r="NJG2459" s="53"/>
      <c r="NJH2459" s="53"/>
      <c r="NJI2459" s="53"/>
      <c r="NJJ2459" s="61"/>
      <c r="NJK2459" s="53"/>
      <c r="NJL2459" s="53"/>
      <c r="NJM2459" s="53"/>
      <c r="NJN2459" s="60"/>
      <c r="NJO2459" s="53"/>
      <c r="NJP2459" s="53"/>
      <c r="NJQ2459" s="53"/>
      <c r="NJR2459" s="61"/>
      <c r="NJS2459" s="53"/>
      <c r="NJT2459" s="53"/>
      <c r="NJU2459" s="53"/>
      <c r="NJV2459" s="60"/>
      <c r="NJW2459" s="53"/>
      <c r="NJX2459" s="53"/>
      <c r="NJY2459" s="53"/>
      <c r="NJZ2459" s="61"/>
      <c r="NKA2459" s="53"/>
      <c r="NKB2459" s="53"/>
      <c r="NKC2459" s="53"/>
      <c r="NKD2459" s="60"/>
      <c r="NKE2459" s="53"/>
      <c r="NKF2459" s="53"/>
      <c r="NKG2459" s="53"/>
      <c r="NKH2459" s="61"/>
      <c r="NKI2459" s="53"/>
      <c r="NKJ2459" s="53"/>
      <c r="NKK2459" s="53"/>
      <c r="NKL2459" s="60"/>
      <c r="NKM2459" s="53"/>
      <c r="NKN2459" s="53"/>
      <c r="NKO2459" s="53"/>
      <c r="NKP2459" s="61"/>
      <c r="NKQ2459" s="53"/>
      <c r="NKR2459" s="53"/>
      <c r="NKS2459" s="53"/>
      <c r="NKT2459" s="60"/>
      <c r="NKU2459" s="53"/>
      <c r="NKV2459" s="53"/>
      <c r="NKW2459" s="53"/>
      <c r="NKX2459" s="61"/>
      <c r="NKY2459" s="53"/>
      <c r="NKZ2459" s="53"/>
      <c r="NLA2459" s="53"/>
      <c r="NLB2459" s="60"/>
      <c r="NLC2459" s="53"/>
      <c r="NLD2459" s="53"/>
      <c r="NLE2459" s="53"/>
      <c r="NLF2459" s="61"/>
      <c r="NLG2459" s="53"/>
      <c r="NLH2459" s="53"/>
      <c r="NLI2459" s="53"/>
      <c r="NLJ2459" s="60"/>
      <c r="NLK2459" s="53"/>
      <c r="NLL2459" s="53"/>
      <c r="NLM2459" s="53"/>
      <c r="NLN2459" s="61"/>
      <c r="NLO2459" s="53"/>
      <c r="NLP2459" s="53"/>
      <c r="NLQ2459" s="53"/>
      <c r="NLR2459" s="60"/>
      <c r="NLS2459" s="53"/>
      <c r="NLT2459" s="53"/>
      <c r="NLU2459" s="53"/>
      <c r="NLV2459" s="61"/>
      <c r="NLW2459" s="53"/>
      <c r="NLX2459" s="53"/>
      <c r="NLY2459" s="53"/>
      <c r="NLZ2459" s="60"/>
      <c r="NMA2459" s="53"/>
      <c r="NMB2459" s="53"/>
      <c r="NMC2459" s="53"/>
      <c r="NMD2459" s="61"/>
      <c r="NME2459" s="53"/>
      <c r="NMF2459" s="53"/>
      <c r="NMG2459" s="53"/>
      <c r="NMH2459" s="60"/>
      <c r="NMI2459" s="53"/>
      <c r="NMJ2459" s="53"/>
      <c r="NMK2459" s="53"/>
      <c r="NML2459" s="61"/>
      <c r="NMM2459" s="53"/>
      <c r="NMN2459" s="53"/>
      <c r="NMO2459" s="53"/>
      <c r="NMP2459" s="60"/>
      <c r="NMQ2459" s="53"/>
      <c r="NMR2459" s="53"/>
      <c r="NMS2459" s="53"/>
      <c r="NMT2459" s="61"/>
      <c r="NMU2459" s="53"/>
      <c r="NMV2459" s="53"/>
      <c r="NMW2459" s="53"/>
      <c r="NMX2459" s="60"/>
      <c r="NMY2459" s="53"/>
      <c r="NMZ2459" s="53"/>
      <c r="NNA2459" s="53"/>
      <c r="NNB2459" s="61"/>
      <c r="NNC2459" s="53"/>
      <c r="NND2459" s="53"/>
      <c r="NNE2459" s="53"/>
      <c r="NNF2459" s="60"/>
      <c r="NNG2459" s="53"/>
      <c r="NNH2459" s="53"/>
      <c r="NNI2459" s="53"/>
      <c r="NNJ2459" s="61"/>
      <c r="NNK2459" s="53"/>
      <c r="NNL2459" s="53"/>
      <c r="NNM2459" s="53"/>
      <c r="NNN2459" s="60"/>
      <c r="NNO2459" s="53"/>
      <c r="NNP2459" s="53"/>
      <c r="NNQ2459" s="53"/>
      <c r="NNR2459" s="61"/>
      <c r="NNS2459" s="53"/>
      <c r="NNT2459" s="53"/>
      <c r="NNU2459" s="53"/>
      <c r="NNV2459" s="60"/>
      <c r="NNW2459" s="53"/>
      <c r="NNX2459" s="53"/>
      <c r="NNY2459" s="53"/>
      <c r="NNZ2459" s="61"/>
      <c r="NOA2459" s="53"/>
      <c r="NOB2459" s="53"/>
      <c r="NOC2459" s="53"/>
      <c r="NOD2459" s="60"/>
      <c r="NOE2459" s="53"/>
      <c r="NOF2459" s="53"/>
      <c r="NOG2459" s="53"/>
      <c r="NOH2459" s="61"/>
      <c r="NOI2459" s="53"/>
      <c r="NOJ2459" s="53"/>
      <c r="NOK2459" s="53"/>
      <c r="NOL2459" s="60"/>
      <c r="NOM2459" s="53"/>
      <c r="NON2459" s="53"/>
      <c r="NOO2459" s="53"/>
      <c r="NOP2459" s="61"/>
      <c r="NOQ2459" s="53"/>
      <c r="NOR2459" s="53"/>
      <c r="NOS2459" s="53"/>
      <c r="NOT2459" s="60"/>
      <c r="NOU2459" s="53"/>
      <c r="NOV2459" s="53"/>
      <c r="NOW2459" s="53"/>
      <c r="NOX2459" s="61"/>
      <c r="NOY2459" s="53"/>
      <c r="NOZ2459" s="53"/>
      <c r="NPA2459" s="53"/>
      <c r="NPB2459" s="60"/>
      <c r="NPC2459" s="53"/>
      <c r="NPD2459" s="53"/>
      <c r="NPE2459" s="53"/>
      <c r="NPF2459" s="61"/>
      <c r="NPG2459" s="53"/>
      <c r="NPH2459" s="53"/>
      <c r="NPI2459" s="53"/>
      <c r="NPJ2459" s="60"/>
      <c r="NPK2459" s="53"/>
      <c r="NPL2459" s="53"/>
      <c r="NPM2459" s="53"/>
      <c r="NPN2459" s="61"/>
      <c r="NPO2459" s="53"/>
      <c r="NPP2459" s="53"/>
      <c r="NPQ2459" s="53"/>
      <c r="NPR2459" s="60"/>
      <c r="NPS2459" s="53"/>
      <c r="NPT2459" s="53"/>
      <c r="NPU2459" s="53"/>
      <c r="NPV2459" s="61"/>
      <c r="NPW2459" s="53"/>
      <c r="NPX2459" s="53"/>
      <c r="NPY2459" s="53"/>
      <c r="NPZ2459" s="60"/>
      <c r="NQA2459" s="53"/>
      <c r="NQB2459" s="53"/>
      <c r="NQC2459" s="53"/>
      <c r="NQD2459" s="61"/>
      <c r="NQE2459" s="53"/>
      <c r="NQF2459" s="53"/>
      <c r="NQG2459" s="53"/>
      <c r="NQH2459" s="60"/>
      <c r="NQI2459" s="53"/>
      <c r="NQJ2459" s="53"/>
      <c r="NQK2459" s="53"/>
      <c r="NQL2459" s="61"/>
      <c r="NQM2459" s="53"/>
      <c r="NQN2459" s="53"/>
      <c r="NQO2459" s="53"/>
      <c r="NQP2459" s="60"/>
      <c r="NQQ2459" s="53"/>
      <c r="NQR2459" s="53"/>
      <c r="NQS2459" s="53"/>
      <c r="NQT2459" s="61"/>
      <c r="NQU2459" s="53"/>
      <c r="NQV2459" s="53"/>
      <c r="NQW2459" s="53"/>
      <c r="NQX2459" s="60"/>
      <c r="NQY2459" s="53"/>
      <c r="NQZ2459" s="53"/>
      <c r="NRA2459" s="53"/>
      <c r="NRB2459" s="61"/>
      <c r="NRC2459" s="53"/>
      <c r="NRD2459" s="53"/>
      <c r="NRE2459" s="53"/>
      <c r="NRF2459" s="60"/>
      <c r="NRG2459" s="53"/>
      <c r="NRH2459" s="53"/>
      <c r="NRI2459" s="53"/>
      <c r="NRJ2459" s="61"/>
      <c r="NRK2459" s="53"/>
      <c r="NRL2459" s="53"/>
      <c r="NRM2459" s="53"/>
      <c r="NRN2459" s="60"/>
      <c r="NRO2459" s="53"/>
      <c r="NRP2459" s="53"/>
      <c r="NRQ2459" s="53"/>
      <c r="NRR2459" s="61"/>
      <c r="NRS2459" s="53"/>
      <c r="NRT2459" s="53"/>
      <c r="NRU2459" s="53"/>
      <c r="NRV2459" s="60"/>
      <c r="NRW2459" s="53"/>
      <c r="NRX2459" s="53"/>
      <c r="NRY2459" s="53"/>
      <c r="NRZ2459" s="61"/>
      <c r="NSA2459" s="53"/>
      <c r="NSB2459" s="53"/>
      <c r="NSC2459" s="53"/>
      <c r="NSD2459" s="60"/>
      <c r="NSE2459" s="53"/>
      <c r="NSF2459" s="53"/>
      <c r="NSG2459" s="53"/>
      <c r="NSH2459" s="61"/>
      <c r="NSI2459" s="53"/>
      <c r="NSJ2459" s="53"/>
      <c r="NSK2459" s="53"/>
      <c r="NSL2459" s="60"/>
      <c r="NSM2459" s="53"/>
      <c r="NSN2459" s="53"/>
      <c r="NSO2459" s="53"/>
      <c r="NSP2459" s="61"/>
      <c r="NSQ2459" s="53"/>
      <c r="NSR2459" s="53"/>
      <c r="NSS2459" s="53"/>
      <c r="NST2459" s="60"/>
      <c r="NSU2459" s="53"/>
      <c r="NSV2459" s="53"/>
      <c r="NSW2459" s="53"/>
      <c r="NSX2459" s="61"/>
      <c r="NSY2459" s="53"/>
      <c r="NSZ2459" s="53"/>
      <c r="NTA2459" s="53"/>
      <c r="NTB2459" s="60"/>
      <c r="NTC2459" s="53"/>
      <c r="NTD2459" s="53"/>
      <c r="NTE2459" s="53"/>
      <c r="NTF2459" s="61"/>
      <c r="NTG2459" s="53"/>
      <c r="NTH2459" s="53"/>
      <c r="NTI2459" s="53"/>
      <c r="NTJ2459" s="60"/>
      <c r="NTK2459" s="53"/>
      <c r="NTL2459" s="53"/>
      <c r="NTM2459" s="53"/>
      <c r="NTN2459" s="61"/>
      <c r="NTO2459" s="53"/>
      <c r="NTP2459" s="53"/>
      <c r="NTQ2459" s="53"/>
      <c r="NTR2459" s="60"/>
      <c r="NTS2459" s="53"/>
      <c r="NTT2459" s="53"/>
      <c r="NTU2459" s="53"/>
      <c r="NTV2459" s="61"/>
      <c r="NTW2459" s="53"/>
      <c r="NTX2459" s="53"/>
      <c r="NTY2459" s="53"/>
      <c r="NTZ2459" s="60"/>
      <c r="NUA2459" s="53"/>
      <c r="NUB2459" s="53"/>
      <c r="NUC2459" s="53"/>
      <c r="NUD2459" s="61"/>
      <c r="NUE2459" s="53"/>
      <c r="NUF2459" s="53"/>
      <c r="NUG2459" s="53"/>
      <c r="NUH2459" s="60"/>
      <c r="NUI2459" s="53"/>
      <c r="NUJ2459" s="53"/>
      <c r="NUK2459" s="53"/>
      <c r="NUL2459" s="61"/>
      <c r="NUM2459" s="53"/>
      <c r="NUN2459" s="53"/>
      <c r="NUO2459" s="53"/>
      <c r="NUP2459" s="60"/>
      <c r="NUQ2459" s="53"/>
      <c r="NUR2459" s="53"/>
      <c r="NUS2459" s="53"/>
      <c r="NUT2459" s="61"/>
      <c r="NUU2459" s="53"/>
      <c r="NUV2459" s="53"/>
      <c r="NUW2459" s="53"/>
      <c r="NUX2459" s="60"/>
      <c r="NUY2459" s="53"/>
      <c r="NUZ2459" s="53"/>
      <c r="NVA2459" s="53"/>
      <c r="NVB2459" s="61"/>
      <c r="NVC2459" s="53"/>
      <c r="NVD2459" s="53"/>
      <c r="NVE2459" s="53"/>
      <c r="NVF2459" s="60"/>
      <c r="NVG2459" s="53"/>
      <c r="NVH2459" s="53"/>
      <c r="NVI2459" s="53"/>
      <c r="NVJ2459" s="61"/>
      <c r="NVK2459" s="53"/>
      <c r="NVL2459" s="53"/>
      <c r="NVM2459" s="53"/>
      <c r="NVN2459" s="60"/>
      <c r="NVO2459" s="53"/>
      <c r="NVP2459" s="53"/>
      <c r="NVQ2459" s="53"/>
      <c r="NVR2459" s="61"/>
      <c r="NVS2459" s="53"/>
      <c r="NVT2459" s="53"/>
      <c r="NVU2459" s="53"/>
      <c r="NVV2459" s="60"/>
      <c r="NVW2459" s="53"/>
      <c r="NVX2459" s="53"/>
      <c r="NVY2459" s="53"/>
      <c r="NVZ2459" s="61"/>
      <c r="NWA2459" s="53"/>
      <c r="NWB2459" s="53"/>
      <c r="NWC2459" s="53"/>
      <c r="NWD2459" s="60"/>
      <c r="NWE2459" s="53"/>
      <c r="NWF2459" s="53"/>
      <c r="NWG2459" s="53"/>
      <c r="NWH2459" s="61"/>
      <c r="NWI2459" s="53"/>
      <c r="NWJ2459" s="53"/>
      <c r="NWK2459" s="53"/>
      <c r="NWL2459" s="60"/>
      <c r="NWM2459" s="53"/>
      <c r="NWN2459" s="53"/>
      <c r="NWO2459" s="53"/>
      <c r="NWP2459" s="61"/>
      <c r="NWQ2459" s="53"/>
      <c r="NWR2459" s="53"/>
      <c r="NWS2459" s="53"/>
      <c r="NWT2459" s="60"/>
      <c r="NWU2459" s="53"/>
      <c r="NWV2459" s="53"/>
      <c r="NWW2459" s="53"/>
      <c r="NWX2459" s="61"/>
      <c r="NWY2459" s="53"/>
      <c r="NWZ2459" s="53"/>
      <c r="NXA2459" s="53"/>
      <c r="NXB2459" s="60"/>
      <c r="NXC2459" s="53"/>
      <c r="NXD2459" s="53"/>
      <c r="NXE2459" s="53"/>
      <c r="NXF2459" s="61"/>
      <c r="NXG2459" s="53"/>
      <c r="NXH2459" s="53"/>
      <c r="NXI2459" s="53"/>
      <c r="NXJ2459" s="60"/>
      <c r="NXK2459" s="53"/>
      <c r="NXL2459" s="53"/>
      <c r="NXM2459" s="53"/>
      <c r="NXN2459" s="61"/>
      <c r="NXO2459" s="53"/>
      <c r="NXP2459" s="53"/>
      <c r="NXQ2459" s="53"/>
      <c r="NXR2459" s="60"/>
      <c r="NXS2459" s="53"/>
      <c r="NXT2459" s="53"/>
      <c r="NXU2459" s="53"/>
      <c r="NXV2459" s="61"/>
      <c r="NXW2459" s="53"/>
      <c r="NXX2459" s="53"/>
      <c r="NXY2459" s="53"/>
      <c r="NXZ2459" s="60"/>
      <c r="NYA2459" s="53"/>
      <c r="NYB2459" s="53"/>
      <c r="NYC2459" s="53"/>
      <c r="NYD2459" s="61"/>
      <c r="NYE2459" s="53"/>
      <c r="NYF2459" s="53"/>
      <c r="NYG2459" s="53"/>
      <c r="NYH2459" s="60"/>
      <c r="NYI2459" s="53"/>
      <c r="NYJ2459" s="53"/>
      <c r="NYK2459" s="53"/>
      <c r="NYL2459" s="61"/>
      <c r="NYM2459" s="53"/>
      <c r="NYN2459" s="53"/>
      <c r="NYO2459" s="53"/>
      <c r="NYP2459" s="60"/>
      <c r="NYQ2459" s="53"/>
      <c r="NYR2459" s="53"/>
      <c r="NYS2459" s="53"/>
      <c r="NYT2459" s="61"/>
      <c r="NYU2459" s="53"/>
      <c r="NYV2459" s="53"/>
      <c r="NYW2459" s="53"/>
      <c r="NYX2459" s="60"/>
      <c r="NYY2459" s="53"/>
      <c r="NYZ2459" s="53"/>
      <c r="NZA2459" s="53"/>
      <c r="NZB2459" s="61"/>
      <c r="NZC2459" s="53"/>
      <c r="NZD2459" s="53"/>
      <c r="NZE2459" s="53"/>
      <c r="NZF2459" s="60"/>
      <c r="NZG2459" s="53"/>
      <c r="NZH2459" s="53"/>
      <c r="NZI2459" s="53"/>
      <c r="NZJ2459" s="61"/>
      <c r="NZK2459" s="53"/>
      <c r="NZL2459" s="53"/>
      <c r="NZM2459" s="53"/>
      <c r="NZN2459" s="60"/>
      <c r="NZO2459" s="53"/>
      <c r="NZP2459" s="53"/>
      <c r="NZQ2459" s="53"/>
      <c r="NZR2459" s="61"/>
      <c r="NZS2459" s="53"/>
      <c r="NZT2459" s="53"/>
      <c r="NZU2459" s="53"/>
      <c r="NZV2459" s="60"/>
      <c r="NZW2459" s="53"/>
      <c r="NZX2459" s="53"/>
      <c r="NZY2459" s="53"/>
      <c r="NZZ2459" s="61"/>
      <c r="OAA2459" s="53"/>
      <c r="OAB2459" s="53"/>
      <c r="OAC2459" s="53"/>
      <c r="OAD2459" s="60"/>
      <c r="OAE2459" s="53"/>
      <c r="OAF2459" s="53"/>
      <c r="OAG2459" s="53"/>
      <c r="OAH2459" s="61"/>
      <c r="OAI2459" s="53"/>
      <c r="OAJ2459" s="53"/>
      <c r="OAK2459" s="53"/>
      <c r="OAL2459" s="60"/>
      <c r="OAM2459" s="53"/>
      <c r="OAN2459" s="53"/>
      <c r="OAO2459" s="53"/>
      <c r="OAP2459" s="61"/>
      <c r="OAQ2459" s="53"/>
      <c r="OAR2459" s="53"/>
      <c r="OAS2459" s="53"/>
      <c r="OAT2459" s="60"/>
      <c r="OAU2459" s="53"/>
      <c r="OAV2459" s="53"/>
      <c r="OAW2459" s="53"/>
      <c r="OAX2459" s="61"/>
      <c r="OAY2459" s="53"/>
      <c r="OAZ2459" s="53"/>
      <c r="OBA2459" s="53"/>
      <c r="OBB2459" s="60"/>
      <c r="OBC2459" s="53"/>
      <c r="OBD2459" s="53"/>
      <c r="OBE2459" s="53"/>
      <c r="OBF2459" s="61"/>
      <c r="OBG2459" s="53"/>
      <c r="OBH2459" s="53"/>
      <c r="OBI2459" s="53"/>
      <c r="OBJ2459" s="60"/>
      <c r="OBK2459" s="53"/>
      <c r="OBL2459" s="53"/>
      <c r="OBM2459" s="53"/>
      <c r="OBN2459" s="61"/>
      <c r="OBO2459" s="53"/>
      <c r="OBP2459" s="53"/>
      <c r="OBQ2459" s="53"/>
      <c r="OBR2459" s="60"/>
      <c r="OBS2459" s="53"/>
      <c r="OBT2459" s="53"/>
      <c r="OBU2459" s="53"/>
      <c r="OBV2459" s="61"/>
      <c r="OBW2459" s="53"/>
      <c r="OBX2459" s="53"/>
      <c r="OBY2459" s="53"/>
      <c r="OBZ2459" s="60"/>
      <c r="OCA2459" s="53"/>
      <c r="OCB2459" s="53"/>
      <c r="OCC2459" s="53"/>
      <c r="OCD2459" s="61"/>
      <c r="OCE2459" s="53"/>
      <c r="OCF2459" s="53"/>
      <c r="OCG2459" s="53"/>
      <c r="OCH2459" s="60"/>
      <c r="OCI2459" s="53"/>
      <c r="OCJ2459" s="53"/>
      <c r="OCK2459" s="53"/>
      <c r="OCL2459" s="61"/>
      <c r="OCM2459" s="53"/>
      <c r="OCN2459" s="53"/>
      <c r="OCO2459" s="53"/>
      <c r="OCP2459" s="60"/>
      <c r="OCQ2459" s="53"/>
      <c r="OCR2459" s="53"/>
      <c r="OCS2459" s="53"/>
      <c r="OCT2459" s="61"/>
      <c r="OCU2459" s="53"/>
      <c r="OCV2459" s="53"/>
      <c r="OCW2459" s="53"/>
      <c r="OCX2459" s="60"/>
      <c r="OCY2459" s="53"/>
      <c r="OCZ2459" s="53"/>
      <c r="ODA2459" s="53"/>
      <c r="ODB2459" s="61"/>
      <c r="ODC2459" s="53"/>
      <c r="ODD2459" s="53"/>
      <c r="ODE2459" s="53"/>
      <c r="ODF2459" s="60"/>
      <c r="ODG2459" s="53"/>
      <c r="ODH2459" s="53"/>
      <c r="ODI2459" s="53"/>
      <c r="ODJ2459" s="61"/>
      <c r="ODK2459" s="53"/>
      <c r="ODL2459" s="53"/>
      <c r="ODM2459" s="53"/>
      <c r="ODN2459" s="60"/>
      <c r="ODO2459" s="53"/>
      <c r="ODP2459" s="53"/>
      <c r="ODQ2459" s="53"/>
      <c r="ODR2459" s="61"/>
      <c r="ODS2459" s="53"/>
      <c r="ODT2459" s="53"/>
      <c r="ODU2459" s="53"/>
      <c r="ODV2459" s="60"/>
      <c r="ODW2459" s="53"/>
      <c r="ODX2459" s="53"/>
      <c r="ODY2459" s="53"/>
      <c r="ODZ2459" s="61"/>
      <c r="OEA2459" s="53"/>
      <c r="OEB2459" s="53"/>
      <c r="OEC2459" s="53"/>
      <c r="OED2459" s="60"/>
      <c r="OEE2459" s="53"/>
      <c r="OEF2459" s="53"/>
      <c r="OEG2459" s="53"/>
      <c r="OEH2459" s="61"/>
      <c r="OEI2459" s="53"/>
      <c r="OEJ2459" s="53"/>
      <c r="OEK2459" s="53"/>
      <c r="OEL2459" s="60"/>
      <c r="OEM2459" s="53"/>
      <c r="OEN2459" s="53"/>
      <c r="OEO2459" s="53"/>
      <c r="OEP2459" s="61"/>
      <c r="OEQ2459" s="53"/>
      <c r="OER2459" s="53"/>
      <c r="OES2459" s="53"/>
      <c r="OET2459" s="60"/>
      <c r="OEU2459" s="53"/>
      <c r="OEV2459" s="53"/>
      <c r="OEW2459" s="53"/>
      <c r="OEX2459" s="61"/>
      <c r="OEY2459" s="53"/>
      <c r="OEZ2459" s="53"/>
      <c r="OFA2459" s="53"/>
      <c r="OFB2459" s="60"/>
      <c r="OFC2459" s="53"/>
      <c r="OFD2459" s="53"/>
      <c r="OFE2459" s="53"/>
      <c r="OFF2459" s="61"/>
      <c r="OFG2459" s="53"/>
      <c r="OFH2459" s="53"/>
      <c r="OFI2459" s="53"/>
      <c r="OFJ2459" s="60"/>
      <c r="OFK2459" s="53"/>
      <c r="OFL2459" s="53"/>
      <c r="OFM2459" s="53"/>
      <c r="OFN2459" s="61"/>
      <c r="OFO2459" s="53"/>
      <c r="OFP2459" s="53"/>
      <c r="OFQ2459" s="53"/>
      <c r="OFR2459" s="60"/>
      <c r="OFS2459" s="53"/>
      <c r="OFT2459" s="53"/>
      <c r="OFU2459" s="53"/>
      <c r="OFV2459" s="61"/>
      <c r="OFW2459" s="53"/>
      <c r="OFX2459" s="53"/>
      <c r="OFY2459" s="53"/>
      <c r="OFZ2459" s="60"/>
      <c r="OGA2459" s="53"/>
      <c r="OGB2459" s="53"/>
      <c r="OGC2459" s="53"/>
      <c r="OGD2459" s="61"/>
      <c r="OGE2459" s="53"/>
      <c r="OGF2459" s="53"/>
      <c r="OGG2459" s="53"/>
      <c r="OGH2459" s="60"/>
      <c r="OGI2459" s="53"/>
      <c r="OGJ2459" s="53"/>
      <c r="OGK2459" s="53"/>
      <c r="OGL2459" s="61"/>
      <c r="OGM2459" s="53"/>
      <c r="OGN2459" s="53"/>
      <c r="OGO2459" s="53"/>
      <c r="OGP2459" s="60"/>
      <c r="OGQ2459" s="53"/>
      <c r="OGR2459" s="53"/>
      <c r="OGS2459" s="53"/>
      <c r="OGT2459" s="61"/>
      <c r="OGU2459" s="53"/>
      <c r="OGV2459" s="53"/>
      <c r="OGW2459" s="53"/>
      <c r="OGX2459" s="60"/>
      <c r="OGY2459" s="53"/>
      <c r="OGZ2459" s="53"/>
      <c r="OHA2459" s="53"/>
      <c r="OHB2459" s="61"/>
      <c r="OHC2459" s="53"/>
      <c r="OHD2459" s="53"/>
      <c r="OHE2459" s="53"/>
      <c r="OHF2459" s="60"/>
      <c r="OHG2459" s="53"/>
      <c r="OHH2459" s="53"/>
      <c r="OHI2459" s="53"/>
      <c r="OHJ2459" s="61"/>
      <c r="OHK2459" s="53"/>
      <c r="OHL2459" s="53"/>
      <c r="OHM2459" s="53"/>
      <c r="OHN2459" s="60"/>
      <c r="OHO2459" s="53"/>
      <c r="OHP2459" s="53"/>
      <c r="OHQ2459" s="53"/>
      <c r="OHR2459" s="61"/>
      <c r="OHS2459" s="53"/>
      <c r="OHT2459" s="53"/>
      <c r="OHU2459" s="53"/>
      <c r="OHV2459" s="60"/>
      <c r="OHW2459" s="53"/>
      <c r="OHX2459" s="53"/>
      <c r="OHY2459" s="53"/>
      <c r="OHZ2459" s="61"/>
      <c r="OIA2459" s="53"/>
      <c r="OIB2459" s="53"/>
      <c r="OIC2459" s="53"/>
      <c r="OID2459" s="60"/>
      <c r="OIE2459" s="53"/>
      <c r="OIF2459" s="53"/>
      <c r="OIG2459" s="53"/>
      <c r="OIH2459" s="61"/>
      <c r="OII2459" s="53"/>
      <c r="OIJ2459" s="53"/>
      <c r="OIK2459" s="53"/>
      <c r="OIL2459" s="60"/>
      <c r="OIM2459" s="53"/>
      <c r="OIN2459" s="53"/>
      <c r="OIO2459" s="53"/>
      <c r="OIP2459" s="61"/>
      <c r="OIQ2459" s="53"/>
      <c r="OIR2459" s="53"/>
      <c r="OIS2459" s="53"/>
      <c r="OIT2459" s="60"/>
      <c r="OIU2459" s="53"/>
      <c r="OIV2459" s="53"/>
      <c r="OIW2459" s="53"/>
      <c r="OIX2459" s="61"/>
      <c r="OIY2459" s="53"/>
      <c r="OIZ2459" s="53"/>
      <c r="OJA2459" s="53"/>
      <c r="OJB2459" s="60"/>
      <c r="OJC2459" s="53"/>
      <c r="OJD2459" s="53"/>
      <c r="OJE2459" s="53"/>
      <c r="OJF2459" s="61"/>
      <c r="OJG2459" s="53"/>
      <c r="OJH2459" s="53"/>
      <c r="OJI2459" s="53"/>
      <c r="OJJ2459" s="60"/>
      <c r="OJK2459" s="53"/>
      <c r="OJL2459" s="53"/>
      <c r="OJM2459" s="53"/>
      <c r="OJN2459" s="61"/>
      <c r="OJO2459" s="53"/>
      <c r="OJP2459" s="53"/>
      <c r="OJQ2459" s="53"/>
      <c r="OJR2459" s="60"/>
      <c r="OJS2459" s="53"/>
      <c r="OJT2459" s="53"/>
      <c r="OJU2459" s="53"/>
      <c r="OJV2459" s="61"/>
      <c r="OJW2459" s="53"/>
      <c r="OJX2459" s="53"/>
      <c r="OJY2459" s="53"/>
      <c r="OJZ2459" s="60"/>
      <c r="OKA2459" s="53"/>
      <c r="OKB2459" s="53"/>
      <c r="OKC2459" s="53"/>
      <c r="OKD2459" s="61"/>
      <c r="OKE2459" s="53"/>
      <c r="OKF2459" s="53"/>
      <c r="OKG2459" s="53"/>
      <c r="OKH2459" s="60"/>
      <c r="OKI2459" s="53"/>
      <c r="OKJ2459" s="53"/>
      <c r="OKK2459" s="53"/>
      <c r="OKL2459" s="61"/>
      <c r="OKM2459" s="53"/>
      <c r="OKN2459" s="53"/>
      <c r="OKO2459" s="53"/>
      <c r="OKP2459" s="60"/>
      <c r="OKQ2459" s="53"/>
      <c r="OKR2459" s="53"/>
      <c r="OKS2459" s="53"/>
      <c r="OKT2459" s="61"/>
      <c r="OKU2459" s="53"/>
      <c r="OKV2459" s="53"/>
      <c r="OKW2459" s="53"/>
      <c r="OKX2459" s="60"/>
      <c r="OKY2459" s="53"/>
      <c r="OKZ2459" s="53"/>
      <c r="OLA2459" s="53"/>
      <c r="OLB2459" s="61"/>
      <c r="OLC2459" s="53"/>
      <c r="OLD2459" s="53"/>
      <c r="OLE2459" s="53"/>
      <c r="OLF2459" s="60"/>
      <c r="OLG2459" s="53"/>
      <c r="OLH2459" s="53"/>
      <c r="OLI2459" s="53"/>
      <c r="OLJ2459" s="61"/>
      <c r="OLK2459" s="53"/>
      <c r="OLL2459" s="53"/>
      <c r="OLM2459" s="53"/>
      <c r="OLN2459" s="60"/>
      <c r="OLO2459" s="53"/>
      <c r="OLP2459" s="53"/>
      <c r="OLQ2459" s="53"/>
      <c r="OLR2459" s="61"/>
      <c r="OLS2459" s="53"/>
      <c r="OLT2459" s="53"/>
      <c r="OLU2459" s="53"/>
      <c r="OLV2459" s="60"/>
      <c r="OLW2459" s="53"/>
      <c r="OLX2459" s="53"/>
      <c r="OLY2459" s="53"/>
      <c r="OLZ2459" s="61"/>
      <c r="OMA2459" s="53"/>
      <c r="OMB2459" s="53"/>
      <c r="OMC2459" s="53"/>
      <c r="OMD2459" s="60"/>
      <c r="OME2459" s="53"/>
      <c r="OMF2459" s="53"/>
      <c r="OMG2459" s="53"/>
      <c r="OMH2459" s="61"/>
      <c r="OMI2459" s="53"/>
      <c r="OMJ2459" s="53"/>
      <c r="OMK2459" s="53"/>
      <c r="OML2459" s="60"/>
      <c r="OMM2459" s="53"/>
      <c r="OMN2459" s="53"/>
      <c r="OMO2459" s="53"/>
      <c r="OMP2459" s="61"/>
      <c r="OMQ2459" s="53"/>
      <c r="OMR2459" s="53"/>
      <c r="OMS2459" s="53"/>
      <c r="OMT2459" s="60"/>
      <c r="OMU2459" s="53"/>
      <c r="OMV2459" s="53"/>
      <c r="OMW2459" s="53"/>
      <c r="OMX2459" s="61"/>
      <c r="OMY2459" s="53"/>
      <c r="OMZ2459" s="53"/>
      <c r="ONA2459" s="53"/>
      <c r="ONB2459" s="60"/>
      <c r="ONC2459" s="53"/>
      <c r="OND2459" s="53"/>
      <c r="ONE2459" s="53"/>
      <c r="ONF2459" s="61"/>
      <c r="ONG2459" s="53"/>
      <c r="ONH2459" s="53"/>
      <c r="ONI2459" s="53"/>
      <c r="ONJ2459" s="60"/>
      <c r="ONK2459" s="53"/>
      <c r="ONL2459" s="53"/>
      <c r="ONM2459" s="53"/>
      <c r="ONN2459" s="61"/>
      <c r="ONO2459" s="53"/>
      <c r="ONP2459" s="53"/>
      <c r="ONQ2459" s="53"/>
      <c r="ONR2459" s="60"/>
      <c r="ONS2459" s="53"/>
      <c r="ONT2459" s="53"/>
      <c r="ONU2459" s="53"/>
      <c r="ONV2459" s="61"/>
      <c r="ONW2459" s="53"/>
      <c r="ONX2459" s="53"/>
      <c r="ONY2459" s="53"/>
      <c r="ONZ2459" s="60"/>
      <c r="OOA2459" s="53"/>
      <c r="OOB2459" s="53"/>
      <c r="OOC2459" s="53"/>
      <c r="OOD2459" s="61"/>
      <c r="OOE2459" s="53"/>
      <c r="OOF2459" s="53"/>
      <c r="OOG2459" s="53"/>
      <c r="OOH2459" s="60"/>
      <c r="OOI2459" s="53"/>
      <c r="OOJ2459" s="53"/>
      <c r="OOK2459" s="53"/>
      <c r="OOL2459" s="61"/>
      <c r="OOM2459" s="53"/>
      <c r="OON2459" s="53"/>
      <c r="OOO2459" s="53"/>
      <c r="OOP2459" s="60"/>
      <c r="OOQ2459" s="53"/>
      <c r="OOR2459" s="53"/>
      <c r="OOS2459" s="53"/>
      <c r="OOT2459" s="61"/>
      <c r="OOU2459" s="53"/>
      <c r="OOV2459" s="53"/>
      <c r="OOW2459" s="53"/>
      <c r="OOX2459" s="60"/>
      <c r="OOY2459" s="53"/>
      <c r="OOZ2459" s="53"/>
      <c r="OPA2459" s="53"/>
      <c r="OPB2459" s="61"/>
      <c r="OPC2459" s="53"/>
      <c r="OPD2459" s="53"/>
      <c r="OPE2459" s="53"/>
      <c r="OPF2459" s="60"/>
      <c r="OPG2459" s="53"/>
      <c r="OPH2459" s="53"/>
      <c r="OPI2459" s="53"/>
      <c r="OPJ2459" s="61"/>
      <c r="OPK2459" s="53"/>
      <c r="OPL2459" s="53"/>
      <c r="OPM2459" s="53"/>
      <c r="OPN2459" s="60"/>
      <c r="OPO2459" s="53"/>
      <c r="OPP2459" s="53"/>
      <c r="OPQ2459" s="53"/>
      <c r="OPR2459" s="61"/>
      <c r="OPS2459" s="53"/>
      <c r="OPT2459" s="53"/>
      <c r="OPU2459" s="53"/>
      <c r="OPV2459" s="60"/>
      <c r="OPW2459" s="53"/>
      <c r="OPX2459" s="53"/>
      <c r="OPY2459" s="53"/>
      <c r="OPZ2459" s="61"/>
      <c r="OQA2459" s="53"/>
      <c r="OQB2459" s="53"/>
      <c r="OQC2459" s="53"/>
      <c r="OQD2459" s="60"/>
      <c r="OQE2459" s="53"/>
      <c r="OQF2459" s="53"/>
      <c r="OQG2459" s="53"/>
      <c r="OQH2459" s="61"/>
      <c r="OQI2459" s="53"/>
      <c r="OQJ2459" s="53"/>
      <c r="OQK2459" s="53"/>
      <c r="OQL2459" s="60"/>
      <c r="OQM2459" s="53"/>
      <c r="OQN2459" s="53"/>
      <c r="OQO2459" s="53"/>
      <c r="OQP2459" s="61"/>
      <c r="OQQ2459" s="53"/>
      <c r="OQR2459" s="53"/>
      <c r="OQS2459" s="53"/>
      <c r="OQT2459" s="60"/>
      <c r="OQU2459" s="53"/>
      <c r="OQV2459" s="53"/>
      <c r="OQW2459" s="53"/>
      <c r="OQX2459" s="61"/>
      <c r="OQY2459" s="53"/>
      <c r="OQZ2459" s="53"/>
      <c r="ORA2459" s="53"/>
      <c r="ORB2459" s="60"/>
      <c r="ORC2459" s="53"/>
      <c r="ORD2459" s="53"/>
      <c r="ORE2459" s="53"/>
      <c r="ORF2459" s="61"/>
      <c r="ORG2459" s="53"/>
      <c r="ORH2459" s="53"/>
      <c r="ORI2459" s="53"/>
      <c r="ORJ2459" s="60"/>
      <c r="ORK2459" s="53"/>
      <c r="ORL2459" s="53"/>
      <c r="ORM2459" s="53"/>
      <c r="ORN2459" s="61"/>
      <c r="ORO2459" s="53"/>
      <c r="ORP2459" s="53"/>
      <c r="ORQ2459" s="53"/>
      <c r="ORR2459" s="60"/>
      <c r="ORS2459" s="53"/>
      <c r="ORT2459" s="53"/>
      <c r="ORU2459" s="53"/>
      <c r="ORV2459" s="61"/>
      <c r="ORW2459" s="53"/>
      <c r="ORX2459" s="53"/>
      <c r="ORY2459" s="53"/>
      <c r="ORZ2459" s="60"/>
      <c r="OSA2459" s="53"/>
      <c r="OSB2459" s="53"/>
      <c r="OSC2459" s="53"/>
      <c r="OSD2459" s="61"/>
      <c r="OSE2459" s="53"/>
      <c r="OSF2459" s="53"/>
      <c r="OSG2459" s="53"/>
      <c r="OSH2459" s="60"/>
      <c r="OSI2459" s="53"/>
      <c r="OSJ2459" s="53"/>
      <c r="OSK2459" s="53"/>
      <c r="OSL2459" s="61"/>
      <c r="OSM2459" s="53"/>
      <c r="OSN2459" s="53"/>
      <c r="OSO2459" s="53"/>
      <c r="OSP2459" s="60"/>
      <c r="OSQ2459" s="53"/>
      <c r="OSR2459" s="53"/>
      <c r="OSS2459" s="53"/>
      <c r="OST2459" s="61"/>
      <c r="OSU2459" s="53"/>
      <c r="OSV2459" s="53"/>
      <c r="OSW2459" s="53"/>
      <c r="OSX2459" s="60"/>
      <c r="OSY2459" s="53"/>
      <c r="OSZ2459" s="53"/>
      <c r="OTA2459" s="53"/>
      <c r="OTB2459" s="61"/>
      <c r="OTC2459" s="53"/>
      <c r="OTD2459" s="53"/>
      <c r="OTE2459" s="53"/>
      <c r="OTF2459" s="60"/>
      <c r="OTG2459" s="53"/>
      <c r="OTH2459" s="53"/>
      <c r="OTI2459" s="53"/>
      <c r="OTJ2459" s="61"/>
      <c r="OTK2459" s="53"/>
      <c r="OTL2459" s="53"/>
      <c r="OTM2459" s="53"/>
      <c r="OTN2459" s="60"/>
      <c r="OTO2459" s="53"/>
      <c r="OTP2459" s="53"/>
      <c r="OTQ2459" s="53"/>
      <c r="OTR2459" s="61"/>
      <c r="OTS2459" s="53"/>
      <c r="OTT2459" s="53"/>
      <c r="OTU2459" s="53"/>
      <c r="OTV2459" s="60"/>
      <c r="OTW2459" s="53"/>
      <c r="OTX2459" s="53"/>
      <c r="OTY2459" s="53"/>
      <c r="OTZ2459" s="61"/>
      <c r="OUA2459" s="53"/>
      <c r="OUB2459" s="53"/>
      <c r="OUC2459" s="53"/>
      <c r="OUD2459" s="60"/>
      <c r="OUE2459" s="53"/>
      <c r="OUF2459" s="53"/>
      <c r="OUG2459" s="53"/>
      <c r="OUH2459" s="61"/>
      <c r="OUI2459" s="53"/>
      <c r="OUJ2459" s="53"/>
      <c r="OUK2459" s="53"/>
      <c r="OUL2459" s="60"/>
      <c r="OUM2459" s="53"/>
      <c r="OUN2459" s="53"/>
      <c r="OUO2459" s="53"/>
      <c r="OUP2459" s="61"/>
      <c r="OUQ2459" s="53"/>
      <c r="OUR2459" s="53"/>
      <c r="OUS2459" s="53"/>
      <c r="OUT2459" s="60"/>
      <c r="OUU2459" s="53"/>
      <c r="OUV2459" s="53"/>
      <c r="OUW2459" s="53"/>
      <c r="OUX2459" s="61"/>
      <c r="OUY2459" s="53"/>
      <c r="OUZ2459" s="53"/>
      <c r="OVA2459" s="53"/>
      <c r="OVB2459" s="60"/>
      <c r="OVC2459" s="53"/>
      <c r="OVD2459" s="53"/>
      <c r="OVE2459" s="53"/>
      <c r="OVF2459" s="61"/>
      <c r="OVG2459" s="53"/>
      <c r="OVH2459" s="53"/>
      <c r="OVI2459" s="53"/>
      <c r="OVJ2459" s="60"/>
      <c r="OVK2459" s="53"/>
      <c r="OVL2459" s="53"/>
      <c r="OVM2459" s="53"/>
      <c r="OVN2459" s="61"/>
      <c r="OVO2459" s="53"/>
      <c r="OVP2459" s="53"/>
      <c r="OVQ2459" s="53"/>
      <c r="OVR2459" s="60"/>
      <c r="OVS2459" s="53"/>
      <c r="OVT2459" s="53"/>
      <c r="OVU2459" s="53"/>
      <c r="OVV2459" s="61"/>
      <c r="OVW2459" s="53"/>
      <c r="OVX2459" s="53"/>
      <c r="OVY2459" s="53"/>
      <c r="OVZ2459" s="60"/>
      <c r="OWA2459" s="53"/>
      <c r="OWB2459" s="53"/>
      <c r="OWC2459" s="53"/>
      <c r="OWD2459" s="61"/>
      <c r="OWE2459" s="53"/>
      <c r="OWF2459" s="53"/>
      <c r="OWG2459" s="53"/>
      <c r="OWH2459" s="60"/>
      <c r="OWI2459" s="53"/>
      <c r="OWJ2459" s="53"/>
      <c r="OWK2459" s="53"/>
      <c r="OWL2459" s="61"/>
      <c r="OWM2459" s="53"/>
      <c r="OWN2459" s="53"/>
      <c r="OWO2459" s="53"/>
      <c r="OWP2459" s="60"/>
      <c r="OWQ2459" s="53"/>
      <c r="OWR2459" s="53"/>
      <c r="OWS2459" s="53"/>
      <c r="OWT2459" s="61"/>
      <c r="OWU2459" s="53"/>
      <c r="OWV2459" s="53"/>
      <c r="OWW2459" s="53"/>
      <c r="OWX2459" s="60"/>
      <c r="OWY2459" s="53"/>
      <c r="OWZ2459" s="53"/>
      <c r="OXA2459" s="53"/>
      <c r="OXB2459" s="61"/>
      <c r="OXC2459" s="53"/>
      <c r="OXD2459" s="53"/>
      <c r="OXE2459" s="53"/>
      <c r="OXF2459" s="60"/>
      <c r="OXG2459" s="53"/>
      <c r="OXH2459" s="53"/>
      <c r="OXI2459" s="53"/>
      <c r="OXJ2459" s="61"/>
      <c r="OXK2459" s="53"/>
      <c r="OXL2459" s="53"/>
      <c r="OXM2459" s="53"/>
      <c r="OXN2459" s="60"/>
      <c r="OXO2459" s="53"/>
      <c r="OXP2459" s="53"/>
      <c r="OXQ2459" s="53"/>
      <c r="OXR2459" s="61"/>
      <c r="OXS2459" s="53"/>
      <c r="OXT2459" s="53"/>
      <c r="OXU2459" s="53"/>
      <c r="OXV2459" s="60"/>
      <c r="OXW2459" s="53"/>
      <c r="OXX2459" s="53"/>
      <c r="OXY2459" s="53"/>
      <c r="OXZ2459" s="61"/>
      <c r="OYA2459" s="53"/>
      <c r="OYB2459" s="53"/>
      <c r="OYC2459" s="53"/>
      <c r="OYD2459" s="60"/>
      <c r="OYE2459" s="53"/>
      <c r="OYF2459" s="53"/>
      <c r="OYG2459" s="53"/>
      <c r="OYH2459" s="61"/>
      <c r="OYI2459" s="53"/>
      <c r="OYJ2459" s="53"/>
      <c r="OYK2459" s="53"/>
      <c r="OYL2459" s="60"/>
      <c r="OYM2459" s="53"/>
      <c r="OYN2459" s="53"/>
      <c r="OYO2459" s="53"/>
      <c r="OYP2459" s="61"/>
      <c r="OYQ2459" s="53"/>
      <c r="OYR2459" s="53"/>
      <c r="OYS2459" s="53"/>
      <c r="OYT2459" s="60"/>
      <c r="OYU2459" s="53"/>
      <c r="OYV2459" s="53"/>
      <c r="OYW2459" s="53"/>
      <c r="OYX2459" s="61"/>
      <c r="OYY2459" s="53"/>
      <c r="OYZ2459" s="53"/>
      <c r="OZA2459" s="53"/>
      <c r="OZB2459" s="60"/>
      <c r="OZC2459" s="53"/>
      <c r="OZD2459" s="53"/>
      <c r="OZE2459" s="53"/>
      <c r="OZF2459" s="61"/>
      <c r="OZG2459" s="53"/>
      <c r="OZH2459" s="53"/>
      <c r="OZI2459" s="53"/>
      <c r="OZJ2459" s="60"/>
      <c r="OZK2459" s="53"/>
      <c r="OZL2459" s="53"/>
      <c r="OZM2459" s="53"/>
      <c r="OZN2459" s="61"/>
      <c r="OZO2459" s="53"/>
      <c r="OZP2459" s="53"/>
      <c r="OZQ2459" s="53"/>
      <c r="OZR2459" s="60"/>
      <c r="OZS2459" s="53"/>
      <c r="OZT2459" s="53"/>
      <c r="OZU2459" s="53"/>
      <c r="OZV2459" s="61"/>
      <c r="OZW2459" s="53"/>
      <c r="OZX2459" s="53"/>
      <c r="OZY2459" s="53"/>
      <c r="OZZ2459" s="60"/>
      <c r="PAA2459" s="53"/>
      <c r="PAB2459" s="53"/>
      <c r="PAC2459" s="53"/>
      <c r="PAD2459" s="61"/>
      <c r="PAE2459" s="53"/>
      <c r="PAF2459" s="53"/>
      <c r="PAG2459" s="53"/>
      <c r="PAH2459" s="60"/>
      <c r="PAI2459" s="53"/>
      <c r="PAJ2459" s="53"/>
      <c r="PAK2459" s="53"/>
      <c r="PAL2459" s="61"/>
      <c r="PAM2459" s="53"/>
      <c r="PAN2459" s="53"/>
      <c r="PAO2459" s="53"/>
      <c r="PAP2459" s="60"/>
      <c r="PAQ2459" s="53"/>
      <c r="PAR2459" s="53"/>
      <c r="PAS2459" s="53"/>
      <c r="PAT2459" s="61"/>
      <c r="PAU2459" s="53"/>
      <c r="PAV2459" s="53"/>
      <c r="PAW2459" s="53"/>
      <c r="PAX2459" s="60"/>
      <c r="PAY2459" s="53"/>
      <c r="PAZ2459" s="53"/>
      <c r="PBA2459" s="53"/>
      <c r="PBB2459" s="61"/>
      <c r="PBC2459" s="53"/>
      <c r="PBD2459" s="53"/>
      <c r="PBE2459" s="53"/>
      <c r="PBF2459" s="60"/>
      <c r="PBG2459" s="53"/>
      <c r="PBH2459" s="53"/>
      <c r="PBI2459" s="53"/>
      <c r="PBJ2459" s="61"/>
      <c r="PBK2459" s="53"/>
      <c r="PBL2459" s="53"/>
      <c r="PBM2459" s="53"/>
      <c r="PBN2459" s="60"/>
      <c r="PBO2459" s="53"/>
      <c r="PBP2459" s="53"/>
      <c r="PBQ2459" s="53"/>
      <c r="PBR2459" s="61"/>
      <c r="PBS2459" s="53"/>
      <c r="PBT2459" s="53"/>
      <c r="PBU2459" s="53"/>
      <c r="PBV2459" s="60"/>
      <c r="PBW2459" s="53"/>
      <c r="PBX2459" s="53"/>
      <c r="PBY2459" s="53"/>
      <c r="PBZ2459" s="61"/>
      <c r="PCA2459" s="53"/>
      <c r="PCB2459" s="53"/>
      <c r="PCC2459" s="53"/>
      <c r="PCD2459" s="60"/>
      <c r="PCE2459" s="53"/>
      <c r="PCF2459" s="53"/>
      <c r="PCG2459" s="53"/>
      <c r="PCH2459" s="61"/>
      <c r="PCI2459" s="53"/>
      <c r="PCJ2459" s="53"/>
      <c r="PCK2459" s="53"/>
      <c r="PCL2459" s="60"/>
      <c r="PCM2459" s="53"/>
      <c r="PCN2459" s="53"/>
      <c r="PCO2459" s="53"/>
      <c r="PCP2459" s="61"/>
      <c r="PCQ2459" s="53"/>
      <c r="PCR2459" s="53"/>
      <c r="PCS2459" s="53"/>
      <c r="PCT2459" s="60"/>
      <c r="PCU2459" s="53"/>
      <c r="PCV2459" s="53"/>
      <c r="PCW2459" s="53"/>
      <c r="PCX2459" s="61"/>
      <c r="PCY2459" s="53"/>
      <c r="PCZ2459" s="53"/>
      <c r="PDA2459" s="53"/>
      <c r="PDB2459" s="60"/>
      <c r="PDC2459" s="53"/>
      <c r="PDD2459" s="53"/>
      <c r="PDE2459" s="53"/>
      <c r="PDF2459" s="61"/>
      <c r="PDG2459" s="53"/>
      <c r="PDH2459" s="53"/>
      <c r="PDI2459" s="53"/>
      <c r="PDJ2459" s="60"/>
      <c r="PDK2459" s="53"/>
      <c r="PDL2459" s="53"/>
      <c r="PDM2459" s="53"/>
      <c r="PDN2459" s="61"/>
      <c r="PDO2459" s="53"/>
      <c r="PDP2459" s="53"/>
      <c r="PDQ2459" s="53"/>
      <c r="PDR2459" s="60"/>
      <c r="PDS2459" s="53"/>
      <c r="PDT2459" s="53"/>
      <c r="PDU2459" s="53"/>
      <c r="PDV2459" s="61"/>
      <c r="PDW2459" s="53"/>
      <c r="PDX2459" s="53"/>
      <c r="PDY2459" s="53"/>
      <c r="PDZ2459" s="60"/>
      <c r="PEA2459" s="53"/>
      <c r="PEB2459" s="53"/>
      <c r="PEC2459" s="53"/>
      <c r="PED2459" s="61"/>
      <c r="PEE2459" s="53"/>
      <c r="PEF2459" s="53"/>
      <c r="PEG2459" s="53"/>
      <c r="PEH2459" s="60"/>
      <c r="PEI2459" s="53"/>
      <c r="PEJ2459" s="53"/>
      <c r="PEK2459" s="53"/>
      <c r="PEL2459" s="61"/>
      <c r="PEM2459" s="53"/>
      <c r="PEN2459" s="53"/>
      <c r="PEO2459" s="53"/>
      <c r="PEP2459" s="60"/>
      <c r="PEQ2459" s="53"/>
      <c r="PER2459" s="53"/>
      <c r="PES2459" s="53"/>
      <c r="PET2459" s="61"/>
      <c r="PEU2459" s="53"/>
      <c r="PEV2459" s="53"/>
      <c r="PEW2459" s="53"/>
      <c r="PEX2459" s="60"/>
      <c r="PEY2459" s="53"/>
      <c r="PEZ2459" s="53"/>
      <c r="PFA2459" s="53"/>
      <c r="PFB2459" s="61"/>
      <c r="PFC2459" s="53"/>
      <c r="PFD2459" s="53"/>
      <c r="PFE2459" s="53"/>
      <c r="PFF2459" s="60"/>
      <c r="PFG2459" s="53"/>
      <c r="PFH2459" s="53"/>
      <c r="PFI2459" s="53"/>
      <c r="PFJ2459" s="61"/>
      <c r="PFK2459" s="53"/>
      <c r="PFL2459" s="53"/>
      <c r="PFM2459" s="53"/>
      <c r="PFN2459" s="60"/>
      <c r="PFO2459" s="53"/>
      <c r="PFP2459" s="53"/>
      <c r="PFQ2459" s="53"/>
      <c r="PFR2459" s="61"/>
      <c r="PFS2459" s="53"/>
      <c r="PFT2459" s="53"/>
      <c r="PFU2459" s="53"/>
      <c r="PFV2459" s="60"/>
      <c r="PFW2459" s="53"/>
      <c r="PFX2459" s="53"/>
      <c r="PFY2459" s="53"/>
      <c r="PFZ2459" s="61"/>
      <c r="PGA2459" s="53"/>
      <c r="PGB2459" s="53"/>
      <c r="PGC2459" s="53"/>
      <c r="PGD2459" s="60"/>
      <c r="PGE2459" s="53"/>
      <c r="PGF2459" s="53"/>
      <c r="PGG2459" s="53"/>
      <c r="PGH2459" s="61"/>
      <c r="PGI2459" s="53"/>
      <c r="PGJ2459" s="53"/>
      <c r="PGK2459" s="53"/>
      <c r="PGL2459" s="60"/>
      <c r="PGM2459" s="53"/>
      <c r="PGN2459" s="53"/>
      <c r="PGO2459" s="53"/>
      <c r="PGP2459" s="61"/>
      <c r="PGQ2459" s="53"/>
      <c r="PGR2459" s="53"/>
      <c r="PGS2459" s="53"/>
      <c r="PGT2459" s="60"/>
      <c r="PGU2459" s="53"/>
      <c r="PGV2459" s="53"/>
      <c r="PGW2459" s="53"/>
      <c r="PGX2459" s="61"/>
      <c r="PGY2459" s="53"/>
      <c r="PGZ2459" s="53"/>
      <c r="PHA2459" s="53"/>
      <c r="PHB2459" s="60"/>
      <c r="PHC2459" s="53"/>
      <c r="PHD2459" s="53"/>
      <c r="PHE2459" s="53"/>
      <c r="PHF2459" s="61"/>
      <c r="PHG2459" s="53"/>
      <c r="PHH2459" s="53"/>
      <c r="PHI2459" s="53"/>
      <c r="PHJ2459" s="60"/>
      <c r="PHK2459" s="53"/>
      <c r="PHL2459" s="53"/>
      <c r="PHM2459" s="53"/>
      <c r="PHN2459" s="61"/>
      <c r="PHO2459" s="53"/>
      <c r="PHP2459" s="53"/>
      <c r="PHQ2459" s="53"/>
      <c r="PHR2459" s="60"/>
      <c r="PHS2459" s="53"/>
      <c r="PHT2459" s="53"/>
      <c r="PHU2459" s="53"/>
      <c r="PHV2459" s="61"/>
      <c r="PHW2459" s="53"/>
      <c r="PHX2459" s="53"/>
      <c r="PHY2459" s="53"/>
      <c r="PHZ2459" s="60"/>
      <c r="PIA2459" s="53"/>
      <c r="PIB2459" s="53"/>
      <c r="PIC2459" s="53"/>
      <c r="PID2459" s="61"/>
      <c r="PIE2459" s="53"/>
      <c r="PIF2459" s="53"/>
      <c r="PIG2459" s="53"/>
      <c r="PIH2459" s="60"/>
      <c r="PII2459" s="53"/>
      <c r="PIJ2459" s="53"/>
      <c r="PIK2459" s="53"/>
      <c r="PIL2459" s="61"/>
      <c r="PIM2459" s="53"/>
      <c r="PIN2459" s="53"/>
      <c r="PIO2459" s="53"/>
      <c r="PIP2459" s="60"/>
      <c r="PIQ2459" s="53"/>
      <c r="PIR2459" s="53"/>
      <c r="PIS2459" s="53"/>
      <c r="PIT2459" s="61"/>
      <c r="PIU2459" s="53"/>
      <c r="PIV2459" s="53"/>
      <c r="PIW2459" s="53"/>
      <c r="PIX2459" s="60"/>
      <c r="PIY2459" s="53"/>
      <c r="PIZ2459" s="53"/>
      <c r="PJA2459" s="53"/>
      <c r="PJB2459" s="61"/>
      <c r="PJC2459" s="53"/>
      <c r="PJD2459" s="53"/>
      <c r="PJE2459" s="53"/>
      <c r="PJF2459" s="60"/>
      <c r="PJG2459" s="53"/>
      <c r="PJH2459" s="53"/>
      <c r="PJI2459" s="53"/>
      <c r="PJJ2459" s="61"/>
      <c r="PJK2459" s="53"/>
      <c r="PJL2459" s="53"/>
      <c r="PJM2459" s="53"/>
      <c r="PJN2459" s="60"/>
      <c r="PJO2459" s="53"/>
      <c r="PJP2459" s="53"/>
      <c r="PJQ2459" s="53"/>
      <c r="PJR2459" s="61"/>
      <c r="PJS2459" s="53"/>
      <c r="PJT2459" s="53"/>
      <c r="PJU2459" s="53"/>
      <c r="PJV2459" s="60"/>
      <c r="PJW2459" s="53"/>
      <c r="PJX2459" s="53"/>
      <c r="PJY2459" s="53"/>
      <c r="PJZ2459" s="61"/>
      <c r="PKA2459" s="53"/>
      <c r="PKB2459" s="53"/>
      <c r="PKC2459" s="53"/>
      <c r="PKD2459" s="60"/>
      <c r="PKE2459" s="53"/>
      <c r="PKF2459" s="53"/>
      <c r="PKG2459" s="53"/>
      <c r="PKH2459" s="61"/>
      <c r="PKI2459" s="53"/>
      <c r="PKJ2459" s="53"/>
      <c r="PKK2459" s="53"/>
      <c r="PKL2459" s="60"/>
      <c r="PKM2459" s="53"/>
      <c r="PKN2459" s="53"/>
      <c r="PKO2459" s="53"/>
      <c r="PKP2459" s="61"/>
      <c r="PKQ2459" s="53"/>
      <c r="PKR2459" s="53"/>
      <c r="PKS2459" s="53"/>
      <c r="PKT2459" s="60"/>
      <c r="PKU2459" s="53"/>
      <c r="PKV2459" s="53"/>
      <c r="PKW2459" s="53"/>
      <c r="PKX2459" s="61"/>
      <c r="PKY2459" s="53"/>
      <c r="PKZ2459" s="53"/>
      <c r="PLA2459" s="53"/>
      <c r="PLB2459" s="60"/>
      <c r="PLC2459" s="53"/>
      <c r="PLD2459" s="53"/>
      <c r="PLE2459" s="53"/>
      <c r="PLF2459" s="61"/>
      <c r="PLG2459" s="53"/>
      <c r="PLH2459" s="53"/>
      <c r="PLI2459" s="53"/>
      <c r="PLJ2459" s="60"/>
      <c r="PLK2459" s="53"/>
      <c r="PLL2459" s="53"/>
      <c r="PLM2459" s="53"/>
      <c r="PLN2459" s="61"/>
      <c r="PLO2459" s="53"/>
      <c r="PLP2459" s="53"/>
      <c r="PLQ2459" s="53"/>
      <c r="PLR2459" s="60"/>
      <c r="PLS2459" s="53"/>
      <c r="PLT2459" s="53"/>
      <c r="PLU2459" s="53"/>
      <c r="PLV2459" s="61"/>
      <c r="PLW2459" s="53"/>
      <c r="PLX2459" s="53"/>
      <c r="PLY2459" s="53"/>
      <c r="PLZ2459" s="60"/>
      <c r="PMA2459" s="53"/>
      <c r="PMB2459" s="53"/>
      <c r="PMC2459" s="53"/>
      <c r="PMD2459" s="61"/>
      <c r="PME2459" s="53"/>
      <c r="PMF2459" s="53"/>
      <c r="PMG2459" s="53"/>
      <c r="PMH2459" s="60"/>
      <c r="PMI2459" s="53"/>
      <c r="PMJ2459" s="53"/>
      <c r="PMK2459" s="53"/>
      <c r="PML2459" s="61"/>
      <c r="PMM2459" s="53"/>
      <c r="PMN2459" s="53"/>
      <c r="PMO2459" s="53"/>
      <c r="PMP2459" s="60"/>
      <c r="PMQ2459" s="53"/>
      <c r="PMR2459" s="53"/>
      <c r="PMS2459" s="53"/>
      <c r="PMT2459" s="61"/>
      <c r="PMU2459" s="53"/>
      <c r="PMV2459" s="53"/>
      <c r="PMW2459" s="53"/>
      <c r="PMX2459" s="60"/>
      <c r="PMY2459" s="53"/>
      <c r="PMZ2459" s="53"/>
      <c r="PNA2459" s="53"/>
      <c r="PNB2459" s="61"/>
      <c r="PNC2459" s="53"/>
      <c r="PND2459" s="53"/>
      <c r="PNE2459" s="53"/>
      <c r="PNF2459" s="60"/>
      <c r="PNG2459" s="53"/>
      <c r="PNH2459" s="53"/>
      <c r="PNI2459" s="53"/>
      <c r="PNJ2459" s="61"/>
      <c r="PNK2459" s="53"/>
      <c r="PNL2459" s="53"/>
      <c r="PNM2459" s="53"/>
      <c r="PNN2459" s="60"/>
      <c r="PNO2459" s="53"/>
      <c r="PNP2459" s="53"/>
      <c r="PNQ2459" s="53"/>
      <c r="PNR2459" s="61"/>
      <c r="PNS2459" s="53"/>
      <c r="PNT2459" s="53"/>
      <c r="PNU2459" s="53"/>
      <c r="PNV2459" s="60"/>
      <c r="PNW2459" s="53"/>
      <c r="PNX2459" s="53"/>
      <c r="PNY2459" s="53"/>
      <c r="PNZ2459" s="61"/>
      <c r="POA2459" s="53"/>
      <c r="POB2459" s="53"/>
      <c r="POC2459" s="53"/>
      <c r="POD2459" s="60"/>
      <c r="POE2459" s="53"/>
      <c r="POF2459" s="53"/>
      <c r="POG2459" s="53"/>
      <c r="POH2459" s="61"/>
      <c r="POI2459" s="53"/>
      <c r="POJ2459" s="53"/>
      <c r="POK2459" s="53"/>
      <c r="POL2459" s="60"/>
      <c r="POM2459" s="53"/>
      <c r="PON2459" s="53"/>
      <c r="POO2459" s="53"/>
      <c r="POP2459" s="61"/>
      <c r="POQ2459" s="53"/>
      <c r="POR2459" s="53"/>
      <c r="POS2459" s="53"/>
      <c r="POT2459" s="60"/>
      <c r="POU2459" s="53"/>
      <c r="POV2459" s="53"/>
      <c r="POW2459" s="53"/>
      <c r="POX2459" s="61"/>
      <c r="POY2459" s="53"/>
      <c r="POZ2459" s="53"/>
      <c r="PPA2459" s="53"/>
      <c r="PPB2459" s="60"/>
      <c r="PPC2459" s="53"/>
      <c r="PPD2459" s="53"/>
      <c r="PPE2459" s="53"/>
      <c r="PPF2459" s="61"/>
      <c r="PPG2459" s="53"/>
      <c r="PPH2459" s="53"/>
      <c r="PPI2459" s="53"/>
      <c r="PPJ2459" s="60"/>
      <c r="PPK2459" s="53"/>
      <c r="PPL2459" s="53"/>
      <c r="PPM2459" s="53"/>
      <c r="PPN2459" s="61"/>
      <c r="PPO2459" s="53"/>
      <c r="PPP2459" s="53"/>
      <c r="PPQ2459" s="53"/>
      <c r="PPR2459" s="60"/>
      <c r="PPS2459" s="53"/>
      <c r="PPT2459" s="53"/>
      <c r="PPU2459" s="53"/>
      <c r="PPV2459" s="61"/>
      <c r="PPW2459" s="53"/>
      <c r="PPX2459" s="53"/>
      <c r="PPY2459" s="53"/>
      <c r="PPZ2459" s="60"/>
      <c r="PQA2459" s="53"/>
      <c r="PQB2459" s="53"/>
      <c r="PQC2459" s="53"/>
      <c r="PQD2459" s="61"/>
      <c r="PQE2459" s="53"/>
      <c r="PQF2459" s="53"/>
      <c r="PQG2459" s="53"/>
      <c r="PQH2459" s="60"/>
      <c r="PQI2459" s="53"/>
      <c r="PQJ2459" s="53"/>
      <c r="PQK2459" s="53"/>
      <c r="PQL2459" s="61"/>
      <c r="PQM2459" s="53"/>
      <c r="PQN2459" s="53"/>
      <c r="PQO2459" s="53"/>
      <c r="PQP2459" s="60"/>
      <c r="PQQ2459" s="53"/>
      <c r="PQR2459" s="53"/>
      <c r="PQS2459" s="53"/>
      <c r="PQT2459" s="61"/>
      <c r="PQU2459" s="53"/>
      <c r="PQV2459" s="53"/>
      <c r="PQW2459" s="53"/>
      <c r="PQX2459" s="60"/>
      <c r="PQY2459" s="53"/>
      <c r="PQZ2459" s="53"/>
      <c r="PRA2459" s="53"/>
      <c r="PRB2459" s="61"/>
      <c r="PRC2459" s="53"/>
      <c r="PRD2459" s="53"/>
      <c r="PRE2459" s="53"/>
      <c r="PRF2459" s="60"/>
      <c r="PRG2459" s="53"/>
      <c r="PRH2459" s="53"/>
      <c r="PRI2459" s="53"/>
      <c r="PRJ2459" s="61"/>
      <c r="PRK2459" s="53"/>
      <c r="PRL2459" s="53"/>
      <c r="PRM2459" s="53"/>
      <c r="PRN2459" s="60"/>
      <c r="PRO2459" s="53"/>
      <c r="PRP2459" s="53"/>
      <c r="PRQ2459" s="53"/>
      <c r="PRR2459" s="61"/>
      <c r="PRS2459" s="53"/>
      <c r="PRT2459" s="53"/>
      <c r="PRU2459" s="53"/>
      <c r="PRV2459" s="60"/>
      <c r="PRW2459" s="53"/>
      <c r="PRX2459" s="53"/>
      <c r="PRY2459" s="53"/>
      <c r="PRZ2459" s="61"/>
      <c r="PSA2459" s="53"/>
      <c r="PSB2459" s="53"/>
      <c r="PSC2459" s="53"/>
      <c r="PSD2459" s="60"/>
      <c r="PSE2459" s="53"/>
      <c r="PSF2459" s="53"/>
      <c r="PSG2459" s="53"/>
      <c r="PSH2459" s="61"/>
      <c r="PSI2459" s="53"/>
      <c r="PSJ2459" s="53"/>
      <c r="PSK2459" s="53"/>
      <c r="PSL2459" s="60"/>
      <c r="PSM2459" s="53"/>
      <c r="PSN2459" s="53"/>
      <c r="PSO2459" s="53"/>
      <c r="PSP2459" s="61"/>
      <c r="PSQ2459" s="53"/>
      <c r="PSR2459" s="53"/>
      <c r="PSS2459" s="53"/>
      <c r="PST2459" s="60"/>
      <c r="PSU2459" s="53"/>
      <c r="PSV2459" s="53"/>
      <c r="PSW2459" s="53"/>
      <c r="PSX2459" s="61"/>
      <c r="PSY2459" s="53"/>
      <c r="PSZ2459" s="53"/>
      <c r="PTA2459" s="53"/>
      <c r="PTB2459" s="60"/>
      <c r="PTC2459" s="53"/>
      <c r="PTD2459" s="53"/>
      <c r="PTE2459" s="53"/>
      <c r="PTF2459" s="61"/>
      <c r="PTG2459" s="53"/>
      <c r="PTH2459" s="53"/>
      <c r="PTI2459" s="53"/>
      <c r="PTJ2459" s="60"/>
      <c r="PTK2459" s="53"/>
      <c r="PTL2459" s="53"/>
      <c r="PTM2459" s="53"/>
      <c r="PTN2459" s="61"/>
      <c r="PTO2459" s="53"/>
      <c r="PTP2459" s="53"/>
      <c r="PTQ2459" s="53"/>
      <c r="PTR2459" s="60"/>
      <c r="PTS2459" s="53"/>
      <c r="PTT2459" s="53"/>
      <c r="PTU2459" s="53"/>
      <c r="PTV2459" s="61"/>
      <c r="PTW2459" s="53"/>
      <c r="PTX2459" s="53"/>
      <c r="PTY2459" s="53"/>
      <c r="PTZ2459" s="60"/>
      <c r="PUA2459" s="53"/>
      <c r="PUB2459" s="53"/>
      <c r="PUC2459" s="53"/>
      <c r="PUD2459" s="61"/>
      <c r="PUE2459" s="53"/>
      <c r="PUF2459" s="53"/>
      <c r="PUG2459" s="53"/>
      <c r="PUH2459" s="60"/>
      <c r="PUI2459" s="53"/>
      <c r="PUJ2459" s="53"/>
      <c r="PUK2459" s="53"/>
      <c r="PUL2459" s="61"/>
      <c r="PUM2459" s="53"/>
      <c r="PUN2459" s="53"/>
      <c r="PUO2459" s="53"/>
      <c r="PUP2459" s="60"/>
      <c r="PUQ2459" s="53"/>
      <c r="PUR2459" s="53"/>
      <c r="PUS2459" s="53"/>
      <c r="PUT2459" s="61"/>
      <c r="PUU2459" s="53"/>
      <c r="PUV2459" s="53"/>
      <c r="PUW2459" s="53"/>
      <c r="PUX2459" s="60"/>
      <c r="PUY2459" s="53"/>
      <c r="PUZ2459" s="53"/>
      <c r="PVA2459" s="53"/>
      <c r="PVB2459" s="61"/>
      <c r="PVC2459" s="53"/>
      <c r="PVD2459" s="53"/>
      <c r="PVE2459" s="53"/>
      <c r="PVF2459" s="60"/>
      <c r="PVG2459" s="53"/>
      <c r="PVH2459" s="53"/>
      <c r="PVI2459" s="53"/>
      <c r="PVJ2459" s="61"/>
      <c r="PVK2459" s="53"/>
      <c r="PVL2459" s="53"/>
      <c r="PVM2459" s="53"/>
      <c r="PVN2459" s="60"/>
      <c r="PVO2459" s="53"/>
      <c r="PVP2459" s="53"/>
      <c r="PVQ2459" s="53"/>
      <c r="PVR2459" s="61"/>
      <c r="PVS2459" s="53"/>
      <c r="PVT2459" s="53"/>
      <c r="PVU2459" s="53"/>
      <c r="PVV2459" s="60"/>
      <c r="PVW2459" s="53"/>
      <c r="PVX2459" s="53"/>
      <c r="PVY2459" s="53"/>
      <c r="PVZ2459" s="61"/>
      <c r="PWA2459" s="53"/>
      <c r="PWB2459" s="53"/>
      <c r="PWC2459" s="53"/>
      <c r="PWD2459" s="60"/>
      <c r="PWE2459" s="53"/>
      <c r="PWF2459" s="53"/>
      <c r="PWG2459" s="53"/>
      <c r="PWH2459" s="61"/>
      <c r="PWI2459" s="53"/>
      <c r="PWJ2459" s="53"/>
      <c r="PWK2459" s="53"/>
      <c r="PWL2459" s="60"/>
      <c r="PWM2459" s="53"/>
      <c r="PWN2459" s="53"/>
      <c r="PWO2459" s="53"/>
      <c r="PWP2459" s="61"/>
      <c r="PWQ2459" s="53"/>
      <c r="PWR2459" s="53"/>
      <c r="PWS2459" s="53"/>
      <c r="PWT2459" s="60"/>
      <c r="PWU2459" s="53"/>
      <c r="PWV2459" s="53"/>
      <c r="PWW2459" s="53"/>
      <c r="PWX2459" s="61"/>
      <c r="PWY2459" s="53"/>
      <c r="PWZ2459" s="53"/>
      <c r="PXA2459" s="53"/>
      <c r="PXB2459" s="60"/>
      <c r="PXC2459" s="53"/>
      <c r="PXD2459" s="53"/>
      <c r="PXE2459" s="53"/>
      <c r="PXF2459" s="61"/>
      <c r="PXG2459" s="53"/>
      <c r="PXH2459" s="53"/>
      <c r="PXI2459" s="53"/>
      <c r="PXJ2459" s="60"/>
      <c r="PXK2459" s="53"/>
      <c r="PXL2459" s="53"/>
      <c r="PXM2459" s="53"/>
      <c r="PXN2459" s="61"/>
      <c r="PXO2459" s="53"/>
      <c r="PXP2459" s="53"/>
      <c r="PXQ2459" s="53"/>
      <c r="PXR2459" s="60"/>
      <c r="PXS2459" s="53"/>
      <c r="PXT2459" s="53"/>
      <c r="PXU2459" s="53"/>
      <c r="PXV2459" s="61"/>
      <c r="PXW2459" s="53"/>
      <c r="PXX2459" s="53"/>
      <c r="PXY2459" s="53"/>
      <c r="PXZ2459" s="60"/>
      <c r="PYA2459" s="53"/>
      <c r="PYB2459" s="53"/>
      <c r="PYC2459" s="53"/>
      <c r="PYD2459" s="61"/>
      <c r="PYE2459" s="53"/>
      <c r="PYF2459" s="53"/>
      <c r="PYG2459" s="53"/>
      <c r="PYH2459" s="60"/>
      <c r="PYI2459" s="53"/>
      <c r="PYJ2459" s="53"/>
      <c r="PYK2459" s="53"/>
      <c r="PYL2459" s="61"/>
      <c r="PYM2459" s="53"/>
      <c r="PYN2459" s="53"/>
      <c r="PYO2459" s="53"/>
      <c r="PYP2459" s="60"/>
      <c r="PYQ2459" s="53"/>
      <c r="PYR2459" s="53"/>
      <c r="PYS2459" s="53"/>
      <c r="PYT2459" s="61"/>
      <c r="PYU2459" s="53"/>
      <c r="PYV2459" s="53"/>
      <c r="PYW2459" s="53"/>
      <c r="PYX2459" s="60"/>
      <c r="PYY2459" s="53"/>
      <c r="PYZ2459" s="53"/>
      <c r="PZA2459" s="53"/>
      <c r="PZB2459" s="61"/>
      <c r="PZC2459" s="53"/>
      <c r="PZD2459" s="53"/>
      <c r="PZE2459" s="53"/>
      <c r="PZF2459" s="60"/>
      <c r="PZG2459" s="53"/>
      <c r="PZH2459" s="53"/>
      <c r="PZI2459" s="53"/>
      <c r="PZJ2459" s="61"/>
      <c r="PZK2459" s="53"/>
      <c r="PZL2459" s="53"/>
      <c r="PZM2459" s="53"/>
      <c r="PZN2459" s="60"/>
      <c r="PZO2459" s="53"/>
      <c r="PZP2459" s="53"/>
      <c r="PZQ2459" s="53"/>
      <c r="PZR2459" s="61"/>
      <c r="PZS2459" s="53"/>
      <c r="PZT2459" s="53"/>
      <c r="PZU2459" s="53"/>
      <c r="PZV2459" s="60"/>
      <c r="PZW2459" s="53"/>
      <c r="PZX2459" s="53"/>
      <c r="PZY2459" s="53"/>
      <c r="PZZ2459" s="61"/>
      <c r="QAA2459" s="53"/>
      <c r="QAB2459" s="53"/>
      <c r="QAC2459" s="53"/>
      <c r="QAD2459" s="60"/>
      <c r="QAE2459" s="53"/>
      <c r="QAF2459" s="53"/>
      <c r="QAG2459" s="53"/>
      <c r="QAH2459" s="61"/>
      <c r="QAI2459" s="53"/>
      <c r="QAJ2459" s="53"/>
      <c r="QAK2459" s="53"/>
      <c r="QAL2459" s="60"/>
      <c r="QAM2459" s="53"/>
      <c r="QAN2459" s="53"/>
      <c r="QAO2459" s="53"/>
      <c r="QAP2459" s="61"/>
      <c r="QAQ2459" s="53"/>
      <c r="QAR2459" s="53"/>
      <c r="QAS2459" s="53"/>
      <c r="QAT2459" s="60"/>
      <c r="QAU2459" s="53"/>
      <c r="QAV2459" s="53"/>
      <c r="QAW2459" s="53"/>
      <c r="QAX2459" s="61"/>
      <c r="QAY2459" s="53"/>
      <c r="QAZ2459" s="53"/>
      <c r="QBA2459" s="53"/>
      <c r="QBB2459" s="60"/>
      <c r="QBC2459" s="53"/>
      <c r="QBD2459" s="53"/>
      <c r="QBE2459" s="53"/>
      <c r="QBF2459" s="61"/>
      <c r="QBG2459" s="53"/>
      <c r="QBH2459" s="53"/>
      <c r="QBI2459" s="53"/>
      <c r="QBJ2459" s="60"/>
      <c r="QBK2459" s="53"/>
      <c r="QBL2459" s="53"/>
      <c r="QBM2459" s="53"/>
      <c r="QBN2459" s="61"/>
      <c r="QBO2459" s="53"/>
      <c r="QBP2459" s="53"/>
      <c r="QBQ2459" s="53"/>
      <c r="QBR2459" s="60"/>
      <c r="QBS2459" s="53"/>
      <c r="QBT2459" s="53"/>
      <c r="QBU2459" s="53"/>
      <c r="QBV2459" s="61"/>
      <c r="QBW2459" s="53"/>
      <c r="QBX2459" s="53"/>
      <c r="QBY2459" s="53"/>
      <c r="QBZ2459" s="60"/>
      <c r="QCA2459" s="53"/>
      <c r="QCB2459" s="53"/>
      <c r="QCC2459" s="53"/>
      <c r="QCD2459" s="61"/>
      <c r="QCE2459" s="53"/>
      <c r="QCF2459" s="53"/>
      <c r="QCG2459" s="53"/>
      <c r="QCH2459" s="60"/>
      <c r="QCI2459" s="53"/>
      <c r="QCJ2459" s="53"/>
      <c r="QCK2459" s="53"/>
      <c r="QCL2459" s="61"/>
      <c r="QCM2459" s="53"/>
      <c r="QCN2459" s="53"/>
      <c r="QCO2459" s="53"/>
      <c r="QCP2459" s="60"/>
      <c r="QCQ2459" s="53"/>
      <c r="QCR2459" s="53"/>
      <c r="QCS2459" s="53"/>
      <c r="QCT2459" s="61"/>
      <c r="QCU2459" s="53"/>
      <c r="QCV2459" s="53"/>
      <c r="QCW2459" s="53"/>
      <c r="QCX2459" s="60"/>
      <c r="QCY2459" s="53"/>
      <c r="QCZ2459" s="53"/>
      <c r="QDA2459" s="53"/>
      <c r="QDB2459" s="61"/>
      <c r="QDC2459" s="53"/>
      <c r="QDD2459" s="53"/>
      <c r="QDE2459" s="53"/>
      <c r="QDF2459" s="60"/>
      <c r="QDG2459" s="53"/>
      <c r="QDH2459" s="53"/>
      <c r="QDI2459" s="53"/>
      <c r="QDJ2459" s="61"/>
      <c r="QDK2459" s="53"/>
      <c r="QDL2459" s="53"/>
      <c r="QDM2459" s="53"/>
      <c r="QDN2459" s="60"/>
      <c r="QDO2459" s="53"/>
      <c r="QDP2459" s="53"/>
      <c r="QDQ2459" s="53"/>
      <c r="QDR2459" s="61"/>
      <c r="QDS2459" s="53"/>
      <c r="QDT2459" s="53"/>
      <c r="QDU2459" s="53"/>
      <c r="QDV2459" s="60"/>
      <c r="QDW2459" s="53"/>
      <c r="QDX2459" s="53"/>
      <c r="QDY2459" s="53"/>
      <c r="QDZ2459" s="61"/>
      <c r="QEA2459" s="53"/>
      <c r="QEB2459" s="53"/>
      <c r="QEC2459" s="53"/>
      <c r="QED2459" s="60"/>
      <c r="QEE2459" s="53"/>
      <c r="QEF2459" s="53"/>
      <c r="QEG2459" s="53"/>
      <c r="QEH2459" s="61"/>
      <c r="QEI2459" s="53"/>
      <c r="QEJ2459" s="53"/>
      <c r="QEK2459" s="53"/>
      <c r="QEL2459" s="60"/>
      <c r="QEM2459" s="53"/>
      <c r="QEN2459" s="53"/>
      <c r="QEO2459" s="53"/>
      <c r="QEP2459" s="61"/>
      <c r="QEQ2459" s="53"/>
      <c r="QER2459" s="53"/>
      <c r="QES2459" s="53"/>
      <c r="QET2459" s="60"/>
      <c r="QEU2459" s="53"/>
      <c r="QEV2459" s="53"/>
      <c r="QEW2459" s="53"/>
      <c r="QEX2459" s="61"/>
      <c r="QEY2459" s="53"/>
      <c r="QEZ2459" s="53"/>
      <c r="QFA2459" s="53"/>
      <c r="QFB2459" s="60"/>
      <c r="QFC2459" s="53"/>
      <c r="QFD2459" s="53"/>
      <c r="QFE2459" s="53"/>
      <c r="QFF2459" s="61"/>
      <c r="QFG2459" s="53"/>
      <c r="QFH2459" s="53"/>
      <c r="QFI2459" s="53"/>
      <c r="QFJ2459" s="60"/>
      <c r="QFK2459" s="53"/>
      <c r="QFL2459" s="53"/>
      <c r="QFM2459" s="53"/>
      <c r="QFN2459" s="61"/>
      <c r="QFO2459" s="53"/>
      <c r="QFP2459" s="53"/>
      <c r="QFQ2459" s="53"/>
      <c r="QFR2459" s="60"/>
      <c r="QFS2459" s="53"/>
      <c r="QFT2459" s="53"/>
      <c r="QFU2459" s="53"/>
      <c r="QFV2459" s="61"/>
      <c r="QFW2459" s="53"/>
      <c r="QFX2459" s="53"/>
      <c r="QFY2459" s="53"/>
      <c r="QFZ2459" s="60"/>
      <c r="QGA2459" s="53"/>
      <c r="QGB2459" s="53"/>
      <c r="QGC2459" s="53"/>
      <c r="QGD2459" s="61"/>
      <c r="QGE2459" s="53"/>
      <c r="QGF2459" s="53"/>
      <c r="QGG2459" s="53"/>
      <c r="QGH2459" s="60"/>
      <c r="QGI2459" s="53"/>
      <c r="QGJ2459" s="53"/>
      <c r="QGK2459" s="53"/>
      <c r="QGL2459" s="61"/>
      <c r="QGM2459" s="53"/>
      <c r="QGN2459" s="53"/>
      <c r="QGO2459" s="53"/>
      <c r="QGP2459" s="60"/>
      <c r="QGQ2459" s="53"/>
      <c r="QGR2459" s="53"/>
      <c r="QGS2459" s="53"/>
      <c r="QGT2459" s="61"/>
      <c r="QGU2459" s="53"/>
      <c r="QGV2459" s="53"/>
      <c r="QGW2459" s="53"/>
      <c r="QGX2459" s="60"/>
      <c r="QGY2459" s="53"/>
      <c r="QGZ2459" s="53"/>
      <c r="QHA2459" s="53"/>
      <c r="QHB2459" s="61"/>
      <c r="QHC2459" s="53"/>
      <c r="QHD2459" s="53"/>
      <c r="QHE2459" s="53"/>
      <c r="QHF2459" s="60"/>
      <c r="QHG2459" s="53"/>
      <c r="QHH2459" s="53"/>
      <c r="QHI2459" s="53"/>
      <c r="QHJ2459" s="61"/>
      <c r="QHK2459" s="53"/>
      <c r="QHL2459" s="53"/>
      <c r="QHM2459" s="53"/>
      <c r="QHN2459" s="60"/>
      <c r="QHO2459" s="53"/>
      <c r="QHP2459" s="53"/>
      <c r="QHQ2459" s="53"/>
      <c r="QHR2459" s="61"/>
      <c r="QHS2459" s="53"/>
      <c r="QHT2459" s="53"/>
      <c r="QHU2459" s="53"/>
      <c r="QHV2459" s="60"/>
      <c r="QHW2459" s="53"/>
      <c r="QHX2459" s="53"/>
      <c r="QHY2459" s="53"/>
      <c r="QHZ2459" s="61"/>
      <c r="QIA2459" s="53"/>
      <c r="QIB2459" s="53"/>
      <c r="QIC2459" s="53"/>
      <c r="QID2459" s="60"/>
      <c r="QIE2459" s="53"/>
      <c r="QIF2459" s="53"/>
      <c r="QIG2459" s="53"/>
      <c r="QIH2459" s="61"/>
      <c r="QII2459" s="53"/>
      <c r="QIJ2459" s="53"/>
      <c r="QIK2459" s="53"/>
      <c r="QIL2459" s="60"/>
      <c r="QIM2459" s="53"/>
      <c r="QIN2459" s="53"/>
      <c r="QIO2459" s="53"/>
      <c r="QIP2459" s="61"/>
      <c r="QIQ2459" s="53"/>
      <c r="QIR2459" s="53"/>
      <c r="QIS2459" s="53"/>
      <c r="QIT2459" s="60"/>
      <c r="QIU2459" s="53"/>
      <c r="QIV2459" s="53"/>
      <c r="QIW2459" s="53"/>
      <c r="QIX2459" s="61"/>
      <c r="QIY2459" s="53"/>
      <c r="QIZ2459" s="53"/>
      <c r="QJA2459" s="53"/>
      <c r="QJB2459" s="60"/>
      <c r="QJC2459" s="53"/>
      <c r="QJD2459" s="53"/>
      <c r="QJE2459" s="53"/>
      <c r="QJF2459" s="61"/>
      <c r="QJG2459" s="53"/>
      <c r="QJH2459" s="53"/>
      <c r="QJI2459" s="53"/>
      <c r="QJJ2459" s="60"/>
      <c r="QJK2459" s="53"/>
      <c r="QJL2459" s="53"/>
      <c r="QJM2459" s="53"/>
      <c r="QJN2459" s="61"/>
      <c r="QJO2459" s="53"/>
      <c r="QJP2459" s="53"/>
      <c r="QJQ2459" s="53"/>
      <c r="QJR2459" s="60"/>
      <c r="QJS2459" s="53"/>
      <c r="QJT2459" s="53"/>
      <c r="QJU2459" s="53"/>
      <c r="QJV2459" s="61"/>
      <c r="QJW2459" s="53"/>
      <c r="QJX2459" s="53"/>
      <c r="QJY2459" s="53"/>
      <c r="QJZ2459" s="60"/>
      <c r="QKA2459" s="53"/>
      <c r="QKB2459" s="53"/>
      <c r="QKC2459" s="53"/>
      <c r="QKD2459" s="61"/>
      <c r="QKE2459" s="53"/>
      <c r="QKF2459" s="53"/>
      <c r="QKG2459" s="53"/>
      <c r="QKH2459" s="60"/>
      <c r="QKI2459" s="53"/>
      <c r="QKJ2459" s="53"/>
      <c r="QKK2459" s="53"/>
      <c r="QKL2459" s="61"/>
      <c r="QKM2459" s="53"/>
      <c r="QKN2459" s="53"/>
      <c r="QKO2459" s="53"/>
      <c r="QKP2459" s="60"/>
      <c r="QKQ2459" s="53"/>
      <c r="QKR2459" s="53"/>
      <c r="QKS2459" s="53"/>
      <c r="QKT2459" s="61"/>
      <c r="QKU2459" s="53"/>
      <c r="QKV2459" s="53"/>
      <c r="QKW2459" s="53"/>
      <c r="QKX2459" s="60"/>
      <c r="QKY2459" s="53"/>
      <c r="QKZ2459" s="53"/>
      <c r="QLA2459" s="53"/>
      <c r="QLB2459" s="61"/>
      <c r="QLC2459" s="53"/>
      <c r="QLD2459" s="53"/>
      <c r="QLE2459" s="53"/>
      <c r="QLF2459" s="60"/>
      <c r="QLG2459" s="53"/>
      <c r="QLH2459" s="53"/>
      <c r="QLI2459" s="53"/>
      <c r="QLJ2459" s="61"/>
      <c r="QLK2459" s="53"/>
      <c r="QLL2459" s="53"/>
      <c r="QLM2459" s="53"/>
      <c r="QLN2459" s="60"/>
      <c r="QLO2459" s="53"/>
      <c r="QLP2459" s="53"/>
      <c r="QLQ2459" s="53"/>
      <c r="QLR2459" s="61"/>
      <c r="QLS2459" s="53"/>
      <c r="QLT2459" s="53"/>
      <c r="QLU2459" s="53"/>
      <c r="QLV2459" s="60"/>
      <c r="QLW2459" s="53"/>
      <c r="QLX2459" s="53"/>
      <c r="QLY2459" s="53"/>
      <c r="QLZ2459" s="61"/>
      <c r="QMA2459" s="53"/>
      <c r="QMB2459" s="53"/>
      <c r="QMC2459" s="53"/>
      <c r="QMD2459" s="60"/>
      <c r="QME2459" s="53"/>
      <c r="QMF2459" s="53"/>
      <c r="QMG2459" s="53"/>
      <c r="QMH2459" s="61"/>
      <c r="QMI2459" s="53"/>
      <c r="QMJ2459" s="53"/>
      <c r="QMK2459" s="53"/>
      <c r="QML2459" s="60"/>
      <c r="QMM2459" s="53"/>
      <c r="QMN2459" s="53"/>
      <c r="QMO2459" s="53"/>
      <c r="QMP2459" s="61"/>
      <c r="QMQ2459" s="53"/>
      <c r="QMR2459" s="53"/>
      <c r="QMS2459" s="53"/>
      <c r="QMT2459" s="60"/>
      <c r="QMU2459" s="53"/>
      <c r="QMV2459" s="53"/>
      <c r="QMW2459" s="53"/>
      <c r="QMX2459" s="61"/>
      <c r="QMY2459" s="53"/>
      <c r="QMZ2459" s="53"/>
      <c r="QNA2459" s="53"/>
      <c r="QNB2459" s="60"/>
      <c r="QNC2459" s="53"/>
      <c r="QND2459" s="53"/>
      <c r="QNE2459" s="53"/>
      <c r="QNF2459" s="61"/>
      <c r="QNG2459" s="53"/>
      <c r="QNH2459" s="53"/>
      <c r="QNI2459" s="53"/>
      <c r="QNJ2459" s="60"/>
      <c r="QNK2459" s="53"/>
      <c r="QNL2459" s="53"/>
      <c r="QNM2459" s="53"/>
      <c r="QNN2459" s="61"/>
      <c r="QNO2459" s="53"/>
      <c r="QNP2459" s="53"/>
      <c r="QNQ2459" s="53"/>
      <c r="QNR2459" s="60"/>
      <c r="QNS2459" s="53"/>
      <c r="QNT2459" s="53"/>
      <c r="QNU2459" s="53"/>
      <c r="QNV2459" s="61"/>
      <c r="QNW2459" s="53"/>
      <c r="QNX2459" s="53"/>
      <c r="QNY2459" s="53"/>
      <c r="QNZ2459" s="60"/>
      <c r="QOA2459" s="53"/>
      <c r="QOB2459" s="53"/>
      <c r="QOC2459" s="53"/>
      <c r="QOD2459" s="61"/>
      <c r="QOE2459" s="53"/>
      <c r="QOF2459" s="53"/>
      <c r="QOG2459" s="53"/>
      <c r="QOH2459" s="60"/>
      <c r="QOI2459" s="53"/>
      <c r="QOJ2459" s="53"/>
      <c r="QOK2459" s="53"/>
      <c r="QOL2459" s="61"/>
      <c r="QOM2459" s="53"/>
      <c r="QON2459" s="53"/>
      <c r="QOO2459" s="53"/>
      <c r="QOP2459" s="60"/>
      <c r="QOQ2459" s="53"/>
      <c r="QOR2459" s="53"/>
      <c r="QOS2459" s="53"/>
      <c r="QOT2459" s="61"/>
      <c r="QOU2459" s="53"/>
      <c r="QOV2459" s="53"/>
      <c r="QOW2459" s="53"/>
      <c r="QOX2459" s="60"/>
      <c r="QOY2459" s="53"/>
      <c r="QOZ2459" s="53"/>
      <c r="QPA2459" s="53"/>
      <c r="QPB2459" s="61"/>
      <c r="QPC2459" s="53"/>
      <c r="QPD2459" s="53"/>
      <c r="QPE2459" s="53"/>
      <c r="QPF2459" s="60"/>
      <c r="QPG2459" s="53"/>
      <c r="QPH2459" s="53"/>
      <c r="QPI2459" s="53"/>
      <c r="QPJ2459" s="61"/>
      <c r="QPK2459" s="53"/>
      <c r="QPL2459" s="53"/>
      <c r="QPM2459" s="53"/>
      <c r="QPN2459" s="60"/>
      <c r="QPO2459" s="53"/>
      <c r="QPP2459" s="53"/>
      <c r="QPQ2459" s="53"/>
      <c r="QPR2459" s="61"/>
      <c r="QPS2459" s="53"/>
      <c r="QPT2459" s="53"/>
      <c r="QPU2459" s="53"/>
      <c r="QPV2459" s="60"/>
      <c r="QPW2459" s="53"/>
      <c r="QPX2459" s="53"/>
      <c r="QPY2459" s="53"/>
      <c r="QPZ2459" s="61"/>
      <c r="QQA2459" s="53"/>
      <c r="QQB2459" s="53"/>
      <c r="QQC2459" s="53"/>
      <c r="QQD2459" s="60"/>
      <c r="QQE2459" s="53"/>
      <c r="QQF2459" s="53"/>
      <c r="QQG2459" s="53"/>
      <c r="QQH2459" s="61"/>
      <c r="QQI2459" s="53"/>
      <c r="QQJ2459" s="53"/>
      <c r="QQK2459" s="53"/>
      <c r="QQL2459" s="60"/>
      <c r="QQM2459" s="53"/>
      <c r="QQN2459" s="53"/>
      <c r="QQO2459" s="53"/>
      <c r="QQP2459" s="61"/>
      <c r="QQQ2459" s="53"/>
      <c r="QQR2459" s="53"/>
      <c r="QQS2459" s="53"/>
      <c r="QQT2459" s="60"/>
      <c r="QQU2459" s="53"/>
      <c r="QQV2459" s="53"/>
      <c r="QQW2459" s="53"/>
      <c r="QQX2459" s="61"/>
      <c r="QQY2459" s="53"/>
      <c r="QQZ2459" s="53"/>
      <c r="QRA2459" s="53"/>
      <c r="QRB2459" s="60"/>
      <c r="QRC2459" s="53"/>
      <c r="QRD2459" s="53"/>
      <c r="QRE2459" s="53"/>
      <c r="QRF2459" s="61"/>
      <c r="QRG2459" s="53"/>
      <c r="QRH2459" s="53"/>
      <c r="QRI2459" s="53"/>
      <c r="QRJ2459" s="60"/>
      <c r="QRK2459" s="53"/>
      <c r="QRL2459" s="53"/>
      <c r="QRM2459" s="53"/>
      <c r="QRN2459" s="61"/>
      <c r="QRO2459" s="53"/>
      <c r="QRP2459" s="53"/>
      <c r="QRQ2459" s="53"/>
      <c r="QRR2459" s="60"/>
      <c r="QRS2459" s="53"/>
      <c r="QRT2459" s="53"/>
      <c r="QRU2459" s="53"/>
      <c r="QRV2459" s="61"/>
      <c r="QRW2459" s="53"/>
      <c r="QRX2459" s="53"/>
      <c r="QRY2459" s="53"/>
      <c r="QRZ2459" s="60"/>
      <c r="QSA2459" s="53"/>
      <c r="QSB2459" s="53"/>
      <c r="QSC2459" s="53"/>
      <c r="QSD2459" s="61"/>
      <c r="QSE2459" s="53"/>
      <c r="QSF2459" s="53"/>
      <c r="QSG2459" s="53"/>
      <c r="QSH2459" s="60"/>
      <c r="QSI2459" s="53"/>
      <c r="QSJ2459" s="53"/>
      <c r="QSK2459" s="53"/>
      <c r="QSL2459" s="61"/>
      <c r="QSM2459" s="53"/>
      <c r="QSN2459" s="53"/>
      <c r="QSO2459" s="53"/>
      <c r="QSP2459" s="60"/>
      <c r="QSQ2459" s="53"/>
      <c r="QSR2459" s="53"/>
      <c r="QSS2459" s="53"/>
      <c r="QST2459" s="61"/>
      <c r="QSU2459" s="53"/>
      <c r="QSV2459" s="53"/>
      <c r="QSW2459" s="53"/>
      <c r="QSX2459" s="60"/>
      <c r="QSY2459" s="53"/>
      <c r="QSZ2459" s="53"/>
      <c r="QTA2459" s="53"/>
      <c r="QTB2459" s="61"/>
      <c r="QTC2459" s="53"/>
      <c r="QTD2459" s="53"/>
      <c r="QTE2459" s="53"/>
      <c r="QTF2459" s="60"/>
      <c r="QTG2459" s="53"/>
      <c r="QTH2459" s="53"/>
      <c r="QTI2459" s="53"/>
      <c r="QTJ2459" s="61"/>
      <c r="QTK2459" s="53"/>
      <c r="QTL2459" s="53"/>
      <c r="QTM2459" s="53"/>
      <c r="QTN2459" s="60"/>
      <c r="QTO2459" s="53"/>
      <c r="QTP2459" s="53"/>
      <c r="QTQ2459" s="53"/>
      <c r="QTR2459" s="61"/>
      <c r="QTS2459" s="53"/>
      <c r="QTT2459" s="53"/>
      <c r="QTU2459" s="53"/>
      <c r="QTV2459" s="60"/>
      <c r="QTW2459" s="53"/>
      <c r="QTX2459" s="53"/>
      <c r="QTY2459" s="53"/>
      <c r="QTZ2459" s="61"/>
      <c r="QUA2459" s="53"/>
      <c r="QUB2459" s="53"/>
      <c r="QUC2459" s="53"/>
      <c r="QUD2459" s="60"/>
      <c r="QUE2459" s="53"/>
      <c r="QUF2459" s="53"/>
      <c r="QUG2459" s="53"/>
      <c r="QUH2459" s="61"/>
      <c r="QUI2459" s="53"/>
      <c r="QUJ2459" s="53"/>
      <c r="QUK2459" s="53"/>
      <c r="QUL2459" s="60"/>
      <c r="QUM2459" s="53"/>
      <c r="QUN2459" s="53"/>
      <c r="QUO2459" s="53"/>
      <c r="QUP2459" s="61"/>
      <c r="QUQ2459" s="53"/>
      <c r="QUR2459" s="53"/>
      <c r="QUS2459" s="53"/>
      <c r="QUT2459" s="60"/>
      <c r="QUU2459" s="53"/>
      <c r="QUV2459" s="53"/>
      <c r="QUW2459" s="53"/>
      <c r="QUX2459" s="61"/>
      <c r="QUY2459" s="53"/>
      <c r="QUZ2459" s="53"/>
      <c r="QVA2459" s="53"/>
      <c r="QVB2459" s="60"/>
      <c r="QVC2459" s="53"/>
      <c r="QVD2459" s="53"/>
      <c r="QVE2459" s="53"/>
      <c r="QVF2459" s="61"/>
      <c r="QVG2459" s="53"/>
      <c r="QVH2459" s="53"/>
      <c r="QVI2459" s="53"/>
      <c r="QVJ2459" s="60"/>
      <c r="QVK2459" s="53"/>
      <c r="QVL2459" s="53"/>
      <c r="QVM2459" s="53"/>
      <c r="QVN2459" s="61"/>
      <c r="QVO2459" s="53"/>
      <c r="QVP2459" s="53"/>
      <c r="QVQ2459" s="53"/>
      <c r="QVR2459" s="60"/>
      <c r="QVS2459" s="53"/>
      <c r="QVT2459" s="53"/>
      <c r="QVU2459" s="53"/>
      <c r="QVV2459" s="61"/>
      <c r="QVW2459" s="53"/>
      <c r="QVX2459" s="53"/>
      <c r="QVY2459" s="53"/>
      <c r="QVZ2459" s="60"/>
      <c r="QWA2459" s="53"/>
      <c r="QWB2459" s="53"/>
      <c r="QWC2459" s="53"/>
      <c r="QWD2459" s="61"/>
      <c r="QWE2459" s="53"/>
      <c r="QWF2459" s="53"/>
      <c r="QWG2459" s="53"/>
      <c r="QWH2459" s="60"/>
      <c r="QWI2459" s="53"/>
      <c r="QWJ2459" s="53"/>
      <c r="QWK2459" s="53"/>
      <c r="QWL2459" s="61"/>
      <c r="QWM2459" s="53"/>
      <c r="QWN2459" s="53"/>
      <c r="QWO2459" s="53"/>
      <c r="QWP2459" s="60"/>
      <c r="QWQ2459" s="53"/>
      <c r="QWR2459" s="53"/>
      <c r="QWS2459" s="53"/>
      <c r="QWT2459" s="61"/>
      <c r="QWU2459" s="53"/>
      <c r="QWV2459" s="53"/>
      <c r="QWW2459" s="53"/>
      <c r="QWX2459" s="60"/>
      <c r="QWY2459" s="53"/>
      <c r="QWZ2459" s="53"/>
      <c r="QXA2459" s="53"/>
      <c r="QXB2459" s="61"/>
      <c r="QXC2459" s="53"/>
      <c r="QXD2459" s="53"/>
      <c r="QXE2459" s="53"/>
      <c r="QXF2459" s="60"/>
      <c r="QXG2459" s="53"/>
      <c r="QXH2459" s="53"/>
      <c r="QXI2459" s="53"/>
      <c r="QXJ2459" s="61"/>
      <c r="QXK2459" s="53"/>
      <c r="QXL2459" s="53"/>
      <c r="QXM2459" s="53"/>
      <c r="QXN2459" s="60"/>
      <c r="QXO2459" s="53"/>
      <c r="QXP2459" s="53"/>
      <c r="QXQ2459" s="53"/>
      <c r="QXR2459" s="61"/>
      <c r="QXS2459" s="53"/>
      <c r="QXT2459" s="53"/>
      <c r="QXU2459" s="53"/>
      <c r="QXV2459" s="60"/>
      <c r="QXW2459" s="53"/>
      <c r="QXX2459" s="53"/>
      <c r="QXY2459" s="53"/>
      <c r="QXZ2459" s="61"/>
      <c r="QYA2459" s="53"/>
      <c r="QYB2459" s="53"/>
      <c r="QYC2459" s="53"/>
      <c r="QYD2459" s="60"/>
      <c r="QYE2459" s="53"/>
      <c r="QYF2459" s="53"/>
      <c r="QYG2459" s="53"/>
      <c r="QYH2459" s="61"/>
      <c r="QYI2459" s="53"/>
      <c r="QYJ2459" s="53"/>
      <c r="QYK2459" s="53"/>
      <c r="QYL2459" s="60"/>
      <c r="QYM2459" s="53"/>
      <c r="QYN2459" s="53"/>
      <c r="QYO2459" s="53"/>
      <c r="QYP2459" s="61"/>
      <c r="QYQ2459" s="53"/>
      <c r="QYR2459" s="53"/>
      <c r="QYS2459" s="53"/>
      <c r="QYT2459" s="60"/>
      <c r="QYU2459" s="53"/>
      <c r="QYV2459" s="53"/>
      <c r="QYW2459" s="53"/>
      <c r="QYX2459" s="61"/>
      <c r="QYY2459" s="53"/>
      <c r="QYZ2459" s="53"/>
      <c r="QZA2459" s="53"/>
      <c r="QZB2459" s="60"/>
      <c r="QZC2459" s="53"/>
      <c r="QZD2459" s="53"/>
      <c r="QZE2459" s="53"/>
      <c r="QZF2459" s="61"/>
      <c r="QZG2459" s="53"/>
      <c r="QZH2459" s="53"/>
      <c r="QZI2459" s="53"/>
      <c r="QZJ2459" s="60"/>
      <c r="QZK2459" s="53"/>
      <c r="QZL2459" s="53"/>
      <c r="QZM2459" s="53"/>
      <c r="QZN2459" s="61"/>
      <c r="QZO2459" s="53"/>
      <c r="QZP2459" s="53"/>
      <c r="QZQ2459" s="53"/>
      <c r="QZR2459" s="60"/>
      <c r="QZS2459" s="53"/>
      <c r="QZT2459" s="53"/>
      <c r="QZU2459" s="53"/>
      <c r="QZV2459" s="61"/>
      <c r="QZW2459" s="53"/>
      <c r="QZX2459" s="53"/>
      <c r="QZY2459" s="53"/>
      <c r="QZZ2459" s="60"/>
      <c r="RAA2459" s="53"/>
      <c r="RAB2459" s="53"/>
      <c r="RAC2459" s="53"/>
      <c r="RAD2459" s="61"/>
      <c r="RAE2459" s="53"/>
      <c r="RAF2459" s="53"/>
      <c r="RAG2459" s="53"/>
      <c r="RAH2459" s="60"/>
      <c r="RAI2459" s="53"/>
      <c r="RAJ2459" s="53"/>
      <c r="RAK2459" s="53"/>
      <c r="RAL2459" s="61"/>
      <c r="RAM2459" s="53"/>
      <c r="RAN2459" s="53"/>
      <c r="RAO2459" s="53"/>
      <c r="RAP2459" s="60"/>
      <c r="RAQ2459" s="53"/>
      <c r="RAR2459" s="53"/>
      <c r="RAS2459" s="53"/>
      <c r="RAT2459" s="61"/>
      <c r="RAU2459" s="53"/>
      <c r="RAV2459" s="53"/>
      <c r="RAW2459" s="53"/>
      <c r="RAX2459" s="60"/>
      <c r="RAY2459" s="53"/>
      <c r="RAZ2459" s="53"/>
      <c r="RBA2459" s="53"/>
      <c r="RBB2459" s="61"/>
      <c r="RBC2459" s="53"/>
      <c r="RBD2459" s="53"/>
      <c r="RBE2459" s="53"/>
      <c r="RBF2459" s="60"/>
      <c r="RBG2459" s="53"/>
      <c r="RBH2459" s="53"/>
      <c r="RBI2459" s="53"/>
      <c r="RBJ2459" s="61"/>
      <c r="RBK2459" s="53"/>
      <c r="RBL2459" s="53"/>
      <c r="RBM2459" s="53"/>
      <c r="RBN2459" s="60"/>
      <c r="RBO2459" s="53"/>
      <c r="RBP2459" s="53"/>
      <c r="RBQ2459" s="53"/>
      <c r="RBR2459" s="61"/>
      <c r="RBS2459" s="53"/>
      <c r="RBT2459" s="53"/>
      <c r="RBU2459" s="53"/>
      <c r="RBV2459" s="60"/>
      <c r="RBW2459" s="53"/>
      <c r="RBX2459" s="53"/>
      <c r="RBY2459" s="53"/>
      <c r="RBZ2459" s="61"/>
      <c r="RCA2459" s="53"/>
      <c r="RCB2459" s="53"/>
      <c r="RCC2459" s="53"/>
      <c r="RCD2459" s="60"/>
      <c r="RCE2459" s="53"/>
      <c r="RCF2459" s="53"/>
      <c r="RCG2459" s="53"/>
      <c r="RCH2459" s="61"/>
      <c r="RCI2459" s="53"/>
      <c r="RCJ2459" s="53"/>
      <c r="RCK2459" s="53"/>
      <c r="RCL2459" s="60"/>
      <c r="RCM2459" s="53"/>
      <c r="RCN2459" s="53"/>
      <c r="RCO2459" s="53"/>
      <c r="RCP2459" s="61"/>
      <c r="RCQ2459" s="53"/>
      <c r="RCR2459" s="53"/>
      <c r="RCS2459" s="53"/>
      <c r="RCT2459" s="60"/>
      <c r="RCU2459" s="53"/>
      <c r="RCV2459" s="53"/>
      <c r="RCW2459" s="53"/>
      <c r="RCX2459" s="61"/>
      <c r="RCY2459" s="53"/>
      <c r="RCZ2459" s="53"/>
      <c r="RDA2459" s="53"/>
      <c r="RDB2459" s="60"/>
      <c r="RDC2459" s="53"/>
      <c r="RDD2459" s="53"/>
      <c r="RDE2459" s="53"/>
      <c r="RDF2459" s="61"/>
      <c r="RDG2459" s="53"/>
      <c r="RDH2459" s="53"/>
      <c r="RDI2459" s="53"/>
      <c r="RDJ2459" s="60"/>
      <c r="RDK2459" s="53"/>
      <c r="RDL2459" s="53"/>
      <c r="RDM2459" s="53"/>
      <c r="RDN2459" s="61"/>
      <c r="RDO2459" s="53"/>
      <c r="RDP2459" s="53"/>
      <c r="RDQ2459" s="53"/>
      <c r="RDR2459" s="60"/>
      <c r="RDS2459" s="53"/>
      <c r="RDT2459" s="53"/>
      <c r="RDU2459" s="53"/>
      <c r="RDV2459" s="61"/>
      <c r="RDW2459" s="53"/>
      <c r="RDX2459" s="53"/>
      <c r="RDY2459" s="53"/>
      <c r="RDZ2459" s="60"/>
      <c r="REA2459" s="53"/>
      <c r="REB2459" s="53"/>
      <c r="REC2459" s="53"/>
      <c r="RED2459" s="61"/>
      <c r="REE2459" s="53"/>
      <c r="REF2459" s="53"/>
      <c r="REG2459" s="53"/>
      <c r="REH2459" s="60"/>
      <c r="REI2459" s="53"/>
      <c r="REJ2459" s="53"/>
      <c r="REK2459" s="53"/>
      <c r="REL2459" s="61"/>
      <c r="REM2459" s="53"/>
      <c r="REN2459" s="53"/>
      <c r="REO2459" s="53"/>
      <c r="REP2459" s="60"/>
      <c r="REQ2459" s="53"/>
      <c r="RER2459" s="53"/>
      <c r="RES2459" s="53"/>
      <c r="RET2459" s="61"/>
      <c r="REU2459" s="53"/>
      <c r="REV2459" s="53"/>
      <c r="REW2459" s="53"/>
      <c r="REX2459" s="60"/>
      <c r="REY2459" s="53"/>
      <c r="REZ2459" s="53"/>
      <c r="RFA2459" s="53"/>
      <c r="RFB2459" s="61"/>
      <c r="RFC2459" s="53"/>
      <c r="RFD2459" s="53"/>
      <c r="RFE2459" s="53"/>
      <c r="RFF2459" s="60"/>
      <c r="RFG2459" s="53"/>
      <c r="RFH2459" s="53"/>
      <c r="RFI2459" s="53"/>
      <c r="RFJ2459" s="61"/>
      <c r="RFK2459" s="53"/>
      <c r="RFL2459" s="53"/>
      <c r="RFM2459" s="53"/>
      <c r="RFN2459" s="60"/>
      <c r="RFO2459" s="53"/>
      <c r="RFP2459" s="53"/>
      <c r="RFQ2459" s="53"/>
      <c r="RFR2459" s="61"/>
      <c r="RFS2459" s="53"/>
      <c r="RFT2459" s="53"/>
      <c r="RFU2459" s="53"/>
      <c r="RFV2459" s="60"/>
      <c r="RFW2459" s="53"/>
      <c r="RFX2459" s="53"/>
      <c r="RFY2459" s="53"/>
      <c r="RFZ2459" s="61"/>
      <c r="RGA2459" s="53"/>
      <c r="RGB2459" s="53"/>
      <c r="RGC2459" s="53"/>
      <c r="RGD2459" s="60"/>
      <c r="RGE2459" s="53"/>
      <c r="RGF2459" s="53"/>
      <c r="RGG2459" s="53"/>
      <c r="RGH2459" s="61"/>
      <c r="RGI2459" s="53"/>
      <c r="RGJ2459" s="53"/>
      <c r="RGK2459" s="53"/>
      <c r="RGL2459" s="60"/>
      <c r="RGM2459" s="53"/>
      <c r="RGN2459" s="53"/>
      <c r="RGO2459" s="53"/>
      <c r="RGP2459" s="61"/>
      <c r="RGQ2459" s="53"/>
      <c r="RGR2459" s="53"/>
      <c r="RGS2459" s="53"/>
      <c r="RGT2459" s="60"/>
      <c r="RGU2459" s="53"/>
      <c r="RGV2459" s="53"/>
      <c r="RGW2459" s="53"/>
      <c r="RGX2459" s="61"/>
      <c r="RGY2459" s="53"/>
      <c r="RGZ2459" s="53"/>
      <c r="RHA2459" s="53"/>
      <c r="RHB2459" s="60"/>
      <c r="RHC2459" s="53"/>
      <c r="RHD2459" s="53"/>
      <c r="RHE2459" s="53"/>
      <c r="RHF2459" s="61"/>
      <c r="RHG2459" s="53"/>
      <c r="RHH2459" s="53"/>
      <c r="RHI2459" s="53"/>
      <c r="RHJ2459" s="60"/>
      <c r="RHK2459" s="53"/>
      <c r="RHL2459" s="53"/>
      <c r="RHM2459" s="53"/>
      <c r="RHN2459" s="61"/>
      <c r="RHO2459" s="53"/>
      <c r="RHP2459" s="53"/>
      <c r="RHQ2459" s="53"/>
      <c r="RHR2459" s="60"/>
      <c r="RHS2459" s="53"/>
      <c r="RHT2459" s="53"/>
      <c r="RHU2459" s="53"/>
      <c r="RHV2459" s="61"/>
      <c r="RHW2459" s="53"/>
      <c r="RHX2459" s="53"/>
      <c r="RHY2459" s="53"/>
      <c r="RHZ2459" s="60"/>
      <c r="RIA2459" s="53"/>
      <c r="RIB2459" s="53"/>
      <c r="RIC2459" s="53"/>
      <c r="RID2459" s="61"/>
      <c r="RIE2459" s="53"/>
      <c r="RIF2459" s="53"/>
      <c r="RIG2459" s="53"/>
      <c r="RIH2459" s="60"/>
      <c r="RII2459" s="53"/>
      <c r="RIJ2459" s="53"/>
      <c r="RIK2459" s="53"/>
      <c r="RIL2459" s="61"/>
      <c r="RIM2459" s="53"/>
      <c r="RIN2459" s="53"/>
      <c r="RIO2459" s="53"/>
      <c r="RIP2459" s="60"/>
      <c r="RIQ2459" s="53"/>
      <c r="RIR2459" s="53"/>
      <c r="RIS2459" s="53"/>
      <c r="RIT2459" s="61"/>
      <c r="RIU2459" s="53"/>
      <c r="RIV2459" s="53"/>
      <c r="RIW2459" s="53"/>
      <c r="RIX2459" s="60"/>
      <c r="RIY2459" s="53"/>
      <c r="RIZ2459" s="53"/>
      <c r="RJA2459" s="53"/>
      <c r="RJB2459" s="61"/>
      <c r="RJC2459" s="53"/>
      <c r="RJD2459" s="53"/>
      <c r="RJE2459" s="53"/>
      <c r="RJF2459" s="60"/>
      <c r="RJG2459" s="53"/>
      <c r="RJH2459" s="53"/>
      <c r="RJI2459" s="53"/>
      <c r="RJJ2459" s="61"/>
      <c r="RJK2459" s="53"/>
      <c r="RJL2459" s="53"/>
      <c r="RJM2459" s="53"/>
      <c r="RJN2459" s="60"/>
      <c r="RJO2459" s="53"/>
      <c r="RJP2459" s="53"/>
      <c r="RJQ2459" s="53"/>
      <c r="RJR2459" s="61"/>
      <c r="RJS2459" s="53"/>
      <c r="RJT2459" s="53"/>
      <c r="RJU2459" s="53"/>
      <c r="RJV2459" s="60"/>
      <c r="RJW2459" s="53"/>
      <c r="RJX2459" s="53"/>
      <c r="RJY2459" s="53"/>
      <c r="RJZ2459" s="61"/>
      <c r="RKA2459" s="53"/>
      <c r="RKB2459" s="53"/>
      <c r="RKC2459" s="53"/>
      <c r="RKD2459" s="60"/>
      <c r="RKE2459" s="53"/>
      <c r="RKF2459" s="53"/>
      <c r="RKG2459" s="53"/>
      <c r="RKH2459" s="61"/>
      <c r="RKI2459" s="53"/>
      <c r="RKJ2459" s="53"/>
      <c r="RKK2459" s="53"/>
      <c r="RKL2459" s="60"/>
      <c r="RKM2459" s="53"/>
      <c r="RKN2459" s="53"/>
      <c r="RKO2459" s="53"/>
      <c r="RKP2459" s="61"/>
      <c r="RKQ2459" s="53"/>
      <c r="RKR2459" s="53"/>
      <c r="RKS2459" s="53"/>
      <c r="RKT2459" s="60"/>
      <c r="RKU2459" s="53"/>
      <c r="RKV2459" s="53"/>
      <c r="RKW2459" s="53"/>
      <c r="RKX2459" s="61"/>
      <c r="RKY2459" s="53"/>
      <c r="RKZ2459" s="53"/>
      <c r="RLA2459" s="53"/>
      <c r="RLB2459" s="60"/>
      <c r="RLC2459" s="53"/>
      <c r="RLD2459" s="53"/>
      <c r="RLE2459" s="53"/>
      <c r="RLF2459" s="61"/>
      <c r="RLG2459" s="53"/>
      <c r="RLH2459" s="53"/>
      <c r="RLI2459" s="53"/>
      <c r="RLJ2459" s="60"/>
      <c r="RLK2459" s="53"/>
      <c r="RLL2459" s="53"/>
      <c r="RLM2459" s="53"/>
      <c r="RLN2459" s="61"/>
      <c r="RLO2459" s="53"/>
      <c r="RLP2459" s="53"/>
      <c r="RLQ2459" s="53"/>
      <c r="RLR2459" s="60"/>
      <c r="RLS2459" s="53"/>
      <c r="RLT2459" s="53"/>
      <c r="RLU2459" s="53"/>
      <c r="RLV2459" s="61"/>
      <c r="RLW2459" s="53"/>
      <c r="RLX2459" s="53"/>
      <c r="RLY2459" s="53"/>
      <c r="RLZ2459" s="60"/>
      <c r="RMA2459" s="53"/>
      <c r="RMB2459" s="53"/>
      <c r="RMC2459" s="53"/>
      <c r="RMD2459" s="61"/>
      <c r="RME2459" s="53"/>
      <c r="RMF2459" s="53"/>
      <c r="RMG2459" s="53"/>
      <c r="RMH2459" s="60"/>
      <c r="RMI2459" s="53"/>
      <c r="RMJ2459" s="53"/>
      <c r="RMK2459" s="53"/>
      <c r="RML2459" s="61"/>
      <c r="RMM2459" s="53"/>
      <c r="RMN2459" s="53"/>
      <c r="RMO2459" s="53"/>
      <c r="RMP2459" s="60"/>
      <c r="RMQ2459" s="53"/>
      <c r="RMR2459" s="53"/>
      <c r="RMS2459" s="53"/>
      <c r="RMT2459" s="61"/>
      <c r="RMU2459" s="53"/>
      <c r="RMV2459" s="53"/>
      <c r="RMW2459" s="53"/>
      <c r="RMX2459" s="60"/>
      <c r="RMY2459" s="53"/>
      <c r="RMZ2459" s="53"/>
      <c r="RNA2459" s="53"/>
      <c r="RNB2459" s="61"/>
      <c r="RNC2459" s="53"/>
      <c r="RND2459" s="53"/>
      <c r="RNE2459" s="53"/>
      <c r="RNF2459" s="60"/>
      <c r="RNG2459" s="53"/>
      <c r="RNH2459" s="53"/>
      <c r="RNI2459" s="53"/>
      <c r="RNJ2459" s="61"/>
      <c r="RNK2459" s="53"/>
      <c r="RNL2459" s="53"/>
      <c r="RNM2459" s="53"/>
      <c r="RNN2459" s="60"/>
      <c r="RNO2459" s="53"/>
      <c r="RNP2459" s="53"/>
      <c r="RNQ2459" s="53"/>
      <c r="RNR2459" s="61"/>
      <c r="RNS2459" s="53"/>
      <c r="RNT2459" s="53"/>
      <c r="RNU2459" s="53"/>
      <c r="RNV2459" s="60"/>
      <c r="RNW2459" s="53"/>
      <c r="RNX2459" s="53"/>
      <c r="RNY2459" s="53"/>
      <c r="RNZ2459" s="61"/>
      <c r="ROA2459" s="53"/>
      <c r="ROB2459" s="53"/>
      <c r="ROC2459" s="53"/>
      <c r="ROD2459" s="60"/>
      <c r="ROE2459" s="53"/>
      <c r="ROF2459" s="53"/>
      <c r="ROG2459" s="53"/>
      <c r="ROH2459" s="61"/>
      <c r="ROI2459" s="53"/>
      <c r="ROJ2459" s="53"/>
      <c r="ROK2459" s="53"/>
      <c r="ROL2459" s="60"/>
      <c r="ROM2459" s="53"/>
      <c r="RON2459" s="53"/>
      <c r="ROO2459" s="53"/>
      <c r="ROP2459" s="61"/>
      <c r="ROQ2459" s="53"/>
      <c r="ROR2459" s="53"/>
      <c r="ROS2459" s="53"/>
      <c r="ROT2459" s="60"/>
      <c r="ROU2459" s="53"/>
      <c r="ROV2459" s="53"/>
      <c r="ROW2459" s="53"/>
      <c r="ROX2459" s="61"/>
      <c r="ROY2459" s="53"/>
      <c r="ROZ2459" s="53"/>
      <c r="RPA2459" s="53"/>
      <c r="RPB2459" s="60"/>
      <c r="RPC2459" s="53"/>
      <c r="RPD2459" s="53"/>
      <c r="RPE2459" s="53"/>
      <c r="RPF2459" s="61"/>
      <c r="RPG2459" s="53"/>
      <c r="RPH2459" s="53"/>
      <c r="RPI2459" s="53"/>
      <c r="RPJ2459" s="60"/>
      <c r="RPK2459" s="53"/>
      <c r="RPL2459" s="53"/>
      <c r="RPM2459" s="53"/>
      <c r="RPN2459" s="61"/>
      <c r="RPO2459" s="53"/>
      <c r="RPP2459" s="53"/>
      <c r="RPQ2459" s="53"/>
      <c r="RPR2459" s="60"/>
      <c r="RPS2459" s="53"/>
      <c r="RPT2459" s="53"/>
      <c r="RPU2459" s="53"/>
      <c r="RPV2459" s="61"/>
      <c r="RPW2459" s="53"/>
      <c r="RPX2459" s="53"/>
      <c r="RPY2459" s="53"/>
      <c r="RPZ2459" s="60"/>
      <c r="RQA2459" s="53"/>
      <c r="RQB2459" s="53"/>
      <c r="RQC2459" s="53"/>
      <c r="RQD2459" s="61"/>
      <c r="RQE2459" s="53"/>
      <c r="RQF2459" s="53"/>
      <c r="RQG2459" s="53"/>
      <c r="RQH2459" s="60"/>
      <c r="RQI2459" s="53"/>
      <c r="RQJ2459" s="53"/>
      <c r="RQK2459" s="53"/>
      <c r="RQL2459" s="61"/>
      <c r="RQM2459" s="53"/>
      <c r="RQN2459" s="53"/>
      <c r="RQO2459" s="53"/>
      <c r="RQP2459" s="60"/>
      <c r="RQQ2459" s="53"/>
      <c r="RQR2459" s="53"/>
      <c r="RQS2459" s="53"/>
      <c r="RQT2459" s="61"/>
      <c r="RQU2459" s="53"/>
      <c r="RQV2459" s="53"/>
      <c r="RQW2459" s="53"/>
      <c r="RQX2459" s="60"/>
      <c r="RQY2459" s="53"/>
      <c r="RQZ2459" s="53"/>
      <c r="RRA2459" s="53"/>
      <c r="RRB2459" s="61"/>
      <c r="RRC2459" s="53"/>
      <c r="RRD2459" s="53"/>
      <c r="RRE2459" s="53"/>
      <c r="RRF2459" s="60"/>
      <c r="RRG2459" s="53"/>
      <c r="RRH2459" s="53"/>
      <c r="RRI2459" s="53"/>
      <c r="RRJ2459" s="61"/>
      <c r="RRK2459" s="53"/>
      <c r="RRL2459" s="53"/>
      <c r="RRM2459" s="53"/>
      <c r="RRN2459" s="60"/>
      <c r="RRO2459" s="53"/>
      <c r="RRP2459" s="53"/>
      <c r="RRQ2459" s="53"/>
      <c r="RRR2459" s="61"/>
      <c r="RRS2459" s="53"/>
      <c r="RRT2459" s="53"/>
      <c r="RRU2459" s="53"/>
      <c r="RRV2459" s="60"/>
      <c r="RRW2459" s="53"/>
      <c r="RRX2459" s="53"/>
      <c r="RRY2459" s="53"/>
      <c r="RRZ2459" s="61"/>
      <c r="RSA2459" s="53"/>
      <c r="RSB2459" s="53"/>
      <c r="RSC2459" s="53"/>
      <c r="RSD2459" s="60"/>
      <c r="RSE2459" s="53"/>
      <c r="RSF2459" s="53"/>
      <c r="RSG2459" s="53"/>
      <c r="RSH2459" s="61"/>
      <c r="RSI2459" s="53"/>
      <c r="RSJ2459" s="53"/>
      <c r="RSK2459" s="53"/>
      <c r="RSL2459" s="60"/>
      <c r="RSM2459" s="53"/>
      <c r="RSN2459" s="53"/>
      <c r="RSO2459" s="53"/>
      <c r="RSP2459" s="61"/>
      <c r="RSQ2459" s="53"/>
      <c r="RSR2459" s="53"/>
      <c r="RSS2459" s="53"/>
      <c r="RST2459" s="60"/>
      <c r="RSU2459" s="53"/>
      <c r="RSV2459" s="53"/>
      <c r="RSW2459" s="53"/>
      <c r="RSX2459" s="61"/>
      <c r="RSY2459" s="53"/>
      <c r="RSZ2459" s="53"/>
      <c r="RTA2459" s="53"/>
      <c r="RTB2459" s="60"/>
      <c r="RTC2459" s="53"/>
      <c r="RTD2459" s="53"/>
      <c r="RTE2459" s="53"/>
      <c r="RTF2459" s="61"/>
      <c r="RTG2459" s="53"/>
      <c r="RTH2459" s="53"/>
      <c r="RTI2459" s="53"/>
      <c r="RTJ2459" s="60"/>
      <c r="RTK2459" s="53"/>
      <c r="RTL2459" s="53"/>
      <c r="RTM2459" s="53"/>
      <c r="RTN2459" s="61"/>
      <c r="RTO2459" s="53"/>
      <c r="RTP2459" s="53"/>
      <c r="RTQ2459" s="53"/>
      <c r="RTR2459" s="60"/>
      <c r="RTS2459" s="53"/>
      <c r="RTT2459" s="53"/>
      <c r="RTU2459" s="53"/>
      <c r="RTV2459" s="61"/>
      <c r="RTW2459" s="53"/>
      <c r="RTX2459" s="53"/>
      <c r="RTY2459" s="53"/>
      <c r="RTZ2459" s="60"/>
      <c r="RUA2459" s="53"/>
      <c r="RUB2459" s="53"/>
      <c r="RUC2459" s="53"/>
      <c r="RUD2459" s="61"/>
      <c r="RUE2459" s="53"/>
      <c r="RUF2459" s="53"/>
      <c r="RUG2459" s="53"/>
      <c r="RUH2459" s="60"/>
      <c r="RUI2459" s="53"/>
      <c r="RUJ2459" s="53"/>
      <c r="RUK2459" s="53"/>
      <c r="RUL2459" s="61"/>
      <c r="RUM2459" s="53"/>
      <c r="RUN2459" s="53"/>
      <c r="RUO2459" s="53"/>
      <c r="RUP2459" s="60"/>
      <c r="RUQ2459" s="53"/>
      <c r="RUR2459" s="53"/>
      <c r="RUS2459" s="53"/>
      <c r="RUT2459" s="61"/>
      <c r="RUU2459" s="53"/>
      <c r="RUV2459" s="53"/>
      <c r="RUW2459" s="53"/>
      <c r="RUX2459" s="60"/>
      <c r="RUY2459" s="53"/>
      <c r="RUZ2459" s="53"/>
      <c r="RVA2459" s="53"/>
      <c r="RVB2459" s="61"/>
      <c r="RVC2459" s="53"/>
      <c r="RVD2459" s="53"/>
      <c r="RVE2459" s="53"/>
      <c r="RVF2459" s="60"/>
      <c r="RVG2459" s="53"/>
      <c r="RVH2459" s="53"/>
      <c r="RVI2459" s="53"/>
      <c r="RVJ2459" s="61"/>
      <c r="RVK2459" s="53"/>
      <c r="RVL2459" s="53"/>
      <c r="RVM2459" s="53"/>
      <c r="RVN2459" s="60"/>
      <c r="RVO2459" s="53"/>
      <c r="RVP2459" s="53"/>
      <c r="RVQ2459" s="53"/>
      <c r="RVR2459" s="61"/>
      <c r="RVS2459" s="53"/>
      <c r="RVT2459" s="53"/>
      <c r="RVU2459" s="53"/>
      <c r="RVV2459" s="60"/>
      <c r="RVW2459" s="53"/>
      <c r="RVX2459" s="53"/>
      <c r="RVY2459" s="53"/>
      <c r="RVZ2459" s="61"/>
      <c r="RWA2459" s="53"/>
      <c r="RWB2459" s="53"/>
      <c r="RWC2459" s="53"/>
      <c r="RWD2459" s="60"/>
      <c r="RWE2459" s="53"/>
      <c r="RWF2459" s="53"/>
      <c r="RWG2459" s="53"/>
      <c r="RWH2459" s="61"/>
      <c r="RWI2459" s="53"/>
      <c r="RWJ2459" s="53"/>
      <c r="RWK2459" s="53"/>
      <c r="RWL2459" s="60"/>
      <c r="RWM2459" s="53"/>
      <c r="RWN2459" s="53"/>
      <c r="RWO2459" s="53"/>
      <c r="RWP2459" s="61"/>
      <c r="RWQ2459" s="53"/>
      <c r="RWR2459" s="53"/>
      <c r="RWS2459" s="53"/>
      <c r="RWT2459" s="60"/>
      <c r="RWU2459" s="53"/>
      <c r="RWV2459" s="53"/>
      <c r="RWW2459" s="53"/>
      <c r="RWX2459" s="61"/>
      <c r="RWY2459" s="53"/>
      <c r="RWZ2459" s="53"/>
      <c r="RXA2459" s="53"/>
      <c r="RXB2459" s="60"/>
      <c r="RXC2459" s="53"/>
      <c r="RXD2459" s="53"/>
      <c r="RXE2459" s="53"/>
      <c r="RXF2459" s="61"/>
      <c r="RXG2459" s="53"/>
      <c r="RXH2459" s="53"/>
      <c r="RXI2459" s="53"/>
      <c r="RXJ2459" s="60"/>
      <c r="RXK2459" s="53"/>
      <c r="RXL2459" s="53"/>
      <c r="RXM2459" s="53"/>
      <c r="RXN2459" s="61"/>
      <c r="RXO2459" s="53"/>
      <c r="RXP2459" s="53"/>
      <c r="RXQ2459" s="53"/>
      <c r="RXR2459" s="60"/>
      <c r="RXS2459" s="53"/>
      <c r="RXT2459" s="53"/>
      <c r="RXU2459" s="53"/>
      <c r="RXV2459" s="61"/>
      <c r="RXW2459" s="53"/>
      <c r="RXX2459" s="53"/>
      <c r="RXY2459" s="53"/>
      <c r="RXZ2459" s="60"/>
      <c r="RYA2459" s="53"/>
      <c r="RYB2459" s="53"/>
      <c r="RYC2459" s="53"/>
      <c r="RYD2459" s="61"/>
      <c r="RYE2459" s="53"/>
      <c r="RYF2459" s="53"/>
      <c r="RYG2459" s="53"/>
      <c r="RYH2459" s="60"/>
      <c r="RYI2459" s="53"/>
      <c r="RYJ2459" s="53"/>
      <c r="RYK2459" s="53"/>
      <c r="RYL2459" s="61"/>
      <c r="RYM2459" s="53"/>
      <c r="RYN2459" s="53"/>
      <c r="RYO2459" s="53"/>
      <c r="RYP2459" s="60"/>
      <c r="RYQ2459" s="53"/>
      <c r="RYR2459" s="53"/>
      <c r="RYS2459" s="53"/>
      <c r="RYT2459" s="61"/>
      <c r="RYU2459" s="53"/>
      <c r="RYV2459" s="53"/>
      <c r="RYW2459" s="53"/>
      <c r="RYX2459" s="60"/>
      <c r="RYY2459" s="53"/>
      <c r="RYZ2459" s="53"/>
      <c r="RZA2459" s="53"/>
      <c r="RZB2459" s="61"/>
      <c r="RZC2459" s="53"/>
      <c r="RZD2459" s="53"/>
      <c r="RZE2459" s="53"/>
      <c r="RZF2459" s="60"/>
      <c r="RZG2459" s="53"/>
      <c r="RZH2459" s="53"/>
      <c r="RZI2459" s="53"/>
      <c r="RZJ2459" s="61"/>
      <c r="RZK2459" s="53"/>
      <c r="RZL2459" s="53"/>
      <c r="RZM2459" s="53"/>
      <c r="RZN2459" s="60"/>
      <c r="RZO2459" s="53"/>
      <c r="RZP2459" s="53"/>
      <c r="RZQ2459" s="53"/>
      <c r="RZR2459" s="61"/>
      <c r="RZS2459" s="53"/>
      <c r="RZT2459" s="53"/>
      <c r="RZU2459" s="53"/>
      <c r="RZV2459" s="60"/>
      <c r="RZW2459" s="53"/>
      <c r="RZX2459" s="53"/>
      <c r="RZY2459" s="53"/>
      <c r="RZZ2459" s="61"/>
      <c r="SAA2459" s="53"/>
      <c r="SAB2459" s="53"/>
      <c r="SAC2459" s="53"/>
      <c r="SAD2459" s="60"/>
      <c r="SAE2459" s="53"/>
      <c r="SAF2459" s="53"/>
      <c r="SAG2459" s="53"/>
      <c r="SAH2459" s="61"/>
      <c r="SAI2459" s="53"/>
      <c r="SAJ2459" s="53"/>
      <c r="SAK2459" s="53"/>
      <c r="SAL2459" s="60"/>
      <c r="SAM2459" s="53"/>
      <c r="SAN2459" s="53"/>
      <c r="SAO2459" s="53"/>
      <c r="SAP2459" s="61"/>
      <c r="SAQ2459" s="53"/>
      <c r="SAR2459" s="53"/>
      <c r="SAS2459" s="53"/>
      <c r="SAT2459" s="60"/>
      <c r="SAU2459" s="53"/>
      <c r="SAV2459" s="53"/>
      <c r="SAW2459" s="53"/>
      <c r="SAX2459" s="61"/>
      <c r="SAY2459" s="53"/>
      <c r="SAZ2459" s="53"/>
      <c r="SBA2459" s="53"/>
      <c r="SBB2459" s="60"/>
      <c r="SBC2459" s="53"/>
      <c r="SBD2459" s="53"/>
      <c r="SBE2459" s="53"/>
      <c r="SBF2459" s="61"/>
      <c r="SBG2459" s="53"/>
      <c r="SBH2459" s="53"/>
      <c r="SBI2459" s="53"/>
      <c r="SBJ2459" s="60"/>
      <c r="SBK2459" s="53"/>
      <c r="SBL2459" s="53"/>
      <c r="SBM2459" s="53"/>
      <c r="SBN2459" s="61"/>
      <c r="SBO2459" s="53"/>
      <c r="SBP2459" s="53"/>
      <c r="SBQ2459" s="53"/>
      <c r="SBR2459" s="60"/>
      <c r="SBS2459" s="53"/>
      <c r="SBT2459" s="53"/>
      <c r="SBU2459" s="53"/>
      <c r="SBV2459" s="61"/>
      <c r="SBW2459" s="53"/>
      <c r="SBX2459" s="53"/>
      <c r="SBY2459" s="53"/>
      <c r="SBZ2459" s="60"/>
      <c r="SCA2459" s="53"/>
      <c r="SCB2459" s="53"/>
      <c r="SCC2459" s="53"/>
      <c r="SCD2459" s="61"/>
      <c r="SCE2459" s="53"/>
      <c r="SCF2459" s="53"/>
      <c r="SCG2459" s="53"/>
      <c r="SCH2459" s="60"/>
      <c r="SCI2459" s="53"/>
      <c r="SCJ2459" s="53"/>
      <c r="SCK2459" s="53"/>
      <c r="SCL2459" s="61"/>
      <c r="SCM2459" s="53"/>
      <c r="SCN2459" s="53"/>
      <c r="SCO2459" s="53"/>
      <c r="SCP2459" s="60"/>
      <c r="SCQ2459" s="53"/>
      <c r="SCR2459" s="53"/>
      <c r="SCS2459" s="53"/>
      <c r="SCT2459" s="61"/>
      <c r="SCU2459" s="53"/>
      <c r="SCV2459" s="53"/>
      <c r="SCW2459" s="53"/>
      <c r="SCX2459" s="60"/>
      <c r="SCY2459" s="53"/>
      <c r="SCZ2459" s="53"/>
      <c r="SDA2459" s="53"/>
      <c r="SDB2459" s="61"/>
      <c r="SDC2459" s="53"/>
      <c r="SDD2459" s="53"/>
      <c r="SDE2459" s="53"/>
      <c r="SDF2459" s="60"/>
      <c r="SDG2459" s="53"/>
      <c r="SDH2459" s="53"/>
      <c r="SDI2459" s="53"/>
      <c r="SDJ2459" s="61"/>
      <c r="SDK2459" s="53"/>
      <c r="SDL2459" s="53"/>
      <c r="SDM2459" s="53"/>
      <c r="SDN2459" s="60"/>
      <c r="SDO2459" s="53"/>
      <c r="SDP2459" s="53"/>
      <c r="SDQ2459" s="53"/>
      <c r="SDR2459" s="61"/>
      <c r="SDS2459" s="53"/>
      <c r="SDT2459" s="53"/>
      <c r="SDU2459" s="53"/>
      <c r="SDV2459" s="60"/>
      <c r="SDW2459" s="53"/>
      <c r="SDX2459" s="53"/>
      <c r="SDY2459" s="53"/>
      <c r="SDZ2459" s="61"/>
      <c r="SEA2459" s="53"/>
      <c r="SEB2459" s="53"/>
      <c r="SEC2459" s="53"/>
      <c r="SED2459" s="60"/>
      <c r="SEE2459" s="53"/>
      <c r="SEF2459" s="53"/>
      <c r="SEG2459" s="53"/>
      <c r="SEH2459" s="61"/>
      <c r="SEI2459" s="53"/>
      <c r="SEJ2459" s="53"/>
      <c r="SEK2459" s="53"/>
      <c r="SEL2459" s="60"/>
      <c r="SEM2459" s="53"/>
      <c r="SEN2459" s="53"/>
      <c r="SEO2459" s="53"/>
      <c r="SEP2459" s="61"/>
      <c r="SEQ2459" s="53"/>
      <c r="SER2459" s="53"/>
      <c r="SES2459" s="53"/>
      <c r="SET2459" s="60"/>
      <c r="SEU2459" s="53"/>
      <c r="SEV2459" s="53"/>
      <c r="SEW2459" s="53"/>
      <c r="SEX2459" s="61"/>
      <c r="SEY2459" s="53"/>
      <c r="SEZ2459" s="53"/>
      <c r="SFA2459" s="53"/>
      <c r="SFB2459" s="60"/>
      <c r="SFC2459" s="53"/>
      <c r="SFD2459" s="53"/>
      <c r="SFE2459" s="53"/>
      <c r="SFF2459" s="61"/>
      <c r="SFG2459" s="53"/>
      <c r="SFH2459" s="53"/>
      <c r="SFI2459" s="53"/>
      <c r="SFJ2459" s="60"/>
      <c r="SFK2459" s="53"/>
      <c r="SFL2459" s="53"/>
      <c r="SFM2459" s="53"/>
      <c r="SFN2459" s="61"/>
      <c r="SFO2459" s="53"/>
      <c r="SFP2459" s="53"/>
      <c r="SFQ2459" s="53"/>
      <c r="SFR2459" s="60"/>
      <c r="SFS2459" s="53"/>
      <c r="SFT2459" s="53"/>
      <c r="SFU2459" s="53"/>
      <c r="SFV2459" s="61"/>
      <c r="SFW2459" s="53"/>
      <c r="SFX2459" s="53"/>
      <c r="SFY2459" s="53"/>
      <c r="SFZ2459" s="60"/>
      <c r="SGA2459" s="53"/>
      <c r="SGB2459" s="53"/>
      <c r="SGC2459" s="53"/>
      <c r="SGD2459" s="61"/>
      <c r="SGE2459" s="53"/>
      <c r="SGF2459" s="53"/>
      <c r="SGG2459" s="53"/>
      <c r="SGH2459" s="60"/>
      <c r="SGI2459" s="53"/>
      <c r="SGJ2459" s="53"/>
      <c r="SGK2459" s="53"/>
      <c r="SGL2459" s="61"/>
      <c r="SGM2459" s="53"/>
      <c r="SGN2459" s="53"/>
      <c r="SGO2459" s="53"/>
      <c r="SGP2459" s="60"/>
      <c r="SGQ2459" s="53"/>
      <c r="SGR2459" s="53"/>
      <c r="SGS2459" s="53"/>
      <c r="SGT2459" s="61"/>
      <c r="SGU2459" s="53"/>
      <c r="SGV2459" s="53"/>
      <c r="SGW2459" s="53"/>
      <c r="SGX2459" s="60"/>
      <c r="SGY2459" s="53"/>
      <c r="SGZ2459" s="53"/>
      <c r="SHA2459" s="53"/>
      <c r="SHB2459" s="61"/>
      <c r="SHC2459" s="53"/>
      <c r="SHD2459" s="53"/>
      <c r="SHE2459" s="53"/>
      <c r="SHF2459" s="60"/>
      <c r="SHG2459" s="53"/>
      <c r="SHH2459" s="53"/>
      <c r="SHI2459" s="53"/>
      <c r="SHJ2459" s="61"/>
      <c r="SHK2459" s="53"/>
      <c r="SHL2459" s="53"/>
      <c r="SHM2459" s="53"/>
      <c r="SHN2459" s="60"/>
      <c r="SHO2459" s="53"/>
      <c r="SHP2459" s="53"/>
      <c r="SHQ2459" s="53"/>
      <c r="SHR2459" s="61"/>
      <c r="SHS2459" s="53"/>
      <c r="SHT2459" s="53"/>
      <c r="SHU2459" s="53"/>
      <c r="SHV2459" s="60"/>
      <c r="SHW2459" s="53"/>
      <c r="SHX2459" s="53"/>
      <c r="SHY2459" s="53"/>
      <c r="SHZ2459" s="61"/>
      <c r="SIA2459" s="53"/>
      <c r="SIB2459" s="53"/>
      <c r="SIC2459" s="53"/>
      <c r="SID2459" s="60"/>
      <c r="SIE2459" s="53"/>
      <c r="SIF2459" s="53"/>
      <c r="SIG2459" s="53"/>
      <c r="SIH2459" s="61"/>
      <c r="SII2459" s="53"/>
      <c r="SIJ2459" s="53"/>
      <c r="SIK2459" s="53"/>
      <c r="SIL2459" s="60"/>
      <c r="SIM2459" s="53"/>
      <c r="SIN2459" s="53"/>
      <c r="SIO2459" s="53"/>
      <c r="SIP2459" s="61"/>
      <c r="SIQ2459" s="53"/>
      <c r="SIR2459" s="53"/>
      <c r="SIS2459" s="53"/>
      <c r="SIT2459" s="60"/>
      <c r="SIU2459" s="53"/>
      <c r="SIV2459" s="53"/>
      <c r="SIW2459" s="53"/>
      <c r="SIX2459" s="61"/>
      <c r="SIY2459" s="53"/>
      <c r="SIZ2459" s="53"/>
      <c r="SJA2459" s="53"/>
      <c r="SJB2459" s="60"/>
      <c r="SJC2459" s="53"/>
      <c r="SJD2459" s="53"/>
      <c r="SJE2459" s="53"/>
      <c r="SJF2459" s="61"/>
      <c r="SJG2459" s="53"/>
      <c r="SJH2459" s="53"/>
      <c r="SJI2459" s="53"/>
      <c r="SJJ2459" s="60"/>
      <c r="SJK2459" s="53"/>
      <c r="SJL2459" s="53"/>
      <c r="SJM2459" s="53"/>
      <c r="SJN2459" s="61"/>
      <c r="SJO2459" s="53"/>
      <c r="SJP2459" s="53"/>
      <c r="SJQ2459" s="53"/>
      <c r="SJR2459" s="60"/>
      <c r="SJS2459" s="53"/>
      <c r="SJT2459" s="53"/>
      <c r="SJU2459" s="53"/>
      <c r="SJV2459" s="61"/>
      <c r="SJW2459" s="53"/>
      <c r="SJX2459" s="53"/>
      <c r="SJY2459" s="53"/>
      <c r="SJZ2459" s="60"/>
      <c r="SKA2459" s="53"/>
      <c r="SKB2459" s="53"/>
      <c r="SKC2459" s="53"/>
      <c r="SKD2459" s="61"/>
      <c r="SKE2459" s="53"/>
      <c r="SKF2459" s="53"/>
      <c r="SKG2459" s="53"/>
      <c r="SKH2459" s="60"/>
      <c r="SKI2459" s="53"/>
      <c r="SKJ2459" s="53"/>
      <c r="SKK2459" s="53"/>
      <c r="SKL2459" s="61"/>
      <c r="SKM2459" s="53"/>
      <c r="SKN2459" s="53"/>
      <c r="SKO2459" s="53"/>
      <c r="SKP2459" s="60"/>
      <c r="SKQ2459" s="53"/>
      <c r="SKR2459" s="53"/>
      <c r="SKS2459" s="53"/>
      <c r="SKT2459" s="61"/>
      <c r="SKU2459" s="53"/>
      <c r="SKV2459" s="53"/>
      <c r="SKW2459" s="53"/>
      <c r="SKX2459" s="60"/>
      <c r="SKY2459" s="53"/>
      <c r="SKZ2459" s="53"/>
      <c r="SLA2459" s="53"/>
      <c r="SLB2459" s="61"/>
      <c r="SLC2459" s="53"/>
      <c r="SLD2459" s="53"/>
      <c r="SLE2459" s="53"/>
      <c r="SLF2459" s="60"/>
      <c r="SLG2459" s="53"/>
      <c r="SLH2459" s="53"/>
      <c r="SLI2459" s="53"/>
      <c r="SLJ2459" s="61"/>
      <c r="SLK2459" s="53"/>
      <c r="SLL2459" s="53"/>
      <c r="SLM2459" s="53"/>
      <c r="SLN2459" s="60"/>
      <c r="SLO2459" s="53"/>
      <c r="SLP2459" s="53"/>
      <c r="SLQ2459" s="53"/>
      <c r="SLR2459" s="61"/>
      <c r="SLS2459" s="53"/>
      <c r="SLT2459" s="53"/>
      <c r="SLU2459" s="53"/>
      <c r="SLV2459" s="60"/>
      <c r="SLW2459" s="53"/>
      <c r="SLX2459" s="53"/>
      <c r="SLY2459" s="53"/>
      <c r="SLZ2459" s="61"/>
      <c r="SMA2459" s="53"/>
      <c r="SMB2459" s="53"/>
      <c r="SMC2459" s="53"/>
      <c r="SMD2459" s="60"/>
      <c r="SME2459" s="53"/>
      <c r="SMF2459" s="53"/>
      <c r="SMG2459" s="53"/>
      <c r="SMH2459" s="61"/>
      <c r="SMI2459" s="53"/>
      <c r="SMJ2459" s="53"/>
      <c r="SMK2459" s="53"/>
      <c r="SML2459" s="60"/>
      <c r="SMM2459" s="53"/>
      <c r="SMN2459" s="53"/>
      <c r="SMO2459" s="53"/>
      <c r="SMP2459" s="61"/>
      <c r="SMQ2459" s="53"/>
      <c r="SMR2459" s="53"/>
      <c r="SMS2459" s="53"/>
      <c r="SMT2459" s="60"/>
      <c r="SMU2459" s="53"/>
      <c r="SMV2459" s="53"/>
      <c r="SMW2459" s="53"/>
      <c r="SMX2459" s="61"/>
      <c r="SMY2459" s="53"/>
      <c r="SMZ2459" s="53"/>
      <c r="SNA2459" s="53"/>
      <c r="SNB2459" s="60"/>
      <c r="SNC2459" s="53"/>
      <c r="SND2459" s="53"/>
      <c r="SNE2459" s="53"/>
      <c r="SNF2459" s="61"/>
      <c r="SNG2459" s="53"/>
      <c r="SNH2459" s="53"/>
      <c r="SNI2459" s="53"/>
      <c r="SNJ2459" s="60"/>
      <c r="SNK2459" s="53"/>
      <c r="SNL2459" s="53"/>
      <c r="SNM2459" s="53"/>
      <c r="SNN2459" s="61"/>
      <c r="SNO2459" s="53"/>
      <c r="SNP2459" s="53"/>
      <c r="SNQ2459" s="53"/>
      <c r="SNR2459" s="60"/>
      <c r="SNS2459" s="53"/>
      <c r="SNT2459" s="53"/>
      <c r="SNU2459" s="53"/>
      <c r="SNV2459" s="61"/>
      <c r="SNW2459" s="53"/>
      <c r="SNX2459" s="53"/>
      <c r="SNY2459" s="53"/>
      <c r="SNZ2459" s="60"/>
      <c r="SOA2459" s="53"/>
      <c r="SOB2459" s="53"/>
      <c r="SOC2459" s="53"/>
      <c r="SOD2459" s="61"/>
      <c r="SOE2459" s="53"/>
      <c r="SOF2459" s="53"/>
      <c r="SOG2459" s="53"/>
      <c r="SOH2459" s="60"/>
      <c r="SOI2459" s="53"/>
      <c r="SOJ2459" s="53"/>
      <c r="SOK2459" s="53"/>
      <c r="SOL2459" s="61"/>
      <c r="SOM2459" s="53"/>
      <c r="SON2459" s="53"/>
      <c r="SOO2459" s="53"/>
      <c r="SOP2459" s="60"/>
      <c r="SOQ2459" s="53"/>
      <c r="SOR2459" s="53"/>
      <c r="SOS2459" s="53"/>
      <c r="SOT2459" s="61"/>
      <c r="SOU2459" s="53"/>
      <c r="SOV2459" s="53"/>
      <c r="SOW2459" s="53"/>
      <c r="SOX2459" s="60"/>
      <c r="SOY2459" s="53"/>
      <c r="SOZ2459" s="53"/>
      <c r="SPA2459" s="53"/>
      <c r="SPB2459" s="61"/>
      <c r="SPC2459" s="53"/>
      <c r="SPD2459" s="53"/>
      <c r="SPE2459" s="53"/>
      <c r="SPF2459" s="60"/>
      <c r="SPG2459" s="53"/>
      <c r="SPH2459" s="53"/>
      <c r="SPI2459" s="53"/>
      <c r="SPJ2459" s="61"/>
      <c r="SPK2459" s="53"/>
      <c r="SPL2459" s="53"/>
      <c r="SPM2459" s="53"/>
      <c r="SPN2459" s="60"/>
      <c r="SPO2459" s="53"/>
      <c r="SPP2459" s="53"/>
      <c r="SPQ2459" s="53"/>
      <c r="SPR2459" s="61"/>
      <c r="SPS2459" s="53"/>
      <c r="SPT2459" s="53"/>
      <c r="SPU2459" s="53"/>
      <c r="SPV2459" s="60"/>
      <c r="SPW2459" s="53"/>
      <c r="SPX2459" s="53"/>
      <c r="SPY2459" s="53"/>
      <c r="SPZ2459" s="61"/>
      <c r="SQA2459" s="53"/>
      <c r="SQB2459" s="53"/>
      <c r="SQC2459" s="53"/>
      <c r="SQD2459" s="60"/>
      <c r="SQE2459" s="53"/>
      <c r="SQF2459" s="53"/>
      <c r="SQG2459" s="53"/>
      <c r="SQH2459" s="61"/>
      <c r="SQI2459" s="53"/>
      <c r="SQJ2459" s="53"/>
      <c r="SQK2459" s="53"/>
      <c r="SQL2459" s="60"/>
      <c r="SQM2459" s="53"/>
      <c r="SQN2459" s="53"/>
      <c r="SQO2459" s="53"/>
      <c r="SQP2459" s="61"/>
      <c r="SQQ2459" s="53"/>
      <c r="SQR2459" s="53"/>
      <c r="SQS2459" s="53"/>
      <c r="SQT2459" s="60"/>
      <c r="SQU2459" s="53"/>
      <c r="SQV2459" s="53"/>
      <c r="SQW2459" s="53"/>
      <c r="SQX2459" s="61"/>
      <c r="SQY2459" s="53"/>
      <c r="SQZ2459" s="53"/>
      <c r="SRA2459" s="53"/>
      <c r="SRB2459" s="60"/>
      <c r="SRC2459" s="53"/>
      <c r="SRD2459" s="53"/>
      <c r="SRE2459" s="53"/>
      <c r="SRF2459" s="61"/>
      <c r="SRG2459" s="53"/>
      <c r="SRH2459" s="53"/>
      <c r="SRI2459" s="53"/>
      <c r="SRJ2459" s="60"/>
      <c r="SRK2459" s="53"/>
      <c r="SRL2459" s="53"/>
      <c r="SRM2459" s="53"/>
      <c r="SRN2459" s="61"/>
      <c r="SRO2459" s="53"/>
      <c r="SRP2459" s="53"/>
      <c r="SRQ2459" s="53"/>
      <c r="SRR2459" s="60"/>
      <c r="SRS2459" s="53"/>
      <c r="SRT2459" s="53"/>
      <c r="SRU2459" s="53"/>
      <c r="SRV2459" s="61"/>
      <c r="SRW2459" s="53"/>
      <c r="SRX2459" s="53"/>
      <c r="SRY2459" s="53"/>
      <c r="SRZ2459" s="60"/>
      <c r="SSA2459" s="53"/>
      <c r="SSB2459" s="53"/>
      <c r="SSC2459" s="53"/>
      <c r="SSD2459" s="61"/>
      <c r="SSE2459" s="53"/>
      <c r="SSF2459" s="53"/>
      <c r="SSG2459" s="53"/>
      <c r="SSH2459" s="60"/>
      <c r="SSI2459" s="53"/>
      <c r="SSJ2459" s="53"/>
      <c r="SSK2459" s="53"/>
      <c r="SSL2459" s="61"/>
      <c r="SSM2459" s="53"/>
      <c r="SSN2459" s="53"/>
      <c r="SSO2459" s="53"/>
      <c r="SSP2459" s="60"/>
      <c r="SSQ2459" s="53"/>
      <c r="SSR2459" s="53"/>
      <c r="SSS2459" s="53"/>
      <c r="SST2459" s="61"/>
      <c r="SSU2459" s="53"/>
      <c r="SSV2459" s="53"/>
      <c r="SSW2459" s="53"/>
      <c r="SSX2459" s="60"/>
      <c r="SSY2459" s="53"/>
      <c r="SSZ2459" s="53"/>
      <c r="STA2459" s="53"/>
      <c r="STB2459" s="61"/>
      <c r="STC2459" s="53"/>
      <c r="STD2459" s="53"/>
      <c r="STE2459" s="53"/>
      <c r="STF2459" s="60"/>
      <c r="STG2459" s="53"/>
      <c r="STH2459" s="53"/>
      <c r="STI2459" s="53"/>
      <c r="STJ2459" s="61"/>
      <c r="STK2459" s="53"/>
      <c r="STL2459" s="53"/>
      <c r="STM2459" s="53"/>
      <c r="STN2459" s="60"/>
      <c r="STO2459" s="53"/>
      <c r="STP2459" s="53"/>
      <c r="STQ2459" s="53"/>
      <c r="STR2459" s="61"/>
      <c r="STS2459" s="53"/>
      <c r="STT2459" s="53"/>
      <c r="STU2459" s="53"/>
      <c r="STV2459" s="60"/>
      <c r="STW2459" s="53"/>
      <c r="STX2459" s="53"/>
      <c r="STY2459" s="53"/>
      <c r="STZ2459" s="61"/>
      <c r="SUA2459" s="53"/>
      <c r="SUB2459" s="53"/>
      <c r="SUC2459" s="53"/>
      <c r="SUD2459" s="60"/>
      <c r="SUE2459" s="53"/>
      <c r="SUF2459" s="53"/>
      <c r="SUG2459" s="53"/>
      <c r="SUH2459" s="61"/>
      <c r="SUI2459" s="53"/>
      <c r="SUJ2459" s="53"/>
      <c r="SUK2459" s="53"/>
      <c r="SUL2459" s="60"/>
      <c r="SUM2459" s="53"/>
      <c r="SUN2459" s="53"/>
      <c r="SUO2459" s="53"/>
      <c r="SUP2459" s="61"/>
      <c r="SUQ2459" s="53"/>
      <c r="SUR2459" s="53"/>
      <c r="SUS2459" s="53"/>
      <c r="SUT2459" s="60"/>
      <c r="SUU2459" s="53"/>
      <c r="SUV2459" s="53"/>
      <c r="SUW2459" s="53"/>
      <c r="SUX2459" s="61"/>
      <c r="SUY2459" s="53"/>
      <c r="SUZ2459" s="53"/>
      <c r="SVA2459" s="53"/>
      <c r="SVB2459" s="60"/>
      <c r="SVC2459" s="53"/>
      <c r="SVD2459" s="53"/>
      <c r="SVE2459" s="53"/>
      <c r="SVF2459" s="61"/>
      <c r="SVG2459" s="53"/>
      <c r="SVH2459" s="53"/>
      <c r="SVI2459" s="53"/>
      <c r="SVJ2459" s="60"/>
      <c r="SVK2459" s="53"/>
      <c r="SVL2459" s="53"/>
      <c r="SVM2459" s="53"/>
      <c r="SVN2459" s="61"/>
      <c r="SVO2459" s="53"/>
      <c r="SVP2459" s="53"/>
      <c r="SVQ2459" s="53"/>
      <c r="SVR2459" s="60"/>
      <c r="SVS2459" s="53"/>
      <c r="SVT2459" s="53"/>
      <c r="SVU2459" s="53"/>
      <c r="SVV2459" s="61"/>
      <c r="SVW2459" s="53"/>
      <c r="SVX2459" s="53"/>
      <c r="SVY2459" s="53"/>
      <c r="SVZ2459" s="60"/>
      <c r="SWA2459" s="53"/>
      <c r="SWB2459" s="53"/>
      <c r="SWC2459" s="53"/>
      <c r="SWD2459" s="61"/>
      <c r="SWE2459" s="53"/>
      <c r="SWF2459" s="53"/>
      <c r="SWG2459" s="53"/>
      <c r="SWH2459" s="60"/>
      <c r="SWI2459" s="53"/>
      <c r="SWJ2459" s="53"/>
      <c r="SWK2459" s="53"/>
      <c r="SWL2459" s="61"/>
      <c r="SWM2459" s="53"/>
      <c r="SWN2459" s="53"/>
      <c r="SWO2459" s="53"/>
      <c r="SWP2459" s="60"/>
      <c r="SWQ2459" s="53"/>
      <c r="SWR2459" s="53"/>
      <c r="SWS2459" s="53"/>
      <c r="SWT2459" s="61"/>
      <c r="SWU2459" s="53"/>
      <c r="SWV2459" s="53"/>
      <c r="SWW2459" s="53"/>
      <c r="SWX2459" s="60"/>
      <c r="SWY2459" s="53"/>
      <c r="SWZ2459" s="53"/>
      <c r="SXA2459" s="53"/>
      <c r="SXB2459" s="61"/>
      <c r="SXC2459" s="53"/>
      <c r="SXD2459" s="53"/>
      <c r="SXE2459" s="53"/>
      <c r="SXF2459" s="60"/>
      <c r="SXG2459" s="53"/>
      <c r="SXH2459" s="53"/>
      <c r="SXI2459" s="53"/>
      <c r="SXJ2459" s="61"/>
      <c r="SXK2459" s="53"/>
      <c r="SXL2459" s="53"/>
      <c r="SXM2459" s="53"/>
      <c r="SXN2459" s="60"/>
      <c r="SXO2459" s="53"/>
      <c r="SXP2459" s="53"/>
      <c r="SXQ2459" s="53"/>
      <c r="SXR2459" s="61"/>
      <c r="SXS2459" s="53"/>
      <c r="SXT2459" s="53"/>
      <c r="SXU2459" s="53"/>
      <c r="SXV2459" s="60"/>
      <c r="SXW2459" s="53"/>
      <c r="SXX2459" s="53"/>
      <c r="SXY2459" s="53"/>
      <c r="SXZ2459" s="61"/>
      <c r="SYA2459" s="53"/>
      <c r="SYB2459" s="53"/>
      <c r="SYC2459" s="53"/>
      <c r="SYD2459" s="60"/>
      <c r="SYE2459" s="53"/>
      <c r="SYF2459" s="53"/>
      <c r="SYG2459" s="53"/>
      <c r="SYH2459" s="61"/>
      <c r="SYI2459" s="53"/>
      <c r="SYJ2459" s="53"/>
      <c r="SYK2459" s="53"/>
      <c r="SYL2459" s="60"/>
      <c r="SYM2459" s="53"/>
      <c r="SYN2459" s="53"/>
      <c r="SYO2459" s="53"/>
      <c r="SYP2459" s="61"/>
      <c r="SYQ2459" s="53"/>
      <c r="SYR2459" s="53"/>
      <c r="SYS2459" s="53"/>
      <c r="SYT2459" s="60"/>
      <c r="SYU2459" s="53"/>
      <c r="SYV2459" s="53"/>
      <c r="SYW2459" s="53"/>
      <c r="SYX2459" s="61"/>
      <c r="SYY2459" s="53"/>
      <c r="SYZ2459" s="53"/>
      <c r="SZA2459" s="53"/>
      <c r="SZB2459" s="60"/>
      <c r="SZC2459" s="53"/>
      <c r="SZD2459" s="53"/>
      <c r="SZE2459" s="53"/>
      <c r="SZF2459" s="61"/>
      <c r="SZG2459" s="53"/>
      <c r="SZH2459" s="53"/>
      <c r="SZI2459" s="53"/>
      <c r="SZJ2459" s="60"/>
      <c r="SZK2459" s="53"/>
      <c r="SZL2459" s="53"/>
      <c r="SZM2459" s="53"/>
      <c r="SZN2459" s="61"/>
      <c r="SZO2459" s="53"/>
      <c r="SZP2459" s="53"/>
      <c r="SZQ2459" s="53"/>
      <c r="SZR2459" s="60"/>
      <c r="SZS2459" s="53"/>
      <c r="SZT2459" s="53"/>
      <c r="SZU2459" s="53"/>
      <c r="SZV2459" s="61"/>
      <c r="SZW2459" s="53"/>
      <c r="SZX2459" s="53"/>
      <c r="SZY2459" s="53"/>
      <c r="SZZ2459" s="60"/>
      <c r="TAA2459" s="53"/>
      <c r="TAB2459" s="53"/>
      <c r="TAC2459" s="53"/>
      <c r="TAD2459" s="61"/>
      <c r="TAE2459" s="53"/>
      <c r="TAF2459" s="53"/>
      <c r="TAG2459" s="53"/>
      <c r="TAH2459" s="60"/>
      <c r="TAI2459" s="53"/>
      <c r="TAJ2459" s="53"/>
      <c r="TAK2459" s="53"/>
      <c r="TAL2459" s="61"/>
      <c r="TAM2459" s="53"/>
      <c r="TAN2459" s="53"/>
      <c r="TAO2459" s="53"/>
      <c r="TAP2459" s="60"/>
      <c r="TAQ2459" s="53"/>
      <c r="TAR2459" s="53"/>
      <c r="TAS2459" s="53"/>
      <c r="TAT2459" s="61"/>
      <c r="TAU2459" s="53"/>
      <c r="TAV2459" s="53"/>
      <c r="TAW2459" s="53"/>
      <c r="TAX2459" s="60"/>
      <c r="TAY2459" s="53"/>
      <c r="TAZ2459" s="53"/>
      <c r="TBA2459" s="53"/>
      <c r="TBB2459" s="61"/>
      <c r="TBC2459" s="53"/>
      <c r="TBD2459" s="53"/>
      <c r="TBE2459" s="53"/>
      <c r="TBF2459" s="60"/>
      <c r="TBG2459" s="53"/>
      <c r="TBH2459" s="53"/>
      <c r="TBI2459" s="53"/>
      <c r="TBJ2459" s="61"/>
      <c r="TBK2459" s="53"/>
      <c r="TBL2459" s="53"/>
      <c r="TBM2459" s="53"/>
      <c r="TBN2459" s="60"/>
      <c r="TBO2459" s="53"/>
      <c r="TBP2459" s="53"/>
      <c r="TBQ2459" s="53"/>
      <c r="TBR2459" s="61"/>
      <c r="TBS2459" s="53"/>
      <c r="TBT2459" s="53"/>
      <c r="TBU2459" s="53"/>
      <c r="TBV2459" s="60"/>
      <c r="TBW2459" s="53"/>
      <c r="TBX2459" s="53"/>
      <c r="TBY2459" s="53"/>
      <c r="TBZ2459" s="61"/>
      <c r="TCA2459" s="53"/>
      <c r="TCB2459" s="53"/>
      <c r="TCC2459" s="53"/>
      <c r="TCD2459" s="60"/>
      <c r="TCE2459" s="53"/>
      <c r="TCF2459" s="53"/>
      <c r="TCG2459" s="53"/>
      <c r="TCH2459" s="61"/>
      <c r="TCI2459" s="53"/>
      <c r="TCJ2459" s="53"/>
      <c r="TCK2459" s="53"/>
      <c r="TCL2459" s="60"/>
      <c r="TCM2459" s="53"/>
      <c r="TCN2459" s="53"/>
      <c r="TCO2459" s="53"/>
      <c r="TCP2459" s="61"/>
      <c r="TCQ2459" s="53"/>
      <c r="TCR2459" s="53"/>
      <c r="TCS2459" s="53"/>
      <c r="TCT2459" s="60"/>
      <c r="TCU2459" s="53"/>
      <c r="TCV2459" s="53"/>
      <c r="TCW2459" s="53"/>
      <c r="TCX2459" s="61"/>
      <c r="TCY2459" s="53"/>
      <c r="TCZ2459" s="53"/>
      <c r="TDA2459" s="53"/>
      <c r="TDB2459" s="60"/>
      <c r="TDC2459" s="53"/>
      <c r="TDD2459" s="53"/>
      <c r="TDE2459" s="53"/>
      <c r="TDF2459" s="61"/>
      <c r="TDG2459" s="53"/>
      <c r="TDH2459" s="53"/>
      <c r="TDI2459" s="53"/>
      <c r="TDJ2459" s="60"/>
      <c r="TDK2459" s="53"/>
      <c r="TDL2459" s="53"/>
      <c r="TDM2459" s="53"/>
      <c r="TDN2459" s="61"/>
      <c r="TDO2459" s="53"/>
      <c r="TDP2459" s="53"/>
      <c r="TDQ2459" s="53"/>
      <c r="TDR2459" s="60"/>
      <c r="TDS2459" s="53"/>
      <c r="TDT2459" s="53"/>
      <c r="TDU2459" s="53"/>
      <c r="TDV2459" s="61"/>
      <c r="TDW2459" s="53"/>
      <c r="TDX2459" s="53"/>
      <c r="TDY2459" s="53"/>
      <c r="TDZ2459" s="60"/>
      <c r="TEA2459" s="53"/>
      <c r="TEB2459" s="53"/>
      <c r="TEC2459" s="53"/>
      <c r="TED2459" s="61"/>
      <c r="TEE2459" s="53"/>
      <c r="TEF2459" s="53"/>
      <c r="TEG2459" s="53"/>
      <c r="TEH2459" s="60"/>
      <c r="TEI2459" s="53"/>
      <c r="TEJ2459" s="53"/>
      <c r="TEK2459" s="53"/>
      <c r="TEL2459" s="61"/>
      <c r="TEM2459" s="53"/>
      <c r="TEN2459" s="53"/>
      <c r="TEO2459" s="53"/>
      <c r="TEP2459" s="60"/>
      <c r="TEQ2459" s="53"/>
      <c r="TER2459" s="53"/>
      <c r="TES2459" s="53"/>
      <c r="TET2459" s="61"/>
      <c r="TEU2459" s="53"/>
      <c r="TEV2459" s="53"/>
      <c r="TEW2459" s="53"/>
      <c r="TEX2459" s="60"/>
      <c r="TEY2459" s="53"/>
      <c r="TEZ2459" s="53"/>
      <c r="TFA2459" s="53"/>
      <c r="TFB2459" s="61"/>
      <c r="TFC2459" s="53"/>
      <c r="TFD2459" s="53"/>
      <c r="TFE2459" s="53"/>
      <c r="TFF2459" s="60"/>
      <c r="TFG2459" s="53"/>
      <c r="TFH2459" s="53"/>
      <c r="TFI2459" s="53"/>
      <c r="TFJ2459" s="61"/>
      <c r="TFK2459" s="53"/>
      <c r="TFL2459" s="53"/>
      <c r="TFM2459" s="53"/>
      <c r="TFN2459" s="60"/>
      <c r="TFO2459" s="53"/>
      <c r="TFP2459" s="53"/>
      <c r="TFQ2459" s="53"/>
      <c r="TFR2459" s="61"/>
      <c r="TFS2459" s="53"/>
      <c r="TFT2459" s="53"/>
      <c r="TFU2459" s="53"/>
      <c r="TFV2459" s="60"/>
      <c r="TFW2459" s="53"/>
      <c r="TFX2459" s="53"/>
      <c r="TFY2459" s="53"/>
      <c r="TFZ2459" s="61"/>
      <c r="TGA2459" s="53"/>
      <c r="TGB2459" s="53"/>
      <c r="TGC2459" s="53"/>
      <c r="TGD2459" s="60"/>
      <c r="TGE2459" s="53"/>
      <c r="TGF2459" s="53"/>
      <c r="TGG2459" s="53"/>
      <c r="TGH2459" s="61"/>
      <c r="TGI2459" s="53"/>
      <c r="TGJ2459" s="53"/>
      <c r="TGK2459" s="53"/>
      <c r="TGL2459" s="60"/>
      <c r="TGM2459" s="53"/>
      <c r="TGN2459" s="53"/>
      <c r="TGO2459" s="53"/>
      <c r="TGP2459" s="61"/>
      <c r="TGQ2459" s="53"/>
      <c r="TGR2459" s="53"/>
      <c r="TGS2459" s="53"/>
      <c r="TGT2459" s="60"/>
      <c r="TGU2459" s="53"/>
      <c r="TGV2459" s="53"/>
      <c r="TGW2459" s="53"/>
      <c r="TGX2459" s="61"/>
      <c r="TGY2459" s="53"/>
      <c r="TGZ2459" s="53"/>
      <c r="THA2459" s="53"/>
      <c r="THB2459" s="60"/>
      <c r="THC2459" s="53"/>
      <c r="THD2459" s="53"/>
      <c r="THE2459" s="53"/>
      <c r="THF2459" s="61"/>
      <c r="THG2459" s="53"/>
      <c r="THH2459" s="53"/>
      <c r="THI2459" s="53"/>
      <c r="THJ2459" s="60"/>
      <c r="THK2459" s="53"/>
      <c r="THL2459" s="53"/>
      <c r="THM2459" s="53"/>
      <c r="THN2459" s="61"/>
      <c r="THO2459" s="53"/>
      <c r="THP2459" s="53"/>
      <c r="THQ2459" s="53"/>
      <c r="THR2459" s="60"/>
      <c r="THS2459" s="53"/>
      <c r="THT2459" s="53"/>
      <c r="THU2459" s="53"/>
      <c r="THV2459" s="61"/>
      <c r="THW2459" s="53"/>
      <c r="THX2459" s="53"/>
      <c r="THY2459" s="53"/>
      <c r="THZ2459" s="60"/>
      <c r="TIA2459" s="53"/>
      <c r="TIB2459" s="53"/>
      <c r="TIC2459" s="53"/>
      <c r="TID2459" s="61"/>
      <c r="TIE2459" s="53"/>
      <c r="TIF2459" s="53"/>
      <c r="TIG2459" s="53"/>
      <c r="TIH2459" s="60"/>
      <c r="TII2459" s="53"/>
      <c r="TIJ2459" s="53"/>
      <c r="TIK2459" s="53"/>
      <c r="TIL2459" s="61"/>
      <c r="TIM2459" s="53"/>
      <c r="TIN2459" s="53"/>
      <c r="TIO2459" s="53"/>
      <c r="TIP2459" s="60"/>
      <c r="TIQ2459" s="53"/>
      <c r="TIR2459" s="53"/>
      <c r="TIS2459" s="53"/>
      <c r="TIT2459" s="61"/>
      <c r="TIU2459" s="53"/>
      <c r="TIV2459" s="53"/>
      <c r="TIW2459" s="53"/>
      <c r="TIX2459" s="60"/>
      <c r="TIY2459" s="53"/>
      <c r="TIZ2459" s="53"/>
      <c r="TJA2459" s="53"/>
      <c r="TJB2459" s="61"/>
      <c r="TJC2459" s="53"/>
      <c r="TJD2459" s="53"/>
      <c r="TJE2459" s="53"/>
      <c r="TJF2459" s="60"/>
      <c r="TJG2459" s="53"/>
      <c r="TJH2459" s="53"/>
      <c r="TJI2459" s="53"/>
      <c r="TJJ2459" s="61"/>
      <c r="TJK2459" s="53"/>
      <c r="TJL2459" s="53"/>
      <c r="TJM2459" s="53"/>
      <c r="TJN2459" s="60"/>
      <c r="TJO2459" s="53"/>
      <c r="TJP2459" s="53"/>
      <c r="TJQ2459" s="53"/>
      <c r="TJR2459" s="61"/>
      <c r="TJS2459" s="53"/>
      <c r="TJT2459" s="53"/>
      <c r="TJU2459" s="53"/>
      <c r="TJV2459" s="60"/>
      <c r="TJW2459" s="53"/>
      <c r="TJX2459" s="53"/>
      <c r="TJY2459" s="53"/>
      <c r="TJZ2459" s="61"/>
      <c r="TKA2459" s="53"/>
      <c r="TKB2459" s="53"/>
      <c r="TKC2459" s="53"/>
      <c r="TKD2459" s="60"/>
      <c r="TKE2459" s="53"/>
      <c r="TKF2459" s="53"/>
      <c r="TKG2459" s="53"/>
      <c r="TKH2459" s="61"/>
      <c r="TKI2459" s="53"/>
      <c r="TKJ2459" s="53"/>
      <c r="TKK2459" s="53"/>
      <c r="TKL2459" s="60"/>
      <c r="TKM2459" s="53"/>
      <c r="TKN2459" s="53"/>
      <c r="TKO2459" s="53"/>
      <c r="TKP2459" s="61"/>
      <c r="TKQ2459" s="53"/>
      <c r="TKR2459" s="53"/>
      <c r="TKS2459" s="53"/>
      <c r="TKT2459" s="60"/>
      <c r="TKU2459" s="53"/>
      <c r="TKV2459" s="53"/>
      <c r="TKW2459" s="53"/>
      <c r="TKX2459" s="61"/>
      <c r="TKY2459" s="53"/>
      <c r="TKZ2459" s="53"/>
      <c r="TLA2459" s="53"/>
      <c r="TLB2459" s="60"/>
      <c r="TLC2459" s="53"/>
      <c r="TLD2459" s="53"/>
      <c r="TLE2459" s="53"/>
      <c r="TLF2459" s="61"/>
      <c r="TLG2459" s="53"/>
      <c r="TLH2459" s="53"/>
      <c r="TLI2459" s="53"/>
      <c r="TLJ2459" s="60"/>
      <c r="TLK2459" s="53"/>
      <c r="TLL2459" s="53"/>
      <c r="TLM2459" s="53"/>
      <c r="TLN2459" s="61"/>
      <c r="TLO2459" s="53"/>
      <c r="TLP2459" s="53"/>
      <c r="TLQ2459" s="53"/>
      <c r="TLR2459" s="60"/>
      <c r="TLS2459" s="53"/>
      <c r="TLT2459" s="53"/>
      <c r="TLU2459" s="53"/>
      <c r="TLV2459" s="61"/>
      <c r="TLW2459" s="53"/>
      <c r="TLX2459" s="53"/>
      <c r="TLY2459" s="53"/>
      <c r="TLZ2459" s="60"/>
      <c r="TMA2459" s="53"/>
      <c r="TMB2459" s="53"/>
      <c r="TMC2459" s="53"/>
      <c r="TMD2459" s="61"/>
      <c r="TME2459" s="53"/>
      <c r="TMF2459" s="53"/>
      <c r="TMG2459" s="53"/>
      <c r="TMH2459" s="60"/>
      <c r="TMI2459" s="53"/>
      <c r="TMJ2459" s="53"/>
      <c r="TMK2459" s="53"/>
      <c r="TML2459" s="61"/>
      <c r="TMM2459" s="53"/>
      <c r="TMN2459" s="53"/>
      <c r="TMO2459" s="53"/>
      <c r="TMP2459" s="60"/>
      <c r="TMQ2459" s="53"/>
      <c r="TMR2459" s="53"/>
      <c r="TMS2459" s="53"/>
      <c r="TMT2459" s="61"/>
      <c r="TMU2459" s="53"/>
      <c r="TMV2459" s="53"/>
      <c r="TMW2459" s="53"/>
      <c r="TMX2459" s="60"/>
      <c r="TMY2459" s="53"/>
      <c r="TMZ2459" s="53"/>
      <c r="TNA2459" s="53"/>
      <c r="TNB2459" s="61"/>
      <c r="TNC2459" s="53"/>
      <c r="TND2459" s="53"/>
      <c r="TNE2459" s="53"/>
      <c r="TNF2459" s="60"/>
      <c r="TNG2459" s="53"/>
      <c r="TNH2459" s="53"/>
      <c r="TNI2459" s="53"/>
      <c r="TNJ2459" s="61"/>
      <c r="TNK2459" s="53"/>
      <c r="TNL2459" s="53"/>
      <c r="TNM2459" s="53"/>
      <c r="TNN2459" s="60"/>
      <c r="TNO2459" s="53"/>
      <c r="TNP2459" s="53"/>
      <c r="TNQ2459" s="53"/>
      <c r="TNR2459" s="61"/>
      <c r="TNS2459" s="53"/>
      <c r="TNT2459" s="53"/>
      <c r="TNU2459" s="53"/>
      <c r="TNV2459" s="60"/>
      <c r="TNW2459" s="53"/>
      <c r="TNX2459" s="53"/>
      <c r="TNY2459" s="53"/>
      <c r="TNZ2459" s="61"/>
      <c r="TOA2459" s="53"/>
      <c r="TOB2459" s="53"/>
      <c r="TOC2459" s="53"/>
      <c r="TOD2459" s="60"/>
      <c r="TOE2459" s="53"/>
      <c r="TOF2459" s="53"/>
      <c r="TOG2459" s="53"/>
      <c r="TOH2459" s="61"/>
      <c r="TOI2459" s="53"/>
      <c r="TOJ2459" s="53"/>
      <c r="TOK2459" s="53"/>
      <c r="TOL2459" s="60"/>
      <c r="TOM2459" s="53"/>
      <c r="TON2459" s="53"/>
      <c r="TOO2459" s="53"/>
      <c r="TOP2459" s="61"/>
      <c r="TOQ2459" s="53"/>
      <c r="TOR2459" s="53"/>
      <c r="TOS2459" s="53"/>
      <c r="TOT2459" s="60"/>
      <c r="TOU2459" s="53"/>
      <c r="TOV2459" s="53"/>
      <c r="TOW2459" s="53"/>
      <c r="TOX2459" s="61"/>
      <c r="TOY2459" s="53"/>
      <c r="TOZ2459" s="53"/>
      <c r="TPA2459" s="53"/>
      <c r="TPB2459" s="60"/>
      <c r="TPC2459" s="53"/>
      <c r="TPD2459" s="53"/>
      <c r="TPE2459" s="53"/>
      <c r="TPF2459" s="61"/>
      <c r="TPG2459" s="53"/>
      <c r="TPH2459" s="53"/>
      <c r="TPI2459" s="53"/>
      <c r="TPJ2459" s="60"/>
      <c r="TPK2459" s="53"/>
      <c r="TPL2459" s="53"/>
      <c r="TPM2459" s="53"/>
      <c r="TPN2459" s="61"/>
      <c r="TPO2459" s="53"/>
      <c r="TPP2459" s="53"/>
      <c r="TPQ2459" s="53"/>
      <c r="TPR2459" s="60"/>
      <c r="TPS2459" s="53"/>
      <c r="TPT2459" s="53"/>
      <c r="TPU2459" s="53"/>
      <c r="TPV2459" s="61"/>
      <c r="TPW2459" s="53"/>
      <c r="TPX2459" s="53"/>
      <c r="TPY2459" s="53"/>
      <c r="TPZ2459" s="60"/>
      <c r="TQA2459" s="53"/>
      <c r="TQB2459" s="53"/>
      <c r="TQC2459" s="53"/>
      <c r="TQD2459" s="61"/>
      <c r="TQE2459" s="53"/>
      <c r="TQF2459" s="53"/>
      <c r="TQG2459" s="53"/>
      <c r="TQH2459" s="60"/>
      <c r="TQI2459" s="53"/>
      <c r="TQJ2459" s="53"/>
      <c r="TQK2459" s="53"/>
      <c r="TQL2459" s="61"/>
      <c r="TQM2459" s="53"/>
      <c r="TQN2459" s="53"/>
      <c r="TQO2459" s="53"/>
      <c r="TQP2459" s="60"/>
      <c r="TQQ2459" s="53"/>
      <c r="TQR2459" s="53"/>
      <c r="TQS2459" s="53"/>
      <c r="TQT2459" s="61"/>
      <c r="TQU2459" s="53"/>
      <c r="TQV2459" s="53"/>
      <c r="TQW2459" s="53"/>
      <c r="TQX2459" s="60"/>
      <c r="TQY2459" s="53"/>
      <c r="TQZ2459" s="53"/>
      <c r="TRA2459" s="53"/>
      <c r="TRB2459" s="61"/>
      <c r="TRC2459" s="53"/>
      <c r="TRD2459" s="53"/>
      <c r="TRE2459" s="53"/>
      <c r="TRF2459" s="60"/>
      <c r="TRG2459" s="53"/>
      <c r="TRH2459" s="53"/>
      <c r="TRI2459" s="53"/>
      <c r="TRJ2459" s="61"/>
      <c r="TRK2459" s="53"/>
      <c r="TRL2459" s="53"/>
      <c r="TRM2459" s="53"/>
      <c r="TRN2459" s="60"/>
      <c r="TRO2459" s="53"/>
      <c r="TRP2459" s="53"/>
      <c r="TRQ2459" s="53"/>
      <c r="TRR2459" s="61"/>
      <c r="TRS2459" s="53"/>
      <c r="TRT2459" s="53"/>
      <c r="TRU2459" s="53"/>
      <c r="TRV2459" s="60"/>
      <c r="TRW2459" s="53"/>
      <c r="TRX2459" s="53"/>
      <c r="TRY2459" s="53"/>
      <c r="TRZ2459" s="61"/>
      <c r="TSA2459" s="53"/>
      <c r="TSB2459" s="53"/>
      <c r="TSC2459" s="53"/>
      <c r="TSD2459" s="60"/>
      <c r="TSE2459" s="53"/>
      <c r="TSF2459" s="53"/>
      <c r="TSG2459" s="53"/>
      <c r="TSH2459" s="61"/>
      <c r="TSI2459" s="53"/>
      <c r="TSJ2459" s="53"/>
      <c r="TSK2459" s="53"/>
      <c r="TSL2459" s="60"/>
      <c r="TSM2459" s="53"/>
      <c r="TSN2459" s="53"/>
      <c r="TSO2459" s="53"/>
      <c r="TSP2459" s="61"/>
      <c r="TSQ2459" s="53"/>
      <c r="TSR2459" s="53"/>
      <c r="TSS2459" s="53"/>
      <c r="TST2459" s="60"/>
      <c r="TSU2459" s="53"/>
      <c r="TSV2459" s="53"/>
      <c r="TSW2459" s="53"/>
      <c r="TSX2459" s="61"/>
      <c r="TSY2459" s="53"/>
      <c r="TSZ2459" s="53"/>
      <c r="TTA2459" s="53"/>
      <c r="TTB2459" s="60"/>
      <c r="TTC2459" s="53"/>
      <c r="TTD2459" s="53"/>
      <c r="TTE2459" s="53"/>
      <c r="TTF2459" s="61"/>
      <c r="TTG2459" s="53"/>
      <c r="TTH2459" s="53"/>
      <c r="TTI2459" s="53"/>
      <c r="TTJ2459" s="60"/>
      <c r="TTK2459" s="53"/>
      <c r="TTL2459" s="53"/>
      <c r="TTM2459" s="53"/>
      <c r="TTN2459" s="61"/>
      <c r="TTO2459" s="53"/>
      <c r="TTP2459" s="53"/>
      <c r="TTQ2459" s="53"/>
      <c r="TTR2459" s="60"/>
      <c r="TTS2459" s="53"/>
      <c r="TTT2459" s="53"/>
      <c r="TTU2459" s="53"/>
      <c r="TTV2459" s="61"/>
      <c r="TTW2459" s="53"/>
      <c r="TTX2459" s="53"/>
      <c r="TTY2459" s="53"/>
      <c r="TTZ2459" s="60"/>
      <c r="TUA2459" s="53"/>
      <c r="TUB2459" s="53"/>
      <c r="TUC2459" s="53"/>
      <c r="TUD2459" s="61"/>
      <c r="TUE2459" s="53"/>
      <c r="TUF2459" s="53"/>
      <c r="TUG2459" s="53"/>
      <c r="TUH2459" s="60"/>
      <c r="TUI2459" s="53"/>
      <c r="TUJ2459" s="53"/>
      <c r="TUK2459" s="53"/>
      <c r="TUL2459" s="61"/>
      <c r="TUM2459" s="53"/>
      <c r="TUN2459" s="53"/>
      <c r="TUO2459" s="53"/>
      <c r="TUP2459" s="60"/>
      <c r="TUQ2459" s="53"/>
      <c r="TUR2459" s="53"/>
      <c r="TUS2459" s="53"/>
      <c r="TUT2459" s="61"/>
      <c r="TUU2459" s="53"/>
      <c r="TUV2459" s="53"/>
      <c r="TUW2459" s="53"/>
      <c r="TUX2459" s="60"/>
      <c r="TUY2459" s="53"/>
      <c r="TUZ2459" s="53"/>
      <c r="TVA2459" s="53"/>
      <c r="TVB2459" s="61"/>
      <c r="TVC2459" s="53"/>
      <c r="TVD2459" s="53"/>
      <c r="TVE2459" s="53"/>
      <c r="TVF2459" s="60"/>
      <c r="TVG2459" s="53"/>
      <c r="TVH2459" s="53"/>
      <c r="TVI2459" s="53"/>
      <c r="TVJ2459" s="61"/>
      <c r="TVK2459" s="53"/>
      <c r="TVL2459" s="53"/>
      <c r="TVM2459" s="53"/>
      <c r="TVN2459" s="60"/>
      <c r="TVO2459" s="53"/>
      <c r="TVP2459" s="53"/>
      <c r="TVQ2459" s="53"/>
      <c r="TVR2459" s="61"/>
      <c r="TVS2459" s="53"/>
      <c r="TVT2459" s="53"/>
      <c r="TVU2459" s="53"/>
      <c r="TVV2459" s="60"/>
      <c r="TVW2459" s="53"/>
      <c r="TVX2459" s="53"/>
      <c r="TVY2459" s="53"/>
      <c r="TVZ2459" s="61"/>
      <c r="TWA2459" s="53"/>
      <c r="TWB2459" s="53"/>
      <c r="TWC2459" s="53"/>
      <c r="TWD2459" s="60"/>
      <c r="TWE2459" s="53"/>
      <c r="TWF2459" s="53"/>
      <c r="TWG2459" s="53"/>
      <c r="TWH2459" s="61"/>
      <c r="TWI2459" s="53"/>
      <c r="TWJ2459" s="53"/>
      <c r="TWK2459" s="53"/>
      <c r="TWL2459" s="60"/>
      <c r="TWM2459" s="53"/>
      <c r="TWN2459" s="53"/>
      <c r="TWO2459" s="53"/>
      <c r="TWP2459" s="61"/>
      <c r="TWQ2459" s="53"/>
      <c r="TWR2459" s="53"/>
      <c r="TWS2459" s="53"/>
      <c r="TWT2459" s="60"/>
      <c r="TWU2459" s="53"/>
      <c r="TWV2459" s="53"/>
      <c r="TWW2459" s="53"/>
      <c r="TWX2459" s="61"/>
      <c r="TWY2459" s="53"/>
      <c r="TWZ2459" s="53"/>
      <c r="TXA2459" s="53"/>
      <c r="TXB2459" s="60"/>
      <c r="TXC2459" s="53"/>
      <c r="TXD2459" s="53"/>
      <c r="TXE2459" s="53"/>
      <c r="TXF2459" s="61"/>
      <c r="TXG2459" s="53"/>
      <c r="TXH2459" s="53"/>
      <c r="TXI2459" s="53"/>
      <c r="TXJ2459" s="60"/>
      <c r="TXK2459" s="53"/>
      <c r="TXL2459" s="53"/>
      <c r="TXM2459" s="53"/>
      <c r="TXN2459" s="61"/>
      <c r="TXO2459" s="53"/>
      <c r="TXP2459" s="53"/>
      <c r="TXQ2459" s="53"/>
      <c r="TXR2459" s="60"/>
      <c r="TXS2459" s="53"/>
      <c r="TXT2459" s="53"/>
      <c r="TXU2459" s="53"/>
      <c r="TXV2459" s="61"/>
      <c r="TXW2459" s="53"/>
      <c r="TXX2459" s="53"/>
      <c r="TXY2459" s="53"/>
      <c r="TXZ2459" s="60"/>
      <c r="TYA2459" s="53"/>
      <c r="TYB2459" s="53"/>
      <c r="TYC2459" s="53"/>
      <c r="TYD2459" s="61"/>
      <c r="TYE2459" s="53"/>
      <c r="TYF2459" s="53"/>
      <c r="TYG2459" s="53"/>
      <c r="TYH2459" s="60"/>
      <c r="TYI2459" s="53"/>
      <c r="TYJ2459" s="53"/>
      <c r="TYK2459" s="53"/>
      <c r="TYL2459" s="61"/>
      <c r="TYM2459" s="53"/>
      <c r="TYN2459" s="53"/>
      <c r="TYO2459" s="53"/>
      <c r="TYP2459" s="60"/>
      <c r="TYQ2459" s="53"/>
      <c r="TYR2459" s="53"/>
      <c r="TYS2459" s="53"/>
      <c r="TYT2459" s="61"/>
      <c r="TYU2459" s="53"/>
      <c r="TYV2459" s="53"/>
      <c r="TYW2459" s="53"/>
      <c r="TYX2459" s="60"/>
      <c r="TYY2459" s="53"/>
      <c r="TYZ2459" s="53"/>
      <c r="TZA2459" s="53"/>
      <c r="TZB2459" s="61"/>
      <c r="TZC2459" s="53"/>
      <c r="TZD2459" s="53"/>
      <c r="TZE2459" s="53"/>
      <c r="TZF2459" s="60"/>
      <c r="TZG2459" s="53"/>
      <c r="TZH2459" s="53"/>
      <c r="TZI2459" s="53"/>
      <c r="TZJ2459" s="61"/>
      <c r="TZK2459" s="53"/>
      <c r="TZL2459" s="53"/>
      <c r="TZM2459" s="53"/>
      <c r="TZN2459" s="60"/>
      <c r="TZO2459" s="53"/>
      <c r="TZP2459" s="53"/>
      <c r="TZQ2459" s="53"/>
      <c r="TZR2459" s="61"/>
      <c r="TZS2459" s="53"/>
      <c r="TZT2459" s="53"/>
      <c r="TZU2459" s="53"/>
      <c r="TZV2459" s="60"/>
      <c r="TZW2459" s="53"/>
      <c r="TZX2459" s="53"/>
      <c r="TZY2459" s="53"/>
      <c r="TZZ2459" s="61"/>
      <c r="UAA2459" s="53"/>
      <c r="UAB2459" s="53"/>
      <c r="UAC2459" s="53"/>
      <c r="UAD2459" s="60"/>
      <c r="UAE2459" s="53"/>
      <c r="UAF2459" s="53"/>
      <c r="UAG2459" s="53"/>
      <c r="UAH2459" s="61"/>
      <c r="UAI2459" s="53"/>
      <c r="UAJ2459" s="53"/>
      <c r="UAK2459" s="53"/>
      <c r="UAL2459" s="60"/>
      <c r="UAM2459" s="53"/>
      <c r="UAN2459" s="53"/>
      <c r="UAO2459" s="53"/>
      <c r="UAP2459" s="61"/>
      <c r="UAQ2459" s="53"/>
      <c r="UAR2459" s="53"/>
      <c r="UAS2459" s="53"/>
      <c r="UAT2459" s="60"/>
      <c r="UAU2459" s="53"/>
      <c r="UAV2459" s="53"/>
      <c r="UAW2459" s="53"/>
      <c r="UAX2459" s="61"/>
      <c r="UAY2459" s="53"/>
      <c r="UAZ2459" s="53"/>
      <c r="UBA2459" s="53"/>
      <c r="UBB2459" s="60"/>
      <c r="UBC2459" s="53"/>
      <c r="UBD2459" s="53"/>
      <c r="UBE2459" s="53"/>
      <c r="UBF2459" s="61"/>
      <c r="UBG2459" s="53"/>
      <c r="UBH2459" s="53"/>
      <c r="UBI2459" s="53"/>
      <c r="UBJ2459" s="60"/>
      <c r="UBK2459" s="53"/>
      <c r="UBL2459" s="53"/>
      <c r="UBM2459" s="53"/>
      <c r="UBN2459" s="61"/>
      <c r="UBO2459" s="53"/>
      <c r="UBP2459" s="53"/>
      <c r="UBQ2459" s="53"/>
      <c r="UBR2459" s="60"/>
      <c r="UBS2459" s="53"/>
      <c r="UBT2459" s="53"/>
      <c r="UBU2459" s="53"/>
      <c r="UBV2459" s="61"/>
      <c r="UBW2459" s="53"/>
      <c r="UBX2459" s="53"/>
      <c r="UBY2459" s="53"/>
      <c r="UBZ2459" s="60"/>
      <c r="UCA2459" s="53"/>
      <c r="UCB2459" s="53"/>
      <c r="UCC2459" s="53"/>
      <c r="UCD2459" s="61"/>
      <c r="UCE2459" s="53"/>
      <c r="UCF2459" s="53"/>
      <c r="UCG2459" s="53"/>
      <c r="UCH2459" s="60"/>
      <c r="UCI2459" s="53"/>
      <c r="UCJ2459" s="53"/>
      <c r="UCK2459" s="53"/>
      <c r="UCL2459" s="61"/>
      <c r="UCM2459" s="53"/>
      <c r="UCN2459" s="53"/>
      <c r="UCO2459" s="53"/>
      <c r="UCP2459" s="60"/>
      <c r="UCQ2459" s="53"/>
      <c r="UCR2459" s="53"/>
      <c r="UCS2459" s="53"/>
      <c r="UCT2459" s="61"/>
      <c r="UCU2459" s="53"/>
      <c r="UCV2459" s="53"/>
      <c r="UCW2459" s="53"/>
      <c r="UCX2459" s="60"/>
      <c r="UCY2459" s="53"/>
      <c r="UCZ2459" s="53"/>
      <c r="UDA2459" s="53"/>
      <c r="UDB2459" s="61"/>
      <c r="UDC2459" s="53"/>
      <c r="UDD2459" s="53"/>
      <c r="UDE2459" s="53"/>
      <c r="UDF2459" s="60"/>
      <c r="UDG2459" s="53"/>
      <c r="UDH2459" s="53"/>
      <c r="UDI2459" s="53"/>
      <c r="UDJ2459" s="61"/>
      <c r="UDK2459" s="53"/>
      <c r="UDL2459" s="53"/>
      <c r="UDM2459" s="53"/>
      <c r="UDN2459" s="60"/>
      <c r="UDO2459" s="53"/>
      <c r="UDP2459" s="53"/>
      <c r="UDQ2459" s="53"/>
      <c r="UDR2459" s="61"/>
      <c r="UDS2459" s="53"/>
      <c r="UDT2459" s="53"/>
      <c r="UDU2459" s="53"/>
      <c r="UDV2459" s="60"/>
      <c r="UDW2459" s="53"/>
      <c r="UDX2459" s="53"/>
      <c r="UDY2459" s="53"/>
      <c r="UDZ2459" s="61"/>
      <c r="UEA2459" s="53"/>
      <c r="UEB2459" s="53"/>
      <c r="UEC2459" s="53"/>
      <c r="UED2459" s="60"/>
      <c r="UEE2459" s="53"/>
      <c r="UEF2459" s="53"/>
      <c r="UEG2459" s="53"/>
      <c r="UEH2459" s="61"/>
      <c r="UEI2459" s="53"/>
      <c r="UEJ2459" s="53"/>
      <c r="UEK2459" s="53"/>
      <c r="UEL2459" s="60"/>
      <c r="UEM2459" s="53"/>
      <c r="UEN2459" s="53"/>
      <c r="UEO2459" s="53"/>
      <c r="UEP2459" s="61"/>
      <c r="UEQ2459" s="53"/>
      <c r="UER2459" s="53"/>
      <c r="UES2459" s="53"/>
      <c r="UET2459" s="60"/>
      <c r="UEU2459" s="53"/>
      <c r="UEV2459" s="53"/>
      <c r="UEW2459" s="53"/>
      <c r="UEX2459" s="61"/>
      <c r="UEY2459" s="53"/>
      <c r="UEZ2459" s="53"/>
      <c r="UFA2459" s="53"/>
      <c r="UFB2459" s="60"/>
      <c r="UFC2459" s="53"/>
      <c r="UFD2459" s="53"/>
      <c r="UFE2459" s="53"/>
      <c r="UFF2459" s="61"/>
      <c r="UFG2459" s="53"/>
      <c r="UFH2459" s="53"/>
      <c r="UFI2459" s="53"/>
      <c r="UFJ2459" s="60"/>
      <c r="UFK2459" s="53"/>
      <c r="UFL2459" s="53"/>
      <c r="UFM2459" s="53"/>
      <c r="UFN2459" s="61"/>
      <c r="UFO2459" s="53"/>
      <c r="UFP2459" s="53"/>
      <c r="UFQ2459" s="53"/>
      <c r="UFR2459" s="60"/>
      <c r="UFS2459" s="53"/>
      <c r="UFT2459" s="53"/>
      <c r="UFU2459" s="53"/>
      <c r="UFV2459" s="61"/>
      <c r="UFW2459" s="53"/>
      <c r="UFX2459" s="53"/>
      <c r="UFY2459" s="53"/>
      <c r="UFZ2459" s="60"/>
      <c r="UGA2459" s="53"/>
      <c r="UGB2459" s="53"/>
      <c r="UGC2459" s="53"/>
      <c r="UGD2459" s="61"/>
      <c r="UGE2459" s="53"/>
      <c r="UGF2459" s="53"/>
      <c r="UGG2459" s="53"/>
      <c r="UGH2459" s="60"/>
      <c r="UGI2459" s="53"/>
      <c r="UGJ2459" s="53"/>
      <c r="UGK2459" s="53"/>
      <c r="UGL2459" s="61"/>
      <c r="UGM2459" s="53"/>
      <c r="UGN2459" s="53"/>
      <c r="UGO2459" s="53"/>
      <c r="UGP2459" s="60"/>
      <c r="UGQ2459" s="53"/>
      <c r="UGR2459" s="53"/>
      <c r="UGS2459" s="53"/>
      <c r="UGT2459" s="61"/>
      <c r="UGU2459" s="53"/>
      <c r="UGV2459" s="53"/>
      <c r="UGW2459" s="53"/>
      <c r="UGX2459" s="60"/>
      <c r="UGY2459" s="53"/>
      <c r="UGZ2459" s="53"/>
      <c r="UHA2459" s="53"/>
      <c r="UHB2459" s="61"/>
      <c r="UHC2459" s="53"/>
      <c r="UHD2459" s="53"/>
      <c r="UHE2459" s="53"/>
      <c r="UHF2459" s="60"/>
      <c r="UHG2459" s="53"/>
      <c r="UHH2459" s="53"/>
      <c r="UHI2459" s="53"/>
      <c r="UHJ2459" s="61"/>
      <c r="UHK2459" s="53"/>
      <c r="UHL2459" s="53"/>
      <c r="UHM2459" s="53"/>
      <c r="UHN2459" s="60"/>
      <c r="UHO2459" s="53"/>
      <c r="UHP2459" s="53"/>
      <c r="UHQ2459" s="53"/>
      <c r="UHR2459" s="61"/>
      <c r="UHS2459" s="53"/>
      <c r="UHT2459" s="53"/>
      <c r="UHU2459" s="53"/>
      <c r="UHV2459" s="60"/>
      <c r="UHW2459" s="53"/>
      <c r="UHX2459" s="53"/>
      <c r="UHY2459" s="53"/>
      <c r="UHZ2459" s="61"/>
      <c r="UIA2459" s="53"/>
      <c r="UIB2459" s="53"/>
      <c r="UIC2459" s="53"/>
      <c r="UID2459" s="60"/>
      <c r="UIE2459" s="53"/>
      <c r="UIF2459" s="53"/>
      <c r="UIG2459" s="53"/>
      <c r="UIH2459" s="61"/>
      <c r="UII2459" s="53"/>
      <c r="UIJ2459" s="53"/>
      <c r="UIK2459" s="53"/>
      <c r="UIL2459" s="60"/>
      <c r="UIM2459" s="53"/>
      <c r="UIN2459" s="53"/>
      <c r="UIO2459" s="53"/>
      <c r="UIP2459" s="61"/>
      <c r="UIQ2459" s="53"/>
      <c r="UIR2459" s="53"/>
      <c r="UIS2459" s="53"/>
      <c r="UIT2459" s="60"/>
      <c r="UIU2459" s="53"/>
      <c r="UIV2459" s="53"/>
      <c r="UIW2459" s="53"/>
      <c r="UIX2459" s="61"/>
      <c r="UIY2459" s="53"/>
      <c r="UIZ2459" s="53"/>
      <c r="UJA2459" s="53"/>
      <c r="UJB2459" s="60"/>
      <c r="UJC2459" s="53"/>
      <c r="UJD2459" s="53"/>
      <c r="UJE2459" s="53"/>
      <c r="UJF2459" s="61"/>
      <c r="UJG2459" s="53"/>
      <c r="UJH2459" s="53"/>
      <c r="UJI2459" s="53"/>
      <c r="UJJ2459" s="60"/>
      <c r="UJK2459" s="53"/>
      <c r="UJL2459" s="53"/>
      <c r="UJM2459" s="53"/>
      <c r="UJN2459" s="61"/>
      <c r="UJO2459" s="53"/>
      <c r="UJP2459" s="53"/>
      <c r="UJQ2459" s="53"/>
      <c r="UJR2459" s="60"/>
      <c r="UJS2459" s="53"/>
      <c r="UJT2459" s="53"/>
      <c r="UJU2459" s="53"/>
      <c r="UJV2459" s="61"/>
      <c r="UJW2459" s="53"/>
      <c r="UJX2459" s="53"/>
      <c r="UJY2459" s="53"/>
      <c r="UJZ2459" s="60"/>
      <c r="UKA2459" s="53"/>
      <c r="UKB2459" s="53"/>
      <c r="UKC2459" s="53"/>
      <c r="UKD2459" s="61"/>
      <c r="UKE2459" s="53"/>
      <c r="UKF2459" s="53"/>
      <c r="UKG2459" s="53"/>
      <c r="UKH2459" s="60"/>
      <c r="UKI2459" s="53"/>
      <c r="UKJ2459" s="53"/>
      <c r="UKK2459" s="53"/>
      <c r="UKL2459" s="61"/>
      <c r="UKM2459" s="53"/>
      <c r="UKN2459" s="53"/>
      <c r="UKO2459" s="53"/>
      <c r="UKP2459" s="60"/>
      <c r="UKQ2459" s="53"/>
      <c r="UKR2459" s="53"/>
      <c r="UKS2459" s="53"/>
      <c r="UKT2459" s="61"/>
      <c r="UKU2459" s="53"/>
      <c r="UKV2459" s="53"/>
      <c r="UKW2459" s="53"/>
      <c r="UKX2459" s="60"/>
      <c r="UKY2459" s="53"/>
      <c r="UKZ2459" s="53"/>
      <c r="ULA2459" s="53"/>
      <c r="ULB2459" s="61"/>
      <c r="ULC2459" s="53"/>
      <c r="ULD2459" s="53"/>
      <c r="ULE2459" s="53"/>
      <c r="ULF2459" s="60"/>
      <c r="ULG2459" s="53"/>
      <c r="ULH2459" s="53"/>
      <c r="ULI2459" s="53"/>
      <c r="ULJ2459" s="61"/>
      <c r="ULK2459" s="53"/>
      <c r="ULL2459" s="53"/>
      <c r="ULM2459" s="53"/>
      <c r="ULN2459" s="60"/>
      <c r="ULO2459" s="53"/>
      <c r="ULP2459" s="53"/>
      <c r="ULQ2459" s="53"/>
      <c r="ULR2459" s="61"/>
      <c r="ULS2459" s="53"/>
      <c r="ULT2459" s="53"/>
      <c r="ULU2459" s="53"/>
      <c r="ULV2459" s="60"/>
      <c r="ULW2459" s="53"/>
      <c r="ULX2459" s="53"/>
      <c r="ULY2459" s="53"/>
      <c r="ULZ2459" s="61"/>
      <c r="UMA2459" s="53"/>
      <c r="UMB2459" s="53"/>
      <c r="UMC2459" s="53"/>
      <c r="UMD2459" s="60"/>
      <c r="UME2459" s="53"/>
      <c r="UMF2459" s="53"/>
      <c r="UMG2459" s="53"/>
      <c r="UMH2459" s="61"/>
      <c r="UMI2459" s="53"/>
      <c r="UMJ2459" s="53"/>
      <c r="UMK2459" s="53"/>
      <c r="UML2459" s="60"/>
      <c r="UMM2459" s="53"/>
      <c r="UMN2459" s="53"/>
      <c r="UMO2459" s="53"/>
      <c r="UMP2459" s="61"/>
      <c r="UMQ2459" s="53"/>
      <c r="UMR2459" s="53"/>
      <c r="UMS2459" s="53"/>
      <c r="UMT2459" s="60"/>
      <c r="UMU2459" s="53"/>
      <c r="UMV2459" s="53"/>
      <c r="UMW2459" s="53"/>
      <c r="UMX2459" s="61"/>
      <c r="UMY2459" s="53"/>
      <c r="UMZ2459" s="53"/>
      <c r="UNA2459" s="53"/>
      <c r="UNB2459" s="60"/>
      <c r="UNC2459" s="53"/>
      <c r="UND2459" s="53"/>
      <c r="UNE2459" s="53"/>
      <c r="UNF2459" s="61"/>
      <c r="UNG2459" s="53"/>
      <c r="UNH2459" s="53"/>
      <c r="UNI2459" s="53"/>
      <c r="UNJ2459" s="60"/>
      <c r="UNK2459" s="53"/>
      <c r="UNL2459" s="53"/>
      <c r="UNM2459" s="53"/>
      <c r="UNN2459" s="61"/>
      <c r="UNO2459" s="53"/>
      <c r="UNP2459" s="53"/>
      <c r="UNQ2459" s="53"/>
      <c r="UNR2459" s="60"/>
      <c r="UNS2459" s="53"/>
      <c r="UNT2459" s="53"/>
      <c r="UNU2459" s="53"/>
      <c r="UNV2459" s="61"/>
      <c r="UNW2459" s="53"/>
      <c r="UNX2459" s="53"/>
      <c r="UNY2459" s="53"/>
      <c r="UNZ2459" s="60"/>
      <c r="UOA2459" s="53"/>
      <c r="UOB2459" s="53"/>
      <c r="UOC2459" s="53"/>
      <c r="UOD2459" s="61"/>
      <c r="UOE2459" s="53"/>
      <c r="UOF2459" s="53"/>
      <c r="UOG2459" s="53"/>
      <c r="UOH2459" s="60"/>
      <c r="UOI2459" s="53"/>
      <c r="UOJ2459" s="53"/>
      <c r="UOK2459" s="53"/>
      <c r="UOL2459" s="61"/>
      <c r="UOM2459" s="53"/>
      <c r="UON2459" s="53"/>
      <c r="UOO2459" s="53"/>
      <c r="UOP2459" s="60"/>
      <c r="UOQ2459" s="53"/>
      <c r="UOR2459" s="53"/>
      <c r="UOS2459" s="53"/>
      <c r="UOT2459" s="61"/>
      <c r="UOU2459" s="53"/>
      <c r="UOV2459" s="53"/>
      <c r="UOW2459" s="53"/>
      <c r="UOX2459" s="60"/>
      <c r="UOY2459" s="53"/>
      <c r="UOZ2459" s="53"/>
      <c r="UPA2459" s="53"/>
      <c r="UPB2459" s="61"/>
      <c r="UPC2459" s="53"/>
      <c r="UPD2459" s="53"/>
      <c r="UPE2459" s="53"/>
      <c r="UPF2459" s="60"/>
      <c r="UPG2459" s="53"/>
      <c r="UPH2459" s="53"/>
      <c r="UPI2459" s="53"/>
      <c r="UPJ2459" s="61"/>
      <c r="UPK2459" s="53"/>
      <c r="UPL2459" s="53"/>
      <c r="UPM2459" s="53"/>
      <c r="UPN2459" s="60"/>
      <c r="UPO2459" s="53"/>
      <c r="UPP2459" s="53"/>
      <c r="UPQ2459" s="53"/>
      <c r="UPR2459" s="61"/>
      <c r="UPS2459" s="53"/>
      <c r="UPT2459" s="53"/>
      <c r="UPU2459" s="53"/>
      <c r="UPV2459" s="60"/>
      <c r="UPW2459" s="53"/>
      <c r="UPX2459" s="53"/>
      <c r="UPY2459" s="53"/>
      <c r="UPZ2459" s="61"/>
      <c r="UQA2459" s="53"/>
      <c r="UQB2459" s="53"/>
      <c r="UQC2459" s="53"/>
      <c r="UQD2459" s="60"/>
      <c r="UQE2459" s="53"/>
      <c r="UQF2459" s="53"/>
      <c r="UQG2459" s="53"/>
      <c r="UQH2459" s="61"/>
      <c r="UQI2459" s="53"/>
      <c r="UQJ2459" s="53"/>
      <c r="UQK2459" s="53"/>
      <c r="UQL2459" s="60"/>
      <c r="UQM2459" s="53"/>
      <c r="UQN2459" s="53"/>
      <c r="UQO2459" s="53"/>
      <c r="UQP2459" s="61"/>
      <c r="UQQ2459" s="53"/>
      <c r="UQR2459" s="53"/>
      <c r="UQS2459" s="53"/>
      <c r="UQT2459" s="60"/>
      <c r="UQU2459" s="53"/>
      <c r="UQV2459" s="53"/>
      <c r="UQW2459" s="53"/>
      <c r="UQX2459" s="61"/>
      <c r="UQY2459" s="53"/>
      <c r="UQZ2459" s="53"/>
      <c r="URA2459" s="53"/>
      <c r="URB2459" s="60"/>
      <c r="URC2459" s="53"/>
      <c r="URD2459" s="53"/>
      <c r="URE2459" s="53"/>
      <c r="URF2459" s="61"/>
      <c r="URG2459" s="53"/>
      <c r="URH2459" s="53"/>
      <c r="URI2459" s="53"/>
      <c r="URJ2459" s="60"/>
      <c r="URK2459" s="53"/>
      <c r="URL2459" s="53"/>
      <c r="URM2459" s="53"/>
      <c r="URN2459" s="61"/>
      <c r="URO2459" s="53"/>
      <c r="URP2459" s="53"/>
      <c r="URQ2459" s="53"/>
      <c r="URR2459" s="60"/>
      <c r="URS2459" s="53"/>
      <c r="URT2459" s="53"/>
      <c r="URU2459" s="53"/>
      <c r="URV2459" s="61"/>
      <c r="URW2459" s="53"/>
      <c r="URX2459" s="53"/>
      <c r="URY2459" s="53"/>
      <c r="URZ2459" s="60"/>
      <c r="USA2459" s="53"/>
      <c r="USB2459" s="53"/>
      <c r="USC2459" s="53"/>
      <c r="USD2459" s="61"/>
      <c r="USE2459" s="53"/>
      <c r="USF2459" s="53"/>
      <c r="USG2459" s="53"/>
      <c r="USH2459" s="60"/>
      <c r="USI2459" s="53"/>
      <c r="USJ2459" s="53"/>
      <c r="USK2459" s="53"/>
      <c r="USL2459" s="61"/>
      <c r="USM2459" s="53"/>
      <c r="USN2459" s="53"/>
      <c r="USO2459" s="53"/>
      <c r="USP2459" s="60"/>
      <c r="USQ2459" s="53"/>
      <c r="USR2459" s="53"/>
      <c r="USS2459" s="53"/>
      <c r="UST2459" s="61"/>
      <c r="USU2459" s="53"/>
      <c r="USV2459" s="53"/>
      <c r="USW2459" s="53"/>
      <c r="USX2459" s="60"/>
      <c r="USY2459" s="53"/>
      <c r="USZ2459" s="53"/>
      <c r="UTA2459" s="53"/>
      <c r="UTB2459" s="61"/>
      <c r="UTC2459" s="53"/>
      <c r="UTD2459" s="53"/>
      <c r="UTE2459" s="53"/>
      <c r="UTF2459" s="60"/>
      <c r="UTG2459" s="53"/>
      <c r="UTH2459" s="53"/>
      <c r="UTI2459" s="53"/>
      <c r="UTJ2459" s="61"/>
      <c r="UTK2459" s="53"/>
      <c r="UTL2459" s="53"/>
      <c r="UTM2459" s="53"/>
      <c r="UTN2459" s="60"/>
      <c r="UTO2459" s="53"/>
      <c r="UTP2459" s="53"/>
      <c r="UTQ2459" s="53"/>
      <c r="UTR2459" s="61"/>
      <c r="UTS2459" s="53"/>
      <c r="UTT2459" s="53"/>
      <c r="UTU2459" s="53"/>
      <c r="UTV2459" s="60"/>
      <c r="UTW2459" s="53"/>
      <c r="UTX2459" s="53"/>
      <c r="UTY2459" s="53"/>
      <c r="UTZ2459" s="61"/>
      <c r="UUA2459" s="53"/>
      <c r="UUB2459" s="53"/>
      <c r="UUC2459" s="53"/>
      <c r="UUD2459" s="60"/>
      <c r="UUE2459" s="53"/>
      <c r="UUF2459" s="53"/>
      <c r="UUG2459" s="53"/>
      <c r="UUH2459" s="61"/>
      <c r="UUI2459" s="53"/>
      <c r="UUJ2459" s="53"/>
      <c r="UUK2459" s="53"/>
      <c r="UUL2459" s="60"/>
      <c r="UUM2459" s="53"/>
      <c r="UUN2459" s="53"/>
      <c r="UUO2459" s="53"/>
      <c r="UUP2459" s="61"/>
      <c r="UUQ2459" s="53"/>
      <c r="UUR2459" s="53"/>
      <c r="UUS2459" s="53"/>
      <c r="UUT2459" s="60"/>
      <c r="UUU2459" s="53"/>
      <c r="UUV2459" s="53"/>
      <c r="UUW2459" s="53"/>
      <c r="UUX2459" s="61"/>
      <c r="UUY2459" s="53"/>
      <c r="UUZ2459" s="53"/>
      <c r="UVA2459" s="53"/>
      <c r="UVB2459" s="60"/>
      <c r="UVC2459" s="53"/>
      <c r="UVD2459" s="53"/>
      <c r="UVE2459" s="53"/>
      <c r="UVF2459" s="61"/>
      <c r="UVG2459" s="53"/>
      <c r="UVH2459" s="53"/>
      <c r="UVI2459" s="53"/>
      <c r="UVJ2459" s="60"/>
      <c r="UVK2459" s="53"/>
      <c r="UVL2459" s="53"/>
      <c r="UVM2459" s="53"/>
      <c r="UVN2459" s="61"/>
      <c r="UVO2459" s="53"/>
      <c r="UVP2459" s="53"/>
      <c r="UVQ2459" s="53"/>
      <c r="UVR2459" s="60"/>
      <c r="UVS2459" s="53"/>
      <c r="UVT2459" s="53"/>
      <c r="UVU2459" s="53"/>
      <c r="UVV2459" s="61"/>
      <c r="UVW2459" s="53"/>
      <c r="UVX2459" s="53"/>
      <c r="UVY2459" s="53"/>
      <c r="UVZ2459" s="60"/>
      <c r="UWA2459" s="53"/>
      <c r="UWB2459" s="53"/>
      <c r="UWC2459" s="53"/>
      <c r="UWD2459" s="61"/>
      <c r="UWE2459" s="53"/>
      <c r="UWF2459" s="53"/>
      <c r="UWG2459" s="53"/>
      <c r="UWH2459" s="60"/>
      <c r="UWI2459" s="53"/>
      <c r="UWJ2459" s="53"/>
      <c r="UWK2459" s="53"/>
      <c r="UWL2459" s="61"/>
      <c r="UWM2459" s="53"/>
      <c r="UWN2459" s="53"/>
      <c r="UWO2459" s="53"/>
      <c r="UWP2459" s="60"/>
      <c r="UWQ2459" s="53"/>
      <c r="UWR2459" s="53"/>
      <c r="UWS2459" s="53"/>
      <c r="UWT2459" s="61"/>
      <c r="UWU2459" s="53"/>
      <c r="UWV2459" s="53"/>
      <c r="UWW2459" s="53"/>
      <c r="UWX2459" s="60"/>
      <c r="UWY2459" s="53"/>
      <c r="UWZ2459" s="53"/>
      <c r="UXA2459" s="53"/>
      <c r="UXB2459" s="61"/>
      <c r="UXC2459" s="53"/>
      <c r="UXD2459" s="53"/>
      <c r="UXE2459" s="53"/>
      <c r="UXF2459" s="60"/>
      <c r="UXG2459" s="53"/>
      <c r="UXH2459" s="53"/>
      <c r="UXI2459" s="53"/>
      <c r="UXJ2459" s="61"/>
      <c r="UXK2459" s="53"/>
      <c r="UXL2459" s="53"/>
      <c r="UXM2459" s="53"/>
      <c r="UXN2459" s="60"/>
      <c r="UXO2459" s="53"/>
      <c r="UXP2459" s="53"/>
      <c r="UXQ2459" s="53"/>
      <c r="UXR2459" s="61"/>
      <c r="UXS2459" s="53"/>
      <c r="UXT2459" s="53"/>
      <c r="UXU2459" s="53"/>
      <c r="UXV2459" s="60"/>
      <c r="UXW2459" s="53"/>
      <c r="UXX2459" s="53"/>
      <c r="UXY2459" s="53"/>
      <c r="UXZ2459" s="61"/>
      <c r="UYA2459" s="53"/>
      <c r="UYB2459" s="53"/>
      <c r="UYC2459" s="53"/>
      <c r="UYD2459" s="60"/>
      <c r="UYE2459" s="53"/>
      <c r="UYF2459" s="53"/>
      <c r="UYG2459" s="53"/>
      <c r="UYH2459" s="61"/>
      <c r="UYI2459" s="53"/>
      <c r="UYJ2459" s="53"/>
      <c r="UYK2459" s="53"/>
      <c r="UYL2459" s="60"/>
      <c r="UYM2459" s="53"/>
      <c r="UYN2459" s="53"/>
      <c r="UYO2459" s="53"/>
      <c r="UYP2459" s="61"/>
      <c r="UYQ2459" s="53"/>
      <c r="UYR2459" s="53"/>
      <c r="UYS2459" s="53"/>
      <c r="UYT2459" s="60"/>
      <c r="UYU2459" s="53"/>
      <c r="UYV2459" s="53"/>
      <c r="UYW2459" s="53"/>
      <c r="UYX2459" s="61"/>
      <c r="UYY2459" s="53"/>
      <c r="UYZ2459" s="53"/>
      <c r="UZA2459" s="53"/>
      <c r="UZB2459" s="60"/>
      <c r="UZC2459" s="53"/>
      <c r="UZD2459" s="53"/>
      <c r="UZE2459" s="53"/>
      <c r="UZF2459" s="61"/>
      <c r="UZG2459" s="53"/>
      <c r="UZH2459" s="53"/>
      <c r="UZI2459" s="53"/>
      <c r="UZJ2459" s="60"/>
      <c r="UZK2459" s="53"/>
      <c r="UZL2459" s="53"/>
      <c r="UZM2459" s="53"/>
      <c r="UZN2459" s="61"/>
      <c r="UZO2459" s="53"/>
      <c r="UZP2459" s="53"/>
      <c r="UZQ2459" s="53"/>
      <c r="UZR2459" s="60"/>
      <c r="UZS2459" s="53"/>
      <c r="UZT2459" s="53"/>
      <c r="UZU2459" s="53"/>
      <c r="UZV2459" s="61"/>
      <c r="UZW2459" s="53"/>
      <c r="UZX2459" s="53"/>
      <c r="UZY2459" s="53"/>
      <c r="UZZ2459" s="60"/>
      <c r="VAA2459" s="53"/>
      <c r="VAB2459" s="53"/>
      <c r="VAC2459" s="53"/>
      <c r="VAD2459" s="61"/>
      <c r="VAE2459" s="53"/>
      <c r="VAF2459" s="53"/>
      <c r="VAG2459" s="53"/>
      <c r="VAH2459" s="60"/>
      <c r="VAI2459" s="53"/>
      <c r="VAJ2459" s="53"/>
      <c r="VAK2459" s="53"/>
      <c r="VAL2459" s="61"/>
      <c r="VAM2459" s="53"/>
      <c r="VAN2459" s="53"/>
      <c r="VAO2459" s="53"/>
      <c r="VAP2459" s="60"/>
      <c r="VAQ2459" s="53"/>
      <c r="VAR2459" s="53"/>
      <c r="VAS2459" s="53"/>
      <c r="VAT2459" s="61"/>
      <c r="VAU2459" s="53"/>
      <c r="VAV2459" s="53"/>
      <c r="VAW2459" s="53"/>
      <c r="VAX2459" s="60"/>
      <c r="VAY2459" s="53"/>
      <c r="VAZ2459" s="53"/>
      <c r="VBA2459" s="53"/>
      <c r="VBB2459" s="61"/>
      <c r="VBC2459" s="53"/>
      <c r="VBD2459" s="53"/>
      <c r="VBE2459" s="53"/>
      <c r="VBF2459" s="60"/>
      <c r="VBG2459" s="53"/>
      <c r="VBH2459" s="53"/>
      <c r="VBI2459" s="53"/>
      <c r="VBJ2459" s="61"/>
      <c r="VBK2459" s="53"/>
      <c r="VBL2459" s="53"/>
      <c r="VBM2459" s="53"/>
      <c r="VBN2459" s="60"/>
      <c r="VBO2459" s="53"/>
      <c r="VBP2459" s="53"/>
      <c r="VBQ2459" s="53"/>
      <c r="VBR2459" s="61"/>
      <c r="VBS2459" s="53"/>
      <c r="VBT2459" s="53"/>
      <c r="VBU2459" s="53"/>
      <c r="VBV2459" s="60"/>
      <c r="VBW2459" s="53"/>
      <c r="VBX2459" s="53"/>
      <c r="VBY2459" s="53"/>
      <c r="VBZ2459" s="61"/>
      <c r="VCA2459" s="53"/>
      <c r="VCB2459" s="53"/>
      <c r="VCC2459" s="53"/>
      <c r="VCD2459" s="60"/>
      <c r="VCE2459" s="53"/>
      <c r="VCF2459" s="53"/>
      <c r="VCG2459" s="53"/>
      <c r="VCH2459" s="61"/>
      <c r="VCI2459" s="53"/>
      <c r="VCJ2459" s="53"/>
      <c r="VCK2459" s="53"/>
      <c r="VCL2459" s="60"/>
      <c r="VCM2459" s="53"/>
      <c r="VCN2459" s="53"/>
      <c r="VCO2459" s="53"/>
      <c r="VCP2459" s="61"/>
      <c r="VCQ2459" s="53"/>
      <c r="VCR2459" s="53"/>
      <c r="VCS2459" s="53"/>
      <c r="VCT2459" s="60"/>
      <c r="VCU2459" s="53"/>
      <c r="VCV2459" s="53"/>
      <c r="VCW2459" s="53"/>
      <c r="VCX2459" s="61"/>
      <c r="VCY2459" s="53"/>
      <c r="VCZ2459" s="53"/>
      <c r="VDA2459" s="53"/>
      <c r="VDB2459" s="60"/>
      <c r="VDC2459" s="53"/>
      <c r="VDD2459" s="53"/>
      <c r="VDE2459" s="53"/>
      <c r="VDF2459" s="61"/>
      <c r="VDG2459" s="53"/>
      <c r="VDH2459" s="53"/>
      <c r="VDI2459" s="53"/>
      <c r="VDJ2459" s="60"/>
      <c r="VDK2459" s="53"/>
      <c r="VDL2459" s="53"/>
      <c r="VDM2459" s="53"/>
      <c r="VDN2459" s="61"/>
      <c r="VDO2459" s="53"/>
      <c r="VDP2459" s="53"/>
      <c r="VDQ2459" s="53"/>
      <c r="VDR2459" s="60"/>
      <c r="VDS2459" s="53"/>
      <c r="VDT2459" s="53"/>
      <c r="VDU2459" s="53"/>
      <c r="VDV2459" s="61"/>
      <c r="VDW2459" s="53"/>
      <c r="VDX2459" s="53"/>
      <c r="VDY2459" s="53"/>
      <c r="VDZ2459" s="60"/>
      <c r="VEA2459" s="53"/>
      <c r="VEB2459" s="53"/>
      <c r="VEC2459" s="53"/>
      <c r="VED2459" s="61"/>
      <c r="VEE2459" s="53"/>
      <c r="VEF2459" s="53"/>
      <c r="VEG2459" s="53"/>
      <c r="VEH2459" s="60"/>
      <c r="VEI2459" s="53"/>
      <c r="VEJ2459" s="53"/>
      <c r="VEK2459" s="53"/>
      <c r="VEL2459" s="61"/>
      <c r="VEM2459" s="53"/>
      <c r="VEN2459" s="53"/>
      <c r="VEO2459" s="53"/>
      <c r="VEP2459" s="60"/>
      <c r="VEQ2459" s="53"/>
      <c r="VER2459" s="53"/>
      <c r="VES2459" s="53"/>
      <c r="VET2459" s="61"/>
      <c r="VEU2459" s="53"/>
      <c r="VEV2459" s="53"/>
      <c r="VEW2459" s="53"/>
      <c r="VEX2459" s="60"/>
      <c r="VEY2459" s="53"/>
      <c r="VEZ2459" s="53"/>
      <c r="VFA2459" s="53"/>
      <c r="VFB2459" s="61"/>
      <c r="VFC2459" s="53"/>
      <c r="VFD2459" s="53"/>
      <c r="VFE2459" s="53"/>
      <c r="VFF2459" s="60"/>
      <c r="VFG2459" s="53"/>
      <c r="VFH2459" s="53"/>
      <c r="VFI2459" s="53"/>
      <c r="VFJ2459" s="61"/>
      <c r="VFK2459" s="53"/>
      <c r="VFL2459" s="53"/>
      <c r="VFM2459" s="53"/>
      <c r="VFN2459" s="60"/>
      <c r="VFO2459" s="53"/>
      <c r="VFP2459" s="53"/>
      <c r="VFQ2459" s="53"/>
      <c r="VFR2459" s="61"/>
      <c r="VFS2459" s="53"/>
      <c r="VFT2459" s="53"/>
      <c r="VFU2459" s="53"/>
      <c r="VFV2459" s="60"/>
      <c r="VFW2459" s="53"/>
      <c r="VFX2459" s="53"/>
      <c r="VFY2459" s="53"/>
      <c r="VFZ2459" s="61"/>
      <c r="VGA2459" s="53"/>
      <c r="VGB2459" s="53"/>
      <c r="VGC2459" s="53"/>
      <c r="VGD2459" s="60"/>
      <c r="VGE2459" s="53"/>
      <c r="VGF2459" s="53"/>
      <c r="VGG2459" s="53"/>
      <c r="VGH2459" s="61"/>
      <c r="VGI2459" s="53"/>
      <c r="VGJ2459" s="53"/>
      <c r="VGK2459" s="53"/>
      <c r="VGL2459" s="60"/>
      <c r="VGM2459" s="53"/>
      <c r="VGN2459" s="53"/>
      <c r="VGO2459" s="53"/>
      <c r="VGP2459" s="61"/>
      <c r="VGQ2459" s="53"/>
      <c r="VGR2459" s="53"/>
      <c r="VGS2459" s="53"/>
      <c r="VGT2459" s="60"/>
      <c r="VGU2459" s="53"/>
      <c r="VGV2459" s="53"/>
      <c r="VGW2459" s="53"/>
      <c r="VGX2459" s="61"/>
      <c r="VGY2459" s="53"/>
      <c r="VGZ2459" s="53"/>
      <c r="VHA2459" s="53"/>
      <c r="VHB2459" s="60"/>
      <c r="VHC2459" s="53"/>
      <c r="VHD2459" s="53"/>
      <c r="VHE2459" s="53"/>
      <c r="VHF2459" s="61"/>
      <c r="VHG2459" s="53"/>
      <c r="VHH2459" s="53"/>
      <c r="VHI2459" s="53"/>
      <c r="VHJ2459" s="60"/>
      <c r="VHK2459" s="53"/>
      <c r="VHL2459" s="53"/>
      <c r="VHM2459" s="53"/>
      <c r="VHN2459" s="61"/>
      <c r="VHO2459" s="53"/>
      <c r="VHP2459" s="53"/>
      <c r="VHQ2459" s="53"/>
      <c r="VHR2459" s="60"/>
      <c r="VHS2459" s="53"/>
      <c r="VHT2459" s="53"/>
      <c r="VHU2459" s="53"/>
      <c r="VHV2459" s="61"/>
      <c r="VHW2459" s="53"/>
      <c r="VHX2459" s="53"/>
      <c r="VHY2459" s="53"/>
      <c r="VHZ2459" s="60"/>
      <c r="VIA2459" s="53"/>
      <c r="VIB2459" s="53"/>
      <c r="VIC2459" s="53"/>
      <c r="VID2459" s="61"/>
      <c r="VIE2459" s="53"/>
      <c r="VIF2459" s="53"/>
      <c r="VIG2459" s="53"/>
      <c r="VIH2459" s="60"/>
      <c r="VII2459" s="53"/>
      <c r="VIJ2459" s="53"/>
      <c r="VIK2459" s="53"/>
      <c r="VIL2459" s="61"/>
      <c r="VIM2459" s="53"/>
      <c r="VIN2459" s="53"/>
      <c r="VIO2459" s="53"/>
      <c r="VIP2459" s="60"/>
      <c r="VIQ2459" s="53"/>
      <c r="VIR2459" s="53"/>
      <c r="VIS2459" s="53"/>
      <c r="VIT2459" s="61"/>
      <c r="VIU2459" s="53"/>
      <c r="VIV2459" s="53"/>
      <c r="VIW2459" s="53"/>
      <c r="VIX2459" s="60"/>
      <c r="VIY2459" s="53"/>
      <c r="VIZ2459" s="53"/>
      <c r="VJA2459" s="53"/>
      <c r="VJB2459" s="61"/>
      <c r="VJC2459" s="53"/>
      <c r="VJD2459" s="53"/>
      <c r="VJE2459" s="53"/>
      <c r="VJF2459" s="60"/>
      <c r="VJG2459" s="53"/>
      <c r="VJH2459" s="53"/>
      <c r="VJI2459" s="53"/>
      <c r="VJJ2459" s="61"/>
      <c r="VJK2459" s="53"/>
      <c r="VJL2459" s="53"/>
      <c r="VJM2459" s="53"/>
      <c r="VJN2459" s="60"/>
      <c r="VJO2459" s="53"/>
      <c r="VJP2459" s="53"/>
      <c r="VJQ2459" s="53"/>
      <c r="VJR2459" s="61"/>
      <c r="VJS2459" s="53"/>
      <c r="VJT2459" s="53"/>
      <c r="VJU2459" s="53"/>
      <c r="VJV2459" s="60"/>
      <c r="VJW2459" s="53"/>
      <c r="VJX2459" s="53"/>
      <c r="VJY2459" s="53"/>
      <c r="VJZ2459" s="61"/>
      <c r="VKA2459" s="53"/>
      <c r="VKB2459" s="53"/>
      <c r="VKC2459" s="53"/>
      <c r="VKD2459" s="60"/>
      <c r="VKE2459" s="53"/>
      <c r="VKF2459" s="53"/>
      <c r="VKG2459" s="53"/>
      <c r="VKH2459" s="61"/>
      <c r="VKI2459" s="53"/>
      <c r="VKJ2459" s="53"/>
      <c r="VKK2459" s="53"/>
      <c r="VKL2459" s="60"/>
      <c r="VKM2459" s="53"/>
      <c r="VKN2459" s="53"/>
      <c r="VKO2459" s="53"/>
      <c r="VKP2459" s="61"/>
      <c r="VKQ2459" s="53"/>
      <c r="VKR2459" s="53"/>
      <c r="VKS2459" s="53"/>
      <c r="VKT2459" s="60"/>
      <c r="VKU2459" s="53"/>
      <c r="VKV2459" s="53"/>
      <c r="VKW2459" s="53"/>
      <c r="VKX2459" s="61"/>
      <c r="VKY2459" s="53"/>
      <c r="VKZ2459" s="53"/>
      <c r="VLA2459" s="53"/>
      <c r="VLB2459" s="60"/>
      <c r="VLC2459" s="53"/>
      <c r="VLD2459" s="53"/>
      <c r="VLE2459" s="53"/>
      <c r="VLF2459" s="61"/>
      <c r="VLG2459" s="53"/>
      <c r="VLH2459" s="53"/>
      <c r="VLI2459" s="53"/>
      <c r="VLJ2459" s="60"/>
      <c r="VLK2459" s="53"/>
      <c r="VLL2459" s="53"/>
      <c r="VLM2459" s="53"/>
      <c r="VLN2459" s="61"/>
      <c r="VLO2459" s="53"/>
      <c r="VLP2459" s="53"/>
      <c r="VLQ2459" s="53"/>
      <c r="VLR2459" s="60"/>
      <c r="VLS2459" s="53"/>
      <c r="VLT2459" s="53"/>
      <c r="VLU2459" s="53"/>
      <c r="VLV2459" s="61"/>
      <c r="VLW2459" s="53"/>
      <c r="VLX2459" s="53"/>
      <c r="VLY2459" s="53"/>
      <c r="VLZ2459" s="60"/>
      <c r="VMA2459" s="53"/>
      <c r="VMB2459" s="53"/>
      <c r="VMC2459" s="53"/>
      <c r="VMD2459" s="61"/>
      <c r="VME2459" s="53"/>
      <c r="VMF2459" s="53"/>
      <c r="VMG2459" s="53"/>
      <c r="VMH2459" s="60"/>
      <c r="VMI2459" s="53"/>
      <c r="VMJ2459" s="53"/>
      <c r="VMK2459" s="53"/>
      <c r="VML2459" s="61"/>
      <c r="VMM2459" s="53"/>
      <c r="VMN2459" s="53"/>
      <c r="VMO2459" s="53"/>
      <c r="VMP2459" s="60"/>
      <c r="VMQ2459" s="53"/>
      <c r="VMR2459" s="53"/>
      <c r="VMS2459" s="53"/>
      <c r="VMT2459" s="61"/>
      <c r="VMU2459" s="53"/>
      <c r="VMV2459" s="53"/>
      <c r="VMW2459" s="53"/>
      <c r="VMX2459" s="60"/>
      <c r="VMY2459" s="53"/>
      <c r="VMZ2459" s="53"/>
      <c r="VNA2459" s="53"/>
      <c r="VNB2459" s="61"/>
      <c r="VNC2459" s="53"/>
      <c r="VND2459" s="53"/>
      <c r="VNE2459" s="53"/>
      <c r="VNF2459" s="60"/>
      <c r="VNG2459" s="53"/>
      <c r="VNH2459" s="53"/>
      <c r="VNI2459" s="53"/>
      <c r="VNJ2459" s="61"/>
      <c r="VNK2459" s="53"/>
      <c r="VNL2459" s="53"/>
      <c r="VNM2459" s="53"/>
      <c r="VNN2459" s="60"/>
      <c r="VNO2459" s="53"/>
      <c r="VNP2459" s="53"/>
      <c r="VNQ2459" s="53"/>
      <c r="VNR2459" s="61"/>
      <c r="VNS2459" s="53"/>
      <c r="VNT2459" s="53"/>
      <c r="VNU2459" s="53"/>
      <c r="VNV2459" s="60"/>
      <c r="VNW2459" s="53"/>
      <c r="VNX2459" s="53"/>
      <c r="VNY2459" s="53"/>
      <c r="VNZ2459" s="61"/>
      <c r="VOA2459" s="53"/>
      <c r="VOB2459" s="53"/>
      <c r="VOC2459" s="53"/>
      <c r="VOD2459" s="60"/>
      <c r="VOE2459" s="53"/>
      <c r="VOF2459" s="53"/>
      <c r="VOG2459" s="53"/>
      <c r="VOH2459" s="61"/>
      <c r="VOI2459" s="53"/>
      <c r="VOJ2459" s="53"/>
      <c r="VOK2459" s="53"/>
      <c r="VOL2459" s="60"/>
      <c r="VOM2459" s="53"/>
      <c r="VON2459" s="53"/>
      <c r="VOO2459" s="53"/>
      <c r="VOP2459" s="61"/>
      <c r="VOQ2459" s="53"/>
      <c r="VOR2459" s="53"/>
      <c r="VOS2459" s="53"/>
      <c r="VOT2459" s="60"/>
      <c r="VOU2459" s="53"/>
      <c r="VOV2459" s="53"/>
      <c r="VOW2459" s="53"/>
      <c r="VOX2459" s="61"/>
      <c r="VOY2459" s="53"/>
      <c r="VOZ2459" s="53"/>
      <c r="VPA2459" s="53"/>
      <c r="VPB2459" s="60"/>
      <c r="VPC2459" s="53"/>
      <c r="VPD2459" s="53"/>
      <c r="VPE2459" s="53"/>
      <c r="VPF2459" s="61"/>
      <c r="VPG2459" s="53"/>
      <c r="VPH2459" s="53"/>
      <c r="VPI2459" s="53"/>
      <c r="VPJ2459" s="60"/>
      <c r="VPK2459" s="53"/>
      <c r="VPL2459" s="53"/>
      <c r="VPM2459" s="53"/>
      <c r="VPN2459" s="61"/>
      <c r="VPO2459" s="53"/>
      <c r="VPP2459" s="53"/>
      <c r="VPQ2459" s="53"/>
      <c r="VPR2459" s="60"/>
      <c r="VPS2459" s="53"/>
      <c r="VPT2459" s="53"/>
      <c r="VPU2459" s="53"/>
      <c r="VPV2459" s="61"/>
      <c r="VPW2459" s="53"/>
      <c r="VPX2459" s="53"/>
      <c r="VPY2459" s="53"/>
      <c r="VPZ2459" s="60"/>
      <c r="VQA2459" s="53"/>
      <c r="VQB2459" s="53"/>
      <c r="VQC2459" s="53"/>
      <c r="VQD2459" s="61"/>
      <c r="VQE2459" s="53"/>
      <c r="VQF2459" s="53"/>
      <c r="VQG2459" s="53"/>
      <c r="VQH2459" s="60"/>
      <c r="VQI2459" s="53"/>
      <c r="VQJ2459" s="53"/>
      <c r="VQK2459" s="53"/>
      <c r="VQL2459" s="61"/>
      <c r="VQM2459" s="53"/>
      <c r="VQN2459" s="53"/>
      <c r="VQO2459" s="53"/>
      <c r="VQP2459" s="60"/>
      <c r="VQQ2459" s="53"/>
      <c r="VQR2459" s="53"/>
      <c r="VQS2459" s="53"/>
      <c r="VQT2459" s="61"/>
      <c r="VQU2459" s="53"/>
      <c r="VQV2459" s="53"/>
      <c r="VQW2459" s="53"/>
      <c r="VQX2459" s="60"/>
      <c r="VQY2459" s="53"/>
      <c r="VQZ2459" s="53"/>
      <c r="VRA2459" s="53"/>
      <c r="VRB2459" s="61"/>
      <c r="VRC2459" s="53"/>
      <c r="VRD2459" s="53"/>
      <c r="VRE2459" s="53"/>
      <c r="VRF2459" s="60"/>
      <c r="VRG2459" s="53"/>
      <c r="VRH2459" s="53"/>
      <c r="VRI2459" s="53"/>
      <c r="VRJ2459" s="61"/>
      <c r="VRK2459" s="53"/>
      <c r="VRL2459" s="53"/>
      <c r="VRM2459" s="53"/>
      <c r="VRN2459" s="60"/>
      <c r="VRO2459" s="53"/>
      <c r="VRP2459" s="53"/>
      <c r="VRQ2459" s="53"/>
      <c r="VRR2459" s="61"/>
      <c r="VRS2459" s="53"/>
      <c r="VRT2459" s="53"/>
      <c r="VRU2459" s="53"/>
      <c r="VRV2459" s="60"/>
      <c r="VRW2459" s="53"/>
      <c r="VRX2459" s="53"/>
      <c r="VRY2459" s="53"/>
      <c r="VRZ2459" s="61"/>
      <c r="VSA2459" s="53"/>
      <c r="VSB2459" s="53"/>
      <c r="VSC2459" s="53"/>
      <c r="VSD2459" s="60"/>
      <c r="VSE2459" s="53"/>
      <c r="VSF2459" s="53"/>
      <c r="VSG2459" s="53"/>
      <c r="VSH2459" s="61"/>
      <c r="VSI2459" s="53"/>
      <c r="VSJ2459" s="53"/>
      <c r="VSK2459" s="53"/>
      <c r="VSL2459" s="60"/>
      <c r="VSM2459" s="53"/>
      <c r="VSN2459" s="53"/>
      <c r="VSO2459" s="53"/>
      <c r="VSP2459" s="61"/>
      <c r="VSQ2459" s="53"/>
      <c r="VSR2459" s="53"/>
      <c r="VSS2459" s="53"/>
      <c r="VST2459" s="60"/>
      <c r="VSU2459" s="53"/>
      <c r="VSV2459" s="53"/>
      <c r="VSW2459" s="53"/>
      <c r="VSX2459" s="61"/>
      <c r="VSY2459" s="53"/>
      <c r="VSZ2459" s="53"/>
      <c r="VTA2459" s="53"/>
      <c r="VTB2459" s="60"/>
      <c r="VTC2459" s="53"/>
      <c r="VTD2459" s="53"/>
      <c r="VTE2459" s="53"/>
      <c r="VTF2459" s="61"/>
      <c r="VTG2459" s="53"/>
      <c r="VTH2459" s="53"/>
      <c r="VTI2459" s="53"/>
      <c r="VTJ2459" s="60"/>
      <c r="VTK2459" s="53"/>
      <c r="VTL2459" s="53"/>
      <c r="VTM2459" s="53"/>
      <c r="VTN2459" s="61"/>
      <c r="VTO2459" s="53"/>
      <c r="VTP2459" s="53"/>
      <c r="VTQ2459" s="53"/>
      <c r="VTR2459" s="60"/>
      <c r="VTS2459" s="53"/>
      <c r="VTT2459" s="53"/>
      <c r="VTU2459" s="53"/>
      <c r="VTV2459" s="61"/>
      <c r="VTW2459" s="53"/>
      <c r="VTX2459" s="53"/>
      <c r="VTY2459" s="53"/>
      <c r="VTZ2459" s="60"/>
      <c r="VUA2459" s="53"/>
      <c r="VUB2459" s="53"/>
      <c r="VUC2459" s="53"/>
      <c r="VUD2459" s="61"/>
      <c r="VUE2459" s="53"/>
      <c r="VUF2459" s="53"/>
      <c r="VUG2459" s="53"/>
      <c r="VUH2459" s="60"/>
      <c r="VUI2459" s="53"/>
      <c r="VUJ2459" s="53"/>
      <c r="VUK2459" s="53"/>
      <c r="VUL2459" s="61"/>
      <c r="VUM2459" s="53"/>
      <c r="VUN2459" s="53"/>
      <c r="VUO2459" s="53"/>
      <c r="VUP2459" s="60"/>
      <c r="VUQ2459" s="53"/>
      <c r="VUR2459" s="53"/>
      <c r="VUS2459" s="53"/>
      <c r="VUT2459" s="61"/>
      <c r="VUU2459" s="53"/>
      <c r="VUV2459" s="53"/>
      <c r="VUW2459" s="53"/>
      <c r="VUX2459" s="60"/>
      <c r="VUY2459" s="53"/>
      <c r="VUZ2459" s="53"/>
      <c r="VVA2459" s="53"/>
      <c r="VVB2459" s="61"/>
      <c r="VVC2459" s="53"/>
      <c r="VVD2459" s="53"/>
      <c r="VVE2459" s="53"/>
      <c r="VVF2459" s="60"/>
      <c r="VVG2459" s="53"/>
      <c r="VVH2459" s="53"/>
      <c r="VVI2459" s="53"/>
      <c r="VVJ2459" s="61"/>
      <c r="VVK2459" s="53"/>
      <c r="VVL2459" s="53"/>
      <c r="VVM2459" s="53"/>
      <c r="VVN2459" s="60"/>
      <c r="VVO2459" s="53"/>
      <c r="VVP2459" s="53"/>
      <c r="VVQ2459" s="53"/>
      <c r="VVR2459" s="61"/>
      <c r="VVS2459" s="53"/>
      <c r="VVT2459" s="53"/>
      <c r="VVU2459" s="53"/>
      <c r="VVV2459" s="60"/>
      <c r="VVW2459" s="53"/>
      <c r="VVX2459" s="53"/>
      <c r="VVY2459" s="53"/>
      <c r="VVZ2459" s="61"/>
      <c r="VWA2459" s="53"/>
      <c r="VWB2459" s="53"/>
      <c r="VWC2459" s="53"/>
      <c r="VWD2459" s="60"/>
      <c r="VWE2459" s="53"/>
      <c r="VWF2459" s="53"/>
      <c r="VWG2459" s="53"/>
      <c r="VWH2459" s="61"/>
      <c r="VWI2459" s="53"/>
      <c r="VWJ2459" s="53"/>
      <c r="VWK2459" s="53"/>
      <c r="VWL2459" s="60"/>
      <c r="VWM2459" s="53"/>
      <c r="VWN2459" s="53"/>
      <c r="VWO2459" s="53"/>
      <c r="VWP2459" s="61"/>
      <c r="VWQ2459" s="53"/>
      <c r="VWR2459" s="53"/>
      <c r="VWS2459" s="53"/>
      <c r="VWT2459" s="60"/>
      <c r="VWU2459" s="53"/>
      <c r="VWV2459" s="53"/>
      <c r="VWW2459" s="53"/>
      <c r="VWX2459" s="61"/>
      <c r="VWY2459" s="53"/>
      <c r="VWZ2459" s="53"/>
      <c r="VXA2459" s="53"/>
      <c r="VXB2459" s="60"/>
      <c r="VXC2459" s="53"/>
      <c r="VXD2459" s="53"/>
      <c r="VXE2459" s="53"/>
      <c r="VXF2459" s="61"/>
      <c r="VXG2459" s="53"/>
      <c r="VXH2459" s="53"/>
      <c r="VXI2459" s="53"/>
      <c r="VXJ2459" s="60"/>
      <c r="VXK2459" s="53"/>
      <c r="VXL2459" s="53"/>
      <c r="VXM2459" s="53"/>
      <c r="VXN2459" s="61"/>
      <c r="VXO2459" s="53"/>
      <c r="VXP2459" s="53"/>
      <c r="VXQ2459" s="53"/>
      <c r="VXR2459" s="60"/>
      <c r="VXS2459" s="53"/>
      <c r="VXT2459" s="53"/>
      <c r="VXU2459" s="53"/>
      <c r="VXV2459" s="61"/>
      <c r="VXW2459" s="53"/>
      <c r="VXX2459" s="53"/>
      <c r="VXY2459" s="53"/>
      <c r="VXZ2459" s="60"/>
      <c r="VYA2459" s="53"/>
      <c r="VYB2459" s="53"/>
      <c r="VYC2459" s="53"/>
      <c r="VYD2459" s="61"/>
      <c r="VYE2459" s="53"/>
      <c r="VYF2459" s="53"/>
      <c r="VYG2459" s="53"/>
      <c r="VYH2459" s="60"/>
      <c r="VYI2459" s="53"/>
      <c r="VYJ2459" s="53"/>
      <c r="VYK2459" s="53"/>
      <c r="VYL2459" s="61"/>
      <c r="VYM2459" s="53"/>
      <c r="VYN2459" s="53"/>
      <c r="VYO2459" s="53"/>
      <c r="VYP2459" s="60"/>
      <c r="VYQ2459" s="53"/>
      <c r="VYR2459" s="53"/>
      <c r="VYS2459" s="53"/>
      <c r="VYT2459" s="61"/>
      <c r="VYU2459" s="53"/>
      <c r="VYV2459" s="53"/>
      <c r="VYW2459" s="53"/>
      <c r="VYX2459" s="60"/>
      <c r="VYY2459" s="53"/>
      <c r="VYZ2459" s="53"/>
      <c r="VZA2459" s="53"/>
      <c r="VZB2459" s="61"/>
      <c r="VZC2459" s="53"/>
      <c r="VZD2459" s="53"/>
      <c r="VZE2459" s="53"/>
      <c r="VZF2459" s="60"/>
      <c r="VZG2459" s="53"/>
      <c r="VZH2459" s="53"/>
      <c r="VZI2459" s="53"/>
      <c r="VZJ2459" s="61"/>
      <c r="VZK2459" s="53"/>
      <c r="VZL2459" s="53"/>
      <c r="VZM2459" s="53"/>
      <c r="VZN2459" s="60"/>
      <c r="VZO2459" s="53"/>
      <c r="VZP2459" s="53"/>
      <c r="VZQ2459" s="53"/>
      <c r="VZR2459" s="61"/>
      <c r="VZS2459" s="53"/>
      <c r="VZT2459" s="53"/>
      <c r="VZU2459" s="53"/>
      <c r="VZV2459" s="60"/>
      <c r="VZW2459" s="53"/>
      <c r="VZX2459" s="53"/>
      <c r="VZY2459" s="53"/>
      <c r="VZZ2459" s="61"/>
      <c r="WAA2459" s="53"/>
      <c r="WAB2459" s="53"/>
      <c r="WAC2459" s="53"/>
      <c r="WAD2459" s="60"/>
      <c r="WAE2459" s="53"/>
      <c r="WAF2459" s="53"/>
      <c r="WAG2459" s="53"/>
      <c r="WAH2459" s="61"/>
      <c r="WAI2459" s="53"/>
      <c r="WAJ2459" s="53"/>
      <c r="WAK2459" s="53"/>
      <c r="WAL2459" s="60"/>
      <c r="WAM2459" s="53"/>
      <c r="WAN2459" s="53"/>
      <c r="WAO2459" s="53"/>
      <c r="WAP2459" s="61"/>
      <c r="WAQ2459" s="53"/>
      <c r="WAR2459" s="53"/>
      <c r="WAS2459" s="53"/>
      <c r="WAT2459" s="60"/>
      <c r="WAU2459" s="53"/>
      <c r="WAV2459" s="53"/>
      <c r="WAW2459" s="53"/>
      <c r="WAX2459" s="61"/>
      <c r="WAY2459" s="53"/>
      <c r="WAZ2459" s="53"/>
      <c r="WBA2459" s="53"/>
      <c r="WBB2459" s="60"/>
      <c r="WBC2459" s="53"/>
      <c r="WBD2459" s="53"/>
      <c r="WBE2459" s="53"/>
      <c r="WBF2459" s="61"/>
      <c r="WBG2459" s="53"/>
      <c r="WBH2459" s="53"/>
      <c r="WBI2459" s="53"/>
      <c r="WBJ2459" s="60"/>
      <c r="WBK2459" s="53"/>
      <c r="WBL2459" s="53"/>
      <c r="WBM2459" s="53"/>
      <c r="WBN2459" s="61"/>
      <c r="WBO2459" s="53"/>
      <c r="WBP2459" s="53"/>
      <c r="WBQ2459" s="53"/>
      <c r="WBR2459" s="60"/>
      <c r="WBS2459" s="53"/>
      <c r="WBT2459" s="53"/>
      <c r="WBU2459" s="53"/>
      <c r="WBV2459" s="61"/>
      <c r="WBW2459" s="53"/>
      <c r="WBX2459" s="53"/>
      <c r="WBY2459" s="53"/>
      <c r="WBZ2459" s="60"/>
      <c r="WCA2459" s="53"/>
      <c r="WCB2459" s="53"/>
      <c r="WCC2459" s="53"/>
      <c r="WCD2459" s="61"/>
      <c r="WCE2459" s="53"/>
      <c r="WCF2459" s="53"/>
      <c r="WCG2459" s="53"/>
      <c r="WCH2459" s="60"/>
      <c r="WCI2459" s="53"/>
      <c r="WCJ2459" s="53"/>
      <c r="WCK2459" s="53"/>
      <c r="WCL2459" s="61"/>
      <c r="WCM2459" s="53"/>
      <c r="WCN2459" s="53"/>
      <c r="WCO2459" s="53"/>
      <c r="WCP2459" s="60"/>
      <c r="WCQ2459" s="53"/>
      <c r="WCR2459" s="53"/>
      <c r="WCS2459" s="53"/>
      <c r="WCT2459" s="61"/>
      <c r="WCU2459" s="53"/>
      <c r="WCV2459" s="53"/>
      <c r="WCW2459" s="53"/>
      <c r="WCX2459" s="60"/>
      <c r="WCY2459" s="53"/>
      <c r="WCZ2459" s="53"/>
      <c r="WDA2459" s="53"/>
      <c r="WDB2459" s="61"/>
      <c r="WDC2459" s="53"/>
      <c r="WDD2459" s="53"/>
      <c r="WDE2459" s="53"/>
      <c r="WDF2459" s="60"/>
      <c r="WDG2459" s="53"/>
      <c r="WDH2459" s="53"/>
      <c r="WDI2459" s="53"/>
      <c r="WDJ2459" s="61"/>
      <c r="WDK2459" s="53"/>
      <c r="WDL2459" s="53"/>
      <c r="WDM2459" s="53"/>
      <c r="WDN2459" s="60"/>
      <c r="WDO2459" s="53"/>
      <c r="WDP2459" s="53"/>
      <c r="WDQ2459" s="53"/>
      <c r="WDR2459" s="61"/>
      <c r="WDS2459" s="53"/>
      <c r="WDT2459" s="53"/>
      <c r="WDU2459" s="53"/>
      <c r="WDV2459" s="60"/>
      <c r="WDW2459" s="53"/>
      <c r="WDX2459" s="53"/>
      <c r="WDY2459" s="53"/>
      <c r="WDZ2459" s="61"/>
      <c r="WEA2459" s="53"/>
      <c r="WEB2459" s="53"/>
      <c r="WEC2459" s="53"/>
      <c r="WED2459" s="60"/>
      <c r="WEE2459" s="53"/>
      <c r="WEF2459" s="53"/>
      <c r="WEG2459" s="53"/>
      <c r="WEH2459" s="61"/>
      <c r="WEI2459" s="53"/>
      <c r="WEJ2459" s="53"/>
      <c r="WEK2459" s="53"/>
      <c r="WEL2459" s="60"/>
      <c r="WEM2459" s="53"/>
      <c r="WEN2459" s="53"/>
      <c r="WEO2459" s="53"/>
      <c r="WEP2459" s="61"/>
      <c r="WEQ2459" s="53"/>
      <c r="WER2459" s="53"/>
      <c r="WES2459" s="53"/>
      <c r="WET2459" s="60"/>
      <c r="WEU2459" s="53"/>
      <c r="WEV2459" s="53"/>
      <c r="WEW2459" s="53"/>
      <c r="WEX2459" s="61"/>
      <c r="WEY2459" s="53"/>
      <c r="WEZ2459" s="53"/>
      <c r="WFA2459" s="53"/>
      <c r="WFB2459" s="60"/>
      <c r="WFC2459" s="53"/>
      <c r="WFD2459" s="53"/>
      <c r="WFE2459" s="53"/>
      <c r="WFF2459" s="61"/>
      <c r="WFG2459" s="53"/>
      <c r="WFH2459" s="53"/>
      <c r="WFI2459" s="53"/>
      <c r="WFJ2459" s="60"/>
      <c r="WFK2459" s="53"/>
      <c r="WFL2459" s="53"/>
      <c r="WFM2459" s="53"/>
      <c r="WFN2459" s="61"/>
      <c r="WFO2459" s="53"/>
      <c r="WFP2459" s="53"/>
      <c r="WFQ2459" s="53"/>
      <c r="WFR2459" s="60"/>
      <c r="WFS2459" s="53"/>
      <c r="WFT2459" s="53"/>
      <c r="WFU2459" s="53"/>
      <c r="WFV2459" s="61"/>
      <c r="WFW2459" s="53"/>
      <c r="WFX2459" s="53"/>
      <c r="WFY2459" s="53"/>
      <c r="WFZ2459" s="60"/>
      <c r="WGA2459" s="53"/>
      <c r="WGB2459" s="53"/>
      <c r="WGC2459" s="53"/>
      <c r="WGD2459" s="61"/>
      <c r="WGE2459" s="53"/>
      <c r="WGF2459" s="53"/>
      <c r="WGG2459" s="53"/>
      <c r="WGH2459" s="60"/>
      <c r="WGI2459" s="53"/>
      <c r="WGJ2459" s="53"/>
      <c r="WGK2459" s="53"/>
      <c r="WGL2459" s="61"/>
      <c r="WGM2459" s="53"/>
      <c r="WGN2459" s="53"/>
      <c r="WGO2459" s="53"/>
      <c r="WGP2459" s="60"/>
      <c r="WGQ2459" s="53"/>
      <c r="WGR2459" s="53"/>
      <c r="WGS2459" s="53"/>
      <c r="WGT2459" s="61"/>
      <c r="WGU2459" s="53"/>
      <c r="WGV2459" s="53"/>
      <c r="WGW2459" s="53"/>
      <c r="WGX2459" s="60"/>
      <c r="WGY2459" s="53"/>
      <c r="WGZ2459" s="53"/>
      <c r="WHA2459" s="53"/>
      <c r="WHB2459" s="61"/>
      <c r="WHC2459" s="53"/>
      <c r="WHD2459" s="53"/>
      <c r="WHE2459" s="53"/>
      <c r="WHF2459" s="60"/>
      <c r="WHG2459" s="53"/>
      <c r="WHH2459" s="53"/>
      <c r="WHI2459" s="53"/>
      <c r="WHJ2459" s="61"/>
      <c r="WHK2459" s="53"/>
      <c r="WHL2459" s="53"/>
      <c r="WHM2459" s="53"/>
      <c r="WHN2459" s="60"/>
      <c r="WHO2459" s="53"/>
      <c r="WHP2459" s="53"/>
      <c r="WHQ2459" s="53"/>
      <c r="WHR2459" s="61"/>
      <c r="WHS2459" s="53"/>
      <c r="WHT2459" s="53"/>
      <c r="WHU2459" s="53"/>
      <c r="WHV2459" s="60"/>
      <c r="WHW2459" s="53"/>
      <c r="WHX2459" s="53"/>
      <c r="WHY2459" s="53"/>
      <c r="WHZ2459" s="61"/>
      <c r="WIA2459" s="53"/>
      <c r="WIB2459" s="53"/>
      <c r="WIC2459" s="53"/>
      <c r="WID2459" s="60"/>
      <c r="WIE2459" s="53"/>
      <c r="WIF2459" s="53"/>
      <c r="WIG2459" s="53"/>
      <c r="WIH2459" s="61"/>
      <c r="WII2459" s="53"/>
      <c r="WIJ2459" s="53"/>
      <c r="WIK2459" s="53"/>
      <c r="WIL2459" s="60"/>
      <c r="WIM2459" s="53"/>
      <c r="WIN2459" s="53"/>
      <c r="WIO2459" s="53"/>
      <c r="WIP2459" s="61"/>
      <c r="WIQ2459" s="53"/>
      <c r="WIR2459" s="53"/>
      <c r="WIS2459" s="53"/>
      <c r="WIT2459" s="60"/>
      <c r="WIU2459" s="53"/>
      <c r="WIV2459" s="53"/>
      <c r="WIW2459" s="53"/>
      <c r="WIX2459" s="61"/>
      <c r="WIY2459" s="53"/>
      <c r="WIZ2459" s="53"/>
      <c r="WJA2459" s="53"/>
      <c r="WJB2459" s="60"/>
      <c r="WJC2459" s="53"/>
      <c r="WJD2459" s="53"/>
      <c r="WJE2459" s="53"/>
      <c r="WJF2459" s="61"/>
      <c r="WJG2459" s="53"/>
      <c r="WJH2459" s="53"/>
      <c r="WJI2459" s="53"/>
      <c r="WJJ2459" s="60"/>
      <c r="WJK2459" s="53"/>
      <c r="WJL2459" s="53"/>
      <c r="WJM2459" s="53"/>
      <c r="WJN2459" s="61"/>
      <c r="WJO2459" s="53"/>
      <c r="WJP2459" s="53"/>
      <c r="WJQ2459" s="53"/>
      <c r="WJR2459" s="60"/>
      <c r="WJS2459" s="53"/>
      <c r="WJT2459" s="53"/>
      <c r="WJU2459" s="53"/>
      <c r="WJV2459" s="61"/>
      <c r="WJW2459" s="53"/>
      <c r="WJX2459" s="53"/>
      <c r="WJY2459" s="53"/>
      <c r="WJZ2459" s="60"/>
      <c r="WKA2459" s="53"/>
      <c r="WKB2459" s="53"/>
      <c r="WKC2459" s="53"/>
      <c r="WKD2459" s="61"/>
      <c r="WKE2459" s="53"/>
      <c r="WKF2459" s="53"/>
      <c r="WKG2459" s="53"/>
      <c r="WKH2459" s="60"/>
      <c r="WKI2459" s="53"/>
      <c r="WKJ2459" s="53"/>
      <c r="WKK2459" s="53"/>
      <c r="WKL2459" s="61"/>
      <c r="WKM2459" s="53"/>
      <c r="WKN2459" s="53"/>
      <c r="WKO2459" s="53"/>
      <c r="WKP2459" s="60"/>
      <c r="WKQ2459" s="53"/>
      <c r="WKR2459" s="53"/>
      <c r="WKS2459" s="53"/>
      <c r="WKT2459" s="61"/>
      <c r="WKU2459" s="53"/>
      <c r="WKV2459" s="53"/>
      <c r="WKW2459" s="53"/>
      <c r="WKX2459" s="60"/>
      <c r="WKY2459" s="53"/>
      <c r="WKZ2459" s="53"/>
      <c r="WLA2459" s="53"/>
      <c r="WLB2459" s="61"/>
      <c r="WLC2459" s="53"/>
      <c r="WLD2459" s="53"/>
      <c r="WLE2459" s="53"/>
      <c r="WLF2459" s="60"/>
      <c r="WLG2459" s="53"/>
      <c r="WLH2459" s="53"/>
      <c r="WLI2459" s="53"/>
      <c r="WLJ2459" s="61"/>
      <c r="WLK2459" s="53"/>
      <c r="WLL2459" s="53"/>
      <c r="WLM2459" s="53"/>
      <c r="WLN2459" s="60"/>
      <c r="WLO2459" s="53"/>
      <c r="WLP2459" s="53"/>
      <c r="WLQ2459" s="53"/>
      <c r="WLR2459" s="61"/>
      <c r="WLS2459" s="53"/>
      <c r="WLT2459" s="53"/>
      <c r="WLU2459" s="53"/>
      <c r="WLV2459" s="60"/>
      <c r="WLW2459" s="53"/>
      <c r="WLX2459" s="53"/>
      <c r="WLY2459" s="53"/>
      <c r="WLZ2459" s="61"/>
      <c r="WMA2459" s="53"/>
      <c r="WMB2459" s="53"/>
      <c r="WMC2459" s="53"/>
      <c r="WMD2459" s="60"/>
      <c r="WME2459" s="53"/>
      <c r="WMF2459" s="53"/>
      <c r="WMG2459" s="53"/>
      <c r="WMH2459" s="61"/>
      <c r="WMI2459" s="53"/>
      <c r="WMJ2459" s="53"/>
      <c r="WMK2459" s="53"/>
      <c r="WML2459" s="60"/>
      <c r="WMM2459" s="53"/>
      <c r="WMN2459" s="53"/>
      <c r="WMO2459" s="53"/>
      <c r="WMP2459" s="61"/>
      <c r="WMQ2459" s="53"/>
      <c r="WMR2459" s="53"/>
      <c r="WMS2459" s="53"/>
      <c r="WMT2459" s="60"/>
      <c r="WMU2459" s="53"/>
      <c r="WMV2459" s="53"/>
      <c r="WMW2459" s="53"/>
      <c r="WMX2459" s="61"/>
      <c r="WMY2459" s="53"/>
      <c r="WMZ2459" s="53"/>
      <c r="WNA2459" s="53"/>
      <c r="WNB2459" s="60"/>
      <c r="WNC2459" s="53"/>
      <c r="WND2459" s="53"/>
      <c r="WNE2459" s="53"/>
      <c r="WNF2459" s="61"/>
      <c r="WNG2459" s="53"/>
      <c r="WNH2459" s="53"/>
      <c r="WNI2459" s="53"/>
      <c r="WNJ2459" s="60"/>
      <c r="WNK2459" s="53"/>
      <c r="WNL2459" s="53"/>
      <c r="WNM2459" s="53"/>
      <c r="WNN2459" s="61"/>
      <c r="WNO2459" s="53"/>
      <c r="WNP2459" s="53"/>
      <c r="WNQ2459" s="53"/>
      <c r="WNR2459" s="60"/>
      <c r="WNS2459" s="53"/>
      <c r="WNT2459" s="53"/>
      <c r="WNU2459" s="53"/>
      <c r="WNV2459" s="61"/>
      <c r="WNW2459" s="53"/>
      <c r="WNX2459" s="53"/>
      <c r="WNY2459" s="53"/>
      <c r="WNZ2459" s="60"/>
      <c r="WOA2459" s="53"/>
      <c r="WOB2459" s="53"/>
      <c r="WOC2459" s="53"/>
      <c r="WOD2459" s="61"/>
      <c r="WOE2459" s="53"/>
      <c r="WOF2459" s="53"/>
      <c r="WOG2459" s="53"/>
      <c r="WOH2459" s="60"/>
      <c r="WOI2459" s="53"/>
      <c r="WOJ2459" s="53"/>
      <c r="WOK2459" s="53"/>
      <c r="WOL2459" s="61"/>
      <c r="WOM2459" s="53"/>
      <c r="WON2459" s="53"/>
      <c r="WOO2459" s="53"/>
      <c r="WOP2459" s="60"/>
      <c r="WOQ2459" s="53"/>
      <c r="WOR2459" s="53"/>
      <c r="WOS2459" s="53"/>
      <c r="WOT2459" s="61"/>
      <c r="WOU2459" s="53"/>
      <c r="WOV2459" s="53"/>
      <c r="WOW2459" s="53"/>
      <c r="WOX2459" s="60"/>
      <c r="WOY2459" s="53"/>
      <c r="WOZ2459" s="53"/>
      <c r="WPA2459" s="53"/>
      <c r="WPB2459" s="61"/>
      <c r="WPC2459" s="53"/>
      <c r="WPD2459" s="53"/>
      <c r="WPE2459" s="53"/>
      <c r="WPF2459" s="60"/>
      <c r="WPG2459" s="53"/>
      <c r="WPH2459" s="53"/>
      <c r="WPI2459" s="53"/>
      <c r="WPJ2459" s="61"/>
      <c r="WPK2459" s="53"/>
      <c r="WPL2459" s="53"/>
      <c r="WPM2459" s="53"/>
      <c r="WPN2459" s="60"/>
      <c r="WPO2459" s="53"/>
      <c r="WPP2459" s="53"/>
      <c r="WPQ2459" s="53"/>
      <c r="WPR2459" s="61"/>
      <c r="WPS2459" s="53"/>
      <c r="WPT2459" s="53"/>
      <c r="WPU2459" s="53"/>
      <c r="WPV2459" s="60"/>
      <c r="WPW2459" s="53"/>
      <c r="WPX2459" s="53"/>
      <c r="WPY2459" s="53"/>
      <c r="WPZ2459" s="61"/>
      <c r="WQA2459" s="53"/>
      <c r="WQB2459" s="53"/>
      <c r="WQC2459" s="53"/>
      <c r="WQD2459" s="60"/>
      <c r="WQE2459" s="53"/>
      <c r="WQF2459" s="53"/>
      <c r="WQG2459" s="53"/>
      <c r="WQH2459" s="61"/>
      <c r="WQI2459" s="53"/>
      <c r="WQJ2459" s="53"/>
      <c r="WQK2459" s="53"/>
      <c r="WQL2459" s="60"/>
      <c r="WQM2459" s="53"/>
      <c r="WQN2459" s="53"/>
      <c r="WQO2459" s="53"/>
      <c r="WQP2459" s="61"/>
      <c r="WQQ2459" s="53"/>
      <c r="WQR2459" s="53"/>
      <c r="WQS2459" s="53"/>
      <c r="WQT2459" s="60"/>
      <c r="WQU2459" s="53"/>
      <c r="WQV2459" s="53"/>
      <c r="WQW2459" s="53"/>
      <c r="WQX2459" s="61"/>
      <c r="WQY2459" s="53"/>
      <c r="WQZ2459" s="53"/>
      <c r="WRA2459" s="53"/>
      <c r="WRB2459" s="60"/>
      <c r="WRC2459" s="53"/>
      <c r="WRD2459" s="53"/>
      <c r="WRE2459" s="53"/>
      <c r="WRF2459" s="61"/>
      <c r="WRG2459" s="53"/>
      <c r="WRH2459" s="53"/>
      <c r="WRI2459" s="53"/>
      <c r="WRJ2459" s="60"/>
      <c r="WRK2459" s="53"/>
      <c r="WRL2459" s="53"/>
      <c r="WRM2459" s="53"/>
      <c r="WRN2459" s="61"/>
      <c r="WRO2459" s="53"/>
      <c r="WRP2459" s="53"/>
      <c r="WRQ2459" s="53"/>
      <c r="WRR2459" s="60"/>
      <c r="WRS2459" s="53"/>
      <c r="WRT2459" s="53"/>
      <c r="WRU2459" s="53"/>
      <c r="WRV2459" s="61"/>
      <c r="WRW2459" s="53"/>
      <c r="WRX2459" s="53"/>
      <c r="WRY2459" s="53"/>
      <c r="WRZ2459" s="60"/>
      <c r="WSA2459" s="53"/>
      <c r="WSB2459" s="53"/>
      <c r="WSC2459" s="53"/>
      <c r="WSD2459" s="61"/>
      <c r="WSE2459" s="53"/>
      <c r="WSF2459" s="53"/>
      <c r="WSG2459" s="53"/>
      <c r="WSH2459" s="60"/>
      <c r="WSI2459" s="53"/>
      <c r="WSJ2459" s="53"/>
      <c r="WSK2459" s="53"/>
      <c r="WSL2459" s="61"/>
      <c r="WSM2459" s="53"/>
      <c r="WSN2459" s="53"/>
      <c r="WSO2459" s="53"/>
      <c r="WSP2459" s="60"/>
      <c r="WSQ2459" s="53"/>
      <c r="WSR2459" s="53"/>
      <c r="WSS2459" s="53"/>
      <c r="WST2459" s="61"/>
      <c r="WSU2459" s="53"/>
      <c r="WSV2459" s="53"/>
      <c r="WSW2459" s="53"/>
      <c r="WSX2459" s="60"/>
      <c r="WSY2459" s="53"/>
      <c r="WSZ2459" s="53"/>
      <c r="WTA2459" s="53"/>
      <c r="WTB2459" s="61"/>
      <c r="WTC2459" s="53"/>
      <c r="WTD2459" s="53"/>
      <c r="WTE2459" s="53"/>
      <c r="WTF2459" s="60"/>
      <c r="WTG2459" s="53"/>
      <c r="WTH2459" s="53"/>
      <c r="WTI2459" s="53"/>
      <c r="WTJ2459" s="61"/>
      <c r="WTK2459" s="53"/>
      <c r="WTL2459" s="53"/>
      <c r="WTM2459" s="53"/>
      <c r="WTN2459" s="60"/>
      <c r="WTO2459" s="53"/>
      <c r="WTP2459" s="53"/>
      <c r="WTQ2459" s="53"/>
      <c r="WTR2459" s="61"/>
      <c r="WTS2459" s="53"/>
      <c r="WTT2459" s="53"/>
      <c r="WTU2459" s="53"/>
      <c r="WTV2459" s="60"/>
      <c r="WTW2459" s="53"/>
      <c r="WTX2459" s="53"/>
      <c r="WTY2459" s="53"/>
      <c r="WTZ2459" s="61"/>
      <c r="WUA2459" s="53"/>
      <c r="WUB2459" s="53"/>
      <c r="WUC2459" s="53"/>
      <c r="WUD2459" s="60"/>
      <c r="WUE2459" s="53"/>
      <c r="WUF2459" s="53"/>
      <c r="WUG2459" s="53"/>
      <c r="WUH2459" s="61"/>
      <c r="WUI2459" s="53"/>
      <c r="WUJ2459" s="53"/>
      <c r="WUK2459" s="53"/>
      <c r="WUL2459" s="60"/>
      <c r="WUM2459" s="53"/>
      <c r="WUN2459" s="53"/>
      <c r="WUO2459" s="53"/>
      <c r="WUP2459" s="61"/>
      <c r="WUQ2459" s="53"/>
      <c r="WUR2459" s="53"/>
      <c r="WUS2459" s="53"/>
      <c r="WUT2459" s="60"/>
      <c r="WUU2459" s="53"/>
      <c r="WUV2459" s="53"/>
      <c r="WUW2459" s="53"/>
      <c r="WUX2459" s="61"/>
      <c r="WUY2459" s="53"/>
      <c r="WUZ2459" s="53"/>
      <c r="WVA2459" s="53"/>
      <c r="WVB2459" s="60"/>
      <c r="WVC2459" s="53"/>
      <c r="WVD2459" s="53"/>
      <c r="WVE2459" s="53"/>
      <c r="WVF2459" s="61"/>
      <c r="WVG2459" s="53"/>
      <c r="WVH2459" s="53"/>
      <c r="WVI2459" s="53"/>
      <c r="WVJ2459" s="60"/>
      <c r="WVK2459" s="53"/>
      <c r="WVL2459" s="53"/>
      <c r="WVM2459" s="53"/>
      <c r="WVN2459" s="61"/>
      <c r="WVO2459" s="53"/>
      <c r="WVP2459" s="53"/>
      <c r="WVQ2459" s="53"/>
      <c r="WVR2459" s="60"/>
      <c r="WVS2459" s="53"/>
      <c r="WVT2459" s="53"/>
      <c r="WVU2459" s="53"/>
      <c r="WVV2459" s="61"/>
      <c r="WVW2459" s="53"/>
      <c r="WVX2459" s="53"/>
      <c r="WVY2459" s="53"/>
      <c r="WVZ2459" s="60"/>
      <c r="WWA2459" s="53"/>
      <c r="WWB2459" s="53"/>
      <c r="WWC2459" s="53"/>
      <c r="WWD2459" s="61"/>
      <c r="WWE2459" s="53"/>
      <c r="WWF2459" s="53"/>
      <c r="WWG2459" s="53"/>
      <c r="WWH2459" s="60"/>
      <c r="WWI2459" s="53"/>
      <c r="WWJ2459" s="53"/>
      <c r="WWK2459" s="53"/>
      <c r="WWL2459" s="61"/>
      <c r="WWM2459" s="53"/>
      <c r="WWN2459" s="53"/>
      <c r="WWO2459" s="53"/>
      <c r="WWP2459" s="60"/>
      <c r="WWQ2459" s="53"/>
      <c r="WWR2459" s="53"/>
      <c r="WWS2459" s="53"/>
      <c r="WWT2459" s="61"/>
      <c r="WWU2459" s="53"/>
      <c r="WWV2459" s="53"/>
      <c r="WWW2459" s="53"/>
      <c r="WWX2459" s="60"/>
      <c r="WWY2459" s="53"/>
      <c r="WWZ2459" s="53"/>
      <c r="WXA2459" s="53"/>
      <c r="WXB2459" s="61"/>
      <c r="WXC2459" s="53"/>
      <c r="WXD2459" s="53"/>
      <c r="WXE2459" s="53"/>
      <c r="WXF2459" s="60"/>
      <c r="WXG2459" s="53"/>
      <c r="WXH2459" s="53"/>
      <c r="WXI2459" s="53"/>
      <c r="WXJ2459" s="61"/>
      <c r="WXK2459" s="53"/>
      <c r="WXL2459" s="53"/>
      <c r="WXM2459" s="53"/>
      <c r="WXN2459" s="60"/>
      <c r="WXO2459" s="53"/>
      <c r="WXP2459" s="53"/>
      <c r="WXQ2459" s="53"/>
      <c r="WXR2459" s="61"/>
      <c r="WXS2459" s="53"/>
      <c r="WXT2459" s="53"/>
      <c r="WXU2459" s="53"/>
      <c r="WXV2459" s="60"/>
      <c r="WXW2459" s="53"/>
      <c r="WXX2459" s="53"/>
      <c r="WXY2459" s="53"/>
      <c r="WXZ2459" s="61"/>
      <c r="WYA2459" s="53"/>
      <c r="WYB2459" s="53"/>
      <c r="WYC2459" s="53"/>
      <c r="WYD2459" s="60"/>
      <c r="WYE2459" s="53"/>
      <c r="WYF2459" s="53"/>
      <c r="WYG2459" s="53"/>
      <c r="WYH2459" s="61"/>
      <c r="WYI2459" s="53"/>
      <c r="WYJ2459" s="53"/>
      <c r="WYK2459" s="53"/>
      <c r="WYL2459" s="60"/>
      <c r="WYM2459" s="53"/>
      <c r="WYN2459" s="53"/>
      <c r="WYO2459" s="53"/>
      <c r="WYP2459" s="61"/>
      <c r="WYQ2459" s="53"/>
      <c r="WYR2459" s="53"/>
      <c r="WYS2459" s="53"/>
      <c r="WYT2459" s="60"/>
      <c r="WYU2459" s="53"/>
      <c r="WYV2459" s="53"/>
      <c r="WYW2459" s="53"/>
      <c r="WYX2459" s="61"/>
      <c r="WYY2459" s="53"/>
      <c r="WYZ2459" s="53"/>
      <c r="WZA2459" s="53"/>
      <c r="WZB2459" s="60"/>
      <c r="WZC2459" s="53"/>
      <c r="WZD2459" s="53"/>
      <c r="WZE2459" s="53"/>
      <c r="WZF2459" s="61"/>
      <c r="WZG2459" s="53"/>
      <c r="WZH2459" s="53"/>
      <c r="WZI2459" s="53"/>
      <c r="WZJ2459" s="60"/>
      <c r="WZK2459" s="53"/>
      <c r="WZL2459" s="53"/>
      <c r="WZM2459" s="53"/>
      <c r="WZN2459" s="61"/>
      <c r="WZO2459" s="53"/>
      <c r="WZP2459" s="53"/>
      <c r="WZQ2459" s="53"/>
      <c r="WZR2459" s="60"/>
      <c r="WZS2459" s="53"/>
      <c r="WZT2459" s="53"/>
      <c r="WZU2459" s="53"/>
      <c r="WZV2459" s="61"/>
      <c r="WZW2459" s="53"/>
      <c r="WZX2459" s="53"/>
      <c r="WZY2459" s="53"/>
      <c r="WZZ2459" s="60"/>
      <c r="XAA2459" s="53"/>
      <c r="XAB2459" s="53"/>
      <c r="XAC2459" s="53"/>
      <c r="XAD2459" s="61"/>
      <c r="XAE2459" s="53"/>
      <c r="XAF2459" s="53"/>
      <c r="XAG2459" s="53"/>
      <c r="XAH2459" s="60"/>
      <c r="XAI2459" s="53"/>
      <c r="XAJ2459" s="53"/>
      <c r="XAK2459" s="53"/>
      <c r="XAL2459" s="61"/>
      <c r="XAM2459" s="53"/>
      <c r="XAN2459" s="53"/>
      <c r="XAO2459" s="53"/>
      <c r="XAP2459" s="60"/>
      <c r="XAQ2459" s="53"/>
      <c r="XAR2459" s="53"/>
      <c r="XAS2459" s="53"/>
      <c r="XAT2459" s="61"/>
      <c r="XAU2459" s="53"/>
      <c r="XAV2459" s="53"/>
      <c r="XAW2459" s="53"/>
      <c r="XAX2459" s="60"/>
      <c r="XAY2459" s="53"/>
      <c r="XAZ2459" s="53"/>
      <c r="XBA2459" s="53"/>
      <c r="XBB2459" s="61"/>
      <c r="XBC2459" s="53"/>
      <c r="XBD2459" s="53"/>
      <c r="XBE2459" s="53"/>
      <c r="XBF2459" s="60"/>
      <c r="XBG2459" s="53"/>
      <c r="XBH2459" s="53"/>
      <c r="XBI2459" s="53"/>
      <c r="XBJ2459" s="61"/>
      <c r="XBK2459" s="53"/>
      <c r="XBL2459" s="53"/>
      <c r="XBM2459" s="53"/>
      <c r="XBN2459" s="60"/>
      <c r="XBO2459" s="53"/>
      <c r="XBP2459" s="53"/>
      <c r="XBQ2459" s="53"/>
      <c r="XBR2459" s="61"/>
      <c r="XBS2459" s="53"/>
      <c r="XBT2459" s="53"/>
      <c r="XBU2459" s="53"/>
      <c r="XBV2459" s="60"/>
      <c r="XBW2459" s="53"/>
      <c r="XBX2459" s="53"/>
      <c r="XBY2459" s="53"/>
      <c r="XBZ2459" s="61"/>
      <c r="XCA2459" s="53"/>
      <c r="XCB2459" s="53"/>
      <c r="XCC2459" s="53"/>
      <c r="XCD2459" s="60"/>
      <c r="XCE2459" s="53"/>
      <c r="XCF2459" s="53"/>
      <c r="XCG2459" s="53"/>
      <c r="XCH2459" s="61"/>
      <c r="XCI2459" s="53"/>
      <c r="XCJ2459" s="53"/>
      <c r="XCK2459" s="53"/>
      <c r="XCL2459" s="60"/>
      <c r="XCM2459" s="53"/>
      <c r="XCN2459" s="53"/>
      <c r="XCO2459" s="53"/>
      <c r="XCP2459" s="61"/>
      <c r="XCQ2459" s="53"/>
      <c r="XCR2459" s="53"/>
      <c r="XCS2459" s="53"/>
      <c r="XCT2459" s="60"/>
      <c r="XCU2459" s="53"/>
      <c r="XCV2459" s="53"/>
      <c r="XCW2459" s="53"/>
      <c r="XCX2459" s="61"/>
      <c r="XCY2459" s="53"/>
      <c r="XCZ2459" s="53"/>
      <c r="XDA2459" s="53"/>
      <c r="XDB2459" s="60"/>
      <c r="XDC2459" s="53"/>
      <c r="XDD2459" s="53"/>
      <c r="XDE2459" s="53"/>
      <c r="XDF2459" s="61"/>
      <c r="XDG2459" s="53"/>
      <c r="XDH2459" s="53"/>
      <c r="XDI2459" s="53"/>
      <c r="XDJ2459" s="60"/>
      <c r="XDK2459" s="53"/>
      <c r="XDL2459" s="53"/>
      <c r="XDM2459" s="53"/>
      <c r="XDN2459" s="61"/>
      <c r="XDO2459" s="53"/>
      <c r="XDP2459" s="53"/>
      <c r="XDQ2459" s="53"/>
      <c r="XDR2459" s="60"/>
      <c r="XDS2459" s="53"/>
      <c r="XDT2459" s="53"/>
      <c r="XDU2459" s="53"/>
      <c r="XDV2459" s="61"/>
      <c r="XDW2459" s="53"/>
      <c r="XDX2459" s="53"/>
      <c r="XDY2459" s="53"/>
      <c r="XDZ2459" s="60"/>
      <c r="XEA2459" s="53"/>
      <c r="XEB2459" s="53"/>
      <c r="XEC2459" s="53"/>
      <c r="XED2459" s="61"/>
      <c r="XEE2459" s="53"/>
      <c r="XEF2459" s="53"/>
      <c r="XEG2459" s="53"/>
      <c r="XEH2459" s="60"/>
      <c r="XEI2459" s="53"/>
      <c r="XEJ2459" s="53"/>
      <c r="XEK2459" s="53"/>
      <c r="XEL2459" s="61"/>
      <c r="XEM2459" s="53"/>
      <c r="XEN2459" s="53"/>
      <c r="XEO2459" s="53"/>
      <c r="XEP2459" s="60"/>
      <c r="XEQ2459" s="53"/>
      <c r="XER2459" s="53"/>
      <c r="XES2459" s="53"/>
      <c r="XET2459" s="61"/>
      <c r="XEU2459" s="53"/>
      <c r="XEV2459" s="53"/>
      <c r="XEW2459" s="53"/>
    </row>
    <row r="2460" ht="18" customHeight="1" spans="1:16377">
      <c r="A2460" s="6" t="s">
        <v>8209</v>
      </c>
      <c r="B2460" s="6" t="s">
        <v>8257</v>
      </c>
      <c r="C2460" s="6" t="s">
        <v>16376</v>
      </c>
      <c r="D2460" s="5" t="s">
        <v>16374</v>
      </c>
      <c r="E2460" s="6" t="s">
        <v>16377</v>
      </c>
      <c r="F2460" s="7" t="s">
        <v>11535</v>
      </c>
      <c r="G2460" s="53"/>
      <c r="H2460" s="53"/>
      <c r="I2460" s="62"/>
      <c r="J2460" s="60"/>
      <c r="K2460" s="53"/>
      <c r="L2460" s="53"/>
      <c r="M2460" s="62"/>
      <c r="N2460" s="61"/>
      <c r="O2460" s="53"/>
      <c r="P2460" s="53"/>
      <c r="Q2460" s="62"/>
      <c r="R2460" s="60"/>
      <c r="S2460" s="53"/>
      <c r="T2460" s="53"/>
      <c r="U2460" s="62"/>
      <c r="V2460" s="61"/>
      <c r="W2460" s="53"/>
      <c r="X2460" s="53"/>
      <c r="Y2460" s="62"/>
      <c r="Z2460" s="60"/>
      <c r="AA2460" s="53"/>
      <c r="AB2460" s="53"/>
      <c r="AC2460" s="62"/>
      <c r="AD2460" s="61"/>
      <c r="AE2460" s="53"/>
      <c r="AF2460" s="53"/>
      <c r="AG2460" s="62"/>
      <c r="AH2460" s="60"/>
      <c r="AI2460" s="53"/>
      <c r="AJ2460" s="53"/>
      <c r="AK2460" s="62"/>
      <c r="AL2460" s="61"/>
      <c r="AM2460" s="53"/>
      <c r="AN2460" s="53"/>
      <c r="AO2460" s="62"/>
      <c r="AP2460" s="60"/>
      <c r="AQ2460" s="53"/>
      <c r="AR2460" s="53"/>
      <c r="AS2460" s="62"/>
      <c r="AT2460" s="61"/>
      <c r="AU2460" s="53"/>
      <c r="AV2460" s="53"/>
      <c r="AW2460" s="62"/>
      <c r="AX2460" s="60"/>
      <c r="AY2460" s="53"/>
      <c r="AZ2460" s="53"/>
      <c r="BA2460" s="62"/>
      <c r="BB2460" s="61"/>
      <c r="BC2460" s="53"/>
      <c r="BD2460" s="53"/>
      <c r="BE2460" s="62"/>
      <c r="BF2460" s="60"/>
      <c r="BG2460" s="53"/>
      <c r="BH2460" s="53"/>
      <c r="BI2460" s="62"/>
      <c r="BJ2460" s="61"/>
      <c r="BK2460" s="53"/>
      <c r="BL2460" s="53"/>
      <c r="BM2460" s="62"/>
      <c r="BN2460" s="60"/>
      <c r="BO2460" s="53"/>
      <c r="BP2460" s="53"/>
      <c r="BQ2460" s="62"/>
      <c r="BR2460" s="61"/>
      <c r="BS2460" s="53"/>
      <c r="BT2460" s="53"/>
      <c r="BU2460" s="62"/>
      <c r="BV2460" s="60"/>
      <c r="BW2460" s="53"/>
      <c r="BX2460" s="53"/>
      <c r="BY2460" s="62"/>
      <c r="BZ2460" s="61"/>
      <c r="CA2460" s="53"/>
      <c r="CB2460" s="53"/>
      <c r="CC2460" s="62"/>
      <c r="CD2460" s="60"/>
      <c r="CE2460" s="53"/>
      <c r="CF2460" s="53"/>
      <c r="CG2460" s="62"/>
      <c r="CH2460" s="61"/>
      <c r="CI2460" s="53"/>
      <c r="CJ2460" s="53"/>
      <c r="CK2460" s="62"/>
      <c r="CL2460" s="60"/>
      <c r="CM2460" s="53"/>
      <c r="CN2460" s="53"/>
      <c r="CO2460" s="62"/>
      <c r="CP2460" s="61"/>
      <c r="CQ2460" s="53"/>
      <c r="CR2460" s="53"/>
      <c r="CS2460" s="62"/>
      <c r="CT2460" s="60"/>
      <c r="CU2460" s="53"/>
      <c r="CV2460" s="53"/>
      <c r="CW2460" s="62"/>
      <c r="CX2460" s="61"/>
      <c r="CY2460" s="53"/>
      <c r="CZ2460" s="53"/>
      <c r="DA2460" s="62"/>
      <c r="DB2460" s="60"/>
      <c r="DC2460" s="53"/>
      <c r="DD2460" s="53"/>
      <c r="DE2460" s="62"/>
      <c r="DF2460" s="61"/>
      <c r="DG2460" s="53"/>
      <c r="DH2460" s="53"/>
      <c r="DI2460" s="62"/>
      <c r="DJ2460" s="60"/>
      <c r="DK2460" s="53"/>
      <c r="DL2460" s="53"/>
      <c r="DM2460" s="62"/>
      <c r="DN2460" s="61"/>
      <c r="DO2460" s="53"/>
      <c r="DP2460" s="53"/>
      <c r="DQ2460" s="62"/>
      <c r="DR2460" s="60"/>
      <c r="DS2460" s="53"/>
      <c r="DT2460" s="53"/>
      <c r="DU2460" s="62"/>
      <c r="DV2460" s="61"/>
      <c r="DW2460" s="53"/>
      <c r="DX2460" s="53"/>
      <c r="DY2460" s="62"/>
      <c r="DZ2460" s="60"/>
      <c r="EA2460" s="53"/>
      <c r="EB2460" s="53"/>
      <c r="EC2460" s="62"/>
      <c r="ED2460" s="61"/>
      <c r="EE2460" s="53"/>
      <c r="EF2460" s="53"/>
      <c r="EG2460" s="62"/>
      <c r="EH2460" s="60"/>
      <c r="EI2460" s="53"/>
      <c r="EJ2460" s="53"/>
      <c r="EK2460" s="62"/>
      <c r="EL2460" s="61"/>
      <c r="EM2460" s="53"/>
      <c r="EN2460" s="53"/>
      <c r="EO2460" s="62"/>
      <c r="EP2460" s="60"/>
      <c r="EQ2460" s="53"/>
      <c r="ER2460" s="53"/>
      <c r="ES2460" s="62"/>
      <c r="ET2460" s="61"/>
      <c r="EU2460" s="53"/>
      <c r="EV2460" s="53"/>
      <c r="EW2460" s="62"/>
      <c r="EX2460" s="60"/>
      <c r="EY2460" s="53"/>
      <c r="EZ2460" s="53"/>
      <c r="FA2460" s="62"/>
      <c r="FB2460" s="61"/>
      <c r="FC2460" s="53"/>
      <c r="FD2460" s="53"/>
      <c r="FE2460" s="62"/>
      <c r="FF2460" s="60"/>
      <c r="FG2460" s="53"/>
      <c r="FH2460" s="53"/>
      <c r="FI2460" s="62"/>
      <c r="FJ2460" s="61"/>
      <c r="FK2460" s="53"/>
      <c r="FL2460" s="53"/>
      <c r="FM2460" s="62"/>
      <c r="FN2460" s="60"/>
      <c r="FO2460" s="53"/>
      <c r="FP2460" s="53"/>
      <c r="FQ2460" s="62"/>
      <c r="FR2460" s="61"/>
      <c r="FS2460" s="53"/>
      <c r="FT2460" s="53"/>
      <c r="FU2460" s="62"/>
      <c r="FV2460" s="60"/>
      <c r="FW2460" s="53"/>
      <c r="FX2460" s="53"/>
      <c r="FY2460" s="62"/>
      <c r="FZ2460" s="61"/>
      <c r="GA2460" s="53"/>
      <c r="GB2460" s="53"/>
      <c r="GC2460" s="62"/>
      <c r="GD2460" s="60"/>
      <c r="GE2460" s="53"/>
      <c r="GF2460" s="53"/>
      <c r="GG2460" s="62"/>
      <c r="GH2460" s="61"/>
      <c r="GI2460" s="53"/>
      <c r="GJ2460" s="53"/>
      <c r="GK2460" s="62"/>
      <c r="GL2460" s="60"/>
      <c r="GM2460" s="53"/>
      <c r="GN2460" s="53"/>
      <c r="GO2460" s="62"/>
      <c r="GP2460" s="61"/>
      <c r="GQ2460" s="53"/>
      <c r="GR2460" s="53"/>
      <c r="GS2460" s="62"/>
      <c r="GT2460" s="60"/>
      <c r="GU2460" s="53"/>
      <c r="GV2460" s="53"/>
      <c r="GW2460" s="62"/>
      <c r="GX2460" s="61"/>
      <c r="GY2460" s="53"/>
      <c r="GZ2460" s="53"/>
      <c r="HA2460" s="62"/>
      <c r="HB2460" s="60"/>
      <c r="HC2460" s="53"/>
      <c r="HD2460" s="53"/>
      <c r="HE2460" s="62"/>
      <c r="HF2460" s="61"/>
      <c r="HG2460" s="53"/>
      <c r="HH2460" s="53"/>
      <c r="HI2460" s="62"/>
      <c r="HJ2460" s="60"/>
      <c r="HK2460" s="53"/>
      <c r="HL2460" s="53"/>
      <c r="HM2460" s="62"/>
      <c r="HN2460" s="61"/>
      <c r="HO2460" s="53"/>
      <c r="HP2460" s="53"/>
      <c r="HQ2460" s="62"/>
      <c r="HR2460" s="60"/>
      <c r="HS2460" s="53"/>
      <c r="HT2460" s="53"/>
      <c r="HU2460" s="62"/>
      <c r="HV2460" s="61"/>
      <c r="HW2460" s="53"/>
      <c r="HX2460" s="53"/>
      <c r="HY2460" s="62"/>
      <c r="HZ2460" s="60"/>
      <c r="IA2460" s="53"/>
      <c r="IB2460" s="53"/>
      <c r="IC2460" s="62"/>
      <c r="ID2460" s="61"/>
      <c r="IE2460" s="53"/>
      <c r="IF2460" s="53"/>
      <c r="IG2460" s="62"/>
      <c r="IH2460" s="60"/>
      <c r="II2460" s="53"/>
      <c r="IJ2460" s="53"/>
      <c r="IK2460" s="62"/>
      <c r="IL2460" s="61"/>
      <c r="IM2460" s="53"/>
      <c r="IN2460" s="53"/>
      <c r="IO2460" s="62"/>
      <c r="IP2460" s="60"/>
      <c r="IQ2460" s="53"/>
      <c r="IR2460" s="53"/>
      <c r="IS2460" s="62"/>
      <c r="IT2460" s="61"/>
      <c r="IU2460" s="53"/>
      <c r="IV2460" s="53"/>
      <c r="IW2460" s="62"/>
      <c r="IX2460" s="60"/>
      <c r="IY2460" s="53"/>
      <c r="IZ2460" s="53"/>
      <c r="JA2460" s="62"/>
      <c r="JB2460" s="61"/>
      <c r="JC2460" s="53"/>
      <c r="JD2460" s="53"/>
      <c r="JE2460" s="62"/>
      <c r="JF2460" s="60"/>
      <c r="JG2460" s="53"/>
      <c r="JH2460" s="53"/>
      <c r="JI2460" s="62"/>
      <c r="JJ2460" s="61"/>
      <c r="JK2460" s="53"/>
      <c r="JL2460" s="53"/>
      <c r="JM2460" s="62"/>
      <c r="JN2460" s="60"/>
      <c r="JO2460" s="53"/>
      <c r="JP2460" s="53"/>
      <c r="JQ2460" s="62"/>
      <c r="JR2460" s="61"/>
      <c r="JS2460" s="53"/>
      <c r="JT2460" s="53"/>
      <c r="JU2460" s="62"/>
      <c r="JV2460" s="60"/>
      <c r="JW2460" s="53"/>
      <c r="JX2460" s="53"/>
      <c r="JY2460" s="62"/>
      <c r="JZ2460" s="61"/>
      <c r="KA2460" s="53"/>
      <c r="KB2460" s="53"/>
      <c r="KC2460" s="62"/>
      <c r="KD2460" s="60"/>
      <c r="KE2460" s="53"/>
      <c r="KF2460" s="53"/>
      <c r="KG2460" s="62"/>
      <c r="KH2460" s="61"/>
      <c r="KI2460" s="53"/>
      <c r="KJ2460" s="53"/>
      <c r="KK2460" s="62"/>
      <c r="KL2460" s="60"/>
      <c r="KM2460" s="53"/>
      <c r="KN2460" s="53"/>
      <c r="KO2460" s="62"/>
      <c r="KP2460" s="61"/>
      <c r="KQ2460" s="53"/>
      <c r="KR2460" s="53"/>
      <c r="KS2460" s="62"/>
      <c r="KT2460" s="60"/>
      <c r="KU2460" s="53"/>
      <c r="KV2460" s="53"/>
      <c r="KW2460" s="62"/>
      <c r="KX2460" s="61"/>
      <c r="KY2460" s="53"/>
      <c r="KZ2460" s="53"/>
      <c r="LA2460" s="62"/>
      <c r="LB2460" s="60"/>
      <c r="LC2460" s="53"/>
      <c r="LD2460" s="53"/>
      <c r="LE2460" s="62"/>
      <c r="LF2460" s="61"/>
      <c r="LG2460" s="53"/>
      <c r="LH2460" s="53"/>
      <c r="LI2460" s="62"/>
      <c r="LJ2460" s="60"/>
      <c r="LK2460" s="53"/>
      <c r="LL2460" s="53"/>
      <c r="LM2460" s="62"/>
      <c r="LN2460" s="61"/>
      <c r="LO2460" s="53"/>
      <c r="LP2460" s="53"/>
      <c r="LQ2460" s="62"/>
      <c r="LR2460" s="60"/>
      <c r="LS2460" s="53"/>
      <c r="LT2460" s="53"/>
      <c r="LU2460" s="62"/>
      <c r="LV2460" s="61"/>
      <c r="LW2460" s="53"/>
      <c r="LX2460" s="53"/>
      <c r="LY2460" s="62"/>
      <c r="LZ2460" s="60"/>
      <c r="MA2460" s="53"/>
      <c r="MB2460" s="53"/>
      <c r="MC2460" s="62"/>
      <c r="MD2460" s="61"/>
      <c r="ME2460" s="53"/>
      <c r="MF2460" s="53"/>
      <c r="MG2460" s="62"/>
      <c r="MH2460" s="60"/>
      <c r="MI2460" s="53"/>
      <c r="MJ2460" s="53"/>
      <c r="MK2460" s="62"/>
      <c r="ML2460" s="61"/>
      <c r="MM2460" s="53"/>
      <c r="MN2460" s="53"/>
      <c r="MO2460" s="62"/>
      <c r="MP2460" s="60"/>
      <c r="MQ2460" s="53"/>
      <c r="MR2460" s="53"/>
      <c r="MS2460" s="62"/>
      <c r="MT2460" s="61"/>
      <c r="MU2460" s="53"/>
      <c r="MV2460" s="53"/>
      <c r="MW2460" s="62"/>
      <c r="MX2460" s="60"/>
      <c r="MY2460" s="53"/>
      <c r="MZ2460" s="53"/>
      <c r="NA2460" s="62"/>
      <c r="NB2460" s="61"/>
      <c r="NC2460" s="53"/>
      <c r="ND2460" s="53"/>
      <c r="NE2460" s="62"/>
      <c r="NF2460" s="60"/>
      <c r="NG2460" s="53"/>
      <c r="NH2460" s="53"/>
      <c r="NI2460" s="62"/>
      <c r="NJ2460" s="61"/>
      <c r="NK2460" s="53"/>
      <c r="NL2460" s="53"/>
      <c r="NM2460" s="62"/>
      <c r="NN2460" s="60"/>
      <c r="NO2460" s="53"/>
      <c r="NP2460" s="53"/>
      <c r="NQ2460" s="62"/>
      <c r="NR2460" s="61"/>
      <c r="NS2460" s="53"/>
      <c r="NT2460" s="53"/>
      <c r="NU2460" s="62"/>
      <c r="NV2460" s="60"/>
      <c r="NW2460" s="53"/>
      <c r="NX2460" s="53"/>
      <c r="NY2460" s="62"/>
      <c r="NZ2460" s="61"/>
      <c r="OA2460" s="53"/>
      <c r="OB2460" s="53"/>
      <c r="OC2460" s="62"/>
      <c r="OD2460" s="60"/>
      <c r="OE2460" s="53"/>
      <c r="OF2460" s="53"/>
      <c r="OG2460" s="62"/>
      <c r="OH2460" s="61"/>
      <c r="OI2460" s="53"/>
      <c r="OJ2460" s="53"/>
      <c r="OK2460" s="62"/>
      <c r="OL2460" s="60"/>
      <c r="OM2460" s="53"/>
      <c r="ON2460" s="53"/>
      <c r="OO2460" s="62"/>
      <c r="OP2460" s="61"/>
      <c r="OQ2460" s="53"/>
      <c r="OR2460" s="53"/>
      <c r="OS2460" s="62"/>
      <c r="OT2460" s="60"/>
      <c r="OU2460" s="53"/>
      <c r="OV2460" s="53"/>
      <c r="OW2460" s="62"/>
      <c r="OX2460" s="61"/>
      <c r="OY2460" s="53"/>
      <c r="OZ2460" s="53"/>
      <c r="PA2460" s="62"/>
      <c r="PB2460" s="60"/>
      <c r="PC2460" s="53"/>
      <c r="PD2460" s="53"/>
      <c r="PE2460" s="62"/>
      <c r="PF2460" s="61"/>
      <c r="PG2460" s="53"/>
      <c r="PH2460" s="53"/>
      <c r="PI2460" s="62"/>
      <c r="PJ2460" s="60"/>
      <c r="PK2460" s="53"/>
      <c r="PL2460" s="53"/>
      <c r="PM2460" s="62"/>
      <c r="PN2460" s="61"/>
      <c r="PO2460" s="53"/>
      <c r="PP2460" s="53"/>
      <c r="PQ2460" s="62"/>
      <c r="PR2460" s="60"/>
      <c r="PS2460" s="53"/>
      <c r="PT2460" s="53"/>
      <c r="PU2460" s="62"/>
      <c r="PV2460" s="61"/>
      <c r="PW2460" s="53"/>
      <c r="PX2460" s="53"/>
      <c r="PY2460" s="62"/>
      <c r="PZ2460" s="60"/>
      <c r="QA2460" s="53"/>
      <c r="QB2460" s="53"/>
      <c r="QC2460" s="62"/>
      <c r="QD2460" s="61"/>
      <c r="QE2460" s="53"/>
      <c r="QF2460" s="53"/>
      <c r="QG2460" s="62"/>
      <c r="QH2460" s="60"/>
      <c r="QI2460" s="53"/>
      <c r="QJ2460" s="53"/>
      <c r="QK2460" s="62"/>
      <c r="QL2460" s="61"/>
      <c r="QM2460" s="53"/>
      <c r="QN2460" s="53"/>
      <c r="QO2460" s="62"/>
      <c r="QP2460" s="60"/>
      <c r="QQ2460" s="53"/>
      <c r="QR2460" s="53"/>
      <c r="QS2460" s="62"/>
      <c r="QT2460" s="61"/>
      <c r="QU2460" s="53"/>
      <c r="QV2460" s="53"/>
      <c r="QW2460" s="62"/>
      <c r="QX2460" s="60"/>
      <c r="QY2460" s="53"/>
      <c r="QZ2460" s="53"/>
      <c r="RA2460" s="62"/>
      <c r="RB2460" s="61"/>
      <c r="RC2460" s="53"/>
      <c r="RD2460" s="53"/>
      <c r="RE2460" s="62"/>
      <c r="RF2460" s="60"/>
      <c r="RG2460" s="53"/>
      <c r="RH2460" s="53"/>
      <c r="RI2460" s="62"/>
      <c r="RJ2460" s="61"/>
      <c r="RK2460" s="53"/>
      <c r="RL2460" s="53"/>
      <c r="RM2460" s="62"/>
      <c r="RN2460" s="60"/>
      <c r="RO2460" s="53"/>
      <c r="RP2460" s="53"/>
      <c r="RQ2460" s="62"/>
      <c r="RR2460" s="61"/>
      <c r="RS2460" s="53"/>
      <c r="RT2460" s="53"/>
      <c r="RU2460" s="62"/>
      <c r="RV2460" s="60"/>
      <c r="RW2460" s="53"/>
      <c r="RX2460" s="53"/>
      <c r="RY2460" s="62"/>
      <c r="RZ2460" s="61"/>
      <c r="SA2460" s="53"/>
      <c r="SB2460" s="53"/>
      <c r="SC2460" s="62"/>
      <c r="SD2460" s="60"/>
      <c r="SE2460" s="53"/>
      <c r="SF2460" s="53"/>
      <c r="SG2460" s="62"/>
      <c r="SH2460" s="61"/>
      <c r="SI2460" s="53"/>
      <c r="SJ2460" s="53"/>
      <c r="SK2460" s="62"/>
      <c r="SL2460" s="60"/>
      <c r="SM2460" s="53"/>
      <c r="SN2460" s="53"/>
      <c r="SO2460" s="62"/>
      <c r="SP2460" s="61"/>
      <c r="SQ2460" s="53"/>
      <c r="SR2460" s="53"/>
      <c r="SS2460" s="62"/>
      <c r="ST2460" s="60"/>
      <c r="SU2460" s="53"/>
      <c r="SV2460" s="53"/>
      <c r="SW2460" s="62"/>
      <c r="SX2460" s="61"/>
      <c r="SY2460" s="53"/>
      <c r="SZ2460" s="53"/>
      <c r="TA2460" s="62"/>
      <c r="TB2460" s="60"/>
      <c r="TC2460" s="53"/>
      <c r="TD2460" s="53"/>
      <c r="TE2460" s="62"/>
      <c r="TF2460" s="61"/>
      <c r="TG2460" s="53"/>
      <c r="TH2460" s="53"/>
      <c r="TI2460" s="62"/>
      <c r="TJ2460" s="60"/>
      <c r="TK2460" s="53"/>
      <c r="TL2460" s="53"/>
      <c r="TM2460" s="62"/>
      <c r="TN2460" s="61"/>
      <c r="TO2460" s="53"/>
      <c r="TP2460" s="53"/>
      <c r="TQ2460" s="62"/>
      <c r="TR2460" s="60"/>
      <c r="TS2460" s="53"/>
      <c r="TT2460" s="53"/>
      <c r="TU2460" s="62"/>
      <c r="TV2460" s="61"/>
      <c r="TW2460" s="53"/>
      <c r="TX2460" s="53"/>
      <c r="TY2460" s="62"/>
      <c r="TZ2460" s="60"/>
      <c r="UA2460" s="53"/>
      <c r="UB2460" s="53"/>
      <c r="UC2460" s="62"/>
      <c r="UD2460" s="61"/>
      <c r="UE2460" s="53"/>
      <c r="UF2460" s="53"/>
      <c r="UG2460" s="62"/>
      <c r="UH2460" s="60"/>
      <c r="UI2460" s="53"/>
      <c r="UJ2460" s="53"/>
      <c r="UK2460" s="62"/>
      <c r="UL2460" s="61"/>
      <c r="UM2460" s="53"/>
      <c r="UN2460" s="53"/>
      <c r="UO2460" s="62"/>
      <c r="UP2460" s="60"/>
      <c r="UQ2460" s="53"/>
      <c r="UR2460" s="53"/>
      <c r="US2460" s="62"/>
      <c r="UT2460" s="61"/>
      <c r="UU2460" s="53"/>
      <c r="UV2460" s="53"/>
      <c r="UW2460" s="62"/>
      <c r="UX2460" s="60"/>
      <c r="UY2460" s="53"/>
      <c r="UZ2460" s="53"/>
      <c r="VA2460" s="62"/>
      <c r="VB2460" s="61"/>
      <c r="VC2460" s="53"/>
      <c r="VD2460" s="53"/>
      <c r="VE2460" s="62"/>
      <c r="VF2460" s="60"/>
      <c r="VG2460" s="53"/>
      <c r="VH2460" s="53"/>
      <c r="VI2460" s="62"/>
      <c r="VJ2460" s="61"/>
      <c r="VK2460" s="53"/>
      <c r="VL2460" s="53"/>
      <c r="VM2460" s="62"/>
      <c r="VN2460" s="60"/>
      <c r="VO2460" s="53"/>
      <c r="VP2460" s="53"/>
      <c r="VQ2460" s="62"/>
      <c r="VR2460" s="61"/>
      <c r="VS2460" s="53"/>
      <c r="VT2460" s="53"/>
      <c r="VU2460" s="62"/>
      <c r="VV2460" s="60"/>
      <c r="VW2460" s="53"/>
      <c r="VX2460" s="53"/>
      <c r="VY2460" s="62"/>
      <c r="VZ2460" s="61"/>
      <c r="WA2460" s="53"/>
      <c r="WB2460" s="53"/>
      <c r="WC2460" s="62"/>
      <c r="WD2460" s="60"/>
      <c r="WE2460" s="53"/>
      <c r="WF2460" s="53"/>
      <c r="WG2460" s="62"/>
      <c r="WH2460" s="61"/>
      <c r="WI2460" s="53"/>
      <c r="WJ2460" s="53"/>
      <c r="WK2460" s="62"/>
      <c r="WL2460" s="60"/>
      <c r="WM2460" s="53"/>
      <c r="WN2460" s="53"/>
      <c r="WO2460" s="62"/>
      <c r="WP2460" s="61"/>
      <c r="WQ2460" s="53"/>
      <c r="WR2460" s="53"/>
      <c r="WS2460" s="62"/>
      <c r="WT2460" s="60"/>
      <c r="WU2460" s="53"/>
      <c r="WV2460" s="53"/>
      <c r="WW2460" s="62"/>
      <c r="WX2460" s="61"/>
      <c r="WY2460" s="53"/>
      <c r="WZ2460" s="53"/>
      <c r="XA2460" s="62"/>
      <c r="XB2460" s="60"/>
      <c r="XC2460" s="53"/>
      <c r="XD2460" s="53"/>
      <c r="XE2460" s="62"/>
      <c r="XF2460" s="61"/>
      <c r="XG2460" s="53"/>
      <c r="XH2460" s="53"/>
      <c r="XI2460" s="62"/>
      <c r="XJ2460" s="60"/>
      <c r="XK2460" s="53"/>
      <c r="XL2460" s="53"/>
      <c r="XM2460" s="62"/>
      <c r="XN2460" s="61"/>
      <c r="XO2460" s="53"/>
      <c r="XP2460" s="53"/>
      <c r="XQ2460" s="62"/>
      <c r="XR2460" s="60"/>
      <c r="XS2460" s="53"/>
      <c r="XT2460" s="53"/>
      <c r="XU2460" s="62"/>
      <c r="XV2460" s="61"/>
      <c r="XW2460" s="53"/>
      <c r="XX2460" s="53"/>
      <c r="XY2460" s="62"/>
      <c r="XZ2460" s="60"/>
      <c r="YA2460" s="53"/>
      <c r="YB2460" s="53"/>
      <c r="YC2460" s="62"/>
      <c r="YD2460" s="61"/>
      <c r="YE2460" s="53"/>
      <c r="YF2460" s="53"/>
      <c r="YG2460" s="62"/>
      <c r="YH2460" s="60"/>
      <c r="YI2460" s="53"/>
      <c r="YJ2460" s="53"/>
      <c r="YK2460" s="62"/>
      <c r="YL2460" s="61"/>
      <c r="YM2460" s="53"/>
      <c r="YN2460" s="53"/>
      <c r="YO2460" s="62"/>
      <c r="YP2460" s="60"/>
      <c r="YQ2460" s="53"/>
      <c r="YR2460" s="53"/>
      <c r="YS2460" s="62"/>
      <c r="YT2460" s="61"/>
      <c r="YU2460" s="53"/>
      <c r="YV2460" s="53"/>
      <c r="YW2460" s="62"/>
      <c r="YX2460" s="60"/>
      <c r="YY2460" s="53"/>
      <c r="YZ2460" s="53"/>
      <c r="ZA2460" s="62"/>
      <c r="ZB2460" s="61"/>
      <c r="ZC2460" s="53"/>
      <c r="ZD2460" s="53"/>
      <c r="ZE2460" s="62"/>
      <c r="ZF2460" s="60"/>
      <c r="ZG2460" s="53"/>
      <c r="ZH2460" s="53"/>
      <c r="ZI2460" s="62"/>
      <c r="ZJ2460" s="61"/>
      <c r="ZK2460" s="53"/>
      <c r="ZL2460" s="53"/>
      <c r="ZM2460" s="62"/>
      <c r="ZN2460" s="60"/>
      <c r="ZO2460" s="53"/>
      <c r="ZP2460" s="53"/>
      <c r="ZQ2460" s="62"/>
      <c r="ZR2460" s="61"/>
      <c r="ZS2460" s="53"/>
      <c r="ZT2460" s="53"/>
      <c r="ZU2460" s="62"/>
      <c r="ZV2460" s="60"/>
      <c r="ZW2460" s="53"/>
      <c r="ZX2460" s="53"/>
      <c r="ZY2460" s="62"/>
      <c r="ZZ2460" s="61"/>
      <c r="AAA2460" s="53"/>
      <c r="AAB2460" s="53"/>
      <c r="AAC2460" s="62"/>
      <c r="AAD2460" s="60"/>
      <c r="AAE2460" s="53"/>
      <c r="AAF2460" s="53"/>
      <c r="AAG2460" s="62"/>
      <c r="AAH2460" s="61"/>
      <c r="AAI2460" s="53"/>
      <c r="AAJ2460" s="53"/>
      <c r="AAK2460" s="62"/>
      <c r="AAL2460" s="60"/>
      <c r="AAM2460" s="53"/>
      <c r="AAN2460" s="53"/>
      <c r="AAO2460" s="62"/>
      <c r="AAP2460" s="61"/>
      <c r="AAQ2460" s="53"/>
      <c r="AAR2460" s="53"/>
      <c r="AAS2460" s="62"/>
      <c r="AAT2460" s="60"/>
      <c r="AAU2460" s="53"/>
      <c r="AAV2460" s="53"/>
      <c r="AAW2460" s="62"/>
      <c r="AAX2460" s="61"/>
      <c r="AAY2460" s="53"/>
      <c r="AAZ2460" s="53"/>
      <c r="ABA2460" s="62"/>
      <c r="ABB2460" s="60"/>
      <c r="ABC2460" s="53"/>
      <c r="ABD2460" s="53"/>
      <c r="ABE2460" s="62"/>
      <c r="ABF2460" s="61"/>
      <c r="ABG2460" s="53"/>
      <c r="ABH2460" s="53"/>
      <c r="ABI2460" s="62"/>
      <c r="ABJ2460" s="60"/>
      <c r="ABK2460" s="53"/>
      <c r="ABL2460" s="53"/>
      <c r="ABM2460" s="62"/>
      <c r="ABN2460" s="61"/>
      <c r="ABO2460" s="53"/>
      <c r="ABP2460" s="53"/>
      <c r="ABQ2460" s="62"/>
      <c r="ABR2460" s="60"/>
      <c r="ABS2460" s="53"/>
      <c r="ABT2460" s="53"/>
      <c r="ABU2460" s="62"/>
      <c r="ABV2460" s="61"/>
      <c r="ABW2460" s="53"/>
      <c r="ABX2460" s="53"/>
      <c r="ABY2460" s="62"/>
      <c r="ABZ2460" s="60"/>
      <c r="ACA2460" s="53"/>
      <c r="ACB2460" s="53"/>
      <c r="ACC2460" s="62"/>
      <c r="ACD2460" s="61"/>
      <c r="ACE2460" s="53"/>
      <c r="ACF2460" s="53"/>
      <c r="ACG2460" s="62"/>
      <c r="ACH2460" s="60"/>
      <c r="ACI2460" s="53"/>
      <c r="ACJ2460" s="53"/>
      <c r="ACK2460" s="62"/>
      <c r="ACL2460" s="61"/>
      <c r="ACM2460" s="53"/>
      <c r="ACN2460" s="53"/>
      <c r="ACO2460" s="62"/>
      <c r="ACP2460" s="60"/>
      <c r="ACQ2460" s="53"/>
      <c r="ACR2460" s="53"/>
      <c r="ACS2460" s="62"/>
      <c r="ACT2460" s="61"/>
      <c r="ACU2460" s="53"/>
      <c r="ACV2460" s="53"/>
      <c r="ACW2460" s="62"/>
      <c r="ACX2460" s="60"/>
      <c r="ACY2460" s="53"/>
      <c r="ACZ2460" s="53"/>
      <c r="ADA2460" s="62"/>
      <c r="ADB2460" s="61"/>
      <c r="ADC2460" s="53"/>
      <c r="ADD2460" s="53"/>
      <c r="ADE2460" s="62"/>
      <c r="ADF2460" s="60"/>
      <c r="ADG2460" s="53"/>
      <c r="ADH2460" s="53"/>
      <c r="ADI2460" s="62"/>
      <c r="ADJ2460" s="61"/>
      <c r="ADK2460" s="53"/>
      <c r="ADL2460" s="53"/>
      <c r="ADM2460" s="62"/>
      <c r="ADN2460" s="60"/>
      <c r="ADO2460" s="53"/>
      <c r="ADP2460" s="53"/>
      <c r="ADQ2460" s="62"/>
      <c r="ADR2460" s="61"/>
      <c r="ADS2460" s="53"/>
      <c r="ADT2460" s="53"/>
      <c r="ADU2460" s="62"/>
      <c r="ADV2460" s="60"/>
      <c r="ADW2460" s="53"/>
      <c r="ADX2460" s="53"/>
      <c r="ADY2460" s="62"/>
      <c r="ADZ2460" s="61"/>
      <c r="AEA2460" s="53"/>
      <c r="AEB2460" s="53"/>
      <c r="AEC2460" s="62"/>
      <c r="AED2460" s="60"/>
      <c r="AEE2460" s="53"/>
      <c r="AEF2460" s="53"/>
      <c r="AEG2460" s="62"/>
      <c r="AEH2460" s="61"/>
      <c r="AEI2460" s="53"/>
      <c r="AEJ2460" s="53"/>
      <c r="AEK2460" s="62"/>
      <c r="AEL2460" s="60"/>
      <c r="AEM2460" s="53"/>
      <c r="AEN2460" s="53"/>
      <c r="AEO2460" s="62"/>
      <c r="AEP2460" s="61"/>
      <c r="AEQ2460" s="53"/>
      <c r="AER2460" s="53"/>
      <c r="AES2460" s="62"/>
      <c r="AET2460" s="60"/>
      <c r="AEU2460" s="53"/>
      <c r="AEV2460" s="53"/>
      <c r="AEW2460" s="62"/>
      <c r="AEX2460" s="61"/>
      <c r="AEY2460" s="53"/>
      <c r="AEZ2460" s="53"/>
      <c r="AFA2460" s="62"/>
      <c r="AFB2460" s="60"/>
      <c r="AFC2460" s="53"/>
      <c r="AFD2460" s="53"/>
      <c r="AFE2460" s="62"/>
      <c r="AFF2460" s="61"/>
      <c r="AFG2460" s="53"/>
      <c r="AFH2460" s="53"/>
      <c r="AFI2460" s="62"/>
      <c r="AFJ2460" s="60"/>
      <c r="AFK2460" s="53"/>
      <c r="AFL2460" s="53"/>
      <c r="AFM2460" s="62"/>
      <c r="AFN2460" s="61"/>
      <c r="AFO2460" s="53"/>
      <c r="AFP2460" s="53"/>
      <c r="AFQ2460" s="62"/>
      <c r="AFR2460" s="60"/>
      <c r="AFS2460" s="53"/>
      <c r="AFT2460" s="53"/>
      <c r="AFU2460" s="62"/>
      <c r="AFV2460" s="61"/>
      <c r="AFW2460" s="53"/>
      <c r="AFX2460" s="53"/>
      <c r="AFY2460" s="62"/>
      <c r="AFZ2460" s="60"/>
      <c r="AGA2460" s="53"/>
      <c r="AGB2460" s="53"/>
      <c r="AGC2460" s="62"/>
      <c r="AGD2460" s="61"/>
      <c r="AGE2460" s="53"/>
      <c r="AGF2460" s="53"/>
      <c r="AGG2460" s="62"/>
      <c r="AGH2460" s="60"/>
      <c r="AGI2460" s="53"/>
      <c r="AGJ2460" s="53"/>
      <c r="AGK2460" s="62"/>
      <c r="AGL2460" s="61"/>
      <c r="AGM2460" s="53"/>
      <c r="AGN2460" s="53"/>
      <c r="AGO2460" s="62"/>
      <c r="AGP2460" s="60"/>
      <c r="AGQ2460" s="53"/>
      <c r="AGR2460" s="53"/>
      <c r="AGS2460" s="62"/>
      <c r="AGT2460" s="61"/>
      <c r="AGU2460" s="53"/>
      <c r="AGV2460" s="53"/>
      <c r="AGW2460" s="62"/>
      <c r="AGX2460" s="60"/>
      <c r="AGY2460" s="53"/>
      <c r="AGZ2460" s="53"/>
      <c r="AHA2460" s="62"/>
      <c r="AHB2460" s="61"/>
      <c r="AHC2460" s="53"/>
      <c r="AHD2460" s="53"/>
      <c r="AHE2460" s="62"/>
      <c r="AHF2460" s="60"/>
      <c r="AHG2460" s="53"/>
      <c r="AHH2460" s="53"/>
      <c r="AHI2460" s="62"/>
      <c r="AHJ2460" s="61"/>
      <c r="AHK2460" s="53"/>
      <c r="AHL2460" s="53"/>
      <c r="AHM2460" s="62"/>
      <c r="AHN2460" s="60"/>
      <c r="AHO2460" s="53"/>
      <c r="AHP2460" s="53"/>
      <c r="AHQ2460" s="62"/>
      <c r="AHR2460" s="61"/>
      <c r="AHS2460" s="53"/>
      <c r="AHT2460" s="53"/>
      <c r="AHU2460" s="62"/>
      <c r="AHV2460" s="60"/>
      <c r="AHW2460" s="53"/>
      <c r="AHX2460" s="53"/>
      <c r="AHY2460" s="62"/>
      <c r="AHZ2460" s="61"/>
      <c r="AIA2460" s="53"/>
      <c r="AIB2460" s="53"/>
      <c r="AIC2460" s="62"/>
      <c r="AID2460" s="60"/>
      <c r="AIE2460" s="53"/>
      <c r="AIF2460" s="53"/>
      <c r="AIG2460" s="62"/>
      <c r="AIH2460" s="61"/>
      <c r="AII2460" s="53"/>
      <c r="AIJ2460" s="53"/>
      <c r="AIK2460" s="62"/>
      <c r="AIL2460" s="60"/>
      <c r="AIM2460" s="53"/>
      <c r="AIN2460" s="53"/>
      <c r="AIO2460" s="62"/>
      <c r="AIP2460" s="61"/>
      <c r="AIQ2460" s="53"/>
      <c r="AIR2460" s="53"/>
      <c r="AIS2460" s="62"/>
      <c r="AIT2460" s="60"/>
      <c r="AIU2460" s="53"/>
      <c r="AIV2460" s="53"/>
      <c r="AIW2460" s="62"/>
      <c r="AIX2460" s="61"/>
      <c r="AIY2460" s="53"/>
      <c r="AIZ2460" s="53"/>
      <c r="AJA2460" s="62"/>
      <c r="AJB2460" s="60"/>
      <c r="AJC2460" s="53"/>
      <c r="AJD2460" s="53"/>
      <c r="AJE2460" s="62"/>
      <c r="AJF2460" s="61"/>
      <c r="AJG2460" s="53"/>
      <c r="AJH2460" s="53"/>
      <c r="AJI2460" s="62"/>
      <c r="AJJ2460" s="60"/>
      <c r="AJK2460" s="53"/>
      <c r="AJL2460" s="53"/>
      <c r="AJM2460" s="62"/>
      <c r="AJN2460" s="61"/>
      <c r="AJO2460" s="53"/>
      <c r="AJP2460" s="53"/>
      <c r="AJQ2460" s="62"/>
      <c r="AJR2460" s="60"/>
      <c r="AJS2460" s="53"/>
      <c r="AJT2460" s="53"/>
      <c r="AJU2460" s="62"/>
      <c r="AJV2460" s="61"/>
      <c r="AJW2460" s="53"/>
      <c r="AJX2460" s="53"/>
      <c r="AJY2460" s="62"/>
      <c r="AJZ2460" s="60"/>
      <c r="AKA2460" s="53"/>
      <c r="AKB2460" s="53"/>
      <c r="AKC2460" s="62"/>
      <c r="AKD2460" s="61"/>
      <c r="AKE2460" s="53"/>
      <c r="AKF2460" s="53"/>
      <c r="AKG2460" s="62"/>
      <c r="AKH2460" s="60"/>
      <c r="AKI2460" s="53"/>
      <c r="AKJ2460" s="53"/>
      <c r="AKK2460" s="62"/>
      <c r="AKL2460" s="61"/>
      <c r="AKM2460" s="53"/>
      <c r="AKN2460" s="53"/>
      <c r="AKO2460" s="62"/>
      <c r="AKP2460" s="60"/>
      <c r="AKQ2460" s="53"/>
      <c r="AKR2460" s="53"/>
      <c r="AKS2460" s="62"/>
      <c r="AKT2460" s="61"/>
      <c r="AKU2460" s="53"/>
      <c r="AKV2460" s="53"/>
      <c r="AKW2460" s="62"/>
      <c r="AKX2460" s="60"/>
      <c r="AKY2460" s="53"/>
      <c r="AKZ2460" s="53"/>
      <c r="ALA2460" s="62"/>
      <c r="ALB2460" s="61"/>
      <c r="ALC2460" s="53"/>
      <c r="ALD2460" s="53"/>
      <c r="ALE2460" s="62"/>
      <c r="ALF2460" s="60"/>
      <c r="ALG2460" s="53"/>
      <c r="ALH2460" s="53"/>
      <c r="ALI2460" s="62"/>
      <c r="ALJ2460" s="61"/>
      <c r="ALK2460" s="53"/>
      <c r="ALL2460" s="53"/>
      <c r="ALM2460" s="62"/>
      <c r="ALN2460" s="60"/>
      <c r="ALO2460" s="53"/>
      <c r="ALP2460" s="53"/>
      <c r="ALQ2460" s="62"/>
      <c r="ALR2460" s="61"/>
      <c r="ALS2460" s="53"/>
      <c r="ALT2460" s="53"/>
      <c r="ALU2460" s="62"/>
      <c r="ALV2460" s="60"/>
      <c r="ALW2460" s="53"/>
      <c r="ALX2460" s="53"/>
      <c r="ALY2460" s="62"/>
      <c r="ALZ2460" s="61"/>
      <c r="AMA2460" s="53"/>
      <c r="AMB2460" s="53"/>
      <c r="AMC2460" s="62"/>
      <c r="AMD2460" s="60"/>
      <c r="AME2460" s="53"/>
      <c r="AMF2460" s="53"/>
      <c r="AMG2460" s="62"/>
      <c r="AMH2460" s="61"/>
      <c r="AMI2460" s="53"/>
      <c r="AMJ2460" s="53"/>
      <c r="AMK2460" s="62"/>
      <c r="AML2460" s="60"/>
      <c r="AMM2460" s="53"/>
      <c r="AMN2460" s="53"/>
      <c r="AMO2460" s="62"/>
      <c r="AMP2460" s="61"/>
      <c r="AMQ2460" s="53"/>
      <c r="AMR2460" s="53"/>
      <c r="AMS2460" s="62"/>
      <c r="AMT2460" s="60"/>
      <c r="AMU2460" s="53"/>
      <c r="AMV2460" s="53"/>
      <c r="AMW2460" s="62"/>
      <c r="AMX2460" s="61"/>
      <c r="AMY2460" s="53"/>
      <c r="AMZ2460" s="53"/>
      <c r="ANA2460" s="62"/>
      <c r="ANB2460" s="60"/>
      <c r="ANC2460" s="53"/>
      <c r="AND2460" s="53"/>
      <c r="ANE2460" s="62"/>
      <c r="ANF2460" s="61"/>
      <c r="ANG2460" s="53"/>
      <c r="ANH2460" s="53"/>
      <c r="ANI2460" s="62"/>
      <c r="ANJ2460" s="60"/>
      <c r="ANK2460" s="53"/>
      <c r="ANL2460" s="53"/>
      <c r="ANM2460" s="62"/>
      <c r="ANN2460" s="61"/>
      <c r="ANO2460" s="53"/>
      <c r="ANP2460" s="53"/>
      <c r="ANQ2460" s="62"/>
      <c r="ANR2460" s="60"/>
      <c r="ANS2460" s="53"/>
      <c r="ANT2460" s="53"/>
      <c r="ANU2460" s="62"/>
      <c r="ANV2460" s="61"/>
      <c r="ANW2460" s="53"/>
      <c r="ANX2460" s="53"/>
      <c r="ANY2460" s="62"/>
      <c r="ANZ2460" s="60"/>
      <c r="AOA2460" s="53"/>
      <c r="AOB2460" s="53"/>
      <c r="AOC2460" s="62"/>
      <c r="AOD2460" s="61"/>
      <c r="AOE2460" s="53"/>
      <c r="AOF2460" s="53"/>
      <c r="AOG2460" s="62"/>
      <c r="AOH2460" s="60"/>
      <c r="AOI2460" s="53"/>
      <c r="AOJ2460" s="53"/>
      <c r="AOK2460" s="62"/>
      <c r="AOL2460" s="61"/>
      <c r="AOM2460" s="53"/>
      <c r="AON2460" s="53"/>
      <c r="AOO2460" s="62"/>
      <c r="AOP2460" s="60"/>
      <c r="AOQ2460" s="53"/>
      <c r="AOR2460" s="53"/>
      <c r="AOS2460" s="62"/>
      <c r="AOT2460" s="61"/>
      <c r="AOU2460" s="53"/>
      <c r="AOV2460" s="53"/>
      <c r="AOW2460" s="62"/>
      <c r="AOX2460" s="60"/>
      <c r="AOY2460" s="53"/>
      <c r="AOZ2460" s="53"/>
      <c r="APA2460" s="62"/>
      <c r="APB2460" s="61"/>
      <c r="APC2460" s="53"/>
      <c r="APD2460" s="53"/>
      <c r="APE2460" s="62"/>
      <c r="APF2460" s="60"/>
      <c r="APG2460" s="53"/>
      <c r="APH2460" s="53"/>
      <c r="API2460" s="62"/>
      <c r="APJ2460" s="61"/>
      <c r="APK2460" s="53"/>
      <c r="APL2460" s="53"/>
      <c r="APM2460" s="62"/>
      <c r="APN2460" s="60"/>
      <c r="APO2460" s="53"/>
      <c r="APP2460" s="53"/>
      <c r="APQ2460" s="62"/>
      <c r="APR2460" s="61"/>
      <c r="APS2460" s="53"/>
      <c r="APT2460" s="53"/>
      <c r="APU2460" s="62"/>
      <c r="APV2460" s="60"/>
      <c r="APW2460" s="53"/>
      <c r="APX2460" s="53"/>
      <c r="APY2460" s="62"/>
      <c r="APZ2460" s="61"/>
      <c r="AQA2460" s="53"/>
      <c r="AQB2460" s="53"/>
      <c r="AQC2460" s="62"/>
      <c r="AQD2460" s="60"/>
      <c r="AQE2460" s="53"/>
      <c r="AQF2460" s="53"/>
      <c r="AQG2460" s="62"/>
      <c r="AQH2460" s="61"/>
      <c r="AQI2460" s="53"/>
      <c r="AQJ2460" s="53"/>
      <c r="AQK2460" s="62"/>
      <c r="AQL2460" s="60"/>
      <c r="AQM2460" s="53"/>
      <c r="AQN2460" s="53"/>
      <c r="AQO2460" s="62"/>
      <c r="AQP2460" s="61"/>
      <c r="AQQ2460" s="53"/>
      <c r="AQR2460" s="53"/>
      <c r="AQS2460" s="62"/>
      <c r="AQT2460" s="60"/>
      <c r="AQU2460" s="53"/>
      <c r="AQV2460" s="53"/>
      <c r="AQW2460" s="62"/>
      <c r="AQX2460" s="61"/>
      <c r="AQY2460" s="53"/>
      <c r="AQZ2460" s="53"/>
      <c r="ARA2460" s="62"/>
      <c r="ARB2460" s="60"/>
      <c r="ARC2460" s="53"/>
      <c r="ARD2460" s="53"/>
      <c r="ARE2460" s="62"/>
      <c r="ARF2460" s="61"/>
      <c r="ARG2460" s="53"/>
      <c r="ARH2460" s="53"/>
      <c r="ARI2460" s="62"/>
      <c r="ARJ2460" s="60"/>
      <c r="ARK2460" s="53"/>
      <c r="ARL2460" s="53"/>
      <c r="ARM2460" s="62"/>
      <c r="ARN2460" s="61"/>
      <c r="ARO2460" s="53"/>
      <c r="ARP2460" s="53"/>
      <c r="ARQ2460" s="62"/>
      <c r="ARR2460" s="60"/>
      <c r="ARS2460" s="53"/>
      <c r="ART2460" s="53"/>
      <c r="ARU2460" s="62"/>
      <c r="ARV2460" s="61"/>
      <c r="ARW2460" s="53"/>
      <c r="ARX2460" s="53"/>
      <c r="ARY2460" s="62"/>
      <c r="ARZ2460" s="60"/>
      <c r="ASA2460" s="53"/>
      <c r="ASB2460" s="53"/>
      <c r="ASC2460" s="62"/>
      <c r="ASD2460" s="61"/>
      <c r="ASE2460" s="53"/>
      <c r="ASF2460" s="53"/>
      <c r="ASG2460" s="62"/>
      <c r="ASH2460" s="60"/>
      <c r="ASI2460" s="53"/>
      <c r="ASJ2460" s="53"/>
      <c r="ASK2460" s="62"/>
      <c r="ASL2460" s="61"/>
      <c r="ASM2460" s="53"/>
      <c r="ASN2460" s="53"/>
      <c r="ASO2460" s="62"/>
      <c r="ASP2460" s="60"/>
      <c r="ASQ2460" s="53"/>
      <c r="ASR2460" s="53"/>
      <c r="ASS2460" s="62"/>
      <c r="AST2460" s="61"/>
      <c r="ASU2460" s="53"/>
      <c r="ASV2460" s="53"/>
      <c r="ASW2460" s="62"/>
      <c r="ASX2460" s="60"/>
      <c r="ASY2460" s="53"/>
      <c r="ASZ2460" s="53"/>
      <c r="ATA2460" s="62"/>
      <c r="ATB2460" s="61"/>
      <c r="ATC2460" s="53"/>
      <c r="ATD2460" s="53"/>
      <c r="ATE2460" s="62"/>
      <c r="ATF2460" s="60"/>
      <c r="ATG2460" s="53"/>
      <c r="ATH2460" s="53"/>
      <c r="ATI2460" s="62"/>
      <c r="ATJ2460" s="61"/>
      <c r="ATK2460" s="53"/>
      <c r="ATL2460" s="53"/>
      <c r="ATM2460" s="62"/>
      <c r="ATN2460" s="60"/>
      <c r="ATO2460" s="53"/>
      <c r="ATP2460" s="53"/>
      <c r="ATQ2460" s="62"/>
      <c r="ATR2460" s="61"/>
      <c r="ATS2460" s="53"/>
      <c r="ATT2460" s="53"/>
      <c r="ATU2460" s="62"/>
      <c r="ATV2460" s="60"/>
      <c r="ATW2460" s="53"/>
      <c r="ATX2460" s="53"/>
      <c r="ATY2460" s="62"/>
      <c r="ATZ2460" s="61"/>
      <c r="AUA2460" s="53"/>
      <c r="AUB2460" s="53"/>
      <c r="AUC2460" s="62"/>
      <c r="AUD2460" s="60"/>
      <c r="AUE2460" s="53"/>
      <c r="AUF2460" s="53"/>
      <c r="AUG2460" s="62"/>
      <c r="AUH2460" s="61"/>
      <c r="AUI2460" s="53"/>
      <c r="AUJ2460" s="53"/>
      <c r="AUK2460" s="62"/>
      <c r="AUL2460" s="60"/>
      <c r="AUM2460" s="53"/>
      <c r="AUN2460" s="53"/>
      <c r="AUO2460" s="62"/>
      <c r="AUP2460" s="61"/>
      <c r="AUQ2460" s="53"/>
      <c r="AUR2460" s="53"/>
      <c r="AUS2460" s="62"/>
      <c r="AUT2460" s="60"/>
      <c r="AUU2460" s="53"/>
      <c r="AUV2460" s="53"/>
      <c r="AUW2460" s="62"/>
      <c r="AUX2460" s="61"/>
      <c r="AUY2460" s="53"/>
      <c r="AUZ2460" s="53"/>
      <c r="AVA2460" s="62"/>
      <c r="AVB2460" s="60"/>
      <c r="AVC2460" s="53"/>
      <c r="AVD2460" s="53"/>
      <c r="AVE2460" s="62"/>
      <c r="AVF2460" s="61"/>
      <c r="AVG2460" s="53"/>
      <c r="AVH2460" s="53"/>
      <c r="AVI2460" s="62"/>
      <c r="AVJ2460" s="60"/>
      <c r="AVK2460" s="53"/>
      <c r="AVL2460" s="53"/>
      <c r="AVM2460" s="62"/>
      <c r="AVN2460" s="61"/>
      <c r="AVO2460" s="53"/>
      <c r="AVP2460" s="53"/>
      <c r="AVQ2460" s="62"/>
      <c r="AVR2460" s="60"/>
      <c r="AVS2460" s="53"/>
      <c r="AVT2460" s="53"/>
      <c r="AVU2460" s="62"/>
      <c r="AVV2460" s="61"/>
      <c r="AVW2460" s="53"/>
      <c r="AVX2460" s="53"/>
      <c r="AVY2460" s="62"/>
      <c r="AVZ2460" s="60"/>
      <c r="AWA2460" s="53"/>
      <c r="AWB2460" s="53"/>
      <c r="AWC2460" s="62"/>
      <c r="AWD2460" s="61"/>
      <c r="AWE2460" s="53"/>
      <c r="AWF2460" s="53"/>
      <c r="AWG2460" s="62"/>
      <c r="AWH2460" s="60"/>
      <c r="AWI2460" s="53"/>
      <c r="AWJ2460" s="53"/>
      <c r="AWK2460" s="62"/>
      <c r="AWL2460" s="61"/>
      <c r="AWM2460" s="53"/>
      <c r="AWN2460" s="53"/>
      <c r="AWO2460" s="62"/>
      <c r="AWP2460" s="60"/>
      <c r="AWQ2460" s="53"/>
      <c r="AWR2460" s="53"/>
      <c r="AWS2460" s="62"/>
      <c r="AWT2460" s="61"/>
      <c r="AWU2460" s="53"/>
      <c r="AWV2460" s="53"/>
      <c r="AWW2460" s="62"/>
      <c r="AWX2460" s="60"/>
      <c r="AWY2460" s="53"/>
      <c r="AWZ2460" s="53"/>
      <c r="AXA2460" s="62"/>
      <c r="AXB2460" s="61"/>
      <c r="AXC2460" s="53"/>
      <c r="AXD2460" s="53"/>
      <c r="AXE2460" s="62"/>
      <c r="AXF2460" s="60"/>
      <c r="AXG2460" s="53"/>
      <c r="AXH2460" s="53"/>
      <c r="AXI2460" s="62"/>
      <c r="AXJ2460" s="61"/>
      <c r="AXK2460" s="53"/>
      <c r="AXL2460" s="53"/>
      <c r="AXM2460" s="62"/>
      <c r="AXN2460" s="60"/>
      <c r="AXO2460" s="53"/>
      <c r="AXP2460" s="53"/>
      <c r="AXQ2460" s="62"/>
      <c r="AXR2460" s="61"/>
      <c r="AXS2460" s="53"/>
      <c r="AXT2460" s="53"/>
      <c r="AXU2460" s="62"/>
      <c r="AXV2460" s="60"/>
      <c r="AXW2460" s="53"/>
      <c r="AXX2460" s="53"/>
      <c r="AXY2460" s="62"/>
      <c r="AXZ2460" s="61"/>
      <c r="AYA2460" s="53"/>
      <c r="AYB2460" s="53"/>
      <c r="AYC2460" s="62"/>
      <c r="AYD2460" s="60"/>
      <c r="AYE2460" s="53"/>
      <c r="AYF2460" s="53"/>
      <c r="AYG2460" s="62"/>
      <c r="AYH2460" s="61"/>
      <c r="AYI2460" s="53"/>
      <c r="AYJ2460" s="53"/>
      <c r="AYK2460" s="62"/>
      <c r="AYL2460" s="60"/>
      <c r="AYM2460" s="53"/>
      <c r="AYN2460" s="53"/>
      <c r="AYO2460" s="62"/>
      <c r="AYP2460" s="61"/>
      <c r="AYQ2460" s="53"/>
      <c r="AYR2460" s="53"/>
      <c r="AYS2460" s="62"/>
      <c r="AYT2460" s="60"/>
      <c r="AYU2460" s="53"/>
      <c r="AYV2460" s="53"/>
      <c r="AYW2460" s="62"/>
      <c r="AYX2460" s="61"/>
      <c r="AYY2460" s="53"/>
      <c r="AYZ2460" s="53"/>
      <c r="AZA2460" s="62"/>
      <c r="AZB2460" s="60"/>
      <c r="AZC2460" s="53"/>
      <c r="AZD2460" s="53"/>
      <c r="AZE2460" s="62"/>
      <c r="AZF2460" s="61"/>
      <c r="AZG2460" s="53"/>
      <c r="AZH2460" s="53"/>
      <c r="AZI2460" s="62"/>
      <c r="AZJ2460" s="60"/>
      <c r="AZK2460" s="53"/>
      <c r="AZL2460" s="53"/>
      <c r="AZM2460" s="62"/>
      <c r="AZN2460" s="61"/>
      <c r="AZO2460" s="53"/>
      <c r="AZP2460" s="53"/>
      <c r="AZQ2460" s="62"/>
      <c r="AZR2460" s="60"/>
      <c r="AZS2460" s="53"/>
      <c r="AZT2460" s="53"/>
      <c r="AZU2460" s="62"/>
      <c r="AZV2460" s="61"/>
      <c r="AZW2460" s="53"/>
      <c r="AZX2460" s="53"/>
      <c r="AZY2460" s="62"/>
      <c r="AZZ2460" s="60"/>
      <c r="BAA2460" s="53"/>
      <c r="BAB2460" s="53"/>
      <c r="BAC2460" s="62"/>
      <c r="BAD2460" s="61"/>
      <c r="BAE2460" s="53"/>
      <c r="BAF2460" s="53"/>
      <c r="BAG2460" s="62"/>
      <c r="BAH2460" s="60"/>
      <c r="BAI2460" s="53"/>
      <c r="BAJ2460" s="53"/>
      <c r="BAK2460" s="62"/>
      <c r="BAL2460" s="61"/>
      <c r="BAM2460" s="53"/>
      <c r="BAN2460" s="53"/>
      <c r="BAO2460" s="62"/>
      <c r="BAP2460" s="60"/>
      <c r="BAQ2460" s="53"/>
      <c r="BAR2460" s="53"/>
      <c r="BAS2460" s="62"/>
      <c r="BAT2460" s="61"/>
      <c r="BAU2460" s="53"/>
      <c r="BAV2460" s="53"/>
      <c r="BAW2460" s="62"/>
      <c r="BAX2460" s="60"/>
      <c r="BAY2460" s="53"/>
      <c r="BAZ2460" s="53"/>
      <c r="BBA2460" s="62"/>
      <c r="BBB2460" s="61"/>
      <c r="BBC2460" s="53"/>
      <c r="BBD2460" s="53"/>
      <c r="BBE2460" s="62"/>
      <c r="BBF2460" s="60"/>
      <c r="BBG2460" s="53"/>
      <c r="BBH2460" s="53"/>
      <c r="BBI2460" s="62"/>
      <c r="BBJ2460" s="61"/>
      <c r="BBK2460" s="53"/>
      <c r="BBL2460" s="53"/>
      <c r="BBM2460" s="62"/>
      <c r="BBN2460" s="60"/>
      <c r="BBO2460" s="53"/>
      <c r="BBP2460" s="53"/>
      <c r="BBQ2460" s="62"/>
      <c r="BBR2460" s="61"/>
      <c r="BBS2460" s="53"/>
      <c r="BBT2460" s="53"/>
      <c r="BBU2460" s="62"/>
      <c r="BBV2460" s="60"/>
      <c r="BBW2460" s="53"/>
      <c r="BBX2460" s="53"/>
      <c r="BBY2460" s="62"/>
      <c r="BBZ2460" s="61"/>
      <c r="BCA2460" s="53"/>
      <c r="BCB2460" s="53"/>
      <c r="BCC2460" s="62"/>
      <c r="BCD2460" s="60"/>
      <c r="BCE2460" s="53"/>
      <c r="BCF2460" s="53"/>
      <c r="BCG2460" s="62"/>
      <c r="BCH2460" s="61"/>
      <c r="BCI2460" s="53"/>
      <c r="BCJ2460" s="53"/>
      <c r="BCK2460" s="62"/>
      <c r="BCL2460" s="60"/>
      <c r="BCM2460" s="53"/>
      <c r="BCN2460" s="53"/>
      <c r="BCO2460" s="62"/>
      <c r="BCP2460" s="61"/>
      <c r="BCQ2460" s="53"/>
      <c r="BCR2460" s="53"/>
      <c r="BCS2460" s="62"/>
      <c r="BCT2460" s="60"/>
      <c r="BCU2460" s="53"/>
      <c r="BCV2460" s="53"/>
      <c r="BCW2460" s="62"/>
      <c r="BCX2460" s="61"/>
      <c r="BCY2460" s="53"/>
      <c r="BCZ2460" s="53"/>
      <c r="BDA2460" s="62"/>
      <c r="BDB2460" s="60"/>
      <c r="BDC2460" s="53"/>
      <c r="BDD2460" s="53"/>
      <c r="BDE2460" s="62"/>
      <c r="BDF2460" s="61"/>
      <c r="BDG2460" s="53"/>
      <c r="BDH2460" s="53"/>
      <c r="BDI2460" s="62"/>
      <c r="BDJ2460" s="60"/>
      <c r="BDK2460" s="53"/>
      <c r="BDL2460" s="53"/>
      <c r="BDM2460" s="62"/>
      <c r="BDN2460" s="61"/>
      <c r="BDO2460" s="53"/>
      <c r="BDP2460" s="53"/>
      <c r="BDQ2460" s="62"/>
      <c r="BDR2460" s="60"/>
      <c r="BDS2460" s="53"/>
      <c r="BDT2460" s="53"/>
      <c r="BDU2460" s="62"/>
      <c r="BDV2460" s="61"/>
      <c r="BDW2460" s="53"/>
      <c r="BDX2460" s="53"/>
      <c r="BDY2460" s="62"/>
      <c r="BDZ2460" s="60"/>
      <c r="BEA2460" s="53"/>
      <c r="BEB2460" s="53"/>
      <c r="BEC2460" s="62"/>
      <c r="BED2460" s="61"/>
      <c r="BEE2460" s="53"/>
      <c r="BEF2460" s="53"/>
      <c r="BEG2460" s="62"/>
      <c r="BEH2460" s="60"/>
      <c r="BEI2460" s="53"/>
      <c r="BEJ2460" s="53"/>
      <c r="BEK2460" s="62"/>
      <c r="BEL2460" s="61"/>
      <c r="BEM2460" s="53"/>
      <c r="BEN2460" s="53"/>
      <c r="BEO2460" s="62"/>
      <c r="BEP2460" s="60"/>
      <c r="BEQ2460" s="53"/>
      <c r="BER2460" s="53"/>
      <c r="BES2460" s="62"/>
      <c r="BET2460" s="61"/>
      <c r="BEU2460" s="53"/>
      <c r="BEV2460" s="53"/>
      <c r="BEW2460" s="62"/>
      <c r="BEX2460" s="60"/>
      <c r="BEY2460" s="53"/>
      <c r="BEZ2460" s="53"/>
      <c r="BFA2460" s="62"/>
      <c r="BFB2460" s="61"/>
      <c r="BFC2460" s="53"/>
      <c r="BFD2460" s="53"/>
      <c r="BFE2460" s="62"/>
      <c r="BFF2460" s="60"/>
      <c r="BFG2460" s="53"/>
      <c r="BFH2460" s="53"/>
      <c r="BFI2460" s="62"/>
      <c r="BFJ2460" s="61"/>
      <c r="BFK2460" s="53"/>
      <c r="BFL2460" s="53"/>
      <c r="BFM2460" s="62"/>
      <c r="BFN2460" s="60"/>
      <c r="BFO2460" s="53"/>
      <c r="BFP2460" s="53"/>
      <c r="BFQ2460" s="62"/>
      <c r="BFR2460" s="61"/>
      <c r="BFS2460" s="53"/>
      <c r="BFT2460" s="53"/>
      <c r="BFU2460" s="62"/>
      <c r="BFV2460" s="60"/>
      <c r="BFW2460" s="53"/>
      <c r="BFX2460" s="53"/>
      <c r="BFY2460" s="62"/>
      <c r="BFZ2460" s="61"/>
      <c r="BGA2460" s="53"/>
      <c r="BGB2460" s="53"/>
      <c r="BGC2460" s="62"/>
      <c r="BGD2460" s="60"/>
      <c r="BGE2460" s="53"/>
      <c r="BGF2460" s="53"/>
      <c r="BGG2460" s="62"/>
      <c r="BGH2460" s="61"/>
      <c r="BGI2460" s="53"/>
      <c r="BGJ2460" s="53"/>
      <c r="BGK2460" s="62"/>
      <c r="BGL2460" s="60"/>
      <c r="BGM2460" s="53"/>
      <c r="BGN2460" s="53"/>
      <c r="BGO2460" s="62"/>
      <c r="BGP2460" s="61"/>
      <c r="BGQ2460" s="53"/>
      <c r="BGR2460" s="53"/>
      <c r="BGS2460" s="62"/>
      <c r="BGT2460" s="60"/>
      <c r="BGU2460" s="53"/>
      <c r="BGV2460" s="53"/>
      <c r="BGW2460" s="62"/>
      <c r="BGX2460" s="61"/>
      <c r="BGY2460" s="53"/>
      <c r="BGZ2460" s="53"/>
      <c r="BHA2460" s="62"/>
      <c r="BHB2460" s="60"/>
      <c r="BHC2460" s="53"/>
      <c r="BHD2460" s="53"/>
      <c r="BHE2460" s="62"/>
      <c r="BHF2460" s="61"/>
      <c r="BHG2460" s="53"/>
      <c r="BHH2460" s="53"/>
      <c r="BHI2460" s="62"/>
      <c r="BHJ2460" s="60"/>
      <c r="BHK2460" s="53"/>
      <c r="BHL2460" s="53"/>
      <c r="BHM2460" s="62"/>
      <c r="BHN2460" s="61"/>
      <c r="BHO2460" s="53"/>
      <c r="BHP2460" s="53"/>
      <c r="BHQ2460" s="62"/>
      <c r="BHR2460" s="60"/>
      <c r="BHS2460" s="53"/>
      <c r="BHT2460" s="53"/>
      <c r="BHU2460" s="62"/>
      <c r="BHV2460" s="61"/>
      <c r="BHW2460" s="53"/>
      <c r="BHX2460" s="53"/>
      <c r="BHY2460" s="62"/>
      <c r="BHZ2460" s="60"/>
      <c r="BIA2460" s="53"/>
      <c r="BIB2460" s="53"/>
      <c r="BIC2460" s="62"/>
      <c r="BID2460" s="61"/>
      <c r="BIE2460" s="53"/>
      <c r="BIF2460" s="53"/>
      <c r="BIG2460" s="62"/>
      <c r="BIH2460" s="60"/>
      <c r="BII2460" s="53"/>
      <c r="BIJ2460" s="53"/>
      <c r="BIK2460" s="62"/>
      <c r="BIL2460" s="61"/>
      <c r="BIM2460" s="53"/>
      <c r="BIN2460" s="53"/>
      <c r="BIO2460" s="62"/>
      <c r="BIP2460" s="60"/>
      <c r="BIQ2460" s="53"/>
      <c r="BIR2460" s="53"/>
      <c r="BIS2460" s="62"/>
      <c r="BIT2460" s="61"/>
      <c r="BIU2460" s="53"/>
      <c r="BIV2460" s="53"/>
      <c r="BIW2460" s="62"/>
      <c r="BIX2460" s="60"/>
      <c r="BIY2460" s="53"/>
      <c r="BIZ2460" s="53"/>
      <c r="BJA2460" s="62"/>
      <c r="BJB2460" s="61"/>
      <c r="BJC2460" s="53"/>
      <c r="BJD2460" s="53"/>
      <c r="BJE2460" s="62"/>
      <c r="BJF2460" s="60"/>
      <c r="BJG2460" s="53"/>
      <c r="BJH2460" s="53"/>
      <c r="BJI2460" s="62"/>
      <c r="BJJ2460" s="61"/>
      <c r="BJK2460" s="53"/>
      <c r="BJL2460" s="53"/>
      <c r="BJM2460" s="62"/>
      <c r="BJN2460" s="60"/>
      <c r="BJO2460" s="53"/>
      <c r="BJP2460" s="53"/>
      <c r="BJQ2460" s="62"/>
      <c r="BJR2460" s="61"/>
      <c r="BJS2460" s="53"/>
      <c r="BJT2460" s="53"/>
      <c r="BJU2460" s="62"/>
      <c r="BJV2460" s="60"/>
      <c r="BJW2460" s="53"/>
      <c r="BJX2460" s="53"/>
      <c r="BJY2460" s="62"/>
      <c r="BJZ2460" s="61"/>
      <c r="BKA2460" s="53"/>
      <c r="BKB2460" s="53"/>
      <c r="BKC2460" s="62"/>
      <c r="BKD2460" s="60"/>
      <c r="BKE2460" s="53"/>
      <c r="BKF2460" s="53"/>
      <c r="BKG2460" s="62"/>
      <c r="BKH2460" s="61"/>
      <c r="BKI2460" s="53"/>
      <c r="BKJ2460" s="53"/>
      <c r="BKK2460" s="62"/>
      <c r="BKL2460" s="60"/>
      <c r="BKM2460" s="53"/>
      <c r="BKN2460" s="53"/>
      <c r="BKO2460" s="62"/>
      <c r="BKP2460" s="61"/>
      <c r="BKQ2460" s="53"/>
      <c r="BKR2460" s="53"/>
      <c r="BKS2460" s="62"/>
      <c r="BKT2460" s="60"/>
      <c r="BKU2460" s="53"/>
      <c r="BKV2460" s="53"/>
      <c r="BKW2460" s="62"/>
      <c r="BKX2460" s="61"/>
      <c r="BKY2460" s="53"/>
      <c r="BKZ2460" s="53"/>
      <c r="BLA2460" s="62"/>
      <c r="BLB2460" s="60"/>
      <c r="BLC2460" s="53"/>
      <c r="BLD2460" s="53"/>
      <c r="BLE2460" s="62"/>
      <c r="BLF2460" s="61"/>
      <c r="BLG2460" s="53"/>
      <c r="BLH2460" s="53"/>
      <c r="BLI2460" s="62"/>
      <c r="BLJ2460" s="60"/>
      <c r="BLK2460" s="53"/>
      <c r="BLL2460" s="53"/>
      <c r="BLM2460" s="62"/>
      <c r="BLN2460" s="61"/>
      <c r="BLO2460" s="53"/>
      <c r="BLP2460" s="53"/>
      <c r="BLQ2460" s="62"/>
      <c r="BLR2460" s="60"/>
      <c r="BLS2460" s="53"/>
      <c r="BLT2460" s="53"/>
      <c r="BLU2460" s="62"/>
      <c r="BLV2460" s="61"/>
      <c r="BLW2460" s="53"/>
      <c r="BLX2460" s="53"/>
      <c r="BLY2460" s="62"/>
      <c r="BLZ2460" s="60"/>
      <c r="BMA2460" s="53"/>
      <c r="BMB2460" s="53"/>
      <c r="BMC2460" s="62"/>
      <c r="BMD2460" s="61"/>
      <c r="BME2460" s="53"/>
      <c r="BMF2460" s="53"/>
      <c r="BMG2460" s="62"/>
      <c r="BMH2460" s="60"/>
      <c r="BMI2460" s="53"/>
      <c r="BMJ2460" s="53"/>
      <c r="BMK2460" s="62"/>
      <c r="BML2460" s="61"/>
      <c r="BMM2460" s="53"/>
      <c r="BMN2460" s="53"/>
      <c r="BMO2460" s="62"/>
      <c r="BMP2460" s="60"/>
      <c r="BMQ2460" s="53"/>
      <c r="BMR2460" s="53"/>
      <c r="BMS2460" s="62"/>
      <c r="BMT2460" s="61"/>
      <c r="BMU2460" s="53"/>
      <c r="BMV2460" s="53"/>
      <c r="BMW2460" s="62"/>
      <c r="BMX2460" s="60"/>
      <c r="BMY2460" s="53"/>
      <c r="BMZ2460" s="53"/>
      <c r="BNA2460" s="62"/>
      <c r="BNB2460" s="61"/>
      <c r="BNC2460" s="53"/>
      <c r="BND2460" s="53"/>
      <c r="BNE2460" s="62"/>
      <c r="BNF2460" s="60"/>
      <c r="BNG2460" s="53"/>
      <c r="BNH2460" s="53"/>
      <c r="BNI2460" s="62"/>
      <c r="BNJ2460" s="61"/>
      <c r="BNK2460" s="53"/>
      <c r="BNL2460" s="53"/>
      <c r="BNM2460" s="62"/>
      <c r="BNN2460" s="60"/>
      <c r="BNO2460" s="53"/>
      <c r="BNP2460" s="53"/>
      <c r="BNQ2460" s="62"/>
      <c r="BNR2460" s="61"/>
      <c r="BNS2460" s="53"/>
      <c r="BNT2460" s="53"/>
      <c r="BNU2460" s="62"/>
      <c r="BNV2460" s="60"/>
      <c r="BNW2460" s="53"/>
      <c r="BNX2460" s="53"/>
      <c r="BNY2460" s="62"/>
      <c r="BNZ2460" s="61"/>
      <c r="BOA2460" s="53"/>
      <c r="BOB2460" s="53"/>
      <c r="BOC2460" s="62"/>
      <c r="BOD2460" s="60"/>
      <c r="BOE2460" s="53"/>
      <c r="BOF2460" s="53"/>
      <c r="BOG2460" s="62"/>
      <c r="BOH2460" s="61"/>
      <c r="BOI2460" s="53"/>
      <c r="BOJ2460" s="53"/>
      <c r="BOK2460" s="62"/>
      <c r="BOL2460" s="60"/>
      <c r="BOM2460" s="53"/>
      <c r="BON2460" s="53"/>
      <c r="BOO2460" s="62"/>
      <c r="BOP2460" s="61"/>
      <c r="BOQ2460" s="53"/>
      <c r="BOR2460" s="53"/>
      <c r="BOS2460" s="62"/>
      <c r="BOT2460" s="60"/>
      <c r="BOU2460" s="53"/>
      <c r="BOV2460" s="53"/>
      <c r="BOW2460" s="62"/>
      <c r="BOX2460" s="61"/>
      <c r="BOY2460" s="53"/>
      <c r="BOZ2460" s="53"/>
      <c r="BPA2460" s="62"/>
      <c r="BPB2460" s="60"/>
      <c r="BPC2460" s="53"/>
      <c r="BPD2460" s="53"/>
      <c r="BPE2460" s="62"/>
      <c r="BPF2460" s="61"/>
      <c r="BPG2460" s="53"/>
      <c r="BPH2460" s="53"/>
      <c r="BPI2460" s="62"/>
      <c r="BPJ2460" s="60"/>
      <c r="BPK2460" s="53"/>
      <c r="BPL2460" s="53"/>
      <c r="BPM2460" s="62"/>
      <c r="BPN2460" s="61"/>
      <c r="BPO2460" s="53"/>
      <c r="BPP2460" s="53"/>
      <c r="BPQ2460" s="62"/>
      <c r="BPR2460" s="60"/>
      <c r="BPS2460" s="53"/>
      <c r="BPT2460" s="53"/>
      <c r="BPU2460" s="62"/>
      <c r="BPV2460" s="61"/>
      <c r="BPW2460" s="53"/>
      <c r="BPX2460" s="53"/>
      <c r="BPY2460" s="62"/>
      <c r="BPZ2460" s="60"/>
      <c r="BQA2460" s="53"/>
      <c r="BQB2460" s="53"/>
      <c r="BQC2460" s="62"/>
      <c r="BQD2460" s="61"/>
      <c r="BQE2460" s="53"/>
      <c r="BQF2460" s="53"/>
      <c r="BQG2460" s="62"/>
      <c r="BQH2460" s="60"/>
      <c r="BQI2460" s="53"/>
      <c r="BQJ2460" s="53"/>
      <c r="BQK2460" s="62"/>
      <c r="BQL2460" s="61"/>
      <c r="BQM2460" s="53"/>
      <c r="BQN2460" s="53"/>
      <c r="BQO2460" s="62"/>
      <c r="BQP2460" s="60"/>
      <c r="BQQ2460" s="53"/>
      <c r="BQR2460" s="53"/>
      <c r="BQS2460" s="62"/>
      <c r="BQT2460" s="61"/>
      <c r="BQU2460" s="53"/>
      <c r="BQV2460" s="53"/>
      <c r="BQW2460" s="62"/>
      <c r="BQX2460" s="60"/>
      <c r="BQY2460" s="53"/>
      <c r="BQZ2460" s="53"/>
      <c r="BRA2460" s="62"/>
      <c r="BRB2460" s="61"/>
      <c r="BRC2460" s="53"/>
      <c r="BRD2460" s="53"/>
      <c r="BRE2460" s="62"/>
      <c r="BRF2460" s="60"/>
      <c r="BRG2460" s="53"/>
      <c r="BRH2460" s="53"/>
      <c r="BRI2460" s="62"/>
      <c r="BRJ2460" s="61"/>
      <c r="BRK2460" s="53"/>
      <c r="BRL2460" s="53"/>
      <c r="BRM2460" s="62"/>
      <c r="BRN2460" s="60"/>
      <c r="BRO2460" s="53"/>
      <c r="BRP2460" s="53"/>
      <c r="BRQ2460" s="62"/>
      <c r="BRR2460" s="61"/>
      <c r="BRS2460" s="53"/>
      <c r="BRT2460" s="53"/>
      <c r="BRU2460" s="62"/>
      <c r="BRV2460" s="60"/>
      <c r="BRW2460" s="53"/>
      <c r="BRX2460" s="53"/>
      <c r="BRY2460" s="62"/>
      <c r="BRZ2460" s="61"/>
      <c r="BSA2460" s="53"/>
      <c r="BSB2460" s="53"/>
      <c r="BSC2460" s="62"/>
      <c r="BSD2460" s="60"/>
      <c r="BSE2460" s="53"/>
      <c r="BSF2460" s="53"/>
      <c r="BSG2460" s="62"/>
      <c r="BSH2460" s="61"/>
      <c r="BSI2460" s="53"/>
      <c r="BSJ2460" s="53"/>
      <c r="BSK2460" s="62"/>
      <c r="BSL2460" s="60"/>
      <c r="BSM2460" s="53"/>
      <c r="BSN2460" s="53"/>
      <c r="BSO2460" s="62"/>
      <c r="BSP2460" s="61"/>
      <c r="BSQ2460" s="53"/>
      <c r="BSR2460" s="53"/>
      <c r="BSS2460" s="62"/>
      <c r="BST2460" s="60"/>
      <c r="BSU2460" s="53"/>
      <c r="BSV2460" s="53"/>
      <c r="BSW2460" s="62"/>
      <c r="BSX2460" s="61"/>
      <c r="BSY2460" s="53"/>
      <c r="BSZ2460" s="53"/>
      <c r="BTA2460" s="62"/>
      <c r="BTB2460" s="60"/>
      <c r="BTC2460" s="53"/>
      <c r="BTD2460" s="53"/>
      <c r="BTE2460" s="62"/>
      <c r="BTF2460" s="61"/>
      <c r="BTG2460" s="53"/>
      <c r="BTH2460" s="53"/>
      <c r="BTI2460" s="62"/>
      <c r="BTJ2460" s="60"/>
      <c r="BTK2460" s="53"/>
      <c r="BTL2460" s="53"/>
      <c r="BTM2460" s="62"/>
      <c r="BTN2460" s="61"/>
      <c r="BTO2460" s="53"/>
      <c r="BTP2460" s="53"/>
      <c r="BTQ2460" s="62"/>
      <c r="BTR2460" s="60"/>
      <c r="BTS2460" s="53"/>
      <c r="BTT2460" s="53"/>
      <c r="BTU2460" s="62"/>
      <c r="BTV2460" s="61"/>
      <c r="BTW2460" s="53"/>
      <c r="BTX2460" s="53"/>
      <c r="BTY2460" s="62"/>
      <c r="BTZ2460" s="60"/>
      <c r="BUA2460" s="53"/>
      <c r="BUB2460" s="53"/>
      <c r="BUC2460" s="62"/>
      <c r="BUD2460" s="61"/>
      <c r="BUE2460" s="53"/>
      <c r="BUF2460" s="53"/>
      <c r="BUG2460" s="62"/>
      <c r="BUH2460" s="60"/>
      <c r="BUI2460" s="53"/>
      <c r="BUJ2460" s="53"/>
      <c r="BUK2460" s="62"/>
      <c r="BUL2460" s="61"/>
      <c r="BUM2460" s="53"/>
      <c r="BUN2460" s="53"/>
      <c r="BUO2460" s="62"/>
      <c r="BUP2460" s="60"/>
      <c r="BUQ2460" s="53"/>
      <c r="BUR2460" s="53"/>
      <c r="BUS2460" s="62"/>
      <c r="BUT2460" s="61"/>
      <c r="BUU2460" s="53"/>
      <c r="BUV2460" s="53"/>
      <c r="BUW2460" s="62"/>
      <c r="BUX2460" s="60"/>
      <c r="BUY2460" s="53"/>
      <c r="BUZ2460" s="53"/>
      <c r="BVA2460" s="62"/>
      <c r="BVB2460" s="61"/>
      <c r="BVC2460" s="53"/>
      <c r="BVD2460" s="53"/>
      <c r="BVE2460" s="62"/>
      <c r="BVF2460" s="60"/>
      <c r="BVG2460" s="53"/>
      <c r="BVH2460" s="53"/>
      <c r="BVI2460" s="62"/>
      <c r="BVJ2460" s="61"/>
      <c r="BVK2460" s="53"/>
      <c r="BVL2460" s="53"/>
      <c r="BVM2460" s="62"/>
      <c r="BVN2460" s="60"/>
      <c r="BVO2460" s="53"/>
      <c r="BVP2460" s="53"/>
      <c r="BVQ2460" s="62"/>
      <c r="BVR2460" s="61"/>
      <c r="BVS2460" s="53"/>
      <c r="BVT2460" s="53"/>
      <c r="BVU2460" s="62"/>
      <c r="BVV2460" s="60"/>
      <c r="BVW2460" s="53"/>
      <c r="BVX2460" s="53"/>
      <c r="BVY2460" s="62"/>
      <c r="BVZ2460" s="61"/>
      <c r="BWA2460" s="53"/>
      <c r="BWB2460" s="53"/>
      <c r="BWC2460" s="62"/>
      <c r="BWD2460" s="60"/>
      <c r="BWE2460" s="53"/>
      <c r="BWF2460" s="53"/>
      <c r="BWG2460" s="62"/>
      <c r="BWH2460" s="61"/>
      <c r="BWI2460" s="53"/>
      <c r="BWJ2460" s="53"/>
      <c r="BWK2460" s="62"/>
      <c r="BWL2460" s="60"/>
      <c r="BWM2460" s="53"/>
      <c r="BWN2460" s="53"/>
      <c r="BWO2460" s="62"/>
      <c r="BWP2460" s="61"/>
      <c r="BWQ2460" s="53"/>
      <c r="BWR2460" s="53"/>
      <c r="BWS2460" s="62"/>
      <c r="BWT2460" s="60"/>
      <c r="BWU2460" s="53"/>
      <c r="BWV2460" s="53"/>
      <c r="BWW2460" s="62"/>
      <c r="BWX2460" s="61"/>
      <c r="BWY2460" s="53"/>
      <c r="BWZ2460" s="53"/>
      <c r="BXA2460" s="62"/>
      <c r="BXB2460" s="60"/>
      <c r="BXC2460" s="53"/>
      <c r="BXD2460" s="53"/>
      <c r="BXE2460" s="62"/>
      <c r="BXF2460" s="61"/>
      <c r="BXG2460" s="53"/>
      <c r="BXH2460" s="53"/>
      <c r="BXI2460" s="62"/>
      <c r="BXJ2460" s="60"/>
      <c r="BXK2460" s="53"/>
      <c r="BXL2460" s="53"/>
      <c r="BXM2460" s="62"/>
      <c r="BXN2460" s="61"/>
      <c r="BXO2460" s="53"/>
      <c r="BXP2460" s="53"/>
      <c r="BXQ2460" s="62"/>
      <c r="BXR2460" s="60"/>
      <c r="BXS2460" s="53"/>
      <c r="BXT2460" s="53"/>
      <c r="BXU2460" s="62"/>
      <c r="BXV2460" s="61"/>
      <c r="BXW2460" s="53"/>
      <c r="BXX2460" s="53"/>
      <c r="BXY2460" s="62"/>
      <c r="BXZ2460" s="60"/>
      <c r="BYA2460" s="53"/>
      <c r="BYB2460" s="53"/>
      <c r="BYC2460" s="62"/>
      <c r="BYD2460" s="61"/>
      <c r="BYE2460" s="53"/>
      <c r="BYF2460" s="53"/>
      <c r="BYG2460" s="62"/>
      <c r="BYH2460" s="60"/>
      <c r="BYI2460" s="53"/>
      <c r="BYJ2460" s="53"/>
      <c r="BYK2460" s="62"/>
      <c r="BYL2460" s="61"/>
      <c r="BYM2460" s="53"/>
      <c r="BYN2460" s="53"/>
      <c r="BYO2460" s="62"/>
      <c r="BYP2460" s="60"/>
      <c r="BYQ2460" s="53"/>
      <c r="BYR2460" s="53"/>
      <c r="BYS2460" s="62"/>
      <c r="BYT2460" s="61"/>
      <c r="BYU2460" s="53"/>
      <c r="BYV2460" s="53"/>
      <c r="BYW2460" s="62"/>
      <c r="BYX2460" s="60"/>
      <c r="BYY2460" s="53"/>
      <c r="BYZ2460" s="53"/>
      <c r="BZA2460" s="62"/>
      <c r="BZB2460" s="61"/>
      <c r="BZC2460" s="53"/>
      <c r="BZD2460" s="53"/>
      <c r="BZE2460" s="62"/>
      <c r="BZF2460" s="60"/>
      <c r="BZG2460" s="53"/>
      <c r="BZH2460" s="53"/>
      <c r="BZI2460" s="62"/>
      <c r="BZJ2460" s="61"/>
      <c r="BZK2460" s="53"/>
      <c r="BZL2460" s="53"/>
      <c r="BZM2460" s="62"/>
      <c r="BZN2460" s="60"/>
      <c r="BZO2460" s="53"/>
      <c r="BZP2460" s="53"/>
      <c r="BZQ2460" s="62"/>
      <c r="BZR2460" s="61"/>
      <c r="BZS2460" s="53"/>
      <c r="BZT2460" s="53"/>
      <c r="BZU2460" s="62"/>
      <c r="BZV2460" s="60"/>
      <c r="BZW2460" s="53"/>
      <c r="BZX2460" s="53"/>
      <c r="BZY2460" s="62"/>
      <c r="BZZ2460" s="61"/>
      <c r="CAA2460" s="53"/>
      <c r="CAB2460" s="53"/>
      <c r="CAC2460" s="62"/>
      <c r="CAD2460" s="60"/>
      <c r="CAE2460" s="53"/>
      <c r="CAF2460" s="53"/>
      <c r="CAG2460" s="62"/>
      <c r="CAH2460" s="61"/>
      <c r="CAI2460" s="53"/>
      <c r="CAJ2460" s="53"/>
      <c r="CAK2460" s="62"/>
      <c r="CAL2460" s="60"/>
      <c r="CAM2460" s="53"/>
      <c r="CAN2460" s="53"/>
      <c r="CAO2460" s="62"/>
      <c r="CAP2460" s="61"/>
      <c r="CAQ2460" s="53"/>
      <c r="CAR2460" s="53"/>
      <c r="CAS2460" s="62"/>
      <c r="CAT2460" s="60"/>
      <c r="CAU2460" s="53"/>
      <c r="CAV2460" s="53"/>
      <c r="CAW2460" s="62"/>
      <c r="CAX2460" s="61"/>
      <c r="CAY2460" s="53"/>
      <c r="CAZ2460" s="53"/>
      <c r="CBA2460" s="62"/>
      <c r="CBB2460" s="60"/>
      <c r="CBC2460" s="53"/>
      <c r="CBD2460" s="53"/>
      <c r="CBE2460" s="62"/>
      <c r="CBF2460" s="61"/>
      <c r="CBG2460" s="53"/>
      <c r="CBH2460" s="53"/>
      <c r="CBI2460" s="62"/>
      <c r="CBJ2460" s="60"/>
      <c r="CBK2460" s="53"/>
      <c r="CBL2460" s="53"/>
      <c r="CBM2460" s="62"/>
      <c r="CBN2460" s="61"/>
      <c r="CBO2460" s="53"/>
      <c r="CBP2460" s="53"/>
      <c r="CBQ2460" s="62"/>
      <c r="CBR2460" s="60"/>
      <c r="CBS2460" s="53"/>
      <c r="CBT2460" s="53"/>
      <c r="CBU2460" s="62"/>
      <c r="CBV2460" s="61"/>
      <c r="CBW2460" s="53"/>
      <c r="CBX2460" s="53"/>
      <c r="CBY2460" s="62"/>
      <c r="CBZ2460" s="60"/>
      <c r="CCA2460" s="53"/>
      <c r="CCB2460" s="53"/>
      <c r="CCC2460" s="62"/>
      <c r="CCD2460" s="61"/>
      <c r="CCE2460" s="53"/>
      <c r="CCF2460" s="53"/>
      <c r="CCG2460" s="62"/>
      <c r="CCH2460" s="60"/>
      <c r="CCI2460" s="53"/>
      <c r="CCJ2460" s="53"/>
      <c r="CCK2460" s="62"/>
      <c r="CCL2460" s="61"/>
      <c r="CCM2460" s="53"/>
      <c r="CCN2460" s="53"/>
      <c r="CCO2460" s="62"/>
      <c r="CCP2460" s="60"/>
      <c r="CCQ2460" s="53"/>
      <c r="CCR2460" s="53"/>
      <c r="CCS2460" s="62"/>
      <c r="CCT2460" s="61"/>
      <c r="CCU2460" s="53"/>
      <c r="CCV2460" s="53"/>
      <c r="CCW2460" s="62"/>
      <c r="CCX2460" s="60"/>
      <c r="CCY2460" s="53"/>
      <c r="CCZ2460" s="53"/>
      <c r="CDA2460" s="62"/>
      <c r="CDB2460" s="61"/>
      <c r="CDC2460" s="53"/>
      <c r="CDD2460" s="53"/>
      <c r="CDE2460" s="62"/>
      <c r="CDF2460" s="60"/>
      <c r="CDG2460" s="53"/>
      <c r="CDH2460" s="53"/>
      <c r="CDI2460" s="62"/>
      <c r="CDJ2460" s="61"/>
      <c r="CDK2460" s="53"/>
      <c r="CDL2460" s="53"/>
      <c r="CDM2460" s="62"/>
      <c r="CDN2460" s="60"/>
      <c r="CDO2460" s="53"/>
      <c r="CDP2460" s="53"/>
      <c r="CDQ2460" s="62"/>
      <c r="CDR2460" s="61"/>
      <c r="CDS2460" s="53"/>
      <c r="CDT2460" s="53"/>
      <c r="CDU2460" s="62"/>
      <c r="CDV2460" s="60"/>
      <c r="CDW2460" s="53"/>
      <c r="CDX2460" s="53"/>
      <c r="CDY2460" s="62"/>
      <c r="CDZ2460" s="61"/>
      <c r="CEA2460" s="53"/>
      <c r="CEB2460" s="53"/>
      <c r="CEC2460" s="62"/>
      <c r="CED2460" s="60"/>
      <c r="CEE2460" s="53"/>
      <c r="CEF2460" s="53"/>
      <c r="CEG2460" s="62"/>
      <c r="CEH2460" s="61"/>
      <c r="CEI2460" s="53"/>
      <c r="CEJ2460" s="53"/>
      <c r="CEK2460" s="62"/>
      <c r="CEL2460" s="60"/>
      <c r="CEM2460" s="53"/>
      <c r="CEN2460" s="53"/>
      <c r="CEO2460" s="62"/>
      <c r="CEP2460" s="61"/>
      <c r="CEQ2460" s="53"/>
      <c r="CER2460" s="53"/>
      <c r="CES2460" s="62"/>
      <c r="CET2460" s="60"/>
      <c r="CEU2460" s="53"/>
      <c r="CEV2460" s="53"/>
      <c r="CEW2460" s="62"/>
      <c r="CEX2460" s="61"/>
      <c r="CEY2460" s="53"/>
      <c r="CEZ2460" s="53"/>
      <c r="CFA2460" s="62"/>
      <c r="CFB2460" s="60"/>
      <c r="CFC2460" s="53"/>
      <c r="CFD2460" s="53"/>
      <c r="CFE2460" s="62"/>
      <c r="CFF2460" s="61"/>
      <c r="CFG2460" s="53"/>
      <c r="CFH2460" s="53"/>
      <c r="CFI2460" s="62"/>
      <c r="CFJ2460" s="60"/>
      <c r="CFK2460" s="53"/>
      <c r="CFL2460" s="53"/>
      <c r="CFM2460" s="62"/>
      <c r="CFN2460" s="61"/>
      <c r="CFO2460" s="53"/>
      <c r="CFP2460" s="53"/>
      <c r="CFQ2460" s="62"/>
      <c r="CFR2460" s="60"/>
      <c r="CFS2460" s="53"/>
      <c r="CFT2460" s="53"/>
      <c r="CFU2460" s="62"/>
      <c r="CFV2460" s="61"/>
      <c r="CFW2460" s="53"/>
      <c r="CFX2460" s="53"/>
      <c r="CFY2460" s="62"/>
      <c r="CFZ2460" s="60"/>
      <c r="CGA2460" s="53"/>
      <c r="CGB2460" s="53"/>
      <c r="CGC2460" s="62"/>
      <c r="CGD2460" s="61"/>
      <c r="CGE2460" s="53"/>
      <c r="CGF2460" s="53"/>
      <c r="CGG2460" s="62"/>
      <c r="CGH2460" s="60"/>
      <c r="CGI2460" s="53"/>
      <c r="CGJ2460" s="53"/>
      <c r="CGK2460" s="62"/>
      <c r="CGL2460" s="61"/>
      <c r="CGM2460" s="53"/>
      <c r="CGN2460" s="53"/>
      <c r="CGO2460" s="62"/>
      <c r="CGP2460" s="60"/>
      <c r="CGQ2460" s="53"/>
      <c r="CGR2460" s="53"/>
      <c r="CGS2460" s="62"/>
      <c r="CGT2460" s="61"/>
      <c r="CGU2460" s="53"/>
      <c r="CGV2460" s="53"/>
      <c r="CGW2460" s="62"/>
      <c r="CGX2460" s="60"/>
      <c r="CGY2460" s="53"/>
      <c r="CGZ2460" s="53"/>
      <c r="CHA2460" s="62"/>
      <c r="CHB2460" s="61"/>
      <c r="CHC2460" s="53"/>
      <c r="CHD2460" s="53"/>
      <c r="CHE2460" s="62"/>
      <c r="CHF2460" s="60"/>
      <c r="CHG2460" s="53"/>
      <c r="CHH2460" s="53"/>
      <c r="CHI2460" s="62"/>
      <c r="CHJ2460" s="61"/>
      <c r="CHK2460" s="53"/>
      <c r="CHL2460" s="53"/>
      <c r="CHM2460" s="62"/>
      <c r="CHN2460" s="60"/>
      <c r="CHO2460" s="53"/>
      <c r="CHP2460" s="53"/>
      <c r="CHQ2460" s="62"/>
      <c r="CHR2460" s="61"/>
      <c r="CHS2460" s="53"/>
      <c r="CHT2460" s="53"/>
      <c r="CHU2460" s="62"/>
      <c r="CHV2460" s="60"/>
      <c r="CHW2460" s="53"/>
      <c r="CHX2460" s="53"/>
      <c r="CHY2460" s="62"/>
      <c r="CHZ2460" s="61"/>
      <c r="CIA2460" s="53"/>
      <c r="CIB2460" s="53"/>
      <c r="CIC2460" s="62"/>
      <c r="CID2460" s="60"/>
      <c r="CIE2460" s="53"/>
      <c r="CIF2460" s="53"/>
      <c r="CIG2460" s="62"/>
      <c r="CIH2460" s="61"/>
      <c r="CII2460" s="53"/>
      <c r="CIJ2460" s="53"/>
      <c r="CIK2460" s="62"/>
      <c r="CIL2460" s="60"/>
      <c r="CIM2460" s="53"/>
      <c r="CIN2460" s="53"/>
      <c r="CIO2460" s="62"/>
      <c r="CIP2460" s="61"/>
      <c r="CIQ2460" s="53"/>
      <c r="CIR2460" s="53"/>
      <c r="CIS2460" s="62"/>
      <c r="CIT2460" s="60"/>
      <c r="CIU2460" s="53"/>
      <c r="CIV2460" s="53"/>
      <c r="CIW2460" s="62"/>
      <c r="CIX2460" s="61"/>
      <c r="CIY2460" s="53"/>
      <c r="CIZ2460" s="53"/>
      <c r="CJA2460" s="62"/>
      <c r="CJB2460" s="60"/>
      <c r="CJC2460" s="53"/>
      <c r="CJD2460" s="53"/>
      <c r="CJE2460" s="62"/>
      <c r="CJF2460" s="61"/>
      <c r="CJG2460" s="53"/>
      <c r="CJH2460" s="53"/>
      <c r="CJI2460" s="62"/>
      <c r="CJJ2460" s="60"/>
      <c r="CJK2460" s="53"/>
      <c r="CJL2460" s="53"/>
      <c r="CJM2460" s="62"/>
      <c r="CJN2460" s="61"/>
      <c r="CJO2460" s="53"/>
      <c r="CJP2460" s="53"/>
      <c r="CJQ2460" s="62"/>
      <c r="CJR2460" s="60"/>
      <c r="CJS2460" s="53"/>
      <c r="CJT2460" s="53"/>
      <c r="CJU2460" s="62"/>
      <c r="CJV2460" s="61"/>
      <c r="CJW2460" s="53"/>
      <c r="CJX2460" s="53"/>
      <c r="CJY2460" s="62"/>
      <c r="CJZ2460" s="60"/>
      <c r="CKA2460" s="53"/>
      <c r="CKB2460" s="53"/>
      <c r="CKC2460" s="62"/>
      <c r="CKD2460" s="61"/>
      <c r="CKE2460" s="53"/>
      <c r="CKF2460" s="53"/>
      <c r="CKG2460" s="62"/>
      <c r="CKH2460" s="60"/>
      <c r="CKI2460" s="53"/>
      <c r="CKJ2460" s="53"/>
      <c r="CKK2460" s="62"/>
      <c r="CKL2460" s="61"/>
      <c r="CKM2460" s="53"/>
      <c r="CKN2460" s="53"/>
      <c r="CKO2460" s="62"/>
      <c r="CKP2460" s="60"/>
      <c r="CKQ2460" s="53"/>
      <c r="CKR2460" s="53"/>
      <c r="CKS2460" s="62"/>
      <c r="CKT2460" s="61"/>
      <c r="CKU2460" s="53"/>
      <c r="CKV2460" s="53"/>
      <c r="CKW2460" s="62"/>
      <c r="CKX2460" s="60"/>
      <c r="CKY2460" s="53"/>
      <c r="CKZ2460" s="53"/>
      <c r="CLA2460" s="62"/>
      <c r="CLB2460" s="61"/>
      <c r="CLC2460" s="53"/>
      <c r="CLD2460" s="53"/>
      <c r="CLE2460" s="62"/>
      <c r="CLF2460" s="60"/>
      <c r="CLG2460" s="53"/>
      <c r="CLH2460" s="53"/>
      <c r="CLI2460" s="62"/>
      <c r="CLJ2460" s="61"/>
      <c r="CLK2460" s="53"/>
      <c r="CLL2460" s="53"/>
      <c r="CLM2460" s="62"/>
      <c r="CLN2460" s="60"/>
      <c r="CLO2460" s="53"/>
      <c r="CLP2460" s="53"/>
      <c r="CLQ2460" s="62"/>
      <c r="CLR2460" s="61"/>
      <c r="CLS2460" s="53"/>
      <c r="CLT2460" s="53"/>
      <c r="CLU2460" s="62"/>
      <c r="CLV2460" s="60"/>
      <c r="CLW2460" s="53"/>
      <c r="CLX2460" s="53"/>
      <c r="CLY2460" s="62"/>
      <c r="CLZ2460" s="61"/>
      <c r="CMA2460" s="53"/>
      <c r="CMB2460" s="53"/>
      <c r="CMC2460" s="62"/>
      <c r="CMD2460" s="60"/>
      <c r="CME2460" s="53"/>
      <c r="CMF2460" s="53"/>
      <c r="CMG2460" s="62"/>
      <c r="CMH2460" s="61"/>
      <c r="CMI2460" s="53"/>
      <c r="CMJ2460" s="53"/>
      <c r="CMK2460" s="62"/>
      <c r="CML2460" s="60"/>
      <c r="CMM2460" s="53"/>
      <c r="CMN2460" s="53"/>
      <c r="CMO2460" s="62"/>
      <c r="CMP2460" s="61"/>
      <c r="CMQ2460" s="53"/>
      <c r="CMR2460" s="53"/>
      <c r="CMS2460" s="62"/>
      <c r="CMT2460" s="60"/>
      <c r="CMU2460" s="53"/>
      <c r="CMV2460" s="53"/>
      <c r="CMW2460" s="62"/>
      <c r="CMX2460" s="61"/>
      <c r="CMY2460" s="53"/>
      <c r="CMZ2460" s="53"/>
      <c r="CNA2460" s="62"/>
      <c r="CNB2460" s="60"/>
      <c r="CNC2460" s="53"/>
      <c r="CND2460" s="53"/>
      <c r="CNE2460" s="62"/>
      <c r="CNF2460" s="61"/>
      <c r="CNG2460" s="53"/>
      <c r="CNH2460" s="53"/>
      <c r="CNI2460" s="62"/>
      <c r="CNJ2460" s="60"/>
      <c r="CNK2460" s="53"/>
      <c r="CNL2460" s="53"/>
      <c r="CNM2460" s="62"/>
      <c r="CNN2460" s="61"/>
      <c r="CNO2460" s="53"/>
      <c r="CNP2460" s="53"/>
      <c r="CNQ2460" s="62"/>
      <c r="CNR2460" s="60"/>
      <c r="CNS2460" s="53"/>
      <c r="CNT2460" s="53"/>
      <c r="CNU2460" s="62"/>
      <c r="CNV2460" s="61"/>
      <c r="CNW2460" s="53"/>
      <c r="CNX2460" s="53"/>
      <c r="CNY2460" s="62"/>
      <c r="CNZ2460" s="60"/>
      <c r="COA2460" s="53"/>
      <c r="COB2460" s="53"/>
      <c r="COC2460" s="62"/>
      <c r="COD2460" s="61"/>
      <c r="COE2460" s="53"/>
      <c r="COF2460" s="53"/>
      <c r="COG2460" s="62"/>
      <c r="COH2460" s="60"/>
      <c r="COI2460" s="53"/>
      <c r="COJ2460" s="53"/>
      <c r="COK2460" s="62"/>
      <c r="COL2460" s="61"/>
      <c r="COM2460" s="53"/>
      <c r="CON2460" s="53"/>
      <c r="COO2460" s="62"/>
      <c r="COP2460" s="60"/>
      <c r="COQ2460" s="53"/>
      <c r="COR2460" s="53"/>
      <c r="COS2460" s="62"/>
      <c r="COT2460" s="61"/>
      <c r="COU2460" s="53"/>
      <c r="COV2460" s="53"/>
      <c r="COW2460" s="62"/>
      <c r="COX2460" s="60"/>
      <c r="COY2460" s="53"/>
      <c r="COZ2460" s="53"/>
      <c r="CPA2460" s="62"/>
      <c r="CPB2460" s="61"/>
      <c r="CPC2460" s="53"/>
      <c r="CPD2460" s="53"/>
      <c r="CPE2460" s="62"/>
      <c r="CPF2460" s="60"/>
      <c r="CPG2460" s="53"/>
      <c r="CPH2460" s="53"/>
      <c r="CPI2460" s="62"/>
      <c r="CPJ2460" s="61"/>
      <c r="CPK2460" s="53"/>
      <c r="CPL2460" s="53"/>
      <c r="CPM2460" s="62"/>
      <c r="CPN2460" s="60"/>
      <c r="CPO2460" s="53"/>
      <c r="CPP2460" s="53"/>
      <c r="CPQ2460" s="62"/>
      <c r="CPR2460" s="61"/>
      <c r="CPS2460" s="53"/>
      <c r="CPT2460" s="53"/>
      <c r="CPU2460" s="62"/>
      <c r="CPV2460" s="60"/>
      <c r="CPW2460" s="53"/>
      <c r="CPX2460" s="53"/>
      <c r="CPY2460" s="62"/>
      <c r="CPZ2460" s="61"/>
      <c r="CQA2460" s="53"/>
      <c r="CQB2460" s="53"/>
      <c r="CQC2460" s="62"/>
      <c r="CQD2460" s="60"/>
      <c r="CQE2460" s="53"/>
      <c r="CQF2460" s="53"/>
      <c r="CQG2460" s="62"/>
      <c r="CQH2460" s="61"/>
      <c r="CQI2460" s="53"/>
      <c r="CQJ2460" s="53"/>
      <c r="CQK2460" s="62"/>
      <c r="CQL2460" s="60"/>
      <c r="CQM2460" s="53"/>
      <c r="CQN2460" s="53"/>
      <c r="CQO2460" s="62"/>
      <c r="CQP2460" s="61"/>
      <c r="CQQ2460" s="53"/>
      <c r="CQR2460" s="53"/>
      <c r="CQS2460" s="62"/>
      <c r="CQT2460" s="60"/>
      <c r="CQU2460" s="53"/>
      <c r="CQV2460" s="53"/>
      <c r="CQW2460" s="62"/>
      <c r="CQX2460" s="61"/>
      <c r="CQY2460" s="53"/>
      <c r="CQZ2460" s="53"/>
      <c r="CRA2460" s="62"/>
      <c r="CRB2460" s="60"/>
      <c r="CRC2460" s="53"/>
      <c r="CRD2460" s="53"/>
      <c r="CRE2460" s="62"/>
      <c r="CRF2460" s="61"/>
      <c r="CRG2460" s="53"/>
      <c r="CRH2460" s="53"/>
      <c r="CRI2460" s="62"/>
      <c r="CRJ2460" s="60"/>
      <c r="CRK2460" s="53"/>
      <c r="CRL2460" s="53"/>
      <c r="CRM2460" s="62"/>
      <c r="CRN2460" s="61"/>
      <c r="CRO2460" s="53"/>
      <c r="CRP2460" s="53"/>
      <c r="CRQ2460" s="62"/>
      <c r="CRR2460" s="60"/>
      <c r="CRS2460" s="53"/>
      <c r="CRT2460" s="53"/>
      <c r="CRU2460" s="62"/>
      <c r="CRV2460" s="61"/>
      <c r="CRW2460" s="53"/>
      <c r="CRX2460" s="53"/>
      <c r="CRY2460" s="62"/>
      <c r="CRZ2460" s="60"/>
      <c r="CSA2460" s="53"/>
      <c r="CSB2460" s="53"/>
      <c r="CSC2460" s="62"/>
      <c r="CSD2460" s="61"/>
      <c r="CSE2460" s="53"/>
      <c r="CSF2460" s="53"/>
      <c r="CSG2460" s="62"/>
      <c r="CSH2460" s="60"/>
      <c r="CSI2460" s="53"/>
      <c r="CSJ2460" s="53"/>
      <c r="CSK2460" s="62"/>
      <c r="CSL2460" s="61"/>
      <c r="CSM2460" s="53"/>
      <c r="CSN2460" s="53"/>
      <c r="CSO2460" s="62"/>
      <c r="CSP2460" s="60"/>
      <c r="CSQ2460" s="53"/>
      <c r="CSR2460" s="53"/>
      <c r="CSS2460" s="62"/>
      <c r="CST2460" s="61"/>
      <c r="CSU2460" s="53"/>
      <c r="CSV2460" s="53"/>
      <c r="CSW2460" s="62"/>
      <c r="CSX2460" s="60"/>
      <c r="CSY2460" s="53"/>
      <c r="CSZ2460" s="53"/>
      <c r="CTA2460" s="62"/>
      <c r="CTB2460" s="61"/>
      <c r="CTC2460" s="53"/>
      <c r="CTD2460" s="53"/>
      <c r="CTE2460" s="62"/>
      <c r="CTF2460" s="60"/>
      <c r="CTG2460" s="53"/>
      <c r="CTH2460" s="53"/>
      <c r="CTI2460" s="62"/>
      <c r="CTJ2460" s="61"/>
      <c r="CTK2460" s="53"/>
      <c r="CTL2460" s="53"/>
      <c r="CTM2460" s="62"/>
      <c r="CTN2460" s="60"/>
      <c r="CTO2460" s="53"/>
      <c r="CTP2460" s="53"/>
      <c r="CTQ2460" s="62"/>
      <c r="CTR2460" s="61"/>
      <c r="CTS2460" s="53"/>
      <c r="CTT2460" s="53"/>
      <c r="CTU2460" s="62"/>
      <c r="CTV2460" s="60"/>
      <c r="CTW2460" s="53"/>
      <c r="CTX2460" s="53"/>
      <c r="CTY2460" s="62"/>
      <c r="CTZ2460" s="61"/>
      <c r="CUA2460" s="53"/>
      <c r="CUB2460" s="53"/>
      <c r="CUC2460" s="62"/>
      <c r="CUD2460" s="60"/>
      <c r="CUE2460" s="53"/>
      <c r="CUF2460" s="53"/>
      <c r="CUG2460" s="62"/>
      <c r="CUH2460" s="61"/>
      <c r="CUI2460" s="53"/>
      <c r="CUJ2460" s="53"/>
      <c r="CUK2460" s="62"/>
      <c r="CUL2460" s="60"/>
      <c r="CUM2460" s="53"/>
      <c r="CUN2460" s="53"/>
      <c r="CUO2460" s="62"/>
      <c r="CUP2460" s="61"/>
      <c r="CUQ2460" s="53"/>
      <c r="CUR2460" s="53"/>
      <c r="CUS2460" s="62"/>
      <c r="CUT2460" s="60"/>
      <c r="CUU2460" s="53"/>
      <c r="CUV2460" s="53"/>
      <c r="CUW2460" s="62"/>
      <c r="CUX2460" s="61"/>
      <c r="CUY2460" s="53"/>
      <c r="CUZ2460" s="53"/>
      <c r="CVA2460" s="62"/>
      <c r="CVB2460" s="60"/>
      <c r="CVC2460" s="53"/>
      <c r="CVD2460" s="53"/>
      <c r="CVE2460" s="62"/>
      <c r="CVF2460" s="61"/>
      <c r="CVG2460" s="53"/>
      <c r="CVH2460" s="53"/>
      <c r="CVI2460" s="62"/>
      <c r="CVJ2460" s="60"/>
      <c r="CVK2460" s="53"/>
      <c r="CVL2460" s="53"/>
      <c r="CVM2460" s="62"/>
      <c r="CVN2460" s="61"/>
      <c r="CVO2460" s="53"/>
      <c r="CVP2460" s="53"/>
      <c r="CVQ2460" s="62"/>
      <c r="CVR2460" s="60"/>
      <c r="CVS2460" s="53"/>
      <c r="CVT2460" s="53"/>
      <c r="CVU2460" s="62"/>
      <c r="CVV2460" s="61"/>
      <c r="CVW2460" s="53"/>
      <c r="CVX2460" s="53"/>
      <c r="CVY2460" s="62"/>
      <c r="CVZ2460" s="60"/>
      <c r="CWA2460" s="53"/>
      <c r="CWB2460" s="53"/>
      <c r="CWC2460" s="62"/>
      <c r="CWD2460" s="61"/>
      <c r="CWE2460" s="53"/>
      <c r="CWF2460" s="53"/>
      <c r="CWG2460" s="62"/>
      <c r="CWH2460" s="60"/>
      <c r="CWI2460" s="53"/>
      <c r="CWJ2460" s="53"/>
      <c r="CWK2460" s="62"/>
      <c r="CWL2460" s="61"/>
      <c r="CWM2460" s="53"/>
      <c r="CWN2460" s="53"/>
      <c r="CWO2460" s="62"/>
      <c r="CWP2460" s="60"/>
      <c r="CWQ2460" s="53"/>
      <c r="CWR2460" s="53"/>
      <c r="CWS2460" s="62"/>
      <c r="CWT2460" s="61"/>
      <c r="CWU2460" s="53"/>
      <c r="CWV2460" s="53"/>
      <c r="CWW2460" s="62"/>
      <c r="CWX2460" s="60"/>
      <c r="CWY2460" s="53"/>
      <c r="CWZ2460" s="53"/>
      <c r="CXA2460" s="62"/>
      <c r="CXB2460" s="61"/>
      <c r="CXC2460" s="53"/>
      <c r="CXD2460" s="53"/>
      <c r="CXE2460" s="62"/>
      <c r="CXF2460" s="60"/>
      <c r="CXG2460" s="53"/>
      <c r="CXH2460" s="53"/>
      <c r="CXI2460" s="62"/>
      <c r="CXJ2460" s="61"/>
      <c r="CXK2460" s="53"/>
      <c r="CXL2460" s="53"/>
      <c r="CXM2460" s="62"/>
      <c r="CXN2460" s="60"/>
      <c r="CXO2460" s="53"/>
      <c r="CXP2460" s="53"/>
      <c r="CXQ2460" s="62"/>
      <c r="CXR2460" s="61"/>
      <c r="CXS2460" s="53"/>
      <c r="CXT2460" s="53"/>
      <c r="CXU2460" s="62"/>
      <c r="CXV2460" s="60"/>
      <c r="CXW2460" s="53"/>
      <c r="CXX2460" s="53"/>
      <c r="CXY2460" s="62"/>
      <c r="CXZ2460" s="61"/>
      <c r="CYA2460" s="53"/>
      <c r="CYB2460" s="53"/>
      <c r="CYC2460" s="62"/>
      <c r="CYD2460" s="60"/>
      <c r="CYE2460" s="53"/>
      <c r="CYF2460" s="53"/>
      <c r="CYG2460" s="62"/>
      <c r="CYH2460" s="61"/>
      <c r="CYI2460" s="53"/>
      <c r="CYJ2460" s="53"/>
      <c r="CYK2460" s="62"/>
      <c r="CYL2460" s="60"/>
      <c r="CYM2460" s="53"/>
      <c r="CYN2460" s="53"/>
      <c r="CYO2460" s="62"/>
      <c r="CYP2460" s="61"/>
      <c r="CYQ2460" s="53"/>
      <c r="CYR2460" s="53"/>
      <c r="CYS2460" s="62"/>
      <c r="CYT2460" s="60"/>
      <c r="CYU2460" s="53"/>
      <c r="CYV2460" s="53"/>
      <c r="CYW2460" s="62"/>
      <c r="CYX2460" s="61"/>
      <c r="CYY2460" s="53"/>
      <c r="CYZ2460" s="53"/>
      <c r="CZA2460" s="62"/>
      <c r="CZB2460" s="60"/>
      <c r="CZC2460" s="53"/>
      <c r="CZD2460" s="53"/>
      <c r="CZE2460" s="62"/>
      <c r="CZF2460" s="61"/>
      <c r="CZG2460" s="53"/>
      <c r="CZH2460" s="53"/>
      <c r="CZI2460" s="62"/>
      <c r="CZJ2460" s="60"/>
      <c r="CZK2460" s="53"/>
      <c r="CZL2460" s="53"/>
      <c r="CZM2460" s="62"/>
      <c r="CZN2460" s="61"/>
      <c r="CZO2460" s="53"/>
      <c r="CZP2460" s="53"/>
      <c r="CZQ2460" s="62"/>
      <c r="CZR2460" s="60"/>
      <c r="CZS2460" s="53"/>
      <c r="CZT2460" s="53"/>
      <c r="CZU2460" s="62"/>
      <c r="CZV2460" s="61"/>
      <c r="CZW2460" s="53"/>
      <c r="CZX2460" s="53"/>
      <c r="CZY2460" s="62"/>
      <c r="CZZ2460" s="60"/>
      <c r="DAA2460" s="53"/>
      <c r="DAB2460" s="53"/>
      <c r="DAC2460" s="62"/>
      <c r="DAD2460" s="61"/>
      <c r="DAE2460" s="53"/>
      <c r="DAF2460" s="53"/>
      <c r="DAG2460" s="62"/>
      <c r="DAH2460" s="60"/>
      <c r="DAI2460" s="53"/>
      <c r="DAJ2460" s="53"/>
      <c r="DAK2460" s="62"/>
      <c r="DAL2460" s="61"/>
      <c r="DAM2460" s="53"/>
      <c r="DAN2460" s="53"/>
      <c r="DAO2460" s="62"/>
      <c r="DAP2460" s="60"/>
      <c r="DAQ2460" s="53"/>
      <c r="DAR2460" s="53"/>
      <c r="DAS2460" s="62"/>
      <c r="DAT2460" s="61"/>
      <c r="DAU2460" s="53"/>
      <c r="DAV2460" s="53"/>
      <c r="DAW2460" s="62"/>
      <c r="DAX2460" s="60"/>
      <c r="DAY2460" s="53"/>
      <c r="DAZ2460" s="53"/>
      <c r="DBA2460" s="62"/>
      <c r="DBB2460" s="61"/>
      <c r="DBC2460" s="53"/>
      <c r="DBD2460" s="53"/>
      <c r="DBE2460" s="62"/>
      <c r="DBF2460" s="60"/>
      <c r="DBG2460" s="53"/>
      <c r="DBH2460" s="53"/>
      <c r="DBI2460" s="62"/>
      <c r="DBJ2460" s="61"/>
      <c r="DBK2460" s="53"/>
      <c r="DBL2460" s="53"/>
      <c r="DBM2460" s="62"/>
      <c r="DBN2460" s="60"/>
      <c r="DBO2460" s="53"/>
      <c r="DBP2460" s="53"/>
      <c r="DBQ2460" s="62"/>
      <c r="DBR2460" s="61"/>
      <c r="DBS2460" s="53"/>
      <c r="DBT2460" s="53"/>
      <c r="DBU2460" s="62"/>
      <c r="DBV2460" s="60"/>
      <c r="DBW2460" s="53"/>
      <c r="DBX2460" s="53"/>
      <c r="DBY2460" s="62"/>
      <c r="DBZ2460" s="61"/>
      <c r="DCA2460" s="53"/>
      <c r="DCB2460" s="53"/>
      <c r="DCC2460" s="62"/>
      <c r="DCD2460" s="60"/>
      <c r="DCE2460" s="53"/>
      <c r="DCF2460" s="53"/>
      <c r="DCG2460" s="62"/>
      <c r="DCH2460" s="61"/>
      <c r="DCI2460" s="53"/>
      <c r="DCJ2460" s="53"/>
      <c r="DCK2460" s="62"/>
      <c r="DCL2460" s="60"/>
      <c r="DCM2460" s="53"/>
      <c r="DCN2460" s="53"/>
      <c r="DCO2460" s="62"/>
      <c r="DCP2460" s="61"/>
      <c r="DCQ2460" s="53"/>
      <c r="DCR2460" s="53"/>
      <c r="DCS2460" s="62"/>
      <c r="DCT2460" s="60"/>
      <c r="DCU2460" s="53"/>
      <c r="DCV2460" s="53"/>
      <c r="DCW2460" s="62"/>
      <c r="DCX2460" s="61"/>
      <c r="DCY2460" s="53"/>
      <c r="DCZ2460" s="53"/>
      <c r="DDA2460" s="62"/>
      <c r="DDB2460" s="60"/>
      <c r="DDC2460" s="53"/>
      <c r="DDD2460" s="53"/>
      <c r="DDE2460" s="62"/>
      <c r="DDF2460" s="61"/>
      <c r="DDG2460" s="53"/>
      <c r="DDH2460" s="53"/>
      <c r="DDI2460" s="62"/>
      <c r="DDJ2460" s="60"/>
      <c r="DDK2460" s="53"/>
      <c r="DDL2460" s="53"/>
      <c r="DDM2460" s="62"/>
      <c r="DDN2460" s="61"/>
      <c r="DDO2460" s="53"/>
      <c r="DDP2460" s="53"/>
      <c r="DDQ2460" s="62"/>
      <c r="DDR2460" s="60"/>
      <c r="DDS2460" s="53"/>
      <c r="DDT2460" s="53"/>
      <c r="DDU2460" s="62"/>
      <c r="DDV2460" s="61"/>
      <c r="DDW2460" s="53"/>
      <c r="DDX2460" s="53"/>
      <c r="DDY2460" s="62"/>
      <c r="DDZ2460" s="60"/>
      <c r="DEA2460" s="53"/>
      <c r="DEB2460" s="53"/>
      <c r="DEC2460" s="62"/>
      <c r="DED2460" s="61"/>
      <c r="DEE2460" s="53"/>
      <c r="DEF2460" s="53"/>
      <c r="DEG2460" s="62"/>
      <c r="DEH2460" s="60"/>
      <c r="DEI2460" s="53"/>
      <c r="DEJ2460" s="53"/>
      <c r="DEK2460" s="62"/>
      <c r="DEL2460" s="61"/>
      <c r="DEM2460" s="53"/>
      <c r="DEN2460" s="53"/>
      <c r="DEO2460" s="62"/>
      <c r="DEP2460" s="60"/>
      <c r="DEQ2460" s="53"/>
      <c r="DER2460" s="53"/>
      <c r="DES2460" s="62"/>
      <c r="DET2460" s="61"/>
      <c r="DEU2460" s="53"/>
      <c r="DEV2460" s="53"/>
      <c r="DEW2460" s="62"/>
      <c r="DEX2460" s="60"/>
      <c r="DEY2460" s="53"/>
      <c r="DEZ2460" s="53"/>
      <c r="DFA2460" s="62"/>
      <c r="DFB2460" s="61"/>
      <c r="DFC2460" s="53"/>
      <c r="DFD2460" s="53"/>
      <c r="DFE2460" s="62"/>
      <c r="DFF2460" s="60"/>
      <c r="DFG2460" s="53"/>
      <c r="DFH2460" s="53"/>
      <c r="DFI2460" s="62"/>
      <c r="DFJ2460" s="61"/>
      <c r="DFK2460" s="53"/>
      <c r="DFL2460" s="53"/>
      <c r="DFM2460" s="62"/>
      <c r="DFN2460" s="60"/>
      <c r="DFO2460" s="53"/>
      <c r="DFP2460" s="53"/>
      <c r="DFQ2460" s="62"/>
      <c r="DFR2460" s="61"/>
      <c r="DFS2460" s="53"/>
      <c r="DFT2460" s="53"/>
      <c r="DFU2460" s="62"/>
      <c r="DFV2460" s="60"/>
      <c r="DFW2460" s="53"/>
      <c r="DFX2460" s="53"/>
      <c r="DFY2460" s="62"/>
      <c r="DFZ2460" s="61"/>
      <c r="DGA2460" s="53"/>
      <c r="DGB2460" s="53"/>
      <c r="DGC2460" s="62"/>
      <c r="DGD2460" s="60"/>
      <c r="DGE2460" s="53"/>
      <c r="DGF2460" s="53"/>
      <c r="DGG2460" s="62"/>
      <c r="DGH2460" s="61"/>
      <c r="DGI2460" s="53"/>
      <c r="DGJ2460" s="53"/>
      <c r="DGK2460" s="62"/>
      <c r="DGL2460" s="60"/>
      <c r="DGM2460" s="53"/>
      <c r="DGN2460" s="53"/>
      <c r="DGO2460" s="62"/>
      <c r="DGP2460" s="61"/>
      <c r="DGQ2460" s="53"/>
      <c r="DGR2460" s="53"/>
      <c r="DGS2460" s="62"/>
      <c r="DGT2460" s="60"/>
      <c r="DGU2460" s="53"/>
      <c r="DGV2460" s="53"/>
      <c r="DGW2460" s="62"/>
      <c r="DGX2460" s="61"/>
      <c r="DGY2460" s="53"/>
      <c r="DGZ2460" s="53"/>
      <c r="DHA2460" s="62"/>
      <c r="DHB2460" s="60"/>
      <c r="DHC2460" s="53"/>
      <c r="DHD2460" s="53"/>
      <c r="DHE2460" s="62"/>
      <c r="DHF2460" s="61"/>
      <c r="DHG2460" s="53"/>
      <c r="DHH2460" s="53"/>
      <c r="DHI2460" s="62"/>
      <c r="DHJ2460" s="60"/>
      <c r="DHK2460" s="53"/>
      <c r="DHL2460" s="53"/>
      <c r="DHM2460" s="62"/>
      <c r="DHN2460" s="61"/>
      <c r="DHO2460" s="53"/>
      <c r="DHP2460" s="53"/>
      <c r="DHQ2460" s="62"/>
      <c r="DHR2460" s="60"/>
      <c r="DHS2460" s="53"/>
      <c r="DHT2460" s="53"/>
      <c r="DHU2460" s="62"/>
      <c r="DHV2460" s="61"/>
      <c r="DHW2460" s="53"/>
      <c r="DHX2460" s="53"/>
      <c r="DHY2460" s="62"/>
      <c r="DHZ2460" s="60"/>
      <c r="DIA2460" s="53"/>
      <c r="DIB2460" s="53"/>
      <c r="DIC2460" s="62"/>
      <c r="DID2460" s="61"/>
      <c r="DIE2460" s="53"/>
      <c r="DIF2460" s="53"/>
      <c r="DIG2460" s="62"/>
      <c r="DIH2460" s="60"/>
      <c r="DII2460" s="53"/>
      <c r="DIJ2460" s="53"/>
      <c r="DIK2460" s="62"/>
      <c r="DIL2460" s="61"/>
      <c r="DIM2460" s="53"/>
      <c r="DIN2460" s="53"/>
      <c r="DIO2460" s="62"/>
      <c r="DIP2460" s="60"/>
      <c r="DIQ2460" s="53"/>
      <c r="DIR2460" s="53"/>
      <c r="DIS2460" s="62"/>
      <c r="DIT2460" s="61"/>
      <c r="DIU2460" s="53"/>
      <c r="DIV2460" s="53"/>
      <c r="DIW2460" s="62"/>
      <c r="DIX2460" s="60"/>
      <c r="DIY2460" s="53"/>
      <c r="DIZ2460" s="53"/>
      <c r="DJA2460" s="62"/>
      <c r="DJB2460" s="61"/>
      <c r="DJC2460" s="53"/>
      <c r="DJD2460" s="53"/>
      <c r="DJE2460" s="62"/>
      <c r="DJF2460" s="60"/>
      <c r="DJG2460" s="53"/>
      <c r="DJH2460" s="53"/>
      <c r="DJI2460" s="62"/>
      <c r="DJJ2460" s="61"/>
      <c r="DJK2460" s="53"/>
      <c r="DJL2460" s="53"/>
      <c r="DJM2460" s="62"/>
      <c r="DJN2460" s="60"/>
      <c r="DJO2460" s="53"/>
      <c r="DJP2460" s="53"/>
      <c r="DJQ2460" s="62"/>
      <c r="DJR2460" s="61"/>
      <c r="DJS2460" s="53"/>
      <c r="DJT2460" s="53"/>
      <c r="DJU2460" s="62"/>
      <c r="DJV2460" s="60"/>
      <c r="DJW2460" s="53"/>
      <c r="DJX2460" s="53"/>
      <c r="DJY2460" s="62"/>
      <c r="DJZ2460" s="61"/>
      <c r="DKA2460" s="53"/>
      <c r="DKB2460" s="53"/>
      <c r="DKC2460" s="62"/>
      <c r="DKD2460" s="60"/>
      <c r="DKE2460" s="53"/>
      <c r="DKF2460" s="53"/>
      <c r="DKG2460" s="62"/>
      <c r="DKH2460" s="61"/>
      <c r="DKI2460" s="53"/>
      <c r="DKJ2460" s="53"/>
      <c r="DKK2460" s="62"/>
      <c r="DKL2460" s="60"/>
      <c r="DKM2460" s="53"/>
      <c r="DKN2460" s="53"/>
      <c r="DKO2460" s="62"/>
      <c r="DKP2460" s="61"/>
      <c r="DKQ2460" s="53"/>
      <c r="DKR2460" s="53"/>
      <c r="DKS2460" s="62"/>
      <c r="DKT2460" s="60"/>
      <c r="DKU2460" s="53"/>
      <c r="DKV2460" s="53"/>
      <c r="DKW2460" s="62"/>
      <c r="DKX2460" s="61"/>
      <c r="DKY2460" s="53"/>
      <c r="DKZ2460" s="53"/>
      <c r="DLA2460" s="62"/>
      <c r="DLB2460" s="60"/>
      <c r="DLC2460" s="53"/>
      <c r="DLD2460" s="53"/>
      <c r="DLE2460" s="62"/>
      <c r="DLF2460" s="61"/>
      <c r="DLG2460" s="53"/>
      <c r="DLH2460" s="53"/>
      <c r="DLI2460" s="62"/>
      <c r="DLJ2460" s="60"/>
      <c r="DLK2460" s="53"/>
      <c r="DLL2460" s="53"/>
      <c r="DLM2460" s="62"/>
      <c r="DLN2460" s="61"/>
      <c r="DLO2460" s="53"/>
      <c r="DLP2460" s="53"/>
      <c r="DLQ2460" s="62"/>
      <c r="DLR2460" s="60"/>
      <c r="DLS2460" s="53"/>
      <c r="DLT2460" s="53"/>
      <c r="DLU2460" s="62"/>
      <c r="DLV2460" s="61"/>
      <c r="DLW2460" s="53"/>
      <c r="DLX2460" s="53"/>
      <c r="DLY2460" s="62"/>
      <c r="DLZ2460" s="60"/>
      <c r="DMA2460" s="53"/>
      <c r="DMB2460" s="53"/>
      <c r="DMC2460" s="62"/>
      <c r="DMD2460" s="61"/>
      <c r="DME2460" s="53"/>
      <c r="DMF2460" s="53"/>
      <c r="DMG2460" s="62"/>
      <c r="DMH2460" s="60"/>
      <c r="DMI2460" s="53"/>
      <c r="DMJ2460" s="53"/>
      <c r="DMK2460" s="62"/>
      <c r="DML2460" s="61"/>
      <c r="DMM2460" s="53"/>
      <c r="DMN2460" s="53"/>
      <c r="DMO2460" s="62"/>
      <c r="DMP2460" s="60"/>
      <c r="DMQ2460" s="53"/>
      <c r="DMR2460" s="53"/>
      <c r="DMS2460" s="62"/>
      <c r="DMT2460" s="61"/>
      <c r="DMU2460" s="53"/>
      <c r="DMV2460" s="53"/>
      <c r="DMW2460" s="62"/>
      <c r="DMX2460" s="60"/>
      <c r="DMY2460" s="53"/>
      <c r="DMZ2460" s="53"/>
      <c r="DNA2460" s="62"/>
      <c r="DNB2460" s="61"/>
      <c r="DNC2460" s="53"/>
      <c r="DND2460" s="53"/>
      <c r="DNE2460" s="62"/>
      <c r="DNF2460" s="60"/>
      <c r="DNG2460" s="53"/>
      <c r="DNH2460" s="53"/>
      <c r="DNI2460" s="62"/>
      <c r="DNJ2460" s="61"/>
      <c r="DNK2460" s="53"/>
      <c r="DNL2460" s="53"/>
      <c r="DNM2460" s="62"/>
      <c r="DNN2460" s="60"/>
      <c r="DNO2460" s="53"/>
      <c r="DNP2460" s="53"/>
      <c r="DNQ2460" s="62"/>
      <c r="DNR2460" s="61"/>
      <c r="DNS2460" s="53"/>
      <c r="DNT2460" s="53"/>
      <c r="DNU2460" s="62"/>
      <c r="DNV2460" s="60"/>
      <c r="DNW2460" s="53"/>
      <c r="DNX2460" s="53"/>
      <c r="DNY2460" s="62"/>
      <c r="DNZ2460" s="61"/>
      <c r="DOA2460" s="53"/>
      <c r="DOB2460" s="53"/>
      <c r="DOC2460" s="62"/>
      <c r="DOD2460" s="60"/>
      <c r="DOE2460" s="53"/>
      <c r="DOF2460" s="53"/>
      <c r="DOG2460" s="62"/>
      <c r="DOH2460" s="61"/>
      <c r="DOI2460" s="53"/>
      <c r="DOJ2460" s="53"/>
      <c r="DOK2460" s="62"/>
      <c r="DOL2460" s="60"/>
      <c r="DOM2460" s="53"/>
      <c r="DON2460" s="53"/>
      <c r="DOO2460" s="62"/>
      <c r="DOP2460" s="61"/>
      <c r="DOQ2460" s="53"/>
      <c r="DOR2460" s="53"/>
      <c r="DOS2460" s="62"/>
      <c r="DOT2460" s="60"/>
      <c r="DOU2460" s="53"/>
      <c r="DOV2460" s="53"/>
      <c r="DOW2460" s="62"/>
      <c r="DOX2460" s="61"/>
      <c r="DOY2460" s="53"/>
      <c r="DOZ2460" s="53"/>
      <c r="DPA2460" s="62"/>
      <c r="DPB2460" s="60"/>
      <c r="DPC2460" s="53"/>
      <c r="DPD2460" s="53"/>
      <c r="DPE2460" s="62"/>
      <c r="DPF2460" s="61"/>
      <c r="DPG2460" s="53"/>
      <c r="DPH2460" s="53"/>
      <c r="DPI2460" s="62"/>
      <c r="DPJ2460" s="60"/>
      <c r="DPK2460" s="53"/>
      <c r="DPL2460" s="53"/>
      <c r="DPM2460" s="62"/>
      <c r="DPN2460" s="61"/>
      <c r="DPO2460" s="53"/>
      <c r="DPP2460" s="53"/>
      <c r="DPQ2460" s="62"/>
      <c r="DPR2460" s="60"/>
      <c r="DPS2460" s="53"/>
      <c r="DPT2460" s="53"/>
      <c r="DPU2460" s="62"/>
      <c r="DPV2460" s="61"/>
      <c r="DPW2460" s="53"/>
      <c r="DPX2460" s="53"/>
      <c r="DPY2460" s="62"/>
      <c r="DPZ2460" s="60"/>
      <c r="DQA2460" s="53"/>
      <c r="DQB2460" s="53"/>
      <c r="DQC2460" s="62"/>
      <c r="DQD2460" s="61"/>
      <c r="DQE2460" s="53"/>
      <c r="DQF2460" s="53"/>
      <c r="DQG2460" s="62"/>
      <c r="DQH2460" s="60"/>
      <c r="DQI2460" s="53"/>
      <c r="DQJ2460" s="53"/>
      <c r="DQK2460" s="62"/>
      <c r="DQL2460" s="61"/>
      <c r="DQM2460" s="53"/>
      <c r="DQN2460" s="53"/>
      <c r="DQO2460" s="62"/>
      <c r="DQP2460" s="60"/>
      <c r="DQQ2460" s="53"/>
      <c r="DQR2460" s="53"/>
      <c r="DQS2460" s="62"/>
      <c r="DQT2460" s="61"/>
      <c r="DQU2460" s="53"/>
      <c r="DQV2460" s="53"/>
      <c r="DQW2460" s="62"/>
      <c r="DQX2460" s="60"/>
      <c r="DQY2460" s="53"/>
      <c r="DQZ2460" s="53"/>
      <c r="DRA2460" s="62"/>
      <c r="DRB2460" s="61"/>
      <c r="DRC2460" s="53"/>
      <c r="DRD2460" s="53"/>
      <c r="DRE2460" s="62"/>
      <c r="DRF2460" s="60"/>
      <c r="DRG2460" s="53"/>
      <c r="DRH2460" s="53"/>
      <c r="DRI2460" s="62"/>
      <c r="DRJ2460" s="61"/>
      <c r="DRK2460" s="53"/>
      <c r="DRL2460" s="53"/>
      <c r="DRM2460" s="62"/>
      <c r="DRN2460" s="60"/>
      <c r="DRO2460" s="53"/>
      <c r="DRP2460" s="53"/>
      <c r="DRQ2460" s="62"/>
      <c r="DRR2460" s="61"/>
      <c r="DRS2460" s="53"/>
      <c r="DRT2460" s="53"/>
      <c r="DRU2460" s="62"/>
      <c r="DRV2460" s="60"/>
      <c r="DRW2460" s="53"/>
      <c r="DRX2460" s="53"/>
      <c r="DRY2460" s="62"/>
      <c r="DRZ2460" s="61"/>
      <c r="DSA2460" s="53"/>
      <c r="DSB2460" s="53"/>
      <c r="DSC2460" s="62"/>
      <c r="DSD2460" s="60"/>
      <c r="DSE2460" s="53"/>
      <c r="DSF2460" s="53"/>
      <c r="DSG2460" s="62"/>
      <c r="DSH2460" s="61"/>
      <c r="DSI2460" s="53"/>
      <c r="DSJ2460" s="53"/>
      <c r="DSK2460" s="62"/>
      <c r="DSL2460" s="60"/>
      <c r="DSM2460" s="53"/>
      <c r="DSN2460" s="53"/>
      <c r="DSO2460" s="62"/>
      <c r="DSP2460" s="61"/>
      <c r="DSQ2460" s="53"/>
      <c r="DSR2460" s="53"/>
      <c r="DSS2460" s="62"/>
      <c r="DST2460" s="60"/>
      <c r="DSU2460" s="53"/>
      <c r="DSV2460" s="53"/>
      <c r="DSW2460" s="62"/>
      <c r="DSX2460" s="61"/>
      <c r="DSY2460" s="53"/>
      <c r="DSZ2460" s="53"/>
      <c r="DTA2460" s="62"/>
      <c r="DTB2460" s="60"/>
      <c r="DTC2460" s="53"/>
      <c r="DTD2460" s="53"/>
      <c r="DTE2460" s="62"/>
      <c r="DTF2460" s="61"/>
      <c r="DTG2460" s="53"/>
      <c r="DTH2460" s="53"/>
      <c r="DTI2460" s="62"/>
      <c r="DTJ2460" s="60"/>
      <c r="DTK2460" s="53"/>
      <c r="DTL2460" s="53"/>
      <c r="DTM2460" s="62"/>
      <c r="DTN2460" s="61"/>
      <c r="DTO2460" s="53"/>
      <c r="DTP2460" s="53"/>
      <c r="DTQ2460" s="62"/>
      <c r="DTR2460" s="60"/>
      <c r="DTS2460" s="53"/>
      <c r="DTT2460" s="53"/>
      <c r="DTU2460" s="62"/>
      <c r="DTV2460" s="61"/>
      <c r="DTW2460" s="53"/>
      <c r="DTX2460" s="53"/>
      <c r="DTY2460" s="62"/>
      <c r="DTZ2460" s="60"/>
      <c r="DUA2460" s="53"/>
      <c r="DUB2460" s="53"/>
      <c r="DUC2460" s="62"/>
      <c r="DUD2460" s="61"/>
      <c r="DUE2460" s="53"/>
      <c r="DUF2460" s="53"/>
      <c r="DUG2460" s="62"/>
      <c r="DUH2460" s="60"/>
      <c r="DUI2460" s="53"/>
      <c r="DUJ2460" s="53"/>
      <c r="DUK2460" s="62"/>
      <c r="DUL2460" s="61"/>
      <c r="DUM2460" s="53"/>
      <c r="DUN2460" s="53"/>
      <c r="DUO2460" s="62"/>
      <c r="DUP2460" s="60"/>
      <c r="DUQ2460" s="53"/>
      <c r="DUR2460" s="53"/>
      <c r="DUS2460" s="62"/>
      <c r="DUT2460" s="61"/>
      <c r="DUU2460" s="53"/>
      <c r="DUV2460" s="53"/>
      <c r="DUW2460" s="62"/>
      <c r="DUX2460" s="60"/>
      <c r="DUY2460" s="53"/>
      <c r="DUZ2460" s="53"/>
      <c r="DVA2460" s="62"/>
      <c r="DVB2460" s="61"/>
      <c r="DVC2460" s="53"/>
      <c r="DVD2460" s="53"/>
      <c r="DVE2460" s="62"/>
      <c r="DVF2460" s="60"/>
      <c r="DVG2460" s="53"/>
      <c r="DVH2460" s="53"/>
      <c r="DVI2460" s="62"/>
      <c r="DVJ2460" s="61"/>
      <c r="DVK2460" s="53"/>
      <c r="DVL2460" s="53"/>
      <c r="DVM2460" s="62"/>
      <c r="DVN2460" s="60"/>
      <c r="DVO2460" s="53"/>
      <c r="DVP2460" s="53"/>
      <c r="DVQ2460" s="62"/>
      <c r="DVR2460" s="61"/>
      <c r="DVS2460" s="53"/>
      <c r="DVT2460" s="53"/>
      <c r="DVU2460" s="62"/>
      <c r="DVV2460" s="60"/>
      <c r="DVW2460" s="53"/>
      <c r="DVX2460" s="53"/>
      <c r="DVY2460" s="62"/>
      <c r="DVZ2460" s="61"/>
      <c r="DWA2460" s="53"/>
      <c r="DWB2460" s="53"/>
      <c r="DWC2460" s="62"/>
      <c r="DWD2460" s="60"/>
      <c r="DWE2460" s="53"/>
      <c r="DWF2460" s="53"/>
      <c r="DWG2460" s="62"/>
      <c r="DWH2460" s="61"/>
      <c r="DWI2460" s="53"/>
      <c r="DWJ2460" s="53"/>
      <c r="DWK2460" s="62"/>
      <c r="DWL2460" s="60"/>
      <c r="DWM2460" s="53"/>
      <c r="DWN2460" s="53"/>
      <c r="DWO2460" s="62"/>
      <c r="DWP2460" s="61"/>
      <c r="DWQ2460" s="53"/>
      <c r="DWR2460" s="53"/>
      <c r="DWS2460" s="62"/>
      <c r="DWT2460" s="60"/>
      <c r="DWU2460" s="53"/>
      <c r="DWV2460" s="53"/>
      <c r="DWW2460" s="62"/>
      <c r="DWX2460" s="61"/>
      <c r="DWY2460" s="53"/>
      <c r="DWZ2460" s="53"/>
      <c r="DXA2460" s="62"/>
      <c r="DXB2460" s="60"/>
      <c r="DXC2460" s="53"/>
      <c r="DXD2460" s="53"/>
      <c r="DXE2460" s="62"/>
      <c r="DXF2460" s="61"/>
      <c r="DXG2460" s="53"/>
      <c r="DXH2460" s="53"/>
      <c r="DXI2460" s="62"/>
      <c r="DXJ2460" s="60"/>
      <c r="DXK2460" s="53"/>
      <c r="DXL2460" s="53"/>
      <c r="DXM2460" s="62"/>
      <c r="DXN2460" s="61"/>
      <c r="DXO2460" s="53"/>
      <c r="DXP2460" s="53"/>
      <c r="DXQ2460" s="62"/>
      <c r="DXR2460" s="60"/>
      <c r="DXS2460" s="53"/>
      <c r="DXT2460" s="53"/>
      <c r="DXU2460" s="62"/>
      <c r="DXV2460" s="61"/>
      <c r="DXW2460" s="53"/>
      <c r="DXX2460" s="53"/>
      <c r="DXY2460" s="62"/>
      <c r="DXZ2460" s="60"/>
      <c r="DYA2460" s="53"/>
      <c r="DYB2460" s="53"/>
      <c r="DYC2460" s="62"/>
      <c r="DYD2460" s="61"/>
      <c r="DYE2460" s="53"/>
      <c r="DYF2460" s="53"/>
      <c r="DYG2460" s="62"/>
      <c r="DYH2460" s="60"/>
      <c r="DYI2460" s="53"/>
      <c r="DYJ2460" s="53"/>
      <c r="DYK2460" s="62"/>
      <c r="DYL2460" s="61"/>
      <c r="DYM2460" s="53"/>
      <c r="DYN2460" s="53"/>
      <c r="DYO2460" s="62"/>
      <c r="DYP2460" s="60"/>
      <c r="DYQ2460" s="53"/>
      <c r="DYR2460" s="53"/>
      <c r="DYS2460" s="62"/>
      <c r="DYT2460" s="61"/>
      <c r="DYU2460" s="53"/>
      <c r="DYV2460" s="53"/>
      <c r="DYW2460" s="62"/>
      <c r="DYX2460" s="60"/>
      <c r="DYY2460" s="53"/>
      <c r="DYZ2460" s="53"/>
      <c r="DZA2460" s="62"/>
      <c r="DZB2460" s="61"/>
      <c r="DZC2460" s="53"/>
      <c r="DZD2460" s="53"/>
      <c r="DZE2460" s="62"/>
      <c r="DZF2460" s="60"/>
      <c r="DZG2460" s="53"/>
      <c r="DZH2460" s="53"/>
      <c r="DZI2460" s="62"/>
      <c r="DZJ2460" s="61"/>
      <c r="DZK2460" s="53"/>
      <c r="DZL2460" s="53"/>
      <c r="DZM2460" s="62"/>
      <c r="DZN2460" s="60"/>
      <c r="DZO2460" s="53"/>
      <c r="DZP2460" s="53"/>
      <c r="DZQ2460" s="62"/>
      <c r="DZR2460" s="61"/>
      <c r="DZS2460" s="53"/>
      <c r="DZT2460" s="53"/>
      <c r="DZU2460" s="62"/>
      <c r="DZV2460" s="60"/>
      <c r="DZW2460" s="53"/>
      <c r="DZX2460" s="53"/>
      <c r="DZY2460" s="62"/>
      <c r="DZZ2460" s="61"/>
      <c r="EAA2460" s="53"/>
      <c r="EAB2460" s="53"/>
      <c r="EAC2460" s="62"/>
      <c r="EAD2460" s="60"/>
      <c r="EAE2460" s="53"/>
      <c r="EAF2460" s="53"/>
      <c r="EAG2460" s="62"/>
      <c r="EAH2460" s="61"/>
      <c r="EAI2460" s="53"/>
      <c r="EAJ2460" s="53"/>
      <c r="EAK2460" s="62"/>
      <c r="EAL2460" s="60"/>
      <c r="EAM2460" s="53"/>
      <c r="EAN2460" s="53"/>
      <c r="EAO2460" s="62"/>
      <c r="EAP2460" s="61"/>
      <c r="EAQ2460" s="53"/>
      <c r="EAR2460" s="53"/>
      <c r="EAS2460" s="62"/>
      <c r="EAT2460" s="60"/>
      <c r="EAU2460" s="53"/>
      <c r="EAV2460" s="53"/>
      <c r="EAW2460" s="62"/>
      <c r="EAX2460" s="61"/>
      <c r="EAY2460" s="53"/>
      <c r="EAZ2460" s="53"/>
      <c r="EBA2460" s="62"/>
      <c r="EBB2460" s="60"/>
      <c r="EBC2460" s="53"/>
      <c r="EBD2460" s="53"/>
      <c r="EBE2460" s="62"/>
      <c r="EBF2460" s="61"/>
      <c r="EBG2460" s="53"/>
      <c r="EBH2460" s="53"/>
      <c r="EBI2460" s="62"/>
      <c r="EBJ2460" s="60"/>
      <c r="EBK2460" s="53"/>
      <c r="EBL2460" s="53"/>
      <c r="EBM2460" s="62"/>
      <c r="EBN2460" s="61"/>
      <c r="EBO2460" s="53"/>
      <c r="EBP2460" s="53"/>
      <c r="EBQ2460" s="62"/>
      <c r="EBR2460" s="60"/>
      <c r="EBS2460" s="53"/>
      <c r="EBT2460" s="53"/>
      <c r="EBU2460" s="62"/>
      <c r="EBV2460" s="61"/>
      <c r="EBW2460" s="53"/>
      <c r="EBX2460" s="53"/>
      <c r="EBY2460" s="62"/>
      <c r="EBZ2460" s="60"/>
      <c r="ECA2460" s="53"/>
      <c r="ECB2460" s="53"/>
      <c r="ECC2460" s="62"/>
      <c r="ECD2460" s="61"/>
      <c r="ECE2460" s="53"/>
      <c r="ECF2460" s="53"/>
      <c r="ECG2460" s="62"/>
      <c r="ECH2460" s="60"/>
      <c r="ECI2460" s="53"/>
      <c r="ECJ2460" s="53"/>
      <c r="ECK2460" s="62"/>
      <c r="ECL2460" s="61"/>
      <c r="ECM2460" s="53"/>
      <c r="ECN2460" s="53"/>
      <c r="ECO2460" s="62"/>
      <c r="ECP2460" s="60"/>
      <c r="ECQ2460" s="53"/>
      <c r="ECR2460" s="53"/>
      <c r="ECS2460" s="62"/>
      <c r="ECT2460" s="61"/>
      <c r="ECU2460" s="53"/>
      <c r="ECV2460" s="53"/>
      <c r="ECW2460" s="62"/>
      <c r="ECX2460" s="60"/>
      <c r="ECY2460" s="53"/>
      <c r="ECZ2460" s="53"/>
      <c r="EDA2460" s="62"/>
      <c r="EDB2460" s="61"/>
      <c r="EDC2460" s="53"/>
      <c r="EDD2460" s="53"/>
      <c r="EDE2460" s="62"/>
      <c r="EDF2460" s="60"/>
      <c r="EDG2460" s="53"/>
      <c r="EDH2460" s="53"/>
      <c r="EDI2460" s="62"/>
      <c r="EDJ2460" s="61"/>
      <c r="EDK2460" s="53"/>
      <c r="EDL2460" s="53"/>
      <c r="EDM2460" s="62"/>
      <c r="EDN2460" s="60"/>
      <c r="EDO2460" s="53"/>
      <c r="EDP2460" s="53"/>
      <c r="EDQ2460" s="62"/>
      <c r="EDR2460" s="61"/>
      <c r="EDS2460" s="53"/>
      <c r="EDT2460" s="53"/>
      <c r="EDU2460" s="62"/>
      <c r="EDV2460" s="60"/>
      <c r="EDW2460" s="53"/>
      <c r="EDX2460" s="53"/>
      <c r="EDY2460" s="62"/>
      <c r="EDZ2460" s="61"/>
      <c r="EEA2460" s="53"/>
      <c r="EEB2460" s="53"/>
      <c r="EEC2460" s="62"/>
      <c r="EED2460" s="60"/>
      <c r="EEE2460" s="53"/>
      <c r="EEF2460" s="53"/>
      <c r="EEG2460" s="62"/>
      <c r="EEH2460" s="61"/>
      <c r="EEI2460" s="53"/>
      <c r="EEJ2460" s="53"/>
      <c r="EEK2460" s="62"/>
      <c r="EEL2460" s="60"/>
      <c r="EEM2460" s="53"/>
      <c r="EEN2460" s="53"/>
      <c r="EEO2460" s="62"/>
      <c r="EEP2460" s="61"/>
      <c r="EEQ2460" s="53"/>
      <c r="EER2460" s="53"/>
      <c r="EES2460" s="62"/>
      <c r="EET2460" s="60"/>
      <c r="EEU2460" s="53"/>
      <c r="EEV2460" s="53"/>
      <c r="EEW2460" s="62"/>
      <c r="EEX2460" s="61"/>
      <c r="EEY2460" s="53"/>
      <c r="EEZ2460" s="53"/>
      <c r="EFA2460" s="62"/>
      <c r="EFB2460" s="60"/>
      <c r="EFC2460" s="53"/>
      <c r="EFD2460" s="53"/>
      <c r="EFE2460" s="62"/>
      <c r="EFF2460" s="61"/>
      <c r="EFG2460" s="53"/>
      <c r="EFH2460" s="53"/>
      <c r="EFI2460" s="62"/>
      <c r="EFJ2460" s="60"/>
      <c r="EFK2460" s="53"/>
      <c r="EFL2460" s="53"/>
      <c r="EFM2460" s="62"/>
      <c r="EFN2460" s="61"/>
      <c r="EFO2460" s="53"/>
      <c r="EFP2460" s="53"/>
      <c r="EFQ2460" s="62"/>
      <c r="EFR2460" s="60"/>
      <c r="EFS2460" s="53"/>
      <c r="EFT2460" s="53"/>
      <c r="EFU2460" s="62"/>
      <c r="EFV2460" s="61"/>
      <c r="EFW2460" s="53"/>
      <c r="EFX2460" s="53"/>
      <c r="EFY2460" s="62"/>
      <c r="EFZ2460" s="60"/>
      <c r="EGA2460" s="53"/>
      <c r="EGB2460" s="53"/>
      <c r="EGC2460" s="62"/>
      <c r="EGD2460" s="61"/>
      <c r="EGE2460" s="53"/>
      <c r="EGF2460" s="53"/>
      <c r="EGG2460" s="62"/>
      <c r="EGH2460" s="60"/>
      <c r="EGI2460" s="53"/>
      <c r="EGJ2460" s="53"/>
      <c r="EGK2460" s="62"/>
      <c r="EGL2460" s="61"/>
      <c r="EGM2460" s="53"/>
      <c r="EGN2460" s="53"/>
      <c r="EGO2460" s="62"/>
      <c r="EGP2460" s="60"/>
      <c r="EGQ2460" s="53"/>
      <c r="EGR2460" s="53"/>
      <c r="EGS2460" s="62"/>
      <c r="EGT2460" s="61"/>
      <c r="EGU2460" s="53"/>
      <c r="EGV2460" s="53"/>
      <c r="EGW2460" s="62"/>
      <c r="EGX2460" s="60"/>
      <c r="EGY2460" s="53"/>
      <c r="EGZ2460" s="53"/>
      <c r="EHA2460" s="62"/>
      <c r="EHB2460" s="61"/>
      <c r="EHC2460" s="53"/>
      <c r="EHD2460" s="53"/>
      <c r="EHE2460" s="62"/>
      <c r="EHF2460" s="60"/>
      <c r="EHG2460" s="53"/>
      <c r="EHH2460" s="53"/>
      <c r="EHI2460" s="62"/>
      <c r="EHJ2460" s="61"/>
      <c r="EHK2460" s="53"/>
      <c r="EHL2460" s="53"/>
      <c r="EHM2460" s="62"/>
      <c r="EHN2460" s="60"/>
      <c r="EHO2460" s="53"/>
      <c r="EHP2460" s="53"/>
      <c r="EHQ2460" s="62"/>
      <c r="EHR2460" s="61"/>
      <c r="EHS2460" s="53"/>
      <c r="EHT2460" s="53"/>
      <c r="EHU2460" s="62"/>
      <c r="EHV2460" s="60"/>
      <c r="EHW2460" s="53"/>
      <c r="EHX2460" s="53"/>
      <c r="EHY2460" s="62"/>
      <c r="EHZ2460" s="61"/>
      <c r="EIA2460" s="53"/>
      <c r="EIB2460" s="53"/>
      <c r="EIC2460" s="62"/>
      <c r="EID2460" s="60"/>
      <c r="EIE2460" s="53"/>
      <c r="EIF2460" s="53"/>
      <c r="EIG2460" s="62"/>
      <c r="EIH2460" s="61"/>
      <c r="EII2460" s="53"/>
      <c r="EIJ2460" s="53"/>
      <c r="EIK2460" s="62"/>
      <c r="EIL2460" s="60"/>
      <c r="EIM2460" s="53"/>
      <c r="EIN2460" s="53"/>
      <c r="EIO2460" s="62"/>
      <c r="EIP2460" s="61"/>
      <c r="EIQ2460" s="53"/>
      <c r="EIR2460" s="53"/>
      <c r="EIS2460" s="62"/>
      <c r="EIT2460" s="60"/>
      <c r="EIU2460" s="53"/>
      <c r="EIV2460" s="53"/>
      <c r="EIW2460" s="62"/>
      <c r="EIX2460" s="61"/>
      <c r="EIY2460" s="53"/>
      <c r="EIZ2460" s="53"/>
      <c r="EJA2460" s="62"/>
      <c r="EJB2460" s="60"/>
      <c r="EJC2460" s="53"/>
      <c r="EJD2460" s="53"/>
      <c r="EJE2460" s="62"/>
      <c r="EJF2460" s="61"/>
      <c r="EJG2460" s="53"/>
      <c r="EJH2460" s="53"/>
      <c r="EJI2460" s="62"/>
      <c r="EJJ2460" s="60"/>
      <c r="EJK2460" s="53"/>
      <c r="EJL2460" s="53"/>
      <c r="EJM2460" s="62"/>
      <c r="EJN2460" s="61"/>
      <c r="EJO2460" s="53"/>
      <c r="EJP2460" s="53"/>
      <c r="EJQ2460" s="62"/>
      <c r="EJR2460" s="60"/>
      <c r="EJS2460" s="53"/>
      <c r="EJT2460" s="53"/>
      <c r="EJU2460" s="62"/>
      <c r="EJV2460" s="61"/>
      <c r="EJW2460" s="53"/>
      <c r="EJX2460" s="53"/>
      <c r="EJY2460" s="62"/>
      <c r="EJZ2460" s="60"/>
      <c r="EKA2460" s="53"/>
      <c r="EKB2460" s="53"/>
      <c r="EKC2460" s="62"/>
      <c r="EKD2460" s="61"/>
      <c r="EKE2460" s="53"/>
      <c r="EKF2460" s="53"/>
      <c r="EKG2460" s="62"/>
      <c r="EKH2460" s="60"/>
      <c r="EKI2460" s="53"/>
      <c r="EKJ2460" s="53"/>
      <c r="EKK2460" s="62"/>
      <c r="EKL2460" s="61"/>
      <c r="EKM2460" s="53"/>
      <c r="EKN2460" s="53"/>
      <c r="EKO2460" s="62"/>
      <c r="EKP2460" s="60"/>
      <c r="EKQ2460" s="53"/>
      <c r="EKR2460" s="53"/>
      <c r="EKS2460" s="62"/>
      <c r="EKT2460" s="61"/>
      <c r="EKU2460" s="53"/>
      <c r="EKV2460" s="53"/>
      <c r="EKW2460" s="62"/>
      <c r="EKX2460" s="60"/>
      <c r="EKY2460" s="53"/>
      <c r="EKZ2460" s="53"/>
      <c r="ELA2460" s="62"/>
      <c r="ELB2460" s="61"/>
      <c r="ELC2460" s="53"/>
      <c r="ELD2460" s="53"/>
      <c r="ELE2460" s="62"/>
      <c r="ELF2460" s="60"/>
      <c r="ELG2460" s="53"/>
      <c r="ELH2460" s="53"/>
      <c r="ELI2460" s="62"/>
      <c r="ELJ2460" s="61"/>
      <c r="ELK2460" s="53"/>
      <c r="ELL2460" s="53"/>
      <c r="ELM2460" s="62"/>
      <c r="ELN2460" s="60"/>
      <c r="ELO2460" s="53"/>
      <c r="ELP2460" s="53"/>
      <c r="ELQ2460" s="62"/>
      <c r="ELR2460" s="61"/>
      <c r="ELS2460" s="53"/>
      <c r="ELT2460" s="53"/>
      <c r="ELU2460" s="62"/>
      <c r="ELV2460" s="60"/>
      <c r="ELW2460" s="53"/>
      <c r="ELX2460" s="53"/>
      <c r="ELY2460" s="62"/>
      <c r="ELZ2460" s="61"/>
      <c r="EMA2460" s="53"/>
      <c r="EMB2460" s="53"/>
      <c r="EMC2460" s="62"/>
      <c r="EMD2460" s="60"/>
      <c r="EME2460" s="53"/>
      <c r="EMF2460" s="53"/>
      <c r="EMG2460" s="62"/>
      <c r="EMH2460" s="61"/>
      <c r="EMI2460" s="53"/>
      <c r="EMJ2460" s="53"/>
      <c r="EMK2460" s="62"/>
      <c r="EML2460" s="60"/>
      <c r="EMM2460" s="53"/>
      <c r="EMN2460" s="53"/>
      <c r="EMO2460" s="62"/>
      <c r="EMP2460" s="61"/>
      <c r="EMQ2460" s="53"/>
      <c r="EMR2460" s="53"/>
      <c r="EMS2460" s="62"/>
      <c r="EMT2460" s="60"/>
      <c r="EMU2460" s="53"/>
      <c r="EMV2460" s="53"/>
      <c r="EMW2460" s="62"/>
      <c r="EMX2460" s="61"/>
      <c r="EMY2460" s="53"/>
      <c r="EMZ2460" s="53"/>
      <c r="ENA2460" s="62"/>
      <c r="ENB2460" s="60"/>
      <c r="ENC2460" s="53"/>
      <c r="END2460" s="53"/>
      <c r="ENE2460" s="62"/>
      <c r="ENF2460" s="61"/>
      <c r="ENG2460" s="53"/>
      <c r="ENH2460" s="53"/>
      <c r="ENI2460" s="62"/>
      <c r="ENJ2460" s="60"/>
      <c r="ENK2460" s="53"/>
      <c r="ENL2460" s="53"/>
      <c r="ENM2460" s="62"/>
      <c r="ENN2460" s="61"/>
      <c r="ENO2460" s="53"/>
      <c r="ENP2460" s="53"/>
      <c r="ENQ2460" s="62"/>
      <c r="ENR2460" s="60"/>
      <c r="ENS2460" s="53"/>
      <c r="ENT2460" s="53"/>
      <c r="ENU2460" s="62"/>
      <c r="ENV2460" s="61"/>
      <c r="ENW2460" s="53"/>
      <c r="ENX2460" s="53"/>
      <c r="ENY2460" s="62"/>
      <c r="ENZ2460" s="60"/>
      <c r="EOA2460" s="53"/>
      <c r="EOB2460" s="53"/>
      <c r="EOC2460" s="62"/>
      <c r="EOD2460" s="61"/>
      <c r="EOE2460" s="53"/>
      <c r="EOF2460" s="53"/>
      <c r="EOG2460" s="62"/>
      <c r="EOH2460" s="60"/>
      <c r="EOI2460" s="53"/>
      <c r="EOJ2460" s="53"/>
      <c r="EOK2460" s="62"/>
      <c r="EOL2460" s="61"/>
      <c r="EOM2460" s="53"/>
      <c r="EON2460" s="53"/>
      <c r="EOO2460" s="62"/>
      <c r="EOP2460" s="60"/>
      <c r="EOQ2460" s="53"/>
      <c r="EOR2460" s="53"/>
      <c r="EOS2460" s="62"/>
      <c r="EOT2460" s="61"/>
      <c r="EOU2460" s="53"/>
      <c r="EOV2460" s="53"/>
      <c r="EOW2460" s="62"/>
      <c r="EOX2460" s="60"/>
      <c r="EOY2460" s="53"/>
      <c r="EOZ2460" s="53"/>
      <c r="EPA2460" s="62"/>
      <c r="EPB2460" s="61"/>
      <c r="EPC2460" s="53"/>
      <c r="EPD2460" s="53"/>
      <c r="EPE2460" s="62"/>
      <c r="EPF2460" s="60"/>
      <c r="EPG2460" s="53"/>
      <c r="EPH2460" s="53"/>
      <c r="EPI2460" s="62"/>
      <c r="EPJ2460" s="61"/>
      <c r="EPK2460" s="53"/>
      <c r="EPL2460" s="53"/>
      <c r="EPM2460" s="62"/>
      <c r="EPN2460" s="60"/>
      <c r="EPO2460" s="53"/>
      <c r="EPP2460" s="53"/>
      <c r="EPQ2460" s="62"/>
      <c r="EPR2460" s="61"/>
      <c r="EPS2460" s="53"/>
      <c r="EPT2460" s="53"/>
      <c r="EPU2460" s="62"/>
      <c r="EPV2460" s="60"/>
      <c r="EPW2460" s="53"/>
      <c r="EPX2460" s="53"/>
      <c r="EPY2460" s="62"/>
      <c r="EPZ2460" s="61"/>
      <c r="EQA2460" s="53"/>
      <c r="EQB2460" s="53"/>
      <c r="EQC2460" s="62"/>
      <c r="EQD2460" s="60"/>
      <c r="EQE2460" s="53"/>
      <c r="EQF2460" s="53"/>
      <c r="EQG2460" s="62"/>
      <c r="EQH2460" s="61"/>
      <c r="EQI2460" s="53"/>
      <c r="EQJ2460" s="53"/>
      <c r="EQK2460" s="62"/>
      <c r="EQL2460" s="60"/>
      <c r="EQM2460" s="53"/>
      <c r="EQN2460" s="53"/>
      <c r="EQO2460" s="62"/>
      <c r="EQP2460" s="61"/>
      <c r="EQQ2460" s="53"/>
      <c r="EQR2460" s="53"/>
      <c r="EQS2460" s="62"/>
      <c r="EQT2460" s="60"/>
      <c r="EQU2460" s="53"/>
      <c r="EQV2460" s="53"/>
      <c r="EQW2460" s="62"/>
      <c r="EQX2460" s="61"/>
      <c r="EQY2460" s="53"/>
      <c r="EQZ2460" s="53"/>
      <c r="ERA2460" s="62"/>
      <c r="ERB2460" s="60"/>
      <c r="ERC2460" s="53"/>
      <c r="ERD2460" s="53"/>
      <c r="ERE2460" s="62"/>
      <c r="ERF2460" s="61"/>
      <c r="ERG2460" s="53"/>
      <c r="ERH2460" s="53"/>
      <c r="ERI2460" s="62"/>
      <c r="ERJ2460" s="60"/>
      <c r="ERK2460" s="53"/>
      <c r="ERL2460" s="53"/>
      <c r="ERM2460" s="62"/>
      <c r="ERN2460" s="61"/>
      <c r="ERO2460" s="53"/>
      <c r="ERP2460" s="53"/>
      <c r="ERQ2460" s="62"/>
      <c r="ERR2460" s="60"/>
      <c r="ERS2460" s="53"/>
      <c r="ERT2460" s="53"/>
      <c r="ERU2460" s="62"/>
      <c r="ERV2460" s="61"/>
      <c r="ERW2460" s="53"/>
      <c r="ERX2460" s="53"/>
      <c r="ERY2460" s="62"/>
      <c r="ERZ2460" s="60"/>
      <c r="ESA2460" s="53"/>
      <c r="ESB2460" s="53"/>
      <c r="ESC2460" s="62"/>
      <c r="ESD2460" s="61"/>
      <c r="ESE2460" s="53"/>
      <c r="ESF2460" s="53"/>
      <c r="ESG2460" s="62"/>
      <c r="ESH2460" s="60"/>
      <c r="ESI2460" s="53"/>
      <c r="ESJ2460" s="53"/>
      <c r="ESK2460" s="62"/>
      <c r="ESL2460" s="61"/>
      <c r="ESM2460" s="53"/>
      <c r="ESN2460" s="53"/>
      <c r="ESO2460" s="62"/>
      <c r="ESP2460" s="60"/>
      <c r="ESQ2460" s="53"/>
      <c r="ESR2460" s="53"/>
      <c r="ESS2460" s="62"/>
      <c r="EST2460" s="61"/>
      <c r="ESU2460" s="53"/>
      <c r="ESV2460" s="53"/>
      <c r="ESW2460" s="62"/>
      <c r="ESX2460" s="60"/>
      <c r="ESY2460" s="53"/>
      <c r="ESZ2460" s="53"/>
      <c r="ETA2460" s="62"/>
      <c r="ETB2460" s="61"/>
      <c r="ETC2460" s="53"/>
      <c r="ETD2460" s="53"/>
      <c r="ETE2460" s="62"/>
      <c r="ETF2460" s="60"/>
      <c r="ETG2460" s="53"/>
      <c r="ETH2460" s="53"/>
      <c r="ETI2460" s="62"/>
      <c r="ETJ2460" s="61"/>
      <c r="ETK2460" s="53"/>
      <c r="ETL2460" s="53"/>
      <c r="ETM2460" s="62"/>
      <c r="ETN2460" s="60"/>
      <c r="ETO2460" s="53"/>
      <c r="ETP2460" s="53"/>
      <c r="ETQ2460" s="62"/>
      <c r="ETR2460" s="61"/>
      <c r="ETS2460" s="53"/>
      <c r="ETT2460" s="53"/>
      <c r="ETU2460" s="62"/>
      <c r="ETV2460" s="60"/>
      <c r="ETW2460" s="53"/>
      <c r="ETX2460" s="53"/>
      <c r="ETY2460" s="62"/>
      <c r="ETZ2460" s="61"/>
      <c r="EUA2460" s="53"/>
      <c r="EUB2460" s="53"/>
      <c r="EUC2460" s="62"/>
      <c r="EUD2460" s="60"/>
      <c r="EUE2460" s="53"/>
      <c r="EUF2460" s="53"/>
      <c r="EUG2460" s="62"/>
      <c r="EUH2460" s="61"/>
      <c r="EUI2460" s="53"/>
      <c r="EUJ2460" s="53"/>
      <c r="EUK2460" s="62"/>
      <c r="EUL2460" s="60"/>
      <c r="EUM2460" s="53"/>
      <c r="EUN2460" s="53"/>
      <c r="EUO2460" s="62"/>
      <c r="EUP2460" s="61"/>
      <c r="EUQ2460" s="53"/>
      <c r="EUR2460" s="53"/>
      <c r="EUS2460" s="62"/>
      <c r="EUT2460" s="60"/>
      <c r="EUU2460" s="53"/>
      <c r="EUV2460" s="53"/>
      <c r="EUW2460" s="62"/>
      <c r="EUX2460" s="61"/>
      <c r="EUY2460" s="53"/>
      <c r="EUZ2460" s="53"/>
      <c r="EVA2460" s="62"/>
      <c r="EVB2460" s="60"/>
      <c r="EVC2460" s="53"/>
      <c r="EVD2460" s="53"/>
      <c r="EVE2460" s="62"/>
      <c r="EVF2460" s="61"/>
      <c r="EVG2460" s="53"/>
      <c r="EVH2460" s="53"/>
      <c r="EVI2460" s="62"/>
      <c r="EVJ2460" s="60"/>
      <c r="EVK2460" s="53"/>
      <c r="EVL2460" s="53"/>
      <c r="EVM2460" s="62"/>
      <c r="EVN2460" s="61"/>
      <c r="EVO2460" s="53"/>
      <c r="EVP2460" s="53"/>
      <c r="EVQ2460" s="62"/>
      <c r="EVR2460" s="60"/>
      <c r="EVS2460" s="53"/>
      <c r="EVT2460" s="53"/>
      <c r="EVU2460" s="62"/>
      <c r="EVV2460" s="61"/>
      <c r="EVW2460" s="53"/>
      <c r="EVX2460" s="53"/>
      <c r="EVY2460" s="62"/>
      <c r="EVZ2460" s="60"/>
      <c r="EWA2460" s="53"/>
      <c r="EWB2460" s="53"/>
      <c r="EWC2460" s="62"/>
      <c r="EWD2460" s="61"/>
      <c r="EWE2460" s="53"/>
      <c r="EWF2460" s="53"/>
      <c r="EWG2460" s="62"/>
      <c r="EWH2460" s="60"/>
      <c r="EWI2460" s="53"/>
      <c r="EWJ2460" s="53"/>
      <c r="EWK2460" s="62"/>
      <c r="EWL2460" s="61"/>
      <c r="EWM2460" s="53"/>
      <c r="EWN2460" s="53"/>
      <c r="EWO2460" s="62"/>
      <c r="EWP2460" s="60"/>
      <c r="EWQ2460" s="53"/>
      <c r="EWR2460" s="53"/>
      <c r="EWS2460" s="62"/>
      <c r="EWT2460" s="61"/>
      <c r="EWU2460" s="53"/>
      <c r="EWV2460" s="53"/>
      <c r="EWW2460" s="62"/>
      <c r="EWX2460" s="60"/>
      <c r="EWY2460" s="53"/>
      <c r="EWZ2460" s="53"/>
      <c r="EXA2460" s="62"/>
      <c r="EXB2460" s="61"/>
      <c r="EXC2460" s="53"/>
      <c r="EXD2460" s="53"/>
      <c r="EXE2460" s="62"/>
      <c r="EXF2460" s="60"/>
      <c r="EXG2460" s="53"/>
      <c r="EXH2460" s="53"/>
      <c r="EXI2460" s="62"/>
      <c r="EXJ2460" s="61"/>
      <c r="EXK2460" s="53"/>
      <c r="EXL2460" s="53"/>
      <c r="EXM2460" s="62"/>
      <c r="EXN2460" s="60"/>
      <c r="EXO2460" s="53"/>
      <c r="EXP2460" s="53"/>
      <c r="EXQ2460" s="62"/>
      <c r="EXR2460" s="61"/>
      <c r="EXS2460" s="53"/>
      <c r="EXT2460" s="53"/>
      <c r="EXU2460" s="62"/>
      <c r="EXV2460" s="60"/>
      <c r="EXW2460" s="53"/>
      <c r="EXX2460" s="53"/>
      <c r="EXY2460" s="62"/>
      <c r="EXZ2460" s="61"/>
      <c r="EYA2460" s="53"/>
      <c r="EYB2460" s="53"/>
      <c r="EYC2460" s="62"/>
      <c r="EYD2460" s="60"/>
      <c r="EYE2460" s="53"/>
      <c r="EYF2460" s="53"/>
      <c r="EYG2460" s="62"/>
      <c r="EYH2460" s="61"/>
      <c r="EYI2460" s="53"/>
      <c r="EYJ2460" s="53"/>
      <c r="EYK2460" s="62"/>
      <c r="EYL2460" s="60"/>
      <c r="EYM2460" s="53"/>
      <c r="EYN2460" s="53"/>
      <c r="EYO2460" s="62"/>
      <c r="EYP2460" s="61"/>
      <c r="EYQ2460" s="53"/>
      <c r="EYR2460" s="53"/>
      <c r="EYS2460" s="62"/>
      <c r="EYT2460" s="60"/>
      <c r="EYU2460" s="53"/>
      <c r="EYV2460" s="53"/>
      <c r="EYW2460" s="62"/>
      <c r="EYX2460" s="61"/>
      <c r="EYY2460" s="53"/>
      <c r="EYZ2460" s="53"/>
      <c r="EZA2460" s="62"/>
      <c r="EZB2460" s="60"/>
      <c r="EZC2460" s="53"/>
      <c r="EZD2460" s="53"/>
      <c r="EZE2460" s="62"/>
      <c r="EZF2460" s="61"/>
      <c r="EZG2460" s="53"/>
      <c r="EZH2460" s="53"/>
      <c r="EZI2460" s="62"/>
      <c r="EZJ2460" s="60"/>
      <c r="EZK2460" s="53"/>
      <c r="EZL2460" s="53"/>
      <c r="EZM2460" s="62"/>
      <c r="EZN2460" s="61"/>
      <c r="EZO2460" s="53"/>
      <c r="EZP2460" s="53"/>
      <c r="EZQ2460" s="62"/>
      <c r="EZR2460" s="60"/>
      <c r="EZS2460" s="53"/>
      <c r="EZT2460" s="53"/>
      <c r="EZU2460" s="62"/>
      <c r="EZV2460" s="61"/>
      <c r="EZW2460" s="53"/>
      <c r="EZX2460" s="53"/>
      <c r="EZY2460" s="62"/>
      <c r="EZZ2460" s="60"/>
      <c r="FAA2460" s="53"/>
      <c r="FAB2460" s="53"/>
      <c r="FAC2460" s="62"/>
      <c r="FAD2460" s="61"/>
      <c r="FAE2460" s="53"/>
      <c r="FAF2460" s="53"/>
      <c r="FAG2460" s="62"/>
      <c r="FAH2460" s="60"/>
      <c r="FAI2460" s="53"/>
      <c r="FAJ2460" s="53"/>
      <c r="FAK2460" s="62"/>
      <c r="FAL2460" s="61"/>
      <c r="FAM2460" s="53"/>
      <c r="FAN2460" s="53"/>
      <c r="FAO2460" s="62"/>
      <c r="FAP2460" s="60"/>
      <c r="FAQ2460" s="53"/>
      <c r="FAR2460" s="53"/>
      <c r="FAS2460" s="62"/>
      <c r="FAT2460" s="61"/>
      <c r="FAU2460" s="53"/>
      <c r="FAV2460" s="53"/>
      <c r="FAW2460" s="62"/>
      <c r="FAX2460" s="60"/>
      <c r="FAY2460" s="53"/>
      <c r="FAZ2460" s="53"/>
      <c r="FBA2460" s="62"/>
      <c r="FBB2460" s="61"/>
      <c r="FBC2460" s="53"/>
      <c r="FBD2460" s="53"/>
      <c r="FBE2460" s="62"/>
      <c r="FBF2460" s="60"/>
      <c r="FBG2460" s="53"/>
      <c r="FBH2460" s="53"/>
      <c r="FBI2460" s="62"/>
      <c r="FBJ2460" s="61"/>
      <c r="FBK2460" s="53"/>
      <c r="FBL2460" s="53"/>
      <c r="FBM2460" s="62"/>
      <c r="FBN2460" s="60"/>
      <c r="FBO2460" s="53"/>
      <c r="FBP2460" s="53"/>
      <c r="FBQ2460" s="62"/>
      <c r="FBR2460" s="61"/>
      <c r="FBS2460" s="53"/>
      <c r="FBT2460" s="53"/>
      <c r="FBU2460" s="62"/>
      <c r="FBV2460" s="60"/>
      <c r="FBW2460" s="53"/>
      <c r="FBX2460" s="53"/>
      <c r="FBY2460" s="62"/>
      <c r="FBZ2460" s="61"/>
      <c r="FCA2460" s="53"/>
      <c r="FCB2460" s="53"/>
      <c r="FCC2460" s="62"/>
      <c r="FCD2460" s="60"/>
      <c r="FCE2460" s="53"/>
      <c r="FCF2460" s="53"/>
      <c r="FCG2460" s="62"/>
      <c r="FCH2460" s="61"/>
      <c r="FCI2460" s="53"/>
      <c r="FCJ2460" s="53"/>
      <c r="FCK2460" s="62"/>
      <c r="FCL2460" s="60"/>
      <c r="FCM2460" s="53"/>
      <c r="FCN2460" s="53"/>
      <c r="FCO2460" s="62"/>
      <c r="FCP2460" s="61"/>
      <c r="FCQ2460" s="53"/>
      <c r="FCR2460" s="53"/>
      <c r="FCS2460" s="62"/>
      <c r="FCT2460" s="60"/>
      <c r="FCU2460" s="53"/>
      <c r="FCV2460" s="53"/>
      <c r="FCW2460" s="62"/>
      <c r="FCX2460" s="61"/>
      <c r="FCY2460" s="53"/>
      <c r="FCZ2460" s="53"/>
      <c r="FDA2460" s="62"/>
      <c r="FDB2460" s="60"/>
      <c r="FDC2460" s="53"/>
      <c r="FDD2460" s="53"/>
      <c r="FDE2460" s="62"/>
      <c r="FDF2460" s="61"/>
      <c r="FDG2460" s="53"/>
      <c r="FDH2460" s="53"/>
      <c r="FDI2460" s="62"/>
      <c r="FDJ2460" s="60"/>
      <c r="FDK2460" s="53"/>
      <c r="FDL2460" s="53"/>
      <c r="FDM2460" s="62"/>
      <c r="FDN2460" s="61"/>
      <c r="FDO2460" s="53"/>
      <c r="FDP2460" s="53"/>
      <c r="FDQ2460" s="62"/>
      <c r="FDR2460" s="60"/>
      <c r="FDS2460" s="53"/>
      <c r="FDT2460" s="53"/>
      <c r="FDU2460" s="62"/>
      <c r="FDV2460" s="61"/>
      <c r="FDW2460" s="53"/>
      <c r="FDX2460" s="53"/>
      <c r="FDY2460" s="62"/>
      <c r="FDZ2460" s="60"/>
      <c r="FEA2460" s="53"/>
      <c r="FEB2460" s="53"/>
      <c r="FEC2460" s="62"/>
      <c r="FED2460" s="61"/>
      <c r="FEE2460" s="53"/>
      <c r="FEF2460" s="53"/>
      <c r="FEG2460" s="62"/>
      <c r="FEH2460" s="60"/>
      <c r="FEI2460" s="53"/>
      <c r="FEJ2460" s="53"/>
      <c r="FEK2460" s="62"/>
      <c r="FEL2460" s="61"/>
      <c r="FEM2460" s="53"/>
      <c r="FEN2460" s="53"/>
      <c r="FEO2460" s="62"/>
      <c r="FEP2460" s="60"/>
      <c r="FEQ2460" s="53"/>
      <c r="FER2460" s="53"/>
      <c r="FES2460" s="62"/>
      <c r="FET2460" s="61"/>
      <c r="FEU2460" s="53"/>
      <c r="FEV2460" s="53"/>
      <c r="FEW2460" s="62"/>
      <c r="FEX2460" s="60"/>
      <c r="FEY2460" s="53"/>
      <c r="FEZ2460" s="53"/>
      <c r="FFA2460" s="62"/>
      <c r="FFB2460" s="61"/>
      <c r="FFC2460" s="53"/>
      <c r="FFD2460" s="53"/>
      <c r="FFE2460" s="62"/>
      <c r="FFF2460" s="60"/>
      <c r="FFG2460" s="53"/>
      <c r="FFH2460" s="53"/>
      <c r="FFI2460" s="62"/>
      <c r="FFJ2460" s="61"/>
      <c r="FFK2460" s="53"/>
      <c r="FFL2460" s="53"/>
      <c r="FFM2460" s="62"/>
      <c r="FFN2460" s="60"/>
      <c r="FFO2460" s="53"/>
      <c r="FFP2460" s="53"/>
      <c r="FFQ2460" s="62"/>
      <c r="FFR2460" s="61"/>
      <c r="FFS2460" s="53"/>
      <c r="FFT2460" s="53"/>
      <c r="FFU2460" s="62"/>
      <c r="FFV2460" s="60"/>
      <c r="FFW2460" s="53"/>
      <c r="FFX2460" s="53"/>
      <c r="FFY2460" s="62"/>
      <c r="FFZ2460" s="61"/>
      <c r="FGA2460" s="53"/>
      <c r="FGB2460" s="53"/>
      <c r="FGC2460" s="62"/>
      <c r="FGD2460" s="60"/>
      <c r="FGE2460" s="53"/>
      <c r="FGF2460" s="53"/>
      <c r="FGG2460" s="62"/>
      <c r="FGH2460" s="61"/>
      <c r="FGI2460" s="53"/>
      <c r="FGJ2460" s="53"/>
      <c r="FGK2460" s="62"/>
      <c r="FGL2460" s="60"/>
      <c r="FGM2460" s="53"/>
      <c r="FGN2460" s="53"/>
      <c r="FGO2460" s="62"/>
      <c r="FGP2460" s="61"/>
      <c r="FGQ2460" s="53"/>
      <c r="FGR2460" s="53"/>
      <c r="FGS2460" s="62"/>
      <c r="FGT2460" s="60"/>
      <c r="FGU2460" s="53"/>
      <c r="FGV2460" s="53"/>
      <c r="FGW2460" s="62"/>
      <c r="FGX2460" s="61"/>
      <c r="FGY2460" s="53"/>
      <c r="FGZ2460" s="53"/>
      <c r="FHA2460" s="62"/>
      <c r="FHB2460" s="60"/>
      <c r="FHC2460" s="53"/>
      <c r="FHD2460" s="53"/>
      <c r="FHE2460" s="62"/>
      <c r="FHF2460" s="61"/>
      <c r="FHG2460" s="53"/>
      <c r="FHH2460" s="53"/>
      <c r="FHI2460" s="62"/>
      <c r="FHJ2460" s="60"/>
      <c r="FHK2460" s="53"/>
      <c r="FHL2460" s="53"/>
      <c r="FHM2460" s="62"/>
      <c r="FHN2460" s="61"/>
      <c r="FHO2460" s="53"/>
      <c r="FHP2460" s="53"/>
      <c r="FHQ2460" s="62"/>
      <c r="FHR2460" s="60"/>
      <c r="FHS2460" s="53"/>
      <c r="FHT2460" s="53"/>
      <c r="FHU2460" s="62"/>
      <c r="FHV2460" s="61"/>
      <c r="FHW2460" s="53"/>
      <c r="FHX2460" s="53"/>
      <c r="FHY2460" s="62"/>
      <c r="FHZ2460" s="60"/>
      <c r="FIA2460" s="53"/>
      <c r="FIB2460" s="53"/>
      <c r="FIC2460" s="62"/>
      <c r="FID2460" s="61"/>
      <c r="FIE2460" s="53"/>
      <c r="FIF2460" s="53"/>
      <c r="FIG2460" s="62"/>
      <c r="FIH2460" s="60"/>
      <c r="FII2460" s="53"/>
      <c r="FIJ2460" s="53"/>
      <c r="FIK2460" s="62"/>
      <c r="FIL2460" s="61"/>
      <c r="FIM2460" s="53"/>
      <c r="FIN2460" s="53"/>
      <c r="FIO2460" s="62"/>
      <c r="FIP2460" s="60"/>
      <c r="FIQ2460" s="53"/>
      <c r="FIR2460" s="53"/>
      <c r="FIS2460" s="62"/>
      <c r="FIT2460" s="61"/>
      <c r="FIU2460" s="53"/>
      <c r="FIV2460" s="53"/>
      <c r="FIW2460" s="62"/>
      <c r="FIX2460" s="60"/>
      <c r="FIY2460" s="53"/>
      <c r="FIZ2460" s="53"/>
      <c r="FJA2460" s="62"/>
      <c r="FJB2460" s="61"/>
      <c r="FJC2460" s="53"/>
      <c r="FJD2460" s="53"/>
      <c r="FJE2460" s="62"/>
      <c r="FJF2460" s="60"/>
      <c r="FJG2460" s="53"/>
      <c r="FJH2460" s="53"/>
      <c r="FJI2460" s="62"/>
      <c r="FJJ2460" s="61"/>
      <c r="FJK2460" s="53"/>
      <c r="FJL2460" s="53"/>
      <c r="FJM2460" s="62"/>
      <c r="FJN2460" s="60"/>
      <c r="FJO2460" s="53"/>
      <c r="FJP2460" s="53"/>
      <c r="FJQ2460" s="62"/>
      <c r="FJR2460" s="61"/>
      <c r="FJS2460" s="53"/>
      <c r="FJT2460" s="53"/>
      <c r="FJU2460" s="62"/>
      <c r="FJV2460" s="60"/>
      <c r="FJW2460" s="53"/>
      <c r="FJX2460" s="53"/>
      <c r="FJY2460" s="62"/>
      <c r="FJZ2460" s="61"/>
      <c r="FKA2460" s="53"/>
      <c r="FKB2460" s="53"/>
      <c r="FKC2460" s="62"/>
      <c r="FKD2460" s="60"/>
      <c r="FKE2460" s="53"/>
      <c r="FKF2460" s="53"/>
      <c r="FKG2460" s="62"/>
      <c r="FKH2460" s="61"/>
      <c r="FKI2460" s="53"/>
      <c r="FKJ2460" s="53"/>
      <c r="FKK2460" s="62"/>
      <c r="FKL2460" s="60"/>
      <c r="FKM2460" s="53"/>
      <c r="FKN2460" s="53"/>
      <c r="FKO2460" s="62"/>
      <c r="FKP2460" s="61"/>
      <c r="FKQ2460" s="53"/>
      <c r="FKR2460" s="53"/>
      <c r="FKS2460" s="62"/>
      <c r="FKT2460" s="60"/>
      <c r="FKU2460" s="53"/>
      <c r="FKV2460" s="53"/>
      <c r="FKW2460" s="62"/>
      <c r="FKX2460" s="61"/>
      <c r="FKY2460" s="53"/>
      <c r="FKZ2460" s="53"/>
      <c r="FLA2460" s="62"/>
      <c r="FLB2460" s="60"/>
      <c r="FLC2460" s="53"/>
      <c r="FLD2460" s="53"/>
      <c r="FLE2460" s="62"/>
      <c r="FLF2460" s="61"/>
      <c r="FLG2460" s="53"/>
      <c r="FLH2460" s="53"/>
      <c r="FLI2460" s="62"/>
      <c r="FLJ2460" s="60"/>
      <c r="FLK2460" s="53"/>
      <c r="FLL2460" s="53"/>
      <c r="FLM2460" s="62"/>
      <c r="FLN2460" s="61"/>
      <c r="FLO2460" s="53"/>
      <c r="FLP2460" s="53"/>
      <c r="FLQ2460" s="62"/>
      <c r="FLR2460" s="60"/>
      <c r="FLS2460" s="53"/>
      <c r="FLT2460" s="53"/>
      <c r="FLU2460" s="62"/>
      <c r="FLV2460" s="61"/>
      <c r="FLW2460" s="53"/>
      <c r="FLX2460" s="53"/>
      <c r="FLY2460" s="62"/>
      <c r="FLZ2460" s="60"/>
      <c r="FMA2460" s="53"/>
      <c r="FMB2460" s="53"/>
      <c r="FMC2460" s="62"/>
      <c r="FMD2460" s="61"/>
      <c r="FME2460" s="53"/>
      <c r="FMF2460" s="53"/>
      <c r="FMG2460" s="62"/>
      <c r="FMH2460" s="60"/>
      <c r="FMI2460" s="53"/>
      <c r="FMJ2460" s="53"/>
      <c r="FMK2460" s="62"/>
      <c r="FML2460" s="61"/>
      <c r="FMM2460" s="53"/>
      <c r="FMN2460" s="53"/>
      <c r="FMO2460" s="62"/>
      <c r="FMP2460" s="60"/>
      <c r="FMQ2460" s="53"/>
      <c r="FMR2460" s="53"/>
      <c r="FMS2460" s="62"/>
      <c r="FMT2460" s="61"/>
      <c r="FMU2460" s="53"/>
      <c r="FMV2460" s="53"/>
      <c r="FMW2460" s="62"/>
      <c r="FMX2460" s="60"/>
      <c r="FMY2460" s="53"/>
      <c r="FMZ2460" s="53"/>
      <c r="FNA2460" s="62"/>
      <c r="FNB2460" s="61"/>
      <c r="FNC2460" s="53"/>
      <c r="FND2460" s="53"/>
      <c r="FNE2460" s="62"/>
      <c r="FNF2460" s="60"/>
      <c r="FNG2460" s="53"/>
      <c r="FNH2460" s="53"/>
      <c r="FNI2460" s="62"/>
      <c r="FNJ2460" s="61"/>
      <c r="FNK2460" s="53"/>
      <c r="FNL2460" s="53"/>
      <c r="FNM2460" s="62"/>
      <c r="FNN2460" s="60"/>
      <c r="FNO2460" s="53"/>
      <c r="FNP2460" s="53"/>
      <c r="FNQ2460" s="62"/>
      <c r="FNR2460" s="61"/>
      <c r="FNS2460" s="53"/>
      <c r="FNT2460" s="53"/>
      <c r="FNU2460" s="62"/>
      <c r="FNV2460" s="60"/>
      <c r="FNW2460" s="53"/>
      <c r="FNX2460" s="53"/>
      <c r="FNY2460" s="62"/>
      <c r="FNZ2460" s="61"/>
      <c r="FOA2460" s="53"/>
      <c r="FOB2460" s="53"/>
      <c r="FOC2460" s="62"/>
      <c r="FOD2460" s="60"/>
      <c r="FOE2460" s="53"/>
      <c r="FOF2460" s="53"/>
      <c r="FOG2460" s="62"/>
      <c r="FOH2460" s="61"/>
      <c r="FOI2460" s="53"/>
      <c r="FOJ2460" s="53"/>
      <c r="FOK2460" s="62"/>
      <c r="FOL2460" s="60"/>
      <c r="FOM2460" s="53"/>
      <c r="FON2460" s="53"/>
      <c r="FOO2460" s="62"/>
      <c r="FOP2460" s="61"/>
      <c r="FOQ2460" s="53"/>
      <c r="FOR2460" s="53"/>
      <c r="FOS2460" s="62"/>
      <c r="FOT2460" s="60"/>
      <c r="FOU2460" s="53"/>
      <c r="FOV2460" s="53"/>
      <c r="FOW2460" s="62"/>
      <c r="FOX2460" s="61"/>
      <c r="FOY2460" s="53"/>
      <c r="FOZ2460" s="53"/>
      <c r="FPA2460" s="62"/>
      <c r="FPB2460" s="60"/>
      <c r="FPC2460" s="53"/>
      <c r="FPD2460" s="53"/>
      <c r="FPE2460" s="62"/>
      <c r="FPF2460" s="61"/>
      <c r="FPG2460" s="53"/>
      <c r="FPH2460" s="53"/>
      <c r="FPI2460" s="62"/>
      <c r="FPJ2460" s="60"/>
      <c r="FPK2460" s="53"/>
      <c r="FPL2460" s="53"/>
      <c r="FPM2460" s="62"/>
      <c r="FPN2460" s="61"/>
      <c r="FPO2460" s="53"/>
      <c r="FPP2460" s="53"/>
      <c r="FPQ2460" s="62"/>
      <c r="FPR2460" s="60"/>
      <c r="FPS2460" s="53"/>
      <c r="FPT2460" s="53"/>
      <c r="FPU2460" s="62"/>
      <c r="FPV2460" s="61"/>
      <c r="FPW2460" s="53"/>
      <c r="FPX2460" s="53"/>
      <c r="FPY2460" s="62"/>
      <c r="FPZ2460" s="60"/>
      <c r="FQA2460" s="53"/>
      <c r="FQB2460" s="53"/>
      <c r="FQC2460" s="62"/>
      <c r="FQD2460" s="61"/>
      <c r="FQE2460" s="53"/>
      <c r="FQF2460" s="53"/>
      <c r="FQG2460" s="62"/>
      <c r="FQH2460" s="60"/>
      <c r="FQI2460" s="53"/>
      <c r="FQJ2460" s="53"/>
      <c r="FQK2460" s="62"/>
      <c r="FQL2460" s="61"/>
      <c r="FQM2460" s="53"/>
      <c r="FQN2460" s="53"/>
      <c r="FQO2460" s="62"/>
      <c r="FQP2460" s="60"/>
      <c r="FQQ2460" s="53"/>
      <c r="FQR2460" s="53"/>
      <c r="FQS2460" s="62"/>
      <c r="FQT2460" s="61"/>
      <c r="FQU2460" s="53"/>
      <c r="FQV2460" s="53"/>
      <c r="FQW2460" s="62"/>
      <c r="FQX2460" s="60"/>
      <c r="FQY2460" s="53"/>
      <c r="FQZ2460" s="53"/>
      <c r="FRA2460" s="62"/>
      <c r="FRB2460" s="61"/>
      <c r="FRC2460" s="53"/>
      <c r="FRD2460" s="53"/>
      <c r="FRE2460" s="62"/>
      <c r="FRF2460" s="60"/>
      <c r="FRG2460" s="53"/>
      <c r="FRH2460" s="53"/>
      <c r="FRI2460" s="62"/>
      <c r="FRJ2460" s="61"/>
      <c r="FRK2460" s="53"/>
      <c r="FRL2460" s="53"/>
      <c r="FRM2460" s="62"/>
      <c r="FRN2460" s="60"/>
      <c r="FRO2460" s="53"/>
      <c r="FRP2460" s="53"/>
      <c r="FRQ2460" s="62"/>
      <c r="FRR2460" s="61"/>
      <c r="FRS2460" s="53"/>
      <c r="FRT2460" s="53"/>
      <c r="FRU2460" s="62"/>
      <c r="FRV2460" s="60"/>
      <c r="FRW2460" s="53"/>
      <c r="FRX2460" s="53"/>
      <c r="FRY2460" s="62"/>
      <c r="FRZ2460" s="61"/>
      <c r="FSA2460" s="53"/>
      <c r="FSB2460" s="53"/>
      <c r="FSC2460" s="62"/>
      <c r="FSD2460" s="60"/>
      <c r="FSE2460" s="53"/>
      <c r="FSF2460" s="53"/>
      <c r="FSG2460" s="62"/>
      <c r="FSH2460" s="61"/>
      <c r="FSI2460" s="53"/>
      <c r="FSJ2460" s="53"/>
      <c r="FSK2460" s="62"/>
      <c r="FSL2460" s="60"/>
      <c r="FSM2460" s="53"/>
      <c r="FSN2460" s="53"/>
      <c r="FSO2460" s="62"/>
      <c r="FSP2460" s="61"/>
      <c r="FSQ2460" s="53"/>
      <c r="FSR2460" s="53"/>
      <c r="FSS2460" s="62"/>
      <c r="FST2460" s="60"/>
      <c r="FSU2460" s="53"/>
      <c r="FSV2460" s="53"/>
      <c r="FSW2460" s="62"/>
      <c r="FSX2460" s="61"/>
      <c r="FSY2460" s="53"/>
      <c r="FSZ2460" s="53"/>
      <c r="FTA2460" s="62"/>
      <c r="FTB2460" s="60"/>
      <c r="FTC2460" s="53"/>
      <c r="FTD2460" s="53"/>
      <c r="FTE2460" s="62"/>
      <c r="FTF2460" s="61"/>
      <c r="FTG2460" s="53"/>
      <c r="FTH2460" s="53"/>
      <c r="FTI2460" s="62"/>
      <c r="FTJ2460" s="60"/>
      <c r="FTK2460" s="53"/>
      <c r="FTL2460" s="53"/>
      <c r="FTM2460" s="62"/>
      <c r="FTN2460" s="61"/>
      <c r="FTO2460" s="53"/>
      <c r="FTP2460" s="53"/>
      <c r="FTQ2460" s="62"/>
      <c r="FTR2460" s="60"/>
      <c r="FTS2460" s="53"/>
      <c r="FTT2460" s="53"/>
      <c r="FTU2460" s="62"/>
      <c r="FTV2460" s="61"/>
      <c r="FTW2460" s="53"/>
      <c r="FTX2460" s="53"/>
      <c r="FTY2460" s="62"/>
      <c r="FTZ2460" s="60"/>
      <c r="FUA2460" s="53"/>
      <c r="FUB2460" s="53"/>
      <c r="FUC2460" s="62"/>
      <c r="FUD2460" s="61"/>
      <c r="FUE2460" s="53"/>
      <c r="FUF2460" s="53"/>
      <c r="FUG2460" s="62"/>
      <c r="FUH2460" s="60"/>
      <c r="FUI2460" s="53"/>
      <c r="FUJ2460" s="53"/>
      <c r="FUK2460" s="62"/>
      <c r="FUL2460" s="61"/>
      <c r="FUM2460" s="53"/>
      <c r="FUN2460" s="53"/>
      <c r="FUO2460" s="62"/>
      <c r="FUP2460" s="60"/>
      <c r="FUQ2460" s="53"/>
      <c r="FUR2460" s="53"/>
      <c r="FUS2460" s="62"/>
      <c r="FUT2460" s="61"/>
      <c r="FUU2460" s="53"/>
      <c r="FUV2460" s="53"/>
      <c r="FUW2460" s="62"/>
      <c r="FUX2460" s="60"/>
      <c r="FUY2460" s="53"/>
      <c r="FUZ2460" s="53"/>
      <c r="FVA2460" s="62"/>
      <c r="FVB2460" s="61"/>
      <c r="FVC2460" s="53"/>
      <c r="FVD2460" s="53"/>
      <c r="FVE2460" s="62"/>
      <c r="FVF2460" s="60"/>
      <c r="FVG2460" s="53"/>
      <c r="FVH2460" s="53"/>
      <c r="FVI2460" s="62"/>
      <c r="FVJ2460" s="61"/>
      <c r="FVK2460" s="53"/>
      <c r="FVL2460" s="53"/>
      <c r="FVM2460" s="62"/>
      <c r="FVN2460" s="60"/>
      <c r="FVO2460" s="53"/>
      <c r="FVP2460" s="53"/>
      <c r="FVQ2460" s="62"/>
      <c r="FVR2460" s="61"/>
      <c r="FVS2460" s="53"/>
      <c r="FVT2460" s="53"/>
      <c r="FVU2460" s="62"/>
      <c r="FVV2460" s="60"/>
      <c r="FVW2460" s="53"/>
      <c r="FVX2460" s="53"/>
      <c r="FVY2460" s="62"/>
      <c r="FVZ2460" s="61"/>
      <c r="FWA2460" s="53"/>
      <c r="FWB2460" s="53"/>
      <c r="FWC2460" s="62"/>
      <c r="FWD2460" s="60"/>
      <c r="FWE2460" s="53"/>
      <c r="FWF2460" s="53"/>
      <c r="FWG2460" s="62"/>
      <c r="FWH2460" s="61"/>
      <c r="FWI2460" s="53"/>
      <c r="FWJ2460" s="53"/>
      <c r="FWK2460" s="62"/>
      <c r="FWL2460" s="60"/>
      <c r="FWM2460" s="53"/>
      <c r="FWN2460" s="53"/>
      <c r="FWO2460" s="62"/>
      <c r="FWP2460" s="61"/>
      <c r="FWQ2460" s="53"/>
      <c r="FWR2460" s="53"/>
      <c r="FWS2460" s="62"/>
      <c r="FWT2460" s="60"/>
      <c r="FWU2460" s="53"/>
      <c r="FWV2460" s="53"/>
      <c r="FWW2460" s="62"/>
      <c r="FWX2460" s="61"/>
      <c r="FWY2460" s="53"/>
      <c r="FWZ2460" s="53"/>
      <c r="FXA2460" s="62"/>
      <c r="FXB2460" s="60"/>
      <c r="FXC2460" s="53"/>
      <c r="FXD2460" s="53"/>
      <c r="FXE2460" s="62"/>
      <c r="FXF2460" s="61"/>
      <c r="FXG2460" s="53"/>
      <c r="FXH2460" s="53"/>
      <c r="FXI2460" s="62"/>
      <c r="FXJ2460" s="60"/>
      <c r="FXK2460" s="53"/>
      <c r="FXL2460" s="53"/>
      <c r="FXM2460" s="62"/>
      <c r="FXN2460" s="61"/>
      <c r="FXO2460" s="53"/>
      <c r="FXP2460" s="53"/>
      <c r="FXQ2460" s="62"/>
      <c r="FXR2460" s="60"/>
      <c r="FXS2460" s="53"/>
      <c r="FXT2460" s="53"/>
      <c r="FXU2460" s="62"/>
      <c r="FXV2460" s="61"/>
      <c r="FXW2460" s="53"/>
      <c r="FXX2460" s="53"/>
      <c r="FXY2460" s="62"/>
      <c r="FXZ2460" s="60"/>
      <c r="FYA2460" s="53"/>
      <c r="FYB2460" s="53"/>
      <c r="FYC2460" s="62"/>
      <c r="FYD2460" s="61"/>
      <c r="FYE2460" s="53"/>
      <c r="FYF2460" s="53"/>
      <c r="FYG2460" s="62"/>
      <c r="FYH2460" s="60"/>
      <c r="FYI2460" s="53"/>
      <c r="FYJ2460" s="53"/>
      <c r="FYK2460" s="62"/>
      <c r="FYL2460" s="61"/>
      <c r="FYM2460" s="53"/>
      <c r="FYN2460" s="53"/>
      <c r="FYO2460" s="62"/>
      <c r="FYP2460" s="60"/>
      <c r="FYQ2460" s="53"/>
      <c r="FYR2460" s="53"/>
      <c r="FYS2460" s="62"/>
      <c r="FYT2460" s="61"/>
      <c r="FYU2460" s="53"/>
      <c r="FYV2460" s="53"/>
      <c r="FYW2460" s="62"/>
      <c r="FYX2460" s="60"/>
      <c r="FYY2460" s="53"/>
      <c r="FYZ2460" s="53"/>
      <c r="FZA2460" s="62"/>
      <c r="FZB2460" s="61"/>
      <c r="FZC2460" s="53"/>
      <c r="FZD2460" s="53"/>
      <c r="FZE2460" s="62"/>
      <c r="FZF2460" s="60"/>
      <c r="FZG2460" s="53"/>
      <c r="FZH2460" s="53"/>
      <c r="FZI2460" s="62"/>
      <c r="FZJ2460" s="61"/>
      <c r="FZK2460" s="53"/>
      <c r="FZL2460" s="53"/>
      <c r="FZM2460" s="62"/>
      <c r="FZN2460" s="60"/>
      <c r="FZO2460" s="53"/>
      <c r="FZP2460" s="53"/>
      <c r="FZQ2460" s="62"/>
      <c r="FZR2460" s="61"/>
      <c r="FZS2460" s="53"/>
      <c r="FZT2460" s="53"/>
      <c r="FZU2460" s="62"/>
      <c r="FZV2460" s="60"/>
      <c r="FZW2460" s="53"/>
      <c r="FZX2460" s="53"/>
      <c r="FZY2460" s="62"/>
      <c r="FZZ2460" s="61"/>
      <c r="GAA2460" s="53"/>
      <c r="GAB2460" s="53"/>
      <c r="GAC2460" s="62"/>
      <c r="GAD2460" s="60"/>
      <c r="GAE2460" s="53"/>
      <c r="GAF2460" s="53"/>
      <c r="GAG2460" s="62"/>
      <c r="GAH2460" s="61"/>
      <c r="GAI2460" s="53"/>
      <c r="GAJ2460" s="53"/>
      <c r="GAK2460" s="62"/>
      <c r="GAL2460" s="60"/>
      <c r="GAM2460" s="53"/>
      <c r="GAN2460" s="53"/>
      <c r="GAO2460" s="62"/>
      <c r="GAP2460" s="61"/>
      <c r="GAQ2460" s="53"/>
      <c r="GAR2460" s="53"/>
      <c r="GAS2460" s="62"/>
      <c r="GAT2460" s="60"/>
      <c r="GAU2460" s="53"/>
      <c r="GAV2460" s="53"/>
      <c r="GAW2460" s="62"/>
      <c r="GAX2460" s="61"/>
      <c r="GAY2460" s="53"/>
      <c r="GAZ2460" s="53"/>
      <c r="GBA2460" s="62"/>
      <c r="GBB2460" s="60"/>
      <c r="GBC2460" s="53"/>
      <c r="GBD2460" s="53"/>
      <c r="GBE2460" s="62"/>
      <c r="GBF2460" s="61"/>
      <c r="GBG2460" s="53"/>
      <c r="GBH2460" s="53"/>
      <c r="GBI2460" s="62"/>
      <c r="GBJ2460" s="60"/>
      <c r="GBK2460" s="53"/>
      <c r="GBL2460" s="53"/>
      <c r="GBM2460" s="62"/>
      <c r="GBN2460" s="61"/>
      <c r="GBO2460" s="53"/>
      <c r="GBP2460" s="53"/>
      <c r="GBQ2460" s="62"/>
      <c r="GBR2460" s="60"/>
      <c r="GBS2460" s="53"/>
      <c r="GBT2460" s="53"/>
      <c r="GBU2460" s="62"/>
      <c r="GBV2460" s="61"/>
      <c r="GBW2460" s="53"/>
      <c r="GBX2460" s="53"/>
      <c r="GBY2460" s="62"/>
      <c r="GBZ2460" s="60"/>
      <c r="GCA2460" s="53"/>
      <c r="GCB2460" s="53"/>
      <c r="GCC2460" s="62"/>
      <c r="GCD2460" s="61"/>
      <c r="GCE2460" s="53"/>
      <c r="GCF2460" s="53"/>
      <c r="GCG2460" s="62"/>
      <c r="GCH2460" s="60"/>
      <c r="GCI2460" s="53"/>
      <c r="GCJ2460" s="53"/>
      <c r="GCK2460" s="62"/>
      <c r="GCL2460" s="61"/>
      <c r="GCM2460" s="53"/>
      <c r="GCN2460" s="53"/>
      <c r="GCO2460" s="62"/>
      <c r="GCP2460" s="60"/>
      <c r="GCQ2460" s="53"/>
      <c r="GCR2460" s="53"/>
      <c r="GCS2460" s="62"/>
      <c r="GCT2460" s="61"/>
      <c r="GCU2460" s="53"/>
      <c r="GCV2460" s="53"/>
      <c r="GCW2460" s="62"/>
      <c r="GCX2460" s="60"/>
      <c r="GCY2460" s="53"/>
      <c r="GCZ2460" s="53"/>
      <c r="GDA2460" s="62"/>
      <c r="GDB2460" s="61"/>
      <c r="GDC2460" s="53"/>
      <c r="GDD2460" s="53"/>
      <c r="GDE2460" s="62"/>
      <c r="GDF2460" s="60"/>
      <c r="GDG2460" s="53"/>
      <c r="GDH2460" s="53"/>
      <c r="GDI2460" s="62"/>
      <c r="GDJ2460" s="61"/>
      <c r="GDK2460" s="53"/>
      <c r="GDL2460" s="53"/>
      <c r="GDM2460" s="62"/>
      <c r="GDN2460" s="60"/>
      <c r="GDO2460" s="53"/>
      <c r="GDP2460" s="53"/>
      <c r="GDQ2460" s="62"/>
      <c r="GDR2460" s="61"/>
      <c r="GDS2460" s="53"/>
      <c r="GDT2460" s="53"/>
      <c r="GDU2460" s="62"/>
      <c r="GDV2460" s="60"/>
      <c r="GDW2460" s="53"/>
      <c r="GDX2460" s="53"/>
      <c r="GDY2460" s="62"/>
      <c r="GDZ2460" s="61"/>
      <c r="GEA2460" s="53"/>
      <c r="GEB2460" s="53"/>
      <c r="GEC2460" s="62"/>
      <c r="GED2460" s="60"/>
      <c r="GEE2460" s="53"/>
      <c r="GEF2460" s="53"/>
      <c r="GEG2460" s="62"/>
      <c r="GEH2460" s="61"/>
      <c r="GEI2460" s="53"/>
      <c r="GEJ2460" s="53"/>
      <c r="GEK2460" s="62"/>
      <c r="GEL2460" s="60"/>
      <c r="GEM2460" s="53"/>
      <c r="GEN2460" s="53"/>
      <c r="GEO2460" s="62"/>
      <c r="GEP2460" s="61"/>
      <c r="GEQ2460" s="53"/>
      <c r="GER2460" s="53"/>
      <c r="GES2460" s="62"/>
      <c r="GET2460" s="60"/>
      <c r="GEU2460" s="53"/>
      <c r="GEV2460" s="53"/>
      <c r="GEW2460" s="62"/>
      <c r="GEX2460" s="61"/>
      <c r="GEY2460" s="53"/>
      <c r="GEZ2460" s="53"/>
      <c r="GFA2460" s="62"/>
      <c r="GFB2460" s="60"/>
      <c r="GFC2460" s="53"/>
      <c r="GFD2460" s="53"/>
      <c r="GFE2460" s="62"/>
      <c r="GFF2460" s="61"/>
      <c r="GFG2460" s="53"/>
      <c r="GFH2460" s="53"/>
      <c r="GFI2460" s="62"/>
      <c r="GFJ2460" s="60"/>
      <c r="GFK2460" s="53"/>
      <c r="GFL2460" s="53"/>
      <c r="GFM2460" s="62"/>
      <c r="GFN2460" s="61"/>
      <c r="GFO2460" s="53"/>
      <c r="GFP2460" s="53"/>
      <c r="GFQ2460" s="62"/>
      <c r="GFR2460" s="60"/>
      <c r="GFS2460" s="53"/>
      <c r="GFT2460" s="53"/>
      <c r="GFU2460" s="62"/>
      <c r="GFV2460" s="61"/>
      <c r="GFW2460" s="53"/>
      <c r="GFX2460" s="53"/>
      <c r="GFY2460" s="62"/>
      <c r="GFZ2460" s="60"/>
      <c r="GGA2460" s="53"/>
      <c r="GGB2460" s="53"/>
      <c r="GGC2460" s="62"/>
      <c r="GGD2460" s="61"/>
      <c r="GGE2460" s="53"/>
      <c r="GGF2460" s="53"/>
      <c r="GGG2460" s="62"/>
      <c r="GGH2460" s="60"/>
      <c r="GGI2460" s="53"/>
      <c r="GGJ2460" s="53"/>
      <c r="GGK2460" s="62"/>
      <c r="GGL2460" s="61"/>
      <c r="GGM2460" s="53"/>
      <c r="GGN2460" s="53"/>
      <c r="GGO2460" s="62"/>
      <c r="GGP2460" s="60"/>
      <c r="GGQ2460" s="53"/>
      <c r="GGR2460" s="53"/>
      <c r="GGS2460" s="62"/>
      <c r="GGT2460" s="61"/>
      <c r="GGU2460" s="53"/>
      <c r="GGV2460" s="53"/>
      <c r="GGW2460" s="62"/>
      <c r="GGX2460" s="60"/>
      <c r="GGY2460" s="53"/>
      <c r="GGZ2460" s="53"/>
      <c r="GHA2460" s="62"/>
      <c r="GHB2460" s="61"/>
      <c r="GHC2460" s="53"/>
      <c r="GHD2460" s="53"/>
      <c r="GHE2460" s="62"/>
      <c r="GHF2460" s="60"/>
      <c r="GHG2460" s="53"/>
      <c r="GHH2460" s="53"/>
      <c r="GHI2460" s="62"/>
      <c r="GHJ2460" s="61"/>
      <c r="GHK2460" s="53"/>
      <c r="GHL2460" s="53"/>
      <c r="GHM2460" s="62"/>
      <c r="GHN2460" s="60"/>
      <c r="GHO2460" s="53"/>
      <c r="GHP2460" s="53"/>
      <c r="GHQ2460" s="62"/>
      <c r="GHR2460" s="61"/>
      <c r="GHS2460" s="53"/>
      <c r="GHT2460" s="53"/>
      <c r="GHU2460" s="62"/>
      <c r="GHV2460" s="60"/>
      <c r="GHW2460" s="53"/>
      <c r="GHX2460" s="53"/>
      <c r="GHY2460" s="62"/>
      <c r="GHZ2460" s="61"/>
      <c r="GIA2460" s="53"/>
      <c r="GIB2460" s="53"/>
      <c r="GIC2460" s="62"/>
      <c r="GID2460" s="60"/>
      <c r="GIE2460" s="53"/>
      <c r="GIF2460" s="53"/>
      <c r="GIG2460" s="62"/>
      <c r="GIH2460" s="61"/>
      <c r="GII2460" s="53"/>
      <c r="GIJ2460" s="53"/>
      <c r="GIK2460" s="62"/>
      <c r="GIL2460" s="60"/>
      <c r="GIM2460" s="53"/>
      <c r="GIN2460" s="53"/>
      <c r="GIO2460" s="62"/>
      <c r="GIP2460" s="61"/>
      <c r="GIQ2460" s="53"/>
      <c r="GIR2460" s="53"/>
      <c r="GIS2460" s="62"/>
      <c r="GIT2460" s="60"/>
      <c r="GIU2460" s="53"/>
      <c r="GIV2460" s="53"/>
      <c r="GIW2460" s="62"/>
      <c r="GIX2460" s="61"/>
      <c r="GIY2460" s="53"/>
      <c r="GIZ2460" s="53"/>
      <c r="GJA2460" s="62"/>
      <c r="GJB2460" s="60"/>
      <c r="GJC2460" s="53"/>
      <c r="GJD2460" s="53"/>
      <c r="GJE2460" s="62"/>
      <c r="GJF2460" s="61"/>
      <c r="GJG2460" s="53"/>
      <c r="GJH2460" s="53"/>
      <c r="GJI2460" s="62"/>
      <c r="GJJ2460" s="60"/>
      <c r="GJK2460" s="53"/>
      <c r="GJL2460" s="53"/>
      <c r="GJM2460" s="62"/>
      <c r="GJN2460" s="61"/>
      <c r="GJO2460" s="53"/>
      <c r="GJP2460" s="53"/>
      <c r="GJQ2460" s="62"/>
      <c r="GJR2460" s="60"/>
      <c r="GJS2460" s="53"/>
      <c r="GJT2460" s="53"/>
      <c r="GJU2460" s="62"/>
      <c r="GJV2460" s="61"/>
      <c r="GJW2460" s="53"/>
      <c r="GJX2460" s="53"/>
      <c r="GJY2460" s="62"/>
      <c r="GJZ2460" s="60"/>
      <c r="GKA2460" s="53"/>
      <c r="GKB2460" s="53"/>
      <c r="GKC2460" s="62"/>
      <c r="GKD2460" s="61"/>
      <c r="GKE2460" s="53"/>
      <c r="GKF2460" s="53"/>
      <c r="GKG2460" s="62"/>
      <c r="GKH2460" s="60"/>
      <c r="GKI2460" s="53"/>
      <c r="GKJ2460" s="53"/>
      <c r="GKK2460" s="62"/>
      <c r="GKL2460" s="61"/>
      <c r="GKM2460" s="53"/>
      <c r="GKN2460" s="53"/>
      <c r="GKO2460" s="62"/>
      <c r="GKP2460" s="60"/>
      <c r="GKQ2460" s="53"/>
      <c r="GKR2460" s="53"/>
      <c r="GKS2460" s="62"/>
      <c r="GKT2460" s="61"/>
      <c r="GKU2460" s="53"/>
      <c r="GKV2460" s="53"/>
      <c r="GKW2460" s="62"/>
      <c r="GKX2460" s="60"/>
      <c r="GKY2460" s="53"/>
      <c r="GKZ2460" s="53"/>
      <c r="GLA2460" s="62"/>
      <c r="GLB2460" s="61"/>
      <c r="GLC2460" s="53"/>
      <c r="GLD2460" s="53"/>
      <c r="GLE2460" s="62"/>
      <c r="GLF2460" s="60"/>
      <c r="GLG2460" s="53"/>
      <c r="GLH2460" s="53"/>
      <c r="GLI2460" s="62"/>
      <c r="GLJ2460" s="61"/>
      <c r="GLK2460" s="53"/>
      <c r="GLL2460" s="53"/>
      <c r="GLM2460" s="62"/>
      <c r="GLN2460" s="60"/>
      <c r="GLO2460" s="53"/>
      <c r="GLP2460" s="53"/>
      <c r="GLQ2460" s="62"/>
      <c r="GLR2460" s="61"/>
      <c r="GLS2460" s="53"/>
      <c r="GLT2460" s="53"/>
      <c r="GLU2460" s="62"/>
      <c r="GLV2460" s="60"/>
      <c r="GLW2460" s="53"/>
      <c r="GLX2460" s="53"/>
      <c r="GLY2460" s="62"/>
      <c r="GLZ2460" s="61"/>
      <c r="GMA2460" s="53"/>
      <c r="GMB2460" s="53"/>
      <c r="GMC2460" s="62"/>
      <c r="GMD2460" s="60"/>
      <c r="GME2460" s="53"/>
      <c r="GMF2460" s="53"/>
      <c r="GMG2460" s="62"/>
      <c r="GMH2460" s="61"/>
      <c r="GMI2460" s="53"/>
      <c r="GMJ2460" s="53"/>
      <c r="GMK2460" s="62"/>
      <c r="GML2460" s="60"/>
      <c r="GMM2460" s="53"/>
      <c r="GMN2460" s="53"/>
      <c r="GMO2460" s="62"/>
      <c r="GMP2460" s="61"/>
      <c r="GMQ2460" s="53"/>
      <c r="GMR2460" s="53"/>
      <c r="GMS2460" s="62"/>
      <c r="GMT2460" s="60"/>
      <c r="GMU2460" s="53"/>
      <c r="GMV2460" s="53"/>
      <c r="GMW2460" s="62"/>
      <c r="GMX2460" s="61"/>
      <c r="GMY2460" s="53"/>
      <c r="GMZ2460" s="53"/>
      <c r="GNA2460" s="62"/>
      <c r="GNB2460" s="60"/>
      <c r="GNC2460" s="53"/>
      <c r="GND2460" s="53"/>
      <c r="GNE2460" s="62"/>
      <c r="GNF2460" s="61"/>
      <c r="GNG2460" s="53"/>
      <c r="GNH2460" s="53"/>
      <c r="GNI2460" s="62"/>
      <c r="GNJ2460" s="60"/>
      <c r="GNK2460" s="53"/>
      <c r="GNL2460" s="53"/>
      <c r="GNM2460" s="62"/>
      <c r="GNN2460" s="61"/>
      <c r="GNO2460" s="53"/>
      <c r="GNP2460" s="53"/>
      <c r="GNQ2460" s="62"/>
      <c r="GNR2460" s="60"/>
      <c r="GNS2460" s="53"/>
      <c r="GNT2460" s="53"/>
      <c r="GNU2460" s="62"/>
      <c r="GNV2460" s="61"/>
      <c r="GNW2460" s="53"/>
      <c r="GNX2460" s="53"/>
      <c r="GNY2460" s="62"/>
      <c r="GNZ2460" s="60"/>
      <c r="GOA2460" s="53"/>
      <c r="GOB2460" s="53"/>
      <c r="GOC2460" s="62"/>
      <c r="GOD2460" s="61"/>
      <c r="GOE2460" s="53"/>
      <c r="GOF2460" s="53"/>
      <c r="GOG2460" s="62"/>
      <c r="GOH2460" s="60"/>
      <c r="GOI2460" s="53"/>
      <c r="GOJ2460" s="53"/>
      <c r="GOK2460" s="62"/>
      <c r="GOL2460" s="61"/>
      <c r="GOM2460" s="53"/>
      <c r="GON2460" s="53"/>
      <c r="GOO2460" s="62"/>
      <c r="GOP2460" s="60"/>
      <c r="GOQ2460" s="53"/>
      <c r="GOR2460" s="53"/>
      <c r="GOS2460" s="62"/>
      <c r="GOT2460" s="61"/>
      <c r="GOU2460" s="53"/>
      <c r="GOV2460" s="53"/>
      <c r="GOW2460" s="62"/>
      <c r="GOX2460" s="60"/>
      <c r="GOY2460" s="53"/>
      <c r="GOZ2460" s="53"/>
      <c r="GPA2460" s="62"/>
      <c r="GPB2460" s="61"/>
      <c r="GPC2460" s="53"/>
      <c r="GPD2460" s="53"/>
      <c r="GPE2460" s="62"/>
      <c r="GPF2460" s="60"/>
      <c r="GPG2460" s="53"/>
      <c r="GPH2460" s="53"/>
      <c r="GPI2460" s="62"/>
      <c r="GPJ2460" s="61"/>
      <c r="GPK2460" s="53"/>
      <c r="GPL2460" s="53"/>
      <c r="GPM2460" s="62"/>
      <c r="GPN2460" s="60"/>
      <c r="GPO2460" s="53"/>
      <c r="GPP2460" s="53"/>
      <c r="GPQ2460" s="62"/>
      <c r="GPR2460" s="61"/>
      <c r="GPS2460" s="53"/>
      <c r="GPT2460" s="53"/>
      <c r="GPU2460" s="62"/>
      <c r="GPV2460" s="60"/>
      <c r="GPW2460" s="53"/>
      <c r="GPX2460" s="53"/>
      <c r="GPY2460" s="62"/>
      <c r="GPZ2460" s="61"/>
      <c r="GQA2460" s="53"/>
      <c r="GQB2460" s="53"/>
      <c r="GQC2460" s="62"/>
      <c r="GQD2460" s="60"/>
      <c r="GQE2460" s="53"/>
      <c r="GQF2460" s="53"/>
      <c r="GQG2460" s="62"/>
      <c r="GQH2460" s="61"/>
      <c r="GQI2460" s="53"/>
      <c r="GQJ2460" s="53"/>
      <c r="GQK2460" s="62"/>
      <c r="GQL2460" s="60"/>
      <c r="GQM2460" s="53"/>
      <c r="GQN2460" s="53"/>
      <c r="GQO2460" s="62"/>
      <c r="GQP2460" s="61"/>
      <c r="GQQ2460" s="53"/>
      <c r="GQR2460" s="53"/>
      <c r="GQS2460" s="62"/>
      <c r="GQT2460" s="60"/>
      <c r="GQU2460" s="53"/>
      <c r="GQV2460" s="53"/>
      <c r="GQW2460" s="62"/>
      <c r="GQX2460" s="61"/>
      <c r="GQY2460" s="53"/>
      <c r="GQZ2460" s="53"/>
      <c r="GRA2460" s="62"/>
      <c r="GRB2460" s="60"/>
      <c r="GRC2460" s="53"/>
      <c r="GRD2460" s="53"/>
      <c r="GRE2460" s="62"/>
      <c r="GRF2460" s="61"/>
      <c r="GRG2460" s="53"/>
      <c r="GRH2460" s="53"/>
      <c r="GRI2460" s="62"/>
      <c r="GRJ2460" s="60"/>
      <c r="GRK2460" s="53"/>
      <c r="GRL2460" s="53"/>
      <c r="GRM2460" s="62"/>
      <c r="GRN2460" s="61"/>
      <c r="GRO2460" s="53"/>
      <c r="GRP2460" s="53"/>
      <c r="GRQ2460" s="62"/>
      <c r="GRR2460" s="60"/>
      <c r="GRS2460" s="53"/>
      <c r="GRT2460" s="53"/>
      <c r="GRU2460" s="62"/>
      <c r="GRV2460" s="61"/>
      <c r="GRW2460" s="53"/>
      <c r="GRX2460" s="53"/>
      <c r="GRY2460" s="62"/>
      <c r="GRZ2460" s="60"/>
      <c r="GSA2460" s="53"/>
      <c r="GSB2460" s="53"/>
      <c r="GSC2460" s="62"/>
      <c r="GSD2460" s="61"/>
      <c r="GSE2460" s="53"/>
      <c r="GSF2460" s="53"/>
      <c r="GSG2460" s="62"/>
      <c r="GSH2460" s="60"/>
      <c r="GSI2460" s="53"/>
      <c r="GSJ2460" s="53"/>
      <c r="GSK2460" s="62"/>
      <c r="GSL2460" s="61"/>
      <c r="GSM2460" s="53"/>
      <c r="GSN2460" s="53"/>
      <c r="GSO2460" s="62"/>
      <c r="GSP2460" s="60"/>
      <c r="GSQ2460" s="53"/>
      <c r="GSR2460" s="53"/>
      <c r="GSS2460" s="62"/>
      <c r="GST2460" s="61"/>
      <c r="GSU2460" s="53"/>
      <c r="GSV2460" s="53"/>
      <c r="GSW2460" s="62"/>
      <c r="GSX2460" s="60"/>
      <c r="GSY2460" s="53"/>
      <c r="GSZ2460" s="53"/>
      <c r="GTA2460" s="62"/>
      <c r="GTB2460" s="61"/>
      <c r="GTC2460" s="53"/>
      <c r="GTD2460" s="53"/>
      <c r="GTE2460" s="62"/>
      <c r="GTF2460" s="60"/>
      <c r="GTG2460" s="53"/>
      <c r="GTH2460" s="53"/>
      <c r="GTI2460" s="62"/>
      <c r="GTJ2460" s="61"/>
      <c r="GTK2460" s="53"/>
      <c r="GTL2460" s="53"/>
      <c r="GTM2460" s="62"/>
      <c r="GTN2460" s="60"/>
      <c r="GTO2460" s="53"/>
      <c r="GTP2460" s="53"/>
      <c r="GTQ2460" s="62"/>
      <c r="GTR2460" s="61"/>
      <c r="GTS2460" s="53"/>
      <c r="GTT2460" s="53"/>
      <c r="GTU2460" s="62"/>
      <c r="GTV2460" s="60"/>
      <c r="GTW2460" s="53"/>
      <c r="GTX2460" s="53"/>
      <c r="GTY2460" s="62"/>
      <c r="GTZ2460" s="61"/>
      <c r="GUA2460" s="53"/>
      <c r="GUB2460" s="53"/>
      <c r="GUC2460" s="62"/>
      <c r="GUD2460" s="60"/>
      <c r="GUE2460" s="53"/>
      <c r="GUF2460" s="53"/>
      <c r="GUG2460" s="62"/>
      <c r="GUH2460" s="61"/>
      <c r="GUI2460" s="53"/>
      <c r="GUJ2460" s="53"/>
      <c r="GUK2460" s="62"/>
      <c r="GUL2460" s="60"/>
      <c r="GUM2460" s="53"/>
      <c r="GUN2460" s="53"/>
      <c r="GUO2460" s="62"/>
      <c r="GUP2460" s="61"/>
      <c r="GUQ2460" s="53"/>
      <c r="GUR2460" s="53"/>
      <c r="GUS2460" s="62"/>
      <c r="GUT2460" s="60"/>
      <c r="GUU2460" s="53"/>
      <c r="GUV2460" s="53"/>
      <c r="GUW2460" s="62"/>
      <c r="GUX2460" s="61"/>
      <c r="GUY2460" s="53"/>
      <c r="GUZ2460" s="53"/>
      <c r="GVA2460" s="62"/>
      <c r="GVB2460" s="60"/>
      <c r="GVC2460" s="53"/>
      <c r="GVD2460" s="53"/>
      <c r="GVE2460" s="62"/>
      <c r="GVF2460" s="61"/>
      <c r="GVG2460" s="53"/>
      <c r="GVH2460" s="53"/>
      <c r="GVI2460" s="62"/>
      <c r="GVJ2460" s="60"/>
      <c r="GVK2460" s="53"/>
      <c r="GVL2460" s="53"/>
      <c r="GVM2460" s="62"/>
      <c r="GVN2460" s="61"/>
      <c r="GVO2460" s="53"/>
      <c r="GVP2460" s="53"/>
      <c r="GVQ2460" s="62"/>
      <c r="GVR2460" s="60"/>
      <c r="GVS2460" s="53"/>
      <c r="GVT2460" s="53"/>
      <c r="GVU2460" s="62"/>
      <c r="GVV2460" s="61"/>
      <c r="GVW2460" s="53"/>
      <c r="GVX2460" s="53"/>
      <c r="GVY2460" s="62"/>
      <c r="GVZ2460" s="60"/>
      <c r="GWA2460" s="53"/>
      <c r="GWB2460" s="53"/>
      <c r="GWC2460" s="62"/>
      <c r="GWD2460" s="61"/>
      <c r="GWE2460" s="53"/>
      <c r="GWF2460" s="53"/>
      <c r="GWG2460" s="62"/>
      <c r="GWH2460" s="60"/>
      <c r="GWI2460" s="53"/>
      <c r="GWJ2460" s="53"/>
      <c r="GWK2460" s="62"/>
      <c r="GWL2460" s="61"/>
      <c r="GWM2460" s="53"/>
      <c r="GWN2460" s="53"/>
      <c r="GWO2460" s="62"/>
      <c r="GWP2460" s="60"/>
      <c r="GWQ2460" s="53"/>
      <c r="GWR2460" s="53"/>
      <c r="GWS2460" s="62"/>
      <c r="GWT2460" s="61"/>
      <c r="GWU2460" s="53"/>
      <c r="GWV2460" s="53"/>
      <c r="GWW2460" s="62"/>
      <c r="GWX2460" s="60"/>
      <c r="GWY2460" s="53"/>
      <c r="GWZ2460" s="53"/>
      <c r="GXA2460" s="62"/>
      <c r="GXB2460" s="61"/>
      <c r="GXC2460" s="53"/>
      <c r="GXD2460" s="53"/>
      <c r="GXE2460" s="62"/>
      <c r="GXF2460" s="60"/>
      <c r="GXG2460" s="53"/>
      <c r="GXH2460" s="53"/>
      <c r="GXI2460" s="62"/>
      <c r="GXJ2460" s="61"/>
      <c r="GXK2460" s="53"/>
      <c r="GXL2460" s="53"/>
      <c r="GXM2460" s="62"/>
      <c r="GXN2460" s="60"/>
      <c r="GXO2460" s="53"/>
      <c r="GXP2460" s="53"/>
      <c r="GXQ2460" s="62"/>
      <c r="GXR2460" s="61"/>
      <c r="GXS2460" s="53"/>
      <c r="GXT2460" s="53"/>
      <c r="GXU2460" s="62"/>
      <c r="GXV2460" s="60"/>
      <c r="GXW2460" s="53"/>
      <c r="GXX2460" s="53"/>
      <c r="GXY2460" s="62"/>
      <c r="GXZ2460" s="61"/>
      <c r="GYA2460" s="53"/>
      <c r="GYB2460" s="53"/>
      <c r="GYC2460" s="62"/>
      <c r="GYD2460" s="60"/>
      <c r="GYE2460" s="53"/>
      <c r="GYF2460" s="53"/>
      <c r="GYG2460" s="62"/>
      <c r="GYH2460" s="61"/>
      <c r="GYI2460" s="53"/>
      <c r="GYJ2460" s="53"/>
      <c r="GYK2460" s="62"/>
      <c r="GYL2460" s="60"/>
      <c r="GYM2460" s="53"/>
      <c r="GYN2460" s="53"/>
      <c r="GYO2460" s="62"/>
      <c r="GYP2460" s="61"/>
      <c r="GYQ2460" s="53"/>
      <c r="GYR2460" s="53"/>
      <c r="GYS2460" s="62"/>
      <c r="GYT2460" s="60"/>
      <c r="GYU2460" s="53"/>
      <c r="GYV2460" s="53"/>
      <c r="GYW2460" s="62"/>
      <c r="GYX2460" s="61"/>
      <c r="GYY2460" s="53"/>
      <c r="GYZ2460" s="53"/>
      <c r="GZA2460" s="62"/>
      <c r="GZB2460" s="60"/>
      <c r="GZC2460" s="53"/>
      <c r="GZD2460" s="53"/>
      <c r="GZE2460" s="62"/>
      <c r="GZF2460" s="61"/>
      <c r="GZG2460" s="53"/>
      <c r="GZH2460" s="53"/>
      <c r="GZI2460" s="62"/>
      <c r="GZJ2460" s="60"/>
      <c r="GZK2460" s="53"/>
      <c r="GZL2460" s="53"/>
      <c r="GZM2460" s="62"/>
      <c r="GZN2460" s="61"/>
      <c r="GZO2460" s="53"/>
      <c r="GZP2460" s="53"/>
      <c r="GZQ2460" s="62"/>
      <c r="GZR2460" s="60"/>
      <c r="GZS2460" s="53"/>
      <c r="GZT2460" s="53"/>
      <c r="GZU2460" s="62"/>
      <c r="GZV2460" s="61"/>
      <c r="GZW2460" s="53"/>
      <c r="GZX2460" s="53"/>
      <c r="GZY2460" s="62"/>
      <c r="GZZ2460" s="60"/>
      <c r="HAA2460" s="53"/>
      <c r="HAB2460" s="53"/>
      <c r="HAC2460" s="62"/>
      <c r="HAD2460" s="61"/>
      <c r="HAE2460" s="53"/>
      <c r="HAF2460" s="53"/>
      <c r="HAG2460" s="62"/>
      <c r="HAH2460" s="60"/>
      <c r="HAI2460" s="53"/>
      <c r="HAJ2460" s="53"/>
      <c r="HAK2460" s="62"/>
      <c r="HAL2460" s="61"/>
      <c r="HAM2460" s="53"/>
      <c r="HAN2460" s="53"/>
      <c r="HAO2460" s="62"/>
      <c r="HAP2460" s="60"/>
      <c r="HAQ2460" s="53"/>
      <c r="HAR2460" s="53"/>
      <c r="HAS2460" s="62"/>
      <c r="HAT2460" s="61"/>
      <c r="HAU2460" s="53"/>
      <c r="HAV2460" s="53"/>
      <c r="HAW2460" s="62"/>
      <c r="HAX2460" s="60"/>
      <c r="HAY2460" s="53"/>
      <c r="HAZ2460" s="53"/>
      <c r="HBA2460" s="62"/>
      <c r="HBB2460" s="61"/>
      <c r="HBC2460" s="53"/>
      <c r="HBD2460" s="53"/>
      <c r="HBE2460" s="62"/>
      <c r="HBF2460" s="60"/>
      <c r="HBG2460" s="53"/>
      <c r="HBH2460" s="53"/>
      <c r="HBI2460" s="62"/>
      <c r="HBJ2460" s="61"/>
      <c r="HBK2460" s="53"/>
      <c r="HBL2460" s="53"/>
      <c r="HBM2460" s="62"/>
      <c r="HBN2460" s="60"/>
      <c r="HBO2460" s="53"/>
      <c r="HBP2460" s="53"/>
      <c r="HBQ2460" s="62"/>
      <c r="HBR2460" s="61"/>
      <c r="HBS2460" s="53"/>
      <c r="HBT2460" s="53"/>
      <c r="HBU2460" s="62"/>
      <c r="HBV2460" s="60"/>
      <c r="HBW2460" s="53"/>
      <c r="HBX2460" s="53"/>
      <c r="HBY2460" s="62"/>
      <c r="HBZ2460" s="61"/>
      <c r="HCA2460" s="53"/>
      <c r="HCB2460" s="53"/>
      <c r="HCC2460" s="62"/>
      <c r="HCD2460" s="60"/>
      <c r="HCE2460" s="53"/>
      <c r="HCF2460" s="53"/>
      <c r="HCG2460" s="62"/>
      <c r="HCH2460" s="61"/>
      <c r="HCI2460" s="53"/>
      <c r="HCJ2460" s="53"/>
      <c r="HCK2460" s="62"/>
      <c r="HCL2460" s="60"/>
      <c r="HCM2460" s="53"/>
      <c r="HCN2460" s="53"/>
      <c r="HCO2460" s="62"/>
      <c r="HCP2460" s="61"/>
      <c r="HCQ2460" s="53"/>
      <c r="HCR2460" s="53"/>
      <c r="HCS2460" s="62"/>
      <c r="HCT2460" s="60"/>
      <c r="HCU2460" s="53"/>
      <c r="HCV2460" s="53"/>
      <c r="HCW2460" s="62"/>
      <c r="HCX2460" s="61"/>
      <c r="HCY2460" s="53"/>
      <c r="HCZ2460" s="53"/>
      <c r="HDA2460" s="62"/>
      <c r="HDB2460" s="60"/>
      <c r="HDC2460" s="53"/>
      <c r="HDD2460" s="53"/>
      <c r="HDE2460" s="62"/>
      <c r="HDF2460" s="61"/>
      <c r="HDG2460" s="53"/>
      <c r="HDH2460" s="53"/>
      <c r="HDI2460" s="62"/>
      <c r="HDJ2460" s="60"/>
      <c r="HDK2460" s="53"/>
      <c r="HDL2460" s="53"/>
      <c r="HDM2460" s="62"/>
      <c r="HDN2460" s="61"/>
      <c r="HDO2460" s="53"/>
      <c r="HDP2460" s="53"/>
      <c r="HDQ2460" s="62"/>
      <c r="HDR2460" s="60"/>
      <c r="HDS2460" s="53"/>
      <c r="HDT2460" s="53"/>
      <c r="HDU2460" s="62"/>
      <c r="HDV2460" s="61"/>
      <c r="HDW2460" s="53"/>
      <c r="HDX2460" s="53"/>
      <c r="HDY2460" s="62"/>
      <c r="HDZ2460" s="60"/>
      <c r="HEA2460" s="53"/>
      <c r="HEB2460" s="53"/>
      <c r="HEC2460" s="62"/>
      <c r="HED2460" s="61"/>
      <c r="HEE2460" s="53"/>
      <c r="HEF2460" s="53"/>
      <c r="HEG2460" s="62"/>
      <c r="HEH2460" s="60"/>
      <c r="HEI2460" s="53"/>
      <c r="HEJ2460" s="53"/>
      <c r="HEK2460" s="62"/>
      <c r="HEL2460" s="61"/>
      <c r="HEM2460" s="53"/>
      <c r="HEN2460" s="53"/>
      <c r="HEO2460" s="62"/>
      <c r="HEP2460" s="60"/>
      <c r="HEQ2460" s="53"/>
      <c r="HER2460" s="53"/>
      <c r="HES2460" s="62"/>
      <c r="HET2460" s="61"/>
      <c r="HEU2460" s="53"/>
      <c r="HEV2460" s="53"/>
      <c r="HEW2460" s="62"/>
      <c r="HEX2460" s="60"/>
      <c r="HEY2460" s="53"/>
      <c r="HEZ2460" s="53"/>
      <c r="HFA2460" s="62"/>
      <c r="HFB2460" s="61"/>
      <c r="HFC2460" s="53"/>
      <c r="HFD2460" s="53"/>
      <c r="HFE2460" s="62"/>
      <c r="HFF2460" s="60"/>
      <c r="HFG2460" s="53"/>
      <c r="HFH2460" s="53"/>
      <c r="HFI2460" s="62"/>
      <c r="HFJ2460" s="61"/>
      <c r="HFK2460" s="53"/>
      <c r="HFL2460" s="53"/>
      <c r="HFM2460" s="62"/>
      <c r="HFN2460" s="60"/>
      <c r="HFO2460" s="53"/>
      <c r="HFP2460" s="53"/>
      <c r="HFQ2460" s="62"/>
      <c r="HFR2460" s="61"/>
      <c r="HFS2460" s="53"/>
      <c r="HFT2460" s="53"/>
      <c r="HFU2460" s="62"/>
      <c r="HFV2460" s="60"/>
      <c r="HFW2460" s="53"/>
      <c r="HFX2460" s="53"/>
      <c r="HFY2460" s="62"/>
      <c r="HFZ2460" s="61"/>
      <c r="HGA2460" s="53"/>
      <c r="HGB2460" s="53"/>
      <c r="HGC2460" s="62"/>
      <c r="HGD2460" s="60"/>
      <c r="HGE2460" s="53"/>
      <c r="HGF2460" s="53"/>
      <c r="HGG2460" s="62"/>
      <c r="HGH2460" s="61"/>
      <c r="HGI2460" s="53"/>
      <c r="HGJ2460" s="53"/>
      <c r="HGK2460" s="62"/>
      <c r="HGL2460" s="60"/>
      <c r="HGM2460" s="53"/>
      <c r="HGN2460" s="53"/>
      <c r="HGO2460" s="62"/>
      <c r="HGP2460" s="61"/>
      <c r="HGQ2460" s="53"/>
      <c r="HGR2460" s="53"/>
      <c r="HGS2460" s="62"/>
      <c r="HGT2460" s="60"/>
      <c r="HGU2460" s="53"/>
      <c r="HGV2460" s="53"/>
      <c r="HGW2460" s="62"/>
      <c r="HGX2460" s="61"/>
      <c r="HGY2460" s="53"/>
      <c r="HGZ2460" s="53"/>
      <c r="HHA2460" s="62"/>
      <c r="HHB2460" s="60"/>
      <c r="HHC2460" s="53"/>
      <c r="HHD2460" s="53"/>
      <c r="HHE2460" s="62"/>
      <c r="HHF2460" s="61"/>
      <c r="HHG2460" s="53"/>
      <c r="HHH2460" s="53"/>
      <c r="HHI2460" s="62"/>
      <c r="HHJ2460" s="60"/>
      <c r="HHK2460" s="53"/>
      <c r="HHL2460" s="53"/>
      <c r="HHM2460" s="62"/>
      <c r="HHN2460" s="61"/>
      <c r="HHO2460" s="53"/>
      <c r="HHP2460" s="53"/>
      <c r="HHQ2460" s="62"/>
      <c r="HHR2460" s="60"/>
      <c r="HHS2460" s="53"/>
      <c r="HHT2460" s="53"/>
      <c r="HHU2460" s="62"/>
      <c r="HHV2460" s="61"/>
      <c r="HHW2460" s="53"/>
      <c r="HHX2460" s="53"/>
      <c r="HHY2460" s="62"/>
      <c r="HHZ2460" s="60"/>
      <c r="HIA2460" s="53"/>
      <c r="HIB2460" s="53"/>
      <c r="HIC2460" s="62"/>
      <c r="HID2460" s="61"/>
      <c r="HIE2460" s="53"/>
      <c r="HIF2460" s="53"/>
      <c r="HIG2460" s="62"/>
      <c r="HIH2460" s="60"/>
      <c r="HII2460" s="53"/>
      <c r="HIJ2460" s="53"/>
      <c r="HIK2460" s="62"/>
      <c r="HIL2460" s="61"/>
      <c r="HIM2460" s="53"/>
      <c r="HIN2460" s="53"/>
      <c r="HIO2460" s="62"/>
      <c r="HIP2460" s="60"/>
      <c r="HIQ2460" s="53"/>
      <c r="HIR2460" s="53"/>
      <c r="HIS2460" s="62"/>
      <c r="HIT2460" s="61"/>
      <c r="HIU2460" s="53"/>
      <c r="HIV2460" s="53"/>
      <c r="HIW2460" s="62"/>
      <c r="HIX2460" s="60"/>
      <c r="HIY2460" s="53"/>
      <c r="HIZ2460" s="53"/>
      <c r="HJA2460" s="62"/>
      <c r="HJB2460" s="61"/>
      <c r="HJC2460" s="53"/>
      <c r="HJD2460" s="53"/>
      <c r="HJE2460" s="62"/>
      <c r="HJF2460" s="60"/>
      <c r="HJG2460" s="53"/>
      <c r="HJH2460" s="53"/>
      <c r="HJI2460" s="62"/>
      <c r="HJJ2460" s="61"/>
      <c r="HJK2460" s="53"/>
      <c r="HJL2460" s="53"/>
      <c r="HJM2460" s="62"/>
      <c r="HJN2460" s="60"/>
      <c r="HJO2460" s="53"/>
      <c r="HJP2460" s="53"/>
      <c r="HJQ2460" s="62"/>
      <c r="HJR2460" s="61"/>
      <c r="HJS2460" s="53"/>
      <c r="HJT2460" s="53"/>
      <c r="HJU2460" s="62"/>
      <c r="HJV2460" s="60"/>
      <c r="HJW2460" s="53"/>
      <c r="HJX2460" s="53"/>
      <c r="HJY2460" s="62"/>
      <c r="HJZ2460" s="61"/>
      <c r="HKA2460" s="53"/>
      <c r="HKB2460" s="53"/>
      <c r="HKC2460" s="62"/>
      <c r="HKD2460" s="60"/>
      <c r="HKE2460" s="53"/>
      <c r="HKF2460" s="53"/>
      <c r="HKG2460" s="62"/>
      <c r="HKH2460" s="61"/>
      <c r="HKI2460" s="53"/>
      <c r="HKJ2460" s="53"/>
      <c r="HKK2460" s="62"/>
      <c r="HKL2460" s="60"/>
      <c r="HKM2460" s="53"/>
      <c r="HKN2460" s="53"/>
      <c r="HKO2460" s="62"/>
      <c r="HKP2460" s="61"/>
      <c r="HKQ2460" s="53"/>
      <c r="HKR2460" s="53"/>
      <c r="HKS2460" s="62"/>
      <c r="HKT2460" s="60"/>
      <c r="HKU2460" s="53"/>
      <c r="HKV2460" s="53"/>
      <c r="HKW2460" s="62"/>
      <c r="HKX2460" s="61"/>
      <c r="HKY2460" s="53"/>
      <c r="HKZ2460" s="53"/>
      <c r="HLA2460" s="62"/>
      <c r="HLB2460" s="60"/>
      <c r="HLC2460" s="53"/>
      <c r="HLD2460" s="53"/>
      <c r="HLE2460" s="62"/>
      <c r="HLF2460" s="61"/>
      <c r="HLG2460" s="53"/>
      <c r="HLH2460" s="53"/>
      <c r="HLI2460" s="62"/>
      <c r="HLJ2460" s="60"/>
      <c r="HLK2460" s="53"/>
      <c r="HLL2460" s="53"/>
      <c r="HLM2460" s="62"/>
      <c r="HLN2460" s="61"/>
      <c r="HLO2460" s="53"/>
      <c r="HLP2460" s="53"/>
      <c r="HLQ2460" s="62"/>
      <c r="HLR2460" s="60"/>
      <c r="HLS2460" s="53"/>
      <c r="HLT2460" s="53"/>
      <c r="HLU2460" s="62"/>
      <c r="HLV2460" s="61"/>
      <c r="HLW2460" s="53"/>
      <c r="HLX2460" s="53"/>
      <c r="HLY2460" s="62"/>
      <c r="HLZ2460" s="60"/>
      <c r="HMA2460" s="53"/>
      <c r="HMB2460" s="53"/>
      <c r="HMC2460" s="62"/>
      <c r="HMD2460" s="61"/>
      <c r="HME2460" s="53"/>
      <c r="HMF2460" s="53"/>
      <c r="HMG2460" s="62"/>
      <c r="HMH2460" s="60"/>
      <c r="HMI2460" s="53"/>
      <c r="HMJ2460" s="53"/>
      <c r="HMK2460" s="62"/>
      <c r="HML2460" s="61"/>
      <c r="HMM2460" s="53"/>
      <c r="HMN2460" s="53"/>
      <c r="HMO2460" s="62"/>
      <c r="HMP2460" s="60"/>
      <c r="HMQ2460" s="53"/>
      <c r="HMR2460" s="53"/>
      <c r="HMS2460" s="62"/>
      <c r="HMT2460" s="61"/>
      <c r="HMU2460" s="53"/>
      <c r="HMV2460" s="53"/>
      <c r="HMW2460" s="62"/>
      <c r="HMX2460" s="60"/>
      <c r="HMY2460" s="53"/>
      <c r="HMZ2460" s="53"/>
      <c r="HNA2460" s="62"/>
      <c r="HNB2460" s="61"/>
      <c r="HNC2460" s="53"/>
      <c r="HND2460" s="53"/>
      <c r="HNE2460" s="62"/>
      <c r="HNF2460" s="60"/>
      <c r="HNG2460" s="53"/>
      <c r="HNH2460" s="53"/>
      <c r="HNI2460" s="62"/>
      <c r="HNJ2460" s="61"/>
      <c r="HNK2460" s="53"/>
      <c r="HNL2460" s="53"/>
      <c r="HNM2460" s="62"/>
      <c r="HNN2460" s="60"/>
      <c r="HNO2460" s="53"/>
      <c r="HNP2460" s="53"/>
      <c r="HNQ2460" s="62"/>
      <c r="HNR2460" s="61"/>
      <c r="HNS2460" s="53"/>
      <c r="HNT2460" s="53"/>
      <c r="HNU2460" s="62"/>
      <c r="HNV2460" s="60"/>
      <c r="HNW2460" s="53"/>
      <c r="HNX2460" s="53"/>
      <c r="HNY2460" s="62"/>
      <c r="HNZ2460" s="61"/>
      <c r="HOA2460" s="53"/>
      <c r="HOB2460" s="53"/>
      <c r="HOC2460" s="62"/>
      <c r="HOD2460" s="60"/>
      <c r="HOE2460" s="53"/>
      <c r="HOF2460" s="53"/>
      <c r="HOG2460" s="62"/>
      <c r="HOH2460" s="61"/>
      <c r="HOI2460" s="53"/>
      <c r="HOJ2460" s="53"/>
      <c r="HOK2460" s="62"/>
      <c r="HOL2460" s="60"/>
      <c r="HOM2460" s="53"/>
      <c r="HON2460" s="53"/>
      <c r="HOO2460" s="62"/>
      <c r="HOP2460" s="61"/>
      <c r="HOQ2460" s="53"/>
      <c r="HOR2460" s="53"/>
      <c r="HOS2460" s="62"/>
      <c r="HOT2460" s="60"/>
      <c r="HOU2460" s="53"/>
      <c r="HOV2460" s="53"/>
      <c r="HOW2460" s="62"/>
      <c r="HOX2460" s="61"/>
      <c r="HOY2460" s="53"/>
      <c r="HOZ2460" s="53"/>
      <c r="HPA2460" s="62"/>
      <c r="HPB2460" s="60"/>
      <c r="HPC2460" s="53"/>
      <c r="HPD2460" s="53"/>
      <c r="HPE2460" s="62"/>
      <c r="HPF2460" s="61"/>
      <c r="HPG2460" s="53"/>
      <c r="HPH2460" s="53"/>
      <c r="HPI2460" s="62"/>
      <c r="HPJ2460" s="60"/>
      <c r="HPK2460" s="53"/>
      <c r="HPL2460" s="53"/>
      <c r="HPM2460" s="62"/>
      <c r="HPN2460" s="61"/>
      <c r="HPO2460" s="53"/>
      <c r="HPP2460" s="53"/>
      <c r="HPQ2460" s="62"/>
      <c r="HPR2460" s="60"/>
      <c r="HPS2460" s="53"/>
      <c r="HPT2460" s="53"/>
      <c r="HPU2460" s="62"/>
      <c r="HPV2460" s="61"/>
      <c r="HPW2460" s="53"/>
      <c r="HPX2460" s="53"/>
      <c r="HPY2460" s="62"/>
      <c r="HPZ2460" s="60"/>
      <c r="HQA2460" s="53"/>
      <c r="HQB2460" s="53"/>
      <c r="HQC2460" s="62"/>
      <c r="HQD2460" s="61"/>
      <c r="HQE2460" s="53"/>
      <c r="HQF2460" s="53"/>
      <c r="HQG2460" s="62"/>
      <c r="HQH2460" s="60"/>
      <c r="HQI2460" s="53"/>
      <c r="HQJ2460" s="53"/>
      <c r="HQK2460" s="62"/>
      <c r="HQL2460" s="61"/>
      <c r="HQM2460" s="53"/>
      <c r="HQN2460" s="53"/>
      <c r="HQO2460" s="62"/>
      <c r="HQP2460" s="60"/>
      <c r="HQQ2460" s="53"/>
      <c r="HQR2460" s="53"/>
      <c r="HQS2460" s="62"/>
      <c r="HQT2460" s="61"/>
      <c r="HQU2460" s="53"/>
      <c r="HQV2460" s="53"/>
      <c r="HQW2460" s="62"/>
      <c r="HQX2460" s="60"/>
      <c r="HQY2460" s="53"/>
      <c r="HQZ2460" s="53"/>
      <c r="HRA2460" s="62"/>
      <c r="HRB2460" s="61"/>
      <c r="HRC2460" s="53"/>
      <c r="HRD2460" s="53"/>
      <c r="HRE2460" s="62"/>
      <c r="HRF2460" s="60"/>
      <c r="HRG2460" s="53"/>
      <c r="HRH2460" s="53"/>
      <c r="HRI2460" s="62"/>
      <c r="HRJ2460" s="61"/>
      <c r="HRK2460" s="53"/>
      <c r="HRL2460" s="53"/>
      <c r="HRM2460" s="62"/>
      <c r="HRN2460" s="60"/>
      <c r="HRO2460" s="53"/>
      <c r="HRP2460" s="53"/>
      <c r="HRQ2460" s="62"/>
      <c r="HRR2460" s="61"/>
      <c r="HRS2460" s="53"/>
      <c r="HRT2460" s="53"/>
      <c r="HRU2460" s="62"/>
      <c r="HRV2460" s="60"/>
      <c r="HRW2460" s="53"/>
      <c r="HRX2460" s="53"/>
      <c r="HRY2460" s="62"/>
      <c r="HRZ2460" s="61"/>
      <c r="HSA2460" s="53"/>
      <c r="HSB2460" s="53"/>
      <c r="HSC2460" s="62"/>
      <c r="HSD2460" s="60"/>
      <c r="HSE2460" s="53"/>
      <c r="HSF2460" s="53"/>
      <c r="HSG2460" s="62"/>
      <c r="HSH2460" s="61"/>
      <c r="HSI2460" s="53"/>
      <c r="HSJ2460" s="53"/>
      <c r="HSK2460" s="62"/>
      <c r="HSL2460" s="60"/>
      <c r="HSM2460" s="53"/>
      <c r="HSN2460" s="53"/>
      <c r="HSO2460" s="62"/>
      <c r="HSP2460" s="61"/>
      <c r="HSQ2460" s="53"/>
      <c r="HSR2460" s="53"/>
      <c r="HSS2460" s="62"/>
      <c r="HST2460" s="60"/>
      <c r="HSU2460" s="53"/>
      <c r="HSV2460" s="53"/>
      <c r="HSW2460" s="62"/>
      <c r="HSX2460" s="61"/>
      <c r="HSY2460" s="53"/>
      <c r="HSZ2460" s="53"/>
      <c r="HTA2460" s="62"/>
      <c r="HTB2460" s="60"/>
      <c r="HTC2460" s="53"/>
      <c r="HTD2460" s="53"/>
      <c r="HTE2460" s="62"/>
      <c r="HTF2460" s="61"/>
      <c r="HTG2460" s="53"/>
      <c r="HTH2460" s="53"/>
      <c r="HTI2460" s="62"/>
      <c r="HTJ2460" s="60"/>
      <c r="HTK2460" s="53"/>
      <c r="HTL2460" s="53"/>
      <c r="HTM2460" s="62"/>
      <c r="HTN2460" s="61"/>
      <c r="HTO2460" s="53"/>
      <c r="HTP2460" s="53"/>
      <c r="HTQ2460" s="62"/>
      <c r="HTR2460" s="60"/>
      <c r="HTS2460" s="53"/>
      <c r="HTT2460" s="53"/>
      <c r="HTU2460" s="62"/>
      <c r="HTV2460" s="61"/>
      <c r="HTW2460" s="53"/>
      <c r="HTX2460" s="53"/>
      <c r="HTY2460" s="62"/>
      <c r="HTZ2460" s="60"/>
      <c r="HUA2460" s="53"/>
      <c r="HUB2460" s="53"/>
      <c r="HUC2460" s="62"/>
      <c r="HUD2460" s="61"/>
      <c r="HUE2460" s="53"/>
      <c r="HUF2460" s="53"/>
      <c r="HUG2460" s="62"/>
      <c r="HUH2460" s="60"/>
      <c r="HUI2460" s="53"/>
      <c r="HUJ2460" s="53"/>
      <c r="HUK2460" s="62"/>
      <c r="HUL2460" s="61"/>
      <c r="HUM2460" s="53"/>
      <c r="HUN2460" s="53"/>
      <c r="HUO2460" s="62"/>
      <c r="HUP2460" s="60"/>
      <c r="HUQ2460" s="53"/>
      <c r="HUR2460" s="53"/>
      <c r="HUS2460" s="62"/>
      <c r="HUT2460" s="61"/>
      <c r="HUU2460" s="53"/>
      <c r="HUV2460" s="53"/>
      <c r="HUW2460" s="62"/>
      <c r="HUX2460" s="60"/>
      <c r="HUY2460" s="53"/>
      <c r="HUZ2460" s="53"/>
      <c r="HVA2460" s="62"/>
      <c r="HVB2460" s="61"/>
      <c r="HVC2460" s="53"/>
      <c r="HVD2460" s="53"/>
      <c r="HVE2460" s="62"/>
      <c r="HVF2460" s="60"/>
      <c r="HVG2460" s="53"/>
      <c r="HVH2460" s="53"/>
      <c r="HVI2460" s="62"/>
      <c r="HVJ2460" s="61"/>
      <c r="HVK2460" s="53"/>
      <c r="HVL2460" s="53"/>
      <c r="HVM2460" s="62"/>
      <c r="HVN2460" s="60"/>
      <c r="HVO2460" s="53"/>
      <c r="HVP2460" s="53"/>
      <c r="HVQ2460" s="62"/>
      <c r="HVR2460" s="61"/>
      <c r="HVS2460" s="53"/>
      <c r="HVT2460" s="53"/>
      <c r="HVU2460" s="62"/>
      <c r="HVV2460" s="60"/>
      <c r="HVW2460" s="53"/>
      <c r="HVX2460" s="53"/>
      <c r="HVY2460" s="62"/>
      <c r="HVZ2460" s="61"/>
      <c r="HWA2460" s="53"/>
      <c r="HWB2460" s="53"/>
      <c r="HWC2460" s="62"/>
      <c r="HWD2460" s="60"/>
      <c r="HWE2460" s="53"/>
      <c r="HWF2460" s="53"/>
      <c r="HWG2460" s="62"/>
      <c r="HWH2460" s="61"/>
      <c r="HWI2460" s="53"/>
      <c r="HWJ2460" s="53"/>
      <c r="HWK2460" s="62"/>
      <c r="HWL2460" s="60"/>
      <c r="HWM2460" s="53"/>
      <c r="HWN2460" s="53"/>
      <c r="HWO2460" s="62"/>
      <c r="HWP2460" s="61"/>
      <c r="HWQ2460" s="53"/>
      <c r="HWR2460" s="53"/>
      <c r="HWS2460" s="62"/>
      <c r="HWT2460" s="60"/>
      <c r="HWU2460" s="53"/>
      <c r="HWV2460" s="53"/>
      <c r="HWW2460" s="62"/>
      <c r="HWX2460" s="61"/>
      <c r="HWY2460" s="53"/>
      <c r="HWZ2460" s="53"/>
      <c r="HXA2460" s="62"/>
      <c r="HXB2460" s="60"/>
      <c r="HXC2460" s="53"/>
      <c r="HXD2460" s="53"/>
      <c r="HXE2460" s="62"/>
      <c r="HXF2460" s="61"/>
      <c r="HXG2460" s="53"/>
      <c r="HXH2460" s="53"/>
      <c r="HXI2460" s="62"/>
      <c r="HXJ2460" s="60"/>
      <c r="HXK2460" s="53"/>
      <c r="HXL2460" s="53"/>
      <c r="HXM2460" s="62"/>
      <c r="HXN2460" s="61"/>
      <c r="HXO2460" s="53"/>
      <c r="HXP2460" s="53"/>
      <c r="HXQ2460" s="62"/>
      <c r="HXR2460" s="60"/>
      <c r="HXS2460" s="53"/>
      <c r="HXT2460" s="53"/>
      <c r="HXU2460" s="62"/>
      <c r="HXV2460" s="61"/>
      <c r="HXW2460" s="53"/>
      <c r="HXX2460" s="53"/>
      <c r="HXY2460" s="62"/>
      <c r="HXZ2460" s="60"/>
      <c r="HYA2460" s="53"/>
      <c r="HYB2460" s="53"/>
      <c r="HYC2460" s="62"/>
      <c r="HYD2460" s="61"/>
      <c r="HYE2460" s="53"/>
      <c r="HYF2460" s="53"/>
      <c r="HYG2460" s="62"/>
      <c r="HYH2460" s="60"/>
      <c r="HYI2460" s="53"/>
      <c r="HYJ2460" s="53"/>
      <c r="HYK2460" s="62"/>
      <c r="HYL2460" s="61"/>
      <c r="HYM2460" s="53"/>
      <c r="HYN2460" s="53"/>
      <c r="HYO2460" s="62"/>
      <c r="HYP2460" s="60"/>
      <c r="HYQ2460" s="53"/>
      <c r="HYR2460" s="53"/>
      <c r="HYS2460" s="62"/>
      <c r="HYT2460" s="61"/>
      <c r="HYU2460" s="53"/>
      <c r="HYV2460" s="53"/>
      <c r="HYW2460" s="62"/>
      <c r="HYX2460" s="60"/>
      <c r="HYY2460" s="53"/>
      <c r="HYZ2460" s="53"/>
      <c r="HZA2460" s="62"/>
      <c r="HZB2460" s="61"/>
      <c r="HZC2460" s="53"/>
      <c r="HZD2460" s="53"/>
      <c r="HZE2460" s="62"/>
      <c r="HZF2460" s="60"/>
      <c r="HZG2460" s="53"/>
      <c r="HZH2460" s="53"/>
      <c r="HZI2460" s="62"/>
      <c r="HZJ2460" s="61"/>
      <c r="HZK2460" s="53"/>
      <c r="HZL2460" s="53"/>
      <c r="HZM2460" s="62"/>
      <c r="HZN2460" s="60"/>
      <c r="HZO2460" s="53"/>
      <c r="HZP2460" s="53"/>
      <c r="HZQ2460" s="62"/>
      <c r="HZR2460" s="61"/>
      <c r="HZS2460" s="53"/>
      <c r="HZT2460" s="53"/>
      <c r="HZU2460" s="62"/>
      <c r="HZV2460" s="60"/>
      <c r="HZW2460" s="53"/>
      <c r="HZX2460" s="53"/>
      <c r="HZY2460" s="62"/>
      <c r="HZZ2460" s="61"/>
      <c r="IAA2460" s="53"/>
      <c r="IAB2460" s="53"/>
      <c r="IAC2460" s="62"/>
      <c r="IAD2460" s="60"/>
      <c r="IAE2460" s="53"/>
      <c r="IAF2460" s="53"/>
      <c r="IAG2460" s="62"/>
      <c r="IAH2460" s="61"/>
      <c r="IAI2460" s="53"/>
      <c r="IAJ2460" s="53"/>
      <c r="IAK2460" s="62"/>
      <c r="IAL2460" s="60"/>
      <c r="IAM2460" s="53"/>
      <c r="IAN2460" s="53"/>
      <c r="IAO2460" s="62"/>
      <c r="IAP2460" s="61"/>
      <c r="IAQ2460" s="53"/>
      <c r="IAR2460" s="53"/>
      <c r="IAS2460" s="62"/>
      <c r="IAT2460" s="60"/>
      <c r="IAU2460" s="53"/>
      <c r="IAV2460" s="53"/>
      <c r="IAW2460" s="62"/>
      <c r="IAX2460" s="61"/>
      <c r="IAY2460" s="53"/>
      <c r="IAZ2460" s="53"/>
      <c r="IBA2460" s="62"/>
      <c r="IBB2460" s="60"/>
      <c r="IBC2460" s="53"/>
      <c r="IBD2460" s="53"/>
      <c r="IBE2460" s="62"/>
      <c r="IBF2460" s="61"/>
      <c r="IBG2460" s="53"/>
      <c r="IBH2460" s="53"/>
      <c r="IBI2460" s="62"/>
      <c r="IBJ2460" s="60"/>
      <c r="IBK2460" s="53"/>
      <c r="IBL2460" s="53"/>
      <c r="IBM2460" s="62"/>
      <c r="IBN2460" s="61"/>
      <c r="IBO2460" s="53"/>
      <c r="IBP2460" s="53"/>
      <c r="IBQ2460" s="62"/>
      <c r="IBR2460" s="60"/>
      <c r="IBS2460" s="53"/>
      <c r="IBT2460" s="53"/>
      <c r="IBU2460" s="62"/>
      <c r="IBV2460" s="61"/>
      <c r="IBW2460" s="53"/>
      <c r="IBX2460" s="53"/>
      <c r="IBY2460" s="62"/>
      <c r="IBZ2460" s="60"/>
      <c r="ICA2460" s="53"/>
      <c r="ICB2460" s="53"/>
      <c r="ICC2460" s="62"/>
      <c r="ICD2460" s="61"/>
      <c r="ICE2460" s="53"/>
      <c r="ICF2460" s="53"/>
      <c r="ICG2460" s="62"/>
      <c r="ICH2460" s="60"/>
      <c r="ICI2460" s="53"/>
      <c r="ICJ2460" s="53"/>
      <c r="ICK2460" s="62"/>
      <c r="ICL2460" s="61"/>
      <c r="ICM2460" s="53"/>
      <c r="ICN2460" s="53"/>
      <c r="ICO2460" s="62"/>
      <c r="ICP2460" s="60"/>
      <c r="ICQ2460" s="53"/>
      <c r="ICR2460" s="53"/>
      <c r="ICS2460" s="62"/>
      <c r="ICT2460" s="61"/>
      <c r="ICU2460" s="53"/>
      <c r="ICV2460" s="53"/>
      <c r="ICW2460" s="62"/>
      <c r="ICX2460" s="60"/>
      <c r="ICY2460" s="53"/>
      <c r="ICZ2460" s="53"/>
      <c r="IDA2460" s="62"/>
      <c r="IDB2460" s="61"/>
      <c r="IDC2460" s="53"/>
      <c r="IDD2460" s="53"/>
      <c r="IDE2460" s="62"/>
      <c r="IDF2460" s="60"/>
      <c r="IDG2460" s="53"/>
      <c r="IDH2460" s="53"/>
      <c r="IDI2460" s="62"/>
      <c r="IDJ2460" s="61"/>
      <c r="IDK2460" s="53"/>
      <c r="IDL2460" s="53"/>
      <c r="IDM2460" s="62"/>
      <c r="IDN2460" s="60"/>
      <c r="IDO2460" s="53"/>
      <c r="IDP2460" s="53"/>
      <c r="IDQ2460" s="62"/>
      <c r="IDR2460" s="61"/>
      <c r="IDS2460" s="53"/>
      <c r="IDT2460" s="53"/>
      <c r="IDU2460" s="62"/>
      <c r="IDV2460" s="60"/>
      <c r="IDW2460" s="53"/>
      <c r="IDX2460" s="53"/>
      <c r="IDY2460" s="62"/>
      <c r="IDZ2460" s="61"/>
      <c r="IEA2460" s="53"/>
      <c r="IEB2460" s="53"/>
      <c r="IEC2460" s="62"/>
      <c r="IED2460" s="60"/>
      <c r="IEE2460" s="53"/>
      <c r="IEF2460" s="53"/>
      <c r="IEG2460" s="62"/>
      <c r="IEH2460" s="61"/>
      <c r="IEI2460" s="53"/>
      <c r="IEJ2460" s="53"/>
      <c r="IEK2460" s="62"/>
      <c r="IEL2460" s="60"/>
      <c r="IEM2460" s="53"/>
      <c r="IEN2460" s="53"/>
      <c r="IEO2460" s="62"/>
      <c r="IEP2460" s="61"/>
      <c r="IEQ2460" s="53"/>
      <c r="IER2460" s="53"/>
      <c r="IES2460" s="62"/>
      <c r="IET2460" s="60"/>
      <c r="IEU2460" s="53"/>
      <c r="IEV2460" s="53"/>
      <c r="IEW2460" s="62"/>
      <c r="IEX2460" s="61"/>
      <c r="IEY2460" s="53"/>
      <c r="IEZ2460" s="53"/>
      <c r="IFA2460" s="62"/>
      <c r="IFB2460" s="60"/>
      <c r="IFC2460" s="53"/>
      <c r="IFD2460" s="53"/>
      <c r="IFE2460" s="62"/>
      <c r="IFF2460" s="61"/>
      <c r="IFG2460" s="53"/>
      <c r="IFH2460" s="53"/>
      <c r="IFI2460" s="62"/>
      <c r="IFJ2460" s="60"/>
      <c r="IFK2460" s="53"/>
      <c r="IFL2460" s="53"/>
      <c r="IFM2460" s="62"/>
      <c r="IFN2460" s="61"/>
      <c r="IFO2460" s="53"/>
      <c r="IFP2460" s="53"/>
      <c r="IFQ2460" s="62"/>
      <c r="IFR2460" s="60"/>
      <c r="IFS2460" s="53"/>
      <c r="IFT2460" s="53"/>
      <c r="IFU2460" s="62"/>
      <c r="IFV2460" s="61"/>
      <c r="IFW2460" s="53"/>
      <c r="IFX2460" s="53"/>
      <c r="IFY2460" s="62"/>
      <c r="IFZ2460" s="60"/>
      <c r="IGA2460" s="53"/>
      <c r="IGB2460" s="53"/>
      <c r="IGC2460" s="62"/>
      <c r="IGD2460" s="61"/>
      <c r="IGE2460" s="53"/>
      <c r="IGF2460" s="53"/>
      <c r="IGG2460" s="62"/>
      <c r="IGH2460" s="60"/>
      <c r="IGI2460" s="53"/>
      <c r="IGJ2460" s="53"/>
      <c r="IGK2460" s="62"/>
      <c r="IGL2460" s="61"/>
      <c r="IGM2460" s="53"/>
      <c r="IGN2460" s="53"/>
      <c r="IGO2460" s="62"/>
      <c r="IGP2460" s="60"/>
      <c r="IGQ2460" s="53"/>
      <c r="IGR2460" s="53"/>
      <c r="IGS2460" s="62"/>
      <c r="IGT2460" s="61"/>
      <c r="IGU2460" s="53"/>
      <c r="IGV2460" s="53"/>
      <c r="IGW2460" s="62"/>
      <c r="IGX2460" s="60"/>
      <c r="IGY2460" s="53"/>
      <c r="IGZ2460" s="53"/>
      <c r="IHA2460" s="62"/>
      <c r="IHB2460" s="61"/>
      <c r="IHC2460" s="53"/>
      <c r="IHD2460" s="53"/>
      <c r="IHE2460" s="62"/>
      <c r="IHF2460" s="60"/>
      <c r="IHG2460" s="53"/>
      <c r="IHH2460" s="53"/>
      <c r="IHI2460" s="62"/>
      <c r="IHJ2460" s="61"/>
      <c r="IHK2460" s="53"/>
      <c r="IHL2460" s="53"/>
      <c r="IHM2460" s="62"/>
      <c r="IHN2460" s="60"/>
      <c r="IHO2460" s="53"/>
      <c r="IHP2460" s="53"/>
      <c r="IHQ2460" s="62"/>
      <c r="IHR2460" s="61"/>
      <c r="IHS2460" s="53"/>
      <c r="IHT2460" s="53"/>
      <c r="IHU2460" s="62"/>
      <c r="IHV2460" s="60"/>
      <c r="IHW2460" s="53"/>
      <c r="IHX2460" s="53"/>
      <c r="IHY2460" s="62"/>
      <c r="IHZ2460" s="61"/>
      <c r="IIA2460" s="53"/>
      <c r="IIB2460" s="53"/>
      <c r="IIC2460" s="62"/>
      <c r="IID2460" s="60"/>
      <c r="IIE2460" s="53"/>
      <c r="IIF2460" s="53"/>
      <c r="IIG2460" s="62"/>
      <c r="IIH2460" s="61"/>
      <c r="III2460" s="53"/>
      <c r="IIJ2460" s="53"/>
      <c r="IIK2460" s="62"/>
      <c r="IIL2460" s="60"/>
      <c r="IIM2460" s="53"/>
      <c r="IIN2460" s="53"/>
      <c r="IIO2460" s="62"/>
      <c r="IIP2460" s="61"/>
      <c r="IIQ2460" s="53"/>
      <c r="IIR2460" s="53"/>
      <c r="IIS2460" s="62"/>
      <c r="IIT2460" s="60"/>
      <c r="IIU2460" s="53"/>
      <c r="IIV2460" s="53"/>
      <c r="IIW2460" s="62"/>
      <c r="IIX2460" s="61"/>
      <c r="IIY2460" s="53"/>
      <c r="IIZ2460" s="53"/>
      <c r="IJA2460" s="62"/>
      <c r="IJB2460" s="60"/>
      <c r="IJC2460" s="53"/>
      <c r="IJD2460" s="53"/>
      <c r="IJE2460" s="62"/>
      <c r="IJF2460" s="61"/>
      <c r="IJG2460" s="53"/>
      <c r="IJH2460" s="53"/>
      <c r="IJI2460" s="62"/>
      <c r="IJJ2460" s="60"/>
      <c r="IJK2460" s="53"/>
      <c r="IJL2460" s="53"/>
      <c r="IJM2460" s="62"/>
      <c r="IJN2460" s="61"/>
      <c r="IJO2460" s="53"/>
      <c r="IJP2460" s="53"/>
      <c r="IJQ2460" s="62"/>
      <c r="IJR2460" s="60"/>
      <c r="IJS2460" s="53"/>
      <c r="IJT2460" s="53"/>
      <c r="IJU2460" s="62"/>
      <c r="IJV2460" s="61"/>
      <c r="IJW2460" s="53"/>
      <c r="IJX2460" s="53"/>
      <c r="IJY2460" s="62"/>
      <c r="IJZ2460" s="60"/>
      <c r="IKA2460" s="53"/>
      <c r="IKB2460" s="53"/>
      <c r="IKC2460" s="62"/>
      <c r="IKD2460" s="61"/>
      <c r="IKE2460" s="53"/>
      <c r="IKF2460" s="53"/>
      <c r="IKG2460" s="62"/>
      <c r="IKH2460" s="60"/>
      <c r="IKI2460" s="53"/>
      <c r="IKJ2460" s="53"/>
      <c r="IKK2460" s="62"/>
      <c r="IKL2460" s="61"/>
      <c r="IKM2460" s="53"/>
      <c r="IKN2460" s="53"/>
      <c r="IKO2460" s="62"/>
      <c r="IKP2460" s="60"/>
      <c r="IKQ2460" s="53"/>
      <c r="IKR2460" s="53"/>
      <c r="IKS2460" s="62"/>
      <c r="IKT2460" s="61"/>
      <c r="IKU2460" s="53"/>
      <c r="IKV2460" s="53"/>
      <c r="IKW2460" s="62"/>
      <c r="IKX2460" s="60"/>
      <c r="IKY2460" s="53"/>
      <c r="IKZ2460" s="53"/>
      <c r="ILA2460" s="62"/>
      <c r="ILB2460" s="61"/>
      <c r="ILC2460" s="53"/>
      <c r="ILD2460" s="53"/>
      <c r="ILE2460" s="62"/>
      <c r="ILF2460" s="60"/>
      <c r="ILG2460" s="53"/>
      <c r="ILH2460" s="53"/>
      <c r="ILI2460" s="62"/>
      <c r="ILJ2460" s="61"/>
      <c r="ILK2460" s="53"/>
      <c r="ILL2460" s="53"/>
      <c r="ILM2460" s="62"/>
      <c r="ILN2460" s="60"/>
      <c r="ILO2460" s="53"/>
      <c r="ILP2460" s="53"/>
      <c r="ILQ2460" s="62"/>
      <c r="ILR2460" s="61"/>
      <c r="ILS2460" s="53"/>
      <c r="ILT2460" s="53"/>
      <c r="ILU2460" s="62"/>
      <c r="ILV2460" s="60"/>
      <c r="ILW2460" s="53"/>
      <c r="ILX2460" s="53"/>
      <c r="ILY2460" s="62"/>
      <c r="ILZ2460" s="61"/>
      <c r="IMA2460" s="53"/>
      <c r="IMB2460" s="53"/>
      <c r="IMC2460" s="62"/>
      <c r="IMD2460" s="60"/>
      <c r="IME2460" s="53"/>
      <c r="IMF2460" s="53"/>
      <c r="IMG2460" s="62"/>
      <c r="IMH2460" s="61"/>
      <c r="IMI2460" s="53"/>
      <c r="IMJ2460" s="53"/>
      <c r="IMK2460" s="62"/>
      <c r="IML2460" s="60"/>
      <c r="IMM2460" s="53"/>
      <c r="IMN2460" s="53"/>
      <c r="IMO2460" s="62"/>
      <c r="IMP2460" s="61"/>
      <c r="IMQ2460" s="53"/>
      <c r="IMR2460" s="53"/>
      <c r="IMS2460" s="62"/>
      <c r="IMT2460" s="60"/>
      <c r="IMU2460" s="53"/>
      <c r="IMV2460" s="53"/>
      <c r="IMW2460" s="62"/>
      <c r="IMX2460" s="61"/>
      <c r="IMY2460" s="53"/>
      <c r="IMZ2460" s="53"/>
      <c r="INA2460" s="62"/>
      <c r="INB2460" s="60"/>
      <c r="INC2460" s="53"/>
      <c r="IND2460" s="53"/>
      <c r="INE2460" s="62"/>
      <c r="INF2460" s="61"/>
      <c r="ING2460" s="53"/>
      <c r="INH2460" s="53"/>
      <c r="INI2460" s="62"/>
      <c r="INJ2460" s="60"/>
      <c r="INK2460" s="53"/>
      <c r="INL2460" s="53"/>
      <c r="INM2460" s="62"/>
      <c r="INN2460" s="61"/>
      <c r="INO2460" s="53"/>
      <c r="INP2460" s="53"/>
      <c r="INQ2460" s="62"/>
      <c r="INR2460" s="60"/>
      <c r="INS2460" s="53"/>
      <c r="INT2460" s="53"/>
      <c r="INU2460" s="62"/>
      <c r="INV2460" s="61"/>
      <c r="INW2460" s="53"/>
      <c r="INX2460" s="53"/>
      <c r="INY2460" s="62"/>
      <c r="INZ2460" s="60"/>
      <c r="IOA2460" s="53"/>
      <c r="IOB2460" s="53"/>
      <c r="IOC2460" s="62"/>
      <c r="IOD2460" s="61"/>
      <c r="IOE2460" s="53"/>
      <c r="IOF2460" s="53"/>
      <c r="IOG2460" s="62"/>
      <c r="IOH2460" s="60"/>
      <c r="IOI2460" s="53"/>
      <c r="IOJ2460" s="53"/>
      <c r="IOK2460" s="62"/>
      <c r="IOL2460" s="61"/>
      <c r="IOM2460" s="53"/>
      <c r="ION2460" s="53"/>
      <c r="IOO2460" s="62"/>
      <c r="IOP2460" s="60"/>
      <c r="IOQ2460" s="53"/>
      <c r="IOR2460" s="53"/>
      <c r="IOS2460" s="62"/>
      <c r="IOT2460" s="61"/>
      <c r="IOU2460" s="53"/>
      <c r="IOV2460" s="53"/>
      <c r="IOW2460" s="62"/>
      <c r="IOX2460" s="60"/>
      <c r="IOY2460" s="53"/>
      <c r="IOZ2460" s="53"/>
      <c r="IPA2460" s="62"/>
      <c r="IPB2460" s="61"/>
      <c r="IPC2460" s="53"/>
      <c r="IPD2460" s="53"/>
      <c r="IPE2460" s="62"/>
      <c r="IPF2460" s="60"/>
      <c r="IPG2460" s="53"/>
      <c r="IPH2460" s="53"/>
      <c r="IPI2460" s="62"/>
      <c r="IPJ2460" s="61"/>
      <c r="IPK2460" s="53"/>
      <c r="IPL2460" s="53"/>
      <c r="IPM2460" s="62"/>
      <c r="IPN2460" s="60"/>
      <c r="IPO2460" s="53"/>
      <c r="IPP2460" s="53"/>
      <c r="IPQ2460" s="62"/>
      <c r="IPR2460" s="61"/>
      <c r="IPS2460" s="53"/>
      <c r="IPT2460" s="53"/>
      <c r="IPU2460" s="62"/>
      <c r="IPV2460" s="60"/>
      <c r="IPW2460" s="53"/>
      <c r="IPX2460" s="53"/>
      <c r="IPY2460" s="62"/>
      <c r="IPZ2460" s="61"/>
      <c r="IQA2460" s="53"/>
      <c r="IQB2460" s="53"/>
      <c r="IQC2460" s="62"/>
      <c r="IQD2460" s="60"/>
      <c r="IQE2460" s="53"/>
      <c r="IQF2460" s="53"/>
      <c r="IQG2460" s="62"/>
      <c r="IQH2460" s="61"/>
      <c r="IQI2460" s="53"/>
      <c r="IQJ2460" s="53"/>
      <c r="IQK2460" s="62"/>
      <c r="IQL2460" s="60"/>
      <c r="IQM2460" s="53"/>
      <c r="IQN2460" s="53"/>
      <c r="IQO2460" s="62"/>
      <c r="IQP2460" s="61"/>
      <c r="IQQ2460" s="53"/>
      <c r="IQR2460" s="53"/>
      <c r="IQS2460" s="62"/>
      <c r="IQT2460" s="60"/>
      <c r="IQU2460" s="53"/>
      <c r="IQV2460" s="53"/>
      <c r="IQW2460" s="62"/>
      <c r="IQX2460" s="61"/>
      <c r="IQY2460" s="53"/>
      <c r="IQZ2460" s="53"/>
      <c r="IRA2460" s="62"/>
      <c r="IRB2460" s="60"/>
      <c r="IRC2460" s="53"/>
      <c r="IRD2460" s="53"/>
      <c r="IRE2460" s="62"/>
      <c r="IRF2460" s="61"/>
      <c r="IRG2460" s="53"/>
      <c r="IRH2460" s="53"/>
      <c r="IRI2460" s="62"/>
      <c r="IRJ2460" s="60"/>
      <c r="IRK2460" s="53"/>
      <c r="IRL2460" s="53"/>
      <c r="IRM2460" s="62"/>
      <c r="IRN2460" s="61"/>
      <c r="IRO2460" s="53"/>
      <c r="IRP2460" s="53"/>
      <c r="IRQ2460" s="62"/>
      <c r="IRR2460" s="60"/>
      <c r="IRS2460" s="53"/>
      <c r="IRT2460" s="53"/>
      <c r="IRU2460" s="62"/>
      <c r="IRV2460" s="61"/>
      <c r="IRW2460" s="53"/>
      <c r="IRX2460" s="53"/>
      <c r="IRY2460" s="62"/>
      <c r="IRZ2460" s="60"/>
      <c r="ISA2460" s="53"/>
      <c r="ISB2460" s="53"/>
      <c r="ISC2460" s="62"/>
      <c r="ISD2460" s="61"/>
      <c r="ISE2460" s="53"/>
      <c r="ISF2460" s="53"/>
      <c r="ISG2460" s="62"/>
      <c r="ISH2460" s="60"/>
      <c r="ISI2460" s="53"/>
      <c r="ISJ2460" s="53"/>
      <c r="ISK2460" s="62"/>
      <c r="ISL2460" s="61"/>
      <c r="ISM2460" s="53"/>
      <c r="ISN2460" s="53"/>
      <c r="ISO2460" s="62"/>
      <c r="ISP2460" s="60"/>
      <c r="ISQ2460" s="53"/>
      <c r="ISR2460" s="53"/>
      <c r="ISS2460" s="62"/>
      <c r="IST2460" s="61"/>
      <c r="ISU2460" s="53"/>
      <c r="ISV2460" s="53"/>
      <c r="ISW2460" s="62"/>
      <c r="ISX2460" s="60"/>
      <c r="ISY2460" s="53"/>
      <c r="ISZ2460" s="53"/>
      <c r="ITA2460" s="62"/>
      <c r="ITB2460" s="61"/>
      <c r="ITC2460" s="53"/>
      <c r="ITD2460" s="53"/>
      <c r="ITE2460" s="62"/>
      <c r="ITF2460" s="60"/>
      <c r="ITG2460" s="53"/>
      <c r="ITH2460" s="53"/>
      <c r="ITI2460" s="62"/>
      <c r="ITJ2460" s="61"/>
      <c r="ITK2460" s="53"/>
      <c r="ITL2460" s="53"/>
      <c r="ITM2460" s="62"/>
      <c r="ITN2460" s="60"/>
      <c r="ITO2460" s="53"/>
      <c r="ITP2460" s="53"/>
      <c r="ITQ2460" s="62"/>
      <c r="ITR2460" s="61"/>
      <c r="ITS2460" s="53"/>
      <c r="ITT2460" s="53"/>
      <c r="ITU2460" s="62"/>
      <c r="ITV2460" s="60"/>
      <c r="ITW2460" s="53"/>
      <c r="ITX2460" s="53"/>
      <c r="ITY2460" s="62"/>
      <c r="ITZ2460" s="61"/>
      <c r="IUA2460" s="53"/>
      <c r="IUB2460" s="53"/>
      <c r="IUC2460" s="62"/>
      <c r="IUD2460" s="60"/>
      <c r="IUE2460" s="53"/>
      <c r="IUF2460" s="53"/>
      <c r="IUG2460" s="62"/>
      <c r="IUH2460" s="61"/>
      <c r="IUI2460" s="53"/>
      <c r="IUJ2460" s="53"/>
      <c r="IUK2460" s="62"/>
      <c r="IUL2460" s="60"/>
      <c r="IUM2460" s="53"/>
      <c r="IUN2460" s="53"/>
      <c r="IUO2460" s="62"/>
      <c r="IUP2460" s="61"/>
      <c r="IUQ2460" s="53"/>
      <c r="IUR2460" s="53"/>
      <c r="IUS2460" s="62"/>
      <c r="IUT2460" s="60"/>
      <c r="IUU2460" s="53"/>
      <c r="IUV2460" s="53"/>
      <c r="IUW2460" s="62"/>
      <c r="IUX2460" s="61"/>
      <c r="IUY2460" s="53"/>
      <c r="IUZ2460" s="53"/>
      <c r="IVA2460" s="62"/>
      <c r="IVB2460" s="60"/>
      <c r="IVC2460" s="53"/>
      <c r="IVD2460" s="53"/>
      <c r="IVE2460" s="62"/>
      <c r="IVF2460" s="61"/>
      <c r="IVG2460" s="53"/>
      <c r="IVH2460" s="53"/>
      <c r="IVI2460" s="62"/>
      <c r="IVJ2460" s="60"/>
      <c r="IVK2460" s="53"/>
      <c r="IVL2460" s="53"/>
      <c r="IVM2460" s="62"/>
      <c r="IVN2460" s="61"/>
      <c r="IVO2460" s="53"/>
      <c r="IVP2460" s="53"/>
      <c r="IVQ2460" s="62"/>
      <c r="IVR2460" s="60"/>
      <c r="IVS2460" s="53"/>
      <c r="IVT2460" s="53"/>
      <c r="IVU2460" s="62"/>
      <c r="IVV2460" s="61"/>
      <c r="IVW2460" s="53"/>
      <c r="IVX2460" s="53"/>
      <c r="IVY2460" s="62"/>
      <c r="IVZ2460" s="60"/>
      <c r="IWA2460" s="53"/>
      <c r="IWB2460" s="53"/>
      <c r="IWC2460" s="62"/>
      <c r="IWD2460" s="61"/>
      <c r="IWE2460" s="53"/>
      <c r="IWF2460" s="53"/>
      <c r="IWG2460" s="62"/>
      <c r="IWH2460" s="60"/>
      <c r="IWI2460" s="53"/>
      <c r="IWJ2460" s="53"/>
      <c r="IWK2460" s="62"/>
      <c r="IWL2460" s="61"/>
      <c r="IWM2460" s="53"/>
      <c r="IWN2460" s="53"/>
      <c r="IWO2460" s="62"/>
      <c r="IWP2460" s="60"/>
      <c r="IWQ2460" s="53"/>
      <c r="IWR2460" s="53"/>
      <c r="IWS2460" s="62"/>
      <c r="IWT2460" s="61"/>
      <c r="IWU2460" s="53"/>
      <c r="IWV2460" s="53"/>
      <c r="IWW2460" s="62"/>
      <c r="IWX2460" s="60"/>
      <c r="IWY2460" s="53"/>
      <c r="IWZ2460" s="53"/>
      <c r="IXA2460" s="62"/>
      <c r="IXB2460" s="61"/>
      <c r="IXC2460" s="53"/>
      <c r="IXD2460" s="53"/>
      <c r="IXE2460" s="62"/>
      <c r="IXF2460" s="60"/>
      <c r="IXG2460" s="53"/>
      <c r="IXH2460" s="53"/>
      <c r="IXI2460" s="62"/>
      <c r="IXJ2460" s="61"/>
      <c r="IXK2460" s="53"/>
      <c r="IXL2460" s="53"/>
      <c r="IXM2460" s="62"/>
      <c r="IXN2460" s="60"/>
      <c r="IXO2460" s="53"/>
      <c r="IXP2460" s="53"/>
      <c r="IXQ2460" s="62"/>
      <c r="IXR2460" s="61"/>
      <c r="IXS2460" s="53"/>
      <c r="IXT2460" s="53"/>
      <c r="IXU2460" s="62"/>
      <c r="IXV2460" s="60"/>
      <c r="IXW2460" s="53"/>
      <c r="IXX2460" s="53"/>
      <c r="IXY2460" s="62"/>
      <c r="IXZ2460" s="61"/>
      <c r="IYA2460" s="53"/>
      <c r="IYB2460" s="53"/>
      <c r="IYC2460" s="62"/>
      <c r="IYD2460" s="60"/>
      <c r="IYE2460" s="53"/>
      <c r="IYF2460" s="53"/>
      <c r="IYG2460" s="62"/>
      <c r="IYH2460" s="61"/>
      <c r="IYI2460" s="53"/>
      <c r="IYJ2460" s="53"/>
      <c r="IYK2460" s="62"/>
      <c r="IYL2460" s="60"/>
      <c r="IYM2460" s="53"/>
      <c r="IYN2460" s="53"/>
      <c r="IYO2460" s="62"/>
      <c r="IYP2460" s="61"/>
      <c r="IYQ2460" s="53"/>
      <c r="IYR2460" s="53"/>
      <c r="IYS2460" s="62"/>
      <c r="IYT2460" s="60"/>
      <c r="IYU2460" s="53"/>
      <c r="IYV2460" s="53"/>
      <c r="IYW2460" s="62"/>
      <c r="IYX2460" s="61"/>
      <c r="IYY2460" s="53"/>
      <c r="IYZ2460" s="53"/>
      <c r="IZA2460" s="62"/>
      <c r="IZB2460" s="60"/>
      <c r="IZC2460" s="53"/>
      <c r="IZD2460" s="53"/>
      <c r="IZE2460" s="62"/>
      <c r="IZF2460" s="61"/>
      <c r="IZG2460" s="53"/>
      <c r="IZH2460" s="53"/>
      <c r="IZI2460" s="62"/>
      <c r="IZJ2460" s="60"/>
      <c r="IZK2460" s="53"/>
      <c r="IZL2460" s="53"/>
      <c r="IZM2460" s="62"/>
      <c r="IZN2460" s="61"/>
      <c r="IZO2460" s="53"/>
      <c r="IZP2460" s="53"/>
      <c r="IZQ2460" s="62"/>
      <c r="IZR2460" s="60"/>
      <c r="IZS2460" s="53"/>
      <c r="IZT2460" s="53"/>
      <c r="IZU2460" s="62"/>
      <c r="IZV2460" s="61"/>
      <c r="IZW2460" s="53"/>
      <c r="IZX2460" s="53"/>
      <c r="IZY2460" s="62"/>
      <c r="IZZ2460" s="60"/>
      <c r="JAA2460" s="53"/>
      <c r="JAB2460" s="53"/>
      <c r="JAC2460" s="62"/>
      <c r="JAD2460" s="61"/>
      <c r="JAE2460" s="53"/>
      <c r="JAF2460" s="53"/>
      <c r="JAG2460" s="62"/>
      <c r="JAH2460" s="60"/>
      <c r="JAI2460" s="53"/>
      <c r="JAJ2460" s="53"/>
      <c r="JAK2460" s="62"/>
      <c r="JAL2460" s="61"/>
      <c r="JAM2460" s="53"/>
      <c r="JAN2460" s="53"/>
      <c r="JAO2460" s="62"/>
      <c r="JAP2460" s="60"/>
      <c r="JAQ2460" s="53"/>
      <c r="JAR2460" s="53"/>
      <c r="JAS2460" s="62"/>
      <c r="JAT2460" s="61"/>
      <c r="JAU2460" s="53"/>
      <c r="JAV2460" s="53"/>
      <c r="JAW2460" s="62"/>
      <c r="JAX2460" s="60"/>
      <c r="JAY2460" s="53"/>
      <c r="JAZ2460" s="53"/>
      <c r="JBA2460" s="62"/>
      <c r="JBB2460" s="61"/>
      <c r="JBC2460" s="53"/>
      <c r="JBD2460" s="53"/>
      <c r="JBE2460" s="62"/>
      <c r="JBF2460" s="60"/>
      <c r="JBG2460" s="53"/>
      <c r="JBH2460" s="53"/>
      <c r="JBI2460" s="62"/>
      <c r="JBJ2460" s="61"/>
      <c r="JBK2460" s="53"/>
      <c r="JBL2460" s="53"/>
      <c r="JBM2460" s="62"/>
      <c r="JBN2460" s="60"/>
      <c r="JBO2460" s="53"/>
      <c r="JBP2460" s="53"/>
      <c r="JBQ2460" s="62"/>
      <c r="JBR2460" s="61"/>
      <c r="JBS2460" s="53"/>
      <c r="JBT2460" s="53"/>
      <c r="JBU2460" s="62"/>
      <c r="JBV2460" s="60"/>
      <c r="JBW2460" s="53"/>
      <c r="JBX2460" s="53"/>
      <c r="JBY2460" s="62"/>
      <c r="JBZ2460" s="61"/>
      <c r="JCA2460" s="53"/>
      <c r="JCB2460" s="53"/>
      <c r="JCC2460" s="62"/>
      <c r="JCD2460" s="60"/>
      <c r="JCE2460" s="53"/>
      <c r="JCF2460" s="53"/>
      <c r="JCG2460" s="62"/>
      <c r="JCH2460" s="61"/>
      <c r="JCI2460" s="53"/>
      <c r="JCJ2460" s="53"/>
      <c r="JCK2460" s="62"/>
      <c r="JCL2460" s="60"/>
      <c r="JCM2460" s="53"/>
      <c r="JCN2460" s="53"/>
      <c r="JCO2460" s="62"/>
      <c r="JCP2460" s="61"/>
      <c r="JCQ2460" s="53"/>
      <c r="JCR2460" s="53"/>
      <c r="JCS2460" s="62"/>
      <c r="JCT2460" s="60"/>
      <c r="JCU2460" s="53"/>
      <c r="JCV2460" s="53"/>
      <c r="JCW2460" s="62"/>
      <c r="JCX2460" s="61"/>
      <c r="JCY2460" s="53"/>
      <c r="JCZ2460" s="53"/>
      <c r="JDA2460" s="62"/>
      <c r="JDB2460" s="60"/>
      <c r="JDC2460" s="53"/>
      <c r="JDD2460" s="53"/>
      <c r="JDE2460" s="62"/>
      <c r="JDF2460" s="61"/>
      <c r="JDG2460" s="53"/>
      <c r="JDH2460" s="53"/>
      <c r="JDI2460" s="62"/>
      <c r="JDJ2460" s="60"/>
      <c r="JDK2460" s="53"/>
      <c r="JDL2460" s="53"/>
      <c r="JDM2460" s="62"/>
      <c r="JDN2460" s="61"/>
      <c r="JDO2460" s="53"/>
      <c r="JDP2460" s="53"/>
      <c r="JDQ2460" s="62"/>
      <c r="JDR2460" s="60"/>
      <c r="JDS2460" s="53"/>
      <c r="JDT2460" s="53"/>
      <c r="JDU2460" s="62"/>
      <c r="JDV2460" s="61"/>
      <c r="JDW2460" s="53"/>
      <c r="JDX2460" s="53"/>
      <c r="JDY2460" s="62"/>
      <c r="JDZ2460" s="60"/>
      <c r="JEA2460" s="53"/>
      <c r="JEB2460" s="53"/>
      <c r="JEC2460" s="62"/>
      <c r="JED2460" s="61"/>
      <c r="JEE2460" s="53"/>
      <c r="JEF2460" s="53"/>
      <c r="JEG2460" s="62"/>
      <c r="JEH2460" s="60"/>
      <c r="JEI2460" s="53"/>
      <c r="JEJ2460" s="53"/>
      <c r="JEK2460" s="62"/>
      <c r="JEL2460" s="61"/>
      <c r="JEM2460" s="53"/>
      <c r="JEN2460" s="53"/>
      <c r="JEO2460" s="62"/>
      <c r="JEP2460" s="60"/>
      <c r="JEQ2460" s="53"/>
      <c r="JER2460" s="53"/>
      <c r="JES2460" s="62"/>
      <c r="JET2460" s="61"/>
      <c r="JEU2460" s="53"/>
      <c r="JEV2460" s="53"/>
      <c r="JEW2460" s="62"/>
      <c r="JEX2460" s="60"/>
      <c r="JEY2460" s="53"/>
      <c r="JEZ2460" s="53"/>
      <c r="JFA2460" s="62"/>
      <c r="JFB2460" s="61"/>
      <c r="JFC2460" s="53"/>
      <c r="JFD2460" s="53"/>
      <c r="JFE2460" s="62"/>
      <c r="JFF2460" s="60"/>
      <c r="JFG2460" s="53"/>
      <c r="JFH2460" s="53"/>
      <c r="JFI2460" s="62"/>
      <c r="JFJ2460" s="61"/>
      <c r="JFK2460" s="53"/>
      <c r="JFL2460" s="53"/>
      <c r="JFM2460" s="62"/>
      <c r="JFN2460" s="60"/>
      <c r="JFO2460" s="53"/>
      <c r="JFP2460" s="53"/>
      <c r="JFQ2460" s="62"/>
      <c r="JFR2460" s="61"/>
      <c r="JFS2460" s="53"/>
      <c r="JFT2460" s="53"/>
      <c r="JFU2460" s="62"/>
      <c r="JFV2460" s="60"/>
      <c r="JFW2460" s="53"/>
      <c r="JFX2460" s="53"/>
      <c r="JFY2460" s="62"/>
      <c r="JFZ2460" s="61"/>
      <c r="JGA2460" s="53"/>
      <c r="JGB2460" s="53"/>
      <c r="JGC2460" s="62"/>
      <c r="JGD2460" s="60"/>
      <c r="JGE2460" s="53"/>
      <c r="JGF2460" s="53"/>
      <c r="JGG2460" s="62"/>
      <c r="JGH2460" s="61"/>
      <c r="JGI2460" s="53"/>
      <c r="JGJ2460" s="53"/>
      <c r="JGK2460" s="62"/>
      <c r="JGL2460" s="60"/>
      <c r="JGM2460" s="53"/>
      <c r="JGN2460" s="53"/>
      <c r="JGO2460" s="62"/>
      <c r="JGP2460" s="61"/>
      <c r="JGQ2460" s="53"/>
      <c r="JGR2460" s="53"/>
      <c r="JGS2460" s="62"/>
      <c r="JGT2460" s="60"/>
      <c r="JGU2460" s="53"/>
      <c r="JGV2460" s="53"/>
      <c r="JGW2460" s="62"/>
      <c r="JGX2460" s="61"/>
      <c r="JGY2460" s="53"/>
      <c r="JGZ2460" s="53"/>
      <c r="JHA2460" s="62"/>
      <c r="JHB2460" s="60"/>
      <c r="JHC2460" s="53"/>
      <c r="JHD2460" s="53"/>
      <c r="JHE2460" s="62"/>
      <c r="JHF2460" s="61"/>
      <c r="JHG2460" s="53"/>
      <c r="JHH2460" s="53"/>
      <c r="JHI2460" s="62"/>
      <c r="JHJ2460" s="60"/>
      <c r="JHK2460" s="53"/>
      <c r="JHL2460" s="53"/>
      <c r="JHM2460" s="62"/>
      <c r="JHN2460" s="61"/>
      <c r="JHO2460" s="53"/>
      <c r="JHP2460" s="53"/>
      <c r="JHQ2460" s="62"/>
      <c r="JHR2460" s="60"/>
      <c r="JHS2460" s="53"/>
      <c r="JHT2460" s="53"/>
      <c r="JHU2460" s="62"/>
      <c r="JHV2460" s="61"/>
      <c r="JHW2460" s="53"/>
      <c r="JHX2460" s="53"/>
      <c r="JHY2460" s="62"/>
      <c r="JHZ2460" s="60"/>
      <c r="JIA2460" s="53"/>
      <c r="JIB2460" s="53"/>
      <c r="JIC2460" s="62"/>
      <c r="JID2460" s="61"/>
      <c r="JIE2460" s="53"/>
      <c r="JIF2460" s="53"/>
      <c r="JIG2460" s="62"/>
      <c r="JIH2460" s="60"/>
      <c r="JII2460" s="53"/>
      <c r="JIJ2460" s="53"/>
      <c r="JIK2460" s="62"/>
      <c r="JIL2460" s="61"/>
      <c r="JIM2460" s="53"/>
      <c r="JIN2460" s="53"/>
      <c r="JIO2460" s="62"/>
      <c r="JIP2460" s="60"/>
      <c r="JIQ2460" s="53"/>
      <c r="JIR2460" s="53"/>
      <c r="JIS2460" s="62"/>
      <c r="JIT2460" s="61"/>
      <c r="JIU2460" s="53"/>
      <c r="JIV2460" s="53"/>
      <c r="JIW2460" s="62"/>
      <c r="JIX2460" s="60"/>
      <c r="JIY2460" s="53"/>
      <c r="JIZ2460" s="53"/>
      <c r="JJA2460" s="62"/>
      <c r="JJB2460" s="61"/>
      <c r="JJC2460" s="53"/>
      <c r="JJD2460" s="53"/>
      <c r="JJE2460" s="62"/>
      <c r="JJF2460" s="60"/>
      <c r="JJG2460" s="53"/>
      <c r="JJH2460" s="53"/>
      <c r="JJI2460" s="62"/>
      <c r="JJJ2460" s="61"/>
      <c r="JJK2460" s="53"/>
      <c r="JJL2460" s="53"/>
      <c r="JJM2460" s="62"/>
      <c r="JJN2460" s="60"/>
      <c r="JJO2460" s="53"/>
      <c r="JJP2460" s="53"/>
      <c r="JJQ2460" s="62"/>
      <c r="JJR2460" s="61"/>
      <c r="JJS2460" s="53"/>
      <c r="JJT2460" s="53"/>
      <c r="JJU2460" s="62"/>
      <c r="JJV2460" s="60"/>
      <c r="JJW2460" s="53"/>
      <c r="JJX2460" s="53"/>
      <c r="JJY2460" s="62"/>
      <c r="JJZ2460" s="61"/>
      <c r="JKA2460" s="53"/>
      <c r="JKB2460" s="53"/>
      <c r="JKC2460" s="62"/>
      <c r="JKD2460" s="60"/>
      <c r="JKE2460" s="53"/>
      <c r="JKF2460" s="53"/>
      <c r="JKG2460" s="62"/>
      <c r="JKH2460" s="61"/>
      <c r="JKI2460" s="53"/>
      <c r="JKJ2460" s="53"/>
      <c r="JKK2460" s="62"/>
      <c r="JKL2460" s="60"/>
      <c r="JKM2460" s="53"/>
      <c r="JKN2460" s="53"/>
      <c r="JKO2460" s="62"/>
      <c r="JKP2460" s="61"/>
      <c r="JKQ2460" s="53"/>
      <c r="JKR2460" s="53"/>
      <c r="JKS2460" s="62"/>
      <c r="JKT2460" s="60"/>
      <c r="JKU2460" s="53"/>
      <c r="JKV2460" s="53"/>
      <c r="JKW2460" s="62"/>
      <c r="JKX2460" s="61"/>
      <c r="JKY2460" s="53"/>
      <c r="JKZ2460" s="53"/>
      <c r="JLA2460" s="62"/>
      <c r="JLB2460" s="60"/>
      <c r="JLC2460" s="53"/>
      <c r="JLD2460" s="53"/>
      <c r="JLE2460" s="62"/>
      <c r="JLF2460" s="61"/>
      <c r="JLG2460" s="53"/>
      <c r="JLH2460" s="53"/>
      <c r="JLI2460" s="62"/>
      <c r="JLJ2460" s="60"/>
      <c r="JLK2460" s="53"/>
      <c r="JLL2460" s="53"/>
      <c r="JLM2460" s="62"/>
      <c r="JLN2460" s="61"/>
      <c r="JLO2460" s="53"/>
      <c r="JLP2460" s="53"/>
      <c r="JLQ2460" s="62"/>
      <c r="JLR2460" s="60"/>
      <c r="JLS2460" s="53"/>
      <c r="JLT2460" s="53"/>
      <c r="JLU2460" s="62"/>
      <c r="JLV2460" s="61"/>
      <c r="JLW2460" s="53"/>
      <c r="JLX2460" s="53"/>
      <c r="JLY2460" s="62"/>
      <c r="JLZ2460" s="60"/>
      <c r="JMA2460" s="53"/>
      <c r="JMB2460" s="53"/>
      <c r="JMC2460" s="62"/>
      <c r="JMD2460" s="61"/>
      <c r="JME2460" s="53"/>
      <c r="JMF2460" s="53"/>
      <c r="JMG2460" s="62"/>
      <c r="JMH2460" s="60"/>
      <c r="JMI2460" s="53"/>
      <c r="JMJ2460" s="53"/>
      <c r="JMK2460" s="62"/>
      <c r="JML2460" s="61"/>
      <c r="JMM2460" s="53"/>
      <c r="JMN2460" s="53"/>
      <c r="JMO2460" s="62"/>
      <c r="JMP2460" s="60"/>
      <c r="JMQ2460" s="53"/>
      <c r="JMR2460" s="53"/>
      <c r="JMS2460" s="62"/>
      <c r="JMT2460" s="61"/>
      <c r="JMU2460" s="53"/>
      <c r="JMV2460" s="53"/>
      <c r="JMW2460" s="62"/>
      <c r="JMX2460" s="60"/>
      <c r="JMY2460" s="53"/>
      <c r="JMZ2460" s="53"/>
      <c r="JNA2460" s="62"/>
      <c r="JNB2460" s="61"/>
      <c r="JNC2460" s="53"/>
      <c r="JND2460" s="53"/>
      <c r="JNE2460" s="62"/>
      <c r="JNF2460" s="60"/>
      <c r="JNG2460" s="53"/>
      <c r="JNH2460" s="53"/>
      <c r="JNI2460" s="62"/>
      <c r="JNJ2460" s="61"/>
      <c r="JNK2460" s="53"/>
      <c r="JNL2460" s="53"/>
      <c r="JNM2460" s="62"/>
      <c r="JNN2460" s="60"/>
      <c r="JNO2460" s="53"/>
      <c r="JNP2460" s="53"/>
      <c r="JNQ2460" s="62"/>
      <c r="JNR2460" s="61"/>
      <c r="JNS2460" s="53"/>
      <c r="JNT2460" s="53"/>
      <c r="JNU2460" s="62"/>
      <c r="JNV2460" s="60"/>
      <c r="JNW2460" s="53"/>
      <c r="JNX2460" s="53"/>
      <c r="JNY2460" s="62"/>
      <c r="JNZ2460" s="61"/>
      <c r="JOA2460" s="53"/>
      <c r="JOB2460" s="53"/>
      <c r="JOC2460" s="62"/>
      <c r="JOD2460" s="60"/>
      <c r="JOE2460" s="53"/>
      <c r="JOF2460" s="53"/>
      <c r="JOG2460" s="62"/>
      <c r="JOH2460" s="61"/>
      <c r="JOI2460" s="53"/>
      <c r="JOJ2460" s="53"/>
      <c r="JOK2460" s="62"/>
      <c r="JOL2460" s="60"/>
      <c r="JOM2460" s="53"/>
      <c r="JON2460" s="53"/>
      <c r="JOO2460" s="62"/>
      <c r="JOP2460" s="61"/>
      <c r="JOQ2460" s="53"/>
      <c r="JOR2460" s="53"/>
      <c r="JOS2460" s="62"/>
      <c r="JOT2460" s="60"/>
      <c r="JOU2460" s="53"/>
      <c r="JOV2460" s="53"/>
      <c r="JOW2460" s="62"/>
      <c r="JOX2460" s="61"/>
      <c r="JOY2460" s="53"/>
      <c r="JOZ2460" s="53"/>
      <c r="JPA2460" s="62"/>
      <c r="JPB2460" s="60"/>
      <c r="JPC2460" s="53"/>
      <c r="JPD2460" s="53"/>
      <c r="JPE2460" s="62"/>
      <c r="JPF2460" s="61"/>
      <c r="JPG2460" s="53"/>
      <c r="JPH2460" s="53"/>
      <c r="JPI2460" s="62"/>
      <c r="JPJ2460" s="60"/>
      <c r="JPK2460" s="53"/>
      <c r="JPL2460" s="53"/>
      <c r="JPM2460" s="62"/>
      <c r="JPN2460" s="61"/>
      <c r="JPO2460" s="53"/>
      <c r="JPP2460" s="53"/>
      <c r="JPQ2460" s="62"/>
      <c r="JPR2460" s="60"/>
      <c r="JPS2460" s="53"/>
      <c r="JPT2460" s="53"/>
      <c r="JPU2460" s="62"/>
      <c r="JPV2460" s="61"/>
      <c r="JPW2460" s="53"/>
      <c r="JPX2460" s="53"/>
      <c r="JPY2460" s="62"/>
      <c r="JPZ2460" s="60"/>
      <c r="JQA2460" s="53"/>
      <c r="JQB2460" s="53"/>
      <c r="JQC2460" s="62"/>
      <c r="JQD2460" s="61"/>
      <c r="JQE2460" s="53"/>
      <c r="JQF2460" s="53"/>
      <c r="JQG2460" s="62"/>
      <c r="JQH2460" s="60"/>
      <c r="JQI2460" s="53"/>
      <c r="JQJ2460" s="53"/>
      <c r="JQK2460" s="62"/>
      <c r="JQL2460" s="61"/>
      <c r="JQM2460" s="53"/>
      <c r="JQN2460" s="53"/>
      <c r="JQO2460" s="62"/>
      <c r="JQP2460" s="60"/>
      <c r="JQQ2460" s="53"/>
      <c r="JQR2460" s="53"/>
      <c r="JQS2460" s="62"/>
      <c r="JQT2460" s="61"/>
      <c r="JQU2460" s="53"/>
      <c r="JQV2460" s="53"/>
      <c r="JQW2460" s="62"/>
      <c r="JQX2460" s="60"/>
      <c r="JQY2460" s="53"/>
      <c r="JQZ2460" s="53"/>
      <c r="JRA2460" s="62"/>
      <c r="JRB2460" s="61"/>
      <c r="JRC2460" s="53"/>
      <c r="JRD2460" s="53"/>
      <c r="JRE2460" s="62"/>
      <c r="JRF2460" s="60"/>
      <c r="JRG2460" s="53"/>
      <c r="JRH2460" s="53"/>
      <c r="JRI2460" s="62"/>
      <c r="JRJ2460" s="61"/>
      <c r="JRK2460" s="53"/>
      <c r="JRL2460" s="53"/>
      <c r="JRM2460" s="62"/>
      <c r="JRN2460" s="60"/>
      <c r="JRO2460" s="53"/>
      <c r="JRP2460" s="53"/>
      <c r="JRQ2460" s="62"/>
      <c r="JRR2460" s="61"/>
      <c r="JRS2460" s="53"/>
      <c r="JRT2460" s="53"/>
      <c r="JRU2460" s="62"/>
      <c r="JRV2460" s="60"/>
      <c r="JRW2460" s="53"/>
      <c r="JRX2460" s="53"/>
      <c r="JRY2460" s="62"/>
      <c r="JRZ2460" s="61"/>
      <c r="JSA2460" s="53"/>
      <c r="JSB2460" s="53"/>
      <c r="JSC2460" s="62"/>
      <c r="JSD2460" s="60"/>
      <c r="JSE2460" s="53"/>
      <c r="JSF2460" s="53"/>
      <c r="JSG2460" s="62"/>
      <c r="JSH2460" s="61"/>
      <c r="JSI2460" s="53"/>
      <c r="JSJ2460" s="53"/>
      <c r="JSK2460" s="62"/>
      <c r="JSL2460" s="60"/>
      <c r="JSM2460" s="53"/>
      <c r="JSN2460" s="53"/>
      <c r="JSO2460" s="62"/>
      <c r="JSP2460" s="61"/>
      <c r="JSQ2460" s="53"/>
      <c r="JSR2460" s="53"/>
      <c r="JSS2460" s="62"/>
      <c r="JST2460" s="60"/>
      <c r="JSU2460" s="53"/>
      <c r="JSV2460" s="53"/>
      <c r="JSW2460" s="62"/>
      <c r="JSX2460" s="61"/>
      <c r="JSY2460" s="53"/>
      <c r="JSZ2460" s="53"/>
      <c r="JTA2460" s="62"/>
      <c r="JTB2460" s="60"/>
      <c r="JTC2460" s="53"/>
      <c r="JTD2460" s="53"/>
      <c r="JTE2460" s="62"/>
      <c r="JTF2460" s="61"/>
      <c r="JTG2460" s="53"/>
      <c r="JTH2460" s="53"/>
      <c r="JTI2460" s="62"/>
      <c r="JTJ2460" s="60"/>
      <c r="JTK2460" s="53"/>
      <c r="JTL2460" s="53"/>
      <c r="JTM2460" s="62"/>
      <c r="JTN2460" s="61"/>
      <c r="JTO2460" s="53"/>
      <c r="JTP2460" s="53"/>
      <c r="JTQ2460" s="62"/>
      <c r="JTR2460" s="60"/>
      <c r="JTS2460" s="53"/>
      <c r="JTT2460" s="53"/>
      <c r="JTU2460" s="62"/>
      <c r="JTV2460" s="61"/>
      <c r="JTW2460" s="53"/>
      <c r="JTX2460" s="53"/>
      <c r="JTY2460" s="62"/>
      <c r="JTZ2460" s="60"/>
      <c r="JUA2460" s="53"/>
      <c r="JUB2460" s="53"/>
      <c r="JUC2460" s="62"/>
      <c r="JUD2460" s="61"/>
      <c r="JUE2460" s="53"/>
      <c r="JUF2460" s="53"/>
      <c r="JUG2460" s="62"/>
      <c r="JUH2460" s="60"/>
      <c r="JUI2460" s="53"/>
      <c r="JUJ2460" s="53"/>
      <c r="JUK2460" s="62"/>
      <c r="JUL2460" s="61"/>
      <c r="JUM2460" s="53"/>
      <c r="JUN2460" s="53"/>
      <c r="JUO2460" s="62"/>
      <c r="JUP2460" s="60"/>
      <c r="JUQ2460" s="53"/>
      <c r="JUR2460" s="53"/>
      <c r="JUS2460" s="62"/>
      <c r="JUT2460" s="61"/>
      <c r="JUU2460" s="53"/>
      <c r="JUV2460" s="53"/>
      <c r="JUW2460" s="62"/>
      <c r="JUX2460" s="60"/>
      <c r="JUY2460" s="53"/>
      <c r="JUZ2460" s="53"/>
      <c r="JVA2460" s="62"/>
      <c r="JVB2460" s="61"/>
      <c r="JVC2460" s="53"/>
      <c r="JVD2460" s="53"/>
      <c r="JVE2460" s="62"/>
      <c r="JVF2460" s="60"/>
      <c r="JVG2460" s="53"/>
      <c r="JVH2460" s="53"/>
      <c r="JVI2460" s="62"/>
      <c r="JVJ2460" s="61"/>
      <c r="JVK2460" s="53"/>
      <c r="JVL2460" s="53"/>
      <c r="JVM2460" s="62"/>
      <c r="JVN2460" s="60"/>
      <c r="JVO2460" s="53"/>
      <c r="JVP2460" s="53"/>
      <c r="JVQ2460" s="62"/>
      <c r="JVR2460" s="61"/>
      <c r="JVS2460" s="53"/>
      <c r="JVT2460" s="53"/>
      <c r="JVU2460" s="62"/>
      <c r="JVV2460" s="60"/>
      <c r="JVW2460" s="53"/>
      <c r="JVX2460" s="53"/>
      <c r="JVY2460" s="62"/>
      <c r="JVZ2460" s="61"/>
      <c r="JWA2460" s="53"/>
      <c r="JWB2460" s="53"/>
      <c r="JWC2460" s="62"/>
      <c r="JWD2460" s="60"/>
      <c r="JWE2460" s="53"/>
      <c r="JWF2460" s="53"/>
      <c r="JWG2460" s="62"/>
      <c r="JWH2460" s="61"/>
      <c r="JWI2460" s="53"/>
      <c r="JWJ2460" s="53"/>
      <c r="JWK2460" s="62"/>
      <c r="JWL2460" s="60"/>
      <c r="JWM2460" s="53"/>
      <c r="JWN2460" s="53"/>
      <c r="JWO2460" s="62"/>
      <c r="JWP2460" s="61"/>
      <c r="JWQ2460" s="53"/>
      <c r="JWR2460" s="53"/>
      <c r="JWS2460" s="62"/>
      <c r="JWT2460" s="60"/>
      <c r="JWU2460" s="53"/>
      <c r="JWV2460" s="53"/>
      <c r="JWW2460" s="62"/>
      <c r="JWX2460" s="61"/>
      <c r="JWY2460" s="53"/>
      <c r="JWZ2460" s="53"/>
      <c r="JXA2460" s="62"/>
      <c r="JXB2460" s="60"/>
      <c r="JXC2460" s="53"/>
      <c r="JXD2460" s="53"/>
      <c r="JXE2460" s="62"/>
      <c r="JXF2460" s="61"/>
      <c r="JXG2460" s="53"/>
      <c r="JXH2460" s="53"/>
      <c r="JXI2460" s="62"/>
      <c r="JXJ2460" s="60"/>
      <c r="JXK2460" s="53"/>
      <c r="JXL2460" s="53"/>
      <c r="JXM2460" s="62"/>
      <c r="JXN2460" s="61"/>
      <c r="JXO2460" s="53"/>
      <c r="JXP2460" s="53"/>
      <c r="JXQ2460" s="62"/>
      <c r="JXR2460" s="60"/>
      <c r="JXS2460" s="53"/>
      <c r="JXT2460" s="53"/>
      <c r="JXU2460" s="62"/>
      <c r="JXV2460" s="61"/>
      <c r="JXW2460" s="53"/>
      <c r="JXX2460" s="53"/>
      <c r="JXY2460" s="62"/>
      <c r="JXZ2460" s="60"/>
      <c r="JYA2460" s="53"/>
      <c r="JYB2460" s="53"/>
      <c r="JYC2460" s="62"/>
      <c r="JYD2460" s="61"/>
      <c r="JYE2460" s="53"/>
      <c r="JYF2460" s="53"/>
      <c r="JYG2460" s="62"/>
      <c r="JYH2460" s="60"/>
      <c r="JYI2460" s="53"/>
      <c r="JYJ2460" s="53"/>
      <c r="JYK2460" s="62"/>
      <c r="JYL2460" s="61"/>
      <c r="JYM2460" s="53"/>
      <c r="JYN2460" s="53"/>
      <c r="JYO2460" s="62"/>
      <c r="JYP2460" s="60"/>
      <c r="JYQ2460" s="53"/>
      <c r="JYR2460" s="53"/>
      <c r="JYS2460" s="62"/>
      <c r="JYT2460" s="61"/>
      <c r="JYU2460" s="53"/>
      <c r="JYV2460" s="53"/>
      <c r="JYW2460" s="62"/>
      <c r="JYX2460" s="60"/>
      <c r="JYY2460" s="53"/>
      <c r="JYZ2460" s="53"/>
      <c r="JZA2460" s="62"/>
      <c r="JZB2460" s="61"/>
      <c r="JZC2460" s="53"/>
      <c r="JZD2460" s="53"/>
      <c r="JZE2460" s="62"/>
      <c r="JZF2460" s="60"/>
      <c r="JZG2460" s="53"/>
      <c r="JZH2460" s="53"/>
      <c r="JZI2460" s="62"/>
      <c r="JZJ2460" s="61"/>
      <c r="JZK2460" s="53"/>
      <c r="JZL2460" s="53"/>
      <c r="JZM2460" s="62"/>
      <c r="JZN2460" s="60"/>
      <c r="JZO2460" s="53"/>
      <c r="JZP2460" s="53"/>
      <c r="JZQ2460" s="62"/>
      <c r="JZR2460" s="61"/>
      <c r="JZS2460" s="53"/>
      <c r="JZT2460" s="53"/>
      <c r="JZU2460" s="62"/>
      <c r="JZV2460" s="60"/>
      <c r="JZW2460" s="53"/>
      <c r="JZX2460" s="53"/>
      <c r="JZY2460" s="62"/>
      <c r="JZZ2460" s="61"/>
      <c r="KAA2460" s="53"/>
      <c r="KAB2460" s="53"/>
      <c r="KAC2460" s="62"/>
      <c r="KAD2460" s="60"/>
      <c r="KAE2460" s="53"/>
      <c r="KAF2460" s="53"/>
      <c r="KAG2460" s="62"/>
      <c r="KAH2460" s="61"/>
      <c r="KAI2460" s="53"/>
      <c r="KAJ2460" s="53"/>
      <c r="KAK2460" s="62"/>
      <c r="KAL2460" s="60"/>
      <c r="KAM2460" s="53"/>
      <c r="KAN2460" s="53"/>
      <c r="KAO2460" s="62"/>
      <c r="KAP2460" s="61"/>
      <c r="KAQ2460" s="53"/>
      <c r="KAR2460" s="53"/>
      <c r="KAS2460" s="62"/>
      <c r="KAT2460" s="60"/>
      <c r="KAU2460" s="53"/>
      <c r="KAV2460" s="53"/>
      <c r="KAW2460" s="62"/>
      <c r="KAX2460" s="61"/>
      <c r="KAY2460" s="53"/>
      <c r="KAZ2460" s="53"/>
      <c r="KBA2460" s="62"/>
      <c r="KBB2460" s="60"/>
      <c r="KBC2460" s="53"/>
      <c r="KBD2460" s="53"/>
      <c r="KBE2460" s="62"/>
      <c r="KBF2460" s="61"/>
      <c r="KBG2460" s="53"/>
      <c r="KBH2460" s="53"/>
      <c r="KBI2460" s="62"/>
      <c r="KBJ2460" s="60"/>
      <c r="KBK2460" s="53"/>
      <c r="KBL2460" s="53"/>
      <c r="KBM2460" s="62"/>
      <c r="KBN2460" s="61"/>
      <c r="KBO2460" s="53"/>
      <c r="KBP2460" s="53"/>
      <c r="KBQ2460" s="62"/>
      <c r="KBR2460" s="60"/>
      <c r="KBS2460" s="53"/>
      <c r="KBT2460" s="53"/>
      <c r="KBU2460" s="62"/>
      <c r="KBV2460" s="61"/>
      <c r="KBW2460" s="53"/>
      <c r="KBX2460" s="53"/>
      <c r="KBY2460" s="62"/>
      <c r="KBZ2460" s="60"/>
      <c r="KCA2460" s="53"/>
      <c r="KCB2460" s="53"/>
      <c r="KCC2460" s="62"/>
      <c r="KCD2460" s="61"/>
      <c r="KCE2460" s="53"/>
      <c r="KCF2460" s="53"/>
      <c r="KCG2460" s="62"/>
      <c r="KCH2460" s="60"/>
      <c r="KCI2460" s="53"/>
      <c r="KCJ2460" s="53"/>
      <c r="KCK2460" s="62"/>
      <c r="KCL2460" s="61"/>
      <c r="KCM2460" s="53"/>
      <c r="KCN2460" s="53"/>
      <c r="KCO2460" s="62"/>
      <c r="KCP2460" s="60"/>
      <c r="KCQ2460" s="53"/>
      <c r="KCR2460" s="53"/>
      <c r="KCS2460" s="62"/>
      <c r="KCT2460" s="61"/>
      <c r="KCU2460" s="53"/>
      <c r="KCV2460" s="53"/>
      <c r="KCW2460" s="62"/>
      <c r="KCX2460" s="60"/>
      <c r="KCY2460" s="53"/>
      <c r="KCZ2460" s="53"/>
      <c r="KDA2460" s="62"/>
      <c r="KDB2460" s="61"/>
      <c r="KDC2460" s="53"/>
      <c r="KDD2460" s="53"/>
      <c r="KDE2460" s="62"/>
      <c r="KDF2460" s="60"/>
      <c r="KDG2460" s="53"/>
      <c r="KDH2460" s="53"/>
      <c r="KDI2460" s="62"/>
      <c r="KDJ2460" s="61"/>
      <c r="KDK2460" s="53"/>
      <c r="KDL2460" s="53"/>
      <c r="KDM2460" s="62"/>
      <c r="KDN2460" s="60"/>
      <c r="KDO2460" s="53"/>
      <c r="KDP2460" s="53"/>
      <c r="KDQ2460" s="62"/>
      <c r="KDR2460" s="61"/>
      <c r="KDS2460" s="53"/>
      <c r="KDT2460" s="53"/>
      <c r="KDU2460" s="62"/>
      <c r="KDV2460" s="60"/>
      <c r="KDW2460" s="53"/>
      <c r="KDX2460" s="53"/>
      <c r="KDY2460" s="62"/>
      <c r="KDZ2460" s="61"/>
      <c r="KEA2460" s="53"/>
      <c r="KEB2460" s="53"/>
      <c r="KEC2460" s="62"/>
      <c r="KED2460" s="60"/>
      <c r="KEE2460" s="53"/>
      <c r="KEF2460" s="53"/>
      <c r="KEG2460" s="62"/>
      <c r="KEH2460" s="61"/>
      <c r="KEI2460" s="53"/>
      <c r="KEJ2460" s="53"/>
      <c r="KEK2460" s="62"/>
      <c r="KEL2460" s="60"/>
      <c r="KEM2460" s="53"/>
      <c r="KEN2460" s="53"/>
      <c r="KEO2460" s="62"/>
      <c r="KEP2460" s="61"/>
      <c r="KEQ2460" s="53"/>
      <c r="KER2460" s="53"/>
      <c r="KES2460" s="62"/>
      <c r="KET2460" s="60"/>
      <c r="KEU2460" s="53"/>
      <c r="KEV2460" s="53"/>
      <c r="KEW2460" s="62"/>
      <c r="KEX2460" s="61"/>
      <c r="KEY2460" s="53"/>
      <c r="KEZ2460" s="53"/>
      <c r="KFA2460" s="62"/>
      <c r="KFB2460" s="60"/>
      <c r="KFC2460" s="53"/>
      <c r="KFD2460" s="53"/>
      <c r="KFE2460" s="62"/>
      <c r="KFF2460" s="61"/>
      <c r="KFG2460" s="53"/>
      <c r="KFH2460" s="53"/>
      <c r="KFI2460" s="62"/>
      <c r="KFJ2460" s="60"/>
      <c r="KFK2460" s="53"/>
      <c r="KFL2460" s="53"/>
      <c r="KFM2460" s="62"/>
      <c r="KFN2460" s="61"/>
      <c r="KFO2460" s="53"/>
      <c r="KFP2460" s="53"/>
      <c r="KFQ2460" s="62"/>
      <c r="KFR2460" s="60"/>
      <c r="KFS2460" s="53"/>
      <c r="KFT2460" s="53"/>
      <c r="KFU2460" s="62"/>
      <c r="KFV2460" s="61"/>
      <c r="KFW2460" s="53"/>
      <c r="KFX2460" s="53"/>
      <c r="KFY2460" s="62"/>
      <c r="KFZ2460" s="60"/>
      <c r="KGA2460" s="53"/>
      <c r="KGB2460" s="53"/>
      <c r="KGC2460" s="62"/>
      <c r="KGD2460" s="61"/>
      <c r="KGE2460" s="53"/>
      <c r="KGF2460" s="53"/>
      <c r="KGG2460" s="62"/>
      <c r="KGH2460" s="60"/>
      <c r="KGI2460" s="53"/>
      <c r="KGJ2460" s="53"/>
      <c r="KGK2460" s="62"/>
      <c r="KGL2460" s="61"/>
      <c r="KGM2460" s="53"/>
      <c r="KGN2460" s="53"/>
      <c r="KGO2460" s="62"/>
      <c r="KGP2460" s="60"/>
      <c r="KGQ2460" s="53"/>
      <c r="KGR2460" s="53"/>
      <c r="KGS2460" s="62"/>
      <c r="KGT2460" s="61"/>
      <c r="KGU2460" s="53"/>
      <c r="KGV2460" s="53"/>
      <c r="KGW2460" s="62"/>
      <c r="KGX2460" s="60"/>
      <c r="KGY2460" s="53"/>
      <c r="KGZ2460" s="53"/>
      <c r="KHA2460" s="62"/>
      <c r="KHB2460" s="61"/>
      <c r="KHC2460" s="53"/>
      <c r="KHD2460" s="53"/>
      <c r="KHE2460" s="62"/>
      <c r="KHF2460" s="60"/>
      <c r="KHG2460" s="53"/>
      <c r="KHH2460" s="53"/>
      <c r="KHI2460" s="62"/>
      <c r="KHJ2460" s="61"/>
      <c r="KHK2460" s="53"/>
      <c r="KHL2460" s="53"/>
      <c r="KHM2460" s="62"/>
      <c r="KHN2460" s="60"/>
      <c r="KHO2460" s="53"/>
      <c r="KHP2460" s="53"/>
      <c r="KHQ2460" s="62"/>
      <c r="KHR2460" s="61"/>
      <c r="KHS2460" s="53"/>
      <c r="KHT2460" s="53"/>
      <c r="KHU2460" s="62"/>
      <c r="KHV2460" s="60"/>
      <c r="KHW2460" s="53"/>
      <c r="KHX2460" s="53"/>
      <c r="KHY2460" s="62"/>
      <c r="KHZ2460" s="61"/>
      <c r="KIA2460" s="53"/>
      <c r="KIB2460" s="53"/>
      <c r="KIC2460" s="62"/>
      <c r="KID2460" s="60"/>
      <c r="KIE2460" s="53"/>
      <c r="KIF2460" s="53"/>
      <c r="KIG2460" s="62"/>
      <c r="KIH2460" s="61"/>
      <c r="KII2460" s="53"/>
      <c r="KIJ2460" s="53"/>
      <c r="KIK2460" s="62"/>
      <c r="KIL2460" s="60"/>
      <c r="KIM2460" s="53"/>
      <c r="KIN2460" s="53"/>
      <c r="KIO2460" s="62"/>
      <c r="KIP2460" s="61"/>
      <c r="KIQ2460" s="53"/>
      <c r="KIR2460" s="53"/>
      <c r="KIS2460" s="62"/>
      <c r="KIT2460" s="60"/>
      <c r="KIU2460" s="53"/>
      <c r="KIV2460" s="53"/>
      <c r="KIW2460" s="62"/>
      <c r="KIX2460" s="61"/>
      <c r="KIY2460" s="53"/>
      <c r="KIZ2460" s="53"/>
      <c r="KJA2460" s="62"/>
      <c r="KJB2460" s="60"/>
      <c r="KJC2460" s="53"/>
      <c r="KJD2460" s="53"/>
      <c r="KJE2460" s="62"/>
      <c r="KJF2460" s="61"/>
      <c r="KJG2460" s="53"/>
      <c r="KJH2460" s="53"/>
      <c r="KJI2460" s="62"/>
      <c r="KJJ2460" s="60"/>
      <c r="KJK2460" s="53"/>
      <c r="KJL2460" s="53"/>
      <c r="KJM2460" s="62"/>
      <c r="KJN2460" s="61"/>
      <c r="KJO2460" s="53"/>
      <c r="KJP2460" s="53"/>
      <c r="KJQ2460" s="62"/>
      <c r="KJR2460" s="60"/>
      <c r="KJS2460" s="53"/>
      <c r="KJT2460" s="53"/>
      <c r="KJU2460" s="62"/>
      <c r="KJV2460" s="61"/>
      <c r="KJW2460" s="53"/>
      <c r="KJX2460" s="53"/>
      <c r="KJY2460" s="62"/>
      <c r="KJZ2460" s="60"/>
      <c r="KKA2460" s="53"/>
      <c r="KKB2460" s="53"/>
      <c r="KKC2460" s="62"/>
      <c r="KKD2460" s="61"/>
      <c r="KKE2460" s="53"/>
      <c r="KKF2460" s="53"/>
      <c r="KKG2460" s="62"/>
      <c r="KKH2460" s="60"/>
      <c r="KKI2460" s="53"/>
      <c r="KKJ2460" s="53"/>
      <c r="KKK2460" s="62"/>
      <c r="KKL2460" s="61"/>
      <c r="KKM2460" s="53"/>
      <c r="KKN2460" s="53"/>
      <c r="KKO2460" s="62"/>
      <c r="KKP2460" s="60"/>
      <c r="KKQ2460" s="53"/>
      <c r="KKR2460" s="53"/>
      <c r="KKS2460" s="62"/>
      <c r="KKT2460" s="61"/>
      <c r="KKU2460" s="53"/>
      <c r="KKV2460" s="53"/>
      <c r="KKW2460" s="62"/>
      <c r="KKX2460" s="60"/>
      <c r="KKY2460" s="53"/>
      <c r="KKZ2460" s="53"/>
      <c r="KLA2460" s="62"/>
      <c r="KLB2460" s="61"/>
      <c r="KLC2460" s="53"/>
      <c r="KLD2460" s="53"/>
      <c r="KLE2460" s="62"/>
      <c r="KLF2460" s="60"/>
      <c r="KLG2460" s="53"/>
      <c r="KLH2460" s="53"/>
      <c r="KLI2460" s="62"/>
      <c r="KLJ2460" s="61"/>
      <c r="KLK2460" s="53"/>
      <c r="KLL2460" s="53"/>
      <c r="KLM2460" s="62"/>
      <c r="KLN2460" s="60"/>
      <c r="KLO2460" s="53"/>
      <c r="KLP2460" s="53"/>
      <c r="KLQ2460" s="62"/>
      <c r="KLR2460" s="61"/>
      <c r="KLS2460" s="53"/>
      <c r="KLT2460" s="53"/>
      <c r="KLU2460" s="62"/>
      <c r="KLV2460" s="60"/>
      <c r="KLW2460" s="53"/>
      <c r="KLX2460" s="53"/>
      <c r="KLY2460" s="62"/>
      <c r="KLZ2460" s="61"/>
      <c r="KMA2460" s="53"/>
      <c r="KMB2460" s="53"/>
      <c r="KMC2460" s="62"/>
      <c r="KMD2460" s="60"/>
      <c r="KME2460" s="53"/>
      <c r="KMF2460" s="53"/>
      <c r="KMG2460" s="62"/>
      <c r="KMH2460" s="61"/>
      <c r="KMI2460" s="53"/>
      <c r="KMJ2460" s="53"/>
      <c r="KMK2460" s="62"/>
      <c r="KML2460" s="60"/>
      <c r="KMM2460" s="53"/>
      <c r="KMN2460" s="53"/>
      <c r="KMO2460" s="62"/>
      <c r="KMP2460" s="61"/>
      <c r="KMQ2460" s="53"/>
      <c r="KMR2460" s="53"/>
      <c r="KMS2460" s="62"/>
      <c r="KMT2460" s="60"/>
      <c r="KMU2460" s="53"/>
      <c r="KMV2460" s="53"/>
      <c r="KMW2460" s="62"/>
      <c r="KMX2460" s="61"/>
      <c r="KMY2460" s="53"/>
      <c r="KMZ2460" s="53"/>
      <c r="KNA2460" s="62"/>
      <c r="KNB2460" s="60"/>
      <c r="KNC2460" s="53"/>
      <c r="KND2460" s="53"/>
      <c r="KNE2460" s="62"/>
      <c r="KNF2460" s="61"/>
      <c r="KNG2460" s="53"/>
      <c r="KNH2460" s="53"/>
      <c r="KNI2460" s="62"/>
      <c r="KNJ2460" s="60"/>
      <c r="KNK2460" s="53"/>
      <c r="KNL2460" s="53"/>
      <c r="KNM2460" s="62"/>
      <c r="KNN2460" s="61"/>
      <c r="KNO2460" s="53"/>
      <c r="KNP2460" s="53"/>
      <c r="KNQ2460" s="62"/>
      <c r="KNR2460" s="60"/>
      <c r="KNS2460" s="53"/>
      <c r="KNT2460" s="53"/>
      <c r="KNU2460" s="62"/>
      <c r="KNV2460" s="61"/>
      <c r="KNW2460" s="53"/>
      <c r="KNX2460" s="53"/>
      <c r="KNY2460" s="62"/>
      <c r="KNZ2460" s="60"/>
      <c r="KOA2460" s="53"/>
      <c r="KOB2460" s="53"/>
      <c r="KOC2460" s="62"/>
      <c r="KOD2460" s="61"/>
      <c r="KOE2460" s="53"/>
      <c r="KOF2460" s="53"/>
      <c r="KOG2460" s="62"/>
      <c r="KOH2460" s="60"/>
      <c r="KOI2460" s="53"/>
      <c r="KOJ2460" s="53"/>
      <c r="KOK2460" s="62"/>
      <c r="KOL2460" s="61"/>
      <c r="KOM2460" s="53"/>
      <c r="KON2460" s="53"/>
      <c r="KOO2460" s="62"/>
      <c r="KOP2460" s="60"/>
      <c r="KOQ2460" s="53"/>
      <c r="KOR2460" s="53"/>
      <c r="KOS2460" s="62"/>
      <c r="KOT2460" s="61"/>
      <c r="KOU2460" s="53"/>
      <c r="KOV2460" s="53"/>
      <c r="KOW2460" s="62"/>
      <c r="KOX2460" s="60"/>
      <c r="KOY2460" s="53"/>
      <c r="KOZ2460" s="53"/>
      <c r="KPA2460" s="62"/>
      <c r="KPB2460" s="61"/>
      <c r="KPC2460" s="53"/>
      <c r="KPD2460" s="53"/>
      <c r="KPE2460" s="62"/>
      <c r="KPF2460" s="60"/>
      <c r="KPG2460" s="53"/>
      <c r="KPH2460" s="53"/>
      <c r="KPI2460" s="62"/>
      <c r="KPJ2460" s="61"/>
      <c r="KPK2460" s="53"/>
      <c r="KPL2460" s="53"/>
      <c r="KPM2460" s="62"/>
      <c r="KPN2460" s="60"/>
      <c r="KPO2460" s="53"/>
      <c r="KPP2460" s="53"/>
      <c r="KPQ2460" s="62"/>
      <c r="KPR2460" s="61"/>
      <c r="KPS2460" s="53"/>
      <c r="KPT2460" s="53"/>
      <c r="KPU2460" s="62"/>
      <c r="KPV2460" s="60"/>
      <c r="KPW2460" s="53"/>
      <c r="KPX2460" s="53"/>
      <c r="KPY2460" s="62"/>
      <c r="KPZ2460" s="61"/>
      <c r="KQA2460" s="53"/>
      <c r="KQB2460" s="53"/>
      <c r="KQC2460" s="62"/>
      <c r="KQD2460" s="60"/>
      <c r="KQE2460" s="53"/>
      <c r="KQF2460" s="53"/>
      <c r="KQG2460" s="62"/>
      <c r="KQH2460" s="61"/>
      <c r="KQI2460" s="53"/>
      <c r="KQJ2460" s="53"/>
      <c r="KQK2460" s="62"/>
      <c r="KQL2460" s="60"/>
      <c r="KQM2460" s="53"/>
      <c r="KQN2460" s="53"/>
      <c r="KQO2460" s="62"/>
      <c r="KQP2460" s="61"/>
      <c r="KQQ2460" s="53"/>
      <c r="KQR2460" s="53"/>
      <c r="KQS2460" s="62"/>
      <c r="KQT2460" s="60"/>
      <c r="KQU2460" s="53"/>
      <c r="KQV2460" s="53"/>
      <c r="KQW2460" s="62"/>
      <c r="KQX2460" s="61"/>
      <c r="KQY2460" s="53"/>
      <c r="KQZ2460" s="53"/>
      <c r="KRA2460" s="62"/>
      <c r="KRB2460" s="60"/>
      <c r="KRC2460" s="53"/>
      <c r="KRD2460" s="53"/>
      <c r="KRE2460" s="62"/>
      <c r="KRF2460" s="61"/>
      <c r="KRG2460" s="53"/>
      <c r="KRH2460" s="53"/>
      <c r="KRI2460" s="62"/>
      <c r="KRJ2460" s="60"/>
      <c r="KRK2460" s="53"/>
      <c r="KRL2460" s="53"/>
      <c r="KRM2460" s="62"/>
      <c r="KRN2460" s="61"/>
      <c r="KRO2460" s="53"/>
      <c r="KRP2460" s="53"/>
      <c r="KRQ2460" s="62"/>
      <c r="KRR2460" s="60"/>
      <c r="KRS2460" s="53"/>
      <c r="KRT2460" s="53"/>
      <c r="KRU2460" s="62"/>
      <c r="KRV2460" s="61"/>
      <c r="KRW2460" s="53"/>
      <c r="KRX2460" s="53"/>
      <c r="KRY2460" s="62"/>
      <c r="KRZ2460" s="60"/>
      <c r="KSA2460" s="53"/>
      <c r="KSB2460" s="53"/>
      <c r="KSC2460" s="62"/>
      <c r="KSD2460" s="61"/>
      <c r="KSE2460" s="53"/>
      <c r="KSF2460" s="53"/>
      <c r="KSG2460" s="62"/>
      <c r="KSH2460" s="60"/>
      <c r="KSI2460" s="53"/>
      <c r="KSJ2460" s="53"/>
      <c r="KSK2460" s="62"/>
      <c r="KSL2460" s="61"/>
      <c r="KSM2460" s="53"/>
      <c r="KSN2460" s="53"/>
      <c r="KSO2460" s="62"/>
      <c r="KSP2460" s="60"/>
      <c r="KSQ2460" s="53"/>
      <c r="KSR2460" s="53"/>
      <c r="KSS2460" s="62"/>
      <c r="KST2460" s="61"/>
      <c r="KSU2460" s="53"/>
      <c r="KSV2460" s="53"/>
      <c r="KSW2460" s="62"/>
      <c r="KSX2460" s="60"/>
      <c r="KSY2460" s="53"/>
      <c r="KSZ2460" s="53"/>
      <c r="KTA2460" s="62"/>
      <c r="KTB2460" s="61"/>
      <c r="KTC2460" s="53"/>
      <c r="KTD2460" s="53"/>
      <c r="KTE2460" s="62"/>
      <c r="KTF2460" s="60"/>
      <c r="KTG2460" s="53"/>
      <c r="KTH2460" s="53"/>
      <c r="KTI2460" s="62"/>
      <c r="KTJ2460" s="61"/>
      <c r="KTK2460" s="53"/>
      <c r="KTL2460" s="53"/>
      <c r="KTM2460" s="62"/>
      <c r="KTN2460" s="60"/>
      <c r="KTO2460" s="53"/>
      <c r="KTP2460" s="53"/>
      <c r="KTQ2460" s="62"/>
      <c r="KTR2460" s="61"/>
      <c r="KTS2460" s="53"/>
      <c r="KTT2460" s="53"/>
      <c r="KTU2460" s="62"/>
      <c r="KTV2460" s="60"/>
      <c r="KTW2460" s="53"/>
      <c r="KTX2460" s="53"/>
      <c r="KTY2460" s="62"/>
      <c r="KTZ2460" s="61"/>
      <c r="KUA2460" s="53"/>
      <c r="KUB2460" s="53"/>
      <c r="KUC2460" s="62"/>
      <c r="KUD2460" s="60"/>
      <c r="KUE2460" s="53"/>
      <c r="KUF2460" s="53"/>
      <c r="KUG2460" s="62"/>
      <c r="KUH2460" s="61"/>
      <c r="KUI2460" s="53"/>
      <c r="KUJ2460" s="53"/>
      <c r="KUK2460" s="62"/>
      <c r="KUL2460" s="60"/>
      <c r="KUM2460" s="53"/>
      <c r="KUN2460" s="53"/>
      <c r="KUO2460" s="62"/>
      <c r="KUP2460" s="61"/>
      <c r="KUQ2460" s="53"/>
      <c r="KUR2460" s="53"/>
      <c r="KUS2460" s="62"/>
      <c r="KUT2460" s="60"/>
      <c r="KUU2460" s="53"/>
      <c r="KUV2460" s="53"/>
      <c r="KUW2460" s="62"/>
      <c r="KUX2460" s="61"/>
      <c r="KUY2460" s="53"/>
      <c r="KUZ2460" s="53"/>
      <c r="KVA2460" s="62"/>
      <c r="KVB2460" s="60"/>
      <c r="KVC2460" s="53"/>
      <c r="KVD2460" s="53"/>
      <c r="KVE2460" s="62"/>
      <c r="KVF2460" s="61"/>
      <c r="KVG2460" s="53"/>
      <c r="KVH2460" s="53"/>
      <c r="KVI2460" s="62"/>
      <c r="KVJ2460" s="60"/>
      <c r="KVK2460" s="53"/>
      <c r="KVL2460" s="53"/>
      <c r="KVM2460" s="62"/>
      <c r="KVN2460" s="61"/>
      <c r="KVO2460" s="53"/>
      <c r="KVP2460" s="53"/>
      <c r="KVQ2460" s="62"/>
      <c r="KVR2460" s="60"/>
      <c r="KVS2460" s="53"/>
      <c r="KVT2460" s="53"/>
      <c r="KVU2460" s="62"/>
      <c r="KVV2460" s="61"/>
      <c r="KVW2460" s="53"/>
      <c r="KVX2460" s="53"/>
      <c r="KVY2460" s="62"/>
      <c r="KVZ2460" s="60"/>
      <c r="KWA2460" s="53"/>
      <c r="KWB2460" s="53"/>
      <c r="KWC2460" s="62"/>
      <c r="KWD2460" s="61"/>
      <c r="KWE2460" s="53"/>
      <c r="KWF2460" s="53"/>
      <c r="KWG2460" s="62"/>
      <c r="KWH2460" s="60"/>
      <c r="KWI2460" s="53"/>
      <c r="KWJ2460" s="53"/>
      <c r="KWK2460" s="62"/>
      <c r="KWL2460" s="61"/>
      <c r="KWM2460" s="53"/>
      <c r="KWN2460" s="53"/>
      <c r="KWO2460" s="62"/>
      <c r="KWP2460" s="60"/>
      <c r="KWQ2460" s="53"/>
      <c r="KWR2460" s="53"/>
      <c r="KWS2460" s="62"/>
      <c r="KWT2460" s="61"/>
      <c r="KWU2460" s="53"/>
      <c r="KWV2460" s="53"/>
      <c r="KWW2460" s="62"/>
      <c r="KWX2460" s="60"/>
      <c r="KWY2460" s="53"/>
      <c r="KWZ2460" s="53"/>
      <c r="KXA2460" s="62"/>
      <c r="KXB2460" s="61"/>
      <c r="KXC2460" s="53"/>
      <c r="KXD2460" s="53"/>
      <c r="KXE2460" s="62"/>
      <c r="KXF2460" s="60"/>
      <c r="KXG2460" s="53"/>
      <c r="KXH2460" s="53"/>
      <c r="KXI2460" s="62"/>
      <c r="KXJ2460" s="61"/>
      <c r="KXK2460" s="53"/>
      <c r="KXL2460" s="53"/>
      <c r="KXM2460" s="62"/>
      <c r="KXN2460" s="60"/>
      <c r="KXO2460" s="53"/>
      <c r="KXP2460" s="53"/>
      <c r="KXQ2460" s="62"/>
      <c r="KXR2460" s="61"/>
      <c r="KXS2460" s="53"/>
      <c r="KXT2460" s="53"/>
      <c r="KXU2460" s="62"/>
      <c r="KXV2460" s="60"/>
      <c r="KXW2460" s="53"/>
      <c r="KXX2460" s="53"/>
      <c r="KXY2460" s="62"/>
      <c r="KXZ2460" s="61"/>
      <c r="KYA2460" s="53"/>
      <c r="KYB2460" s="53"/>
      <c r="KYC2460" s="62"/>
      <c r="KYD2460" s="60"/>
      <c r="KYE2460" s="53"/>
      <c r="KYF2460" s="53"/>
      <c r="KYG2460" s="62"/>
      <c r="KYH2460" s="61"/>
      <c r="KYI2460" s="53"/>
      <c r="KYJ2460" s="53"/>
      <c r="KYK2460" s="62"/>
      <c r="KYL2460" s="60"/>
      <c r="KYM2460" s="53"/>
      <c r="KYN2460" s="53"/>
      <c r="KYO2460" s="62"/>
      <c r="KYP2460" s="61"/>
      <c r="KYQ2460" s="53"/>
      <c r="KYR2460" s="53"/>
      <c r="KYS2460" s="62"/>
      <c r="KYT2460" s="60"/>
      <c r="KYU2460" s="53"/>
      <c r="KYV2460" s="53"/>
      <c r="KYW2460" s="62"/>
      <c r="KYX2460" s="61"/>
      <c r="KYY2460" s="53"/>
      <c r="KYZ2460" s="53"/>
      <c r="KZA2460" s="62"/>
      <c r="KZB2460" s="60"/>
      <c r="KZC2460" s="53"/>
      <c r="KZD2460" s="53"/>
      <c r="KZE2460" s="62"/>
      <c r="KZF2460" s="61"/>
      <c r="KZG2460" s="53"/>
      <c r="KZH2460" s="53"/>
      <c r="KZI2460" s="62"/>
      <c r="KZJ2460" s="60"/>
      <c r="KZK2460" s="53"/>
      <c r="KZL2460" s="53"/>
      <c r="KZM2460" s="62"/>
      <c r="KZN2460" s="61"/>
      <c r="KZO2460" s="53"/>
      <c r="KZP2460" s="53"/>
      <c r="KZQ2460" s="62"/>
      <c r="KZR2460" s="60"/>
      <c r="KZS2460" s="53"/>
      <c r="KZT2460" s="53"/>
      <c r="KZU2460" s="62"/>
      <c r="KZV2460" s="61"/>
      <c r="KZW2460" s="53"/>
      <c r="KZX2460" s="53"/>
      <c r="KZY2460" s="62"/>
      <c r="KZZ2460" s="60"/>
      <c r="LAA2460" s="53"/>
      <c r="LAB2460" s="53"/>
      <c r="LAC2460" s="62"/>
      <c r="LAD2460" s="61"/>
      <c r="LAE2460" s="53"/>
      <c r="LAF2460" s="53"/>
      <c r="LAG2460" s="62"/>
      <c r="LAH2460" s="60"/>
      <c r="LAI2460" s="53"/>
      <c r="LAJ2460" s="53"/>
      <c r="LAK2460" s="62"/>
      <c r="LAL2460" s="61"/>
      <c r="LAM2460" s="53"/>
      <c r="LAN2460" s="53"/>
      <c r="LAO2460" s="62"/>
      <c r="LAP2460" s="60"/>
      <c r="LAQ2460" s="53"/>
      <c r="LAR2460" s="53"/>
      <c r="LAS2460" s="62"/>
      <c r="LAT2460" s="61"/>
      <c r="LAU2460" s="53"/>
      <c r="LAV2460" s="53"/>
      <c r="LAW2460" s="62"/>
      <c r="LAX2460" s="60"/>
      <c r="LAY2460" s="53"/>
      <c r="LAZ2460" s="53"/>
      <c r="LBA2460" s="62"/>
      <c r="LBB2460" s="61"/>
      <c r="LBC2460" s="53"/>
      <c r="LBD2460" s="53"/>
      <c r="LBE2460" s="62"/>
      <c r="LBF2460" s="60"/>
      <c r="LBG2460" s="53"/>
      <c r="LBH2460" s="53"/>
      <c r="LBI2460" s="62"/>
      <c r="LBJ2460" s="61"/>
      <c r="LBK2460" s="53"/>
      <c r="LBL2460" s="53"/>
      <c r="LBM2460" s="62"/>
      <c r="LBN2460" s="60"/>
      <c r="LBO2460" s="53"/>
      <c r="LBP2460" s="53"/>
      <c r="LBQ2460" s="62"/>
      <c r="LBR2460" s="61"/>
      <c r="LBS2460" s="53"/>
      <c r="LBT2460" s="53"/>
      <c r="LBU2460" s="62"/>
      <c r="LBV2460" s="60"/>
      <c r="LBW2460" s="53"/>
      <c r="LBX2460" s="53"/>
      <c r="LBY2460" s="62"/>
      <c r="LBZ2460" s="61"/>
      <c r="LCA2460" s="53"/>
      <c r="LCB2460" s="53"/>
      <c r="LCC2460" s="62"/>
      <c r="LCD2460" s="60"/>
      <c r="LCE2460" s="53"/>
      <c r="LCF2460" s="53"/>
      <c r="LCG2460" s="62"/>
      <c r="LCH2460" s="61"/>
      <c r="LCI2460" s="53"/>
      <c r="LCJ2460" s="53"/>
      <c r="LCK2460" s="62"/>
      <c r="LCL2460" s="60"/>
      <c r="LCM2460" s="53"/>
      <c r="LCN2460" s="53"/>
      <c r="LCO2460" s="62"/>
      <c r="LCP2460" s="61"/>
      <c r="LCQ2460" s="53"/>
      <c r="LCR2460" s="53"/>
      <c r="LCS2460" s="62"/>
      <c r="LCT2460" s="60"/>
      <c r="LCU2460" s="53"/>
      <c r="LCV2460" s="53"/>
      <c r="LCW2460" s="62"/>
      <c r="LCX2460" s="61"/>
      <c r="LCY2460" s="53"/>
      <c r="LCZ2460" s="53"/>
      <c r="LDA2460" s="62"/>
      <c r="LDB2460" s="60"/>
      <c r="LDC2460" s="53"/>
      <c r="LDD2460" s="53"/>
      <c r="LDE2460" s="62"/>
      <c r="LDF2460" s="61"/>
      <c r="LDG2460" s="53"/>
      <c r="LDH2460" s="53"/>
      <c r="LDI2460" s="62"/>
      <c r="LDJ2460" s="60"/>
      <c r="LDK2460" s="53"/>
      <c r="LDL2460" s="53"/>
      <c r="LDM2460" s="62"/>
      <c r="LDN2460" s="61"/>
      <c r="LDO2460" s="53"/>
      <c r="LDP2460" s="53"/>
      <c r="LDQ2460" s="62"/>
      <c r="LDR2460" s="60"/>
      <c r="LDS2460" s="53"/>
      <c r="LDT2460" s="53"/>
      <c r="LDU2460" s="62"/>
      <c r="LDV2460" s="61"/>
      <c r="LDW2460" s="53"/>
      <c r="LDX2460" s="53"/>
      <c r="LDY2460" s="62"/>
      <c r="LDZ2460" s="60"/>
      <c r="LEA2460" s="53"/>
      <c r="LEB2460" s="53"/>
      <c r="LEC2460" s="62"/>
      <c r="LED2460" s="61"/>
      <c r="LEE2460" s="53"/>
      <c r="LEF2460" s="53"/>
      <c r="LEG2460" s="62"/>
      <c r="LEH2460" s="60"/>
      <c r="LEI2460" s="53"/>
      <c r="LEJ2460" s="53"/>
      <c r="LEK2460" s="62"/>
      <c r="LEL2460" s="61"/>
      <c r="LEM2460" s="53"/>
      <c r="LEN2460" s="53"/>
      <c r="LEO2460" s="62"/>
      <c r="LEP2460" s="60"/>
      <c r="LEQ2460" s="53"/>
      <c r="LER2460" s="53"/>
      <c r="LES2460" s="62"/>
      <c r="LET2460" s="61"/>
      <c r="LEU2460" s="53"/>
      <c r="LEV2460" s="53"/>
      <c r="LEW2460" s="62"/>
      <c r="LEX2460" s="60"/>
      <c r="LEY2460" s="53"/>
      <c r="LEZ2460" s="53"/>
      <c r="LFA2460" s="62"/>
      <c r="LFB2460" s="61"/>
      <c r="LFC2460" s="53"/>
      <c r="LFD2460" s="53"/>
      <c r="LFE2460" s="62"/>
      <c r="LFF2460" s="60"/>
      <c r="LFG2460" s="53"/>
      <c r="LFH2460" s="53"/>
      <c r="LFI2460" s="62"/>
      <c r="LFJ2460" s="61"/>
      <c r="LFK2460" s="53"/>
      <c r="LFL2460" s="53"/>
      <c r="LFM2460" s="62"/>
      <c r="LFN2460" s="60"/>
      <c r="LFO2460" s="53"/>
      <c r="LFP2460" s="53"/>
      <c r="LFQ2460" s="62"/>
      <c r="LFR2460" s="61"/>
      <c r="LFS2460" s="53"/>
      <c r="LFT2460" s="53"/>
      <c r="LFU2460" s="62"/>
      <c r="LFV2460" s="60"/>
      <c r="LFW2460" s="53"/>
      <c r="LFX2460" s="53"/>
      <c r="LFY2460" s="62"/>
      <c r="LFZ2460" s="61"/>
      <c r="LGA2460" s="53"/>
      <c r="LGB2460" s="53"/>
      <c r="LGC2460" s="62"/>
      <c r="LGD2460" s="60"/>
      <c r="LGE2460" s="53"/>
      <c r="LGF2460" s="53"/>
      <c r="LGG2460" s="62"/>
      <c r="LGH2460" s="61"/>
      <c r="LGI2460" s="53"/>
      <c r="LGJ2460" s="53"/>
      <c r="LGK2460" s="62"/>
      <c r="LGL2460" s="60"/>
      <c r="LGM2460" s="53"/>
      <c r="LGN2460" s="53"/>
      <c r="LGO2460" s="62"/>
      <c r="LGP2460" s="61"/>
      <c r="LGQ2460" s="53"/>
      <c r="LGR2460" s="53"/>
      <c r="LGS2460" s="62"/>
      <c r="LGT2460" s="60"/>
      <c r="LGU2460" s="53"/>
      <c r="LGV2460" s="53"/>
      <c r="LGW2460" s="62"/>
      <c r="LGX2460" s="61"/>
      <c r="LGY2460" s="53"/>
      <c r="LGZ2460" s="53"/>
      <c r="LHA2460" s="62"/>
      <c r="LHB2460" s="60"/>
      <c r="LHC2460" s="53"/>
      <c r="LHD2460" s="53"/>
      <c r="LHE2460" s="62"/>
      <c r="LHF2460" s="61"/>
      <c r="LHG2460" s="53"/>
      <c r="LHH2460" s="53"/>
      <c r="LHI2460" s="62"/>
      <c r="LHJ2460" s="60"/>
      <c r="LHK2460" s="53"/>
      <c r="LHL2460" s="53"/>
      <c r="LHM2460" s="62"/>
      <c r="LHN2460" s="61"/>
      <c r="LHO2460" s="53"/>
      <c r="LHP2460" s="53"/>
      <c r="LHQ2460" s="62"/>
      <c r="LHR2460" s="60"/>
      <c r="LHS2460" s="53"/>
      <c r="LHT2460" s="53"/>
      <c r="LHU2460" s="62"/>
      <c r="LHV2460" s="61"/>
      <c r="LHW2460" s="53"/>
      <c r="LHX2460" s="53"/>
      <c r="LHY2460" s="62"/>
      <c r="LHZ2460" s="60"/>
      <c r="LIA2460" s="53"/>
      <c r="LIB2460" s="53"/>
      <c r="LIC2460" s="62"/>
      <c r="LID2460" s="61"/>
      <c r="LIE2460" s="53"/>
      <c r="LIF2460" s="53"/>
      <c r="LIG2460" s="62"/>
      <c r="LIH2460" s="60"/>
      <c r="LII2460" s="53"/>
      <c r="LIJ2460" s="53"/>
      <c r="LIK2460" s="62"/>
      <c r="LIL2460" s="61"/>
      <c r="LIM2460" s="53"/>
      <c r="LIN2460" s="53"/>
      <c r="LIO2460" s="62"/>
      <c r="LIP2460" s="60"/>
      <c r="LIQ2460" s="53"/>
      <c r="LIR2460" s="53"/>
      <c r="LIS2460" s="62"/>
      <c r="LIT2460" s="61"/>
      <c r="LIU2460" s="53"/>
      <c r="LIV2460" s="53"/>
      <c r="LIW2460" s="62"/>
      <c r="LIX2460" s="60"/>
      <c r="LIY2460" s="53"/>
      <c r="LIZ2460" s="53"/>
      <c r="LJA2460" s="62"/>
      <c r="LJB2460" s="61"/>
      <c r="LJC2460" s="53"/>
      <c r="LJD2460" s="53"/>
      <c r="LJE2460" s="62"/>
      <c r="LJF2460" s="60"/>
      <c r="LJG2460" s="53"/>
      <c r="LJH2460" s="53"/>
      <c r="LJI2460" s="62"/>
      <c r="LJJ2460" s="61"/>
      <c r="LJK2460" s="53"/>
      <c r="LJL2460" s="53"/>
      <c r="LJM2460" s="62"/>
      <c r="LJN2460" s="60"/>
      <c r="LJO2460" s="53"/>
      <c r="LJP2460" s="53"/>
      <c r="LJQ2460" s="62"/>
      <c r="LJR2460" s="61"/>
      <c r="LJS2460" s="53"/>
      <c r="LJT2460" s="53"/>
      <c r="LJU2460" s="62"/>
      <c r="LJV2460" s="60"/>
      <c r="LJW2460" s="53"/>
      <c r="LJX2460" s="53"/>
      <c r="LJY2460" s="62"/>
      <c r="LJZ2460" s="61"/>
      <c r="LKA2460" s="53"/>
      <c r="LKB2460" s="53"/>
      <c r="LKC2460" s="62"/>
      <c r="LKD2460" s="60"/>
      <c r="LKE2460" s="53"/>
      <c r="LKF2460" s="53"/>
      <c r="LKG2460" s="62"/>
      <c r="LKH2460" s="61"/>
      <c r="LKI2460" s="53"/>
      <c r="LKJ2460" s="53"/>
      <c r="LKK2460" s="62"/>
      <c r="LKL2460" s="60"/>
      <c r="LKM2460" s="53"/>
      <c r="LKN2460" s="53"/>
      <c r="LKO2460" s="62"/>
      <c r="LKP2460" s="61"/>
      <c r="LKQ2460" s="53"/>
      <c r="LKR2460" s="53"/>
      <c r="LKS2460" s="62"/>
      <c r="LKT2460" s="60"/>
      <c r="LKU2460" s="53"/>
      <c r="LKV2460" s="53"/>
      <c r="LKW2460" s="62"/>
      <c r="LKX2460" s="61"/>
      <c r="LKY2460" s="53"/>
      <c r="LKZ2460" s="53"/>
      <c r="LLA2460" s="62"/>
      <c r="LLB2460" s="60"/>
      <c r="LLC2460" s="53"/>
      <c r="LLD2460" s="53"/>
      <c r="LLE2460" s="62"/>
      <c r="LLF2460" s="61"/>
      <c r="LLG2460" s="53"/>
      <c r="LLH2460" s="53"/>
      <c r="LLI2460" s="62"/>
      <c r="LLJ2460" s="60"/>
      <c r="LLK2460" s="53"/>
      <c r="LLL2460" s="53"/>
      <c r="LLM2460" s="62"/>
      <c r="LLN2460" s="61"/>
      <c r="LLO2460" s="53"/>
      <c r="LLP2460" s="53"/>
      <c r="LLQ2460" s="62"/>
      <c r="LLR2460" s="60"/>
      <c r="LLS2460" s="53"/>
      <c r="LLT2460" s="53"/>
      <c r="LLU2460" s="62"/>
      <c r="LLV2460" s="61"/>
      <c r="LLW2460" s="53"/>
      <c r="LLX2460" s="53"/>
      <c r="LLY2460" s="62"/>
      <c r="LLZ2460" s="60"/>
      <c r="LMA2460" s="53"/>
      <c r="LMB2460" s="53"/>
      <c r="LMC2460" s="62"/>
      <c r="LMD2460" s="61"/>
      <c r="LME2460" s="53"/>
      <c r="LMF2460" s="53"/>
      <c r="LMG2460" s="62"/>
      <c r="LMH2460" s="60"/>
      <c r="LMI2460" s="53"/>
      <c r="LMJ2460" s="53"/>
      <c r="LMK2460" s="62"/>
      <c r="LML2460" s="61"/>
      <c r="LMM2460" s="53"/>
      <c r="LMN2460" s="53"/>
      <c r="LMO2460" s="62"/>
      <c r="LMP2460" s="60"/>
      <c r="LMQ2460" s="53"/>
      <c r="LMR2460" s="53"/>
      <c r="LMS2460" s="62"/>
      <c r="LMT2460" s="61"/>
      <c r="LMU2460" s="53"/>
      <c r="LMV2460" s="53"/>
      <c r="LMW2460" s="62"/>
      <c r="LMX2460" s="60"/>
      <c r="LMY2460" s="53"/>
      <c r="LMZ2460" s="53"/>
      <c r="LNA2460" s="62"/>
      <c r="LNB2460" s="61"/>
      <c r="LNC2460" s="53"/>
      <c r="LND2460" s="53"/>
      <c r="LNE2460" s="62"/>
      <c r="LNF2460" s="60"/>
      <c r="LNG2460" s="53"/>
      <c r="LNH2460" s="53"/>
      <c r="LNI2460" s="62"/>
      <c r="LNJ2460" s="61"/>
      <c r="LNK2460" s="53"/>
      <c r="LNL2460" s="53"/>
      <c r="LNM2460" s="62"/>
      <c r="LNN2460" s="60"/>
      <c r="LNO2460" s="53"/>
      <c r="LNP2460" s="53"/>
      <c r="LNQ2460" s="62"/>
      <c r="LNR2460" s="61"/>
      <c r="LNS2460" s="53"/>
      <c r="LNT2460" s="53"/>
      <c r="LNU2460" s="62"/>
      <c r="LNV2460" s="60"/>
      <c r="LNW2460" s="53"/>
      <c r="LNX2460" s="53"/>
      <c r="LNY2460" s="62"/>
      <c r="LNZ2460" s="61"/>
      <c r="LOA2460" s="53"/>
      <c r="LOB2460" s="53"/>
      <c r="LOC2460" s="62"/>
      <c r="LOD2460" s="60"/>
      <c r="LOE2460" s="53"/>
      <c r="LOF2460" s="53"/>
      <c r="LOG2460" s="62"/>
      <c r="LOH2460" s="61"/>
      <c r="LOI2460" s="53"/>
      <c r="LOJ2460" s="53"/>
      <c r="LOK2460" s="62"/>
      <c r="LOL2460" s="60"/>
      <c r="LOM2460" s="53"/>
      <c r="LON2460" s="53"/>
      <c r="LOO2460" s="62"/>
      <c r="LOP2460" s="61"/>
      <c r="LOQ2460" s="53"/>
      <c r="LOR2460" s="53"/>
      <c r="LOS2460" s="62"/>
      <c r="LOT2460" s="60"/>
      <c r="LOU2460" s="53"/>
      <c r="LOV2460" s="53"/>
      <c r="LOW2460" s="62"/>
      <c r="LOX2460" s="61"/>
      <c r="LOY2460" s="53"/>
      <c r="LOZ2460" s="53"/>
      <c r="LPA2460" s="62"/>
      <c r="LPB2460" s="60"/>
      <c r="LPC2460" s="53"/>
      <c r="LPD2460" s="53"/>
      <c r="LPE2460" s="62"/>
      <c r="LPF2460" s="61"/>
      <c r="LPG2460" s="53"/>
      <c r="LPH2460" s="53"/>
      <c r="LPI2460" s="62"/>
      <c r="LPJ2460" s="60"/>
      <c r="LPK2460" s="53"/>
      <c r="LPL2460" s="53"/>
      <c r="LPM2460" s="62"/>
      <c r="LPN2460" s="61"/>
      <c r="LPO2460" s="53"/>
      <c r="LPP2460" s="53"/>
      <c r="LPQ2460" s="62"/>
      <c r="LPR2460" s="60"/>
      <c r="LPS2460" s="53"/>
      <c r="LPT2460" s="53"/>
      <c r="LPU2460" s="62"/>
      <c r="LPV2460" s="61"/>
      <c r="LPW2460" s="53"/>
      <c r="LPX2460" s="53"/>
      <c r="LPY2460" s="62"/>
      <c r="LPZ2460" s="60"/>
      <c r="LQA2460" s="53"/>
      <c r="LQB2460" s="53"/>
      <c r="LQC2460" s="62"/>
      <c r="LQD2460" s="61"/>
      <c r="LQE2460" s="53"/>
      <c r="LQF2460" s="53"/>
      <c r="LQG2460" s="62"/>
      <c r="LQH2460" s="60"/>
      <c r="LQI2460" s="53"/>
      <c r="LQJ2460" s="53"/>
      <c r="LQK2460" s="62"/>
      <c r="LQL2460" s="61"/>
      <c r="LQM2460" s="53"/>
      <c r="LQN2460" s="53"/>
      <c r="LQO2460" s="62"/>
      <c r="LQP2460" s="60"/>
      <c r="LQQ2460" s="53"/>
      <c r="LQR2460" s="53"/>
      <c r="LQS2460" s="62"/>
      <c r="LQT2460" s="61"/>
      <c r="LQU2460" s="53"/>
      <c r="LQV2460" s="53"/>
      <c r="LQW2460" s="62"/>
      <c r="LQX2460" s="60"/>
      <c r="LQY2460" s="53"/>
      <c r="LQZ2460" s="53"/>
      <c r="LRA2460" s="62"/>
      <c r="LRB2460" s="61"/>
      <c r="LRC2460" s="53"/>
      <c r="LRD2460" s="53"/>
      <c r="LRE2460" s="62"/>
      <c r="LRF2460" s="60"/>
      <c r="LRG2460" s="53"/>
      <c r="LRH2460" s="53"/>
      <c r="LRI2460" s="62"/>
      <c r="LRJ2460" s="61"/>
      <c r="LRK2460" s="53"/>
      <c r="LRL2460" s="53"/>
      <c r="LRM2460" s="62"/>
      <c r="LRN2460" s="60"/>
      <c r="LRO2460" s="53"/>
      <c r="LRP2460" s="53"/>
      <c r="LRQ2460" s="62"/>
      <c r="LRR2460" s="61"/>
      <c r="LRS2460" s="53"/>
      <c r="LRT2460" s="53"/>
      <c r="LRU2460" s="62"/>
      <c r="LRV2460" s="60"/>
      <c r="LRW2460" s="53"/>
      <c r="LRX2460" s="53"/>
      <c r="LRY2460" s="62"/>
      <c r="LRZ2460" s="61"/>
      <c r="LSA2460" s="53"/>
      <c r="LSB2460" s="53"/>
      <c r="LSC2460" s="62"/>
      <c r="LSD2460" s="60"/>
      <c r="LSE2460" s="53"/>
      <c r="LSF2460" s="53"/>
      <c r="LSG2460" s="62"/>
      <c r="LSH2460" s="61"/>
      <c r="LSI2460" s="53"/>
      <c r="LSJ2460" s="53"/>
      <c r="LSK2460" s="62"/>
      <c r="LSL2460" s="60"/>
      <c r="LSM2460" s="53"/>
      <c r="LSN2460" s="53"/>
      <c r="LSO2460" s="62"/>
      <c r="LSP2460" s="61"/>
      <c r="LSQ2460" s="53"/>
      <c r="LSR2460" s="53"/>
      <c r="LSS2460" s="62"/>
      <c r="LST2460" s="60"/>
      <c r="LSU2460" s="53"/>
      <c r="LSV2460" s="53"/>
      <c r="LSW2460" s="62"/>
      <c r="LSX2460" s="61"/>
      <c r="LSY2460" s="53"/>
      <c r="LSZ2460" s="53"/>
      <c r="LTA2460" s="62"/>
      <c r="LTB2460" s="60"/>
      <c r="LTC2460" s="53"/>
      <c r="LTD2460" s="53"/>
      <c r="LTE2460" s="62"/>
      <c r="LTF2460" s="61"/>
      <c r="LTG2460" s="53"/>
      <c r="LTH2460" s="53"/>
      <c r="LTI2460" s="62"/>
      <c r="LTJ2460" s="60"/>
      <c r="LTK2460" s="53"/>
      <c r="LTL2460" s="53"/>
      <c r="LTM2460" s="62"/>
      <c r="LTN2460" s="61"/>
      <c r="LTO2460" s="53"/>
      <c r="LTP2460" s="53"/>
      <c r="LTQ2460" s="62"/>
      <c r="LTR2460" s="60"/>
      <c r="LTS2460" s="53"/>
      <c r="LTT2460" s="53"/>
      <c r="LTU2460" s="62"/>
      <c r="LTV2460" s="61"/>
      <c r="LTW2460" s="53"/>
      <c r="LTX2460" s="53"/>
      <c r="LTY2460" s="62"/>
      <c r="LTZ2460" s="60"/>
      <c r="LUA2460" s="53"/>
      <c r="LUB2460" s="53"/>
      <c r="LUC2460" s="62"/>
      <c r="LUD2460" s="61"/>
      <c r="LUE2460" s="53"/>
      <c r="LUF2460" s="53"/>
      <c r="LUG2460" s="62"/>
      <c r="LUH2460" s="60"/>
      <c r="LUI2460" s="53"/>
      <c r="LUJ2460" s="53"/>
      <c r="LUK2460" s="62"/>
      <c r="LUL2460" s="61"/>
      <c r="LUM2460" s="53"/>
      <c r="LUN2460" s="53"/>
      <c r="LUO2460" s="62"/>
      <c r="LUP2460" s="60"/>
      <c r="LUQ2460" s="53"/>
      <c r="LUR2460" s="53"/>
      <c r="LUS2460" s="62"/>
      <c r="LUT2460" s="61"/>
      <c r="LUU2460" s="53"/>
      <c r="LUV2460" s="53"/>
      <c r="LUW2460" s="62"/>
      <c r="LUX2460" s="60"/>
      <c r="LUY2460" s="53"/>
      <c r="LUZ2460" s="53"/>
      <c r="LVA2460" s="62"/>
      <c r="LVB2460" s="61"/>
      <c r="LVC2460" s="53"/>
      <c r="LVD2460" s="53"/>
      <c r="LVE2460" s="62"/>
      <c r="LVF2460" s="60"/>
      <c r="LVG2460" s="53"/>
      <c r="LVH2460" s="53"/>
      <c r="LVI2460" s="62"/>
      <c r="LVJ2460" s="61"/>
      <c r="LVK2460" s="53"/>
      <c r="LVL2460" s="53"/>
      <c r="LVM2460" s="62"/>
      <c r="LVN2460" s="60"/>
      <c r="LVO2460" s="53"/>
      <c r="LVP2460" s="53"/>
      <c r="LVQ2460" s="62"/>
      <c r="LVR2460" s="61"/>
      <c r="LVS2460" s="53"/>
      <c r="LVT2460" s="53"/>
      <c r="LVU2460" s="62"/>
      <c r="LVV2460" s="60"/>
      <c r="LVW2460" s="53"/>
      <c r="LVX2460" s="53"/>
      <c r="LVY2460" s="62"/>
      <c r="LVZ2460" s="61"/>
      <c r="LWA2460" s="53"/>
      <c r="LWB2460" s="53"/>
      <c r="LWC2460" s="62"/>
      <c r="LWD2460" s="60"/>
      <c r="LWE2460" s="53"/>
      <c r="LWF2460" s="53"/>
      <c r="LWG2460" s="62"/>
      <c r="LWH2460" s="61"/>
      <c r="LWI2460" s="53"/>
      <c r="LWJ2460" s="53"/>
      <c r="LWK2460" s="62"/>
      <c r="LWL2460" s="60"/>
      <c r="LWM2460" s="53"/>
      <c r="LWN2460" s="53"/>
      <c r="LWO2460" s="62"/>
      <c r="LWP2460" s="61"/>
      <c r="LWQ2460" s="53"/>
      <c r="LWR2460" s="53"/>
      <c r="LWS2460" s="62"/>
      <c r="LWT2460" s="60"/>
      <c r="LWU2460" s="53"/>
      <c r="LWV2460" s="53"/>
      <c r="LWW2460" s="62"/>
      <c r="LWX2460" s="61"/>
      <c r="LWY2460" s="53"/>
      <c r="LWZ2460" s="53"/>
      <c r="LXA2460" s="62"/>
      <c r="LXB2460" s="60"/>
      <c r="LXC2460" s="53"/>
      <c r="LXD2460" s="53"/>
      <c r="LXE2460" s="62"/>
      <c r="LXF2460" s="61"/>
      <c r="LXG2460" s="53"/>
      <c r="LXH2460" s="53"/>
      <c r="LXI2460" s="62"/>
      <c r="LXJ2460" s="60"/>
      <c r="LXK2460" s="53"/>
      <c r="LXL2460" s="53"/>
      <c r="LXM2460" s="62"/>
      <c r="LXN2460" s="61"/>
      <c r="LXO2460" s="53"/>
      <c r="LXP2460" s="53"/>
      <c r="LXQ2460" s="62"/>
      <c r="LXR2460" s="60"/>
      <c r="LXS2460" s="53"/>
      <c r="LXT2460" s="53"/>
      <c r="LXU2460" s="62"/>
      <c r="LXV2460" s="61"/>
      <c r="LXW2460" s="53"/>
      <c r="LXX2460" s="53"/>
      <c r="LXY2460" s="62"/>
      <c r="LXZ2460" s="60"/>
      <c r="LYA2460" s="53"/>
      <c r="LYB2460" s="53"/>
      <c r="LYC2460" s="62"/>
      <c r="LYD2460" s="61"/>
      <c r="LYE2460" s="53"/>
      <c r="LYF2460" s="53"/>
      <c r="LYG2460" s="62"/>
      <c r="LYH2460" s="60"/>
      <c r="LYI2460" s="53"/>
      <c r="LYJ2460" s="53"/>
      <c r="LYK2460" s="62"/>
      <c r="LYL2460" s="61"/>
      <c r="LYM2460" s="53"/>
      <c r="LYN2460" s="53"/>
      <c r="LYO2460" s="62"/>
      <c r="LYP2460" s="60"/>
      <c r="LYQ2460" s="53"/>
      <c r="LYR2460" s="53"/>
      <c r="LYS2460" s="62"/>
      <c r="LYT2460" s="61"/>
      <c r="LYU2460" s="53"/>
      <c r="LYV2460" s="53"/>
      <c r="LYW2460" s="62"/>
      <c r="LYX2460" s="60"/>
      <c r="LYY2460" s="53"/>
      <c r="LYZ2460" s="53"/>
      <c r="LZA2460" s="62"/>
      <c r="LZB2460" s="61"/>
      <c r="LZC2460" s="53"/>
      <c r="LZD2460" s="53"/>
      <c r="LZE2460" s="62"/>
      <c r="LZF2460" s="60"/>
      <c r="LZG2460" s="53"/>
      <c r="LZH2460" s="53"/>
      <c r="LZI2460" s="62"/>
      <c r="LZJ2460" s="61"/>
      <c r="LZK2460" s="53"/>
      <c r="LZL2460" s="53"/>
      <c r="LZM2460" s="62"/>
      <c r="LZN2460" s="60"/>
      <c r="LZO2460" s="53"/>
      <c r="LZP2460" s="53"/>
      <c r="LZQ2460" s="62"/>
      <c r="LZR2460" s="61"/>
      <c r="LZS2460" s="53"/>
      <c r="LZT2460" s="53"/>
      <c r="LZU2460" s="62"/>
      <c r="LZV2460" s="60"/>
      <c r="LZW2460" s="53"/>
      <c r="LZX2460" s="53"/>
      <c r="LZY2460" s="62"/>
      <c r="LZZ2460" s="61"/>
      <c r="MAA2460" s="53"/>
      <c r="MAB2460" s="53"/>
      <c r="MAC2460" s="62"/>
      <c r="MAD2460" s="60"/>
      <c r="MAE2460" s="53"/>
      <c r="MAF2460" s="53"/>
      <c r="MAG2460" s="62"/>
      <c r="MAH2460" s="61"/>
      <c r="MAI2460" s="53"/>
      <c r="MAJ2460" s="53"/>
      <c r="MAK2460" s="62"/>
      <c r="MAL2460" s="60"/>
      <c r="MAM2460" s="53"/>
      <c r="MAN2460" s="53"/>
      <c r="MAO2460" s="62"/>
      <c r="MAP2460" s="61"/>
      <c r="MAQ2460" s="53"/>
      <c r="MAR2460" s="53"/>
      <c r="MAS2460" s="62"/>
      <c r="MAT2460" s="60"/>
      <c r="MAU2460" s="53"/>
      <c r="MAV2460" s="53"/>
      <c r="MAW2460" s="62"/>
      <c r="MAX2460" s="61"/>
      <c r="MAY2460" s="53"/>
      <c r="MAZ2460" s="53"/>
      <c r="MBA2460" s="62"/>
      <c r="MBB2460" s="60"/>
      <c r="MBC2460" s="53"/>
      <c r="MBD2460" s="53"/>
      <c r="MBE2460" s="62"/>
      <c r="MBF2460" s="61"/>
      <c r="MBG2460" s="53"/>
      <c r="MBH2460" s="53"/>
      <c r="MBI2460" s="62"/>
      <c r="MBJ2460" s="60"/>
      <c r="MBK2460" s="53"/>
      <c r="MBL2460" s="53"/>
      <c r="MBM2460" s="62"/>
      <c r="MBN2460" s="61"/>
      <c r="MBO2460" s="53"/>
      <c r="MBP2460" s="53"/>
      <c r="MBQ2460" s="62"/>
      <c r="MBR2460" s="60"/>
      <c r="MBS2460" s="53"/>
      <c r="MBT2460" s="53"/>
      <c r="MBU2460" s="62"/>
      <c r="MBV2460" s="61"/>
      <c r="MBW2460" s="53"/>
      <c r="MBX2460" s="53"/>
      <c r="MBY2460" s="62"/>
      <c r="MBZ2460" s="60"/>
      <c r="MCA2460" s="53"/>
      <c r="MCB2460" s="53"/>
      <c r="MCC2460" s="62"/>
      <c r="MCD2460" s="61"/>
      <c r="MCE2460" s="53"/>
      <c r="MCF2460" s="53"/>
      <c r="MCG2460" s="62"/>
      <c r="MCH2460" s="60"/>
      <c r="MCI2460" s="53"/>
      <c r="MCJ2460" s="53"/>
      <c r="MCK2460" s="62"/>
      <c r="MCL2460" s="61"/>
      <c r="MCM2460" s="53"/>
      <c r="MCN2460" s="53"/>
      <c r="MCO2460" s="62"/>
      <c r="MCP2460" s="60"/>
      <c r="MCQ2460" s="53"/>
      <c r="MCR2460" s="53"/>
      <c r="MCS2460" s="62"/>
      <c r="MCT2460" s="61"/>
      <c r="MCU2460" s="53"/>
      <c r="MCV2460" s="53"/>
      <c r="MCW2460" s="62"/>
      <c r="MCX2460" s="60"/>
      <c r="MCY2460" s="53"/>
      <c r="MCZ2460" s="53"/>
      <c r="MDA2460" s="62"/>
      <c r="MDB2460" s="61"/>
      <c r="MDC2460" s="53"/>
      <c r="MDD2460" s="53"/>
      <c r="MDE2460" s="62"/>
      <c r="MDF2460" s="60"/>
      <c r="MDG2460" s="53"/>
      <c r="MDH2460" s="53"/>
      <c r="MDI2460" s="62"/>
      <c r="MDJ2460" s="61"/>
      <c r="MDK2460" s="53"/>
      <c r="MDL2460" s="53"/>
      <c r="MDM2460" s="62"/>
      <c r="MDN2460" s="60"/>
      <c r="MDO2460" s="53"/>
      <c r="MDP2460" s="53"/>
      <c r="MDQ2460" s="62"/>
      <c r="MDR2460" s="61"/>
      <c r="MDS2460" s="53"/>
      <c r="MDT2460" s="53"/>
      <c r="MDU2460" s="62"/>
      <c r="MDV2460" s="60"/>
      <c r="MDW2460" s="53"/>
      <c r="MDX2460" s="53"/>
      <c r="MDY2460" s="62"/>
      <c r="MDZ2460" s="61"/>
      <c r="MEA2460" s="53"/>
      <c r="MEB2460" s="53"/>
      <c r="MEC2460" s="62"/>
      <c r="MED2460" s="60"/>
      <c r="MEE2460" s="53"/>
      <c r="MEF2460" s="53"/>
      <c r="MEG2460" s="62"/>
      <c r="MEH2460" s="61"/>
      <c r="MEI2460" s="53"/>
      <c r="MEJ2460" s="53"/>
      <c r="MEK2460" s="62"/>
      <c r="MEL2460" s="60"/>
      <c r="MEM2460" s="53"/>
      <c r="MEN2460" s="53"/>
      <c r="MEO2460" s="62"/>
      <c r="MEP2460" s="61"/>
      <c r="MEQ2460" s="53"/>
      <c r="MER2460" s="53"/>
      <c r="MES2460" s="62"/>
      <c r="MET2460" s="60"/>
      <c r="MEU2460" s="53"/>
      <c r="MEV2460" s="53"/>
      <c r="MEW2460" s="62"/>
      <c r="MEX2460" s="61"/>
      <c r="MEY2460" s="53"/>
      <c r="MEZ2460" s="53"/>
      <c r="MFA2460" s="62"/>
      <c r="MFB2460" s="60"/>
      <c r="MFC2460" s="53"/>
      <c r="MFD2460" s="53"/>
      <c r="MFE2460" s="62"/>
      <c r="MFF2460" s="61"/>
      <c r="MFG2460" s="53"/>
      <c r="MFH2460" s="53"/>
      <c r="MFI2460" s="62"/>
      <c r="MFJ2460" s="60"/>
      <c r="MFK2460" s="53"/>
      <c r="MFL2460" s="53"/>
      <c r="MFM2460" s="62"/>
      <c r="MFN2460" s="61"/>
      <c r="MFO2460" s="53"/>
      <c r="MFP2460" s="53"/>
      <c r="MFQ2460" s="62"/>
      <c r="MFR2460" s="60"/>
      <c r="MFS2460" s="53"/>
      <c r="MFT2460" s="53"/>
      <c r="MFU2460" s="62"/>
      <c r="MFV2460" s="61"/>
      <c r="MFW2460" s="53"/>
      <c r="MFX2460" s="53"/>
      <c r="MFY2460" s="62"/>
      <c r="MFZ2460" s="60"/>
      <c r="MGA2460" s="53"/>
      <c r="MGB2460" s="53"/>
      <c r="MGC2460" s="62"/>
      <c r="MGD2460" s="61"/>
      <c r="MGE2460" s="53"/>
      <c r="MGF2460" s="53"/>
      <c r="MGG2460" s="62"/>
      <c r="MGH2460" s="60"/>
      <c r="MGI2460" s="53"/>
      <c r="MGJ2460" s="53"/>
      <c r="MGK2460" s="62"/>
      <c r="MGL2460" s="61"/>
      <c r="MGM2460" s="53"/>
      <c r="MGN2460" s="53"/>
      <c r="MGO2460" s="62"/>
      <c r="MGP2460" s="60"/>
      <c r="MGQ2460" s="53"/>
      <c r="MGR2460" s="53"/>
      <c r="MGS2460" s="62"/>
      <c r="MGT2460" s="61"/>
      <c r="MGU2460" s="53"/>
      <c r="MGV2460" s="53"/>
      <c r="MGW2460" s="62"/>
      <c r="MGX2460" s="60"/>
      <c r="MGY2460" s="53"/>
      <c r="MGZ2460" s="53"/>
      <c r="MHA2460" s="62"/>
      <c r="MHB2460" s="61"/>
      <c r="MHC2460" s="53"/>
      <c r="MHD2460" s="53"/>
      <c r="MHE2460" s="62"/>
      <c r="MHF2460" s="60"/>
      <c r="MHG2460" s="53"/>
      <c r="MHH2460" s="53"/>
      <c r="MHI2460" s="62"/>
      <c r="MHJ2460" s="61"/>
      <c r="MHK2460" s="53"/>
      <c r="MHL2460" s="53"/>
      <c r="MHM2460" s="62"/>
      <c r="MHN2460" s="60"/>
      <c r="MHO2460" s="53"/>
      <c r="MHP2460" s="53"/>
      <c r="MHQ2460" s="62"/>
      <c r="MHR2460" s="61"/>
      <c r="MHS2460" s="53"/>
      <c r="MHT2460" s="53"/>
      <c r="MHU2460" s="62"/>
      <c r="MHV2460" s="60"/>
      <c r="MHW2460" s="53"/>
      <c r="MHX2460" s="53"/>
      <c r="MHY2460" s="62"/>
      <c r="MHZ2460" s="61"/>
      <c r="MIA2460" s="53"/>
      <c r="MIB2460" s="53"/>
      <c r="MIC2460" s="62"/>
      <c r="MID2460" s="60"/>
      <c r="MIE2460" s="53"/>
      <c r="MIF2460" s="53"/>
      <c r="MIG2460" s="62"/>
      <c r="MIH2460" s="61"/>
      <c r="MII2460" s="53"/>
      <c r="MIJ2460" s="53"/>
      <c r="MIK2460" s="62"/>
      <c r="MIL2460" s="60"/>
      <c r="MIM2460" s="53"/>
      <c r="MIN2460" s="53"/>
      <c r="MIO2460" s="62"/>
      <c r="MIP2460" s="61"/>
      <c r="MIQ2460" s="53"/>
      <c r="MIR2460" s="53"/>
      <c r="MIS2460" s="62"/>
      <c r="MIT2460" s="60"/>
      <c r="MIU2460" s="53"/>
      <c r="MIV2460" s="53"/>
      <c r="MIW2460" s="62"/>
      <c r="MIX2460" s="61"/>
      <c r="MIY2460" s="53"/>
      <c r="MIZ2460" s="53"/>
      <c r="MJA2460" s="62"/>
      <c r="MJB2460" s="60"/>
      <c r="MJC2460" s="53"/>
      <c r="MJD2460" s="53"/>
      <c r="MJE2460" s="62"/>
      <c r="MJF2460" s="61"/>
      <c r="MJG2460" s="53"/>
      <c r="MJH2460" s="53"/>
      <c r="MJI2460" s="62"/>
      <c r="MJJ2460" s="60"/>
      <c r="MJK2460" s="53"/>
      <c r="MJL2460" s="53"/>
      <c r="MJM2460" s="62"/>
      <c r="MJN2460" s="61"/>
      <c r="MJO2460" s="53"/>
      <c r="MJP2460" s="53"/>
      <c r="MJQ2460" s="62"/>
      <c r="MJR2460" s="60"/>
      <c r="MJS2460" s="53"/>
      <c r="MJT2460" s="53"/>
      <c r="MJU2460" s="62"/>
      <c r="MJV2460" s="61"/>
      <c r="MJW2460" s="53"/>
      <c r="MJX2460" s="53"/>
      <c r="MJY2460" s="62"/>
      <c r="MJZ2460" s="60"/>
      <c r="MKA2460" s="53"/>
      <c r="MKB2460" s="53"/>
      <c r="MKC2460" s="62"/>
      <c r="MKD2460" s="61"/>
      <c r="MKE2460" s="53"/>
      <c r="MKF2460" s="53"/>
      <c r="MKG2460" s="62"/>
      <c r="MKH2460" s="60"/>
      <c r="MKI2460" s="53"/>
      <c r="MKJ2460" s="53"/>
      <c r="MKK2460" s="62"/>
      <c r="MKL2460" s="61"/>
      <c r="MKM2460" s="53"/>
      <c r="MKN2460" s="53"/>
      <c r="MKO2460" s="62"/>
      <c r="MKP2460" s="60"/>
      <c r="MKQ2460" s="53"/>
      <c r="MKR2460" s="53"/>
      <c r="MKS2460" s="62"/>
      <c r="MKT2460" s="61"/>
      <c r="MKU2460" s="53"/>
      <c r="MKV2460" s="53"/>
      <c r="MKW2460" s="62"/>
      <c r="MKX2460" s="60"/>
      <c r="MKY2460" s="53"/>
      <c r="MKZ2460" s="53"/>
      <c r="MLA2460" s="62"/>
      <c r="MLB2460" s="61"/>
      <c r="MLC2460" s="53"/>
      <c r="MLD2460" s="53"/>
      <c r="MLE2460" s="62"/>
      <c r="MLF2460" s="60"/>
      <c r="MLG2460" s="53"/>
      <c r="MLH2460" s="53"/>
      <c r="MLI2460" s="62"/>
      <c r="MLJ2460" s="61"/>
      <c r="MLK2460" s="53"/>
      <c r="MLL2460" s="53"/>
      <c r="MLM2460" s="62"/>
      <c r="MLN2460" s="60"/>
      <c r="MLO2460" s="53"/>
      <c r="MLP2460" s="53"/>
      <c r="MLQ2460" s="62"/>
      <c r="MLR2460" s="61"/>
      <c r="MLS2460" s="53"/>
      <c r="MLT2460" s="53"/>
      <c r="MLU2460" s="62"/>
      <c r="MLV2460" s="60"/>
      <c r="MLW2460" s="53"/>
      <c r="MLX2460" s="53"/>
      <c r="MLY2460" s="62"/>
      <c r="MLZ2460" s="61"/>
      <c r="MMA2460" s="53"/>
      <c r="MMB2460" s="53"/>
      <c r="MMC2460" s="62"/>
      <c r="MMD2460" s="60"/>
      <c r="MME2460" s="53"/>
      <c r="MMF2460" s="53"/>
      <c r="MMG2460" s="62"/>
      <c r="MMH2460" s="61"/>
      <c r="MMI2460" s="53"/>
      <c r="MMJ2460" s="53"/>
      <c r="MMK2460" s="62"/>
      <c r="MML2460" s="60"/>
      <c r="MMM2460" s="53"/>
      <c r="MMN2460" s="53"/>
      <c r="MMO2460" s="62"/>
      <c r="MMP2460" s="61"/>
      <c r="MMQ2460" s="53"/>
      <c r="MMR2460" s="53"/>
      <c r="MMS2460" s="62"/>
      <c r="MMT2460" s="60"/>
      <c r="MMU2460" s="53"/>
      <c r="MMV2460" s="53"/>
      <c r="MMW2460" s="62"/>
      <c r="MMX2460" s="61"/>
      <c r="MMY2460" s="53"/>
      <c r="MMZ2460" s="53"/>
      <c r="MNA2460" s="62"/>
      <c r="MNB2460" s="60"/>
      <c r="MNC2460" s="53"/>
      <c r="MND2460" s="53"/>
      <c r="MNE2460" s="62"/>
      <c r="MNF2460" s="61"/>
      <c r="MNG2460" s="53"/>
      <c r="MNH2460" s="53"/>
      <c r="MNI2460" s="62"/>
      <c r="MNJ2460" s="60"/>
      <c r="MNK2460" s="53"/>
      <c r="MNL2460" s="53"/>
      <c r="MNM2460" s="62"/>
      <c r="MNN2460" s="61"/>
      <c r="MNO2460" s="53"/>
      <c r="MNP2460" s="53"/>
      <c r="MNQ2460" s="62"/>
      <c r="MNR2460" s="60"/>
      <c r="MNS2460" s="53"/>
      <c r="MNT2460" s="53"/>
      <c r="MNU2460" s="62"/>
      <c r="MNV2460" s="61"/>
      <c r="MNW2460" s="53"/>
      <c r="MNX2460" s="53"/>
      <c r="MNY2460" s="62"/>
      <c r="MNZ2460" s="60"/>
      <c r="MOA2460" s="53"/>
      <c r="MOB2460" s="53"/>
      <c r="MOC2460" s="62"/>
      <c r="MOD2460" s="61"/>
      <c r="MOE2460" s="53"/>
      <c r="MOF2460" s="53"/>
      <c r="MOG2460" s="62"/>
      <c r="MOH2460" s="60"/>
      <c r="MOI2460" s="53"/>
      <c r="MOJ2460" s="53"/>
      <c r="MOK2460" s="62"/>
      <c r="MOL2460" s="61"/>
      <c r="MOM2460" s="53"/>
      <c r="MON2460" s="53"/>
      <c r="MOO2460" s="62"/>
      <c r="MOP2460" s="60"/>
      <c r="MOQ2460" s="53"/>
      <c r="MOR2460" s="53"/>
      <c r="MOS2460" s="62"/>
      <c r="MOT2460" s="61"/>
      <c r="MOU2460" s="53"/>
      <c r="MOV2460" s="53"/>
      <c r="MOW2460" s="62"/>
      <c r="MOX2460" s="60"/>
      <c r="MOY2460" s="53"/>
      <c r="MOZ2460" s="53"/>
      <c r="MPA2460" s="62"/>
      <c r="MPB2460" s="61"/>
      <c r="MPC2460" s="53"/>
      <c r="MPD2460" s="53"/>
      <c r="MPE2460" s="62"/>
      <c r="MPF2460" s="60"/>
      <c r="MPG2460" s="53"/>
      <c r="MPH2460" s="53"/>
      <c r="MPI2460" s="62"/>
      <c r="MPJ2460" s="61"/>
      <c r="MPK2460" s="53"/>
      <c r="MPL2460" s="53"/>
      <c r="MPM2460" s="62"/>
      <c r="MPN2460" s="60"/>
      <c r="MPO2460" s="53"/>
      <c r="MPP2460" s="53"/>
      <c r="MPQ2460" s="62"/>
      <c r="MPR2460" s="61"/>
      <c r="MPS2460" s="53"/>
      <c r="MPT2460" s="53"/>
      <c r="MPU2460" s="62"/>
      <c r="MPV2460" s="60"/>
      <c r="MPW2460" s="53"/>
      <c r="MPX2460" s="53"/>
      <c r="MPY2460" s="62"/>
      <c r="MPZ2460" s="61"/>
      <c r="MQA2460" s="53"/>
      <c r="MQB2460" s="53"/>
      <c r="MQC2460" s="62"/>
      <c r="MQD2460" s="60"/>
      <c r="MQE2460" s="53"/>
      <c r="MQF2460" s="53"/>
      <c r="MQG2460" s="62"/>
      <c r="MQH2460" s="61"/>
      <c r="MQI2460" s="53"/>
      <c r="MQJ2460" s="53"/>
      <c r="MQK2460" s="62"/>
      <c r="MQL2460" s="60"/>
      <c r="MQM2460" s="53"/>
      <c r="MQN2460" s="53"/>
      <c r="MQO2460" s="62"/>
      <c r="MQP2460" s="61"/>
      <c r="MQQ2460" s="53"/>
      <c r="MQR2460" s="53"/>
      <c r="MQS2460" s="62"/>
      <c r="MQT2460" s="60"/>
      <c r="MQU2460" s="53"/>
      <c r="MQV2460" s="53"/>
      <c r="MQW2460" s="62"/>
      <c r="MQX2460" s="61"/>
      <c r="MQY2460" s="53"/>
      <c r="MQZ2460" s="53"/>
      <c r="MRA2460" s="62"/>
      <c r="MRB2460" s="60"/>
      <c r="MRC2460" s="53"/>
      <c r="MRD2460" s="53"/>
      <c r="MRE2460" s="62"/>
      <c r="MRF2460" s="61"/>
      <c r="MRG2460" s="53"/>
      <c r="MRH2460" s="53"/>
      <c r="MRI2460" s="62"/>
      <c r="MRJ2460" s="60"/>
      <c r="MRK2460" s="53"/>
      <c r="MRL2460" s="53"/>
      <c r="MRM2460" s="62"/>
      <c r="MRN2460" s="61"/>
      <c r="MRO2460" s="53"/>
      <c r="MRP2460" s="53"/>
      <c r="MRQ2460" s="62"/>
      <c r="MRR2460" s="60"/>
      <c r="MRS2460" s="53"/>
      <c r="MRT2460" s="53"/>
      <c r="MRU2460" s="62"/>
      <c r="MRV2460" s="61"/>
      <c r="MRW2460" s="53"/>
      <c r="MRX2460" s="53"/>
      <c r="MRY2460" s="62"/>
      <c r="MRZ2460" s="60"/>
      <c r="MSA2460" s="53"/>
      <c r="MSB2460" s="53"/>
      <c r="MSC2460" s="62"/>
      <c r="MSD2460" s="61"/>
      <c r="MSE2460" s="53"/>
      <c r="MSF2460" s="53"/>
      <c r="MSG2460" s="62"/>
      <c r="MSH2460" s="60"/>
      <c r="MSI2460" s="53"/>
      <c r="MSJ2460" s="53"/>
      <c r="MSK2460" s="62"/>
      <c r="MSL2460" s="61"/>
      <c r="MSM2460" s="53"/>
      <c r="MSN2460" s="53"/>
      <c r="MSO2460" s="62"/>
      <c r="MSP2460" s="60"/>
      <c r="MSQ2460" s="53"/>
      <c r="MSR2460" s="53"/>
      <c r="MSS2460" s="62"/>
      <c r="MST2460" s="61"/>
      <c r="MSU2460" s="53"/>
      <c r="MSV2460" s="53"/>
      <c r="MSW2460" s="62"/>
      <c r="MSX2460" s="60"/>
      <c r="MSY2460" s="53"/>
      <c r="MSZ2460" s="53"/>
      <c r="MTA2460" s="62"/>
      <c r="MTB2460" s="61"/>
      <c r="MTC2460" s="53"/>
      <c r="MTD2460" s="53"/>
      <c r="MTE2460" s="62"/>
      <c r="MTF2460" s="60"/>
      <c r="MTG2460" s="53"/>
      <c r="MTH2460" s="53"/>
      <c r="MTI2460" s="62"/>
      <c r="MTJ2460" s="61"/>
      <c r="MTK2460" s="53"/>
      <c r="MTL2460" s="53"/>
      <c r="MTM2460" s="62"/>
      <c r="MTN2460" s="60"/>
      <c r="MTO2460" s="53"/>
      <c r="MTP2460" s="53"/>
      <c r="MTQ2460" s="62"/>
      <c r="MTR2460" s="61"/>
      <c r="MTS2460" s="53"/>
      <c r="MTT2460" s="53"/>
      <c r="MTU2460" s="62"/>
      <c r="MTV2460" s="60"/>
      <c r="MTW2460" s="53"/>
      <c r="MTX2460" s="53"/>
      <c r="MTY2460" s="62"/>
      <c r="MTZ2460" s="61"/>
      <c r="MUA2460" s="53"/>
      <c r="MUB2460" s="53"/>
      <c r="MUC2460" s="62"/>
      <c r="MUD2460" s="60"/>
      <c r="MUE2460" s="53"/>
      <c r="MUF2460" s="53"/>
      <c r="MUG2460" s="62"/>
      <c r="MUH2460" s="61"/>
      <c r="MUI2460" s="53"/>
      <c r="MUJ2460" s="53"/>
      <c r="MUK2460" s="62"/>
      <c r="MUL2460" s="60"/>
      <c r="MUM2460" s="53"/>
      <c r="MUN2460" s="53"/>
      <c r="MUO2460" s="62"/>
      <c r="MUP2460" s="61"/>
      <c r="MUQ2460" s="53"/>
      <c r="MUR2460" s="53"/>
      <c r="MUS2460" s="62"/>
      <c r="MUT2460" s="60"/>
      <c r="MUU2460" s="53"/>
      <c r="MUV2460" s="53"/>
      <c r="MUW2460" s="62"/>
      <c r="MUX2460" s="61"/>
      <c r="MUY2460" s="53"/>
      <c r="MUZ2460" s="53"/>
      <c r="MVA2460" s="62"/>
      <c r="MVB2460" s="60"/>
      <c r="MVC2460" s="53"/>
      <c r="MVD2460" s="53"/>
      <c r="MVE2460" s="62"/>
      <c r="MVF2460" s="61"/>
      <c r="MVG2460" s="53"/>
      <c r="MVH2460" s="53"/>
      <c r="MVI2460" s="62"/>
      <c r="MVJ2460" s="60"/>
      <c r="MVK2460" s="53"/>
      <c r="MVL2460" s="53"/>
      <c r="MVM2460" s="62"/>
      <c r="MVN2460" s="61"/>
      <c r="MVO2460" s="53"/>
      <c r="MVP2460" s="53"/>
      <c r="MVQ2460" s="62"/>
      <c r="MVR2460" s="60"/>
      <c r="MVS2460" s="53"/>
      <c r="MVT2460" s="53"/>
      <c r="MVU2460" s="62"/>
      <c r="MVV2460" s="61"/>
      <c r="MVW2460" s="53"/>
      <c r="MVX2460" s="53"/>
      <c r="MVY2460" s="62"/>
      <c r="MVZ2460" s="60"/>
      <c r="MWA2460" s="53"/>
      <c r="MWB2460" s="53"/>
      <c r="MWC2460" s="62"/>
      <c r="MWD2460" s="61"/>
      <c r="MWE2460" s="53"/>
      <c r="MWF2460" s="53"/>
      <c r="MWG2460" s="62"/>
      <c r="MWH2460" s="60"/>
      <c r="MWI2460" s="53"/>
      <c r="MWJ2460" s="53"/>
      <c r="MWK2460" s="62"/>
      <c r="MWL2460" s="61"/>
      <c r="MWM2460" s="53"/>
      <c r="MWN2460" s="53"/>
      <c r="MWO2460" s="62"/>
      <c r="MWP2460" s="60"/>
      <c r="MWQ2460" s="53"/>
      <c r="MWR2460" s="53"/>
      <c r="MWS2460" s="62"/>
      <c r="MWT2460" s="61"/>
      <c r="MWU2460" s="53"/>
      <c r="MWV2460" s="53"/>
      <c r="MWW2460" s="62"/>
      <c r="MWX2460" s="60"/>
      <c r="MWY2460" s="53"/>
      <c r="MWZ2460" s="53"/>
      <c r="MXA2460" s="62"/>
      <c r="MXB2460" s="61"/>
      <c r="MXC2460" s="53"/>
      <c r="MXD2460" s="53"/>
      <c r="MXE2460" s="62"/>
      <c r="MXF2460" s="60"/>
      <c r="MXG2460" s="53"/>
      <c r="MXH2460" s="53"/>
      <c r="MXI2460" s="62"/>
      <c r="MXJ2460" s="61"/>
      <c r="MXK2460" s="53"/>
      <c r="MXL2460" s="53"/>
      <c r="MXM2460" s="62"/>
      <c r="MXN2460" s="60"/>
      <c r="MXO2460" s="53"/>
      <c r="MXP2460" s="53"/>
      <c r="MXQ2460" s="62"/>
      <c r="MXR2460" s="61"/>
      <c r="MXS2460" s="53"/>
      <c r="MXT2460" s="53"/>
      <c r="MXU2460" s="62"/>
      <c r="MXV2460" s="60"/>
      <c r="MXW2460" s="53"/>
      <c r="MXX2460" s="53"/>
      <c r="MXY2460" s="62"/>
      <c r="MXZ2460" s="61"/>
      <c r="MYA2460" s="53"/>
      <c r="MYB2460" s="53"/>
      <c r="MYC2460" s="62"/>
      <c r="MYD2460" s="60"/>
      <c r="MYE2460" s="53"/>
      <c r="MYF2460" s="53"/>
      <c r="MYG2460" s="62"/>
      <c r="MYH2460" s="61"/>
      <c r="MYI2460" s="53"/>
      <c r="MYJ2460" s="53"/>
      <c r="MYK2460" s="62"/>
      <c r="MYL2460" s="60"/>
      <c r="MYM2460" s="53"/>
      <c r="MYN2460" s="53"/>
      <c r="MYO2460" s="62"/>
      <c r="MYP2460" s="61"/>
      <c r="MYQ2460" s="53"/>
      <c r="MYR2460" s="53"/>
      <c r="MYS2460" s="62"/>
      <c r="MYT2460" s="60"/>
      <c r="MYU2460" s="53"/>
      <c r="MYV2460" s="53"/>
      <c r="MYW2460" s="62"/>
      <c r="MYX2460" s="61"/>
      <c r="MYY2460" s="53"/>
      <c r="MYZ2460" s="53"/>
      <c r="MZA2460" s="62"/>
      <c r="MZB2460" s="60"/>
      <c r="MZC2460" s="53"/>
      <c r="MZD2460" s="53"/>
      <c r="MZE2460" s="62"/>
      <c r="MZF2460" s="61"/>
      <c r="MZG2460" s="53"/>
      <c r="MZH2460" s="53"/>
      <c r="MZI2460" s="62"/>
      <c r="MZJ2460" s="60"/>
      <c r="MZK2460" s="53"/>
      <c r="MZL2460" s="53"/>
      <c r="MZM2460" s="62"/>
      <c r="MZN2460" s="61"/>
      <c r="MZO2460" s="53"/>
      <c r="MZP2460" s="53"/>
      <c r="MZQ2460" s="62"/>
      <c r="MZR2460" s="60"/>
      <c r="MZS2460" s="53"/>
      <c r="MZT2460" s="53"/>
      <c r="MZU2460" s="62"/>
      <c r="MZV2460" s="61"/>
      <c r="MZW2460" s="53"/>
      <c r="MZX2460" s="53"/>
      <c r="MZY2460" s="62"/>
      <c r="MZZ2460" s="60"/>
      <c r="NAA2460" s="53"/>
      <c r="NAB2460" s="53"/>
      <c r="NAC2460" s="62"/>
      <c r="NAD2460" s="61"/>
      <c r="NAE2460" s="53"/>
      <c r="NAF2460" s="53"/>
      <c r="NAG2460" s="62"/>
      <c r="NAH2460" s="60"/>
      <c r="NAI2460" s="53"/>
      <c r="NAJ2460" s="53"/>
      <c r="NAK2460" s="62"/>
      <c r="NAL2460" s="61"/>
      <c r="NAM2460" s="53"/>
      <c r="NAN2460" s="53"/>
      <c r="NAO2460" s="62"/>
      <c r="NAP2460" s="60"/>
      <c r="NAQ2460" s="53"/>
      <c r="NAR2460" s="53"/>
      <c r="NAS2460" s="62"/>
      <c r="NAT2460" s="61"/>
      <c r="NAU2460" s="53"/>
      <c r="NAV2460" s="53"/>
      <c r="NAW2460" s="62"/>
      <c r="NAX2460" s="60"/>
      <c r="NAY2460" s="53"/>
      <c r="NAZ2460" s="53"/>
      <c r="NBA2460" s="62"/>
      <c r="NBB2460" s="61"/>
      <c r="NBC2460" s="53"/>
      <c r="NBD2460" s="53"/>
      <c r="NBE2460" s="62"/>
      <c r="NBF2460" s="60"/>
      <c r="NBG2460" s="53"/>
      <c r="NBH2460" s="53"/>
      <c r="NBI2460" s="62"/>
      <c r="NBJ2460" s="61"/>
      <c r="NBK2460" s="53"/>
      <c r="NBL2460" s="53"/>
      <c r="NBM2460" s="62"/>
      <c r="NBN2460" s="60"/>
      <c r="NBO2460" s="53"/>
      <c r="NBP2460" s="53"/>
      <c r="NBQ2460" s="62"/>
      <c r="NBR2460" s="61"/>
      <c r="NBS2460" s="53"/>
      <c r="NBT2460" s="53"/>
      <c r="NBU2460" s="62"/>
      <c r="NBV2460" s="60"/>
      <c r="NBW2460" s="53"/>
      <c r="NBX2460" s="53"/>
      <c r="NBY2460" s="62"/>
      <c r="NBZ2460" s="61"/>
      <c r="NCA2460" s="53"/>
      <c r="NCB2460" s="53"/>
      <c r="NCC2460" s="62"/>
      <c r="NCD2460" s="60"/>
      <c r="NCE2460" s="53"/>
      <c r="NCF2460" s="53"/>
      <c r="NCG2460" s="62"/>
      <c r="NCH2460" s="61"/>
      <c r="NCI2460" s="53"/>
      <c r="NCJ2460" s="53"/>
      <c r="NCK2460" s="62"/>
      <c r="NCL2460" s="60"/>
      <c r="NCM2460" s="53"/>
      <c r="NCN2460" s="53"/>
      <c r="NCO2460" s="62"/>
      <c r="NCP2460" s="61"/>
      <c r="NCQ2460" s="53"/>
      <c r="NCR2460" s="53"/>
      <c r="NCS2460" s="62"/>
      <c r="NCT2460" s="60"/>
      <c r="NCU2460" s="53"/>
      <c r="NCV2460" s="53"/>
      <c r="NCW2460" s="62"/>
      <c r="NCX2460" s="61"/>
      <c r="NCY2460" s="53"/>
      <c r="NCZ2460" s="53"/>
      <c r="NDA2460" s="62"/>
      <c r="NDB2460" s="60"/>
      <c r="NDC2460" s="53"/>
      <c r="NDD2460" s="53"/>
      <c r="NDE2460" s="62"/>
      <c r="NDF2460" s="61"/>
      <c r="NDG2460" s="53"/>
      <c r="NDH2460" s="53"/>
      <c r="NDI2460" s="62"/>
      <c r="NDJ2460" s="60"/>
      <c r="NDK2460" s="53"/>
      <c r="NDL2460" s="53"/>
      <c r="NDM2460" s="62"/>
      <c r="NDN2460" s="61"/>
      <c r="NDO2460" s="53"/>
      <c r="NDP2460" s="53"/>
      <c r="NDQ2460" s="62"/>
      <c r="NDR2460" s="60"/>
      <c r="NDS2460" s="53"/>
      <c r="NDT2460" s="53"/>
      <c r="NDU2460" s="62"/>
      <c r="NDV2460" s="61"/>
      <c r="NDW2460" s="53"/>
      <c r="NDX2460" s="53"/>
      <c r="NDY2460" s="62"/>
      <c r="NDZ2460" s="60"/>
      <c r="NEA2460" s="53"/>
      <c r="NEB2460" s="53"/>
      <c r="NEC2460" s="62"/>
      <c r="NED2460" s="61"/>
      <c r="NEE2460" s="53"/>
      <c r="NEF2460" s="53"/>
      <c r="NEG2460" s="62"/>
      <c r="NEH2460" s="60"/>
      <c r="NEI2460" s="53"/>
      <c r="NEJ2460" s="53"/>
      <c r="NEK2460" s="62"/>
      <c r="NEL2460" s="61"/>
      <c r="NEM2460" s="53"/>
      <c r="NEN2460" s="53"/>
      <c r="NEO2460" s="62"/>
      <c r="NEP2460" s="60"/>
      <c r="NEQ2460" s="53"/>
      <c r="NER2460" s="53"/>
      <c r="NES2460" s="62"/>
      <c r="NET2460" s="61"/>
      <c r="NEU2460" s="53"/>
      <c r="NEV2460" s="53"/>
      <c r="NEW2460" s="62"/>
      <c r="NEX2460" s="60"/>
      <c r="NEY2460" s="53"/>
      <c r="NEZ2460" s="53"/>
      <c r="NFA2460" s="62"/>
      <c r="NFB2460" s="61"/>
      <c r="NFC2460" s="53"/>
      <c r="NFD2460" s="53"/>
      <c r="NFE2460" s="62"/>
      <c r="NFF2460" s="60"/>
      <c r="NFG2460" s="53"/>
      <c r="NFH2460" s="53"/>
      <c r="NFI2460" s="62"/>
      <c r="NFJ2460" s="61"/>
      <c r="NFK2460" s="53"/>
      <c r="NFL2460" s="53"/>
      <c r="NFM2460" s="62"/>
      <c r="NFN2460" s="60"/>
      <c r="NFO2460" s="53"/>
      <c r="NFP2460" s="53"/>
      <c r="NFQ2460" s="62"/>
      <c r="NFR2460" s="61"/>
      <c r="NFS2460" s="53"/>
      <c r="NFT2460" s="53"/>
      <c r="NFU2460" s="62"/>
      <c r="NFV2460" s="60"/>
      <c r="NFW2460" s="53"/>
      <c r="NFX2460" s="53"/>
      <c r="NFY2460" s="62"/>
      <c r="NFZ2460" s="61"/>
      <c r="NGA2460" s="53"/>
      <c r="NGB2460" s="53"/>
      <c r="NGC2460" s="62"/>
      <c r="NGD2460" s="60"/>
      <c r="NGE2460" s="53"/>
      <c r="NGF2460" s="53"/>
      <c r="NGG2460" s="62"/>
      <c r="NGH2460" s="61"/>
      <c r="NGI2460" s="53"/>
      <c r="NGJ2460" s="53"/>
      <c r="NGK2460" s="62"/>
      <c r="NGL2460" s="60"/>
      <c r="NGM2460" s="53"/>
      <c r="NGN2460" s="53"/>
      <c r="NGO2460" s="62"/>
      <c r="NGP2460" s="61"/>
      <c r="NGQ2460" s="53"/>
      <c r="NGR2460" s="53"/>
      <c r="NGS2460" s="62"/>
      <c r="NGT2460" s="60"/>
      <c r="NGU2460" s="53"/>
      <c r="NGV2460" s="53"/>
      <c r="NGW2460" s="62"/>
      <c r="NGX2460" s="61"/>
      <c r="NGY2460" s="53"/>
      <c r="NGZ2460" s="53"/>
      <c r="NHA2460" s="62"/>
      <c r="NHB2460" s="60"/>
      <c r="NHC2460" s="53"/>
      <c r="NHD2460" s="53"/>
      <c r="NHE2460" s="62"/>
      <c r="NHF2460" s="61"/>
      <c r="NHG2460" s="53"/>
      <c r="NHH2460" s="53"/>
      <c r="NHI2460" s="62"/>
      <c r="NHJ2460" s="60"/>
      <c r="NHK2460" s="53"/>
      <c r="NHL2460" s="53"/>
      <c r="NHM2460" s="62"/>
      <c r="NHN2460" s="61"/>
      <c r="NHO2460" s="53"/>
      <c r="NHP2460" s="53"/>
      <c r="NHQ2460" s="62"/>
      <c r="NHR2460" s="60"/>
      <c r="NHS2460" s="53"/>
      <c r="NHT2460" s="53"/>
      <c r="NHU2460" s="62"/>
      <c r="NHV2460" s="61"/>
      <c r="NHW2460" s="53"/>
      <c r="NHX2460" s="53"/>
      <c r="NHY2460" s="62"/>
      <c r="NHZ2460" s="60"/>
      <c r="NIA2460" s="53"/>
      <c r="NIB2460" s="53"/>
      <c r="NIC2460" s="62"/>
      <c r="NID2460" s="61"/>
      <c r="NIE2460" s="53"/>
      <c r="NIF2460" s="53"/>
      <c r="NIG2460" s="62"/>
      <c r="NIH2460" s="60"/>
      <c r="NII2460" s="53"/>
      <c r="NIJ2460" s="53"/>
      <c r="NIK2460" s="62"/>
      <c r="NIL2460" s="61"/>
      <c r="NIM2460" s="53"/>
      <c r="NIN2460" s="53"/>
      <c r="NIO2460" s="62"/>
      <c r="NIP2460" s="60"/>
      <c r="NIQ2460" s="53"/>
      <c r="NIR2460" s="53"/>
      <c r="NIS2460" s="62"/>
      <c r="NIT2460" s="61"/>
      <c r="NIU2460" s="53"/>
      <c r="NIV2460" s="53"/>
      <c r="NIW2460" s="62"/>
      <c r="NIX2460" s="60"/>
      <c r="NIY2460" s="53"/>
      <c r="NIZ2460" s="53"/>
      <c r="NJA2460" s="62"/>
      <c r="NJB2460" s="61"/>
      <c r="NJC2460" s="53"/>
      <c r="NJD2460" s="53"/>
      <c r="NJE2460" s="62"/>
      <c r="NJF2460" s="60"/>
      <c r="NJG2460" s="53"/>
      <c r="NJH2460" s="53"/>
      <c r="NJI2460" s="62"/>
      <c r="NJJ2460" s="61"/>
      <c r="NJK2460" s="53"/>
      <c r="NJL2460" s="53"/>
      <c r="NJM2460" s="62"/>
      <c r="NJN2460" s="60"/>
      <c r="NJO2460" s="53"/>
      <c r="NJP2460" s="53"/>
      <c r="NJQ2460" s="62"/>
      <c r="NJR2460" s="61"/>
      <c r="NJS2460" s="53"/>
      <c r="NJT2460" s="53"/>
      <c r="NJU2460" s="62"/>
      <c r="NJV2460" s="60"/>
      <c r="NJW2460" s="53"/>
      <c r="NJX2460" s="53"/>
      <c r="NJY2460" s="62"/>
      <c r="NJZ2460" s="61"/>
      <c r="NKA2460" s="53"/>
      <c r="NKB2460" s="53"/>
      <c r="NKC2460" s="62"/>
      <c r="NKD2460" s="60"/>
      <c r="NKE2460" s="53"/>
      <c r="NKF2460" s="53"/>
      <c r="NKG2460" s="62"/>
      <c r="NKH2460" s="61"/>
      <c r="NKI2460" s="53"/>
      <c r="NKJ2460" s="53"/>
      <c r="NKK2460" s="62"/>
      <c r="NKL2460" s="60"/>
      <c r="NKM2460" s="53"/>
      <c r="NKN2460" s="53"/>
      <c r="NKO2460" s="62"/>
      <c r="NKP2460" s="61"/>
      <c r="NKQ2460" s="53"/>
      <c r="NKR2460" s="53"/>
      <c r="NKS2460" s="62"/>
      <c r="NKT2460" s="60"/>
      <c r="NKU2460" s="53"/>
      <c r="NKV2460" s="53"/>
      <c r="NKW2460" s="62"/>
      <c r="NKX2460" s="61"/>
      <c r="NKY2460" s="53"/>
      <c r="NKZ2460" s="53"/>
      <c r="NLA2460" s="62"/>
      <c r="NLB2460" s="60"/>
      <c r="NLC2460" s="53"/>
      <c r="NLD2460" s="53"/>
      <c r="NLE2460" s="62"/>
      <c r="NLF2460" s="61"/>
      <c r="NLG2460" s="53"/>
      <c r="NLH2460" s="53"/>
      <c r="NLI2460" s="62"/>
      <c r="NLJ2460" s="60"/>
      <c r="NLK2460" s="53"/>
      <c r="NLL2460" s="53"/>
      <c r="NLM2460" s="62"/>
      <c r="NLN2460" s="61"/>
      <c r="NLO2460" s="53"/>
      <c r="NLP2460" s="53"/>
      <c r="NLQ2460" s="62"/>
      <c r="NLR2460" s="60"/>
      <c r="NLS2460" s="53"/>
      <c r="NLT2460" s="53"/>
      <c r="NLU2460" s="62"/>
      <c r="NLV2460" s="61"/>
      <c r="NLW2460" s="53"/>
      <c r="NLX2460" s="53"/>
      <c r="NLY2460" s="62"/>
      <c r="NLZ2460" s="60"/>
      <c r="NMA2460" s="53"/>
      <c r="NMB2460" s="53"/>
      <c r="NMC2460" s="62"/>
      <c r="NMD2460" s="61"/>
      <c r="NME2460" s="53"/>
      <c r="NMF2460" s="53"/>
      <c r="NMG2460" s="62"/>
      <c r="NMH2460" s="60"/>
      <c r="NMI2460" s="53"/>
      <c r="NMJ2460" s="53"/>
      <c r="NMK2460" s="62"/>
      <c r="NML2460" s="61"/>
      <c r="NMM2460" s="53"/>
      <c r="NMN2460" s="53"/>
      <c r="NMO2460" s="62"/>
      <c r="NMP2460" s="60"/>
      <c r="NMQ2460" s="53"/>
      <c r="NMR2460" s="53"/>
      <c r="NMS2460" s="62"/>
      <c r="NMT2460" s="61"/>
      <c r="NMU2460" s="53"/>
      <c r="NMV2460" s="53"/>
      <c r="NMW2460" s="62"/>
      <c r="NMX2460" s="60"/>
      <c r="NMY2460" s="53"/>
      <c r="NMZ2460" s="53"/>
      <c r="NNA2460" s="62"/>
      <c r="NNB2460" s="61"/>
      <c r="NNC2460" s="53"/>
      <c r="NND2460" s="53"/>
      <c r="NNE2460" s="62"/>
      <c r="NNF2460" s="60"/>
      <c r="NNG2460" s="53"/>
      <c r="NNH2460" s="53"/>
      <c r="NNI2460" s="62"/>
      <c r="NNJ2460" s="61"/>
      <c r="NNK2460" s="53"/>
      <c r="NNL2460" s="53"/>
      <c r="NNM2460" s="62"/>
      <c r="NNN2460" s="60"/>
      <c r="NNO2460" s="53"/>
      <c r="NNP2460" s="53"/>
      <c r="NNQ2460" s="62"/>
      <c r="NNR2460" s="61"/>
      <c r="NNS2460" s="53"/>
      <c r="NNT2460" s="53"/>
      <c r="NNU2460" s="62"/>
      <c r="NNV2460" s="60"/>
      <c r="NNW2460" s="53"/>
      <c r="NNX2460" s="53"/>
      <c r="NNY2460" s="62"/>
      <c r="NNZ2460" s="61"/>
      <c r="NOA2460" s="53"/>
      <c r="NOB2460" s="53"/>
      <c r="NOC2460" s="62"/>
      <c r="NOD2460" s="60"/>
      <c r="NOE2460" s="53"/>
      <c r="NOF2460" s="53"/>
      <c r="NOG2460" s="62"/>
      <c r="NOH2460" s="61"/>
      <c r="NOI2460" s="53"/>
      <c r="NOJ2460" s="53"/>
      <c r="NOK2460" s="62"/>
      <c r="NOL2460" s="60"/>
      <c r="NOM2460" s="53"/>
      <c r="NON2460" s="53"/>
      <c r="NOO2460" s="62"/>
      <c r="NOP2460" s="61"/>
      <c r="NOQ2460" s="53"/>
      <c r="NOR2460" s="53"/>
      <c r="NOS2460" s="62"/>
      <c r="NOT2460" s="60"/>
      <c r="NOU2460" s="53"/>
      <c r="NOV2460" s="53"/>
      <c r="NOW2460" s="62"/>
      <c r="NOX2460" s="61"/>
      <c r="NOY2460" s="53"/>
      <c r="NOZ2460" s="53"/>
      <c r="NPA2460" s="62"/>
      <c r="NPB2460" s="60"/>
      <c r="NPC2460" s="53"/>
      <c r="NPD2460" s="53"/>
      <c r="NPE2460" s="62"/>
      <c r="NPF2460" s="61"/>
      <c r="NPG2460" s="53"/>
      <c r="NPH2460" s="53"/>
      <c r="NPI2460" s="62"/>
      <c r="NPJ2460" s="60"/>
      <c r="NPK2460" s="53"/>
      <c r="NPL2460" s="53"/>
      <c r="NPM2460" s="62"/>
      <c r="NPN2460" s="61"/>
      <c r="NPO2460" s="53"/>
      <c r="NPP2460" s="53"/>
      <c r="NPQ2460" s="62"/>
      <c r="NPR2460" s="60"/>
      <c r="NPS2460" s="53"/>
      <c r="NPT2460" s="53"/>
      <c r="NPU2460" s="62"/>
      <c r="NPV2460" s="61"/>
      <c r="NPW2460" s="53"/>
      <c r="NPX2460" s="53"/>
      <c r="NPY2460" s="62"/>
      <c r="NPZ2460" s="60"/>
      <c r="NQA2460" s="53"/>
      <c r="NQB2460" s="53"/>
      <c r="NQC2460" s="62"/>
      <c r="NQD2460" s="61"/>
      <c r="NQE2460" s="53"/>
      <c r="NQF2460" s="53"/>
      <c r="NQG2460" s="62"/>
      <c r="NQH2460" s="60"/>
      <c r="NQI2460" s="53"/>
      <c r="NQJ2460" s="53"/>
      <c r="NQK2460" s="62"/>
      <c r="NQL2460" s="61"/>
      <c r="NQM2460" s="53"/>
      <c r="NQN2460" s="53"/>
      <c r="NQO2460" s="62"/>
      <c r="NQP2460" s="60"/>
      <c r="NQQ2460" s="53"/>
      <c r="NQR2460" s="53"/>
      <c r="NQS2460" s="62"/>
      <c r="NQT2460" s="61"/>
      <c r="NQU2460" s="53"/>
      <c r="NQV2460" s="53"/>
      <c r="NQW2460" s="62"/>
      <c r="NQX2460" s="60"/>
      <c r="NQY2460" s="53"/>
      <c r="NQZ2460" s="53"/>
      <c r="NRA2460" s="62"/>
      <c r="NRB2460" s="61"/>
      <c r="NRC2460" s="53"/>
      <c r="NRD2460" s="53"/>
      <c r="NRE2460" s="62"/>
      <c r="NRF2460" s="60"/>
      <c r="NRG2460" s="53"/>
      <c r="NRH2460" s="53"/>
      <c r="NRI2460" s="62"/>
      <c r="NRJ2460" s="61"/>
      <c r="NRK2460" s="53"/>
      <c r="NRL2460" s="53"/>
      <c r="NRM2460" s="62"/>
      <c r="NRN2460" s="60"/>
      <c r="NRO2460" s="53"/>
      <c r="NRP2460" s="53"/>
      <c r="NRQ2460" s="62"/>
      <c r="NRR2460" s="61"/>
      <c r="NRS2460" s="53"/>
      <c r="NRT2460" s="53"/>
      <c r="NRU2460" s="62"/>
      <c r="NRV2460" s="60"/>
      <c r="NRW2460" s="53"/>
      <c r="NRX2460" s="53"/>
      <c r="NRY2460" s="62"/>
      <c r="NRZ2460" s="61"/>
      <c r="NSA2460" s="53"/>
      <c r="NSB2460" s="53"/>
      <c r="NSC2460" s="62"/>
      <c r="NSD2460" s="60"/>
      <c r="NSE2460" s="53"/>
      <c r="NSF2460" s="53"/>
      <c r="NSG2460" s="62"/>
      <c r="NSH2460" s="61"/>
      <c r="NSI2460" s="53"/>
      <c r="NSJ2460" s="53"/>
      <c r="NSK2460" s="62"/>
      <c r="NSL2460" s="60"/>
      <c r="NSM2460" s="53"/>
      <c r="NSN2460" s="53"/>
      <c r="NSO2460" s="62"/>
      <c r="NSP2460" s="61"/>
      <c r="NSQ2460" s="53"/>
      <c r="NSR2460" s="53"/>
      <c r="NSS2460" s="62"/>
      <c r="NST2460" s="60"/>
      <c r="NSU2460" s="53"/>
      <c r="NSV2460" s="53"/>
      <c r="NSW2460" s="62"/>
      <c r="NSX2460" s="61"/>
      <c r="NSY2460" s="53"/>
      <c r="NSZ2460" s="53"/>
      <c r="NTA2460" s="62"/>
      <c r="NTB2460" s="60"/>
      <c r="NTC2460" s="53"/>
      <c r="NTD2460" s="53"/>
      <c r="NTE2460" s="62"/>
      <c r="NTF2460" s="61"/>
      <c r="NTG2460" s="53"/>
      <c r="NTH2460" s="53"/>
      <c r="NTI2460" s="62"/>
      <c r="NTJ2460" s="60"/>
      <c r="NTK2460" s="53"/>
      <c r="NTL2460" s="53"/>
      <c r="NTM2460" s="62"/>
      <c r="NTN2460" s="61"/>
      <c r="NTO2460" s="53"/>
      <c r="NTP2460" s="53"/>
      <c r="NTQ2460" s="62"/>
      <c r="NTR2460" s="60"/>
      <c r="NTS2460" s="53"/>
      <c r="NTT2460" s="53"/>
      <c r="NTU2460" s="62"/>
      <c r="NTV2460" s="61"/>
      <c r="NTW2460" s="53"/>
      <c r="NTX2460" s="53"/>
      <c r="NTY2460" s="62"/>
      <c r="NTZ2460" s="60"/>
      <c r="NUA2460" s="53"/>
      <c r="NUB2460" s="53"/>
      <c r="NUC2460" s="62"/>
      <c r="NUD2460" s="61"/>
      <c r="NUE2460" s="53"/>
      <c r="NUF2460" s="53"/>
      <c r="NUG2460" s="62"/>
      <c r="NUH2460" s="60"/>
      <c r="NUI2460" s="53"/>
      <c r="NUJ2460" s="53"/>
      <c r="NUK2460" s="62"/>
      <c r="NUL2460" s="61"/>
      <c r="NUM2460" s="53"/>
      <c r="NUN2460" s="53"/>
      <c r="NUO2460" s="62"/>
      <c r="NUP2460" s="60"/>
      <c r="NUQ2460" s="53"/>
      <c r="NUR2460" s="53"/>
      <c r="NUS2460" s="62"/>
      <c r="NUT2460" s="61"/>
      <c r="NUU2460" s="53"/>
      <c r="NUV2460" s="53"/>
      <c r="NUW2460" s="62"/>
      <c r="NUX2460" s="60"/>
      <c r="NUY2460" s="53"/>
      <c r="NUZ2460" s="53"/>
      <c r="NVA2460" s="62"/>
      <c r="NVB2460" s="61"/>
      <c r="NVC2460" s="53"/>
      <c r="NVD2460" s="53"/>
      <c r="NVE2460" s="62"/>
      <c r="NVF2460" s="60"/>
      <c r="NVG2460" s="53"/>
      <c r="NVH2460" s="53"/>
      <c r="NVI2460" s="62"/>
      <c r="NVJ2460" s="61"/>
      <c r="NVK2460" s="53"/>
      <c r="NVL2460" s="53"/>
      <c r="NVM2460" s="62"/>
      <c r="NVN2460" s="60"/>
      <c r="NVO2460" s="53"/>
      <c r="NVP2460" s="53"/>
      <c r="NVQ2460" s="62"/>
      <c r="NVR2460" s="61"/>
      <c r="NVS2460" s="53"/>
      <c r="NVT2460" s="53"/>
      <c r="NVU2460" s="62"/>
      <c r="NVV2460" s="60"/>
      <c r="NVW2460" s="53"/>
      <c r="NVX2460" s="53"/>
      <c r="NVY2460" s="62"/>
      <c r="NVZ2460" s="61"/>
      <c r="NWA2460" s="53"/>
      <c r="NWB2460" s="53"/>
      <c r="NWC2460" s="62"/>
      <c r="NWD2460" s="60"/>
      <c r="NWE2460" s="53"/>
      <c r="NWF2460" s="53"/>
      <c r="NWG2460" s="62"/>
      <c r="NWH2460" s="61"/>
      <c r="NWI2460" s="53"/>
      <c r="NWJ2460" s="53"/>
      <c r="NWK2460" s="62"/>
      <c r="NWL2460" s="60"/>
      <c r="NWM2460" s="53"/>
      <c r="NWN2460" s="53"/>
      <c r="NWO2460" s="62"/>
      <c r="NWP2460" s="61"/>
      <c r="NWQ2460" s="53"/>
      <c r="NWR2460" s="53"/>
      <c r="NWS2460" s="62"/>
      <c r="NWT2460" s="60"/>
      <c r="NWU2460" s="53"/>
      <c r="NWV2460" s="53"/>
      <c r="NWW2460" s="62"/>
      <c r="NWX2460" s="61"/>
      <c r="NWY2460" s="53"/>
      <c r="NWZ2460" s="53"/>
      <c r="NXA2460" s="62"/>
      <c r="NXB2460" s="60"/>
      <c r="NXC2460" s="53"/>
      <c r="NXD2460" s="53"/>
      <c r="NXE2460" s="62"/>
      <c r="NXF2460" s="61"/>
      <c r="NXG2460" s="53"/>
      <c r="NXH2460" s="53"/>
      <c r="NXI2460" s="62"/>
      <c r="NXJ2460" s="60"/>
      <c r="NXK2460" s="53"/>
      <c r="NXL2460" s="53"/>
      <c r="NXM2460" s="62"/>
      <c r="NXN2460" s="61"/>
      <c r="NXO2460" s="53"/>
      <c r="NXP2460" s="53"/>
      <c r="NXQ2460" s="62"/>
      <c r="NXR2460" s="60"/>
      <c r="NXS2460" s="53"/>
      <c r="NXT2460" s="53"/>
      <c r="NXU2460" s="62"/>
      <c r="NXV2460" s="61"/>
      <c r="NXW2460" s="53"/>
      <c r="NXX2460" s="53"/>
      <c r="NXY2460" s="62"/>
      <c r="NXZ2460" s="60"/>
      <c r="NYA2460" s="53"/>
      <c r="NYB2460" s="53"/>
      <c r="NYC2460" s="62"/>
      <c r="NYD2460" s="61"/>
      <c r="NYE2460" s="53"/>
      <c r="NYF2460" s="53"/>
      <c r="NYG2460" s="62"/>
      <c r="NYH2460" s="60"/>
      <c r="NYI2460" s="53"/>
      <c r="NYJ2460" s="53"/>
      <c r="NYK2460" s="62"/>
      <c r="NYL2460" s="61"/>
      <c r="NYM2460" s="53"/>
      <c r="NYN2460" s="53"/>
      <c r="NYO2460" s="62"/>
      <c r="NYP2460" s="60"/>
      <c r="NYQ2460" s="53"/>
      <c r="NYR2460" s="53"/>
      <c r="NYS2460" s="62"/>
      <c r="NYT2460" s="61"/>
      <c r="NYU2460" s="53"/>
      <c r="NYV2460" s="53"/>
      <c r="NYW2460" s="62"/>
      <c r="NYX2460" s="60"/>
      <c r="NYY2460" s="53"/>
      <c r="NYZ2460" s="53"/>
      <c r="NZA2460" s="62"/>
      <c r="NZB2460" s="61"/>
      <c r="NZC2460" s="53"/>
      <c r="NZD2460" s="53"/>
      <c r="NZE2460" s="62"/>
      <c r="NZF2460" s="60"/>
      <c r="NZG2460" s="53"/>
      <c r="NZH2460" s="53"/>
      <c r="NZI2460" s="62"/>
      <c r="NZJ2460" s="61"/>
      <c r="NZK2460" s="53"/>
      <c r="NZL2460" s="53"/>
      <c r="NZM2460" s="62"/>
      <c r="NZN2460" s="60"/>
      <c r="NZO2460" s="53"/>
      <c r="NZP2460" s="53"/>
      <c r="NZQ2460" s="62"/>
      <c r="NZR2460" s="61"/>
      <c r="NZS2460" s="53"/>
      <c r="NZT2460" s="53"/>
      <c r="NZU2460" s="62"/>
      <c r="NZV2460" s="60"/>
      <c r="NZW2460" s="53"/>
      <c r="NZX2460" s="53"/>
      <c r="NZY2460" s="62"/>
      <c r="NZZ2460" s="61"/>
      <c r="OAA2460" s="53"/>
      <c r="OAB2460" s="53"/>
      <c r="OAC2460" s="62"/>
      <c r="OAD2460" s="60"/>
      <c r="OAE2460" s="53"/>
      <c r="OAF2460" s="53"/>
      <c r="OAG2460" s="62"/>
      <c r="OAH2460" s="61"/>
      <c r="OAI2460" s="53"/>
      <c r="OAJ2460" s="53"/>
      <c r="OAK2460" s="62"/>
      <c r="OAL2460" s="60"/>
      <c r="OAM2460" s="53"/>
      <c r="OAN2460" s="53"/>
      <c r="OAO2460" s="62"/>
      <c r="OAP2460" s="61"/>
      <c r="OAQ2460" s="53"/>
      <c r="OAR2460" s="53"/>
      <c r="OAS2460" s="62"/>
      <c r="OAT2460" s="60"/>
      <c r="OAU2460" s="53"/>
      <c r="OAV2460" s="53"/>
      <c r="OAW2460" s="62"/>
      <c r="OAX2460" s="61"/>
      <c r="OAY2460" s="53"/>
      <c r="OAZ2460" s="53"/>
      <c r="OBA2460" s="62"/>
      <c r="OBB2460" s="60"/>
      <c r="OBC2460" s="53"/>
      <c r="OBD2460" s="53"/>
      <c r="OBE2460" s="62"/>
      <c r="OBF2460" s="61"/>
      <c r="OBG2460" s="53"/>
      <c r="OBH2460" s="53"/>
      <c r="OBI2460" s="62"/>
      <c r="OBJ2460" s="60"/>
      <c r="OBK2460" s="53"/>
      <c r="OBL2460" s="53"/>
      <c r="OBM2460" s="62"/>
      <c r="OBN2460" s="61"/>
      <c r="OBO2460" s="53"/>
      <c r="OBP2460" s="53"/>
      <c r="OBQ2460" s="62"/>
      <c r="OBR2460" s="60"/>
      <c r="OBS2460" s="53"/>
      <c r="OBT2460" s="53"/>
      <c r="OBU2460" s="62"/>
      <c r="OBV2460" s="61"/>
      <c r="OBW2460" s="53"/>
      <c r="OBX2460" s="53"/>
      <c r="OBY2460" s="62"/>
      <c r="OBZ2460" s="60"/>
      <c r="OCA2460" s="53"/>
      <c r="OCB2460" s="53"/>
      <c r="OCC2460" s="62"/>
      <c r="OCD2460" s="61"/>
      <c r="OCE2460" s="53"/>
      <c r="OCF2460" s="53"/>
      <c r="OCG2460" s="62"/>
      <c r="OCH2460" s="60"/>
      <c r="OCI2460" s="53"/>
      <c r="OCJ2460" s="53"/>
      <c r="OCK2460" s="62"/>
      <c r="OCL2460" s="61"/>
      <c r="OCM2460" s="53"/>
      <c r="OCN2460" s="53"/>
      <c r="OCO2460" s="62"/>
      <c r="OCP2460" s="60"/>
      <c r="OCQ2460" s="53"/>
      <c r="OCR2460" s="53"/>
      <c r="OCS2460" s="62"/>
      <c r="OCT2460" s="61"/>
      <c r="OCU2460" s="53"/>
      <c r="OCV2460" s="53"/>
      <c r="OCW2460" s="62"/>
      <c r="OCX2460" s="60"/>
      <c r="OCY2460" s="53"/>
      <c r="OCZ2460" s="53"/>
      <c r="ODA2460" s="62"/>
      <c r="ODB2460" s="61"/>
      <c r="ODC2460" s="53"/>
      <c r="ODD2460" s="53"/>
      <c r="ODE2460" s="62"/>
      <c r="ODF2460" s="60"/>
      <c r="ODG2460" s="53"/>
      <c r="ODH2460" s="53"/>
      <c r="ODI2460" s="62"/>
      <c r="ODJ2460" s="61"/>
      <c r="ODK2460" s="53"/>
      <c r="ODL2460" s="53"/>
      <c r="ODM2460" s="62"/>
      <c r="ODN2460" s="60"/>
      <c r="ODO2460" s="53"/>
      <c r="ODP2460" s="53"/>
      <c r="ODQ2460" s="62"/>
      <c r="ODR2460" s="61"/>
      <c r="ODS2460" s="53"/>
      <c r="ODT2460" s="53"/>
      <c r="ODU2460" s="62"/>
      <c r="ODV2460" s="60"/>
      <c r="ODW2460" s="53"/>
      <c r="ODX2460" s="53"/>
      <c r="ODY2460" s="62"/>
      <c r="ODZ2460" s="61"/>
      <c r="OEA2460" s="53"/>
      <c r="OEB2460" s="53"/>
      <c r="OEC2460" s="62"/>
      <c r="OED2460" s="60"/>
      <c r="OEE2460" s="53"/>
      <c r="OEF2460" s="53"/>
      <c r="OEG2460" s="62"/>
      <c r="OEH2460" s="61"/>
      <c r="OEI2460" s="53"/>
      <c r="OEJ2460" s="53"/>
      <c r="OEK2460" s="62"/>
      <c r="OEL2460" s="60"/>
      <c r="OEM2460" s="53"/>
      <c r="OEN2460" s="53"/>
      <c r="OEO2460" s="62"/>
      <c r="OEP2460" s="61"/>
      <c r="OEQ2460" s="53"/>
      <c r="OER2460" s="53"/>
      <c r="OES2460" s="62"/>
      <c r="OET2460" s="60"/>
      <c r="OEU2460" s="53"/>
      <c r="OEV2460" s="53"/>
      <c r="OEW2460" s="62"/>
      <c r="OEX2460" s="61"/>
      <c r="OEY2460" s="53"/>
      <c r="OEZ2460" s="53"/>
      <c r="OFA2460" s="62"/>
      <c r="OFB2460" s="60"/>
      <c r="OFC2460" s="53"/>
      <c r="OFD2460" s="53"/>
      <c r="OFE2460" s="62"/>
      <c r="OFF2460" s="61"/>
      <c r="OFG2460" s="53"/>
      <c r="OFH2460" s="53"/>
      <c r="OFI2460" s="62"/>
      <c r="OFJ2460" s="60"/>
      <c r="OFK2460" s="53"/>
      <c r="OFL2460" s="53"/>
      <c r="OFM2460" s="62"/>
      <c r="OFN2460" s="61"/>
      <c r="OFO2460" s="53"/>
      <c r="OFP2460" s="53"/>
      <c r="OFQ2460" s="62"/>
      <c r="OFR2460" s="60"/>
      <c r="OFS2460" s="53"/>
      <c r="OFT2460" s="53"/>
      <c r="OFU2460" s="62"/>
      <c r="OFV2460" s="61"/>
      <c r="OFW2460" s="53"/>
      <c r="OFX2460" s="53"/>
      <c r="OFY2460" s="62"/>
      <c r="OFZ2460" s="60"/>
      <c r="OGA2460" s="53"/>
      <c r="OGB2460" s="53"/>
      <c r="OGC2460" s="62"/>
      <c r="OGD2460" s="61"/>
      <c r="OGE2460" s="53"/>
      <c r="OGF2460" s="53"/>
      <c r="OGG2460" s="62"/>
      <c r="OGH2460" s="60"/>
      <c r="OGI2460" s="53"/>
      <c r="OGJ2460" s="53"/>
      <c r="OGK2460" s="62"/>
      <c r="OGL2460" s="61"/>
      <c r="OGM2460" s="53"/>
      <c r="OGN2460" s="53"/>
      <c r="OGO2460" s="62"/>
      <c r="OGP2460" s="60"/>
      <c r="OGQ2460" s="53"/>
      <c r="OGR2460" s="53"/>
      <c r="OGS2460" s="62"/>
      <c r="OGT2460" s="61"/>
      <c r="OGU2460" s="53"/>
      <c r="OGV2460" s="53"/>
      <c r="OGW2460" s="62"/>
      <c r="OGX2460" s="60"/>
      <c r="OGY2460" s="53"/>
      <c r="OGZ2460" s="53"/>
      <c r="OHA2460" s="62"/>
      <c r="OHB2460" s="61"/>
      <c r="OHC2460" s="53"/>
      <c r="OHD2460" s="53"/>
      <c r="OHE2460" s="62"/>
      <c r="OHF2460" s="60"/>
      <c r="OHG2460" s="53"/>
      <c r="OHH2460" s="53"/>
      <c r="OHI2460" s="62"/>
      <c r="OHJ2460" s="61"/>
      <c r="OHK2460" s="53"/>
      <c r="OHL2460" s="53"/>
      <c r="OHM2460" s="62"/>
      <c r="OHN2460" s="60"/>
      <c r="OHO2460" s="53"/>
      <c r="OHP2460" s="53"/>
      <c r="OHQ2460" s="62"/>
      <c r="OHR2460" s="61"/>
      <c r="OHS2460" s="53"/>
      <c r="OHT2460" s="53"/>
      <c r="OHU2460" s="62"/>
      <c r="OHV2460" s="60"/>
      <c r="OHW2460" s="53"/>
      <c r="OHX2460" s="53"/>
      <c r="OHY2460" s="62"/>
      <c r="OHZ2460" s="61"/>
      <c r="OIA2460" s="53"/>
      <c r="OIB2460" s="53"/>
      <c r="OIC2460" s="62"/>
      <c r="OID2460" s="60"/>
      <c r="OIE2460" s="53"/>
      <c r="OIF2460" s="53"/>
      <c r="OIG2460" s="62"/>
      <c r="OIH2460" s="61"/>
      <c r="OII2460" s="53"/>
      <c r="OIJ2460" s="53"/>
      <c r="OIK2460" s="62"/>
      <c r="OIL2460" s="60"/>
      <c r="OIM2460" s="53"/>
      <c r="OIN2460" s="53"/>
      <c r="OIO2460" s="62"/>
      <c r="OIP2460" s="61"/>
      <c r="OIQ2460" s="53"/>
      <c r="OIR2460" s="53"/>
      <c r="OIS2460" s="62"/>
      <c r="OIT2460" s="60"/>
      <c r="OIU2460" s="53"/>
      <c r="OIV2460" s="53"/>
      <c r="OIW2460" s="62"/>
      <c r="OIX2460" s="61"/>
      <c r="OIY2460" s="53"/>
      <c r="OIZ2460" s="53"/>
      <c r="OJA2460" s="62"/>
      <c r="OJB2460" s="60"/>
      <c r="OJC2460" s="53"/>
      <c r="OJD2460" s="53"/>
      <c r="OJE2460" s="62"/>
      <c r="OJF2460" s="61"/>
      <c r="OJG2460" s="53"/>
      <c r="OJH2460" s="53"/>
      <c r="OJI2460" s="62"/>
      <c r="OJJ2460" s="60"/>
      <c r="OJK2460" s="53"/>
      <c r="OJL2460" s="53"/>
      <c r="OJM2460" s="62"/>
      <c r="OJN2460" s="61"/>
      <c r="OJO2460" s="53"/>
      <c r="OJP2460" s="53"/>
      <c r="OJQ2460" s="62"/>
      <c r="OJR2460" s="60"/>
      <c r="OJS2460" s="53"/>
      <c r="OJT2460" s="53"/>
      <c r="OJU2460" s="62"/>
      <c r="OJV2460" s="61"/>
      <c r="OJW2460" s="53"/>
      <c r="OJX2460" s="53"/>
      <c r="OJY2460" s="62"/>
      <c r="OJZ2460" s="60"/>
      <c r="OKA2460" s="53"/>
      <c r="OKB2460" s="53"/>
      <c r="OKC2460" s="62"/>
      <c r="OKD2460" s="61"/>
      <c r="OKE2460" s="53"/>
      <c r="OKF2460" s="53"/>
      <c r="OKG2460" s="62"/>
      <c r="OKH2460" s="60"/>
      <c r="OKI2460" s="53"/>
      <c r="OKJ2460" s="53"/>
      <c r="OKK2460" s="62"/>
      <c r="OKL2460" s="61"/>
      <c r="OKM2460" s="53"/>
      <c r="OKN2460" s="53"/>
      <c r="OKO2460" s="62"/>
      <c r="OKP2460" s="60"/>
      <c r="OKQ2460" s="53"/>
      <c r="OKR2460" s="53"/>
      <c r="OKS2460" s="62"/>
      <c r="OKT2460" s="61"/>
      <c r="OKU2460" s="53"/>
      <c r="OKV2460" s="53"/>
      <c r="OKW2460" s="62"/>
      <c r="OKX2460" s="60"/>
      <c r="OKY2460" s="53"/>
      <c r="OKZ2460" s="53"/>
      <c r="OLA2460" s="62"/>
      <c r="OLB2460" s="61"/>
      <c r="OLC2460" s="53"/>
      <c r="OLD2460" s="53"/>
      <c r="OLE2460" s="62"/>
      <c r="OLF2460" s="60"/>
      <c r="OLG2460" s="53"/>
      <c r="OLH2460" s="53"/>
      <c r="OLI2460" s="62"/>
      <c r="OLJ2460" s="61"/>
      <c r="OLK2460" s="53"/>
      <c r="OLL2460" s="53"/>
      <c r="OLM2460" s="62"/>
      <c r="OLN2460" s="60"/>
      <c r="OLO2460" s="53"/>
      <c r="OLP2460" s="53"/>
      <c r="OLQ2460" s="62"/>
      <c r="OLR2460" s="61"/>
      <c r="OLS2460" s="53"/>
      <c r="OLT2460" s="53"/>
      <c r="OLU2460" s="62"/>
      <c r="OLV2460" s="60"/>
      <c r="OLW2460" s="53"/>
      <c r="OLX2460" s="53"/>
      <c r="OLY2460" s="62"/>
      <c r="OLZ2460" s="61"/>
      <c r="OMA2460" s="53"/>
      <c r="OMB2460" s="53"/>
      <c r="OMC2460" s="62"/>
      <c r="OMD2460" s="60"/>
      <c r="OME2460" s="53"/>
      <c r="OMF2460" s="53"/>
      <c r="OMG2460" s="62"/>
      <c r="OMH2460" s="61"/>
      <c r="OMI2460" s="53"/>
      <c r="OMJ2460" s="53"/>
      <c r="OMK2460" s="62"/>
      <c r="OML2460" s="60"/>
      <c r="OMM2460" s="53"/>
      <c r="OMN2460" s="53"/>
      <c r="OMO2460" s="62"/>
      <c r="OMP2460" s="61"/>
      <c r="OMQ2460" s="53"/>
      <c r="OMR2460" s="53"/>
      <c r="OMS2460" s="62"/>
      <c r="OMT2460" s="60"/>
      <c r="OMU2460" s="53"/>
      <c r="OMV2460" s="53"/>
      <c r="OMW2460" s="62"/>
      <c r="OMX2460" s="61"/>
      <c r="OMY2460" s="53"/>
      <c r="OMZ2460" s="53"/>
      <c r="ONA2460" s="62"/>
      <c r="ONB2460" s="60"/>
      <c r="ONC2460" s="53"/>
      <c r="OND2460" s="53"/>
      <c r="ONE2460" s="62"/>
      <c r="ONF2460" s="61"/>
      <c r="ONG2460" s="53"/>
      <c r="ONH2460" s="53"/>
      <c r="ONI2460" s="62"/>
      <c r="ONJ2460" s="60"/>
      <c r="ONK2460" s="53"/>
      <c r="ONL2460" s="53"/>
      <c r="ONM2460" s="62"/>
      <c r="ONN2460" s="61"/>
      <c r="ONO2460" s="53"/>
      <c r="ONP2460" s="53"/>
      <c r="ONQ2460" s="62"/>
      <c r="ONR2460" s="60"/>
      <c r="ONS2460" s="53"/>
      <c r="ONT2460" s="53"/>
      <c r="ONU2460" s="62"/>
      <c r="ONV2460" s="61"/>
      <c r="ONW2460" s="53"/>
      <c r="ONX2460" s="53"/>
      <c r="ONY2460" s="62"/>
      <c r="ONZ2460" s="60"/>
      <c r="OOA2460" s="53"/>
      <c r="OOB2460" s="53"/>
      <c r="OOC2460" s="62"/>
      <c r="OOD2460" s="61"/>
      <c r="OOE2460" s="53"/>
      <c r="OOF2460" s="53"/>
      <c r="OOG2460" s="62"/>
      <c r="OOH2460" s="60"/>
      <c r="OOI2460" s="53"/>
      <c r="OOJ2460" s="53"/>
      <c r="OOK2460" s="62"/>
      <c r="OOL2460" s="61"/>
      <c r="OOM2460" s="53"/>
      <c r="OON2460" s="53"/>
      <c r="OOO2460" s="62"/>
      <c r="OOP2460" s="60"/>
      <c r="OOQ2460" s="53"/>
      <c r="OOR2460" s="53"/>
      <c r="OOS2460" s="62"/>
      <c r="OOT2460" s="61"/>
      <c r="OOU2460" s="53"/>
      <c r="OOV2460" s="53"/>
      <c r="OOW2460" s="62"/>
      <c r="OOX2460" s="60"/>
      <c r="OOY2460" s="53"/>
      <c r="OOZ2460" s="53"/>
      <c r="OPA2460" s="62"/>
      <c r="OPB2460" s="61"/>
      <c r="OPC2460" s="53"/>
      <c r="OPD2460" s="53"/>
      <c r="OPE2460" s="62"/>
      <c r="OPF2460" s="60"/>
      <c r="OPG2460" s="53"/>
      <c r="OPH2460" s="53"/>
      <c r="OPI2460" s="62"/>
      <c r="OPJ2460" s="61"/>
      <c r="OPK2460" s="53"/>
      <c r="OPL2460" s="53"/>
      <c r="OPM2460" s="62"/>
      <c r="OPN2460" s="60"/>
      <c r="OPO2460" s="53"/>
      <c r="OPP2460" s="53"/>
      <c r="OPQ2460" s="62"/>
      <c r="OPR2460" s="61"/>
      <c r="OPS2460" s="53"/>
      <c r="OPT2460" s="53"/>
      <c r="OPU2460" s="62"/>
      <c r="OPV2460" s="60"/>
      <c r="OPW2460" s="53"/>
      <c r="OPX2460" s="53"/>
      <c r="OPY2460" s="62"/>
      <c r="OPZ2460" s="61"/>
      <c r="OQA2460" s="53"/>
      <c r="OQB2460" s="53"/>
      <c r="OQC2460" s="62"/>
      <c r="OQD2460" s="60"/>
      <c r="OQE2460" s="53"/>
      <c r="OQF2460" s="53"/>
      <c r="OQG2460" s="62"/>
      <c r="OQH2460" s="61"/>
      <c r="OQI2460" s="53"/>
      <c r="OQJ2460" s="53"/>
      <c r="OQK2460" s="62"/>
      <c r="OQL2460" s="60"/>
      <c r="OQM2460" s="53"/>
      <c r="OQN2460" s="53"/>
      <c r="OQO2460" s="62"/>
      <c r="OQP2460" s="61"/>
      <c r="OQQ2460" s="53"/>
      <c r="OQR2460" s="53"/>
      <c r="OQS2460" s="62"/>
      <c r="OQT2460" s="60"/>
      <c r="OQU2460" s="53"/>
      <c r="OQV2460" s="53"/>
      <c r="OQW2460" s="62"/>
      <c r="OQX2460" s="61"/>
      <c r="OQY2460" s="53"/>
      <c r="OQZ2460" s="53"/>
      <c r="ORA2460" s="62"/>
      <c r="ORB2460" s="60"/>
      <c r="ORC2460" s="53"/>
      <c r="ORD2460" s="53"/>
      <c r="ORE2460" s="62"/>
      <c r="ORF2460" s="61"/>
      <c r="ORG2460" s="53"/>
      <c r="ORH2460" s="53"/>
      <c r="ORI2460" s="62"/>
      <c r="ORJ2460" s="60"/>
      <c r="ORK2460" s="53"/>
      <c r="ORL2460" s="53"/>
      <c r="ORM2460" s="62"/>
      <c r="ORN2460" s="61"/>
      <c r="ORO2460" s="53"/>
      <c r="ORP2460" s="53"/>
      <c r="ORQ2460" s="62"/>
      <c r="ORR2460" s="60"/>
      <c r="ORS2460" s="53"/>
      <c r="ORT2460" s="53"/>
      <c r="ORU2460" s="62"/>
      <c r="ORV2460" s="61"/>
      <c r="ORW2460" s="53"/>
      <c r="ORX2460" s="53"/>
      <c r="ORY2460" s="62"/>
      <c r="ORZ2460" s="60"/>
      <c r="OSA2460" s="53"/>
      <c r="OSB2460" s="53"/>
      <c r="OSC2460" s="62"/>
      <c r="OSD2460" s="61"/>
      <c r="OSE2460" s="53"/>
      <c r="OSF2460" s="53"/>
      <c r="OSG2460" s="62"/>
      <c r="OSH2460" s="60"/>
      <c r="OSI2460" s="53"/>
      <c r="OSJ2460" s="53"/>
      <c r="OSK2460" s="62"/>
      <c r="OSL2460" s="61"/>
      <c r="OSM2460" s="53"/>
      <c r="OSN2460" s="53"/>
      <c r="OSO2460" s="62"/>
      <c r="OSP2460" s="60"/>
      <c r="OSQ2460" s="53"/>
      <c r="OSR2460" s="53"/>
      <c r="OSS2460" s="62"/>
      <c r="OST2460" s="61"/>
      <c r="OSU2460" s="53"/>
      <c r="OSV2460" s="53"/>
      <c r="OSW2460" s="62"/>
      <c r="OSX2460" s="60"/>
      <c r="OSY2460" s="53"/>
      <c r="OSZ2460" s="53"/>
      <c r="OTA2460" s="62"/>
      <c r="OTB2460" s="61"/>
      <c r="OTC2460" s="53"/>
      <c r="OTD2460" s="53"/>
      <c r="OTE2460" s="62"/>
      <c r="OTF2460" s="60"/>
      <c r="OTG2460" s="53"/>
      <c r="OTH2460" s="53"/>
      <c r="OTI2460" s="62"/>
      <c r="OTJ2460" s="61"/>
      <c r="OTK2460" s="53"/>
      <c r="OTL2460" s="53"/>
      <c r="OTM2460" s="62"/>
      <c r="OTN2460" s="60"/>
      <c r="OTO2460" s="53"/>
      <c r="OTP2460" s="53"/>
      <c r="OTQ2460" s="62"/>
      <c r="OTR2460" s="61"/>
      <c r="OTS2460" s="53"/>
      <c r="OTT2460" s="53"/>
      <c r="OTU2460" s="62"/>
      <c r="OTV2460" s="60"/>
      <c r="OTW2460" s="53"/>
      <c r="OTX2460" s="53"/>
      <c r="OTY2460" s="62"/>
      <c r="OTZ2460" s="61"/>
      <c r="OUA2460" s="53"/>
      <c r="OUB2460" s="53"/>
      <c r="OUC2460" s="62"/>
      <c r="OUD2460" s="60"/>
      <c r="OUE2460" s="53"/>
      <c r="OUF2460" s="53"/>
      <c r="OUG2460" s="62"/>
      <c r="OUH2460" s="61"/>
      <c r="OUI2460" s="53"/>
      <c r="OUJ2460" s="53"/>
      <c r="OUK2460" s="62"/>
      <c r="OUL2460" s="60"/>
      <c r="OUM2460" s="53"/>
      <c r="OUN2460" s="53"/>
      <c r="OUO2460" s="62"/>
      <c r="OUP2460" s="61"/>
      <c r="OUQ2460" s="53"/>
      <c r="OUR2460" s="53"/>
      <c r="OUS2460" s="62"/>
      <c r="OUT2460" s="60"/>
      <c r="OUU2460" s="53"/>
      <c r="OUV2460" s="53"/>
      <c r="OUW2460" s="62"/>
      <c r="OUX2460" s="61"/>
      <c r="OUY2460" s="53"/>
      <c r="OUZ2460" s="53"/>
      <c r="OVA2460" s="62"/>
      <c r="OVB2460" s="60"/>
      <c r="OVC2460" s="53"/>
      <c r="OVD2460" s="53"/>
      <c r="OVE2460" s="62"/>
      <c r="OVF2460" s="61"/>
      <c r="OVG2460" s="53"/>
      <c r="OVH2460" s="53"/>
      <c r="OVI2460" s="62"/>
      <c r="OVJ2460" s="60"/>
      <c r="OVK2460" s="53"/>
      <c r="OVL2460" s="53"/>
      <c r="OVM2460" s="62"/>
      <c r="OVN2460" s="61"/>
      <c r="OVO2460" s="53"/>
      <c r="OVP2460" s="53"/>
      <c r="OVQ2460" s="62"/>
      <c r="OVR2460" s="60"/>
      <c r="OVS2460" s="53"/>
      <c r="OVT2460" s="53"/>
      <c r="OVU2460" s="62"/>
      <c r="OVV2460" s="61"/>
      <c r="OVW2460" s="53"/>
      <c r="OVX2460" s="53"/>
      <c r="OVY2460" s="62"/>
      <c r="OVZ2460" s="60"/>
      <c r="OWA2460" s="53"/>
      <c r="OWB2460" s="53"/>
      <c r="OWC2460" s="62"/>
      <c r="OWD2460" s="61"/>
      <c r="OWE2460" s="53"/>
      <c r="OWF2460" s="53"/>
      <c r="OWG2460" s="62"/>
      <c r="OWH2460" s="60"/>
      <c r="OWI2460" s="53"/>
      <c r="OWJ2460" s="53"/>
      <c r="OWK2460" s="62"/>
      <c r="OWL2460" s="61"/>
      <c r="OWM2460" s="53"/>
      <c r="OWN2460" s="53"/>
      <c r="OWO2460" s="62"/>
      <c r="OWP2460" s="60"/>
      <c r="OWQ2460" s="53"/>
      <c r="OWR2460" s="53"/>
      <c r="OWS2460" s="62"/>
      <c r="OWT2460" s="61"/>
      <c r="OWU2460" s="53"/>
      <c r="OWV2460" s="53"/>
      <c r="OWW2460" s="62"/>
      <c r="OWX2460" s="60"/>
      <c r="OWY2460" s="53"/>
      <c r="OWZ2460" s="53"/>
      <c r="OXA2460" s="62"/>
      <c r="OXB2460" s="61"/>
      <c r="OXC2460" s="53"/>
      <c r="OXD2460" s="53"/>
      <c r="OXE2460" s="62"/>
      <c r="OXF2460" s="60"/>
      <c r="OXG2460" s="53"/>
      <c r="OXH2460" s="53"/>
      <c r="OXI2460" s="62"/>
      <c r="OXJ2460" s="61"/>
      <c r="OXK2460" s="53"/>
      <c r="OXL2460" s="53"/>
      <c r="OXM2460" s="62"/>
      <c r="OXN2460" s="60"/>
      <c r="OXO2460" s="53"/>
      <c r="OXP2460" s="53"/>
      <c r="OXQ2460" s="62"/>
      <c r="OXR2460" s="61"/>
      <c r="OXS2460" s="53"/>
      <c r="OXT2460" s="53"/>
      <c r="OXU2460" s="62"/>
      <c r="OXV2460" s="60"/>
      <c r="OXW2460" s="53"/>
      <c r="OXX2460" s="53"/>
      <c r="OXY2460" s="62"/>
      <c r="OXZ2460" s="61"/>
      <c r="OYA2460" s="53"/>
      <c r="OYB2460" s="53"/>
      <c r="OYC2460" s="62"/>
      <c r="OYD2460" s="60"/>
      <c r="OYE2460" s="53"/>
      <c r="OYF2460" s="53"/>
      <c r="OYG2460" s="62"/>
      <c r="OYH2460" s="61"/>
      <c r="OYI2460" s="53"/>
      <c r="OYJ2460" s="53"/>
      <c r="OYK2460" s="62"/>
      <c r="OYL2460" s="60"/>
      <c r="OYM2460" s="53"/>
      <c r="OYN2460" s="53"/>
      <c r="OYO2460" s="62"/>
      <c r="OYP2460" s="61"/>
      <c r="OYQ2460" s="53"/>
      <c r="OYR2460" s="53"/>
      <c r="OYS2460" s="62"/>
      <c r="OYT2460" s="60"/>
      <c r="OYU2460" s="53"/>
      <c r="OYV2460" s="53"/>
      <c r="OYW2460" s="62"/>
      <c r="OYX2460" s="61"/>
      <c r="OYY2460" s="53"/>
      <c r="OYZ2460" s="53"/>
      <c r="OZA2460" s="62"/>
      <c r="OZB2460" s="60"/>
      <c r="OZC2460" s="53"/>
      <c r="OZD2460" s="53"/>
      <c r="OZE2460" s="62"/>
      <c r="OZF2460" s="61"/>
      <c r="OZG2460" s="53"/>
      <c r="OZH2460" s="53"/>
      <c r="OZI2460" s="62"/>
      <c r="OZJ2460" s="60"/>
      <c r="OZK2460" s="53"/>
      <c r="OZL2460" s="53"/>
      <c r="OZM2460" s="62"/>
      <c r="OZN2460" s="61"/>
      <c r="OZO2460" s="53"/>
      <c r="OZP2460" s="53"/>
      <c r="OZQ2460" s="62"/>
      <c r="OZR2460" s="60"/>
      <c r="OZS2460" s="53"/>
      <c r="OZT2460" s="53"/>
      <c r="OZU2460" s="62"/>
      <c r="OZV2460" s="61"/>
      <c r="OZW2460" s="53"/>
      <c r="OZX2460" s="53"/>
      <c r="OZY2460" s="62"/>
      <c r="OZZ2460" s="60"/>
      <c r="PAA2460" s="53"/>
      <c r="PAB2460" s="53"/>
      <c r="PAC2460" s="62"/>
      <c r="PAD2460" s="61"/>
      <c r="PAE2460" s="53"/>
      <c r="PAF2460" s="53"/>
      <c r="PAG2460" s="62"/>
      <c r="PAH2460" s="60"/>
      <c r="PAI2460" s="53"/>
      <c r="PAJ2460" s="53"/>
      <c r="PAK2460" s="62"/>
      <c r="PAL2460" s="61"/>
      <c r="PAM2460" s="53"/>
      <c r="PAN2460" s="53"/>
      <c r="PAO2460" s="62"/>
      <c r="PAP2460" s="60"/>
      <c r="PAQ2460" s="53"/>
      <c r="PAR2460" s="53"/>
      <c r="PAS2460" s="62"/>
      <c r="PAT2460" s="61"/>
      <c r="PAU2460" s="53"/>
      <c r="PAV2460" s="53"/>
      <c r="PAW2460" s="62"/>
      <c r="PAX2460" s="60"/>
      <c r="PAY2460" s="53"/>
      <c r="PAZ2460" s="53"/>
      <c r="PBA2460" s="62"/>
      <c r="PBB2460" s="61"/>
      <c r="PBC2460" s="53"/>
      <c r="PBD2460" s="53"/>
      <c r="PBE2460" s="62"/>
      <c r="PBF2460" s="60"/>
      <c r="PBG2460" s="53"/>
      <c r="PBH2460" s="53"/>
      <c r="PBI2460" s="62"/>
      <c r="PBJ2460" s="61"/>
      <c r="PBK2460" s="53"/>
      <c r="PBL2460" s="53"/>
      <c r="PBM2460" s="62"/>
      <c r="PBN2460" s="60"/>
      <c r="PBO2460" s="53"/>
      <c r="PBP2460" s="53"/>
      <c r="PBQ2460" s="62"/>
      <c r="PBR2460" s="61"/>
      <c r="PBS2460" s="53"/>
      <c r="PBT2460" s="53"/>
      <c r="PBU2460" s="62"/>
      <c r="PBV2460" s="60"/>
      <c r="PBW2460" s="53"/>
      <c r="PBX2460" s="53"/>
      <c r="PBY2460" s="62"/>
      <c r="PBZ2460" s="61"/>
      <c r="PCA2460" s="53"/>
      <c r="PCB2460" s="53"/>
      <c r="PCC2460" s="62"/>
      <c r="PCD2460" s="60"/>
      <c r="PCE2460" s="53"/>
      <c r="PCF2460" s="53"/>
      <c r="PCG2460" s="62"/>
      <c r="PCH2460" s="61"/>
      <c r="PCI2460" s="53"/>
      <c r="PCJ2460" s="53"/>
      <c r="PCK2460" s="62"/>
      <c r="PCL2460" s="60"/>
      <c r="PCM2460" s="53"/>
      <c r="PCN2460" s="53"/>
      <c r="PCO2460" s="62"/>
      <c r="PCP2460" s="61"/>
      <c r="PCQ2460" s="53"/>
      <c r="PCR2460" s="53"/>
      <c r="PCS2460" s="62"/>
      <c r="PCT2460" s="60"/>
      <c r="PCU2460" s="53"/>
      <c r="PCV2460" s="53"/>
      <c r="PCW2460" s="62"/>
      <c r="PCX2460" s="61"/>
      <c r="PCY2460" s="53"/>
      <c r="PCZ2460" s="53"/>
      <c r="PDA2460" s="62"/>
      <c r="PDB2460" s="60"/>
      <c r="PDC2460" s="53"/>
      <c r="PDD2460" s="53"/>
      <c r="PDE2460" s="62"/>
      <c r="PDF2460" s="61"/>
      <c r="PDG2460" s="53"/>
      <c r="PDH2460" s="53"/>
      <c r="PDI2460" s="62"/>
      <c r="PDJ2460" s="60"/>
      <c r="PDK2460" s="53"/>
      <c r="PDL2460" s="53"/>
      <c r="PDM2460" s="62"/>
      <c r="PDN2460" s="61"/>
      <c r="PDO2460" s="53"/>
      <c r="PDP2460" s="53"/>
      <c r="PDQ2460" s="62"/>
      <c r="PDR2460" s="60"/>
      <c r="PDS2460" s="53"/>
      <c r="PDT2460" s="53"/>
      <c r="PDU2460" s="62"/>
      <c r="PDV2460" s="61"/>
      <c r="PDW2460" s="53"/>
      <c r="PDX2460" s="53"/>
      <c r="PDY2460" s="62"/>
      <c r="PDZ2460" s="60"/>
      <c r="PEA2460" s="53"/>
      <c r="PEB2460" s="53"/>
      <c r="PEC2460" s="62"/>
      <c r="PED2460" s="61"/>
      <c r="PEE2460" s="53"/>
      <c r="PEF2460" s="53"/>
      <c r="PEG2460" s="62"/>
      <c r="PEH2460" s="60"/>
      <c r="PEI2460" s="53"/>
      <c r="PEJ2460" s="53"/>
      <c r="PEK2460" s="62"/>
      <c r="PEL2460" s="61"/>
      <c r="PEM2460" s="53"/>
      <c r="PEN2460" s="53"/>
      <c r="PEO2460" s="62"/>
      <c r="PEP2460" s="60"/>
      <c r="PEQ2460" s="53"/>
      <c r="PER2460" s="53"/>
      <c r="PES2460" s="62"/>
      <c r="PET2460" s="61"/>
      <c r="PEU2460" s="53"/>
      <c r="PEV2460" s="53"/>
      <c r="PEW2460" s="62"/>
      <c r="PEX2460" s="60"/>
      <c r="PEY2460" s="53"/>
      <c r="PEZ2460" s="53"/>
      <c r="PFA2460" s="62"/>
      <c r="PFB2460" s="61"/>
      <c r="PFC2460" s="53"/>
      <c r="PFD2460" s="53"/>
      <c r="PFE2460" s="62"/>
      <c r="PFF2460" s="60"/>
      <c r="PFG2460" s="53"/>
      <c r="PFH2460" s="53"/>
      <c r="PFI2460" s="62"/>
      <c r="PFJ2460" s="61"/>
      <c r="PFK2460" s="53"/>
      <c r="PFL2460" s="53"/>
      <c r="PFM2460" s="62"/>
      <c r="PFN2460" s="60"/>
      <c r="PFO2460" s="53"/>
      <c r="PFP2460" s="53"/>
      <c r="PFQ2460" s="62"/>
      <c r="PFR2460" s="61"/>
      <c r="PFS2460" s="53"/>
      <c r="PFT2460" s="53"/>
      <c r="PFU2460" s="62"/>
      <c r="PFV2460" s="60"/>
      <c r="PFW2460" s="53"/>
      <c r="PFX2460" s="53"/>
      <c r="PFY2460" s="62"/>
      <c r="PFZ2460" s="61"/>
      <c r="PGA2460" s="53"/>
      <c r="PGB2460" s="53"/>
      <c r="PGC2460" s="62"/>
      <c r="PGD2460" s="60"/>
      <c r="PGE2460" s="53"/>
      <c r="PGF2460" s="53"/>
      <c r="PGG2460" s="62"/>
      <c r="PGH2460" s="61"/>
      <c r="PGI2460" s="53"/>
      <c r="PGJ2460" s="53"/>
      <c r="PGK2460" s="62"/>
      <c r="PGL2460" s="60"/>
      <c r="PGM2460" s="53"/>
      <c r="PGN2460" s="53"/>
      <c r="PGO2460" s="62"/>
      <c r="PGP2460" s="61"/>
      <c r="PGQ2460" s="53"/>
      <c r="PGR2460" s="53"/>
      <c r="PGS2460" s="62"/>
      <c r="PGT2460" s="60"/>
      <c r="PGU2460" s="53"/>
      <c r="PGV2460" s="53"/>
      <c r="PGW2460" s="62"/>
      <c r="PGX2460" s="61"/>
      <c r="PGY2460" s="53"/>
      <c r="PGZ2460" s="53"/>
      <c r="PHA2460" s="62"/>
      <c r="PHB2460" s="60"/>
      <c r="PHC2460" s="53"/>
      <c r="PHD2460" s="53"/>
      <c r="PHE2460" s="62"/>
      <c r="PHF2460" s="61"/>
      <c r="PHG2460" s="53"/>
      <c r="PHH2460" s="53"/>
      <c r="PHI2460" s="62"/>
      <c r="PHJ2460" s="60"/>
      <c r="PHK2460" s="53"/>
      <c r="PHL2460" s="53"/>
      <c r="PHM2460" s="62"/>
      <c r="PHN2460" s="61"/>
      <c r="PHO2460" s="53"/>
      <c r="PHP2460" s="53"/>
      <c r="PHQ2460" s="62"/>
      <c r="PHR2460" s="60"/>
      <c r="PHS2460" s="53"/>
      <c r="PHT2460" s="53"/>
      <c r="PHU2460" s="62"/>
      <c r="PHV2460" s="61"/>
      <c r="PHW2460" s="53"/>
      <c r="PHX2460" s="53"/>
      <c r="PHY2460" s="62"/>
      <c r="PHZ2460" s="60"/>
      <c r="PIA2460" s="53"/>
      <c r="PIB2460" s="53"/>
      <c r="PIC2460" s="62"/>
      <c r="PID2460" s="61"/>
      <c r="PIE2460" s="53"/>
      <c r="PIF2460" s="53"/>
      <c r="PIG2460" s="62"/>
      <c r="PIH2460" s="60"/>
      <c r="PII2460" s="53"/>
      <c r="PIJ2460" s="53"/>
      <c r="PIK2460" s="62"/>
      <c r="PIL2460" s="61"/>
      <c r="PIM2460" s="53"/>
      <c r="PIN2460" s="53"/>
      <c r="PIO2460" s="62"/>
      <c r="PIP2460" s="60"/>
      <c r="PIQ2460" s="53"/>
      <c r="PIR2460" s="53"/>
      <c r="PIS2460" s="62"/>
      <c r="PIT2460" s="61"/>
      <c r="PIU2460" s="53"/>
      <c r="PIV2460" s="53"/>
      <c r="PIW2460" s="62"/>
      <c r="PIX2460" s="60"/>
      <c r="PIY2460" s="53"/>
      <c r="PIZ2460" s="53"/>
      <c r="PJA2460" s="62"/>
      <c r="PJB2460" s="61"/>
      <c r="PJC2460" s="53"/>
      <c r="PJD2460" s="53"/>
      <c r="PJE2460" s="62"/>
      <c r="PJF2460" s="60"/>
      <c r="PJG2460" s="53"/>
      <c r="PJH2460" s="53"/>
      <c r="PJI2460" s="62"/>
      <c r="PJJ2460" s="61"/>
      <c r="PJK2460" s="53"/>
      <c r="PJL2460" s="53"/>
      <c r="PJM2460" s="62"/>
      <c r="PJN2460" s="60"/>
      <c r="PJO2460" s="53"/>
      <c r="PJP2460" s="53"/>
      <c r="PJQ2460" s="62"/>
      <c r="PJR2460" s="61"/>
      <c r="PJS2460" s="53"/>
      <c r="PJT2460" s="53"/>
      <c r="PJU2460" s="62"/>
      <c r="PJV2460" s="60"/>
      <c r="PJW2460" s="53"/>
      <c r="PJX2460" s="53"/>
      <c r="PJY2460" s="62"/>
      <c r="PJZ2460" s="61"/>
      <c r="PKA2460" s="53"/>
      <c r="PKB2460" s="53"/>
      <c r="PKC2460" s="62"/>
      <c r="PKD2460" s="60"/>
      <c r="PKE2460" s="53"/>
      <c r="PKF2460" s="53"/>
      <c r="PKG2460" s="62"/>
      <c r="PKH2460" s="61"/>
      <c r="PKI2460" s="53"/>
      <c r="PKJ2460" s="53"/>
      <c r="PKK2460" s="62"/>
      <c r="PKL2460" s="60"/>
      <c r="PKM2460" s="53"/>
      <c r="PKN2460" s="53"/>
      <c r="PKO2460" s="62"/>
      <c r="PKP2460" s="61"/>
      <c r="PKQ2460" s="53"/>
      <c r="PKR2460" s="53"/>
      <c r="PKS2460" s="62"/>
      <c r="PKT2460" s="60"/>
      <c r="PKU2460" s="53"/>
      <c r="PKV2460" s="53"/>
      <c r="PKW2460" s="62"/>
      <c r="PKX2460" s="61"/>
      <c r="PKY2460" s="53"/>
      <c r="PKZ2460" s="53"/>
      <c r="PLA2460" s="62"/>
      <c r="PLB2460" s="60"/>
      <c r="PLC2460" s="53"/>
      <c r="PLD2460" s="53"/>
      <c r="PLE2460" s="62"/>
      <c r="PLF2460" s="61"/>
      <c r="PLG2460" s="53"/>
      <c r="PLH2460" s="53"/>
      <c r="PLI2460" s="62"/>
      <c r="PLJ2460" s="60"/>
      <c r="PLK2460" s="53"/>
      <c r="PLL2460" s="53"/>
      <c r="PLM2460" s="62"/>
      <c r="PLN2460" s="61"/>
      <c r="PLO2460" s="53"/>
      <c r="PLP2460" s="53"/>
      <c r="PLQ2460" s="62"/>
      <c r="PLR2460" s="60"/>
      <c r="PLS2460" s="53"/>
      <c r="PLT2460" s="53"/>
      <c r="PLU2460" s="62"/>
      <c r="PLV2460" s="61"/>
      <c r="PLW2460" s="53"/>
      <c r="PLX2460" s="53"/>
      <c r="PLY2460" s="62"/>
      <c r="PLZ2460" s="60"/>
      <c r="PMA2460" s="53"/>
      <c r="PMB2460" s="53"/>
      <c r="PMC2460" s="62"/>
      <c r="PMD2460" s="61"/>
      <c r="PME2460" s="53"/>
      <c r="PMF2460" s="53"/>
      <c r="PMG2460" s="62"/>
      <c r="PMH2460" s="60"/>
      <c r="PMI2460" s="53"/>
      <c r="PMJ2460" s="53"/>
      <c r="PMK2460" s="62"/>
      <c r="PML2460" s="61"/>
      <c r="PMM2460" s="53"/>
      <c r="PMN2460" s="53"/>
      <c r="PMO2460" s="62"/>
      <c r="PMP2460" s="60"/>
      <c r="PMQ2460" s="53"/>
      <c r="PMR2460" s="53"/>
      <c r="PMS2460" s="62"/>
      <c r="PMT2460" s="61"/>
      <c r="PMU2460" s="53"/>
      <c r="PMV2460" s="53"/>
      <c r="PMW2460" s="62"/>
      <c r="PMX2460" s="60"/>
      <c r="PMY2460" s="53"/>
      <c r="PMZ2460" s="53"/>
      <c r="PNA2460" s="62"/>
      <c r="PNB2460" s="61"/>
      <c r="PNC2460" s="53"/>
      <c r="PND2460" s="53"/>
      <c r="PNE2460" s="62"/>
      <c r="PNF2460" s="60"/>
      <c r="PNG2460" s="53"/>
      <c r="PNH2460" s="53"/>
      <c r="PNI2460" s="62"/>
      <c r="PNJ2460" s="61"/>
      <c r="PNK2460" s="53"/>
      <c r="PNL2460" s="53"/>
      <c r="PNM2460" s="62"/>
      <c r="PNN2460" s="60"/>
      <c r="PNO2460" s="53"/>
      <c r="PNP2460" s="53"/>
      <c r="PNQ2460" s="62"/>
      <c r="PNR2460" s="61"/>
      <c r="PNS2460" s="53"/>
      <c r="PNT2460" s="53"/>
      <c r="PNU2460" s="62"/>
      <c r="PNV2460" s="60"/>
      <c r="PNW2460" s="53"/>
      <c r="PNX2460" s="53"/>
      <c r="PNY2460" s="62"/>
      <c r="PNZ2460" s="61"/>
      <c r="POA2460" s="53"/>
      <c r="POB2460" s="53"/>
      <c r="POC2460" s="62"/>
      <c r="POD2460" s="60"/>
      <c r="POE2460" s="53"/>
      <c r="POF2460" s="53"/>
      <c r="POG2460" s="62"/>
      <c r="POH2460" s="61"/>
      <c r="POI2460" s="53"/>
      <c r="POJ2460" s="53"/>
      <c r="POK2460" s="62"/>
      <c r="POL2460" s="60"/>
      <c r="POM2460" s="53"/>
      <c r="PON2460" s="53"/>
      <c r="POO2460" s="62"/>
      <c r="POP2460" s="61"/>
      <c r="POQ2460" s="53"/>
      <c r="POR2460" s="53"/>
      <c r="POS2460" s="62"/>
      <c r="POT2460" s="60"/>
      <c r="POU2460" s="53"/>
      <c r="POV2460" s="53"/>
      <c r="POW2460" s="62"/>
      <c r="POX2460" s="61"/>
      <c r="POY2460" s="53"/>
      <c r="POZ2460" s="53"/>
      <c r="PPA2460" s="62"/>
      <c r="PPB2460" s="60"/>
      <c r="PPC2460" s="53"/>
      <c r="PPD2460" s="53"/>
      <c r="PPE2460" s="62"/>
      <c r="PPF2460" s="61"/>
      <c r="PPG2460" s="53"/>
      <c r="PPH2460" s="53"/>
      <c r="PPI2460" s="62"/>
      <c r="PPJ2460" s="60"/>
      <c r="PPK2460" s="53"/>
      <c r="PPL2460" s="53"/>
      <c r="PPM2460" s="62"/>
      <c r="PPN2460" s="61"/>
      <c r="PPO2460" s="53"/>
      <c r="PPP2460" s="53"/>
      <c r="PPQ2460" s="62"/>
      <c r="PPR2460" s="60"/>
      <c r="PPS2460" s="53"/>
      <c r="PPT2460" s="53"/>
      <c r="PPU2460" s="62"/>
      <c r="PPV2460" s="61"/>
      <c r="PPW2460" s="53"/>
      <c r="PPX2460" s="53"/>
      <c r="PPY2460" s="62"/>
      <c r="PPZ2460" s="60"/>
      <c r="PQA2460" s="53"/>
      <c r="PQB2460" s="53"/>
      <c r="PQC2460" s="62"/>
      <c r="PQD2460" s="61"/>
      <c r="PQE2460" s="53"/>
      <c r="PQF2460" s="53"/>
      <c r="PQG2460" s="62"/>
      <c r="PQH2460" s="60"/>
      <c r="PQI2460" s="53"/>
      <c r="PQJ2460" s="53"/>
      <c r="PQK2460" s="62"/>
      <c r="PQL2460" s="61"/>
      <c r="PQM2460" s="53"/>
      <c r="PQN2460" s="53"/>
      <c r="PQO2460" s="62"/>
      <c r="PQP2460" s="60"/>
      <c r="PQQ2460" s="53"/>
      <c r="PQR2460" s="53"/>
      <c r="PQS2460" s="62"/>
      <c r="PQT2460" s="61"/>
      <c r="PQU2460" s="53"/>
      <c r="PQV2460" s="53"/>
      <c r="PQW2460" s="62"/>
      <c r="PQX2460" s="60"/>
      <c r="PQY2460" s="53"/>
      <c r="PQZ2460" s="53"/>
      <c r="PRA2460" s="62"/>
      <c r="PRB2460" s="61"/>
      <c r="PRC2460" s="53"/>
      <c r="PRD2460" s="53"/>
      <c r="PRE2460" s="62"/>
      <c r="PRF2460" s="60"/>
      <c r="PRG2460" s="53"/>
      <c r="PRH2460" s="53"/>
      <c r="PRI2460" s="62"/>
      <c r="PRJ2460" s="61"/>
      <c r="PRK2460" s="53"/>
      <c r="PRL2460" s="53"/>
      <c r="PRM2460" s="62"/>
      <c r="PRN2460" s="60"/>
      <c r="PRO2460" s="53"/>
      <c r="PRP2460" s="53"/>
      <c r="PRQ2460" s="62"/>
      <c r="PRR2460" s="61"/>
      <c r="PRS2460" s="53"/>
      <c r="PRT2460" s="53"/>
      <c r="PRU2460" s="62"/>
      <c r="PRV2460" s="60"/>
      <c r="PRW2460" s="53"/>
      <c r="PRX2460" s="53"/>
      <c r="PRY2460" s="62"/>
      <c r="PRZ2460" s="61"/>
      <c r="PSA2460" s="53"/>
      <c r="PSB2460" s="53"/>
      <c r="PSC2460" s="62"/>
      <c r="PSD2460" s="60"/>
      <c r="PSE2460" s="53"/>
      <c r="PSF2460" s="53"/>
      <c r="PSG2460" s="62"/>
      <c r="PSH2460" s="61"/>
      <c r="PSI2460" s="53"/>
      <c r="PSJ2460" s="53"/>
      <c r="PSK2460" s="62"/>
      <c r="PSL2460" s="60"/>
      <c r="PSM2460" s="53"/>
      <c r="PSN2460" s="53"/>
      <c r="PSO2460" s="62"/>
      <c r="PSP2460" s="61"/>
      <c r="PSQ2460" s="53"/>
      <c r="PSR2460" s="53"/>
      <c r="PSS2460" s="62"/>
      <c r="PST2460" s="60"/>
      <c r="PSU2460" s="53"/>
      <c r="PSV2460" s="53"/>
      <c r="PSW2460" s="62"/>
      <c r="PSX2460" s="61"/>
      <c r="PSY2460" s="53"/>
      <c r="PSZ2460" s="53"/>
      <c r="PTA2460" s="62"/>
      <c r="PTB2460" s="60"/>
      <c r="PTC2460" s="53"/>
      <c r="PTD2460" s="53"/>
      <c r="PTE2460" s="62"/>
      <c r="PTF2460" s="61"/>
      <c r="PTG2460" s="53"/>
      <c r="PTH2460" s="53"/>
      <c r="PTI2460" s="62"/>
      <c r="PTJ2460" s="60"/>
      <c r="PTK2460" s="53"/>
      <c r="PTL2460" s="53"/>
      <c r="PTM2460" s="62"/>
      <c r="PTN2460" s="61"/>
      <c r="PTO2460" s="53"/>
      <c r="PTP2460" s="53"/>
      <c r="PTQ2460" s="62"/>
      <c r="PTR2460" s="60"/>
      <c r="PTS2460" s="53"/>
      <c r="PTT2460" s="53"/>
      <c r="PTU2460" s="62"/>
      <c r="PTV2460" s="61"/>
      <c r="PTW2460" s="53"/>
      <c r="PTX2460" s="53"/>
      <c r="PTY2460" s="62"/>
      <c r="PTZ2460" s="60"/>
      <c r="PUA2460" s="53"/>
      <c r="PUB2460" s="53"/>
      <c r="PUC2460" s="62"/>
      <c r="PUD2460" s="61"/>
      <c r="PUE2460" s="53"/>
      <c r="PUF2460" s="53"/>
      <c r="PUG2460" s="62"/>
      <c r="PUH2460" s="60"/>
      <c r="PUI2460" s="53"/>
      <c r="PUJ2460" s="53"/>
      <c r="PUK2460" s="62"/>
      <c r="PUL2460" s="61"/>
      <c r="PUM2460" s="53"/>
      <c r="PUN2460" s="53"/>
      <c r="PUO2460" s="62"/>
      <c r="PUP2460" s="60"/>
      <c r="PUQ2460" s="53"/>
      <c r="PUR2460" s="53"/>
      <c r="PUS2460" s="62"/>
      <c r="PUT2460" s="61"/>
      <c r="PUU2460" s="53"/>
      <c r="PUV2460" s="53"/>
      <c r="PUW2460" s="62"/>
      <c r="PUX2460" s="60"/>
      <c r="PUY2460" s="53"/>
      <c r="PUZ2460" s="53"/>
      <c r="PVA2460" s="62"/>
      <c r="PVB2460" s="61"/>
      <c r="PVC2460" s="53"/>
      <c r="PVD2460" s="53"/>
      <c r="PVE2460" s="62"/>
      <c r="PVF2460" s="60"/>
      <c r="PVG2460" s="53"/>
      <c r="PVH2460" s="53"/>
      <c r="PVI2460" s="62"/>
      <c r="PVJ2460" s="61"/>
      <c r="PVK2460" s="53"/>
      <c r="PVL2460" s="53"/>
      <c r="PVM2460" s="62"/>
      <c r="PVN2460" s="60"/>
      <c r="PVO2460" s="53"/>
      <c r="PVP2460" s="53"/>
      <c r="PVQ2460" s="62"/>
      <c r="PVR2460" s="61"/>
      <c r="PVS2460" s="53"/>
      <c r="PVT2460" s="53"/>
      <c r="PVU2460" s="62"/>
      <c r="PVV2460" s="60"/>
      <c r="PVW2460" s="53"/>
      <c r="PVX2460" s="53"/>
      <c r="PVY2460" s="62"/>
      <c r="PVZ2460" s="61"/>
      <c r="PWA2460" s="53"/>
      <c r="PWB2460" s="53"/>
      <c r="PWC2460" s="62"/>
      <c r="PWD2460" s="60"/>
      <c r="PWE2460" s="53"/>
      <c r="PWF2460" s="53"/>
      <c r="PWG2460" s="62"/>
      <c r="PWH2460" s="61"/>
      <c r="PWI2460" s="53"/>
      <c r="PWJ2460" s="53"/>
      <c r="PWK2460" s="62"/>
      <c r="PWL2460" s="60"/>
      <c r="PWM2460" s="53"/>
      <c r="PWN2460" s="53"/>
      <c r="PWO2460" s="62"/>
      <c r="PWP2460" s="61"/>
      <c r="PWQ2460" s="53"/>
      <c r="PWR2460" s="53"/>
      <c r="PWS2460" s="62"/>
      <c r="PWT2460" s="60"/>
      <c r="PWU2460" s="53"/>
      <c r="PWV2460" s="53"/>
      <c r="PWW2460" s="62"/>
      <c r="PWX2460" s="61"/>
      <c r="PWY2460" s="53"/>
      <c r="PWZ2460" s="53"/>
      <c r="PXA2460" s="62"/>
      <c r="PXB2460" s="60"/>
      <c r="PXC2460" s="53"/>
      <c r="PXD2460" s="53"/>
      <c r="PXE2460" s="62"/>
      <c r="PXF2460" s="61"/>
      <c r="PXG2460" s="53"/>
      <c r="PXH2460" s="53"/>
      <c r="PXI2460" s="62"/>
      <c r="PXJ2460" s="60"/>
      <c r="PXK2460" s="53"/>
      <c r="PXL2460" s="53"/>
      <c r="PXM2460" s="62"/>
      <c r="PXN2460" s="61"/>
      <c r="PXO2460" s="53"/>
      <c r="PXP2460" s="53"/>
      <c r="PXQ2460" s="62"/>
      <c r="PXR2460" s="60"/>
      <c r="PXS2460" s="53"/>
      <c r="PXT2460" s="53"/>
      <c r="PXU2460" s="62"/>
      <c r="PXV2460" s="61"/>
      <c r="PXW2460" s="53"/>
      <c r="PXX2460" s="53"/>
      <c r="PXY2460" s="62"/>
      <c r="PXZ2460" s="60"/>
      <c r="PYA2460" s="53"/>
      <c r="PYB2460" s="53"/>
      <c r="PYC2460" s="62"/>
      <c r="PYD2460" s="61"/>
      <c r="PYE2460" s="53"/>
      <c r="PYF2460" s="53"/>
      <c r="PYG2460" s="62"/>
      <c r="PYH2460" s="60"/>
      <c r="PYI2460" s="53"/>
      <c r="PYJ2460" s="53"/>
      <c r="PYK2460" s="62"/>
      <c r="PYL2460" s="61"/>
      <c r="PYM2460" s="53"/>
      <c r="PYN2460" s="53"/>
      <c r="PYO2460" s="62"/>
      <c r="PYP2460" s="60"/>
      <c r="PYQ2460" s="53"/>
      <c r="PYR2460" s="53"/>
      <c r="PYS2460" s="62"/>
      <c r="PYT2460" s="61"/>
      <c r="PYU2460" s="53"/>
      <c r="PYV2460" s="53"/>
      <c r="PYW2460" s="62"/>
      <c r="PYX2460" s="60"/>
      <c r="PYY2460" s="53"/>
      <c r="PYZ2460" s="53"/>
      <c r="PZA2460" s="62"/>
      <c r="PZB2460" s="61"/>
      <c r="PZC2460" s="53"/>
      <c r="PZD2460" s="53"/>
      <c r="PZE2460" s="62"/>
      <c r="PZF2460" s="60"/>
      <c r="PZG2460" s="53"/>
      <c r="PZH2460" s="53"/>
      <c r="PZI2460" s="62"/>
      <c r="PZJ2460" s="61"/>
      <c r="PZK2460" s="53"/>
      <c r="PZL2460" s="53"/>
      <c r="PZM2460" s="62"/>
      <c r="PZN2460" s="60"/>
      <c r="PZO2460" s="53"/>
      <c r="PZP2460" s="53"/>
      <c r="PZQ2460" s="62"/>
      <c r="PZR2460" s="61"/>
      <c r="PZS2460" s="53"/>
      <c r="PZT2460" s="53"/>
      <c r="PZU2460" s="62"/>
      <c r="PZV2460" s="60"/>
      <c r="PZW2460" s="53"/>
      <c r="PZX2460" s="53"/>
      <c r="PZY2460" s="62"/>
      <c r="PZZ2460" s="61"/>
      <c r="QAA2460" s="53"/>
      <c r="QAB2460" s="53"/>
      <c r="QAC2460" s="62"/>
      <c r="QAD2460" s="60"/>
      <c r="QAE2460" s="53"/>
      <c r="QAF2460" s="53"/>
      <c r="QAG2460" s="62"/>
      <c r="QAH2460" s="61"/>
      <c r="QAI2460" s="53"/>
      <c r="QAJ2460" s="53"/>
      <c r="QAK2460" s="62"/>
      <c r="QAL2460" s="60"/>
      <c r="QAM2460" s="53"/>
      <c r="QAN2460" s="53"/>
      <c r="QAO2460" s="62"/>
      <c r="QAP2460" s="61"/>
      <c r="QAQ2460" s="53"/>
      <c r="QAR2460" s="53"/>
      <c r="QAS2460" s="62"/>
      <c r="QAT2460" s="60"/>
      <c r="QAU2460" s="53"/>
      <c r="QAV2460" s="53"/>
      <c r="QAW2460" s="62"/>
      <c r="QAX2460" s="61"/>
      <c r="QAY2460" s="53"/>
      <c r="QAZ2460" s="53"/>
      <c r="QBA2460" s="62"/>
      <c r="QBB2460" s="60"/>
      <c r="QBC2460" s="53"/>
      <c r="QBD2460" s="53"/>
      <c r="QBE2460" s="62"/>
      <c r="QBF2460" s="61"/>
      <c r="QBG2460" s="53"/>
      <c r="QBH2460" s="53"/>
      <c r="QBI2460" s="62"/>
      <c r="QBJ2460" s="60"/>
      <c r="QBK2460" s="53"/>
      <c r="QBL2460" s="53"/>
      <c r="QBM2460" s="62"/>
      <c r="QBN2460" s="61"/>
      <c r="QBO2460" s="53"/>
      <c r="QBP2460" s="53"/>
      <c r="QBQ2460" s="62"/>
      <c r="QBR2460" s="60"/>
      <c r="QBS2460" s="53"/>
      <c r="QBT2460" s="53"/>
      <c r="QBU2460" s="62"/>
      <c r="QBV2460" s="61"/>
      <c r="QBW2460" s="53"/>
      <c r="QBX2460" s="53"/>
      <c r="QBY2460" s="62"/>
      <c r="QBZ2460" s="60"/>
      <c r="QCA2460" s="53"/>
      <c r="QCB2460" s="53"/>
      <c r="QCC2460" s="62"/>
      <c r="QCD2460" s="61"/>
      <c r="QCE2460" s="53"/>
      <c r="QCF2460" s="53"/>
      <c r="QCG2460" s="62"/>
      <c r="QCH2460" s="60"/>
      <c r="QCI2460" s="53"/>
      <c r="QCJ2460" s="53"/>
      <c r="QCK2460" s="62"/>
      <c r="QCL2460" s="61"/>
      <c r="QCM2460" s="53"/>
      <c r="QCN2460" s="53"/>
      <c r="QCO2460" s="62"/>
      <c r="QCP2460" s="60"/>
      <c r="QCQ2460" s="53"/>
      <c r="QCR2460" s="53"/>
      <c r="QCS2460" s="62"/>
      <c r="QCT2460" s="61"/>
      <c r="QCU2460" s="53"/>
      <c r="QCV2460" s="53"/>
      <c r="QCW2460" s="62"/>
      <c r="QCX2460" s="60"/>
      <c r="QCY2460" s="53"/>
      <c r="QCZ2460" s="53"/>
      <c r="QDA2460" s="62"/>
      <c r="QDB2460" s="61"/>
      <c r="QDC2460" s="53"/>
      <c r="QDD2460" s="53"/>
      <c r="QDE2460" s="62"/>
      <c r="QDF2460" s="60"/>
      <c r="QDG2460" s="53"/>
      <c r="QDH2460" s="53"/>
      <c r="QDI2460" s="62"/>
      <c r="QDJ2460" s="61"/>
      <c r="QDK2460" s="53"/>
      <c r="QDL2460" s="53"/>
      <c r="QDM2460" s="62"/>
      <c r="QDN2460" s="60"/>
      <c r="QDO2460" s="53"/>
      <c r="QDP2460" s="53"/>
      <c r="QDQ2460" s="62"/>
      <c r="QDR2460" s="61"/>
      <c r="QDS2460" s="53"/>
      <c r="QDT2460" s="53"/>
      <c r="QDU2460" s="62"/>
      <c r="QDV2460" s="60"/>
      <c r="QDW2460" s="53"/>
      <c r="QDX2460" s="53"/>
      <c r="QDY2460" s="62"/>
      <c r="QDZ2460" s="61"/>
      <c r="QEA2460" s="53"/>
      <c r="QEB2460" s="53"/>
      <c r="QEC2460" s="62"/>
      <c r="QED2460" s="60"/>
      <c r="QEE2460" s="53"/>
      <c r="QEF2460" s="53"/>
      <c r="QEG2460" s="62"/>
      <c r="QEH2460" s="61"/>
      <c r="QEI2460" s="53"/>
      <c r="QEJ2460" s="53"/>
      <c r="QEK2460" s="62"/>
      <c r="QEL2460" s="60"/>
      <c r="QEM2460" s="53"/>
      <c r="QEN2460" s="53"/>
      <c r="QEO2460" s="62"/>
      <c r="QEP2460" s="61"/>
      <c r="QEQ2460" s="53"/>
      <c r="QER2460" s="53"/>
      <c r="QES2460" s="62"/>
      <c r="QET2460" s="60"/>
      <c r="QEU2460" s="53"/>
      <c r="QEV2460" s="53"/>
      <c r="QEW2460" s="62"/>
      <c r="QEX2460" s="61"/>
      <c r="QEY2460" s="53"/>
      <c r="QEZ2460" s="53"/>
      <c r="QFA2460" s="62"/>
      <c r="QFB2460" s="60"/>
      <c r="QFC2460" s="53"/>
      <c r="QFD2460" s="53"/>
      <c r="QFE2460" s="62"/>
      <c r="QFF2460" s="61"/>
      <c r="QFG2460" s="53"/>
      <c r="QFH2460" s="53"/>
      <c r="QFI2460" s="62"/>
      <c r="QFJ2460" s="60"/>
      <c r="QFK2460" s="53"/>
      <c r="QFL2460" s="53"/>
      <c r="QFM2460" s="62"/>
      <c r="QFN2460" s="61"/>
      <c r="QFO2460" s="53"/>
      <c r="QFP2460" s="53"/>
      <c r="QFQ2460" s="62"/>
      <c r="QFR2460" s="60"/>
      <c r="QFS2460" s="53"/>
      <c r="QFT2460" s="53"/>
      <c r="QFU2460" s="62"/>
      <c r="QFV2460" s="61"/>
      <c r="QFW2460" s="53"/>
      <c r="QFX2460" s="53"/>
      <c r="QFY2460" s="62"/>
      <c r="QFZ2460" s="60"/>
      <c r="QGA2460" s="53"/>
      <c r="QGB2460" s="53"/>
      <c r="QGC2460" s="62"/>
      <c r="QGD2460" s="61"/>
      <c r="QGE2460" s="53"/>
      <c r="QGF2460" s="53"/>
      <c r="QGG2460" s="62"/>
      <c r="QGH2460" s="60"/>
      <c r="QGI2460" s="53"/>
      <c r="QGJ2460" s="53"/>
      <c r="QGK2460" s="62"/>
      <c r="QGL2460" s="61"/>
      <c r="QGM2460" s="53"/>
      <c r="QGN2460" s="53"/>
      <c r="QGO2460" s="62"/>
      <c r="QGP2460" s="60"/>
      <c r="QGQ2460" s="53"/>
      <c r="QGR2460" s="53"/>
      <c r="QGS2460" s="62"/>
      <c r="QGT2460" s="61"/>
      <c r="QGU2460" s="53"/>
      <c r="QGV2460" s="53"/>
      <c r="QGW2460" s="62"/>
      <c r="QGX2460" s="60"/>
      <c r="QGY2460" s="53"/>
      <c r="QGZ2460" s="53"/>
      <c r="QHA2460" s="62"/>
      <c r="QHB2460" s="61"/>
      <c r="QHC2460" s="53"/>
      <c r="QHD2460" s="53"/>
      <c r="QHE2460" s="62"/>
      <c r="QHF2460" s="60"/>
      <c r="QHG2460" s="53"/>
      <c r="QHH2460" s="53"/>
      <c r="QHI2460" s="62"/>
      <c r="QHJ2460" s="61"/>
      <c r="QHK2460" s="53"/>
      <c r="QHL2460" s="53"/>
      <c r="QHM2460" s="62"/>
      <c r="QHN2460" s="60"/>
      <c r="QHO2460" s="53"/>
      <c r="QHP2460" s="53"/>
      <c r="QHQ2460" s="62"/>
      <c r="QHR2460" s="61"/>
      <c r="QHS2460" s="53"/>
      <c r="QHT2460" s="53"/>
      <c r="QHU2460" s="62"/>
      <c r="QHV2460" s="60"/>
      <c r="QHW2460" s="53"/>
      <c r="QHX2460" s="53"/>
      <c r="QHY2460" s="62"/>
      <c r="QHZ2460" s="61"/>
      <c r="QIA2460" s="53"/>
      <c r="QIB2460" s="53"/>
      <c r="QIC2460" s="62"/>
      <c r="QID2460" s="60"/>
      <c r="QIE2460" s="53"/>
      <c r="QIF2460" s="53"/>
      <c r="QIG2460" s="62"/>
      <c r="QIH2460" s="61"/>
      <c r="QII2460" s="53"/>
      <c r="QIJ2460" s="53"/>
      <c r="QIK2460" s="62"/>
      <c r="QIL2460" s="60"/>
      <c r="QIM2460" s="53"/>
      <c r="QIN2460" s="53"/>
      <c r="QIO2460" s="62"/>
      <c r="QIP2460" s="61"/>
      <c r="QIQ2460" s="53"/>
      <c r="QIR2460" s="53"/>
      <c r="QIS2460" s="62"/>
      <c r="QIT2460" s="60"/>
      <c r="QIU2460" s="53"/>
      <c r="QIV2460" s="53"/>
      <c r="QIW2460" s="62"/>
      <c r="QIX2460" s="61"/>
      <c r="QIY2460" s="53"/>
      <c r="QIZ2460" s="53"/>
      <c r="QJA2460" s="62"/>
      <c r="QJB2460" s="60"/>
      <c r="QJC2460" s="53"/>
      <c r="QJD2460" s="53"/>
      <c r="QJE2460" s="62"/>
      <c r="QJF2460" s="61"/>
      <c r="QJG2460" s="53"/>
      <c r="QJH2460" s="53"/>
      <c r="QJI2460" s="62"/>
      <c r="QJJ2460" s="60"/>
      <c r="QJK2460" s="53"/>
      <c r="QJL2460" s="53"/>
      <c r="QJM2460" s="62"/>
      <c r="QJN2460" s="61"/>
      <c r="QJO2460" s="53"/>
      <c r="QJP2460" s="53"/>
      <c r="QJQ2460" s="62"/>
      <c r="QJR2460" s="60"/>
      <c r="QJS2460" s="53"/>
      <c r="QJT2460" s="53"/>
      <c r="QJU2460" s="62"/>
      <c r="QJV2460" s="61"/>
      <c r="QJW2460" s="53"/>
      <c r="QJX2460" s="53"/>
      <c r="QJY2460" s="62"/>
      <c r="QJZ2460" s="60"/>
      <c r="QKA2460" s="53"/>
      <c r="QKB2460" s="53"/>
      <c r="QKC2460" s="62"/>
      <c r="QKD2460" s="61"/>
      <c r="QKE2460" s="53"/>
      <c r="QKF2460" s="53"/>
      <c r="QKG2460" s="62"/>
      <c r="QKH2460" s="60"/>
      <c r="QKI2460" s="53"/>
      <c r="QKJ2460" s="53"/>
      <c r="QKK2460" s="62"/>
      <c r="QKL2460" s="61"/>
      <c r="QKM2460" s="53"/>
      <c r="QKN2460" s="53"/>
      <c r="QKO2460" s="62"/>
      <c r="QKP2460" s="60"/>
      <c r="QKQ2460" s="53"/>
      <c r="QKR2460" s="53"/>
      <c r="QKS2460" s="62"/>
      <c r="QKT2460" s="61"/>
      <c r="QKU2460" s="53"/>
      <c r="QKV2460" s="53"/>
      <c r="QKW2460" s="62"/>
      <c r="QKX2460" s="60"/>
      <c r="QKY2460" s="53"/>
      <c r="QKZ2460" s="53"/>
      <c r="QLA2460" s="62"/>
      <c r="QLB2460" s="61"/>
      <c r="QLC2460" s="53"/>
      <c r="QLD2460" s="53"/>
      <c r="QLE2460" s="62"/>
      <c r="QLF2460" s="60"/>
      <c r="QLG2460" s="53"/>
      <c r="QLH2460" s="53"/>
      <c r="QLI2460" s="62"/>
      <c r="QLJ2460" s="61"/>
      <c r="QLK2460" s="53"/>
      <c r="QLL2460" s="53"/>
      <c r="QLM2460" s="62"/>
      <c r="QLN2460" s="60"/>
      <c r="QLO2460" s="53"/>
      <c r="QLP2460" s="53"/>
      <c r="QLQ2460" s="62"/>
      <c r="QLR2460" s="61"/>
      <c r="QLS2460" s="53"/>
      <c r="QLT2460" s="53"/>
      <c r="QLU2460" s="62"/>
      <c r="QLV2460" s="60"/>
      <c r="QLW2460" s="53"/>
      <c r="QLX2460" s="53"/>
      <c r="QLY2460" s="62"/>
      <c r="QLZ2460" s="61"/>
      <c r="QMA2460" s="53"/>
      <c r="QMB2460" s="53"/>
      <c r="QMC2460" s="62"/>
      <c r="QMD2460" s="60"/>
      <c r="QME2460" s="53"/>
      <c r="QMF2460" s="53"/>
      <c r="QMG2460" s="62"/>
      <c r="QMH2460" s="61"/>
      <c r="QMI2460" s="53"/>
      <c r="QMJ2460" s="53"/>
      <c r="QMK2460" s="62"/>
      <c r="QML2460" s="60"/>
      <c r="QMM2460" s="53"/>
      <c r="QMN2460" s="53"/>
      <c r="QMO2460" s="62"/>
      <c r="QMP2460" s="61"/>
      <c r="QMQ2460" s="53"/>
      <c r="QMR2460" s="53"/>
      <c r="QMS2460" s="62"/>
      <c r="QMT2460" s="60"/>
      <c r="QMU2460" s="53"/>
      <c r="QMV2460" s="53"/>
      <c r="QMW2460" s="62"/>
      <c r="QMX2460" s="61"/>
      <c r="QMY2460" s="53"/>
      <c r="QMZ2460" s="53"/>
      <c r="QNA2460" s="62"/>
      <c r="QNB2460" s="60"/>
      <c r="QNC2460" s="53"/>
      <c r="QND2460" s="53"/>
      <c r="QNE2460" s="62"/>
      <c r="QNF2460" s="61"/>
      <c r="QNG2460" s="53"/>
      <c r="QNH2460" s="53"/>
      <c r="QNI2460" s="62"/>
      <c r="QNJ2460" s="60"/>
      <c r="QNK2460" s="53"/>
      <c r="QNL2460" s="53"/>
      <c r="QNM2460" s="62"/>
      <c r="QNN2460" s="61"/>
      <c r="QNO2460" s="53"/>
      <c r="QNP2460" s="53"/>
      <c r="QNQ2460" s="62"/>
      <c r="QNR2460" s="60"/>
      <c r="QNS2460" s="53"/>
      <c r="QNT2460" s="53"/>
      <c r="QNU2460" s="62"/>
      <c r="QNV2460" s="61"/>
      <c r="QNW2460" s="53"/>
      <c r="QNX2460" s="53"/>
      <c r="QNY2460" s="62"/>
      <c r="QNZ2460" s="60"/>
      <c r="QOA2460" s="53"/>
      <c r="QOB2460" s="53"/>
      <c r="QOC2460" s="62"/>
      <c r="QOD2460" s="61"/>
      <c r="QOE2460" s="53"/>
      <c r="QOF2460" s="53"/>
      <c r="QOG2460" s="62"/>
      <c r="QOH2460" s="60"/>
      <c r="QOI2460" s="53"/>
      <c r="QOJ2460" s="53"/>
      <c r="QOK2460" s="62"/>
      <c r="QOL2460" s="61"/>
      <c r="QOM2460" s="53"/>
      <c r="QON2460" s="53"/>
      <c r="QOO2460" s="62"/>
      <c r="QOP2460" s="60"/>
      <c r="QOQ2460" s="53"/>
      <c r="QOR2460" s="53"/>
      <c r="QOS2460" s="62"/>
      <c r="QOT2460" s="61"/>
      <c r="QOU2460" s="53"/>
      <c r="QOV2460" s="53"/>
      <c r="QOW2460" s="62"/>
      <c r="QOX2460" s="60"/>
      <c r="QOY2460" s="53"/>
      <c r="QOZ2460" s="53"/>
      <c r="QPA2460" s="62"/>
      <c r="QPB2460" s="61"/>
      <c r="QPC2460" s="53"/>
      <c r="QPD2460" s="53"/>
      <c r="QPE2460" s="62"/>
      <c r="QPF2460" s="60"/>
      <c r="QPG2460" s="53"/>
      <c r="QPH2460" s="53"/>
      <c r="QPI2460" s="62"/>
      <c r="QPJ2460" s="61"/>
      <c r="QPK2460" s="53"/>
      <c r="QPL2460" s="53"/>
      <c r="QPM2460" s="62"/>
      <c r="QPN2460" s="60"/>
      <c r="QPO2460" s="53"/>
      <c r="QPP2460" s="53"/>
      <c r="QPQ2460" s="62"/>
      <c r="QPR2460" s="61"/>
      <c r="QPS2460" s="53"/>
      <c r="QPT2460" s="53"/>
      <c r="QPU2460" s="62"/>
      <c r="QPV2460" s="60"/>
      <c r="QPW2460" s="53"/>
      <c r="QPX2460" s="53"/>
      <c r="QPY2460" s="62"/>
      <c r="QPZ2460" s="61"/>
      <c r="QQA2460" s="53"/>
      <c r="QQB2460" s="53"/>
      <c r="QQC2460" s="62"/>
      <c r="QQD2460" s="60"/>
      <c r="QQE2460" s="53"/>
      <c r="QQF2460" s="53"/>
      <c r="QQG2460" s="62"/>
      <c r="QQH2460" s="61"/>
      <c r="QQI2460" s="53"/>
      <c r="QQJ2460" s="53"/>
      <c r="QQK2460" s="62"/>
      <c r="QQL2460" s="60"/>
      <c r="QQM2460" s="53"/>
      <c r="QQN2460" s="53"/>
      <c r="QQO2460" s="62"/>
      <c r="QQP2460" s="61"/>
      <c r="QQQ2460" s="53"/>
      <c r="QQR2460" s="53"/>
      <c r="QQS2460" s="62"/>
      <c r="QQT2460" s="60"/>
      <c r="QQU2460" s="53"/>
      <c r="QQV2460" s="53"/>
      <c r="QQW2460" s="62"/>
      <c r="QQX2460" s="61"/>
      <c r="QQY2460" s="53"/>
      <c r="QQZ2460" s="53"/>
      <c r="QRA2460" s="62"/>
      <c r="QRB2460" s="60"/>
      <c r="QRC2460" s="53"/>
      <c r="QRD2460" s="53"/>
      <c r="QRE2460" s="62"/>
      <c r="QRF2460" s="61"/>
      <c r="QRG2460" s="53"/>
      <c r="QRH2460" s="53"/>
      <c r="QRI2460" s="62"/>
      <c r="QRJ2460" s="60"/>
      <c r="QRK2460" s="53"/>
      <c r="QRL2460" s="53"/>
      <c r="QRM2460" s="62"/>
      <c r="QRN2460" s="61"/>
      <c r="QRO2460" s="53"/>
      <c r="QRP2460" s="53"/>
      <c r="QRQ2460" s="62"/>
      <c r="QRR2460" s="60"/>
      <c r="QRS2460" s="53"/>
      <c r="QRT2460" s="53"/>
      <c r="QRU2460" s="62"/>
      <c r="QRV2460" s="61"/>
      <c r="QRW2460" s="53"/>
      <c r="QRX2460" s="53"/>
      <c r="QRY2460" s="62"/>
      <c r="QRZ2460" s="60"/>
      <c r="QSA2460" s="53"/>
      <c r="QSB2460" s="53"/>
      <c r="QSC2460" s="62"/>
      <c r="QSD2460" s="61"/>
      <c r="QSE2460" s="53"/>
      <c r="QSF2460" s="53"/>
      <c r="QSG2460" s="62"/>
      <c r="QSH2460" s="60"/>
      <c r="QSI2460" s="53"/>
      <c r="QSJ2460" s="53"/>
      <c r="QSK2460" s="62"/>
      <c r="QSL2460" s="61"/>
      <c r="QSM2460" s="53"/>
      <c r="QSN2460" s="53"/>
      <c r="QSO2460" s="62"/>
      <c r="QSP2460" s="60"/>
      <c r="QSQ2460" s="53"/>
      <c r="QSR2460" s="53"/>
      <c r="QSS2460" s="62"/>
      <c r="QST2460" s="61"/>
      <c r="QSU2460" s="53"/>
      <c r="QSV2460" s="53"/>
      <c r="QSW2460" s="62"/>
      <c r="QSX2460" s="60"/>
      <c r="QSY2460" s="53"/>
      <c r="QSZ2460" s="53"/>
      <c r="QTA2460" s="62"/>
      <c r="QTB2460" s="61"/>
      <c r="QTC2460" s="53"/>
      <c r="QTD2460" s="53"/>
      <c r="QTE2460" s="62"/>
      <c r="QTF2460" s="60"/>
      <c r="QTG2460" s="53"/>
      <c r="QTH2460" s="53"/>
      <c r="QTI2460" s="62"/>
      <c r="QTJ2460" s="61"/>
      <c r="QTK2460" s="53"/>
      <c r="QTL2460" s="53"/>
      <c r="QTM2460" s="62"/>
      <c r="QTN2460" s="60"/>
      <c r="QTO2460" s="53"/>
      <c r="QTP2460" s="53"/>
      <c r="QTQ2460" s="62"/>
      <c r="QTR2460" s="61"/>
      <c r="QTS2460" s="53"/>
      <c r="QTT2460" s="53"/>
      <c r="QTU2460" s="62"/>
      <c r="QTV2460" s="60"/>
      <c r="QTW2460" s="53"/>
      <c r="QTX2460" s="53"/>
      <c r="QTY2460" s="62"/>
      <c r="QTZ2460" s="61"/>
      <c r="QUA2460" s="53"/>
      <c r="QUB2460" s="53"/>
      <c r="QUC2460" s="62"/>
      <c r="QUD2460" s="60"/>
      <c r="QUE2460" s="53"/>
      <c r="QUF2460" s="53"/>
      <c r="QUG2460" s="62"/>
      <c r="QUH2460" s="61"/>
      <c r="QUI2460" s="53"/>
      <c r="QUJ2460" s="53"/>
      <c r="QUK2460" s="62"/>
      <c r="QUL2460" s="60"/>
      <c r="QUM2460" s="53"/>
      <c r="QUN2460" s="53"/>
      <c r="QUO2460" s="62"/>
      <c r="QUP2460" s="61"/>
      <c r="QUQ2460" s="53"/>
      <c r="QUR2460" s="53"/>
      <c r="QUS2460" s="62"/>
      <c r="QUT2460" s="60"/>
      <c r="QUU2460" s="53"/>
      <c r="QUV2460" s="53"/>
      <c r="QUW2460" s="62"/>
      <c r="QUX2460" s="61"/>
      <c r="QUY2460" s="53"/>
      <c r="QUZ2460" s="53"/>
      <c r="QVA2460" s="62"/>
      <c r="QVB2460" s="60"/>
      <c r="QVC2460" s="53"/>
      <c r="QVD2460" s="53"/>
      <c r="QVE2460" s="62"/>
      <c r="QVF2460" s="61"/>
      <c r="QVG2460" s="53"/>
      <c r="QVH2460" s="53"/>
      <c r="QVI2460" s="62"/>
      <c r="QVJ2460" s="60"/>
      <c r="QVK2460" s="53"/>
      <c r="QVL2460" s="53"/>
      <c r="QVM2460" s="62"/>
      <c r="QVN2460" s="61"/>
      <c r="QVO2460" s="53"/>
      <c r="QVP2460" s="53"/>
      <c r="QVQ2460" s="62"/>
      <c r="QVR2460" s="60"/>
      <c r="QVS2460" s="53"/>
      <c r="QVT2460" s="53"/>
      <c r="QVU2460" s="62"/>
      <c r="QVV2460" s="61"/>
      <c r="QVW2460" s="53"/>
      <c r="QVX2460" s="53"/>
      <c r="QVY2460" s="62"/>
      <c r="QVZ2460" s="60"/>
      <c r="QWA2460" s="53"/>
      <c r="QWB2460" s="53"/>
      <c r="QWC2460" s="62"/>
      <c r="QWD2460" s="61"/>
      <c r="QWE2460" s="53"/>
      <c r="QWF2460" s="53"/>
      <c r="QWG2460" s="62"/>
      <c r="QWH2460" s="60"/>
      <c r="QWI2460" s="53"/>
      <c r="QWJ2460" s="53"/>
      <c r="QWK2460" s="62"/>
      <c r="QWL2460" s="61"/>
      <c r="QWM2460" s="53"/>
      <c r="QWN2460" s="53"/>
      <c r="QWO2460" s="62"/>
      <c r="QWP2460" s="60"/>
      <c r="QWQ2460" s="53"/>
      <c r="QWR2460" s="53"/>
      <c r="QWS2460" s="62"/>
      <c r="QWT2460" s="61"/>
      <c r="QWU2460" s="53"/>
      <c r="QWV2460" s="53"/>
      <c r="QWW2460" s="62"/>
      <c r="QWX2460" s="60"/>
      <c r="QWY2460" s="53"/>
      <c r="QWZ2460" s="53"/>
      <c r="QXA2460" s="62"/>
      <c r="QXB2460" s="61"/>
      <c r="QXC2460" s="53"/>
      <c r="QXD2460" s="53"/>
      <c r="QXE2460" s="62"/>
      <c r="QXF2460" s="60"/>
      <c r="QXG2460" s="53"/>
      <c r="QXH2460" s="53"/>
      <c r="QXI2460" s="62"/>
      <c r="QXJ2460" s="61"/>
      <c r="QXK2460" s="53"/>
      <c r="QXL2460" s="53"/>
      <c r="QXM2460" s="62"/>
      <c r="QXN2460" s="60"/>
      <c r="QXO2460" s="53"/>
      <c r="QXP2460" s="53"/>
      <c r="QXQ2460" s="62"/>
      <c r="QXR2460" s="61"/>
      <c r="QXS2460" s="53"/>
      <c r="QXT2460" s="53"/>
      <c r="QXU2460" s="62"/>
      <c r="QXV2460" s="60"/>
      <c r="QXW2460" s="53"/>
      <c r="QXX2460" s="53"/>
      <c r="QXY2460" s="62"/>
      <c r="QXZ2460" s="61"/>
      <c r="QYA2460" s="53"/>
      <c r="QYB2460" s="53"/>
      <c r="QYC2460" s="62"/>
      <c r="QYD2460" s="60"/>
      <c r="QYE2460" s="53"/>
      <c r="QYF2460" s="53"/>
      <c r="QYG2460" s="62"/>
      <c r="QYH2460" s="61"/>
      <c r="QYI2460" s="53"/>
      <c r="QYJ2460" s="53"/>
      <c r="QYK2460" s="62"/>
      <c r="QYL2460" s="60"/>
      <c r="QYM2460" s="53"/>
      <c r="QYN2460" s="53"/>
      <c r="QYO2460" s="62"/>
      <c r="QYP2460" s="61"/>
      <c r="QYQ2460" s="53"/>
      <c r="QYR2460" s="53"/>
      <c r="QYS2460" s="62"/>
      <c r="QYT2460" s="60"/>
      <c r="QYU2460" s="53"/>
      <c r="QYV2460" s="53"/>
      <c r="QYW2460" s="62"/>
      <c r="QYX2460" s="61"/>
      <c r="QYY2460" s="53"/>
      <c r="QYZ2460" s="53"/>
      <c r="QZA2460" s="62"/>
      <c r="QZB2460" s="60"/>
      <c r="QZC2460" s="53"/>
      <c r="QZD2460" s="53"/>
      <c r="QZE2460" s="62"/>
      <c r="QZF2460" s="61"/>
      <c r="QZG2460" s="53"/>
      <c r="QZH2460" s="53"/>
      <c r="QZI2460" s="62"/>
      <c r="QZJ2460" s="60"/>
      <c r="QZK2460" s="53"/>
      <c r="QZL2460" s="53"/>
      <c r="QZM2460" s="62"/>
      <c r="QZN2460" s="61"/>
      <c r="QZO2460" s="53"/>
      <c r="QZP2460" s="53"/>
      <c r="QZQ2460" s="62"/>
      <c r="QZR2460" s="60"/>
      <c r="QZS2460" s="53"/>
      <c r="QZT2460" s="53"/>
      <c r="QZU2460" s="62"/>
      <c r="QZV2460" s="61"/>
      <c r="QZW2460" s="53"/>
      <c r="QZX2460" s="53"/>
      <c r="QZY2460" s="62"/>
      <c r="QZZ2460" s="60"/>
      <c r="RAA2460" s="53"/>
      <c r="RAB2460" s="53"/>
      <c r="RAC2460" s="62"/>
      <c r="RAD2460" s="61"/>
      <c r="RAE2460" s="53"/>
      <c r="RAF2460" s="53"/>
      <c r="RAG2460" s="62"/>
      <c r="RAH2460" s="60"/>
      <c r="RAI2460" s="53"/>
      <c r="RAJ2460" s="53"/>
      <c r="RAK2460" s="62"/>
      <c r="RAL2460" s="61"/>
      <c r="RAM2460" s="53"/>
      <c r="RAN2460" s="53"/>
      <c r="RAO2460" s="62"/>
      <c r="RAP2460" s="60"/>
      <c r="RAQ2460" s="53"/>
      <c r="RAR2460" s="53"/>
      <c r="RAS2460" s="62"/>
      <c r="RAT2460" s="61"/>
      <c r="RAU2460" s="53"/>
      <c r="RAV2460" s="53"/>
      <c r="RAW2460" s="62"/>
      <c r="RAX2460" s="60"/>
      <c r="RAY2460" s="53"/>
      <c r="RAZ2460" s="53"/>
      <c r="RBA2460" s="62"/>
      <c r="RBB2460" s="61"/>
      <c r="RBC2460" s="53"/>
      <c r="RBD2460" s="53"/>
      <c r="RBE2460" s="62"/>
      <c r="RBF2460" s="60"/>
      <c r="RBG2460" s="53"/>
      <c r="RBH2460" s="53"/>
      <c r="RBI2460" s="62"/>
      <c r="RBJ2460" s="61"/>
      <c r="RBK2460" s="53"/>
      <c r="RBL2460" s="53"/>
      <c r="RBM2460" s="62"/>
      <c r="RBN2460" s="60"/>
      <c r="RBO2460" s="53"/>
      <c r="RBP2460" s="53"/>
      <c r="RBQ2460" s="62"/>
      <c r="RBR2460" s="61"/>
      <c r="RBS2460" s="53"/>
      <c r="RBT2460" s="53"/>
      <c r="RBU2460" s="62"/>
      <c r="RBV2460" s="60"/>
      <c r="RBW2460" s="53"/>
      <c r="RBX2460" s="53"/>
      <c r="RBY2460" s="62"/>
      <c r="RBZ2460" s="61"/>
      <c r="RCA2460" s="53"/>
      <c r="RCB2460" s="53"/>
      <c r="RCC2460" s="62"/>
      <c r="RCD2460" s="60"/>
      <c r="RCE2460" s="53"/>
      <c r="RCF2460" s="53"/>
      <c r="RCG2460" s="62"/>
      <c r="RCH2460" s="61"/>
      <c r="RCI2460" s="53"/>
      <c r="RCJ2460" s="53"/>
      <c r="RCK2460" s="62"/>
      <c r="RCL2460" s="60"/>
      <c r="RCM2460" s="53"/>
      <c r="RCN2460" s="53"/>
      <c r="RCO2460" s="62"/>
      <c r="RCP2460" s="61"/>
      <c r="RCQ2460" s="53"/>
      <c r="RCR2460" s="53"/>
      <c r="RCS2460" s="62"/>
      <c r="RCT2460" s="60"/>
      <c r="RCU2460" s="53"/>
      <c r="RCV2460" s="53"/>
      <c r="RCW2460" s="62"/>
      <c r="RCX2460" s="61"/>
      <c r="RCY2460" s="53"/>
      <c r="RCZ2460" s="53"/>
      <c r="RDA2460" s="62"/>
      <c r="RDB2460" s="60"/>
      <c r="RDC2460" s="53"/>
      <c r="RDD2460" s="53"/>
      <c r="RDE2460" s="62"/>
      <c r="RDF2460" s="61"/>
      <c r="RDG2460" s="53"/>
      <c r="RDH2460" s="53"/>
      <c r="RDI2460" s="62"/>
      <c r="RDJ2460" s="60"/>
      <c r="RDK2460" s="53"/>
      <c r="RDL2460" s="53"/>
      <c r="RDM2460" s="62"/>
      <c r="RDN2460" s="61"/>
      <c r="RDO2460" s="53"/>
      <c r="RDP2460" s="53"/>
      <c r="RDQ2460" s="62"/>
      <c r="RDR2460" s="60"/>
      <c r="RDS2460" s="53"/>
      <c r="RDT2460" s="53"/>
      <c r="RDU2460" s="62"/>
      <c r="RDV2460" s="61"/>
      <c r="RDW2460" s="53"/>
      <c r="RDX2460" s="53"/>
      <c r="RDY2460" s="62"/>
      <c r="RDZ2460" s="60"/>
      <c r="REA2460" s="53"/>
      <c r="REB2460" s="53"/>
      <c r="REC2460" s="62"/>
      <c r="RED2460" s="61"/>
      <c r="REE2460" s="53"/>
      <c r="REF2460" s="53"/>
      <c r="REG2460" s="62"/>
      <c r="REH2460" s="60"/>
      <c r="REI2460" s="53"/>
      <c r="REJ2460" s="53"/>
      <c r="REK2460" s="62"/>
      <c r="REL2460" s="61"/>
      <c r="REM2460" s="53"/>
      <c r="REN2460" s="53"/>
      <c r="REO2460" s="62"/>
      <c r="REP2460" s="60"/>
      <c r="REQ2460" s="53"/>
      <c r="RER2460" s="53"/>
      <c r="RES2460" s="62"/>
      <c r="RET2460" s="61"/>
      <c r="REU2460" s="53"/>
      <c r="REV2460" s="53"/>
      <c r="REW2460" s="62"/>
      <c r="REX2460" s="60"/>
      <c r="REY2460" s="53"/>
      <c r="REZ2460" s="53"/>
      <c r="RFA2460" s="62"/>
      <c r="RFB2460" s="61"/>
      <c r="RFC2460" s="53"/>
      <c r="RFD2460" s="53"/>
      <c r="RFE2460" s="62"/>
      <c r="RFF2460" s="60"/>
      <c r="RFG2460" s="53"/>
      <c r="RFH2460" s="53"/>
      <c r="RFI2460" s="62"/>
      <c r="RFJ2460" s="61"/>
      <c r="RFK2460" s="53"/>
      <c r="RFL2460" s="53"/>
      <c r="RFM2460" s="62"/>
      <c r="RFN2460" s="60"/>
      <c r="RFO2460" s="53"/>
      <c r="RFP2460" s="53"/>
      <c r="RFQ2460" s="62"/>
      <c r="RFR2460" s="61"/>
      <c r="RFS2460" s="53"/>
      <c r="RFT2460" s="53"/>
      <c r="RFU2460" s="62"/>
      <c r="RFV2460" s="60"/>
      <c r="RFW2460" s="53"/>
      <c r="RFX2460" s="53"/>
      <c r="RFY2460" s="62"/>
      <c r="RFZ2460" s="61"/>
      <c r="RGA2460" s="53"/>
      <c r="RGB2460" s="53"/>
      <c r="RGC2460" s="62"/>
      <c r="RGD2460" s="60"/>
      <c r="RGE2460" s="53"/>
      <c r="RGF2460" s="53"/>
      <c r="RGG2460" s="62"/>
      <c r="RGH2460" s="61"/>
      <c r="RGI2460" s="53"/>
      <c r="RGJ2460" s="53"/>
      <c r="RGK2460" s="62"/>
      <c r="RGL2460" s="60"/>
      <c r="RGM2460" s="53"/>
      <c r="RGN2460" s="53"/>
      <c r="RGO2460" s="62"/>
      <c r="RGP2460" s="61"/>
      <c r="RGQ2460" s="53"/>
      <c r="RGR2460" s="53"/>
      <c r="RGS2460" s="62"/>
      <c r="RGT2460" s="60"/>
      <c r="RGU2460" s="53"/>
      <c r="RGV2460" s="53"/>
      <c r="RGW2460" s="62"/>
      <c r="RGX2460" s="61"/>
      <c r="RGY2460" s="53"/>
      <c r="RGZ2460" s="53"/>
      <c r="RHA2460" s="62"/>
      <c r="RHB2460" s="60"/>
      <c r="RHC2460" s="53"/>
      <c r="RHD2460" s="53"/>
      <c r="RHE2460" s="62"/>
      <c r="RHF2460" s="61"/>
      <c r="RHG2460" s="53"/>
      <c r="RHH2460" s="53"/>
      <c r="RHI2460" s="62"/>
      <c r="RHJ2460" s="60"/>
      <c r="RHK2460" s="53"/>
      <c r="RHL2460" s="53"/>
      <c r="RHM2460" s="62"/>
      <c r="RHN2460" s="61"/>
      <c r="RHO2460" s="53"/>
      <c r="RHP2460" s="53"/>
      <c r="RHQ2460" s="62"/>
      <c r="RHR2460" s="60"/>
      <c r="RHS2460" s="53"/>
      <c r="RHT2460" s="53"/>
      <c r="RHU2460" s="62"/>
      <c r="RHV2460" s="61"/>
      <c r="RHW2460" s="53"/>
      <c r="RHX2460" s="53"/>
      <c r="RHY2460" s="62"/>
      <c r="RHZ2460" s="60"/>
      <c r="RIA2460" s="53"/>
      <c r="RIB2460" s="53"/>
      <c r="RIC2460" s="62"/>
      <c r="RID2460" s="61"/>
      <c r="RIE2460" s="53"/>
      <c r="RIF2460" s="53"/>
      <c r="RIG2460" s="62"/>
      <c r="RIH2460" s="60"/>
      <c r="RII2460" s="53"/>
      <c r="RIJ2460" s="53"/>
      <c r="RIK2460" s="62"/>
      <c r="RIL2460" s="61"/>
      <c r="RIM2460" s="53"/>
      <c r="RIN2460" s="53"/>
      <c r="RIO2460" s="62"/>
      <c r="RIP2460" s="60"/>
      <c r="RIQ2460" s="53"/>
      <c r="RIR2460" s="53"/>
      <c r="RIS2460" s="62"/>
      <c r="RIT2460" s="61"/>
      <c r="RIU2460" s="53"/>
      <c r="RIV2460" s="53"/>
      <c r="RIW2460" s="62"/>
      <c r="RIX2460" s="60"/>
      <c r="RIY2460" s="53"/>
      <c r="RIZ2460" s="53"/>
      <c r="RJA2460" s="62"/>
      <c r="RJB2460" s="61"/>
      <c r="RJC2460" s="53"/>
      <c r="RJD2460" s="53"/>
      <c r="RJE2460" s="62"/>
      <c r="RJF2460" s="60"/>
      <c r="RJG2460" s="53"/>
      <c r="RJH2460" s="53"/>
      <c r="RJI2460" s="62"/>
      <c r="RJJ2460" s="61"/>
      <c r="RJK2460" s="53"/>
      <c r="RJL2460" s="53"/>
      <c r="RJM2460" s="62"/>
      <c r="RJN2460" s="60"/>
      <c r="RJO2460" s="53"/>
      <c r="RJP2460" s="53"/>
      <c r="RJQ2460" s="62"/>
      <c r="RJR2460" s="61"/>
      <c r="RJS2460" s="53"/>
      <c r="RJT2460" s="53"/>
      <c r="RJU2460" s="62"/>
      <c r="RJV2460" s="60"/>
      <c r="RJW2460" s="53"/>
      <c r="RJX2460" s="53"/>
      <c r="RJY2460" s="62"/>
      <c r="RJZ2460" s="61"/>
      <c r="RKA2460" s="53"/>
      <c r="RKB2460" s="53"/>
      <c r="RKC2460" s="62"/>
      <c r="RKD2460" s="60"/>
      <c r="RKE2460" s="53"/>
      <c r="RKF2460" s="53"/>
      <c r="RKG2460" s="62"/>
      <c r="RKH2460" s="61"/>
      <c r="RKI2460" s="53"/>
      <c r="RKJ2460" s="53"/>
      <c r="RKK2460" s="62"/>
      <c r="RKL2460" s="60"/>
      <c r="RKM2460" s="53"/>
      <c r="RKN2460" s="53"/>
      <c r="RKO2460" s="62"/>
      <c r="RKP2460" s="61"/>
      <c r="RKQ2460" s="53"/>
      <c r="RKR2460" s="53"/>
      <c r="RKS2460" s="62"/>
      <c r="RKT2460" s="60"/>
      <c r="RKU2460" s="53"/>
      <c r="RKV2460" s="53"/>
      <c r="RKW2460" s="62"/>
      <c r="RKX2460" s="61"/>
      <c r="RKY2460" s="53"/>
      <c r="RKZ2460" s="53"/>
      <c r="RLA2460" s="62"/>
      <c r="RLB2460" s="60"/>
      <c r="RLC2460" s="53"/>
      <c r="RLD2460" s="53"/>
      <c r="RLE2460" s="62"/>
      <c r="RLF2460" s="61"/>
      <c r="RLG2460" s="53"/>
      <c r="RLH2460" s="53"/>
      <c r="RLI2460" s="62"/>
      <c r="RLJ2460" s="60"/>
      <c r="RLK2460" s="53"/>
      <c r="RLL2460" s="53"/>
      <c r="RLM2460" s="62"/>
      <c r="RLN2460" s="61"/>
      <c r="RLO2460" s="53"/>
      <c r="RLP2460" s="53"/>
      <c r="RLQ2460" s="62"/>
      <c r="RLR2460" s="60"/>
      <c r="RLS2460" s="53"/>
      <c r="RLT2460" s="53"/>
      <c r="RLU2460" s="62"/>
      <c r="RLV2460" s="61"/>
      <c r="RLW2460" s="53"/>
      <c r="RLX2460" s="53"/>
      <c r="RLY2460" s="62"/>
      <c r="RLZ2460" s="60"/>
      <c r="RMA2460" s="53"/>
      <c r="RMB2460" s="53"/>
      <c r="RMC2460" s="62"/>
      <c r="RMD2460" s="61"/>
      <c r="RME2460" s="53"/>
      <c r="RMF2460" s="53"/>
      <c r="RMG2460" s="62"/>
      <c r="RMH2460" s="60"/>
      <c r="RMI2460" s="53"/>
      <c r="RMJ2460" s="53"/>
      <c r="RMK2460" s="62"/>
      <c r="RML2460" s="61"/>
      <c r="RMM2460" s="53"/>
      <c r="RMN2460" s="53"/>
      <c r="RMO2460" s="62"/>
      <c r="RMP2460" s="60"/>
      <c r="RMQ2460" s="53"/>
      <c r="RMR2460" s="53"/>
      <c r="RMS2460" s="62"/>
      <c r="RMT2460" s="61"/>
      <c r="RMU2460" s="53"/>
      <c r="RMV2460" s="53"/>
      <c r="RMW2460" s="62"/>
      <c r="RMX2460" s="60"/>
      <c r="RMY2460" s="53"/>
      <c r="RMZ2460" s="53"/>
      <c r="RNA2460" s="62"/>
      <c r="RNB2460" s="61"/>
      <c r="RNC2460" s="53"/>
      <c r="RND2460" s="53"/>
      <c r="RNE2460" s="62"/>
      <c r="RNF2460" s="60"/>
      <c r="RNG2460" s="53"/>
      <c r="RNH2460" s="53"/>
      <c r="RNI2460" s="62"/>
      <c r="RNJ2460" s="61"/>
      <c r="RNK2460" s="53"/>
      <c r="RNL2460" s="53"/>
      <c r="RNM2460" s="62"/>
      <c r="RNN2460" s="60"/>
      <c r="RNO2460" s="53"/>
      <c r="RNP2460" s="53"/>
      <c r="RNQ2460" s="62"/>
      <c r="RNR2460" s="61"/>
      <c r="RNS2460" s="53"/>
      <c r="RNT2460" s="53"/>
      <c r="RNU2460" s="62"/>
      <c r="RNV2460" s="60"/>
      <c r="RNW2460" s="53"/>
      <c r="RNX2460" s="53"/>
      <c r="RNY2460" s="62"/>
      <c r="RNZ2460" s="61"/>
      <c r="ROA2460" s="53"/>
      <c r="ROB2460" s="53"/>
      <c r="ROC2460" s="62"/>
      <c r="ROD2460" s="60"/>
      <c r="ROE2460" s="53"/>
      <c r="ROF2460" s="53"/>
      <c r="ROG2460" s="62"/>
      <c r="ROH2460" s="61"/>
      <c r="ROI2460" s="53"/>
      <c r="ROJ2460" s="53"/>
      <c r="ROK2460" s="62"/>
      <c r="ROL2460" s="60"/>
      <c r="ROM2460" s="53"/>
      <c r="RON2460" s="53"/>
      <c r="ROO2460" s="62"/>
      <c r="ROP2460" s="61"/>
      <c r="ROQ2460" s="53"/>
      <c r="ROR2460" s="53"/>
      <c r="ROS2460" s="62"/>
      <c r="ROT2460" s="60"/>
      <c r="ROU2460" s="53"/>
      <c r="ROV2460" s="53"/>
      <c r="ROW2460" s="62"/>
      <c r="ROX2460" s="61"/>
      <c r="ROY2460" s="53"/>
      <c r="ROZ2460" s="53"/>
      <c r="RPA2460" s="62"/>
      <c r="RPB2460" s="60"/>
      <c r="RPC2460" s="53"/>
      <c r="RPD2460" s="53"/>
      <c r="RPE2460" s="62"/>
      <c r="RPF2460" s="61"/>
      <c r="RPG2460" s="53"/>
      <c r="RPH2460" s="53"/>
      <c r="RPI2460" s="62"/>
      <c r="RPJ2460" s="60"/>
      <c r="RPK2460" s="53"/>
      <c r="RPL2460" s="53"/>
      <c r="RPM2460" s="62"/>
      <c r="RPN2460" s="61"/>
      <c r="RPO2460" s="53"/>
      <c r="RPP2460" s="53"/>
      <c r="RPQ2460" s="62"/>
      <c r="RPR2460" s="60"/>
      <c r="RPS2460" s="53"/>
      <c r="RPT2460" s="53"/>
      <c r="RPU2460" s="62"/>
      <c r="RPV2460" s="61"/>
      <c r="RPW2460" s="53"/>
      <c r="RPX2460" s="53"/>
      <c r="RPY2460" s="62"/>
      <c r="RPZ2460" s="60"/>
      <c r="RQA2460" s="53"/>
      <c r="RQB2460" s="53"/>
      <c r="RQC2460" s="62"/>
      <c r="RQD2460" s="61"/>
      <c r="RQE2460" s="53"/>
      <c r="RQF2460" s="53"/>
      <c r="RQG2460" s="62"/>
      <c r="RQH2460" s="60"/>
      <c r="RQI2460" s="53"/>
      <c r="RQJ2460" s="53"/>
      <c r="RQK2460" s="62"/>
      <c r="RQL2460" s="61"/>
      <c r="RQM2460" s="53"/>
      <c r="RQN2460" s="53"/>
      <c r="RQO2460" s="62"/>
      <c r="RQP2460" s="60"/>
      <c r="RQQ2460" s="53"/>
      <c r="RQR2460" s="53"/>
      <c r="RQS2460" s="62"/>
      <c r="RQT2460" s="61"/>
      <c r="RQU2460" s="53"/>
      <c r="RQV2460" s="53"/>
      <c r="RQW2460" s="62"/>
      <c r="RQX2460" s="60"/>
      <c r="RQY2460" s="53"/>
      <c r="RQZ2460" s="53"/>
      <c r="RRA2460" s="62"/>
      <c r="RRB2460" s="61"/>
      <c r="RRC2460" s="53"/>
      <c r="RRD2460" s="53"/>
      <c r="RRE2460" s="62"/>
      <c r="RRF2460" s="60"/>
      <c r="RRG2460" s="53"/>
      <c r="RRH2460" s="53"/>
      <c r="RRI2460" s="62"/>
      <c r="RRJ2460" s="61"/>
      <c r="RRK2460" s="53"/>
      <c r="RRL2460" s="53"/>
      <c r="RRM2460" s="62"/>
      <c r="RRN2460" s="60"/>
      <c r="RRO2460" s="53"/>
      <c r="RRP2460" s="53"/>
      <c r="RRQ2460" s="62"/>
      <c r="RRR2460" s="61"/>
      <c r="RRS2460" s="53"/>
      <c r="RRT2460" s="53"/>
      <c r="RRU2460" s="62"/>
      <c r="RRV2460" s="60"/>
      <c r="RRW2460" s="53"/>
      <c r="RRX2460" s="53"/>
      <c r="RRY2460" s="62"/>
      <c r="RRZ2460" s="61"/>
      <c r="RSA2460" s="53"/>
      <c r="RSB2460" s="53"/>
      <c r="RSC2460" s="62"/>
      <c r="RSD2460" s="60"/>
      <c r="RSE2460" s="53"/>
      <c r="RSF2460" s="53"/>
      <c r="RSG2460" s="62"/>
      <c r="RSH2460" s="61"/>
      <c r="RSI2460" s="53"/>
      <c r="RSJ2460" s="53"/>
      <c r="RSK2460" s="62"/>
      <c r="RSL2460" s="60"/>
      <c r="RSM2460" s="53"/>
      <c r="RSN2460" s="53"/>
      <c r="RSO2460" s="62"/>
      <c r="RSP2460" s="61"/>
      <c r="RSQ2460" s="53"/>
      <c r="RSR2460" s="53"/>
      <c r="RSS2460" s="62"/>
      <c r="RST2460" s="60"/>
      <c r="RSU2460" s="53"/>
      <c r="RSV2460" s="53"/>
      <c r="RSW2460" s="62"/>
      <c r="RSX2460" s="61"/>
      <c r="RSY2460" s="53"/>
      <c r="RSZ2460" s="53"/>
      <c r="RTA2460" s="62"/>
      <c r="RTB2460" s="60"/>
      <c r="RTC2460" s="53"/>
      <c r="RTD2460" s="53"/>
      <c r="RTE2460" s="62"/>
      <c r="RTF2460" s="61"/>
      <c r="RTG2460" s="53"/>
      <c r="RTH2460" s="53"/>
      <c r="RTI2460" s="62"/>
      <c r="RTJ2460" s="60"/>
      <c r="RTK2460" s="53"/>
      <c r="RTL2460" s="53"/>
      <c r="RTM2460" s="62"/>
      <c r="RTN2460" s="61"/>
      <c r="RTO2460" s="53"/>
      <c r="RTP2460" s="53"/>
      <c r="RTQ2460" s="62"/>
      <c r="RTR2460" s="60"/>
      <c r="RTS2460" s="53"/>
      <c r="RTT2460" s="53"/>
      <c r="RTU2460" s="62"/>
      <c r="RTV2460" s="61"/>
      <c r="RTW2460" s="53"/>
      <c r="RTX2460" s="53"/>
      <c r="RTY2460" s="62"/>
      <c r="RTZ2460" s="60"/>
      <c r="RUA2460" s="53"/>
      <c r="RUB2460" s="53"/>
      <c r="RUC2460" s="62"/>
      <c r="RUD2460" s="61"/>
      <c r="RUE2460" s="53"/>
      <c r="RUF2460" s="53"/>
      <c r="RUG2460" s="62"/>
      <c r="RUH2460" s="60"/>
      <c r="RUI2460" s="53"/>
      <c r="RUJ2460" s="53"/>
      <c r="RUK2460" s="62"/>
      <c r="RUL2460" s="61"/>
      <c r="RUM2460" s="53"/>
      <c r="RUN2460" s="53"/>
      <c r="RUO2460" s="62"/>
      <c r="RUP2460" s="60"/>
      <c r="RUQ2460" s="53"/>
      <c r="RUR2460" s="53"/>
      <c r="RUS2460" s="62"/>
      <c r="RUT2460" s="61"/>
      <c r="RUU2460" s="53"/>
      <c r="RUV2460" s="53"/>
      <c r="RUW2460" s="62"/>
      <c r="RUX2460" s="60"/>
      <c r="RUY2460" s="53"/>
      <c r="RUZ2460" s="53"/>
      <c r="RVA2460" s="62"/>
      <c r="RVB2460" s="61"/>
      <c r="RVC2460" s="53"/>
      <c r="RVD2460" s="53"/>
      <c r="RVE2460" s="62"/>
      <c r="RVF2460" s="60"/>
      <c r="RVG2460" s="53"/>
      <c r="RVH2460" s="53"/>
      <c r="RVI2460" s="62"/>
      <c r="RVJ2460" s="61"/>
      <c r="RVK2460" s="53"/>
      <c r="RVL2460" s="53"/>
      <c r="RVM2460" s="62"/>
      <c r="RVN2460" s="60"/>
      <c r="RVO2460" s="53"/>
      <c r="RVP2460" s="53"/>
      <c r="RVQ2460" s="62"/>
      <c r="RVR2460" s="61"/>
      <c r="RVS2460" s="53"/>
      <c r="RVT2460" s="53"/>
      <c r="RVU2460" s="62"/>
      <c r="RVV2460" s="60"/>
      <c r="RVW2460" s="53"/>
      <c r="RVX2460" s="53"/>
      <c r="RVY2460" s="62"/>
      <c r="RVZ2460" s="61"/>
      <c r="RWA2460" s="53"/>
      <c r="RWB2460" s="53"/>
      <c r="RWC2460" s="62"/>
      <c r="RWD2460" s="60"/>
      <c r="RWE2460" s="53"/>
      <c r="RWF2460" s="53"/>
      <c r="RWG2460" s="62"/>
      <c r="RWH2460" s="61"/>
      <c r="RWI2460" s="53"/>
      <c r="RWJ2460" s="53"/>
      <c r="RWK2460" s="62"/>
      <c r="RWL2460" s="60"/>
      <c r="RWM2460" s="53"/>
      <c r="RWN2460" s="53"/>
      <c r="RWO2460" s="62"/>
      <c r="RWP2460" s="61"/>
      <c r="RWQ2460" s="53"/>
      <c r="RWR2460" s="53"/>
      <c r="RWS2460" s="62"/>
      <c r="RWT2460" s="60"/>
      <c r="RWU2460" s="53"/>
      <c r="RWV2460" s="53"/>
      <c r="RWW2460" s="62"/>
      <c r="RWX2460" s="61"/>
      <c r="RWY2460" s="53"/>
      <c r="RWZ2460" s="53"/>
      <c r="RXA2460" s="62"/>
      <c r="RXB2460" s="60"/>
      <c r="RXC2460" s="53"/>
      <c r="RXD2460" s="53"/>
      <c r="RXE2460" s="62"/>
      <c r="RXF2460" s="61"/>
      <c r="RXG2460" s="53"/>
      <c r="RXH2460" s="53"/>
      <c r="RXI2460" s="62"/>
      <c r="RXJ2460" s="60"/>
      <c r="RXK2460" s="53"/>
      <c r="RXL2460" s="53"/>
      <c r="RXM2460" s="62"/>
      <c r="RXN2460" s="61"/>
      <c r="RXO2460" s="53"/>
      <c r="RXP2460" s="53"/>
      <c r="RXQ2460" s="62"/>
      <c r="RXR2460" s="60"/>
      <c r="RXS2460" s="53"/>
      <c r="RXT2460" s="53"/>
      <c r="RXU2460" s="62"/>
      <c r="RXV2460" s="61"/>
      <c r="RXW2460" s="53"/>
      <c r="RXX2460" s="53"/>
      <c r="RXY2460" s="62"/>
      <c r="RXZ2460" s="60"/>
      <c r="RYA2460" s="53"/>
      <c r="RYB2460" s="53"/>
      <c r="RYC2460" s="62"/>
      <c r="RYD2460" s="61"/>
      <c r="RYE2460" s="53"/>
      <c r="RYF2460" s="53"/>
      <c r="RYG2460" s="62"/>
      <c r="RYH2460" s="60"/>
      <c r="RYI2460" s="53"/>
      <c r="RYJ2460" s="53"/>
      <c r="RYK2460" s="62"/>
      <c r="RYL2460" s="61"/>
      <c r="RYM2460" s="53"/>
      <c r="RYN2460" s="53"/>
      <c r="RYO2460" s="62"/>
      <c r="RYP2460" s="60"/>
      <c r="RYQ2460" s="53"/>
      <c r="RYR2460" s="53"/>
      <c r="RYS2460" s="62"/>
      <c r="RYT2460" s="61"/>
      <c r="RYU2460" s="53"/>
      <c r="RYV2460" s="53"/>
      <c r="RYW2460" s="62"/>
      <c r="RYX2460" s="60"/>
      <c r="RYY2460" s="53"/>
      <c r="RYZ2460" s="53"/>
      <c r="RZA2460" s="62"/>
      <c r="RZB2460" s="61"/>
      <c r="RZC2460" s="53"/>
      <c r="RZD2460" s="53"/>
      <c r="RZE2460" s="62"/>
      <c r="RZF2460" s="60"/>
      <c r="RZG2460" s="53"/>
      <c r="RZH2460" s="53"/>
      <c r="RZI2460" s="62"/>
      <c r="RZJ2460" s="61"/>
      <c r="RZK2460" s="53"/>
      <c r="RZL2460" s="53"/>
      <c r="RZM2460" s="62"/>
      <c r="RZN2460" s="60"/>
      <c r="RZO2460" s="53"/>
      <c r="RZP2460" s="53"/>
      <c r="RZQ2460" s="62"/>
      <c r="RZR2460" s="61"/>
      <c r="RZS2460" s="53"/>
      <c r="RZT2460" s="53"/>
      <c r="RZU2460" s="62"/>
      <c r="RZV2460" s="60"/>
      <c r="RZW2460" s="53"/>
      <c r="RZX2460" s="53"/>
      <c r="RZY2460" s="62"/>
      <c r="RZZ2460" s="61"/>
      <c r="SAA2460" s="53"/>
      <c r="SAB2460" s="53"/>
      <c r="SAC2460" s="62"/>
      <c r="SAD2460" s="60"/>
      <c r="SAE2460" s="53"/>
      <c r="SAF2460" s="53"/>
      <c r="SAG2460" s="62"/>
      <c r="SAH2460" s="61"/>
      <c r="SAI2460" s="53"/>
      <c r="SAJ2460" s="53"/>
      <c r="SAK2460" s="62"/>
      <c r="SAL2460" s="60"/>
      <c r="SAM2460" s="53"/>
      <c r="SAN2460" s="53"/>
      <c r="SAO2460" s="62"/>
      <c r="SAP2460" s="61"/>
      <c r="SAQ2460" s="53"/>
      <c r="SAR2460" s="53"/>
      <c r="SAS2460" s="62"/>
      <c r="SAT2460" s="60"/>
      <c r="SAU2460" s="53"/>
      <c r="SAV2460" s="53"/>
      <c r="SAW2460" s="62"/>
      <c r="SAX2460" s="61"/>
      <c r="SAY2460" s="53"/>
      <c r="SAZ2460" s="53"/>
      <c r="SBA2460" s="62"/>
      <c r="SBB2460" s="60"/>
      <c r="SBC2460" s="53"/>
      <c r="SBD2460" s="53"/>
      <c r="SBE2460" s="62"/>
      <c r="SBF2460" s="61"/>
      <c r="SBG2460" s="53"/>
      <c r="SBH2460" s="53"/>
      <c r="SBI2460" s="62"/>
      <c r="SBJ2460" s="60"/>
      <c r="SBK2460" s="53"/>
      <c r="SBL2460" s="53"/>
      <c r="SBM2460" s="62"/>
      <c r="SBN2460" s="61"/>
      <c r="SBO2460" s="53"/>
      <c r="SBP2460" s="53"/>
      <c r="SBQ2460" s="62"/>
      <c r="SBR2460" s="60"/>
      <c r="SBS2460" s="53"/>
      <c r="SBT2460" s="53"/>
      <c r="SBU2460" s="62"/>
      <c r="SBV2460" s="61"/>
      <c r="SBW2460" s="53"/>
      <c r="SBX2460" s="53"/>
      <c r="SBY2460" s="62"/>
      <c r="SBZ2460" s="60"/>
      <c r="SCA2460" s="53"/>
      <c r="SCB2460" s="53"/>
      <c r="SCC2460" s="62"/>
      <c r="SCD2460" s="61"/>
      <c r="SCE2460" s="53"/>
      <c r="SCF2460" s="53"/>
      <c r="SCG2460" s="62"/>
      <c r="SCH2460" s="60"/>
      <c r="SCI2460" s="53"/>
      <c r="SCJ2460" s="53"/>
      <c r="SCK2460" s="62"/>
      <c r="SCL2460" s="61"/>
      <c r="SCM2460" s="53"/>
      <c r="SCN2460" s="53"/>
      <c r="SCO2460" s="62"/>
      <c r="SCP2460" s="60"/>
      <c r="SCQ2460" s="53"/>
      <c r="SCR2460" s="53"/>
      <c r="SCS2460" s="62"/>
      <c r="SCT2460" s="61"/>
      <c r="SCU2460" s="53"/>
      <c r="SCV2460" s="53"/>
      <c r="SCW2460" s="62"/>
      <c r="SCX2460" s="60"/>
      <c r="SCY2460" s="53"/>
      <c r="SCZ2460" s="53"/>
      <c r="SDA2460" s="62"/>
      <c r="SDB2460" s="61"/>
      <c r="SDC2460" s="53"/>
      <c r="SDD2460" s="53"/>
      <c r="SDE2460" s="62"/>
      <c r="SDF2460" s="60"/>
      <c r="SDG2460" s="53"/>
      <c r="SDH2460" s="53"/>
      <c r="SDI2460" s="62"/>
      <c r="SDJ2460" s="61"/>
      <c r="SDK2460" s="53"/>
      <c r="SDL2460" s="53"/>
      <c r="SDM2460" s="62"/>
      <c r="SDN2460" s="60"/>
      <c r="SDO2460" s="53"/>
      <c r="SDP2460" s="53"/>
      <c r="SDQ2460" s="62"/>
      <c r="SDR2460" s="61"/>
      <c r="SDS2460" s="53"/>
      <c r="SDT2460" s="53"/>
      <c r="SDU2460" s="62"/>
      <c r="SDV2460" s="60"/>
      <c r="SDW2460" s="53"/>
      <c r="SDX2460" s="53"/>
      <c r="SDY2460" s="62"/>
      <c r="SDZ2460" s="61"/>
      <c r="SEA2460" s="53"/>
      <c r="SEB2460" s="53"/>
      <c r="SEC2460" s="62"/>
      <c r="SED2460" s="60"/>
      <c r="SEE2460" s="53"/>
      <c r="SEF2460" s="53"/>
      <c r="SEG2460" s="62"/>
      <c r="SEH2460" s="61"/>
      <c r="SEI2460" s="53"/>
      <c r="SEJ2460" s="53"/>
      <c r="SEK2460" s="62"/>
      <c r="SEL2460" s="60"/>
      <c r="SEM2460" s="53"/>
      <c r="SEN2460" s="53"/>
      <c r="SEO2460" s="62"/>
      <c r="SEP2460" s="61"/>
      <c r="SEQ2460" s="53"/>
      <c r="SER2460" s="53"/>
      <c r="SES2460" s="62"/>
      <c r="SET2460" s="60"/>
      <c r="SEU2460" s="53"/>
      <c r="SEV2460" s="53"/>
      <c r="SEW2460" s="62"/>
      <c r="SEX2460" s="61"/>
      <c r="SEY2460" s="53"/>
      <c r="SEZ2460" s="53"/>
      <c r="SFA2460" s="62"/>
      <c r="SFB2460" s="60"/>
      <c r="SFC2460" s="53"/>
      <c r="SFD2460" s="53"/>
      <c r="SFE2460" s="62"/>
      <c r="SFF2460" s="61"/>
      <c r="SFG2460" s="53"/>
      <c r="SFH2460" s="53"/>
      <c r="SFI2460" s="62"/>
      <c r="SFJ2460" s="60"/>
      <c r="SFK2460" s="53"/>
      <c r="SFL2460" s="53"/>
      <c r="SFM2460" s="62"/>
      <c r="SFN2460" s="61"/>
      <c r="SFO2460" s="53"/>
      <c r="SFP2460" s="53"/>
      <c r="SFQ2460" s="62"/>
      <c r="SFR2460" s="60"/>
      <c r="SFS2460" s="53"/>
      <c r="SFT2460" s="53"/>
      <c r="SFU2460" s="62"/>
      <c r="SFV2460" s="61"/>
      <c r="SFW2460" s="53"/>
      <c r="SFX2460" s="53"/>
      <c r="SFY2460" s="62"/>
      <c r="SFZ2460" s="60"/>
      <c r="SGA2460" s="53"/>
      <c r="SGB2460" s="53"/>
      <c r="SGC2460" s="62"/>
      <c r="SGD2460" s="61"/>
      <c r="SGE2460" s="53"/>
      <c r="SGF2460" s="53"/>
      <c r="SGG2460" s="62"/>
      <c r="SGH2460" s="60"/>
      <c r="SGI2460" s="53"/>
      <c r="SGJ2460" s="53"/>
      <c r="SGK2460" s="62"/>
      <c r="SGL2460" s="61"/>
      <c r="SGM2460" s="53"/>
      <c r="SGN2460" s="53"/>
      <c r="SGO2460" s="62"/>
      <c r="SGP2460" s="60"/>
      <c r="SGQ2460" s="53"/>
      <c r="SGR2460" s="53"/>
      <c r="SGS2460" s="62"/>
      <c r="SGT2460" s="61"/>
      <c r="SGU2460" s="53"/>
      <c r="SGV2460" s="53"/>
      <c r="SGW2460" s="62"/>
      <c r="SGX2460" s="60"/>
      <c r="SGY2460" s="53"/>
      <c r="SGZ2460" s="53"/>
      <c r="SHA2460" s="62"/>
      <c r="SHB2460" s="61"/>
      <c r="SHC2460" s="53"/>
      <c r="SHD2460" s="53"/>
      <c r="SHE2460" s="62"/>
      <c r="SHF2460" s="60"/>
      <c r="SHG2460" s="53"/>
      <c r="SHH2460" s="53"/>
      <c r="SHI2460" s="62"/>
      <c r="SHJ2460" s="61"/>
      <c r="SHK2460" s="53"/>
      <c r="SHL2460" s="53"/>
      <c r="SHM2460" s="62"/>
      <c r="SHN2460" s="60"/>
      <c r="SHO2460" s="53"/>
      <c r="SHP2460" s="53"/>
      <c r="SHQ2460" s="62"/>
      <c r="SHR2460" s="61"/>
      <c r="SHS2460" s="53"/>
      <c r="SHT2460" s="53"/>
      <c r="SHU2460" s="62"/>
      <c r="SHV2460" s="60"/>
      <c r="SHW2460" s="53"/>
      <c r="SHX2460" s="53"/>
      <c r="SHY2460" s="62"/>
      <c r="SHZ2460" s="61"/>
      <c r="SIA2460" s="53"/>
      <c r="SIB2460" s="53"/>
      <c r="SIC2460" s="62"/>
      <c r="SID2460" s="60"/>
      <c r="SIE2460" s="53"/>
      <c r="SIF2460" s="53"/>
      <c r="SIG2460" s="62"/>
      <c r="SIH2460" s="61"/>
      <c r="SII2460" s="53"/>
      <c r="SIJ2460" s="53"/>
      <c r="SIK2460" s="62"/>
      <c r="SIL2460" s="60"/>
      <c r="SIM2460" s="53"/>
      <c r="SIN2460" s="53"/>
      <c r="SIO2460" s="62"/>
      <c r="SIP2460" s="61"/>
      <c r="SIQ2460" s="53"/>
      <c r="SIR2460" s="53"/>
      <c r="SIS2460" s="62"/>
      <c r="SIT2460" s="60"/>
      <c r="SIU2460" s="53"/>
      <c r="SIV2460" s="53"/>
      <c r="SIW2460" s="62"/>
      <c r="SIX2460" s="61"/>
      <c r="SIY2460" s="53"/>
      <c r="SIZ2460" s="53"/>
      <c r="SJA2460" s="62"/>
      <c r="SJB2460" s="60"/>
      <c r="SJC2460" s="53"/>
      <c r="SJD2460" s="53"/>
      <c r="SJE2460" s="62"/>
      <c r="SJF2460" s="61"/>
      <c r="SJG2460" s="53"/>
      <c r="SJH2460" s="53"/>
      <c r="SJI2460" s="62"/>
      <c r="SJJ2460" s="60"/>
      <c r="SJK2460" s="53"/>
      <c r="SJL2460" s="53"/>
      <c r="SJM2460" s="62"/>
      <c r="SJN2460" s="61"/>
      <c r="SJO2460" s="53"/>
      <c r="SJP2460" s="53"/>
      <c r="SJQ2460" s="62"/>
      <c r="SJR2460" s="60"/>
      <c r="SJS2460" s="53"/>
      <c r="SJT2460" s="53"/>
      <c r="SJU2460" s="62"/>
      <c r="SJV2460" s="61"/>
      <c r="SJW2460" s="53"/>
      <c r="SJX2460" s="53"/>
      <c r="SJY2460" s="62"/>
      <c r="SJZ2460" s="60"/>
      <c r="SKA2460" s="53"/>
      <c r="SKB2460" s="53"/>
      <c r="SKC2460" s="62"/>
      <c r="SKD2460" s="61"/>
      <c r="SKE2460" s="53"/>
      <c r="SKF2460" s="53"/>
      <c r="SKG2460" s="62"/>
      <c r="SKH2460" s="60"/>
      <c r="SKI2460" s="53"/>
      <c r="SKJ2460" s="53"/>
      <c r="SKK2460" s="62"/>
      <c r="SKL2460" s="61"/>
      <c r="SKM2460" s="53"/>
      <c r="SKN2460" s="53"/>
      <c r="SKO2460" s="62"/>
      <c r="SKP2460" s="60"/>
      <c r="SKQ2460" s="53"/>
      <c r="SKR2460" s="53"/>
      <c r="SKS2460" s="62"/>
      <c r="SKT2460" s="61"/>
      <c r="SKU2460" s="53"/>
      <c r="SKV2460" s="53"/>
      <c r="SKW2460" s="62"/>
      <c r="SKX2460" s="60"/>
      <c r="SKY2460" s="53"/>
      <c r="SKZ2460" s="53"/>
      <c r="SLA2460" s="62"/>
      <c r="SLB2460" s="61"/>
      <c r="SLC2460" s="53"/>
      <c r="SLD2460" s="53"/>
      <c r="SLE2460" s="62"/>
      <c r="SLF2460" s="60"/>
      <c r="SLG2460" s="53"/>
      <c r="SLH2460" s="53"/>
      <c r="SLI2460" s="62"/>
      <c r="SLJ2460" s="61"/>
      <c r="SLK2460" s="53"/>
      <c r="SLL2460" s="53"/>
      <c r="SLM2460" s="62"/>
      <c r="SLN2460" s="60"/>
      <c r="SLO2460" s="53"/>
      <c r="SLP2460" s="53"/>
      <c r="SLQ2460" s="62"/>
      <c r="SLR2460" s="61"/>
      <c r="SLS2460" s="53"/>
      <c r="SLT2460" s="53"/>
      <c r="SLU2460" s="62"/>
      <c r="SLV2460" s="60"/>
      <c r="SLW2460" s="53"/>
      <c r="SLX2460" s="53"/>
      <c r="SLY2460" s="62"/>
      <c r="SLZ2460" s="61"/>
      <c r="SMA2460" s="53"/>
      <c r="SMB2460" s="53"/>
      <c r="SMC2460" s="62"/>
      <c r="SMD2460" s="60"/>
      <c r="SME2460" s="53"/>
      <c r="SMF2460" s="53"/>
      <c r="SMG2460" s="62"/>
      <c r="SMH2460" s="61"/>
      <c r="SMI2460" s="53"/>
      <c r="SMJ2460" s="53"/>
      <c r="SMK2460" s="62"/>
      <c r="SML2460" s="60"/>
      <c r="SMM2460" s="53"/>
      <c r="SMN2460" s="53"/>
      <c r="SMO2460" s="62"/>
      <c r="SMP2460" s="61"/>
      <c r="SMQ2460" s="53"/>
      <c r="SMR2460" s="53"/>
      <c r="SMS2460" s="62"/>
      <c r="SMT2460" s="60"/>
      <c r="SMU2460" s="53"/>
      <c r="SMV2460" s="53"/>
      <c r="SMW2460" s="62"/>
      <c r="SMX2460" s="61"/>
      <c r="SMY2460" s="53"/>
      <c r="SMZ2460" s="53"/>
      <c r="SNA2460" s="62"/>
      <c r="SNB2460" s="60"/>
      <c r="SNC2460" s="53"/>
      <c r="SND2460" s="53"/>
      <c r="SNE2460" s="62"/>
      <c r="SNF2460" s="61"/>
      <c r="SNG2460" s="53"/>
      <c r="SNH2460" s="53"/>
      <c r="SNI2460" s="62"/>
      <c r="SNJ2460" s="60"/>
      <c r="SNK2460" s="53"/>
      <c r="SNL2460" s="53"/>
      <c r="SNM2460" s="62"/>
      <c r="SNN2460" s="61"/>
      <c r="SNO2460" s="53"/>
      <c r="SNP2460" s="53"/>
      <c r="SNQ2460" s="62"/>
      <c r="SNR2460" s="60"/>
      <c r="SNS2460" s="53"/>
      <c r="SNT2460" s="53"/>
      <c r="SNU2460" s="62"/>
      <c r="SNV2460" s="61"/>
      <c r="SNW2460" s="53"/>
      <c r="SNX2460" s="53"/>
      <c r="SNY2460" s="62"/>
      <c r="SNZ2460" s="60"/>
      <c r="SOA2460" s="53"/>
      <c r="SOB2460" s="53"/>
      <c r="SOC2460" s="62"/>
      <c r="SOD2460" s="61"/>
      <c r="SOE2460" s="53"/>
      <c r="SOF2460" s="53"/>
      <c r="SOG2460" s="62"/>
      <c r="SOH2460" s="60"/>
      <c r="SOI2460" s="53"/>
      <c r="SOJ2460" s="53"/>
      <c r="SOK2460" s="62"/>
      <c r="SOL2460" s="61"/>
      <c r="SOM2460" s="53"/>
      <c r="SON2460" s="53"/>
      <c r="SOO2460" s="62"/>
      <c r="SOP2460" s="60"/>
      <c r="SOQ2460" s="53"/>
      <c r="SOR2460" s="53"/>
      <c r="SOS2460" s="62"/>
      <c r="SOT2460" s="61"/>
      <c r="SOU2460" s="53"/>
      <c r="SOV2460" s="53"/>
      <c r="SOW2460" s="62"/>
      <c r="SOX2460" s="60"/>
      <c r="SOY2460" s="53"/>
      <c r="SOZ2460" s="53"/>
      <c r="SPA2460" s="62"/>
      <c r="SPB2460" s="61"/>
      <c r="SPC2460" s="53"/>
      <c r="SPD2460" s="53"/>
      <c r="SPE2460" s="62"/>
      <c r="SPF2460" s="60"/>
      <c r="SPG2460" s="53"/>
      <c r="SPH2460" s="53"/>
      <c r="SPI2460" s="62"/>
      <c r="SPJ2460" s="61"/>
      <c r="SPK2460" s="53"/>
      <c r="SPL2460" s="53"/>
      <c r="SPM2460" s="62"/>
      <c r="SPN2460" s="60"/>
      <c r="SPO2460" s="53"/>
      <c r="SPP2460" s="53"/>
      <c r="SPQ2460" s="62"/>
      <c r="SPR2460" s="61"/>
      <c r="SPS2460" s="53"/>
      <c r="SPT2460" s="53"/>
      <c r="SPU2460" s="62"/>
      <c r="SPV2460" s="60"/>
      <c r="SPW2460" s="53"/>
      <c r="SPX2460" s="53"/>
      <c r="SPY2460" s="62"/>
      <c r="SPZ2460" s="61"/>
      <c r="SQA2460" s="53"/>
      <c r="SQB2460" s="53"/>
      <c r="SQC2460" s="62"/>
      <c r="SQD2460" s="60"/>
      <c r="SQE2460" s="53"/>
      <c r="SQF2460" s="53"/>
      <c r="SQG2460" s="62"/>
      <c r="SQH2460" s="61"/>
      <c r="SQI2460" s="53"/>
      <c r="SQJ2460" s="53"/>
      <c r="SQK2460" s="62"/>
      <c r="SQL2460" s="60"/>
      <c r="SQM2460" s="53"/>
      <c r="SQN2460" s="53"/>
      <c r="SQO2460" s="62"/>
      <c r="SQP2460" s="61"/>
      <c r="SQQ2460" s="53"/>
      <c r="SQR2460" s="53"/>
      <c r="SQS2460" s="62"/>
      <c r="SQT2460" s="60"/>
      <c r="SQU2460" s="53"/>
      <c r="SQV2460" s="53"/>
      <c r="SQW2460" s="62"/>
      <c r="SQX2460" s="61"/>
      <c r="SQY2460" s="53"/>
      <c r="SQZ2460" s="53"/>
      <c r="SRA2460" s="62"/>
      <c r="SRB2460" s="60"/>
      <c r="SRC2460" s="53"/>
      <c r="SRD2460" s="53"/>
      <c r="SRE2460" s="62"/>
      <c r="SRF2460" s="61"/>
      <c r="SRG2460" s="53"/>
      <c r="SRH2460" s="53"/>
      <c r="SRI2460" s="62"/>
      <c r="SRJ2460" s="60"/>
      <c r="SRK2460" s="53"/>
      <c r="SRL2460" s="53"/>
      <c r="SRM2460" s="62"/>
      <c r="SRN2460" s="61"/>
      <c r="SRO2460" s="53"/>
      <c r="SRP2460" s="53"/>
      <c r="SRQ2460" s="62"/>
      <c r="SRR2460" s="60"/>
      <c r="SRS2460" s="53"/>
      <c r="SRT2460" s="53"/>
      <c r="SRU2460" s="62"/>
      <c r="SRV2460" s="61"/>
      <c r="SRW2460" s="53"/>
      <c r="SRX2460" s="53"/>
      <c r="SRY2460" s="62"/>
      <c r="SRZ2460" s="60"/>
      <c r="SSA2460" s="53"/>
      <c r="SSB2460" s="53"/>
      <c r="SSC2460" s="62"/>
      <c r="SSD2460" s="61"/>
      <c r="SSE2460" s="53"/>
      <c r="SSF2460" s="53"/>
      <c r="SSG2460" s="62"/>
      <c r="SSH2460" s="60"/>
      <c r="SSI2460" s="53"/>
      <c r="SSJ2460" s="53"/>
      <c r="SSK2460" s="62"/>
      <c r="SSL2460" s="61"/>
      <c r="SSM2460" s="53"/>
      <c r="SSN2460" s="53"/>
      <c r="SSO2460" s="62"/>
      <c r="SSP2460" s="60"/>
      <c r="SSQ2460" s="53"/>
      <c r="SSR2460" s="53"/>
      <c r="SSS2460" s="62"/>
      <c r="SST2460" s="61"/>
      <c r="SSU2460" s="53"/>
      <c r="SSV2460" s="53"/>
      <c r="SSW2460" s="62"/>
      <c r="SSX2460" s="60"/>
      <c r="SSY2460" s="53"/>
      <c r="SSZ2460" s="53"/>
      <c r="STA2460" s="62"/>
      <c r="STB2460" s="61"/>
      <c r="STC2460" s="53"/>
      <c r="STD2460" s="53"/>
      <c r="STE2460" s="62"/>
      <c r="STF2460" s="60"/>
      <c r="STG2460" s="53"/>
      <c r="STH2460" s="53"/>
      <c r="STI2460" s="62"/>
      <c r="STJ2460" s="61"/>
      <c r="STK2460" s="53"/>
      <c r="STL2460" s="53"/>
      <c r="STM2460" s="62"/>
      <c r="STN2460" s="60"/>
      <c r="STO2460" s="53"/>
      <c r="STP2460" s="53"/>
      <c r="STQ2460" s="62"/>
      <c r="STR2460" s="61"/>
      <c r="STS2460" s="53"/>
      <c r="STT2460" s="53"/>
      <c r="STU2460" s="62"/>
      <c r="STV2460" s="60"/>
      <c r="STW2460" s="53"/>
      <c r="STX2460" s="53"/>
      <c r="STY2460" s="62"/>
      <c r="STZ2460" s="61"/>
      <c r="SUA2460" s="53"/>
      <c r="SUB2460" s="53"/>
      <c r="SUC2460" s="62"/>
      <c r="SUD2460" s="60"/>
      <c r="SUE2460" s="53"/>
      <c r="SUF2460" s="53"/>
      <c r="SUG2460" s="62"/>
      <c r="SUH2460" s="61"/>
      <c r="SUI2460" s="53"/>
      <c r="SUJ2460" s="53"/>
      <c r="SUK2460" s="62"/>
      <c r="SUL2460" s="60"/>
      <c r="SUM2460" s="53"/>
      <c r="SUN2460" s="53"/>
      <c r="SUO2460" s="62"/>
      <c r="SUP2460" s="61"/>
      <c r="SUQ2460" s="53"/>
      <c r="SUR2460" s="53"/>
      <c r="SUS2460" s="62"/>
      <c r="SUT2460" s="60"/>
      <c r="SUU2460" s="53"/>
      <c r="SUV2460" s="53"/>
      <c r="SUW2460" s="62"/>
      <c r="SUX2460" s="61"/>
      <c r="SUY2460" s="53"/>
      <c r="SUZ2460" s="53"/>
      <c r="SVA2460" s="62"/>
      <c r="SVB2460" s="60"/>
      <c r="SVC2460" s="53"/>
      <c r="SVD2460" s="53"/>
      <c r="SVE2460" s="62"/>
      <c r="SVF2460" s="61"/>
      <c r="SVG2460" s="53"/>
      <c r="SVH2460" s="53"/>
      <c r="SVI2460" s="62"/>
      <c r="SVJ2460" s="60"/>
      <c r="SVK2460" s="53"/>
      <c r="SVL2460" s="53"/>
      <c r="SVM2460" s="62"/>
      <c r="SVN2460" s="61"/>
      <c r="SVO2460" s="53"/>
      <c r="SVP2460" s="53"/>
      <c r="SVQ2460" s="62"/>
      <c r="SVR2460" s="60"/>
      <c r="SVS2460" s="53"/>
      <c r="SVT2460" s="53"/>
      <c r="SVU2460" s="62"/>
      <c r="SVV2460" s="61"/>
      <c r="SVW2460" s="53"/>
      <c r="SVX2460" s="53"/>
      <c r="SVY2460" s="62"/>
      <c r="SVZ2460" s="60"/>
      <c r="SWA2460" s="53"/>
      <c r="SWB2460" s="53"/>
      <c r="SWC2460" s="62"/>
      <c r="SWD2460" s="61"/>
      <c r="SWE2460" s="53"/>
      <c r="SWF2460" s="53"/>
      <c r="SWG2460" s="62"/>
      <c r="SWH2460" s="60"/>
      <c r="SWI2460" s="53"/>
      <c r="SWJ2460" s="53"/>
      <c r="SWK2460" s="62"/>
      <c r="SWL2460" s="61"/>
      <c r="SWM2460" s="53"/>
      <c r="SWN2460" s="53"/>
      <c r="SWO2460" s="62"/>
      <c r="SWP2460" s="60"/>
      <c r="SWQ2460" s="53"/>
      <c r="SWR2460" s="53"/>
      <c r="SWS2460" s="62"/>
      <c r="SWT2460" s="61"/>
      <c r="SWU2460" s="53"/>
      <c r="SWV2460" s="53"/>
      <c r="SWW2460" s="62"/>
      <c r="SWX2460" s="60"/>
      <c r="SWY2460" s="53"/>
      <c r="SWZ2460" s="53"/>
      <c r="SXA2460" s="62"/>
      <c r="SXB2460" s="61"/>
      <c r="SXC2460" s="53"/>
      <c r="SXD2460" s="53"/>
      <c r="SXE2460" s="62"/>
      <c r="SXF2460" s="60"/>
      <c r="SXG2460" s="53"/>
      <c r="SXH2460" s="53"/>
      <c r="SXI2460" s="62"/>
      <c r="SXJ2460" s="61"/>
      <c r="SXK2460" s="53"/>
      <c r="SXL2460" s="53"/>
      <c r="SXM2460" s="62"/>
      <c r="SXN2460" s="60"/>
      <c r="SXO2460" s="53"/>
      <c r="SXP2460" s="53"/>
      <c r="SXQ2460" s="62"/>
      <c r="SXR2460" s="61"/>
      <c r="SXS2460" s="53"/>
      <c r="SXT2460" s="53"/>
      <c r="SXU2460" s="62"/>
      <c r="SXV2460" s="60"/>
      <c r="SXW2460" s="53"/>
      <c r="SXX2460" s="53"/>
      <c r="SXY2460" s="62"/>
      <c r="SXZ2460" s="61"/>
      <c r="SYA2460" s="53"/>
      <c r="SYB2460" s="53"/>
      <c r="SYC2460" s="62"/>
      <c r="SYD2460" s="60"/>
      <c r="SYE2460" s="53"/>
      <c r="SYF2460" s="53"/>
      <c r="SYG2460" s="62"/>
      <c r="SYH2460" s="61"/>
      <c r="SYI2460" s="53"/>
      <c r="SYJ2460" s="53"/>
      <c r="SYK2460" s="62"/>
      <c r="SYL2460" s="60"/>
      <c r="SYM2460" s="53"/>
      <c r="SYN2460" s="53"/>
      <c r="SYO2460" s="62"/>
      <c r="SYP2460" s="61"/>
      <c r="SYQ2460" s="53"/>
      <c r="SYR2460" s="53"/>
      <c r="SYS2460" s="62"/>
      <c r="SYT2460" s="60"/>
      <c r="SYU2460" s="53"/>
      <c r="SYV2460" s="53"/>
      <c r="SYW2460" s="62"/>
      <c r="SYX2460" s="61"/>
      <c r="SYY2460" s="53"/>
      <c r="SYZ2460" s="53"/>
      <c r="SZA2460" s="62"/>
      <c r="SZB2460" s="60"/>
      <c r="SZC2460" s="53"/>
      <c r="SZD2460" s="53"/>
      <c r="SZE2460" s="62"/>
      <c r="SZF2460" s="61"/>
      <c r="SZG2460" s="53"/>
      <c r="SZH2460" s="53"/>
      <c r="SZI2460" s="62"/>
      <c r="SZJ2460" s="60"/>
      <c r="SZK2460" s="53"/>
      <c r="SZL2460" s="53"/>
      <c r="SZM2460" s="62"/>
      <c r="SZN2460" s="61"/>
      <c r="SZO2460" s="53"/>
      <c r="SZP2460" s="53"/>
      <c r="SZQ2460" s="62"/>
      <c r="SZR2460" s="60"/>
      <c r="SZS2460" s="53"/>
      <c r="SZT2460" s="53"/>
      <c r="SZU2460" s="62"/>
      <c r="SZV2460" s="61"/>
      <c r="SZW2460" s="53"/>
      <c r="SZX2460" s="53"/>
      <c r="SZY2460" s="62"/>
      <c r="SZZ2460" s="60"/>
      <c r="TAA2460" s="53"/>
      <c r="TAB2460" s="53"/>
      <c r="TAC2460" s="62"/>
      <c r="TAD2460" s="61"/>
      <c r="TAE2460" s="53"/>
      <c r="TAF2460" s="53"/>
      <c r="TAG2460" s="62"/>
      <c r="TAH2460" s="60"/>
      <c r="TAI2460" s="53"/>
      <c r="TAJ2460" s="53"/>
      <c r="TAK2460" s="62"/>
      <c r="TAL2460" s="61"/>
      <c r="TAM2460" s="53"/>
      <c r="TAN2460" s="53"/>
      <c r="TAO2460" s="62"/>
      <c r="TAP2460" s="60"/>
      <c r="TAQ2460" s="53"/>
      <c r="TAR2460" s="53"/>
      <c r="TAS2460" s="62"/>
      <c r="TAT2460" s="61"/>
      <c r="TAU2460" s="53"/>
      <c r="TAV2460" s="53"/>
      <c r="TAW2460" s="62"/>
      <c r="TAX2460" s="60"/>
      <c r="TAY2460" s="53"/>
      <c r="TAZ2460" s="53"/>
      <c r="TBA2460" s="62"/>
      <c r="TBB2460" s="61"/>
      <c r="TBC2460" s="53"/>
      <c r="TBD2460" s="53"/>
      <c r="TBE2460" s="62"/>
      <c r="TBF2460" s="60"/>
      <c r="TBG2460" s="53"/>
      <c r="TBH2460" s="53"/>
      <c r="TBI2460" s="62"/>
      <c r="TBJ2460" s="61"/>
      <c r="TBK2460" s="53"/>
      <c r="TBL2460" s="53"/>
      <c r="TBM2460" s="62"/>
      <c r="TBN2460" s="60"/>
      <c r="TBO2460" s="53"/>
      <c r="TBP2460" s="53"/>
      <c r="TBQ2460" s="62"/>
      <c r="TBR2460" s="61"/>
      <c r="TBS2460" s="53"/>
      <c r="TBT2460" s="53"/>
      <c r="TBU2460" s="62"/>
      <c r="TBV2460" s="60"/>
      <c r="TBW2460" s="53"/>
      <c r="TBX2460" s="53"/>
      <c r="TBY2460" s="62"/>
      <c r="TBZ2460" s="61"/>
      <c r="TCA2460" s="53"/>
      <c r="TCB2460" s="53"/>
      <c r="TCC2460" s="62"/>
      <c r="TCD2460" s="60"/>
      <c r="TCE2460" s="53"/>
      <c r="TCF2460" s="53"/>
      <c r="TCG2460" s="62"/>
      <c r="TCH2460" s="61"/>
      <c r="TCI2460" s="53"/>
      <c r="TCJ2460" s="53"/>
      <c r="TCK2460" s="62"/>
      <c r="TCL2460" s="60"/>
      <c r="TCM2460" s="53"/>
      <c r="TCN2460" s="53"/>
      <c r="TCO2460" s="62"/>
      <c r="TCP2460" s="61"/>
      <c r="TCQ2460" s="53"/>
      <c r="TCR2460" s="53"/>
      <c r="TCS2460" s="62"/>
      <c r="TCT2460" s="60"/>
      <c r="TCU2460" s="53"/>
      <c r="TCV2460" s="53"/>
      <c r="TCW2460" s="62"/>
      <c r="TCX2460" s="61"/>
      <c r="TCY2460" s="53"/>
      <c r="TCZ2460" s="53"/>
      <c r="TDA2460" s="62"/>
      <c r="TDB2460" s="60"/>
      <c r="TDC2460" s="53"/>
      <c r="TDD2460" s="53"/>
      <c r="TDE2460" s="62"/>
      <c r="TDF2460" s="61"/>
      <c r="TDG2460" s="53"/>
      <c r="TDH2460" s="53"/>
      <c r="TDI2460" s="62"/>
      <c r="TDJ2460" s="60"/>
      <c r="TDK2460" s="53"/>
      <c r="TDL2460" s="53"/>
      <c r="TDM2460" s="62"/>
      <c r="TDN2460" s="61"/>
      <c r="TDO2460" s="53"/>
      <c r="TDP2460" s="53"/>
      <c r="TDQ2460" s="62"/>
      <c r="TDR2460" s="60"/>
      <c r="TDS2460" s="53"/>
      <c r="TDT2460" s="53"/>
      <c r="TDU2460" s="62"/>
      <c r="TDV2460" s="61"/>
      <c r="TDW2460" s="53"/>
      <c r="TDX2460" s="53"/>
      <c r="TDY2460" s="62"/>
      <c r="TDZ2460" s="60"/>
      <c r="TEA2460" s="53"/>
      <c r="TEB2460" s="53"/>
      <c r="TEC2460" s="62"/>
      <c r="TED2460" s="61"/>
      <c r="TEE2460" s="53"/>
      <c r="TEF2460" s="53"/>
      <c r="TEG2460" s="62"/>
      <c r="TEH2460" s="60"/>
      <c r="TEI2460" s="53"/>
      <c r="TEJ2460" s="53"/>
      <c r="TEK2460" s="62"/>
      <c r="TEL2460" s="61"/>
      <c r="TEM2460" s="53"/>
      <c r="TEN2460" s="53"/>
      <c r="TEO2460" s="62"/>
      <c r="TEP2460" s="60"/>
      <c r="TEQ2460" s="53"/>
      <c r="TER2460" s="53"/>
      <c r="TES2460" s="62"/>
      <c r="TET2460" s="61"/>
      <c r="TEU2460" s="53"/>
      <c r="TEV2460" s="53"/>
      <c r="TEW2460" s="62"/>
      <c r="TEX2460" s="60"/>
      <c r="TEY2460" s="53"/>
      <c r="TEZ2460" s="53"/>
      <c r="TFA2460" s="62"/>
      <c r="TFB2460" s="61"/>
      <c r="TFC2460" s="53"/>
      <c r="TFD2460" s="53"/>
      <c r="TFE2460" s="62"/>
      <c r="TFF2460" s="60"/>
      <c r="TFG2460" s="53"/>
      <c r="TFH2460" s="53"/>
      <c r="TFI2460" s="62"/>
      <c r="TFJ2460" s="61"/>
      <c r="TFK2460" s="53"/>
      <c r="TFL2460" s="53"/>
      <c r="TFM2460" s="62"/>
      <c r="TFN2460" s="60"/>
      <c r="TFO2460" s="53"/>
      <c r="TFP2460" s="53"/>
      <c r="TFQ2460" s="62"/>
      <c r="TFR2460" s="61"/>
      <c r="TFS2460" s="53"/>
      <c r="TFT2460" s="53"/>
      <c r="TFU2460" s="62"/>
      <c r="TFV2460" s="60"/>
      <c r="TFW2460" s="53"/>
      <c r="TFX2460" s="53"/>
      <c r="TFY2460" s="62"/>
      <c r="TFZ2460" s="61"/>
      <c r="TGA2460" s="53"/>
      <c r="TGB2460" s="53"/>
      <c r="TGC2460" s="62"/>
      <c r="TGD2460" s="60"/>
      <c r="TGE2460" s="53"/>
      <c r="TGF2460" s="53"/>
      <c r="TGG2460" s="62"/>
      <c r="TGH2460" s="61"/>
      <c r="TGI2460" s="53"/>
      <c r="TGJ2460" s="53"/>
      <c r="TGK2460" s="62"/>
      <c r="TGL2460" s="60"/>
      <c r="TGM2460" s="53"/>
      <c r="TGN2460" s="53"/>
      <c r="TGO2460" s="62"/>
      <c r="TGP2460" s="61"/>
      <c r="TGQ2460" s="53"/>
      <c r="TGR2460" s="53"/>
      <c r="TGS2460" s="62"/>
      <c r="TGT2460" s="60"/>
      <c r="TGU2460" s="53"/>
      <c r="TGV2460" s="53"/>
      <c r="TGW2460" s="62"/>
      <c r="TGX2460" s="61"/>
      <c r="TGY2460" s="53"/>
      <c r="TGZ2460" s="53"/>
      <c r="THA2460" s="62"/>
      <c r="THB2460" s="60"/>
      <c r="THC2460" s="53"/>
      <c r="THD2460" s="53"/>
      <c r="THE2460" s="62"/>
      <c r="THF2460" s="61"/>
      <c r="THG2460" s="53"/>
      <c r="THH2460" s="53"/>
      <c r="THI2460" s="62"/>
      <c r="THJ2460" s="60"/>
      <c r="THK2460" s="53"/>
      <c r="THL2460" s="53"/>
      <c r="THM2460" s="62"/>
      <c r="THN2460" s="61"/>
      <c r="THO2460" s="53"/>
      <c r="THP2460" s="53"/>
      <c r="THQ2460" s="62"/>
      <c r="THR2460" s="60"/>
      <c r="THS2460" s="53"/>
      <c r="THT2460" s="53"/>
      <c r="THU2460" s="62"/>
      <c r="THV2460" s="61"/>
      <c r="THW2460" s="53"/>
      <c r="THX2460" s="53"/>
      <c r="THY2460" s="62"/>
      <c r="THZ2460" s="60"/>
      <c r="TIA2460" s="53"/>
      <c r="TIB2460" s="53"/>
      <c r="TIC2460" s="62"/>
      <c r="TID2460" s="61"/>
      <c r="TIE2460" s="53"/>
      <c r="TIF2460" s="53"/>
      <c r="TIG2460" s="62"/>
      <c r="TIH2460" s="60"/>
      <c r="TII2460" s="53"/>
      <c r="TIJ2460" s="53"/>
      <c r="TIK2460" s="62"/>
      <c r="TIL2460" s="61"/>
      <c r="TIM2460" s="53"/>
      <c r="TIN2460" s="53"/>
      <c r="TIO2460" s="62"/>
      <c r="TIP2460" s="60"/>
      <c r="TIQ2460" s="53"/>
      <c r="TIR2460" s="53"/>
      <c r="TIS2460" s="62"/>
      <c r="TIT2460" s="61"/>
      <c r="TIU2460" s="53"/>
      <c r="TIV2460" s="53"/>
      <c r="TIW2460" s="62"/>
      <c r="TIX2460" s="60"/>
      <c r="TIY2460" s="53"/>
      <c r="TIZ2460" s="53"/>
      <c r="TJA2460" s="62"/>
      <c r="TJB2460" s="61"/>
      <c r="TJC2460" s="53"/>
      <c r="TJD2460" s="53"/>
      <c r="TJE2460" s="62"/>
      <c r="TJF2460" s="60"/>
      <c r="TJG2460" s="53"/>
      <c r="TJH2460" s="53"/>
      <c r="TJI2460" s="62"/>
      <c r="TJJ2460" s="61"/>
      <c r="TJK2460" s="53"/>
      <c r="TJL2460" s="53"/>
      <c r="TJM2460" s="62"/>
      <c r="TJN2460" s="60"/>
      <c r="TJO2460" s="53"/>
      <c r="TJP2460" s="53"/>
      <c r="TJQ2460" s="62"/>
      <c r="TJR2460" s="61"/>
      <c r="TJS2460" s="53"/>
      <c r="TJT2460" s="53"/>
      <c r="TJU2460" s="62"/>
      <c r="TJV2460" s="60"/>
      <c r="TJW2460" s="53"/>
      <c r="TJX2460" s="53"/>
      <c r="TJY2460" s="62"/>
      <c r="TJZ2460" s="61"/>
      <c r="TKA2460" s="53"/>
      <c r="TKB2460" s="53"/>
      <c r="TKC2460" s="62"/>
      <c r="TKD2460" s="60"/>
      <c r="TKE2460" s="53"/>
      <c r="TKF2460" s="53"/>
      <c r="TKG2460" s="62"/>
      <c r="TKH2460" s="61"/>
      <c r="TKI2460" s="53"/>
      <c r="TKJ2460" s="53"/>
      <c r="TKK2460" s="62"/>
      <c r="TKL2460" s="60"/>
      <c r="TKM2460" s="53"/>
      <c r="TKN2460" s="53"/>
      <c r="TKO2460" s="62"/>
      <c r="TKP2460" s="61"/>
      <c r="TKQ2460" s="53"/>
      <c r="TKR2460" s="53"/>
      <c r="TKS2460" s="62"/>
      <c r="TKT2460" s="60"/>
      <c r="TKU2460" s="53"/>
      <c r="TKV2460" s="53"/>
      <c r="TKW2460" s="62"/>
      <c r="TKX2460" s="61"/>
      <c r="TKY2460" s="53"/>
      <c r="TKZ2460" s="53"/>
      <c r="TLA2460" s="62"/>
      <c r="TLB2460" s="60"/>
      <c r="TLC2460" s="53"/>
      <c r="TLD2460" s="53"/>
      <c r="TLE2460" s="62"/>
      <c r="TLF2460" s="61"/>
      <c r="TLG2460" s="53"/>
      <c r="TLH2460" s="53"/>
      <c r="TLI2460" s="62"/>
      <c r="TLJ2460" s="60"/>
      <c r="TLK2460" s="53"/>
      <c r="TLL2460" s="53"/>
      <c r="TLM2460" s="62"/>
      <c r="TLN2460" s="61"/>
      <c r="TLO2460" s="53"/>
      <c r="TLP2460" s="53"/>
      <c r="TLQ2460" s="62"/>
      <c r="TLR2460" s="60"/>
      <c r="TLS2460" s="53"/>
      <c r="TLT2460" s="53"/>
      <c r="TLU2460" s="62"/>
      <c r="TLV2460" s="61"/>
      <c r="TLW2460" s="53"/>
      <c r="TLX2460" s="53"/>
      <c r="TLY2460" s="62"/>
      <c r="TLZ2460" s="60"/>
      <c r="TMA2460" s="53"/>
      <c r="TMB2460" s="53"/>
      <c r="TMC2460" s="62"/>
      <c r="TMD2460" s="61"/>
      <c r="TME2460" s="53"/>
      <c r="TMF2460" s="53"/>
      <c r="TMG2460" s="62"/>
      <c r="TMH2460" s="60"/>
      <c r="TMI2460" s="53"/>
      <c r="TMJ2460" s="53"/>
      <c r="TMK2460" s="62"/>
      <c r="TML2460" s="61"/>
      <c r="TMM2460" s="53"/>
      <c r="TMN2460" s="53"/>
      <c r="TMO2460" s="62"/>
      <c r="TMP2460" s="60"/>
      <c r="TMQ2460" s="53"/>
      <c r="TMR2460" s="53"/>
      <c r="TMS2460" s="62"/>
      <c r="TMT2460" s="61"/>
      <c r="TMU2460" s="53"/>
      <c r="TMV2460" s="53"/>
      <c r="TMW2460" s="62"/>
      <c r="TMX2460" s="60"/>
      <c r="TMY2460" s="53"/>
      <c r="TMZ2460" s="53"/>
      <c r="TNA2460" s="62"/>
      <c r="TNB2460" s="61"/>
      <c r="TNC2460" s="53"/>
      <c r="TND2460" s="53"/>
      <c r="TNE2460" s="62"/>
      <c r="TNF2460" s="60"/>
      <c r="TNG2460" s="53"/>
      <c r="TNH2460" s="53"/>
      <c r="TNI2460" s="62"/>
      <c r="TNJ2460" s="61"/>
      <c r="TNK2460" s="53"/>
      <c r="TNL2460" s="53"/>
      <c r="TNM2460" s="62"/>
      <c r="TNN2460" s="60"/>
      <c r="TNO2460" s="53"/>
      <c r="TNP2460" s="53"/>
      <c r="TNQ2460" s="62"/>
      <c r="TNR2460" s="61"/>
      <c r="TNS2460" s="53"/>
      <c r="TNT2460" s="53"/>
      <c r="TNU2460" s="62"/>
      <c r="TNV2460" s="60"/>
      <c r="TNW2460" s="53"/>
      <c r="TNX2460" s="53"/>
      <c r="TNY2460" s="62"/>
      <c r="TNZ2460" s="61"/>
      <c r="TOA2460" s="53"/>
      <c r="TOB2460" s="53"/>
      <c r="TOC2460" s="62"/>
      <c r="TOD2460" s="60"/>
      <c r="TOE2460" s="53"/>
      <c r="TOF2460" s="53"/>
      <c r="TOG2460" s="62"/>
      <c r="TOH2460" s="61"/>
      <c r="TOI2460" s="53"/>
      <c r="TOJ2460" s="53"/>
      <c r="TOK2460" s="62"/>
      <c r="TOL2460" s="60"/>
      <c r="TOM2460" s="53"/>
      <c r="TON2460" s="53"/>
      <c r="TOO2460" s="62"/>
      <c r="TOP2460" s="61"/>
      <c r="TOQ2460" s="53"/>
      <c r="TOR2460" s="53"/>
      <c r="TOS2460" s="62"/>
      <c r="TOT2460" s="60"/>
      <c r="TOU2460" s="53"/>
      <c r="TOV2460" s="53"/>
      <c r="TOW2460" s="62"/>
      <c r="TOX2460" s="61"/>
      <c r="TOY2460" s="53"/>
      <c r="TOZ2460" s="53"/>
      <c r="TPA2460" s="62"/>
      <c r="TPB2460" s="60"/>
      <c r="TPC2460" s="53"/>
      <c r="TPD2460" s="53"/>
      <c r="TPE2460" s="62"/>
      <c r="TPF2460" s="61"/>
      <c r="TPG2460" s="53"/>
      <c r="TPH2460" s="53"/>
      <c r="TPI2460" s="62"/>
      <c r="TPJ2460" s="60"/>
      <c r="TPK2460" s="53"/>
      <c r="TPL2460" s="53"/>
      <c r="TPM2460" s="62"/>
      <c r="TPN2460" s="61"/>
      <c r="TPO2460" s="53"/>
      <c r="TPP2460" s="53"/>
      <c r="TPQ2460" s="62"/>
      <c r="TPR2460" s="60"/>
      <c r="TPS2460" s="53"/>
      <c r="TPT2460" s="53"/>
      <c r="TPU2460" s="62"/>
      <c r="TPV2460" s="61"/>
      <c r="TPW2460" s="53"/>
      <c r="TPX2460" s="53"/>
      <c r="TPY2460" s="62"/>
      <c r="TPZ2460" s="60"/>
      <c r="TQA2460" s="53"/>
      <c r="TQB2460" s="53"/>
      <c r="TQC2460" s="62"/>
      <c r="TQD2460" s="61"/>
      <c r="TQE2460" s="53"/>
      <c r="TQF2460" s="53"/>
      <c r="TQG2460" s="62"/>
      <c r="TQH2460" s="60"/>
      <c r="TQI2460" s="53"/>
      <c r="TQJ2460" s="53"/>
      <c r="TQK2460" s="62"/>
      <c r="TQL2460" s="61"/>
      <c r="TQM2460" s="53"/>
      <c r="TQN2460" s="53"/>
      <c r="TQO2460" s="62"/>
      <c r="TQP2460" s="60"/>
      <c r="TQQ2460" s="53"/>
      <c r="TQR2460" s="53"/>
      <c r="TQS2460" s="62"/>
      <c r="TQT2460" s="61"/>
      <c r="TQU2460" s="53"/>
      <c r="TQV2460" s="53"/>
      <c r="TQW2460" s="62"/>
      <c r="TQX2460" s="60"/>
      <c r="TQY2460" s="53"/>
      <c r="TQZ2460" s="53"/>
      <c r="TRA2460" s="62"/>
      <c r="TRB2460" s="61"/>
      <c r="TRC2460" s="53"/>
      <c r="TRD2460" s="53"/>
      <c r="TRE2460" s="62"/>
      <c r="TRF2460" s="60"/>
      <c r="TRG2460" s="53"/>
      <c r="TRH2460" s="53"/>
      <c r="TRI2460" s="62"/>
      <c r="TRJ2460" s="61"/>
      <c r="TRK2460" s="53"/>
      <c r="TRL2460" s="53"/>
      <c r="TRM2460" s="62"/>
      <c r="TRN2460" s="60"/>
      <c r="TRO2460" s="53"/>
      <c r="TRP2460" s="53"/>
      <c r="TRQ2460" s="62"/>
      <c r="TRR2460" s="61"/>
      <c r="TRS2460" s="53"/>
      <c r="TRT2460" s="53"/>
      <c r="TRU2460" s="62"/>
      <c r="TRV2460" s="60"/>
      <c r="TRW2460" s="53"/>
      <c r="TRX2460" s="53"/>
      <c r="TRY2460" s="62"/>
      <c r="TRZ2460" s="61"/>
      <c r="TSA2460" s="53"/>
      <c r="TSB2460" s="53"/>
      <c r="TSC2460" s="62"/>
      <c r="TSD2460" s="60"/>
      <c r="TSE2460" s="53"/>
      <c r="TSF2460" s="53"/>
      <c r="TSG2460" s="62"/>
      <c r="TSH2460" s="61"/>
      <c r="TSI2460" s="53"/>
      <c r="TSJ2460" s="53"/>
      <c r="TSK2460" s="62"/>
      <c r="TSL2460" s="60"/>
      <c r="TSM2460" s="53"/>
      <c r="TSN2460" s="53"/>
      <c r="TSO2460" s="62"/>
      <c r="TSP2460" s="61"/>
      <c r="TSQ2460" s="53"/>
      <c r="TSR2460" s="53"/>
      <c r="TSS2460" s="62"/>
      <c r="TST2460" s="60"/>
      <c r="TSU2460" s="53"/>
      <c r="TSV2460" s="53"/>
      <c r="TSW2460" s="62"/>
      <c r="TSX2460" s="61"/>
      <c r="TSY2460" s="53"/>
      <c r="TSZ2460" s="53"/>
      <c r="TTA2460" s="62"/>
      <c r="TTB2460" s="60"/>
      <c r="TTC2460" s="53"/>
      <c r="TTD2460" s="53"/>
      <c r="TTE2460" s="62"/>
      <c r="TTF2460" s="61"/>
      <c r="TTG2460" s="53"/>
      <c r="TTH2460" s="53"/>
      <c r="TTI2460" s="62"/>
      <c r="TTJ2460" s="60"/>
      <c r="TTK2460" s="53"/>
      <c r="TTL2460" s="53"/>
      <c r="TTM2460" s="62"/>
      <c r="TTN2460" s="61"/>
      <c r="TTO2460" s="53"/>
      <c r="TTP2460" s="53"/>
      <c r="TTQ2460" s="62"/>
      <c r="TTR2460" s="60"/>
      <c r="TTS2460" s="53"/>
      <c r="TTT2460" s="53"/>
      <c r="TTU2460" s="62"/>
      <c r="TTV2460" s="61"/>
      <c r="TTW2460" s="53"/>
      <c r="TTX2460" s="53"/>
      <c r="TTY2460" s="62"/>
      <c r="TTZ2460" s="60"/>
      <c r="TUA2460" s="53"/>
      <c r="TUB2460" s="53"/>
      <c r="TUC2460" s="62"/>
      <c r="TUD2460" s="61"/>
      <c r="TUE2460" s="53"/>
      <c r="TUF2460" s="53"/>
      <c r="TUG2460" s="62"/>
      <c r="TUH2460" s="60"/>
      <c r="TUI2460" s="53"/>
      <c r="TUJ2460" s="53"/>
      <c r="TUK2460" s="62"/>
      <c r="TUL2460" s="61"/>
      <c r="TUM2460" s="53"/>
      <c r="TUN2460" s="53"/>
      <c r="TUO2460" s="62"/>
      <c r="TUP2460" s="60"/>
      <c r="TUQ2460" s="53"/>
      <c r="TUR2460" s="53"/>
      <c r="TUS2460" s="62"/>
      <c r="TUT2460" s="61"/>
      <c r="TUU2460" s="53"/>
      <c r="TUV2460" s="53"/>
      <c r="TUW2460" s="62"/>
      <c r="TUX2460" s="60"/>
      <c r="TUY2460" s="53"/>
      <c r="TUZ2460" s="53"/>
      <c r="TVA2460" s="62"/>
      <c r="TVB2460" s="61"/>
      <c r="TVC2460" s="53"/>
      <c r="TVD2460" s="53"/>
      <c r="TVE2460" s="62"/>
      <c r="TVF2460" s="60"/>
      <c r="TVG2460" s="53"/>
      <c r="TVH2460" s="53"/>
      <c r="TVI2460" s="62"/>
      <c r="TVJ2460" s="61"/>
      <c r="TVK2460" s="53"/>
      <c r="TVL2460" s="53"/>
      <c r="TVM2460" s="62"/>
      <c r="TVN2460" s="60"/>
      <c r="TVO2460" s="53"/>
      <c r="TVP2460" s="53"/>
      <c r="TVQ2460" s="62"/>
      <c r="TVR2460" s="61"/>
      <c r="TVS2460" s="53"/>
      <c r="TVT2460" s="53"/>
      <c r="TVU2460" s="62"/>
      <c r="TVV2460" s="60"/>
      <c r="TVW2460" s="53"/>
      <c r="TVX2460" s="53"/>
      <c r="TVY2460" s="62"/>
      <c r="TVZ2460" s="61"/>
      <c r="TWA2460" s="53"/>
      <c r="TWB2460" s="53"/>
      <c r="TWC2460" s="62"/>
      <c r="TWD2460" s="60"/>
      <c r="TWE2460" s="53"/>
      <c r="TWF2460" s="53"/>
      <c r="TWG2460" s="62"/>
      <c r="TWH2460" s="61"/>
      <c r="TWI2460" s="53"/>
      <c r="TWJ2460" s="53"/>
      <c r="TWK2460" s="62"/>
      <c r="TWL2460" s="60"/>
      <c r="TWM2460" s="53"/>
      <c r="TWN2460" s="53"/>
      <c r="TWO2460" s="62"/>
      <c r="TWP2460" s="61"/>
      <c r="TWQ2460" s="53"/>
      <c r="TWR2460" s="53"/>
      <c r="TWS2460" s="62"/>
      <c r="TWT2460" s="60"/>
      <c r="TWU2460" s="53"/>
      <c r="TWV2460" s="53"/>
      <c r="TWW2460" s="62"/>
      <c r="TWX2460" s="61"/>
      <c r="TWY2460" s="53"/>
      <c r="TWZ2460" s="53"/>
      <c r="TXA2460" s="62"/>
      <c r="TXB2460" s="60"/>
      <c r="TXC2460" s="53"/>
      <c r="TXD2460" s="53"/>
      <c r="TXE2460" s="62"/>
      <c r="TXF2460" s="61"/>
      <c r="TXG2460" s="53"/>
      <c r="TXH2460" s="53"/>
      <c r="TXI2460" s="62"/>
      <c r="TXJ2460" s="60"/>
      <c r="TXK2460" s="53"/>
      <c r="TXL2460" s="53"/>
      <c r="TXM2460" s="62"/>
      <c r="TXN2460" s="61"/>
      <c r="TXO2460" s="53"/>
      <c r="TXP2460" s="53"/>
      <c r="TXQ2460" s="62"/>
      <c r="TXR2460" s="60"/>
      <c r="TXS2460" s="53"/>
      <c r="TXT2460" s="53"/>
      <c r="TXU2460" s="62"/>
      <c r="TXV2460" s="61"/>
      <c r="TXW2460" s="53"/>
      <c r="TXX2460" s="53"/>
      <c r="TXY2460" s="62"/>
      <c r="TXZ2460" s="60"/>
      <c r="TYA2460" s="53"/>
      <c r="TYB2460" s="53"/>
      <c r="TYC2460" s="62"/>
      <c r="TYD2460" s="61"/>
      <c r="TYE2460" s="53"/>
      <c r="TYF2460" s="53"/>
      <c r="TYG2460" s="62"/>
      <c r="TYH2460" s="60"/>
      <c r="TYI2460" s="53"/>
      <c r="TYJ2460" s="53"/>
      <c r="TYK2460" s="62"/>
      <c r="TYL2460" s="61"/>
      <c r="TYM2460" s="53"/>
      <c r="TYN2460" s="53"/>
      <c r="TYO2460" s="62"/>
      <c r="TYP2460" s="60"/>
      <c r="TYQ2460" s="53"/>
      <c r="TYR2460" s="53"/>
      <c r="TYS2460" s="62"/>
      <c r="TYT2460" s="61"/>
      <c r="TYU2460" s="53"/>
      <c r="TYV2460" s="53"/>
      <c r="TYW2460" s="62"/>
      <c r="TYX2460" s="60"/>
      <c r="TYY2460" s="53"/>
      <c r="TYZ2460" s="53"/>
      <c r="TZA2460" s="62"/>
      <c r="TZB2460" s="61"/>
      <c r="TZC2460" s="53"/>
      <c r="TZD2460" s="53"/>
      <c r="TZE2460" s="62"/>
      <c r="TZF2460" s="60"/>
      <c r="TZG2460" s="53"/>
      <c r="TZH2460" s="53"/>
      <c r="TZI2460" s="62"/>
      <c r="TZJ2460" s="61"/>
      <c r="TZK2460" s="53"/>
      <c r="TZL2460" s="53"/>
      <c r="TZM2460" s="62"/>
      <c r="TZN2460" s="60"/>
      <c r="TZO2460" s="53"/>
      <c r="TZP2460" s="53"/>
      <c r="TZQ2460" s="62"/>
      <c r="TZR2460" s="61"/>
      <c r="TZS2460" s="53"/>
      <c r="TZT2460" s="53"/>
      <c r="TZU2460" s="62"/>
      <c r="TZV2460" s="60"/>
      <c r="TZW2460" s="53"/>
      <c r="TZX2460" s="53"/>
      <c r="TZY2460" s="62"/>
      <c r="TZZ2460" s="61"/>
      <c r="UAA2460" s="53"/>
      <c r="UAB2460" s="53"/>
      <c r="UAC2460" s="62"/>
      <c r="UAD2460" s="60"/>
      <c r="UAE2460" s="53"/>
      <c r="UAF2460" s="53"/>
      <c r="UAG2460" s="62"/>
      <c r="UAH2460" s="61"/>
      <c r="UAI2460" s="53"/>
      <c r="UAJ2460" s="53"/>
      <c r="UAK2460" s="62"/>
      <c r="UAL2460" s="60"/>
      <c r="UAM2460" s="53"/>
      <c r="UAN2460" s="53"/>
      <c r="UAO2460" s="62"/>
      <c r="UAP2460" s="61"/>
      <c r="UAQ2460" s="53"/>
      <c r="UAR2460" s="53"/>
      <c r="UAS2460" s="62"/>
      <c r="UAT2460" s="60"/>
      <c r="UAU2460" s="53"/>
      <c r="UAV2460" s="53"/>
      <c r="UAW2460" s="62"/>
      <c r="UAX2460" s="61"/>
      <c r="UAY2460" s="53"/>
      <c r="UAZ2460" s="53"/>
      <c r="UBA2460" s="62"/>
      <c r="UBB2460" s="60"/>
      <c r="UBC2460" s="53"/>
      <c r="UBD2460" s="53"/>
      <c r="UBE2460" s="62"/>
      <c r="UBF2460" s="61"/>
      <c r="UBG2460" s="53"/>
      <c r="UBH2460" s="53"/>
      <c r="UBI2460" s="62"/>
      <c r="UBJ2460" s="60"/>
      <c r="UBK2460" s="53"/>
      <c r="UBL2460" s="53"/>
      <c r="UBM2460" s="62"/>
      <c r="UBN2460" s="61"/>
      <c r="UBO2460" s="53"/>
      <c r="UBP2460" s="53"/>
      <c r="UBQ2460" s="62"/>
      <c r="UBR2460" s="60"/>
      <c r="UBS2460" s="53"/>
      <c r="UBT2460" s="53"/>
      <c r="UBU2460" s="62"/>
      <c r="UBV2460" s="61"/>
      <c r="UBW2460" s="53"/>
      <c r="UBX2460" s="53"/>
      <c r="UBY2460" s="62"/>
      <c r="UBZ2460" s="60"/>
      <c r="UCA2460" s="53"/>
      <c r="UCB2460" s="53"/>
      <c r="UCC2460" s="62"/>
      <c r="UCD2460" s="61"/>
      <c r="UCE2460" s="53"/>
      <c r="UCF2460" s="53"/>
      <c r="UCG2460" s="62"/>
      <c r="UCH2460" s="60"/>
      <c r="UCI2460" s="53"/>
      <c r="UCJ2460" s="53"/>
      <c r="UCK2460" s="62"/>
      <c r="UCL2460" s="61"/>
      <c r="UCM2460" s="53"/>
      <c r="UCN2460" s="53"/>
      <c r="UCO2460" s="62"/>
      <c r="UCP2460" s="60"/>
      <c r="UCQ2460" s="53"/>
      <c r="UCR2460" s="53"/>
      <c r="UCS2460" s="62"/>
      <c r="UCT2460" s="61"/>
      <c r="UCU2460" s="53"/>
      <c r="UCV2460" s="53"/>
      <c r="UCW2460" s="62"/>
      <c r="UCX2460" s="60"/>
      <c r="UCY2460" s="53"/>
      <c r="UCZ2460" s="53"/>
      <c r="UDA2460" s="62"/>
      <c r="UDB2460" s="61"/>
      <c r="UDC2460" s="53"/>
      <c r="UDD2460" s="53"/>
      <c r="UDE2460" s="62"/>
      <c r="UDF2460" s="60"/>
      <c r="UDG2460" s="53"/>
      <c r="UDH2460" s="53"/>
      <c r="UDI2460" s="62"/>
      <c r="UDJ2460" s="61"/>
      <c r="UDK2460" s="53"/>
      <c r="UDL2460" s="53"/>
      <c r="UDM2460" s="62"/>
      <c r="UDN2460" s="60"/>
      <c r="UDO2460" s="53"/>
      <c r="UDP2460" s="53"/>
      <c r="UDQ2460" s="62"/>
      <c r="UDR2460" s="61"/>
      <c r="UDS2460" s="53"/>
      <c r="UDT2460" s="53"/>
      <c r="UDU2460" s="62"/>
      <c r="UDV2460" s="60"/>
      <c r="UDW2460" s="53"/>
      <c r="UDX2460" s="53"/>
      <c r="UDY2460" s="62"/>
      <c r="UDZ2460" s="61"/>
      <c r="UEA2460" s="53"/>
      <c r="UEB2460" s="53"/>
      <c r="UEC2460" s="62"/>
      <c r="UED2460" s="60"/>
      <c r="UEE2460" s="53"/>
      <c r="UEF2460" s="53"/>
      <c r="UEG2460" s="62"/>
      <c r="UEH2460" s="61"/>
      <c r="UEI2460" s="53"/>
      <c r="UEJ2460" s="53"/>
      <c r="UEK2460" s="62"/>
      <c r="UEL2460" s="60"/>
      <c r="UEM2460" s="53"/>
      <c r="UEN2460" s="53"/>
      <c r="UEO2460" s="62"/>
      <c r="UEP2460" s="61"/>
      <c r="UEQ2460" s="53"/>
      <c r="UER2460" s="53"/>
      <c r="UES2460" s="62"/>
      <c r="UET2460" s="60"/>
      <c r="UEU2460" s="53"/>
      <c r="UEV2460" s="53"/>
      <c r="UEW2460" s="62"/>
      <c r="UEX2460" s="61"/>
      <c r="UEY2460" s="53"/>
      <c r="UEZ2460" s="53"/>
      <c r="UFA2460" s="62"/>
      <c r="UFB2460" s="60"/>
      <c r="UFC2460" s="53"/>
      <c r="UFD2460" s="53"/>
      <c r="UFE2460" s="62"/>
      <c r="UFF2460" s="61"/>
      <c r="UFG2460" s="53"/>
      <c r="UFH2460" s="53"/>
      <c r="UFI2460" s="62"/>
      <c r="UFJ2460" s="60"/>
      <c r="UFK2460" s="53"/>
      <c r="UFL2460" s="53"/>
      <c r="UFM2460" s="62"/>
      <c r="UFN2460" s="61"/>
      <c r="UFO2460" s="53"/>
      <c r="UFP2460" s="53"/>
      <c r="UFQ2460" s="62"/>
      <c r="UFR2460" s="60"/>
      <c r="UFS2460" s="53"/>
      <c r="UFT2460" s="53"/>
      <c r="UFU2460" s="62"/>
      <c r="UFV2460" s="61"/>
      <c r="UFW2460" s="53"/>
      <c r="UFX2460" s="53"/>
      <c r="UFY2460" s="62"/>
      <c r="UFZ2460" s="60"/>
      <c r="UGA2460" s="53"/>
      <c r="UGB2460" s="53"/>
      <c r="UGC2460" s="62"/>
      <c r="UGD2460" s="61"/>
      <c r="UGE2460" s="53"/>
      <c r="UGF2460" s="53"/>
      <c r="UGG2460" s="62"/>
      <c r="UGH2460" s="60"/>
      <c r="UGI2460" s="53"/>
      <c r="UGJ2460" s="53"/>
      <c r="UGK2460" s="62"/>
      <c r="UGL2460" s="61"/>
      <c r="UGM2460" s="53"/>
      <c r="UGN2460" s="53"/>
      <c r="UGO2460" s="62"/>
      <c r="UGP2460" s="60"/>
      <c r="UGQ2460" s="53"/>
      <c r="UGR2460" s="53"/>
      <c r="UGS2460" s="62"/>
      <c r="UGT2460" s="61"/>
      <c r="UGU2460" s="53"/>
      <c r="UGV2460" s="53"/>
      <c r="UGW2460" s="62"/>
      <c r="UGX2460" s="60"/>
      <c r="UGY2460" s="53"/>
      <c r="UGZ2460" s="53"/>
      <c r="UHA2460" s="62"/>
      <c r="UHB2460" s="61"/>
      <c r="UHC2460" s="53"/>
      <c r="UHD2460" s="53"/>
      <c r="UHE2460" s="62"/>
      <c r="UHF2460" s="60"/>
      <c r="UHG2460" s="53"/>
      <c r="UHH2460" s="53"/>
      <c r="UHI2460" s="62"/>
      <c r="UHJ2460" s="61"/>
      <c r="UHK2460" s="53"/>
      <c r="UHL2460" s="53"/>
      <c r="UHM2460" s="62"/>
      <c r="UHN2460" s="60"/>
      <c r="UHO2460" s="53"/>
      <c r="UHP2460" s="53"/>
      <c r="UHQ2460" s="62"/>
      <c r="UHR2460" s="61"/>
      <c r="UHS2460" s="53"/>
      <c r="UHT2460" s="53"/>
      <c r="UHU2460" s="62"/>
      <c r="UHV2460" s="60"/>
      <c r="UHW2460" s="53"/>
      <c r="UHX2460" s="53"/>
      <c r="UHY2460" s="62"/>
      <c r="UHZ2460" s="61"/>
      <c r="UIA2460" s="53"/>
      <c r="UIB2460" s="53"/>
      <c r="UIC2460" s="62"/>
      <c r="UID2460" s="60"/>
      <c r="UIE2460" s="53"/>
      <c r="UIF2460" s="53"/>
      <c r="UIG2460" s="62"/>
      <c r="UIH2460" s="61"/>
      <c r="UII2460" s="53"/>
      <c r="UIJ2460" s="53"/>
      <c r="UIK2460" s="62"/>
      <c r="UIL2460" s="60"/>
      <c r="UIM2460" s="53"/>
      <c r="UIN2460" s="53"/>
      <c r="UIO2460" s="62"/>
      <c r="UIP2460" s="61"/>
      <c r="UIQ2460" s="53"/>
      <c r="UIR2460" s="53"/>
      <c r="UIS2460" s="62"/>
      <c r="UIT2460" s="60"/>
      <c r="UIU2460" s="53"/>
      <c r="UIV2460" s="53"/>
      <c r="UIW2460" s="62"/>
      <c r="UIX2460" s="61"/>
      <c r="UIY2460" s="53"/>
      <c r="UIZ2460" s="53"/>
      <c r="UJA2460" s="62"/>
      <c r="UJB2460" s="60"/>
      <c r="UJC2460" s="53"/>
      <c r="UJD2460" s="53"/>
      <c r="UJE2460" s="62"/>
      <c r="UJF2460" s="61"/>
      <c r="UJG2460" s="53"/>
      <c r="UJH2460" s="53"/>
      <c r="UJI2460" s="62"/>
      <c r="UJJ2460" s="60"/>
      <c r="UJK2460" s="53"/>
      <c r="UJL2460" s="53"/>
      <c r="UJM2460" s="62"/>
      <c r="UJN2460" s="61"/>
      <c r="UJO2460" s="53"/>
      <c r="UJP2460" s="53"/>
      <c r="UJQ2460" s="62"/>
      <c r="UJR2460" s="60"/>
      <c r="UJS2460" s="53"/>
      <c r="UJT2460" s="53"/>
      <c r="UJU2460" s="62"/>
      <c r="UJV2460" s="61"/>
      <c r="UJW2460" s="53"/>
      <c r="UJX2460" s="53"/>
      <c r="UJY2460" s="62"/>
      <c r="UJZ2460" s="60"/>
      <c r="UKA2460" s="53"/>
      <c r="UKB2460" s="53"/>
      <c r="UKC2460" s="62"/>
      <c r="UKD2460" s="61"/>
      <c r="UKE2460" s="53"/>
      <c r="UKF2460" s="53"/>
      <c r="UKG2460" s="62"/>
      <c r="UKH2460" s="60"/>
      <c r="UKI2460" s="53"/>
      <c r="UKJ2460" s="53"/>
      <c r="UKK2460" s="62"/>
      <c r="UKL2460" s="61"/>
      <c r="UKM2460" s="53"/>
      <c r="UKN2460" s="53"/>
      <c r="UKO2460" s="62"/>
      <c r="UKP2460" s="60"/>
      <c r="UKQ2460" s="53"/>
      <c r="UKR2460" s="53"/>
      <c r="UKS2460" s="62"/>
      <c r="UKT2460" s="61"/>
      <c r="UKU2460" s="53"/>
      <c r="UKV2460" s="53"/>
      <c r="UKW2460" s="62"/>
      <c r="UKX2460" s="60"/>
      <c r="UKY2460" s="53"/>
      <c r="UKZ2460" s="53"/>
      <c r="ULA2460" s="62"/>
      <c r="ULB2460" s="61"/>
      <c r="ULC2460" s="53"/>
      <c r="ULD2460" s="53"/>
      <c r="ULE2460" s="62"/>
      <c r="ULF2460" s="60"/>
      <c r="ULG2460" s="53"/>
      <c r="ULH2460" s="53"/>
      <c r="ULI2460" s="62"/>
      <c r="ULJ2460" s="61"/>
      <c r="ULK2460" s="53"/>
      <c r="ULL2460" s="53"/>
      <c r="ULM2460" s="62"/>
      <c r="ULN2460" s="60"/>
      <c r="ULO2460" s="53"/>
      <c r="ULP2460" s="53"/>
      <c r="ULQ2460" s="62"/>
      <c r="ULR2460" s="61"/>
      <c r="ULS2460" s="53"/>
      <c r="ULT2460" s="53"/>
      <c r="ULU2460" s="62"/>
      <c r="ULV2460" s="60"/>
      <c r="ULW2460" s="53"/>
      <c r="ULX2460" s="53"/>
      <c r="ULY2460" s="62"/>
      <c r="ULZ2460" s="61"/>
      <c r="UMA2460" s="53"/>
      <c r="UMB2460" s="53"/>
      <c r="UMC2460" s="62"/>
      <c r="UMD2460" s="60"/>
      <c r="UME2460" s="53"/>
      <c r="UMF2460" s="53"/>
      <c r="UMG2460" s="62"/>
      <c r="UMH2460" s="61"/>
      <c r="UMI2460" s="53"/>
      <c r="UMJ2460" s="53"/>
      <c r="UMK2460" s="62"/>
      <c r="UML2460" s="60"/>
      <c r="UMM2460" s="53"/>
      <c r="UMN2460" s="53"/>
      <c r="UMO2460" s="62"/>
      <c r="UMP2460" s="61"/>
      <c r="UMQ2460" s="53"/>
      <c r="UMR2460" s="53"/>
      <c r="UMS2460" s="62"/>
      <c r="UMT2460" s="60"/>
      <c r="UMU2460" s="53"/>
      <c r="UMV2460" s="53"/>
      <c r="UMW2460" s="62"/>
      <c r="UMX2460" s="61"/>
      <c r="UMY2460" s="53"/>
      <c r="UMZ2460" s="53"/>
      <c r="UNA2460" s="62"/>
      <c r="UNB2460" s="60"/>
      <c r="UNC2460" s="53"/>
      <c r="UND2460" s="53"/>
      <c r="UNE2460" s="62"/>
      <c r="UNF2460" s="61"/>
      <c r="UNG2460" s="53"/>
      <c r="UNH2460" s="53"/>
      <c r="UNI2460" s="62"/>
      <c r="UNJ2460" s="60"/>
      <c r="UNK2460" s="53"/>
      <c r="UNL2460" s="53"/>
      <c r="UNM2460" s="62"/>
      <c r="UNN2460" s="61"/>
      <c r="UNO2460" s="53"/>
      <c r="UNP2460" s="53"/>
      <c r="UNQ2460" s="62"/>
      <c r="UNR2460" s="60"/>
      <c r="UNS2460" s="53"/>
      <c r="UNT2460" s="53"/>
      <c r="UNU2460" s="62"/>
      <c r="UNV2460" s="61"/>
      <c r="UNW2460" s="53"/>
      <c r="UNX2460" s="53"/>
      <c r="UNY2460" s="62"/>
      <c r="UNZ2460" s="60"/>
      <c r="UOA2460" s="53"/>
      <c r="UOB2460" s="53"/>
      <c r="UOC2460" s="62"/>
      <c r="UOD2460" s="61"/>
      <c r="UOE2460" s="53"/>
      <c r="UOF2460" s="53"/>
      <c r="UOG2460" s="62"/>
      <c r="UOH2460" s="60"/>
      <c r="UOI2460" s="53"/>
      <c r="UOJ2460" s="53"/>
      <c r="UOK2460" s="62"/>
      <c r="UOL2460" s="61"/>
      <c r="UOM2460" s="53"/>
      <c r="UON2460" s="53"/>
      <c r="UOO2460" s="62"/>
      <c r="UOP2460" s="60"/>
      <c r="UOQ2460" s="53"/>
      <c r="UOR2460" s="53"/>
      <c r="UOS2460" s="62"/>
      <c r="UOT2460" s="61"/>
      <c r="UOU2460" s="53"/>
      <c r="UOV2460" s="53"/>
      <c r="UOW2460" s="62"/>
      <c r="UOX2460" s="60"/>
      <c r="UOY2460" s="53"/>
      <c r="UOZ2460" s="53"/>
      <c r="UPA2460" s="62"/>
      <c r="UPB2460" s="61"/>
      <c r="UPC2460" s="53"/>
      <c r="UPD2460" s="53"/>
      <c r="UPE2460" s="62"/>
      <c r="UPF2460" s="60"/>
      <c r="UPG2460" s="53"/>
      <c r="UPH2460" s="53"/>
      <c r="UPI2460" s="62"/>
      <c r="UPJ2460" s="61"/>
      <c r="UPK2460" s="53"/>
      <c r="UPL2460" s="53"/>
      <c r="UPM2460" s="62"/>
      <c r="UPN2460" s="60"/>
      <c r="UPO2460" s="53"/>
      <c r="UPP2460" s="53"/>
      <c r="UPQ2460" s="62"/>
      <c r="UPR2460" s="61"/>
      <c r="UPS2460" s="53"/>
      <c r="UPT2460" s="53"/>
      <c r="UPU2460" s="62"/>
      <c r="UPV2460" s="60"/>
      <c r="UPW2460" s="53"/>
      <c r="UPX2460" s="53"/>
      <c r="UPY2460" s="62"/>
      <c r="UPZ2460" s="61"/>
      <c r="UQA2460" s="53"/>
      <c r="UQB2460" s="53"/>
      <c r="UQC2460" s="62"/>
      <c r="UQD2460" s="60"/>
      <c r="UQE2460" s="53"/>
      <c r="UQF2460" s="53"/>
      <c r="UQG2460" s="62"/>
      <c r="UQH2460" s="61"/>
      <c r="UQI2460" s="53"/>
      <c r="UQJ2460" s="53"/>
      <c r="UQK2460" s="62"/>
      <c r="UQL2460" s="60"/>
      <c r="UQM2460" s="53"/>
      <c r="UQN2460" s="53"/>
      <c r="UQO2460" s="62"/>
      <c r="UQP2460" s="61"/>
      <c r="UQQ2460" s="53"/>
      <c r="UQR2460" s="53"/>
      <c r="UQS2460" s="62"/>
      <c r="UQT2460" s="60"/>
      <c r="UQU2460" s="53"/>
      <c r="UQV2460" s="53"/>
      <c r="UQW2460" s="62"/>
      <c r="UQX2460" s="61"/>
      <c r="UQY2460" s="53"/>
      <c r="UQZ2460" s="53"/>
      <c r="URA2460" s="62"/>
      <c r="URB2460" s="60"/>
      <c r="URC2460" s="53"/>
      <c r="URD2460" s="53"/>
      <c r="URE2460" s="62"/>
      <c r="URF2460" s="61"/>
      <c r="URG2460" s="53"/>
      <c r="URH2460" s="53"/>
      <c r="URI2460" s="62"/>
      <c r="URJ2460" s="60"/>
      <c r="URK2460" s="53"/>
      <c r="URL2460" s="53"/>
      <c r="URM2460" s="62"/>
      <c r="URN2460" s="61"/>
      <c r="URO2460" s="53"/>
      <c r="URP2460" s="53"/>
      <c r="URQ2460" s="62"/>
      <c r="URR2460" s="60"/>
      <c r="URS2460" s="53"/>
      <c r="URT2460" s="53"/>
      <c r="URU2460" s="62"/>
      <c r="URV2460" s="61"/>
      <c r="URW2460" s="53"/>
      <c r="URX2460" s="53"/>
      <c r="URY2460" s="62"/>
      <c r="URZ2460" s="60"/>
      <c r="USA2460" s="53"/>
      <c r="USB2460" s="53"/>
      <c r="USC2460" s="62"/>
      <c r="USD2460" s="61"/>
      <c r="USE2460" s="53"/>
      <c r="USF2460" s="53"/>
      <c r="USG2460" s="62"/>
      <c r="USH2460" s="60"/>
      <c r="USI2460" s="53"/>
      <c r="USJ2460" s="53"/>
      <c r="USK2460" s="62"/>
      <c r="USL2460" s="61"/>
      <c r="USM2460" s="53"/>
      <c r="USN2460" s="53"/>
      <c r="USO2460" s="62"/>
      <c r="USP2460" s="60"/>
      <c r="USQ2460" s="53"/>
      <c r="USR2460" s="53"/>
      <c r="USS2460" s="62"/>
      <c r="UST2460" s="61"/>
      <c r="USU2460" s="53"/>
      <c r="USV2460" s="53"/>
      <c r="USW2460" s="62"/>
      <c r="USX2460" s="60"/>
      <c r="USY2460" s="53"/>
      <c r="USZ2460" s="53"/>
      <c r="UTA2460" s="62"/>
      <c r="UTB2460" s="61"/>
      <c r="UTC2460" s="53"/>
      <c r="UTD2460" s="53"/>
      <c r="UTE2460" s="62"/>
      <c r="UTF2460" s="60"/>
      <c r="UTG2460" s="53"/>
      <c r="UTH2460" s="53"/>
      <c r="UTI2460" s="62"/>
      <c r="UTJ2460" s="61"/>
      <c r="UTK2460" s="53"/>
      <c r="UTL2460" s="53"/>
      <c r="UTM2460" s="62"/>
      <c r="UTN2460" s="60"/>
      <c r="UTO2460" s="53"/>
      <c r="UTP2460" s="53"/>
      <c r="UTQ2460" s="62"/>
      <c r="UTR2460" s="61"/>
      <c r="UTS2460" s="53"/>
      <c r="UTT2460" s="53"/>
      <c r="UTU2460" s="62"/>
      <c r="UTV2460" s="60"/>
      <c r="UTW2460" s="53"/>
      <c r="UTX2460" s="53"/>
      <c r="UTY2460" s="62"/>
      <c r="UTZ2460" s="61"/>
      <c r="UUA2460" s="53"/>
      <c r="UUB2460" s="53"/>
      <c r="UUC2460" s="62"/>
      <c r="UUD2460" s="60"/>
      <c r="UUE2460" s="53"/>
      <c r="UUF2460" s="53"/>
      <c r="UUG2460" s="62"/>
      <c r="UUH2460" s="61"/>
      <c r="UUI2460" s="53"/>
      <c r="UUJ2460" s="53"/>
      <c r="UUK2460" s="62"/>
      <c r="UUL2460" s="60"/>
      <c r="UUM2460" s="53"/>
      <c r="UUN2460" s="53"/>
      <c r="UUO2460" s="62"/>
      <c r="UUP2460" s="61"/>
      <c r="UUQ2460" s="53"/>
      <c r="UUR2460" s="53"/>
      <c r="UUS2460" s="62"/>
      <c r="UUT2460" s="60"/>
      <c r="UUU2460" s="53"/>
      <c r="UUV2460" s="53"/>
      <c r="UUW2460" s="62"/>
      <c r="UUX2460" s="61"/>
      <c r="UUY2460" s="53"/>
      <c r="UUZ2460" s="53"/>
      <c r="UVA2460" s="62"/>
      <c r="UVB2460" s="60"/>
      <c r="UVC2460" s="53"/>
      <c r="UVD2460" s="53"/>
      <c r="UVE2460" s="62"/>
      <c r="UVF2460" s="61"/>
      <c r="UVG2460" s="53"/>
      <c r="UVH2460" s="53"/>
      <c r="UVI2460" s="62"/>
      <c r="UVJ2460" s="60"/>
      <c r="UVK2460" s="53"/>
      <c r="UVL2460" s="53"/>
      <c r="UVM2460" s="62"/>
      <c r="UVN2460" s="61"/>
      <c r="UVO2460" s="53"/>
      <c r="UVP2460" s="53"/>
      <c r="UVQ2460" s="62"/>
      <c r="UVR2460" s="60"/>
      <c r="UVS2460" s="53"/>
      <c r="UVT2460" s="53"/>
      <c r="UVU2460" s="62"/>
      <c r="UVV2460" s="61"/>
      <c r="UVW2460" s="53"/>
      <c r="UVX2460" s="53"/>
      <c r="UVY2460" s="62"/>
      <c r="UVZ2460" s="60"/>
      <c r="UWA2460" s="53"/>
      <c r="UWB2460" s="53"/>
      <c r="UWC2460" s="62"/>
      <c r="UWD2460" s="61"/>
      <c r="UWE2460" s="53"/>
      <c r="UWF2460" s="53"/>
      <c r="UWG2460" s="62"/>
      <c r="UWH2460" s="60"/>
      <c r="UWI2460" s="53"/>
      <c r="UWJ2460" s="53"/>
      <c r="UWK2460" s="62"/>
      <c r="UWL2460" s="61"/>
      <c r="UWM2460" s="53"/>
      <c r="UWN2460" s="53"/>
      <c r="UWO2460" s="62"/>
      <c r="UWP2460" s="60"/>
      <c r="UWQ2460" s="53"/>
      <c r="UWR2460" s="53"/>
      <c r="UWS2460" s="62"/>
      <c r="UWT2460" s="61"/>
      <c r="UWU2460" s="53"/>
      <c r="UWV2460" s="53"/>
      <c r="UWW2460" s="62"/>
      <c r="UWX2460" s="60"/>
      <c r="UWY2460" s="53"/>
      <c r="UWZ2460" s="53"/>
      <c r="UXA2460" s="62"/>
      <c r="UXB2460" s="61"/>
      <c r="UXC2460" s="53"/>
      <c r="UXD2460" s="53"/>
      <c r="UXE2460" s="62"/>
      <c r="UXF2460" s="60"/>
      <c r="UXG2460" s="53"/>
      <c r="UXH2460" s="53"/>
      <c r="UXI2460" s="62"/>
      <c r="UXJ2460" s="61"/>
      <c r="UXK2460" s="53"/>
      <c r="UXL2460" s="53"/>
      <c r="UXM2460" s="62"/>
      <c r="UXN2460" s="60"/>
      <c r="UXO2460" s="53"/>
      <c r="UXP2460" s="53"/>
      <c r="UXQ2460" s="62"/>
      <c r="UXR2460" s="61"/>
      <c r="UXS2460" s="53"/>
      <c r="UXT2460" s="53"/>
      <c r="UXU2460" s="62"/>
      <c r="UXV2460" s="60"/>
      <c r="UXW2460" s="53"/>
      <c r="UXX2460" s="53"/>
      <c r="UXY2460" s="62"/>
      <c r="UXZ2460" s="61"/>
      <c r="UYA2460" s="53"/>
      <c r="UYB2460" s="53"/>
      <c r="UYC2460" s="62"/>
      <c r="UYD2460" s="60"/>
      <c r="UYE2460" s="53"/>
      <c r="UYF2460" s="53"/>
      <c r="UYG2460" s="62"/>
      <c r="UYH2460" s="61"/>
      <c r="UYI2460" s="53"/>
      <c r="UYJ2460" s="53"/>
      <c r="UYK2460" s="62"/>
      <c r="UYL2460" s="60"/>
      <c r="UYM2460" s="53"/>
      <c r="UYN2460" s="53"/>
      <c r="UYO2460" s="62"/>
      <c r="UYP2460" s="61"/>
      <c r="UYQ2460" s="53"/>
      <c r="UYR2460" s="53"/>
      <c r="UYS2460" s="62"/>
      <c r="UYT2460" s="60"/>
      <c r="UYU2460" s="53"/>
      <c r="UYV2460" s="53"/>
      <c r="UYW2460" s="62"/>
      <c r="UYX2460" s="61"/>
      <c r="UYY2460" s="53"/>
      <c r="UYZ2460" s="53"/>
      <c r="UZA2460" s="62"/>
      <c r="UZB2460" s="60"/>
      <c r="UZC2460" s="53"/>
      <c r="UZD2460" s="53"/>
      <c r="UZE2460" s="62"/>
      <c r="UZF2460" s="61"/>
      <c r="UZG2460" s="53"/>
      <c r="UZH2460" s="53"/>
      <c r="UZI2460" s="62"/>
      <c r="UZJ2460" s="60"/>
      <c r="UZK2460" s="53"/>
      <c r="UZL2460" s="53"/>
      <c r="UZM2460" s="62"/>
      <c r="UZN2460" s="61"/>
      <c r="UZO2460" s="53"/>
      <c r="UZP2460" s="53"/>
      <c r="UZQ2460" s="62"/>
      <c r="UZR2460" s="60"/>
      <c r="UZS2460" s="53"/>
      <c r="UZT2460" s="53"/>
      <c r="UZU2460" s="62"/>
      <c r="UZV2460" s="61"/>
      <c r="UZW2460" s="53"/>
      <c r="UZX2460" s="53"/>
      <c r="UZY2460" s="62"/>
      <c r="UZZ2460" s="60"/>
      <c r="VAA2460" s="53"/>
      <c r="VAB2460" s="53"/>
      <c r="VAC2460" s="62"/>
      <c r="VAD2460" s="61"/>
      <c r="VAE2460" s="53"/>
      <c r="VAF2460" s="53"/>
      <c r="VAG2460" s="62"/>
      <c r="VAH2460" s="60"/>
      <c r="VAI2460" s="53"/>
      <c r="VAJ2460" s="53"/>
      <c r="VAK2460" s="62"/>
      <c r="VAL2460" s="61"/>
      <c r="VAM2460" s="53"/>
      <c r="VAN2460" s="53"/>
      <c r="VAO2460" s="62"/>
      <c r="VAP2460" s="60"/>
      <c r="VAQ2460" s="53"/>
      <c r="VAR2460" s="53"/>
      <c r="VAS2460" s="62"/>
      <c r="VAT2460" s="61"/>
      <c r="VAU2460" s="53"/>
      <c r="VAV2460" s="53"/>
      <c r="VAW2460" s="62"/>
      <c r="VAX2460" s="60"/>
      <c r="VAY2460" s="53"/>
      <c r="VAZ2460" s="53"/>
      <c r="VBA2460" s="62"/>
      <c r="VBB2460" s="61"/>
      <c r="VBC2460" s="53"/>
      <c r="VBD2460" s="53"/>
      <c r="VBE2460" s="62"/>
      <c r="VBF2460" s="60"/>
      <c r="VBG2460" s="53"/>
      <c r="VBH2460" s="53"/>
      <c r="VBI2460" s="62"/>
      <c r="VBJ2460" s="61"/>
      <c r="VBK2460" s="53"/>
      <c r="VBL2460" s="53"/>
      <c r="VBM2460" s="62"/>
      <c r="VBN2460" s="60"/>
      <c r="VBO2460" s="53"/>
      <c r="VBP2460" s="53"/>
      <c r="VBQ2460" s="62"/>
      <c r="VBR2460" s="61"/>
      <c r="VBS2460" s="53"/>
      <c r="VBT2460" s="53"/>
      <c r="VBU2460" s="62"/>
      <c r="VBV2460" s="60"/>
      <c r="VBW2460" s="53"/>
      <c r="VBX2460" s="53"/>
      <c r="VBY2460" s="62"/>
      <c r="VBZ2460" s="61"/>
      <c r="VCA2460" s="53"/>
      <c r="VCB2460" s="53"/>
      <c r="VCC2460" s="62"/>
      <c r="VCD2460" s="60"/>
      <c r="VCE2460" s="53"/>
      <c r="VCF2460" s="53"/>
      <c r="VCG2460" s="62"/>
      <c r="VCH2460" s="61"/>
      <c r="VCI2460" s="53"/>
      <c r="VCJ2460" s="53"/>
      <c r="VCK2460" s="62"/>
      <c r="VCL2460" s="60"/>
      <c r="VCM2460" s="53"/>
      <c r="VCN2460" s="53"/>
      <c r="VCO2460" s="62"/>
      <c r="VCP2460" s="61"/>
      <c r="VCQ2460" s="53"/>
      <c r="VCR2460" s="53"/>
      <c r="VCS2460" s="62"/>
      <c r="VCT2460" s="60"/>
      <c r="VCU2460" s="53"/>
      <c r="VCV2460" s="53"/>
      <c r="VCW2460" s="62"/>
      <c r="VCX2460" s="61"/>
      <c r="VCY2460" s="53"/>
      <c r="VCZ2460" s="53"/>
      <c r="VDA2460" s="62"/>
      <c r="VDB2460" s="60"/>
      <c r="VDC2460" s="53"/>
      <c r="VDD2460" s="53"/>
      <c r="VDE2460" s="62"/>
      <c r="VDF2460" s="61"/>
      <c r="VDG2460" s="53"/>
      <c r="VDH2460" s="53"/>
      <c r="VDI2460" s="62"/>
      <c r="VDJ2460" s="60"/>
      <c r="VDK2460" s="53"/>
      <c r="VDL2460" s="53"/>
      <c r="VDM2460" s="62"/>
      <c r="VDN2460" s="61"/>
      <c r="VDO2460" s="53"/>
      <c r="VDP2460" s="53"/>
      <c r="VDQ2460" s="62"/>
      <c r="VDR2460" s="60"/>
      <c r="VDS2460" s="53"/>
      <c r="VDT2460" s="53"/>
      <c r="VDU2460" s="62"/>
      <c r="VDV2460" s="61"/>
      <c r="VDW2460" s="53"/>
      <c r="VDX2460" s="53"/>
      <c r="VDY2460" s="62"/>
      <c r="VDZ2460" s="60"/>
      <c r="VEA2460" s="53"/>
      <c r="VEB2460" s="53"/>
      <c r="VEC2460" s="62"/>
      <c r="VED2460" s="61"/>
      <c r="VEE2460" s="53"/>
      <c r="VEF2460" s="53"/>
      <c r="VEG2460" s="62"/>
      <c r="VEH2460" s="60"/>
      <c r="VEI2460" s="53"/>
      <c r="VEJ2460" s="53"/>
      <c r="VEK2460" s="62"/>
      <c r="VEL2460" s="61"/>
      <c r="VEM2460" s="53"/>
      <c r="VEN2460" s="53"/>
      <c r="VEO2460" s="62"/>
      <c r="VEP2460" s="60"/>
      <c r="VEQ2460" s="53"/>
      <c r="VER2460" s="53"/>
      <c r="VES2460" s="62"/>
      <c r="VET2460" s="61"/>
      <c r="VEU2460" s="53"/>
      <c r="VEV2460" s="53"/>
      <c r="VEW2460" s="62"/>
      <c r="VEX2460" s="60"/>
      <c r="VEY2460" s="53"/>
      <c r="VEZ2460" s="53"/>
      <c r="VFA2460" s="62"/>
      <c r="VFB2460" s="61"/>
      <c r="VFC2460" s="53"/>
      <c r="VFD2460" s="53"/>
      <c r="VFE2460" s="62"/>
      <c r="VFF2460" s="60"/>
      <c r="VFG2460" s="53"/>
      <c r="VFH2460" s="53"/>
      <c r="VFI2460" s="62"/>
      <c r="VFJ2460" s="61"/>
      <c r="VFK2460" s="53"/>
      <c r="VFL2460" s="53"/>
      <c r="VFM2460" s="62"/>
      <c r="VFN2460" s="60"/>
      <c r="VFO2460" s="53"/>
      <c r="VFP2460" s="53"/>
      <c r="VFQ2460" s="62"/>
      <c r="VFR2460" s="61"/>
      <c r="VFS2460" s="53"/>
      <c r="VFT2460" s="53"/>
      <c r="VFU2460" s="62"/>
      <c r="VFV2460" s="60"/>
      <c r="VFW2460" s="53"/>
      <c r="VFX2460" s="53"/>
      <c r="VFY2460" s="62"/>
      <c r="VFZ2460" s="61"/>
      <c r="VGA2460" s="53"/>
      <c r="VGB2460" s="53"/>
      <c r="VGC2460" s="62"/>
      <c r="VGD2460" s="60"/>
      <c r="VGE2460" s="53"/>
      <c r="VGF2460" s="53"/>
      <c r="VGG2460" s="62"/>
      <c r="VGH2460" s="61"/>
      <c r="VGI2460" s="53"/>
      <c r="VGJ2460" s="53"/>
      <c r="VGK2460" s="62"/>
      <c r="VGL2460" s="60"/>
      <c r="VGM2460" s="53"/>
      <c r="VGN2460" s="53"/>
      <c r="VGO2460" s="62"/>
      <c r="VGP2460" s="61"/>
      <c r="VGQ2460" s="53"/>
      <c r="VGR2460" s="53"/>
      <c r="VGS2460" s="62"/>
      <c r="VGT2460" s="60"/>
      <c r="VGU2460" s="53"/>
      <c r="VGV2460" s="53"/>
      <c r="VGW2460" s="62"/>
      <c r="VGX2460" s="61"/>
      <c r="VGY2460" s="53"/>
      <c r="VGZ2460" s="53"/>
      <c r="VHA2460" s="62"/>
      <c r="VHB2460" s="60"/>
      <c r="VHC2460" s="53"/>
      <c r="VHD2460" s="53"/>
      <c r="VHE2460" s="62"/>
      <c r="VHF2460" s="61"/>
      <c r="VHG2460" s="53"/>
      <c r="VHH2460" s="53"/>
      <c r="VHI2460" s="62"/>
      <c r="VHJ2460" s="60"/>
      <c r="VHK2460" s="53"/>
      <c r="VHL2460" s="53"/>
      <c r="VHM2460" s="62"/>
      <c r="VHN2460" s="61"/>
      <c r="VHO2460" s="53"/>
      <c r="VHP2460" s="53"/>
      <c r="VHQ2460" s="62"/>
      <c r="VHR2460" s="60"/>
      <c r="VHS2460" s="53"/>
      <c r="VHT2460" s="53"/>
      <c r="VHU2460" s="62"/>
      <c r="VHV2460" s="61"/>
      <c r="VHW2460" s="53"/>
      <c r="VHX2460" s="53"/>
      <c r="VHY2460" s="62"/>
      <c r="VHZ2460" s="60"/>
      <c r="VIA2460" s="53"/>
      <c r="VIB2460" s="53"/>
      <c r="VIC2460" s="62"/>
      <c r="VID2460" s="61"/>
      <c r="VIE2460" s="53"/>
      <c r="VIF2460" s="53"/>
      <c r="VIG2460" s="62"/>
      <c r="VIH2460" s="60"/>
      <c r="VII2460" s="53"/>
      <c r="VIJ2460" s="53"/>
      <c r="VIK2460" s="62"/>
      <c r="VIL2460" s="61"/>
      <c r="VIM2460" s="53"/>
      <c r="VIN2460" s="53"/>
      <c r="VIO2460" s="62"/>
      <c r="VIP2460" s="60"/>
      <c r="VIQ2460" s="53"/>
      <c r="VIR2460" s="53"/>
      <c r="VIS2460" s="62"/>
      <c r="VIT2460" s="61"/>
      <c r="VIU2460" s="53"/>
      <c r="VIV2460" s="53"/>
      <c r="VIW2460" s="62"/>
      <c r="VIX2460" s="60"/>
      <c r="VIY2460" s="53"/>
      <c r="VIZ2460" s="53"/>
      <c r="VJA2460" s="62"/>
      <c r="VJB2460" s="61"/>
      <c r="VJC2460" s="53"/>
      <c r="VJD2460" s="53"/>
      <c r="VJE2460" s="62"/>
      <c r="VJF2460" s="60"/>
      <c r="VJG2460" s="53"/>
      <c r="VJH2460" s="53"/>
      <c r="VJI2460" s="62"/>
      <c r="VJJ2460" s="61"/>
      <c r="VJK2460" s="53"/>
      <c r="VJL2460" s="53"/>
      <c r="VJM2460" s="62"/>
      <c r="VJN2460" s="60"/>
      <c r="VJO2460" s="53"/>
      <c r="VJP2460" s="53"/>
      <c r="VJQ2460" s="62"/>
      <c r="VJR2460" s="61"/>
      <c r="VJS2460" s="53"/>
      <c r="VJT2460" s="53"/>
      <c r="VJU2460" s="62"/>
      <c r="VJV2460" s="60"/>
      <c r="VJW2460" s="53"/>
      <c r="VJX2460" s="53"/>
      <c r="VJY2460" s="62"/>
      <c r="VJZ2460" s="61"/>
      <c r="VKA2460" s="53"/>
      <c r="VKB2460" s="53"/>
      <c r="VKC2460" s="62"/>
      <c r="VKD2460" s="60"/>
      <c r="VKE2460" s="53"/>
      <c r="VKF2460" s="53"/>
      <c r="VKG2460" s="62"/>
      <c r="VKH2460" s="61"/>
      <c r="VKI2460" s="53"/>
      <c r="VKJ2460" s="53"/>
      <c r="VKK2460" s="62"/>
      <c r="VKL2460" s="60"/>
      <c r="VKM2460" s="53"/>
      <c r="VKN2460" s="53"/>
      <c r="VKO2460" s="62"/>
      <c r="VKP2460" s="61"/>
      <c r="VKQ2460" s="53"/>
      <c r="VKR2460" s="53"/>
      <c r="VKS2460" s="62"/>
      <c r="VKT2460" s="60"/>
      <c r="VKU2460" s="53"/>
      <c r="VKV2460" s="53"/>
      <c r="VKW2460" s="62"/>
      <c r="VKX2460" s="61"/>
      <c r="VKY2460" s="53"/>
      <c r="VKZ2460" s="53"/>
      <c r="VLA2460" s="62"/>
      <c r="VLB2460" s="60"/>
      <c r="VLC2460" s="53"/>
      <c r="VLD2460" s="53"/>
      <c r="VLE2460" s="62"/>
      <c r="VLF2460" s="61"/>
      <c r="VLG2460" s="53"/>
      <c r="VLH2460" s="53"/>
      <c r="VLI2460" s="62"/>
      <c r="VLJ2460" s="60"/>
      <c r="VLK2460" s="53"/>
      <c r="VLL2460" s="53"/>
      <c r="VLM2460" s="62"/>
      <c r="VLN2460" s="61"/>
      <c r="VLO2460" s="53"/>
      <c r="VLP2460" s="53"/>
      <c r="VLQ2460" s="62"/>
      <c r="VLR2460" s="60"/>
      <c r="VLS2460" s="53"/>
      <c r="VLT2460" s="53"/>
      <c r="VLU2460" s="62"/>
      <c r="VLV2460" s="61"/>
      <c r="VLW2460" s="53"/>
      <c r="VLX2460" s="53"/>
      <c r="VLY2460" s="62"/>
      <c r="VLZ2460" s="60"/>
      <c r="VMA2460" s="53"/>
      <c r="VMB2460" s="53"/>
      <c r="VMC2460" s="62"/>
      <c r="VMD2460" s="61"/>
      <c r="VME2460" s="53"/>
      <c r="VMF2460" s="53"/>
      <c r="VMG2460" s="62"/>
      <c r="VMH2460" s="60"/>
      <c r="VMI2460" s="53"/>
      <c r="VMJ2460" s="53"/>
      <c r="VMK2460" s="62"/>
      <c r="VML2460" s="61"/>
      <c r="VMM2460" s="53"/>
      <c r="VMN2460" s="53"/>
      <c r="VMO2460" s="62"/>
      <c r="VMP2460" s="60"/>
      <c r="VMQ2460" s="53"/>
      <c r="VMR2460" s="53"/>
      <c r="VMS2460" s="62"/>
      <c r="VMT2460" s="61"/>
      <c r="VMU2460" s="53"/>
      <c r="VMV2460" s="53"/>
      <c r="VMW2460" s="62"/>
      <c r="VMX2460" s="60"/>
      <c r="VMY2460" s="53"/>
      <c r="VMZ2460" s="53"/>
      <c r="VNA2460" s="62"/>
      <c r="VNB2460" s="61"/>
      <c r="VNC2460" s="53"/>
      <c r="VND2460" s="53"/>
      <c r="VNE2460" s="62"/>
      <c r="VNF2460" s="60"/>
      <c r="VNG2460" s="53"/>
      <c r="VNH2460" s="53"/>
      <c r="VNI2460" s="62"/>
      <c r="VNJ2460" s="61"/>
      <c r="VNK2460" s="53"/>
      <c r="VNL2460" s="53"/>
      <c r="VNM2460" s="62"/>
      <c r="VNN2460" s="60"/>
      <c r="VNO2460" s="53"/>
      <c r="VNP2460" s="53"/>
      <c r="VNQ2460" s="62"/>
      <c r="VNR2460" s="61"/>
      <c r="VNS2460" s="53"/>
      <c r="VNT2460" s="53"/>
      <c r="VNU2460" s="62"/>
      <c r="VNV2460" s="60"/>
      <c r="VNW2460" s="53"/>
      <c r="VNX2460" s="53"/>
      <c r="VNY2460" s="62"/>
      <c r="VNZ2460" s="61"/>
      <c r="VOA2460" s="53"/>
      <c r="VOB2460" s="53"/>
      <c r="VOC2460" s="62"/>
      <c r="VOD2460" s="60"/>
      <c r="VOE2460" s="53"/>
      <c r="VOF2460" s="53"/>
      <c r="VOG2460" s="62"/>
      <c r="VOH2460" s="61"/>
      <c r="VOI2460" s="53"/>
      <c r="VOJ2460" s="53"/>
      <c r="VOK2460" s="62"/>
      <c r="VOL2460" s="60"/>
      <c r="VOM2460" s="53"/>
      <c r="VON2460" s="53"/>
      <c r="VOO2460" s="62"/>
      <c r="VOP2460" s="61"/>
      <c r="VOQ2460" s="53"/>
      <c r="VOR2460" s="53"/>
      <c r="VOS2460" s="62"/>
      <c r="VOT2460" s="60"/>
      <c r="VOU2460" s="53"/>
      <c r="VOV2460" s="53"/>
      <c r="VOW2460" s="62"/>
      <c r="VOX2460" s="61"/>
      <c r="VOY2460" s="53"/>
      <c r="VOZ2460" s="53"/>
      <c r="VPA2460" s="62"/>
      <c r="VPB2460" s="60"/>
      <c r="VPC2460" s="53"/>
      <c r="VPD2460" s="53"/>
      <c r="VPE2460" s="62"/>
      <c r="VPF2460" s="61"/>
      <c r="VPG2460" s="53"/>
      <c r="VPH2460" s="53"/>
      <c r="VPI2460" s="62"/>
      <c r="VPJ2460" s="60"/>
      <c r="VPK2460" s="53"/>
      <c r="VPL2460" s="53"/>
      <c r="VPM2460" s="62"/>
      <c r="VPN2460" s="61"/>
      <c r="VPO2460" s="53"/>
      <c r="VPP2460" s="53"/>
      <c r="VPQ2460" s="62"/>
      <c r="VPR2460" s="60"/>
      <c r="VPS2460" s="53"/>
      <c r="VPT2460" s="53"/>
      <c r="VPU2460" s="62"/>
      <c r="VPV2460" s="61"/>
      <c r="VPW2460" s="53"/>
      <c r="VPX2460" s="53"/>
      <c r="VPY2460" s="62"/>
      <c r="VPZ2460" s="60"/>
      <c r="VQA2460" s="53"/>
      <c r="VQB2460" s="53"/>
      <c r="VQC2460" s="62"/>
      <c r="VQD2460" s="61"/>
      <c r="VQE2460" s="53"/>
      <c r="VQF2460" s="53"/>
      <c r="VQG2460" s="62"/>
      <c r="VQH2460" s="60"/>
      <c r="VQI2460" s="53"/>
      <c r="VQJ2460" s="53"/>
      <c r="VQK2460" s="62"/>
      <c r="VQL2460" s="61"/>
      <c r="VQM2460" s="53"/>
      <c r="VQN2460" s="53"/>
      <c r="VQO2460" s="62"/>
      <c r="VQP2460" s="60"/>
      <c r="VQQ2460" s="53"/>
      <c r="VQR2460" s="53"/>
      <c r="VQS2460" s="62"/>
      <c r="VQT2460" s="61"/>
      <c r="VQU2460" s="53"/>
      <c r="VQV2460" s="53"/>
      <c r="VQW2460" s="62"/>
      <c r="VQX2460" s="60"/>
      <c r="VQY2460" s="53"/>
      <c r="VQZ2460" s="53"/>
      <c r="VRA2460" s="62"/>
      <c r="VRB2460" s="61"/>
      <c r="VRC2460" s="53"/>
      <c r="VRD2460" s="53"/>
      <c r="VRE2460" s="62"/>
      <c r="VRF2460" s="60"/>
      <c r="VRG2460" s="53"/>
      <c r="VRH2460" s="53"/>
      <c r="VRI2460" s="62"/>
      <c r="VRJ2460" s="61"/>
      <c r="VRK2460" s="53"/>
      <c r="VRL2460" s="53"/>
      <c r="VRM2460" s="62"/>
      <c r="VRN2460" s="60"/>
      <c r="VRO2460" s="53"/>
      <c r="VRP2460" s="53"/>
      <c r="VRQ2460" s="62"/>
      <c r="VRR2460" s="61"/>
      <c r="VRS2460" s="53"/>
      <c r="VRT2460" s="53"/>
      <c r="VRU2460" s="62"/>
      <c r="VRV2460" s="60"/>
      <c r="VRW2460" s="53"/>
      <c r="VRX2460" s="53"/>
      <c r="VRY2460" s="62"/>
      <c r="VRZ2460" s="61"/>
      <c r="VSA2460" s="53"/>
      <c r="VSB2460" s="53"/>
      <c r="VSC2460" s="62"/>
      <c r="VSD2460" s="60"/>
      <c r="VSE2460" s="53"/>
      <c r="VSF2460" s="53"/>
      <c r="VSG2460" s="62"/>
      <c r="VSH2460" s="61"/>
      <c r="VSI2460" s="53"/>
      <c r="VSJ2460" s="53"/>
      <c r="VSK2460" s="62"/>
      <c r="VSL2460" s="60"/>
      <c r="VSM2460" s="53"/>
      <c r="VSN2460" s="53"/>
      <c r="VSO2460" s="62"/>
      <c r="VSP2460" s="61"/>
      <c r="VSQ2460" s="53"/>
      <c r="VSR2460" s="53"/>
      <c r="VSS2460" s="62"/>
      <c r="VST2460" s="60"/>
      <c r="VSU2460" s="53"/>
      <c r="VSV2460" s="53"/>
      <c r="VSW2460" s="62"/>
      <c r="VSX2460" s="61"/>
      <c r="VSY2460" s="53"/>
      <c r="VSZ2460" s="53"/>
      <c r="VTA2460" s="62"/>
      <c r="VTB2460" s="60"/>
      <c r="VTC2460" s="53"/>
      <c r="VTD2460" s="53"/>
      <c r="VTE2460" s="62"/>
      <c r="VTF2460" s="61"/>
      <c r="VTG2460" s="53"/>
      <c r="VTH2460" s="53"/>
      <c r="VTI2460" s="62"/>
      <c r="VTJ2460" s="60"/>
      <c r="VTK2460" s="53"/>
      <c r="VTL2460" s="53"/>
      <c r="VTM2460" s="62"/>
      <c r="VTN2460" s="61"/>
      <c r="VTO2460" s="53"/>
      <c r="VTP2460" s="53"/>
      <c r="VTQ2460" s="62"/>
      <c r="VTR2460" s="60"/>
      <c r="VTS2460" s="53"/>
      <c r="VTT2460" s="53"/>
      <c r="VTU2460" s="62"/>
      <c r="VTV2460" s="61"/>
      <c r="VTW2460" s="53"/>
      <c r="VTX2460" s="53"/>
      <c r="VTY2460" s="62"/>
      <c r="VTZ2460" s="60"/>
      <c r="VUA2460" s="53"/>
      <c r="VUB2460" s="53"/>
      <c r="VUC2460" s="62"/>
      <c r="VUD2460" s="61"/>
      <c r="VUE2460" s="53"/>
      <c r="VUF2460" s="53"/>
      <c r="VUG2460" s="62"/>
      <c r="VUH2460" s="60"/>
      <c r="VUI2460" s="53"/>
      <c r="VUJ2460" s="53"/>
      <c r="VUK2460" s="62"/>
      <c r="VUL2460" s="61"/>
      <c r="VUM2460" s="53"/>
      <c r="VUN2460" s="53"/>
      <c r="VUO2460" s="62"/>
      <c r="VUP2460" s="60"/>
      <c r="VUQ2460" s="53"/>
      <c r="VUR2460" s="53"/>
      <c r="VUS2460" s="62"/>
      <c r="VUT2460" s="61"/>
      <c r="VUU2460" s="53"/>
      <c r="VUV2460" s="53"/>
      <c r="VUW2460" s="62"/>
      <c r="VUX2460" s="60"/>
      <c r="VUY2460" s="53"/>
      <c r="VUZ2460" s="53"/>
      <c r="VVA2460" s="62"/>
      <c r="VVB2460" s="61"/>
      <c r="VVC2460" s="53"/>
      <c r="VVD2460" s="53"/>
      <c r="VVE2460" s="62"/>
      <c r="VVF2460" s="60"/>
      <c r="VVG2460" s="53"/>
      <c r="VVH2460" s="53"/>
      <c r="VVI2460" s="62"/>
      <c r="VVJ2460" s="61"/>
      <c r="VVK2460" s="53"/>
      <c r="VVL2460" s="53"/>
      <c r="VVM2460" s="62"/>
      <c r="VVN2460" s="60"/>
      <c r="VVO2460" s="53"/>
      <c r="VVP2460" s="53"/>
      <c r="VVQ2460" s="62"/>
      <c r="VVR2460" s="61"/>
      <c r="VVS2460" s="53"/>
      <c r="VVT2460" s="53"/>
      <c r="VVU2460" s="62"/>
      <c r="VVV2460" s="60"/>
      <c r="VVW2460" s="53"/>
      <c r="VVX2460" s="53"/>
      <c r="VVY2460" s="62"/>
      <c r="VVZ2460" s="61"/>
      <c r="VWA2460" s="53"/>
      <c r="VWB2460" s="53"/>
      <c r="VWC2460" s="62"/>
      <c r="VWD2460" s="60"/>
      <c r="VWE2460" s="53"/>
      <c r="VWF2460" s="53"/>
      <c r="VWG2460" s="62"/>
      <c r="VWH2460" s="61"/>
      <c r="VWI2460" s="53"/>
      <c r="VWJ2460" s="53"/>
      <c r="VWK2460" s="62"/>
      <c r="VWL2460" s="60"/>
      <c r="VWM2460" s="53"/>
      <c r="VWN2460" s="53"/>
      <c r="VWO2460" s="62"/>
      <c r="VWP2460" s="61"/>
      <c r="VWQ2460" s="53"/>
      <c r="VWR2460" s="53"/>
      <c r="VWS2460" s="62"/>
      <c r="VWT2460" s="60"/>
      <c r="VWU2460" s="53"/>
      <c r="VWV2460" s="53"/>
      <c r="VWW2460" s="62"/>
      <c r="VWX2460" s="61"/>
      <c r="VWY2460" s="53"/>
      <c r="VWZ2460" s="53"/>
      <c r="VXA2460" s="62"/>
      <c r="VXB2460" s="60"/>
      <c r="VXC2460" s="53"/>
      <c r="VXD2460" s="53"/>
      <c r="VXE2460" s="62"/>
      <c r="VXF2460" s="61"/>
      <c r="VXG2460" s="53"/>
      <c r="VXH2460" s="53"/>
      <c r="VXI2460" s="62"/>
      <c r="VXJ2460" s="60"/>
      <c r="VXK2460" s="53"/>
      <c r="VXL2460" s="53"/>
      <c r="VXM2460" s="62"/>
      <c r="VXN2460" s="61"/>
      <c r="VXO2460" s="53"/>
      <c r="VXP2460" s="53"/>
      <c r="VXQ2460" s="62"/>
      <c r="VXR2460" s="60"/>
      <c r="VXS2460" s="53"/>
      <c r="VXT2460" s="53"/>
      <c r="VXU2460" s="62"/>
      <c r="VXV2460" s="61"/>
      <c r="VXW2460" s="53"/>
      <c r="VXX2460" s="53"/>
      <c r="VXY2460" s="62"/>
      <c r="VXZ2460" s="60"/>
      <c r="VYA2460" s="53"/>
      <c r="VYB2460" s="53"/>
      <c r="VYC2460" s="62"/>
      <c r="VYD2460" s="61"/>
      <c r="VYE2460" s="53"/>
      <c r="VYF2460" s="53"/>
      <c r="VYG2460" s="62"/>
      <c r="VYH2460" s="60"/>
      <c r="VYI2460" s="53"/>
      <c r="VYJ2460" s="53"/>
      <c r="VYK2460" s="62"/>
      <c r="VYL2460" s="61"/>
      <c r="VYM2460" s="53"/>
      <c r="VYN2460" s="53"/>
      <c r="VYO2460" s="62"/>
      <c r="VYP2460" s="60"/>
      <c r="VYQ2460" s="53"/>
      <c r="VYR2460" s="53"/>
      <c r="VYS2460" s="62"/>
      <c r="VYT2460" s="61"/>
      <c r="VYU2460" s="53"/>
      <c r="VYV2460" s="53"/>
      <c r="VYW2460" s="62"/>
      <c r="VYX2460" s="60"/>
      <c r="VYY2460" s="53"/>
      <c r="VYZ2460" s="53"/>
      <c r="VZA2460" s="62"/>
      <c r="VZB2460" s="61"/>
      <c r="VZC2460" s="53"/>
      <c r="VZD2460" s="53"/>
      <c r="VZE2460" s="62"/>
      <c r="VZF2460" s="60"/>
      <c r="VZG2460" s="53"/>
      <c r="VZH2460" s="53"/>
      <c r="VZI2460" s="62"/>
      <c r="VZJ2460" s="61"/>
      <c r="VZK2460" s="53"/>
      <c r="VZL2460" s="53"/>
      <c r="VZM2460" s="62"/>
      <c r="VZN2460" s="60"/>
      <c r="VZO2460" s="53"/>
      <c r="VZP2460" s="53"/>
      <c r="VZQ2460" s="62"/>
      <c r="VZR2460" s="61"/>
      <c r="VZS2460" s="53"/>
      <c r="VZT2460" s="53"/>
      <c r="VZU2460" s="62"/>
      <c r="VZV2460" s="60"/>
      <c r="VZW2460" s="53"/>
      <c r="VZX2460" s="53"/>
      <c r="VZY2460" s="62"/>
      <c r="VZZ2460" s="61"/>
      <c r="WAA2460" s="53"/>
      <c r="WAB2460" s="53"/>
      <c r="WAC2460" s="62"/>
      <c r="WAD2460" s="60"/>
      <c r="WAE2460" s="53"/>
      <c r="WAF2460" s="53"/>
      <c r="WAG2460" s="62"/>
      <c r="WAH2460" s="61"/>
      <c r="WAI2460" s="53"/>
      <c r="WAJ2460" s="53"/>
      <c r="WAK2460" s="62"/>
      <c r="WAL2460" s="60"/>
      <c r="WAM2460" s="53"/>
      <c r="WAN2460" s="53"/>
      <c r="WAO2460" s="62"/>
      <c r="WAP2460" s="61"/>
      <c r="WAQ2460" s="53"/>
      <c r="WAR2460" s="53"/>
      <c r="WAS2460" s="62"/>
      <c r="WAT2460" s="60"/>
      <c r="WAU2460" s="53"/>
      <c r="WAV2460" s="53"/>
      <c r="WAW2460" s="62"/>
      <c r="WAX2460" s="61"/>
      <c r="WAY2460" s="53"/>
      <c r="WAZ2460" s="53"/>
      <c r="WBA2460" s="62"/>
      <c r="WBB2460" s="60"/>
      <c r="WBC2460" s="53"/>
      <c r="WBD2460" s="53"/>
      <c r="WBE2460" s="62"/>
      <c r="WBF2460" s="61"/>
      <c r="WBG2460" s="53"/>
      <c r="WBH2460" s="53"/>
      <c r="WBI2460" s="62"/>
      <c r="WBJ2460" s="60"/>
      <c r="WBK2460" s="53"/>
      <c r="WBL2460" s="53"/>
      <c r="WBM2460" s="62"/>
      <c r="WBN2460" s="61"/>
      <c r="WBO2460" s="53"/>
      <c r="WBP2460" s="53"/>
      <c r="WBQ2460" s="62"/>
      <c r="WBR2460" s="60"/>
      <c r="WBS2460" s="53"/>
      <c r="WBT2460" s="53"/>
      <c r="WBU2460" s="62"/>
      <c r="WBV2460" s="61"/>
      <c r="WBW2460" s="53"/>
      <c r="WBX2460" s="53"/>
      <c r="WBY2460" s="62"/>
      <c r="WBZ2460" s="60"/>
      <c r="WCA2460" s="53"/>
      <c r="WCB2460" s="53"/>
      <c r="WCC2460" s="62"/>
      <c r="WCD2460" s="61"/>
      <c r="WCE2460" s="53"/>
      <c r="WCF2460" s="53"/>
      <c r="WCG2460" s="62"/>
      <c r="WCH2460" s="60"/>
      <c r="WCI2460" s="53"/>
      <c r="WCJ2460" s="53"/>
      <c r="WCK2460" s="62"/>
      <c r="WCL2460" s="61"/>
      <c r="WCM2460" s="53"/>
      <c r="WCN2460" s="53"/>
      <c r="WCO2460" s="62"/>
      <c r="WCP2460" s="60"/>
      <c r="WCQ2460" s="53"/>
      <c r="WCR2460" s="53"/>
      <c r="WCS2460" s="62"/>
      <c r="WCT2460" s="61"/>
      <c r="WCU2460" s="53"/>
      <c r="WCV2460" s="53"/>
      <c r="WCW2460" s="62"/>
      <c r="WCX2460" s="60"/>
      <c r="WCY2460" s="53"/>
      <c r="WCZ2460" s="53"/>
      <c r="WDA2460" s="62"/>
      <c r="WDB2460" s="61"/>
      <c r="WDC2460" s="53"/>
      <c r="WDD2460" s="53"/>
      <c r="WDE2460" s="62"/>
      <c r="WDF2460" s="60"/>
      <c r="WDG2460" s="53"/>
      <c r="WDH2460" s="53"/>
      <c r="WDI2460" s="62"/>
      <c r="WDJ2460" s="61"/>
      <c r="WDK2460" s="53"/>
      <c r="WDL2460" s="53"/>
      <c r="WDM2460" s="62"/>
      <c r="WDN2460" s="60"/>
      <c r="WDO2460" s="53"/>
      <c r="WDP2460" s="53"/>
      <c r="WDQ2460" s="62"/>
      <c r="WDR2460" s="61"/>
      <c r="WDS2460" s="53"/>
      <c r="WDT2460" s="53"/>
      <c r="WDU2460" s="62"/>
      <c r="WDV2460" s="60"/>
      <c r="WDW2460" s="53"/>
      <c r="WDX2460" s="53"/>
      <c r="WDY2460" s="62"/>
      <c r="WDZ2460" s="61"/>
      <c r="WEA2460" s="53"/>
      <c r="WEB2460" s="53"/>
      <c r="WEC2460" s="62"/>
      <c r="WED2460" s="60"/>
      <c r="WEE2460" s="53"/>
      <c r="WEF2460" s="53"/>
      <c r="WEG2460" s="62"/>
      <c r="WEH2460" s="61"/>
      <c r="WEI2460" s="53"/>
      <c r="WEJ2460" s="53"/>
      <c r="WEK2460" s="62"/>
      <c r="WEL2460" s="60"/>
      <c r="WEM2460" s="53"/>
      <c r="WEN2460" s="53"/>
      <c r="WEO2460" s="62"/>
      <c r="WEP2460" s="61"/>
      <c r="WEQ2460" s="53"/>
      <c r="WER2460" s="53"/>
      <c r="WES2460" s="62"/>
      <c r="WET2460" s="60"/>
      <c r="WEU2460" s="53"/>
      <c r="WEV2460" s="53"/>
      <c r="WEW2460" s="62"/>
      <c r="WEX2460" s="61"/>
      <c r="WEY2460" s="53"/>
      <c r="WEZ2460" s="53"/>
      <c r="WFA2460" s="62"/>
      <c r="WFB2460" s="60"/>
      <c r="WFC2460" s="53"/>
      <c r="WFD2460" s="53"/>
      <c r="WFE2460" s="62"/>
      <c r="WFF2460" s="61"/>
      <c r="WFG2460" s="53"/>
      <c r="WFH2460" s="53"/>
      <c r="WFI2460" s="62"/>
      <c r="WFJ2460" s="60"/>
      <c r="WFK2460" s="53"/>
      <c r="WFL2460" s="53"/>
      <c r="WFM2460" s="62"/>
      <c r="WFN2460" s="61"/>
      <c r="WFO2460" s="53"/>
      <c r="WFP2460" s="53"/>
      <c r="WFQ2460" s="62"/>
      <c r="WFR2460" s="60"/>
      <c r="WFS2460" s="53"/>
      <c r="WFT2460" s="53"/>
      <c r="WFU2460" s="62"/>
      <c r="WFV2460" s="61"/>
      <c r="WFW2460" s="53"/>
      <c r="WFX2460" s="53"/>
      <c r="WFY2460" s="62"/>
      <c r="WFZ2460" s="60"/>
      <c r="WGA2460" s="53"/>
      <c r="WGB2460" s="53"/>
      <c r="WGC2460" s="62"/>
      <c r="WGD2460" s="61"/>
      <c r="WGE2460" s="53"/>
      <c r="WGF2460" s="53"/>
      <c r="WGG2460" s="62"/>
      <c r="WGH2460" s="60"/>
      <c r="WGI2460" s="53"/>
      <c r="WGJ2460" s="53"/>
      <c r="WGK2460" s="62"/>
      <c r="WGL2460" s="61"/>
      <c r="WGM2460" s="53"/>
      <c r="WGN2460" s="53"/>
      <c r="WGO2460" s="62"/>
      <c r="WGP2460" s="60"/>
      <c r="WGQ2460" s="53"/>
      <c r="WGR2460" s="53"/>
      <c r="WGS2460" s="62"/>
      <c r="WGT2460" s="61"/>
      <c r="WGU2460" s="53"/>
      <c r="WGV2460" s="53"/>
      <c r="WGW2460" s="62"/>
      <c r="WGX2460" s="60"/>
      <c r="WGY2460" s="53"/>
      <c r="WGZ2460" s="53"/>
      <c r="WHA2460" s="62"/>
      <c r="WHB2460" s="61"/>
      <c r="WHC2460" s="53"/>
      <c r="WHD2460" s="53"/>
      <c r="WHE2460" s="62"/>
      <c r="WHF2460" s="60"/>
      <c r="WHG2460" s="53"/>
      <c r="WHH2460" s="53"/>
      <c r="WHI2460" s="62"/>
      <c r="WHJ2460" s="61"/>
      <c r="WHK2460" s="53"/>
      <c r="WHL2460" s="53"/>
      <c r="WHM2460" s="62"/>
      <c r="WHN2460" s="60"/>
      <c r="WHO2460" s="53"/>
      <c r="WHP2460" s="53"/>
      <c r="WHQ2460" s="62"/>
      <c r="WHR2460" s="61"/>
      <c r="WHS2460" s="53"/>
      <c r="WHT2460" s="53"/>
      <c r="WHU2460" s="62"/>
      <c r="WHV2460" s="60"/>
      <c r="WHW2460" s="53"/>
      <c r="WHX2460" s="53"/>
      <c r="WHY2460" s="62"/>
      <c r="WHZ2460" s="61"/>
      <c r="WIA2460" s="53"/>
      <c r="WIB2460" s="53"/>
      <c r="WIC2460" s="62"/>
      <c r="WID2460" s="60"/>
      <c r="WIE2460" s="53"/>
      <c r="WIF2460" s="53"/>
      <c r="WIG2460" s="62"/>
      <c r="WIH2460" s="61"/>
      <c r="WII2460" s="53"/>
      <c r="WIJ2460" s="53"/>
      <c r="WIK2460" s="62"/>
      <c r="WIL2460" s="60"/>
      <c r="WIM2460" s="53"/>
      <c r="WIN2460" s="53"/>
      <c r="WIO2460" s="62"/>
      <c r="WIP2460" s="61"/>
      <c r="WIQ2460" s="53"/>
      <c r="WIR2460" s="53"/>
      <c r="WIS2460" s="62"/>
      <c r="WIT2460" s="60"/>
      <c r="WIU2460" s="53"/>
      <c r="WIV2460" s="53"/>
      <c r="WIW2460" s="62"/>
      <c r="WIX2460" s="61"/>
      <c r="WIY2460" s="53"/>
      <c r="WIZ2460" s="53"/>
      <c r="WJA2460" s="62"/>
      <c r="WJB2460" s="60"/>
      <c r="WJC2460" s="53"/>
      <c r="WJD2460" s="53"/>
      <c r="WJE2460" s="62"/>
      <c r="WJF2460" s="61"/>
      <c r="WJG2460" s="53"/>
      <c r="WJH2460" s="53"/>
      <c r="WJI2460" s="62"/>
      <c r="WJJ2460" s="60"/>
      <c r="WJK2460" s="53"/>
      <c r="WJL2460" s="53"/>
      <c r="WJM2460" s="62"/>
      <c r="WJN2460" s="61"/>
      <c r="WJO2460" s="53"/>
      <c r="WJP2460" s="53"/>
      <c r="WJQ2460" s="62"/>
      <c r="WJR2460" s="60"/>
      <c r="WJS2460" s="53"/>
      <c r="WJT2460" s="53"/>
      <c r="WJU2460" s="62"/>
      <c r="WJV2460" s="61"/>
      <c r="WJW2460" s="53"/>
      <c r="WJX2460" s="53"/>
      <c r="WJY2460" s="62"/>
      <c r="WJZ2460" s="60"/>
      <c r="WKA2460" s="53"/>
      <c r="WKB2460" s="53"/>
      <c r="WKC2460" s="62"/>
      <c r="WKD2460" s="61"/>
      <c r="WKE2460" s="53"/>
      <c r="WKF2460" s="53"/>
      <c r="WKG2460" s="62"/>
      <c r="WKH2460" s="60"/>
      <c r="WKI2460" s="53"/>
      <c r="WKJ2460" s="53"/>
      <c r="WKK2460" s="62"/>
      <c r="WKL2460" s="61"/>
      <c r="WKM2460" s="53"/>
      <c r="WKN2460" s="53"/>
      <c r="WKO2460" s="62"/>
      <c r="WKP2460" s="60"/>
      <c r="WKQ2460" s="53"/>
      <c r="WKR2460" s="53"/>
      <c r="WKS2460" s="62"/>
      <c r="WKT2460" s="61"/>
      <c r="WKU2460" s="53"/>
      <c r="WKV2460" s="53"/>
      <c r="WKW2460" s="62"/>
      <c r="WKX2460" s="60"/>
      <c r="WKY2460" s="53"/>
      <c r="WKZ2460" s="53"/>
      <c r="WLA2460" s="62"/>
      <c r="WLB2460" s="61"/>
      <c r="WLC2460" s="53"/>
      <c r="WLD2460" s="53"/>
      <c r="WLE2460" s="62"/>
      <c r="WLF2460" s="60"/>
      <c r="WLG2460" s="53"/>
      <c r="WLH2460" s="53"/>
      <c r="WLI2460" s="62"/>
      <c r="WLJ2460" s="61"/>
      <c r="WLK2460" s="53"/>
      <c r="WLL2460" s="53"/>
      <c r="WLM2460" s="62"/>
      <c r="WLN2460" s="60"/>
      <c r="WLO2460" s="53"/>
      <c r="WLP2460" s="53"/>
      <c r="WLQ2460" s="62"/>
      <c r="WLR2460" s="61"/>
      <c r="WLS2460" s="53"/>
      <c r="WLT2460" s="53"/>
      <c r="WLU2460" s="62"/>
      <c r="WLV2460" s="60"/>
      <c r="WLW2460" s="53"/>
      <c r="WLX2460" s="53"/>
      <c r="WLY2460" s="62"/>
      <c r="WLZ2460" s="61"/>
      <c r="WMA2460" s="53"/>
      <c r="WMB2460" s="53"/>
      <c r="WMC2460" s="62"/>
      <c r="WMD2460" s="60"/>
      <c r="WME2460" s="53"/>
      <c r="WMF2460" s="53"/>
      <c r="WMG2460" s="62"/>
      <c r="WMH2460" s="61"/>
      <c r="WMI2460" s="53"/>
      <c r="WMJ2460" s="53"/>
      <c r="WMK2460" s="62"/>
      <c r="WML2460" s="60"/>
      <c r="WMM2460" s="53"/>
      <c r="WMN2460" s="53"/>
      <c r="WMO2460" s="62"/>
      <c r="WMP2460" s="61"/>
      <c r="WMQ2460" s="53"/>
      <c r="WMR2460" s="53"/>
      <c r="WMS2460" s="62"/>
      <c r="WMT2460" s="60"/>
      <c r="WMU2460" s="53"/>
      <c r="WMV2460" s="53"/>
      <c r="WMW2460" s="62"/>
      <c r="WMX2460" s="61"/>
      <c r="WMY2460" s="53"/>
      <c r="WMZ2460" s="53"/>
      <c r="WNA2460" s="62"/>
      <c r="WNB2460" s="60"/>
      <c r="WNC2460" s="53"/>
      <c r="WND2460" s="53"/>
      <c r="WNE2460" s="62"/>
      <c r="WNF2460" s="61"/>
      <c r="WNG2460" s="53"/>
      <c r="WNH2460" s="53"/>
      <c r="WNI2460" s="62"/>
      <c r="WNJ2460" s="60"/>
      <c r="WNK2460" s="53"/>
      <c r="WNL2460" s="53"/>
      <c r="WNM2460" s="62"/>
      <c r="WNN2460" s="61"/>
      <c r="WNO2460" s="53"/>
      <c r="WNP2460" s="53"/>
      <c r="WNQ2460" s="62"/>
      <c r="WNR2460" s="60"/>
      <c r="WNS2460" s="53"/>
      <c r="WNT2460" s="53"/>
      <c r="WNU2460" s="62"/>
      <c r="WNV2460" s="61"/>
      <c r="WNW2460" s="53"/>
      <c r="WNX2460" s="53"/>
      <c r="WNY2460" s="62"/>
      <c r="WNZ2460" s="60"/>
      <c r="WOA2460" s="53"/>
      <c r="WOB2460" s="53"/>
      <c r="WOC2460" s="62"/>
      <c r="WOD2460" s="61"/>
      <c r="WOE2460" s="53"/>
      <c r="WOF2460" s="53"/>
      <c r="WOG2460" s="62"/>
      <c r="WOH2460" s="60"/>
      <c r="WOI2460" s="53"/>
      <c r="WOJ2460" s="53"/>
      <c r="WOK2460" s="62"/>
      <c r="WOL2460" s="61"/>
      <c r="WOM2460" s="53"/>
      <c r="WON2460" s="53"/>
      <c r="WOO2460" s="62"/>
      <c r="WOP2460" s="60"/>
      <c r="WOQ2460" s="53"/>
      <c r="WOR2460" s="53"/>
      <c r="WOS2460" s="62"/>
      <c r="WOT2460" s="61"/>
      <c r="WOU2460" s="53"/>
      <c r="WOV2460" s="53"/>
      <c r="WOW2460" s="62"/>
      <c r="WOX2460" s="60"/>
      <c r="WOY2460" s="53"/>
      <c r="WOZ2460" s="53"/>
      <c r="WPA2460" s="62"/>
      <c r="WPB2460" s="61"/>
      <c r="WPC2460" s="53"/>
      <c r="WPD2460" s="53"/>
      <c r="WPE2460" s="62"/>
      <c r="WPF2460" s="60"/>
      <c r="WPG2460" s="53"/>
      <c r="WPH2460" s="53"/>
      <c r="WPI2460" s="62"/>
      <c r="WPJ2460" s="61"/>
      <c r="WPK2460" s="53"/>
      <c r="WPL2460" s="53"/>
      <c r="WPM2460" s="62"/>
      <c r="WPN2460" s="60"/>
      <c r="WPO2460" s="53"/>
      <c r="WPP2460" s="53"/>
      <c r="WPQ2460" s="62"/>
      <c r="WPR2460" s="61"/>
      <c r="WPS2460" s="53"/>
      <c r="WPT2460" s="53"/>
      <c r="WPU2460" s="62"/>
      <c r="WPV2460" s="60"/>
      <c r="WPW2460" s="53"/>
      <c r="WPX2460" s="53"/>
      <c r="WPY2460" s="62"/>
      <c r="WPZ2460" s="61"/>
      <c r="WQA2460" s="53"/>
      <c r="WQB2460" s="53"/>
      <c r="WQC2460" s="62"/>
      <c r="WQD2460" s="60"/>
      <c r="WQE2460" s="53"/>
      <c r="WQF2460" s="53"/>
      <c r="WQG2460" s="62"/>
      <c r="WQH2460" s="61"/>
      <c r="WQI2460" s="53"/>
      <c r="WQJ2460" s="53"/>
      <c r="WQK2460" s="62"/>
      <c r="WQL2460" s="60"/>
      <c r="WQM2460" s="53"/>
      <c r="WQN2460" s="53"/>
      <c r="WQO2460" s="62"/>
      <c r="WQP2460" s="61"/>
      <c r="WQQ2460" s="53"/>
      <c r="WQR2460" s="53"/>
      <c r="WQS2460" s="62"/>
      <c r="WQT2460" s="60"/>
      <c r="WQU2460" s="53"/>
      <c r="WQV2460" s="53"/>
      <c r="WQW2460" s="62"/>
      <c r="WQX2460" s="61"/>
      <c r="WQY2460" s="53"/>
      <c r="WQZ2460" s="53"/>
      <c r="WRA2460" s="62"/>
      <c r="WRB2460" s="60"/>
      <c r="WRC2460" s="53"/>
      <c r="WRD2460" s="53"/>
      <c r="WRE2460" s="62"/>
      <c r="WRF2460" s="61"/>
      <c r="WRG2460" s="53"/>
      <c r="WRH2460" s="53"/>
      <c r="WRI2460" s="62"/>
      <c r="WRJ2460" s="60"/>
      <c r="WRK2460" s="53"/>
      <c r="WRL2460" s="53"/>
      <c r="WRM2460" s="62"/>
      <c r="WRN2460" s="61"/>
      <c r="WRO2460" s="53"/>
      <c r="WRP2460" s="53"/>
      <c r="WRQ2460" s="62"/>
      <c r="WRR2460" s="60"/>
      <c r="WRS2460" s="53"/>
      <c r="WRT2460" s="53"/>
      <c r="WRU2460" s="62"/>
      <c r="WRV2460" s="61"/>
      <c r="WRW2460" s="53"/>
      <c r="WRX2460" s="53"/>
      <c r="WRY2460" s="62"/>
      <c r="WRZ2460" s="60"/>
      <c r="WSA2460" s="53"/>
      <c r="WSB2460" s="53"/>
      <c r="WSC2460" s="62"/>
      <c r="WSD2460" s="61"/>
      <c r="WSE2460" s="53"/>
      <c r="WSF2460" s="53"/>
      <c r="WSG2460" s="62"/>
      <c r="WSH2460" s="60"/>
      <c r="WSI2460" s="53"/>
      <c r="WSJ2460" s="53"/>
      <c r="WSK2460" s="62"/>
      <c r="WSL2460" s="61"/>
      <c r="WSM2460" s="53"/>
      <c r="WSN2460" s="53"/>
      <c r="WSO2460" s="62"/>
      <c r="WSP2460" s="60"/>
      <c r="WSQ2460" s="53"/>
      <c r="WSR2460" s="53"/>
      <c r="WSS2460" s="62"/>
      <c r="WST2460" s="61"/>
      <c r="WSU2460" s="53"/>
      <c r="WSV2460" s="53"/>
      <c r="WSW2460" s="62"/>
      <c r="WSX2460" s="60"/>
      <c r="WSY2460" s="53"/>
      <c r="WSZ2460" s="53"/>
      <c r="WTA2460" s="62"/>
      <c r="WTB2460" s="61"/>
      <c r="WTC2460" s="53"/>
      <c r="WTD2460" s="53"/>
      <c r="WTE2460" s="62"/>
      <c r="WTF2460" s="60"/>
      <c r="WTG2460" s="53"/>
      <c r="WTH2460" s="53"/>
      <c r="WTI2460" s="62"/>
      <c r="WTJ2460" s="61"/>
      <c r="WTK2460" s="53"/>
      <c r="WTL2460" s="53"/>
      <c r="WTM2460" s="62"/>
      <c r="WTN2460" s="60"/>
      <c r="WTO2460" s="53"/>
      <c r="WTP2460" s="53"/>
      <c r="WTQ2460" s="62"/>
      <c r="WTR2460" s="61"/>
      <c r="WTS2460" s="53"/>
      <c r="WTT2460" s="53"/>
      <c r="WTU2460" s="62"/>
      <c r="WTV2460" s="60"/>
      <c r="WTW2460" s="53"/>
      <c r="WTX2460" s="53"/>
      <c r="WTY2460" s="62"/>
      <c r="WTZ2460" s="61"/>
      <c r="WUA2460" s="53"/>
      <c r="WUB2460" s="53"/>
      <c r="WUC2460" s="62"/>
      <c r="WUD2460" s="60"/>
      <c r="WUE2460" s="53"/>
      <c r="WUF2460" s="53"/>
      <c r="WUG2460" s="62"/>
      <c r="WUH2460" s="61"/>
      <c r="WUI2460" s="53"/>
      <c r="WUJ2460" s="53"/>
      <c r="WUK2460" s="62"/>
      <c r="WUL2460" s="60"/>
      <c r="WUM2460" s="53"/>
      <c r="WUN2460" s="53"/>
      <c r="WUO2460" s="62"/>
      <c r="WUP2460" s="61"/>
      <c r="WUQ2460" s="53"/>
      <c r="WUR2460" s="53"/>
      <c r="WUS2460" s="62"/>
      <c r="WUT2460" s="60"/>
      <c r="WUU2460" s="53"/>
      <c r="WUV2460" s="53"/>
      <c r="WUW2460" s="62"/>
      <c r="WUX2460" s="61"/>
      <c r="WUY2460" s="53"/>
      <c r="WUZ2460" s="53"/>
      <c r="WVA2460" s="62"/>
      <c r="WVB2460" s="60"/>
      <c r="WVC2460" s="53"/>
      <c r="WVD2460" s="53"/>
      <c r="WVE2460" s="62"/>
      <c r="WVF2460" s="61"/>
      <c r="WVG2460" s="53"/>
      <c r="WVH2460" s="53"/>
      <c r="WVI2460" s="62"/>
      <c r="WVJ2460" s="60"/>
      <c r="WVK2460" s="53"/>
      <c r="WVL2460" s="53"/>
      <c r="WVM2460" s="62"/>
      <c r="WVN2460" s="61"/>
      <c r="WVO2460" s="53"/>
      <c r="WVP2460" s="53"/>
      <c r="WVQ2460" s="62"/>
      <c r="WVR2460" s="60"/>
      <c r="WVS2460" s="53"/>
      <c r="WVT2460" s="53"/>
      <c r="WVU2460" s="62"/>
      <c r="WVV2460" s="61"/>
      <c r="WVW2460" s="53"/>
      <c r="WVX2460" s="53"/>
      <c r="WVY2460" s="62"/>
      <c r="WVZ2460" s="60"/>
      <c r="WWA2460" s="53"/>
      <c r="WWB2460" s="53"/>
      <c r="WWC2460" s="62"/>
      <c r="WWD2460" s="61"/>
      <c r="WWE2460" s="53"/>
      <c r="WWF2460" s="53"/>
      <c r="WWG2460" s="62"/>
      <c r="WWH2460" s="60"/>
      <c r="WWI2460" s="53"/>
      <c r="WWJ2460" s="53"/>
      <c r="WWK2460" s="62"/>
      <c r="WWL2460" s="61"/>
      <c r="WWM2460" s="53"/>
      <c r="WWN2460" s="53"/>
      <c r="WWO2460" s="62"/>
      <c r="WWP2460" s="60"/>
      <c r="WWQ2460" s="53"/>
      <c r="WWR2460" s="53"/>
      <c r="WWS2460" s="62"/>
      <c r="WWT2460" s="61"/>
      <c r="WWU2460" s="53"/>
      <c r="WWV2460" s="53"/>
      <c r="WWW2460" s="62"/>
      <c r="WWX2460" s="60"/>
      <c r="WWY2460" s="53"/>
      <c r="WWZ2460" s="53"/>
      <c r="WXA2460" s="62"/>
      <c r="WXB2460" s="61"/>
      <c r="WXC2460" s="53"/>
      <c r="WXD2460" s="53"/>
      <c r="WXE2460" s="62"/>
      <c r="WXF2460" s="60"/>
      <c r="WXG2460" s="53"/>
      <c r="WXH2460" s="53"/>
      <c r="WXI2460" s="62"/>
      <c r="WXJ2460" s="61"/>
      <c r="WXK2460" s="53"/>
      <c r="WXL2460" s="53"/>
      <c r="WXM2460" s="62"/>
      <c r="WXN2460" s="60"/>
      <c r="WXO2460" s="53"/>
      <c r="WXP2460" s="53"/>
      <c r="WXQ2460" s="62"/>
      <c r="WXR2460" s="61"/>
      <c r="WXS2460" s="53"/>
      <c r="WXT2460" s="53"/>
      <c r="WXU2460" s="62"/>
      <c r="WXV2460" s="60"/>
      <c r="WXW2460" s="53"/>
      <c r="WXX2460" s="53"/>
      <c r="WXY2460" s="62"/>
      <c r="WXZ2460" s="61"/>
      <c r="WYA2460" s="53"/>
      <c r="WYB2460" s="53"/>
      <c r="WYC2460" s="62"/>
      <c r="WYD2460" s="60"/>
      <c r="WYE2460" s="53"/>
      <c r="WYF2460" s="53"/>
      <c r="WYG2460" s="62"/>
      <c r="WYH2460" s="61"/>
      <c r="WYI2460" s="53"/>
      <c r="WYJ2460" s="53"/>
      <c r="WYK2460" s="62"/>
      <c r="WYL2460" s="60"/>
      <c r="WYM2460" s="53"/>
      <c r="WYN2460" s="53"/>
      <c r="WYO2460" s="62"/>
      <c r="WYP2460" s="61"/>
      <c r="WYQ2460" s="53"/>
      <c r="WYR2460" s="53"/>
      <c r="WYS2460" s="62"/>
      <c r="WYT2460" s="60"/>
      <c r="WYU2460" s="53"/>
      <c r="WYV2460" s="53"/>
      <c r="WYW2460" s="62"/>
      <c r="WYX2460" s="61"/>
      <c r="WYY2460" s="53"/>
      <c r="WYZ2460" s="53"/>
      <c r="WZA2460" s="62"/>
      <c r="WZB2460" s="60"/>
      <c r="WZC2460" s="53"/>
      <c r="WZD2460" s="53"/>
      <c r="WZE2460" s="62"/>
      <c r="WZF2460" s="61"/>
      <c r="WZG2460" s="53"/>
      <c r="WZH2460" s="53"/>
      <c r="WZI2460" s="62"/>
      <c r="WZJ2460" s="60"/>
      <c r="WZK2460" s="53"/>
      <c r="WZL2460" s="53"/>
      <c r="WZM2460" s="62"/>
      <c r="WZN2460" s="61"/>
      <c r="WZO2460" s="53"/>
      <c r="WZP2460" s="53"/>
      <c r="WZQ2460" s="62"/>
      <c r="WZR2460" s="60"/>
      <c r="WZS2460" s="53"/>
      <c r="WZT2460" s="53"/>
      <c r="WZU2460" s="62"/>
      <c r="WZV2460" s="61"/>
      <c r="WZW2460" s="53"/>
      <c r="WZX2460" s="53"/>
      <c r="WZY2460" s="62"/>
      <c r="WZZ2460" s="60"/>
      <c r="XAA2460" s="53"/>
      <c r="XAB2460" s="53"/>
      <c r="XAC2460" s="62"/>
      <c r="XAD2460" s="61"/>
      <c r="XAE2460" s="53"/>
      <c r="XAF2460" s="53"/>
      <c r="XAG2460" s="62"/>
      <c r="XAH2460" s="60"/>
      <c r="XAI2460" s="53"/>
      <c r="XAJ2460" s="53"/>
      <c r="XAK2460" s="62"/>
      <c r="XAL2460" s="61"/>
      <c r="XAM2460" s="53"/>
      <c r="XAN2460" s="53"/>
      <c r="XAO2460" s="62"/>
      <c r="XAP2460" s="60"/>
      <c r="XAQ2460" s="53"/>
      <c r="XAR2460" s="53"/>
      <c r="XAS2460" s="62"/>
      <c r="XAT2460" s="61"/>
      <c r="XAU2460" s="53"/>
      <c r="XAV2460" s="53"/>
      <c r="XAW2460" s="62"/>
      <c r="XAX2460" s="60"/>
      <c r="XAY2460" s="53"/>
      <c r="XAZ2460" s="53"/>
      <c r="XBA2460" s="62"/>
      <c r="XBB2460" s="61"/>
      <c r="XBC2460" s="53"/>
      <c r="XBD2460" s="53"/>
      <c r="XBE2460" s="62"/>
      <c r="XBF2460" s="60"/>
      <c r="XBG2460" s="53"/>
      <c r="XBH2460" s="53"/>
      <c r="XBI2460" s="62"/>
      <c r="XBJ2460" s="61"/>
      <c r="XBK2460" s="53"/>
      <c r="XBL2460" s="53"/>
      <c r="XBM2460" s="62"/>
      <c r="XBN2460" s="60"/>
      <c r="XBO2460" s="53"/>
      <c r="XBP2460" s="53"/>
      <c r="XBQ2460" s="62"/>
      <c r="XBR2460" s="61"/>
      <c r="XBS2460" s="53"/>
      <c r="XBT2460" s="53"/>
      <c r="XBU2460" s="62"/>
      <c r="XBV2460" s="60"/>
      <c r="XBW2460" s="53"/>
      <c r="XBX2460" s="53"/>
      <c r="XBY2460" s="62"/>
      <c r="XBZ2460" s="61"/>
      <c r="XCA2460" s="53"/>
      <c r="XCB2460" s="53"/>
      <c r="XCC2460" s="62"/>
      <c r="XCD2460" s="60"/>
      <c r="XCE2460" s="53"/>
      <c r="XCF2460" s="53"/>
      <c r="XCG2460" s="62"/>
      <c r="XCH2460" s="61"/>
      <c r="XCI2460" s="53"/>
      <c r="XCJ2460" s="53"/>
      <c r="XCK2460" s="62"/>
      <c r="XCL2460" s="60"/>
      <c r="XCM2460" s="53"/>
      <c r="XCN2460" s="53"/>
      <c r="XCO2460" s="62"/>
      <c r="XCP2460" s="61"/>
      <c r="XCQ2460" s="53"/>
      <c r="XCR2460" s="53"/>
      <c r="XCS2460" s="62"/>
      <c r="XCT2460" s="60"/>
      <c r="XCU2460" s="53"/>
      <c r="XCV2460" s="53"/>
      <c r="XCW2460" s="62"/>
      <c r="XCX2460" s="61"/>
      <c r="XCY2460" s="53"/>
      <c r="XCZ2460" s="53"/>
      <c r="XDA2460" s="62"/>
      <c r="XDB2460" s="60"/>
      <c r="XDC2460" s="53"/>
      <c r="XDD2460" s="53"/>
      <c r="XDE2460" s="62"/>
      <c r="XDF2460" s="61"/>
      <c r="XDG2460" s="53"/>
      <c r="XDH2460" s="53"/>
      <c r="XDI2460" s="62"/>
      <c r="XDJ2460" s="60"/>
      <c r="XDK2460" s="53"/>
      <c r="XDL2460" s="53"/>
      <c r="XDM2460" s="62"/>
      <c r="XDN2460" s="61"/>
      <c r="XDO2460" s="53"/>
      <c r="XDP2460" s="53"/>
      <c r="XDQ2460" s="62"/>
      <c r="XDR2460" s="60"/>
      <c r="XDS2460" s="53"/>
      <c r="XDT2460" s="53"/>
      <c r="XDU2460" s="62"/>
      <c r="XDV2460" s="61"/>
      <c r="XDW2460" s="53"/>
      <c r="XDX2460" s="53"/>
      <c r="XDY2460" s="62"/>
      <c r="XDZ2460" s="60"/>
      <c r="XEA2460" s="53"/>
      <c r="XEB2460" s="53"/>
      <c r="XEC2460" s="62"/>
      <c r="XED2460" s="61"/>
      <c r="XEE2460" s="53"/>
      <c r="XEF2460" s="53"/>
      <c r="XEG2460" s="62"/>
      <c r="XEH2460" s="60"/>
      <c r="XEI2460" s="53"/>
      <c r="XEJ2460" s="53"/>
      <c r="XEK2460" s="62"/>
      <c r="XEL2460" s="61"/>
      <c r="XEM2460" s="53"/>
      <c r="XEN2460" s="53"/>
      <c r="XEO2460" s="62"/>
      <c r="XEP2460" s="60"/>
      <c r="XEQ2460" s="53"/>
      <c r="XER2460" s="53"/>
      <c r="XES2460" s="62"/>
      <c r="XET2460" s="61"/>
      <c r="XEU2460" s="53"/>
      <c r="XEV2460" s="53"/>
      <c r="XEW2460" s="62"/>
    </row>
    <row r="2461" ht="18" customHeight="1" spans="1:16377">
      <c r="A2461" s="6" t="s">
        <v>8209</v>
      </c>
      <c r="B2461" s="6" t="s">
        <v>8540</v>
      </c>
      <c r="C2461" s="11" t="s">
        <v>16378</v>
      </c>
      <c r="D2461" s="5" t="s">
        <v>16379</v>
      </c>
      <c r="E2461" s="11" t="s">
        <v>16380</v>
      </c>
      <c r="F2461" s="7" t="s">
        <v>11535</v>
      </c>
      <c r="G2461" s="54"/>
      <c r="H2461" s="54"/>
      <c r="I2461" s="63"/>
      <c r="J2461" s="60"/>
      <c r="K2461" s="60"/>
      <c r="L2461" s="60"/>
      <c r="M2461" s="63"/>
      <c r="N2461" s="61"/>
      <c r="O2461" s="54"/>
      <c r="P2461" s="54"/>
      <c r="Q2461" s="63"/>
      <c r="R2461" s="60"/>
      <c r="S2461" s="60"/>
      <c r="T2461" s="60"/>
      <c r="U2461" s="63"/>
      <c r="V2461" s="61"/>
      <c r="W2461" s="54"/>
      <c r="X2461" s="54"/>
      <c r="Y2461" s="63"/>
      <c r="Z2461" s="60"/>
      <c r="AA2461" s="60"/>
      <c r="AB2461" s="60"/>
      <c r="AC2461" s="63"/>
      <c r="AD2461" s="61"/>
      <c r="AE2461" s="54"/>
      <c r="AF2461" s="54"/>
      <c r="AG2461" s="63"/>
      <c r="AH2461" s="60"/>
      <c r="AI2461" s="60"/>
      <c r="AJ2461" s="60"/>
      <c r="AK2461" s="63"/>
      <c r="AL2461" s="61"/>
      <c r="AM2461" s="54"/>
      <c r="AN2461" s="54"/>
      <c r="AO2461" s="63"/>
      <c r="AP2461" s="60"/>
      <c r="AQ2461" s="60"/>
      <c r="AR2461" s="60"/>
      <c r="AS2461" s="63"/>
      <c r="AT2461" s="61"/>
      <c r="AU2461" s="54"/>
      <c r="AV2461" s="54"/>
      <c r="AW2461" s="63"/>
      <c r="AX2461" s="60"/>
      <c r="AY2461" s="60"/>
      <c r="AZ2461" s="60"/>
      <c r="BA2461" s="63"/>
      <c r="BB2461" s="61"/>
      <c r="BC2461" s="54"/>
      <c r="BD2461" s="54"/>
      <c r="BE2461" s="63"/>
      <c r="BF2461" s="60"/>
      <c r="BG2461" s="60"/>
      <c r="BH2461" s="60"/>
      <c r="BI2461" s="63"/>
      <c r="BJ2461" s="61"/>
      <c r="BK2461" s="54"/>
      <c r="BL2461" s="54"/>
      <c r="BM2461" s="63"/>
      <c r="BN2461" s="60"/>
      <c r="BO2461" s="60"/>
      <c r="BP2461" s="60"/>
      <c r="BQ2461" s="63"/>
      <c r="BR2461" s="61"/>
      <c r="BS2461" s="54"/>
      <c r="BT2461" s="54"/>
      <c r="BU2461" s="63"/>
      <c r="BV2461" s="60"/>
      <c r="BW2461" s="60"/>
      <c r="BX2461" s="60"/>
      <c r="BY2461" s="63"/>
      <c r="BZ2461" s="61"/>
      <c r="CA2461" s="54"/>
      <c r="CB2461" s="54"/>
      <c r="CC2461" s="63"/>
      <c r="CD2461" s="60"/>
      <c r="CE2461" s="60"/>
      <c r="CF2461" s="60"/>
      <c r="CG2461" s="63"/>
      <c r="CH2461" s="61"/>
      <c r="CI2461" s="54"/>
      <c r="CJ2461" s="54"/>
      <c r="CK2461" s="63"/>
      <c r="CL2461" s="60"/>
      <c r="CM2461" s="60"/>
      <c r="CN2461" s="60"/>
      <c r="CO2461" s="63"/>
      <c r="CP2461" s="61"/>
      <c r="CQ2461" s="54"/>
      <c r="CR2461" s="54"/>
      <c r="CS2461" s="63"/>
      <c r="CT2461" s="60"/>
      <c r="CU2461" s="60"/>
      <c r="CV2461" s="60"/>
      <c r="CW2461" s="63"/>
      <c r="CX2461" s="61"/>
      <c r="CY2461" s="54"/>
      <c r="CZ2461" s="54"/>
      <c r="DA2461" s="63"/>
      <c r="DB2461" s="60"/>
      <c r="DC2461" s="60"/>
      <c r="DD2461" s="60"/>
      <c r="DE2461" s="63"/>
      <c r="DF2461" s="61"/>
      <c r="DG2461" s="54"/>
      <c r="DH2461" s="54"/>
      <c r="DI2461" s="63"/>
      <c r="DJ2461" s="60"/>
      <c r="DK2461" s="60"/>
      <c r="DL2461" s="60"/>
      <c r="DM2461" s="63"/>
      <c r="DN2461" s="61"/>
      <c r="DO2461" s="54"/>
      <c r="DP2461" s="54"/>
      <c r="DQ2461" s="63"/>
      <c r="DR2461" s="60"/>
      <c r="DS2461" s="60"/>
      <c r="DT2461" s="60"/>
      <c r="DU2461" s="63"/>
      <c r="DV2461" s="61"/>
      <c r="DW2461" s="54"/>
      <c r="DX2461" s="54"/>
      <c r="DY2461" s="63"/>
      <c r="DZ2461" s="60"/>
      <c r="EA2461" s="60"/>
      <c r="EB2461" s="60"/>
      <c r="EC2461" s="63"/>
      <c r="ED2461" s="61"/>
      <c r="EE2461" s="54"/>
      <c r="EF2461" s="54"/>
      <c r="EG2461" s="63"/>
      <c r="EH2461" s="60"/>
      <c r="EI2461" s="60"/>
      <c r="EJ2461" s="60"/>
      <c r="EK2461" s="63"/>
      <c r="EL2461" s="61"/>
      <c r="EM2461" s="54"/>
      <c r="EN2461" s="54"/>
      <c r="EO2461" s="63"/>
      <c r="EP2461" s="60"/>
      <c r="EQ2461" s="60"/>
      <c r="ER2461" s="60"/>
      <c r="ES2461" s="63"/>
      <c r="ET2461" s="61"/>
      <c r="EU2461" s="54"/>
      <c r="EV2461" s="54"/>
      <c r="EW2461" s="63"/>
      <c r="EX2461" s="60"/>
      <c r="EY2461" s="60"/>
      <c r="EZ2461" s="60"/>
      <c r="FA2461" s="63"/>
      <c r="FB2461" s="61"/>
      <c r="FC2461" s="54"/>
      <c r="FD2461" s="54"/>
      <c r="FE2461" s="63"/>
      <c r="FF2461" s="60"/>
      <c r="FG2461" s="60"/>
      <c r="FH2461" s="60"/>
      <c r="FI2461" s="63"/>
      <c r="FJ2461" s="61"/>
      <c r="FK2461" s="54"/>
      <c r="FL2461" s="54"/>
      <c r="FM2461" s="63"/>
      <c r="FN2461" s="60"/>
      <c r="FO2461" s="60"/>
      <c r="FP2461" s="60"/>
      <c r="FQ2461" s="63"/>
      <c r="FR2461" s="61"/>
      <c r="FS2461" s="54"/>
      <c r="FT2461" s="54"/>
      <c r="FU2461" s="63"/>
      <c r="FV2461" s="60"/>
      <c r="FW2461" s="60"/>
      <c r="FX2461" s="60"/>
      <c r="FY2461" s="63"/>
      <c r="FZ2461" s="61"/>
      <c r="GA2461" s="54"/>
      <c r="GB2461" s="54"/>
      <c r="GC2461" s="63"/>
      <c r="GD2461" s="60"/>
      <c r="GE2461" s="60"/>
      <c r="GF2461" s="60"/>
      <c r="GG2461" s="63"/>
      <c r="GH2461" s="61"/>
      <c r="GI2461" s="54"/>
      <c r="GJ2461" s="54"/>
      <c r="GK2461" s="63"/>
      <c r="GL2461" s="60"/>
      <c r="GM2461" s="60"/>
      <c r="GN2461" s="60"/>
      <c r="GO2461" s="63"/>
      <c r="GP2461" s="61"/>
      <c r="GQ2461" s="54"/>
      <c r="GR2461" s="54"/>
      <c r="GS2461" s="63"/>
      <c r="GT2461" s="60"/>
      <c r="GU2461" s="60"/>
      <c r="GV2461" s="60"/>
      <c r="GW2461" s="63"/>
      <c r="GX2461" s="61"/>
      <c r="GY2461" s="54"/>
      <c r="GZ2461" s="54"/>
      <c r="HA2461" s="63"/>
      <c r="HB2461" s="60"/>
      <c r="HC2461" s="60"/>
      <c r="HD2461" s="60"/>
      <c r="HE2461" s="63"/>
      <c r="HF2461" s="61"/>
      <c r="HG2461" s="54"/>
      <c r="HH2461" s="54"/>
      <c r="HI2461" s="63"/>
      <c r="HJ2461" s="60"/>
      <c r="HK2461" s="60"/>
      <c r="HL2461" s="60"/>
      <c r="HM2461" s="63"/>
      <c r="HN2461" s="61"/>
      <c r="HO2461" s="54"/>
      <c r="HP2461" s="54"/>
      <c r="HQ2461" s="63"/>
      <c r="HR2461" s="60"/>
      <c r="HS2461" s="60"/>
      <c r="HT2461" s="60"/>
      <c r="HU2461" s="63"/>
      <c r="HV2461" s="61"/>
      <c r="HW2461" s="54"/>
      <c r="HX2461" s="54"/>
      <c r="HY2461" s="63"/>
      <c r="HZ2461" s="60"/>
      <c r="IA2461" s="60"/>
      <c r="IB2461" s="60"/>
      <c r="IC2461" s="63"/>
      <c r="ID2461" s="61"/>
      <c r="IE2461" s="54"/>
      <c r="IF2461" s="54"/>
      <c r="IG2461" s="63"/>
      <c r="IH2461" s="60"/>
      <c r="II2461" s="60"/>
      <c r="IJ2461" s="60"/>
      <c r="IK2461" s="63"/>
      <c r="IL2461" s="61"/>
      <c r="IM2461" s="54"/>
      <c r="IN2461" s="54"/>
      <c r="IO2461" s="63"/>
      <c r="IP2461" s="60"/>
      <c r="IQ2461" s="60"/>
      <c r="IR2461" s="60"/>
      <c r="IS2461" s="63"/>
      <c r="IT2461" s="61"/>
      <c r="IU2461" s="54"/>
      <c r="IV2461" s="54"/>
      <c r="IW2461" s="63"/>
      <c r="IX2461" s="60"/>
      <c r="IY2461" s="60"/>
      <c r="IZ2461" s="60"/>
      <c r="JA2461" s="63"/>
      <c r="JB2461" s="61"/>
      <c r="JC2461" s="54"/>
      <c r="JD2461" s="54"/>
      <c r="JE2461" s="63"/>
      <c r="JF2461" s="60"/>
      <c r="JG2461" s="60"/>
      <c r="JH2461" s="60"/>
      <c r="JI2461" s="63"/>
      <c r="JJ2461" s="61"/>
      <c r="JK2461" s="54"/>
      <c r="JL2461" s="54"/>
      <c r="JM2461" s="63"/>
      <c r="JN2461" s="60"/>
      <c r="JO2461" s="60"/>
      <c r="JP2461" s="60"/>
      <c r="JQ2461" s="63"/>
      <c r="JR2461" s="61"/>
      <c r="JS2461" s="54"/>
      <c r="JT2461" s="54"/>
      <c r="JU2461" s="63"/>
      <c r="JV2461" s="60"/>
      <c r="JW2461" s="60"/>
      <c r="JX2461" s="60"/>
      <c r="JY2461" s="63"/>
      <c r="JZ2461" s="61"/>
      <c r="KA2461" s="54"/>
      <c r="KB2461" s="54"/>
      <c r="KC2461" s="63"/>
      <c r="KD2461" s="60"/>
      <c r="KE2461" s="60"/>
      <c r="KF2461" s="60"/>
      <c r="KG2461" s="63"/>
      <c r="KH2461" s="61"/>
      <c r="KI2461" s="54"/>
      <c r="KJ2461" s="54"/>
      <c r="KK2461" s="63"/>
      <c r="KL2461" s="60"/>
      <c r="KM2461" s="60"/>
      <c r="KN2461" s="60"/>
      <c r="KO2461" s="63"/>
      <c r="KP2461" s="61"/>
      <c r="KQ2461" s="54"/>
      <c r="KR2461" s="54"/>
      <c r="KS2461" s="63"/>
      <c r="KT2461" s="60"/>
      <c r="KU2461" s="60"/>
      <c r="KV2461" s="60"/>
      <c r="KW2461" s="63"/>
      <c r="KX2461" s="61"/>
      <c r="KY2461" s="54"/>
      <c r="KZ2461" s="54"/>
      <c r="LA2461" s="63"/>
      <c r="LB2461" s="60"/>
      <c r="LC2461" s="60"/>
      <c r="LD2461" s="60"/>
      <c r="LE2461" s="63"/>
      <c r="LF2461" s="61"/>
      <c r="LG2461" s="54"/>
      <c r="LH2461" s="54"/>
      <c r="LI2461" s="63"/>
      <c r="LJ2461" s="60"/>
      <c r="LK2461" s="60"/>
      <c r="LL2461" s="60"/>
      <c r="LM2461" s="63"/>
      <c r="LN2461" s="61"/>
      <c r="LO2461" s="54"/>
      <c r="LP2461" s="54"/>
      <c r="LQ2461" s="63"/>
      <c r="LR2461" s="60"/>
      <c r="LS2461" s="60"/>
      <c r="LT2461" s="60"/>
      <c r="LU2461" s="63"/>
      <c r="LV2461" s="61"/>
      <c r="LW2461" s="54"/>
      <c r="LX2461" s="54"/>
      <c r="LY2461" s="63"/>
      <c r="LZ2461" s="60"/>
      <c r="MA2461" s="60"/>
      <c r="MB2461" s="60"/>
      <c r="MC2461" s="63"/>
      <c r="MD2461" s="61"/>
      <c r="ME2461" s="54"/>
      <c r="MF2461" s="54"/>
      <c r="MG2461" s="63"/>
      <c r="MH2461" s="60"/>
      <c r="MI2461" s="60"/>
      <c r="MJ2461" s="60"/>
      <c r="MK2461" s="63"/>
      <c r="ML2461" s="61"/>
      <c r="MM2461" s="54"/>
      <c r="MN2461" s="54"/>
      <c r="MO2461" s="63"/>
      <c r="MP2461" s="60"/>
      <c r="MQ2461" s="60"/>
      <c r="MR2461" s="60"/>
      <c r="MS2461" s="63"/>
      <c r="MT2461" s="61"/>
      <c r="MU2461" s="54"/>
      <c r="MV2461" s="54"/>
      <c r="MW2461" s="63"/>
      <c r="MX2461" s="60"/>
      <c r="MY2461" s="60"/>
      <c r="MZ2461" s="60"/>
      <c r="NA2461" s="63"/>
      <c r="NB2461" s="61"/>
      <c r="NC2461" s="54"/>
      <c r="ND2461" s="54"/>
      <c r="NE2461" s="63"/>
      <c r="NF2461" s="60"/>
      <c r="NG2461" s="60"/>
      <c r="NH2461" s="60"/>
      <c r="NI2461" s="63"/>
      <c r="NJ2461" s="61"/>
      <c r="NK2461" s="54"/>
      <c r="NL2461" s="54"/>
      <c r="NM2461" s="63"/>
      <c r="NN2461" s="60"/>
      <c r="NO2461" s="60"/>
      <c r="NP2461" s="60"/>
      <c r="NQ2461" s="63"/>
      <c r="NR2461" s="61"/>
      <c r="NS2461" s="54"/>
      <c r="NT2461" s="54"/>
      <c r="NU2461" s="63"/>
      <c r="NV2461" s="60"/>
      <c r="NW2461" s="60"/>
      <c r="NX2461" s="60"/>
      <c r="NY2461" s="63"/>
      <c r="NZ2461" s="61"/>
      <c r="OA2461" s="54"/>
      <c r="OB2461" s="54"/>
      <c r="OC2461" s="63"/>
      <c r="OD2461" s="60"/>
      <c r="OE2461" s="60"/>
      <c r="OF2461" s="60"/>
      <c r="OG2461" s="63"/>
      <c r="OH2461" s="61"/>
      <c r="OI2461" s="54"/>
      <c r="OJ2461" s="54"/>
      <c r="OK2461" s="63"/>
      <c r="OL2461" s="60"/>
      <c r="OM2461" s="60"/>
      <c r="ON2461" s="60"/>
      <c r="OO2461" s="63"/>
      <c r="OP2461" s="61"/>
      <c r="OQ2461" s="54"/>
      <c r="OR2461" s="54"/>
      <c r="OS2461" s="63"/>
      <c r="OT2461" s="60"/>
      <c r="OU2461" s="60"/>
      <c r="OV2461" s="60"/>
      <c r="OW2461" s="63"/>
      <c r="OX2461" s="61"/>
      <c r="OY2461" s="54"/>
      <c r="OZ2461" s="54"/>
      <c r="PA2461" s="63"/>
      <c r="PB2461" s="60"/>
      <c r="PC2461" s="60"/>
      <c r="PD2461" s="60"/>
      <c r="PE2461" s="63"/>
      <c r="PF2461" s="61"/>
      <c r="PG2461" s="54"/>
      <c r="PH2461" s="54"/>
      <c r="PI2461" s="63"/>
      <c r="PJ2461" s="60"/>
      <c r="PK2461" s="60"/>
      <c r="PL2461" s="60"/>
      <c r="PM2461" s="63"/>
      <c r="PN2461" s="61"/>
      <c r="PO2461" s="54"/>
      <c r="PP2461" s="54"/>
      <c r="PQ2461" s="63"/>
      <c r="PR2461" s="60"/>
      <c r="PS2461" s="60"/>
      <c r="PT2461" s="60"/>
      <c r="PU2461" s="63"/>
      <c r="PV2461" s="61"/>
      <c r="PW2461" s="54"/>
      <c r="PX2461" s="54"/>
      <c r="PY2461" s="63"/>
      <c r="PZ2461" s="60"/>
      <c r="QA2461" s="60"/>
      <c r="QB2461" s="60"/>
      <c r="QC2461" s="63"/>
      <c r="QD2461" s="61"/>
      <c r="QE2461" s="54"/>
      <c r="QF2461" s="54"/>
      <c r="QG2461" s="63"/>
      <c r="QH2461" s="60"/>
      <c r="QI2461" s="60"/>
      <c r="QJ2461" s="60"/>
      <c r="QK2461" s="63"/>
      <c r="QL2461" s="61"/>
      <c r="QM2461" s="54"/>
      <c r="QN2461" s="54"/>
      <c r="QO2461" s="63"/>
      <c r="QP2461" s="60"/>
      <c r="QQ2461" s="60"/>
      <c r="QR2461" s="60"/>
      <c r="QS2461" s="63"/>
      <c r="QT2461" s="61"/>
      <c r="QU2461" s="54"/>
      <c r="QV2461" s="54"/>
      <c r="QW2461" s="63"/>
      <c r="QX2461" s="60"/>
      <c r="QY2461" s="60"/>
      <c r="QZ2461" s="60"/>
      <c r="RA2461" s="63"/>
      <c r="RB2461" s="61"/>
      <c r="RC2461" s="54"/>
      <c r="RD2461" s="54"/>
      <c r="RE2461" s="63"/>
      <c r="RF2461" s="60"/>
      <c r="RG2461" s="60"/>
      <c r="RH2461" s="60"/>
      <c r="RI2461" s="63"/>
      <c r="RJ2461" s="61"/>
      <c r="RK2461" s="54"/>
      <c r="RL2461" s="54"/>
      <c r="RM2461" s="63"/>
      <c r="RN2461" s="60"/>
      <c r="RO2461" s="60"/>
      <c r="RP2461" s="60"/>
      <c r="RQ2461" s="63"/>
      <c r="RR2461" s="61"/>
      <c r="RS2461" s="54"/>
      <c r="RT2461" s="54"/>
      <c r="RU2461" s="63"/>
      <c r="RV2461" s="60"/>
      <c r="RW2461" s="60"/>
      <c r="RX2461" s="60"/>
      <c r="RY2461" s="63"/>
      <c r="RZ2461" s="61"/>
      <c r="SA2461" s="54"/>
      <c r="SB2461" s="54"/>
      <c r="SC2461" s="63"/>
      <c r="SD2461" s="60"/>
      <c r="SE2461" s="60"/>
      <c r="SF2461" s="60"/>
      <c r="SG2461" s="63"/>
      <c r="SH2461" s="61"/>
      <c r="SI2461" s="54"/>
      <c r="SJ2461" s="54"/>
      <c r="SK2461" s="63"/>
      <c r="SL2461" s="60"/>
      <c r="SM2461" s="60"/>
      <c r="SN2461" s="60"/>
      <c r="SO2461" s="63"/>
      <c r="SP2461" s="61"/>
      <c r="SQ2461" s="54"/>
      <c r="SR2461" s="54"/>
      <c r="SS2461" s="63"/>
      <c r="ST2461" s="60"/>
      <c r="SU2461" s="60"/>
      <c r="SV2461" s="60"/>
      <c r="SW2461" s="63"/>
      <c r="SX2461" s="61"/>
      <c r="SY2461" s="54"/>
      <c r="SZ2461" s="54"/>
      <c r="TA2461" s="63"/>
      <c r="TB2461" s="60"/>
      <c r="TC2461" s="60"/>
      <c r="TD2461" s="60"/>
      <c r="TE2461" s="63"/>
      <c r="TF2461" s="61"/>
      <c r="TG2461" s="54"/>
      <c r="TH2461" s="54"/>
      <c r="TI2461" s="63"/>
      <c r="TJ2461" s="60"/>
      <c r="TK2461" s="60"/>
      <c r="TL2461" s="60"/>
      <c r="TM2461" s="63"/>
      <c r="TN2461" s="61"/>
      <c r="TO2461" s="54"/>
      <c r="TP2461" s="54"/>
      <c r="TQ2461" s="63"/>
      <c r="TR2461" s="60"/>
      <c r="TS2461" s="60"/>
      <c r="TT2461" s="60"/>
      <c r="TU2461" s="63"/>
      <c r="TV2461" s="61"/>
      <c r="TW2461" s="54"/>
      <c r="TX2461" s="54"/>
      <c r="TY2461" s="63"/>
      <c r="TZ2461" s="60"/>
      <c r="UA2461" s="60"/>
      <c r="UB2461" s="60"/>
      <c r="UC2461" s="63"/>
      <c r="UD2461" s="61"/>
      <c r="UE2461" s="54"/>
      <c r="UF2461" s="54"/>
      <c r="UG2461" s="63"/>
      <c r="UH2461" s="60"/>
      <c r="UI2461" s="60"/>
      <c r="UJ2461" s="60"/>
      <c r="UK2461" s="63"/>
      <c r="UL2461" s="61"/>
      <c r="UM2461" s="54"/>
      <c r="UN2461" s="54"/>
      <c r="UO2461" s="63"/>
      <c r="UP2461" s="60"/>
      <c r="UQ2461" s="60"/>
      <c r="UR2461" s="60"/>
      <c r="US2461" s="63"/>
      <c r="UT2461" s="61"/>
      <c r="UU2461" s="54"/>
      <c r="UV2461" s="54"/>
      <c r="UW2461" s="63"/>
      <c r="UX2461" s="60"/>
      <c r="UY2461" s="60"/>
      <c r="UZ2461" s="60"/>
      <c r="VA2461" s="63"/>
      <c r="VB2461" s="61"/>
      <c r="VC2461" s="54"/>
      <c r="VD2461" s="54"/>
      <c r="VE2461" s="63"/>
      <c r="VF2461" s="60"/>
      <c r="VG2461" s="60"/>
      <c r="VH2461" s="60"/>
      <c r="VI2461" s="63"/>
      <c r="VJ2461" s="61"/>
      <c r="VK2461" s="54"/>
      <c r="VL2461" s="54"/>
      <c r="VM2461" s="63"/>
      <c r="VN2461" s="60"/>
      <c r="VO2461" s="60"/>
      <c r="VP2461" s="60"/>
      <c r="VQ2461" s="63"/>
      <c r="VR2461" s="61"/>
      <c r="VS2461" s="54"/>
      <c r="VT2461" s="54"/>
      <c r="VU2461" s="63"/>
      <c r="VV2461" s="60"/>
      <c r="VW2461" s="60"/>
      <c r="VX2461" s="60"/>
      <c r="VY2461" s="63"/>
      <c r="VZ2461" s="61"/>
      <c r="WA2461" s="54"/>
      <c r="WB2461" s="54"/>
      <c r="WC2461" s="63"/>
      <c r="WD2461" s="60"/>
      <c r="WE2461" s="60"/>
      <c r="WF2461" s="60"/>
      <c r="WG2461" s="63"/>
      <c r="WH2461" s="61"/>
      <c r="WI2461" s="54"/>
      <c r="WJ2461" s="54"/>
      <c r="WK2461" s="63"/>
      <c r="WL2461" s="60"/>
      <c r="WM2461" s="60"/>
      <c r="WN2461" s="60"/>
      <c r="WO2461" s="63"/>
      <c r="WP2461" s="61"/>
      <c r="WQ2461" s="54"/>
      <c r="WR2461" s="54"/>
      <c r="WS2461" s="63"/>
      <c r="WT2461" s="60"/>
      <c r="WU2461" s="60"/>
      <c r="WV2461" s="60"/>
      <c r="WW2461" s="63"/>
      <c r="WX2461" s="61"/>
      <c r="WY2461" s="54"/>
      <c r="WZ2461" s="54"/>
      <c r="XA2461" s="63"/>
      <c r="XB2461" s="60"/>
      <c r="XC2461" s="60"/>
      <c r="XD2461" s="60"/>
      <c r="XE2461" s="63"/>
      <c r="XF2461" s="61"/>
      <c r="XG2461" s="54"/>
      <c r="XH2461" s="54"/>
      <c r="XI2461" s="63"/>
      <c r="XJ2461" s="60"/>
      <c r="XK2461" s="60"/>
      <c r="XL2461" s="60"/>
      <c r="XM2461" s="63"/>
      <c r="XN2461" s="61"/>
      <c r="XO2461" s="54"/>
      <c r="XP2461" s="54"/>
      <c r="XQ2461" s="63"/>
      <c r="XR2461" s="60"/>
      <c r="XS2461" s="60"/>
      <c r="XT2461" s="60"/>
      <c r="XU2461" s="63"/>
      <c r="XV2461" s="61"/>
      <c r="XW2461" s="54"/>
      <c r="XX2461" s="54"/>
      <c r="XY2461" s="63"/>
      <c r="XZ2461" s="60"/>
      <c r="YA2461" s="60"/>
      <c r="YB2461" s="60"/>
      <c r="YC2461" s="63"/>
      <c r="YD2461" s="61"/>
      <c r="YE2461" s="54"/>
      <c r="YF2461" s="54"/>
      <c r="YG2461" s="63"/>
      <c r="YH2461" s="60"/>
      <c r="YI2461" s="60"/>
      <c r="YJ2461" s="60"/>
      <c r="YK2461" s="63"/>
      <c r="YL2461" s="61"/>
      <c r="YM2461" s="54"/>
      <c r="YN2461" s="54"/>
      <c r="YO2461" s="63"/>
      <c r="YP2461" s="60"/>
      <c r="YQ2461" s="60"/>
      <c r="YR2461" s="60"/>
      <c r="YS2461" s="63"/>
      <c r="YT2461" s="61"/>
      <c r="YU2461" s="54"/>
      <c r="YV2461" s="54"/>
      <c r="YW2461" s="63"/>
      <c r="YX2461" s="60"/>
      <c r="YY2461" s="60"/>
      <c r="YZ2461" s="60"/>
      <c r="ZA2461" s="63"/>
      <c r="ZB2461" s="61"/>
      <c r="ZC2461" s="54"/>
      <c r="ZD2461" s="54"/>
      <c r="ZE2461" s="63"/>
      <c r="ZF2461" s="60"/>
      <c r="ZG2461" s="60"/>
      <c r="ZH2461" s="60"/>
      <c r="ZI2461" s="63"/>
      <c r="ZJ2461" s="61"/>
      <c r="ZK2461" s="54"/>
      <c r="ZL2461" s="54"/>
      <c r="ZM2461" s="63"/>
      <c r="ZN2461" s="60"/>
      <c r="ZO2461" s="60"/>
      <c r="ZP2461" s="60"/>
      <c r="ZQ2461" s="63"/>
      <c r="ZR2461" s="61"/>
      <c r="ZS2461" s="54"/>
      <c r="ZT2461" s="54"/>
      <c r="ZU2461" s="63"/>
      <c r="ZV2461" s="60"/>
      <c r="ZW2461" s="60"/>
      <c r="ZX2461" s="60"/>
      <c r="ZY2461" s="63"/>
      <c r="ZZ2461" s="61"/>
      <c r="AAA2461" s="54"/>
      <c r="AAB2461" s="54"/>
      <c r="AAC2461" s="63"/>
      <c r="AAD2461" s="60"/>
      <c r="AAE2461" s="60"/>
      <c r="AAF2461" s="60"/>
      <c r="AAG2461" s="63"/>
      <c r="AAH2461" s="61"/>
      <c r="AAI2461" s="54"/>
      <c r="AAJ2461" s="54"/>
      <c r="AAK2461" s="63"/>
      <c r="AAL2461" s="60"/>
      <c r="AAM2461" s="60"/>
      <c r="AAN2461" s="60"/>
      <c r="AAO2461" s="63"/>
      <c r="AAP2461" s="61"/>
      <c r="AAQ2461" s="54"/>
      <c r="AAR2461" s="54"/>
      <c r="AAS2461" s="63"/>
      <c r="AAT2461" s="60"/>
      <c r="AAU2461" s="60"/>
      <c r="AAV2461" s="60"/>
      <c r="AAW2461" s="63"/>
      <c r="AAX2461" s="61"/>
      <c r="AAY2461" s="54"/>
      <c r="AAZ2461" s="54"/>
      <c r="ABA2461" s="63"/>
      <c r="ABB2461" s="60"/>
      <c r="ABC2461" s="60"/>
      <c r="ABD2461" s="60"/>
      <c r="ABE2461" s="63"/>
      <c r="ABF2461" s="61"/>
      <c r="ABG2461" s="54"/>
      <c r="ABH2461" s="54"/>
      <c r="ABI2461" s="63"/>
      <c r="ABJ2461" s="60"/>
      <c r="ABK2461" s="60"/>
      <c r="ABL2461" s="60"/>
      <c r="ABM2461" s="63"/>
      <c r="ABN2461" s="61"/>
      <c r="ABO2461" s="54"/>
      <c r="ABP2461" s="54"/>
      <c r="ABQ2461" s="63"/>
      <c r="ABR2461" s="60"/>
      <c r="ABS2461" s="60"/>
      <c r="ABT2461" s="60"/>
      <c r="ABU2461" s="63"/>
      <c r="ABV2461" s="61"/>
      <c r="ABW2461" s="54"/>
      <c r="ABX2461" s="54"/>
      <c r="ABY2461" s="63"/>
      <c r="ABZ2461" s="60"/>
      <c r="ACA2461" s="60"/>
      <c r="ACB2461" s="60"/>
      <c r="ACC2461" s="63"/>
      <c r="ACD2461" s="61"/>
      <c r="ACE2461" s="54"/>
      <c r="ACF2461" s="54"/>
      <c r="ACG2461" s="63"/>
      <c r="ACH2461" s="60"/>
      <c r="ACI2461" s="60"/>
      <c r="ACJ2461" s="60"/>
      <c r="ACK2461" s="63"/>
      <c r="ACL2461" s="61"/>
      <c r="ACM2461" s="54"/>
      <c r="ACN2461" s="54"/>
      <c r="ACO2461" s="63"/>
      <c r="ACP2461" s="60"/>
      <c r="ACQ2461" s="60"/>
      <c r="ACR2461" s="60"/>
      <c r="ACS2461" s="63"/>
      <c r="ACT2461" s="61"/>
      <c r="ACU2461" s="54"/>
      <c r="ACV2461" s="54"/>
      <c r="ACW2461" s="63"/>
      <c r="ACX2461" s="60"/>
      <c r="ACY2461" s="60"/>
      <c r="ACZ2461" s="60"/>
      <c r="ADA2461" s="63"/>
      <c r="ADB2461" s="61"/>
      <c r="ADC2461" s="54"/>
      <c r="ADD2461" s="54"/>
      <c r="ADE2461" s="63"/>
      <c r="ADF2461" s="60"/>
      <c r="ADG2461" s="60"/>
      <c r="ADH2461" s="60"/>
      <c r="ADI2461" s="63"/>
      <c r="ADJ2461" s="61"/>
      <c r="ADK2461" s="54"/>
      <c r="ADL2461" s="54"/>
      <c r="ADM2461" s="63"/>
      <c r="ADN2461" s="60"/>
      <c r="ADO2461" s="60"/>
      <c r="ADP2461" s="60"/>
      <c r="ADQ2461" s="63"/>
      <c r="ADR2461" s="61"/>
      <c r="ADS2461" s="54"/>
      <c r="ADT2461" s="54"/>
      <c r="ADU2461" s="63"/>
      <c r="ADV2461" s="60"/>
      <c r="ADW2461" s="60"/>
      <c r="ADX2461" s="60"/>
      <c r="ADY2461" s="63"/>
      <c r="ADZ2461" s="61"/>
      <c r="AEA2461" s="54"/>
      <c r="AEB2461" s="54"/>
      <c r="AEC2461" s="63"/>
      <c r="AED2461" s="60"/>
      <c r="AEE2461" s="60"/>
      <c r="AEF2461" s="60"/>
      <c r="AEG2461" s="63"/>
      <c r="AEH2461" s="61"/>
      <c r="AEI2461" s="54"/>
      <c r="AEJ2461" s="54"/>
      <c r="AEK2461" s="63"/>
      <c r="AEL2461" s="60"/>
      <c r="AEM2461" s="60"/>
      <c r="AEN2461" s="60"/>
      <c r="AEO2461" s="63"/>
      <c r="AEP2461" s="61"/>
      <c r="AEQ2461" s="54"/>
      <c r="AER2461" s="54"/>
      <c r="AES2461" s="63"/>
      <c r="AET2461" s="60"/>
      <c r="AEU2461" s="60"/>
      <c r="AEV2461" s="60"/>
      <c r="AEW2461" s="63"/>
      <c r="AEX2461" s="61"/>
      <c r="AEY2461" s="54"/>
      <c r="AEZ2461" s="54"/>
      <c r="AFA2461" s="63"/>
      <c r="AFB2461" s="60"/>
      <c r="AFC2461" s="60"/>
      <c r="AFD2461" s="60"/>
      <c r="AFE2461" s="63"/>
      <c r="AFF2461" s="61"/>
      <c r="AFG2461" s="54"/>
      <c r="AFH2461" s="54"/>
      <c r="AFI2461" s="63"/>
      <c r="AFJ2461" s="60"/>
      <c r="AFK2461" s="60"/>
      <c r="AFL2461" s="60"/>
      <c r="AFM2461" s="63"/>
      <c r="AFN2461" s="61"/>
      <c r="AFO2461" s="54"/>
      <c r="AFP2461" s="54"/>
      <c r="AFQ2461" s="63"/>
      <c r="AFR2461" s="60"/>
      <c r="AFS2461" s="60"/>
      <c r="AFT2461" s="60"/>
      <c r="AFU2461" s="63"/>
      <c r="AFV2461" s="61"/>
      <c r="AFW2461" s="54"/>
      <c r="AFX2461" s="54"/>
      <c r="AFY2461" s="63"/>
      <c r="AFZ2461" s="60"/>
      <c r="AGA2461" s="60"/>
      <c r="AGB2461" s="60"/>
      <c r="AGC2461" s="63"/>
      <c r="AGD2461" s="61"/>
      <c r="AGE2461" s="54"/>
      <c r="AGF2461" s="54"/>
      <c r="AGG2461" s="63"/>
      <c r="AGH2461" s="60"/>
      <c r="AGI2461" s="60"/>
      <c r="AGJ2461" s="60"/>
      <c r="AGK2461" s="63"/>
      <c r="AGL2461" s="61"/>
      <c r="AGM2461" s="54"/>
      <c r="AGN2461" s="54"/>
      <c r="AGO2461" s="63"/>
      <c r="AGP2461" s="60"/>
      <c r="AGQ2461" s="60"/>
      <c r="AGR2461" s="60"/>
      <c r="AGS2461" s="63"/>
      <c r="AGT2461" s="61"/>
      <c r="AGU2461" s="54"/>
      <c r="AGV2461" s="54"/>
      <c r="AGW2461" s="63"/>
      <c r="AGX2461" s="60"/>
      <c r="AGY2461" s="60"/>
      <c r="AGZ2461" s="60"/>
      <c r="AHA2461" s="63"/>
      <c r="AHB2461" s="61"/>
      <c r="AHC2461" s="54"/>
      <c r="AHD2461" s="54"/>
      <c r="AHE2461" s="63"/>
      <c r="AHF2461" s="60"/>
      <c r="AHG2461" s="60"/>
      <c r="AHH2461" s="60"/>
      <c r="AHI2461" s="63"/>
      <c r="AHJ2461" s="61"/>
      <c r="AHK2461" s="54"/>
      <c r="AHL2461" s="54"/>
      <c r="AHM2461" s="63"/>
      <c r="AHN2461" s="60"/>
      <c r="AHO2461" s="60"/>
      <c r="AHP2461" s="60"/>
      <c r="AHQ2461" s="63"/>
      <c r="AHR2461" s="61"/>
      <c r="AHS2461" s="54"/>
      <c r="AHT2461" s="54"/>
      <c r="AHU2461" s="63"/>
      <c r="AHV2461" s="60"/>
      <c r="AHW2461" s="60"/>
      <c r="AHX2461" s="60"/>
      <c r="AHY2461" s="63"/>
      <c r="AHZ2461" s="61"/>
      <c r="AIA2461" s="54"/>
      <c r="AIB2461" s="54"/>
      <c r="AIC2461" s="63"/>
      <c r="AID2461" s="60"/>
      <c r="AIE2461" s="60"/>
      <c r="AIF2461" s="60"/>
      <c r="AIG2461" s="63"/>
      <c r="AIH2461" s="61"/>
      <c r="AII2461" s="54"/>
      <c r="AIJ2461" s="54"/>
      <c r="AIK2461" s="63"/>
      <c r="AIL2461" s="60"/>
      <c r="AIM2461" s="60"/>
      <c r="AIN2461" s="60"/>
      <c r="AIO2461" s="63"/>
      <c r="AIP2461" s="61"/>
      <c r="AIQ2461" s="54"/>
      <c r="AIR2461" s="54"/>
      <c r="AIS2461" s="63"/>
      <c r="AIT2461" s="60"/>
      <c r="AIU2461" s="60"/>
      <c r="AIV2461" s="60"/>
      <c r="AIW2461" s="63"/>
      <c r="AIX2461" s="61"/>
      <c r="AIY2461" s="54"/>
      <c r="AIZ2461" s="54"/>
      <c r="AJA2461" s="63"/>
      <c r="AJB2461" s="60"/>
      <c r="AJC2461" s="60"/>
      <c r="AJD2461" s="60"/>
      <c r="AJE2461" s="63"/>
      <c r="AJF2461" s="61"/>
      <c r="AJG2461" s="54"/>
      <c r="AJH2461" s="54"/>
      <c r="AJI2461" s="63"/>
      <c r="AJJ2461" s="60"/>
      <c r="AJK2461" s="60"/>
      <c r="AJL2461" s="60"/>
      <c r="AJM2461" s="63"/>
      <c r="AJN2461" s="61"/>
      <c r="AJO2461" s="54"/>
      <c r="AJP2461" s="54"/>
      <c r="AJQ2461" s="63"/>
      <c r="AJR2461" s="60"/>
      <c r="AJS2461" s="60"/>
      <c r="AJT2461" s="60"/>
      <c r="AJU2461" s="63"/>
      <c r="AJV2461" s="61"/>
      <c r="AJW2461" s="54"/>
      <c r="AJX2461" s="54"/>
      <c r="AJY2461" s="63"/>
      <c r="AJZ2461" s="60"/>
      <c r="AKA2461" s="60"/>
      <c r="AKB2461" s="60"/>
      <c r="AKC2461" s="63"/>
      <c r="AKD2461" s="61"/>
      <c r="AKE2461" s="54"/>
      <c r="AKF2461" s="54"/>
      <c r="AKG2461" s="63"/>
      <c r="AKH2461" s="60"/>
      <c r="AKI2461" s="60"/>
      <c r="AKJ2461" s="60"/>
      <c r="AKK2461" s="63"/>
      <c r="AKL2461" s="61"/>
      <c r="AKM2461" s="54"/>
      <c r="AKN2461" s="54"/>
      <c r="AKO2461" s="63"/>
      <c r="AKP2461" s="60"/>
      <c r="AKQ2461" s="60"/>
      <c r="AKR2461" s="60"/>
      <c r="AKS2461" s="63"/>
      <c r="AKT2461" s="61"/>
      <c r="AKU2461" s="54"/>
      <c r="AKV2461" s="54"/>
      <c r="AKW2461" s="63"/>
      <c r="AKX2461" s="60"/>
      <c r="AKY2461" s="60"/>
      <c r="AKZ2461" s="60"/>
      <c r="ALA2461" s="63"/>
      <c r="ALB2461" s="61"/>
      <c r="ALC2461" s="54"/>
      <c r="ALD2461" s="54"/>
      <c r="ALE2461" s="63"/>
      <c r="ALF2461" s="60"/>
      <c r="ALG2461" s="60"/>
      <c r="ALH2461" s="60"/>
      <c r="ALI2461" s="63"/>
      <c r="ALJ2461" s="61"/>
      <c r="ALK2461" s="54"/>
      <c r="ALL2461" s="54"/>
      <c r="ALM2461" s="63"/>
      <c r="ALN2461" s="60"/>
      <c r="ALO2461" s="60"/>
      <c r="ALP2461" s="60"/>
      <c r="ALQ2461" s="63"/>
      <c r="ALR2461" s="61"/>
      <c r="ALS2461" s="54"/>
      <c r="ALT2461" s="54"/>
      <c r="ALU2461" s="63"/>
      <c r="ALV2461" s="60"/>
      <c r="ALW2461" s="60"/>
      <c r="ALX2461" s="60"/>
      <c r="ALY2461" s="63"/>
      <c r="ALZ2461" s="61"/>
      <c r="AMA2461" s="54"/>
      <c r="AMB2461" s="54"/>
      <c r="AMC2461" s="63"/>
      <c r="AMD2461" s="60"/>
      <c r="AME2461" s="60"/>
      <c r="AMF2461" s="60"/>
      <c r="AMG2461" s="63"/>
      <c r="AMH2461" s="61"/>
      <c r="AMI2461" s="54"/>
      <c r="AMJ2461" s="54"/>
      <c r="AMK2461" s="63"/>
      <c r="AML2461" s="60"/>
      <c r="AMM2461" s="60"/>
      <c r="AMN2461" s="60"/>
      <c r="AMO2461" s="63"/>
      <c r="AMP2461" s="61"/>
      <c r="AMQ2461" s="54"/>
      <c r="AMR2461" s="54"/>
      <c r="AMS2461" s="63"/>
      <c r="AMT2461" s="60"/>
      <c r="AMU2461" s="60"/>
      <c r="AMV2461" s="60"/>
      <c r="AMW2461" s="63"/>
      <c r="AMX2461" s="61"/>
      <c r="AMY2461" s="54"/>
      <c r="AMZ2461" s="54"/>
      <c r="ANA2461" s="63"/>
      <c r="ANB2461" s="60"/>
      <c r="ANC2461" s="60"/>
      <c r="AND2461" s="60"/>
      <c r="ANE2461" s="63"/>
      <c r="ANF2461" s="61"/>
      <c r="ANG2461" s="54"/>
      <c r="ANH2461" s="54"/>
      <c r="ANI2461" s="63"/>
      <c r="ANJ2461" s="60"/>
      <c r="ANK2461" s="60"/>
      <c r="ANL2461" s="60"/>
      <c r="ANM2461" s="63"/>
      <c r="ANN2461" s="61"/>
      <c r="ANO2461" s="54"/>
      <c r="ANP2461" s="54"/>
      <c r="ANQ2461" s="63"/>
      <c r="ANR2461" s="60"/>
      <c r="ANS2461" s="60"/>
      <c r="ANT2461" s="60"/>
      <c r="ANU2461" s="63"/>
      <c r="ANV2461" s="61"/>
      <c r="ANW2461" s="54"/>
      <c r="ANX2461" s="54"/>
      <c r="ANY2461" s="63"/>
      <c r="ANZ2461" s="60"/>
      <c r="AOA2461" s="60"/>
      <c r="AOB2461" s="60"/>
      <c r="AOC2461" s="63"/>
      <c r="AOD2461" s="61"/>
      <c r="AOE2461" s="54"/>
      <c r="AOF2461" s="54"/>
      <c r="AOG2461" s="63"/>
      <c r="AOH2461" s="60"/>
      <c r="AOI2461" s="60"/>
      <c r="AOJ2461" s="60"/>
      <c r="AOK2461" s="63"/>
      <c r="AOL2461" s="61"/>
      <c r="AOM2461" s="54"/>
      <c r="AON2461" s="54"/>
      <c r="AOO2461" s="63"/>
      <c r="AOP2461" s="60"/>
      <c r="AOQ2461" s="60"/>
      <c r="AOR2461" s="60"/>
      <c r="AOS2461" s="63"/>
      <c r="AOT2461" s="61"/>
      <c r="AOU2461" s="54"/>
      <c r="AOV2461" s="54"/>
      <c r="AOW2461" s="63"/>
      <c r="AOX2461" s="60"/>
      <c r="AOY2461" s="60"/>
      <c r="AOZ2461" s="60"/>
      <c r="APA2461" s="63"/>
      <c r="APB2461" s="61"/>
      <c r="APC2461" s="54"/>
      <c r="APD2461" s="54"/>
      <c r="APE2461" s="63"/>
      <c r="APF2461" s="60"/>
      <c r="APG2461" s="60"/>
      <c r="APH2461" s="60"/>
      <c r="API2461" s="63"/>
      <c r="APJ2461" s="61"/>
      <c r="APK2461" s="54"/>
      <c r="APL2461" s="54"/>
      <c r="APM2461" s="63"/>
      <c r="APN2461" s="60"/>
      <c r="APO2461" s="60"/>
      <c r="APP2461" s="60"/>
      <c r="APQ2461" s="63"/>
      <c r="APR2461" s="61"/>
      <c r="APS2461" s="54"/>
      <c r="APT2461" s="54"/>
      <c r="APU2461" s="63"/>
      <c r="APV2461" s="60"/>
      <c r="APW2461" s="60"/>
      <c r="APX2461" s="60"/>
      <c r="APY2461" s="63"/>
      <c r="APZ2461" s="61"/>
      <c r="AQA2461" s="54"/>
      <c r="AQB2461" s="54"/>
      <c r="AQC2461" s="63"/>
      <c r="AQD2461" s="60"/>
      <c r="AQE2461" s="60"/>
      <c r="AQF2461" s="60"/>
      <c r="AQG2461" s="63"/>
      <c r="AQH2461" s="61"/>
      <c r="AQI2461" s="54"/>
      <c r="AQJ2461" s="54"/>
      <c r="AQK2461" s="63"/>
      <c r="AQL2461" s="60"/>
      <c r="AQM2461" s="60"/>
      <c r="AQN2461" s="60"/>
      <c r="AQO2461" s="63"/>
      <c r="AQP2461" s="61"/>
      <c r="AQQ2461" s="54"/>
      <c r="AQR2461" s="54"/>
      <c r="AQS2461" s="63"/>
      <c r="AQT2461" s="60"/>
      <c r="AQU2461" s="60"/>
      <c r="AQV2461" s="60"/>
      <c r="AQW2461" s="63"/>
      <c r="AQX2461" s="61"/>
      <c r="AQY2461" s="54"/>
      <c r="AQZ2461" s="54"/>
      <c r="ARA2461" s="63"/>
      <c r="ARB2461" s="60"/>
      <c r="ARC2461" s="60"/>
      <c r="ARD2461" s="60"/>
      <c r="ARE2461" s="63"/>
      <c r="ARF2461" s="61"/>
      <c r="ARG2461" s="54"/>
      <c r="ARH2461" s="54"/>
      <c r="ARI2461" s="63"/>
      <c r="ARJ2461" s="60"/>
      <c r="ARK2461" s="60"/>
      <c r="ARL2461" s="60"/>
      <c r="ARM2461" s="63"/>
      <c r="ARN2461" s="61"/>
      <c r="ARO2461" s="54"/>
      <c r="ARP2461" s="54"/>
      <c r="ARQ2461" s="63"/>
      <c r="ARR2461" s="60"/>
      <c r="ARS2461" s="60"/>
      <c r="ART2461" s="60"/>
      <c r="ARU2461" s="63"/>
      <c r="ARV2461" s="61"/>
      <c r="ARW2461" s="54"/>
      <c r="ARX2461" s="54"/>
      <c r="ARY2461" s="63"/>
      <c r="ARZ2461" s="60"/>
      <c r="ASA2461" s="60"/>
      <c r="ASB2461" s="60"/>
      <c r="ASC2461" s="63"/>
      <c r="ASD2461" s="61"/>
      <c r="ASE2461" s="54"/>
      <c r="ASF2461" s="54"/>
      <c r="ASG2461" s="63"/>
      <c r="ASH2461" s="60"/>
      <c r="ASI2461" s="60"/>
      <c r="ASJ2461" s="60"/>
      <c r="ASK2461" s="63"/>
      <c r="ASL2461" s="61"/>
      <c r="ASM2461" s="54"/>
      <c r="ASN2461" s="54"/>
      <c r="ASO2461" s="63"/>
      <c r="ASP2461" s="60"/>
      <c r="ASQ2461" s="60"/>
      <c r="ASR2461" s="60"/>
      <c r="ASS2461" s="63"/>
      <c r="AST2461" s="61"/>
      <c r="ASU2461" s="54"/>
      <c r="ASV2461" s="54"/>
      <c r="ASW2461" s="63"/>
      <c r="ASX2461" s="60"/>
      <c r="ASY2461" s="60"/>
      <c r="ASZ2461" s="60"/>
      <c r="ATA2461" s="63"/>
      <c r="ATB2461" s="61"/>
      <c r="ATC2461" s="54"/>
      <c r="ATD2461" s="54"/>
      <c r="ATE2461" s="63"/>
      <c r="ATF2461" s="60"/>
      <c r="ATG2461" s="60"/>
      <c r="ATH2461" s="60"/>
      <c r="ATI2461" s="63"/>
      <c r="ATJ2461" s="61"/>
      <c r="ATK2461" s="54"/>
      <c r="ATL2461" s="54"/>
      <c r="ATM2461" s="63"/>
      <c r="ATN2461" s="60"/>
      <c r="ATO2461" s="60"/>
      <c r="ATP2461" s="60"/>
      <c r="ATQ2461" s="63"/>
      <c r="ATR2461" s="61"/>
      <c r="ATS2461" s="54"/>
      <c r="ATT2461" s="54"/>
      <c r="ATU2461" s="63"/>
      <c r="ATV2461" s="60"/>
      <c r="ATW2461" s="60"/>
      <c r="ATX2461" s="60"/>
      <c r="ATY2461" s="63"/>
      <c r="ATZ2461" s="61"/>
      <c r="AUA2461" s="54"/>
      <c r="AUB2461" s="54"/>
      <c r="AUC2461" s="63"/>
      <c r="AUD2461" s="60"/>
      <c r="AUE2461" s="60"/>
      <c r="AUF2461" s="60"/>
      <c r="AUG2461" s="63"/>
      <c r="AUH2461" s="61"/>
      <c r="AUI2461" s="54"/>
      <c r="AUJ2461" s="54"/>
      <c r="AUK2461" s="63"/>
      <c r="AUL2461" s="60"/>
      <c r="AUM2461" s="60"/>
      <c r="AUN2461" s="60"/>
      <c r="AUO2461" s="63"/>
      <c r="AUP2461" s="61"/>
      <c r="AUQ2461" s="54"/>
      <c r="AUR2461" s="54"/>
      <c r="AUS2461" s="63"/>
      <c r="AUT2461" s="60"/>
      <c r="AUU2461" s="60"/>
      <c r="AUV2461" s="60"/>
      <c r="AUW2461" s="63"/>
      <c r="AUX2461" s="61"/>
      <c r="AUY2461" s="54"/>
      <c r="AUZ2461" s="54"/>
      <c r="AVA2461" s="63"/>
      <c r="AVB2461" s="60"/>
      <c r="AVC2461" s="60"/>
      <c r="AVD2461" s="60"/>
      <c r="AVE2461" s="63"/>
      <c r="AVF2461" s="61"/>
      <c r="AVG2461" s="54"/>
      <c r="AVH2461" s="54"/>
      <c r="AVI2461" s="63"/>
      <c r="AVJ2461" s="60"/>
      <c r="AVK2461" s="60"/>
      <c r="AVL2461" s="60"/>
      <c r="AVM2461" s="63"/>
      <c r="AVN2461" s="61"/>
      <c r="AVO2461" s="54"/>
      <c r="AVP2461" s="54"/>
      <c r="AVQ2461" s="63"/>
      <c r="AVR2461" s="60"/>
      <c r="AVS2461" s="60"/>
      <c r="AVT2461" s="60"/>
      <c r="AVU2461" s="63"/>
      <c r="AVV2461" s="61"/>
      <c r="AVW2461" s="54"/>
      <c r="AVX2461" s="54"/>
      <c r="AVY2461" s="63"/>
      <c r="AVZ2461" s="60"/>
      <c r="AWA2461" s="60"/>
      <c r="AWB2461" s="60"/>
      <c r="AWC2461" s="63"/>
      <c r="AWD2461" s="61"/>
      <c r="AWE2461" s="54"/>
      <c r="AWF2461" s="54"/>
      <c r="AWG2461" s="63"/>
      <c r="AWH2461" s="60"/>
      <c r="AWI2461" s="60"/>
      <c r="AWJ2461" s="60"/>
      <c r="AWK2461" s="63"/>
      <c r="AWL2461" s="61"/>
      <c r="AWM2461" s="54"/>
      <c r="AWN2461" s="54"/>
      <c r="AWO2461" s="63"/>
      <c r="AWP2461" s="60"/>
      <c r="AWQ2461" s="60"/>
      <c r="AWR2461" s="60"/>
      <c r="AWS2461" s="63"/>
      <c r="AWT2461" s="61"/>
      <c r="AWU2461" s="54"/>
      <c r="AWV2461" s="54"/>
      <c r="AWW2461" s="63"/>
      <c r="AWX2461" s="60"/>
      <c r="AWY2461" s="60"/>
      <c r="AWZ2461" s="60"/>
      <c r="AXA2461" s="63"/>
      <c r="AXB2461" s="61"/>
      <c r="AXC2461" s="54"/>
      <c r="AXD2461" s="54"/>
      <c r="AXE2461" s="63"/>
      <c r="AXF2461" s="60"/>
      <c r="AXG2461" s="60"/>
      <c r="AXH2461" s="60"/>
      <c r="AXI2461" s="63"/>
      <c r="AXJ2461" s="61"/>
      <c r="AXK2461" s="54"/>
      <c r="AXL2461" s="54"/>
      <c r="AXM2461" s="63"/>
      <c r="AXN2461" s="60"/>
      <c r="AXO2461" s="60"/>
      <c r="AXP2461" s="60"/>
      <c r="AXQ2461" s="63"/>
      <c r="AXR2461" s="61"/>
      <c r="AXS2461" s="54"/>
      <c r="AXT2461" s="54"/>
      <c r="AXU2461" s="63"/>
      <c r="AXV2461" s="60"/>
      <c r="AXW2461" s="60"/>
      <c r="AXX2461" s="60"/>
      <c r="AXY2461" s="63"/>
      <c r="AXZ2461" s="61"/>
      <c r="AYA2461" s="54"/>
      <c r="AYB2461" s="54"/>
      <c r="AYC2461" s="63"/>
      <c r="AYD2461" s="60"/>
      <c r="AYE2461" s="60"/>
      <c r="AYF2461" s="60"/>
      <c r="AYG2461" s="63"/>
      <c r="AYH2461" s="61"/>
      <c r="AYI2461" s="54"/>
      <c r="AYJ2461" s="54"/>
      <c r="AYK2461" s="63"/>
      <c r="AYL2461" s="60"/>
      <c r="AYM2461" s="60"/>
      <c r="AYN2461" s="60"/>
      <c r="AYO2461" s="63"/>
      <c r="AYP2461" s="61"/>
      <c r="AYQ2461" s="54"/>
      <c r="AYR2461" s="54"/>
      <c r="AYS2461" s="63"/>
      <c r="AYT2461" s="60"/>
      <c r="AYU2461" s="60"/>
      <c r="AYV2461" s="60"/>
      <c r="AYW2461" s="63"/>
      <c r="AYX2461" s="61"/>
      <c r="AYY2461" s="54"/>
      <c r="AYZ2461" s="54"/>
      <c r="AZA2461" s="63"/>
      <c r="AZB2461" s="60"/>
      <c r="AZC2461" s="60"/>
      <c r="AZD2461" s="60"/>
      <c r="AZE2461" s="63"/>
      <c r="AZF2461" s="61"/>
      <c r="AZG2461" s="54"/>
      <c r="AZH2461" s="54"/>
      <c r="AZI2461" s="63"/>
      <c r="AZJ2461" s="60"/>
      <c r="AZK2461" s="60"/>
      <c r="AZL2461" s="60"/>
      <c r="AZM2461" s="63"/>
      <c r="AZN2461" s="61"/>
      <c r="AZO2461" s="54"/>
      <c r="AZP2461" s="54"/>
      <c r="AZQ2461" s="63"/>
      <c r="AZR2461" s="60"/>
      <c r="AZS2461" s="60"/>
      <c r="AZT2461" s="60"/>
      <c r="AZU2461" s="63"/>
      <c r="AZV2461" s="61"/>
      <c r="AZW2461" s="54"/>
      <c r="AZX2461" s="54"/>
      <c r="AZY2461" s="63"/>
      <c r="AZZ2461" s="60"/>
      <c r="BAA2461" s="60"/>
      <c r="BAB2461" s="60"/>
      <c r="BAC2461" s="63"/>
      <c r="BAD2461" s="61"/>
      <c r="BAE2461" s="54"/>
      <c r="BAF2461" s="54"/>
      <c r="BAG2461" s="63"/>
      <c r="BAH2461" s="60"/>
      <c r="BAI2461" s="60"/>
      <c r="BAJ2461" s="60"/>
      <c r="BAK2461" s="63"/>
      <c r="BAL2461" s="61"/>
      <c r="BAM2461" s="54"/>
      <c r="BAN2461" s="54"/>
      <c r="BAO2461" s="63"/>
      <c r="BAP2461" s="60"/>
      <c r="BAQ2461" s="60"/>
      <c r="BAR2461" s="60"/>
      <c r="BAS2461" s="63"/>
      <c r="BAT2461" s="61"/>
      <c r="BAU2461" s="54"/>
      <c r="BAV2461" s="54"/>
      <c r="BAW2461" s="63"/>
      <c r="BAX2461" s="60"/>
      <c r="BAY2461" s="60"/>
      <c r="BAZ2461" s="60"/>
      <c r="BBA2461" s="63"/>
      <c r="BBB2461" s="61"/>
      <c r="BBC2461" s="54"/>
      <c r="BBD2461" s="54"/>
      <c r="BBE2461" s="63"/>
      <c r="BBF2461" s="60"/>
      <c r="BBG2461" s="60"/>
      <c r="BBH2461" s="60"/>
      <c r="BBI2461" s="63"/>
      <c r="BBJ2461" s="61"/>
      <c r="BBK2461" s="54"/>
      <c r="BBL2461" s="54"/>
      <c r="BBM2461" s="63"/>
      <c r="BBN2461" s="60"/>
      <c r="BBO2461" s="60"/>
      <c r="BBP2461" s="60"/>
      <c r="BBQ2461" s="63"/>
      <c r="BBR2461" s="61"/>
      <c r="BBS2461" s="54"/>
      <c r="BBT2461" s="54"/>
      <c r="BBU2461" s="63"/>
      <c r="BBV2461" s="60"/>
      <c r="BBW2461" s="60"/>
      <c r="BBX2461" s="60"/>
      <c r="BBY2461" s="63"/>
      <c r="BBZ2461" s="61"/>
      <c r="BCA2461" s="54"/>
      <c r="BCB2461" s="54"/>
      <c r="BCC2461" s="63"/>
      <c r="BCD2461" s="60"/>
      <c r="BCE2461" s="60"/>
      <c r="BCF2461" s="60"/>
      <c r="BCG2461" s="63"/>
      <c r="BCH2461" s="61"/>
      <c r="BCI2461" s="54"/>
      <c r="BCJ2461" s="54"/>
      <c r="BCK2461" s="63"/>
      <c r="BCL2461" s="60"/>
      <c r="BCM2461" s="60"/>
      <c r="BCN2461" s="60"/>
      <c r="BCO2461" s="63"/>
      <c r="BCP2461" s="61"/>
      <c r="BCQ2461" s="54"/>
      <c r="BCR2461" s="54"/>
      <c r="BCS2461" s="63"/>
      <c r="BCT2461" s="60"/>
      <c r="BCU2461" s="60"/>
      <c r="BCV2461" s="60"/>
      <c r="BCW2461" s="63"/>
      <c r="BCX2461" s="61"/>
      <c r="BCY2461" s="54"/>
      <c r="BCZ2461" s="54"/>
      <c r="BDA2461" s="63"/>
      <c r="BDB2461" s="60"/>
      <c r="BDC2461" s="60"/>
      <c r="BDD2461" s="60"/>
      <c r="BDE2461" s="63"/>
      <c r="BDF2461" s="61"/>
      <c r="BDG2461" s="54"/>
      <c r="BDH2461" s="54"/>
      <c r="BDI2461" s="63"/>
      <c r="BDJ2461" s="60"/>
      <c r="BDK2461" s="60"/>
      <c r="BDL2461" s="60"/>
      <c r="BDM2461" s="63"/>
      <c r="BDN2461" s="61"/>
      <c r="BDO2461" s="54"/>
      <c r="BDP2461" s="54"/>
      <c r="BDQ2461" s="63"/>
      <c r="BDR2461" s="60"/>
      <c r="BDS2461" s="60"/>
      <c r="BDT2461" s="60"/>
      <c r="BDU2461" s="63"/>
      <c r="BDV2461" s="61"/>
      <c r="BDW2461" s="54"/>
      <c r="BDX2461" s="54"/>
      <c r="BDY2461" s="63"/>
      <c r="BDZ2461" s="60"/>
      <c r="BEA2461" s="60"/>
      <c r="BEB2461" s="60"/>
      <c r="BEC2461" s="63"/>
      <c r="BED2461" s="61"/>
      <c r="BEE2461" s="54"/>
      <c r="BEF2461" s="54"/>
      <c r="BEG2461" s="63"/>
      <c r="BEH2461" s="60"/>
      <c r="BEI2461" s="60"/>
      <c r="BEJ2461" s="60"/>
      <c r="BEK2461" s="63"/>
      <c r="BEL2461" s="61"/>
      <c r="BEM2461" s="54"/>
      <c r="BEN2461" s="54"/>
      <c r="BEO2461" s="63"/>
      <c r="BEP2461" s="60"/>
      <c r="BEQ2461" s="60"/>
      <c r="BER2461" s="60"/>
      <c r="BES2461" s="63"/>
      <c r="BET2461" s="61"/>
      <c r="BEU2461" s="54"/>
      <c r="BEV2461" s="54"/>
      <c r="BEW2461" s="63"/>
      <c r="BEX2461" s="60"/>
      <c r="BEY2461" s="60"/>
      <c r="BEZ2461" s="60"/>
      <c r="BFA2461" s="63"/>
      <c r="BFB2461" s="61"/>
      <c r="BFC2461" s="54"/>
      <c r="BFD2461" s="54"/>
      <c r="BFE2461" s="63"/>
      <c r="BFF2461" s="60"/>
      <c r="BFG2461" s="60"/>
      <c r="BFH2461" s="60"/>
      <c r="BFI2461" s="63"/>
      <c r="BFJ2461" s="61"/>
      <c r="BFK2461" s="54"/>
      <c r="BFL2461" s="54"/>
      <c r="BFM2461" s="63"/>
      <c r="BFN2461" s="60"/>
      <c r="BFO2461" s="60"/>
      <c r="BFP2461" s="60"/>
      <c r="BFQ2461" s="63"/>
      <c r="BFR2461" s="61"/>
      <c r="BFS2461" s="54"/>
      <c r="BFT2461" s="54"/>
      <c r="BFU2461" s="63"/>
      <c r="BFV2461" s="60"/>
      <c r="BFW2461" s="60"/>
      <c r="BFX2461" s="60"/>
      <c r="BFY2461" s="63"/>
      <c r="BFZ2461" s="61"/>
      <c r="BGA2461" s="54"/>
      <c r="BGB2461" s="54"/>
      <c r="BGC2461" s="63"/>
      <c r="BGD2461" s="60"/>
      <c r="BGE2461" s="60"/>
      <c r="BGF2461" s="60"/>
      <c r="BGG2461" s="63"/>
      <c r="BGH2461" s="61"/>
      <c r="BGI2461" s="54"/>
      <c r="BGJ2461" s="54"/>
      <c r="BGK2461" s="63"/>
      <c r="BGL2461" s="60"/>
      <c r="BGM2461" s="60"/>
      <c r="BGN2461" s="60"/>
      <c r="BGO2461" s="63"/>
      <c r="BGP2461" s="61"/>
      <c r="BGQ2461" s="54"/>
      <c r="BGR2461" s="54"/>
      <c r="BGS2461" s="63"/>
      <c r="BGT2461" s="60"/>
      <c r="BGU2461" s="60"/>
      <c r="BGV2461" s="60"/>
      <c r="BGW2461" s="63"/>
      <c r="BGX2461" s="61"/>
      <c r="BGY2461" s="54"/>
      <c r="BGZ2461" s="54"/>
      <c r="BHA2461" s="63"/>
      <c r="BHB2461" s="60"/>
      <c r="BHC2461" s="60"/>
      <c r="BHD2461" s="60"/>
      <c r="BHE2461" s="63"/>
      <c r="BHF2461" s="61"/>
      <c r="BHG2461" s="54"/>
      <c r="BHH2461" s="54"/>
      <c r="BHI2461" s="63"/>
      <c r="BHJ2461" s="60"/>
      <c r="BHK2461" s="60"/>
      <c r="BHL2461" s="60"/>
      <c r="BHM2461" s="63"/>
      <c r="BHN2461" s="61"/>
      <c r="BHO2461" s="54"/>
      <c r="BHP2461" s="54"/>
      <c r="BHQ2461" s="63"/>
      <c r="BHR2461" s="60"/>
      <c r="BHS2461" s="60"/>
      <c r="BHT2461" s="60"/>
      <c r="BHU2461" s="63"/>
      <c r="BHV2461" s="61"/>
      <c r="BHW2461" s="54"/>
      <c r="BHX2461" s="54"/>
      <c r="BHY2461" s="63"/>
      <c r="BHZ2461" s="60"/>
      <c r="BIA2461" s="60"/>
      <c r="BIB2461" s="60"/>
      <c r="BIC2461" s="63"/>
      <c r="BID2461" s="61"/>
      <c r="BIE2461" s="54"/>
      <c r="BIF2461" s="54"/>
      <c r="BIG2461" s="63"/>
      <c r="BIH2461" s="60"/>
      <c r="BII2461" s="60"/>
      <c r="BIJ2461" s="60"/>
      <c r="BIK2461" s="63"/>
      <c r="BIL2461" s="61"/>
      <c r="BIM2461" s="54"/>
      <c r="BIN2461" s="54"/>
      <c r="BIO2461" s="63"/>
      <c r="BIP2461" s="60"/>
      <c r="BIQ2461" s="60"/>
      <c r="BIR2461" s="60"/>
      <c r="BIS2461" s="63"/>
      <c r="BIT2461" s="61"/>
      <c r="BIU2461" s="54"/>
      <c r="BIV2461" s="54"/>
      <c r="BIW2461" s="63"/>
      <c r="BIX2461" s="60"/>
      <c r="BIY2461" s="60"/>
      <c r="BIZ2461" s="60"/>
      <c r="BJA2461" s="63"/>
      <c r="BJB2461" s="61"/>
      <c r="BJC2461" s="54"/>
      <c r="BJD2461" s="54"/>
      <c r="BJE2461" s="63"/>
      <c r="BJF2461" s="60"/>
      <c r="BJG2461" s="60"/>
      <c r="BJH2461" s="60"/>
      <c r="BJI2461" s="63"/>
      <c r="BJJ2461" s="61"/>
      <c r="BJK2461" s="54"/>
      <c r="BJL2461" s="54"/>
      <c r="BJM2461" s="63"/>
      <c r="BJN2461" s="60"/>
      <c r="BJO2461" s="60"/>
      <c r="BJP2461" s="60"/>
      <c r="BJQ2461" s="63"/>
      <c r="BJR2461" s="61"/>
      <c r="BJS2461" s="54"/>
      <c r="BJT2461" s="54"/>
      <c r="BJU2461" s="63"/>
      <c r="BJV2461" s="60"/>
      <c r="BJW2461" s="60"/>
      <c r="BJX2461" s="60"/>
      <c r="BJY2461" s="63"/>
      <c r="BJZ2461" s="61"/>
      <c r="BKA2461" s="54"/>
      <c r="BKB2461" s="54"/>
      <c r="BKC2461" s="63"/>
      <c r="BKD2461" s="60"/>
      <c r="BKE2461" s="60"/>
      <c r="BKF2461" s="60"/>
      <c r="BKG2461" s="63"/>
      <c r="BKH2461" s="61"/>
      <c r="BKI2461" s="54"/>
      <c r="BKJ2461" s="54"/>
      <c r="BKK2461" s="63"/>
      <c r="BKL2461" s="60"/>
      <c r="BKM2461" s="60"/>
      <c r="BKN2461" s="60"/>
      <c r="BKO2461" s="63"/>
      <c r="BKP2461" s="61"/>
      <c r="BKQ2461" s="54"/>
      <c r="BKR2461" s="54"/>
      <c r="BKS2461" s="63"/>
      <c r="BKT2461" s="60"/>
      <c r="BKU2461" s="60"/>
      <c r="BKV2461" s="60"/>
      <c r="BKW2461" s="63"/>
      <c r="BKX2461" s="61"/>
      <c r="BKY2461" s="54"/>
      <c r="BKZ2461" s="54"/>
      <c r="BLA2461" s="63"/>
      <c r="BLB2461" s="60"/>
      <c r="BLC2461" s="60"/>
      <c r="BLD2461" s="60"/>
      <c r="BLE2461" s="63"/>
      <c r="BLF2461" s="61"/>
      <c r="BLG2461" s="54"/>
      <c r="BLH2461" s="54"/>
      <c r="BLI2461" s="63"/>
      <c r="BLJ2461" s="60"/>
      <c r="BLK2461" s="60"/>
      <c r="BLL2461" s="60"/>
      <c r="BLM2461" s="63"/>
      <c r="BLN2461" s="61"/>
      <c r="BLO2461" s="54"/>
      <c r="BLP2461" s="54"/>
      <c r="BLQ2461" s="63"/>
      <c r="BLR2461" s="60"/>
      <c r="BLS2461" s="60"/>
      <c r="BLT2461" s="60"/>
      <c r="BLU2461" s="63"/>
      <c r="BLV2461" s="61"/>
      <c r="BLW2461" s="54"/>
      <c r="BLX2461" s="54"/>
      <c r="BLY2461" s="63"/>
      <c r="BLZ2461" s="60"/>
      <c r="BMA2461" s="60"/>
      <c r="BMB2461" s="60"/>
      <c r="BMC2461" s="63"/>
      <c r="BMD2461" s="61"/>
      <c r="BME2461" s="54"/>
      <c r="BMF2461" s="54"/>
      <c r="BMG2461" s="63"/>
      <c r="BMH2461" s="60"/>
      <c r="BMI2461" s="60"/>
      <c r="BMJ2461" s="60"/>
      <c r="BMK2461" s="63"/>
      <c r="BML2461" s="61"/>
      <c r="BMM2461" s="54"/>
      <c r="BMN2461" s="54"/>
      <c r="BMO2461" s="63"/>
      <c r="BMP2461" s="60"/>
      <c r="BMQ2461" s="60"/>
      <c r="BMR2461" s="60"/>
      <c r="BMS2461" s="63"/>
      <c r="BMT2461" s="61"/>
      <c r="BMU2461" s="54"/>
      <c r="BMV2461" s="54"/>
      <c r="BMW2461" s="63"/>
      <c r="BMX2461" s="60"/>
      <c r="BMY2461" s="60"/>
      <c r="BMZ2461" s="60"/>
      <c r="BNA2461" s="63"/>
      <c r="BNB2461" s="61"/>
      <c r="BNC2461" s="54"/>
      <c r="BND2461" s="54"/>
      <c r="BNE2461" s="63"/>
      <c r="BNF2461" s="60"/>
      <c r="BNG2461" s="60"/>
      <c r="BNH2461" s="60"/>
      <c r="BNI2461" s="63"/>
      <c r="BNJ2461" s="61"/>
      <c r="BNK2461" s="54"/>
      <c r="BNL2461" s="54"/>
      <c r="BNM2461" s="63"/>
      <c r="BNN2461" s="60"/>
      <c r="BNO2461" s="60"/>
      <c r="BNP2461" s="60"/>
      <c r="BNQ2461" s="63"/>
      <c r="BNR2461" s="61"/>
      <c r="BNS2461" s="54"/>
      <c r="BNT2461" s="54"/>
      <c r="BNU2461" s="63"/>
      <c r="BNV2461" s="60"/>
      <c r="BNW2461" s="60"/>
      <c r="BNX2461" s="60"/>
      <c r="BNY2461" s="63"/>
      <c r="BNZ2461" s="61"/>
      <c r="BOA2461" s="54"/>
      <c r="BOB2461" s="54"/>
      <c r="BOC2461" s="63"/>
      <c r="BOD2461" s="60"/>
      <c r="BOE2461" s="60"/>
      <c r="BOF2461" s="60"/>
      <c r="BOG2461" s="63"/>
      <c r="BOH2461" s="61"/>
      <c r="BOI2461" s="54"/>
      <c r="BOJ2461" s="54"/>
      <c r="BOK2461" s="63"/>
      <c r="BOL2461" s="60"/>
      <c r="BOM2461" s="60"/>
      <c r="BON2461" s="60"/>
      <c r="BOO2461" s="63"/>
      <c r="BOP2461" s="61"/>
      <c r="BOQ2461" s="54"/>
      <c r="BOR2461" s="54"/>
      <c r="BOS2461" s="63"/>
      <c r="BOT2461" s="60"/>
      <c r="BOU2461" s="60"/>
      <c r="BOV2461" s="60"/>
      <c r="BOW2461" s="63"/>
      <c r="BOX2461" s="61"/>
      <c r="BOY2461" s="54"/>
      <c r="BOZ2461" s="54"/>
      <c r="BPA2461" s="63"/>
      <c r="BPB2461" s="60"/>
      <c r="BPC2461" s="60"/>
      <c r="BPD2461" s="60"/>
      <c r="BPE2461" s="63"/>
      <c r="BPF2461" s="61"/>
      <c r="BPG2461" s="54"/>
      <c r="BPH2461" s="54"/>
      <c r="BPI2461" s="63"/>
      <c r="BPJ2461" s="60"/>
      <c r="BPK2461" s="60"/>
      <c r="BPL2461" s="60"/>
      <c r="BPM2461" s="63"/>
      <c r="BPN2461" s="61"/>
      <c r="BPO2461" s="54"/>
      <c r="BPP2461" s="54"/>
      <c r="BPQ2461" s="63"/>
      <c r="BPR2461" s="60"/>
      <c r="BPS2461" s="60"/>
      <c r="BPT2461" s="60"/>
      <c r="BPU2461" s="63"/>
      <c r="BPV2461" s="61"/>
      <c r="BPW2461" s="54"/>
      <c r="BPX2461" s="54"/>
      <c r="BPY2461" s="63"/>
      <c r="BPZ2461" s="60"/>
      <c r="BQA2461" s="60"/>
      <c r="BQB2461" s="60"/>
      <c r="BQC2461" s="63"/>
      <c r="BQD2461" s="61"/>
      <c r="BQE2461" s="54"/>
      <c r="BQF2461" s="54"/>
      <c r="BQG2461" s="63"/>
      <c r="BQH2461" s="60"/>
      <c r="BQI2461" s="60"/>
      <c r="BQJ2461" s="60"/>
      <c r="BQK2461" s="63"/>
      <c r="BQL2461" s="61"/>
      <c r="BQM2461" s="54"/>
      <c r="BQN2461" s="54"/>
      <c r="BQO2461" s="63"/>
      <c r="BQP2461" s="60"/>
      <c r="BQQ2461" s="60"/>
      <c r="BQR2461" s="60"/>
      <c r="BQS2461" s="63"/>
      <c r="BQT2461" s="61"/>
      <c r="BQU2461" s="54"/>
      <c r="BQV2461" s="54"/>
      <c r="BQW2461" s="63"/>
      <c r="BQX2461" s="60"/>
      <c r="BQY2461" s="60"/>
      <c r="BQZ2461" s="60"/>
      <c r="BRA2461" s="63"/>
      <c r="BRB2461" s="61"/>
      <c r="BRC2461" s="54"/>
      <c r="BRD2461" s="54"/>
      <c r="BRE2461" s="63"/>
      <c r="BRF2461" s="60"/>
      <c r="BRG2461" s="60"/>
      <c r="BRH2461" s="60"/>
      <c r="BRI2461" s="63"/>
      <c r="BRJ2461" s="61"/>
      <c r="BRK2461" s="54"/>
      <c r="BRL2461" s="54"/>
      <c r="BRM2461" s="63"/>
      <c r="BRN2461" s="60"/>
      <c r="BRO2461" s="60"/>
      <c r="BRP2461" s="60"/>
      <c r="BRQ2461" s="63"/>
      <c r="BRR2461" s="61"/>
      <c r="BRS2461" s="54"/>
      <c r="BRT2461" s="54"/>
      <c r="BRU2461" s="63"/>
      <c r="BRV2461" s="60"/>
      <c r="BRW2461" s="60"/>
      <c r="BRX2461" s="60"/>
      <c r="BRY2461" s="63"/>
      <c r="BRZ2461" s="61"/>
      <c r="BSA2461" s="54"/>
      <c r="BSB2461" s="54"/>
      <c r="BSC2461" s="63"/>
      <c r="BSD2461" s="60"/>
      <c r="BSE2461" s="60"/>
      <c r="BSF2461" s="60"/>
      <c r="BSG2461" s="63"/>
      <c r="BSH2461" s="61"/>
      <c r="BSI2461" s="54"/>
      <c r="BSJ2461" s="54"/>
      <c r="BSK2461" s="63"/>
      <c r="BSL2461" s="60"/>
      <c r="BSM2461" s="60"/>
      <c r="BSN2461" s="60"/>
      <c r="BSO2461" s="63"/>
      <c r="BSP2461" s="61"/>
      <c r="BSQ2461" s="54"/>
      <c r="BSR2461" s="54"/>
      <c r="BSS2461" s="63"/>
      <c r="BST2461" s="60"/>
      <c r="BSU2461" s="60"/>
      <c r="BSV2461" s="60"/>
      <c r="BSW2461" s="63"/>
      <c r="BSX2461" s="61"/>
      <c r="BSY2461" s="54"/>
      <c r="BSZ2461" s="54"/>
      <c r="BTA2461" s="63"/>
      <c r="BTB2461" s="60"/>
      <c r="BTC2461" s="60"/>
      <c r="BTD2461" s="60"/>
      <c r="BTE2461" s="63"/>
      <c r="BTF2461" s="61"/>
      <c r="BTG2461" s="54"/>
      <c r="BTH2461" s="54"/>
      <c r="BTI2461" s="63"/>
      <c r="BTJ2461" s="60"/>
      <c r="BTK2461" s="60"/>
      <c r="BTL2461" s="60"/>
      <c r="BTM2461" s="63"/>
      <c r="BTN2461" s="61"/>
      <c r="BTO2461" s="54"/>
      <c r="BTP2461" s="54"/>
      <c r="BTQ2461" s="63"/>
      <c r="BTR2461" s="60"/>
      <c r="BTS2461" s="60"/>
      <c r="BTT2461" s="60"/>
      <c r="BTU2461" s="63"/>
      <c r="BTV2461" s="61"/>
      <c r="BTW2461" s="54"/>
      <c r="BTX2461" s="54"/>
      <c r="BTY2461" s="63"/>
      <c r="BTZ2461" s="60"/>
      <c r="BUA2461" s="60"/>
      <c r="BUB2461" s="60"/>
      <c r="BUC2461" s="63"/>
      <c r="BUD2461" s="61"/>
      <c r="BUE2461" s="54"/>
      <c r="BUF2461" s="54"/>
      <c r="BUG2461" s="63"/>
      <c r="BUH2461" s="60"/>
      <c r="BUI2461" s="60"/>
      <c r="BUJ2461" s="60"/>
      <c r="BUK2461" s="63"/>
      <c r="BUL2461" s="61"/>
      <c r="BUM2461" s="54"/>
      <c r="BUN2461" s="54"/>
      <c r="BUO2461" s="63"/>
      <c r="BUP2461" s="60"/>
      <c r="BUQ2461" s="60"/>
      <c r="BUR2461" s="60"/>
      <c r="BUS2461" s="63"/>
      <c r="BUT2461" s="61"/>
      <c r="BUU2461" s="54"/>
      <c r="BUV2461" s="54"/>
      <c r="BUW2461" s="63"/>
      <c r="BUX2461" s="60"/>
      <c r="BUY2461" s="60"/>
      <c r="BUZ2461" s="60"/>
      <c r="BVA2461" s="63"/>
      <c r="BVB2461" s="61"/>
      <c r="BVC2461" s="54"/>
      <c r="BVD2461" s="54"/>
      <c r="BVE2461" s="63"/>
      <c r="BVF2461" s="60"/>
      <c r="BVG2461" s="60"/>
      <c r="BVH2461" s="60"/>
      <c r="BVI2461" s="63"/>
      <c r="BVJ2461" s="61"/>
      <c r="BVK2461" s="54"/>
      <c r="BVL2461" s="54"/>
      <c r="BVM2461" s="63"/>
      <c r="BVN2461" s="60"/>
      <c r="BVO2461" s="60"/>
      <c r="BVP2461" s="60"/>
      <c r="BVQ2461" s="63"/>
      <c r="BVR2461" s="61"/>
      <c r="BVS2461" s="54"/>
      <c r="BVT2461" s="54"/>
      <c r="BVU2461" s="63"/>
      <c r="BVV2461" s="60"/>
      <c r="BVW2461" s="60"/>
      <c r="BVX2461" s="60"/>
      <c r="BVY2461" s="63"/>
      <c r="BVZ2461" s="61"/>
      <c r="BWA2461" s="54"/>
      <c r="BWB2461" s="54"/>
      <c r="BWC2461" s="63"/>
      <c r="BWD2461" s="60"/>
      <c r="BWE2461" s="60"/>
      <c r="BWF2461" s="60"/>
      <c r="BWG2461" s="63"/>
      <c r="BWH2461" s="61"/>
      <c r="BWI2461" s="54"/>
      <c r="BWJ2461" s="54"/>
      <c r="BWK2461" s="63"/>
      <c r="BWL2461" s="60"/>
      <c r="BWM2461" s="60"/>
      <c r="BWN2461" s="60"/>
      <c r="BWO2461" s="63"/>
      <c r="BWP2461" s="61"/>
      <c r="BWQ2461" s="54"/>
      <c r="BWR2461" s="54"/>
      <c r="BWS2461" s="63"/>
      <c r="BWT2461" s="60"/>
      <c r="BWU2461" s="60"/>
      <c r="BWV2461" s="60"/>
      <c r="BWW2461" s="63"/>
      <c r="BWX2461" s="61"/>
      <c r="BWY2461" s="54"/>
      <c r="BWZ2461" s="54"/>
      <c r="BXA2461" s="63"/>
      <c r="BXB2461" s="60"/>
      <c r="BXC2461" s="60"/>
      <c r="BXD2461" s="60"/>
      <c r="BXE2461" s="63"/>
      <c r="BXF2461" s="61"/>
      <c r="BXG2461" s="54"/>
      <c r="BXH2461" s="54"/>
      <c r="BXI2461" s="63"/>
      <c r="BXJ2461" s="60"/>
      <c r="BXK2461" s="60"/>
      <c r="BXL2461" s="60"/>
      <c r="BXM2461" s="63"/>
      <c r="BXN2461" s="61"/>
      <c r="BXO2461" s="54"/>
      <c r="BXP2461" s="54"/>
      <c r="BXQ2461" s="63"/>
      <c r="BXR2461" s="60"/>
      <c r="BXS2461" s="60"/>
      <c r="BXT2461" s="60"/>
      <c r="BXU2461" s="63"/>
      <c r="BXV2461" s="61"/>
      <c r="BXW2461" s="54"/>
      <c r="BXX2461" s="54"/>
      <c r="BXY2461" s="63"/>
      <c r="BXZ2461" s="60"/>
      <c r="BYA2461" s="60"/>
      <c r="BYB2461" s="60"/>
      <c r="BYC2461" s="63"/>
      <c r="BYD2461" s="61"/>
      <c r="BYE2461" s="54"/>
      <c r="BYF2461" s="54"/>
      <c r="BYG2461" s="63"/>
      <c r="BYH2461" s="60"/>
      <c r="BYI2461" s="60"/>
      <c r="BYJ2461" s="60"/>
      <c r="BYK2461" s="63"/>
      <c r="BYL2461" s="61"/>
      <c r="BYM2461" s="54"/>
      <c r="BYN2461" s="54"/>
      <c r="BYO2461" s="63"/>
      <c r="BYP2461" s="60"/>
      <c r="BYQ2461" s="60"/>
      <c r="BYR2461" s="60"/>
      <c r="BYS2461" s="63"/>
      <c r="BYT2461" s="61"/>
      <c r="BYU2461" s="54"/>
      <c r="BYV2461" s="54"/>
      <c r="BYW2461" s="63"/>
      <c r="BYX2461" s="60"/>
      <c r="BYY2461" s="60"/>
      <c r="BYZ2461" s="60"/>
      <c r="BZA2461" s="63"/>
      <c r="BZB2461" s="61"/>
      <c r="BZC2461" s="54"/>
      <c r="BZD2461" s="54"/>
      <c r="BZE2461" s="63"/>
      <c r="BZF2461" s="60"/>
      <c r="BZG2461" s="60"/>
      <c r="BZH2461" s="60"/>
      <c r="BZI2461" s="63"/>
      <c r="BZJ2461" s="61"/>
      <c r="BZK2461" s="54"/>
      <c r="BZL2461" s="54"/>
      <c r="BZM2461" s="63"/>
      <c r="BZN2461" s="60"/>
      <c r="BZO2461" s="60"/>
      <c r="BZP2461" s="60"/>
      <c r="BZQ2461" s="63"/>
      <c r="BZR2461" s="61"/>
      <c r="BZS2461" s="54"/>
      <c r="BZT2461" s="54"/>
      <c r="BZU2461" s="63"/>
      <c r="BZV2461" s="60"/>
      <c r="BZW2461" s="60"/>
      <c r="BZX2461" s="60"/>
      <c r="BZY2461" s="63"/>
      <c r="BZZ2461" s="61"/>
      <c r="CAA2461" s="54"/>
      <c r="CAB2461" s="54"/>
      <c r="CAC2461" s="63"/>
      <c r="CAD2461" s="60"/>
      <c r="CAE2461" s="60"/>
      <c r="CAF2461" s="60"/>
      <c r="CAG2461" s="63"/>
      <c r="CAH2461" s="61"/>
      <c r="CAI2461" s="54"/>
      <c r="CAJ2461" s="54"/>
      <c r="CAK2461" s="63"/>
      <c r="CAL2461" s="60"/>
      <c r="CAM2461" s="60"/>
      <c r="CAN2461" s="60"/>
      <c r="CAO2461" s="63"/>
      <c r="CAP2461" s="61"/>
      <c r="CAQ2461" s="54"/>
      <c r="CAR2461" s="54"/>
      <c r="CAS2461" s="63"/>
      <c r="CAT2461" s="60"/>
      <c r="CAU2461" s="60"/>
      <c r="CAV2461" s="60"/>
      <c r="CAW2461" s="63"/>
      <c r="CAX2461" s="61"/>
      <c r="CAY2461" s="54"/>
      <c r="CAZ2461" s="54"/>
      <c r="CBA2461" s="63"/>
      <c r="CBB2461" s="60"/>
      <c r="CBC2461" s="60"/>
      <c r="CBD2461" s="60"/>
      <c r="CBE2461" s="63"/>
      <c r="CBF2461" s="61"/>
      <c r="CBG2461" s="54"/>
      <c r="CBH2461" s="54"/>
      <c r="CBI2461" s="63"/>
      <c r="CBJ2461" s="60"/>
      <c r="CBK2461" s="60"/>
      <c r="CBL2461" s="60"/>
      <c r="CBM2461" s="63"/>
      <c r="CBN2461" s="61"/>
      <c r="CBO2461" s="54"/>
      <c r="CBP2461" s="54"/>
      <c r="CBQ2461" s="63"/>
      <c r="CBR2461" s="60"/>
      <c r="CBS2461" s="60"/>
      <c r="CBT2461" s="60"/>
      <c r="CBU2461" s="63"/>
      <c r="CBV2461" s="61"/>
      <c r="CBW2461" s="54"/>
      <c r="CBX2461" s="54"/>
      <c r="CBY2461" s="63"/>
      <c r="CBZ2461" s="60"/>
      <c r="CCA2461" s="60"/>
      <c r="CCB2461" s="60"/>
      <c r="CCC2461" s="63"/>
      <c r="CCD2461" s="61"/>
      <c r="CCE2461" s="54"/>
      <c r="CCF2461" s="54"/>
      <c r="CCG2461" s="63"/>
      <c r="CCH2461" s="60"/>
      <c r="CCI2461" s="60"/>
      <c r="CCJ2461" s="60"/>
      <c r="CCK2461" s="63"/>
      <c r="CCL2461" s="61"/>
      <c r="CCM2461" s="54"/>
      <c r="CCN2461" s="54"/>
      <c r="CCO2461" s="63"/>
      <c r="CCP2461" s="60"/>
      <c r="CCQ2461" s="60"/>
      <c r="CCR2461" s="60"/>
      <c r="CCS2461" s="63"/>
      <c r="CCT2461" s="61"/>
      <c r="CCU2461" s="54"/>
      <c r="CCV2461" s="54"/>
      <c r="CCW2461" s="63"/>
      <c r="CCX2461" s="60"/>
      <c r="CCY2461" s="60"/>
      <c r="CCZ2461" s="60"/>
      <c r="CDA2461" s="63"/>
      <c r="CDB2461" s="61"/>
      <c r="CDC2461" s="54"/>
      <c r="CDD2461" s="54"/>
      <c r="CDE2461" s="63"/>
      <c r="CDF2461" s="60"/>
      <c r="CDG2461" s="60"/>
      <c r="CDH2461" s="60"/>
      <c r="CDI2461" s="63"/>
      <c r="CDJ2461" s="61"/>
      <c r="CDK2461" s="54"/>
      <c r="CDL2461" s="54"/>
      <c r="CDM2461" s="63"/>
      <c r="CDN2461" s="60"/>
      <c r="CDO2461" s="60"/>
      <c r="CDP2461" s="60"/>
      <c r="CDQ2461" s="63"/>
      <c r="CDR2461" s="61"/>
      <c r="CDS2461" s="54"/>
      <c r="CDT2461" s="54"/>
      <c r="CDU2461" s="63"/>
      <c r="CDV2461" s="60"/>
      <c r="CDW2461" s="60"/>
      <c r="CDX2461" s="60"/>
      <c r="CDY2461" s="63"/>
      <c r="CDZ2461" s="61"/>
      <c r="CEA2461" s="54"/>
      <c r="CEB2461" s="54"/>
      <c r="CEC2461" s="63"/>
      <c r="CED2461" s="60"/>
      <c r="CEE2461" s="60"/>
      <c r="CEF2461" s="60"/>
      <c r="CEG2461" s="63"/>
      <c r="CEH2461" s="61"/>
      <c r="CEI2461" s="54"/>
      <c r="CEJ2461" s="54"/>
      <c r="CEK2461" s="63"/>
      <c r="CEL2461" s="60"/>
      <c r="CEM2461" s="60"/>
      <c r="CEN2461" s="60"/>
      <c r="CEO2461" s="63"/>
      <c r="CEP2461" s="61"/>
      <c r="CEQ2461" s="54"/>
      <c r="CER2461" s="54"/>
      <c r="CES2461" s="63"/>
      <c r="CET2461" s="60"/>
      <c r="CEU2461" s="60"/>
      <c r="CEV2461" s="60"/>
      <c r="CEW2461" s="63"/>
      <c r="CEX2461" s="61"/>
      <c r="CEY2461" s="54"/>
      <c r="CEZ2461" s="54"/>
      <c r="CFA2461" s="63"/>
      <c r="CFB2461" s="60"/>
      <c r="CFC2461" s="60"/>
      <c r="CFD2461" s="60"/>
      <c r="CFE2461" s="63"/>
      <c r="CFF2461" s="61"/>
      <c r="CFG2461" s="54"/>
      <c r="CFH2461" s="54"/>
      <c r="CFI2461" s="63"/>
      <c r="CFJ2461" s="60"/>
      <c r="CFK2461" s="60"/>
      <c r="CFL2461" s="60"/>
      <c r="CFM2461" s="63"/>
      <c r="CFN2461" s="61"/>
      <c r="CFO2461" s="54"/>
      <c r="CFP2461" s="54"/>
      <c r="CFQ2461" s="63"/>
      <c r="CFR2461" s="60"/>
      <c r="CFS2461" s="60"/>
      <c r="CFT2461" s="60"/>
      <c r="CFU2461" s="63"/>
      <c r="CFV2461" s="61"/>
      <c r="CFW2461" s="54"/>
      <c r="CFX2461" s="54"/>
      <c r="CFY2461" s="63"/>
      <c r="CFZ2461" s="60"/>
      <c r="CGA2461" s="60"/>
      <c r="CGB2461" s="60"/>
      <c r="CGC2461" s="63"/>
      <c r="CGD2461" s="61"/>
      <c r="CGE2461" s="54"/>
      <c r="CGF2461" s="54"/>
      <c r="CGG2461" s="63"/>
      <c r="CGH2461" s="60"/>
      <c r="CGI2461" s="60"/>
      <c r="CGJ2461" s="60"/>
      <c r="CGK2461" s="63"/>
      <c r="CGL2461" s="61"/>
      <c r="CGM2461" s="54"/>
      <c r="CGN2461" s="54"/>
      <c r="CGO2461" s="63"/>
      <c r="CGP2461" s="60"/>
      <c r="CGQ2461" s="60"/>
      <c r="CGR2461" s="60"/>
      <c r="CGS2461" s="63"/>
      <c r="CGT2461" s="61"/>
      <c r="CGU2461" s="54"/>
      <c r="CGV2461" s="54"/>
      <c r="CGW2461" s="63"/>
      <c r="CGX2461" s="60"/>
      <c r="CGY2461" s="60"/>
      <c r="CGZ2461" s="60"/>
      <c r="CHA2461" s="63"/>
      <c r="CHB2461" s="61"/>
      <c r="CHC2461" s="54"/>
      <c r="CHD2461" s="54"/>
      <c r="CHE2461" s="63"/>
      <c r="CHF2461" s="60"/>
      <c r="CHG2461" s="60"/>
      <c r="CHH2461" s="60"/>
      <c r="CHI2461" s="63"/>
      <c r="CHJ2461" s="61"/>
      <c r="CHK2461" s="54"/>
      <c r="CHL2461" s="54"/>
      <c r="CHM2461" s="63"/>
      <c r="CHN2461" s="60"/>
      <c r="CHO2461" s="60"/>
      <c r="CHP2461" s="60"/>
      <c r="CHQ2461" s="63"/>
      <c r="CHR2461" s="61"/>
      <c r="CHS2461" s="54"/>
      <c r="CHT2461" s="54"/>
      <c r="CHU2461" s="63"/>
      <c r="CHV2461" s="60"/>
      <c r="CHW2461" s="60"/>
      <c r="CHX2461" s="60"/>
      <c r="CHY2461" s="63"/>
      <c r="CHZ2461" s="61"/>
      <c r="CIA2461" s="54"/>
      <c r="CIB2461" s="54"/>
      <c r="CIC2461" s="63"/>
      <c r="CID2461" s="60"/>
      <c r="CIE2461" s="60"/>
      <c r="CIF2461" s="60"/>
      <c r="CIG2461" s="63"/>
      <c r="CIH2461" s="61"/>
      <c r="CII2461" s="54"/>
      <c r="CIJ2461" s="54"/>
      <c r="CIK2461" s="63"/>
      <c r="CIL2461" s="60"/>
      <c r="CIM2461" s="60"/>
      <c r="CIN2461" s="60"/>
      <c r="CIO2461" s="63"/>
      <c r="CIP2461" s="61"/>
      <c r="CIQ2461" s="54"/>
      <c r="CIR2461" s="54"/>
      <c r="CIS2461" s="63"/>
      <c r="CIT2461" s="60"/>
      <c r="CIU2461" s="60"/>
      <c r="CIV2461" s="60"/>
      <c r="CIW2461" s="63"/>
      <c r="CIX2461" s="61"/>
      <c r="CIY2461" s="54"/>
      <c r="CIZ2461" s="54"/>
      <c r="CJA2461" s="63"/>
      <c r="CJB2461" s="60"/>
      <c r="CJC2461" s="60"/>
      <c r="CJD2461" s="60"/>
      <c r="CJE2461" s="63"/>
      <c r="CJF2461" s="61"/>
      <c r="CJG2461" s="54"/>
      <c r="CJH2461" s="54"/>
      <c r="CJI2461" s="63"/>
      <c r="CJJ2461" s="60"/>
      <c r="CJK2461" s="60"/>
      <c r="CJL2461" s="60"/>
      <c r="CJM2461" s="63"/>
      <c r="CJN2461" s="61"/>
      <c r="CJO2461" s="54"/>
      <c r="CJP2461" s="54"/>
      <c r="CJQ2461" s="63"/>
      <c r="CJR2461" s="60"/>
      <c r="CJS2461" s="60"/>
      <c r="CJT2461" s="60"/>
      <c r="CJU2461" s="63"/>
      <c r="CJV2461" s="61"/>
      <c r="CJW2461" s="54"/>
      <c r="CJX2461" s="54"/>
      <c r="CJY2461" s="63"/>
      <c r="CJZ2461" s="60"/>
      <c r="CKA2461" s="60"/>
      <c r="CKB2461" s="60"/>
      <c r="CKC2461" s="63"/>
      <c r="CKD2461" s="61"/>
      <c r="CKE2461" s="54"/>
      <c r="CKF2461" s="54"/>
      <c r="CKG2461" s="63"/>
      <c r="CKH2461" s="60"/>
      <c r="CKI2461" s="60"/>
      <c r="CKJ2461" s="60"/>
      <c r="CKK2461" s="63"/>
      <c r="CKL2461" s="61"/>
      <c r="CKM2461" s="54"/>
      <c r="CKN2461" s="54"/>
      <c r="CKO2461" s="63"/>
      <c r="CKP2461" s="60"/>
      <c r="CKQ2461" s="60"/>
      <c r="CKR2461" s="60"/>
      <c r="CKS2461" s="63"/>
      <c r="CKT2461" s="61"/>
      <c r="CKU2461" s="54"/>
      <c r="CKV2461" s="54"/>
      <c r="CKW2461" s="63"/>
      <c r="CKX2461" s="60"/>
      <c r="CKY2461" s="60"/>
      <c r="CKZ2461" s="60"/>
      <c r="CLA2461" s="63"/>
      <c r="CLB2461" s="61"/>
      <c r="CLC2461" s="54"/>
      <c r="CLD2461" s="54"/>
      <c r="CLE2461" s="63"/>
      <c r="CLF2461" s="60"/>
      <c r="CLG2461" s="60"/>
      <c r="CLH2461" s="60"/>
      <c r="CLI2461" s="63"/>
      <c r="CLJ2461" s="61"/>
      <c r="CLK2461" s="54"/>
      <c r="CLL2461" s="54"/>
      <c r="CLM2461" s="63"/>
      <c r="CLN2461" s="60"/>
      <c r="CLO2461" s="60"/>
      <c r="CLP2461" s="60"/>
      <c r="CLQ2461" s="63"/>
      <c r="CLR2461" s="61"/>
      <c r="CLS2461" s="54"/>
      <c r="CLT2461" s="54"/>
      <c r="CLU2461" s="63"/>
      <c r="CLV2461" s="60"/>
      <c r="CLW2461" s="60"/>
      <c r="CLX2461" s="60"/>
      <c r="CLY2461" s="63"/>
      <c r="CLZ2461" s="61"/>
      <c r="CMA2461" s="54"/>
      <c r="CMB2461" s="54"/>
      <c r="CMC2461" s="63"/>
      <c r="CMD2461" s="60"/>
      <c r="CME2461" s="60"/>
      <c r="CMF2461" s="60"/>
      <c r="CMG2461" s="63"/>
      <c r="CMH2461" s="61"/>
      <c r="CMI2461" s="54"/>
      <c r="CMJ2461" s="54"/>
      <c r="CMK2461" s="63"/>
      <c r="CML2461" s="60"/>
      <c r="CMM2461" s="60"/>
      <c r="CMN2461" s="60"/>
      <c r="CMO2461" s="63"/>
      <c r="CMP2461" s="61"/>
      <c r="CMQ2461" s="54"/>
      <c r="CMR2461" s="54"/>
      <c r="CMS2461" s="63"/>
      <c r="CMT2461" s="60"/>
      <c r="CMU2461" s="60"/>
      <c r="CMV2461" s="60"/>
      <c r="CMW2461" s="63"/>
      <c r="CMX2461" s="61"/>
      <c r="CMY2461" s="54"/>
      <c r="CMZ2461" s="54"/>
      <c r="CNA2461" s="63"/>
      <c r="CNB2461" s="60"/>
      <c r="CNC2461" s="60"/>
      <c r="CND2461" s="60"/>
      <c r="CNE2461" s="63"/>
      <c r="CNF2461" s="61"/>
      <c r="CNG2461" s="54"/>
      <c r="CNH2461" s="54"/>
      <c r="CNI2461" s="63"/>
      <c r="CNJ2461" s="60"/>
      <c r="CNK2461" s="60"/>
      <c r="CNL2461" s="60"/>
      <c r="CNM2461" s="63"/>
      <c r="CNN2461" s="61"/>
      <c r="CNO2461" s="54"/>
      <c r="CNP2461" s="54"/>
      <c r="CNQ2461" s="63"/>
      <c r="CNR2461" s="60"/>
      <c r="CNS2461" s="60"/>
      <c r="CNT2461" s="60"/>
      <c r="CNU2461" s="63"/>
      <c r="CNV2461" s="61"/>
      <c r="CNW2461" s="54"/>
      <c r="CNX2461" s="54"/>
      <c r="CNY2461" s="63"/>
      <c r="CNZ2461" s="60"/>
      <c r="COA2461" s="60"/>
      <c r="COB2461" s="60"/>
      <c r="COC2461" s="63"/>
      <c r="COD2461" s="61"/>
      <c r="COE2461" s="54"/>
      <c r="COF2461" s="54"/>
      <c r="COG2461" s="63"/>
      <c r="COH2461" s="60"/>
      <c r="COI2461" s="60"/>
      <c r="COJ2461" s="60"/>
      <c r="COK2461" s="63"/>
      <c r="COL2461" s="61"/>
      <c r="COM2461" s="54"/>
      <c r="CON2461" s="54"/>
      <c r="COO2461" s="63"/>
      <c r="COP2461" s="60"/>
      <c r="COQ2461" s="60"/>
      <c r="COR2461" s="60"/>
      <c r="COS2461" s="63"/>
      <c r="COT2461" s="61"/>
      <c r="COU2461" s="54"/>
      <c r="COV2461" s="54"/>
      <c r="COW2461" s="63"/>
      <c r="COX2461" s="60"/>
      <c r="COY2461" s="60"/>
      <c r="COZ2461" s="60"/>
      <c r="CPA2461" s="63"/>
      <c r="CPB2461" s="61"/>
      <c r="CPC2461" s="54"/>
      <c r="CPD2461" s="54"/>
      <c r="CPE2461" s="63"/>
      <c r="CPF2461" s="60"/>
      <c r="CPG2461" s="60"/>
      <c r="CPH2461" s="60"/>
      <c r="CPI2461" s="63"/>
      <c r="CPJ2461" s="61"/>
      <c r="CPK2461" s="54"/>
      <c r="CPL2461" s="54"/>
      <c r="CPM2461" s="63"/>
      <c r="CPN2461" s="60"/>
      <c r="CPO2461" s="60"/>
      <c r="CPP2461" s="60"/>
      <c r="CPQ2461" s="63"/>
      <c r="CPR2461" s="61"/>
      <c r="CPS2461" s="54"/>
      <c r="CPT2461" s="54"/>
      <c r="CPU2461" s="63"/>
      <c r="CPV2461" s="60"/>
      <c r="CPW2461" s="60"/>
      <c r="CPX2461" s="60"/>
      <c r="CPY2461" s="63"/>
      <c r="CPZ2461" s="61"/>
      <c r="CQA2461" s="54"/>
      <c r="CQB2461" s="54"/>
      <c r="CQC2461" s="63"/>
      <c r="CQD2461" s="60"/>
      <c r="CQE2461" s="60"/>
      <c r="CQF2461" s="60"/>
      <c r="CQG2461" s="63"/>
      <c r="CQH2461" s="61"/>
      <c r="CQI2461" s="54"/>
      <c r="CQJ2461" s="54"/>
      <c r="CQK2461" s="63"/>
      <c r="CQL2461" s="60"/>
      <c r="CQM2461" s="60"/>
      <c r="CQN2461" s="60"/>
      <c r="CQO2461" s="63"/>
      <c r="CQP2461" s="61"/>
      <c r="CQQ2461" s="54"/>
      <c r="CQR2461" s="54"/>
      <c r="CQS2461" s="63"/>
      <c r="CQT2461" s="60"/>
      <c r="CQU2461" s="60"/>
      <c r="CQV2461" s="60"/>
      <c r="CQW2461" s="63"/>
      <c r="CQX2461" s="61"/>
      <c r="CQY2461" s="54"/>
      <c r="CQZ2461" s="54"/>
      <c r="CRA2461" s="63"/>
      <c r="CRB2461" s="60"/>
      <c r="CRC2461" s="60"/>
      <c r="CRD2461" s="60"/>
      <c r="CRE2461" s="63"/>
      <c r="CRF2461" s="61"/>
      <c r="CRG2461" s="54"/>
      <c r="CRH2461" s="54"/>
      <c r="CRI2461" s="63"/>
      <c r="CRJ2461" s="60"/>
      <c r="CRK2461" s="60"/>
      <c r="CRL2461" s="60"/>
      <c r="CRM2461" s="63"/>
      <c r="CRN2461" s="61"/>
      <c r="CRO2461" s="54"/>
      <c r="CRP2461" s="54"/>
      <c r="CRQ2461" s="63"/>
      <c r="CRR2461" s="60"/>
      <c r="CRS2461" s="60"/>
      <c r="CRT2461" s="60"/>
      <c r="CRU2461" s="63"/>
      <c r="CRV2461" s="61"/>
      <c r="CRW2461" s="54"/>
      <c r="CRX2461" s="54"/>
      <c r="CRY2461" s="63"/>
      <c r="CRZ2461" s="60"/>
      <c r="CSA2461" s="60"/>
      <c r="CSB2461" s="60"/>
      <c r="CSC2461" s="63"/>
      <c r="CSD2461" s="61"/>
      <c r="CSE2461" s="54"/>
      <c r="CSF2461" s="54"/>
      <c r="CSG2461" s="63"/>
      <c r="CSH2461" s="60"/>
      <c r="CSI2461" s="60"/>
      <c r="CSJ2461" s="60"/>
      <c r="CSK2461" s="63"/>
      <c r="CSL2461" s="61"/>
      <c r="CSM2461" s="54"/>
      <c r="CSN2461" s="54"/>
      <c r="CSO2461" s="63"/>
      <c r="CSP2461" s="60"/>
      <c r="CSQ2461" s="60"/>
      <c r="CSR2461" s="60"/>
      <c r="CSS2461" s="63"/>
      <c r="CST2461" s="61"/>
      <c r="CSU2461" s="54"/>
      <c r="CSV2461" s="54"/>
      <c r="CSW2461" s="63"/>
      <c r="CSX2461" s="60"/>
      <c r="CSY2461" s="60"/>
      <c r="CSZ2461" s="60"/>
      <c r="CTA2461" s="63"/>
      <c r="CTB2461" s="61"/>
      <c r="CTC2461" s="54"/>
      <c r="CTD2461" s="54"/>
      <c r="CTE2461" s="63"/>
      <c r="CTF2461" s="60"/>
      <c r="CTG2461" s="60"/>
      <c r="CTH2461" s="60"/>
      <c r="CTI2461" s="63"/>
      <c r="CTJ2461" s="61"/>
      <c r="CTK2461" s="54"/>
      <c r="CTL2461" s="54"/>
      <c r="CTM2461" s="63"/>
      <c r="CTN2461" s="60"/>
      <c r="CTO2461" s="60"/>
      <c r="CTP2461" s="60"/>
      <c r="CTQ2461" s="63"/>
      <c r="CTR2461" s="61"/>
      <c r="CTS2461" s="54"/>
      <c r="CTT2461" s="54"/>
      <c r="CTU2461" s="63"/>
      <c r="CTV2461" s="60"/>
      <c r="CTW2461" s="60"/>
      <c r="CTX2461" s="60"/>
      <c r="CTY2461" s="63"/>
      <c r="CTZ2461" s="61"/>
      <c r="CUA2461" s="54"/>
      <c r="CUB2461" s="54"/>
      <c r="CUC2461" s="63"/>
      <c r="CUD2461" s="60"/>
      <c r="CUE2461" s="60"/>
      <c r="CUF2461" s="60"/>
      <c r="CUG2461" s="63"/>
      <c r="CUH2461" s="61"/>
      <c r="CUI2461" s="54"/>
      <c r="CUJ2461" s="54"/>
      <c r="CUK2461" s="63"/>
      <c r="CUL2461" s="60"/>
      <c r="CUM2461" s="60"/>
      <c r="CUN2461" s="60"/>
      <c r="CUO2461" s="63"/>
      <c r="CUP2461" s="61"/>
      <c r="CUQ2461" s="54"/>
      <c r="CUR2461" s="54"/>
      <c r="CUS2461" s="63"/>
      <c r="CUT2461" s="60"/>
      <c r="CUU2461" s="60"/>
      <c r="CUV2461" s="60"/>
      <c r="CUW2461" s="63"/>
      <c r="CUX2461" s="61"/>
      <c r="CUY2461" s="54"/>
      <c r="CUZ2461" s="54"/>
      <c r="CVA2461" s="63"/>
      <c r="CVB2461" s="60"/>
      <c r="CVC2461" s="60"/>
      <c r="CVD2461" s="60"/>
      <c r="CVE2461" s="63"/>
      <c r="CVF2461" s="61"/>
      <c r="CVG2461" s="54"/>
      <c r="CVH2461" s="54"/>
      <c r="CVI2461" s="63"/>
      <c r="CVJ2461" s="60"/>
      <c r="CVK2461" s="60"/>
      <c r="CVL2461" s="60"/>
      <c r="CVM2461" s="63"/>
      <c r="CVN2461" s="61"/>
      <c r="CVO2461" s="54"/>
      <c r="CVP2461" s="54"/>
      <c r="CVQ2461" s="63"/>
      <c r="CVR2461" s="60"/>
      <c r="CVS2461" s="60"/>
      <c r="CVT2461" s="60"/>
      <c r="CVU2461" s="63"/>
      <c r="CVV2461" s="61"/>
      <c r="CVW2461" s="54"/>
      <c r="CVX2461" s="54"/>
      <c r="CVY2461" s="63"/>
      <c r="CVZ2461" s="60"/>
      <c r="CWA2461" s="60"/>
      <c r="CWB2461" s="60"/>
      <c r="CWC2461" s="63"/>
      <c r="CWD2461" s="61"/>
      <c r="CWE2461" s="54"/>
      <c r="CWF2461" s="54"/>
      <c r="CWG2461" s="63"/>
      <c r="CWH2461" s="60"/>
      <c r="CWI2461" s="60"/>
      <c r="CWJ2461" s="60"/>
      <c r="CWK2461" s="63"/>
      <c r="CWL2461" s="61"/>
      <c r="CWM2461" s="54"/>
      <c r="CWN2461" s="54"/>
      <c r="CWO2461" s="63"/>
      <c r="CWP2461" s="60"/>
      <c r="CWQ2461" s="60"/>
      <c r="CWR2461" s="60"/>
      <c r="CWS2461" s="63"/>
      <c r="CWT2461" s="61"/>
      <c r="CWU2461" s="54"/>
      <c r="CWV2461" s="54"/>
      <c r="CWW2461" s="63"/>
      <c r="CWX2461" s="60"/>
      <c r="CWY2461" s="60"/>
      <c r="CWZ2461" s="60"/>
      <c r="CXA2461" s="63"/>
      <c r="CXB2461" s="61"/>
      <c r="CXC2461" s="54"/>
      <c r="CXD2461" s="54"/>
      <c r="CXE2461" s="63"/>
      <c r="CXF2461" s="60"/>
      <c r="CXG2461" s="60"/>
      <c r="CXH2461" s="60"/>
      <c r="CXI2461" s="63"/>
      <c r="CXJ2461" s="61"/>
      <c r="CXK2461" s="54"/>
      <c r="CXL2461" s="54"/>
      <c r="CXM2461" s="63"/>
      <c r="CXN2461" s="60"/>
      <c r="CXO2461" s="60"/>
      <c r="CXP2461" s="60"/>
      <c r="CXQ2461" s="63"/>
      <c r="CXR2461" s="61"/>
      <c r="CXS2461" s="54"/>
      <c r="CXT2461" s="54"/>
      <c r="CXU2461" s="63"/>
      <c r="CXV2461" s="60"/>
      <c r="CXW2461" s="60"/>
      <c r="CXX2461" s="60"/>
      <c r="CXY2461" s="63"/>
      <c r="CXZ2461" s="61"/>
      <c r="CYA2461" s="54"/>
      <c r="CYB2461" s="54"/>
      <c r="CYC2461" s="63"/>
      <c r="CYD2461" s="60"/>
      <c r="CYE2461" s="60"/>
      <c r="CYF2461" s="60"/>
      <c r="CYG2461" s="63"/>
      <c r="CYH2461" s="61"/>
      <c r="CYI2461" s="54"/>
      <c r="CYJ2461" s="54"/>
      <c r="CYK2461" s="63"/>
      <c r="CYL2461" s="60"/>
      <c r="CYM2461" s="60"/>
      <c r="CYN2461" s="60"/>
      <c r="CYO2461" s="63"/>
      <c r="CYP2461" s="61"/>
      <c r="CYQ2461" s="54"/>
      <c r="CYR2461" s="54"/>
      <c r="CYS2461" s="63"/>
      <c r="CYT2461" s="60"/>
      <c r="CYU2461" s="60"/>
      <c r="CYV2461" s="60"/>
      <c r="CYW2461" s="63"/>
      <c r="CYX2461" s="61"/>
      <c r="CYY2461" s="54"/>
      <c r="CYZ2461" s="54"/>
      <c r="CZA2461" s="63"/>
      <c r="CZB2461" s="60"/>
      <c r="CZC2461" s="60"/>
      <c r="CZD2461" s="60"/>
      <c r="CZE2461" s="63"/>
      <c r="CZF2461" s="61"/>
      <c r="CZG2461" s="54"/>
      <c r="CZH2461" s="54"/>
      <c r="CZI2461" s="63"/>
      <c r="CZJ2461" s="60"/>
      <c r="CZK2461" s="60"/>
      <c r="CZL2461" s="60"/>
      <c r="CZM2461" s="63"/>
      <c r="CZN2461" s="61"/>
      <c r="CZO2461" s="54"/>
      <c r="CZP2461" s="54"/>
      <c r="CZQ2461" s="63"/>
      <c r="CZR2461" s="60"/>
      <c r="CZS2461" s="60"/>
      <c r="CZT2461" s="60"/>
      <c r="CZU2461" s="63"/>
      <c r="CZV2461" s="61"/>
      <c r="CZW2461" s="54"/>
      <c r="CZX2461" s="54"/>
      <c r="CZY2461" s="63"/>
      <c r="CZZ2461" s="60"/>
      <c r="DAA2461" s="60"/>
      <c r="DAB2461" s="60"/>
      <c r="DAC2461" s="63"/>
      <c r="DAD2461" s="61"/>
      <c r="DAE2461" s="54"/>
      <c r="DAF2461" s="54"/>
      <c r="DAG2461" s="63"/>
      <c r="DAH2461" s="60"/>
      <c r="DAI2461" s="60"/>
      <c r="DAJ2461" s="60"/>
      <c r="DAK2461" s="63"/>
      <c r="DAL2461" s="61"/>
      <c r="DAM2461" s="54"/>
      <c r="DAN2461" s="54"/>
      <c r="DAO2461" s="63"/>
      <c r="DAP2461" s="60"/>
      <c r="DAQ2461" s="60"/>
      <c r="DAR2461" s="60"/>
      <c r="DAS2461" s="63"/>
      <c r="DAT2461" s="61"/>
      <c r="DAU2461" s="54"/>
      <c r="DAV2461" s="54"/>
      <c r="DAW2461" s="63"/>
      <c r="DAX2461" s="60"/>
      <c r="DAY2461" s="60"/>
      <c r="DAZ2461" s="60"/>
      <c r="DBA2461" s="63"/>
      <c r="DBB2461" s="61"/>
      <c r="DBC2461" s="54"/>
      <c r="DBD2461" s="54"/>
      <c r="DBE2461" s="63"/>
      <c r="DBF2461" s="60"/>
      <c r="DBG2461" s="60"/>
      <c r="DBH2461" s="60"/>
      <c r="DBI2461" s="63"/>
      <c r="DBJ2461" s="61"/>
      <c r="DBK2461" s="54"/>
      <c r="DBL2461" s="54"/>
      <c r="DBM2461" s="63"/>
      <c r="DBN2461" s="60"/>
      <c r="DBO2461" s="60"/>
      <c r="DBP2461" s="60"/>
      <c r="DBQ2461" s="63"/>
      <c r="DBR2461" s="61"/>
      <c r="DBS2461" s="54"/>
      <c r="DBT2461" s="54"/>
      <c r="DBU2461" s="63"/>
      <c r="DBV2461" s="60"/>
      <c r="DBW2461" s="60"/>
      <c r="DBX2461" s="60"/>
      <c r="DBY2461" s="63"/>
      <c r="DBZ2461" s="61"/>
      <c r="DCA2461" s="54"/>
      <c r="DCB2461" s="54"/>
      <c r="DCC2461" s="63"/>
      <c r="DCD2461" s="60"/>
      <c r="DCE2461" s="60"/>
      <c r="DCF2461" s="60"/>
      <c r="DCG2461" s="63"/>
      <c r="DCH2461" s="61"/>
      <c r="DCI2461" s="54"/>
      <c r="DCJ2461" s="54"/>
      <c r="DCK2461" s="63"/>
      <c r="DCL2461" s="60"/>
      <c r="DCM2461" s="60"/>
      <c r="DCN2461" s="60"/>
      <c r="DCO2461" s="63"/>
      <c r="DCP2461" s="61"/>
      <c r="DCQ2461" s="54"/>
      <c r="DCR2461" s="54"/>
      <c r="DCS2461" s="63"/>
      <c r="DCT2461" s="60"/>
      <c r="DCU2461" s="60"/>
      <c r="DCV2461" s="60"/>
      <c r="DCW2461" s="63"/>
      <c r="DCX2461" s="61"/>
      <c r="DCY2461" s="54"/>
      <c r="DCZ2461" s="54"/>
      <c r="DDA2461" s="63"/>
      <c r="DDB2461" s="60"/>
      <c r="DDC2461" s="60"/>
      <c r="DDD2461" s="60"/>
      <c r="DDE2461" s="63"/>
      <c r="DDF2461" s="61"/>
      <c r="DDG2461" s="54"/>
      <c r="DDH2461" s="54"/>
      <c r="DDI2461" s="63"/>
      <c r="DDJ2461" s="60"/>
      <c r="DDK2461" s="60"/>
      <c r="DDL2461" s="60"/>
      <c r="DDM2461" s="63"/>
      <c r="DDN2461" s="61"/>
      <c r="DDO2461" s="54"/>
      <c r="DDP2461" s="54"/>
      <c r="DDQ2461" s="63"/>
      <c r="DDR2461" s="60"/>
      <c r="DDS2461" s="60"/>
      <c r="DDT2461" s="60"/>
      <c r="DDU2461" s="63"/>
      <c r="DDV2461" s="61"/>
      <c r="DDW2461" s="54"/>
      <c r="DDX2461" s="54"/>
      <c r="DDY2461" s="63"/>
      <c r="DDZ2461" s="60"/>
      <c r="DEA2461" s="60"/>
      <c r="DEB2461" s="60"/>
      <c r="DEC2461" s="63"/>
      <c r="DED2461" s="61"/>
      <c r="DEE2461" s="54"/>
      <c r="DEF2461" s="54"/>
      <c r="DEG2461" s="63"/>
      <c r="DEH2461" s="60"/>
      <c r="DEI2461" s="60"/>
      <c r="DEJ2461" s="60"/>
      <c r="DEK2461" s="63"/>
      <c r="DEL2461" s="61"/>
      <c r="DEM2461" s="54"/>
      <c r="DEN2461" s="54"/>
      <c r="DEO2461" s="63"/>
      <c r="DEP2461" s="60"/>
      <c r="DEQ2461" s="60"/>
      <c r="DER2461" s="60"/>
      <c r="DES2461" s="63"/>
      <c r="DET2461" s="61"/>
      <c r="DEU2461" s="54"/>
      <c r="DEV2461" s="54"/>
      <c r="DEW2461" s="63"/>
      <c r="DEX2461" s="60"/>
      <c r="DEY2461" s="60"/>
      <c r="DEZ2461" s="60"/>
      <c r="DFA2461" s="63"/>
      <c r="DFB2461" s="61"/>
      <c r="DFC2461" s="54"/>
      <c r="DFD2461" s="54"/>
      <c r="DFE2461" s="63"/>
      <c r="DFF2461" s="60"/>
      <c r="DFG2461" s="60"/>
      <c r="DFH2461" s="60"/>
      <c r="DFI2461" s="63"/>
      <c r="DFJ2461" s="61"/>
      <c r="DFK2461" s="54"/>
      <c r="DFL2461" s="54"/>
      <c r="DFM2461" s="63"/>
      <c r="DFN2461" s="60"/>
      <c r="DFO2461" s="60"/>
      <c r="DFP2461" s="60"/>
      <c r="DFQ2461" s="63"/>
      <c r="DFR2461" s="61"/>
      <c r="DFS2461" s="54"/>
      <c r="DFT2461" s="54"/>
      <c r="DFU2461" s="63"/>
      <c r="DFV2461" s="60"/>
      <c r="DFW2461" s="60"/>
      <c r="DFX2461" s="60"/>
      <c r="DFY2461" s="63"/>
      <c r="DFZ2461" s="61"/>
      <c r="DGA2461" s="54"/>
      <c r="DGB2461" s="54"/>
      <c r="DGC2461" s="63"/>
      <c r="DGD2461" s="60"/>
      <c r="DGE2461" s="60"/>
      <c r="DGF2461" s="60"/>
      <c r="DGG2461" s="63"/>
      <c r="DGH2461" s="61"/>
      <c r="DGI2461" s="54"/>
      <c r="DGJ2461" s="54"/>
      <c r="DGK2461" s="63"/>
      <c r="DGL2461" s="60"/>
      <c r="DGM2461" s="60"/>
      <c r="DGN2461" s="60"/>
      <c r="DGO2461" s="63"/>
      <c r="DGP2461" s="61"/>
      <c r="DGQ2461" s="54"/>
      <c r="DGR2461" s="54"/>
      <c r="DGS2461" s="63"/>
      <c r="DGT2461" s="60"/>
      <c r="DGU2461" s="60"/>
      <c r="DGV2461" s="60"/>
      <c r="DGW2461" s="63"/>
      <c r="DGX2461" s="61"/>
      <c r="DGY2461" s="54"/>
      <c r="DGZ2461" s="54"/>
      <c r="DHA2461" s="63"/>
      <c r="DHB2461" s="60"/>
      <c r="DHC2461" s="60"/>
      <c r="DHD2461" s="60"/>
      <c r="DHE2461" s="63"/>
      <c r="DHF2461" s="61"/>
      <c r="DHG2461" s="54"/>
      <c r="DHH2461" s="54"/>
      <c r="DHI2461" s="63"/>
      <c r="DHJ2461" s="60"/>
      <c r="DHK2461" s="60"/>
      <c r="DHL2461" s="60"/>
      <c r="DHM2461" s="63"/>
      <c r="DHN2461" s="61"/>
      <c r="DHO2461" s="54"/>
      <c r="DHP2461" s="54"/>
      <c r="DHQ2461" s="63"/>
      <c r="DHR2461" s="60"/>
      <c r="DHS2461" s="60"/>
      <c r="DHT2461" s="60"/>
      <c r="DHU2461" s="63"/>
      <c r="DHV2461" s="61"/>
      <c r="DHW2461" s="54"/>
      <c r="DHX2461" s="54"/>
      <c r="DHY2461" s="63"/>
      <c r="DHZ2461" s="60"/>
      <c r="DIA2461" s="60"/>
      <c r="DIB2461" s="60"/>
      <c r="DIC2461" s="63"/>
      <c r="DID2461" s="61"/>
      <c r="DIE2461" s="54"/>
      <c r="DIF2461" s="54"/>
      <c r="DIG2461" s="63"/>
      <c r="DIH2461" s="60"/>
      <c r="DII2461" s="60"/>
      <c r="DIJ2461" s="60"/>
      <c r="DIK2461" s="63"/>
      <c r="DIL2461" s="61"/>
      <c r="DIM2461" s="54"/>
      <c r="DIN2461" s="54"/>
      <c r="DIO2461" s="63"/>
      <c r="DIP2461" s="60"/>
      <c r="DIQ2461" s="60"/>
      <c r="DIR2461" s="60"/>
      <c r="DIS2461" s="63"/>
      <c r="DIT2461" s="61"/>
      <c r="DIU2461" s="54"/>
      <c r="DIV2461" s="54"/>
      <c r="DIW2461" s="63"/>
      <c r="DIX2461" s="60"/>
      <c r="DIY2461" s="60"/>
      <c r="DIZ2461" s="60"/>
      <c r="DJA2461" s="63"/>
      <c r="DJB2461" s="61"/>
      <c r="DJC2461" s="54"/>
      <c r="DJD2461" s="54"/>
      <c r="DJE2461" s="63"/>
      <c r="DJF2461" s="60"/>
      <c r="DJG2461" s="60"/>
      <c r="DJH2461" s="60"/>
      <c r="DJI2461" s="63"/>
      <c r="DJJ2461" s="61"/>
      <c r="DJK2461" s="54"/>
      <c r="DJL2461" s="54"/>
      <c r="DJM2461" s="63"/>
      <c r="DJN2461" s="60"/>
      <c r="DJO2461" s="60"/>
      <c r="DJP2461" s="60"/>
      <c r="DJQ2461" s="63"/>
      <c r="DJR2461" s="61"/>
      <c r="DJS2461" s="54"/>
      <c r="DJT2461" s="54"/>
      <c r="DJU2461" s="63"/>
      <c r="DJV2461" s="60"/>
      <c r="DJW2461" s="60"/>
      <c r="DJX2461" s="60"/>
      <c r="DJY2461" s="63"/>
      <c r="DJZ2461" s="61"/>
      <c r="DKA2461" s="54"/>
      <c r="DKB2461" s="54"/>
      <c r="DKC2461" s="63"/>
      <c r="DKD2461" s="60"/>
      <c r="DKE2461" s="60"/>
      <c r="DKF2461" s="60"/>
      <c r="DKG2461" s="63"/>
      <c r="DKH2461" s="61"/>
      <c r="DKI2461" s="54"/>
      <c r="DKJ2461" s="54"/>
      <c r="DKK2461" s="63"/>
      <c r="DKL2461" s="60"/>
      <c r="DKM2461" s="60"/>
      <c r="DKN2461" s="60"/>
      <c r="DKO2461" s="63"/>
      <c r="DKP2461" s="61"/>
      <c r="DKQ2461" s="54"/>
      <c r="DKR2461" s="54"/>
      <c r="DKS2461" s="63"/>
      <c r="DKT2461" s="60"/>
      <c r="DKU2461" s="60"/>
      <c r="DKV2461" s="60"/>
      <c r="DKW2461" s="63"/>
      <c r="DKX2461" s="61"/>
      <c r="DKY2461" s="54"/>
      <c r="DKZ2461" s="54"/>
      <c r="DLA2461" s="63"/>
      <c r="DLB2461" s="60"/>
      <c r="DLC2461" s="60"/>
      <c r="DLD2461" s="60"/>
      <c r="DLE2461" s="63"/>
      <c r="DLF2461" s="61"/>
      <c r="DLG2461" s="54"/>
      <c r="DLH2461" s="54"/>
      <c r="DLI2461" s="63"/>
      <c r="DLJ2461" s="60"/>
      <c r="DLK2461" s="60"/>
      <c r="DLL2461" s="60"/>
      <c r="DLM2461" s="63"/>
      <c r="DLN2461" s="61"/>
      <c r="DLO2461" s="54"/>
      <c r="DLP2461" s="54"/>
      <c r="DLQ2461" s="63"/>
      <c r="DLR2461" s="60"/>
      <c r="DLS2461" s="60"/>
      <c r="DLT2461" s="60"/>
      <c r="DLU2461" s="63"/>
      <c r="DLV2461" s="61"/>
      <c r="DLW2461" s="54"/>
      <c r="DLX2461" s="54"/>
      <c r="DLY2461" s="63"/>
      <c r="DLZ2461" s="60"/>
      <c r="DMA2461" s="60"/>
      <c r="DMB2461" s="60"/>
      <c r="DMC2461" s="63"/>
      <c r="DMD2461" s="61"/>
      <c r="DME2461" s="54"/>
      <c r="DMF2461" s="54"/>
      <c r="DMG2461" s="63"/>
      <c r="DMH2461" s="60"/>
      <c r="DMI2461" s="60"/>
      <c r="DMJ2461" s="60"/>
      <c r="DMK2461" s="63"/>
      <c r="DML2461" s="61"/>
      <c r="DMM2461" s="54"/>
      <c r="DMN2461" s="54"/>
      <c r="DMO2461" s="63"/>
      <c r="DMP2461" s="60"/>
      <c r="DMQ2461" s="60"/>
      <c r="DMR2461" s="60"/>
      <c r="DMS2461" s="63"/>
      <c r="DMT2461" s="61"/>
      <c r="DMU2461" s="54"/>
      <c r="DMV2461" s="54"/>
      <c r="DMW2461" s="63"/>
      <c r="DMX2461" s="60"/>
      <c r="DMY2461" s="60"/>
      <c r="DMZ2461" s="60"/>
      <c r="DNA2461" s="63"/>
      <c r="DNB2461" s="61"/>
      <c r="DNC2461" s="54"/>
      <c r="DND2461" s="54"/>
      <c r="DNE2461" s="63"/>
      <c r="DNF2461" s="60"/>
      <c r="DNG2461" s="60"/>
      <c r="DNH2461" s="60"/>
      <c r="DNI2461" s="63"/>
      <c r="DNJ2461" s="61"/>
      <c r="DNK2461" s="54"/>
      <c r="DNL2461" s="54"/>
      <c r="DNM2461" s="63"/>
      <c r="DNN2461" s="60"/>
      <c r="DNO2461" s="60"/>
      <c r="DNP2461" s="60"/>
      <c r="DNQ2461" s="63"/>
      <c r="DNR2461" s="61"/>
      <c r="DNS2461" s="54"/>
      <c r="DNT2461" s="54"/>
      <c r="DNU2461" s="63"/>
      <c r="DNV2461" s="60"/>
      <c r="DNW2461" s="60"/>
      <c r="DNX2461" s="60"/>
      <c r="DNY2461" s="63"/>
      <c r="DNZ2461" s="61"/>
      <c r="DOA2461" s="54"/>
      <c r="DOB2461" s="54"/>
      <c r="DOC2461" s="63"/>
      <c r="DOD2461" s="60"/>
      <c r="DOE2461" s="60"/>
      <c r="DOF2461" s="60"/>
      <c r="DOG2461" s="63"/>
      <c r="DOH2461" s="61"/>
      <c r="DOI2461" s="54"/>
      <c r="DOJ2461" s="54"/>
      <c r="DOK2461" s="63"/>
      <c r="DOL2461" s="60"/>
      <c r="DOM2461" s="60"/>
      <c r="DON2461" s="60"/>
      <c r="DOO2461" s="63"/>
      <c r="DOP2461" s="61"/>
      <c r="DOQ2461" s="54"/>
      <c r="DOR2461" s="54"/>
      <c r="DOS2461" s="63"/>
      <c r="DOT2461" s="60"/>
      <c r="DOU2461" s="60"/>
      <c r="DOV2461" s="60"/>
      <c r="DOW2461" s="63"/>
      <c r="DOX2461" s="61"/>
      <c r="DOY2461" s="54"/>
      <c r="DOZ2461" s="54"/>
      <c r="DPA2461" s="63"/>
      <c r="DPB2461" s="60"/>
      <c r="DPC2461" s="60"/>
      <c r="DPD2461" s="60"/>
      <c r="DPE2461" s="63"/>
      <c r="DPF2461" s="61"/>
      <c r="DPG2461" s="54"/>
      <c r="DPH2461" s="54"/>
      <c r="DPI2461" s="63"/>
      <c r="DPJ2461" s="60"/>
      <c r="DPK2461" s="60"/>
      <c r="DPL2461" s="60"/>
      <c r="DPM2461" s="63"/>
      <c r="DPN2461" s="61"/>
      <c r="DPO2461" s="54"/>
      <c r="DPP2461" s="54"/>
      <c r="DPQ2461" s="63"/>
      <c r="DPR2461" s="60"/>
      <c r="DPS2461" s="60"/>
      <c r="DPT2461" s="60"/>
      <c r="DPU2461" s="63"/>
      <c r="DPV2461" s="61"/>
      <c r="DPW2461" s="54"/>
      <c r="DPX2461" s="54"/>
      <c r="DPY2461" s="63"/>
      <c r="DPZ2461" s="60"/>
      <c r="DQA2461" s="60"/>
      <c r="DQB2461" s="60"/>
      <c r="DQC2461" s="63"/>
      <c r="DQD2461" s="61"/>
      <c r="DQE2461" s="54"/>
      <c r="DQF2461" s="54"/>
      <c r="DQG2461" s="63"/>
      <c r="DQH2461" s="60"/>
      <c r="DQI2461" s="60"/>
      <c r="DQJ2461" s="60"/>
      <c r="DQK2461" s="63"/>
      <c r="DQL2461" s="61"/>
      <c r="DQM2461" s="54"/>
      <c r="DQN2461" s="54"/>
      <c r="DQO2461" s="63"/>
      <c r="DQP2461" s="60"/>
      <c r="DQQ2461" s="60"/>
      <c r="DQR2461" s="60"/>
      <c r="DQS2461" s="63"/>
      <c r="DQT2461" s="61"/>
      <c r="DQU2461" s="54"/>
      <c r="DQV2461" s="54"/>
      <c r="DQW2461" s="63"/>
      <c r="DQX2461" s="60"/>
      <c r="DQY2461" s="60"/>
      <c r="DQZ2461" s="60"/>
      <c r="DRA2461" s="63"/>
      <c r="DRB2461" s="61"/>
      <c r="DRC2461" s="54"/>
      <c r="DRD2461" s="54"/>
      <c r="DRE2461" s="63"/>
      <c r="DRF2461" s="60"/>
      <c r="DRG2461" s="60"/>
      <c r="DRH2461" s="60"/>
      <c r="DRI2461" s="63"/>
      <c r="DRJ2461" s="61"/>
      <c r="DRK2461" s="54"/>
      <c r="DRL2461" s="54"/>
      <c r="DRM2461" s="63"/>
      <c r="DRN2461" s="60"/>
      <c r="DRO2461" s="60"/>
      <c r="DRP2461" s="60"/>
      <c r="DRQ2461" s="63"/>
      <c r="DRR2461" s="61"/>
      <c r="DRS2461" s="54"/>
      <c r="DRT2461" s="54"/>
      <c r="DRU2461" s="63"/>
      <c r="DRV2461" s="60"/>
      <c r="DRW2461" s="60"/>
      <c r="DRX2461" s="60"/>
      <c r="DRY2461" s="63"/>
      <c r="DRZ2461" s="61"/>
      <c r="DSA2461" s="54"/>
      <c r="DSB2461" s="54"/>
      <c r="DSC2461" s="63"/>
      <c r="DSD2461" s="60"/>
      <c r="DSE2461" s="60"/>
      <c r="DSF2461" s="60"/>
      <c r="DSG2461" s="63"/>
      <c r="DSH2461" s="61"/>
      <c r="DSI2461" s="54"/>
      <c r="DSJ2461" s="54"/>
      <c r="DSK2461" s="63"/>
      <c r="DSL2461" s="60"/>
      <c r="DSM2461" s="60"/>
      <c r="DSN2461" s="60"/>
      <c r="DSO2461" s="63"/>
      <c r="DSP2461" s="61"/>
      <c r="DSQ2461" s="54"/>
      <c r="DSR2461" s="54"/>
      <c r="DSS2461" s="63"/>
      <c r="DST2461" s="60"/>
      <c r="DSU2461" s="60"/>
      <c r="DSV2461" s="60"/>
      <c r="DSW2461" s="63"/>
      <c r="DSX2461" s="61"/>
      <c r="DSY2461" s="54"/>
      <c r="DSZ2461" s="54"/>
      <c r="DTA2461" s="63"/>
      <c r="DTB2461" s="60"/>
      <c r="DTC2461" s="60"/>
      <c r="DTD2461" s="60"/>
      <c r="DTE2461" s="63"/>
      <c r="DTF2461" s="61"/>
      <c r="DTG2461" s="54"/>
      <c r="DTH2461" s="54"/>
      <c r="DTI2461" s="63"/>
      <c r="DTJ2461" s="60"/>
      <c r="DTK2461" s="60"/>
      <c r="DTL2461" s="60"/>
      <c r="DTM2461" s="63"/>
      <c r="DTN2461" s="61"/>
      <c r="DTO2461" s="54"/>
      <c r="DTP2461" s="54"/>
      <c r="DTQ2461" s="63"/>
      <c r="DTR2461" s="60"/>
      <c r="DTS2461" s="60"/>
      <c r="DTT2461" s="60"/>
      <c r="DTU2461" s="63"/>
      <c r="DTV2461" s="61"/>
      <c r="DTW2461" s="54"/>
      <c r="DTX2461" s="54"/>
      <c r="DTY2461" s="63"/>
      <c r="DTZ2461" s="60"/>
      <c r="DUA2461" s="60"/>
      <c r="DUB2461" s="60"/>
      <c r="DUC2461" s="63"/>
      <c r="DUD2461" s="61"/>
      <c r="DUE2461" s="54"/>
      <c r="DUF2461" s="54"/>
      <c r="DUG2461" s="63"/>
      <c r="DUH2461" s="60"/>
      <c r="DUI2461" s="60"/>
      <c r="DUJ2461" s="60"/>
      <c r="DUK2461" s="63"/>
      <c r="DUL2461" s="61"/>
      <c r="DUM2461" s="54"/>
      <c r="DUN2461" s="54"/>
      <c r="DUO2461" s="63"/>
      <c r="DUP2461" s="60"/>
      <c r="DUQ2461" s="60"/>
      <c r="DUR2461" s="60"/>
      <c r="DUS2461" s="63"/>
      <c r="DUT2461" s="61"/>
      <c r="DUU2461" s="54"/>
      <c r="DUV2461" s="54"/>
      <c r="DUW2461" s="63"/>
      <c r="DUX2461" s="60"/>
      <c r="DUY2461" s="60"/>
      <c r="DUZ2461" s="60"/>
      <c r="DVA2461" s="63"/>
      <c r="DVB2461" s="61"/>
      <c r="DVC2461" s="54"/>
      <c r="DVD2461" s="54"/>
      <c r="DVE2461" s="63"/>
      <c r="DVF2461" s="60"/>
      <c r="DVG2461" s="60"/>
      <c r="DVH2461" s="60"/>
      <c r="DVI2461" s="63"/>
      <c r="DVJ2461" s="61"/>
      <c r="DVK2461" s="54"/>
      <c r="DVL2461" s="54"/>
      <c r="DVM2461" s="63"/>
      <c r="DVN2461" s="60"/>
      <c r="DVO2461" s="60"/>
      <c r="DVP2461" s="60"/>
      <c r="DVQ2461" s="63"/>
      <c r="DVR2461" s="61"/>
      <c r="DVS2461" s="54"/>
      <c r="DVT2461" s="54"/>
      <c r="DVU2461" s="63"/>
      <c r="DVV2461" s="60"/>
      <c r="DVW2461" s="60"/>
      <c r="DVX2461" s="60"/>
      <c r="DVY2461" s="63"/>
      <c r="DVZ2461" s="61"/>
      <c r="DWA2461" s="54"/>
      <c r="DWB2461" s="54"/>
      <c r="DWC2461" s="63"/>
      <c r="DWD2461" s="60"/>
      <c r="DWE2461" s="60"/>
      <c r="DWF2461" s="60"/>
      <c r="DWG2461" s="63"/>
      <c r="DWH2461" s="61"/>
      <c r="DWI2461" s="54"/>
      <c r="DWJ2461" s="54"/>
      <c r="DWK2461" s="63"/>
      <c r="DWL2461" s="60"/>
      <c r="DWM2461" s="60"/>
      <c r="DWN2461" s="60"/>
      <c r="DWO2461" s="63"/>
      <c r="DWP2461" s="61"/>
      <c r="DWQ2461" s="54"/>
      <c r="DWR2461" s="54"/>
      <c r="DWS2461" s="63"/>
      <c r="DWT2461" s="60"/>
      <c r="DWU2461" s="60"/>
      <c r="DWV2461" s="60"/>
      <c r="DWW2461" s="63"/>
      <c r="DWX2461" s="61"/>
      <c r="DWY2461" s="54"/>
      <c r="DWZ2461" s="54"/>
      <c r="DXA2461" s="63"/>
      <c r="DXB2461" s="60"/>
      <c r="DXC2461" s="60"/>
      <c r="DXD2461" s="60"/>
      <c r="DXE2461" s="63"/>
      <c r="DXF2461" s="61"/>
      <c r="DXG2461" s="54"/>
      <c r="DXH2461" s="54"/>
      <c r="DXI2461" s="63"/>
      <c r="DXJ2461" s="60"/>
      <c r="DXK2461" s="60"/>
      <c r="DXL2461" s="60"/>
      <c r="DXM2461" s="63"/>
      <c r="DXN2461" s="61"/>
      <c r="DXO2461" s="54"/>
      <c r="DXP2461" s="54"/>
      <c r="DXQ2461" s="63"/>
      <c r="DXR2461" s="60"/>
      <c r="DXS2461" s="60"/>
      <c r="DXT2461" s="60"/>
      <c r="DXU2461" s="63"/>
      <c r="DXV2461" s="61"/>
      <c r="DXW2461" s="54"/>
      <c r="DXX2461" s="54"/>
      <c r="DXY2461" s="63"/>
      <c r="DXZ2461" s="60"/>
      <c r="DYA2461" s="60"/>
      <c r="DYB2461" s="60"/>
      <c r="DYC2461" s="63"/>
      <c r="DYD2461" s="61"/>
      <c r="DYE2461" s="54"/>
      <c r="DYF2461" s="54"/>
      <c r="DYG2461" s="63"/>
      <c r="DYH2461" s="60"/>
      <c r="DYI2461" s="60"/>
      <c r="DYJ2461" s="60"/>
      <c r="DYK2461" s="63"/>
      <c r="DYL2461" s="61"/>
      <c r="DYM2461" s="54"/>
      <c r="DYN2461" s="54"/>
      <c r="DYO2461" s="63"/>
      <c r="DYP2461" s="60"/>
      <c r="DYQ2461" s="60"/>
      <c r="DYR2461" s="60"/>
      <c r="DYS2461" s="63"/>
      <c r="DYT2461" s="61"/>
      <c r="DYU2461" s="54"/>
      <c r="DYV2461" s="54"/>
      <c r="DYW2461" s="63"/>
      <c r="DYX2461" s="60"/>
      <c r="DYY2461" s="60"/>
      <c r="DYZ2461" s="60"/>
      <c r="DZA2461" s="63"/>
      <c r="DZB2461" s="61"/>
      <c r="DZC2461" s="54"/>
      <c r="DZD2461" s="54"/>
      <c r="DZE2461" s="63"/>
      <c r="DZF2461" s="60"/>
      <c r="DZG2461" s="60"/>
      <c r="DZH2461" s="60"/>
      <c r="DZI2461" s="63"/>
      <c r="DZJ2461" s="61"/>
      <c r="DZK2461" s="54"/>
      <c r="DZL2461" s="54"/>
      <c r="DZM2461" s="63"/>
      <c r="DZN2461" s="60"/>
      <c r="DZO2461" s="60"/>
      <c r="DZP2461" s="60"/>
      <c r="DZQ2461" s="63"/>
      <c r="DZR2461" s="61"/>
      <c r="DZS2461" s="54"/>
      <c r="DZT2461" s="54"/>
      <c r="DZU2461" s="63"/>
      <c r="DZV2461" s="60"/>
      <c r="DZW2461" s="60"/>
      <c r="DZX2461" s="60"/>
      <c r="DZY2461" s="63"/>
      <c r="DZZ2461" s="61"/>
      <c r="EAA2461" s="54"/>
      <c r="EAB2461" s="54"/>
      <c r="EAC2461" s="63"/>
      <c r="EAD2461" s="60"/>
      <c r="EAE2461" s="60"/>
      <c r="EAF2461" s="60"/>
      <c r="EAG2461" s="63"/>
      <c r="EAH2461" s="61"/>
      <c r="EAI2461" s="54"/>
      <c r="EAJ2461" s="54"/>
      <c r="EAK2461" s="63"/>
      <c r="EAL2461" s="60"/>
      <c r="EAM2461" s="60"/>
      <c r="EAN2461" s="60"/>
      <c r="EAO2461" s="63"/>
      <c r="EAP2461" s="61"/>
      <c r="EAQ2461" s="54"/>
      <c r="EAR2461" s="54"/>
      <c r="EAS2461" s="63"/>
      <c r="EAT2461" s="60"/>
      <c r="EAU2461" s="60"/>
      <c r="EAV2461" s="60"/>
      <c r="EAW2461" s="63"/>
      <c r="EAX2461" s="61"/>
      <c r="EAY2461" s="54"/>
      <c r="EAZ2461" s="54"/>
      <c r="EBA2461" s="63"/>
      <c r="EBB2461" s="60"/>
      <c r="EBC2461" s="60"/>
      <c r="EBD2461" s="60"/>
      <c r="EBE2461" s="63"/>
      <c r="EBF2461" s="61"/>
      <c r="EBG2461" s="54"/>
      <c r="EBH2461" s="54"/>
      <c r="EBI2461" s="63"/>
      <c r="EBJ2461" s="60"/>
      <c r="EBK2461" s="60"/>
      <c r="EBL2461" s="60"/>
      <c r="EBM2461" s="63"/>
      <c r="EBN2461" s="61"/>
      <c r="EBO2461" s="54"/>
      <c r="EBP2461" s="54"/>
      <c r="EBQ2461" s="63"/>
      <c r="EBR2461" s="60"/>
      <c r="EBS2461" s="60"/>
      <c r="EBT2461" s="60"/>
      <c r="EBU2461" s="63"/>
      <c r="EBV2461" s="61"/>
      <c r="EBW2461" s="54"/>
      <c r="EBX2461" s="54"/>
      <c r="EBY2461" s="63"/>
      <c r="EBZ2461" s="60"/>
      <c r="ECA2461" s="60"/>
      <c r="ECB2461" s="60"/>
      <c r="ECC2461" s="63"/>
      <c r="ECD2461" s="61"/>
      <c r="ECE2461" s="54"/>
      <c r="ECF2461" s="54"/>
      <c r="ECG2461" s="63"/>
      <c r="ECH2461" s="60"/>
      <c r="ECI2461" s="60"/>
      <c r="ECJ2461" s="60"/>
      <c r="ECK2461" s="63"/>
      <c r="ECL2461" s="61"/>
      <c r="ECM2461" s="54"/>
      <c r="ECN2461" s="54"/>
      <c r="ECO2461" s="63"/>
      <c r="ECP2461" s="60"/>
      <c r="ECQ2461" s="60"/>
      <c r="ECR2461" s="60"/>
      <c r="ECS2461" s="63"/>
      <c r="ECT2461" s="61"/>
      <c r="ECU2461" s="54"/>
      <c r="ECV2461" s="54"/>
      <c r="ECW2461" s="63"/>
      <c r="ECX2461" s="60"/>
      <c r="ECY2461" s="60"/>
      <c r="ECZ2461" s="60"/>
      <c r="EDA2461" s="63"/>
      <c r="EDB2461" s="61"/>
      <c r="EDC2461" s="54"/>
      <c r="EDD2461" s="54"/>
      <c r="EDE2461" s="63"/>
      <c r="EDF2461" s="60"/>
      <c r="EDG2461" s="60"/>
      <c r="EDH2461" s="60"/>
      <c r="EDI2461" s="63"/>
      <c r="EDJ2461" s="61"/>
      <c r="EDK2461" s="54"/>
      <c r="EDL2461" s="54"/>
      <c r="EDM2461" s="63"/>
      <c r="EDN2461" s="60"/>
      <c r="EDO2461" s="60"/>
      <c r="EDP2461" s="60"/>
      <c r="EDQ2461" s="63"/>
      <c r="EDR2461" s="61"/>
      <c r="EDS2461" s="54"/>
      <c r="EDT2461" s="54"/>
      <c r="EDU2461" s="63"/>
      <c r="EDV2461" s="60"/>
      <c r="EDW2461" s="60"/>
      <c r="EDX2461" s="60"/>
      <c r="EDY2461" s="63"/>
      <c r="EDZ2461" s="61"/>
      <c r="EEA2461" s="54"/>
      <c r="EEB2461" s="54"/>
      <c r="EEC2461" s="63"/>
      <c r="EED2461" s="60"/>
      <c r="EEE2461" s="60"/>
      <c r="EEF2461" s="60"/>
      <c r="EEG2461" s="63"/>
      <c r="EEH2461" s="61"/>
      <c r="EEI2461" s="54"/>
      <c r="EEJ2461" s="54"/>
      <c r="EEK2461" s="63"/>
      <c r="EEL2461" s="60"/>
      <c r="EEM2461" s="60"/>
      <c r="EEN2461" s="60"/>
      <c r="EEO2461" s="63"/>
      <c r="EEP2461" s="61"/>
      <c r="EEQ2461" s="54"/>
      <c r="EER2461" s="54"/>
      <c r="EES2461" s="63"/>
      <c r="EET2461" s="60"/>
      <c r="EEU2461" s="60"/>
      <c r="EEV2461" s="60"/>
      <c r="EEW2461" s="63"/>
      <c r="EEX2461" s="61"/>
      <c r="EEY2461" s="54"/>
      <c r="EEZ2461" s="54"/>
      <c r="EFA2461" s="63"/>
      <c r="EFB2461" s="60"/>
      <c r="EFC2461" s="60"/>
      <c r="EFD2461" s="60"/>
      <c r="EFE2461" s="63"/>
      <c r="EFF2461" s="61"/>
      <c r="EFG2461" s="54"/>
      <c r="EFH2461" s="54"/>
      <c r="EFI2461" s="63"/>
      <c r="EFJ2461" s="60"/>
      <c r="EFK2461" s="60"/>
      <c r="EFL2461" s="60"/>
      <c r="EFM2461" s="63"/>
      <c r="EFN2461" s="61"/>
      <c r="EFO2461" s="54"/>
      <c r="EFP2461" s="54"/>
      <c r="EFQ2461" s="63"/>
      <c r="EFR2461" s="60"/>
      <c r="EFS2461" s="60"/>
      <c r="EFT2461" s="60"/>
      <c r="EFU2461" s="63"/>
      <c r="EFV2461" s="61"/>
      <c r="EFW2461" s="54"/>
      <c r="EFX2461" s="54"/>
      <c r="EFY2461" s="63"/>
      <c r="EFZ2461" s="60"/>
      <c r="EGA2461" s="60"/>
      <c r="EGB2461" s="60"/>
      <c r="EGC2461" s="63"/>
      <c r="EGD2461" s="61"/>
      <c r="EGE2461" s="54"/>
      <c r="EGF2461" s="54"/>
      <c r="EGG2461" s="63"/>
      <c r="EGH2461" s="60"/>
      <c r="EGI2461" s="60"/>
      <c r="EGJ2461" s="60"/>
      <c r="EGK2461" s="63"/>
      <c r="EGL2461" s="61"/>
      <c r="EGM2461" s="54"/>
      <c r="EGN2461" s="54"/>
      <c r="EGO2461" s="63"/>
      <c r="EGP2461" s="60"/>
      <c r="EGQ2461" s="60"/>
      <c r="EGR2461" s="60"/>
      <c r="EGS2461" s="63"/>
      <c r="EGT2461" s="61"/>
      <c r="EGU2461" s="54"/>
      <c r="EGV2461" s="54"/>
      <c r="EGW2461" s="63"/>
      <c r="EGX2461" s="60"/>
      <c r="EGY2461" s="60"/>
      <c r="EGZ2461" s="60"/>
      <c r="EHA2461" s="63"/>
      <c r="EHB2461" s="61"/>
      <c r="EHC2461" s="54"/>
      <c r="EHD2461" s="54"/>
      <c r="EHE2461" s="63"/>
      <c r="EHF2461" s="60"/>
      <c r="EHG2461" s="60"/>
      <c r="EHH2461" s="60"/>
      <c r="EHI2461" s="63"/>
      <c r="EHJ2461" s="61"/>
      <c r="EHK2461" s="54"/>
      <c r="EHL2461" s="54"/>
      <c r="EHM2461" s="63"/>
      <c r="EHN2461" s="60"/>
      <c r="EHO2461" s="60"/>
      <c r="EHP2461" s="60"/>
      <c r="EHQ2461" s="63"/>
      <c r="EHR2461" s="61"/>
      <c r="EHS2461" s="54"/>
      <c r="EHT2461" s="54"/>
      <c r="EHU2461" s="63"/>
      <c r="EHV2461" s="60"/>
      <c r="EHW2461" s="60"/>
      <c r="EHX2461" s="60"/>
      <c r="EHY2461" s="63"/>
      <c r="EHZ2461" s="61"/>
      <c r="EIA2461" s="54"/>
      <c r="EIB2461" s="54"/>
      <c r="EIC2461" s="63"/>
      <c r="EID2461" s="60"/>
      <c r="EIE2461" s="60"/>
      <c r="EIF2461" s="60"/>
      <c r="EIG2461" s="63"/>
      <c r="EIH2461" s="61"/>
      <c r="EII2461" s="54"/>
      <c r="EIJ2461" s="54"/>
      <c r="EIK2461" s="63"/>
      <c r="EIL2461" s="60"/>
      <c r="EIM2461" s="60"/>
      <c r="EIN2461" s="60"/>
      <c r="EIO2461" s="63"/>
      <c r="EIP2461" s="61"/>
      <c r="EIQ2461" s="54"/>
      <c r="EIR2461" s="54"/>
      <c r="EIS2461" s="63"/>
      <c r="EIT2461" s="60"/>
      <c r="EIU2461" s="60"/>
      <c r="EIV2461" s="60"/>
      <c r="EIW2461" s="63"/>
      <c r="EIX2461" s="61"/>
      <c r="EIY2461" s="54"/>
      <c r="EIZ2461" s="54"/>
      <c r="EJA2461" s="63"/>
      <c r="EJB2461" s="60"/>
      <c r="EJC2461" s="60"/>
      <c r="EJD2461" s="60"/>
      <c r="EJE2461" s="63"/>
      <c r="EJF2461" s="61"/>
      <c r="EJG2461" s="54"/>
      <c r="EJH2461" s="54"/>
      <c r="EJI2461" s="63"/>
      <c r="EJJ2461" s="60"/>
      <c r="EJK2461" s="60"/>
      <c r="EJL2461" s="60"/>
      <c r="EJM2461" s="63"/>
      <c r="EJN2461" s="61"/>
      <c r="EJO2461" s="54"/>
      <c r="EJP2461" s="54"/>
      <c r="EJQ2461" s="63"/>
      <c r="EJR2461" s="60"/>
      <c r="EJS2461" s="60"/>
      <c r="EJT2461" s="60"/>
      <c r="EJU2461" s="63"/>
      <c r="EJV2461" s="61"/>
      <c r="EJW2461" s="54"/>
      <c r="EJX2461" s="54"/>
      <c r="EJY2461" s="63"/>
      <c r="EJZ2461" s="60"/>
      <c r="EKA2461" s="60"/>
      <c r="EKB2461" s="60"/>
      <c r="EKC2461" s="63"/>
      <c r="EKD2461" s="61"/>
      <c r="EKE2461" s="54"/>
      <c r="EKF2461" s="54"/>
      <c r="EKG2461" s="63"/>
      <c r="EKH2461" s="60"/>
      <c r="EKI2461" s="60"/>
      <c r="EKJ2461" s="60"/>
      <c r="EKK2461" s="63"/>
      <c r="EKL2461" s="61"/>
      <c r="EKM2461" s="54"/>
      <c r="EKN2461" s="54"/>
      <c r="EKO2461" s="63"/>
      <c r="EKP2461" s="60"/>
      <c r="EKQ2461" s="60"/>
      <c r="EKR2461" s="60"/>
      <c r="EKS2461" s="63"/>
      <c r="EKT2461" s="61"/>
      <c r="EKU2461" s="54"/>
      <c r="EKV2461" s="54"/>
      <c r="EKW2461" s="63"/>
      <c r="EKX2461" s="60"/>
      <c r="EKY2461" s="60"/>
      <c r="EKZ2461" s="60"/>
      <c r="ELA2461" s="63"/>
      <c r="ELB2461" s="61"/>
      <c r="ELC2461" s="54"/>
      <c r="ELD2461" s="54"/>
      <c r="ELE2461" s="63"/>
      <c r="ELF2461" s="60"/>
      <c r="ELG2461" s="60"/>
      <c r="ELH2461" s="60"/>
      <c r="ELI2461" s="63"/>
      <c r="ELJ2461" s="61"/>
      <c r="ELK2461" s="54"/>
      <c r="ELL2461" s="54"/>
      <c r="ELM2461" s="63"/>
      <c r="ELN2461" s="60"/>
      <c r="ELO2461" s="60"/>
      <c r="ELP2461" s="60"/>
      <c r="ELQ2461" s="63"/>
      <c r="ELR2461" s="61"/>
      <c r="ELS2461" s="54"/>
      <c r="ELT2461" s="54"/>
      <c r="ELU2461" s="63"/>
      <c r="ELV2461" s="60"/>
      <c r="ELW2461" s="60"/>
      <c r="ELX2461" s="60"/>
      <c r="ELY2461" s="63"/>
      <c r="ELZ2461" s="61"/>
      <c r="EMA2461" s="54"/>
      <c r="EMB2461" s="54"/>
      <c r="EMC2461" s="63"/>
      <c r="EMD2461" s="60"/>
      <c r="EME2461" s="60"/>
      <c r="EMF2461" s="60"/>
      <c r="EMG2461" s="63"/>
      <c r="EMH2461" s="61"/>
      <c r="EMI2461" s="54"/>
      <c r="EMJ2461" s="54"/>
      <c r="EMK2461" s="63"/>
      <c r="EML2461" s="60"/>
      <c r="EMM2461" s="60"/>
      <c r="EMN2461" s="60"/>
      <c r="EMO2461" s="63"/>
      <c r="EMP2461" s="61"/>
      <c r="EMQ2461" s="54"/>
      <c r="EMR2461" s="54"/>
      <c r="EMS2461" s="63"/>
      <c r="EMT2461" s="60"/>
      <c r="EMU2461" s="60"/>
      <c r="EMV2461" s="60"/>
      <c r="EMW2461" s="63"/>
      <c r="EMX2461" s="61"/>
      <c r="EMY2461" s="54"/>
      <c r="EMZ2461" s="54"/>
      <c r="ENA2461" s="63"/>
      <c r="ENB2461" s="60"/>
      <c r="ENC2461" s="60"/>
      <c r="END2461" s="60"/>
      <c r="ENE2461" s="63"/>
      <c r="ENF2461" s="61"/>
      <c r="ENG2461" s="54"/>
      <c r="ENH2461" s="54"/>
      <c r="ENI2461" s="63"/>
      <c r="ENJ2461" s="60"/>
      <c r="ENK2461" s="60"/>
      <c r="ENL2461" s="60"/>
      <c r="ENM2461" s="63"/>
      <c r="ENN2461" s="61"/>
      <c r="ENO2461" s="54"/>
      <c r="ENP2461" s="54"/>
      <c r="ENQ2461" s="63"/>
      <c r="ENR2461" s="60"/>
      <c r="ENS2461" s="60"/>
      <c r="ENT2461" s="60"/>
      <c r="ENU2461" s="63"/>
      <c r="ENV2461" s="61"/>
      <c r="ENW2461" s="54"/>
      <c r="ENX2461" s="54"/>
      <c r="ENY2461" s="63"/>
      <c r="ENZ2461" s="60"/>
      <c r="EOA2461" s="60"/>
      <c r="EOB2461" s="60"/>
      <c r="EOC2461" s="63"/>
      <c r="EOD2461" s="61"/>
      <c r="EOE2461" s="54"/>
      <c r="EOF2461" s="54"/>
      <c r="EOG2461" s="63"/>
      <c r="EOH2461" s="60"/>
      <c r="EOI2461" s="60"/>
      <c r="EOJ2461" s="60"/>
      <c r="EOK2461" s="63"/>
      <c r="EOL2461" s="61"/>
      <c r="EOM2461" s="54"/>
      <c r="EON2461" s="54"/>
      <c r="EOO2461" s="63"/>
      <c r="EOP2461" s="60"/>
      <c r="EOQ2461" s="60"/>
      <c r="EOR2461" s="60"/>
      <c r="EOS2461" s="63"/>
      <c r="EOT2461" s="61"/>
      <c r="EOU2461" s="54"/>
      <c r="EOV2461" s="54"/>
      <c r="EOW2461" s="63"/>
      <c r="EOX2461" s="60"/>
      <c r="EOY2461" s="60"/>
      <c r="EOZ2461" s="60"/>
      <c r="EPA2461" s="63"/>
      <c r="EPB2461" s="61"/>
      <c r="EPC2461" s="54"/>
      <c r="EPD2461" s="54"/>
      <c r="EPE2461" s="63"/>
      <c r="EPF2461" s="60"/>
      <c r="EPG2461" s="60"/>
      <c r="EPH2461" s="60"/>
      <c r="EPI2461" s="63"/>
      <c r="EPJ2461" s="61"/>
      <c r="EPK2461" s="54"/>
      <c r="EPL2461" s="54"/>
      <c r="EPM2461" s="63"/>
      <c r="EPN2461" s="60"/>
      <c r="EPO2461" s="60"/>
      <c r="EPP2461" s="60"/>
      <c r="EPQ2461" s="63"/>
      <c r="EPR2461" s="61"/>
      <c r="EPS2461" s="54"/>
      <c r="EPT2461" s="54"/>
      <c r="EPU2461" s="63"/>
      <c r="EPV2461" s="60"/>
      <c r="EPW2461" s="60"/>
      <c r="EPX2461" s="60"/>
      <c r="EPY2461" s="63"/>
      <c r="EPZ2461" s="61"/>
      <c r="EQA2461" s="54"/>
      <c r="EQB2461" s="54"/>
      <c r="EQC2461" s="63"/>
      <c r="EQD2461" s="60"/>
      <c r="EQE2461" s="60"/>
      <c r="EQF2461" s="60"/>
      <c r="EQG2461" s="63"/>
      <c r="EQH2461" s="61"/>
      <c r="EQI2461" s="54"/>
      <c r="EQJ2461" s="54"/>
      <c r="EQK2461" s="63"/>
      <c r="EQL2461" s="60"/>
      <c r="EQM2461" s="60"/>
      <c r="EQN2461" s="60"/>
      <c r="EQO2461" s="63"/>
      <c r="EQP2461" s="61"/>
      <c r="EQQ2461" s="54"/>
      <c r="EQR2461" s="54"/>
      <c r="EQS2461" s="63"/>
      <c r="EQT2461" s="60"/>
      <c r="EQU2461" s="60"/>
      <c r="EQV2461" s="60"/>
      <c r="EQW2461" s="63"/>
      <c r="EQX2461" s="61"/>
      <c r="EQY2461" s="54"/>
      <c r="EQZ2461" s="54"/>
      <c r="ERA2461" s="63"/>
      <c r="ERB2461" s="60"/>
      <c r="ERC2461" s="60"/>
      <c r="ERD2461" s="60"/>
      <c r="ERE2461" s="63"/>
      <c r="ERF2461" s="61"/>
      <c r="ERG2461" s="54"/>
      <c r="ERH2461" s="54"/>
      <c r="ERI2461" s="63"/>
      <c r="ERJ2461" s="60"/>
      <c r="ERK2461" s="60"/>
      <c r="ERL2461" s="60"/>
      <c r="ERM2461" s="63"/>
      <c r="ERN2461" s="61"/>
      <c r="ERO2461" s="54"/>
      <c r="ERP2461" s="54"/>
      <c r="ERQ2461" s="63"/>
      <c r="ERR2461" s="60"/>
      <c r="ERS2461" s="60"/>
      <c r="ERT2461" s="60"/>
      <c r="ERU2461" s="63"/>
      <c r="ERV2461" s="61"/>
      <c r="ERW2461" s="54"/>
      <c r="ERX2461" s="54"/>
      <c r="ERY2461" s="63"/>
      <c r="ERZ2461" s="60"/>
      <c r="ESA2461" s="60"/>
      <c r="ESB2461" s="60"/>
      <c r="ESC2461" s="63"/>
      <c r="ESD2461" s="61"/>
      <c r="ESE2461" s="54"/>
      <c r="ESF2461" s="54"/>
      <c r="ESG2461" s="63"/>
      <c r="ESH2461" s="60"/>
      <c r="ESI2461" s="60"/>
      <c r="ESJ2461" s="60"/>
      <c r="ESK2461" s="63"/>
      <c r="ESL2461" s="61"/>
      <c r="ESM2461" s="54"/>
      <c r="ESN2461" s="54"/>
      <c r="ESO2461" s="63"/>
      <c r="ESP2461" s="60"/>
      <c r="ESQ2461" s="60"/>
      <c r="ESR2461" s="60"/>
      <c r="ESS2461" s="63"/>
      <c r="EST2461" s="61"/>
      <c r="ESU2461" s="54"/>
      <c r="ESV2461" s="54"/>
      <c r="ESW2461" s="63"/>
      <c r="ESX2461" s="60"/>
      <c r="ESY2461" s="60"/>
      <c r="ESZ2461" s="60"/>
      <c r="ETA2461" s="63"/>
      <c r="ETB2461" s="61"/>
      <c r="ETC2461" s="54"/>
      <c r="ETD2461" s="54"/>
      <c r="ETE2461" s="63"/>
      <c r="ETF2461" s="60"/>
      <c r="ETG2461" s="60"/>
      <c r="ETH2461" s="60"/>
      <c r="ETI2461" s="63"/>
      <c r="ETJ2461" s="61"/>
      <c r="ETK2461" s="54"/>
      <c r="ETL2461" s="54"/>
      <c r="ETM2461" s="63"/>
      <c r="ETN2461" s="60"/>
      <c r="ETO2461" s="60"/>
      <c r="ETP2461" s="60"/>
      <c r="ETQ2461" s="63"/>
      <c r="ETR2461" s="61"/>
      <c r="ETS2461" s="54"/>
      <c r="ETT2461" s="54"/>
      <c r="ETU2461" s="63"/>
      <c r="ETV2461" s="60"/>
      <c r="ETW2461" s="60"/>
      <c r="ETX2461" s="60"/>
      <c r="ETY2461" s="63"/>
      <c r="ETZ2461" s="61"/>
      <c r="EUA2461" s="54"/>
      <c r="EUB2461" s="54"/>
      <c r="EUC2461" s="63"/>
      <c r="EUD2461" s="60"/>
      <c r="EUE2461" s="60"/>
      <c r="EUF2461" s="60"/>
      <c r="EUG2461" s="63"/>
      <c r="EUH2461" s="61"/>
      <c r="EUI2461" s="54"/>
      <c r="EUJ2461" s="54"/>
      <c r="EUK2461" s="63"/>
      <c r="EUL2461" s="60"/>
      <c r="EUM2461" s="60"/>
      <c r="EUN2461" s="60"/>
      <c r="EUO2461" s="63"/>
      <c r="EUP2461" s="61"/>
      <c r="EUQ2461" s="54"/>
      <c r="EUR2461" s="54"/>
      <c r="EUS2461" s="63"/>
      <c r="EUT2461" s="60"/>
      <c r="EUU2461" s="60"/>
      <c r="EUV2461" s="60"/>
      <c r="EUW2461" s="63"/>
      <c r="EUX2461" s="61"/>
      <c r="EUY2461" s="54"/>
      <c r="EUZ2461" s="54"/>
      <c r="EVA2461" s="63"/>
      <c r="EVB2461" s="60"/>
      <c r="EVC2461" s="60"/>
      <c r="EVD2461" s="60"/>
      <c r="EVE2461" s="63"/>
      <c r="EVF2461" s="61"/>
      <c r="EVG2461" s="54"/>
      <c r="EVH2461" s="54"/>
      <c r="EVI2461" s="63"/>
      <c r="EVJ2461" s="60"/>
      <c r="EVK2461" s="60"/>
      <c r="EVL2461" s="60"/>
      <c r="EVM2461" s="63"/>
      <c r="EVN2461" s="61"/>
      <c r="EVO2461" s="54"/>
      <c r="EVP2461" s="54"/>
      <c r="EVQ2461" s="63"/>
      <c r="EVR2461" s="60"/>
      <c r="EVS2461" s="60"/>
      <c r="EVT2461" s="60"/>
      <c r="EVU2461" s="63"/>
      <c r="EVV2461" s="61"/>
      <c r="EVW2461" s="54"/>
      <c r="EVX2461" s="54"/>
      <c r="EVY2461" s="63"/>
      <c r="EVZ2461" s="60"/>
      <c r="EWA2461" s="60"/>
      <c r="EWB2461" s="60"/>
      <c r="EWC2461" s="63"/>
      <c r="EWD2461" s="61"/>
      <c r="EWE2461" s="54"/>
      <c r="EWF2461" s="54"/>
      <c r="EWG2461" s="63"/>
      <c r="EWH2461" s="60"/>
      <c r="EWI2461" s="60"/>
      <c r="EWJ2461" s="60"/>
      <c r="EWK2461" s="63"/>
      <c r="EWL2461" s="61"/>
      <c r="EWM2461" s="54"/>
      <c r="EWN2461" s="54"/>
      <c r="EWO2461" s="63"/>
      <c r="EWP2461" s="60"/>
      <c r="EWQ2461" s="60"/>
      <c r="EWR2461" s="60"/>
      <c r="EWS2461" s="63"/>
      <c r="EWT2461" s="61"/>
      <c r="EWU2461" s="54"/>
      <c r="EWV2461" s="54"/>
      <c r="EWW2461" s="63"/>
      <c r="EWX2461" s="60"/>
      <c r="EWY2461" s="60"/>
      <c r="EWZ2461" s="60"/>
      <c r="EXA2461" s="63"/>
      <c r="EXB2461" s="61"/>
      <c r="EXC2461" s="54"/>
      <c r="EXD2461" s="54"/>
      <c r="EXE2461" s="63"/>
      <c r="EXF2461" s="60"/>
      <c r="EXG2461" s="60"/>
      <c r="EXH2461" s="60"/>
      <c r="EXI2461" s="63"/>
      <c r="EXJ2461" s="61"/>
      <c r="EXK2461" s="54"/>
      <c r="EXL2461" s="54"/>
      <c r="EXM2461" s="63"/>
      <c r="EXN2461" s="60"/>
      <c r="EXO2461" s="60"/>
      <c r="EXP2461" s="60"/>
      <c r="EXQ2461" s="63"/>
      <c r="EXR2461" s="61"/>
      <c r="EXS2461" s="54"/>
      <c r="EXT2461" s="54"/>
      <c r="EXU2461" s="63"/>
      <c r="EXV2461" s="60"/>
      <c r="EXW2461" s="60"/>
      <c r="EXX2461" s="60"/>
      <c r="EXY2461" s="63"/>
      <c r="EXZ2461" s="61"/>
      <c r="EYA2461" s="54"/>
      <c r="EYB2461" s="54"/>
      <c r="EYC2461" s="63"/>
      <c r="EYD2461" s="60"/>
      <c r="EYE2461" s="60"/>
      <c r="EYF2461" s="60"/>
      <c r="EYG2461" s="63"/>
      <c r="EYH2461" s="61"/>
      <c r="EYI2461" s="54"/>
      <c r="EYJ2461" s="54"/>
      <c r="EYK2461" s="63"/>
      <c r="EYL2461" s="60"/>
      <c r="EYM2461" s="60"/>
      <c r="EYN2461" s="60"/>
      <c r="EYO2461" s="63"/>
      <c r="EYP2461" s="61"/>
      <c r="EYQ2461" s="54"/>
      <c r="EYR2461" s="54"/>
      <c r="EYS2461" s="63"/>
      <c r="EYT2461" s="60"/>
      <c r="EYU2461" s="60"/>
      <c r="EYV2461" s="60"/>
      <c r="EYW2461" s="63"/>
      <c r="EYX2461" s="61"/>
      <c r="EYY2461" s="54"/>
      <c r="EYZ2461" s="54"/>
      <c r="EZA2461" s="63"/>
      <c r="EZB2461" s="60"/>
      <c r="EZC2461" s="60"/>
      <c r="EZD2461" s="60"/>
      <c r="EZE2461" s="63"/>
      <c r="EZF2461" s="61"/>
      <c r="EZG2461" s="54"/>
      <c r="EZH2461" s="54"/>
      <c r="EZI2461" s="63"/>
      <c r="EZJ2461" s="60"/>
      <c r="EZK2461" s="60"/>
      <c r="EZL2461" s="60"/>
      <c r="EZM2461" s="63"/>
      <c r="EZN2461" s="61"/>
      <c r="EZO2461" s="54"/>
      <c r="EZP2461" s="54"/>
      <c r="EZQ2461" s="63"/>
      <c r="EZR2461" s="60"/>
      <c r="EZS2461" s="60"/>
      <c r="EZT2461" s="60"/>
      <c r="EZU2461" s="63"/>
      <c r="EZV2461" s="61"/>
      <c r="EZW2461" s="54"/>
      <c r="EZX2461" s="54"/>
      <c r="EZY2461" s="63"/>
      <c r="EZZ2461" s="60"/>
      <c r="FAA2461" s="60"/>
      <c r="FAB2461" s="60"/>
      <c r="FAC2461" s="63"/>
      <c r="FAD2461" s="61"/>
      <c r="FAE2461" s="54"/>
      <c r="FAF2461" s="54"/>
      <c r="FAG2461" s="63"/>
      <c r="FAH2461" s="60"/>
      <c r="FAI2461" s="60"/>
      <c r="FAJ2461" s="60"/>
      <c r="FAK2461" s="63"/>
      <c r="FAL2461" s="61"/>
      <c r="FAM2461" s="54"/>
      <c r="FAN2461" s="54"/>
      <c r="FAO2461" s="63"/>
      <c r="FAP2461" s="60"/>
      <c r="FAQ2461" s="60"/>
      <c r="FAR2461" s="60"/>
      <c r="FAS2461" s="63"/>
      <c r="FAT2461" s="61"/>
      <c r="FAU2461" s="54"/>
      <c r="FAV2461" s="54"/>
      <c r="FAW2461" s="63"/>
      <c r="FAX2461" s="60"/>
      <c r="FAY2461" s="60"/>
      <c r="FAZ2461" s="60"/>
      <c r="FBA2461" s="63"/>
      <c r="FBB2461" s="61"/>
      <c r="FBC2461" s="54"/>
      <c r="FBD2461" s="54"/>
      <c r="FBE2461" s="63"/>
      <c r="FBF2461" s="60"/>
      <c r="FBG2461" s="60"/>
      <c r="FBH2461" s="60"/>
      <c r="FBI2461" s="63"/>
      <c r="FBJ2461" s="61"/>
      <c r="FBK2461" s="54"/>
      <c r="FBL2461" s="54"/>
      <c r="FBM2461" s="63"/>
      <c r="FBN2461" s="60"/>
      <c r="FBO2461" s="60"/>
      <c r="FBP2461" s="60"/>
      <c r="FBQ2461" s="63"/>
      <c r="FBR2461" s="61"/>
      <c r="FBS2461" s="54"/>
      <c r="FBT2461" s="54"/>
      <c r="FBU2461" s="63"/>
      <c r="FBV2461" s="60"/>
      <c r="FBW2461" s="60"/>
      <c r="FBX2461" s="60"/>
      <c r="FBY2461" s="63"/>
      <c r="FBZ2461" s="61"/>
      <c r="FCA2461" s="54"/>
      <c r="FCB2461" s="54"/>
      <c r="FCC2461" s="63"/>
      <c r="FCD2461" s="60"/>
      <c r="FCE2461" s="60"/>
      <c r="FCF2461" s="60"/>
      <c r="FCG2461" s="63"/>
      <c r="FCH2461" s="61"/>
      <c r="FCI2461" s="54"/>
      <c r="FCJ2461" s="54"/>
      <c r="FCK2461" s="63"/>
      <c r="FCL2461" s="60"/>
      <c r="FCM2461" s="60"/>
      <c r="FCN2461" s="60"/>
      <c r="FCO2461" s="63"/>
      <c r="FCP2461" s="61"/>
      <c r="FCQ2461" s="54"/>
      <c r="FCR2461" s="54"/>
      <c r="FCS2461" s="63"/>
      <c r="FCT2461" s="60"/>
      <c r="FCU2461" s="60"/>
      <c r="FCV2461" s="60"/>
      <c r="FCW2461" s="63"/>
      <c r="FCX2461" s="61"/>
      <c r="FCY2461" s="54"/>
      <c r="FCZ2461" s="54"/>
      <c r="FDA2461" s="63"/>
      <c r="FDB2461" s="60"/>
      <c r="FDC2461" s="60"/>
      <c r="FDD2461" s="60"/>
      <c r="FDE2461" s="63"/>
      <c r="FDF2461" s="61"/>
      <c r="FDG2461" s="54"/>
      <c r="FDH2461" s="54"/>
      <c r="FDI2461" s="63"/>
      <c r="FDJ2461" s="60"/>
      <c r="FDK2461" s="60"/>
      <c r="FDL2461" s="60"/>
      <c r="FDM2461" s="63"/>
      <c r="FDN2461" s="61"/>
      <c r="FDO2461" s="54"/>
      <c r="FDP2461" s="54"/>
      <c r="FDQ2461" s="63"/>
      <c r="FDR2461" s="60"/>
      <c r="FDS2461" s="60"/>
      <c r="FDT2461" s="60"/>
      <c r="FDU2461" s="63"/>
      <c r="FDV2461" s="61"/>
      <c r="FDW2461" s="54"/>
      <c r="FDX2461" s="54"/>
      <c r="FDY2461" s="63"/>
      <c r="FDZ2461" s="60"/>
      <c r="FEA2461" s="60"/>
      <c r="FEB2461" s="60"/>
      <c r="FEC2461" s="63"/>
      <c r="FED2461" s="61"/>
      <c r="FEE2461" s="54"/>
      <c r="FEF2461" s="54"/>
      <c r="FEG2461" s="63"/>
      <c r="FEH2461" s="60"/>
      <c r="FEI2461" s="60"/>
      <c r="FEJ2461" s="60"/>
      <c r="FEK2461" s="63"/>
      <c r="FEL2461" s="61"/>
      <c r="FEM2461" s="54"/>
      <c r="FEN2461" s="54"/>
      <c r="FEO2461" s="63"/>
      <c r="FEP2461" s="60"/>
      <c r="FEQ2461" s="60"/>
      <c r="FER2461" s="60"/>
      <c r="FES2461" s="63"/>
      <c r="FET2461" s="61"/>
      <c r="FEU2461" s="54"/>
      <c r="FEV2461" s="54"/>
      <c r="FEW2461" s="63"/>
      <c r="FEX2461" s="60"/>
      <c r="FEY2461" s="60"/>
      <c r="FEZ2461" s="60"/>
      <c r="FFA2461" s="63"/>
      <c r="FFB2461" s="61"/>
      <c r="FFC2461" s="54"/>
      <c r="FFD2461" s="54"/>
      <c r="FFE2461" s="63"/>
      <c r="FFF2461" s="60"/>
      <c r="FFG2461" s="60"/>
      <c r="FFH2461" s="60"/>
      <c r="FFI2461" s="63"/>
      <c r="FFJ2461" s="61"/>
      <c r="FFK2461" s="54"/>
      <c r="FFL2461" s="54"/>
      <c r="FFM2461" s="63"/>
      <c r="FFN2461" s="60"/>
      <c r="FFO2461" s="60"/>
      <c r="FFP2461" s="60"/>
      <c r="FFQ2461" s="63"/>
      <c r="FFR2461" s="61"/>
      <c r="FFS2461" s="54"/>
      <c r="FFT2461" s="54"/>
      <c r="FFU2461" s="63"/>
      <c r="FFV2461" s="60"/>
      <c r="FFW2461" s="60"/>
      <c r="FFX2461" s="60"/>
      <c r="FFY2461" s="63"/>
      <c r="FFZ2461" s="61"/>
      <c r="FGA2461" s="54"/>
      <c r="FGB2461" s="54"/>
      <c r="FGC2461" s="63"/>
      <c r="FGD2461" s="60"/>
      <c r="FGE2461" s="60"/>
      <c r="FGF2461" s="60"/>
      <c r="FGG2461" s="63"/>
      <c r="FGH2461" s="61"/>
      <c r="FGI2461" s="54"/>
      <c r="FGJ2461" s="54"/>
      <c r="FGK2461" s="63"/>
      <c r="FGL2461" s="60"/>
      <c r="FGM2461" s="60"/>
      <c r="FGN2461" s="60"/>
      <c r="FGO2461" s="63"/>
      <c r="FGP2461" s="61"/>
      <c r="FGQ2461" s="54"/>
      <c r="FGR2461" s="54"/>
      <c r="FGS2461" s="63"/>
      <c r="FGT2461" s="60"/>
      <c r="FGU2461" s="60"/>
      <c r="FGV2461" s="60"/>
      <c r="FGW2461" s="63"/>
      <c r="FGX2461" s="61"/>
      <c r="FGY2461" s="54"/>
      <c r="FGZ2461" s="54"/>
      <c r="FHA2461" s="63"/>
      <c r="FHB2461" s="60"/>
      <c r="FHC2461" s="60"/>
      <c r="FHD2461" s="60"/>
      <c r="FHE2461" s="63"/>
      <c r="FHF2461" s="61"/>
      <c r="FHG2461" s="54"/>
      <c r="FHH2461" s="54"/>
      <c r="FHI2461" s="63"/>
      <c r="FHJ2461" s="60"/>
      <c r="FHK2461" s="60"/>
      <c r="FHL2461" s="60"/>
      <c r="FHM2461" s="63"/>
      <c r="FHN2461" s="61"/>
      <c r="FHO2461" s="54"/>
      <c r="FHP2461" s="54"/>
      <c r="FHQ2461" s="63"/>
      <c r="FHR2461" s="60"/>
      <c r="FHS2461" s="60"/>
      <c r="FHT2461" s="60"/>
      <c r="FHU2461" s="63"/>
      <c r="FHV2461" s="61"/>
      <c r="FHW2461" s="54"/>
      <c r="FHX2461" s="54"/>
      <c r="FHY2461" s="63"/>
      <c r="FHZ2461" s="60"/>
      <c r="FIA2461" s="60"/>
      <c r="FIB2461" s="60"/>
      <c r="FIC2461" s="63"/>
      <c r="FID2461" s="61"/>
      <c r="FIE2461" s="54"/>
      <c r="FIF2461" s="54"/>
      <c r="FIG2461" s="63"/>
      <c r="FIH2461" s="60"/>
      <c r="FII2461" s="60"/>
      <c r="FIJ2461" s="60"/>
      <c r="FIK2461" s="63"/>
      <c r="FIL2461" s="61"/>
      <c r="FIM2461" s="54"/>
      <c r="FIN2461" s="54"/>
      <c r="FIO2461" s="63"/>
      <c r="FIP2461" s="60"/>
      <c r="FIQ2461" s="60"/>
      <c r="FIR2461" s="60"/>
      <c r="FIS2461" s="63"/>
      <c r="FIT2461" s="61"/>
      <c r="FIU2461" s="54"/>
      <c r="FIV2461" s="54"/>
      <c r="FIW2461" s="63"/>
      <c r="FIX2461" s="60"/>
      <c r="FIY2461" s="60"/>
      <c r="FIZ2461" s="60"/>
      <c r="FJA2461" s="63"/>
      <c r="FJB2461" s="61"/>
      <c r="FJC2461" s="54"/>
      <c r="FJD2461" s="54"/>
      <c r="FJE2461" s="63"/>
      <c r="FJF2461" s="60"/>
      <c r="FJG2461" s="60"/>
      <c r="FJH2461" s="60"/>
      <c r="FJI2461" s="63"/>
      <c r="FJJ2461" s="61"/>
      <c r="FJK2461" s="54"/>
      <c r="FJL2461" s="54"/>
      <c r="FJM2461" s="63"/>
      <c r="FJN2461" s="60"/>
      <c r="FJO2461" s="60"/>
      <c r="FJP2461" s="60"/>
      <c r="FJQ2461" s="63"/>
      <c r="FJR2461" s="61"/>
      <c r="FJS2461" s="54"/>
      <c r="FJT2461" s="54"/>
      <c r="FJU2461" s="63"/>
      <c r="FJV2461" s="60"/>
      <c r="FJW2461" s="60"/>
      <c r="FJX2461" s="60"/>
      <c r="FJY2461" s="63"/>
      <c r="FJZ2461" s="61"/>
      <c r="FKA2461" s="54"/>
      <c r="FKB2461" s="54"/>
      <c r="FKC2461" s="63"/>
      <c r="FKD2461" s="60"/>
      <c r="FKE2461" s="60"/>
      <c r="FKF2461" s="60"/>
      <c r="FKG2461" s="63"/>
      <c r="FKH2461" s="61"/>
      <c r="FKI2461" s="54"/>
      <c r="FKJ2461" s="54"/>
      <c r="FKK2461" s="63"/>
      <c r="FKL2461" s="60"/>
      <c r="FKM2461" s="60"/>
      <c r="FKN2461" s="60"/>
      <c r="FKO2461" s="63"/>
      <c r="FKP2461" s="61"/>
      <c r="FKQ2461" s="54"/>
      <c r="FKR2461" s="54"/>
      <c r="FKS2461" s="63"/>
      <c r="FKT2461" s="60"/>
      <c r="FKU2461" s="60"/>
      <c r="FKV2461" s="60"/>
      <c r="FKW2461" s="63"/>
      <c r="FKX2461" s="61"/>
      <c r="FKY2461" s="54"/>
      <c r="FKZ2461" s="54"/>
      <c r="FLA2461" s="63"/>
      <c r="FLB2461" s="60"/>
      <c r="FLC2461" s="60"/>
      <c r="FLD2461" s="60"/>
      <c r="FLE2461" s="63"/>
      <c r="FLF2461" s="61"/>
      <c r="FLG2461" s="54"/>
      <c r="FLH2461" s="54"/>
      <c r="FLI2461" s="63"/>
      <c r="FLJ2461" s="60"/>
      <c r="FLK2461" s="60"/>
      <c r="FLL2461" s="60"/>
      <c r="FLM2461" s="63"/>
      <c r="FLN2461" s="61"/>
      <c r="FLO2461" s="54"/>
      <c r="FLP2461" s="54"/>
      <c r="FLQ2461" s="63"/>
      <c r="FLR2461" s="60"/>
      <c r="FLS2461" s="60"/>
      <c r="FLT2461" s="60"/>
      <c r="FLU2461" s="63"/>
      <c r="FLV2461" s="61"/>
      <c r="FLW2461" s="54"/>
      <c r="FLX2461" s="54"/>
      <c r="FLY2461" s="63"/>
      <c r="FLZ2461" s="60"/>
      <c r="FMA2461" s="60"/>
      <c r="FMB2461" s="60"/>
      <c r="FMC2461" s="63"/>
      <c r="FMD2461" s="61"/>
      <c r="FME2461" s="54"/>
      <c r="FMF2461" s="54"/>
      <c r="FMG2461" s="63"/>
      <c r="FMH2461" s="60"/>
      <c r="FMI2461" s="60"/>
      <c r="FMJ2461" s="60"/>
      <c r="FMK2461" s="63"/>
      <c r="FML2461" s="61"/>
      <c r="FMM2461" s="54"/>
      <c r="FMN2461" s="54"/>
      <c r="FMO2461" s="63"/>
      <c r="FMP2461" s="60"/>
      <c r="FMQ2461" s="60"/>
      <c r="FMR2461" s="60"/>
      <c r="FMS2461" s="63"/>
      <c r="FMT2461" s="61"/>
      <c r="FMU2461" s="54"/>
      <c r="FMV2461" s="54"/>
      <c r="FMW2461" s="63"/>
      <c r="FMX2461" s="60"/>
      <c r="FMY2461" s="60"/>
      <c r="FMZ2461" s="60"/>
      <c r="FNA2461" s="63"/>
      <c r="FNB2461" s="61"/>
      <c r="FNC2461" s="54"/>
      <c r="FND2461" s="54"/>
      <c r="FNE2461" s="63"/>
      <c r="FNF2461" s="60"/>
      <c r="FNG2461" s="60"/>
      <c r="FNH2461" s="60"/>
      <c r="FNI2461" s="63"/>
      <c r="FNJ2461" s="61"/>
      <c r="FNK2461" s="54"/>
      <c r="FNL2461" s="54"/>
      <c r="FNM2461" s="63"/>
      <c r="FNN2461" s="60"/>
      <c r="FNO2461" s="60"/>
      <c r="FNP2461" s="60"/>
      <c r="FNQ2461" s="63"/>
      <c r="FNR2461" s="61"/>
      <c r="FNS2461" s="54"/>
      <c r="FNT2461" s="54"/>
      <c r="FNU2461" s="63"/>
      <c r="FNV2461" s="60"/>
      <c r="FNW2461" s="60"/>
      <c r="FNX2461" s="60"/>
      <c r="FNY2461" s="63"/>
      <c r="FNZ2461" s="61"/>
      <c r="FOA2461" s="54"/>
      <c r="FOB2461" s="54"/>
      <c r="FOC2461" s="63"/>
      <c r="FOD2461" s="60"/>
      <c r="FOE2461" s="60"/>
      <c r="FOF2461" s="60"/>
      <c r="FOG2461" s="63"/>
      <c r="FOH2461" s="61"/>
      <c r="FOI2461" s="54"/>
      <c r="FOJ2461" s="54"/>
      <c r="FOK2461" s="63"/>
      <c r="FOL2461" s="60"/>
      <c r="FOM2461" s="60"/>
      <c r="FON2461" s="60"/>
      <c r="FOO2461" s="63"/>
      <c r="FOP2461" s="61"/>
      <c r="FOQ2461" s="54"/>
      <c r="FOR2461" s="54"/>
      <c r="FOS2461" s="63"/>
      <c r="FOT2461" s="60"/>
      <c r="FOU2461" s="60"/>
      <c r="FOV2461" s="60"/>
      <c r="FOW2461" s="63"/>
      <c r="FOX2461" s="61"/>
      <c r="FOY2461" s="54"/>
      <c r="FOZ2461" s="54"/>
      <c r="FPA2461" s="63"/>
      <c r="FPB2461" s="60"/>
      <c r="FPC2461" s="60"/>
      <c r="FPD2461" s="60"/>
      <c r="FPE2461" s="63"/>
      <c r="FPF2461" s="61"/>
      <c r="FPG2461" s="54"/>
      <c r="FPH2461" s="54"/>
      <c r="FPI2461" s="63"/>
      <c r="FPJ2461" s="60"/>
      <c r="FPK2461" s="60"/>
      <c r="FPL2461" s="60"/>
      <c r="FPM2461" s="63"/>
      <c r="FPN2461" s="61"/>
      <c r="FPO2461" s="54"/>
      <c r="FPP2461" s="54"/>
      <c r="FPQ2461" s="63"/>
      <c r="FPR2461" s="60"/>
      <c r="FPS2461" s="60"/>
      <c r="FPT2461" s="60"/>
      <c r="FPU2461" s="63"/>
      <c r="FPV2461" s="61"/>
      <c r="FPW2461" s="54"/>
      <c r="FPX2461" s="54"/>
      <c r="FPY2461" s="63"/>
      <c r="FPZ2461" s="60"/>
      <c r="FQA2461" s="60"/>
      <c r="FQB2461" s="60"/>
      <c r="FQC2461" s="63"/>
      <c r="FQD2461" s="61"/>
      <c r="FQE2461" s="54"/>
      <c r="FQF2461" s="54"/>
      <c r="FQG2461" s="63"/>
      <c r="FQH2461" s="60"/>
      <c r="FQI2461" s="60"/>
      <c r="FQJ2461" s="60"/>
      <c r="FQK2461" s="63"/>
      <c r="FQL2461" s="61"/>
      <c r="FQM2461" s="54"/>
      <c r="FQN2461" s="54"/>
      <c r="FQO2461" s="63"/>
      <c r="FQP2461" s="60"/>
      <c r="FQQ2461" s="60"/>
      <c r="FQR2461" s="60"/>
      <c r="FQS2461" s="63"/>
      <c r="FQT2461" s="61"/>
      <c r="FQU2461" s="54"/>
      <c r="FQV2461" s="54"/>
      <c r="FQW2461" s="63"/>
      <c r="FQX2461" s="60"/>
      <c r="FQY2461" s="60"/>
      <c r="FQZ2461" s="60"/>
      <c r="FRA2461" s="63"/>
      <c r="FRB2461" s="61"/>
      <c r="FRC2461" s="54"/>
      <c r="FRD2461" s="54"/>
      <c r="FRE2461" s="63"/>
      <c r="FRF2461" s="60"/>
      <c r="FRG2461" s="60"/>
      <c r="FRH2461" s="60"/>
      <c r="FRI2461" s="63"/>
      <c r="FRJ2461" s="61"/>
      <c r="FRK2461" s="54"/>
      <c r="FRL2461" s="54"/>
      <c r="FRM2461" s="63"/>
      <c r="FRN2461" s="60"/>
      <c r="FRO2461" s="60"/>
      <c r="FRP2461" s="60"/>
      <c r="FRQ2461" s="63"/>
      <c r="FRR2461" s="61"/>
      <c r="FRS2461" s="54"/>
      <c r="FRT2461" s="54"/>
      <c r="FRU2461" s="63"/>
      <c r="FRV2461" s="60"/>
      <c r="FRW2461" s="60"/>
      <c r="FRX2461" s="60"/>
      <c r="FRY2461" s="63"/>
      <c r="FRZ2461" s="61"/>
      <c r="FSA2461" s="54"/>
      <c r="FSB2461" s="54"/>
      <c r="FSC2461" s="63"/>
      <c r="FSD2461" s="60"/>
      <c r="FSE2461" s="60"/>
      <c r="FSF2461" s="60"/>
      <c r="FSG2461" s="63"/>
      <c r="FSH2461" s="61"/>
      <c r="FSI2461" s="54"/>
      <c r="FSJ2461" s="54"/>
      <c r="FSK2461" s="63"/>
      <c r="FSL2461" s="60"/>
      <c r="FSM2461" s="60"/>
      <c r="FSN2461" s="60"/>
      <c r="FSO2461" s="63"/>
      <c r="FSP2461" s="61"/>
      <c r="FSQ2461" s="54"/>
      <c r="FSR2461" s="54"/>
      <c r="FSS2461" s="63"/>
      <c r="FST2461" s="60"/>
      <c r="FSU2461" s="60"/>
      <c r="FSV2461" s="60"/>
      <c r="FSW2461" s="63"/>
      <c r="FSX2461" s="61"/>
      <c r="FSY2461" s="54"/>
      <c r="FSZ2461" s="54"/>
      <c r="FTA2461" s="63"/>
      <c r="FTB2461" s="60"/>
      <c r="FTC2461" s="60"/>
      <c r="FTD2461" s="60"/>
      <c r="FTE2461" s="63"/>
      <c r="FTF2461" s="61"/>
      <c r="FTG2461" s="54"/>
      <c r="FTH2461" s="54"/>
      <c r="FTI2461" s="63"/>
      <c r="FTJ2461" s="60"/>
      <c r="FTK2461" s="60"/>
      <c r="FTL2461" s="60"/>
      <c r="FTM2461" s="63"/>
      <c r="FTN2461" s="61"/>
      <c r="FTO2461" s="54"/>
      <c r="FTP2461" s="54"/>
      <c r="FTQ2461" s="63"/>
      <c r="FTR2461" s="60"/>
      <c r="FTS2461" s="60"/>
      <c r="FTT2461" s="60"/>
      <c r="FTU2461" s="63"/>
      <c r="FTV2461" s="61"/>
      <c r="FTW2461" s="54"/>
      <c r="FTX2461" s="54"/>
      <c r="FTY2461" s="63"/>
      <c r="FTZ2461" s="60"/>
      <c r="FUA2461" s="60"/>
      <c r="FUB2461" s="60"/>
      <c r="FUC2461" s="63"/>
      <c r="FUD2461" s="61"/>
      <c r="FUE2461" s="54"/>
      <c r="FUF2461" s="54"/>
      <c r="FUG2461" s="63"/>
      <c r="FUH2461" s="60"/>
      <c r="FUI2461" s="60"/>
      <c r="FUJ2461" s="60"/>
      <c r="FUK2461" s="63"/>
      <c r="FUL2461" s="61"/>
      <c r="FUM2461" s="54"/>
      <c r="FUN2461" s="54"/>
      <c r="FUO2461" s="63"/>
      <c r="FUP2461" s="60"/>
      <c r="FUQ2461" s="60"/>
      <c r="FUR2461" s="60"/>
      <c r="FUS2461" s="63"/>
      <c r="FUT2461" s="61"/>
      <c r="FUU2461" s="54"/>
      <c r="FUV2461" s="54"/>
      <c r="FUW2461" s="63"/>
      <c r="FUX2461" s="60"/>
      <c r="FUY2461" s="60"/>
      <c r="FUZ2461" s="60"/>
      <c r="FVA2461" s="63"/>
      <c r="FVB2461" s="61"/>
      <c r="FVC2461" s="54"/>
      <c r="FVD2461" s="54"/>
      <c r="FVE2461" s="63"/>
      <c r="FVF2461" s="60"/>
      <c r="FVG2461" s="60"/>
      <c r="FVH2461" s="60"/>
      <c r="FVI2461" s="63"/>
      <c r="FVJ2461" s="61"/>
      <c r="FVK2461" s="54"/>
      <c r="FVL2461" s="54"/>
      <c r="FVM2461" s="63"/>
      <c r="FVN2461" s="60"/>
      <c r="FVO2461" s="60"/>
      <c r="FVP2461" s="60"/>
      <c r="FVQ2461" s="63"/>
      <c r="FVR2461" s="61"/>
      <c r="FVS2461" s="54"/>
      <c r="FVT2461" s="54"/>
      <c r="FVU2461" s="63"/>
      <c r="FVV2461" s="60"/>
      <c r="FVW2461" s="60"/>
      <c r="FVX2461" s="60"/>
      <c r="FVY2461" s="63"/>
      <c r="FVZ2461" s="61"/>
      <c r="FWA2461" s="54"/>
      <c r="FWB2461" s="54"/>
      <c r="FWC2461" s="63"/>
      <c r="FWD2461" s="60"/>
      <c r="FWE2461" s="60"/>
      <c r="FWF2461" s="60"/>
      <c r="FWG2461" s="63"/>
      <c r="FWH2461" s="61"/>
      <c r="FWI2461" s="54"/>
      <c r="FWJ2461" s="54"/>
      <c r="FWK2461" s="63"/>
      <c r="FWL2461" s="60"/>
      <c r="FWM2461" s="60"/>
      <c r="FWN2461" s="60"/>
      <c r="FWO2461" s="63"/>
      <c r="FWP2461" s="61"/>
      <c r="FWQ2461" s="54"/>
      <c r="FWR2461" s="54"/>
      <c r="FWS2461" s="63"/>
      <c r="FWT2461" s="60"/>
      <c r="FWU2461" s="60"/>
      <c r="FWV2461" s="60"/>
      <c r="FWW2461" s="63"/>
      <c r="FWX2461" s="61"/>
      <c r="FWY2461" s="54"/>
      <c r="FWZ2461" s="54"/>
      <c r="FXA2461" s="63"/>
      <c r="FXB2461" s="60"/>
      <c r="FXC2461" s="60"/>
      <c r="FXD2461" s="60"/>
      <c r="FXE2461" s="63"/>
      <c r="FXF2461" s="61"/>
      <c r="FXG2461" s="54"/>
      <c r="FXH2461" s="54"/>
      <c r="FXI2461" s="63"/>
      <c r="FXJ2461" s="60"/>
      <c r="FXK2461" s="60"/>
      <c r="FXL2461" s="60"/>
      <c r="FXM2461" s="63"/>
      <c r="FXN2461" s="61"/>
      <c r="FXO2461" s="54"/>
      <c r="FXP2461" s="54"/>
      <c r="FXQ2461" s="63"/>
      <c r="FXR2461" s="60"/>
      <c r="FXS2461" s="60"/>
      <c r="FXT2461" s="60"/>
      <c r="FXU2461" s="63"/>
      <c r="FXV2461" s="61"/>
      <c r="FXW2461" s="54"/>
      <c r="FXX2461" s="54"/>
      <c r="FXY2461" s="63"/>
      <c r="FXZ2461" s="60"/>
      <c r="FYA2461" s="60"/>
      <c r="FYB2461" s="60"/>
      <c r="FYC2461" s="63"/>
      <c r="FYD2461" s="61"/>
      <c r="FYE2461" s="54"/>
      <c r="FYF2461" s="54"/>
      <c r="FYG2461" s="63"/>
      <c r="FYH2461" s="60"/>
      <c r="FYI2461" s="60"/>
      <c r="FYJ2461" s="60"/>
      <c r="FYK2461" s="63"/>
      <c r="FYL2461" s="61"/>
      <c r="FYM2461" s="54"/>
      <c r="FYN2461" s="54"/>
      <c r="FYO2461" s="63"/>
      <c r="FYP2461" s="60"/>
      <c r="FYQ2461" s="60"/>
      <c r="FYR2461" s="60"/>
      <c r="FYS2461" s="63"/>
      <c r="FYT2461" s="61"/>
      <c r="FYU2461" s="54"/>
      <c r="FYV2461" s="54"/>
      <c r="FYW2461" s="63"/>
      <c r="FYX2461" s="60"/>
      <c r="FYY2461" s="60"/>
      <c r="FYZ2461" s="60"/>
      <c r="FZA2461" s="63"/>
      <c r="FZB2461" s="61"/>
      <c r="FZC2461" s="54"/>
      <c r="FZD2461" s="54"/>
      <c r="FZE2461" s="63"/>
      <c r="FZF2461" s="60"/>
      <c r="FZG2461" s="60"/>
      <c r="FZH2461" s="60"/>
      <c r="FZI2461" s="63"/>
      <c r="FZJ2461" s="61"/>
      <c r="FZK2461" s="54"/>
      <c r="FZL2461" s="54"/>
      <c r="FZM2461" s="63"/>
      <c r="FZN2461" s="60"/>
      <c r="FZO2461" s="60"/>
      <c r="FZP2461" s="60"/>
      <c r="FZQ2461" s="63"/>
      <c r="FZR2461" s="61"/>
      <c r="FZS2461" s="54"/>
      <c r="FZT2461" s="54"/>
      <c r="FZU2461" s="63"/>
      <c r="FZV2461" s="60"/>
      <c r="FZW2461" s="60"/>
      <c r="FZX2461" s="60"/>
      <c r="FZY2461" s="63"/>
      <c r="FZZ2461" s="61"/>
      <c r="GAA2461" s="54"/>
      <c r="GAB2461" s="54"/>
      <c r="GAC2461" s="63"/>
      <c r="GAD2461" s="60"/>
      <c r="GAE2461" s="60"/>
      <c r="GAF2461" s="60"/>
      <c r="GAG2461" s="63"/>
      <c r="GAH2461" s="61"/>
      <c r="GAI2461" s="54"/>
      <c r="GAJ2461" s="54"/>
      <c r="GAK2461" s="63"/>
      <c r="GAL2461" s="60"/>
      <c r="GAM2461" s="60"/>
      <c r="GAN2461" s="60"/>
      <c r="GAO2461" s="63"/>
      <c r="GAP2461" s="61"/>
      <c r="GAQ2461" s="54"/>
      <c r="GAR2461" s="54"/>
      <c r="GAS2461" s="63"/>
      <c r="GAT2461" s="60"/>
      <c r="GAU2461" s="60"/>
      <c r="GAV2461" s="60"/>
      <c r="GAW2461" s="63"/>
      <c r="GAX2461" s="61"/>
      <c r="GAY2461" s="54"/>
      <c r="GAZ2461" s="54"/>
      <c r="GBA2461" s="63"/>
      <c r="GBB2461" s="60"/>
      <c r="GBC2461" s="60"/>
      <c r="GBD2461" s="60"/>
      <c r="GBE2461" s="63"/>
      <c r="GBF2461" s="61"/>
      <c r="GBG2461" s="54"/>
      <c r="GBH2461" s="54"/>
      <c r="GBI2461" s="63"/>
      <c r="GBJ2461" s="60"/>
      <c r="GBK2461" s="60"/>
      <c r="GBL2461" s="60"/>
      <c r="GBM2461" s="63"/>
      <c r="GBN2461" s="61"/>
      <c r="GBO2461" s="54"/>
      <c r="GBP2461" s="54"/>
      <c r="GBQ2461" s="63"/>
      <c r="GBR2461" s="60"/>
      <c r="GBS2461" s="60"/>
      <c r="GBT2461" s="60"/>
      <c r="GBU2461" s="63"/>
      <c r="GBV2461" s="61"/>
      <c r="GBW2461" s="54"/>
      <c r="GBX2461" s="54"/>
      <c r="GBY2461" s="63"/>
      <c r="GBZ2461" s="60"/>
      <c r="GCA2461" s="60"/>
      <c r="GCB2461" s="60"/>
      <c r="GCC2461" s="63"/>
      <c r="GCD2461" s="61"/>
      <c r="GCE2461" s="54"/>
      <c r="GCF2461" s="54"/>
      <c r="GCG2461" s="63"/>
      <c r="GCH2461" s="60"/>
      <c r="GCI2461" s="60"/>
      <c r="GCJ2461" s="60"/>
      <c r="GCK2461" s="63"/>
      <c r="GCL2461" s="61"/>
      <c r="GCM2461" s="54"/>
      <c r="GCN2461" s="54"/>
      <c r="GCO2461" s="63"/>
      <c r="GCP2461" s="60"/>
      <c r="GCQ2461" s="60"/>
      <c r="GCR2461" s="60"/>
      <c r="GCS2461" s="63"/>
      <c r="GCT2461" s="61"/>
      <c r="GCU2461" s="54"/>
      <c r="GCV2461" s="54"/>
      <c r="GCW2461" s="63"/>
      <c r="GCX2461" s="60"/>
      <c r="GCY2461" s="60"/>
      <c r="GCZ2461" s="60"/>
      <c r="GDA2461" s="63"/>
      <c r="GDB2461" s="61"/>
      <c r="GDC2461" s="54"/>
      <c r="GDD2461" s="54"/>
      <c r="GDE2461" s="63"/>
      <c r="GDF2461" s="60"/>
      <c r="GDG2461" s="60"/>
      <c r="GDH2461" s="60"/>
      <c r="GDI2461" s="63"/>
      <c r="GDJ2461" s="61"/>
      <c r="GDK2461" s="54"/>
      <c r="GDL2461" s="54"/>
      <c r="GDM2461" s="63"/>
      <c r="GDN2461" s="60"/>
      <c r="GDO2461" s="60"/>
      <c r="GDP2461" s="60"/>
      <c r="GDQ2461" s="63"/>
      <c r="GDR2461" s="61"/>
      <c r="GDS2461" s="54"/>
      <c r="GDT2461" s="54"/>
      <c r="GDU2461" s="63"/>
      <c r="GDV2461" s="60"/>
      <c r="GDW2461" s="60"/>
      <c r="GDX2461" s="60"/>
      <c r="GDY2461" s="63"/>
      <c r="GDZ2461" s="61"/>
      <c r="GEA2461" s="54"/>
      <c r="GEB2461" s="54"/>
      <c r="GEC2461" s="63"/>
      <c r="GED2461" s="60"/>
      <c r="GEE2461" s="60"/>
      <c r="GEF2461" s="60"/>
      <c r="GEG2461" s="63"/>
      <c r="GEH2461" s="61"/>
      <c r="GEI2461" s="54"/>
      <c r="GEJ2461" s="54"/>
      <c r="GEK2461" s="63"/>
      <c r="GEL2461" s="60"/>
      <c r="GEM2461" s="60"/>
      <c r="GEN2461" s="60"/>
      <c r="GEO2461" s="63"/>
      <c r="GEP2461" s="61"/>
      <c r="GEQ2461" s="54"/>
      <c r="GER2461" s="54"/>
      <c r="GES2461" s="63"/>
      <c r="GET2461" s="60"/>
      <c r="GEU2461" s="60"/>
      <c r="GEV2461" s="60"/>
      <c r="GEW2461" s="63"/>
      <c r="GEX2461" s="61"/>
      <c r="GEY2461" s="54"/>
      <c r="GEZ2461" s="54"/>
      <c r="GFA2461" s="63"/>
      <c r="GFB2461" s="60"/>
      <c r="GFC2461" s="60"/>
      <c r="GFD2461" s="60"/>
      <c r="GFE2461" s="63"/>
      <c r="GFF2461" s="61"/>
      <c r="GFG2461" s="54"/>
      <c r="GFH2461" s="54"/>
      <c r="GFI2461" s="63"/>
      <c r="GFJ2461" s="60"/>
      <c r="GFK2461" s="60"/>
      <c r="GFL2461" s="60"/>
      <c r="GFM2461" s="63"/>
      <c r="GFN2461" s="61"/>
      <c r="GFO2461" s="54"/>
      <c r="GFP2461" s="54"/>
      <c r="GFQ2461" s="63"/>
      <c r="GFR2461" s="60"/>
      <c r="GFS2461" s="60"/>
      <c r="GFT2461" s="60"/>
      <c r="GFU2461" s="63"/>
      <c r="GFV2461" s="61"/>
      <c r="GFW2461" s="54"/>
      <c r="GFX2461" s="54"/>
      <c r="GFY2461" s="63"/>
      <c r="GFZ2461" s="60"/>
      <c r="GGA2461" s="60"/>
      <c r="GGB2461" s="60"/>
      <c r="GGC2461" s="63"/>
      <c r="GGD2461" s="61"/>
      <c r="GGE2461" s="54"/>
      <c r="GGF2461" s="54"/>
      <c r="GGG2461" s="63"/>
      <c r="GGH2461" s="60"/>
      <c r="GGI2461" s="60"/>
      <c r="GGJ2461" s="60"/>
      <c r="GGK2461" s="63"/>
      <c r="GGL2461" s="61"/>
      <c r="GGM2461" s="54"/>
      <c r="GGN2461" s="54"/>
      <c r="GGO2461" s="63"/>
      <c r="GGP2461" s="60"/>
      <c r="GGQ2461" s="60"/>
      <c r="GGR2461" s="60"/>
      <c r="GGS2461" s="63"/>
      <c r="GGT2461" s="61"/>
      <c r="GGU2461" s="54"/>
      <c r="GGV2461" s="54"/>
      <c r="GGW2461" s="63"/>
      <c r="GGX2461" s="60"/>
      <c r="GGY2461" s="60"/>
      <c r="GGZ2461" s="60"/>
      <c r="GHA2461" s="63"/>
      <c r="GHB2461" s="61"/>
      <c r="GHC2461" s="54"/>
      <c r="GHD2461" s="54"/>
      <c r="GHE2461" s="63"/>
      <c r="GHF2461" s="60"/>
      <c r="GHG2461" s="60"/>
      <c r="GHH2461" s="60"/>
      <c r="GHI2461" s="63"/>
      <c r="GHJ2461" s="61"/>
      <c r="GHK2461" s="54"/>
      <c r="GHL2461" s="54"/>
      <c r="GHM2461" s="63"/>
      <c r="GHN2461" s="60"/>
      <c r="GHO2461" s="60"/>
      <c r="GHP2461" s="60"/>
      <c r="GHQ2461" s="63"/>
      <c r="GHR2461" s="61"/>
      <c r="GHS2461" s="54"/>
      <c r="GHT2461" s="54"/>
      <c r="GHU2461" s="63"/>
      <c r="GHV2461" s="60"/>
      <c r="GHW2461" s="60"/>
      <c r="GHX2461" s="60"/>
      <c r="GHY2461" s="63"/>
      <c r="GHZ2461" s="61"/>
      <c r="GIA2461" s="54"/>
      <c r="GIB2461" s="54"/>
      <c r="GIC2461" s="63"/>
      <c r="GID2461" s="60"/>
      <c r="GIE2461" s="60"/>
      <c r="GIF2461" s="60"/>
      <c r="GIG2461" s="63"/>
      <c r="GIH2461" s="61"/>
      <c r="GII2461" s="54"/>
      <c r="GIJ2461" s="54"/>
      <c r="GIK2461" s="63"/>
      <c r="GIL2461" s="60"/>
      <c r="GIM2461" s="60"/>
      <c r="GIN2461" s="60"/>
      <c r="GIO2461" s="63"/>
      <c r="GIP2461" s="61"/>
      <c r="GIQ2461" s="54"/>
      <c r="GIR2461" s="54"/>
      <c r="GIS2461" s="63"/>
      <c r="GIT2461" s="60"/>
      <c r="GIU2461" s="60"/>
      <c r="GIV2461" s="60"/>
      <c r="GIW2461" s="63"/>
      <c r="GIX2461" s="61"/>
      <c r="GIY2461" s="54"/>
      <c r="GIZ2461" s="54"/>
      <c r="GJA2461" s="63"/>
      <c r="GJB2461" s="60"/>
      <c r="GJC2461" s="60"/>
      <c r="GJD2461" s="60"/>
      <c r="GJE2461" s="63"/>
      <c r="GJF2461" s="61"/>
      <c r="GJG2461" s="54"/>
      <c r="GJH2461" s="54"/>
      <c r="GJI2461" s="63"/>
      <c r="GJJ2461" s="60"/>
      <c r="GJK2461" s="60"/>
      <c r="GJL2461" s="60"/>
      <c r="GJM2461" s="63"/>
      <c r="GJN2461" s="61"/>
      <c r="GJO2461" s="54"/>
      <c r="GJP2461" s="54"/>
      <c r="GJQ2461" s="63"/>
      <c r="GJR2461" s="60"/>
      <c r="GJS2461" s="60"/>
      <c r="GJT2461" s="60"/>
      <c r="GJU2461" s="63"/>
      <c r="GJV2461" s="61"/>
      <c r="GJW2461" s="54"/>
      <c r="GJX2461" s="54"/>
      <c r="GJY2461" s="63"/>
      <c r="GJZ2461" s="60"/>
      <c r="GKA2461" s="60"/>
      <c r="GKB2461" s="60"/>
      <c r="GKC2461" s="63"/>
      <c r="GKD2461" s="61"/>
      <c r="GKE2461" s="54"/>
      <c r="GKF2461" s="54"/>
      <c r="GKG2461" s="63"/>
      <c r="GKH2461" s="60"/>
      <c r="GKI2461" s="60"/>
      <c r="GKJ2461" s="60"/>
      <c r="GKK2461" s="63"/>
      <c r="GKL2461" s="61"/>
      <c r="GKM2461" s="54"/>
      <c r="GKN2461" s="54"/>
      <c r="GKO2461" s="63"/>
      <c r="GKP2461" s="60"/>
      <c r="GKQ2461" s="60"/>
      <c r="GKR2461" s="60"/>
      <c r="GKS2461" s="63"/>
      <c r="GKT2461" s="61"/>
      <c r="GKU2461" s="54"/>
      <c r="GKV2461" s="54"/>
      <c r="GKW2461" s="63"/>
      <c r="GKX2461" s="60"/>
      <c r="GKY2461" s="60"/>
      <c r="GKZ2461" s="60"/>
      <c r="GLA2461" s="63"/>
      <c r="GLB2461" s="61"/>
      <c r="GLC2461" s="54"/>
      <c r="GLD2461" s="54"/>
      <c r="GLE2461" s="63"/>
      <c r="GLF2461" s="60"/>
      <c r="GLG2461" s="60"/>
      <c r="GLH2461" s="60"/>
      <c r="GLI2461" s="63"/>
      <c r="GLJ2461" s="61"/>
      <c r="GLK2461" s="54"/>
      <c r="GLL2461" s="54"/>
      <c r="GLM2461" s="63"/>
      <c r="GLN2461" s="60"/>
      <c r="GLO2461" s="60"/>
      <c r="GLP2461" s="60"/>
      <c r="GLQ2461" s="63"/>
      <c r="GLR2461" s="61"/>
      <c r="GLS2461" s="54"/>
      <c r="GLT2461" s="54"/>
      <c r="GLU2461" s="63"/>
      <c r="GLV2461" s="60"/>
      <c r="GLW2461" s="60"/>
      <c r="GLX2461" s="60"/>
      <c r="GLY2461" s="63"/>
      <c r="GLZ2461" s="61"/>
      <c r="GMA2461" s="54"/>
      <c r="GMB2461" s="54"/>
      <c r="GMC2461" s="63"/>
      <c r="GMD2461" s="60"/>
      <c r="GME2461" s="60"/>
      <c r="GMF2461" s="60"/>
      <c r="GMG2461" s="63"/>
      <c r="GMH2461" s="61"/>
      <c r="GMI2461" s="54"/>
      <c r="GMJ2461" s="54"/>
      <c r="GMK2461" s="63"/>
      <c r="GML2461" s="60"/>
      <c r="GMM2461" s="60"/>
      <c r="GMN2461" s="60"/>
      <c r="GMO2461" s="63"/>
      <c r="GMP2461" s="61"/>
      <c r="GMQ2461" s="54"/>
      <c r="GMR2461" s="54"/>
      <c r="GMS2461" s="63"/>
      <c r="GMT2461" s="60"/>
      <c r="GMU2461" s="60"/>
      <c r="GMV2461" s="60"/>
      <c r="GMW2461" s="63"/>
      <c r="GMX2461" s="61"/>
      <c r="GMY2461" s="54"/>
      <c r="GMZ2461" s="54"/>
      <c r="GNA2461" s="63"/>
      <c r="GNB2461" s="60"/>
      <c r="GNC2461" s="60"/>
      <c r="GND2461" s="60"/>
      <c r="GNE2461" s="63"/>
      <c r="GNF2461" s="61"/>
      <c r="GNG2461" s="54"/>
      <c r="GNH2461" s="54"/>
      <c r="GNI2461" s="63"/>
      <c r="GNJ2461" s="60"/>
      <c r="GNK2461" s="60"/>
      <c r="GNL2461" s="60"/>
      <c r="GNM2461" s="63"/>
      <c r="GNN2461" s="61"/>
      <c r="GNO2461" s="54"/>
      <c r="GNP2461" s="54"/>
      <c r="GNQ2461" s="63"/>
      <c r="GNR2461" s="60"/>
      <c r="GNS2461" s="60"/>
      <c r="GNT2461" s="60"/>
      <c r="GNU2461" s="63"/>
      <c r="GNV2461" s="61"/>
      <c r="GNW2461" s="54"/>
      <c r="GNX2461" s="54"/>
      <c r="GNY2461" s="63"/>
      <c r="GNZ2461" s="60"/>
      <c r="GOA2461" s="60"/>
      <c r="GOB2461" s="60"/>
      <c r="GOC2461" s="63"/>
      <c r="GOD2461" s="61"/>
      <c r="GOE2461" s="54"/>
      <c r="GOF2461" s="54"/>
      <c r="GOG2461" s="63"/>
      <c r="GOH2461" s="60"/>
      <c r="GOI2461" s="60"/>
      <c r="GOJ2461" s="60"/>
      <c r="GOK2461" s="63"/>
      <c r="GOL2461" s="61"/>
      <c r="GOM2461" s="54"/>
      <c r="GON2461" s="54"/>
      <c r="GOO2461" s="63"/>
      <c r="GOP2461" s="60"/>
      <c r="GOQ2461" s="60"/>
      <c r="GOR2461" s="60"/>
      <c r="GOS2461" s="63"/>
      <c r="GOT2461" s="61"/>
      <c r="GOU2461" s="54"/>
      <c r="GOV2461" s="54"/>
      <c r="GOW2461" s="63"/>
      <c r="GOX2461" s="60"/>
      <c r="GOY2461" s="60"/>
      <c r="GOZ2461" s="60"/>
      <c r="GPA2461" s="63"/>
      <c r="GPB2461" s="61"/>
      <c r="GPC2461" s="54"/>
      <c r="GPD2461" s="54"/>
      <c r="GPE2461" s="63"/>
      <c r="GPF2461" s="60"/>
      <c r="GPG2461" s="60"/>
      <c r="GPH2461" s="60"/>
      <c r="GPI2461" s="63"/>
      <c r="GPJ2461" s="61"/>
      <c r="GPK2461" s="54"/>
      <c r="GPL2461" s="54"/>
      <c r="GPM2461" s="63"/>
      <c r="GPN2461" s="60"/>
      <c r="GPO2461" s="60"/>
      <c r="GPP2461" s="60"/>
      <c r="GPQ2461" s="63"/>
      <c r="GPR2461" s="61"/>
      <c r="GPS2461" s="54"/>
      <c r="GPT2461" s="54"/>
      <c r="GPU2461" s="63"/>
      <c r="GPV2461" s="60"/>
      <c r="GPW2461" s="60"/>
      <c r="GPX2461" s="60"/>
      <c r="GPY2461" s="63"/>
      <c r="GPZ2461" s="61"/>
      <c r="GQA2461" s="54"/>
      <c r="GQB2461" s="54"/>
      <c r="GQC2461" s="63"/>
      <c r="GQD2461" s="60"/>
      <c r="GQE2461" s="60"/>
      <c r="GQF2461" s="60"/>
      <c r="GQG2461" s="63"/>
      <c r="GQH2461" s="61"/>
      <c r="GQI2461" s="54"/>
      <c r="GQJ2461" s="54"/>
      <c r="GQK2461" s="63"/>
      <c r="GQL2461" s="60"/>
      <c r="GQM2461" s="60"/>
      <c r="GQN2461" s="60"/>
      <c r="GQO2461" s="63"/>
      <c r="GQP2461" s="61"/>
      <c r="GQQ2461" s="54"/>
      <c r="GQR2461" s="54"/>
      <c r="GQS2461" s="63"/>
      <c r="GQT2461" s="60"/>
      <c r="GQU2461" s="60"/>
      <c r="GQV2461" s="60"/>
      <c r="GQW2461" s="63"/>
      <c r="GQX2461" s="61"/>
      <c r="GQY2461" s="54"/>
      <c r="GQZ2461" s="54"/>
      <c r="GRA2461" s="63"/>
      <c r="GRB2461" s="60"/>
      <c r="GRC2461" s="60"/>
      <c r="GRD2461" s="60"/>
      <c r="GRE2461" s="63"/>
      <c r="GRF2461" s="61"/>
      <c r="GRG2461" s="54"/>
      <c r="GRH2461" s="54"/>
      <c r="GRI2461" s="63"/>
      <c r="GRJ2461" s="60"/>
      <c r="GRK2461" s="60"/>
      <c r="GRL2461" s="60"/>
      <c r="GRM2461" s="63"/>
      <c r="GRN2461" s="61"/>
      <c r="GRO2461" s="54"/>
      <c r="GRP2461" s="54"/>
      <c r="GRQ2461" s="63"/>
      <c r="GRR2461" s="60"/>
      <c r="GRS2461" s="60"/>
      <c r="GRT2461" s="60"/>
      <c r="GRU2461" s="63"/>
      <c r="GRV2461" s="61"/>
      <c r="GRW2461" s="54"/>
      <c r="GRX2461" s="54"/>
      <c r="GRY2461" s="63"/>
      <c r="GRZ2461" s="60"/>
      <c r="GSA2461" s="60"/>
      <c r="GSB2461" s="60"/>
      <c r="GSC2461" s="63"/>
      <c r="GSD2461" s="61"/>
      <c r="GSE2461" s="54"/>
      <c r="GSF2461" s="54"/>
      <c r="GSG2461" s="63"/>
      <c r="GSH2461" s="60"/>
      <c r="GSI2461" s="60"/>
      <c r="GSJ2461" s="60"/>
      <c r="GSK2461" s="63"/>
      <c r="GSL2461" s="61"/>
      <c r="GSM2461" s="54"/>
      <c r="GSN2461" s="54"/>
      <c r="GSO2461" s="63"/>
      <c r="GSP2461" s="60"/>
      <c r="GSQ2461" s="60"/>
      <c r="GSR2461" s="60"/>
      <c r="GSS2461" s="63"/>
      <c r="GST2461" s="61"/>
      <c r="GSU2461" s="54"/>
      <c r="GSV2461" s="54"/>
      <c r="GSW2461" s="63"/>
      <c r="GSX2461" s="60"/>
      <c r="GSY2461" s="60"/>
      <c r="GSZ2461" s="60"/>
      <c r="GTA2461" s="63"/>
      <c r="GTB2461" s="61"/>
      <c r="GTC2461" s="54"/>
      <c r="GTD2461" s="54"/>
      <c r="GTE2461" s="63"/>
      <c r="GTF2461" s="60"/>
      <c r="GTG2461" s="60"/>
      <c r="GTH2461" s="60"/>
      <c r="GTI2461" s="63"/>
      <c r="GTJ2461" s="61"/>
      <c r="GTK2461" s="54"/>
      <c r="GTL2461" s="54"/>
      <c r="GTM2461" s="63"/>
      <c r="GTN2461" s="60"/>
      <c r="GTO2461" s="60"/>
      <c r="GTP2461" s="60"/>
      <c r="GTQ2461" s="63"/>
      <c r="GTR2461" s="61"/>
      <c r="GTS2461" s="54"/>
      <c r="GTT2461" s="54"/>
      <c r="GTU2461" s="63"/>
      <c r="GTV2461" s="60"/>
      <c r="GTW2461" s="60"/>
      <c r="GTX2461" s="60"/>
      <c r="GTY2461" s="63"/>
      <c r="GTZ2461" s="61"/>
      <c r="GUA2461" s="54"/>
      <c r="GUB2461" s="54"/>
      <c r="GUC2461" s="63"/>
      <c r="GUD2461" s="60"/>
      <c r="GUE2461" s="60"/>
      <c r="GUF2461" s="60"/>
      <c r="GUG2461" s="63"/>
      <c r="GUH2461" s="61"/>
      <c r="GUI2461" s="54"/>
      <c r="GUJ2461" s="54"/>
      <c r="GUK2461" s="63"/>
      <c r="GUL2461" s="60"/>
      <c r="GUM2461" s="60"/>
      <c r="GUN2461" s="60"/>
      <c r="GUO2461" s="63"/>
      <c r="GUP2461" s="61"/>
      <c r="GUQ2461" s="54"/>
      <c r="GUR2461" s="54"/>
      <c r="GUS2461" s="63"/>
      <c r="GUT2461" s="60"/>
      <c r="GUU2461" s="60"/>
      <c r="GUV2461" s="60"/>
      <c r="GUW2461" s="63"/>
      <c r="GUX2461" s="61"/>
      <c r="GUY2461" s="54"/>
      <c r="GUZ2461" s="54"/>
      <c r="GVA2461" s="63"/>
      <c r="GVB2461" s="60"/>
      <c r="GVC2461" s="60"/>
      <c r="GVD2461" s="60"/>
      <c r="GVE2461" s="63"/>
      <c r="GVF2461" s="61"/>
      <c r="GVG2461" s="54"/>
      <c r="GVH2461" s="54"/>
      <c r="GVI2461" s="63"/>
      <c r="GVJ2461" s="60"/>
      <c r="GVK2461" s="60"/>
      <c r="GVL2461" s="60"/>
      <c r="GVM2461" s="63"/>
      <c r="GVN2461" s="61"/>
      <c r="GVO2461" s="54"/>
      <c r="GVP2461" s="54"/>
      <c r="GVQ2461" s="63"/>
      <c r="GVR2461" s="60"/>
      <c r="GVS2461" s="60"/>
      <c r="GVT2461" s="60"/>
      <c r="GVU2461" s="63"/>
      <c r="GVV2461" s="61"/>
      <c r="GVW2461" s="54"/>
      <c r="GVX2461" s="54"/>
      <c r="GVY2461" s="63"/>
      <c r="GVZ2461" s="60"/>
      <c r="GWA2461" s="60"/>
      <c r="GWB2461" s="60"/>
      <c r="GWC2461" s="63"/>
      <c r="GWD2461" s="61"/>
      <c r="GWE2461" s="54"/>
      <c r="GWF2461" s="54"/>
      <c r="GWG2461" s="63"/>
      <c r="GWH2461" s="60"/>
      <c r="GWI2461" s="60"/>
      <c r="GWJ2461" s="60"/>
      <c r="GWK2461" s="63"/>
      <c r="GWL2461" s="61"/>
      <c r="GWM2461" s="54"/>
      <c r="GWN2461" s="54"/>
      <c r="GWO2461" s="63"/>
      <c r="GWP2461" s="60"/>
      <c r="GWQ2461" s="60"/>
      <c r="GWR2461" s="60"/>
      <c r="GWS2461" s="63"/>
      <c r="GWT2461" s="61"/>
      <c r="GWU2461" s="54"/>
      <c r="GWV2461" s="54"/>
      <c r="GWW2461" s="63"/>
      <c r="GWX2461" s="60"/>
      <c r="GWY2461" s="60"/>
      <c r="GWZ2461" s="60"/>
      <c r="GXA2461" s="63"/>
      <c r="GXB2461" s="61"/>
      <c r="GXC2461" s="54"/>
      <c r="GXD2461" s="54"/>
      <c r="GXE2461" s="63"/>
      <c r="GXF2461" s="60"/>
      <c r="GXG2461" s="60"/>
      <c r="GXH2461" s="60"/>
      <c r="GXI2461" s="63"/>
      <c r="GXJ2461" s="61"/>
      <c r="GXK2461" s="54"/>
      <c r="GXL2461" s="54"/>
      <c r="GXM2461" s="63"/>
      <c r="GXN2461" s="60"/>
      <c r="GXO2461" s="60"/>
      <c r="GXP2461" s="60"/>
      <c r="GXQ2461" s="63"/>
      <c r="GXR2461" s="61"/>
      <c r="GXS2461" s="54"/>
      <c r="GXT2461" s="54"/>
      <c r="GXU2461" s="63"/>
      <c r="GXV2461" s="60"/>
      <c r="GXW2461" s="60"/>
      <c r="GXX2461" s="60"/>
      <c r="GXY2461" s="63"/>
      <c r="GXZ2461" s="61"/>
      <c r="GYA2461" s="54"/>
      <c r="GYB2461" s="54"/>
      <c r="GYC2461" s="63"/>
      <c r="GYD2461" s="60"/>
      <c r="GYE2461" s="60"/>
      <c r="GYF2461" s="60"/>
      <c r="GYG2461" s="63"/>
      <c r="GYH2461" s="61"/>
      <c r="GYI2461" s="54"/>
      <c r="GYJ2461" s="54"/>
      <c r="GYK2461" s="63"/>
      <c r="GYL2461" s="60"/>
      <c r="GYM2461" s="60"/>
      <c r="GYN2461" s="60"/>
      <c r="GYO2461" s="63"/>
      <c r="GYP2461" s="61"/>
      <c r="GYQ2461" s="54"/>
      <c r="GYR2461" s="54"/>
      <c r="GYS2461" s="63"/>
      <c r="GYT2461" s="60"/>
      <c r="GYU2461" s="60"/>
      <c r="GYV2461" s="60"/>
      <c r="GYW2461" s="63"/>
      <c r="GYX2461" s="61"/>
      <c r="GYY2461" s="54"/>
      <c r="GYZ2461" s="54"/>
      <c r="GZA2461" s="63"/>
      <c r="GZB2461" s="60"/>
      <c r="GZC2461" s="60"/>
      <c r="GZD2461" s="60"/>
      <c r="GZE2461" s="63"/>
      <c r="GZF2461" s="61"/>
      <c r="GZG2461" s="54"/>
      <c r="GZH2461" s="54"/>
      <c r="GZI2461" s="63"/>
      <c r="GZJ2461" s="60"/>
      <c r="GZK2461" s="60"/>
      <c r="GZL2461" s="60"/>
      <c r="GZM2461" s="63"/>
      <c r="GZN2461" s="61"/>
      <c r="GZO2461" s="54"/>
      <c r="GZP2461" s="54"/>
      <c r="GZQ2461" s="63"/>
      <c r="GZR2461" s="60"/>
      <c r="GZS2461" s="60"/>
      <c r="GZT2461" s="60"/>
      <c r="GZU2461" s="63"/>
      <c r="GZV2461" s="61"/>
      <c r="GZW2461" s="54"/>
      <c r="GZX2461" s="54"/>
      <c r="GZY2461" s="63"/>
      <c r="GZZ2461" s="60"/>
      <c r="HAA2461" s="60"/>
      <c r="HAB2461" s="60"/>
      <c r="HAC2461" s="63"/>
      <c r="HAD2461" s="61"/>
      <c r="HAE2461" s="54"/>
      <c r="HAF2461" s="54"/>
      <c r="HAG2461" s="63"/>
      <c r="HAH2461" s="60"/>
      <c r="HAI2461" s="60"/>
      <c r="HAJ2461" s="60"/>
      <c r="HAK2461" s="63"/>
      <c r="HAL2461" s="61"/>
      <c r="HAM2461" s="54"/>
      <c r="HAN2461" s="54"/>
      <c r="HAO2461" s="63"/>
      <c r="HAP2461" s="60"/>
      <c r="HAQ2461" s="60"/>
      <c r="HAR2461" s="60"/>
      <c r="HAS2461" s="63"/>
      <c r="HAT2461" s="61"/>
      <c r="HAU2461" s="54"/>
      <c r="HAV2461" s="54"/>
      <c r="HAW2461" s="63"/>
      <c r="HAX2461" s="60"/>
      <c r="HAY2461" s="60"/>
      <c r="HAZ2461" s="60"/>
      <c r="HBA2461" s="63"/>
      <c r="HBB2461" s="61"/>
      <c r="HBC2461" s="54"/>
      <c r="HBD2461" s="54"/>
      <c r="HBE2461" s="63"/>
      <c r="HBF2461" s="60"/>
      <c r="HBG2461" s="60"/>
      <c r="HBH2461" s="60"/>
      <c r="HBI2461" s="63"/>
      <c r="HBJ2461" s="61"/>
      <c r="HBK2461" s="54"/>
      <c r="HBL2461" s="54"/>
      <c r="HBM2461" s="63"/>
      <c r="HBN2461" s="60"/>
      <c r="HBO2461" s="60"/>
      <c r="HBP2461" s="60"/>
      <c r="HBQ2461" s="63"/>
      <c r="HBR2461" s="61"/>
      <c r="HBS2461" s="54"/>
      <c r="HBT2461" s="54"/>
      <c r="HBU2461" s="63"/>
      <c r="HBV2461" s="60"/>
      <c r="HBW2461" s="60"/>
      <c r="HBX2461" s="60"/>
      <c r="HBY2461" s="63"/>
      <c r="HBZ2461" s="61"/>
      <c r="HCA2461" s="54"/>
      <c r="HCB2461" s="54"/>
      <c r="HCC2461" s="63"/>
      <c r="HCD2461" s="60"/>
      <c r="HCE2461" s="60"/>
      <c r="HCF2461" s="60"/>
      <c r="HCG2461" s="63"/>
      <c r="HCH2461" s="61"/>
      <c r="HCI2461" s="54"/>
      <c r="HCJ2461" s="54"/>
      <c r="HCK2461" s="63"/>
      <c r="HCL2461" s="60"/>
      <c r="HCM2461" s="60"/>
      <c r="HCN2461" s="60"/>
      <c r="HCO2461" s="63"/>
      <c r="HCP2461" s="61"/>
      <c r="HCQ2461" s="54"/>
      <c r="HCR2461" s="54"/>
      <c r="HCS2461" s="63"/>
      <c r="HCT2461" s="60"/>
      <c r="HCU2461" s="60"/>
      <c r="HCV2461" s="60"/>
      <c r="HCW2461" s="63"/>
      <c r="HCX2461" s="61"/>
      <c r="HCY2461" s="54"/>
      <c r="HCZ2461" s="54"/>
      <c r="HDA2461" s="63"/>
      <c r="HDB2461" s="60"/>
      <c r="HDC2461" s="60"/>
      <c r="HDD2461" s="60"/>
      <c r="HDE2461" s="63"/>
      <c r="HDF2461" s="61"/>
      <c r="HDG2461" s="54"/>
      <c r="HDH2461" s="54"/>
      <c r="HDI2461" s="63"/>
      <c r="HDJ2461" s="60"/>
      <c r="HDK2461" s="60"/>
      <c r="HDL2461" s="60"/>
      <c r="HDM2461" s="63"/>
      <c r="HDN2461" s="61"/>
      <c r="HDO2461" s="54"/>
      <c r="HDP2461" s="54"/>
      <c r="HDQ2461" s="63"/>
      <c r="HDR2461" s="60"/>
      <c r="HDS2461" s="60"/>
      <c r="HDT2461" s="60"/>
      <c r="HDU2461" s="63"/>
      <c r="HDV2461" s="61"/>
      <c r="HDW2461" s="54"/>
      <c r="HDX2461" s="54"/>
      <c r="HDY2461" s="63"/>
      <c r="HDZ2461" s="60"/>
      <c r="HEA2461" s="60"/>
      <c r="HEB2461" s="60"/>
      <c r="HEC2461" s="63"/>
      <c r="HED2461" s="61"/>
      <c r="HEE2461" s="54"/>
      <c r="HEF2461" s="54"/>
      <c r="HEG2461" s="63"/>
      <c r="HEH2461" s="60"/>
      <c r="HEI2461" s="60"/>
      <c r="HEJ2461" s="60"/>
      <c r="HEK2461" s="63"/>
      <c r="HEL2461" s="61"/>
      <c r="HEM2461" s="54"/>
      <c r="HEN2461" s="54"/>
      <c r="HEO2461" s="63"/>
      <c r="HEP2461" s="60"/>
      <c r="HEQ2461" s="60"/>
      <c r="HER2461" s="60"/>
      <c r="HES2461" s="63"/>
      <c r="HET2461" s="61"/>
      <c r="HEU2461" s="54"/>
      <c r="HEV2461" s="54"/>
      <c r="HEW2461" s="63"/>
      <c r="HEX2461" s="60"/>
      <c r="HEY2461" s="60"/>
      <c r="HEZ2461" s="60"/>
      <c r="HFA2461" s="63"/>
      <c r="HFB2461" s="61"/>
      <c r="HFC2461" s="54"/>
      <c r="HFD2461" s="54"/>
      <c r="HFE2461" s="63"/>
      <c r="HFF2461" s="60"/>
      <c r="HFG2461" s="60"/>
      <c r="HFH2461" s="60"/>
      <c r="HFI2461" s="63"/>
      <c r="HFJ2461" s="61"/>
      <c r="HFK2461" s="54"/>
      <c r="HFL2461" s="54"/>
      <c r="HFM2461" s="63"/>
      <c r="HFN2461" s="60"/>
      <c r="HFO2461" s="60"/>
      <c r="HFP2461" s="60"/>
      <c r="HFQ2461" s="63"/>
      <c r="HFR2461" s="61"/>
      <c r="HFS2461" s="54"/>
      <c r="HFT2461" s="54"/>
      <c r="HFU2461" s="63"/>
      <c r="HFV2461" s="60"/>
      <c r="HFW2461" s="60"/>
      <c r="HFX2461" s="60"/>
      <c r="HFY2461" s="63"/>
      <c r="HFZ2461" s="61"/>
      <c r="HGA2461" s="54"/>
      <c r="HGB2461" s="54"/>
      <c r="HGC2461" s="63"/>
      <c r="HGD2461" s="60"/>
      <c r="HGE2461" s="60"/>
      <c r="HGF2461" s="60"/>
      <c r="HGG2461" s="63"/>
      <c r="HGH2461" s="61"/>
      <c r="HGI2461" s="54"/>
      <c r="HGJ2461" s="54"/>
      <c r="HGK2461" s="63"/>
      <c r="HGL2461" s="60"/>
      <c r="HGM2461" s="60"/>
      <c r="HGN2461" s="60"/>
      <c r="HGO2461" s="63"/>
      <c r="HGP2461" s="61"/>
      <c r="HGQ2461" s="54"/>
      <c r="HGR2461" s="54"/>
      <c r="HGS2461" s="63"/>
      <c r="HGT2461" s="60"/>
      <c r="HGU2461" s="60"/>
      <c r="HGV2461" s="60"/>
      <c r="HGW2461" s="63"/>
      <c r="HGX2461" s="61"/>
      <c r="HGY2461" s="54"/>
      <c r="HGZ2461" s="54"/>
      <c r="HHA2461" s="63"/>
      <c r="HHB2461" s="60"/>
      <c r="HHC2461" s="60"/>
      <c r="HHD2461" s="60"/>
      <c r="HHE2461" s="63"/>
      <c r="HHF2461" s="61"/>
      <c r="HHG2461" s="54"/>
      <c r="HHH2461" s="54"/>
      <c r="HHI2461" s="63"/>
      <c r="HHJ2461" s="60"/>
      <c r="HHK2461" s="60"/>
      <c r="HHL2461" s="60"/>
      <c r="HHM2461" s="63"/>
      <c r="HHN2461" s="61"/>
      <c r="HHO2461" s="54"/>
      <c r="HHP2461" s="54"/>
      <c r="HHQ2461" s="63"/>
      <c r="HHR2461" s="60"/>
      <c r="HHS2461" s="60"/>
      <c r="HHT2461" s="60"/>
      <c r="HHU2461" s="63"/>
      <c r="HHV2461" s="61"/>
      <c r="HHW2461" s="54"/>
      <c r="HHX2461" s="54"/>
      <c r="HHY2461" s="63"/>
      <c r="HHZ2461" s="60"/>
      <c r="HIA2461" s="60"/>
      <c r="HIB2461" s="60"/>
      <c r="HIC2461" s="63"/>
      <c r="HID2461" s="61"/>
      <c r="HIE2461" s="54"/>
      <c r="HIF2461" s="54"/>
      <c r="HIG2461" s="63"/>
      <c r="HIH2461" s="60"/>
      <c r="HII2461" s="60"/>
      <c r="HIJ2461" s="60"/>
      <c r="HIK2461" s="63"/>
      <c r="HIL2461" s="61"/>
      <c r="HIM2461" s="54"/>
      <c r="HIN2461" s="54"/>
      <c r="HIO2461" s="63"/>
      <c r="HIP2461" s="60"/>
      <c r="HIQ2461" s="60"/>
      <c r="HIR2461" s="60"/>
      <c r="HIS2461" s="63"/>
      <c r="HIT2461" s="61"/>
      <c r="HIU2461" s="54"/>
      <c r="HIV2461" s="54"/>
      <c r="HIW2461" s="63"/>
      <c r="HIX2461" s="60"/>
      <c r="HIY2461" s="60"/>
      <c r="HIZ2461" s="60"/>
      <c r="HJA2461" s="63"/>
      <c r="HJB2461" s="61"/>
      <c r="HJC2461" s="54"/>
      <c r="HJD2461" s="54"/>
      <c r="HJE2461" s="63"/>
      <c r="HJF2461" s="60"/>
      <c r="HJG2461" s="60"/>
      <c r="HJH2461" s="60"/>
      <c r="HJI2461" s="63"/>
      <c r="HJJ2461" s="61"/>
      <c r="HJK2461" s="54"/>
      <c r="HJL2461" s="54"/>
      <c r="HJM2461" s="63"/>
      <c r="HJN2461" s="60"/>
      <c r="HJO2461" s="60"/>
      <c r="HJP2461" s="60"/>
      <c r="HJQ2461" s="63"/>
      <c r="HJR2461" s="61"/>
      <c r="HJS2461" s="54"/>
      <c r="HJT2461" s="54"/>
      <c r="HJU2461" s="63"/>
      <c r="HJV2461" s="60"/>
      <c r="HJW2461" s="60"/>
      <c r="HJX2461" s="60"/>
      <c r="HJY2461" s="63"/>
      <c r="HJZ2461" s="61"/>
      <c r="HKA2461" s="54"/>
      <c r="HKB2461" s="54"/>
      <c r="HKC2461" s="63"/>
      <c r="HKD2461" s="60"/>
      <c r="HKE2461" s="60"/>
      <c r="HKF2461" s="60"/>
      <c r="HKG2461" s="63"/>
      <c r="HKH2461" s="61"/>
      <c r="HKI2461" s="54"/>
      <c r="HKJ2461" s="54"/>
      <c r="HKK2461" s="63"/>
      <c r="HKL2461" s="60"/>
      <c r="HKM2461" s="60"/>
      <c r="HKN2461" s="60"/>
      <c r="HKO2461" s="63"/>
      <c r="HKP2461" s="61"/>
      <c r="HKQ2461" s="54"/>
      <c r="HKR2461" s="54"/>
      <c r="HKS2461" s="63"/>
      <c r="HKT2461" s="60"/>
      <c r="HKU2461" s="60"/>
      <c r="HKV2461" s="60"/>
      <c r="HKW2461" s="63"/>
      <c r="HKX2461" s="61"/>
      <c r="HKY2461" s="54"/>
      <c r="HKZ2461" s="54"/>
      <c r="HLA2461" s="63"/>
      <c r="HLB2461" s="60"/>
      <c r="HLC2461" s="60"/>
      <c r="HLD2461" s="60"/>
      <c r="HLE2461" s="63"/>
      <c r="HLF2461" s="61"/>
      <c r="HLG2461" s="54"/>
      <c r="HLH2461" s="54"/>
      <c r="HLI2461" s="63"/>
      <c r="HLJ2461" s="60"/>
      <c r="HLK2461" s="60"/>
      <c r="HLL2461" s="60"/>
      <c r="HLM2461" s="63"/>
      <c r="HLN2461" s="61"/>
      <c r="HLO2461" s="54"/>
      <c r="HLP2461" s="54"/>
      <c r="HLQ2461" s="63"/>
      <c r="HLR2461" s="60"/>
      <c r="HLS2461" s="60"/>
      <c r="HLT2461" s="60"/>
      <c r="HLU2461" s="63"/>
      <c r="HLV2461" s="61"/>
      <c r="HLW2461" s="54"/>
      <c r="HLX2461" s="54"/>
      <c r="HLY2461" s="63"/>
      <c r="HLZ2461" s="60"/>
      <c r="HMA2461" s="60"/>
      <c r="HMB2461" s="60"/>
      <c r="HMC2461" s="63"/>
      <c r="HMD2461" s="61"/>
      <c r="HME2461" s="54"/>
      <c r="HMF2461" s="54"/>
      <c r="HMG2461" s="63"/>
      <c r="HMH2461" s="60"/>
      <c r="HMI2461" s="60"/>
      <c r="HMJ2461" s="60"/>
      <c r="HMK2461" s="63"/>
      <c r="HML2461" s="61"/>
      <c r="HMM2461" s="54"/>
      <c r="HMN2461" s="54"/>
      <c r="HMO2461" s="63"/>
      <c r="HMP2461" s="60"/>
      <c r="HMQ2461" s="60"/>
      <c r="HMR2461" s="60"/>
      <c r="HMS2461" s="63"/>
      <c r="HMT2461" s="61"/>
      <c r="HMU2461" s="54"/>
      <c r="HMV2461" s="54"/>
      <c r="HMW2461" s="63"/>
      <c r="HMX2461" s="60"/>
      <c r="HMY2461" s="60"/>
      <c r="HMZ2461" s="60"/>
      <c r="HNA2461" s="63"/>
      <c r="HNB2461" s="61"/>
      <c r="HNC2461" s="54"/>
      <c r="HND2461" s="54"/>
      <c r="HNE2461" s="63"/>
      <c r="HNF2461" s="60"/>
      <c r="HNG2461" s="60"/>
      <c r="HNH2461" s="60"/>
      <c r="HNI2461" s="63"/>
      <c r="HNJ2461" s="61"/>
      <c r="HNK2461" s="54"/>
      <c r="HNL2461" s="54"/>
      <c r="HNM2461" s="63"/>
      <c r="HNN2461" s="60"/>
      <c r="HNO2461" s="60"/>
      <c r="HNP2461" s="60"/>
      <c r="HNQ2461" s="63"/>
      <c r="HNR2461" s="61"/>
      <c r="HNS2461" s="54"/>
      <c r="HNT2461" s="54"/>
      <c r="HNU2461" s="63"/>
      <c r="HNV2461" s="60"/>
      <c r="HNW2461" s="60"/>
      <c r="HNX2461" s="60"/>
      <c r="HNY2461" s="63"/>
      <c r="HNZ2461" s="61"/>
      <c r="HOA2461" s="54"/>
      <c r="HOB2461" s="54"/>
      <c r="HOC2461" s="63"/>
      <c r="HOD2461" s="60"/>
      <c r="HOE2461" s="60"/>
      <c r="HOF2461" s="60"/>
      <c r="HOG2461" s="63"/>
      <c r="HOH2461" s="61"/>
      <c r="HOI2461" s="54"/>
      <c r="HOJ2461" s="54"/>
      <c r="HOK2461" s="63"/>
      <c r="HOL2461" s="60"/>
      <c r="HOM2461" s="60"/>
      <c r="HON2461" s="60"/>
      <c r="HOO2461" s="63"/>
      <c r="HOP2461" s="61"/>
      <c r="HOQ2461" s="54"/>
      <c r="HOR2461" s="54"/>
      <c r="HOS2461" s="63"/>
      <c r="HOT2461" s="60"/>
      <c r="HOU2461" s="60"/>
      <c r="HOV2461" s="60"/>
      <c r="HOW2461" s="63"/>
      <c r="HOX2461" s="61"/>
      <c r="HOY2461" s="54"/>
      <c r="HOZ2461" s="54"/>
      <c r="HPA2461" s="63"/>
      <c r="HPB2461" s="60"/>
      <c r="HPC2461" s="60"/>
      <c r="HPD2461" s="60"/>
      <c r="HPE2461" s="63"/>
      <c r="HPF2461" s="61"/>
      <c r="HPG2461" s="54"/>
      <c r="HPH2461" s="54"/>
      <c r="HPI2461" s="63"/>
      <c r="HPJ2461" s="60"/>
      <c r="HPK2461" s="60"/>
      <c r="HPL2461" s="60"/>
      <c r="HPM2461" s="63"/>
      <c r="HPN2461" s="61"/>
      <c r="HPO2461" s="54"/>
      <c r="HPP2461" s="54"/>
      <c r="HPQ2461" s="63"/>
      <c r="HPR2461" s="60"/>
      <c r="HPS2461" s="60"/>
      <c r="HPT2461" s="60"/>
      <c r="HPU2461" s="63"/>
      <c r="HPV2461" s="61"/>
      <c r="HPW2461" s="54"/>
      <c r="HPX2461" s="54"/>
      <c r="HPY2461" s="63"/>
      <c r="HPZ2461" s="60"/>
      <c r="HQA2461" s="60"/>
      <c r="HQB2461" s="60"/>
      <c r="HQC2461" s="63"/>
      <c r="HQD2461" s="61"/>
      <c r="HQE2461" s="54"/>
      <c r="HQF2461" s="54"/>
      <c r="HQG2461" s="63"/>
      <c r="HQH2461" s="60"/>
      <c r="HQI2461" s="60"/>
      <c r="HQJ2461" s="60"/>
      <c r="HQK2461" s="63"/>
      <c r="HQL2461" s="61"/>
      <c r="HQM2461" s="54"/>
      <c r="HQN2461" s="54"/>
      <c r="HQO2461" s="63"/>
      <c r="HQP2461" s="60"/>
      <c r="HQQ2461" s="60"/>
      <c r="HQR2461" s="60"/>
      <c r="HQS2461" s="63"/>
      <c r="HQT2461" s="61"/>
      <c r="HQU2461" s="54"/>
      <c r="HQV2461" s="54"/>
      <c r="HQW2461" s="63"/>
      <c r="HQX2461" s="60"/>
      <c r="HQY2461" s="60"/>
      <c r="HQZ2461" s="60"/>
      <c r="HRA2461" s="63"/>
      <c r="HRB2461" s="61"/>
      <c r="HRC2461" s="54"/>
      <c r="HRD2461" s="54"/>
      <c r="HRE2461" s="63"/>
      <c r="HRF2461" s="60"/>
      <c r="HRG2461" s="60"/>
      <c r="HRH2461" s="60"/>
      <c r="HRI2461" s="63"/>
      <c r="HRJ2461" s="61"/>
      <c r="HRK2461" s="54"/>
      <c r="HRL2461" s="54"/>
      <c r="HRM2461" s="63"/>
      <c r="HRN2461" s="60"/>
      <c r="HRO2461" s="60"/>
      <c r="HRP2461" s="60"/>
      <c r="HRQ2461" s="63"/>
      <c r="HRR2461" s="61"/>
      <c r="HRS2461" s="54"/>
      <c r="HRT2461" s="54"/>
      <c r="HRU2461" s="63"/>
      <c r="HRV2461" s="60"/>
      <c r="HRW2461" s="60"/>
      <c r="HRX2461" s="60"/>
      <c r="HRY2461" s="63"/>
      <c r="HRZ2461" s="61"/>
      <c r="HSA2461" s="54"/>
      <c r="HSB2461" s="54"/>
      <c r="HSC2461" s="63"/>
      <c r="HSD2461" s="60"/>
      <c r="HSE2461" s="60"/>
      <c r="HSF2461" s="60"/>
      <c r="HSG2461" s="63"/>
      <c r="HSH2461" s="61"/>
      <c r="HSI2461" s="54"/>
      <c r="HSJ2461" s="54"/>
      <c r="HSK2461" s="63"/>
      <c r="HSL2461" s="60"/>
      <c r="HSM2461" s="60"/>
      <c r="HSN2461" s="60"/>
      <c r="HSO2461" s="63"/>
      <c r="HSP2461" s="61"/>
      <c r="HSQ2461" s="54"/>
      <c r="HSR2461" s="54"/>
      <c r="HSS2461" s="63"/>
      <c r="HST2461" s="60"/>
      <c r="HSU2461" s="60"/>
      <c r="HSV2461" s="60"/>
      <c r="HSW2461" s="63"/>
      <c r="HSX2461" s="61"/>
      <c r="HSY2461" s="54"/>
      <c r="HSZ2461" s="54"/>
      <c r="HTA2461" s="63"/>
      <c r="HTB2461" s="60"/>
      <c r="HTC2461" s="60"/>
      <c r="HTD2461" s="60"/>
      <c r="HTE2461" s="63"/>
      <c r="HTF2461" s="61"/>
      <c r="HTG2461" s="54"/>
      <c r="HTH2461" s="54"/>
      <c r="HTI2461" s="63"/>
      <c r="HTJ2461" s="60"/>
      <c r="HTK2461" s="60"/>
      <c r="HTL2461" s="60"/>
      <c r="HTM2461" s="63"/>
      <c r="HTN2461" s="61"/>
      <c r="HTO2461" s="54"/>
      <c r="HTP2461" s="54"/>
      <c r="HTQ2461" s="63"/>
      <c r="HTR2461" s="60"/>
      <c r="HTS2461" s="60"/>
      <c r="HTT2461" s="60"/>
      <c r="HTU2461" s="63"/>
      <c r="HTV2461" s="61"/>
      <c r="HTW2461" s="54"/>
      <c r="HTX2461" s="54"/>
      <c r="HTY2461" s="63"/>
      <c r="HTZ2461" s="60"/>
      <c r="HUA2461" s="60"/>
      <c r="HUB2461" s="60"/>
      <c r="HUC2461" s="63"/>
      <c r="HUD2461" s="61"/>
      <c r="HUE2461" s="54"/>
      <c r="HUF2461" s="54"/>
      <c r="HUG2461" s="63"/>
      <c r="HUH2461" s="60"/>
      <c r="HUI2461" s="60"/>
      <c r="HUJ2461" s="60"/>
      <c r="HUK2461" s="63"/>
      <c r="HUL2461" s="61"/>
      <c r="HUM2461" s="54"/>
      <c r="HUN2461" s="54"/>
      <c r="HUO2461" s="63"/>
      <c r="HUP2461" s="60"/>
      <c r="HUQ2461" s="60"/>
      <c r="HUR2461" s="60"/>
      <c r="HUS2461" s="63"/>
      <c r="HUT2461" s="61"/>
      <c r="HUU2461" s="54"/>
      <c r="HUV2461" s="54"/>
      <c r="HUW2461" s="63"/>
      <c r="HUX2461" s="60"/>
      <c r="HUY2461" s="60"/>
      <c r="HUZ2461" s="60"/>
      <c r="HVA2461" s="63"/>
      <c r="HVB2461" s="61"/>
      <c r="HVC2461" s="54"/>
      <c r="HVD2461" s="54"/>
      <c r="HVE2461" s="63"/>
      <c r="HVF2461" s="60"/>
      <c r="HVG2461" s="60"/>
      <c r="HVH2461" s="60"/>
      <c r="HVI2461" s="63"/>
      <c r="HVJ2461" s="61"/>
      <c r="HVK2461" s="54"/>
      <c r="HVL2461" s="54"/>
      <c r="HVM2461" s="63"/>
      <c r="HVN2461" s="60"/>
      <c r="HVO2461" s="60"/>
      <c r="HVP2461" s="60"/>
      <c r="HVQ2461" s="63"/>
      <c r="HVR2461" s="61"/>
      <c r="HVS2461" s="54"/>
      <c r="HVT2461" s="54"/>
      <c r="HVU2461" s="63"/>
      <c r="HVV2461" s="60"/>
      <c r="HVW2461" s="60"/>
      <c r="HVX2461" s="60"/>
      <c r="HVY2461" s="63"/>
      <c r="HVZ2461" s="61"/>
      <c r="HWA2461" s="54"/>
      <c r="HWB2461" s="54"/>
      <c r="HWC2461" s="63"/>
      <c r="HWD2461" s="60"/>
      <c r="HWE2461" s="60"/>
      <c r="HWF2461" s="60"/>
      <c r="HWG2461" s="63"/>
      <c r="HWH2461" s="61"/>
      <c r="HWI2461" s="54"/>
      <c r="HWJ2461" s="54"/>
      <c r="HWK2461" s="63"/>
      <c r="HWL2461" s="60"/>
      <c r="HWM2461" s="60"/>
      <c r="HWN2461" s="60"/>
      <c r="HWO2461" s="63"/>
      <c r="HWP2461" s="61"/>
      <c r="HWQ2461" s="54"/>
      <c r="HWR2461" s="54"/>
      <c r="HWS2461" s="63"/>
      <c r="HWT2461" s="60"/>
      <c r="HWU2461" s="60"/>
      <c r="HWV2461" s="60"/>
      <c r="HWW2461" s="63"/>
      <c r="HWX2461" s="61"/>
      <c r="HWY2461" s="54"/>
      <c r="HWZ2461" s="54"/>
      <c r="HXA2461" s="63"/>
      <c r="HXB2461" s="60"/>
      <c r="HXC2461" s="60"/>
      <c r="HXD2461" s="60"/>
      <c r="HXE2461" s="63"/>
      <c r="HXF2461" s="61"/>
      <c r="HXG2461" s="54"/>
      <c r="HXH2461" s="54"/>
      <c r="HXI2461" s="63"/>
      <c r="HXJ2461" s="60"/>
      <c r="HXK2461" s="60"/>
      <c r="HXL2461" s="60"/>
      <c r="HXM2461" s="63"/>
      <c r="HXN2461" s="61"/>
      <c r="HXO2461" s="54"/>
      <c r="HXP2461" s="54"/>
      <c r="HXQ2461" s="63"/>
      <c r="HXR2461" s="60"/>
      <c r="HXS2461" s="60"/>
      <c r="HXT2461" s="60"/>
      <c r="HXU2461" s="63"/>
      <c r="HXV2461" s="61"/>
      <c r="HXW2461" s="54"/>
      <c r="HXX2461" s="54"/>
      <c r="HXY2461" s="63"/>
      <c r="HXZ2461" s="60"/>
      <c r="HYA2461" s="60"/>
      <c r="HYB2461" s="60"/>
      <c r="HYC2461" s="63"/>
      <c r="HYD2461" s="61"/>
      <c r="HYE2461" s="54"/>
      <c r="HYF2461" s="54"/>
      <c r="HYG2461" s="63"/>
      <c r="HYH2461" s="60"/>
      <c r="HYI2461" s="60"/>
      <c r="HYJ2461" s="60"/>
      <c r="HYK2461" s="63"/>
      <c r="HYL2461" s="61"/>
      <c r="HYM2461" s="54"/>
      <c r="HYN2461" s="54"/>
      <c r="HYO2461" s="63"/>
      <c r="HYP2461" s="60"/>
      <c r="HYQ2461" s="60"/>
      <c r="HYR2461" s="60"/>
      <c r="HYS2461" s="63"/>
      <c r="HYT2461" s="61"/>
      <c r="HYU2461" s="54"/>
      <c r="HYV2461" s="54"/>
      <c r="HYW2461" s="63"/>
      <c r="HYX2461" s="60"/>
      <c r="HYY2461" s="60"/>
      <c r="HYZ2461" s="60"/>
      <c r="HZA2461" s="63"/>
      <c r="HZB2461" s="61"/>
      <c r="HZC2461" s="54"/>
      <c r="HZD2461" s="54"/>
      <c r="HZE2461" s="63"/>
      <c r="HZF2461" s="60"/>
      <c r="HZG2461" s="60"/>
      <c r="HZH2461" s="60"/>
      <c r="HZI2461" s="63"/>
      <c r="HZJ2461" s="61"/>
      <c r="HZK2461" s="54"/>
      <c r="HZL2461" s="54"/>
      <c r="HZM2461" s="63"/>
      <c r="HZN2461" s="60"/>
      <c r="HZO2461" s="60"/>
      <c r="HZP2461" s="60"/>
      <c r="HZQ2461" s="63"/>
      <c r="HZR2461" s="61"/>
      <c r="HZS2461" s="54"/>
      <c r="HZT2461" s="54"/>
      <c r="HZU2461" s="63"/>
      <c r="HZV2461" s="60"/>
      <c r="HZW2461" s="60"/>
      <c r="HZX2461" s="60"/>
      <c r="HZY2461" s="63"/>
      <c r="HZZ2461" s="61"/>
      <c r="IAA2461" s="54"/>
      <c r="IAB2461" s="54"/>
      <c r="IAC2461" s="63"/>
      <c r="IAD2461" s="60"/>
      <c r="IAE2461" s="60"/>
      <c r="IAF2461" s="60"/>
      <c r="IAG2461" s="63"/>
      <c r="IAH2461" s="61"/>
      <c r="IAI2461" s="54"/>
      <c r="IAJ2461" s="54"/>
      <c r="IAK2461" s="63"/>
      <c r="IAL2461" s="60"/>
      <c r="IAM2461" s="60"/>
      <c r="IAN2461" s="60"/>
      <c r="IAO2461" s="63"/>
      <c r="IAP2461" s="61"/>
      <c r="IAQ2461" s="54"/>
      <c r="IAR2461" s="54"/>
      <c r="IAS2461" s="63"/>
      <c r="IAT2461" s="60"/>
      <c r="IAU2461" s="60"/>
      <c r="IAV2461" s="60"/>
      <c r="IAW2461" s="63"/>
      <c r="IAX2461" s="61"/>
      <c r="IAY2461" s="54"/>
      <c r="IAZ2461" s="54"/>
      <c r="IBA2461" s="63"/>
      <c r="IBB2461" s="60"/>
      <c r="IBC2461" s="60"/>
      <c r="IBD2461" s="60"/>
      <c r="IBE2461" s="63"/>
      <c r="IBF2461" s="61"/>
      <c r="IBG2461" s="54"/>
      <c r="IBH2461" s="54"/>
      <c r="IBI2461" s="63"/>
      <c r="IBJ2461" s="60"/>
      <c r="IBK2461" s="60"/>
      <c r="IBL2461" s="60"/>
      <c r="IBM2461" s="63"/>
      <c r="IBN2461" s="61"/>
      <c r="IBO2461" s="54"/>
      <c r="IBP2461" s="54"/>
      <c r="IBQ2461" s="63"/>
      <c r="IBR2461" s="60"/>
      <c r="IBS2461" s="60"/>
      <c r="IBT2461" s="60"/>
      <c r="IBU2461" s="63"/>
      <c r="IBV2461" s="61"/>
      <c r="IBW2461" s="54"/>
      <c r="IBX2461" s="54"/>
      <c r="IBY2461" s="63"/>
      <c r="IBZ2461" s="60"/>
      <c r="ICA2461" s="60"/>
      <c r="ICB2461" s="60"/>
      <c r="ICC2461" s="63"/>
      <c r="ICD2461" s="61"/>
      <c r="ICE2461" s="54"/>
      <c r="ICF2461" s="54"/>
      <c r="ICG2461" s="63"/>
      <c r="ICH2461" s="60"/>
      <c r="ICI2461" s="60"/>
      <c r="ICJ2461" s="60"/>
      <c r="ICK2461" s="63"/>
      <c r="ICL2461" s="61"/>
      <c r="ICM2461" s="54"/>
      <c r="ICN2461" s="54"/>
      <c r="ICO2461" s="63"/>
      <c r="ICP2461" s="60"/>
      <c r="ICQ2461" s="60"/>
      <c r="ICR2461" s="60"/>
      <c r="ICS2461" s="63"/>
      <c r="ICT2461" s="61"/>
      <c r="ICU2461" s="54"/>
      <c r="ICV2461" s="54"/>
      <c r="ICW2461" s="63"/>
      <c r="ICX2461" s="60"/>
      <c r="ICY2461" s="60"/>
      <c r="ICZ2461" s="60"/>
      <c r="IDA2461" s="63"/>
      <c r="IDB2461" s="61"/>
      <c r="IDC2461" s="54"/>
      <c r="IDD2461" s="54"/>
      <c r="IDE2461" s="63"/>
      <c r="IDF2461" s="60"/>
      <c r="IDG2461" s="60"/>
      <c r="IDH2461" s="60"/>
      <c r="IDI2461" s="63"/>
      <c r="IDJ2461" s="61"/>
      <c r="IDK2461" s="54"/>
      <c r="IDL2461" s="54"/>
      <c r="IDM2461" s="63"/>
      <c r="IDN2461" s="60"/>
      <c r="IDO2461" s="60"/>
      <c r="IDP2461" s="60"/>
      <c r="IDQ2461" s="63"/>
      <c r="IDR2461" s="61"/>
      <c r="IDS2461" s="54"/>
      <c r="IDT2461" s="54"/>
      <c r="IDU2461" s="63"/>
      <c r="IDV2461" s="60"/>
      <c r="IDW2461" s="60"/>
      <c r="IDX2461" s="60"/>
      <c r="IDY2461" s="63"/>
      <c r="IDZ2461" s="61"/>
      <c r="IEA2461" s="54"/>
      <c r="IEB2461" s="54"/>
      <c r="IEC2461" s="63"/>
      <c r="IED2461" s="60"/>
      <c r="IEE2461" s="60"/>
      <c r="IEF2461" s="60"/>
      <c r="IEG2461" s="63"/>
      <c r="IEH2461" s="61"/>
      <c r="IEI2461" s="54"/>
      <c r="IEJ2461" s="54"/>
      <c r="IEK2461" s="63"/>
      <c r="IEL2461" s="60"/>
      <c r="IEM2461" s="60"/>
      <c r="IEN2461" s="60"/>
      <c r="IEO2461" s="63"/>
      <c r="IEP2461" s="61"/>
      <c r="IEQ2461" s="54"/>
      <c r="IER2461" s="54"/>
      <c r="IES2461" s="63"/>
      <c r="IET2461" s="60"/>
      <c r="IEU2461" s="60"/>
      <c r="IEV2461" s="60"/>
      <c r="IEW2461" s="63"/>
      <c r="IEX2461" s="61"/>
      <c r="IEY2461" s="54"/>
      <c r="IEZ2461" s="54"/>
      <c r="IFA2461" s="63"/>
      <c r="IFB2461" s="60"/>
      <c r="IFC2461" s="60"/>
      <c r="IFD2461" s="60"/>
      <c r="IFE2461" s="63"/>
      <c r="IFF2461" s="61"/>
      <c r="IFG2461" s="54"/>
      <c r="IFH2461" s="54"/>
      <c r="IFI2461" s="63"/>
      <c r="IFJ2461" s="60"/>
      <c r="IFK2461" s="60"/>
      <c r="IFL2461" s="60"/>
      <c r="IFM2461" s="63"/>
      <c r="IFN2461" s="61"/>
      <c r="IFO2461" s="54"/>
      <c r="IFP2461" s="54"/>
      <c r="IFQ2461" s="63"/>
      <c r="IFR2461" s="60"/>
      <c r="IFS2461" s="60"/>
      <c r="IFT2461" s="60"/>
      <c r="IFU2461" s="63"/>
      <c r="IFV2461" s="61"/>
      <c r="IFW2461" s="54"/>
      <c r="IFX2461" s="54"/>
      <c r="IFY2461" s="63"/>
      <c r="IFZ2461" s="60"/>
      <c r="IGA2461" s="60"/>
      <c r="IGB2461" s="60"/>
      <c r="IGC2461" s="63"/>
      <c r="IGD2461" s="61"/>
      <c r="IGE2461" s="54"/>
      <c r="IGF2461" s="54"/>
      <c r="IGG2461" s="63"/>
      <c r="IGH2461" s="60"/>
      <c r="IGI2461" s="60"/>
      <c r="IGJ2461" s="60"/>
      <c r="IGK2461" s="63"/>
      <c r="IGL2461" s="61"/>
      <c r="IGM2461" s="54"/>
      <c r="IGN2461" s="54"/>
      <c r="IGO2461" s="63"/>
      <c r="IGP2461" s="60"/>
      <c r="IGQ2461" s="60"/>
      <c r="IGR2461" s="60"/>
      <c r="IGS2461" s="63"/>
      <c r="IGT2461" s="61"/>
      <c r="IGU2461" s="54"/>
      <c r="IGV2461" s="54"/>
      <c r="IGW2461" s="63"/>
      <c r="IGX2461" s="60"/>
      <c r="IGY2461" s="60"/>
      <c r="IGZ2461" s="60"/>
      <c r="IHA2461" s="63"/>
      <c r="IHB2461" s="61"/>
      <c r="IHC2461" s="54"/>
      <c r="IHD2461" s="54"/>
      <c r="IHE2461" s="63"/>
      <c r="IHF2461" s="60"/>
      <c r="IHG2461" s="60"/>
      <c r="IHH2461" s="60"/>
      <c r="IHI2461" s="63"/>
      <c r="IHJ2461" s="61"/>
      <c r="IHK2461" s="54"/>
      <c r="IHL2461" s="54"/>
      <c r="IHM2461" s="63"/>
      <c r="IHN2461" s="60"/>
      <c r="IHO2461" s="60"/>
      <c r="IHP2461" s="60"/>
      <c r="IHQ2461" s="63"/>
      <c r="IHR2461" s="61"/>
      <c r="IHS2461" s="54"/>
      <c r="IHT2461" s="54"/>
      <c r="IHU2461" s="63"/>
      <c r="IHV2461" s="60"/>
      <c r="IHW2461" s="60"/>
      <c r="IHX2461" s="60"/>
      <c r="IHY2461" s="63"/>
      <c r="IHZ2461" s="61"/>
      <c r="IIA2461" s="54"/>
      <c r="IIB2461" s="54"/>
      <c r="IIC2461" s="63"/>
      <c r="IID2461" s="60"/>
      <c r="IIE2461" s="60"/>
      <c r="IIF2461" s="60"/>
      <c r="IIG2461" s="63"/>
      <c r="IIH2461" s="61"/>
      <c r="III2461" s="54"/>
      <c r="IIJ2461" s="54"/>
      <c r="IIK2461" s="63"/>
      <c r="IIL2461" s="60"/>
      <c r="IIM2461" s="60"/>
      <c r="IIN2461" s="60"/>
      <c r="IIO2461" s="63"/>
      <c r="IIP2461" s="61"/>
      <c r="IIQ2461" s="54"/>
      <c r="IIR2461" s="54"/>
      <c r="IIS2461" s="63"/>
      <c r="IIT2461" s="60"/>
      <c r="IIU2461" s="60"/>
      <c r="IIV2461" s="60"/>
      <c r="IIW2461" s="63"/>
      <c r="IIX2461" s="61"/>
      <c r="IIY2461" s="54"/>
      <c r="IIZ2461" s="54"/>
      <c r="IJA2461" s="63"/>
      <c r="IJB2461" s="60"/>
      <c r="IJC2461" s="60"/>
      <c r="IJD2461" s="60"/>
      <c r="IJE2461" s="63"/>
      <c r="IJF2461" s="61"/>
      <c r="IJG2461" s="54"/>
      <c r="IJH2461" s="54"/>
      <c r="IJI2461" s="63"/>
      <c r="IJJ2461" s="60"/>
      <c r="IJK2461" s="60"/>
      <c r="IJL2461" s="60"/>
      <c r="IJM2461" s="63"/>
      <c r="IJN2461" s="61"/>
      <c r="IJO2461" s="54"/>
      <c r="IJP2461" s="54"/>
      <c r="IJQ2461" s="63"/>
      <c r="IJR2461" s="60"/>
      <c r="IJS2461" s="60"/>
      <c r="IJT2461" s="60"/>
      <c r="IJU2461" s="63"/>
      <c r="IJV2461" s="61"/>
      <c r="IJW2461" s="54"/>
      <c r="IJX2461" s="54"/>
      <c r="IJY2461" s="63"/>
      <c r="IJZ2461" s="60"/>
      <c r="IKA2461" s="60"/>
      <c r="IKB2461" s="60"/>
      <c r="IKC2461" s="63"/>
      <c r="IKD2461" s="61"/>
      <c r="IKE2461" s="54"/>
      <c r="IKF2461" s="54"/>
      <c r="IKG2461" s="63"/>
      <c r="IKH2461" s="60"/>
      <c r="IKI2461" s="60"/>
      <c r="IKJ2461" s="60"/>
      <c r="IKK2461" s="63"/>
      <c r="IKL2461" s="61"/>
      <c r="IKM2461" s="54"/>
      <c r="IKN2461" s="54"/>
      <c r="IKO2461" s="63"/>
      <c r="IKP2461" s="60"/>
      <c r="IKQ2461" s="60"/>
      <c r="IKR2461" s="60"/>
      <c r="IKS2461" s="63"/>
      <c r="IKT2461" s="61"/>
      <c r="IKU2461" s="54"/>
      <c r="IKV2461" s="54"/>
      <c r="IKW2461" s="63"/>
      <c r="IKX2461" s="60"/>
      <c r="IKY2461" s="60"/>
      <c r="IKZ2461" s="60"/>
      <c r="ILA2461" s="63"/>
      <c r="ILB2461" s="61"/>
      <c r="ILC2461" s="54"/>
      <c r="ILD2461" s="54"/>
      <c r="ILE2461" s="63"/>
      <c r="ILF2461" s="60"/>
      <c r="ILG2461" s="60"/>
      <c r="ILH2461" s="60"/>
      <c r="ILI2461" s="63"/>
      <c r="ILJ2461" s="61"/>
      <c r="ILK2461" s="54"/>
      <c r="ILL2461" s="54"/>
      <c r="ILM2461" s="63"/>
      <c r="ILN2461" s="60"/>
      <c r="ILO2461" s="60"/>
      <c r="ILP2461" s="60"/>
      <c r="ILQ2461" s="63"/>
      <c r="ILR2461" s="61"/>
      <c r="ILS2461" s="54"/>
      <c r="ILT2461" s="54"/>
      <c r="ILU2461" s="63"/>
      <c r="ILV2461" s="60"/>
      <c r="ILW2461" s="60"/>
      <c r="ILX2461" s="60"/>
      <c r="ILY2461" s="63"/>
      <c r="ILZ2461" s="61"/>
      <c r="IMA2461" s="54"/>
      <c r="IMB2461" s="54"/>
      <c r="IMC2461" s="63"/>
      <c r="IMD2461" s="60"/>
      <c r="IME2461" s="60"/>
      <c r="IMF2461" s="60"/>
      <c r="IMG2461" s="63"/>
      <c r="IMH2461" s="61"/>
      <c r="IMI2461" s="54"/>
      <c r="IMJ2461" s="54"/>
      <c r="IMK2461" s="63"/>
      <c r="IML2461" s="60"/>
      <c r="IMM2461" s="60"/>
      <c r="IMN2461" s="60"/>
      <c r="IMO2461" s="63"/>
      <c r="IMP2461" s="61"/>
      <c r="IMQ2461" s="54"/>
      <c r="IMR2461" s="54"/>
      <c r="IMS2461" s="63"/>
      <c r="IMT2461" s="60"/>
      <c r="IMU2461" s="60"/>
      <c r="IMV2461" s="60"/>
      <c r="IMW2461" s="63"/>
      <c r="IMX2461" s="61"/>
      <c r="IMY2461" s="54"/>
      <c r="IMZ2461" s="54"/>
      <c r="INA2461" s="63"/>
      <c r="INB2461" s="60"/>
      <c r="INC2461" s="60"/>
      <c r="IND2461" s="60"/>
      <c r="INE2461" s="63"/>
      <c r="INF2461" s="61"/>
      <c r="ING2461" s="54"/>
      <c r="INH2461" s="54"/>
      <c r="INI2461" s="63"/>
      <c r="INJ2461" s="60"/>
      <c r="INK2461" s="60"/>
      <c r="INL2461" s="60"/>
      <c r="INM2461" s="63"/>
      <c r="INN2461" s="61"/>
      <c r="INO2461" s="54"/>
      <c r="INP2461" s="54"/>
      <c r="INQ2461" s="63"/>
      <c r="INR2461" s="60"/>
      <c r="INS2461" s="60"/>
      <c r="INT2461" s="60"/>
      <c r="INU2461" s="63"/>
      <c r="INV2461" s="61"/>
      <c r="INW2461" s="54"/>
      <c r="INX2461" s="54"/>
      <c r="INY2461" s="63"/>
      <c r="INZ2461" s="60"/>
      <c r="IOA2461" s="60"/>
      <c r="IOB2461" s="60"/>
      <c r="IOC2461" s="63"/>
      <c r="IOD2461" s="61"/>
      <c r="IOE2461" s="54"/>
      <c r="IOF2461" s="54"/>
      <c r="IOG2461" s="63"/>
      <c r="IOH2461" s="60"/>
      <c r="IOI2461" s="60"/>
      <c r="IOJ2461" s="60"/>
      <c r="IOK2461" s="63"/>
      <c r="IOL2461" s="61"/>
      <c r="IOM2461" s="54"/>
      <c r="ION2461" s="54"/>
      <c r="IOO2461" s="63"/>
      <c r="IOP2461" s="60"/>
      <c r="IOQ2461" s="60"/>
      <c r="IOR2461" s="60"/>
      <c r="IOS2461" s="63"/>
      <c r="IOT2461" s="61"/>
      <c r="IOU2461" s="54"/>
      <c r="IOV2461" s="54"/>
      <c r="IOW2461" s="63"/>
      <c r="IOX2461" s="60"/>
      <c r="IOY2461" s="60"/>
      <c r="IOZ2461" s="60"/>
      <c r="IPA2461" s="63"/>
      <c r="IPB2461" s="61"/>
      <c r="IPC2461" s="54"/>
      <c r="IPD2461" s="54"/>
      <c r="IPE2461" s="63"/>
      <c r="IPF2461" s="60"/>
      <c r="IPG2461" s="60"/>
      <c r="IPH2461" s="60"/>
      <c r="IPI2461" s="63"/>
      <c r="IPJ2461" s="61"/>
      <c r="IPK2461" s="54"/>
      <c r="IPL2461" s="54"/>
      <c r="IPM2461" s="63"/>
      <c r="IPN2461" s="60"/>
      <c r="IPO2461" s="60"/>
      <c r="IPP2461" s="60"/>
      <c r="IPQ2461" s="63"/>
      <c r="IPR2461" s="61"/>
      <c r="IPS2461" s="54"/>
      <c r="IPT2461" s="54"/>
      <c r="IPU2461" s="63"/>
      <c r="IPV2461" s="60"/>
      <c r="IPW2461" s="60"/>
      <c r="IPX2461" s="60"/>
      <c r="IPY2461" s="63"/>
      <c r="IPZ2461" s="61"/>
      <c r="IQA2461" s="54"/>
      <c r="IQB2461" s="54"/>
      <c r="IQC2461" s="63"/>
      <c r="IQD2461" s="60"/>
      <c r="IQE2461" s="60"/>
      <c r="IQF2461" s="60"/>
      <c r="IQG2461" s="63"/>
      <c r="IQH2461" s="61"/>
      <c r="IQI2461" s="54"/>
      <c r="IQJ2461" s="54"/>
      <c r="IQK2461" s="63"/>
      <c r="IQL2461" s="60"/>
      <c r="IQM2461" s="60"/>
      <c r="IQN2461" s="60"/>
      <c r="IQO2461" s="63"/>
      <c r="IQP2461" s="61"/>
      <c r="IQQ2461" s="54"/>
      <c r="IQR2461" s="54"/>
      <c r="IQS2461" s="63"/>
      <c r="IQT2461" s="60"/>
      <c r="IQU2461" s="60"/>
      <c r="IQV2461" s="60"/>
      <c r="IQW2461" s="63"/>
      <c r="IQX2461" s="61"/>
      <c r="IQY2461" s="54"/>
      <c r="IQZ2461" s="54"/>
      <c r="IRA2461" s="63"/>
      <c r="IRB2461" s="60"/>
      <c r="IRC2461" s="60"/>
      <c r="IRD2461" s="60"/>
      <c r="IRE2461" s="63"/>
      <c r="IRF2461" s="61"/>
      <c r="IRG2461" s="54"/>
      <c r="IRH2461" s="54"/>
      <c r="IRI2461" s="63"/>
      <c r="IRJ2461" s="60"/>
      <c r="IRK2461" s="60"/>
      <c r="IRL2461" s="60"/>
      <c r="IRM2461" s="63"/>
      <c r="IRN2461" s="61"/>
      <c r="IRO2461" s="54"/>
      <c r="IRP2461" s="54"/>
      <c r="IRQ2461" s="63"/>
      <c r="IRR2461" s="60"/>
      <c r="IRS2461" s="60"/>
      <c r="IRT2461" s="60"/>
      <c r="IRU2461" s="63"/>
      <c r="IRV2461" s="61"/>
      <c r="IRW2461" s="54"/>
      <c r="IRX2461" s="54"/>
      <c r="IRY2461" s="63"/>
      <c r="IRZ2461" s="60"/>
      <c r="ISA2461" s="60"/>
      <c r="ISB2461" s="60"/>
      <c r="ISC2461" s="63"/>
      <c r="ISD2461" s="61"/>
      <c r="ISE2461" s="54"/>
      <c r="ISF2461" s="54"/>
      <c r="ISG2461" s="63"/>
      <c r="ISH2461" s="60"/>
      <c r="ISI2461" s="60"/>
      <c r="ISJ2461" s="60"/>
      <c r="ISK2461" s="63"/>
      <c r="ISL2461" s="61"/>
      <c r="ISM2461" s="54"/>
      <c r="ISN2461" s="54"/>
      <c r="ISO2461" s="63"/>
      <c r="ISP2461" s="60"/>
      <c r="ISQ2461" s="60"/>
      <c r="ISR2461" s="60"/>
      <c r="ISS2461" s="63"/>
      <c r="IST2461" s="61"/>
      <c r="ISU2461" s="54"/>
      <c r="ISV2461" s="54"/>
      <c r="ISW2461" s="63"/>
      <c r="ISX2461" s="60"/>
      <c r="ISY2461" s="60"/>
      <c r="ISZ2461" s="60"/>
      <c r="ITA2461" s="63"/>
      <c r="ITB2461" s="61"/>
      <c r="ITC2461" s="54"/>
      <c r="ITD2461" s="54"/>
      <c r="ITE2461" s="63"/>
      <c r="ITF2461" s="60"/>
      <c r="ITG2461" s="60"/>
      <c r="ITH2461" s="60"/>
      <c r="ITI2461" s="63"/>
      <c r="ITJ2461" s="61"/>
      <c r="ITK2461" s="54"/>
      <c r="ITL2461" s="54"/>
      <c r="ITM2461" s="63"/>
      <c r="ITN2461" s="60"/>
      <c r="ITO2461" s="60"/>
      <c r="ITP2461" s="60"/>
      <c r="ITQ2461" s="63"/>
      <c r="ITR2461" s="61"/>
      <c r="ITS2461" s="54"/>
      <c r="ITT2461" s="54"/>
      <c r="ITU2461" s="63"/>
      <c r="ITV2461" s="60"/>
      <c r="ITW2461" s="60"/>
      <c r="ITX2461" s="60"/>
      <c r="ITY2461" s="63"/>
      <c r="ITZ2461" s="61"/>
      <c r="IUA2461" s="54"/>
      <c r="IUB2461" s="54"/>
      <c r="IUC2461" s="63"/>
      <c r="IUD2461" s="60"/>
      <c r="IUE2461" s="60"/>
      <c r="IUF2461" s="60"/>
      <c r="IUG2461" s="63"/>
      <c r="IUH2461" s="61"/>
      <c r="IUI2461" s="54"/>
      <c r="IUJ2461" s="54"/>
      <c r="IUK2461" s="63"/>
      <c r="IUL2461" s="60"/>
      <c r="IUM2461" s="60"/>
      <c r="IUN2461" s="60"/>
      <c r="IUO2461" s="63"/>
      <c r="IUP2461" s="61"/>
      <c r="IUQ2461" s="54"/>
      <c r="IUR2461" s="54"/>
      <c r="IUS2461" s="63"/>
      <c r="IUT2461" s="60"/>
      <c r="IUU2461" s="60"/>
      <c r="IUV2461" s="60"/>
      <c r="IUW2461" s="63"/>
      <c r="IUX2461" s="61"/>
      <c r="IUY2461" s="54"/>
      <c r="IUZ2461" s="54"/>
      <c r="IVA2461" s="63"/>
      <c r="IVB2461" s="60"/>
      <c r="IVC2461" s="60"/>
      <c r="IVD2461" s="60"/>
      <c r="IVE2461" s="63"/>
      <c r="IVF2461" s="61"/>
      <c r="IVG2461" s="54"/>
      <c r="IVH2461" s="54"/>
      <c r="IVI2461" s="63"/>
      <c r="IVJ2461" s="60"/>
      <c r="IVK2461" s="60"/>
      <c r="IVL2461" s="60"/>
      <c r="IVM2461" s="63"/>
      <c r="IVN2461" s="61"/>
      <c r="IVO2461" s="54"/>
      <c r="IVP2461" s="54"/>
      <c r="IVQ2461" s="63"/>
      <c r="IVR2461" s="60"/>
      <c r="IVS2461" s="60"/>
      <c r="IVT2461" s="60"/>
      <c r="IVU2461" s="63"/>
      <c r="IVV2461" s="61"/>
      <c r="IVW2461" s="54"/>
      <c r="IVX2461" s="54"/>
      <c r="IVY2461" s="63"/>
      <c r="IVZ2461" s="60"/>
      <c r="IWA2461" s="60"/>
      <c r="IWB2461" s="60"/>
      <c r="IWC2461" s="63"/>
      <c r="IWD2461" s="61"/>
      <c r="IWE2461" s="54"/>
      <c r="IWF2461" s="54"/>
      <c r="IWG2461" s="63"/>
      <c r="IWH2461" s="60"/>
      <c r="IWI2461" s="60"/>
      <c r="IWJ2461" s="60"/>
      <c r="IWK2461" s="63"/>
      <c r="IWL2461" s="61"/>
      <c r="IWM2461" s="54"/>
      <c r="IWN2461" s="54"/>
      <c r="IWO2461" s="63"/>
      <c r="IWP2461" s="60"/>
      <c r="IWQ2461" s="60"/>
      <c r="IWR2461" s="60"/>
      <c r="IWS2461" s="63"/>
      <c r="IWT2461" s="61"/>
      <c r="IWU2461" s="54"/>
      <c r="IWV2461" s="54"/>
      <c r="IWW2461" s="63"/>
      <c r="IWX2461" s="60"/>
      <c r="IWY2461" s="60"/>
      <c r="IWZ2461" s="60"/>
      <c r="IXA2461" s="63"/>
      <c r="IXB2461" s="61"/>
      <c r="IXC2461" s="54"/>
      <c r="IXD2461" s="54"/>
      <c r="IXE2461" s="63"/>
      <c r="IXF2461" s="60"/>
      <c r="IXG2461" s="60"/>
      <c r="IXH2461" s="60"/>
      <c r="IXI2461" s="63"/>
      <c r="IXJ2461" s="61"/>
      <c r="IXK2461" s="54"/>
      <c r="IXL2461" s="54"/>
      <c r="IXM2461" s="63"/>
      <c r="IXN2461" s="60"/>
      <c r="IXO2461" s="60"/>
      <c r="IXP2461" s="60"/>
      <c r="IXQ2461" s="63"/>
      <c r="IXR2461" s="61"/>
      <c r="IXS2461" s="54"/>
      <c r="IXT2461" s="54"/>
      <c r="IXU2461" s="63"/>
      <c r="IXV2461" s="60"/>
      <c r="IXW2461" s="60"/>
      <c r="IXX2461" s="60"/>
      <c r="IXY2461" s="63"/>
      <c r="IXZ2461" s="61"/>
      <c r="IYA2461" s="54"/>
      <c r="IYB2461" s="54"/>
      <c r="IYC2461" s="63"/>
      <c r="IYD2461" s="60"/>
      <c r="IYE2461" s="60"/>
      <c r="IYF2461" s="60"/>
      <c r="IYG2461" s="63"/>
      <c r="IYH2461" s="61"/>
      <c r="IYI2461" s="54"/>
      <c r="IYJ2461" s="54"/>
      <c r="IYK2461" s="63"/>
      <c r="IYL2461" s="60"/>
      <c r="IYM2461" s="60"/>
      <c r="IYN2461" s="60"/>
      <c r="IYO2461" s="63"/>
      <c r="IYP2461" s="61"/>
      <c r="IYQ2461" s="54"/>
      <c r="IYR2461" s="54"/>
      <c r="IYS2461" s="63"/>
      <c r="IYT2461" s="60"/>
      <c r="IYU2461" s="60"/>
      <c r="IYV2461" s="60"/>
      <c r="IYW2461" s="63"/>
      <c r="IYX2461" s="61"/>
      <c r="IYY2461" s="54"/>
      <c r="IYZ2461" s="54"/>
      <c r="IZA2461" s="63"/>
      <c r="IZB2461" s="60"/>
      <c r="IZC2461" s="60"/>
      <c r="IZD2461" s="60"/>
      <c r="IZE2461" s="63"/>
      <c r="IZF2461" s="61"/>
      <c r="IZG2461" s="54"/>
      <c r="IZH2461" s="54"/>
      <c r="IZI2461" s="63"/>
      <c r="IZJ2461" s="60"/>
      <c r="IZK2461" s="60"/>
      <c r="IZL2461" s="60"/>
      <c r="IZM2461" s="63"/>
      <c r="IZN2461" s="61"/>
      <c r="IZO2461" s="54"/>
      <c r="IZP2461" s="54"/>
      <c r="IZQ2461" s="63"/>
      <c r="IZR2461" s="60"/>
      <c r="IZS2461" s="60"/>
      <c r="IZT2461" s="60"/>
      <c r="IZU2461" s="63"/>
      <c r="IZV2461" s="61"/>
      <c r="IZW2461" s="54"/>
      <c r="IZX2461" s="54"/>
      <c r="IZY2461" s="63"/>
      <c r="IZZ2461" s="60"/>
      <c r="JAA2461" s="60"/>
      <c r="JAB2461" s="60"/>
      <c r="JAC2461" s="63"/>
      <c r="JAD2461" s="61"/>
      <c r="JAE2461" s="54"/>
      <c r="JAF2461" s="54"/>
      <c r="JAG2461" s="63"/>
      <c r="JAH2461" s="60"/>
      <c r="JAI2461" s="60"/>
      <c r="JAJ2461" s="60"/>
      <c r="JAK2461" s="63"/>
      <c r="JAL2461" s="61"/>
      <c r="JAM2461" s="54"/>
      <c r="JAN2461" s="54"/>
      <c r="JAO2461" s="63"/>
      <c r="JAP2461" s="60"/>
      <c r="JAQ2461" s="60"/>
      <c r="JAR2461" s="60"/>
      <c r="JAS2461" s="63"/>
      <c r="JAT2461" s="61"/>
      <c r="JAU2461" s="54"/>
      <c r="JAV2461" s="54"/>
      <c r="JAW2461" s="63"/>
      <c r="JAX2461" s="60"/>
      <c r="JAY2461" s="60"/>
      <c r="JAZ2461" s="60"/>
      <c r="JBA2461" s="63"/>
      <c r="JBB2461" s="61"/>
      <c r="JBC2461" s="54"/>
      <c r="JBD2461" s="54"/>
      <c r="JBE2461" s="63"/>
      <c r="JBF2461" s="60"/>
      <c r="JBG2461" s="60"/>
      <c r="JBH2461" s="60"/>
      <c r="JBI2461" s="63"/>
      <c r="JBJ2461" s="61"/>
      <c r="JBK2461" s="54"/>
      <c r="JBL2461" s="54"/>
      <c r="JBM2461" s="63"/>
      <c r="JBN2461" s="60"/>
      <c r="JBO2461" s="60"/>
      <c r="JBP2461" s="60"/>
      <c r="JBQ2461" s="63"/>
      <c r="JBR2461" s="61"/>
      <c r="JBS2461" s="54"/>
      <c r="JBT2461" s="54"/>
      <c r="JBU2461" s="63"/>
      <c r="JBV2461" s="60"/>
      <c r="JBW2461" s="60"/>
      <c r="JBX2461" s="60"/>
      <c r="JBY2461" s="63"/>
      <c r="JBZ2461" s="61"/>
      <c r="JCA2461" s="54"/>
      <c r="JCB2461" s="54"/>
      <c r="JCC2461" s="63"/>
      <c r="JCD2461" s="60"/>
      <c r="JCE2461" s="60"/>
      <c r="JCF2461" s="60"/>
      <c r="JCG2461" s="63"/>
      <c r="JCH2461" s="61"/>
      <c r="JCI2461" s="54"/>
      <c r="JCJ2461" s="54"/>
      <c r="JCK2461" s="63"/>
      <c r="JCL2461" s="60"/>
      <c r="JCM2461" s="60"/>
      <c r="JCN2461" s="60"/>
      <c r="JCO2461" s="63"/>
      <c r="JCP2461" s="61"/>
      <c r="JCQ2461" s="54"/>
      <c r="JCR2461" s="54"/>
      <c r="JCS2461" s="63"/>
      <c r="JCT2461" s="60"/>
      <c r="JCU2461" s="60"/>
      <c r="JCV2461" s="60"/>
      <c r="JCW2461" s="63"/>
      <c r="JCX2461" s="61"/>
      <c r="JCY2461" s="54"/>
      <c r="JCZ2461" s="54"/>
      <c r="JDA2461" s="63"/>
      <c r="JDB2461" s="60"/>
      <c r="JDC2461" s="60"/>
      <c r="JDD2461" s="60"/>
      <c r="JDE2461" s="63"/>
      <c r="JDF2461" s="61"/>
      <c r="JDG2461" s="54"/>
      <c r="JDH2461" s="54"/>
      <c r="JDI2461" s="63"/>
      <c r="JDJ2461" s="60"/>
      <c r="JDK2461" s="60"/>
      <c r="JDL2461" s="60"/>
      <c r="JDM2461" s="63"/>
      <c r="JDN2461" s="61"/>
      <c r="JDO2461" s="54"/>
      <c r="JDP2461" s="54"/>
      <c r="JDQ2461" s="63"/>
      <c r="JDR2461" s="60"/>
      <c r="JDS2461" s="60"/>
      <c r="JDT2461" s="60"/>
      <c r="JDU2461" s="63"/>
      <c r="JDV2461" s="61"/>
      <c r="JDW2461" s="54"/>
      <c r="JDX2461" s="54"/>
      <c r="JDY2461" s="63"/>
      <c r="JDZ2461" s="60"/>
      <c r="JEA2461" s="60"/>
      <c r="JEB2461" s="60"/>
      <c r="JEC2461" s="63"/>
      <c r="JED2461" s="61"/>
      <c r="JEE2461" s="54"/>
      <c r="JEF2461" s="54"/>
      <c r="JEG2461" s="63"/>
      <c r="JEH2461" s="60"/>
      <c r="JEI2461" s="60"/>
      <c r="JEJ2461" s="60"/>
      <c r="JEK2461" s="63"/>
      <c r="JEL2461" s="61"/>
      <c r="JEM2461" s="54"/>
      <c r="JEN2461" s="54"/>
      <c r="JEO2461" s="63"/>
      <c r="JEP2461" s="60"/>
      <c r="JEQ2461" s="60"/>
      <c r="JER2461" s="60"/>
      <c r="JES2461" s="63"/>
      <c r="JET2461" s="61"/>
      <c r="JEU2461" s="54"/>
      <c r="JEV2461" s="54"/>
      <c r="JEW2461" s="63"/>
      <c r="JEX2461" s="60"/>
      <c r="JEY2461" s="60"/>
      <c r="JEZ2461" s="60"/>
      <c r="JFA2461" s="63"/>
      <c r="JFB2461" s="61"/>
      <c r="JFC2461" s="54"/>
      <c r="JFD2461" s="54"/>
      <c r="JFE2461" s="63"/>
      <c r="JFF2461" s="60"/>
      <c r="JFG2461" s="60"/>
      <c r="JFH2461" s="60"/>
      <c r="JFI2461" s="63"/>
      <c r="JFJ2461" s="61"/>
      <c r="JFK2461" s="54"/>
      <c r="JFL2461" s="54"/>
      <c r="JFM2461" s="63"/>
      <c r="JFN2461" s="60"/>
      <c r="JFO2461" s="60"/>
      <c r="JFP2461" s="60"/>
      <c r="JFQ2461" s="63"/>
      <c r="JFR2461" s="61"/>
      <c r="JFS2461" s="54"/>
      <c r="JFT2461" s="54"/>
      <c r="JFU2461" s="63"/>
      <c r="JFV2461" s="60"/>
      <c r="JFW2461" s="60"/>
      <c r="JFX2461" s="60"/>
      <c r="JFY2461" s="63"/>
      <c r="JFZ2461" s="61"/>
      <c r="JGA2461" s="54"/>
      <c r="JGB2461" s="54"/>
      <c r="JGC2461" s="63"/>
      <c r="JGD2461" s="60"/>
      <c r="JGE2461" s="60"/>
      <c r="JGF2461" s="60"/>
      <c r="JGG2461" s="63"/>
      <c r="JGH2461" s="61"/>
      <c r="JGI2461" s="54"/>
      <c r="JGJ2461" s="54"/>
      <c r="JGK2461" s="63"/>
      <c r="JGL2461" s="60"/>
      <c r="JGM2461" s="60"/>
      <c r="JGN2461" s="60"/>
      <c r="JGO2461" s="63"/>
      <c r="JGP2461" s="61"/>
      <c r="JGQ2461" s="54"/>
      <c r="JGR2461" s="54"/>
      <c r="JGS2461" s="63"/>
      <c r="JGT2461" s="60"/>
      <c r="JGU2461" s="60"/>
      <c r="JGV2461" s="60"/>
      <c r="JGW2461" s="63"/>
      <c r="JGX2461" s="61"/>
      <c r="JGY2461" s="54"/>
      <c r="JGZ2461" s="54"/>
      <c r="JHA2461" s="63"/>
      <c r="JHB2461" s="60"/>
      <c r="JHC2461" s="60"/>
      <c r="JHD2461" s="60"/>
      <c r="JHE2461" s="63"/>
      <c r="JHF2461" s="61"/>
      <c r="JHG2461" s="54"/>
      <c r="JHH2461" s="54"/>
      <c r="JHI2461" s="63"/>
      <c r="JHJ2461" s="60"/>
      <c r="JHK2461" s="60"/>
      <c r="JHL2461" s="60"/>
      <c r="JHM2461" s="63"/>
      <c r="JHN2461" s="61"/>
      <c r="JHO2461" s="54"/>
      <c r="JHP2461" s="54"/>
      <c r="JHQ2461" s="63"/>
      <c r="JHR2461" s="60"/>
      <c r="JHS2461" s="60"/>
      <c r="JHT2461" s="60"/>
      <c r="JHU2461" s="63"/>
      <c r="JHV2461" s="61"/>
      <c r="JHW2461" s="54"/>
      <c r="JHX2461" s="54"/>
      <c r="JHY2461" s="63"/>
      <c r="JHZ2461" s="60"/>
      <c r="JIA2461" s="60"/>
      <c r="JIB2461" s="60"/>
      <c r="JIC2461" s="63"/>
      <c r="JID2461" s="61"/>
      <c r="JIE2461" s="54"/>
      <c r="JIF2461" s="54"/>
      <c r="JIG2461" s="63"/>
      <c r="JIH2461" s="60"/>
      <c r="JII2461" s="60"/>
      <c r="JIJ2461" s="60"/>
      <c r="JIK2461" s="63"/>
      <c r="JIL2461" s="61"/>
      <c r="JIM2461" s="54"/>
      <c r="JIN2461" s="54"/>
      <c r="JIO2461" s="63"/>
      <c r="JIP2461" s="60"/>
      <c r="JIQ2461" s="60"/>
      <c r="JIR2461" s="60"/>
      <c r="JIS2461" s="63"/>
      <c r="JIT2461" s="61"/>
      <c r="JIU2461" s="54"/>
      <c r="JIV2461" s="54"/>
      <c r="JIW2461" s="63"/>
      <c r="JIX2461" s="60"/>
      <c r="JIY2461" s="60"/>
      <c r="JIZ2461" s="60"/>
      <c r="JJA2461" s="63"/>
      <c r="JJB2461" s="61"/>
      <c r="JJC2461" s="54"/>
      <c r="JJD2461" s="54"/>
      <c r="JJE2461" s="63"/>
      <c r="JJF2461" s="60"/>
      <c r="JJG2461" s="60"/>
      <c r="JJH2461" s="60"/>
      <c r="JJI2461" s="63"/>
      <c r="JJJ2461" s="61"/>
      <c r="JJK2461" s="54"/>
      <c r="JJL2461" s="54"/>
      <c r="JJM2461" s="63"/>
      <c r="JJN2461" s="60"/>
      <c r="JJO2461" s="60"/>
      <c r="JJP2461" s="60"/>
      <c r="JJQ2461" s="63"/>
      <c r="JJR2461" s="61"/>
      <c r="JJS2461" s="54"/>
      <c r="JJT2461" s="54"/>
      <c r="JJU2461" s="63"/>
      <c r="JJV2461" s="60"/>
      <c r="JJW2461" s="60"/>
      <c r="JJX2461" s="60"/>
      <c r="JJY2461" s="63"/>
      <c r="JJZ2461" s="61"/>
      <c r="JKA2461" s="54"/>
      <c r="JKB2461" s="54"/>
      <c r="JKC2461" s="63"/>
      <c r="JKD2461" s="60"/>
      <c r="JKE2461" s="60"/>
      <c r="JKF2461" s="60"/>
      <c r="JKG2461" s="63"/>
      <c r="JKH2461" s="61"/>
      <c r="JKI2461" s="54"/>
      <c r="JKJ2461" s="54"/>
      <c r="JKK2461" s="63"/>
      <c r="JKL2461" s="60"/>
      <c r="JKM2461" s="60"/>
      <c r="JKN2461" s="60"/>
      <c r="JKO2461" s="63"/>
      <c r="JKP2461" s="61"/>
      <c r="JKQ2461" s="54"/>
      <c r="JKR2461" s="54"/>
      <c r="JKS2461" s="63"/>
      <c r="JKT2461" s="60"/>
      <c r="JKU2461" s="60"/>
      <c r="JKV2461" s="60"/>
      <c r="JKW2461" s="63"/>
      <c r="JKX2461" s="61"/>
      <c r="JKY2461" s="54"/>
      <c r="JKZ2461" s="54"/>
      <c r="JLA2461" s="63"/>
      <c r="JLB2461" s="60"/>
      <c r="JLC2461" s="60"/>
      <c r="JLD2461" s="60"/>
      <c r="JLE2461" s="63"/>
      <c r="JLF2461" s="61"/>
      <c r="JLG2461" s="54"/>
      <c r="JLH2461" s="54"/>
      <c r="JLI2461" s="63"/>
      <c r="JLJ2461" s="60"/>
      <c r="JLK2461" s="60"/>
      <c r="JLL2461" s="60"/>
      <c r="JLM2461" s="63"/>
      <c r="JLN2461" s="61"/>
      <c r="JLO2461" s="54"/>
      <c r="JLP2461" s="54"/>
      <c r="JLQ2461" s="63"/>
      <c r="JLR2461" s="60"/>
      <c r="JLS2461" s="60"/>
      <c r="JLT2461" s="60"/>
      <c r="JLU2461" s="63"/>
      <c r="JLV2461" s="61"/>
      <c r="JLW2461" s="54"/>
      <c r="JLX2461" s="54"/>
      <c r="JLY2461" s="63"/>
      <c r="JLZ2461" s="60"/>
      <c r="JMA2461" s="60"/>
      <c r="JMB2461" s="60"/>
      <c r="JMC2461" s="63"/>
      <c r="JMD2461" s="61"/>
      <c r="JME2461" s="54"/>
      <c r="JMF2461" s="54"/>
      <c r="JMG2461" s="63"/>
      <c r="JMH2461" s="60"/>
      <c r="JMI2461" s="60"/>
      <c r="JMJ2461" s="60"/>
      <c r="JMK2461" s="63"/>
      <c r="JML2461" s="61"/>
      <c r="JMM2461" s="54"/>
      <c r="JMN2461" s="54"/>
      <c r="JMO2461" s="63"/>
      <c r="JMP2461" s="60"/>
      <c r="JMQ2461" s="60"/>
      <c r="JMR2461" s="60"/>
      <c r="JMS2461" s="63"/>
      <c r="JMT2461" s="61"/>
      <c r="JMU2461" s="54"/>
      <c r="JMV2461" s="54"/>
      <c r="JMW2461" s="63"/>
      <c r="JMX2461" s="60"/>
      <c r="JMY2461" s="60"/>
      <c r="JMZ2461" s="60"/>
      <c r="JNA2461" s="63"/>
      <c r="JNB2461" s="61"/>
      <c r="JNC2461" s="54"/>
      <c r="JND2461" s="54"/>
      <c r="JNE2461" s="63"/>
      <c r="JNF2461" s="60"/>
      <c r="JNG2461" s="60"/>
      <c r="JNH2461" s="60"/>
      <c r="JNI2461" s="63"/>
      <c r="JNJ2461" s="61"/>
      <c r="JNK2461" s="54"/>
      <c r="JNL2461" s="54"/>
      <c r="JNM2461" s="63"/>
      <c r="JNN2461" s="60"/>
      <c r="JNO2461" s="60"/>
      <c r="JNP2461" s="60"/>
      <c r="JNQ2461" s="63"/>
      <c r="JNR2461" s="61"/>
      <c r="JNS2461" s="54"/>
      <c r="JNT2461" s="54"/>
      <c r="JNU2461" s="63"/>
      <c r="JNV2461" s="60"/>
      <c r="JNW2461" s="60"/>
      <c r="JNX2461" s="60"/>
      <c r="JNY2461" s="63"/>
      <c r="JNZ2461" s="61"/>
      <c r="JOA2461" s="54"/>
      <c r="JOB2461" s="54"/>
      <c r="JOC2461" s="63"/>
      <c r="JOD2461" s="60"/>
      <c r="JOE2461" s="60"/>
      <c r="JOF2461" s="60"/>
      <c r="JOG2461" s="63"/>
      <c r="JOH2461" s="61"/>
      <c r="JOI2461" s="54"/>
      <c r="JOJ2461" s="54"/>
      <c r="JOK2461" s="63"/>
      <c r="JOL2461" s="60"/>
      <c r="JOM2461" s="60"/>
      <c r="JON2461" s="60"/>
      <c r="JOO2461" s="63"/>
      <c r="JOP2461" s="61"/>
      <c r="JOQ2461" s="54"/>
      <c r="JOR2461" s="54"/>
      <c r="JOS2461" s="63"/>
      <c r="JOT2461" s="60"/>
      <c r="JOU2461" s="60"/>
      <c r="JOV2461" s="60"/>
      <c r="JOW2461" s="63"/>
      <c r="JOX2461" s="61"/>
      <c r="JOY2461" s="54"/>
      <c r="JOZ2461" s="54"/>
      <c r="JPA2461" s="63"/>
      <c r="JPB2461" s="60"/>
      <c r="JPC2461" s="60"/>
      <c r="JPD2461" s="60"/>
      <c r="JPE2461" s="63"/>
      <c r="JPF2461" s="61"/>
      <c r="JPG2461" s="54"/>
      <c r="JPH2461" s="54"/>
      <c r="JPI2461" s="63"/>
      <c r="JPJ2461" s="60"/>
      <c r="JPK2461" s="60"/>
      <c r="JPL2461" s="60"/>
      <c r="JPM2461" s="63"/>
      <c r="JPN2461" s="61"/>
      <c r="JPO2461" s="54"/>
      <c r="JPP2461" s="54"/>
      <c r="JPQ2461" s="63"/>
      <c r="JPR2461" s="60"/>
      <c r="JPS2461" s="60"/>
      <c r="JPT2461" s="60"/>
      <c r="JPU2461" s="63"/>
      <c r="JPV2461" s="61"/>
      <c r="JPW2461" s="54"/>
      <c r="JPX2461" s="54"/>
      <c r="JPY2461" s="63"/>
      <c r="JPZ2461" s="60"/>
      <c r="JQA2461" s="60"/>
      <c r="JQB2461" s="60"/>
      <c r="JQC2461" s="63"/>
      <c r="JQD2461" s="61"/>
      <c r="JQE2461" s="54"/>
      <c r="JQF2461" s="54"/>
      <c r="JQG2461" s="63"/>
      <c r="JQH2461" s="60"/>
      <c r="JQI2461" s="60"/>
      <c r="JQJ2461" s="60"/>
      <c r="JQK2461" s="63"/>
      <c r="JQL2461" s="61"/>
      <c r="JQM2461" s="54"/>
      <c r="JQN2461" s="54"/>
      <c r="JQO2461" s="63"/>
      <c r="JQP2461" s="60"/>
      <c r="JQQ2461" s="60"/>
      <c r="JQR2461" s="60"/>
      <c r="JQS2461" s="63"/>
      <c r="JQT2461" s="61"/>
      <c r="JQU2461" s="54"/>
      <c r="JQV2461" s="54"/>
      <c r="JQW2461" s="63"/>
      <c r="JQX2461" s="60"/>
      <c r="JQY2461" s="60"/>
      <c r="JQZ2461" s="60"/>
      <c r="JRA2461" s="63"/>
      <c r="JRB2461" s="61"/>
      <c r="JRC2461" s="54"/>
      <c r="JRD2461" s="54"/>
      <c r="JRE2461" s="63"/>
      <c r="JRF2461" s="60"/>
      <c r="JRG2461" s="60"/>
      <c r="JRH2461" s="60"/>
      <c r="JRI2461" s="63"/>
      <c r="JRJ2461" s="61"/>
      <c r="JRK2461" s="54"/>
      <c r="JRL2461" s="54"/>
      <c r="JRM2461" s="63"/>
      <c r="JRN2461" s="60"/>
      <c r="JRO2461" s="60"/>
      <c r="JRP2461" s="60"/>
      <c r="JRQ2461" s="63"/>
      <c r="JRR2461" s="61"/>
      <c r="JRS2461" s="54"/>
      <c r="JRT2461" s="54"/>
      <c r="JRU2461" s="63"/>
      <c r="JRV2461" s="60"/>
      <c r="JRW2461" s="60"/>
      <c r="JRX2461" s="60"/>
      <c r="JRY2461" s="63"/>
      <c r="JRZ2461" s="61"/>
      <c r="JSA2461" s="54"/>
      <c r="JSB2461" s="54"/>
      <c r="JSC2461" s="63"/>
      <c r="JSD2461" s="60"/>
      <c r="JSE2461" s="60"/>
      <c r="JSF2461" s="60"/>
      <c r="JSG2461" s="63"/>
      <c r="JSH2461" s="61"/>
      <c r="JSI2461" s="54"/>
      <c r="JSJ2461" s="54"/>
      <c r="JSK2461" s="63"/>
      <c r="JSL2461" s="60"/>
      <c r="JSM2461" s="60"/>
      <c r="JSN2461" s="60"/>
      <c r="JSO2461" s="63"/>
      <c r="JSP2461" s="61"/>
      <c r="JSQ2461" s="54"/>
      <c r="JSR2461" s="54"/>
      <c r="JSS2461" s="63"/>
      <c r="JST2461" s="60"/>
      <c r="JSU2461" s="60"/>
      <c r="JSV2461" s="60"/>
      <c r="JSW2461" s="63"/>
      <c r="JSX2461" s="61"/>
      <c r="JSY2461" s="54"/>
      <c r="JSZ2461" s="54"/>
      <c r="JTA2461" s="63"/>
      <c r="JTB2461" s="60"/>
      <c r="JTC2461" s="60"/>
      <c r="JTD2461" s="60"/>
      <c r="JTE2461" s="63"/>
      <c r="JTF2461" s="61"/>
      <c r="JTG2461" s="54"/>
      <c r="JTH2461" s="54"/>
      <c r="JTI2461" s="63"/>
      <c r="JTJ2461" s="60"/>
      <c r="JTK2461" s="60"/>
      <c r="JTL2461" s="60"/>
      <c r="JTM2461" s="63"/>
      <c r="JTN2461" s="61"/>
      <c r="JTO2461" s="54"/>
      <c r="JTP2461" s="54"/>
      <c r="JTQ2461" s="63"/>
      <c r="JTR2461" s="60"/>
      <c r="JTS2461" s="60"/>
      <c r="JTT2461" s="60"/>
      <c r="JTU2461" s="63"/>
      <c r="JTV2461" s="61"/>
      <c r="JTW2461" s="54"/>
      <c r="JTX2461" s="54"/>
      <c r="JTY2461" s="63"/>
      <c r="JTZ2461" s="60"/>
      <c r="JUA2461" s="60"/>
      <c r="JUB2461" s="60"/>
      <c r="JUC2461" s="63"/>
      <c r="JUD2461" s="61"/>
      <c r="JUE2461" s="54"/>
      <c r="JUF2461" s="54"/>
      <c r="JUG2461" s="63"/>
      <c r="JUH2461" s="60"/>
      <c r="JUI2461" s="60"/>
      <c r="JUJ2461" s="60"/>
      <c r="JUK2461" s="63"/>
      <c r="JUL2461" s="61"/>
      <c r="JUM2461" s="54"/>
      <c r="JUN2461" s="54"/>
      <c r="JUO2461" s="63"/>
      <c r="JUP2461" s="60"/>
      <c r="JUQ2461" s="60"/>
      <c r="JUR2461" s="60"/>
      <c r="JUS2461" s="63"/>
      <c r="JUT2461" s="61"/>
      <c r="JUU2461" s="54"/>
      <c r="JUV2461" s="54"/>
      <c r="JUW2461" s="63"/>
      <c r="JUX2461" s="60"/>
      <c r="JUY2461" s="60"/>
      <c r="JUZ2461" s="60"/>
      <c r="JVA2461" s="63"/>
      <c r="JVB2461" s="61"/>
      <c r="JVC2461" s="54"/>
      <c r="JVD2461" s="54"/>
      <c r="JVE2461" s="63"/>
      <c r="JVF2461" s="60"/>
      <c r="JVG2461" s="60"/>
      <c r="JVH2461" s="60"/>
      <c r="JVI2461" s="63"/>
      <c r="JVJ2461" s="61"/>
      <c r="JVK2461" s="54"/>
      <c r="JVL2461" s="54"/>
      <c r="JVM2461" s="63"/>
      <c r="JVN2461" s="60"/>
      <c r="JVO2461" s="60"/>
      <c r="JVP2461" s="60"/>
      <c r="JVQ2461" s="63"/>
      <c r="JVR2461" s="61"/>
      <c r="JVS2461" s="54"/>
      <c r="JVT2461" s="54"/>
      <c r="JVU2461" s="63"/>
      <c r="JVV2461" s="60"/>
      <c r="JVW2461" s="60"/>
      <c r="JVX2461" s="60"/>
      <c r="JVY2461" s="63"/>
      <c r="JVZ2461" s="61"/>
      <c r="JWA2461" s="54"/>
      <c r="JWB2461" s="54"/>
      <c r="JWC2461" s="63"/>
      <c r="JWD2461" s="60"/>
      <c r="JWE2461" s="60"/>
      <c r="JWF2461" s="60"/>
      <c r="JWG2461" s="63"/>
      <c r="JWH2461" s="61"/>
      <c r="JWI2461" s="54"/>
      <c r="JWJ2461" s="54"/>
      <c r="JWK2461" s="63"/>
      <c r="JWL2461" s="60"/>
      <c r="JWM2461" s="60"/>
      <c r="JWN2461" s="60"/>
      <c r="JWO2461" s="63"/>
      <c r="JWP2461" s="61"/>
      <c r="JWQ2461" s="54"/>
      <c r="JWR2461" s="54"/>
      <c r="JWS2461" s="63"/>
      <c r="JWT2461" s="60"/>
      <c r="JWU2461" s="60"/>
      <c r="JWV2461" s="60"/>
      <c r="JWW2461" s="63"/>
      <c r="JWX2461" s="61"/>
      <c r="JWY2461" s="54"/>
      <c r="JWZ2461" s="54"/>
      <c r="JXA2461" s="63"/>
      <c r="JXB2461" s="60"/>
      <c r="JXC2461" s="60"/>
      <c r="JXD2461" s="60"/>
      <c r="JXE2461" s="63"/>
      <c r="JXF2461" s="61"/>
      <c r="JXG2461" s="54"/>
      <c r="JXH2461" s="54"/>
      <c r="JXI2461" s="63"/>
      <c r="JXJ2461" s="60"/>
      <c r="JXK2461" s="60"/>
      <c r="JXL2461" s="60"/>
      <c r="JXM2461" s="63"/>
      <c r="JXN2461" s="61"/>
      <c r="JXO2461" s="54"/>
      <c r="JXP2461" s="54"/>
      <c r="JXQ2461" s="63"/>
      <c r="JXR2461" s="60"/>
      <c r="JXS2461" s="60"/>
      <c r="JXT2461" s="60"/>
      <c r="JXU2461" s="63"/>
      <c r="JXV2461" s="61"/>
      <c r="JXW2461" s="54"/>
      <c r="JXX2461" s="54"/>
      <c r="JXY2461" s="63"/>
      <c r="JXZ2461" s="60"/>
      <c r="JYA2461" s="60"/>
      <c r="JYB2461" s="60"/>
      <c r="JYC2461" s="63"/>
      <c r="JYD2461" s="61"/>
      <c r="JYE2461" s="54"/>
      <c r="JYF2461" s="54"/>
      <c r="JYG2461" s="63"/>
      <c r="JYH2461" s="60"/>
      <c r="JYI2461" s="60"/>
      <c r="JYJ2461" s="60"/>
      <c r="JYK2461" s="63"/>
      <c r="JYL2461" s="61"/>
      <c r="JYM2461" s="54"/>
      <c r="JYN2461" s="54"/>
      <c r="JYO2461" s="63"/>
      <c r="JYP2461" s="60"/>
      <c r="JYQ2461" s="60"/>
      <c r="JYR2461" s="60"/>
      <c r="JYS2461" s="63"/>
      <c r="JYT2461" s="61"/>
      <c r="JYU2461" s="54"/>
      <c r="JYV2461" s="54"/>
      <c r="JYW2461" s="63"/>
      <c r="JYX2461" s="60"/>
      <c r="JYY2461" s="60"/>
      <c r="JYZ2461" s="60"/>
      <c r="JZA2461" s="63"/>
      <c r="JZB2461" s="61"/>
      <c r="JZC2461" s="54"/>
      <c r="JZD2461" s="54"/>
      <c r="JZE2461" s="63"/>
      <c r="JZF2461" s="60"/>
      <c r="JZG2461" s="60"/>
      <c r="JZH2461" s="60"/>
      <c r="JZI2461" s="63"/>
      <c r="JZJ2461" s="61"/>
      <c r="JZK2461" s="54"/>
      <c r="JZL2461" s="54"/>
      <c r="JZM2461" s="63"/>
      <c r="JZN2461" s="60"/>
      <c r="JZO2461" s="60"/>
      <c r="JZP2461" s="60"/>
      <c r="JZQ2461" s="63"/>
      <c r="JZR2461" s="61"/>
      <c r="JZS2461" s="54"/>
      <c r="JZT2461" s="54"/>
      <c r="JZU2461" s="63"/>
      <c r="JZV2461" s="60"/>
      <c r="JZW2461" s="60"/>
      <c r="JZX2461" s="60"/>
      <c r="JZY2461" s="63"/>
      <c r="JZZ2461" s="61"/>
      <c r="KAA2461" s="54"/>
      <c r="KAB2461" s="54"/>
      <c r="KAC2461" s="63"/>
      <c r="KAD2461" s="60"/>
      <c r="KAE2461" s="60"/>
      <c r="KAF2461" s="60"/>
      <c r="KAG2461" s="63"/>
      <c r="KAH2461" s="61"/>
      <c r="KAI2461" s="54"/>
      <c r="KAJ2461" s="54"/>
      <c r="KAK2461" s="63"/>
      <c r="KAL2461" s="60"/>
      <c r="KAM2461" s="60"/>
      <c r="KAN2461" s="60"/>
      <c r="KAO2461" s="63"/>
      <c r="KAP2461" s="61"/>
      <c r="KAQ2461" s="54"/>
      <c r="KAR2461" s="54"/>
      <c r="KAS2461" s="63"/>
      <c r="KAT2461" s="60"/>
      <c r="KAU2461" s="60"/>
      <c r="KAV2461" s="60"/>
      <c r="KAW2461" s="63"/>
      <c r="KAX2461" s="61"/>
      <c r="KAY2461" s="54"/>
      <c r="KAZ2461" s="54"/>
      <c r="KBA2461" s="63"/>
      <c r="KBB2461" s="60"/>
      <c r="KBC2461" s="60"/>
      <c r="KBD2461" s="60"/>
      <c r="KBE2461" s="63"/>
      <c r="KBF2461" s="61"/>
      <c r="KBG2461" s="54"/>
      <c r="KBH2461" s="54"/>
      <c r="KBI2461" s="63"/>
      <c r="KBJ2461" s="60"/>
      <c r="KBK2461" s="60"/>
      <c r="KBL2461" s="60"/>
      <c r="KBM2461" s="63"/>
      <c r="KBN2461" s="61"/>
      <c r="KBO2461" s="54"/>
      <c r="KBP2461" s="54"/>
      <c r="KBQ2461" s="63"/>
      <c r="KBR2461" s="60"/>
      <c r="KBS2461" s="60"/>
      <c r="KBT2461" s="60"/>
      <c r="KBU2461" s="63"/>
      <c r="KBV2461" s="61"/>
      <c r="KBW2461" s="54"/>
      <c r="KBX2461" s="54"/>
      <c r="KBY2461" s="63"/>
      <c r="KBZ2461" s="60"/>
      <c r="KCA2461" s="60"/>
      <c r="KCB2461" s="60"/>
      <c r="KCC2461" s="63"/>
      <c r="KCD2461" s="61"/>
      <c r="KCE2461" s="54"/>
      <c r="KCF2461" s="54"/>
      <c r="KCG2461" s="63"/>
      <c r="KCH2461" s="60"/>
      <c r="KCI2461" s="60"/>
      <c r="KCJ2461" s="60"/>
      <c r="KCK2461" s="63"/>
      <c r="KCL2461" s="61"/>
      <c r="KCM2461" s="54"/>
      <c r="KCN2461" s="54"/>
      <c r="KCO2461" s="63"/>
      <c r="KCP2461" s="60"/>
      <c r="KCQ2461" s="60"/>
      <c r="KCR2461" s="60"/>
      <c r="KCS2461" s="63"/>
      <c r="KCT2461" s="61"/>
      <c r="KCU2461" s="54"/>
      <c r="KCV2461" s="54"/>
      <c r="KCW2461" s="63"/>
      <c r="KCX2461" s="60"/>
      <c r="KCY2461" s="60"/>
      <c r="KCZ2461" s="60"/>
      <c r="KDA2461" s="63"/>
      <c r="KDB2461" s="61"/>
      <c r="KDC2461" s="54"/>
      <c r="KDD2461" s="54"/>
      <c r="KDE2461" s="63"/>
      <c r="KDF2461" s="60"/>
      <c r="KDG2461" s="60"/>
      <c r="KDH2461" s="60"/>
      <c r="KDI2461" s="63"/>
      <c r="KDJ2461" s="61"/>
      <c r="KDK2461" s="54"/>
      <c r="KDL2461" s="54"/>
      <c r="KDM2461" s="63"/>
      <c r="KDN2461" s="60"/>
      <c r="KDO2461" s="60"/>
      <c r="KDP2461" s="60"/>
      <c r="KDQ2461" s="63"/>
      <c r="KDR2461" s="61"/>
      <c r="KDS2461" s="54"/>
      <c r="KDT2461" s="54"/>
      <c r="KDU2461" s="63"/>
      <c r="KDV2461" s="60"/>
      <c r="KDW2461" s="60"/>
      <c r="KDX2461" s="60"/>
      <c r="KDY2461" s="63"/>
      <c r="KDZ2461" s="61"/>
      <c r="KEA2461" s="54"/>
      <c r="KEB2461" s="54"/>
      <c r="KEC2461" s="63"/>
      <c r="KED2461" s="60"/>
      <c r="KEE2461" s="60"/>
      <c r="KEF2461" s="60"/>
      <c r="KEG2461" s="63"/>
      <c r="KEH2461" s="61"/>
      <c r="KEI2461" s="54"/>
      <c r="KEJ2461" s="54"/>
      <c r="KEK2461" s="63"/>
      <c r="KEL2461" s="60"/>
      <c r="KEM2461" s="60"/>
      <c r="KEN2461" s="60"/>
      <c r="KEO2461" s="63"/>
      <c r="KEP2461" s="61"/>
      <c r="KEQ2461" s="54"/>
      <c r="KER2461" s="54"/>
      <c r="KES2461" s="63"/>
      <c r="KET2461" s="60"/>
      <c r="KEU2461" s="60"/>
      <c r="KEV2461" s="60"/>
      <c r="KEW2461" s="63"/>
      <c r="KEX2461" s="61"/>
      <c r="KEY2461" s="54"/>
      <c r="KEZ2461" s="54"/>
      <c r="KFA2461" s="63"/>
      <c r="KFB2461" s="60"/>
      <c r="KFC2461" s="60"/>
      <c r="KFD2461" s="60"/>
      <c r="KFE2461" s="63"/>
      <c r="KFF2461" s="61"/>
      <c r="KFG2461" s="54"/>
      <c r="KFH2461" s="54"/>
      <c r="KFI2461" s="63"/>
      <c r="KFJ2461" s="60"/>
      <c r="KFK2461" s="60"/>
      <c r="KFL2461" s="60"/>
      <c r="KFM2461" s="63"/>
      <c r="KFN2461" s="61"/>
      <c r="KFO2461" s="54"/>
      <c r="KFP2461" s="54"/>
      <c r="KFQ2461" s="63"/>
      <c r="KFR2461" s="60"/>
      <c r="KFS2461" s="60"/>
      <c r="KFT2461" s="60"/>
      <c r="KFU2461" s="63"/>
      <c r="KFV2461" s="61"/>
      <c r="KFW2461" s="54"/>
      <c r="KFX2461" s="54"/>
      <c r="KFY2461" s="63"/>
      <c r="KFZ2461" s="60"/>
      <c r="KGA2461" s="60"/>
      <c r="KGB2461" s="60"/>
      <c r="KGC2461" s="63"/>
      <c r="KGD2461" s="61"/>
      <c r="KGE2461" s="54"/>
      <c r="KGF2461" s="54"/>
      <c r="KGG2461" s="63"/>
      <c r="KGH2461" s="60"/>
      <c r="KGI2461" s="60"/>
      <c r="KGJ2461" s="60"/>
      <c r="KGK2461" s="63"/>
      <c r="KGL2461" s="61"/>
      <c r="KGM2461" s="54"/>
      <c r="KGN2461" s="54"/>
      <c r="KGO2461" s="63"/>
      <c r="KGP2461" s="60"/>
      <c r="KGQ2461" s="60"/>
      <c r="KGR2461" s="60"/>
      <c r="KGS2461" s="63"/>
      <c r="KGT2461" s="61"/>
      <c r="KGU2461" s="54"/>
      <c r="KGV2461" s="54"/>
      <c r="KGW2461" s="63"/>
      <c r="KGX2461" s="60"/>
      <c r="KGY2461" s="60"/>
      <c r="KGZ2461" s="60"/>
      <c r="KHA2461" s="63"/>
      <c r="KHB2461" s="61"/>
      <c r="KHC2461" s="54"/>
      <c r="KHD2461" s="54"/>
      <c r="KHE2461" s="63"/>
      <c r="KHF2461" s="60"/>
      <c r="KHG2461" s="60"/>
      <c r="KHH2461" s="60"/>
      <c r="KHI2461" s="63"/>
      <c r="KHJ2461" s="61"/>
      <c r="KHK2461" s="54"/>
      <c r="KHL2461" s="54"/>
      <c r="KHM2461" s="63"/>
      <c r="KHN2461" s="60"/>
      <c r="KHO2461" s="60"/>
      <c r="KHP2461" s="60"/>
      <c r="KHQ2461" s="63"/>
      <c r="KHR2461" s="61"/>
      <c r="KHS2461" s="54"/>
      <c r="KHT2461" s="54"/>
      <c r="KHU2461" s="63"/>
      <c r="KHV2461" s="60"/>
      <c r="KHW2461" s="60"/>
      <c r="KHX2461" s="60"/>
      <c r="KHY2461" s="63"/>
      <c r="KHZ2461" s="61"/>
      <c r="KIA2461" s="54"/>
      <c r="KIB2461" s="54"/>
      <c r="KIC2461" s="63"/>
      <c r="KID2461" s="60"/>
      <c r="KIE2461" s="60"/>
      <c r="KIF2461" s="60"/>
      <c r="KIG2461" s="63"/>
      <c r="KIH2461" s="61"/>
      <c r="KII2461" s="54"/>
      <c r="KIJ2461" s="54"/>
      <c r="KIK2461" s="63"/>
      <c r="KIL2461" s="60"/>
      <c r="KIM2461" s="60"/>
      <c r="KIN2461" s="60"/>
      <c r="KIO2461" s="63"/>
      <c r="KIP2461" s="61"/>
      <c r="KIQ2461" s="54"/>
      <c r="KIR2461" s="54"/>
      <c r="KIS2461" s="63"/>
      <c r="KIT2461" s="60"/>
      <c r="KIU2461" s="60"/>
      <c r="KIV2461" s="60"/>
      <c r="KIW2461" s="63"/>
      <c r="KIX2461" s="61"/>
      <c r="KIY2461" s="54"/>
      <c r="KIZ2461" s="54"/>
      <c r="KJA2461" s="63"/>
      <c r="KJB2461" s="60"/>
      <c r="KJC2461" s="60"/>
      <c r="KJD2461" s="60"/>
      <c r="KJE2461" s="63"/>
      <c r="KJF2461" s="61"/>
      <c r="KJG2461" s="54"/>
      <c r="KJH2461" s="54"/>
      <c r="KJI2461" s="63"/>
      <c r="KJJ2461" s="60"/>
      <c r="KJK2461" s="60"/>
      <c r="KJL2461" s="60"/>
      <c r="KJM2461" s="63"/>
      <c r="KJN2461" s="61"/>
      <c r="KJO2461" s="54"/>
      <c r="KJP2461" s="54"/>
      <c r="KJQ2461" s="63"/>
      <c r="KJR2461" s="60"/>
      <c r="KJS2461" s="60"/>
      <c r="KJT2461" s="60"/>
      <c r="KJU2461" s="63"/>
      <c r="KJV2461" s="61"/>
      <c r="KJW2461" s="54"/>
      <c r="KJX2461" s="54"/>
      <c r="KJY2461" s="63"/>
      <c r="KJZ2461" s="60"/>
      <c r="KKA2461" s="60"/>
      <c r="KKB2461" s="60"/>
      <c r="KKC2461" s="63"/>
      <c r="KKD2461" s="61"/>
      <c r="KKE2461" s="54"/>
      <c r="KKF2461" s="54"/>
      <c r="KKG2461" s="63"/>
      <c r="KKH2461" s="60"/>
      <c r="KKI2461" s="60"/>
      <c r="KKJ2461" s="60"/>
      <c r="KKK2461" s="63"/>
      <c r="KKL2461" s="61"/>
      <c r="KKM2461" s="54"/>
      <c r="KKN2461" s="54"/>
      <c r="KKO2461" s="63"/>
      <c r="KKP2461" s="60"/>
      <c r="KKQ2461" s="60"/>
      <c r="KKR2461" s="60"/>
      <c r="KKS2461" s="63"/>
      <c r="KKT2461" s="61"/>
      <c r="KKU2461" s="54"/>
      <c r="KKV2461" s="54"/>
      <c r="KKW2461" s="63"/>
      <c r="KKX2461" s="60"/>
      <c r="KKY2461" s="60"/>
      <c r="KKZ2461" s="60"/>
      <c r="KLA2461" s="63"/>
      <c r="KLB2461" s="61"/>
      <c r="KLC2461" s="54"/>
      <c r="KLD2461" s="54"/>
      <c r="KLE2461" s="63"/>
      <c r="KLF2461" s="60"/>
      <c r="KLG2461" s="60"/>
      <c r="KLH2461" s="60"/>
      <c r="KLI2461" s="63"/>
      <c r="KLJ2461" s="61"/>
      <c r="KLK2461" s="54"/>
      <c r="KLL2461" s="54"/>
      <c r="KLM2461" s="63"/>
      <c r="KLN2461" s="60"/>
      <c r="KLO2461" s="60"/>
      <c r="KLP2461" s="60"/>
      <c r="KLQ2461" s="63"/>
      <c r="KLR2461" s="61"/>
      <c r="KLS2461" s="54"/>
      <c r="KLT2461" s="54"/>
      <c r="KLU2461" s="63"/>
      <c r="KLV2461" s="60"/>
      <c r="KLW2461" s="60"/>
      <c r="KLX2461" s="60"/>
      <c r="KLY2461" s="63"/>
      <c r="KLZ2461" s="61"/>
      <c r="KMA2461" s="54"/>
      <c r="KMB2461" s="54"/>
      <c r="KMC2461" s="63"/>
      <c r="KMD2461" s="60"/>
      <c r="KME2461" s="60"/>
      <c r="KMF2461" s="60"/>
      <c r="KMG2461" s="63"/>
      <c r="KMH2461" s="61"/>
      <c r="KMI2461" s="54"/>
      <c r="KMJ2461" s="54"/>
      <c r="KMK2461" s="63"/>
      <c r="KML2461" s="60"/>
      <c r="KMM2461" s="60"/>
      <c r="KMN2461" s="60"/>
      <c r="KMO2461" s="63"/>
      <c r="KMP2461" s="61"/>
      <c r="KMQ2461" s="54"/>
      <c r="KMR2461" s="54"/>
      <c r="KMS2461" s="63"/>
      <c r="KMT2461" s="60"/>
      <c r="KMU2461" s="60"/>
      <c r="KMV2461" s="60"/>
      <c r="KMW2461" s="63"/>
      <c r="KMX2461" s="61"/>
      <c r="KMY2461" s="54"/>
      <c r="KMZ2461" s="54"/>
      <c r="KNA2461" s="63"/>
      <c r="KNB2461" s="60"/>
      <c r="KNC2461" s="60"/>
      <c r="KND2461" s="60"/>
      <c r="KNE2461" s="63"/>
      <c r="KNF2461" s="61"/>
      <c r="KNG2461" s="54"/>
      <c r="KNH2461" s="54"/>
      <c r="KNI2461" s="63"/>
      <c r="KNJ2461" s="60"/>
      <c r="KNK2461" s="60"/>
      <c r="KNL2461" s="60"/>
      <c r="KNM2461" s="63"/>
      <c r="KNN2461" s="61"/>
      <c r="KNO2461" s="54"/>
      <c r="KNP2461" s="54"/>
      <c r="KNQ2461" s="63"/>
      <c r="KNR2461" s="60"/>
      <c r="KNS2461" s="60"/>
      <c r="KNT2461" s="60"/>
      <c r="KNU2461" s="63"/>
      <c r="KNV2461" s="61"/>
      <c r="KNW2461" s="54"/>
      <c r="KNX2461" s="54"/>
      <c r="KNY2461" s="63"/>
      <c r="KNZ2461" s="60"/>
      <c r="KOA2461" s="60"/>
      <c r="KOB2461" s="60"/>
      <c r="KOC2461" s="63"/>
      <c r="KOD2461" s="61"/>
      <c r="KOE2461" s="54"/>
      <c r="KOF2461" s="54"/>
      <c r="KOG2461" s="63"/>
      <c r="KOH2461" s="60"/>
      <c r="KOI2461" s="60"/>
      <c r="KOJ2461" s="60"/>
      <c r="KOK2461" s="63"/>
      <c r="KOL2461" s="61"/>
      <c r="KOM2461" s="54"/>
      <c r="KON2461" s="54"/>
      <c r="KOO2461" s="63"/>
      <c r="KOP2461" s="60"/>
      <c r="KOQ2461" s="60"/>
      <c r="KOR2461" s="60"/>
      <c r="KOS2461" s="63"/>
      <c r="KOT2461" s="61"/>
      <c r="KOU2461" s="54"/>
      <c r="KOV2461" s="54"/>
      <c r="KOW2461" s="63"/>
      <c r="KOX2461" s="60"/>
      <c r="KOY2461" s="60"/>
      <c r="KOZ2461" s="60"/>
      <c r="KPA2461" s="63"/>
      <c r="KPB2461" s="61"/>
      <c r="KPC2461" s="54"/>
      <c r="KPD2461" s="54"/>
      <c r="KPE2461" s="63"/>
      <c r="KPF2461" s="60"/>
      <c r="KPG2461" s="60"/>
      <c r="KPH2461" s="60"/>
      <c r="KPI2461" s="63"/>
      <c r="KPJ2461" s="61"/>
      <c r="KPK2461" s="54"/>
      <c r="KPL2461" s="54"/>
      <c r="KPM2461" s="63"/>
      <c r="KPN2461" s="60"/>
      <c r="KPO2461" s="60"/>
      <c r="KPP2461" s="60"/>
      <c r="KPQ2461" s="63"/>
      <c r="KPR2461" s="61"/>
      <c r="KPS2461" s="54"/>
      <c r="KPT2461" s="54"/>
      <c r="KPU2461" s="63"/>
      <c r="KPV2461" s="60"/>
      <c r="KPW2461" s="60"/>
      <c r="KPX2461" s="60"/>
      <c r="KPY2461" s="63"/>
      <c r="KPZ2461" s="61"/>
      <c r="KQA2461" s="54"/>
      <c r="KQB2461" s="54"/>
      <c r="KQC2461" s="63"/>
      <c r="KQD2461" s="60"/>
      <c r="KQE2461" s="60"/>
      <c r="KQF2461" s="60"/>
      <c r="KQG2461" s="63"/>
      <c r="KQH2461" s="61"/>
      <c r="KQI2461" s="54"/>
      <c r="KQJ2461" s="54"/>
      <c r="KQK2461" s="63"/>
      <c r="KQL2461" s="60"/>
      <c r="KQM2461" s="60"/>
      <c r="KQN2461" s="60"/>
      <c r="KQO2461" s="63"/>
      <c r="KQP2461" s="61"/>
      <c r="KQQ2461" s="54"/>
      <c r="KQR2461" s="54"/>
      <c r="KQS2461" s="63"/>
      <c r="KQT2461" s="60"/>
      <c r="KQU2461" s="60"/>
      <c r="KQV2461" s="60"/>
      <c r="KQW2461" s="63"/>
      <c r="KQX2461" s="61"/>
      <c r="KQY2461" s="54"/>
      <c r="KQZ2461" s="54"/>
      <c r="KRA2461" s="63"/>
      <c r="KRB2461" s="60"/>
      <c r="KRC2461" s="60"/>
      <c r="KRD2461" s="60"/>
      <c r="KRE2461" s="63"/>
      <c r="KRF2461" s="61"/>
      <c r="KRG2461" s="54"/>
      <c r="KRH2461" s="54"/>
      <c r="KRI2461" s="63"/>
      <c r="KRJ2461" s="60"/>
      <c r="KRK2461" s="60"/>
      <c r="KRL2461" s="60"/>
      <c r="KRM2461" s="63"/>
      <c r="KRN2461" s="61"/>
      <c r="KRO2461" s="54"/>
      <c r="KRP2461" s="54"/>
      <c r="KRQ2461" s="63"/>
      <c r="KRR2461" s="60"/>
      <c r="KRS2461" s="60"/>
      <c r="KRT2461" s="60"/>
      <c r="KRU2461" s="63"/>
      <c r="KRV2461" s="61"/>
      <c r="KRW2461" s="54"/>
      <c r="KRX2461" s="54"/>
      <c r="KRY2461" s="63"/>
      <c r="KRZ2461" s="60"/>
      <c r="KSA2461" s="60"/>
      <c r="KSB2461" s="60"/>
      <c r="KSC2461" s="63"/>
      <c r="KSD2461" s="61"/>
      <c r="KSE2461" s="54"/>
      <c r="KSF2461" s="54"/>
      <c r="KSG2461" s="63"/>
      <c r="KSH2461" s="60"/>
      <c r="KSI2461" s="60"/>
      <c r="KSJ2461" s="60"/>
      <c r="KSK2461" s="63"/>
      <c r="KSL2461" s="61"/>
      <c r="KSM2461" s="54"/>
      <c r="KSN2461" s="54"/>
      <c r="KSO2461" s="63"/>
      <c r="KSP2461" s="60"/>
      <c r="KSQ2461" s="60"/>
      <c r="KSR2461" s="60"/>
      <c r="KSS2461" s="63"/>
      <c r="KST2461" s="61"/>
      <c r="KSU2461" s="54"/>
      <c r="KSV2461" s="54"/>
      <c r="KSW2461" s="63"/>
      <c r="KSX2461" s="60"/>
      <c r="KSY2461" s="60"/>
      <c r="KSZ2461" s="60"/>
      <c r="KTA2461" s="63"/>
      <c r="KTB2461" s="61"/>
      <c r="KTC2461" s="54"/>
      <c r="KTD2461" s="54"/>
      <c r="KTE2461" s="63"/>
      <c r="KTF2461" s="60"/>
      <c r="KTG2461" s="60"/>
      <c r="KTH2461" s="60"/>
      <c r="KTI2461" s="63"/>
      <c r="KTJ2461" s="61"/>
      <c r="KTK2461" s="54"/>
      <c r="KTL2461" s="54"/>
      <c r="KTM2461" s="63"/>
      <c r="KTN2461" s="60"/>
      <c r="KTO2461" s="60"/>
      <c r="KTP2461" s="60"/>
      <c r="KTQ2461" s="63"/>
      <c r="KTR2461" s="61"/>
      <c r="KTS2461" s="54"/>
      <c r="KTT2461" s="54"/>
      <c r="KTU2461" s="63"/>
      <c r="KTV2461" s="60"/>
      <c r="KTW2461" s="60"/>
      <c r="KTX2461" s="60"/>
      <c r="KTY2461" s="63"/>
      <c r="KTZ2461" s="61"/>
      <c r="KUA2461" s="54"/>
      <c r="KUB2461" s="54"/>
      <c r="KUC2461" s="63"/>
      <c r="KUD2461" s="60"/>
      <c r="KUE2461" s="60"/>
      <c r="KUF2461" s="60"/>
      <c r="KUG2461" s="63"/>
      <c r="KUH2461" s="61"/>
      <c r="KUI2461" s="54"/>
      <c r="KUJ2461" s="54"/>
      <c r="KUK2461" s="63"/>
      <c r="KUL2461" s="60"/>
      <c r="KUM2461" s="60"/>
      <c r="KUN2461" s="60"/>
      <c r="KUO2461" s="63"/>
      <c r="KUP2461" s="61"/>
      <c r="KUQ2461" s="54"/>
      <c r="KUR2461" s="54"/>
      <c r="KUS2461" s="63"/>
      <c r="KUT2461" s="60"/>
      <c r="KUU2461" s="60"/>
      <c r="KUV2461" s="60"/>
      <c r="KUW2461" s="63"/>
      <c r="KUX2461" s="61"/>
      <c r="KUY2461" s="54"/>
      <c r="KUZ2461" s="54"/>
      <c r="KVA2461" s="63"/>
      <c r="KVB2461" s="60"/>
      <c r="KVC2461" s="60"/>
      <c r="KVD2461" s="60"/>
      <c r="KVE2461" s="63"/>
      <c r="KVF2461" s="61"/>
      <c r="KVG2461" s="54"/>
      <c r="KVH2461" s="54"/>
      <c r="KVI2461" s="63"/>
      <c r="KVJ2461" s="60"/>
      <c r="KVK2461" s="60"/>
      <c r="KVL2461" s="60"/>
      <c r="KVM2461" s="63"/>
      <c r="KVN2461" s="61"/>
      <c r="KVO2461" s="54"/>
      <c r="KVP2461" s="54"/>
      <c r="KVQ2461" s="63"/>
      <c r="KVR2461" s="60"/>
      <c r="KVS2461" s="60"/>
      <c r="KVT2461" s="60"/>
      <c r="KVU2461" s="63"/>
      <c r="KVV2461" s="61"/>
      <c r="KVW2461" s="54"/>
      <c r="KVX2461" s="54"/>
      <c r="KVY2461" s="63"/>
      <c r="KVZ2461" s="60"/>
      <c r="KWA2461" s="60"/>
      <c r="KWB2461" s="60"/>
      <c r="KWC2461" s="63"/>
      <c r="KWD2461" s="61"/>
      <c r="KWE2461" s="54"/>
      <c r="KWF2461" s="54"/>
      <c r="KWG2461" s="63"/>
      <c r="KWH2461" s="60"/>
      <c r="KWI2461" s="60"/>
      <c r="KWJ2461" s="60"/>
      <c r="KWK2461" s="63"/>
      <c r="KWL2461" s="61"/>
      <c r="KWM2461" s="54"/>
      <c r="KWN2461" s="54"/>
      <c r="KWO2461" s="63"/>
      <c r="KWP2461" s="60"/>
      <c r="KWQ2461" s="60"/>
      <c r="KWR2461" s="60"/>
      <c r="KWS2461" s="63"/>
      <c r="KWT2461" s="61"/>
      <c r="KWU2461" s="54"/>
      <c r="KWV2461" s="54"/>
      <c r="KWW2461" s="63"/>
      <c r="KWX2461" s="60"/>
      <c r="KWY2461" s="60"/>
      <c r="KWZ2461" s="60"/>
      <c r="KXA2461" s="63"/>
      <c r="KXB2461" s="61"/>
      <c r="KXC2461" s="54"/>
      <c r="KXD2461" s="54"/>
      <c r="KXE2461" s="63"/>
      <c r="KXF2461" s="60"/>
      <c r="KXG2461" s="60"/>
      <c r="KXH2461" s="60"/>
      <c r="KXI2461" s="63"/>
      <c r="KXJ2461" s="61"/>
      <c r="KXK2461" s="54"/>
      <c r="KXL2461" s="54"/>
      <c r="KXM2461" s="63"/>
      <c r="KXN2461" s="60"/>
      <c r="KXO2461" s="60"/>
      <c r="KXP2461" s="60"/>
      <c r="KXQ2461" s="63"/>
      <c r="KXR2461" s="61"/>
      <c r="KXS2461" s="54"/>
      <c r="KXT2461" s="54"/>
      <c r="KXU2461" s="63"/>
      <c r="KXV2461" s="60"/>
      <c r="KXW2461" s="60"/>
      <c r="KXX2461" s="60"/>
      <c r="KXY2461" s="63"/>
      <c r="KXZ2461" s="61"/>
      <c r="KYA2461" s="54"/>
      <c r="KYB2461" s="54"/>
      <c r="KYC2461" s="63"/>
      <c r="KYD2461" s="60"/>
      <c r="KYE2461" s="60"/>
      <c r="KYF2461" s="60"/>
      <c r="KYG2461" s="63"/>
      <c r="KYH2461" s="61"/>
      <c r="KYI2461" s="54"/>
      <c r="KYJ2461" s="54"/>
      <c r="KYK2461" s="63"/>
      <c r="KYL2461" s="60"/>
      <c r="KYM2461" s="60"/>
      <c r="KYN2461" s="60"/>
      <c r="KYO2461" s="63"/>
      <c r="KYP2461" s="61"/>
      <c r="KYQ2461" s="54"/>
      <c r="KYR2461" s="54"/>
      <c r="KYS2461" s="63"/>
      <c r="KYT2461" s="60"/>
      <c r="KYU2461" s="60"/>
      <c r="KYV2461" s="60"/>
      <c r="KYW2461" s="63"/>
      <c r="KYX2461" s="61"/>
      <c r="KYY2461" s="54"/>
      <c r="KYZ2461" s="54"/>
      <c r="KZA2461" s="63"/>
      <c r="KZB2461" s="60"/>
      <c r="KZC2461" s="60"/>
      <c r="KZD2461" s="60"/>
      <c r="KZE2461" s="63"/>
      <c r="KZF2461" s="61"/>
      <c r="KZG2461" s="54"/>
      <c r="KZH2461" s="54"/>
      <c r="KZI2461" s="63"/>
      <c r="KZJ2461" s="60"/>
      <c r="KZK2461" s="60"/>
      <c r="KZL2461" s="60"/>
      <c r="KZM2461" s="63"/>
      <c r="KZN2461" s="61"/>
      <c r="KZO2461" s="54"/>
      <c r="KZP2461" s="54"/>
      <c r="KZQ2461" s="63"/>
      <c r="KZR2461" s="60"/>
      <c r="KZS2461" s="60"/>
      <c r="KZT2461" s="60"/>
      <c r="KZU2461" s="63"/>
      <c r="KZV2461" s="61"/>
      <c r="KZW2461" s="54"/>
      <c r="KZX2461" s="54"/>
      <c r="KZY2461" s="63"/>
      <c r="KZZ2461" s="60"/>
      <c r="LAA2461" s="60"/>
      <c r="LAB2461" s="60"/>
      <c r="LAC2461" s="63"/>
      <c r="LAD2461" s="61"/>
      <c r="LAE2461" s="54"/>
      <c r="LAF2461" s="54"/>
      <c r="LAG2461" s="63"/>
      <c r="LAH2461" s="60"/>
      <c r="LAI2461" s="60"/>
      <c r="LAJ2461" s="60"/>
      <c r="LAK2461" s="63"/>
      <c r="LAL2461" s="61"/>
      <c r="LAM2461" s="54"/>
      <c r="LAN2461" s="54"/>
      <c r="LAO2461" s="63"/>
      <c r="LAP2461" s="60"/>
      <c r="LAQ2461" s="60"/>
      <c r="LAR2461" s="60"/>
      <c r="LAS2461" s="63"/>
      <c r="LAT2461" s="61"/>
      <c r="LAU2461" s="54"/>
      <c r="LAV2461" s="54"/>
      <c r="LAW2461" s="63"/>
      <c r="LAX2461" s="60"/>
      <c r="LAY2461" s="60"/>
      <c r="LAZ2461" s="60"/>
      <c r="LBA2461" s="63"/>
      <c r="LBB2461" s="61"/>
      <c r="LBC2461" s="54"/>
      <c r="LBD2461" s="54"/>
      <c r="LBE2461" s="63"/>
      <c r="LBF2461" s="60"/>
      <c r="LBG2461" s="60"/>
      <c r="LBH2461" s="60"/>
      <c r="LBI2461" s="63"/>
      <c r="LBJ2461" s="61"/>
      <c r="LBK2461" s="54"/>
      <c r="LBL2461" s="54"/>
      <c r="LBM2461" s="63"/>
      <c r="LBN2461" s="60"/>
      <c r="LBO2461" s="60"/>
      <c r="LBP2461" s="60"/>
      <c r="LBQ2461" s="63"/>
      <c r="LBR2461" s="61"/>
      <c r="LBS2461" s="54"/>
      <c r="LBT2461" s="54"/>
      <c r="LBU2461" s="63"/>
      <c r="LBV2461" s="60"/>
      <c r="LBW2461" s="60"/>
      <c r="LBX2461" s="60"/>
      <c r="LBY2461" s="63"/>
      <c r="LBZ2461" s="61"/>
      <c r="LCA2461" s="54"/>
      <c r="LCB2461" s="54"/>
      <c r="LCC2461" s="63"/>
      <c r="LCD2461" s="60"/>
      <c r="LCE2461" s="60"/>
      <c r="LCF2461" s="60"/>
      <c r="LCG2461" s="63"/>
      <c r="LCH2461" s="61"/>
      <c r="LCI2461" s="54"/>
      <c r="LCJ2461" s="54"/>
      <c r="LCK2461" s="63"/>
      <c r="LCL2461" s="60"/>
      <c r="LCM2461" s="60"/>
      <c r="LCN2461" s="60"/>
      <c r="LCO2461" s="63"/>
      <c r="LCP2461" s="61"/>
      <c r="LCQ2461" s="54"/>
      <c r="LCR2461" s="54"/>
      <c r="LCS2461" s="63"/>
      <c r="LCT2461" s="60"/>
      <c r="LCU2461" s="60"/>
      <c r="LCV2461" s="60"/>
      <c r="LCW2461" s="63"/>
      <c r="LCX2461" s="61"/>
      <c r="LCY2461" s="54"/>
      <c r="LCZ2461" s="54"/>
      <c r="LDA2461" s="63"/>
      <c r="LDB2461" s="60"/>
      <c r="LDC2461" s="60"/>
      <c r="LDD2461" s="60"/>
      <c r="LDE2461" s="63"/>
      <c r="LDF2461" s="61"/>
      <c r="LDG2461" s="54"/>
      <c r="LDH2461" s="54"/>
      <c r="LDI2461" s="63"/>
      <c r="LDJ2461" s="60"/>
      <c r="LDK2461" s="60"/>
      <c r="LDL2461" s="60"/>
      <c r="LDM2461" s="63"/>
      <c r="LDN2461" s="61"/>
      <c r="LDO2461" s="54"/>
      <c r="LDP2461" s="54"/>
      <c r="LDQ2461" s="63"/>
      <c r="LDR2461" s="60"/>
      <c r="LDS2461" s="60"/>
      <c r="LDT2461" s="60"/>
      <c r="LDU2461" s="63"/>
      <c r="LDV2461" s="61"/>
      <c r="LDW2461" s="54"/>
      <c r="LDX2461" s="54"/>
      <c r="LDY2461" s="63"/>
      <c r="LDZ2461" s="60"/>
      <c r="LEA2461" s="60"/>
      <c r="LEB2461" s="60"/>
      <c r="LEC2461" s="63"/>
      <c r="LED2461" s="61"/>
      <c r="LEE2461" s="54"/>
      <c r="LEF2461" s="54"/>
      <c r="LEG2461" s="63"/>
      <c r="LEH2461" s="60"/>
      <c r="LEI2461" s="60"/>
      <c r="LEJ2461" s="60"/>
      <c r="LEK2461" s="63"/>
      <c r="LEL2461" s="61"/>
      <c r="LEM2461" s="54"/>
      <c r="LEN2461" s="54"/>
      <c r="LEO2461" s="63"/>
      <c r="LEP2461" s="60"/>
      <c r="LEQ2461" s="60"/>
      <c r="LER2461" s="60"/>
      <c r="LES2461" s="63"/>
      <c r="LET2461" s="61"/>
      <c r="LEU2461" s="54"/>
      <c r="LEV2461" s="54"/>
      <c r="LEW2461" s="63"/>
      <c r="LEX2461" s="60"/>
      <c r="LEY2461" s="60"/>
      <c r="LEZ2461" s="60"/>
      <c r="LFA2461" s="63"/>
      <c r="LFB2461" s="61"/>
      <c r="LFC2461" s="54"/>
      <c r="LFD2461" s="54"/>
      <c r="LFE2461" s="63"/>
      <c r="LFF2461" s="60"/>
      <c r="LFG2461" s="60"/>
      <c r="LFH2461" s="60"/>
      <c r="LFI2461" s="63"/>
      <c r="LFJ2461" s="61"/>
      <c r="LFK2461" s="54"/>
      <c r="LFL2461" s="54"/>
      <c r="LFM2461" s="63"/>
      <c r="LFN2461" s="60"/>
      <c r="LFO2461" s="60"/>
      <c r="LFP2461" s="60"/>
      <c r="LFQ2461" s="63"/>
      <c r="LFR2461" s="61"/>
      <c r="LFS2461" s="54"/>
      <c r="LFT2461" s="54"/>
      <c r="LFU2461" s="63"/>
      <c r="LFV2461" s="60"/>
      <c r="LFW2461" s="60"/>
      <c r="LFX2461" s="60"/>
      <c r="LFY2461" s="63"/>
      <c r="LFZ2461" s="61"/>
      <c r="LGA2461" s="54"/>
      <c r="LGB2461" s="54"/>
      <c r="LGC2461" s="63"/>
      <c r="LGD2461" s="60"/>
      <c r="LGE2461" s="60"/>
      <c r="LGF2461" s="60"/>
      <c r="LGG2461" s="63"/>
      <c r="LGH2461" s="61"/>
      <c r="LGI2461" s="54"/>
      <c r="LGJ2461" s="54"/>
      <c r="LGK2461" s="63"/>
      <c r="LGL2461" s="60"/>
      <c r="LGM2461" s="60"/>
      <c r="LGN2461" s="60"/>
      <c r="LGO2461" s="63"/>
      <c r="LGP2461" s="61"/>
      <c r="LGQ2461" s="54"/>
      <c r="LGR2461" s="54"/>
      <c r="LGS2461" s="63"/>
      <c r="LGT2461" s="60"/>
      <c r="LGU2461" s="60"/>
      <c r="LGV2461" s="60"/>
      <c r="LGW2461" s="63"/>
      <c r="LGX2461" s="61"/>
      <c r="LGY2461" s="54"/>
      <c r="LGZ2461" s="54"/>
      <c r="LHA2461" s="63"/>
      <c r="LHB2461" s="60"/>
      <c r="LHC2461" s="60"/>
      <c r="LHD2461" s="60"/>
      <c r="LHE2461" s="63"/>
      <c r="LHF2461" s="61"/>
      <c r="LHG2461" s="54"/>
      <c r="LHH2461" s="54"/>
      <c r="LHI2461" s="63"/>
      <c r="LHJ2461" s="60"/>
      <c r="LHK2461" s="60"/>
      <c r="LHL2461" s="60"/>
      <c r="LHM2461" s="63"/>
      <c r="LHN2461" s="61"/>
      <c r="LHO2461" s="54"/>
      <c r="LHP2461" s="54"/>
      <c r="LHQ2461" s="63"/>
      <c r="LHR2461" s="60"/>
      <c r="LHS2461" s="60"/>
      <c r="LHT2461" s="60"/>
      <c r="LHU2461" s="63"/>
      <c r="LHV2461" s="61"/>
      <c r="LHW2461" s="54"/>
      <c r="LHX2461" s="54"/>
      <c r="LHY2461" s="63"/>
      <c r="LHZ2461" s="60"/>
      <c r="LIA2461" s="60"/>
      <c r="LIB2461" s="60"/>
      <c r="LIC2461" s="63"/>
      <c r="LID2461" s="61"/>
      <c r="LIE2461" s="54"/>
      <c r="LIF2461" s="54"/>
      <c r="LIG2461" s="63"/>
      <c r="LIH2461" s="60"/>
      <c r="LII2461" s="60"/>
      <c r="LIJ2461" s="60"/>
      <c r="LIK2461" s="63"/>
      <c r="LIL2461" s="61"/>
      <c r="LIM2461" s="54"/>
      <c r="LIN2461" s="54"/>
      <c r="LIO2461" s="63"/>
      <c r="LIP2461" s="60"/>
      <c r="LIQ2461" s="60"/>
      <c r="LIR2461" s="60"/>
      <c r="LIS2461" s="63"/>
      <c r="LIT2461" s="61"/>
      <c r="LIU2461" s="54"/>
      <c r="LIV2461" s="54"/>
      <c r="LIW2461" s="63"/>
      <c r="LIX2461" s="60"/>
      <c r="LIY2461" s="60"/>
      <c r="LIZ2461" s="60"/>
      <c r="LJA2461" s="63"/>
      <c r="LJB2461" s="61"/>
      <c r="LJC2461" s="54"/>
      <c r="LJD2461" s="54"/>
      <c r="LJE2461" s="63"/>
      <c r="LJF2461" s="60"/>
      <c r="LJG2461" s="60"/>
      <c r="LJH2461" s="60"/>
      <c r="LJI2461" s="63"/>
      <c r="LJJ2461" s="61"/>
      <c r="LJK2461" s="54"/>
      <c r="LJL2461" s="54"/>
      <c r="LJM2461" s="63"/>
      <c r="LJN2461" s="60"/>
      <c r="LJO2461" s="60"/>
      <c r="LJP2461" s="60"/>
      <c r="LJQ2461" s="63"/>
      <c r="LJR2461" s="61"/>
      <c r="LJS2461" s="54"/>
      <c r="LJT2461" s="54"/>
      <c r="LJU2461" s="63"/>
      <c r="LJV2461" s="60"/>
      <c r="LJW2461" s="60"/>
      <c r="LJX2461" s="60"/>
      <c r="LJY2461" s="63"/>
      <c r="LJZ2461" s="61"/>
      <c r="LKA2461" s="54"/>
      <c r="LKB2461" s="54"/>
      <c r="LKC2461" s="63"/>
      <c r="LKD2461" s="60"/>
      <c r="LKE2461" s="60"/>
      <c r="LKF2461" s="60"/>
      <c r="LKG2461" s="63"/>
      <c r="LKH2461" s="61"/>
      <c r="LKI2461" s="54"/>
      <c r="LKJ2461" s="54"/>
      <c r="LKK2461" s="63"/>
      <c r="LKL2461" s="60"/>
      <c r="LKM2461" s="60"/>
      <c r="LKN2461" s="60"/>
      <c r="LKO2461" s="63"/>
      <c r="LKP2461" s="61"/>
      <c r="LKQ2461" s="54"/>
      <c r="LKR2461" s="54"/>
      <c r="LKS2461" s="63"/>
      <c r="LKT2461" s="60"/>
      <c r="LKU2461" s="60"/>
      <c r="LKV2461" s="60"/>
      <c r="LKW2461" s="63"/>
      <c r="LKX2461" s="61"/>
      <c r="LKY2461" s="54"/>
      <c r="LKZ2461" s="54"/>
      <c r="LLA2461" s="63"/>
      <c r="LLB2461" s="60"/>
      <c r="LLC2461" s="60"/>
      <c r="LLD2461" s="60"/>
      <c r="LLE2461" s="63"/>
      <c r="LLF2461" s="61"/>
      <c r="LLG2461" s="54"/>
      <c r="LLH2461" s="54"/>
      <c r="LLI2461" s="63"/>
      <c r="LLJ2461" s="60"/>
      <c r="LLK2461" s="60"/>
      <c r="LLL2461" s="60"/>
      <c r="LLM2461" s="63"/>
      <c r="LLN2461" s="61"/>
      <c r="LLO2461" s="54"/>
      <c r="LLP2461" s="54"/>
      <c r="LLQ2461" s="63"/>
      <c r="LLR2461" s="60"/>
      <c r="LLS2461" s="60"/>
      <c r="LLT2461" s="60"/>
      <c r="LLU2461" s="63"/>
      <c r="LLV2461" s="61"/>
      <c r="LLW2461" s="54"/>
      <c r="LLX2461" s="54"/>
      <c r="LLY2461" s="63"/>
      <c r="LLZ2461" s="60"/>
      <c r="LMA2461" s="60"/>
      <c r="LMB2461" s="60"/>
      <c r="LMC2461" s="63"/>
      <c r="LMD2461" s="61"/>
      <c r="LME2461" s="54"/>
      <c r="LMF2461" s="54"/>
      <c r="LMG2461" s="63"/>
      <c r="LMH2461" s="60"/>
      <c r="LMI2461" s="60"/>
      <c r="LMJ2461" s="60"/>
      <c r="LMK2461" s="63"/>
      <c r="LML2461" s="61"/>
      <c r="LMM2461" s="54"/>
      <c r="LMN2461" s="54"/>
      <c r="LMO2461" s="63"/>
      <c r="LMP2461" s="60"/>
      <c r="LMQ2461" s="60"/>
      <c r="LMR2461" s="60"/>
      <c r="LMS2461" s="63"/>
      <c r="LMT2461" s="61"/>
      <c r="LMU2461" s="54"/>
      <c r="LMV2461" s="54"/>
      <c r="LMW2461" s="63"/>
      <c r="LMX2461" s="60"/>
      <c r="LMY2461" s="60"/>
      <c r="LMZ2461" s="60"/>
      <c r="LNA2461" s="63"/>
      <c r="LNB2461" s="61"/>
      <c r="LNC2461" s="54"/>
      <c r="LND2461" s="54"/>
      <c r="LNE2461" s="63"/>
      <c r="LNF2461" s="60"/>
      <c r="LNG2461" s="60"/>
      <c r="LNH2461" s="60"/>
      <c r="LNI2461" s="63"/>
      <c r="LNJ2461" s="61"/>
      <c r="LNK2461" s="54"/>
      <c r="LNL2461" s="54"/>
      <c r="LNM2461" s="63"/>
      <c r="LNN2461" s="60"/>
      <c r="LNO2461" s="60"/>
      <c r="LNP2461" s="60"/>
      <c r="LNQ2461" s="63"/>
      <c r="LNR2461" s="61"/>
      <c r="LNS2461" s="54"/>
      <c r="LNT2461" s="54"/>
      <c r="LNU2461" s="63"/>
      <c r="LNV2461" s="60"/>
      <c r="LNW2461" s="60"/>
      <c r="LNX2461" s="60"/>
      <c r="LNY2461" s="63"/>
      <c r="LNZ2461" s="61"/>
      <c r="LOA2461" s="54"/>
      <c r="LOB2461" s="54"/>
      <c r="LOC2461" s="63"/>
      <c r="LOD2461" s="60"/>
      <c r="LOE2461" s="60"/>
      <c r="LOF2461" s="60"/>
      <c r="LOG2461" s="63"/>
      <c r="LOH2461" s="61"/>
      <c r="LOI2461" s="54"/>
      <c r="LOJ2461" s="54"/>
      <c r="LOK2461" s="63"/>
      <c r="LOL2461" s="60"/>
      <c r="LOM2461" s="60"/>
      <c r="LON2461" s="60"/>
      <c r="LOO2461" s="63"/>
      <c r="LOP2461" s="61"/>
      <c r="LOQ2461" s="54"/>
      <c r="LOR2461" s="54"/>
      <c r="LOS2461" s="63"/>
      <c r="LOT2461" s="60"/>
      <c r="LOU2461" s="60"/>
      <c r="LOV2461" s="60"/>
      <c r="LOW2461" s="63"/>
      <c r="LOX2461" s="61"/>
      <c r="LOY2461" s="54"/>
      <c r="LOZ2461" s="54"/>
      <c r="LPA2461" s="63"/>
      <c r="LPB2461" s="60"/>
      <c r="LPC2461" s="60"/>
      <c r="LPD2461" s="60"/>
      <c r="LPE2461" s="63"/>
      <c r="LPF2461" s="61"/>
      <c r="LPG2461" s="54"/>
      <c r="LPH2461" s="54"/>
      <c r="LPI2461" s="63"/>
      <c r="LPJ2461" s="60"/>
      <c r="LPK2461" s="60"/>
      <c r="LPL2461" s="60"/>
      <c r="LPM2461" s="63"/>
      <c r="LPN2461" s="61"/>
      <c r="LPO2461" s="54"/>
      <c r="LPP2461" s="54"/>
      <c r="LPQ2461" s="63"/>
      <c r="LPR2461" s="60"/>
      <c r="LPS2461" s="60"/>
      <c r="LPT2461" s="60"/>
      <c r="LPU2461" s="63"/>
      <c r="LPV2461" s="61"/>
      <c r="LPW2461" s="54"/>
      <c r="LPX2461" s="54"/>
      <c r="LPY2461" s="63"/>
      <c r="LPZ2461" s="60"/>
      <c r="LQA2461" s="60"/>
      <c r="LQB2461" s="60"/>
      <c r="LQC2461" s="63"/>
      <c r="LQD2461" s="61"/>
      <c r="LQE2461" s="54"/>
      <c r="LQF2461" s="54"/>
      <c r="LQG2461" s="63"/>
      <c r="LQH2461" s="60"/>
      <c r="LQI2461" s="60"/>
      <c r="LQJ2461" s="60"/>
      <c r="LQK2461" s="63"/>
      <c r="LQL2461" s="61"/>
      <c r="LQM2461" s="54"/>
      <c r="LQN2461" s="54"/>
      <c r="LQO2461" s="63"/>
      <c r="LQP2461" s="60"/>
      <c r="LQQ2461" s="60"/>
      <c r="LQR2461" s="60"/>
      <c r="LQS2461" s="63"/>
      <c r="LQT2461" s="61"/>
      <c r="LQU2461" s="54"/>
      <c r="LQV2461" s="54"/>
      <c r="LQW2461" s="63"/>
      <c r="LQX2461" s="60"/>
      <c r="LQY2461" s="60"/>
      <c r="LQZ2461" s="60"/>
      <c r="LRA2461" s="63"/>
      <c r="LRB2461" s="61"/>
      <c r="LRC2461" s="54"/>
      <c r="LRD2461" s="54"/>
      <c r="LRE2461" s="63"/>
      <c r="LRF2461" s="60"/>
      <c r="LRG2461" s="60"/>
      <c r="LRH2461" s="60"/>
      <c r="LRI2461" s="63"/>
      <c r="LRJ2461" s="61"/>
      <c r="LRK2461" s="54"/>
      <c r="LRL2461" s="54"/>
      <c r="LRM2461" s="63"/>
      <c r="LRN2461" s="60"/>
      <c r="LRO2461" s="60"/>
      <c r="LRP2461" s="60"/>
      <c r="LRQ2461" s="63"/>
      <c r="LRR2461" s="61"/>
      <c r="LRS2461" s="54"/>
      <c r="LRT2461" s="54"/>
      <c r="LRU2461" s="63"/>
      <c r="LRV2461" s="60"/>
      <c r="LRW2461" s="60"/>
      <c r="LRX2461" s="60"/>
      <c r="LRY2461" s="63"/>
      <c r="LRZ2461" s="61"/>
      <c r="LSA2461" s="54"/>
      <c r="LSB2461" s="54"/>
      <c r="LSC2461" s="63"/>
      <c r="LSD2461" s="60"/>
      <c r="LSE2461" s="60"/>
      <c r="LSF2461" s="60"/>
      <c r="LSG2461" s="63"/>
      <c r="LSH2461" s="61"/>
      <c r="LSI2461" s="54"/>
      <c r="LSJ2461" s="54"/>
      <c r="LSK2461" s="63"/>
      <c r="LSL2461" s="60"/>
      <c r="LSM2461" s="60"/>
      <c r="LSN2461" s="60"/>
      <c r="LSO2461" s="63"/>
      <c r="LSP2461" s="61"/>
      <c r="LSQ2461" s="54"/>
      <c r="LSR2461" s="54"/>
      <c r="LSS2461" s="63"/>
      <c r="LST2461" s="60"/>
      <c r="LSU2461" s="60"/>
      <c r="LSV2461" s="60"/>
      <c r="LSW2461" s="63"/>
      <c r="LSX2461" s="61"/>
      <c r="LSY2461" s="54"/>
      <c r="LSZ2461" s="54"/>
      <c r="LTA2461" s="63"/>
      <c r="LTB2461" s="60"/>
      <c r="LTC2461" s="60"/>
      <c r="LTD2461" s="60"/>
      <c r="LTE2461" s="63"/>
      <c r="LTF2461" s="61"/>
      <c r="LTG2461" s="54"/>
      <c r="LTH2461" s="54"/>
      <c r="LTI2461" s="63"/>
      <c r="LTJ2461" s="60"/>
      <c r="LTK2461" s="60"/>
      <c r="LTL2461" s="60"/>
      <c r="LTM2461" s="63"/>
      <c r="LTN2461" s="61"/>
      <c r="LTO2461" s="54"/>
      <c r="LTP2461" s="54"/>
      <c r="LTQ2461" s="63"/>
      <c r="LTR2461" s="60"/>
      <c r="LTS2461" s="60"/>
      <c r="LTT2461" s="60"/>
      <c r="LTU2461" s="63"/>
      <c r="LTV2461" s="61"/>
      <c r="LTW2461" s="54"/>
      <c r="LTX2461" s="54"/>
      <c r="LTY2461" s="63"/>
      <c r="LTZ2461" s="60"/>
      <c r="LUA2461" s="60"/>
      <c r="LUB2461" s="60"/>
      <c r="LUC2461" s="63"/>
      <c r="LUD2461" s="61"/>
      <c r="LUE2461" s="54"/>
      <c r="LUF2461" s="54"/>
      <c r="LUG2461" s="63"/>
      <c r="LUH2461" s="60"/>
      <c r="LUI2461" s="60"/>
      <c r="LUJ2461" s="60"/>
      <c r="LUK2461" s="63"/>
      <c r="LUL2461" s="61"/>
      <c r="LUM2461" s="54"/>
      <c r="LUN2461" s="54"/>
      <c r="LUO2461" s="63"/>
      <c r="LUP2461" s="60"/>
      <c r="LUQ2461" s="60"/>
      <c r="LUR2461" s="60"/>
      <c r="LUS2461" s="63"/>
      <c r="LUT2461" s="61"/>
      <c r="LUU2461" s="54"/>
      <c r="LUV2461" s="54"/>
      <c r="LUW2461" s="63"/>
      <c r="LUX2461" s="60"/>
      <c r="LUY2461" s="60"/>
      <c r="LUZ2461" s="60"/>
      <c r="LVA2461" s="63"/>
      <c r="LVB2461" s="61"/>
      <c r="LVC2461" s="54"/>
      <c r="LVD2461" s="54"/>
      <c r="LVE2461" s="63"/>
      <c r="LVF2461" s="60"/>
      <c r="LVG2461" s="60"/>
      <c r="LVH2461" s="60"/>
      <c r="LVI2461" s="63"/>
      <c r="LVJ2461" s="61"/>
      <c r="LVK2461" s="54"/>
      <c r="LVL2461" s="54"/>
      <c r="LVM2461" s="63"/>
      <c r="LVN2461" s="60"/>
      <c r="LVO2461" s="60"/>
      <c r="LVP2461" s="60"/>
      <c r="LVQ2461" s="63"/>
      <c r="LVR2461" s="61"/>
      <c r="LVS2461" s="54"/>
      <c r="LVT2461" s="54"/>
      <c r="LVU2461" s="63"/>
      <c r="LVV2461" s="60"/>
      <c r="LVW2461" s="60"/>
      <c r="LVX2461" s="60"/>
      <c r="LVY2461" s="63"/>
      <c r="LVZ2461" s="61"/>
      <c r="LWA2461" s="54"/>
      <c r="LWB2461" s="54"/>
      <c r="LWC2461" s="63"/>
      <c r="LWD2461" s="60"/>
      <c r="LWE2461" s="60"/>
      <c r="LWF2461" s="60"/>
      <c r="LWG2461" s="63"/>
      <c r="LWH2461" s="61"/>
      <c r="LWI2461" s="54"/>
      <c r="LWJ2461" s="54"/>
      <c r="LWK2461" s="63"/>
      <c r="LWL2461" s="60"/>
      <c r="LWM2461" s="60"/>
      <c r="LWN2461" s="60"/>
      <c r="LWO2461" s="63"/>
      <c r="LWP2461" s="61"/>
      <c r="LWQ2461" s="54"/>
      <c r="LWR2461" s="54"/>
      <c r="LWS2461" s="63"/>
      <c r="LWT2461" s="60"/>
      <c r="LWU2461" s="60"/>
      <c r="LWV2461" s="60"/>
      <c r="LWW2461" s="63"/>
      <c r="LWX2461" s="61"/>
      <c r="LWY2461" s="54"/>
      <c r="LWZ2461" s="54"/>
      <c r="LXA2461" s="63"/>
      <c r="LXB2461" s="60"/>
      <c r="LXC2461" s="60"/>
      <c r="LXD2461" s="60"/>
      <c r="LXE2461" s="63"/>
      <c r="LXF2461" s="61"/>
      <c r="LXG2461" s="54"/>
      <c r="LXH2461" s="54"/>
      <c r="LXI2461" s="63"/>
      <c r="LXJ2461" s="60"/>
      <c r="LXK2461" s="60"/>
      <c r="LXL2461" s="60"/>
      <c r="LXM2461" s="63"/>
      <c r="LXN2461" s="61"/>
      <c r="LXO2461" s="54"/>
      <c r="LXP2461" s="54"/>
      <c r="LXQ2461" s="63"/>
      <c r="LXR2461" s="60"/>
      <c r="LXS2461" s="60"/>
      <c r="LXT2461" s="60"/>
      <c r="LXU2461" s="63"/>
      <c r="LXV2461" s="61"/>
      <c r="LXW2461" s="54"/>
      <c r="LXX2461" s="54"/>
      <c r="LXY2461" s="63"/>
      <c r="LXZ2461" s="60"/>
      <c r="LYA2461" s="60"/>
      <c r="LYB2461" s="60"/>
      <c r="LYC2461" s="63"/>
      <c r="LYD2461" s="61"/>
      <c r="LYE2461" s="54"/>
      <c r="LYF2461" s="54"/>
      <c r="LYG2461" s="63"/>
      <c r="LYH2461" s="60"/>
      <c r="LYI2461" s="60"/>
      <c r="LYJ2461" s="60"/>
      <c r="LYK2461" s="63"/>
      <c r="LYL2461" s="61"/>
      <c r="LYM2461" s="54"/>
      <c r="LYN2461" s="54"/>
      <c r="LYO2461" s="63"/>
      <c r="LYP2461" s="60"/>
      <c r="LYQ2461" s="60"/>
      <c r="LYR2461" s="60"/>
      <c r="LYS2461" s="63"/>
      <c r="LYT2461" s="61"/>
      <c r="LYU2461" s="54"/>
      <c r="LYV2461" s="54"/>
      <c r="LYW2461" s="63"/>
      <c r="LYX2461" s="60"/>
      <c r="LYY2461" s="60"/>
      <c r="LYZ2461" s="60"/>
      <c r="LZA2461" s="63"/>
      <c r="LZB2461" s="61"/>
      <c r="LZC2461" s="54"/>
      <c r="LZD2461" s="54"/>
      <c r="LZE2461" s="63"/>
      <c r="LZF2461" s="60"/>
      <c r="LZG2461" s="60"/>
      <c r="LZH2461" s="60"/>
      <c r="LZI2461" s="63"/>
      <c r="LZJ2461" s="61"/>
      <c r="LZK2461" s="54"/>
      <c r="LZL2461" s="54"/>
      <c r="LZM2461" s="63"/>
      <c r="LZN2461" s="60"/>
      <c r="LZO2461" s="60"/>
      <c r="LZP2461" s="60"/>
      <c r="LZQ2461" s="63"/>
      <c r="LZR2461" s="61"/>
      <c r="LZS2461" s="54"/>
      <c r="LZT2461" s="54"/>
      <c r="LZU2461" s="63"/>
      <c r="LZV2461" s="60"/>
      <c r="LZW2461" s="60"/>
      <c r="LZX2461" s="60"/>
      <c r="LZY2461" s="63"/>
      <c r="LZZ2461" s="61"/>
      <c r="MAA2461" s="54"/>
      <c r="MAB2461" s="54"/>
      <c r="MAC2461" s="63"/>
      <c r="MAD2461" s="60"/>
      <c r="MAE2461" s="60"/>
      <c r="MAF2461" s="60"/>
      <c r="MAG2461" s="63"/>
      <c r="MAH2461" s="61"/>
      <c r="MAI2461" s="54"/>
      <c r="MAJ2461" s="54"/>
      <c r="MAK2461" s="63"/>
      <c r="MAL2461" s="60"/>
      <c r="MAM2461" s="60"/>
      <c r="MAN2461" s="60"/>
      <c r="MAO2461" s="63"/>
      <c r="MAP2461" s="61"/>
      <c r="MAQ2461" s="54"/>
      <c r="MAR2461" s="54"/>
      <c r="MAS2461" s="63"/>
      <c r="MAT2461" s="60"/>
      <c r="MAU2461" s="60"/>
      <c r="MAV2461" s="60"/>
      <c r="MAW2461" s="63"/>
      <c r="MAX2461" s="61"/>
      <c r="MAY2461" s="54"/>
      <c r="MAZ2461" s="54"/>
      <c r="MBA2461" s="63"/>
      <c r="MBB2461" s="60"/>
      <c r="MBC2461" s="60"/>
      <c r="MBD2461" s="60"/>
      <c r="MBE2461" s="63"/>
      <c r="MBF2461" s="61"/>
      <c r="MBG2461" s="54"/>
      <c r="MBH2461" s="54"/>
      <c r="MBI2461" s="63"/>
      <c r="MBJ2461" s="60"/>
      <c r="MBK2461" s="60"/>
      <c r="MBL2461" s="60"/>
      <c r="MBM2461" s="63"/>
      <c r="MBN2461" s="61"/>
      <c r="MBO2461" s="54"/>
      <c r="MBP2461" s="54"/>
      <c r="MBQ2461" s="63"/>
      <c r="MBR2461" s="60"/>
      <c r="MBS2461" s="60"/>
      <c r="MBT2461" s="60"/>
      <c r="MBU2461" s="63"/>
      <c r="MBV2461" s="61"/>
      <c r="MBW2461" s="54"/>
      <c r="MBX2461" s="54"/>
      <c r="MBY2461" s="63"/>
      <c r="MBZ2461" s="60"/>
      <c r="MCA2461" s="60"/>
      <c r="MCB2461" s="60"/>
      <c r="MCC2461" s="63"/>
      <c r="MCD2461" s="61"/>
      <c r="MCE2461" s="54"/>
      <c r="MCF2461" s="54"/>
      <c r="MCG2461" s="63"/>
      <c r="MCH2461" s="60"/>
      <c r="MCI2461" s="60"/>
      <c r="MCJ2461" s="60"/>
      <c r="MCK2461" s="63"/>
      <c r="MCL2461" s="61"/>
      <c r="MCM2461" s="54"/>
      <c r="MCN2461" s="54"/>
      <c r="MCO2461" s="63"/>
      <c r="MCP2461" s="60"/>
      <c r="MCQ2461" s="60"/>
      <c r="MCR2461" s="60"/>
      <c r="MCS2461" s="63"/>
      <c r="MCT2461" s="61"/>
      <c r="MCU2461" s="54"/>
      <c r="MCV2461" s="54"/>
      <c r="MCW2461" s="63"/>
      <c r="MCX2461" s="60"/>
      <c r="MCY2461" s="60"/>
      <c r="MCZ2461" s="60"/>
      <c r="MDA2461" s="63"/>
      <c r="MDB2461" s="61"/>
      <c r="MDC2461" s="54"/>
      <c r="MDD2461" s="54"/>
      <c r="MDE2461" s="63"/>
      <c r="MDF2461" s="60"/>
      <c r="MDG2461" s="60"/>
      <c r="MDH2461" s="60"/>
      <c r="MDI2461" s="63"/>
      <c r="MDJ2461" s="61"/>
      <c r="MDK2461" s="54"/>
      <c r="MDL2461" s="54"/>
      <c r="MDM2461" s="63"/>
      <c r="MDN2461" s="60"/>
      <c r="MDO2461" s="60"/>
      <c r="MDP2461" s="60"/>
      <c r="MDQ2461" s="63"/>
      <c r="MDR2461" s="61"/>
      <c r="MDS2461" s="54"/>
      <c r="MDT2461" s="54"/>
      <c r="MDU2461" s="63"/>
      <c r="MDV2461" s="60"/>
      <c r="MDW2461" s="60"/>
      <c r="MDX2461" s="60"/>
      <c r="MDY2461" s="63"/>
      <c r="MDZ2461" s="61"/>
      <c r="MEA2461" s="54"/>
      <c r="MEB2461" s="54"/>
      <c r="MEC2461" s="63"/>
      <c r="MED2461" s="60"/>
      <c r="MEE2461" s="60"/>
      <c r="MEF2461" s="60"/>
      <c r="MEG2461" s="63"/>
      <c r="MEH2461" s="61"/>
      <c r="MEI2461" s="54"/>
      <c r="MEJ2461" s="54"/>
      <c r="MEK2461" s="63"/>
      <c r="MEL2461" s="60"/>
      <c r="MEM2461" s="60"/>
      <c r="MEN2461" s="60"/>
      <c r="MEO2461" s="63"/>
      <c r="MEP2461" s="61"/>
      <c r="MEQ2461" s="54"/>
      <c r="MER2461" s="54"/>
      <c r="MES2461" s="63"/>
      <c r="MET2461" s="60"/>
      <c r="MEU2461" s="60"/>
      <c r="MEV2461" s="60"/>
      <c r="MEW2461" s="63"/>
      <c r="MEX2461" s="61"/>
      <c r="MEY2461" s="54"/>
      <c r="MEZ2461" s="54"/>
      <c r="MFA2461" s="63"/>
      <c r="MFB2461" s="60"/>
      <c r="MFC2461" s="60"/>
      <c r="MFD2461" s="60"/>
      <c r="MFE2461" s="63"/>
      <c r="MFF2461" s="61"/>
      <c r="MFG2461" s="54"/>
      <c r="MFH2461" s="54"/>
      <c r="MFI2461" s="63"/>
      <c r="MFJ2461" s="60"/>
      <c r="MFK2461" s="60"/>
      <c r="MFL2461" s="60"/>
      <c r="MFM2461" s="63"/>
      <c r="MFN2461" s="61"/>
      <c r="MFO2461" s="54"/>
      <c r="MFP2461" s="54"/>
      <c r="MFQ2461" s="63"/>
      <c r="MFR2461" s="60"/>
      <c r="MFS2461" s="60"/>
      <c r="MFT2461" s="60"/>
      <c r="MFU2461" s="63"/>
      <c r="MFV2461" s="61"/>
      <c r="MFW2461" s="54"/>
      <c r="MFX2461" s="54"/>
      <c r="MFY2461" s="63"/>
      <c r="MFZ2461" s="60"/>
      <c r="MGA2461" s="60"/>
      <c r="MGB2461" s="60"/>
      <c r="MGC2461" s="63"/>
      <c r="MGD2461" s="61"/>
      <c r="MGE2461" s="54"/>
      <c r="MGF2461" s="54"/>
      <c r="MGG2461" s="63"/>
      <c r="MGH2461" s="60"/>
      <c r="MGI2461" s="60"/>
      <c r="MGJ2461" s="60"/>
      <c r="MGK2461" s="63"/>
      <c r="MGL2461" s="61"/>
      <c r="MGM2461" s="54"/>
      <c r="MGN2461" s="54"/>
      <c r="MGO2461" s="63"/>
      <c r="MGP2461" s="60"/>
      <c r="MGQ2461" s="60"/>
      <c r="MGR2461" s="60"/>
      <c r="MGS2461" s="63"/>
      <c r="MGT2461" s="61"/>
      <c r="MGU2461" s="54"/>
      <c r="MGV2461" s="54"/>
      <c r="MGW2461" s="63"/>
      <c r="MGX2461" s="60"/>
      <c r="MGY2461" s="60"/>
      <c r="MGZ2461" s="60"/>
      <c r="MHA2461" s="63"/>
      <c r="MHB2461" s="61"/>
      <c r="MHC2461" s="54"/>
      <c r="MHD2461" s="54"/>
      <c r="MHE2461" s="63"/>
      <c r="MHF2461" s="60"/>
      <c r="MHG2461" s="60"/>
      <c r="MHH2461" s="60"/>
      <c r="MHI2461" s="63"/>
      <c r="MHJ2461" s="61"/>
      <c r="MHK2461" s="54"/>
      <c r="MHL2461" s="54"/>
      <c r="MHM2461" s="63"/>
      <c r="MHN2461" s="60"/>
      <c r="MHO2461" s="60"/>
      <c r="MHP2461" s="60"/>
      <c r="MHQ2461" s="63"/>
      <c r="MHR2461" s="61"/>
      <c r="MHS2461" s="54"/>
      <c r="MHT2461" s="54"/>
      <c r="MHU2461" s="63"/>
      <c r="MHV2461" s="60"/>
      <c r="MHW2461" s="60"/>
      <c r="MHX2461" s="60"/>
      <c r="MHY2461" s="63"/>
      <c r="MHZ2461" s="61"/>
      <c r="MIA2461" s="54"/>
      <c r="MIB2461" s="54"/>
      <c r="MIC2461" s="63"/>
      <c r="MID2461" s="60"/>
      <c r="MIE2461" s="60"/>
      <c r="MIF2461" s="60"/>
      <c r="MIG2461" s="63"/>
      <c r="MIH2461" s="61"/>
      <c r="MII2461" s="54"/>
      <c r="MIJ2461" s="54"/>
      <c r="MIK2461" s="63"/>
      <c r="MIL2461" s="60"/>
      <c r="MIM2461" s="60"/>
      <c r="MIN2461" s="60"/>
      <c r="MIO2461" s="63"/>
      <c r="MIP2461" s="61"/>
      <c r="MIQ2461" s="54"/>
      <c r="MIR2461" s="54"/>
      <c r="MIS2461" s="63"/>
      <c r="MIT2461" s="60"/>
      <c r="MIU2461" s="60"/>
      <c r="MIV2461" s="60"/>
      <c r="MIW2461" s="63"/>
      <c r="MIX2461" s="61"/>
      <c r="MIY2461" s="54"/>
      <c r="MIZ2461" s="54"/>
      <c r="MJA2461" s="63"/>
      <c r="MJB2461" s="60"/>
      <c r="MJC2461" s="60"/>
      <c r="MJD2461" s="60"/>
      <c r="MJE2461" s="63"/>
      <c r="MJF2461" s="61"/>
      <c r="MJG2461" s="54"/>
      <c r="MJH2461" s="54"/>
      <c r="MJI2461" s="63"/>
      <c r="MJJ2461" s="60"/>
      <c r="MJK2461" s="60"/>
      <c r="MJL2461" s="60"/>
      <c r="MJM2461" s="63"/>
      <c r="MJN2461" s="61"/>
      <c r="MJO2461" s="54"/>
      <c r="MJP2461" s="54"/>
      <c r="MJQ2461" s="63"/>
      <c r="MJR2461" s="60"/>
      <c r="MJS2461" s="60"/>
      <c r="MJT2461" s="60"/>
      <c r="MJU2461" s="63"/>
      <c r="MJV2461" s="61"/>
      <c r="MJW2461" s="54"/>
      <c r="MJX2461" s="54"/>
      <c r="MJY2461" s="63"/>
      <c r="MJZ2461" s="60"/>
      <c r="MKA2461" s="60"/>
      <c r="MKB2461" s="60"/>
      <c r="MKC2461" s="63"/>
      <c r="MKD2461" s="61"/>
      <c r="MKE2461" s="54"/>
      <c r="MKF2461" s="54"/>
      <c r="MKG2461" s="63"/>
      <c r="MKH2461" s="60"/>
      <c r="MKI2461" s="60"/>
      <c r="MKJ2461" s="60"/>
      <c r="MKK2461" s="63"/>
      <c r="MKL2461" s="61"/>
      <c r="MKM2461" s="54"/>
      <c r="MKN2461" s="54"/>
      <c r="MKO2461" s="63"/>
      <c r="MKP2461" s="60"/>
      <c r="MKQ2461" s="60"/>
      <c r="MKR2461" s="60"/>
      <c r="MKS2461" s="63"/>
      <c r="MKT2461" s="61"/>
      <c r="MKU2461" s="54"/>
      <c r="MKV2461" s="54"/>
      <c r="MKW2461" s="63"/>
      <c r="MKX2461" s="60"/>
      <c r="MKY2461" s="60"/>
      <c r="MKZ2461" s="60"/>
      <c r="MLA2461" s="63"/>
      <c r="MLB2461" s="61"/>
      <c r="MLC2461" s="54"/>
      <c r="MLD2461" s="54"/>
      <c r="MLE2461" s="63"/>
      <c r="MLF2461" s="60"/>
      <c r="MLG2461" s="60"/>
      <c r="MLH2461" s="60"/>
      <c r="MLI2461" s="63"/>
      <c r="MLJ2461" s="61"/>
      <c r="MLK2461" s="54"/>
      <c r="MLL2461" s="54"/>
      <c r="MLM2461" s="63"/>
      <c r="MLN2461" s="60"/>
      <c r="MLO2461" s="60"/>
      <c r="MLP2461" s="60"/>
      <c r="MLQ2461" s="63"/>
      <c r="MLR2461" s="61"/>
      <c r="MLS2461" s="54"/>
      <c r="MLT2461" s="54"/>
      <c r="MLU2461" s="63"/>
      <c r="MLV2461" s="60"/>
      <c r="MLW2461" s="60"/>
      <c r="MLX2461" s="60"/>
      <c r="MLY2461" s="63"/>
      <c r="MLZ2461" s="61"/>
      <c r="MMA2461" s="54"/>
      <c r="MMB2461" s="54"/>
      <c r="MMC2461" s="63"/>
      <c r="MMD2461" s="60"/>
      <c r="MME2461" s="60"/>
      <c r="MMF2461" s="60"/>
      <c r="MMG2461" s="63"/>
      <c r="MMH2461" s="61"/>
      <c r="MMI2461" s="54"/>
      <c r="MMJ2461" s="54"/>
      <c r="MMK2461" s="63"/>
      <c r="MML2461" s="60"/>
      <c r="MMM2461" s="60"/>
      <c r="MMN2461" s="60"/>
      <c r="MMO2461" s="63"/>
      <c r="MMP2461" s="61"/>
      <c r="MMQ2461" s="54"/>
      <c r="MMR2461" s="54"/>
      <c r="MMS2461" s="63"/>
      <c r="MMT2461" s="60"/>
      <c r="MMU2461" s="60"/>
      <c r="MMV2461" s="60"/>
      <c r="MMW2461" s="63"/>
      <c r="MMX2461" s="61"/>
      <c r="MMY2461" s="54"/>
      <c r="MMZ2461" s="54"/>
      <c r="MNA2461" s="63"/>
      <c r="MNB2461" s="60"/>
      <c r="MNC2461" s="60"/>
      <c r="MND2461" s="60"/>
      <c r="MNE2461" s="63"/>
      <c r="MNF2461" s="61"/>
      <c r="MNG2461" s="54"/>
      <c r="MNH2461" s="54"/>
      <c r="MNI2461" s="63"/>
      <c r="MNJ2461" s="60"/>
      <c r="MNK2461" s="60"/>
      <c r="MNL2461" s="60"/>
      <c r="MNM2461" s="63"/>
      <c r="MNN2461" s="61"/>
      <c r="MNO2461" s="54"/>
      <c r="MNP2461" s="54"/>
      <c r="MNQ2461" s="63"/>
      <c r="MNR2461" s="60"/>
      <c r="MNS2461" s="60"/>
      <c r="MNT2461" s="60"/>
      <c r="MNU2461" s="63"/>
      <c r="MNV2461" s="61"/>
      <c r="MNW2461" s="54"/>
      <c r="MNX2461" s="54"/>
      <c r="MNY2461" s="63"/>
      <c r="MNZ2461" s="60"/>
      <c r="MOA2461" s="60"/>
      <c r="MOB2461" s="60"/>
      <c r="MOC2461" s="63"/>
      <c r="MOD2461" s="61"/>
      <c r="MOE2461" s="54"/>
      <c r="MOF2461" s="54"/>
      <c r="MOG2461" s="63"/>
      <c r="MOH2461" s="60"/>
      <c r="MOI2461" s="60"/>
      <c r="MOJ2461" s="60"/>
      <c r="MOK2461" s="63"/>
      <c r="MOL2461" s="61"/>
      <c r="MOM2461" s="54"/>
      <c r="MON2461" s="54"/>
      <c r="MOO2461" s="63"/>
      <c r="MOP2461" s="60"/>
      <c r="MOQ2461" s="60"/>
      <c r="MOR2461" s="60"/>
      <c r="MOS2461" s="63"/>
      <c r="MOT2461" s="61"/>
      <c r="MOU2461" s="54"/>
      <c r="MOV2461" s="54"/>
      <c r="MOW2461" s="63"/>
      <c r="MOX2461" s="60"/>
      <c r="MOY2461" s="60"/>
      <c r="MOZ2461" s="60"/>
      <c r="MPA2461" s="63"/>
      <c r="MPB2461" s="61"/>
      <c r="MPC2461" s="54"/>
      <c r="MPD2461" s="54"/>
      <c r="MPE2461" s="63"/>
      <c r="MPF2461" s="60"/>
      <c r="MPG2461" s="60"/>
      <c r="MPH2461" s="60"/>
      <c r="MPI2461" s="63"/>
      <c r="MPJ2461" s="61"/>
      <c r="MPK2461" s="54"/>
      <c r="MPL2461" s="54"/>
      <c r="MPM2461" s="63"/>
      <c r="MPN2461" s="60"/>
      <c r="MPO2461" s="60"/>
      <c r="MPP2461" s="60"/>
      <c r="MPQ2461" s="63"/>
      <c r="MPR2461" s="61"/>
      <c r="MPS2461" s="54"/>
      <c r="MPT2461" s="54"/>
      <c r="MPU2461" s="63"/>
      <c r="MPV2461" s="60"/>
      <c r="MPW2461" s="60"/>
      <c r="MPX2461" s="60"/>
      <c r="MPY2461" s="63"/>
      <c r="MPZ2461" s="61"/>
      <c r="MQA2461" s="54"/>
      <c r="MQB2461" s="54"/>
      <c r="MQC2461" s="63"/>
      <c r="MQD2461" s="60"/>
      <c r="MQE2461" s="60"/>
      <c r="MQF2461" s="60"/>
      <c r="MQG2461" s="63"/>
      <c r="MQH2461" s="61"/>
      <c r="MQI2461" s="54"/>
      <c r="MQJ2461" s="54"/>
      <c r="MQK2461" s="63"/>
      <c r="MQL2461" s="60"/>
      <c r="MQM2461" s="60"/>
      <c r="MQN2461" s="60"/>
      <c r="MQO2461" s="63"/>
      <c r="MQP2461" s="61"/>
      <c r="MQQ2461" s="54"/>
      <c r="MQR2461" s="54"/>
      <c r="MQS2461" s="63"/>
      <c r="MQT2461" s="60"/>
      <c r="MQU2461" s="60"/>
      <c r="MQV2461" s="60"/>
      <c r="MQW2461" s="63"/>
      <c r="MQX2461" s="61"/>
      <c r="MQY2461" s="54"/>
      <c r="MQZ2461" s="54"/>
      <c r="MRA2461" s="63"/>
      <c r="MRB2461" s="60"/>
      <c r="MRC2461" s="60"/>
      <c r="MRD2461" s="60"/>
      <c r="MRE2461" s="63"/>
      <c r="MRF2461" s="61"/>
      <c r="MRG2461" s="54"/>
      <c r="MRH2461" s="54"/>
      <c r="MRI2461" s="63"/>
      <c r="MRJ2461" s="60"/>
      <c r="MRK2461" s="60"/>
      <c r="MRL2461" s="60"/>
      <c r="MRM2461" s="63"/>
      <c r="MRN2461" s="61"/>
      <c r="MRO2461" s="54"/>
      <c r="MRP2461" s="54"/>
      <c r="MRQ2461" s="63"/>
      <c r="MRR2461" s="60"/>
      <c r="MRS2461" s="60"/>
      <c r="MRT2461" s="60"/>
      <c r="MRU2461" s="63"/>
      <c r="MRV2461" s="61"/>
      <c r="MRW2461" s="54"/>
      <c r="MRX2461" s="54"/>
      <c r="MRY2461" s="63"/>
      <c r="MRZ2461" s="60"/>
      <c r="MSA2461" s="60"/>
      <c r="MSB2461" s="60"/>
      <c r="MSC2461" s="63"/>
      <c r="MSD2461" s="61"/>
      <c r="MSE2461" s="54"/>
      <c r="MSF2461" s="54"/>
      <c r="MSG2461" s="63"/>
      <c r="MSH2461" s="60"/>
      <c r="MSI2461" s="60"/>
      <c r="MSJ2461" s="60"/>
      <c r="MSK2461" s="63"/>
      <c r="MSL2461" s="61"/>
      <c r="MSM2461" s="54"/>
      <c r="MSN2461" s="54"/>
      <c r="MSO2461" s="63"/>
      <c r="MSP2461" s="60"/>
      <c r="MSQ2461" s="60"/>
      <c r="MSR2461" s="60"/>
      <c r="MSS2461" s="63"/>
      <c r="MST2461" s="61"/>
      <c r="MSU2461" s="54"/>
      <c r="MSV2461" s="54"/>
      <c r="MSW2461" s="63"/>
      <c r="MSX2461" s="60"/>
      <c r="MSY2461" s="60"/>
      <c r="MSZ2461" s="60"/>
      <c r="MTA2461" s="63"/>
      <c r="MTB2461" s="61"/>
      <c r="MTC2461" s="54"/>
      <c r="MTD2461" s="54"/>
      <c r="MTE2461" s="63"/>
      <c r="MTF2461" s="60"/>
      <c r="MTG2461" s="60"/>
      <c r="MTH2461" s="60"/>
      <c r="MTI2461" s="63"/>
      <c r="MTJ2461" s="61"/>
      <c r="MTK2461" s="54"/>
      <c r="MTL2461" s="54"/>
      <c r="MTM2461" s="63"/>
      <c r="MTN2461" s="60"/>
      <c r="MTO2461" s="60"/>
      <c r="MTP2461" s="60"/>
      <c r="MTQ2461" s="63"/>
      <c r="MTR2461" s="61"/>
      <c r="MTS2461" s="54"/>
      <c r="MTT2461" s="54"/>
      <c r="MTU2461" s="63"/>
      <c r="MTV2461" s="60"/>
      <c r="MTW2461" s="60"/>
      <c r="MTX2461" s="60"/>
      <c r="MTY2461" s="63"/>
      <c r="MTZ2461" s="61"/>
      <c r="MUA2461" s="54"/>
      <c r="MUB2461" s="54"/>
      <c r="MUC2461" s="63"/>
      <c r="MUD2461" s="60"/>
      <c r="MUE2461" s="60"/>
      <c r="MUF2461" s="60"/>
      <c r="MUG2461" s="63"/>
      <c r="MUH2461" s="61"/>
      <c r="MUI2461" s="54"/>
      <c r="MUJ2461" s="54"/>
      <c r="MUK2461" s="63"/>
      <c r="MUL2461" s="60"/>
      <c r="MUM2461" s="60"/>
      <c r="MUN2461" s="60"/>
      <c r="MUO2461" s="63"/>
      <c r="MUP2461" s="61"/>
      <c r="MUQ2461" s="54"/>
      <c r="MUR2461" s="54"/>
      <c r="MUS2461" s="63"/>
      <c r="MUT2461" s="60"/>
      <c r="MUU2461" s="60"/>
      <c r="MUV2461" s="60"/>
      <c r="MUW2461" s="63"/>
      <c r="MUX2461" s="61"/>
      <c r="MUY2461" s="54"/>
      <c r="MUZ2461" s="54"/>
      <c r="MVA2461" s="63"/>
      <c r="MVB2461" s="60"/>
      <c r="MVC2461" s="60"/>
      <c r="MVD2461" s="60"/>
      <c r="MVE2461" s="63"/>
      <c r="MVF2461" s="61"/>
      <c r="MVG2461" s="54"/>
      <c r="MVH2461" s="54"/>
      <c r="MVI2461" s="63"/>
      <c r="MVJ2461" s="60"/>
      <c r="MVK2461" s="60"/>
      <c r="MVL2461" s="60"/>
      <c r="MVM2461" s="63"/>
      <c r="MVN2461" s="61"/>
      <c r="MVO2461" s="54"/>
      <c r="MVP2461" s="54"/>
      <c r="MVQ2461" s="63"/>
      <c r="MVR2461" s="60"/>
      <c r="MVS2461" s="60"/>
      <c r="MVT2461" s="60"/>
      <c r="MVU2461" s="63"/>
      <c r="MVV2461" s="61"/>
      <c r="MVW2461" s="54"/>
      <c r="MVX2461" s="54"/>
      <c r="MVY2461" s="63"/>
      <c r="MVZ2461" s="60"/>
      <c r="MWA2461" s="60"/>
      <c r="MWB2461" s="60"/>
      <c r="MWC2461" s="63"/>
      <c r="MWD2461" s="61"/>
      <c r="MWE2461" s="54"/>
      <c r="MWF2461" s="54"/>
      <c r="MWG2461" s="63"/>
      <c r="MWH2461" s="60"/>
      <c r="MWI2461" s="60"/>
      <c r="MWJ2461" s="60"/>
      <c r="MWK2461" s="63"/>
      <c r="MWL2461" s="61"/>
      <c r="MWM2461" s="54"/>
      <c r="MWN2461" s="54"/>
      <c r="MWO2461" s="63"/>
      <c r="MWP2461" s="60"/>
      <c r="MWQ2461" s="60"/>
      <c r="MWR2461" s="60"/>
      <c r="MWS2461" s="63"/>
      <c r="MWT2461" s="61"/>
      <c r="MWU2461" s="54"/>
      <c r="MWV2461" s="54"/>
      <c r="MWW2461" s="63"/>
      <c r="MWX2461" s="60"/>
      <c r="MWY2461" s="60"/>
      <c r="MWZ2461" s="60"/>
      <c r="MXA2461" s="63"/>
      <c r="MXB2461" s="61"/>
      <c r="MXC2461" s="54"/>
      <c r="MXD2461" s="54"/>
      <c r="MXE2461" s="63"/>
      <c r="MXF2461" s="60"/>
      <c r="MXG2461" s="60"/>
      <c r="MXH2461" s="60"/>
      <c r="MXI2461" s="63"/>
      <c r="MXJ2461" s="61"/>
      <c r="MXK2461" s="54"/>
      <c r="MXL2461" s="54"/>
      <c r="MXM2461" s="63"/>
      <c r="MXN2461" s="60"/>
      <c r="MXO2461" s="60"/>
      <c r="MXP2461" s="60"/>
      <c r="MXQ2461" s="63"/>
      <c r="MXR2461" s="61"/>
      <c r="MXS2461" s="54"/>
      <c r="MXT2461" s="54"/>
      <c r="MXU2461" s="63"/>
      <c r="MXV2461" s="60"/>
      <c r="MXW2461" s="60"/>
      <c r="MXX2461" s="60"/>
      <c r="MXY2461" s="63"/>
      <c r="MXZ2461" s="61"/>
      <c r="MYA2461" s="54"/>
      <c r="MYB2461" s="54"/>
      <c r="MYC2461" s="63"/>
      <c r="MYD2461" s="60"/>
      <c r="MYE2461" s="60"/>
      <c r="MYF2461" s="60"/>
      <c r="MYG2461" s="63"/>
      <c r="MYH2461" s="61"/>
      <c r="MYI2461" s="54"/>
      <c r="MYJ2461" s="54"/>
      <c r="MYK2461" s="63"/>
      <c r="MYL2461" s="60"/>
      <c r="MYM2461" s="60"/>
      <c r="MYN2461" s="60"/>
      <c r="MYO2461" s="63"/>
      <c r="MYP2461" s="61"/>
      <c r="MYQ2461" s="54"/>
      <c r="MYR2461" s="54"/>
      <c r="MYS2461" s="63"/>
      <c r="MYT2461" s="60"/>
      <c r="MYU2461" s="60"/>
      <c r="MYV2461" s="60"/>
      <c r="MYW2461" s="63"/>
      <c r="MYX2461" s="61"/>
      <c r="MYY2461" s="54"/>
      <c r="MYZ2461" s="54"/>
      <c r="MZA2461" s="63"/>
      <c r="MZB2461" s="60"/>
      <c r="MZC2461" s="60"/>
      <c r="MZD2461" s="60"/>
      <c r="MZE2461" s="63"/>
      <c r="MZF2461" s="61"/>
      <c r="MZG2461" s="54"/>
      <c r="MZH2461" s="54"/>
      <c r="MZI2461" s="63"/>
      <c r="MZJ2461" s="60"/>
      <c r="MZK2461" s="60"/>
      <c r="MZL2461" s="60"/>
      <c r="MZM2461" s="63"/>
      <c r="MZN2461" s="61"/>
      <c r="MZO2461" s="54"/>
      <c r="MZP2461" s="54"/>
      <c r="MZQ2461" s="63"/>
      <c r="MZR2461" s="60"/>
      <c r="MZS2461" s="60"/>
      <c r="MZT2461" s="60"/>
      <c r="MZU2461" s="63"/>
      <c r="MZV2461" s="61"/>
      <c r="MZW2461" s="54"/>
      <c r="MZX2461" s="54"/>
      <c r="MZY2461" s="63"/>
      <c r="MZZ2461" s="60"/>
      <c r="NAA2461" s="60"/>
      <c r="NAB2461" s="60"/>
      <c r="NAC2461" s="63"/>
      <c r="NAD2461" s="61"/>
      <c r="NAE2461" s="54"/>
      <c r="NAF2461" s="54"/>
      <c r="NAG2461" s="63"/>
      <c r="NAH2461" s="60"/>
      <c r="NAI2461" s="60"/>
      <c r="NAJ2461" s="60"/>
      <c r="NAK2461" s="63"/>
      <c r="NAL2461" s="61"/>
      <c r="NAM2461" s="54"/>
      <c r="NAN2461" s="54"/>
      <c r="NAO2461" s="63"/>
      <c r="NAP2461" s="60"/>
      <c r="NAQ2461" s="60"/>
      <c r="NAR2461" s="60"/>
      <c r="NAS2461" s="63"/>
      <c r="NAT2461" s="61"/>
      <c r="NAU2461" s="54"/>
      <c r="NAV2461" s="54"/>
      <c r="NAW2461" s="63"/>
      <c r="NAX2461" s="60"/>
      <c r="NAY2461" s="60"/>
      <c r="NAZ2461" s="60"/>
      <c r="NBA2461" s="63"/>
      <c r="NBB2461" s="61"/>
      <c r="NBC2461" s="54"/>
      <c r="NBD2461" s="54"/>
      <c r="NBE2461" s="63"/>
      <c r="NBF2461" s="60"/>
      <c r="NBG2461" s="60"/>
      <c r="NBH2461" s="60"/>
      <c r="NBI2461" s="63"/>
      <c r="NBJ2461" s="61"/>
      <c r="NBK2461" s="54"/>
      <c r="NBL2461" s="54"/>
      <c r="NBM2461" s="63"/>
      <c r="NBN2461" s="60"/>
      <c r="NBO2461" s="60"/>
      <c r="NBP2461" s="60"/>
      <c r="NBQ2461" s="63"/>
      <c r="NBR2461" s="61"/>
      <c r="NBS2461" s="54"/>
      <c r="NBT2461" s="54"/>
      <c r="NBU2461" s="63"/>
      <c r="NBV2461" s="60"/>
      <c r="NBW2461" s="60"/>
      <c r="NBX2461" s="60"/>
      <c r="NBY2461" s="63"/>
      <c r="NBZ2461" s="61"/>
      <c r="NCA2461" s="54"/>
      <c r="NCB2461" s="54"/>
      <c r="NCC2461" s="63"/>
      <c r="NCD2461" s="60"/>
      <c r="NCE2461" s="60"/>
      <c r="NCF2461" s="60"/>
      <c r="NCG2461" s="63"/>
      <c r="NCH2461" s="61"/>
      <c r="NCI2461" s="54"/>
      <c r="NCJ2461" s="54"/>
      <c r="NCK2461" s="63"/>
      <c r="NCL2461" s="60"/>
      <c r="NCM2461" s="60"/>
      <c r="NCN2461" s="60"/>
      <c r="NCO2461" s="63"/>
      <c r="NCP2461" s="61"/>
      <c r="NCQ2461" s="54"/>
      <c r="NCR2461" s="54"/>
      <c r="NCS2461" s="63"/>
      <c r="NCT2461" s="60"/>
      <c r="NCU2461" s="60"/>
      <c r="NCV2461" s="60"/>
      <c r="NCW2461" s="63"/>
      <c r="NCX2461" s="61"/>
      <c r="NCY2461" s="54"/>
      <c r="NCZ2461" s="54"/>
      <c r="NDA2461" s="63"/>
      <c r="NDB2461" s="60"/>
      <c r="NDC2461" s="60"/>
      <c r="NDD2461" s="60"/>
      <c r="NDE2461" s="63"/>
      <c r="NDF2461" s="61"/>
      <c r="NDG2461" s="54"/>
      <c r="NDH2461" s="54"/>
      <c r="NDI2461" s="63"/>
      <c r="NDJ2461" s="60"/>
      <c r="NDK2461" s="60"/>
      <c r="NDL2461" s="60"/>
      <c r="NDM2461" s="63"/>
      <c r="NDN2461" s="61"/>
      <c r="NDO2461" s="54"/>
      <c r="NDP2461" s="54"/>
      <c r="NDQ2461" s="63"/>
      <c r="NDR2461" s="60"/>
      <c r="NDS2461" s="60"/>
      <c r="NDT2461" s="60"/>
      <c r="NDU2461" s="63"/>
      <c r="NDV2461" s="61"/>
      <c r="NDW2461" s="54"/>
      <c r="NDX2461" s="54"/>
      <c r="NDY2461" s="63"/>
      <c r="NDZ2461" s="60"/>
      <c r="NEA2461" s="60"/>
      <c r="NEB2461" s="60"/>
      <c r="NEC2461" s="63"/>
      <c r="NED2461" s="61"/>
      <c r="NEE2461" s="54"/>
      <c r="NEF2461" s="54"/>
      <c r="NEG2461" s="63"/>
      <c r="NEH2461" s="60"/>
      <c r="NEI2461" s="60"/>
      <c r="NEJ2461" s="60"/>
      <c r="NEK2461" s="63"/>
      <c r="NEL2461" s="61"/>
      <c r="NEM2461" s="54"/>
      <c r="NEN2461" s="54"/>
      <c r="NEO2461" s="63"/>
      <c r="NEP2461" s="60"/>
      <c r="NEQ2461" s="60"/>
      <c r="NER2461" s="60"/>
      <c r="NES2461" s="63"/>
      <c r="NET2461" s="61"/>
      <c r="NEU2461" s="54"/>
      <c r="NEV2461" s="54"/>
      <c r="NEW2461" s="63"/>
      <c r="NEX2461" s="60"/>
      <c r="NEY2461" s="60"/>
      <c r="NEZ2461" s="60"/>
      <c r="NFA2461" s="63"/>
      <c r="NFB2461" s="61"/>
      <c r="NFC2461" s="54"/>
      <c r="NFD2461" s="54"/>
      <c r="NFE2461" s="63"/>
      <c r="NFF2461" s="60"/>
      <c r="NFG2461" s="60"/>
      <c r="NFH2461" s="60"/>
      <c r="NFI2461" s="63"/>
      <c r="NFJ2461" s="61"/>
      <c r="NFK2461" s="54"/>
      <c r="NFL2461" s="54"/>
      <c r="NFM2461" s="63"/>
      <c r="NFN2461" s="60"/>
      <c r="NFO2461" s="60"/>
      <c r="NFP2461" s="60"/>
      <c r="NFQ2461" s="63"/>
      <c r="NFR2461" s="61"/>
      <c r="NFS2461" s="54"/>
      <c r="NFT2461" s="54"/>
      <c r="NFU2461" s="63"/>
      <c r="NFV2461" s="60"/>
      <c r="NFW2461" s="60"/>
      <c r="NFX2461" s="60"/>
      <c r="NFY2461" s="63"/>
      <c r="NFZ2461" s="61"/>
      <c r="NGA2461" s="54"/>
      <c r="NGB2461" s="54"/>
      <c r="NGC2461" s="63"/>
      <c r="NGD2461" s="60"/>
      <c r="NGE2461" s="60"/>
      <c r="NGF2461" s="60"/>
      <c r="NGG2461" s="63"/>
      <c r="NGH2461" s="61"/>
      <c r="NGI2461" s="54"/>
      <c r="NGJ2461" s="54"/>
      <c r="NGK2461" s="63"/>
      <c r="NGL2461" s="60"/>
      <c r="NGM2461" s="60"/>
      <c r="NGN2461" s="60"/>
      <c r="NGO2461" s="63"/>
      <c r="NGP2461" s="61"/>
      <c r="NGQ2461" s="54"/>
      <c r="NGR2461" s="54"/>
      <c r="NGS2461" s="63"/>
      <c r="NGT2461" s="60"/>
      <c r="NGU2461" s="60"/>
      <c r="NGV2461" s="60"/>
      <c r="NGW2461" s="63"/>
      <c r="NGX2461" s="61"/>
      <c r="NGY2461" s="54"/>
      <c r="NGZ2461" s="54"/>
      <c r="NHA2461" s="63"/>
      <c r="NHB2461" s="60"/>
      <c r="NHC2461" s="60"/>
      <c r="NHD2461" s="60"/>
      <c r="NHE2461" s="63"/>
      <c r="NHF2461" s="61"/>
      <c r="NHG2461" s="54"/>
      <c r="NHH2461" s="54"/>
      <c r="NHI2461" s="63"/>
      <c r="NHJ2461" s="60"/>
      <c r="NHK2461" s="60"/>
      <c r="NHL2461" s="60"/>
      <c r="NHM2461" s="63"/>
      <c r="NHN2461" s="61"/>
      <c r="NHO2461" s="54"/>
      <c r="NHP2461" s="54"/>
      <c r="NHQ2461" s="63"/>
      <c r="NHR2461" s="60"/>
      <c r="NHS2461" s="60"/>
      <c r="NHT2461" s="60"/>
      <c r="NHU2461" s="63"/>
      <c r="NHV2461" s="61"/>
      <c r="NHW2461" s="54"/>
      <c r="NHX2461" s="54"/>
      <c r="NHY2461" s="63"/>
      <c r="NHZ2461" s="60"/>
      <c r="NIA2461" s="60"/>
      <c r="NIB2461" s="60"/>
      <c r="NIC2461" s="63"/>
      <c r="NID2461" s="61"/>
      <c r="NIE2461" s="54"/>
      <c r="NIF2461" s="54"/>
      <c r="NIG2461" s="63"/>
      <c r="NIH2461" s="60"/>
      <c r="NII2461" s="60"/>
      <c r="NIJ2461" s="60"/>
      <c r="NIK2461" s="63"/>
      <c r="NIL2461" s="61"/>
      <c r="NIM2461" s="54"/>
      <c r="NIN2461" s="54"/>
      <c r="NIO2461" s="63"/>
      <c r="NIP2461" s="60"/>
      <c r="NIQ2461" s="60"/>
      <c r="NIR2461" s="60"/>
      <c r="NIS2461" s="63"/>
      <c r="NIT2461" s="61"/>
      <c r="NIU2461" s="54"/>
      <c r="NIV2461" s="54"/>
      <c r="NIW2461" s="63"/>
      <c r="NIX2461" s="60"/>
      <c r="NIY2461" s="60"/>
      <c r="NIZ2461" s="60"/>
      <c r="NJA2461" s="63"/>
      <c r="NJB2461" s="61"/>
      <c r="NJC2461" s="54"/>
      <c r="NJD2461" s="54"/>
      <c r="NJE2461" s="63"/>
      <c r="NJF2461" s="60"/>
      <c r="NJG2461" s="60"/>
      <c r="NJH2461" s="60"/>
      <c r="NJI2461" s="63"/>
      <c r="NJJ2461" s="61"/>
      <c r="NJK2461" s="54"/>
      <c r="NJL2461" s="54"/>
      <c r="NJM2461" s="63"/>
      <c r="NJN2461" s="60"/>
      <c r="NJO2461" s="60"/>
      <c r="NJP2461" s="60"/>
      <c r="NJQ2461" s="63"/>
      <c r="NJR2461" s="61"/>
      <c r="NJS2461" s="54"/>
      <c r="NJT2461" s="54"/>
      <c r="NJU2461" s="63"/>
      <c r="NJV2461" s="60"/>
      <c r="NJW2461" s="60"/>
      <c r="NJX2461" s="60"/>
      <c r="NJY2461" s="63"/>
      <c r="NJZ2461" s="61"/>
      <c r="NKA2461" s="54"/>
      <c r="NKB2461" s="54"/>
      <c r="NKC2461" s="63"/>
      <c r="NKD2461" s="60"/>
      <c r="NKE2461" s="60"/>
      <c r="NKF2461" s="60"/>
      <c r="NKG2461" s="63"/>
      <c r="NKH2461" s="61"/>
      <c r="NKI2461" s="54"/>
      <c r="NKJ2461" s="54"/>
      <c r="NKK2461" s="63"/>
      <c r="NKL2461" s="60"/>
      <c r="NKM2461" s="60"/>
      <c r="NKN2461" s="60"/>
      <c r="NKO2461" s="63"/>
      <c r="NKP2461" s="61"/>
      <c r="NKQ2461" s="54"/>
      <c r="NKR2461" s="54"/>
      <c r="NKS2461" s="63"/>
      <c r="NKT2461" s="60"/>
      <c r="NKU2461" s="60"/>
      <c r="NKV2461" s="60"/>
      <c r="NKW2461" s="63"/>
      <c r="NKX2461" s="61"/>
      <c r="NKY2461" s="54"/>
      <c r="NKZ2461" s="54"/>
      <c r="NLA2461" s="63"/>
      <c r="NLB2461" s="60"/>
      <c r="NLC2461" s="60"/>
      <c r="NLD2461" s="60"/>
      <c r="NLE2461" s="63"/>
      <c r="NLF2461" s="61"/>
      <c r="NLG2461" s="54"/>
      <c r="NLH2461" s="54"/>
      <c r="NLI2461" s="63"/>
      <c r="NLJ2461" s="60"/>
      <c r="NLK2461" s="60"/>
      <c r="NLL2461" s="60"/>
      <c r="NLM2461" s="63"/>
      <c r="NLN2461" s="61"/>
      <c r="NLO2461" s="54"/>
      <c r="NLP2461" s="54"/>
      <c r="NLQ2461" s="63"/>
      <c r="NLR2461" s="60"/>
      <c r="NLS2461" s="60"/>
      <c r="NLT2461" s="60"/>
      <c r="NLU2461" s="63"/>
      <c r="NLV2461" s="61"/>
      <c r="NLW2461" s="54"/>
      <c r="NLX2461" s="54"/>
      <c r="NLY2461" s="63"/>
      <c r="NLZ2461" s="60"/>
      <c r="NMA2461" s="60"/>
      <c r="NMB2461" s="60"/>
      <c r="NMC2461" s="63"/>
      <c r="NMD2461" s="61"/>
      <c r="NME2461" s="54"/>
      <c r="NMF2461" s="54"/>
      <c r="NMG2461" s="63"/>
      <c r="NMH2461" s="60"/>
      <c r="NMI2461" s="60"/>
      <c r="NMJ2461" s="60"/>
      <c r="NMK2461" s="63"/>
      <c r="NML2461" s="61"/>
      <c r="NMM2461" s="54"/>
      <c r="NMN2461" s="54"/>
      <c r="NMO2461" s="63"/>
      <c r="NMP2461" s="60"/>
      <c r="NMQ2461" s="60"/>
      <c r="NMR2461" s="60"/>
      <c r="NMS2461" s="63"/>
      <c r="NMT2461" s="61"/>
      <c r="NMU2461" s="54"/>
      <c r="NMV2461" s="54"/>
      <c r="NMW2461" s="63"/>
      <c r="NMX2461" s="60"/>
      <c r="NMY2461" s="60"/>
      <c r="NMZ2461" s="60"/>
      <c r="NNA2461" s="63"/>
      <c r="NNB2461" s="61"/>
      <c r="NNC2461" s="54"/>
      <c r="NND2461" s="54"/>
      <c r="NNE2461" s="63"/>
      <c r="NNF2461" s="60"/>
      <c r="NNG2461" s="60"/>
      <c r="NNH2461" s="60"/>
      <c r="NNI2461" s="63"/>
      <c r="NNJ2461" s="61"/>
      <c r="NNK2461" s="54"/>
      <c r="NNL2461" s="54"/>
      <c r="NNM2461" s="63"/>
      <c r="NNN2461" s="60"/>
      <c r="NNO2461" s="60"/>
      <c r="NNP2461" s="60"/>
      <c r="NNQ2461" s="63"/>
      <c r="NNR2461" s="61"/>
      <c r="NNS2461" s="54"/>
      <c r="NNT2461" s="54"/>
      <c r="NNU2461" s="63"/>
      <c r="NNV2461" s="60"/>
      <c r="NNW2461" s="60"/>
      <c r="NNX2461" s="60"/>
      <c r="NNY2461" s="63"/>
      <c r="NNZ2461" s="61"/>
      <c r="NOA2461" s="54"/>
      <c r="NOB2461" s="54"/>
      <c r="NOC2461" s="63"/>
      <c r="NOD2461" s="60"/>
      <c r="NOE2461" s="60"/>
      <c r="NOF2461" s="60"/>
      <c r="NOG2461" s="63"/>
      <c r="NOH2461" s="61"/>
      <c r="NOI2461" s="54"/>
      <c r="NOJ2461" s="54"/>
      <c r="NOK2461" s="63"/>
      <c r="NOL2461" s="60"/>
      <c r="NOM2461" s="60"/>
      <c r="NON2461" s="60"/>
      <c r="NOO2461" s="63"/>
      <c r="NOP2461" s="61"/>
      <c r="NOQ2461" s="54"/>
      <c r="NOR2461" s="54"/>
      <c r="NOS2461" s="63"/>
      <c r="NOT2461" s="60"/>
      <c r="NOU2461" s="60"/>
      <c r="NOV2461" s="60"/>
      <c r="NOW2461" s="63"/>
      <c r="NOX2461" s="61"/>
      <c r="NOY2461" s="54"/>
      <c r="NOZ2461" s="54"/>
      <c r="NPA2461" s="63"/>
      <c r="NPB2461" s="60"/>
      <c r="NPC2461" s="60"/>
      <c r="NPD2461" s="60"/>
      <c r="NPE2461" s="63"/>
      <c r="NPF2461" s="61"/>
      <c r="NPG2461" s="54"/>
      <c r="NPH2461" s="54"/>
      <c r="NPI2461" s="63"/>
      <c r="NPJ2461" s="60"/>
      <c r="NPK2461" s="60"/>
      <c r="NPL2461" s="60"/>
      <c r="NPM2461" s="63"/>
      <c r="NPN2461" s="61"/>
      <c r="NPO2461" s="54"/>
      <c r="NPP2461" s="54"/>
      <c r="NPQ2461" s="63"/>
      <c r="NPR2461" s="60"/>
      <c r="NPS2461" s="60"/>
      <c r="NPT2461" s="60"/>
      <c r="NPU2461" s="63"/>
      <c r="NPV2461" s="61"/>
      <c r="NPW2461" s="54"/>
      <c r="NPX2461" s="54"/>
      <c r="NPY2461" s="63"/>
      <c r="NPZ2461" s="60"/>
      <c r="NQA2461" s="60"/>
      <c r="NQB2461" s="60"/>
      <c r="NQC2461" s="63"/>
      <c r="NQD2461" s="61"/>
      <c r="NQE2461" s="54"/>
      <c r="NQF2461" s="54"/>
      <c r="NQG2461" s="63"/>
      <c r="NQH2461" s="60"/>
      <c r="NQI2461" s="60"/>
      <c r="NQJ2461" s="60"/>
      <c r="NQK2461" s="63"/>
      <c r="NQL2461" s="61"/>
      <c r="NQM2461" s="54"/>
      <c r="NQN2461" s="54"/>
      <c r="NQO2461" s="63"/>
      <c r="NQP2461" s="60"/>
      <c r="NQQ2461" s="60"/>
      <c r="NQR2461" s="60"/>
      <c r="NQS2461" s="63"/>
      <c r="NQT2461" s="61"/>
      <c r="NQU2461" s="54"/>
      <c r="NQV2461" s="54"/>
      <c r="NQW2461" s="63"/>
      <c r="NQX2461" s="60"/>
      <c r="NQY2461" s="60"/>
      <c r="NQZ2461" s="60"/>
      <c r="NRA2461" s="63"/>
      <c r="NRB2461" s="61"/>
      <c r="NRC2461" s="54"/>
      <c r="NRD2461" s="54"/>
      <c r="NRE2461" s="63"/>
      <c r="NRF2461" s="60"/>
      <c r="NRG2461" s="60"/>
      <c r="NRH2461" s="60"/>
      <c r="NRI2461" s="63"/>
      <c r="NRJ2461" s="61"/>
      <c r="NRK2461" s="54"/>
      <c r="NRL2461" s="54"/>
      <c r="NRM2461" s="63"/>
      <c r="NRN2461" s="60"/>
      <c r="NRO2461" s="60"/>
      <c r="NRP2461" s="60"/>
      <c r="NRQ2461" s="63"/>
      <c r="NRR2461" s="61"/>
      <c r="NRS2461" s="54"/>
      <c r="NRT2461" s="54"/>
      <c r="NRU2461" s="63"/>
      <c r="NRV2461" s="60"/>
      <c r="NRW2461" s="60"/>
      <c r="NRX2461" s="60"/>
      <c r="NRY2461" s="63"/>
      <c r="NRZ2461" s="61"/>
      <c r="NSA2461" s="54"/>
      <c r="NSB2461" s="54"/>
      <c r="NSC2461" s="63"/>
      <c r="NSD2461" s="60"/>
      <c r="NSE2461" s="60"/>
      <c r="NSF2461" s="60"/>
      <c r="NSG2461" s="63"/>
      <c r="NSH2461" s="61"/>
      <c r="NSI2461" s="54"/>
      <c r="NSJ2461" s="54"/>
      <c r="NSK2461" s="63"/>
      <c r="NSL2461" s="60"/>
      <c r="NSM2461" s="60"/>
      <c r="NSN2461" s="60"/>
      <c r="NSO2461" s="63"/>
      <c r="NSP2461" s="61"/>
      <c r="NSQ2461" s="54"/>
      <c r="NSR2461" s="54"/>
      <c r="NSS2461" s="63"/>
      <c r="NST2461" s="60"/>
      <c r="NSU2461" s="60"/>
      <c r="NSV2461" s="60"/>
      <c r="NSW2461" s="63"/>
      <c r="NSX2461" s="61"/>
      <c r="NSY2461" s="54"/>
      <c r="NSZ2461" s="54"/>
      <c r="NTA2461" s="63"/>
      <c r="NTB2461" s="60"/>
      <c r="NTC2461" s="60"/>
      <c r="NTD2461" s="60"/>
      <c r="NTE2461" s="63"/>
      <c r="NTF2461" s="61"/>
      <c r="NTG2461" s="54"/>
      <c r="NTH2461" s="54"/>
      <c r="NTI2461" s="63"/>
      <c r="NTJ2461" s="60"/>
      <c r="NTK2461" s="60"/>
      <c r="NTL2461" s="60"/>
      <c r="NTM2461" s="63"/>
      <c r="NTN2461" s="61"/>
      <c r="NTO2461" s="54"/>
      <c r="NTP2461" s="54"/>
      <c r="NTQ2461" s="63"/>
      <c r="NTR2461" s="60"/>
      <c r="NTS2461" s="60"/>
      <c r="NTT2461" s="60"/>
      <c r="NTU2461" s="63"/>
      <c r="NTV2461" s="61"/>
      <c r="NTW2461" s="54"/>
      <c r="NTX2461" s="54"/>
      <c r="NTY2461" s="63"/>
      <c r="NTZ2461" s="60"/>
      <c r="NUA2461" s="60"/>
      <c r="NUB2461" s="60"/>
      <c r="NUC2461" s="63"/>
      <c r="NUD2461" s="61"/>
      <c r="NUE2461" s="54"/>
      <c r="NUF2461" s="54"/>
      <c r="NUG2461" s="63"/>
      <c r="NUH2461" s="60"/>
      <c r="NUI2461" s="60"/>
      <c r="NUJ2461" s="60"/>
      <c r="NUK2461" s="63"/>
      <c r="NUL2461" s="61"/>
      <c r="NUM2461" s="54"/>
      <c r="NUN2461" s="54"/>
      <c r="NUO2461" s="63"/>
      <c r="NUP2461" s="60"/>
      <c r="NUQ2461" s="60"/>
      <c r="NUR2461" s="60"/>
      <c r="NUS2461" s="63"/>
      <c r="NUT2461" s="61"/>
      <c r="NUU2461" s="54"/>
      <c r="NUV2461" s="54"/>
      <c r="NUW2461" s="63"/>
      <c r="NUX2461" s="60"/>
      <c r="NUY2461" s="60"/>
      <c r="NUZ2461" s="60"/>
      <c r="NVA2461" s="63"/>
      <c r="NVB2461" s="61"/>
      <c r="NVC2461" s="54"/>
      <c r="NVD2461" s="54"/>
      <c r="NVE2461" s="63"/>
      <c r="NVF2461" s="60"/>
      <c r="NVG2461" s="60"/>
      <c r="NVH2461" s="60"/>
      <c r="NVI2461" s="63"/>
      <c r="NVJ2461" s="61"/>
      <c r="NVK2461" s="54"/>
      <c r="NVL2461" s="54"/>
      <c r="NVM2461" s="63"/>
      <c r="NVN2461" s="60"/>
      <c r="NVO2461" s="60"/>
      <c r="NVP2461" s="60"/>
      <c r="NVQ2461" s="63"/>
      <c r="NVR2461" s="61"/>
      <c r="NVS2461" s="54"/>
      <c r="NVT2461" s="54"/>
      <c r="NVU2461" s="63"/>
      <c r="NVV2461" s="60"/>
      <c r="NVW2461" s="60"/>
      <c r="NVX2461" s="60"/>
      <c r="NVY2461" s="63"/>
      <c r="NVZ2461" s="61"/>
      <c r="NWA2461" s="54"/>
      <c r="NWB2461" s="54"/>
      <c r="NWC2461" s="63"/>
      <c r="NWD2461" s="60"/>
      <c r="NWE2461" s="60"/>
      <c r="NWF2461" s="60"/>
      <c r="NWG2461" s="63"/>
      <c r="NWH2461" s="61"/>
      <c r="NWI2461" s="54"/>
      <c r="NWJ2461" s="54"/>
      <c r="NWK2461" s="63"/>
      <c r="NWL2461" s="60"/>
      <c r="NWM2461" s="60"/>
      <c r="NWN2461" s="60"/>
      <c r="NWO2461" s="63"/>
      <c r="NWP2461" s="61"/>
      <c r="NWQ2461" s="54"/>
      <c r="NWR2461" s="54"/>
      <c r="NWS2461" s="63"/>
      <c r="NWT2461" s="60"/>
      <c r="NWU2461" s="60"/>
      <c r="NWV2461" s="60"/>
      <c r="NWW2461" s="63"/>
      <c r="NWX2461" s="61"/>
      <c r="NWY2461" s="54"/>
      <c r="NWZ2461" s="54"/>
      <c r="NXA2461" s="63"/>
      <c r="NXB2461" s="60"/>
      <c r="NXC2461" s="60"/>
      <c r="NXD2461" s="60"/>
      <c r="NXE2461" s="63"/>
      <c r="NXF2461" s="61"/>
      <c r="NXG2461" s="54"/>
      <c r="NXH2461" s="54"/>
      <c r="NXI2461" s="63"/>
      <c r="NXJ2461" s="60"/>
      <c r="NXK2461" s="60"/>
      <c r="NXL2461" s="60"/>
      <c r="NXM2461" s="63"/>
      <c r="NXN2461" s="61"/>
      <c r="NXO2461" s="54"/>
      <c r="NXP2461" s="54"/>
      <c r="NXQ2461" s="63"/>
      <c r="NXR2461" s="60"/>
      <c r="NXS2461" s="60"/>
      <c r="NXT2461" s="60"/>
      <c r="NXU2461" s="63"/>
      <c r="NXV2461" s="61"/>
      <c r="NXW2461" s="54"/>
      <c r="NXX2461" s="54"/>
      <c r="NXY2461" s="63"/>
      <c r="NXZ2461" s="60"/>
      <c r="NYA2461" s="60"/>
      <c r="NYB2461" s="60"/>
      <c r="NYC2461" s="63"/>
      <c r="NYD2461" s="61"/>
      <c r="NYE2461" s="54"/>
      <c r="NYF2461" s="54"/>
      <c r="NYG2461" s="63"/>
      <c r="NYH2461" s="60"/>
      <c r="NYI2461" s="60"/>
      <c r="NYJ2461" s="60"/>
      <c r="NYK2461" s="63"/>
      <c r="NYL2461" s="61"/>
      <c r="NYM2461" s="54"/>
      <c r="NYN2461" s="54"/>
      <c r="NYO2461" s="63"/>
      <c r="NYP2461" s="60"/>
      <c r="NYQ2461" s="60"/>
      <c r="NYR2461" s="60"/>
      <c r="NYS2461" s="63"/>
      <c r="NYT2461" s="61"/>
      <c r="NYU2461" s="54"/>
      <c r="NYV2461" s="54"/>
      <c r="NYW2461" s="63"/>
      <c r="NYX2461" s="60"/>
      <c r="NYY2461" s="60"/>
      <c r="NYZ2461" s="60"/>
      <c r="NZA2461" s="63"/>
      <c r="NZB2461" s="61"/>
      <c r="NZC2461" s="54"/>
      <c r="NZD2461" s="54"/>
      <c r="NZE2461" s="63"/>
      <c r="NZF2461" s="60"/>
      <c r="NZG2461" s="60"/>
      <c r="NZH2461" s="60"/>
      <c r="NZI2461" s="63"/>
      <c r="NZJ2461" s="61"/>
      <c r="NZK2461" s="54"/>
      <c r="NZL2461" s="54"/>
      <c r="NZM2461" s="63"/>
      <c r="NZN2461" s="60"/>
      <c r="NZO2461" s="60"/>
      <c r="NZP2461" s="60"/>
      <c r="NZQ2461" s="63"/>
      <c r="NZR2461" s="61"/>
      <c r="NZS2461" s="54"/>
      <c r="NZT2461" s="54"/>
      <c r="NZU2461" s="63"/>
      <c r="NZV2461" s="60"/>
      <c r="NZW2461" s="60"/>
      <c r="NZX2461" s="60"/>
      <c r="NZY2461" s="63"/>
      <c r="NZZ2461" s="61"/>
      <c r="OAA2461" s="54"/>
      <c r="OAB2461" s="54"/>
      <c r="OAC2461" s="63"/>
      <c r="OAD2461" s="60"/>
      <c r="OAE2461" s="60"/>
      <c r="OAF2461" s="60"/>
      <c r="OAG2461" s="63"/>
      <c r="OAH2461" s="61"/>
      <c r="OAI2461" s="54"/>
      <c r="OAJ2461" s="54"/>
      <c r="OAK2461" s="63"/>
      <c r="OAL2461" s="60"/>
      <c r="OAM2461" s="60"/>
      <c r="OAN2461" s="60"/>
      <c r="OAO2461" s="63"/>
      <c r="OAP2461" s="61"/>
      <c r="OAQ2461" s="54"/>
      <c r="OAR2461" s="54"/>
      <c r="OAS2461" s="63"/>
      <c r="OAT2461" s="60"/>
      <c r="OAU2461" s="60"/>
      <c r="OAV2461" s="60"/>
      <c r="OAW2461" s="63"/>
      <c r="OAX2461" s="61"/>
      <c r="OAY2461" s="54"/>
      <c r="OAZ2461" s="54"/>
      <c r="OBA2461" s="63"/>
      <c r="OBB2461" s="60"/>
      <c r="OBC2461" s="60"/>
      <c r="OBD2461" s="60"/>
      <c r="OBE2461" s="63"/>
      <c r="OBF2461" s="61"/>
      <c r="OBG2461" s="54"/>
      <c r="OBH2461" s="54"/>
      <c r="OBI2461" s="63"/>
      <c r="OBJ2461" s="60"/>
      <c r="OBK2461" s="60"/>
      <c r="OBL2461" s="60"/>
      <c r="OBM2461" s="63"/>
      <c r="OBN2461" s="61"/>
      <c r="OBO2461" s="54"/>
      <c r="OBP2461" s="54"/>
      <c r="OBQ2461" s="63"/>
      <c r="OBR2461" s="60"/>
      <c r="OBS2461" s="60"/>
      <c r="OBT2461" s="60"/>
      <c r="OBU2461" s="63"/>
      <c r="OBV2461" s="61"/>
      <c r="OBW2461" s="54"/>
      <c r="OBX2461" s="54"/>
      <c r="OBY2461" s="63"/>
      <c r="OBZ2461" s="60"/>
      <c r="OCA2461" s="60"/>
      <c r="OCB2461" s="60"/>
      <c r="OCC2461" s="63"/>
      <c r="OCD2461" s="61"/>
      <c r="OCE2461" s="54"/>
      <c r="OCF2461" s="54"/>
      <c r="OCG2461" s="63"/>
      <c r="OCH2461" s="60"/>
      <c r="OCI2461" s="60"/>
      <c r="OCJ2461" s="60"/>
      <c r="OCK2461" s="63"/>
      <c r="OCL2461" s="61"/>
      <c r="OCM2461" s="54"/>
      <c r="OCN2461" s="54"/>
      <c r="OCO2461" s="63"/>
      <c r="OCP2461" s="60"/>
      <c r="OCQ2461" s="60"/>
      <c r="OCR2461" s="60"/>
      <c r="OCS2461" s="63"/>
      <c r="OCT2461" s="61"/>
      <c r="OCU2461" s="54"/>
      <c r="OCV2461" s="54"/>
      <c r="OCW2461" s="63"/>
      <c r="OCX2461" s="60"/>
      <c r="OCY2461" s="60"/>
      <c r="OCZ2461" s="60"/>
      <c r="ODA2461" s="63"/>
      <c r="ODB2461" s="61"/>
      <c r="ODC2461" s="54"/>
      <c r="ODD2461" s="54"/>
      <c r="ODE2461" s="63"/>
      <c r="ODF2461" s="60"/>
      <c r="ODG2461" s="60"/>
      <c r="ODH2461" s="60"/>
      <c r="ODI2461" s="63"/>
      <c r="ODJ2461" s="61"/>
      <c r="ODK2461" s="54"/>
      <c r="ODL2461" s="54"/>
      <c r="ODM2461" s="63"/>
      <c r="ODN2461" s="60"/>
      <c r="ODO2461" s="60"/>
      <c r="ODP2461" s="60"/>
      <c r="ODQ2461" s="63"/>
      <c r="ODR2461" s="61"/>
      <c r="ODS2461" s="54"/>
      <c r="ODT2461" s="54"/>
      <c r="ODU2461" s="63"/>
      <c r="ODV2461" s="60"/>
      <c r="ODW2461" s="60"/>
      <c r="ODX2461" s="60"/>
      <c r="ODY2461" s="63"/>
      <c r="ODZ2461" s="61"/>
      <c r="OEA2461" s="54"/>
      <c r="OEB2461" s="54"/>
      <c r="OEC2461" s="63"/>
      <c r="OED2461" s="60"/>
      <c r="OEE2461" s="60"/>
      <c r="OEF2461" s="60"/>
      <c r="OEG2461" s="63"/>
      <c r="OEH2461" s="61"/>
      <c r="OEI2461" s="54"/>
      <c r="OEJ2461" s="54"/>
      <c r="OEK2461" s="63"/>
      <c r="OEL2461" s="60"/>
      <c r="OEM2461" s="60"/>
      <c r="OEN2461" s="60"/>
      <c r="OEO2461" s="63"/>
      <c r="OEP2461" s="61"/>
      <c r="OEQ2461" s="54"/>
      <c r="OER2461" s="54"/>
      <c r="OES2461" s="63"/>
      <c r="OET2461" s="60"/>
      <c r="OEU2461" s="60"/>
      <c r="OEV2461" s="60"/>
      <c r="OEW2461" s="63"/>
      <c r="OEX2461" s="61"/>
      <c r="OEY2461" s="54"/>
      <c r="OEZ2461" s="54"/>
      <c r="OFA2461" s="63"/>
      <c r="OFB2461" s="60"/>
      <c r="OFC2461" s="60"/>
      <c r="OFD2461" s="60"/>
      <c r="OFE2461" s="63"/>
      <c r="OFF2461" s="61"/>
      <c r="OFG2461" s="54"/>
      <c r="OFH2461" s="54"/>
      <c r="OFI2461" s="63"/>
      <c r="OFJ2461" s="60"/>
      <c r="OFK2461" s="60"/>
      <c r="OFL2461" s="60"/>
      <c r="OFM2461" s="63"/>
      <c r="OFN2461" s="61"/>
      <c r="OFO2461" s="54"/>
      <c r="OFP2461" s="54"/>
      <c r="OFQ2461" s="63"/>
      <c r="OFR2461" s="60"/>
      <c r="OFS2461" s="60"/>
      <c r="OFT2461" s="60"/>
      <c r="OFU2461" s="63"/>
      <c r="OFV2461" s="61"/>
      <c r="OFW2461" s="54"/>
      <c r="OFX2461" s="54"/>
      <c r="OFY2461" s="63"/>
      <c r="OFZ2461" s="60"/>
      <c r="OGA2461" s="60"/>
      <c r="OGB2461" s="60"/>
      <c r="OGC2461" s="63"/>
      <c r="OGD2461" s="61"/>
      <c r="OGE2461" s="54"/>
      <c r="OGF2461" s="54"/>
      <c r="OGG2461" s="63"/>
      <c r="OGH2461" s="60"/>
      <c r="OGI2461" s="60"/>
      <c r="OGJ2461" s="60"/>
      <c r="OGK2461" s="63"/>
      <c r="OGL2461" s="61"/>
      <c r="OGM2461" s="54"/>
      <c r="OGN2461" s="54"/>
      <c r="OGO2461" s="63"/>
      <c r="OGP2461" s="60"/>
      <c r="OGQ2461" s="60"/>
      <c r="OGR2461" s="60"/>
      <c r="OGS2461" s="63"/>
      <c r="OGT2461" s="61"/>
      <c r="OGU2461" s="54"/>
      <c r="OGV2461" s="54"/>
      <c r="OGW2461" s="63"/>
      <c r="OGX2461" s="60"/>
      <c r="OGY2461" s="60"/>
      <c r="OGZ2461" s="60"/>
      <c r="OHA2461" s="63"/>
      <c r="OHB2461" s="61"/>
      <c r="OHC2461" s="54"/>
      <c r="OHD2461" s="54"/>
      <c r="OHE2461" s="63"/>
      <c r="OHF2461" s="60"/>
      <c r="OHG2461" s="60"/>
      <c r="OHH2461" s="60"/>
      <c r="OHI2461" s="63"/>
      <c r="OHJ2461" s="61"/>
      <c r="OHK2461" s="54"/>
      <c r="OHL2461" s="54"/>
      <c r="OHM2461" s="63"/>
      <c r="OHN2461" s="60"/>
      <c r="OHO2461" s="60"/>
      <c r="OHP2461" s="60"/>
      <c r="OHQ2461" s="63"/>
      <c r="OHR2461" s="61"/>
      <c r="OHS2461" s="54"/>
      <c r="OHT2461" s="54"/>
      <c r="OHU2461" s="63"/>
      <c r="OHV2461" s="60"/>
      <c r="OHW2461" s="60"/>
      <c r="OHX2461" s="60"/>
      <c r="OHY2461" s="63"/>
      <c r="OHZ2461" s="61"/>
      <c r="OIA2461" s="54"/>
      <c r="OIB2461" s="54"/>
      <c r="OIC2461" s="63"/>
      <c r="OID2461" s="60"/>
      <c r="OIE2461" s="60"/>
      <c r="OIF2461" s="60"/>
      <c r="OIG2461" s="63"/>
      <c r="OIH2461" s="61"/>
      <c r="OII2461" s="54"/>
      <c r="OIJ2461" s="54"/>
      <c r="OIK2461" s="63"/>
      <c r="OIL2461" s="60"/>
      <c r="OIM2461" s="60"/>
      <c r="OIN2461" s="60"/>
      <c r="OIO2461" s="63"/>
      <c r="OIP2461" s="61"/>
      <c r="OIQ2461" s="54"/>
      <c r="OIR2461" s="54"/>
      <c r="OIS2461" s="63"/>
      <c r="OIT2461" s="60"/>
      <c r="OIU2461" s="60"/>
      <c r="OIV2461" s="60"/>
      <c r="OIW2461" s="63"/>
      <c r="OIX2461" s="61"/>
      <c r="OIY2461" s="54"/>
      <c r="OIZ2461" s="54"/>
      <c r="OJA2461" s="63"/>
      <c r="OJB2461" s="60"/>
      <c r="OJC2461" s="60"/>
      <c r="OJD2461" s="60"/>
      <c r="OJE2461" s="63"/>
      <c r="OJF2461" s="61"/>
      <c r="OJG2461" s="54"/>
      <c r="OJH2461" s="54"/>
      <c r="OJI2461" s="63"/>
      <c r="OJJ2461" s="60"/>
      <c r="OJK2461" s="60"/>
      <c r="OJL2461" s="60"/>
      <c r="OJM2461" s="63"/>
      <c r="OJN2461" s="61"/>
      <c r="OJO2461" s="54"/>
      <c r="OJP2461" s="54"/>
      <c r="OJQ2461" s="63"/>
      <c r="OJR2461" s="60"/>
      <c r="OJS2461" s="60"/>
      <c r="OJT2461" s="60"/>
      <c r="OJU2461" s="63"/>
      <c r="OJV2461" s="61"/>
      <c r="OJW2461" s="54"/>
      <c r="OJX2461" s="54"/>
      <c r="OJY2461" s="63"/>
      <c r="OJZ2461" s="60"/>
      <c r="OKA2461" s="60"/>
      <c r="OKB2461" s="60"/>
      <c r="OKC2461" s="63"/>
      <c r="OKD2461" s="61"/>
      <c r="OKE2461" s="54"/>
      <c r="OKF2461" s="54"/>
      <c r="OKG2461" s="63"/>
      <c r="OKH2461" s="60"/>
      <c r="OKI2461" s="60"/>
      <c r="OKJ2461" s="60"/>
      <c r="OKK2461" s="63"/>
      <c r="OKL2461" s="61"/>
      <c r="OKM2461" s="54"/>
      <c r="OKN2461" s="54"/>
      <c r="OKO2461" s="63"/>
      <c r="OKP2461" s="60"/>
      <c r="OKQ2461" s="60"/>
      <c r="OKR2461" s="60"/>
      <c r="OKS2461" s="63"/>
      <c r="OKT2461" s="61"/>
      <c r="OKU2461" s="54"/>
      <c r="OKV2461" s="54"/>
      <c r="OKW2461" s="63"/>
      <c r="OKX2461" s="60"/>
      <c r="OKY2461" s="60"/>
      <c r="OKZ2461" s="60"/>
      <c r="OLA2461" s="63"/>
      <c r="OLB2461" s="61"/>
      <c r="OLC2461" s="54"/>
      <c r="OLD2461" s="54"/>
      <c r="OLE2461" s="63"/>
      <c r="OLF2461" s="60"/>
      <c r="OLG2461" s="60"/>
      <c r="OLH2461" s="60"/>
      <c r="OLI2461" s="63"/>
      <c r="OLJ2461" s="61"/>
      <c r="OLK2461" s="54"/>
      <c r="OLL2461" s="54"/>
      <c r="OLM2461" s="63"/>
      <c r="OLN2461" s="60"/>
      <c r="OLO2461" s="60"/>
      <c r="OLP2461" s="60"/>
      <c r="OLQ2461" s="63"/>
      <c r="OLR2461" s="61"/>
      <c r="OLS2461" s="54"/>
      <c r="OLT2461" s="54"/>
      <c r="OLU2461" s="63"/>
      <c r="OLV2461" s="60"/>
      <c r="OLW2461" s="60"/>
      <c r="OLX2461" s="60"/>
      <c r="OLY2461" s="63"/>
      <c r="OLZ2461" s="61"/>
      <c r="OMA2461" s="54"/>
      <c r="OMB2461" s="54"/>
      <c r="OMC2461" s="63"/>
      <c r="OMD2461" s="60"/>
      <c r="OME2461" s="60"/>
      <c r="OMF2461" s="60"/>
      <c r="OMG2461" s="63"/>
      <c r="OMH2461" s="61"/>
      <c r="OMI2461" s="54"/>
      <c r="OMJ2461" s="54"/>
      <c r="OMK2461" s="63"/>
      <c r="OML2461" s="60"/>
      <c r="OMM2461" s="60"/>
      <c r="OMN2461" s="60"/>
      <c r="OMO2461" s="63"/>
      <c r="OMP2461" s="61"/>
      <c r="OMQ2461" s="54"/>
      <c r="OMR2461" s="54"/>
      <c r="OMS2461" s="63"/>
      <c r="OMT2461" s="60"/>
      <c r="OMU2461" s="60"/>
      <c r="OMV2461" s="60"/>
      <c r="OMW2461" s="63"/>
      <c r="OMX2461" s="61"/>
      <c r="OMY2461" s="54"/>
      <c r="OMZ2461" s="54"/>
      <c r="ONA2461" s="63"/>
      <c r="ONB2461" s="60"/>
      <c r="ONC2461" s="60"/>
      <c r="OND2461" s="60"/>
      <c r="ONE2461" s="63"/>
      <c r="ONF2461" s="61"/>
      <c r="ONG2461" s="54"/>
      <c r="ONH2461" s="54"/>
      <c r="ONI2461" s="63"/>
      <c r="ONJ2461" s="60"/>
      <c r="ONK2461" s="60"/>
      <c r="ONL2461" s="60"/>
      <c r="ONM2461" s="63"/>
      <c r="ONN2461" s="61"/>
      <c r="ONO2461" s="54"/>
      <c r="ONP2461" s="54"/>
      <c r="ONQ2461" s="63"/>
      <c r="ONR2461" s="60"/>
      <c r="ONS2461" s="60"/>
      <c r="ONT2461" s="60"/>
      <c r="ONU2461" s="63"/>
      <c r="ONV2461" s="61"/>
      <c r="ONW2461" s="54"/>
      <c r="ONX2461" s="54"/>
      <c r="ONY2461" s="63"/>
      <c r="ONZ2461" s="60"/>
      <c r="OOA2461" s="60"/>
      <c r="OOB2461" s="60"/>
      <c r="OOC2461" s="63"/>
      <c r="OOD2461" s="61"/>
      <c r="OOE2461" s="54"/>
      <c r="OOF2461" s="54"/>
      <c r="OOG2461" s="63"/>
      <c r="OOH2461" s="60"/>
      <c r="OOI2461" s="60"/>
      <c r="OOJ2461" s="60"/>
      <c r="OOK2461" s="63"/>
      <c r="OOL2461" s="61"/>
      <c r="OOM2461" s="54"/>
      <c r="OON2461" s="54"/>
      <c r="OOO2461" s="63"/>
      <c r="OOP2461" s="60"/>
      <c r="OOQ2461" s="60"/>
      <c r="OOR2461" s="60"/>
      <c r="OOS2461" s="63"/>
      <c r="OOT2461" s="61"/>
      <c r="OOU2461" s="54"/>
      <c r="OOV2461" s="54"/>
      <c r="OOW2461" s="63"/>
      <c r="OOX2461" s="60"/>
      <c r="OOY2461" s="60"/>
      <c r="OOZ2461" s="60"/>
      <c r="OPA2461" s="63"/>
      <c r="OPB2461" s="61"/>
      <c r="OPC2461" s="54"/>
      <c r="OPD2461" s="54"/>
      <c r="OPE2461" s="63"/>
      <c r="OPF2461" s="60"/>
      <c r="OPG2461" s="60"/>
      <c r="OPH2461" s="60"/>
      <c r="OPI2461" s="63"/>
      <c r="OPJ2461" s="61"/>
      <c r="OPK2461" s="54"/>
      <c r="OPL2461" s="54"/>
      <c r="OPM2461" s="63"/>
      <c r="OPN2461" s="60"/>
      <c r="OPO2461" s="60"/>
      <c r="OPP2461" s="60"/>
      <c r="OPQ2461" s="63"/>
      <c r="OPR2461" s="61"/>
      <c r="OPS2461" s="54"/>
      <c r="OPT2461" s="54"/>
      <c r="OPU2461" s="63"/>
      <c r="OPV2461" s="60"/>
      <c r="OPW2461" s="60"/>
      <c r="OPX2461" s="60"/>
      <c r="OPY2461" s="63"/>
      <c r="OPZ2461" s="61"/>
      <c r="OQA2461" s="54"/>
      <c r="OQB2461" s="54"/>
      <c r="OQC2461" s="63"/>
      <c r="OQD2461" s="60"/>
      <c r="OQE2461" s="60"/>
      <c r="OQF2461" s="60"/>
      <c r="OQG2461" s="63"/>
      <c r="OQH2461" s="61"/>
      <c r="OQI2461" s="54"/>
      <c r="OQJ2461" s="54"/>
      <c r="OQK2461" s="63"/>
      <c r="OQL2461" s="60"/>
      <c r="OQM2461" s="60"/>
      <c r="OQN2461" s="60"/>
      <c r="OQO2461" s="63"/>
      <c r="OQP2461" s="61"/>
      <c r="OQQ2461" s="54"/>
      <c r="OQR2461" s="54"/>
      <c r="OQS2461" s="63"/>
      <c r="OQT2461" s="60"/>
      <c r="OQU2461" s="60"/>
      <c r="OQV2461" s="60"/>
      <c r="OQW2461" s="63"/>
      <c r="OQX2461" s="61"/>
      <c r="OQY2461" s="54"/>
      <c r="OQZ2461" s="54"/>
      <c r="ORA2461" s="63"/>
      <c r="ORB2461" s="60"/>
      <c r="ORC2461" s="60"/>
      <c r="ORD2461" s="60"/>
      <c r="ORE2461" s="63"/>
      <c r="ORF2461" s="61"/>
      <c r="ORG2461" s="54"/>
      <c r="ORH2461" s="54"/>
      <c r="ORI2461" s="63"/>
      <c r="ORJ2461" s="60"/>
      <c r="ORK2461" s="60"/>
      <c r="ORL2461" s="60"/>
      <c r="ORM2461" s="63"/>
      <c r="ORN2461" s="61"/>
      <c r="ORO2461" s="54"/>
      <c r="ORP2461" s="54"/>
      <c r="ORQ2461" s="63"/>
      <c r="ORR2461" s="60"/>
      <c r="ORS2461" s="60"/>
      <c r="ORT2461" s="60"/>
      <c r="ORU2461" s="63"/>
      <c r="ORV2461" s="61"/>
      <c r="ORW2461" s="54"/>
      <c r="ORX2461" s="54"/>
      <c r="ORY2461" s="63"/>
      <c r="ORZ2461" s="60"/>
      <c r="OSA2461" s="60"/>
      <c r="OSB2461" s="60"/>
      <c r="OSC2461" s="63"/>
      <c r="OSD2461" s="61"/>
      <c r="OSE2461" s="54"/>
      <c r="OSF2461" s="54"/>
      <c r="OSG2461" s="63"/>
      <c r="OSH2461" s="60"/>
      <c r="OSI2461" s="60"/>
      <c r="OSJ2461" s="60"/>
      <c r="OSK2461" s="63"/>
      <c r="OSL2461" s="61"/>
      <c r="OSM2461" s="54"/>
      <c r="OSN2461" s="54"/>
      <c r="OSO2461" s="63"/>
      <c r="OSP2461" s="60"/>
      <c r="OSQ2461" s="60"/>
      <c r="OSR2461" s="60"/>
      <c r="OSS2461" s="63"/>
      <c r="OST2461" s="61"/>
      <c r="OSU2461" s="54"/>
      <c r="OSV2461" s="54"/>
      <c r="OSW2461" s="63"/>
      <c r="OSX2461" s="60"/>
      <c r="OSY2461" s="60"/>
      <c r="OSZ2461" s="60"/>
      <c r="OTA2461" s="63"/>
      <c r="OTB2461" s="61"/>
      <c r="OTC2461" s="54"/>
      <c r="OTD2461" s="54"/>
      <c r="OTE2461" s="63"/>
      <c r="OTF2461" s="60"/>
      <c r="OTG2461" s="60"/>
      <c r="OTH2461" s="60"/>
      <c r="OTI2461" s="63"/>
      <c r="OTJ2461" s="61"/>
      <c r="OTK2461" s="54"/>
      <c r="OTL2461" s="54"/>
      <c r="OTM2461" s="63"/>
      <c r="OTN2461" s="60"/>
      <c r="OTO2461" s="60"/>
      <c r="OTP2461" s="60"/>
      <c r="OTQ2461" s="63"/>
      <c r="OTR2461" s="61"/>
      <c r="OTS2461" s="54"/>
      <c r="OTT2461" s="54"/>
      <c r="OTU2461" s="63"/>
      <c r="OTV2461" s="60"/>
      <c r="OTW2461" s="60"/>
      <c r="OTX2461" s="60"/>
      <c r="OTY2461" s="63"/>
      <c r="OTZ2461" s="61"/>
      <c r="OUA2461" s="54"/>
      <c r="OUB2461" s="54"/>
      <c r="OUC2461" s="63"/>
      <c r="OUD2461" s="60"/>
      <c r="OUE2461" s="60"/>
      <c r="OUF2461" s="60"/>
      <c r="OUG2461" s="63"/>
      <c r="OUH2461" s="61"/>
      <c r="OUI2461" s="54"/>
      <c r="OUJ2461" s="54"/>
      <c r="OUK2461" s="63"/>
      <c r="OUL2461" s="60"/>
      <c r="OUM2461" s="60"/>
      <c r="OUN2461" s="60"/>
      <c r="OUO2461" s="63"/>
      <c r="OUP2461" s="61"/>
      <c r="OUQ2461" s="54"/>
      <c r="OUR2461" s="54"/>
      <c r="OUS2461" s="63"/>
      <c r="OUT2461" s="60"/>
      <c r="OUU2461" s="60"/>
      <c r="OUV2461" s="60"/>
      <c r="OUW2461" s="63"/>
      <c r="OUX2461" s="61"/>
      <c r="OUY2461" s="54"/>
      <c r="OUZ2461" s="54"/>
      <c r="OVA2461" s="63"/>
      <c r="OVB2461" s="60"/>
      <c r="OVC2461" s="60"/>
      <c r="OVD2461" s="60"/>
      <c r="OVE2461" s="63"/>
      <c r="OVF2461" s="61"/>
      <c r="OVG2461" s="54"/>
      <c r="OVH2461" s="54"/>
      <c r="OVI2461" s="63"/>
      <c r="OVJ2461" s="60"/>
      <c r="OVK2461" s="60"/>
      <c r="OVL2461" s="60"/>
      <c r="OVM2461" s="63"/>
      <c r="OVN2461" s="61"/>
      <c r="OVO2461" s="54"/>
      <c r="OVP2461" s="54"/>
      <c r="OVQ2461" s="63"/>
      <c r="OVR2461" s="60"/>
      <c r="OVS2461" s="60"/>
      <c r="OVT2461" s="60"/>
      <c r="OVU2461" s="63"/>
      <c r="OVV2461" s="61"/>
      <c r="OVW2461" s="54"/>
      <c r="OVX2461" s="54"/>
      <c r="OVY2461" s="63"/>
      <c r="OVZ2461" s="60"/>
      <c r="OWA2461" s="60"/>
      <c r="OWB2461" s="60"/>
      <c r="OWC2461" s="63"/>
      <c r="OWD2461" s="61"/>
      <c r="OWE2461" s="54"/>
      <c r="OWF2461" s="54"/>
      <c r="OWG2461" s="63"/>
      <c r="OWH2461" s="60"/>
      <c r="OWI2461" s="60"/>
      <c r="OWJ2461" s="60"/>
      <c r="OWK2461" s="63"/>
      <c r="OWL2461" s="61"/>
      <c r="OWM2461" s="54"/>
      <c r="OWN2461" s="54"/>
      <c r="OWO2461" s="63"/>
      <c r="OWP2461" s="60"/>
      <c r="OWQ2461" s="60"/>
      <c r="OWR2461" s="60"/>
      <c r="OWS2461" s="63"/>
      <c r="OWT2461" s="61"/>
      <c r="OWU2461" s="54"/>
      <c r="OWV2461" s="54"/>
      <c r="OWW2461" s="63"/>
      <c r="OWX2461" s="60"/>
      <c r="OWY2461" s="60"/>
      <c r="OWZ2461" s="60"/>
      <c r="OXA2461" s="63"/>
      <c r="OXB2461" s="61"/>
      <c r="OXC2461" s="54"/>
      <c r="OXD2461" s="54"/>
      <c r="OXE2461" s="63"/>
      <c r="OXF2461" s="60"/>
      <c r="OXG2461" s="60"/>
      <c r="OXH2461" s="60"/>
      <c r="OXI2461" s="63"/>
      <c r="OXJ2461" s="61"/>
      <c r="OXK2461" s="54"/>
      <c r="OXL2461" s="54"/>
      <c r="OXM2461" s="63"/>
      <c r="OXN2461" s="60"/>
      <c r="OXO2461" s="60"/>
      <c r="OXP2461" s="60"/>
      <c r="OXQ2461" s="63"/>
      <c r="OXR2461" s="61"/>
      <c r="OXS2461" s="54"/>
      <c r="OXT2461" s="54"/>
      <c r="OXU2461" s="63"/>
      <c r="OXV2461" s="60"/>
      <c r="OXW2461" s="60"/>
      <c r="OXX2461" s="60"/>
      <c r="OXY2461" s="63"/>
      <c r="OXZ2461" s="61"/>
      <c r="OYA2461" s="54"/>
      <c r="OYB2461" s="54"/>
      <c r="OYC2461" s="63"/>
      <c r="OYD2461" s="60"/>
      <c r="OYE2461" s="60"/>
      <c r="OYF2461" s="60"/>
      <c r="OYG2461" s="63"/>
      <c r="OYH2461" s="61"/>
      <c r="OYI2461" s="54"/>
      <c r="OYJ2461" s="54"/>
      <c r="OYK2461" s="63"/>
      <c r="OYL2461" s="60"/>
      <c r="OYM2461" s="60"/>
      <c r="OYN2461" s="60"/>
      <c r="OYO2461" s="63"/>
      <c r="OYP2461" s="61"/>
      <c r="OYQ2461" s="54"/>
      <c r="OYR2461" s="54"/>
      <c r="OYS2461" s="63"/>
      <c r="OYT2461" s="60"/>
      <c r="OYU2461" s="60"/>
      <c r="OYV2461" s="60"/>
      <c r="OYW2461" s="63"/>
      <c r="OYX2461" s="61"/>
      <c r="OYY2461" s="54"/>
      <c r="OYZ2461" s="54"/>
      <c r="OZA2461" s="63"/>
      <c r="OZB2461" s="60"/>
      <c r="OZC2461" s="60"/>
      <c r="OZD2461" s="60"/>
      <c r="OZE2461" s="63"/>
      <c r="OZF2461" s="61"/>
      <c r="OZG2461" s="54"/>
      <c r="OZH2461" s="54"/>
      <c r="OZI2461" s="63"/>
      <c r="OZJ2461" s="60"/>
      <c r="OZK2461" s="60"/>
      <c r="OZL2461" s="60"/>
      <c r="OZM2461" s="63"/>
      <c r="OZN2461" s="61"/>
      <c r="OZO2461" s="54"/>
      <c r="OZP2461" s="54"/>
      <c r="OZQ2461" s="63"/>
      <c r="OZR2461" s="60"/>
      <c r="OZS2461" s="60"/>
      <c r="OZT2461" s="60"/>
      <c r="OZU2461" s="63"/>
      <c r="OZV2461" s="61"/>
      <c r="OZW2461" s="54"/>
      <c r="OZX2461" s="54"/>
      <c r="OZY2461" s="63"/>
      <c r="OZZ2461" s="60"/>
      <c r="PAA2461" s="60"/>
      <c r="PAB2461" s="60"/>
      <c r="PAC2461" s="63"/>
      <c r="PAD2461" s="61"/>
      <c r="PAE2461" s="54"/>
      <c r="PAF2461" s="54"/>
      <c r="PAG2461" s="63"/>
      <c r="PAH2461" s="60"/>
      <c r="PAI2461" s="60"/>
      <c r="PAJ2461" s="60"/>
      <c r="PAK2461" s="63"/>
      <c r="PAL2461" s="61"/>
      <c r="PAM2461" s="54"/>
      <c r="PAN2461" s="54"/>
      <c r="PAO2461" s="63"/>
      <c r="PAP2461" s="60"/>
      <c r="PAQ2461" s="60"/>
      <c r="PAR2461" s="60"/>
      <c r="PAS2461" s="63"/>
      <c r="PAT2461" s="61"/>
      <c r="PAU2461" s="54"/>
      <c r="PAV2461" s="54"/>
      <c r="PAW2461" s="63"/>
      <c r="PAX2461" s="60"/>
      <c r="PAY2461" s="60"/>
      <c r="PAZ2461" s="60"/>
      <c r="PBA2461" s="63"/>
      <c r="PBB2461" s="61"/>
      <c r="PBC2461" s="54"/>
      <c r="PBD2461" s="54"/>
      <c r="PBE2461" s="63"/>
      <c r="PBF2461" s="60"/>
      <c r="PBG2461" s="60"/>
      <c r="PBH2461" s="60"/>
      <c r="PBI2461" s="63"/>
      <c r="PBJ2461" s="61"/>
      <c r="PBK2461" s="54"/>
      <c r="PBL2461" s="54"/>
      <c r="PBM2461" s="63"/>
      <c r="PBN2461" s="60"/>
      <c r="PBO2461" s="60"/>
      <c r="PBP2461" s="60"/>
      <c r="PBQ2461" s="63"/>
      <c r="PBR2461" s="61"/>
      <c r="PBS2461" s="54"/>
      <c r="PBT2461" s="54"/>
      <c r="PBU2461" s="63"/>
      <c r="PBV2461" s="60"/>
      <c r="PBW2461" s="60"/>
      <c r="PBX2461" s="60"/>
      <c r="PBY2461" s="63"/>
      <c r="PBZ2461" s="61"/>
      <c r="PCA2461" s="54"/>
      <c r="PCB2461" s="54"/>
      <c r="PCC2461" s="63"/>
      <c r="PCD2461" s="60"/>
      <c r="PCE2461" s="60"/>
      <c r="PCF2461" s="60"/>
      <c r="PCG2461" s="63"/>
      <c r="PCH2461" s="61"/>
      <c r="PCI2461" s="54"/>
      <c r="PCJ2461" s="54"/>
      <c r="PCK2461" s="63"/>
      <c r="PCL2461" s="60"/>
      <c r="PCM2461" s="60"/>
      <c r="PCN2461" s="60"/>
      <c r="PCO2461" s="63"/>
      <c r="PCP2461" s="61"/>
      <c r="PCQ2461" s="54"/>
      <c r="PCR2461" s="54"/>
      <c r="PCS2461" s="63"/>
      <c r="PCT2461" s="60"/>
      <c r="PCU2461" s="60"/>
      <c r="PCV2461" s="60"/>
      <c r="PCW2461" s="63"/>
      <c r="PCX2461" s="61"/>
      <c r="PCY2461" s="54"/>
      <c r="PCZ2461" s="54"/>
      <c r="PDA2461" s="63"/>
      <c r="PDB2461" s="60"/>
      <c r="PDC2461" s="60"/>
      <c r="PDD2461" s="60"/>
      <c r="PDE2461" s="63"/>
      <c r="PDF2461" s="61"/>
      <c r="PDG2461" s="54"/>
      <c r="PDH2461" s="54"/>
      <c r="PDI2461" s="63"/>
      <c r="PDJ2461" s="60"/>
      <c r="PDK2461" s="60"/>
      <c r="PDL2461" s="60"/>
      <c r="PDM2461" s="63"/>
      <c r="PDN2461" s="61"/>
      <c r="PDO2461" s="54"/>
      <c r="PDP2461" s="54"/>
      <c r="PDQ2461" s="63"/>
      <c r="PDR2461" s="60"/>
      <c r="PDS2461" s="60"/>
      <c r="PDT2461" s="60"/>
      <c r="PDU2461" s="63"/>
      <c r="PDV2461" s="61"/>
      <c r="PDW2461" s="54"/>
      <c r="PDX2461" s="54"/>
      <c r="PDY2461" s="63"/>
      <c r="PDZ2461" s="60"/>
      <c r="PEA2461" s="60"/>
      <c r="PEB2461" s="60"/>
      <c r="PEC2461" s="63"/>
      <c r="PED2461" s="61"/>
      <c r="PEE2461" s="54"/>
      <c r="PEF2461" s="54"/>
      <c r="PEG2461" s="63"/>
      <c r="PEH2461" s="60"/>
      <c r="PEI2461" s="60"/>
      <c r="PEJ2461" s="60"/>
      <c r="PEK2461" s="63"/>
      <c r="PEL2461" s="61"/>
      <c r="PEM2461" s="54"/>
      <c r="PEN2461" s="54"/>
      <c r="PEO2461" s="63"/>
      <c r="PEP2461" s="60"/>
      <c r="PEQ2461" s="60"/>
      <c r="PER2461" s="60"/>
      <c r="PES2461" s="63"/>
      <c r="PET2461" s="61"/>
      <c r="PEU2461" s="54"/>
      <c r="PEV2461" s="54"/>
      <c r="PEW2461" s="63"/>
      <c r="PEX2461" s="60"/>
      <c r="PEY2461" s="60"/>
      <c r="PEZ2461" s="60"/>
      <c r="PFA2461" s="63"/>
      <c r="PFB2461" s="61"/>
      <c r="PFC2461" s="54"/>
      <c r="PFD2461" s="54"/>
      <c r="PFE2461" s="63"/>
      <c r="PFF2461" s="60"/>
      <c r="PFG2461" s="60"/>
      <c r="PFH2461" s="60"/>
      <c r="PFI2461" s="63"/>
      <c r="PFJ2461" s="61"/>
      <c r="PFK2461" s="54"/>
      <c r="PFL2461" s="54"/>
      <c r="PFM2461" s="63"/>
      <c r="PFN2461" s="60"/>
      <c r="PFO2461" s="60"/>
      <c r="PFP2461" s="60"/>
      <c r="PFQ2461" s="63"/>
      <c r="PFR2461" s="61"/>
      <c r="PFS2461" s="54"/>
      <c r="PFT2461" s="54"/>
      <c r="PFU2461" s="63"/>
      <c r="PFV2461" s="60"/>
      <c r="PFW2461" s="60"/>
      <c r="PFX2461" s="60"/>
      <c r="PFY2461" s="63"/>
      <c r="PFZ2461" s="61"/>
      <c r="PGA2461" s="54"/>
      <c r="PGB2461" s="54"/>
      <c r="PGC2461" s="63"/>
      <c r="PGD2461" s="60"/>
      <c r="PGE2461" s="60"/>
      <c r="PGF2461" s="60"/>
      <c r="PGG2461" s="63"/>
      <c r="PGH2461" s="61"/>
      <c r="PGI2461" s="54"/>
      <c r="PGJ2461" s="54"/>
      <c r="PGK2461" s="63"/>
      <c r="PGL2461" s="60"/>
      <c r="PGM2461" s="60"/>
      <c r="PGN2461" s="60"/>
      <c r="PGO2461" s="63"/>
      <c r="PGP2461" s="61"/>
      <c r="PGQ2461" s="54"/>
      <c r="PGR2461" s="54"/>
      <c r="PGS2461" s="63"/>
      <c r="PGT2461" s="60"/>
      <c r="PGU2461" s="60"/>
      <c r="PGV2461" s="60"/>
      <c r="PGW2461" s="63"/>
      <c r="PGX2461" s="61"/>
      <c r="PGY2461" s="54"/>
      <c r="PGZ2461" s="54"/>
      <c r="PHA2461" s="63"/>
      <c r="PHB2461" s="60"/>
      <c r="PHC2461" s="60"/>
      <c r="PHD2461" s="60"/>
      <c r="PHE2461" s="63"/>
      <c r="PHF2461" s="61"/>
      <c r="PHG2461" s="54"/>
      <c r="PHH2461" s="54"/>
      <c r="PHI2461" s="63"/>
      <c r="PHJ2461" s="60"/>
      <c r="PHK2461" s="60"/>
      <c r="PHL2461" s="60"/>
      <c r="PHM2461" s="63"/>
      <c r="PHN2461" s="61"/>
      <c r="PHO2461" s="54"/>
      <c r="PHP2461" s="54"/>
      <c r="PHQ2461" s="63"/>
      <c r="PHR2461" s="60"/>
      <c r="PHS2461" s="60"/>
      <c r="PHT2461" s="60"/>
      <c r="PHU2461" s="63"/>
      <c r="PHV2461" s="61"/>
      <c r="PHW2461" s="54"/>
      <c r="PHX2461" s="54"/>
      <c r="PHY2461" s="63"/>
      <c r="PHZ2461" s="60"/>
      <c r="PIA2461" s="60"/>
      <c r="PIB2461" s="60"/>
      <c r="PIC2461" s="63"/>
      <c r="PID2461" s="61"/>
      <c r="PIE2461" s="54"/>
      <c r="PIF2461" s="54"/>
      <c r="PIG2461" s="63"/>
      <c r="PIH2461" s="60"/>
      <c r="PII2461" s="60"/>
      <c r="PIJ2461" s="60"/>
      <c r="PIK2461" s="63"/>
      <c r="PIL2461" s="61"/>
      <c r="PIM2461" s="54"/>
      <c r="PIN2461" s="54"/>
      <c r="PIO2461" s="63"/>
      <c r="PIP2461" s="60"/>
      <c r="PIQ2461" s="60"/>
      <c r="PIR2461" s="60"/>
      <c r="PIS2461" s="63"/>
      <c r="PIT2461" s="61"/>
      <c r="PIU2461" s="54"/>
      <c r="PIV2461" s="54"/>
      <c r="PIW2461" s="63"/>
      <c r="PIX2461" s="60"/>
      <c r="PIY2461" s="60"/>
      <c r="PIZ2461" s="60"/>
      <c r="PJA2461" s="63"/>
      <c r="PJB2461" s="61"/>
      <c r="PJC2461" s="54"/>
      <c r="PJD2461" s="54"/>
      <c r="PJE2461" s="63"/>
      <c r="PJF2461" s="60"/>
      <c r="PJG2461" s="60"/>
      <c r="PJH2461" s="60"/>
      <c r="PJI2461" s="63"/>
      <c r="PJJ2461" s="61"/>
      <c r="PJK2461" s="54"/>
      <c r="PJL2461" s="54"/>
      <c r="PJM2461" s="63"/>
      <c r="PJN2461" s="60"/>
      <c r="PJO2461" s="60"/>
      <c r="PJP2461" s="60"/>
      <c r="PJQ2461" s="63"/>
      <c r="PJR2461" s="61"/>
      <c r="PJS2461" s="54"/>
      <c r="PJT2461" s="54"/>
      <c r="PJU2461" s="63"/>
      <c r="PJV2461" s="60"/>
      <c r="PJW2461" s="60"/>
      <c r="PJX2461" s="60"/>
      <c r="PJY2461" s="63"/>
      <c r="PJZ2461" s="61"/>
      <c r="PKA2461" s="54"/>
      <c r="PKB2461" s="54"/>
      <c r="PKC2461" s="63"/>
      <c r="PKD2461" s="60"/>
      <c r="PKE2461" s="60"/>
      <c r="PKF2461" s="60"/>
      <c r="PKG2461" s="63"/>
      <c r="PKH2461" s="61"/>
      <c r="PKI2461" s="54"/>
      <c r="PKJ2461" s="54"/>
      <c r="PKK2461" s="63"/>
      <c r="PKL2461" s="60"/>
      <c r="PKM2461" s="60"/>
      <c r="PKN2461" s="60"/>
      <c r="PKO2461" s="63"/>
      <c r="PKP2461" s="61"/>
      <c r="PKQ2461" s="54"/>
      <c r="PKR2461" s="54"/>
      <c r="PKS2461" s="63"/>
      <c r="PKT2461" s="60"/>
      <c r="PKU2461" s="60"/>
      <c r="PKV2461" s="60"/>
      <c r="PKW2461" s="63"/>
      <c r="PKX2461" s="61"/>
      <c r="PKY2461" s="54"/>
      <c r="PKZ2461" s="54"/>
      <c r="PLA2461" s="63"/>
      <c r="PLB2461" s="60"/>
      <c r="PLC2461" s="60"/>
      <c r="PLD2461" s="60"/>
      <c r="PLE2461" s="63"/>
      <c r="PLF2461" s="61"/>
      <c r="PLG2461" s="54"/>
      <c r="PLH2461" s="54"/>
      <c r="PLI2461" s="63"/>
      <c r="PLJ2461" s="60"/>
      <c r="PLK2461" s="60"/>
      <c r="PLL2461" s="60"/>
      <c r="PLM2461" s="63"/>
      <c r="PLN2461" s="61"/>
      <c r="PLO2461" s="54"/>
      <c r="PLP2461" s="54"/>
      <c r="PLQ2461" s="63"/>
      <c r="PLR2461" s="60"/>
      <c r="PLS2461" s="60"/>
      <c r="PLT2461" s="60"/>
      <c r="PLU2461" s="63"/>
      <c r="PLV2461" s="61"/>
      <c r="PLW2461" s="54"/>
      <c r="PLX2461" s="54"/>
      <c r="PLY2461" s="63"/>
      <c r="PLZ2461" s="60"/>
      <c r="PMA2461" s="60"/>
      <c r="PMB2461" s="60"/>
      <c r="PMC2461" s="63"/>
      <c r="PMD2461" s="61"/>
      <c r="PME2461" s="54"/>
      <c r="PMF2461" s="54"/>
      <c r="PMG2461" s="63"/>
      <c r="PMH2461" s="60"/>
      <c r="PMI2461" s="60"/>
      <c r="PMJ2461" s="60"/>
      <c r="PMK2461" s="63"/>
      <c r="PML2461" s="61"/>
      <c r="PMM2461" s="54"/>
      <c r="PMN2461" s="54"/>
      <c r="PMO2461" s="63"/>
      <c r="PMP2461" s="60"/>
      <c r="PMQ2461" s="60"/>
      <c r="PMR2461" s="60"/>
      <c r="PMS2461" s="63"/>
      <c r="PMT2461" s="61"/>
      <c r="PMU2461" s="54"/>
      <c r="PMV2461" s="54"/>
      <c r="PMW2461" s="63"/>
      <c r="PMX2461" s="60"/>
      <c r="PMY2461" s="60"/>
      <c r="PMZ2461" s="60"/>
      <c r="PNA2461" s="63"/>
      <c r="PNB2461" s="61"/>
      <c r="PNC2461" s="54"/>
      <c r="PND2461" s="54"/>
      <c r="PNE2461" s="63"/>
      <c r="PNF2461" s="60"/>
      <c r="PNG2461" s="60"/>
      <c r="PNH2461" s="60"/>
      <c r="PNI2461" s="63"/>
      <c r="PNJ2461" s="61"/>
      <c r="PNK2461" s="54"/>
      <c r="PNL2461" s="54"/>
      <c r="PNM2461" s="63"/>
      <c r="PNN2461" s="60"/>
      <c r="PNO2461" s="60"/>
      <c r="PNP2461" s="60"/>
      <c r="PNQ2461" s="63"/>
      <c r="PNR2461" s="61"/>
      <c r="PNS2461" s="54"/>
      <c r="PNT2461" s="54"/>
      <c r="PNU2461" s="63"/>
      <c r="PNV2461" s="60"/>
      <c r="PNW2461" s="60"/>
      <c r="PNX2461" s="60"/>
      <c r="PNY2461" s="63"/>
      <c r="PNZ2461" s="61"/>
      <c r="POA2461" s="54"/>
      <c r="POB2461" s="54"/>
      <c r="POC2461" s="63"/>
      <c r="POD2461" s="60"/>
      <c r="POE2461" s="60"/>
      <c r="POF2461" s="60"/>
      <c r="POG2461" s="63"/>
      <c r="POH2461" s="61"/>
      <c r="POI2461" s="54"/>
      <c r="POJ2461" s="54"/>
      <c r="POK2461" s="63"/>
      <c r="POL2461" s="60"/>
      <c r="POM2461" s="60"/>
      <c r="PON2461" s="60"/>
      <c r="POO2461" s="63"/>
      <c r="POP2461" s="61"/>
      <c r="POQ2461" s="54"/>
      <c r="POR2461" s="54"/>
      <c r="POS2461" s="63"/>
      <c r="POT2461" s="60"/>
      <c r="POU2461" s="60"/>
      <c r="POV2461" s="60"/>
      <c r="POW2461" s="63"/>
      <c r="POX2461" s="61"/>
      <c r="POY2461" s="54"/>
      <c r="POZ2461" s="54"/>
      <c r="PPA2461" s="63"/>
      <c r="PPB2461" s="60"/>
      <c r="PPC2461" s="60"/>
      <c r="PPD2461" s="60"/>
      <c r="PPE2461" s="63"/>
      <c r="PPF2461" s="61"/>
      <c r="PPG2461" s="54"/>
      <c r="PPH2461" s="54"/>
      <c r="PPI2461" s="63"/>
      <c r="PPJ2461" s="60"/>
      <c r="PPK2461" s="60"/>
      <c r="PPL2461" s="60"/>
      <c r="PPM2461" s="63"/>
      <c r="PPN2461" s="61"/>
      <c r="PPO2461" s="54"/>
      <c r="PPP2461" s="54"/>
      <c r="PPQ2461" s="63"/>
      <c r="PPR2461" s="60"/>
      <c r="PPS2461" s="60"/>
      <c r="PPT2461" s="60"/>
      <c r="PPU2461" s="63"/>
      <c r="PPV2461" s="61"/>
      <c r="PPW2461" s="54"/>
      <c r="PPX2461" s="54"/>
      <c r="PPY2461" s="63"/>
      <c r="PPZ2461" s="60"/>
      <c r="PQA2461" s="60"/>
      <c r="PQB2461" s="60"/>
      <c r="PQC2461" s="63"/>
      <c r="PQD2461" s="61"/>
      <c r="PQE2461" s="54"/>
      <c r="PQF2461" s="54"/>
      <c r="PQG2461" s="63"/>
      <c r="PQH2461" s="60"/>
      <c r="PQI2461" s="60"/>
      <c r="PQJ2461" s="60"/>
      <c r="PQK2461" s="63"/>
      <c r="PQL2461" s="61"/>
      <c r="PQM2461" s="54"/>
      <c r="PQN2461" s="54"/>
      <c r="PQO2461" s="63"/>
      <c r="PQP2461" s="60"/>
      <c r="PQQ2461" s="60"/>
      <c r="PQR2461" s="60"/>
      <c r="PQS2461" s="63"/>
      <c r="PQT2461" s="61"/>
      <c r="PQU2461" s="54"/>
      <c r="PQV2461" s="54"/>
      <c r="PQW2461" s="63"/>
      <c r="PQX2461" s="60"/>
      <c r="PQY2461" s="60"/>
      <c r="PQZ2461" s="60"/>
      <c r="PRA2461" s="63"/>
      <c r="PRB2461" s="61"/>
      <c r="PRC2461" s="54"/>
      <c r="PRD2461" s="54"/>
      <c r="PRE2461" s="63"/>
      <c r="PRF2461" s="60"/>
      <c r="PRG2461" s="60"/>
      <c r="PRH2461" s="60"/>
      <c r="PRI2461" s="63"/>
      <c r="PRJ2461" s="61"/>
      <c r="PRK2461" s="54"/>
      <c r="PRL2461" s="54"/>
      <c r="PRM2461" s="63"/>
      <c r="PRN2461" s="60"/>
      <c r="PRO2461" s="60"/>
      <c r="PRP2461" s="60"/>
      <c r="PRQ2461" s="63"/>
      <c r="PRR2461" s="61"/>
      <c r="PRS2461" s="54"/>
      <c r="PRT2461" s="54"/>
      <c r="PRU2461" s="63"/>
      <c r="PRV2461" s="60"/>
      <c r="PRW2461" s="60"/>
      <c r="PRX2461" s="60"/>
      <c r="PRY2461" s="63"/>
      <c r="PRZ2461" s="61"/>
      <c r="PSA2461" s="54"/>
      <c r="PSB2461" s="54"/>
      <c r="PSC2461" s="63"/>
      <c r="PSD2461" s="60"/>
      <c r="PSE2461" s="60"/>
      <c r="PSF2461" s="60"/>
      <c r="PSG2461" s="63"/>
      <c r="PSH2461" s="61"/>
      <c r="PSI2461" s="54"/>
      <c r="PSJ2461" s="54"/>
      <c r="PSK2461" s="63"/>
      <c r="PSL2461" s="60"/>
      <c r="PSM2461" s="60"/>
      <c r="PSN2461" s="60"/>
      <c r="PSO2461" s="63"/>
      <c r="PSP2461" s="61"/>
      <c r="PSQ2461" s="54"/>
      <c r="PSR2461" s="54"/>
      <c r="PSS2461" s="63"/>
      <c r="PST2461" s="60"/>
      <c r="PSU2461" s="60"/>
      <c r="PSV2461" s="60"/>
      <c r="PSW2461" s="63"/>
      <c r="PSX2461" s="61"/>
      <c r="PSY2461" s="54"/>
      <c r="PSZ2461" s="54"/>
      <c r="PTA2461" s="63"/>
      <c r="PTB2461" s="60"/>
      <c r="PTC2461" s="60"/>
      <c r="PTD2461" s="60"/>
      <c r="PTE2461" s="63"/>
      <c r="PTF2461" s="61"/>
      <c r="PTG2461" s="54"/>
      <c r="PTH2461" s="54"/>
      <c r="PTI2461" s="63"/>
      <c r="PTJ2461" s="60"/>
      <c r="PTK2461" s="60"/>
      <c r="PTL2461" s="60"/>
      <c r="PTM2461" s="63"/>
      <c r="PTN2461" s="61"/>
      <c r="PTO2461" s="54"/>
      <c r="PTP2461" s="54"/>
      <c r="PTQ2461" s="63"/>
      <c r="PTR2461" s="60"/>
      <c r="PTS2461" s="60"/>
      <c r="PTT2461" s="60"/>
      <c r="PTU2461" s="63"/>
      <c r="PTV2461" s="61"/>
      <c r="PTW2461" s="54"/>
      <c r="PTX2461" s="54"/>
      <c r="PTY2461" s="63"/>
      <c r="PTZ2461" s="60"/>
      <c r="PUA2461" s="60"/>
      <c r="PUB2461" s="60"/>
      <c r="PUC2461" s="63"/>
      <c r="PUD2461" s="61"/>
      <c r="PUE2461" s="54"/>
      <c r="PUF2461" s="54"/>
      <c r="PUG2461" s="63"/>
      <c r="PUH2461" s="60"/>
      <c r="PUI2461" s="60"/>
      <c r="PUJ2461" s="60"/>
      <c r="PUK2461" s="63"/>
      <c r="PUL2461" s="61"/>
      <c r="PUM2461" s="54"/>
      <c r="PUN2461" s="54"/>
      <c r="PUO2461" s="63"/>
      <c r="PUP2461" s="60"/>
      <c r="PUQ2461" s="60"/>
      <c r="PUR2461" s="60"/>
      <c r="PUS2461" s="63"/>
      <c r="PUT2461" s="61"/>
      <c r="PUU2461" s="54"/>
      <c r="PUV2461" s="54"/>
      <c r="PUW2461" s="63"/>
      <c r="PUX2461" s="60"/>
      <c r="PUY2461" s="60"/>
      <c r="PUZ2461" s="60"/>
      <c r="PVA2461" s="63"/>
      <c r="PVB2461" s="61"/>
      <c r="PVC2461" s="54"/>
      <c r="PVD2461" s="54"/>
      <c r="PVE2461" s="63"/>
      <c r="PVF2461" s="60"/>
      <c r="PVG2461" s="60"/>
      <c r="PVH2461" s="60"/>
      <c r="PVI2461" s="63"/>
      <c r="PVJ2461" s="61"/>
      <c r="PVK2461" s="54"/>
      <c r="PVL2461" s="54"/>
      <c r="PVM2461" s="63"/>
      <c r="PVN2461" s="60"/>
      <c r="PVO2461" s="60"/>
      <c r="PVP2461" s="60"/>
      <c r="PVQ2461" s="63"/>
      <c r="PVR2461" s="61"/>
      <c r="PVS2461" s="54"/>
      <c r="PVT2461" s="54"/>
      <c r="PVU2461" s="63"/>
      <c r="PVV2461" s="60"/>
      <c r="PVW2461" s="60"/>
      <c r="PVX2461" s="60"/>
      <c r="PVY2461" s="63"/>
      <c r="PVZ2461" s="61"/>
      <c r="PWA2461" s="54"/>
      <c r="PWB2461" s="54"/>
      <c r="PWC2461" s="63"/>
      <c r="PWD2461" s="60"/>
      <c r="PWE2461" s="60"/>
      <c r="PWF2461" s="60"/>
      <c r="PWG2461" s="63"/>
      <c r="PWH2461" s="61"/>
      <c r="PWI2461" s="54"/>
      <c r="PWJ2461" s="54"/>
      <c r="PWK2461" s="63"/>
      <c r="PWL2461" s="60"/>
      <c r="PWM2461" s="60"/>
      <c r="PWN2461" s="60"/>
      <c r="PWO2461" s="63"/>
      <c r="PWP2461" s="61"/>
      <c r="PWQ2461" s="54"/>
      <c r="PWR2461" s="54"/>
      <c r="PWS2461" s="63"/>
      <c r="PWT2461" s="60"/>
      <c r="PWU2461" s="60"/>
      <c r="PWV2461" s="60"/>
      <c r="PWW2461" s="63"/>
      <c r="PWX2461" s="61"/>
      <c r="PWY2461" s="54"/>
      <c r="PWZ2461" s="54"/>
      <c r="PXA2461" s="63"/>
      <c r="PXB2461" s="60"/>
      <c r="PXC2461" s="60"/>
      <c r="PXD2461" s="60"/>
      <c r="PXE2461" s="63"/>
      <c r="PXF2461" s="61"/>
      <c r="PXG2461" s="54"/>
      <c r="PXH2461" s="54"/>
      <c r="PXI2461" s="63"/>
      <c r="PXJ2461" s="60"/>
      <c r="PXK2461" s="60"/>
      <c r="PXL2461" s="60"/>
      <c r="PXM2461" s="63"/>
      <c r="PXN2461" s="61"/>
      <c r="PXO2461" s="54"/>
      <c r="PXP2461" s="54"/>
      <c r="PXQ2461" s="63"/>
      <c r="PXR2461" s="60"/>
      <c r="PXS2461" s="60"/>
      <c r="PXT2461" s="60"/>
      <c r="PXU2461" s="63"/>
      <c r="PXV2461" s="61"/>
      <c r="PXW2461" s="54"/>
      <c r="PXX2461" s="54"/>
      <c r="PXY2461" s="63"/>
      <c r="PXZ2461" s="60"/>
      <c r="PYA2461" s="60"/>
      <c r="PYB2461" s="60"/>
      <c r="PYC2461" s="63"/>
      <c r="PYD2461" s="61"/>
      <c r="PYE2461" s="54"/>
      <c r="PYF2461" s="54"/>
      <c r="PYG2461" s="63"/>
      <c r="PYH2461" s="60"/>
      <c r="PYI2461" s="60"/>
      <c r="PYJ2461" s="60"/>
      <c r="PYK2461" s="63"/>
      <c r="PYL2461" s="61"/>
      <c r="PYM2461" s="54"/>
      <c r="PYN2461" s="54"/>
      <c r="PYO2461" s="63"/>
      <c r="PYP2461" s="60"/>
      <c r="PYQ2461" s="60"/>
      <c r="PYR2461" s="60"/>
      <c r="PYS2461" s="63"/>
      <c r="PYT2461" s="61"/>
      <c r="PYU2461" s="54"/>
      <c r="PYV2461" s="54"/>
      <c r="PYW2461" s="63"/>
      <c r="PYX2461" s="60"/>
      <c r="PYY2461" s="60"/>
      <c r="PYZ2461" s="60"/>
      <c r="PZA2461" s="63"/>
      <c r="PZB2461" s="61"/>
      <c r="PZC2461" s="54"/>
      <c r="PZD2461" s="54"/>
      <c r="PZE2461" s="63"/>
      <c r="PZF2461" s="60"/>
      <c r="PZG2461" s="60"/>
      <c r="PZH2461" s="60"/>
      <c r="PZI2461" s="63"/>
      <c r="PZJ2461" s="61"/>
      <c r="PZK2461" s="54"/>
      <c r="PZL2461" s="54"/>
      <c r="PZM2461" s="63"/>
      <c r="PZN2461" s="60"/>
      <c r="PZO2461" s="60"/>
      <c r="PZP2461" s="60"/>
      <c r="PZQ2461" s="63"/>
      <c r="PZR2461" s="61"/>
      <c r="PZS2461" s="54"/>
      <c r="PZT2461" s="54"/>
      <c r="PZU2461" s="63"/>
      <c r="PZV2461" s="60"/>
      <c r="PZW2461" s="60"/>
      <c r="PZX2461" s="60"/>
      <c r="PZY2461" s="63"/>
      <c r="PZZ2461" s="61"/>
      <c r="QAA2461" s="54"/>
      <c r="QAB2461" s="54"/>
      <c r="QAC2461" s="63"/>
      <c r="QAD2461" s="60"/>
      <c r="QAE2461" s="60"/>
      <c r="QAF2461" s="60"/>
      <c r="QAG2461" s="63"/>
      <c r="QAH2461" s="61"/>
      <c r="QAI2461" s="54"/>
      <c r="QAJ2461" s="54"/>
      <c r="QAK2461" s="63"/>
      <c r="QAL2461" s="60"/>
      <c r="QAM2461" s="60"/>
      <c r="QAN2461" s="60"/>
      <c r="QAO2461" s="63"/>
      <c r="QAP2461" s="61"/>
      <c r="QAQ2461" s="54"/>
      <c r="QAR2461" s="54"/>
      <c r="QAS2461" s="63"/>
      <c r="QAT2461" s="60"/>
      <c r="QAU2461" s="60"/>
      <c r="QAV2461" s="60"/>
      <c r="QAW2461" s="63"/>
      <c r="QAX2461" s="61"/>
      <c r="QAY2461" s="54"/>
      <c r="QAZ2461" s="54"/>
      <c r="QBA2461" s="63"/>
      <c r="QBB2461" s="60"/>
      <c r="QBC2461" s="60"/>
      <c r="QBD2461" s="60"/>
      <c r="QBE2461" s="63"/>
      <c r="QBF2461" s="61"/>
      <c r="QBG2461" s="54"/>
      <c r="QBH2461" s="54"/>
      <c r="QBI2461" s="63"/>
      <c r="QBJ2461" s="60"/>
      <c r="QBK2461" s="60"/>
      <c r="QBL2461" s="60"/>
      <c r="QBM2461" s="63"/>
      <c r="QBN2461" s="61"/>
      <c r="QBO2461" s="54"/>
      <c r="QBP2461" s="54"/>
      <c r="QBQ2461" s="63"/>
      <c r="QBR2461" s="60"/>
      <c r="QBS2461" s="60"/>
      <c r="QBT2461" s="60"/>
      <c r="QBU2461" s="63"/>
      <c r="QBV2461" s="61"/>
      <c r="QBW2461" s="54"/>
      <c r="QBX2461" s="54"/>
      <c r="QBY2461" s="63"/>
      <c r="QBZ2461" s="60"/>
      <c r="QCA2461" s="60"/>
      <c r="QCB2461" s="60"/>
      <c r="QCC2461" s="63"/>
      <c r="QCD2461" s="61"/>
      <c r="QCE2461" s="54"/>
      <c r="QCF2461" s="54"/>
      <c r="QCG2461" s="63"/>
      <c r="QCH2461" s="60"/>
      <c r="QCI2461" s="60"/>
      <c r="QCJ2461" s="60"/>
      <c r="QCK2461" s="63"/>
      <c r="QCL2461" s="61"/>
      <c r="QCM2461" s="54"/>
      <c r="QCN2461" s="54"/>
      <c r="QCO2461" s="63"/>
      <c r="QCP2461" s="60"/>
      <c r="QCQ2461" s="60"/>
      <c r="QCR2461" s="60"/>
      <c r="QCS2461" s="63"/>
      <c r="QCT2461" s="61"/>
      <c r="QCU2461" s="54"/>
      <c r="QCV2461" s="54"/>
      <c r="QCW2461" s="63"/>
      <c r="QCX2461" s="60"/>
      <c r="QCY2461" s="60"/>
      <c r="QCZ2461" s="60"/>
      <c r="QDA2461" s="63"/>
      <c r="QDB2461" s="61"/>
      <c r="QDC2461" s="54"/>
      <c r="QDD2461" s="54"/>
      <c r="QDE2461" s="63"/>
      <c r="QDF2461" s="60"/>
      <c r="QDG2461" s="60"/>
      <c r="QDH2461" s="60"/>
      <c r="QDI2461" s="63"/>
      <c r="QDJ2461" s="61"/>
      <c r="QDK2461" s="54"/>
      <c r="QDL2461" s="54"/>
      <c r="QDM2461" s="63"/>
      <c r="QDN2461" s="60"/>
      <c r="QDO2461" s="60"/>
      <c r="QDP2461" s="60"/>
      <c r="QDQ2461" s="63"/>
      <c r="QDR2461" s="61"/>
      <c r="QDS2461" s="54"/>
      <c r="QDT2461" s="54"/>
      <c r="QDU2461" s="63"/>
      <c r="QDV2461" s="60"/>
      <c r="QDW2461" s="60"/>
      <c r="QDX2461" s="60"/>
      <c r="QDY2461" s="63"/>
      <c r="QDZ2461" s="61"/>
      <c r="QEA2461" s="54"/>
      <c r="QEB2461" s="54"/>
      <c r="QEC2461" s="63"/>
      <c r="QED2461" s="60"/>
      <c r="QEE2461" s="60"/>
      <c r="QEF2461" s="60"/>
      <c r="QEG2461" s="63"/>
      <c r="QEH2461" s="61"/>
      <c r="QEI2461" s="54"/>
      <c r="QEJ2461" s="54"/>
      <c r="QEK2461" s="63"/>
      <c r="QEL2461" s="60"/>
      <c r="QEM2461" s="60"/>
      <c r="QEN2461" s="60"/>
      <c r="QEO2461" s="63"/>
      <c r="QEP2461" s="61"/>
      <c r="QEQ2461" s="54"/>
      <c r="QER2461" s="54"/>
      <c r="QES2461" s="63"/>
      <c r="QET2461" s="60"/>
      <c r="QEU2461" s="60"/>
      <c r="QEV2461" s="60"/>
      <c r="QEW2461" s="63"/>
      <c r="QEX2461" s="61"/>
      <c r="QEY2461" s="54"/>
      <c r="QEZ2461" s="54"/>
      <c r="QFA2461" s="63"/>
      <c r="QFB2461" s="60"/>
      <c r="QFC2461" s="60"/>
      <c r="QFD2461" s="60"/>
      <c r="QFE2461" s="63"/>
      <c r="QFF2461" s="61"/>
      <c r="QFG2461" s="54"/>
      <c r="QFH2461" s="54"/>
      <c r="QFI2461" s="63"/>
      <c r="QFJ2461" s="60"/>
      <c r="QFK2461" s="60"/>
      <c r="QFL2461" s="60"/>
      <c r="QFM2461" s="63"/>
      <c r="QFN2461" s="61"/>
      <c r="QFO2461" s="54"/>
      <c r="QFP2461" s="54"/>
      <c r="QFQ2461" s="63"/>
      <c r="QFR2461" s="60"/>
      <c r="QFS2461" s="60"/>
      <c r="QFT2461" s="60"/>
      <c r="QFU2461" s="63"/>
      <c r="QFV2461" s="61"/>
      <c r="QFW2461" s="54"/>
      <c r="QFX2461" s="54"/>
      <c r="QFY2461" s="63"/>
      <c r="QFZ2461" s="60"/>
      <c r="QGA2461" s="60"/>
      <c r="QGB2461" s="60"/>
      <c r="QGC2461" s="63"/>
      <c r="QGD2461" s="61"/>
      <c r="QGE2461" s="54"/>
      <c r="QGF2461" s="54"/>
      <c r="QGG2461" s="63"/>
      <c r="QGH2461" s="60"/>
      <c r="QGI2461" s="60"/>
      <c r="QGJ2461" s="60"/>
      <c r="QGK2461" s="63"/>
      <c r="QGL2461" s="61"/>
      <c r="QGM2461" s="54"/>
      <c r="QGN2461" s="54"/>
      <c r="QGO2461" s="63"/>
      <c r="QGP2461" s="60"/>
      <c r="QGQ2461" s="60"/>
      <c r="QGR2461" s="60"/>
      <c r="QGS2461" s="63"/>
      <c r="QGT2461" s="61"/>
      <c r="QGU2461" s="54"/>
      <c r="QGV2461" s="54"/>
      <c r="QGW2461" s="63"/>
      <c r="QGX2461" s="60"/>
      <c r="QGY2461" s="60"/>
      <c r="QGZ2461" s="60"/>
      <c r="QHA2461" s="63"/>
      <c r="QHB2461" s="61"/>
      <c r="QHC2461" s="54"/>
      <c r="QHD2461" s="54"/>
      <c r="QHE2461" s="63"/>
      <c r="QHF2461" s="60"/>
      <c r="QHG2461" s="60"/>
      <c r="QHH2461" s="60"/>
      <c r="QHI2461" s="63"/>
      <c r="QHJ2461" s="61"/>
      <c r="QHK2461" s="54"/>
      <c r="QHL2461" s="54"/>
      <c r="QHM2461" s="63"/>
      <c r="QHN2461" s="60"/>
      <c r="QHO2461" s="60"/>
      <c r="QHP2461" s="60"/>
      <c r="QHQ2461" s="63"/>
      <c r="QHR2461" s="61"/>
      <c r="QHS2461" s="54"/>
      <c r="QHT2461" s="54"/>
      <c r="QHU2461" s="63"/>
      <c r="QHV2461" s="60"/>
      <c r="QHW2461" s="60"/>
      <c r="QHX2461" s="60"/>
      <c r="QHY2461" s="63"/>
      <c r="QHZ2461" s="61"/>
      <c r="QIA2461" s="54"/>
      <c r="QIB2461" s="54"/>
      <c r="QIC2461" s="63"/>
      <c r="QID2461" s="60"/>
      <c r="QIE2461" s="60"/>
      <c r="QIF2461" s="60"/>
      <c r="QIG2461" s="63"/>
      <c r="QIH2461" s="61"/>
      <c r="QII2461" s="54"/>
      <c r="QIJ2461" s="54"/>
      <c r="QIK2461" s="63"/>
      <c r="QIL2461" s="60"/>
      <c r="QIM2461" s="60"/>
      <c r="QIN2461" s="60"/>
      <c r="QIO2461" s="63"/>
      <c r="QIP2461" s="61"/>
      <c r="QIQ2461" s="54"/>
      <c r="QIR2461" s="54"/>
      <c r="QIS2461" s="63"/>
      <c r="QIT2461" s="60"/>
      <c r="QIU2461" s="60"/>
      <c r="QIV2461" s="60"/>
      <c r="QIW2461" s="63"/>
      <c r="QIX2461" s="61"/>
      <c r="QIY2461" s="54"/>
      <c r="QIZ2461" s="54"/>
      <c r="QJA2461" s="63"/>
      <c r="QJB2461" s="60"/>
      <c r="QJC2461" s="60"/>
      <c r="QJD2461" s="60"/>
      <c r="QJE2461" s="63"/>
      <c r="QJF2461" s="61"/>
      <c r="QJG2461" s="54"/>
      <c r="QJH2461" s="54"/>
      <c r="QJI2461" s="63"/>
      <c r="QJJ2461" s="60"/>
      <c r="QJK2461" s="60"/>
      <c r="QJL2461" s="60"/>
      <c r="QJM2461" s="63"/>
      <c r="QJN2461" s="61"/>
      <c r="QJO2461" s="54"/>
      <c r="QJP2461" s="54"/>
      <c r="QJQ2461" s="63"/>
      <c r="QJR2461" s="60"/>
      <c r="QJS2461" s="60"/>
      <c r="QJT2461" s="60"/>
      <c r="QJU2461" s="63"/>
      <c r="QJV2461" s="61"/>
      <c r="QJW2461" s="54"/>
      <c r="QJX2461" s="54"/>
      <c r="QJY2461" s="63"/>
      <c r="QJZ2461" s="60"/>
      <c r="QKA2461" s="60"/>
      <c r="QKB2461" s="60"/>
      <c r="QKC2461" s="63"/>
      <c r="QKD2461" s="61"/>
      <c r="QKE2461" s="54"/>
      <c r="QKF2461" s="54"/>
      <c r="QKG2461" s="63"/>
      <c r="QKH2461" s="60"/>
      <c r="QKI2461" s="60"/>
      <c r="QKJ2461" s="60"/>
      <c r="QKK2461" s="63"/>
      <c r="QKL2461" s="61"/>
      <c r="QKM2461" s="54"/>
      <c r="QKN2461" s="54"/>
      <c r="QKO2461" s="63"/>
      <c r="QKP2461" s="60"/>
      <c r="QKQ2461" s="60"/>
      <c r="QKR2461" s="60"/>
      <c r="QKS2461" s="63"/>
      <c r="QKT2461" s="61"/>
      <c r="QKU2461" s="54"/>
      <c r="QKV2461" s="54"/>
      <c r="QKW2461" s="63"/>
      <c r="QKX2461" s="60"/>
      <c r="QKY2461" s="60"/>
      <c r="QKZ2461" s="60"/>
      <c r="QLA2461" s="63"/>
      <c r="QLB2461" s="61"/>
      <c r="QLC2461" s="54"/>
      <c r="QLD2461" s="54"/>
      <c r="QLE2461" s="63"/>
      <c r="QLF2461" s="60"/>
      <c r="QLG2461" s="60"/>
      <c r="QLH2461" s="60"/>
      <c r="QLI2461" s="63"/>
      <c r="QLJ2461" s="61"/>
      <c r="QLK2461" s="54"/>
      <c r="QLL2461" s="54"/>
      <c r="QLM2461" s="63"/>
      <c r="QLN2461" s="60"/>
      <c r="QLO2461" s="60"/>
      <c r="QLP2461" s="60"/>
      <c r="QLQ2461" s="63"/>
      <c r="QLR2461" s="61"/>
      <c r="QLS2461" s="54"/>
      <c r="QLT2461" s="54"/>
      <c r="QLU2461" s="63"/>
      <c r="QLV2461" s="60"/>
      <c r="QLW2461" s="60"/>
      <c r="QLX2461" s="60"/>
      <c r="QLY2461" s="63"/>
      <c r="QLZ2461" s="61"/>
      <c r="QMA2461" s="54"/>
      <c r="QMB2461" s="54"/>
      <c r="QMC2461" s="63"/>
      <c r="QMD2461" s="60"/>
      <c r="QME2461" s="60"/>
      <c r="QMF2461" s="60"/>
      <c r="QMG2461" s="63"/>
      <c r="QMH2461" s="61"/>
      <c r="QMI2461" s="54"/>
      <c r="QMJ2461" s="54"/>
      <c r="QMK2461" s="63"/>
      <c r="QML2461" s="60"/>
      <c r="QMM2461" s="60"/>
      <c r="QMN2461" s="60"/>
      <c r="QMO2461" s="63"/>
      <c r="QMP2461" s="61"/>
      <c r="QMQ2461" s="54"/>
      <c r="QMR2461" s="54"/>
      <c r="QMS2461" s="63"/>
      <c r="QMT2461" s="60"/>
      <c r="QMU2461" s="60"/>
      <c r="QMV2461" s="60"/>
      <c r="QMW2461" s="63"/>
      <c r="QMX2461" s="61"/>
      <c r="QMY2461" s="54"/>
      <c r="QMZ2461" s="54"/>
      <c r="QNA2461" s="63"/>
      <c r="QNB2461" s="60"/>
      <c r="QNC2461" s="60"/>
      <c r="QND2461" s="60"/>
      <c r="QNE2461" s="63"/>
      <c r="QNF2461" s="61"/>
      <c r="QNG2461" s="54"/>
      <c r="QNH2461" s="54"/>
      <c r="QNI2461" s="63"/>
      <c r="QNJ2461" s="60"/>
      <c r="QNK2461" s="60"/>
      <c r="QNL2461" s="60"/>
      <c r="QNM2461" s="63"/>
      <c r="QNN2461" s="61"/>
      <c r="QNO2461" s="54"/>
      <c r="QNP2461" s="54"/>
      <c r="QNQ2461" s="63"/>
      <c r="QNR2461" s="60"/>
      <c r="QNS2461" s="60"/>
      <c r="QNT2461" s="60"/>
      <c r="QNU2461" s="63"/>
      <c r="QNV2461" s="61"/>
      <c r="QNW2461" s="54"/>
      <c r="QNX2461" s="54"/>
      <c r="QNY2461" s="63"/>
      <c r="QNZ2461" s="60"/>
      <c r="QOA2461" s="60"/>
      <c r="QOB2461" s="60"/>
      <c r="QOC2461" s="63"/>
      <c r="QOD2461" s="61"/>
      <c r="QOE2461" s="54"/>
      <c r="QOF2461" s="54"/>
      <c r="QOG2461" s="63"/>
      <c r="QOH2461" s="60"/>
      <c r="QOI2461" s="60"/>
      <c r="QOJ2461" s="60"/>
      <c r="QOK2461" s="63"/>
      <c r="QOL2461" s="61"/>
      <c r="QOM2461" s="54"/>
      <c r="QON2461" s="54"/>
      <c r="QOO2461" s="63"/>
      <c r="QOP2461" s="60"/>
      <c r="QOQ2461" s="60"/>
      <c r="QOR2461" s="60"/>
      <c r="QOS2461" s="63"/>
      <c r="QOT2461" s="61"/>
      <c r="QOU2461" s="54"/>
      <c r="QOV2461" s="54"/>
      <c r="QOW2461" s="63"/>
      <c r="QOX2461" s="60"/>
      <c r="QOY2461" s="60"/>
      <c r="QOZ2461" s="60"/>
      <c r="QPA2461" s="63"/>
      <c r="QPB2461" s="61"/>
      <c r="QPC2461" s="54"/>
      <c r="QPD2461" s="54"/>
      <c r="QPE2461" s="63"/>
      <c r="QPF2461" s="60"/>
      <c r="QPG2461" s="60"/>
      <c r="QPH2461" s="60"/>
      <c r="QPI2461" s="63"/>
      <c r="QPJ2461" s="61"/>
      <c r="QPK2461" s="54"/>
      <c r="QPL2461" s="54"/>
      <c r="QPM2461" s="63"/>
      <c r="QPN2461" s="60"/>
      <c r="QPO2461" s="60"/>
      <c r="QPP2461" s="60"/>
      <c r="QPQ2461" s="63"/>
      <c r="QPR2461" s="61"/>
      <c r="QPS2461" s="54"/>
      <c r="QPT2461" s="54"/>
      <c r="QPU2461" s="63"/>
      <c r="QPV2461" s="60"/>
      <c r="QPW2461" s="60"/>
      <c r="QPX2461" s="60"/>
      <c r="QPY2461" s="63"/>
      <c r="QPZ2461" s="61"/>
      <c r="QQA2461" s="54"/>
      <c r="QQB2461" s="54"/>
      <c r="QQC2461" s="63"/>
      <c r="QQD2461" s="60"/>
      <c r="QQE2461" s="60"/>
      <c r="QQF2461" s="60"/>
      <c r="QQG2461" s="63"/>
      <c r="QQH2461" s="61"/>
      <c r="QQI2461" s="54"/>
      <c r="QQJ2461" s="54"/>
      <c r="QQK2461" s="63"/>
      <c r="QQL2461" s="60"/>
      <c r="QQM2461" s="60"/>
      <c r="QQN2461" s="60"/>
      <c r="QQO2461" s="63"/>
      <c r="QQP2461" s="61"/>
      <c r="QQQ2461" s="54"/>
      <c r="QQR2461" s="54"/>
      <c r="QQS2461" s="63"/>
      <c r="QQT2461" s="60"/>
      <c r="QQU2461" s="60"/>
      <c r="QQV2461" s="60"/>
      <c r="QQW2461" s="63"/>
      <c r="QQX2461" s="61"/>
      <c r="QQY2461" s="54"/>
      <c r="QQZ2461" s="54"/>
      <c r="QRA2461" s="63"/>
      <c r="QRB2461" s="60"/>
      <c r="QRC2461" s="60"/>
      <c r="QRD2461" s="60"/>
      <c r="QRE2461" s="63"/>
      <c r="QRF2461" s="61"/>
      <c r="QRG2461" s="54"/>
      <c r="QRH2461" s="54"/>
      <c r="QRI2461" s="63"/>
      <c r="QRJ2461" s="60"/>
      <c r="QRK2461" s="60"/>
      <c r="QRL2461" s="60"/>
      <c r="QRM2461" s="63"/>
      <c r="QRN2461" s="61"/>
      <c r="QRO2461" s="54"/>
      <c r="QRP2461" s="54"/>
      <c r="QRQ2461" s="63"/>
      <c r="QRR2461" s="60"/>
      <c r="QRS2461" s="60"/>
      <c r="QRT2461" s="60"/>
      <c r="QRU2461" s="63"/>
      <c r="QRV2461" s="61"/>
      <c r="QRW2461" s="54"/>
      <c r="QRX2461" s="54"/>
      <c r="QRY2461" s="63"/>
      <c r="QRZ2461" s="60"/>
      <c r="QSA2461" s="60"/>
      <c r="QSB2461" s="60"/>
      <c r="QSC2461" s="63"/>
      <c r="QSD2461" s="61"/>
      <c r="QSE2461" s="54"/>
      <c r="QSF2461" s="54"/>
      <c r="QSG2461" s="63"/>
      <c r="QSH2461" s="60"/>
      <c r="QSI2461" s="60"/>
      <c r="QSJ2461" s="60"/>
      <c r="QSK2461" s="63"/>
      <c r="QSL2461" s="61"/>
      <c r="QSM2461" s="54"/>
      <c r="QSN2461" s="54"/>
      <c r="QSO2461" s="63"/>
      <c r="QSP2461" s="60"/>
      <c r="QSQ2461" s="60"/>
      <c r="QSR2461" s="60"/>
      <c r="QSS2461" s="63"/>
      <c r="QST2461" s="61"/>
      <c r="QSU2461" s="54"/>
      <c r="QSV2461" s="54"/>
      <c r="QSW2461" s="63"/>
      <c r="QSX2461" s="60"/>
      <c r="QSY2461" s="60"/>
      <c r="QSZ2461" s="60"/>
      <c r="QTA2461" s="63"/>
      <c r="QTB2461" s="61"/>
      <c r="QTC2461" s="54"/>
      <c r="QTD2461" s="54"/>
      <c r="QTE2461" s="63"/>
      <c r="QTF2461" s="60"/>
      <c r="QTG2461" s="60"/>
      <c r="QTH2461" s="60"/>
      <c r="QTI2461" s="63"/>
      <c r="QTJ2461" s="61"/>
      <c r="QTK2461" s="54"/>
      <c r="QTL2461" s="54"/>
      <c r="QTM2461" s="63"/>
      <c r="QTN2461" s="60"/>
      <c r="QTO2461" s="60"/>
      <c r="QTP2461" s="60"/>
      <c r="QTQ2461" s="63"/>
      <c r="QTR2461" s="61"/>
      <c r="QTS2461" s="54"/>
      <c r="QTT2461" s="54"/>
      <c r="QTU2461" s="63"/>
      <c r="QTV2461" s="60"/>
      <c r="QTW2461" s="60"/>
      <c r="QTX2461" s="60"/>
      <c r="QTY2461" s="63"/>
      <c r="QTZ2461" s="61"/>
      <c r="QUA2461" s="54"/>
      <c r="QUB2461" s="54"/>
      <c r="QUC2461" s="63"/>
      <c r="QUD2461" s="60"/>
      <c r="QUE2461" s="60"/>
      <c r="QUF2461" s="60"/>
      <c r="QUG2461" s="63"/>
      <c r="QUH2461" s="61"/>
      <c r="QUI2461" s="54"/>
      <c r="QUJ2461" s="54"/>
      <c r="QUK2461" s="63"/>
      <c r="QUL2461" s="60"/>
      <c r="QUM2461" s="60"/>
      <c r="QUN2461" s="60"/>
      <c r="QUO2461" s="63"/>
      <c r="QUP2461" s="61"/>
      <c r="QUQ2461" s="54"/>
      <c r="QUR2461" s="54"/>
      <c r="QUS2461" s="63"/>
      <c r="QUT2461" s="60"/>
      <c r="QUU2461" s="60"/>
      <c r="QUV2461" s="60"/>
      <c r="QUW2461" s="63"/>
      <c r="QUX2461" s="61"/>
      <c r="QUY2461" s="54"/>
      <c r="QUZ2461" s="54"/>
      <c r="QVA2461" s="63"/>
      <c r="QVB2461" s="60"/>
      <c r="QVC2461" s="60"/>
      <c r="QVD2461" s="60"/>
      <c r="QVE2461" s="63"/>
      <c r="QVF2461" s="61"/>
      <c r="QVG2461" s="54"/>
      <c r="QVH2461" s="54"/>
      <c r="QVI2461" s="63"/>
      <c r="QVJ2461" s="60"/>
      <c r="QVK2461" s="60"/>
      <c r="QVL2461" s="60"/>
      <c r="QVM2461" s="63"/>
      <c r="QVN2461" s="61"/>
      <c r="QVO2461" s="54"/>
      <c r="QVP2461" s="54"/>
      <c r="QVQ2461" s="63"/>
      <c r="QVR2461" s="60"/>
      <c r="QVS2461" s="60"/>
      <c r="QVT2461" s="60"/>
      <c r="QVU2461" s="63"/>
      <c r="QVV2461" s="61"/>
      <c r="QVW2461" s="54"/>
      <c r="QVX2461" s="54"/>
      <c r="QVY2461" s="63"/>
      <c r="QVZ2461" s="60"/>
      <c r="QWA2461" s="60"/>
      <c r="QWB2461" s="60"/>
      <c r="QWC2461" s="63"/>
      <c r="QWD2461" s="61"/>
      <c r="QWE2461" s="54"/>
      <c r="QWF2461" s="54"/>
      <c r="QWG2461" s="63"/>
      <c r="QWH2461" s="60"/>
      <c r="QWI2461" s="60"/>
      <c r="QWJ2461" s="60"/>
      <c r="QWK2461" s="63"/>
      <c r="QWL2461" s="61"/>
      <c r="QWM2461" s="54"/>
      <c r="QWN2461" s="54"/>
      <c r="QWO2461" s="63"/>
      <c r="QWP2461" s="60"/>
      <c r="QWQ2461" s="60"/>
      <c r="QWR2461" s="60"/>
      <c r="QWS2461" s="63"/>
      <c r="QWT2461" s="61"/>
      <c r="QWU2461" s="54"/>
      <c r="QWV2461" s="54"/>
      <c r="QWW2461" s="63"/>
      <c r="QWX2461" s="60"/>
      <c r="QWY2461" s="60"/>
      <c r="QWZ2461" s="60"/>
      <c r="QXA2461" s="63"/>
      <c r="QXB2461" s="61"/>
      <c r="QXC2461" s="54"/>
      <c r="QXD2461" s="54"/>
      <c r="QXE2461" s="63"/>
      <c r="QXF2461" s="60"/>
      <c r="QXG2461" s="60"/>
      <c r="QXH2461" s="60"/>
      <c r="QXI2461" s="63"/>
      <c r="QXJ2461" s="61"/>
      <c r="QXK2461" s="54"/>
      <c r="QXL2461" s="54"/>
      <c r="QXM2461" s="63"/>
      <c r="QXN2461" s="60"/>
      <c r="QXO2461" s="60"/>
      <c r="QXP2461" s="60"/>
      <c r="QXQ2461" s="63"/>
      <c r="QXR2461" s="61"/>
      <c r="QXS2461" s="54"/>
      <c r="QXT2461" s="54"/>
      <c r="QXU2461" s="63"/>
      <c r="QXV2461" s="60"/>
      <c r="QXW2461" s="60"/>
      <c r="QXX2461" s="60"/>
      <c r="QXY2461" s="63"/>
      <c r="QXZ2461" s="61"/>
      <c r="QYA2461" s="54"/>
      <c r="QYB2461" s="54"/>
      <c r="QYC2461" s="63"/>
      <c r="QYD2461" s="60"/>
      <c r="QYE2461" s="60"/>
      <c r="QYF2461" s="60"/>
      <c r="QYG2461" s="63"/>
      <c r="QYH2461" s="61"/>
      <c r="QYI2461" s="54"/>
      <c r="QYJ2461" s="54"/>
      <c r="QYK2461" s="63"/>
      <c r="QYL2461" s="60"/>
      <c r="QYM2461" s="60"/>
      <c r="QYN2461" s="60"/>
      <c r="QYO2461" s="63"/>
      <c r="QYP2461" s="61"/>
      <c r="QYQ2461" s="54"/>
      <c r="QYR2461" s="54"/>
      <c r="QYS2461" s="63"/>
      <c r="QYT2461" s="60"/>
      <c r="QYU2461" s="60"/>
      <c r="QYV2461" s="60"/>
      <c r="QYW2461" s="63"/>
      <c r="QYX2461" s="61"/>
      <c r="QYY2461" s="54"/>
      <c r="QYZ2461" s="54"/>
      <c r="QZA2461" s="63"/>
      <c r="QZB2461" s="60"/>
      <c r="QZC2461" s="60"/>
      <c r="QZD2461" s="60"/>
      <c r="QZE2461" s="63"/>
      <c r="QZF2461" s="61"/>
      <c r="QZG2461" s="54"/>
      <c r="QZH2461" s="54"/>
      <c r="QZI2461" s="63"/>
      <c r="QZJ2461" s="60"/>
      <c r="QZK2461" s="60"/>
      <c r="QZL2461" s="60"/>
      <c r="QZM2461" s="63"/>
      <c r="QZN2461" s="61"/>
      <c r="QZO2461" s="54"/>
      <c r="QZP2461" s="54"/>
      <c r="QZQ2461" s="63"/>
      <c r="QZR2461" s="60"/>
      <c r="QZS2461" s="60"/>
      <c r="QZT2461" s="60"/>
      <c r="QZU2461" s="63"/>
      <c r="QZV2461" s="61"/>
      <c r="QZW2461" s="54"/>
      <c r="QZX2461" s="54"/>
      <c r="QZY2461" s="63"/>
      <c r="QZZ2461" s="60"/>
      <c r="RAA2461" s="60"/>
      <c r="RAB2461" s="60"/>
      <c r="RAC2461" s="63"/>
      <c r="RAD2461" s="61"/>
      <c r="RAE2461" s="54"/>
      <c r="RAF2461" s="54"/>
      <c r="RAG2461" s="63"/>
      <c r="RAH2461" s="60"/>
      <c r="RAI2461" s="60"/>
      <c r="RAJ2461" s="60"/>
      <c r="RAK2461" s="63"/>
      <c r="RAL2461" s="61"/>
      <c r="RAM2461" s="54"/>
      <c r="RAN2461" s="54"/>
      <c r="RAO2461" s="63"/>
      <c r="RAP2461" s="60"/>
      <c r="RAQ2461" s="60"/>
      <c r="RAR2461" s="60"/>
      <c r="RAS2461" s="63"/>
      <c r="RAT2461" s="61"/>
      <c r="RAU2461" s="54"/>
      <c r="RAV2461" s="54"/>
      <c r="RAW2461" s="63"/>
      <c r="RAX2461" s="60"/>
      <c r="RAY2461" s="60"/>
      <c r="RAZ2461" s="60"/>
      <c r="RBA2461" s="63"/>
      <c r="RBB2461" s="61"/>
      <c r="RBC2461" s="54"/>
      <c r="RBD2461" s="54"/>
      <c r="RBE2461" s="63"/>
      <c r="RBF2461" s="60"/>
      <c r="RBG2461" s="60"/>
      <c r="RBH2461" s="60"/>
      <c r="RBI2461" s="63"/>
      <c r="RBJ2461" s="61"/>
      <c r="RBK2461" s="54"/>
      <c r="RBL2461" s="54"/>
      <c r="RBM2461" s="63"/>
      <c r="RBN2461" s="60"/>
      <c r="RBO2461" s="60"/>
      <c r="RBP2461" s="60"/>
      <c r="RBQ2461" s="63"/>
      <c r="RBR2461" s="61"/>
      <c r="RBS2461" s="54"/>
      <c r="RBT2461" s="54"/>
      <c r="RBU2461" s="63"/>
      <c r="RBV2461" s="60"/>
      <c r="RBW2461" s="60"/>
      <c r="RBX2461" s="60"/>
      <c r="RBY2461" s="63"/>
      <c r="RBZ2461" s="61"/>
      <c r="RCA2461" s="54"/>
      <c r="RCB2461" s="54"/>
      <c r="RCC2461" s="63"/>
      <c r="RCD2461" s="60"/>
      <c r="RCE2461" s="60"/>
      <c r="RCF2461" s="60"/>
      <c r="RCG2461" s="63"/>
      <c r="RCH2461" s="61"/>
      <c r="RCI2461" s="54"/>
      <c r="RCJ2461" s="54"/>
      <c r="RCK2461" s="63"/>
      <c r="RCL2461" s="60"/>
      <c r="RCM2461" s="60"/>
      <c r="RCN2461" s="60"/>
      <c r="RCO2461" s="63"/>
      <c r="RCP2461" s="61"/>
      <c r="RCQ2461" s="54"/>
      <c r="RCR2461" s="54"/>
      <c r="RCS2461" s="63"/>
      <c r="RCT2461" s="60"/>
      <c r="RCU2461" s="60"/>
      <c r="RCV2461" s="60"/>
      <c r="RCW2461" s="63"/>
      <c r="RCX2461" s="61"/>
      <c r="RCY2461" s="54"/>
      <c r="RCZ2461" s="54"/>
      <c r="RDA2461" s="63"/>
      <c r="RDB2461" s="60"/>
      <c r="RDC2461" s="60"/>
      <c r="RDD2461" s="60"/>
      <c r="RDE2461" s="63"/>
      <c r="RDF2461" s="61"/>
      <c r="RDG2461" s="54"/>
      <c r="RDH2461" s="54"/>
      <c r="RDI2461" s="63"/>
      <c r="RDJ2461" s="60"/>
      <c r="RDK2461" s="60"/>
      <c r="RDL2461" s="60"/>
      <c r="RDM2461" s="63"/>
      <c r="RDN2461" s="61"/>
      <c r="RDO2461" s="54"/>
      <c r="RDP2461" s="54"/>
      <c r="RDQ2461" s="63"/>
      <c r="RDR2461" s="60"/>
      <c r="RDS2461" s="60"/>
      <c r="RDT2461" s="60"/>
      <c r="RDU2461" s="63"/>
      <c r="RDV2461" s="61"/>
      <c r="RDW2461" s="54"/>
      <c r="RDX2461" s="54"/>
      <c r="RDY2461" s="63"/>
      <c r="RDZ2461" s="60"/>
      <c r="REA2461" s="60"/>
      <c r="REB2461" s="60"/>
      <c r="REC2461" s="63"/>
      <c r="RED2461" s="61"/>
      <c r="REE2461" s="54"/>
      <c r="REF2461" s="54"/>
      <c r="REG2461" s="63"/>
      <c r="REH2461" s="60"/>
      <c r="REI2461" s="60"/>
      <c r="REJ2461" s="60"/>
      <c r="REK2461" s="63"/>
      <c r="REL2461" s="61"/>
      <c r="REM2461" s="54"/>
      <c r="REN2461" s="54"/>
      <c r="REO2461" s="63"/>
      <c r="REP2461" s="60"/>
      <c r="REQ2461" s="60"/>
      <c r="RER2461" s="60"/>
      <c r="RES2461" s="63"/>
      <c r="RET2461" s="61"/>
      <c r="REU2461" s="54"/>
      <c r="REV2461" s="54"/>
      <c r="REW2461" s="63"/>
      <c r="REX2461" s="60"/>
      <c r="REY2461" s="60"/>
      <c r="REZ2461" s="60"/>
      <c r="RFA2461" s="63"/>
      <c r="RFB2461" s="61"/>
      <c r="RFC2461" s="54"/>
      <c r="RFD2461" s="54"/>
      <c r="RFE2461" s="63"/>
      <c r="RFF2461" s="60"/>
      <c r="RFG2461" s="60"/>
      <c r="RFH2461" s="60"/>
      <c r="RFI2461" s="63"/>
      <c r="RFJ2461" s="61"/>
      <c r="RFK2461" s="54"/>
      <c r="RFL2461" s="54"/>
      <c r="RFM2461" s="63"/>
      <c r="RFN2461" s="60"/>
      <c r="RFO2461" s="60"/>
      <c r="RFP2461" s="60"/>
      <c r="RFQ2461" s="63"/>
      <c r="RFR2461" s="61"/>
      <c r="RFS2461" s="54"/>
      <c r="RFT2461" s="54"/>
      <c r="RFU2461" s="63"/>
      <c r="RFV2461" s="60"/>
      <c r="RFW2461" s="60"/>
      <c r="RFX2461" s="60"/>
      <c r="RFY2461" s="63"/>
      <c r="RFZ2461" s="61"/>
      <c r="RGA2461" s="54"/>
      <c r="RGB2461" s="54"/>
      <c r="RGC2461" s="63"/>
      <c r="RGD2461" s="60"/>
      <c r="RGE2461" s="60"/>
      <c r="RGF2461" s="60"/>
      <c r="RGG2461" s="63"/>
      <c r="RGH2461" s="61"/>
      <c r="RGI2461" s="54"/>
      <c r="RGJ2461" s="54"/>
      <c r="RGK2461" s="63"/>
      <c r="RGL2461" s="60"/>
      <c r="RGM2461" s="60"/>
      <c r="RGN2461" s="60"/>
      <c r="RGO2461" s="63"/>
      <c r="RGP2461" s="61"/>
      <c r="RGQ2461" s="54"/>
      <c r="RGR2461" s="54"/>
      <c r="RGS2461" s="63"/>
      <c r="RGT2461" s="60"/>
      <c r="RGU2461" s="60"/>
      <c r="RGV2461" s="60"/>
      <c r="RGW2461" s="63"/>
      <c r="RGX2461" s="61"/>
      <c r="RGY2461" s="54"/>
      <c r="RGZ2461" s="54"/>
      <c r="RHA2461" s="63"/>
      <c r="RHB2461" s="60"/>
      <c r="RHC2461" s="60"/>
      <c r="RHD2461" s="60"/>
      <c r="RHE2461" s="63"/>
      <c r="RHF2461" s="61"/>
      <c r="RHG2461" s="54"/>
      <c r="RHH2461" s="54"/>
      <c r="RHI2461" s="63"/>
      <c r="RHJ2461" s="60"/>
      <c r="RHK2461" s="60"/>
      <c r="RHL2461" s="60"/>
      <c r="RHM2461" s="63"/>
      <c r="RHN2461" s="61"/>
      <c r="RHO2461" s="54"/>
      <c r="RHP2461" s="54"/>
      <c r="RHQ2461" s="63"/>
      <c r="RHR2461" s="60"/>
      <c r="RHS2461" s="60"/>
      <c r="RHT2461" s="60"/>
      <c r="RHU2461" s="63"/>
      <c r="RHV2461" s="61"/>
      <c r="RHW2461" s="54"/>
      <c r="RHX2461" s="54"/>
      <c r="RHY2461" s="63"/>
      <c r="RHZ2461" s="60"/>
      <c r="RIA2461" s="60"/>
      <c r="RIB2461" s="60"/>
      <c r="RIC2461" s="63"/>
      <c r="RID2461" s="61"/>
      <c r="RIE2461" s="54"/>
      <c r="RIF2461" s="54"/>
      <c r="RIG2461" s="63"/>
      <c r="RIH2461" s="60"/>
      <c r="RII2461" s="60"/>
      <c r="RIJ2461" s="60"/>
      <c r="RIK2461" s="63"/>
      <c r="RIL2461" s="61"/>
      <c r="RIM2461" s="54"/>
      <c r="RIN2461" s="54"/>
      <c r="RIO2461" s="63"/>
      <c r="RIP2461" s="60"/>
      <c r="RIQ2461" s="60"/>
      <c r="RIR2461" s="60"/>
      <c r="RIS2461" s="63"/>
      <c r="RIT2461" s="61"/>
      <c r="RIU2461" s="54"/>
      <c r="RIV2461" s="54"/>
      <c r="RIW2461" s="63"/>
      <c r="RIX2461" s="60"/>
      <c r="RIY2461" s="60"/>
      <c r="RIZ2461" s="60"/>
      <c r="RJA2461" s="63"/>
      <c r="RJB2461" s="61"/>
      <c r="RJC2461" s="54"/>
      <c r="RJD2461" s="54"/>
      <c r="RJE2461" s="63"/>
      <c r="RJF2461" s="60"/>
      <c r="RJG2461" s="60"/>
      <c r="RJH2461" s="60"/>
      <c r="RJI2461" s="63"/>
      <c r="RJJ2461" s="61"/>
      <c r="RJK2461" s="54"/>
      <c r="RJL2461" s="54"/>
      <c r="RJM2461" s="63"/>
      <c r="RJN2461" s="60"/>
      <c r="RJO2461" s="60"/>
      <c r="RJP2461" s="60"/>
      <c r="RJQ2461" s="63"/>
      <c r="RJR2461" s="61"/>
      <c r="RJS2461" s="54"/>
      <c r="RJT2461" s="54"/>
      <c r="RJU2461" s="63"/>
      <c r="RJV2461" s="60"/>
      <c r="RJW2461" s="60"/>
      <c r="RJX2461" s="60"/>
      <c r="RJY2461" s="63"/>
      <c r="RJZ2461" s="61"/>
      <c r="RKA2461" s="54"/>
      <c r="RKB2461" s="54"/>
      <c r="RKC2461" s="63"/>
      <c r="RKD2461" s="60"/>
      <c r="RKE2461" s="60"/>
      <c r="RKF2461" s="60"/>
      <c r="RKG2461" s="63"/>
      <c r="RKH2461" s="61"/>
      <c r="RKI2461" s="54"/>
      <c r="RKJ2461" s="54"/>
      <c r="RKK2461" s="63"/>
      <c r="RKL2461" s="60"/>
      <c r="RKM2461" s="60"/>
      <c r="RKN2461" s="60"/>
      <c r="RKO2461" s="63"/>
      <c r="RKP2461" s="61"/>
      <c r="RKQ2461" s="54"/>
      <c r="RKR2461" s="54"/>
      <c r="RKS2461" s="63"/>
      <c r="RKT2461" s="60"/>
      <c r="RKU2461" s="60"/>
      <c r="RKV2461" s="60"/>
      <c r="RKW2461" s="63"/>
      <c r="RKX2461" s="61"/>
      <c r="RKY2461" s="54"/>
      <c r="RKZ2461" s="54"/>
      <c r="RLA2461" s="63"/>
      <c r="RLB2461" s="60"/>
      <c r="RLC2461" s="60"/>
      <c r="RLD2461" s="60"/>
      <c r="RLE2461" s="63"/>
      <c r="RLF2461" s="61"/>
      <c r="RLG2461" s="54"/>
      <c r="RLH2461" s="54"/>
      <c r="RLI2461" s="63"/>
      <c r="RLJ2461" s="60"/>
      <c r="RLK2461" s="60"/>
      <c r="RLL2461" s="60"/>
      <c r="RLM2461" s="63"/>
      <c r="RLN2461" s="61"/>
      <c r="RLO2461" s="54"/>
      <c r="RLP2461" s="54"/>
      <c r="RLQ2461" s="63"/>
      <c r="RLR2461" s="60"/>
      <c r="RLS2461" s="60"/>
      <c r="RLT2461" s="60"/>
      <c r="RLU2461" s="63"/>
      <c r="RLV2461" s="61"/>
      <c r="RLW2461" s="54"/>
      <c r="RLX2461" s="54"/>
      <c r="RLY2461" s="63"/>
      <c r="RLZ2461" s="60"/>
      <c r="RMA2461" s="60"/>
      <c r="RMB2461" s="60"/>
      <c r="RMC2461" s="63"/>
      <c r="RMD2461" s="61"/>
      <c r="RME2461" s="54"/>
      <c r="RMF2461" s="54"/>
      <c r="RMG2461" s="63"/>
      <c r="RMH2461" s="60"/>
      <c r="RMI2461" s="60"/>
      <c r="RMJ2461" s="60"/>
      <c r="RMK2461" s="63"/>
      <c r="RML2461" s="61"/>
      <c r="RMM2461" s="54"/>
      <c r="RMN2461" s="54"/>
      <c r="RMO2461" s="63"/>
      <c r="RMP2461" s="60"/>
      <c r="RMQ2461" s="60"/>
      <c r="RMR2461" s="60"/>
      <c r="RMS2461" s="63"/>
      <c r="RMT2461" s="61"/>
      <c r="RMU2461" s="54"/>
      <c r="RMV2461" s="54"/>
      <c r="RMW2461" s="63"/>
      <c r="RMX2461" s="60"/>
      <c r="RMY2461" s="60"/>
      <c r="RMZ2461" s="60"/>
      <c r="RNA2461" s="63"/>
      <c r="RNB2461" s="61"/>
      <c r="RNC2461" s="54"/>
      <c r="RND2461" s="54"/>
      <c r="RNE2461" s="63"/>
      <c r="RNF2461" s="60"/>
      <c r="RNG2461" s="60"/>
      <c r="RNH2461" s="60"/>
      <c r="RNI2461" s="63"/>
      <c r="RNJ2461" s="61"/>
      <c r="RNK2461" s="54"/>
      <c r="RNL2461" s="54"/>
      <c r="RNM2461" s="63"/>
      <c r="RNN2461" s="60"/>
      <c r="RNO2461" s="60"/>
      <c r="RNP2461" s="60"/>
      <c r="RNQ2461" s="63"/>
      <c r="RNR2461" s="61"/>
      <c r="RNS2461" s="54"/>
      <c r="RNT2461" s="54"/>
      <c r="RNU2461" s="63"/>
      <c r="RNV2461" s="60"/>
      <c r="RNW2461" s="60"/>
      <c r="RNX2461" s="60"/>
      <c r="RNY2461" s="63"/>
      <c r="RNZ2461" s="61"/>
      <c r="ROA2461" s="54"/>
      <c r="ROB2461" s="54"/>
      <c r="ROC2461" s="63"/>
      <c r="ROD2461" s="60"/>
      <c r="ROE2461" s="60"/>
      <c r="ROF2461" s="60"/>
      <c r="ROG2461" s="63"/>
      <c r="ROH2461" s="61"/>
      <c r="ROI2461" s="54"/>
      <c r="ROJ2461" s="54"/>
      <c r="ROK2461" s="63"/>
      <c r="ROL2461" s="60"/>
      <c r="ROM2461" s="60"/>
      <c r="RON2461" s="60"/>
      <c r="ROO2461" s="63"/>
      <c r="ROP2461" s="61"/>
      <c r="ROQ2461" s="54"/>
      <c r="ROR2461" s="54"/>
      <c r="ROS2461" s="63"/>
      <c r="ROT2461" s="60"/>
      <c r="ROU2461" s="60"/>
      <c r="ROV2461" s="60"/>
      <c r="ROW2461" s="63"/>
      <c r="ROX2461" s="61"/>
      <c r="ROY2461" s="54"/>
      <c r="ROZ2461" s="54"/>
      <c r="RPA2461" s="63"/>
      <c r="RPB2461" s="60"/>
      <c r="RPC2461" s="60"/>
      <c r="RPD2461" s="60"/>
      <c r="RPE2461" s="63"/>
      <c r="RPF2461" s="61"/>
      <c r="RPG2461" s="54"/>
      <c r="RPH2461" s="54"/>
      <c r="RPI2461" s="63"/>
      <c r="RPJ2461" s="60"/>
      <c r="RPK2461" s="60"/>
      <c r="RPL2461" s="60"/>
      <c r="RPM2461" s="63"/>
      <c r="RPN2461" s="61"/>
      <c r="RPO2461" s="54"/>
      <c r="RPP2461" s="54"/>
      <c r="RPQ2461" s="63"/>
      <c r="RPR2461" s="60"/>
      <c r="RPS2461" s="60"/>
      <c r="RPT2461" s="60"/>
      <c r="RPU2461" s="63"/>
      <c r="RPV2461" s="61"/>
      <c r="RPW2461" s="54"/>
      <c r="RPX2461" s="54"/>
      <c r="RPY2461" s="63"/>
      <c r="RPZ2461" s="60"/>
      <c r="RQA2461" s="60"/>
      <c r="RQB2461" s="60"/>
      <c r="RQC2461" s="63"/>
      <c r="RQD2461" s="61"/>
      <c r="RQE2461" s="54"/>
      <c r="RQF2461" s="54"/>
      <c r="RQG2461" s="63"/>
      <c r="RQH2461" s="60"/>
      <c r="RQI2461" s="60"/>
      <c r="RQJ2461" s="60"/>
      <c r="RQK2461" s="63"/>
      <c r="RQL2461" s="61"/>
      <c r="RQM2461" s="54"/>
      <c r="RQN2461" s="54"/>
      <c r="RQO2461" s="63"/>
      <c r="RQP2461" s="60"/>
      <c r="RQQ2461" s="60"/>
      <c r="RQR2461" s="60"/>
      <c r="RQS2461" s="63"/>
      <c r="RQT2461" s="61"/>
      <c r="RQU2461" s="54"/>
      <c r="RQV2461" s="54"/>
      <c r="RQW2461" s="63"/>
      <c r="RQX2461" s="60"/>
      <c r="RQY2461" s="60"/>
      <c r="RQZ2461" s="60"/>
      <c r="RRA2461" s="63"/>
      <c r="RRB2461" s="61"/>
      <c r="RRC2461" s="54"/>
      <c r="RRD2461" s="54"/>
      <c r="RRE2461" s="63"/>
      <c r="RRF2461" s="60"/>
      <c r="RRG2461" s="60"/>
      <c r="RRH2461" s="60"/>
      <c r="RRI2461" s="63"/>
      <c r="RRJ2461" s="61"/>
      <c r="RRK2461" s="54"/>
      <c r="RRL2461" s="54"/>
      <c r="RRM2461" s="63"/>
      <c r="RRN2461" s="60"/>
      <c r="RRO2461" s="60"/>
      <c r="RRP2461" s="60"/>
      <c r="RRQ2461" s="63"/>
      <c r="RRR2461" s="61"/>
      <c r="RRS2461" s="54"/>
      <c r="RRT2461" s="54"/>
      <c r="RRU2461" s="63"/>
      <c r="RRV2461" s="60"/>
      <c r="RRW2461" s="60"/>
      <c r="RRX2461" s="60"/>
      <c r="RRY2461" s="63"/>
      <c r="RRZ2461" s="61"/>
      <c r="RSA2461" s="54"/>
      <c r="RSB2461" s="54"/>
      <c r="RSC2461" s="63"/>
      <c r="RSD2461" s="60"/>
      <c r="RSE2461" s="60"/>
      <c r="RSF2461" s="60"/>
      <c r="RSG2461" s="63"/>
      <c r="RSH2461" s="61"/>
      <c r="RSI2461" s="54"/>
      <c r="RSJ2461" s="54"/>
      <c r="RSK2461" s="63"/>
      <c r="RSL2461" s="60"/>
      <c r="RSM2461" s="60"/>
      <c r="RSN2461" s="60"/>
      <c r="RSO2461" s="63"/>
      <c r="RSP2461" s="61"/>
      <c r="RSQ2461" s="54"/>
      <c r="RSR2461" s="54"/>
      <c r="RSS2461" s="63"/>
      <c r="RST2461" s="60"/>
      <c r="RSU2461" s="60"/>
      <c r="RSV2461" s="60"/>
      <c r="RSW2461" s="63"/>
      <c r="RSX2461" s="61"/>
      <c r="RSY2461" s="54"/>
      <c r="RSZ2461" s="54"/>
      <c r="RTA2461" s="63"/>
      <c r="RTB2461" s="60"/>
      <c r="RTC2461" s="60"/>
      <c r="RTD2461" s="60"/>
      <c r="RTE2461" s="63"/>
      <c r="RTF2461" s="61"/>
      <c r="RTG2461" s="54"/>
      <c r="RTH2461" s="54"/>
      <c r="RTI2461" s="63"/>
      <c r="RTJ2461" s="60"/>
      <c r="RTK2461" s="60"/>
      <c r="RTL2461" s="60"/>
      <c r="RTM2461" s="63"/>
      <c r="RTN2461" s="61"/>
      <c r="RTO2461" s="54"/>
      <c r="RTP2461" s="54"/>
      <c r="RTQ2461" s="63"/>
      <c r="RTR2461" s="60"/>
      <c r="RTS2461" s="60"/>
      <c r="RTT2461" s="60"/>
      <c r="RTU2461" s="63"/>
      <c r="RTV2461" s="61"/>
      <c r="RTW2461" s="54"/>
      <c r="RTX2461" s="54"/>
      <c r="RTY2461" s="63"/>
      <c r="RTZ2461" s="60"/>
      <c r="RUA2461" s="60"/>
      <c r="RUB2461" s="60"/>
      <c r="RUC2461" s="63"/>
      <c r="RUD2461" s="61"/>
      <c r="RUE2461" s="54"/>
      <c r="RUF2461" s="54"/>
      <c r="RUG2461" s="63"/>
      <c r="RUH2461" s="60"/>
      <c r="RUI2461" s="60"/>
      <c r="RUJ2461" s="60"/>
      <c r="RUK2461" s="63"/>
      <c r="RUL2461" s="61"/>
      <c r="RUM2461" s="54"/>
      <c r="RUN2461" s="54"/>
      <c r="RUO2461" s="63"/>
      <c r="RUP2461" s="60"/>
      <c r="RUQ2461" s="60"/>
      <c r="RUR2461" s="60"/>
      <c r="RUS2461" s="63"/>
      <c r="RUT2461" s="61"/>
      <c r="RUU2461" s="54"/>
      <c r="RUV2461" s="54"/>
      <c r="RUW2461" s="63"/>
      <c r="RUX2461" s="60"/>
      <c r="RUY2461" s="60"/>
      <c r="RUZ2461" s="60"/>
      <c r="RVA2461" s="63"/>
      <c r="RVB2461" s="61"/>
      <c r="RVC2461" s="54"/>
      <c r="RVD2461" s="54"/>
      <c r="RVE2461" s="63"/>
      <c r="RVF2461" s="60"/>
      <c r="RVG2461" s="60"/>
      <c r="RVH2461" s="60"/>
      <c r="RVI2461" s="63"/>
      <c r="RVJ2461" s="61"/>
      <c r="RVK2461" s="54"/>
      <c r="RVL2461" s="54"/>
      <c r="RVM2461" s="63"/>
      <c r="RVN2461" s="60"/>
      <c r="RVO2461" s="60"/>
      <c r="RVP2461" s="60"/>
      <c r="RVQ2461" s="63"/>
      <c r="RVR2461" s="61"/>
      <c r="RVS2461" s="54"/>
      <c r="RVT2461" s="54"/>
      <c r="RVU2461" s="63"/>
      <c r="RVV2461" s="60"/>
      <c r="RVW2461" s="60"/>
      <c r="RVX2461" s="60"/>
      <c r="RVY2461" s="63"/>
      <c r="RVZ2461" s="61"/>
      <c r="RWA2461" s="54"/>
      <c r="RWB2461" s="54"/>
      <c r="RWC2461" s="63"/>
      <c r="RWD2461" s="60"/>
      <c r="RWE2461" s="60"/>
      <c r="RWF2461" s="60"/>
      <c r="RWG2461" s="63"/>
      <c r="RWH2461" s="61"/>
      <c r="RWI2461" s="54"/>
      <c r="RWJ2461" s="54"/>
      <c r="RWK2461" s="63"/>
      <c r="RWL2461" s="60"/>
      <c r="RWM2461" s="60"/>
      <c r="RWN2461" s="60"/>
      <c r="RWO2461" s="63"/>
      <c r="RWP2461" s="61"/>
      <c r="RWQ2461" s="54"/>
      <c r="RWR2461" s="54"/>
      <c r="RWS2461" s="63"/>
      <c r="RWT2461" s="60"/>
      <c r="RWU2461" s="60"/>
      <c r="RWV2461" s="60"/>
      <c r="RWW2461" s="63"/>
      <c r="RWX2461" s="61"/>
      <c r="RWY2461" s="54"/>
      <c r="RWZ2461" s="54"/>
      <c r="RXA2461" s="63"/>
      <c r="RXB2461" s="60"/>
      <c r="RXC2461" s="60"/>
      <c r="RXD2461" s="60"/>
      <c r="RXE2461" s="63"/>
      <c r="RXF2461" s="61"/>
      <c r="RXG2461" s="54"/>
      <c r="RXH2461" s="54"/>
      <c r="RXI2461" s="63"/>
      <c r="RXJ2461" s="60"/>
      <c r="RXK2461" s="60"/>
      <c r="RXL2461" s="60"/>
      <c r="RXM2461" s="63"/>
      <c r="RXN2461" s="61"/>
      <c r="RXO2461" s="54"/>
      <c r="RXP2461" s="54"/>
      <c r="RXQ2461" s="63"/>
      <c r="RXR2461" s="60"/>
      <c r="RXS2461" s="60"/>
      <c r="RXT2461" s="60"/>
      <c r="RXU2461" s="63"/>
      <c r="RXV2461" s="61"/>
      <c r="RXW2461" s="54"/>
      <c r="RXX2461" s="54"/>
      <c r="RXY2461" s="63"/>
      <c r="RXZ2461" s="60"/>
      <c r="RYA2461" s="60"/>
      <c r="RYB2461" s="60"/>
      <c r="RYC2461" s="63"/>
      <c r="RYD2461" s="61"/>
      <c r="RYE2461" s="54"/>
      <c r="RYF2461" s="54"/>
      <c r="RYG2461" s="63"/>
      <c r="RYH2461" s="60"/>
      <c r="RYI2461" s="60"/>
      <c r="RYJ2461" s="60"/>
      <c r="RYK2461" s="63"/>
      <c r="RYL2461" s="61"/>
      <c r="RYM2461" s="54"/>
      <c r="RYN2461" s="54"/>
      <c r="RYO2461" s="63"/>
      <c r="RYP2461" s="60"/>
      <c r="RYQ2461" s="60"/>
      <c r="RYR2461" s="60"/>
      <c r="RYS2461" s="63"/>
      <c r="RYT2461" s="61"/>
      <c r="RYU2461" s="54"/>
      <c r="RYV2461" s="54"/>
      <c r="RYW2461" s="63"/>
      <c r="RYX2461" s="60"/>
      <c r="RYY2461" s="60"/>
      <c r="RYZ2461" s="60"/>
      <c r="RZA2461" s="63"/>
      <c r="RZB2461" s="61"/>
      <c r="RZC2461" s="54"/>
      <c r="RZD2461" s="54"/>
      <c r="RZE2461" s="63"/>
      <c r="RZF2461" s="60"/>
      <c r="RZG2461" s="60"/>
      <c r="RZH2461" s="60"/>
      <c r="RZI2461" s="63"/>
      <c r="RZJ2461" s="61"/>
      <c r="RZK2461" s="54"/>
      <c r="RZL2461" s="54"/>
      <c r="RZM2461" s="63"/>
      <c r="RZN2461" s="60"/>
      <c r="RZO2461" s="60"/>
      <c r="RZP2461" s="60"/>
      <c r="RZQ2461" s="63"/>
      <c r="RZR2461" s="61"/>
      <c r="RZS2461" s="54"/>
      <c r="RZT2461" s="54"/>
      <c r="RZU2461" s="63"/>
      <c r="RZV2461" s="60"/>
      <c r="RZW2461" s="60"/>
      <c r="RZX2461" s="60"/>
      <c r="RZY2461" s="63"/>
      <c r="RZZ2461" s="61"/>
      <c r="SAA2461" s="54"/>
      <c r="SAB2461" s="54"/>
      <c r="SAC2461" s="63"/>
      <c r="SAD2461" s="60"/>
      <c r="SAE2461" s="60"/>
      <c r="SAF2461" s="60"/>
      <c r="SAG2461" s="63"/>
      <c r="SAH2461" s="61"/>
      <c r="SAI2461" s="54"/>
      <c r="SAJ2461" s="54"/>
      <c r="SAK2461" s="63"/>
      <c r="SAL2461" s="60"/>
      <c r="SAM2461" s="60"/>
      <c r="SAN2461" s="60"/>
      <c r="SAO2461" s="63"/>
      <c r="SAP2461" s="61"/>
      <c r="SAQ2461" s="54"/>
      <c r="SAR2461" s="54"/>
      <c r="SAS2461" s="63"/>
      <c r="SAT2461" s="60"/>
      <c r="SAU2461" s="60"/>
      <c r="SAV2461" s="60"/>
      <c r="SAW2461" s="63"/>
      <c r="SAX2461" s="61"/>
      <c r="SAY2461" s="54"/>
      <c r="SAZ2461" s="54"/>
      <c r="SBA2461" s="63"/>
      <c r="SBB2461" s="60"/>
      <c r="SBC2461" s="60"/>
      <c r="SBD2461" s="60"/>
      <c r="SBE2461" s="63"/>
      <c r="SBF2461" s="61"/>
      <c r="SBG2461" s="54"/>
      <c r="SBH2461" s="54"/>
      <c r="SBI2461" s="63"/>
      <c r="SBJ2461" s="60"/>
      <c r="SBK2461" s="60"/>
      <c r="SBL2461" s="60"/>
      <c r="SBM2461" s="63"/>
      <c r="SBN2461" s="61"/>
      <c r="SBO2461" s="54"/>
      <c r="SBP2461" s="54"/>
      <c r="SBQ2461" s="63"/>
      <c r="SBR2461" s="60"/>
      <c r="SBS2461" s="60"/>
      <c r="SBT2461" s="60"/>
      <c r="SBU2461" s="63"/>
      <c r="SBV2461" s="61"/>
      <c r="SBW2461" s="54"/>
      <c r="SBX2461" s="54"/>
      <c r="SBY2461" s="63"/>
      <c r="SBZ2461" s="60"/>
      <c r="SCA2461" s="60"/>
      <c r="SCB2461" s="60"/>
      <c r="SCC2461" s="63"/>
      <c r="SCD2461" s="61"/>
      <c r="SCE2461" s="54"/>
      <c r="SCF2461" s="54"/>
      <c r="SCG2461" s="63"/>
      <c r="SCH2461" s="60"/>
      <c r="SCI2461" s="60"/>
      <c r="SCJ2461" s="60"/>
      <c r="SCK2461" s="63"/>
      <c r="SCL2461" s="61"/>
      <c r="SCM2461" s="54"/>
      <c r="SCN2461" s="54"/>
      <c r="SCO2461" s="63"/>
      <c r="SCP2461" s="60"/>
      <c r="SCQ2461" s="60"/>
      <c r="SCR2461" s="60"/>
      <c r="SCS2461" s="63"/>
      <c r="SCT2461" s="61"/>
      <c r="SCU2461" s="54"/>
      <c r="SCV2461" s="54"/>
      <c r="SCW2461" s="63"/>
      <c r="SCX2461" s="60"/>
      <c r="SCY2461" s="60"/>
      <c r="SCZ2461" s="60"/>
      <c r="SDA2461" s="63"/>
      <c r="SDB2461" s="61"/>
      <c r="SDC2461" s="54"/>
      <c r="SDD2461" s="54"/>
      <c r="SDE2461" s="63"/>
      <c r="SDF2461" s="60"/>
      <c r="SDG2461" s="60"/>
      <c r="SDH2461" s="60"/>
      <c r="SDI2461" s="63"/>
      <c r="SDJ2461" s="61"/>
      <c r="SDK2461" s="54"/>
      <c r="SDL2461" s="54"/>
      <c r="SDM2461" s="63"/>
      <c r="SDN2461" s="60"/>
      <c r="SDO2461" s="60"/>
      <c r="SDP2461" s="60"/>
      <c r="SDQ2461" s="63"/>
      <c r="SDR2461" s="61"/>
      <c r="SDS2461" s="54"/>
      <c r="SDT2461" s="54"/>
      <c r="SDU2461" s="63"/>
      <c r="SDV2461" s="60"/>
      <c r="SDW2461" s="60"/>
      <c r="SDX2461" s="60"/>
      <c r="SDY2461" s="63"/>
      <c r="SDZ2461" s="61"/>
      <c r="SEA2461" s="54"/>
      <c r="SEB2461" s="54"/>
      <c r="SEC2461" s="63"/>
      <c r="SED2461" s="60"/>
      <c r="SEE2461" s="60"/>
      <c r="SEF2461" s="60"/>
      <c r="SEG2461" s="63"/>
      <c r="SEH2461" s="61"/>
      <c r="SEI2461" s="54"/>
      <c r="SEJ2461" s="54"/>
      <c r="SEK2461" s="63"/>
      <c r="SEL2461" s="60"/>
      <c r="SEM2461" s="60"/>
      <c r="SEN2461" s="60"/>
      <c r="SEO2461" s="63"/>
      <c r="SEP2461" s="61"/>
      <c r="SEQ2461" s="54"/>
      <c r="SER2461" s="54"/>
      <c r="SES2461" s="63"/>
      <c r="SET2461" s="60"/>
      <c r="SEU2461" s="60"/>
      <c r="SEV2461" s="60"/>
      <c r="SEW2461" s="63"/>
      <c r="SEX2461" s="61"/>
      <c r="SEY2461" s="54"/>
      <c r="SEZ2461" s="54"/>
      <c r="SFA2461" s="63"/>
      <c r="SFB2461" s="60"/>
      <c r="SFC2461" s="60"/>
      <c r="SFD2461" s="60"/>
      <c r="SFE2461" s="63"/>
      <c r="SFF2461" s="61"/>
      <c r="SFG2461" s="54"/>
      <c r="SFH2461" s="54"/>
      <c r="SFI2461" s="63"/>
      <c r="SFJ2461" s="60"/>
      <c r="SFK2461" s="60"/>
      <c r="SFL2461" s="60"/>
      <c r="SFM2461" s="63"/>
      <c r="SFN2461" s="61"/>
      <c r="SFO2461" s="54"/>
      <c r="SFP2461" s="54"/>
      <c r="SFQ2461" s="63"/>
      <c r="SFR2461" s="60"/>
      <c r="SFS2461" s="60"/>
      <c r="SFT2461" s="60"/>
      <c r="SFU2461" s="63"/>
      <c r="SFV2461" s="61"/>
      <c r="SFW2461" s="54"/>
      <c r="SFX2461" s="54"/>
      <c r="SFY2461" s="63"/>
      <c r="SFZ2461" s="60"/>
      <c r="SGA2461" s="60"/>
      <c r="SGB2461" s="60"/>
      <c r="SGC2461" s="63"/>
      <c r="SGD2461" s="61"/>
      <c r="SGE2461" s="54"/>
      <c r="SGF2461" s="54"/>
      <c r="SGG2461" s="63"/>
      <c r="SGH2461" s="60"/>
      <c r="SGI2461" s="60"/>
      <c r="SGJ2461" s="60"/>
      <c r="SGK2461" s="63"/>
      <c r="SGL2461" s="61"/>
      <c r="SGM2461" s="54"/>
      <c r="SGN2461" s="54"/>
      <c r="SGO2461" s="63"/>
      <c r="SGP2461" s="60"/>
      <c r="SGQ2461" s="60"/>
      <c r="SGR2461" s="60"/>
      <c r="SGS2461" s="63"/>
      <c r="SGT2461" s="61"/>
      <c r="SGU2461" s="54"/>
      <c r="SGV2461" s="54"/>
      <c r="SGW2461" s="63"/>
      <c r="SGX2461" s="60"/>
      <c r="SGY2461" s="60"/>
      <c r="SGZ2461" s="60"/>
      <c r="SHA2461" s="63"/>
      <c r="SHB2461" s="61"/>
      <c r="SHC2461" s="54"/>
      <c r="SHD2461" s="54"/>
      <c r="SHE2461" s="63"/>
      <c r="SHF2461" s="60"/>
      <c r="SHG2461" s="60"/>
      <c r="SHH2461" s="60"/>
      <c r="SHI2461" s="63"/>
      <c r="SHJ2461" s="61"/>
      <c r="SHK2461" s="54"/>
      <c r="SHL2461" s="54"/>
      <c r="SHM2461" s="63"/>
      <c r="SHN2461" s="60"/>
      <c r="SHO2461" s="60"/>
      <c r="SHP2461" s="60"/>
      <c r="SHQ2461" s="63"/>
      <c r="SHR2461" s="61"/>
      <c r="SHS2461" s="54"/>
      <c r="SHT2461" s="54"/>
      <c r="SHU2461" s="63"/>
      <c r="SHV2461" s="60"/>
      <c r="SHW2461" s="60"/>
      <c r="SHX2461" s="60"/>
      <c r="SHY2461" s="63"/>
      <c r="SHZ2461" s="61"/>
      <c r="SIA2461" s="54"/>
      <c r="SIB2461" s="54"/>
      <c r="SIC2461" s="63"/>
      <c r="SID2461" s="60"/>
      <c r="SIE2461" s="60"/>
      <c r="SIF2461" s="60"/>
      <c r="SIG2461" s="63"/>
      <c r="SIH2461" s="61"/>
      <c r="SII2461" s="54"/>
      <c r="SIJ2461" s="54"/>
      <c r="SIK2461" s="63"/>
      <c r="SIL2461" s="60"/>
      <c r="SIM2461" s="60"/>
      <c r="SIN2461" s="60"/>
      <c r="SIO2461" s="63"/>
      <c r="SIP2461" s="61"/>
      <c r="SIQ2461" s="54"/>
      <c r="SIR2461" s="54"/>
      <c r="SIS2461" s="63"/>
      <c r="SIT2461" s="60"/>
      <c r="SIU2461" s="60"/>
      <c r="SIV2461" s="60"/>
      <c r="SIW2461" s="63"/>
      <c r="SIX2461" s="61"/>
      <c r="SIY2461" s="54"/>
      <c r="SIZ2461" s="54"/>
      <c r="SJA2461" s="63"/>
      <c r="SJB2461" s="60"/>
      <c r="SJC2461" s="60"/>
      <c r="SJD2461" s="60"/>
      <c r="SJE2461" s="63"/>
      <c r="SJF2461" s="61"/>
      <c r="SJG2461" s="54"/>
      <c r="SJH2461" s="54"/>
      <c r="SJI2461" s="63"/>
      <c r="SJJ2461" s="60"/>
      <c r="SJK2461" s="60"/>
      <c r="SJL2461" s="60"/>
      <c r="SJM2461" s="63"/>
      <c r="SJN2461" s="61"/>
      <c r="SJO2461" s="54"/>
      <c r="SJP2461" s="54"/>
      <c r="SJQ2461" s="63"/>
      <c r="SJR2461" s="60"/>
      <c r="SJS2461" s="60"/>
      <c r="SJT2461" s="60"/>
      <c r="SJU2461" s="63"/>
      <c r="SJV2461" s="61"/>
      <c r="SJW2461" s="54"/>
      <c r="SJX2461" s="54"/>
      <c r="SJY2461" s="63"/>
      <c r="SJZ2461" s="60"/>
      <c r="SKA2461" s="60"/>
      <c r="SKB2461" s="60"/>
      <c r="SKC2461" s="63"/>
      <c r="SKD2461" s="61"/>
      <c r="SKE2461" s="54"/>
      <c r="SKF2461" s="54"/>
      <c r="SKG2461" s="63"/>
      <c r="SKH2461" s="60"/>
      <c r="SKI2461" s="60"/>
      <c r="SKJ2461" s="60"/>
      <c r="SKK2461" s="63"/>
      <c r="SKL2461" s="61"/>
      <c r="SKM2461" s="54"/>
      <c r="SKN2461" s="54"/>
      <c r="SKO2461" s="63"/>
      <c r="SKP2461" s="60"/>
      <c r="SKQ2461" s="60"/>
      <c r="SKR2461" s="60"/>
      <c r="SKS2461" s="63"/>
      <c r="SKT2461" s="61"/>
      <c r="SKU2461" s="54"/>
      <c r="SKV2461" s="54"/>
      <c r="SKW2461" s="63"/>
      <c r="SKX2461" s="60"/>
      <c r="SKY2461" s="60"/>
      <c r="SKZ2461" s="60"/>
      <c r="SLA2461" s="63"/>
      <c r="SLB2461" s="61"/>
      <c r="SLC2461" s="54"/>
      <c r="SLD2461" s="54"/>
      <c r="SLE2461" s="63"/>
      <c r="SLF2461" s="60"/>
      <c r="SLG2461" s="60"/>
      <c r="SLH2461" s="60"/>
      <c r="SLI2461" s="63"/>
      <c r="SLJ2461" s="61"/>
      <c r="SLK2461" s="54"/>
      <c r="SLL2461" s="54"/>
      <c r="SLM2461" s="63"/>
      <c r="SLN2461" s="60"/>
      <c r="SLO2461" s="60"/>
      <c r="SLP2461" s="60"/>
      <c r="SLQ2461" s="63"/>
      <c r="SLR2461" s="61"/>
      <c r="SLS2461" s="54"/>
      <c r="SLT2461" s="54"/>
      <c r="SLU2461" s="63"/>
      <c r="SLV2461" s="60"/>
      <c r="SLW2461" s="60"/>
      <c r="SLX2461" s="60"/>
      <c r="SLY2461" s="63"/>
      <c r="SLZ2461" s="61"/>
      <c r="SMA2461" s="54"/>
      <c r="SMB2461" s="54"/>
      <c r="SMC2461" s="63"/>
      <c r="SMD2461" s="60"/>
      <c r="SME2461" s="60"/>
      <c r="SMF2461" s="60"/>
      <c r="SMG2461" s="63"/>
      <c r="SMH2461" s="61"/>
      <c r="SMI2461" s="54"/>
      <c r="SMJ2461" s="54"/>
      <c r="SMK2461" s="63"/>
      <c r="SML2461" s="60"/>
      <c r="SMM2461" s="60"/>
      <c r="SMN2461" s="60"/>
      <c r="SMO2461" s="63"/>
      <c r="SMP2461" s="61"/>
      <c r="SMQ2461" s="54"/>
      <c r="SMR2461" s="54"/>
      <c r="SMS2461" s="63"/>
      <c r="SMT2461" s="60"/>
      <c r="SMU2461" s="60"/>
      <c r="SMV2461" s="60"/>
      <c r="SMW2461" s="63"/>
      <c r="SMX2461" s="61"/>
      <c r="SMY2461" s="54"/>
      <c r="SMZ2461" s="54"/>
      <c r="SNA2461" s="63"/>
      <c r="SNB2461" s="60"/>
      <c r="SNC2461" s="60"/>
      <c r="SND2461" s="60"/>
      <c r="SNE2461" s="63"/>
      <c r="SNF2461" s="61"/>
      <c r="SNG2461" s="54"/>
      <c r="SNH2461" s="54"/>
      <c r="SNI2461" s="63"/>
      <c r="SNJ2461" s="60"/>
      <c r="SNK2461" s="60"/>
      <c r="SNL2461" s="60"/>
      <c r="SNM2461" s="63"/>
      <c r="SNN2461" s="61"/>
      <c r="SNO2461" s="54"/>
      <c r="SNP2461" s="54"/>
      <c r="SNQ2461" s="63"/>
      <c r="SNR2461" s="60"/>
      <c r="SNS2461" s="60"/>
      <c r="SNT2461" s="60"/>
      <c r="SNU2461" s="63"/>
      <c r="SNV2461" s="61"/>
      <c r="SNW2461" s="54"/>
      <c r="SNX2461" s="54"/>
      <c r="SNY2461" s="63"/>
      <c r="SNZ2461" s="60"/>
      <c r="SOA2461" s="60"/>
      <c r="SOB2461" s="60"/>
      <c r="SOC2461" s="63"/>
      <c r="SOD2461" s="61"/>
      <c r="SOE2461" s="54"/>
      <c r="SOF2461" s="54"/>
      <c r="SOG2461" s="63"/>
      <c r="SOH2461" s="60"/>
      <c r="SOI2461" s="60"/>
      <c r="SOJ2461" s="60"/>
      <c r="SOK2461" s="63"/>
      <c r="SOL2461" s="61"/>
      <c r="SOM2461" s="54"/>
      <c r="SON2461" s="54"/>
      <c r="SOO2461" s="63"/>
      <c r="SOP2461" s="60"/>
      <c r="SOQ2461" s="60"/>
      <c r="SOR2461" s="60"/>
      <c r="SOS2461" s="63"/>
      <c r="SOT2461" s="61"/>
      <c r="SOU2461" s="54"/>
      <c r="SOV2461" s="54"/>
      <c r="SOW2461" s="63"/>
      <c r="SOX2461" s="60"/>
      <c r="SOY2461" s="60"/>
      <c r="SOZ2461" s="60"/>
      <c r="SPA2461" s="63"/>
      <c r="SPB2461" s="61"/>
      <c r="SPC2461" s="54"/>
      <c r="SPD2461" s="54"/>
      <c r="SPE2461" s="63"/>
      <c r="SPF2461" s="60"/>
      <c r="SPG2461" s="60"/>
      <c r="SPH2461" s="60"/>
      <c r="SPI2461" s="63"/>
      <c r="SPJ2461" s="61"/>
      <c r="SPK2461" s="54"/>
      <c r="SPL2461" s="54"/>
      <c r="SPM2461" s="63"/>
      <c r="SPN2461" s="60"/>
      <c r="SPO2461" s="60"/>
      <c r="SPP2461" s="60"/>
      <c r="SPQ2461" s="63"/>
      <c r="SPR2461" s="61"/>
      <c r="SPS2461" s="54"/>
      <c r="SPT2461" s="54"/>
      <c r="SPU2461" s="63"/>
      <c r="SPV2461" s="60"/>
      <c r="SPW2461" s="60"/>
      <c r="SPX2461" s="60"/>
      <c r="SPY2461" s="63"/>
      <c r="SPZ2461" s="61"/>
      <c r="SQA2461" s="54"/>
      <c r="SQB2461" s="54"/>
      <c r="SQC2461" s="63"/>
      <c r="SQD2461" s="60"/>
      <c r="SQE2461" s="60"/>
      <c r="SQF2461" s="60"/>
      <c r="SQG2461" s="63"/>
      <c r="SQH2461" s="61"/>
      <c r="SQI2461" s="54"/>
      <c r="SQJ2461" s="54"/>
      <c r="SQK2461" s="63"/>
      <c r="SQL2461" s="60"/>
      <c r="SQM2461" s="60"/>
      <c r="SQN2461" s="60"/>
      <c r="SQO2461" s="63"/>
      <c r="SQP2461" s="61"/>
      <c r="SQQ2461" s="54"/>
      <c r="SQR2461" s="54"/>
      <c r="SQS2461" s="63"/>
      <c r="SQT2461" s="60"/>
      <c r="SQU2461" s="60"/>
      <c r="SQV2461" s="60"/>
      <c r="SQW2461" s="63"/>
      <c r="SQX2461" s="61"/>
      <c r="SQY2461" s="54"/>
      <c r="SQZ2461" s="54"/>
      <c r="SRA2461" s="63"/>
      <c r="SRB2461" s="60"/>
      <c r="SRC2461" s="60"/>
      <c r="SRD2461" s="60"/>
      <c r="SRE2461" s="63"/>
      <c r="SRF2461" s="61"/>
      <c r="SRG2461" s="54"/>
      <c r="SRH2461" s="54"/>
      <c r="SRI2461" s="63"/>
      <c r="SRJ2461" s="60"/>
      <c r="SRK2461" s="60"/>
      <c r="SRL2461" s="60"/>
      <c r="SRM2461" s="63"/>
      <c r="SRN2461" s="61"/>
      <c r="SRO2461" s="54"/>
      <c r="SRP2461" s="54"/>
      <c r="SRQ2461" s="63"/>
      <c r="SRR2461" s="60"/>
      <c r="SRS2461" s="60"/>
      <c r="SRT2461" s="60"/>
      <c r="SRU2461" s="63"/>
      <c r="SRV2461" s="61"/>
      <c r="SRW2461" s="54"/>
      <c r="SRX2461" s="54"/>
      <c r="SRY2461" s="63"/>
      <c r="SRZ2461" s="60"/>
      <c r="SSA2461" s="60"/>
      <c r="SSB2461" s="60"/>
      <c r="SSC2461" s="63"/>
      <c r="SSD2461" s="61"/>
      <c r="SSE2461" s="54"/>
      <c r="SSF2461" s="54"/>
      <c r="SSG2461" s="63"/>
      <c r="SSH2461" s="60"/>
      <c r="SSI2461" s="60"/>
      <c r="SSJ2461" s="60"/>
      <c r="SSK2461" s="63"/>
      <c r="SSL2461" s="61"/>
      <c r="SSM2461" s="54"/>
      <c r="SSN2461" s="54"/>
      <c r="SSO2461" s="63"/>
      <c r="SSP2461" s="60"/>
      <c r="SSQ2461" s="60"/>
      <c r="SSR2461" s="60"/>
      <c r="SSS2461" s="63"/>
      <c r="SST2461" s="61"/>
      <c r="SSU2461" s="54"/>
      <c r="SSV2461" s="54"/>
      <c r="SSW2461" s="63"/>
      <c r="SSX2461" s="60"/>
      <c r="SSY2461" s="60"/>
      <c r="SSZ2461" s="60"/>
      <c r="STA2461" s="63"/>
      <c r="STB2461" s="61"/>
      <c r="STC2461" s="54"/>
      <c r="STD2461" s="54"/>
      <c r="STE2461" s="63"/>
      <c r="STF2461" s="60"/>
      <c r="STG2461" s="60"/>
      <c r="STH2461" s="60"/>
      <c r="STI2461" s="63"/>
      <c r="STJ2461" s="61"/>
      <c r="STK2461" s="54"/>
      <c r="STL2461" s="54"/>
      <c r="STM2461" s="63"/>
      <c r="STN2461" s="60"/>
      <c r="STO2461" s="60"/>
      <c r="STP2461" s="60"/>
      <c r="STQ2461" s="63"/>
      <c r="STR2461" s="61"/>
      <c r="STS2461" s="54"/>
      <c r="STT2461" s="54"/>
      <c r="STU2461" s="63"/>
      <c r="STV2461" s="60"/>
      <c r="STW2461" s="60"/>
      <c r="STX2461" s="60"/>
      <c r="STY2461" s="63"/>
      <c r="STZ2461" s="61"/>
      <c r="SUA2461" s="54"/>
      <c r="SUB2461" s="54"/>
      <c r="SUC2461" s="63"/>
      <c r="SUD2461" s="60"/>
      <c r="SUE2461" s="60"/>
      <c r="SUF2461" s="60"/>
      <c r="SUG2461" s="63"/>
      <c r="SUH2461" s="61"/>
      <c r="SUI2461" s="54"/>
      <c r="SUJ2461" s="54"/>
      <c r="SUK2461" s="63"/>
      <c r="SUL2461" s="60"/>
      <c r="SUM2461" s="60"/>
      <c r="SUN2461" s="60"/>
      <c r="SUO2461" s="63"/>
      <c r="SUP2461" s="61"/>
      <c r="SUQ2461" s="54"/>
      <c r="SUR2461" s="54"/>
      <c r="SUS2461" s="63"/>
      <c r="SUT2461" s="60"/>
      <c r="SUU2461" s="60"/>
      <c r="SUV2461" s="60"/>
      <c r="SUW2461" s="63"/>
      <c r="SUX2461" s="61"/>
      <c r="SUY2461" s="54"/>
      <c r="SUZ2461" s="54"/>
      <c r="SVA2461" s="63"/>
      <c r="SVB2461" s="60"/>
      <c r="SVC2461" s="60"/>
      <c r="SVD2461" s="60"/>
      <c r="SVE2461" s="63"/>
      <c r="SVF2461" s="61"/>
      <c r="SVG2461" s="54"/>
      <c r="SVH2461" s="54"/>
      <c r="SVI2461" s="63"/>
      <c r="SVJ2461" s="60"/>
      <c r="SVK2461" s="60"/>
      <c r="SVL2461" s="60"/>
      <c r="SVM2461" s="63"/>
      <c r="SVN2461" s="61"/>
      <c r="SVO2461" s="54"/>
      <c r="SVP2461" s="54"/>
      <c r="SVQ2461" s="63"/>
      <c r="SVR2461" s="60"/>
      <c r="SVS2461" s="60"/>
      <c r="SVT2461" s="60"/>
      <c r="SVU2461" s="63"/>
      <c r="SVV2461" s="61"/>
      <c r="SVW2461" s="54"/>
      <c r="SVX2461" s="54"/>
      <c r="SVY2461" s="63"/>
      <c r="SVZ2461" s="60"/>
      <c r="SWA2461" s="60"/>
      <c r="SWB2461" s="60"/>
      <c r="SWC2461" s="63"/>
      <c r="SWD2461" s="61"/>
      <c r="SWE2461" s="54"/>
      <c r="SWF2461" s="54"/>
      <c r="SWG2461" s="63"/>
      <c r="SWH2461" s="60"/>
      <c r="SWI2461" s="60"/>
      <c r="SWJ2461" s="60"/>
      <c r="SWK2461" s="63"/>
      <c r="SWL2461" s="61"/>
      <c r="SWM2461" s="54"/>
      <c r="SWN2461" s="54"/>
      <c r="SWO2461" s="63"/>
      <c r="SWP2461" s="60"/>
      <c r="SWQ2461" s="60"/>
      <c r="SWR2461" s="60"/>
      <c r="SWS2461" s="63"/>
      <c r="SWT2461" s="61"/>
      <c r="SWU2461" s="54"/>
      <c r="SWV2461" s="54"/>
      <c r="SWW2461" s="63"/>
      <c r="SWX2461" s="60"/>
      <c r="SWY2461" s="60"/>
      <c r="SWZ2461" s="60"/>
      <c r="SXA2461" s="63"/>
      <c r="SXB2461" s="61"/>
      <c r="SXC2461" s="54"/>
      <c r="SXD2461" s="54"/>
      <c r="SXE2461" s="63"/>
      <c r="SXF2461" s="60"/>
      <c r="SXG2461" s="60"/>
      <c r="SXH2461" s="60"/>
      <c r="SXI2461" s="63"/>
      <c r="SXJ2461" s="61"/>
      <c r="SXK2461" s="54"/>
      <c r="SXL2461" s="54"/>
      <c r="SXM2461" s="63"/>
      <c r="SXN2461" s="60"/>
      <c r="SXO2461" s="60"/>
      <c r="SXP2461" s="60"/>
      <c r="SXQ2461" s="63"/>
      <c r="SXR2461" s="61"/>
      <c r="SXS2461" s="54"/>
      <c r="SXT2461" s="54"/>
      <c r="SXU2461" s="63"/>
      <c r="SXV2461" s="60"/>
      <c r="SXW2461" s="60"/>
      <c r="SXX2461" s="60"/>
      <c r="SXY2461" s="63"/>
      <c r="SXZ2461" s="61"/>
      <c r="SYA2461" s="54"/>
      <c r="SYB2461" s="54"/>
      <c r="SYC2461" s="63"/>
      <c r="SYD2461" s="60"/>
      <c r="SYE2461" s="60"/>
      <c r="SYF2461" s="60"/>
      <c r="SYG2461" s="63"/>
      <c r="SYH2461" s="61"/>
      <c r="SYI2461" s="54"/>
      <c r="SYJ2461" s="54"/>
      <c r="SYK2461" s="63"/>
      <c r="SYL2461" s="60"/>
      <c r="SYM2461" s="60"/>
      <c r="SYN2461" s="60"/>
      <c r="SYO2461" s="63"/>
      <c r="SYP2461" s="61"/>
      <c r="SYQ2461" s="54"/>
      <c r="SYR2461" s="54"/>
      <c r="SYS2461" s="63"/>
      <c r="SYT2461" s="60"/>
      <c r="SYU2461" s="60"/>
      <c r="SYV2461" s="60"/>
      <c r="SYW2461" s="63"/>
      <c r="SYX2461" s="61"/>
      <c r="SYY2461" s="54"/>
      <c r="SYZ2461" s="54"/>
      <c r="SZA2461" s="63"/>
      <c r="SZB2461" s="60"/>
      <c r="SZC2461" s="60"/>
      <c r="SZD2461" s="60"/>
      <c r="SZE2461" s="63"/>
      <c r="SZF2461" s="61"/>
      <c r="SZG2461" s="54"/>
      <c r="SZH2461" s="54"/>
      <c r="SZI2461" s="63"/>
      <c r="SZJ2461" s="60"/>
      <c r="SZK2461" s="60"/>
      <c r="SZL2461" s="60"/>
      <c r="SZM2461" s="63"/>
      <c r="SZN2461" s="61"/>
      <c r="SZO2461" s="54"/>
      <c r="SZP2461" s="54"/>
      <c r="SZQ2461" s="63"/>
      <c r="SZR2461" s="60"/>
      <c r="SZS2461" s="60"/>
      <c r="SZT2461" s="60"/>
      <c r="SZU2461" s="63"/>
      <c r="SZV2461" s="61"/>
      <c r="SZW2461" s="54"/>
      <c r="SZX2461" s="54"/>
      <c r="SZY2461" s="63"/>
      <c r="SZZ2461" s="60"/>
      <c r="TAA2461" s="60"/>
      <c r="TAB2461" s="60"/>
      <c r="TAC2461" s="63"/>
      <c r="TAD2461" s="61"/>
      <c r="TAE2461" s="54"/>
      <c r="TAF2461" s="54"/>
      <c r="TAG2461" s="63"/>
      <c r="TAH2461" s="60"/>
      <c r="TAI2461" s="60"/>
      <c r="TAJ2461" s="60"/>
      <c r="TAK2461" s="63"/>
      <c r="TAL2461" s="61"/>
      <c r="TAM2461" s="54"/>
      <c r="TAN2461" s="54"/>
      <c r="TAO2461" s="63"/>
      <c r="TAP2461" s="60"/>
      <c r="TAQ2461" s="60"/>
      <c r="TAR2461" s="60"/>
      <c r="TAS2461" s="63"/>
      <c r="TAT2461" s="61"/>
      <c r="TAU2461" s="54"/>
      <c r="TAV2461" s="54"/>
      <c r="TAW2461" s="63"/>
      <c r="TAX2461" s="60"/>
      <c r="TAY2461" s="60"/>
      <c r="TAZ2461" s="60"/>
      <c r="TBA2461" s="63"/>
      <c r="TBB2461" s="61"/>
      <c r="TBC2461" s="54"/>
      <c r="TBD2461" s="54"/>
      <c r="TBE2461" s="63"/>
      <c r="TBF2461" s="60"/>
      <c r="TBG2461" s="60"/>
      <c r="TBH2461" s="60"/>
      <c r="TBI2461" s="63"/>
      <c r="TBJ2461" s="61"/>
      <c r="TBK2461" s="54"/>
      <c r="TBL2461" s="54"/>
      <c r="TBM2461" s="63"/>
      <c r="TBN2461" s="60"/>
      <c r="TBO2461" s="60"/>
      <c r="TBP2461" s="60"/>
      <c r="TBQ2461" s="63"/>
      <c r="TBR2461" s="61"/>
      <c r="TBS2461" s="54"/>
      <c r="TBT2461" s="54"/>
      <c r="TBU2461" s="63"/>
      <c r="TBV2461" s="60"/>
      <c r="TBW2461" s="60"/>
      <c r="TBX2461" s="60"/>
      <c r="TBY2461" s="63"/>
      <c r="TBZ2461" s="61"/>
      <c r="TCA2461" s="54"/>
      <c r="TCB2461" s="54"/>
      <c r="TCC2461" s="63"/>
      <c r="TCD2461" s="60"/>
      <c r="TCE2461" s="60"/>
      <c r="TCF2461" s="60"/>
      <c r="TCG2461" s="63"/>
      <c r="TCH2461" s="61"/>
      <c r="TCI2461" s="54"/>
      <c r="TCJ2461" s="54"/>
      <c r="TCK2461" s="63"/>
      <c r="TCL2461" s="60"/>
      <c r="TCM2461" s="60"/>
      <c r="TCN2461" s="60"/>
      <c r="TCO2461" s="63"/>
      <c r="TCP2461" s="61"/>
      <c r="TCQ2461" s="54"/>
      <c r="TCR2461" s="54"/>
      <c r="TCS2461" s="63"/>
      <c r="TCT2461" s="60"/>
      <c r="TCU2461" s="60"/>
      <c r="TCV2461" s="60"/>
      <c r="TCW2461" s="63"/>
      <c r="TCX2461" s="61"/>
      <c r="TCY2461" s="54"/>
      <c r="TCZ2461" s="54"/>
      <c r="TDA2461" s="63"/>
      <c r="TDB2461" s="60"/>
      <c r="TDC2461" s="60"/>
      <c r="TDD2461" s="60"/>
      <c r="TDE2461" s="63"/>
      <c r="TDF2461" s="61"/>
      <c r="TDG2461" s="54"/>
      <c r="TDH2461" s="54"/>
      <c r="TDI2461" s="63"/>
      <c r="TDJ2461" s="60"/>
      <c r="TDK2461" s="60"/>
      <c r="TDL2461" s="60"/>
      <c r="TDM2461" s="63"/>
      <c r="TDN2461" s="61"/>
      <c r="TDO2461" s="54"/>
      <c r="TDP2461" s="54"/>
      <c r="TDQ2461" s="63"/>
      <c r="TDR2461" s="60"/>
      <c r="TDS2461" s="60"/>
      <c r="TDT2461" s="60"/>
      <c r="TDU2461" s="63"/>
      <c r="TDV2461" s="61"/>
      <c r="TDW2461" s="54"/>
      <c r="TDX2461" s="54"/>
      <c r="TDY2461" s="63"/>
      <c r="TDZ2461" s="60"/>
      <c r="TEA2461" s="60"/>
      <c r="TEB2461" s="60"/>
      <c r="TEC2461" s="63"/>
      <c r="TED2461" s="61"/>
      <c r="TEE2461" s="54"/>
      <c r="TEF2461" s="54"/>
      <c r="TEG2461" s="63"/>
      <c r="TEH2461" s="60"/>
      <c r="TEI2461" s="60"/>
      <c r="TEJ2461" s="60"/>
      <c r="TEK2461" s="63"/>
      <c r="TEL2461" s="61"/>
      <c r="TEM2461" s="54"/>
      <c r="TEN2461" s="54"/>
      <c r="TEO2461" s="63"/>
      <c r="TEP2461" s="60"/>
      <c r="TEQ2461" s="60"/>
      <c r="TER2461" s="60"/>
      <c r="TES2461" s="63"/>
      <c r="TET2461" s="61"/>
      <c r="TEU2461" s="54"/>
      <c r="TEV2461" s="54"/>
      <c r="TEW2461" s="63"/>
      <c r="TEX2461" s="60"/>
      <c r="TEY2461" s="60"/>
      <c r="TEZ2461" s="60"/>
      <c r="TFA2461" s="63"/>
      <c r="TFB2461" s="61"/>
      <c r="TFC2461" s="54"/>
      <c r="TFD2461" s="54"/>
      <c r="TFE2461" s="63"/>
      <c r="TFF2461" s="60"/>
      <c r="TFG2461" s="60"/>
      <c r="TFH2461" s="60"/>
      <c r="TFI2461" s="63"/>
      <c r="TFJ2461" s="61"/>
      <c r="TFK2461" s="54"/>
      <c r="TFL2461" s="54"/>
      <c r="TFM2461" s="63"/>
      <c r="TFN2461" s="60"/>
      <c r="TFO2461" s="60"/>
      <c r="TFP2461" s="60"/>
      <c r="TFQ2461" s="63"/>
      <c r="TFR2461" s="61"/>
      <c r="TFS2461" s="54"/>
      <c r="TFT2461" s="54"/>
      <c r="TFU2461" s="63"/>
      <c r="TFV2461" s="60"/>
      <c r="TFW2461" s="60"/>
      <c r="TFX2461" s="60"/>
      <c r="TFY2461" s="63"/>
      <c r="TFZ2461" s="61"/>
      <c r="TGA2461" s="54"/>
      <c r="TGB2461" s="54"/>
      <c r="TGC2461" s="63"/>
      <c r="TGD2461" s="60"/>
      <c r="TGE2461" s="60"/>
      <c r="TGF2461" s="60"/>
      <c r="TGG2461" s="63"/>
      <c r="TGH2461" s="61"/>
      <c r="TGI2461" s="54"/>
      <c r="TGJ2461" s="54"/>
      <c r="TGK2461" s="63"/>
      <c r="TGL2461" s="60"/>
      <c r="TGM2461" s="60"/>
      <c r="TGN2461" s="60"/>
      <c r="TGO2461" s="63"/>
      <c r="TGP2461" s="61"/>
      <c r="TGQ2461" s="54"/>
      <c r="TGR2461" s="54"/>
      <c r="TGS2461" s="63"/>
      <c r="TGT2461" s="60"/>
      <c r="TGU2461" s="60"/>
      <c r="TGV2461" s="60"/>
      <c r="TGW2461" s="63"/>
      <c r="TGX2461" s="61"/>
      <c r="TGY2461" s="54"/>
      <c r="TGZ2461" s="54"/>
      <c r="THA2461" s="63"/>
      <c r="THB2461" s="60"/>
      <c r="THC2461" s="60"/>
      <c r="THD2461" s="60"/>
      <c r="THE2461" s="63"/>
      <c r="THF2461" s="61"/>
      <c r="THG2461" s="54"/>
      <c r="THH2461" s="54"/>
      <c r="THI2461" s="63"/>
      <c r="THJ2461" s="60"/>
      <c r="THK2461" s="60"/>
      <c r="THL2461" s="60"/>
      <c r="THM2461" s="63"/>
      <c r="THN2461" s="61"/>
      <c r="THO2461" s="54"/>
      <c r="THP2461" s="54"/>
      <c r="THQ2461" s="63"/>
      <c r="THR2461" s="60"/>
      <c r="THS2461" s="60"/>
      <c r="THT2461" s="60"/>
      <c r="THU2461" s="63"/>
      <c r="THV2461" s="61"/>
      <c r="THW2461" s="54"/>
      <c r="THX2461" s="54"/>
      <c r="THY2461" s="63"/>
      <c r="THZ2461" s="60"/>
      <c r="TIA2461" s="60"/>
      <c r="TIB2461" s="60"/>
      <c r="TIC2461" s="63"/>
      <c r="TID2461" s="61"/>
      <c r="TIE2461" s="54"/>
      <c r="TIF2461" s="54"/>
      <c r="TIG2461" s="63"/>
      <c r="TIH2461" s="60"/>
      <c r="TII2461" s="60"/>
      <c r="TIJ2461" s="60"/>
      <c r="TIK2461" s="63"/>
      <c r="TIL2461" s="61"/>
      <c r="TIM2461" s="54"/>
      <c r="TIN2461" s="54"/>
      <c r="TIO2461" s="63"/>
      <c r="TIP2461" s="60"/>
      <c r="TIQ2461" s="60"/>
      <c r="TIR2461" s="60"/>
      <c r="TIS2461" s="63"/>
      <c r="TIT2461" s="61"/>
      <c r="TIU2461" s="54"/>
      <c r="TIV2461" s="54"/>
      <c r="TIW2461" s="63"/>
      <c r="TIX2461" s="60"/>
      <c r="TIY2461" s="60"/>
      <c r="TIZ2461" s="60"/>
      <c r="TJA2461" s="63"/>
      <c r="TJB2461" s="61"/>
      <c r="TJC2461" s="54"/>
      <c r="TJD2461" s="54"/>
      <c r="TJE2461" s="63"/>
      <c r="TJF2461" s="60"/>
      <c r="TJG2461" s="60"/>
      <c r="TJH2461" s="60"/>
      <c r="TJI2461" s="63"/>
      <c r="TJJ2461" s="61"/>
      <c r="TJK2461" s="54"/>
      <c r="TJL2461" s="54"/>
      <c r="TJM2461" s="63"/>
      <c r="TJN2461" s="60"/>
      <c r="TJO2461" s="60"/>
      <c r="TJP2461" s="60"/>
      <c r="TJQ2461" s="63"/>
      <c r="TJR2461" s="61"/>
      <c r="TJS2461" s="54"/>
      <c r="TJT2461" s="54"/>
      <c r="TJU2461" s="63"/>
      <c r="TJV2461" s="60"/>
      <c r="TJW2461" s="60"/>
      <c r="TJX2461" s="60"/>
      <c r="TJY2461" s="63"/>
      <c r="TJZ2461" s="61"/>
      <c r="TKA2461" s="54"/>
      <c r="TKB2461" s="54"/>
      <c r="TKC2461" s="63"/>
      <c r="TKD2461" s="60"/>
      <c r="TKE2461" s="60"/>
      <c r="TKF2461" s="60"/>
      <c r="TKG2461" s="63"/>
      <c r="TKH2461" s="61"/>
      <c r="TKI2461" s="54"/>
      <c r="TKJ2461" s="54"/>
      <c r="TKK2461" s="63"/>
      <c r="TKL2461" s="60"/>
      <c r="TKM2461" s="60"/>
      <c r="TKN2461" s="60"/>
      <c r="TKO2461" s="63"/>
      <c r="TKP2461" s="61"/>
      <c r="TKQ2461" s="54"/>
      <c r="TKR2461" s="54"/>
      <c r="TKS2461" s="63"/>
      <c r="TKT2461" s="60"/>
      <c r="TKU2461" s="60"/>
      <c r="TKV2461" s="60"/>
      <c r="TKW2461" s="63"/>
      <c r="TKX2461" s="61"/>
      <c r="TKY2461" s="54"/>
      <c r="TKZ2461" s="54"/>
      <c r="TLA2461" s="63"/>
      <c r="TLB2461" s="60"/>
      <c r="TLC2461" s="60"/>
      <c r="TLD2461" s="60"/>
      <c r="TLE2461" s="63"/>
      <c r="TLF2461" s="61"/>
      <c r="TLG2461" s="54"/>
      <c r="TLH2461" s="54"/>
      <c r="TLI2461" s="63"/>
      <c r="TLJ2461" s="60"/>
      <c r="TLK2461" s="60"/>
      <c r="TLL2461" s="60"/>
      <c r="TLM2461" s="63"/>
      <c r="TLN2461" s="61"/>
      <c r="TLO2461" s="54"/>
      <c r="TLP2461" s="54"/>
      <c r="TLQ2461" s="63"/>
      <c r="TLR2461" s="60"/>
      <c r="TLS2461" s="60"/>
      <c r="TLT2461" s="60"/>
      <c r="TLU2461" s="63"/>
      <c r="TLV2461" s="61"/>
      <c r="TLW2461" s="54"/>
      <c r="TLX2461" s="54"/>
      <c r="TLY2461" s="63"/>
      <c r="TLZ2461" s="60"/>
      <c r="TMA2461" s="60"/>
      <c r="TMB2461" s="60"/>
      <c r="TMC2461" s="63"/>
      <c r="TMD2461" s="61"/>
      <c r="TME2461" s="54"/>
      <c r="TMF2461" s="54"/>
      <c r="TMG2461" s="63"/>
      <c r="TMH2461" s="60"/>
      <c r="TMI2461" s="60"/>
      <c r="TMJ2461" s="60"/>
      <c r="TMK2461" s="63"/>
      <c r="TML2461" s="61"/>
      <c r="TMM2461" s="54"/>
      <c r="TMN2461" s="54"/>
      <c r="TMO2461" s="63"/>
      <c r="TMP2461" s="60"/>
      <c r="TMQ2461" s="60"/>
      <c r="TMR2461" s="60"/>
      <c r="TMS2461" s="63"/>
      <c r="TMT2461" s="61"/>
      <c r="TMU2461" s="54"/>
      <c r="TMV2461" s="54"/>
      <c r="TMW2461" s="63"/>
      <c r="TMX2461" s="60"/>
      <c r="TMY2461" s="60"/>
      <c r="TMZ2461" s="60"/>
      <c r="TNA2461" s="63"/>
      <c r="TNB2461" s="61"/>
      <c r="TNC2461" s="54"/>
      <c r="TND2461" s="54"/>
      <c r="TNE2461" s="63"/>
      <c r="TNF2461" s="60"/>
      <c r="TNG2461" s="60"/>
      <c r="TNH2461" s="60"/>
      <c r="TNI2461" s="63"/>
      <c r="TNJ2461" s="61"/>
      <c r="TNK2461" s="54"/>
      <c r="TNL2461" s="54"/>
      <c r="TNM2461" s="63"/>
      <c r="TNN2461" s="60"/>
      <c r="TNO2461" s="60"/>
      <c r="TNP2461" s="60"/>
      <c r="TNQ2461" s="63"/>
      <c r="TNR2461" s="61"/>
      <c r="TNS2461" s="54"/>
      <c r="TNT2461" s="54"/>
      <c r="TNU2461" s="63"/>
      <c r="TNV2461" s="60"/>
      <c r="TNW2461" s="60"/>
      <c r="TNX2461" s="60"/>
      <c r="TNY2461" s="63"/>
      <c r="TNZ2461" s="61"/>
      <c r="TOA2461" s="54"/>
      <c r="TOB2461" s="54"/>
      <c r="TOC2461" s="63"/>
      <c r="TOD2461" s="60"/>
      <c r="TOE2461" s="60"/>
      <c r="TOF2461" s="60"/>
      <c r="TOG2461" s="63"/>
      <c r="TOH2461" s="61"/>
      <c r="TOI2461" s="54"/>
      <c r="TOJ2461" s="54"/>
      <c r="TOK2461" s="63"/>
      <c r="TOL2461" s="60"/>
      <c r="TOM2461" s="60"/>
      <c r="TON2461" s="60"/>
      <c r="TOO2461" s="63"/>
      <c r="TOP2461" s="61"/>
      <c r="TOQ2461" s="54"/>
      <c r="TOR2461" s="54"/>
      <c r="TOS2461" s="63"/>
      <c r="TOT2461" s="60"/>
      <c r="TOU2461" s="60"/>
      <c r="TOV2461" s="60"/>
      <c r="TOW2461" s="63"/>
      <c r="TOX2461" s="61"/>
      <c r="TOY2461" s="54"/>
      <c r="TOZ2461" s="54"/>
      <c r="TPA2461" s="63"/>
      <c r="TPB2461" s="60"/>
      <c r="TPC2461" s="60"/>
      <c r="TPD2461" s="60"/>
      <c r="TPE2461" s="63"/>
      <c r="TPF2461" s="61"/>
      <c r="TPG2461" s="54"/>
      <c r="TPH2461" s="54"/>
      <c r="TPI2461" s="63"/>
      <c r="TPJ2461" s="60"/>
      <c r="TPK2461" s="60"/>
      <c r="TPL2461" s="60"/>
      <c r="TPM2461" s="63"/>
      <c r="TPN2461" s="61"/>
      <c r="TPO2461" s="54"/>
      <c r="TPP2461" s="54"/>
      <c r="TPQ2461" s="63"/>
      <c r="TPR2461" s="60"/>
      <c r="TPS2461" s="60"/>
      <c r="TPT2461" s="60"/>
      <c r="TPU2461" s="63"/>
      <c r="TPV2461" s="61"/>
      <c r="TPW2461" s="54"/>
      <c r="TPX2461" s="54"/>
      <c r="TPY2461" s="63"/>
      <c r="TPZ2461" s="60"/>
      <c r="TQA2461" s="60"/>
      <c r="TQB2461" s="60"/>
      <c r="TQC2461" s="63"/>
      <c r="TQD2461" s="61"/>
      <c r="TQE2461" s="54"/>
      <c r="TQF2461" s="54"/>
      <c r="TQG2461" s="63"/>
      <c r="TQH2461" s="60"/>
      <c r="TQI2461" s="60"/>
      <c r="TQJ2461" s="60"/>
      <c r="TQK2461" s="63"/>
      <c r="TQL2461" s="61"/>
      <c r="TQM2461" s="54"/>
      <c r="TQN2461" s="54"/>
      <c r="TQO2461" s="63"/>
      <c r="TQP2461" s="60"/>
      <c r="TQQ2461" s="60"/>
      <c r="TQR2461" s="60"/>
      <c r="TQS2461" s="63"/>
      <c r="TQT2461" s="61"/>
      <c r="TQU2461" s="54"/>
      <c r="TQV2461" s="54"/>
      <c r="TQW2461" s="63"/>
      <c r="TQX2461" s="60"/>
      <c r="TQY2461" s="60"/>
      <c r="TQZ2461" s="60"/>
      <c r="TRA2461" s="63"/>
      <c r="TRB2461" s="61"/>
      <c r="TRC2461" s="54"/>
      <c r="TRD2461" s="54"/>
      <c r="TRE2461" s="63"/>
      <c r="TRF2461" s="60"/>
      <c r="TRG2461" s="60"/>
      <c r="TRH2461" s="60"/>
      <c r="TRI2461" s="63"/>
      <c r="TRJ2461" s="61"/>
      <c r="TRK2461" s="54"/>
      <c r="TRL2461" s="54"/>
      <c r="TRM2461" s="63"/>
      <c r="TRN2461" s="60"/>
      <c r="TRO2461" s="60"/>
      <c r="TRP2461" s="60"/>
      <c r="TRQ2461" s="63"/>
      <c r="TRR2461" s="61"/>
      <c r="TRS2461" s="54"/>
      <c r="TRT2461" s="54"/>
      <c r="TRU2461" s="63"/>
      <c r="TRV2461" s="60"/>
      <c r="TRW2461" s="60"/>
      <c r="TRX2461" s="60"/>
      <c r="TRY2461" s="63"/>
      <c r="TRZ2461" s="61"/>
      <c r="TSA2461" s="54"/>
      <c r="TSB2461" s="54"/>
      <c r="TSC2461" s="63"/>
      <c r="TSD2461" s="60"/>
      <c r="TSE2461" s="60"/>
      <c r="TSF2461" s="60"/>
      <c r="TSG2461" s="63"/>
      <c r="TSH2461" s="61"/>
      <c r="TSI2461" s="54"/>
      <c r="TSJ2461" s="54"/>
      <c r="TSK2461" s="63"/>
      <c r="TSL2461" s="60"/>
      <c r="TSM2461" s="60"/>
      <c r="TSN2461" s="60"/>
      <c r="TSO2461" s="63"/>
      <c r="TSP2461" s="61"/>
      <c r="TSQ2461" s="54"/>
      <c r="TSR2461" s="54"/>
      <c r="TSS2461" s="63"/>
      <c r="TST2461" s="60"/>
      <c r="TSU2461" s="60"/>
      <c r="TSV2461" s="60"/>
      <c r="TSW2461" s="63"/>
      <c r="TSX2461" s="61"/>
      <c r="TSY2461" s="54"/>
      <c r="TSZ2461" s="54"/>
      <c r="TTA2461" s="63"/>
      <c r="TTB2461" s="60"/>
      <c r="TTC2461" s="60"/>
      <c r="TTD2461" s="60"/>
      <c r="TTE2461" s="63"/>
      <c r="TTF2461" s="61"/>
      <c r="TTG2461" s="54"/>
      <c r="TTH2461" s="54"/>
      <c r="TTI2461" s="63"/>
      <c r="TTJ2461" s="60"/>
      <c r="TTK2461" s="60"/>
      <c r="TTL2461" s="60"/>
      <c r="TTM2461" s="63"/>
      <c r="TTN2461" s="61"/>
      <c r="TTO2461" s="54"/>
      <c r="TTP2461" s="54"/>
      <c r="TTQ2461" s="63"/>
      <c r="TTR2461" s="60"/>
      <c r="TTS2461" s="60"/>
      <c r="TTT2461" s="60"/>
      <c r="TTU2461" s="63"/>
      <c r="TTV2461" s="61"/>
      <c r="TTW2461" s="54"/>
      <c r="TTX2461" s="54"/>
      <c r="TTY2461" s="63"/>
      <c r="TTZ2461" s="60"/>
      <c r="TUA2461" s="60"/>
      <c r="TUB2461" s="60"/>
      <c r="TUC2461" s="63"/>
      <c r="TUD2461" s="61"/>
      <c r="TUE2461" s="54"/>
      <c r="TUF2461" s="54"/>
      <c r="TUG2461" s="63"/>
      <c r="TUH2461" s="60"/>
      <c r="TUI2461" s="60"/>
      <c r="TUJ2461" s="60"/>
      <c r="TUK2461" s="63"/>
      <c r="TUL2461" s="61"/>
      <c r="TUM2461" s="54"/>
      <c r="TUN2461" s="54"/>
      <c r="TUO2461" s="63"/>
      <c r="TUP2461" s="60"/>
      <c r="TUQ2461" s="60"/>
      <c r="TUR2461" s="60"/>
      <c r="TUS2461" s="63"/>
      <c r="TUT2461" s="61"/>
      <c r="TUU2461" s="54"/>
      <c r="TUV2461" s="54"/>
      <c r="TUW2461" s="63"/>
      <c r="TUX2461" s="60"/>
      <c r="TUY2461" s="60"/>
      <c r="TUZ2461" s="60"/>
      <c r="TVA2461" s="63"/>
      <c r="TVB2461" s="61"/>
      <c r="TVC2461" s="54"/>
      <c r="TVD2461" s="54"/>
      <c r="TVE2461" s="63"/>
      <c r="TVF2461" s="60"/>
      <c r="TVG2461" s="60"/>
      <c r="TVH2461" s="60"/>
      <c r="TVI2461" s="63"/>
      <c r="TVJ2461" s="61"/>
      <c r="TVK2461" s="54"/>
      <c r="TVL2461" s="54"/>
      <c r="TVM2461" s="63"/>
      <c r="TVN2461" s="60"/>
      <c r="TVO2461" s="60"/>
      <c r="TVP2461" s="60"/>
      <c r="TVQ2461" s="63"/>
      <c r="TVR2461" s="61"/>
      <c r="TVS2461" s="54"/>
      <c r="TVT2461" s="54"/>
      <c r="TVU2461" s="63"/>
      <c r="TVV2461" s="60"/>
      <c r="TVW2461" s="60"/>
      <c r="TVX2461" s="60"/>
      <c r="TVY2461" s="63"/>
      <c r="TVZ2461" s="61"/>
      <c r="TWA2461" s="54"/>
      <c r="TWB2461" s="54"/>
      <c r="TWC2461" s="63"/>
      <c r="TWD2461" s="60"/>
      <c r="TWE2461" s="60"/>
      <c r="TWF2461" s="60"/>
      <c r="TWG2461" s="63"/>
      <c r="TWH2461" s="61"/>
      <c r="TWI2461" s="54"/>
      <c r="TWJ2461" s="54"/>
      <c r="TWK2461" s="63"/>
      <c r="TWL2461" s="60"/>
      <c r="TWM2461" s="60"/>
      <c r="TWN2461" s="60"/>
      <c r="TWO2461" s="63"/>
      <c r="TWP2461" s="61"/>
      <c r="TWQ2461" s="54"/>
      <c r="TWR2461" s="54"/>
      <c r="TWS2461" s="63"/>
      <c r="TWT2461" s="60"/>
      <c r="TWU2461" s="60"/>
      <c r="TWV2461" s="60"/>
      <c r="TWW2461" s="63"/>
      <c r="TWX2461" s="61"/>
      <c r="TWY2461" s="54"/>
      <c r="TWZ2461" s="54"/>
      <c r="TXA2461" s="63"/>
      <c r="TXB2461" s="60"/>
      <c r="TXC2461" s="60"/>
      <c r="TXD2461" s="60"/>
      <c r="TXE2461" s="63"/>
      <c r="TXF2461" s="61"/>
      <c r="TXG2461" s="54"/>
      <c r="TXH2461" s="54"/>
      <c r="TXI2461" s="63"/>
      <c r="TXJ2461" s="60"/>
      <c r="TXK2461" s="60"/>
      <c r="TXL2461" s="60"/>
      <c r="TXM2461" s="63"/>
      <c r="TXN2461" s="61"/>
      <c r="TXO2461" s="54"/>
      <c r="TXP2461" s="54"/>
      <c r="TXQ2461" s="63"/>
      <c r="TXR2461" s="60"/>
      <c r="TXS2461" s="60"/>
      <c r="TXT2461" s="60"/>
      <c r="TXU2461" s="63"/>
      <c r="TXV2461" s="61"/>
      <c r="TXW2461" s="54"/>
      <c r="TXX2461" s="54"/>
      <c r="TXY2461" s="63"/>
      <c r="TXZ2461" s="60"/>
      <c r="TYA2461" s="60"/>
      <c r="TYB2461" s="60"/>
      <c r="TYC2461" s="63"/>
      <c r="TYD2461" s="61"/>
      <c r="TYE2461" s="54"/>
      <c r="TYF2461" s="54"/>
      <c r="TYG2461" s="63"/>
      <c r="TYH2461" s="60"/>
      <c r="TYI2461" s="60"/>
      <c r="TYJ2461" s="60"/>
      <c r="TYK2461" s="63"/>
      <c r="TYL2461" s="61"/>
      <c r="TYM2461" s="54"/>
      <c r="TYN2461" s="54"/>
      <c r="TYO2461" s="63"/>
      <c r="TYP2461" s="60"/>
      <c r="TYQ2461" s="60"/>
      <c r="TYR2461" s="60"/>
      <c r="TYS2461" s="63"/>
      <c r="TYT2461" s="61"/>
      <c r="TYU2461" s="54"/>
      <c r="TYV2461" s="54"/>
      <c r="TYW2461" s="63"/>
      <c r="TYX2461" s="60"/>
      <c r="TYY2461" s="60"/>
      <c r="TYZ2461" s="60"/>
      <c r="TZA2461" s="63"/>
      <c r="TZB2461" s="61"/>
      <c r="TZC2461" s="54"/>
      <c r="TZD2461" s="54"/>
      <c r="TZE2461" s="63"/>
      <c r="TZF2461" s="60"/>
      <c r="TZG2461" s="60"/>
      <c r="TZH2461" s="60"/>
      <c r="TZI2461" s="63"/>
      <c r="TZJ2461" s="61"/>
      <c r="TZK2461" s="54"/>
      <c r="TZL2461" s="54"/>
      <c r="TZM2461" s="63"/>
      <c r="TZN2461" s="60"/>
      <c r="TZO2461" s="60"/>
      <c r="TZP2461" s="60"/>
      <c r="TZQ2461" s="63"/>
      <c r="TZR2461" s="61"/>
      <c r="TZS2461" s="54"/>
      <c r="TZT2461" s="54"/>
      <c r="TZU2461" s="63"/>
      <c r="TZV2461" s="60"/>
      <c r="TZW2461" s="60"/>
      <c r="TZX2461" s="60"/>
      <c r="TZY2461" s="63"/>
      <c r="TZZ2461" s="61"/>
      <c r="UAA2461" s="54"/>
      <c r="UAB2461" s="54"/>
      <c r="UAC2461" s="63"/>
      <c r="UAD2461" s="60"/>
      <c r="UAE2461" s="60"/>
      <c r="UAF2461" s="60"/>
      <c r="UAG2461" s="63"/>
      <c r="UAH2461" s="61"/>
      <c r="UAI2461" s="54"/>
      <c r="UAJ2461" s="54"/>
      <c r="UAK2461" s="63"/>
      <c r="UAL2461" s="60"/>
      <c r="UAM2461" s="60"/>
      <c r="UAN2461" s="60"/>
      <c r="UAO2461" s="63"/>
      <c r="UAP2461" s="61"/>
      <c r="UAQ2461" s="54"/>
      <c r="UAR2461" s="54"/>
      <c r="UAS2461" s="63"/>
      <c r="UAT2461" s="60"/>
      <c r="UAU2461" s="60"/>
      <c r="UAV2461" s="60"/>
      <c r="UAW2461" s="63"/>
      <c r="UAX2461" s="61"/>
      <c r="UAY2461" s="54"/>
      <c r="UAZ2461" s="54"/>
      <c r="UBA2461" s="63"/>
      <c r="UBB2461" s="60"/>
      <c r="UBC2461" s="60"/>
      <c r="UBD2461" s="60"/>
      <c r="UBE2461" s="63"/>
      <c r="UBF2461" s="61"/>
      <c r="UBG2461" s="54"/>
      <c r="UBH2461" s="54"/>
      <c r="UBI2461" s="63"/>
      <c r="UBJ2461" s="60"/>
      <c r="UBK2461" s="60"/>
      <c r="UBL2461" s="60"/>
      <c r="UBM2461" s="63"/>
      <c r="UBN2461" s="61"/>
      <c r="UBO2461" s="54"/>
      <c r="UBP2461" s="54"/>
      <c r="UBQ2461" s="63"/>
      <c r="UBR2461" s="60"/>
      <c r="UBS2461" s="60"/>
      <c r="UBT2461" s="60"/>
      <c r="UBU2461" s="63"/>
      <c r="UBV2461" s="61"/>
      <c r="UBW2461" s="54"/>
      <c r="UBX2461" s="54"/>
      <c r="UBY2461" s="63"/>
      <c r="UBZ2461" s="60"/>
      <c r="UCA2461" s="60"/>
      <c r="UCB2461" s="60"/>
      <c r="UCC2461" s="63"/>
      <c r="UCD2461" s="61"/>
      <c r="UCE2461" s="54"/>
      <c r="UCF2461" s="54"/>
      <c r="UCG2461" s="63"/>
      <c r="UCH2461" s="60"/>
      <c r="UCI2461" s="60"/>
      <c r="UCJ2461" s="60"/>
      <c r="UCK2461" s="63"/>
      <c r="UCL2461" s="61"/>
      <c r="UCM2461" s="54"/>
      <c r="UCN2461" s="54"/>
      <c r="UCO2461" s="63"/>
      <c r="UCP2461" s="60"/>
      <c r="UCQ2461" s="60"/>
      <c r="UCR2461" s="60"/>
      <c r="UCS2461" s="63"/>
      <c r="UCT2461" s="61"/>
      <c r="UCU2461" s="54"/>
      <c r="UCV2461" s="54"/>
      <c r="UCW2461" s="63"/>
      <c r="UCX2461" s="60"/>
      <c r="UCY2461" s="60"/>
      <c r="UCZ2461" s="60"/>
      <c r="UDA2461" s="63"/>
      <c r="UDB2461" s="61"/>
      <c r="UDC2461" s="54"/>
      <c r="UDD2461" s="54"/>
      <c r="UDE2461" s="63"/>
      <c r="UDF2461" s="60"/>
      <c r="UDG2461" s="60"/>
      <c r="UDH2461" s="60"/>
      <c r="UDI2461" s="63"/>
      <c r="UDJ2461" s="61"/>
      <c r="UDK2461" s="54"/>
      <c r="UDL2461" s="54"/>
      <c r="UDM2461" s="63"/>
      <c r="UDN2461" s="60"/>
      <c r="UDO2461" s="60"/>
      <c r="UDP2461" s="60"/>
      <c r="UDQ2461" s="63"/>
      <c r="UDR2461" s="61"/>
      <c r="UDS2461" s="54"/>
      <c r="UDT2461" s="54"/>
      <c r="UDU2461" s="63"/>
      <c r="UDV2461" s="60"/>
      <c r="UDW2461" s="60"/>
      <c r="UDX2461" s="60"/>
      <c r="UDY2461" s="63"/>
      <c r="UDZ2461" s="61"/>
      <c r="UEA2461" s="54"/>
      <c r="UEB2461" s="54"/>
      <c r="UEC2461" s="63"/>
      <c r="UED2461" s="60"/>
      <c r="UEE2461" s="60"/>
      <c r="UEF2461" s="60"/>
      <c r="UEG2461" s="63"/>
      <c r="UEH2461" s="61"/>
      <c r="UEI2461" s="54"/>
      <c r="UEJ2461" s="54"/>
      <c r="UEK2461" s="63"/>
      <c r="UEL2461" s="60"/>
      <c r="UEM2461" s="60"/>
      <c r="UEN2461" s="60"/>
      <c r="UEO2461" s="63"/>
      <c r="UEP2461" s="61"/>
      <c r="UEQ2461" s="54"/>
      <c r="UER2461" s="54"/>
      <c r="UES2461" s="63"/>
      <c r="UET2461" s="60"/>
      <c r="UEU2461" s="60"/>
      <c r="UEV2461" s="60"/>
      <c r="UEW2461" s="63"/>
      <c r="UEX2461" s="61"/>
      <c r="UEY2461" s="54"/>
      <c r="UEZ2461" s="54"/>
      <c r="UFA2461" s="63"/>
      <c r="UFB2461" s="60"/>
      <c r="UFC2461" s="60"/>
      <c r="UFD2461" s="60"/>
      <c r="UFE2461" s="63"/>
      <c r="UFF2461" s="61"/>
      <c r="UFG2461" s="54"/>
      <c r="UFH2461" s="54"/>
      <c r="UFI2461" s="63"/>
      <c r="UFJ2461" s="60"/>
      <c r="UFK2461" s="60"/>
      <c r="UFL2461" s="60"/>
      <c r="UFM2461" s="63"/>
      <c r="UFN2461" s="61"/>
      <c r="UFO2461" s="54"/>
      <c r="UFP2461" s="54"/>
      <c r="UFQ2461" s="63"/>
      <c r="UFR2461" s="60"/>
      <c r="UFS2461" s="60"/>
      <c r="UFT2461" s="60"/>
      <c r="UFU2461" s="63"/>
      <c r="UFV2461" s="61"/>
      <c r="UFW2461" s="54"/>
      <c r="UFX2461" s="54"/>
      <c r="UFY2461" s="63"/>
      <c r="UFZ2461" s="60"/>
      <c r="UGA2461" s="60"/>
      <c r="UGB2461" s="60"/>
      <c r="UGC2461" s="63"/>
      <c r="UGD2461" s="61"/>
      <c r="UGE2461" s="54"/>
      <c r="UGF2461" s="54"/>
      <c r="UGG2461" s="63"/>
      <c r="UGH2461" s="60"/>
      <c r="UGI2461" s="60"/>
      <c r="UGJ2461" s="60"/>
      <c r="UGK2461" s="63"/>
      <c r="UGL2461" s="61"/>
      <c r="UGM2461" s="54"/>
      <c r="UGN2461" s="54"/>
      <c r="UGO2461" s="63"/>
      <c r="UGP2461" s="60"/>
      <c r="UGQ2461" s="60"/>
      <c r="UGR2461" s="60"/>
      <c r="UGS2461" s="63"/>
      <c r="UGT2461" s="61"/>
      <c r="UGU2461" s="54"/>
      <c r="UGV2461" s="54"/>
      <c r="UGW2461" s="63"/>
      <c r="UGX2461" s="60"/>
      <c r="UGY2461" s="60"/>
      <c r="UGZ2461" s="60"/>
      <c r="UHA2461" s="63"/>
      <c r="UHB2461" s="61"/>
      <c r="UHC2461" s="54"/>
      <c r="UHD2461" s="54"/>
      <c r="UHE2461" s="63"/>
      <c r="UHF2461" s="60"/>
      <c r="UHG2461" s="60"/>
      <c r="UHH2461" s="60"/>
      <c r="UHI2461" s="63"/>
      <c r="UHJ2461" s="61"/>
      <c r="UHK2461" s="54"/>
      <c r="UHL2461" s="54"/>
      <c r="UHM2461" s="63"/>
      <c r="UHN2461" s="60"/>
      <c r="UHO2461" s="60"/>
      <c r="UHP2461" s="60"/>
      <c r="UHQ2461" s="63"/>
      <c r="UHR2461" s="61"/>
      <c r="UHS2461" s="54"/>
      <c r="UHT2461" s="54"/>
      <c r="UHU2461" s="63"/>
      <c r="UHV2461" s="60"/>
      <c r="UHW2461" s="60"/>
      <c r="UHX2461" s="60"/>
      <c r="UHY2461" s="63"/>
      <c r="UHZ2461" s="61"/>
      <c r="UIA2461" s="54"/>
      <c r="UIB2461" s="54"/>
      <c r="UIC2461" s="63"/>
      <c r="UID2461" s="60"/>
      <c r="UIE2461" s="60"/>
      <c r="UIF2461" s="60"/>
      <c r="UIG2461" s="63"/>
      <c r="UIH2461" s="61"/>
      <c r="UII2461" s="54"/>
      <c r="UIJ2461" s="54"/>
      <c r="UIK2461" s="63"/>
      <c r="UIL2461" s="60"/>
      <c r="UIM2461" s="60"/>
      <c r="UIN2461" s="60"/>
      <c r="UIO2461" s="63"/>
      <c r="UIP2461" s="61"/>
      <c r="UIQ2461" s="54"/>
      <c r="UIR2461" s="54"/>
      <c r="UIS2461" s="63"/>
      <c r="UIT2461" s="60"/>
      <c r="UIU2461" s="60"/>
      <c r="UIV2461" s="60"/>
      <c r="UIW2461" s="63"/>
      <c r="UIX2461" s="61"/>
      <c r="UIY2461" s="54"/>
      <c r="UIZ2461" s="54"/>
      <c r="UJA2461" s="63"/>
      <c r="UJB2461" s="60"/>
      <c r="UJC2461" s="60"/>
      <c r="UJD2461" s="60"/>
      <c r="UJE2461" s="63"/>
      <c r="UJF2461" s="61"/>
      <c r="UJG2461" s="54"/>
      <c r="UJH2461" s="54"/>
      <c r="UJI2461" s="63"/>
      <c r="UJJ2461" s="60"/>
      <c r="UJK2461" s="60"/>
      <c r="UJL2461" s="60"/>
      <c r="UJM2461" s="63"/>
      <c r="UJN2461" s="61"/>
      <c r="UJO2461" s="54"/>
      <c r="UJP2461" s="54"/>
      <c r="UJQ2461" s="63"/>
      <c r="UJR2461" s="60"/>
      <c r="UJS2461" s="60"/>
      <c r="UJT2461" s="60"/>
      <c r="UJU2461" s="63"/>
      <c r="UJV2461" s="61"/>
      <c r="UJW2461" s="54"/>
      <c r="UJX2461" s="54"/>
      <c r="UJY2461" s="63"/>
      <c r="UJZ2461" s="60"/>
      <c r="UKA2461" s="60"/>
      <c r="UKB2461" s="60"/>
      <c r="UKC2461" s="63"/>
      <c r="UKD2461" s="61"/>
      <c r="UKE2461" s="54"/>
      <c r="UKF2461" s="54"/>
      <c r="UKG2461" s="63"/>
      <c r="UKH2461" s="60"/>
      <c r="UKI2461" s="60"/>
      <c r="UKJ2461" s="60"/>
      <c r="UKK2461" s="63"/>
      <c r="UKL2461" s="61"/>
      <c r="UKM2461" s="54"/>
      <c r="UKN2461" s="54"/>
      <c r="UKO2461" s="63"/>
      <c r="UKP2461" s="60"/>
      <c r="UKQ2461" s="60"/>
      <c r="UKR2461" s="60"/>
      <c r="UKS2461" s="63"/>
      <c r="UKT2461" s="61"/>
      <c r="UKU2461" s="54"/>
      <c r="UKV2461" s="54"/>
      <c r="UKW2461" s="63"/>
      <c r="UKX2461" s="60"/>
      <c r="UKY2461" s="60"/>
      <c r="UKZ2461" s="60"/>
      <c r="ULA2461" s="63"/>
      <c r="ULB2461" s="61"/>
      <c r="ULC2461" s="54"/>
      <c r="ULD2461" s="54"/>
      <c r="ULE2461" s="63"/>
      <c r="ULF2461" s="60"/>
      <c r="ULG2461" s="60"/>
      <c r="ULH2461" s="60"/>
      <c r="ULI2461" s="63"/>
      <c r="ULJ2461" s="61"/>
      <c r="ULK2461" s="54"/>
      <c r="ULL2461" s="54"/>
      <c r="ULM2461" s="63"/>
      <c r="ULN2461" s="60"/>
      <c r="ULO2461" s="60"/>
      <c r="ULP2461" s="60"/>
      <c r="ULQ2461" s="63"/>
      <c r="ULR2461" s="61"/>
      <c r="ULS2461" s="54"/>
      <c r="ULT2461" s="54"/>
      <c r="ULU2461" s="63"/>
      <c r="ULV2461" s="60"/>
      <c r="ULW2461" s="60"/>
      <c r="ULX2461" s="60"/>
      <c r="ULY2461" s="63"/>
      <c r="ULZ2461" s="61"/>
      <c r="UMA2461" s="54"/>
      <c r="UMB2461" s="54"/>
      <c r="UMC2461" s="63"/>
      <c r="UMD2461" s="60"/>
      <c r="UME2461" s="60"/>
      <c r="UMF2461" s="60"/>
      <c r="UMG2461" s="63"/>
      <c r="UMH2461" s="61"/>
      <c r="UMI2461" s="54"/>
      <c r="UMJ2461" s="54"/>
      <c r="UMK2461" s="63"/>
      <c r="UML2461" s="60"/>
      <c r="UMM2461" s="60"/>
      <c r="UMN2461" s="60"/>
      <c r="UMO2461" s="63"/>
      <c r="UMP2461" s="61"/>
      <c r="UMQ2461" s="54"/>
      <c r="UMR2461" s="54"/>
      <c r="UMS2461" s="63"/>
      <c r="UMT2461" s="60"/>
      <c r="UMU2461" s="60"/>
      <c r="UMV2461" s="60"/>
      <c r="UMW2461" s="63"/>
      <c r="UMX2461" s="61"/>
      <c r="UMY2461" s="54"/>
      <c r="UMZ2461" s="54"/>
      <c r="UNA2461" s="63"/>
      <c r="UNB2461" s="60"/>
      <c r="UNC2461" s="60"/>
      <c r="UND2461" s="60"/>
      <c r="UNE2461" s="63"/>
      <c r="UNF2461" s="61"/>
      <c r="UNG2461" s="54"/>
      <c r="UNH2461" s="54"/>
      <c r="UNI2461" s="63"/>
      <c r="UNJ2461" s="60"/>
      <c r="UNK2461" s="60"/>
      <c r="UNL2461" s="60"/>
      <c r="UNM2461" s="63"/>
      <c r="UNN2461" s="61"/>
      <c r="UNO2461" s="54"/>
      <c r="UNP2461" s="54"/>
      <c r="UNQ2461" s="63"/>
      <c r="UNR2461" s="60"/>
      <c r="UNS2461" s="60"/>
      <c r="UNT2461" s="60"/>
      <c r="UNU2461" s="63"/>
      <c r="UNV2461" s="61"/>
      <c r="UNW2461" s="54"/>
      <c r="UNX2461" s="54"/>
      <c r="UNY2461" s="63"/>
      <c r="UNZ2461" s="60"/>
      <c r="UOA2461" s="60"/>
      <c r="UOB2461" s="60"/>
      <c r="UOC2461" s="63"/>
      <c r="UOD2461" s="61"/>
      <c r="UOE2461" s="54"/>
      <c r="UOF2461" s="54"/>
      <c r="UOG2461" s="63"/>
      <c r="UOH2461" s="60"/>
      <c r="UOI2461" s="60"/>
      <c r="UOJ2461" s="60"/>
      <c r="UOK2461" s="63"/>
      <c r="UOL2461" s="61"/>
      <c r="UOM2461" s="54"/>
      <c r="UON2461" s="54"/>
      <c r="UOO2461" s="63"/>
      <c r="UOP2461" s="60"/>
      <c r="UOQ2461" s="60"/>
      <c r="UOR2461" s="60"/>
      <c r="UOS2461" s="63"/>
      <c r="UOT2461" s="61"/>
      <c r="UOU2461" s="54"/>
      <c r="UOV2461" s="54"/>
      <c r="UOW2461" s="63"/>
      <c r="UOX2461" s="60"/>
      <c r="UOY2461" s="60"/>
      <c r="UOZ2461" s="60"/>
      <c r="UPA2461" s="63"/>
      <c r="UPB2461" s="61"/>
      <c r="UPC2461" s="54"/>
      <c r="UPD2461" s="54"/>
      <c r="UPE2461" s="63"/>
      <c r="UPF2461" s="60"/>
      <c r="UPG2461" s="60"/>
      <c r="UPH2461" s="60"/>
      <c r="UPI2461" s="63"/>
      <c r="UPJ2461" s="61"/>
      <c r="UPK2461" s="54"/>
      <c r="UPL2461" s="54"/>
      <c r="UPM2461" s="63"/>
      <c r="UPN2461" s="60"/>
      <c r="UPO2461" s="60"/>
      <c r="UPP2461" s="60"/>
      <c r="UPQ2461" s="63"/>
      <c r="UPR2461" s="61"/>
      <c r="UPS2461" s="54"/>
      <c r="UPT2461" s="54"/>
      <c r="UPU2461" s="63"/>
      <c r="UPV2461" s="60"/>
      <c r="UPW2461" s="60"/>
      <c r="UPX2461" s="60"/>
      <c r="UPY2461" s="63"/>
      <c r="UPZ2461" s="61"/>
      <c r="UQA2461" s="54"/>
      <c r="UQB2461" s="54"/>
      <c r="UQC2461" s="63"/>
      <c r="UQD2461" s="60"/>
      <c r="UQE2461" s="60"/>
      <c r="UQF2461" s="60"/>
      <c r="UQG2461" s="63"/>
      <c r="UQH2461" s="61"/>
      <c r="UQI2461" s="54"/>
      <c r="UQJ2461" s="54"/>
      <c r="UQK2461" s="63"/>
      <c r="UQL2461" s="60"/>
      <c r="UQM2461" s="60"/>
      <c r="UQN2461" s="60"/>
      <c r="UQO2461" s="63"/>
      <c r="UQP2461" s="61"/>
      <c r="UQQ2461" s="54"/>
      <c r="UQR2461" s="54"/>
      <c r="UQS2461" s="63"/>
      <c r="UQT2461" s="60"/>
      <c r="UQU2461" s="60"/>
      <c r="UQV2461" s="60"/>
      <c r="UQW2461" s="63"/>
      <c r="UQX2461" s="61"/>
      <c r="UQY2461" s="54"/>
      <c r="UQZ2461" s="54"/>
      <c r="URA2461" s="63"/>
      <c r="URB2461" s="60"/>
      <c r="URC2461" s="60"/>
      <c r="URD2461" s="60"/>
      <c r="URE2461" s="63"/>
      <c r="URF2461" s="61"/>
      <c r="URG2461" s="54"/>
      <c r="URH2461" s="54"/>
      <c r="URI2461" s="63"/>
      <c r="URJ2461" s="60"/>
      <c r="URK2461" s="60"/>
      <c r="URL2461" s="60"/>
      <c r="URM2461" s="63"/>
      <c r="URN2461" s="61"/>
      <c r="URO2461" s="54"/>
      <c r="URP2461" s="54"/>
      <c r="URQ2461" s="63"/>
      <c r="URR2461" s="60"/>
      <c r="URS2461" s="60"/>
      <c r="URT2461" s="60"/>
      <c r="URU2461" s="63"/>
      <c r="URV2461" s="61"/>
      <c r="URW2461" s="54"/>
      <c r="URX2461" s="54"/>
      <c r="URY2461" s="63"/>
      <c r="URZ2461" s="60"/>
      <c r="USA2461" s="60"/>
      <c r="USB2461" s="60"/>
      <c r="USC2461" s="63"/>
      <c r="USD2461" s="61"/>
      <c r="USE2461" s="54"/>
      <c r="USF2461" s="54"/>
      <c r="USG2461" s="63"/>
      <c r="USH2461" s="60"/>
      <c r="USI2461" s="60"/>
      <c r="USJ2461" s="60"/>
      <c r="USK2461" s="63"/>
      <c r="USL2461" s="61"/>
      <c r="USM2461" s="54"/>
      <c r="USN2461" s="54"/>
      <c r="USO2461" s="63"/>
      <c r="USP2461" s="60"/>
      <c r="USQ2461" s="60"/>
      <c r="USR2461" s="60"/>
      <c r="USS2461" s="63"/>
      <c r="UST2461" s="61"/>
      <c r="USU2461" s="54"/>
      <c r="USV2461" s="54"/>
      <c r="USW2461" s="63"/>
      <c r="USX2461" s="60"/>
      <c r="USY2461" s="60"/>
      <c r="USZ2461" s="60"/>
      <c r="UTA2461" s="63"/>
      <c r="UTB2461" s="61"/>
      <c r="UTC2461" s="54"/>
      <c r="UTD2461" s="54"/>
      <c r="UTE2461" s="63"/>
      <c r="UTF2461" s="60"/>
      <c r="UTG2461" s="60"/>
      <c r="UTH2461" s="60"/>
      <c r="UTI2461" s="63"/>
      <c r="UTJ2461" s="61"/>
      <c r="UTK2461" s="54"/>
      <c r="UTL2461" s="54"/>
      <c r="UTM2461" s="63"/>
      <c r="UTN2461" s="60"/>
      <c r="UTO2461" s="60"/>
      <c r="UTP2461" s="60"/>
      <c r="UTQ2461" s="63"/>
      <c r="UTR2461" s="61"/>
      <c r="UTS2461" s="54"/>
      <c r="UTT2461" s="54"/>
      <c r="UTU2461" s="63"/>
      <c r="UTV2461" s="60"/>
      <c r="UTW2461" s="60"/>
      <c r="UTX2461" s="60"/>
      <c r="UTY2461" s="63"/>
      <c r="UTZ2461" s="61"/>
      <c r="UUA2461" s="54"/>
      <c r="UUB2461" s="54"/>
      <c r="UUC2461" s="63"/>
      <c r="UUD2461" s="60"/>
      <c r="UUE2461" s="60"/>
      <c r="UUF2461" s="60"/>
      <c r="UUG2461" s="63"/>
      <c r="UUH2461" s="61"/>
      <c r="UUI2461" s="54"/>
      <c r="UUJ2461" s="54"/>
      <c r="UUK2461" s="63"/>
      <c r="UUL2461" s="60"/>
      <c r="UUM2461" s="60"/>
      <c r="UUN2461" s="60"/>
      <c r="UUO2461" s="63"/>
      <c r="UUP2461" s="61"/>
      <c r="UUQ2461" s="54"/>
      <c r="UUR2461" s="54"/>
      <c r="UUS2461" s="63"/>
      <c r="UUT2461" s="60"/>
      <c r="UUU2461" s="60"/>
      <c r="UUV2461" s="60"/>
      <c r="UUW2461" s="63"/>
      <c r="UUX2461" s="61"/>
      <c r="UUY2461" s="54"/>
      <c r="UUZ2461" s="54"/>
      <c r="UVA2461" s="63"/>
      <c r="UVB2461" s="60"/>
      <c r="UVC2461" s="60"/>
      <c r="UVD2461" s="60"/>
      <c r="UVE2461" s="63"/>
      <c r="UVF2461" s="61"/>
      <c r="UVG2461" s="54"/>
      <c r="UVH2461" s="54"/>
      <c r="UVI2461" s="63"/>
      <c r="UVJ2461" s="60"/>
      <c r="UVK2461" s="60"/>
      <c r="UVL2461" s="60"/>
      <c r="UVM2461" s="63"/>
      <c r="UVN2461" s="61"/>
      <c r="UVO2461" s="54"/>
      <c r="UVP2461" s="54"/>
      <c r="UVQ2461" s="63"/>
      <c r="UVR2461" s="60"/>
      <c r="UVS2461" s="60"/>
      <c r="UVT2461" s="60"/>
      <c r="UVU2461" s="63"/>
      <c r="UVV2461" s="61"/>
      <c r="UVW2461" s="54"/>
      <c r="UVX2461" s="54"/>
      <c r="UVY2461" s="63"/>
      <c r="UVZ2461" s="60"/>
      <c r="UWA2461" s="60"/>
      <c r="UWB2461" s="60"/>
      <c r="UWC2461" s="63"/>
      <c r="UWD2461" s="61"/>
      <c r="UWE2461" s="54"/>
      <c r="UWF2461" s="54"/>
      <c r="UWG2461" s="63"/>
      <c r="UWH2461" s="60"/>
      <c r="UWI2461" s="60"/>
      <c r="UWJ2461" s="60"/>
      <c r="UWK2461" s="63"/>
      <c r="UWL2461" s="61"/>
      <c r="UWM2461" s="54"/>
      <c r="UWN2461" s="54"/>
      <c r="UWO2461" s="63"/>
      <c r="UWP2461" s="60"/>
      <c r="UWQ2461" s="60"/>
      <c r="UWR2461" s="60"/>
      <c r="UWS2461" s="63"/>
      <c r="UWT2461" s="61"/>
      <c r="UWU2461" s="54"/>
      <c r="UWV2461" s="54"/>
      <c r="UWW2461" s="63"/>
      <c r="UWX2461" s="60"/>
      <c r="UWY2461" s="60"/>
      <c r="UWZ2461" s="60"/>
      <c r="UXA2461" s="63"/>
      <c r="UXB2461" s="61"/>
      <c r="UXC2461" s="54"/>
      <c r="UXD2461" s="54"/>
      <c r="UXE2461" s="63"/>
      <c r="UXF2461" s="60"/>
      <c r="UXG2461" s="60"/>
      <c r="UXH2461" s="60"/>
      <c r="UXI2461" s="63"/>
      <c r="UXJ2461" s="61"/>
      <c r="UXK2461" s="54"/>
      <c r="UXL2461" s="54"/>
      <c r="UXM2461" s="63"/>
      <c r="UXN2461" s="60"/>
      <c r="UXO2461" s="60"/>
      <c r="UXP2461" s="60"/>
      <c r="UXQ2461" s="63"/>
      <c r="UXR2461" s="61"/>
      <c r="UXS2461" s="54"/>
      <c r="UXT2461" s="54"/>
      <c r="UXU2461" s="63"/>
      <c r="UXV2461" s="60"/>
      <c r="UXW2461" s="60"/>
      <c r="UXX2461" s="60"/>
      <c r="UXY2461" s="63"/>
      <c r="UXZ2461" s="61"/>
      <c r="UYA2461" s="54"/>
      <c r="UYB2461" s="54"/>
      <c r="UYC2461" s="63"/>
      <c r="UYD2461" s="60"/>
      <c r="UYE2461" s="60"/>
      <c r="UYF2461" s="60"/>
      <c r="UYG2461" s="63"/>
      <c r="UYH2461" s="61"/>
      <c r="UYI2461" s="54"/>
      <c r="UYJ2461" s="54"/>
      <c r="UYK2461" s="63"/>
      <c r="UYL2461" s="60"/>
      <c r="UYM2461" s="60"/>
      <c r="UYN2461" s="60"/>
      <c r="UYO2461" s="63"/>
      <c r="UYP2461" s="61"/>
      <c r="UYQ2461" s="54"/>
      <c r="UYR2461" s="54"/>
      <c r="UYS2461" s="63"/>
      <c r="UYT2461" s="60"/>
      <c r="UYU2461" s="60"/>
      <c r="UYV2461" s="60"/>
      <c r="UYW2461" s="63"/>
      <c r="UYX2461" s="61"/>
      <c r="UYY2461" s="54"/>
      <c r="UYZ2461" s="54"/>
      <c r="UZA2461" s="63"/>
      <c r="UZB2461" s="60"/>
      <c r="UZC2461" s="60"/>
      <c r="UZD2461" s="60"/>
      <c r="UZE2461" s="63"/>
      <c r="UZF2461" s="61"/>
      <c r="UZG2461" s="54"/>
      <c r="UZH2461" s="54"/>
      <c r="UZI2461" s="63"/>
      <c r="UZJ2461" s="60"/>
      <c r="UZK2461" s="60"/>
      <c r="UZL2461" s="60"/>
      <c r="UZM2461" s="63"/>
      <c r="UZN2461" s="61"/>
      <c r="UZO2461" s="54"/>
      <c r="UZP2461" s="54"/>
      <c r="UZQ2461" s="63"/>
      <c r="UZR2461" s="60"/>
      <c r="UZS2461" s="60"/>
      <c r="UZT2461" s="60"/>
      <c r="UZU2461" s="63"/>
      <c r="UZV2461" s="61"/>
      <c r="UZW2461" s="54"/>
      <c r="UZX2461" s="54"/>
      <c r="UZY2461" s="63"/>
      <c r="UZZ2461" s="60"/>
      <c r="VAA2461" s="60"/>
      <c r="VAB2461" s="60"/>
      <c r="VAC2461" s="63"/>
      <c r="VAD2461" s="61"/>
      <c r="VAE2461" s="54"/>
      <c r="VAF2461" s="54"/>
      <c r="VAG2461" s="63"/>
      <c r="VAH2461" s="60"/>
      <c r="VAI2461" s="60"/>
      <c r="VAJ2461" s="60"/>
      <c r="VAK2461" s="63"/>
      <c r="VAL2461" s="61"/>
      <c r="VAM2461" s="54"/>
      <c r="VAN2461" s="54"/>
      <c r="VAO2461" s="63"/>
      <c r="VAP2461" s="60"/>
      <c r="VAQ2461" s="60"/>
      <c r="VAR2461" s="60"/>
      <c r="VAS2461" s="63"/>
      <c r="VAT2461" s="61"/>
      <c r="VAU2461" s="54"/>
      <c r="VAV2461" s="54"/>
      <c r="VAW2461" s="63"/>
      <c r="VAX2461" s="60"/>
      <c r="VAY2461" s="60"/>
      <c r="VAZ2461" s="60"/>
      <c r="VBA2461" s="63"/>
      <c r="VBB2461" s="61"/>
      <c r="VBC2461" s="54"/>
      <c r="VBD2461" s="54"/>
      <c r="VBE2461" s="63"/>
      <c r="VBF2461" s="60"/>
      <c r="VBG2461" s="60"/>
      <c r="VBH2461" s="60"/>
      <c r="VBI2461" s="63"/>
      <c r="VBJ2461" s="61"/>
      <c r="VBK2461" s="54"/>
      <c r="VBL2461" s="54"/>
      <c r="VBM2461" s="63"/>
      <c r="VBN2461" s="60"/>
      <c r="VBO2461" s="60"/>
      <c r="VBP2461" s="60"/>
      <c r="VBQ2461" s="63"/>
      <c r="VBR2461" s="61"/>
      <c r="VBS2461" s="54"/>
      <c r="VBT2461" s="54"/>
      <c r="VBU2461" s="63"/>
      <c r="VBV2461" s="60"/>
      <c r="VBW2461" s="60"/>
      <c r="VBX2461" s="60"/>
      <c r="VBY2461" s="63"/>
      <c r="VBZ2461" s="61"/>
      <c r="VCA2461" s="54"/>
      <c r="VCB2461" s="54"/>
      <c r="VCC2461" s="63"/>
      <c r="VCD2461" s="60"/>
      <c r="VCE2461" s="60"/>
      <c r="VCF2461" s="60"/>
      <c r="VCG2461" s="63"/>
      <c r="VCH2461" s="61"/>
      <c r="VCI2461" s="54"/>
      <c r="VCJ2461" s="54"/>
      <c r="VCK2461" s="63"/>
      <c r="VCL2461" s="60"/>
      <c r="VCM2461" s="60"/>
      <c r="VCN2461" s="60"/>
      <c r="VCO2461" s="63"/>
      <c r="VCP2461" s="61"/>
      <c r="VCQ2461" s="54"/>
      <c r="VCR2461" s="54"/>
      <c r="VCS2461" s="63"/>
      <c r="VCT2461" s="60"/>
      <c r="VCU2461" s="60"/>
      <c r="VCV2461" s="60"/>
      <c r="VCW2461" s="63"/>
      <c r="VCX2461" s="61"/>
      <c r="VCY2461" s="54"/>
      <c r="VCZ2461" s="54"/>
      <c r="VDA2461" s="63"/>
      <c r="VDB2461" s="60"/>
      <c r="VDC2461" s="60"/>
      <c r="VDD2461" s="60"/>
      <c r="VDE2461" s="63"/>
      <c r="VDF2461" s="61"/>
      <c r="VDG2461" s="54"/>
      <c r="VDH2461" s="54"/>
      <c r="VDI2461" s="63"/>
      <c r="VDJ2461" s="60"/>
      <c r="VDK2461" s="60"/>
      <c r="VDL2461" s="60"/>
      <c r="VDM2461" s="63"/>
      <c r="VDN2461" s="61"/>
      <c r="VDO2461" s="54"/>
      <c r="VDP2461" s="54"/>
      <c r="VDQ2461" s="63"/>
      <c r="VDR2461" s="60"/>
      <c r="VDS2461" s="60"/>
      <c r="VDT2461" s="60"/>
      <c r="VDU2461" s="63"/>
      <c r="VDV2461" s="61"/>
      <c r="VDW2461" s="54"/>
      <c r="VDX2461" s="54"/>
      <c r="VDY2461" s="63"/>
      <c r="VDZ2461" s="60"/>
      <c r="VEA2461" s="60"/>
      <c r="VEB2461" s="60"/>
      <c r="VEC2461" s="63"/>
      <c r="VED2461" s="61"/>
      <c r="VEE2461" s="54"/>
      <c r="VEF2461" s="54"/>
      <c r="VEG2461" s="63"/>
      <c r="VEH2461" s="60"/>
      <c r="VEI2461" s="60"/>
      <c r="VEJ2461" s="60"/>
      <c r="VEK2461" s="63"/>
      <c r="VEL2461" s="61"/>
      <c r="VEM2461" s="54"/>
      <c r="VEN2461" s="54"/>
      <c r="VEO2461" s="63"/>
      <c r="VEP2461" s="60"/>
      <c r="VEQ2461" s="60"/>
      <c r="VER2461" s="60"/>
      <c r="VES2461" s="63"/>
      <c r="VET2461" s="61"/>
      <c r="VEU2461" s="54"/>
      <c r="VEV2461" s="54"/>
      <c r="VEW2461" s="63"/>
      <c r="VEX2461" s="60"/>
      <c r="VEY2461" s="60"/>
      <c r="VEZ2461" s="60"/>
      <c r="VFA2461" s="63"/>
      <c r="VFB2461" s="61"/>
      <c r="VFC2461" s="54"/>
      <c r="VFD2461" s="54"/>
      <c r="VFE2461" s="63"/>
      <c r="VFF2461" s="60"/>
      <c r="VFG2461" s="60"/>
      <c r="VFH2461" s="60"/>
      <c r="VFI2461" s="63"/>
      <c r="VFJ2461" s="61"/>
      <c r="VFK2461" s="54"/>
      <c r="VFL2461" s="54"/>
      <c r="VFM2461" s="63"/>
      <c r="VFN2461" s="60"/>
      <c r="VFO2461" s="60"/>
      <c r="VFP2461" s="60"/>
      <c r="VFQ2461" s="63"/>
      <c r="VFR2461" s="61"/>
      <c r="VFS2461" s="54"/>
      <c r="VFT2461" s="54"/>
      <c r="VFU2461" s="63"/>
      <c r="VFV2461" s="60"/>
      <c r="VFW2461" s="60"/>
      <c r="VFX2461" s="60"/>
      <c r="VFY2461" s="63"/>
      <c r="VFZ2461" s="61"/>
      <c r="VGA2461" s="54"/>
      <c r="VGB2461" s="54"/>
      <c r="VGC2461" s="63"/>
      <c r="VGD2461" s="60"/>
      <c r="VGE2461" s="60"/>
      <c r="VGF2461" s="60"/>
      <c r="VGG2461" s="63"/>
      <c r="VGH2461" s="61"/>
      <c r="VGI2461" s="54"/>
      <c r="VGJ2461" s="54"/>
      <c r="VGK2461" s="63"/>
      <c r="VGL2461" s="60"/>
      <c r="VGM2461" s="60"/>
      <c r="VGN2461" s="60"/>
      <c r="VGO2461" s="63"/>
      <c r="VGP2461" s="61"/>
      <c r="VGQ2461" s="54"/>
      <c r="VGR2461" s="54"/>
      <c r="VGS2461" s="63"/>
      <c r="VGT2461" s="60"/>
      <c r="VGU2461" s="60"/>
      <c r="VGV2461" s="60"/>
      <c r="VGW2461" s="63"/>
      <c r="VGX2461" s="61"/>
      <c r="VGY2461" s="54"/>
      <c r="VGZ2461" s="54"/>
      <c r="VHA2461" s="63"/>
      <c r="VHB2461" s="60"/>
      <c r="VHC2461" s="60"/>
      <c r="VHD2461" s="60"/>
      <c r="VHE2461" s="63"/>
      <c r="VHF2461" s="61"/>
      <c r="VHG2461" s="54"/>
      <c r="VHH2461" s="54"/>
      <c r="VHI2461" s="63"/>
      <c r="VHJ2461" s="60"/>
      <c r="VHK2461" s="60"/>
      <c r="VHL2461" s="60"/>
      <c r="VHM2461" s="63"/>
      <c r="VHN2461" s="61"/>
      <c r="VHO2461" s="54"/>
      <c r="VHP2461" s="54"/>
      <c r="VHQ2461" s="63"/>
      <c r="VHR2461" s="60"/>
      <c r="VHS2461" s="60"/>
      <c r="VHT2461" s="60"/>
      <c r="VHU2461" s="63"/>
      <c r="VHV2461" s="61"/>
      <c r="VHW2461" s="54"/>
      <c r="VHX2461" s="54"/>
      <c r="VHY2461" s="63"/>
      <c r="VHZ2461" s="60"/>
      <c r="VIA2461" s="60"/>
      <c r="VIB2461" s="60"/>
      <c r="VIC2461" s="63"/>
      <c r="VID2461" s="61"/>
      <c r="VIE2461" s="54"/>
      <c r="VIF2461" s="54"/>
      <c r="VIG2461" s="63"/>
      <c r="VIH2461" s="60"/>
      <c r="VII2461" s="60"/>
      <c r="VIJ2461" s="60"/>
      <c r="VIK2461" s="63"/>
      <c r="VIL2461" s="61"/>
      <c r="VIM2461" s="54"/>
      <c r="VIN2461" s="54"/>
      <c r="VIO2461" s="63"/>
      <c r="VIP2461" s="60"/>
      <c r="VIQ2461" s="60"/>
      <c r="VIR2461" s="60"/>
      <c r="VIS2461" s="63"/>
      <c r="VIT2461" s="61"/>
      <c r="VIU2461" s="54"/>
      <c r="VIV2461" s="54"/>
      <c r="VIW2461" s="63"/>
      <c r="VIX2461" s="60"/>
      <c r="VIY2461" s="60"/>
      <c r="VIZ2461" s="60"/>
      <c r="VJA2461" s="63"/>
      <c r="VJB2461" s="61"/>
      <c r="VJC2461" s="54"/>
      <c r="VJD2461" s="54"/>
      <c r="VJE2461" s="63"/>
      <c r="VJF2461" s="60"/>
      <c r="VJG2461" s="60"/>
      <c r="VJH2461" s="60"/>
      <c r="VJI2461" s="63"/>
      <c r="VJJ2461" s="61"/>
      <c r="VJK2461" s="54"/>
      <c r="VJL2461" s="54"/>
      <c r="VJM2461" s="63"/>
      <c r="VJN2461" s="60"/>
      <c r="VJO2461" s="60"/>
      <c r="VJP2461" s="60"/>
      <c r="VJQ2461" s="63"/>
      <c r="VJR2461" s="61"/>
      <c r="VJS2461" s="54"/>
      <c r="VJT2461" s="54"/>
      <c r="VJU2461" s="63"/>
      <c r="VJV2461" s="60"/>
      <c r="VJW2461" s="60"/>
      <c r="VJX2461" s="60"/>
      <c r="VJY2461" s="63"/>
      <c r="VJZ2461" s="61"/>
      <c r="VKA2461" s="54"/>
      <c r="VKB2461" s="54"/>
      <c r="VKC2461" s="63"/>
      <c r="VKD2461" s="60"/>
      <c r="VKE2461" s="60"/>
      <c r="VKF2461" s="60"/>
      <c r="VKG2461" s="63"/>
      <c r="VKH2461" s="61"/>
      <c r="VKI2461" s="54"/>
      <c r="VKJ2461" s="54"/>
      <c r="VKK2461" s="63"/>
      <c r="VKL2461" s="60"/>
      <c r="VKM2461" s="60"/>
      <c r="VKN2461" s="60"/>
      <c r="VKO2461" s="63"/>
      <c r="VKP2461" s="61"/>
      <c r="VKQ2461" s="54"/>
      <c r="VKR2461" s="54"/>
      <c r="VKS2461" s="63"/>
      <c r="VKT2461" s="60"/>
      <c r="VKU2461" s="60"/>
      <c r="VKV2461" s="60"/>
      <c r="VKW2461" s="63"/>
      <c r="VKX2461" s="61"/>
      <c r="VKY2461" s="54"/>
      <c r="VKZ2461" s="54"/>
      <c r="VLA2461" s="63"/>
      <c r="VLB2461" s="60"/>
      <c r="VLC2461" s="60"/>
      <c r="VLD2461" s="60"/>
      <c r="VLE2461" s="63"/>
      <c r="VLF2461" s="61"/>
      <c r="VLG2461" s="54"/>
      <c r="VLH2461" s="54"/>
      <c r="VLI2461" s="63"/>
      <c r="VLJ2461" s="60"/>
      <c r="VLK2461" s="60"/>
      <c r="VLL2461" s="60"/>
      <c r="VLM2461" s="63"/>
      <c r="VLN2461" s="61"/>
      <c r="VLO2461" s="54"/>
      <c r="VLP2461" s="54"/>
      <c r="VLQ2461" s="63"/>
      <c r="VLR2461" s="60"/>
      <c r="VLS2461" s="60"/>
      <c r="VLT2461" s="60"/>
      <c r="VLU2461" s="63"/>
      <c r="VLV2461" s="61"/>
      <c r="VLW2461" s="54"/>
      <c r="VLX2461" s="54"/>
      <c r="VLY2461" s="63"/>
      <c r="VLZ2461" s="60"/>
      <c r="VMA2461" s="60"/>
      <c r="VMB2461" s="60"/>
      <c r="VMC2461" s="63"/>
      <c r="VMD2461" s="61"/>
      <c r="VME2461" s="54"/>
      <c r="VMF2461" s="54"/>
      <c r="VMG2461" s="63"/>
      <c r="VMH2461" s="60"/>
      <c r="VMI2461" s="60"/>
      <c r="VMJ2461" s="60"/>
      <c r="VMK2461" s="63"/>
      <c r="VML2461" s="61"/>
      <c r="VMM2461" s="54"/>
      <c r="VMN2461" s="54"/>
      <c r="VMO2461" s="63"/>
      <c r="VMP2461" s="60"/>
      <c r="VMQ2461" s="60"/>
      <c r="VMR2461" s="60"/>
      <c r="VMS2461" s="63"/>
      <c r="VMT2461" s="61"/>
      <c r="VMU2461" s="54"/>
      <c r="VMV2461" s="54"/>
      <c r="VMW2461" s="63"/>
      <c r="VMX2461" s="60"/>
      <c r="VMY2461" s="60"/>
      <c r="VMZ2461" s="60"/>
      <c r="VNA2461" s="63"/>
      <c r="VNB2461" s="61"/>
      <c r="VNC2461" s="54"/>
      <c r="VND2461" s="54"/>
      <c r="VNE2461" s="63"/>
      <c r="VNF2461" s="60"/>
      <c r="VNG2461" s="60"/>
      <c r="VNH2461" s="60"/>
      <c r="VNI2461" s="63"/>
      <c r="VNJ2461" s="61"/>
      <c r="VNK2461" s="54"/>
      <c r="VNL2461" s="54"/>
      <c r="VNM2461" s="63"/>
      <c r="VNN2461" s="60"/>
      <c r="VNO2461" s="60"/>
      <c r="VNP2461" s="60"/>
      <c r="VNQ2461" s="63"/>
      <c r="VNR2461" s="61"/>
      <c r="VNS2461" s="54"/>
      <c r="VNT2461" s="54"/>
      <c r="VNU2461" s="63"/>
      <c r="VNV2461" s="60"/>
      <c r="VNW2461" s="60"/>
      <c r="VNX2461" s="60"/>
      <c r="VNY2461" s="63"/>
      <c r="VNZ2461" s="61"/>
      <c r="VOA2461" s="54"/>
      <c r="VOB2461" s="54"/>
      <c r="VOC2461" s="63"/>
      <c r="VOD2461" s="60"/>
      <c r="VOE2461" s="60"/>
      <c r="VOF2461" s="60"/>
      <c r="VOG2461" s="63"/>
      <c r="VOH2461" s="61"/>
      <c r="VOI2461" s="54"/>
      <c r="VOJ2461" s="54"/>
      <c r="VOK2461" s="63"/>
      <c r="VOL2461" s="60"/>
      <c r="VOM2461" s="60"/>
      <c r="VON2461" s="60"/>
      <c r="VOO2461" s="63"/>
      <c r="VOP2461" s="61"/>
      <c r="VOQ2461" s="54"/>
      <c r="VOR2461" s="54"/>
      <c r="VOS2461" s="63"/>
      <c r="VOT2461" s="60"/>
      <c r="VOU2461" s="60"/>
      <c r="VOV2461" s="60"/>
      <c r="VOW2461" s="63"/>
      <c r="VOX2461" s="61"/>
      <c r="VOY2461" s="54"/>
      <c r="VOZ2461" s="54"/>
      <c r="VPA2461" s="63"/>
      <c r="VPB2461" s="60"/>
      <c r="VPC2461" s="60"/>
      <c r="VPD2461" s="60"/>
      <c r="VPE2461" s="63"/>
      <c r="VPF2461" s="61"/>
      <c r="VPG2461" s="54"/>
      <c r="VPH2461" s="54"/>
      <c r="VPI2461" s="63"/>
      <c r="VPJ2461" s="60"/>
      <c r="VPK2461" s="60"/>
      <c r="VPL2461" s="60"/>
      <c r="VPM2461" s="63"/>
      <c r="VPN2461" s="61"/>
      <c r="VPO2461" s="54"/>
      <c r="VPP2461" s="54"/>
      <c r="VPQ2461" s="63"/>
      <c r="VPR2461" s="60"/>
      <c r="VPS2461" s="60"/>
      <c r="VPT2461" s="60"/>
      <c r="VPU2461" s="63"/>
      <c r="VPV2461" s="61"/>
      <c r="VPW2461" s="54"/>
      <c r="VPX2461" s="54"/>
      <c r="VPY2461" s="63"/>
      <c r="VPZ2461" s="60"/>
      <c r="VQA2461" s="60"/>
      <c r="VQB2461" s="60"/>
      <c r="VQC2461" s="63"/>
      <c r="VQD2461" s="61"/>
      <c r="VQE2461" s="54"/>
      <c r="VQF2461" s="54"/>
      <c r="VQG2461" s="63"/>
      <c r="VQH2461" s="60"/>
      <c r="VQI2461" s="60"/>
      <c r="VQJ2461" s="60"/>
      <c r="VQK2461" s="63"/>
      <c r="VQL2461" s="61"/>
      <c r="VQM2461" s="54"/>
      <c r="VQN2461" s="54"/>
      <c r="VQO2461" s="63"/>
      <c r="VQP2461" s="60"/>
      <c r="VQQ2461" s="60"/>
      <c r="VQR2461" s="60"/>
      <c r="VQS2461" s="63"/>
      <c r="VQT2461" s="61"/>
      <c r="VQU2461" s="54"/>
      <c r="VQV2461" s="54"/>
      <c r="VQW2461" s="63"/>
      <c r="VQX2461" s="60"/>
      <c r="VQY2461" s="60"/>
      <c r="VQZ2461" s="60"/>
      <c r="VRA2461" s="63"/>
      <c r="VRB2461" s="61"/>
      <c r="VRC2461" s="54"/>
      <c r="VRD2461" s="54"/>
      <c r="VRE2461" s="63"/>
      <c r="VRF2461" s="60"/>
      <c r="VRG2461" s="60"/>
      <c r="VRH2461" s="60"/>
      <c r="VRI2461" s="63"/>
      <c r="VRJ2461" s="61"/>
      <c r="VRK2461" s="54"/>
      <c r="VRL2461" s="54"/>
      <c r="VRM2461" s="63"/>
      <c r="VRN2461" s="60"/>
      <c r="VRO2461" s="60"/>
      <c r="VRP2461" s="60"/>
      <c r="VRQ2461" s="63"/>
      <c r="VRR2461" s="61"/>
      <c r="VRS2461" s="54"/>
      <c r="VRT2461" s="54"/>
      <c r="VRU2461" s="63"/>
      <c r="VRV2461" s="60"/>
      <c r="VRW2461" s="60"/>
      <c r="VRX2461" s="60"/>
      <c r="VRY2461" s="63"/>
      <c r="VRZ2461" s="61"/>
      <c r="VSA2461" s="54"/>
      <c r="VSB2461" s="54"/>
      <c r="VSC2461" s="63"/>
      <c r="VSD2461" s="60"/>
      <c r="VSE2461" s="60"/>
      <c r="VSF2461" s="60"/>
      <c r="VSG2461" s="63"/>
      <c r="VSH2461" s="61"/>
      <c r="VSI2461" s="54"/>
      <c r="VSJ2461" s="54"/>
      <c r="VSK2461" s="63"/>
      <c r="VSL2461" s="60"/>
      <c r="VSM2461" s="60"/>
      <c r="VSN2461" s="60"/>
      <c r="VSO2461" s="63"/>
      <c r="VSP2461" s="61"/>
      <c r="VSQ2461" s="54"/>
      <c r="VSR2461" s="54"/>
      <c r="VSS2461" s="63"/>
      <c r="VST2461" s="60"/>
      <c r="VSU2461" s="60"/>
      <c r="VSV2461" s="60"/>
      <c r="VSW2461" s="63"/>
      <c r="VSX2461" s="61"/>
      <c r="VSY2461" s="54"/>
      <c r="VSZ2461" s="54"/>
      <c r="VTA2461" s="63"/>
      <c r="VTB2461" s="60"/>
      <c r="VTC2461" s="60"/>
      <c r="VTD2461" s="60"/>
      <c r="VTE2461" s="63"/>
      <c r="VTF2461" s="61"/>
      <c r="VTG2461" s="54"/>
      <c r="VTH2461" s="54"/>
      <c r="VTI2461" s="63"/>
      <c r="VTJ2461" s="60"/>
      <c r="VTK2461" s="60"/>
      <c r="VTL2461" s="60"/>
      <c r="VTM2461" s="63"/>
      <c r="VTN2461" s="61"/>
      <c r="VTO2461" s="54"/>
      <c r="VTP2461" s="54"/>
      <c r="VTQ2461" s="63"/>
      <c r="VTR2461" s="60"/>
      <c r="VTS2461" s="60"/>
      <c r="VTT2461" s="60"/>
      <c r="VTU2461" s="63"/>
      <c r="VTV2461" s="61"/>
      <c r="VTW2461" s="54"/>
      <c r="VTX2461" s="54"/>
      <c r="VTY2461" s="63"/>
      <c r="VTZ2461" s="60"/>
      <c r="VUA2461" s="60"/>
      <c r="VUB2461" s="60"/>
      <c r="VUC2461" s="63"/>
      <c r="VUD2461" s="61"/>
      <c r="VUE2461" s="54"/>
      <c r="VUF2461" s="54"/>
      <c r="VUG2461" s="63"/>
      <c r="VUH2461" s="60"/>
      <c r="VUI2461" s="60"/>
      <c r="VUJ2461" s="60"/>
      <c r="VUK2461" s="63"/>
      <c r="VUL2461" s="61"/>
      <c r="VUM2461" s="54"/>
      <c r="VUN2461" s="54"/>
      <c r="VUO2461" s="63"/>
      <c r="VUP2461" s="60"/>
      <c r="VUQ2461" s="60"/>
      <c r="VUR2461" s="60"/>
      <c r="VUS2461" s="63"/>
      <c r="VUT2461" s="61"/>
      <c r="VUU2461" s="54"/>
      <c r="VUV2461" s="54"/>
      <c r="VUW2461" s="63"/>
      <c r="VUX2461" s="60"/>
      <c r="VUY2461" s="60"/>
      <c r="VUZ2461" s="60"/>
      <c r="VVA2461" s="63"/>
      <c r="VVB2461" s="61"/>
      <c r="VVC2461" s="54"/>
      <c r="VVD2461" s="54"/>
      <c r="VVE2461" s="63"/>
      <c r="VVF2461" s="60"/>
      <c r="VVG2461" s="60"/>
      <c r="VVH2461" s="60"/>
      <c r="VVI2461" s="63"/>
      <c r="VVJ2461" s="61"/>
      <c r="VVK2461" s="54"/>
      <c r="VVL2461" s="54"/>
      <c r="VVM2461" s="63"/>
      <c r="VVN2461" s="60"/>
      <c r="VVO2461" s="60"/>
      <c r="VVP2461" s="60"/>
      <c r="VVQ2461" s="63"/>
      <c r="VVR2461" s="61"/>
      <c r="VVS2461" s="54"/>
      <c r="VVT2461" s="54"/>
      <c r="VVU2461" s="63"/>
      <c r="VVV2461" s="60"/>
      <c r="VVW2461" s="60"/>
      <c r="VVX2461" s="60"/>
      <c r="VVY2461" s="63"/>
      <c r="VVZ2461" s="61"/>
      <c r="VWA2461" s="54"/>
      <c r="VWB2461" s="54"/>
      <c r="VWC2461" s="63"/>
      <c r="VWD2461" s="60"/>
      <c r="VWE2461" s="60"/>
      <c r="VWF2461" s="60"/>
      <c r="VWG2461" s="63"/>
      <c r="VWH2461" s="61"/>
      <c r="VWI2461" s="54"/>
      <c r="VWJ2461" s="54"/>
      <c r="VWK2461" s="63"/>
      <c r="VWL2461" s="60"/>
      <c r="VWM2461" s="60"/>
      <c r="VWN2461" s="60"/>
      <c r="VWO2461" s="63"/>
      <c r="VWP2461" s="61"/>
      <c r="VWQ2461" s="54"/>
      <c r="VWR2461" s="54"/>
      <c r="VWS2461" s="63"/>
      <c r="VWT2461" s="60"/>
      <c r="VWU2461" s="60"/>
      <c r="VWV2461" s="60"/>
      <c r="VWW2461" s="63"/>
      <c r="VWX2461" s="61"/>
      <c r="VWY2461" s="54"/>
      <c r="VWZ2461" s="54"/>
      <c r="VXA2461" s="63"/>
      <c r="VXB2461" s="60"/>
      <c r="VXC2461" s="60"/>
      <c r="VXD2461" s="60"/>
      <c r="VXE2461" s="63"/>
      <c r="VXF2461" s="61"/>
      <c r="VXG2461" s="54"/>
      <c r="VXH2461" s="54"/>
      <c r="VXI2461" s="63"/>
      <c r="VXJ2461" s="60"/>
      <c r="VXK2461" s="60"/>
      <c r="VXL2461" s="60"/>
      <c r="VXM2461" s="63"/>
      <c r="VXN2461" s="61"/>
      <c r="VXO2461" s="54"/>
      <c r="VXP2461" s="54"/>
      <c r="VXQ2461" s="63"/>
      <c r="VXR2461" s="60"/>
      <c r="VXS2461" s="60"/>
      <c r="VXT2461" s="60"/>
      <c r="VXU2461" s="63"/>
      <c r="VXV2461" s="61"/>
      <c r="VXW2461" s="54"/>
      <c r="VXX2461" s="54"/>
      <c r="VXY2461" s="63"/>
      <c r="VXZ2461" s="60"/>
      <c r="VYA2461" s="60"/>
      <c r="VYB2461" s="60"/>
      <c r="VYC2461" s="63"/>
      <c r="VYD2461" s="61"/>
      <c r="VYE2461" s="54"/>
      <c r="VYF2461" s="54"/>
      <c r="VYG2461" s="63"/>
      <c r="VYH2461" s="60"/>
      <c r="VYI2461" s="60"/>
      <c r="VYJ2461" s="60"/>
      <c r="VYK2461" s="63"/>
      <c r="VYL2461" s="61"/>
      <c r="VYM2461" s="54"/>
      <c r="VYN2461" s="54"/>
      <c r="VYO2461" s="63"/>
      <c r="VYP2461" s="60"/>
      <c r="VYQ2461" s="60"/>
      <c r="VYR2461" s="60"/>
      <c r="VYS2461" s="63"/>
      <c r="VYT2461" s="61"/>
      <c r="VYU2461" s="54"/>
      <c r="VYV2461" s="54"/>
      <c r="VYW2461" s="63"/>
      <c r="VYX2461" s="60"/>
      <c r="VYY2461" s="60"/>
      <c r="VYZ2461" s="60"/>
      <c r="VZA2461" s="63"/>
      <c r="VZB2461" s="61"/>
      <c r="VZC2461" s="54"/>
      <c r="VZD2461" s="54"/>
      <c r="VZE2461" s="63"/>
      <c r="VZF2461" s="60"/>
      <c r="VZG2461" s="60"/>
      <c r="VZH2461" s="60"/>
      <c r="VZI2461" s="63"/>
      <c r="VZJ2461" s="61"/>
      <c r="VZK2461" s="54"/>
      <c r="VZL2461" s="54"/>
      <c r="VZM2461" s="63"/>
      <c r="VZN2461" s="60"/>
      <c r="VZO2461" s="60"/>
      <c r="VZP2461" s="60"/>
      <c r="VZQ2461" s="63"/>
      <c r="VZR2461" s="61"/>
      <c r="VZS2461" s="54"/>
      <c r="VZT2461" s="54"/>
      <c r="VZU2461" s="63"/>
      <c r="VZV2461" s="60"/>
      <c r="VZW2461" s="60"/>
      <c r="VZX2461" s="60"/>
      <c r="VZY2461" s="63"/>
      <c r="VZZ2461" s="61"/>
      <c r="WAA2461" s="54"/>
      <c r="WAB2461" s="54"/>
      <c r="WAC2461" s="63"/>
      <c r="WAD2461" s="60"/>
      <c r="WAE2461" s="60"/>
      <c r="WAF2461" s="60"/>
      <c r="WAG2461" s="63"/>
      <c r="WAH2461" s="61"/>
      <c r="WAI2461" s="54"/>
      <c r="WAJ2461" s="54"/>
      <c r="WAK2461" s="63"/>
      <c r="WAL2461" s="60"/>
      <c r="WAM2461" s="60"/>
      <c r="WAN2461" s="60"/>
      <c r="WAO2461" s="63"/>
      <c r="WAP2461" s="61"/>
      <c r="WAQ2461" s="54"/>
      <c r="WAR2461" s="54"/>
      <c r="WAS2461" s="63"/>
      <c r="WAT2461" s="60"/>
      <c r="WAU2461" s="60"/>
      <c r="WAV2461" s="60"/>
      <c r="WAW2461" s="63"/>
      <c r="WAX2461" s="61"/>
      <c r="WAY2461" s="54"/>
      <c r="WAZ2461" s="54"/>
      <c r="WBA2461" s="63"/>
      <c r="WBB2461" s="60"/>
      <c r="WBC2461" s="60"/>
      <c r="WBD2461" s="60"/>
      <c r="WBE2461" s="63"/>
      <c r="WBF2461" s="61"/>
      <c r="WBG2461" s="54"/>
      <c r="WBH2461" s="54"/>
      <c r="WBI2461" s="63"/>
      <c r="WBJ2461" s="60"/>
      <c r="WBK2461" s="60"/>
      <c r="WBL2461" s="60"/>
      <c r="WBM2461" s="63"/>
      <c r="WBN2461" s="61"/>
      <c r="WBO2461" s="54"/>
      <c r="WBP2461" s="54"/>
      <c r="WBQ2461" s="63"/>
      <c r="WBR2461" s="60"/>
      <c r="WBS2461" s="60"/>
      <c r="WBT2461" s="60"/>
      <c r="WBU2461" s="63"/>
      <c r="WBV2461" s="61"/>
      <c r="WBW2461" s="54"/>
      <c r="WBX2461" s="54"/>
      <c r="WBY2461" s="63"/>
      <c r="WBZ2461" s="60"/>
      <c r="WCA2461" s="60"/>
      <c r="WCB2461" s="60"/>
      <c r="WCC2461" s="63"/>
      <c r="WCD2461" s="61"/>
      <c r="WCE2461" s="54"/>
      <c r="WCF2461" s="54"/>
      <c r="WCG2461" s="63"/>
      <c r="WCH2461" s="60"/>
      <c r="WCI2461" s="60"/>
      <c r="WCJ2461" s="60"/>
      <c r="WCK2461" s="63"/>
      <c r="WCL2461" s="61"/>
      <c r="WCM2461" s="54"/>
      <c r="WCN2461" s="54"/>
      <c r="WCO2461" s="63"/>
      <c r="WCP2461" s="60"/>
      <c r="WCQ2461" s="60"/>
      <c r="WCR2461" s="60"/>
      <c r="WCS2461" s="63"/>
      <c r="WCT2461" s="61"/>
      <c r="WCU2461" s="54"/>
      <c r="WCV2461" s="54"/>
      <c r="WCW2461" s="63"/>
      <c r="WCX2461" s="60"/>
      <c r="WCY2461" s="60"/>
      <c r="WCZ2461" s="60"/>
      <c r="WDA2461" s="63"/>
      <c r="WDB2461" s="61"/>
      <c r="WDC2461" s="54"/>
      <c r="WDD2461" s="54"/>
      <c r="WDE2461" s="63"/>
      <c r="WDF2461" s="60"/>
      <c r="WDG2461" s="60"/>
      <c r="WDH2461" s="60"/>
      <c r="WDI2461" s="63"/>
      <c r="WDJ2461" s="61"/>
      <c r="WDK2461" s="54"/>
      <c r="WDL2461" s="54"/>
      <c r="WDM2461" s="63"/>
      <c r="WDN2461" s="60"/>
      <c r="WDO2461" s="60"/>
      <c r="WDP2461" s="60"/>
      <c r="WDQ2461" s="63"/>
      <c r="WDR2461" s="61"/>
      <c r="WDS2461" s="54"/>
      <c r="WDT2461" s="54"/>
      <c r="WDU2461" s="63"/>
      <c r="WDV2461" s="60"/>
      <c r="WDW2461" s="60"/>
      <c r="WDX2461" s="60"/>
      <c r="WDY2461" s="63"/>
      <c r="WDZ2461" s="61"/>
      <c r="WEA2461" s="54"/>
      <c r="WEB2461" s="54"/>
      <c r="WEC2461" s="63"/>
      <c r="WED2461" s="60"/>
      <c r="WEE2461" s="60"/>
      <c r="WEF2461" s="60"/>
      <c r="WEG2461" s="63"/>
      <c r="WEH2461" s="61"/>
      <c r="WEI2461" s="54"/>
      <c r="WEJ2461" s="54"/>
      <c r="WEK2461" s="63"/>
      <c r="WEL2461" s="60"/>
      <c r="WEM2461" s="60"/>
      <c r="WEN2461" s="60"/>
      <c r="WEO2461" s="63"/>
      <c r="WEP2461" s="61"/>
      <c r="WEQ2461" s="54"/>
      <c r="WER2461" s="54"/>
      <c r="WES2461" s="63"/>
      <c r="WET2461" s="60"/>
      <c r="WEU2461" s="60"/>
      <c r="WEV2461" s="60"/>
      <c r="WEW2461" s="63"/>
      <c r="WEX2461" s="61"/>
      <c r="WEY2461" s="54"/>
      <c r="WEZ2461" s="54"/>
      <c r="WFA2461" s="63"/>
      <c r="WFB2461" s="60"/>
      <c r="WFC2461" s="60"/>
      <c r="WFD2461" s="60"/>
      <c r="WFE2461" s="63"/>
      <c r="WFF2461" s="61"/>
      <c r="WFG2461" s="54"/>
      <c r="WFH2461" s="54"/>
      <c r="WFI2461" s="63"/>
      <c r="WFJ2461" s="60"/>
      <c r="WFK2461" s="60"/>
      <c r="WFL2461" s="60"/>
      <c r="WFM2461" s="63"/>
      <c r="WFN2461" s="61"/>
      <c r="WFO2461" s="54"/>
      <c r="WFP2461" s="54"/>
      <c r="WFQ2461" s="63"/>
      <c r="WFR2461" s="60"/>
      <c r="WFS2461" s="60"/>
      <c r="WFT2461" s="60"/>
      <c r="WFU2461" s="63"/>
      <c r="WFV2461" s="61"/>
      <c r="WFW2461" s="54"/>
      <c r="WFX2461" s="54"/>
      <c r="WFY2461" s="63"/>
      <c r="WFZ2461" s="60"/>
      <c r="WGA2461" s="60"/>
      <c r="WGB2461" s="60"/>
      <c r="WGC2461" s="63"/>
      <c r="WGD2461" s="61"/>
      <c r="WGE2461" s="54"/>
      <c r="WGF2461" s="54"/>
      <c r="WGG2461" s="63"/>
      <c r="WGH2461" s="60"/>
      <c r="WGI2461" s="60"/>
      <c r="WGJ2461" s="60"/>
      <c r="WGK2461" s="63"/>
      <c r="WGL2461" s="61"/>
      <c r="WGM2461" s="54"/>
      <c r="WGN2461" s="54"/>
      <c r="WGO2461" s="63"/>
      <c r="WGP2461" s="60"/>
      <c r="WGQ2461" s="60"/>
      <c r="WGR2461" s="60"/>
      <c r="WGS2461" s="63"/>
      <c r="WGT2461" s="61"/>
      <c r="WGU2461" s="54"/>
      <c r="WGV2461" s="54"/>
      <c r="WGW2461" s="63"/>
      <c r="WGX2461" s="60"/>
      <c r="WGY2461" s="60"/>
      <c r="WGZ2461" s="60"/>
      <c r="WHA2461" s="63"/>
      <c r="WHB2461" s="61"/>
      <c r="WHC2461" s="54"/>
      <c r="WHD2461" s="54"/>
      <c r="WHE2461" s="63"/>
      <c r="WHF2461" s="60"/>
      <c r="WHG2461" s="60"/>
      <c r="WHH2461" s="60"/>
      <c r="WHI2461" s="63"/>
      <c r="WHJ2461" s="61"/>
      <c r="WHK2461" s="54"/>
      <c r="WHL2461" s="54"/>
      <c r="WHM2461" s="63"/>
      <c r="WHN2461" s="60"/>
      <c r="WHO2461" s="60"/>
      <c r="WHP2461" s="60"/>
      <c r="WHQ2461" s="63"/>
      <c r="WHR2461" s="61"/>
      <c r="WHS2461" s="54"/>
      <c r="WHT2461" s="54"/>
      <c r="WHU2461" s="63"/>
      <c r="WHV2461" s="60"/>
      <c r="WHW2461" s="60"/>
      <c r="WHX2461" s="60"/>
      <c r="WHY2461" s="63"/>
      <c r="WHZ2461" s="61"/>
      <c r="WIA2461" s="54"/>
      <c r="WIB2461" s="54"/>
      <c r="WIC2461" s="63"/>
      <c r="WID2461" s="60"/>
      <c r="WIE2461" s="60"/>
      <c r="WIF2461" s="60"/>
      <c r="WIG2461" s="63"/>
      <c r="WIH2461" s="61"/>
      <c r="WII2461" s="54"/>
      <c r="WIJ2461" s="54"/>
      <c r="WIK2461" s="63"/>
      <c r="WIL2461" s="60"/>
      <c r="WIM2461" s="60"/>
      <c r="WIN2461" s="60"/>
      <c r="WIO2461" s="63"/>
      <c r="WIP2461" s="61"/>
      <c r="WIQ2461" s="54"/>
      <c r="WIR2461" s="54"/>
      <c r="WIS2461" s="63"/>
      <c r="WIT2461" s="60"/>
      <c r="WIU2461" s="60"/>
      <c r="WIV2461" s="60"/>
      <c r="WIW2461" s="63"/>
      <c r="WIX2461" s="61"/>
      <c r="WIY2461" s="54"/>
      <c r="WIZ2461" s="54"/>
      <c r="WJA2461" s="63"/>
      <c r="WJB2461" s="60"/>
      <c r="WJC2461" s="60"/>
      <c r="WJD2461" s="60"/>
      <c r="WJE2461" s="63"/>
      <c r="WJF2461" s="61"/>
      <c r="WJG2461" s="54"/>
      <c r="WJH2461" s="54"/>
      <c r="WJI2461" s="63"/>
      <c r="WJJ2461" s="60"/>
      <c r="WJK2461" s="60"/>
      <c r="WJL2461" s="60"/>
      <c r="WJM2461" s="63"/>
      <c r="WJN2461" s="61"/>
      <c r="WJO2461" s="54"/>
      <c r="WJP2461" s="54"/>
      <c r="WJQ2461" s="63"/>
      <c r="WJR2461" s="60"/>
      <c r="WJS2461" s="60"/>
      <c r="WJT2461" s="60"/>
      <c r="WJU2461" s="63"/>
      <c r="WJV2461" s="61"/>
      <c r="WJW2461" s="54"/>
      <c r="WJX2461" s="54"/>
      <c r="WJY2461" s="63"/>
      <c r="WJZ2461" s="60"/>
      <c r="WKA2461" s="60"/>
      <c r="WKB2461" s="60"/>
      <c r="WKC2461" s="63"/>
      <c r="WKD2461" s="61"/>
      <c r="WKE2461" s="54"/>
      <c r="WKF2461" s="54"/>
      <c r="WKG2461" s="63"/>
      <c r="WKH2461" s="60"/>
      <c r="WKI2461" s="60"/>
      <c r="WKJ2461" s="60"/>
      <c r="WKK2461" s="63"/>
      <c r="WKL2461" s="61"/>
      <c r="WKM2461" s="54"/>
      <c r="WKN2461" s="54"/>
      <c r="WKO2461" s="63"/>
      <c r="WKP2461" s="60"/>
      <c r="WKQ2461" s="60"/>
      <c r="WKR2461" s="60"/>
      <c r="WKS2461" s="63"/>
      <c r="WKT2461" s="61"/>
      <c r="WKU2461" s="54"/>
      <c r="WKV2461" s="54"/>
      <c r="WKW2461" s="63"/>
      <c r="WKX2461" s="60"/>
      <c r="WKY2461" s="60"/>
      <c r="WKZ2461" s="60"/>
      <c r="WLA2461" s="63"/>
      <c r="WLB2461" s="61"/>
      <c r="WLC2461" s="54"/>
      <c r="WLD2461" s="54"/>
      <c r="WLE2461" s="63"/>
      <c r="WLF2461" s="60"/>
      <c r="WLG2461" s="60"/>
      <c r="WLH2461" s="60"/>
      <c r="WLI2461" s="63"/>
      <c r="WLJ2461" s="61"/>
      <c r="WLK2461" s="54"/>
      <c r="WLL2461" s="54"/>
      <c r="WLM2461" s="63"/>
      <c r="WLN2461" s="60"/>
      <c r="WLO2461" s="60"/>
      <c r="WLP2461" s="60"/>
      <c r="WLQ2461" s="63"/>
      <c r="WLR2461" s="61"/>
      <c r="WLS2461" s="54"/>
      <c r="WLT2461" s="54"/>
      <c r="WLU2461" s="63"/>
      <c r="WLV2461" s="60"/>
      <c r="WLW2461" s="60"/>
      <c r="WLX2461" s="60"/>
      <c r="WLY2461" s="63"/>
      <c r="WLZ2461" s="61"/>
      <c r="WMA2461" s="54"/>
      <c r="WMB2461" s="54"/>
      <c r="WMC2461" s="63"/>
      <c r="WMD2461" s="60"/>
      <c r="WME2461" s="60"/>
      <c r="WMF2461" s="60"/>
      <c r="WMG2461" s="63"/>
      <c r="WMH2461" s="61"/>
      <c r="WMI2461" s="54"/>
      <c r="WMJ2461" s="54"/>
      <c r="WMK2461" s="63"/>
      <c r="WML2461" s="60"/>
      <c r="WMM2461" s="60"/>
      <c r="WMN2461" s="60"/>
      <c r="WMO2461" s="63"/>
      <c r="WMP2461" s="61"/>
      <c r="WMQ2461" s="54"/>
      <c r="WMR2461" s="54"/>
      <c r="WMS2461" s="63"/>
      <c r="WMT2461" s="60"/>
      <c r="WMU2461" s="60"/>
      <c r="WMV2461" s="60"/>
      <c r="WMW2461" s="63"/>
      <c r="WMX2461" s="61"/>
      <c r="WMY2461" s="54"/>
      <c r="WMZ2461" s="54"/>
      <c r="WNA2461" s="63"/>
      <c r="WNB2461" s="60"/>
      <c r="WNC2461" s="60"/>
      <c r="WND2461" s="60"/>
      <c r="WNE2461" s="63"/>
      <c r="WNF2461" s="61"/>
      <c r="WNG2461" s="54"/>
      <c r="WNH2461" s="54"/>
      <c r="WNI2461" s="63"/>
      <c r="WNJ2461" s="60"/>
      <c r="WNK2461" s="60"/>
      <c r="WNL2461" s="60"/>
      <c r="WNM2461" s="63"/>
      <c r="WNN2461" s="61"/>
      <c r="WNO2461" s="54"/>
      <c r="WNP2461" s="54"/>
      <c r="WNQ2461" s="63"/>
      <c r="WNR2461" s="60"/>
      <c r="WNS2461" s="60"/>
      <c r="WNT2461" s="60"/>
      <c r="WNU2461" s="63"/>
      <c r="WNV2461" s="61"/>
      <c r="WNW2461" s="54"/>
      <c r="WNX2461" s="54"/>
      <c r="WNY2461" s="63"/>
      <c r="WNZ2461" s="60"/>
      <c r="WOA2461" s="60"/>
      <c r="WOB2461" s="60"/>
      <c r="WOC2461" s="63"/>
      <c r="WOD2461" s="61"/>
      <c r="WOE2461" s="54"/>
      <c r="WOF2461" s="54"/>
      <c r="WOG2461" s="63"/>
      <c r="WOH2461" s="60"/>
      <c r="WOI2461" s="60"/>
      <c r="WOJ2461" s="60"/>
      <c r="WOK2461" s="63"/>
      <c r="WOL2461" s="61"/>
      <c r="WOM2461" s="54"/>
      <c r="WON2461" s="54"/>
      <c r="WOO2461" s="63"/>
      <c r="WOP2461" s="60"/>
      <c r="WOQ2461" s="60"/>
      <c r="WOR2461" s="60"/>
      <c r="WOS2461" s="63"/>
      <c r="WOT2461" s="61"/>
      <c r="WOU2461" s="54"/>
      <c r="WOV2461" s="54"/>
      <c r="WOW2461" s="63"/>
      <c r="WOX2461" s="60"/>
      <c r="WOY2461" s="60"/>
      <c r="WOZ2461" s="60"/>
      <c r="WPA2461" s="63"/>
      <c r="WPB2461" s="61"/>
      <c r="WPC2461" s="54"/>
      <c r="WPD2461" s="54"/>
      <c r="WPE2461" s="63"/>
      <c r="WPF2461" s="60"/>
      <c r="WPG2461" s="60"/>
      <c r="WPH2461" s="60"/>
      <c r="WPI2461" s="63"/>
      <c r="WPJ2461" s="61"/>
      <c r="WPK2461" s="54"/>
      <c r="WPL2461" s="54"/>
      <c r="WPM2461" s="63"/>
      <c r="WPN2461" s="60"/>
      <c r="WPO2461" s="60"/>
      <c r="WPP2461" s="60"/>
      <c r="WPQ2461" s="63"/>
      <c r="WPR2461" s="61"/>
      <c r="WPS2461" s="54"/>
      <c r="WPT2461" s="54"/>
      <c r="WPU2461" s="63"/>
      <c r="WPV2461" s="60"/>
      <c r="WPW2461" s="60"/>
      <c r="WPX2461" s="60"/>
      <c r="WPY2461" s="63"/>
      <c r="WPZ2461" s="61"/>
      <c r="WQA2461" s="54"/>
      <c r="WQB2461" s="54"/>
      <c r="WQC2461" s="63"/>
      <c r="WQD2461" s="60"/>
      <c r="WQE2461" s="60"/>
      <c r="WQF2461" s="60"/>
      <c r="WQG2461" s="63"/>
      <c r="WQH2461" s="61"/>
      <c r="WQI2461" s="54"/>
      <c r="WQJ2461" s="54"/>
      <c r="WQK2461" s="63"/>
      <c r="WQL2461" s="60"/>
      <c r="WQM2461" s="60"/>
      <c r="WQN2461" s="60"/>
      <c r="WQO2461" s="63"/>
      <c r="WQP2461" s="61"/>
      <c r="WQQ2461" s="54"/>
      <c r="WQR2461" s="54"/>
      <c r="WQS2461" s="63"/>
      <c r="WQT2461" s="60"/>
      <c r="WQU2461" s="60"/>
      <c r="WQV2461" s="60"/>
      <c r="WQW2461" s="63"/>
      <c r="WQX2461" s="61"/>
      <c r="WQY2461" s="54"/>
      <c r="WQZ2461" s="54"/>
      <c r="WRA2461" s="63"/>
      <c r="WRB2461" s="60"/>
      <c r="WRC2461" s="60"/>
      <c r="WRD2461" s="60"/>
      <c r="WRE2461" s="63"/>
      <c r="WRF2461" s="61"/>
      <c r="WRG2461" s="54"/>
      <c r="WRH2461" s="54"/>
      <c r="WRI2461" s="63"/>
      <c r="WRJ2461" s="60"/>
      <c r="WRK2461" s="60"/>
      <c r="WRL2461" s="60"/>
      <c r="WRM2461" s="63"/>
      <c r="WRN2461" s="61"/>
      <c r="WRO2461" s="54"/>
      <c r="WRP2461" s="54"/>
      <c r="WRQ2461" s="63"/>
      <c r="WRR2461" s="60"/>
      <c r="WRS2461" s="60"/>
      <c r="WRT2461" s="60"/>
      <c r="WRU2461" s="63"/>
      <c r="WRV2461" s="61"/>
      <c r="WRW2461" s="54"/>
      <c r="WRX2461" s="54"/>
      <c r="WRY2461" s="63"/>
      <c r="WRZ2461" s="60"/>
      <c r="WSA2461" s="60"/>
      <c r="WSB2461" s="60"/>
      <c r="WSC2461" s="63"/>
      <c r="WSD2461" s="61"/>
      <c r="WSE2461" s="54"/>
      <c r="WSF2461" s="54"/>
      <c r="WSG2461" s="63"/>
      <c r="WSH2461" s="60"/>
      <c r="WSI2461" s="60"/>
      <c r="WSJ2461" s="60"/>
      <c r="WSK2461" s="63"/>
      <c r="WSL2461" s="61"/>
      <c r="WSM2461" s="54"/>
      <c r="WSN2461" s="54"/>
      <c r="WSO2461" s="63"/>
      <c r="WSP2461" s="60"/>
      <c r="WSQ2461" s="60"/>
      <c r="WSR2461" s="60"/>
      <c r="WSS2461" s="63"/>
      <c r="WST2461" s="61"/>
      <c r="WSU2461" s="54"/>
      <c r="WSV2461" s="54"/>
      <c r="WSW2461" s="63"/>
      <c r="WSX2461" s="60"/>
      <c r="WSY2461" s="60"/>
      <c r="WSZ2461" s="60"/>
      <c r="WTA2461" s="63"/>
      <c r="WTB2461" s="61"/>
      <c r="WTC2461" s="54"/>
      <c r="WTD2461" s="54"/>
      <c r="WTE2461" s="63"/>
      <c r="WTF2461" s="60"/>
      <c r="WTG2461" s="60"/>
      <c r="WTH2461" s="60"/>
      <c r="WTI2461" s="63"/>
      <c r="WTJ2461" s="61"/>
      <c r="WTK2461" s="54"/>
      <c r="WTL2461" s="54"/>
      <c r="WTM2461" s="63"/>
      <c r="WTN2461" s="60"/>
      <c r="WTO2461" s="60"/>
      <c r="WTP2461" s="60"/>
      <c r="WTQ2461" s="63"/>
      <c r="WTR2461" s="61"/>
      <c r="WTS2461" s="54"/>
      <c r="WTT2461" s="54"/>
      <c r="WTU2461" s="63"/>
      <c r="WTV2461" s="60"/>
      <c r="WTW2461" s="60"/>
      <c r="WTX2461" s="60"/>
      <c r="WTY2461" s="63"/>
      <c r="WTZ2461" s="61"/>
      <c r="WUA2461" s="54"/>
      <c r="WUB2461" s="54"/>
      <c r="WUC2461" s="63"/>
      <c r="WUD2461" s="60"/>
      <c r="WUE2461" s="60"/>
      <c r="WUF2461" s="60"/>
      <c r="WUG2461" s="63"/>
      <c r="WUH2461" s="61"/>
      <c r="WUI2461" s="54"/>
      <c r="WUJ2461" s="54"/>
      <c r="WUK2461" s="63"/>
      <c r="WUL2461" s="60"/>
      <c r="WUM2461" s="60"/>
      <c r="WUN2461" s="60"/>
      <c r="WUO2461" s="63"/>
      <c r="WUP2461" s="61"/>
      <c r="WUQ2461" s="54"/>
      <c r="WUR2461" s="54"/>
      <c r="WUS2461" s="63"/>
      <c r="WUT2461" s="60"/>
      <c r="WUU2461" s="60"/>
      <c r="WUV2461" s="60"/>
      <c r="WUW2461" s="63"/>
      <c r="WUX2461" s="61"/>
      <c r="WUY2461" s="54"/>
      <c r="WUZ2461" s="54"/>
      <c r="WVA2461" s="63"/>
      <c r="WVB2461" s="60"/>
      <c r="WVC2461" s="60"/>
      <c r="WVD2461" s="60"/>
      <c r="WVE2461" s="63"/>
      <c r="WVF2461" s="61"/>
      <c r="WVG2461" s="54"/>
      <c r="WVH2461" s="54"/>
      <c r="WVI2461" s="63"/>
      <c r="WVJ2461" s="60"/>
      <c r="WVK2461" s="60"/>
      <c r="WVL2461" s="60"/>
      <c r="WVM2461" s="63"/>
      <c r="WVN2461" s="61"/>
      <c r="WVO2461" s="54"/>
      <c r="WVP2461" s="54"/>
      <c r="WVQ2461" s="63"/>
      <c r="WVR2461" s="60"/>
      <c r="WVS2461" s="60"/>
      <c r="WVT2461" s="60"/>
      <c r="WVU2461" s="63"/>
      <c r="WVV2461" s="61"/>
      <c r="WVW2461" s="54"/>
      <c r="WVX2461" s="54"/>
      <c r="WVY2461" s="63"/>
      <c r="WVZ2461" s="60"/>
      <c r="WWA2461" s="60"/>
      <c r="WWB2461" s="60"/>
      <c r="WWC2461" s="63"/>
      <c r="WWD2461" s="61"/>
      <c r="WWE2461" s="54"/>
      <c r="WWF2461" s="54"/>
      <c r="WWG2461" s="63"/>
      <c r="WWH2461" s="60"/>
      <c r="WWI2461" s="60"/>
      <c r="WWJ2461" s="60"/>
      <c r="WWK2461" s="63"/>
      <c r="WWL2461" s="61"/>
      <c r="WWM2461" s="54"/>
      <c r="WWN2461" s="54"/>
      <c r="WWO2461" s="63"/>
      <c r="WWP2461" s="60"/>
      <c r="WWQ2461" s="60"/>
      <c r="WWR2461" s="60"/>
      <c r="WWS2461" s="63"/>
      <c r="WWT2461" s="61"/>
      <c r="WWU2461" s="54"/>
      <c r="WWV2461" s="54"/>
      <c r="WWW2461" s="63"/>
      <c r="WWX2461" s="60"/>
      <c r="WWY2461" s="60"/>
      <c r="WWZ2461" s="60"/>
      <c r="WXA2461" s="63"/>
      <c r="WXB2461" s="61"/>
      <c r="WXC2461" s="54"/>
      <c r="WXD2461" s="54"/>
      <c r="WXE2461" s="63"/>
      <c r="WXF2461" s="60"/>
      <c r="WXG2461" s="60"/>
      <c r="WXH2461" s="60"/>
      <c r="WXI2461" s="63"/>
      <c r="WXJ2461" s="61"/>
      <c r="WXK2461" s="54"/>
      <c r="WXL2461" s="54"/>
      <c r="WXM2461" s="63"/>
      <c r="WXN2461" s="60"/>
      <c r="WXO2461" s="60"/>
      <c r="WXP2461" s="60"/>
      <c r="WXQ2461" s="63"/>
      <c r="WXR2461" s="61"/>
      <c r="WXS2461" s="54"/>
      <c r="WXT2461" s="54"/>
      <c r="WXU2461" s="63"/>
      <c r="WXV2461" s="60"/>
      <c r="WXW2461" s="60"/>
      <c r="WXX2461" s="60"/>
      <c r="WXY2461" s="63"/>
      <c r="WXZ2461" s="61"/>
      <c r="WYA2461" s="54"/>
      <c r="WYB2461" s="54"/>
      <c r="WYC2461" s="63"/>
      <c r="WYD2461" s="60"/>
      <c r="WYE2461" s="60"/>
      <c r="WYF2461" s="60"/>
      <c r="WYG2461" s="63"/>
      <c r="WYH2461" s="61"/>
      <c r="WYI2461" s="54"/>
      <c r="WYJ2461" s="54"/>
      <c r="WYK2461" s="63"/>
      <c r="WYL2461" s="60"/>
      <c r="WYM2461" s="60"/>
      <c r="WYN2461" s="60"/>
      <c r="WYO2461" s="63"/>
      <c r="WYP2461" s="61"/>
      <c r="WYQ2461" s="54"/>
      <c r="WYR2461" s="54"/>
      <c r="WYS2461" s="63"/>
      <c r="WYT2461" s="60"/>
      <c r="WYU2461" s="60"/>
      <c r="WYV2461" s="60"/>
      <c r="WYW2461" s="63"/>
      <c r="WYX2461" s="61"/>
      <c r="WYY2461" s="54"/>
      <c r="WYZ2461" s="54"/>
      <c r="WZA2461" s="63"/>
      <c r="WZB2461" s="60"/>
      <c r="WZC2461" s="60"/>
      <c r="WZD2461" s="60"/>
      <c r="WZE2461" s="63"/>
      <c r="WZF2461" s="61"/>
      <c r="WZG2461" s="54"/>
      <c r="WZH2461" s="54"/>
      <c r="WZI2461" s="63"/>
      <c r="WZJ2461" s="60"/>
      <c r="WZK2461" s="60"/>
      <c r="WZL2461" s="60"/>
      <c r="WZM2461" s="63"/>
      <c r="WZN2461" s="61"/>
      <c r="WZO2461" s="54"/>
      <c r="WZP2461" s="54"/>
      <c r="WZQ2461" s="63"/>
      <c r="WZR2461" s="60"/>
      <c r="WZS2461" s="60"/>
      <c r="WZT2461" s="60"/>
      <c r="WZU2461" s="63"/>
      <c r="WZV2461" s="61"/>
      <c r="WZW2461" s="54"/>
      <c r="WZX2461" s="54"/>
      <c r="WZY2461" s="63"/>
      <c r="WZZ2461" s="60"/>
      <c r="XAA2461" s="60"/>
      <c r="XAB2461" s="60"/>
      <c r="XAC2461" s="63"/>
      <c r="XAD2461" s="61"/>
      <c r="XAE2461" s="54"/>
      <c r="XAF2461" s="54"/>
      <c r="XAG2461" s="63"/>
      <c r="XAH2461" s="60"/>
      <c r="XAI2461" s="60"/>
      <c r="XAJ2461" s="60"/>
      <c r="XAK2461" s="63"/>
      <c r="XAL2461" s="61"/>
      <c r="XAM2461" s="54"/>
      <c r="XAN2461" s="54"/>
      <c r="XAO2461" s="63"/>
      <c r="XAP2461" s="60"/>
      <c r="XAQ2461" s="60"/>
      <c r="XAR2461" s="60"/>
      <c r="XAS2461" s="63"/>
      <c r="XAT2461" s="61"/>
      <c r="XAU2461" s="54"/>
      <c r="XAV2461" s="54"/>
      <c r="XAW2461" s="63"/>
      <c r="XAX2461" s="60"/>
      <c r="XAY2461" s="60"/>
      <c r="XAZ2461" s="60"/>
      <c r="XBA2461" s="63"/>
      <c r="XBB2461" s="61"/>
      <c r="XBC2461" s="54"/>
      <c r="XBD2461" s="54"/>
      <c r="XBE2461" s="63"/>
      <c r="XBF2461" s="60"/>
      <c r="XBG2461" s="60"/>
      <c r="XBH2461" s="60"/>
      <c r="XBI2461" s="63"/>
      <c r="XBJ2461" s="61"/>
      <c r="XBK2461" s="54"/>
      <c r="XBL2461" s="54"/>
      <c r="XBM2461" s="63"/>
      <c r="XBN2461" s="60"/>
      <c r="XBO2461" s="60"/>
      <c r="XBP2461" s="60"/>
      <c r="XBQ2461" s="63"/>
      <c r="XBR2461" s="61"/>
      <c r="XBS2461" s="54"/>
      <c r="XBT2461" s="54"/>
      <c r="XBU2461" s="63"/>
      <c r="XBV2461" s="60"/>
      <c r="XBW2461" s="60"/>
      <c r="XBX2461" s="60"/>
      <c r="XBY2461" s="63"/>
      <c r="XBZ2461" s="61"/>
      <c r="XCA2461" s="54"/>
      <c r="XCB2461" s="54"/>
      <c r="XCC2461" s="63"/>
      <c r="XCD2461" s="60"/>
      <c r="XCE2461" s="60"/>
      <c r="XCF2461" s="60"/>
      <c r="XCG2461" s="63"/>
      <c r="XCH2461" s="61"/>
      <c r="XCI2461" s="54"/>
      <c r="XCJ2461" s="54"/>
      <c r="XCK2461" s="63"/>
      <c r="XCL2461" s="60"/>
      <c r="XCM2461" s="60"/>
      <c r="XCN2461" s="60"/>
      <c r="XCO2461" s="63"/>
      <c r="XCP2461" s="61"/>
      <c r="XCQ2461" s="54"/>
      <c r="XCR2461" s="54"/>
      <c r="XCS2461" s="63"/>
      <c r="XCT2461" s="60"/>
      <c r="XCU2461" s="60"/>
      <c r="XCV2461" s="60"/>
      <c r="XCW2461" s="63"/>
      <c r="XCX2461" s="61"/>
      <c r="XCY2461" s="54"/>
      <c r="XCZ2461" s="54"/>
      <c r="XDA2461" s="63"/>
      <c r="XDB2461" s="60"/>
      <c r="XDC2461" s="60"/>
      <c r="XDD2461" s="60"/>
      <c r="XDE2461" s="63"/>
      <c r="XDF2461" s="61"/>
      <c r="XDG2461" s="54"/>
      <c r="XDH2461" s="54"/>
      <c r="XDI2461" s="63"/>
      <c r="XDJ2461" s="60"/>
      <c r="XDK2461" s="60"/>
      <c r="XDL2461" s="60"/>
      <c r="XDM2461" s="63"/>
      <c r="XDN2461" s="61"/>
      <c r="XDO2461" s="54"/>
      <c r="XDP2461" s="54"/>
      <c r="XDQ2461" s="63"/>
      <c r="XDR2461" s="60"/>
      <c r="XDS2461" s="60"/>
      <c r="XDT2461" s="60"/>
      <c r="XDU2461" s="63"/>
      <c r="XDV2461" s="61"/>
      <c r="XDW2461" s="54"/>
      <c r="XDX2461" s="54"/>
      <c r="XDY2461" s="63"/>
      <c r="XDZ2461" s="60"/>
      <c r="XEA2461" s="60"/>
      <c r="XEB2461" s="60"/>
      <c r="XEC2461" s="63"/>
      <c r="XED2461" s="61"/>
      <c r="XEE2461" s="54"/>
      <c r="XEF2461" s="54"/>
      <c r="XEG2461" s="63"/>
      <c r="XEH2461" s="60"/>
      <c r="XEI2461" s="60"/>
      <c r="XEJ2461" s="60"/>
      <c r="XEK2461" s="63"/>
      <c r="XEL2461" s="61"/>
      <c r="XEM2461" s="54"/>
      <c r="XEN2461" s="54"/>
      <c r="XEO2461" s="63"/>
      <c r="XEP2461" s="60"/>
      <c r="XEQ2461" s="60"/>
      <c r="XER2461" s="60"/>
      <c r="XES2461" s="63"/>
      <c r="XET2461" s="61"/>
      <c r="XEU2461" s="54"/>
      <c r="XEV2461" s="54"/>
      <c r="XEW2461" s="63"/>
    </row>
    <row r="2462" ht="18" customHeight="1" spans="1:16377">
      <c r="A2462" s="6" t="s">
        <v>8209</v>
      </c>
      <c r="B2462" s="6" t="s">
        <v>8540</v>
      </c>
      <c r="C2462" s="11" t="s">
        <v>16381</v>
      </c>
      <c r="D2462" s="5" t="s">
        <v>16382</v>
      </c>
      <c r="E2462" s="11" t="s">
        <v>16383</v>
      </c>
      <c r="F2462" s="7" t="s">
        <v>11535</v>
      </c>
      <c r="G2462" s="54"/>
      <c r="H2462" s="54"/>
      <c r="I2462" s="63"/>
      <c r="J2462" s="60"/>
      <c r="K2462" s="60"/>
      <c r="L2462" s="60"/>
      <c r="M2462" s="63"/>
      <c r="N2462" s="61"/>
      <c r="O2462" s="54"/>
      <c r="P2462" s="54"/>
      <c r="Q2462" s="63"/>
      <c r="R2462" s="60"/>
      <c r="S2462" s="60"/>
      <c r="T2462" s="60"/>
      <c r="U2462" s="63"/>
      <c r="V2462" s="61"/>
      <c r="W2462" s="54"/>
      <c r="X2462" s="54"/>
      <c r="Y2462" s="63"/>
      <c r="Z2462" s="60"/>
      <c r="AA2462" s="60"/>
      <c r="AB2462" s="60"/>
      <c r="AC2462" s="63"/>
      <c r="AD2462" s="61"/>
      <c r="AE2462" s="54"/>
      <c r="AF2462" s="54"/>
      <c r="AG2462" s="63"/>
      <c r="AH2462" s="60"/>
      <c r="AI2462" s="60"/>
      <c r="AJ2462" s="60"/>
      <c r="AK2462" s="63"/>
      <c r="AL2462" s="61"/>
      <c r="AM2462" s="54"/>
      <c r="AN2462" s="54"/>
      <c r="AO2462" s="63"/>
      <c r="AP2462" s="60"/>
      <c r="AQ2462" s="60"/>
      <c r="AR2462" s="60"/>
      <c r="AS2462" s="63"/>
      <c r="AT2462" s="61"/>
      <c r="AU2462" s="54"/>
      <c r="AV2462" s="54"/>
      <c r="AW2462" s="63"/>
      <c r="AX2462" s="60"/>
      <c r="AY2462" s="60"/>
      <c r="AZ2462" s="60"/>
      <c r="BA2462" s="63"/>
      <c r="BB2462" s="61"/>
      <c r="BC2462" s="54"/>
      <c r="BD2462" s="54"/>
      <c r="BE2462" s="63"/>
      <c r="BF2462" s="60"/>
      <c r="BG2462" s="60"/>
      <c r="BH2462" s="60"/>
      <c r="BI2462" s="63"/>
      <c r="BJ2462" s="61"/>
      <c r="BK2462" s="54"/>
      <c r="BL2462" s="54"/>
      <c r="BM2462" s="63"/>
      <c r="BN2462" s="60"/>
      <c r="BO2462" s="60"/>
      <c r="BP2462" s="60"/>
      <c r="BQ2462" s="63"/>
      <c r="BR2462" s="61"/>
      <c r="BS2462" s="54"/>
      <c r="BT2462" s="54"/>
      <c r="BU2462" s="63"/>
      <c r="BV2462" s="60"/>
      <c r="BW2462" s="60"/>
      <c r="BX2462" s="60"/>
      <c r="BY2462" s="63"/>
      <c r="BZ2462" s="61"/>
      <c r="CA2462" s="54"/>
      <c r="CB2462" s="54"/>
      <c r="CC2462" s="63"/>
      <c r="CD2462" s="60"/>
      <c r="CE2462" s="60"/>
      <c r="CF2462" s="60"/>
      <c r="CG2462" s="63"/>
      <c r="CH2462" s="61"/>
      <c r="CI2462" s="54"/>
      <c r="CJ2462" s="54"/>
      <c r="CK2462" s="63"/>
      <c r="CL2462" s="60"/>
      <c r="CM2462" s="60"/>
      <c r="CN2462" s="60"/>
      <c r="CO2462" s="63"/>
      <c r="CP2462" s="61"/>
      <c r="CQ2462" s="54"/>
      <c r="CR2462" s="54"/>
      <c r="CS2462" s="63"/>
      <c r="CT2462" s="60"/>
      <c r="CU2462" s="60"/>
      <c r="CV2462" s="60"/>
      <c r="CW2462" s="63"/>
      <c r="CX2462" s="61"/>
      <c r="CY2462" s="54"/>
      <c r="CZ2462" s="54"/>
      <c r="DA2462" s="63"/>
      <c r="DB2462" s="60"/>
      <c r="DC2462" s="60"/>
      <c r="DD2462" s="60"/>
      <c r="DE2462" s="63"/>
      <c r="DF2462" s="61"/>
      <c r="DG2462" s="54"/>
      <c r="DH2462" s="54"/>
      <c r="DI2462" s="63"/>
      <c r="DJ2462" s="60"/>
      <c r="DK2462" s="60"/>
      <c r="DL2462" s="60"/>
      <c r="DM2462" s="63"/>
      <c r="DN2462" s="61"/>
      <c r="DO2462" s="54"/>
      <c r="DP2462" s="54"/>
      <c r="DQ2462" s="63"/>
      <c r="DR2462" s="60"/>
      <c r="DS2462" s="60"/>
      <c r="DT2462" s="60"/>
      <c r="DU2462" s="63"/>
      <c r="DV2462" s="61"/>
      <c r="DW2462" s="54"/>
      <c r="DX2462" s="54"/>
      <c r="DY2462" s="63"/>
      <c r="DZ2462" s="60"/>
      <c r="EA2462" s="60"/>
      <c r="EB2462" s="60"/>
      <c r="EC2462" s="63"/>
      <c r="ED2462" s="61"/>
      <c r="EE2462" s="54"/>
      <c r="EF2462" s="54"/>
      <c r="EG2462" s="63"/>
      <c r="EH2462" s="60"/>
      <c r="EI2462" s="60"/>
      <c r="EJ2462" s="60"/>
      <c r="EK2462" s="63"/>
      <c r="EL2462" s="61"/>
      <c r="EM2462" s="54"/>
      <c r="EN2462" s="54"/>
      <c r="EO2462" s="63"/>
      <c r="EP2462" s="60"/>
      <c r="EQ2462" s="60"/>
      <c r="ER2462" s="60"/>
      <c r="ES2462" s="63"/>
      <c r="ET2462" s="61"/>
      <c r="EU2462" s="54"/>
      <c r="EV2462" s="54"/>
      <c r="EW2462" s="63"/>
      <c r="EX2462" s="60"/>
      <c r="EY2462" s="60"/>
      <c r="EZ2462" s="60"/>
      <c r="FA2462" s="63"/>
      <c r="FB2462" s="61"/>
      <c r="FC2462" s="54"/>
      <c r="FD2462" s="54"/>
      <c r="FE2462" s="63"/>
      <c r="FF2462" s="60"/>
      <c r="FG2462" s="60"/>
      <c r="FH2462" s="60"/>
      <c r="FI2462" s="63"/>
      <c r="FJ2462" s="61"/>
      <c r="FK2462" s="54"/>
      <c r="FL2462" s="54"/>
      <c r="FM2462" s="63"/>
      <c r="FN2462" s="60"/>
      <c r="FO2462" s="60"/>
      <c r="FP2462" s="60"/>
      <c r="FQ2462" s="63"/>
      <c r="FR2462" s="61"/>
      <c r="FS2462" s="54"/>
      <c r="FT2462" s="54"/>
      <c r="FU2462" s="63"/>
      <c r="FV2462" s="60"/>
      <c r="FW2462" s="60"/>
      <c r="FX2462" s="60"/>
      <c r="FY2462" s="63"/>
      <c r="FZ2462" s="61"/>
      <c r="GA2462" s="54"/>
      <c r="GB2462" s="54"/>
      <c r="GC2462" s="63"/>
      <c r="GD2462" s="60"/>
      <c r="GE2462" s="60"/>
      <c r="GF2462" s="60"/>
      <c r="GG2462" s="63"/>
      <c r="GH2462" s="61"/>
      <c r="GI2462" s="54"/>
      <c r="GJ2462" s="54"/>
      <c r="GK2462" s="63"/>
      <c r="GL2462" s="60"/>
      <c r="GM2462" s="60"/>
      <c r="GN2462" s="60"/>
      <c r="GO2462" s="63"/>
      <c r="GP2462" s="61"/>
      <c r="GQ2462" s="54"/>
      <c r="GR2462" s="54"/>
      <c r="GS2462" s="63"/>
      <c r="GT2462" s="60"/>
      <c r="GU2462" s="60"/>
      <c r="GV2462" s="60"/>
      <c r="GW2462" s="63"/>
      <c r="GX2462" s="61"/>
      <c r="GY2462" s="54"/>
      <c r="GZ2462" s="54"/>
      <c r="HA2462" s="63"/>
      <c r="HB2462" s="60"/>
      <c r="HC2462" s="60"/>
      <c r="HD2462" s="60"/>
      <c r="HE2462" s="63"/>
      <c r="HF2462" s="61"/>
      <c r="HG2462" s="54"/>
      <c r="HH2462" s="54"/>
      <c r="HI2462" s="63"/>
      <c r="HJ2462" s="60"/>
      <c r="HK2462" s="60"/>
      <c r="HL2462" s="60"/>
      <c r="HM2462" s="63"/>
      <c r="HN2462" s="61"/>
      <c r="HO2462" s="54"/>
      <c r="HP2462" s="54"/>
      <c r="HQ2462" s="63"/>
      <c r="HR2462" s="60"/>
      <c r="HS2462" s="60"/>
      <c r="HT2462" s="60"/>
      <c r="HU2462" s="63"/>
      <c r="HV2462" s="61"/>
      <c r="HW2462" s="54"/>
      <c r="HX2462" s="54"/>
      <c r="HY2462" s="63"/>
      <c r="HZ2462" s="60"/>
      <c r="IA2462" s="60"/>
      <c r="IB2462" s="60"/>
      <c r="IC2462" s="63"/>
      <c r="ID2462" s="61"/>
      <c r="IE2462" s="54"/>
      <c r="IF2462" s="54"/>
      <c r="IG2462" s="63"/>
      <c r="IH2462" s="60"/>
      <c r="II2462" s="60"/>
      <c r="IJ2462" s="60"/>
      <c r="IK2462" s="63"/>
      <c r="IL2462" s="61"/>
      <c r="IM2462" s="54"/>
      <c r="IN2462" s="54"/>
      <c r="IO2462" s="63"/>
      <c r="IP2462" s="60"/>
      <c r="IQ2462" s="60"/>
      <c r="IR2462" s="60"/>
      <c r="IS2462" s="63"/>
      <c r="IT2462" s="61"/>
      <c r="IU2462" s="54"/>
      <c r="IV2462" s="54"/>
      <c r="IW2462" s="63"/>
      <c r="IX2462" s="60"/>
      <c r="IY2462" s="60"/>
      <c r="IZ2462" s="60"/>
      <c r="JA2462" s="63"/>
      <c r="JB2462" s="61"/>
      <c r="JC2462" s="54"/>
      <c r="JD2462" s="54"/>
      <c r="JE2462" s="63"/>
      <c r="JF2462" s="60"/>
      <c r="JG2462" s="60"/>
      <c r="JH2462" s="60"/>
      <c r="JI2462" s="63"/>
      <c r="JJ2462" s="61"/>
      <c r="JK2462" s="54"/>
      <c r="JL2462" s="54"/>
      <c r="JM2462" s="63"/>
      <c r="JN2462" s="60"/>
      <c r="JO2462" s="60"/>
      <c r="JP2462" s="60"/>
      <c r="JQ2462" s="63"/>
      <c r="JR2462" s="61"/>
      <c r="JS2462" s="54"/>
      <c r="JT2462" s="54"/>
      <c r="JU2462" s="63"/>
      <c r="JV2462" s="60"/>
      <c r="JW2462" s="60"/>
      <c r="JX2462" s="60"/>
      <c r="JY2462" s="63"/>
      <c r="JZ2462" s="61"/>
      <c r="KA2462" s="54"/>
      <c r="KB2462" s="54"/>
      <c r="KC2462" s="63"/>
      <c r="KD2462" s="60"/>
      <c r="KE2462" s="60"/>
      <c r="KF2462" s="60"/>
      <c r="KG2462" s="63"/>
      <c r="KH2462" s="61"/>
      <c r="KI2462" s="54"/>
      <c r="KJ2462" s="54"/>
      <c r="KK2462" s="63"/>
      <c r="KL2462" s="60"/>
      <c r="KM2462" s="60"/>
      <c r="KN2462" s="60"/>
      <c r="KO2462" s="63"/>
      <c r="KP2462" s="61"/>
      <c r="KQ2462" s="54"/>
      <c r="KR2462" s="54"/>
      <c r="KS2462" s="63"/>
      <c r="KT2462" s="60"/>
      <c r="KU2462" s="60"/>
      <c r="KV2462" s="60"/>
      <c r="KW2462" s="63"/>
      <c r="KX2462" s="61"/>
      <c r="KY2462" s="54"/>
      <c r="KZ2462" s="54"/>
      <c r="LA2462" s="63"/>
      <c r="LB2462" s="60"/>
      <c r="LC2462" s="60"/>
      <c r="LD2462" s="60"/>
      <c r="LE2462" s="63"/>
      <c r="LF2462" s="61"/>
      <c r="LG2462" s="54"/>
      <c r="LH2462" s="54"/>
      <c r="LI2462" s="63"/>
      <c r="LJ2462" s="60"/>
      <c r="LK2462" s="60"/>
      <c r="LL2462" s="60"/>
      <c r="LM2462" s="63"/>
      <c r="LN2462" s="61"/>
      <c r="LO2462" s="54"/>
      <c r="LP2462" s="54"/>
      <c r="LQ2462" s="63"/>
      <c r="LR2462" s="60"/>
      <c r="LS2462" s="60"/>
      <c r="LT2462" s="60"/>
      <c r="LU2462" s="63"/>
      <c r="LV2462" s="61"/>
      <c r="LW2462" s="54"/>
      <c r="LX2462" s="54"/>
      <c r="LY2462" s="63"/>
      <c r="LZ2462" s="60"/>
      <c r="MA2462" s="60"/>
      <c r="MB2462" s="60"/>
      <c r="MC2462" s="63"/>
      <c r="MD2462" s="61"/>
      <c r="ME2462" s="54"/>
      <c r="MF2462" s="54"/>
      <c r="MG2462" s="63"/>
      <c r="MH2462" s="60"/>
      <c r="MI2462" s="60"/>
      <c r="MJ2462" s="60"/>
      <c r="MK2462" s="63"/>
      <c r="ML2462" s="61"/>
      <c r="MM2462" s="54"/>
      <c r="MN2462" s="54"/>
      <c r="MO2462" s="63"/>
      <c r="MP2462" s="60"/>
      <c r="MQ2462" s="60"/>
      <c r="MR2462" s="60"/>
      <c r="MS2462" s="63"/>
      <c r="MT2462" s="61"/>
      <c r="MU2462" s="54"/>
      <c r="MV2462" s="54"/>
      <c r="MW2462" s="63"/>
      <c r="MX2462" s="60"/>
      <c r="MY2462" s="60"/>
      <c r="MZ2462" s="60"/>
      <c r="NA2462" s="63"/>
      <c r="NB2462" s="61"/>
      <c r="NC2462" s="54"/>
      <c r="ND2462" s="54"/>
      <c r="NE2462" s="63"/>
      <c r="NF2462" s="60"/>
      <c r="NG2462" s="60"/>
      <c r="NH2462" s="60"/>
      <c r="NI2462" s="63"/>
      <c r="NJ2462" s="61"/>
      <c r="NK2462" s="54"/>
      <c r="NL2462" s="54"/>
      <c r="NM2462" s="63"/>
      <c r="NN2462" s="60"/>
      <c r="NO2462" s="60"/>
      <c r="NP2462" s="60"/>
      <c r="NQ2462" s="63"/>
      <c r="NR2462" s="61"/>
      <c r="NS2462" s="54"/>
      <c r="NT2462" s="54"/>
      <c r="NU2462" s="63"/>
      <c r="NV2462" s="60"/>
      <c r="NW2462" s="60"/>
      <c r="NX2462" s="60"/>
      <c r="NY2462" s="63"/>
      <c r="NZ2462" s="61"/>
      <c r="OA2462" s="54"/>
      <c r="OB2462" s="54"/>
      <c r="OC2462" s="63"/>
      <c r="OD2462" s="60"/>
      <c r="OE2462" s="60"/>
      <c r="OF2462" s="60"/>
      <c r="OG2462" s="63"/>
      <c r="OH2462" s="61"/>
      <c r="OI2462" s="54"/>
      <c r="OJ2462" s="54"/>
      <c r="OK2462" s="63"/>
      <c r="OL2462" s="60"/>
      <c r="OM2462" s="60"/>
      <c r="ON2462" s="60"/>
      <c r="OO2462" s="63"/>
      <c r="OP2462" s="61"/>
      <c r="OQ2462" s="54"/>
      <c r="OR2462" s="54"/>
      <c r="OS2462" s="63"/>
      <c r="OT2462" s="60"/>
      <c r="OU2462" s="60"/>
      <c r="OV2462" s="60"/>
      <c r="OW2462" s="63"/>
      <c r="OX2462" s="61"/>
      <c r="OY2462" s="54"/>
      <c r="OZ2462" s="54"/>
      <c r="PA2462" s="63"/>
      <c r="PB2462" s="60"/>
      <c r="PC2462" s="60"/>
      <c r="PD2462" s="60"/>
      <c r="PE2462" s="63"/>
      <c r="PF2462" s="61"/>
      <c r="PG2462" s="54"/>
      <c r="PH2462" s="54"/>
      <c r="PI2462" s="63"/>
      <c r="PJ2462" s="60"/>
      <c r="PK2462" s="60"/>
      <c r="PL2462" s="60"/>
      <c r="PM2462" s="63"/>
      <c r="PN2462" s="61"/>
      <c r="PO2462" s="54"/>
      <c r="PP2462" s="54"/>
      <c r="PQ2462" s="63"/>
      <c r="PR2462" s="60"/>
      <c r="PS2462" s="60"/>
      <c r="PT2462" s="60"/>
      <c r="PU2462" s="63"/>
      <c r="PV2462" s="61"/>
      <c r="PW2462" s="54"/>
      <c r="PX2462" s="54"/>
      <c r="PY2462" s="63"/>
      <c r="PZ2462" s="60"/>
      <c r="QA2462" s="60"/>
      <c r="QB2462" s="60"/>
      <c r="QC2462" s="63"/>
      <c r="QD2462" s="61"/>
      <c r="QE2462" s="54"/>
      <c r="QF2462" s="54"/>
      <c r="QG2462" s="63"/>
      <c r="QH2462" s="60"/>
      <c r="QI2462" s="60"/>
      <c r="QJ2462" s="60"/>
      <c r="QK2462" s="63"/>
      <c r="QL2462" s="61"/>
      <c r="QM2462" s="54"/>
      <c r="QN2462" s="54"/>
      <c r="QO2462" s="63"/>
      <c r="QP2462" s="60"/>
      <c r="QQ2462" s="60"/>
      <c r="QR2462" s="60"/>
      <c r="QS2462" s="63"/>
      <c r="QT2462" s="61"/>
      <c r="QU2462" s="54"/>
      <c r="QV2462" s="54"/>
      <c r="QW2462" s="63"/>
      <c r="QX2462" s="60"/>
      <c r="QY2462" s="60"/>
      <c r="QZ2462" s="60"/>
      <c r="RA2462" s="63"/>
      <c r="RB2462" s="61"/>
      <c r="RC2462" s="54"/>
      <c r="RD2462" s="54"/>
      <c r="RE2462" s="63"/>
      <c r="RF2462" s="60"/>
      <c r="RG2462" s="60"/>
      <c r="RH2462" s="60"/>
      <c r="RI2462" s="63"/>
      <c r="RJ2462" s="61"/>
      <c r="RK2462" s="54"/>
      <c r="RL2462" s="54"/>
      <c r="RM2462" s="63"/>
      <c r="RN2462" s="60"/>
      <c r="RO2462" s="60"/>
      <c r="RP2462" s="60"/>
      <c r="RQ2462" s="63"/>
      <c r="RR2462" s="61"/>
      <c r="RS2462" s="54"/>
      <c r="RT2462" s="54"/>
      <c r="RU2462" s="63"/>
      <c r="RV2462" s="60"/>
      <c r="RW2462" s="60"/>
      <c r="RX2462" s="60"/>
      <c r="RY2462" s="63"/>
      <c r="RZ2462" s="61"/>
      <c r="SA2462" s="54"/>
      <c r="SB2462" s="54"/>
      <c r="SC2462" s="63"/>
      <c r="SD2462" s="60"/>
      <c r="SE2462" s="60"/>
      <c r="SF2462" s="60"/>
      <c r="SG2462" s="63"/>
      <c r="SH2462" s="61"/>
      <c r="SI2462" s="54"/>
      <c r="SJ2462" s="54"/>
      <c r="SK2462" s="63"/>
      <c r="SL2462" s="60"/>
      <c r="SM2462" s="60"/>
      <c r="SN2462" s="60"/>
      <c r="SO2462" s="63"/>
      <c r="SP2462" s="61"/>
      <c r="SQ2462" s="54"/>
      <c r="SR2462" s="54"/>
      <c r="SS2462" s="63"/>
      <c r="ST2462" s="60"/>
      <c r="SU2462" s="60"/>
      <c r="SV2462" s="60"/>
      <c r="SW2462" s="63"/>
      <c r="SX2462" s="61"/>
      <c r="SY2462" s="54"/>
      <c r="SZ2462" s="54"/>
      <c r="TA2462" s="63"/>
      <c r="TB2462" s="60"/>
      <c r="TC2462" s="60"/>
      <c r="TD2462" s="60"/>
      <c r="TE2462" s="63"/>
      <c r="TF2462" s="61"/>
      <c r="TG2462" s="54"/>
      <c r="TH2462" s="54"/>
      <c r="TI2462" s="63"/>
      <c r="TJ2462" s="60"/>
      <c r="TK2462" s="60"/>
      <c r="TL2462" s="60"/>
      <c r="TM2462" s="63"/>
      <c r="TN2462" s="61"/>
      <c r="TO2462" s="54"/>
      <c r="TP2462" s="54"/>
      <c r="TQ2462" s="63"/>
      <c r="TR2462" s="60"/>
      <c r="TS2462" s="60"/>
      <c r="TT2462" s="60"/>
      <c r="TU2462" s="63"/>
      <c r="TV2462" s="61"/>
      <c r="TW2462" s="54"/>
      <c r="TX2462" s="54"/>
      <c r="TY2462" s="63"/>
      <c r="TZ2462" s="60"/>
      <c r="UA2462" s="60"/>
      <c r="UB2462" s="60"/>
      <c r="UC2462" s="63"/>
      <c r="UD2462" s="61"/>
      <c r="UE2462" s="54"/>
      <c r="UF2462" s="54"/>
      <c r="UG2462" s="63"/>
      <c r="UH2462" s="60"/>
      <c r="UI2462" s="60"/>
      <c r="UJ2462" s="60"/>
      <c r="UK2462" s="63"/>
      <c r="UL2462" s="61"/>
      <c r="UM2462" s="54"/>
      <c r="UN2462" s="54"/>
      <c r="UO2462" s="63"/>
      <c r="UP2462" s="60"/>
      <c r="UQ2462" s="60"/>
      <c r="UR2462" s="60"/>
      <c r="US2462" s="63"/>
      <c r="UT2462" s="61"/>
      <c r="UU2462" s="54"/>
      <c r="UV2462" s="54"/>
      <c r="UW2462" s="63"/>
      <c r="UX2462" s="60"/>
      <c r="UY2462" s="60"/>
      <c r="UZ2462" s="60"/>
      <c r="VA2462" s="63"/>
      <c r="VB2462" s="61"/>
      <c r="VC2462" s="54"/>
      <c r="VD2462" s="54"/>
      <c r="VE2462" s="63"/>
      <c r="VF2462" s="60"/>
      <c r="VG2462" s="60"/>
      <c r="VH2462" s="60"/>
      <c r="VI2462" s="63"/>
      <c r="VJ2462" s="61"/>
      <c r="VK2462" s="54"/>
      <c r="VL2462" s="54"/>
      <c r="VM2462" s="63"/>
      <c r="VN2462" s="60"/>
      <c r="VO2462" s="60"/>
      <c r="VP2462" s="60"/>
      <c r="VQ2462" s="63"/>
      <c r="VR2462" s="61"/>
      <c r="VS2462" s="54"/>
      <c r="VT2462" s="54"/>
      <c r="VU2462" s="63"/>
      <c r="VV2462" s="60"/>
      <c r="VW2462" s="60"/>
      <c r="VX2462" s="60"/>
      <c r="VY2462" s="63"/>
      <c r="VZ2462" s="61"/>
      <c r="WA2462" s="54"/>
      <c r="WB2462" s="54"/>
      <c r="WC2462" s="63"/>
      <c r="WD2462" s="60"/>
      <c r="WE2462" s="60"/>
      <c r="WF2462" s="60"/>
      <c r="WG2462" s="63"/>
      <c r="WH2462" s="61"/>
      <c r="WI2462" s="54"/>
      <c r="WJ2462" s="54"/>
      <c r="WK2462" s="63"/>
      <c r="WL2462" s="60"/>
      <c r="WM2462" s="60"/>
      <c r="WN2462" s="60"/>
      <c r="WO2462" s="63"/>
      <c r="WP2462" s="61"/>
      <c r="WQ2462" s="54"/>
      <c r="WR2462" s="54"/>
      <c r="WS2462" s="63"/>
      <c r="WT2462" s="60"/>
      <c r="WU2462" s="60"/>
      <c r="WV2462" s="60"/>
      <c r="WW2462" s="63"/>
      <c r="WX2462" s="61"/>
      <c r="WY2462" s="54"/>
      <c r="WZ2462" s="54"/>
      <c r="XA2462" s="63"/>
      <c r="XB2462" s="60"/>
      <c r="XC2462" s="60"/>
      <c r="XD2462" s="60"/>
      <c r="XE2462" s="63"/>
      <c r="XF2462" s="61"/>
      <c r="XG2462" s="54"/>
      <c r="XH2462" s="54"/>
      <c r="XI2462" s="63"/>
      <c r="XJ2462" s="60"/>
      <c r="XK2462" s="60"/>
      <c r="XL2462" s="60"/>
      <c r="XM2462" s="63"/>
      <c r="XN2462" s="61"/>
      <c r="XO2462" s="54"/>
      <c r="XP2462" s="54"/>
      <c r="XQ2462" s="63"/>
      <c r="XR2462" s="60"/>
      <c r="XS2462" s="60"/>
      <c r="XT2462" s="60"/>
      <c r="XU2462" s="63"/>
      <c r="XV2462" s="61"/>
      <c r="XW2462" s="54"/>
      <c r="XX2462" s="54"/>
      <c r="XY2462" s="63"/>
      <c r="XZ2462" s="60"/>
      <c r="YA2462" s="60"/>
      <c r="YB2462" s="60"/>
      <c r="YC2462" s="63"/>
      <c r="YD2462" s="61"/>
      <c r="YE2462" s="54"/>
      <c r="YF2462" s="54"/>
      <c r="YG2462" s="63"/>
      <c r="YH2462" s="60"/>
      <c r="YI2462" s="60"/>
      <c r="YJ2462" s="60"/>
      <c r="YK2462" s="63"/>
      <c r="YL2462" s="61"/>
      <c r="YM2462" s="54"/>
      <c r="YN2462" s="54"/>
      <c r="YO2462" s="63"/>
      <c r="YP2462" s="60"/>
      <c r="YQ2462" s="60"/>
      <c r="YR2462" s="60"/>
      <c r="YS2462" s="63"/>
      <c r="YT2462" s="61"/>
      <c r="YU2462" s="54"/>
      <c r="YV2462" s="54"/>
      <c r="YW2462" s="63"/>
      <c r="YX2462" s="60"/>
      <c r="YY2462" s="60"/>
      <c r="YZ2462" s="60"/>
      <c r="ZA2462" s="63"/>
      <c r="ZB2462" s="61"/>
      <c r="ZC2462" s="54"/>
      <c r="ZD2462" s="54"/>
      <c r="ZE2462" s="63"/>
      <c r="ZF2462" s="60"/>
      <c r="ZG2462" s="60"/>
      <c r="ZH2462" s="60"/>
      <c r="ZI2462" s="63"/>
      <c r="ZJ2462" s="61"/>
      <c r="ZK2462" s="54"/>
      <c r="ZL2462" s="54"/>
      <c r="ZM2462" s="63"/>
      <c r="ZN2462" s="60"/>
      <c r="ZO2462" s="60"/>
      <c r="ZP2462" s="60"/>
      <c r="ZQ2462" s="63"/>
      <c r="ZR2462" s="61"/>
      <c r="ZS2462" s="54"/>
      <c r="ZT2462" s="54"/>
      <c r="ZU2462" s="63"/>
      <c r="ZV2462" s="60"/>
      <c r="ZW2462" s="60"/>
      <c r="ZX2462" s="60"/>
      <c r="ZY2462" s="63"/>
      <c r="ZZ2462" s="61"/>
      <c r="AAA2462" s="54"/>
      <c r="AAB2462" s="54"/>
      <c r="AAC2462" s="63"/>
      <c r="AAD2462" s="60"/>
      <c r="AAE2462" s="60"/>
      <c r="AAF2462" s="60"/>
      <c r="AAG2462" s="63"/>
      <c r="AAH2462" s="61"/>
      <c r="AAI2462" s="54"/>
      <c r="AAJ2462" s="54"/>
      <c r="AAK2462" s="63"/>
      <c r="AAL2462" s="60"/>
      <c r="AAM2462" s="60"/>
      <c r="AAN2462" s="60"/>
      <c r="AAO2462" s="63"/>
      <c r="AAP2462" s="61"/>
      <c r="AAQ2462" s="54"/>
      <c r="AAR2462" s="54"/>
      <c r="AAS2462" s="63"/>
      <c r="AAT2462" s="60"/>
      <c r="AAU2462" s="60"/>
      <c r="AAV2462" s="60"/>
      <c r="AAW2462" s="63"/>
      <c r="AAX2462" s="61"/>
      <c r="AAY2462" s="54"/>
      <c r="AAZ2462" s="54"/>
      <c r="ABA2462" s="63"/>
      <c r="ABB2462" s="60"/>
      <c r="ABC2462" s="60"/>
      <c r="ABD2462" s="60"/>
      <c r="ABE2462" s="63"/>
      <c r="ABF2462" s="61"/>
      <c r="ABG2462" s="54"/>
      <c r="ABH2462" s="54"/>
      <c r="ABI2462" s="63"/>
      <c r="ABJ2462" s="60"/>
      <c r="ABK2462" s="60"/>
      <c r="ABL2462" s="60"/>
      <c r="ABM2462" s="63"/>
      <c r="ABN2462" s="61"/>
      <c r="ABO2462" s="54"/>
      <c r="ABP2462" s="54"/>
      <c r="ABQ2462" s="63"/>
      <c r="ABR2462" s="60"/>
      <c r="ABS2462" s="60"/>
      <c r="ABT2462" s="60"/>
      <c r="ABU2462" s="63"/>
      <c r="ABV2462" s="61"/>
      <c r="ABW2462" s="54"/>
      <c r="ABX2462" s="54"/>
      <c r="ABY2462" s="63"/>
      <c r="ABZ2462" s="60"/>
      <c r="ACA2462" s="60"/>
      <c r="ACB2462" s="60"/>
      <c r="ACC2462" s="63"/>
      <c r="ACD2462" s="61"/>
      <c r="ACE2462" s="54"/>
      <c r="ACF2462" s="54"/>
      <c r="ACG2462" s="63"/>
      <c r="ACH2462" s="60"/>
      <c r="ACI2462" s="60"/>
      <c r="ACJ2462" s="60"/>
      <c r="ACK2462" s="63"/>
      <c r="ACL2462" s="61"/>
      <c r="ACM2462" s="54"/>
      <c r="ACN2462" s="54"/>
      <c r="ACO2462" s="63"/>
      <c r="ACP2462" s="60"/>
      <c r="ACQ2462" s="60"/>
      <c r="ACR2462" s="60"/>
      <c r="ACS2462" s="63"/>
      <c r="ACT2462" s="61"/>
      <c r="ACU2462" s="54"/>
      <c r="ACV2462" s="54"/>
      <c r="ACW2462" s="63"/>
      <c r="ACX2462" s="60"/>
      <c r="ACY2462" s="60"/>
      <c r="ACZ2462" s="60"/>
      <c r="ADA2462" s="63"/>
      <c r="ADB2462" s="61"/>
      <c r="ADC2462" s="54"/>
      <c r="ADD2462" s="54"/>
      <c r="ADE2462" s="63"/>
      <c r="ADF2462" s="60"/>
      <c r="ADG2462" s="60"/>
      <c r="ADH2462" s="60"/>
      <c r="ADI2462" s="63"/>
      <c r="ADJ2462" s="61"/>
      <c r="ADK2462" s="54"/>
      <c r="ADL2462" s="54"/>
      <c r="ADM2462" s="63"/>
      <c r="ADN2462" s="60"/>
      <c r="ADO2462" s="60"/>
      <c r="ADP2462" s="60"/>
      <c r="ADQ2462" s="63"/>
      <c r="ADR2462" s="61"/>
      <c r="ADS2462" s="54"/>
      <c r="ADT2462" s="54"/>
      <c r="ADU2462" s="63"/>
      <c r="ADV2462" s="60"/>
      <c r="ADW2462" s="60"/>
      <c r="ADX2462" s="60"/>
      <c r="ADY2462" s="63"/>
      <c r="ADZ2462" s="61"/>
      <c r="AEA2462" s="54"/>
      <c r="AEB2462" s="54"/>
      <c r="AEC2462" s="63"/>
      <c r="AED2462" s="60"/>
      <c r="AEE2462" s="60"/>
      <c r="AEF2462" s="60"/>
      <c r="AEG2462" s="63"/>
      <c r="AEH2462" s="61"/>
      <c r="AEI2462" s="54"/>
      <c r="AEJ2462" s="54"/>
      <c r="AEK2462" s="63"/>
      <c r="AEL2462" s="60"/>
      <c r="AEM2462" s="60"/>
      <c r="AEN2462" s="60"/>
      <c r="AEO2462" s="63"/>
      <c r="AEP2462" s="61"/>
      <c r="AEQ2462" s="54"/>
      <c r="AER2462" s="54"/>
      <c r="AES2462" s="63"/>
      <c r="AET2462" s="60"/>
      <c r="AEU2462" s="60"/>
      <c r="AEV2462" s="60"/>
      <c r="AEW2462" s="63"/>
      <c r="AEX2462" s="61"/>
      <c r="AEY2462" s="54"/>
      <c r="AEZ2462" s="54"/>
      <c r="AFA2462" s="63"/>
      <c r="AFB2462" s="60"/>
      <c r="AFC2462" s="60"/>
      <c r="AFD2462" s="60"/>
      <c r="AFE2462" s="63"/>
      <c r="AFF2462" s="61"/>
      <c r="AFG2462" s="54"/>
      <c r="AFH2462" s="54"/>
      <c r="AFI2462" s="63"/>
      <c r="AFJ2462" s="60"/>
      <c r="AFK2462" s="60"/>
      <c r="AFL2462" s="60"/>
      <c r="AFM2462" s="63"/>
      <c r="AFN2462" s="61"/>
      <c r="AFO2462" s="54"/>
      <c r="AFP2462" s="54"/>
      <c r="AFQ2462" s="63"/>
      <c r="AFR2462" s="60"/>
      <c r="AFS2462" s="60"/>
      <c r="AFT2462" s="60"/>
      <c r="AFU2462" s="63"/>
      <c r="AFV2462" s="61"/>
      <c r="AFW2462" s="54"/>
      <c r="AFX2462" s="54"/>
      <c r="AFY2462" s="63"/>
      <c r="AFZ2462" s="60"/>
      <c r="AGA2462" s="60"/>
      <c r="AGB2462" s="60"/>
      <c r="AGC2462" s="63"/>
      <c r="AGD2462" s="61"/>
      <c r="AGE2462" s="54"/>
      <c r="AGF2462" s="54"/>
      <c r="AGG2462" s="63"/>
      <c r="AGH2462" s="60"/>
      <c r="AGI2462" s="60"/>
      <c r="AGJ2462" s="60"/>
      <c r="AGK2462" s="63"/>
      <c r="AGL2462" s="61"/>
      <c r="AGM2462" s="54"/>
      <c r="AGN2462" s="54"/>
      <c r="AGO2462" s="63"/>
      <c r="AGP2462" s="60"/>
      <c r="AGQ2462" s="60"/>
      <c r="AGR2462" s="60"/>
      <c r="AGS2462" s="63"/>
      <c r="AGT2462" s="61"/>
      <c r="AGU2462" s="54"/>
      <c r="AGV2462" s="54"/>
      <c r="AGW2462" s="63"/>
      <c r="AGX2462" s="60"/>
      <c r="AGY2462" s="60"/>
      <c r="AGZ2462" s="60"/>
      <c r="AHA2462" s="63"/>
      <c r="AHB2462" s="61"/>
      <c r="AHC2462" s="54"/>
      <c r="AHD2462" s="54"/>
      <c r="AHE2462" s="63"/>
      <c r="AHF2462" s="60"/>
      <c r="AHG2462" s="60"/>
      <c r="AHH2462" s="60"/>
      <c r="AHI2462" s="63"/>
      <c r="AHJ2462" s="61"/>
      <c r="AHK2462" s="54"/>
      <c r="AHL2462" s="54"/>
      <c r="AHM2462" s="63"/>
      <c r="AHN2462" s="60"/>
      <c r="AHO2462" s="60"/>
      <c r="AHP2462" s="60"/>
      <c r="AHQ2462" s="63"/>
      <c r="AHR2462" s="61"/>
      <c r="AHS2462" s="54"/>
      <c r="AHT2462" s="54"/>
      <c r="AHU2462" s="63"/>
      <c r="AHV2462" s="60"/>
      <c r="AHW2462" s="60"/>
      <c r="AHX2462" s="60"/>
      <c r="AHY2462" s="63"/>
      <c r="AHZ2462" s="61"/>
      <c r="AIA2462" s="54"/>
      <c r="AIB2462" s="54"/>
      <c r="AIC2462" s="63"/>
      <c r="AID2462" s="60"/>
      <c r="AIE2462" s="60"/>
      <c r="AIF2462" s="60"/>
      <c r="AIG2462" s="63"/>
      <c r="AIH2462" s="61"/>
      <c r="AII2462" s="54"/>
      <c r="AIJ2462" s="54"/>
      <c r="AIK2462" s="63"/>
      <c r="AIL2462" s="60"/>
      <c r="AIM2462" s="60"/>
      <c r="AIN2462" s="60"/>
      <c r="AIO2462" s="63"/>
      <c r="AIP2462" s="61"/>
      <c r="AIQ2462" s="54"/>
      <c r="AIR2462" s="54"/>
      <c r="AIS2462" s="63"/>
      <c r="AIT2462" s="60"/>
      <c r="AIU2462" s="60"/>
      <c r="AIV2462" s="60"/>
      <c r="AIW2462" s="63"/>
      <c r="AIX2462" s="61"/>
      <c r="AIY2462" s="54"/>
      <c r="AIZ2462" s="54"/>
      <c r="AJA2462" s="63"/>
      <c r="AJB2462" s="60"/>
      <c r="AJC2462" s="60"/>
      <c r="AJD2462" s="60"/>
      <c r="AJE2462" s="63"/>
      <c r="AJF2462" s="61"/>
      <c r="AJG2462" s="54"/>
      <c r="AJH2462" s="54"/>
      <c r="AJI2462" s="63"/>
      <c r="AJJ2462" s="60"/>
      <c r="AJK2462" s="60"/>
      <c r="AJL2462" s="60"/>
      <c r="AJM2462" s="63"/>
      <c r="AJN2462" s="61"/>
      <c r="AJO2462" s="54"/>
      <c r="AJP2462" s="54"/>
      <c r="AJQ2462" s="63"/>
      <c r="AJR2462" s="60"/>
      <c r="AJS2462" s="60"/>
      <c r="AJT2462" s="60"/>
      <c r="AJU2462" s="63"/>
      <c r="AJV2462" s="61"/>
      <c r="AJW2462" s="54"/>
      <c r="AJX2462" s="54"/>
      <c r="AJY2462" s="63"/>
      <c r="AJZ2462" s="60"/>
      <c r="AKA2462" s="60"/>
      <c r="AKB2462" s="60"/>
      <c r="AKC2462" s="63"/>
      <c r="AKD2462" s="61"/>
      <c r="AKE2462" s="54"/>
      <c r="AKF2462" s="54"/>
      <c r="AKG2462" s="63"/>
      <c r="AKH2462" s="60"/>
      <c r="AKI2462" s="60"/>
      <c r="AKJ2462" s="60"/>
      <c r="AKK2462" s="63"/>
      <c r="AKL2462" s="61"/>
      <c r="AKM2462" s="54"/>
      <c r="AKN2462" s="54"/>
      <c r="AKO2462" s="63"/>
      <c r="AKP2462" s="60"/>
      <c r="AKQ2462" s="60"/>
      <c r="AKR2462" s="60"/>
      <c r="AKS2462" s="63"/>
      <c r="AKT2462" s="61"/>
      <c r="AKU2462" s="54"/>
      <c r="AKV2462" s="54"/>
      <c r="AKW2462" s="63"/>
      <c r="AKX2462" s="60"/>
      <c r="AKY2462" s="60"/>
      <c r="AKZ2462" s="60"/>
      <c r="ALA2462" s="63"/>
      <c r="ALB2462" s="61"/>
      <c r="ALC2462" s="54"/>
      <c r="ALD2462" s="54"/>
      <c r="ALE2462" s="63"/>
      <c r="ALF2462" s="60"/>
      <c r="ALG2462" s="60"/>
      <c r="ALH2462" s="60"/>
      <c r="ALI2462" s="63"/>
      <c r="ALJ2462" s="61"/>
      <c r="ALK2462" s="54"/>
      <c r="ALL2462" s="54"/>
      <c r="ALM2462" s="63"/>
      <c r="ALN2462" s="60"/>
      <c r="ALO2462" s="60"/>
      <c r="ALP2462" s="60"/>
      <c r="ALQ2462" s="63"/>
      <c r="ALR2462" s="61"/>
      <c r="ALS2462" s="54"/>
      <c r="ALT2462" s="54"/>
      <c r="ALU2462" s="63"/>
      <c r="ALV2462" s="60"/>
      <c r="ALW2462" s="60"/>
      <c r="ALX2462" s="60"/>
      <c r="ALY2462" s="63"/>
      <c r="ALZ2462" s="61"/>
      <c r="AMA2462" s="54"/>
      <c r="AMB2462" s="54"/>
      <c r="AMC2462" s="63"/>
      <c r="AMD2462" s="60"/>
      <c r="AME2462" s="60"/>
      <c r="AMF2462" s="60"/>
      <c r="AMG2462" s="63"/>
      <c r="AMH2462" s="61"/>
      <c r="AMI2462" s="54"/>
      <c r="AMJ2462" s="54"/>
      <c r="AMK2462" s="63"/>
      <c r="AML2462" s="60"/>
      <c r="AMM2462" s="60"/>
      <c r="AMN2462" s="60"/>
      <c r="AMO2462" s="63"/>
      <c r="AMP2462" s="61"/>
      <c r="AMQ2462" s="54"/>
      <c r="AMR2462" s="54"/>
      <c r="AMS2462" s="63"/>
      <c r="AMT2462" s="60"/>
      <c r="AMU2462" s="60"/>
      <c r="AMV2462" s="60"/>
      <c r="AMW2462" s="63"/>
      <c r="AMX2462" s="61"/>
      <c r="AMY2462" s="54"/>
      <c r="AMZ2462" s="54"/>
      <c r="ANA2462" s="63"/>
      <c r="ANB2462" s="60"/>
      <c r="ANC2462" s="60"/>
      <c r="AND2462" s="60"/>
      <c r="ANE2462" s="63"/>
      <c r="ANF2462" s="61"/>
      <c r="ANG2462" s="54"/>
      <c r="ANH2462" s="54"/>
      <c r="ANI2462" s="63"/>
      <c r="ANJ2462" s="60"/>
      <c r="ANK2462" s="60"/>
      <c r="ANL2462" s="60"/>
      <c r="ANM2462" s="63"/>
      <c r="ANN2462" s="61"/>
      <c r="ANO2462" s="54"/>
      <c r="ANP2462" s="54"/>
      <c r="ANQ2462" s="63"/>
      <c r="ANR2462" s="60"/>
      <c r="ANS2462" s="60"/>
      <c r="ANT2462" s="60"/>
      <c r="ANU2462" s="63"/>
      <c r="ANV2462" s="61"/>
      <c r="ANW2462" s="54"/>
      <c r="ANX2462" s="54"/>
      <c r="ANY2462" s="63"/>
      <c r="ANZ2462" s="60"/>
      <c r="AOA2462" s="60"/>
      <c r="AOB2462" s="60"/>
      <c r="AOC2462" s="63"/>
      <c r="AOD2462" s="61"/>
      <c r="AOE2462" s="54"/>
      <c r="AOF2462" s="54"/>
      <c r="AOG2462" s="63"/>
      <c r="AOH2462" s="60"/>
      <c r="AOI2462" s="60"/>
      <c r="AOJ2462" s="60"/>
      <c r="AOK2462" s="63"/>
      <c r="AOL2462" s="61"/>
      <c r="AOM2462" s="54"/>
      <c r="AON2462" s="54"/>
      <c r="AOO2462" s="63"/>
      <c r="AOP2462" s="60"/>
      <c r="AOQ2462" s="60"/>
      <c r="AOR2462" s="60"/>
      <c r="AOS2462" s="63"/>
      <c r="AOT2462" s="61"/>
      <c r="AOU2462" s="54"/>
      <c r="AOV2462" s="54"/>
      <c r="AOW2462" s="63"/>
      <c r="AOX2462" s="60"/>
      <c r="AOY2462" s="60"/>
      <c r="AOZ2462" s="60"/>
      <c r="APA2462" s="63"/>
      <c r="APB2462" s="61"/>
      <c r="APC2462" s="54"/>
      <c r="APD2462" s="54"/>
      <c r="APE2462" s="63"/>
      <c r="APF2462" s="60"/>
      <c r="APG2462" s="60"/>
      <c r="APH2462" s="60"/>
      <c r="API2462" s="63"/>
      <c r="APJ2462" s="61"/>
      <c r="APK2462" s="54"/>
      <c r="APL2462" s="54"/>
      <c r="APM2462" s="63"/>
      <c r="APN2462" s="60"/>
      <c r="APO2462" s="60"/>
      <c r="APP2462" s="60"/>
      <c r="APQ2462" s="63"/>
      <c r="APR2462" s="61"/>
      <c r="APS2462" s="54"/>
      <c r="APT2462" s="54"/>
      <c r="APU2462" s="63"/>
      <c r="APV2462" s="60"/>
      <c r="APW2462" s="60"/>
      <c r="APX2462" s="60"/>
      <c r="APY2462" s="63"/>
      <c r="APZ2462" s="61"/>
      <c r="AQA2462" s="54"/>
      <c r="AQB2462" s="54"/>
      <c r="AQC2462" s="63"/>
      <c r="AQD2462" s="60"/>
      <c r="AQE2462" s="60"/>
      <c r="AQF2462" s="60"/>
      <c r="AQG2462" s="63"/>
      <c r="AQH2462" s="61"/>
      <c r="AQI2462" s="54"/>
      <c r="AQJ2462" s="54"/>
      <c r="AQK2462" s="63"/>
      <c r="AQL2462" s="60"/>
      <c r="AQM2462" s="60"/>
      <c r="AQN2462" s="60"/>
      <c r="AQO2462" s="63"/>
      <c r="AQP2462" s="61"/>
      <c r="AQQ2462" s="54"/>
      <c r="AQR2462" s="54"/>
      <c r="AQS2462" s="63"/>
      <c r="AQT2462" s="60"/>
      <c r="AQU2462" s="60"/>
      <c r="AQV2462" s="60"/>
      <c r="AQW2462" s="63"/>
      <c r="AQX2462" s="61"/>
      <c r="AQY2462" s="54"/>
      <c r="AQZ2462" s="54"/>
      <c r="ARA2462" s="63"/>
      <c r="ARB2462" s="60"/>
      <c r="ARC2462" s="60"/>
      <c r="ARD2462" s="60"/>
      <c r="ARE2462" s="63"/>
      <c r="ARF2462" s="61"/>
      <c r="ARG2462" s="54"/>
      <c r="ARH2462" s="54"/>
      <c r="ARI2462" s="63"/>
      <c r="ARJ2462" s="60"/>
      <c r="ARK2462" s="60"/>
      <c r="ARL2462" s="60"/>
      <c r="ARM2462" s="63"/>
      <c r="ARN2462" s="61"/>
      <c r="ARO2462" s="54"/>
      <c r="ARP2462" s="54"/>
      <c r="ARQ2462" s="63"/>
      <c r="ARR2462" s="60"/>
      <c r="ARS2462" s="60"/>
      <c r="ART2462" s="60"/>
      <c r="ARU2462" s="63"/>
      <c r="ARV2462" s="61"/>
      <c r="ARW2462" s="54"/>
      <c r="ARX2462" s="54"/>
      <c r="ARY2462" s="63"/>
      <c r="ARZ2462" s="60"/>
      <c r="ASA2462" s="60"/>
      <c r="ASB2462" s="60"/>
      <c r="ASC2462" s="63"/>
      <c r="ASD2462" s="61"/>
      <c r="ASE2462" s="54"/>
      <c r="ASF2462" s="54"/>
      <c r="ASG2462" s="63"/>
      <c r="ASH2462" s="60"/>
      <c r="ASI2462" s="60"/>
      <c r="ASJ2462" s="60"/>
      <c r="ASK2462" s="63"/>
      <c r="ASL2462" s="61"/>
      <c r="ASM2462" s="54"/>
      <c r="ASN2462" s="54"/>
      <c r="ASO2462" s="63"/>
      <c r="ASP2462" s="60"/>
      <c r="ASQ2462" s="60"/>
      <c r="ASR2462" s="60"/>
      <c r="ASS2462" s="63"/>
      <c r="AST2462" s="61"/>
      <c r="ASU2462" s="54"/>
      <c r="ASV2462" s="54"/>
      <c r="ASW2462" s="63"/>
      <c r="ASX2462" s="60"/>
      <c r="ASY2462" s="60"/>
      <c r="ASZ2462" s="60"/>
      <c r="ATA2462" s="63"/>
      <c r="ATB2462" s="61"/>
      <c r="ATC2462" s="54"/>
      <c r="ATD2462" s="54"/>
      <c r="ATE2462" s="63"/>
      <c r="ATF2462" s="60"/>
      <c r="ATG2462" s="60"/>
      <c r="ATH2462" s="60"/>
      <c r="ATI2462" s="63"/>
      <c r="ATJ2462" s="61"/>
      <c r="ATK2462" s="54"/>
      <c r="ATL2462" s="54"/>
      <c r="ATM2462" s="63"/>
      <c r="ATN2462" s="60"/>
      <c r="ATO2462" s="60"/>
      <c r="ATP2462" s="60"/>
      <c r="ATQ2462" s="63"/>
      <c r="ATR2462" s="61"/>
      <c r="ATS2462" s="54"/>
      <c r="ATT2462" s="54"/>
      <c r="ATU2462" s="63"/>
      <c r="ATV2462" s="60"/>
      <c r="ATW2462" s="60"/>
      <c r="ATX2462" s="60"/>
      <c r="ATY2462" s="63"/>
      <c r="ATZ2462" s="61"/>
      <c r="AUA2462" s="54"/>
      <c r="AUB2462" s="54"/>
      <c r="AUC2462" s="63"/>
      <c r="AUD2462" s="60"/>
      <c r="AUE2462" s="60"/>
      <c r="AUF2462" s="60"/>
      <c r="AUG2462" s="63"/>
      <c r="AUH2462" s="61"/>
      <c r="AUI2462" s="54"/>
      <c r="AUJ2462" s="54"/>
      <c r="AUK2462" s="63"/>
      <c r="AUL2462" s="60"/>
      <c r="AUM2462" s="60"/>
      <c r="AUN2462" s="60"/>
      <c r="AUO2462" s="63"/>
      <c r="AUP2462" s="61"/>
      <c r="AUQ2462" s="54"/>
      <c r="AUR2462" s="54"/>
      <c r="AUS2462" s="63"/>
      <c r="AUT2462" s="60"/>
      <c r="AUU2462" s="60"/>
      <c r="AUV2462" s="60"/>
      <c r="AUW2462" s="63"/>
      <c r="AUX2462" s="61"/>
      <c r="AUY2462" s="54"/>
      <c r="AUZ2462" s="54"/>
      <c r="AVA2462" s="63"/>
      <c r="AVB2462" s="60"/>
      <c r="AVC2462" s="60"/>
      <c r="AVD2462" s="60"/>
      <c r="AVE2462" s="63"/>
      <c r="AVF2462" s="61"/>
      <c r="AVG2462" s="54"/>
      <c r="AVH2462" s="54"/>
      <c r="AVI2462" s="63"/>
      <c r="AVJ2462" s="60"/>
      <c r="AVK2462" s="60"/>
      <c r="AVL2462" s="60"/>
      <c r="AVM2462" s="63"/>
      <c r="AVN2462" s="61"/>
      <c r="AVO2462" s="54"/>
      <c r="AVP2462" s="54"/>
      <c r="AVQ2462" s="63"/>
      <c r="AVR2462" s="60"/>
      <c r="AVS2462" s="60"/>
      <c r="AVT2462" s="60"/>
      <c r="AVU2462" s="63"/>
      <c r="AVV2462" s="61"/>
      <c r="AVW2462" s="54"/>
      <c r="AVX2462" s="54"/>
      <c r="AVY2462" s="63"/>
      <c r="AVZ2462" s="60"/>
      <c r="AWA2462" s="60"/>
      <c r="AWB2462" s="60"/>
      <c r="AWC2462" s="63"/>
      <c r="AWD2462" s="61"/>
      <c r="AWE2462" s="54"/>
      <c r="AWF2462" s="54"/>
      <c r="AWG2462" s="63"/>
      <c r="AWH2462" s="60"/>
      <c r="AWI2462" s="60"/>
      <c r="AWJ2462" s="60"/>
      <c r="AWK2462" s="63"/>
      <c r="AWL2462" s="61"/>
      <c r="AWM2462" s="54"/>
      <c r="AWN2462" s="54"/>
      <c r="AWO2462" s="63"/>
      <c r="AWP2462" s="60"/>
      <c r="AWQ2462" s="60"/>
      <c r="AWR2462" s="60"/>
      <c r="AWS2462" s="63"/>
      <c r="AWT2462" s="61"/>
      <c r="AWU2462" s="54"/>
      <c r="AWV2462" s="54"/>
      <c r="AWW2462" s="63"/>
      <c r="AWX2462" s="60"/>
      <c r="AWY2462" s="60"/>
      <c r="AWZ2462" s="60"/>
      <c r="AXA2462" s="63"/>
      <c r="AXB2462" s="61"/>
      <c r="AXC2462" s="54"/>
      <c r="AXD2462" s="54"/>
      <c r="AXE2462" s="63"/>
      <c r="AXF2462" s="60"/>
      <c r="AXG2462" s="60"/>
      <c r="AXH2462" s="60"/>
      <c r="AXI2462" s="63"/>
      <c r="AXJ2462" s="61"/>
      <c r="AXK2462" s="54"/>
      <c r="AXL2462" s="54"/>
      <c r="AXM2462" s="63"/>
      <c r="AXN2462" s="60"/>
      <c r="AXO2462" s="60"/>
      <c r="AXP2462" s="60"/>
      <c r="AXQ2462" s="63"/>
      <c r="AXR2462" s="61"/>
      <c r="AXS2462" s="54"/>
      <c r="AXT2462" s="54"/>
      <c r="AXU2462" s="63"/>
      <c r="AXV2462" s="60"/>
      <c r="AXW2462" s="60"/>
      <c r="AXX2462" s="60"/>
      <c r="AXY2462" s="63"/>
      <c r="AXZ2462" s="61"/>
      <c r="AYA2462" s="54"/>
      <c r="AYB2462" s="54"/>
      <c r="AYC2462" s="63"/>
      <c r="AYD2462" s="60"/>
      <c r="AYE2462" s="60"/>
      <c r="AYF2462" s="60"/>
      <c r="AYG2462" s="63"/>
      <c r="AYH2462" s="61"/>
      <c r="AYI2462" s="54"/>
      <c r="AYJ2462" s="54"/>
      <c r="AYK2462" s="63"/>
      <c r="AYL2462" s="60"/>
      <c r="AYM2462" s="60"/>
      <c r="AYN2462" s="60"/>
      <c r="AYO2462" s="63"/>
      <c r="AYP2462" s="61"/>
      <c r="AYQ2462" s="54"/>
      <c r="AYR2462" s="54"/>
      <c r="AYS2462" s="63"/>
      <c r="AYT2462" s="60"/>
      <c r="AYU2462" s="60"/>
      <c r="AYV2462" s="60"/>
      <c r="AYW2462" s="63"/>
      <c r="AYX2462" s="61"/>
      <c r="AYY2462" s="54"/>
      <c r="AYZ2462" s="54"/>
      <c r="AZA2462" s="63"/>
      <c r="AZB2462" s="60"/>
      <c r="AZC2462" s="60"/>
      <c r="AZD2462" s="60"/>
      <c r="AZE2462" s="63"/>
      <c r="AZF2462" s="61"/>
      <c r="AZG2462" s="54"/>
      <c r="AZH2462" s="54"/>
      <c r="AZI2462" s="63"/>
      <c r="AZJ2462" s="60"/>
      <c r="AZK2462" s="60"/>
      <c r="AZL2462" s="60"/>
      <c r="AZM2462" s="63"/>
      <c r="AZN2462" s="61"/>
      <c r="AZO2462" s="54"/>
      <c r="AZP2462" s="54"/>
      <c r="AZQ2462" s="63"/>
      <c r="AZR2462" s="60"/>
      <c r="AZS2462" s="60"/>
      <c r="AZT2462" s="60"/>
      <c r="AZU2462" s="63"/>
      <c r="AZV2462" s="61"/>
      <c r="AZW2462" s="54"/>
      <c r="AZX2462" s="54"/>
      <c r="AZY2462" s="63"/>
      <c r="AZZ2462" s="60"/>
      <c r="BAA2462" s="60"/>
      <c r="BAB2462" s="60"/>
      <c r="BAC2462" s="63"/>
      <c r="BAD2462" s="61"/>
      <c r="BAE2462" s="54"/>
      <c r="BAF2462" s="54"/>
      <c r="BAG2462" s="63"/>
      <c r="BAH2462" s="60"/>
      <c r="BAI2462" s="60"/>
      <c r="BAJ2462" s="60"/>
      <c r="BAK2462" s="63"/>
      <c r="BAL2462" s="61"/>
      <c r="BAM2462" s="54"/>
      <c r="BAN2462" s="54"/>
      <c r="BAO2462" s="63"/>
      <c r="BAP2462" s="60"/>
      <c r="BAQ2462" s="60"/>
      <c r="BAR2462" s="60"/>
      <c r="BAS2462" s="63"/>
      <c r="BAT2462" s="61"/>
      <c r="BAU2462" s="54"/>
      <c r="BAV2462" s="54"/>
      <c r="BAW2462" s="63"/>
      <c r="BAX2462" s="60"/>
      <c r="BAY2462" s="60"/>
      <c r="BAZ2462" s="60"/>
      <c r="BBA2462" s="63"/>
      <c r="BBB2462" s="61"/>
      <c r="BBC2462" s="54"/>
      <c r="BBD2462" s="54"/>
      <c r="BBE2462" s="63"/>
      <c r="BBF2462" s="60"/>
      <c r="BBG2462" s="60"/>
      <c r="BBH2462" s="60"/>
      <c r="BBI2462" s="63"/>
      <c r="BBJ2462" s="61"/>
      <c r="BBK2462" s="54"/>
      <c r="BBL2462" s="54"/>
      <c r="BBM2462" s="63"/>
      <c r="BBN2462" s="60"/>
      <c r="BBO2462" s="60"/>
      <c r="BBP2462" s="60"/>
      <c r="BBQ2462" s="63"/>
      <c r="BBR2462" s="61"/>
      <c r="BBS2462" s="54"/>
      <c r="BBT2462" s="54"/>
      <c r="BBU2462" s="63"/>
      <c r="BBV2462" s="60"/>
      <c r="BBW2462" s="60"/>
      <c r="BBX2462" s="60"/>
      <c r="BBY2462" s="63"/>
      <c r="BBZ2462" s="61"/>
      <c r="BCA2462" s="54"/>
      <c r="BCB2462" s="54"/>
      <c r="BCC2462" s="63"/>
      <c r="BCD2462" s="60"/>
      <c r="BCE2462" s="60"/>
      <c r="BCF2462" s="60"/>
      <c r="BCG2462" s="63"/>
      <c r="BCH2462" s="61"/>
      <c r="BCI2462" s="54"/>
      <c r="BCJ2462" s="54"/>
      <c r="BCK2462" s="63"/>
      <c r="BCL2462" s="60"/>
      <c r="BCM2462" s="60"/>
      <c r="BCN2462" s="60"/>
      <c r="BCO2462" s="63"/>
      <c r="BCP2462" s="61"/>
      <c r="BCQ2462" s="54"/>
      <c r="BCR2462" s="54"/>
      <c r="BCS2462" s="63"/>
      <c r="BCT2462" s="60"/>
      <c r="BCU2462" s="60"/>
      <c r="BCV2462" s="60"/>
      <c r="BCW2462" s="63"/>
      <c r="BCX2462" s="61"/>
      <c r="BCY2462" s="54"/>
      <c r="BCZ2462" s="54"/>
      <c r="BDA2462" s="63"/>
      <c r="BDB2462" s="60"/>
      <c r="BDC2462" s="60"/>
      <c r="BDD2462" s="60"/>
      <c r="BDE2462" s="63"/>
      <c r="BDF2462" s="61"/>
      <c r="BDG2462" s="54"/>
      <c r="BDH2462" s="54"/>
      <c r="BDI2462" s="63"/>
      <c r="BDJ2462" s="60"/>
      <c r="BDK2462" s="60"/>
      <c r="BDL2462" s="60"/>
      <c r="BDM2462" s="63"/>
      <c r="BDN2462" s="61"/>
      <c r="BDO2462" s="54"/>
      <c r="BDP2462" s="54"/>
      <c r="BDQ2462" s="63"/>
      <c r="BDR2462" s="60"/>
      <c r="BDS2462" s="60"/>
      <c r="BDT2462" s="60"/>
      <c r="BDU2462" s="63"/>
      <c r="BDV2462" s="61"/>
      <c r="BDW2462" s="54"/>
      <c r="BDX2462" s="54"/>
      <c r="BDY2462" s="63"/>
      <c r="BDZ2462" s="60"/>
      <c r="BEA2462" s="60"/>
      <c r="BEB2462" s="60"/>
      <c r="BEC2462" s="63"/>
      <c r="BED2462" s="61"/>
      <c r="BEE2462" s="54"/>
      <c r="BEF2462" s="54"/>
      <c r="BEG2462" s="63"/>
      <c r="BEH2462" s="60"/>
      <c r="BEI2462" s="60"/>
      <c r="BEJ2462" s="60"/>
      <c r="BEK2462" s="63"/>
      <c r="BEL2462" s="61"/>
      <c r="BEM2462" s="54"/>
      <c r="BEN2462" s="54"/>
      <c r="BEO2462" s="63"/>
      <c r="BEP2462" s="60"/>
      <c r="BEQ2462" s="60"/>
      <c r="BER2462" s="60"/>
      <c r="BES2462" s="63"/>
      <c r="BET2462" s="61"/>
      <c r="BEU2462" s="54"/>
      <c r="BEV2462" s="54"/>
      <c r="BEW2462" s="63"/>
      <c r="BEX2462" s="60"/>
      <c r="BEY2462" s="60"/>
      <c r="BEZ2462" s="60"/>
      <c r="BFA2462" s="63"/>
      <c r="BFB2462" s="61"/>
      <c r="BFC2462" s="54"/>
      <c r="BFD2462" s="54"/>
      <c r="BFE2462" s="63"/>
      <c r="BFF2462" s="60"/>
      <c r="BFG2462" s="60"/>
      <c r="BFH2462" s="60"/>
      <c r="BFI2462" s="63"/>
      <c r="BFJ2462" s="61"/>
      <c r="BFK2462" s="54"/>
      <c r="BFL2462" s="54"/>
      <c r="BFM2462" s="63"/>
      <c r="BFN2462" s="60"/>
      <c r="BFO2462" s="60"/>
      <c r="BFP2462" s="60"/>
      <c r="BFQ2462" s="63"/>
      <c r="BFR2462" s="61"/>
      <c r="BFS2462" s="54"/>
      <c r="BFT2462" s="54"/>
      <c r="BFU2462" s="63"/>
      <c r="BFV2462" s="60"/>
      <c r="BFW2462" s="60"/>
      <c r="BFX2462" s="60"/>
      <c r="BFY2462" s="63"/>
      <c r="BFZ2462" s="61"/>
      <c r="BGA2462" s="54"/>
      <c r="BGB2462" s="54"/>
      <c r="BGC2462" s="63"/>
      <c r="BGD2462" s="60"/>
      <c r="BGE2462" s="60"/>
      <c r="BGF2462" s="60"/>
      <c r="BGG2462" s="63"/>
      <c r="BGH2462" s="61"/>
      <c r="BGI2462" s="54"/>
      <c r="BGJ2462" s="54"/>
      <c r="BGK2462" s="63"/>
      <c r="BGL2462" s="60"/>
      <c r="BGM2462" s="60"/>
      <c r="BGN2462" s="60"/>
      <c r="BGO2462" s="63"/>
      <c r="BGP2462" s="61"/>
      <c r="BGQ2462" s="54"/>
      <c r="BGR2462" s="54"/>
      <c r="BGS2462" s="63"/>
      <c r="BGT2462" s="60"/>
      <c r="BGU2462" s="60"/>
      <c r="BGV2462" s="60"/>
      <c r="BGW2462" s="63"/>
      <c r="BGX2462" s="61"/>
      <c r="BGY2462" s="54"/>
      <c r="BGZ2462" s="54"/>
      <c r="BHA2462" s="63"/>
      <c r="BHB2462" s="60"/>
      <c r="BHC2462" s="60"/>
      <c r="BHD2462" s="60"/>
      <c r="BHE2462" s="63"/>
      <c r="BHF2462" s="61"/>
      <c r="BHG2462" s="54"/>
      <c r="BHH2462" s="54"/>
      <c r="BHI2462" s="63"/>
      <c r="BHJ2462" s="60"/>
      <c r="BHK2462" s="60"/>
      <c r="BHL2462" s="60"/>
      <c r="BHM2462" s="63"/>
      <c r="BHN2462" s="61"/>
      <c r="BHO2462" s="54"/>
      <c r="BHP2462" s="54"/>
      <c r="BHQ2462" s="63"/>
      <c r="BHR2462" s="60"/>
      <c r="BHS2462" s="60"/>
      <c r="BHT2462" s="60"/>
      <c r="BHU2462" s="63"/>
      <c r="BHV2462" s="61"/>
      <c r="BHW2462" s="54"/>
      <c r="BHX2462" s="54"/>
      <c r="BHY2462" s="63"/>
      <c r="BHZ2462" s="60"/>
      <c r="BIA2462" s="60"/>
      <c r="BIB2462" s="60"/>
      <c r="BIC2462" s="63"/>
      <c r="BID2462" s="61"/>
      <c r="BIE2462" s="54"/>
      <c r="BIF2462" s="54"/>
      <c r="BIG2462" s="63"/>
      <c r="BIH2462" s="60"/>
      <c r="BII2462" s="60"/>
      <c r="BIJ2462" s="60"/>
      <c r="BIK2462" s="63"/>
      <c r="BIL2462" s="61"/>
      <c r="BIM2462" s="54"/>
      <c r="BIN2462" s="54"/>
      <c r="BIO2462" s="63"/>
      <c r="BIP2462" s="60"/>
      <c r="BIQ2462" s="60"/>
      <c r="BIR2462" s="60"/>
      <c r="BIS2462" s="63"/>
      <c r="BIT2462" s="61"/>
      <c r="BIU2462" s="54"/>
      <c r="BIV2462" s="54"/>
      <c r="BIW2462" s="63"/>
      <c r="BIX2462" s="60"/>
      <c r="BIY2462" s="60"/>
      <c r="BIZ2462" s="60"/>
      <c r="BJA2462" s="63"/>
      <c r="BJB2462" s="61"/>
      <c r="BJC2462" s="54"/>
      <c r="BJD2462" s="54"/>
      <c r="BJE2462" s="63"/>
      <c r="BJF2462" s="60"/>
      <c r="BJG2462" s="60"/>
      <c r="BJH2462" s="60"/>
      <c r="BJI2462" s="63"/>
      <c r="BJJ2462" s="61"/>
      <c r="BJK2462" s="54"/>
      <c r="BJL2462" s="54"/>
      <c r="BJM2462" s="63"/>
      <c r="BJN2462" s="60"/>
      <c r="BJO2462" s="60"/>
      <c r="BJP2462" s="60"/>
      <c r="BJQ2462" s="63"/>
      <c r="BJR2462" s="61"/>
      <c r="BJS2462" s="54"/>
      <c r="BJT2462" s="54"/>
      <c r="BJU2462" s="63"/>
      <c r="BJV2462" s="60"/>
      <c r="BJW2462" s="60"/>
      <c r="BJX2462" s="60"/>
      <c r="BJY2462" s="63"/>
      <c r="BJZ2462" s="61"/>
      <c r="BKA2462" s="54"/>
      <c r="BKB2462" s="54"/>
      <c r="BKC2462" s="63"/>
      <c r="BKD2462" s="60"/>
      <c r="BKE2462" s="60"/>
      <c r="BKF2462" s="60"/>
      <c r="BKG2462" s="63"/>
      <c r="BKH2462" s="61"/>
      <c r="BKI2462" s="54"/>
      <c r="BKJ2462" s="54"/>
      <c r="BKK2462" s="63"/>
      <c r="BKL2462" s="60"/>
      <c r="BKM2462" s="60"/>
      <c r="BKN2462" s="60"/>
      <c r="BKO2462" s="63"/>
      <c r="BKP2462" s="61"/>
      <c r="BKQ2462" s="54"/>
      <c r="BKR2462" s="54"/>
      <c r="BKS2462" s="63"/>
      <c r="BKT2462" s="60"/>
      <c r="BKU2462" s="60"/>
      <c r="BKV2462" s="60"/>
      <c r="BKW2462" s="63"/>
      <c r="BKX2462" s="61"/>
      <c r="BKY2462" s="54"/>
      <c r="BKZ2462" s="54"/>
      <c r="BLA2462" s="63"/>
      <c r="BLB2462" s="60"/>
      <c r="BLC2462" s="60"/>
      <c r="BLD2462" s="60"/>
      <c r="BLE2462" s="63"/>
      <c r="BLF2462" s="61"/>
      <c r="BLG2462" s="54"/>
      <c r="BLH2462" s="54"/>
      <c r="BLI2462" s="63"/>
      <c r="BLJ2462" s="60"/>
      <c r="BLK2462" s="60"/>
      <c r="BLL2462" s="60"/>
      <c r="BLM2462" s="63"/>
      <c r="BLN2462" s="61"/>
      <c r="BLO2462" s="54"/>
      <c r="BLP2462" s="54"/>
      <c r="BLQ2462" s="63"/>
      <c r="BLR2462" s="60"/>
      <c r="BLS2462" s="60"/>
      <c r="BLT2462" s="60"/>
      <c r="BLU2462" s="63"/>
      <c r="BLV2462" s="61"/>
      <c r="BLW2462" s="54"/>
      <c r="BLX2462" s="54"/>
      <c r="BLY2462" s="63"/>
      <c r="BLZ2462" s="60"/>
      <c r="BMA2462" s="60"/>
      <c r="BMB2462" s="60"/>
      <c r="BMC2462" s="63"/>
      <c r="BMD2462" s="61"/>
      <c r="BME2462" s="54"/>
      <c r="BMF2462" s="54"/>
      <c r="BMG2462" s="63"/>
      <c r="BMH2462" s="60"/>
      <c r="BMI2462" s="60"/>
      <c r="BMJ2462" s="60"/>
      <c r="BMK2462" s="63"/>
      <c r="BML2462" s="61"/>
      <c r="BMM2462" s="54"/>
      <c r="BMN2462" s="54"/>
      <c r="BMO2462" s="63"/>
      <c r="BMP2462" s="60"/>
      <c r="BMQ2462" s="60"/>
      <c r="BMR2462" s="60"/>
      <c r="BMS2462" s="63"/>
      <c r="BMT2462" s="61"/>
      <c r="BMU2462" s="54"/>
      <c r="BMV2462" s="54"/>
      <c r="BMW2462" s="63"/>
      <c r="BMX2462" s="60"/>
      <c r="BMY2462" s="60"/>
      <c r="BMZ2462" s="60"/>
      <c r="BNA2462" s="63"/>
      <c r="BNB2462" s="61"/>
      <c r="BNC2462" s="54"/>
      <c r="BND2462" s="54"/>
      <c r="BNE2462" s="63"/>
      <c r="BNF2462" s="60"/>
      <c r="BNG2462" s="60"/>
      <c r="BNH2462" s="60"/>
      <c r="BNI2462" s="63"/>
      <c r="BNJ2462" s="61"/>
      <c r="BNK2462" s="54"/>
      <c r="BNL2462" s="54"/>
      <c r="BNM2462" s="63"/>
      <c r="BNN2462" s="60"/>
      <c r="BNO2462" s="60"/>
      <c r="BNP2462" s="60"/>
      <c r="BNQ2462" s="63"/>
      <c r="BNR2462" s="61"/>
      <c r="BNS2462" s="54"/>
      <c r="BNT2462" s="54"/>
      <c r="BNU2462" s="63"/>
      <c r="BNV2462" s="60"/>
      <c r="BNW2462" s="60"/>
      <c r="BNX2462" s="60"/>
      <c r="BNY2462" s="63"/>
      <c r="BNZ2462" s="61"/>
      <c r="BOA2462" s="54"/>
      <c r="BOB2462" s="54"/>
      <c r="BOC2462" s="63"/>
      <c r="BOD2462" s="60"/>
      <c r="BOE2462" s="60"/>
      <c r="BOF2462" s="60"/>
      <c r="BOG2462" s="63"/>
      <c r="BOH2462" s="61"/>
      <c r="BOI2462" s="54"/>
      <c r="BOJ2462" s="54"/>
      <c r="BOK2462" s="63"/>
      <c r="BOL2462" s="60"/>
      <c r="BOM2462" s="60"/>
      <c r="BON2462" s="60"/>
      <c r="BOO2462" s="63"/>
      <c r="BOP2462" s="61"/>
      <c r="BOQ2462" s="54"/>
      <c r="BOR2462" s="54"/>
      <c r="BOS2462" s="63"/>
      <c r="BOT2462" s="60"/>
      <c r="BOU2462" s="60"/>
      <c r="BOV2462" s="60"/>
      <c r="BOW2462" s="63"/>
      <c r="BOX2462" s="61"/>
      <c r="BOY2462" s="54"/>
      <c r="BOZ2462" s="54"/>
      <c r="BPA2462" s="63"/>
      <c r="BPB2462" s="60"/>
      <c r="BPC2462" s="60"/>
      <c r="BPD2462" s="60"/>
      <c r="BPE2462" s="63"/>
      <c r="BPF2462" s="61"/>
      <c r="BPG2462" s="54"/>
      <c r="BPH2462" s="54"/>
      <c r="BPI2462" s="63"/>
      <c r="BPJ2462" s="60"/>
      <c r="BPK2462" s="60"/>
      <c r="BPL2462" s="60"/>
      <c r="BPM2462" s="63"/>
      <c r="BPN2462" s="61"/>
      <c r="BPO2462" s="54"/>
      <c r="BPP2462" s="54"/>
      <c r="BPQ2462" s="63"/>
      <c r="BPR2462" s="60"/>
      <c r="BPS2462" s="60"/>
      <c r="BPT2462" s="60"/>
      <c r="BPU2462" s="63"/>
      <c r="BPV2462" s="61"/>
      <c r="BPW2462" s="54"/>
      <c r="BPX2462" s="54"/>
      <c r="BPY2462" s="63"/>
      <c r="BPZ2462" s="60"/>
      <c r="BQA2462" s="60"/>
      <c r="BQB2462" s="60"/>
      <c r="BQC2462" s="63"/>
      <c r="BQD2462" s="61"/>
      <c r="BQE2462" s="54"/>
      <c r="BQF2462" s="54"/>
      <c r="BQG2462" s="63"/>
      <c r="BQH2462" s="60"/>
      <c r="BQI2462" s="60"/>
      <c r="BQJ2462" s="60"/>
      <c r="BQK2462" s="63"/>
      <c r="BQL2462" s="61"/>
      <c r="BQM2462" s="54"/>
      <c r="BQN2462" s="54"/>
      <c r="BQO2462" s="63"/>
      <c r="BQP2462" s="60"/>
      <c r="BQQ2462" s="60"/>
      <c r="BQR2462" s="60"/>
      <c r="BQS2462" s="63"/>
      <c r="BQT2462" s="61"/>
      <c r="BQU2462" s="54"/>
      <c r="BQV2462" s="54"/>
      <c r="BQW2462" s="63"/>
      <c r="BQX2462" s="60"/>
      <c r="BQY2462" s="60"/>
      <c r="BQZ2462" s="60"/>
      <c r="BRA2462" s="63"/>
      <c r="BRB2462" s="61"/>
      <c r="BRC2462" s="54"/>
      <c r="BRD2462" s="54"/>
      <c r="BRE2462" s="63"/>
      <c r="BRF2462" s="60"/>
      <c r="BRG2462" s="60"/>
      <c r="BRH2462" s="60"/>
      <c r="BRI2462" s="63"/>
      <c r="BRJ2462" s="61"/>
      <c r="BRK2462" s="54"/>
      <c r="BRL2462" s="54"/>
      <c r="BRM2462" s="63"/>
      <c r="BRN2462" s="60"/>
      <c r="BRO2462" s="60"/>
      <c r="BRP2462" s="60"/>
      <c r="BRQ2462" s="63"/>
      <c r="BRR2462" s="61"/>
      <c r="BRS2462" s="54"/>
      <c r="BRT2462" s="54"/>
      <c r="BRU2462" s="63"/>
      <c r="BRV2462" s="60"/>
      <c r="BRW2462" s="60"/>
      <c r="BRX2462" s="60"/>
      <c r="BRY2462" s="63"/>
      <c r="BRZ2462" s="61"/>
      <c r="BSA2462" s="54"/>
      <c r="BSB2462" s="54"/>
      <c r="BSC2462" s="63"/>
      <c r="BSD2462" s="60"/>
      <c r="BSE2462" s="60"/>
      <c r="BSF2462" s="60"/>
      <c r="BSG2462" s="63"/>
      <c r="BSH2462" s="61"/>
      <c r="BSI2462" s="54"/>
      <c r="BSJ2462" s="54"/>
      <c r="BSK2462" s="63"/>
      <c r="BSL2462" s="60"/>
      <c r="BSM2462" s="60"/>
      <c r="BSN2462" s="60"/>
      <c r="BSO2462" s="63"/>
      <c r="BSP2462" s="61"/>
      <c r="BSQ2462" s="54"/>
      <c r="BSR2462" s="54"/>
      <c r="BSS2462" s="63"/>
      <c r="BST2462" s="60"/>
      <c r="BSU2462" s="60"/>
      <c r="BSV2462" s="60"/>
      <c r="BSW2462" s="63"/>
      <c r="BSX2462" s="61"/>
      <c r="BSY2462" s="54"/>
      <c r="BSZ2462" s="54"/>
      <c r="BTA2462" s="63"/>
      <c r="BTB2462" s="60"/>
      <c r="BTC2462" s="60"/>
      <c r="BTD2462" s="60"/>
      <c r="BTE2462" s="63"/>
      <c r="BTF2462" s="61"/>
      <c r="BTG2462" s="54"/>
      <c r="BTH2462" s="54"/>
      <c r="BTI2462" s="63"/>
      <c r="BTJ2462" s="60"/>
      <c r="BTK2462" s="60"/>
      <c r="BTL2462" s="60"/>
      <c r="BTM2462" s="63"/>
      <c r="BTN2462" s="61"/>
      <c r="BTO2462" s="54"/>
      <c r="BTP2462" s="54"/>
      <c r="BTQ2462" s="63"/>
      <c r="BTR2462" s="60"/>
      <c r="BTS2462" s="60"/>
      <c r="BTT2462" s="60"/>
      <c r="BTU2462" s="63"/>
      <c r="BTV2462" s="61"/>
      <c r="BTW2462" s="54"/>
      <c r="BTX2462" s="54"/>
      <c r="BTY2462" s="63"/>
      <c r="BTZ2462" s="60"/>
      <c r="BUA2462" s="60"/>
      <c r="BUB2462" s="60"/>
      <c r="BUC2462" s="63"/>
      <c r="BUD2462" s="61"/>
      <c r="BUE2462" s="54"/>
      <c r="BUF2462" s="54"/>
      <c r="BUG2462" s="63"/>
      <c r="BUH2462" s="60"/>
      <c r="BUI2462" s="60"/>
      <c r="BUJ2462" s="60"/>
      <c r="BUK2462" s="63"/>
      <c r="BUL2462" s="61"/>
      <c r="BUM2462" s="54"/>
      <c r="BUN2462" s="54"/>
      <c r="BUO2462" s="63"/>
      <c r="BUP2462" s="60"/>
      <c r="BUQ2462" s="60"/>
      <c r="BUR2462" s="60"/>
      <c r="BUS2462" s="63"/>
      <c r="BUT2462" s="61"/>
      <c r="BUU2462" s="54"/>
      <c r="BUV2462" s="54"/>
      <c r="BUW2462" s="63"/>
      <c r="BUX2462" s="60"/>
      <c r="BUY2462" s="60"/>
      <c r="BUZ2462" s="60"/>
      <c r="BVA2462" s="63"/>
      <c r="BVB2462" s="61"/>
      <c r="BVC2462" s="54"/>
      <c r="BVD2462" s="54"/>
      <c r="BVE2462" s="63"/>
      <c r="BVF2462" s="60"/>
      <c r="BVG2462" s="60"/>
      <c r="BVH2462" s="60"/>
      <c r="BVI2462" s="63"/>
      <c r="BVJ2462" s="61"/>
      <c r="BVK2462" s="54"/>
      <c r="BVL2462" s="54"/>
      <c r="BVM2462" s="63"/>
      <c r="BVN2462" s="60"/>
      <c r="BVO2462" s="60"/>
      <c r="BVP2462" s="60"/>
      <c r="BVQ2462" s="63"/>
      <c r="BVR2462" s="61"/>
      <c r="BVS2462" s="54"/>
      <c r="BVT2462" s="54"/>
      <c r="BVU2462" s="63"/>
      <c r="BVV2462" s="60"/>
      <c r="BVW2462" s="60"/>
      <c r="BVX2462" s="60"/>
      <c r="BVY2462" s="63"/>
      <c r="BVZ2462" s="61"/>
      <c r="BWA2462" s="54"/>
      <c r="BWB2462" s="54"/>
      <c r="BWC2462" s="63"/>
      <c r="BWD2462" s="60"/>
      <c r="BWE2462" s="60"/>
      <c r="BWF2462" s="60"/>
      <c r="BWG2462" s="63"/>
      <c r="BWH2462" s="61"/>
      <c r="BWI2462" s="54"/>
      <c r="BWJ2462" s="54"/>
      <c r="BWK2462" s="63"/>
      <c r="BWL2462" s="60"/>
      <c r="BWM2462" s="60"/>
      <c r="BWN2462" s="60"/>
      <c r="BWO2462" s="63"/>
      <c r="BWP2462" s="61"/>
      <c r="BWQ2462" s="54"/>
      <c r="BWR2462" s="54"/>
      <c r="BWS2462" s="63"/>
      <c r="BWT2462" s="60"/>
      <c r="BWU2462" s="60"/>
      <c r="BWV2462" s="60"/>
      <c r="BWW2462" s="63"/>
      <c r="BWX2462" s="61"/>
      <c r="BWY2462" s="54"/>
      <c r="BWZ2462" s="54"/>
      <c r="BXA2462" s="63"/>
      <c r="BXB2462" s="60"/>
      <c r="BXC2462" s="60"/>
      <c r="BXD2462" s="60"/>
      <c r="BXE2462" s="63"/>
      <c r="BXF2462" s="61"/>
      <c r="BXG2462" s="54"/>
      <c r="BXH2462" s="54"/>
      <c r="BXI2462" s="63"/>
      <c r="BXJ2462" s="60"/>
      <c r="BXK2462" s="60"/>
      <c r="BXL2462" s="60"/>
      <c r="BXM2462" s="63"/>
      <c r="BXN2462" s="61"/>
      <c r="BXO2462" s="54"/>
      <c r="BXP2462" s="54"/>
      <c r="BXQ2462" s="63"/>
      <c r="BXR2462" s="60"/>
      <c r="BXS2462" s="60"/>
      <c r="BXT2462" s="60"/>
      <c r="BXU2462" s="63"/>
      <c r="BXV2462" s="61"/>
      <c r="BXW2462" s="54"/>
      <c r="BXX2462" s="54"/>
      <c r="BXY2462" s="63"/>
      <c r="BXZ2462" s="60"/>
      <c r="BYA2462" s="60"/>
      <c r="BYB2462" s="60"/>
      <c r="BYC2462" s="63"/>
      <c r="BYD2462" s="61"/>
      <c r="BYE2462" s="54"/>
      <c r="BYF2462" s="54"/>
      <c r="BYG2462" s="63"/>
      <c r="BYH2462" s="60"/>
      <c r="BYI2462" s="60"/>
      <c r="BYJ2462" s="60"/>
      <c r="BYK2462" s="63"/>
      <c r="BYL2462" s="61"/>
      <c r="BYM2462" s="54"/>
      <c r="BYN2462" s="54"/>
      <c r="BYO2462" s="63"/>
      <c r="BYP2462" s="60"/>
      <c r="BYQ2462" s="60"/>
      <c r="BYR2462" s="60"/>
      <c r="BYS2462" s="63"/>
      <c r="BYT2462" s="61"/>
      <c r="BYU2462" s="54"/>
      <c r="BYV2462" s="54"/>
      <c r="BYW2462" s="63"/>
      <c r="BYX2462" s="60"/>
      <c r="BYY2462" s="60"/>
      <c r="BYZ2462" s="60"/>
      <c r="BZA2462" s="63"/>
      <c r="BZB2462" s="61"/>
      <c r="BZC2462" s="54"/>
      <c r="BZD2462" s="54"/>
      <c r="BZE2462" s="63"/>
      <c r="BZF2462" s="60"/>
      <c r="BZG2462" s="60"/>
      <c r="BZH2462" s="60"/>
      <c r="BZI2462" s="63"/>
      <c r="BZJ2462" s="61"/>
      <c r="BZK2462" s="54"/>
      <c r="BZL2462" s="54"/>
      <c r="BZM2462" s="63"/>
      <c r="BZN2462" s="60"/>
      <c r="BZO2462" s="60"/>
      <c r="BZP2462" s="60"/>
      <c r="BZQ2462" s="63"/>
      <c r="BZR2462" s="61"/>
      <c r="BZS2462" s="54"/>
      <c r="BZT2462" s="54"/>
      <c r="BZU2462" s="63"/>
      <c r="BZV2462" s="60"/>
      <c r="BZW2462" s="60"/>
      <c r="BZX2462" s="60"/>
      <c r="BZY2462" s="63"/>
      <c r="BZZ2462" s="61"/>
      <c r="CAA2462" s="54"/>
      <c r="CAB2462" s="54"/>
      <c r="CAC2462" s="63"/>
      <c r="CAD2462" s="60"/>
      <c r="CAE2462" s="60"/>
      <c r="CAF2462" s="60"/>
      <c r="CAG2462" s="63"/>
      <c r="CAH2462" s="61"/>
      <c r="CAI2462" s="54"/>
      <c r="CAJ2462" s="54"/>
      <c r="CAK2462" s="63"/>
      <c r="CAL2462" s="60"/>
      <c r="CAM2462" s="60"/>
      <c r="CAN2462" s="60"/>
      <c r="CAO2462" s="63"/>
      <c r="CAP2462" s="61"/>
      <c r="CAQ2462" s="54"/>
      <c r="CAR2462" s="54"/>
      <c r="CAS2462" s="63"/>
      <c r="CAT2462" s="60"/>
      <c r="CAU2462" s="60"/>
      <c r="CAV2462" s="60"/>
      <c r="CAW2462" s="63"/>
      <c r="CAX2462" s="61"/>
      <c r="CAY2462" s="54"/>
      <c r="CAZ2462" s="54"/>
      <c r="CBA2462" s="63"/>
      <c r="CBB2462" s="60"/>
      <c r="CBC2462" s="60"/>
      <c r="CBD2462" s="60"/>
      <c r="CBE2462" s="63"/>
      <c r="CBF2462" s="61"/>
      <c r="CBG2462" s="54"/>
      <c r="CBH2462" s="54"/>
      <c r="CBI2462" s="63"/>
      <c r="CBJ2462" s="60"/>
      <c r="CBK2462" s="60"/>
      <c r="CBL2462" s="60"/>
      <c r="CBM2462" s="63"/>
      <c r="CBN2462" s="61"/>
      <c r="CBO2462" s="54"/>
      <c r="CBP2462" s="54"/>
      <c r="CBQ2462" s="63"/>
      <c r="CBR2462" s="60"/>
      <c r="CBS2462" s="60"/>
      <c r="CBT2462" s="60"/>
      <c r="CBU2462" s="63"/>
      <c r="CBV2462" s="61"/>
      <c r="CBW2462" s="54"/>
      <c r="CBX2462" s="54"/>
      <c r="CBY2462" s="63"/>
      <c r="CBZ2462" s="60"/>
      <c r="CCA2462" s="60"/>
      <c r="CCB2462" s="60"/>
      <c r="CCC2462" s="63"/>
      <c r="CCD2462" s="61"/>
      <c r="CCE2462" s="54"/>
      <c r="CCF2462" s="54"/>
      <c r="CCG2462" s="63"/>
      <c r="CCH2462" s="60"/>
      <c r="CCI2462" s="60"/>
      <c r="CCJ2462" s="60"/>
      <c r="CCK2462" s="63"/>
      <c r="CCL2462" s="61"/>
      <c r="CCM2462" s="54"/>
      <c r="CCN2462" s="54"/>
      <c r="CCO2462" s="63"/>
      <c r="CCP2462" s="60"/>
      <c r="CCQ2462" s="60"/>
      <c r="CCR2462" s="60"/>
      <c r="CCS2462" s="63"/>
      <c r="CCT2462" s="61"/>
      <c r="CCU2462" s="54"/>
      <c r="CCV2462" s="54"/>
      <c r="CCW2462" s="63"/>
      <c r="CCX2462" s="60"/>
      <c r="CCY2462" s="60"/>
      <c r="CCZ2462" s="60"/>
      <c r="CDA2462" s="63"/>
      <c r="CDB2462" s="61"/>
      <c r="CDC2462" s="54"/>
      <c r="CDD2462" s="54"/>
      <c r="CDE2462" s="63"/>
      <c r="CDF2462" s="60"/>
      <c r="CDG2462" s="60"/>
      <c r="CDH2462" s="60"/>
      <c r="CDI2462" s="63"/>
      <c r="CDJ2462" s="61"/>
      <c r="CDK2462" s="54"/>
      <c r="CDL2462" s="54"/>
      <c r="CDM2462" s="63"/>
      <c r="CDN2462" s="60"/>
      <c r="CDO2462" s="60"/>
      <c r="CDP2462" s="60"/>
      <c r="CDQ2462" s="63"/>
      <c r="CDR2462" s="61"/>
      <c r="CDS2462" s="54"/>
      <c r="CDT2462" s="54"/>
      <c r="CDU2462" s="63"/>
      <c r="CDV2462" s="60"/>
      <c r="CDW2462" s="60"/>
      <c r="CDX2462" s="60"/>
      <c r="CDY2462" s="63"/>
      <c r="CDZ2462" s="61"/>
      <c r="CEA2462" s="54"/>
      <c r="CEB2462" s="54"/>
      <c r="CEC2462" s="63"/>
      <c r="CED2462" s="60"/>
      <c r="CEE2462" s="60"/>
      <c r="CEF2462" s="60"/>
      <c r="CEG2462" s="63"/>
      <c r="CEH2462" s="61"/>
      <c r="CEI2462" s="54"/>
      <c r="CEJ2462" s="54"/>
      <c r="CEK2462" s="63"/>
      <c r="CEL2462" s="60"/>
      <c r="CEM2462" s="60"/>
      <c r="CEN2462" s="60"/>
      <c r="CEO2462" s="63"/>
      <c r="CEP2462" s="61"/>
      <c r="CEQ2462" s="54"/>
      <c r="CER2462" s="54"/>
      <c r="CES2462" s="63"/>
      <c r="CET2462" s="60"/>
      <c r="CEU2462" s="60"/>
      <c r="CEV2462" s="60"/>
      <c r="CEW2462" s="63"/>
      <c r="CEX2462" s="61"/>
      <c r="CEY2462" s="54"/>
      <c r="CEZ2462" s="54"/>
      <c r="CFA2462" s="63"/>
      <c r="CFB2462" s="60"/>
      <c r="CFC2462" s="60"/>
      <c r="CFD2462" s="60"/>
      <c r="CFE2462" s="63"/>
      <c r="CFF2462" s="61"/>
      <c r="CFG2462" s="54"/>
      <c r="CFH2462" s="54"/>
      <c r="CFI2462" s="63"/>
      <c r="CFJ2462" s="60"/>
      <c r="CFK2462" s="60"/>
      <c r="CFL2462" s="60"/>
      <c r="CFM2462" s="63"/>
      <c r="CFN2462" s="61"/>
      <c r="CFO2462" s="54"/>
      <c r="CFP2462" s="54"/>
      <c r="CFQ2462" s="63"/>
      <c r="CFR2462" s="60"/>
      <c r="CFS2462" s="60"/>
      <c r="CFT2462" s="60"/>
      <c r="CFU2462" s="63"/>
      <c r="CFV2462" s="61"/>
      <c r="CFW2462" s="54"/>
      <c r="CFX2462" s="54"/>
      <c r="CFY2462" s="63"/>
      <c r="CFZ2462" s="60"/>
      <c r="CGA2462" s="60"/>
      <c r="CGB2462" s="60"/>
      <c r="CGC2462" s="63"/>
      <c r="CGD2462" s="61"/>
      <c r="CGE2462" s="54"/>
      <c r="CGF2462" s="54"/>
      <c r="CGG2462" s="63"/>
      <c r="CGH2462" s="60"/>
      <c r="CGI2462" s="60"/>
      <c r="CGJ2462" s="60"/>
      <c r="CGK2462" s="63"/>
      <c r="CGL2462" s="61"/>
      <c r="CGM2462" s="54"/>
      <c r="CGN2462" s="54"/>
      <c r="CGO2462" s="63"/>
      <c r="CGP2462" s="60"/>
      <c r="CGQ2462" s="60"/>
      <c r="CGR2462" s="60"/>
      <c r="CGS2462" s="63"/>
      <c r="CGT2462" s="61"/>
      <c r="CGU2462" s="54"/>
      <c r="CGV2462" s="54"/>
      <c r="CGW2462" s="63"/>
      <c r="CGX2462" s="60"/>
      <c r="CGY2462" s="60"/>
      <c r="CGZ2462" s="60"/>
      <c r="CHA2462" s="63"/>
      <c r="CHB2462" s="61"/>
      <c r="CHC2462" s="54"/>
      <c r="CHD2462" s="54"/>
      <c r="CHE2462" s="63"/>
      <c r="CHF2462" s="60"/>
      <c r="CHG2462" s="60"/>
      <c r="CHH2462" s="60"/>
      <c r="CHI2462" s="63"/>
      <c r="CHJ2462" s="61"/>
      <c r="CHK2462" s="54"/>
      <c r="CHL2462" s="54"/>
      <c r="CHM2462" s="63"/>
      <c r="CHN2462" s="60"/>
      <c r="CHO2462" s="60"/>
      <c r="CHP2462" s="60"/>
      <c r="CHQ2462" s="63"/>
      <c r="CHR2462" s="61"/>
      <c r="CHS2462" s="54"/>
      <c r="CHT2462" s="54"/>
      <c r="CHU2462" s="63"/>
      <c r="CHV2462" s="60"/>
      <c r="CHW2462" s="60"/>
      <c r="CHX2462" s="60"/>
      <c r="CHY2462" s="63"/>
      <c r="CHZ2462" s="61"/>
      <c r="CIA2462" s="54"/>
      <c r="CIB2462" s="54"/>
      <c r="CIC2462" s="63"/>
      <c r="CID2462" s="60"/>
      <c r="CIE2462" s="60"/>
      <c r="CIF2462" s="60"/>
      <c r="CIG2462" s="63"/>
      <c r="CIH2462" s="61"/>
      <c r="CII2462" s="54"/>
      <c r="CIJ2462" s="54"/>
      <c r="CIK2462" s="63"/>
      <c r="CIL2462" s="60"/>
      <c r="CIM2462" s="60"/>
      <c r="CIN2462" s="60"/>
      <c r="CIO2462" s="63"/>
      <c r="CIP2462" s="61"/>
      <c r="CIQ2462" s="54"/>
      <c r="CIR2462" s="54"/>
      <c r="CIS2462" s="63"/>
      <c r="CIT2462" s="60"/>
      <c r="CIU2462" s="60"/>
      <c r="CIV2462" s="60"/>
      <c r="CIW2462" s="63"/>
      <c r="CIX2462" s="61"/>
      <c r="CIY2462" s="54"/>
      <c r="CIZ2462" s="54"/>
      <c r="CJA2462" s="63"/>
      <c r="CJB2462" s="60"/>
      <c r="CJC2462" s="60"/>
      <c r="CJD2462" s="60"/>
      <c r="CJE2462" s="63"/>
      <c r="CJF2462" s="61"/>
      <c r="CJG2462" s="54"/>
      <c r="CJH2462" s="54"/>
      <c r="CJI2462" s="63"/>
      <c r="CJJ2462" s="60"/>
      <c r="CJK2462" s="60"/>
      <c r="CJL2462" s="60"/>
      <c r="CJM2462" s="63"/>
      <c r="CJN2462" s="61"/>
      <c r="CJO2462" s="54"/>
      <c r="CJP2462" s="54"/>
      <c r="CJQ2462" s="63"/>
      <c r="CJR2462" s="60"/>
      <c r="CJS2462" s="60"/>
      <c r="CJT2462" s="60"/>
      <c r="CJU2462" s="63"/>
      <c r="CJV2462" s="61"/>
      <c r="CJW2462" s="54"/>
      <c r="CJX2462" s="54"/>
      <c r="CJY2462" s="63"/>
      <c r="CJZ2462" s="60"/>
      <c r="CKA2462" s="60"/>
      <c r="CKB2462" s="60"/>
      <c r="CKC2462" s="63"/>
      <c r="CKD2462" s="61"/>
      <c r="CKE2462" s="54"/>
      <c r="CKF2462" s="54"/>
      <c r="CKG2462" s="63"/>
      <c r="CKH2462" s="60"/>
      <c r="CKI2462" s="60"/>
      <c r="CKJ2462" s="60"/>
      <c r="CKK2462" s="63"/>
      <c r="CKL2462" s="61"/>
      <c r="CKM2462" s="54"/>
      <c r="CKN2462" s="54"/>
      <c r="CKO2462" s="63"/>
      <c r="CKP2462" s="60"/>
      <c r="CKQ2462" s="60"/>
      <c r="CKR2462" s="60"/>
      <c r="CKS2462" s="63"/>
      <c r="CKT2462" s="61"/>
      <c r="CKU2462" s="54"/>
      <c r="CKV2462" s="54"/>
      <c r="CKW2462" s="63"/>
      <c r="CKX2462" s="60"/>
      <c r="CKY2462" s="60"/>
      <c r="CKZ2462" s="60"/>
      <c r="CLA2462" s="63"/>
      <c r="CLB2462" s="61"/>
      <c r="CLC2462" s="54"/>
      <c r="CLD2462" s="54"/>
      <c r="CLE2462" s="63"/>
      <c r="CLF2462" s="60"/>
      <c r="CLG2462" s="60"/>
      <c r="CLH2462" s="60"/>
      <c r="CLI2462" s="63"/>
      <c r="CLJ2462" s="61"/>
      <c r="CLK2462" s="54"/>
      <c r="CLL2462" s="54"/>
      <c r="CLM2462" s="63"/>
      <c r="CLN2462" s="60"/>
      <c r="CLO2462" s="60"/>
      <c r="CLP2462" s="60"/>
      <c r="CLQ2462" s="63"/>
      <c r="CLR2462" s="61"/>
      <c r="CLS2462" s="54"/>
      <c r="CLT2462" s="54"/>
      <c r="CLU2462" s="63"/>
      <c r="CLV2462" s="60"/>
      <c r="CLW2462" s="60"/>
      <c r="CLX2462" s="60"/>
      <c r="CLY2462" s="63"/>
      <c r="CLZ2462" s="61"/>
      <c r="CMA2462" s="54"/>
      <c r="CMB2462" s="54"/>
      <c r="CMC2462" s="63"/>
      <c r="CMD2462" s="60"/>
      <c r="CME2462" s="60"/>
      <c r="CMF2462" s="60"/>
      <c r="CMG2462" s="63"/>
      <c r="CMH2462" s="61"/>
      <c r="CMI2462" s="54"/>
      <c r="CMJ2462" s="54"/>
      <c r="CMK2462" s="63"/>
      <c r="CML2462" s="60"/>
      <c r="CMM2462" s="60"/>
      <c r="CMN2462" s="60"/>
      <c r="CMO2462" s="63"/>
      <c r="CMP2462" s="61"/>
      <c r="CMQ2462" s="54"/>
      <c r="CMR2462" s="54"/>
      <c r="CMS2462" s="63"/>
      <c r="CMT2462" s="60"/>
      <c r="CMU2462" s="60"/>
      <c r="CMV2462" s="60"/>
      <c r="CMW2462" s="63"/>
      <c r="CMX2462" s="61"/>
      <c r="CMY2462" s="54"/>
      <c r="CMZ2462" s="54"/>
      <c r="CNA2462" s="63"/>
      <c r="CNB2462" s="60"/>
      <c r="CNC2462" s="60"/>
      <c r="CND2462" s="60"/>
      <c r="CNE2462" s="63"/>
      <c r="CNF2462" s="61"/>
      <c r="CNG2462" s="54"/>
      <c r="CNH2462" s="54"/>
      <c r="CNI2462" s="63"/>
      <c r="CNJ2462" s="60"/>
      <c r="CNK2462" s="60"/>
      <c r="CNL2462" s="60"/>
      <c r="CNM2462" s="63"/>
      <c r="CNN2462" s="61"/>
      <c r="CNO2462" s="54"/>
      <c r="CNP2462" s="54"/>
      <c r="CNQ2462" s="63"/>
      <c r="CNR2462" s="60"/>
      <c r="CNS2462" s="60"/>
      <c r="CNT2462" s="60"/>
      <c r="CNU2462" s="63"/>
      <c r="CNV2462" s="61"/>
      <c r="CNW2462" s="54"/>
      <c r="CNX2462" s="54"/>
      <c r="CNY2462" s="63"/>
      <c r="CNZ2462" s="60"/>
      <c r="COA2462" s="60"/>
      <c r="COB2462" s="60"/>
      <c r="COC2462" s="63"/>
      <c r="COD2462" s="61"/>
      <c r="COE2462" s="54"/>
      <c r="COF2462" s="54"/>
      <c r="COG2462" s="63"/>
      <c r="COH2462" s="60"/>
      <c r="COI2462" s="60"/>
      <c r="COJ2462" s="60"/>
      <c r="COK2462" s="63"/>
      <c r="COL2462" s="61"/>
      <c r="COM2462" s="54"/>
      <c r="CON2462" s="54"/>
      <c r="COO2462" s="63"/>
      <c r="COP2462" s="60"/>
      <c r="COQ2462" s="60"/>
      <c r="COR2462" s="60"/>
      <c r="COS2462" s="63"/>
      <c r="COT2462" s="61"/>
      <c r="COU2462" s="54"/>
      <c r="COV2462" s="54"/>
      <c r="COW2462" s="63"/>
      <c r="COX2462" s="60"/>
      <c r="COY2462" s="60"/>
      <c r="COZ2462" s="60"/>
      <c r="CPA2462" s="63"/>
      <c r="CPB2462" s="61"/>
      <c r="CPC2462" s="54"/>
      <c r="CPD2462" s="54"/>
      <c r="CPE2462" s="63"/>
      <c r="CPF2462" s="60"/>
      <c r="CPG2462" s="60"/>
      <c r="CPH2462" s="60"/>
      <c r="CPI2462" s="63"/>
      <c r="CPJ2462" s="61"/>
      <c r="CPK2462" s="54"/>
      <c r="CPL2462" s="54"/>
      <c r="CPM2462" s="63"/>
      <c r="CPN2462" s="60"/>
      <c r="CPO2462" s="60"/>
      <c r="CPP2462" s="60"/>
      <c r="CPQ2462" s="63"/>
      <c r="CPR2462" s="61"/>
      <c r="CPS2462" s="54"/>
      <c r="CPT2462" s="54"/>
      <c r="CPU2462" s="63"/>
      <c r="CPV2462" s="60"/>
      <c r="CPW2462" s="60"/>
      <c r="CPX2462" s="60"/>
      <c r="CPY2462" s="63"/>
      <c r="CPZ2462" s="61"/>
      <c r="CQA2462" s="54"/>
      <c r="CQB2462" s="54"/>
      <c r="CQC2462" s="63"/>
      <c r="CQD2462" s="60"/>
      <c r="CQE2462" s="60"/>
      <c r="CQF2462" s="60"/>
      <c r="CQG2462" s="63"/>
      <c r="CQH2462" s="61"/>
      <c r="CQI2462" s="54"/>
      <c r="CQJ2462" s="54"/>
      <c r="CQK2462" s="63"/>
      <c r="CQL2462" s="60"/>
      <c r="CQM2462" s="60"/>
      <c r="CQN2462" s="60"/>
      <c r="CQO2462" s="63"/>
      <c r="CQP2462" s="61"/>
      <c r="CQQ2462" s="54"/>
      <c r="CQR2462" s="54"/>
      <c r="CQS2462" s="63"/>
      <c r="CQT2462" s="60"/>
      <c r="CQU2462" s="60"/>
      <c r="CQV2462" s="60"/>
      <c r="CQW2462" s="63"/>
      <c r="CQX2462" s="61"/>
      <c r="CQY2462" s="54"/>
      <c r="CQZ2462" s="54"/>
      <c r="CRA2462" s="63"/>
      <c r="CRB2462" s="60"/>
      <c r="CRC2462" s="60"/>
      <c r="CRD2462" s="60"/>
      <c r="CRE2462" s="63"/>
      <c r="CRF2462" s="61"/>
      <c r="CRG2462" s="54"/>
      <c r="CRH2462" s="54"/>
      <c r="CRI2462" s="63"/>
      <c r="CRJ2462" s="60"/>
      <c r="CRK2462" s="60"/>
      <c r="CRL2462" s="60"/>
      <c r="CRM2462" s="63"/>
      <c r="CRN2462" s="61"/>
      <c r="CRO2462" s="54"/>
      <c r="CRP2462" s="54"/>
      <c r="CRQ2462" s="63"/>
      <c r="CRR2462" s="60"/>
      <c r="CRS2462" s="60"/>
      <c r="CRT2462" s="60"/>
      <c r="CRU2462" s="63"/>
      <c r="CRV2462" s="61"/>
      <c r="CRW2462" s="54"/>
      <c r="CRX2462" s="54"/>
      <c r="CRY2462" s="63"/>
      <c r="CRZ2462" s="60"/>
      <c r="CSA2462" s="60"/>
      <c r="CSB2462" s="60"/>
      <c r="CSC2462" s="63"/>
      <c r="CSD2462" s="61"/>
      <c r="CSE2462" s="54"/>
      <c r="CSF2462" s="54"/>
      <c r="CSG2462" s="63"/>
      <c r="CSH2462" s="60"/>
      <c r="CSI2462" s="60"/>
      <c r="CSJ2462" s="60"/>
      <c r="CSK2462" s="63"/>
      <c r="CSL2462" s="61"/>
      <c r="CSM2462" s="54"/>
      <c r="CSN2462" s="54"/>
      <c r="CSO2462" s="63"/>
      <c r="CSP2462" s="60"/>
      <c r="CSQ2462" s="60"/>
      <c r="CSR2462" s="60"/>
      <c r="CSS2462" s="63"/>
      <c r="CST2462" s="61"/>
      <c r="CSU2462" s="54"/>
      <c r="CSV2462" s="54"/>
      <c r="CSW2462" s="63"/>
      <c r="CSX2462" s="60"/>
      <c r="CSY2462" s="60"/>
      <c r="CSZ2462" s="60"/>
      <c r="CTA2462" s="63"/>
      <c r="CTB2462" s="61"/>
      <c r="CTC2462" s="54"/>
      <c r="CTD2462" s="54"/>
      <c r="CTE2462" s="63"/>
      <c r="CTF2462" s="60"/>
      <c r="CTG2462" s="60"/>
      <c r="CTH2462" s="60"/>
      <c r="CTI2462" s="63"/>
      <c r="CTJ2462" s="61"/>
      <c r="CTK2462" s="54"/>
      <c r="CTL2462" s="54"/>
      <c r="CTM2462" s="63"/>
      <c r="CTN2462" s="60"/>
      <c r="CTO2462" s="60"/>
      <c r="CTP2462" s="60"/>
      <c r="CTQ2462" s="63"/>
      <c r="CTR2462" s="61"/>
      <c r="CTS2462" s="54"/>
      <c r="CTT2462" s="54"/>
      <c r="CTU2462" s="63"/>
      <c r="CTV2462" s="60"/>
      <c r="CTW2462" s="60"/>
      <c r="CTX2462" s="60"/>
      <c r="CTY2462" s="63"/>
      <c r="CTZ2462" s="61"/>
      <c r="CUA2462" s="54"/>
      <c r="CUB2462" s="54"/>
      <c r="CUC2462" s="63"/>
      <c r="CUD2462" s="60"/>
      <c r="CUE2462" s="60"/>
      <c r="CUF2462" s="60"/>
      <c r="CUG2462" s="63"/>
      <c r="CUH2462" s="61"/>
      <c r="CUI2462" s="54"/>
      <c r="CUJ2462" s="54"/>
      <c r="CUK2462" s="63"/>
      <c r="CUL2462" s="60"/>
      <c r="CUM2462" s="60"/>
      <c r="CUN2462" s="60"/>
      <c r="CUO2462" s="63"/>
      <c r="CUP2462" s="61"/>
      <c r="CUQ2462" s="54"/>
      <c r="CUR2462" s="54"/>
      <c r="CUS2462" s="63"/>
      <c r="CUT2462" s="60"/>
      <c r="CUU2462" s="60"/>
      <c r="CUV2462" s="60"/>
      <c r="CUW2462" s="63"/>
      <c r="CUX2462" s="61"/>
      <c r="CUY2462" s="54"/>
      <c r="CUZ2462" s="54"/>
      <c r="CVA2462" s="63"/>
      <c r="CVB2462" s="60"/>
      <c r="CVC2462" s="60"/>
      <c r="CVD2462" s="60"/>
      <c r="CVE2462" s="63"/>
      <c r="CVF2462" s="61"/>
      <c r="CVG2462" s="54"/>
      <c r="CVH2462" s="54"/>
      <c r="CVI2462" s="63"/>
      <c r="CVJ2462" s="60"/>
      <c r="CVK2462" s="60"/>
      <c r="CVL2462" s="60"/>
      <c r="CVM2462" s="63"/>
      <c r="CVN2462" s="61"/>
      <c r="CVO2462" s="54"/>
      <c r="CVP2462" s="54"/>
      <c r="CVQ2462" s="63"/>
      <c r="CVR2462" s="60"/>
      <c r="CVS2462" s="60"/>
      <c r="CVT2462" s="60"/>
      <c r="CVU2462" s="63"/>
      <c r="CVV2462" s="61"/>
      <c r="CVW2462" s="54"/>
      <c r="CVX2462" s="54"/>
      <c r="CVY2462" s="63"/>
      <c r="CVZ2462" s="60"/>
      <c r="CWA2462" s="60"/>
      <c r="CWB2462" s="60"/>
      <c r="CWC2462" s="63"/>
      <c r="CWD2462" s="61"/>
      <c r="CWE2462" s="54"/>
      <c r="CWF2462" s="54"/>
      <c r="CWG2462" s="63"/>
      <c r="CWH2462" s="60"/>
      <c r="CWI2462" s="60"/>
      <c r="CWJ2462" s="60"/>
      <c r="CWK2462" s="63"/>
      <c r="CWL2462" s="61"/>
      <c r="CWM2462" s="54"/>
      <c r="CWN2462" s="54"/>
      <c r="CWO2462" s="63"/>
      <c r="CWP2462" s="60"/>
      <c r="CWQ2462" s="60"/>
      <c r="CWR2462" s="60"/>
      <c r="CWS2462" s="63"/>
      <c r="CWT2462" s="61"/>
      <c r="CWU2462" s="54"/>
      <c r="CWV2462" s="54"/>
      <c r="CWW2462" s="63"/>
      <c r="CWX2462" s="60"/>
      <c r="CWY2462" s="60"/>
      <c r="CWZ2462" s="60"/>
      <c r="CXA2462" s="63"/>
      <c r="CXB2462" s="61"/>
      <c r="CXC2462" s="54"/>
      <c r="CXD2462" s="54"/>
      <c r="CXE2462" s="63"/>
      <c r="CXF2462" s="60"/>
      <c r="CXG2462" s="60"/>
      <c r="CXH2462" s="60"/>
      <c r="CXI2462" s="63"/>
      <c r="CXJ2462" s="61"/>
      <c r="CXK2462" s="54"/>
      <c r="CXL2462" s="54"/>
      <c r="CXM2462" s="63"/>
      <c r="CXN2462" s="60"/>
      <c r="CXO2462" s="60"/>
      <c r="CXP2462" s="60"/>
      <c r="CXQ2462" s="63"/>
      <c r="CXR2462" s="61"/>
      <c r="CXS2462" s="54"/>
      <c r="CXT2462" s="54"/>
      <c r="CXU2462" s="63"/>
      <c r="CXV2462" s="60"/>
      <c r="CXW2462" s="60"/>
      <c r="CXX2462" s="60"/>
      <c r="CXY2462" s="63"/>
      <c r="CXZ2462" s="61"/>
      <c r="CYA2462" s="54"/>
      <c r="CYB2462" s="54"/>
      <c r="CYC2462" s="63"/>
      <c r="CYD2462" s="60"/>
      <c r="CYE2462" s="60"/>
      <c r="CYF2462" s="60"/>
      <c r="CYG2462" s="63"/>
      <c r="CYH2462" s="61"/>
      <c r="CYI2462" s="54"/>
      <c r="CYJ2462" s="54"/>
      <c r="CYK2462" s="63"/>
      <c r="CYL2462" s="60"/>
      <c r="CYM2462" s="60"/>
      <c r="CYN2462" s="60"/>
      <c r="CYO2462" s="63"/>
      <c r="CYP2462" s="61"/>
      <c r="CYQ2462" s="54"/>
      <c r="CYR2462" s="54"/>
      <c r="CYS2462" s="63"/>
      <c r="CYT2462" s="60"/>
      <c r="CYU2462" s="60"/>
      <c r="CYV2462" s="60"/>
      <c r="CYW2462" s="63"/>
      <c r="CYX2462" s="61"/>
      <c r="CYY2462" s="54"/>
      <c r="CYZ2462" s="54"/>
      <c r="CZA2462" s="63"/>
      <c r="CZB2462" s="60"/>
      <c r="CZC2462" s="60"/>
      <c r="CZD2462" s="60"/>
      <c r="CZE2462" s="63"/>
      <c r="CZF2462" s="61"/>
      <c r="CZG2462" s="54"/>
      <c r="CZH2462" s="54"/>
      <c r="CZI2462" s="63"/>
      <c r="CZJ2462" s="60"/>
      <c r="CZK2462" s="60"/>
      <c r="CZL2462" s="60"/>
      <c r="CZM2462" s="63"/>
      <c r="CZN2462" s="61"/>
      <c r="CZO2462" s="54"/>
      <c r="CZP2462" s="54"/>
      <c r="CZQ2462" s="63"/>
      <c r="CZR2462" s="60"/>
      <c r="CZS2462" s="60"/>
      <c r="CZT2462" s="60"/>
      <c r="CZU2462" s="63"/>
      <c r="CZV2462" s="61"/>
      <c r="CZW2462" s="54"/>
      <c r="CZX2462" s="54"/>
      <c r="CZY2462" s="63"/>
      <c r="CZZ2462" s="60"/>
      <c r="DAA2462" s="60"/>
      <c r="DAB2462" s="60"/>
      <c r="DAC2462" s="63"/>
      <c r="DAD2462" s="61"/>
      <c r="DAE2462" s="54"/>
      <c r="DAF2462" s="54"/>
      <c r="DAG2462" s="63"/>
      <c r="DAH2462" s="60"/>
      <c r="DAI2462" s="60"/>
      <c r="DAJ2462" s="60"/>
      <c r="DAK2462" s="63"/>
      <c r="DAL2462" s="61"/>
      <c r="DAM2462" s="54"/>
      <c r="DAN2462" s="54"/>
      <c r="DAO2462" s="63"/>
      <c r="DAP2462" s="60"/>
      <c r="DAQ2462" s="60"/>
      <c r="DAR2462" s="60"/>
      <c r="DAS2462" s="63"/>
      <c r="DAT2462" s="61"/>
      <c r="DAU2462" s="54"/>
      <c r="DAV2462" s="54"/>
      <c r="DAW2462" s="63"/>
      <c r="DAX2462" s="60"/>
      <c r="DAY2462" s="60"/>
      <c r="DAZ2462" s="60"/>
      <c r="DBA2462" s="63"/>
      <c r="DBB2462" s="61"/>
      <c r="DBC2462" s="54"/>
      <c r="DBD2462" s="54"/>
      <c r="DBE2462" s="63"/>
      <c r="DBF2462" s="60"/>
      <c r="DBG2462" s="60"/>
      <c r="DBH2462" s="60"/>
      <c r="DBI2462" s="63"/>
      <c r="DBJ2462" s="61"/>
      <c r="DBK2462" s="54"/>
      <c r="DBL2462" s="54"/>
      <c r="DBM2462" s="63"/>
      <c r="DBN2462" s="60"/>
      <c r="DBO2462" s="60"/>
      <c r="DBP2462" s="60"/>
      <c r="DBQ2462" s="63"/>
      <c r="DBR2462" s="61"/>
      <c r="DBS2462" s="54"/>
      <c r="DBT2462" s="54"/>
      <c r="DBU2462" s="63"/>
      <c r="DBV2462" s="60"/>
      <c r="DBW2462" s="60"/>
      <c r="DBX2462" s="60"/>
      <c r="DBY2462" s="63"/>
      <c r="DBZ2462" s="61"/>
      <c r="DCA2462" s="54"/>
      <c r="DCB2462" s="54"/>
      <c r="DCC2462" s="63"/>
      <c r="DCD2462" s="60"/>
      <c r="DCE2462" s="60"/>
      <c r="DCF2462" s="60"/>
      <c r="DCG2462" s="63"/>
      <c r="DCH2462" s="61"/>
      <c r="DCI2462" s="54"/>
      <c r="DCJ2462" s="54"/>
      <c r="DCK2462" s="63"/>
      <c r="DCL2462" s="60"/>
      <c r="DCM2462" s="60"/>
      <c r="DCN2462" s="60"/>
      <c r="DCO2462" s="63"/>
      <c r="DCP2462" s="61"/>
      <c r="DCQ2462" s="54"/>
      <c r="DCR2462" s="54"/>
      <c r="DCS2462" s="63"/>
      <c r="DCT2462" s="60"/>
      <c r="DCU2462" s="60"/>
      <c r="DCV2462" s="60"/>
      <c r="DCW2462" s="63"/>
      <c r="DCX2462" s="61"/>
      <c r="DCY2462" s="54"/>
      <c r="DCZ2462" s="54"/>
      <c r="DDA2462" s="63"/>
      <c r="DDB2462" s="60"/>
      <c r="DDC2462" s="60"/>
      <c r="DDD2462" s="60"/>
      <c r="DDE2462" s="63"/>
      <c r="DDF2462" s="61"/>
      <c r="DDG2462" s="54"/>
      <c r="DDH2462" s="54"/>
      <c r="DDI2462" s="63"/>
      <c r="DDJ2462" s="60"/>
      <c r="DDK2462" s="60"/>
      <c r="DDL2462" s="60"/>
      <c r="DDM2462" s="63"/>
      <c r="DDN2462" s="61"/>
      <c r="DDO2462" s="54"/>
      <c r="DDP2462" s="54"/>
      <c r="DDQ2462" s="63"/>
      <c r="DDR2462" s="60"/>
      <c r="DDS2462" s="60"/>
      <c r="DDT2462" s="60"/>
      <c r="DDU2462" s="63"/>
      <c r="DDV2462" s="61"/>
      <c r="DDW2462" s="54"/>
      <c r="DDX2462" s="54"/>
      <c r="DDY2462" s="63"/>
      <c r="DDZ2462" s="60"/>
      <c r="DEA2462" s="60"/>
      <c r="DEB2462" s="60"/>
      <c r="DEC2462" s="63"/>
      <c r="DED2462" s="61"/>
      <c r="DEE2462" s="54"/>
      <c r="DEF2462" s="54"/>
      <c r="DEG2462" s="63"/>
      <c r="DEH2462" s="60"/>
      <c r="DEI2462" s="60"/>
      <c r="DEJ2462" s="60"/>
      <c r="DEK2462" s="63"/>
      <c r="DEL2462" s="61"/>
      <c r="DEM2462" s="54"/>
      <c r="DEN2462" s="54"/>
      <c r="DEO2462" s="63"/>
      <c r="DEP2462" s="60"/>
      <c r="DEQ2462" s="60"/>
      <c r="DER2462" s="60"/>
      <c r="DES2462" s="63"/>
      <c r="DET2462" s="61"/>
      <c r="DEU2462" s="54"/>
      <c r="DEV2462" s="54"/>
      <c r="DEW2462" s="63"/>
      <c r="DEX2462" s="60"/>
      <c r="DEY2462" s="60"/>
      <c r="DEZ2462" s="60"/>
      <c r="DFA2462" s="63"/>
      <c r="DFB2462" s="61"/>
      <c r="DFC2462" s="54"/>
      <c r="DFD2462" s="54"/>
      <c r="DFE2462" s="63"/>
      <c r="DFF2462" s="60"/>
      <c r="DFG2462" s="60"/>
      <c r="DFH2462" s="60"/>
      <c r="DFI2462" s="63"/>
      <c r="DFJ2462" s="61"/>
      <c r="DFK2462" s="54"/>
      <c r="DFL2462" s="54"/>
      <c r="DFM2462" s="63"/>
      <c r="DFN2462" s="60"/>
      <c r="DFO2462" s="60"/>
      <c r="DFP2462" s="60"/>
      <c r="DFQ2462" s="63"/>
      <c r="DFR2462" s="61"/>
      <c r="DFS2462" s="54"/>
      <c r="DFT2462" s="54"/>
      <c r="DFU2462" s="63"/>
      <c r="DFV2462" s="60"/>
      <c r="DFW2462" s="60"/>
      <c r="DFX2462" s="60"/>
      <c r="DFY2462" s="63"/>
      <c r="DFZ2462" s="61"/>
      <c r="DGA2462" s="54"/>
      <c r="DGB2462" s="54"/>
      <c r="DGC2462" s="63"/>
      <c r="DGD2462" s="60"/>
      <c r="DGE2462" s="60"/>
      <c r="DGF2462" s="60"/>
      <c r="DGG2462" s="63"/>
      <c r="DGH2462" s="61"/>
      <c r="DGI2462" s="54"/>
      <c r="DGJ2462" s="54"/>
      <c r="DGK2462" s="63"/>
      <c r="DGL2462" s="60"/>
      <c r="DGM2462" s="60"/>
      <c r="DGN2462" s="60"/>
      <c r="DGO2462" s="63"/>
      <c r="DGP2462" s="61"/>
      <c r="DGQ2462" s="54"/>
      <c r="DGR2462" s="54"/>
      <c r="DGS2462" s="63"/>
      <c r="DGT2462" s="60"/>
      <c r="DGU2462" s="60"/>
      <c r="DGV2462" s="60"/>
      <c r="DGW2462" s="63"/>
      <c r="DGX2462" s="61"/>
      <c r="DGY2462" s="54"/>
      <c r="DGZ2462" s="54"/>
      <c r="DHA2462" s="63"/>
      <c r="DHB2462" s="60"/>
      <c r="DHC2462" s="60"/>
      <c r="DHD2462" s="60"/>
      <c r="DHE2462" s="63"/>
      <c r="DHF2462" s="61"/>
      <c r="DHG2462" s="54"/>
      <c r="DHH2462" s="54"/>
      <c r="DHI2462" s="63"/>
      <c r="DHJ2462" s="60"/>
      <c r="DHK2462" s="60"/>
      <c r="DHL2462" s="60"/>
      <c r="DHM2462" s="63"/>
      <c r="DHN2462" s="61"/>
      <c r="DHO2462" s="54"/>
      <c r="DHP2462" s="54"/>
      <c r="DHQ2462" s="63"/>
      <c r="DHR2462" s="60"/>
      <c r="DHS2462" s="60"/>
      <c r="DHT2462" s="60"/>
      <c r="DHU2462" s="63"/>
      <c r="DHV2462" s="61"/>
      <c r="DHW2462" s="54"/>
      <c r="DHX2462" s="54"/>
      <c r="DHY2462" s="63"/>
      <c r="DHZ2462" s="60"/>
      <c r="DIA2462" s="60"/>
      <c r="DIB2462" s="60"/>
      <c r="DIC2462" s="63"/>
      <c r="DID2462" s="61"/>
      <c r="DIE2462" s="54"/>
      <c r="DIF2462" s="54"/>
      <c r="DIG2462" s="63"/>
      <c r="DIH2462" s="60"/>
      <c r="DII2462" s="60"/>
      <c r="DIJ2462" s="60"/>
      <c r="DIK2462" s="63"/>
      <c r="DIL2462" s="61"/>
      <c r="DIM2462" s="54"/>
      <c r="DIN2462" s="54"/>
      <c r="DIO2462" s="63"/>
      <c r="DIP2462" s="60"/>
      <c r="DIQ2462" s="60"/>
      <c r="DIR2462" s="60"/>
      <c r="DIS2462" s="63"/>
      <c r="DIT2462" s="61"/>
      <c r="DIU2462" s="54"/>
      <c r="DIV2462" s="54"/>
      <c r="DIW2462" s="63"/>
      <c r="DIX2462" s="60"/>
      <c r="DIY2462" s="60"/>
      <c r="DIZ2462" s="60"/>
      <c r="DJA2462" s="63"/>
      <c r="DJB2462" s="61"/>
      <c r="DJC2462" s="54"/>
      <c r="DJD2462" s="54"/>
      <c r="DJE2462" s="63"/>
      <c r="DJF2462" s="60"/>
      <c r="DJG2462" s="60"/>
      <c r="DJH2462" s="60"/>
      <c r="DJI2462" s="63"/>
      <c r="DJJ2462" s="61"/>
      <c r="DJK2462" s="54"/>
      <c r="DJL2462" s="54"/>
      <c r="DJM2462" s="63"/>
      <c r="DJN2462" s="60"/>
      <c r="DJO2462" s="60"/>
      <c r="DJP2462" s="60"/>
      <c r="DJQ2462" s="63"/>
      <c r="DJR2462" s="61"/>
      <c r="DJS2462" s="54"/>
      <c r="DJT2462" s="54"/>
      <c r="DJU2462" s="63"/>
      <c r="DJV2462" s="60"/>
      <c r="DJW2462" s="60"/>
      <c r="DJX2462" s="60"/>
      <c r="DJY2462" s="63"/>
      <c r="DJZ2462" s="61"/>
      <c r="DKA2462" s="54"/>
      <c r="DKB2462" s="54"/>
      <c r="DKC2462" s="63"/>
      <c r="DKD2462" s="60"/>
      <c r="DKE2462" s="60"/>
      <c r="DKF2462" s="60"/>
      <c r="DKG2462" s="63"/>
      <c r="DKH2462" s="61"/>
      <c r="DKI2462" s="54"/>
      <c r="DKJ2462" s="54"/>
      <c r="DKK2462" s="63"/>
      <c r="DKL2462" s="60"/>
      <c r="DKM2462" s="60"/>
      <c r="DKN2462" s="60"/>
      <c r="DKO2462" s="63"/>
      <c r="DKP2462" s="61"/>
      <c r="DKQ2462" s="54"/>
      <c r="DKR2462" s="54"/>
      <c r="DKS2462" s="63"/>
      <c r="DKT2462" s="60"/>
      <c r="DKU2462" s="60"/>
      <c r="DKV2462" s="60"/>
      <c r="DKW2462" s="63"/>
      <c r="DKX2462" s="61"/>
      <c r="DKY2462" s="54"/>
      <c r="DKZ2462" s="54"/>
      <c r="DLA2462" s="63"/>
      <c r="DLB2462" s="60"/>
      <c r="DLC2462" s="60"/>
      <c r="DLD2462" s="60"/>
      <c r="DLE2462" s="63"/>
      <c r="DLF2462" s="61"/>
      <c r="DLG2462" s="54"/>
      <c r="DLH2462" s="54"/>
      <c r="DLI2462" s="63"/>
      <c r="DLJ2462" s="60"/>
      <c r="DLK2462" s="60"/>
      <c r="DLL2462" s="60"/>
      <c r="DLM2462" s="63"/>
      <c r="DLN2462" s="61"/>
      <c r="DLO2462" s="54"/>
      <c r="DLP2462" s="54"/>
      <c r="DLQ2462" s="63"/>
      <c r="DLR2462" s="60"/>
      <c r="DLS2462" s="60"/>
      <c r="DLT2462" s="60"/>
      <c r="DLU2462" s="63"/>
      <c r="DLV2462" s="61"/>
      <c r="DLW2462" s="54"/>
      <c r="DLX2462" s="54"/>
      <c r="DLY2462" s="63"/>
      <c r="DLZ2462" s="60"/>
      <c r="DMA2462" s="60"/>
      <c r="DMB2462" s="60"/>
      <c r="DMC2462" s="63"/>
      <c r="DMD2462" s="61"/>
      <c r="DME2462" s="54"/>
      <c r="DMF2462" s="54"/>
      <c r="DMG2462" s="63"/>
      <c r="DMH2462" s="60"/>
      <c r="DMI2462" s="60"/>
      <c r="DMJ2462" s="60"/>
      <c r="DMK2462" s="63"/>
      <c r="DML2462" s="61"/>
      <c r="DMM2462" s="54"/>
      <c r="DMN2462" s="54"/>
      <c r="DMO2462" s="63"/>
      <c r="DMP2462" s="60"/>
      <c r="DMQ2462" s="60"/>
      <c r="DMR2462" s="60"/>
      <c r="DMS2462" s="63"/>
      <c r="DMT2462" s="61"/>
      <c r="DMU2462" s="54"/>
      <c r="DMV2462" s="54"/>
      <c r="DMW2462" s="63"/>
      <c r="DMX2462" s="60"/>
      <c r="DMY2462" s="60"/>
      <c r="DMZ2462" s="60"/>
      <c r="DNA2462" s="63"/>
      <c r="DNB2462" s="61"/>
      <c r="DNC2462" s="54"/>
      <c r="DND2462" s="54"/>
      <c r="DNE2462" s="63"/>
      <c r="DNF2462" s="60"/>
      <c r="DNG2462" s="60"/>
      <c r="DNH2462" s="60"/>
      <c r="DNI2462" s="63"/>
      <c r="DNJ2462" s="61"/>
      <c r="DNK2462" s="54"/>
      <c r="DNL2462" s="54"/>
      <c r="DNM2462" s="63"/>
      <c r="DNN2462" s="60"/>
      <c r="DNO2462" s="60"/>
      <c r="DNP2462" s="60"/>
      <c r="DNQ2462" s="63"/>
      <c r="DNR2462" s="61"/>
      <c r="DNS2462" s="54"/>
      <c r="DNT2462" s="54"/>
      <c r="DNU2462" s="63"/>
      <c r="DNV2462" s="60"/>
      <c r="DNW2462" s="60"/>
      <c r="DNX2462" s="60"/>
      <c r="DNY2462" s="63"/>
      <c r="DNZ2462" s="61"/>
      <c r="DOA2462" s="54"/>
      <c r="DOB2462" s="54"/>
      <c r="DOC2462" s="63"/>
      <c r="DOD2462" s="60"/>
      <c r="DOE2462" s="60"/>
      <c r="DOF2462" s="60"/>
      <c r="DOG2462" s="63"/>
      <c r="DOH2462" s="61"/>
      <c r="DOI2462" s="54"/>
      <c r="DOJ2462" s="54"/>
      <c r="DOK2462" s="63"/>
      <c r="DOL2462" s="60"/>
      <c r="DOM2462" s="60"/>
      <c r="DON2462" s="60"/>
      <c r="DOO2462" s="63"/>
      <c r="DOP2462" s="61"/>
      <c r="DOQ2462" s="54"/>
      <c r="DOR2462" s="54"/>
      <c r="DOS2462" s="63"/>
      <c r="DOT2462" s="60"/>
      <c r="DOU2462" s="60"/>
      <c r="DOV2462" s="60"/>
      <c r="DOW2462" s="63"/>
      <c r="DOX2462" s="61"/>
      <c r="DOY2462" s="54"/>
      <c r="DOZ2462" s="54"/>
      <c r="DPA2462" s="63"/>
      <c r="DPB2462" s="60"/>
      <c r="DPC2462" s="60"/>
      <c r="DPD2462" s="60"/>
      <c r="DPE2462" s="63"/>
      <c r="DPF2462" s="61"/>
      <c r="DPG2462" s="54"/>
      <c r="DPH2462" s="54"/>
      <c r="DPI2462" s="63"/>
      <c r="DPJ2462" s="60"/>
      <c r="DPK2462" s="60"/>
      <c r="DPL2462" s="60"/>
      <c r="DPM2462" s="63"/>
      <c r="DPN2462" s="61"/>
      <c r="DPO2462" s="54"/>
      <c r="DPP2462" s="54"/>
      <c r="DPQ2462" s="63"/>
      <c r="DPR2462" s="60"/>
      <c r="DPS2462" s="60"/>
      <c r="DPT2462" s="60"/>
      <c r="DPU2462" s="63"/>
      <c r="DPV2462" s="61"/>
      <c r="DPW2462" s="54"/>
      <c r="DPX2462" s="54"/>
      <c r="DPY2462" s="63"/>
      <c r="DPZ2462" s="60"/>
      <c r="DQA2462" s="60"/>
      <c r="DQB2462" s="60"/>
      <c r="DQC2462" s="63"/>
      <c r="DQD2462" s="61"/>
      <c r="DQE2462" s="54"/>
      <c r="DQF2462" s="54"/>
      <c r="DQG2462" s="63"/>
      <c r="DQH2462" s="60"/>
      <c r="DQI2462" s="60"/>
      <c r="DQJ2462" s="60"/>
      <c r="DQK2462" s="63"/>
      <c r="DQL2462" s="61"/>
      <c r="DQM2462" s="54"/>
      <c r="DQN2462" s="54"/>
      <c r="DQO2462" s="63"/>
      <c r="DQP2462" s="60"/>
      <c r="DQQ2462" s="60"/>
      <c r="DQR2462" s="60"/>
      <c r="DQS2462" s="63"/>
      <c r="DQT2462" s="61"/>
      <c r="DQU2462" s="54"/>
      <c r="DQV2462" s="54"/>
      <c r="DQW2462" s="63"/>
      <c r="DQX2462" s="60"/>
      <c r="DQY2462" s="60"/>
      <c r="DQZ2462" s="60"/>
      <c r="DRA2462" s="63"/>
      <c r="DRB2462" s="61"/>
      <c r="DRC2462" s="54"/>
      <c r="DRD2462" s="54"/>
      <c r="DRE2462" s="63"/>
      <c r="DRF2462" s="60"/>
      <c r="DRG2462" s="60"/>
      <c r="DRH2462" s="60"/>
      <c r="DRI2462" s="63"/>
      <c r="DRJ2462" s="61"/>
      <c r="DRK2462" s="54"/>
      <c r="DRL2462" s="54"/>
      <c r="DRM2462" s="63"/>
      <c r="DRN2462" s="60"/>
      <c r="DRO2462" s="60"/>
      <c r="DRP2462" s="60"/>
      <c r="DRQ2462" s="63"/>
      <c r="DRR2462" s="61"/>
      <c r="DRS2462" s="54"/>
      <c r="DRT2462" s="54"/>
      <c r="DRU2462" s="63"/>
      <c r="DRV2462" s="60"/>
      <c r="DRW2462" s="60"/>
      <c r="DRX2462" s="60"/>
      <c r="DRY2462" s="63"/>
      <c r="DRZ2462" s="61"/>
      <c r="DSA2462" s="54"/>
      <c r="DSB2462" s="54"/>
      <c r="DSC2462" s="63"/>
      <c r="DSD2462" s="60"/>
      <c r="DSE2462" s="60"/>
      <c r="DSF2462" s="60"/>
      <c r="DSG2462" s="63"/>
      <c r="DSH2462" s="61"/>
      <c r="DSI2462" s="54"/>
      <c r="DSJ2462" s="54"/>
      <c r="DSK2462" s="63"/>
      <c r="DSL2462" s="60"/>
      <c r="DSM2462" s="60"/>
      <c r="DSN2462" s="60"/>
      <c r="DSO2462" s="63"/>
      <c r="DSP2462" s="61"/>
      <c r="DSQ2462" s="54"/>
      <c r="DSR2462" s="54"/>
      <c r="DSS2462" s="63"/>
      <c r="DST2462" s="60"/>
      <c r="DSU2462" s="60"/>
      <c r="DSV2462" s="60"/>
      <c r="DSW2462" s="63"/>
      <c r="DSX2462" s="61"/>
      <c r="DSY2462" s="54"/>
      <c r="DSZ2462" s="54"/>
      <c r="DTA2462" s="63"/>
      <c r="DTB2462" s="60"/>
      <c r="DTC2462" s="60"/>
      <c r="DTD2462" s="60"/>
      <c r="DTE2462" s="63"/>
      <c r="DTF2462" s="61"/>
      <c r="DTG2462" s="54"/>
      <c r="DTH2462" s="54"/>
      <c r="DTI2462" s="63"/>
      <c r="DTJ2462" s="60"/>
      <c r="DTK2462" s="60"/>
      <c r="DTL2462" s="60"/>
      <c r="DTM2462" s="63"/>
      <c r="DTN2462" s="61"/>
      <c r="DTO2462" s="54"/>
      <c r="DTP2462" s="54"/>
      <c r="DTQ2462" s="63"/>
      <c r="DTR2462" s="60"/>
      <c r="DTS2462" s="60"/>
      <c r="DTT2462" s="60"/>
      <c r="DTU2462" s="63"/>
      <c r="DTV2462" s="61"/>
      <c r="DTW2462" s="54"/>
      <c r="DTX2462" s="54"/>
      <c r="DTY2462" s="63"/>
      <c r="DTZ2462" s="60"/>
      <c r="DUA2462" s="60"/>
      <c r="DUB2462" s="60"/>
      <c r="DUC2462" s="63"/>
      <c r="DUD2462" s="61"/>
      <c r="DUE2462" s="54"/>
      <c r="DUF2462" s="54"/>
      <c r="DUG2462" s="63"/>
      <c r="DUH2462" s="60"/>
      <c r="DUI2462" s="60"/>
      <c r="DUJ2462" s="60"/>
      <c r="DUK2462" s="63"/>
      <c r="DUL2462" s="61"/>
      <c r="DUM2462" s="54"/>
      <c r="DUN2462" s="54"/>
      <c r="DUO2462" s="63"/>
      <c r="DUP2462" s="60"/>
      <c r="DUQ2462" s="60"/>
      <c r="DUR2462" s="60"/>
      <c r="DUS2462" s="63"/>
      <c r="DUT2462" s="61"/>
      <c r="DUU2462" s="54"/>
      <c r="DUV2462" s="54"/>
      <c r="DUW2462" s="63"/>
      <c r="DUX2462" s="60"/>
      <c r="DUY2462" s="60"/>
      <c r="DUZ2462" s="60"/>
      <c r="DVA2462" s="63"/>
      <c r="DVB2462" s="61"/>
      <c r="DVC2462" s="54"/>
      <c r="DVD2462" s="54"/>
      <c r="DVE2462" s="63"/>
      <c r="DVF2462" s="60"/>
      <c r="DVG2462" s="60"/>
      <c r="DVH2462" s="60"/>
      <c r="DVI2462" s="63"/>
      <c r="DVJ2462" s="61"/>
      <c r="DVK2462" s="54"/>
      <c r="DVL2462" s="54"/>
      <c r="DVM2462" s="63"/>
      <c r="DVN2462" s="60"/>
      <c r="DVO2462" s="60"/>
      <c r="DVP2462" s="60"/>
      <c r="DVQ2462" s="63"/>
      <c r="DVR2462" s="61"/>
      <c r="DVS2462" s="54"/>
      <c r="DVT2462" s="54"/>
      <c r="DVU2462" s="63"/>
      <c r="DVV2462" s="60"/>
      <c r="DVW2462" s="60"/>
      <c r="DVX2462" s="60"/>
      <c r="DVY2462" s="63"/>
      <c r="DVZ2462" s="61"/>
      <c r="DWA2462" s="54"/>
      <c r="DWB2462" s="54"/>
      <c r="DWC2462" s="63"/>
      <c r="DWD2462" s="60"/>
      <c r="DWE2462" s="60"/>
      <c r="DWF2462" s="60"/>
      <c r="DWG2462" s="63"/>
      <c r="DWH2462" s="61"/>
      <c r="DWI2462" s="54"/>
      <c r="DWJ2462" s="54"/>
      <c r="DWK2462" s="63"/>
      <c r="DWL2462" s="60"/>
      <c r="DWM2462" s="60"/>
      <c r="DWN2462" s="60"/>
      <c r="DWO2462" s="63"/>
      <c r="DWP2462" s="61"/>
      <c r="DWQ2462" s="54"/>
      <c r="DWR2462" s="54"/>
      <c r="DWS2462" s="63"/>
      <c r="DWT2462" s="60"/>
      <c r="DWU2462" s="60"/>
      <c r="DWV2462" s="60"/>
      <c r="DWW2462" s="63"/>
      <c r="DWX2462" s="61"/>
      <c r="DWY2462" s="54"/>
      <c r="DWZ2462" s="54"/>
      <c r="DXA2462" s="63"/>
      <c r="DXB2462" s="60"/>
      <c r="DXC2462" s="60"/>
      <c r="DXD2462" s="60"/>
      <c r="DXE2462" s="63"/>
      <c r="DXF2462" s="61"/>
      <c r="DXG2462" s="54"/>
      <c r="DXH2462" s="54"/>
      <c r="DXI2462" s="63"/>
      <c r="DXJ2462" s="60"/>
      <c r="DXK2462" s="60"/>
      <c r="DXL2462" s="60"/>
      <c r="DXM2462" s="63"/>
      <c r="DXN2462" s="61"/>
      <c r="DXO2462" s="54"/>
      <c r="DXP2462" s="54"/>
      <c r="DXQ2462" s="63"/>
      <c r="DXR2462" s="60"/>
      <c r="DXS2462" s="60"/>
      <c r="DXT2462" s="60"/>
      <c r="DXU2462" s="63"/>
      <c r="DXV2462" s="61"/>
      <c r="DXW2462" s="54"/>
      <c r="DXX2462" s="54"/>
      <c r="DXY2462" s="63"/>
      <c r="DXZ2462" s="60"/>
      <c r="DYA2462" s="60"/>
      <c r="DYB2462" s="60"/>
      <c r="DYC2462" s="63"/>
      <c r="DYD2462" s="61"/>
      <c r="DYE2462" s="54"/>
      <c r="DYF2462" s="54"/>
      <c r="DYG2462" s="63"/>
      <c r="DYH2462" s="60"/>
      <c r="DYI2462" s="60"/>
      <c r="DYJ2462" s="60"/>
      <c r="DYK2462" s="63"/>
      <c r="DYL2462" s="61"/>
      <c r="DYM2462" s="54"/>
      <c r="DYN2462" s="54"/>
      <c r="DYO2462" s="63"/>
      <c r="DYP2462" s="60"/>
      <c r="DYQ2462" s="60"/>
      <c r="DYR2462" s="60"/>
      <c r="DYS2462" s="63"/>
      <c r="DYT2462" s="61"/>
      <c r="DYU2462" s="54"/>
      <c r="DYV2462" s="54"/>
      <c r="DYW2462" s="63"/>
      <c r="DYX2462" s="60"/>
      <c r="DYY2462" s="60"/>
      <c r="DYZ2462" s="60"/>
      <c r="DZA2462" s="63"/>
      <c r="DZB2462" s="61"/>
      <c r="DZC2462" s="54"/>
      <c r="DZD2462" s="54"/>
      <c r="DZE2462" s="63"/>
      <c r="DZF2462" s="60"/>
      <c r="DZG2462" s="60"/>
      <c r="DZH2462" s="60"/>
      <c r="DZI2462" s="63"/>
      <c r="DZJ2462" s="61"/>
      <c r="DZK2462" s="54"/>
      <c r="DZL2462" s="54"/>
      <c r="DZM2462" s="63"/>
      <c r="DZN2462" s="60"/>
      <c r="DZO2462" s="60"/>
      <c r="DZP2462" s="60"/>
      <c r="DZQ2462" s="63"/>
      <c r="DZR2462" s="61"/>
      <c r="DZS2462" s="54"/>
      <c r="DZT2462" s="54"/>
      <c r="DZU2462" s="63"/>
      <c r="DZV2462" s="60"/>
      <c r="DZW2462" s="60"/>
      <c r="DZX2462" s="60"/>
      <c r="DZY2462" s="63"/>
      <c r="DZZ2462" s="61"/>
      <c r="EAA2462" s="54"/>
      <c r="EAB2462" s="54"/>
      <c r="EAC2462" s="63"/>
      <c r="EAD2462" s="60"/>
      <c r="EAE2462" s="60"/>
      <c r="EAF2462" s="60"/>
      <c r="EAG2462" s="63"/>
      <c r="EAH2462" s="61"/>
      <c r="EAI2462" s="54"/>
      <c r="EAJ2462" s="54"/>
      <c r="EAK2462" s="63"/>
      <c r="EAL2462" s="60"/>
      <c r="EAM2462" s="60"/>
      <c r="EAN2462" s="60"/>
      <c r="EAO2462" s="63"/>
      <c r="EAP2462" s="61"/>
      <c r="EAQ2462" s="54"/>
      <c r="EAR2462" s="54"/>
      <c r="EAS2462" s="63"/>
      <c r="EAT2462" s="60"/>
      <c r="EAU2462" s="60"/>
      <c r="EAV2462" s="60"/>
      <c r="EAW2462" s="63"/>
      <c r="EAX2462" s="61"/>
      <c r="EAY2462" s="54"/>
      <c r="EAZ2462" s="54"/>
      <c r="EBA2462" s="63"/>
      <c r="EBB2462" s="60"/>
      <c r="EBC2462" s="60"/>
      <c r="EBD2462" s="60"/>
      <c r="EBE2462" s="63"/>
      <c r="EBF2462" s="61"/>
      <c r="EBG2462" s="54"/>
      <c r="EBH2462" s="54"/>
      <c r="EBI2462" s="63"/>
      <c r="EBJ2462" s="60"/>
      <c r="EBK2462" s="60"/>
      <c r="EBL2462" s="60"/>
      <c r="EBM2462" s="63"/>
      <c r="EBN2462" s="61"/>
      <c r="EBO2462" s="54"/>
      <c r="EBP2462" s="54"/>
      <c r="EBQ2462" s="63"/>
      <c r="EBR2462" s="60"/>
      <c r="EBS2462" s="60"/>
      <c r="EBT2462" s="60"/>
      <c r="EBU2462" s="63"/>
      <c r="EBV2462" s="61"/>
      <c r="EBW2462" s="54"/>
      <c r="EBX2462" s="54"/>
      <c r="EBY2462" s="63"/>
      <c r="EBZ2462" s="60"/>
      <c r="ECA2462" s="60"/>
      <c r="ECB2462" s="60"/>
      <c r="ECC2462" s="63"/>
      <c r="ECD2462" s="61"/>
      <c r="ECE2462" s="54"/>
      <c r="ECF2462" s="54"/>
      <c r="ECG2462" s="63"/>
      <c r="ECH2462" s="60"/>
      <c r="ECI2462" s="60"/>
      <c r="ECJ2462" s="60"/>
      <c r="ECK2462" s="63"/>
      <c r="ECL2462" s="61"/>
      <c r="ECM2462" s="54"/>
      <c r="ECN2462" s="54"/>
      <c r="ECO2462" s="63"/>
      <c r="ECP2462" s="60"/>
      <c r="ECQ2462" s="60"/>
      <c r="ECR2462" s="60"/>
      <c r="ECS2462" s="63"/>
      <c r="ECT2462" s="61"/>
      <c r="ECU2462" s="54"/>
      <c r="ECV2462" s="54"/>
      <c r="ECW2462" s="63"/>
      <c r="ECX2462" s="60"/>
      <c r="ECY2462" s="60"/>
      <c r="ECZ2462" s="60"/>
      <c r="EDA2462" s="63"/>
      <c r="EDB2462" s="61"/>
      <c r="EDC2462" s="54"/>
      <c r="EDD2462" s="54"/>
      <c r="EDE2462" s="63"/>
      <c r="EDF2462" s="60"/>
      <c r="EDG2462" s="60"/>
      <c r="EDH2462" s="60"/>
      <c r="EDI2462" s="63"/>
      <c r="EDJ2462" s="61"/>
      <c r="EDK2462" s="54"/>
      <c r="EDL2462" s="54"/>
      <c r="EDM2462" s="63"/>
      <c r="EDN2462" s="60"/>
      <c r="EDO2462" s="60"/>
      <c r="EDP2462" s="60"/>
      <c r="EDQ2462" s="63"/>
      <c r="EDR2462" s="61"/>
      <c r="EDS2462" s="54"/>
      <c r="EDT2462" s="54"/>
      <c r="EDU2462" s="63"/>
      <c r="EDV2462" s="60"/>
      <c r="EDW2462" s="60"/>
      <c r="EDX2462" s="60"/>
      <c r="EDY2462" s="63"/>
      <c r="EDZ2462" s="61"/>
      <c r="EEA2462" s="54"/>
      <c r="EEB2462" s="54"/>
      <c r="EEC2462" s="63"/>
      <c r="EED2462" s="60"/>
      <c r="EEE2462" s="60"/>
      <c r="EEF2462" s="60"/>
      <c r="EEG2462" s="63"/>
      <c r="EEH2462" s="61"/>
      <c r="EEI2462" s="54"/>
      <c r="EEJ2462" s="54"/>
      <c r="EEK2462" s="63"/>
      <c r="EEL2462" s="60"/>
      <c r="EEM2462" s="60"/>
      <c r="EEN2462" s="60"/>
      <c r="EEO2462" s="63"/>
      <c r="EEP2462" s="61"/>
      <c r="EEQ2462" s="54"/>
      <c r="EER2462" s="54"/>
      <c r="EES2462" s="63"/>
      <c r="EET2462" s="60"/>
      <c r="EEU2462" s="60"/>
      <c r="EEV2462" s="60"/>
      <c r="EEW2462" s="63"/>
      <c r="EEX2462" s="61"/>
      <c r="EEY2462" s="54"/>
      <c r="EEZ2462" s="54"/>
      <c r="EFA2462" s="63"/>
      <c r="EFB2462" s="60"/>
      <c r="EFC2462" s="60"/>
      <c r="EFD2462" s="60"/>
      <c r="EFE2462" s="63"/>
      <c r="EFF2462" s="61"/>
      <c r="EFG2462" s="54"/>
      <c r="EFH2462" s="54"/>
      <c r="EFI2462" s="63"/>
      <c r="EFJ2462" s="60"/>
      <c r="EFK2462" s="60"/>
      <c r="EFL2462" s="60"/>
      <c r="EFM2462" s="63"/>
      <c r="EFN2462" s="61"/>
      <c r="EFO2462" s="54"/>
      <c r="EFP2462" s="54"/>
      <c r="EFQ2462" s="63"/>
      <c r="EFR2462" s="60"/>
      <c r="EFS2462" s="60"/>
      <c r="EFT2462" s="60"/>
      <c r="EFU2462" s="63"/>
      <c r="EFV2462" s="61"/>
      <c r="EFW2462" s="54"/>
      <c r="EFX2462" s="54"/>
      <c r="EFY2462" s="63"/>
      <c r="EFZ2462" s="60"/>
      <c r="EGA2462" s="60"/>
      <c r="EGB2462" s="60"/>
      <c r="EGC2462" s="63"/>
      <c r="EGD2462" s="61"/>
      <c r="EGE2462" s="54"/>
      <c r="EGF2462" s="54"/>
      <c r="EGG2462" s="63"/>
      <c r="EGH2462" s="60"/>
      <c r="EGI2462" s="60"/>
      <c r="EGJ2462" s="60"/>
      <c r="EGK2462" s="63"/>
      <c r="EGL2462" s="61"/>
      <c r="EGM2462" s="54"/>
      <c r="EGN2462" s="54"/>
      <c r="EGO2462" s="63"/>
      <c r="EGP2462" s="60"/>
      <c r="EGQ2462" s="60"/>
      <c r="EGR2462" s="60"/>
      <c r="EGS2462" s="63"/>
      <c r="EGT2462" s="61"/>
      <c r="EGU2462" s="54"/>
      <c r="EGV2462" s="54"/>
      <c r="EGW2462" s="63"/>
      <c r="EGX2462" s="60"/>
      <c r="EGY2462" s="60"/>
      <c r="EGZ2462" s="60"/>
      <c r="EHA2462" s="63"/>
      <c r="EHB2462" s="61"/>
      <c r="EHC2462" s="54"/>
      <c r="EHD2462" s="54"/>
      <c r="EHE2462" s="63"/>
      <c r="EHF2462" s="60"/>
      <c r="EHG2462" s="60"/>
      <c r="EHH2462" s="60"/>
      <c r="EHI2462" s="63"/>
      <c r="EHJ2462" s="61"/>
      <c r="EHK2462" s="54"/>
      <c r="EHL2462" s="54"/>
      <c r="EHM2462" s="63"/>
      <c r="EHN2462" s="60"/>
      <c r="EHO2462" s="60"/>
      <c r="EHP2462" s="60"/>
      <c r="EHQ2462" s="63"/>
      <c r="EHR2462" s="61"/>
      <c r="EHS2462" s="54"/>
      <c r="EHT2462" s="54"/>
      <c r="EHU2462" s="63"/>
      <c r="EHV2462" s="60"/>
      <c r="EHW2462" s="60"/>
      <c r="EHX2462" s="60"/>
      <c r="EHY2462" s="63"/>
      <c r="EHZ2462" s="61"/>
      <c r="EIA2462" s="54"/>
      <c r="EIB2462" s="54"/>
      <c r="EIC2462" s="63"/>
      <c r="EID2462" s="60"/>
      <c r="EIE2462" s="60"/>
      <c r="EIF2462" s="60"/>
      <c r="EIG2462" s="63"/>
      <c r="EIH2462" s="61"/>
      <c r="EII2462" s="54"/>
      <c r="EIJ2462" s="54"/>
      <c r="EIK2462" s="63"/>
      <c r="EIL2462" s="60"/>
      <c r="EIM2462" s="60"/>
      <c r="EIN2462" s="60"/>
      <c r="EIO2462" s="63"/>
      <c r="EIP2462" s="61"/>
      <c r="EIQ2462" s="54"/>
      <c r="EIR2462" s="54"/>
      <c r="EIS2462" s="63"/>
      <c r="EIT2462" s="60"/>
      <c r="EIU2462" s="60"/>
      <c r="EIV2462" s="60"/>
      <c r="EIW2462" s="63"/>
      <c r="EIX2462" s="61"/>
      <c r="EIY2462" s="54"/>
      <c r="EIZ2462" s="54"/>
      <c r="EJA2462" s="63"/>
      <c r="EJB2462" s="60"/>
      <c r="EJC2462" s="60"/>
      <c r="EJD2462" s="60"/>
      <c r="EJE2462" s="63"/>
      <c r="EJF2462" s="61"/>
      <c r="EJG2462" s="54"/>
      <c r="EJH2462" s="54"/>
      <c r="EJI2462" s="63"/>
      <c r="EJJ2462" s="60"/>
      <c r="EJK2462" s="60"/>
      <c r="EJL2462" s="60"/>
      <c r="EJM2462" s="63"/>
      <c r="EJN2462" s="61"/>
      <c r="EJO2462" s="54"/>
      <c r="EJP2462" s="54"/>
      <c r="EJQ2462" s="63"/>
      <c r="EJR2462" s="60"/>
      <c r="EJS2462" s="60"/>
      <c r="EJT2462" s="60"/>
      <c r="EJU2462" s="63"/>
      <c r="EJV2462" s="61"/>
      <c r="EJW2462" s="54"/>
      <c r="EJX2462" s="54"/>
      <c r="EJY2462" s="63"/>
      <c r="EJZ2462" s="60"/>
      <c r="EKA2462" s="60"/>
      <c r="EKB2462" s="60"/>
      <c r="EKC2462" s="63"/>
      <c r="EKD2462" s="61"/>
      <c r="EKE2462" s="54"/>
      <c r="EKF2462" s="54"/>
      <c r="EKG2462" s="63"/>
      <c r="EKH2462" s="60"/>
      <c r="EKI2462" s="60"/>
      <c r="EKJ2462" s="60"/>
      <c r="EKK2462" s="63"/>
      <c r="EKL2462" s="61"/>
      <c r="EKM2462" s="54"/>
      <c r="EKN2462" s="54"/>
      <c r="EKO2462" s="63"/>
      <c r="EKP2462" s="60"/>
      <c r="EKQ2462" s="60"/>
      <c r="EKR2462" s="60"/>
      <c r="EKS2462" s="63"/>
      <c r="EKT2462" s="61"/>
      <c r="EKU2462" s="54"/>
      <c r="EKV2462" s="54"/>
      <c r="EKW2462" s="63"/>
      <c r="EKX2462" s="60"/>
      <c r="EKY2462" s="60"/>
      <c r="EKZ2462" s="60"/>
      <c r="ELA2462" s="63"/>
      <c r="ELB2462" s="61"/>
      <c r="ELC2462" s="54"/>
      <c r="ELD2462" s="54"/>
      <c r="ELE2462" s="63"/>
      <c r="ELF2462" s="60"/>
      <c r="ELG2462" s="60"/>
      <c r="ELH2462" s="60"/>
      <c r="ELI2462" s="63"/>
      <c r="ELJ2462" s="61"/>
      <c r="ELK2462" s="54"/>
      <c r="ELL2462" s="54"/>
      <c r="ELM2462" s="63"/>
      <c r="ELN2462" s="60"/>
      <c r="ELO2462" s="60"/>
      <c r="ELP2462" s="60"/>
      <c r="ELQ2462" s="63"/>
      <c r="ELR2462" s="61"/>
      <c r="ELS2462" s="54"/>
      <c r="ELT2462" s="54"/>
      <c r="ELU2462" s="63"/>
      <c r="ELV2462" s="60"/>
      <c r="ELW2462" s="60"/>
      <c r="ELX2462" s="60"/>
      <c r="ELY2462" s="63"/>
      <c r="ELZ2462" s="61"/>
      <c r="EMA2462" s="54"/>
      <c r="EMB2462" s="54"/>
      <c r="EMC2462" s="63"/>
      <c r="EMD2462" s="60"/>
      <c r="EME2462" s="60"/>
      <c r="EMF2462" s="60"/>
      <c r="EMG2462" s="63"/>
      <c r="EMH2462" s="61"/>
      <c r="EMI2462" s="54"/>
      <c r="EMJ2462" s="54"/>
      <c r="EMK2462" s="63"/>
      <c r="EML2462" s="60"/>
      <c r="EMM2462" s="60"/>
      <c r="EMN2462" s="60"/>
      <c r="EMO2462" s="63"/>
      <c r="EMP2462" s="61"/>
      <c r="EMQ2462" s="54"/>
      <c r="EMR2462" s="54"/>
      <c r="EMS2462" s="63"/>
      <c r="EMT2462" s="60"/>
      <c r="EMU2462" s="60"/>
      <c r="EMV2462" s="60"/>
      <c r="EMW2462" s="63"/>
      <c r="EMX2462" s="61"/>
      <c r="EMY2462" s="54"/>
      <c r="EMZ2462" s="54"/>
      <c r="ENA2462" s="63"/>
      <c r="ENB2462" s="60"/>
      <c r="ENC2462" s="60"/>
      <c r="END2462" s="60"/>
      <c r="ENE2462" s="63"/>
      <c r="ENF2462" s="61"/>
      <c r="ENG2462" s="54"/>
      <c r="ENH2462" s="54"/>
      <c r="ENI2462" s="63"/>
      <c r="ENJ2462" s="60"/>
      <c r="ENK2462" s="60"/>
      <c r="ENL2462" s="60"/>
      <c r="ENM2462" s="63"/>
      <c r="ENN2462" s="61"/>
      <c r="ENO2462" s="54"/>
      <c r="ENP2462" s="54"/>
      <c r="ENQ2462" s="63"/>
      <c r="ENR2462" s="60"/>
      <c r="ENS2462" s="60"/>
      <c r="ENT2462" s="60"/>
      <c r="ENU2462" s="63"/>
      <c r="ENV2462" s="61"/>
      <c r="ENW2462" s="54"/>
      <c r="ENX2462" s="54"/>
      <c r="ENY2462" s="63"/>
      <c r="ENZ2462" s="60"/>
      <c r="EOA2462" s="60"/>
      <c r="EOB2462" s="60"/>
      <c r="EOC2462" s="63"/>
      <c r="EOD2462" s="61"/>
      <c r="EOE2462" s="54"/>
      <c r="EOF2462" s="54"/>
      <c r="EOG2462" s="63"/>
      <c r="EOH2462" s="60"/>
      <c r="EOI2462" s="60"/>
      <c r="EOJ2462" s="60"/>
      <c r="EOK2462" s="63"/>
      <c r="EOL2462" s="61"/>
      <c r="EOM2462" s="54"/>
      <c r="EON2462" s="54"/>
      <c r="EOO2462" s="63"/>
      <c r="EOP2462" s="60"/>
      <c r="EOQ2462" s="60"/>
      <c r="EOR2462" s="60"/>
      <c r="EOS2462" s="63"/>
      <c r="EOT2462" s="61"/>
      <c r="EOU2462" s="54"/>
      <c r="EOV2462" s="54"/>
      <c r="EOW2462" s="63"/>
      <c r="EOX2462" s="60"/>
      <c r="EOY2462" s="60"/>
      <c r="EOZ2462" s="60"/>
      <c r="EPA2462" s="63"/>
      <c r="EPB2462" s="61"/>
      <c r="EPC2462" s="54"/>
      <c r="EPD2462" s="54"/>
      <c r="EPE2462" s="63"/>
      <c r="EPF2462" s="60"/>
      <c r="EPG2462" s="60"/>
      <c r="EPH2462" s="60"/>
      <c r="EPI2462" s="63"/>
      <c r="EPJ2462" s="61"/>
      <c r="EPK2462" s="54"/>
      <c r="EPL2462" s="54"/>
      <c r="EPM2462" s="63"/>
      <c r="EPN2462" s="60"/>
      <c r="EPO2462" s="60"/>
      <c r="EPP2462" s="60"/>
      <c r="EPQ2462" s="63"/>
      <c r="EPR2462" s="61"/>
      <c r="EPS2462" s="54"/>
      <c r="EPT2462" s="54"/>
      <c r="EPU2462" s="63"/>
      <c r="EPV2462" s="60"/>
      <c r="EPW2462" s="60"/>
      <c r="EPX2462" s="60"/>
      <c r="EPY2462" s="63"/>
      <c r="EPZ2462" s="61"/>
      <c r="EQA2462" s="54"/>
      <c r="EQB2462" s="54"/>
      <c r="EQC2462" s="63"/>
      <c r="EQD2462" s="60"/>
      <c r="EQE2462" s="60"/>
      <c r="EQF2462" s="60"/>
      <c r="EQG2462" s="63"/>
      <c r="EQH2462" s="61"/>
      <c r="EQI2462" s="54"/>
      <c r="EQJ2462" s="54"/>
      <c r="EQK2462" s="63"/>
      <c r="EQL2462" s="60"/>
      <c r="EQM2462" s="60"/>
      <c r="EQN2462" s="60"/>
      <c r="EQO2462" s="63"/>
      <c r="EQP2462" s="61"/>
      <c r="EQQ2462" s="54"/>
      <c r="EQR2462" s="54"/>
      <c r="EQS2462" s="63"/>
      <c r="EQT2462" s="60"/>
      <c r="EQU2462" s="60"/>
      <c r="EQV2462" s="60"/>
      <c r="EQW2462" s="63"/>
      <c r="EQX2462" s="61"/>
      <c r="EQY2462" s="54"/>
      <c r="EQZ2462" s="54"/>
      <c r="ERA2462" s="63"/>
      <c r="ERB2462" s="60"/>
      <c r="ERC2462" s="60"/>
      <c r="ERD2462" s="60"/>
      <c r="ERE2462" s="63"/>
      <c r="ERF2462" s="61"/>
      <c r="ERG2462" s="54"/>
      <c r="ERH2462" s="54"/>
      <c r="ERI2462" s="63"/>
      <c r="ERJ2462" s="60"/>
      <c r="ERK2462" s="60"/>
      <c r="ERL2462" s="60"/>
      <c r="ERM2462" s="63"/>
      <c r="ERN2462" s="61"/>
      <c r="ERO2462" s="54"/>
      <c r="ERP2462" s="54"/>
      <c r="ERQ2462" s="63"/>
      <c r="ERR2462" s="60"/>
      <c r="ERS2462" s="60"/>
      <c r="ERT2462" s="60"/>
      <c r="ERU2462" s="63"/>
      <c r="ERV2462" s="61"/>
      <c r="ERW2462" s="54"/>
      <c r="ERX2462" s="54"/>
      <c r="ERY2462" s="63"/>
      <c r="ERZ2462" s="60"/>
      <c r="ESA2462" s="60"/>
      <c r="ESB2462" s="60"/>
      <c r="ESC2462" s="63"/>
      <c r="ESD2462" s="61"/>
      <c r="ESE2462" s="54"/>
      <c r="ESF2462" s="54"/>
      <c r="ESG2462" s="63"/>
      <c r="ESH2462" s="60"/>
      <c r="ESI2462" s="60"/>
      <c r="ESJ2462" s="60"/>
      <c r="ESK2462" s="63"/>
      <c r="ESL2462" s="61"/>
      <c r="ESM2462" s="54"/>
      <c r="ESN2462" s="54"/>
      <c r="ESO2462" s="63"/>
      <c r="ESP2462" s="60"/>
      <c r="ESQ2462" s="60"/>
      <c r="ESR2462" s="60"/>
      <c r="ESS2462" s="63"/>
      <c r="EST2462" s="61"/>
      <c r="ESU2462" s="54"/>
      <c r="ESV2462" s="54"/>
      <c r="ESW2462" s="63"/>
      <c r="ESX2462" s="60"/>
      <c r="ESY2462" s="60"/>
      <c r="ESZ2462" s="60"/>
      <c r="ETA2462" s="63"/>
      <c r="ETB2462" s="61"/>
      <c r="ETC2462" s="54"/>
      <c r="ETD2462" s="54"/>
      <c r="ETE2462" s="63"/>
      <c r="ETF2462" s="60"/>
      <c r="ETG2462" s="60"/>
      <c r="ETH2462" s="60"/>
      <c r="ETI2462" s="63"/>
      <c r="ETJ2462" s="61"/>
      <c r="ETK2462" s="54"/>
      <c r="ETL2462" s="54"/>
      <c r="ETM2462" s="63"/>
      <c r="ETN2462" s="60"/>
      <c r="ETO2462" s="60"/>
      <c r="ETP2462" s="60"/>
      <c r="ETQ2462" s="63"/>
      <c r="ETR2462" s="61"/>
      <c r="ETS2462" s="54"/>
      <c r="ETT2462" s="54"/>
      <c r="ETU2462" s="63"/>
      <c r="ETV2462" s="60"/>
      <c r="ETW2462" s="60"/>
      <c r="ETX2462" s="60"/>
      <c r="ETY2462" s="63"/>
      <c r="ETZ2462" s="61"/>
      <c r="EUA2462" s="54"/>
      <c r="EUB2462" s="54"/>
      <c r="EUC2462" s="63"/>
      <c r="EUD2462" s="60"/>
      <c r="EUE2462" s="60"/>
      <c r="EUF2462" s="60"/>
      <c r="EUG2462" s="63"/>
      <c r="EUH2462" s="61"/>
      <c r="EUI2462" s="54"/>
      <c r="EUJ2462" s="54"/>
      <c r="EUK2462" s="63"/>
      <c r="EUL2462" s="60"/>
      <c r="EUM2462" s="60"/>
      <c r="EUN2462" s="60"/>
      <c r="EUO2462" s="63"/>
      <c r="EUP2462" s="61"/>
      <c r="EUQ2462" s="54"/>
      <c r="EUR2462" s="54"/>
      <c r="EUS2462" s="63"/>
      <c r="EUT2462" s="60"/>
      <c r="EUU2462" s="60"/>
      <c r="EUV2462" s="60"/>
      <c r="EUW2462" s="63"/>
      <c r="EUX2462" s="61"/>
      <c r="EUY2462" s="54"/>
      <c r="EUZ2462" s="54"/>
      <c r="EVA2462" s="63"/>
      <c r="EVB2462" s="60"/>
      <c r="EVC2462" s="60"/>
      <c r="EVD2462" s="60"/>
      <c r="EVE2462" s="63"/>
      <c r="EVF2462" s="61"/>
      <c r="EVG2462" s="54"/>
      <c r="EVH2462" s="54"/>
      <c r="EVI2462" s="63"/>
      <c r="EVJ2462" s="60"/>
      <c r="EVK2462" s="60"/>
      <c r="EVL2462" s="60"/>
      <c r="EVM2462" s="63"/>
      <c r="EVN2462" s="61"/>
      <c r="EVO2462" s="54"/>
      <c r="EVP2462" s="54"/>
      <c r="EVQ2462" s="63"/>
      <c r="EVR2462" s="60"/>
      <c r="EVS2462" s="60"/>
      <c r="EVT2462" s="60"/>
      <c r="EVU2462" s="63"/>
      <c r="EVV2462" s="61"/>
      <c r="EVW2462" s="54"/>
      <c r="EVX2462" s="54"/>
      <c r="EVY2462" s="63"/>
      <c r="EVZ2462" s="60"/>
      <c r="EWA2462" s="60"/>
      <c r="EWB2462" s="60"/>
      <c r="EWC2462" s="63"/>
      <c r="EWD2462" s="61"/>
      <c r="EWE2462" s="54"/>
      <c r="EWF2462" s="54"/>
      <c r="EWG2462" s="63"/>
      <c r="EWH2462" s="60"/>
      <c r="EWI2462" s="60"/>
      <c r="EWJ2462" s="60"/>
      <c r="EWK2462" s="63"/>
      <c r="EWL2462" s="61"/>
      <c r="EWM2462" s="54"/>
      <c r="EWN2462" s="54"/>
      <c r="EWO2462" s="63"/>
      <c r="EWP2462" s="60"/>
      <c r="EWQ2462" s="60"/>
      <c r="EWR2462" s="60"/>
      <c r="EWS2462" s="63"/>
      <c r="EWT2462" s="61"/>
      <c r="EWU2462" s="54"/>
      <c r="EWV2462" s="54"/>
      <c r="EWW2462" s="63"/>
      <c r="EWX2462" s="60"/>
      <c r="EWY2462" s="60"/>
      <c r="EWZ2462" s="60"/>
      <c r="EXA2462" s="63"/>
      <c r="EXB2462" s="61"/>
      <c r="EXC2462" s="54"/>
      <c r="EXD2462" s="54"/>
      <c r="EXE2462" s="63"/>
      <c r="EXF2462" s="60"/>
      <c r="EXG2462" s="60"/>
      <c r="EXH2462" s="60"/>
      <c r="EXI2462" s="63"/>
      <c r="EXJ2462" s="61"/>
      <c r="EXK2462" s="54"/>
      <c r="EXL2462" s="54"/>
      <c r="EXM2462" s="63"/>
      <c r="EXN2462" s="60"/>
      <c r="EXO2462" s="60"/>
      <c r="EXP2462" s="60"/>
      <c r="EXQ2462" s="63"/>
      <c r="EXR2462" s="61"/>
      <c r="EXS2462" s="54"/>
      <c r="EXT2462" s="54"/>
      <c r="EXU2462" s="63"/>
      <c r="EXV2462" s="60"/>
      <c r="EXW2462" s="60"/>
      <c r="EXX2462" s="60"/>
      <c r="EXY2462" s="63"/>
      <c r="EXZ2462" s="61"/>
      <c r="EYA2462" s="54"/>
      <c r="EYB2462" s="54"/>
      <c r="EYC2462" s="63"/>
      <c r="EYD2462" s="60"/>
      <c r="EYE2462" s="60"/>
      <c r="EYF2462" s="60"/>
      <c r="EYG2462" s="63"/>
      <c r="EYH2462" s="61"/>
      <c r="EYI2462" s="54"/>
      <c r="EYJ2462" s="54"/>
      <c r="EYK2462" s="63"/>
      <c r="EYL2462" s="60"/>
      <c r="EYM2462" s="60"/>
      <c r="EYN2462" s="60"/>
      <c r="EYO2462" s="63"/>
      <c r="EYP2462" s="61"/>
      <c r="EYQ2462" s="54"/>
      <c r="EYR2462" s="54"/>
      <c r="EYS2462" s="63"/>
      <c r="EYT2462" s="60"/>
      <c r="EYU2462" s="60"/>
      <c r="EYV2462" s="60"/>
      <c r="EYW2462" s="63"/>
      <c r="EYX2462" s="61"/>
      <c r="EYY2462" s="54"/>
      <c r="EYZ2462" s="54"/>
      <c r="EZA2462" s="63"/>
      <c r="EZB2462" s="60"/>
      <c r="EZC2462" s="60"/>
      <c r="EZD2462" s="60"/>
      <c r="EZE2462" s="63"/>
      <c r="EZF2462" s="61"/>
      <c r="EZG2462" s="54"/>
      <c r="EZH2462" s="54"/>
      <c r="EZI2462" s="63"/>
      <c r="EZJ2462" s="60"/>
      <c r="EZK2462" s="60"/>
      <c r="EZL2462" s="60"/>
      <c r="EZM2462" s="63"/>
      <c r="EZN2462" s="61"/>
      <c r="EZO2462" s="54"/>
      <c r="EZP2462" s="54"/>
      <c r="EZQ2462" s="63"/>
      <c r="EZR2462" s="60"/>
      <c r="EZS2462" s="60"/>
      <c r="EZT2462" s="60"/>
      <c r="EZU2462" s="63"/>
      <c r="EZV2462" s="61"/>
      <c r="EZW2462" s="54"/>
      <c r="EZX2462" s="54"/>
      <c r="EZY2462" s="63"/>
      <c r="EZZ2462" s="60"/>
      <c r="FAA2462" s="60"/>
      <c r="FAB2462" s="60"/>
      <c r="FAC2462" s="63"/>
      <c r="FAD2462" s="61"/>
      <c r="FAE2462" s="54"/>
      <c r="FAF2462" s="54"/>
      <c r="FAG2462" s="63"/>
      <c r="FAH2462" s="60"/>
      <c r="FAI2462" s="60"/>
      <c r="FAJ2462" s="60"/>
      <c r="FAK2462" s="63"/>
      <c r="FAL2462" s="61"/>
      <c r="FAM2462" s="54"/>
      <c r="FAN2462" s="54"/>
      <c r="FAO2462" s="63"/>
      <c r="FAP2462" s="60"/>
      <c r="FAQ2462" s="60"/>
      <c r="FAR2462" s="60"/>
      <c r="FAS2462" s="63"/>
      <c r="FAT2462" s="61"/>
      <c r="FAU2462" s="54"/>
      <c r="FAV2462" s="54"/>
      <c r="FAW2462" s="63"/>
      <c r="FAX2462" s="60"/>
      <c r="FAY2462" s="60"/>
      <c r="FAZ2462" s="60"/>
      <c r="FBA2462" s="63"/>
      <c r="FBB2462" s="61"/>
      <c r="FBC2462" s="54"/>
      <c r="FBD2462" s="54"/>
      <c r="FBE2462" s="63"/>
      <c r="FBF2462" s="60"/>
      <c r="FBG2462" s="60"/>
      <c r="FBH2462" s="60"/>
      <c r="FBI2462" s="63"/>
      <c r="FBJ2462" s="61"/>
      <c r="FBK2462" s="54"/>
      <c r="FBL2462" s="54"/>
      <c r="FBM2462" s="63"/>
      <c r="FBN2462" s="60"/>
      <c r="FBO2462" s="60"/>
      <c r="FBP2462" s="60"/>
      <c r="FBQ2462" s="63"/>
      <c r="FBR2462" s="61"/>
      <c r="FBS2462" s="54"/>
      <c r="FBT2462" s="54"/>
      <c r="FBU2462" s="63"/>
      <c r="FBV2462" s="60"/>
      <c r="FBW2462" s="60"/>
      <c r="FBX2462" s="60"/>
      <c r="FBY2462" s="63"/>
      <c r="FBZ2462" s="61"/>
      <c r="FCA2462" s="54"/>
      <c r="FCB2462" s="54"/>
      <c r="FCC2462" s="63"/>
      <c r="FCD2462" s="60"/>
      <c r="FCE2462" s="60"/>
      <c r="FCF2462" s="60"/>
      <c r="FCG2462" s="63"/>
      <c r="FCH2462" s="61"/>
      <c r="FCI2462" s="54"/>
      <c r="FCJ2462" s="54"/>
      <c r="FCK2462" s="63"/>
      <c r="FCL2462" s="60"/>
      <c r="FCM2462" s="60"/>
      <c r="FCN2462" s="60"/>
      <c r="FCO2462" s="63"/>
      <c r="FCP2462" s="61"/>
      <c r="FCQ2462" s="54"/>
      <c r="FCR2462" s="54"/>
      <c r="FCS2462" s="63"/>
      <c r="FCT2462" s="60"/>
      <c r="FCU2462" s="60"/>
      <c r="FCV2462" s="60"/>
      <c r="FCW2462" s="63"/>
      <c r="FCX2462" s="61"/>
      <c r="FCY2462" s="54"/>
      <c r="FCZ2462" s="54"/>
      <c r="FDA2462" s="63"/>
      <c r="FDB2462" s="60"/>
      <c r="FDC2462" s="60"/>
      <c r="FDD2462" s="60"/>
      <c r="FDE2462" s="63"/>
      <c r="FDF2462" s="61"/>
      <c r="FDG2462" s="54"/>
      <c r="FDH2462" s="54"/>
      <c r="FDI2462" s="63"/>
      <c r="FDJ2462" s="60"/>
      <c r="FDK2462" s="60"/>
      <c r="FDL2462" s="60"/>
      <c r="FDM2462" s="63"/>
      <c r="FDN2462" s="61"/>
      <c r="FDO2462" s="54"/>
      <c r="FDP2462" s="54"/>
      <c r="FDQ2462" s="63"/>
      <c r="FDR2462" s="60"/>
      <c r="FDS2462" s="60"/>
      <c r="FDT2462" s="60"/>
      <c r="FDU2462" s="63"/>
      <c r="FDV2462" s="61"/>
      <c r="FDW2462" s="54"/>
      <c r="FDX2462" s="54"/>
      <c r="FDY2462" s="63"/>
      <c r="FDZ2462" s="60"/>
      <c r="FEA2462" s="60"/>
      <c r="FEB2462" s="60"/>
      <c r="FEC2462" s="63"/>
      <c r="FED2462" s="61"/>
      <c r="FEE2462" s="54"/>
      <c r="FEF2462" s="54"/>
      <c r="FEG2462" s="63"/>
      <c r="FEH2462" s="60"/>
      <c r="FEI2462" s="60"/>
      <c r="FEJ2462" s="60"/>
      <c r="FEK2462" s="63"/>
      <c r="FEL2462" s="61"/>
      <c r="FEM2462" s="54"/>
      <c r="FEN2462" s="54"/>
      <c r="FEO2462" s="63"/>
      <c r="FEP2462" s="60"/>
      <c r="FEQ2462" s="60"/>
      <c r="FER2462" s="60"/>
      <c r="FES2462" s="63"/>
      <c r="FET2462" s="61"/>
      <c r="FEU2462" s="54"/>
      <c r="FEV2462" s="54"/>
      <c r="FEW2462" s="63"/>
      <c r="FEX2462" s="60"/>
      <c r="FEY2462" s="60"/>
      <c r="FEZ2462" s="60"/>
      <c r="FFA2462" s="63"/>
      <c r="FFB2462" s="61"/>
      <c r="FFC2462" s="54"/>
      <c r="FFD2462" s="54"/>
      <c r="FFE2462" s="63"/>
      <c r="FFF2462" s="60"/>
      <c r="FFG2462" s="60"/>
      <c r="FFH2462" s="60"/>
      <c r="FFI2462" s="63"/>
      <c r="FFJ2462" s="61"/>
      <c r="FFK2462" s="54"/>
      <c r="FFL2462" s="54"/>
      <c r="FFM2462" s="63"/>
      <c r="FFN2462" s="60"/>
      <c r="FFO2462" s="60"/>
      <c r="FFP2462" s="60"/>
      <c r="FFQ2462" s="63"/>
      <c r="FFR2462" s="61"/>
      <c r="FFS2462" s="54"/>
      <c r="FFT2462" s="54"/>
      <c r="FFU2462" s="63"/>
      <c r="FFV2462" s="60"/>
      <c r="FFW2462" s="60"/>
      <c r="FFX2462" s="60"/>
      <c r="FFY2462" s="63"/>
      <c r="FFZ2462" s="61"/>
      <c r="FGA2462" s="54"/>
      <c r="FGB2462" s="54"/>
      <c r="FGC2462" s="63"/>
      <c r="FGD2462" s="60"/>
      <c r="FGE2462" s="60"/>
      <c r="FGF2462" s="60"/>
      <c r="FGG2462" s="63"/>
      <c r="FGH2462" s="61"/>
      <c r="FGI2462" s="54"/>
      <c r="FGJ2462" s="54"/>
      <c r="FGK2462" s="63"/>
      <c r="FGL2462" s="60"/>
      <c r="FGM2462" s="60"/>
      <c r="FGN2462" s="60"/>
      <c r="FGO2462" s="63"/>
      <c r="FGP2462" s="61"/>
      <c r="FGQ2462" s="54"/>
      <c r="FGR2462" s="54"/>
      <c r="FGS2462" s="63"/>
      <c r="FGT2462" s="60"/>
      <c r="FGU2462" s="60"/>
      <c r="FGV2462" s="60"/>
      <c r="FGW2462" s="63"/>
      <c r="FGX2462" s="61"/>
      <c r="FGY2462" s="54"/>
      <c r="FGZ2462" s="54"/>
      <c r="FHA2462" s="63"/>
      <c r="FHB2462" s="60"/>
      <c r="FHC2462" s="60"/>
      <c r="FHD2462" s="60"/>
      <c r="FHE2462" s="63"/>
      <c r="FHF2462" s="61"/>
      <c r="FHG2462" s="54"/>
      <c r="FHH2462" s="54"/>
      <c r="FHI2462" s="63"/>
      <c r="FHJ2462" s="60"/>
      <c r="FHK2462" s="60"/>
      <c r="FHL2462" s="60"/>
      <c r="FHM2462" s="63"/>
      <c r="FHN2462" s="61"/>
      <c r="FHO2462" s="54"/>
      <c r="FHP2462" s="54"/>
      <c r="FHQ2462" s="63"/>
      <c r="FHR2462" s="60"/>
      <c r="FHS2462" s="60"/>
      <c r="FHT2462" s="60"/>
      <c r="FHU2462" s="63"/>
      <c r="FHV2462" s="61"/>
      <c r="FHW2462" s="54"/>
      <c r="FHX2462" s="54"/>
      <c r="FHY2462" s="63"/>
      <c r="FHZ2462" s="60"/>
      <c r="FIA2462" s="60"/>
      <c r="FIB2462" s="60"/>
      <c r="FIC2462" s="63"/>
      <c r="FID2462" s="61"/>
      <c r="FIE2462" s="54"/>
      <c r="FIF2462" s="54"/>
      <c r="FIG2462" s="63"/>
      <c r="FIH2462" s="60"/>
      <c r="FII2462" s="60"/>
      <c r="FIJ2462" s="60"/>
      <c r="FIK2462" s="63"/>
      <c r="FIL2462" s="61"/>
      <c r="FIM2462" s="54"/>
      <c r="FIN2462" s="54"/>
      <c r="FIO2462" s="63"/>
      <c r="FIP2462" s="60"/>
      <c r="FIQ2462" s="60"/>
      <c r="FIR2462" s="60"/>
      <c r="FIS2462" s="63"/>
      <c r="FIT2462" s="61"/>
      <c r="FIU2462" s="54"/>
      <c r="FIV2462" s="54"/>
      <c r="FIW2462" s="63"/>
      <c r="FIX2462" s="60"/>
      <c r="FIY2462" s="60"/>
      <c r="FIZ2462" s="60"/>
      <c r="FJA2462" s="63"/>
      <c r="FJB2462" s="61"/>
      <c r="FJC2462" s="54"/>
      <c r="FJD2462" s="54"/>
      <c r="FJE2462" s="63"/>
      <c r="FJF2462" s="60"/>
      <c r="FJG2462" s="60"/>
      <c r="FJH2462" s="60"/>
      <c r="FJI2462" s="63"/>
      <c r="FJJ2462" s="61"/>
      <c r="FJK2462" s="54"/>
      <c r="FJL2462" s="54"/>
      <c r="FJM2462" s="63"/>
      <c r="FJN2462" s="60"/>
      <c r="FJO2462" s="60"/>
      <c r="FJP2462" s="60"/>
      <c r="FJQ2462" s="63"/>
      <c r="FJR2462" s="61"/>
      <c r="FJS2462" s="54"/>
      <c r="FJT2462" s="54"/>
      <c r="FJU2462" s="63"/>
      <c r="FJV2462" s="60"/>
      <c r="FJW2462" s="60"/>
      <c r="FJX2462" s="60"/>
      <c r="FJY2462" s="63"/>
      <c r="FJZ2462" s="61"/>
      <c r="FKA2462" s="54"/>
      <c r="FKB2462" s="54"/>
      <c r="FKC2462" s="63"/>
      <c r="FKD2462" s="60"/>
      <c r="FKE2462" s="60"/>
      <c r="FKF2462" s="60"/>
      <c r="FKG2462" s="63"/>
      <c r="FKH2462" s="61"/>
      <c r="FKI2462" s="54"/>
      <c r="FKJ2462" s="54"/>
      <c r="FKK2462" s="63"/>
      <c r="FKL2462" s="60"/>
      <c r="FKM2462" s="60"/>
      <c r="FKN2462" s="60"/>
      <c r="FKO2462" s="63"/>
      <c r="FKP2462" s="61"/>
      <c r="FKQ2462" s="54"/>
      <c r="FKR2462" s="54"/>
      <c r="FKS2462" s="63"/>
      <c r="FKT2462" s="60"/>
      <c r="FKU2462" s="60"/>
      <c r="FKV2462" s="60"/>
      <c r="FKW2462" s="63"/>
      <c r="FKX2462" s="61"/>
      <c r="FKY2462" s="54"/>
      <c r="FKZ2462" s="54"/>
      <c r="FLA2462" s="63"/>
      <c r="FLB2462" s="60"/>
      <c r="FLC2462" s="60"/>
      <c r="FLD2462" s="60"/>
      <c r="FLE2462" s="63"/>
      <c r="FLF2462" s="61"/>
      <c r="FLG2462" s="54"/>
      <c r="FLH2462" s="54"/>
      <c r="FLI2462" s="63"/>
      <c r="FLJ2462" s="60"/>
      <c r="FLK2462" s="60"/>
      <c r="FLL2462" s="60"/>
      <c r="FLM2462" s="63"/>
      <c r="FLN2462" s="61"/>
      <c r="FLO2462" s="54"/>
      <c r="FLP2462" s="54"/>
      <c r="FLQ2462" s="63"/>
      <c r="FLR2462" s="60"/>
      <c r="FLS2462" s="60"/>
      <c r="FLT2462" s="60"/>
      <c r="FLU2462" s="63"/>
      <c r="FLV2462" s="61"/>
      <c r="FLW2462" s="54"/>
      <c r="FLX2462" s="54"/>
      <c r="FLY2462" s="63"/>
      <c r="FLZ2462" s="60"/>
      <c r="FMA2462" s="60"/>
      <c r="FMB2462" s="60"/>
      <c r="FMC2462" s="63"/>
      <c r="FMD2462" s="61"/>
      <c r="FME2462" s="54"/>
      <c r="FMF2462" s="54"/>
      <c r="FMG2462" s="63"/>
      <c r="FMH2462" s="60"/>
      <c r="FMI2462" s="60"/>
      <c r="FMJ2462" s="60"/>
      <c r="FMK2462" s="63"/>
      <c r="FML2462" s="61"/>
      <c r="FMM2462" s="54"/>
      <c r="FMN2462" s="54"/>
      <c r="FMO2462" s="63"/>
      <c r="FMP2462" s="60"/>
      <c r="FMQ2462" s="60"/>
      <c r="FMR2462" s="60"/>
      <c r="FMS2462" s="63"/>
      <c r="FMT2462" s="61"/>
      <c r="FMU2462" s="54"/>
      <c r="FMV2462" s="54"/>
      <c r="FMW2462" s="63"/>
      <c r="FMX2462" s="60"/>
      <c r="FMY2462" s="60"/>
      <c r="FMZ2462" s="60"/>
      <c r="FNA2462" s="63"/>
      <c r="FNB2462" s="61"/>
      <c r="FNC2462" s="54"/>
      <c r="FND2462" s="54"/>
      <c r="FNE2462" s="63"/>
      <c r="FNF2462" s="60"/>
      <c r="FNG2462" s="60"/>
      <c r="FNH2462" s="60"/>
      <c r="FNI2462" s="63"/>
      <c r="FNJ2462" s="61"/>
      <c r="FNK2462" s="54"/>
      <c r="FNL2462" s="54"/>
      <c r="FNM2462" s="63"/>
      <c r="FNN2462" s="60"/>
      <c r="FNO2462" s="60"/>
      <c r="FNP2462" s="60"/>
      <c r="FNQ2462" s="63"/>
      <c r="FNR2462" s="61"/>
      <c r="FNS2462" s="54"/>
      <c r="FNT2462" s="54"/>
      <c r="FNU2462" s="63"/>
      <c r="FNV2462" s="60"/>
      <c r="FNW2462" s="60"/>
      <c r="FNX2462" s="60"/>
      <c r="FNY2462" s="63"/>
      <c r="FNZ2462" s="61"/>
      <c r="FOA2462" s="54"/>
      <c r="FOB2462" s="54"/>
      <c r="FOC2462" s="63"/>
      <c r="FOD2462" s="60"/>
      <c r="FOE2462" s="60"/>
      <c r="FOF2462" s="60"/>
      <c r="FOG2462" s="63"/>
      <c r="FOH2462" s="61"/>
      <c r="FOI2462" s="54"/>
      <c r="FOJ2462" s="54"/>
      <c r="FOK2462" s="63"/>
      <c r="FOL2462" s="60"/>
      <c r="FOM2462" s="60"/>
      <c r="FON2462" s="60"/>
      <c r="FOO2462" s="63"/>
      <c r="FOP2462" s="61"/>
      <c r="FOQ2462" s="54"/>
      <c r="FOR2462" s="54"/>
      <c r="FOS2462" s="63"/>
      <c r="FOT2462" s="60"/>
      <c r="FOU2462" s="60"/>
      <c r="FOV2462" s="60"/>
      <c r="FOW2462" s="63"/>
      <c r="FOX2462" s="61"/>
      <c r="FOY2462" s="54"/>
      <c r="FOZ2462" s="54"/>
      <c r="FPA2462" s="63"/>
      <c r="FPB2462" s="60"/>
      <c r="FPC2462" s="60"/>
      <c r="FPD2462" s="60"/>
      <c r="FPE2462" s="63"/>
      <c r="FPF2462" s="61"/>
      <c r="FPG2462" s="54"/>
      <c r="FPH2462" s="54"/>
      <c r="FPI2462" s="63"/>
      <c r="FPJ2462" s="60"/>
      <c r="FPK2462" s="60"/>
      <c r="FPL2462" s="60"/>
      <c r="FPM2462" s="63"/>
      <c r="FPN2462" s="61"/>
      <c r="FPO2462" s="54"/>
      <c r="FPP2462" s="54"/>
      <c r="FPQ2462" s="63"/>
      <c r="FPR2462" s="60"/>
      <c r="FPS2462" s="60"/>
      <c r="FPT2462" s="60"/>
      <c r="FPU2462" s="63"/>
      <c r="FPV2462" s="61"/>
      <c r="FPW2462" s="54"/>
      <c r="FPX2462" s="54"/>
      <c r="FPY2462" s="63"/>
      <c r="FPZ2462" s="60"/>
      <c r="FQA2462" s="60"/>
      <c r="FQB2462" s="60"/>
      <c r="FQC2462" s="63"/>
      <c r="FQD2462" s="61"/>
      <c r="FQE2462" s="54"/>
      <c r="FQF2462" s="54"/>
      <c r="FQG2462" s="63"/>
      <c r="FQH2462" s="60"/>
      <c r="FQI2462" s="60"/>
      <c r="FQJ2462" s="60"/>
      <c r="FQK2462" s="63"/>
      <c r="FQL2462" s="61"/>
      <c r="FQM2462" s="54"/>
      <c r="FQN2462" s="54"/>
      <c r="FQO2462" s="63"/>
      <c r="FQP2462" s="60"/>
      <c r="FQQ2462" s="60"/>
      <c r="FQR2462" s="60"/>
      <c r="FQS2462" s="63"/>
      <c r="FQT2462" s="61"/>
      <c r="FQU2462" s="54"/>
      <c r="FQV2462" s="54"/>
      <c r="FQW2462" s="63"/>
      <c r="FQX2462" s="60"/>
      <c r="FQY2462" s="60"/>
      <c r="FQZ2462" s="60"/>
      <c r="FRA2462" s="63"/>
      <c r="FRB2462" s="61"/>
      <c r="FRC2462" s="54"/>
      <c r="FRD2462" s="54"/>
      <c r="FRE2462" s="63"/>
      <c r="FRF2462" s="60"/>
      <c r="FRG2462" s="60"/>
      <c r="FRH2462" s="60"/>
      <c r="FRI2462" s="63"/>
      <c r="FRJ2462" s="61"/>
      <c r="FRK2462" s="54"/>
      <c r="FRL2462" s="54"/>
      <c r="FRM2462" s="63"/>
      <c r="FRN2462" s="60"/>
      <c r="FRO2462" s="60"/>
      <c r="FRP2462" s="60"/>
      <c r="FRQ2462" s="63"/>
      <c r="FRR2462" s="61"/>
      <c r="FRS2462" s="54"/>
      <c r="FRT2462" s="54"/>
      <c r="FRU2462" s="63"/>
      <c r="FRV2462" s="60"/>
      <c r="FRW2462" s="60"/>
      <c r="FRX2462" s="60"/>
      <c r="FRY2462" s="63"/>
      <c r="FRZ2462" s="61"/>
      <c r="FSA2462" s="54"/>
      <c r="FSB2462" s="54"/>
      <c r="FSC2462" s="63"/>
      <c r="FSD2462" s="60"/>
      <c r="FSE2462" s="60"/>
      <c r="FSF2462" s="60"/>
      <c r="FSG2462" s="63"/>
      <c r="FSH2462" s="61"/>
      <c r="FSI2462" s="54"/>
      <c r="FSJ2462" s="54"/>
      <c r="FSK2462" s="63"/>
      <c r="FSL2462" s="60"/>
      <c r="FSM2462" s="60"/>
      <c r="FSN2462" s="60"/>
      <c r="FSO2462" s="63"/>
      <c r="FSP2462" s="61"/>
      <c r="FSQ2462" s="54"/>
      <c r="FSR2462" s="54"/>
      <c r="FSS2462" s="63"/>
      <c r="FST2462" s="60"/>
      <c r="FSU2462" s="60"/>
      <c r="FSV2462" s="60"/>
      <c r="FSW2462" s="63"/>
      <c r="FSX2462" s="61"/>
      <c r="FSY2462" s="54"/>
      <c r="FSZ2462" s="54"/>
      <c r="FTA2462" s="63"/>
      <c r="FTB2462" s="60"/>
      <c r="FTC2462" s="60"/>
      <c r="FTD2462" s="60"/>
      <c r="FTE2462" s="63"/>
      <c r="FTF2462" s="61"/>
      <c r="FTG2462" s="54"/>
      <c r="FTH2462" s="54"/>
      <c r="FTI2462" s="63"/>
      <c r="FTJ2462" s="60"/>
      <c r="FTK2462" s="60"/>
      <c r="FTL2462" s="60"/>
      <c r="FTM2462" s="63"/>
      <c r="FTN2462" s="61"/>
      <c r="FTO2462" s="54"/>
      <c r="FTP2462" s="54"/>
      <c r="FTQ2462" s="63"/>
      <c r="FTR2462" s="60"/>
      <c r="FTS2462" s="60"/>
      <c r="FTT2462" s="60"/>
      <c r="FTU2462" s="63"/>
      <c r="FTV2462" s="61"/>
      <c r="FTW2462" s="54"/>
      <c r="FTX2462" s="54"/>
      <c r="FTY2462" s="63"/>
      <c r="FTZ2462" s="60"/>
      <c r="FUA2462" s="60"/>
      <c r="FUB2462" s="60"/>
      <c r="FUC2462" s="63"/>
      <c r="FUD2462" s="61"/>
      <c r="FUE2462" s="54"/>
      <c r="FUF2462" s="54"/>
      <c r="FUG2462" s="63"/>
      <c r="FUH2462" s="60"/>
      <c r="FUI2462" s="60"/>
      <c r="FUJ2462" s="60"/>
      <c r="FUK2462" s="63"/>
      <c r="FUL2462" s="61"/>
      <c r="FUM2462" s="54"/>
      <c r="FUN2462" s="54"/>
      <c r="FUO2462" s="63"/>
      <c r="FUP2462" s="60"/>
      <c r="FUQ2462" s="60"/>
      <c r="FUR2462" s="60"/>
      <c r="FUS2462" s="63"/>
      <c r="FUT2462" s="61"/>
      <c r="FUU2462" s="54"/>
      <c r="FUV2462" s="54"/>
      <c r="FUW2462" s="63"/>
      <c r="FUX2462" s="60"/>
      <c r="FUY2462" s="60"/>
      <c r="FUZ2462" s="60"/>
      <c r="FVA2462" s="63"/>
      <c r="FVB2462" s="61"/>
      <c r="FVC2462" s="54"/>
      <c r="FVD2462" s="54"/>
      <c r="FVE2462" s="63"/>
      <c r="FVF2462" s="60"/>
      <c r="FVG2462" s="60"/>
      <c r="FVH2462" s="60"/>
      <c r="FVI2462" s="63"/>
      <c r="FVJ2462" s="61"/>
      <c r="FVK2462" s="54"/>
      <c r="FVL2462" s="54"/>
      <c r="FVM2462" s="63"/>
      <c r="FVN2462" s="60"/>
      <c r="FVO2462" s="60"/>
      <c r="FVP2462" s="60"/>
      <c r="FVQ2462" s="63"/>
      <c r="FVR2462" s="61"/>
      <c r="FVS2462" s="54"/>
      <c r="FVT2462" s="54"/>
      <c r="FVU2462" s="63"/>
      <c r="FVV2462" s="60"/>
      <c r="FVW2462" s="60"/>
      <c r="FVX2462" s="60"/>
      <c r="FVY2462" s="63"/>
      <c r="FVZ2462" s="61"/>
      <c r="FWA2462" s="54"/>
      <c r="FWB2462" s="54"/>
      <c r="FWC2462" s="63"/>
      <c r="FWD2462" s="60"/>
      <c r="FWE2462" s="60"/>
      <c r="FWF2462" s="60"/>
      <c r="FWG2462" s="63"/>
      <c r="FWH2462" s="61"/>
      <c r="FWI2462" s="54"/>
      <c r="FWJ2462" s="54"/>
      <c r="FWK2462" s="63"/>
      <c r="FWL2462" s="60"/>
      <c r="FWM2462" s="60"/>
      <c r="FWN2462" s="60"/>
      <c r="FWO2462" s="63"/>
      <c r="FWP2462" s="61"/>
      <c r="FWQ2462" s="54"/>
      <c r="FWR2462" s="54"/>
      <c r="FWS2462" s="63"/>
      <c r="FWT2462" s="60"/>
      <c r="FWU2462" s="60"/>
      <c r="FWV2462" s="60"/>
      <c r="FWW2462" s="63"/>
      <c r="FWX2462" s="61"/>
      <c r="FWY2462" s="54"/>
      <c r="FWZ2462" s="54"/>
      <c r="FXA2462" s="63"/>
      <c r="FXB2462" s="60"/>
      <c r="FXC2462" s="60"/>
      <c r="FXD2462" s="60"/>
      <c r="FXE2462" s="63"/>
      <c r="FXF2462" s="61"/>
      <c r="FXG2462" s="54"/>
      <c r="FXH2462" s="54"/>
      <c r="FXI2462" s="63"/>
      <c r="FXJ2462" s="60"/>
      <c r="FXK2462" s="60"/>
      <c r="FXL2462" s="60"/>
      <c r="FXM2462" s="63"/>
      <c r="FXN2462" s="61"/>
      <c r="FXO2462" s="54"/>
      <c r="FXP2462" s="54"/>
      <c r="FXQ2462" s="63"/>
      <c r="FXR2462" s="60"/>
      <c r="FXS2462" s="60"/>
      <c r="FXT2462" s="60"/>
      <c r="FXU2462" s="63"/>
      <c r="FXV2462" s="61"/>
      <c r="FXW2462" s="54"/>
      <c r="FXX2462" s="54"/>
      <c r="FXY2462" s="63"/>
      <c r="FXZ2462" s="60"/>
      <c r="FYA2462" s="60"/>
      <c r="FYB2462" s="60"/>
      <c r="FYC2462" s="63"/>
      <c r="FYD2462" s="61"/>
      <c r="FYE2462" s="54"/>
      <c r="FYF2462" s="54"/>
      <c r="FYG2462" s="63"/>
      <c r="FYH2462" s="60"/>
      <c r="FYI2462" s="60"/>
      <c r="FYJ2462" s="60"/>
      <c r="FYK2462" s="63"/>
      <c r="FYL2462" s="61"/>
      <c r="FYM2462" s="54"/>
      <c r="FYN2462" s="54"/>
      <c r="FYO2462" s="63"/>
      <c r="FYP2462" s="60"/>
      <c r="FYQ2462" s="60"/>
      <c r="FYR2462" s="60"/>
      <c r="FYS2462" s="63"/>
      <c r="FYT2462" s="61"/>
      <c r="FYU2462" s="54"/>
      <c r="FYV2462" s="54"/>
      <c r="FYW2462" s="63"/>
      <c r="FYX2462" s="60"/>
      <c r="FYY2462" s="60"/>
      <c r="FYZ2462" s="60"/>
      <c r="FZA2462" s="63"/>
      <c r="FZB2462" s="61"/>
      <c r="FZC2462" s="54"/>
      <c r="FZD2462" s="54"/>
      <c r="FZE2462" s="63"/>
      <c r="FZF2462" s="60"/>
      <c r="FZG2462" s="60"/>
      <c r="FZH2462" s="60"/>
      <c r="FZI2462" s="63"/>
      <c r="FZJ2462" s="61"/>
      <c r="FZK2462" s="54"/>
      <c r="FZL2462" s="54"/>
      <c r="FZM2462" s="63"/>
      <c r="FZN2462" s="60"/>
      <c r="FZO2462" s="60"/>
      <c r="FZP2462" s="60"/>
      <c r="FZQ2462" s="63"/>
      <c r="FZR2462" s="61"/>
      <c r="FZS2462" s="54"/>
      <c r="FZT2462" s="54"/>
      <c r="FZU2462" s="63"/>
      <c r="FZV2462" s="60"/>
      <c r="FZW2462" s="60"/>
      <c r="FZX2462" s="60"/>
      <c r="FZY2462" s="63"/>
      <c r="FZZ2462" s="61"/>
      <c r="GAA2462" s="54"/>
      <c r="GAB2462" s="54"/>
      <c r="GAC2462" s="63"/>
      <c r="GAD2462" s="60"/>
      <c r="GAE2462" s="60"/>
      <c r="GAF2462" s="60"/>
      <c r="GAG2462" s="63"/>
      <c r="GAH2462" s="61"/>
      <c r="GAI2462" s="54"/>
      <c r="GAJ2462" s="54"/>
      <c r="GAK2462" s="63"/>
      <c r="GAL2462" s="60"/>
      <c r="GAM2462" s="60"/>
      <c r="GAN2462" s="60"/>
      <c r="GAO2462" s="63"/>
      <c r="GAP2462" s="61"/>
      <c r="GAQ2462" s="54"/>
      <c r="GAR2462" s="54"/>
      <c r="GAS2462" s="63"/>
      <c r="GAT2462" s="60"/>
      <c r="GAU2462" s="60"/>
      <c r="GAV2462" s="60"/>
      <c r="GAW2462" s="63"/>
      <c r="GAX2462" s="61"/>
      <c r="GAY2462" s="54"/>
      <c r="GAZ2462" s="54"/>
      <c r="GBA2462" s="63"/>
      <c r="GBB2462" s="60"/>
      <c r="GBC2462" s="60"/>
      <c r="GBD2462" s="60"/>
      <c r="GBE2462" s="63"/>
      <c r="GBF2462" s="61"/>
      <c r="GBG2462" s="54"/>
      <c r="GBH2462" s="54"/>
      <c r="GBI2462" s="63"/>
      <c r="GBJ2462" s="60"/>
      <c r="GBK2462" s="60"/>
      <c r="GBL2462" s="60"/>
      <c r="GBM2462" s="63"/>
      <c r="GBN2462" s="61"/>
      <c r="GBO2462" s="54"/>
      <c r="GBP2462" s="54"/>
      <c r="GBQ2462" s="63"/>
      <c r="GBR2462" s="60"/>
      <c r="GBS2462" s="60"/>
      <c r="GBT2462" s="60"/>
      <c r="GBU2462" s="63"/>
      <c r="GBV2462" s="61"/>
      <c r="GBW2462" s="54"/>
      <c r="GBX2462" s="54"/>
      <c r="GBY2462" s="63"/>
      <c r="GBZ2462" s="60"/>
      <c r="GCA2462" s="60"/>
      <c r="GCB2462" s="60"/>
      <c r="GCC2462" s="63"/>
      <c r="GCD2462" s="61"/>
      <c r="GCE2462" s="54"/>
      <c r="GCF2462" s="54"/>
      <c r="GCG2462" s="63"/>
      <c r="GCH2462" s="60"/>
      <c r="GCI2462" s="60"/>
      <c r="GCJ2462" s="60"/>
      <c r="GCK2462" s="63"/>
      <c r="GCL2462" s="61"/>
      <c r="GCM2462" s="54"/>
      <c r="GCN2462" s="54"/>
      <c r="GCO2462" s="63"/>
      <c r="GCP2462" s="60"/>
      <c r="GCQ2462" s="60"/>
      <c r="GCR2462" s="60"/>
      <c r="GCS2462" s="63"/>
      <c r="GCT2462" s="61"/>
      <c r="GCU2462" s="54"/>
      <c r="GCV2462" s="54"/>
      <c r="GCW2462" s="63"/>
      <c r="GCX2462" s="60"/>
      <c r="GCY2462" s="60"/>
      <c r="GCZ2462" s="60"/>
      <c r="GDA2462" s="63"/>
      <c r="GDB2462" s="61"/>
      <c r="GDC2462" s="54"/>
      <c r="GDD2462" s="54"/>
      <c r="GDE2462" s="63"/>
      <c r="GDF2462" s="60"/>
      <c r="GDG2462" s="60"/>
      <c r="GDH2462" s="60"/>
      <c r="GDI2462" s="63"/>
      <c r="GDJ2462" s="61"/>
      <c r="GDK2462" s="54"/>
      <c r="GDL2462" s="54"/>
      <c r="GDM2462" s="63"/>
      <c r="GDN2462" s="60"/>
      <c r="GDO2462" s="60"/>
      <c r="GDP2462" s="60"/>
      <c r="GDQ2462" s="63"/>
      <c r="GDR2462" s="61"/>
      <c r="GDS2462" s="54"/>
      <c r="GDT2462" s="54"/>
      <c r="GDU2462" s="63"/>
      <c r="GDV2462" s="60"/>
      <c r="GDW2462" s="60"/>
      <c r="GDX2462" s="60"/>
      <c r="GDY2462" s="63"/>
      <c r="GDZ2462" s="61"/>
      <c r="GEA2462" s="54"/>
      <c r="GEB2462" s="54"/>
      <c r="GEC2462" s="63"/>
      <c r="GED2462" s="60"/>
      <c r="GEE2462" s="60"/>
      <c r="GEF2462" s="60"/>
      <c r="GEG2462" s="63"/>
      <c r="GEH2462" s="61"/>
      <c r="GEI2462" s="54"/>
      <c r="GEJ2462" s="54"/>
      <c r="GEK2462" s="63"/>
      <c r="GEL2462" s="60"/>
      <c r="GEM2462" s="60"/>
      <c r="GEN2462" s="60"/>
      <c r="GEO2462" s="63"/>
      <c r="GEP2462" s="61"/>
      <c r="GEQ2462" s="54"/>
      <c r="GER2462" s="54"/>
      <c r="GES2462" s="63"/>
      <c r="GET2462" s="60"/>
      <c r="GEU2462" s="60"/>
      <c r="GEV2462" s="60"/>
      <c r="GEW2462" s="63"/>
      <c r="GEX2462" s="61"/>
      <c r="GEY2462" s="54"/>
      <c r="GEZ2462" s="54"/>
      <c r="GFA2462" s="63"/>
      <c r="GFB2462" s="60"/>
      <c r="GFC2462" s="60"/>
      <c r="GFD2462" s="60"/>
      <c r="GFE2462" s="63"/>
      <c r="GFF2462" s="61"/>
      <c r="GFG2462" s="54"/>
      <c r="GFH2462" s="54"/>
      <c r="GFI2462" s="63"/>
      <c r="GFJ2462" s="60"/>
      <c r="GFK2462" s="60"/>
      <c r="GFL2462" s="60"/>
      <c r="GFM2462" s="63"/>
      <c r="GFN2462" s="61"/>
      <c r="GFO2462" s="54"/>
      <c r="GFP2462" s="54"/>
      <c r="GFQ2462" s="63"/>
      <c r="GFR2462" s="60"/>
      <c r="GFS2462" s="60"/>
      <c r="GFT2462" s="60"/>
      <c r="GFU2462" s="63"/>
      <c r="GFV2462" s="61"/>
      <c r="GFW2462" s="54"/>
      <c r="GFX2462" s="54"/>
      <c r="GFY2462" s="63"/>
      <c r="GFZ2462" s="60"/>
      <c r="GGA2462" s="60"/>
      <c r="GGB2462" s="60"/>
      <c r="GGC2462" s="63"/>
      <c r="GGD2462" s="61"/>
      <c r="GGE2462" s="54"/>
      <c r="GGF2462" s="54"/>
      <c r="GGG2462" s="63"/>
      <c r="GGH2462" s="60"/>
      <c r="GGI2462" s="60"/>
      <c r="GGJ2462" s="60"/>
      <c r="GGK2462" s="63"/>
      <c r="GGL2462" s="61"/>
      <c r="GGM2462" s="54"/>
      <c r="GGN2462" s="54"/>
      <c r="GGO2462" s="63"/>
      <c r="GGP2462" s="60"/>
      <c r="GGQ2462" s="60"/>
      <c r="GGR2462" s="60"/>
      <c r="GGS2462" s="63"/>
      <c r="GGT2462" s="61"/>
      <c r="GGU2462" s="54"/>
      <c r="GGV2462" s="54"/>
      <c r="GGW2462" s="63"/>
      <c r="GGX2462" s="60"/>
      <c r="GGY2462" s="60"/>
      <c r="GGZ2462" s="60"/>
      <c r="GHA2462" s="63"/>
      <c r="GHB2462" s="61"/>
      <c r="GHC2462" s="54"/>
      <c r="GHD2462" s="54"/>
      <c r="GHE2462" s="63"/>
      <c r="GHF2462" s="60"/>
      <c r="GHG2462" s="60"/>
      <c r="GHH2462" s="60"/>
      <c r="GHI2462" s="63"/>
      <c r="GHJ2462" s="61"/>
      <c r="GHK2462" s="54"/>
      <c r="GHL2462" s="54"/>
      <c r="GHM2462" s="63"/>
      <c r="GHN2462" s="60"/>
      <c r="GHO2462" s="60"/>
      <c r="GHP2462" s="60"/>
      <c r="GHQ2462" s="63"/>
      <c r="GHR2462" s="61"/>
      <c r="GHS2462" s="54"/>
      <c r="GHT2462" s="54"/>
      <c r="GHU2462" s="63"/>
      <c r="GHV2462" s="60"/>
      <c r="GHW2462" s="60"/>
      <c r="GHX2462" s="60"/>
      <c r="GHY2462" s="63"/>
      <c r="GHZ2462" s="61"/>
      <c r="GIA2462" s="54"/>
      <c r="GIB2462" s="54"/>
      <c r="GIC2462" s="63"/>
      <c r="GID2462" s="60"/>
      <c r="GIE2462" s="60"/>
      <c r="GIF2462" s="60"/>
      <c r="GIG2462" s="63"/>
      <c r="GIH2462" s="61"/>
      <c r="GII2462" s="54"/>
      <c r="GIJ2462" s="54"/>
      <c r="GIK2462" s="63"/>
      <c r="GIL2462" s="60"/>
      <c r="GIM2462" s="60"/>
      <c r="GIN2462" s="60"/>
      <c r="GIO2462" s="63"/>
      <c r="GIP2462" s="61"/>
      <c r="GIQ2462" s="54"/>
      <c r="GIR2462" s="54"/>
      <c r="GIS2462" s="63"/>
      <c r="GIT2462" s="60"/>
      <c r="GIU2462" s="60"/>
      <c r="GIV2462" s="60"/>
      <c r="GIW2462" s="63"/>
      <c r="GIX2462" s="61"/>
      <c r="GIY2462" s="54"/>
      <c r="GIZ2462" s="54"/>
      <c r="GJA2462" s="63"/>
      <c r="GJB2462" s="60"/>
      <c r="GJC2462" s="60"/>
      <c r="GJD2462" s="60"/>
      <c r="GJE2462" s="63"/>
      <c r="GJF2462" s="61"/>
      <c r="GJG2462" s="54"/>
      <c r="GJH2462" s="54"/>
      <c r="GJI2462" s="63"/>
      <c r="GJJ2462" s="60"/>
      <c r="GJK2462" s="60"/>
      <c r="GJL2462" s="60"/>
      <c r="GJM2462" s="63"/>
      <c r="GJN2462" s="61"/>
      <c r="GJO2462" s="54"/>
      <c r="GJP2462" s="54"/>
      <c r="GJQ2462" s="63"/>
      <c r="GJR2462" s="60"/>
      <c r="GJS2462" s="60"/>
      <c r="GJT2462" s="60"/>
      <c r="GJU2462" s="63"/>
      <c r="GJV2462" s="61"/>
      <c r="GJW2462" s="54"/>
      <c r="GJX2462" s="54"/>
      <c r="GJY2462" s="63"/>
      <c r="GJZ2462" s="60"/>
      <c r="GKA2462" s="60"/>
      <c r="GKB2462" s="60"/>
      <c r="GKC2462" s="63"/>
      <c r="GKD2462" s="61"/>
      <c r="GKE2462" s="54"/>
      <c r="GKF2462" s="54"/>
      <c r="GKG2462" s="63"/>
      <c r="GKH2462" s="60"/>
      <c r="GKI2462" s="60"/>
      <c r="GKJ2462" s="60"/>
      <c r="GKK2462" s="63"/>
      <c r="GKL2462" s="61"/>
      <c r="GKM2462" s="54"/>
      <c r="GKN2462" s="54"/>
      <c r="GKO2462" s="63"/>
      <c r="GKP2462" s="60"/>
      <c r="GKQ2462" s="60"/>
      <c r="GKR2462" s="60"/>
      <c r="GKS2462" s="63"/>
      <c r="GKT2462" s="61"/>
      <c r="GKU2462" s="54"/>
      <c r="GKV2462" s="54"/>
      <c r="GKW2462" s="63"/>
      <c r="GKX2462" s="60"/>
      <c r="GKY2462" s="60"/>
      <c r="GKZ2462" s="60"/>
      <c r="GLA2462" s="63"/>
      <c r="GLB2462" s="61"/>
      <c r="GLC2462" s="54"/>
      <c r="GLD2462" s="54"/>
      <c r="GLE2462" s="63"/>
      <c r="GLF2462" s="60"/>
      <c r="GLG2462" s="60"/>
      <c r="GLH2462" s="60"/>
      <c r="GLI2462" s="63"/>
      <c r="GLJ2462" s="61"/>
      <c r="GLK2462" s="54"/>
      <c r="GLL2462" s="54"/>
      <c r="GLM2462" s="63"/>
      <c r="GLN2462" s="60"/>
      <c r="GLO2462" s="60"/>
      <c r="GLP2462" s="60"/>
      <c r="GLQ2462" s="63"/>
      <c r="GLR2462" s="61"/>
      <c r="GLS2462" s="54"/>
      <c r="GLT2462" s="54"/>
      <c r="GLU2462" s="63"/>
      <c r="GLV2462" s="60"/>
      <c r="GLW2462" s="60"/>
      <c r="GLX2462" s="60"/>
      <c r="GLY2462" s="63"/>
      <c r="GLZ2462" s="61"/>
      <c r="GMA2462" s="54"/>
      <c r="GMB2462" s="54"/>
      <c r="GMC2462" s="63"/>
      <c r="GMD2462" s="60"/>
      <c r="GME2462" s="60"/>
      <c r="GMF2462" s="60"/>
      <c r="GMG2462" s="63"/>
      <c r="GMH2462" s="61"/>
      <c r="GMI2462" s="54"/>
      <c r="GMJ2462" s="54"/>
      <c r="GMK2462" s="63"/>
      <c r="GML2462" s="60"/>
      <c r="GMM2462" s="60"/>
      <c r="GMN2462" s="60"/>
      <c r="GMO2462" s="63"/>
      <c r="GMP2462" s="61"/>
      <c r="GMQ2462" s="54"/>
      <c r="GMR2462" s="54"/>
      <c r="GMS2462" s="63"/>
      <c r="GMT2462" s="60"/>
      <c r="GMU2462" s="60"/>
      <c r="GMV2462" s="60"/>
      <c r="GMW2462" s="63"/>
      <c r="GMX2462" s="61"/>
      <c r="GMY2462" s="54"/>
      <c r="GMZ2462" s="54"/>
      <c r="GNA2462" s="63"/>
      <c r="GNB2462" s="60"/>
      <c r="GNC2462" s="60"/>
      <c r="GND2462" s="60"/>
      <c r="GNE2462" s="63"/>
      <c r="GNF2462" s="61"/>
      <c r="GNG2462" s="54"/>
      <c r="GNH2462" s="54"/>
      <c r="GNI2462" s="63"/>
      <c r="GNJ2462" s="60"/>
      <c r="GNK2462" s="60"/>
      <c r="GNL2462" s="60"/>
      <c r="GNM2462" s="63"/>
      <c r="GNN2462" s="61"/>
      <c r="GNO2462" s="54"/>
      <c r="GNP2462" s="54"/>
      <c r="GNQ2462" s="63"/>
      <c r="GNR2462" s="60"/>
      <c r="GNS2462" s="60"/>
      <c r="GNT2462" s="60"/>
      <c r="GNU2462" s="63"/>
      <c r="GNV2462" s="61"/>
      <c r="GNW2462" s="54"/>
      <c r="GNX2462" s="54"/>
      <c r="GNY2462" s="63"/>
      <c r="GNZ2462" s="60"/>
      <c r="GOA2462" s="60"/>
      <c r="GOB2462" s="60"/>
      <c r="GOC2462" s="63"/>
      <c r="GOD2462" s="61"/>
      <c r="GOE2462" s="54"/>
      <c r="GOF2462" s="54"/>
      <c r="GOG2462" s="63"/>
      <c r="GOH2462" s="60"/>
      <c r="GOI2462" s="60"/>
      <c r="GOJ2462" s="60"/>
      <c r="GOK2462" s="63"/>
      <c r="GOL2462" s="61"/>
      <c r="GOM2462" s="54"/>
      <c r="GON2462" s="54"/>
      <c r="GOO2462" s="63"/>
      <c r="GOP2462" s="60"/>
      <c r="GOQ2462" s="60"/>
      <c r="GOR2462" s="60"/>
      <c r="GOS2462" s="63"/>
      <c r="GOT2462" s="61"/>
      <c r="GOU2462" s="54"/>
      <c r="GOV2462" s="54"/>
      <c r="GOW2462" s="63"/>
      <c r="GOX2462" s="60"/>
      <c r="GOY2462" s="60"/>
      <c r="GOZ2462" s="60"/>
      <c r="GPA2462" s="63"/>
      <c r="GPB2462" s="61"/>
      <c r="GPC2462" s="54"/>
      <c r="GPD2462" s="54"/>
      <c r="GPE2462" s="63"/>
      <c r="GPF2462" s="60"/>
      <c r="GPG2462" s="60"/>
      <c r="GPH2462" s="60"/>
      <c r="GPI2462" s="63"/>
      <c r="GPJ2462" s="61"/>
      <c r="GPK2462" s="54"/>
      <c r="GPL2462" s="54"/>
      <c r="GPM2462" s="63"/>
      <c r="GPN2462" s="60"/>
      <c r="GPO2462" s="60"/>
      <c r="GPP2462" s="60"/>
      <c r="GPQ2462" s="63"/>
      <c r="GPR2462" s="61"/>
      <c r="GPS2462" s="54"/>
      <c r="GPT2462" s="54"/>
      <c r="GPU2462" s="63"/>
      <c r="GPV2462" s="60"/>
      <c r="GPW2462" s="60"/>
      <c r="GPX2462" s="60"/>
      <c r="GPY2462" s="63"/>
      <c r="GPZ2462" s="61"/>
      <c r="GQA2462" s="54"/>
      <c r="GQB2462" s="54"/>
      <c r="GQC2462" s="63"/>
      <c r="GQD2462" s="60"/>
      <c r="GQE2462" s="60"/>
      <c r="GQF2462" s="60"/>
      <c r="GQG2462" s="63"/>
      <c r="GQH2462" s="61"/>
      <c r="GQI2462" s="54"/>
      <c r="GQJ2462" s="54"/>
      <c r="GQK2462" s="63"/>
      <c r="GQL2462" s="60"/>
      <c r="GQM2462" s="60"/>
      <c r="GQN2462" s="60"/>
      <c r="GQO2462" s="63"/>
      <c r="GQP2462" s="61"/>
      <c r="GQQ2462" s="54"/>
      <c r="GQR2462" s="54"/>
      <c r="GQS2462" s="63"/>
      <c r="GQT2462" s="60"/>
      <c r="GQU2462" s="60"/>
      <c r="GQV2462" s="60"/>
      <c r="GQW2462" s="63"/>
      <c r="GQX2462" s="61"/>
      <c r="GQY2462" s="54"/>
      <c r="GQZ2462" s="54"/>
      <c r="GRA2462" s="63"/>
      <c r="GRB2462" s="60"/>
      <c r="GRC2462" s="60"/>
      <c r="GRD2462" s="60"/>
      <c r="GRE2462" s="63"/>
      <c r="GRF2462" s="61"/>
      <c r="GRG2462" s="54"/>
      <c r="GRH2462" s="54"/>
      <c r="GRI2462" s="63"/>
      <c r="GRJ2462" s="60"/>
      <c r="GRK2462" s="60"/>
      <c r="GRL2462" s="60"/>
      <c r="GRM2462" s="63"/>
      <c r="GRN2462" s="61"/>
      <c r="GRO2462" s="54"/>
      <c r="GRP2462" s="54"/>
      <c r="GRQ2462" s="63"/>
      <c r="GRR2462" s="60"/>
      <c r="GRS2462" s="60"/>
      <c r="GRT2462" s="60"/>
      <c r="GRU2462" s="63"/>
      <c r="GRV2462" s="61"/>
      <c r="GRW2462" s="54"/>
      <c r="GRX2462" s="54"/>
      <c r="GRY2462" s="63"/>
      <c r="GRZ2462" s="60"/>
      <c r="GSA2462" s="60"/>
      <c r="GSB2462" s="60"/>
      <c r="GSC2462" s="63"/>
      <c r="GSD2462" s="61"/>
      <c r="GSE2462" s="54"/>
      <c r="GSF2462" s="54"/>
      <c r="GSG2462" s="63"/>
      <c r="GSH2462" s="60"/>
      <c r="GSI2462" s="60"/>
      <c r="GSJ2462" s="60"/>
      <c r="GSK2462" s="63"/>
      <c r="GSL2462" s="61"/>
      <c r="GSM2462" s="54"/>
      <c r="GSN2462" s="54"/>
      <c r="GSO2462" s="63"/>
      <c r="GSP2462" s="60"/>
      <c r="GSQ2462" s="60"/>
      <c r="GSR2462" s="60"/>
      <c r="GSS2462" s="63"/>
      <c r="GST2462" s="61"/>
      <c r="GSU2462" s="54"/>
      <c r="GSV2462" s="54"/>
      <c r="GSW2462" s="63"/>
      <c r="GSX2462" s="60"/>
      <c r="GSY2462" s="60"/>
      <c r="GSZ2462" s="60"/>
      <c r="GTA2462" s="63"/>
      <c r="GTB2462" s="61"/>
      <c r="GTC2462" s="54"/>
      <c r="GTD2462" s="54"/>
      <c r="GTE2462" s="63"/>
      <c r="GTF2462" s="60"/>
      <c r="GTG2462" s="60"/>
      <c r="GTH2462" s="60"/>
      <c r="GTI2462" s="63"/>
      <c r="GTJ2462" s="61"/>
      <c r="GTK2462" s="54"/>
      <c r="GTL2462" s="54"/>
      <c r="GTM2462" s="63"/>
      <c r="GTN2462" s="60"/>
      <c r="GTO2462" s="60"/>
      <c r="GTP2462" s="60"/>
      <c r="GTQ2462" s="63"/>
      <c r="GTR2462" s="61"/>
      <c r="GTS2462" s="54"/>
      <c r="GTT2462" s="54"/>
      <c r="GTU2462" s="63"/>
      <c r="GTV2462" s="60"/>
      <c r="GTW2462" s="60"/>
      <c r="GTX2462" s="60"/>
      <c r="GTY2462" s="63"/>
      <c r="GTZ2462" s="61"/>
      <c r="GUA2462" s="54"/>
      <c r="GUB2462" s="54"/>
      <c r="GUC2462" s="63"/>
      <c r="GUD2462" s="60"/>
      <c r="GUE2462" s="60"/>
      <c r="GUF2462" s="60"/>
      <c r="GUG2462" s="63"/>
      <c r="GUH2462" s="61"/>
      <c r="GUI2462" s="54"/>
      <c r="GUJ2462" s="54"/>
      <c r="GUK2462" s="63"/>
      <c r="GUL2462" s="60"/>
      <c r="GUM2462" s="60"/>
      <c r="GUN2462" s="60"/>
      <c r="GUO2462" s="63"/>
      <c r="GUP2462" s="61"/>
      <c r="GUQ2462" s="54"/>
      <c r="GUR2462" s="54"/>
      <c r="GUS2462" s="63"/>
      <c r="GUT2462" s="60"/>
      <c r="GUU2462" s="60"/>
      <c r="GUV2462" s="60"/>
      <c r="GUW2462" s="63"/>
      <c r="GUX2462" s="61"/>
      <c r="GUY2462" s="54"/>
      <c r="GUZ2462" s="54"/>
      <c r="GVA2462" s="63"/>
      <c r="GVB2462" s="60"/>
      <c r="GVC2462" s="60"/>
      <c r="GVD2462" s="60"/>
      <c r="GVE2462" s="63"/>
      <c r="GVF2462" s="61"/>
      <c r="GVG2462" s="54"/>
      <c r="GVH2462" s="54"/>
      <c r="GVI2462" s="63"/>
      <c r="GVJ2462" s="60"/>
      <c r="GVK2462" s="60"/>
      <c r="GVL2462" s="60"/>
      <c r="GVM2462" s="63"/>
      <c r="GVN2462" s="61"/>
      <c r="GVO2462" s="54"/>
      <c r="GVP2462" s="54"/>
      <c r="GVQ2462" s="63"/>
      <c r="GVR2462" s="60"/>
      <c r="GVS2462" s="60"/>
      <c r="GVT2462" s="60"/>
      <c r="GVU2462" s="63"/>
      <c r="GVV2462" s="61"/>
      <c r="GVW2462" s="54"/>
      <c r="GVX2462" s="54"/>
      <c r="GVY2462" s="63"/>
      <c r="GVZ2462" s="60"/>
      <c r="GWA2462" s="60"/>
      <c r="GWB2462" s="60"/>
      <c r="GWC2462" s="63"/>
      <c r="GWD2462" s="61"/>
      <c r="GWE2462" s="54"/>
      <c r="GWF2462" s="54"/>
      <c r="GWG2462" s="63"/>
      <c r="GWH2462" s="60"/>
      <c r="GWI2462" s="60"/>
      <c r="GWJ2462" s="60"/>
      <c r="GWK2462" s="63"/>
      <c r="GWL2462" s="61"/>
      <c r="GWM2462" s="54"/>
      <c r="GWN2462" s="54"/>
      <c r="GWO2462" s="63"/>
      <c r="GWP2462" s="60"/>
      <c r="GWQ2462" s="60"/>
      <c r="GWR2462" s="60"/>
      <c r="GWS2462" s="63"/>
      <c r="GWT2462" s="61"/>
      <c r="GWU2462" s="54"/>
      <c r="GWV2462" s="54"/>
      <c r="GWW2462" s="63"/>
      <c r="GWX2462" s="60"/>
      <c r="GWY2462" s="60"/>
      <c r="GWZ2462" s="60"/>
      <c r="GXA2462" s="63"/>
      <c r="GXB2462" s="61"/>
      <c r="GXC2462" s="54"/>
      <c r="GXD2462" s="54"/>
      <c r="GXE2462" s="63"/>
      <c r="GXF2462" s="60"/>
      <c r="GXG2462" s="60"/>
      <c r="GXH2462" s="60"/>
      <c r="GXI2462" s="63"/>
      <c r="GXJ2462" s="61"/>
      <c r="GXK2462" s="54"/>
      <c r="GXL2462" s="54"/>
      <c r="GXM2462" s="63"/>
      <c r="GXN2462" s="60"/>
      <c r="GXO2462" s="60"/>
      <c r="GXP2462" s="60"/>
      <c r="GXQ2462" s="63"/>
      <c r="GXR2462" s="61"/>
      <c r="GXS2462" s="54"/>
      <c r="GXT2462" s="54"/>
      <c r="GXU2462" s="63"/>
      <c r="GXV2462" s="60"/>
      <c r="GXW2462" s="60"/>
      <c r="GXX2462" s="60"/>
      <c r="GXY2462" s="63"/>
      <c r="GXZ2462" s="61"/>
      <c r="GYA2462" s="54"/>
      <c r="GYB2462" s="54"/>
      <c r="GYC2462" s="63"/>
      <c r="GYD2462" s="60"/>
      <c r="GYE2462" s="60"/>
      <c r="GYF2462" s="60"/>
      <c r="GYG2462" s="63"/>
      <c r="GYH2462" s="61"/>
      <c r="GYI2462" s="54"/>
      <c r="GYJ2462" s="54"/>
      <c r="GYK2462" s="63"/>
      <c r="GYL2462" s="60"/>
      <c r="GYM2462" s="60"/>
      <c r="GYN2462" s="60"/>
      <c r="GYO2462" s="63"/>
      <c r="GYP2462" s="61"/>
      <c r="GYQ2462" s="54"/>
      <c r="GYR2462" s="54"/>
      <c r="GYS2462" s="63"/>
      <c r="GYT2462" s="60"/>
      <c r="GYU2462" s="60"/>
      <c r="GYV2462" s="60"/>
      <c r="GYW2462" s="63"/>
      <c r="GYX2462" s="61"/>
      <c r="GYY2462" s="54"/>
      <c r="GYZ2462" s="54"/>
      <c r="GZA2462" s="63"/>
      <c r="GZB2462" s="60"/>
      <c r="GZC2462" s="60"/>
      <c r="GZD2462" s="60"/>
      <c r="GZE2462" s="63"/>
      <c r="GZF2462" s="61"/>
      <c r="GZG2462" s="54"/>
      <c r="GZH2462" s="54"/>
      <c r="GZI2462" s="63"/>
      <c r="GZJ2462" s="60"/>
      <c r="GZK2462" s="60"/>
      <c r="GZL2462" s="60"/>
      <c r="GZM2462" s="63"/>
      <c r="GZN2462" s="61"/>
      <c r="GZO2462" s="54"/>
      <c r="GZP2462" s="54"/>
      <c r="GZQ2462" s="63"/>
      <c r="GZR2462" s="60"/>
      <c r="GZS2462" s="60"/>
      <c r="GZT2462" s="60"/>
      <c r="GZU2462" s="63"/>
      <c r="GZV2462" s="61"/>
      <c r="GZW2462" s="54"/>
      <c r="GZX2462" s="54"/>
      <c r="GZY2462" s="63"/>
      <c r="GZZ2462" s="60"/>
      <c r="HAA2462" s="60"/>
      <c r="HAB2462" s="60"/>
      <c r="HAC2462" s="63"/>
      <c r="HAD2462" s="61"/>
      <c r="HAE2462" s="54"/>
      <c r="HAF2462" s="54"/>
      <c r="HAG2462" s="63"/>
      <c r="HAH2462" s="60"/>
      <c r="HAI2462" s="60"/>
      <c r="HAJ2462" s="60"/>
      <c r="HAK2462" s="63"/>
      <c r="HAL2462" s="61"/>
      <c r="HAM2462" s="54"/>
      <c r="HAN2462" s="54"/>
      <c r="HAO2462" s="63"/>
      <c r="HAP2462" s="60"/>
      <c r="HAQ2462" s="60"/>
      <c r="HAR2462" s="60"/>
      <c r="HAS2462" s="63"/>
      <c r="HAT2462" s="61"/>
      <c r="HAU2462" s="54"/>
      <c r="HAV2462" s="54"/>
      <c r="HAW2462" s="63"/>
      <c r="HAX2462" s="60"/>
      <c r="HAY2462" s="60"/>
      <c r="HAZ2462" s="60"/>
      <c r="HBA2462" s="63"/>
      <c r="HBB2462" s="61"/>
      <c r="HBC2462" s="54"/>
      <c r="HBD2462" s="54"/>
      <c r="HBE2462" s="63"/>
      <c r="HBF2462" s="60"/>
      <c r="HBG2462" s="60"/>
      <c r="HBH2462" s="60"/>
      <c r="HBI2462" s="63"/>
      <c r="HBJ2462" s="61"/>
      <c r="HBK2462" s="54"/>
      <c r="HBL2462" s="54"/>
      <c r="HBM2462" s="63"/>
      <c r="HBN2462" s="60"/>
      <c r="HBO2462" s="60"/>
      <c r="HBP2462" s="60"/>
      <c r="HBQ2462" s="63"/>
      <c r="HBR2462" s="61"/>
      <c r="HBS2462" s="54"/>
      <c r="HBT2462" s="54"/>
      <c r="HBU2462" s="63"/>
      <c r="HBV2462" s="60"/>
      <c r="HBW2462" s="60"/>
      <c r="HBX2462" s="60"/>
      <c r="HBY2462" s="63"/>
      <c r="HBZ2462" s="61"/>
      <c r="HCA2462" s="54"/>
      <c r="HCB2462" s="54"/>
      <c r="HCC2462" s="63"/>
      <c r="HCD2462" s="60"/>
      <c r="HCE2462" s="60"/>
      <c r="HCF2462" s="60"/>
      <c r="HCG2462" s="63"/>
      <c r="HCH2462" s="61"/>
      <c r="HCI2462" s="54"/>
      <c r="HCJ2462" s="54"/>
      <c r="HCK2462" s="63"/>
      <c r="HCL2462" s="60"/>
      <c r="HCM2462" s="60"/>
      <c r="HCN2462" s="60"/>
      <c r="HCO2462" s="63"/>
      <c r="HCP2462" s="61"/>
      <c r="HCQ2462" s="54"/>
      <c r="HCR2462" s="54"/>
      <c r="HCS2462" s="63"/>
      <c r="HCT2462" s="60"/>
      <c r="HCU2462" s="60"/>
      <c r="HCV2462" s="60"/>
      <c r="HCW2462" s="63"/>
      <c r="HCX2462" s="61"/>
      <c r="HCY2462" s="54"/>
      <c r="HCZ2462" s="54"/>
      <c r="HDA2462" s="63"/>
      <c r="HDB2462" s="60"/>
      <c r="HDC2462" s="60"/>
      <c r="HDD2462" s="60"/>
      <c r="HDE2462" s="63"/>
      <c r="HDF2462" s="61"/>
      <c r="HDG2462" s="54"/>
      <c r="HDH2462" s="54"/>
      <c r="HDI2462" s="63"/>
      <c r="HDJ2462" s="60"/>
      <c r="HDK2462" s="60"/>
      <c r="HDL2462" s="60"/>
      <c r="HDM2462" s="63"/>
      <c r="HDN2462" s="61"/>
      <c r="HDO2462" s="54"/>
      <c r="HDP2462" s="54"/>
      <c r="HDQ2462" s="63"/>
      <c r="HDR2462" s="60"/>
      <c r="HDS2462" s="60"/>
      <c r="HDT2462" s="60"/>
      <c r="HDU2462" s="63"/>
      <c r="HDV2462" s="61"/>
      <c r="HDW2462" s="54"/>
      <c r="HDX2462" s="54"/>
      <c r="HDY2462" s="63"/>
      <c r="HDZ2462" s="60"/>
      <c r="HEA2462" s="60"/>
      <c r="HEB2462" s="60"/>
      <c r="HEC2462" s="63"/>
      <c r="HED2462" s="61"/>
      <c r="HEE2462" s="54"/>
      <c r="HEF2462" s="54"/>
      <c r="HEG2462" s="63"/>
      <c r="HEH2462" s="60"/>
      <c r="HEI2462" s="60"/>
      <c r="HEJ2462" s="60"/>
      <c r="HEK2462" s="63"/>
      <c r="HEL2462" s="61"/>
      <c r="HEM2462" s="54"/>
      <c r="HEN2462" s="54"/>
      <c r="HEO2462" s="63"/>
      <c r="HEP2462" s="60"/>
      <c r="HEQ2462" s="60"/>
      <c r="HER2462" s="60"/>
      <c r="HES2462" s="63"/>
      <c r="HET2462" s="61"/>
      <c r="HEU2462" s="54"/>
      <c r="HEV2462" s="54"/>
      <c r="HEW2462" s="63"/>
      <c r="HEX2462" s="60"/>
      <c r="HEY2462" s="60"/>
      <c r="HEZ2462" s="60"/>
      <c r="HFA2462" s="63"/>
      <c r="HFB2462" s="61"/>
      <c r="HFC2462" s="54"/>
      <c r="HFD2462" s="54"/>
      <c r="HFE2462" s="63"/>
      <c r="HFF2462" s="60"/>
      <c r="HFG2462" s="60"/>
      <c r="HFH2462" s="60"/>
      <c r="HFI2462" s="63"/>
      <c r="HFJ2462" s="61"/>
      <c r="HFK2462" s="54"/>
      <c r="HFL2462" s="54"/>
      <c r="HFM2462" s="63"/>
      <c r="HFN2462" s="60"/>
      <c r="HFO2462" s="60"/>
      <c r="HFP2462" s="60"/>
      <c r="HFQ2462" s="63"/>
      <c r="HFR2462" s="61"/>
      <c r="HFS2462" s="54"/>
      <c r="HFT2462" s="54"/>
      <c r="HFU2462" s="63"/>
      <c r="HFV2462" s="60"/>
      <c r="HFW2462" s="60"/>
      <c r="HFX2462" s="60"/>
      <c r="HFY2462" s="63"/>
      <c r="HFZ2462" s="61"/>
      <c r="HGA2462" s="54"/>
      <c r="HGB2462" s="54"/>
      <c r="HGC2462" s="63"/>
      <c r="HGD2462" s="60"/>
      <c r="HGE2462" s="60"/>
      <c r="HGF2462" s="60"/>
      <c r="HGG2462" s="63"/>
      <c r="HGH2462" s="61"/>
      <c r="HGI2462" s="54"/>
      <c r="HGJ2462" s="54"/>
      <c r="HGK2462" s="63"/>
      <c r="HGL2462" s="60"/>
      <c r="HGM2462" s="60"/>
      <c r="HGN2462" s="60"/>
      <c r="HGO2462" s="63"/>
      <c r="HGP2462" s="61"/>
      <c r="HGQ2462" s="54"/>
      <c r="HGR2462" s="54"/>
      <c r="HGS2462" s="63"/>
      <c r="HGT2462" s="60"/>
      <c r="HGU2462" s="60"/>
      <c r="HGV2462" s="60"/>
      <c r="HGW2462" s="63"/>
      <c r="HGX2462" s="61"/>
      <c r="HGY2462" s="54"/>
      <c r="HGZ2462" s="54"/>
      <c r="HHA2462" s="63"/>
      <c r="HHB2462" s="60"/>
      <c r="HHC2462" s="60"/>
      <c r="HHD2462" s="60"/>
      <c r="HHE2462" s="63"/>
      <c r="HHF2462" s="61"/>
      <c r="HHG2462" s="54"/>
      <c r="HHH2462" s="54"/>
      <c r="HHI2462" s="63"/>
      <c r="HHJ2462" s="60"/>
      <c r="HHK2462" s="60"/>
      <c r="HHL2462" s="60"/>
      <c r="HHM2462" s="63"/>
      <c r="HHN2462" s="61"/>
      <c r="HHO2462" s="54"/>
      <c r="HHP2462" s="54"/>
      <c r="HHQ2462" s="63"/>
      <c r="HHR2462" s="60"/>
      <c r="HHS2462" s="60"/>
      <c r="HHT2462" s="60"/>
      <c r="HHU2462" s="63"/>
      <c r="HHV2462" s="61"/>
      <c r="HHW2462" s="54"/>
      <c r="HHX2462" s="54"/>
      <c r="HHY2462" s="63"/>
      <c r="HHZ2462" s="60"/>
      <c r="HIA2462" s="60"/>
      <c r="HIB2462" s="60"/>
      <c r="HIC2462" s="63"/>
      <c r="HID2462" s="61"/>
      <c r="HIE2462" s="54"/>
      <c r="HIF2462" s="54"/>
      <c r="HIG2462" s="63"/>
      <c r="HIH2462" s="60"/>
      <c r="HII2462" s="60"/>
      <c r="HIJ2462" s="60"/>
      <c r="HIK2462" s="63"/>
      <c r="HIL2462" s="61"/>
      <c r="HIM2462" s="54"/>
      <c r="HIN2462" s="54"/>
      <c r="HIO2462" s="63"/>
      <c r="HIP2462" s="60"/>
      <c r="HIQ2462" s="60"/>
      <c r="HIR2462" s="60"/>
      <c r="HIS2462" s="63"/>
      <c r="HIT2462" s="61"/>
      <c r="HIU2462" s="54"/>
      <c r="HIV2462" s="54"/>
      <c r="HIW2462" s="63"/>
      <c r="HIX2462" s="60"/>
      <c r="HIY2462" s="60"/>
      <c r="HIZ2462" s="60"/>
      <c r="HJA2462" s="63"/>
      <c r="HJB2462" s="61"/>
      <c r="HJC2462" s="54"/>
      <c r="HJD2462" s="54"/>
      <c r="HJE2462" s="63"/>
      <c r="HJF2462" s="60"/>
      <c r="HJG2462" s="60"/>
      <c r="HJH2462" s="60"/>
      <c r="HJI2462" s="63"/>
      <c r="HJJ2462" s="61"/>
      <c r="HJK2462" s="54"/>
      <c r="HJL2462" s="54"/>
      <c r="HJM2462" s="63"/>
      <c r="HJN2462" s="60"/>
      <c r="HJO2462" s="60"/>
      <c r="HJP2462" s="60"/>
      <c r="HJQ2462" s="63"/>
      <c r="HJR2462" s="61"/>
      <c r="HJS2462" s="54"/>
      <c r="HJT2462" s="54"/>
      <c r="HJU2462" s="63"/>
      <c r="HJV2462" s="60"/>
      <c r="HJW2462" s="60"/>
      <c r="HJX2462" s="60"/>
      <c r="HJY2462" s="63"/>
      <c r="HJZ2462" s="61"/>
      <c r="HKA2462" s="54"/>
      <c r="HKB2462" s="54"/>
      <c r="HKC2462" s="63"/>
      <c r="HKD2462" s="60"/>
      <c r="HKE2462" s="60"/>
      <c r="HKF2462" s="60"/>
      <c r="HKG2462" s="63"/>
      <c r="HKH2462" s="61"/>
      <c r="HKI2462" s="54"/>
      <c r="HKJ2462" s="54"/>
      <c r="HKK2462" s="63"/>
      <c r="HKL2462" s="60"/>
      <c r="HKM2462" s="60"/>
      <c r="HKN2462" s="60"/>
      <c r="HKO2462" s="63"/>
      <c r="HKP2462" s="61"/>
      <c r="HKQ2462" s="54"/>
      <c r="HKR2462" s="54"/>
      <c r="HKS2462" s="63"/>
      <c r="HKT2462" s="60"/>
      <c r="HKU2462" s="60"/>
      <c r="HKV2462" s="60"/>
      <c r="HKW2462" s="63"/>
      <c r="HKX2462" s="61"/>
      <c r="HKY2462" s="54"/>
      <c r="HKZ2462" s="54"/>
      <c r="HLA2462" s="63"/>
      <c r="HLB2462" s="60"/>
      <c r="HLC2462" s="60"/>
      <c r="HLD2462" s="60"/>
      <c r="HLE2462" s="63"/>
      <c r="HLF2462" s="61"/>
      <c r="HLG2462" s="54"/>
      <c r="HLH2462" s="54"/>
      <c r="HLI2462" s="63"/>
      <c r="HLJ2462" s="60"/>
      <c r="HLK2462" s="60"/>
      <c r="HLL2462" s="60"/>
      <c r="HLM2462" s="63"/>
      <c r="HLN2462" s="61"/>
      <c r="HLO2462" s="54"/>
      <c r="HLP2462" s="54"/>
      <c r="HLQ2462" s="63"/>
      <c r="HLR2462" s="60"/>
      <c r="HLS2462" s="60"/>
      <c r="HLT2462" s="60"/>
      <c r="HLU2462" s="63"/>
      <c r="HLV2462" s="61"/>
      <c r="HLW2462" s="54"/>
      <c r="HLX2462" s="54"/>
      <c r="HLY2462" s="63"/>
      <c r="HLZ2462" s="60"/>
      <c r="HMA2462" s="60"/>
      <c r="HMB2462" s="60"/>
      <c r="HMC2462" s="63"/>
      <c r="HMD2462" s="61"/>
      <c r="HME2462" s="54"/>
      <c r="HMF2462" s="54"/>
      <c r="HMG2462" s="63"/>
      <c r="HMH2462" s="60"/>
      <c r="HMI2462" s="60"/>
      <c r="HMJ2462" s="60"/>
      <c r="HMK2462" s="63"/>
      <c r="HML2462" s="61"/>
      <c r="HMM2462" s="54"/>
      <c r="HMN2462" s="54"/>
      <c r="HMO2462" s="63"/>
      <c r="HMP2462" s="60"/>
      <c r="HMQ2462" s="60"/>
      <c r="HMR2462" s="60"/>
      <c r="HMS2462" s="63"/>
      <c r="HMT2462" s="61"/>
      <c r="HMU2462" s="54"/>
      <c r="HMV2462" s="54"/>
      <c r="HMW2462" s="63"/>
      <c r="HMX2462" s="60"/>
      <c r="HMY2462" s="60"/>
      <c r="HMZ2462" s="60"/>
      <c r="HNA2462" s="63"/>
      <c r="HNB2462" s="61"/>
      <c r="HNC2462" s="54"/>
      <c r="HND2462" s="54"/>
      <c r="HNE2462" s="63"/>
      <c r="HNF2462" s="60"/>
      <c r="HNG2462" s="60"/>
      <c r="HNH2462" s="60"/>
      <c r="HNI2462" s="63"/>
      <c r="HNJ2462" s="61"/>
      <c r="HNK2462" s="54"/>
      <c r="HNL2462" s="54"/>
      <c r="HNM2462" s="63"/>
      <c r="HNN2462" s="60"/>
      <c r="HNO2462" s="60"/>
      <c r="HNP2462" s="60"/>
      <c r="HNQ2462" s="63"/>
      <c r="HNR2462" s="61"/>
      <c r="HNS2462" s="54"/>
      <c r="HNT2462" s="54"/>
      <c r="HNU2462" s="63"/>
      <c r="HNV2462" s="60"/>
      <c r="HNW2462" s="60"/>
      <c r="HNX2462" s="60"/>
      <c r="HNY2462" s="63"/>
      <c r="HNZ2462" s="61"/>
      <c r="HOA2462" s="54"/>
      <c r="HOB2462" s="54"/>
      <c r="HOC2462" s="63"/>
      <c r="HOD2462" s="60"/>
      <c r="HOE2462" s="60"/>
      <c r="HOF2462" s="60"/>
      <c r="HOG2462" s="63"/>
      <c r="HOH2462" s="61"/>
      <c r="HOI2462" s="54"/>
      <c r="HOJ2462" s="54"/>
      <c r="HOK2462" s="63"/>
      <c r="HOL2462" s="60"/>
      <c r="HOM2462" s="60"/>
      <c r="HON2462" s="60"/>
      <c r="HOO2462" s="63"/>
      <c r="HOP2462" s="61"/>
      <c r="HOQ2462" s="54"/>
      <c r="HOR2462" s="54"/>
      <c r="HOS2462" s="63"/>
      <c r="HOT2462" s="60"/>
      <c r="HOU2462" s="60"/>
      <c r="HOV2462" s="60"/>
      <c r="HOW2462" s="63"/>
      <c r="HOX2462" s="61"/>
      <c r="HOY2462" s="54"/>
      <c r="HOZ2462" s="54"/>
      <c r="HPA2462" s="63"/>
      <c r="HPB2462" s="60"/>
      <c r="HPC2462" s="60"/>
      <c r="HPD2462" s="60"/>
      <c r="HPE2462" s="63"/>
      <c r="HPF2462" s="61"/>
      <c r="HPG2462" s="54"/>
      <c r="HPH2462" s="54"/>
      <c r="HPI2462" s="63"/>
      <c r="HPJ2462" s="60"/>
      <c r="HPK2462" s="60"/>
      <c r="HPL2462" s="60"/>
      <c r="HPM2462" s="63"/>
      <c r="HPN2462" s="61"/>
      <c r="HPO2462" s="54"/>
      <c r="HPP2462" s="54"/>
      <c r="HPQ2462" s="63"/>
      <c r="HPR2462" s="60"/>
      <c r="HPS2462" s="60"/>
      <c r="HPT2462" s="60"/>
      <c r="HPU2462" s="63"/>
      <c r="HPV2462" s="61"/>
      <c r="HPW2462" s="54"/>
      <c r="HPX2462" s="54"/>
      <c r="HPY2462" s="63"/>
      <c r="HPZ2462" s="60"/>
      <c r="HQA2462" s="60"/>
      <c r="HQB2462" s="60"/>
      <c r="HQC2462" s="63"/>
      <c r="HQD2462" s="61"/>
      <c r="HQE2462" s="54"/>
      <c r="HQF2462" s="54"/>
      <c r="HQG2462" s="63"/>
      <c r="HQH2462" s="60"/>
      <c r="HQI2462" s="60"/>
      <c r="HQJ2462" s="60"/>
      <c r="HQK2462" s="63"/>
      <c r="HQL2462" s="61"/>
      <c r="HQM2462" s="54"/>
      <c r="HQN2462" s="54"/>
      <c r="HQO2462" s="63"/>
      <c r="HQP2462" s="60"/>
      <c r="HQQ2462" s="60"/>
      <c r="HQR2462" s="60"/>
      <c r="HQS2462" s="63"/>
      <c r="HQT2462" s="61"/>
      <c r="HQU2462" s="54"/>
      <c r="HQV2462" s="54"/>
      <c r="HQW2462" s="63"/>
      <c r="HQX2462" s="60"/>
      <c r="HQY2462" s="60"/>
      <c r="HQZ2462" s="60"/>
      <c r="HRA2462" s="63"/>
      <c r="HRB2462" s="61"/>
      <c r="HRC2462" s="54"/>
      <c r="HRD2462" s="54"/>
      <c r="HRE2462" s="63"/>
      <c r="HRF2462" s="60"/>
      <c r="HRG2462" s="60"/>
      <c r="HRH2462" s="60"/>
      <c r="HRI2462" s="63"/>
      <c r="HRJ2462" s="61"/>
      <c r="HRK2462" s="54"/>
      <c r="HRL2462" s="54"/>
      <c r="HRM2462" s="63"/>
      <c r="HRN2462" s="60"/>
      <c r="HRO2462" s="60"/>
      <c r="HRP2462" s="60"/>
      <c r="HRQ2462" s="63"/>
      <c r="HRR2462" s="61"/>
      <c r="HRS2462" s="54"/>
      <c r="HRT2462" s="54"/>
      <c r="HRU2462" s="63"/>
      <c r="HRV2462" s="60"/>
      <c r="HRW2462" s="60"/>
      <c r="HRX2462" s="60"/>
      <c r="HRY2462" s="63"/>
      <c r="HRZ2462" s="61"/>
      <c r="HSA2462" s="54"/>
      <c r="HSB2462" s="54"/>
      <c r="HSC2462" s="63"/>
      <c r="HSD2462" s="60"/>
      <c r="HSE2462" s="60"/>
      <c r="HSF2462" s="60"/>
      <c r="HSG2462" s="63"/>
      <c r="HSH2462" s="61"/>
      <c r="HSI2462" s="54"/>
      <c r="HSJ2462" s="54"/>
      <c r="HSK2462" s="63"/>
      <c r="HSL2462" s="60"/>
      <c r="HSM2462" s="60"/>
      <c r="HSN2462" s="60"/>
      <c r="HSO2462" s="63"/>
      <c r="HSP2462" s="61"/>
      <c r="HSQ2462" s="54"/>
      <c r="HSR2462" s="54"/>
      <c r="HSS2462" s="63"/>
      <c r="HST2462" s="60"/>
      <c r="HSU2462" s="60"/>
      <c r="HSV2462" s="60"/>
      <c r="HSW2462" s="63"/>
      <c r="HSX2462" s="61"/>
      <c r="HSY2462" s="54"/>
      <c r="HSZ2462" s="54"/>
      <c r="HTA2462" s="63"/>
      <c r="HTB2462" s="60"/>
      <c r="HTC2462" s="60"/>
      <c r="HTD2462" s="60"/>
      <c r="HTE2462" s="63"/>
      <c r="HTF2462" s="61"/>
      <c r="HTG2462" s="54"/>
      <c r="HTH2462" s="54"/>
      <c r="HTI2462" s="63"/>
      <c r="HTJ2462" s="60"/>
      <c r="HTK2462" s="60"/>
      <c r="HTL2462" s="60"/>
      <c r="HTM2462" s="63"/>
      <c r="HTN2462" s="61"/>
      <c r="HTO2462" s="54"/>
      <c r="HTP2462" s="54"/>
      <c r="HTQ2462" s="63"/>
      <c r="HTR2462" s="60"/>
      <c r="HTS2462" s="60"/>
      <c r="HTT2462" s="60"/>
      <c r="HTU2462" s="63"/>
      <c r="HTV2462" s="61"/>
      <c r="HTW2462" s="54"/>
      <c r="HTX2462" s="54"/>
      <c r="HTY2462" s="63"/>
      <c r="HTZ2462" s="60"/>
      <c r="HUA2462" s="60"/>
      <c r="HUB2462" s="60"/>
      <c r="HUC2462" s="63"/>
      <c r="HUD2462" s="61"/>
      <c r="HUE2462" s="54"/>
      <c r="HUF2462" s="54"/>
      <c r="HUG2462" s="63"/>
      <c r="HUH2462" s="60"/>
      <c r="HUI2462" s="60"/>
      <c r="HUJ2462" s="60"/>
      <c r="HUK2462" s="63"/>
      <c r="HUL2462" s="61"/>
      <c r="HUM2462" s="54"/>
      <c r="HUN2462" s="54"/>
      <c r="HUO2462" s="63"/>
      <c r="HUP2462" s="60"/>
      <c r="HUQ2462" s="60"/>
      <c r="HUR2462" s="60"/>
      <c r="HUS2462" s="63"/>
      <c r="HUT2462" s="61"/>
      <c r="HUU2462" s="54"/>
      <c r="HUV2462" s="54"/>
      <c r="HUW2462" s="63"/>
      <c r="HUX2462" s="60"/>
      <c r="HUY2462" s="60"/>
      <c r="HUZ2462" s="60"/>
      <c r="HVA2462" s="63"/>
      <c r="HVB2462" s="61"/>
      <c r="HVC2462" s="54"/>
      <c r="HVD2462" s="54"/>
      <c r="HVE2462" s="63"/>
      <c r="HVF2462" s="60"/>
      <c r="HVG2462" s="60"/>
      <c r="HVH2462" s="60"/>
      <c r="HVI2462" s="63"/>
      <c r="HVJ2462" s="61"/>
      <c r="HVK2462" s="54"/>
      <c r="HVL2462" s="54"/>
      <c r="HVM2462" s="63"/>
      <c r="HVN2462" s="60"/>
      <c r="HVO2462" s="60"/>
      <c r="HVP2462" s="60"/>
      <c r="HVQ2462" s="63"/>
      <c r="HVR2462" s="61"/>
      <c r="HVS2462" s="54"/>
      <c r="HVT2462" s="54"/>
      <c r="HVU2462" s="63"/>
      <c r="HVV2462" s="60"/>
      <c r="HVW2462" s="60"/>
      <c r="HVX2462" s="60"/>
      <c r="HVY2462" s="63"/>
      <c r="HVZ2462" s="61"/>
      <c r="HWA2462" s="54"/>
      <c r="HWB2462" s="54"/>
      <c r="HWC2462" s="63"/>
      <c r="HWD2462" s="60"/>
      <c r="HWE2462" s="60"/>
      <c r="HWF2462" s="60"/>
      <c r="HWG2462" s="63"/>
      <c r="HWH2462" s="61"/>
      <c r="HWI2462" s="54"/>
      <c r="HWJ2462" s="54"/>
      <c r="HWK2462" s="63"/>
      <c r="HWL2462" s="60"/>
      <c r="HWM2462" s="60"/>
      <c r="HWN2462" s="60"/>
      <c r="HWO2462" s="63"/>
      <c r="HWP2462" s="61"/>
      <c r="HWQ2462" s="54"/>
      <c r="HWR2462" s="54"/>
      <c r="HWS2462" s="63"/>
      <c r="HWT2462" s="60"/>
      <c r="HWU2462" s="60"/>
      <c r="HWV2462" s="60"/>
      <c r="HWW2462" s="63"/>
      <c r="HWX2462" s="61"/>
      <c r="HWY2462" s="54"/>
      <c r="HWZ2462" s="54"/>
      <c r="HXA2462" s="63"/>
      <c r="HXB2462" s="60"/>
      <c r="HXC2462" s="60"/>
      <c r="HXD2462" s="60"/>
      <c r="HXE2462" s="63"/>
      <c r="HXF2462" s="61"/>
      <c r="HXG2462" s="54"/>
      <c r="HXH2462" s="54"/>
      <c r="HXI2462" s="63"/>
      <c r="HXJ2462" s="60"/>
      <c r="HXK2462" s="60"/>
      <c r="HXL2462" s="60"/>
      <c r="HXM2462" s="63"/>
      <c r="HXN2462" s="61"/>
      <c r="HXO2462" s="54"/>
      <c r="HXP2462" s="54"/>
      <c r="HXQ2462" s="63"/>
      <c r="HXR2462" s="60"/>
      <c r="HXS2462" s="60"/>
      <c r="HXT2462" s="60"/>
      <c r="HXU2462" s="63"/>
      <c r="HXV2462" s="61"/>
      <c r="HXW2462" s="54"/>
      <c r="HXX2462" s="54"/>
      <c r="HXY2462" s="63"/>
      <c r="HXZ2462" s="60"/>
      <c r="HYA2462" s="60"/>
      <c r="HYB2462" s="60"/>
      <c r="HYC2462" s="63"/>
      <c r="HYD2462" s="61"/>
      <c r="HYE2462" s="54"/>
      <c r="HYF2462" s="54"/>
      <c r="HYG2462" s="63"/>
      <c r="HYH2462" s="60"/>
      <c r="HYI2462" s="60"/>
      <c r="HYJ2462" s="60"/>
      <c r="HYK2462" s="63"/>
      <c r="HYL2462" s="61"/>
      <c r="HYM2462" s="54"/>
      <c r="HYN2462" s="54"/>
      <c r="HYO2462" s="63"/>
      <c r="HYP2462" s="60"/>
      <c r="HYQ2462" s="60"/>
      <c r="HYR2462" s="60"/>
      <c r="HYS2462" s="63"/>
      <c r="HYT2462" s="61"/>
      <c r="HYU2462" s="54"/>
      <c r="HYV2462" s="54"/>
      <c r="HYW2462" s="63"/>
      <c r="HYX2462" s="60"/>
      <c r="HYY2462" s="60"/>
      <c r="HYZ2462" s="60"/>
      <c r="HZA2462" s="63"/>
      <c r="HZB2462" s="61"/>
      <c r="HZC2462" s="54"/>
      <c r="HZD2462" s="54"/>
      <c r="HZE2462" s="63"/>
      <c r="HZF2462" s="60"/>
      <c r="HZG2462" s="60"/>
      <c r="HZH2462" s="60"/>
      <c r="HZI2462" s="63"/>
      <c r="HZJ2462" s="61"/>
      <c r="HZK2462" s="54"/>
      <c r="HZL2462" s="54"/>
      <c r="HZM2462" s="63"/>
      <c r="HZN2462" s="60"/>
      <c r="HZO2462" s="60"/>
      <c r="HZP2462" s="60"/>
      <c r="HZQ2462" s="63"/>
      <c r="HZR2462" s="61"/>
      <c r="HZS2462" s="54"/>
      <c r="HZT2462" s="54"/>
      <c r="HZU2462" s="63"/>
      <c r="HZV2462" s="60"/>
      <c r="HZW2462" s="60"/>
      <c r="HZX2462" s="60"/>
      <c r="HZY2462" s="63"/>
      <c r="HZZ2462" s="61"/>
      <c r="IAA2462" s="54"/>
      <c r="IAB2462" s="54"/>
      <c r="IAC2462" s="63"/>
      <c r="IAD2462" s="60"/>
      <c r="IAE2462" s="60"/>
      <c r="IAF2462" s="60"/>
      <c r="IAG2462" s="63"/>
      <c r="IAH2462" s="61"/>
      <c r="IAI2462" s="54"/>
      <c r="IAJ2462" s="54"/>
      <c r="IAK2462" s="63"/>
      <c r="IAL2462" s="60"/>
      <c r="IAM2462" s="60"/>
      <c r="IAN2462" s="60"/>
      <c r="IAO2462" s="63"/>
      <c r="IAP2462" s="61"/>
      <c r="IAQ2462" s="54"/>
      <c r="IAR2462" s="54"/>
      <c r="IAS2462" s="63"/>
      <c r="IAT2462" s="60"/>
      <c r="IAU2462" s="60"/>
      <c r="IAV2462" s="60"/>
      <c r="IAW2462" s="63"/>
      <c r="IAX2462" s="61"/>
      <c r="IAY2462" s="54"/>
      <c r="IAZ2462" s="54"/>
      <c r="IBA2462" s="63"/>
      <c r="IBB2462" s="60"/>
      <c r="IBC2462" s="60"/>
      <c r="IBD2462" s="60"/>
      <c r="IBE2462" s="63"/>
      <c r="IBF2462" s="61"/>
      <c r="IBG2462" s="54"/>
      <c r="IBH2462" s="54"/>
      <c r="IBI2462" s="63"/>
      <c r="IBJ2462" s="60"/>
      <c r="IBK2462" s="60"/>
      <c r="IBL2462" s="60"/>
      <c r="IBM2462" s="63"/>
      <c r="IBN2462" s="61"/>
      <c r="IBO2462" s="54"/>
      <c r="IBP2462" s="54"/>
      <c r="IBQ2462" s="63"/>
      <c r="IBR2462" s="60"/>
      <c r="IBS2462" s="60"/>
      <c r="IBT2462" s="60"/>
      <c r="IBU2462" s="63"/>
      <c r="IBV2462" s="61"/>
      <c r="IBW2462" s="54"/>
      <c r="IBX2462" s="54"/>
      <c r="IBY2462" s="63"/>
      <c r="IBZ2462" s="60"/>
      <c r="ICA2462" s="60"/>
      <c r="ICB2462" s="60"/>
      <c r="ICC2462" s="63"/>
      <c r="ICD2462" s="61"/>
      <c r="ICE2462" s="54"/>
      <c r="ICF2462" s="54"/>
      <c r="ICG2462" s="63"/>
      <c r="ICH2462" s="60"/>
      <c r="ICI2462" s="60"/>
      <c r="ICJ2462" s="60"/>
      <c r="ICK2462" s="63"/>
      <c r="ICL2462" s="61"/>
      <c r="ICM2462" s="54"/>
      <c r="ICN2462" s="54"/>
      <c r="ICO2462" s="63"/>
      <c r="ICP2462" s="60"/>
      <c r="ICQ2462" s="60"/>
      <c r="ICR2462" s="60"/>
      <c r="ICS2462" s="63"/>
      <c r="ICT2462" s="61"/>
      <c r="ICU2462" s="54"/>
      <c r="ICV2462" s="54"/>
      <c r="ICW2462" s="63"/>
      <c r="ICX2462" s="60"/>
      <c r="ICY2462" s="60"/>
      <c r="ICZ2462" s="60"/>
      <c r="IDA2462" s="63"/>
      <c r="IDB2462" s="61"/>
      <c r="IDC2462" s="54"/>
      <c r="IDD2462" s="54"/>
      <c r="IDE2462" s="63"/>
      <c r="IDF2462" s="60"/>
      <c r="IDG2462" s="60"/>
      <c r="IDH2462" s="60"/>
      <c r="IDI2462" s="63"/>
      <c r="IDJ2462" s="61"/>
      <c r="IDK2462" s="54"/>
      <c r="IDL2462" s="54"/>
      <c r="IDM2462" s="63"/>
      <c r="IDN2462" s="60"/>
      <c r="IDO2462" s="60"/>
      <c r="IDP2462" s="60"/>
      <c r="IDQ2462" s="63"/>
      <c r="IDR2462" s="61"/>
      <c r="IDS2462" s="54"/>
      <c r="IDT2462" s="54"/>
      <c r="IDU2462" s="63"/>
      <c r="IDV2462" s="60"/>
      <c r="IDW2462" s="60"/>
      <c r="IDX2462" s="60"/>
      <c r="IDY2462" s="63"/>
      <c r="IDZ2462" s="61"/>
      <c r="IEA2462" s="54"/>
      <c r="IEB2462" s="54"/>
      <c r="IEC2462" s="63"/>
      <c r="IED2462" s="60"/>
      <c r="IEE2462" s="60"/>
      <c r="IEF2462" s="60"/>
      <c r="IEG2462" s="63"/>
      <c r="IEH2462" s="61"/>
      <c r="IEI2462" s="54"/>
      <c r="IEJ2462" s="54"/>
      <c r="IEK2462" s="63"/>
      <c r="IEL2462" s="60"/>
      <c r="IEM2462" s="60"/>
      <c r="IEN2462" s="60"/>
      <c r="IEO2462" s="63"/>
      <c r="IEP2462" s="61"/>
      <c r="IEQ2462" s="54"/>
      <c r="IER2462" s="54"/>
      <c r="IES2462" s="63"/>
      <c r="IET2462" s="60"/>
      <c r="IEU2462" s="60"/>
      <c r="IEV2462" s="60"/>
      <c r="IEW2462" s="63"/>
      <c r="IEX2462" s="61"/>
      <c r="IEY2462" s="54"/>
      <c r="IEZ2462" s="54"/>
      <c r="IFA2462" s="63"/>
      <c r="IFB2462" s="60"/>
      <c r="IFC2462" s="60"/>
      <c r="IFD2462" s="60"/>
      <c r="IFE2462" s="63"/>
      <c r="IFF2462" s="61"/>
      <c r="IFG2462" s="54"/>
      <c r="IFH2462" s="54"/>
      <c r="IFI2462" s="63"/>
      <c r="IFJ2462" s="60"/>
      <c r="IFK2462" s="60"/>
      <c r="IFL2462" s="60"/>
      <c r="IFM2462" s="63"/>
      <c r="IFN2462" s="61"/>
      <c r="IFO2462" s="54"/>
      <c r="IFP2462" s="54"/>
      <c r="IFQ2462" s="63"/>
      <c r="IFR2462" s="60"/>
      <c r="IFS2462" s="60"/>
      <c r="IFT2462" s="60"/>
      <c r="IFU2462" s="63"/>
      <c r="IFV2462" s="61"/>
      <c r="IFW2462" s="54"/>
      <c r="IFX2462" s="54"/>
      <c r="IFY2462" s="63"/>
      <c r="IFZ2462" s="60"/>
      <c r="IGA2462" s="60"/>
      <c r="IGB2462" s="60"/>
      <c r="IGC2462" s="63"/>
      <c r="IGD2462" s="61"/>
      <c r="IGE2462" s="54"/>
      <c r="IGF2462" s="54"/>
      <c r="IGG2462" s="63"/>
      <c r="IGH2462" s="60"/>
      <c r="IGI2462" s="60"/>
      <c r="IGJ2462" s="60"/>
      <c r="IGK2462" s="63"/>
      <c r="IGL2462" s="61"/>
      <c r="IGM2462" s="54"/>
      <c r="IGN2462" s="54"/>
      <c r="IGO2462" s="63"/>
      <c r="IGP2462" s="60"/>
      <c r="IGQ2462" s="60"/>
      <c r="IGR2462" s="60"/>
      <c r="IGS2462" s="63"/>
      <c r="IGT2462" s="61"/>
      <c r="IGU2462" s="54"/>
      <c r="IGV2462" s="54"/>
      <c r="IGW2462" s="63"/>
      <c r="IGX2462" s="60"/>
      <c r="IGY2462" s="60"/>
      <c r="IGZ2462" s="60"/>
      <c r="IHA2462" s="63"/>
      <c r="IHB2462" s="61"/>
      <c r="IHC2462" s="54"/>
      <c r="IHD2462" s="54"/>
      <c r="IHE2462" s="63"/>
      <c r="IHF2462" s="60"/>
      <c r="IHG2462" s="60"/>
      <c r="IHH2462" s="60"/>
      <c r="IHI2462" s="63"/>
      <c r="IHJ2462" s="61"/>
      <c r="IHK2462" s="54"/>
      <c r="IHL2462" s="54"/>
      <c r="IHM2462" s="63"/>
      <c r="IHN2462" s="60"/>
      <c r="IHO2462" s="60"/>
      <c r="IHP2462" s="60"/>
      <c r="IHQ2462" s="63"/>
      <c r="IHR2462" s="61"/>
      <c r="IHS2462" s="54"/>
      <c r="IHT2462" s="54"/>
      <c r="IHU2462" s="63"/>
      <c r="IHV2462" s="60"/>
      <c r="IHW2462" s="60"/>
      <c r="IHX2462" s="60"/>
      <c r="IHY2462" s="63"/>
      <c r="IHZ2462" s="61"/>
      <c r="IIA2462" s="54"/>
      <c r="IIB2462" s="54"/>
      <c r="IIC2462" s="63"/>
      <c r="IID2462" s="60"/>
      <c r="IIE2462" s="60"/>
      <c r="IIF2462" s="60"/>
      <c r="IIG2462" s="63"/>
      <c r="IIH2462" s="61"/>
      <c r="III2462" s="54"/>
      <c r="IIJ2462" s="54"/>
      <c r="IIK2462" s="63"/>
      <c r="IIL2462" s="60"/>
      <c r="IIM2462" s="60"/>
      <c r="IIN2462" s="60"/>
      <c r="IIO2462" s="63"/>
      <c r="IIP2462" s="61"/>
      <c r="IIQ2462" s="54"/>
      <c r="IIR2462" s="54"/>
      <c r="IIS2462" s="63"/>
      <c r="IIT2462" s="60"/>
      <c r="IIU2462" s="60"/>
      <c r="IIV2462" s="60"/>
      <c r="IIW2462" s="63"/>
      <c r="IIX2462" s="61"/>
      <c r="IIY2462" s="54"/>
      <c r="IIZ2462" s="54"/>
      <c r="IJA2462" s="63"/>
      <c r="IJB2462" s="60"/>
      <c r="IJC2462" s="60"/>
      <c r="IJD2462" s="60"/>
      <c r="IJE2462" s="63"/>
      <c r="IJF2462" s="61"/>
      <c r="IJG2462" s="54"/>
      <c r="IJH2462" s="54"/>
      <c r="IJI2462" s="63"/>
      <c r="IJJ2462" s="60"/>
      <c r="IJK2462" s="60"/>
      <c r="IJL2462" s="60"/>
      <c r="IJM2462" s="63"/>
      <c r="IJN2462" s="61"/>
      <c r="IJO2462" s="54"/>
      <c r="IJP2462" s="54"/>
      <c r="IJQ2462" s="63"/>
      <c r="IJR2462" s="60"/>
      <c r="IJS2462" s="60"/>
      <c r="IJT2462" s="60"/>
      <c r="IJU2462" s="63"/>
      <c r="IJV2462" s="61"/>
      <c r="IJW2462" s="54"/>
      <c r="IJX2462" s="54"/>
      <c r="IJY2462" s="63"/>
      <c r="IJZ2462" s="60"/>
      <c r="IKA2462" s="60"/>
      <c r="IKB2462" s="60"/>
      <c r="IKC2462" s="63"/>
      <c r="IKD2462" s="61"/>
      <c r="IKE2462" s="54"/>
      <c r="IKF2462" s="54"/>
      <c r="IKG2462" s="63"/>
      <c r="IKH2462" s="60"/>
      <c r="IKI2462" s="60"/>
      <c r="IKJ2462" s="60"/>
      <c r="IKK2462" s="63"/>
      <c r="IKL2462" s="61"/>
      <c r="IKM2462" s="54"/>
      <c r="IKN2462" s="54"/>
      <c r="IKO2462" s="63"/>
      <c r="IKP2462" s="60"/>
      <c r="IKQ2462" s="60"/>
      <c r="IKR2462" s="60"/>
      <c r="IKS2462" s="63"/>
      <c r="IKT2462" s="61"/>
      <c r="IKU2462" s="54"/>
      <c r="IKV2462" s="54"/>
      <c r="IKW2462" s="63"/>
      <c r="IKX2462" s="60"/>
      <c r="IKY2462" s="60"/>
      <c r="IKZ2462" s="60"/>
      <c r="ILA2462" s="63"/>
      <c r="ILB2462" s="61"/>
      <c r="ILC2462" s="54"/>
      <c r="ILD2462" s="54"/>
      <c r="ILE2462" s="63"/>
      <c r="ILF2462" s="60"/>
      <c r="ILG2462" s="60"/>
      <c r="ILH2462" s="60"/>
      <c r="ILI2462" s="63"/>
      <c r="ILJ2462" s="61"/>
      <c r="ILK2462" s="54"/>
      <c r="ILL2462" s="54"/>
      <c r="ILM2462" s="63"/>
      <c r="ILN2462" s="60"/>
      <c r="ILO2462" s="60"/>
      <c r="ILP2462" s="60"/>
      <c r="ILQ2462" s="63"/>
      <c r="ILR2462" s="61"/>
      <c r="ILS2462" s="54"/>
      <c r="ILT2462" s="54"/>
      <c r="ILU2462" s="63"/>
      <c r="ILV2462" s="60"/>
      <c r="ILW2462" s="60"/>
      <c r="ILX2462" s="60"/>
      <c r="ILY2462" s="63"/>
      <c r="ILZ2462" s="61"/>
      <c r="IMA2462" s="54"/>
      <c r="IMB2462" s="54"/>
      <c r="IMC2462" s="63"/>
      <c r="IMD2462" s="60"/>
      <c r="IME2462" s="60"/>
      <c r="IMF2462" s="60"/>
      <c r="IMG2462" s="63"/>
      <c r="IMH2462" s="61"/>
      <c r="IMI2462" s="54"/>
      <c r="IMJ2462" s="54"/>
      <c r="IMK2462" s="63"/>
      <c r="IML2462" s="60"/>
      <c r="IMM2462" s="60"/>
      <c r="IMN2462" s="60"/>
      <c r="IMO2462" s="63"/>
      <c r="IMP2462" s="61"/>
      <c r="IMQ2462" s="54"/>
      <c r="IMR2462" s="54"/>
      <c r="IMS2462" s="63"/>
      <c r="IMT2462" s="60"/>
      <c r="IMU2462" s="60"/>
      <c r="IMV2462" s="60"/>
      <c r="IMW2462" s="63"/>
      <c r="IMX2462" s="61"/>
      <c r="IMY2462" s="54"/>
      <c r="IMZ2462" s="54"/>
      <c r="INA2462" s="63"/>
      <c r="INB2462" s="60"/>
      <c r="INC2462" s="60"/>
      <c r="IND2462" s="60"/>
      <c r="INE2462" s="63"/>
      <c r="INF2462" s="61"/>
      <c r="ING2462" s="54"/>
      <c r="INH2462" s="54"/>
      <c r="INI2462" s="63"/>
      <c r="INJ2462" s="60"/>
      <c r="INK2462" s="60"/>
      <c r="INL2462" s="60"/>
      <c r="INM2462" s="63"/>
      <c r="INN2462" s="61"/>
      <c r="INO2462" s="54"/>
      <c r="INP2462" s="54"/>
      <c r="INQ2462" s="63"/>
      <c r="INR2462" s="60"/>
      <c r="INS2462" s="60"/>
      <c r="INT2462" s="60"/>
      <c r="INU2462" s="63"/>
      <c r="INV2462" s="61"/>
      <c r="INW2462" s="54"/>
      <c r="INX2462" s="54"/>
      <c r="INY2462" s="63"/>
      <c r="INZ2462" s="60"/>
      <c r="IOA2462" s="60"/>
      <c r="IOB2462" s="60"/>
      <c r="IOC2462" s="63"/>
      <c r="IOD2462" s="61"/>
      <c r="IOE2462" s="54"/>
      <c r="IOF2462" s="54"/>
      <c r="IOG2462" s="63"/>
      <c r="IOH2462" s="60"/>
      <c r="IOI2462" s="60"/>
      <c r="IOJ2462" s="60"/>
      <c r="IOK2462" s="63"/>
      <c r="IOL2462" s="61"/>
      <c r="IOM2462" s="54"/>
      <c r="ION2462" s="54"/>
      <c r="IOO2462" s="63"/>
      <c r="IOP2462" s="60"/>
      <c r="IOQ2462" s="60"/>
      <c r="IOR2462" s="60"/>
      <c r="IOS2462" s="63"/>
      <c r="IOT2462" s="61"/>
      <c r="IOU2462" s="54"/>
      <c r="IOV2462" s="54"/>
      <c r="IOW2462" s="63"/>
      <c r="IOX2462" s="60"/>
      <c r="IOY2462" s="60"/>
      <c r="IOZ2462" s="60"/>
      <c r="IPA2462" s="63"/>
      <c r="IPB2462" s="61"/>
      <c r="IPC2462" s="54"/>
      <c r="IPD2462" s="54"/>
      <c r="IPE2462" s="63"/>
      <c r="IPF2462" s="60"/>
      <c r="IPG2462" s="60"/>
      <c r="IPH2462" s="60"/>
      <c r="IPI2462" s="63"/>
      <c r="IPJ2462" s="61"/>
      <c r="IPK2462" s="54"/>
      <c r="IPL2462" s="54"/>
      <c r="IPM2462" s="63"/>
      <c r="IPN2462" s="60"/>
      <c r="IPO2462" s="60"/>
      <c r="IPP2462" s="60"/>
      <c r="IPQ2462" s="63"/>
      <c r="IPR2462" s="61"/>
      <c r="IPS2462" s="54"/>
      <c r="IPT2462" s="54"/>
      <c r="IPU2462" s="63"/>
      <c r="IPV2462" s="60"/>
      <c r="IPW2462" s="60"/>
      <c r="IPX2462" s="60"/>
      <c r="IPY2462" s="63"/>
      <c r="IPZ2462" s="61"/>
      <c r="IQA2462" s="54"/>
      <c r="IQB2462" s="54"/>
      <c r="IQC2462" s="63"/>
      <c r="IQD2462" s="60"/>
      <c r="IQE2462" s="60"/>
      <c r="IQF2462" s="60"/>
      <c r="IQG2462" s="63"/>
      <c r="IQH2462" s="61"/>
      <c r="IQI2462" s="54"/>
      <c r="IQJ2462" s="54"/>
      <c r="IQK2462" s="63"/>
      <c r="IQL2462" s="60"/>
      <c r="IQM2462" s="60"/>
      <c r="IQN2462" s="60"/>
      <c r="IQO2462" s="63"/>
      <c r="IQP2462" s="61"/>
      <c r="IQQ2462" s="54"/>
      <c r="IQR2462" s="54"/>
      <c r="IQS2462" s="63"/>
      <c r="IQT2462" s="60"/>
      <c r="IQU2462" s="60"/>
      <c r="IQV2462" s="60"/>
      <c r="IQW2462" s="63"/>
      <c r="IQX2462" s="61"/>
      <c r="IQY2462" s="54"/>
      <c r="IQZ2462" s="54"/>
      <c r="IRA2462" s="63"/>
      <c r="IRB2462" s="60"/>
      <c r="IRC2462" s="60"/>
      <c r="IRD2462" s="60"/>
      <c r="IRE2462" s="63"/>
      <c r="IRF2462" s="61"/>
      <c r="IRG2462" s="54"/>
      <c r="IRH2462" s="54"/>
      <c r="IRI2462" s="63"/>
      <c r="IRJ2462" s="60"/>
      <c r="IRK2462" s="60"/>
      <c r="IRL2462" s="60"/>
      <c r="IRM2462" s="63"/>
      <c r="IRN2462" s="61"/>
      <c r="IRO2462" s="54"/>
      <c r="IRP2462" s="54"/>
      <c r="IRQ2462" s="63"/>
      <c r="IRR2462" s="60"/>
      <c r="IRS2462" s="60"/>
      <c r="IRT2462" s="60"/>
      <c r="IRU2462" s="63"/>
      <c r="IRV2462" s="61"/>
      <c r="IRW2462" s="54"/>
      <c r="IRX2462" s="54"/>
      <c r="IRY2462" s="63"/>
      <c r="IRZ2462" s="60"/>
      <c r="ISA2462" s="60"/>
      <c r="ISB2462" s="60"/>
      <c r="ISC2462" s="63"/>
      <c r="ISD2462" s="61"/>
      <c r="ISE2462" s="54"/>
      <c r="ISF2462" s="54"/>
      <c r="ISG2462" s="63"/>
      <c r="ISH2462" s="60"/>
      <c r="ISI2462" s="60"/>
      <c r="ISJ2462" s="60"/>
      <c r="ISK2462" s="63"/>
      <c r="ISL2462" s="61"/>
      <c r="ISM2462" s="54"/>
      <c r="ISN2462" s="54"/>
      <c r="ISO2462" s="63"/>
      <c r="ISP2462" s="60"/>
      <c r="ISQ2462" s="60"/>
      <c r="ISR2462" s="60"/>
      <c r="ISS2462" s="63"/>
      <c r="IST2462" s="61"/>
      <c r="ISU2462" s="54"/>
      <c r="ISV2462" s="54"/>
      <c r="ISW2462" s="63"/>
      <c r="ISX2462" s="60"/>
      <c r="ISY2462" s="60"/>
      <c r="ISZ2462" s="60"/>
      <c r="ITA2462" s="63"/>
      <c r="ITB2462" s="61"/>
      <c r="ITC2462" s="54"/>
      <c r="ITD2462" s="54"/>
      <c r="ITE2462" s="63"/>
      <c r="ITF2462" s="60"/>
      <c r="ITG2462" s="60"/>
      <c r="ITH2462" s="60"/>
      <c r="ITI2462" s="63"/>
      <c r="ITJ2462" s="61"/>
      <c r="ITK2462" s="54"/>
      <c r="ITL2462" s="54"/>
      <c r="ITM2462" s="63"/>
      <c r="ITN2462" s="60"/>
      <c r="ITO2462" s="60"/>
      <c r="ITP2462" s="60"/>
      <c r="ITQ2462" s="63"/>
      <c r="ITR2462" s="61"/>
      <c r="ITS2462" s="54"/>
      <c r="ITT2462" s="54"/>
      <c r="ITU2462" s="63"/>
      <c r="ITV2462" s="60"/>
      <c r="ITW2462" s="60"/>
      <c r="ITX2462" s="60"/>
      <c r="ITY2462" s="63"/>
      <c r="ITZ2462" s="61"/>
      <c r="IUA2462" s="54"/>
      <c r="IUB2462" s="54"/>
      <c r="IUC2462" s="63"/>
      <c r="IUD2462" s="60"/>
      <c r="IUE2462" s="60"/>
      <c r="IUF2462" s="60"/>
      <c r="IUG2462" s="63"/>
      <c r="IUH2462" s="61"/>
      <c r="IUI2462" s="54"/>
      <c r="IUJ2462" s="54"/>
      <c r="IUK2462" s="63"/>
      <c r="IUL2462" s="60"/>
      <c r="IUM2462" s="60"/>
      <c r="IUN2462" s="60"/>
      <c r="IUO2462" s="63"/>
      <c r="IUP2462" s="61"/>
      <c r="IUQ2462" s="54"/>
      <c r="IUR2462" s="54"/>
      <c r="IUS2462" s="63"/>
      <c r="IUT2462" s="60"/>
      <c r="IUU2462" s="60"/>
      <c r="IUV2462" s="60"/>
      <c r="IUW2462" s="63"/>
      <c r="IUX2462" s="61"/>
      <c r="IUY2462" s="54"/>
      <c r="IUZ2462" s="54"/>
      <c r="IVA2462" s="63"/>
      <c r="IVB2462" s="60"/>
      <c r="IVC2462" s="60"/>
      <c r="IVD2462" s="60"/>
      <c r="IVE2462" s="63"/>
      <c r="IVF2462" s="61"/>
      <c r="IVG2462" s="54"/>
      <c r="IVH2462" s="54"/>
      <c r="IVI2462" s="63"/>
      <c r="IVJ2462" s="60"/>
      <c r="IVK2462" s="60"/>
      <c r="IVL2462" s="60"/>
      <c r="IVM2462" s="63"/>
      <c r="IVN2462" s="61"/>
      <c r="IVO2462" s="54"/>
      <c r="IVP2462" s="54"/>
      <c r="IVQ2462" s="63"/>
      <c r="IVR2462" s="60"/>
      <c r="IVS2462" s="60"/>
      <c r="IVT2462" s="60"/>
      <c r="IVU2462" s="63"/>
      <c r="IVV2462" s="61"/>
      <c r="IVW2462" s="54"/>
      <c r="IVX2462" s="54"/>
      <c r="IVY2462" s="63"/>
      <c r="IVZ2462" s="60"/>
      <c r="IWA2462" s="60"/>
      <c r="IWB2462" s="60"/>
      <c r="IWC2462" s="63"/>
      <c r="IWD2462" s="61"/>
      <c r="IWE2462" s="54"/>
      <c r="IWF2462" s="54"/>
      <c r="IWG2462" s="63"/>
      <c r="IWH2462" s="60"/>
      <c r="IWI2462" s="60"/>
      <c r="IWJ2462" s="60"/>
      <c r="IWK2462" s="63"/>
      <c r="IWL2462" s="61"/>
      <c r="IWM2462" s="54"/>
      <c r="IWN2462" s="54"/>
      <c r="IWO2462" s="63"/>
      <c r="IWP2462" s="60"/>
      <c r="IWQ2462" s="60"/>
      <c r="IWR2462" s="60"/>
      <c r="IWS2462" s="63"/>
      <c r="IWT2462" s="61"/>
      <c r="IWU2462" s="54"/>
      <c r="IWV2462" s="54"/>
      <c r="IWW2462" s="63"/>
      <c r="IWX2462" s="60"/>
      <c r="IWY2462" s="60"/>
      <c r="IWZ2462" s="60"/>
      <c r="IXA2462" s="63"/>
      <c r="IXB2462" s="61"/>
      <c r="IXC2462" s="54"/>
      <c r="IXD2462" s="54"/>
      <c r="IXE2462" s="63"/>
      <c r="IXF2462" s="60"/>
      <c r="IXG2462" s="60"/>
      <c r="IXH2462" s="60"/>
      <c r="IXI2462" s="63"/>
      <c r="IXJ2462" s="61"/>
      <c r="IXK2462" s="54"/>
      <c r="IXL2462" s="54"/>
      <c r="IXM2462" s="63"/>
      <c r="IXN2462" s="60"/>
      <c r="IXO2462" s="60"/>
      <c r="IXP2462" s="60"/>
      <c r="IXQ2462" s="63"/>
      <c r="IXR2462" s="61"/>
      <c r="IXS2462" s="54"/>
      <c r="IXT2462" s="54"/>
      <c r="IXU2462" s="63"/>
      <c r="IXV2462" s="60"/>
      <c r="IXW2462" s="60"/>
      <c r="IXX2462" s="60"/>
      <c r="IXY2462" s="63"/>
      <c r="IXZ2462" s="61"/>
      <c r="IYA2462" s="54"/>
      <c r="IYB2462" s="54"/>
      <c r="IYC2462" s="63"/>
      <c r="IYD2462" s="60"/>
      <c r="IYE2462" s="60"/>
      <c r="IYF2462" s="60"/>
      <c r="IYG2462" s="63"/>
      <c r="IYH2462" s="61"/>
      <c r="IYI2462" s="54"/>
      <c r="IYJ2462" s="54"/>
      <c r="IYK2462" s="63"/>
      <c r="IYL2462" s="60"/>
      <c r="IYM2462" s="60"/>
      <c r="IYN2462" s="60"/>
      <c r="IYO2462" s="63"/>
      <c r="IYP2462" s="61"/>
      <c r="IYQ2462" s="54"/>
      <c r="IYR2462" s="54"/>
      <c r="IYS2462" s="63"/>
      <c r="IYT2462" s="60"/>
      <c r="IYU2462" s="60"/>
      <c r="IYV2462" s="60"/>
      <c r="IYW2462" s="63"/>
      <c r="IYX2462" s="61"/>
      <c r="IYY2462" s="54"/>
      <c r="IYZ2462" s="54"/>
      <c r="IZA2462" s="63"/>
      <c r="IZB2462" s="60"/>
      <c r="IZC2462" s="60"/>
      <c r="IZD2462" s="60"/>
      <c r="IZE2462" s="63"/>
      <c r="IZF2462" s="61"/>
      <c r="IZG2462" s="54"/>
      <c r="IZH2462" s="54"/>
      <c r="IZI2462" s="63"/>
      <c r="IZJ2462" s="60"/>
      <c r="IZK2462" s="60"/>
      <c r="IZL2462" s="60"/>
      <c r="IZM2462" s="63"/>
      <c r="IZN2462" s="61"/>
      <c r="IZO2462" s="54"/>
      <c r="IZP2462" s="54"/>
      <c r="IZQ2462" s="63"/>
      <c r="IZR2462" s="60"/>
      <c r="IZS2462" s="60"/>
      <c r="IZT2462" s="60"/>
      <c r="IZU2462" s="63"/>
      <c r="IZV2462" s="61"/>
      <c r="IZW2462" s="54"/>
      <c r="IZX2462" s="54"/>
      <c r="IZY2462" s="63"/>
      <c r="IZZ2462" s="60"/>
      <c r="JAA2462" s="60"/>
      <c r="JAB2462" s="60"/>
      <c r="JAC2462" s="63"/>
      <c r="JAD2462" s="61"/>
      <c r="JAE2462" s="54"/>
      <c r="JAF2462" s="54"/>
      <c r="JAG2462" s="63"/>
      <c r="JAH2462" s="60"/>
      <c r="JAI2462" s="60"/>
      <c r="JAJ2462" s="60"/>
      <c r="JAK2462" s="63"/>
      <c r="JAL2462" s="61"/>
      <c r="JAM2462" s="54"/>
      <c r="JAN2462" s="54"/>
      <c r="JAO2462" s="63"/>
      <c r="JAP2462" s="60"/>
      <c r="JAQ2462" s="60"/>
      <c r="JAR2462" s="60"/>
      <c r="JAS2462" s="63"/>
      <c r="JAT2462" s="61"/>
      <c r="JAU2462" s="54"/>
      <c r="JAV2462" s="54"/>
      <c r="JAW2462" s="63"/>
      <c r="JAX2462" s="60"/>
      <c r="JAY2462" s="60"/>
      <c r="JAZ2462" s="60"/>
      <c r="JBA2462" s="63"/>
      <c r="JBB2462" s="61"/>
      <c r="JBC2462" s="54"/>
      <c r="JBD2462" s="54"/>
      <c r="JBE2462" s="63"/>
      <c r="JBF2462" s="60"/>
      <c r="JBG2462" s="60"/>
      <c r="JBH2462" s="60"/>
      <c r="JBI2462" s="63"/>
      <c r="JBJ2462" s="61"/>
      <c r="JBK2462" s="54"/>
      <c r="JBL2462" s="54"/>
      <c r="JBM2462" s="63"/>
      <c r="JBN2462" s="60"/>
      <c r="JBO2462" s="60"/>
      <c r="JBP2462" s="60"/>
      <c r="JBQ2462" s="63"/>
      <c r="JBR2462" s="61"/>
      <c r="JBS2462" s="54"/>
      <c r="JBT2462" s="54"/>
      <c r="JBU2462" s="63"/>
      <c r="JBV2462" s="60"/>
      <c r="JBW2462" s="60"/>
      <c r="JBX2462" s="60"/>
      <c r="JBY2462" s="63"/>
      <c r="JBZ2462" s="61"/>
      <c r="JCA2462" s="54"/>
      <c r="JCB2462" s="54"/>
      <c r="JCC2462" s="63"/>
      <c r="JCD2462" s="60"/>
      <c r="JCE2462" s="60"/>
      <c r="JCF2462" s="60"/>
      <c r="JCG2462" s="63"/>
      <c r="JCH2462" s="61"/>
      <c r="JCI2462" s="54"/>
      <c r="JCJ2462" s="54"/>
      <c r="JCK2462" s="63"/>
      <c r="JCL2462" s="60"/>
      <c r="JCM2462" s="60"/>
      <c r="JCN2462" s="60"/>
      <c r="JCO2462" s="63"/>
      <c r="JCP2462" s="61"/>
      <c r="JCQ2462" s="54"/>
      <c r="JCR2462" s="54"/>
      <c r="JCS2462" s="63"/>
      <c r="JCT2462" s="60"/>
      <c r="JCU2462" s="60"/>
      <c r="JCV2462" s="60"/>
      <c r="JCW2462" s="63"/>
      <c r="JCX2462" s="61"/>
      <c r="JCY2462" s="54"/>
      <c r="JCZ2462" s="54"/>
      <c r="JDA2462" s="63"/>
      <c r="JDB2462" s="60"/>
      <c r="JDC2462" s="60"/>
      <c r="JDD2462" s="60"/>
      <c r="JDE2462" s="63"/>
      <c r="JDF2462" s="61"/>
      <c r="JDG2462" s="54"/>
      <c r="JDH2462" s="54"/>
      <c r="JDI2462" s="63"/>
      <c r="JDJ2462" s="60"/>
      <c r="JDK2462" s="60"/>
      <c r="JDL2462" s="60"/>
      <c r="JDM2462" s="63"/>
      <c r="JDN2462" s="61"/>
      <c r="JDO2462" s="54"/>
      <c r="JDP2462" s="54"/>
      <c r="JDQ2462" s="63"/>
      <c r="JDR2462" s="60"/>
      <c r="JDS2462" s="60"/>
      <c r="JDT2462" s="60"/>
      <c r="JDU2462" s="63"/>
      <c r="JDV2462" s="61"/>
      <c r="JDW2462" s="54"/>
      <c r="JDX2462" s="54"/>
      <c r="JDY2462" s="63"/>
      <c r="JDZ2462" s="60"/>
      <c r="JEA2462" s="60"/>
      <c r="JEB2462" s="60"/>
      <c r="JEC2462" s="63"/>
      <c r="JED2462" s="61"/>
      <c r="JEE2462" s="54"/>
      <c r="JEF2462" s="54"/>
      <c r="JEG2462" s="63"/>
      <c r="JEH2462" s="60"/>
      <c r="JEI2462" s="60"/>
      <c r="JEJ2462" s="60"/>
      <c r="JEK2462" s="63"/>
      <c r="JEL2462" s="61"/>
      <c r="JEM2462" s="54"/>
      <c r="JEN2462" s="54"/>
      <c r="JEO2462" s="63"/>
      <c r="JEP2462" s="60"/>
      <c r="JEQ2462" s="60"/>
      <c r="JER2462" s="60"/>
      <c r="JES2462" s="63"/>
      <c r="JET2462" s="61"/>
      <c r="JEU2462" s="54"/>
      <c r="JEV2462" s="54"/>
      <c r="JEW2462" s="63"/>
      <c r="JEX2462" s="60"/>
      <c r="JEY2462" s="60"/>
      <c r="JEZ2462" s="60"/>
      <c r="JFA2462" s="63"/>
      <c r="JFB2462" s="61"/>
      <c r="JFC2462" s="54"/>
      <c r="JFD2462" s="54"/>
      <c r="JFE2462" s="63"/>
      <c r="JFF2462" s="60"/>
      <c r="JFG2462" s="60"/>
      <c r="JFH2462" s="60"/>
      <c r="JFI2462" s="63"/>
      <c r="JFJ2462" s="61"/>
      <c r="JFK2462" s="54"/>
      <c r="JFL2462" s="54"/>
      <c r="JFM2462" s="63"/>
      <c r="JFN2462" s="60"/>
      <c r="JFO2462" s="60"/>
      <c r="JFP2462" s="60"/>
      <c r="JFQ2462" s="63"/>
      <c r="JFR2462" s="61"/>
      <c r="JFS2462" s="54"/>
      <c r="JFT2462" s="54"/>
      <c r="JFU2462" s="63"/>
      <c r="JFV2462" s="60"/>
      <c r="JFW2462" s="60"/>
      <c r="JFX2462" s="60"/>
      <c r="JFY2462" s="63"/>
      <c r="JFZ2462" s="61"/>
      <c r="JGA2462" s="54"/>
      <c r="JGB2462" s="54"/>
      <c r="JGC2462" s="63"/>
      <c r="JGD2462" s="60"/>
      <c r="JGE2462" s="60"/>
      <c r="JGF2462" s="60"/>
      <c r="JGG2462" s="63"/>
      <c r="JGH2462" s="61"/>
      <c r="JGI2462" s="54"/>
      <c r="JGJ2462" s="54"/>
      <c r="JGK2462" s="63"/>
      <c r="JGL2462" s="60"/>
      <c r="JGM2462" s="60"/>
      <c r="JGN2462" s="60"/>
      <c r="JGO2462" s="63"/>
      <c r="JGP2462" s="61"/>
      <c r="JGQ2462" s="54"/>
      <c r="JGR2462" s="54"/>
      <c r="JGS2462" s="63"/>
      <c r="JGT2462" s="60"/>
      <c r="JGU2462" s="60"/>
      <c r="JGV2462" s="60"/>
      <c r="JGW2462" s="63"/>
      <c r="JGX2462" s="61"/>
      <c r="JGY2462" s="54"/>
      <c r="JGZ2462" s="54"/>
      <c r="JHA2462" s="63"/>
      <c r="JHB2462" s="60"/>
      <c r="JHC2462" s="60"/>
      <c r="JHD2462" s="60"/>
      <c r="JHE2462" s="63"/>
      <c r="JHF2462" s="61"/>
      <c r="JHG2462" s="54"/>
      <c r="JHH2462" s="54"/>
      <c r="JHI2462" s="63"/>
      <c r="JHJ2462" s="60"/>
      <c r="JHK2462" s="60"/>
      <c r="JHL2462" s="60"/>
      <c r="JHM2462" s="63"/>
      <c r="JHN2462" s="61"/>
      <c r="JHO2462" s="54"/>
      <c r="JHP2462" s="54"/>
      <c r="JHQ2462" s="63"/>
      <c r="JHR2462" s="60"/>
      <c r="JHS2462" s="60"/>
      <c r="JHT2462" s="60"/>
      <c r="JHU2462" s="63"/>
      <c r="JHV2462" s="61"/>
      <c r="JHW2462" s="54"/>
      <c r="JHX2462" s="54"/>
      <c r="JHY2462" s="63"/>
      <c r="JHZ2462" s="60"/>
      <c r="JIA2462" s="60"/>
      <c r="JIB2462" s="60"/>
      <c r="JIC2462" s="63"/>
      <c r="JID2462" s="61"/>
      <c r="JIE2462" s="54"/>
      <c r="JIF2462" s="54"/>
      <c r="JIG2462" s="63"/>
      <c r="JIH2462" s="60"/>
      <c r="JII2462" s="60"/>
      <c r="JIJ2462" s="60"/>
      <c r="JIK2462" s="63"/>
      <c r="JIL2462" s="61"/>
      <c r="JIM2462" s="54"/>
      <c r="JIN2462" s="54"/>
      <c r="JIO2462" s="63"/>
      <c r="JIP2462" s="60"/>
      <c r="JIQ2462" s="60"/>
      <c r="JIR2462" s="60"/>
      <c r="JIS2462" s="63"/>
      <c r="JIT2462" s="61"/>
      <c r="JIU2462" s="54"/>
      <c r="JIV2462" s="54"/>
      <c r="JIW2462" s="63"/>
      <c r="JIX2462" s="60"/>
      <c r="JIY2462" s="60"/>
      <c r="JIZ2462" s="60"/>
      <c r="JJA2462" s="63"/>
      <c r="JJB2462" s="61"/>
      <c r="JJC2462" s="54"/>
      <c r="JJD2462" s="54"/>
      <c r="JJE2462" s="63"/>
      <c r="JJF2462" s="60"/>
      <c r="JJG2462" s="60"/>
      <c r="JJH2462" s="60"/>
      <c r="JJI2462" s="63"/>
      <c r="JJJ2462" s="61"/>
      <c r="JJK2462" s="54"/>
      <c r="JJL2462" s="54"/>
      <c r="JJM2462" s="63"/>
      <c r="JJN2462" s="60"/>
      <c r="JJO2462" s="60"/>
      <c r="JJP2462" s="60"/>
      <c r="JJQ2462" s="63"/>
      <c r="JJR2462" s="61"/>
      <c r="JJS2462" s="54"/>
      <c r="JJT2462" s="54"/>
      <c r="JJU2462" s="63"/>
      <c r="JJV2462" s="60"/>
      <c r="JJW2462" s="60"/>
      <c r="JJX2462" s="60"/>
      <c r="JJY2462" s="63"/>
      <c r="JJZ2462" s="61"/>
      <c r="JKA2462" s="54"/>
      <c r="JKB2462" s="54"/>
      <c r="JKC2462" s="63"/>
      <c r="JKD2462" s="60"/>
      <c r="JKE2462" s="60"/>
      <c r="JKF2462" s="60"/>
      <c r="JKG2462" s="63"/>
      <c r="JKH2462" s="61"/>
      <c r="JKI2462" s="54"/>
      <c r="JKJ2462" s="54"/>
      <c r="JKK2462" s="63"/>
      <c r="JKL2462" s="60"/>
      <c r="JKM2462" s="60"/>
      <c r="JKN2462" s="60"/>
      <c r="JKO2462" s="63"/>
      <c r="JKP2462" s="61"/>
      <c r="JKQ2462" s="54"/>
      <c r="JKR2462" s="54"/>
      <c r="JKS2462" s="63"/>
      <c r="JKT2462" s="60"/>
      <c r="JKU2462" s="60"/>
      <c r="JKV2462" s="60"/>
      <c r="JKW2462" s="63"/>
      <c r="JKX2462" s="61"/>
      <c r="JKY2462" s="54"/>
      <c r="JKZ2462" s="54"/>
      <c r="JLA2462" s="63"/>
      <c r="JLB2462" s="60"/>
      <c r="JLC2462" s="60"/>
      <c r="JLD2462" s="60"/>
      <c r="JLE2462" s="63"/>
      <c r="JLF2462" s="61"/>
      <c r="JLG2462" s="54"/>
      <c r="JLH2462" s="54"/>
      <c r="JLI2462" s="63"/>
      <c r="JLJ2462" s="60"/>
      <c r="JLK2462" s="60"/>
      <c r="JLL2462" s="60"/>
      <c r="JLM2462" s="63"/>
      <c r="JLN2462" s="61"/>
      <c r="JLO2462" s="54"/>
      <c r="JLP2462" s="54"/>
      <c r="JLQ2462" s="63"/>
      <c r="JLR2462" s="60"/>
      <c r="JLS2462" s="60"/>
      <c r="JLT2462" s="60"/>
      <c r="JLU2462" s="63"/>
      <c r="JLV2462" s="61"/>
      <c r="JLW2462" s="54"/>
      <c r="JLX2462" s="54"/>
      <c r="JLY2462" s="63"/>
      <c r="JLZ2462" s="60"/>
      <c r="JMA2462" s="60"/>
      <c r="JMB2462" s="60"/>
      <c r="JMC2462" s="63"/>
      <c r="JMD2462" s="61"/>
      <c r="JME2462" s="54"/>
      <c r="JMF2462" s="54"/>
      <c r="JMG2462" s="63"/>
      <c r="JMH2462" s="60"/>
      <c r="JMI2462" s="60"/>
      <c r="JMJ2462" s="60"/>
      <c r="JMK2462" s="63"/>
      <c r="JML2462" s="61"/>
      <c r="JMM2462" s="54"/>
      <c r="JMN2462" s="54"/>
      <c r="JMO2462" s="63"/>
      <c r="JMP2462" s="60"/>
      <c r="JMQ2462" s="60"/>
      <c r="JMR2462" s="60"/>
      <c r="JMS2462" s="63"/>
      <c r="JMT2462" s="61"/>
      <c r="JMU2462" s="54"/>
      <c r="JMV2462" s="54"/>
      <c r="JMW2462" s="63"/>
      <c r="JMX2462" s="60"/>
      <c r="JMY2462" s="60"/>
      <c r="JMZ2462" s="60"/>
      <c r="JNA2462" s="63"/>
      <c r="JNB2462" s="61"/>
      <c r="JNC2462" s="54"/>
      <c r="JND2462" s="54"/>
      <c r="JNE2462" s="63"/>
      <c r="JNF2462" s="60"/>
      <c r="JNG2462" s="60"/>
      <c r="JNH2462" s="60"/>
      <c r="JNI2462" s="63"/>
      <c r="JNJ2462" s="61"/>
      <c r="JNK2462" s="54"/>
      <c r="JNL2462" s="54"/>
      <c r="JNM2462" s="63"/>
      <c r="JNN2462" s="60"/>
      <c r="JNO2462" s="60"/>
      <c r="JNP2462" s="60"/>
      <c r="JNQ2462" s="63"/>
      <c r="JNR2462" s="61"/>
      <c r="JNS2462" s="54"/>
      <c r="JNT2462" s="54"/>
      <c r="JNU2462" s="63"/>
      <c r="JNV2462" s="60"/>
      <c r="JNW2462" s="60"/>
      <c r="JNX2462" s="60"/>
      <c r="JNY2462" s="63"/>
      <c r="JNZ2462" s="61"/>
      <c r="JOA2462" s="54"/>
      <c r="JOB2462" s="54"/>
      <c r="JOC2462" s="63"/>
      <c r="JOD2462" s="60"/>
      <c r="JOE2462" s="60"/>
      <c r="JOF2462" s="60"/>
      <c r="JOG2462" s="63"/>
      <c r="JOH2462" s="61"/>
      <c r="JOI2462" s="54"/>
      <c r="JOJ2462" s="54"/>
      <c r="JOK2462" s="63"/>
      <c r="JOL2462" s="60"/>
      <c r="JOM2462" s="60"/>
      <c r="JON2462" s="60"/>
      <c r="JOO2462" s="63"/>
      <c r="JOP2462" s="61"/>
      <c r="JOQ2462" s="54"/>
      <c r="JOR2462" s="54"/>
      <c r="JOS2462" s="63"/>
      <c r="JOT2462" s="60"/>
      <c r="JOU2462" s="60"/>
      <c r="JOV2462" s="60"/>
      <c r="JOW2462" s="63"/>
      <c r="JOX2462" s="61"/>
      <c r="JOY2462" s="54"/>
      <c r="JOZ2462" s="54"/>
      <c r="JPA2462" s="63"/>
      <c r="JPB2462" s="60"/>
      <c r="JPC2462" s="60"/>
      <c r="JPD2462" s="60"/>
      <c r="JPE2462" s="63"/>
      <c r="JPF2462" s="61"/>
      <c r="JPG2462" s="54"/>
      <c r="JPH2462" s="54"/>
      <c r="JPI2462" s="63"/>
      <c r="JPJ2462" s="60"/>
      <c r="JPK2462" s="60"/>
      <c r="JPL2462" s="60"/>
      <c r="JPM2462" s="63"/>
      <c r="JPN2462" s="61"/>
      <c r="JPO2462" s="54"/>
      <c r="JPP2462" s="54"/>
      <c r="JPQ2462" s="63"/>
      <c r="JPR2462" s="60"/>
      <c r="JPS2462" s="60"/>
      <c r="JPT2462" s="60"/>
      <c r="JPU2462" s="63"/>
      <c r="JPV2462" s="61"/>
      <c r="JPW2462" s="54"/>
      <c r="JPX2462" s="54"/>
      <c r="JPY2462" s="63"/>
      <c r="JPZ2462" s="60"/>
      <c r="JQA2462" s="60"/>
      <c r="JQB2462" s="60"/>
      <c r="JQC2462" s="63"/>
      <c r="JQD2462" s="61"/>
      <c r="JQE2462" s="54"/>
      <c r="JQF2462" s="54"/>
      <c r="JQG2462" s="63"/>
      <c r="JQH2462" s="60"/>
      <c r="JQI2462" s="60"/>
      <c r="JQJ2462" s="60"/>
      <c r="JQK2462" s="63"/>
      <c r="JQL2462" s="61"/>
      <c r="JQM2462" s="54"/>
      <c r="JQN2462" s="54"/>
      <c r="JQO2462" s="63"/>
      <c r="JQP2462" s="60"/>
      <c r="JQQ2462" s="60"/>
      <c r="JQR2462" s="60"/>
      <c r="JQS2462" s="63"/>
      <c r="JQT2462" s="61"/>
      <c r="JQU2462" s="54"/>
      <c r="JQV2462" s="54"/>
      <c r="JQW2462" s="63"/>
      <c r="JQX2462" s="60"/>
      <c r="JQY2462" s="60"/>
      <c r="JQZ2462" s="60"/>
      <c r="JRA2462" s="63"/>
      <c r="JRB2462" s="61"/>
      <c r="JRC2462" s="54"/>
      <c r="JRD2462" s="54"/>
      <c r="JRE2462" s="63"/>
      <c r="JRF2462" s="60"/>
      <c r="JRG2462" s="60"/>
      <c r="JRH2462" s="60"/>
      <c r="JRI2462" s="63"/>
      <c r="JRJ2462" s="61"/>
      <c r="JRK2462" s="54"/>
      <c r="JRL2462" s="54"/>
      <c r="JRM2462" s="63"/>
      <c r="JRN2462" s="60"/>
      <c r="JRO2462" s="60"/>
      <c r="JRP2462" s="60"/>
      <c r="JRQ2462" s="63"/>
      <c r="JRR2462" s="61"/>
      <c r="JRS2462" s="54"/>
      <c r="JRT2462" s="54"/>
      <c r="JRU2462" s="63"/>
      <c r="JRV2462" s="60"/>
      <c r="JRW2462" s="60"/>
      <c r="JRX2462" s="60"/>
      <c r="JRY2462" s="63"/>
      <c r="JRZ2462" s="61"/>
      <c r="JSA2462" s="54"/>
      <c r="JSB2462" s="54"/>
      <c r="JSC2462" s="63"/>
      <c r="JSD2462" s="60"/>
      <c r="JSE2462" s="60"/>
      <c r="JSF2462" s="60"/>
      <c r="JSG2462" s="63"/>
      <c r="JSH2462" s="61"/>
      <c r="JSI2462" s="54"/>
      <c r="JSJ2462" s="54"/>
      <c r="JSK2462" s="63"/>
      <c r="JSL2462" s="60"/>
      <c r="JSM2462" s="60"/>
      <c r="JSN2462" s="60"/>
      <c r="JSO2462" s="63"/>
      <c r="JSP2462" s="61"/>
      <c r="JSQ2462" s="54"/>
      <c r="JSR2462" s="54"/>
      <c r="JSS2462" s="63"/>
      <c r="JST2462" s="60"/>
      <c r="JSU2462" s="60"/>
      <c r="JSV2462" s="60"/>
      <c r="JSW2462" s="63"/>
      <c r="JSX2462" s="61"/>
      <c r="JSY2462" s="54"/>
      <c r="JSZ2462" s="54"/>
      <c r="JTA2462" s="63"/>
      <c r="JTB2462" s="60"/>
      <c r="JTC2462" s="60"/>
      <c r="JTD2462" s="60"/>
      <c r="JTE2462" s="63"/>
      <c r="JTF2462" s="61"/>
      <c r="JTG2462" s="54"/>
      <c r="JTH2462" s="54"/>
      <c r="JTI2462" s="63"/>
      <c r="JTJ2462" s="60"/>
      <c r="JTK2462" s="60"/>
      <c r="JTL2462" s="60"/>
      <c r="JTM2462" s="63"/>
      <c r="JTN2462" s="61"/>
      <c r="JTO2462" s="54"/>
      <c r="JTP2462" s="54"/>
      <c r="JTQ2462" s="63"/>
      <c r="JTR2462" s="60"/>
      <c r="JTS2462" s="60"/>
      <c r="JTT2462" s="60"/>
      <c r="JTU2462" s="63"/>
      <c r="JTV2462" s="61"/>
      <c r="JTW2462" s="54"/>
      <c r="JTX2462" s="54"/>
      <c r="JTY2462" s="63"/>
      <c r="JTZ2462" s="60"/>
      <c r="JUA2462" s="60"/>
      <c r="JUB2462" s="60"/>
      <c r="JUC2462" s="63"/>
      <c r="JUD2462" s="61"/>
      <c r="JUE2462" s="54"/>
      <c r="JUF2462" s="54"/>
      <c r="JUG2462" s="63"/>
      <c r="JUH2462" s="60"/>
      <c r="JUI2462" s="60"/>
      <c r="JUJ2462" s="60"/>
      <c r="JUK2462" s="63"/>
      <c r="JUL2462" s="61"/>
      <c r="JUM2462" s="54"/>
      <c r="JUN2462" s="54"/>
      <c r="JUO2462" s="63"/>
      <c r="JUP2462" s="60"/>
      <c r="JUQ2462" s="60"/>
      <c r="JUR2462" s="60"/>
      <c r="JUS2462" s="63"/>
      <c r="JUT2462" s="61"/>
      <c r="JUU2462" s="54"/>
      <c r="JUV2462" s="54"/>
      <c r="JUW2462" s="63"/>
      <c r="JUX2462" s="60"/>
      <c r="JUY2462" s="60"/>
      <c r="JUZ2462" s="60"/>
      <c r="JVA2462" s="63"/>
      <c r="JVB2462" s="61"/>
      <c r="JVC2462" s="54"/>
      <c r="JVD2462" s="54"/>
      <c r="JVE2462" s="63"/>
      <c r="JVF2462" s="60"/>
      <c r="JVG2462" s="60"/>
      <c r="JVH2462" s="60"/>
      <c r="JVI2462" s="63"/>
      <c r="JVJ2462" s="61"/>
      <c r="JVK2462" s="54"/>
      <c r="JVL2462" s="54"/>
      <c r="JVM2462" s="63"/>
      <c r="JVN2462" s="60"/>
      <c r="JVO2462" s="60"/>
      <c r="JVP2462" s="60"/>
      <c r="JVQ2462" s="63"/>
      <c r="JVR2462" s="61"/>
      <c r="JVS2462" s="54"/>
      <c r="JVT2462" s="54"/>
      <c r="JVU2462" s="63"/>
      <c r="JVV2462" s="60"/>
      <c r="JVW2462" s="60"/>
      <c r="JVX2462" s="60"/>
      <c r="JVY2462" s="63"/>
      <c r="JVZ2462" s="61"/>
      <c r="JWA2462" s="54"/>
      <c r="JWB2462" s="54"/>
      <c r="JWC2462" s="63"/>
      <c r="JWD2462" s="60"/>
      <c r="JWE2462" s="60"/>
      <c r="JWF2462" s="60"/>
      <c r="JWG2462" s="63"/>
      <c r="JWH2462" s="61"/>
      <c r="JWI2462" s="54"/>
      <c r="JWJ2462" s="54"/>
      <c r="JWK2462" s="63"/>
      <c r="JWL2462" s="60"/>
      <c r="JWM2462" s="60"/>
      <c r="JWN2462" s="60"/>
      <c r="JWO2462" s="63"/>
      <c r="JWP2462" s="61"/>
      <c r="JWQ2462" s="54"/>
      <c r="JWR2462" s="54"/>
      <c r="JWS2462" s="63"/>
      <c r="JWT2462" s="60"/>
      <c r="JWU2462" s="60"/>
      <c r="JWV2462" s="60"/>
      <c r="JWW2462" s="63"/>
      <c r="JWX2462" s="61"/>
      <c r="JWY2462" s="54"/>
      <c r="JWZ2462" s="54"/>
      <c r="JXA2462" s="63"/>
      <c r="JXB2462" s="60"/>
      <c r="JXC2462" s="60"/>
      <c r="JXD2462" s="60"/>
      <c r="JXE2462" s="63"/>
      <c r="JXF2462" s="61"/>
      <c r="JXG2462" s="54"/>
      <c r="JXH2462" s="54"/>
      <c r="JXI2462" s="63"/>
      <c r="JXJ2462" s="60"/>
      <c r="JXK2462" s="60"/>
      <c r="JXL2462" s="60"/>
      <c r="JXM2462" s="63"/>
      <c r="JXN2462" s="61"/>
      <c r="JXO2462" s="54"/>
      <c r="JXP2462" s="54"/>
      <c r="JXQ2462" s="63"/>
      <c r="JXR2462" s="60"/>
      <c r="JXS2462" s="60"/>
      <c r="JXT2462" s="60"/>
      <c r="JXU2462" s="63"/>
      <c r="JXV2462" s="61"/>
      <c r="JXW2462" s="54"/>
      <c r="JXX2462" s="54"/>
      <c r="JXY2462" s="63"/>
      <c r="JXZ2462" s="60"/>
      <c r="JYA2462" s="60"/>
      <c r="JYB2462" s="60"/>
      <c r="JYC2462" s="63"/>
      <c r="JYD2462" s="61"/>
      <c r="JYE2462" s="54"/>
      <c r="JYF2462" s="54"/>
      <c r="JYG2462" s="63"/>
      <c r="JYH2462" s="60"/>
      <c r="JYI2462" s="60"/>
      <c r="JYJ2462" s="60"/>
      <c r="JYK2462" s="63"/>
      <c r="JYL2462" s="61"/>
      <c r="JYM2462" s="54"/>
      <c r="JYN2462" s="54"/>
      <c r="JYO2462" s="63"/>
      <c r="JYP2462" s="60"/>
      <c r="JYQ2462" s="60"/>
      <c r="JYR2462" s="60"/>
      <c r="JYS2462" s="63"/>
      <c r="JYT2462" s="61"/>
      <c r="JYU2462" s="54"/>
      <c r="JYV2462" s="54"/>
      <c r="JYW2462" s="63"/>
      <c r="JYX2462" s="60"/>
      <c r="JYY2462" s="60"/>
      <c r="JYZ2462" s="60"/>
      <c r="JZA2462" s="63"/>
      <c r="JZB2462" s="61"/>
      <c r="JZC2462" s="54"/>
      <c r="JZD2462" s="54"/>
      <c r="JZE2462" s="63"/>
      <c r="JZF2462" s="60"/>
      <c r="JZG2462" s="60"/>
      <c r="JZH2462" s="60"/>
      <c r="JZI2462" s="63"/>
      <c r="JZJ2462" s="61"/>
      <c r="JZK2462" s="54"/>
      <c r="JZL2462" s="54"/>
      <c r="JZM2462" s="63"/>
      <c r="JZN2462" s="60"/>
      <c r="JZO2462" s="60"/>
      <c r="JZP2462" s="60"/>
      <c r="JZQ2462" s="63"/>
      <c r="JZR2462" s="61"/>
      <c r="JZS2462" s="54"/>
      <c r="JZT2462" s="54"/>
      <c r="JZU2462" s="63"/>
      <c r="JZV2462" s="60"/>
      <c r="JZW2462" s="60"/>
      <c r="JZX2462" s="60"/>
      <c r="JZY2462" s="63"/>
      <c r="JZZ2462" s="61"/>
      <c r="KAA2462" s="54"/>
      <c r="KAB2462" s="54"/>
      <c r="KAC2462" s="63"/>
      <c r="KAD2462" s="60"/>
      <c r="KAE2462" s="60"/>
      <c r="KAF2462" s="60"/>
      <c r="KAG2462" s="63"/>
      <c r="KAH2462" s="61"/>
      <c r="KAI2462" s="54"/>
      <c r="KAJ2462" s="54"/>
      <c r="KAK2462" s="63"/>
      <c r="KAL2462" s="60"/>
      <c r="KAM2462" s="60"/>
      <c r="KAN2462" s="60"/>
      <c r="KAO2462" s="63"/>
      <c r="KAP2462" s="61"/>
      <c r="KAQ2462" s="54"/>
      <c r="KAR2462" s="54"/>
      <c r="KAS2462" s="63"/>
      <c r="KAT2462" s="60"/>
      <c r="KAU2462" s="60"/>
      <c r="KAV2462" s="60"/>
      <c r="KAW2462" s="63"/>
      <c r="KAX2462" s="61"/>
      <c r="KAY2462" s="54"/>
      <c r="KAZ2462" s="54"/>
      <c r="KBA2462" s="63"/>
      <c r="KBB2462" s="60"/>
      <c r="KBC2462" s="60"/>
      <c r="KBD2462" s="60"/>
      <c r="KBE2462" s="63"/>
      <c r="KBF2462" s="61"/>
      <c r="KBG2462" s="54"/>
      <c r="KBH2462" s="54"/>
      <c r="KBI2462" s="63"/>
      <c r="KBJ2462" s="60"/>
      <c r="KBK2462" s="60"/>
      <c r="KBL2462" s="60"/>
      <c r="KBM2462" s="63"/>
      <c r="KBN2462" s="61"/>
      <c r="KBO2462" s="54"/>
      <c r="KBP2462" s="54"/>
      <c r="KBQ2462" s="63"/>
      <c r="KBR2462" s="60"/>
      <c r="KBS2462" s="60"/>
      <c r="KBT2462" s="60"/>
      <c r="KBU2462" s="63"/>
      <c r="KBV2462" s="61"/>
      <c r="KBW2462" s="54"/>
      <c r="KBX2462" s="54"/>
      <c r="KBY2462" s="63"/>
      <c r="KBZ2462" s="60"/>
      <c r="KCA2462" s="60"/>
      <c r="KCB2462" s="60"/>
      <c r="KCC2462" s="63"/>
      <c r="KCD2462" s="61"/>
      <c r="KCE2462" s="54"/>
      <c r="KCF2462" s="54"/>
      <c r="KCG2462" s="63"/>
      <c r="KCH2462" s="60"/>
      <c r="KCI2462" s="60"/>
      <c r="KCJ2462" s="60"/>
      <c r="KCK2462" s="63"/>
      <c r="KCL2462" s="61"/>
      <c r="KCM2462" s="54"/>
      <c r="KCN2462" s="54"/>
      <c r="KCO2462" s="63"/>
      <c r="KCP2462" s="60"/>
      <c r="KCQ2462" s="60"/>
      <c r="KCR2462" s="60"/>
      <c r="KCS2462" s="63"/>
      <c r="KCT2462" s="61"/>
      <c r="KCU2462" s="54"/>
      <c r="KCV2462" s="54"/>
      <c r="KCW2462" s="63"/>
      <c r="KCX2462" s="60"/>
      <c r="KCY2462" s="60"/>
      <c r="KCZ2462" s="60"/>
      <c r="KDA2462" s="63"/>
      <c r="KDB2462" s="61"/>
      <c r="KDC2462" s="54"/>
      <c r="KDD2462" s="54"/>
      <c r="KDE2462" s="63"/>
      <c r="KDF2462" s="60"/>
      <c r="KDG2462" s="60"/>
      <c r="KDH2462" s="60"/>
      <c r="KDI2462" s="63"/>
      <c r="KDJ2462" s="61"/>
      <c r="KDK2462" s="54"/>
      <c r="KDL2462" s="54"/>
      <c r="KDM2462" s="63"/>
      <c r="KDN2462" s="60"/>
      <c r="KDO2462" s="60"/>
      <c r="KDP2462" s="60"/>
      <c r="KDQ2462" s="63"/>
      <c r="KDR2462" s="61"/>
      <c r="KDS2462" s="54"/>
      <c r="KDT2462" s="54"/>
      <c r="KDU2462" s="63"/>
      <c r="KDV2462" s="60"/>
      <c r="KDW2462" s="60"/>
      <c r="KDX2462" s="60"/>
      <c r="KDY2462" s="63"/>
      <c r="KDZ2462" s="61"/>
      <c r="KEA2462" s="54"/>
      <c r="KEB2462" s="54"/>
      <c r="KEC2462" s="63"/>
      <c r="KED2462" s="60"/>
      <c r="KEE2462" s="60"/>
      <c r="KEF2462" s="60"/>
      <c r="KEG2462" s="63"/>
      <c r="KEH2462" s="61"/>
      <c r="KEI2462" s="54"/>
      <c r="KEJ2462" s="54"/>
      <c r="KEK2462" s="63"/>
      <c r="KEL2462" s="60"/>
      <c r="KEM2462" s="60"/>
      <c r="KEN2462" s="60"/>
      <c r="KEO2462" s="63"/>
      <c r="KEP2462" s="61"/>
      <c r="KEQ2462" s="54"/>
      <c r="KER2462" s="54"/>
      <c r="KES2462" s="63"/>
      <c r="KET2462" s="60"/>
      <c r="KEU2462" s="60"/>
      <c r="KEV2462" s="60"/>
      <c r="KEW2462" s="63"/>
      <c r="KEX2462" s="61"/>
      <c r="KEY2462" s="54"/>
      <c r="KEZ2462" s="54"/>
      <c r="KFA2462" s="63"/>
      <c r="KFB2462" s="60"/>
      <c r="KFC2462" s="60"/>
      <c r="KFD2462" s="60"/>
      <c r="KFE2462" s="63"/>
      <c r="KFF2462" s="61"/>
      <c r="KFG2462" s="54"/>
      <c r="KFH2462" s="54"/>
      <c r="KFI2462" s="63"/>
      <c r="KFJ2462" s="60"/>
      <c r="KFK2462" s="60"/>
      <c r="KFL2462" s="60"/>
      <c r="KFM2462" s="63"/>
      <c r="KFN2462" s="61"/>
      <c r="KFO2462" s="54"/>
      <c r="KFP2462" s="54"/>
      <c r="KFQ2462" s="63"/>
      <c r="KFR2462" s="60"/>
      <c r="KFS2462" s="60"/>
      <c r="KFT2462" s="60"/>
      <c r="KFU2462" s="63"/>
      <c r="KFV2462" s="61"/>
      <c r="KFW2462" s="54"/>
      <c r="KFX2462" s="54"/>
      <c r="KFY2462" s="63"/>
      <c r="KFZ2462" s="60"/>
      <c r="KGA2462" s="60"/>
      <c r="KGB2462" s="60"/>
      <c r="KGC2462" s="63"/>
      <c r="KGD2462" s="61"/>
      <c r="KGE2462" s="54"/>
      <c r="KGF2462" s="54"/>
      <c r="KGG2462" s="63"/>
      <c r="KGH2462" s="60"/>
      <c r="KGI2462" s="60"/>
      <c r="KGJ2462" s="60"/>
      <c r="KGK2462" s="63"/>
      <c r="KGL2462" s="61"/>
      <c r="KGM2462" s="54"/>
      <c r="KGN2462" s="54"/>
      <c r="KGO2462" s="63"/>
      <c r="KGP2462" s="60"/>
      <c r="KGQ2462" s="60"/>
      <c r="KGR2462" s="60"/>
      <c r="KGS2462" s="63"/>
      <c r="KGT2462" s="61"/>
      <c r="KGU2462" s="54"/>
      <c r="KGV2462" s="54"/>
      <c r="KGW2462" s="63"/>
      <c r="KGX2462" s="60"/>
      <c r="KGY2462" s="60"/>
      <c r="KGZ2462" s="60"/>
      <c r="KHA2462" s="63"/>
      <c r="KHB2462" s="61"/>
      <c r="KHC2462" s="54"/>
      <c r="KHD2462" s="54"/>
      <c r="KHE2462" s="63"/>
      <c r="KHF2462" s="60"/>
      <c r="KHG2462" s="60"/>
      <c r="KHH2462" s="60"/>
      <c r="KHI2462" s="63"/>
      <c r="KHJ2462" s="61"/>
      <c r="KHK2462" s="54"/>
      <c r="KHL2462" s="54"/>
      <c r="KHM2462" s="63"/>
      <c r="KHN2462" s="60"/>
      <c r="KHO2462" s="60"/>
      <c r="KHP2462" s="60"/>
      <c r="KHQ2462" s="63"/>
      <c r="KHR2462" s="61"/>
      <c r="KHS2462" s="54"/>
      <c r="KHT2462" s="54"/>
      <c r="KHU2462" s="63"/>
      <c r="KHV2462" s="60"/>
      <c r="KHW2462" s="60"/>
      <c r="KHX2462" s="60"/>
      <c r="KHY2462" s="63"/>
      <c r="KHZ2462" s="61"/>
      <c r="KIA2462" s="54"/>
      <c r="KIB2462" s="54"/>
      <c r="KIC2462" s="63"/>
      <c r="KID2462" s="60"/>
      <c r="KIE2462" s="60"/>
      <c r="KIF2462" s="60"/>
      <c r="KIG2462" s="63"/>
      <c r="KIH2462" s="61"/>
      <c r="KII2462" s="54"/>
      <c r="KIJ2462" s="54"/>
      <c r="KIK2462" s="63"/>
      <c r="KIL2462" s="60"/>
      <c r="KIM2462" s="60"/>
      <c r="KIN2462" s="60"/>
      <c r="KIO2462" s="63"/>
      <c r="KIP2462" s="61"/>
      <c r="KIQ2462" s="54"/>
      <c r="KIR2462" s="54"/>
      <c r="KIS2462" s="63"/>
      <c r="KIT2462" s="60"/>
      <c r="KIU2462" s="60"/>
      <c r="KIV2462" s="60"/>
      <c r="KIW2462" s="63"/>
      <c r="KIX2462" s="61"/>
      <c r="KIY2462" s="54"/>
      <c r="KIZ2462" s="54"/>
      <c r="KJA2462" s="63"/>
      <c r="KJB2462" s="60"/>
      <c r="KJC2462" s="60"/>
      <c r="KJD2462" s="60"/>
      <c r="KJE2462" s="63"/>
      <c r="KJF2462" s="61"/>
      <c r="KJG2462" s="54"/>
      <c r="KJH2462" s="54"/>
      <c r="KJI2462" s="63"/>
      <c r="KJJ2462" s="60"/>
      <c r="KJK2462" s="60"/>
      <c r="KJL2462" s="60"/>
      <c r="KJM2462" s="63"/>
      <c r="KJN2462" s="61"/>
      <c r="KJO2462" s="54"/>
      <c r="KJP2462" s="54"/>
      <c r="KJQ2462" s="63"/>
      <c r="KJR2462" s="60"/>
      <c r="KJS2462" s="60"/>
      <c r="KJT2462" s="60"/>
      <c r="KJU2462" s="63"/>
      <c r="KJV2462" s="61"/>
      <c r="KJW2462" s="54"/>
      <c r="KJX2462" s="54"/>
      <c r="KJY2462" s="63"/>
      <c r="KJZ2462" s="60"/>
      <c r="KKA2462" s="60"/>
      <c r="KKB2462" s="60"/>
      <c r="KKC2462" s="63"/>
      <c r="KKD2462" s="61"/>
      <c r="KKE2462" s="54"/>
      <c r="KKF2462" s="54"/>
      <c r="KKG2462" s="63"/>
      <c r="KKH2462" s="60"/>
      <c r="KKI2462" s="60"/>
      <c r="KKJ2462" s="60"/>
      <c r="KKK2462" s="63"/>
      <c r="KKL2462" s="61"/>
      <c r="KKM2462" s="54"/>
      <c r="KKN2462" s="54"/>
      <c r="KKO2462" s="63"/>
      <c r="KKP2462" s="60"/>
      <c r="KKQ2462" s="60"/>
      <c r="KKR2462" s="60"/>
      <c r="KKS2462" s="63"/>
      <c r="KKT2462" s="61"/>
      <c r="KKU2462" s="54"/>
      <c r="KKV2462" s="54"/>
      <c r="KKW2462" s="63"/>
      <c r="KKX2462" s="60"/>
      <c r="KKY2462" s="60"/>
      <c r="KKZ2462" s="60"/>
      <c r="KLA2462" s="63"/>
      <c r="KLB2462" s="61"/>
      <c r="KLC2462" s="54"/>
      <c r="KLD2462" s="54"/>
      <c r="KLE2462" s="63"/>
      <c r="KLF2462" s="60"/>
      <c r="KLG2462" s="60"/>
      <c r="KLH2462" s="60"/>
      <c r="KLI2462" s="63"/>
      <c r="KLJ2462" s="61"/>
      <c r="KLK2462" s="54"/>
      <c r="KLL2462" s="54"/>
      <c r="KLM2462" s="63"/>
      <c r="KLN2462" s="60"/>
      <c r="KLO2462" s="60"/>
      <c r="KLP2462" s="60"/>
      <c r="KLQ2462" s="63"/>
      <c r="KLR2462" s="61"/>
      <c r="KLS2462" s="54"/>
      <c r="KLT2462" s="54"/>
      <c r="KLU2462" s="63"/>
      <c r="KLV2462" s="60"/>
      <c r="KLW2462" s="60"/>
      <c r="KLX2462" s="60"/>
      <c r="KLY2462" s="63"/>
      <c r="KLZ2462" s="61"/>
      <c r="KMA2462" s="54"/>
      <c r="KMB2462" s="54"/>
      <c r="KMC2462" s="63"/>
      <c r="KMD2462" s="60"/>
      <c r="KME2462" s="60"/>
      <c r="KMF2462" s="60"/>
      <c r="KMG2462" s="63"/>
      <c r="KMH2462" s="61"/>
      <c r="KMI2462" s="54"/>
      <c r="KMJ2462" s="54"/>
      <c r="KMK2462" s="63"/>
      <c r="KML2462" s="60"/>
      <c r="KMM2462" s="60"/>
      <c r="KMN2462" s="60"/>
      <c r="KMO2462" s="63"/>
      <c r="KMP2462" s="61"/>
      <c r="KMQ2462" s="54"/>
      <c r="KMR2462" s="54"/>
      <c r="KMS2462" s="63"/>
      <c r="KMT2462" s="60"/>
      <c r="KMU2462" s="60"/>
      <c r="KMV2462" s="60"/>
      <c r="KMW2462" s="63"/>
      <c r="KMX2462" s="61"/>
      <c r="KMY2462" s="54"/>
      <c r="KMZ2462" s="54"/>
      <c r="KNA2462" s="63"/>
      <c r="KNB2462" s="60"/>
      <c r="KNC2462" s="60"/>
      <c r="KND2462" s="60"/>
      <c r="KNE2462" s="63"/>
      <c r="KNF2462" s="61"/>
      <c r="KNG2462" s="54"/>
      <c r="KNH2462" s="54"/>
      <c r="KNI2462" s="63"/>
      <c r="KNJ2462" s="60"/>
      <c r="KNK2462" s="60"/>
      <c r="KNL2462" s="60"/>
      <c r="KNM2462" s="63"/>
      <c r="KNN2462" s="61"/>
      <c r="KNO2462" s="54"/>
      <c r="KNP2462" s="54"/>
      <c r="KNQ2462" s="63"/>
      <c r="KNR2462" s="60"/>
      <c r="KNS2462" s="60"/>
      <c r="KNT2462" s="60"/>
      <c r="KNU2462" s="63"/>
      <c r="KNV2462" s="61"/>
      <c r="KNW2462" s="54"/>
      <c r="KNX2462" s="54"/>
      <c r="KNY2462" s="63"/>
      <c r="KNZ2462" s="60"/>
      <c r="KOA2462" s="60"/>
      <c r="KOB2462" s="60"/>
      <c r="KOC2462" s="63"/>
      <c r="KOD2462" s="61"/>
      <c r="KOE2462" s="54"/>
      <c r="KOF2462" s="54"/>
      <c r="KOG2462" s="63"/>
      <c r="KOH2462" s="60"/>
      <c r="KOI2462" s="60"/>
      <c r="KOJ2462" s="60"/>
      <c r="KOK2462" s="63"/>
      <c r="KOL2462" s="61"/>
      <c r="KOM2462" s="54"/>
      <c r="KON2462" s="54"/>
      <c r="KOO2462" s="63"/>
      <c r="KOP2462" s="60"/>
      <c r="KOQ2462" s="60"/>
      <c r="KOR2462" s="60"/>
      <c r="KOS2462" s="63"/>
      <c r="KOT2462" s="61"/>
      <c r="KOU2462" s="54"/>
      <c r="KOV2462" s="54"/>
      <c r="KOW2462" s="63"/>
      <c r="KOX2462" s="60"/>
      <c r="KOY2462" s="60"/>
      <c r="KOZ2462" s="60"/>
      <c r="KPA2462" s="63"/>
      <c r="KPB2462" s="61"/>
      <c r="KPC2462" s="54"/>
      <c r="KPD2462" s="54"/>
      <c r="KPE2462" s="63"/>
      <c r="KPF2462" s="60"/>
      <c r="KPG2462" s="60"/>
      <c r="KPH2462" s="60"/>
      <c r="KPI2462" s="63"/>
      <c r="KPJ2462" s="61"/>
      <c r="KPK2462" s="54"/>
      <c r="KPL2462" s="54"/>
      <c r="KPM2462" s="63"/>
      <c r="KPN2462" s="60"/>
      <c r="KPO2462" s="60"/>
      <c r="KPP2462" s="60"/>
      <c r="KPQ2462" s="63"/>
      <c r="KPR2462" s="61"/>
      <c r="KPS2462" s="54"/>
      <c r="KPT2462" s="54"/>
      <c r="KPU2462" s="63"/>
      <c r="KPV2462" s="60"/>
      <c r="KPW2462" s="60"/>
      <c r="KPX2462" s="60"/>
      <c r="KPY2462" s="63"/>
      <c r="KPZ2462" s="61"/>
      <c r="KQA2462" s="54"/>
      <c r="KQB2462" s="54"/>
      <c r="KQC2462" s="63"/>
      <c r="KQD2462" s="60"/>
      <c r="KQE2462" s="60"/>
      <c r="KQF2462" s="60"/>
      <c r="KQG2462" s="63"/>
      <c r="KQH2462" s="61"/>
      <c r="KQI2462" s="54"/>
      <c r="KQJ2462" s="54"/>
      <c r="KQK2462" s="63"/>
      <c r="KQL2462" s="60"/>
      <c r="KQM2462" s="60"/>
      <c r="KQN2462" s="60"/>
      <c r="KQO2462" s="63"/>
      <c r="KQP2462" s="61"/>
      <c r="KQQ2462" s="54"/>
      <c r="KQR2462" s="54"/>
      <c r="KQS2462" s="63"/>
      <c r="KQT2462" s="60"/>
      <c r="KQU2462" s="60"/>
      <c r="KQV2462" s="60"/>
      <c r="KQW2462" s="63"/>
      <c r="KQX2462" s="61"/>
      <c r="KQY2462" s="54"/>
      <c r="KQZ2462" s="54"/>
      <c r="KRA2462" s="63"/>
      <c r="KRB2462" s="60"/>
      <c r="KRC2462" s="60"/>
      <c r="KRD2462" s="60"/>
      <c r="KRE2462" s="63"/>
      <c r="KRF2462" s="61"/>
      <c r="KRG2462" s="54"/>
      <c r="KRH2462" s="54"/>
      <c r="KRI2462" s="63"/>
      <c r="KRJ2462" s="60"/>
      <c r="KRK2462" s="60"/>
      <c r="KRL2462" s="60"/>
      <c r="KRM2462" s="63"/>
      <c r="KRN2462" s="61"/>
      <c r="KRO2462" s="54"/>
      <c r="KRP2462" s="54"/>
      <c r="KRQ2462" s="63"/>
      <c r="KRR2462" s="60"/>
      <c r="KRS2462" s="60"/>
      <c r="KRT2462" s="60"/>
      <c r="KRU2462" s="63"/>
      <c r="KRV2462" s="61"/>
      <c r="KRW2462" s="54"/>
      <c r="KRX2462" s="54"/>
      <c r="KRY2462" s="63"/>
      <c r="KRZ2462" s="60"/>
      <c r="KSA2462" s="60"/>
      <c r="KSB2462" s="60"/>
      <c r="KSC2462" s="63"/>
      <c r="KSD2462" s="61"/>
      <c r="KSE2462" s="54"/>
      <c r="KSF2462" s="54"/>
      <c r="KSG2462" s="63"/>
      <c r="KSH2462" s="60"/>
      <c r="KSI2462" s="60"/>
      <c r="KSJ2462" s="60"/>
      <c r="KSK2462" s="63"/>
      <c r="KSL2462" s="61"/>
      <c r="KSM2462" s="54"/>
      <c r="KSN2462" s="54"/>
      <c r="KSO2462" s="63"/>
      <c r="KSP2462" s="60"/>
      <c r="KSQ2462" s="60"/>
      <c r="KSR2462" s="60"/>
      <c r="KSS2462" s="63"/>
      <c r="KST2462" s="61"/>
      <c r="KSU2462" s="54"/>
      <c r="KSV2462" s="54"/>
      <c r="KSW2462" s="63"/>
      <c r="KSX2462" s="60"/>
      <c r="KSY2462" s="60"/>
      <c r="KSZ2462" s="60"/>
      <c r="KTA2462" s="63"/>
      <c r="KTB2462" s="61"/>
      <c r="KTC2462" s="54"/>
      <c r="KTD2462" s="54"/>
      <c r="KTE2462" s="63"/>
      <c r="KTF2462" s="60"/>
      <c r="KTG2462" s="60"/>
      <c r="KTH2462" s="60"/>
      <c r="KTI2462" s="63"/>
      <c r="KTJ2462" s="61"/>
      <c r="KTK2462" s="54"/>
      <c r="KTL2462" s="54"/>
      <c r="KTM2462" s="63"/>
      <c r="KTN2462" s="60"/>
      <c r="KTO2462" s="60"/>
      <c r="KTP2462" s="60"/>
      <c r="KTQ2462" s="63"/>
      <c r="KTR2462" s="61"/>
      <c r="KTS2462" s="54"/>
      <c r="KTT2462" s="54"/>
      <c r="KTU2462" s="63"/>
      <c r="KTV2462" s="60"/>
      <c r="KTW2462" s="60"/>
      <c r="KTX2462" s="60"/>
      <c r="KTY2462" s="63"/>
      <c r="KTZ2462" s="61"/>
      <c r="KUA2462" s="54"/>
      <c r="KUB2462" s="54"/>
      <c r="KUC2462" s="63"/>
      <c r="KUD2462" s="60"/>
      <c r="KUE2462" s="60"/>
      <c r="KUF2462" s="60"/>
      <c r="KUG2462" s="63"/>
      <c r="KUH2462" s="61"/>
      <c r="KUI2462" s="54"/>
      <c r="KUJ2462" s="54"/>
      <c r="KUK2462" s="63"/>
      <c r="KUL2462" s="60"/>
      <c r="KUM2462" s="60"/>
      <c r="KUN2462" s="60"/>
      <c r="KUO2462" s="63"/>
      <c r="KUP2462" s="61"/>
      <c r="KUQ2462" s="54"/>
      <c r="KUR2462" s="54"/>
      <c r="KUS2462" s="63"/>
      <c r="KUT2462" s="60"/>
      <c r="KUU2462" s="60"/>
      <c r="KUV2462" s="60"/>
      <c r="KUW2462" s="63"/>
      <c r="KUX2462" s="61"/>
      <c r="KUY2462" s="54"/>
      <c r="KUZ2462" s="54"/>
      <c r="KVA2462" s="63"/>
      <c r="KVB2462" s="60"/>
      <c r="KVC2462" s="60"/>
      <c r="KVD2462" s="60"/>
      <c r="KVE2462" s="63"/>
      <c r="KVF2462" s="61"/>
      <c r="KVG2462" s="54"/>
      <c r="KVH2462" s="54"/>
      <c r="KVI2462" s="63"/>
      <c r="KVJ2462" s="60"/>
      <c r="KVK2462" s="60"/>
      <c r="KVL2462" s="60"/>
      <c r="KVM2462" s="63"/>
      <c r="KVN2462" s="61"/>
      <c r="KVO2462" s="54"/>
      <c r="KVP2462" s="54"/>
      <c r="KVQ2462" s="63"/>
      <c r="KVR2462" s="60"/>
      <c r="KVS2462" s="60"/>
      <c r="KVT2462" s="60"/>
      <c r="KVU2462" s="63"/>
      <c r="KVV2462" s="61"/>
      <c r="KVW2462" s="54"/>
      <c r="KVX2462" s="54"/>
      <c r="KVY2462" s="63"/>
      <c r="KVZ2462" s="60"/>
      <c r="KWA2462" s="60"/>
      <c r="KWB2462" s="60"/>
      <c r="KWC2462" s="63"/>
      <c r="KWD2462" s="61"/>
      <c r="KWE2462" s="54"/>
      <c r="KWF2462" s="54"/>
      <c r="KWG2462" s="63"/>
      <c r="KWH2462" s="60"/>
      <c r="KWI2462" s="60"/>
      <c r="KWJ2462" s="60"/>
      <c r="KWK2462" s="63"/>
      <c r="KWL2462" s="61"/>
      <c r="KWM2462" s="54"/>
      <c r="KWN2462" s="54"/>
      <c r="KWO2462" s="63"/>
      <c r="KWP2462" s="60"/>
      <c r="KWQ2462" s="60"/>
      <c r="KWR2462" s="60"/>
      <c r="KWS2462" s="63"/>
      <c r="KWT2462" s="61"/>
      <c r="KWU2462" s="54"/>
      <c r="KWV2462" s="54"/>
      <c r="KWW2462" s="63"/>
      <c r="KWX2462" s="60"/>
      <c r="KWY2462" s="60"/>
      <c r="KWZ2462" s="60"/>
      <c r="KXA2462" s="63"/>
      <c r="KXB2462" s="61"/>
      <c r="KXC2462" s="54"/>
      <c r="KXD2462" s="54"/>
      <c r="KXE2462" s="63"/>
      <c r="KXF2462" s="60"/>
      <c r="KXG2462" s="60"/>
      <c r="KXH2462" s="60"/>
      <c r="KXI2462" s="63"/>
      <c r="KXJ2462" s="61"/>
      <c r="KXK2462" s="54"/>
      <c r="KXL2462" s="54"/>
      <c r="KXM2462" s="63"/>
      <c r="KXN2462" s="60"/>
      <c r="KXO2462" s="60"/>
      <c r="KXP2462" s="60"/>
      <c r="KXQ2462" s="63"/>
      <c r="KXR2462" s="61"/>
      <c r="KXS2462" s="54"/>
      <c r="KXT2462" s="54"/>
      <c r="KXU2462" s="63"/>
      <c r="KXV2462" s="60"/>
      <c r="KXW2462" s="60"/>
      <c r="KXX2462" s="60"/>
      <c r="KXY2462" s="63"/>
      <c r="KXZ2462" s="61"/>
      <c r="KYA2462" s="54"/>
      <c r="KYB2462" s="54"/>
      <c r="KYC2462" s="63"/>
      <c r="KYD2462" s="60"/>
      <c r="KYE2462" s="60"/>
      <c r="KYF2462" s="60"/>
      <c r="KYG2462" s="63"/>
      <c r="KYH2462" s="61"/>
      <c r="KYI2462" s="54"/>
      <c r="KYJ2462" s="54"/>
      <c r="KYK2462" s="63"/>
      <c r="KYL2462" s="60"/>
      <c r="KYM2462" s="60"/>
      <c r="KYN2462" s="60"/>
      <c r="KYO2462" s="63"/>
      <c r="KYP2462" s="61"/>
      <c r="KYQ2462" s="54"/>
      <c r="KYR2462" s="54"/>
      <c r="KYS2462" s="63"/>
      <c r="KYT2462" s="60"/>
      <c r="KYU2462" s="60"/>
      <c r="KYV2462" s="60"/>
      <c r="KYW2462" s="63"/>
      <c r="KYX2462" s="61"/>
      <c r="KYY2462" s="54"/>
      <c r="KYZ2462" s="54"/>
      <c r="KZA2462" s="63"/>
      <c r="KZB2462" s="60"/>
      <c r="KZC2462" s="60"/>
      <c r="KZD2462" s="60"/>
      <c r="KZE2462" s="63"/>
      <c r="KZF2462" s="61"/>
      <c r="KZG2462" s="54"/>
      <c r="KZH2462" s="54"/>
      <c r="KZI2462" s="63"/>
      <c r="KZJ2462" s="60"/>
      <c r="KZK2462" s="60"/>
      <c r="KZL2462" s="60"/>
      <c r="KZM2462" s="63"/>
      <c r="KZN2462" s="61"/>
      <c r="KZO2462" s="54"/>
      <c r="KZP2462" s="54"/>
      <c r="KZQ2462" s="63"/>
      <c r="KZR2462" s="60"/>
      <c r="KZS2462" s="60"/>
      <c r="KZT2462" s="60"/>
      <c r="KZU2462" s="63"/>
      <c r="KZV2462" s="61"/>
      <c r="KZW2462" s="54"/>
      <c r="KZX2462" s="54"/>
      <c r="KZY2462" s="63"/>
      <c r="KZZ2462" s="60"/>
      <c r="LAA2462" s="60"/>
      <c r="LAB2462" s="60"/>
      <c r="LAC2462" s="63"/>
      <c r="LAD2462" s="61"/>
      <c r="LAE2462" s="54"/>
      <c r="LAF2462" s="54"/>
      <c r="LAG2462" s="63"/>
      <c r="LAH2462" s="60"/>
      <c r="LAI2462" s="60"/>
      <c r="LAJ2462" s="60"/>
      <c r="LAK2462" s="63"/>
      <c r="LAL2462" s="61"/>
      <c r="LAM2462" s="54"/>
      <c r="LAN2462" s="54"/>
      <c r="LAO2462" s="63"/>
      <c r="LAP2462" s="60"/>
      <c r="LAQ2462" s="60"/>
      <c r="LAR2462" s="60"/>
      <c r="LAS2462" s="63"/>
      <c r="LAT2462" s="61"/>
      <c r="LAU2462" s="54"/>
      <c r="LAV2462" s="54"/>
      <c r="LAW2462" s="63"/>
      <c r="LAX2462" s="60"/>
      <c r="LAY2462" s="60"/>
      <c r="LAZ2462" s="60"/>
      <c r="LBA2462" s="63"/>
      <c r="LBB2462" s="61"/>
      <c r="LBC2462" s="54"/>
      <c r="LBD2462" s="54"/>
      <c r="LBE2462" s="63"/>
      <c r="LBF2462" s="60"/>
      <c r="LBG2462" s="60"/>
      <c r="LBH2462" s="60"/>
      <c r="LBI2462" s="63"/>
      <c r="LBJ2462" s="61"/>
      <c r="LBK2462" s="54"/>
      <c r="LBL2462" s="54"/>
      <c r="LBM2462" s="63"/>
      <c r="LBN2462" s="60"/>
      <c r="LBO2462" s="60"/>
      <c r="LBP2462" s="60"/>
      <c r="LBQ2462" s="63"/>
      <c r="LBR2462" s="61"/>
      <c r="LBS2462" s="54"/>
      <c r="LBT2462" s="54"/>
      <c r="LBU2462" s="63"/>
      <c r="LBV2462" s="60"/>
      <c r="LBW2462" s="60"/>
      <c r="LBX2462" s="60"/>
      <c r="LBY2462" s="63"/>
      <c r="LBZ2462" s="61"/>
      <c r="LCA2462" s="54"/>
      <c r="LCB2462" s="54"/>
      <c r="LCC2462" s="63"/>
      <c r="LCD2462" s="60"/>
      <c r="LCE2462" s="60"/>
      <c r="LCF2462" s="60"/>
      <c r="LCG2462" s="63"/>
      <c r="LCH2462" s="61"/>
      <c r="LCI2462" s="54"/>
      <c r="LCJ2462" s="54"/>
      <c r="LCK2462" s="63"/>
      <c r="LCL2462" s="60"/>
      <c r="LCM2462" s="60"/>
      <c r="LCN2462" s="60"/>
      <c r="LCO2462" s="63"/>
      <c r="LCP2462" s="61"/>
      <c r="LCQ2462" s="54"/>
      <c r="LCR2462" s="54"/>
      <c r="LCS2462" s="63"/>
      <c r="LCT2462" s="60"/>
      <c r="LCU2462" s="60"/>
      <c r="LCV2462" s="60"/>
      <c r="LCW2462" s="63"/>
      <c r="LCX2462" s="61"/>
      <c r="LCY2462" s="54"/>
      <c r="LCZ2462" s="54"/>
      <c r="LDA2462" s="63"/>
      <c r="LDB2462" s="60"/>
      <c r="LDC2462" s="60"/>
      <c r="LDD2462" s="60"/>
      <c r="LDE2462" s="63"/>
      <c r="LDF2462" s="61"/>
      <c r="LDG2462" s="54"/>
      <c r="LDH2462" s="54"/>
      <c r="LDI2462" s="63"/>
      <c r="LDJ2462" s="60"/>
      <c r="LDK2462" s="60"/>
      <c r="LDL2462" s="60"/>
      <c r="LDM2462" s="63"/>
      <c r="LDN2462" s="61"/>
      <c r="LDO2462" s="54"/>
      <c r="LDP2462" s="54"/>
      <c r="LDQ2462" s="63"/>
      <c r="LDR2462" s="60"/>
      <c r="LDS2462" s="60"/>
      <c r="LDT2462" s="60"/>
      <c r="LDU2462" s="63"/>
      <c r="LDV2462" s="61"/>
      <c r="LDW2462" s="54"/>
      <c r="LDX2462" s="54"/>
      <c r="LDY2462" s="63"/>
      <c r="LDZ2462" s="60"/>
      <c r="LEA2462" s="60"/>
      <c r="LEB2462" s="60"/>
      <c r="LEC2462" s="63"/>
      <c r="LED2462" s="61"/>
      <c r="LEE2462" s="54"/>
      <c r="LEF2462" s="54"/>
      <c r="LEG2462" s="63"/>
      <c r="LEH2462" s="60"/>
      <c r="LEI2462" s="60"/>
      <c r="LEJ2462" s="60"/>
      <c r="LEK2462" s="63"/>
      <c r="LEL2462" s="61"/>
      <c r="LEM2462" s="54"/>
      <c r="LEN2462" s="54"/>
      <c r="LEO2462" s="63"/>
      <c r="LEP2462" s="60"/>
      <c r="LEQ2462" s="60"/>
      <c r="LER2462" s="60"/>
      <c r="LES2462" s="63"/>
      <c r="LET2462" s="61"/>
      <c r="LEU2462" s="54"/>
      <c r="LEV2462" s="54"/>
      <c r="LEW2462" s="63"/>
      <c r="LEX2462" s="60"/>
      <c r="LEY2462" s="60"/>
      <c r="LEZ2462" s="60"/>
      <c r="LFA2462" s="63"/>
      <c r="LFB2462" s="61"/>
      <c r="LFC2462" s="54"/>
      <c r="LFD2462" s="54"/>
      <c r="LFE2462" s="63"/>
      <c r="LFF2462" s="60"/>
      <c r="LFG2462" s="60"/>
      <c r="LFH2462" s="60"/>
      <c r="LFI2462" s="63"/>
      <c r="LFJ2462" s="61"/>
      <c r="LFK2462" s="54"/>
      <c r="LFL2462" s="54"/>
      <c r="LFM2462" s="63"/>
      <c r="LFN2462" s="60"/>
      <c r="LFO2462" s="60"/>
      <c r="LFP2462" s="60"/>
      <c r="LFQ2462" s="63"/>
      <c r="LFR2462" s="61"/>
      <c r="LFS2462" s="54"/>
      <c r="LFT2462" s="54"/>
      <c r="LFU2462" s="63"/>
      <c r="LFV2462" s="60"/>
      <c r="LFW2462" s="60"/>
      <c r="LFX2462" s="60"/>
      <c r="LFY2462" s="63"/>
      <c r="LFZ2462" s="61"/>
      <c r="LGA2462" s="54"/>
      <c r="LGB2462" s="54"/>
      <c r="LGC2462" s="63"/>
      <c r="LGD2462" s="60"/>
      <c r="LGE2462" s="60"/>
      <c r="LGF2462" s="60"/>
      <c r="LGG2462" s="63"/>
      <c r="LGH2462" s="61"/>
      <c r="LGI2462" s="54"/>
      <c r="LGJ2462" s="54"/>
      <c r="LGK2462" s="63"/>
      <c r="LGL2462" s="60"/>
      <c r="LGM2462" s="60"/>
      <c r="LGN2462" s="60"/>
      <c r="LGO2462" s="63"/>
      <c r="LGP2462" s="61"/>
      <c r="LGQ2462" s="54"/>
      <c r="LGR2462" s="54"/>
      <c r="LGS2462" s="63"/>
      <c r="LGT2462" s="60"/>
      <c r="LGU2462" s="60"/>
      <c r="LGV2462" s="60"/>
      <c r="LGW2462" s="63"/>
      <c r="LGX2462" s="61"/>
      <c r="LGY2462" s="54"/>
      <c r="LGZ2462" s="54"/>
      <c r="LHA2462" s="63"/>
      <c r="LHB2462" s="60"/>
      <c r="LHC2462" s="60"/>
      <c r="LHD2462" s="60"/>
      <c r="LHE2462" s="63"/>
      <c r="LHF2462" s="61"/>
      <c r="LHG2462" s="54"/>
      <c r="LHH2462" s="54"/>
      <c r="LHI2462" s="63"/>
      <c r="LHJ2462" s="60"/>
      <c r="LHK2462" s="60"/>
      <c r="LHL2462" s="60"/>
      <c r="LHM2462" s="63"/>
      <c r="LHN2462" s="61"/>
      <c r="LHO2462" s="54"/>
      <c r="LHP2462" s="54"/>
      <c r="LHQ2462" s="63"/>
      <c r="LHR2462" s="60"/>
      <c r="LHS2462" s="60"/>
      <c r="LHT2462" s="60"/>
      <c r="LHU2462" s="63"/>
      <c r="LHV2462" s="61"/>
      <c r="LHW2462" s="54"/>
      <c r="LHX2462" s="54"/>
      <c r="LHY2462" s="63"/>
      <c r="LHZ2462" s="60"/>
      <c r="LIA2462" s="60"/>
      <c r="LIB2462" s="60"/>
      <c r="LIC2462" s="63"/>
      <c r="LID2462" s="61"/>
      <c r="LIE2462" s="54"/>
      <c r="LIF2462" s="54"/>
      <c r="LIG2462" s="63"/>
      <c r="LIH2462" s="60"/>
      <c r="LII2462" s="60"/>
      <c r="LIJ2462" s="60"/>
      <c r="LIK2462" s="63"/>
      <c r="LIL2462" s="61"/>
      <c r="LIM2462" s="54"/>
      <c r="LIN2462" s="54"/>
      <c r="LIO2462" s="63"/>
      <c r="LIP2462" s="60"/>
      <c r="LIQ2462" s="60"/>
      <c r="LIR2462" s="60"/>
      <c r="LIS2462" s="63"/>
      <c r="LIT2462" s="61"/>
      <c r="LIU2462" s="54"/>
      <c r="LIV2462" s="54"/>
      <c r="LIW2462" s="63"/>
      <c r="LIX2462" s="60"/>
      <c r="LIY2462" s="60"/>
      <c r="LIZ2462" s="60"/>
      <c r="LJA2462" s="63"/>
      <c r="LJB2462" s="61"/>
      <c r="LJC2462" s="54"/>
      <c r="LJD2462" s="54"/>
      <c r="LJE2462" s="63"/>
      <c r="LJF2462" s="60"/>
      <c r="LJG2462" s="60"/>
      <c r="LJH2462" s="60"/>
      <c r="LJI2462" s="63"/>
      <c r="LJJ2462" s="61"/>
      <c r="LJK2462" s="54"/>
      <c r="LJL2462" s="54"/>
      <c r="LJM2462" s="63"/>
      <c r="LJN2462" s="60"/>
      <c r="LJO2462" s="60"/>
      <c r="LJP2462" s="60"/>
      <c r="LJQ2462" s="63"/>
      <c r="LJR2462" s="61"/>
      <c r="LJS2462" s="54"/>
      <c r="LJT2462" s="54"/>
      <c r="LJU2462" s="63"/>
      <c r="LJV2462" s="60"/>
      <c r="LJW2462" s="60"/>
      <c r="LJX2462" s="60"/>
      <c r="LJY2462" s="63"/>
      <c r="LJZ2462" s="61"/>
      <c r="LKA2462" s="54"/>
      <c r="LKB2462" s="54"/>
      <c r="LKC2462" s="63"/>
      <c r="LKD2462" s="60"/>
      <c r="LKE2462" s="60"/>
      <c r="LKF2462" s="60"/>
      <c r="LKG2462" s="63"/>
      <c r="LKH2462" s="61"/>
      <c r="LKI2462" s="54"/>
      <c r="LKJ2462" s="54"/>
      <c r="LKK2462" s="63"/>
      <c r="LKL2462" s="60"/>
      <c r="LKM2462" s="60"/>
      <c r="LKN2462" s="60"/>
      <c r="LKO2462" s="63"/>
      <c r="LKP2462" s="61"/>
      <c r="LKQ2462" s="54"/>
      <c r="LKR2462" s="54"/>
      <c r="LKS2462" s="63"/>
      <c r="LKT2462" s="60"/>
      <c r="LKU2462" s="60"/>
      <c r="LKV2462" s="60"/>
      <c r="LKW2462" s="63"/>
      <c r="LKX2462" s="61"/>
      <c r="LKY2462" s="54"/>
      <c r="LKZ2462" s="54"/>
      <c r="LLA2462" s="63"/>
      <c r="LLB2462" s="60"/>
      <c r="LLC2462" s="60"/>
      <c r="LLD2462" s="60"/>
      <c r="LLE2462" s="63"/>
      <c r="LLF2462" s="61"/>
      <c r="LLG2462" s="54"/>
      <c r="LLH2462" s="54"/>
      <c r="LLI2462" s="63"/>
      <c r="LLJ2462" s="60"/>
      <c r="LLK2462" s="60"/>
      <c r="LLL2462" s="60"/>
      <c r="LLM2462" s="63"/>
      <c r="LLN2462" s="61"/>
      <c r="LLO2462" s="54"/>
      <c r="LLP2462" s="54"/>
      <c r="LLQ2462" s="63"/>
      <c r="LLR2462" s="60"/>
      <c r="LLS2462" s="60"/>
      <c r="LLT2462" s="60"/>
      <c r="LLU2462" s="63"/>
      <c r="LLV2462" s="61"/>
      <c r="LLW2462" s="54"/>
      <c r="LLX2462" s="54"/>
      <c r="LLY2462" s="63"/>
      <c r="LLZ2462" s="60"/>
      <c r="LMA2462" s="60"/>
      <c r="LMB2462" s="60"/>
      <c r="LMC2462" s="63"/>
      <c r="LMD2462" s="61"/>
      <c r="LME2462" s="54"/>
      <c r="LMF2462" s="54"/>
      <c r="LMG2462" s="63"/>
      <c r="LMH2462" s="60"/>
      <c r="LMI2462" s="60"/>
      <c r="LMJ2462" s="60"/>
      <c r="LMK2462" s="63"/>
      <c r="LML2462" s="61"/>
      <c r="LMM2462" s="54"/>
      <c r="LMN2462" s="54"/>
      <c r="LMO2462" s="63"/>
      <c r="LMP2462" s="60"/>
      <c r="LMQ2462" s="60"/>
      <c r="LMR2462" s="60"/>
      <c r="LMS2462" s="63"/>
      <c r="LMT2462" s="61"/>
      <c r="LMU2462" s="54"/>
      <c r="LMV2462" s="54"/>
      <c r="LMW2462" s="63"/>
      <c r="LMX2462" s="60"/>
      <c r="LMY2462" s="60"/>
      <c r="LMZ2462" s="60"/>
      <c r="LNA2462" s="63"/>
      <c r="LNB2462" s="61"/>
      <c r="LNC2462" s="54"/>
      <c r="LND2462" s="54"/>
      <c r="LNE2462" s="63"/>
      <c r="LNF2462" s="60"/>
      <c r="LNG2462" s="60"/>
      <c r="LNH2462" s="60"/>
      <c r="LNI2462" s="63"/>
      <c r="LNJ2462" s="61"/>
      <c r="LNK2462" s="54"/>
      <c r="LNL2462" s="54"/>
      <c r="LNM2462" s="63"/>
      <c r="LNN2462" s="60"/>
      <c r="LNO2462" s="60"/>
      <c r="LNP2462" s="60"/>
      <c r="LNQ2462" s="63"/>
      <c r="LNR2462" s="61"/>
      <c r="LNS2462" s="54"/>
      <c r="LNT2462" s="54"/>
      <c r="LNU2462" s="63"/>
      <c r="LNV2462" s="60"/>
      <c r="LNW2462" s="60"/>
      <c r="LNX2462" s="60"/>
      <c r="LNY2462" s="63"/>
      <c r="LNZ2462" s="61"/>
      <c r="LOA2462" s="54"/>
      <c r="LOB2462" s="54"/>
      <c r="LOC2462" s="63"/>
      <c r="LOD2462" s="60"/>
      <c r="LOE2462" s="60"/>
      <c r="LOF2462" s="60"/>
      <c r="LOG2462" s="63"/>
      <c r="LOH2462" s="61"/>
      <c r="LOI2462" s="54"/>
      <c r="LOJ2462" s="54"/>
      <c r="LOK2462" s="63"/>
      <c r="LOL2462" s="60"/>
      <c r="LOM2462" s="60"/>
      <c r="LON2462" s="60"/>
      <c r="LOO2462" s="63"/>
      <c r="LOP2462" s="61"/>
      <c r="LOQ2462" s="54"/>
      <c r="LOR2462" s="54"/>
      <c r="LOS2462" s="63"/>
      <c r="LOT2462" s="60"/>
      <c r="LOU2462" s="60"/>
      <c r="LOV2462" s="60"/>
      <c r="LOW2462" s="63"/>
      <c r="LOX2462" s="61"/>
      <c r="LOY2462" s="54"/>
      <c r="LOZ2462" s="54"/>
      <c r="LPA2462" s="63"/>
      <c r="LPB2462" s="60"/>
      <c r="LPC2462" s="60"/>
      <c r="LPD2462" s="60"/>
      <c r="LPE2462" s="63"/>
      <c r="LPF2462" s="61"/>
      <c r="LPG2462" s="54"/>
      <c r="LPH2462" s="54"/>
      <c r="LPI2462" s="63"/>
      <c r="LPJ2462" s="60"/>
      <c r="LPK2462" s="60"/>
      <c r="LPL2462" s="60"/>
      <c r="LPM2462" s="63"/>
      <c r="LPN2462" s="61"/>
      <c r="LPO2462" s="54"/>
      <c r="LPP2462" s="54"/>
      <c r="LPQ2462" s="63"/>
      <c r="LPR2462" s="60"/>
      <c r="LPS2462" s="60"/>
      <c r="LPT2462" s="60"/>
      <c r="LPU2462" s="63"/>
      <c r="LPV2462" s="61"/>
      <c r="LPW2462" s="54"/>
      <c r="LPX2462" s="54"/>
      <c r="LPY2462" s="63"/>
      <c r="LPZ2462" s="60"/>
      <c r="LQA2462" s="60"/>
      <c r="LQB2462" s="60"/>
      <c r="LQC2462" s="63"/>
      <c r="LQD2462" s="61"/>
      <c r="LQE2462" s="54"/>
      <c r="LQF2462" s="54"/>
      <c r="LQG2462" s="63"/>
      <c r="LQH2462" s="60"/>
      <c r="LQI2462" s="60"/>
      <c r="LQJ2462" s="60"/>
      <c r="LQK2462" s="63"/>
      <c r="LQL2462" s="61"/>
      <c r="LQM2462" s="54"/>
      <c r="LQN2462" s="54"/>
      <c r="LQO2462" s="63"/>
      <c r="LQP2462" s="60"/>
      <c r="LQQ2462" s="60"/>
      <c r="LQR2462" s="60"/>
      <c r="LQS2462" s="63"/>
      <c r="LQT2462" s="61"/>
      <c r="LQU2462" s="54"/>
      <c r="LQV2462" s="54"/>
      <c r="LQW2462" s="63"/>
      <c r="LQX2462" s="60"/>
      <c r="LQY2462" s="60"/>
      <c r="LQZ2462" s="60"/>
      <c r="LRA2462" s="63"/>
      <c r="LRB2462" s="61"/>
      <c r="LRC2462" s="54"/>
      <c r="LRD2462" s="54"/>
      <c r="LRE2462" s="63"/>
      <c r="LRF2462" s="60"/>
      <c r="LRG2462" s="60"/>
      <c r="LRH2462" s="60"/>
      <c r="LRI2462" s="63"/>
      <c r="LRJ2462" s="61"/>
      <c r="LRK2462" s="54"/>
      <c r="LRL2462" s="54"/>
      <c r="LRM2462" s="63"/>
      <c r="LRN2462" s="60"/>
      <c r="LRO2462" s="60"/>
      <c r="LRP2462" s="60"/>
      <c r="LRQ2462" s="63"/>
      <c r="LRR2462" s="61"/>
      <c r="LRS2462" s="54"/>
      <c r="LRT2462" s="54"/>
      <c r="LRU2462" s="63"/>
      <c r="LRV2462" s="60"/>
      <c r="LRW2462" s="60"/>
      <c r="LRX2462" s="60"/>
      <c r="LRY2462" s="63"/>
      <c r="LRZ2462" s="61"/>
      <c r="LSA2462" s="54"/>
      <c r="LSB2462" s="54"/>
      <c r="LSC2462" s="63"/>
      <c r="LSD2462" s="60"/>
      <c r="LSE2462" s="60"/>
      <c r="LSF2462" s="60"/>
      <c r="LSG2462" s="63"/>
      <c r="LSH2462" s="61"/>
      <c r="LSI2462" s="54"/>
      <c r="LSJ2462" s="54"/>
      <c r="LSK2462" s="63"/>
      <c r="LSL2462" s="60"/>
      <c r="LSM2462" s="60"/>
      <c r="LSN2462" s="60"/>
      <c r="LSO2462" s="63"/>
      <c r="LSP2462" s="61"/>
      <c r="LSQ2462" s="54"/>
      <c r="LSR2462" s="54"/>
      <c r="LSS2462" s="63"/>
      <c r="LST2462" s="60"/>
      <c r="LSU2462" s="60"/>
      <c r="LSV2462" s="60"/>
      <c r="LSW2462" s="63"/>
      <c r="LSX2462" s="61"/>
      <c r="LSY2462" s="54"/>
      <c r="LSZ2462" s="54"/>
      <c r="LTA2462" s="63"/>
      <c r="LTB2462" s="60"/>
      <c r="LTC2462" s="60"/>
      <c r="LTD2462" s="60"/>
      <c r="LTE2462" s="63"/>
      <c r="LTF2462" s="61"/>
      <c r="LTG2462" s="54"/>
      <c r="LTH2462" s="54"/>
      <c r="LTI2462" s="63"/>
      <c r="LTJ2462" s="60"/>
      <c r="LTK2462" s="60"/>
      <c r="LTL2462" s="60"/>
      <c r="LTM2462" s="63"/>
      <c r="LTN2462" s="61"/>
      <c r="LTO2462" s="54"/>
      <c r="LTP2462" s="54"/>
      <c r="LTQ2462" s="63"/>
      <c r="LTR2462" s="60"/>
      <c r="LTS2462" s="60"/>
      <c r="LTT2462" s="60"/>
      <c r="LTU2462" s="63"/>
      <c r="LTV2462" s="61"/>
      <c r="LTW2462" s="54"/>
      <c r="LTX2462" s="54"/>
      <c r="LTY2462" s="63"/>
      <c r="LTZ2462" s="60"/>
      <c r="LUA2462" s="60"/>
      <c r="LUB2462" s="60"/>
      <c r="LUC2462" s="63"/>
      <c r="LUD2462" s="61"/>
      <c r="LUE2462" s="54"/>
      <c r="LUF2462" s="54"/>
      <c r="LUG2462" s="63"/>
      <c r="LUH2462" s="60"/>
      <c r="LUI2462" s="60"/>
      <c r="LUJ2462" s="60"/>
      <c r="LUK2462" s="63"/>
      <c r="LUL2462" s="61"/>
      <c r="LUM2462" s="54"/>
      <c r="LUN2462" s="54"/>
      <c r="LUO2462" s="63"/>
      <c r="LUP2462" s="60"/>
      <c r="LUQ2462" s="60"/>
      <c r="LUR2462" s="60"/>
      <c r="LUS2462" s="63"/>
      <c r="LUT2462" s="61"/>
      <c r="LUU2462" s="54"/>
      <c r="LUV2462" s="54"/>
      <c r="LUW2462" s="63"/>
      <c r="LUX2462" s="60"/>
      <c r="LUY2462" s="60"/>
      <c r="LUZ2462" s="60"/>
      <c r="LVA2462" s="63"/>
      <c r="LVB2462" s="61"/>
      <c r="LVC2462" s="54"/>
      <c r="LVD2462" s="54"/>
      <c r="LVE2462" s="63"/>
      <c r="LVF2462" s="60"/>
      <c r="LVG2462" s="60"/>
      <c r="LVH2462" s="60"/>
      <c r="LVI2462" s="63"/>
      <c r="LVJ2462" s="61"/>
      <c r="LVK2462" s="54"/>
      <c r="LVL2462" s="54"/>
      <c r="LVM2462" s="63"/>
      <c r="LVN2462" s="60"/>
      <c r="LVO2462" s="60"/>
      <c r="LVP2462" s="60"/>
      <c r="LVQ2462" s="63"/>
      <c r="LVR2462" s="61"/>
      <c r="LVS2462" s="54"/>
      <c r="LVT2462" s="54"/>
      <c r="LVU2462" s="63"/>
      <c r="LVV2462" s="60"/>
      <c r="LVW2462" s="60"/>
      <c r="LVX2462" s="60"/>
      <c r="LVY2462" s="63"/>
      <c r="LVZ2462" s="61"/>
      <c r="LWA2462" s="54"/>
      <c r="LWB2462" s="54"/>
      <c r="LWC2462" s="63"/>
      <c r="LWD2462" s="60"/>
      <c r="LWE2462" s="60"/>
      <c r="LWF2462" s="60"/>
      <c r="LWG2462" s="63"/>
      <c r="LWH2462" s="61"/>
      <c r="LWI2462" s="54"/>
      <c r="LWJ2462" s="54"/>
      <c r="LWK2462" s="63"/>
      <c r="LWL2462" s="60"/>
      <c r="LWM2462" s="60"/>
      <c r="LWN2462" s="60"/>
      <c r="LWO2462" s="63"/>
      <c r="LWP2462" s="61"/>
      <c r="LWQ2462" s="54"/>
      <c r="LWR2462" s="54"/>
      <c r="LWS2462" s="63"/>
      <c r="LWT2462" s="60"/>
      <c r="LWU2462" s="60"/>
      <c r="LWV2462" s="60"/>
      <c r="LWW2462" s="63"/>
      <c r="LWX2462" s="61"/>
      <c r="LWY2462" s="54"/>
      <c r="LWZ2462" s="54"/>
      <c r="LXA2462" s="63"/>
      <c r="LXB2462" s="60"/>
      <c r="LXC2462" s="60"/>
      <c r="LXD2462" s="60"/>
      <c r="LXE2462" s="63"/>
      <c r="LXF2462" s="61"/>
      <c r="LXG2462" s="54"/>
      <c r="LXH2462" s="54"/>
      <c r="LXI2462" s="63"/>
      <c r="LXJ2462" s="60"/>
      <c r="LXK2462" s="60"/>
      <c r="LXL2462" s="60"/>
      <c r="LXM2462" s="63"/>
      <c r="LXN2462" s="61"/>
      <c r="LXO2462" s="54"/>
      <c r="LXP2462" s="54"/>
      <c r="LXQ2462" s="63"/>
      <c r="LXR2462" s="60"/>
      <c r="LXS2462" s="60"/>
      <c r="LXT2462" s="60"/>
      <c r="LXU2462" s="63"/>
      <c r="LXV2462" s="61"/>
      <c r="LXW2462" s="54"/>
      <c r="LXX2462" s="54"/>
      <c r="LXY2462" s="63"/>
      <c r="LXZ2462" s="60"/>
      <c r="LYA2462" s="60"/>
      <c r="LYB2462" s="60"/>
      <c r="LYC2462" s="63"/>
      <c r="LYD2462" s="61"/>
      <c r="LYE2462" s="54"/>
      <c r="LYF2462" s="54"/>
      <c r="LYG2462" s="63"/>
      <c r="LYH2462" s="60"/>
      <c r="LYI2462" s="60"/>
      <c r="LYJ2462" s="60"/>
      <c r="LYK2462" s="63"/>
      <c r="LYL2462" s="61"/>
      <c r="LYM2462" s="54"/>
      <c r="LYN2462" s="54"/>
      <c r="LYO2462" s="63"/>
      <c r="LYP2462" s="60"/>
      <c r="LYQ2462" s="60"/>
      <c r="LYR2462" s="60"/>
      <c r="LYS2462" s="63"/>
      <c r="LYT2462" s="61"/>
      <c r="LYU2462" s="54"/>
      <c r="LYV2462" s="54"/>
      <c r="LYW2462" s="63"/>
      <c r="LYX2462" s="60"/>
      <c r="LYY2462" s="60"/>
      <c r="LYZ2462" s="60"/>
      <c r="LZA2462" s="63"/>
      <c r="LZB2462" s="61"/>
      <c r="LZC2462" s="54"/>
      <c r="LZD2462" s="54"/>
      <c r="LZE2462" s="63"/>
      <c r="LZF2462" s="60"/>
      <c r="LZG2462" s="60"/>
      <c r="LZH2462" s="60"/>
      <c r="LZI2462" s="63"/>
      <c r="LZJ2462" s="61"/>
      <c r="LZK2462" s="54"/>
      <c r="LZL2462" s="54"/>
      <c r="LZM2462" s="63"/>
      <c r="LZN2462" s="60"/>
      <c r="LZO2462" s="60"/>
      <c r="LZP2462" s="60"/>
      <c r="LZQ2462" s="63"/>
      <c r="LZR2462" s="61"/>
      <c r="LZS2462" s="54"/>
      <c r="LZT2462" s="54"/>
      <c r="LZU2462" s="63"/>
      <c r="LZV2462" s="60"/>
      <c r="LZW2462" s="60"/>
      <c r="LZX2462" s="60"/>
      <c r="LZY2462" s="63"/>
      <c r="LZZ2462" s="61"/>
      <c r="MAA2462" s="54"/>
      <c r="MAB2462" s="54"/>
      <c r="MAC2462" s="63"/>
      <c r="MAD2462" s="60"/>
      <c r="MAE2462" s="60"/>
      <c r="MAF2462" s="60"/>
      <c r="MAG2462" s="63"/>
      <c r="MAH2462" s="61"/>
      <c r="MAI2462" s="54"/>
      <c r="MAJ2462" s="54"/>
      <c r="MAK2462" s="63"/>
      <c r="MAL2462" s="60"/>
      <c r="MAM2462" s="60"/>
      <c r="MAN2462" s="60"/>
      <c r="MAO2462" s="63"/>
      <c r="MAP2462" s="61"/>
      <c r="MAQ2462" s="54"/>
      <c r="MAR2462" s="54"/>
      <c r="MAS2462" s="63"/>
      <c r="MAT2462" s="60"/>
      <c r="MAU2462" s="60"/>
      <c r="MAV2462" s="60"/>
      <c r="MAW2462" s="63"/>
      <c r="MAX2462" s="61"/>
      <c r="MAY2462" s="54"/>
      <c r="MAZ2462" s="54"/>
      <c r="MBA2462" s="63"/>
      <c r="MBB2462" s="60"/>
      <c r="MBC2462" s="60"/>
      <c r="MBD2462" s="60"/>
      <c r="MBE2462" s="63"/>
      <c r="MBF2462" s="61"/>
      <c r="MBG2462" s="54"/>
      <c r="MBH2462" s="54"/>
      <c r="MBI2462" s="63"/>
      <c r="MBJ2462" s="60"/>
      <c r="MBK2462" s="60"/>
      <c r="MBL2462" s="60"/>
      <c r="MBM2462" s="63"/>
      <c r="MBN2462" s="61"/>
      <c r="MBO2462" s="54"/>
      <c r="MBP2462" s="54"/>
      <c r="MBQ2462" s="63"/>
      <c r="MBR2462" s="60"/>
      <c r="MBS2462" s="60"/>
      <c r="MBT2462" s="60"/>
      <c r="MBU2462" s="63"/>
      <c r="MBV2462" s="61"/>
      <c r="MBW2462" s="54"/>
      <c r="MBX2462" s="54"/>
      <c r="MBY2462" s="63"/>
      <c r="MBZ2462" s="60"/>
      <c r="MCA2462" s="60"/>
      <c r="MCB2462" s="60"/>
      <c r="MCC2462" s="63"/>
      <c r="MCD2462" s="61"/>
      <c r="MCE2462" s="54"/>
      <c r="MCF2462" s="54"/>
      <c r="MCG2462" s="63"/>
      <c r="MCH2462" s="60"/>
      <c r="MCI2462" s="60"/>
      <c r="MCJ2462" s="60"/>
      <c r="MCK2462" s="63"/>
      <c r="MCL2462" s="61"/>
      <c r="MCM2462" s="54"/>
      <c r="MCN2462" s="54"/>
      <c r="MCO2462" s="63"/>
      <c r="MCP2462" s="60"/>
      <c r="MCQ2462" s="60"/>
      <c r="MCR2462" s="60"/>
      <c r="MCS2462" s="63"/>
      <c r="MCT2462" s="61"/>
      <c r="MCU2462" s="54"/>
      <c r="MCV2462" s="54"/>
      <c r="MCW2462" s="63"/>
      <c r="MCX2462" s="60"/>
      <c r="MCY2462" s="60"/>
      <c r="MCZ2462" s="60"/>
      <c r="MDA2462" s="63"/>
      <c r="MDB2462" s="61"/>
      <c r="MDC2462" s="54"/>
      <c r="MDD2462" s="54"/>
      <c r="MDE2462" s="63"/>
      <c r="MDF2462" s="60"/>
      <c r="MDG2462" s="60"/>
      <c r="MDH2462" s="60"/>
      <c r="MDI2462" s="63"/>
      <c r="MDJ2462" s="61"/>
      <c r="MDK2462" s="54"/>
      <c r="MDL2462" s="54"/>
      <c r="MDM2462" s="63"/>
      <c r="MDN2462" s="60"/>
      <c r="MDO2462" s="60"/>
      <c r="MDP2462" s="60"/>
      <c r="MDQ2462" s="63"/>
      <c r="MDR2462" s="61"/>
      <c r="MDS2462" s="54"/>
      <c r="MDT2462" s="54"/>
      <c r="MDU2462" s="63"/>
      <c r="MDV2462" s="60"/>
      <c r="MDW2462" s="60"/>
      <c r="MDX2462" s="60"/>
      <c r="MDY2462" s="63"/>
      <c r="MDZ2462" s="61"/>
      <c r="MEA2462" s="54"/>
      <c r="MEB2462" s="54"/>
      <c r="MEC2462" s="63"/>
      <c r="MED2462" s="60"/>
      <c r="MEE2462" s="60"/>
      <c r="MEF2462" s="60"/>
      <c r="MEG2462" s="63"/>
      <c r="MEH2462" s="61"/>
      <c r="MEI2462" s="54"/>
      <c r="MEJ2462" s="54"/>
      <c r="MEK2462" s="63"/>
      <c r="MEL2462" s="60"/>
      <c r="MEM2462" s="60"/>
      <c r="MEN2462" s="60"/>
      <c r="MEO2462" s="63"/>
      <c r="MEP2462" s="61"/>
      <c r="MEQ2462" s="54"/>
      <c r="MER2462" s="54"/>
      <c r="MES2462" s="63"/>
      <c r="MET2462" s="60"/>
      <c r="MEU2462" s="60"/>
      <c r="MEV2462" s="60"/>
      <c r="MEW2462" s="63"/>
      <c r="MEX2462" s="61"/>
      <c r="MEY2462" s="54"/>
      <c r="MEZ2462" s="54"/>
      <c r="MFA2462" s="63"/>
      <c r="MFB2462" s="60"/>
      <c r="MFC2462" s="60"/>
      <c r="MFD2462" s="60"/>
      <c r="MFE2462" s="63"/>
      <c r="MFF2462" s="61"/>
      <c r="MFG2462" s="54"/>
      <c r="MFH2462" s="54"/>
      <c r="MFI2462" s="63"/>
      <c r="MFJ2462" s="60"/>
      <c r="MFK2462" s="60"/>
      <c r="MFL2462" s="60"/>
      <c r="MFM2462" s="63"/>
      <c r="MFN2462" s="61"/>
      <c r="MFO2462" s="54"/>
      <c r="MFP2462" s="54"/>
      <c r="MFQ2462" s="63"/>
      <c r="MFR2462" s="60"/>
      <c r="MFS2462" s="60"/>
      <c r="MFT2462" s="60"/>
      <c r="MFU2462" s="63"/>
      <c r="MFV2462" s="61"/>
      <c r="MFW2462" s="54"/>
      <c r="MFX2462" s="54"/>
      <c r="MFY2462" s="63"/>
      <c r="MFZ2462" s="60"/>
      <c r="MGA2462" s="60"/>
      <c r="MGB2462" s="60"/>
      <c r="MGC2462" s="63"/>
      <c r="MGD2462" s="61"/>
      <c r="MGE2462" s="54"/>
      <c r="MGF2462" s="54"/>
      <c r="MGG2462" s="63"/>
      <c r="MGH2462" s="60"/>
      <c r="MGI2462" s="60"/>
      <c r="MGJ2462" s="60"/>
      <c r="MGK2462" s="63"/>
      <c r="MGL2462" s="61"/>
      <c r="MGM2462" s="54"/>
      <c r="MGN2462" s="54"/>
      <c r="MGO2462" s="63"/>
      <c r="MGP2462" s="60"/>
      <c r="MGQ2462" s="60"/>
      <c r="MGR2462" s="60"/>
      <c r="MGS2462" s="63"/>
      <c r="MGT2462" s="61"/>
      <c r="MGU2462" s="54"/>
      <c r="MGV2462" s="54"/>
      <c r="MGW2462" s="63"/>
      <c r="MGX2462" s="60"/>
      <c r="MGY2462" s="60"/>
      <c r="MGZ2462" s="60"/>
      <c r="MHA2462" s="63"/>
      <c r="MHB2462" s="61"/>
      <c r="MHC2462" s="54"/>
      <c r="MHD2462" s="54"/>
      <c r="MHE2462" s="63"/>
      <c r="MHF2462" s="60"/>
      <c r="MHG2462" s="60"/>
      <c r="MHH2462" s="60"/>
      <c r="MHI2462" s="63"/>
      <c r="MHJ2462" s="61"/>
      <c r="MHK2462" s="54"/>
      <c r="MHL2462" s="54"/>
      <c r="MHM2462" s="63"/>
      <c r="MHN2462" s="60"/>
      <c r="MHO2462" s="60"/>
      <c r="MHP2462" s="60"/>
      <c r="MHQ2462" s="63"/>
      <c r="MHR2462" s="61"/>
      <c r="MHS2462" s="54"/>
      <c r="MHT2462" s="54"/>
      <c r="MHU2462" s="63"/>
      <c r="MHV2462" s="60"/>
      <c r="MHW2462" s="60"/>
      <c r="MHX2462" s="60"/>
      <c r="MHY2462" s="63"/>
      <c r="MHZ2462" s="61"/>
      <c r="MIA2462" s="54"/>
      <c r="MIB2462" s="54"/>
      <c r="MIC2462" s="63"/>
      <c r="MID2462" s="60"/>
      <c r="MIE2462" s="60"/>
      <c r="MIF2462" s="60"/>
      <c r="MIG2462" s="63"/>
      <c r="MIH2462" s="61"/>
      <c r="MII2462" s="54"/>
      <c r="MIJ2462" s="54"/>
      <c r="MIK2462" s="63"/>
      <c r="MIL2462" s="60"/>
      <c r="MIM2462" s="60"/>
      <c r="MIN2462" s="60"/>
      <c r="MIO2462" s="63"/>
      <c r="MIP2462" s="61"/>
      <c r="MIQ2462" s="54"/>
      <c r="MIR2462" s="54"/>
      <c r="MIS2462" s="63"/>
      <c r="MIT2462" s="60"/>
      <c r="MIU2462" s="60"/>
      <c r="MIV2462" s="60"/>
      <c r="MIW2462" s="63"/>
      <c r="MIX2462" s="61"/>
      <c r="MIY2462" s="54"/>
      <c r="MIZ2462" s="54"/>
      <c r="MJA2462" s="63"/>
      <c r="MJB2462" s="60"/>
      <c r="MJC2462" s="60"/>
      <c r="MJD2462" s="60"/>
      <c r="MJE2462" s="63"/>
      <c r="MJF2462" s="61"/>
      <c r="MJG2462" s="54"/>
      <c r="MJH2462" s="54"/>
      <c r="MJI2462" s="63"/>
      <c r="MJJ2462" s="60"/>
      <c r="MJK2462" s="60"/>
      <c r="MJL2462" s="60"/>
      <c r="MJM2462" s="63"/>
      <c r="MJN2462" s="61"/>
      <c r="MJO2462" s="54"/>
      <c r="MJP2462" s="54"/>
      <c r="MJQ2462" s="63"/>
      <c r="MJR2462" s="60"/>
      <c r="MJS2462" s="60"/>
      <c r="MJT2462" s="60"/>
      <c r="MJU2462" s="63"/>
      <c r="MJV2462" s="61"/>
      <c r="MJW2462" s="54"/>
      <c r="MJX2462" s="54"/>
      <c r="MJY2462" s="63"/>
      <c r="MJZ2462" s="60"/>
      <c r="MKA2462" s="60"/>
      <c r="MKB2462" s="60"/>
      <c r="MKC2462" s="63"/>
      <c r="MKD2462" s="61"/>
      <c r="MKE2462" s="54"/>
      <c r="MKF2462" s="54"/>
      <c r="MKG2462" s="63"/>
      <c r="MKH2462" s="60"/>
      <c r="MKI2462" s="60"/>
      <c r="MKJ2462" s="60"/>
      <c r="MKK2462" s="63"/>
      <c r="MKL2462" s="61"/>
      <c r="MKM2462" s="54"/>
      <c r="MKN2462" s="54"/>
      <c r="MKO2462" s="63"/>
      <c r="MKP2462" s="60"/>
      <c r="MKQ2462" s="60"/>
      <c r="MKR2462" s="60"/>
      <c r="MKS2462" s="63"/>
      <c r="MKT2462" s="61"/>
      <c r="MKU2462" s="54"/>
      <c r="MKV2462" s="54"/>
      <c r="MKW2462" s="63"/>
      <c r="MKX2462" s="60"/>
      <c r="MKY2462" s="60"/>
      <c r="MKZ2462" s="60"/>
      <c r="MLA2462" s="63"/>
      <c r="MLB2462" s="61"/>
      <c r="MLC2462" s="54"/>
      <c r="MLD2462" s="54"/>
      <c r="MLE2462" s="63"/>
      <c r="MLF2462" s="60"/>
      <c r="MLG2462" s="60"/>
      <c r="MLH2462" s="60"/>
      <c r="MLI2462" s="63"/>
      <c r="MLJ2462" s="61"/>
      <c r="MLK2462" s="54"/>
      <c r="MLL2462" s="54"/>
      <c r="MLM2462" s="63"/>
      <c r="MLN2462" s="60"/>
      <c r="MLO2462" s="60"/>
      <c r="MLP2462" s="60"/>
      <c r="MLQ2462" s="63"/>
      <c r="MLR2462" s="61"/>
      <c r="MLS2462" s="54"/>
      <c r="MLT2462" s="54"/>
      <c r="MLU2462" s="63"/>
      <c r="MLV2462" s="60"/>
      <c r="MLW2462" s="60"/>
      <c r="MLX2462" s="60"/>
      <c r="MLY2462" s="63"/>
      <c r="MLZ2462" s="61"/>
      <c r="MMA2462" s="54"/>
      <c r="MMB2462" s="54"/>
      <c r="MMC2462" s="63"/>
      <c r="MMD2462" s="60"/>
      <c r="MME2462" s="60"/>
      <c r="MMF2462" s="60"/>
      <c r="MMG2462" s="63"/>
      <c r="MMH2462" s="61"/>
      <c r="MMI2462" s="54"/>
      <c r="MMJ2462" s="54"/>
      <c r="MMK2462" s="63"/>
      <c r="MML2462" s="60"/>
      <c r="MMM2462" s="60"/>
      <c r="MMN2462" s="60"/>
      <c r="MMO2462" s="63"/>
      <c r="MMP2462" s="61"/>
      <c r="MMQ2462" s="54"/>
      <c r="MMR2462" s="54"/>
      <c r="MMS2462" s="63"/>
      <c r="MMT2462" s="60"/>
      <c r="MMU2462" s="60"/>
      <c r="MMV2462" s="60"/>
      <c r="MMW2462" s="63"/>
      <c r="MMX2462" s="61"/>
      <c r="MMY2462" s="54"/>
      <c r="MMZ2462" s="54"/>
      <c r="MNA2462" s="63"/>
      <c r="MNB2462" s="60"/>
      <c r="MNC2462" s="60"/>
      <c r="MND2462" s="60"/>
      <c r="MNE2462" s="63"/>
      <c r="MNF2462" s="61"/>
      <c r="MNG2462" s="54"/>
      <c r="MNH2462" s="54"/>
      <c r="MNI2462" s="63"/>
      <c r="MNJ2462" s="60"/>
      <c r="MNK2462" s="60"/>
      <c r="MNL2462" s="60"/>
      <c r="MNM2462" s="63"/>
      <c r="MNN2462" s="61"/>
      <c r="MNO2462" s="54"/>
      <c r="MNP2462" s="54"/>
      <c r="MNQ2462" s="63"/>
      <c r="MNR2462" s="60"/>
      <c r="MNS2462" s="60"/>
      <c r="MNT2462" s="60"/>
      <c r="MNU2462" s="63"/>
      <c r="MNV2462" s="61"/>
      <c r="MNW2462" s="54"/>
      <c r="MNX2462" s="54"/>
      <c r="MNY2462" s="63"/>
      <c r="MNZ2462" s="60"/>
      <c r="MOA2462" s="60"/>
      <c r="MOB2462" s="60"/>
      <c r="MOC2462" s="63"/>
      <c r="MOD2462" s="61"/>
      <c r="MOE2462" s="54"/>
      <c r="MOF2462" s="54"/>
      <c r="MOG2462" s="63"/>
      <c r="MOH2462" s="60"/>
      <c r="MOI2462" s="60"/>
      <c r="MOJ2462" s="60"/>
      <c r="MOK2462" s="63"/>
      <c r="MOL2462" s="61"/>
      <c r="MOM2462" s="54"/>
      <c r="MON2462" s="54"/>
      <c r="MOO2462" s="63"/>
      <c r="MOP2462" s="60"/>
      <c r="MOQ2462" s="60"/>
      <c r="MOR2462" s="60"/>
      <c r="MOS2462" s="63"/>
      <c r="MOT2462" s="61"/>
      <c r="MOU2462" s="54"/>
      <c r="MOV2462" s="54"/>
      <c r="MOW2462" s="63"/>
      <c r="MOX2462" s="60"/>
      <c r="MOY2462" s="60"/>
      <c r="MOZ2462" s="60"/>
      <c r="MPA2462" s="63"/>
      <c r="MPB2462" s="61"/>
      <c r="MPC2462" s="54"/>
      <c r="MPD2462" s="54"/>
      <c r="MPE2462" s="63"/>
      <c r="MPF2462" s="60"/>
      <c r="MPG2462" s="60"/>
      <c r="MPH2462" s="60"/>
      <c r="MPI2462" s="63"/>
      <c r="MPJ2462" s="61"/>
      <c r="MPK2462" s="54"/>
      <c r="MPL2462" s="54"/>
      <c r="MPM2462" s="63"/>
      <c r="MPN2462" s="60"/>
      <c r="MPO2462" s="60"/>
      <c r="MPP2462" s="60"/>
      <c r="MPQ2462" s="63"/>
      <c r="MPR2462" s="61"/>
      <c r="MPS2462" s="54"/>
      <c r="MPT2462" s="54"/>
      <c r="MPU2462" s="63"/>
      <c r="MPV2462" s="60"/>
      <c r="MPW2462" s="60"/>
      <c r="MPX2462" s="60"/>
      <c r="MPY2462" s="63"/>
      <c r="MPZ2462" s="61"/>
      <c r="MQA2462" s="54"/>
      <c r="MQB2462" s="54"/>
      <c r="MQC2462" s="63"/>
      <c r="MQD2462" s="60"/>
      <c r="MQE2462" s="60"/>
      <c r="MQF2462" s="60"/>
      <c r="MQG2462" s="63"/>
      <c r="MQH2462" s="61"/>
      <c r="MQI2462" s="54"/>
      <c r="MQJ2462" s="54"/>
      <c r="MQK2462" s="63"/>
      <c r="MQL2462" s="60"/>
      <c r="MQM2462" s="60"/>
      <c r="MQN2462" s="60"/>
      <c r="MQO2462" s="63"/>
      <c r="MQP2462" s="61"/>
      <c r="MQQ2462" s="54"/>
      <c r="MQR2462" s="54"/>
      <c r="MQS2462" s="63"/>
      <c r="MQT2462" s="60"/>
      <c r="MQU2462" s="60"/>
      <c r="MQV2462" s="60"/>
      <c r="MQW2462" s="63"/>
      <c r="MQX2462" s="61"/>
      <c r="MQY2462" s="54"/>
      <c r="MQZ2462" s="54"/>
      <c r="MRA2462" s="63"/>
      <c r="MRB2462" s="60"/>
      <c r="MRC2462" s="60"/>
      <c r="MRD2462" s="60"/>
      <c r="MRE2462" s="63"/>
      <c r="MRF2462" s="61"/>
      <c r="MRG2462" s="54"/>
      <c r="MRH2462" s="54"/>
      <c r="MRI2462" s="63"/>
      <c r="MRJ2462" s="60"/>
      <c r="MRK2462" s="60"/>
      <c r="MRL2462" s="60"/>
      <c r="MRM2462" s="63"/>
      <c r="MRN2462" s="61"/>
      <c r="MRO2462" s="54"/>
      <c r="MRP2462" s="54"/>
      <c r="MRQ2462" s="63"/>
      <c r="MRR2462" s="60"/>
      <c r="MRS2462" s="60"/>
      <c r="MRT2462" s="60"/>
      <c r="MRU2462" s="63"/>
      <c r="MRV2462" s="61"/>
      <c r="MRW2462" s="54"/>
      <c r="MRX2462" s="54"/>
      <c r="MRY2462" s="63"/>
      <c r="MRZ2462" s="60"/>
      <c r="MSA2462" s="60"/>
      <c r="MSB2462" s="60"/>
      <c r="MSC2462" s="63"/>
      <c r="MSD2462" s="61"/>
      <c r="MSE2462" s="54"/>
      <c r="MSF2462" s="54"/>
      <c r="MSG2462" s="63"/>
      <c r="MSH2462" s="60"/>
      <c r="MSI2462" s="60"/>
      <c r="MSJ2462" s="60"/>
      <c r="MSK2462" s="63"/>
      <c r="MSL2462" s="61"/>
      <c r="MSM2462" s="54"/>
      <c r="MSN2462" s="54"/>
      <c r="MSO2462" s="63"/>
      <c r="MSP2462" s="60"/>
      <c r="MSQ2462" s="60"/>
      <c r="MSR2462" s="60"/>
      <c r="MSS2462" s="63"/>
      <c r="MST2462" s="61"/>
      <c r="MSU2462" s="54"/>
      <c r="MSV2462" s="54"/>
      <c r="MSW2462" s="63"/>
      <c r="MSX2462" s="60"/>
      <c r="MSY2462" s="60"/>
      <c r="MSZ2462" s="60"/>
      <c r="MTA2462" s="63"/>
      <c r="MTB2462" s="61"/>
      <c r="MTC2462" s="54"/>
      <c r="MTD2462" s="54"/>
      <c r="MTE2462" s="63"/>
      <c r="MTF2462" s="60"/>
      <c r="MTG2462" s="60"/>
      <c r="MTH2462" s="60"/>
      <c r="MTI2462" s="63"/>
      <c r="MTJ2462" s="61"/>
      <c r="MTK2462" s="54"/>
      <c r="MTL2462" s="54"/>
      <c r="MTM2462" s="63"/>
      <c r="MTN2462" s="60"/>
      <c r="MTO2462" s="60"/>
      <c r="MTP2462" s="60"/>
      <c r="MTQ2462" s="63"/>
      <c r="MTR2462" s="61"/>
      <c r="MTS2462" s="54"/>
      <c r="MTT2462" s="54"/>
      <c r="MTU2462" s="63"/>
      <c r="MTV2462" s="60"/>
      <c r="MTW2462" s="60"/>
      <c r="MTX2462" s="60"/>
      <c r="MTY2462" s="63"/>
      <c r="MTZ2462" s="61"/>
      <c r="MUA2462" s="54"/>
      <c r="MUB2462" s="54"/>
      <c r="MUC2462" s="63"/>
      <c r="MUD2462" s="60"/>
      <c r="MUE2462" s="60"/>
      <c r="MUF2462" s="60"/>
      <c r="MUG2462" s="63"/>
      <c r="MUH2462" s="61"/>
      <c r="MUI2462" s="54"/>
      <c r="MUJ2462" s="54"/>
      <c r="MUK2462" s="63"/>
      <c r="MUL2462" s="60"/>
      <c r="MUM2462" s="60"/>
      <c r="MUN2462" s="60"/>
      <c r="MUO2462" s="63"/>
      <c r="MUP2462" s="61"/>
      <c r="MUQ2462" s="54"/>
      <c r="MUR2462" s="54"/>
      <c r="MUS2462" s="63"/>
      <c r="MUT2462" s="60"/>
      <c r="MUU2462" s="60"/>
      <c r="MUV2462" s="60"/>
      <c r="MUW2462" s="63"/>
      <c r="MUX2462" s="61"/>
      <c r="MUY2462" s="54"/>
      <c r="MUZ2462" s="54"/>
      <c r="MVA2462" s="63"/>
      <c r="MVB2462" s="60"/>
      <c r="MVC2462" s="60"/>
      <c r="MVD2462" s="60"/>
      <c r="MVE2462" s="63"/>
      <c r="MVF2462" s="61"/>
      <c r="MVG2462" s="54"/>
      <c r="MVH2462" s="54"/>
      <c r="MVI2462" s="63"/>
      <c r="MVJ2462" s="60"/>
      <c r="MVK2462" s="60"/>
      <c r="MVL2462" s="60"/>
      <c r="MVM2462" s="63"/>
      <c r="MVN2462" s="61"/>
      <c r="MVO2462" s="54"/>
      <c r="MVP2462" s="54"/>
      <c r="MVQ2462" s="63"/>
      <c r="MVR2462" s="60"/>
      <c r="MVS2462" s="60"/>
      <c r="MVT2462" s="60"/>
      <c r="MVU2462" s="63"/>
      <c r="MVV2462" s="61"/>
      <c r="MVW2462" s="54"/>
      <c r="MVX2462" s="54"/>
      <c r="MVY2462" s="63"/>
      <c r="MVZ2462" s="60"/>
      <c r="MWA2462" s="60"/>
      <c r="MWB2462" s="60"/>
      <c r="MWC2462" s="63"/>
      <c r="MWD2462" s="61"/>
      <c r="MWE2462" s="54"/>
      <c r="MWF2462" s="54"/>
      <c r="MWG2462" s="63"/>
      <c r="MWH2462" s="60"/>
      <c r="MWI2462" s="60"/>
      <c r="MWJ2462" s="60"/>
      <c r="MWK2462" s="63"/>
      <c r="MWL2462" s="61"/>
      <c r="MWM2462" s="54"/>
      <c r="MWN2462" s="54"/>
      <c r="MWO2462" s="63"/>
      <c r="MWP2462" s="60"/>
      <c r="MWQ2462" s="60"/>
      <c r="MWR2462" s="60"/>
      <c r="MWS2462" s="63"/>
      <c r="MWT2462" s="61"/>
      <c r="MWU2462" s="54"/>
      <c r="MWV2462" s="54"/>
      <c r="MWW2462" s="63"/>
      <c r="MWX2462" s="60"/>
      <c r="MWY2462" s="60"/>
      <c r="MWZ2462" s="60"/>
      <c r="MXA2462" s="63"/>
      <c r="MXB2462" s="61"/>
      <c r="MXC2462" s="54"/>
      <c r="MXD2462" s="54"/>
      <c r="MXE2462" s="63"/>
      <c r="MXF2462" s="60"/>
      <c r="MXG2462" s="60"/>
      <c r="MXH2462" s="60"/>
      <c r="MXI2462" s="63"/>
      <c r="MXJ2462" s="61"/>
      <c r="MXK2462" s="54"/>
      <c r="MXL2462" s="54"/>
      <c r="MXM2462" s="63"/>
      <c r="MXN2462" s="60"/>
      <c r="MXO2462" s="60"/>
      <c r="MXP2462" s="60"/>
      <c r="MXQ2462" s="63"/>
      <c r="MXR2462" s="61"/>
      <c r="MXS2462" s="54"/>
      <c r="MXT2462" s="54"/>
      <c r="MXU2462" s="63"/>
      <c r="MXV2462" s="60"/>
      <c r="MXW2462" s="60"/>
      <c r="MXX2462" s="60"/>
      <c r="MXY2462" s="63"/>
      <c r="MXZ2462" s="61"/>
      <c r="MYA2462" s="54"/>
      <c r="MYB2462" s="54"/>
      <c r="MYC2462" s="63"/>
      <c r="MYD2462" s="60"/>
      <c r="MYE2462" s="60"/>
      <c r="MYF2462" s="60"/>
      <c r="MYG2462" s="63"/>
      <c r="MYH2462" s="61"/>
      <c r="MYI2462" s="54"/>
      <c r="MYJ2462" s="54"/>
      <c r="MYK2462" s="63"/>
      <c r="MYL2462" s="60"/>
      <c r="MYM2462" s="60"/>
      <c r="MYN2462" s="60"/>
      <c r="MYO2462" s="63"/>
      <c r="MYP2462" s="61"/>
      <c r="MYQ2462" s="54"/>
      <c r="MYR2462" s="54"/>
      <c r="MYS2462" s="63"/>
      <c r="MYT2462" s="60"/>
      <c r="MYU2462" s="60"/>
      <c r="MYV2462" s="60"/>
      <c r="MYW2462" s="63"/>
      <c r="MYX2462" s="61"/>
      <c r="MYY2462" s="54"/>
      <c r="MYZ2462" s="54"/>
      <c r="MZA2462" s="63"/>
      <c r="MZB2462" s="60"/>
      <c r="MZC2462" s="60"/>
      <c r="MZD2462" s="60"/>
      <c r="MZE2462" s="63"/>
      <c r="MZF2462" s="61"/>
      <c r="MZG2462" s="54"/>
      <c r="MZH2462" s="54"/>
      <c r="MZI2462" s="63"/>
      <c r="MZJ2462" s="60"/>
      <c r="MZK2462" s="60"/>
      <c r="MZL2462" s="60"/>
      <c r="MZM2462" s="63"/>
      <c r="MZN2462" s="61"/>
      <c r="MZO2462" s="54"/>
      <c r="MZP2462" s="54"/>
      <c r="MZQ2462" s="63"/>
      <c r="MZR2462" s="60"/>
      <c r="MZS2462" s="60"/>
      <c r="MZT2462" s="60"/>
      <c r="MZU2462" s="63"/>
      <c r="MZV2462" s="61"/>
      <c r="MZW2462" s="54"/>
      <c r="MZX2462" s="54"/>
      <c r="MZY2462" s="63"/>
      <c r="MZZ2462" s="60"/>
      <c r="NAA2462" s="60"/>
      <c r="NAB2462" s="60"/>
      <c r="NAC2462" s="63"/>
      <c r="NAD2462" s="61"/>
      <c r="NAE2462" s="54"/>
      <c r="NAF2462" s="54"/>
      <c r="NAG2462" s="63"/>
      <c r="NAH2462" s="60"/>
      <c r="NAI2462" s="60"/>
      <c r="NAJ2462" s="60"/>
      <c r="NAK2462" s="63"/>
      <c r="NAL2462" s="61"/>
      <c r="NAM2462" s="54"/>
      <c r="NAN2462" s="54"/>
      <c r="NAO2462" s="63"/>
      <c r="NAP2462" s="60"/>
      <c r="NAQ2462" s="60"/>
      <c r="NAR2462" s="60"/>
      <c r="NAS2462" s="63"/>
      <c r="NAT2462" s="61"/>
      <c r="NAU2462" s="54"/>
      <c r="NAV2462" s="54"/>
      <c r="NAW2462" s="63"/>
      <c r="NAX2462" s="60"/>
      <c r="NAY2462" s="60"/>
      <c r="NAZ2462" s="60"/>
      <c r="NBA2462" s="63"/>
      <c r="NBB2462" s="61"/>
      <c r="NBC2462" s="54"/>
      <c r="NBD2462" s="54"/>
      <c r="NBE2462" s="63"/>
      <c r="NBF2462" s="60"/>
      <c r="NBG2462" s="60"/>
      <c r="NBH2462" s="60"/>
      <c r="NBI2462" s="63"/>
      <c r="NBJ2462" s="61"/>
      <c r="NBK2462" s="54"/>
      <c r="NBL2462" s="54"/>
      <c r="NBM2462" s="63"/>
      <c r="NBN2462" s="60"/>
      <c r="NBO2462" s="60"/>
      <c r="NBP2462" s="60"/>
      <c r="NBQ2462" s="63"/>
      <c r="NBR2462" s="61"/>
      <c r="NBS2462" s="54"/>
      <c r="NBT2462" s="54"/>
      <c r="NBU2462" s="63"/>
      <c r="NBV2462" s="60"/>
      <c r="NBW2462" s="60"/>
      <c r="NBX2462" s="60"/>
      <c r="NBY2462" s="63"/>
      <c r="NBZ2462" s="61"/>
      <c r="NCA2462" s="54"/>
      <c r="NCB2462" s="54"/>
      <c r="NCC2462" s="63"/>
      <c r="NCD2462" s="60"/>
      <c r="NCE2462" s="60"/>
      <c r="NCF2462" s="60"/>
      <c r="NCG2462" s="63"/>
      <c r="NCH2462" s="61"/>
      <c r="NCI2462" s="54"/>
      <c r="NCJ2462" s="54"/>
      <c r="NCK2462" s="63"/>
      <c r="NCL2462" s="60"/>
      <c r="NCM2462" s="60"/>
      <c r="NCN2462" s="60"/>
      <c r="NCO2462" s="63"/>
      <c r="NCP2462" s="61"/>
      <c r="NCQ2462" s="54"/>
      <c r="NCR2462" s="54"/>
      <c r="NCS2462" s="63"/>
      <c r="NCT2462" s="60"/>
      <c r="NCU2462" s="60"/>
      <c r="NCV2462" s="60"/>
      <c r="NCW2462" s="63"/>
      <c r="NCX2462" s="61"/>
      <c r="NCY2462" s="54"/>
      <c r="NCZ2462" s="54"/>
      <c r="NDA2462" s="63"/>
      <c r="NDB2462" s="60"/>
      <c r="NDC2462" s="60"/>
      <c r="NDD2462" s="60"/>
      <c r="NDE2462" s="63"/>
      <c r="NDF2462" s="61"/>
      <c r="NDG2462" s="54"/>
      <c r="NDH2462" s="54"/>
      <c r="NDI2462" s="63"/>
      <c r="NDJ2462" s="60"/>
      <c r="NDK2462" s="60"/>
      <c r="NDL2462" s="60"/>
      <c r="NDM2462" s="63"/>
      <c r="NDN2462" s="61"/>
      <c r="NDO2462" s="54"/>
      <c r="NDP2462" s="54"/>
      <c r="NDQ2462" s="63"/>
      <c r="NDR2462" s="60"/>
      <c r="NDS2462" s="60"/>
      <c r="NDT2462" s="60"/>
      <c r="NDU2462" s="63"/>
      <c r="NDV2462" s="61"/>
      <c r="NDW2462" s="54"/>
      <c r="NDX2462" s="54"/>
      <c r="NDY2462" s="63"/>
      <c r="NDZ2462" s="60"/>
      <c r="NEA2462" s="60"/>
      <c r="NEB2462" s="60"/>
      <c r="NEC2462" s="63"/>
      <c r="NED2462" s="61"/>
      <c r="NEE2462" s="54"/>
      <c r="NEF2462" s="54"/>
      <c r="NEG2462" s="63"/>
      <c r="NEH2462" s="60"/>
      <c r="NEI2462" s="60"/>
      <c r="NEJ2462" s="60"/>
      <c r="NEK2462" s="63"/>
      <c r="NEL2462" s="61"/>
      <c r="NEM2462" s="54"/>
      <c r="NEN2462" s="54"/>
      <c r="NEO2462" s="63"/>
      <c r="NEP2462" s="60"/>
      <c r="NEQ2462" s="60"/>
      <c r="NER2462" s="60"/>
      <c r="NES2462" s="63"/>
      <c r="NET2462" s="61"/>
      <c r="NEU2462" s="54"/>
      <c r="NEV2462" s="54"/>
      <c r="NEW2462" s="63"/>
      <c r="NEX2462" s="60"/>
      <c r="NEY2462" s="60"/>
      <c r="NEZ2462" s="60"/>
      <c r="NFA2462" s="63"/>
      <c r="NFB2462" s="61"/>
      <c r="NFC2462" s="54"/>
      <c r="NFD2462" s="54"/>
      <c r="NFE2462" s="63"/>
      <c r="NFF2462" s="60"/>
      <c r="NFG2462" s="60"/>
      <c r="NFH2462" s="60"/>
      <c r="NFI2462" s="63"/>
      <c r="NFJ2462" s="61"/>
      <c r="NFK2462" s="54"/>
      <c r="NFL2462" s="54"/>
      <c r="NFM2462" s="63"/>
      <c r="NFN2462" s="60"/>
      <c r="NFO2462" s="60"/>
      <c r="NFP2462" s="60"/>
      <c r="NFQ2462" s="63"/>
      <c r="NFR2462" s="61"/>
      <c r="NFS2462" s="54"/>
      <c r="NFT2462" s="54"/>
      <c r="NFU2462" s="63"/>
      <c r="NFV2462" s="60"/>
      <c r="NFW2462" s="60"/>
      <c r="NFX2462" s="60"/>
      <c r="NFY2462" s="63"/>
      <c r="NFZ2462" s="61"/>
      <c r="NGA2462" s="54"/>
      <c r="NGB2462" s="54"/>
      <c r="NGC2462" s="63"/>
      <c r="NGD2462" s="60"/>
      <c r="NGE2462" s="60"/>
      <c r="NGF2462" s="60"/>
      <c r="NGG2462" s="63"/>
      <c r="NGH2462" s="61"/>
      <c r="NGI2462" s="54"/>
      <c r="NGJ2462" s="54"/>
      <c r="NGK2462" s="63"/>
      <c r="NGL2462" s="60"/>
      <c r="NGM2462" s="60"/>
      <c r="NGN2462" s="60"/>
      <c r="NGO2462" s="63"/>
      <c r="NGP2462" s="61"/>
      <c r="NGQ2462" s="54"/>
      <c r="NGR2462" s="54"/>
      <c r="NGS2462" s="63"/>
      <c r="NGT2462" s="60"/>
      <c r="NGU2462" s="60"/>
      <c r="NGV2462" s="60"/>
      <c r="NGW2462" s="63"/>
      <c r="NGX2462" s="61"/>
      <c r="NGY2462" s="54"/>
      <c r="NGZ2462" s="54"/>
      <c r="NHA2462" s="63"/>
      <c r="NHB2462" s="60"/>
      <c r="NHC2462" s="60"/>
      <c r="NHD2462" s="60"/>
      <c r="NHE2462" s="63"/>
      <c r="NHF2462" s="61"/>
      <c r="NHG2462" s="54"/>
      <c r="NHH2462" s="54"/>
      <c r="NHI2462" s="63"/>
      <c r="NHJ2462" s="60"/>
      <c r="NHK2462" s="60"/>
      <c r="NHL2462" s="60"/>
      <c r="NHM2462" s="63"/>
      <c r="NHN2462" s="61"/>
      <c r="NHO2462" s="54"/>
      <c r="NHP2462" s="54"/>
      <c r="NHQ2462" s="63"/>
      <c r="NHR2462" s="60"/>
      <c r="NHS2462" s="60"/>
      <c r="NHT2462" s="60"/>
      <c r="NHU2462" s="63"/>
      <c r="NHV2462" s="61"/>
      <c r="NHW2462" s="54"/>
      <c r="NHX2462" s="54"/>
      <c r="NHY2462" s="63"/>
      <c r="NHZ2462" s="60"/>
      <c r="NIA2462" s="60"/>
      <c r="NIB2462" s="60"/>
      <c r="NIC2462" s="63"/>
      <c r="NID2462" s="61"/>
      <c r="NIE2462" s="54"/>
      <c r="NIF2462" s="54"/>
      <c r="NIG2462" s="63"/>
      <c r="NIH2462" s="60"/>
      <c r="NII2462" s="60"/>
      <c r="NIJ2462" s="60"/>
      <c r="NIK2462" s="63"/>
      <c r="NIL2462" s="61"/>
      <c r="NIM2462" s="54"/>
      <c r="NIN2462" s="54"/>
      <c r="NIO2462" s="63"/>
      <c r="NIP2462" s="60"/>
      <c r="NIQ2462" s="60"/>
      <c r="NIR2462" s="60"/>
      <c r="NIS2462" s="63"/>
      <c r="NIT2462" s="61"/>
      <c r="NIU2462" s="54"/>
      <c r="NIV2462" s="54"/>
      <c r="NIW2462" s="63"/>
      <c r="NIX2462" s="60"/>
      <c r="NIY2462" s="60"/>
      <c r="NIZ2462" s="60"/>
      <c r="NJA2462" s="63"/>
      <c r="NJB2462" s="61"/>
      <c r="NJC2462" s="54"/>
      <c r="NJD2462" s="54"/>
      <c r="NJE2462" s="63"/>
      <c r="NJF2462" s="60"/>
      <c r="NJG2462" s="60"/>
      <c r="NJH2462" s="60"/>
      <c r="NJI2462" s="63"/>
      <c r="NJJ2462" s="61"/>
      <c r="NJK2462" s="54"/>
      <c r="NJL2462" s="54"/>
      <c r="NJM2462" s="63"/>
      <c r="NJN2462" s="60"/>
      <c r="NJO2462" s="60"/>
      <c r="NJP2462" s="60"/>
      <c r="NJQ2462" s="63"/>
      <c r="NJR2462" s="61"/>
      <c r="NJS2462" s="54"/>
      <c r="NJT2462" s="54"/>
      <c r="NJU2462" s="63"/>
      <c r="NJV2462" s="60"/>
      <c r="NJW2462" s="60"/>
      <c r="NJX2462" s="60"/>
      <c r="NJY2462" s="63"/>
      <c r="NJZ2462" s="61"/>
      <c r="NKA2462" s="54"/>
      <c r="NKB2462" s="54"/>
      <c r="NKC2462" s="63"/>
      <c r="NKD2462" s="60"/>
      <c r="NKE2462" s="60"/>
      <c r="NKF2462" s="60"/>
      <c r="NKG2462" s="63"/>
      <c r="NKH2462" s="61"/>
      <c r="NKI2462" s="54"/>
      <c r="NKJ2462" s="54"/>
      <c r="NKK2462" s="63"/>
      <c r="NKL2462" s="60"/>
      <c r="NKM2462" s="60"/>
      <c r="NKN2462" s="60"/>
      <c r="NKO2462" s="63"/>
      <c r="NKP2462" s="61"/>
      <c r="NKQ2462" s="54"/>
      <c r="NKR2462" s="54"/>
      <c r="NKS2462" s="63"/>
      <c r="NKT2462" s="60"/>
      <c r="NKU2462" s="60"/>
      <c r="NKV2462" s="60"/>
      <c r="NKW2462" s="63"/>
      <c r="NKX2462" s="61"/>
      <c r="NKY2462" s="54"/>
      <c r="NKZ2462" s="54"/>
      <c r="NLA2462" s="63"/>
      <c r="NLB2462" s="60"/>
      <c r="NLC2462" s="60"/>
      <c r="NLD2462" s="60"/>
      <c r="NLE2462" s="63"/>
      <c r="NLF2462" s="61"/>
      <c r="NLG2462" s="54"/>
      <c r="NLH2462" s="54"/>
      <c r="NLI2462" s="63"/>
      <c r="NLJ2462" s="60"/>
      <c r="NLK2462" s="60"/>
      <c r="NLL2462" s="60"/>
      <c r="NLM2462" s="63"/>
      <c r="NLN2462" s="61"/>
      <c r="NLO2462" s="54"/>
      <c r="NLP2462" s="54"/>
      <c r="NLQ2462" s="63"/>
      <c r="NLR2462" s="60"/>
      <c r="NLS2462" s="60"/>
      <c r="NLT2462" s="60"/>
      <c r="NLU2462" s="63"/>
      <c r="NLV2462" s="61"/>
      <c r="NLW2462" s="54"/>
      <c r="NLX2462" s="54"/>
      <c r="NLY2462" s="63"/>
      <c r="NLZ2462" s="60"/>
      <c r="NMA2462" s="60"/>
      <c r="NMB2462" s="60"/>
      <c r="NMC2462" s="63"/>
      <c r="NMD2462" s="61"/>
      <c r="NME2462" s="54"/>
      <c r="NMF2462" s="54"/>
      <c r="NMG2462" s="63"/>
      <c r="NMH2462" s="60"/>
      <c r="NMI2462" s="60"/>
      <c r="NMJ2462" s="60"/>
      <c r="NMK2462" s="63"/>
      <c r="NML2462" s="61"/>
      <c r="NMM2462" s="54"/>
      <c r="NMN2462" s="54"/>
      <c r="NMO2462" s="63"/>
      <c r="NMP2462" s="60"/>
      <c r="NMQ2462" s="60"/>
      <c r="NMR2462" s="60"/>
      <c r="NMS2462" s="63"/>
      <c r="NMT2462" s="61"/>
      <c r="NMU2462" s="54"/>
      <c r="NMV2462" s="54"/>
      <c r="NMW2462" s="63"/>
      <c r="NMX2462" s="60"/>
      <c r="NMY2462" s="60"/>
      <c r="NMZ2462" s="60"/>
      <c r="NNA2462" s="63"/>
      <c r="NNB2462" s="61"/>
      <c r="NNC2462" s="54"/>
      <c r="NND2462" s="54"/>
      <c r="NNE2462" s="63"/>
      <c r="NNF2462" s="60"/>
      <c r="NNG2462" s="60"/>
      <c r="NNH2462" s="60"/>
      <c r="NNI2462" s="63"/>
      <c r="NNJ2462" s="61"/>
      <c r="NNK2462" s="54"/>
      <c r="NNL2462" s="54"/>
      <c r="NNM2462" s="63"/>
      <c r="NNN2462" s="60"/>
      <c r="NNO2462" s="60"/>
      <c r="NNP2462" s="60"/>
      <c r="NNQ2462" s="63"/>
      <c r="NNR2462" s="61"/>
      <c r="NNS2462" s="54"/>
      <c r="NNT2462" s="54"/>
      <c r="NNU2462" s="63"/>
      <c r="NNV2462" s="60"/>
      <c r="NNW2462" s="60"/>
      <c r="NNX2462" s="60"/>
      <c r="NNY2462" s="63"/>
      <c r="NNZ2462" s="61"/>
      <c r="NOA2462" s="54"/>
      <c r="NOB2462" s="54"/>
      <c r="NOC2462" s="63"/>
      <c r="NOD2462" s="60"/>
      <c r="NOE2462" s="60"/>
      <c r="NOF2462" s="60"/>
      <c r="NOG2462" s="63"/>
      <c r="NOH2462" s="61"/>
      <c r="NOI2462" s="54"/>
      <c r="NOJ2462" s="54"/>
      <c r="NOK2462" s="63"/>
      <c r="NOL2462" s="60"/>
      <c r="NOM2462" s="60"/>
      <c r="NON2462" s="60"/>
      <c r="NOO2462" s="63"/>
      <c r="NOP2462" s="61"/>
      <c r="NOQ2462" s="54"/>
      <c r="NOR2462" s="54"/>
      <c r="NOS2462" s="63"/>
      <c r="NOT2462" s="60"/>
      <c r="NOU2462" s="60"/>
      <c r="NOV2462" s="60"/>
      <c r="NOW2462" s="63"/>
      <c r="NOX2462" s="61"/>
      <c r="NOY2462" s="54"/>
      <c r="NOZ2462" s="54"/>
      <c r="NPA2462" s="63"/>
      <c r="NPB2462" s="60"/>
      <c r="NPC2462" s="60"/>
      <c r="NPD2462" s="60"/>
      <c r="NPE2462" s="63"/>
      <c r="NPF2462" s="61"/>
      <c r="NPG2462" s="54"/>
      <c r="NPH2462" s="54"/>
      <c r="NPI2462" s="63"/>
      <c r="NPJ2462" s="60"/>
      <c r="NPK2462" s="60"/>
      <c r="NPL2462" s="60"/>
      <c r="NPM2462" s="63"/>
      <c r="NPN2462" s="61"/>
      <c r="NPO2462" s="54"/>
      <c r="NPP2462" s="54"/>
      <c r="NPQ2462" s="63"/>
      <c r="NPR2462" s="60"/>
      <c r="NPS2462" s="60"/>
      <c r="NPT2462" s="60"/>
      <c r="NPU2462" s="63"/>
      <c r="NPV2462" s="61"/>
      <c r="NPW2462" s="54"/>
      <c r="NPX2462" s="54"/>
      <c r="NPY2462" s="63"/>
      <c r="NPZ2462" s="60"/>
      <c r="NQA2462" s="60"/>
      <c r="NQB2462" s="60"/>
      <c r="NQC2462" s="63"/>
      <c r="NQD2462" s="61"/>
      <c r="NQE2462" s="54"/>
      <c r="NQF2462" s="54"/>
      <c r="NQG2462" s="63"/>
      <c r="NQH2462" s="60"/>
      <c r="NQI2462" s="60"/>
      <c r="NQJ2462" s="60"/>
      <c r="NQK2462" s="63"/>
      <c r="NQL2462" s="61"/>
      <c r="NQM2462" s="54"/>
      <c r="NQN2462" s="54"/>
      <c r="NQO2462" s="63"/>
      <c r="NQP2462" s="60"/>
      <c r="NQQ2462" s="60"/>
      <c r="NQR2462" s="60"/>
      <c r="NQS2462" s="63"/>
      <c r="NQT2462" s="61"/>
      <c r="NQU2462" s="54"/>
      <c r="NQV2462" s="54"/>
      <c r="NQW2462" s="63"/>
      <c r="NQX2462" s="60"/>
      <c r="NQY2462" s="60"/>
      <c r="NQZ2462" s="60"/>
      <c r="NRA2462" s="63"/>
      <c r="NRB2462" s="61"/>
      <c r="NRC2462" s="54"/>
      <c r="NRD2462" s="54"/>
      <c r="NRE2462" s="63"/>
      <c r="NRF2462" s="60"/>
      <c r="NRG2462" s="60"/>
      <c r="NRH2462" s="60"/>
      <c r="NRI2462" s="63"/>
      <c r="NRJ2462" s="61"/>
      <c r="NRK2462" s="54"/>
      <c r="NRL2462" s="54"/>
      <c r="NRM2462" s="63"/>
      <c r="NRN2462" s="60"/>
      <c r="NRO2462" s="60"/>
      <c r="NRP2462" s="60"/>
      <c r="NRQ2462" s="63"/>
      <c r="NRR2462" s="61"/>
      <c r="NRS2462" s="54"/>
      <c r="NRT2462" s="54"/>
      <c r="NRU2462" s="63"/>
      <c r="NRV2462" s="60"/>
      <c r="NRW2462" s="60"/>
      <c r="NRX2462" s="60"/>
      <c r="NRY2462" s="63"/>
      <c r="NRZ2462" s="61"/>
      <c r="NSA2462" s="54"/>
      <c r="NSB2462" s="54"/>
      <c r="NSC2462" s="63"/>
      <c r="NSD2462" s="60"/>
      <c r="NSE2462" s="60"/>
      <c r="NSF2462" s="60"/>
      <c r="NSG2462" s="63"/>
      <c r="NSH2462" s="61"/>
      <c r="NSI2462" s="54"/>
      <c r="NSJ2462" s="54"/>
      <c r="NSK2462" s="63"/>
      <c r="NSL2462" s="60"/>
      <c r="NSM2462" s="60"/>
      <c r="NSN2462" s="60"/>
      <c r="NSO2462" s="63"/>
      <c r="NSP2462" s="61"/>
      <c r="NSQ2462" s="54"/>
      <c r="NSR2462" s="54"/>
      <c r="NSS2462" s="63"/>
      <c r="NST2462" s="60"/>
      <c r="NSU2462" s="60"/>
      <c r="NSV2462" s="60"/>
      <c r="NSW2462" s="63"/>
      <c r="NSX2462" s="61"/>
      <c r="NSY2462" s="54"/>
      <c r="NSZ2462" s="54"/>
      <c r="NTA2462" s="63"/>
      <c r="NTB2462" s="60"/>
      <c r="NTC2462" s="60"/>
      <c r="NTD2462" s="60"/>
      <c r="NTE2462" s="63"/>
      <c r="NTF2462" s="61"/>
      <c r="NTG2462" s="54"/>
      <c r="NTH2462" s="54"/>
      <c r="NTI2462" s="63"/>
      <c r="NTJ2462" s="60"/>
      <c r="NTK2462" s="60"/>
      <c r="NTL2462" s="60"/>
      <c r="NTM2462" s="63"/>
      <c r="NTN2462" s="61"/>
      <c r="NTO2462" s="54"/>
      <c r="NTP2462" s="54"/>
      <c r="NTQ2462" s="63"/>
      <c r="NTR2462" s="60"/>
      <c r="NTS2462" s="60"/>
      <c r="NTT2462" s="60"/>
      <c r="NTU2462" s="63"/>
      <c r="NTV2462" s="61"/>
      <c r="NTW2462" s="54"/>
      <c r="NTX2462" s="54"/>
      <c r="NTY2462" s="63"/>
      <c r="NTZ2462" s="60"/>
      <c r="NUA2462" s="60"/>
      <c r="NUB2462" s="60"/>
      <c r="NUC2462" s="63"/>
      <c r="NUD2462" s="61"/>
      <c r="NUE2462" s="54"/>
      <c r="NUF2462" s="54"/>
      <c r="NUG2462" s="63"/>
      <c r="NUH2462" s="60"/>
      <c r="NUI2462" s="60"/>
      <c r="NUJ2462" s="60"/>
      <c r="NUK2462" s="63"/>
      <c r="NUL2462" s="61"/>
      <c r="NUM2462" s="54"/>
      <c r="NUN2462" s="54"/>
      <c r="NUO2462" s="63"/>
      <c r="NUP2462" s="60"/>
      <c r="NUQ2462" s="60"/>
      <c r="NUR2462" s="60"/>
      <c r="NUS2462" s="63"/>
      <c r="NUT2462" s="61"/>
      <c r="NUU2462" s="54"/>
      <c r="NUV2462" s="54"/>
      <c r="NUW2462" s="63"/>
      <c r="NUX2462" s="60"/>
      <c r="NUY2462" s="60"/>
      <c r="NUZ2462" s="60"/>
      <c r="NVA2462" s="63"/>
      <c r="NVB2462" s="61"/>
      <c r="NVC2462" s="54"/>
      <c r="NVD2462" s="54"/>
      <c r="NVE2462" s="63"/>
      <c r="NVF2462" s="60"/>
      <c r="NVG2462" s="60"/>
      <c r="NVH2462" s="60"/>
      <c r="NVI2462" s="63"/>
      <c r="NVJ2462" s="61"/>
      <c r="NVK2462" s="54"/>
      <c r="NVL2462" s="54"/>
      <c r="NVM2462" s="63"/>
      <c r="NVN2462" s="60"/>
      <c r="NVO2462" s="60"/>
      <c r="NVP2462" s="60"/>
      <c r="NVQ2462" s="63"/>
      <c r="NVR2462" s="61"/>
      <c r="NVS2462" s="54"/>
      <c r="NVT2462" s="54"/>
      <c r="NVU2462" s="63"/>
      <c r="NVV2462" s="60"/>
      <c r="NVW2462" s="60"/>
      <c r="NVX2462" s="60"/>
      <c r="NVY2462" s="63"/>
      <c r="NVZ2462" s="61"/>
      <c r="NWA2462" s="54"/>
      <c r="NWB2462" s="54"/>
      <c r="NWC2462" s="63"/>
      <c r="NWD2462" s="60"/>
      <c r="NWE2462" s="60"/>
      <c r="NWF2462" s="60"/>
      <c r="NWG2462" s="63"/>
      <c r="NWH2462" s="61"/>
      <c r="NWI2462" s="54"/>
      <c r="NWJ2462" s="54"/>
      <c r="NWK2462" s="63"/>
      <c r="NWL2462" s="60"/>
      <c r="NWM2462" s="60"/>
      <c r="NWN2462" s="60"/>
      <c r="NWO2462" s="63"/>
      <c r="NWP2462" s="61"/>
      <c r="NWQ2462" s="54"/>
      <c r="NWR2462" s="54"/>
      <c r="NWS2462" s="63"/>
      <c r="NWT2462" s="60"/>
      <c r="NWU2462" s="60"/>
      <c r="NWV2462" s="60"/>
      <c r="NWW2462" s="63"/>
      <c r="NWX2462" s="61"/>
      <c r="NWY2462" s="54"/>
      <c r="NWZ2462" s="54"/>
      <c r="NXA2462" s="63"/>
      <c r="NXB2462" s="60"/>
      <c r="NXC2462" s="60"/>
      <c r="NXD2462" s="60"/>
      <c r="NXE2462" s="63"/>
      <c r="NXF2462" s="61"/>
      <c r="NXG2462" s="54"/>
      <c r="NXH2462" s="54"/>
      <c r="NXI2462" s="63"/>
      <c r="NXJ2462" s="60"/>
      <c r="NXK2462" s="60"/>
      <c r="NXL2462" s="60"/>
      <c r="NXM2462" s="63"/>
      <c r="NXN2462" s="61"/>
      <c r="NXO2462" s="54"/>
      <c r="NXP2462" s="54"/>
      <c r="NXQ2462" s="63"/>
      <c r="NXR2462" s="60"/>
      <c r="NXS2462" s="60"/>
      <c r="NXT2462" s="60"/>
      <c r="NXU2462" s="63"/>
      <c r="NXV2462" s="61"/>
      <c r="NXW2462" s="54"/>
      <c r="NXX2462" s="54"/>
      <c r="NXY2462" s="63"/>
      <c r="NXZ2462" s="60"/>
      <c r="NYA2462" s="60"/>
      <c r="NYB2462" s="60"/>
      <c r="NYC2462" s="63"/>
      <c r="NYD2462" s="61"/>
      <c r="NYE2462" s="54"/>
      <c r="NYF2462" s="54"/>
      <c r="NYG2462" s="63"/>
      <c r="NYH2462" s="60"/>
      <c r="NYI2462" s="60"/>
      <c r="NYJ2462" s="60"/>
      <c r="NYK2462" s="63"/>
      <c r="NYL2462" s="61"/>
      <c r="NYM2462" s="54"/>
      <c r="NYN2462" s="54"/>
      <c r="NYO2462" s="63"/>
      <c r="NYP2462" s="60"/>
      <c r="NYQ2462" s="60"/>
      <c r="NYR2462" s="60"/>
      <c r="NYS2462" s="63"/>
      <c r="NYT2462" s="61"/>
      <c r="NYU2462" s="54"/>
      <c r="NYV2462" s="54"/>
      <c r="NYW2462" s="63"/>
      <c r="NYX2462" s="60"/>
      <c r="NYY2462" s="60"/>
      <c r="NYZ2462" s="60"/>
      <c r="NZA2462" s="63"/>
      <c r="NZB2462" s="61"/>
      <c r="NZC2462" s="54"/>
      <c r="NZD2462" s="54"/>
      <c r="NZE2462" s="63"/>
      <c r="NZF2462" s="60"/>
      <c r="NZG2462" s="60"/>
      <c r="NZH2462" s="60"/>
      <c r="NZI2462" s="63"/>
      <c r="NZJ2462" s="61"/>
      <c r="NZK2462" s="54"/>
      <c r="NZL2462" s="54"/>
      <c r="NZM2462" s="63"/>
      <c r="NZN2462" s="60"/>
      <c r="NZO2462" s="60"/>
      <c r="NZP2462" s="60"/>
      <c r="NZQ2462" s="63"/>
      <c r="NZR2462" s="61"/>
      <c r="NZS2462" s="54"/>
      <c r="NZT2462" s="54"/>
      <c r="NZU2462" s="63"/>
      <c r="NZV2462" s="60"/>
      <c r="NZW2462" s="60"/>
      <c r="NZX2462" s="60"/>
      <c r="NZY2462" s="63"/>
      <c r="NZZ2462" s="61"/>
      <c r="OAA2462" s="54"/>
      <c r="OAB2462" s="54"/>
      <c r="OAC2462" s="63"/>
      <c r="OAD2462" s="60"/>
      <c r="OAE2462" s="60"/>
      <c r="OAF2462" s="60"/>
      <c r="OAG2462" s="63"/>
      <c r="OAH2462" s="61"/>
      <c r="OAI2462" s="54"/>
      <c r="OAJ2462" s="54"/>
      <c r="OAK2462" s="63"/>
      <c r="OAL2462" s="60"/>
      <c r="OAM2462" s="60"/>
      <c r="OAN2462" s="60"/>
      <c r="OAO2462" s="63"/>
      <c r="OAP2462" s="61"/>
      <c r="OAQ2462" s="54"/>
      <c r="OAR2462" s="54"/>
      <c r="OAS2462" s="63"/>
      <c r="OAT2462" s="60"/>
      <c r="OAU2462" s="60"/>
      <c r="OAV2462" s="60"/>
      <c r="OAW2462" s="63"/>
      <c r="OAX2462" s="61"/>
      <c r="OAY2462" s="54"/>
      <c r="OAZ2462" s="54"/>
      <c r="OBA2462" s="63"/>
      <c r="OBB2462" s="60"/>
      <c r="OBC2462" s="60"/>
      <c r="OBD2462" s="60"/>
      <c r="OBE2462" s="63"/>
      <c r="OBF2462" s="61"/>
      <c r="OBG2462" s="54"/>
      <c r="OBH2462" s="54"/>
      <c r="OBI2462" s="63"/>
      <c r="OBJ2462" s="60"/>
      <c r="OBK2462" s="60"/>
      <c r="OBL2462" s="60"/>
      <c r="OBM2462" s="63"/>
      <c r="OBN2462" s="61"/>
      <c r="OBO2462" s="54"/>
      <c r="OBP2462" s="54"/>
      <c r="OBQ2462" s="63"/>
      <c r="OBR2462" s="60"/>
      <c r="OBS2462" s="60"/>
      <c r="OBT2462" s="60"/>
      <c r="OBU2462" s="63"/>
      <c r="OBV2462" s="61"/>
      <c r="OBW2462" s="54"/>
      <c r="OBX2462" s="54"/>
      <c r="OBY2462" s="63"/>
      <c r="OBZ2462" s="60"/>
      <c r="OCA2462" s="60"/>
      <c r="OCB2462" s="60"/>
      <c r="OCC2462" s="63"/>
      <c r="OCD2462" s="61"/>
      <c r="OCE2462" s="54"/>
      <c r="OCF2462" s="54"/>
      <c r="OCG2462" s="63"/>
      <c r="OCH2462" s="60"/>
      <c r="OCI2462" s="60"/>
      <c r="OCJ2462" s="60"/>
      <c r="OCK2462" s="63"/>
      <c r="OCL2462" s="61"/>
      <c r="OCM2462" s="54"/>
      <c r="OCN2462" s="54"/>
      <c r="OCO2462" s="63"/>
      <c r="OCP2462" s="60"/>
      <c r="OCQ2462" s="60"/>
      <c r="OCR2462" s="60"/>
      <c r="OCS2462" s="63"/>
      <c r="OCT2462" s="61"/>
      <c r="OCU2462" s="54"/>
      <c r="OCV2462" s="54"/>
      <c r="OCW2462" s="63"/>
      <c r="OCX2462" s="60"/>
      <c r="OCY2462" s="60"/>
      <c r="OCZ2462" s="60"/>
      <c r="ODA2462" s="63"/>
      <c r="ODB2462" s="61"/>
      <c r="ODC2462" s="54"/>
      <c r="ODD2462" s="54"/>
      <c r="ODE2462" s="63"/>
      <c r="ODF2462" s="60"/>
      <c r="ODG2462" s="60"/>
      <c r="ODH2462" s="60"/>
      <c r="ODI2462" s="63"/>
      <c r="ODJ2462" s="61"/>
      <c r="ODK2462" s="54"/>
      <c r="ODL2462" s="54"/>
      <c r="ODM2462" s="63"/>
      <c r="ODN2462" s="60"/>
      <c r="ODO2462" s="60"/>
      <c r="ODP2462" s="60"/>
      <c r="ODQ2462" s="63"/>
      <c r="ODR2462" s="61"/>
      <c r="ODS2462" s="54"/>
      <c r="ODT2462" s="54"/>
      <c r="ODU2462" s="63"/>
      <c r="ODV2462" s="60"/>
      <c r="ODW2462" s="60"/>
      <c r="ODX2462" s="60"/>
      <c r="ODY2462" s="63"/>
      <c r="ODZ2462" s="61"/>
      <c r="OEA2462" s="54"/>
      <c r="OEB2462" s="54"/>
      <c r="OEC2462" s="63"/>
      <c r="OED2462" s="60"/>
      <c r="OEE2462" s="60"/>
      <c r="OEF2462" s="60"/>
      <c r="OEG2462" s="63"/>
      <c r="OEH2462" s="61"/>
      <c r="OEI2462" s="54"/>
      <c r="OEJ2462" s="54"/>
      <c r="OEK2462" s="63"/>
      <c r="OEL2462" s="60"/>
      <c r="OEM2462" s="60"/>
      <c r="OEN2462" s="60"/>
      <c r="OEO2462" s="63"/>
      <c r="OEP2462" s="61"/>
      <c r="OEQ2462" s="54"/>
      <c r="OER2462" s="54"/>
      <c r="OES2462" s="63"/>
      <c r="OET2462" s="60"/>
      <c r="OEU2462" s="60"/>
      <c r="OEV2462" s="60"/>
      <c r="OEW2462" s="63"/>
      <c r="OEX2462" s="61"/>
      <c r="OEY2462" s="54"/>
      <c r="OEZ2462" s="54"/>
      <c r="OFA2462" s="63"/>
      <c r="OFB2462" s="60"/>
      <c r="OFC2462" s="60"/>
      <c r="OFD2462" s="60"/>
      <c r="OFE2462" s="63"/>
      <c r="OFF2462" s="61"/>
      <c r="OFG2462" s="54"/>
      <c r="OFH2462" s="54"/>
      <c r="OFI2462" s="63"/>
      <c r="OFJ2462" s="60"/>
      <c r="OFK2462" s="60"/>
      <c r="OFL2462" s="60"/>
      <c r="OFM2462" s="63"/>
      <c r="OFN2462" s="61"/>
      <c r="OFO2462" s="54"/>
      <c r="OFP2462" s="54"/>
      <c r="OFQ2462" s="63"/>
      <c r="OFR2462" s="60"/>
      <c r="OFS2462" s="60"/>
      <c r="OFT2462" s="60"/>
      <c r="OFU2462" s="63"/>
      <c r="OFV2462" s="61"/>
      <c r="OFW2462" s="54"/>
      <c r="OFX2462" s="54"/>
      <c r="OFY2462" s="63"/>
      <c r="OFZ2462" s="60"/>
      <c r="OGA2462" s="60"/>
      <c r="OGB2462" s="60"/>
      <c r="OGC2462" s="63"/>
      <c r="OGD2462" s="61"/>
      <c r="OGE2462" s="54"/>
      <c r="OGF2462" s="54"/>
      <c r="OGG2462" s="63"/>
      <c r="OGH2462" s="60"/>
      <c r="OGI2462" s="60"/>
      <c r="OGJ2462" s="60"/>
      <c r="OGK2462" s="63"/>
      <c r="OGL2462" s="61"/>
      <c r="OGM2462" s="54"/>
      <c r="OGN2462" s="54"/>
      <c r="OGO2462" s="63"/>
      <c r="OGP2462" s="60"/>
      <c r="OGQ2462" s="60"/>
      <c r="OGR2462" s="60"/>
      <c r="OGS2462" s="63"/>
      <c r="OGT2462" s="61"/>
      <c r="OGU2462" s="54"/>
      <c r="OGV2462" s="54"/>
      <c r="OGW2462" s="63"/>
      <c r="OGX2462" s="60"/>
      <c r="OGY2462" s="60"/>
      <c r="OGZ2462" s="60"/>
      <c r="OHA2462" s="63"/>
      <c r="OHB2462" s="61"/>
      <c r="OHC2462" s="54"/>
      <c r="OHD2462" s="54"/>
      <c r="OHE2462" s="63"/>
      <c r="OHF2462" s="60"/>
      <c r="OHG2462" s="60"/>
      <c r="OHH2462" s="60"/>
      <c r="OHI2462" s="63"/>
      <c r="OHJ2462" s="61"/>
      <c r="OHK2462" s="54"/>
      <c r="OHL2462" s="54"/>
      <c r="OHM2462" s="63"/>
      <c r="OHN2462" s="60"/>
      <c r="OHO2462" s="60"/>
      <c r="OHP2462" s="60"/>
      <c r="OHQ2462" s="63"/>
      <c r="OHR2462" s="61"/>
      <c r="OHS2462" s="54"/>
      <c r="OHT2462" s="54"/>
      <c r="OHU2462" s="63"/>
      <c r="OHV2462" s="60"/>
      <c r="OHW2462" s="60"/>
      <c r="OHX2462" s="60"/>
      <c r="OHY2462" s="63"/>
      <c r="OHZ2462" s="61"/>
      <c r="OIA2462" s="54"/>
      <c r="OIB2462" s="54"/>
      <c r="OIC2462" s="63"/>
      <c r="OID2462" s="60"/>
      <c r="OIE2462" s="60"/>
      <c r="OIF2462" s="60"/>
      <c r="OIG2462" s="63"/>
      <c r="OIH2462" s="61"/>
      <c r="OII2462" s="54"/>
      <c r="OIJ2462" s="54"/>
      <c r="OIK2462" s="63"/>
      <c r="OIL2462" s="60"/>
      <c r="OIM2462" s="60"/>
      <c r="OIN2462" s="60"/>
      <c r="OIO2462" s="63"/>
      <c r="OIP2462" s="61"/>
      <c r="OIQ2462" s="54"/>
      <c r="OIR2462" s="54"/>
      <c r="OIS2462" s="63"/>
      <c r="OIT2462" s="60"/>
      <c r="OIU2462" s="60"/>
      <c r="OIV2462" s="60"/>
      <c r="OIW2462" s="63"/>
      <c r="OIX2462" s="61"/>
      <c r="OIY2462" s="54"/>
      <c r="OIZ2462" s="54"/>
      <c r="OJA2462" s="63"/>
      <c r="OJB2462" s="60"/>
      <c r="OJC2462" s="60"/>
      <c r="OJD2462" s="60"/>
      <c r="OJE2462" s="63"/>
      <c r="OJF2462" s="61"/>
      <c r="OJG2462" s="54"/>
      <c r="OJH2462" s="54"/>
      <c r="OJI2462" s="63"/>
      <c r="OJJ2462" s="60"/>
      <c r="OJK2462" s="60"/>
      <c r="OJL2462" s="60"/>
      <c r="OJM2462" s="63"/>
      <c r="OJN2462" s="61"/>
      <c r="OJO2462" s="54"/>
      <c r="OJP2462" s="54"/>
      <c r="OJQ2462" s="63"/>
      <c r="OJR2462" s="60"/>
      <c r="OJS2462" s="60"/>
      <c r="OJT2462" s="60"/>
      <c r="OJU2462" s="63"/>
      <c r="OJV2462" s="61"/>
      <c r="OJW2462" s="54"/>
      <c r="OJX2462" s="54"/>
      <c r="OJY2462" s="63"/>
      <c r="OJZ2462" s="60"/>
      <c r="OKA2462" s="60"/>
      <c r="OKB2462" s="60"/>
      <c r="OKC2462" s="63"/>
      <c r="OKD2462" s="61"/>
      <c r="OKE2462" s="54"/>
      <c r="OKF2462" s="54"/>
      <c r="OKG2462" s="63"/>
      <c r="OKH2462" s="60"/>
      <c r="OKI2462" s="60"/>
      <c r="OKJ2462" s="60"/>
      <c r="OKK2462" s="63"/>
      <c r="OKL2462" s="61"/>
      <c r="OKM2462" s="54"/>
      <c r="OKN2462" s="54"/>
      <c r="OKO2462" s="63"/>
      <c r="OKP2462" s="60"/>
      <c r="OKQ2462" s="60"/>
      <c r="OKR2462" s="60"/>
      <c r="OKS2462" s="63"/>
      <c r="OKT2462" s="61"/>
      <c r="OKU2462" s="54"/>
      <c r="OKV2462" s="54"/>
      <c r="OKW2462" s="63"/>
      <c r="OKX2462" s="60"/>
      <c r="OKY2462" s="60"/>
      <c r="OKZ2462" s="60"/>
      <c r="OLA2462" s="63"/>
      <c r="OLB2462" s="61"/>
      <c r="OLC2462" s="54"/>
      <c r="OLD2462" s="54"/>
      <c r="OLE2462" s="63"/>
      <c r="OLF2462" s="60"/>
      <c r="OLG2462" s="60"/>
      <c r="OLH2462" s="60"/>
      <c r="OLI2462" s="63"/>
      <c r="OLJ2462" s="61"/>
      <c r="OLK2462" s="54"/>
      <c r="OLL2462" s="54"/>
      <c r="OLM2462" s="63"/>
      <c r="OLN2462" s="60"/>
      <c r="OLO2462" s="60"/>
      <c r="OLP2462" s="60"/>
      <c r="OLQ2462" s="63"/>
      <c r="OLR2462" s="61"/>
      <c r="OLS2462" s="54"/>
      <c r="OLT2462" s="54"/>
      <c r="OLU2462" s="63"/>
      <c r="OLV2462" s="60"/>
      <c r="OLW2462" s="60"/>
      <c r="OLX2462" s="60"/>
      <c r="OLY2462" s="63"/>
      <c r="OLZ2462" s="61"/>
      <c r="OMA2462" s="54"/>
      <c r="OMB2462" s="54"/>
      <c r="OMC2462" s="63"/>
      <c r="OMD2462" s="60"/>
      <c r="OME2462" s="60"/>
      <c r="OMF2462" s="60"/>
      <c r="OMG2462" s="63"/>
      <c r="OMH2462" s="61"/>
      <c r="OMI2462" s="54"/>
      <c r="OMJ2462" s="54"/>
      <c r="OMK2462" s="63"/>
      <c r="OML2462" s="60"/>
      <c r="OMM2462" s="60"/>
      <c r="OMN2462" s="60"/>
      <c r="OMO2462" s="63"/>
      <c r="OMP2462" s="61"/>
      <c r="OMQ2462" s="54"/>
      <c r="OMR2462" s="54"/>
      <c r="OMS2462" s="63"/>
      <c r="OMT2462" s="60"/>
      <c r="OMU2462" s="60"/>
      <c r="OMV2462" s="60"/>
      <c r="OMW2462" s="63"/>
      <c r="OMX2462" s="61"/>
      <c r="OMY2462" s="54"/>
      <c r="OMZ2462" s="54"/>
      <c r="ONA2462" s="63"/>
      <c r="ONB2462" s="60"/>
      <c r="ONC2462" s="60"/>
      <c r="OND2462" s="60"/>
      <c r="ONE2462" s="63"/>
      <c r="ONF2462" s="61"/>
      <c r="ONG2462" s="54"/>
      <c r="ONH2462" s="54"/>
      <c r="ONI2462" s="63"/>
      <c r="ONJ2462" s="60"/>
      <c r="ONK2462" s="60"/>
      <c r="ONL2462" s="60"/>
      <c r="ONM2462" s="63"/>
      <c r="ONN2462" s="61"/>
      <c r="ONO2462" s="54"/>
      <c r="ONP2462" s="54"/>
      <c r="ONQ2462" s="63"/>
      <c r="ONR2462" s="60"/>
      <c r="ONS2462" s="60"/>
      <c r="ONT2462" s="60"/>
      <c r="ONU2462" s="63"/>
      <c r="ONV2462" s="61"/>
      <c r="ONW2462" s="54"/>
      <c r="ONX2462" s="54"/>
      <c r="ONY2462" s="63"/>
      <c r="ONZ2462" s="60"/>
      <c r="OOA2462" s="60"/>
      <c r="OOB2462" s="60"/>
      <c r="OOC2462" s="63"/>
      <c r="OOD2462" s="61"/>
      <c r="OOE2462" s="54"/>
      <c r="OOF2462" s="54"/>
      <c r="OOG2462" s="63"/>
      <c r="OOH2462" s="60"/>
      <c r="OOI2462" s="60"/>
      <c r="OOJ2462" s="60"/>
      <c r="OOK2462" s="63"/>
      <c r="OOL2462" s="61"/>
      <c r="OOM2462" s="54"/>
      <c r="OON2462" s="54"/>
      <c r="OOO2462" s="63"/>
      <c r="OOP2462" s="60"/>
      <c r="OOQ2462" s="60"/>
      <c r="OOR2462" s="60"/>
      <c r="OOS2462" s="63"/>
      <c r="OOT2462" s="61"/>
      <c r="OOU2462" s="54"/>
      <c r="OOV2462" s="54"/>
      <c r="OOW2462" s="63"/>
      <c r="OOX2462" s="60"/>
      <c r="OOY2462" s="60"/>
      <c r="OOZ2462" s="60"/>
      <c r="OPA2462" s="63"/>
      <c r="OPB2462" s="61"/>
      <c r="OPC2462" s="54"/>
      <c r="OPD2462" s="54"/>
      <c r="OPE2462" s="63"/>
      <c r="OPF2462" s="60"/>
      <c r="OPG2462" s="60"/>
      <c r="OPH2462" s="60"/>
      <c r="OPI2462" s="63"/>
      <c r="OPJ2462" s="61"/>
      <c r="OPK2462" s="54"/>
      <c r="OPL2462" s="54"/>
      <c r="OPM2462" s="63"/>
      <c r="OPN2462" s="60"/>
      <c r="OPO2462" s="60"/>
      <c r="OPP2462" s="60"/>
      <c r="OPQ2462" s="63"/>
      <c r="OPR2462" s="61"/>
      <c r="OPS2462" s="54"/>
      <c r="OPT2462" s="54"/>
      <c r="OPU2462" s="63"/>
      <c r="OPV2462" s="60"/>
      <c r="OPW2462" s="60"/>
      <c r="OPX2462" s="60"/>
      <c r="OPY2462" s="63"/>
      <c r="OPZ2462" s="61"/>
      <c r="OQA2462" s="54"/>
      <c r="OQB2462" s="54"/>
      <c r="OQC2462" s="63"/>
      <c r="OQD2462" s="60"/>
      <c r="OQE2462" s="60"/>
      <c r="OQF2462" s="60"/>
      <c r="OQG2462" s="63"/>
      <c r="OQH2462" s="61"/>
      <c r="OQI2462" s="54"/>
      <c r="OQJ2462" s="54"/>
      <c r="OQK2462" s="63"/>
      <c r="OQL2462" s="60"/>
      <c r="OQM2462" s="60"/>
      <c r="OQN2462" s="60"/>
      <c r="OQO2462" s="63"/>
      <c r="OQP2462" s="61"/>
      <c r="OQQ2462" s="54"/>
      <c r="OQR2462" s="54"/>
      <c r="OQS2462" s="63"/>
      <c r="OQT2462" s="60"/>
      <c r="OQU2462" s="60"/>
      <c r="OQV2462" s="60"/>
      <c r="OQW2462" s="63"/>
      <c r="OQX2462" s="61"/>
      <c r="OQY2462" s="54"/>
      <c r="OQZ2462" s="54"/>
      <c r="ORA2462" s="63"/>
      <c r="ORB2462" s="60"/>
      <c r="ORC2462" s="60"/>
      <c r="ORD2462" s="60"/>
      <c r="ORE2462" s="63"/>
      <c r="ORF2462" s="61"/>
      <c r="ORG2462" s="54"/>
      <c r="ORH2462" s="54"/>
      <c r="ORI2462" s="63"/>
      <c r="ORJ2462" s="60"/>
      <c r="ORK2462" s="60"/>
      <c r="ORL2462" s="60"/>
      <c r="ORM2462" s="63"/>
      <c r="ORN2462" s="61"/>
      <c r="ORO2462" s="54"/>
      <c r="ORP2462" s="54"/>
      <c r="ORQ2462" s="63"/>
      <c r="ORR2462" s="60"/>
      <c r="ORS2462" s="60"/>
      <c r="ORT2462" s="60"/>
      <c r="ORU2462" s="63"/>
      <c r="ORV2462" s="61"/>
      <c r="ORW2462" s="54"/>
      <c r="ORX2462" s="54"/>
      <c r="ORY2462" s="63"/>
      <c r="ORZ2462" s="60"/>
      <c r="OSA2462" s="60"/>
      <c r="OSB2462" s="60"/>
      <c r="OSC2462" s="63"/>
      <c r="OSD2462" s="61"/>
      <c r="OSE2462" s="54"/>
      <c r="OSF2462" s="54"/>
      <c r="OSG2462" s="63"/>
      <c r="OSH2462" s="60"/>
      <c r="OSI2462" s="60"/>
      <c r="OSJ2462" s="60"/>
      <c r="OSK2462" s="63"/>
      <c r="OSL2462" s="61"/>
      <c r="OSM2462" s="54"/>
      <c r="OSN2462" s="54"/>
      <c r="OSO2462" s="63"/>
      <c r="OSP2462" s="60"/>
      <c r="OSQ2462" s="60"/>
      <c r="OSR2462" s="60"/>
      <c r="OSS2462" s="63"/>
      <c r="OST2462" s="61"/>
      <c r="OSU2462" s="54"/>
      <c r="OSV2462" s="54"/>
      <c r="OSW2462" s="63"/>
      <c r="OSX2462" s="60"/>
      <c r="OSY2462" s="60"/>
      <c r="OSZ2462" s="60"/>
      <c r="OTA2462" s="63"/>
      <c r="OTB2462" s="61"/>
      <c r="OTC2462" s="54"/>
      <c r="OTD2462" s="54"/>
      <c r="OTE2462" s="63"/>
      <c r="OTF2462" s="60"/>
      <c r="OTG2462" s="60"/>
      <c r="OTH2462" s="60"/>
      <c r="OTI2462" s="63"/>
      <c r="OTJ2462" s="61"/>
      <c r="OTK2462" s="54"/>
      <c r="OTL2462" s="54"/>
      <c r="OTM2462" s="63"/>
      <c r="OTN2462" s="60"/>
      <c r="OTO2462" s="60"/>
      <c r="OTP2462" s="60"/>
      <c r="OTQ2462" s="63"/>
      <c r="OTR2462" s="61"/>
      <c r="OTS2462" s="54"/>
      <c r="OTT2462" s="54"/>
      <c r="OTU2462" s="63"/>
      <c r="OTV2462" s="60"/>
      <c r="OTW2462" s="60"/>
      <c r="OTX2462" s="60"/>
      <c r="OTY2462" s="63"/>
      <c r="OTZ2462" s="61"/>
      <c r="OUA2462" s="54"/>
      <c r="OUB2462" s="54"/>
      <c r="OUC2462" s="63"/>
      <c r="OUD2462" s="60"/>
      <c r="OUE2462" s="60"/>
      <c r="OUF2462" s="60"/>
      <c r="OUG2462" s="63"/>
      <c r="OUH2462" s="61"/>
      <c r="OUI2462" s="54"/>
      <c r="OUJ2462" s="54"/>
      <c r="OUK2462" s="63"/>
      <c r="OUL2462" s="60"/>
      <c r="OUM2462" s="60"/>
      <c r="OUN2462" s="60"/>
      <c r="OUO2462" s="63"/>
      <c r="OUP2462" s="61"/>
      <c r="OUQ2462" s="54"/>
      <c r="OUR2462" s="54"/>
      <c r="OUS2462" s="63"/>
      <c r="OUT2462" s="60"/>
      <c r="OUU2462" s="60"/>
      <c r="OUV2462" s="60"/>
      <c r="OUW2462" s="63"/>
      <c r="OUX2462" s="61"/>
      <c r="OUY2462" s="54"/>
      <c r="OUZ2462" s="54"/>
      <c r="OVA2462" s="63"/>
      <c r="OVB2462" s="60"/>
      <c r="OVC2462" s="60"/>
      <c r="OVD2462" s="60"/>
      <c r="OVE2462" s="63"/>
      <c r="OVF2462" s="61"/>
      <c r="OVG2462" s="54"/>
      <c r="OVH2462" s="54"/>
      <c r="OVI2462" s="63"/>
      <c r="OVJ2462" s="60"/>
      <c r="OVK2462" s="60"/>
      <c r="OVL2462" s="60"/>
      <c r="OVM2462" s="63"/>
      <c r="OVN2462" s="61"/>
      <c r="OVO2462" s="54"/>
      <c r="OVP2462" s="54"/>
      <c r="OVQ2462" s="63"/>
      <c r="OVR2462" s="60"/>
      <c r="OVS2462" s="60"/>
      <c r="OVT2462" s="60"/>
      <c r="OVU2462" s="63"/>
      <c r="OVV2462" s="61"/>
      <c r="OVW2462" s="54"/>
      <c r="OVX2462" s="54"/>
      <c r="OVY2462" s="63"/>
      <c r="OVZ2462" s="60"/>
      <c r="OWA2462" s="60"/>
      <c r="OWB2462" s="60"/>
      <c r="OWC2462" s="63"/>
      <c r="OWD2462" s="61"/>
      <c r="OWE2462" s="54"/>
      <c r="OWF2462" s="54"/>
      <c r="OWG2462" s="63"/>
      <c r="OWH2462" s="60"/>
      <c r="OWI2462" s="60"/>
      <c r="OWJ2462" s="60"/>
      <c r="OWK2462" s="63"/>
      <c r="OWL2462" s="61"/>
      <c r="OWM2462" s="54"/>
      <c r="OWN2462" s="54"/>
      <c r="OWO2462" s="63"/>
      <c r="OWP2462" s="60"/>
      <c r="OWQ2462" s="60"/>
      <c r="OWR2462" s="60"/>
      <c r="OWS2462" s="63"/>
      <c r="OWT2462" s="61"/>
      <c r="OWU2462" s="54"/>
      <c r="OWV2462" s="54"/>
      <c r="OWW2462" s="63"/>
      <c r="OWX2462" s="60"/>
      <c r="OWY2462" s="60"/>
      <c r="OWZ2462" s="60"/>
      <c r="OXA2462" s="63"/>
      <c r="OXB2462" s="61"/>
      <c r="OXC2462" s="54"/>
      <c r="OXD2462" s="54"/>
      <c r="OXE2462" s="63"/>
      <c r="OXF2462" s="60"/>
      <c r="OXG2462" s="60"/>
      <c r="OXH2462" s="60"/>
      <c r="OXI2462" s="63"/>
      <c r="OXJ2462" s="61"/>
      <c r="OXK2462" s="54"/>
      <c r="OXL2462" s="54"/>
      <c r="OXM2462" s="63"/>
      <c r="OXN2462" s="60"/>
      <c r="OXO2462" s="60"/>
      <c r="OXP2462" s="60"/>
      <c r="OXQ2462" s="63"/>
      <c r="OXR2462" s="61"/>
      <c r="OXS2462" s="54"/>
      <c r="OXT2462" s="54"/>
      <c r="OXU2462" s="63"/>
      <c r="OXV2462" s="60"/>
      <c r="OXW2462" s="60"/>
      <c r="OXX2462" s="60"/>
      <c r="OXY2462" s="63"/>
      <c r="OXZ2462" s="61"/>
      <c r="OYA2462" s="54"/>
      <c r="OYB2462" s="54"/>
      <c r="OYC2462" s="63"/>
      <c r="OYD2462" s="60"/>
      <c r="OYE2462" s="60"/>
      <c r="OYF2462" s="60"/>
      <c r="OYG2462" s="63"/>
      <c r="OYH2462" s="61"/>
      <c r="OYI2462" s="54"/>
      <c r="OYJ2462" s="54"/>
      <c r="OYK2462" s="63"/>
      <c r="OYL2462" s="60"/>
      <c r="OYM2462" s="60"/>
      <c r="OYN2462" s="60"/>
      <c r="OYO2462" s="63"/>
      <c r="OYP2462" s="61"/>
      <c r="OYQ2462" s="54"/>
      <c r="OYR2462" s="54"/>
      <c r="OYS2462" s="63"/>
      <c r="OYT2462" s="60"/>
      <c r="OYU2462" s="60"/>
      <c r="OYV2462" s="60"/>
      <c r="OYW2462" s="63"/>
      <c r="OYX2462" s="61"/>
      <c r="OYY2462" s="54"/>
      <c r="OYZ2462" s="54"/>
      <c r="OZA2462" s="63"/>
      <c r="OZB2462" s="60"/>
      <c r="OZC2462" s="60"/>
      <c r="OZD2462" s="60"/>
      <c r="OZE2462" s="63"/>
      <c r="OZF2462" s="61"/>
      <c r="OZG2462" s="54"/>
      <c r="OZH2462" s="54"/>
      <c r="OZI2462" s="63"/>
      <c r="OZJ2462" s="60"/>
      <c r="OZK2462" s="60"/>
      <c r="OZL2462" s="60"/>
      <c r="OZM2462" s="63"/>
      <c r="OZN2462" s="61"/>
      <c r="OZO2462" s="54"/>
      <c r="OZP2462" s="54"/>
      <c r="OZQ2462" s="63"/>
      <c r="OZR2462" s="60"/>
      <c r="OZS2462" s="60"/>
      <c r="OZT2462" s="60"/>
      <c r="OZU2462" s="63"/>
      <c r="OZV2462" s="61"/>
      <c r="OZW2462" s="54"/>
      <c r="OZX2462" s="54"/>
      <c r="OZY2462" s="63"/>
      <c r="OZZ2462" s="60"/>
      <c r="PAA2462" s="60"/>
      <c r="PAB2462" s="60"/>
      <c r="PAC2462" s="63"/>
      <c r="PAD2462" s="61"/>
      <c r="PAE2462" s="54"/>
      <c r="PAF2462" s="54"/>
      <c r="PAG2462" s="63"/>
      <c r="PAH2462" s="60"/>
      <c r="PAI2462" s="60"/>
      <c r="PAJ2462" s="60"/>
      <c r="PAK2462" s="63"/>
      <c r="PAL2462" s="61"/>
      <c r="PAM2462" s="54"/>
      <c r="PAN2462" s="54"/>
      <c r="PAO2462" s="63"/>
      <c r="PAP2462" s="60"/>
      <c r="PAQ2462" s="60"/>
      <c r="PAR2462" s="60"/>
      <c r="PAS2462" s="63"/>
      <c r="PAT2462" s="61"/>
      <c r="PAU2462" s="54"/>
      <c r="PAV2462" s="54"/>
      <c r="PAW2462" s="63"/>
      <c r="PAX2462" s="60"/>
      <c r="PAY2462" s="60"/>
      <c r="PAZ2462" s="60"/>
      <c r="PBA2462" s="63"/>
      <c r="PBB2462" s="61"/>
      <c r="PBC2462" s="54"/>
      <c r="PBD2462" s="54"/>
      <c r="PBE2462" s="63"/>
      <c r="PBF2462" s="60"/>
      <c r="PBG2462" s="60"/>
      <c r="PBH2462" s="60"/>
      <c r="PBI2462" s="63"/>
      <c r="PBJ2462" s="61"/>
      <c r="PBK2462" s="54"/>
      <c r="PBL2462" s="54"/>
      <c r="PBM2462" s="63"/>
      <c r="PBN2462" s="60"/>
      <c r="PBO2462" s="60"/>
      <c r="PBP2462" s="60"/>
      <c r="PBQ2462" s="63"/>
      <c r="PBR2462" s="61"/>
      <c r="PBS2462" s="54"/>
      <c r="PBT2462" s="54"/>
      <c r="PBU2462" s="63"/>
      <c r="PBV2462" s="60"/>
      <c r="PBW2462" s="60"/>
      <c r="PBX2462" s="60"/>
      <c r="PBY2462" s="63"/>
      <c r="PBZ2462" s="61"/>
      <c r="PCA2462" s="54"/>
      <c r="PCB2462" s="54"/>
      <c r="PCC2462" s="63"/>
      <c r="PCD2462" s="60"/>
      <c r="PCE2462" s="60"/>
      <c r="PCF2462" s="60"/>
      <c r="PCG2462" s="63"/>
      <c r="PCH2462" s="61"/>
      <c r="PCI2462" s="54"/>
      <c r="PCJ2462" s="54"/>
      <c r="PCK2462" s="63"/>
      <c r="PCL2462" s="60"/>
      <c r="PCM2462" s="60"/>
      <c r="PCN2462" s="60"/>
      <c r="PCO2462" s="63"/>
      <c r="PCP2462" s="61"/>
      <c r="PCQ2462" s="54"/>
      <c r="PCR2462" s="54"/>
      <c r="PCS2462" s="63"/>
      <c r="PCT2462" s="60"/>
      <c r="PCU2462" s="60"/>
      <c r="PCV2462" s="60"/>
      <c r="PCW2462" s="63"/>
      <c r="PCX2462" s="61"/>
      <c r="PCY2462" s="54"/>
      <c r="PCZ2462" s="54"/>
      <c r="PDA2462" s="63"/>
      <c r="PDB2462" s="60"/>
      <c r="PDC2462" s="60"/>
      <c r="PDD2462" s="60"/>
      <c r="PDE2462" s="63"/>
      <c r="PDF2462" s="61"/>
      <c r="PDG2462" s="54"/>
      <c r="PDH2462" s="54"/>
      <c r="PDI2462" s="63"/>
      <c r="PDJ2462" s="60"/>
      <c r="PDK2462" s="60"/>
      <c r="PDL2462" s="60"/>
      <c r="PDM2462" s="63"/>
      <c r="PDN2462" s="61"/>
      <c r="PDO2462" s="54"/>
      <c r="PDP2462" s="54"/>
      <c r="PDQ2462" s="63"/>
      <c r="PDR2462" s="60"/>
      <c r="PDS2462" s="60"/>
      <c r="PDT2462" s="60"/>
      <c r="PDU2462" s="63"/>
      <c r="PDV2462" s="61"/>
      <c r="PDW2462" s="54"/>
      <c r="PDX2462" s="54"/>
      <c r="PDY2462" s="63"/>
      <c r="PDZ2462" s="60"/>
      <c r="PEA2462" s="60"/>
      <c r="PEB2462" s="60"/>
      <c r="PEC2462" s="63"/>
      <c r="PED2462" s="61"/>
      <c r="PEE2462" s="54"/>
      <c r="PEF2462" s="54"/>
      <c r="PEG2462" s="63"/>
      <c r="PEH2462" s="60"/>
      <c r="PEI2462" s="60"/>
      <c r="PEJ2462" s="60"/>
      <c r="PEK2462" s="63"/>
      <c r="PEL2462" s="61"/>
      <c r="PEM2462" s="54"/>
      <c r="PEN2462" s="54"/>
      <c r="PEO2462" s="63"/>
      <c r="PEP2462" s="60"/>
      <c r="PEQ2462" s="60"/>
      <c r="PER2462" s="60"/>
      <c r="PES2462" s="63"/>
      <c r="PET2462" s="61"/>
      <c r="PEU2462" s="54"/>
      <c r="PEV2462" s="54"/>
      <c r="PEW2462" s="63"/>
      <c r="PEX2462" s="60"/>
      <c r="PEY2462" s="60"/>
      <c r="PEZ2462" s="60"/>
      <c r="PFA2462" s="63"/>
      <c r="PFB2462" s="61"/>
      <c r="PFC2462" s="54"/>
      <c r="PFD2462" s="54"/>
      <c r="PFE2462" s="63"/>
      <c r="PFF2462" s="60"/>
      <c r="PFG2462" s="60"/>
      <c r="PFH2462" s="60"/>
      <c r="PFI2462" s="63"/>
      <c r="PFJ2462" s="61"/>
      <c r="PFK2462" s="54"/>
      <c r="PFL2462" s="54"/>
      <c r="PFM2462" s="63"/>
      <c r="PFN2462" s="60"/>
      <c r="PFO2462" s="60"/>
      <c r="PFP2462" s="60"/>
      <c r="PFQ2462" s="63"/>
      <c r="PFR2462" s="61"/>
      <c r="PFS2462" s="54"/>
      <c r="PFT2462" s="54"/>
      <c r="PFU2462" s="63"/>
      <c r="PFV2462" s="60"/>
      <c r="PFW2462" s="60"/>
      <c r="PFX2462" s="60"/>
      <c r="PFY2462" s="63"/>
      <c r="PFZ2462" s="61"/>
      <c r="PGA2462" s="54"/>
      <c r="PGB2462" s="54"/>
      <c r="PGC2462" s="63"/>
      <c r="PGD2462" s="60"/>
      <c r="PGE2462" s="60"/>
      <c r="PGF2462" s="60"/>
      <c r="PGG2462" s="63"/>
      <c r="PGH2462" s="61"/>
      <c r="PGI2462" s="54"/>
      <c r="PGJ2462" s="54"/>
      <c r="PGK2462" s="63"/>
      <c r="PGL2462" s="60"/>
      <c r="PGM2462" s="60"/>
      <c r="PGN2462" s="60"/>
      <c r="PGO2462" s="63"/>
      <c r="PGP2462" s="61"/>
      <c r="PGQ2462" s="54"/>
      <c r="PGR2462" s="54"/>
      <c r="PGS2462" s="63"/>
      <c r="PGT2462" s="60"/>
      <c r="PGU2462" s="60"/>
      <c r="PGV2462" s="60"/>
      <c r="PGW2462" s="63"/>
      <c r="PGX2462" s="61"/>
      <c r="PGY2462" s="54"/>
      <c r="PGZ2462" s="54"/>
      <c r="PHA2462" s="63"/>
      <c r="PHB2462" s="60"/>
      <c r="PHC2462" s="60"/>
      <c r="PHD2462" s="60"/>
      <c r="PHE2462" s="63"/>
      <c r="PHF2462" s="61"/>
      <c r="PHG2462" s="54"/>
      <c r="PHH2462" s="54"/>
      <c r="PHI2462" s="63"/>
      <c r="PHJ2462" s="60"/>
      <c r="PHK2462" s="60"/>
      <c r="PHL2462" s="60"/>
      <c r="PHM2462" s="63"/>
      <c r="PHN2462" s="61"/>
      <c r="PHO2462" s="54"/>
      <c r="PHP2462" s="54"/>
      <c r="PHQ2462" s="63"/>
      <c r="PHR2462" s="60"/>
      <c r="PHS2462" s="60"/>
      <c r="PHT2462" s="60"/>
      <c r="PHU2462" s="63"/>
      <c r="PHV2462" s="61"/>
      <c r="PHW2462" s="54"/>
      <c r="PHX2462" s="54"/>
      <c r="PHY2462" s="63"/>
      <c r="PHZ2462" s="60"/>
      <c r="PIA2462" s="60"/>
      <c r="PIB2462" s="60"/>
      <c r="PIC2462" s="63"/>
      <c r="PID2462" s="61"/>
      <c r="PIE2462" s="54"/>
      <c r="PIF2462" s="54"/>
      <c r="PIG2462" s="63"/>
      <c r="PIH2462" s="60"/>
      <c r="PII2462" s="60"/>
      <c r="PIJ2462" s="60"/>
      <c r="PIK2462" s="63"/>
      <c r="PIL2462" s="61"/>
      <c r="PIM2462" s="54"/>
      <c r="PIN2462" s="54"/>
      <c r="PIO2462" s="63"/>
      <c r="PIP2462" s="60"/>
      <c r="PIQ2462" s="60"/>
      <c r="PIR2462" s="60"/>
      <c r="PIS2462" s="63"/>
      <c r="PIT2462" s="61"/>
      <c r="PIU2462" s="54"/>
      <c r="PIV2462" s="54"/>
      <c r="PIW2462" s="63"/>
      <c r="PIX2462" s="60"/>
      <c r="PIY2462" s="60"/>
      <c r="PIZ2462" s="60"/>
      <c r="PJA2462" s="63"/>
      <c r="PJB2462" s="61"/>
      <c r="PJC2462" s="54"/>
      <c r="PJD2462" s="54"/>
      <c r="PJE2462" s="63"/>
      <c r="PJF2462" s="60"/>
      <c r="PJG2462" s="60"/>
      <c r="PJH2462" s="60"/>
      <c r="PJI2462" s="63"/>
      <c r="PJJ2462" s="61"/>
      <c r="PJK2462" s="54"/>
      <c r="PJL2462" s="54"/>
      <c r="PJM2462" s="63"/>
      <c r="PJN2462" s="60"/>
      <c r="PJO2462" s="60"/>
      <c r="PJP2462" s="60"/>
      <c r="PJQ2462" s="63"/>
      <c r="PJR2462" s="61"/>
      <c r="PJS2462" s="54"/>
      <c r="PJT2462" s="54"/>
      <c r="PJU2462" s="63"/>
      <c r="PJV2462" s="60"/>
      <c r="PJW2462" s="60"/>
      <c r="PJX2462" s="60"/>
      <c r="PJY2462" s="63"/>
      <c r="PJZ2462" s="61"/>
      <c r="PKA2462" s="54"/>
      <c r="PKB2462" s="54"/>
      <c r="PKC2462" s="63"/>
      <c r="PKD2462" s="60"/>
      <c r="PKE2462" s="60"/>
      <c r="PKF2462" s="60"/>
      <c r="PKG2462" s="63"/>
      <c r="PKH2462" s="61"/>
      <c r="PKI2462" s="54"/>
      <c r="PKJ2462" s="54"/>
      <c r="PKK2462" s="63"/>
      <c r="PKL2462" s="60"/>
      <c r="PKM2462" s="60"/>
      <c r="PKN2462" s="60"/>
      <c r="PKO2462" s="63"/>
      <c r="PKP2462" s="61"/>
      <c r="PKQ2462" s="54"/>
      <c r="PKR2462" s="54"/>
      <c r="PKS2462" s="63"/>
      <c r="PKT2462" s="60"/>
      <c r="PKU2462" s="60"/>
      <c r="PKV2462" s="60"/>
      <c r="PKW2462" s="63"/>
      <c r="PKX2462" s="61"/>
      <c r="PKY2462" s="54"/>
      <c r="PKZ2462" s="54"/>
      <c r="PLA2462" s="63"/>
      <c r="PLB2462" s="60"/>
      <c r="PLC2462" s="60"/>
      <c r="PLD2462" s="60"/>
      <c r="PLE2462" s="63"/>
      <c r="PLF2462" s="61"/>
      <c r="PLG2462" s="54"/>
      <c r="PLH2462" s="54"/>
      <c r="PLI2462" s="63"/>
      <c r="PLJ2462" s="60"/>
      <c r="PLK2462" s="60"/>
      <c r="PLL2462" s="60"/>
      <c r="PLM2462" s="63"/>
      <c r="PLN2462" s="61"/>
      <c r="PLO2462" s="54"/>
      <c r="PLP2462" s="54"/>
      <c r="PLQ2462" s="63"/>
      <c r="PLR2462" s="60"/>
      <c r="PLS2462" s="60"/>
      <c r="PLT2462" s="60"/>
      <c r="PLU2462" s="63"/>
      <c r="PLV2462" s="61"/>
      <c r="PLW2462" s="54"/>
      <c r="PLX2462" s="54"/>
      <c r="PLY2462" s="63"/>
      <c r="PLZ2462" s="60"/>
      <c r="PMA2462" s="60"/>
      <c r="PMB2462" s="60"/>
      <c r="PMC2462" s="63"/>
      <c r="PMD2462" s="61"/>
      <c r="PME2462" s="54"/>
      <c r="PMF2462" s="54"/>
      <c r="PMG2462" s="63"/>
      <c r="PMH2462" s="60"/>
      <c r="PMI2462" s="60"/>
      <c r="PMJ2462" s="60"/>
      <c r="PMK2462" s="63"/>
      <c r="PML2462" s="61"/>
      <c r="PMM2462" s="54"/>
      <c r="PMN2462" s="54"/>
      <c r="PMO2462" s="63"/>
      <c r="PMP2462" s="60"/>
      <c r="PMQ2462" s="60"/>
      <c r="PMR2462" s="60"/>
      <c r="PMS2462" s="63"/>
      <c r="PMT2462" s="61"/>
      <c r="PMU2462" s="54"/>
      <c r="PMV2462" s="54"/>
      <c r="PMW2462" s="63"/>
      <c r="PMX2462" s="60"/>
      <c r="PMY2462" s="60"/>
      <c r="PMZ2462" s="60"/>
      <c r="PNA2462" s="63"/>
      <c r="PNB2462" s="61"/>
      <c r="PNC2462" s="54"/>
      <c r="PND2462" s="54"/>
      <c r="PNE2462" s="63"/>
      <c r="PNF2462" s="60"/>
      <c r="PNG2462" s="60"/>
      <c r="PNH2462" s="60"/>
      <c r="PNI2462" s="63"/>
      <c r="PNJ2462" s="61"/>
      <c r="PNK2462" s="54"/>
      <c r="PNL2462" s="54"/>
      <c r="PNM2462" s="63"/>
      <c r="PNN2462" s="60"/>
      <c r="PNO2462" s="60"/>
      <c r="PNP2462" s="60"/>
      <c r="PNQ2462" s="63"/>
      <c r="PNR2462" s="61"/>
      <c r="PNS2462" s="54"/>
      <c r="PNT2462" s="54"/>
      <c r="PNU2462" s="63"/>
      <c r="PNV2462" s="60"/>
      <c r="PNW2462" s="60"/>
      <c r="PNX2462" s="60"/>
      <c r="PNY2462" s="63"/>
      <c r="PNZ2462" s="61"/>
      <c r="POA2462" s="54"/>
      <c r="POB2462" s="54"/>
      <c r="POC2462" s="63"/>
      <c r="POD2462" s="60"/>
      <c r="POE2462" s="60"/>
      <c r="POF2462" s="60"/>
      <c r="POG2462" s="63"/>
      <c r="POH2462" s="61"/>
      <c r="POI2462" s="54"/>
      <c r="POJ2462" s="54"/>
      <c r="POK2462" s="63"/>
      <c r="POL2462" s="60"/>
      <c r="POM2462" s="60"/>
      <c r="PON2462" s="60"/>
      <c r="POO2462" s="63"/>
      <c r="POP2462" s="61"/>
      <c r="POQ2462" s="54"/>
      <c r="POR2462" s="54"/>
      <c r="POS2462" s="63"/>
      <c r="POT2462" s="60"/>
      <c r="POU2462" s="60"/>
      <c r="POV2462" s="60"/>
      <c r="POW2462" s="63"/>
      <c r="POX2462" s="61"/>
      <c r="POY2462" s="54"/>
      <c r="POZ2462" s="54"/>
      <c r="PPA2462" s="63"/>
      <c r="PPB2462" s="60"/>
      <c r="PPC2462" s="60"/>
      <c r="PPD2462" s="60"/>
      <c r="PPE2462" s="63"/>
      <c r="PPF2462" s="61"/>
      <c r="PPG2462" s="54"/>
      <c r="PPH2462" s="54"/>
      <c r="PPI2462" s="63"/>
      <c r="PPJ2462" s="60"/>
      <c r="PPK2462" s="60"/>
      <c r="PPL2462" s="60"/>
      <c r="PPM2462" s="63"/>
      <c r="PPN2462" s="61"/>
      <c r="PPO2462" s="54"/>
      <c r="PPP2462" s="54"/>
      <c r="PPQ2462" s="63"/>
      <c r="PPR2462" s="60"/>
      <c r="PPS2462" s="60"/>
      <c r="PPT2462" s="60"/>
      <c r="PPU2462" s="63"/>
      <c r="PPV2462" s="61"/>
      <c r="PPW2462" s="54"/>
      <c r="PPX2462" s="54"/>
      <c r="PPY2462" s="63"/>
      <c r="PPZ2462" s="60"/>
      <c r="PQA2462" s="60"/>
      <c r="PQB2462" s="60"/>
      <c r="PQC2462" s="63"/>
      <c r="PQD2462" s="61"/>
      <c r="PQE2462" s="54"/>
      <c r="PQF2462" s="54"/>
      <c r="PQG2462" s="63"/>
      <c r="PQH2462" s="60"/>
      <c r="PQI2462" s="60"/>
      <c r="PQJ2462" s="60"/>
      <c r="PQK2462" s="63"/>
      <c r="PQL2462" s="61"/>
      <c r="PQM2462" s="54"/>
      <c r="PQN2462" s="54"/>
      <c r="PQO2462" s="63"/>
      <c r="PQP2462" s="60"/>
      <c r="PQQ2462" s="60"/>
      <c r="PQR2462" s="60"/>
      <c r="PQS2462" s="63"/>
      <c r="PQT2462" s="61"/>
      <c r="PQU2462" s="54"/>
      <c r="PQV2462" s="54"/>
      <c r="PQW2462" s="63"/>
      <c r="PQX2462" s="60"/>
      <c r="PQY2462" s="60"/>
      <c r="PQZ2462" s="60"/>
      <c r="PRA2462" s="63"/>
      <c r="PRB2462" s="61"/>
      <c r="PRC2462" s="54"/>
      <c r="PRD2462" s="54"/>
      <c r="PRE2462" s="63"/>
      <c r="PRF2462" s="60"/>
      <c r="PRG2462" s="60"/>
      <c r="PRH2462" s="60"/>
      <c r="PRI2462" s="63"/>
      <c r="PRJ2462" s="61"/>
      <c r="PRK2462" s="54"/>
      <c r="PRL2462" s="54"/>
      <c r="PRM2462" s="63"/>
      <c r="PRN2462" s="60"/>
      <c r="PRO2462" s="60"/>
      <c r="PRP2462" s="60"/>
      <c r="PRQ2462" s="63"/>
      <c r="PRR2462" s="61"/>
      <c r="PRS2462" s="54"/>
      <c r="PRT2462" s="54"/>
      <c r="PRU2462" s="63"/>
      <c r="PRV2462" s="60"/>
      <c r="PRW2462" s="60"/>
      <c r="PRX2462" s="60"/>
      <c r="PRY2462" s="63"/>
      <c r="PRZ2462" s="61"/>
      <c r="PSA2462" s="54"/>
      <c r="PSB2462" s="54"/>
      <c r="PSC2462" s="63"/>
      <c r="PSD2462" s="60"/>
      <c r="PSE2462" s="60"/>
      <c r="PSF2462" s="60"/>
      <c r="PSG2462" s="63"/>
      <c r="PSH2462" s="61"/>
      <c r="PSI2462" s="54"/>
      <c r="PSJ2462" s="54"/>
      <c r="PSK2462" s="63"/>
      <c r="PSL2462" s="60"/>
      <c r="PSM2462" s="60"/>
      <c r="PSN2462" s="60"/>
      <c r="PSO2462" s="63"/>
      <c r="PSP2462" s="61"/>
      <c r="PSQ2462" s="54"/>
      <c r="PSR2462" s="54"/>
      <c r="PSS2462" s="63"/>
      <c r="PST2462" s="60"/>
      <c r="PSU2462" s="60"/>
      <c r="PSV2462" s="60"/>
      <c r="PSW2462" s="63"/>
      <c r="PSX2462" s="61"/>
      <c r="PSY2462" s="54"/>
      <c r="PSZ2462" s="54"/>
      <c r="PTA2462" s="63"/>
      <c r="PTB2462" s="60"/>
      <c r="PTC2462" s="60"/>
      <c r="PTD2462" s="60"/>
      <c r="PTE2462" s="63"/>
      <c r="PTF2462" s="61"/>
      <c r="PTG2462" s="54"/>
      <c r="PTH2462" s="54"/>
      <c r="PTI2462" s="63"/>
      <c r="PTJ2462" s="60"/>
      <c r="PTK2462" s="60"/>
      <c r="PTL2462" s="60"/>
      <c r="PTM2462" s="63"/>
      <c r="PTN2462" s="61"/>
      <c r="PTO2462" s="54"/>
      <c r="PTP2462" s="54"/>
      <c r="PTQ2462" s="63"/>
      <c r="PTR2462" s="60"/>
      <c r="PTS2462" s="60"/>
      <c r="PTT2462" s="60"/>
      <c r="PTU2462" s="63"/>
      <c r="PTV2462" s="61"/>
      <c r="PTW2462" s="54"/>
      <c r="PTX2462" s="54"/>
      <c r="PTY2462" s="63"/>
      <c r="PTZ2462" s="60"/>
      <c r="PUA2462" s="60"/>
      <c r="PUB2462" s="60"/>
      <c r="PUC2462" s="63"/>
      <c r="PUD2462" s="61"/>
      <c r="PUE2462" s="54"/>
      <c r="PUF2462" s="54"/>
      <c r="PUG2462" s="63"/>
      <c r="PUH2462" s="60"/>
      <c r="PUI2462" s="60"/>
      <c r="PUJ2462" s="60"/>
      <c r="PUK2462" s="63"/>
      <c r="PUL2462" s="61"/>
      <c r="PUM2462" s="54"/>
      <c r="PUN2462" s="54"/>
      <c r="PUO2462" s="63"/>
      <c r="PUP2462" s="60"/>
      <c r="PUQ2462" s="60"/>
      <c r="PUR2462" s="60"/>
      <c r="PUS2462" s="63"/>
      <c r="PUT2462" s="61"/>
      <c r="PUU2462" s="54"/>
      <c r="PUV2462" s="54"/>
      <c r="PUW2462" s="63"/>
      <c r="PUX2462" s="60"/>
      <c r="PUY2462" s="60"/>
      <c r="PUZ2462" s="60"/>
      <c r="PVA2462" s="63"/>
      <c r="PVB2462" s="61"/>
      <c r="PVC2462" s="54"/>
      <c r="PVD2462" s="54"/>
      <c r="PVE2462" s="63"/>
      <c r="PVF2462" s="60"/>
      <c r="PVG2462" s="60"/>
      <c r="PVH2462" s="60"/>
      <c r="PVI2462" s="63"/>
      <c r="PVJ2462" s="61"/>
      <c r="PVK2462" s="54"/>
      <c r="PVL2462" s="54"/>
      <c r="PVM2462" s="63"/>
      <c r="PVN2462" s="60"/>
      <c r="PVO2462" s="60"/>
      <c r="PVP2462" s="60"/>
      <c r="PVQ2462" s="63"/>
      <c r="PVR2462" s="61"/>
      <c r="PVS2462" s="54"/>
      <c r="PVT2462" s="54"/>
      <c r="PVU2462" s="63"/>
      <c r="PVV2462" s="60"/>
      <c r="PVW2462" s="60"/>
      <c r="PVX2462" s="60"/>
      <c r="PVY2462" s="63"/>
      <c r="PVZ2462" s="61"/>
      <c r="PWA2462" s="54"/>
      <c r="PWB2462" s="54"/>
      <c r="PWC2462" s="63"/>
      <c r="PWD2462" s="60"/>
      <c r="PWE2462" s="60"/>
      <c r="PWF2462" s="60"/>
      <c r="PWG2462" s="63"/>
      <c r="PWH2462" s="61"/>
      <c r="PWI2462" s="54"/>
      <c r="PWJ2462" s="54"/>
      <c r="PWK2462" s="63"/>
      <c r="PWL2462" s="60"/>
      <c r="PWM2462" s="60"/>
      <c r="PWN2462" s="60"/>
      <c r="PWO2462" s="63"/>
      <c r="PWP2462" s="61"/>
      <c r="PWQ2462" s="54"/>
      <c r="PWR2462" s="54"/>
      <c r="PWS2462" s="63"/>
      <c r="PWT2462" s="60"/>
      <c r="PWU2462" s="60"/>
      <c r="PWV2462" s="60"/>
      <c r="PWW2462" s="63"/>
      <c r="PWX2462" s="61"/>
      <c r="PWY2462" s="54"/>
      <c r="PWZ2462" s="54"/>
      <c r="PXA2462" s="63"/>
      <c r="PXB2462" s="60"/>
      <c r="PXC2462" s="60"/>
      <c r="PXD2462" s="60"/>
      <c r="PXE2462" s="63"/>
      <c r="PXF2462" s="61"/>
      <c r="PXG2462" s="54"/>
      <c r="PXH2462" s="54"/>
      <c r="PXI2462" s="63"/>
      <c r="PXJ2462" s="60"/>
      <c r="PXK2462" s="60"/>
      <c r="PXL2462" s="60"/>
      <c r="PXM2462" s="63"/>
      <c r="PXN2462" s="61"/>
      <c r="PXO2462" s="54"/>
      <c r="PXP2462" s="54"/>
      <c r="PXQ2462" s="63"/>
      <c r="PXR2462" s="60"/>
      <c r="PXS2462" s="60"/>
      <c r="PXT2462" s="60"/>
      <c r="PXU2462" s="63"/>
      <c r="PXV2462" s="61"/>
      <c r="PXW2462" s="54"/>
      <c r="PXX2462" s="54"/>
      <c r="PXY2462" s="63"/>
      <c r="PXZ2462" s="60"/>
      <c r="PYA2462" s="60"/>
      <c r="PYB2462" s="60"/>
      <c r="PYC2462" s="63"/>
      <c r="PYD2462" s="61"/>
      <c r="PYE2462" s="54"/>
      <c r="PYF2462" s="54"/>
      <c r="PYG2462" s="63"/>
      <c r="PYH2462" s="60"/>
      <c r="PYI2462" s="60"/>
      <c r="PYJ2462" s="60"/>
      <c r="PYK2462" s="63"/>
      <c r="PYL2462" s="61"/>
      <c r="PYM2462" s="54"/>
      <c r="PYN2462" s="54"/>
      <c r="PYO2462" s="63"/>
      <c r="PYP2462" s="60"/>
      <c r="PYQ2462" s="60"/>
      <c r="PYR2462" s="60"/>
      <c r="PYS2462" s="63"/>
      <c r="PYT2462" s="61"/>
      <c r="PYU2462" s="54"/>
      <c r="PYV2462" s="54"/>
      <c r="PYW2462" s="63"/>
      <c r="PYX2462" s="60"/>
      <c r="PYY2462" s="60"/>
      <c r="PYZ2462" s="60"/>
      <c r="PZA2462" s="63"/>
      <c r="PZB2462" s="61"/>
      <c r="PZC2462" s="54"/>
      <c r="PZD2462" s="54"/>
      <c r="PZE2462" s="63"/>
      <c r="PZF2462" s="60"/>
      <c r="PZG2462" s="60"/>
      <c r="PZH2462" s="60"/>
      <c r="PZI2462" s="63"/>
      <c r="PZJ2462" s="61"/>
      <c r="PZK2462" s="54"/>
      <c r="PZL2462" s="54"/>
      <c r="PZM2462" s="63"/>
      <c r="PZN2462" s="60"/>
      <c r="PZO2462" s="60"/>
      <c r="PZP2462" s="60"/>
      <c r="PZQ2462" s="63"/>
      <c r="PZR2462" s="61"/>
      <c r="PZS2462" s="54"/>
      <c r="PZT2462" s="54"/>
      <c r="PZU2462" s="63"/>
      <c r="PZV2462" s="60"/>
      <c r="PZW2462" s="60"/>
      <c r="PZX2462" s="60"/>
      <c r="PZY2462" s="63"/>
      <c r="PZZ2462" s="61"/>
      <c r="QAA2462" s="54"/>
      <c r="QAB2462" s="54"/>
      <c r="QAC2462" s="63"/>
      <c r="QAD2462" s="60"/>
      <c r="QAE2462" s="60"/>
      <c r="QAF2462" s="60"/>
      <c r="QAG2462" s="63"/>
      <c r="QAH2462" s="61"/>
      <c r="QAI2462" s="54"/>
      <c r="QAJ2462" s="54"/>
      <c r="QAK2462" s="63"/>
      <c r="QAL2462" s="60"/>
      <c r="QAM2462" s="60"/>
      <c r="QAN2462" s="60"/>
      <c r="QAO2462" s="63"/>
      <c r="QAP2462" s="61"/>
      <c r="QAQ2462" s="54"/>
      <c r="QAR2462" s="54"/>
      <c r="QAS2462" s="63"/>
      <c r="QAT2462" s="60"/>
      <c r="QAU2462" s="60"/>
      <c r="QAV2462" s="60"/>
      <c r="QAW2462" s="63"/>
      <c r="QAX2462" s="61"/>
      <c r="QAY2462" s="54"/>
      <c r="QAZ2462" s="54"/>
      <c r="QBA2462" s="63"/>
      <c r="QBB2462" s="60"/>
      <c r="QBC2462" s="60"/>
      <c r="QBD2462" s="60"/>
      <c r="QBE2462" s="63"/>
      <c r="QBF2462" s="61"/>
      <c r="QBG2462" s="54"/>
      <c r="QBH2462" s="54"/>
      <c r="QBI2462" s="63"/>
      <c r="QBJ2462" s="60"/>
      <c r="QBK2462" s="60"/>
      <c r="QBL2462" s="60"/>
      <c r="QBM2462" s="63"/>
      <c r="QBN2462" s="61"/>
      <c r="QBO2462" s="54"/>
      <c r="QBP2462" s="54"/>
      <c r="QBQ2462" s="63"/>
      <c r="QBR2462" s="60"/>
      <c r="QBS2462" s="60"/>
      <c r="QBT2462" s="60"/>
      <c r="QBU2462" s="63"/>
      <c r="QBV2462" s="61"/>
      <c r="QBW2462" s="54"/>
      <c r="QBX2462" s="54"/>
      <c r="QBY2462" s="63"/>
      <c r="QBZ2462" s="60"/>
      <c r="QCA2462" s="60"/>
      <c r="QCB2462" s="60"/>
      <c r="QCC2462" s="63"/>
      <c r="QCD2462" s="61"/>
      <c r="QCE2462" s="54"/>
      <c r="QCF2462" s="54"/>
      <c r="QCG2462" s="63"/>
      <c r="QCH2462" s="60"/>
      <c r="QCI2462" s="60"/>
      <c r="QCJ2462" s="60"/>
      <c r="QCK2462" s="63"/>
      <c r="QCL2462" s="61"/>
      <c r="QCM2462" s="54"/>
      <c r="QCN2462" s="54"/>
      <c r="QCO2462" s="63"/>
      <c r="QCP2462" s="60"/>
      <c r="QCQ2462" s="60"/>
      <c r="QCR2462" s="60"/>
      <c r="QCS2462" s="63"/>
      <c r="QCT2462" s="61"/>
      <c r="QCU2462" s="54"/>
      <c r="QCV2462" s="54"/>
      <c r="QCW2462" s="63"/>
      <c r="QCX2462" s="60"/>
      <c r="QCY2462" s="60"/>
      <c r="QCZ2462" s="60"/>
      <c r="QDA2462" s="63"/>
      <c r="QDB2462" s="61"/>
      <c r="QDC2462" s="54"/>
      <c r="QDD2462" s="54"/>
      <c r="QDE2462" s="63"/>
      <c r="QDF2462" s="60"/>
      <c r="QDG2462" s="60"/>
      <c r="QDH2462" s="60"/>
      <c r="QDI2462" s="63"/>
      <c r="QDJ2462" s="61"/>
      <c r="QDK2462" s="54"/>
      <c r="QDL2462" s="54"/>
      <c r="QDM2462" s="63"/>
      <c r="QDN2462" s="60"/>
      <c r="QDO2462" s="60"/>
      <c r="QDP2462" s="60"/>
      <c r="QDQ2462" s="63"/>
      <c r="QDR2462" s="61"/>
      <c r="QDS2462" s="54"/>
      <c r="QDT2462" s="54"/>
      <c r="QDU2462" s="63"/>
      <c r="QDV2462" s="60"/>
      <c r="QDW2462" s="60"/>
      <c r="QDX2462" s="60"/>
      <c r="QDY2462" s="63"/>
      <c r="QDZ2462" s="61"/>
      <c r="QEA2462" s="54"/>
      <c r="QEB2462" s="54"/>
      <c r="QEC2462" s="63"/>
      <c r="QED2462" s="60"/>
      <c r="QEE2462" s="60"/>
      <c r="QEF2462" s="60"/>
      <c r="QEG2462" s="63"/>
      <c r="QEH2462" s="61"/>
      <c r="QEI2462" s="54"/>
      <c r="QEJ2462" s="54"/>
      <c r="QEK2462" s="63"/>
      <c r="QEL2462" s="60"/>
      <c r="QEM2462" s="60"/>
      <c r="QEN2462" s="60"/>
      <c r="QEO2462" s="63"/>
      <c r="QEP2462" s="61"/>
      <c r="QEQ2462" s="54"/>
      <c r="QER2462" s="54"/>
      <c r="QES2462" s="63"/>
      <c r="QET2462" s="60"/>
      <c r="QEU2462" s="60"/>
      <c r="QEV2462" s="60"/>
      <c r="QEW2462" s="63"/>
      <c r="QEX2462" s="61"/>
      <c r="QEY2462" s="54"/>
      <c r="QEZ2462" s="54"/>
      <c r="QFA2462" s="63"/>
      <c r="QFB2462" s="60"/>
      <c r="QFC2462" s="60"/>
      <c r="QFD2462" s="60"/>
      <c r="QFE2462" s="63"/>
      <c r="QFF2462" s="61"/>
      <c r="QFG2462" s="54"/>
      <c r="QFH2462" s="54"/>
      <c r="QFI2462" s="63"/>
      <c r="QFJ2462" s="60"/>
      <c r="QFK2462" s="60"/>
      <c r="QFL2462" s="60"/>
      <c r="QFM2462" s="63"/>
      <c r="QFN2462" s="61"/>
      <c r="QFO2462" s="54"/>
      <c r="QFP2462" s="54"/>
      <c r="QFQ2462" s="63"/>
      <c r="QFR2462" s="60"/>
      <c r="QFS2462" s="60"/>
      <c r="QFT2462" s="60"/>
      <c r="QFU2462" s="63"/>
      <c r="QFV2462" s="61"/>
      <c r="QFW2462" s="54"/>
      <c r="QFX2462" s="54"/>
      <c r="QFY2462" s="63"/>
      <c r="QFZ2462" s="60"/>
      <c r="QGA2462" s="60"/>
      <c r="QGB2462" s="60"/>
      <c r="QGC2462" s="63"/>
      <c r="QGD2462" s="61"/>
      <c r="QGE2462" s="54"/>
      <c r="QGF2462" s="54"/>
      <c r="QGG2462" s="63"/>
      <c r="QGH2462" s="60"/>
      <c r="QGI2462" s="60"/>
      <c r="QGJ2462" s="60"/>
      <c r="QGK2462" s="63"/>
      <c r="QGL2462" s="61"/>
      <c r="QGM2462" s="54"/>
      <c r="QGN2462" s="54"/>
      <c r="QGO2462" s="63"/>
      <c r="QGP2462" s="60"/>
      <c r="QGQ2462" s="60"/>
      <c r="QGR2462" s="60"/>
      <c r="QGS2462" s="63"/>
      <c r="QGT2462" s="61"/>
      <c r="QGU2462" s="54"/>
      <c r="QGV2462" s="54"/>
      <c r="QGW2462" s="63"/>
      <c r="QGX2462" s="60"/>
      <c r="QGY2462" s="60"/>
      <c r="QGZ2462" s="60"/>
      <c r="QHA2462" s="63"/>
      <c r="QHB2462" s="61"/>
      <c r="QHC2462" s="54"/>
      <c r="QHD2462" s="54"/>
      <c r="QHE2462" s="63"/>
      <c r="QHF2462" s="60"/>
      <c r="QHG2462" s="60"/>
      <c r="QHH2462" s="60"/>
      <c r="QHI2462" s="63"/>
      <c r="QHJ2462" s="61"/>
      <c r="QHK2462" s="54"/>
      <c r="QHL2462" s="54"/>
      <c r="QHM2462" s="63"/>
      <c r="QHN2462" s="60"/>
      <c r="QHO2462" s="60"/>
      <c r="QHP2462" s="60"/>
      <c r="QHQ2462" s="63"/>
      <c r="QHR2462" s="61"/>
      <c r="QHS2462" s="54"/>
      <c r="QHT2462" s="54"/>
      <c r="QHU2462" s="63"/>
      <c r="QHV2462" s="60"/>
      <c r="QHW2462" s="60"/>
      <c r="QHX2462" s="60"/>
      <c r="QHY2462" s="63"/>
      <c r="QHZ2462" s="61"/>
      <c r="QIA2462" s="54"/>
      <c r="QIB2462" s="54"/>
      <c r="QIC2462" s="63"/>
      <c r="QID2462" s="60"/>
      <c r="QIE2462" s="60"/>
      <c r="QIF2462" s="60"/>
      <c r="QIG2462" s="63"/>
      <c r="QIH2462" s="61"/>
      <c r="QII2462" s="54"/>
      <c r="QIJ2462" s="54"/>
      <c r="QIK2462" s="63"/>
      <c r="QIL2462" s="60"/>
      <c r="QIM2462" s="60"/>
      <c r="QIN2462" s="60"/>
      <c r="QIO2462" s="63"/>
      <c r="QIP2462" s="61"/>
      <c r="QIQ2462" s="54"/>
      <c r="QIR2462" s="54"/>
      <c r="QIS2462" s="63"/>
      <c r="QIT2462" s="60"/>
      <c r="QIU2462" s="60"/>
      <c r="QIV2462" s="60"/>
      <c r="QIW2462" s="63"/>
      <c r="QIX2462" s="61"/>
      <c r="QIY2462" s="54"/>
      <c r="QIZ2462" s="54"/>
      <c r="QJA2462" s="63"/>
      <c r="QJB2462" s="60"/>
      <c r="QJC2462" s="60"/>
      <c r="QJD2462" s="60"/>
      <c r="QJE2462" s="63"/>
      <c r="QJF2462" s="61"/>
      <c r="QJG2462" s="54"/>
      <c r="QJH2462" s="54"/>
      <c r="QJI2462" s="63"/>
      <c r="QJJ2462" s="60"/>
      <c r="QJK2462" s="60"/>
      <c r="QJL2462" s="60"/>
      <c r="QJM2462" s="63"/>
      <c r="QJN2462" s="61"/>
      <c r="QJO2462" s="54"/>
      <c r="QJP2462" s="54"/>
      <c r="QJQ2462" s="63"/>
      <c r="QJR2462" s="60"/>
      <c r="QJS2462" s="60"/>
      <c r="QJT2462" s="60"/>
      <c r="QJU2462" s="63"/>
      <c r="QJV2462" s="61"/>
      <c r="QJW2462" s="54"/>
      <c r="QJX2462" s="54"/>
      <c r="QJY2462" s="63"/>
      <c r="QJZ2462" s="60"/>
      <c r="QKA2462" s="60"/>
      <c r="QKB2462" s="60"/>
      <c r="QKC2462" s="63"/>
      <c r="QKD2462" s="61"/>
      <c r="QKE2462" s="54"/>
      <c r="QKF2462" s="54"/>
      <c r="QKG2462" s="63"/>
      <c r="QKH2462" s="60"/>
      <c r="QKI2462" s="60"/>
      <c r="QKJ2462" s="60"/>
      <c r="QKK2462" s="63"/>
      <c r="QKL2462" s="61"/>
      <c r="QKM2462" s="54"/>
      <c r="QKN2462" s="54"/>
      <c r="QKO2462" s="63"/>
      <c r="QKP2462" s="60"/>
      <c r="QKQ2462" s="60"/>
      <c r="QKR2462" s="60"/>
      <c r="QKS2462" s="63"/>
      <c r="QKT2462" s="61"/>
      <c r="QKU2462" s="54"/>
      <c r="QKV2462" s="54"/>
      <c r="QKW2462" s="63"/>
      <c r="QKX2462" s="60"/>
      <c r="QKY2462" s="60"/>
      <c r="QKZ2462" s="60"/>
      <c r="QLA2462" s="63"/>
      <c r="QLB2462" s="61"/>
      <c r="QLC2462" s="54"/>
      <c r="QLD2462" s="54"/>
      <c r="QLE2462" s="63"/>
      <c r="QLF2462" s="60"/>
      <c r="QLG2462" s="60"/>
      <c r="QLH2462" s="60"/>
      <c r="QLI2462" s="63"/>
      <c r="QLJ2462" s="61"/>
      <c r="QLK2462" s="54"/>
      <c r="QLL2462" s="54"/>
      <c r="QLM2462" s="63"/>
      <c r="QLN2462" s="60"/>
      <c r="QLO2462" s="60"/>
      <c r="QLP2462" s="60"/>
      <c r="QLQ2462" s="63"/>
      <c r="QLR2462" s="61"/>
      <c r="QLS2462" s="54"/>
      <c r="QLT2462" s="54"/>
      <c r="QLU2462" s="63"/>
      <c r="QLV2462" s="60"/>
      <c r="QLW2462" s="60"/>
      <c r="QLX2462" s="60"/>
      <c r="QLY2462" s="63"/>
      <c r="QLZ2462" s="61"/>
      <c r="QMA2462" s="54"/>
      <c r="QMB2462" s="54"/>
      <c r="QMC2462" s="63"/>
      <c r="QMD2462" s="60"/>
      <c r="QME2462" s="60"/>
      <c r="QMF2462" s="60"/>
      <c r="QMG2462" s="63"/>
      <c r="QMH2462" s="61"/>
      <c r="QMI2462" s="54"/>
      <c r="QMJ2462" s="54"/>
      <c r="QMK2462" s="63"/>
      <c r="QML2462" s="60"/>
      <c r="QMM2462" s="60"/>
      <c r="QMN2462" s="60"/>
      <c r="QMO2462" s="63"/>
      <c r="QMP2462" s="61"/>
      <c r="QMQ2462" s="54"/>
      <c r="QMR2462" s="54"/>
      <c r="QMS2462" s="63"/>
      <c r="QMT2462" s="60"/>
      <c r="QMU2462" s="60"/>
      <c r="QMV2462" s="60"/>
      <c r="QMW2462" s="63"/>
      <c r="QMX2462" s="61"/>
      <c r="QMY2462" s="54"/>
      <c r="QMZ2462" s="54"/>
      <c r="QNA2462" s="63"/>
      <c r="QNB2462" s="60"/>
      <c r="QNC2462" s="60"/>
      <c r="QND2462" s="60"/>
      <c r="QNE2462" s="63"/>
      <c r="QNF2462" s="61"/>
      <c r="QNG2462" s="54"/>
      <c r="QNH2462" s="54"/>
      <c r="QNI2462" s="63"/>
      <c r="QNJ2462" s="60"/>
      <c r="QNK2462" s="60"/>
      <c r="QNL2462" s="60"/>
      <c r="QNM2462" s="63"/>
      <c r="QNN2462" s="61"/>
      <c r="QNO2462" s="54"/>
      <c r="QNP2462" s="54"/>
      <c r="QNQ2462" s="63"/>
      <c r="QNR2462" s="60"/>
      <c r="QNS2462" s="60"/>
      <c r="QNT2462" s="60"/>
      <c r="QNU2462" s="63"/>
      <c r="QNV2462" s="61"/>
      <c r="QNW2462" s="54"/>
      <c r="QNX2462" s="54"/>
      <c r="QNY2462" s="63"/>
      <c r="QNZ2462" s="60"/>
      <c r="QOA2462" s="60"/>
      <c r="QOB2462" s="60"/>
      <c r="QOC2462" s="63"/>
      <c r="QOD2462" s="61"/>
      <c r="QOE2462" s="54"/>
      <c r="QOF2462" s="54"/>
      <c r="QOG2462" s="63"/>
      <c r="QOH2462" s="60"/>
      <c r="QOI2462" s="60"/>
      <c r="QOJ2462" s="60"/>
      <c r="QOK2462" s="63"/>
      <c r="QOL2462" s="61"/>
      <c r="QOM2462" s="54"/>
      <c r="QON2462" s="54"/>
      <c r="QOO2462" s="63"/>
      <c r="QOP2462" s="60"/>
      <c r="QOQ2462" s="60"/>
      <c r="QOR2462" s="60"/>
      <c r="QOS2462" s="63"/>
      <c r="QOT2462" s="61"/>
      <c r="QOU2462" s="54"/>
      <c r="QOV2462" s="54"/>
      <c r="QOW2462" s="63"/>
      <c r="QOX2462" s="60"/>
      <c r="QOY2462" s="60"/>
      <c r="QOZ2462" s="60"/>
      <c r="QPA2462" s="63"/>
      <c r="QPB2462" s="61"/>
      <c r="QPC2462" s="54"/>
      <c r="QPD2462" s="54"/>
      <c r="QPE2462" s="63"/>
      <c r="QPF2462" s="60"/>
      <c r="QPG2462" s="60"/>
      <c r="QPH2462" s="60"/>
      <c r="QPI2462" s="63"/>
      <c r="QPJ2462" s="61"/>
      <c r="QPK2462" s="54"/>
      <c r="QPL2462" s="54"/>
      <c r="QPM2462" s="63"/>
      <c r="QPN2462" s="60"/>
      <c r="QPO2462" s="60"/>
      <c r="QPP2462" s="60"/>
      <c r="QPQ2462" s="63"/>
      <c r="QPR2462" s="61"/>
      <c r="QPS2462" s="54"/>
      <c r="QPT2462" s="54"/>
      <c r="QPU2462" s="63"/>
      <c r="QPV2462" s="60"/>
      <c r="QPW2462" s="60"/>
      <c r="QPX2462" s="60"/>
      <c r="QPY2462" s="63"/>
      <c r="QPZ2462" s="61"/>
      <c r="QQA2462" s="54"/>
      <c r="QQB2462" s="54"/>
      <c r="QQC2462" s="63"/>
      <c r="QQD2462" s="60"/>
      <c r="QQE2462" s="60"/>
      <c r="QQF2462" s="60"/>
      <c r="QQG2462" s="63"/>
      <c r="QQH2462" s="61"/>
      <c r="QQI2462" s="54"/>
      <c r="QQJ2462" s="54"/>
      <c r="QQK2462" s="63"/>
      <c r="QQL2462" s="60"/>
      <c r="QQM2462" s="60"/>
      <c r="QQN2462" s="60"/>
      <c r="QQO2462" s="63"/>
      <c r="QQP2462" s="61"/>
      <c r="QQQ2462" s="54"/>
      <c r="QQR2462" s="54"/>
      <c r="QQS2462" s="63"/>
      <c r="QQT2462" s="60"/>
      <c r="QQU2462" s="60"/>
      <c r="QQV2462" s="60"/>
      <c r="QQW2462" s="63"/>
      <c r="QQX2462" s="61"/>
      <c r="QQY2462" s="54"/>
      <c r="QQZ2462" s="54"/>
      <c r="QRA2462" s="63"/>
      <c r="QRB2462" s="60"/>
      <c r="QRC2462" s="60"/>
      <c r="QRD2462" s="60"/>
      <c r="QRE2462" s="63"/>
      <c r="QRF2462" s="61"/>
      <c r="QRG2462" s="54"/>
      <c r="QRH2462" s="54"/>
      <c r="QRI2462" s="63"/>
      <c r="QRJ2462" s="60"/>
      <c r="QRK2462" s="60"/>
      <c r="QRL2462" s="60"/>
      <c r="QRM2462" s="63"/>
      <c r="QRN2462" s="61"/>
      <c r="QRO2462" s="54"/>
      <c r="QRP2462" s="54"/>
      <c r="QRQ2462" s="63"/>
      <c r="QRR2462" s="60"/>
      <c r="QRS2462" s="60"/>
      <c r="QRT2462" s="60"/>
      <c r="QRU2462" s="63"/>
      <c r="QRV2462" s="61"/>
      <c r="QRW2462" s="54"/>
      <c r="QRX2462" s="54"/>
      <c r="QRY2462" s="63"/>
      <c r="QRZ2462" s="60"/>
      <c r="QSA2462" s="60"/>
      <c r="QSB2462" s="60"/>
      <c r="QSC2462" s="63"/>
      <c r="QSD2462" s="61"/>
      <c r="QSE2462" s="54"/>
      <c r="QSF2462" s="54"/>
      <c r="QSG2462" s="63"/>
      <c r="QSH2462" s="60"/>
      <c r="QSI2462" s="60"/>
      <c r="QSJ2462" s="60"/>
      <c r="QSK2462" s="63"/>
      <c r="QSL2462" s="61"/>
      <c r="QSM2462" s="54"/>
      <c r="QSN2462" s="54"/>
      <c r="QSO2462" s="63"/>
      <c r="QSP2462" s="60"/>
      <c r="QSQ2462" s="60"/>
      <c r="QSR2462" s="60"/>
      <c r="QSS2462" s="63"/>
      <c r="QST2462" s="61"/>
      <c r="QSU2462" s="54"/>
      <c r="QSV2462" s="54"/>
      <c r="QSW2462" s="63"/>
      <c r="QSX2462" s="60"/>
      <c r="QSY2462" s="60"/>
      <c r="QSZ2462" s="60"/>
      <c r="QTA2462" s="63"/>
      <c r="QTB2462" s="61"/>
      <c r="QTC2462" s="54"/>
      <c r="QTD2462" s="54"/>
      <c r="QTE2462" s="63"/>
      <c r="QTF2462" s="60"/>
      <c r="QTG2462" s="60"/>
      <c r="QTH2462" s="60"/>
      <c r="QTI2462" s="63"/>
      <c r="QTJ2462" s="61"/>
      <c r="QTK2462" s="54"/>
      <c r="QTL2462" s="54"/>
      <c r="QTM2462" s="63"/>
      <c r="QTN2462" s="60"/>
      <c r="QTO2462" s="60"/>
      <c r="QTP2462" s="60"/>
      <c r="QTQ2462" s="63"/>
      <c r="QTR2462" s="61"/>
      <c r="QTS2462" s="54"/>
      <c r="QTT2462" s="54"/>
      <c r="QTU2462" s="63"/>
      <c r="QTV2462" s="60"/>
      <c r="QTW2462" s="60"/>
      <c r="QTX2462" s="60"/>
      <c r="QTY2462" s="63"/>
      <c r="QTZ2462" s="61"/>
      <c r="QUA2462" s="54"/>
      <c r="QUB2462" s="54"/>
      <c r="QUC2462" s="63"/>
      <c r="QUD2462" s="60"/>
      <c r="QUE2462" s="60"/>
      <c r="QUF2462" s="60"/>
      <c r="QUG2462" s="63"/>
      <c r="QUH2462" s="61"/>
      <c r="QUI2462" s="54"/>
      <c r="QUJ2462" s="54"/>
      <c r="QUK2462" s="63"/>
      <c r="QUL2462" s="60"/>
      <c r="QUM2462" s="60"/>
      <c r="QUN2462" s="60"/>
      <c r="QUO2462" s="63"/>
      <c r="QUP2462" s="61"/>
      <c r="QUQ2462" s="54"/>
      <c r="QUR2462" s="54"/>
      <c r="QUS2462" s="63"/>
      <c r="QUT2462" s="60"/>
      <c r="QUU2462" s="60"/>
      <c r="QUV2462" s="60"/>
      <c r="QUW2462" s="63"/>
      <c r="QUX2462" s="61"/>
      <c r="QUY2462" s="54"/>
      <c r="QUZ2462" s="54"/>
      <c r="QVA2462" s="63"/>
      <c r="QVB2462" s="60"/>
      <c r="QVC2462" s="60"/>
      <c r="QVD2462" s="60"/>
      <c r="QVE2462" s="63"/>
      <c r="QVF2462" s="61"/>
      <c r="QVG2462" s="54"/>
      <c r="QVH2462" s="54"/>
      <c r="QVI2462" s="63"/>
      <c r="QVJ2462" s="60"/>
      <c r="QVK2462" s="60"/>
      <c r="QVL2462" s="60"/>
      <c r="QVM2462" s="63"/>
      <c r="QVN2462" s="61"/>
      <c r="QVO2462" s="54"/>
      <c r="QVP2462" s="54"/>
      <c r="QVQ2462" s="63"/>
      <c r="QVR2462" s="60"/>
      <c r="QVS2462" s="60"/>
      <c r="QVT2462" s="60"/>
      <c r="QVU2462" s="63"/>
      <c r="QVV2462" s="61"/>
      <c r="QVW2462" s="54"/>
      <c r="QVX2462" s="54"/>
      <c r="QVY2462" s="63"/>
      <c r="QVZ2462" s="60"/>
      <c r="QWA2462" s="60"/>
      <c r="QWB2462" s="60"/>
      <c r="QWC2462" s="63"/>
      <c r="QWD2462" s="61"/>
      <c r="QWE2462" s="54"/>
      <c r="QWF2462" s="54"/>
      <c r="QWG2462" s="63"/>
      <c r="QWH2462" s="60"/>
      <c r="QWI2462" s="60"/>
      <c r="QWJ2462" s="60"/>
      <c r="QWK2462" s="63"/>
      <c r="QWL2462" s="61"/>
      <c r="QWM2462" s="54"/>
      <c r="QWN2462" s="54"/>
      <c r="QWO2462" s="63"/>
      <c r="QWP2462" s="60"/>
      <c r="QWQ2462" s="60"/>
      <c r="QWR2462" s="60"/>
      <c r="QWS2462" s="63"/>
      <c r="QWT2462" s="61"/>
      <c r="QWU2462" s="54"/>
      <c r="QWV2462" s="54"/>
      <c r="QWW2462" s="63"/>
      <c r="QWX2462" s="60"/>
      <c r="QWY2462" s="60"/>
      <c r="QWZ2462" s="60"/>
      <c r="QXA2462" s="63"/>
      <c r="QXB2462" s="61"/>
      <c r="QXC2462" s="54"/>
      <c r="QXD2462" s="54"/>
      <c r="QXE2462" s="63"/>
      <c r="QXF2462" s="60"/>
      <c r="QXG2462" s="60"/>
      <c r="QXH2462" s="60"/>
      <c r="QXI2462" s="63"/>
      <c r="QXJ2462" s="61"/>
      <c r="QXK2462" s="54"/>
      <c r="QXL2462" s="54"/>
      <c r="QXM2462" s="63"/>
      <c r="QXN2462" s="60"/>
      <c r="QXO2462" s="60"/>
      <c r="QXP2462" s="60"/>
      <c r="QXQ2462" s="63"/>
      <c r="QXR2462" s="61"/>
      <c r="QXS2462" s="54"/>
      <c r="QXT2462" s="54"/>
      <c r="QXU2462" s="63"/>
      <c r="QXV2462" s="60"/>
      <c r="QXW2462" s="60"/>
      <c r="QXX2462" s="60"/>
      <c r="QXY2462" s="63"/>
      <c r="QXZ2462" s="61"/>
      <c r="QYA2462" s="54"/>
      <c r="QYB2462" s="54"/>
      <c r="QYC2462" s="63"/>
      <c r="QYD2462" s="60"/>
      <c r="QYE2462" s="60"/>
      <c r="QYF2462" s="60"/>
      <c r="QYG2462" s="63"/>
      <c r="QYH2462" s="61"/>
      <c r="QYI2462" s="54"/>
      <c r="QYJ2462" s="54"/>
      <c r="QYK2462" s="63"/>
      <c r="QYL2462" s="60"/>
      <c r="QYM2462" s="60"/>
      <c r="QYN2462" s="60"/>
      <c r="QYO2462" s="63"/>
      <c r="QYP2462" s="61"/>
      <c r="QYQ2462" s="54"/>
      <c r="QYR2462" s="54"/>
      <c r="QYS2462" s="63"/>
      <c r="QYT2462" s="60"/>
      <c r="QYU2462" s="60"/>
      <c r="QYV2462" s="60"/>
      <c r="QYW2462" s="63"/>
      <c r="QYX2462" s="61"/>
      <c r="QYY2462" s="54"/>
      <c r="QYZ2462" s="54"/>
      <c r="QZA2462" s="63"/>
      <c r="QZB2462" s="60"/>
      <c r="QZC2462" s="60"/>
      <c r="QZD2462" s="60"/>
      <c r="QZE2462" s="63"/>
      <c r="QZF2462" s="61"/>
      <c r="QZG2462" s="54"/>
      <c r="QZH2462" s="54"/>
      <c r="QZI2462" s="63"/>
      <c r="QZJ2462" s="60"/>
      <c r="QZK2462" s="60"/>
      <c r="QZL2462" s="60"/>
      <c r="QZM2462" s="63"/>
      <c r="QZN2462" s="61"/>
      <c r="QZO2462" s="54"/>
      <c r="QZP2462" s="54"/>
      <c r="QZQ2462" s="63"/>
      <c r="QZR2462" s="60"/>
      <c r="QZS2462" s="60"/>
      <c r="QZT2462" s="60"/>
      <c r="QZU2462" s="63"/>
      <c r="QZV2462" s="61"/>
      <c r="QZW2462" s="54"/>
      <c r="QZX2462" s="54"/>
      <c r="QZY2462" s="63"/>
      <c r="QZZ2462" s="60"/>
      <c r="RAA2462" s="60"/>
      <c r="RAB2462" s="60"/>
      <c r="RAC2462" s="63"/>
      <c r="RAD2462" s="61"/>
      <c r="RAE2462" s="54"/>
      <c r="RAF2462" s="54"/>
      <c r="RAG2462" s="63"/>
      <c r="RAH2462" s="60"/>
      <c r="RAI2462" s="60"/>
      <c r="RAJ2462" s="60"/>
      <c r="RAK2462" s="63"/>
      <c r="RAL2462" s="61"/>
      <c r="RAM2462" s="54"/>
      <c r="RAN2462" s="54"/>
      <c r="RAO2462" s="63"/>
      <c r="RAP2462" s="60"/>
      <c r="RAQ2462" s="60"/>
      <c r="RAR2462" s="60"/>
      <c r="RAS2462" s="63"/>
      <c r="RAT2462" s="61"/>
      <c r="RAU2462" s="54"/>
      <c r="RAV2462" s="54"/>
      <c r="RAW2462" s="63"/>
      <c r="RAX2462" s="60"/>
      <c r="RAY2462" s="60"/>
      <c r="RAZ2462" s="60"/>
      <c r="RBA2462" s="63"/>
      <c r="RBB2462" s="61"/>
      <c r="RBC2462" s="54"/>
      <c r="RBD2462" s="54"/>
      <c r="RBE2462" s="63"/>
      <c r="RBF2462" s="60"/>
      <c r="RBG2462" s="60"/>
      <c r="RBH2462" s="60"/>
      <c r="RBI2462" s="63"/>
      <c r="RBJ2462" s="61"/>
      <c r="RBK2462" s="54"/>
      <c r="RBL2462" s="54"/>
      <c r="RBM2462" s="63"/>
      <c r="RBN2462" s="60"/>
      <c r="RBO2462" s="60"/>
      <c r="RBP2462" s="60"/>
      <c r="RBQ2462" s="63"/>
      <c r="RBR2462" s="61"/>
      <c r="RBS2462" s="54"/>
      <c r="RBT2462" s="54"/>
      <c r="RBU2462" s="63"/>
      <c r="RBV2462" s="60"/>
      <c r="RBW2462" s="60"/>
      <c r="RBX2462" s="60"/>
      <c r="RBY2462" s="63"/>
      <c r="RBZ2462" s="61"/>
      <c r="RCA2462" s="54"/>
      <c r="RCB2462" s="54"/>
      <c r="RCC2462" s="63"/>
      <c r="RCD2462" s="60"/>
      <c r="RCE2462" s="60"/>
      <c r="RCF2462" s="60"/>
      <c r="RCG2462" s="63"/>
      <c r="RCH2462" s="61"/>
      <c r="RCI2462" s="54"/>
      <c r="RCJ2462" s="54"/>
      <c r="RCK2462" s="63"/>
      <c r="RCL2462" s="60"/>
      <c r="RCM2462" s="60"/>
      <c r="RCN2462" s="60"/>
      <c r="RCO2462" s="63"/>
      <c r="RCP2462" s="61"/>
      <c r="RCQ2462" s="54"/>
      <c r="RCR2462" s="54"/>
      <c r="RCS2462" s="63"/>
      <c r="RCT2462" s="60"/>
      <c r="RCU2462" s="60"/>
      <c r="RCV2462" s="60"/>
      <c r="RCW2462" s="63"/>
      <c r="RCX2462" s="61"/>
      <c r="RCY2462" s="54"/>
      <c r="RCZ2462" s="54"/>
      <c r="RDA2462" s="63"/>
      <c r="RDB2462" s="60"/>
      <c r="RDC2462" s="60"/>
      <c r="RDD2462" s="60"/>
      <c r="RDE2462" s="63"/>
      <c r="RDF2462" s="61"/>
      <c r="RDG2462" s="54"/>
      <c r="RDH2462" s="54"/>
      <c r="RDI2462" s="63"/>
      <c r="RDJ2462" s="60"/>
      <c r="RDK2462" s="60"/>
      <c r="RDL2462" s="60"/>
      <c r="RDM2462" s="63"/>
      <c r="RDN2462" s="61"/>
      <c r="RDO2462" s="54"/>
      <c r="RDP2462" s="54"/>
      <c r="RDQ2462" s="63"/>
      <c r="RDR2462" s="60"/>
      <c r="RDS2462" s="60"/>
      <c r="RDT2462" s="60"/>
      <c r="RDU2462" s="63"/>
      <c r="RDV2462" s="61"/>
      <c r="RDW2462" s="54"/>
      <c r="RDX2462" s="54"/>
      <c r="RDY2462" s="63"/>
      <c r="RDZ2462" s="60"/>
      <c r="REA2462" s="60"/>
      <c r="REB2462" s="60"/>
      <c r="REC2462" s="63"/>
      <c r="RED2462" s="61"/>
      <c r="REE2462" s="54"/>
      <c r="REF2462" s="54"/>
      <c r="REG2462" s="63"/>
      <c r="REH2462" s="60"/>
      <c r="REI2462" s="60"/>
      <c r="REJ2462" s="60"/>
      <c r="REK2462" s="63"/>
      <c r="REL2462" s="61"/>
      <c r="REM2462" s="54"/>
      <c r="REN2462" s="54"/>
      <c r="REO2462" s="63"/>
      <c r="REP2462" s="60"/>
      <c r="REQ2462" s="60"/>
      <c r="RER2462" s="60"/>
      <c r="RES2462" s="63"/>
      <c r="RET2462" s="61"/>
      <c r="REU2462" s="54"/>
      <c r="REV2462" s="54"/>
      <c r="REW2462" s="63"/>
      <c r="REX2462" s="60"/>
      <c r="REY2462" s="60"/>
      <c r="REZ2462" s="60"/>
      <c r="RFA2462" s="63"/>
      <c r="RFB2462" s="61"/>
      <c r="RFC2462" s="54"/>
      <c r="RFD2462" s="54"/>
      <c r="RFE2462" s="63"/>
      <c r="RFF2462" s="60"/>
      <c r="RFG2462" s="60"/>
      <c r="RFH2462" s="60"/>
      <c r="RFI2462" s="63"/>
      <c r="RFJ2462" s="61"/>
      <c r="RFK2462" s="54"/>
      <c r="RFL2462" s="54"/>
      <c r="RFM2462" s="63"/>
      <c r="RFN2462" s="60"/>
      <c r="RFO2462" s="60"/>
      <c r="RFP2462" s="60"/>
      <c r="RFQ2462" s="63"/>
      <c r="RFR2462" s="61"/>
      <c r="RFS2462" s="54"/>
      <c r="RFT2462" s="54"/>
      <c r="RFU2462" s="63"/>
      <c r="RFV2462" s="60"/>
      <c r="RFW2462" s="60"/>
      <c r="RFX2462" s="60"/>
      <c r="RFY2462" s="63"/>
      <c r="RFZ2462" s="61"/>
      <c r="RGA2462" s="54"/>
      <c r="RGB2462" s="54"/>
      <c r="RGC2462" s="63"/>
      <c r="RGD2462" s="60"/>
      <c r="RGE2462" s="60"/>
      <c r="RGF2462" s="60"/>
      <c r="RGG2462" s="63"/>
      <c r="RGH2462" s="61"/>
      <c r="RGI2462" s="54"/>
      <c r="RGJ2462" s="54"/>
      <c r="RGK2462" s="63"/>
      <c r="RGL2462" s="60"/>
      <c r="RGM2462" s="60"/>
      <c r="RGN2462" s="60"/>
      <c r="RGO2462" s="63"/>
      <c r="RGP2462" s="61"/>
      <c r="RGQ2462" s="54"/>
      <c r="RGR2462" s="54"/>
      <c r="RGS2462" s="63"/>
      <c r="RGT2462" s="60"/>
      <c r="RGU2462" s="60"/>
      <c r="RGV2462" s="60"/>
      <c r="RGW2462" s="63"/>
      <c r="RGX2462" s="61"/>
      <c r="RGY2462" s="54"/>
      <c r="RGZ2462" s="54"/>
      <c r="RHA2462" s="63"/>
      <c r="RHB2462" s="60"/>
      <c r="RHC2462" s="60"/>
      <c r="RHD2462" s="60"/>
      <c r="RHE2462" s="63"/>
      <c r="RHF2462" s="61"/>
      <c r="RHG2462" s="54"/>
      <c r="RHH2462" s="54"/>
      <c r="RHI2462" s="63"/>
      <c r="RHJ2462" s="60"/>
      <c r="RHK2462" s="60"/>
      <c r="RHL2462" s="60"/>
      <c r="RHM2462" s="63"/>
      <c r="RHN2462" s="61"/>
      <c r="RHO2462" s="54"/>
      <c r="RHP2462" s="54"/>
      <c r="RHQ2462" s="63"/>
      <c r="RHR2462" s="60"/>
      <c r="RHS2462" s="60"/>
      <c r="RHT2462" s="60"/>
      <c r="RHU2462" s="63"/>
      <c r="RHV2462" s="61"/>
      <c r="RHW2462" s="54"/>
      <c r="RHX2462" s="54"/>
      <c r="RHY2462" s="63"/>
      <c r="RHZ2462" s="60"/>
      <c r="RIA2462" s="60"/>
      <c r="RIB2462" s="60"/>
      <c r="RIC2462" s="63"/>
      <c r="RID2462" s="61"/>
      <c r="RIE2462" s="54"/>
      <c r="RIF2462" s="54"/>
      <c r="RIG2462" s="63"/>
      <c r="RIH2462" s="60"/>
      <c r="RII2462" s="60"/>
      <c r="RIJ2462" s="60"/>
      <c r="RIK2462" s="63"/>
      <c r="RIL2462" s="61"/>
      <c r="RIM2462" s="54"/>
      <c r="RIN2462" s="54"/>
      <c r="RIO2462" s="63"/>
      <c r="RIP2462" s="60"/>
      <c r="RIQ2462" s="60"/>
      <c r="RIR2462" s="60"/>
      <c r="RIS2462" s="63"/>
      <c r="RIT2462" s="61"/>
      <c r="RIU2462" s="54"/>
      <c r="RIV2462" s="54"/>
      <c r="RIW2462" s="63"/>
      <c r="RIX2462" s="60"/>
      <c r="RIY2462" s="60"/>
      <c r="RIZ2462" s="60"/>
      <c r="RJA2462" s="63"/>
      <c r="RJB2462" s="61"/>
      <c r="RJC2462" s="54"/>
      <c r="RJD2462" s="54"/>
      <c r="RJE2462" s="63"/>
      <c r="RJF2462" s="60"/>
      <c r="RJG2462" s="60"/>
      <c r="RJH2462" s="60"/>
      <c r="RJI2462" s="63"/>
      <c r="RJJ2462" s="61"/>
      <c r="RJK2462" s="54"/>
      <c r="RJL2462" s="54"/>
      <c r="RJM2462" s="63"/>
      <c r="RJN2462" s="60"/>
      <c r="RJO2462" s="60"/>
      <c r="RJP2462" s="60"/>
      <c r="RJQ2462" s="63"/>
      <c r="RJR2462" s="61"/>
      <c r="RJS2462" s="54"/>
      <c r="RJT2462" s="54"/>
      <c r="RJU2462" s="63"/>
      <c r="RJV2462" s="60"/>
      <c r="RJW2462" s="60"/>
      <c r="RJX2462" s="60"/>
      <c r="RJY2462" s="63"/>
      <c r="RJZ2462" s="61"/>
      <c r="RKA2462" s="54"/>
      <c r="RKB2462" s="54"/>
      <c r="RKC2462" s="63"/>
      <c r="RKD2462" s="60"/>
      <c r="RKE2462" s="60"/>
      <c r="RKF2462" s="60"/>
      <c r="RKG2462" s="63"/>
      <c r="RKH2462" s="61"/>
      <c r="RKI2462" s="54"/>
      <c r="RKJ2462" s="54"/>
      <c r="RKK2462" s="63"/>
      <c r="RKL2462" s="60"/>
      <c r="RKM2462" s="60"/>
      <c r="RKN2462" s="60"/>
      <c r="RKO2462" s="63"/>
      <c r="RKP2462" s="61"/>
      <c r="RKQ2462" s="54"/>
      <c r="RKR2462" s="54"/>
      <c r="RKS2462" s="63"/>
      <c r="RKT2462" s="60"/>
      <c r="RKU2462" s="60"/>
      <c r="RKV2462" s="60"/>
      <c r="RKW2462" s="63"/>
      <c r="RKX2462" s="61"/>
      <c r="RKY2462" s="54"/>
      <c r="RKZ2462" s="54"/>
      <c r="RLA2462" s="63"/>
      <c r="RLB2462" s="60"/>
      <c r="RLC2462" s="60"/>
      <c r="RLD2462" s="60"/>
      <c r="RLE2462" s="63"/>
      <c r="RLF2462" s="61"/>
      <c r="RLG2462" s="54"/>
      <c r="RLH2462" s="54"/>
      <c r="RLI2462" s="63"/>
      <c r="RLJ2462" s="60"/>
      <c r="RLK2462" s="60"/>
      <c r="RLL2462" s="60"/>
      <c r="RLM2462" s="63"/>
      <c r="RLN2462" s="61"/>
      <c r="RLO2462" s="54"/>
      <c r="RLP2462" s="54"/>
      <c r="RLQ2462" s="63"/>
      <c r="RLR2462" s="60"/>
      <c r="RLS2462" s="60"/>
      <c r="RLT2462" s="60"/>
      <c r="RLU2462" s="63"/>
      <c r="RLV2462" s="61"/>
      <c r="RLW2462" s="54"/>
      <c r="RLX2462" s="54"/>
      <c r="RLY2462" s="63"/>
      <c r="RLZ2462" s="60"/>
      <c r="RMA2462" s="60"/>
      <c r="RMB2462" s="60"/>
      <c r="RMC2462" s="63"/>
      <c r="RMD2462" s="61"/>
      <c r="RME2462" s="54"/>
      <c r="RMF2462" s="54"/>
      <c r="RMG2462" s="63"/>
      <c r="RMH2462" s="60"/>
      <c r="RMI2462" s="60"/>
      <c r="RMJ2462" s="60"/>
      <c r="RMK2462" s="63"/>
      <c r="RML2462" s="61"/>
      <c r="RMM2462" s="54"/>
      <c r="RMN2462" s="54"/>
      <c r="RMO2462" s="63"/>
      <c r="RMP2462" s="60"/>
      <c r="RMQ2462" s="60"/>
      <c r="RMR2462" s="60"/>
      <c r="RMS2462" s="63"/>
      <c r="RMT2462" s="61"/>
      <c r="RMU2462" s="54"/>
      <c r="RMV2462" s="54"/>
      <c r="RMW2462" s="63"/>
      <c r="RMX2462" s="60"/>
      <c r="RMY2462" s="60"/>
      <c r="RMZ2462" s="60"/>
      <c r="RNA2462" s="63"/>
      <c r="RNB2462" s="61"/>
      <c r="RNC2462" s="54"/>
      <c r="RND2462" s="54"/>
      <c r="RNE2462" s="63"/>
      <c r="RNF2462" s="60"/>
      <c r="RNG2462" s="60"/>
      <c r="RNH2462" s="60"/>
      <c r="RNI2462" s="63"/>
      <c r="RNJ2462" s="61"/>
      <c r="RNK2462" s="54"/>
      <c r="RNL2462" s="54"/>
      <c r="RNM2462" s="63"/>
      <c r="RNN2462" s="60"/>
      <c r="RNO2462" s="60"/>
      <c r="RNP2462" s="60"/>
      <c r="RNQ2462" s="63"/>
      <c r="RNR2462" s="61"/>
      <c r="RNS2462" s="54"/>
      <c r="RNT2462" s="54"/>
      <c r="RNU2462" s="63"/>
      <c r="RNV2462" s="60"/>
      <c r="RNW2462" s="60"/>
      <c r="RNX2462" s="60"/>
      <c r="RNY2462" s="63"/>
      <c r="RNZ2462" s="61"/>
      <c r="ROA2462" s="54"/>
      <c r="ROB2462" s="54"/>
      <c r="ROC2462" s="63"/>
      <c r="ROD2462" s="60"/>
      <c r="ROE2462" s="60"/>
      <c r="ROF2462" s="60"/>
      <c r="ROG2462" s="63"/>
      <c r="ROH2462" s="61"/>
      <c r="ROI2462" s="54"/>
      <c r="ROJ2462" s="54"/>
      <c r="ROK2462" s="63"/>
      <c r="ROL2462" s="60"/>
      <c r="ROM2462" s="60"/>
      <c r="RON2462" s="60"/>
      <c r="ROO2462" s="63"/>
      <c r="ROP2462" s="61"/>
      <c r="ROQ2462" s="54"/>
      <c r="ROR2462" s="54"/>
      <c r="ROS2462" s="63"/>
      <c r="ROT2462" s="60"/>
      <c r="ROU2462" s="60"/>
      <c r="ROV2462" s="60"/>
      <c r="ROW2462" s="63"/>
      <c r="ROX2462" s="61"/>
      <c r="ROY2462" s="54"/>
      <c r="ROZ2462" s="54"/>
      <c r="RPA2462" s="63"/>
      <c r="RPB2462" s="60"/>
      <c r="RPC2462" s="60"/>
      <c r="RPD2462" s="60"/>
      <c r="RPE2462" s="63"/>
      <c r="RPF2462" s="61"/>
      <c r="RPG2462" s="54"/>
      <c r="RPH2462" s="54"/>
      <c r="RPI2462" s="63"/>
      <c r="RPJ2462" s="60"/>
      <c r="RPK2462" s="60"/>
      <c r="RPL2462" s="60"/>
      <c r="RPM2462" s="63"/>
      <c r="RPN2462" s="61"/>
      <c r="RPO2462" s="54"/>
      <c r="RPP2462" s="54"/>
      <c r="RPQ2462" s="63"/>
      <c r="RPR2462" s="60"/>
      <c r="RPS2462" s="60"/>
      <c r="RPT2462" s="60"/>
      <c r="RPU2462" s="63"/>
      <c r="RPV2462" s="61"/>
      <c r="RPW2462" s="54"/>
      <c r="RPX2462" s="54"/>
      <c r="RPY2462" s="63"/>
      <c r="RPZ2462" s="60"/>
      <c r="RQA2462" s="60"/>
      <c r="RQB2462" s="60"/>
      <c r="RQC2462" s="63"/>
      <c r="RQD2462" s="61"/>
      <c r="RQE2462" s="54"/>
      <c r="RQF2462" s="54"/>
      <c r="RQG2462" s="63"/>
      <c r="RQH2462" s="60"/>
      <c r="RQI2462" s="60"/>
      <c r="RQJ2462" s="60"/>
      <c r="RQK2462" s="63"/>
      <c r="RQL2462" s="61"/>
      <c r="RQM2462" s="54"/>
      <c r="RQN2462" s="54"/>
      <c r="RQO2462" s="63"/>
      <c r="RQP2462" s="60"/>
      <c r="RQQ2462" s="60"/>
      <c r="RQR2462" s="60"/>
      <c r="RQS2462" s="63"/>
      <c r="RQT2462" s="61"/>
      <c r="RQU2462" s="54"/>
      <c r="RQV2462" s="54"/>
      <c r="RQW2462" s="63"/>
      <c r="RQX2462" s="60"/>
      <c r="RQY2462" s="60"/>
      <c r="RQZ2462" s="60"/>
      <c r="RRA2462" s="63"/>
      <c r="RRB2462" s="61"/>
      <c r="RRC2462" s="54"/>
      <c r="RRD2462" s="54"/>
      <c r="RRE2462" s="63"/>
      <c r="RRF2462" s="60"/>
      <c r="RRG2462" s="60"/>
      <c r="RRH2462" s="60"/>
      <c r="RRI2462" s="63"/>
      <c r="RRJ2462" s="61"/>
      <c r="RRK2462" s="54"/>
      <c r="RRL2462" s="54"/>
      <c r="RRM2462" s="63"/>
      <c r="RRN2462" s="60"/>
      <c r="RRO2462" s="60"/>
      <c r="RRP2462" s="60"/>
      <c r="RRQ2462" s="63"/>
      <c r="RRR2462" s="61"/>
      <c r="RRS2462" s="54"/>
      <c r="RRT2462" s="54"/>
      <c r="RRU2462" s="63"/>
      <c r="RRV2462" s="60"/>
      <c r="RRW2462" s="60"/>
      <c r="RRX2462" s="60"/>
      <c r="RRY2462" s="63"/>
      <c r="RRZ2462" s="61"/>
      <c r="RSA2462" s="54"/>
      <c r="RSB2462" s="54"/>
      <c r="RSC2462" s="63"/>
      <c r="RSD2462" s="60"/>
      <c r="RSE2462" s="60"/>
      <c r="RSF2462" s="60"/>
      <c r="RSG2462" s="63"/>
      <c r="RSH2462" s="61"/>
      <c r="RSI2462" s="54"/>
      <c r="RSJ2462" s="54"/>
      <c r="RSK2462" s="63"/>
      <c r="RSL2462" s="60"/>
      <c r="RSM2462" s="60"/>
      <c r="RSN2462" s="60"/>
      <c r="RSO2462" s="63"/>
      <c r="RSP2462" s="61"/>
      <c r="RSQ2462" s="54"/>
      <c r="RSR2462" s="54"/>
      <c r="RSS2462" s="63"/>
      <c r="RST2462" s="60"/>
      <c r="RSU2462" s="60"/>
      <c r="RSV2462" s="60"/>
      <c r="RSW2462" s="63"/>
      <c r="RSX2462" s="61"/>
      <c r="RSY2462" s="54"/>
      <c r="RSZ2462" s="54"/>
      <c r="RTA2462" s="63"/>
      <c r="RTB2462" s="60"/>
      <c r="RTC2462" s="60"/>
      <c r="RTD2462" s="60"/>
      <c r="RTE2462" s="63"/>
      <c r="RTF2462" s="61"/>
      <c r="RTG2462" s="54"/>
      <c r="RTH2462" s="54"/>
      <c r="RTI2462" s="63"/>
      <c r="RTJ2462" s="60"/>
      <c r="RTK2462" s="60"/>
      <c r="RTL2462" s="60"/>
      <c r="RTM2462" s="63"/>
      <c r="RTN2462" s="61"/>
      <c r="RTO2462" s="54"/>
      <c r="RTP2462" s="54"/>
      <c r="RTQ2462" s="63"/>
      <c r="RTR2462" s="60"/>
      <c r="RTS2462" s="60"/>
      <c r="RTT2462" s="60"/>
      <c r="RTU2462" s="63"/>
      <c r="RTV2462" s="61"/>
      <c r="RTW2462" s="54"/>
      <c r="RTX2462" s="54"/>
      <c r="RTY2462" s="63"/>
      <c r="RTZ2462" s="60"/>
      <c r="RUA2462" s="60"/>
      <c r="RUB2462" s="60"/>
      <c r="RUC2462" s="63"/>
      <c r="RUD2462" s="61"/>
      <c r="RUE2462" s="54"/>
      <c r="RUF2462" s="54"/>
      <c r="RUG2462" s="63"/>
      <c r="RUH2462" s="60"/>
      <c r="RUI2462" s="60"/>
      <c r="RUJ2462" s="60"/>
      <c r="RUK2462" s="63"/>
      <c r="RUL2462" s="61"/>
      <c r="RUM2462" s="54"/>
      <c r="RUN2462" s="54"/>
      <c r="RUO2462" s="63"/>
      <c r="RUP2462" s="60"/>
      <c r="RUQ2462" s="60"/>
      <c r="RUR2462" s="60"/>
      <c r="RUS2462" s="63"/>
      <c r="RUT2462" s="61"/>
      <c r="RUU2462" s="54"/>
      <c r="RUV2462" s="54"/>
      <c r="RUW2462" s="63"/>
      <c r="RUX2462" s="60"/>
      <c r="RUY2462" s="60"/>
      <c r="RUZ2462" s="60"/>
      <c r="RVA2462" s="63"/>
      <c r="RVB2462" s="61"/>
      <c r="RVC2462" s="54"/>
      <c r="RVD2462" s="54"/>
      <c r="RVE2462" s="63"/>
      <c r="RVF2462" s="60"/>
      <c r="RVG2462" s="60"/>
      <c r="RVH2462" s="60"/>
      <c r="RVI2462" s="63"/>
      <c r="RVJ2462" s="61"/>
      <c r="RVK2462" s="54"/>
      <c r="RVL2462" s="54"/>
      <c r="RVM2462" s="63"/>
      <c r="RVN2462" s="60"/>
      <c r="RVO2462" s="60"/>
      <c r="RVP2462" s="60"/>
      <c r="RVQ2462" s="63"/>
      <c r="RVR2462" s="61"/>
      <c r="RVS2462" s="54"/>
      <c r="RVT2462" s="54"/>
      <c r="RVU2462" s="63"/>
      <c r="RVV2462" s="60"/>
      <c r="RVW2462" s="60"/>
      <c r="RVX2462" s="60"/>
      <c r="RVY2462" s="63"/>
      <c r="RVZ2462" s="61"/>
      <c r="RWA2462" s="54"/>
      <c r="RWB2462" s="54"/>
      <c r="RWC2462" s="63"/>
      <c r="RWD2462" s="60"/>
      <c r="RWE2462" s="60"/>
      <c r="RWF2462" s="60"/>
      <c r="RWG2462" s="63"/>
      <c r="RWH2462" s="61"/>
      <c r="RWI2462" s="54"/>
      <c r="RWJ2462" s="54"/>
      <c r="RWK2462" s="63"/>
      <c r="RWL2462" s="60"/>
      <c r="RWM2462" s="60"/>
      <c r="RWN2462" s="60"/>
      <c r="RWO2462" s="63"/>
      <c r="RWP2462" s="61"/>
      <c r="RWQ2462" s="54"/>
      <c r="RWR2462" s="54"/>
      <c r="RWS2462" s="63"/>
      <c r="RWT2462" s="60"/>
      <c r="RWU2462" s="60"/>
      <c r="RWV2462" s="60"/>
      <c r="RWW2462" s="63"/>
      <c r="RWX2462" s="61"/>
      <c r="RWY2462" s="54"/>
      <c r="RWZ2462" s="54"/>
      <c r="RXA2462" s="63"/>
      <c r="RXB2462" s="60"/>
      <c r="RXC2462" s="60"/>
      <c r="RXD2462" s="60"/>
      <c r="RXE2462" s="63"/>
      <c r="RXF2462" s="61"/>
      <c r="RXG2462" s="54"/>
      <c r="RXH2462" s="54"/>
      <c r="RXI2462" s="63"/>
      <c r="RXJ2462" s="60"/>
      <c r="RXK2462" s="60"/>
      <c r="RXL2462" s="60"/>
      <c r="RXM2462" s="63"/>
      <c r="RXN2462" s="61"/>
      <c r="RXO2462" s="54"/>
      <c r="RXP2462" s="54"/>
      <c r="RXQ2462" s="63"/>
      <c r="RXR2462" s="60"/>
      <c r="RXS2462" s="60"/>
      <c r="RXT2462" s="60"/>
      <c r="RXU2462" s="63"/>
      <c r="RXV2462" s="61"/>
      <c r="RXW2462" s="54"/>
      <c r="RXX2462" s="54"/>
      <c r="RXY2462" s="63"/>
      <c r="RXZ2462" s="60"/>
      <c r="RYA2462" s="60"/>
      <c r="RYB2462" s="60"/>
      <c r="RYC2462" s="63"/>
      <c r="RYD2462" s="61"/>
      <c r="RYE2462" s="54"/>
      <c r="RYF2462" s="54"/>
      <c r="RYG2462" s="63"/>
      <c r="RYH2462" s="60"/>
      <c r="RYI2462" s="60"/>
      <c r="RYJ2462" s="60"/>
      <c r="RYK2462" s="63"/>
      <c r="RYL2462" s="61"/>
      <c r="RYM2462" s="54"/>
      <c r="RYN2462" s="54"/>
      <c r="RYO2462" s="63"/>
      <c r="RYP2462" s="60"/>
      <c r="RYQ2462" s="60"/>
      <c r="RYR2462" s="60"/>
      <c r="RYS2462" s="63"/>
      <c r="RYT2462" s="61"/>
      <c r="RYU2462" s="54"/>
      <c r="RYV2462" s="54"/>
      <c r="RYW2462" s="63"/>
      <c r="RYX2462" s="60"/>
      <c r="RYY2462" s="60"/>
      <c r="RYZ2462" s="60"/>
      <c r="RZA2462" s="63"/>
      <c r="RZB2462" s="61"/>
      <c r="RZC2462" s="54"/>
      <c r="RZD2462" s="54"/>
      <c r="RZE2462" s="63"/>
      <c r="RZF2462" s="60"/>
      <c r="RZG2462" s="60"/>
      <c r="RZH2462" s="60"/>
      <c r="RZI2462" s="63"/>
      <c r="RZJ2462" s="61"/>
      <c r="RZK2462" s="54"/>
      <c r="RZL2462" s="54"/>
      <c r="RZM2462" s="63"/>
      <c r="RZN2462" s="60"/>
      <c r="RZO2462" s="60"/>
      <c r="RZP2462" s="60"/>
      <c r="RZQ2462" s="63"/>
      <c r="RZR2462" s="61"/>
      <c r="RZS2462" s="54"/>
      <c r="RZT2462" s="54"/>
      <c r="RZU2462" s="63"/>
      <c r="RZV2462" s="60"/>
      <c r="RZW2462" s="60"/>
      <c r="RZX2462" s="60"/>
      <c r="RZY2462" s="63"/>
      <c r="RZZ2462" s="61"/>
      <c r="SAA2462" s="54"/>
      <c r="SAB2462" s="54"/>
      <c r="SAC2462" s="63"/>
      <c r="SAD2462" s="60"/>
      <c r="SAE2462" s="60"/>
      <c r="SAF2462" s="60"/>
      <c r="SAG2462" s="63"/>
      <c r="SAH2462" s="61"/>
      <c r="SAI2462" s="54"/>
      <c r="SAJ2462" s="54"/>
      <c r="SAK2462" s="63"/>
      <c r="SAL2462" s="60"/>
      <c r="SAM2462" s="60"/>
      <c r="SAN2462" s="60"/>
      <c r="SAO2462" s="63"/>
      <c r="SAP2462" s="61"/>
      <c r="SAQ2462" s="54"/>
      <c r="SAR2462" s="54"/>
      <c r="SAS2462" s="63"/>
      <c r="SAT2462" s="60"/>
      <c r="SAU2462" s="60"/>
      <c r="SAV2462" s="60"/>
      <c r="SAW2462" s="63"/>
      <c r="SAX2462" s="61"/>
      <c r="SAY2462" s="54"/>
      <c r="SAZ2462" s="54"/>
      <c r="SBA2462" s="63"/>
      <c r="SBB2462" s="60"/>
      <c r="SBC2462" s="60"/>
      <c r="SBD2462" s="60"/>
      <c r="SBE2462" s="63"/>
      <c r="SBF2462" s="61"/>
      <c r="SBG2462" s="54"/>
      <c r="SBH2462" s="54"/>
      <c r="SBI2462" s="63"/>
      <c r="SBJ2462" s="60"/>
      <c r="SBK2462" s="60"/>
      <c r="SBL2462" s="60"/>
      <c r="SBM2462" s="63"/>
      <c r="SBN2462" s="61"/>
      <c r="SBO2462" s="54"/>
      <c r="SBP2462" s="54"/>
      <c r="SBQ2462" s="63"/>
      <c r="SBR2462" s="60"/>
      <c r="SBS2462" s="60"/>
      <c r="SBT2462" s="60"/>
      <c r="SBU2462" s="63"/>
      <c r="SBV2462" s="61"/>
      <c r="SBW2462" s="54"/>
      <c r="SBX2462" s="54"/>
      <c r="SBY2462" s="63"/>
      <c r="SBZ2462" s="60"/>
      <c r="SCA2462" s="60"/>
      <c r="SCB2462" s="60"/>
      <c r="SCC2462" s="63"/>
      <c r="SCD2462" s="61"/>
      <c r="SCE2462" s="54"/>
      <c r="SCF2462" s="54"/>
      <c r="SCG2462" s="63"/>
      <c r="SCH2462" s="60"/>
      <c r="SCI2462" s="60"/>
      <c r="SCJ2462" s="60"/>
      <c r="SCK2462" s="63"/>
      <c r="SCL2462" s="61"/>
      <c r="SCM2462" s="54"/>
      <c r="SCN2462" s="54"/>
      <c r="SCO2462" s="63"/>
      <c r="SCP2462" s="60"/>
      <c r="SCQ2462" s="60"/>
      <c r="SCR2462" s="60"/>
      <c r="SCS2462" s="63"/>
      <c r="SCT2462" s="61"/>
      <c r="SCU2462" s="54"/>
      <c r="SCV2462" s="54"/>
      <c r="SCW2462" s="63"/>
      <c r="SCX2462" s="60"/>
      <c r="SCY2462" s="60"/>
      <c r="SCZ2462" s="60"/>
      <c r="SDA2462" s="63"/>
      <c r="SDB2462" s="61"/>
      <c r="SDC2462" s="54"/>
      <c r="SDD2462" s="54"/>
      <c r="SDE2462" s="63"/>
      <c r="SDF2462" s="60"/>
      <c r="SDG2462" s="60"/>
      <c r="SDH2462" s="60"/>
      <c r="SDI2462" s="63"/>
      <c r="SDJ2462" s="61"/>
      <c r="SDK2462" s="54"/>
      <c r="SDL2462" s="54"/>
      <c r="SDM2462" s="63"/>
      <c r="SDN2462" s="60"/>
      <c r="SDO2462" s="60"/>
      <c r="SDP2462" s="60"/>
      <c r="SDQ2462" s="63"/>
      <c r="SDR2462" s="61"/>
      <c r="SDS2462" s="54"/>
      <c r="SDT2462" s="54"/>
      <c r="SDU2462" s="63"/>
      <c r="SDV2462" s="60"/>
      <c r="SDW2462" s="60"/>
      <c r="SDX2462" s="60"/>
      <c r="SDY2462" s="63"/>
      <c r="SDZ2462" s="61"/>
      <c r="SEA2462" s="54"/>
      <c r="SEB2462" s="54"/>
      <c r="SEC2462" s="63"/>
      <c r="SED2462" s="60"/>
      <c r="SEE2462" s="60"/>
      <c r="SEF2462" s="60"/>
      <c r="SEG2462" s="63"/>
      <c r="SEH2462" s="61"/>
      <c r="SEI2462" s="54"/>
      <c r="SEJ2462" s="54"/>
      <c r="SEK2462" s="63"/>
      <c r="SEL2462" s="60"/>
      <c r="SEM2462" s="60"/>
      <c r="SEN2462" s="60"/>
      <c r="SEO2462" s="63"/>
      <c r="SEP2462" s="61"/>
      <c r="SEQ2462" s="54"/>
      <c r="SER2462" s="54"/>
      <c r="SES2462" s="63"/>
      <c r="SET2462" s="60"/>
      <c r="SEU2462" s="60"/>
      <c r="SEV2462" s="60"/>
      <c r="SEW2462" s="63"/>
      <c r="SEX2462" s="61"/>
      <c r="SEY2462" s="54"/>
      <c r="SEZ2462" s="54"/>
      <c r="SFA2462" s="63"/>
      <c r="SFB2462" s="60"/>
      <c r="SFC2462" s="60"/>
      <c r="SFD2462" s="60"/>
      <c r="SFE2462" s="63"/>
      <c r="SFF2462" s="61"/>
      <c r="SFG2462" s="54"/>
      <c r="SFH2462" s="54"/>
      <c r="SFI2462" s="63"/>
      <c r="SFJ2462" s="60"/>
      <c r="SFK2462" s="60"/>
      <c r="SFL2462" s="60"/>
      <c r="SFM2462" s="63"/>
      <c r="SFN2462" s="61"/>
      <c r="SFO2462" s="54"/>
      <c r="SFP2462" s="54"/>
      <c r="SFQ2462" s="63"/>
      <c r="SFR2462" s="60"/>
      <c r="SFS2462" s="60"/>
      <c r="SFT2462" s="60"/>
      <c r="SFU2462" s="63"/>
      <c r="SFV2462" s="61"/>
      <c r="SFW2462" s="54"/>
      <c r="SFX2462" s="54"/>
      <c r="SFY2462" s="63"/>
      <c r="SFZ2462" s="60"/>
      <c r="SGA2462" s="60"/>
      <c r="SGB2462" s="60"/>
      <c r="SGC2462" s="63"/>
      <c r="SGD2462" s="61"/>
      <c r="SGE2462" s="54"/>
      <c r="SGF2462" s="54"/>
      <c r="SGG2462" s="63"/>
      <c r="SGH2462" s="60"/>
      <c r="SGI2462" s="60"/>
      <c r="SGJ2462" s="60"/>
      <c r="SGK2462" s="63"/>
      <c r="SGL2462" s="61"/>
      <c r="SGM2462" s="54"/>
      <c r="SGN2462" s="54"/>
      <c r="SGO2462" s="63"/>
      <c r="SGP2462" s="60"/>
      <c r="SGQ2462" s="60"/>
      <c r="SGR2462" s="60"/>
      <c r="SGS2462" s="63"/>
      <c r="SGT2462" s="61"/>
      <c r="SGU2462" s="54"/>
      <c r="SGV2462" s="54"/>
      <c r="SGW2462" s="63"/>
      <c r="SGX2462" s="60"/>
      <c r="SGY2462" s="60"/>
      <c r="SGZ2462" s="60"/>
      <c r="SHA2462" s="63"/>
      <c r="SHB2462" s="61"/>
      <c r="SHC2462" s="54"/>
      <c r="SHD2462" s="54"/>
      <c r="SHE2462" s="63"/>
      <c r="SHF2462" s="60"/>
      <c r="SHG2462" s="60"/>
      <c r="SHH2462" s="60"/>
      <c r="SHI2462" s="63"/>
      <c r="SHJ2462" s="61"/>
      <c r="SHK2462" s="54"/>
      <c r="SHL2462" s="54"/>
      <c r="SHM2462" s="63"/>
      <c r="SHN2462" s="60"/>
      <c r="SHO2462" s="60"/>
      <c r="SHP2462" s="60"/>
      <c r="SHQ2462" s="63"/>
      <c r="SHR2462" s="61"/>
      <c r="SHS2462" s="54"/>
      <c r="SHT2462" s="54"/>
      <c r="SHU2462" s="63"/>
      <c r="SHV2462" s="60"/>
      <c r="SHW2462" s="60"/>
      <c r="SHX2462" s="60"/>
      <c r="SHY2462" s="63"/>
      <c r="SHZ2462" s="61"/>
      <c r="SIA2462" s="54"/>
      <c r="SIB2462" s="54"/>
      <c r="SIC2462" s="63"/>
      <c r="SID2462" s="60"/>
      <c r="SIE2462" s="60"/>
      <c r="SIF2462" s="60"/>
      <c r="SIG2462" s="63"/>
      <c r="SIH2462" s="61"/>
      <c r="SII2462" s="54"/>
      <c r="SIJ2462" s="54"/>
      <c r="SIK2462" s="63"/>
      <c r="SIL2462" s="60"/>
      <c r="SIM2462" s="60"/>
      <c r="SIN2462" s="60"/>
      <c r="SIO2462" s="63"/>
      <c r="SIP2462" s="61"/>
      <c r="SIQ2462" s="54"/>
      <c r="SIR2462" s="54"/>
      <c r="SIS2462" s="63"/>
      <c r="SIT2462" s="60"/>
      <c r="SIU2462" s="60"/>
      <c r="SIV2462" s="60"/>
      <c r="SIW2462" s="63"/>
      <c r="SIX2462" s="61"/>
      <c r="SIY2462" s="54"/>
      <c r="SIZ2462" s="54"/>
      <c r="SJA2462" s="63"/>
      <c r="SJB2462" s="60"/>
      <c r="SJC2462" s="60"/>
      <c r="SJD2462" s="60"/>
      <c r="SJE2462" s="63"/>
      <c r="SJF2462" s="61"/>
      <c r="SJG2462" s="54"/>
      <c r="SJH2462" s="54"/>
      <c r="SJI2462" s="63"/>
      <c r="SJJ2462" s="60"/>
      <c r="SJK2462" s="60"/>
      <c r="SJL2462" s="60"/>
      <c r="SJM2462" s="63"/>
      <c r="SJN2462" s="61"/>
      <c r="SJO2462" s="54"/>
      <c r="SJP2462" s="54"/>
      <c r="SJQ2462" s="63"/>
      <c r="SJR2462" s="60"/>
      <c r="SJS2462" s="60"/>
      <c r="SJT2462" s="60"/>
      <c r="SJU2462" s="63"/>
      <c r="SJV2462" s="61"/>
      <c r="SJW2462" s="54"/>
      <c r="SJX2462" s="54"/>
      <c r="SJY2462" s="63"/>
      <c r="SJZ2462" s="60"/>
      <c r="SKA2462" s="60"/>
      <c r="SKB2462" s="60"/>
      <c r="SKC2462" s="63"/>
      <c r="SKD2462" s="61"/>
      <c r="SKE2462" s="54"/>
      <c r="SKF2462" s="54"/>
      <c r="SKG2462" s="63"/>
      <c r="SKH2462" s="60"/>
      <c r="SKI2462" s="60"/>
      <c r="SKJ2462" s="60"/>
      <c r="SKK2462" s="63"/>
      <c r="SKL2462" s="61"/>
      <c r="SKM2462" s="54"/>
      <c r="SKN2462" s="54"/>
      <c r="SKO2462" s="63"/>
      <c r="SKP2462" s="60"/>
      <c r="SKQ2462" s="60"/>
      <c r="SKR2462" s="60"/>
      <c r="SKS2462" s="63"/>
      <c r="SKT2462" s="61"/>
      <c r="SKU2462" s="54"/>
      <c r="SKV2462" s="54"/>
      <c r="SKW2462" s="63"/>
      <c r="SKX2462" s="60"/>
      <c r="SKY2462" s="60"/>
      <c r="SKZ2462" s="60"/>
      <c r="SLA2462" s="63"/>
      <c r="SLB2462" s="61"/>
      <c r="SLC2462" s="54"/>
      <c r="SLD2462" s="54"/>
      <c r="SLE2462" s="63"/>
      <c r="SLF2462" s="60"/>
      <c r="SLG2462" s="60"/>
      <c r="SLH2462" s="60"/>
      <c r="SLI2462" s="63"/>
      <c r="SLJ2462" s="61"/>
      <c r="SLK2462" s="54"/>
      <c r="SLL2462" s="54"/>
      <c r="SLM2462" s="63"/>
      <c r="SLN2462" s="60"/>
      <c r="SLO2462" s="60"/>
      <c r="SLP2462" s="60"/>
      <c r="SLQ2462" s="63"/>
      <c r="SLR2462" s="61"/>
      <c r="SLS2462" s="54"/>
      <c r="SLT2462" s="54"/>
      <c r="SLU2462" s="63"/>
      <c r="SLV2462" s="60"/>
      <c r="SLW2462" s="60"/>
      <c r="SLX2462" s="60"/>
      <c r="SLY2462" s="63"/>
      <c r="SLZ2462" s="61"/>
      <c r="SMA2462" s="54"/>
      <c r="SMB2462" s="54"/>
      <c r="SMC2462" s="63"/>
      <c r="SMD2462" s="60"/>
      <c r="SME2462" s="60"/>
      <c r="SMF2462" s="60"/>
      <c r="SMG2462" s="63"/>
      <c r="SMH2462" s="61"/>
      <c r="SMI2462" s="54"/>
      <c r="SMJ2462" s="54"/>
      <c r="SMK2462" s="63"/>
      <c r="SML2462" s="60"/>
      <c r="SMM2462" s="60"/>
      <c r="SMN2462" s="60"/>
      <c r="SMO2462" s="63"/>
      <c r="SMP2462" s="61"/>
      <c r="SMQ2462" s="54"/>
      <c r="SMR2462" s="54"/>
      <c r="SMS2462" s="63"/>
      <c r="SMT2462" s="60"/>
      <c r="SMU2462" s="60"/>
      <c r="SMV2462" s="60"/>
      <c r="SMW2462" s="63"/>
      <c r="SMX2462" s="61"/>
      <c r="SMY2462" s="54"/>
      <c r="SMZ2462" s="54"/>
      <c r="SNA2462" s="63"/>
      <c r="SNB2462" s="60"/>
      <c r="SNC2462" s="60"/>
      <c r="SND2462" s="60"/>
      <c r="SNE2462" s="63"/>
      <c r="SNF2462" s="61"/>
      <c r="SNG2462" s="54"/>
      <c r="SNH2462" s="54"/>
      <c r="SNI2462" s="63"/>
      <c r="SNJ2462" s="60"/>
      <c r="SNK2462" s="60"/>
      <c r="SNL2462" s="60"/>
      <c r="SNM2462" s="63"/>
      <c r="SNN2462" s="61"/>
      <c r="SNO2462" s="54"/>
      <c r="SNP2462" s="54"/>
      <c r="SNQ2462" s="63"/>
      <c r="SNR2462" s="60"/>
      <c r="SNS2462" s="60"/>
      <c r="SNT2462" s="60"/>
      <c r="SNU2462" s="63"/>
      <c r="SNV2462" s="61"/>
      <c r="SNW2462" s="54"/>
      <c r="SNX2462" s="54"/>
      <c r="SNY2462" s="63"/>
      <c r="SNZ2462" s="60"/>
      <c r="SOA2462" s="60"/>
      <c r="SOB2462" s="60"/>
      <c r="SOC2462" s="63"/>
      <c r="SOD2462" s="61"/>
      <c r="SOE2462" s="54"/>
      <c r="SOF2462" s="54"/>
      <c r="SOG2462" s="63"/>
      <c r="SOH2462" s="60"/>
      <c r="SOI2462" s="60"/>
      <c r="SOJ2462" s="60"/>
      <c r="SOK2462" s="63"/>
      <c r="SOL2462" s="61"/>
      <c r="SOM2462" s="54"/>
      <c r="SON2462" s="54"/>
      <c r="SOO2462" s="63"/>
      <c r="SOP2462" s="60"/>
      <c r="SOQ2462" s="60"/>
      <c r="SOR2462" s="60"/>
      <c r="SOS2462" s="63"/>
      <c r="SOT2462" s="61"/>
      <c r="SOU2462" s="54"/>
      <c r="SOV2462" s="54"/>
      <c r="SOW2462" s="63"/>
      <c r="SOX2462" s="60"/>
      <c r="SOY2462" s="60"/>
      <c r="SOZ2462" s="60"/>
      <c r="SPA2462" s="63"/>
      <c r="SPB2462" s="61"/>
      <c r="SPC2462" s="54"/>
      <c r="SPD2462" s="54"/>
      <c r="SPE2462" s="63"/>
      <c r="SPF2462" s="60"/>
      <c r="SPG2462" s="60"/>
      <c r="SPH2462" s="60"/>
      <c r="SPI2462" s="63"/>
      <c r="SPJ2462" s="61"/>
      <c r="SPK2462" s="54"/>
      <c r="SPL2462" s="54"/>
      <c r="SPM2462" s="63"/>
      <c r="SPN2462" s="60"/>
      <c r="SPO2462" s="60"/>
      <c r="SPP2462" s="60"/>
      <c r="SPQ2462" s="63"/>
      <c r="SPR2462" s="61"/>
      <c r="SPS2462" s="54"/>
      <c r="SPT2462" s="54"/>
      <c r="SPU2462" s="63"/>
      <c r="SPV2462" s="60"/>
      <c r="SPW2462" s="60"/>
      <c r="SPX2462" s="60"/>
      <c r="SPY2462" s="63"/>
      <c r="SPZ2462" s="61"/>
      <c r="SQA2462" s="54"/>
      <c r="SQB2462" s="54"/>
      <c r="SQC2462" s="63"/>
      <c r="SQD2462" s="60"/>
      <c r="SQE2462" s="60"/>
      <c r="SQF2462" s="60"/>
      <c r="SQG2462" s="63"/>
      <c r="SQH2462" s="61"/>
      <c r="SQI2462" s="54"/>
      <c r="SQJ2462" s="54"/>
      <c r="SQK2462" s="63"/>
      <c r="SQL2462" s="60"/>
      <c r="SQM2462" s="60"/>
      <c r="SQN2462" s="60"/>
      <c r="SQO2462" s="63"/>
      <c r="SQP2462" s="61"/>
      <c r="SQQ2462" s="54"/>
      <c r="SQR2462" s="54"/>
      <c r="SQS2462" s="63"/>
      <c r="SQT2462" s="60"/>
      <c r="SQU2462" s="60"/>
      <c r="SQV2462" s="60"/>
      <c r="SQW2462" s="63"/>
      <c r="SQX2462" s="61"/>
      <c r="SQY2462" s="54"/>
      <c r="SQZ2462" s="54"/>
      <c r="SRA2462" s="63"/>
      <c r="SRB2462" s="60"/>
      <c r="SRC2462" s="60"/>
      <c r="SRD2462" s="60"/>
      <c r="SRE2462" s="63"/>
      <c r="SRF2462" s="61"/>
      <c r="SRG2462" s="54"/>
      <c r="SRH2462" s="54"/>
      <c r="SRI2462" s="63"/>
      <c r="SRJ2462" s="60"/>
      <c r="SRK2462" s="60"/>
      <c r="SRL2462" s="60"/>
      <c r="SRM2462" s="63"/>
      <c r="SRN2462" s="61"/>
      <c r="SRO2462" s="54"/>
      <c r="SRP2462" s="54"/>
      <c r="SRQ2462" s="63"/>
      <c r="SRR2462" s="60"/>
      <c r="SRS2462" s="60"/>
      <c r="SRT2462" s="60"/>
      <c r="SRU2462" s="63"/>
      <c r="SRV2462" s="61"/>
      <c r="SRW2462" s="54"/>
      <c r="SRX2462" s="54"/>
      <c r="SRY2462" s="63"/>
      <c r="SRZ2462" s="60"/>
      <c r="SSA2462" s="60"/>
      <c r="SSB2462" s="60"/>
      <c r="SSC2462" s="63"/>
      <c r="SSD2462" s="61"/>
      <c r="SSE2462" s="54"/>
      <c r="SSF2462" s="54"/>
      <c r="SSG2462" s="63"/>
      <c r="SSH2462" s="60"/>
      <c r="SSI2462" s="60"/>
      <c r="SSJ2462" s="60"/>
      <c r="SSK2462" s="63"/>
      <c r="SSL2462" s="61"/>
      <c r="SSM2462" s="54"/>
      <c r="SSN2462" s="54"/>
      <c r="SSO2462" s="63"/>
      <c r="SSP2462" s="60"/>
      <c r="SSQ2462" s="60"/>
      <c r="SSR2462" s="60"/>
      <c r="SSS2462" s="63"/>
      <c r="SST2462" s="61"/>
      <c r="SSU2462" s="54"/>
      <c r="SSV2462" s="54"/>
      <c r="SSW2462" s="63"/>
      <c r="SSX2462" s="60"/>
      <c r="SSY2462" s="60"/>
      <c r="SSZ2462" s="60"/>
      <c r="STA2462" s="63"/>
      <c r="STB2462" s="61"/>
      <c r="STC2462" s="54"/>
      <c r="STD2462" s="54"/>
      <c r="STE2462" s="63"/>
      <c r="STF2462" s="60"/>
      <c r="STG2462" s="60"/>
      <c r="STH2462" s="60"/>
      <c r="STI2462" s="63"/>
      <c r="STJ2462" s="61"/>
      <c r="STK2462" s="54"/>
      <c r="STL2462" s="54"/>
      <c r="STM2462" s="63"/>
      <c r="STN2462" s="60"/>
      <c r="STO2462" s="60"/>
      <c r="STP2462" s="60"/>
      <c r="STQ2462" s="63"/>
      <c r="STR2462" s="61"/>
      <c r="STS2462" s="54"/>
      <c r="STT2462" s="54"/>
      <c r="STU2462" s="63"/>
      <c r="STV2462" s="60"/>
      <c r="STW2462" s="60"/>
      <c r="STX2462" s="60"/>
      <c r="STY2462" s="63"/>
      <c r="STZ2462" s="61"/>
      <c r="SUA2462" s="54"/>
      <c r="SUB2462" s="54"/>
      <c r="SUC2462" s="63"/>
      <c r="SUD2462" s="60"/>
      <c r="SUE2462" s="60"/>
      <c r="SUF2462" s="60"/>
      <c r="SUG2462" s="63"/>
      <c r="SUH2462" s="61"/>
      <c r="SUI2462" s="54"/>
      <c r="SUJ2462" s="54"/>
      <c r="SUK2462" s="63"/>
      <c r="SUL2462" s="60"/>
      <c r="SUM2462" s="60"/>
      <c r="SUN2462" s="60"/>
      <c r="SUO2462" s="63"/>
      <c r="SUP2462" s="61"/>
      <c r="SUQ2462" s="54"/>
      <c r="SUR2462" s="54"/>
      <c r="SUS2462" s="63"/>
      <c r="SUT2462" s="60"/>
      <c r="SUU2462" s="60"/>
      <c r="SUV2462" s="60"/>
      <c r="SUW2462" s="63"/>
      <c r="SUX2462" s="61"/>
      <c r="SUY2462" s="54"/>
      <c r="SUZ2462" s="54"/>
      <c r="SVA2462" s="63"/>
      <c r="SVB2462" s="60"/>
      <c r="SVC2462" s="60"/>
      <c r="SVD2462" s="60"/>
      <c r="SVE2462" s="63"/>
      <c r="SVF2462" s="61"/>
      <c r="SVG2462" s="54"/>
      <c r="SVH2462" s="54"/>
      <c r="SVI2462" s="63"/>
      <c r="SVJ2462" s="60"/>
      <c r="SVK2462" s="60"/>
      <c r="SVL2462" s="60"/>
      <c r="SVM2462" s="63"/>
      <c r="SVN2462" s="61"/>
      <c r="SVO2462" s="54"/>
      <c r="SVP2462" s="54"/>
      <c r="SVQ2462" s="63"/>
      <c r="SVR2462" s="60"/>
      <c r="SVS2462" s="60"/>
      <c r="SVT2462" s="60"/>
      <c r="SVU2462" s="63"/>
      <c r="SVV2462" s="61"/>
      <c r="SVW2462" s="54"/>
      <c r="SVX2462" s="54"/>
      <c r="SVY2462" s="63"/>
      <c r="SVZ2462" s="60"/>
      <c r="SWA2462" s="60"/>
      <c r="SWB2462" s="60"/>
      <c r="SWC2462" s="63"/>
      <c r="SWD2462" s="61"/>
      <c r="SWE2462" s="54"/>
      <c r="SWF2462" s="54"/>
      <c r="SWG2462" s="63"/>
      <c r="SWH2462" s="60"/>
      <c r="SWI2462" s="60"/>
      <c r="SWJ2462" s="60"/>
      <c r="SWK2462" s="63"/>
      <c r="SWL2462" s="61"/>
      <c r="SWM2462" s="54"/>
      <c r="SWN2462" s="54"/>
      <c r="SWO2462" s="63"/>
      <c r="SWP2462" s="60"/>
      <c r="SWQ2462" s="60"/>
      <c r="SWR2462" s="60"/>
      <c r="SWS2462" s="63"/>
      <c r="SWT2462" s="61"/>
      <c r="SWU2462" s="54"/>
      <c r="SWV2462" s="54"/>
      <c r="SWW2462" s="63"/>
      <c r="SWX2462" s="60"/>
      <c r="SWY2462" s="60"/>
      <c r="SWZ2462" s="60"/>
      <c r="SXA2462" s="63"/>
      <c r="SXB2462" s="61"/>
      <c r="SXC2462" s="54"/>
      <c r="SXD2462" s="54"/>
      <c r="SXE2462" s="63"/>
      <c r="SXF2462" s="60"/>
      <c r="SXG2462" s="60"/>
      <c r="SXH2462" s="60"/>
      <c r="SXI2462" s="63"/>
      <c r="SXJ2462" s="61"/>
      <c r="SXK2462" s="54"/>
      <c r="SXL2462" s="54"/>
      <c r="SXM2462" s="63"/>
      <c r="SXN2462" s="60"/>
      <c r="SXO2462" s="60"/>
      <c r="SXP2462" s="60"/>
      <c r="SXQ2462" s="63"/>
      <c r="SXR2462" s="61"/>
      <c r="SXS2462" s="54"/>
      <c r="SXT2462" s="54"/>
      <c r="SXU2462" s="63"/>
      <c r="SXV2462" s="60"/>
      <c r="SXW2462" s="60"/>
      <c r="SXX2462" s="60"/>
      <c r="SXY2462" s="63"/>
      <c r="SXZ2462" s="61"/>
      <c r="SYA2462" s="54"/>
      <c r="SYB2462" s="54"/>
      <c r="SYC2462" s="63"/>
      <c r="SYD2462" s="60"/>
      <c r="SYE2462" s="60"/>
      <c r="SYF2462" s="60"/>
      <c r="SYG2462" s="63"/>
      <c r="SYH2462" s="61"/>
      <c r="SYI2462" s="54"/>
      <c r="SYJ2462" s="54"/>
      <c r="SYK2462" s="63"/>
      <c r="SYL2462" s="60"/>
      <c r="SYM2462" s="60"/>
      <c r="SYN2462" s="60"/>
      <c r="SYO2462" s="63"/>
      <c r="SYP2462" s="61"/>
      <c r="SYQ2462" s="54"/>
      <c r="SYR2462" s="54"/>
      <c r="SYS2462" s="63"/>
      <c r="SYT2462" s="60"/>
      <c r="SYU2462" s="60"/>
      <c r="SYV2462" s="60"/>
      <c r="SYW2462" s="63"/>
      <c r="SYX2462" s="61"/>
      <c r="SYY2462" s="54"/>
      <c r="SYZ2462" s="54"/>
      <c r="SZA2462" s="63"/>
      <c r="SZB2462" s="60"/>
      <c r="SZC2462" s="60"/>
      <c r="SZD2462" s="60"/>
      <c r="SZE2462" s="63"/>
      <c r="SZF2462" s="61"/>
      <c r="SZG2462" s="54"/>
      <c r="SZH2462" s="54"/>
      <c r="SZI2462" s="63"/>
      <c r="SZJ2462" s="60"/>
      <c r="SZK2462" s="60"/>
      <c r="SZL2462" s="60"/>
      <c r="SZM2462" s="63"/>
      <c r="SZN2462" s="61"/>
      <c r="SZO2462" s="54"/>
      <c r="SZP2462" s="54"/>
      <c r="SZQ2462" s="63"/>
      <c r="SZR2462" s="60"/>
      <c r="SZS2462" s="60"/>
      <c r="SZT2462" s="60"/>
      <c r="SZU2462" s="63"/>
      <c r="SZV2462" s="61"/>
      <c r="SZW2462" s="54"/>
      <c r="SZX2462" s="54"/>
      <c r="SZY2462" s="63"/>
      <c r="SZZ2462" s="60"/>
      <c r="TAA2462" s="60"/>
      <c r="TAB2462" s="60"/>
      <c r="TAC2462" s="63"/>
      <c r="TAD2462" s="61"/>
      <c r="TAE2462" s="54"/>
      <c r="TAF2462" s="54"/>
      <c r="TAG2462" s="63"/>
      <c r="TAH2462" s="60"/>
      <c r="TAI2462" s="60"/>
      <c r="TAJ2462" s="60"/>
      <c r="TAK2462" s="63"/>
      <c r="TAL2462" s="61"/>
      <c r="TAM2462" s="54"/>
      <c r="TAN2462" s="54"/>
      <c r="TAO2462" s="63"/>
      <c r="TAP2462" s="60"/>
      <c r="TAQ2462" s="60"/>
      <c r="TAR2462" s="60"/>
      <c r="TAS2462" s="63"/>
      <c r="TAT2462" s="61"/>
      <c r="TAU2462" s="54"/>
      <c r="TAV2462" s="54"/>
      <c r="TAW2462" s="63"/>
      <c r="TAX2462" s="60"/>
      <c r="TAY2462" s="60"/>
      <c r="TAZ2462" s="60"/>
      <c r="TBA2462" s="63"/>
      <c r="TBB2462" s="61"/>
      <c r="TBC2462" s="54"/>
      <c r="TBD2462" s="54"/>
      <c r="TBE2462" s="63"/>
      <c r="TBF2462" s="60"/>
      <c r="TBG2462" s="60"/>
      <c r="TBH2462" s="60"/>
      <c r="TBI2462" s="63"/>
      <c r="TBJ2462" s="61"/>
      <c r="TBK2462" s="54"/>
      <c r="TBL2462" s="54"/>
      <c r="TBM2462" s="63"/>
      <c r="TBN2462" s="60"/>
      <c r="TBO2462" s="60"/>
      <c r="TBP2462" s="60"/>
      <c r="TBQ2462" s="63"/>
      <c r="TBR2462" s="61"/>
      <c r="TBS2462" s="54"/>
      <c r="TBT2462" s="54"/>
      <c r="TBU2462" s="63"/>
      <c r="TBV2462" s="60"/>
      <c r="TBW2462" s="60"/>
      <c r="TBX2462" s="60"/>
      <c r="TBY2462" s="63"/>
      <c r="TBZ2462" s="61"/>
      <c r="TCA2462" s="54"/>
      <c r="TCB2462" s="54"/>
      <c r="TCC2462" s="63"/>
      <c r="TCD2462" s="60"/>
      <c r="TCE2462" s="60"/>
      <c r="TCF2462" s="60"/>
      <c r="TCG2462" s="63"/>
      <c r="TCH2462" s="61"/>
      <c r="TCI2462" s="54"/>
      <c r="TCJ2462" s="54"/>
      <c r="TCK2462" s="63"/>
      <c r="TCL2462" s="60"/>
      <c r="TCM2462" s="60"/>
      <c r="TCN2462" s="60"/>
      <c r="TCO2462" s="63"/>
      <c r="TCP2462" s="61"/>
      <c r="TCQ2462" s="54"/>
      <c r="TCR2462" s="54"/>
      <c r="TCS2462" s="63"/>
      <c r="TCT2462" s="60"/>
      <c r="TCU2462" s="60"/>
      <c r="TCV2462" s="60"/>
      <c r="TCW2462" s="63"/>
      <c r="TCX2462" s="61"/>
      <c r="TCY2462" s="54"/>
      <c r="TCZ2462" s="54"/>
      <c r="TDA2462" s="63"/>
      <c r="TDB2462" s="60"/>
      <c r="TDC2462" s="60"/>
      <c r="TDD2462" s="60"/>
      <c r="TDE2462" s="63"/>
      <c r="TDF2462" s="61"/>
      <c r="TDG2462" s="54"/>
      <c r="TDH2462" s="54"/>
      <c r="TDI2462" s="63"/>
      <c r="TDJ2462" s="60"/>
      <c r="TDK2462" s="60"/>
      <c r="TDL2462" s="60"/>
      <c r="TDM2462" s="63"/>
      <c r="TDN2462" s="61"/>
      <c r="TDO2462" s="54"/>
      <c r="TDP2462" s="54"/>
      <c r="TDQ2462" s="63"/>
      <c r="TDR2462" s="60"/>
      <c r="TDS2462" s="60"/>
      <c r="TDT2462" s="60"/>
      <c r="TDU2462" s="63"/>
      <c r="TDV2462" s="61"/>
      <c r="TDW2462" s="54"/>
      <c r="TDX2462" s="54"/>
      <c r="TDY2462" s="63"/>
      <c r="TDZ2462" s="60"/>
      <c r="TEA2462" s="60"/>
      <c r="TEB2462" s="60"/>
      <c r="TEC2462" s="63"/>
      <c r="TED2462" s="61"/>
      <c r="TEE2462" s="54"/>
      <c r="TEF2462" s="54"/>
      <c r="TEG2462" s="63"/>
      <c r="TEH2462" s="60"/>
      <c r="TEI2462" s="60"/>
      <c r="TEJ2462" s="60"/>
      <c r="TEK2462" s="63"/>
      <c r="TEL2462" s="61"/>
      <c r="TEM2462" s="54"/>
      <c r="TEN2462" s="54"/>
      <c r="TEO2462" s="63"/>
      <c r="TEP2462" s="60"/>
      <c r="TEQ2462" s="60"/>
      <c r="TER2462" s="60"/>
      <c r="TES2462" s="63"/>
      <c r="TET2462" s="61"/>
      <c r="TEU2462" s="54"/>
      <c r="TEV2462" s="54"/>
      <c r="TEW2462" s="63"/>
      <c r="TEX2462" s="60"/>
      <c r="TEY2462" s="60"/>
      <c r="TEZ2462" s="60"/>
      <c r="TFA2462" s="63"/>
      <c r="TFB2462" s="61"/>
      <c r="TFC2462" s="54"/>
      <c r="TFD2462" s="54"/>
      <c r="TFE2462" s="63"/>
      <c r="TFF2462" s="60"/>
      <c r="TFG2462" s="60"/>
      <c r="TFH2462" s="60"/>
      <c r="TFI2462" s="63"/>
      <c r="TFJ2462" s="61"/>
      <c r="TFK2462" s="54"/>
      <c r="TFL2462" s="54"/>
      <c r="TFM2462" s="63"/>
      <c r="TFN2462" s="60"/>
      <c r="TFO2462" s="60"/>
      <c r="TFP2462" s="60"/>
      <c r="TFQ2462" s="63"/>
      <c r="TFR2462" s="61"/>
      <c r="TFS2462" s="54"/>
      <c r="TFT2462" s="54"/>
      <c r="TFU2462" s="63"/>
      <c r="TFV2462" s="60"/>
      <c r="TFW2462" s="60"/>
      <c r="TFX2462" s="60"/>
      <c r="TFY2462" s="63"/>
      <c r="TFZ2462" s="61"/>
      <c r="TGA2462" s="54"/>
      <c r="TGB2462" s="54"/>
      <c r="TGC2462" s="63"/>
      <c r="TGD2462" s="60"/>
      <c r="TGE2462" s="60"/>
      <c r="TGF2462" s="60"/>
      <c r="TGG2462" s="63"/>
      <c r="TGH2462" s="61"/>
      <c r="TGI2462" s="54"/>
      <c r="TGJ2462" s="54"/>
      <c r="TGK2462" s="63"/>
      <c r="TGL2462" s="60"/>
      <c r="TGM2462" s="60"/>
      <c r="TGN2462" s="60"/>
      <c r="TGO2462" s="63"/>
      <c r="TGP2462" s="61"/>
      <c r="TGQ2462" s="54"/>
      <c r="TGR2462" s="54"/>
      <c r="TGS2462" s="63"/>
      <c r="TGT2462" s="60"/>
      <c r="TGU2462" s="60"/>
      <c r="TGV2462" s="60"/>
      <c r="TGW2462" s="63"/>
      <c r="TGX2462" s="61"/>
      <c r="TGY2462" s="54"/>
      <c r="TGZ2462" s="54"/>
      <c r="THA2462" s="63"/>
      <c r="THB2462" s="60"/>
      <c r="THC2462" s="60"/>
      <c r="THD2462" s="60"/>
      <c r="THE2462" s="63"/>
      <c r="THF2462" s="61"/>
      <c r="THG2462" s="54"/>
      <c r="THH2462" s="54"/>
      <c r="THI2462" s="63"/>
      <c r="THJ2462" s="60"/>
      <c r="THK2462" s="60"/>
      <c r="THL2462" s="60"/>
      <c r="THM2462" s="63"/>
      <c r="THN2462" s="61"/>
      <c r="THO2462" s="54"/>
      <c r="THP2462" s="54"/>
      <c r="THQ2462" s="63"/>
      <c r="THR2462" s="60"/>
      <c r="THS2462" s="60"/>
      <c r="THT2462" s="60"/>
      <c r="THU2462" s="63"/>
      <c r="THV2462" s="61"/>
      <c r="THW2462" s="54"/>
      <c r="THX2462" s="54"/>
      <c r="THY2462" s="63"/>
      <c r="THZ2462" s="60"/>
      <c r="TIA2462" s="60"/>
      <c r="TIB2462" s="60"/>
      <c r="TIC2462" s="63"/>
      <c r="TID2462" s="61"/>
      <c r="TIE2462" s="54"/>
      <c r="TIF2462" s="54"/>
      <c r="TIG2462" s="63"/>
      <c r="TIH2462" s="60"/>
      <c r="TII2462" s="60"/>
      <c r="TIJ2462" s="60"/>
      <c r="TIK2462" s="63"/>
      <c r="TIL2462" s="61"/>
      <c r="TIM2462" s="54"/>
      <c r="TIN2462" s="54"/>
      <c r="TIO2462" s="63"/>
      <c r="TIP2462" s="60"/>
      <c r="TIQ2462" s="60"/>
      <c r="TIR2462" s="60"/>
      <c r="TIS2462" s="63"/>
      <c r="TIT2462" s="61"/>
      <c r="TIU2462" s="54"/>
      <c r="TIV2462" s="54"/>
      <c r="TIW2462" s="63"/>
      <c r="TIX2462" s="60"/>
      <c r="TIY2462" s="60"/>
      <c r="TIZ2462" s="60"/>
      <c r="TJA2462" s="63"/>
      <c r="TJB2462" s="61"/>
      <c r="TJC2462" s="54"/>
      <c r="TJD2462" s="54"/>
      <c r="TJE2462" s="63"/>
      <c r="TJF2462" s="60"/>
      <c r="TJG2462" s="60"/>
      <c r="TJH2462" s="60"/>
      <c r="TJI2462" s="63"/>
      <c r="TJJ2462" s="61"/>
      <c r="TJK2462" s="54"/>
      <c r="TJL2462" s="54"/>
      <c r="TJM2462" s="63"/>
      <c r="TJN2462" s="60"/>
      <c r="TJO2462" s="60"/>
      <c r="TJP2462" s="60"/>
      <c r="TJQ2462" s="63"/>
      <c r="TJR2462" s="61"/>
      <c r="TJS2462" s="54"/>
      <c r="TJT2462" s="54"/>
      <c r="TJU2462" s="63"/>
      <c r="TJV2462" s="60"/>
      <c r="TJW2462" s="60"/>
      <c r="TJX2462" s="60"/>
      <c r="TJY2462" s="63"/>
      <c r="TJZ2462" s="61"/>
      <c r="TKA2462" s="54"/>
      <c r="TKB2462" s="54"/>
      <c r="TKC2462" s="63"/>
      <c r="TKD2462" s="60"/>
      <c r="TKE2462" s="60"/>
      <c r="TKF2462" s="60"/>
      <c r="TKG2462" s="63"/>
      <c r="TKH2462" s="61"/>
      <c r="TKI2462" s="54"/>
      <c r="TKJ2462" s="54"/>
      <c r="TKK2462" s="63"/>
      <c r="TKL2462" s="60"/>
      <c r="TKM2462" s="60"/>
      <c r="TKN2462" s="60"/>
      <c r="TKO2462" s="63"/>
      <c r="TKP2462" s="61"/>
      <c r="TKQ2462" s="54"/>
      <c r="TKR2462" s="54"/>
      <c r="TKS2462" s="63"/>
      <c r="TKT2462" s="60"/>
      <c r="TKU2462" s="60"/>
      <c r="TKV2462" s="60"/>
      <c r="TKW2462" s="63"/>
      <c r="TKX2462" s="61"/>
      <c r="TKY2462" s="54"/>
      <c r="TKZ2462" s="54"/>
      <c r="TLA2462" s="63"/>
      <c r="TLB2462" s="60"/>
      <c r="TLC2462" s="60"/>
      <c r="TLD2462" s="60"/>
      <c r="TLE2462" s="63"/>
      <c r="TLF2462" s="61"/>
      <c r="TLG2462" s="54"/>
      <c r="TLH2462" s="54"/>
      <c r="TLI2462" s="63"/>
      <c r="TLJ2462" s="60"/>
      <c r="TLK2462" s="60"/>
      <c r="TLL2462" s="60"/>
      <c r="TLM2462" s="63"/>
      <c r="TLN2462" s="61"/>
      <c r="TLO2462" s="54"/>
      <c r="TLP2462" s="54"/>
      <c r="TLQ2462" s="63"/>
      <c r="TLR2462" s="60"/>
      <c r="TLS2462" s="60"/>
      <c r="TLT2462" s="60"/>
      <c r="TLU2462" s="63"/>
      <c r="TLV2462" s="61"/>
      <c r="TLW2462" s="54"/>
      <c r="TLX2462" s="54"/>
      <c r="TLY2462" s="63"/>
      <c r="TLZ2462" s="60"/>
      <c r="TMA2462" s="60"/>
      <c r="TMB2462" s="60"/>
      <c r="TMC2462" s="63"/>
      <c r="TMD2462" s="61"/>
      <c r="TME2462" s="54"/>
      <c r="TMF2462" s="54"/>
      <c r="TMG2462" s="63"/>
      <c r="TMH2462" s="60"/>
      <c r="TMI2462" s="60"/>
      <c r="TMJ2462" s="60"/>
      <c r="TMK2462" s="63"/>
      <c r="TML2462" s="61"/>
      <c r="TMM2462" s="54"/>
      <c r="TMN2462" s="54"/>
      <c r="TMO2462" s="63"/>
      <c r="TMP2462" s="60"/>
      <c r="TMQ2462" s="60"/>
      <c r="TMR2462" s="60"/>
      <c r="TMS2462" s="63"/>
      <c r="TMT2462" s="61"/>
      <c r="TMU2462" s="54"/>
      <c r="TMV2462" s="54"/>
      <c r="TMW2462" s="63"/>
      <c r="TMX2462" s="60"/>
      <c r="TMY2462" s="60"/>
      <c r="TMZ2462" s="60"/>
      <c r="TNA2462" s="63"/>
      <c r="TNB2462" s="61"/>
      <c r="TNC2462" s="54"/>
      <c r="TND2462" s="54"/>
      <c r="TNE2462" s="63"/>
      <c r="TNF2462" s="60"/>
      <c r="TNG2462" s="60"/>
      <c r="TNH2462" s="60"/>
      <c r="TNI2462" s="63"/>
      <c r="TNJ2462" s="61"/>
      <c r="TNK2462" s="54"/>
      <c r="TNL2462" s="54"/>
      <c r="TNM2462" s="63"/>
      <c r="TNN2462" s="60"/>
      <c r="TNO2462" s="60"/>
      <c r="TNP2462" s="60"/>
      <c r="TNQ2462" s="63"/>
      <c r="TNR2462" s="61"/>
      <c r="TNS2462" s="54"/>
      <c r="TNT2462" s="54"/>
      <c r="TNU2462" s="63"/>
      <c r="TNV2462" s="60"/>
      <c r="TNW2462" s="60"/>
      <c r="TNX2462" s="60"/>
      <c r="TNY2462" s="63"/>
      <c r="TNZ2462" s="61"/>
      <c r="TOA2462" s="54"/>
      <c r="TOB2462" s="54"/>
      <c r="TOC2462" s="63"/>
      <c r="TOD2462" s="60"/>
      <c r="TOE2462" s="60"/>
      <c r="TOF2462" s="60"/>
      <c r="TOG2462" s="63"/>
      <c r="TOH2462" s="61"/>
      <c r="TOI2462" s="54"/>
      <c r="TOJ2462" s="54"/>
      <c r="TOK2462" s="63"/>
      <c r="TOL2462" s="60"/>
      <c r="TOM2462" s="60"/>
      <c r="TON2462" s="60"/>
      <c r="TOO2462" s="63"/>
      <c r="TOP2462" s="61"/>
      <c r="TOQ2462" s="54"/>
      <c r="TOR2462" s="54"/>
      <c r="TOS2462" s="63"/>
      <c r="TOT2462" s="60"/>
      <c r="TOU2462" s="60"/>
      <c r="TOV2462" s="60"/>
      <c r="TOW2462" s="63"/>
      <c r="TOX2462" s="61"/>
      <c r="TOY2462" s="54"/>
      <c r="TOZ2462" s="54"/>
      <c r="TPA2462" s="63"/>
      <c r="TPB2462" s="60"/>
      <c r="TPC2462" s="60"/>
      <c r="TPD2462" s="60"/>
      <c r="TPE2462" s="63"/>
      <c r="TPF2462" s="61"/>
      <c r="TPG2462" s="54"/>
      <c r="TPH2462" s="54"/>
      <c r="TPI2462" s="63"/>
      <c r="TPJ2462" s="60"/>
      <c r="TPK2462" s="60"/>
      <c r="TPL2462" s="60"/>
      <c r="TPM2462" s="63"/>
      <c r="TPN2462" s="61"/>
      <c r="TPO2462" s="54"/>
      <c r="TPP2462" s="54"/>
      <c r="TPQ2462" s="63"/>
      <c r="TPR2462" s="60"/>
      <c r="TPS2462" s="60"/>
      <c r="TPT2462" s="60"/>
      <c r="TPU2462" s="63"/>
      <c r="TPV2462" s="61"/>
      <c r="TPW2462" s="54"/>
      <c r="TPX2462" s="54"/>
      <c r="TPY2462" s="63"/>
      <c r="TPZ2462" s="60"/>
      <c r="TQA2462" s="60"/>
      <c r="TQB2462" s="60"/>
      <c r="TQC2462" s="63"/>
      <c r="TQD2462" s="61"/>
      <c r="TQE2462" s="54"/>
      <c r="TQF2462" s="54"/>
      <c r="TQG2462" s="63"/>
      <c r="TQH2462" s="60"/>
      <c r="TQI2462" s="60"/>
      <c r="TQJ2462" s="60"/>
      <c r="TQK2462" s="63"/>
      <c r="TQL2462" s="61"/>
      <c r="TQM2462" s="54"/>
      <c r="TQN2462" s="54"/>
      <c r="TQO2462" s="63"/>
      <c r="TQP2462" s="60"/>
      <c r="TQQ2462" s="60"/>
      <c r="TQR2462" s="60"/>
      <c r="TQS2462" s="63"/>
      <c r="TQT2462" s="61"/>
      <c r="TQU2462" s="54"/>
      <c r="TQV2462" s="54"/>
      <c r="TQW2462" s="63"/>
      <c r="TQX2462" s="60"/>
      <c r="TQY2462" s="60"/>
      <c r="TQZ2462" s="60"/>
      <c r="TRA2462" s="63"/>
      <c r="TRB2462" s="61"/>
      <c r="TRC2462" s="54"/>
      <c r="TRD2462" s="54"/>
      <c r="TRE2462" s="63"/>
      <c r="TRF2462" s="60"/>
      <c r="TRG2462" s="60"/>
      <c r="TRH2462" s="60"/>
      <c r="TRI2462" s="63"/>
      <c r="TRJ2462" s="61"/>
      <c r="TRK2462" s="54"/>
      <c r="TRL2462" s="54"/>
      <c r="TRM2462" s="63"/>
      <c r="TRN2462" s="60"/>
      <c r="TRO2462" s="60"/>
      <c r="TRP2462" s="60"/>
      <c r="TRQ2462" s="63"/>
      <c r="TRR2462" s="61"/>
      <c r="TRS2462" s="54"/>
      <c r="TRT2462" s="54"/>
      <c r="TRU2462" s="63"/>
      <c r="TRV2462" s="60"/>
      <c r="TRW2462" s="60"/>
      <c r="TRX2462" s="60"/>
      <c r="TRY2462" s="63"/>
      <c r="TRZ2462" s="61"/>
      <c r="TSA2462" s="54"/>
      <c r="TSB2462" s="54"/>
      <c r="TSC2462" s="63"/>
      <c r="TSD2462" s="60"/>
      <c r="TSE2462" s="60"/>
      <c r="TSF2462" s="60"/>
      <c r="TSG2462" s="63"/>
      <c r="TSH2462" s="61"/>
      <c r="TSI2462" s="54"/>
      <c r="TSJ2462" s="54"/>
      <c r="TSK2462" s="63"/>
      <c r="TSL2462" s="60"/>
      <c r="TSM2462" s="60"/>
      <c r="TSN2462" s="60"/>
      <c r="TSO2462" s="63"/>
      <c r="TSP2462" s="61"/>
      <c r="TSQ2462" s="54"/>
      <c r="TSR2462" s="54"/>
      <c r="TSS2462" s="63"/>
      <c r="TST2462" s="60"/>
      <c r="TSU2462" s="60"/>
      <c r="TSV2462" s="60"/>
      <c r="TSW2462" s="63"/>
      <c r="TSX2462" s="61"/>
      <c r="TSY2462" s="54"/>
      <c r="TSZ2462" s="54"/>
      <c r="TTA2462" s="63"/>
      <c r="TTB2462" s="60"/>
      <c r="TTC2462" s="60"/>
      <c r="TTD2462" s="60"/>
      <c r="TTE2462" s="63"/>
      <c r="TTF2462" s="61"/>
      <c r="TTG2462" s="54"/>
      <c r="TTH2462" s="54"/>
      <c r="TTI2462" s="63"/>
      <c r="TTJ2462" s="60"/>
      <c r="TTK2462" s="60"/>
      <c r="TTL2462" s="60"/>
      <c r="TTM2462" s="63"/>
      <c r="TTN2462" s="61"/>
      <c r="TTO2462" s="54"/>
      <c r="TTP2462" s="54"/>
      <c r="TTQ2462" s="63"/>
      <c r="TTR2462" s="60"/>
      <c r="TTS2462" s="60"/>
      <c r="TTT2462" s="60"/>
      <c r="TTU2462" s="63"/>
      <c r="TTV2462" s="61"/>
      <c r="TTW2462" s="54"/>
      <c r="TTX2462" s="54"/>
      <c r="TTY2462" s="63"/>
      <c r="TTZ2462" s="60"/>
      <c r="TUA2462" s="60"/>
      <c r="TUB2462" s="60"/>
      <c r="TUC2462" s="63"/>
      <c r="TUD2462" s="61"/>
      <c r="TUE2462" s="54"/>
      <c r="TUF2462" s="54"/>
      <c r="TUG2462" s="63"/>
      <c r="TUH2462" s="60"/>
      <c r="TUI2462" s="60"/>
      <c r="TUJ2462" s="60"/>
      <c r="TUK2462" s="63"/>
      <c r="TUL2462" s="61"/>
      <c r="TUM2462" s="54"/>
      <c r="TUN2462" s="54"/>
      <c r="TUO2462" s="63"/>
      <c r="TUP2462" s="60"/>
      <c r="TUQ2462" s="60"/>
      <c r="TUR2462" s="60"/>
      <c r="TUS2462" s="63"/>
      <c r="TUT2462" s="61"/>
      <c r="TUU2462" s="54"/>
      <c r="TUV2462" s="54"/>
      <c r="TUW2462" s="63"/>
      <c r="TUX2462" s="60"/>
      <c r="TUY2462" s="60"/>
      <c r="TUZ2462" s="60"/>
      <c r="TVA2462" s="63"/>
      <c r="TVB2462" s="61"/>
      <c r="TVC2462" s="54"/>
      <c r="TVD2462" s="54"/>
      <c r="TVE2462" s="63"/>
      <c r="TVF2462" s="60"/>
      <c r="TVG2462" s="60"/>
      <c r="TVH2462" s="60"/>
      <c r="TVI2462" s="63"/>
      <c r="TVJ2462" s="61"/>
      <c r="TVK2462" s="54"/>
      <c r="TVL2462" s="54"/>
      <c r="TVM2462" s="63"/>
      <c r="TVN2462" s="60"/>
      <c r="TVO2462" s="60"/>
      <c r="TVP2462" s="60"/>
      <c r="TVQ2462" s="63"/>
      <c r="TVR2462" s="61"/>
      <c r="TVS2462" s="54"/>
      <c r="TVT2462" s="54"/>
      <c r="TVU2462" s="63"/>
      <c r="TVV2462" s="60"/>
      <c r="TVW2462" s="60"/>
      <c r="TVX2462" s="60"/>
      <c r="TVY2462" s="63"/>
      <c r="TVZ2462" s="61"/>
      <c r="TWA2462" s="54"/>
      <c r="TWB2462" s="54"/>
      <c r="TWC2462" s="63"/>
      <c r="TWD2462" s="60"/>
      <c r="TWE2462" s="60"/>
      <c r="TWF2462" s="60"/>
      <c r="TWG2462" s="63"/>
      <c r="TWH2462" s="61"/>
      <c r="TWI2462" s="54"/>
      <c r="TWJ2462" s="54"/>
      <c r="TWK2462" s="63"/>
      <c r="TWL2462" s="60"/>
      <c r="TWM2462" s="60"/>
      <c r="TWN2462" s="60"/>
      <c r="TWO2462" s="63"/>
      <c r="TWP2462" s="61"/>
      <c r="TWQ2462" s="54"/>
      <c r="TWR2462" s="54"/>
      <c r="TWS2462" s="63"/>
      <c r="TWT2462" s="60"/>
      <c r="TWU2462" s="60"/>
      <c r="TWV2462" s="60"/>
      <c r="TWW2462" s="63"/>
      <c r="TWX2462" s="61"/>
      <c r="TWY2462" s="54"/>
      <c r="TWZ2462" s="54"/>
      <c r="TXA2462" s="63"/>
      <c r="TXB2462" s="60"/>
      <c r="TXC2462" s="60"/>
      <c r="TXD2462" s="60"/>
      <c r="TXE2462" s="63"/>
      <c r="TXF2462" s="61"/>
      <c r="TXG2462" s="54"/>
      <c r="TXH2462" s="54"/>
      <c r="TXI2462" s="63"/>
      <c r="TXJ2462" s="60"/>
      <c r="TXK2462" s="60"/>
      <c r="TXL2462" s="60"/>
      <c r="TXM2462" s="63"/>
      <c r="TXN2462" s="61"/>
      <c r="TXO2462" s="54"/>
      <c r="TXP2462" s="54"/>
      <c r="TXQ2462" s="63"/>
      <c r="TXR2462" s="60"/>
      <c r="TXS2462" s="60"/>
      <c r="TXT2462" s="60"/>
      <c r="TXU2462" s="63"/>
      <c r="TXV2462" s="61"/>
      <c r="TXW2462" s="54"/>
      <c r="TXX2462" s="54"/>
      <c r="TXY2462" s="63"/>
      <c r="TXZ2462" s="60"/>
      <c r="TYA2462" s="60"/>
      <c r="TYB2462" s="60"/>
      <c r="TYC2462" s="63"/>
      <c r="TYD2462" s="61"/>
      <c r="TYE2462" s="54"/>
      <c r="TYF2462" s="54"/>
      <c r="TYG2462" s="63"/>
      <c r="TYH2462" s="60"/>
      <c r="TYI2462" s="60"/>
      <c r="TYJ2462" s="60"/>
      <c r="TYK2462" s="63"/>
      <c r="TYL2462" s="61"/>
      <c r="TYM2462" s="54"/>
      <c r="TYN2462" s="54"/>
      <c r="TYO2462" s="63"/>
      <c r="TYP2462" s="60"/>
      <c r="TYQ2462" s="60"/>
      <c r="TYR2462" s="60"/>
      <c r="TYS2462" s="63"/>
      <c r="TYT2462" s="61"/>
      <c r="TYU2462" s="54"/>
      <c r="TYV2462" s="54"/>
      <c r="TYW2462" s="63"/>
      <c r="TYX2462" s="60"/>
      <c r="TYY2462" s="60"/>
      <c r="TYZ2462" s="60"/>
      <c r="TZA2462" s="63"/>
      <c r="TZB2462" s="61"/>
      <c r="TZC2462" s="54"/>
      <c r="TZD2462" s="54"/>
      <c r="TZE2462" s="63"/>
      <c r="TZF2462" s="60"/>
      <c r="TZG2462" s="60"/>
      <c r="TZH2462" s="60"/>
      <c r="TZI2462" s="63"/>
      <c r="TZJ2462" s="61"/>
      <c r="TZK2462" s="54"/>
      <c r="TZL2462" s="54"/>
      <c r="TZM2462" s="63"/>
      <c r="TZN2462" s="60"/>
      <c r="TZO2462" s="60"/>
      <c r="TZP2462" s="60"/>
      <c r="TZQ2462" s="63"/>
      <c r="TZR2462" s="61"/>
      <c r="TZS2462" s="54"/>
      <c r="TZT2462" s="54"/>
      <c r="TZU2462" s="63"/>
      <c r="TZV2462" s="60"/>
      <c r="TZW2462" s="60"/>
      <c r="TZX2462" s="60"/>
      <c r="TZY2462" s="63"/>
      <c r="TZZ2462" s="61"/>
      <c r="UAA2462" s="54"/>
      <c r="UAB2462" s="54"/>
      <c r="UAC2462" s="63"/>
      <c r="UAD2462" s="60"/>
      <c r="UAE2462" s="60"/>
      <c r="UAF2462" s="60"/>
      <c r="UAG2462" s="63"/>
      <c r="UAH2462" s="61"/>
      <c r="UAI2462" s="54"/>
      <c r="UAJ2462" s="54"/>
      <c r="UAK2462" s="63"/>
      <c r="UAL2462" s="60"/>
      <c r="UAM2462" s="60"/>
      <c r="UAN2462" s="60"/>
      <c r="UAO2462" s="63"/>
      <c r="UAP2462" s="61"/>
      <c r="UAQ2462" s="54"/>
      <c r="UAR2462" s="54"/>
      <c r="UAS2462" s="63"/>
      <c r="UAT2462" s="60"/>
      <c r="UAU2462" s="60"/>
      <c r="UAV2462" s="60"/>
      <c r="UAW2462" s="63"/>
      <c r="UAX2462" s="61"/>
      <c r="UAY2462" s="54"/>
      <c r="UAZ2462" s="54"/>
      <c r="UBA2462" s="63"/>
      <c r="UBB2462" s="60"/>
      <c r="UBC2462" s="60"/>
      <c r="UBD2462" s="60"/>
      <c r="UBE2462" s="63"/>
      <c r="UBF2462" s="61"/>
      <c r="UBG2462" s="54"/>
      <c r="UBH2462" s="54"/>
      <c r="UBI2462" s="63"/>
      <c r="UBJ2462" s="60"/>
      <c r="UBK2462" s="60"/>
      <c r="UBL2462" s="60"/>
      <c r="UBM2462" s="63"/>
      <c r="UBN2462" s="61"/>
      <c r="UBO2462" s="54"/>
      <c r="UBP2462" s="54"/>
      <c r="UBQ2462" s="63"/>
      <c r="UBR2462" s="60"/>
      <c r="UBS2462" s="60"/>
      <c r="UBT2462" s="60"/>
      <c r="UBU2462" s="63"/>
      <c r="UBV2462" s="61"/>
      <c r="UBW2462" s="54"/>
      <c r="UBX2462" s="54"/>
      <c r="UBY2462" s="63"/>
      <c r="UBZ2462" s="60"/>
      <c r="UCA2462" s="60"/>
      <c r="UCB2462" s="60"/>
      <c r="UCC2462" s="63"/>
      <c r="UCD2462" s="61"/>
      <c r="UCE2462" s="54"/>
      <c r="UCF2462" s="54"/>
      <c r="UCG2462" s="63"/>
      <c r="UCH2462" s="60"/>
      <c r="UCI2462" s="60"/>
      <c r="UCJ2462" s="60"/>
      <c r="UCK2462" s="63"/>
      <c r="UCL2462" s="61"/>
      <c r="UCM2462" s="54"/>
      <c r="UCN2462" s="54"/>
      <c r="UCO2462" s="63"/>
      <c r="UCP2462" s="60"/>
      <c r="UCQ2462" s="60"/>
      <c r="UCR2462" s="60"/>
      <c r="UCS2462" s="63"/>
      <c r="UCT2462" s="61"/>
      <c r="UCU2462" s="54"/>
      <c r="UCV2462" s="54"/>
      <c r="UCW2462" s="63"/>
      <c r="UCX2462" s="60"/>
      <c r="UCY2462" s="60"/>
      <c r="UCZ2462" s="60"/>
      <c r="UDA2462" s="63"/>
      <c r="UDB2462" s="61"/>
      <c r="UDC2462" s="54"/>
      <c r="UDD2462" s="54"/>
      <c r="UDE2462" s="63"/>
      <c r="UDF2462" s="60"/>
      <c r="UDG2462" s="60"/>
      <c r="UDH2462" s="60"/>
      <c r="UDI2462" s="63"/>
      <c r="UDJ2462" s="61"/>
      <c r="UDK2462" s="54"/>
      <c r="UDL2462" s="54"/>
      <c r="UDM2462" s="63"/>
      <c r="UDN2462" s="60"/>
      <c r="UDO2462" s="60"/>
      <c r="UDP2462" s="60"/>
      <c r="UDQ2462" s="63"/>
      <c r="UDR2462" s="61"/>
      <c r="UDS2462" s="54"/>
      <c r="UDT2462" s="54"/>
      <c r="UDU2462" s="63"/>
      <c r="UDV2462" s="60"/>
      <c r="UDW2462" s="60"/>
      <c r="UDX2462" s="60"/>
      <c r="UDY2462" s="63"/>
      <c r="UDZ2462" s="61"/>
      <c r="UEA2462" s="54"/>
      <c r="UEB2462" s="54"/>
      <c r="UEC2462" s="63"/>
      <c r="UED2462" s="60"/>
      <c r="UEE2462" s="60"/>
      <c r="UEF2462" s="60"/>
      <c r="UEG2462" s="63"/>
      <c r="UEH2462" s="61"/>
      <c r="UEI2462" s="54"/>
      <c r="UEJ2462" s="54"/>
      <c r="UEK2462" s="63"/>
      <c r="UEL2462" s="60"/>
      <c r="UEM2462" s="60"/>
      <c r="UEN2462" s="60"/>
      <c r="UEO2462" s="63"/>
      <c r="UEP2462" s="61"/>
      <c r="UEQ2462" s="54"/>
      <c r="UER2462" s="54"/>
      <c r="UES2462" s="63"/>
      <c r="UET2462" s="60"/>
      <c r="UEU2462" s="60"/>
      <c r="UEV2462" s="60"/>
      <c r="UEW2462" s="63"/>
      <c r="UEX2462" s="61"/>
      <c r="UEY2462" s="54"/>
      <c r="UEZ2462" s="54"/>
      <c r="UFA2462" s="63"/>
      <c r="UFB2462" s="60"/>
      <c r="UFC2462" s="60"/>
      <c r="UFD2462" s="60"/>
      <c r="UFE2462" s="63"/>
      <c r="UFF2462" s="61"/>
      <c r="UFG2462" s="54"/>
      <c r="UFH2462" s="54"/>
      <c r="UFI2462" s="63"/>
      <c r="UFJ2462" s="60"/>
      <c r="UFK2462" s="60"/>
      <c r="UFL2462" s="60"/>
      <c r="UFM2462" s="63"/>
      <c r="UFN2462" s="61"/>
      <c r="UFO2462" s="54"/>
      <c r="UFP2462" s="54"/>
      <c r="UFQ2462" s="63"/>
      <c r="UFR2462" s="60"/>
      <c r="UFS2462" s="60"/>
      <c r="UFT2462" s="60"/>
      <c r="UFU2462" s="63"/>
      <c r="UFV2462" s="61"/>
      <c r="UFW2462" s="54"/>
      <c r="UFX2462" s="54"/>
      <c r="UFY2462" s="63"/>
      <c r="UFZ2462" s="60"/>
      <c r="UGA2462" s="60"/>
      <c r="UGB2462" s="60"/>
      <c r="UGC2462" s="63"/>
      <c r="UGD2462" s="61"/>
      <c r="UGE2462" s="54"/>
      <c r="UGF2462" s="54"/>
      <c r="UGG2462" s="63"/>
      <c r="UGH2462" s="60"/>
      <c r="UGI2462" s="60"/>
      <c r="UGJ2462" s="60"/>
      <c r="UGK2462" s="63"/>
      <c r="UGL2462" s="61"/>
      <c r="UGM2462" s="54"/>
      <c r="UGN2462" s="54"/>
      <c r="UGO2462" s="63"/>
      <c r="UGP2462" s="60"/>
      <c r="UGQ2462" s="60"/>
      <c r="UGR2462" s="60"/>
      <c r="UGS2462" s="63"/>
      <c r="UGT2462" s="61"/>
      <c r="UGU2462" s="54"/>
      <c r="UGV2462" s="54"/>
      <c r="UGW2462" s="63"/>
      <c r="UGX2462" s="60"/>
      <c r="UGY2462" s="60"/>
      <c r="UGZ2462" s="60"/>
      <c r="UHA2462" s="63"/>
      <c r="UHB2462" s="61"/>
      <c r="UHC2462" s="54"/>
      <c r="UHD2462" s="54"/>
      <c r="UHE2462" s="63"/>
      <c r="UHF2462" s="60"/>
      <c r="UHG2462" s="60"/>
      <c r="UHH2462" s="60"/>
      <c r="UHI2462" s="63"/>
      <c r="UHJ2462" s="61"/>
      <c r="UHK2462" s="54"/>
      <c r="UHL2462" s="54"/>
      <c r="UHM2462" s="63"/>
      <c r="UHN2462" s="60"/>
      <c r="UHO2462" s="60"/>
      <c r="UHP2462" s="60"/>
      <c r="UHQ2462" s="63"/>
      <c r="UHR2462" s="61"/>
      <c r="UHS2462" s="54"/>
      <c r="UHT2462" s="54"/>
      <c r="UHU2462" s="63"/>
      <c r="UHV2462" s="60"/>
      <c r="UHW2462" s="60"/>
      <c r="UHX2462" s="60"/>
      <c r="UHY2462" s="63"/>
      <c r="UHZ2462" s="61"/>
      <c r="UIA2462" s="54"/>
      <c r="UIB2462" s="54"/>
      <c r="UIC2462" s="63"/>
      <c r="UID2462" s="60"/>
      <c r="UIE2462" s="60"/>
      <c r="UIF2462" s="60"/>
      <c r="UIG2462" s="63"/>
      <c r="UIH2462" s="61"/>
      <c r="UII2462" s="54"/>
      <c r="UIJ2462" s="54"/>
      <c r="UIK2462" s="63"/>
      <c r="UIL2462" s="60"/>
      <c r="UIM2462" s="60"/>
      <c r="UIN2462" s="60"/>
      <c r="UIO2462" s="63"/>
      <c r="UIP2462" s="61"/>
      <c r="UIQ2462" s="54"/>
      <c r="UIR2462" s="54"/>
      <c r="UIS2462" s="63"/>
      <c r="UIT2462" s="60"/>
      <c r="UIU2462" s="60"/>
      <c r="UIV2462" s="60"/>
      <c r="UIW2462" s="63"/>
      <c r="UIX2462" s="61"/>
      <c r="UIY2462" s="54"/>
      <c r="UIZ2462" s="54"/>
      <c r="UJA2462" s="63"/>
      <c r="UJB2462" s="60"/>
      <c r="UJC2462" s="60"/>
      <c r="UJD2462" s="60"/>
      <c r="UJE2462" s="63"/>
      <c r="UJF2462" s="61"/>
      <c r="UJG2462" s="54"/>
      <c r="UJH2462" s="54"/>
      <c r="UJI2462" s="63"/>
      <c r="UJJ2462" s="60"/>
      <c r="UJK2462" s="60"/>
      <c r="UJL2462" s="60"/>
      <c r="UJM2462" s="63"/>
      <c r="UJN2462" s="61"/>
      <c r="UJO2462" s="54"/>
      <c r="UJP2462" s="54"/>
      <c r="UJQ2462" s="63"/>
      <c r="UJR2462" s="60"/>
      <c r="UJS2462" s="60"/>
      <c r="UJT2462" s="60"/>
      <c r="UJU2462" s="63"/>
      <c r="UJV2462" s="61"/>
      <c r="UJW2462" s="54"/>
      <c r="UJX2462" s="54"/>
      <c r="UJY2462" s="63"/>
      <c r="UJZ2462" s="60"/>
      <c r="UKA2462" s="60"/>
      <c r="UKB2462" s="60"/>
      <c r="UKC2462" s="63"/>
      <c r="UKD2462" s="61"/>
      <c r="UKE2462" s="54"/>
      <c r="UKF2462" s="54"/>
      <c r="UKG2462" s="63"/>
      <c r="UKH2462" s="60"/>
      <c r="UKI2462" s="60"/>
      <c r="UKJ2462" s="60"/>
      <c r="UKK2462" s="63"/>
      <c r="UKL2462" s="61"/>
      <c r="UKM2462" s="54"/>
      <c r="UKN2462" s="54"/>
      <c r="UKO2462" s="63"/>
      <c r="UKP2462" s="60"/>
      <c r="UKQ2462" s="60"/>
      <c r="UKR2462" s="60"/>
      <c r="UKS2462" s="63"/>
      <c r="UKT2462" s="61"/>
      <c r="UKU2462" s="54"/>
      <c r="UKV2462" s="54"/>
      <c r="UKW2462" s="63"/>
      <c r="UKX2462" s="60"/>
      <c r="UKY2462" s="60"/>
      <c r="UKZ2462" s="60"/>
      <c r="ULA2462" s="63"/>
      <c r="ULB2462" s="61"/>
      <c r="ULC2462" s="54"/>
      <c r="ULD2462" s="54"/>
      <c r="ULE2462" s="63"/>
      <c r="ULF2462" s="60"/>
      <c r="ULG2462" s="60"/>
      <c r="ULH2462" s="60"/>
      <c r="ULI2462" s="63"/>
      <c r="ULJ2462" s="61"/>
      <c r="ULK2462" s="54"/>
      <c r="ULL2462" s="54"/>
      <c r="ULM2462" s="63"/>
      <c r="ULN2462" s="60"/>
      <c r="ULO2462" s="60"/>
      <c r="ULP2462" s="60"/>
      <c r="ULQ2462" s="63"/>
      <c r="ULR2462" s="61"/>
      <c r="ULS2462" s="54"/>
      <c r="ULT2462" s="54"/>
      <c r="ULU2462" s="63"/>
      <c r="ULV2462" s="60"/>
      <c r="ULW2462" s="60"/>
      <c r="ULX2462" s="60"/>
      <c r="ULY2462" s="63"/>
      <c r="ULZ2462" s="61"/>
      <c r="UMA2462" s="54"/>
      <c r="UMB2462" s="54"/>
      <c r="UMC2462" s="63"/>
      <c r="UMD2462" s="60"/>
      <c r="UME2462" s="60"/>
      <c r="UMF2462" s="60"/>
      <c r="UMG2462" s="63"/>
      <c r="UMH2462" s="61"/>
      <c r="UMI2462" s="54"/>
      <c r="UMJ2462" s="54"/>
      <c r="UMK2462" s="63"/>
      <c r="UML2462" s="60"/>
      <c r="UMM2462" s="60"/>
      <c r="UMN2462" s="60"/>
      <c r="UMO2462" s="63"/>
      <c r="UMP2462" s="61"/>
      <c r="UMQ2462" s="54"/>
      <c r="UMR2462" s="54"/>
      <c r="UMS2462" s="63"/>
      <c r="UMT2462" s="60"/>
      <c r="UMU2462" s="60"/>
      <c r="UMV2462" s="60"/>
      <c r="UMW2462" s="63"/>
      <c r="UMX2462" s="61"/>
      <c r="UMY2462" s="54"/>
      <c r="UMZ2462" s="54"/>
      <c r="UNA2462" s="63"/>
      <c r="UNB2462" s="60"/>
      <c r="UNC2462" s="60"/>
      <c r="UND2462" s="60"/>
      <c r="UNE2462" s="63"/>
      <c r="UNF2462" s="61"/>
      <c r="UNG2462" s="54"/>
      <c r="UNH2462" s="54"/>
      <c r="UNI2462" s="63"/>
      <c r="UNJ2462" s="60"/>
      <c r="UNK2462" s="60"/>
      <c r="UNL2462" s="60"/>
      <c r="UNM2462" s="63"/>
      <c r="UNN2462" s="61"/>
      <c r="UNO2462" s="54"/>
      <c r="UNP2462" s="54"/>
      <c r="UNQ2462" s="63"/>
      <c r="UNR2462" s="60"/>
      <c r="UNS2462" s="60"/>
      <c r="UNT2462" s="60"/>
      <c r="UNU2462" s="63"/>
      <c r="UNV2462" s="61"/>
      <c r="UNW2462" s="54"/>
      <c r="UNX2462" s="54"/>
      <c r="UNY2462" s="63"/>
      <c r="UNZ2462" s="60"/>
      <c r="UOA2462" s="60"/>
      <c r="UOB2462" s="60"/>
      <c r="UOC2462" s="63"/>
      <c r="UOD2462" s="61"/>
      <c r="UOE2462" s="54"/>
      <c r="UOF2462" s="54"/>
      <c r="UOG2462" s="63"/>
      <c r="UOH2462" s="60"/>
      <c r="UOI2462" s="60"/>
      <c r="UOJ2462" s="60"/>
      <c r="UOK2462" s="63"/>
      <c r="UOL2462" s="61"/>
      <c r="UOM2462" s="54"/>
      <c r="UON2462" s="54"/>
      <c r="UOO2462" s="63"/>
      <c r="UOP2462" s="60"/>
      <c r="UOQ2462" s="60"/>
      <c r="UOR2462" s="60"/>
      <c r="UOS2462" s="63"/>
      <c r="UOT2462" s="61"/>
      <c r="UOU2462" s="54"/>
      <c r="UOV2462" s="54"/>
      <c r="UOW2462" s="63"/>
      <c r="UOX2462" s="60"/>
      <c r="UOY2462" s="60"/>
      <c r="UOZ2462" s="60"/>
      <c r="UPA2462" s="63"/>
      <c r="UPB2462" s="61"/>
      <c r="UPC2462" s="54"/>
      <c r="UPD2462" s="54"/>
      <c r="UPE2462" s="63"/>
      <c r="UPF2462" s="60"/>
      <c r="UPG2462" s="60"/>
      <c r="UPH2462" s="60"/>
      <c r="UPI2462" s="63"/>
      <c r="UPJ2462" s="61"/>
      <c r="UPK2462" s="54"/>
      <c r="UPL2462" s="54"/>
      <c r="UPM2462" s="63"/>
      <c r="UPN2462" s="60"/>
      <c r="UPO2462" s="60"/>
      <c r="UPP2462" s="60"/>
      <c r="UPQ2462" s="63"/>
      <c r="UPR2462" s="61"/>
      <c r="UPS2462" s="54"/>
      <c r="UPT2462" s="54"/>
      <c r="UPU2462" s="63"/>
      <c r="UPV2462" s="60"/>
      <c r="UPW2462" s="60"/>
      <c r="UPX2462" s="60"/>
      <c r="UPY2462" s="63"/>
      <c r="UPZ2462" s="61"/>
      <c r="UQA2462" s="54"/>
      <c r="UQB2462" s="54"/>
      <c r="UQC2462" s="63"/>
      <c r="UQD2462" s="60"/>
      <c r="UQE2462" s="60"/>
      <c r="UQF2462" s="60"/>
      <c r="UQG2462" s="63"/>
      <c r="UQH2462" s="61"/>
      <c r="UQI2462" s="54"/>
      <c r="UQJ2462" s="54"/>
      <c r="UQK2462" s="63"/>
      <c r="UQL2462" s="60"/>
      <c r="UQM2462" s="60"/>
      <c r="UQN2462" s="60"/>
      <c r="UQO2462" s="63"/>
      <c r="UQP2462" s="61"/>
      <c r="UQQ2462" s="54"/>
      <c r="UQR2462" s="54"/>
      <c r="UQS2462" s="63"/>
      <c r="UQT2462" s="60"/>
      <c r="UQU2462" s="60"/>
      <c r="UQV2462" s="60"/>
      <c r="UQW2462" s="63"/>
      <c r="UQX2462" s="61"/>
      <c r="UQY2462" s="54"/>
      <c r="UQZ2462" s="54"/>
      <c r="URA2462" s="63"/>
      <c r="URB2462" s="60"/>
      <c r="URC2462" s="60"/>
      <c r="URD2462" s="60"/>
      <c r="URE2462" s="63"/>
      <c r="URF2462" s="61"/>
      <c r="URG2462" s="54"/>
      <c r="URH2462" s="54"/>
      <c r="URI2462" s="63"/>
      <c r="URJ2462" s="60"/>
      <c r="URK2462" s="60"/>
      <c r="URL2462" s="60"/>
      <c r="URM2462" s="63"/>
      <c r="URN2462" s="61"/>
      <c r="URO2462" s="54"/>
      <c r="URP2462" s="54"/>
      <c r="URQ2462" s="63"/>
      <c r="URR2462" s="60"/>
      <c r="URS2462" s="60"/>
      <c r="URT2462" s="60"/>
      <c r="URU2462" s="63"/>
      <c r="URV2462" s="61"/>
      <c r="URW2462" s="54"/>
      <c r="URX2462" s="54"/>
      <c r="URY2462" s="63"/>
      <c r="URZ2462" s="60"/>
      <c r="USA2462" s="60"/>
      <c r="USB2462" s="60"/>
      <c r="USC2462" s="63"/>
      <c r="USD2462" s="61"/>
      <c r="USE2462" s="54"/>
      <c r="USF2462" s="54"/>
      <c r="USG2462" s="63"/>
      <c r="USH2462" s="60"/>
      <c r="USI2462" s="60"/>
      <c r="USJ2462" s="60"/>
      <c r="USK2462" s="63"/>
      <c r="USL2462" s="61"/>
      <c r="USM2462" s="54"/>
      <c r="USN2462" s="54"/>
      <c r="USO2462" s="63"/>
      <c r="USP2462" s="60"/>
      <c r="USQ2462" s="60"/>
      <c r="USR2462" s="60"/>
      <c r="USS2462" s="63"/>
      <c r="UST2462" s="61"/>
      <c r="USU2462" s="54"/>
      <c r="USV2462" s="54"/>
      <c r="USW2462" s="63"/>
      <c r="USX2462" s="60"/>
      <c r="USY2462" s="60"/>
      <c r="USZ2462" s="60"/>
      <c r="UTA2462" s="63"/>
      <c r="UTB2462" s="61"/>
      <c r="UTC2462" s="54"/>
      <c r="UTD2462" s="54"/>
      <c r="UTE2462" s="63"/>
      <c r="UTF2462" s="60"/>
      <c r="UTG2462" s="60"/>
      <c r="UTH2462" s="60"/>
      <c r="UTI2462" s="63"/>
      <c r="UTJ2462" s="61"/>
      <c r="UTK2462" s="54"/>
      <c r="UTL2462" s="54"/>
      <c r="UTM2462" s="63"/>
      <c r="UTN2462" s="60"/>
      <c r="UTO2462" s="60"/>
      <c r="UTP2462" s="60"/>
      <c r="UTQ2462" s="63"/>
      <c r="UTR2462" s="61"/>
      <c r="UTS2462" s="54"/>
      <c r="UTT2462" s="54"/>
      <c r="UTU2462" s="63"/>
      <c r="UTV2462" s="60"/>
      <c r="UTW2462" s="60"/>
      <c r="UTX2462" s="60"/>
      <c r="UTY2462" s="63"/>
      <c r="UTZ2462" s="61"/>
      <c r="UUA2462" s="54"/>
      <c r="UUB2462" s="54"/>
      <c r="UUC2462" s="63"/>
      <c r="UUD2462" s="60"/>
      <c r="UUE2462" s="60"/>
      <c r="UUF2462" s="60"/>
      <c r="UUG2462" s="63"/>
      <c r="UUH2462" s="61"/>
      <c r="UUI2462" s="54"/>
      <c r="UUJ2462" s="54"/>
      <c r="UUK2462" s="63"/>
      <c r="UUL2462" s="60"/>
      <c r="UUM2462" s="60"/>
      <c r="UUN2462" s="60"/>
      <c r="UUO2462" s="63"/>
      <c r="UUP2462" s="61"/>
      <c r="UUQ2462" s="54"/>
      <c r="UUR2462" s="54"/>
      <c r="UUS2462" s="63"/>
      <c r="UUT2462" s="60"/>
      <c r="UUU2462" s="60"/>
      <c r="UUV2462" s="60"/>
      <c r="UUW2462" s="63"/>
      <c r="UUX2462" s="61"/>
      <c r="UUY2462" s="54"/>
      <c r="UUZ2462" s="54"/>
      <c r="UVA2462" s="63"/>
      <c r="UVB2462" s="60"/>
      <c r="UVC2462" s="60"/>
      <c r="UVD2462" s="60"/>
      <c r="UVE2462" s="63"/>
      <c r="UVF2462" s="61"/>
      <c r="UVG2462" s="54"/>
      <c r="UVH2462" s="54"/>
      <c r="UVI2462" s="63"/>
      <c r="UVJ2462" s="60"/>
      <c r="UVK2462" s="60"/>
      <c r="UVL2462" s="60"/>
      <c r="UVM2462" s="63"/>
      <c r="UVN2462" s="61"/>
      <c r="UVO2462" s="54"/>
      <c r="UVP2462" s="54"/>
      <c r="UVQ2462" s="63"/>
      <c r="UVR2462" s="60"/>
      <c r="UVS2462" s="60"/>
      <c r="UVT2462" s="60"/>
      <c r="UVU2462" s="63"/>
      <c r="UVV2462" s="61"/>
      <c r="UVW2462" s="54"/>
      <c r="UVX2462" s="54"/>
      <c r="UVY2462" s="63"/>
      <c r="UVZ2462" s="60"/>
      <c r="UWA2462" s="60"/>
      <c r="UWB2462" s="60"/>
      <c r="UWC2462" s="63"/>
      <c r="UWD2462" s="61"/>
      <c r="UWE2462" s="54"/>
      <c r="UWF2462" s="54"/>
      <c r="UWG2462" s="63"/>
      <c r="UWH2462" s="60"/>
      <c r="UWI2462" s="60"/>
      <c r="UWJ2462" s="60"/>
      <c r="UWK2462" s="63"/>
      <c r="UWL2462" s="61"/>
      <c r="UWM2462" s="54"/>
      <c r="UWN2462" s="54"/>
      <c r="UWO2462" s="63"/>
      <c r="UWP2462" s="60"/>
      <c r="UWQ2462" s="60"/>
      <c r="UWR2462" s="60"/>
      <c r="UWS2462" s="63"/>
      <c r="UWT2462" s="61"/>
      <c r="UWU2462" s="54"/>
      <c r="UWV2462" s="54"/>
      <c r="UWW2462" s="63"/>
      <c r="UWX2462" s="60"/>
      <c r="UWY2462" s="60"/>
      <c r="UWZ2462" s="60"/>
      <c r="UXA2462" s="63"/>
      <c r="UXB2462" s="61"/>
      <c r="UXC2462" s="54"/>
      <c r="UXD2462" s="54"/>
      <c r="UXE2462" s="63"/>
      <c r="UXF2462" s="60"/>
      <c r="UXG2462" s="60"/>
      <c r="UXH2462" s="60"/>
      <c r="UXI2462" s="63"/>
      <c r="UXJ2462" s="61"/>
      <c r="UXK2462" s="54"/>
      <c r="UXL2462" s="54"/>
      <c r="UXM2462" s="63"/>
      <c r="UXN2462" s="60"/>
      <c r="UXO2462" s="60"/>
      <c r="UXP2462" s="60"/>
      <c r="UXQ2462" s="63"/>
      <c r="UXR2462" s="61"/>
      <c r="UXS2462" s="54"/>
      <c r="UXT2462" s="54"/>
      <c r="UXU2462" s="63"/>
      <c r="UXV2462" s="60"/>
      <c r="UXW2462" s="60"/>
      <c r="UXX2462" s="60"/>
      <c r="UXY2462" s="63"/>
      <c r="UXZ2462" s="61"/>
      <c r="UYA2462" s="54"/>
      <c r="UYB2462" s="54"/>
      <c r="UYC2462" s="63"/>
      <c r="UYD2462" s="60"/>
      <c r="UYE2462" s="60"/>
      <c r="UYF2462" s="60"/>
      <c r="UYG2462" s="63"/>
      <c r="UYH2462" s="61"/>
      <c r="UYI2462" s="54"/>
      <c r="UYJ2462" s="54"/>
      <c r="UYK2462" s="63"/>
      <c r="UYL2462" s="60"/>
      <c r="UYM2462" s="60"/>
      <c r="UYN2462" s="60"/>
      <c r="UYO2462" s="63"/>
      <c r="UYP2462" s="61"/>
      <c r="UYQ2462" s="54"/>
      <c r="UYR2462" s="54"/>
      <c r="UYS2462" s="63"/>
      <c r="UYT2462" s="60"/>
      <c r="UYU2462" s="60"/>
      <c r="UYV2462" s="60"/>
      <c r="UYW2462" s="63"/>
      <c r="UYX2462" s="61"/>
      <c r="UYY2462" s="54"/>
      <c r="UYZ2462" s="54"/>
      <c r="UZA2462" s="63"/>
      <c r="UZB2462" s="60"/>
      <c r="UZC2462" s="60"/>
      <c r="UZD2462" s="60"/>
      <c r="UZE2462" s="63"/>
      <c r="UZF2462" s="61"/>
      <c r="UZG2462" s="54"/>
      <c r="UZH2462" s="54"/>
      <c r="UZI2462" s="63"/>
      <c r="UZJ2462" s="60"/>
      <c r="UZK2462" s="60"/>
      <c r="UZL2462" s="60"/>
      <c r="UZM2462" s="63"/>
      <c r="UZN2462" s="61"/>
      <c r="UZO2462" s="54"/>
      <c r="UZP2462" s="54"/>
      <c r="UZQ2462" s="63"/>
      <c r="UZR2462" s="60"/>
      <c r="UZS2462" s="60"/>
      <c r="UZT2462" s="60"/>
      <c r="UZU2462" s="63"/>
      <c r="UZV2462" s="61"/>
      <c r="UZW2462" s="54"/>
      <c r="UZX2462" s="54"/>
      <c r="UZY2462" s="63"/>
      <c r="UZZ2462" s="60"/>
      <c r="VAA2462" s="60"/>
      <c r="VAB2462" s="60"/>
      <c r="VAC2462" s="63"/>
      <c r="VAD2462" s="61"/>
      <c r="VAE2462" s="54"/>
      <c r="VAF2462" s="54"/>
      <c r="VAG2462" s="63"/>
      <c r="VAH2462" s="60"/>
      <c r="VAI2462" s="60"/>
      <c r="VAJ2462" s="60"/>
      <c r="VAK2462" s="63"/>
      <c r="VAL2462" s="61"/>
      <c r="VAM2462" s="54"/>
      <c r="VAN2462" s="54"/>
      <c r="VAO2462" s="63"/>
      <c r="VAP2462" s="60"/>
      <c r="VAQ2462" s="60"/>
      <c r="VAR2462" s="60"/>
      <c r="VAS2462" s="63"/>
      <c r="VAT2462" s="61"/>
      <c r="VAU2462" s="54"/>
      <c r="VAV2462" s="54"/>
      <c r="VAW2462" s="63"/>
      <c r="VAX2462" s="60"/>
      <c r="VAY2462" s="60"/>
      <c r="VAZ2462" s="60"/>
      <c r="VBA2462" s="63"/>
      <c r="VBB2462" s="61"/>
      <c r="VBC2462" s="54"/>
      <c r="VBD2462" s="54"/>
      <c r="VBE2462" s="63"/>
      <c r="VBF2462" s="60"/>
      <c r="VBG2462" s="60"/>
      <c r="VBH2462" s="60"/>
      <c r="VBI2462" s="63"/>
      <c r="VBJ2462" s="61"/>
      <c r="VBK2462" s="54"/>
      <c r="VBL2462" s="54"/>
      <c r="VBM2462" s="63"/>
      <c r="VBN2462" s="60"/>
      <c r="VBO2462" s="60"/>
      <c r="VBP2462" s="60"/>
      <c r="VBQ2462" s="63"/>
      <c r="VBR2462" s="61"/>
      <c r="VBS2462" s="54"/>
      <c r="VBT2462" s="54"/>
      <c r="VBU2462" s="63"/>
      <c r="VBV2462" s="60"/>
      <c r="VBW2462" s="60"/>
      <c r="VBX2462" s="60"/>
      <c r="VBY2462" s="63"/>
      <c r="VBZ2462" s="61"/>
      <c r="VCA2462" s="54"/>
      <c r="VCB2462" s="54"/>
      <c r="VCC2462" s="63"/>
      <c r="VCD2462" s="60"/>
      <c r="VCE2462" s="60"/>
      <c r="VCF2462" s="60"/>
      <c r="VCG2462" s="63"/>
      <c r="VCH2462" s="61"/>
      <c r="VCI2462" s="54"/>
      <c r="VCJ2462" s="54"/>
      <c r="VCK2462" s="63"/>
      <c r="VCL2462" s="60"/>
      <c r="VCM2462" s="60"/>
      <c r="VCN2462" s="60"/>
      <c r="VCO2462" s="63"/>
      <c r="VCP2462" s="61"/>
      <c r="VCQ2462" s="54"/>
      <c r="VCR2462" s="54"/>
      <c r="VCS2462" s="63"/>
      <c r="VCT2462" s="60"/>
      <c r="VCU2462" s="60"/>
      <c r="VCV2462" s="60"/>
      <c r="VCW2462" s="63"/>
      <c r="VCX2462" s="61"/>
      <c r="VCY2462" s="54"/>
      <c r="VCZ2462" s="54"/>
      <c r="VDA2462" s="63"/>
      <c r="VDB2462" s="60"/>
      <c r="VDC2462" s="60"/>
      <c r="VDD2462" s="60"/>
      <c r="VDE2462" s="63"/>
      <c r="VDF2462" s="61"/>
      <c r="VDG2462" s="54"/>
      <c r="VDH2462" s="54"/>
      <c r="VDI2462" s="63"/>
      <c r="VDJ2462" s="60"/>
      <c r="VDK2462" s="60"/>
      <c r="VDL2462" s="60"/>
      <c r="VDM2462" s="63"/>
      <c r="VDN2462" s="61"/>
      <c r="VDO2462" s="54"/>
      <c r="VDP2462" s="54"/>
      <c r="VDQ2462" s="63"/>
      <c r="VDR2462" s="60"/>
      <c r="VDS2462" s="60"/>
      <c r="VDT2462" s="60"/>
      <c r="VDU2462" s="63"/>
      <c r="VDV2462" s="61"/>
      <c r="VDW2462" s="54"/>
      <c r="VDX2462" s="54"/>
      <c r="VDY2462" s="63"/>
      <c r="VDZ2462" s="60"/>
      <c r="VEA2462" s="60"/>
      <c r="VEB2462" s="60"/>
      <c r="VEC2462" s="63"/>
      <c r="VED2462" s="61"/>
      <c r="VEE2462" s="54"/>
      <c r="VEF2462" s="54"/>
      <c r="VEG2462" s="63"/>
      <c r="VEH2462" s="60"/>
      <c r="VEI2462" s="60"/>
      <c r="VEJ2462" s="60"/>
      <c r="VEK2462" s="63"/>
      <c r="VEL2462" s="61"/>
      <c r="VEM2462" s="54"/>
      <c r="VEN2462" s="54"/>
      <c r="VEO2462" s="63"/>
      <c r="VEP2462" s="60"/>
      <c r="VEQ2462" s="60"/>
      <c r="VER2462" s="60"/>
      <c r="VES2462" s="63"/>
      <c r="VET2462" s="61"/>
      <c r="VEU2462" s="54"/>
      <c r="VEV2462" s="54"/>
      <c r="VEW2462" s="63"/>
      <c r="VEX2462" s="60"/>
      <c r="VEY2462" s="60"/>
      <c r="VEZ2462" s="60"/>
      <c r="VFA2462" s="63"/>
      <c r="VFB2462" s="61"/>
      <c r="VFC2462" s="54"/>
      <c r="VFD2462" s="54"/>
      <c r="VFE2462" s="63"/>
      <c r="VFF2462" s="60"/>
      <c r="VFG2462" s="60"/>
      <c r="VFH2462" s="60"/>
      <c r="VFI2462" s="63"/>
      <c r="VFJ2462" s="61"/>
      <c r="VFK2462" s="54"/>
      <c r="VFL2462" s="54"/>
      <c r="VFM2462" s="63"/>
      <c r="VFN2462" s="60"/>
      <c r="VFO2462" s="60"/>
      <c r="VFP2462" s="60"/>
      <c r="VFQ2462" s="63"/>
      <c r="VFR2462" s="61"/>
      <c r="VFS2462" s="54"/>
      <c r="VFT2462" s="54"/>
      <c r="VFU2462" s="63"/>
      <c r="VFV2462" s="60"/>
      <c r="VFW2462" s="60"/>
      <c r="VFX2462" s="60"/>
      <c r="VFY2462" s="63"/>
      <c r="VFZ2462" s="61"/>
      <c r="VGA2462" s="54"/>
      <c r="VGB2462" s="54"/>
      <c r="VGC2462" s="63"/>
      <c r="VGD2462" s="60"/>
      <c r="VGE2462" s="60"/>
      <c r="VGF2462" s="60"/>
      <c r="VGG2462" s="63"/>
      <c r="VGH2462" s="61"/>
      <c r="VGI2462" s="54"/>
      <c r="VGJ2462" s="54"/>
      <c r="VGK2462" s="63"/>
      <c r="VGL2462" s="60"/>
      <c r="VGM2462" s="60"/>
      <c r="VGN2462" s="60"/>
      <c r="VGO2462" s="63"/>
      <c r="VGP2462" s="61"/>
      <c r="VGQ2462" s="54"/>
      <c r="VGR2462" s="54"/>
      <c r="VGS2462" s="63"/>
      <c r="VGT2462" s="60"/>
      <c r="VGU2462" s="60"/>
      <c r="VGV2462" s="60"/>
      <c r="VGW2462" s="63"/>
      <c r="VGX2462" s="61"/>
      <c r="VGY2462" s="54"/>
      <c r="VGZ2462" s="54"/>
      <c r="VHA2462" s="63"/>
      <c r="VHB2462" s="60"/>
      <c r="VHC2462" s="60"/>
      <c r="VHD2462" s="60"/>
      <c r="VHE2462" s="63"/>
      <c r="VHF2462" s="61"/>
      <c r="VHG2462" s="54"/>
      <c r="VHH2462" s="54"/>
      <c r="VHI2462" s="63"/>
      <c r="VHJ2462" s="60"/>
      <c r="VHK2462" s="60"/>
      <c r="VHL2462" s="60"/>
      <c r="VHM2462" s="63"/>
      <c r="VHN2462" s="61"/>
      <c r="VHO2462" s="54"/>
      <c r="VHP2462" s="54"/>
      <c r="VHQ2462" s="63"/>
      <c r="VHR2462" s="60"/>
      <c r="VHS2462" s="60"/>
      <c r="VHT2462" s="60"/>
      <c r="VHU2462" s="63"/>
      <c r="VHV2462" s="61"/>
      <c r="VHW2462" s="54"/>
      <c r="VHX2462" s="54"/>
      <c r="VHY2462" s="63"/>
      <c r="VHZ2462" s="60"/>
      <c r="VIA2462" s="60"/>
      <c r="VIB2462" s="60"/>
      <c r="VIC2462" s="63"/>
      <c r="VID2462" s="61"/>
      <c r="VIE2462" s="54"/>
      <c r="VIF2462" s="54"/>
      <c r="VIG2462" s="63"/>
      <c r="VIH2462" s="60"/>
      <c r="VII2462" s="60"/>
      <c r="VIJ2462" s="60"/>
      <c r="VIK2462" s="63"/>
      <c r="VIL2462" s="61"/>
      <c r="VIM2462" s="54"/>
      <c r="VIN2462" s="54"/>
      <c r="VIO2462" s="63"/>
      <c r="VIP2462" s="60"/>
      <c r="VIQ2462" s="60"/>
      <c r="VIR2462" s="60"/>
      <c r="VIS2462" s="63"/>
      <c r="VIT2462" s="61"/>
      <c r="VIU2462" s="54"/>
      <c r="VIV2462" s="54"/>
      <c r="VIW2462" s="63"/>
      <c r="VIX2462" s="60"/>
      <c r="VIY2462" s="60"/>
      <c r="VIZ2462" s="60"/>
      <c r="VJA2462" s="63"/>
      <c r="VJB2462" s="61"/>
      <c r="VJC2462" s="54"/>
      <c r="VJD2462" s="54"/>
      <c r="VJE2462" s="63"/>
      <c r="VJF2462" s="60"/>
      <c r="VJG2462" s="60"/>
      <c r="VJH2462" s="60"/>
      <c r="VJI2462" s="63"/>
      <c r="VJJ2462" s="61"/>
      <c r="VJK2462" s="54"/>
      <c r="VJL2462" s="54"/>
      <c r="VJM2462" s="63"/>
      <c r="VJN2462" s="60"/>
      <c r="VJO2462" s="60"/>
      <c r="VJP2462" s="60"/>
      <c r="VJQ2462" s="63"/>
      <c r="VJR2462" s="61"/>
      <c r="VJS2462" s="54"/>
      <c r="VJT2462" s="54"/>
      <c r="VJU2462" s="63"/>
      <c r="VJV2462" s="60"/>
      <c r="VJW2462" s="60"/>
      <c r="VJX2462" s="60"/>
      <c r="VJY2462" s="63"/>
      <c r="VJZ2462" s="61"/>
      <c r="VKA2462" s="54"/>
      <c r="VKB2462" s="54"/>
      <c r="VKC2462" s="63"/>
      <c r="VKD2462" s="60"/>
      <c r="VKE2462" s="60"/>
      <c r="VKF2462" s="60"/>
      <c r="VKG2462" s="63"/>
      <c r="VKH2462" s="61"/>
      <c r="VKI2462" s="54"/>
      <c r="VKJ2462" s="54"/>
      <c r="VKK2462" s="63"/>
      <c r="VKL2462" s="60"/>
      <c r="VKM2462" s="60"/>
      <c r="VKN2462" s="60"/>
      <c r="VKO2462" s="63"/>
      <c r="VKP2462" s="61"/>
      <c r="VKQ2462" s="54"/>
      <c r="VKR2462" s="54"/>
      <c r="VKS2462" s="63"/>
      <c r="VKT2462" s="60"/>
      <c r="VKU2462" s="60"/>
      <c r="VKV2462" s="60"/>
      <c r="VKW2462" s="63"/>
      <c r="VKX2462" s="61"/>
      <c r="VKY2462" s="54"/>
      <c r="VKZ2462" s="54"/>
      <c r="VLA2462" s="63"/>
      <c r="VLB2462" s="60"/>
      <c r="VLC2462" s="60"/>
      <c r="VLD2462" s="60"/>
      <c r="VLE2462" s="63"/>
      <c r="VLF2462" s="61"/>
      <c r="VLG2462" s="54"/>
      <c r="VLH2462" s="54"/>
      <c r="VLI2462" s="63"/>
      <c r="VLJ2462" s="60"/>
      <c r="VLK2462" s="60"/>
      <c r="VLL2462" s="60"/>
      <c r="VLM2462" s="63"/>
      <c r="VLN2462" s="61"/>
      <c r="VLO2462" s="54"/>
      <c r="VLP2462" s="54"/>
      <c r="VLQ2462" s="63"/>
      <c r="VLR2462" s="60"/>
      <c r="VLS2462" s="60"/>
      <c r="VLT2462" s="60"/>
      <c r="VLU2462" s="63"/>
      <c r="VLV2462" s="61"/>
      <c r="VLW2462" s="54"/>
      <c r="VLX2462" s="54"/>
      <c r="VLY2462" s="63"/>
      <c r="VLZ2462" s="60"/>
      <c r="VMA2462" s="60"/>
      <c r="VMB2462" s="60"/>
      <c r="VMC2462" s="63"/>
      <c r="VMD2462" s="61"/>
      <c r="VME2462" s="54"/>
      <c r="VMF2462" s="54"/>
      <c r="VMG2462" s="63"/>
      <c r="VMH2462" s="60"/>
      <c r="VMI2462" s="60"/>
      <c r="VMJ2462" s="60"/>
      <c r="VMK2462" s="63"/>
      <c r="VML2462" s="61"/>
      <c r="VMM2462" s="54"/>
      <c r="VMN2462" s="54"/>
      <c r="VMO2462" s="63"/>
      <c r="VMP2462" s="60"/>
      <c r="VMQ2462" s="60"/>
      <c r="VMR2462" s="60"/>
      <c r="VMS2462" s="63"/>
      <c r="VMT2462" s="61"/>
      <c r="VMU2462" s="54"/>
      <c r="VMV2462" s="54"/>
      <c r="VMW2462" s="63"/>
      <c r="VMX2462" s="60"/>
      <c r="VMY2462" s="60"/>
      <c r="VMZ2462" s="60"/>
      <c r="VNA2462" s="63"/>
      <c r="VNB2462" s="61"/>
      <c r="VNC2462" s="54"/>
      <c r="VND2462" s="54"/>
      <c r="VNE2462" s="63"/>
      <c r="VNF2462" s="60"/>
      <c r="VNG2462" s="60"/>
      <c r="VNH2462" s="60"/>
      <c r="VNI2462" s="63"/>
      <c r="VNJ2462" s="61"/>
      <c r="VNK2462" s="54"/>
      <c r="VNL2462" s="54"/>
      <c r="VNM2462" s="63"/>
      <c r="VNN2462" s="60"/>
      <c r="VNO2462" s="60"/>
      <c r="VNP2462" s="60"/>
      <c r="VNQ2462" s="63"/>
      <c r="VNR2462" s="61"/>
      <c r="VNS2462" s="54"/>
      <c r="VNT2462" s="54"/>
      <c r="VNU2462" s="63"/>
      <c r="VNV2462" s="60"/>
      <c r="VNW2462" s="60"/>
      <c r="VNX2462" s="60"/>
      <c r="VNY2462" s="63"/>
      <c r="VNZ2462" s="61"/>
      <c r="VOA2462" s="54"/>
      <c r="VOB2462" s="54"/>
      <c r="VOC2462" s="63"/>
      <c r="VOD2462" s="60"/>
      <c r="VOE2462" s="60"/>
      <c r="VOF2462" s="60"/>
      <c r="VOG2462" s="63"/>
      <c r="VOH2462" s="61"/>
      <c r="VOI2462" s="54"/>
      <c r="VOJ2462" s="54"/>
      <c r="VOK2462" s="63"/>
      <c r="VOL2462" s="60"/>
      <c r="VOM2462" s="60"/>
      <c r="VON2462" s="60"/>
      <c r="VOO2462" s="63"/>
      <c r="VOP2462" s="61"/>
      <c r="VOQ2462" s="54"/>
      <c r="VOR2462" s="54"/>
      <c r="VOS2462" s="63"/>
      <c r="VOT2462" s="60"/>
      <c r="VOU2462" s="60"/>
      <c r="VOV2462" s="60"/>
      <c r="VOW2462" s="63"/>
      <c r="VOX2462" s="61"/>
      <c r="VOY2462" s="54"/>
      <c r="VOZ2462" s="54"/>
      <c r="VPA2462" s="63"/>
      <c r="VPB2462" s="60"/>
      <c r="VPC2462" s="60"/>
      <c r="VPD2462" s="60"/>
      <c r="VPE2462" s="63"/>
      <c r="VPF2462" s="61"/>
      <c r="VPG2462" s="54"/>
      <c r="VPH2462" s="54"/>
      <c r="VPI2462" s="63"/>
      <c r="VPJ2462" s="60"/>
      <c r="VPK2462" s="60"/>
      <c r="VPL2462" s="60"/>
      <c r="VPM2462" s="63"/>
      <c r="VPN2462" s="61"/>
      <c r="VPO2462" s="54"/>
      <c r="VPP2462" s="54"/>
      <c r="VPQ2462" s="63"/>
      <c r="VPR2462" s="60"/>
      <c r="VPS2462" s="60"/>
      <c r="VPT2462" s="60"/>
      <c r="VPU2462" s="63"/>
      <c r="VPV2462" s="61"/>
      <c r="VPW2462" s="54"/>
      <c r="VPX2462" s="54"/>
      <c r="VPY2462" s="63"/>
      <c r="VPZ2462" s="60"/>
      <c r="VQA2462" s="60"/>
      <c r="VQB2462" s="60"/>
      <c r="VQC2462" s="63"/>
      <c r="VQD2462" s="61"/>
      <c r="VQE2462" s="54"/>
      <c r="VQF2462" s="54"/>
      <c r="VQG2462" s="63"/>
      <c r="VQH2462" s="60"/>
      <c r="VQI2462" s="60"/>
      <c r="VQJ2462" s="60"/>
      <c r="VQK2462" s="63"/>
      <c r="VQL2462" s="61"/>
      <c r="VQM2462" s="54"/>
      <c r="VQN2462" s="54"/>
      <c r="VQO2462" s="63"/>
      <c r="VQP2462" s="60"/>
      <c r="VQQ2462" s="60"/>
      <c r="VQR2462" s="60"/>
      <c r="VQS2462" s="63"/>
      <c r="VQT2462" s="61"/>
      <c r="VQU2462" s="54"/>
      <c r="VQV2462" s="54"/>
      <c r="VQW2462" s="63"/>
      <c r="VQX2462" s="60"/>
      <c r="VQY2462" s="60"/>
      <c r="VQZ2462" s="60"/>
      <c r="VRA2462" s="63"/>
      <c r="VRB2462" s="61"/>
      <c r="VRC2462" s="54"/>
      <c r="VRD2462" s="54"/>
      <c r="VRE2462" s="63"/>
      <c r="VRF2462" s="60"/>
      <c r="VRG2462" s="60"/>
      <c r="VRH2462" s="60"/>
      <c r="VRI2462" s="63"/>
      <c r="VRJ2462" s="61"/>
      <c r="VRK2462" s="54"/>
      <c r="VRL2462" s="54"/>
      <c r="VRM2462" s="63"/>
      <c r="VRN2462" s="60"/>
      <c r="VRO2462" s="60"/>
      <c r="VRP2462" s="60"/>
      <c r="VRQ2462" s="63"/>
      <c r="VRR2462" s="61"/>
      <c r="VRS2462" s="54"/>
      <c r="VRT2462" s="54"/>
      <c r="VRU2462" s="63"/>
      <c r="VRV2462" s="60"/>
      <c r="VRW2462" s="60"/>
      <c r="VRX2462" s="60"/>
      <c r="VRY2462" s="63"/>
      <c r="VRZ2462" s="61"/>
      <c r="VSA2462" s="54"/>
      <c r="VSB2462" s="54"/>
      <c r="VSC2462" s="63"/>
      <c r="VSD2462" s="60"/>
      <c r="VSE2462" s="60"/>
      <c r="VSF2462" s="60"/>
      <c r="VSG2462" s="63"/>
      <c r="VSH2462" s="61"/>
      <c r="VSI2462" s="54"/>
      <c r="VSJ2462" s="54"/>
      <c r="VSK2462" s="63"/>
      <c r="VSL2462" s="60"/>
      <c r="VSM2462" s="60"/>
      <c r="VSN2462" s="60"/>
      <c r="VSO2462" s="63"/>
      <c r="VSP2462" s="61"/>
      <c r="VSQ2462" s="54"/>
      <c r="VSR2462" s="54"/>
      <c r="VSS2462" s="63"/>
      <c r="VST2462" s="60"/>
      <c r="VSU2462" s="60"/>
      <c r="VSV2462" s="60"/>
      <c r="VSW2462" s="63"/>
      <c r="VSX2462" s="61"/>
      <c r="VSY2462" s="54"/>
      <c r="VSZ2462" s="54"/>
      <c r="VTA2462" s="63"/>
      <c r="VTB2462" s="60"/>
      <c r="VTC2462" s="60"/>
      <c r="VTD2462" s="60"/>
      <c r="VTE2462" s="63"/>
      <c r="VTF2462" s="61"/>
      <c r="VTG2462" s="54"/>
      <c r="VTH2462" s="54"/>
      <c r="VTI2462" s="63"/>
      <c r="VTJ2462" s="60"/>
      <c r="VTK2462" s="60"/>
      <c r="VTL2462" s="60"/>
      <c r="VTM2462" s="63"/>
      <c r="VTN2462" s="61"/>
      <c r="VTO2462" s="54"/>
      <c r="VTP2462" s="54"/>
      <c r="VTQ2462" s="63"/>
      <c r="VTR2462" s="60"/>
      <c r="VTS2462" s="60"/>
      <c r="VTT2462" s="60"/>
      <c r="VTU2462" s="63"/>
      <c r="VTV2462" s="61"/>
      <c r="VTW2462" s="54"/>
      <c r="VTX2462" s="54"/>
      <c r="VTY2462" s="63"/>
      <c r="VTZ2462" s="60"/>
      <c r="VUA2462" s="60"/>
      <c r="VUB2462" s="60"/>
      <c r="VUC2462" s="63"/>
      <c r="VUD2462" s="61"/>
      <c r="VUE2462" s="54"/>
      <c r="VUF2462" s="54"/>
      <c r="VUG2462" s="63"/>
      <c r="VUH2462" s="60"/>
      <c r="VUI2462" s="60"/>
      <c r="VUJ2462" s="60"/>
      <c r="VUK2462" s="63"/>
      <c r="VUL2462" s="61"/>
      <c r="VUM2462" s="54"/>
      <c r="VUN2462" s="54"/>
      <c r="VUO2462" s="63"/>
      <c r="VUP2462" s="60"/>
      <c r="VUQ2462" s="60"/>
      <c r="VUR2462" s="60"/>
      <c r="VUS2462" s="63"/>
      <c r="VUT2462" s="61"/>
      <c r="VUU2462" s="54"/>
      <c r="VUV2462" s="54"/>
      <c r="VUW2462" s="63"/>
      <c r="VUX2462" s="60"/>
      <c r="VUY2462" s="60"/>
      <c r="VUZ2462" s="60"/>
      <c r="VVA2462" s="63"/>
      <c r="VVB2462" s="61"/>
      <c r="VVC2462" s="54"/>
      <c r="VVD2462" s="54"/>
      <c r="VVE2462" s="63"/>
      <c r="VVF2462" s="60"/>
      <c r="VVG2462" s="60"/>
      <c r="VVH2462" s="60"/>
      <c r="VVI2462" s="63"/>
      <c r="VVJ2462" s="61"/>
      <c r="VVK2462" s="54"/>
      <c r="VVL2462" s="54"/>
      <c r="VVM2462" s="63"/>
      <c r="VVN2462" s="60"/>
      <c r="VVO2462" s="60"/>
      <c r="VVP2462" s="60"/>
      <c r="VVQ2462" s="63"/>
      <c r="VVR2462" s="61"/>
      <c r="VVS2462" s="54"/>
      <c r="VVT2462" s="54"/>
      <c r="VVU2462" s="63"/>
      <c r="VVV2462" s="60"/>
      <c r="VVW2462" s="60"/>
      <c r="VVX2462" s="60"/>
      <c r="VVY2462" s="63"/>
      <c r="VVZ2462" s="61"/>
      <c r="VWA2462" s="54"/>
      <c r="VWB2462" s="54"/>
      <c r="VWC2462" s="63"/>
      <c r="VWD2462" s="60"/>
      <c r="VWE2462" s="60"/>
      <c r="VWF2462" s="60"/>
      <c r="VWG2462" s="63"/>
      <c r="VWH2462" s="61"/>
      <c r="VWI2462" s="54"/>
      <c r="VWJ2462" s="54"/>
      <c r="VWK2462" s="63"/>
      <c r="VWL2462" s="60"/>
      <c r="VWM2462" s="60"/>
      <c r="VWN2462" s="60"/>
      <c r="VWO2462" s="63"/>
      <c r="VWP2462" s="61"/>
      <c r="VWQ2462" s="54"/>
      <c r="VWR2462" s="54"/>
      <c r="VWS2462" s="63"/>
      <c r="VWT2462" s="60"/>
      <c r="VWU2462" s="60"/>
      <c r="VWV2462" s="60"/>
      <c r="VWW2462" s="63"/>
      <c r="VWX2462" s="61"/>
      <c r="VWY2462" s="54"/>
      <c r="VWZ2462" s="54"/>
      <c r="VXA2462" s="63"/>
      <c r="VXB2462" s="60"/>
      <c r="VXC2462" s="60"/>
      <c r="VXD2462" s="60"/>
      <c r="VXE2462" s="63"/>
      <c r="VXF2462" s="61"/>
      <c r="VXG2462" s="54"/>
      <c r="VXH2462" s="54"/>
      <c r="VXI2462" s="63"/>
      <c r="VXJ2462" s="60"/>
      <c r="VXK2462" s="60"/>
      <c r="VXL2462" s="60"/>
      <c r="VXM2462" s="63"/>
      <c r="VXN2462" s="61"/>
      <c r="VXO2462" s="54"/>
      <c r="VXP2462" s="54"/>
      <c r="VXQ2462" s="63"/>
      <c r="VXR2462" s="60"/>
      <c r="VXS2462" s="60"/>
      <c r="VXT2462" s="60"/>
      <c r="VXU2462" s="63"/>
      <c r="VXV2462" s="61"/>
      <c r="VXW2462" s="54"/>
      <c r="VXX2462" s="54"/>
      <c r="VXY2462" s="63"/>
      <c r="VXZ2462" s="60"/>
      <c r="VYA2462" s="60"/>
      <c r="VYB2462" s="60"/>
      <c r="VYC2462" s="63"/>
      <c r="VYD2462" s="61"/>
      <c r="VYE2462" s="54"/>
      <c r="VYF2462" s="54"/>
      <c r="VYG2462" s="63"/>
      <c r="VYH2462" s="60"/>
      <c r="VYI2462" s="60"/>
      <c r="VYJ2462" s="60"/>
      <c r="VYK2462" s="63"/>
      <c r="VYL2462" s="61"/>
      <c r="VYM2462" s="54"/>
      <c r="VYN2462" s="54"/>
      <c r="VYO2462" s="63"/>
      <c r="VYP2462" s="60"/>
      <c r="VYQ2462" s="60"/>
      <c r="VYR2462" s="60"/>
      <c r="VYS2462" s="63"/>
      <c r="VYT2462" s="61"/>
      <c r="VYU2462" s="54"/>
      <c r="VYV2462" s="54"/>
      <c r="VYW2462" s="63"/>
      <c r="VYX2462" s="60"/>
      <c r="VYY2462" s="60"/>
      <c r="VYZ2462" s="60"/>
      <c r="VZA2462" s="63"/>
      <c r="VZB2462" s="61"/>
      <c r="VZC2462" s="54"/>
      <c r="VZD2462" s="54"/>
      <c r="VZE2462" s="63"/>
      <c r="VZF2462" s="60"/>
      <c r="VZG2462" s="60"/>
      <c r="VZH2462" s="60"/>
      <c r="VZI2462" s="63"/>
      <c r="VZJ2462" s="61"/>
      <c r="VZK2462" s="54"/>
      <c r="VZL2462" s="54"/>
      <c r="VZM2462" s="63"/>
      <c r="VZN2462" s="60"/>
      <c r="VZO2462" s="60"/>
      <c r="VZP2462" s="60"/>
      <c r="VZQ2462" s="63"/>
      <c r="VZR2462" s="61"/>
      <c r="VZS2462" s="54"/>
      <c r="VZT2462" s="54"/>
      <c r="VZU2462" s="63"/>
      <c r="VZV2462" s="60"/>
      <c r="VZW2462" s="60"/>
      <c r="VZX2462" s="60"/>
      <c r="VZY2462" s="63"/>
      <c r="VZZ2462" s="61"/>
      <c r="WAA2462" s="54"/>
      <c r="WAB2462" s="54"/>
      <c r="WAC2462" s="63"/>
      <c r="WAD2462" s="60"/>
      <c r="WAE2462" s="60"/>
      <c r="WAF2462" s="60"/>
      <c r="WAG2462" s="63"/>
      <c r="WAH2462" s="61"/>
      <c r="WAI2462" s="54"/>
      <c r="WAJ2462" s="54"/>
      <c r="WAK2462" s="63"/>
      <c r="WAL2462" s="60"/>
      <c r="WAM2462" s="60"/>
      <c r="WAN2462" s="60"/>
      <c r="WAO2462" s="63"/>
      <c r="WAP2462" s="61"/>
      <c r="WAQ2462" s="54"/>
      <c r="WAR2462" s="54"/>
      <c r="WAS2462" s="63"/>
      <c r="WAT2462" s="60"/>
      <c r="WAU2462" s="60"/>
      <c r="WAV2462" s="60"/>
      <c r="WAW2462" s="63"/>
      <c r="WAX2462" s="61"/>
      <c r="WAY2462" s="54"/>
      <c r="WAZ2462" s="54"/>
      <c r="WBA2462" s="63"/>
      <c r="WBB2462" s="60"/>
      <c r="WBC2462" s="60"/>
      <c r="WBD2462" s="60"/>
      <c r="WBE2462" s="63"/>
      <c r="WBF2462" s="61"/>
      <c r="WBG2462" s="54"/>
      <c r="WBH2462" s="54"/>
      <c r="WBI2462" s="63"/>
      <c r="WBJ2462" s="60"/>
      <c r="WBK2462" s="60"/>
      <c r="WBL2462" s="60"/>
      <c r="WBM2462" s="63"/>
      <c r="WBN2462" s="61"/>
      <c r="WBO2462" s="54"/>
      <c r="WBP2462" s="54"/>
      <c r="WBQ2462" s="63"/>
      <c r="WBR2462" s="60"/>
      <c r="WBS2462" s="60"/>
      <c r="WBT2462" s="60"/>
      <c r="WBU2462" s="63"/>
      <c r="WBV2462" s="61"/>
      <c r="WBW2462" s="54"/>
      <c r="WBX2462" s="54"/>
      <c r="WBY2462" s="63"/>
      <c r="WBZ2462" s="60"/>
      <c r="WCA2462" s="60"/>
      <c r="WCB2462" s="60"/>
      <c r="WCC2462" s="63"/>
      <c r="WCD2462" s="61"/>
      <c r="WCE2462" s="54"/>
      <c r="WCF2462" s="54"/>
      <c r="WCG2462" s="63"/>
      <c r="WCH2462" s="60"/>
      <c r="WCI2462" s="60"/>
      <c r="WCJ2462" s="60"/>
      <c r="WCK2462" s="63"/>
      <c r="WCL2462" s="61"/>
      <c r="WCM2462" s="54"/>
      <c r="WCN2462" s="54"/>
      <c r="WCO2462" s="63"/>
      <c r="WCP2462" s="60"/>
      <c r="WCQ2462" s="60"/>
      <c r="WCR2462" s="60"/>
      <c r="WCS2462" s="63"/>
      <c r="WCT2462" s="61"/>
      <c r="WCU2462" s="54"/>
      <c r="WCV2462" s="54"/>
      <c r="WCW2462" s="63"/>
      <c r="WCX2462" s="60"/>
      <c r="WCY2462" s="60"/>
      <c r="WCZ2462" s="60"/>
      <c r="WDA2462" s="63"/>
      <c r="WDB2462" s="61"/>
      <c r="WDC2462" s="54"/>
      <c r="WDD2462" s="54"/>
      <c r="WDE2462" s="63"/>
      <c r="WDF2462" s="60"/>
      <c r="WDG2462" s="60"/>
      <c r="WDH2462" s="60"/>
      <c r="WDI2462" s="63"/>
      <c r="WDJ2462" s="61"/>
      <c r="WDK2462" s="54"/>
      <c r="WDL2462" s="54"/>
      <c r="WDM2462" s="63"/>
      <c r="WDN2462" s="60"/>
      <c r="WDO2462" s="60"/>
      <c r="WDP2462" s="60"/>
      <c r="WDQ2462" s="63"/>
      <c r="WDR2462" s="61"/>
      <c r="WDS2462" s="54"/>
      <c r="WDT2462" s="54"/>
      <c r="WDU2462" s="63"/>
      <c r="WDV2462" s="60"/>
      <c r="WDW2462" s="60"/>
      <c r="WDX2462" s="60"/>
      <c r="WDY2462" s="63"/>
      <c r="WDZ2462" s="61"/>
      <c r="WEA2462" s="54"/>
      <c r="WEB2462" s="54"/>
      <c r="WEC2462" s="63"/>
      <c r="WED2462" s="60"/>
      <c r="WEE2462" s="60"/>
      <c r="WEF2462" s="60"/>
      <c r="WEG2462" s="63"/>
      <c r="WEH2462" s="61"/>
      <c r="WEI2462" s="54"/>
      <c r="WEJ2462" s="54"/>
      <c r="WEK2462" s="63"/>
      <c r="WEL2462" s="60"/>
      <c r="WEM2462" s="60"/>
      <c r="WEN2462" s="60"/>
      <c r="WEO2462" s="63"/>
      <c r="WEP2462" s="61"/>
      <c r="WEQ2462" s="54"/>
      <c r="WER2462" s="54"/>
      <c r="WES2462" s="63"/>
      <c r="WET2462" s="60"/>
      <c r="WEU2462" s="60"/>
      <c r="WEV2462" s="60"/>
      <c r="WEW2462" s="63"/>
      <c r="WEX2462" s="61"/>
      <c r="WEY2462" s="54"/>
      <c r="WEZ2462" s="54"/>
      <c r="WFA2462" s="63"/>
      <c r="WFB2462" s="60"/>
      <c r="WFC2462" s="60"/>
      <c r="WFD2462" s="60"/>
      <c r="WFE2462" s="63"/>
      <c r="WFF2462" s="61"/>
      <c r="WFG2462" s="54"/>
      <c r="WFH2462" s="54"/>
      <c r="WFI2462" s="63"/>
      <c r="WFJ2462" s="60"/>
      <c r="WFK2462" s="60"/>
      <c r="WFL2462" s="60"/>
      <c r="WFM2462" s="63"/>
      <c r="WFN2462" s="61"/>
      <c r="WFO2462" s="54"/>
      <c r="WFP2462" s="54"/>
      <c r="WFQ2462" s="63"/>
      <c r="WFR2462" s="60"/>
      <c r="WFS2462" s="60"/>
      <c r="WFT2462" s="60"/>
      <c r="WFU2462" s="63"/>
      <c r="WFV2462" s="61"/>
      <c r="WFW2462" s="54"/>
      <c r="WFX2462" s="54"/>
      <c r="WFY2462" s="63"/>
      <c r="WFZ2462" s="60"/>
      <c r="WGA2462" s="60"/>
      <c r="WGB2462" s="60"/>
      <c r="WGC2462" s="63"/>
      <c r="WGD2462" s="61"/>
      <c r="WGE2462" s="54"/>
      <c r="WGF2462" s="54"/>
      <c r="WGG2462" s="63"/>
      <c r="WGH2462" s="60"/>
      <c r="WGI2462" s="60"/>
      <c r="WGJ2462" s="60"/>
      <c r="WGK2462" s="63"/>
      <c r="WGL2462" s="61"/>
      <c r="WGM2462" s="54"/>
      <c r="WGN2462" s="54"/>
      <c r="WGO2462" s="63"/>
      <c r="WGP2462" s="60"/>
      <c r="WGQ2462" s="60"/>
      <c r="WGR2462" s="60"/>
      <c r="WGS2462" s="63"/>
      <c r="WGT2462" s="61"/>
      <c r="WGU2462" s="54"/>
      <c r="WGV2462" s="54"/>
      <c r="WGW2462" s="63"/>
      <c r="WGX2462" s="60"/>
      <c r="WGY2462" s="60"/>
      <c r="WGZ2462" s="60"/>
      <c r="WHA2462" s="63"/>
      <c r="WHB2462" s="61"/>
      <c r="WHC2462" s="54"/>
      <c r="WHD2462" s="54"/>
      <c r="WHE2462" s="63"/>
      <c r="WHF2462" s="60"/>
      <c r="WHG2462" s="60"/>
      <c r="WHH2462" s="60"/>
      <c r="WHI2462" s="63"/>
      <c r="WHJ2462" s="61"/>
      <c r="WHK2462" s="54"/>
      <c r="WHL2462" s="54"/>
      <c r="WHM2462" s="63"/>
      <c r="WHN2462" s="60"/>
      <c r="WHO2462" s="60"/>
      <c r="WHP2462" s="60"/>
      <c r="WHQ2462" s="63"/>
      <c r="WHR2462" s="61"/>
      <c r="WHS2462" s="54"/>
      <c r="WHT2462" s="54"/>
      <c r="WHU2462" s="63"/>
      <c r="WHV2462" s="60"/>
      <c r="WHW2462" s="60"/>
      <c r="WHX2462" s="60"/>
      <c r="WHY2462" s="63"/>
      <c r="WHZ2462" s="61"/>
      <c r="WIA2462" s="54"/>
      <c r="WIB2462" s="54"/>
      <c r="WIC2462" s="63"/>
      <c r="WID2462" s="60"/>
      <c r="WIE2462" s="60"/>
      <c r="WIF2462" s="60"/>
      <c r="WIG2462" s="63"/>
      <c r="WIH2462" s="61"/>
      <c r="WII2462" s="54"/>
      <c r="WIJ2462" s="54"/>
      <c r="WIK2462" s="63"/>
      <c r="WIL2462" s="60"/>
      <c r="WIM2462" s="60"/>
      <c r="WIN2462" s="60"/>
      <c r="WIO2462" s="63"/>
      <c r="WIP2462" s="61"/>
      <c r="WIQ2462" s="54"/>
      <c r="WIR2462" s="54"/>
      <c r="WIS2462" s="63"/>
      <c r="WIT2462" s="60"/>
      <c r="WIU2462" s="60"/>
      <c r="WIV2462" s="60"/>
      <c r="WIW2462" s="63"/>
      <c r="WIX2462" s="61"/>
      <c r="WIY2462" s="54"/>
      <c r="WIZ2462" s="54"/>
      <c r="WJA2462" s="63"/>
      <c r="WJB2462" s="60"/>
      <c r="WJC2462" s="60"/>
      <c r="WJD2462" s="60"/>
      <c r="WJE2462" s="63"/>
      <c r="WJF2462" s="61"/>
      <c r="WJG2462" s="54"/>
      <c r="WJH2462" s="54"/>
      <c r="WJI2462" s="63"/>
      <c r="WJJ2462" s="60"/>
      <c r="WJK2462" s="60"/>
      <c r="WJL2462" s="60"/>
      <c r="WJM2462" s="63"/>
      <c r="WJN2462" s="61"/>
      <c r="WJO2462" s="54"/>
      <c r="WJP2462" s="54"/>
      <c r="WJQ2462" s="63"/>
      <c r="WJR2462" s="60"/>
      <c r="WJS2462" s="60"/>
      <c r="WJT2462" s="60"/>
      <c r="WJU2462" s="63"/>
      <c r="WJV2462" s="61"/>
      <c r="WJW2462" s="54"/>
      <c r="WJX2462" s="54"/>
      <c r="WJY2462" s="63"/>
      <c r="WJZ2462" s="60"/>
      <c r="WKA2462" s="60"/>
      <c r="WKB2462" s="60"/>
      <c r="WKC2462" s="63"/>
      <c r="WKD2462" s="61"/>
      <c r="WKE2462" s="54"/>
      <c r="WKF2462" s="54"/>
      <c r="WKG2462" s="63"/>
      <c r="WKH2462" s="60"/>
      <c r="WKI2462" s="60"/>
      <c r="WKJ2462" s="60"/>
      <c r="WKK2462" s="63"/>
      <c r="WKL2462" s="61"/>
      <c r="WKM2462" s="54"/>
      <c r="WKN2462" s="54"/>
      <c r="WKO2462" s="63"/>
      <c r="WKP2462" s="60"/>
      <c r="WKQ2462" s="60"/>
      <c r="WKR2462" s="60"/>
      <c r="WKS2462" s="63"/>
      <c r="WKT2462" s="61"/>
      <c r="WKU2462" s="54"/>
      <c r="WKV2462" s="54"/>
      <c r="WKW2462" s="63"/>
      <c r="WKX2462" s="60"/>
      <c r="WKY2462" s="60"/>
      <c r="WKZ2462" s="60"/>
      <c r="WLA2462" s="63"/>
      <c r="WLB2462" s="61"/>
      <c r="WLC2462" s="54"/>
      <c r="WLD2462" s="54"/>
      <c r="WLE2462" s="63"/>
      <c r="WLF2462" s="60"/>
      <c r="WLG2462" s="60"/>
      <c r="WLH2462" s="60"/>
      <c r="WLI2462" s="63"/>
      <c r="WLJ2462" s="61"/>
      <c r="WLK2462" s="54"/>
      <c r="WLL2462" s="54"/>
      <c r="WLM2462" s="63"/>
      <c r="WLN2462" s="60"/>
      <c r="WLO2462" s="60"/>
      <c r="WLP2462" s="60"/>
      <c r="WLQ2462" s="63"/>
      <c r="WLR2462" s="61"/>
      <c r="WLS2462" s="54"/>
      <c r="WLT2462" s="54"/>
      <c r="WLU2462" s="63"/>
      <c r="WLV2462" s="60"/>
      <c r="WLW2462" s="60"/>
      <c r="WLX2462" s="60"/>
      <c r="WLY2462" s="63"/>
      <c r="WLZ2462" s="61"/>
      <c r="WMA2462" s="54"/>
      <c r="WMB2462" s="54"/>
      <c r="WMC2462" s="63"/>
      <c r="WMD2462" s="60"/>
      <c r="WME2462" s="60"/>
      <c r="WMF2462" s="60"/>
      <c r="WMG2462" s="63"/>
      <c r="WMH2462" s="61"/>
      <c r="WMI2462" s="54"/>
      <c r="WMJ2462" s="54"/>
      <c r="WMK2462" s="63"/>
      <c r="WML2462" s="60"/>
      <c r="WMM2462" s="60"/>
      <c r="WMN2462" s="60"/>
      <c r="WMO2462" s="63"/>
      <c r="WMP2462" s="61"/>
      <c r="WMQ2462" s="54"/>
      <c r="WMR2462" s="54"/>
      <c r="WMS2462" s="63"/>
      <c r="WMT2462" s="60"/>
      <c r="WMU2462" s="60"/>
      <c r="WMV2462" s="60"/>
      <c r="WMW2462" s="63"/>
      <c r="WMX2462" s="61"/>
      <c r="WMY2462" s="54"/>
      <c r="WMZ2462" s="54"/>
      <c r="WNA2462" s="63"/>
      <c r="WNB2462" s="60"/>
      <c r="WNC2462" s="60"/>
      <c r="WND2462" s="60"/>
      <c r="WNE2462" s="63"/>
      <c r="WNF2462" s="61"/>
      <c r="WNG2462" s="54"/>
      <c r="WNH2462" s="54"/>
      <c r="WNI2462" s="63"/>
      <c r="WNJ2462" s="60"/>
      <c r="WNK2462" s="60"/>
      <c r="WNL2462" s="60"/>
      <c r="WNM2462" s="63"/>
      <c r="WNN2462" s="61"/>
      <c r="WNO2462" s="54"/>
      <c r="WNP2462" s="54"/>
      <c r="WNQ2462" s="63"/>
      <c r="WNR2462" s="60"/>
      <c r="WNS2462" s="60"/>
      <c r="WNT2462" s="60"/>
      <c r="WNU2462" s="63"/>
      <c r="WNV2462" s="61"/>
      <c r="WNW2462" s="54"/>
      <c r="WNX2462" s="54"/>
      <c r="WNY2462" s="63"/>
      <c r="WNZ2462" s="60"/>
      <c r="WOA2462" s="60"/>
      <c r="WOB2462" s="60"/>
      <c r="WOC2462" s="63"/>
      <c r="WOD2462" s="61"/>
      <c r="WOE2462" s="54"/>
      <c r="WOF2462" s="54"/>
      <c r="WOG2462" s="63"/>
      <c r="WOH2462" s="60"/>
      <c r="WOI2462" s="60"/>
      <c r="WOJ2462" s="60"/>
      <c r="WOK2462" s="63"/>
      <c r="WOL2462" s="61"/>
      <c r="WOM2462" s="54"/>
      <c r="WON2462" s="54"/>
      <c r="WOO2462" s="63"/>
      <c r="WOP2462" s="60"/>
      <c r="WOQ2462" s="60"/>
      <c r="WOR2462" s="60"/>
      <c r="WOS2462" s="63"/>
      <c r="WOT2462" s="61"/>
      <c r="WOU2462" s="54"/>
      <c r="WOV2462" s="54"/>
      <c r="WOW2462" s="63"/>
      <c r="WOX2462" s="60"/>
      <c r="WOY2462" s="60"/>
      <c r="WOZ2462" s="60"/>
      <c r="WPA2462" s="63"/>
      <c r="WPB2462" s="61"/>
      <c r="WPC2462" s="54"/>
      <c r="WPD2462" s="54"/>
      <c r="WPE2462" s="63"/>
      <c r="WPF2462" s="60"/>
      <c r="WPG2462" s="60"/>
      <c r="WPH2462" s="60"/>
      <c r="WPI2462" s="63"/>
      <c r="WPJ2462" s="61"/>
      <c r="WPK2462" s="54"/>
      <c r="WPL2462" s="54"/>
      <c r="WPM2462" s="63"/>
      <c r="WPN2462" s="60"/>
      <c r="WPO2462" s="60"/>
      <c r="WPP2462" s="60"/>
      <c r="WPQ2462" s="63"/>
      <c r="WPR2462" s="61"/>
      <c r="WPS2462" s="54"/>
      <c r="WPT2462" s="54"/>
      <c r="WPU2462" s="63"/>
      <c r="WPV2462" s="60"/>
      <c r="WPW2462" s="60"/>
      <c r="WPX2462" s="60"/>
      <c r="WPY2462" s="63"/>
      <c r="WPZ2462" s="61"/>
      <c r="WQA2462" s="54"/>
      <c r="WQB2462" s="54"/>
      <c r="WQC2462" s="63"/>
      <c r="WQD2462" s="60"/>
      <c r="WQE2462" s="60"/>
      <c r="WQF2462" s="60"/>
      <c r="WQG2462" s="63"/>
      <c r="WQH2462" s="61"/>
      <c r="WQI2462" s="54"/>
      <c r="WQJ2462" s="54"/>
      <c r="WQK2462" s="63"/>
      <c r="WQL2462" s="60"/>
      <c r="WQM2462" s="60"/>
      <c r="WQN2462" s="60"/>
      <c r="WQO2462" s="63"/>
      <c r="WQP2462" s="61"/>
      <c r="WQQ2462" s="54"/>
      <c r="WQR2462" s="54"/>
      <c r="WQS2462" s="63"/>
      <c r="WQT2462" s="60"/>
      <c r="WQU2462" s="60"/>
      <c r="WQV2462" s="60"/>
      <c r="WQW2462" s="63"/>
      <c r="WQX2462" s="61"/>
      <c r="WQY2462" s="54"/>
      <c r="WQZ2462" s="54"/>
      <c r="WRA2462" s="63"/>
      <c r="WRB2462" s="60"/>
      <c r="WRC2462" s="60"/>
      <c r="WRD2462" s="60"/>
      <c r="WRE2462" s="63"/>
      <c r="WRF2462" s="61"/>
      <c r="WRG2462" s="54"/>
      <c r="WRH2462" s="54"/>
      <c r="WRI2462" s="63"/>
      <c r="WRJ2462" s="60"/>
      <c r="WRK2462" s="60"/>
      <c r="WRL2462" s="60"/>
      <c r="WRM2462" s="63"/>
      <c r="WRN2462" s="61"/>
      <c r="WRO2462" s="54"/>
      <c r="WRP2462" s="54"/>
      <c r="WRQ2462" s="63"/>
      <c r="WRR2462" s="60"/>
      <c r="WRS2462" s="60"/>
      <c r="WRT2462" s="60"/>
      <c r="WRU2462" s="63"/>
      <c r="WRV2462" s="61"/>
      <c r="WRW2462" s="54"/>
      <c r="WRX2462" s="54"/>
      <c r="WRY2462" s="63"/>
      <c r="WRZ2462" s="60"/>
      <c r="WSA2462" s="60"/>
      <c r="WSB2462" s="60"/>
      <c r="WSC2462" s="63"/>
      <c r="WSD2462" s="61"/>
      <c r="WSE2462" s="54"/>
      <c r="WSF2462" s="54"/>
      <c r="WSG2462" s="63"/>
      <c r="WSH2462" s="60"/>
      <c r="WSI2462" s="60"/>
      <c r="WSJ2462" s="60"/>
      <c r="WSK2462" s="63"/>
      <c r="WSL2462" s="61"/>
      <c r="WSM2462" s="54"/>
      <c r="WSN2462" s="54"/>
      <c r="WSO2462" s="63"/>
      <c r="WSP2462" s="60"/>
      <c r="WSQ2462" s="60"/>
      <c r="WSR2462" s="60"/>
      <c r="WSS2462" s="63"/>
      <c r="WST2462" s="61"/>
      <c r="WSU2462" s="54"/>
      <c r="WSV2462" s="54"/>
      <c r="WSW2462" s="63"/>
      <c r="WSX2462" s="60"/>
      <c r="WSY2462" s="60"/>
      <c r="WSZ2462" s="60"/>
      <c r="WTA2462" s="63"/>
      <c r="WTB2462" s="61"/>
      <c r="WTC2462" s="54"/>
      <c r="WTD2462" s="54"/>
      <c r="WTE2462" s="63"/>
      <c r="WTF2462" s="60"/>
      <c r="WTG2462" s="60"/>
      <c r="WTH2462" s="60"/>
      <c r="WTI2462" s="63"/>
      <c r="WTJ2462" s="61"/>
      <c r="WTK2462" s="54"/>
      <c r="WTL2462" s="54"/>
      <c r="WTM2462" s="63"/>
      <c r="WTN2462" s="60"/>
      <c r="WTO2462" s="60"/>
      <c r="WTP2462" s="60"/>
      <c r="WTQ2462" s="63"/>
      <c r="WTR2462" s="61"/>
      <c r="WTS2462" s="54"/>
      <c r="WTT2462" s="54"/>
      <c r="WTU2462" s="63"/>
      <c r="WTV2462" s="60"/>
      <c r="WTW2462" s="60"/>
      <c r="WTX2462" s="60"/>
      <c r="WTY2462" s="63"/>
      <c r="WTZ2462" s="61"/>
      <c r="WUA2462" s="54"/>
      <c r="WUB2462" s="54"/>
      <c r="WUC2462" s="63"/>
      <c r="WUD2462" s="60"/>
      <c r="WUE2462" s="60"/>
      <c r="WUF2462" s="60"/>
      <c r="WUG2462" s="63"/>
      <c r="WUH2462" s="61"/>
      <c r="WUI2462" s="54"/>
      <c r="WUJ2462" s="54"/>
      <c r="WUK2462" s="63"/>
      <c r="WUL2462" s="60"/>
      <c r="WUM2462" s="60"/>
      <c r="WUN2462" s="60"/>
      <c r="WUO2462" s="63"/>
      <c r="WUP2462" s="61"/>
      <c r="WUQ2462" s="54"/>
      <c r="WUR2462" s="54"/>
      <c r="WUS2462" s="63"/>
      <c r="WUT2462" s="60"/>
      <c r="WUU2462" s="60"/>
      <c r="WUV2462" s="60"/>
      <c r="WUW2462" s="63"/>
      <c r="WUX2462" s="61"/>
      <c r="WUY2462" s="54"/>
      <c r="WUZ2462" s="54"/>
      <c r="WVA2462" s="63"/>
      <c r="WVB2462" s="60"/>
      <c r="WVC2462" s="60"/>
      <c r="WVD2462" s="60"/>
      <c r="WVE2462" s="63"/>
      <c r="WVF2462" s="61"/>
      <c r="WVG2462" s="54"/>
      <c r="WVH2462" s="54"/>
      <c r="WVI2462" s="63"/>
      <c r="WVJ2462" s="60"/>
      <c r="WVK2462" s="60"/>
      <c r="WVL2462" s="60"/>
      <c r="WVM2462" s="63"/>
      <c r="WVN2462" s="61"/>
      <c r="WVO2462" s="54"/>
      <c r="WVP2462" s="54"/>
      <c r="WVQ2462" s="63"/>
      <c r="WVR2462" s="60"/>
      <c r="WVS2462" s="60"/>
      <c r="WVT2462" s="60"/>
      <c r="WVU2462" s="63"/>
      <c r="WVV2462" s="61"/>
      <c r="WVW2462" s="54"/>
      <c r="WVX2462" s="54"/>
      <c r="WVY2462" s="63"/>
      <c r="WVZ2462" s="60"/>
      <c r="WWA2462" s="60"/>
      <c r="WWB2462" s="60"/>
      <c r="WWC2462" s="63"/>
      <c r="WWD2462" s="61"/>
      <c r="WWE2462" s="54"/>
      <c r="WWF2462" s="54"/>
      <c r="WWG2462" s="63"/>
      <c r="WWH2462" s="60"/>
      <c r="WWI2462" s="60"/>
      <c r="WWJ2462" s="60"/>
      <c r="WWK2462" s="63"/>
      <c r="WWL2462" s="61"/>
      <c r="WWM2462" s="54"/>
      <c r="WWN2462" s="54"/>
      <c r="WWO2462" s="63"/>
      <c r="WWP2462" s="60"/>
      <c r="WWQ2462" s="60"/>
      <c r="WWR2462" s="60"/>
      <c r="WWS2462" s="63"/>
      <c r="WWT2462" s="61"/>
      <c r="WWU2462" s="54"/>
      <c r="WWV2462" s="54"/>
      <c r="WWW2462" s="63"/>
      <c r="WWX2462" s="60"/>
      <c r="WWY2462" s="60"/>
      <c r="WWZ2462" s="60"/>
      <c r="WXA2462" s="63"/>
      <c r="WXB2462" s="61"/>
      <c r="WXC2462" s="54"/>
      <c r="WXD2462" s="54"/>
      <c r="WXE2462" s="63"/>
      <c r="WXF2462" s="60"/>
      <c r="WXG2462" s="60"/>
      <c r="WXH2462" s="60"/>
      <c r="WXI2462" s="63"/>
      <c r="WXJ2462" s="61"/>
      <c r="WXK2462" s="54"/>
      <c r="WXL2462" s="54"/>
      <c r="WXM2462" s="63"/>
      <c r="WXN2462" s="60"/>
      <c r="WXO2462" s="60"/>
      <c r="WXP2462" s="60"/>
      <c r="WXQ2462" s="63"/>
      <c r="WXR2462" s="61"/>
      <c r="WXS2462" s="54"/>
      <c r="WXT2462" s="54"/>
      <c r="WXU2462" s="63"/>
      <c r="WXV2462" s="60"/>
      <c r="WXW2462" s="60"/>
      <c r="WXX2462" s="60"/>
      <c r="WXY2462" s="63"/>
      <c r="WXZ2462" s="61"/>
      <c r="WYA2462" s="54"/>
      <c r="WYB2462" s="54"/>
      <c r="WYC2462" s="63"/>
      <c r="WYD2462" s="60"/>
      <c r="WYE2462" s="60"/>
      <c r="WYF2462" s="60"/>
      <c r="WYG2462" s="63"/>
      <c r="WYH2462" s="61"/>
      <c r="WYI2462" s="54"/>
      <c r="WYJ2462" s="54"/>
      <c r="WYK2462" s="63"/>
      <c r="WYL2462" s="60"/>
      <c r="WYM2462" s="60"/>
      <c r="WYN2462" s="60"/>
      <c r="WYO2462" s="63"/>
      <c r="WYP2462" s="61"/>
      <c r="WYQ2462" s="54"/>
      <c r="WYR2462" s="54"/>
      <c r="WYS2462" s="63"/>
      <c r="WYT2462" s="60"/>
      <c r="WYU2462" s="60"/>
      <c r="WYV2462" s="60"/>
      <c r="WYW2462" s="63"/>
      <c r="WYX2462" s="61"/>
      <c r="WYY2462" s="54"/>
      <c r="WYZ2462" s="54"/>
      <c r="WZA2462" s="63"/>
      <c r="WZB2462" s="60"/>
      <c r="WZC2462" s="60"/>
      <c r="WZD2462" s="60"/>
      <c r="WZE2462" s="63"/>
      <c r="WZF2462" s="61"/>
      <c r="WZG2462" s="54"/>
      <c r="WZH2462" s="54"/>
      <c r="WZI2462" s="63"/>
      <c r="WZJ2462" s="60"/>
      <c r="WZK2462" s="60"/>
      <c r="WZL2462" s="60"/>
      <c r="WZM2462" s="63"/>
      <c r="WZN2462" s="61"/>
      <c r="WZO2462" s="54"/>
      <c r="WZP2462" s="54"/>
      <c r="WZQ2462" s="63"/>
      <c r="WZR2462" s="60"/>
      <c r="WZS2462" s="60"/>
      <c r="WZT2462" s="60"/>
      <c r="WZU2462" s="63"/>
      <c r="WZV2462" s="61"/>
      <c r="WZW2462" s="54"/>
      <c r="WZX2462" s="54"/>
      <c r="WZY2462" s="63"/>
      <c r="WZZ2462" s="60"/>
      <c r="XAA2462" s="60"/>
      <c r="XAB2462" s="60"/>
      <c r="XAC2462" s="63"/>
      <c r="XAD2462" s="61"/>
      <c r="XAE2462" s="54"/>
      <c r="XAF2462" s="54"/>
      <c r="XAG2462" s="63"/>
      <c r="XAH2462" s="60"/>
      <c r="XAI2462" s="60"/>
      <c r="XAJ2462" s="60"/>
      <c r="XAK2462" s="63"/>
      <c r="XAL2462" s="61"/>
      <c r="XAM2462" s="54"/>
      <c r="XAN2462" s="54"/>
      <c r="XAO2462" s="63"/>
      <c r="XAP2462" s="60"/>
      <c r="XAQ2462" s="60"/>
      <c r="XAR2462" s="60"/>
      <c r="XAS2462" s="63"/>
      <c r="XAT2462" s="61"/>
      <c r="XAU2462" s="54"/>
      <c r="XAV2462" s="54"/>
      <c r="XAW2462" s="63"/>
      <c r="XAX2462" s="60"/>
      <c r="XAY2462" s="60"/>
      <c r="XAZ2462" s="60"/>
      <c r="XBA2462" s="63"/>
      <c r="XBB2462" s="61"/>
      <c r="XBC2462" s="54"/>
      <c r="XBD2462" s="54"/>
      <c r="XBE2462" s="63"/>
      <c r="XBF2462" s="60"/>
      <c r="XBG2462" s="60"/>
      <c r="XBH2462" s="60"/>
      <c r="XBI2462" s="63"/>
      <c r="XBJ2462" s="61"/>
      <c r="XBK2462" s="54"/>
      <c r="XBL2462" s="54"/>
      <c r="XBM2462" s="63"/>
      <c r="XBN2462" s="60"/>
      <c r="XBO2462" s="60"/>
      <c r="XBP2462" s="60"/>
      <c r="XBQ2462" s="63"/>
      <c r="XBR2462" s="61"/>
      <c r="XBS2462" s="54"/>
      <c r="XBT2462" s="54"/>
      <c r="XBU2462" s="63"/>
      <c r="XBV2462" s="60"/>
      <c r="XBW2462" s="60"/>
      <c r="XBX2462" s="60"/>
      <c r="XBY2462" s="63"/>
      <c r="XBZ2462" s="61"/>
      <c r="XCA2462" s="54"/>
      <c r="XCB2462" s="54"/>
      <c r="XCC2462" s="63"/>
      <c r="XCD2462" s="60"/>
      <c r="XCE2462" s="60"/>
      <c r="XCF2462" s="60"/>
      <c r="XCG2462" s="63"/>
      <c r="XCH2462" s="61"/>
      <c r="XCI2462" s="54"/>
      <c r="XCJ2462" s="54"/>
      <c r="XCK2462" s="63"/>
      <c r="XCL2462" s="60"/>
      <c r="XCM2462" s="60"/>
      <c r="XCN2462" s="60"/>
      <c r="XCO2462" s="63"/>
      <c r="XCP2462" s="61"/>
      <c r="XCQ2462" s="54"/>
      <c r="XCR2462" s="54"/>
      <c r="XCS2462" s="63"/>
      <c r="XCT2462" s="60"/>
      <c r="XCU2462" s="60"/>
      <c r="XCV2462" s="60"/>
      <c r="XCW2462" s="63"/>
      <c r="XCX2462" s="61"/>
      <c r="XCY2462" s="54"/>
      <c r="XCZ2462" s="54"/>
      <c r="XDA2462" s="63"/>
      <c r="XDB2462" s="60"/>
      <c r="XDC2462" s="60"/>
      <c r="XDD2462" s="60"/>
      <c r="XDE2462" s="63"/>
      <c r="XDF2462" s="61"/>
      <c r="XDG2462" s="54"/>
      <c r="XDH2462" s="54"/>
      <c r="XDI2462" s="63"/>
      <c r="XDJ2462" s="60"/>
      <c r="XDK2462" s="60"/>
      <c r="XDL2462" s="60"/>
      <c r="XDM2462" s="63"/>
      <c r="XDN2462" s="61"/>
      <c r="XDO2462" s="54"/>
      <c r="XDP2462" s="54"/>
      <c r="XDQ2462" s="63"/>
      <c r="XDR2462" s="60"/>
      <c r="XDS2462" s="60"/>
      <c r="XDT2462" s="60"/>
      <c r="XDU2462" s="63"/>
      <c r="XDV2462" s="61"/>
      <c r="XDW2462" s="54"/>
      <c r="XDX2462" s="54"/>
      <c r="XDY2462" s="63"/>
      <c r="XDZ2462" s="60"/>
      <c r="XEA2462" s="60"/>
      <c r="XEB2462" s="60"/>
      <c r="XEC2462" s="63"/>
      <c r="XED2462" s="61"/>
      <c r="XEE2462" s="54"/>
      <c r="XEF2462" s="54"/>
      <c r="XEG2462" s="63"/>
      <c r="XEH2462" s="60"/>
      <c r="XEI2462" s="60"/>
      <c r="XEJ2462" s="60"/>
      <c r="XEK2462" s="63"/>
      <c r="XEL2462" s="61"/>
      <c r="XEM2462" s="54"/>
      <c r="XEN2462" s="54"/>
      <c r="XEO2462" s="63"/>
      <c r="XEP2462" s="60"/>
      <c r="XEQ2462" s="60"/>
      <c r="XER2462" s="60"/>
      <c r="XES2462" s="63"/>
      <c r="XET2462" s="61"/>
      <c r="XEU2462" s="54"/>
      <c r="XEV2462" s="54"/>
      <c r="XEW2462" s="63"/>
    </row>
    <row r="2463" ht="18" customHeight="1" spans="1:16377">
      <c r="A2463" s="6" t="s">
        <v>8209</v>
      </c>
      <c r="B2463" s="6" t="s">
        <v>8540</v>
      </c>
      <c r="C2463" s="11" t="s">
        <v>16384</v>
      </c>
      <c r="D2463" s="5" t="s">
        <v>16379</v>
      </c>
      <c r="E2463" s="11" t="s">
        <v>16385</v>
      </c>
      <c r="F2463" s="7" t="s">
        <v>11535</v>
      </c>
      <c r="G2463" s="54"/>
      <c r="H2463" s="54"/>
      <c r="I2463" s="63"/>
      <c r="J2463" s="60"/>
      <c r="K2463" s="60"/>
      <c r="L2463" s="60"/>
      <c r="M2463" s="63"/>
      <c r="N2463" s="61"/>
      <c r="O2463" s="54"/>
      <c r="P2463" s="54"/>
      <c r="Q2463" s="63"/>
      <c r="R2463" s="60"/>
      <c r="S2463" s="60"/>
      <c r="T2463" s="60"/>
      <c r="U2463" s="63"/>
      <c r="V2463" s="61"/>
      <c r="W2463" s="54"/>
      <c r="X2463" s="54"/>
      <c r="Y2463" s="63"/>
      <c r="Z2463" s="60"/>
      <c r="AA2463" s="60"/>
      <c r="AB2463" s="60"/>
      <c r="AC2463" s="63"/>
      <c r="AD2463" s="61"/>
      <c r="AE2463" s="54"/>
      <c r="AF2463" s="54"/>
      <c r="AG2463" s="63"/>
      <c r="AH2463" s="60"/>
      <c r="AI2463" s="60"/>
      <c r="AJ2463" s="60"/>
      <c r="AK2463" s="63"/>
      <c r="AL2463" s="61"/>
      <c r="AM2463" s="54"/>
      <c r="AN2463" s="54"/>
      <c r="AO2463" s="63"/>
      <c r="AP2463" s="60"/>
      <c r="AQ2463" s="60"/>
      <c r="AR2463" s="60"/>
      <c r="AS2463" s="63"/>
      <c r="AT2463" s="61"/>
      <c r="AU2463" s="54"/>
      <c r="AV2463" s="54"/>
      <c r="AW2463" s="63"/>
      <c r="AX2463" s="60"/>
      <c r="AY2463" s="60"/>
      <c r="AZ2463" s="60"/>
      <c r="BA2463" s="63"/>
      <c r="BB2463" s="61"/>
      <c r="BC2463" s="54"/>
      <c r="BD2463" s="54"/>
      <c r="BE2463" s="63"/>
      <c r="BF2463" s="60"/>
      <c r="BG2463" s="60"/>
      <c r="BH2463" s="60"/>
      <c r="BI2463" s="63"/>
      <c r="BJ2463" s="61"/>
      <c r="BK2463" s="54"/>
      <c r="BL2463" s="54"/>
      <c r="BM2463" s="63"/>
      <c r="BN2463" s="60"/>
      <c r="BO2463" s="60"/>
      <c r="BP2463" s="60"/>
      <c r="BQ2463" s="63"/>
      <c r="BR2463" s="61"/>
      <c r="BS2463" s="54"/>
      <c r="BT2463" s="54"/>
      <c r="BU2463" s="63"/>
      <c r="BV2463" s="60"/>
      <c r="BW2463" s="60"/>
      <c r="BX2463" s="60"/>
      <c r="BY2463" s="63"/>
      <c r="BZ2463" s="61"/>
      <c r="CA2463" s="54"/>
      <c r="CB2463" s="54"/>
      <c r="CC2463" s="63"/>
      <c r="CD2463" s="60"/>
      <c r="CE2463" s="60"/>
      <c r="CF2463" s="60"/>
      <c r="CG2463" s="63"/>
      <c r="CH2463" s="61"/>
      <c r="CI2463" s="54"/>
      <c r="CJ2463" s="54"/>
      <c r="CK2463" s="63"/>
      <c r="CL2463" s="60"/>
      <c r="CM2463" s="60"/>
      <c r="CN2463" s="60"/>
      <c r="CO2463" s="63"/>
      <c r="CP2463" s="61"/>
      <c r="CQ2463" s="54"/>
      <c r="CR2463" s="54"/>
      <c r="CS2463" s="63"/>
      <c r="CT2463" s="60"/>
      <c r="CU2463" s="60"/>
      <c r="CV2463" s="60"/>
      <c r="CW2463" s="63"/>
      <c r="CX2463" s="61"/>
      <c r="CY2463" s="54"/>
      <c r="CZ2463" s="54"/>
      <c r="DA2463" s="63"/>
      <c r="DB2463" s="60"/>
      <c r="DC2463" s="60"/>
      <c r="DD2463" s="60"/>
      <c r="DE2463" s="63"/>
      <c r="DF2463" s="61"/>
      <c r="DG2463" s="54"/>
      <c r="DH2463" s="54"/>
      <c r="DI2463" s="63"/>
      <c r="DJ2463" s="60"/>
      <c r="DK2463" s="60"/>
      <c r="DL2463" s="60"/>
      <c r="DM2463" s="63"/>
      <c r="DN2463" s="61"/>
      <c r="DO2463" s="54"/>
      <c r="DP2463" s="54"/>
      <c r="DQ2463" s="63"/>
      <c r="DR2463" s="60"/>
      <c r="DS2463" s="60"/>
      <c r="DT2463" s="60"/>
      <c r="DU2463" s="63"/>
      <c r="DV2463" s="61"/>
      <c r="DW2463" s="54"/>
      <c r="DX2463" s="54"/>
      <c r="DY2463" s="63"/>
      <c r="DZ2463" s="60"/>
      <c r="EA2463" s="60"/>
      <c r="EB2463" s="60"/>
      <c r="EC2463" s="63"/>
      <c r="ED2463" s="61"/>
      <c r="EE2463" s="54"/>
      <c r="EF2463" s="54"/>
      <c r="EG2463" s="63"/>
      <c r="EH2463" s="60"/>
      <c r="EI2463" s="60"/>
      <c r="EJ2463" s="60"/>
      <c r="EK2463" s="63"/>
      <c r="EL2463" s="61"/>
      <c r="EM2463" s="54"/>
      <c r="EN2463" s="54"/>
      <c r="EO2463" s="63"/>
      <c r="EP2463" s="60"/>
      <c r="EQ2463" s="60"/>
      <c r="ER2463" s="60"/>
      <c r="ES2463" s="63"/>
      <c r="ET2463" s="61"/>
      <c r="EU2463" s="54"/>
      <c r="EV2463" s="54"/>
      <c r="EW2463" s="63"/>
      <c r="EX2463" s="60"/>
      <c r="EY2463" s="60"/>
      <c r="EZ2463" s="60"/>
      <c r="FA2463" s="63"/>
      <c r="FB2463" s="61"/>
      <c r="FC2463" s="54"/>
      <c r="FD2463" s="54"/>
      <c r="FE2463" s="63"/>
      <c r="FF2463" s="60"/>
      <c r="FG2463" s="60"/>
      <c r="FH2463" s="60"/>
      <c r="FI2463" s="63"/>
      <c r="FJ2463" s="61"/>
      <c r="FK2463" s="54"/>
      <c r="FL2463" s="54"/>
      <c r="FM2463" s="63"/>
      <c r="FN2463" s="60"/>
      <c r="FO2463" s="60"/>
      <c r="FP2463" s="60"/>
      <c r="FQ2463" s="63"/>
      <c r="FR2463" s="61"/>
      <c r="FS2463" s="54"/>
      <c r="FT2463" s="54"/>
      <c r="FU2463" s="63"/>
      <c r="FV2463" s="60"/>
      <c r="FW2463" s="60"/>
      <c r="FX2463" s="60"/>
      <c r="FY2463" s="63"/>
      <c r="FZ2463" s="61"/>
      <c r="GA2463" s="54"/>
      <c r="GB2463" s="54"/>
      <c r="GC2463" s="63"/>
      <c r="GD2463" s="60"/>
      <c r="GE2463" s="60"/>
      <c r="GF2463" s="60"/>
      <c r="GG2463" s="63"/>
      <c r="GH2463" s="61"/>
      <c r="GI2463" s="54"/>
      <c r="GJ2463" s="54"/>
      <c r="GK2463" s="63"/>
      <c r="GL2463" s="60"/>
      <c r="GM2463" s="60"/>
      <c r="GN2463" s="60"/>
      <c r="GO2463" s="63"/>
      <c r="GP2463" s="61"/>
      <c r="GQ2463" s="54"/>
      <c r="GR2463" s="54"/>
      <c r="GS2463" s="63"/>
      <c r="GT2463" s="60"/>
      <c r="GU2463" s="60"/>
      <c r="GV2463" s="60"/>
      <c r="GW2463" s="63"/>
      <c r="GX2463" s="61"/>
      <c r="GY2463" s="54"/>
      <c r="GZ2463" s="54"/>
      <c r="HA2463" s="63"/>
      <c r="HB2463" s="60"/>
      <c r="HC2463" s="60"/>
      <c r="HD2463" s="60"/>
      <c r="HE2463" s="63"/>
      <c r="HF2463" s="61"/>
      <c r="HG2463" s="54"/>
      <c r="HH2463" s="54"/>
      <c r="HI2463" s="63"/>
      <c r="HJ2463" s="60"/>
      <c r="HK2463" s="60"/>
      <c r="HL2463" s="60"/>
      <c r="HM2463" s="63"/>
      <c r="HN2463" s="61"/>
      <c r="HO2463" s="54"/>
      <c r="HP2463" s="54"/>
      <c r="HQ2463" s="63"/>
      <c r="HR2463" s="60"/>
      <c r="HS2463" s="60"/>
      <c r="HT2463" s="60"/>
      <c r="HU2463" s="63"/>
      <c r="HV2463" s="61"/>
      <c r="HW2463" s="54"/>
      <c r="HX2463" s="54"/>
      <c r="HY2463" s="63"/>
      <c r="HZ2463" s="60"/>
      <c r="IA2463" s="60"/>
      <c r="IB2463" s="60"/>
      <c r="IC2463" s="63"/>
      <c r="ID2463" s="61"/>
      <c r="IE2463" s="54"/>
      <c r="IF2463" s="54"/>
      <c r="IG2463" s="63"/>
      <c r="IH2463" s="60"/>
      <c r="II2463" s="60"/>
      <c r="IJ2463" s="60"/>
      <c r="IK2463" s="63"/>
      <c r="IL2463" s="61"/>
      <c r="IM2463" s="54"/>
      <c r="IN2463" s="54"/>
      <c r="IO2463" s="63"/>
      <c r="IP2463" s="60"/>
      <c r="IQ2463" s="60"/>
      <c r="IR2463" s="60"/>
      <c r="IS2463" s="63"/>
      <c r="IT2463" s="61"/>
      <c r="IU2463" s="54"/>
      <c r="IV2463" s="54"/>
      <c r="IW2463" s="63"/>
      <c r="IX2463" s="60"/>
      <c r="IY2463" s="60"/>
      <c r="IZ2463" s="60"/>
      <c r="JA2463" s="63"/>
      <c r="JB2463" s="61"/>
      <c r="JC2463" s="54"/>
      <c r="JD2463" s="54"/>
      <c r="JE2463" s="63"/>
      <c r="JF2463" s="60"/>
      <c r="JG2463" s="60"/>
      <c r="JH2463" s="60"/>
      <c r="JI2463" s="63"/>
      <c r="JJ2463" s="61"/>
      <c r="JK2463" s="54"/>
      <c r="JL2463" s="54"/>
      <c r="JM2463" s="63"/>
      <c r="JN2463" s="60"/>
      <c r="JO2463" s="60"/>
      <c r="JP2463" s="60"/>
      <c r="JQ2463" s="63"/>
      <c r="JR2463" s="61"/>
      <c r="JS2463" s="54"/>
      <c r="JT2463" s="54"/>
      <c r="JU2463" s="63"/>
      <c r="JV2463" s="60"/>
      <c r="JW2463" s="60"/>
      <c r="JX2463" s="60"/>
      <c r="JY2463" s="63"/>
      <c r="JZ2463" s="61"/>
      <c r="KA2463" s="54"/>
      <c r="KB2463" s="54"/>
      <c r="KC2463" s="63"/>
      <c r="KD2463" s="60"/>
      <c r="KE2463" s="60"/>
      <c r="KF2463" s="60"/>
      <c r="KG2463" s="63"/>
      <c r="KH2463" s="61"/>
      <c r="KI2463" s="54"/>
      <c r="KJ2463" s="54"/>
      <c r="KK2463" s="63"/>
      <c r="KL2463" s="60"/>
      <c r="KM2463" s="60"/>
      <c r="KN2463" s="60"/>
      <c r="KO2463" s="63"/>
      <c r="KP2463" s="61"/>
      <c r="KQ2463" s="54"/>
      <c r="KR2463" s="54"/>
      <c r="KS2463" s="63"/>
      <c r="KT2463" s="60"/>
      <c r="KU2463" s="60"/>
      <c r="KV2463" s="60"/>
      <c r="KW2463" s="63"/>
      <c r="KX2463" s="61"/>
      <c r="KY2463" s="54"/>
      <c r="KZ2463" s="54"/>
      <c r="LA2463" s="63"/>
      <c r="LB2463" s="60"/>
      <c r="LC2463" s="60"/>
      <c r="LD2463" s="60"/>
      <c r="LE2463" s="63"/>
      <c r="LF2463" s="61"/>
      <c r="LG2463" s="54"/>
      <c r="LH2463" s="54"/>
      <c r="LI2463" s="63"/>
      <c r="LJ2463" s="60"/>
      <c r="LK2463" s="60"/>
      <c r="LL2463" s="60"/>
      <c r="LM2463" s="63"/>
      <c r="LN2463" s="61"/>
      <c r="LO2463" s="54"/>
      <c r="LP2463" s="54"/>
      <c r="LQ2463" s="63"/>
      <c r="LR2463" s="60"/>
      <c r="LS2463" s="60"/>
      <c r="LT2463" s="60"/>
      <c r="LU2463" s="63"/>
      <c r="LV2463" s="61"/>
      <c r="LW2463" s="54"/>
      <c r="LX2463" s="54"/>
      <c r="LY2463" s="63"/>
      <c r="LZ2463" s="60"/>
      <c r="MA2463" s="60"/>
      <c r="MB2463" s="60"/>
      <c r="MC2463" s="63"/>
      <c r="MD2463" s="61"/>
      <c r="ME2463" s="54"/>
      <c r="MF2463" s="54"/>
      <c r="MG2463" s="63"/>
      <c r="MH2463" s="60"/>
      <c r="MI2463" s="60"/>
      <c r="MJ2463" s="60"/>
      <c r="MK2463" s="63"/>
      <c r="ML2463" s="61"/>
      <c r="MM2463" s="54"/>
      <c r="MN2463" s="54"/>
      <c r="MO2463" s="63"/>
      <c r="MP2463" s="60"/>
      <c r="MQ2463" s="60"/>
      <c r="MR2463" s="60"/>
      <c r="MS2463" s="63"/>
      <c r="MT2463" s="61"/>
      <c r="MU2463" s="54"/>
      <c r="MV2463" s="54"/>
      <c r="MW2463" s="63"/>
      <c r="MX2463" s="60"/>
      <c r="MY2463" s="60"/>
      <c r="MZ2463" s="60"/>
      <c r="NA2463" s="63"/>
      <c r="NB2463" s="61"/>
      <c r="NC2463" s="54"/>
      <c r="ND2463" s="54"/>
      <c r="NE2463" s="63"/>
      <c r="NF2463" s="60"/>
      <c r="NG2463" s="60"/>
      <c r="NH2463" s="60"/>
      <c r="NI2463" s="63"/>
      <c r="NJ2463" s="61"/>
      <c r="NK2463" s="54"/>
      <c r="NL2463" s="54"/>
      <c r="NM2463" s="63"/>
      <c r="NN2463" s="60"/>
      <c r="NO2463" s="60"/>
      <c r="NP2463" s="60"/>
      <c r="NQ2463" s="63"/>
      <c r="NR2463" s="61"/>
      <c r="NS2463" s="54"/>
      <c r="NT2463" s="54"/>
      <c r="NU2463" s="63"/>
      <c r="NV2463" s="60"/>
      <c r="NW2463" s="60"/>
      <c r="NX2463" s="60"/>
      <c r="NY2463" s="63"/>
      <c r="NZ2463" s="61"/>
      <c r="OA2463" s="54"/>
      <c r="OB2463" s="54"/>
      <c r="OC2463" s="63"/>
      <c r="OD2463" s="60"/>
      <c r="OE2463" s="60"/>
      <c r="OF2463" s="60"/>
      <c r="OG2463" s="63"/>
      <c r="OH2463" s="61"/>
      <c r="OI2463" s="54"/>
      <c r="OJ2463" s="54"/>
      <c r="OK2463" s="63"/>
      <c r="OL2463" s="60"/>
      <c r="OM2463" s="60"/>
      <c r="ON2463" s="60"/>
      <c r="OO2463" s="63"/>
      <c r="OP2463" s="61"/>
      <c r="OQ2463" s="54"/>
      <c r="OR2463" s="54"/>
      <c r="OS2463" s="63"/>
      <c r="OT2463" s="60"/>
      <c r="OU2463" s="60"/>
      <c r="OV2463" s="60"/>
      <c r="OW2463" s="63"/>
      <c r="OX2463" s="61"/>
      <c r="OY2463" s="54"/>
      <c r="OZ2463" s="54"/>
      <c r="PA2463" s="63"/>
      <c r="PB2463" s="60"/>
      <c r="PC2463" s="60"/>
      <c r="PD2463" s="60"/>
      <c r="PE2463" s="63"/>
      <c r="PF2463" s="61"/>
      <c r="PG2463" s="54"/>
      <c r="PH2463" s="54"/>
      <c r="PI2463" s="63"/>
      <c r="PJ2463" s="60"/>
      <c r="PK2463" s="60"/>
      <c r="PL2463" s="60"/>
      <c r="PM2463" s="63"/>
      <c r="PN2463" s="61"/>
      <c r="PO2463" s="54"/>
      <c r="PP2463" s="54"/>
      <c r="PQ2463" s="63"/>
      <c r="PR2463" s="60"/>
      <c r="PS2463" s="60"/>
      <c r="PT2463" s="60"/>
      <c r="PU2463" s="63"/>
      <c r="PV2463" s="61"/>
      <c r="PW2463" s="54"/>
      <c r="PX2463" s="54"/>
      <c r="PY2463" s="63"/>
      <c r="PZ2463" s="60"/>
      <c r="QA2463" s="60"/>
      <c r="QB2463" s="60"/>
      <c r="QC2463" s="63"/>
      <c r="QD2463" s="61"/>
      <c r="QE2463" s="54"/>
      <c r="QF2463" s="54"/>
      <c r="QG2463" s="63"/>
      <c r="QH2463" s="60"/>
      <c r="QI2463" s="60"/>
      <c r="QJ2463" s="60"/>
      <c r="QK2463" s="63"/>
      <c r="QL2463" s="61"/>
      <c r="QM2463" s="54"/>
      <c r="QN2463" s="54"/>
      <c r="QO2463" s="63"/>
      <c r="QP2463" s="60"/>
      <c r="QQ2463" s="60"/>
      <c r="QR2463" s="60"/>
      <c r="QS2463" s="63"/>
      <c r="QT2463" s="61"/>
      <c r="QU2463" s="54"/>
      <c r="QV2463" s="54"/>
      <c r="QW2463" s="63"/>
      <c r="QX2463" s="60"/>
      <c r="QY2463" s="60"/>
      <c r="QZ2463" s="60"/>
      <c r="RA2463" s="63"/>
      <c r="RB2463" s="61"/>
      <c r="RC2463" s="54"/>
      <c r="RD2463" s="54"/>
      <c r="RE2463" s="63"/>
      <c r="RF2463" s="60"/>
      <c r="RG2463" s="60"/>
      <c r="RH2463" s="60"/>
      <c r="RI2463" s="63"/>
      <c r="RJ2463" s="61"/>
      <c r="RK2463" s="54"/>
      <c r="RL2463" s="54"/>
      <c r="RM2463" s="63"/>
      <c r="RN2463" s="60"/>
      <c r="RO2463" s="60"/>
      <c r="RP2463" s="60"/>
      <c r="RQ2463" s="63"/>
      <c r="RR2463" s="61"/>
      <c r="RS2463" s="54"/>
      <c r="RT2463" s="54"/>
      <c r="RU2463" s="63"/>
      <c r="RV2463" s="60"/>
      <c r="RW2463" s="60"/>
      <c r="RX2463" s="60"/>
      <c r="RY2463" s="63"/>
      <c r="RZ2463" s="61"/>
      <c r="SA2463" s="54"/>
      <c r="SB2463" s="54"/>
      <c r="SC2463" s="63"/>
      <c r="SD2463" s="60"/>
      <c r="SE2463" s="60"/>
      <c r="SF2463" s="60"/>
      <c r="SG2463" s="63"/>
      <c r="SH2463" s="61"/>
      <c r="SI2463" s="54"/>
      <c r="SJ2463" s="54"/>
      <c r="SK2463" s="63"/>
      <c r="SL2463" s="60"/>
      <c r="SM2463" s="60"/>
      <c r="SN2463" s="60"/>
      <c r="SO2463" s="63"/>
      <c r="SP2463" s="61"/>
      <c r="SQ2463" s="54"/>
      <c r="SR2463" s="54"/>
      <c r="SS2463" s="63"/>
      <c r="ST2463" s="60"/>
      <c r="SU2463" s="60"/>
      <c r="SV2463" s="60"/>
      <c r="SW2463" s="63"/>
      <c r="SX2463" s="61"/>
      <c r="SY2463" s="54"/>
      <c r="SZ2463" s="54"/>
      <c r="TA2463" s="63"/>
      <c r="TB2463" s="60"/>
      <c r="TC2463" s="60"/>
      <c r="TD2463" s="60"/>
      <c r="TE2463" s="63"/>
      <c r="TF2463" s="61"/>
      <c r="TG2463" s="54"/>
      <c r="TH2463" s="54"/>
      <c r="TI2463" s="63"/>
      <c r="TJ2463" s="60"/>
      <c r="TK2463" s="60"/>
      <c r="TL2463" s="60"/>
      <c r="TM2463" s="63"/>
      <c r="TN2463" s="61"/>
      <c r="TO2463" s="54"/>
      <c r="TP2463" s="54"/>
      <c r="TQ2463" s="63"/>
      <c r="TR2463" s="60"/>
      <c r="TS2463" s="60"/>
      <c r="TT2463" s="60"/>
      <c r="TU2463" s="63"/>
      <c r="TV2463" s="61"/>
      <c r="TW2463" s="54"/>
      <c r="TX2463" s="54"/>
      <c r="TY2463" s="63"/>
      <c r="TZ2463" s="60"/>
      <c r="UA2463" s="60"/>
      <c r="UB2463" s="60"/>
      <c r="UC2463" s="63"/>
      <c r="UD2463" s="61"/>
      <c r="UE2463" s="54"/>
      <c r="UF2463" s="54"/>
      <c r="UG2463" s="63"/>
      <c r="UH2463" s="60"/>
      <c r="UI2463" s="60"/>
      <c r="UJ2463" s="60"/>
      <c r="UK2463" s="63"/>
      <c r="UL2463" s="61"/>
      <c r="UM2463" s="54"/>
      <c r="UN2463" s="54"/>
      <c r="UO2463" s="63"/>
      <c r="UP2463" s="60"/>
      <c r="UQ2463" s="60"/>
      <c r="UR2463" s="60"/>
      <c r="US2463" s="63"/>
      <c r="UT2463" s="61"/>
      <c r="UU2463" s="54"/>
      <c r="UV2463" s="54"/>
      <c r="UW2463" s="63"/>
      <c r="UX2463" s="60"/>
      <c r="UY2463" s="60"/>
      <c r="UZ2463" s="60"/>
      <c r="VA2463" s="63"/>
      <c r="VB2463" s="61"/>
      <c r="VC2463" s="54"/>
      <c r="VD2463" s="54"/>
      <c r="VE2463" s="63"/>
      <c r="VF2463" s="60"/>
      <c r="VG2463" s="60"/>
      <c r="VH2463" s="60"/>
      <c r="VI2463" s="63"/>
      <c r="VJ2463" s="61"/>
      <c r="VK2463" s="54"/>
      <c r="VL2463" s="54"/>
      <c r="VM2463" s="63"/>
      <c r="VN2463" s="60"/>
      <c r="VO2463" s="60"/>
      <c r="VP2463" s="60"/>
      <c r="VQ2463" s="63"/>
      <c r="VR2463" s="61"/>
      <c r="VS2463" s="54"/>
      <c r="VT2463" s="54"/>
      <c r="VU2463" s="63"/>
      <c r="VV2463" s="60"/>
      <c r="VW2463" s="60"/>
      <c r="VX2463" s="60"/>
      <c r="VY2463" s="63"/>
      <c r="VZ2463" s="61"/>
      <c r="WA2463" s="54"/>
      <c r="WB2463" s="54"/>
      <c r="WC2463" s="63"/>
      <c r="WD2463" s="60"/>
      <c r="WE2463" s="60"/>
      <c r="WF2463" s="60"/>
      <c r="WG2463" s="63"/>
      <c r="WH2463" s="61"/>
      <c r="WI2463" s="54"/>
      <c r="WJ2463" s="54"/>
      <c r="WK2463" s="63"/>
      <c r="WL2463" s="60"/>
      <c r="WM2463" s="60"/>
      <c r="WN2463" s="60"/>
      <c r="WO2463" s="63"/>
      <c r="WP2463" s="61"/>
      <c r="WQ2463" s="54"/>
      <c r="WR2463" s="54"/>
      <c r="WS2463" s="63"/>
      <c r="WT2463" s="60"/>
      <c r="WU2463" s="60"/>
      <c r="WV2463" s="60"/>
      <c r="WW2463" s="63"/>
      <c r="WX2463" s="61"/>
      <c r="WY2463" s="54"/>
      <c r="WZ2463" s="54"/>
      <c r="XA2463" s="63"/>
      <c r="XB2463" s="60"/>
      <c r="XC2463" s="60"/>
      <c r="XD2463" s="60"/>
      <c r="XE2463" s="63"/>
      <c r="XF2463" s="61"/>
      <c r="XG2463" s="54"/>
      <c r="XH2463" s="54"/>
      <c r="XI2463" s="63"/>
      <c r="XJ2463" s="60"/>
      <c r="XK2463" s="60"/>
      <c r="XL2463" s="60"/>
      <c r="XM2463" s="63"/>
      <c r="XN2463" s="61"/>
      <c r="XO2463" s="54"/>
      <c r="XP2463" s="54"/>
      <c r="XQ2463" s="63"/>
      <c r="XR2463" s="60"/>
      <c r="XS2463" s="60"/>
      <c r="XT2463" s="60"/>
      <c r="XU2463" s="63"/>
      <c r="XV2463" s="61"/>
      <c r="XW2463" s="54"/>
      <c r="XX2463" s="54"/>
      <c r="XY2463" s="63"/>
      <c r="XZ2463" s="60"/>
      <c r="YA2463" s="60"/>
      <c r="YB2463" s="60"/>
      <c r="YC2463" s="63"/>
      <c r="YD2463" s="61"/>
      <c r="YE2463" s="54"/>
      <c r="YF2463" s="54"/>
      <c r="YG2463" s="63"/>
      <c r="YH2463" s="60"/>
      <c r="YI2463" s="60"/>
      <c r="YJ2463" s="60"/>
      <c r="YK2463" s="63"/>
      <c r="YL2463" s="61"/>
      <c r="YM2463" s="54"/>
      <c r="YN2463" s="54"/>
      <c r="YO2463" s="63"/>
      <c r="YP2463" s="60"/>
      <c r="YQ2463" s="60"/>
      <c r="YR2463" s="60"/>
      <c r="YS2463" s="63"/>
      <c r="YT2463" s="61"/>
      <c r="YU2463" s="54"/>
      <c r="YV2463" s="54"/>
      <c r="YW2463" s="63"/>
      <c r="YX2463" s="60"/>
      <c r="YY2463" s="60"/>
      <c r="YZ2463" s="60"/>
      <c r="ZA2463" s="63"/>
      <c r="ZB2463" s="61"/>
      <c r="ZC2463" s="54"/>
      <c r="ZD2463" s="54"/>
      <c r="ZE2463" s="63"/>
      <c r="ZF2463" s="60"/>
      <c r="ZG2463" s="60"/>
      <c r="ZH2463" s="60"/>
      <c r="ZI2463" s="63"/>
      <c r="ZJ2463" s="61"/>
      <c r="ZK2463" s="54"/>
      <c r="ZL2463" s="54"/>
      <c r="ZM2463" s="63"/>
      <c r="ZN2463" s="60"/>
      <c r="ZO2463" s="60"/>
      <c r="ZP2463" s="60"/>
      <c r="ZQ2463" s="63"/>
      <c r="ZR2463" s="61"/>
      <c r="ZS2463" s="54"/>
      <c r="ZT2463" s="54"/>
      <c r="ZU2463" s="63"/>
      <c r="ZV2463" s="60"/>
      <c r="ZW2463" s="60"/>
      <c r="ZX2463" s="60"/>
      <c r="ZY2463" s="63"/>
      <c r="ZZ2463" s="61"/>
      <c r="AAA2463" s="54"/>
      <c r="AAB2463" s="54"/>
      <c r="AAC2463" s="63"/>
      <c r="AAD2463" s="60"/>
      <c r="AAE2463" s="60"/>
      <c r="AAF2463" s="60"/>
      <c r="AAG2463" s="63"/>
      <c r="AAH2463" s="61"/>
      <c r="AAI2463" s="54"/>
      <c r="AAJ2463" s="54"/>
      <c r="AAK2463" s="63"/>
      <c r="AAL2463" s="60"/>
      <c r="AAM2463" s="60"/>
      <c r="AAN2463" s="60"/>
      <c r="AAO2463" s="63"/>
      <c r="AAP2463" s="61"/>
      <c r="AAQ2463" s="54"/>
      <c r="AAR2463" s="54"/>
      <c r="AAS2463" s="63"/>
      <c r="AAT2463" s="60"/>
      <c r="AAU2463" s="60"/>
      <c r="AAV2463" s="60"/>
      <c r="AAW2463" s="63"/>
      <c r="AAX2463" s="61"/>
      <c r="AAY2463" s="54"/>
      <c r="AAZ2463" s="54"/>
      <c r="ABA2463" s="63"/>
      <c r="ABB2463" s="60"/>
      <c r="ABC2463" s="60"/>
      <c r="ABD2463" s="60"/>
      <c r="ABE2463" s="63"/>
      <c r="ABF2463" s="61"/>
      <c r="ABG2463" s="54"/>
      <c r="ABH2463" s="54"/>
      <c r="ABI2463" s="63"/>
      <c r="ABJ2463" s="60"/>
      <c r="ABK2463" s="60"/>
      <c r="ABL2463" s="60"/>
      <c r="ABM2463" s="63"/>
      <c r="ABN2463" s="61"/>
      <c r="ABO2463" s="54"/>
      <c r="ABP2463" s="54"/>
      <c r="ABQ2463" s="63"/>
      <c r="ABR2463" s="60"/>
      <c r="ABS2463" s="60"/>
      <c r="ABT2463" s="60"/>
      <c r="ABU2463" s="63"/>
      <c r="ABV2463" s="61"/>
      <c r="ABW2463" s="54"/>
      <c r="ABX2463" s="54"/>
      <c r="ABY2463" s="63"/>
      <c r="ABZ2463" s="60"/>
      <c r="ACA2463" s="60"/>
      <c r="ACB2463" s="60"/>
      <c r="ACC2463" s="63"/>
      <c r="ACD2463" s="61"/>
      <c r="ACE2463" s="54"/>
      <c r="ACF2463" s="54"/>
      <c r="ACG2463" s="63"/>
      <c r="ACH2463" s="60"/>
      <c r="ACI2463" s="60"/>
      <c r="ACJ2463" s="60"/>
      <c r="ACK2463" s="63"/>
      <c r="ACL2463" s="61"/>
      <c r="ACM2463" s="54"/>
      <c r="ACN2463" s="54"/>
      <c r="ACO2463" s="63"/>
      <c r="ACP2463" s="60"/>
      <c r="ACQ2463" s="60"/>
      <c r="ACR2463" s="60"/>
      <c r="ACS2463" s="63"/>
      <c r="ACT2463" s="61"/>
      <c r="ACU2463" s="54"/>
      <c r="ACV2463" s="54"/>
      <c r="ACW2463" s="63"/>
      <c r="ACX2463" s="60"/>
      <c r="ACY2463" s="60"/>
      <c r="ACZ2463" s="60"/>
      <c r="ADA2463" s="63"/>
      <c r="ADB2463" s="61"/>
      <c r="ADC2463" s="54"/>
      <c r="ADD2463" s="54"/>
      <c r="ADE2463" s="63"/>
      <c r="ADF2463" s="60"/>
      <c r="ADG2463" s="60"/>
      <c r="ADH2463" s="60"/>
      <c r="ADI2463" s="63"/>
      <c r="ADJ2463" s="61"/>
      <c r="ADK2463" s="54"/>
      <c r="ADL2463" s="54"/>
      <c r="ADM2463" s="63"/>
      <c r="ADN2463" s="60"/>
      <c r="ADO2463" s="60"/>
      <c r="ADP2463" s="60"/>
      <c r="ADQ2463" s="63"/>
      <c r="ADR2463" s="61"/>
      <c r="ADS2463" s="54"/>
      <c r="ADT2463" s="54"/>
      <c r="ADU2463" s="63"/>
      <c r="ADV2463" s="60"/>
      <c r="ADW2463" s="60"/>
      <c r="ADX2463" s="60"/>
      <c r="ADY2463" s="63"/>
      <c r="ADZ2463" s="61"/>
      <c r="AEA2463" s="54"/>
      <c r="AEB2463" s="54"/>
      <c r="AEC2463" s="63"/>
      <c r="AED2463" s="60"/>
      <c r="AEE2463" s="60"/>
      <c r="AEF2463" s="60"/>
      <c r="AEG2463" s="63"/>
      <c r="AEH2463" s="61"/>
      <c r="AEI2463" s="54"/>
      <c r="AEJ2463" s="54"/>
      <c r="AEK2463" s="63"/>
      <c r="AEL2463" s="60"/>
      <c r="AEM2463" s="60"/>
      <c r="AEN2463" s="60"/>
      <c r="AEO2463" s="63"/>
      <c r="AEP2463" s="61"/>
      <c r="AEQ2463" s="54"/>
      <c r="AER2463" s="54"/>
      <c r="AES2463" s="63"/>
      <c r="AET2463" s="60"/>
      <c r="AEU2463" s="60"/>
      <c r="AEV2463" s="60"/>
      <c r="AEW2463" s="63"/>
      <c r="AEX2463" s="61"/>
      <c r="AEY2463" s="54"/>
      <c r="AEZ2463" s="54"/>
      <c r="AFA2463" s="63"/>
      <c r="AFB2463" s="60"/>
      <c r="AFC2463" s="60"/>
      <c r="AFD2463" s="60"/>
      <c r="AFE2463" s="63"/>
      <c r="AFF2463" s="61"/>
      <c r="AFG2463" s="54"/>
      <c r="AFH2463" s="54"/>
      <c r="AFI2463" s="63"/>
      <c r="AFJ2463" s="60"/>
      <c r="AFK2463" s="60"/>
      <c r="AFL2463" s="60"/>
      <c r="AFM2463" s="63"/>
      <c r="AFN2463" s="61"/>
      <c r="AFO2463" s="54"/>
      <c r="AFP2463" s="54"/>
      <c r="AFQ2463" s="63"/>
      <c r="AFR2463" s="60"/>
      <c r="AFS2463" s="60"/>
      <c r="AFT2463" s="60"/>
      <c r="AFU2463" s="63"/>
      <c r="AFV2463" s="61"/>
      <c r="AFW2463" s="54"/>
      <c r="AFX2463" s="54"/>
      <c r="AFY2463" s="63"/>
      <c r="AFZ2463" s="60"/>
      <c r="AGA2463" s="60"/>
      <c r="AGB2463" s="60"/>
      <c r="AGC2463" s="63"/>
      <c r="AGD2463" s="61"/>
      <c r="AGE2463" s="54"/>
      <c r="AGF2463" s="54"/>
      <c r="AGG2463" s="63"/>
      <c r="AGH2463" s="60"/>
      <c r="AGI2463" s="60"/>
      <c r="AGJ2463" s="60"/>
      <c r="AGK2463" s="63"/>
      <c r="AGL2463" s="61"/>
      <c r="AGM2463" s="54"/>
      <c r="AGN2463" s="54"/>
      <c r="AGO2463" s="63"/>
      <c r="AGP2463" s="60"/>
      <c r="AGQ2463" s="60"/>
      <c r="AGR2463" s="60"/>
      <c r="AGS2463" s="63"/>
      <c r="AGT2463" s="61"/>
      <c r="AGU2463" s="54"/>
      <c r="AGV2463" s="54"/>
      <c r="AGW2463" s="63"/>
      <c r="AGX2463" s="60"/>
      <c r="AGY2463" s="60"/>
      <c r="AGZ2463" s="60"/>
      <c r="AHA2463" s="63"/>
      <c r="AHB2463" s="61"/>
      <c r="AHC2463" s="54"/>
      <c r="AHD2463" s="54"/>
      <c r="AHE2463" s="63"/>
      <c r="AHF2463" s="60"/>
      <c r="AHG2463" s="60"/>
      <c r="AHH2463" s="60"/>
      <c r="AHI2463" s="63"/>
      <c r="AHJ2463" s="61"/>
      <c r="AHK2463" s="54"/>
      <c r="AHL2463" s="54"/>
      <c r="AHM2463" s="63"/>
      <c r="AHN2463" s="60"/>
      <c r="AHO2463" s="60"/>
      <c r="AHP2463" s="60"/>
      <c r="AHQ2463" s="63"/>
      <c r="AHR2463" s="61"/>
      <c r="AHS2463" s="54"/>
      <c r="AHT2463" s="54"/>
      <c r="AHU2463" s="63"/>
      <c r="AHV2463" s="60"/>
      <c r="AHW2463" s="60"/>
      <c r="AHX2463" s="60"/>
      <c r="AHY2463" s="63"/>
      <c r="AHZ2463" s="61"/>
      <c r="AIA2463" s="54"/>
      <c r="AIB2463" s="54"/>
      <c r="AIC2463" s="63"/>
      <c r="AID2463" s="60"/>
      <c r="AIE2463" s="60"/>
      <c r="AIF2463" s="60"/>
      <c r="AIG2463" s="63"/>
      <c r="AIH2463" s="61"/>
      <c r="AII2463" s="54"/>
      <c r="AIJ2463" s="54"/>
      <c r="AIK2463" s="63"/>
      <c r="AIL2463" s="60"/>
      <c r="AIM2463" s="60"/>
      <c r="AIN2463" s="60"/>
      <c r="AIO2463" s="63"/>
      <c r="AIP2463" s="61"/>
      <c r="AIQ2463" s="54"/>
      <c r="AIR2463" s="54"/>
      <c r="AIS2463" s="63"/>
      <c r="AIT2463" s="60"/>
      <c r="AIU2463" s="60"/>
      <c r="AIV2463" s="60"/>
      <c r="AIW2463" s="63"/>
      <c r="AIX2463" s="61"/>
      <c r="AIY2463" s="54"/>
      <c r="AIZ2463" s="54"/>
      <c r="AJA2463" s="63"/>
      <c r="AJB2463" s="60"/>
      <c r="AJC2463" s="60"/>
      <c r="AJD2463" s="60"/>
      <c r="AJE2463" s="63"/>
      <c r="AJF2463" s="61"/>
      <c r="AJG2463" s="54"/>
      <c r="AJH2463" s="54"/>
      <c r="AJI2463" s="63"/>
      <c r="AJJ2463" s="60"/>
      <c r="AJK2463" s="60"/>
      <c r="AJL2463" s="60"/>
      <c r="AJM2463" s="63"/>
      <c r="AJN2463" s="61"/>
      <c r="AJO2463" s="54"/>
      <c r="AJP2463" s="54"/>
      <c r="AJQ2463" s="63"/>
      <c r="AJR2463" s="60"/>
      <c r="AJS2463" s="60"/>
      <c r="AJT2463" s="60"/>
      <c r="AJU2463" s="63"/>
      <c r="AJV2463" s="61"/>
      <c r="AJW2463" s="54"/>
      <c r="AJX2463" s="54"/>
      <c r="AJY2463" s="63"/>
      <c r="AJZ2463" s="60"/>
      <c r="AKA2463" s="60"/>
      <c r="AKB2463" s="60"/>
      <c r="AKC2463" s="63"/>
      <c r="AKD2463" s="61"/>
      <c r="AKE2463" s="54"/>
      <c r="AKF2463" s="54"/>
      <c r="AKG2463" s="63"/>
      <c r="AKH2463" s="60"/>
      <c r="AKI2463" s="60"/>
      <c r="AKJ2463" s="60"/>
      <c r="AKK2463" s="63"/>
      <c r="AKL2463" s="61"/>
      <c r="AKM2463" s="54"/>
      <c r="AKN2463" s="54"/>
      <c r="AKO2463" s="63"/>
      <c r="AKP2463" s="60"/>
      <c r="AKQ2463" s="60"/>
      <c r="AKR2463" s="60"/>
      <c r="AKS2463" s="63"/>
      <c r="AKT2463" s="61"/>
      <c r="AKU2463" s="54"/>
      <c r="AKV2463" s="54"/>
      <c r="AKW2463" s="63"/>
      <c r="AKX2463" s="60"/>
      <c r="AKY2463" s="60"/>
      <c r="AKZ2463" s="60"/>
      <c r="ALA2463" s="63"/>
      <c r="ALB2463" s="61"/>
      <c r="ALC2463" s="54"/>
      <c r="ALD2463" s="54"/>
      <c r="ALE2463" s="63"/>
      <c r="ALF2463" s="60"/>
      <c r="ALG2463" s="60"/>
      <c r="ALH2463" s="60"/>
      <c r="ALI2463" s="63"/>
      <c r="ALJ2463" s="61"/>
      <c r="ALK2463" s="54"/>
      <c r="ALL2463" s="54"/>
      <c r="ALM2463" s="63"/>
      <c r="ALN2463" s="60"/>
      <c r="ALO2463" s="60"/>
      <c r="ALP2463" s="60"/>
      <c r="ALQ2463" s="63"/>
      <c r="ALR2463" s="61"/>
      <c r="ALS2463" s="54"/>
      <c r="ALT2463" s="54"/>
      <c r="ALU2463" s="63"/>
      <c r="ALV2463" s="60"/>
      <c r="ALW2463" s="60"/>
      <c r="ALX2463" s="60"/>
      <c r="ALY2463" s="63"/>
      <c r="ALZ2463" s="61"/>
      <c r="AMA2463" s="54"/>
      <c r="AMB2463" s="54"/>
      <c r="AMC2463" s="63"/>
      <c r="AMD2463" s="60"/>
      <c r="AME2463" s="60"/>
      <c r="AMF2463" s="60"/>
      <c r="AMG2463" s="63"/>
      <c r="AMH2463" s="61"/>
      <c r="AMI2463" s="54"/>
      <c r="AMJ2463" s="54"/>
      <c r="AMK2463" s="63"/>
      <c r="AML2463" s="60"/>
      <c r="AMM2463" s="60"/>
      <c r="AMN2463" s="60"/>
      <c r="AMO2463" s="63"/>
      <c r="AMP2463" s="61"/>
      <c r="AMQ2463" s="54"/>
      <c r="AMR2463" s="54"/>
      <c r="AMS2463" s="63"/>
      <c r="AMT2463" s="60"/>
      <c r="AMU2463" s="60"/>
      <c r="AMV2463" s="60"/>
      <c r="AMW2463" s="63"/>
      <c r="AMX2463" s="61"/>
      <c r="AMY2463" s="54"/>
      <c r="AMZ2463" s="54"/>
      <c r="ANA2463" s="63"/>
      <c r="ANB2463" s="60"/>
      <c r="ANC2463" s="60"/>
      <c r="AND2463" s="60"/>
      <c r="ANE2463" s="63"/>
      <c r="ANF2463" s="61"/>
      <c r="ANG2463" s="54"/>
      <c r="ANH2463" s="54"/>
      <c r="ANI2463" s="63"/>
      <c r="ANJ2463" s="60"/>
      <c r="ANK2463" s="60"/>
      <c r="ANL2463" s="60"/>
      <c r="ANM2463" s="63"/>
      <c r="ANN2463" s="61"/>
      <c r="ANO2463" s="54"/>
      <c r="ANP2463" s="54"/>
      <c r="ANQ2463" s="63"/>
      <c r="ANR2463" s="60"/>
      <c r="ANS2463" s="60"/>
      <c r="ANT2463" s="60"/>
      <c r="ANU2463" s="63"/>
      <c r="ANV2463" s="61"/>
      <c r="ANW2463" s="54"/>
      <c r="ANX2463" s="54"/>
      <c r="ANY2463" s="63"/>
      <c r="ANZ2463" s="60"/>
      <c r="AOA2463" s="60"/>
      <c r="AOB2463" s="60"/>
      <c r="AOC2463" s="63"/>
      <c r="AOD2463" s="61"/>
      <c r="AOE2463" s="54"/>
      <c r="AOF2463" s="54"/>
      <c r="AOG2463" s="63"/>
      <c r="AOH2463" s="60"/>
      <c r="AOI2463" s="60"/>
      <c r="AOJ2463" s="60"/>
      <c r="AOK2463" s="63"/>
      <c r="AOL2463" s="61"/>
      <c r="AOM2463" s="54"/>
      <c r="AON2463" s="54"/>
      <c r="AOO2463" s="63"/>
      <c r="AOP2463" s="60"/>
      <c r="AOQ2463" s="60"/>
      <c r="AOR2463" s="60"/>
      <c r="AOS2463" s="63"/>
      <c r="AOT2463" s="61"/>
      <c r="AOU2463" s="54"/>
      <c r="AOV2463" s="54"/>
      <c r="AOW2463" s="63"/>
      <c r="AOX2463" s="60"/>
      <c r="AOY2463" s="60"/>
      <c r="AOZ2463" s="60"/>
      <c r="APA2463" s="63"/>
      <c r="APB2463" s="61"/>
      <c r="APC2463" s="54"/>
      <c r="APD2463" s="54"/>
      <c r="APE2463" s="63"/>
      <c r="APF2463" s="60"/>
      <c r="APG2463" s="60"/>
      <c r="APH2463" s="60"/>
      <c r="API2463" s="63"/>
      <c r="APJ2463" s="61"/>
      <c r="APK2463" s="54"/>
      <c r="APL2463" s="54"/>
      <c r="APM2463" s="63"/>
      <c r="APN2463" s="60"/>
      <c r="APO2463" s="60"/>
      <c r="APP2463" s="60"/>
      <c r="APQ2463" s="63"/>
      <c r="APR2463" s="61"/>
      <c r="APS2463" s="54"/>
      <c r="APT2463" s="54"/>
      <c r="APU2463" s="63"/>
      <c r="APV2463" s="60"/>
      <c r="APW2463" s="60"/>
      <c r="APX2463" s="60"/>
      <c r="APY2463" s="63"/>
      <c r="APZ2463" s="61"/>
      <c r="AQA2463" s="54"/>
      <c r="AQB2463" s="54"/>
      <c r="AQC2463" s="63"/>
      <c r="AQD2463" s="60"/>
      <c r="AQE2463" s="60"/>
      <c r="AQF2463" s="60"/>
      <c r="AQG2463" s="63"/>
      <c r="AQH2463" s="61"/>
      <c r="AQI2463" s="54"/>
      <c r="AQJ2463" s="54"/>
      <c r="AQK2463" s="63"/>
      <c r="AQL2463" s="60"/>
      <c r="AQM2463" s="60"/>
      <c r="AQN2463" s="60"/>
      <c r="AQO2463" s="63"/>
      <c r="AQP2463" s="61"/>
      <c r="AQQ2463" s="54"/>
      <c r="AQR2463" s="54"/>
      <c r="AQS2463" s="63"/>
      <c r="AQT2463" s="60"/>
      <c r="AQU2463" s="60"/>
      <c r="AQV2463" s="60"/>
      <c r="AQW2463" s="63"/>
      <c r="AQX2463" s="61"/>
      <c r="AQY2463" s="54"/>
      <c r="AQZ2463" s="54"/>
      <c r="ARA2463" s="63"/>
      <c r="ARB2463" s="60"/>
      <c r="ARC2463" s="60"/>
      <c r="ARD2463" s="60"/>
      <c r="ARE2463" s="63"/>
      <c r="ARF2463" s="61"/>
      <c r="ARG2463" s="54"/>
      <c r="ARH2463" s="54"/>
      <c r="ARI2463" s="63"/>
      <c r="ARJ2463" s="60"/>
      <c r="ARK2463" s="60"/>
      <c r="ARL2463" s="60"/>
      <c r="ARM2463" s="63"/>
      <c r="ARN2463" s="61"/>
      <c r="ARO2463" s="54"/>
      <c r="ARP2463" s="54"/>
      <c r="ARQ2463" s="63"/>
      <c r="ARR2463" s="60"/>
      <c r="ARS2463" s="60"/>
      <c r="ART2463" s="60"/>
      <c r="ARU2463" s="63"/>
      <c r="ARV2463" s="61"/>
      <c r="ARW2463" s="54"/>
      <c r="ARX2463" s="54"/>
      <c r="ARY2463" s="63"/>
      <c r="ARZ2463" s="60"/>
      <c r="ASA2463" s="60"/>
      <c r="ASB2463" s="60"/>
      <c r="ASC2463" s="63"/>
      <c r="ASD2463" s="61"/>
      <c r="ASE2463" s="54"/>
      <c r="ASF2463" s="54"/>
      <c r="ASG2463" s="63"/>
      <c r="ASH2463" s="60"/>
      <c r="ASI2463" s="60"/>
      <c r="ASJ2463" s="60"/>
      <c r="ASK2463" s="63"/>
      <c r="ASL2463" s="61"/>
      <c r="ASM2463" s="54"/>
      <c r="ASN2463" s="54"/>
      <c r="ASO2463" s="63"/>
      <c r="ASP2463" s="60"/>
      <c r="ASQ2463" s="60"/>
      <c r="ASR2463" s="60"/>
      <c r="ASS2463" s="63"/>
      <c r="AST2463" s="61"/>
      <c r="ASU2463" s="54"/>
      <c r="ASV2463" s="54"/>
      <c r="ASW2463" s="63"/>
      <c r="ASX2463" s="60"/>
      <c r="ASY2463" s="60"/>
      <c r="ASZ2463" s="60"/>
      <c r="ATA2463" s="63"/>
      <c r="ATB2463" s="61"/>
      <c r="ATC2463" s="54"/>
      <c r="ATD2463" s="54"/>
      <c r="ATE2463" s="63"/>
      <c r="ATF2463" s="60"/>
      <c r="ATG2463" s="60"/>
      <c r="ATH2463" s="60"/>
      <c r="ATI2463" s="63"/>
      <c r="ATJ2463" s="61"/>
      <c r="ATK2463" s="54"/>
      <c r="ATL2463" s="54"/>
      <c r="ATM2463" s="63"/>
      <c r="ATN2463" s="60"/>
      <c r="ATO2463" s="60"/>
      <c r="ATP2463" s="60"/>
      <c r="ATQ2463" s="63"/>
      <c r="ATR2463" s="61"/>
      <c r="ATS2463" s="54"/>
      <c r="ATT2463" s="54"/>
      <c r="ATU2463" s="63"/>
      <c r="ATV2463" s="60"/>
      <c r="ATW2463" s="60"/>
      <c r="ATX2463" s="60"/>
      <c r="ATY2463" s="63"/>
      <c r="ATZ2463" s="61"/>
      <c r="AUA2463" s="54"/>
      <c r="AUB2463" s="54"/>
      <c r="AUC2463" s="63"/>
      <c r="AUD2463" s="60"/>
      <c r="AUE2463" s="60"/>
      <c r="AUF2463" s="60"/>
      <c r="AUG2463" s="63"/>
      <c r="AUH2463" s="61"/>
      <c r="AUI2463" s="54"/>
      <c r="AUJ2463" s="54"/>
      <c r="AUK2463" s="63"/>
      <c r="AUL2463" s="60"/>
      <c r="AUM2463" s="60"/>
      <c r="AUN2463" s="60"/>
      <c r="AUO2463" s="63"/>
      <c r="AUP2463" s="61"/>
      <c r="AUQ2463" s="54"/>
      <c r="AUR2463" s="54"/>
      <c r="AUS2463" s="63"/>
      <c r="AUT2463" s="60"/>
      <c r="AUU2463" s="60"/>
      <c r="AUV2463" s="60"/>
      <c r="AUW2463" s="63"/>
      <c r="AUX2463" s="61"/>
      <c r="AUY2463" s="54"/>
      <c r="AUZ2463" s="54"/>
      <c r="AVA2463" s="63"/>
      <c r="AVB2463" s="60"/>
      <c r="AVC2463" s="60"/>
      <c r="AVD2463" s="60"/>
      <c r="AVE2463" s="63"/>
      <c r="AVF2463" s="61"/>
      <c r="AVG2463" s="54"/>
      <c r="AVH2463" s="54"/>
      <c r="AVI2463" s="63"/>
      <c r="AVJ2463" s="60"/>
      <c r="AVK2463" s="60"/>
      <c r="AVL2463" s="60"/>
      <c r="AVM2463" s="63"/>
      <c r="AVN2463" s="61"/>
      <c r="AVO2463" s="54"/>
      <c r="AVP2463" s="54"/>
      <c r="AVQ2463" s="63"/>
      <c r="AVR2463" s="60"/>
      <c r="AVS2463" s="60"/>
      <c r="AVT2463" s="60"/>
      <c r="AVU2463" s="63"/>
      <c r="AVV2463" s="61"/>
      <c r="AVW2463" s="54"/>
      <c r="AVX2463" s="54"/>
      <c r="AVY2463" s="63"/>
      <c r="AVZ2463" s="60"/>
      <c r="AWA2463" s="60"/>
      <c r="AWB2463" s="60"/>
      <c r="AWC2463" s="63"/>
      <c r="AWD2463" s="61"/>
      <c r="AWE2463" s="54"/>
      <c r="AWF2463" s="54"/>
      <c r="AWG2463" s="63"/>
      <c r="AWH2463" s="60"/>
      <c r="AWI2463" s="60"/>
      <c r="AWJ2463" s="60"/>
      <c r="AWK2463" s="63"/>
      <c r="AWL2463" s="61"/>
      <c r="AWM2463" s="54"/>
      <c r="AWN2463" s="54"/>
      <c r="AWO2463" s="63"/>
      <c r="AWP2463" s="60"/>
      <c r="AWQ2463" s="60"/>
      <c r="AWR2463" s="60"/>
      <c r="AWS2463" s="63"/>
      <c r="AWT2463" s="61"/>
      <c r="AWU2463" s="54"/>
      <c r="AWV2463" s="54"/>
      <c r="AWW2463" s="63"/>
      <c r="AWX2463" s="60"/>
      <c r="AWY2463" s="60"/>
      <c r="AWZ2463" s="60"/>
      <c r="AXA2463" s="63"/>
      <c r="AXB2463" s="61"/>
      <c r="AXC2463" s="54"/>
      <c r="AXD2463" s="54"/>
      <c r="AXE2463" s="63"/>
      <c r="AXF2463" s="60"/>
      <c r="AXG2463" s="60"/>
      <c r="AXH2463" s="60"/>
      <c r="AXI2463" s="63"/>
      <c r="AXJ2463" s="61"/>
      <c r="AXK2463" s="54"/>
      <c r="AXL2463" s="54"/>
      <c r="AXM2463" s="63"/>
      <c r="AXN2463" s="60"/>
      <c r="AXO2463" s="60"/>
      <c r="AXP2463" s="60"/>
      <c r="AXQ2463" s="63"/>
      <c r="AXR2463" s="61"/>
      <c r="AXS2463" s="54"/>
      <c r="AXT2463" s="54"/>
      <c r="AXU2463" s="63"/>
      <c r="AXV2463" s="60"/>
      <c r="AXW2463" s="60"/>
      <c r="AXX2463" s="60"/>
      <c r="AXY2463" s="63"/>
      <c r="AXZ2463" s="61"/>
      <c r="AYA2463" s="54"/>
      <c r="AYB2463" s="54"/>
      <c r="AYC2463" s="63"/>
      <c r="AYD2463" s="60"/>
      <c r="AYE2463" s="60"/>
      <c r="AYF2463" s="60"/>
      <c r="AYG2463" s="63"/>
      <c r="AYH2463" s="61"/>
      <c r="AYI2463" s="54"/>
      <c r="AYJ2463" s="54"/>
      <c r="AYK2463" s="63"/>
      <c r="AYL2463" s="60"/>
      <c r="AYM2463" s="60"/>
      <c r="AYN2463" s="60"/>
      <c r="AYO2463" s="63"/>
      <c r="AYP2463" s="61"/>
      <c r="AYQ2463" s="54"/>
      <c r="AYR2463" s="54"/>
      <c r="AYS2463" s="63"/>
      <c r="AYT2463" s="60"/>
      <c r="AYU2463" s="60"/>
      <c r="AYV2463" s="60"/>
      <c r="AYW2463" s="63"/>
      <c r="AYX2463" s="61"/>
      <c r="AYY2463" s="54"/>
      <c r="AYZ2463" s="54"/>
      <c r="AZA2463" s="63"/>
      <c r="AZB2463" s="60"/>
      <c r="AZC2463" s="60"/>
      <c r="AZD2463" s="60"/>
      <c r="AZE2463" s="63"/>
      <c r="AZF2463" s="61"/>
      <c r="AZG2463" s="54"/>
      <c r="AZH2463" s="54"/>
      <c r="AZI2463" s="63"/>
      <c r="AZJ2463" s="60"/>
      <c r="AZK2463" s="60"/>
      <c r="AZL2463" s="60"/>
      <c r="AZM2463" s="63"/>
      <c r="AZN2463" s="61"/>
      <c r="AZO2463" s="54"/>
      <c r="AZP2463" s="54"/>
      <c r="AZQ2463" s="63"/>
      <c r="AZR2463" s="60"/>
      <c r="AZS2463" s="60"/>
      <c r="AZT2463" s="60"/>
      <c r="AZU2463" s="63"/>
      <c r="AZV2463" s="61"/>
      <c r="AZW2463" s="54"/>
      <c r="AZX2463" s="54"/>
      <c r="AZY2463" s="63"/>
      <c r="AZZ2463" s="60"/>
      <c r="BAA2463" s="60"/>
      <c r="BAB2463" s="60"/>
      <c r="BAC2463" s="63"/>
      <c r="BAD2463" s="61"/>
      <c r="BAE2463" s="54"/>
      <c r="BAF2463" s="54"/>
      <c r="BAG2463" s="63"/>
      <c r="BAH2463" s="60"/>
      <c r="BAI2463" s="60"/>
      <c r="BAJ2463" s="60"/>
      <c r="BAK2463" s="63"/>
      <c r="BAL2463" s="61"/>
      <c r="BAM2463" s="54"/>
      <c r="BAN2463" s="54"/>
      <c r="BAO2463" s="63"/>
      <c r="BAP2463" s="60"/>
      <c r="BAQ2463" s="60"/>
      <c r="BAR2463" s="60"/>
      <c r="BAS2463" s="63"/>
      <c r="BAT2463" s="61"/>
      <c r="BAU2463" s="54"/>
      <c r="BAV2463" s="54"/>
      <c r="BAW2463" s="63"/>
      <c r="BAX2463" s="60"/>
      <c r="BAY2463" s="60"/>
      <c r="BAZ2463" s="60"/>
      <c r="BBA2463" s="63"/>
      <c r="BBB2463" s="61"/>
      <c r="BBC2463" s="54"/>
      <c r="BBD2463" s="54"/>
      <c r="BBE2463" s="63"/>
      <c r="BBF2463" s="60"/>
      <c r="BBG2463" s="60"/>
      <c r="BBH2463" s="60"/>
      <c r="BBI2463" s="63"/>
      <c r="BBJ2463" s="61"/>
      <c r="BBK2463" s="54"/>
      <c r="BBL2463" s="54"/>
      <c r="BBM2463" s="63"/>
      <c r="BBN2463" s="60"/>
      <c r="BBO2463" s="60"/>
      <c r="BBP2463" s="60"/>
      <c r="BBQ2463" s="63"/>
      <c r="BBR2463" s="61"/>
      <c r="BBS2463" s="54"/>
      <c r="BBT2463" s="54"/>
      <c r="BBU2463" s="63"/>
      <c r="BBV2463" s="60"/>
      <c r="BBW2463" s="60"/>
      <c r="BBX2463" s="60"/>
      <c r="BBY2463" s="63"/>
      <c r="BBZ2463" s="61"/>
      <c r="BCA2463" s="54"/>
      <c r="BCB2463" s="54"/>
      <c r="BCC2463" s="63"/>
      <c r="BCD2463" s="60"/>
      <c r="BCE2463" s="60"/>
      <c r="BCF2463" s="60"/>
      <c r="BCG2463" s="63"/>
      <c r="BCH2463" s="61"/>
      <c r="BCI2463" s="54"/>
      <c r="BCJ2463" s="54"/>
      <c r="BCK2463" s="63"/>
      <c r="BCL2463" s="60"/>
      <c r="BCM2463" s="60"/>
      <c r="BCN2463" s="60"/>
      <c r="BCO2463" s="63"/>
      <c r="BCP2463" s="61"/>
      <c r="BCQ2463" s="54"/>
      <c r="BCR2463" s="54"/>
      <c r="BCS2463" s="63"/>
      <c r="BCT2463" s="60"/>
      <c r="BCU2463" s="60"/>
      <c r="BCV2463" s="60"/>
      <c r="BCW2463" s="63"/>
      <c r="BCX2463" s="61"/>
      <c r="BCY2463" s="54"/>
      <c r="BCZ2463" s="54"/>
      <c r="BDA2463" s="63"/>
      <c r="BDB2463" s="60"/>
      <c r="BDC2463" s="60"/>
      <c r="BDD2463" s="60"/>
      <c r="BDE2463" s="63"/>
      <c r="BDF2463" s="61"/>
      <c r="BDG2463" s="54"/>
      <c r="BDH2463" s="54"/>
      <c r="BDI2463" s="63"/>
      <c r="BDJ2463" s="60"/>
      <c r="BDK2463" s="60"/>
      <c r="BDL2463" s="60"/>
      <c r="BDM2463" s="63"/>
      <c r="BDN2463" s="61"/>
      <c r="BDO2463" s="54"/>
      <c r="BDP2463" s="54"/>
      <c r="BDQ2463" s="63"/>
      <c r="BDR2463" s="60"/>
      <c r="BDS2463" s="60"/>
      <c r="BDT2463" s="60"/>
      <c r="BDU2463" s="63"/>
      <c r="BDV2463" s="61"/>
      <c r="BDW2463" s="54"/>
      <c r="BDX2463" s="54"/>
      <c r="BDY2463" s="63"/>
      <c r="BDZ2463" s="60"/>
      <c r="BEA2463" s="60"/>
      <c r="BEB2463" s="60"/>
      <c r="BEC2463" s="63"/>
      <c r="BED2463" s="61"/>
      <c r="BEE2463" s="54"/>
      <c r="BEF2463" s="54"/>
      <c r="BEG2463" s="63"/>
      <c r="BEH2463" s="60"/>
      <c r="BEI2463" s="60"/>
      <c r="BEJ2463" s="60"/>
      <c r="BEK2463" s="63"/>
      <c r="BEL2463" s="61"/>
      <c r="BEM2463" s="54"/>
      <c r="BEN2463" s="54"/>
      <c r="BEO2463" s="63"/>
      <c r="BEP2463" s="60"/>
      <c r="BEQ2463" s="60"/>
      <c r="BER2463" s="60"/>
      <c r="BES2463" s="63"/>
      <c r="BET2463" s="61"/>
      <c r="BEU2463" s="54"/>
      <c r="BEV2463" s="54"/>
      <c r="BEW2463" s="63"/>
      <c r="BEX2463" s="60"/>
      <c r="BEY2463" s="60"/>
      <c r="BEZ2463" s="60"/>
      <c r="BFA2463" s="63"/>
      <c r="BFB2463" s="61"/>
      <c r="BFC2463" s="54"/>
      <c r="BFD2463" s="54"/>
      <c r="BFE2463" s="63"/>
      <c r="BFF2463" s="60"/>
      <c r="BFG2463" s="60"/>
      <c r="BFH2463" s="60"/>
      <c r="BFI2463" s="63"/>
      <c r="BFJ2463" s="61"/>
      <c r="BFK2463" s="54"/>
      <c r="BFL2463" s="54"/>
      <c r="BFM2463" s="63"/>
      <c r="BFN2463" s="60"/>
      <c r="BFO2463" s="60"/>
      <c r="BFP2463" s="60"/>
      <c r="BFQ2463" s="63"/>
      <c r="BFR2463" s="61"/>
      <c r="BFS2463" s="54"/>
      <c r="BFT2463" s="54"/>
      <c r="BFU2463" s="63"/>
      <c r="BFV2463" s="60"/>
      <c r="BFW2463" s="60"/>
      <c r="BFX2463" s="60"/>
      <c r="BFY2463" s="63"/>
      <c r="BFZ2463" s="61"/>
      <c r="BGA2463" s="54"/>
      <c r="BGB2463" s="54"/>
      <c r="BGC2463" s="63"/>
      <c r="BGD2463" s="60"/>
      <c r="BGE2463" s="60"/>
      <c r="BGF2463" s="60"/>
      <c r="BGG2463" s="63"/>
      <c r="BGH2463" s="61"/>
      <c r="BGI2463" s="54"/>
      <c r="BGJ2463" s="54"/>
      <c r="BGK2463" s="63"/>
      <c r="BGL2463" s="60"/>
      <c r="BGM2463" s="60"/>
      <c r="BGN2463" s="60"/>
      <c r="BGO2463" s="63"/>
      <c r="BGP2463" s="61"/>
      <c r="BGQ2463" s="54"/>
      <c r="BGR2463" s="54"/>
      <c r="BGS2463" s="63"/>
      <c r="BGT2463" s="60"/>
      <c r="BGU2463" s="60"/>
      <c r="BGV2463" s="60"/>
      <c r="BGW2463" s="63"/>
      <c r="BGX2463" s="61"/>
      <c r="BGY2463" s="54"/>
      <c r="BGZ2463" s="54"/>
      <c r="BHA2463" s="63"/>
      <c r="BHB2463" s="60"/>
      <c r="BHC2463" s="60"/>
      <c r="BHD2463" s="60"/>
      <c r="BHE2463" s="63"/>
      <c r="BHF2463" s="61"/>
      <c r="BHG2463" s="54"/>
      <c r="BHH2463" s="54"/>
      <c r="BHI2463" s="63"/>
      <c r="BHJ2463" s="60"/>
      <c r="BHK2463" s="60"/>
      <c r="BHL2463" s="60"/>
      <c r="BHM2463" s="63"/>
      <c r="BHN2463" s="61"/>
      <c r="BHO2463" s="54"/>
      <c r="BHP2463" s="54"/>
      <c r="BHQ2463" s="63"/>
      <c r="BHR2463" s="60"/>
      <c r="BHS2463" s="60"/>
      <c r="BHT2463" s="60"/>
      <c r="BHU2463" s="63"/>
      <c r="BHV2463" s="61"/>
      <c r="BHW2463" s="54"/>
      <c r="BHX2463" s="54"/>
      <c r="BHY2463" s="63"/>
      <c r="BHZ2463" s="60"/>
      <c r="BIA2463" s="60"/>
      <c r="BIB2463" s="60"/>
      <c r="BIC2463" s="63"/>
      <c r="BID2463" s="61"/>
      <c r="BIE2463" s="54"/>
      <c r="BIF2463" s="54"/>
      <c r="BIG2463" s="63"/>
      <c r="BIH2463" s="60"/>
      <c r="BII2463" s="60"/>
      <c r="BIJ2463" s="60"/>
      <c r="BIK2463" s="63"/>
      <c r="BIL2463" s="61"/>
      <c r="BIM2463" s="54"/>
      <c r="BIN2463" s="54"/>
      <c r="BIO2463" s="63"/>
      <c r="BIP2463" s="60"/>
      <c r="BIQ2463" s="60"/>
      <c r="BIR2463" s="60"/>
      <c r="BIS2463" s="63"/>
      <c r="BIT2463" s="61"/>
      <c r="BIU2463" s="54"/>
      <c r="BIV2463" s="54"/>
      <c r="BIW2463" s="63"/>
      <c r="BIX2463" s="60"/>
      <c r="BIY2463" s="60"/>
      <c r="BIZ2463" s="60"/>
      <c r="BJA2463" s="63"/>
      <c r="BJB2463" s="61"/>
      <c r="BJC2463" s="54"/>
      <c r="BJD2463" s="54"/>
      <c r="BJE2463" s="63"/>
      <c r="BJF2463" s="60"/>
      <c r="BJG2463" s="60"/>
      <c r="BJH2463" s="60"/>
      <c r="BJI2463" s="63"/>
      <c r="BJJ2463" s="61"/>
      <c r="BJK2463" s="54"/>
      <c r="BJL2463" s="54"/>
      <c r="BJM2463" s="63"/>
      <c r="BJN2463" s="60"/>
      <c r="BJO2463" s="60"/>
      <c r="BJP2463" s="60"/>
      <c r="BJQ2463" s="63"/>
      <c r="BJR2463" s="61"/>
      <c r="BJS2463" s="54"/>
      <c r="BJT2463" s="54"/>
      <c r="BJU2463" s="63"/>
      <c r="BJV2463" s="60"/>
      <c r="BJW2463" s="60"/>
      <c r="BJX2463" s="60"/>
      <c r="BJY2463" s="63"/>
      <c r="BJZ2463" s="61"/>
      <c r="BKA2463" s="54"/>
      <c r="BKB2463" s="54"/>
      <c r="BKC2463" s="63"/>
      <c r="BKD2463" s="60"/>
      <c r="BKE2463" s="60"/>
      <c r="BKF2463" s="60"/>
      <c r="BKG2463" s="63"/>
      <c r="BKH2463" s="61"/>
      <c r="BKI2463" s="54"/>
      <c r="BKJ2463" s="54"/>
      <c r="BKK2463" s="63"/>
      <c r="BKL2463" s="60"/>
      <c r="BKM2463" s="60"/>
      <c r="BKN2463" s="60"/>
      <c r="BKO2463" s="63"/>
      <c r="BKP2463" s="61"/>
      <c r="BKQ2463" s="54"/>
      <c r="BKR2463" s="54"/>
      <c r="BKS2463" s="63"/>
      <c r="BKT2463" s="60"/>
      <c r="BKU2463" s="60"/>
      <c r="BKV2463" s="60"/>
      <c r="BKW2463" s="63"/>
      <c r="BKX2463" s="61"/>
      <c r="BKY2463" s="54"/>
      <c r="BKZ2463" s="54"/>
      <c r="BLA2463" s="63"/>
      <c r="BLB2463" s="60"/>
      <c r="BLC2463" s="60"/>
      <c r="BLD2463" s="60"/>
      <c r="BLE2463" s="63"/>
      <c r="BLF2463" s="61"/>
      <c r="BLG2463" s="54"/>
      <c r="BLH2463" s="54"/>
      <c r="BLI2463" s="63"/>
      <c r="BLJ2463" s="60"/>
      <c r="BLK2463" s="60"/>
      <c r="BLL2463" s="60"/>
      <c r="BLM2463" s="63"/>
      <c r="BLN2463" s="61"/>
      <c r="BLO2463" s="54"/>
      <c r="BLP2463" s="54"/>
      <c r="BLQ2463" s="63"/>
      <c r="BLR2463" s="60"/>
      <c r="BLS2463" s="60"/>
      <c r="BLT2463" s="60"/>
      <c r="BLU2463" s="63"/>
      <c r="BLV2463" s="61"/>
      <c r="BLW2463" s="54"/>
      <c r="BLX2463" s="54"/>
      <c r="BLY2463" s="63"/>
      <c r="BLZ2463" s="60"/>
      <c r="BMA2463" s="60"/>
      <c r="BMB2463" s="60"/>
      <c r="BMC2463" s="63"/>
      <c r="BMD2463" s="61"/>
      <c r="BME2463" s="54"/>
      <c r="BMF2463" s="54"/>
      <c r="BMG2463" s="63"/>
      <c r="BMH2463" s="60"/>
      <c r="BMI2463" s="60"/>
      <c r="BMJ2463" s="60"/>
      <c r="BMK2463" s="63"/>
      <c r="BML2463" s="61"/>
      <c r="BMM2463" s="54"/>
      <c r="BMN2463" s="54"/>
      <c r="BMO2463" s="63"/>
      <c r="BMP2463" s="60"/>
      <c r="BMQ2463" s="60"/>
      <c r="BMR2463" s="60"/>
      <c r="BMS2463" s="63"/>
      <c r="BMT2463" s="61"/>
      <c r="BMU2463" s="54"/>
      <c r="BMV2463" s="54"/>
      <c r="BMW2463" s="63"/>
      <c r="BMX2463" s="60"/>
      <c r="BMY2463" s="60"/>
      <c r="BMZ2463" s="60"/>
      <c r="BNA2463" s="63"/>
      <c r="BNB2463" s="61"/>
      <c r="BNC2463" s="54"/>
      <c r="BND2463" s="54"/>
      <c r="BNE2463" s="63"/>
      <c r="BNF2463" s="60"/>
      <c r="BNG2463" s="60"/>
      <c r="BNH2463" s="60"/>
      <c r="BNI2463" s="63"/>
      <c r="BNJ2463" s="61"/>
      <c r="BNK2463" s="54"/>
      <c r="BNL2463" s="54"/>
      <c r="BNM2463" s="63"/>
      <c r="BNN2463" s="60"/>
      <c r="BNO2463" s="60"/>
      <c r="BNP2463" s="60"/>
      <c r="BNQ2463" s="63"/>
      <c r="BNR2463" s="61"/>
      <c r="BNS2463" s="54"/>
      <c r="BNT2463" s="54"/>
      <c r="BNU2463" s="63"/>
      <c r="BNV2463" s="60"/>
      <c r="BNW2463" s="60"/>
      <c r="BNX2463" s="60"/>
      <c r="BNY2463" s="63"/>
      <c r="BNZ2463" s="61"/>
      <c r="BOA2463" s="54"/>
      <c r="BOB2463" s="54"/>
      <c r="BOC2463" s="63"/>
      <c r="BOD2463" s="60"/>
      <c r="BOE2463" s="60"/>
      <c r="BOF2463" s="60"/>
      <c r="BOG2463" s="63"/>
      <c r="BOH2463" s="61"/>
      <c r="BOI2463" s="54"/>
      <c r="BOJ2463" s="54"/>
      <c r="BOK2463" s="63"/>
      <c r="BOL2463" s="60"/>
      <c r="BOM2463" s="60"/>
      <c r="BON2463" s="60"/>
      <c r="BOO2463" s="63"/>
      <c r="BOP2463" s="61"/>
      <c r="BOQ2463" s="54"/>
      <c r="BOR2463" s="54"/>
      <c r="BOS2463" s="63"/>
      <c r="BOT2463" s="60"/>
      <c r="BOU2463" s="60"/>
      <c r="BOV2463" s="60"/>
      <c r="BOW2463" s="63"/>
      <c r="BOX2463" s="61"/>
      <c r="BOY2463" s="54"/>
      <c r="BOZ2463" s="54"/>
      <c r="BPA2463" s="63"/>
      <c r="BPB2463" s="60"/>
      <c r="BPC2463" s="60"/>
      <c r="BPD2463" s="60"/>
      <c r="BPE2463" s="63"/>
      <c r="BPF2463" s="61"/>
      <c r="BPG2463" s="54"/>
      <c r="BPH2463" s="54"/>
      <c r="BPI2463" s="63"/>
      <c r="BPJ2463" s="60"/>
      <c r="BPK2463" s="60"/>
      <c r="BPL2463" s="60"/>
      <c r="BPM2463" s="63"/>
      <c r="BPN2463" s="61"/>
      <c r="BPO2463" s="54"/>
      <c r="BPP2463" s="54"/>
      <c r="BPQ2463" s="63"/>
      <c r="BPR2463" s="60"/>
      <c r="BPS2463" s="60"/>
      <c r="BPT2463" s="60"/>
      <c r="BPU2463" s="63"/>
      <c r="BPV2463" s="61"/>
      <c r="BPW2463" s="54"/>
      <c r="BPX2463" s="54"/>
      <c r="BPY2463" s="63"/>
      <c r="BPZ2463" s="60"/>
      <c r="BQA2463" s="60"/>
      <c r="BQB2463" s="60"/>
      <c r="BQC2463" s="63"/>
      <c r="BQD2463" s="61"/>
      <c r="BQE2463" s="54"/>
      <c r="BQF2463" s="54"/>
      <c r="BQG2463" s="63"/>
      <c r="BQH2463" s="60"/>
      <c r="BQI2463" s="60"/>
      <c r="BQJ2463" s="60"/>
      <c r="BQK2463" s="63"/>
      <c r="BQL2463" s="61"/>
      <c r="BQM2463" s="54"/>
      <c r="BQN2463" s="54"/>
      <c r="BQO2463" s="63"/>
      <c r="BQP2463" s="60"/>
      <c r="BQQ2463" s="60"/>
      <c r="BQR2463" s="60"/>
      <c r="BQS2463" s="63"/>
      <c r="BQT2463" s="61"/>
      <c r="BQU2463" s="54"/>
      <c r="BQV2463" s="54"/>
      <c r="BQW2463" s="63"/>
      <c r="BQX2463" s="60"/>
      <c r="BQY2463" s="60"/>
      <c r="BQZ2463" s="60"/>
      <c r="BRA2463" s="63"/>
      <c r="BRB2463" s="61"/>
      <c r="BRC2463" s="54"/>
      <c r="BRD2463" s="54"/>
      <c r="BRE2463" s="63"/>
      <c r="BRF2463" s="60"/>
      <c r="BRG2463" s="60"/>
      <c r="BRH2463" s="60"/>
      <c r="BRI2463" s="63"/>
      <c r="BRJ2463" s="61"/>
      <c r="BRK2463" s="54"/>
      <c r="BRL2463" s="54"/>
      <c r="BRM2463" s="63"/>
      <c r="BRN2463" s="60"/>
      <c r="BRO2463" s="60"/>
      <c r="BRP2463" s="60"/>
      <c r="BRQ2463" s="63"/>
      <c r="BRR2463" s="61"/>
      <c r="BRS2463" s="54"/>
      <c r="BRT2463" s="54"/>
      <c r="BRU2463" s="63"/>
      <c r="BRV2463" s="60"/>
      <c r="BRW2463" s="60"/>
      <c r="BRX2463" s="60"/>
      <c r="BRY2463" s="63"/>
      <c r="BRZ2463" s="61"/>
      <c r="BSA2463" s="54"/>
      <c r="BSB2463" s="54"/>
      <c r="BSC2463" s="63"/>
      <c r="BSD2463" s="60"/>
      <c r="BSE2463" s="60"/>
      <c r="BSF2463" s="60"/>
      <c r="BSG2463" s="63"/>
      <c r="BSH2463" s="61"/>
      <c r="BSI2463" s="54"/>
      <c r="BSJ2463" s="54"/>
      <c r="BSK2463" s="63"/>
      <c r="BSL2463" s="60"/>
      <c r="BSM2463" s="60"/>
      <c r="BSN2463" s="60"/>
      <c r="BSO2463" s="63"/>
      <c r="BSP2463" s="61"/>
      <c r="BSQ2463" s="54"/>
      <c r="BSR2463" s="54"/>
      <c r="BSS2463" s="63"/>
      <c r="BST2463" s="60"/>
      <c r="BSU2463" s="60"/>
      <c r="BSV2463" s="60"/>
      <c r="BSW2463" s="63"/>
      <c r="BSX2463" s="61"/>
      <c r="BSY2463" s="54"/>
      <c r="BSZ2463" s="54"/>
      <c r="BTA2463" s="63"/>
      <c r="BTB2463" s="60"/>
      <c r="BTC2463" s="60"/>
      <c r="BTD2463" s="60"/>
      <c r="BTE2463" s="63"/>
      <c r="BTF2463" s="61"/>
      <c r="BTG2463" s="54"/>
      <c r="BTH2463" s="54"/>
      <c r="BTI2463" s="63"/>
      <c r="BTJ2463" s="60"/>
      <c r="BTK2463" s="60"/>
      <c r="BTL2463" s="60"/>
      <c r="BTM2463" s="63"/>
      <c r="BTN2463" s="61"/>
      <c r="BTO2463" s="54"/>
      <c r="BTP2463" s="54"/>
      <c r="BTQ2463" s="63"/>
      <c r="BTR2463" s="60"/>
      <c r="BTS2463" s="60"/>
      <c r="BTT2463" s="60"/>
      <c r="BTU2463" s="63"/>
      <c r="BTV2463" s="61"/>
      <c r="BTW2463" s="54"/>
      <c r="BTX2463" s="54"/>
      <c r="BTY2463" s="63"/>
      <c r="BTZ2463" s="60"/>
      <c r="BUA2463" s="60"/>
      <c r="BUB2463" s="60"/>
      <c r="BUC2463" s="63"/>
      <c r="BUD2463" s="61"/>
      <c r="BUE2463" s="54"/>
      <c r="BUF2463" s="54"/>
      <c r="BUG2463" s="63"/>
      <c r="BUH2463" s="60"/>
      <c r="BUI2463" s="60"/>
      <c r="BUJ2463" s="60"/>
      <c r="BUK2463" s="63"/>
      <c r="BUL2463" s="61"/>
      <c r="BUM2463" s="54"/>
      <c r="BUN2463" s="54"/>
      <c r="BUO2463" s="63"/>
      <c r="BUP2463" s="60"/>
      <c r="BUQ2463" s="60"/>
      <c r="BUR2463" s="60"/>
      <c r="BUS2463" s="63"/>
      <c r="BUT2463" s="61"/>
      <c r="BUU2463" s="54"/>
      <c r="BUV2463" s="54"/>
      <c r="BUW2463" s="63"/>
      <c r="BUX2463" s="60"/>
      <c r="BUY2463" s="60"/>
      <c r="BUZ2463" s="60"/>
      <c r="BVA2463" s="63"/>
      <c r="BVB2463" s="61"/>
      <c r="BVC2463" s="54"/>
      <c r="BVD2463" s="54"/>
      <c r="BVE2463" s="63"/>
      <c r="BVF2463" s="60"/>
      <c r="BVG2463" s="60"/>
      <c r="BVH2463" s="60"/>
      <c r="BVI2463" s="63"/>
      <c r="BVJ2463" s="61"/>
      <c r="BVK2463" s="54"/>
      <c r="BVL2463" s="54"/>
      <c r="BVM2463" s="63"/>
      <c r="BVN2463" s="60"/>
      <c r="BVO2463" s="60"/>
      <c r="BVP2463" s="60"/>
      <c r="BVQ2463" s="63"/>
      <c r="BVR2463" s="61"/>
      <c r="BVS2463" s="54"/>
      <c r="BVT2463" s="54"/>
      <c r="BVU2463" s="63"/>
      <c r="BVV2463" s="60"/>
      <c r="BVW2463" s="60"/>
      <c r="BVX2463" s="60"/>
      <c r="BVY2463" s="63"/>
      <c r="BVZ2463" s="61"/>
      <c r="BWA2463" s="54"/>
      <c r="BWB2463" s="54"/>
      <c r="BWC2463" s="63"/>
      <c r="BWD2463" s="60"/>
      <c r="BWE2463" s="60"/>
      <c r="BWF2463" s="60"/>
      <c r="BWG2463" s="63"/>
      <c r="BWH2463" s="61"/>
      <c r="BWI2463" s="54"/>
      <c r="BWJ2463" s="54"/>
      <c r="BWK2463" s="63"/>
      <c r="BWL2463" s="60"/>
      <c r="BWM2463" s="60"/>
      <c r="BWN2463" s="60"/>
      <c r="BWO2463" s="63"/>
      <c r="BWP2463" s="61"/>
      <c r="BWQ2463" s="54"/>
      <c r="BWR2463" s="54"/>
      <c r="BWS2463" s="63"/>
      <c r="BWT2463" s="60"/>
      <c r="BWU2463" s="60"/>
      <c r="BWV2463" s="60"/>
      <c r="BWW2463" s="63"/>
      <c r="BWX2463" s="61"/>
      <c r="BWY2463" s="54"/>
      <c r="BWZ2463" s="54"/>
      <c r="BXA2463" s="63"/>
      <c r="BXB2463" s="60"/>
      <c r="BXC2463" s="60"/>
      <c r="BXD2463" s="60"/>
      <c r="BXE2463" s="63"/>
      <c r="BXF2463" s="61"/>
      <c r="BXG2463" s="54"/>
      <c r="BXH2463" s="54"/>
      <c r="BXI2463" s="63"/>
      <c r="BXJ2463" s="60"/>
      <c r="BXK2463" s="60"/>
      <c r="BXL2463" s="60"/>
      <c r="BXM2463" s="63"/>
      <c r="BXN2463" s="61"/>
      <c r="BXO2463" s="54"/>
      <c r="BXP2463" s="54"/>
      <c r="BXQ2463" s="63"/>
      <c r="BXR2463" s="60"/>
      <c r="BXS2463" s="60"/>
      <c r="BXT2463" s="60"/>
      <c r="BXU2463" s="63"/>
      <c r="BXV2463" s="61"/>
      <c r="BXW2463" s="54"/>
      <c r="BXX2463" s="54"/>
      <c r="BXY2463" s="63"/>
      <c r="BXZ2463" s="60"/>
      <c r="BYA2463" s="60"/>
      <c r="BYB2463" s="60"/>
      <c r="BYC2463" s="63"/>
      <c r="BYD2463" s="61"/>
      <c r="BYE2463" s="54"/>
      <c r="BYF2463" s="54"/>
      <c r="BYG2463" s="63"/>
      <c r="BYH2463" s="60"/>
      <c r="BYI2463" s="60"/>
      <c r="BYJ2463" s="60"/>
      <c r="BYK2463" s="63"/>
      <c r="BYL2463" s="61"/>
      <c r="BYM2463" s="54"/>
      <c r="BYN2463" s="54"/>
      <c r="BYO2463" s="63"/>
      <c r="BYP2463" s="60"/>
      <c r="BYQ2463" s="60"/>
      <c r="BYR2463" s="60"/>
      <c r="BYS2463" s="63"/>
      <c r="BYT2463" s="61"/>
      <c r="BYU2463" s="54"/>
      <c r="BYV2463" s="54"/>
      <c r="BYW2463" s="63"/>
      <c r="BYX2463" s="60"/>
      <c r="BYY2463" s="60"/>
      <c r="BYZ2463" s="60"/>
      <c r="BZA2463" s="63"/>
      <c r="BZB2463" s="61"/>
      <c r="BZC2463" s="54"/>
      <c r="BZD2463" s="54"/>
      <c r="BZE2463" s="63"/>
      <c r="BZF2463" s="60"/>
      <c r="BZG2463" s="60"/>
      <c r="BZH2463" s="60"/>
      <c r="BZI2463" s="63"/>
      <c r="BZJ2463" s="61"/>
      <c r="BZK2463" s="54"/>
      <c r="BZL2463" s="54"/>
      <c r="BZM2463" s="63"/>
      <c r="BZN2463" s="60"/>
      <c r="BZO2463" s="60"/>
      <c r="BZP2463" s="60"/>
      <c r="BZQ2463" s="63"/>
      <c r="BZR2463" s="61"/>
      <c r="BZS2463" s="54"/>
      <c r="BZT2463" s="54"/>
      <c r="BZU2463" s="63"/>
      <c r="BZV2463" s="60"/>
      <c r="BZW2463" s="60"/>
      <c r="BZX2463" s="60"/>
      <c r="BZY2463" s="63"/>
      <c r="BZZ2463" s="61"/>
      <c r="CAA2463" s="54"/>
      <c r="CAB2463" s="54"/>
      <c r="CAC2463" s="63"/>
      <c r="CAD2463" s="60"/>
      <c r="CAE2463" s="60"/>
      <c r="CAF2463" s="60"/>
      <c r="CAG2463" s="63"/>
      <c r="CAH2463" s="61"/>
      <c r="CAI2463" s="54"/>
      <c r="CAJ2463" s="54"/>
      <c r="CAK2463" s="63"/>
      <c r="CAL2463" s="60"/>
      <c r="CAM2463" s="60"/>
      <c r="CAN2463" s="60"/>
      <c r="CAO2463" s="63"/>
      <c r="CAP2463" s="61"/>
      <c r="CAQ2463" s="54"/>
      <c r="CAR2463" s="54"/>
      <c r="CAS2463" s="63"/>
      <c r="CAT2463" s="60"/>
      <c r="CAU2463" s="60"/>
      <c r="CAV2463" s="60"/>
      <c r="CAW2463" s="63"/>
      <c r="CAX2463" s="61"/>
      <c r="CAY2463" s="54"/>
      <c r="CAZ2463" s="54"/>
      <c r="CBA2463" s="63"/>
      <c r="CBB2463" s="60"/>
      <c r="CBC2463" s="60"/>
      <c r="CBD2463" s="60"/>
      <c r="CBE2463" s="63"/>
      <c r="CBF2463" s="61"/>
      <c r="CBG2463" s="54"/>
      <c r="CBH2463" s="54"/>
      <c r="CBI2463" s="63"/>
      <c r="CBJ2463" s="60"/>
      <c r="CBK2463" s="60"/>
      <c r="CBL2463" s="60"/>
      <c r="CBM2463" s="63"/>
      <c r="CBN2463" s="61"/>
      <c r="CBO2463" s="54"/>
      <c r="CBP2463" s="54"/>
      <c r="CBQ2463" s="63"/>
      <c r="CBR2463" s="60"/>
      <c r="CBS2463" s="60"/>
      <c r="CBT2463" s="60"/>
      <c r="CBU2463" s="63"/>
      <c r="CBV2463" s="61"/>
      <c r="CBW2463" s="54"/>
      <c r="CBX2463" s="54"/>
      <c r="CBY2463" s="63"/>
      <c r="CBZ2463" s="60"/>
      <c r="CCA2463" s="60"/>
      <c r="CCB2463" s="60"/>
      <c r="CCC2463" s="63"/>
      <c r="CCD2463" s="61"/>
      <c r="CCE2463" s="54"/>
      <c r="CCF2463" s="54"/>
      <c r="CCG2463" s="63"/>
      <c r="CCH2463" s="60"/>
      <c r="CCI2463" s="60"/>
      <c r="CCJ2463" s="60"/>
      <c r="CCK2463" s="63"/>
      <c r="CCL2463" s="61"/>
      <c r="CCM2463" s="54"/>
      <c r="CCN2463" s="54"/>
      <c r="CCO2463" s="63"/>
      <c r="CCP2463" s="60"/>
      <c r="CCQ2463" s="60"/>
      <c r="CCR2463" s="60"/>
      <c r="CCS2463" s="63"/>
      <c r="CCT2463" s="61"/>
      <c r="CCU2463" s="54"/>
      <c r="CCV2463" s="54"/>
      <c r="CCW2463" s="63"/>
      <c r="CCX2463" s="60"/>
      <c r="CCY2463" s="60"/>
      <c r="CCZ2463" s="60"/>
      <c r="CDA2463" s="63"/>
      <c r="CDB2463" s="61"/>
      <c r="CDC2463" s="54"/>
      <c r="CDD2463" s="54"/>
      <c r="CDE2463" s="63"/>
      <c r="CDF2463" s="60"/>
      <c r="CDG2463" s="60"/>
      <c r="CDH2463" s="60"/>
      <c r="CDI2463" s="63"/>
      <c r="CDJ2463" s="61"/>
      <c r="CDK2463" s="54"/>
      <c r="CDL2463" s="54"/>
      <c r="CDM2463" s="63"/>
      <c r="CDN2463" s="60"/>
      <c r="CDO2463" s="60"/>
      <c r="CDP2463" s="60"/>
      <c r="CDQ2463" s="63"/>
      <c r="CDR2463" s="61"/>
      <c r="CDS2463" s="54"/>
      <c r="CDT2463" s="54"/>
      <c r="CDU2463" s="63"/>
      <c r="CDV2463" s="60"/>
      <c r="CDW2463" s="60"/>
      <c r="CDX2463" s="60"/>
      <c r="CDY2463" s="63"/>
      <c r="CDZ2463" s="61"/>
      <c r="CEA2463" s="54"/>
      <c r="CEB2463" s="54"/>
      <c r="CEC2463" s="63"/>
      <c r="CED2463" s="60"/>
      <c r="CEE2463" s="60"/>
      <c r="CEF2463" s="60"/>
      <c r="CEG2463" s="63"/>
      <c r="CEH2463" s="61"/>
      <c r="CEI2463" s="54"/>
      <c r="CEJ2463" s="54"/>
      <c r="CEK2463" s="63"/>
      <c r="CEL2463" s="60"/>
      <c r="CEM2463" s="60"/>
      <c r="CEN2463" s="60"/>
      <c r="CEO2463" s="63"/>
      <c r="CEP2463" s="61"/>
      <c r="CEQ2463" s="54"/>
      <c r="CER2463" s="54"/>
      <c r="CES2463" s="63"/>
      <c r="CET2463" s="60"/>
      <c r="CEU2463" s="60"/>
      <c r="CEV2463" s="60"/>
      <c r="CEW2463" s="63"/>
      <c r="CEX2463" s="61"/>
      <c r="CEY2463" s="54"/>
      <c r="CEZ2463" s="54"/>
      <c r="CFA2463" s="63"/>
      <c r="CFB2463" s="60"/>
      <c r="CFC2463" s="60"/>
      <c r="CFD2463" s="60"/>
      <c r="CFE2463" s="63"/>
      <c r="CFF2463" s="61"/>
      <c r="CFG2463" s="54"/>
      <c r="CFH2463" s="54"/>
      <c r="CFI2463" s="63"/>
      <c r="CFJ2463" s="60"/>
      <c r="CFK2463" s="60"/>
      <c r="CFL2463" s="60"/>
      <c r="CFM2463" s="63"/>
      <c r="CFN2463" s="61"/>
      <c r="CFO2463" s="54"/>
      <c r="CFP2463" s="54"/>
      <c r="CFQ2463" s="63"/>
      <c r="CFR2463" s="60"/>
      <c r="CFS2463" s="60"/>
      <c r="CFT2463" s="60"/>
      <c r="CFU2463" s="63"/>
      <c r="CFV2463" s="61"/>
      <c r="CFW2463" s="54"/>
      <c r="CFX2463" s="54"/>
      <c r="CFY2463" s="63"/>
      <c r="CFZ2463" s="60"/>
      <c r="CGA2463" s="60"/>
      <c r="CGB2463" s="60"/>
      <c r="CGC2463" s="63"/>
      <c r="CGD2463" s="61"/>
      <c r="CGE2463" s="54"/>
      <c r="CGF2463" s="54"/>
      <c r="CGG2463" s="63"/>
      <c r="CGH2463" s="60"/>
      <c r="CGI2463" s="60"/>
      <c r="CGJ2463" s="60"/>
      <c r="CGK2463" s="63"/>
      <c r="CGL2463" s="61"/>
      <c r="CGM2463" s="54"/>
      <c r="CGN2463" s="54"/>
      <c r="CGO2463" s="63"/>
      <c r="CGP2463" s="60"/>
      <c r="CGQ2463" s="60"/>
      <c r="CGR2463" s="60"/>
      <c r="CGS2463" s="63"/>
      <c r="CGT2463" s="61"/>
      <c r="CGU2463" s="54"/>
      <c r="CGV2463" s="54"/>
      <c r="CGW2463" s="63"/>
      <c r="CGX2463" s="60"/>
      <c r="CGY2463" s="60"/>
      <c r="CGZ2463" s="60"/>
      <c r="CHA2463" s="63"/>
      <c r="CHB2463" s="61"/>
      <c r="CHC2463" s="54"/>
      <c r="CHD2463" s="54"/>
      <c r="CHE2463" s="63"/>
      <c r="CHF2463" s="60"/>
      <c r="CHG2463" s="60"/>
      <c r="CHH2463" s="60"/>
      <c r="CHI2463" s="63"/>
      <c r="CHJ2463" s="61"/>
      <c r="CHK2463" s="54"/>
      <c r="CHL2463" s="54"/>
      <c r="CHM2463" s="63"/>
      <c r="CHN2463" s="60"/>
      <c r="CHO2463" s="60"/>
      <c r="CHP2463" s="60"/>
      <c r="CHQ2463" s="63"/>
      <c r="CHR2463" s="61"/>
      <c r="CHS2463" s="54"/>
      <c r="CHT2463" s="54"/>
      <c r="CHU2463" s="63"/>
      <c r="CHV2463" s="60"/>
      <c r="CHW2463" s="60"/>
      <c r="CHX2463" s="60"/>
      <c r="CHY2463" s="63"/>
      <c r="CHZ2463" s="61"/>
      <c r="CIA2463" s="54"/>
      <c r="CIB2463" s="54"/>
      <c r="CIC2463" s="63"/>
      <c r="CID2463" s="60"/>
      <c r="CIE2463" s="60"/>
      <c r="CIF2463" s="60"/>
      <c r="CIG2463" s="63"/>
      <c r="CIH2463" s="61"/>
      <c r="CII2463" s="54"/>
      <c r="CIJ2463" s="54"/>
      <c r="CIK2463" s="63"/>
      <c r="CIL2463" s="60"/>
      <c r="CIM2463" s="60"/>
      <c r="CIN2463" s="60"/>
      <c r="CIO2463" s="63"/>
      <c r="CIP2463" s="61"/>
      <c r="CIQ2463" s="54"/>
      <c r="CIR2463" s="54"/>
      <c r="CIS2463" s="63"/>
      <c r="CIT2463" s="60"/>
      <c r="CIU2463" s="60"/>
      <c r="CIV2463" s="60"/>
      <c r="CIW2463" s="63"/>
      <c r="CIX2463" s="61"/>
      <c r="CIY2463" s="54"/>
      <c r="CIZ2463" s="54"/>
      <c r="CJA2463" s="63"/>
      <c r="CJB2463" s="60"/>
      <c r="CJC2463" s="60"/>
      <c r="CJD2463" s="60"/>
      <c r="CJE2463" s="63"/>
      <c r="CJF2463" s="61"/>
      <c r="CJG2463" s="54"/>
      <c r="CJH2463" s="54"/>
      <c r="CJI2463" s="63"/>
      <c r="CJJ2463" s="60"/>
      <c r="CJK2463" s="60"/>
      <c r="CJL2463" s="60"/>
      <c r="CJM2463" s="63"/>
      <c r="CJN2463" s="61"/>
      <c r="CJO2463" s="54"/>
      <c r="CJP2463" s="54"/>
      <c r="CJQ2463" s="63"/>
      <c r="CJR2463" s="60"/>
      <c r="CJS2463" s="60"/>
      <c r="CJT2463" s="60"/>
      <c r="CJU2463" s="63"/>
      <c r="CJV2463" s="61"/>
      <c r="CJW2463" s="54"/>
      <c r="CJX2463" s="54"/>
      <c r="CJY2463" s="63"/>
      <c r="CJZ2463" s="60"/>
      <c r="CKA2463" s="60"/>
      <c r="CKB2463" s="60"/>
      <c r="CKC2463" s="63"/>
      <c r="CKD2463" s="61"/>
      <c r="CKE2463" s="54"/>
      <c r="CKF2463" s="54"/>
      <c r="CKG2463" s="63"/>
      <c r="CKH2463" s="60"/>
      <c r="CKI2463" s="60"/>
      <c r="CKJ2463" s="60"/>
      <c r="CKK2463" s="63"/>
      <c r="CKL2463" s="61"/>
      <c r="CKM2463" s="54"/>
      <c r="CKN2463" s="54"/>
      <c r="CKO2463" s="63"/>
      <c r="CKP2463" s="60"/>
      <c r="CKQ2463" s="60"/>
      <c r="CKR2463" s="60"/>
      <c r="CKS2463" s="63"/>
      <c r="CKT2463" s="61"/>
      <c r="CKU2463" s="54"/>
      <c r="CKV2463" s="54"/>
      <c r="CKW2463" s="63"/>
      <c r="CKX2463" s="60"/>
      <c r="CKY2463" s="60"/>
      <c r="CKZ2463" s="60"/>
      <c r="CLA2463" s="63"/>
      <c r="CLB2463" s="61"/>
      <c r="CLC2463" s="54"/>
      <c r="CLD2463" s="54"/>
      <c r="CLE2463" s="63"/>
      <c r="CLF2463" s="60"/>
      <c r="CLG2463" s="60"/>
      <c r="CLH2463" s="60"/>
      <c r="CLI2463" s="63"/>
      <c r="CLJ2463" s="61"/>
      <c r="CLK2463" s="54"/>
      <c r="CLL2463" s="54"/>
      <c r="CLM2463" s="63"/>
      <c r="CLN2463" s="60"/>
      <c r="CLO2463" s="60"/>
      <c r="CLP2463" s="60"/>
      <c r="CLQ2463" s="63"/>
      <c r="CLR2463" s="61"/>
      <c r="CLS2463" s="54"/>
      <c r="CLT2463" s="54"/>
      <c r="CLU2463" s="63"/>
      <c r="CLV2463" s="60"/>
      <c r="CLW2463" s="60"/>
      <c r="CLX2463" s="60"/>
      <c r="CLY2463" s="63"/>
      <c r="CLZ2463" s="61"/>
      <c r="CMA2463" s="54"/>
      <c r="CMB2463" s="54"/>
      <c r="CMC2463" s="63"/>
      <c r="CMD2463" s="60"/>
      <c r="CME2463" s="60"/>
      <c r="CMF2463" s="60"/>
      <c r="CMG2463" s="63"/>
      <c r="CMH2463" s="61"/>
      <c r="CMI2463" s="54"/>
      <c r="CMJ2463" s="54"/>
      <c r="CMK2463" s="63"/>
      <c r="CML2463" s="60"/>
      <c r="CMM2463" s="60"/>
      <c r="CMN2463" s="60"/>
      <c r="CMO2463" s="63"/>
      <c r="CMP2463" s="61"/>
      <c r="CMQ2463" s="54"/>
      <c r="CMR2463" s="54"/>
      <c r="CMS2463" s="63"/>
      <c r="CMT2463" s="60"/>
      <c r="CMU2463" s="60"/>
      <c r="CMV2463" s="60"/>
      <c r="CMW2463" s="63"/>
      <c r="CMX2463" s="61"/>
      <c r="CMY2463" s="54"/>
      <c r="CMZ2463" s="54"/>
      <c r="CNA2463" s="63"/>
      <c r="CNB2463" s="60"/>
      <c r="CNC2463" s="60"/>
      <c r="CND2463" s="60"/>
      <c r="CNE2463" s="63"/>
      <c r="CNF2463" s="61"/>
      <c r="CNG2463" s="54"/>
      <c r="CNH2463" s="54"/>
      <c r="CNI2463" s="63"/>
      <c r="CNJ2463" s="60"/>
      <c r="CNK2463" s="60"/>
      <c r="CNL2463" s="60"/>
      <c r="CNM2463" s="63"/>
      <c r="CNN2463" s="61"/>
      <c r="CNO2463" s="54"/>
      <c r="CNP2463" s="54"/>
      <c r="CNQ2463" s="63"/>
      <c r="CNR2463" s="60"/>
      <c r="CNS2463" s="60"/>
      <c r="CNT2463" s="60"/>
      <c r="CNU2463" s="63"/>
      <c r="CNV2463" s="61"/>
      <c r="CNW2463" s="54"/>
      <c r="CNX2463" s="54"/>
      <c r="CNY2463" s="63"/>
      <c r="CNZ2463" s="60"/>
      <c r="COA2463" s="60"/>
      <c r="COB2463" s="60"/>
      <c r="COC2463" s="63"/>
      <c r="COD2463" s="61"/>
      <c r="COE2463" s="54"/>
      <c r="COF2463" s="54"/>
      <c r="COG2463" s="63"/>
      <c r="COH2463" s="60"/>
      <c r="COI2463" s="60"/>
      <c r="COJ2463" s="60"/>
      <c r="COK2463" s="63"/>
      <c r="COL2463" s="61"/>
      <c r="COM2463" s="54"/>
      <c r="CON2463" s="54"/>
      <c r="COO2463" s="63"/>
      <c r="COP2463" s="60"/>
      <c r="COQ2463" s="60"/>
      <c r="COR2463" s="60"/>
      <c r="COS2463" s="63"/>
      <c r="COT2463" s="61"/>
      <c r="COU2463" s="54"/>
      <c r="COV2463" s="54"/>
      <c r="COW2463" s="63"/>
      <c r="COX2463" s="60"/>
      <c r="COY2463" s="60"/>
      <c r="COZ2463" s="60"/>
      <c r="CPA2463" s="63"/>
      <c r="CPB2463" s="61"/>
      <c r="CPC2463" s="54"/>
      <c r="CPD2463" s="54"/>
      <c r="CPE2463" s="63"/>
      <c r="CPF2463" s="60"/>
      <c r="CPG2463" s="60"/>
      <c r="CPH2463" s="60"/>
      <c r="CPI2463" s="63"/>
      <c r="CPJ2463" s="61"/>
      <c r="CPK2463" s="54"/>
      <c r="CPL2463" s="54"/>
      <c r="CPM2463" s="63"/>
      <c r="CPN2463" s="60"/>
      <c r="CPO2463" s="60"/>
      <c r="CPP2463" s="60"/>
      <c r="CPQ2463" s="63"/>
      <c r="CPR2463" s="61"/>
      <c r="CPS2463" s="54"/>
      <c r="CPT2463" s="54"/>
      <c r="CPU2463" s="63"/>
      <c r="CPV2463" s="60"/>
      <c r="CPW2463" s="60"/>
      <c r="CPX2463" s="60"/>
      <c r="CPY2463" s="63"/>
      <c r="CPZ2463" s="61"/>
      <c r="CQA2463" s="54"/>
      <c r="CQB2463" s="54"/>
      <c r="CQC2463" s="63"/>
      <c r="CQD2463" s="60"/>
      <c r="CQE2463" s="60"/>
      <c r="CQF2463" s="60"/>
      <c r="CQG2463" s="63"/>
      <c r="CQH2463" s="61"/>
      <c r="CQI2463" s="54"/>
      <c r="CQJ2463" s="54"/>
      <c r="CQK2463" s="63"/>
      <c r="CQL2463" s="60"/>
      <c r="CQM2463" s="60"/>
      <c r="CQN2463" s="60"/>
      <c r="CQO2463" s="63"/>
      <c r="CQP2463" s="61"/>
      <c r="CQQ2463" s="54"/>
      <c r="CQR2463" s="54"/>
      <c r="CQS2463" s="63"/>
      <c r="CQT2463" s="60"/>
      <c r="CQU2463" s="60"/>
      <c r="CQV2463" s="60"/>
      <c r="CQW2463" s="63"/>
      <c r="CQX2463" s="61"/>
      <c r="CQY2463" s="54"/>
      <c r="CQZ2463" s="54"/>
      <c r="CRA2463" s="63"/>
      <c r="CRB2463" s="60"/>
      <c r="CRC2463" s="60"/>
      <c r="CRD2463" s="60"/>
      <c r="CRE2463" s="63"/>
      <c r="CRF2463" s="61"/>
      <c r="CRG2463" s="54"/>
      <c r="CRH2463" s="54"/>
      <c r="CRI2463" s="63"/>
      <c r="CRJ2463" s="60"/>
      <c r="CRK2463" s="60"/>
      <c r="CRL2463" s="60"/>
      <c r="CRM2463" s="63"/>
      <c r="CRN2463" s="61"/>
      <c r="CRO2463" s="54"/>
      <c r="CRP2463" s="54"/>
      <c r="CRQ2463" s="63"/>
      <c r="CRR2463" s="60"/>
      <c r="CRS2463" s="60"/>
      <c r="CRT2463" s="60"/>
      <c r="CRU2463" s="63"/>
      <c r="CRV2463" s="61"/>
      <c r="CRW2463" s="54"/>
      <c r="CRX2463" s="54"/>
      <c r="CRY2463" s="63"/>
      <c r="CRZ2463" s="60"/>
      <c r="CSA2463" s="60"/>
      <c r="CSB2463" s="60"/>
      <c r="CSC2463" s="63"/>
      <c r="CSD2463" s="61"/>
      <c r="CSE2463" s="54"/>
      <c r="CSF2463" s="54"/>
      <c r="CSG2463" s="63"/>
      <c r="CSH2463" s="60"/>
      <c r="CSI2463" s="60"/>
      <c r="CSJ2463" s="60"/>
      <c r="CSK2463" s="63"/>
      <c r="CSL2463" s="61"/>
      <c r="CSM2463" s="54"/>
      <c r="CSN2463" s="54"/>
      <c r="CSO2463" s="63"/>
      <c r="CSP2463" s="60"/>
      <c r="CSQ2463" s="60"/>
      <c r="CSR2463" s="60"/>
      <c r="CSS2463" s="63"/>
      <c r="CST2463" s="61"/>
      <c r="CSU2463" s="54"/>
      <c r="CSV2463" s="54"/>
      <c r="CSW2463" s="63"/>
      <c r="CSX2463" s="60"/>
      <c r="CSY2463" s="60"/>
      <c r="CSZ2463" s="60"/>
      <c r="CTA2463" s="63"/>
      <c r="CTB2463" s="61"/>
      <c r="CTC2463" s="54"/>
      <c r="CTD2463" s="54"/>
      <c r="CTE2463" s="63"/>
      <c r="CTF2463" s="60"/>
      <c r="CTG2463" s="60"/>
      <c r="CTH2463" s="60"/>
      <c r="CTI2463" s="63"/>
      <c r="CTJ2463" s="61"/>
      <c r="CTK2463" s="54"/>
      <c r="CTL2463" s="54"/>
      <c r="CTM2463" s="63"/>
      <c r="CTN2463" s="60"/>
      <c r="CTO2463" s="60"/>
      <c r="CTP2463" s="60"/>
      <c r="CTQ2463" s="63"/>
      <c r="CTR2463" s="61"/>
      <c r="CTS2463" s="54"/>
      <c r="CTT2463" s="54"/>
      <c r="CTU2463" s="63"/>
      <c r="CTV2463" s="60"/>
      <c r="CTW2463" s="60"/>
      <c r="CTX2463" s="60"/>
      <c r="CTY2463" s="63"/>
      <c r="CTZ2463" s="61"/>
      <c r="CUA2463" s="54"/>
      <c r="CUB2463" s="54"/>
      <c r="CUC2463" s="63"/>
      <c r="CUD2463" s="60"/>
      <c r="CUE2463" s="60"/>
      <c r="CUF2463" s="60"/>
      <c r="CUG2463" s="63"/>
      <c r="CUH2463" s="61"/>
      <c r="CUI2463" s="54"/>
      <c r="CUJ2463" s="54"/>
      <c r="CUK2463" s="63"/>
      <c r="CUL2463" s="60"/>
      <c r="CUM2463" s="60"/>
      <c r="CUN2463" s="60"/>
      <c r="CUO2463" s="63"/>
      <c r="CUP2463" s="61"/>
      <c r="CUQ2463" s="54"/>
      <c r="CUR2463" s="54"/>
      <c r="CUS2463" s="63"/>
      <c r="CUT2463" s="60"/>
      <c r="CUU2463" s="60"/>
      <c r="CUV2463" s="60"/>
      <c r="CUW2463" s="63"/>
      <c r="CUX2463" s="61"/>
      <c r="CUY2463" s="54"/>
      <c r="CUZ2463" s="54"/>
      <c r="CVA2463" s="63"/>
      <c r="CVB2463" s="60"/>
      <c r="CVC2463" s="60"/>
      <c r="CVD2463" s="60"/>
      <c r="CVE2463" s="63"/>
      <c r="CVF2463" s="61"/>
      <c r="CVG2463" s="54"/>
      <c r="CVH2463" s="54"/>
      <c r="CVI2463" s="63"/>
      <c r="CVJ2463" s="60"/>
      <c r="CVK2463" s="60"/>
      <c r="CVL2463" s="60"/>
      <c r="CVM2463" s="63"/>
      <c r="CVN2463" s="61"/>
      <c r="CVO2463" s="54"/>
      <c r="CVP2463" s="54"/>
      <c r="CVQ2463" s="63"/>
      <c r="CVR2463" s="60"/>
      <c r="CVS2463" s="60"/>
      <c r="CVT2463" s="60"/>
      <c r="CVU2463" s="63"/>
      <c r="CVV2463" s="61"/>
      <c r="CVW2463" s="54"/>
      <c r="CVX2463" s="54"/>
      <c r="CVY2463" s="63"/>
      <c r="CVZ2463" s="60"/>
      <c r="CWA2463" s="60"/>
      <c r="CWB2463" s="60"/>
      <c r="CWC2463" s="63"/>
      <c r="CWD2463" s="61"/>
      <c r="CWE2463" s="54"/>
      <c r="CWF2463" s="54"/>
      <c r="CWG2463" s="63"/>
      <c r="CWH2463" s="60"/>
      <c r="CWI2463" s="60"/>
      <c r="CWJ2463" s="60"/>
      <c r="CWK2463" s="63"/>
      <c r="CWL2463" s="61"/>
      <c r="CWM2463" s="54"/>
      <c r="CWN2463" s="54"/>
      <c r="CWO2463" s="63"/>
      <c r="CWP2463" s="60"/>
      <c r="CWQ2463" s="60"/>
      <c r="CWR2463" s="60"/>
      <c r="CWS2463" s="63"/>
      <c r="CWT2463" s="61"/>
      <c r="CWU2463" s="54"/>
      <c r="CWV2463" s="54"/>
      <c r="CWW2463" s="63"/>
      <c r="CWX2463" s="60"/>
      <c r="CWY2463" s="60"/>
      <c r="CWZ2463" s="60"/>
      <c r="CXA2463" s="63"/>
      <c r="CXB2463" s="61"/>
      <c r="CXC2463" s="54"/>
      <c r="CXD2463" s="54"/>
      <c r="CXE2463" s="63"/>
      <c r="CXF2463" s="60"/>
      <c r="CXG2463" s="60"/>
      <c r="CXH2463" s="60"/>
      <c r="CXI2463" s="63"/>
      <c r="CXJ2463" s="61"/>
      <c r="CXK2463" s="54"/>
      <c r="CXL2463" s="54"/>
      <c r="CXM2463" s="63"/>
      <c r="CXN2463" s="60"/>
      <c r="CXO2463" s="60"/>
      <c r="CXP2463" s="60"/>
      <c r="CXQ2463" s="63"/>
      <c r="CXR2463" s="61"/>
      <c r="CXS2463" s="54"/>
      <c r="CXT2463" s="54"/>
      <c r="CXU2463" s="63"/>
      <c r="CXV2463" s="60"/>
      <c r="CXW2463" s="60"/>
      <c r="CXX2463" s="60"/>
      <c r="CXY2463" s="63"/>
      <c r="CXZ2463" s="61"/>
      <c r="CYA2463" s="54"/>
      <c r="CYB2463" s="54"/>
      <c r="CYC2463" s="63"/>
      <c r="CYD2463" s="60"/>
      <c r="CYE2463" s="60"/>
      <c r="CYF2463" s="60"/>
      <c r="CYG2463" s="63"/>
      <c r="CYH2463" s="61"/>
      <c r="CYI2463" s="54"/>
      <c r="CYJ2463" s="54"/>
      <c r="CYK2463" s="63"/>
      <c r="CYL2463" s="60"/>
      <c r="CYM2463" s="60"/>
      <c r="CYN2463" s="60"/>
      <c r="CYO2463" s="63"/>
      <c r="CYP2463" s="61"/>
      <c r="CYQ2463" s="54"/>
      <c r="CYR2463" s="54"/>
      <c r="CYS2463" s="63"/>
      <c r="CYT2463" s="60"/>
      <c r="CYU2463" s="60"/>
      <c r="CYV2463" s="60"/>
      <c r="CYW2463" s="63"/>
      <c r="CYX2463" s="61"/>
      <c r="CYY2463" s="54"/>
      <c r="CYZ2463" s="54"/>
      <c r="CZA2463" s="63"/>
      <c r="CZB2463" s="60"/>
      <c r="CZC2463" s="60"/>
      <c r="CZD2463" s="60"/>
      <c r="CZE2463" s="63"/>
      <c r="CZF2463" s="61"/>
      <c r="CZG2463" s="54"/>
      <c r="CZH2463" s="54"/>
      <c r="CZI2463" s="63"/>
      <c r="CZJ2463" s="60"/>
      <c r="CZK2463" s="60"/>
      <c r="CZL2463" s="60"/>
      <c r="CZM2463" s="63"/>
      <c r="CZN2463" s="61"/>
      <c r="CZO2463" s="54"/>
      <c r="CZP2463" s="54"/>
      <c r="CZQ2463" s="63"/>
      <c r="CZR2463" s="60"/>
      <c r="CZS2463" s="60"/>
      <c r="CZT2463" s="60"/>
      <c r="CZU2463" s="63"/>
      <c r="CZV2463" s="61"/>
      <c r="CZW2463" s="54"/>
      <c r="CZX2463" s="54"/>
      <c r="CZY2463" s="63"/>
      <c r="CZZ2463" s="60"/>
      <c r="DAA2463" s="60"/>
      <c r="DAB2463" s="60"/>
      <c r="DAC2463" s="63"/>
      <c r="DAD2463" s="61"/>
      <c r="DAE2463" s="54"/>
      <c r="DAF2463" s="54"/>
      <c r="DAG2463" s="63"/>
      <c r="DAH2463" s="60"/>
      <c r="DAI2463" s="60"/>
      <c r="DAJ2463" s="60"/>
      <c r="DAK2463" s="63"/>
      <c r="DAL2463" s="61"/>
      <c r="DAM2463" s="54"/>
      <c r="DAN2463" s="54"/>
      <c r="DAO2463" s="63"/>
      <c r="DAP2463" s="60"/>
      <c r="DAQ2463" s="60"/>
      <c r="DAR2463" s="60"/>
      <c r="DAS2463" s="63"/>
      <c r="DAT2463" s="61"/>
      <c r="DAU2463" s="54"/>
      <c r="DAV2463" s="54"/>
      <c r="DAW2463" s="63"/>
      <c r="DAX2463" s="60"/>
      <c r="DAY2463" s="60"/>
      <c r="DAZ2463" s="60"/>
      <c r="DBA2463" s="63"/>
      <c r="DBB2463" s="61"/>
      <c r="DBC2463" s="54"/>
      <c r="DBD2463" s="54"/>
      <c r="DBE2463" s="63"/>
      <c r="DBF2463" s="60"/>
      <c r="DBG2463" s="60"/>
      <c r="DBH2463" s="60"/>
      <c r="DBI2463" s="63"/>
      <c r="DBJ2463" s="61"/>
      <c r="DBK2463" s="54"/>
      <c r="DBL2463" s="54"/>
      <c r="DBM2463" s="63"/>
      <c r="DBN2463" s="60"/>
      <c r="DBO2463" s="60"/>
      <c r="DBP2463" s="60"/>
      <c r="DBQ2463" s="63"/>
      <c r="DBR2463" s="61"/>
      <c r="DBS2463" s="54"/>
      <c r="DBT2463" s="54"/>
      <c r="DBU2463" s="63"/>
      <c r="DBV2463" s="60"/>
      <c r="DBW2463" s="60"/>
      <c r="DBX2463" s="60"/>
      <c r="DBY2463" s="63"/>
      <c r="DBZ2463" s="61"/>
      <c r="DCA2463" s="54"/>
      <c r="DCB2463" s="54"/>
      <c r="DCC2463" s="63"/>
      <c r="DCD2463" s="60"/>
      <c r="DCE2463" s="60"/>
      <c r="DCF2463" s="60"/>
      <c r="DCG2463" s="63"/>
      <c r="DCH2463" s="61"/>
      <c r="DCI2463" s="54"/>
      <c r="DCJ2463" s="54"/>
      <c r="DCK2463" s="63"/>
      <c r="DCL2463" s="60"/>
      <c r="DCM2463" s="60"/>
      <c r="DCN2463" s="60"/>
      <c r="DCO2463" s="63"/>
      <c r="DCP2463" s="61"/>
      <c r="DCQ2463" s="54"/>
      <c r="DCR2463" s="54"/>
      <c r="DCS2463" s="63"/>
      <c r="DCT2463" s="60"/>
      <c r="DCU2463" s="60"/>
      <c r="DCV2463" s="60"/>
      <c r="DCW2463" s="63"/>
      <c r="DCX2463" s="61"/>
      <c r="DCY2463" s="54"/>
      <c r="DCZ2463" s="54"/>
      <c r="DDA2463" s="63"/>
      <c r="DDB2463" s="60"/>
      <c r="DDC2463" s="60"/>
      <c r="DDD2463" s="60"/>
      <c r="DDE2463" s="63"/>
      <c r="DDF2463" s="61"/>
      <c r="DDG2463" s="54"/>
      <c r="DDH2463" s="54"/>
      <c r="DDI2463" s="63"/>
      <c r="DDJ2463" s="60"/>
      <c r="DDK2463" s="60"/>
      <c r="DDL2463" s="60"/>
      <c r="DDM2463" s="63"/>
      <c r="DDN2463" s="61"/>
      <c r="DDO2463" s="54"/>
      <c r="DDP2463" s="54"/>
      <c r="DDQ2463" s="63"/>
      <c r="DDR2463" s="60"/>
      <c r="DDS2463" s="60"/>
      <c r="DDT2463" s="60"/>
      <c r="DDU2463" s="63"/>
      <c r="DDV2463" s="61"/>
      <c r="DDW2463" s="54"/>
      <c r="DDX2463" s="54"/>
      <c r="DDY2463" s="63"/>
      <c r="DDZ2463" s="60"/>
      <c r="DEA2463" s="60"/>
      <c r="DEB2463" s="60"/>
      <c r="DEC2463" s="63"/>
      <c r="DED2463" s="61"/>
      <c r="DEE2463" s="54"/>
      <c r="DEF2463" s="54"/>
      <c r="DEG2463" s="63"/>
      <c r="DEH2463" s="60"/>
      <c r="DEI2463" s="60"/>
      <c r="DEJ2463" s="60"/>
      <c r="DEK2463" s="63"/>
      <c r="DEL2463" s="61"/>
      <c r="DEM2463" s="54"/>
      <c r="DEN2463" s="54"/>
      <c r="DEO2463" s="63"/>
      <c r="DEP2463" s="60"/>
      <c r="DEQ2463" s="60"/>
      <c r="DER2463" s="60"/>
      <c r="DES2463" s="63"/>
      <c r="DET2463" s="61"/>
      <c r="DEU2463" s="54"/>
      <c r="DEV2463" s="54"/>
      <c r="DEW2463" s="63"/>
      <c r="DEX2463" s="60"/>
      <c r="DEY2463" s="60"/>
      <c r="DEZ2463" s="60"/>
      <c r="DFA2463" s="63"/>
      <c r="DFB2463" s="61"/>
      <c r="DFC2463" s="54"/>
      <c r="DFD2463" s="54"/>
      <c r="DFE2463" s="63"/>
      <c r="DFF2463" s="60"/>
      <c r="DFG2463" s="60"/>
      <c r="DFH2463" s="60"/>
      <c r="DFI2463" s="63"/>
      <c r="DFJ2463" s="61"/>
      <c r="DFK2463" s="54"/>
      <c r="DFL2463" s="54"/>
      <c r="DFM2463" s="63"/>
      <c r="DFN2463" s="60"/>
      <c r="DFO2463" s="60"/>
      <c r="DFP2463" s="60"/>
      <c r="DFQ2463" s="63"/>
      <c r="DFR2463" s="61"/>
      <c r="DFS2463" s="54"/>
      <c r="DFT2463" s="54"/>
      <c r="DFU2463" s="63"/>
      <c r="DFV2463" s="60"/>
      <c r="DFW2463" s="60"/>
      <c r="DFX2463" s="60"/>
      <c r="DFY2463" s="63"/>
      <c r="DFZ2463" s="61"/>
      <c r="DGA2463" s="54"/>
      <c r="DGB2463" s="54"/>
      <c r="DGC2463" s="63"/>
      <c r="DGD2463" s="60"/>
      <c r="DGE2463" s="60"/>
      <c r="DGF2463" s="60"/>
      <c r="DGG2463" s="63"/>
      <c r="DGH2463" s="61"/>
      <c r="DGI2463" s="54"/>
      <c r="DGJ2463" s="54"/>
      <c r="DGK2463" s="63"/>
      <c r="DGL2463" s="60"/>
      <c r="DGM2463" s="60"/>
      <c r="DGN2463" s="60"/>
      <c r="DGO2463" s="63"/>
      <c r="DGP2463" s="61"/>
      <c r="DGQ2463" s="54"/>
      <c r="DGR2463" s="54"/>
      <c r="DGS2463" s="63"/>
      <c r="DGT2463" s="60"/>
      <c r="DGU2463" s="60"/>
      <c r="DGV2463" s="60"/>
      <c r="DGW2463" s="63"/>
      <c r="DGX2463" s="61"/>
      <c r="DGY2463" s="54"/>
      <c r="DGZ2463" s="54"/>
      <c r="DHA2463" s="63"/>
      <c r="DHB2463" s="60"/>
      <c r="DHC2463" s="60"/>
      <c r="DHD2463" s="60"/>
      <c r="DHE2463" s="63"/>
      <c r="DHF2463" s="61"/>
      <c r="DHG2463" s="54"/>
      <c r="DHH2463" s="54"/>
      <c r="DHI2463" s="63"/>
      <c r="DHJ2463" s="60"/>
      <c r="DHK2463" s="60"/>
      <c r="DHL2463" s="60"/>
      <c r="DHM2463" s="63"/>
      <c r="DHN2463" s="61"/>
      <c r="DHO2463" s="54"/>
      <c r="DHP2463" s="54"/>
      <c r="DHQ2463" s="63"/>
      <c r="DHR2463" s="60"/>
      <c r="DHS2463" s="60"/>
      <c r="DHT2463" s="60"/>
      <c r="DHU2463" s="63"/>
      <c r="DHV2463" s="61"/>
      <c r="DHW2463" s="54"/>
      <c r="DHX2463" s="54"/>
      <c r="DHY2463" s="63"/>
      <c r="DHZ2463" s="60"/>
      <c r="DIA2463" s="60"/>
      <c r="DIB2463" s="60"/>
      <c r="DIC2463" s="63"/>
      <c r="DID2463" s="61"/>
      <c r="DIE2463" s="54"/>
      <c r="DIF2463" s="54"/>
      <c r="DIG2463" s="63"/>
      <c r="DIH2463" s="60"/>
      <c r="DII2463" s="60"/>
      <c r="DIJ2463" s="60"/>
      <c r="DIK2463" s="63"/>
      <c r="DIL2463" s="61"/>
      <c r="DIM2463" s="54"/>
      <c r="DIN2463" s="54"/>
      <c r="DIO2463" s="63"/>
      <c r="DIP2463" s="60"/>
      <c r="DIQ2463" s="60"/>
      <c r="DIR2463" s="60"/>
      <c r="DIS2463" s="63"/>
      <c r="DIT2463" s="61"/>
      <c r="DIU2463" s="54"/>
      <c r="DIV2463" s="54"/>
      <c r="DIW2463" s="63"/>
      <c r="DIX2463" s="60"/>
      <c r="DIY2463" s="60"/>
      <c r="DIZ2463" s="60"/>
      <c r="DJA2463" s="63"/>
      <c r="DJB2463" s="61"/>
      <c r="DJC2463" s="54"/>
      <c r="DJD2463" s="54"/>
      <c r="DJE2463" s="63"/>
      <c r="DJF2463" s="60"/>
      <c r="DJG2463" s="60"/>
      <c r="DJH2463" s="60"/>
      <c r="DJI2463" s="63"/>
      <c r="DJJ2463" s="61"/>
      <c r="DJK2463" s="54"/>
      <c r="DJL2463" s="54"/>
      <c r="DJM2463" s="63"/>
      <c r="DJN2463" s="60"/>
      <c r="DJO2463" s="60"/>
      <c r="DJP2463" s="60"/>
      <c r="DJQ2463" s="63"/>
      <c r="DJR2463" s="61"/>
      <c r="DJS2463" s="54"/>
      <c r="DJT2463" s="54"/>
      <c r="DJU2463" s="63"/>
      <c r="DJV2463" s="60"/>
      <c r="DJW2463" s="60"/>
      <c r="DJX2463" s="60"/>
      <c r="DJY2463" s="63"/>
      <c r="DJZ2463" s="61"/>
      <c r="DKA2463" s="54"/>
      <c r="DKB2463" s="54"/>
      <c r="DKC2463" s="63"/>
      <c r="DKD2463" s="60"/>
      <c r="DKE2463" s="60"/>
      <c r="DKF2463" s="60"/>
      <c r="DKG2463" s="63"/>
      <c r="DKH2463" s="61"/>
      <c r="DKI2463" s="54"/>
      <c r="DKJ2463" s="54"/>
      <c r="DKK2463" s="63"/>
      <c r="DKL2463" s="60"/>
      <c r="DKM2463" s="60"/>
      <c r="DKN2463" s="60"/>
      <c r="DKO2463" s="63"/>
      <c r="DKP2463" s="61"/>
      <c r="DKQ2463" s="54"/>
      <c r="DKR2463" s="54"/>
      <c r="DKS2463" s="63"/>
      <c r="DKT2463" s="60"/>
      <c r="DKU2463" s="60"/>
      <c r="DKV2463" s="60"/>
      <c r="DKW2463" s="63"/>
      <c r="DKX2463" s="61"/>
      <c r="DKY2463" s="54"/>
      <c r="DKZ2463" s="54"/>
      <c r="DLA2463" s="63"/>
      <c r="DLB2463" s="60"/>
      <c r="DLC2463" s="60"/>
      <c r="DLD2463" s="60"/>
      <c r="DLE2463" s="63"/>
      <c r="DLF2463" s="61"/>
      <c r="DLG2463" s="54"/>
      <c r="DLH2463" s="54"/>
      <c r="DLI2463" s="63"/>
      <c r="DLJ2463" s="60"/>
      <c r="DLK2463" s="60"/>
      <c r="DLL2463" s="60"/>
      <c r="DLM2463" s="63"/>
      <c r="DLN2463" s="61"/>
      <c r="DLO2463" s="54"/>
      <c r="DLP2463" s="54"/>
      <c r="DLQ2463" s="63"/>
      <c r="DLR2463" s="60"/>
      <c r="DLS2463" s="60"/>
      <c r="DLT2463" s="60"/>
      <c r="DLU2463" s="63"/>
      <c r="DLV2463" s="61"/>
      <c r="DLW2463" s="54"/>
      <c r="DLX2463" s="54"/>
      <c r="DLY2463" s="63"/>
      <c r="DLZ2463" s="60"/>
      <c r="DMA2463" s="60"/>
      <c r="DMB2463" s="60"/>
      <c r="DMC2463" s="63"/>
      <c r="DMD2463" s="61"/>
      <c r="DME2463" s="54"/>
      <c r="DMF2463" s="54"/>
      <c r="DMG2463" s="63"/>
      <c r="DMH2463" s="60"/>
      <c r="DMI2463" s="60"/>
      <c r="DMJ2463" s="60"/>
      <c r="DMK2463" s="63"/>
      <c r="DML2463" s="61"/>
      <c r="DMM2463" s="54"/>
      <c r="DMN2463" s="54"/>
      <c r="DMO2463" s="63"/>
      <c r="DMP2463" s="60"/>
      <c r="DMQ2463" s="60"/>
      <c r="DMR2463" s="60"/>
      <c r="DMS2463" s="63"/>
      <c r="DMT2463" s="61"/>
      <c r="DMU2463" s="54"/>
      <c r="DMV2463" s="54"/>
      <c r="DMW2463" s="63"/>
      <c r="DMX2463" s="60"/>
      <c r="DMY2463" s="60"/>
      <c r="DMZ2463" s="60"/>
      <c r="DNA2463" s="63"/>
      <c r="DNB2463" s="61"/>
      <c r="DNC2463" s="54"/>
      <c r="DND2463" s="54"/>
      <c r="DNE2463" s="63"/>
      <c r="DNF2463" s="60"/>
      <c r="DNG2463" s="60"/>
      <c r="DNH2463" s="60"/>
      <c r="DNI2463" s="63"/>
      <c r="DNJ2463" s="61"/>
      <c r="DNK2463" s="54"/>
      <c r="DNL2463" s="54"/>
      <c r="DNM2463" s="63"/>
      <c r="DNN2463" s="60"/>
      <c r="DNO2463" s="60"/>
      <c r="DNP2463" s="60"/>
      <c r="DNQ2463" s="63"/>
      <c r="DNR2463" s="61"/>
      <c r="DNS2463" s="54"/>
      <c r="DNT2463" s="54"/>
      <c r="DNU2463" s="63"/>
      <c r="DNV2463" s="60"/>
      <c r="DNW2463" s="60"/>
      <c r="DNX2463" s="60"/>
      <c r="DNY2463" s="63"/>
      <c r="DNZ2463" s="61"/>
      <c r="DOA2463" s="54"/>
      <c r="DOB2463" s="54"/>
      <c r="DOC2463" s="63"/>
      <c r="DOD2463" s="60"/>
      <c r="DOE2463" s="60"/>
      <c r="DOF2463" s="60"/>
      <c r="DOG2463" s="63"/>
      <c r="DOH2463" s="61"/>
      <c r="DOI2463" s="54"/>
      <c r="DOJ2463" s="54"/>
      <c r="DOK2463" s="63"/>
      <c r="DOL2463" s="60"/>
      <c r="DOM2463" s="60"/>
      <c r="DON2463" s="60"/>
      <c r="DOO2463" s="63"/>
      <c r="DOP2463" s="61"/>
      <c r="DOQ2463" s="54"/>
      <c r="DOR2463" s="54"/>
      <c r="DOS2463" s="63"/>
      <c r="DOT2463" s="60"/>
      <c r="DOU2463" s="60"/>
      <c r="DOV2463" s="60"/>
      <c r="DOW2463" s="63"/>
      <c r="DOX2463" s="61"/>
      <c r="DOY2463" s="54"/>
      <c r="DOZ2463" s="54"/>
      <c r="DPA2463" s="63"/>
      <c r="DPB2463" s="60"/>
      <c r="DPC2463" s="60"/>
      <c r="DPD2463" s="60"/>
      <c r="DPE2463" s="63"/>
      <c r="DPF2463" s="61"/>
      <c r="DPG2463" s="54"/>
      <c r="DPH2463" s="54"/>
      <c r="DPI2463" s="63"/>
      <c r="DPJ2463" s="60"/>
      <c r="DPK2463" s="60"/>
      <c r="DPL2463" s="60"/>
      <c r="DPM2463" s="63"/>
      <c r="DPN2463" s="61"/>
      <c r="DPO2463" s="54"/>
      <c r="DPP2463" s="54"/>
      <c r="DPQ2463" s="63"/>
      <c r="DPR2463" s="60"/>
      <c r="DPS2463" s="60"/>
      <c r="DPT2463" s="60"/>
      <c r="DPU2463" s="63"/>
      <c r="DPV2463" s="61"/>
      <c r="DPW2463" s="54"/>
      <c r="DPX2463" s="54"/>
      <c r="DPY2463" s="63"/>
      <c r="DPZ2463" s="60"/>
      <c r="DQA2463" s="60"/>
      <c r="DQB2463" s="60"/>
      <c r="DQC2463" s="63"/>
      <c r="DQD2463" s="61"/>
      <c r="DQE2463" s="54"/>
      <c r="DQF2463" s="54"/>
      <c r="DQG2463" s="63"/>
      <c r="DQH2463" s="60"/>
      <c r="DQI2463" s="60"/>
      <c r="DQJ2463" s="60"/>
      <c r="DQK2463" s="63"/>
      <c r="DQL2463" s="61"/>
      <c r="DQM2463" s="54"/>
      <c r="DQN2463" s="54"/>
      <c r="DQO2463" s="63"/>
      <c r="DQP2463" s="60"/>
      <c r="DQQ2463" s="60"/>
      <c r="DQR2463" s="60"/>
      <c r="DQS2463" s="63"/>
      <c r="DQT2463" s="61"/>
      <c r="DQU2463" s="54"/>
      <c r="DQV2463" s="54"/>
      <c r="DQW2463" s="63"/>
      <c r="DQX2463" s="60"/>
      <c r="DQY2463" s="60"/>
      <c r="DQZ2463" s="60"/>
      <c r="DRA2463" s="63"/>
      <c r="DRB2463" s="61"/>
      <c r="DRC2463" s="54"/>
      <c r="DRD2463" s="54"/>
      <c r="DRE2463" s="63"/>
      <c r="DRF2463" s="60"/>
      <c r="DRG2463" s="60"/>
      <c r="DRH2463" s="60"/>
      <c r="DRI2463" s="63"/>
      <c r="DRJ2463" s="61"/>
      <c r="DRK2463" s="54"/>
      <c r="DRL2463" s="54"/>
      <c r="DRM2463" s="63"/>
      <c r="DRN2463" s="60"/>
      <c r="DRO2463" s="60"/>
      <c r="DRP2463" s="60"/>
      <c r="DRQ2463" s="63"/>
      <c r="DRR2463" s="61"/>
      <c r="DRS2463" s="54"/>
      <c r="DRT2463" s="54"/>
      <c r="DRU2463" s="63"/>
      <c r="DRV2463" s="60"/>
      <c r="DRW2463" s="60"/>
      <c r="DRX2463" s="60"/>
      <c r="DRY2463" s="63"/>
      <c r="DRZ2463" s="61"/>
      <c r="DSA2463" s="54"/>
      <c r="DSB2463" s="54"/>
      <c r="DSC2463" s="63"/>
      <c r="DSD2463" s="60"/>
      <c r="DSE2463" s="60"/>
      <c r="DSF2463" s="60"/>
      <c r="DSG2463" s="63"/>
      <c r="DSH2463" s="61"/>
      <c r="DSI2463" s="54"/>
      <c r="DSJ2463" s="54"/>
      <c r="DSK2463" s="63"/>
      <c r="DSL2463" s="60"/>
      <c r="DSM2463" s="60"/>
      <c r="DSN2463" s="60"/>
      <c r="DSO2463" s="63"/>
      <c r="DSP2463" s="61"/>
      <c r="DSQ2463" s="54"/>
      <c r="DSR2463" s="54"/>
      <c r="DSS2463" s="63"/>
      <c r="DST2463" s="60"/>
      <c r="DSU2463" s="60"/>
      <c r="DSV2463" s="60"/>
      <c r="DSW2463" s="63"/>
      <c r="DSX2463" s="61"/>
      <c r="DSY2463" s="54"/>
      <c r="DSZ2463" s="54"/>
      <c r="DTA2463" s="63"/>
      <c r="DTB2463" s="60"/>
      <c r="DTC2463" s="60"/>
      <c r="DTD2463" s="60"/>
      <c r="DTE2463" s="63"/>
      <c r="DTF2463" s="61"/>
      <c r="DTG2463" s="54"/>
      <c r="DTH2463" s="54"/>
      <c r="DTI2463" s="63"/>
      <c r="DTJ2463" s="60"/>
      <c r="DTK2463" s="60"/>
      <c r="DTL2463" s="60"/>
      <c r="DTM2463" s="63"/>
      <c r="DTN2463" s="61"/>
      <c r="DTO2463" s="54"/>
      <c r="DTP2463" s="54"/>
      <c r="DTQ2463" s="63"/>
      <c r="DTR2463" s="60"/>
      <c r="DTS2463" s="60"/>
      <c r="DTT2463" s="60"/>
      <c r="DTU2463" s="63"/>
      <c r="DTV2463" s="61"/>
      <c r="DTW2463" s="54"/>
      <c r="DTX2463" s="54"/>
      <c r="DTY2463" s="63"/>
      <c r="DTZ2463" s="60"/>
      <c r="DUA2463" s="60"/>
      <c r="DUB2463" s="60"/>
      <c r="DUC2463" s="63"/>
      <c r="DUD2463" s="61"/>
      <c r="DUE2463" s="54"/>
      <c r="DUF2463" s="54"/>
      <c r="DUG2463" s="63"/>
      <c r="DUH2463" s="60"/>
      <c r="DUI2463" s="60"/>
      <c r="DUJ2463" s="60"/>
      <c r="DUK2463" s="63"/>
      <c r="DUL2463" s="61"/>
      <c r="DUM2463" s="54"/>
      <c r="DUN2463" s="54"/>
      <c r="DUO2463" s="63"/>
      <c r="DUP2463" s="60"/>
      <c r="DUQ2463" s="60"/>
      <c r="DUR2463" s="60"/>
      <c r="DUS2463" s="63"/>
      <c r="DUT2463" s="61"/>
      <c r="DUU2463" s="54"/>
      <c r="DUV2463" s="54"/>
      <c r="DUW2463" s="63"/>
      <c r="DUX2463" s="60"/>
      <c r="DUY2463" s="60"/>
      <c r="DUZ2463" s="60"/>
      <c r="DVA2463" s="63"/>
      <c r="DVB2463" s="61"/>
      <c r="DVC2463" s="54"/>
      <c r="DVD2463" s="54"/>
      <c r="DVE2463" s="63"/>
      <c r="DVF2463" s="60"/>
      <c r="DVG2463" s="60"/>
      <c r="DVH2463" s="60"/>
      <c r="DVI2463" s="63"/>
      <c r="DVJ2463" s="61"/>
      <c r="DVK2463" s="54"/>
      <c r="DVL2463" s="54"/>
      <c r="DVM2463" s="63"/>
      <c r="DVN2463" s="60"/>
      <c r="DVO2463" s="60"/>
      <c r="DVP2463" s="60"/>
      <c r="DVQ2463" s="63"/>
      <c r="DVR2463" s="61"/>
      <c r="DVS2463" s="54"/>
      <c r="DVT2463" s="54"/>
      <c r="DVU2463" s="63"/>
      <c r="DVV2463" s="60"/>
      <c r="DVW2463" s="60"/>
      <c r="DVX2463" s="60"/>
      <c r="DVY2463" s="63"/>
      <c r="DVZ2463" s="61"/>
      <c r="DWA2463" s="54"/>
      <c r="DWB2463" s="54"/>
      <c r="DWC2463" s="63"/>
      <c r="DWD2463" s="60"/>
      <c r="DWE2463" s="60"/>
      <c r="DWF2463" s="60"/>
      <c r="DWG2463" s="63"/>
      <c r="DWH2463" s="61"/>
      <c r="DWI2463" s="54"/>
      <c r="DWJ2463" s="54"/>
      <c r="DWK2463" s="63"/>
      <c r="DWL2463" s="60"/>
      <c r="DWM2463" s="60"/>
      <c r="DWN2463" s="60"/>
      <c r="DWO2463" s="63"/>
      <c r="DWP2463" s="61"/>
      <c r="DWQ2463" s="54"/>
      <c r="DWR2463" s="54"/>
      <c r="DWS2463" s="63"/>
      <c r="DWT2463" s="60"/>
      <c r="DWU2463" s="60"/>
      <c r="DWV2463" s="60"/>
      <c r="DWW2463" s="63"/>
      <c r="DWX2463" s="61"/>
      <c r="DWY2463" s="54"/>
      <c r="DWZ2463" s="54"/>
      <c r="DXA2463" s="63"/>
      <c r="DXB2463" s="60"/>
      <c r="DXC2463" s="60"/>
      <c r="DXD2463" s="60"/>
      <c r="DXE2463" s="63"/>
      <c r="DXF2463" s="61"/>
      <c r="DXG2463" s="54"/>
      <c r="DXH2463" s="54"/>
      <c r="DXI2463" s="63"/>
      <c r="DXJ2463" s="60"/>
      <c r="DXK2463" s="60"/>
      <c r="DXL2463" s="60"/>
      <c r="DXM2463" s="63"/>
      <c r="DXN2463" s="61"/>
      <c r="DXO2463" s="54"/>
      <c r="DXP2463" s="54"/>
      <c r="DXQ2463" s="63"/>
      <c r="DXR2463" s="60"/>
      <c r="DXS2463" s="60"/>
      <c r="DXT2463" s="60"/>
      <c r="DXU2463" s="63"/>
      <c r="DXV2463" s="61"/>
      <c r="DXW2463" s="54"/>
      <c r="DXX2463" s="54"/>
      <c r="DXY2463" s="63"/>
      <c r="DXZ2463" s="60"/>
      <c r="DYA2463" s="60"/>
      <c r="DYB2463" s="60"/>
      <c r="DYC2463" s="63"/>
      <c r="DYD2463" s="61"/>
      <c r="DYE2463" s="54"/>
      <c r="DYF2463" s="54"/>
      <c r="DYG2463" s="63"/>
      <c r="DYH2463" s="60"/>
      <c r="DYI2463" s="60"/>
      <c r="DYJ2463" s="60"/>
      <c r="DYK2463" s="63"/>
      <c r="DYL2463" s="61"/>
      <c r="DYM2463" s="54"/>
      <c r="DYN2463" s="54"/>
      <c r="DYO2463" s="63"/>
      <c r="DYP2463" s="60"/>
      <c r="DYQ2463" s="60"/>
      <c r="DYR2463" s="60"/>
      <c r="DYS2463" s="63"/>
      <c r="DYT2463" s="61"/>
      <c r="DYU2463" s="54"/>
      <c r="DYV2463" s="54"/>
      <c r="DYW2463" s="63"/>
      <c r="DYX2463" s="60"/>
      <c r="DYY2463" s="60"/>
      <c r="DYZ2463" s="60"/>
      <c r="DZA2463" s="63"/>
      <c r="DZB2463" s="61"/>
      <c r="DZC2463" s="54"/>
      <c r="DZD2463" s="54"/>
      <c r="DZE2463" s="63"/>
      <c r="DZF2463" s="60"/>
      <c r="DZG2463" s="60"/>
      <c r="DZH2463" s="60"/>
      <c r="DZI2463" s="63"/>
      <c r="DZJ2463" s="61"/>
      <c r="DZK2463" s="54"/>
      <c r="DZL2463" s="54"/>
      <c r="DZM2463" s="63"/>
      <c r="DZN2463" s="60"/>
      <c r="DZO2463" s="60"/>
      <c r="DZP2463" s="60"/>
      <c r="DZQ2463" s="63"/>
      <c r="DZR2463" s="61"/>
      <c r="DZS2463" s="54"/>
      <c r="DZT2463" s="54"/>
      <c r="DZU2463" s="63"/>
      <c r="DZV2463" s="60"/>
      <c r="DZW2463" s="60"/>
      <c r="DZX2463" s="60"/>
      <c r="DZY2463" s="63"/>
      <c r="DZZ2463" s="61"/>
      <c r="EAA2463" s="54"/>
      <c r="EAB2463" s="54"/>
      <c r="EAC2463" s="63"/>
      <c r="EAD2463" s="60"/>
      <c r="EAE2463" s="60"/>
      <c r="EAF2463" s="60"/>
      <c r="EAG2463" s="63"/>
      <c r="EAH2463" s="61"/>
      <c r="EAI2463" s="54"/>
      <c r="EAJ2463" s="54"/>
      <c r="EAK2463" s="63"/>
      <c r="EAL2463" s="60"/>
      <c r="EAM2463" s="60"/>
      <c r="EAN2463" s="60"/>
      <c r="EAO2463" s="63"/>
      <c r="EAP2463" s="61"/>
      <c r="EAQ2463" s="54"/>
      <c r="EAR2463" s="54"/>
      <c r="EAS2463" s="63"/>
      <c r="EAT2463" s="60"/>
      <c r="EAU2463" s="60"/>
      <c r="EAV2463" s="60"/>
      <c r="EAW2463" s="63"/>
      <c r="EAX2463" s="61"/>
      <c r="EAY2463" s="54"/>
      <c r="EAZ2463" s="54"/>
      <c r="EBA2463" s="63"/>
      <c r="EBB2463" s="60"/>
      <c r="EBC2463" s="60"/>
      <c r="EBD2463" s="60"/>
      <c r="EBE2463" s="63"/>
      <c r="EBF2463" s="61"/>
      <c r="EBG2463" s="54"/>
      <c r="EBH2463" s="54"/>
      <c r="EBI2463" s="63"/>
      <c r="EBJ2463" s="60"/>
      <c r="EBK2463" s="60"/>
      <c r="EBL2463" s="60"/>
      <c r="EBM2463" s="63"/>
      <c r="EBN2463" s="61"/>
      <c r="EBO2463" s="54"/>
      <c r="EBP2463" s="54"/>
      <c r="EBQ2463" s="63"/>
      <c r="EBR2463" s="60"/>
      <c r="EBS2463" s="60"/>
      <c r="EBT2463" s="60"/>
      <c r="EBU2463" s="63"/>
      <c r="EBV2463" s="61"/>
      <c r="EBW2463" s="54"/>
      <c r="EBX2463" s="54"/>
      <c r="EBY2463" s="63"/>
      <c r="EBZ2463" s="60"/>
      <c r="ECA2463" s="60"/>
      <c r="ECB2463" s="60"/>
      <c r="ECC2463" s="63"/>
      <c r="ECD2463" s="61"/>
      <c r="ECE2463" s="54"/>
      <c r="ECF2463" s="54"/>
      <c r="ECG2463" s="63"/>
      <c r="ECH2463" s="60"/>
      <c r="ECI2463" s="60"/>
      <c r="ECJ2463" s="60"/>
      <c r="ECK2463" s="63"/>
      <c r="ECL2463" s="61"/>
      <c r="ECM2463" s="54"/>
      <c r="ECN2463" s="54"/>
      <c r="ECO2463" s="63"/>
      <c r="ECP2463" s="60"/>
      <c r="ECQ2463" s="60"/>
      <c r="ECR2463" s="60"/>
      <c r="ECS2463" s="63"/>
      <c r="ECT2463" s="61"/>
      <c r="ECU2463" s="54"/>
      <c r="ECV2463" s="54"/>
      <c r="ECW2463" s="63"/>
      <c r="ECX2463" s="60"/>
      <c r="ECY2463" s="60"/>
      <c r="ECZ2463" s="60"/>
      <c r="EDA2463" s="63"/>
      <c r="EDB2463" s="61"/>
      <c r="EDC2463" s="54"/>
      <c r="EDD2463" s="54"/>
      <c r="EDE2463" s="63"/>
      <c r="EDF2463" s="60"/>
      <c r="EDG2463" s="60"/>
      <c r="EDH2463" s="60"/>
      <c r="EDI2463" s="63"/>
      <c r="EDJ2463" s="61"/>
      <c r="EDK2463" s="54"/>
      <c r="EDL2463" s="54"/>
      <c r="EDM2463" s="63"/>
      <c r="EDN2463" s="60"/>
      <c r="EDO2463" s="60"/>
      <c r="EDP2463" s="60"/>
      <c r="EDQ2463" s="63"/>
      <c r="EDR2463" s="61"/>
      <c r="EDS2463" s="54"/>
      <c r="EDT2463" s="54"/>
      <c r="EDU2463" s="63"/>
      <c r="EDV2463" s="60"/>
      <c r="EDW2463" s="60"/>
      <c r="EDX2463" s="60"/>
      <c r="EDY2463" s="63"/>
      <c r="EDZ2463" s="61"/>
      <c r="EEA2463" s="54"/>
      <c r="EEB2463" s="54"/>
      <c r="EEC2463" s="63"/>
      <c r="EED2463" s="60"/>
      <c r="EEE2463" s="60"/>
      <c r="EEF2463" s="60"/>
      <c r="EEG2463" s="63"/>
      <c r="EEH2463" s="61"/>
      <c r="EEI2463" s="54"/>
      <c r="EEJ2463" s="54"/>
      <c r="EEK2463" s="63"/>
      <c r="EEL2463" s="60"/>
      <c r="EEM2463" s="60"/>
      <c r="EEN2463" s="60"/>
      <c r="EEO2463" s="63"/>
      <c r="EEP2463" s="61"/>
      <c r="EEQ2463" s="54"/>
      <c r="EER2463" s="54"/>
      <c r="EES2463" s="63"/>
      <c r="EET2463" s="60"/>
      <c r="EEU2463" s="60"/>
      <c r="EEV2463" s="60"/>
      <c r="EEW2463" s="63"/>
      <c r="EEX2463" s="61"/>
      <c r="EEY2463" s="54"/>
      <c r="EEZ2463" s="54"/>
      <c r="EFA2463" s="63"/>
      <c r="EFB2463" s="60"/>
      <c r="EFC2463" s="60"/>
      <c r="EFD2463" s="60"/>
      <c r="EFE2463" s="63"/>
      <c r="EFF2463" s="61"/>
      <c r="EFG2463" s="54"/>
      <c r="EFH2463" s="54"/>
      <c r="EFI2463" s="63"/>
      <c r="EFJ2463" s="60"/>
      <c r="EFK2463" s="60"/>
      <c r="EFL2463" s="60"/>
      <c r="EFM2463" s="63"/>
      <c r="EFN2463" s="61"/>
      <c r="EFO2463" s="54"/>
      <c r="EFP2463" s="54"/>
      <c r="EFQ2463" s="63"/>
      <c r="EFR2463" s="60"/>
      <c r="EFS2463" s="60"/>
      <c r="EFT2463" s="60"/>
      <c r="EFU2463" s="63"/>
      <c r="EFV2463" s="61"/>
      <c r="EFW2463" s="54"/>
      <c r="EFX2463" s="54"/>
      <c r="EFY2463" s="63"/>
      <c r="EFZ2463" s="60"/>
      <c r="EGA2463" s="60"/>
      <c r="EGB2463" s="60"/>
      <c r="EGC2463" s="63"/>
      <c r="EGD2463" s="61"/>
      <c r="EGE2463" s="54"/>
      <c r="EGF2463" s="54"/>
      <c r="EGG2463" s="63"/>
      <c r="EGH2463" s="60"/>
      <c r="EGI2463" s="60"/>
      <c r="EGJ2463" s="60"/>
      <c r="EGK2463" s="63"/>
      <c r="EGL2463" s="61"/>
      <c r="EGM2463" s="54"/>
      <c r="EGN2463" s="54"/>
      <c r="EGO2463" s="63"/>
      <c r="EGP2463" s="60"/>
      <c r="EGQ2463" s="60"/>
      <c r="EGR2463" s="60"/>
      <c r="EGS2463" s="63"/>
      <c r="EGT2463" s="61"/>
      <c r="EGU2463" s="54"/>
      <c r="EGV2463" s="54"/>
      <c r="EGW2463" s="63"/>
      <c r="EGX2463" s="60"/>
      <c r="EGY2463" s="60"/>
      <c r="EGZ2463" s="60"/>
      <c r="EHA2463" s="63"/>
      <c r="EHB2463" s="61"/>
      <c r="EHC2463" s="54"/>
      <c r="EHD2463" s="54"/>
      <c r="EHE2463" s="63"/>
      <c r="EHF2463" s="60"/>
      <c r="EHG2463" s="60"/>
      <c r="EHH2463" s="60"/>
      <c r="EHI2463" s="63"/>
      <c r="EHJ2463" s="61"/>
      <c r="EHK2463" s="54"/>
      <c r="EHL2463" s="54"/>
      <c r="EHM2463" s="63"/>
      <c r="EHN2463" s="60"/>
      <c r="EHO2463" s="60"/>
      <c r="EHP2463" s="60"/>
      <c r="EHQ2463" s="63"/>
      <c r="EHR2463" s="61"/>
      <c r="EHS2463" s="54"/>
      <c r="EHT2463" s="54"/>
      <c r="EHU2463" s="63"/>
      <c r="EHV2463" s="60"/>
      <c r="EHW2463" s="60"/>
      <c r="EHX2463" s="60"/>
      <c r="EHY2463" s="63"/>
      <c r="EHZ2463" s="61"/>
      <c r="EIA2463" s="54"/>
      <c r="EIB2463" s="54"/>
      <c r="EIC2463" s="63"/>
      <c r="EID2463" s="60"/>
      <c r="EIE2463" s="60"/>
      <c r="EIF2463" s="60"/>
      <c r="EIG2463" s="63"/>
      <c r="EIH2463" s="61"/>
      <c r="EII2463" s="54"/>
      <c r="EIJ2463" s="54"/>
      <c r="EIK2463" s="63"/>
      <c r="EIL2463" s="60"/>
      <c r="EIM2463" s="60"/>
      <c r="EIN2463" s="60"/>
      <c r="EIO2463" s="63"/>
      <c r="EIP2463" s="61"/>
      <c r="EIQ2463" s="54"/>
      <c r="EIR2463" s="54"/>
      <c r="EIS2463" s="63"/>
      <c r="EIT2463" s="60"/>
      <c r="EIU2463" s="60"/>
      <c r="EIV2463" s="60"/>
      <c r="EIW2463" s="63"/>
      <c r="EIX2463" s="61"/>
      <c r="EIY2463" s="54"/>
      <c r="EIZ2463" s="54"/>
      <c r="EJA2463" s="63"/>
      <c r="EJB2463" s="60"/>
      <c r="EJC2463" s="60"/>
      <c r="EJD2463" s="60"/>
      <c r="EJE2463" s="63"/>
      <c r="EJF2463" s="61"/>
      <c r="EJG2463" s="54"/>
      <c r="EJH2463" s="54"/>
      <c r="EJI2463" s="63"/>
      <c r="EJJ2463" s="60"/>
      <c r="EJK2463" s="60"/>
      <c r="EJL2463" s="60"/>
      <c r="EJM2463" s="63"/>
      <c r="EJN2463" s="61"/>
      <c r="EJO2463" s="54"/>
      <c r="EJP2463" s="54"/>
      <c r="EJQ2463" s="63"/>
      <c r="EJR2463" s="60"/>
      <c r="EJS2463" s="60"/>
      <c r="EJT2463" s="60"/>
      <c r="EJU2463" s="63"/>
      <c r="EJV2463" s="61"/>
      <c r="EJW2463" s="54"/>
      <c r="EJX2463" s="54"/>
      <c r="EJY2463" s="63"/>
      <c r="EJZ2463" s="60"/>
      <c r="EKA2463" s="60"/>
      <c r="EKB2463" s="60"/>
      <c r="EKC2463" s="63"/>
      <c r="EKD2463" s="61"/>
      <c r="EKE2463" s="54"/>
      <c r="EKF2463" s="54"/>
      <c r="EKG2463" s="63"/>
      <c r="EKH2463" s="60"/>
      <c r="EKI2463" s="60"/>
      <c r="EKJ2463" s="60"/>
      <c r="EKK2463" s="63"/>
      <c r="EKL2463" s="61"/>
      <c r="EKM2463" s="54"/>
      <c r="EKN2463" s="54"/>
      <c r="EKO2463" s="63"/>
      <c r="EKP2463" s="60"/>
      <c r="EKQ2463" s="60"/>
      <c r="EKR2463" s="60"/>
      <c r="EKS2463" s="63"/>
      <c r="EKT2463" s="61"/>
      <c r="EKU2463" s="54"/>
      <c r="EKV2463" s="54"/>
      <c r="EKW2463" s="63"/>
      <c r="EKX2463" s="60"/>
      <c r="EKY2463" s="60"/>
      <c r="EKZ2463" s="60"/>
      <c r="ELA2463" s="63"/>
      <c r="ELB2463" s="61"/>
      <c r="ELC2463" s="54"/>
      <c r="ELD2463" s="54"/>
      <c r="ELE2463" s="63"/>
      <c r="ELF2463" s="60"/>
      <c r="ELG2463" s="60"/>
      <c r="ELH2463" s="60"/>
      <c r="ELI2463" s="63"/>
      <c r="ELJ2463" s="61"/>
      <c r="ELK2463" s="54"/>
      <c r="ELL2463" s="54"/>
      <c r="ELM2463" s="63"/>
      <c r="ELN2463" s="60"/>
      <c r="ELO2463" s="60"/>
      <c r="ELP2463" s="60"/>
      <c r="ELQ2463" s="63"/>
      <c r="ELR2463" s="61"/>
      <c r="ELS2463" s="54"/>
      <c r="ELT2463" s="54"/>
      <c r="ELU2463" s="63"/>
      <c r="ELV2463" s="60"/>
      <c r="ELW2463" s="60"/>
      <c r="ELX2463" s="60"/>
      <c r="ELY2463" s="63"/>
      <c r="ELZ2463" s="61"/>
      <c r="EMA2463" s="54"/>
      <c r="EMB2463" s="54"/>
      <c r="EMC2463" s="63"/>
      <c r="EMD2463" s="60"/>
      <c r="EME2463" s="60"/>
      <c r="EMF2463" s="60"/>
      <c r="EMG2463" s="63"/>
      <c r="EMH2463" s="61"/>
      <c r="EMI2463" s="54"/>
      <c r="EMJ2463" s="54"/>
      <c r="EMK2463" s="63"/>
      <c r="EML2463" s="60"/>
      <c r="EMM2463" s="60"/>
      <c r="EMN2463" s="60"/>
      <c r="EMO2463" s="63"/>
      <c r="EMP2463" s="61"/>
      <c r="EMQ2463" s="54"/>
      <c r="EMR2463" s="54"/>
      <c r="EMS2463" s="63"/>
      <c r="EMT2463" s="60"/>
      <c r="EMU2463" s="60"/>
      <c r="EMV2463" s="60"/>
      <c r="EMW2463" s="63"/>
      <c r="EMX2463" s="61"/>
      <c r="EMY2463" s="54"/>
      <c r="EMZ2463" s="54"/>
      <c r="ENA2463" s="63"/>
      <c r="ENB2463" s="60"/>
      <c r="ENC2463" s="60"/>
      <c r="END2463" s="60"/>
      <c r="ENE2463" s="63"/>
      <c r="ENF2463" s="61"/>
      <c r="ENG2463" s="54"/>
      <c r="ENH2463" s="54"/>
      <c r="ENI2463" s="63"/>
      <c r="ENJ2463" s="60"/>
      <c r="ENK2463" s="60"/>
      <c r="ENL2463" s="60"/>
      <c r="ENM2463" s="63"/>
      <c r="ENN2463" s="61"/>
      <c r="ENO2463" s="54"/>
      <c r="ENP2463" s="54"/>
      <c r="ENQ2463" s="63"/>
      <c r="ENR2463" s="60"/>
      <c r="ENS2463" s="60"/>
      <c r="ENT2463" s="60"/>
      <c r="ENU2463" s="63"/>
      <c r="ENV2463" s="61"/>
      <c r="ENW2463" s="54"/>
      <c r="ENX2463" s="54"/>
      <c r="ENY2463" s="63"/>
      <c r="ENZ2463" s="60"/>
      <c r="EOA2463" s="60"/>
      <c r="EOB2463" s="60"/>
      <c r="EOC2463" s="63"/>
      <c r="EOD2463" s="61"/>
      <c r="EOE2463" s="54"/>
      <c r="EOF2463" s="54"/>
      <c r="EOG2463" s="63"/>
      <c r="EOH2463" s="60"/>
      <c r="EOI2463" s="60"/>
      <c r="EOJ2463" s="60"/>
      <c r="EOK2463" s="63"/>
      <c r="EOL2463" s="61"/>
      <c r="EOM2463" s="54"/>
      <c r="EON2463" s="54"/>
      <c r="EOO2463" s="63"/>
      <c r="EOP2463" s="60"/>
      <c r="EOQ2463" s="60"/>
      <c r="EOR2463" s="60"/>
      <c r="EOS2463" s="63"/>
      <c r="EOT2463" s="61"/>
      <c r="EOU2463" s="54"/>
      <c r="EOV2463" s="54"/>
      <c r="EOW2463" s="63"/>
      <c r="EOX2463" s="60"/>
      <c r="EOY2463" s="60"/>
      <c r="EOZ2463" s="60"/>
      <c r="EPA2463" s="63"/>
      <c r="EPB2463" s="61"/>
      <c r="EPC2463" s="54"/>
      <c r="EPD2463" s="54"/>
      <c r="EPE2463" s="63"/>
      <c r="EPF2463" s="60"/>
      <c r="EPG2463" s="60"/>
      <c r="EPH2463" s="60"/>
      <c r="EPI2463" s="63"/>
      <c r="EPJ2463" s="61"/>
      <c r="EPK2463" s="54"/>
      <c r="EPL2463" s="54"/>
      <c r="EPM2463" s="63"/>
      <c r="EPN2463" s="60"/>
      <c r="EPO2463" s="60"/>
      <c r="EPP2463" s="60"/>
      <c r="EPQ2463" s="63"/>
      <c r="EPR2463" s="61"/>
      <c r="EPS2463" s="54"/>
      <c r="EPT2463" s="54"/>
      <c r="EPU2463" s="63"/>
      <c r="EPV2463" s="60"/>
      <c r="EPW2463" s="60"/>
      <c r="EPX2463" s="60"/>
      <c r="EPY2463" s="63"/>
      <c r="EPZ2463" s="61"/>
      <c r="EQA2463" s="54"/>
      <c r="EQB2463" s="54"/>
      <c r="EQC2463" s="63"/>
      <c r="EQD2463" s="60"/>
      <c r="EQE2463" s="60"/>
      <c r="EQF2463" s="60"/>
      <c r="EQG2463" s="63"/>
      <c r="EQH2463" s="61"/>
      <c r="EQI2463" s="54"/>
      <c r="EQJ2463" s="54"/>
      <c r="EQK2463" s="63"/>
      <c r="EQL2463" s="60"/>
      <c r="EQM2463" s="60"/>
      <c r="EQN2463" s="60"/>
      <c r="EQO2463" s="63"/>
      <c r="EQP2463" s="61"/>
      <c r="EQQ2463" s="54"/>
      <c r="EQR2463" s="54"/>
      <c r="EQS2463" s="63"/>
      <c r="EQT2463" s="60"/>
      <c r="EQU2463" s="60"/>
      <c r="EQV2463" s="60"/>
      <c r="EQW2463" s="63"/>
      <c r="EQX2463" s="61"/>
      <c r="EQY2463" s="54"/>
      <c r="EQZ2463" s="54"/>
      <c r="ERA2463" s="63"/>
      <c r="ERB2463" s="60"/>
      <c r="ERC2463" s="60"/>
      <c r="ERD2463" s="60"/>
      <c r="ERE2463" s="63"/>
      <c r="ERF2463" s="61"/>
      <c r="ERG2463" s="54"/>
      <c r="ERH2463" s="54"/>
      <c r="ERI2463" s="63"/>
      <c r="ERJ2463" s="60"/>
      <c r="ERK2463" s="60"/>
      <c r="ERL2463" s="60"/>
      <c r="ERM2463" s="63"/>
      <c r="ERN2463" s="61"/>
      <c r="ERO2463" s="54"/>
      <c r="ERP2463" s="54"/>
      <c r="ERQ2463" s="63"/>
      <c r="ERR2463" s="60"/>
      <c r="ERS2463" s="60"/>
      <c r="ERT2463" s="60"/>
      <c r="ERU2463" s="63"/>
      <c r="ERV2463" s="61"/>
      <c r="ERW2463" s="54"/>
      <c r="ERX2463" s="54"/>
      <c r="ERY2463" s="63"/>
      <c r="ERZ2463" s="60"/>
      <c r="ESA2463" s="60"/>
      <c r="ESB2463" s="60"/>
      <c r="ESC2463" s="63"/>
      <c r="ESD2463" s="61"/>
      <c r="ESE2463" s="54"/>
      <c r="ESF2463" s="54"/>
      <c r="ESG2463" s="63"/>
      <c r="ESH2463" s="60"/>
      <c r="ESI2463" s="60"/>
      <c r="ESJ2463" s="60"/>
      <c r="ESK2463" s="63"/>
      <c r="ESL2463" s="61"/>
      <c r="ESM2463" s="54"/>
      <c r="ESN2463" s="54"/>
      <c r="ESO2463" s="63"/>
      <c r="ESP2463" s="60"/>
      <c r="ESQ2463" s="60"/>
      <c r="ESR2463" s="60"/>
      <c r="ESS2463" s="63"/>
      <c r="EST2463" s="61"/>
      <c r="ESU2463" s="54"/>
      <c r="ESV2463" s="54"/>
      <c r="ESW2463" s="63"/>
      <c r="ESX2463" s="60"/>
      <c r="ESY2463" s="60"/>
      <c r="ESZ2463" s="60"/>
      <c r="ETA2463" s="63"/>
      <c r="ETB2463" s="61"/>
      <c r="ETC2463" s="54"/>
      <c r="ETD2463" s="54"/>
      <c r="ETE2463" s="63"/>
      <c r="ETF2463" s="60"/>
      <c r="ETG2463" s="60"/>
      <c r="ETH2463" s="60"/>
      <c r="ETI2463" s="63"/>
      <c r="ETJ2463" s="61"/>
      <c r="ETK2463" s="54"/>
      <c r="ETL2463" s="54"/>
      <c r="ETM2463" s="63"/>
      <c r="ETN2463" s="60"/>
      <c r="ETO2463" s="60"/>
      <c r="ETP2463" s="60"/>
      <c r="ETQ2463" s="63"/>
      <c r="ETR2463" s="61"/>
      <c r="ETS2463" s="54"/>
      <c r="ETT2463" s="54"/>
      <c r="ETU2463" s="63"/>
      <c r="ETV2463" s="60"/>
      <c r="ETW2463" s="60"/>
      <c r="ETX2463" s="60"/>
      <c r="ETY2463" s="63"/>
      <c r="ETZ2463" s="61"/>
      <c r="EUA2463" s="54"/>
      <c r="EUB2463" s="54"/>
      <c r="EUC2463" s="63"/>
      <c r="EUD2463" s="60"/>
      <c r="EUE2463" s="60"/>
      <c r="EUF2463" s="60"/>
      <c r="EUG2463" s="63"/>
      <c r="EUH2463" s="61"/>
      <c r="EUI2463" s="54"/>
      <c r="EUJ2463" s="54"/>
      <c r="EUK2463" s="63"/>
      <c r="EUL2463" s="60"/>
      <c r="EUM2463" s="60"/>
      <c r="EUN2463" s="60"/>
      <c r="EUO2463" s="63"/>
      <c r="EUP2463" s="61"/>
      <c r="EUQ2463" s="54"/>
      <c r="EUR2463" s="54"/>
      <c r="EUS2463" s="63"/>
      <c r="EUT2463" s="60"/>
      <c r="EUU2463" s="60"/>
      <c r="EUV2463" s="60"/>
      <c r="EUW2463" s="63"/>
      <c r="EUX2463" s="61"/>
      <c r="EUY2463" s="54"/>
      <c r="EUZ2463" s="54"/>
      <c r="EVA2463" s="63"/>
      <c r="EVB2463" s="60"/>
      <c r="EVC2463" s="60"/>
      <c r="EVD2463" s="60"/>
      <c r="EVE2463" s="63"/>
      <c r="EVF2463" s="61"/>
      <c r="EVG2463" s="54"/>
      <c r="EVH2463" s="54"/>
      <c r="EVI2463" s="63"/>
      <c r="EVJ2463" s="60"/>
      <c r="EVK2463" s="60"/>
      <c r="EVL2463" s="60"/>
      <c r="EVM2463" s="63"/>
      <c r="EVN2463" s="61"/>
      <c r="EVO2463" s="54"/>
      <c r="EVP2463" s="54"/>
      <c r="EVQ2463" s="63"/>
      <c r="EVR2463" s="60"/>
      <c r="EVS2463" s="60"/>
      <c r="EVT2463" s="60"/>
      <c r="EVU2463" s="63"/>
      <c r="EVV2463" s="61"/>
      <c r="EVW2463" s="54"/>
      <c r="EVX2463" s="54"/>
      <c r="EVY2463" s="63"/>
      <c r="EVZ2463" s="60"/>
      <c r="EWA2463" s="60"/>
      <c r="EWB2463" s="60"/>
      <c r="EWC2463" s="63"/>
      <c r="EWD2463" s="61"/>
      <c r="EWE2463" s="54"/>
      <c r="EWF2463" s="54"/>
      <c r="EWG2463" s="63"/>
      <c r="EWH2463" s="60"/>
      <c r="EWI2463" s="60"/>
      <c r="EWJ2463" s="60"/>
      <c r="EWK2463" s="63"/>
      <c r="EWL2463" s="61"/>
      <c r="EWM2463" s="54"/>
      <c r="EWN2463" s="54"/>
      <c r="EWO2463" s="63"/>
      <c r="EWP2463" s="60"/>
      <c r="EWQ2463" s="60"/>
      <c r="EWR2463" s="60"/>
      <c r="EWS2463" s="63"/>
      <c r="EWT2463" s="61"/>
      <c r="EWU2463" s="54"/>
      <c r="EWV2463" s="54"/>
      <c r="EWW2463" s="63"/>
      <c r="EWX2463" s="60"/>
      <c r="EWY2463" s="60"/>
      <c r="EWZ2463" s="60"/>
      <c r="EXA2463" s="63"/>
      <c r="EXB2463" s="61"/>
      <c r="EXC2463" s="54"/>
      <c r="EXD2463" s="54"/>
      <c r="EXE2463" s="63"/>
      <c r="EXF2463" s="60"/>
      <c r="EXG2463" s="60"/>
      <c r="EXH2463" s="60"/>
      <c r="EXI2463" s="63"/>
      <c r="EXJ2463" s="61"/>
      <c r="EXK2463" s="54"/>
      <c r="EXL2463" s="54"/>
      <c r="EXM2463" s="63"/>
      <c r="EXN2463" s="60"/>
      <c r="EXO2463" s="60"/>
      <c r="EXP2463" s="60"/>
      <c r="EXQ2463" s="63"/>
      <c r="EXR2463" s="61"/>
      <c r="EXS2463" s="54"/>
      <c r="EXT2463" s="54"/>
      <c r="EXU2463" s="63"/>
      <c r="EXV2463" s="60"/>
      <c r="EXW2463" s="60"/>
      <c r="EXX2463" s="60"/>
      <c r="EXY2463" s="63"/>
      <c r="EXZ2463" s="61"/>
      <c r="EYA2463" s="54"/>
      <c r="EYB2463" s="54"/>
      <c r="EYC2463" s="63"/>
      <c r="EYD2463" s="60"/>
      <c r="EYE2463" s="60"/>
      <c r="EYF2463" s="60"/>
      <c r="EYG2463" s="63"/>
      <c r="EYH2463" s="61"/>
      <c r="EYI2463" s="54"/>
      <c r="EYJ2463" s="54"/>
      <c r="EYK2463" s="63"/>
      <c r="EYL2463" s="60"/>
      <c r="EYM2463" s="60"/>
      <c r="EYN2463" s="60"/>
      <c r="EYO2463" s="63"/>
      <c r="EYP2463" s="61"/>
      <c r="EYQ2463" s="54"/>
      <c r="EYR2463" s="54"/>
      <c r="EYS2463" s="63"/>
      <c r="EYT2463" s="60"/>
      <c r="EYU2463" s="60"/>
      <c r="EYV2463" s="60"/>
      <c r="EYW2463" s="63"/>
      <c r="EYX2463" s="61"/>
      <c r="EYY2463" s="54"/>
      <c r="EYZ2463" s="54"/>
      <c r="EZA2463" s="63"/>
      <c r="EZB2463" s="60"/>
      <c r="EZC2463" s="60"/>
      <c r="EZD2463" s="60"/>
      <c r="EZE2463" s="63"/>
      <c r="EZF2463" s="61"/>
      <c r="EZG2463" s="54"/>
      <c r="EZH2463" s="54"/>
      <c r="EZI2463" s="63"/>
      <c r="EZJ2463" s="60"/>
      <c r="EZK2463" s="60"/>
      <c r="EZL2463" s="60"/>
      <c r="EZM2463" s="63"/>
      <c r="EZN2463" s="61"/>
      <c r="EZO2463" s="54"/>
      <c r="EZP2463" s="54"/>
      <c r="EZQ2463" s="63"/>
      <c r="EZR2463" s="60"/>
      <c r="EZS2463" s="60"/>
      <c r="EZT2463" s="60"/>
      <c r="EZU2463" s="63"/>
      <c r="EZV2463" s="61"/>
      <c r="EZW2463" s="54"/>
      <c r="EZX2463" s="54"/>
      <c r="EZY2463" s="63"/>
      <c r="EZZ2463" s="60"/>
      <c r="FAA2463" s="60"/>
      <c r="FAB2463" s="60"/>
      <c r="FAC2463" s="63"/>
      <c r="FAD2463" s="61"/>
      <c r="FAE2463" s="54"/>
      <c r="FAF2463" s="54"/>
      <c r="FAG2463" s="63"/>
      <c r="FAH2463" s="60"/>
      <c r="FAI2463" s="60"/>
      <c r="FAJ2463" s="60"/>
      <c r="FAK2463" s="63"/>
      <c r="FAL2463" s="61"/>
      <c r="FAM2463" s="54"/>
      <c r="FAN2463" s="54"/>
      <c r="FAO2463" s="63"/>
      <c r="FAP2463" s="60"/>
      <c r="FAQ2463" s="60"/>
      <c r="FAR2463" s="60"/>
      <c r="FAS2463" s="63"/>
      <c r="FAT2463" s="61"/>
      <c r="FAU2463" s="54"/>
      <c r="FAV2463" s="54"/>
      <c r="FAW2463" s="63"/>
      <c r="FAX2463" s="60"/>
      <c r="FAY2463" s="60"/>
      <c r="FAZ2463" s="60"/>
      <c r="FBA2463" s="63"/>
      <c r="FBB2463" s="61"/>
      <c r="FBC2463" s="54"/>
      <c r="FBD2463" s="54"/>
      <c r="FBE2463" s="63"/>
      <c r="FBF2463" s="60"/>
      <c r="FBG2463" s="60"/>
      <c r="FBH2463" s="60"/>
      <c r="FBI2463" s="63"/>
      <c r="FBJ2463" s="61"/>
      <c r="FBK2463" s="54"/>
      <c r="FBL2463" s="54"/>
      <c r="FBM2463" s="63"/>
      <c r="FBN2463" s="60"/>
      <c r="FBO2463" s="60"/>
      <c r="FBP2463" s="60"/>
      <c r="FBQ2463" s="63"/>
      <c r="FBR2463" s="61"/>
      <c r="FBS2463" s="54"/>
      <c r="FBT2463" s="54"/>
      <c r="FBU2463" s="63"/>
      <c r="FBV2463" s="60"/>
      <c r="FBW2463" s="60"/>
      <c r="FBX2463" s="60"/>
      <c r="FBY2463" s="63"/>
      <c r="FBZ2463" s="61"/>
      <c r="FCA2463" s="54"/>
      <c r="FCB2463" s="54"/>
      <c r="FCC2463" s="63"/>
      <c r="FCD2463" s="60"/>
      <c r="FCE2463" s="60"/>
      <c r="FCF2463" s="60"/>
      <c r="FCG2463" s="63"/>
      <c r="FCH2463" s="61"/>
      <c r="FCI2463" s="54"/>
      <c r="FCJ2463" s="54"/>
      <c r="FCK2463" s="63"/>
      <c r="FCL2463" s="60"/>
      <c r="FCM2463" s="60"/>
      <c r="FCN2463" s="60"/>
      <c r="FCO2463" s="63"/>
      <c r="FCP2463" s="61"/>
      <c r="FCQ2463" s="54"/>
      <c r="FCR2463" s="54"/>
      <c r="FCS2463" s="63"/>
      <c r="FCT2463" s="60"/>
      <c r="FCU2463" s="60"/>
      <c r="FCV2463" s="60"/>
      <c r="FCW2463" s="63"/>
      <c r="FCX2463" s="61"/>
      <c r="FCY2463" s="54"/>
      <c r="FCZ2463" s="54"/>
      <c r="FDA2463" s="63"/>
      <c r="FDB2463" s="60"/>
      <c r="FDC2463" s="60"/>
      <c r="FDD2463" s="60"/>
      <c r="FDE2463" s="63"/>
      <c r="FDF2463" s="61"/>
      <c r="FDG2463" s="54"/>
      <c r="FDH2463" s="54"/>
      <c r="FDI2463" s="63"/>
      <c r="FDJ2463" s="60"/>
      <c r="FDK2463" s="60"/>
      <c r="FDL2463" s="60"/>
      <c r="FDM2463" s="63"/>
      <c r="FDN2463" s="61"/>
      <c r="FDO2463" s="54"/>
      <c r="FDP2463" s="54"/>
      <c r="FDQ2463" s="63"/>
      <c r="FDR2463" s="60"/>
      <c r="FDS2463" s="60"/>
      <c r="FDT2463" s="60"/>
      <c r="FDU2463" s="63"/>
      <c r="FDV2463" s="61"/>
      <c r="FDW2463" s="54"/>
      <c r="FDX2463" s="54"/>
      <c r="FDY2463" s="63"/>
      <c r="FDZ2463" s="60"/>
      <c r="FEA2463" s="60"/>
      <c r="FEB2463" s="60"/>
      <c r="FEC2463" s="63"/>
      <c r="FED2463" s="61"/>
      <c r="FEE2463" s="54"/>
      <c r="FEF2463" s="54"/>
      <c r="FEG2463" s="63"/>
      <c r="FEH2463" s="60"/>
      <c r="FEI2463" s="60"/>
      <c r="FEJ2463" s="60"/>
      <c r="FEK2463" s="63"/>
      <c r="FEL2463" s="61"/>
      <c r="FEM2463" s="54"/>
      <c r="FEN2463" s="54"/>
      <c r="FEO2463" s="63"/>
      <c r="FEP2463" s="60"/>
      <c r="FEQ2463" s="60"/>
      <c r="FER2463" s="60"/>
      <c r="FES2463" s="63"/>
      <c r="FET2463" s="61"/>
      <c r="FEU2463" s="54"/>
      <c r="FEV2463" s="54"/>
      <c r="FEW2463" s="63"/>
      <c r="FEX2463" s="60"/>
      <c r="FEY2463" s="60"/>
      <c r="FEZ2463" s="60"/>
      <c r="FFA2463" s="63"/>
      <c r="FFB2463" s="61"/>
      <c r="FFC2463" s="54"/>
      <c r="FFD2463" s="54"/>
      <c r="FFE2463" s="63"/>
      <c r="FFF2463" s="60"/>
      <c r="FFG2463" s="60"/>
      <c r="FFH2463" s="60"/>
      <c r="FFI2463" s="63"/>
      <c r="FFJ2463" s="61"/>
      <c r="FFK2463" s="54"/>
      <c r="FFL2463" s="54"/>
      <c r="FFM2463" s="63"/>
      <c r="FFN2463" s="60"/>
      <c r="FFO2463" s="60"/>
      <c r="FFP2463" s="60"/>
      <c r="FFQ2463" s="63"/>
      <c r="FFR2463" s="61"/>
      <c r="FFS2463" s="54"/>
      <c r="FFT2463" s="54"/>
      <c r="FFU2463" s="63"/>
      <c r="FFV2463" s="60"/>
      <c r="FFW2463" s="60"/>
      <c r="FFX2463" s="60"/>
      <c r="FFY2463" s="63"/>
      <c r="FFZ2463" s="61"/>
      <c r="FGA2463" s="54"/>
      <c r="FGB2463" s="54"/>
      <c r="FGC2463" s="63"/>
      <c r="FGD2463" s="60"/>
      <c r="FGE2463" s="60"/>
      <c r="FGF2463" s="60"/>
      <c r="FGG2463" s="63"/>
      <c r="FGH2463" s="61"/>
      <c r="FGI2463" s="54"/>
      <c r="FGJ2463" s="54"/>
      <c r="FGK2463" s="63"/>
      <c r="FGL2463" s="60"/>
      <c r="FGM2463" s="60"/>
      <c r="FGN2463" s="60"/>
      <c r="FGO2463" s="63"/>
      <c r="FGP2463" s="61"/>
      <c r="FGQ2463" s="54"/>
      <c r="FGR2463" s="54"/>
      <c r="FGS2463" s="63"/>
      <c r="FGT2463" s="60"/>
      <c r="FGU2463" s="60"/>
      <c r="FGV2463" s="60"/>
      <c r="FGW2463" s="63"/>
      <c r="FGX2463" s="61"/>
      <c r="FGY2463" s="54"/>
      <c r="FGZ2463" s="54"/>
      <c r="FHA2463" s="63"/>
      <c r="FHB2463" s="60"/>
      <c r="FHC2463" s="60"/>
      <c r="FHD2463" s="60"/>
      <c r="FHE2463" s="63"/>
      <c r="FHF2463" s="61"/>
      <c r="FHG2463" s="54"/>
      <c r="FHH2463" s="54"/>
      <c r="FHI2463" s="63"/>
      <c r="FHJ2463" s="60"/>
      <c r="FHK2463" s="60"/>
      <c r="FHL2463" s="60"/>
      <c r="FHM2463" s="63"/>
      <c r="FHN2463" s="61"/>
      <c r="FHO2463" s="54"/>
      <c r="FHP2463" s="54"/>
      <c r="FHQ2463" s="63"/>
      <c r="FHR2463" s="60"/>
      <c r="FHS2463" s="60"/>
      <c r="FHT2463" s="60"/>
      <c r="FHU2463" s="63"/>
      <c r="FHV2463" s="61"/>
      <c r="FHW2463" s="54"/>
      <c r="FHX2463" s="54"/>
      <c r="FHY2463" s="63"/>
      <c r="FHZ2463" s="60"/>
      <c r="FIA2463" s="60"/>
      <c r="FIB2463" s="60"/>
      <c r="FIC2463" s="63"/>
      <c r="FID2463" s="61"/>
      <c r="FIE2463" s="54"/>
      <c r="FIF2463" s="54"/>
      <c r="FIG2463" s="63"/>
      <c r="FIH2463" s="60"/>
      <c r="FII2463" s="60"/>
      <c r="FIJ2463" s="60"/>
      <c r="FIK2463" s="63"/>
      <c r="FIL2463" s="61"/>
      <c r="FIM2463" s="54"/>
      <c r="FIN2463" s="54"/>
      <c r="FIO2463" s="63"/>
      <c r="FIP2463" s="60"/>
      <c r="FIQ2463" s="60"/>
      <c r="FIR2463" s="60"/>
      <c r="FIS2463" s="63"/>
      <c r="FIT2463" s="61"/>
      <c r="FIU2463" s="54"/>
      <c r="FIV2463" s="54"/>
      <c r="FIW2463" s="63"/>
      <c r="FIX2463" s="60"/>
      <c r="FIY2463" s="60"/>
      <c r="FIZ2463" s="60"/>
      <c r="FJA2463" s="63"/>
      <c r="FJB2463" s="61"/>
      <c r="FJC2463" s="54"/>
      <c r="FJD2463" s="54"/>
      <c r="FJE2463" s="63"/>
      <c r="FJF2463" s="60"/>
      <c r="FJG2463" s="60"/>
      <c r="FJH2463" s="60"/>
      <c r="FJI2463" s="63"/>
      <c r="FJJ2463" s="61"/>
      <c r="FJK2463" s="54"/>
      <c r="FJL2463" s="54"/>
      <c r="FJM2463" s="63"/>
      <c r="FJN2463" s="60"/>
      <c r="FJO2463" s="60"/>
      <c r="FJP2463" s="60"/>
      <c r="FJQ2463" s="63"/>
      <c r="FJR2463" s="61"/>
      <c r="FJS2463" s="54"/>
      <c r="FJT2463" s="54"/>
      <c r="FJU2463" s="63"/>
      <c r="FJV2463" s="60"/>
      <c r="FJW2463" s="60"/>
      <c r="FJX2463" s="60"/>
      <c r="FJY2463" s="63"/>
      <c r="FJZ2463" s="61"/>
      <c r="FKA2463" s="54"/>
      <c r="FKB2463" s="54"/>
      <c r="FKC2463" s="63"/>
      <c r="FKD2463" s="60"/>
      <c r="FKE2463" s="60"/>
      <c r="FKF2463" s="60"/>
      <c r="FKG2463" s="63"/>
      <c r="FKH2463" s="61"/>
      <c r="FKI2463" s="54"/>
      <c r="FKJ2463" s="54"/>
      <c r="FKK2463" s="63"/>
      <c r="FKL2463" s="60"/>
      <c r="FKM2463" s="60"/>
      <c r="FKN2463" s="60"/>
      <c r="FKO2463" s="63"/>
      <c r="FKP2463" s="61"/>
      <c r="FKQ2463" s="54"/>
      <c r="FKR2463" s="54"/>
      <c r="FKS2463" s="63"/>
      <c r="FKT2463" s="60"/>
      <c r="FKU2463" s="60"/>
      <c r="FKV2463" s="60"/>
      <c r="FKW2463" s="63"/>
      <c r="FKX2463" s="61"/>
      <c r="FKY2463" s="54"/>
      <c r="FKZ2463" s="54"/>
      <c r="FLA2463" s="63"/>
      <c r="FLB2463" s="60"/>
      <c r="FLC2463" s="60"/>
      <c r="FLD2463" s="60"/>
      <c r="FLE2463" s="63"/>
      <c r="FLF2463" s="61"/>
      <c r="FLG2463" s="54"/>
      <c r="FLH2463" s="54"/>
      <c r="FLI2463" s="63"/>
      <c r="FLJ2463" s="60"/>
      <c r="FLK2463" s="60"/>
      <c r="FLL2463" s="60"/>
      <c r="FLM2463" s="63"/>
      <c r="FLN2463" s="61"/>
      <c r="FLO2463" s="54"/>
      <c r="FLP2463" s="54"/>
      <c r="FLQ2463" s="63"/>
      <c r="FLR2463" s="60"/>
      <c r="FLS2463" s="60"/>
      <c r="FLT2463" s="60"/>
      <c r="FLU2463" s="63"/>
      <c r="FLV2463" s="61"/>
      <c r="FLW2463" s="54"/>
      <c r="FLX2463" s="54"/>
      <c r="FLY2463" s="63"/>
      <c r="FLZ2463" s="60"/>
      <c r="FMA2463" s="60"/>
      <c r="FMB2463" s="60"/>
      <c r="FMC2463" s="63"/>
      <c r="FMD2463" s="61"/>
      <c r="FME2463" s="54"/>
      <c r="FMF2463" s="54"/>
      <c r="FMG2463" s="63"/>
      <c r="FMH2463" s="60"/>
      <c r="FMI2463" s="60"/>
      <c r="FMJ2463" s="60"/>
      <c r="FMK2463" s="63"/>
      <c r="FML2463" s="61"/>
      <c r="FMM2463" s="54"/>
      <c r="FMN2463" s="54"/>
      <c r="FMO2463" s="63"/>
      <c r="FMP2463" s="60"/>
      <c r="FMQ2463" s="60"/>
      <c r="FMR2463" s="60"/>
      <c r="FMS2463" s="63"/>
      <c r="FMT2463" s="61"/>
      <c r="FMU2463" s="54"/>
      <c r="FMV2463" s="54"/>
      <c r="FMW2463" s="63"/>
      <c r="FMX2463" s="60"/>
      <c r="FMY2463" s="60"/>
      <c r="FMZ2463" s="60"/>
      <c r="FNA2463" s="63"/>
      <c r="FNB2463" s="61"/>
      <c r="FNC2463" s="54"/>
      <c r="FND2463" s="54"/>
      <c r="FNE2463" s="63"/>
      <c r="FNF2463" s="60"/>
      <c r="FNG2463" s="60"/>
      <c r="FNH2463" s="60"/>
      <c r="FNI2463" s="63"/>
      <c r="FNJ2463" s="61"/>
      <c r="FNK2463" s="54"/>
      <c r="FNL2463" s="54"/>
      <c r="FNM2463" s="63"/>
      <c r="FNN2463" s="60"/>
      <c r="FNO2463" s="60"/>
      <c r="FNP2463" s="60"/>
      <c r="FNQ2463" s="63"/>
      <c r="FNR2463" s="61"/>
      <c r="FNS2463" s="54"/>
      <c r="FNT2463" s="54"/>
      <c r="FNU2463" s="63"/>
      <c r="FNV2463" s="60"/>
      <c r="FNW2463" s="60"/>
      <c r="FNX2463" s="60"/>
      <c r="FNY2463" s="63"/>
      <c r="FNZ2463" s="61"/>
      <c r="FOA2463" s="54"/>
      <c r="FOB2463" s="54"/>
      <c r="FOC2463" s="63"/>
      <c r="FOD2463" s="60"/>
      <c r="FOE2463" s="60"/>
      <c r="FOF2463" s="60"/>
      <c r="FOG2463" s="63"/>
      <c r="FOH2463" s="61"/>
      <c r="FOI2463" s="54"/>
      <c r="FOJ2463" s="54"/>
      <c r="FOK2463" s="63"/>
      <c r="FOL2463" s="60"/>
      <c r="FOM2463" s="60"/>
      <c r="FON2463" s="60"/>
      <c r="FOO2463" s="63"/>
      <c r="FOP2463" s="61"/>
      <c r="FOQ2463" s="54"/>
      <c r="FOR2463" s="54"/>
      <c r="FOS2463" s="63"/>
      <c r="FOT2463" s="60"/>
      <c r="FOU2463" s="60"/>
      <c r="FOV2463" s="60"/>
      <c r="FOW2463" s="63"/>
      <c r="FOX2463" s="61"/>
      <c r="FOY2463" s="54"/>
      <c r="FOZ2463" s="54"/>
      <c r="FPA2463" s="63"/>
      <c r="FPB2463" s="60"/>
      <c r="FPC2463" s="60"/>
      <c r="FPD2463" s="60"/>
      <c r="FPE2463" s="63"/>
      <c r="FPF2463" s="61"/>
      <c r="FPG2463" s="54"/>
      <c r="FPH2463" s="54"/>
      <c r="FPI2463" s="63"/>
      <c r="FPJ2463" s="60"/>
      <c r="FPK2463" s="60"/>
      <c r="FPL2463" s="60"/>
      <c r="FPM2463" s="63"/>
      <c r="FPN2463" s="61"/>
      <c r="FPO2463" s="54"/>
      <c r="FPP2463" s="54"/>
      <c r="FPQ2463" s="63"/>
      <c r="FPR2463" s="60"/>
      <c r="FPS2463" s="60"/>
      <c r="FPT2463" s="60"/>
      <c r="FPU2463" s="63"/>
      <c r="FPV2463" s="61"/>
      <c r="FPW2463" s="54"/>
      <c r="FPX2463" s="54"/>
      <c r="FPY2463" s="63"/>
      <c r="FPZ2463" s="60"/>
      <c r="FQA2463" s="60"/>
      <c r="FQB2463" s="60"/>
      <c r="FQC2463" s="63"/>
      <c r="FQD2463" s="61"/>
      <c r="FQE2463" s="54"/>
      <c r="FQF2463" s="54"/>
      <c r="FQG2463" s="63"/>
      <c r="FQH2463" s="60"/>
      <c r="FQI2463" s="60"/>
      <c r="FQJ2463" s="60"/>
      <c r="FQK2463" s="63"/>
      <c r="FQL2463" s="61"/>
      <c r="FQM2463" s="54"/>
      <c r="FQN2463" s="54"/>
      <c r="FQO2463" s="63"/>
      <c r="FQP2463" s="60"/>
      <c r="FQQ2463" s="60"/>
      <c r="FQR2463" s="60"/>
      <c r="FQS2463" s="63"/>
      <c r="FQT2463" s="61"/>
      <c r="FQU2463" s="54"/>
      <c r="FQV2463" s="54"/>
      <c r="FQW2463" s="63"/>
      <c r="FQX2463" s="60"/>
      <c r="FQY2463" s="60"/>
      <c r="FQZ2463" s="60"/>
      <c r="FRA2463" s="63"/>
      <c r="FRB2463" s="61"/>
      <c r="FRC2463" s="54"/>
      <c r="FRD2463" s="54"/>
      <c r="FRE2463" s="63"/>
      <c r="FRF2463" s="60"/>
      <c r="FRG2463" s="60"/>
      <c r="FRH2463" s="60"/>
      <c r="FRI2463" s="63"/>
      <c r="FRJ2463" s="61"/>
      <c r="FRK2463" s="54"/>
      <c r="FRL2463" s="54"/>
      <c r="FRM2463" s="63"/>
      <c r="FRN2463" s="60"/>
      <c r="FRO2463" s="60"/>
      <c r="FRP2463" s="60"/>
      <c r="FRQ2463" s="63"/>
      <c r="FRR2463" s="61"/>
      <c r="FRS2463" s="54"/>
      <c r="FRT2463" s="54"/>
      <c r="FRU2463" s="63"/>
      <c r="FRV2463" s="60"/>
      <c r="FRW2463" s="60"/>
      <c r="FRX2463" s="60"/>
      <c r="FRY2463" s="63"/>
      <c r="FRZ2463" s="61"/>
      <c r="FSA2463" s="54"/>
      <c r="FSB2463" s="54"/>
      <c r="FSC2463" s="63"/>
      <c r="FSD2463" s="60"/>
      <c r="FSE2463" s="60"/>
      <c r="FSF2463" s="60"/>
      <c r="FSG2463" s="63"/>
      <c r="FSH2463" s="61"/>
      <c r="FSI2463" s="54"/>
      <c r="FSJ2463" s="54"/>
      <c r="FSK2463" s="63"/>
      <c r="FSL2463" s="60"/>
      <c r="FSM2463" s="60"/>
      <c r="FSN2463" s="60"/>
      <c r="FSO2463" s="63"/>
      <c r="FSP2463" s="61"/>
      <c r="FSQ2463" s="54"/>
      <c r="FSR2463" s="54"/>
      <c r="FSS2463" s="63"/>
      <c r="FST2463" s="60"/>
      <c r="FSU2463" s="60"/>
      <c r="FSV2463" s="60"/>
      <c r="FSW2463" s="63"/>
      <c r="FSX2463" s="61"/>
      <c r="FSY2463" s="54"/>
      <c r="FSZ2463" s="54"/>
      <c r="FTA2463" s="63"/>
      <c r="FTB2463" s="60"/>
      <c r="FTC2463" s="60"/>
      <c r="FTD2463" s="60"/>
      <c r="FTE2463" s="63"/>
      <c r="FTF2463" s="61"/>
      <c r="FTG2463" s="54"/>
      <c r="FTH2463" s="54"/>
      <c r="FTI2463" s="63"/>
      <c r="FTJ2463" s="60"/>
      <c r="FTK2463" s="60"/>
      <c r="FTL2463" s="60"/>
      <c r="FTM2463" s="63"/>
      <c r="FTN2463" s="61"/>
      <c r="FTO2463" s="54"/>
      <c r="FTP2463" s="54"/>
      <c r="FTQ2463" s="63"/>
      <c r="FTR2463" s="60"/>
      <c r="FTS2463" s="60"/>
      <c r="FTT2463" s="60"/>
      <c r="FTU2463" s="63"/>
      <c r="FTV2463" s="61"/>
      <c r="FTW2463" s="54"/>
      <c r="FTX2463" s="54"/>
      <c r="FTY2463" s="63"/>
      <c r="FTZ2463" s="60"/>
      <c r="FUA2463" s="60"/>
      <c r="FUB2463" s="60"/>
      <c r="FUC2463" s="63"/>
      <c r="FUD2463" s="61"/>
      <c r="FUE2463" s="54"/>
      <c r="FUF2463" s="54"/>
      <c r="FUG2463" s="63"/>
      <c r="FUH2463" s="60"/>
      <c r="FUI2463" s="60"/>
      <c r="FUJ2463" s="60"/>
      <c r="FUK2463" s="63"/>
      <c r="FUL2463" s="61"/>
      <c r="FUM2463" s="54"/>
      <c r="FUN2463" s="54"/>
      <c r="FUO2463" s="63"/>
      <c r="FUP2463" s="60"/>
      <c r="FUQ2463" s="60"/>
      <c r="FUR2463" s="60"/>
      <c r="FUS2463" s="63"/>
      <c r="FUT2463" s="61"/>
      <c r="FUU2463" s="54"/>
      <c r="FUV2463" s="54"/>
      <c r="FUW2463" s="63"/>
      <c r="FUX2463" s="60"/>
      <c r="FUY2463" s="60"/>
      <c r="FUZ2463" s="60"/>
      <c r="FVA2463" s="63"/>
      <c r="FVB2463" s="61"/>
      <c r="FVC2463" s="54"/>
      <c r="FVD2463" s="54"/>
      <c r="FVE2463" s="63"/>
      <c r="FVF2463" s="60"/>
      <c r="FVG2463" s="60"/>
      <c r="FVH2463" s="60"/>
      <c r="FVI2463" s="63"/>
      <c r="FVJ2463" s="61"/>
      <c r="FVK2463" s="54"/>
      <c r="FVL2463" s="54"/>
      <c r="FVM2463" s="63"/>
      <c r="FVN2463" s="60"/>
      <c r="FVO2463" s="60"/>
      <c r="FVP2463" s="60"/>
      <c r="FVQ2463" s="63"/>
      <c r="FVR2463" s="61"/>
      <c r="FVS2463" s="54"/>
      <c r="FVT2463" s="54"/>
      <c r="FVU2463" s="63"/>
      <c r="FVV2463" s="60"/>
      <c r="FVW2463" s="60"/>
      <c r="FVX2463" s="60"/>
      <c r="FVY2463" s="63"/>
      <c r="FVZ2463" s="61"/>
      <c r="FWA2463" s="54"/>
      <c r="FWB2463" s="54"/>
      <c r="FWC2463" s="63"/>
      <c r="FWD2463" s="60"/>
      <c r="FWE2463" s="60"/>
      <c r="FWF2463" s="60"/>
      <c r="FWG2463" s="63"/>
      <c r="FWH2463" s="61"/>
      <c r="FWI2463" s="54"/>
      <c r="FWJ2463" s="54"/>
      <c r="FWK2463" s="63"/>
      <c r="FWL2463" s="60"/>
      <c r="FWM2463" s="60"/>
      <c r="FWN2463" s="60"/>
      <c r="FWO2463" s="63"/>
      <c r="FWP2463" s="61"/>
      <c r="FWQ2463" s="54"/>
      <c r="FWR2463" s="54"/>
      <c r="FWS2463" s="63"/>
      <c r="FWT2463" s="60"/>
      <c r="FWU2463" s="60"/>
      <c r="FWV2463" s="60"/>
      <c r="FWW2463" s="63"/>
      <c r="FWX2463" s="61"/>
      <c r="FWY2463" s="54"/>
      <c r="FWZ2463" s="54"/>
      <c r="FXA2463" s="63"/>
      <c r="FXB2463" s="60"/>
      <c r="FXC2463" s="60"/>
      <c r="FXD2463" s="60"/>
      <c r="FXE2463" s="63"/>
      <c r="FXF2463" s="61"/>
      <c r="FXG2463" s="54"/>
      <c r="FXH2463" s="54"/>
      <c r="FXI2463" s="63"/>
      <c r="FXJ2463" s="60"/>
      <c r="FXK2463" s="60"/>
      <c r="FXL2463" s="60"/>
      <c r="FXM2463" s="63"/>
      <c r="FXN2463" s="61"/>
      <c r="FXO2463" s="54"/>
      <c r="FXP2463" s="54"/>
      <c r="FXQ2463" s="63"/>
      <c r="FXR2463" s="60"/>
      <c r="FXS2463" s="60"/>
      <c r="FXT2463" s="60"/>
      <c r="FXU2463" s="63"/>
      <c r="FXV2463" s="61"/>
      <c r="FXW2463" s="54"/>
      <c r="FXX2463" s="54"/>
      <c r="FXY2463" s="63"/>
      <c r="FXZ2463" s="60"/>
      <c r="FYA2463" s="60"/>
      <c r="FYB2463" s="60"/>
      <c r="FYC2463" s="63"/>
      <c r="FYD2463" s="61"/>
      <c r="FYE2463" s="54"/>
      <c r="FYF2463" s="54"/>
      <c r="FYG2463" s="63"/>
      <c r="FYH2463" s="60"/>
      <c r="FYI2463" s="60"/>
      <c r="FYJ2463" s="60"/>
      <c r="FYK2463" s="63"/>
      <c r="FYL2463" s="61"/>
      <c r="FYM2463" s="54"/>
      <c r="FYN2463" s="54"/>
      <c r="FYO2463" s="63"/>
      <c r="FYP2463" s="60"/>
      <c r="FYQ2463" s="60"/>
      <c r="FYR2463" s="60"/>
      <c r="FYS2463" s="63"/>
      <c r="FYT2463" s="61"/>
      <c r="FYU2463" s="54"/>
      <c r="FYV2463" s="54"/>
      <c r="FYW2463" s="63"/>
      <c r="FYX2463" s="60"/>
      <c r="FYY2463" s="60"/>
      <c r="FYZ2463" s="60"/>
      <c r="FZA2463" s="63"/>
      <c r="FZB2463" s="61"/>
      <c r="FZC2463" s="54"/>
      <c r="FZD2463" s="54"/>
      <c r="FZE2463" s="63"/>
      <c r="FZF2463" s="60"/>
      <c r="FZG2463" s="60"/>
      <c r="FZH2463" s="60"/>
      <c r="FZI2463" s="63"/>
      <c r="FZJ2463" s="61"/>
      <c r="FZK2463" s="54"/>
      <c r="FZL2463" s="54"/>
      <c r="FZM2463" s="63"/>
      <c r="FZN2463" s="60"/>
      <c r="FZO2463" s="60"/>
      <c r="FZP2463" s="60"/>
      <c r="FZQ2463" s="63"/>
      <c r="FZR2463" s="61"/>
      <c r="FZS2463" s="54"/>
      <c r="FZT2463" s="54"/>
      <c r="FZU2463" s="63"/>
      <c r="FZV2463" s="60"/>
      <c r="FZW2463" s="60"/>
      <c r="FZX2463" s="60"/>
      <c r="FZY2463" s="63"/>
      <c r="FZZ2463" s="61"/>
      <c r="GAA2463" s="54"/>
      <c r="GAB2463" s="54"/>
      <c r="GAC2463" s="63"/>
      <c r="GAD2463" s="60"/>
      <c r="GAE2463" s="60"/>
      <c r="GAF2463" s="60"/>
      <c r="GAG2463" s="63"/>
      <c r="GAH2463" s="61"/>
      <c r="GAI2463" s="54"/>
      <c r="GAJ2463" s="54"/>
      <c r="GAK2463" s="63"/>
      <c r="GAL2463" s="60"/>
      <c r="GAM2463" s="60"/>
      <c r="GAN2463" s="60"/>
      <c r="GAO2463" s="63"/>
      <c r="GAP2463" s="61"/>
      <c r="GAQ2463" s="54"/>
      <c r="GAR2463" s="54"/>
      <c r="GAS2463" s="63"/>
      <c r="GAT2463" s="60"/>
      <c r="GAU2463" s="60"/>
      <c r="GAV2463" s="60"/>
      <c r="GAW2463" s="63"/>
      <c r="GAX2463" s="61"/>
      <c r="GAY2463" s="54"/>
      <c r="GAZ2463" s="54"/>
      <c r="GBA2463" s="63"/>
      <c r="GBB2463" s="60"/>
      <c r="GBC2463" s="60"/>
      <c r="GBD2463" s="60"/>
      <c r="GBE2463" s="63"/>
      <c r="GBF2463" s="61"/>
      <c r="GBG2463" s="54"/>
      <c r="GBH2463" s="54"/>
      <c r="GBI2463" s="63"/>
      <c r="GBJ2463" s="60"/>
      <c r="GBK2463" s="60"/>
      <c r="GBL2463" s="60"/>
      <c r="GBM2463" s="63"/>
      <c r="GBN2463" s="61"/>
      <c r="GBO2463" s="54"/>
      <c r="GBP2463" s="54"/>
      <c r="GBQ2463" s="63"/>
      <c r="GBR2463" s="60"/>
      <c r="GBS2463" s="60"/>
      <c r="GBT2463" s="60"/>
      <c r="GBU2463" s="63"/>
      <c r="GBV2463" s="61"/>
      <c r="GBW2463" s="54"/>
      <c r="GBX2463" s="54"/>
      <c r="GBY2463" s="63"/>
      <c r="GBZ2463" s="60"/>
      <c r="GCA2463" s="60"/>
      <c r="GCB2463" s="60"/>
      <c r="GCC2463" s="63"/>
      <c r="GCD2463" s="61"/>
      <c r="GCE2463" s="54"/>
      <c r="GCF2463" s="54"/>
      <c r="GCG2463" s="63"/>
      <c r="GCH2463" s="60"/>
      <c r="GCI2463" s="60"/>
      <c r="GCJ2463" s="60"/>
      <c r="GCK2463" s="63"/>
      <c r="GCL2463" s="61"/>
      <c r="GCM2463" s="54"/>
      <c r="GCN2463" s="54"/>
      <c r="GCO2463" s="63"/>
      <c r="GCP2463" s="60"/>
      <c r="GCQ2463" s="60"/>
      <c r="GCR2463" s="60"/>
      <c r="GCS2463" s="63"/>
      <c r="GCT2463" s="61"/>
      <c r="GCU2463" s="54"/>
      <c r="GCV2463" s="54"/>
      <c r="GCW2463" s="63"/>
      <c r="GCX2463" s="60"/>
      <c r="GCY2463" s="60"/>
      <c r="GCZ2463" s="60"/>
      <c r="GDA2463" s="63"/>
      <c r="GDB2463" s="61"/>
      <c r="GDC2463" s="54"/>
      <c r="GDD2463" s="54"/>
      <c r="GDE2463" s="63"/>
      <c r="GDF2463" s="60"/>
      <c r="GDG2463" s="60"/>
      <c r="GDH2463" s="60"/>
      <c r="GDI2463" s="63"/>
      <c r="GDJ2463" s="61"/>
      <c r="GDK2463" s="54"/>
      <c r="GDL2463" s="54"/>
      <c r="GDM2463" s="63"/>
      <c r="GDN2463" s="60"/>
      <c r="GDO2463" s="60"/>
      <c r="GDP2463" s="60"/>
      <c r="GDQ2463" s="63"/>
      <c r="GDR2463" s="61"/>
      <c r="GDS2463" s="54"/>
      <c r="GDT2463" s="54"/>
      <c r="GDU2463" s="63"/>
      <c r="GDV2463" s="60"/>
      <c r="GDW2463" s="60"/>
      <c r="GDX2463" s="60"/>
      <c r="GDY2463" s="63"/>
      <c r="GDZ2463" s="61"/>
      <c r="GEA2463" s="54"/>
      <c r="GEB2463" s="54"/>
      <c r="GEC2463" s="63"/>
      <c r="GED2463" s="60"/>
      <c r="GEE2463" s="60"/>
      <c r="GEF2463" s="60"/>
      <c r="GEG2463" s="63"/>
      <c r="GEH2463" s="61"/>
      <c r="GEI2463" s="54"/>
      <c r="GEJ2463" s="54"/>
      <c r="GEK2463" s="63"/>
      <c r="GEL2463" s="60"/>
      <c r="GEM2463" s="60"/>
      <c r="GEN2463" s="60"/>
      <c r="GEO2463" s="63"/>
      <c r="GEP2463" s="61"/>
      <c r="GEQ2463" s="54"/>
      <c r="GER2463" s="54"/>
      <c r="GES2463" s="63"/>
      <c r="GET2463" s="60"/>
      <c r="GEU2463" s="60"/>
      <c r="GEV2463" s="60"/>
      <c r="GEW2463" s="63"/>
      <c r="GEX2463" s="61"/>
      <c r="GEY2463" s="54"/>
      <c r="GEZ2463" s="54"/>
      <c r="GFA2463" s="63"/>
      <c r="GFB2463" s="60"/>
      <c r="GFC2463" s="60"/>
      <c r="GFD2463" s="60"/>
      <c r="GFE2463" s="63"/>
      <c r="GFF2463" s="61"/>
      <c r="GFG2463" s="54"/>
      <c r="GFH2463" s="54"/>
      <c r="GFI2463" s="63"/>
      <c r="GFJ2463" s="60"/>
      <c r="GFK2463" s="60"/>
      <c r="GFL2463" s="60"/>
      <c r="GFM2463" s="63"/>
      <c r="GFN2463" s="61"/>
      <c r="GFO2463" s="54"/>
      <c r="GFP2463" s="54"/>
      <c r="GFQ2463" s="63"/>
      <c r="GFR2463" s="60"/>
      <c r="GFS2463" s="60"/>
      <c r="GFT2463" s="60"/>
      <c r="GFU2463" s="63"/>
      <c r="GFV2463" s="61"/>
      <c r="GFW2463" s="54"/>
      <c r="GFX2463" s="54"/>
      <c r="GFY2463" s="63"/>
      <c r="GFZ2463" s="60"/>
      <c r="GGA2463" s="60"/>
      <c r="GGB2463" s="60"/>
      <c r="GGC2463" s="63"/>
      <c r="GGD2463" s="61"/>
      <c r="GGE2463" s="54"/>
      <c r="GGF2463" s="54"/>
      <c r="GGG2463" s="63"/>
      <c r="GGH2463" s="60"/>
      <c r="GGI2463" s="60"/>
      <c r="GGJ2463" s="60"/>
      <c r="GGK2463" s="63"/>
      <c r="GGL2463" s="61"/>
      <c r="GGM2463" s="54"/>
      <c r="GGN2463" s="54"/>
      <c r="GGO2463" s="63"/>
      <c r="GGP2463" s="60"/>
      <c r="GGQ2463" s="60"/>
      <c r="GGR2463" s="60"/>
      <c r="GGS2463" s="63"/>
      <c r="GGT2463" s="61"/>
      <c r="GGU2463" s="54"/>
      <c r="GGV2463" s="54"/>
      <c r="GGW2463" s="63"/>
      <c r="GGX2463" s="60"/>
      <c r="GGY2463" s="60"/>
      <c r="GGZ2463" s="60"/>
      <c r="GHA2463" s="63"/>
      <c r="GHB2463" s="61"/>
      <c r="GHC2463" s="54"/>
      <c r="GHD2463" s="54"/>
      <c r="GHE2463" s="63"/>
      <c r="GHF2463" s="60"/>
      <c r="GHG2463" s="60"/>
      <c r="GHH2463" s="60"/>
      <c r="GHI2463" s="63"/>
      <c r="GHJ2463" s="61"/>
      <c r="GHK2463" s="54"/>
      <c r="GHL2463" s="54"/>
      <c r="GHM2463" s="63"/>
      <c r="GHN2463" s="60"/>
      <c r="GHO2463" s="60"/>
      <c r="GHP2463" s="60"/>
      <c r="GHQ2463" s="63"/>
      <c r="GHR2463" s="61"/>
      <c r="GHS2463" s="54"/>
      <c r="GHT2463" s="54"/>
      <c r="GHU2463" s="63"/>
      <c r="GHV2463" s="60"/>
      <c r="GHW2463" s="60"/>
      <c r="GHX2463" s="60"/>
      <c r="GHY2463" s="63"/>
      <c r="GHZ2463" s="61"/>
      <c r="GIA2463" s="54"/>
      <c r="GIB2463" s="54"/>
      <c r="GIC2463" s="63"/>
      <c r="GID2463" s="60"/>
      <c r="GIE2463" s="60"/>
      <c r="GIF2463" s="60"/>
      <c r="GIG2463" s="63"/>
      <c r="GIH2463" s="61"/>
      <c r="GII2463" s="54"/>
      <c r="GIJ2463" s="54"/>
      <c r="GIK2463" s="63"/>
      <c r="GIL2463" s="60"/>
      <c r="GIM2463" s="60"/>
      <c r="GIN2463" s="60"/>
      <c r="GIO2463" s="63"/>
      <c r="GIP2463" s="61"/>
      <c r="GIQ2463" s="54"/>
      <c r="GIR2463" s="54"/>
      <c r="GIS2463" s="63"/>
      <c r="GIT2463" s="60"/>
      <c r="GIU2463" s="60"/>
      <c r="GIV2463" s="60"/>
      <c r="GIW2463" s="63"/>
      <c r="GIX2463" s="61"/>
      <c r="GIY2463" s="54"/>
      <c r="GIZ2463" s="54"/>
      <c r="GJA2463" s="63"/>
      <c r="GJB2463" s="60"/>
      <c r="GJC2463" s="60"/>
      <c r="GJD2463" s="60"/>
      <c r="GJE2463" s="63"/>
      <c r="GJF2463" s="61"/>
      <c r="GJG2463" s="54"/>
      <c r="GJH2463" s="54"/>
      <c r="GJI2463" s="63"/>
      <c r="GJJ2463" s="60"/>
      <c r="GJK2463" s="60"/>
      <c r="GJL2463" s="60"/>
      <c r="GJM2463" s="63"/>
      <c r="GJN2463" s="61"/>
      <c r="GJO2463" s="54"/>
      <c r="GJP2463" s="54"/>
      <c r="GJQ2463" s="63"/>
      <c r="GJR2463" s="60"/>
      <c r="GJS2463" s="60"/>
      <c r="GJT2463" s="60"/>
      <c r="GJU2463" s="63"/>
      <c r="GJV2463" s="61"/>
      <c r="GJW2463" s="54"/>
      <c r="GJX2463" s="54"/>
      <c r="GJY2463" s="63"/>
      <c r="GJZ2463" s="60"/>
      <c r="GKA2463" s="60"/>
      <c r="GKB2463" s="60"/>
      <c r="GKC2463" s="63"/>
      <c r="GKD2463" s="61"/>
      <c r="GKE2463" s="54"/>
      <c r="GKF2463" s="54"/>
      <c r="GKG2463" s="63"/>
      <c r="GKH2463" s="60"/>
      <c r="GKI2463" s="60"/>
      <c r="GKJ2463" s="60"/>
      <c r="GKK2463" s="63"/>
      <c r="GKL2463" s="61"/>
      <c r="GKM2463" s="54"/>
      <c r="GKN2463" s="54"/>
      <c r="GKO2463" s="63"/>
      <c r="GKP2463" s="60"/>
      <c r="GKQ2463" s="60"/>
      <c r="GKR2463" s="60"/>
      <c r="GKS2463" s="63"/>
      <c r="GKT2463" s="61"/>
      <c r="GKU2463" s="54"/>
      <c r="GKV2463" s="54"/>
      <c r="GKW2463" s="63"/>
      <c r="GKX2463" s="60"/>
      <c r="GKY2463" s="60"/>
      <c r="GKZ2463" s="60"/>
      <c r="GLA2463" s="63"/>
      <c r="GLB2463" s="61"/>
      <c r="GLC2463" s="54"/>
      <c r="GLD2463" s="54"/>
      <c r="GLE2463" s="63"/>
      <c r="GLF2463" s="60"/>
      <c r="GLG2463" s="60"/>
      <c r="GLH2463" s="60"/>
      <c r="GLI2463" s="63"/>
      <c r="GLJ2463" s="61"/>
      <c r="GLK2463" s="54"/>
      <c r="GLL2463" s="54"/>
      <c r="GLM2463" s="63"/>
      <c r="GLN2463" s="60"/>
      <c r="GLO2463" s="60"/>
      <c r="GLP2463" s="60"/>
      <c r="GLQ2463" s="63"/>
      <c r="GLR2463" s="61"/>
      <c r="GLS2463" s="54"/>
      <c r="GLT2463" s="54"/>
      <c r="GLU2463" s="63"/>
      <c r="GLV2463" s="60"/>
      <c r="GLW2463" s="60"/>
      <c r="GLX2463" s="60"/>
      <c r="GLY2463" s="63"/>
      <c r="GLZ2463" s="61"/>
      <c r="GMA2463" s="54"/>
      <c r="GMB2463" s="54"/>
      <c r="GMC2463" s="63"/>
      <c r="GMD2463" s="60"/>
      <c r="GME2463" s="60"/>
      <c r="GMF2463" s="60"/>
      <c r="GMG2463" s="63"/>
      <c r="GMH2463" s="61"/>
      <c r="GMI2463" s="54"/>
      <c r="GMJ2463" s="54"/>
      <c r="GMK2463" s="63"/>
      <c r="GML2463" s="60"/>
      <c r="GMM2463" s="60"/>
      <c r="GMN2463" s="60"/>
      <c r="GMO2463" s="63"/>
      <c r="GMP2463" s="61"/>
      <c r="GMQ2463" s="54"/>
      <c r="GMR2463" s="54"/>
      <c r="GMS2463" s="63"/>
      <c r="GMT2463" s="60"/>
      <c r="GMU2463" s="60"/>
      <c r="GMV2463" s="60"/>
      <c r="GMW2463" s="63"/>
      <c r="GMX2463" s="61"/>
      <c r="GMY2463" s="54"/>
      <c r="GMZ2463" s="54"/>
      <c r="GNA2463" s="63"/>
      <c r="GNB2463" s="60"/>
      <c r="GNC2463" s="60"/>
      <c r="GND2463" s="60"/>
      <c r="GNE2463" s="63"/>
      <c r="GNF2463" s="61"/>
      <c r="GNG2463" s="54"/>
      <c r="GNH2463" s="54"/>
      <c r="GNI2463" s="63"/>
      <c r="GNJ2463" s="60"/>
      <c r="GNK2463" s="60"/>
      <c r="GNL2463" s="60"/>
      <c r="GNM2463" s="63"/>
      <c r="GNN2463" s="61"/>
      <c r="GNO2463" s="54"/>
      <c r="GNP2463" s="54"/>
      <c r="GNQ2463" s="63"/>
      <c r="GNR2463" s="60"/>
      <c r="GNS2463" s="60"/>
      <c r="GNT2463" s="60"/>
      <c r="GNU2463" s="63"/>
      <c r="GNV2463" s="61"/>
      <c r="GNW2463" s="54"/>
      <c r="GNX2463" s="54"/>
      <c r="GNY2463" s="63"/>
      <c r="GNZ2463" s="60"/>
      <c r="GOA2463" s="60"/>
      <c r="GOB2463" s="60"/>
      <c r="GOC2463" s="63"/>
      <c r="GOD2463" s="61"/>
      <c r="GOE2463" s="54"/>
      <c r="GOF2463" s="54"/>
      <c r="GOG2463" s="63"/>
      <c r="GOH2463" s="60"/>
      <c r="GOI2463" s="60"/>
      <c r="GOJ2463" s="60"/>
      <c r="GOK2463" s="63"/>
      <c r="GOL2463" s="61"/>
      <c r="GOM2463" s="54"/>
      <c r="GON2463" s="54"/>
      <c r="GOO2463" s="63"/>
      <c r="GOP2463" s="60"/>
      <c r="GOQ2463" s="60"/>
      <c r="GOR2463" s="60"/>
      <c r="GOS2463" s="63"/>
      <c r="GOT2463" s="61"/>
      <c r="GOU2463" s="54"/>
      <c r="GOV2463" s="54"/>
      <c r="GOW2463" s="63"/>
      <c r="GOX2463" s="60"/>
      <c r="GOY2463" s="60"/>
      <c r="GOZ2463" s="60"/>
      <c r="GPA2463" s="63"/>
      <c r="GPB2463" s="61"/>
      <c r="GPC2463" s="54"/>
      <c r="GPD2463" s="54"/>
      <c r="GPE2463" s="63"/>
      <c r="GPF2463" s="60"/>
      <c r="GPG2463" s="60"/>
      <c r="GPH2463" s="60"/>
      <c r="GPI2463" s="63"/>
      <c r="GPJ2463" s="61"/>
      <c r="GPK2463" s="54"/>
      <c r="GPL2463" s="54"/>
      <c r="GPM2463" s="63"/>
      <c r="GPN2463" s="60"/>
      <c r="GPO2463" s="60"/>
      <c r="GPP2463" s="60"/>
      <c r="GPQ2463" s="63"/>
      <c r="GPR2463" s="61"/>
      <c r="GPS2463" s="54"/>
      <c r="GPT2463" s="54"/>
      <c r="GPU2463" s="63"/>
      <c r="GPV2463" s="60"/>
      <c r="GPW2463" s="60"/>
      <c r="GPX2463" s="60"/>
      <c r="GPY2463" s="63"/>
      <c r="GPZ2463" s="61"/>
      <c r="GQA2463" s="54"/>
      <c r="GQB2463" s="54"/>
      <c r="GQC2463" s="63"/>
      <c r="GQD2463" s="60"/>
      <c r="GQE2463" s="60"/>
      <c r="GQF2463" s="60"/>
      <c r="GQG2463" s="63"/>
      <c r="GQH2463" s="61"/>
      <c r="GQI2463" s="54"/>
      <c r="GQJ2463" s="54"/>
      <c r="GQK2463" s="63"/>
      <c r="GQL2463" s="60"/>
      <c r="GQM2463" s="60"/>
      <c r="GQN2463" s="60"/>
      <c r="GQO2463" s="63"/>
      <c r="GQP2463" s="61"/>
      <c r="GQQ2463" s="54"/>
      <c r="GQR2463" s="54"/>
      <c r="GQS2463" s="63"/>
      <c r="GQT2463" s="60"/>
      <c r="GQU2463" s="60"/>
      <c r="GQV2463" s="60"/>
      <c r="GQW2463" s="63"/>
      <c r="GQX2463" s="61"/>
      <c r="GQY2463" s="54"/>
      <c r="GQZ2463" s="54"/>
      <c r="GRA2463" s="63"/>
      <c r="GRB2463" s="60"/>
      <c r="GRC2463" s="60"/>
      <c r="GRD2463" s="60"/>
      <c r="GRE2463" s="63"/>
      <c r="GRF2463" s="61"/>
      <c r="GRG2463" s="54"/>
      <c r="GRH2463" s="54"/>
      <c r="GRI2463" s="63"/>
      <c r="GRJ2463" s="60"/>
      <c r="GRK2463" s="60"/>
      <c r="GRL2463" s="60"/>
      <c r="GRM2463" s="63"/>
      <c r="GRN2463" s="61"/>
      <c r="GRO2463" s="54"/>
      <c r="GRP2463" s="54"/>
      <c r="GRQ2463" s="63"/>
      <c r="GRR2463" s="60"/>
      <c r="GRS2463" s="60"/>
      <c r="GRT2463" s="60"/>
      <c r="GRU2463" s="63"/>
      <c r="GRV2463" s="61"/>
      <c r="GRW2463" s="54"/>
      <c r="GRX2463" s="54"/>
      <c r="GRY2463" s="63"/>
      <c r="GRZ2463" s="60"/>
      <c r="GSA2463" s="60"/>
      <c r="GSB2463" s="60"/>
      <c r="GSC2463" s="63"/>
      <c r="GSD2463" s="61"/>
      <c r="GSE2463" s="54"/>
      <c r="GSF2463" s="54"/>
      <c r="GSG2463" s="63"/>
      <c r="GSH2463" s="60"/>
      <c r="GSI2463" s="60"/>
      <c r="GSJ2463" s="60"/>
      <c r="GSK2463" s="63"/>
      <c r="GSL2463" s="61"/>
      <c r="GSM2463" s="54"/>
      <c r="GSN2463" s="54"/>
      <c r="GSO2463" s="63"/>
      <c r="GSP2463" s="60"/>
      <c r="GSQ2463" s="60"/>
      <c r="GSR2463" s="60"/>
      <c r="GSS2463" s="63"/>
      <c r="GST2463" s="61"/>
      <c r="GSU2463" s="54"/>
      <c r="GSV2463" s="54"/>
      <c r="GSW2463" s="63"/>
      <c r="GSX2463" s="60"/>
      <c r="GSY2463" s="60"/>
      <c r="GSZ2463" s="60"/>
      <c r="GTA2463" s="63"/>
      <c r="GTB2463" s="61"/>
      <c r="GTC2463" s="54"/>
      <c r="GTD2463" s="54"/>
      <c r="GTE2463" s="63"/>
      <c r="GTF2463" s="60"/>
      <c r="GTG2463" s="60"/>
      <c r="GTH2463" s="60"/>
      <c r="GTI2463" s="63"/>
      <c r="GTJ2463" s="61"/>
      <c r="GTK2463" s="54"/>
      <c r="GTL2463" s="54"/>
      <c r="GTM2463" s="63"/>
      <c r="GTN2463" s="60"/>
      <c r="GTO2463" s="60"/>
      <c r="GTP2463" s="60"/>
      <c r="GTQ2463" s="63"/>
      <c r="GTR2463" s="61"/>
      <c r="GTS2463" s="54"/>
      <c r="GTT2463" s="54"/>
      <c r="GTU2463" s="63"/>
      <c r="GTV2463" s="60"/>
      <c r="GTW2463" s="60"/>
      <c r="GTX2463" s="60"/>
      <c r="GTY2463" s="63"/>
      <c r="GTZ2463" s="61"/>
      <c r="GUA2463" s="54"/>
      <c r="GUB2463" s="54"/>
      <c r="GUC2463" s="63"/>
      <c r="GUD2463" s="60"/>
      <c r="GUE2463" s="60"/>
      <c r="GUF2463" s="60"/>
      <c r="GUG2463" s="63"/>
      <c r="GUH2463" s="61"/>
      <c r="GUI2463" s="54"/>
      <c r="GUJ2463" s="54"/>
      <c r="GUK2463" s="63"/>
      <c r="GUL2463" s="60"/>
      <c r="GUM2463" s="60"/>
      <c r="GUN2463" s="60"/>
      <c r="GUO2463" s="63"/>
      <c r="GUP2463" s="61"/>
      <c r="GUQ2463" s="54"/>
      <c r="GUR2463" s="54"/>
      <c r="GUS2463" s="63"/>
      <c r="GUT2463" s="60"/>
      <c r="GUU2463" s="60"/>
      <c r="GUV2463" s="60"/>
      <c r="GUW2463" s="63"/>
      <c r="GUX2463" s="61"/>
      <c r="GUY2463" s="54"/>
      <c r="GUZ2463" s="54"/>
      <c r="GVA2463" s="63"/>
      <c r="GVB2463" s="60"/>
      <c r="GVC2463" s="60"/>
      <c r="GVD2463" s="60"/>
      <c r="GVE2463" s="63"/>
      <c r="GVF2463" s="61"/>
      <c r="GVG2463" s="54"/>
      <c r="GVH2463" s="54"/>
      <c r="GVI2463" s="63"/>
      <c r="GVJ2463" s="60"/>
      <c r="GVK2463" s="60"/>
      <c r="GVL2463" s="60"/>
      <c r="GVM2463" s="63"/>
      <c r="GVN2463" s="61"/>
      <c r="GVO2463" s="54"/>
      <c r="GVP2463" s="54"/>
      <c r="GVQ2463" s="63"/>
      <c r="GVR2463" s="60"/>
      <c r="GVS2463" s="60"/>
      <c r="GVT2463" s="60"/>
      <c r="GVU2463" s="63"/>
      <c r="GVV2463" s="61"/>
      <c r="GVW2463" s="54"/>
      <c r="GVX2463" s="54"/>
      <c r="GVY2463" s="63"/>
      <c r="GVZ2463" s="60"/>
      <c r="GWA2463" s="60"/>
      <c r="GWB2463" s="60"/>
      <c r="GWC2463" s="63"/>
      <c r="GWD2463" s="61"/>
      <c r="GWE2463" s="54"/>
      <c r="GWF2463" s="54"/>
      <c r="GWG2463" s="63"/>
      <c r="GWH2463" s="60"/>
      <c r="GWI2463" s="60"/>
      <c r="GWJ2463" s="60"/>
      <c r="GWK2463" s="63"/>
      <c r="GWL2463" s="61"/>
      <c r="GWM2463" s="54"/>
      <c r="GWN2463" s="54"/>
      <c r="GWO2463" s="63"/>
      <c r="GWP2463" s="60"/>
      <c r="GWQ2463" s="60"/>
      <c r="GWR2463" s="60"/>
      <c r="GWS2463" s="63"/>
      <c r="GWT2463" s="61"/>
      <c r="GWU2463" s="54"/>
      <c r="GWV2463" s="54"/>
      <c r="GWW2463" s="63"/>
      <c r="GWX2463" s="60"/>
      <c r="GWY2463" s="60"/>
      <c r="GWZ2463" s="60"/>
      <c r="GXA2463" s="63"/>
      <c r="GXB2463" s="61"/>
      <c r="GXC2463" s="54"/>
      <c r="GXD2463" s="54"/>
      <c r="GXE2463" s="63"/>
      <c r="GXF2463" s="60"/>
      <c r="GXG2463" s="60"/>
      <c r="GXH2463" s="60"/>
      <c r="GXI2463" s="63"/>
      <c r="GXJ2463" s="61"/>
      <c r="GXK2463" s="54"/>
      <c r="GXL2463" s="54"/>
      <c r="GXM2463" s="63"/>
      <c r="GXN2463" s="60"/>
      <c r="GXO2463" s="60"/>
      <c r="GXP2463" s="60"/>
      <c r="GXQ2463" s="63"/>
      <c r="GXR2463" s="61"/>
      <c r="GXS2463" s="54"/>
      <c r="GXT2463" s="54"/>
      <c r="GXU2463" s="63"/>
      <c r="GXV2463" s="60"/>
      <c r="GXW2463" s="60"/>
      <c r="GXX2463" s="60"/>
      <c r="GXY2463" s="63"/>
      <c r="GXZ2463" s="61"/>
      <c r="GYA2463" s="54"/>
      <c r="GYB2463" s="54"/>
      <c r="GYC2463" s="63"/>
      <c r="GYD2463" s="60"/>
      <c r="GYE2463" s="60"/>
      <c r="GYF2463" s="60"/>
      <c r="GYG2463" s="63"/>
      <c r="GYH2463" s="61"/>
      <c r="GYI2463" s="54"/>
      <c r="GYJ2463" s="54"/>
      <c r="GYK2463" s="63"/>
      <c r="GYL2463" s="60"/>
      <c r="GYM2463" s="60"/>
      <c r="GYN2463" s="60"/>
      <c r="GYO2463" s="63"/>
      <c r="GYP2463" s="61"/>
      <c r="GYQ2463" s="54"/>
      <c r="GYR2463" s="54"/>
      <c r="GYS2463" s="63"/>
      <c r="GYT2463" s="60"/>
      <c r="GYU2463" s="60"/>
      <c r="GYV2463" s="60"/>
      <c r="GYW2463" s="63"/>
      <c r="GYX2463" s="61"/>
      <c r="GYY2463" s="54"/>
      <c r="GYZ2463" s="54"/>
      <c r="GZA2463" s="63"/>
      <c r="GZB2463" s="60"/>
      <c r="GZC2463" s="60"/>
      <c r="GZD2463" s="60"/>
      <c r="GZE2463" s="63"/>
      <c r="GZF2463" s="61"/>
      <c r="GZG2463" s="54"/>
      <c r="GZH2463" s="54"/>
      <c r="GZI2463" s="63"/>
      <c r="GZJ2463" s="60"/>
      <c r="GZK2463" s="60"/>
      <c r="GZL2463" s="60"/>
      <c r="GZM2463" s="63"/>
      <c r="GZN2463" s="61"/>
      <c r="GZO2463" s="54"/>
      <c r="GZP2463" s="54"/>
      <c r="GZQ2463" s="63"/>
      <c r="GZR2463" s="60"/>
      <c r="GZS2463" s="60"/>
      <c r="GZT2463" s="60"/>
      <c r="GZU2463" s="63"/>
      <c r="GZV2463" s="61"/>
      <c r="GZW2463" s="54"/>
      <c r="GZX2463" s="54"/>
      <c r="GZY2463" s="63"/>
      <c r="GZZ2463" s="60"/>
      <c r="HAA2463" s="60"/>
      <c r="HAB2463" s="60"/>
      <c r="HAC2463" s="63"/>
      <c r="HAD2463" s="61"/>
      <c r="HAE2463" s="54"/>
      <c r="HAF2463" s="54"/>
      <c r="HAG2463" s="63"/>
      <c r="HAH2463" s="60"/>
      <c r="HAI2463" s="60"/>
      <c r="HAJ2463" s="60"/>
      <c r="HAK2463" s="63"/>
      <c r="HAL2463" s="61"/>
      <c r="HAM2463" s="54"/>
      <c r="HAN2463" s="54"/>
      <c r="HAO2463" s="63"/>
      <c r="HAP2463" s="60"/>
      <c r="HAQ2463" s="60"/>
      <c r="HAR2463" s="60"/>
      <c r="HAS2463" s="63"/>
      <c r="HAT2463" s="61"/>
      <c r="HAU2463" s="54"/>
      <c r="HAV2463" s="54"/>
      <c r="HAW2463" s="63"/>
      <c r="HAX2463" s="60"/>
      <c r="HAY2463" s="60"/>
      <c r="HAZ2463" s="60"/>
      <c r="HBA2463" s="63"/>
      <c r="HBB2463" s="61"/>
      <c r="HBC2463" s="54"/>
      <c r="HBD2463" s="54"/>
      <c r="HBE2463" s="63"/>
      <c r="HBF2463" s="60"/>
      <c r="HBG2463" s="60"/>
      <c r="HBH2463" s="60"/>
      <c r="HBI2463" s="63"/>
      <c r="HBJ2463" s="61"/>
      <c r="HBK2463" s="54"/>
      <c r="HBL2463" s="54"/>
      <c r="HBM2463" s="63"/>
      <c r="HBN2463" s="60"/>
      <c r="HBO2463" s="60"/>
      <c r="HBP2463" s="60"/>
      <c r="HBQ2463" s="63"/>
      <c r="HBR2463" s="61"/>
      <c r="HBS2463" s="54"/>
      <c r="HBT2463" s="54"/>
      <c r="HBU2463" s="63"/>
      <c r="HBV2463" s="60"/>
      <c r="HBW2463" s="60"/>
      <c r="HBX2463" s="60"/>
      <c r="HBY2463" s="63"/>
      <c r="HBZ2463" s="61"/>
      <c r="HCA2463" s="54"/>
      <c r="HCB2463" s="54"/>
      <c r="HCC2463" s="63"/>
      <c r="HCD2463" s="60"/>
      <c r="HCE2463" s="60"/>
      <c r="HCF2463" s="60"/>
      <c r="HCG2463" s="63"/>
      <c r="HCH2463" s="61"/>
      <c r="HCI2463" s="54"/>
      <c r="HCJ2463" s="54"/>
      <c r="HCK2463" s="63"/>
      <c r="HCL2463" s="60"/>
      <c r="HCM2463" s="60"/>
      <c r="HCN2463" s="60"/>
      <c r="HCO2463" s="63"/>
      <c r="HCP2463" s="61"/>
      <c r="HCQ2463" s="54"/>
      <c r="HCR2463" s="54"/>
      <c r="HCS2463" s="63"/>
      <c r="HCT2463" s="60"/>
      <c r="HCU2463" s="60"/>
      <c r="HCV2463" s="60"/>
      <c r="HCW2463" s="63"/>
      <c r="HCX2463" s="61"/>
      <c r="HCY2463" s="54"/>
      <c r="HCZ2463" s="54"/>
      <c r="HDA2463" s="63"/>
      <c r="HDB2463" s="60"/>
      <c r="HDC2463" s="60"/>
      <c r="HDD2463" s="60"/>
      <c r="HDE2463" s="63"/>
      <c r="HDF2463" s="61"/>
      <c r="HDG2463" s="54"/>
      <c r="HDH2463" s="54"/>
      <c r="HDI2463" s="63"/>
      <c r="HDJ2463" s="60"/>
      <c r="HDK2463" s="60"/>
      <c r="HDL2463" s="60"/>
      <c r="HDM2463" s="63"/>
      <c r="HDN2463" s="61"/>
      <c r="HDO2463" s="54"/>
      <c r="HDP2463" s="54"/>
      <c r="HDQ2463" s="63"/>
      <c r="HDR2463" s="60"/>
      <c r="HDS2463" s="60"/>
      <c r="HDT2463" s="60"/>
      <c r="HDU2463" s="63"/>
      <c r="HDV2463" s="61"/>
      <c r="HDW2463" s="54"/>
      <c r="HDX2463" s="54"/>
      <c r="HDY2463" s="63"/>
      <c r="HDZ2463" s="60"/>
      <c r="HEA2463" s="60"/>
      <c r="HEB2463" s="60"/>
      <c r="HEC2463" s="63"/>
      <c r="HED2463" s="61"/>
      <c r="HEE2463" s="54"/>
      <c r="HEF2463" s="54"/>
      <c r="HEG2463" s="63"/>
      <c r="HEH2463" s="60"/>
      <c r="HEI2463" s="60"/>
      <c r="HEJ2463" s="60"/>
      <c r="HEK2463" s="63"/>
      <c r="HEL2463" s="61"/>
      <c r="HEM2463" s="54"/>
      <c r="HEN2463" s="54"/>
      <c r="HEO2463" s="63"/>
      <c r="HEP2463" s="60"/>
      <c r="HEQ2463" s="60"/>
      <c r="HER2463" s="60"/>
      <c r="HES2463" s="63"/>
      <c r="HET2463" s="61"/>
      <c r="HEU2463" s="54"/>
      <c r="HEV2463" s="54"/>
      <c r="HEW2463" s="63"/>
      <c r="HEX2463" s="60"/>
      <c r="HEY2463" s="60"/>
      <c r="HEZ2463" s="60"/>
      <c r="HFA2463" s="63"/>
      <c r="HFB2463" s="61"/>
      <c r="HFC2463" s="54"/>
      <c r="HFD2463" s="54"/>
      <c r="HFE2463" s="63"/>
      <c r="HFF2463" s="60"/>
      <c r="HFG2463" s="60"/>
      <c r="HFH2463" s="60"/>
      <c r="HFI2463" s="63"/>
      <c r="HFJ2463" s="61"/>
      <c r="HFK2463" s="54"/>
      <c r="HFL2463" s="54"/>
      <c r="HFM2463" s="63"/>
      <c r="HFN2463" s="60"/>
      <c r="HFO2463" s="60"/>
      <c r="HFP2463" s="60"/>
      <c r="HFQ2463" s="63"/>
      <c r="HFR2463" s="61"/>
      <c r="HFS2463" s="54"/>
      <c r="HFT2463" s="54"/>
      <c r="HFU2463" s="63"/>
      <c r="HFV2463" s="60"/>
      <c r="HFW2463" s="60"/>
      <c r="HFX2463" s="60"/>
      <c r="HFY2463" s="63"/>
      <c r="HFZ2463" s="61"/>
      <c r="HGA2463" s="54"/>
      <c r="HGB2463" s="54"/>
      <c r="HGC2463" s="63"/>
      <c r="HGD2463" s="60"/>
      <c r="HGE2463" s="60"/>
      <c r="HGF2463" s="60"/>
      <c r="HGG2463" s="63"/>
      <c r="HGH2463" s="61"/>
      <c r="HGI2463" s="54"/>
      <c r="HGJ2463" s="54"/>
      <c r="HGK2463" s="63"/>
      <c r="HGL2463" s="60"/>
      <c r="HGM2463" s="60"/>
      <c r="HGN2463" s="60"/>
      <c r="HGO2463" s="63"/>
      <c r="HGP2463" s="61"/>
      <c r="HGQ2463" s="54"/>
      <c r="HGR2463" s="54"/>
      <c r="HGS2463" s="63"/>
      <c r="HGT2463" s="60"/>
      <c r="HGU2463" s="60"/>
      <c r="HGV2463" s="60"/>
      <c r="HGW2463" s="63"/>
      <c r="HGX2463" s="61"/>
      <c r="HGY2463" s="54"/>
      <c r="HGZ2463" s="54"/>
      <c r="HHA2463" s="63"/>
      <c r="HHB2463" s="60"/>
      <c r="HHC2463" s="60"/>
      <c r="HHD2463" s="60"/>
      <c r="HHE2463" s="63"/>
      <c r="HHF2463" s="61"/>
      <c r="HHG2463" s="54"/>
      <c r="HHH2463" s="54"/>
      <c r="HHI2463" s="63"/>
      <c r="HHJ2463" s="60"/>
      <c r="HHK2463" s="60"/>
      <c r="HHL2463" s="60"/>
      <c r="HHM2463" s="63"/>
      <c r="HHN2463" s="61"/>
      <c r="HHO2463" s="54"/>
      <c r="HHP2463" s="54"/>
      <c r="HHQ2463" s="63"/>
      <c r="HHR2463" s="60"/>
      <c r="HHS2463" s="60"/>
      <c r="HHT2463" s="60"/>
      <c r="HHU2463" s="63"/>
      <c r="HHV2463" s="61"/>
      <c r="HHW2463" s="54"/>
      <c r="HHX2463" s="54"/>
      <c r="HHY2463" s="63"/>
      <c r="HHZ2463" s="60"/>
      <c r="HIA2463" s="60"/>
      <c r="HIB2463" s="60"/>
      <c r="HIC2463" s="63"/>
      <c r="HID2463" s="61"/>
      <c r="HIE2463" s="54"/>
      <c r="HIF2463" s="54"/>
      <c r="HIG2463" s="63"/>
      <c r="HIH2463" s="60"/>
      <c r="HII2463" s="60"/>
      <c r="HIJ2463" s="60"/>
      <c r="HIK2463" s="63"/>
      <c r="HIL2463" s="61"/>
      <c r="HIM2463" s="54"/>
      <c r="HIN2463" s="54"/>
      <c r="HIO2463" s="63"/>
      <c r="HIP2463" s="60"/>
      <c r="HIQ2463" s="60"/>
      <c r="HIR2463" s="60"/>
      <c r="HIS2463" s="63"/>
      <c r="HIT2463" s="61"/>
      <c r="HIU2463" s="54"/>
      <c r="HIV2463" s="54"/>
      <c r="HIW2463" s="63"/>
      <c r="HIX2463" s="60"/>
      <c r="HIY2463" s="60"/>
      <c r="HIZ2463" s="60"/>
      <c r="HJA2463" s="63"/>
      <c r="HJB2463" s="61"/>
      <c r="HJC2463" s="54"/>
      <c r="HJD2463" s="54"/>
      <c r="HJE2463" s="63"/>
      <c r="HJF2463" s="60"/>
      <c r="HJG2463" s="60"/>
      <c r="HJH2463" s="60"/>
      <c r="HJI2463" s="63"/>
      <c r="HJJ2463" s="61"/>
      <c r="HJK2463" s="54"/>
      <c r="HJL2463" s="54"/>
      <c r="HJM2463" s="63"/>
      <c r="HJN2463" s="60"/>
      <c r="HJO2463" s="60"/>
      <c r="HJP2463" s="60"/>
      <c r="HJQ2463" s="63"/>
      <c r="HJR2463" s="61"/>
      <c r="HJS2463" s="54"/>
      <c r="HJT2463" s="54"/>
      <c r="HJU2463" s="63"/>
      <c r="HJV2463" s="60"/>
      <c r="HJW2463" s="60"/>
      <c r="HJX2463" s="60"/>
      <c r="HJY2463" s="63"/>
      <c r="HJZ2463" s="61"/>
      <c r="HKA2463" s="54"/>
      <c r="HKB2463" s="54"/>
      <c r="HKC2463" s="63"/>
      <c r="HKD2463" s="60"/>
      <c r="HKE2463" s="60"/>
      <c r="HKF2463" s="60"/>
      <c r="HKG2463" s="63"/>
      <c r="HKH2463" s="61"/>
      <c r="HKI2463" s="54"/>
      <c r="HKJ2463" s="54"/>
      <c r="HKK2463" s="63"/>
      <c r="HKL2463" s="60"/>
      <c r="HKM2463" s="60"/>
      <c r="HKN2463" s="60"/>
      <c r="HKO2463" s="63"/>
      <c r="HKP2463" s="61"/>
      <c r="HKQ2463" s="54"/>
      <c r="HKR2463" s="54"/>
      <c r="HKS2463" s="63"/>
      <c r="HKT2463" s="60"/>
      <c r="HKU2463" s="60"/>
      <c r="HKV2463" s="60"/>
      <c r="HKW2463" s="63"/>
      <c r="HKX2463" s="61"/>
      <c r="HKY2463" s="54"/>
      <c r="HKZ2463" s="54"/>
      <c r="HLA2463" s="63"/>
      <c r="HLB2463" s="60"/>
      <c r="HLC2463" s="60"/>
      <c r="HLD2463" s="60"/>
      <c r="HLE2463" s="63"/>
      <c r="HLF2463" s="61"/>
      <c r="HLG2463" s="54"/>
      <c r="HLH2463" s="54"/>
      <c r="HLI2463" s="63"/>
      <c r="HLJ2463" s="60"/>
      <c r="HLK2463" s="60"/>
      <c r="HLL2463" s="60"/>
      <c r="HLM2463" s="63"/>
      <c r="HLN2463" s="61"/>
      <c r="HLO2463" s="54"/>
      <c r="HLP2463" s="54"/>
      <c r="HLQ2463" s="63"/>
      <c r="HLR2463" s="60"/>
      <c r="HLS2463" s="60"/>
      <c r="HLT2463" s="60"/>
      <c r="HLU2463" s="63"/>
      <c r="HLV2463" s="61"/>
      <c r="HLW2463" s="54"/>
      <c r="HLX2463" s="54"/>
      <c r="HLY2463" s="63"/>
      <c r="HLZ2463" s="60"/>
      <c r="HMA2463" s="60"/>
      <c r="HMB2463" s="60"/>
      <c r="HMC2463" s="63"/>
      <c r="HMD2463" s="61"/>
      <c r="HME2463" s="54"/>
      <c r="HMF2463" s="54"/>
      <c r="HMG2463" s="63"/>
      <c r="HMH2463" s="60"/>
      <c r="HMI2463" s="60"/>
      <c r="HMJ2463" s="60"/>
      <c r="HMK2463" s="63"/>
      <c r="HML2463" s="61"/>
      <c r="HMM2463" s="54"/>
      <c r="HMN2463" s="54"/>
      <c r="HMO2463" s="63"/>
      <c r="HMP2463" s="60"/>
      <c r="HMQ2463" s="60"/>
      <c r="HMR2463" s="60"/>
      <c r="HMS2463" s="63"/>
      <c r="HMT2463" s="61"/>
      <c r="HMU2463" s="54"/>
      <c r="HMV2463" s="54"/>
      <c r="HMW2463" s="63"/>
      <c r="HMX2463" s="60"/>
      <c r="HMY2463" s="60"/>
      <c r="HMZ2463" s="60"/>
      <c r="HNA2463" s="63"/>
      <c r="HNB2463" s="61"/>
      <c r="HNC2463" s="54"/>
      <c r="HND2463" s="54"/>
      <c r="HNE2463" s="63"/>
      <c r="HNF2463" s="60"/>
      <c r="HNG2463" s="60"/>
      <c r="HNH2463" s="60"/>
      <c r="HNI2463" s="63"/>
      <c r="HNJ2463" s="61"/>
      <c r="HNK2463" s="54"/>
      <c r="HNL2463" s="54"/>
      <c r="HNM2463" s="63"/>
      <c r="HNN2463" s="60"/>
      <c r="HNO2463" s="60"/>
      <c r="HNP2463" s="60"/>
      <c r="HNQ2463" s="63"/>
      <c r="HNR2463" s="61"/>
      <c r="HNS2463" s="54"/>
      <c r="HNT2463" s="54"/>
      <c r="HNU2463" s="63"/>
      <c r="HNV2463" s="60"/>
      <c r="HNW2463" s="60"/>
      <c r="HNX2463" s="60"/>
      <c r="HNY2463" s="63"/>
      <c r="HNZ2463" s="61"/>
      <c r="HOA2463" s="54"/>
      <c r="HOB2463" s="54"/>
      <c r="HOC2463" s="63"/>
      <c r="HOD2463" s="60"/>
      <c r="HOE2463" s="60"/>
      <c r="HOF2463" s="60"/>
      <c r="HOG2463" s="63"/>
      <c r="HOH2463" s="61"/>
      <c r="HOI2463" s="54"/>
      <c r="HOJ2463" s="54"/>
      <c r="HOK2463" s="63"/>
      <c r="HOL2463" s="60"/>
      <c r="HOM2463" s="60"/>
      <c r="HON2463" s="60"/>
      <c r="HOO2463" s="63"/>
      <c r="HOP2463" s="61"/>
      <c r="HOQ2463" s="54"/>
      <c r="HOR2463" s="54"/>
      <c r="HOS2463" s="63"/>
      <c r="HOT2463" s="60"/>
      <c r="HOU2463" s="60"/>
      <c r="HOV2463" s="60"/>
      <c r="HOW2463" s="63"/>
      <c r="HOX2463" s="61"/>
      <c r="HOY2463" s="54"/>
      <c r="HOZ2463" s="54"/>
      <c r="HPA2463" s="63"/>
      <c r="HPB2463" s="60"/>
      <c r="HPC2463" s="60"/>
      <c r="HPD2463" s="60"/>
      <c r="HPE2463" s="63"/>
      <c r="HPF2463" s="61"/>
      <c r="HPG2463" s="54"/>
      <c r="HPH2463" s="54"/>
      <c r="HPI2463" s="63"/>
      <c r="HPJ2463" s="60"/>
      <c r="HPK2463" s="60"/>
      <c r="HPL2463" s="60"/>
      <c r="HPM2463" s="63"/>
      <c r="HPN2463" s="61"/>
      <c r="HPO2463" s="54"/>
      <c r="HPP2463" s="54"/>
      <c r="HPQ2463" s="63"/>
      <c r="HPR2463" s="60"/>
      <c r="HPS2463" s="60"/>
      <c r="HPT2463" s="60"/>
      <c r="HPU2463" s="63"/>
      <c r="HPV2463" s="61"/>
      <c r="HPW2463" s="54"/>
      <c r="HPX2463" s="54"/>
      <c r="HPY2463" s="63"/>
      <c r="HPZ2463" s="60"/>
      <c r="HQA2463" s="60"/>
      <c r="HQB2463" s="60"/>
      <c r="HQC2463" s="63"/>
      <c r="HQD2463" s="61"/>
      <c r="HQE2463" s="54"/>
      <c r="HQF2463" s="54"/>
      <c r="HQG2463" s="63"/>
      <c r="HQH2463" s="60"/>
      <c r="HQI2463" s="60"/>
      <c r="HQJ2463" s="60"/>
      <c r="HQK2463" s="63"/>
      <c r="HQL2463" s="61"/>
      <c r="HQM2463" s="54"/>
      <c r="HQN2463" s="54"/>
      <c r="HQO2463" s="63"/>
      <c r="HQP2463" s="60"/>
      <c r="HQQ2463" s="60"/>
      <c r="HQR2463" s="60"/>
      <c r="HQS2463" s="63"/>
      <c r="HQT2463" s="61"/>
      <c r="HQU2463" s="54"/>
      <c r="HQV2463" s="54"/>
      <c r="HQW2463" s="63"/>
      <c r="HQX2463" s="60"/>
      <c r="HQY2463" s="60"/>
      <c r="HQZ2463" s="60"/>
      <c r="HRA2463" s="63"/>
      <c r="HRB2463" s="61"/>
      <c r="HRC2463" s="54"/>
      <c r="HRD2463" s="54"/>
      <c r="HRE2463" s="63"/>
      <c r="HRF2463" s="60"/>
      <c r="HRG2463" s="60"/>
      <c r="HRH2463" s="60"/>
      <c r="HRI2463" s="63"/>
      <c r="HRJ2463" s="61"/>
      <c r="HRK2463" s="54"/>
      <c r="HRL2463" s="54"/>
      <c r="HRM2463" s="63"/>
      <c r="HRN2463" s="60"/>
      <c r="HRO2463" s="60"/>
      <c r="HRP2463" s="60"/>
      <c r="HRQ2463" s="63"/>
      <c r="HRR2463" s="61"/>
      <c r="HRS2463" s="54"/>
      <c r="HRT2463" s="54"/>
      <c r="HRU2463" s="63"/>
      <c r="HRV2463" s="60"/>
      <c r="HRW2463" s="60"/>
      <c r="HRX2463" s="60"/>
      <c r="HRY2463" s="63"/>
      <c r="HRZ2463" s="61"/>
      <c r="HSA2463" s="54"/>
      <c r="HSB2463" s="54"/>
      <c r="HSC2463" s="63"/>
      <c r="HSD2463" s="60"/>
      <c r="HSE2463" s="60"/>
      <c r="HSF2463" s="60"/>
      <c r="HSG2463" s="63"/>
      <c r="HSH2463" s="61"/>
      <c r="HSI2463" s="54"/>
      <c r="HSJ2463" s="54"/>
      <c r="HSK2463" s="63"/>
      <c r="HSL2463" s="60"/>
      <c r="HSM2463" s="60"/>
      <c r="HSN2463" s="60"/>
      <c r="HSO2463" s="63"/>
      <c r="HSP2463" s="61"/>
      <c r="HSQ2463" s="54"/>
      <c r="HSR2463" s="54"/>
      <c r="HSS2463" s="63"/>
      <c r="HST2463" s="60"/>
      <c r="HSU2463" s="60"/>
      <c r="HSV2463" s="60"/>
      <c r="HSW2463" s="63"/>
      <c r="HSX2463" s="61"/>
      <c r="HSY2463" s="54"/>
      <c r="HSZ2463" s="54"/>
      <c r="HTA2463" s="63"/>
      <c r="HTB2463" s="60"/>
      <c r="HTC2463" s="60"/>
      <c r="HTD2463" s="60"/>
      <c r="HTE2463" s="63"/>
      <c r="HTF2463" s="61"/>
      <c r="HTG2463" s="54"/>
      <c r="HTH2463" s="54"/>
      <c r="HTI2463" s="63"/>
      <c r="HTJ2463" s="60"/>
      <c r="HTK2463" s="60"/>
      <c r="HTL2463" s="60"/>
      <c r="HTM2463" s="63"/>
      <c r="HTN2463" s="61"/>
      <c r="HTO2463" s="54"/>
      <c r="HTP2463" s="54"/>
      <c r="HTQ2463" s="63"/>
      <c r="HTR2463" s="60"/>
      <c r="HTS2463" s="60"/>
      <c r="HTT2463" s="60"/>
      <c r="HTU2463" s="63"/>
      <c r="HTV2463" s="61"/>
      <c r="HTW2463" s="54"/>
      <c r="HTX2463" s="54"/>
      <c r="HTY2463" s="63"/>
      <c r="HTZ2463" s="60"/>
      <c r="HUA2463" s="60"/>
      <c r="HUB2463" s="60"/>
      <c r="HUC2463" s="63"/>
      <c r="HUD2463" s="61"/>
      <c r="HUE2463" s="54"/>
      <c r="HUF2463" s="54"/>
      <c r="HUG2463" s="63"/>
      <c r="HUH2463" s="60"/>
      <c r="HUI2463" s="60"/>
      <c r="HUJ2463" s="60"/>
      <c r="HUK2463" s="63"/>
      <c r="HUL2463" s="61"/>
      <c r="HUM2463" s="54"/>
      <c r="HUN2463" s="54"/>
      <c r="HUO2463" s="63"/>
      <c r="HUP2463" s="60"/>
      <c r="HUQ2463" s="60"/>
      <c r="HUR2463" s="60"/>
      <c r="HUS2463" s="63"/>
      <c r="HUT2463" s="61"/>
      <c r="HUU2463" s="54"/>
      <c r="HUV2463" s="54"/>
      <c r="HUW2463" s="63"/>
      <c r="HUX2463" s="60"/>
      <c r="HUY2463" s="60"/>
      <c r="HUZ2463" s="60"/>
      <c r="HVA2463" s="63"/>
      <c r="HVB2463" s="61"/>
      <c r="HVC2463" s="54"/>
      <c r="HVD2463" s="54"/>
      <c r="HVE2463" s="63"/>
      <c r="HVF2463" s="60"/>
      <c r="HVG2463" s="60"/>
      <c r="HVH2463" s="60"/>
      <c r="HVI2463" s="63"/>
      <c r="HVJ2463" s="61"/>
      <c r="HVK2463" s="54"/>
      <c r="HVL2463" s="54"/>
      <c r="HVM2463" s="63"/>
      <c r="HVN2463" s="60"/>
      <c r="HVO2463" s="60"/>
      <c r="HVP2463" s="60"/>
      <c r="HVQ2463" s="63"/>
      <c r="HVR2463" s="61"/>
      <c r="HVS2463" s="54"/>
      <c r="HVT2463" s="54"/>
      <c r="HVU2463" s="63"/>
      <c r="HVV2463" s="60"/>
      <c r="HVW2463" s="60"/>
      <c r="HVX2463" s="60"/>
      <c r="HVY2463" s="63"/>
      <c r="HVZ2463" s="61"/>
      <c r="HWA2463" s="54"/>
      <c r="HWB2463" s="54"/>
      <c r="HWC2463" s="63"/>
      <c r="HWD2463" s="60"/>
      <c r="HWE2463" s="60"/>
      <c r="HWF2463" s="60"/>
      <c r="HWG2463" s="63"/>
      <c r="HWH2463" s="61"/>
      <c r="HWI2463" s="54"/>
      <c r="HWJ2463" s="54"/>
      <c r="HWK2463" s="63"/>
      <c r="HWL2463" s="60"/>
      <c r="HWM2463" s="60"/>
      <c r="HWN2463" s="60"/>
      <c r="HWO2463" s="63"/>
      <c r="HWP2463" s="61"/>
      <c r="HWQ2463" s="54"/>
      <c r="HWR2463" s="54"/>
      <c r="HWS2463" s="63"/>
      <c r="HWT2463" s="60"/>
      <c r="HWU2463" s="60"/>
      <c r="HWV2463" s="60"/>
      <c r="HWW2463" s="63"/>
      <c r="HWX2463" s="61"/>
      <c r="HWY2463" s="54"/>
      <c r="HWZ2463" s="54"/>
      <c r="HXA2463" s="63"/>
      <c r="HXB2463" s="60"/>
      <c r="HXC2463" s="60"/>
      <c r="HXD2463" s="60"/>
      <c r="HXE2463" s="63"/>
      <c r="HXF2463" s="61"/>
      <c r="HXG2463" s="54"/>
      <c r="HXH2463" s="54"/>
      <c r="HXI2463" s="63"/>
      <c r="HXJ2463" s="60"/>
      <c r="HXK2463" s="60"/>
      <c r="HXL2463" s="60"/>
      <c r="HXM2463" s="63"/>
      <c r="HXN2463" s="61"/>
      <c r="HXO2463" s="54"/>
      <c r="HXP2463" s="54"/>
      <c r="HXQ2463" s="63"/>
      <c r="HXR2463" s="60"/>
      <c r="HXS2463" s="60"/>
      <c r="HXT2463" s="60"/>
      <c r="HXU2463" s="63"/>
      <c r="HXV2463" s="61"/>
      <c r="HXW2463" s="54"/>
      <c r="HXX2463" s="54"/>
      <c r="HXY2463" s="63"/>
      <c r="HXZ2463" s="60"/>
      <c r="HYA2463" s="60"/>
      <c r="HYB2463" s="60"/>
      <c r="HYC2463" s="63"/>
      <c r="HYD2463" s="61"/>
      <c r="HYE2463" s="54"/>
      <c r="HYF2463" s="54"/>
      <c r="HYG2463" s="63"/>
      <c r="HYH2463" s="60"/>
      <c r="HYI2463" s="60"/>
      <c r="HYJ2463" s="60"/>
      <c r="HYK2463" s="63"/>
      <c r="HYL2463" s="61"/>
      <c r="HYM2463" s="54"/>
      <c r="HYN2463" s="54"/>
      <c r="HYO2463" s="63"/>
      <c r="HYP2463" s="60"/>
      <c r="HYQ2463" s="60"/>
      <c r="HYR2463" s="60"/>
      <c r="HYS2463" s="63"/>
      <c r="HYT2463" s="61"/>
      <c r="HYU2463" s="54"/>
      <c r="HYV2463" s="54"/>
      <c r="HYW2463" s="63"/>
      <c r="HYX2463" s="60"/>
      <c r="HYY2463" s="60"/>
      <c r="HYZ2463" s="60"/>
      <c r="HZA2463" s="63"/>
      <c r="HZB2463" s="61"/>
      <c r="HZC2463" s="54"/>
      <c r="HZD2463" s="54"/>
      <c r="HZE2463" s="63"/>
      <c r="HZF2463" s="60"/>
      <c r="HZG2463" s="60"/>
      <c r="HZH2463" s="60"/>
      <c r="HZI2463" s="63"/>
      <c r="HZJ2463" s="61"/>
      <c r="HZK2463" s="54"/>
      <c r="HZL2463" s="54"/>
      <c r="HZM2463" s="63"/>
      <c r="HZN2463" s="60"/>
      <c r="HZO2463" s="60"/>
      <c r="HZP2463" s="60"/>
      <c r="HZQ2463" s="63"/>
      <c r="HZR2463" s="61"/>
      <c r="HZS2463" s="54"/>
      <c r="HZT2463" s="54"/>
      <c r="HZU2463" s="63"/>
      <c r="HZV2463" s="60"/>
      <c r="HZW2463" s="60"/>
      <c r="HZX2463" s="60"/>
      <c r="HZY2463" s="63"/>
      <c r="HZZ2463" s="61"/>
      <c r="IAA2463" s="54"/>
      <c r="IAB2463" s="54"/>
      <c r="IAC2463" s="63"/>
      <c r="IAD2463" s="60"/>
      <c r="IAE2463" s="60"/>
      <c r="IAF2463" s="60"/>
      <c r="IAG2463" s="63"/>
      <c r="IAH2463" s="61"/>
      <c r="IAI2463" s="54"/>
      <c r="IAJ2463" s="54"/>
      <c r="IAK2463" s="63"/>
      <c r="IAL2463" s="60"/>
      <c r="IAM2463" s="60"/>
      <c r="IAN2463" s="60"/>
      <c r="IAO2463" s="63"/>
      <c r="IAP2463" s="61"/>
      <c r="IAQ2463" s="54"/>
      <c r="IAR2463" s="54"/>
      <c r="IAS2463" s="63"/>
      <c r="IAT2463" s="60"/>
      <c r="IAU2463" s="60"/>
      <c r="IAV2463" s="60"/>
      <c r="IAW2463" s="63"/>
      <c r="IAX2463" s="61"/>
      <c r="IAY2463" s="54"/>
      <c r="IAZ2463" s="54"/>
      <c r="IBA2463" s="63"/>
      <c r="IBB2463" s="60"/>
      <c r="IBC2463" s="60"/>
      <c r="IBD2463" s="60"/>
      <c r="IBE2463" s="63"/>
      <c r="IBF2463" s="61"/>
      <c r="IBG2463" s="54"/>
      <c r="IBH2463" s="54"/>
      <c r="IBI2463" s="63"/>
      <c r="IBJ2463" s="60"/>
      <c r="IBK2463" s="60"/>
      <c r="IBL2463" s="60"/>
      <c r="IBM2463" s="63"/>
      <c r="IBN2463" s="61"/>
      <c r="IBO2463" s="54"/>
      <c r="IBP2463" s="54"/>
      <c r="IBQ2463" s="63"/>
      <c r="IBR2463" s="60"/>
      <c r="IBS2463" s="60"/>
      <c r="IBT2463" s="60"/>
      <c r="IBU2463" s="63"/>
      <c r="IBV2463" s="61"/>
      <c r="IBW2463" s="54"/>
      <c r="IBX2463" s="54"/>
      <c r="IBY2463" s="63"/>
      <c r="IBZ2463" s="60"/>
      <c r="ICA2463" s="60"/>
      <c r="ICB2463" s="60"/>
      <c r="ICC2463" s="63"/>
      <c r="ICD2463" s="61"/>
      <c r="ICE2463" s="54"/>
      <c r="ICF2463" s="54"/>
      <c r="ICG2463" s="63"/>
      <c r="ICH2463" s="60"/>
      <c r="ICI2463" s="60"/>
      <c r="ICJ2463" s="60"/>
      <c r="ICK2463" s="63"/>
      <c r="ICL2463" s="61"/>
      <c r="ICM2463" s="54"/>
      <c r="ICN2463" s="54"/>
      <c r="ICO2463" s="63"/>
      <c r="ICP2463" s="60"/>
      <c r="ICQ2463" s="60"/>
      <c r="ICR2463" s="60"/>
      <c r="ICS2463" s="63"/>
      <c r="ICT2463" s="61"/>
      <c r="ICU2463" s="54"/>
      <c r="ICV2463" s="54"/>
      <c r="ICW2463" s="63"/>
      <c r="ICX2463" s="60"/>
      <c r="ICY2463" s="60"/>
      <c r="ICZ2463" s="60"/>
      <c r="IDA2463" s="63"/>
      <c r="IDB2463" s="61"/>
      <c r="IDC2463" s="54"/>
      <c r="IDD2463" s="54"/>
      <c r="IDE2463" s="63"/>
      <c r="IDF2463" s="60"/>
      <c r="IDG2463" s="60"/>
      <c r="IDH2463" s="60"/>
      <c r="IDI2463" s="63"/>
      <c r="IDJ2463" s="61"/>
      <c r="IDK2463" s="54"/>
      <c r="IDL2463" s="54"/>
      <c r="IDM2463" s="63"/>
      <c r="IDN2463" s="60"/>
      <c r="IDO2463" s="60"/>
      <c r="IDP2463" s="60"/>
      <c r="IDQ2463" s="63"/>
      <c r="IDR2463" s="61"/>
      <c r="IDS2463" s="54"/>
      <c r="IDT2463" s="54"/>
      <c r="IDU2463" s="63"/>
      <c r="IDV2463" s="60"/>
      <c r="IDW2463" s="60"/>
      <c r="IDX2463" s="60"/>
      <c r="IDY2463" s="63"/>
      <c r="IDZ2463" s="61"/>
      <c r="IEA2463" s="54"/>
      <c r="IEB2463" s="54"/>
      <c r="IEC2463" s="63"/>
      <c r="IED2463" s="60"/>
      <c r="IEE2463" s="60"/>
      <c r="IEF2463" s="60"/>
      <c r="IEG2463" s="63"/>
      <c r="IEH2463" s="61"/>
      <c r="IEI2463" s="54"/>
      <c r="IEJ2463" s="54"/>
      <c r="IEK2463" s="63"/>
      <c r="IEL2463" s="60"/>
      <c r="IEM2463" s="60"/>
      <c r="IEN2463" s="60"/>
      <c r="IEO2463" s="63"/>
      <c r="IEP2463" s="61"/>
      <c r="IEQ2463" s="54"/>
      <c r="IER2463" s="54"/>
      <c r="IES2463" s="63"/>
      <c r="IET2463" s="60"/>
      <c r="IEU2463" s="60"/>
      <c r="IEV2463" s="60"/>
      <c r="IEW2463" s="63"/>
      <c r="IEX2463" s="61"/>
      <c r="IEY2463" s="54"/>
      <c r="IEZ2463" s="54"/>
      <c r="IFA2463" s="63"/>
      <c r="IFB2463" s="60"/>
      <c r="IFC2463" s="60"/>
      <c r="IFD2463" s="60"/>
      <c r="IFE2463" s="63"/>
      <c r="IFF2463" s="61"/>
      <c r="IFG2463" s="54"/>
      <c r="IFH2463" s="54"/>
      <c r="IFI2463" s="63"/>
      <c r="IFJ2463" s="60"/>
      <c r="IFK2463" s="60"/>
      <c r="IFL2463" s="60"/>
      <c r="IFM2463" s="63"/>
      <c r="IFN2463" s="61"/>
      <c r="IFO2463" s="54"/>
      <c r="IFP2463" s="54"/>
      <c r="IFQ2463" s="63"/>
      <c r="IFR2463" s="60"/>
      <c r="IFS2463" s="60"/>
      <c r="IFT2463" s="60"/>
      <c r="IFU2463" s="63"/>
      <c r="IFV2463" s="61"/>
      <c r="IFW2463" s="54"/>
      <c r="IFX2463" s="54"/>
      <c r="IFY2463" s="63"/>
      <c r="IFZ2463" s="60"/>
      <c r="IGA2463" s="60"/>
      <c r="IGB2463" s="60"/>
      <c r="IGC2463" s="63"/>
      <c r="IGD2463" s="61"/>
      <c r="IGE2463" s="54"/>
      <c r="IGF2463" s="54"/>
      <c r="IGG2463" s="63"/>
      <c r="IGH2463" s="60"/>
      <c r="IGI2463" s="60"/>
      <c r="IGJ2463" s="60"/>
      <c r="IGK2463" s="63"/>
      <c r="IGL2463" s="61"/>
      <c r="IGM2463" s="54"/>
      <c r="IGN2463" s="54"/>
      <c r="IGO2463" s="63"/>
      <c r="IGP2463" s="60"/>
      <c r="IGQ2463" s="60"/>
      <c r="IGR2463" s="60"/>
      <c r="IGS2463" s="63"/>
      <c r="IGT2463" s="61"/>
      <c r="IGU2463" s="54"/>
      <c r="IGV2463" s="54"/>
      <c r="IGW2463" s="63"/>
      <c r="IGX2463" s="60"/>
      <c r="IGY2463" s="60"/>
      <c r="IGZ2463" s="60"/>
      <c r="IHA2463" s="63"/>
      <c r="IHB2463" s="61"/>
      <c r="IHC2463" s="54"/>
      <c r="IHD2463" s="54"/>
      <c r="IHE2463" s="63"/>
      <c r="IHF2463" s="60"/>
      <c r="IHG2463" s="60"/>
      <c r="IHH2463" s="60"/>
      <c r="IHI2463" s="63"/>
      <c r="IHJ2463" s="61"/>
      <c r="IHK2463" s="54"/>
      <c r="IHL2463" s="54"/>
      <c r="IHM2463" s="63"/>
      <c r="IHN2463" s="60"/>
      <c r="IHO2463" s="60"/>
      <c r="IHP2463" s="60"/>
      <c r="IHQ2463" s="63"/>
      <c r="IHR2463" s="61"/>
      <c r="IHS2463" s="54"/>
      <c r="IHT2463" s="54"/>
      <c r="IHU2463" s="63"/>
      <c r="IHV2463" s="60"/>
      <c r="IHW2463" s="60"/>
      <c r="IHX2463" s="60"/>
      <c r="IHY2463" s="63"/>
      <c r="IHZ2463" s="61"/>
      <c r="IIA2463" s="54"/>
      <c r="IIB2463" s="54"/>
      <c r="IIC2463" s="63"/>
      <c r="IID2463" s="60"/>
      <c r="IIE2463" s="60"/>
      <c r="IIF2463" s="60"/>
      <c r="IIG2463" s="63"/>
      <c r="IIH2463" s="61"/>
      <c r="III2463" s="54"/>
      <c r="IIJ2463" s="54"/>
      <c r="IIK2463" s="63"/>
      <c r="IIL2463" s="60"/>
      <c r="IIM2463" s="60"/>
      <c r="IIN2463" s="60"/>
      <c r="IIO2463" s="63"/>
      <c r="IIP2463" s="61"/>
      <c r="IIQ2463" s="54"/>
      <c r="IIR2463" s="54"/>
      <c r="IIS2463" s="63"/>
      <c r="IIT2463" s="60"/>
      <c r="IIU2463" s="60"/>
      <c r="IIV2463" s="60"/>
      <c r="IIW2463" s="63"/>
      <c r="IIX2463" s="61"/>
      <c r="IIY2463" s="54"/>
      <c r="IIZ2463" s="54"/>
      <c r="IJA2463" s="63"/>
      <c r="IJB2463" s="60"/>
      <c r="IJC2463" s="60"/>
      <c r="IJD2463" s="60"/>
      <c r="IJE2463" s="63"/>
      <c r="IJF2463" s="61"/>
      <c r="IJG2463" s="54"/>
      <c r="IJH2463" s="54"/>
      <c r="IJI2463" s="63"/>
      <c r="IJJ2463" s="60"/>
      <c r="IJK2463" s="60"/>
      <c r="IJL2463" s="60"/>
      <c r="IJM2463" s="63"/>
      <c r="IJN2463" s="61"/>
      <c r="IJO2463" s="54"/>
      <c r="IJP2463" s="54"/>
      <c r="IJQ2463" s="63"/>
      <c r="IJR2463" s="60"/>
      <c r="IJS2463" s="60"/>
      <c r="IJT2463" s="60"/>
      <c r="IJU2463" s="63"/>
      <c r="IJV2463" s="61"/>
      <c r="IJW2463" s="54"/>
      <c r="IJX2463" s="54"/>
      <c r="IJY2463" s="63"/>
      <c r="IJZ2463" s="60"/>
      <c r="IKA2463" s="60"/>
      <c r="IKB2463" s="60"/>
      <c r="IKC2463" s="63"/>
      <c r="IKD2463" s="61"/>
      <c r="IKE2463" s="54"/>
      <c r="IKF2463" s="54"/>
      <c r="IKG2463" s="63"/>
      <c r="IKH2463" s="60"/>
      <c r="IKI2463" s="60"/>
      <c r="IKJ2463" s="60"/>
      <c r="IKK2463" s="63"/>
      <c r="IKL2463" s="61"/>
      <c r="IKM2463" s="54"/>
      <c r="IKN2463" s="54"/>
      <c r="IKO2463" s="63"/>
      <c r="IKP2463" s="60"/>
      <c r="IKQ2463" s="60"/>
      <c r="IKR2463" s="60"/>
      <c r="IKS2463" s="63"/>
      <c r="IKT2463" s="61"/>
      <c r="IKU2463" s="54"/>
      <c r="IKV2463" s="54"/>
      <c r="IKW2463" s="63"/>
      <c r="IKX2463" s="60"/>
      <c r="IKY2463" s="60"/>
      <c r="IKZ2463" s="60"/>
      <c r="ILA2463" s="63"/>
      <c r="ILB2463" s="61"/>
      <c r="ILC2463" s="54"/>
      <c r="ILD2463" s="54"/>
      <c r="ILE2463" s="63"/>
      <c r="ILF2463" s="60"/>
      <c r="ILG2463" s="60"/>
      <c r="ILH2463" s="60"/>
      <c r="ILI2463" s="63"/>
      <c r="ILJ2463" s="61"/>
      <c r="ILK2463" s="54"/>
      <c r="ILL2463" s="54"/>
      <c r="ILM2463" s="63"/>
      <c r="ILN2463" s="60"/>
      <c r="ILO2463" s="60"/>
      <c r="ILP2463" s="60"/>
      <c r="ILQ2463" s="63"/>
      <c r="ILR2463" s="61"/>
      <c r="ILS2463" s="54"/>
      <c r="ILT2463" s="54"/>
      <c r="ILU2463" s="63"/>
      <c r="ILV2463" s="60"/>
      <c r="ILW2463" s="60"/>
      <c r="ILX2463" s="60"/>
      <c r="ILY2463" s="63"/>
      <c r="ILZ2463" s="61"/>
      <c r="IMA2463" s="54"/>
      <c r="IMB2463" s="54"/>
      <c r="IMC2463" s="63"/>
      <c r="IMD2463" s="60"/>
      <c r="IME2463" s="60"/>
      <c r="IMF2463" s="60"/>
      <c r="IMG2463" s="63"/>
      <c r="IMH2463" s="61"/>
      <c r="IMI2463" s="54"/>
      <c r="IMJ2463" s="54"/>
      <c r="IMK2463" s="63"/>
      <c r="IML2463" s="60"/>
      <c r="IMM2463" s="60"/>
      <c r="IMN2463" s="60"/>
      <c r="IMO2463" s="63"/>
      <c r="IMP2463" s="61"/>
      <c r="IMQ2463" s="54"/>
      <c r="IMR2463" s="54"/>
      <c r="IMS2463" s="63"/>
      <c r="IMT2463" s="60"/>
      <c r="IMU2463" s="60"/>
      <c r="IMV2463" s="60"/>
      <c r="IMW2463" s="63"/>
      <c r="IMX2463" s="61"/>
      <c r="IMY2463" s="54"/>
      <c r="IMZ2463" s="54"/>
      <c r="INA2463" s="63"/>
      <c r="INB2463" s="60"/>
      <c r="INC2463" s="60"/>
      <c r="IND2463" s="60"/>
      <c r="INE2463" s="63"/>
      <c r="INF2463" s="61"/>
      <c r="ING2463" s="54"/>
      <c r="INH2463" s="54"/>
      <c r="INI2463" s="63"/>
      <c r="INJ2463" s="60"/>
      <c r="INK2463" s="60"/>
      <c r="INL2463" s="60"/>
      <c r="INM2463" s="63"/>
      <c r="INN2463" s="61"/>
      <c r="INO2463" s="54"/>
      <c r="INP2463" s="54"/>
      <c r="INQ2463" s="63"/>
      <c r="INR2463" s="60"/>
      <c r="INS2463" s="60"/>
      <c r="INT2463" s="60"/>
      <c r="INU2463" s="63"/>
      <c r="INV2463" s="61"/>
      <c r="INW2463" s="54"/>
      <c r="INX2463" s="54"/>
      <c r="INY2463" s="63"/>
      <c r="INZ2463" s="60"/>
      <c r="IOA2463" s="60"/>
      <c r="IOB2463" s="60"/>
      <c r="IOC2463" s="63"/>
      <c r="IOD2463" s="61"/>
      <c r="IOE2463" s="54"/>
      <c r="IOF2463" s="54"/>
      <c r="IOG2463" s="63"/>
      <c r="IOH2463" s="60"/>
      <c r="IOI2463" s="60"/>
      <c r="IOJ2463" s="60"/>
      <c r="IOK2463" s="63"/>
      <c r="IOL2463" s="61"/>
      <c r="IOM2463" s="54"/>
      <c r="ION2463" s="54"/>
      <c r="IOO2463" s="63"/>
      <c r="IOP2463" s="60"/>
      <c r="IOQ2463" s="60"/>
      <c r="IOR2463" s="60"/>
      <c r="IOS2463" s="63"/>
      <c r="IOT2463" s="61"/>
      <c r="IOU2463" s="54"/>
      <c r="IOV2463" s="54"/>
      <c r="IOW2463" s="63"/>
      <c r="IOX2463" s="60"/>
      <c r="IOY2463" s="60"/>
      <c r="IOZ2463" s="60"/>
      <c r="IPA2463" s="63"/>
      <c r="IPB2463" s="61"/>
      <c r="IPC2463" s="54"/>
      <c r="IPD2463" s="54"/>
      <c r="IPE2463" s="63"/>
      <c r="IPF2463" s="60"/>
      <c r="IPG2463" s="60"/>
      <c r="IPH2463" s="60"/>
      <c r="IPI2463" s="63"/>
      <c r="IPJ2463" s="61"/>
      <c r="IPK2463" s="54"/>
      <c r="IPL2463" s="54"/>
      <c r="IPM2463" s="63"/>
      <c r="IPN2463" s="60"/>
      <c r="IPO2463" s="60"/>
      <c r="IPP2463" s="60"/>
      <c r="IPQ2463" s="63"/>
      <c r="IPR2463" s="61"/>
      <c r="IPS2463" s="54"/>
      <c r="IPT2463" s="54"/>
      <c r="IPU2463" s="63"/>
      <c r="IPV2463" s="60"/>
      <c r="IPW2463" s="60"/>
      <c r="IPX2463" s="60"/>
      <c r="IPY2463" s="63"/>
      <c r="IPZ2463" s="61"/>
      <c r="IQA2463" s="54"/>
      <c r="IQB2463" s="54"/>
      <c r="IQC2463" s="63"/>
      <c r="IQD2463" s="60"/>
      <c r="IQE2463" s="60"/>
      <c r="IQF2463" s="60"/>
      <c r="IQG2463" s="63"/>
      <c r="IQH2463" s="61"/>
      <c r="IQI2463" s="54"/>
      <c r="IQJ2463" s="54"/>
      <c r="IQK2463" s="63"/>
      <c r="IQL2463" s="60"/>
      <c r="IQM2463" s="60"/>
      <c r="IQN2463" s="60"/>
      <c r="IQO2463" s="63"/>
      <c r="IQP2463" s="61"/>
      <c r="IQQ2463" s="54"/>
      <c r="IQR2463" s="54"/>
      <c r="IQS2463" s="63"/>
      <c r="IQT2463" s="60"/>
      <c r="IQU2463" s="60"/>
      <c r="IQV2463" s="60"/>
      <c r="IQW2463" s="63"/>
      <c r="IQX2463" s="61"/>
      <c r="IQY2463" s="54"/>
      <c r="IQZ2463" s="54"/>
      <c r="IRA2463" s="63"/>
      <c r="IRB2463" s="60"/>
      <c r="IRC2463" s="60"/>
      <c r="IRD2463" s="60"/>
      <c r="IRE2463" s="63"/>
      <c r="IRF2463" s="61"/>
      <c r="IRG2463" s="54"/>
      <c r="IRH2463" s="54"/>
      <c r="IRI2463" s="63"/>
      <c r="IRJ2463" s="60"/>
      <c r="IRK2463" s="60"/>
      <c r="IRL2463" s="60"/>
      <c r="IRM2463" s="63"/>
      <c r="IRN2463" s="61"/>
      <c r="IRO2463" s="54"/>
      <c r="IRP2463" s="54"/>
      <c r="IRQ2463" s="63"/>
      <c r="IRR2463" s="60"/>
      <c r="IRS2463" s="60"/>
      <c r="IRT2463" s="60"/>
      <c r="IRU2463" s="63"/>
      <c r="IRV2463" s="61"/>
      <c r="IRW2463" s="54"/>
      <c r="IRX2463" s="54"/>
      <c r="IRY2463" s="63"/>
      <c r="IRZ2463" s="60"/>
      <c r="ISA2463" s="60"/>
      <c r="ISB2463" s="60"/>
      <c r="ISC2463" s="63"/>
      <c r="ISD2463" s="61"/>
      <c r="ISE2463" s="54"/>
      <c r="ISF2463" s="54"/>
      <c r="ISG2463" s="63"/>
      <c r="ISH2463" s="60"/>
      <c r="ISI2463" s="60"/>
      <c r="ISJ2463" s="60"/>
      <c r="ISK2463" s="63"/>
      <c r="ISL2463" s="61"/>
      <c r="ISM2463" s="54"/>
      <c r="ISN2463" s="54"/>
      <c r="ISO2463" s="63"/>
      <c r="ISP2463" s="60"/>
      <c r="ISQ2463" s="60"/>
      <c r="ISR2463" s="60"/>
      <c r="ISS2463" s="63"/>
      <c r="IST2463" s="61"/>
      <c r="ISU2463" s="54"/>
      <c r="ISV2463" s="54"/>
      <c r="ISW2463" s="63"/>
      <c r="ISX2463" s="60"/>
      <c r="ISY2463" s="60"/>
      <c r="ISZ2463" s="60"/>
      <c r="ITA2463" s="63"/>
      <c r="ITB2463" s="61"/>
      <c r="ITC2463" s="54"/>
      <c r="ITD2463" s="54"/>
      <c r="ITE2463" s="63"/>
      <c r="ITF2463" s="60"/>
      <c r="ITG2463" s="60"/>
      <c r="ITH2463" s="60"/>
      <c r="ITI2463" s="63"/>
      <c r="ITJ2463" s="61"/>
      <c r="ITK2463" s="54"/>
      <c r="ITL2463" s="54"/>
      <c r="ITM2463" s="63"/>
      <c r="ITN2463" s="60"/>
      <c r="ITO2463" s="60"/>
      <c r="ITP2463" s="60"/>
      <c r="ITQ2463" s="63"/>
      <c r="ITR2463" s="61"/>
      <c r="ITS2463" s="54"/>
      <c r="ITT2463" s="54"/>
      <c r="ITU2463" s="63"/>
      <c r="ITV2463" s="60"/>
      <c r="ITW2463" s="60"/>
      <c r="ITX2463" s="60"/>
      <c r="ITY2463" s="63"/>
      <c r="ITZ2463" s="61"/>
      <c r="IUA2463" s="54"/>
      <c r="IUB2463" s="54"/>
      <c r="IUC2463" s="63"/>
      <c r="IUD2463" s="60"/>
      <c r="IUE2463" s="60"/>
      <c r="IUF2463" s="60"/>
      <c r="IUG2463" s="63"/>
      <c r="IUH2463" s="61"/>
      <c r="IUI2463" s="54"/>
      <c r="IUJ2463" s="54"/>
      <c r="IUK2463" s="63"/>
      <c r="IUL2463" s="60"/>
      <c r="IUM2463" s="60"/>
      <c r="IUN2463" s="60"/>
      <c r="IUO2463" s="63"/>
      <c r="IUP2463" s="61"/>
      <c r="IUQ2463" s="54"/>
      <c r="IUR2463" s="54"/>
      <c r="IUS2463" s="63"/>
      <c r="IUT2463" s="60"/>
      <c r="IUU2463" s="60"/>
      <c r="IUV2463" s="60"/>
      <c r="IUW2463" s="63"/>
      <c r="IUX2463" s="61"/>
      <c r="IUY2463" s="54"/>
      <c r="IUZ2463" s="54"/>
      <c r="IVA2463" s="63"/>
      <c r="IVB2463" s="60"/>
      <c r="IVC2463" s="60"/>
      <c r="IVD2463" s="60"/>
      <c r="IVE2463" s="63"/>
      <c r="IVF2463" s="61"/>
      <c r="IVG2463" s="54"/>
      <c r="IVH2463" s="54"/>
      <c r="IVI2463" s="63"/>
      <c r="IVJ2463" s="60"/>
      <c r="IVK2463" s="60"/>
      <c r="IVL2463" s="60"/>
      <c r="IVM2463" s="63"/>
      <c r="IVN2463" s="61"/>
      <c r="IVO2463" s="54"/>
      <c r="IVP2463" s="54"/>
      <c r="IVQ2463" s="63"/>
      <c r="IVR2463" s="60"/>
      <c r="IVS2463" s="60"/>
      <c r="IVT2463" s="60"/>
      <c r="IVU2463" s="63"/>
      <c r="IVV2463" s="61"/>
      <c r="IVW2463" s="54"/>
      <c r="IVX2463" s="54"/>
      <c r="IVY2463" s="63"/>
      <c r="IVZ2463" s="60"/>
      <c r="IWA2463" s="60"/>
      <c r="IWB2463" s="60"/>
      <c r="IWC2463" s="63"/>
      <c r="IWD2463" s="61"/>
      <c r="IWE2463" s="54"/>
      <c r="IWF2463" s="54"/>
      <c r="IWG2463" s="63"/>
      <c r="IWH2463" s="60"/>
      <c r="IWI2463" s="60"/>
      <c r="IWJ2463" s="60"/>
      <c r="IWK2463" s="63"/>
      <c r="IWL2463" s="61"/>
      <c r="IWM2463" s="54"/>
      <c r="IWN2463" s="54"/>
      <c r="IWO2463" s="63"/>
      <c r="IWP2463" s="60"/>
      <c r="IWQ2463" s="60"/>
      <c r="IWR2463" s="60"/>
      <c r="IWS2463" s="63"/>
      <c r="IWT2463" s="61"/>
      <c r="IWU2463" s="54"/>
      <c r="IWV2463" s="54"/>
      <c r="IWW2463" s="63"/>
      <c r="IWX2463" s="60"/>
      <c r="IWY2463" s="60"/>
      <c r="IWZ2463" s="60"/>
      <c r="IXA2463" s="63"/>
      <c r="IXB2463" s="61"/>
      <c r="IXC2463" s="54"/>
      <c r="IXD2463" s="54"/>
      <c r="IXE2463" s="63"/>
      <c r="IXF2463" s="60"/>
      <c r="IXG2463" s="60"/>
      <c r="IXH2463" s="60"/>
      <c r="IXI2463" s="63"/>
      <c r="IXJ2463" s="61"/>
      <c r="IXK2463" s="54"/>
      <c r="IXL2463" s="54"/>
      <c r="IXM2463" s="63"/>
      <c r="IXN2463" s="60"/>
      <c r="IXO2463" s="60"/>
      <c r="IXP2463" s="60"/>
      <c r="IXQ2463" s="63"/>
      <c r="IXR2463" s="61"/>
      <c r="IXS2463" s="54"/>
      <c r="IXT2463" s="54"/>
      <c r="IXU2463" s="63"/>
      <c r="IXV2463" s="60"/>
      <c r="IXW2463" s="60"/>
      <c r="IXX2463" s="60"/>
      <c r="IXY2463" s="63"/>
      <c r="IXZ2463" s="61"/>
      <c r="IYA2463" s="54"/>
      <c r="IYB2463" s="54"/>
      <c r="IYC2463" s="63"/>
      <c r="IYD2463" s="60"/>
      <c r="IYE2463" s="60"/>
      <c r="IYF2463" s="60"/>
      <c r="IYG2463" s="63"/>
      <c r="IYH2463" s="61"/>
      <c r="IYI2463" s="54"/>
      <c r="IYJ2463" s="54"/>
      <c r="IYK2463" s="63"/>
      <c r="IYL2463" s="60"/>
      <c r="IYM2463" s="60"/>
      <c r="IYN2463" s="60"/>
      <c r="IYO2463" s="63"/>
      <c r="IYP2463" s="61"/>
      <c r="IYQ2463" s="54"/>
      <c r="IYR2463" s="54"/>
      <c r="IYS2463" s="63"/>
      <c r="IYT2463" s="60"/>
      <c r="IYU2463" s="60"/>
      <c r="IYV2463" s="60"/>
      <c r="IYW2463" s="63"/>
      <c r="IYX2463" s="61"/>
      <c r="IYY2463" s="54"/>
      <c r="IYZ2463" s="54"/>
      <c r="IZA2463" s="63"/>
      <c r="IZB2463" s="60"/>
      <c r="IZC2463" s="60"/>
      <c r="IZD2463" s="60"/>
      <c r="IZE2463" s="63"/>
      <c r="IZF2463" s="61"/>
      <c r="IZG2463" s="54"/>
      <c r="IZH2463" s="54"/>
      <c r="IZI2463" s="63"/>
      <c r="IZJ2463" s="60"/>
      <c r="IZK2463" s="60"/>
      <c r="IZL2463" s="60"/>
      <c r="IZM2463" s="63"/>
      <c r="IZN2463" s="61"/>
      <c r="IZO2463" s="54"/>
      <c r="IZP2463" s="54"/>
      <c r="IZQ2463" s="63"/>
      <c r="IZR2463" s="60"/>
      <c r="IZS2463" s="60"/>
      <c r="IZT2463" s="60"/>
      <c r="IZU2463" s="63"/>
      <c r="IZV2463" s="61"/>
      <c r="IZW2463" s="54"/>
      <c r="IZX2463" s="54"/>
      <c r="IZY2463" s="63"/>
      <c r="IZZ2463" s="60"/>
      <c r="JAA2463" s="60"/>
      <c r="JAB2463" s="60"/>
      <c r="JAC2463" s="63"/>
      <c r="JAD2463" s="61"/>
      <c r="JAE2463" s="54"/>
      <c r="JAF2463" s="54"/>
      <c r="JAG2463" s="63"/>
      <c r="JAH2463" s="60"/>
      <c r="JAI2463" s="60"/>
      <c r="JAJ2463" s="60"/>
      <c r="JAK2463" s="63"/>
      <c r="JAL2463" s="61"/>
      <c r="JAM2463" s="54"/>
      <c r="JAN2463" s="54"/>
      <c r="JAO2463" s="63"/>
      <c r="JAP2463" s="60"/>
      <c r="JAQ2463" s="60"/>
      <c r="JAR2463" s="60"/>
      <c r="JAS2463" s="63"/>
      <c r="JAT2463" s="61"/>
      <c r="JAU2463" s="54"/>
      <c r="JAV2463" s="54"/>
      <c r="JAW2463" s="63"/>
      <c r="JAX2463" s="60"/>
      <c r="JAY2463" s="60"/>
      <c r="JAZ2463" s="60"/>
      <c r="JBA2463" s="63"/>
      <c r="JBB2463" s="61"/>
      <c r="JBC2463" s="54"/>
      <c r="JBD2463" s="54"/>
      <c r="JBE2463" s="63"/>
      <c r="JBF2463" s="60"/>
      <c r="JBG2463" s="60"/>
      <c r="JBH2463" s="60"/>
      <c r="JBI2463" s="63"/>
      <c r="JBJ2463" s="61"/>
      <c r="JBK2463" s="54"/>
      <c r="JBL2463" s="54"/>
      <c r="JBM2463" s="63"/>
      <c r="JBN2463" s="60"/>
      <c r="JBO2463" s="60"/>
      <c r="JBP2463" s="60"/>
      <c r="JBQ2463" s="63"/>
      <c r="JBR2463" s="61"/>
      <c r="JBS2463" s="54"/>
      <c r="JBT2463" s="54"/>
      <c r="JBU2463" s="63"/>
      <c r="JBV2463" s="60"/>
      <c r="JBW2463" s="60"/>
      <c r="JBX2463" s="60"/>
      <c r="JBY2463" s="63"/>
      <c r="JBZ2463" s="61"/>
      <c r="JCA2463" s="54"/>
      <c r="JCB2463" s="54"/>
      <c r="JCC2463" s="63"/>
      <c r="JCD2463" s="60"/>
      <c r="JCE2463" s="60"/>
      <c r="JCF2463" s="60"/>
      <c r="JCG2463" s="63"/>
      <c r="JCH2463" s="61"/>
      <c r="JCI2463" s="54"/>
      <c r="JCJ2463" s="54"/>
      <c r="JCK2463" s="63"/>
      <c r="JCL2463" s="60"/>
      <c r="JCM2463" s="60"/>
      <c r="JCN2463" s="60"/>
      <c r="JCO2463" s="63"/>
      <c r="JCP2463" s="61"/>
      <c r="JCQ2463" s="54"/>
      <c r="JCR2463" s="54"/>
      <c r="JCS2463" s="63"/>
      <c r="JCT2463" s="60"/>
      <c r="JCU2463" s="60"/>
      <c r="JCV2463" s="60"/>
      <c r="JCW2463" s="63"/>
      <c r="JCX2463" s="61"/>
      <c r="JCY2463" s="54"/>
      <c r="JCZ2463" s="54"/>
      <c r="JDA2463" s="63"/>
      <c r="JDB2463" s="60"/>
      <c r="JDC2463" s="60"/>
      <c r="JDD2463" s="60"/>
      <c r="JDE2463" s="63"/>
      <c r="JDF2463" s="61"/>
      <c r="JDG2463" s="54"/>
      <c r="JDH2463" s="54"/>
      <c r="JDI2463" s="63"/>
      <c r="JDJ2463" s="60"/>
      <c r="JDK2463" s="60"/>
      <c r="JDL2463" s="60"/>
      <c r="JDM2463" s="63"/>
      <c r="JDN2463" s="61"/>
      <c r="JDO2463" s="54"/>
      <c r="JDP2463" s="54"/>
      <c r="JDQ2463" s="63"/>
      <c r="JDR2463" s="60"/>
      <c r="JDS2463" s="60"/>
      <c r="JDT2463" s="60"/>
      <c r="JDU2463" s="63"/>
      <c r="JDV2463" s="61"/>
      <c r="JDW2463" s="54"/>
      <c r="JDX2463" s="54"/>
      <c r="JDY2463" s="63"/>
      <c r="JDZ2463" s="60"/>
      <c r="JEA2463" s="60"/>
      <c r="JEB2463" s="60"/>
      <c r="JEC2463" s="63"/>
      <c r="JED2463" s="61"/>
      <c r="JEE2463" s="54"/>
      <c r="JEF2463" s="54"/>
      <c r="JEG2463" s="63"/>
      <c r="JEH2463" s="60"/>
      <c r="JEI2463" s="60"/>
      <c r="JEJ2463" s="60"/>
      <c r="JEK2463" s="63"/>
      <c r="JEL2463" s="61"/>
      <c r="JEM2463" s="54"/>
      <c r="JEN2463" s="54"/>
      <c r="JEO2463" s="63"/>
      <c r="JEP2463" s="60"/>
      <c r="JEQ2463" s="60"/>
      <c r="JER2463" s="60"/>
      <c r="JES2463" s="63"/>
      <c r="JET2463" s="61"/>
      <c r="JEU2463" s="54"/>
      <c r="JEV2463" s="54"/>
      <c r="JEW2463" s="63"/>
      <c r="JEX2463" s="60"/>
      <c r="JEY2463" s="60"/>
      <c r="JEZ2463" s="60"/>
      <c r="JFA2463" s="63"/>
      <c r="JFB2463" s="61"/>
      <c r="JFC2463" s="54"/>
      <c r="JFD2463" s="54"/>
      <c r="JFE2463" s="63"/>
      <c r="JFF2463" s="60"/>
      <c r="JFG2463" s="60"/>
      <c r="JFH2463" s="60"/>
      <c r="JFI2463" s="63"/>
      <c r="JFJ2463" s="61"/>
      <c r="JFK2463" s="54"/>
      <c r="JFL2463" s="54"/>
      <c r="JFM2463" s="63"/>
      <c r="JFN2463" s="60"/>
      <c r="JFO2463" s="60"/>
      <c r="JFP2463" s="60"/>
      <c r="JFQ2463" s="63"/>
      <c r="JFR2463" s="61"/>
      <c r="JFS2463" s="54"/>
      <c r="JFT2463" s="54"/>
      <c r="JFU2463" s="63"/>
      <c r="JFV2463" s="60"/>
      <c r="JFW2463" s="60"/>
      <c r="JFX2463" s="60"/>
      <c r="JFY2463" s="63"/>
      <c r="JFZ2463" s="61"/>
      <c r="JGA2463" s="54"/>
      <c r="JGB2463" s="54"/>
      <c r="JGC2463" s="63"/>
      <c r="JGD2463" s="60"/>
      <c r="JGE2463" s="60"/>
      <c r="JGF2463" s="60"/>
      <c r="JGG2463" s="63"/>
      <c r="JGH2463" s="61"/>
      <c r="JGI2463" s="54"/>
      <c r="JGJ2463" s="54"/>
      <c r="JGK2463" s="63"/>
      <c r="JGL2463" s="60"/>
      <c r="JGM2463" s="60"/>
      <c r="JGN2463" s="60"/>
      <c r="JGO2463" s="63"/>
      <c r="JGP2463" s="61"/>
      <c r="JGQ2463" s="54"/>
      <c r="JGR2463" s="54"/>
      <c r="JGS2463" s="63"/>
      <c r="JGT2463" s="60"/>
      <c r="JGU2463" s="60"/>
      <c r="JGV2463" s="60"/>
      <c r="JGW2463" s="63"/>
      <c r="JGX2463" s="61"/>
      <c r="JGY2463" s="54"/>
      <c r="JGZ2463" s="54"/>
      <c r="JHA2463" s="63"/>
      <c r="JHB2463" s="60"/>
      <c r="JHC2463" s="60"/>
      <c r="JHD2463" s="60"/>
      <c r="JHE2463" s="63"/>
      <c r="JHF2463" s="61"/>
      <c r="JHG2463" s="54"/>
      <c r="JHH2463" s="54"/>
      <c r="JHI2463" s="63"/>
      <c r="JHJ2463" s="60"/>
      <c r="JHK2463" s="60"/>
      <c r="JHL2463" s="60"/>
      <c r="JHM2463" s="63"/>
      <c r="JHN2463" s="61"/>
      <c r="JHO2463" s="54"/>
      <c r="JHP2463" s="54"/>
      <c r="JHQ2463" s="63"/>
      <c r="JHR2463" s="60"/>
      <c r="JHS2463" s="60"/>
      <c r="JHT2463" s="60"/>
      <c r="JHU2463" s="63"/>
      <c r="JHV2463" s="61"/>
      <c r="JHW2463" s="54"/>
      <c r="JHX2463" s="54"/>
      <c r="JHY2463" s="63"/>
      <c r="JHZ2463" s="60"/>
      <c r="JIA2463" s="60"/>
      <c r="JIB2463" s="60"/>
      <c r="JIC2463" s="63"/>
      <c r="JID2463" s="61"/>
      <c r="JIE2463" s="54"/>
      <c r="JIF2463" s="54"/>
      <c r="JIG2463" s="63"/>
      <c r="JIH2463" s="60"/>
      <c r="JII2463" s="60"/>
      <c r="JIJ2463" s="60"/>
      <c r="JIK2463" s="63"/>
      <c r="JIL2463" s="61"/>
      <c r="JIM2463" s="54"/>
      <c r="JIN2463" s="54"/>
      <c r="JIO2463" s="63"/>
      <c r="JIP2463" s="60"/>
      <c r="JIQ2463" s="60"/>
      <c r="JIR2463" s="60"/>
      <c r="JIS2463" s="63"/>
      <c r="JIT2463" s="61"/>
      <c r="JIU2463" s="54"/>
      <c r="JIV2463" s="54"/>
      <c r="JIW2463" s="63"/>
      <c r="JIX2463" s="60"/>
      <c r="JIY2463" s="60"/>
      <c r="JIZ2463" s="60"/>
      <c r="JJA2463" s="63"/>
      <c r="JJB2463" s="61"/>
      <c r="JJC2463" s="54"/>
      <c r="JJD2463" s="54"/>
      <c r="JJE2463" s="63"/>
      <c r="JJF2463" s="60"/>
      <c r="JJG2463" s="60"/>
      <c r="JJH2463" s="60"/>
      <c r="JJI2463" s="63"/>
      <c r="JJJ2463" s="61"/>
      <c r="JJK2463" s="54"/>
      <c r="JJL2463" s="54"/>
      <c r="JJM2463" s="63"/>
      <c r="JJN2463" s="60"/>
      <c r="JJO2463" s="60"/>
      <c r="JJP2463" s="60"/>
      <c r="JJQ2463" s="63"/>
      <c r="JJR2463" s="61"/>
      <c r="JJS2463" s="54"/>
      <c r="JJT2463" s="54"/>
      <c r="JJU2463" s="63"/>
      <c r="JJV2463" s="60"/>
      <c r="JJW2463" s="60"/>
      <c r="JJX2463" s="60"/>
      <c r="JJY2463" s="63"/>
      <c r="JJZ2463" s="61"/>
      <c r="JKA2463" s="54"/>
      <c r="JKB2463" s="54"/>
      <c r="JKC2463" s="63"/>
      <c r="JKD2463" s="60"/>
      <c r="JKE2463" s="60"/>
      <c r="JKF2463" s="60"/>
      <c r="JKG2463" s="63"/>
      <c r="JKH2463" s="61"/>
      <c r="JKI2463" s="54"/>
      <c r="JKJ2463" s="54"/>
      <c r="JKK2463" s="63"/>
      <c r="JKL2463" s="60"/>
      <c r="JKM2463" s="60"/>
      <c r="JKN2463" s="60"/>
      <c r="JKO2463" s="63"/>
      <c r="JKP2463" s="61"/>
      <c r="JKQ2463" s="54"/>
      <c r="JKR2463" s="54"/>
      <c r="JKS2463" s="63"/>
      <c r="JKT2463" s="60"/>
      <c r="JKU2463" s="60"/>
      <c r="JKV2463" s="60"/>
      <c r="JKW2463" s="63"/>
      <c r="JKX2463" s="61"/>
      <c r="JKY2463" s="54"/>
      <c r="JKZ2463" s="54"/>
      <c r="JLA2463" s="63"/>
      <c r="JLB2463" s="60"/>
      <c r="JLC2463" s="60"/>
      <c r="JLD2463" s="60"/>
      <c r="JLE2463" s="63"/>
      <c r="JLF2463" s="61"/>
      <c r="JLG2463" s="54"/>
      <c r="JLH2463" s="54"/>
      <c r="JLI2463" s="63"/>
      <c r="JLJ2463" s="60"/>
      <c r="JLK2463" s="60"/>
      <c r="JLL2463" s="60"/>
      <c r="JLM2463" s="63"/>
      <c r="JLN2463" s="61"/>
      <c r="JLO2463" s="54"/>
      <c r="JLP2463" s="54"/>
      <c r="JLQ2463" s="63"/>
      <c r="JLR2463" s="60"/>
      <c r="JLS2463" s="60"/>
      <c r="JLT2463" s="60"/>
      <c r="JLU2463" s="63"/>
      <c r="JLV2463" s="61"/>
      <c r="JLW2463" s="54"/>
      <c r="JLX2463" s="54"/>
      <c r="JLY2463" s="63"/>
      <c r="JLZ2463" s="60"/>
      <c r="JMA2463" s="60"/>
      <c r="JMB2463" s="60"/>
      <c r="JMC2463" s="63"/>
      <c r="JMD2463" s="61"/>
      <c r="JME2463" s="54"/>
      <c r="JMF2463" s="54"/>
      <c r="JMG2463" s="63"/>
      <c r="JMH2463" s="60"/>
      <c r="JMI2463" s="60"/>
      <c r="JMJ2463" s="60"/>
      <c r="JMK2463" s="63"/>
      <c r="JML2463" s="61"/>
      <c r="JMM2463" s="54"/>
      <c r="JMN2463" s="54"/>
      <c r="JMO2463" s="63"/>
      <c r="JMP2463" s="60"/>
      <c r="JMQ2463" s="60"/>
      <c r="JMR2463" s="60"/>
      <c r="JMS2463" s="63"/>
      <c r="JMT2463" s="61"/>
      <c r="JMU2463" s="54"/>
      <c r="JMV2463" s="54"/>
      <c r="JMW2463" s="63"/>
      <c r="JMX2463" s="60"/>
      <c r="JMY2463" s="60"/>
      <c r="JMZ2463" s="60"/>
      <c r="JNA2463" s="63"/>
      <c r="JNB2463" s="61"/>
      <c r="JNC2463" s="54"/>
      <c r="JND2463" s="54"/>
      <c r="JNE2463" s="63"/>
      <c r="JNF2463" s="60"/>
      <c r="JNG2463" s="60"/>
      <c r="JNH2463" s="60"/>
      <c r="JNI2463" s="63"/>
      <c r="JNJ2463" s="61"/>
      <c r="JNK2463" s="54"/>
      <c r="JNL2463" s="54"/>
      <c r="JNM2463" s="63"/>
      <c r="JNN2463" s="60"/>
      <c r="JNO2463" s="60"/>
      <c r="JNP2463" s="60"/>
      <c r="JNQ2463" s="63"/>
      <c r="JNR2463" s="61"/>
      <c r="JNS2463" s="54"/>
      <c r="JNT2463" s="54"/>
      <c r="JNU2463" s="63"/>
      <c r="JNV2463" s="60"/>
      <c r="JNW2463" s="60"/>
      <c r="JNX2463" s="60"/>
      <c r="JNY2463" s="63"/>
      <c r="JNZ2463" s="61"/>
      <c r="JOA2463" s="54"/>
      <c r="JOB2463" s="54"/>
      <c r="JOC2463" s="63"/>
      <c r="JOD2463" s="60"/>
      <c r="JOE2463" s="60"/>
      <c r="JOF2463" s="60"/>
      <c r="JOG2463" s="63"/>
      <c r="JOH2463" s="61"/>
      <c r="JOI2463" s="54"/>
      <c r="JOJ2463" s="54"/>
      <c r="JOK2463" s="63"/>
      <c r="JOL2463" s="60"/>
      <c r="JOM2463" s="60"/>
      <c r="JON2463" s="60"/>
      <c r="JOO2463" s="63"/>
      <c r="JOP2463" s="61"/>
      <c r="JOQ2463" s="54"/>
      <c r="JOR2463" s="54"/>
      <c r="JOS2463" s="63"/>
      <c r="JOT2463" s="60"/>
      <c r="JOU2463" s="60"/>
      <c r="JOV2463" s="60"/>
      <c r="JOW2463" s="63"/>
      <c r="JOX2463" s="61"/>
      <c r="JOY2463" s="54"/>
      <c r="JOZ2463" s="54"/>
      <c r="JPA2463" s="63"/>
      <c r="JPB2463" s="60"/>
      <c r="JPC2463" s="60"/>
      <c r="JPD2463" s="60"/>
      <c r="JPE2463" s="63"/>
      <c r="JPF2463" s="61"/>
      <c r="JPG2463" s="54"/>
      <c r="JPH2463" s="54"/>
      <c r="JPI2463" s="63"/>
      <c r="JPJ2463" s="60"/>
      <c r="JPK2463" s="60"/>
      <c r="JPL2463" s="60"/>
      <c r="JPM2463" s="63"/>
      <c r="JPN2463" s="61"/>
      <c r="JPO2463" s="54"/>
      <c r="JPP2463" s="54"/>
      <c r="JPQ2463" s="63"/>
      <c r="JPR2463" s="60"/>
      <c r="JPS2463" s="60"/>
      <c r="JPT2463" s="60"/>
      <c r="JPU2463" s="63"/>
      <c r="JPV2463" s="61"/>
      <c r="JPW2463" s="54"/>
      <c r="JPX2463" s="54"/>
      <c r="JPY2463" s="63"/>
      <c r="JPZ2463" s="60"/>
      <c r="JQA2463" s="60"/>
      <c r="JQB2463" s="60"/>
      <c r="JQC2463" s="63"/>
      <c r="JQD2463" s="61"/>
      <c r="JQE2463" s="54"/>
      <c r="JQF2463" s="54"/>
      <c r="JQG2463" s="63"/>
      <c r="JQH2463" s="60"/>
      <c r="JQI2463" s="60"/>
      <c r="JQJ2463" s="60"/>
      <c r="JQK2463" s="63"/>
      <c r="JQL2463" s="61"/>
      <c r="JQM2463" s="54"/>
      <c r="JQN2463" s="54"/>
      <c r="JQO2463" s="63"/>
      <c r="JQP2463" s="60"/>
      <c r="JQQ2463" s="60"/>
      <c r="JQR2463" s="60"/>
      <c r="JQS2463" s="63"/>
      <c r="JQT2463" s="61"/>
      <c r="JQU2463" s="54"/>
      <c r="JQV2463" s="54"/>
      <c r="JQW2463" s="63"/>
      <c r="JQX2463" s="60"/>
      <c r="JQY2463" s="60"/>
      <c r="JQZ2463" s="60"/>
      <c r="JRA2463" s="63"/>
      <c r="JRB2463" s="61"/>
      <c r="JRC2463" s="54"/>
      <c r="JRD2463" s="54"/>
      <c r="JRE2463" s="63"/>
      <c r="JRF2463" s="60"/>
      <c r="JRG2463" s="60"/>
      <c r="JRH2463" s="60"/>
      <c r="JRI2463" s="63"/>
      <c r="JRJ2463" s="61"/>
      <c r="JRK2463" s="54"/>
      <c r="JRL2463" s="54"/>
      <c r="JRM2463" s="63"/>
      <c r="JRN2463" s="60"/>
      <c r="JRO2463" s="60"/>
      <c r="JRP2463" s="60"/>
      <c r="JRQ2463" s="63"/>
      <c r="JRR2463" s="61"/>
      <c r="JRS2463" s="54"/>
      <c r="JRT2463" s="54"/>
      <c r="JRU2463" s="63"/>
      <c r="JRV2463" s="60"/>
      <c r="JRW2463" s="60"/>
      <c r="JRX2463" s="60"/>
      <c r="JRY2463" s="63"/>
      <c r="JRZ2463" s="61"/>
      <c r="JSA2463" s="54"/>
      <c r="JSB2463" s="54"/>
      <c r="JSC2463" s="63"/>
      <c r="JSD2463" s="60"/>
      <c r="JSE2463" s="60"/>
      <c r="JSF2463" s="60"/>
      <c r="JSG2463" s="63"/>
      <c r="JSH2463" s="61"/>
      <c r="JSI2463" s="54"/>
      <c r="JSJ2463" s="54"/>
      <c r="JSK2463" s="63"/>
      <c r="JSL2463" s="60"/>
      <c r="JSM2463" s="60"/>
      <c r="JSN2463" s="60"/>
      <c r="JSO2463" s="63"/>
      <c r="JSP2463" s="61"/>
      <c r="JSQ2463" s="54"/>
      <c r="JSR2463" s="54"/>
      <c r="JSS2463" s="63"/>
      <c r="JST2463" s="60"/>
      <c r="JSU2463" s="60"/>
      <c r="JSV2463" s="60"/>
      <c r="JSW2463" s="63"/>
      <c r="JSX2463" s="61"/>
      <c r="JSY2463" s="54"/>
      <c r="JSZ2463" s="54"/>
      <c r="JTA2463" s="63"/>
      <c r="JTB2463" s="60"/>
      <c r="JTC2463" s="60"/>
      <c r="JTD2463" s="60"/>
      <c r="JTE2463" s="63"/>
      <c r="JTF2463" s="61"/>
      <c r="JTG2463" s="54"/>
      <c r="JTH2463" s="54"/>
      <c r="JTI2463" s="63"/>
      <c r="JTJ2463" s="60"/>
      <c r="JTK2463" s="60"/>
      <c r="JTL2463" s="60"/>
      <c r="JTM2463" s="63"/>
      <c r="JTN2463" s="61"/>
      <c r="JTO2463" s="54"/>
      <c r="JTP2463" s="54"/>
      <c r="JTQ2463" s="63"/>
      <c r="JTR2463" s="60"/>
      <c r="JTS2463" s="60"/>
      <c r="JTT2463" s="60"/>
      <c r="JTU2463" s="63"/>
      <c r="JTV2463" s="61"/>
      <c r="JTW2463" s="54"/>
      <c r="JTX2463" s="54"/>
      <c r="JTY2463" s="63"/>
      <c r="JTZ2463" s="60"/>
      <c r="JUA2463" s="60"/>
      <c r="JUB2463" s="60"/>
      <c r="JUC2463" s="63"/>
      <c r="JUD2463" s="61"/>
      <c r="JUE2463" s="54"/>
      <c r="JUF2463" s="54"/>
      <c r="JUG2463" s="63"/>
      <c r="JUH2463" s="60"/>
      <c r="JUI2463" s="60"/>
      <c r="JUJ2463" s="60"/>
      <c r="JUK2463" s="63"/>
      <c r="JUL2463" s="61"/>
      <c r="JUM2463" s="54"/>
      <c r="JUN2463" s="54"/>
      <c r="JUO2463" s="63"/>
      <c r="JUP2463" s="60"/>
      <c r="JUQ2463" s="60"/>
      <c r="JUR2463" s="60"/>
      <c r="JUS2463" s="63"/>
      <c r="JUT2463" s="61"/>
      <c r="JUU2463" s="54"/>
      <c r="JUV2463" s="54"/>
      <c r="JUW2463" s="63"/>
      <c r="JUX2463" s="60"/>
      <c r="JUY2463" s="60"/>
      <c r="JUZ2463" s="60"/>
      <c r="JVA2463" s="63"/>
      <c r="JVB2463" s="61"/>
      <c r="JVC2463" s="54"/>
      <c r="JVD2463" s="54"/>
      <c r="JVE2463" s="63"/>
      <c r="JVF2463" s="60"/>
      <c r="JVG2463" s="60"/>
      <c r="JVH2463" s="60"/>
      <c r="JVI2463" s="63"/>
      <c r="JVJ2463" s="61"/>
      <c r="JVK2463" s="54"/>
      <c r="JVL2463" s="54"/>
      <c r="JVM2463" s="63"/>
      <c r="JVN2463" s="60"/>
      <c r="JVO2463" s="60"/>
      <c r="JVP2463" s="60"/>
      <c r="JVQ2463" s="63"/>
      <c r="JVR2463" s="61"/>
      <c r="JVS2463" s="54"/>
      <c r="JVT2463" s="54"/>
      <c r="JVU2463" s="63"/>
      <c r="JVV2463" s="60"/>
      <c r="JVW2463" s="60"/>
      <c r="JVX2463" s="60"/>
      <c r="JVY2463" s="63"/>
      <c r="JVZ2463" s="61"/>
      <c r="JWA2463" s="54"/>
      <c r="JWB2463" s="54"/>
      <c r="JWC2463" s="63"/>
      <c r="JWD2463" s="60"/>
      <c r="JWE2463" s="60"/>
      <c r="JWF2463" s="60"/>
      <c r="JWG2463" s="63"/>
      <c r="JWH2463" s="61"/>
      <c r="JWI2463" s="54"/>
      <c r="JWJ2463" s="54"/>
      <c r="JWK2463" s="63"/>
      <c r="JWL2463" s="60"/>
      <c r="JWM2463" s="60"/>
      <c r="JWN2463" s="60"/>
      <c r="JWO2463" s="63"/>
      <c r="JWP2463" s="61"/>
      <c r="JWQ2463" s="54"/>
      <c r="JWR2463" s="54"/>
      <c r="JWS2463" s="63"/>
      <c r="JWT2463" s="60"/>
      <c r="JWU2463" s="60"/>
      <c r="JWV2463" s="60"/>
      <c r="JWW2463" s="63"/>
      <c r="JWX2463" s="61"/>
      <c r="JWY2463" s="54"/>
      <c r="JWZ2463" s="54"/>
      <c r="JXA2463" s="63"/>
      <c r="JXB2463" s="60"/>
      <c r="JXC2463" s="60"/>
      <c r="JXD2463" s="60"/>
      <c r="JXE2463" s="63"/>
      <c r="JXF2463" s="61"/>
      <c r="JXG2463" s="54"/>
      <c r="JXH2463" s="54"/>
      <c r="JXI2463" s="63"/>
      <c r="JXJ2463" s="60"/>
      <c r="JXK2463" s="60"/>
      <c r="JXL2463" s="60"/>
      <c r="JXM2463" s="63"/>
      <c r="JXN2463" s="61"/>
      <c r="JXO2463" s="54"/>
      <c r="JXP2463" s="54"/>
      <c r="JXQ2463" s="63"/>
      <c r="JXR2463" s="60"/>
      <c r="JXS2463" s="60"/>
      <c r="JXT2463" s="60"/>
      <c r="JXU2463" s="63"/>
      <c r="JXV2463" s="61"/>
      <c r="JXW2463" s="54"/>
      <c r="JXX2463" s="54"/>
      <c r="JXY2463" s="63"/>
      <c r="JXZ2463" s="60"/>
      <c r="JYA2463" s="60"/>
      <c r="JYB2463" s="60"/>
      <c r="JYC2463" s="63"/>
      <c r="JYD2463" s="61"/>
      <c r="JYE2463" s="54"/>
      <c r="JYF2463" s="54"/>
      <c r="JYG2463" s="63"/>
      <c r="JYH2463" s="60"/>
      <c r="JYI2463" s="60"/>
      <c r="JYJ2463" s="60"/>
      <c r="JYK2463" s="63"/>
      <c r="JYL2463" s="61"/>
      <c r="JYM2463" s="54"/>
      <c r="JYN2463" s="54"/>
      <c r="JYO2463" s="63"/>
      <c r="JYP2463" s="60"/>
      <c r="JYQ2463" s="60"/>
      <c r="JYR2463" s="60"/>
      <c r="JYS2463" s="63"/>
      <c r="JYT2463" s="61"/>
      <c r="JYU2463" s="54"/>
      <c r="JYV2463" s="54"/>
      <c r="JYW2463" s="63"/>
      <c r="JYX2463" s="60"/>
      <c r="JYY2463" s="60"/>
      <c r="JYZ2463" s="60"/>
      <c r="JZA2463" s="63"/>
      <c r="JZB2463" s="61"/>
      <c r="JZC2463" s="54"/>
      <c r="JZD2463" s="54"/>
      <c r="JZE2463" s="63"/>
      <c r="JZF2463" s="60"/>
      <c r="JZG2463" s="60"/>
      <c r="JZH2463" s="60"/>
      <c r="JZI2463" s="63"/>
      <c r="JZJ2463" s="61"/>
      <c r="JZK2463" s="54"/>
      <c r="JZL2463" s="54"/>
      <c r="JZM2463" s="63"/>
      <c r="JZN2463" s="60"/>
      <c r="JZO2463" s="60"/>
      <c r="JZP2463" s="60"/>
      <c r="JZQ2463" s="63"/>
      <c r="JZR2463" s="61"/>
      <c r="JZS2463" s="54"/>
      <c r="JZT2463" s="54"/>
      <c r="JZU2463" s="63"/>
      <c r="JZV2463" s="60"/>
      <c r="JZW2463" s="60"/>
      <c r="JZX2463" s="60"/>
      <c r="JZY2463" s="63"/>
      <c r="JZZ2463" s="61"/>
      <c r="KAA2463" s="54"/>
      <c r="KAB2463" s="54"/>
      <c r="KAC2463" s="63"/>
      <c r="KAD2463" s="60"/>
      <c r="KAE2463" s="60"/>
      <c r="KAF2463" s="60"/>
      <c r="KAG2463" s="63"/>
      <c r="KAH2463" s="61"/>
      <c r="KAI2463" s="54"/>
      <c r="KAJ2463" s="54"/>
      <c r="KAK2463" s="63"/>
      <c r="KAL2463" s="60"/>
      <c r="KAM2463" s="60"/>
      <c r="KAN2463" s="60"/>
      <c r="KAO2463" s="63"/>
      <c r="KAP2463" s="61"/>
      <c r="KAQ2463" s="54"/>
      <c r="KAR2463" s="54"/>
      <c r="KAS2463" s="63"/>
      <c r="KAT2463" s="60"/>
      <c r="KAU2463" s="60"/>
      <c r="KAV2463" s="60"/>
      <c r="KAW2463" s="63"/>
      <c r="KAX2463" s="61"/>
      <c r="KAY2463" s="54"/>
      <c r="KAZ2463" s="54"/>
      <c r="KBA2463" s="63"/>
      <c r="KBB2463" s="60"/>
      <c r="KBC2463" s="60"/>
      <c r="KBD2463" s="60"/>
      <c r="KBE2463" s="63"/>
      <c r="KBF2463" s="61"/>
      <c r="KBG2463" s="54"/>
      <c r="KBH2463" s="54"/>
      <c r="KBI2463" s="63"/>
      <c r="KBJ2463" s="60"/>
      <c r="KBK2463" s="60"/>
      <c r="KBL2463" s="60"/>
      <c r="KBM2463" s="63"/>
      <c r="KBN2463" s="61"/>
      <c r="KBO2463" s="54"/>
      <c r="KBP2463" s="54"/>
      <c r="KBQ2463" s="63"/>
      <c r="KBR2463" s="60"/>
      <c r="KBS2463" s="60"/>
      <c r="KBT2463" s="60"/>
      <c r="KBU2463" s="63"/>
      <c r="KBV2463" s="61"/>
      <c r="KBW2463" s="54"/>
      <c r="KBX2463" s="54"/>
      <c r="KBY2463" s="63"/>
      <c r="KBZ2463" s="60"/>
      <c r="KCA2463" s="60"/>
      <c r="KCB2463" s="60"/>
      <c r="KCC2463" s="63"/>
      <c r="KCD2463" s="61"/>
      <c r="KCE2463" s="54"/>
      <c r="KCF2463" s="54"/>
      <c r="KCG2463" s="63"/>
      <c r="KCH2463" s="60"/>
      <c r="KCI2463" s="60"/>
      <c r="KCJ2463" s="60"/>
      <c r="KCK2463" s="63"/>
      <c r="KCL2463" s="61"/>
      <c r="KCM2463" s="54"/>
      <c r="KCN2463" s="54"/>
      <c r="KCO2463" s="63"/>
      <c r="KCP2463" s="60"/>
      <c r="KCQ2463" s="60"/>
      <c r="KCR2463" s="60"/>
      <c r="KCS2463" s="63"/>
      <c r="KCT2463" s="61"/>
      <c r="KCU2463" s="54"/>
      <c r="KCV2463" s="54"/>
      <c r="KCW2463" s="63"/>
      <c r="KCX2463" s="60"/>
      <c r="KCY2463" s="60"/>
      <c r="KCZ2463" s="60"/>
      <c r="KDA2463" s="63"/>
      <c r="KDB2463" s="61"/>
      <c r="KDC2463" s="54"/>
      <c r="KDD2463" s="54"/>
      <c r="KDE2463" s="63"/>
      <c r="KDF2463" s="60"/>
      <c r="KDG2463" s="60"/>
      <c r="KDH2463" s="60"/>
      <c r="KDI2463" s="63"/>
      <c r="KDJ2463" s="61"/>
      <c r="KDK2463" s="54"/>
      <c r="KDL2463" s="54"/>
      <c r="KDM2463" s="63"/>
      <c r="KDN2463" s="60"/>
      <c r="KDO2463" s="60"/>
      <c r="KDP2463" s="60"/>
      <c r="KDQ2463" s="63"/>
      <c r="KDR2463" s="61"/>
      <c r="KDS2463" s="54"/>
      <c r="KDT2463" s="54"/>
      <c r="KDU2463" s="63"/>
      <c r="KDV2463" s="60"/>
      <c r="KDW2463" s="60"/>
      <c r="KDX2463" s="60"/>
      <c r="KDY2463" s="63"/>
      <c r="KDZ2463" s="61"/>
      <c r="KEA2463" s="54"/>
      <c r="KEB2463" s="54"/>
      <c r="KEC2463" s="63"/>
      <c r="KED2463" s="60"/>
      <c r="KEE2463" s="60"/>
      <c r="KEF2463" s="60"/>
      <c r="KEG2463" s="63"/>
      <c r="KEH2463" s="61"/>
      <c r="KEI2463" s="54"/>
      <c r="KEJ2463" s="54"/>
      <c r="KEK2463" s="63"/>
      <c r="KEL2463" s="60"/>
      <c r="KEM2463" s="60"/>
      <c r="KEN2463" s="60"/>
      <c r="KEO2463" s="63"/>
      <c r="KEP2463" s="61"/>
      <c r="KEQ2463" s="54"/>
      <c r="KER2463" s="54"/>
      <c r="KES2463" s="63"/>
      <c r="KET2463" s="60"/>
      <c r="KEU2463" s="60"/>
      <c r="KEV2463" s="60"/>
      <c r="KEW2463" s="63"/>
      <c r="KEX2463" s="61"/>
      <c r="KEY2463" s="54"/>
      <c r="KEZ2463" s="54"/>
      <c r="KFA2463" s="63"/>
      <c r="KFB2463" s="60"/>
      <c r="KFC2463" s="60"/>
      <c r="KFD2463" s="60"/>
      <c r="KFE2463" s="63"/>
      <c r="KFF2463" s="61"/>
      <c r="KFG2463" s="54"/>
      <c r="KFH2463" s="54"/>
      <c r="KFI2463" s="63"/>
      <c r="KFJ2463" s="60"/>
      <c r="KFK2463" s="60"/>
      <c r="KFL2463" s="60"/>
      <c r="KFM2463" s="63"/>
      <c r="KFN2463" s="61"/>
      <c r="KFO2463" s="54"/>
      <c r="KFP2463" s="54"/>
      <c r="KFQ2463" s="63"/>
      <c r="KFR2463" s="60"/>
      <c r="KFS2463" s="60"/>
      <c r="KFT2463" s="60"/>
      <c r="KFU2463" s="63"/>
      <c r="KFV2463" s="61"/>
      <c r="KFW2463" s="54"/>
      <c r="KFX2463" s="54"/>
      <c r="KFY2463" s="63"/>
      <c r="KFZ2463" s="60"/>
      <c r="KGA2463" s="60"/>
      <c r="KGB2463" s="60"/>
      <c r="KGC2463" s="63"/>
      <c r="KGD2463" s="61"/>
      <c r="KGE2463" s="54"/>
      <c r="KGF2463" s="54"/>
      <c r="KGG2463" s="63"/>
      <c r="KGH2463" s="60"/>
      <c r="KGI2463" s="60"/>
      <c r="KGJ2463" s="60"/>
      <c r="KGK2463" s="63"/>
      <c r="KGL2463" s="61"/>
      <c r="KGM2463" s="54"/>
      <c r="KGN2463" s="54"/>
      <c r="KGO2463" s="63"/>
      <c r="KGP2463" s="60"/>
      <c r="KGQ2463" s="60"/>
      <c r="KGR2463" s="60"/>
      <c r="KGS2463" s="63"/>
      <c r="KGT2463" s="61"/>
      <c r="KGU2463" s="54"/>
      <c r="KGV2463" s="54"/>
      <c r="KGW2463" s="63"/>
      <c r="KGX2463" s="60"/>
      <c r="KGY2463" s="60"/>
      <c r="KGZ2463" s="60"/>
      <c r="KHA2463" s="63"/>
      <c r="KHB2463" s="61"/>
      <c r="KHC2463" s="54"/>
      <c r="KHD2463" s="54"/>
      <c r="KHE2463" s="63"/>
      <c r="KHF2463" s="60"/>
      <c r="KHG2463" s="60"/>
      <c r="KHH2463" s="60"/>
      <c r="KHI2463" s="63"/>
      <c r="KHJ2463" s="61"/>
      <c r="KHK2463" s="54"/>
      <c r="KHL2463" s="54"/>
      <c r="KHM2463" s="63"/>
      <c r="KHN2463" s="60"/>
      <c r="KHO2463" s="60"/>
      <c r="KHP2463" s="60"/>
      <c r="KHQ2463" s="63"/>
      <c r="KHR2463" s="61"/>
      <c r="KHS2463" s="54"/>
      <c r="KHT2463" s="54"/>
      <c r="KHU2463" s="63"/>
      <c r="KHV2463" s="60"/>
      <c r="KHW2463" s="60"/>
      <c r="KHX2463" s="60"/>
      <c r="KHY2463" s="63"/>
      <c r="KHZ2463" s="61"/>
      <c r="KIA2463" s="54"/>
      <c r="KIB2463" s="54"/>
      <c r="KIC2463" s="63"/>
      <c r="KID2463" s="60"/>
      <c r="KIE2463" s="60"/>
      <c r="KIF2463" s="60"/>
      <c r="KIG2463" s="63"/>
      <c r="KIH2463" s="61"/>
      <c r="KII2463" s="54"/>
      <c r="KIJ2463" s="54"/>
      <c r="KIK2463" s="63"/>
      <c r="KIL2463" s="60"/>
      <c r="KIM2463" s="60"/>
      <c r="KIN2463" s="60"/>
      <c r="KIO2463" s="63"/>
      <c r="KIP2463" s="61"/>
      <c r="KIQ2463" s="54"/>
      <c r="KIR2463" s="54"/>
      <c r="KIS2463" s="63"/>
      <c r="KIT2463" s="60"/>
      <c r="KIU2463" s="60"/>
      <c r="KIV2463" s="60"/>
      <c r="KIW2463" s="63"/>
      <c r="KIX2463" s="61"/>
      <c r="KIY2463" s="54"/>
      <c r="KIZ2463" s="54"/>
      <c r="KJA2463" s="63"/>
      <c r="KJB2463" s="60"/>
      <c r="KJC2463" s="60"/>
      <c r="KJD2463" s="60"/>
      <c r="KJE2463" s="63"/>
      <c r="KJF2463" s="61"/>
      <c r="KJG2463" s="54"/>
      <c r="KJH2463" s="54"/>
      <c r="KJI2463" s="63"/>
      <c r="KJJ2463" s="60"/>
      <c r="KJK2463" s="60"/>
      <c r="KJL2463" s="60"/>
      <c r="KJM2463" s="63"/>
      <c r="KJN2463" s="61"/>
      <c r="KJO2463" s="54"/>
      <c r="KJP2463" s="54"/>
      <c r="KJQ2463" s="63"/>
      <c r="KJR2463" s="60"/>
      <c r="KJS2463" s="60"/>
      <c r="KJT2463" s="60"/>
      <c r="KJU2463" s="63"/>
      <c r="KJV2463" s="61"/>
      <c r="KJW2463" s="54"/>
      <c r="KJX2463" s="54"/>
      <c r="KJY2463" s="63"/>
      <c r="KJZ2463" s="60"/>
      <c r="KKA2463" s="60"/>
      <c r="KKB2463" s="60"/>
      <c r="KKC2463" s="63"/>
      <c r="KKD2463" s="61"/>
      <c r="KKE2463" s="54"/>
      <c r="KKF2463" s="54"/>
      <c r="KKG2463" s="63"/>
      <c r="KKH2463" s="60"/>
      <c r="KKI2463" s="60"/>
      <c r="KKJ2463" s="60"/>
      <c r="KKK2463" s="63"/>
      <c r="KKL2463" s="61"/>
      <c r="KKM2463" s="54"/>
      <c r="KKN2463" s="54"/>
      <c r="KKO2463" s="63"/>
      <c r="KKP2463" s="60"/>
      <c r="KKQ2463" s="60"/>
      <c r="KKR2463" s="60"/>
      <c r="KKS2463" s="63"/>
      <c r="KKT2463" s="61"/>
      <c r="KKU2463" s="54"/>
      <c r="KKV2463" s="54"/>
      <c r="KKW2463" s="63"/>
      <c r="KKX2463" s="60"/>
      <c r="KKY2463" s="60"/>
      <c r="KKZ2463" s="60"/>
      <c r="KLA2463" s="63"/>
      <c r="KLB2463" s="61"/>
      <c r="KLC2463" s="54"/>
      <c r="KLD2463" s="54"/>
      <c r="KLE2463" s="63"/>
      <c r="KLF2463" s="60"/>
      <c r="KLG2463" s="60"/>
      <c r="KLH2463" s="60"/>
      <c r="KLI2463" s="63"/>
      <c r="KLJ2463" s="61"/>
      <c r="KLK2463" s="54"/>
      <c r="KLL2463" s="54"/>
      <c r="KLM2463" s="63"/>
      <c r="KLN2463" s="60"/>
      <c r="KLO2463" s="60"/>
      <c r="KLP2463" s="60"/>
      <c r="KLQ2463" s="63"/>
      <c r="KLR2463" s="61"/>
      <c r="KLS2463" s="54"/>
      <c r="KLT2463" s="54"/>
      <c r="KLU2463" s="63"/>
      <c r="KLV2463" s="60"/>
      <c r="KLW2463" s="60"/>
      <c r="KLX2463" s="60"/>
      <c r="KLY2463" s="63"/>
      <c r="KLZ2463" s="61"/>
      <c r="KMA2463" s="54"/>
      <c r="KMB2463" s="54"/>
      <c r="KMC2463" s="63"/>
      <c r="KMD2463" s="60"/>
      <c r="KME2463" s="60"/>
      <c r="KMF2463" s="60"/>
      <c r="KMG2463" s="63"/>
      <c r="KMH2463" s="61"/>
      <c r="KMI2463" s="54"/>
      <c r="KMJ2463" s="54"/>
      <c r="KMK2463" s="63"/>
      <c r="KML2463" s="60"/>
      <c r="KMM2463" s="60"/>
      <c r="KMN2463" s="60"/>
      <c r="KMO2463" s="63"/>
      <c r="KMP2463" s="61"/>
      <c r="KMQ2463" s="54"/>
      <c r="KMR2463" s="54"/>
      <c r="KMS2463" s="63"/>
      <c r="KMT2463" s="60"/>
      <c r="KMU2463" s="60"/>
      <c r="KMV2463" s="60"/>
      <c r="KMW2463" s="63"/>
      <c r="KMX2463" s="61"/>
      <c r="KMY2463" s="54"/>
      <c r="KMZ2463" s="54"/>
      <c r="KNA2463" s="63"/>
      <c r="KNB2463" s="60"/>
      <c r="KNC2463" s="60"/>
      <c r="KND2463" s="60"/>
      <c r="KNE2463" s="63"/>
      <c r="KNF2463" s="61"/>
      <c r="KNG2463" s="54"/>
      <c r="KNH2463" s="54"/>
      <c r="KNI2463" s="63"/>
      <c r="KNJ2463" s="60"/>
      <c r="KNK2463" s="60"/>
      <c r="KNL2463" s="60"/>
      <c r="KNM2463" s="63"/>
      <c r="KNN2463" s="61"/>
      <c r="KNO2463" s="54"/>
      <c r="KNP2463" s="54"/>
      <c r="KNQ2463" s="63"/>
      <c r="KNR2463" s="60"/>
      <c r="KNS2463" s="60"/>
      <c r="KNT2463" s="60"/>
      <c r="KNU2463" s="63"/>
      <c r="KNV2463" s="61"/>
      <c r="KNW2463" s="54"/>
      <c r="KNX2463" s="54"/>
      <c r="KNY2463" s="63"/>
      <c r="KNZ2463" s="60"/>
      <c r="KOA2463" s="60"/>
      <c r="KOB2463" s="60"/>
      <c r="KOC2463" s="63"/>
      <c r="KOD2463" s="61"/>
      <c r="KOE2463" s="54"/>
      <c r="KOF2463" s="54"/>
      <c r="KOG2463" s="63"/>
      <c r="KOH2463" s="60"/>
      <c r="KOI2463" s="60"/>
      <c r="KOJ2463" s="60"/>
      <c r="KOK2463" s="63"/>
      <c r="KOL2463" s="61"/>
      <c r="KOM2463" s="54"/>
      <c r="KON2463" s="54"/>
      <c r="KOO2463" s="63"/>
      <c r="KOP2463" s="60"/>
      <c r="KOQ2463" s="60"/>
      <c r="KOR2463" s="60"/>
      <c r="KOS2463" s="63"/>
      <c r="KOT2463" s="61"/>
      <c r="KOU2463" s="54"/>
      <c r="KOV2463" s="54"/>
      <c r="KOW2463" s="63"/>
      <c r="KOX2463" s="60"/>
      <c r="KOY2463" s="60"/>
      <c r="KOZ2463" s="60"/>
      <c r="KPA2463" s="63"/>
      <c r="KPB2463" s="61"/>
      <c r="KPC2463" s="54"/>
      <c r="KPD2463" s="54"/>
      <c r="KPE2463" s="63"/>
      <c r="KPF2463" s="60"/>
      <c r="KPG2463" s="60"/>
      <c r="KPH2463" s="60"/>
      <c r="KPI2463" s="63"/>
      <c r="KPJ2463" s="61"/>
      <c r="KPK2463" s="54"/>
      <c r="KPL2463" s="54"/>
      <c r="KPM2463" s="63"/>
      <c r="KPN2463" s="60"/>
      <c r="KPO2463" s="60"/>
      <c r="KPP2463" s="60"/>
      <c r="KPQ2463" s="63"/>
      <c r="KPR2463" s="61"/>
      <c r="KPS2463" s="54"/>
      <c r="KPT2463" s="54"/>
      <c r="KPU2463" s="63"/>
      <c r="KPV2463" s="60"/>
      <c r="KPW2463" s="60"/>
      <c r="KPX2463" s="60"/>
      <c r="KPY2463" s="63"/>
      <c r="KPZ2463" s="61"/>
      <c r="KQA2463" s="54"/>
      <c r="KQB2463" s="54"/>
      <c r="KQC2463" s="63"/>
      <c r="KQD2463" s="60"/>
      <c r="KQE2463" s="60"/>
      <c r="KQF2463" s="60"/>
      <c r="KQG2463" s="63"/>
      <c r="KQH2463" s="61"/>
      <c r="KQI2463" s="54"/>
      <c r="KQJ2463" s="54"/>
      <c r="KQK2463" s="63"/>
      <c r="KQL2463" s="60"/>
      <c r="KQM2463" s="60"/>
      <c r="KQN2463" s="60"/>
      <c r="KQO2463" s="63"/>
      <c r="KQP2463" s="61"/>
      <c r="KQQ2463" s="54"/>
      <c r="KQR2463" s="54"/>
      <c r="KQS2463" s="63"/>
      <c r="KQT2463" s="60"/>
      <c r="KQU2463" s="60"/>
      <c r="KQV2463" s="60"/>
      <c r="KQW2463" s="63"/>
      <c r="KQX2463" s="61"/>
      <c r="KQY2463" s="54"/>
      <c r="KQZ2463" s="54"/>
      <c r="KRA2463" s="63"/>
      <c r="KRB2463" s="60"/>
      <c r="KRC2463" s="60"/>
      <c r="KRD2463" s="60"/>
      <c r="KRE2463" s="63"/>
      <c r="KRF2463" s="61"/>
      <c r="KRG2463" s="54"/>
      <c r="KRH2463" s="54"/>
      <c r="KRI2463" s="63"/>
      <c r="KRJ2463" s="60"/>
      <c r="KRK2463" s="60"/>
      <c r="KRL2463" s="60"/>
      <c r="KRM2463" s="63"/>
      <c r="KRN2463" s="61"/>
      <c r="KRO2463" s="54"/>
      <c r="KRP2463" s="54"/>
      <c r="KRQ2463" s="63"/>
      <c r="KRR2463" s="60"/>
      <c r="KRS2463" s="60"/>
      <c r="KRT2463" s="60"/>
      <c r="KRU2463" s="63"/>
      <c r="KRV2463" s="61"/>
      <c r="KRW2463" s="54"/>
      <c r="KRX2463" s="54"/>
      <c r="KRY2463" s="63"/>
      <c r="KRZ2463" s="60"/>
      <c r="KSA2463" s="60"/>
      <c r="KSB2463" s="60"/>
      <c r="KSC2463" s="63"/>
      <c r="KSD2463" s="61"/>
      <c r="KSE2463" s="54"/>
      <c r="KSF2463" s="54"/>
      <c r="KSG2463" s="63"/>
      <c r="KSH2463" s="60"/>
      <c r="KSI2463" s="60"/>
      <c r="KSJ2463" s="60"/>
      <c r="KSK2463" s="63"/>
      <c r="KSL2463" s="61"/>
      <c r="KSM2463" s="54"/>
      <c r="KSN2463" s="54"/>
      <c r="KSO2463" s="63"/>
      <c r="KSP2463" s="60"/>
      <c r="KSQ2463" s="60"/>
      <c r="KSR2463" s="60"/>
      <c r="KSS2463" s="63"/>
      <c r="KST2463" s="61"/>
      <c r="KSU2463" s="54"/>
      <c r="KSV2463" s="54"/>
      <c r="KSW2463" s="63"/>
      <c r="KSX2463" s="60"/>
      <c r="KSY2463" s="60"/>
      <c r="KSZ2463" s="60"/>
      <c r="KTA2463" s="63"/>
      <c r="KTB2463" s="61"/>
      <c r="KTC2463" s="54"/>
      <c r="KTD2463" s="54"/>
      <c r="KTE2463" s="63"/>
      <c r="KTF2463" s="60"/>
      <c r="KTG2463" s="60"/>
      <c r="KTH2463" s="60"/>
      <c r="KTI2463" s="63"/>
      <c r="KTJ2463" s="61"/>
      <c r="KTK2463" s="54"/>
      <c r="KTL2463" s="54"/>
      <c r="KTM2463" s="63"/>
      <c r="KTN2463" s="60"/>
      <c r="KTO2463" s="60"/>
      <c r="KTP2463" s="60"/>
      <c r="KTQ2463" s="63"/>
      <c r="KTR2463" s="61"/>
      <c r="KTS2463" s="54"/>
      <c r="KTT2463" s="54"/>
      <c r="KTU2463" s="63"/>
      <c r="KTV2463" s="60"/>
      <c r="KTW2463" s="60"/>
      <c r="KTX2463" s="60"/>
      <c r="KTY2463" s="63"/>
      <c r="KTZ2463" s="61"/>
      <c r="KUA2463" s="54"/>
      <c r="KUB2463" s="54"/>
      <c r="KUC2463" s="63"/>
      <c r="KUD2463" s="60"/>
      <c r="KUE2463" s="60"/>
      <c r="KUF2463" s="60"/>
      <c r="KUG2463" s="63"/>
      <c r="KUH2463" s="61"/>
      <c r="KUI2463" s="54"/>
      <c r="KUJ2463" s="54"/>
      <c r="KUK2463" s="63"/>
      <c r="KUL2463" s="60"/>
      <c r="KUM2463" s="60"/>
      <c r="KUN2463" s="60"/>
      <c r="KUO2463" s="63"/>
      <c r="KUP2463" s="61"/>
      <c r="KUQ2463" s="54"/>
      <c r="KUR2463" s="54"/>
      <c r="KUS2463" s="63"/>
      <c r="KUT2463" s="60"/>
      <c r="KUU2463" s="60"/>
      <c r="KUV2463" s="60"/>
      <c r="KUW2463" s="63"/>
      <c r="KUX2463" s="61"/>
      <c r="KUY2463" s="54"/>
      <c r="KUZ2463" s="54"/>
      <c r="KVA2463" s="63"/>
      <c r="KVB2463" s="60"/>
      <c r="KVC2463" s="60"/>
      <c r="KVD2463" s="60"/>
      <c r="KVE2463" s="63"/>
      <c r="KVF2463" s="61"/>
      <c r="KVG2463" s="54"/>
      <c r="KVH2463" s="54"/>
      <c r="KVI2463" s="63"/>
      <c r="KVJ2463" s="60"/>
      <c r="KVK2463" s="60"/>
      <c r="KVL2463" s="60"/>
      <c r="KVM2463" s="63"/>
      <c r="KVN2463" s="61"/>
      <c r="KVO2463" s="54"/>
      <c r="KVP2463" s="54"/>
      <c r="KVQ2463" s="63"/>
      <c r="KVR2463" s="60"/>
      <c r="KVS2463" s="60"/>
      <c r="KVT2463" s="60"/>
      <c r="KVU2463" s="63"/>
      <c r="KVV2463" s="61"/>
      <c r="KVW2463" s="54"/>
      <c r="KVX2463" s="54"/>
      <c r="KVY2463" s="63"/>
      <c r="KVZ2463" s="60"/>
      <c r="KWA2463" s="60"/>
      <c r="KWB2463" s="60"/>
      <c r="KWC2463" s="63"/>
      <c r="KWD2463" s="61"/>
      <c r="KWE2463" s="54"/>
      <c r="KWF2463" s="54"/>
      <c r="KWG2463" s="63"/>
      <c r="KWH2463" s="60"/>
      <c r="KWI2463" s="60"/>
      <c r="KWJ2463" s="60"/>
      <c r="KWK2463" s="63"/>
      <c r="KWL2463" s="61"/>
      <c r="KWM2463" s="54"/>
      <c r="KWN2463" s="54"/>
      <c r="KWO2463" s="63"/>
      <c r="KWP2463" s="60"/>
      <c r="KWQ2463" s="60"/>
      <c r="KWR2463" s="60"/>
      <c r="KWS2463" s="63"/>
      <c r="KWT2463" s="61"/>
      <c r="KWU2463" s="54"/>
      <c r="KWV2463" s="54"/>
      <c r="KWW2463" s="63"/>
      <c r="KWX2463" s="60"/>
      <c r="KWY2463" s="60"/>
      <c r="KWZ2463" s="60"/>
      <c r="KXA2463" s="63"/>
      <c r="KXB2463" s="61"/>
      <c r="KXC2463" s="54"/>
      <c r="KXD2463" s="54"/>
      <c r="KXE2463" s="63"/>
      <c r="KXF2463" s="60"/>
      <c r="KXG2463" s="60"/>
      <c r="KXH2463" s="60"/>
      <c r="KXI2463" s="63"/>
      <c r="KXJ2463" s="61"/>
      <c r="KXK2463" s="54"/>
      <c r="KXL2463" s="54"/>
      <c r="KXM2463" s="63"/>
      <c r="KXN2463" s="60"/>
      <c r="KXO2463" s="60"/>
      <c r="KXP2463" s="60"/>
      <c r="KXQ2463" s="63"/>
      <c r="KXR2463" s="61"/>
      <c r="KXS2463" s="54"/>
      <c r="KXT2463" s="54"/>
      <c r="KXU2463" s="63"/>
      <c r="KXV2463" s="60"/>
      <c r="KXW2463" s="60"/>
      <c r="KXX2463" s="60"/>
      <c r="KXY2463" s="63"/>
      <c r="KXZ2463" s="61"/>
      <c r="KYA2463" s="54"/>
      <c r="KYB2463" s="54"/>
      <c r="KYC2463" s="63"/>
      <c r="KYD2463" s="60"/>
      <c r="KYE2463" s="60"/>
      <c r="KYF2463" s="60"/>
      <c r="KYG2463" s="63"/>
      <c r="KYH2463" s="61"/>
      <c r="KYI2463" s="54"/>
      <c r="KYJ2463" s="54"/>
      <c r="KYK2463" s="63"/>
      <c r="KYL2463" s="60"/>
      <c r="KYM2463" s="60"/>
      <c r="KYN2463" s="60"/>
      <c r="KYO2463" s="63"/>
      <c r="KYP2463" s="61"/>
      <c r="KYQ2463" s="54"/>
      <c r="KYR2463" s="54"/>
      <c r="KYS2463" s="63"/>
      <c r="KYT2463" s="60"/>
      <c r="KYU2463" s="60"/>
      <c r="KYV2463" s="60"/>
      <c r="KYW2463" s="63"/>
      <c r="KYX2463" s="61"/>
      <c r="KYY2463" s="54"/>
      <c r="KYZ2463" s="54"/>
      <c r="KZA2463" s="63"/>
      <c r="KZB2463" s="60"/>
      <c r="KZC2463" s="60"/>
      <c r="KZD2463" s="60"/>
      <c r="KZE2463" s="63"/>
      <c r="KZF2463" s="61"/>
      <c r="KZG2463" s="54"/>
      <c r="KZH2463" s="54"/>
      <c r="KZI2463" s="63"/>
      <c r="KZJ2463" s="60"/>
      <c r="KZK2463" s="60"/>
      <c r="KZL2463" s="60"/>
      <c r="KZM2463" s="63"/>
      <c r="KZN2463" s="61"/>
      <c r="KZO2463" s="54"/>
      <c r="KZP2463" s="54"/>
      <c r="KZQ2463" s="63"/>
      <c r="KZR2463" s="60"/>
      <c r="KZS2463" s="60"/>
      <c r="KZT2463" s="60"/>
      <c r="KZU2463" s="63"/>
      <c r="KZV2463" s="61"/>
      <c r="KZW2463" s="54"/>
      <c r="KZX2463" s="54"/>
      <c r="KZY2463" s="63"/>
      <c r="KZZ2463" s="60"/>
      <c r="LAA2463" s="60"/>
      <c r="LAB2463" s="60"/>
      <c r="LAC2463" s="63"/>
      <c r="LAD2463" s="61"/>
      <c r="LAE2463" s="54"/>
      <c r="LAF2463" s="54"/>
      <c r="LAG2463" s="63"/>
      <c r="LAH2463" s="60"/>
      <c r="LAI2463" s="60"/>
      <c r="LAJ2463" s="60"/>
      <c r="LAK2463" s="63"/>
      <c r="LAL2463" s="61"/>
      <c r="LAM2463" s="54"/>
      <c r="LAN2463" s="54"/>
      <c r="LAO2463" s="63"/>
      <c r="LAP2463" s="60"/>
      <c r="LAQ2463" s="60"/>
      <c r="LAR2463" s="60"/>
      <c r="LAS2463" s="63"/>
      <c r="LAT2463" s="61"/>
      <c r="LAU2463" s="54"/>
      <c r="LAV2463" s="54"/>
      <c r="LAW2463" s="63"/>
      <c r="LAX2463" s="60"/>
      <c r="LAY2463" s="60"/>
      <c r="LAZ2463" s="60"/>
      <c r="LBA2463" s="63"/>
      <c r="LBB2463" s="61"/>
      <c r="LBC2463" s="54"/>
      <c r="LBD2463" s="54"/>
      <c r="LBE2463" s="63"/>
      <c r="LBF2463" s="60"/>
      <c r="LBG2463" s="60"/>
      <c r="LBH2463" s="60"/>
      <c r="LBI2463" s="63"/>
      <c r="LBJ2463" s="61"/>
      <c r="LBK2463" s="54"/>
      <c r="LBL2463" s="54"/>
      <c r="LBM2463" s="63"/>
      <c r="LBN2463" s="60"/>
      <c r="LBO2463" s="60"/>
      <c r="LBP2463" s="60"/>
      <c r="LBQ2463" s="63"/>
      <c r="LBR2463" s="61"/>
      <c r="LBS2463" s="54"/>
      <c r="LBT2463" s="54"/>
      <c r="LBU2463" s="63"/>
      <c r="LBV2463" s="60"/>
      <c r="LBW2463" s="60"/>
      <c r="LBX2463" s="60"/>
      <c r="LBY2463" s="63"/>
      <c r="LBZ2463" s="61"/>
      <c r="LCA2463" s="54"/>
      <c r="LCB2463" s="54"/>
      <c r="LCC2463" s="63"/>
      <c r="LCD2463" s="60"/>
      <c r="LCE2463" s="60"/>
      <c r="LCF2463" s="60"/>
      <c r="LCG2463" s="63"/>
      <c r="LCH2463" s="61"/>
      <c r="LCI2463" s="54"/>
      <c r="LCJ2463" s="54"/>
      <c r="LCK2463" s="63"/>
      <c r="LCL2463" s="60"/>
      <c r="LCM2463" s="60"/>
      <c r="LCN2463" s="60"/>
      <c r="LCO2463" s="63"/>
      <c r="LCP2463" s="61"/>
      <c r="LCQ2463" s="54"/>
      <c r="LCR2463" s="54"/>
      <c r="LCS2463" s="63"/>
      <c r="LCT2463" s="60"/>
      <c r="LCU2463" s="60"/>
      <c r="LCV2463" s="60"/>
      <c r="LCW2463" s="63"/>
      <c r="LCX2463" s="61"/>
      <c r="LCY2463" s="54"/>
      <c r="LCZ2463" s="54"/>
      <c r="LDA2463" s="63"/>
      <c r="LDB2463" s="60"/>
      <c r="LDC2463" s="60"/>
      <c r="LDD2463" s="60"/>
      <c r="LDE2463" s="63"/>
      <c r="LDF2463" s="61"/>
      <c r="LDG2463" s="54"/>
      <c r="LDH2463" s="54"/>
      <c r="LDI2463" s="63"/>
      <c r="LDJ2463" s="60"/>
      <c r="LDK2463" s="60"/>
      <c r="LDL2463" s="60"/>
      <c r="LDM2463" s="63"/>
      <c r="LDN2463" s="61"/>
      <c r="LDO2463" s="54"/>
      <c r="LDP2463" s="54"/>
      <c r="LDQ2463" s="63"/>
      <c r="LDR2463" s="60"/>
      <c r="LDS2463" s="60"/>
      <c r="LDT2463" s="60"/>
      <c r="LDU2463" s="63"/>
      <c r="LDV2463" s="61"/>
      <c r="LDW2463" s="54"/>
      <c r="LDX2463" s="54"/>
      <c r="LDY2463" s="63"/>
      <c r="LDZ2463" s="60"/>
      <c r="LEA2463" s="60"/>
      <c r="LEB2463" s="60"/>
      <c r="LEC2463" s="63"/>
      <c r="LED2463" s="61"/>
      <c r="LEE2463" s="54"/>
      <c r="LEF2463" s="54"/>
      <c r="LEG2463" s="63"/>
      <c r="LEH2463" s="60"/>
      <c r="LEI2463" s="60"/>
      <c r="LEJ2463" s="60"/>
      <c r="LEK2463" s="63"/>
      <c r="LEL2463" s="61"/>
      <c r="LEM2463" s="54"/>
      <c r="LEN2463" s="54"/>
      <c r="LEO2463" s="63"/>
      <c r="LEP2463" s="60"/>
      <c r="LEQ2463" s="60"/>
      <c r="LER2463" s="60"/>
      <c r="LES2463" s="63"/>
      <c r="LET2463" s="61"/>
      <c r="LEU2463" s="54"/>
      <c r="LEV2463" s="54"/>
      <c r="LEW2463" s="63"/>
      <c r="LEX2463" s="60"/>
      <c r="LEY2463" s="60"/>
      <c r="LEZ2463" s="60"/>
      <c r="LFA2463" s="63"/>
      <c r="LFB2463" s="61"/>
      <c r="LFC2463" s="54"/>
      <c r="LFD2463" s="54"/>
      <c r="LFE2463" s="63"/>
      <c r="LFF2463" s="60"/>
      <c r="LFG2463" s="60"/>
      <c r="LFH2463" s="60"/>
      <c r="LFI2463" s="63"/>
      <c r="LFJ2463" s="61"/>
      <c r="LFK2463" s="54"/>
      <c r="LFL2463" s="54"/>
      <c r="LFM2463" s="63"/>
      <c r="LFN2463" s="60"/>
      <c r="LFO2463" s="60"/>
      <c r="LFP2463" s="60"/>
      <c r="LFQ2463" s="63"/>
      <c r="LFR2463" s="61"/>
      <c r="LFS2463" s="54"/>
      <c r="LFT2463" s="54"/>
      <c r="LFU2463" s="63"/>
      <c r="LFV2463" s="60"/>
      <c r="LFW2463" s="60"/>
      <c r="LFX2463" s="60"/>
      <c r="LFY2463" s="63"/>
      <c r="LFZ2463" s="61"/>
      <c r="LGA2463" s="54"/>
      <c r="LGB2463" s="54"/>
      <c r="LGC2463" s="63"/>
      <c r="LGD2463" s="60"/>
      <c r="LGE2463" s="60"/>
      <c r="LGF2463" s="60"/>
      <c r="LGG2463" s="63"/>
      <c r="LGH2463" s="61"/>
      <c r="LGI2463" s="54"/>
      <c r="LGJ2463" s="54"/>
      <c r="LGK2463" s="63"/>
      <c r="LGL2463" s="60"/>
      <c r="LGM2463" s="60"/>
      <c r="LGN2463" s="60"/>
      <c r="LGO2463" s="63"/>
      <c r="LGP2463" s="61"/>
      <c r="LGQ2463" s="54"/>
      <c r="LGR2463" s="54"/>
      <c r="LGS2463" s="63"/>
      <c r="LGT2463" s="60"/>
      <c r="LGU2463" s="60"/>
      <c r="LGV2463" s="60"/>
      <c r="LGW2463" s="63"/>
      <c r="LGX2463" s="61"/>
      <c r="LGY2463" s="54"/>
      <c r="LGZ2463" s="54"/>
      <c r="LHA2463" s="63"/>
      <c r="LHB2463" s="60"/>
      <c r="LHC2463" s="60"/>
      <c r="LHD2463" s="60"/>
      <c r="LHE2463" s="63"/>
      <c r="LHF2463" s="61"/>
      <c r="LHG2463" s="54"/>
      <c r="LHH2463" s="54"/>
      <c r="LHI2463" s="63"/>
      <c r="LHJ2463" s="60"/>
      <c r="LHK2463" s="60"/>
      <c r="LHL2463" s="60"/>
      <c r="LHM2463" s="63"/>
      <c r="LHN2463" s="61"/>
      <c r="LHO2463" s="54"/>
      <c r="LHP2463" s="54"/>
      <c r="LHQ2463" s="63"/>
      <c r="LHR2463" s="60"/>
      <c r="LHS2463" s="60"/>
      <c r="LHT2463" s="60"/>
      <c r="LHU2463" s="63"/>
      <c r="LHV2463" s="61"/>
      <c r="LHW2463" s="54"/>
      <c r="LHX2463" s="54"/>
      <c r="LHY2463" s="63"/>
      <c r="LHZ2463" s="60"/>
      <c r="LIA2463" s="60"/>
      <c r="LIB2463" s="60"/>
      <c r="LIC2463" s="63"/>
      <c r="LID2463" s="61"/>
      <c r="LIE2463" s="54"/>
      <c r="LIF2463" s="54"/>
      <c r="LIG2463" s="63"/>
      <c r="LIH2463" s="60"/>
      <c r="LII2463" s="60"/>
      <c r="LIJ2463" s="60"/>
      <c r="LIK2463" s="63"/>
      <c r="LIL2463" s="61"/>
      <c r="LIM2463" s="54"/>
      <c r="LIN2463" s="54"/>
      <c r="LIO2463" s="63"/>
      <c r="LIP2463" s="60"/>
      <c r="LIQ2463" s="60"/>
      <c r="LIR2463" s="60"/>
      <c r="LIS2463" s="63"/>
      <c r="LIT2463" s="61"/>
      <c r="LIU2463" s="54"/>
      <c r="LIV2463" s="54"/>
      <c r="LIW2463" s="63"/>
      <c r="LIX2463" s="60"/>
      <c r="LIY2463" s="60"/>
      <c r="LIZ2463" s="60"/>
      <c r="LJA2463" s="63"/>
      <c r="LJB2463" s="61"/>
      <c r="LJC2463" s="54"/>
      <c r="LJD2463" s="54"/>
      <c r="LJE2463" s="63"/>
      <c r="LJF2463" s="60"/>
      <c r="LJG2463" s="60"/>
      <c r="LJH2463" s="60"/>
      <c r="LJI2463" s="63"/>
      <c r="LJJ2463" s="61"/>
      <c r="LJK2463" s="54"/>
      <c r="LJL2463" s="54"/>
      <c r="LJM2463" s="63"/>
      <c r="LJN2463" s="60"/>
      <c r="LJO2463" s="60"/>
      <c r="LJP2463" s="60"/>
      <c r="LJQ2463" s="63"/>
      <c r="LJR2463" s="61"/>
      <c r="LJS2463" s="54"/>
      <c r="LJT2463" s="54"/>
      <c r="LJU2463" s="63"/>
      <c r="LJV2463" s="60"/>
      <c r="LJW2463" s="60"/>
      <c r="LJX2463" s="60"/>
      <c r="LJY2463" s="63"/>
      <c r="LJZ2463" s="61"/>
      <c r="LKA2463" s="54"/>
      <c r="LKB2463" s="54"/>
      <c r="LKC2463" s="63"/>
      <c r="LKD2463" s="60"/>
      <c r="LKE2463" s="60"/>
      <c r="LKF2463" s="60"/>
      <c r="LKG2463" s="63"/>
      <c r="LKH2463" s="61"/>
      <c r="LKI2463" s="54"/>
      <c r="LKJ2463" s="54"/>
      <c r="LKK2463" s="63"/>
      <c r="LKL2463" s="60"/>
      <c r="LKM2463" s="60"/>
      <c r="LKN2463" s="60"/>
      <c r="LKO2463" s="63"/>
      <c r="LKP2463" s="61"/>
      <c r="LKQ2463" s="54"/>
      <c r="LKR2463" s="54"/>
      <c r="LKS2463" s="63"/>
      <c r="LKT2463" s="60"/>
      <c r="LKU2463" s="60"/>
      <c r="LKV2463" s="60"/>
      <c r="LKW2463" s="63"/>
      <c r="LKX2463" s="61"/>
      <c r="LKY2463" s="54"/>
      <c r="LKZ2463" s="54"/>
      <c r="LLA2463" s="63"/>
      <c r="LLB2463" s="60"/>
      <c r="LLC2463" s="60"/>
      <c r="LLD2463" s="60"/>
      <c r="LLE2463" s="63"/>
      <c r="LLF2463" s="61"/>
      <c r="LLG2463" s="54"/>
      <c r="LLH2463" s="54"/>
      <c r="LLI2463" s="63"/>
      <c r="LLJ2463" s="60"/>
      <c r="LLK2463" s="60"/>
      <c r="LLL2463" s="60"/>
      <c r="LLM2463" s="63"/>
      <c r="LLN2463" s="61"/>
      <c r="LLO2463" s="54"/>
      <c r="LLP2463" s="54"/>
      <c r="LLQ2463" s="63"/>
      <c r="LLR2463" s="60"/>
      <c r="LLS2463" s="60"/>
      <c r="LLT2463" s="60"/>
      <c r="LLU2463" s="63"/>
      <c r="LLV2463" s="61"/>
      <c r="LLW2463" s="54"/>
      <c r="LLX2463" s="54"/>
      <c r="LLY2463" s="63"/>
      <c r="LLZ2463" s="60"/>
      <c r="LMA2463" s="60"/>
      <c r="LMB2463" s="60"/>
      <c r="LMC2463" s="63"/>
      <c r="LMD2463" s="61"/>
      <c r="LME2463" s="54"/>
      <c r="LMF2463" s="54"/>
      <c r="LMG2463" s="63"/>
      <c r="LMH2463" s="60"/>
      <c r="LMI2463" s="60"/>
      <c r="LMJ2463" s="60"/>
      <c r="LMK2463" s="63"/>
      <c r="LML2463" s="61"/>
      <c r="LMM2463" s="54"/>
      <c r="LMN2463" s="54"/>
      <c r="LMO2463" s="63"/>
      <c r="LMP2463" s="60"/>
      <c r="LMQ2463" s="60"/>
      <c r="LMR2463" s="60"/>
      <c r="LMS2463" s="63"/>
      <c r="LMT2463" s="61"/>
      <c r="LMU2463" s="54"/>
      <c r="LMV2463" s="54"/>
      <c r="LMW2463" s="63"/>
      <c r="LMX2463" s="60"/>
      <c r="LMY2463" s="60"/>
      <c r="LMZ2463" s="60"/>
      <c r="LNA2463" s="63"/>
      <c r="LNB2463" s="61"/>
      <c r="LNC2463" s="54"/>
      <c r="LND2463" s="54"/>
      <c r="LNE2463" s="63"/>
      <c r="LNF2463" s="60"/>
      <c r="LNG2463" s="60"/>
      <c r="LNH2463" s="60"/>
      <c r="LNI2463" s="63"/>
      <c r="LNJ2463" s="61"/>
      <c r="LNK2463" s="54"/>
      <c r="LNL2463" s="54"/>
      <c r="LNM2463" s="63"/>
      <c r="LNN2463" s="60"/>
      <c r="LNO2463" s="60"/>
      <c r="LNP2463" s="60"/>
      <c r="LNQ2463" s="63"/>
      <c r="LNR2463" s="61"/>
      <c r="LNS2463" s="54"/>
      <c r="LNT2463" s="54"/>
      <c r="LNU2463" s="63"/>
      <c r="LNV2463" s="60"/>
      <c r="LNW2463" s="60"/>
      <c r="LNX2463" s="60"/>
      <c r="LNY2463" s="63"/>
      <c r="LNZ2463" s="61"/>
      <c r="LOA2463" s="54"/>
      <c r="LOB2463" s="54"/>
      <c r="LOC2463" s="63"/>
      <c r="LOD2463" s="60"/>
      <c r="LOE2463" s="60"/>
      <c r="LOF2463" s="60"/>
      <c r="LOG2463" s="63"/>
      <c r="LOH2463" s="61"/>
      <c r="LOI2463" s="54"/>
      <c r="LOJ2463" s="54"/>
      <c r="LOK2463" s="63"/>
      <c r="LOL2463" s="60"/>
      <c r="LOM2463" s="60"/>
      <c r="LON2463" s="60"/>
      <c r="LOO2463" s="63"/>
      <c r="LOP2463" s="61"/>
      <c r="LOQ2463" s="54"/>
      <c r="LOR2463" s="54"/>
      <c r="LOS2463" s="63"/>
      <c r="LOT2463" s="60"/>
      <c r="LOU2463" s="60"/>
      <c r="LOV2463" s="60"/>
      <c r="LOW2463" s="63"/>
      <c r="LOX2463" s="61"/>
      <c r="LOY2463" s="54"/>
      <c r="LOZ2463" s="54"/>
      <c r="LPA2463" s="63"/>
      <c r="LPB2463" s="60"/>
      <c r="LPC2463" s="60"/>
      <c r="LPD2463" s="60"/>
      <c r="LPE2463" s="63"/>
      <c r="LPF2463" s="61"/>
      <c r="LPG2463" s="54"/>
      <c r="LPH2463" s="54"/>
      <c r="LPI2463" s="63"/>
      <c r="LPJ2463" s="60"/>
      <c r="LPK2463" s="60"/>
      <c r="LPL2463" s="60"/>
      <c r="LPM2463" s="63"/>
      <c r="LPN2463" s="61"/>
      <c r="LPO2463" s="54"/>
      <c r="LPP2463" s="54"/>
      <c r="LPQ2463" s="63"/>
      <c r="LPR2463" s="60"/>
      <c r="LPS2463" s="60"/>
      <c r="LPT2463" s="60"/>
      <c r="LPU2463" s="63"/>
      <c r="LPV2463" s="61"/>
      <c r="LPW2463" s="54"/>
      <c r="LPX2463" s="54"/>
      <c r="LPY2463" s="63"/>
      <c r="LPZ2463" s="60"/>
      <c r="LQA2463" s="60"/>
      <c r="LQB2463" s="60"/>
      <c r="LQC2463" s="63"/>
      <c r="LQD2463" s="61"/>
      <c r="LQE2463" s="54"/>
      <c r="LQF2463" s="54"/>
      <c r="LQG2463" s="63"/>
      <c r="LQH2463" s="60"/>
      <c r="LQI2463" s="60"/>
      <c r="LQJ2463" s="60"/>
      <c r="LQK2463" s="63"/>
      <c r="LQL2463" s="61"/>
      <c r="LQM2463" s="54"/>
      <c r="LQN2463" s="54"/>
      <c r="LQO2463" s="63"/>
      <c r="LQP2463" s="60"/>
      <c r="LQQ2463" s="60"/>
      <c r="LQR2463" s="60"/>
      <c r="LQS2463" s="63"/>
      <c r="LQT2463" s="61"/>
      <c r="LQU2463" s="54"/>
      <c r="LQV2463" s="54"/>
      <c r="LQW2463" s="63"/>
      <c r="LQX2463" s="60"/>
      <c r="LQY2463" s="60"/>
      <c r="LQZ2463" s="60"/>
      <c r="LRA2463" s="63"/>
      <c r="LRB2463" s="61"/>
      <c r="LRC2463" s="54"/>
      <c r="LRD2463" s="54"/>
      <c r="LRE2463" s="63"/>
      <c r="LRF2463" s="60"/>
      <c r="LRG2463" s="60"/>
      <c r="LRH2463" s="60"/>
      <c r="LRI2463" s="63"/>
      <c r="LRJ2463" s="61"/>
      <c r="LRK2463" s="54"/>
      <c r="LRL2463" s="54"/>
      <c r="LRM2463" s="63"/>
      <c r="LRN2463" s="60"/>
      <c r="LRO2463" s="60"/>
      <c r="LRP2463" s="60"/>
      <c r="LRQ2463" s="63"/>
      <c r="LRR2463" s="61"/>
      <c r="LRS2463" s="54"/>
      <c r="LRT2463" s="54"/>
      <c r="LRU2463" s="63"/>
      <c r="LRV2463" s="60"/>
      <c r="LRW2463" s="60"/>
      <c r="LRX2463" s="60"/>
      <c r="LRY2463" s="63"/>
      <c r="LRZ2463" s="61"/>
      <c r="LSA2463" s="54"/>
      <c r="LSB2463" s="54"/>
      <c r="LSC2463" s="63"/>
      <c r="LSD2463" s="60"/>
      <c r="LSE2463" s="60"/>
      <c r="LSF2463" s="60"/>
      <c r="LSG2463" s="63"/>
      <c r="LSH2463" s="61"/>
      <c r="LSI2463" s="54"/>
      <c r="LSJ2463" s="54"/>
      <c r="LSK2463" s="63"/>
      <c r="LSL2463" s="60"/>
      <c r="LSM2463" s="60"/>
      <c r="LSN2463" s="60"/>
      <c r="LSO2463" s="63"/>
      <c r="LSP2463" s="61"/>
      <c r="LSQ2463" s="54"/>
      <c r="LSR2463" s="54"/>
      <c r="LSS2463" s="63"/>
      <c r="LST2463" s="60"/>
      <c r="LSU2463" s="60"/>
      <c r="LSV2463" s="60"/>
      <c r="LSW2463" s="63"/>
      <c r="LSX2463" s="61"/>
      <c r="LSY2463" s="54"/>
      <c r="LSZ2463" s="54"/>
      <c r="LTA2463" s="63"/>
      <c r="LTB2463" s="60"/>
      <c r="LTC2463" s="60"/>
      <c r="LTD2463" s="60"/>
      <c r="LTE2463" s="63"/>
      <c r="LTF2463" s="61"/>
      <c r="LTG2463" s="54"/>
      <c r="LTH2463" s="54"/>
      <c r="LTI2463" s="63"/>
      <c r="LTJ2463" s="60"/>
      <c r="LTK2463" s="60"/>
      <c r="LTL2463" s="60"/>
      <c r="LTM2463" s="63"/>
      <c r="LTN2463" s="61"/>
      <c r="LTO2463" s="54"/>
      <c r="LTP2463" s="54"/>
      <c r="LTQ2463" s="63"/>
      <c r="LTR2463" s="60"/>
      <c r="LTS2463" s="60"/>
      <c r="LTT2463" s="60"/>
      <c r="LTU2463" s="63"/>
      <c r="LTV2463" s="61"/>
      <c r="LTW2463" s="54"/>
      <c r="LTX2463" s="54"/>
      <c r="LTY2463" s="63"/>
      <c r="LTZ2463" s="60"/>
      <c r="LUA2463" s="60"/>
      <c r="LUB2463" s="60"/>
      <c r="LUC2463" s="63"/>
      <c r="LUD2463" s="61"/>
      <c r="LUE2463" s="54"/>
      <c r="LUF2463" s="54"/>
      <c r="LUG2463" s="63"/>
      <c r="LUH2463" s="60"/>
      <c r="LUI2463" s="60"/>
      <c r="LUJ2463" s="60"/>
      <c r="LUK2463" s="63"/>
      <c r="LUL2463" s="61"/>
      <c r="LUM2463" s="54"/>
      <c r="LUN2463" s="54"/>
      <c r="LUO2463" s="63"/>
      <c r="LUP2463" s="60"/>
      <c r="LUQ2463" s="60"/>
      <c r="LUR2463" s="60"/>
      <c r="LUS2463" s="63"/>
      <c r="LUT2463" s="61"/>
      <c r="LUU2463" s="54"/>
      <c r="LUV2463" s="54"/>
      <c r="LUW2463" s="63"/>
      <c r="LUX2463" s="60"/>
      <c r="LUY2463" s="60"/>
      <c r="LUZ2463" s="60"/>
      <c r="LVA2463" s="63"/>
      <c r="LVB2463" s="61"/>
      <c r="LVC2463" s="54"/>
      <c r="LVD2463" s="54"/>
      <c r="LVE2463" s="63"/>
      <c r="LVF2463" s="60"/>
      <c r="LVG2463" s="60"/>
      <c r="LVH2463" s="60"/>
      <c r="LVI2463" s="63"/>
      <c r="LVJ2463" s="61"/>
      <c r="LVK2463" s="54"/>
      <c r="LVL2463" s="54"/>
      <c r="LVM2463" s="63"/>
      <c r="LVN2463" s="60"/>
      <c r="LVO2463" s="60"/>
      <c r="LVP2463" s="60"/>
      <c r="LVQ2463" s="63"/>
      <c r="LVR2463" s="61"/>
      <c r="LVS2463" s="54"/>
      <c r="LVT2463" s="54"/>
      <c r="LVU2463" s="63"/>
      <c r="LVV2463" s="60"/>
      <c r="LVW2463" s="60"/>
      <c r="LVX2463" s="60"/>
      <c r="LVY2463" s="63"/>
      <c r="LVZ2463" s="61"/>
      <c r="LWA2463" s="54"/>
      <c r="LWB2463" s="54"/>
      <c r="LWC2463" s="63"/>
      <c r="LWD2463" s="60"/>
      <c r="LWE2463" s="60"/>
      <c r="LWF2463" s="60"/>
      <c r="LWG2463" s="63"/>
      <c r="LWH2463" s="61"/>
      <c r="LWI2463" s="54"/>
      <c r="LWJ2463" s="54"/>
      <c r="LWK2463" s="63"/>
      <c r="LWL2463" s="60"/>
      <c r="LWM2463" s="60"/>
      <c r="LWN2463" s="60"/>
      <c r="LWO2463" s="63"/>
      <c r="LWP2463" s="61"/>
      <c r="LWQ2463" s="54"/>
      <c r="LWR2463" s="54"/>
      <c r="LWS2463" s="63"/>
      <c r="LWT2463" s="60"/>
      <c r="LWU2463" s="60"/>
      <c r="LWV2463" s="60"/>
      <c r="LWW2463" s="63"/>
      <c r="LWX2463" s="61"/>
      <c r="LWY2463" s="54"/>
      <c r="LWZ2463" s="54"/>
      <c r="LXA2463" s="63"/>
      <c r="LXB2463" s="60"/>
      <c r="LXC2463" s="60"/>
      <c r="LXD2463" s="60"/>
      <c r="LXE2463" s="63"/>
      <c r="LXF2463" s="61"/>
      <c r="LXG2463" s="54"/>
      <c r="LXH2463" s="54"/>
      <c r="LXI2463" s="63"/>
      <c r="LXJ2463" s="60"/>
      <c r="LXK2463" s="60"/>
      <c r="LXL2463" s="60"/>
      <c r="LXM2463" s="63"/>
      <c r="LXN2463" s="61"/>
      <c r="LXO2463" s="54"/>
      <c r="LXP2463" s="54"/>
      <c r="LXQ2463" s="63"/>
      <c r="LXR2463" s="60"/>
      <c r="LXS2463" s="60"/>
      <c r="LXT2463" s="60"/>
      <c r="LXU2463" s="63"/>
      <c r="LXV2463" s="61"/>
      <c r="LXW2463" s="54"/>
      <c r="LXX2463" s="54"/>
      <c r="LXY2463" s="63"/>
      <c r="LXZ2463" s="60"/>
      <c r="LYA2463" s="60"/>
      <c r="LYB2463" s="60"/>
      <c r="LYC2463" s="63"/>
      <c r="LYD2463" s="61"/>
      <c r="LYE2463" s="54"/>
      <c r="LYF2463" s="54"/>
      <c r="LYG2463" s="63"/>
      <c r="LYH2463" s="60"/>
      <c r="LYI2463" s="60"/>
      <c r="LYJ2463" s="60"/>
      <c r="LYK2463" s="63"/>
      <c r="LYL2463" s="61"/>
      <c r="LYM2463" s="54"/>
      <c r="LYN2463" s="54"/>
      <c r="LYO2463" s="63"/>
      <c r="LYP2463" s="60"/>
      <c r="LYQ2463" s="60"/>
      <c r="LYR2463" s="60"/>
      <c r="LYS2463" s="63"/>
      <c r="LYT2463" s="61"/>
      <c r="LYU2463" s="54"/>
      <c r="LYV2463" s="54"/>
      <c r="LYW2463" s="63"/>
      <c r="LYX2463" s="60"/>
      <c r="LYY2463" s="60"/>
      <c r="LYZ2463" s="60"/>
      <c r="LZA2463" s="63"/>
      <c r="LZB2463" s="61"/>
      <c r="LZC2463" s="54"/>
      <c r="LZD2463" s="54"/>
      <c r="LZE2463" s="63"/>
      <c r="LZF2463" s="60"/>
      <c r="LZG2463" s="60"/>
      <c r="LZH2463" s="60"/>
      <c r="LZI2463" s="63"/>
      <c r="LZJ2463" s="61"/>
      <c r="LZK2463" s="54"/>
      <c r="LZL2463" s="54"/>
      <c r="LZM2463" s="63"/>
      <c r="LZN2463" s="60"/>
      <c r="LZO2463" s="60"/>
      <c r="LZP2463" s="60"/>
      <c r="LZQ2463" s="63"/>
      <c r="LZR2463" s="61"/>
      <c r="LZS2463" s="54"/>
      <c r="LZT2463" s="54"/>
      <c r="LZU2463" s="63"/>
      <c r="LZV2463" s="60"/>
      <c r="LZW2463" s="60"/>
      <c r="LZX2463" s="60"/>
      <c r="LZY2463" s="63"/>
      <c r="LZZ2463" s="61"/>
      <c r="MAA2463" s="54"/>
      <c r="MAB2463" s="54"/>
      <c r="MAC2463" s="63"/>
      <c r="MAD2463" s="60"/>
      <c r="MAE2463" s="60"/>
      <c r="MAF2463" s="60"/>
      <c r="MAG2463" s="63"/>
      <c r="MAH2463" s="61"/>
      <c r="MAI2463" s="54"/>
      <c r="MAJ2463" s="54"/>
      <c r="MAK2463" s="63"/>
      <c r="MAL2463" s="60"/>
      <c r="MAM2463" s="60"/>
      <c r="MAN2463" s="60"/>
      <c r="MAO2463" s="63"/>
      <c r="MAP2463" s="61"/>
      <c r="MAQ2463" s="54"/>
      <c r="MAR2463" s="54"/>
      <c r="MAS2463" s="63"/>
      <c r="MAT2463" s="60"/>
      <c r="MAU2463" s="60"/>
      <c r="MAV2463" s="60"/>
      <c r="MAW2463" s="63"/>
      <c r="MAX2463" s="61"/>
      <c r="MAY2463" s="54"/>
      <c r="MAZ2463" s="54"/>
      <c r="MBA2463" s="63"/>
      <c r="MBB2463" s="60"/>
      <c r="MBC2463" s="60"/>
      <c r="MBD2463" s="60"/>
      <c r="MBE2463" s="63"/>
      <c r="MBF2463" s="61"/>
      <c r="MBG2463" s="54"/>
      <c r="MBH2463" s="54"/>
      <c r="MBI2463" s="63"/>
      <c r="MBJ2463" s="60"/>
      <c r="MBK2463" s="60"/>
      <c r="MBL2463" s="60"/>
      <c r="MBM2463" s="63"/>
      <c r="MBN2463" s="61"/>
      <c r="MBO2463" s="54"/>
      <c r="MBP2463" s="54"/>
      <c r="MBQ2463" s="63"/>
      <c r="MBR2463" s="60"/>
      <c r="MBS2463" s="60"/>
      <c r="MBT2463" s="60"/>
      <c r="MBU2463" s="63"/>
      <c r="MBV2463" s="61"/>
      <c r="MBW2463" s="54"/>
      <c r="MBX2463" s="54"/>
      <c r="MBY2463" s="63"/>
      <c r="MBZ2463" s="60"/>
      <c r="MCA2463" s="60"/>
      <c r="MCB2463" s="60"/>
      <c r="MCC2463" s="63"/>
      <c r="MCD2463" s="61"/>
      <c r="MCE2463" s="54"/>
      <c r="MCF2463" s="54"/>
      <c r="MCG2463" s="63"/>
      <c r="MCH2463" s="60"/>
      <c r="MCI2463" s="60"/>
      <c r="MCJ2463" s="60"/>
      <c r="MCK2463" s="63"/>
      <c r="MCL2463" s="61"/>
      <c r="MCM2463" s="54"/>
      <c r="MCN2463" s="54"/>
      <c r="MCO2463" s="63"/>
      <c r="MCP2463" s="60"/>
      <c r="MCQ2463" s="60"/>
      <c r="MCR2463" s="60"/>
      <c r="MCS2463" s="63"/>
      <c r="MCT2463" s="61"/>
      <c r="MCU2463" s="54"/>
      <c r="MCV2463" s="54"/>
      <c r="MCW2463" s="63"/>
      <c r="MCX2463" s="60"/>
      <c r="MCY2463" s="60"/>
      <c r="MCZ2463" s="60"/>
      <c r="MDA2463" s="63"/>
      <c r="MDB2463" s="61"/>
      <c r="MDC2463" s="54"/>
      <c r="MDD2463" s="54"/>
      <c r="MDE2463" s="63"/>
      <c r="MDF2463" s="60"/>
      <c r="MDG2463" s="60"/>
      <c r="MDH2463" s="60"/>
      <c r="MDI2463" s="63"/>
      <c r="MDJ2463" s="61"/>
      <c r="MDK2463" s="54"/>
      <c r="MDL2463" s="54"/>
      <c r="MDM2463" s="63"/>
      <c r="MDN2463" s="60"/>
      <c r="MDO2463" s="60"/>
      <c r="MDP2463" s="60"/>
      <c r="MDQ2463" s="63"/>
      <c r="MDR2463" s="61"/>
      <c r="MDS2463" s="54"/>
      <c r="MDT2463" s="54"/>
      <c r="MDU2463" s="63"/>
      <c r="MDV2463" s="60"/>
      <c r="MDW2463" s="60"/>
      <c r="MDX2463" s="60"/>
      <c r="MDY2463" s="63"/>
      <c r="MDZ2463" s="61"/>
      <c r="MEA2463" s="54"/>
      <c r="MEB2463" s="54"/>
      <c r="MEC2463" s="63"/>
      <c r="MED2463" s="60"/>
      <c r="MEE2463" s="60"/>
      <c r="MEF2463" s="60"/>
      <c r="MEG2463" s="63"/>
      <c r="MEH2463" s="61"/>
      <c r="MEI2463" s="54"/>
      <c r="MEJ2463" s="54"/>
      <c r="MEK2463" s="63"/>
      <c r="MEL2463" s="60"/>
      <c r="MEM2463" s="60"/>
      <c r="MEN2463" s="60"/>
      <c r="MEO2463" s="63"/>
      <c r="MEP2463" s="61"/>
      <c r="MEQ2463" s="54"/>
      <c r="MER2463" s="54"/>
      <c r="MES2463" s="63"/>
      <c r="MET2463" s="60"/>
      <c r="MEU2463" s="60"/>
      <c r="MEV2463" s="60"/>
      <c r="MEW2463" s="63"/>
      <c r="MEX2463" s="61"/>
      <c r="MEY2463" s="54"/>
      <c r="MEZ2463" s="54"/>
      <c r="MFA2463" s="63"/>
      <c r="MFB2463" s="60"/>
      <c r="MFC2463" s="60"/>
      <c r="MFD2463" s="60"/>
      <c r="MFE2463" s="63"/>
      <c r="MFF2463" s="61"/>
      <c r="MFG2463" s="54"/>
      <c r="MFH2463" s="54"/>
      <c r="MFI2463" s="63"/>
      <c r="MFJ2463" s="60"/>
      <c r="MFK2463" s="60"/>
      <c r="MFL2463" s="60"/>
      <c r="MFM2463" s="63"/>
      <c r="MFN2463" s="61"/>
      <c r="MFO2463" s="54"/>
      <c r="MFP2463" s="54"/>
      <c r="MFQ2463" s="63"/>
      <c r="MFR2463" s="60"/>
      <c r="MFS2463" s="60"/>
      <c r="MFT2463" s="60"/>
      <c r="MFU2463" s="63"/>
      <c r="MFV2463" s="61"/>
      <c r="MFW2463" s="54"/>
      <c r="MFX2463" s="54"/>
      <c r="MFY2463" s="63"/>
      <c r="MFZ2463" s="60"/>
      <c r="MGA2463" s="60"/>
      <c r="MGB2463" s="60"/>
      <c r="MGC2463" s="63"/>
      <c r="MGD2463" s="61"/>
      <c r="MGE2463" s="54"/>
      <c r="MGF2463" s="54"/>
      <c r="MGG2463" s="63"/>
      <c r="MGH2463" s="60"/>
      <c r="MGI2463" s="60"/>
      <c r="MGJ2463" s="60"/>
      <c r="MGK2463" s="63"/>
      <c r="MGL2463" s="61"/>
      <c r="MGM2463" s="54"/>
      <c r="MGN2463" s="54"/>
      <c r="MGO2463" s="63"/>
      <c r="MGP2463" s="60"/>
      <c r="MGQ2463" s="60"/>
      <c r="MGR2463" s="60"/>
      <c r="MGS2463" s="63"/>
      <c r="MGT2463" s="61"/>
      <c r="MGU2463" s="54"/>
      <c r="MGV2463" s="54"/>
      <c r="MGW2463" s="63"/>
      <c r="MGX2463" s="60"/>
      <c r="MGY2463" s="60"/>
      <c r="MGZ2463" s="60"/>
      <c r="MHA2463" s="63"/>
      <c r="MHB2463" s="61"/>
      <c r="MHC2463" s="54"/>
      <c r="MHD2463" s="54"/>
      <c r="MHE2463" s="63"/>
      <c r="MHF2463" s="60"/>
      <c r="MHG2463" s="60"/>
      <c r="MHH2463" s="60"/>
      <c r="MHI2463" s="63"/>
      <c r="MHJ2463" s="61"/>
      <c r="MHK2463" s="54"/>
      <c r="MHL2463" s="54"/>
      <c r="MHM2463" s="63"/>
      <c r="MHN2463" s="60"/>
      <c r="MHO2463" s="60"/>
      <c r="MHP2463" s="60"/>
      <c r="MHQ2463" s="63"/>
      <c r="MHR2463" s="61"/>
      <c r="MHS2463" s="54"/>
      <c r="MHT2463" s="54"/>
      <c r="MHU2463" s="63"/>
      <c r="MHV2463" s="60"/>
      <c r="MHW2463" s="60"/>
      <c r="MHX2463" s="60"/>
      <c r="MHY2463" s="63"/>
      <c r="MHZ2463" s="61"/>
      <c r="MIA2463" s="54"/>
      <c r="MIB2463" s="54"/>
      <c r="MIC2463" s="63"/>
      <c r="MID2463" s="60"/>
      <c r="MIE2463" s="60"/>
      <c r="MIF2463" s="60"/>
      <c r="MIG2463" s="63"/>
      <c r="MIH2463" s="61"/>
      <c r="MII2463" s="54"/>
      <c r="MIJ2463" s="54"/>
      <c r="MIK2463" s="63"/>
      <c r="MIL2463" s="60"/>
      <c r="MIM2463" s="60"/>
      <c r="MIN2463" s="60"/>
      <c r="MIO2463" s="63"/>
      <c r="MIP2463" s="61"/>
      <c r="MIQ2463" s="54"/>
      <c r="MIR2463" s="54"/>
      <c r="MIS2463" s="63"/>
      <c r="MIT2463" s="60"/>
      <c r="MIU2463" s="60"/>
      <c r="MIV2463" s="60"/>
      <c r="MIW2463" s="63"/>
      <c r="MIX2463" s="61"/>
      <c r="MIY2463" s="54"/>
      <c r="MIZ2463" s="54"/>
      <c r="MJA2463" s="63"/>
      <c r="MJB2463" s="60"/>
      <c r="MJC2463" s="60"/>
      <c r="MJD2463" s="60"/>
      <c r="MJE2463" s="63"/>
      <c r="MJF2463" s="61"/>
      <c r="MJG2463" s="54"/>
      <c r="MJH2463" s="54"/>
      <c r="MJI2463" s="63"/>
      <c r="MJJ2463" s="60"/>
      <c r="MJK2463" s="60"/>
      <c r="MJL2463" s="60"/>
      <c r="MJM2463" s="63"/>
      <c r="MJN2463" s="61"/>
      <c r="MJO2463" s="54"/>
      <c r="MJP2463" s="54"/>
      <c r="MJQ2463" s="63"/>
      <c r="MJR2463" s="60"/>
      <c r="MJS2463" s="60"/>
      <c r="MJT2463" s="60"/>
      <c r="MJU2463" s="63"/>
      <c r="MJV2463" s="61"/>
      <c r="MJW2463" s="54"/>
      <c r="MJX2463" s="54"/>
      <c r="MJY2463" s="63"/>
      <c r="MJZ2463" s="60"/>
      <c r="MKA2463" s="60"/>
      <c r="MKB2463" s="60"/>
      <c r="MKC2463" s="63"/>
      <c r="MKD2463" s="61"/>
      <c r="MKE2463" s="54"/>
      <c r="MKF2463" s="54"/>
      <c r="MKG2463" s="63"/>
      <c r="MKH2463" s="60"/>
      <c r="MKI2463" s="60"/>
      <c r="MKJ2463" s="60"/>
      <c r="MKK2463" s="63"/>
      <c r="MKL2463" s="61"/>
      <c r="MKM2463" s="54"/>
      <c r="MKN2463" s="54"/>
      <c r="MKO2463" s="63"/>
      <c r="MKP2463" s="60"/>
      <c r="MKQ2463" s="60"/>
      <c r="MKR2463" s="60"/>
      <c r="MKS2463" s="63"/>
      <c r="MKT2463" s="61"/>
      <c r="MKU2463" s="54"/>
      <c r="MKV2463" s="54"/>
      <c r="MKW2463" s="63"/>
      <c r="MKX2463" s="60"/>
      <c r="MKY2463" s="60"/>
      <c r="MKZ2463" s="60"/>
      <c r="MLA2463" s="63"/>
      <c r="MLB2463" s="61"/>
      <c r="MLC2463" s="54"/>
      <c r="MLD2463" s="54"/>
      <c r="MLE2463" s="63"/>
      <c r="MLF2463" s="60"/>
      <c r="MLG2463" s="60"/>
      <c r="MLH2463" s="60"/>
      <c r="MLI2463" s="63"/>
      <c r="MLJ2463" s="61"/>
      <c r="MLK2463" s="54"/>
      <c r="MLL2463" s="54"/>
      <c r="MLM2463" s="63"/>
      <c r="MLN2463" s="60"/>
      <c r="MLO2463" s="60"/>
      <c r="MLP2463" s="60"/>
      <c r="MLQ2463" s="63"/>
      <c r="MLR2463" s="61"/>
      <c r="MLS2463" s="54"/>
      <c r="MLT2463" s="54"/>
      <c r="MLU2463" s="63"/>
      <c r="MLV2463" s="60"/>
      <c r="MLW2463" s="60"/>
      <c r="MLX2463" s="60"/>
      <c r="MLY2463" s="63"/>
      <c r="MLZ2463" s="61"/>
      <c r="MMA2463" s="54"/>
      <c r="MMB2463" s="54"/>
      <c r="MMC2463" s="63"/>
      <c r="MMD2463" s="60"/>
      <c r="MME2463" s="60"/>
      <c r="MMF2463" s="60"/>
      <c r="MMG2463" s="63"/>
      <c r="MMH2463" s="61"/>
      <c r="MMI2463" s="54"/>
      <c r="MMJ2463" s="54"/>
      <c r="MMK2463" s="63"/>
      <c r="MML2463" s="60"/>
      <c r="MMM2463" s="60"/>
      <c r="MMN2463" s="60"/>
      <c r="MMO2463" s="63"/>
      <c r="MMP2463" s="61"/>
      <c r="MMQ2463" s="54"/>
      <c r="MMR2463" s="54"/>
      <c r="MMS2463" s="63"/>
      <c r="MMT2463" s="60"/>
      <c r="MMU2463" s="60"/>
      <c r="MMV2463" s="60"/>
      <c r="MMW2463" s="63"/>
      <c r="MMX2463" s="61"/>
      <c r="MMY2463" s="54"/>
      <c r="MMZ2463" s="54"/>
      <c r="MNA2463" s="63"/>
      <c r="MNB2463" s="60"/>
      <c r="MNC2463" s="60"/>
      <c r="MND2463" s="60"/>
      <c r="MNE2463" s="63"/>
      <c r="MNF2463" s="61"/>
      <c r="MNG2463" s="54"/>
      <c r="MNH2463" s="54"/>
      <c r="MNI2463" s="63"/>
      <c r="MNJ2463" s="60"/>
      <c r="MNK2463" s="60"/>
      <c r="MNL2463" s="60"/>
      <c r="MNM2463" s="63"/>
      <c r="MNN2463" s="61"/>
      <c r="MNO2463" s="54"/>
      <c r="MNP2463" s="54"/>
      <c r="MNQ2463" s="63"/>
      <c r="MNR2463" s="60"/>
      <c r="MNS2463" s="60"/>
      <c r="MNT2463" s="60"/>
      <c r="MNU2463" s="63"/>
      <c r="MNV2463" s="61"/>
      <c r="MNW2463" s="54"/>
      <c r="MNX2463" s="54"/>
      <c r="MNY2463" s="63"/>
      <c r="MNZ2463" s="60"/>
      <c r="MOA2463" s="60"/>
      <c r="MOB2463" s="60"/>
      <c r="MOC2463" s="63"/>
      <c r="MOD2463" s="61"/>
      <c r="MOE2463" s="54"/>
      <c r="MOF2463" s="54"/>
      <c r="MOG2463" s="63"/>
      <c r="MOH2463" s="60"/>
      <c r="MOI2463" s="60"/>
      <c r="MOJ2463" s="60"/>
      <c r="MOK2463" s="63"/>
      <c r="MOL2463" s="61"/>
      <c r="MOM2463" s="54"/>
      <c r="MON2463" s="54"/>
      <c r="MOO2463" s="63"/>
      <c r="MOP2463" s="60"/>
      <c r="MOQ2463" s="60"/>
      <c r="MOR2463" s="60"/>
      <c r="MOS2463" s="63"/>
      <c r="MOT2463" s="61"/>
      <c r="MOU2463" s="54"/>
      <c r="MOV2463" s="54"/>
      <c r="MOW2463" s="63"/>
      <c r="MOX2463" s="60"/>
      <c r="MOY2463" s="60"/>
      <c r="MOZ2463" s="60"/>
      <c r="MPA2463" s="63"/>
      <c r="MPB2463" s="61"/>
      <c r="MPC2463" s="54"/>
      <c r="MPD2463" s="54"/>
      <c r="MPE2463" s="63"/>
      <c r="MPF2463" s="60"/>
      <c r="MPG2463" s="60"/>
      <c r="MPH2463" s="60"/>
      <c r="MPI2463" s="63"/>
      <c r="MPJ2463" s="61"/>
      <c r="MPK2463" s="54"/>
      <c r="MPL2463" s="54"/>
      <c r="MPM2463" s="63"/>
      <c r="MPN2463" s="60"/>
      <c r="MPO2463" s="60"/>
      <c r="MPP2463" s="60"/>
      <c r="MPQ2463" s="63"/>
      <c r="MPR2463" s="61"/>
      <c r="MPS2463" s="54"/>
      <c r="MPT2463" s="54"/>
      <c r="MPU2463" s="63"/>
      <c r="MPV2463" s="60"/>
      <c r="MPW2463" s="60"/>
      <c r="MPX2463" s="60"/>
      <c r="MPY2463" s="63"/>
      <c r="MPZ2463" s="61"/>
      <c r="MQA2463" s="54"/>
      <c r="MQB2463" s="54"/>
      <c r="MQC2463" s="63"/>
      <c r="MQD2463" s="60"/>
      <c r="MQE2463" s="60"/>
      <c r="MQF2463" s="60"/>
      <c r="MQG2463" s="63"/>
      <c r="MQH2463" s="61"/>
      <c r="MQI2463" s="54"/>
      <c r="MQJ2463" s="54"/>
      <c r="MQK2463" s="63"/>
      <c r="MQL2463" s="60"/>
      <c r="MQM2463" s="60"/>
      <c r="MQN2463" s="60"/>
      <c r="MQO2463" s="63"/>
      <c r="MQP2463" s="61"/>
      <c r="MQQ2463" s="54"/>
      <c r="MQR2463" s="54"/>
      <c r="MQS2463" s="63"/>
      <c r="MQT2463" s="60"/>
      <c r="MQU2463" s="60"/>
      <c r="MQV2463" s="60"/>
      <c r="MQW2463" s="63"/>
      <c r="MQX2463" s="61"/>
      <c r="MQY2463" s="54"/>
      <c r="MQZ2463" s="54"/>
      <c r="MRA2463" s="63"/>
      <c r="MRB2463" s="60"/>
      <c r="MRC2463" s="60"/>
      <c r="MRD2463" s="60"/>
      <c r="MRE2463" s="63"/>
      <c r="MRF2463" s="61"/>
      <c r="MRG2463" s="54"/>
      <c r="MRH2463" s="54"/>
      <c r="MRI2463" s="63"/>
      <c r="MRJ2463" s="60"/>
      <c r="MRK2463" s="60"/>
      <c r="MRL2463" s="60"/>
      <c r="MRM2463" s="63"/>
      <c r="MRN2463" s="61"/>
      <c r="MRO2463" s="54"/>
      <c r="MRP2463" s="54"/>
      <c r="MRQ2463" s="63"/>
      <c r="MRR2463" s="60"/>
      <c r="MRS2463" s="60"/>
      <c r="MRT2463" s="60"/>
      <c r="MRU2463" s="63"/>
      <c r="MRV2463" s="61"/>
      <c r="MRW2463" s="54"/>
      <c r="MRX2463" s="54"/>
      <c r="MRY2463" s="63"/>
      <c r="MRZ2463" s="60"/>
      <c r="MSA2463" s="60"/>
      <c r="MSB2463" s="60"/>
      <c r="MSC2463" s="63"/>
      <c r="MSD2463" s="61"/>
      <c r="MSE2463" s="54"/>
      <c r="MSF2463" s="54"/>
      <c r="MSG2463" s="63"/>
      <c r="MSH2463" s="60"/>
      <c r="MSI2463" s="60"/>
      <c r="MSJ2463" s="60"/>
      <c r="MSK2463" s="63"/>
      <c r="MSL2463" s="61"/>
      <c r="MSM2463" s="54"/>
      <c r="MSN2463" s="54"/>
      <c r="MSO2463" s="63"/>
      <c r="MSP2463" s="60"/>
      <c r="MSQ2463" s="60"/>
      <c r="MSR2463" s="60"/>
      <c r="MSS2463" s="63"/>
      <c r="MST2463" s="61"/>
      <c r="MSU2463" s="54"/>
      <c r="MSV2463" s="54"/>
      <c r="MSW2463" s="63"/>
      <c r="MSX2463" s="60"/>
      <c r="MSY2463" s="60"/>
      <c r="MSZ2463" s="60"/>
      <c r="MTA2463" s="63"/>
      <c r="MTB2463" s="61"/>
      <c r="MTC2463" s="54"/>
      <c r="MTD2463" s="54"/>
      <c r="MTE2463" s="63"/>
      <c r="MTF2463" s="60"/>
      <c r="MTG2463" s="60"/>
      <c r="MTH2463" s="60"/>
      <c r="MTI2463" s="63"/>
      <c r="MTJ2463" s="61"/>
      <c r="MTK2463" s="54"/>
      <c r="MTL2463" s="54"/>
      <c r="MTM2463" s="63"/>
      <c r="MTN2463" s="60"/>
      <c r="MTO2463" s="60"/>
      <c r="MTP2463" s="60"/>
      <c r="MTQ2463" s="63"/>
      <c r="MTR2463" s="61"/>
      <c r="MTS2463" s="54"/>
      <c r="MTT2463" s="54"/>
      <c r="MTU2463" s="63"/>
      <c r="MTV2463" s="60"/>
      <c r="MTW2463" s="60"/>
      <c r="MTX2463" s="60"/>
      <c r="MTY2463" s="63"/>
      <c r="MTZ2463" s="61"/>
      <c r="MUA2463" s="54"/>
      <c r="MUB2463" s="54"/>
      <c r="MUC2463" s="63"/>
      <c r="MUD2463" s="60"/>
      <c r="MUE2463" s="60"/>
      <c r="MUF2463" s="60"/>
      <c r="MUG2463" s="63"/>
      <c r="MUH2463" s="61"/>
      <c r="MUI2463" s="54"/>
      <c r="MUJ2463" s="54"/>
      <c r="MUK2463" s="63"/>
      <c r="MUL2463" s="60"/>
      <c r="MUM2463" s="60"/>
      <c r="MUN2463" s="60"/>
      <c r="MUO2463" s="63"/>
      <c r="MUP2463" s="61"/>
      <c r="MUQ2463" s="54"/>
      <c r="MUR2463" s="54"/>
      <c r="MUS2463" s="63"/>
      <c r="MUT2463" s="60"/>
      <c r="MUU2463" s="60"/>
      <c r="MUV2463" s="60"/>
      <c r="MUW2463" s="63"/>
      <c r="MUX2463" s="61"/>
      <c r="MUY2463" s="54"/>
      <c r="MUZ2463" s="54"/>
      <c r="MVA2463" s="63"/>
      <c r="MVB2463" s="60"/>
      <c r="MVC2463" s="60"/>
      <c r="MVD2463" s="60"/>
      <c r="MVE2463" s="63"/>
      <c r="MVF2463" s="61"/>
      <c r="MVG2463" s="54"/>
      <c r="MVH2463" s="54"/>
      <c r="MVI2463" s="63"/>
      <c r="MVJ2463" s="60"/>
      <c r="MVK2463" s="60"/>
      <c r="MVL2463" s="60"/>
      <c r="MVM2463" s="63"/>
      <c r="MVN2463" s="61"/>
      <c r="MVO2463" s="54"/>
      <c r="MVP2463" s="54"/>
      <c r="MVQ2463" s="63"/>
      <c r="MVR2463" s="60"/>
      <c r="MVS2463" s="60"/>
      <c r="MVT2463" s="60"/>
      <c r="MVU2463" s="63"/>
      <c r="MVV2463" s="61"/>
      <c r="MVW2463" s="54"/>
      <c r="MVX2463" s="54"/>
      <c r="MVY2463" s="63"/>
      <c r="MVZ2463" s="60"/>
      <c r="MWA2463" s="60"/>
      <c r="MWB2463" s="60"/>
      <c r="MWC2463" s="63"/>
      <c r="MWD2463" s="61"/>
      <c r="MWE2463" s="54"/>
      <c r="MWF2463" s="54"/>
      <c r="MWG2463" s="63"/>
      <c r="MWH2463" s="60"/>
      <c r="MWI2463" s="60"/>
      <c r="MWJ2463" s="60"/>
      <c r="MWK2463" s="63"/>
      <c r="MWL2463" s="61"/>
      <c r="MWM2463" s="54"/>
      <c r="MWN2463" s="54"/>
      <c r="MWO2463" s="63"/>
      <c r="MWP2463" s="60"/>
      <c r="MWQ2463" s="60"/>
      <c r="MWR2463" s="60"/>
      <c r="MWS2463" s="63"/>
      <c r="MWT2463" s="61"/>
      <c r="MWU2463" s="54"/>
      <c r="MWV2463" s="54"/>
      <c r="MWW2463" s="63"/>
      <c r="MWX2463" s="60"/>
      <c r="MWY2463" s="60"/>
      <c r="MWZ2463" s="60"/>
      <c r="MXA2463" s="63"/>
      <c r="MXB2463" s="61"/>
      <c r="MXC2463" s="54"/>
      <c r="MXD2463" s="54"/>
      <c r="MXE2463" s="63"/>
      <c r="MXF2463" s="60"/>
      <c r="MXG2463" s="60"/>
      <c r="MXH2463" s="60"/>
      <c r="MXI2463" s="63"/>
      <c r="MXJ2463" s="61"/>
      <c r="MXK2463" s="54"/>
      <c r="MXL2463" s="54"/>
      <c r="MXM2463" s="63"/>
      <c r="MXN2463" s="60"/>
      <c r="MXO2463" s="60"/>
      <c r="MXP2463" s="60"/>
      <c r="MXQ2463" s="63"/>
      <c r="MXR2463" s="61"/>
      <c r="MXS2463" s="54"/>
      <c r="MXT2463" s="54"/>
      <c r="MXU2463" s="63"/>
      <c r="MXV2463" s="60"/>
      <c r="MXW2463" s="60"/>
      <c r="MXX2463" s="60"/>
      <c r="MXY2463" s="63"/>
      <c r="MXZ2463" s="61"/>
      <c r="MYA2463" s="54"/>
      <c r="MYB2463" s="54"/>
      <c r="MYC2463" s="63"/>
      <c r="MYD2463" s="60"/>
      <c r="MYE2463" s="60"/>
      <c r="MYF2463" s="60"/>
      <c r="MYG2463" s="63"/>
      <c r="MYH2463" s="61"/>
      <c r="MYI2463" s="54"/>
      <c r="MYJ2463" s="54"/>
      <c r="MYK2463" s="63"/>
      <c r="MYL2463" s="60"/>
      <c r="MYM2463" s="60"/>
      <c r="MYN2463" s="60"/>
      <c r="MYO2463" s="63"/>
      <c r="MYP2463" s="61"/>
      <c r="MYQ2463" s="54"/>
      <c r="MYR2463" s="54"/>
      <c r="MYS2463" s="63"/>
      <c r="MYT2463" s="60"/>
      <c r="MYU2463" s="60"/>
      <c r="MYV2463" s="60"/>
      <c r="MYW2463" s="63"/>
      <c r="MYX2463" s="61"/>
      <c r="MYY2463" s="54"/>
      <c r="MYZ2463" s="54"/>
      <c r="MZA2463" s="63"/>
      <c r="MZB2463" s="60"/>
      <c r="MZC2463" s="60"/>
      <c r="MZD2463" s="60"/>
      <c r="MZE2463" s="63"/>
      <c r="MZF2463" s="61"/>
      <c r="MZG2463" s="54"/>
      <c r="MZH2463" s="54"/>
      <c r="MZI2463" s="63"/>
      <c r="MZJ2463" s="60"/>
      <c r="MZK2463" s="60"/>
      <c r="MZL2463" s="60"/>
      <c r="MZM2463" s="63"/>
      <c r="MZN2463" s="61"/>
      <c r="MZO2463" s="54"/>
      <c r="MZP2463" s="54"/>
      <c r="MZQ2463" s="63"/>
      <c r="MZR2463" s="60"/>
      <c r="MZS2463" s="60"/>
      <c r="MZT2463" s="60"/>
      <c r="MZU2463" s="63"/>
      <c r="MZV2463" s="61"/>
      <c r="MZW2463" s="54"/>
      <c r="MZX2463" s="54"/>
      <c r="MZY2463" s="63"/>
      <c r="MZZ2463" s="60"/>
      <c r="NAA2463" s="60"/>
      <c r="NAB2463" s="60"/>
      <c r="NAC2463" s="63"/>
      <c r="NAD2463" s="61"/>
      <c r="NAE2463" s="54"/>
      <c r="NAF2463" s="54"/>
      <c r="NAG2463" s="63"/>
      <c r="NAH2463" s="60"/>
      <c r="NAI2463" s="60"/>
      <c r="NAJ2463" s="60"/>
      <c r="NAK2463" s="63"/>
      <c r="NAL2463" s="61"/>
      <c r="NAM2463" s="54"/>
      <c r="NAN2463" s="54"/>
      <c r="NAO2463" s="63"/>
      <c r="NAP2463" s="60"/>
      <c r="NAQ2463" s="60"/>
      <c r="NAR2463" s="60"/>
      <c r="NAS2463" s="63"/>
      <c r="NAT2463" s="61"/>
      <c r="NAU2463" s="54"/>
      <c r="NAV2463" s="54"/>
      <c r="NAW2463" s="63"/>
      <c r="NAX2463" s="60"/>
      <c r="NAY2463" s="60"/>
      <c r="NAZ2463" s="60"/>
      <c r="NBA2463" s="63"/>
      <c r="NBB2463" s="61"/>
      <c r="NBC2463" s="54"/>
      <c r="NBD2463" s="54"/>
      <c r="NBE2463" s="63"/>
      <c r="NBF2463" s="60"/>
      <c r="NBG2463" s="60"/>
      <c r="NBH2463" s="60"/>
      <c r="NBI2463" s="63"/>
      <c r="NBJ2463" s="61"/>
      <c r="NBK2463" s="54"/>
      <c r="NBL2463" s="54"/>
      <c r="NBM2463" s="63"/>
      <c r="NBN2463" s="60"/>
      <c r="NBO2463" s="60"/>
      <c r="NBP2463" s="60"/>
      <c r="NBQ2463" s="63"/>
      <c r="NBR2463" s="61"/>
      <c r="NBS2463" s="54"/>
      <c r="NBT2463" s="54"/>
      <c r="NBU2463" s="63"/>
      <c r="NBV2463" s="60"/>
      <c r="NBW2463" s="60"/>
      <c r="NBX2463" s="60"/>
      <c r="NBY2463" s="63"/>
      <c r="NBZ2463" s="61"/>
      <c r="NCA2463" s="54"/>
      <c r="NCB2463" s="54"/>
      <c r="NCC2463" s="63"/>
      <c r="NCD2463" s="60"/>
      <c r="NCE2463" s="60"/>
      <c r="NCF2463" s="60"/>
      <c r="NCG2463" s="63"/>
      <c r="NCH2463" s="61"/>
      <c r="NCI2463" s="54"/>
      <c r="NCJ2463" s="54"/>
      <c r="NCK2463" s="63"/>
      <c r="NCL2463" s="60"/>
      <c r="NCM2463" s="60"/>
      <c r="NCN2463" s="60"/>
      <c r="NCO2463" s="63"/>
      <c r="NCP2463" s="61"/>
      <c r="NCQ2463" s="54"/>
      <c r="NCR2463" s="54"/>
      <c r="NCS2463" s="63"/>
      <c r="NCT2463" s="60"/>
      <c r="NCU2463" s="60"/>
      <c r="NCV2463" s="60"/>
      <c r="NCW2463" s="63"/>
      <c r="NCX2463" s="61"/>
      <c r="NCY2463" s="54"/>
      <c r="NCZ2463" s="54"/>
      <c r="NDA2463" s="63"/>
      <c r="NDB2463" s="60"/>
      <c r="NDC2463" s="60"/>
      <c r="NDD2463" s="60"/>
      <c r="NDE2463" s="63"/>
      <c r="NDF2463" s="61"/>
      <c r="NDG2463" s="54"/>
      <c r="NDH2463" s="54"/>
      <c r="NDI2463" s="63"/>
      <c r="NDJ2463" s="60"/>
      <c r="NDK2463" s="60"/>
      <c r="NDL2463" s="60"/>
      <c r="NDM2463" s="63"/>
      <c r="NDN2463" s="61"/>
      <c r="NDO2463" s="54"/>
      <c r="NDP2463" s="54"/>
      <c r="NDQ2463" s="63"/>
      <c r="NDR2463" s="60"/>
      <c r="NDS2463" s="60"/>
      <c r="NDT2463" s="60"/>
      <c r="NDU2463" s="63"/>
      <c r="NDV2463" s="61"/>
      <c r="NDW2463" s="54"/>
      <c r="NDX2463" s="54"/>
      <c r="NDY2463" s="63"/>
      <c r="NDZ2463" s="60"/>
      <c r="NEA2463" s="60"/>
      <c r="NEB2463" s="60"/>
      <c r="NEC2463" s="63"/>
      <c r="NED2463" s="61"/>
      <c r="NEE2463" s="54"/>
      <c r="NEF2463" s="54"/>
      <c r="NEG2463" s="63"/>
      <c r="NEH2463" s="60"/>
      <c r="NEI2463" s="60"/>
      <c r="NEJ2463" s="60"/>
      <c r="NEK2463" s="63"/>
      <c r="NEL2463" s="61"/>
      <c r="NEM2463" s="54"/>
      <c r="NEN2463" s="54"/>
      <c r="NEO2463" s="63"/>
      <c r="NEP2463" s="60"/>
      <c r="NEQ2463" s="60"/>
      <c r="NER2463" s="60"/>
      <c r="NES2463" s="63"/>
      <c r="NET2463" s="61"/>
      <c r="NEU2463" s="54"/>
      <c r="NEV2463" s="54"/>
      <c r="NEW2463" s="63"/>
      <c r="NEX2463" s="60"/>
      <c r="NEY2463" s="60"/>
      <c r="NEZ2463" s="60"/>
      <c r="NFA2463" s="63"/>
      <c r="NFB2463" s="61"/>
      <c r="NFC2463" s="54"/>
      <c r="NFD2463" s="54"/>
      <c r="NFE2463" s="63"/>
      <c r="NFF2463" s="60"/>
      <c r="NFG2463" s="60"/>
      <c r="NFH2463" s="60"/>
      <c r="NFI2463" s="63"/>
      <c r="NFJ2463" s="61"/>
      <c r="NFK2463" s="54"/>
      <c r="NFL2463" s="54"/>
      <c r="NFM2463" s="63"/>
      <c r="NFN2463" s="60"/>
      <c r="NFO2463" s="60"/>
      <c r="NFP2463" s="60"/>
      <c r="NFQ2463" s="63"/>
      <c r="NFR2463" s="61"/>
      <c r="NFS2463" s="54"/>
      <c r="NFT2463" s="54"/>
      <c r="NFU2463" s="63"/>
      <c r="NFV2463" s="60"/>
      <c r="NFW2463" s="60"/>
      <c r="NFX2463" s="60"/>
      <c r="NFY2463" s="63"/>
      <c r="NFZ2463" s="61"/>
      <c r="NGA2463" s="54"/>
      <c r="NGB2463" s="54"/>
      <c r="NGC2463" s="63"/>
      <c r="NGD2463" s="60"/>
      <c r="NGE2463" s="60"/>
      <c r="NGF2463" s="60"/>
      <c r="NGG2463" s="63"/>
      <c r="NGH2463" s="61"/>
      <c r="NGI2463" s="54"/>
      <c r="NGJ2463" s="54"/>
      <c r="NGK2463" s="63"/>
      <c r="NGL2463" s="60"/>
      <c r="NGM2463" s="60"/>
      <c r="NGN2463" s="60"/>
      <c r="NGO2463" s="63"/>
      <c r="NGP2463" s="61"/>
      <c r="NGQ2463" s="54"/>
      <c r="NGR2463" s="54"/>
      <c r="NGS2463" s="63"/>
      <c r="NGT2463" s="60"/>
      <c r="NGU2463" s="60"/>
      <c r="NGV2463" s="60"/>
      <c r="NGW2463" s="63"/>
      <c r="NGX2463" s="61"/>
      <c r="NGY2463" s="54"/>
      <c r="NGZ2463" s="54"/>
      <c r="NHA2463" s="63"/>
      <c r="NHB2463" s="60"/>
      <c r="NHC2463" s="60"/>
      <c r="NHD2463" s="60"/>
      <c r="NHE2463" s="63"/>
      <c r="NHF2463" s="61"/>
      <c r="NHG2463" s="54"/>
      <c r="NHH2463" s="54"/>
      <c r="NHI2463" s="63"/>
      <c r="NHJ2463" s="60"/>
      <c r="NHK2463" s="60"/>
      <c r="NHL2463" s="60"/>
      <c r="NHM2463" s="63"/>
      <c r="NHN2463" s="61"/>
      <c r="NHO2463" s="54"/>
      <c r="NHP2463" s="54"/>
      <c r="NHQ2463" s="63"/>
      <c r="NHR2463" s="60"/>
      <c r="NHS2463" s="60"/>
      <c r="NHT2463" s="60"/>
      <c r="NHU2463" s="63"/>
      <c r="NHV2463" s="61"/>
      <c r="NHW2463" s="54"/>
      <c r="NHX2463" s="54"/>
      <c r="NHY2463" s="63"/>
      <c r="NHZ2463" s="60"/>
      <c r="NIA2463" s="60"/>
      <c r="NIB2463" s="60"/>
      <c r="NIC2463" s="63"/>
      <c r="NID2463" s="61"/>
      <c r="NIE2463" s="54"/>
      <c r="NIF2463" s="54"/>
      <c r="NIG2463" s="63"/>
      <c r="NIH2463" s="60"/>
      <c r="NII2463" s="60"/>
      <c r="NIJ2463" s="60"/>
      <c r="NIK2463" s="63"/>
      <c r="NIL2463" s="61"/>
      <c r="NIM2463" s="54"/>
      <c r="NIN2463" s="54"/>
      <c r="NIO2463" s="63"/>
      <c r="NIP2463" s="60"/>
      <c r="NIQ2463" s="60"/>
      <c r="NIR2463" s="60"/>
      <c r="NIS2463" s="63"/>
      <c r="NIT2463" s="61"/>
      <c r="NIU2463" s="54"/>
      <c r="NIV2463" s="54"/>
      <c r="NIW2463" s="63"/>
      <c r="NIX2463" s="60"/>
      <c r="NIY2463" s="60"/>
      <c r="NIZ2463" s="60"/>
      <c r="NJA2463" s="63"/>
      <c r="NJB2463" s="61"/>
      <c r="NJC2463" s="54"/>
      <c r="NJD2463" s="54"/>
      <c r="NJE2463" s="63"/>
      <c r="NJF2463" s="60"/>
      <c r="NJG2463" s="60"/>
      <c r="NJH2463" s="60"/>
      <c r="NJI2463" s="63"/>
      <c r="NJJ2463" s="61"/>
      <c r="NJK2463" s="54"/>
      <c r="NJL2463" s="54"/>
      <c r="NJM2463" s="63"/>
      <c r="NJN2463" s="60"/>
      <c r="NJO2463" s="60"/>
      <c r="NJP2463" s="60"/>
      <c r="NJQ2463" s="63"/>
      <c r="NJR2463" s="61"/>
      <c r="NJS2463" s="54"/>
      <c r="NJT2463" s="54"/>
      <c r="NJU2463" s="63"/>
      <c r="NJV2463" s="60"/>
      <c r="NJW2463" s="60"/>
      <c r="NJX2463" s="60"/>
      <c r="NJY2463" s="63"/>
      <c r="NJZ2463" s="61"/>
      <c r="NKA2463" s="54"/>
      <c r="NKB2463" s="54"/>
      <c r="NKC2463" s="63"/>
      <c r="NKD2463" s="60"/>
      <c r="NKE2463" s="60"/>
      <c r="NKF2463" s="60"/>
      <c r="NKG2463" s="63"/>
      <c r="NKH2463" s="61"/>
      <c r="NKI2463" s="54"/>
      <c r="NKJ2463" s="54"/>
      <c r="NKK2463" s="63"/>
      <c r="NKL2463" s="60"/>
      <c r="NKM2463" s="60"/>
      <c r="NKN2463" s="60"/>
      <c r="NKO2463" s="63"/>
      <c r="NKP2463" s="61"/>
      <c r="NKQ2463" s="54"/>
      <c r="NKR2463" s="54"/>
      <c r="NKS2463" s="63"/>
      <c r="NKT2463" s="60"/>
      <c r="NKU2463" s="60"/>
      <c r="NKV2463" s="60"/>
      <c r="NKW2463" s="63"/>
      <c r="NKX2463" s="61"/>
      <c r="NKY2463" s="54"/>
      <c r="NKZ2463" s="54"/>
      <c r="NLA2463" s="63"/>
      <c r="NLB2463" s="60"/>
      <c r="NLC2463" s="60"/>
      <c r="NLD2463" s="60"/>
      <c r="NLE2463" s="63"/>
      <c r="NLF2463" s="61"/>
      <c r="NLG2463" s="54"/>
      <c r="NLH2463" s="54"/>
      <c r="NLI2463" s="63"/>
      <c r="NLJ2463" s="60"/>
      <c r="NLK2463" s="60"/>
      <c r="NLL2463" s="60"/>
      <c r="NLM2463" s="63"/>
      <c r="NLN2463" s="61"/>
      <c r="NLO2463" s="54"/>
      <c r="NLP2463" s="54"/>
      <c r="NLQ2463" s="63"/>
      <c r="NLR2463" s="60"/>
      <c r="NLS2463" s="60"/>
      <c r="NLT2463" s="60"/>
      <c r="NLU2463" s="63"/>
      <c r="NLV2463" s="61"/>
      <c r="NLW2463" s="54"/>
      <c r="NLX2463" s="54"/>
      <c r="NLY2463" s="63"/>
      <c r="NLZ2463" s="60"/>
      <c r="NMA2463" s="60"/>
      <c r="NMB2463" s="60"/>
      <c r="NMC2463" s="63"/>
      <c r="NMD2463" s="61"/>
      <c r="NME2463" s="54"/>
      <c r="NMF2463" s="54"/>
      <c r="NMG2463" s="63"/>
      <c r="NMH2463" s="60"/>
      <c r="NMI2463" s="60"/>
      <c r="NMJ2463" s="60"/>
      <c r="NMK2463" s="63"/>
      <c r="NML2463" s="61"/>
      <c r="NMM2463" s="54"/>
      <c r="NMN2463" s="54"/>
      <c r="NMO2463" s="63"/>
      <c r="NMP2463" s="60"/>
      <c r="NMQ2463" s="60"/>
      <c r="NMR2463" s="60"/>
      <c r="NMS2463" s="63"/>
      <c r="NMT2463" s="61"/>
      <c r="NMU2463" s="54"/>
      <c r="NMV2463" s="54"/>
      <c r="NMW2463" s="63"/>
      <c r="NMX2463" s="60"/>
      <c r="NMY2463" s="60"/>
      <c r="NMZ2463" s="60"/>
      <c r="NNA2463" s="63"/>
      <c r="NNB2463" s="61"/>
      <c r="NNC2463" s="54"/>
      <c r="NND2463" s="54"/>
      <c r="NNE2463" s="63"/>
      <c r="NNF2463" s="60"/>
      <c r="NNG2463" s="60"/>
      <c r="NNH2463" s="60"/>
      <c r="NNI2463" s="63"/>
      <c r="NNJ2463" s="61"/>
      <c r="NNK2463" s="54"/>
      <c r="NNL2463" s="54"/>
      <c r="NNM2463" s="63"/>
      <c r="NNN2463" s="60"/>
      <c r="NNO2463" s="60"/>
      <c r="NNP2463" s="60"/>
      <c r="NNQ2463" s="63"/>
      <c r="NNR2463" s="61"/>
      <c r="NNS2463" s="54"/>
      <c r="NNT2463" s="54"/>
      <c r="NNU2463" s="63"/>
      <c r="NNV2463" s="60"/>
      <c r="NNW2463" s="60"/>
      <c r="NNX2463" s="60"/>
      <c r="NNY2463" s="63"/>
      <c r="NNZ2463" s="61"/>
      <c r="NOA2463" s="54"/>
      <c r="NOB2463" s="54"/>
      <c r="NOC2463" s="63"/>
      <c r="NOD2463" s="60"/>
      <c r="NOE2463" s="60"/>
      <c r="NOF2463" s="60"/>
      <c r="NOG2463" s="63"/>
      <c r="NOH2463" s="61"/>
      <c r="NOI2463" s="54"/>
      <c r="NOJ2463" s="54"/>
      <c r="NOK2463" s="63"/>
      <c r="NOL2463" s="60"/>
      <c r="NOM2463" s="60"/>
      <c r="NON2463" s="60"/>
      <c r="NOO2463" s="63"/>
      <c r="NOP2463" s="61"/>
      <c r="NOQ2463" s="54"/>
      <c r="NOR2463" s="54"/>
      <c r="NOS2463" s="63"/>
      <c r="NOT2463" s="60"/>
      <c r="NOU2463" s="60"/>
      <c r="NOV2463" s="60"/>
      <c r="NOW2463" s="63"/>
      <c r="NOX2463" s="61"/>
      <c r="NOY2463" s="54"/>
      <c r="NOZ2463" s="54"/>
      <c r="NPA2463" s="63"/>
      <c r="NPB2463" s="60"/>
      <c r="NPC2463" s="60"/>
      <c r="NPD2463" s="60"/>
      <c r="NPE2463" s="63"/>
      <c r="NPF2463" s="61"/>
      <c r="NPG2463" s="54"/>
      <c r="NPH2463" s="54"/>
      <c r="NPI2463" s="63"/>
      <c r="NPJ2463" s="60"/>
      <c r="NPK2463" s="60"/>
      <c r="NPL2463" s="60"/>
      <c r="NPM2463" s="63"/>
      <c r="NPN2463" s="61"/>
      <c r="NPO2463" s="54"/>
      <c r="NPP2463" s="54"/>
      <c r="NPQ2463" s="63"/>
      <c r="NPR2463" s="60"/>
      <c r="NPS2463" s="60"/>
      <c r="NPT2463" s="60"/>
      <c r="NPU2463" s="63"/>
      <c r="NPV2463" s="61"/>
      <c r="NPW2463" s="54"/>
      <c r="NPX2463" s="54"/>
      <c r="NPY2463" s="63"/>
      <c r="NPZ2463" s="60"/>
      <c r="NQA2463" s="60"/>
      <c r="NQB2463" s="60"/>
      <c r="NQC2463" s="63"/>
      <c r="NQD2463" s="61"/>
      <c r="NQE2463" s="54"/>
      <c r="NQF2463" s="54"/>
      <c r="NQG2463" s="63"/>
      <c r="NQH2463" s="60"/>
      <c r="NQI2463" s="60"/>
      <c r="NQJ2463" s="60"/>
      <c r="NQK2463" s="63"/>
      <c r="NQL2463" s="61"/>
      <c r="NQM2463" s="54"/>
      <c r="NQN2463" s="54"/>
      <c r="NQO2463" s="63"/>
      <c r="NQP2463" s="60"/>
      <c r="NQQ2463" s="60"/>
      <c r="NQR2463" s="60"/>
      <c r="NQS2463" s="63"/>
      <c r="NQT2463" s="61"/>
      <c r="NQU2463" s="54"/>
      <c r="NQV2463" s="54"/>
      <c r="NQW2463" s="63"/>
      <c r="NQX2463" s="60"/>
      <c r="NQY2463" s="60"/>
      <c r="NQZ2463" s="60"/>
      <c r="NRA2463" s="63"/>
      <c r="NRB2463" s="61"/>
      <c r="NRC2463" s="54"/>
      <c r="NRD2463" s="54"/>
      <c r="NRE2463" s="63"/>
      <c r="NRF2463" s="60"/>
      <c r="NRG2463" s="60"/>
      <c r="NRH2463" s="60"/>
      <c r="NRI2463" s="63"/>
      <c r="NRJ2463" s="61"/>
      <c r="NRK2463" s="54"/>
      <c r="NRL2463" s="54"/>
      <c r="NRM2463" s="63"/>
      <c r="NRN2463" s="60"/>
      <c r="NRO2463" s="60"/>
      <c r="NRP2463" s="60"/>
      <c r="NRQ2463" s="63"/>
      <c r="NRR2463" s="61"/>
      <c r="NRS2463" s="54"/>
      <c r="NRT2463" s="54"/>
      <c r="NRU2463" s="63"/>
      <c r="NRV2463" s="60"/>
      <c r="NRW2463" s="60"/>
      <c r="NRX2463" s="60"/>
      <c r="NRY2463" s="63"/>
      <c r="NRZ2463" s="61"/>
      <c r="NSA2463" s="54"/>
      <c r="NSB2463" s="54"/>
      <c r="NSC2463" s="63"/>
      <c r="NSD2463" s="60"/>
      <c r="NSE2463" s="60"/>
      <c r="NSF2463" s="60"/>
      <c r="NSG2463" s="63"/>
      <c r="NSH2463" s="61"/>
      <c r="NSI2463" s="54"/>
      <c r="NSJ2463" s="54"/>
      <c r="NSK2463" s="63"/>
      <c r="NSL2463" s="60"/>
      <c r="NSM2463" s="60"/>
      <c r="NSN2463" s="60"/>
      <c r="NSO2463" s="63"/>
      <c r="NSP2463" s="61"/>
      <c r="NSQ2463" s="54"/>
      <c r="NSR2463" s="54"/>
      <c r="NSS2463" s="63"/>
      <c r="NST2463" s="60"/>
      <c r="NSU2463" s="60"/>
      <c r="NSV2463" s="60"/>
      <c r="NSW2463" s="63"/>
      <c r="NSX2463" s="61"/>
      <c r="NSY2463" s="54"/>
      <c r="NSZ2463" s="54"/>
      <c r="NTA2463" s="63"/>
      <c r="NTB2463" s="60"/>
      <c r="NTC2463" s="60"/>
      <c r="NTD2463" s="60"/>
      <c r="NTE2463" s="63"/>
      <c r="NTF2463" s="61"/>
      <c r="NTG2463" s="54"/>
      <c r="NTH2463" s="54"/>
      <c r="NTI2463" s="63"/>
      <c r="NTJ2463" s="60"/>
      <c r="NTK2463" s="60"/>
      <c r="NTL2463" s="60"/>
      <c r="NTM2463" s="63"/>
      <c r="NTN2463" s="61"/>
      <c r="NTO2463" s="54"/>
      <c r="NTP2463" s="54"/>
      <c r="NTQ2463" s="63"/>
      <c r="NTR2463" s="60"/>
      <c r="NTS2463" s="60"/>
      <c r="NTT2463" s="60"/>
      <c r="NTU2463" s="63"/>
      <c r="NTV2463" s="61"/>
      <c r="NTW2463" s="54"/>
      <c r="NTX2463" s="54"/>
      <c r="NTY2463" s="63"/>
      <c r="NTZ2463" s="60"/>
      <c r="NUA2463" s="60"/>
      <c r="NUB2463" s="60"/>
      <c r="NUC2463" s="63"/>
      <c r="NUD2463" s="61"/>
      <c r="NUE2463" s="54"/>
      <c r="NUF2463" s="54"/>
      <c r="NUG2463" s="63"/>
      <c r="NUH2463" s="60"/>
      <c r="NUI2463" s="60"/>
      <c r="NUJ2463" s="60"/>
      <c r="NUK2463" s="63"/>
      <c r="NUL2463" s="61"/>
      <c r="NUM2463" s="54"/>
      <c r="NUN2463" s="54"/>
      <c r="NUO2463" s="63"/>
      <c r="NUP2463" s="60"/>
      <c r="NUQ2463" s="60"/>
      <c r="NUR2463" s="60"/>
      <c r="NUS2463" s="63"/>
      <c r="NUT2463" s="61"/>
      <c r="NUU2463" s="54"/>
      <c r="NUV2463" s="54"/>
      <c r="NUW2463" s="63"/>
      <c r="NUX2463" s="60"/>
      <c r="NUY2463" s="60"/>
      <c r="NUZ2463" s="60"/>
      <c r="NVA2463" s="63"/>
      <c r="NVB2463" s="61"/>
      <c r="NVC2463" s="54"/>
      <c r="NVD2463" s="54"/>
      <c r="NVE2463" s="63"/>
      <c r="NVF2463" s="60"/>
      <c r="NVG2463" s="60"/>
      <c r="NVH2463" s="60"/>
      <c r="NVI2463" s="63"/>
      <c r="NVJ2463" s="61"/>
      <c r="NVK2463" s="54"/>
      <c r="NVL2463" s="54"/>
      <c r="NVM2463" s="63"/>
      <c r="NVN2463" s="60"/>
      <c r="NVO2463" s="60"/>
      <c r="NVP2463" s="60"/>
      <c r="NVQ2463" s="63"/>
      <c r="NVR2463" s="61"/>
      <c r="NVS2463" s="54"/>
      <c r="NVT2463" s="54"/>
      <c r="NVU2463" s="63"/>
      <c r="NVV2463" s="60"/>
      <c r="NVW2463" s="60"/>
      <c r="NVX2463" s="60"/>
      <c r="NVY2463" s="63"/>
      <c r="NVZ2463" s="61"/>
      <c r="NWA2463" s="54"/>
      <c r="NWB2463" s="54"/>
      <c r="NWC2463" s="63"/>
      <c r="NWD2463" s="60"/>
      <c r="NWE2463" s="60"/>
      <c r="NWF2463" s="60"/>
      <c r="NWG2463" s="63"/>
      <c r="NWH2463" s="61"/>
      <c r="NWI2463" s="54"/>
      <c r="NWJ2463" s="54"/>
      <c r="NWK2463" s="63"/>
      <c r="NWL2463" s="60"/>
      <c r="NWM2463" s="60"/>
      <c r="NWN2463" s="60"/>
      <c r="NWO2463" s="63"/>
      <c r="NWP2463" s="61"/>
      <c r="NWQ2463" s="54"/>
      <c r="NWR2463" s="54"/>
      <c r="NWS2463" s="63"/>
      <c r="NWT2463" s="60"/>
      <c r="NWU2463" s="60"/>
      <c r="NWV2463" s="60"/>
      <c r="NWW2463" s="63"/>
      <c r="NWX2463" s="61"/>
      <c r="NWY2463" s="54"/>
      <c r="NWZ2463" s="54"/>
      <c r="NXA2463" s="63"/>
      <c r="NXB2463" s="60"/>
      <c r="NXC2463" s="60"/>
      <c r="NXD2463" s="60"/>
      <c r="NXE2463" s="63"/>
      <c r="NXF2463" s="61"/>
      <c r="NXG2463" s="54"/>
      <c r="NXH2463" s="54"/>
      <c r="NXI2463" s="63"/>
      <c r="NXJ2463" s="60"/>
      <c r="NXK2463" s="60"/>
      <c r="NXL2463" s="60"/>
      <c r="NXM2463" s="63"/>
      <c r="NXN2463" s="61"/>
      <c r="NXO2463" s="54"/>
      <c r="NXP2463" s="54"/>
      <c r="NXQ2463" s="63"/>
      <c r="NXR2463" s="60"/>
      <c r="NXS2463" s="60"/>
      <c r="NXT2463" s="60"/>
      <c r="NXU2463" s="63"/>
      <c r="NXV2463" s="61"/>
      <c r="NXW2463" s="54"/>
      <c r="NXX2463" s="54"/>
      <c r="NXY2463" s="63"/>
      <c r="NXZ2463" s="60"/>
      <c r="NYA2463" s="60"/>
      <c r="NYB2463" s="60"/>
      <c r="NYC2463" s="63"/>
      <c r="NYD2463" s="61"/>
      <c r="NYE2463" s="54"/>
      <c r="NYF2463" s="54"/>
      <c r="NYG2463" s="63"/>
      <c r="NYH2463" s="60"/>
      <c r="NYI2463" s="60"/>
      <c r="NYJ2463" s="60"/>
      <c r="NYK2463" s="63"/>
      <c r="NYL2463" s="61"/>
      <c r="NYM2463" s="54"/>
      <c r="NYN2463" s="54"/>
      <c r="NYO2463" s="63"/>
      <c r="NYP2463" s="60"/>
      <c r="NYQ2463" s="60"/>
      <c r="NYR2463" s="60"/>
      <c r="NYS2463" s="63"/>
      <c r="NYT2463" s="61"/>
      <c r="NYU2463" s="54"/>
      <c r="NYV2463" s="54"/>
      <c r="NYW2463" s="63"/>
      <c r="NYX2463" s="60"/>
      <c r="NYY2463" s="60"/>
      <c r="NYZ2463" s="60"/>
      <c r="NZA2463" s="63"/>
      <c r="NZB2463" s="61"/>
      <c r="NZC2463" s="54"/>
      <c r="NZD2463" s="54"/>
      <c r="NZE2463" s="63"/>
      <c r="NZF2463" s="60"/>
      <c r="NZG2463" s="60"/>
      <c r="NZH2463" s="60"/>
      <c r="NZI2463" s="63"/>
      <c r="NZJ2463" s="61"/>
      <c r="NZK2463" s="54"/>
      <c r="NZL2463" s="54"/>
      <c r="NZM2463" s="63"/>
      <c r="NZN2463" s="60"/>
      <c r="NZO2463" s="60"/>
      <c r="NZP2463" s="60"/>
      <c r="NZQ2463" s="63"/>
      <c r="NZR2463" s="61"/>
      <c r="NZS2463" s="54"/>
      <c r="NZT2463" s="54"/>
      <c r="NZU2463" s="63"/>
      <c r="NZV2463" s="60"/>
      <c r="NZW2463" s="60"/>
      <c r="NZX2463" s="60"/>
      <c r="NZY2463" s="63"/>
      <c r="NZZ2463" s="61"/>
      <c r="OAA2463" s="54"/>
      <c r="OAB2463" s="54"/>
      <c r="OAC2463" s="63"/>
      <c r="OAD2463" s="60"/>
      <c r="OAE2463" s="60"/>
      <c r="OAF2463" s="60"/>
      <c r="OAG2463" s="63"/>
      <c r="OAH2463" s="61"/>
      <c r="OAI2463" s="54"/>
      <c r="OAJ2463" s="54"/>
      <c r="OAK2463" s="63"/>
      <c r="OAL2463" s="60"/>
      <c r="OAM2463" s="60"/>
      <c r="OAN2463" s="60"/>
      <c r="OAO2463" s="63"/>
      <c r="OAP2463" s="61"/>
      <c r="OAQ2463" s="54"/>
      <c r="OAR2463" s="54"/>
      <c r="OAS2463" s="63"/>
      <c r="OAT2463" s="60"/>
      <c r="OAU2463" s="60"/>
      <c r="OAV2463" s="60"/>
      <c r="OAW2463" s="63"/>
      <c r="OAX2463" s="61"/>
      <c r="OAY2463" s="54"/>
      <c r="OAZ2463" s="54"/>
      <c r="OBA2463" s="63"/>
      <c r="OBB2463" s="60"/>
      <c r="OBC2463" s="60"/>
      <c r="OBD2463" s="60"/>
      <c r="OBE2463" s="63"/>
      <c r="OBF2463" s="61"/>
      <c r="OBG2463" s="54"/>
      <c r="OBH2463" s="54"/>
      <c r="OBI2463" s="63"/>
      <c r="OBJ2463" s="60"/>
      <c r="OBK2463" s="60"/>
      <c r="OBL2463" s="60"/>
      <c r="OBM2463" s="63"/>
      <c r="OBN2463" s="61"/>
      <c r="OBO2463" s="54"/>
      <c r="OBP2463" s="54"/>
      <c r="OBQ2463" s="63"/>
      <c r="OBR2463" s="60"/>
      <c r="OBS2463" s="60"/>
      <c r="OBT2463" s="60"/>
      <c r="OBU2463" s="63"/>
      <c r="OBV2463" s="61"/>
      <c r="OBW2463" s="54"/>
      <c r="OBX2463" s="54"/>
      <c r="OBY2463" s="63"/>
      <c r="OBZ2463" s="60"/>
      <c r="OCA2463" s="60"/>
      <c r="OCB2463" s="60"/>
      <c r="OCC2463" s="63"/>
      <c r="OCD2463" s="61"/>
      <c r="OCE2463" s="54"/>
      <c r="OCF2463" s="54"/>
      <c r="OCG2463" s="63"/>
      <c r="OCH2463" s="60"/>
      <c r="OCI2463" s="60"/>
      <c r="OCJ2463" s="60"/>
      <c r="OCK2463" s="63"/>
      <c r="OCL2463" s="61"/>
      <c r="OCM2463" s="54"/>
      <c r="OCN2463" s="54"/>
      <c r="OCO2463" s="63"/>
      <c r="OCP2463" s="60"/>
      <c r="OCQ2463" s="60"/>
      <c r="OCR2463" s="60"/>
      <c r="OCS2463" s="63"/>
      <c r="OCT2463" s="61"/>
      <c r="OCU2463" s="54"/>
      <c r="OCV2463" s="54"/>
      <c r="OCW2463" s="63"/>
      <c r="OCX2463" s="60"/>
      <c r="OCY2463" s="60"/>
      <c r="OCZ2463" s="60"/>
      <c r="ODA2463" s="63"/>
      <c r="ODB2463" s="61"/>
      <c r="ODC2463" s="54"/>
      <c r="ODD2463" s="54"/>
      <c r="ODE2463" s="63"/>
      <c r="ODF2463" s="60"/>
      <c r="ODG2463" s="60"/>
      <c r="ODH2463" s="60"/>
      <c r="ODI2463" s="63"/>
      <c r="ODJ2463" s="61"/>
      <c r="ODK2463" s="54"/>
      <c r="ODL2463" s="54"/>
      <c r="ODM2463" s="63"/>
      <c r="ODN2463" s="60"/>
      <c r="ODO2463" s="60"/>
      <c r="ODP2463" s="60"/>
      <c r="ODQ2463" s="63"/>
      <c r="ODR2463" s="61"/>
      <c r="ODS2463" s="54"/>
      <c r="ODT2463" s="54"/>
      <c r="ODU2463" s="63"/>
      <c r="ODV2463" s="60"/>
      <c r="ODW2463" s="60"/>
      <c r="ODX2463" s="60"/>
      <c r="ODY2463" s="63"/>
      <c r="ODZ2463" s="61"/>
      <c r="OEA2463" s="54"/>
      <c r="OEB2463" s="54"/>
      <c r="OEC2463" s="63"/>
      <c r="OED2463" s="60"/>
      <c r="OEE2463" s="60"/>
      <c r="OEF2463" s="60"/>
      <c r="OEG2463" s="63"/>
      <c r="OEH2463" s="61"/>
      <c r="OEI2463" s="54"/>
      <c r="OEJ2463" s="54"/>
      <c r="OEK2463" s="63"/>
      <c r="OEL2463" s="60"/>
      <c r="OEM2463" s="60"/>
      <c r="OEN2463" s="60"/>
      <c r="OEO2463" s="63"/>
      <c r="OEP2463" s="61"/>
      <c r="OEQ2463" s="54"/>
      <c r="OER2463" s="54"/>
      <c r="OES2463" s="63"/>
      <c r="OET2463" s="60"/>
      <c r="OEU2463" s="60"/>
      <c r="OEV2463" s="60"/>
      <c r="OEW2463" s="63"/>
      <c r="OEX2463" s="61"/>
      <c r="OEY2463" s="54"/>
      <c r="OEZ2463" s="54"/>
      <c r="OFA2463" s="63"/>
      <c r="OFB2463" s="60"/>
      <c r="OFC2463" s="60"/>
      <c r="OFD2463" s="60"/>
      <c r="OFE2463" s="63"/>
      <c r="OFF2463" s="61"/>
      <c r="OFG2463" s="54"/>
      <c r="OFH2463" s="54"/>
      <c r="OFI2463" s="63"/>
      <c r="OFJ2463" s="60"/>
      <c r="OFK2463" s="60"/>
      <c r="OFL2463" s="60"/>
      <c r="OFM2463" s="63"/>
      <c r="OFN2463" s="61"/>
      <c r="OFO2463" s="54"/>
      <c r="OFP2463" s="54"/>
      <c r="OFQ2463" s="63"/>
      <c r="OFR2463" s="60"/>
      <c r="OFS2463" s="60"/>
      <c r="OFT2463" s="60"/>
      <c r="OFU2463" s="63"/>
      <c r="OFV2463" s="61"/>
      <c r="OFW2463" s="54"/>
      <c r="OFX2463" s="54"/>
      <c r="OFY2463" s="63"/>
      <c r="OFZ2463" s="60"/>
      <c r="OGA2463" s="60"/>
      <c r="OGB2463" s="60"/>
      <c r="OGC2463" s="63"/>
      <c r="OGD2463" s="61"/>
      <c r="OGE2463" s="54"/>
      <c r="OGF2463" s="54"/>
      <c r="OGG2463" s="63"/>
      <c r="OGH2463" s="60"/>
      <c r="OGI2463" s="60"/>
      <c r="OGJ2463" s="60"/>
      <c r="OGK2463" s="63"/>
      <c r="OGL2463" s="61"/>
      <c r="OGM2463" s="54"/>
      <c r="OGN2463" s="54"/>
      <c r="OGO2463" s="63"/>
      <c r="OGP2463" s="60"/>
      <c r="OGQ2463" s="60"/>
      <c r="OGR2463" s="60"/>
      <c r="OGS2463" s="63"/>
      <c r="OGT2463" s="61"/>
      <c r="OGU2463" s="54"/>
      <c r="OGV2463" s="54"/>
      <c r="OGW2463" s="63"/>
      <c r="OGX2463" s="60"/>
      <c r="OGY2463" s="60"/>
      <c r="OGZ2463" s="60"/>
      <c r="OHA2463" s="63"/>
      <c r="OHB2463" s="61"/>
      <c r="OHC2463" s="54"/>
      <c r="OHD2463" s="54"/>
      <c r="OHE2463" s="63"/>
      <c r="OHF2463" s="60"/>
      <c r="OHG2463" s="60"/>
      <c r="OHH2463" s="60"/>
      <c r="OHI2463" s="63"/>
      <c r="OHJ2463" s="61"/>
      <c r="OHK2463" s="54"/>
      <c r="OHL2463" s="54"/>
      <c r="OHM2463" s="63"/>
      <c r="OHN2463" s="60"/>
      <c r="OHO2463" s="60"/>
      <c r="OHP2463" s="60"/>
      <c r="OHQ2463" s="63"/>
      <c r="OHR2463" s="61"/>
      <c r="OHS2463" s="54"/>
      <c r="OHT2463" s="54"/>
      <c r="OHU2463" s="63"/>
      <c r="OHV2463" s="60"/>
      <c r="OHW2463" s="60"/>
      <c r="OHX2463" s="60"/>
      <c r="OHY2463" s="63"/>
      <c r="OHZ2463" s="61"/>
      <c r="OIA2463" s="54"/>
      <c r="OIB2463" s="54"/>
      <c r="OIC2463" s="63"/>
      <c r="OID2463" s="60"/>
      <c r="OIE2463" s="60"/>
      <c r="OIF2463" s="60"/>
      <c r="OIG2463" s="63"/>
      <c r="OIH2463" s="61"/>
      <c r="OII2463" s="54"/>
      <c r="OIJ2463" s="54"/>
      <c r="OIK2463" s="63"/>
      <c r="OIL2463" s="60"/>
      <c r="OIM2463" s="60"/>
      <c r="OIN2463" s="60"/>
      <c r="OIO2463" s="63"/>
      <c r="OIP2463" s="61"/>
      <c r="OIQ2463" s="54"/>
      <c r="OIR2463" s="54"/>
      <c r="OIS2463" s="63"/>
      <c r="OIT2463" s="60"/>
      <c r="OIU2463" s="60"/>
      <c r="OIV2463" s="60"/>
      <c r="OIW2463" s="63"/>
      <c r="OIX2463" s="61"/>
      <c r="OIY2463" s="54"/>
      <c r="OIZ2463" s="54"/>
      <c r="OJA2463" s="63"/>
      <c r="OJB2463" s="60"/>
      <c r="OJC2463" s="60"/>
      <c r="OJD2463" s="60"/>
      <c r="OJE2463" s="63"/>
      <c r="OJF2463" s="61"/>
      <c r="OJG2463" s="54"/>
      <c r="OJH2463" s="54"/>
      <c r="OJI2463" s="63"/>
      <c r="OJJ2463" s="60"/>
      <c r="OJK2463" s="60"/>
      <c r="OJL2463" s="60"/>
      <c r="OJM2463" s="63"/>
      <c r="OJN2463" s="61"/>
      <c r="OJO2463" s="54"/>
      <c r="OJP2463" s="54"/>
      <c r="OJQ2463" s="63"/>
      <c r="OJR2463" s="60"/>
      <c r="OJS2463" s="60"/>
      <c r="OJT2463" s="60"/>
      <c r="OJU2463" s="63"/>
      <c r="OJV2463" s="61"/>
      <c r="OJW2463" s="54"/>
      <c r="OJX2463" s="54"/>
      <c r="OJY2463" s="63"/>
      <c r="OJZ2463" s="60"/>
      <c r="OKA2463" s="60"/>
      <c r="OKB2463" s="60"/>
      <c r="OKC2463" s="63"/>
      <c r="OKD2463" s="61"/>
      <c r="OKE2463" s="54"/>
      <c r="OKF2463" s="54"/>
      <c r="OKG2463" s="63"/>
      <c r="OKH2463" s="60"/>
      <c r="OKI2463" s="60"/>
      <c r="OKJ2463" s="60"/>
      <c r="OKK2463" s="63"/>
      <c r="OKL2463" s="61"/>
      <c r="OKM2463" s="54"/>
      <c r="OKN2463" s="54"/>
      <c r="OKO2463" s="63"/>
      <c r="OKP2463" s="60"/>
      <c r="OKQ2463" s="60"/>
      <c r="OKR2463" s="60"/>
      <c r="OKS2463" s="63"/>
      <c r="OKT2463" s="61"/>
      <c r="OKU2463" s="54"/>
      <c r="OKV2463" s="54"/>
      <c r="OKW2463" s="63"/>
      <c r="OKX2463" s="60"/>
      <c r="OKY2463" s="60"/>
      <c r="OKZ2463" s="60"/>
      <c r="OLA2463" s="63"/>
      <c r="OLB2463" s="61"/>
      <c r="OLC2463" s="54"/>
      <c r="OLD2463" s="54"/>
      <c r="OLE2463" s="63"/>
      <c r="OLF2463" s="60"/>
      <c r="OLG2463" s="60"/>
      <c r="OLH2463" s="60"/>
      <c r="OLI2463" s="63"/>
      <c r="OLJ2463" s="61"/>
      <c r="OLK2463" s="54"/>
      <c r="OLL2463" s="54"/>
      <c r="OLM2463" s="63"/>
      <c r="OLN2463" s="60"/>
      <c r="OLO2463" s="60"/>
      <c r="OLP2463" s="60"/>
      <c r="OLQ2463" s="63"/>
      <c r="OLR2463" s="61"/>
      <c r="OLS2463" s="54"/>
      <c r="OLT2463" s="54"/>
      <c r="OLU2463" s="63"/>
      <c r="OLV2463" s="60"/>
      <c r="OLW2463" s="60"/>
      <c r="OLX2463" s="60"/>
      <c r="OLY2463" s="63"/>
      <c r="OLZ2463" s="61"/>
      <c r="OMA2463" s="54"/>
      <c r="OMB2463" s="54"/>
      <c r="OMC2463" s="63"/>
      <c r="OMD2463" s="60"/>
      <c r="OME2463" s="60"/>
      <c r="OMF2463" s="60"/>
      <c r="OMG2463" s="63"/>
      <c r="OMH2463" s="61"/>
      <c r="OMI2463" s="54"/>
      <c r="OMJ2463" s="54"/>
      <c r="OMK2463" s="63"/>
      <c r="OML2463" s="60"/>
      <c r="OMM2463" s="60"/>
      <c r="OMN2463" s="60"/>
      <c r="OMO2463" s="63"/>
      <c r="OMP2463" s="61"/>
      <c r="OMQ2463" s="54"/>
      <c r="OMR2463" s="54"/>
      <c r="OMS2463" s="63"/>
      <c r="OMT2463" s="60"/>
      <c r="OMU2463" s="60"/>
      <c r="OMV2463" s="60"/>
      <c r="OMW2463" s="63"/>
      <c r="OMX2463" s="61"/>
      <c r="OMY2463" s="54"/>
      <c r="OMZ2463" s="54"/>
      <c r="ONA2463" s="63"/>
      <c r="ONB2463" s="60"/>
      <c r="ONC2463" s="60"/>
      <c r="OND2463" s="60"/>
      <c r="ONE2463" s="63"/>
      <c r="ONF2463" s="61"/>
      <c r="ONG2463" s="54"/>
      <c r="ONH2463" s="54"/>
      <c r="ONI2463" s="63"/>
      <c r="ONJ2463" s="60"/>
      <c r="ONK2463" s="60"/>
      <c r="ONL2463" s="60"/>
      <c r="ONM2463" s="63"/>
      <c r="ONN2463" s="61"/>
      <c r="ONO2463" s="54"/>
      <c r="ONP2463" s="54"/>
      <c r="ONQ2463" s="63"/>
      <c r="ONR2463" s="60"/>
      <c r="ONS2463" s="60"/>
      <c r="ONT2463" s="60"/>
      <c r="ONU2463" s="63"/>
      <c r="ONV2463" s="61"/>
      <c r="ONW2463" s="54"/>
      <c r="ONX2463" s="54"/>
      <c r="ONY2463" s="63"/>
      <c r="ONZ2463" s="60"/>
      <c r="OOA2463" s="60"/>
      <c r="OOB2463" s="60"/>
      <c r="OOC2463" s="63"/>
      <c r="OOD2463" s="61"/>
      <c r="OOE2463" s="54"/>
      <c r="OOF2463" s="54"/>
      <c r="OOG2463" s="63"/>
      <c r="OOH2463" s="60"/>
      <c r="OOI2463" s="60"/>
      <c r="OOJ2463" s="60"/>
      <c r="OOK2463" s="63"/>
      <c r="OOL2463" s="61"/>
      <c r="OOM2463" s="54"/>
      <c r="OON2463" s="54"/>
      <c r="OOO2463" s="63"/>
      <c r="OOP2463" s="60"/>
      <c r="OOQ2463" s="60"/>
      <c r="OOR2463" s="60"/>
      <c r="OOS2463" s="63"/>
      <c r="OOT2463" s="61"/>
      <c r="OOU2463" s="54"/>
      <c r="OOV2463" s="54"/>
      <c r="OOW2463" s="63"/>
      <c r="OOX2463" s="60"/>
      <c r="OOY2463" s="60"/>
      <c r="OOZ2463" s="60"/>
      <c r="OPA2463" s="63"/>
      <c r="OPB2463" s="61"/>
      <c r="OPC2463" s="54"/>
      <c r="OPD2463" s="54"/>
      <c r="OPE2463" s="63"/>
      <c r="OPF2463" s="60"/>
      <c r="OPG2463" s="60"/>
      <c r="OPH2463" s="60"/>
      <c r="OPI2463" s="63"/>
      <c r="OPJ2463" s="61"/>
      <c r="OPK2463" s="54"/>
      <c r="OPL2463" s="54"/>
      <c r="OPM2463" s="63"/>
      <c r="OPN2463" s="60"/>
      <c r="OPO2463" s="60"/>
      <c r="OPP2463" s="60"/>
      <c r="OPQ2463" s="63"/>
      <c r="OPR2463" s="61"/>
      <c r="OPS2463" s="54"/>
      <c r="OPT2463" s="54"/>
      <c r="OPU2463" s="63"/>
      <c r="OPV2463" s="60"/>
      <c r="OPW2463" s="60"/>
      <c r="OPX2463" s="60"/>
      <c r="OPY2463" s="63"/>
      <c r="OPZ2463" s="61"/>
      <c r="OQA2463" s="54"/>
      <c r="OQB2463" s="54"/>
      <c r="OQC2463" s="63"/>
      <c r="OQD2463" s="60"/>
      <c r="OQE2463" s="60"/>
      <c r="OQF2463" s="60"/>
      <c r="OQG2463" s="63"/>
      <c r="OQH2463" s="61"/>
      <c r="OQI2463" s="54"/>
      <c r="OQJ2463" s="54"/>
      <c r="OQK2463" s="63"/>
      <c r="OQL2463" s="60"/>
      <c r="OQM2463" s="60"/>
      <c r="OQN2463" s="60"/>
      <c r="OQO2463" s="63"/>
      <c r="OQP2463" s="61"/>
      <c r="OQQ2463" s="54"/>
      <c r="OQR2463" s="54"/>
      <c r="OQS2463" s="63"/>
      <c r="OQT2463" s="60"/>
      <c r="OQU2463" s="60"/>
      <c r="OQV2463" s="60"/>
      <c r="OQW2463" s="63"/>
      <c r="OQX2463" s="61"/>
      <c r="OQY2463" s="54"/>
      <c r="OQZ2463" s="54"/>
      <c r="ORA2463" s="63"/>
      <c r="ORB2463" s="60"/>
      <c r="ORC2463" s="60"/>
      <c r="ORD2463" s="60"/>
      <c r="ORE2463" s="63"/>
      <c r="ORF2463" s="61"/>
      <c r="ORG2463" s="54"/>
      <c r="ORH2463" s="54"/>
      <c r="ORI2463" s="63"/>
      <c r="ORJ2463" s="60"/>
      <c r="ORK2463" s="60"/>
      <c r="ORL2463" s="60"/>
      <c r="ORM2463" s="63"/>
      <c r="ORN2463" s="61"/>
      <c r="ORO2463" s="54"/>
      <c r="ORP2463" s="54"/>
      <c r="ORQ2463" s="63"/>
      <c r="ORR2463" s="60"/>
      <c r="ORS2463" s="60"/>
      <c r="ORT2463" s="60"/>
      <c r="ORU2463" s="63"/>
      <c r="ORV2463" s="61"/>
      <c r="ORW2463" s="54"/>
      <c r="ORX2463" s="54"/>
      <c r="ORY2463" s="63"/>
      <c r="ORZ2463" s="60"/>
      <c r="OSA2463" s="60"/>
      <c r="OSB2463" s="60"/>
      <c r="OSC2463" s="63"/>
      <c r="OSD2463" s="61"/>
      <c r="OSE2463" s="54"/>
      <c r="OSF2463" s="54"/>
      <c r="OSG2463" s="63"/>
      <c r="OSH2463" s="60"/>
      <c r="OSI2463" s="60"/>
      <c r="OSJ2463" s="60"/>
      <c r="OSK2463" s="63"/>
      <c r="OSL2463" s="61"/>
      <c r="OSM2463" s="54"/>
      <c r="OSN2463" s="54"/>
      <c r="OSO2463" s="63"/>
      <c r="OSP2463" s="60"/>
      <c r="OSQ2463" s="60"/>
      <c r="OSR2463" s="60"/>
      <c r="OSS2463" s="63"/>
      <c r="OST2463" s="61"/>
      <c r="OSU2463" s="54"/>
      <c r="OSV2463" s="54"/>
      <c r="OSW2463" s="63"/>
      <c r="OSX2463" s="60"/>
      <c r="OSY2463" s="60"/>
      <c r="OSZ2463" s="60"/>
      <c r="OTA2463" s="63"/>
      <c r="OTB2463" s="61"/>
      <c r="OTC2463" s="54"/>
      <c r="OTD2463" s="54"/>
      <c r="OTE2463" s="63"/>
      <c r="OTF2463" s="60"/>
      <c r="OTG2463" s="60"/>
      <c r="OTH2463" s="60"/>
      <c r="OTI2463" s="63"/>
      <c r="OTJ2463" s="61"/>
      <c r="OTK2463" s="54"/>
      <c r="OTL2463" s="54"/>
      <c r="OTM2463" s="63"/>
      <c r="OTN2463" s="60"/>
      <c r="OTO2463" s="60"/>
      <c r="OTP2463" s="60"/>
      <c r="OTQ2463" s="63"/>
      <c r="OTR2463" s="61"/>
      <c r="OTS2463" s="54"/>
      <c r="OTT2463" s="54"/>
      <c r="OTU2463" s="63"/>
      <c r="OTV2463" s="60"/>
      <c r="OTW2463" s="60"/>
      <c r="OTX2463" s="60"/>
      <c r="OTY2463" s="63"/>
      <c r="OTZ2463" s="61"/>
      <c r="OUA2463" s="54"/>
      <c r="OUB2463" s="54"/>
      <c r="OUC2463" s="63"/>
      <c r="OUD2463" s="60"/>
      <c r="OUE2463" s="60"/>
      <c r="OUF2463" s="60"/>
      <c r="OUG2463" s="63"/>
      <c r="OUH2463" s="61"/>
      <c r="OUI2463" s="54"/>
      <c r="OUJ2463" s="54"/>
      <c r="OUK2463" s="63"/>
      <c r="OUL2463" s="60"/>
      <c r="OUM2463" s="60"/>
      <c r="OUN2463" s="60"/>
      <c r="OUO2463" s="63"/>
      <c r="OUP2463" s="61"/>
      <c r="OUQ2463" s="54"/>
      <c r="OUR2463" s="54"/>
      <c r="OUS2463" s="63"/>
      <c r="OUT2463" s="60"/>
      <c r="OUU2463" s="60"/>
      <c r="OUV2463" s="60"/>
      <c r="OUW2463" s="63"/>
      <c r="OUX2463" s="61"/>
      <c r="OUY2463" s="54"/>
      <c r="OUZ2463" s="54"/>
      <c r="OVA2463" s="63"/>
      <c r="OVB2463" s="60"/>
      <c r="OVC2463" s="60"/>
      <c r="OVD2463" s="60"/>
      <c r="OVE2463" s="63"/>
      <c r="OVF2463" s="61"/>
      <c r="OVG2463" s="54"/>
      <c r="OVH2463" s="54"/>
      <c r="OVI2463" s="63"/>
      <c r="OVJ2463" s="60"/>
      <c r="OVK2463" s="60"/>
      <c r="OVL2463" s="60"/>
      <c r="OVM2463" s="63"/>
      <c r="OVN2463" s="61"/>
      <c r="OVO2463" s="54"/>
      <c r="OVP2463" s="54"/>
      <c r="OVQ2463" s="63"/>
      <c r="OVR2463" s="60"/>
      <c r="OVS2463" s="60"/>
      <c r="OVT2463" s="60"/>
      <c r="OVU2463" s="63"/>
      <c r="OVV2463" s="61"/>
      <c r="OVW2463" s="54"/>
      <c r="OVX2463" s="54"/>
      <c r="OVY2463" s="63"/>
      <c r="OVZ2463" s="60"/>
      <c r="OWA2463" s="60"/>
      <c r="OWB2463" s="60"/>
      <c r="OWC2463" s="63"/>
      <c r="OWD2463" s="61"/>
      <c r="OWE2463" s="54"/>
      <c r="OWF2463" s="54"/>
      <c r="OWG2463" s="63"/>
      <c r="OWH2463" s="60"/>
      <c r="OWI2463" s="60"/>
      <c r="OWJ2463" s="60"/>
      <c r="OWK2463" s="63"/>
      <c r="OWL2463" s="61"/>
      <c r="OWM2463" s="54"/>
      <c r="OWN2463" s="54"/>
      <c r="OWO2463" s="63"/>
      <c r="OWP2463" s="60"/>
      <c r="OWQ2463" s="60"/>
      <c r="OWR2463" s="60"/>
      <c r="OWS2463" s="63"/>
      <c r="OWT2463" s="61"/>
      <c r="OWU2463" s="54"/>
      <c r="OWV2463" s="54"/>
      <c r="OWW2463" s="63"/>
      <c r="OWX2463" s="60"/>
      <c r="OWY2463" s="60"/>
      <c r="OWZ2463" s="60"/>
      <c r="OXA2463" s="63"/>
      <c r="OXB2463" s="61"/>
      <c r="OXC2463" s="54"/>
      <c r="OXD2463" s="54"/>
      <c r="OXE2463" s="63"/>
      <c r="OXF2463" s="60"/>
      <c r="OXG2463" s="60"/>
      <c r="OXH2463" s="60"/>
      <c r="OXI2463" s="63"/>
      <c r="OXJ2463" s="61"/>
      <c r="OXK2463" s="54"/>
      <c r="OXL2463" s="54"/>
      <c r="OXM2463" s="63"/>
      <c r="OXN2463" s="60"/>
      <c r="OXO2463" s="60"/>
      <c r="OXP2463" s="60"/>
      <c r="OXQ2463" s="63"/>
      <c r="OXR2463" s="61"/>
      <c r="OXS2463" s="54"/>
      <c r="OXT2463" s="54"/>
      <c r="OXU2463" s="63"/>
      <c r="OXV2463" s="60"/>
      <c r="OXW2463" s="60"/>
      <c r="OXX2463" s="60"/>
      <c r="OXY2463" s="63"/>
      <c r="OXZ2463" s="61"/>
      <c r="OYA2463" s="54"/>
      <c r="OYB2463" s="54"/>
      <c r="OYC2463" s="63"/>
      <c r="OYD2463" s="60"/>
      <c r="OYE2463" s="60"/>
      <c r="OYF2463" s="60"/>
      <c r="OYG2463" s="63"/>
      <c r="OYH2463" s="61"/>
      <c r="OYI2463" s="54"/>
      <c r="OYJ2463" s="54"/>
      <c r="OYK2463" s="63"/>
      <c r="OYL2463" s="60"/>
      <c r="OYM2463" s="60"/>
      <c r="OYN2463" s="60"/>
      <c r="OYO2463" s="63"/>
      <c r="OYP2463" s="61"/>
      <c r="OYQ2463" s="54"/>
      <c r="OYR2463" s="54"/>
      <c r="OYS2463" s="63"/>
      <c r="OYT2463" s="60"/>
      <c r="OYU2463" s="60"/>
      <c r="OYV2463" s="60"/>
      <c r="OYW2463" s="63"/>
      <c r="OYX2463" s="61"/>
      <c r="OYY2463" s="54"/>
      <c r="OYZ2463" s="54"/>
      <c r="OZA2463" s="63"/>
      <c r="OZB2463" s="60"/>
      <c r="OZC2463" s="60"/>
      <c r="OZD2463" s="60"/>
      <c r="OZE2463" s="63"/>
      <c r="OZF2463" s="61"/>
      <c r="OZG2463" s="54"/>
      <c r="OZH2463" s="54"/>
      <c r="OZI2463" s="63"/>
      <c r="OZJ2463" s="60"/>
      <c r="OZK2463" s="60"/>
      <c r="OZL2463" s="60"/>
      <c r="OZM2463" s="63"/>
      <c r="OZN2463" s="61"/>
      <c r="OZO2463" s="54"/>
      <c r="OZP2463" s="54"/>
      <c r="OZQ2463" s="63"/>
      <c r="OZR2463" s="60"/>
      <c r="OZS2463" s="60"/>
      <c r="OZT2463" s="60"/>
      <c r="OZU2463" s="63"/>
      <c r="OZV2463" s="61"/>
      <c r="OZW2463" s="54"/>
      <c r="OZX2463" s="54"/>
      <c r="OZY2463" s="63"/>
      <c r="OZZ2463" s="60"/>
      <c r="PAA2463" s="60"/>
      <c r="PAB2463" s="60"/>
      <c r="PAC2463" s="63"/>
      <c r="PAD2463" s="61"/>
      <c r="PAE2463" s="54"/>
      <c r="PAF2463" s="54"/>
      <c r="PAG2463" s="63"/>
      <c r="PAH2463" s="60"/>
      <c r="PAI2463" s="60"/>
      <c r="PAJ2463" s="60"/>
      <c r="PAK2463" s="63"/>
      <c r="PAL2463" s="61"/>
      <c r="PAM2463" s="54"/>
      <c r="PAN2463" s="54"/>
      <c r="PAO2463" s="63"/>
      <c r="PAP2463" s="60"/>
      <c r="PAQ2463" s="60"/>
      <c r="PAR2463" s="60"/>
      <c r="PAS2463" s="63"/>
      <c r="PAT2463" s="61"/>
      <c r="PAU2463" s="54"/>
      <c r="PAV2463" s="54"/>
      <c r="PAW2463" s="63"/>
      <c r="PAX2463" s="60"/>
      <c r="PAY2463" s="60"/>
      <c r="PAZ2463" s="60"/>
      <c r="PBA2463" s="63"/>
      <c r="PBB2463" s="61"/>
      <c r="PBC2463" s="54"/>
      <c r="PBD2463" s="54"/>
      <c r="PBE2463" s="63"/>
      <c r="PBF2463" s="60"/>
      <c r="PBG2463" s="60"/>
      <c r="PBH2463" s="60"/>
      <c r="PBI2463" s="63"/>
      <c r="PBJ2463" s="61"/>
      <c r="PBK2463" s="54"/>
      <c r="PBL2463" s="54"/>
      <c r="PBM2463" s="63"/>
      <c r="PBN2463" s="60"/>
      <c r="PBO2463" s="60"/>
      <c r="PBP2463" s="60"/>
      <c r="PBQ2463" s="63"/>
      <c r="PBR2463" s="61"/>
      <c r="PBS2463" s="54"/>
      <c r="PBT2463" s="54"/>
      <c r="PBU2463" s="63"/>
      <c r="PBV2463" s="60"/>
      <c r="PBW2463" s="60"/>
      <c r="PBX2463" s="60"/>
      <c r="PBY2463" s="63"/>
      <c r="PBZ2463" s="61"/>
      <c r="PCA2463" s="54"/>
      <c r="PCB2463" s="54"/>
      <c r="PCC2463" s="63"/>
      <c r="PCD2463" s="60"/>
      <c r="PCE2463" s="60"/>
      <c r="PCF2463" s="60"/>
      <c r="PCG2463" s="63"/>
      <c r="PCH2463" s="61"/>
      <c r="PCI2463" s="54"/>
      <c r="PCJ2463" s="54"/>
      <c r="PCK2463" s="63"/>
      <c r="PCL2463" s="60"/>
      <c r="PCM2463" s="60"/>
      <c r="PCN2463" s="60"/>
      <c r="PCO2463" s="63"/>
      <c r="PCP2463" s="61"/>
      <c r="PCQ2463" s="54"/>
      <c r="PCR2463" s="54"/>
      <c r="PCS2463" s="63"/>
      <c r="PCT2463" s="60"/>
      <c r="PCU2463" s="60"/>
      <c r="PCV2463" s="60"/>
      <c r="PCW2463" s="63"/>
      <c r="PCX2463" s="61"/>
      <c r="PCY2463" s="54"/>
      <c r="PCZ2463" s="54"/>
      <c r="PDA2463" s="63"/>
      <c r="PDB2463" s="60"/>
      <c r="PDC2463" s="60"/>
      <c r="PDD2463" s="60"/>
      <c r="PDE2463" s="63"/>
      <c r="PDF2463" s="61"/>
      <c r="PDG2463" s="54"/>
      <c r="PDH2463" s="54"/>
      <c r="PDI2463" s="63"/>
      <c r="PDJ2463" s="60"/>
      <c r="PDK2463" s="60"/>
      <c r="PDL2463" s="60"/>
      <c r="PDM2463" s="63"/>
      <c r="PDN2463" s="61"/>
      <c r="PDO2463" s="54"/>
      <c r="PDP2463" s="54"/>
      <c r="PDQ2463" s="63"/>
      <c r="PDR2463" s="60"/>
      <c r="PDS2463" s="60"/>
      <c r="PDT2463" s="60"/>
      <c r="PDU2463" s="63"/>
      <c r="PDV2463" s="61"/>
      <c r="PDW2463" s="54"/>
      <c r="PDX2463" s="54"/>
      <c r="PDY2463" s="63"/>
      <c r="PDZ2463" s="60"/>
      <c r="PEA2463" s="60"/>
      <c r="PEB2463" s="60"/>
      <c r="PEC2463" s="63"/>
      <c r="PED2463" s="61"/>
      <c r="PEE2463" s="54"/>
      <c r="PEF2463" s="54"/>
      <c r="PEG2463" s="63"/>
      <c r="PEH2463" s="60"/>
      <c r="PEI2463" s="60"/>
      <c r="PEJ2463" s="60"/>
      <c r="PEK2463" s="63"/>
      <c r="PEL2463" s="61"/>
      <c r="PEM2463" s="54"/>
      <c r="PEN2463" s="54"/>
      <c r="PEO2463" s="63"/>
      <c r="PEP2463" s="60"/>
      <c r="PEQ2463" s="60"/>
      <c r="PER2463" s="60"/>
      <c r="PES2463" s="63"/>
      <c r="PET2463" s="61"/>
      <c r="PEU2463" s="54"/>
      <c r="PEV2463" s="54"/>
      <c r="PEW2463" s="63"/>
      <c r="PEX2463" s="60"/>
      <c r="PEY2463" s="60"/>
      <c r="PEZ2463" s="60"/>
      <c r="PFA2463" s="63"/>
      <c r="PFB2463" s="61"/>
      <c r="PFC2463" s="54"/>
      <c r="PFD2463" s="54"/>
      <c r="PFE2463" s="63"/>
      <c r="PFF2463" s="60"/>
      <c r="PFG2463" s="60"/>
      <c r="PFH2463" s="60"/>
      <c r="PFI2463" s="63"/>
      <c r="PFJ2463" s="61"/>
      <c r="PFK2463" s="54"/>
      <c r="PFL2463" s="54"/>
      <c r="PFM2463" s="63"/>
      <c r="PFN2463" s="60"/>
      <c r="PFO2463" s="60"/>
      <c r="PFP2463" s="60"/>
      <c r="PFQ2463" s="63"/>
      <c r="PFR2463" s="61"/>
      <c r="PFS2463" s="54"/>
      <c r="PFT2463" s="54"/>
      <c r="PFU2463" s="63"/>
      <c r="PFV2463" s="60"/>
      <c r="PFW2463" s="60"/>
      <c r="PFX2463" s="60"/>
      <c r="PFY2463" s="63"/>
      <c r="PFZ2463" s="61"/>
      <c r="PGA2463" s="54"/>
      <c r="PGB2463" s="54"/>
      <c r="PGC2463" s="63"/>
      <c r="PGD2463" s="60"/>
      <c r="PGE2463" s="60"/>
      <c r="PGF2463" s="60"/>
      <c r="PGG2463" s="63"/>
      <c r="PGH2463" s="61"/>
      <c r="PGI2463" s="54"/>
      <c r="PGJ2463" s="54"/>
      <c r="PGK2463" s="63"/>
      <c r="PGL2463" s="60"/>
      <c r="PGM2463" s="60"/>
      <c r="PGN2463" s="60"/>
      <c r="PGO2463" s="63"/>
      <c r="PGP2463" s="61"/>
      <c r="PGQ2463" s="54"/>
      <c r="PGR2463" s="54"/>
      <c r="PGS2463" s="63"/>
      <c r="PGT2463" s="60"/>
      <c r="PGU2463" s="60"/>
      <c r="PGV2463" s="60"/>
      <c r="PGW2463" s="63"/>
      <c r="PGX2463" s="61"/>
      <c r="PGY2463" s="54"/>
      <c r="PGZ2463" s="54"/>
      <c r="PHA2463" s="63"/>
      <c r="PHB2463" s="60"/>
      <c r="PHC2463" s="60"/>
      <c r="PHD2463" s="60"/>
      <c r="PHE2463" s="63"/>
      <c r="PHF2463" s="61"/>
      <c r="PHG2463" s="54"/>
      <c r="PHH2463" s="54"/>
      <c r="PHI2463" s="63"/>
      <c r="PHJ2463" s="60"/>
      <c r="PHK2463" s="60"/>
      <c r="PHL2463" s="60"/>
      <c r="PHM2463" s="63"/>
      <c r="PHN2463" s="61"/>
      <c r="PHO2463" s="54"/>
      <c r="PHP2463" s="54"/>
      <c r="PHQ2463" s="63"/>
      <c r="PHR2463" s="60"/>
      <c r="PHS2463" s="60"/>
      <c r="PHT2463" s="60"/>
      <c r="PHU2463" s="63"/>
      <c r="PHV2463" s="61"/>
      <c r="PHW2463" s="54"/>
      <c r="PHX2463" s="54"/>
      <c r="PHY2463" s="63"/>
      <c r="PHZ2463" s="60"/>
      <c r="PIA2463" s="60"/>
      <c r="PIB2463" s="60"/>
      <c r="PIC2463" s="63"/>
      <c r="PID2463" s="61"/>
      <c r="PIE2463" s="54"/>
      <c r="PIF2463" s="54"/>
      <c r="PIG2463" s="63"/>
      <c r="PIH2463" s="60"/>
      <c r="PII2463" s="60"/>
      <c r="PIJ2463" s="60"/>
      <c r="PIK2463" s="63"/>
      <c r="PIL2463" s="61"/>
      <c r="PIM2463" s="54"/>
      <c r="PIN2463" s="54"/>
      <c r="PIO2463" s="63"/>
      <c r="PIP2463" s="60"/>
      <c r="PIQ2463" s="60"/>
      <c r="PIR2463" s="60"/>
      <c r="PIS2463" s="63"/>
      <c r="PIT2463" s="61"/>
      <c r="PIU2463" s="54"/>
      <c r="PIV2463" s="54"/>
      <c r="PIW2463" s="63"/>
      <c r="PIX2463" s="60"/>
      <c r="PIY2463" s="60"/>
      <c r="PIZ2463" s="60"/>
      <c r="PJA2463" s="63"/>
      <c r="PJB2463" s="61"/>
      <c r="PJC2463" s="54"/>
      <c r="PJD2463" s="54"/>
      <c r="PJE2463" s="63"/>
      <c r="PJF2463" s="60"/>
      <c r="PJG2463" s="60"/>
      <c r="PJH2463" s="60"/>
      <c r="PJI2463" s="63"/>
      <c r="PJJ2463" s="61"/>
      <c r="PJK2463" s="54"/>
      <c r="PJL2463" s="54"/>
      <c r="PJM2463" s="63"/>
      <c r="PJN2463" s="60"/>
      <c r="PJO2463" s="60"/>
      <c r="PJP2463" s="60"/>
      <c r="PJQ2463" s="63"/>
      <c r="PJR2463" s="61"/>
      <c r="PJS2463" s="54"/>
      <c r="PJT2463" s="54"/>
      <c r="PJU2463" s="63"/>
      <c r="PJV2463" s="60"/>
      <c r="PJW2463" s="60"/>
      <c r="PJX2463" s="60"/>
      <c r="PJY2463" s="63"/>
      <c r="PJZ2463" s="61"/>
      <c r="PKA2463" s="54"/>
      <c r="PKB2463" s="54"/>
      <c r="PKC2463" s="63"/>
      <c r="PKD2463" s="60"/>
      <c r="PKE2463" s="60"/>
      <c r="PKF2463" s="60"/>
      <c r="PKG2463" s="63"/>
      <c r="PKH2463" s="61"/>
      <c r="PKI2463" s="54"/>
      <c r="PKJ2463" s="54"/>
      <c r="PKK2463" s="63"/>
      <c r="PKL2463" s="60"/>
      <c r="PKM2463" s="60"/>
      <c r="PKN2463" s="60"/>
      <c r="PKO2463" s="63"/>
      <c r="PKP2463" s="61"/>
      <c r="PKQ2463" s="54"/>
      <c r="PKR2463" s="54"/>
      <c r="PKS2463" s="63"/>
      <c r="PKT2463" s="60"/>
      <c r="PKU2463" s="60"/>
      <c r="PKV2463" s="60"/>
      <c r="PKW2463" s="63"/>
      <c r="PKX2463" s="61"/>
      <c r="PKY2463" s="54"/>
      <c r="PKZ2463" s="54"/>
      <c r="PLA2463" s="63"/>
      <c r="PLB2463" s="60"/>
      <c r="PLC2463" s="60"/>
      <c r="PLD2463" s="60"/>
      <c r="PLE2463" s="63"/>
      <c r="PLF2463" s="61"/>
      <c r="PLG2463" s="54"/>
      <c r="PLH2463" s="54"/>
      <c r="PLI2463" s="63"/>
      <c r="PLJ2463" s="60"/>
      <c r="PLK2463" s="60"/>
      <c r="PLL2463" s="60"/>
      <c r="PLM2463" s="63"/>
      <c r="PLN2463" s="61"/>
      <c r="PLO2463" s="54"/>
      <c r="PLP2463" s="54"/>
      <c r="PLQ2463" s="63"/>
      <c r="PLR2463" s="60"/>
      <c r="PLS2463" s="60"/>
      <c r="PLT2463" s="60"/>
      <c r="PLU2463" s="63"/>
      <c r="PLV2463" s="61"/>
      <c r="PLW2463" s="54"/>
      <c r="PLX2463" s="54"/>
      <c r="PLY2463" s="63"/>
      <c r="PLZ2463" s="60"/>
      <c r="PMA2463" s="60"/>
      <c r="PMB2463" s="60"/>
      <c r="PMC2463" s="63"/>
      <c r="PMD2463" s="61"/>
      <c r="PME2463" s="54"/>
      <c r="PMF2463" s="54"/>
      <c r="PMG2463" s="63"/>
      <c r="PMH2463" s="60"/>
      <c r="PMI2463" s="60"/>
      <c r="PMJ2463" s="60"/>
      <c r="PMK2463" s="63"/>
      <c r="PML2463" s="61"/>
      <c r="PMM2463" s="54"/>
      <c r="PMN2463" s="54"/>
      <c r="PMO2463" s="63"/>
      <c r="PMP2463" s="60"/>
      <c r="PMQ2463" s="60"/>
      <c r="PMR2463" s="60"/>
      <c r="PMS2463" s="63"/>
      <c r="PMT2463" s="61"/>
      <c r="PMU2463" s="54"/>
      <c r="PMV2463" s="54"/>
      <c r="PMW2463" s="63"/>
      <c r="PMX2463" s="60"/>
      <c r="PMY2463" s="60"/>
      <c r="PMZ2463" s="60"/>
      <c r="PNA2463" s="63"/>
      <c r="PNB2463" s="61"/>
      <c r="PNC2463" s="54"/>
      <c r="PND2463" s="54"/>
      <c r="PNE2463" s="63"/>
      <c r="PNF2463" s="60"/>
      <c r="PNG2463" s="60"/>
      <c r="PNH2463" s="60"/>
      <c r="PNI2463" s="63"/>
      <c r="PNJ2463" s="61"/>
      <c r="PNK2463" s="54"/>
      <c r="PNL2463" s="54"/>
      <c r="PNM2463" s="63"/>
      <c r="PNN2463" s="60"/>
      <c r="PNO2463" s="60"/>
      <c r="PNP2463" s="60"/>
      <c r="PNQ2463" s="63"/>
      <c r="PNR2463" s="61"/>
      <c r="PNS2463" s="54"/>
      <c r="PNT2463" s="54"/>
      <c r="PNU2463" s="63"/>
      <c r="PNV2463" s="60"/>
      <c r="PNW2463" s="60"/>
      <c r="PNX2463" s="60"/>
      <c r="PNY2463" s="63"/>
      <c r="PNZ2463" s="61"/>
      <c r="POA2463" s="54"/>
      <c r="POB2463" s="54"/>
      <c r="POC2463" s="63"/>
      <c r="POD2463" s="60"/>
      <c r="POE2463" s="60"/>
      <c r="POF2463" s="60"/>
      <c r="POG2463" s="63"/>
      <c r="POH2463" s="61"/>
      <c r="POI2463" s="54"/>
      <c r="POJ2463" s="54"/>
      <c r="POK2463" s="63"/>
      <c r="POL2463" s="60"/>
      <c r="POM2463" s="60"/>
      <c r="PON2463" s="60"/>
      <c r="POO2463" s="63"/>
      <c r="POP2463" s="61"/>
      <c r="POQ2463" s="54"/>
      <c r="POR2463" s="54"/>
      <c r="POS2463" s="63"/>
      <c r="POT2463" s="60"/>
      <c r="POU2463" s="60"/>
      <c r="POV2463" s="60"/>
      <c r="POW2463" s="63"/>
      <c r="POX2463" s="61"/>
      <c r="POY2463" s="54"/>
      <c r="POZ2463" s="54"/>
      <c r="PPA2463" s="63"/>
      <c r="PPB2463" s="60"/>
      <c r="PPC2463" s="60"/>
      <c r="PPD2463" s="60"/>
      <c r="PPE2463" s="63"/>
      <c r="PPF2463" s="61"/>
      <c r="PPG2463" s="54"/>
      <c r="PPH2463" s="54"/>
      <c r="PPI2463" s="63"/>
      <c r="PPJ2463" s="60"/>
      <c r="PPK2463" s="60"/>
      <c r="PPL2463" s="60"/>
      <c r="PPM2463" s="63"/>
      <c r="PPN2463" s="61"/>
      <c r="PPO2463" s="54"/>
      <c r="PPP2463" s="54"/>
      <c r="PPQ2463" s="63"/>
      <c r="PPR2463" s="60"/>
      <c r="PPS2463" s="60"/>
      <c r="PPT2463" s="60"/>
      <c r="PPU2463" s="63"/>
      <c r="PPV2463" s="61"/>
      <c r="PPW2463" s="54"/>
      <c r="PPX2463" s="54"/>
      <c r="PPY2463" s="63"/>
      <c r="PPZ2463" s="60"/>
      <c r="PQA2463" s="60"/>
      <c r="PQB2463" s="60"/>
      <c r="PQC2463" s="63"/>
      <c r="PQD2463" s="61"/>
      <c r="PQE2463" s="54"/>
      <c r="PQF2463" s="54"/>
      <c r="PQG2463" s="63"/>
      <c r="PQH2463" s="60"/>
      <c r="PQI2463" s="60"/>
      <c r="PQJ2463" s="60"/>
      <c r="PQK2463" s="63"/>
      <c r="PQL2463" s="61"/>
      <c r="PQM2463" s="54"/>
      <c r="PQN2463" s="54"/>
      <c r="PQO2463" s="63"/>
      <c r="PQP2463" s="60"/>
      <c r="PQQ2463" s="60"/>
      <c r="PQR2463" s="60"/>
      <c r="PQS2463" s="63"/>
      <c r="PQT2463" s="61"/>
      <c r="PQU2463" s="54"/>
      <c r="PQV2463" s="54"/>
      <c r="PQW2463" s="63"/>
      <c r="PQX2463" s="60"/>
      <c r="PQY2463" s="60"/>
      <c r="PQZ2463" s="60"/>
      <c r="PRA2463" s="63"/>
      <c r="PRB2463" s="61"/>
      <c r="PRC2463" s="54"/>
      <c r="PRD2463" s="54"/>
      <c r="PRE2463" s="63"/>
      <c r="PRF2463" s="60"/>
      <c r="PRG2463" s="60"/>
      <c r="PRH2463" s="60"/>
      <c r="PRI2463" s="63"/>
      <c r="PRJ2463" s="61"/>
      <c r="PRK2463" s="54"/>
      <c r="PRL2463" s="54"/>
      <c r="PRM2463" s="63"/>
      <c r="PRN2463" s="60"/>
      <c r="PRO2463" s="60"/>
      <c r="PRP2463" s="60"/>
      <c r="PRQ2463" s="63"/>
      <c r="PRR2463" s="61"/>
      <c r="PRS2463" s="54"/>
      <c r="PRT2463" s="54"/>
      <c r="PRU2463" s="63"/>
      <c r="PRV2463" s="60"/>
      <c r="PRW2463" s="60"/>
      <c r="PRX2463" s="60"/>
      <c r="PRY2463" s="63"/>
      <c r="PRZ2463" s="61"/>
      <c r="PSA2463" s="54"/>
      <c r="PSB2463" s="54"/>
      <c r="PSC2463" s="63"/>
      <c r="PSD2463" s="60"/>
      <c r="PSE2463" s="60"/>
      <c r="PSF2463" s="60"/>
      <c r="PSG2463" s="63"/>
      <c r="PSH2463" s="61"/>
      <c r="PSI2463" s="54"/>
      <c r="PSJ2463" s="54"/>
      <c r="PSK2463" s="63"/>
      <c r="PSL2463" s="60"/>
      <c r="PSM2463" s="60"/>
      <c r="PSN2463" s="60"/>
      <c r="PSO2463" s="63"/>
      <c r="PSP2463" s="61"/>
      <c r="PSQ2463" s="54"/>
      <c r="PSR2463" s="54"/>
      <c r="PSS2463" s="63"/>
      <c r="PST2463" s="60"/>
      <c r="PSU2463" s="60"/>
      <c r="PSV2463" s="60"/>
      <c r="PSW2463" s="63"/>
      <c r="PSX2463" s="61"/>
      <c r="PSY2463" s="54"/>
      <c r="PSZ2463" s="54"/>
      <c r="PTA2463" s="63"/>
      <c r="PTB2463" s="60"/>
      <c r="PTC2463" s="60"/>
      <c r="PTD2463" s="60"/>
      <c r="PTE2463" s="63"/>
      <c r="PTF2463" s="61"/>
      <c r="PTG2463" s="54"/>
      <c r="PTH2463" s="54"/>
      <c r="PTI2463" s="63"/>
      <c r="PTJ2463" s="60"/>
      <c r="PTK2463" s="60"/>
      <c r="PTL2463" s="60"/>
      <c r="PTM2463" s="63"/>
      <c r="PTN2463" s="61"/>
      <c r="PTO2463" s="54"/>
      <c r="PTP2463" s="54"/>
      <c r="PTQ2463" s="63"/>
      <c r="PTR2463" s="60"/>
      <c r="PTS2463" s="60"/>
      <c r="PTT2463" s="60"/>
      <c r="PTU2463" s="63"/>
      <c r="PTV2463" s="61"/>
      <c r="PTW2463" s="54"/>
      <c r="PTX2463" s="54"/>
      <c r="PTY2463" s="63"/>
      <c r="PTZ2463" s="60"/>
      <c r="PUA2463" s="60"/>
      <c r="PUB2463" s="60"/>
      <c r="PUC2463" s="63"/>
      <c r="PUD2463" s="61"/>
      <c r="PUE2463" s="54"/>
      <c r="PUF2463" s="54"/>
      <c r="PUG2463" s="63"/>
      <c r="PUH2463" s="60"/>
      <c r="PUI2463" s="60"/>
      <c r="PUJ2463" s="60"/>
      <c r="PUK2463" s="63"/>
      <c r="PUL2463" s="61"/>
      <c r="PUM2463" s="54"/>
      <c r="PUN2463" s="54"/>
      <c r="PUO2463" s="63"/>
      <c r="PUP2463" s="60"/>
      <c r="PUQ2463" s="60"/>
      <c r="PUR2463" s="60"/>
      <c r="PUS2463" s="63"/>
      <c r="PUT2463" s="61"/>
      <c r="PUU2463" s="54"/>
      <c r="PUV2463" s="54"/>
      <c r="PUW2463" s="63"/>
      <c r="PUX2463" s="60"/>
      <c r="PUY2463" s="60"/>
      <c r="PUZ2463" s="60"/>
      <c r="PVA2463" s="63"/>
      <c r="PVB2463" s="61"/>
      <c r="PVC2463" s="54"/>
      <c r="PVD2463" s="54"/>
      <c r="PVE2463" s="63"/>
      <c r="PVF2463" s="60"/>
      <c r="PVG2463" s="60"/>
      <c r="PVH2463" s="60"/>
      <c r="PVI2463" s="63"/>
      <c r="PVJ2463" s="61"/>
      <c r="PVK2463" s="54"/>
      <c r="PVL2463" s="54"/>
      <c r="PVM2463" s="63"/>
      <c r="PVN2463" s="60"/>
      <c r="PVO2463" s="60"/>
      <c r="PVP2463" s="60"/>
      <c r="PVQ2463" s="63"/>
      <c r="PVR2463" s="61"/>
      <c r="PVS2463" s="54"/>
      <c r="PVT2463" s="54"/>
      <c r="PVU2463" s="63"/>
      <c r="PVV2463" s="60"/>
      <c r="PVW2463" s="60"/>
      <c r="PVX2463" s="60"/>
      <c r="PVY2463" s="63"/>
      <c r="PVZ2463" s="61"/>
      <c r="PWA2463" s="54"/>
      <c r="PWB2463" s="54"/>
      <c r="PWC2463" s="63"/>
      <c r="PWD2463" s="60"/>
      <c r="PWE2463" s="60"/>
      <c r="PWF2463" s="60"/>
      <c r="PWG2463" s="63"/>
      <c r="PWH2463" s="61"/>
      <c r="PWI2463" s="54"/>
      <c r="PWJ2463" s="54"/>
      <c r="PWK2463" s="63"/>
      <c r="PWL2463" s="60"/>
      <c r="PWM2463" s="60"/>
      <c r="PWN2463" s="60"/>
      <c r="PWO2463" s="63"/>
      <c r="PWP2463" s="61"/>
      <c r="PWQ2463" s="54"/>
      <c r="PWR2463" s="54"/>
      <c r="PWS2463" s="63"/>
      <c r="PWT2463" s="60"/>
      <c r="PWU2463" s="60"/>
      <c r="PWV2463" s="60"/>
      <c r="PWW2463" s="63"/>
      <c r="PWX2463" s="61"/>
      <c r="PWY2463" s="54"/>
      <c r="PWZ2463" s="54"/>
      <c r="PXA2463" s="63"/>
      <c r="PXB2463" s="60"/>
      <c r="PXC2463" s="60"/>
      <c r="PXD2463" s="60"/>
      <c r="PXE2463" s="63"/>
      <c r="PXF2463" s="61"/>
      <c r="PXG2463" s="54"/>
      <c r="PXH2463" s="54"/>
      <c r="PXI2463" s="63"/>
      <c r="PXJ2463" s="60"/>
      <c r="PXK2463" s="60"/>
      <c r="PXL2463" s="60"/>
      <c r="PXM2463" s="63"/>
      <c r="PXN2463" s="61"/>
      <c r="PXO2463" s="54"/>
      <c r="PXP2463" s="54"/>
      <c r="PXQ2463" s="63"/>
      <c r="PXR2463" s="60"/>
      <c r="PXS2463" s="60"/>
      <c r="PXT2463" s="60"/>
      <c r="PXU2463" s="63"/>
      <c r="PXV2463" s="61"/>
      <c r="PXW2463" s="54"/>
      <c r="PXX2463" s="54"/>
      <c r="PXY2463" s="63"/>
      <c r="PXZ2463" s="60"/>
      <c r="PYA2463" s="60"/>
      <c r="PYB2463" s="60"/>
      <c r="PYC2463" s="63"/>
      <c r="PYD2463" s="61"/>
      <c r="PYE2463" s="54"/>
      <c r="PYF2463" s="54"/>
      <c r="PYG2463" s="63"/>
      <c r="PYH2463" s="60"/>
      <c r="PYI2463" s="60"/>
      <c r="PYJ2463" s="60"/>
      <c r="PYK2463" s="63"/>
      <c r="PYL2463" s="61"/>
      <c r="PYM2463" s="54"/>
      <c r="PYN2463" s="54"/>
      <c r="PYO2463" s="63"/>
      <c r="PYP2463" s="60"/>
      <c r="PYQ2463" s="60"/>
      <c r="PYR2463" s="60"/>
      <c r="PYS2463" s="63"/>
      <c r="PYT2463" s="61"/>
      <c r="PYU2463" s="54"/>
      <c r="PYV2463" s="54"/>
      <c r="PYW2463" s="63"/>
      <c r="PYX2463" s="60"/>
      <c r="PYY2463" s="60"/>
      <c r="PYZ2463" s="60"/>
      <c r="PZA2463" s="63"/>
      <c r="PZB2463" s="61"/>
      <c r="PZC2463" s="54"/>
      <c r="PZD2463" s="54"/>
      <c r="PZE2463" s="63"/>
      <c r="PZF2463" s="60"/>
      <c r="PZG2463" s="60"/>
      <c r="PZH2463" s="60"/>
      <c r="PZI2463" s="63"/>
      <c r="PZJ2463" s="61"/>
      <c r="PZK2463" s="54"/>
      <c r="PZL2463" s="54"/>
      <c r="PZM2463" s="63"/>
      <c r="PZN2463" s="60"/>
      <c r="PZO2463" s="60"/>
      <c r="PZP2463" s="60"/>
      <c r="PZQ2463" s="63"/>
      <c r="PZR2463" s="61"/>
      <c r="PZS2463" s="54"/>
      <c r="PZT2463" s="54"/>
      <c r="PZU2463" s="63"/>
      <c r="PZV2463" s="60"/>
      <c r="PZW2463" s="60"/>
      <c r="PZX2463" s="60"/>
      <c r="PZY2463" s="63"/>
      <c r="PZZ2463" s="61"/>
      <c r="QAA2463" s="54"/>
      <c r="QAB2463" s="54"/>
      <c r="QAC2463" s="63"/>
      <c r="QAD2463" s="60"/>
      <c r="QAE2463" s="60"/>
      <c r="QAF2463" s="60"/>
      <c r="QAG2463" s="63"/>
      <c r="QAH2463" s="61"/>
      <c r="QAI2463" s="54"/>
      <c r="QAJ2463" s="54"/>
      <c r="QAK2463" s="63"/>
      <c r="QAL2463" s="60"/>
      <c r="QAM2463" s="60"/>
      <c r="QAN2463" s="60"/>
      <c r="QAO2463" s="63"/>
      <c r="QAP2463" s="61"/>
      <c r="QAQ2463" s="54"/>
      <c r="QAR2463" s="54"/>
      <c r="QAS2463" s="63"/>
      <c r="QAT2463" s="60"/>
      <c r="QAU2463" s="60"/>
      <c r="QAV2463" s="60"/>
      <c r="QAW2463" s="63"/>
      <c r="QAX2463" s="61"/>
      <c r="QAY2463" s="54"/>
      <c r="QAZ2463" s="54"/>
      <c r="QBA2463" s="63"/>
      <c r="QBB2463" s="60"/>
      <c r="QBC2463" s="60"/>
      <c r="QBD2463" s="60"/>
      <c r="QBE2463" s="63"/>
      <c r="QBF2463" s="61"/>
      <c r="QBG2463" s="54"/>
      <c r="QBH2463" s="54"/>
      <c r="QBI2463" s="63"/>
      <c r="QBJ2463" s="60"/>
      <c r="QBK2463" s="60"/>
      <c r="QBL2463" s="60"/>
      <c r="QBM2463" s="63"/>
      <c r="QBN2463" s="61"/>
      <c r="QBO2463" s="54"/>
      <c r="QBP2463" s="54"/>
      <c r="QBQ2463" s="63"/>
      <c r="QBR2463" s="60"/>
      <c r="QBS2463" s="60"/>
      <c r="QBT2463" s="60"/>
      <c r="QBU2463" s="63"/>
      <c r="QBV2463" s="61"/>
      <c r="QBW2463" s="54"/>
      <c r="QBX2463" s="54"/>
      <c r="QBY2463" s="63"/>
      <c r="QBZ2463" s="60"/>
      <c r="QCA2463" s="60"/>
      <c r="QCB2463" s="60"/>
      <c r="QCC2463" s="63"/>
      <c r="QCD2463" s="61"/>
      <c r="QCE2463" s="54"/>
      <c r="QCF2463" s="54"/>
      <c r="QCG2463" s="63"/>
      <c r="QCH2463" s="60"/>
      <c r="QCI2463" s="60"/>
      <c r="QCJ2463" s="60"/>
      <c r="QCK2463" s="63"/>
      <c r="QCL2463" s="61"/>
      <c r="QCM2463" s="54"/>
      <c r="QCN2463" s="54"/>
      <c r="QCO2463" s="63"/>
      <c r="QCP2463" s="60"/>
      <c r="QCQ2463" s="60"/>
      <c r="QCR2463" s="60"/>
      <c r="QCS2463" s="63"/>
      <c r="QCT2463" s="61"/>
      <c r="QCU2463" s="54"/>
      <c r="QCV2463" s="54"/>
      <c r="QCW2463" s="63"/>
      <c r="QCX2463" s="60"/>
      <c r="QCY2463" s="60"/>
      <c r="QCZ2463" s="60"/>
      <c r="QDA2463" s="63"/>
      <c r="QDB2463" s="61"/>
      <c r="QDC2463" s="54"/>
      <c r="QDD2463" s="54"/>
      <c r="QDE2463" s="63"/>
      <c r="QDF2463" s="60"/>
      <c r="QDG2463" s="60"/>
      <c r="QDH2463" s="60"/>
      <c r="QDI2463" s="63"/>
      <c r="QDJ2463" s="61"/>
      <c r="QDK2463" s="54"/>
      <c r="QDL2463" s="54"/>
      <c r="QDM2463" s="63"/>
      <c r="QDN2463" s="60"/>
      <c r="QDO2463" s="60"/>
      <c r="QDP2463" s="60"/>
      <c r="QDQ2463" s="63"/>
      <c r="QDR2463" s="61"/>
      <c r="QDS2463" s="54"/>
      <c r="QDT2463" s="54"/>
      <c r="QDU2463" s="63"/>
      <c r="QDV2463" s="60"/>
      <c r="QDW2463" s="60"/>
      <c r="QDX2463" s="60"/>
      <c r="QDY2463" s="63"/>
      <c r="QDZ2463" s="61"/>
      <c r="QEA2463" s="54"/>
      <c r="QEB2463" s="54"/>
      <c r="QEC2463" s="63"/>
      <c r="QED2463" s="60"/>
      <c r="QEE2463" s="60"/>
      <c r="QEF2463" s="60"/>
      <c r="QEG2463" s="63"/>
      <c r="QEH2463" s="61"/>
      <c r="QEI2463" s="54"/>
      <c r="QEJ2463" s="54"/>
      <c r="QEK2463" s="63"/>
      <c r="QEL2463" s="60"/>
      <c r="QEM2463" s="60"/>
      <c r="QEN2463" s="60"/>
      <c r="QEO2463" s="63"/>
      <c r="QEP2463" s="61"/>
      <c r="QEQ2463" s="54"/>
      <c r="QER2463" s="54"/>
      <c r="QES2463" s="63"/>
      <c r="QET2463" s="60"/>
      <c r="QEU2463" s="60"/>
      <c r="QEV2463" s="60"/>
      <c r="QEW2463" s="63"/>
      <c r="QEX2463" s="61"/>
      <c r="QEY2463" s="54"/>
      <c r="QEZ2463" s="54"/>
      <c r="QFA2463" s="63"/>
      <c r="QFB2463" s="60"/>
      <c r="QFC2463" s="60"/>
      <c r="QFD2463" s="60"/>
      <c r="QFE2463" s="63"/>
      <c r="QFF2463" s="61"/>
      <c r="QFG2463" s="54"/>
      <c r="QFH2463" s="54"/>
      <c r="QFI2463" s="63"/>
      <c r="QFJ2463" s="60"/>
      <c r="QFK2463" s="60"/>
      <c r="QFL2463" s="60"/>
      <c r="QFM2463" s="63"/>
      <c r="QFN2463" s="61"/>
      <c r="QFO2463" s="54"/>
      <c r="QFP2463" s="54"/>
      <c r="QFQ2463" s="63"/>
      <c r="QFR2463" s="60"/>
      <c r="QFS2463" s="60"/>
      <c r="QFT2463" s="60"/>
      <c r="QFU2463" s="63"/>
      <c r="QFV2463" s="61"/>
      <c r="QFW2463" s="54"/>
      <c r="QFX2463" s="54"/>
      <c r="QFY2463" s="63"/>
      <c r="QFZ2463" s="60"/>
      <c r="QGA2463" s="60"/>
      <c r="QGB2463" s="60"/>
      <c r="QGC2463" s="63"/>
      <c r="QGD2463" s="61"/>
      <c r="QGE2463" s="54"/>
      <c r="QGF2463" s="54"/>
      <c r="QGG2463" s="63"/>
      <c r="QGH2463" s="60"/>
      <c r="QGI2463" s="60"/>
      <c r="QGJ2463" s="60"/>
      <c r="QGK2463" s="63"/>
      <c r="QGL2463" s="61"/>
      <c r="QGM2463" s="54"/>
      <c r="QGN2463" s="54"/>
      <c r="QGO2463" s="63"/>
      <c r="QGP2463" s="60"/>
      <c r="QGQ2463" s="60"/>
      <c r="QGR2463" s="60"/>
      <c r="QGS2463" s="63"/>
      <c r="QGT2463" s="61"/>
      <c r="QGU2463" s="54"/>
      <c r="QGV2463" s="54"/>
      <c r="QGW2463" s="63"/>
      <c r="QGX2463" s="60"/>
      <c r="QGY2463" s="60"/>
      <c r="QGZ2463" s="60"/>
      <c r="QHA2463" s="63"/>
      <c r="QHB2463" s="61"/>
      <c r="QHC2463" s="54"/>
      <c r="QHD2463" s="54"/>
      <c r="QHE2463" s="63"/>
      <c r="QHF2463" s="60"/>
      <c r="QHG2463" s="60"/>
      <c r="QHH2463" s="60"/>
      <c r="QHI2463" s="63"/>
      <c r="QHJ2463" s="61"/>
      <c r="QHK2463" s="54"/>
      <c r="QHL2463" s="54"/>
      <c r="QHM2463" s="63"/>
      <c r="QHN2463" s="60"/>
      <c r="QHO2463" s="60"/>
      <c r="QHP2463" s="60"/>
      <c r="QHQ2463" s="63"/>
      <c r="QHR2463" s="61"/>
      <c r="QHS2463" s="54"/>
      <c r="QHT2463" s="54"/>
      <c r="QHU2463" s="63"/>
      <c r="QHV2463" s="60"/>
      <c r="QHW2463" s="60"/>
      <c r="QHX2463" s="60"/>
      <c r="QHY2463" s="63"/>
      <c r="QHZ2463" s="61"/>
      <c r="QIA2463" s="54"/>
      <c r="QIB2463" s="54"/>
      <c r="QIC2463" s="63"/>
      <c r="QID2463" s="60"/>
      <c r="QIE2463" s="60"/>
      <c r="QIF2463" s="60"/>
      <c r="QIG2463" s="63"/>
      <c r="QIH2463" s="61"/>
      <c r="QII2463" s="54"/>
      <c r="QIJ2463" s="54"/>
      <c r="QIK2463" s="63"/>
      <c r="QIL2463" s="60"/>
      <c r="QIM2463" s="60"/>
      <c r="QIN2463" s="60"/>
      <c r="QIO2463" s="63"/>
      <c r="QIP2463" s="61"/>
      <c r="QIQ2463" s="54"/>
      <c r="QIR2463" s="54"/>
      <c r="QIS2463" s="63"/>
      <c r="QIT2463" s="60"/>
      <c r="QIU2463" s="60"/>
      <c r="QIV2463" s="60"/>
      <c r="QIW2463" s="63"/>
      <c r="QIX2463" s="61"/>
      <c r="QIY2463" s="54"/>
      <c r="QIZ2463" s="54"/>
      <c r="QJA2463" s="63"/>
      <c r="QJB2463" s="60"/>
      <c r="QJC2463" s="60"/>
      <c r="QJD2463" s="60"/>
      <c r="QJE2463" s="63"/>
      <c r="QJF2463" s="61"/>
      <c r="QJG2463" s="54"/>
      <c r="QJH2463" s="54"/>
      <c r="QJI2463" s="63"/>
      <c r="QJJ2463" s="60"/>
      <c r="QJK2463" s="60"/>
      <c r="QJL2463" s="60"/>
      <c r="QJM2463" s="63"/>
      <c r="QJN2463" s="61"/>
      <c r="QJO2463" s="54"/>
      <c r="QJP2463" s="54"/>
      <c r="QJQ2463" s="63"/>
      <c r="QJR2463" s="60"/>
      <c r="QJS2463" s="60"/>
      <c r="QJT2463" s="60"/>
      <c r="QJU2463" s="63"/>
      <c r="QJV2463" s="61"/>
      <c r="QJW2463" s="54"/>
      <c r="QJX2463" s="54"/>
      <c r="QJY2463" s="63"/>
      <c r="QJZ2463" s="60"/>
      <c r="QKA2463" s="60"/>
      <c r="QKB2463" s="60"/>
      <c r="QKC2463" s="63"/>
      <c r="QKD2463" s="61"/>
      <c r="QKE2463" s="54"/>
      <c r="QKF2463" s="54"/>
      <c r="QKG2463" s="63"/>
      <c r="QKH2463" s="60"/>
      <c r="QKI2463" s="60"/>
      <c r="QKJ2463" s="60"/>
      <c r="QKK2463" s="63"/>
      <c r="QKL2463" s="61"/>
      <c r="QKM2463" s="54"/>
      <c r="QKN2463" s="54"/>
      <c r="QKO2463" s="63"/>
      <c r="QKP2463" s="60"/>
      <c r="QKQ2463" s="60"/>
      <c r="QKR2463" s="60"/>
      <c r="QKS2463" s="63"/>
      <c r="QKT2463" s="61"/>
      <c r="QKU2463" s="54"/>
      <c r="QKV2463" s="54"/>
      <c r="QKW2463" s="63"/>
      <c r="QKX2463" s="60"/>
      <c r="QKY2463" s="60"/>
      <c r="QKZ2463" s="60"/>
      <c r="QLA2463" s="63"/>
      <c r="QLB2463" s="61"/>
      <c r="QLC2463" s="54"/>
      <c r="QLD2463" s="54"/>
      <c r="QLE2463" s="63"/>
      <c r="QLF2463" s="60"/>
      <c r="QLG2463" s="60"/>
      <c r="QLH2463" s="60"/>
      <c r="QLI2463" s="63"/>
      <c r="QLJ2463" s="61"/>
      <c r="QLK2463" s="54"/>
      <c r="QLL2463" s="54"/>
      <c r="QLM2463" s="63"/>
      <c r="QLN2463" s="60"/>
      <c r="QLO2463" s="60"/>
      <c r="QLP2463" s="60"/>
      <c r="QLQ2463" s="63"/>
      <c r="QLR2463" s="61"/>
      <c r="QLS2463" s="54"/>
      <c r="QLT2463" s="54"/>
      <c r="QLU2463" s="63"/>
      <c r="QLV2463" s="60"/>
      <c r="QLW2463" s="60"/>
      <c r="QLX2463" s="60"/>
      <c r="QLY2463" s="63"/>
      <c r="QLZ2463" s="61"/>
      <c r="QMA2463" s="54"/>
      <c r="QMB2463" s="54"/>
      <c r="QMC2463" s="63"/>
      <c r="QMD2463" s="60"/>
      <c r="QME2463" s="60"/>
      <c r="QMF2463" s="60"/>
      <c r="QMG2463" s="63"/>
      <c r="QMH2463" s="61"/>
      <c r="QMI2463" s="54"/>
      <c r="QMJ2463" s="54"/>
      <c r="QMK2463" s="63"/>
      <c r="QML2463" s="60"/>
      <c r="QMM2463" s="60"/>
      <c r="QMN2463" s="60"/>
      <c r="QMO2463" s="63"/>
      <c r="QMP2463" s="61"/>
      <c r="QMQ2463" s="54"/>
      <c r="QMR2463" s="54"/>
      <c r="QMS2463" s="63"/>
      <c r="QMT2463" s="60"/>
      <c r="QMU2463" s="60"/>
      <c r="QMV2463" s="60"/>
      <c r="QMW2463" s="63"/>
      <c r="QMX2463" s="61"/>
      <c r="QMY2463" s="54"/>
      <c r="QMZ2463" s="54"/>
      <c r="QNA2463" s="63"/>
      <c r="QNB2463" s="60"/>
      <c r="QNC2463" s="60"/>
      <c r="QND2463" s="60"/>
      <c r="QNE2463" s="63"/>
      <c r="QNF2463" s="61"/>
      <c r="QNG2463" s="54"/>
      <c r="QNH2463" s="54"/>
      <c r="QNI2463" s="63"/>
      <c r="QNJ2463" s="60"/>
      <c r="QNK2463" s="60"/>
      <c r="QNL2463" s="60"/>
      <c r="QNM2463" s="63"/>
      <c r="QNN2463" s="61"/>
      <c r="QNO2463" s="54"/>
      <c r="QNP2463" s="54"/>
      <c r="QNQ2463" s="63"/>
      <c r="QNR2463" s="60"/>
      <c r="QNS2463" s="60"/>
      <c r="QNT2463" s="60"/>
      <c r="QNU2463" s="63"/>
      <c r="QNV2463" s="61"/>
      <c r="QNW2463" s="54"/>
      <c r="QNX2463" s="54"/>
      <c r="QNY2463" s="63"/>
      <c r="QNZ2463" s="60"/>
      <c r="QOA2463" s="60"/>
      <c r="QOB2463" s="60"/>
      <c r="QOC2463" s="63"/>
      <c r="QOD2463" s="61"/>
      <c r="QOE2463" s="54"/>
      <c r="QOF2463" s="54"/>
      <c r="QOG2463" s="63"/>
      <c r="QOH2463" s="60"/>
      <c r="QOI2463" s="60"/>
      <c r="QOJ2463" s="60"/>
      <c r="QOK2463" s="63"/>
      <c r="QOL2463" s="61"/>
      <c r="QOM2463" s="54"/>
      <c r="QON2463" s="54"/>
      <c r="QOO2463" s="63"/>
      <c r="QOP2463" s="60"/>
      <c r="QOQ2463" s="60"/>
      <c r="QOR2463" s="60"/>
      <c r="QOS2463" s="63"/>
      <c r="QOT2463" s="61"/>
      <c r="QOU2463" s="54"/>
      <c r="QOV2463" s="54"/>
      <c r="QOW2463" s="63"/>
      <c r="QOX2463" s="60"/>
      <c r="QOY2463" s="60"/>
      <c r="QOZ2463" s="60"/>
      <c r="QPA2463" s="63"/>
      <c r="QPB2463" s="61"/>
      <c r="QPC2463" s="54"/>
      <c r="QPD2463" s="54"/>
      <c r="QPE2463" s="63"/>
      <c r="QPF2463" s="60"/>
      <c r="QPG2463" s="60"/>
      <c r="QPH2463" s="60"/>
      <c r="QPI2463" s="63"/>
      <c r="QPJ2463" s="61"/>
      <c r="QPK2463" s="54"/>
      <c r="QPL2463" s="54"/>
      <c r="QPM2463" s="63"/>
      <c r="QPN2463" s="60"/>
      <c r="QPO2463" s="60"/>
      <c r="QPP2463" s="60"/>
      <c r="QPQ2463" s="63"/>
      <c r="QPR2463" s="61"/>
      <c r="QPS2463" s="54"/>
      <c r="QPT2463" s="54"/>
      <c r="QPU2463" s="63"/>
      <c r="QPV2463" s="60"/>
      <c r="QPW2463" s="60"/>
      <c r="QPX2463" s="60"/>
      <c r="QPY2463" s="63"/>
      <c r="QPZ2463" s="61"/>
      <c r="QQA2463" s="54"/>
      <c r="QQB2463" s="54"/>
      <c r="QQC2463" s="63"/>
      <c r="QQD2463" s="60"/>
      <c r="QQE2463" s="60"/>
      <c r="QQF2463" s="60"/>
      <c r="QQG2463" s="63"/>
      <c r="QQH2463" s="61"/>
      <c r="QQI2463" s="54"/>
      <c r="QQJ2463" s="54"/>
      <c r="QQK2463" s="63"/>
      <c r="QQL2463" s="60"/>
      <c r="QQM2463" s="60"/>
      <c r="QQN2463" s="60"/>
      <c r="QQO2463" s="63"/>
      <c r="QQP2463" s="61"/>
      <c r="QQQ2463" s="54"/>
      <c r="QQR2463" s="54"/>
      <c r="QQS2463" s="63"/>
      <c r="QQT2463" s="60"/>
      <c r="QQU2463" s="60"/>
      <c r="QQV2463" s="60"/>
      <c r="QQW2463" s="63"/>
      <c r="QQX2463" s="61"/>
      <c r="QQY2463" s="54"/>
      <c r="QQZ2463" s="54"/>
      <c r="QRA2463" s="63"/>
      <c r="QRB2463" s="60"/>
      <c r="QRC2463" s="60"/>
      <c r="QRD2463" s="60"/>
      <c r="QRE2463" s="63"/>
      <c r="QRF2463" s="61"/>
      <c r="QRG2463" s="54"/>
      <c r="QRH2463" s="54"/>
      <c r="QRI2463" s="63"/>
      <c r="QRJ2463" s="60"/>
      <c r="QRK2463" s="60"/>
      <c r="QRL2463" s="60"/>
      <c r="QRM2463" s="63"/>
      <c r="QRN2463" s="61"/>
      <c r="QRO2463" s="54"/>
      <c r="QRP2463" s="54"/>
      <c r="QRQ2463" s="63"/>
      <c r="QRR2463" s="60"/>
      <c r="QRS2463" s="60"/>
      <c r="QRT2463" s="60"/>
      <c r="QRU2463" s="63"/>
      <c r="QRV2463" s="61"/>
      <c r="QRW2463" s="54"/>
      <c r="QRX2463" s="54"/>
      <c r="QRY2463" s="63"/>
      <c r="QRZ2463" s="60"/>
      <c r="QSA2463" s="60"/>
      <c r="QSB2463" s="60"/>
      <c r="QSC2463" s="63"/>
      <c r="QSD2463" s="61"/>
      <c r="QSE2463" s="54"/>
      <c r="QSF2463" s="54"/>
      <c r="QSG2463" s="63"/>
      <c r="QSH2463" s="60"/>
      <c r="QSI2463" s="60"/>
      <c r="QSJ2463" s="60"/>
      <c r="QSK2463" s="63"/>
      <c r="QSL2463" s="61"/>
      <c r="QSM2463" s="54"/>
      <c r="QSN2463" s="54"/>
      <c r="QSO2463" s="63"/>
      <c r="QSP2463" s="60"/>
      <c r="QSQ2463" s="60"/>
      <c r="QSR2463" s="60"/>
      <c r="QSS2463" s="63"/>
      <c r="QST2463" s="61"/>
      <c r="QSU2463" s="54"/>
      <c r="QSV2463" s="54"/>
      <c r="QSW2463" s="63"/>
      <c r="QSX2463" s="60"/>
      <c r="QSY2463" s="60"/>
      <c r="QSZ2463" s="60"/>
      <c r="QTA2463" s="63"/>
      <c r="QTB2463" s="61"/>
      <c r="QTC2463" s="54"/>
      <c r="QTD2463" s="54"/>
      <c r="QTE2463" s="63"/>
      <c r="QTF2463" s="60"/>
      <c r="QTG2463" s="60"/>
      <c r="QTH2463" s="60"/>
      <c r="QTI2463" s="63"/>
      <c r="QTJ2463" s="61"/>
      <c r="QTK2463" s="54"/>
      <c r="QTL2463" s="54"/>
      <c r="QTM2463" s="63"/>
      <c r="QTN2463" s="60"/>
      <c r="QTO2463" s="60"/>
      <c r="QTP2463" s="60"/>
      <c r="QTQ2463" s="63"/>
      <c r="QTR2463" s="61"/>
      <c r="QTS2463" s="54"/>
      <c r="QTT2463" s="54"/>
      <c r="QTU2463" s="63"/>
      <c r="QTV2463" s="60"/>
      <c r="QTW2463" s="60"/>
      <c r="QTX2463" s="60"/>
      <c r="QTY2463" s="63"/>
      <c r="QTZ2463" s="61"/>
      <c r="QUA2463" s="54"/>
      <c r="QUB2463" s="54"/>
      <c r="QUC2463" s="63"/>
      <c r="QUD2463" s="60"/>
      <c r="QUE2463" s="60"/>
      <c r="QUF2463" s="60"/>
      <c r="QUG2463" s="63"/>
      <c r="QUH2463" s="61"/>
      <c r="QUI2463" s="54"/>
      <c r="QUJ2463" s="54"/>
      <c r="QUK2463" s="63"/>
      <c r="QUL2463" s="60"/>
      <c r="QUM2463" s="60"/>
      <c r="QUN2463" s="60"/>
      <c r="QUO2463" s="63"/>
      <c r="QUP2463" s="61"/>
      <c r="QUQ2463" s="54"/>
      <c r="QUR2463" s="54"/>
      <c r="QUS2463" s="63"/>
      <c r="QUT2463" s="60"/>
      <c r="QUU2463" s="60"/>
      <c r="QUV2463" s="60"/>
      <c r="QUW2463" s="63"/>
      <c r="QUX2463" s="61"/>
      <c r="QUY2463" s="54"/>
      <c r="QUZ2463" s="54"/>
      <c r="QVA2463" s="63"/>
      <c r="QVB2463" s="60"/>
      <c r="QVC2463" s="60"/>
      <c r="QVD2463" s="60"/>
      <c r="QVE2463" s="63"/>
      <c r="QVF2463" s="61"/>
      <c r="QVG2463" s="54"/>
      <c r="QVH2463" s="54"/>
      <c r="QVI2463" s="63"/>
      <c r="QVJ2463" s="60"/>
      <c r="QVK2463" s="60"/>
      <c r="QVL2463" s="60"/>
      <c r="QVM2463" s="63"/>
      <c r="QVN2463" s="61"/>
      <c r="QVO2463" s="54"/>
      <c r="QVP2463" s="54"/>
      <c r="QVQ2463" s="63"/>
      <c r="QVR2463" s="60"/>
      <c r="QVS2463" s="60"/>
      <c r="QVT2463" s="60"/>
      <c r="QVU2463" s="63"/>
      <c r="QVV2463" s="61"/>
      <c r="QVW2463" s="54"/>
      <c r="QVX2463" s="54"/>
      <c r="QVY2463" s="63"/>
      <c r="QVZ2463" s="60"/>
      <c r="QWA2463" s="60"/>
      <c r="QWB2463" s="60"/>
      <c r="QWC2463" s="63"/>
      <c r="QWD2463" s="61"/>
      <c r="QWE2463" s="54"/>
      <c r="QWF2463" s="54"/>
      <c r="QWG2463" s="63"/>
      <c r="QWH2463" s="60"/>
      <c r="QWI2463" s="60"/>
      <c r="QWJ2463" s="60"/>
      <c r="QWK2463" s="63"/>
      <c r="QWL2463" s="61"/>
      <c r="QWM2463" s="54"/>
      <c r="QWN2463" s="54"/>
      <c r="QWO2463" s="63"/>
      <c r="QWP2463" s="60"/>
      <c r="QWQ2463" s="60"/>
      <c r="QWR2463" s="60"/>
      <c r="QWS2463" s="63"/>
      <c r="QWT2463" s="61"/>
      <c r="QWU2463" s="54"/>
      <c r="QWV2463" s="54"/>
      <c r="QWW2463" s="63"/>
      <c r="QWX2463" s="60"/>
      <c r="QWY2463" s="60"/>
      <c r="QWZ2463" s="60"/>
      <c r="QXA2463" s="63"/>
      <c r="QXB2463" s="61"/>
      <c r="QXC2463" s="54"/>
      <c r="QXD2463" s="54"/>
      <c r="QXE2463" s="63"/>
      <c r="QXF2463" s="60"/>
      <c r="QXG2463" s="60"/>
      <c r="QXH2463" s="60"/>
      <c r="QXI2463" s="63"/>
      <c r="QXJ2463" s="61"/>
      <c r="QXK2463" s="54"/>
      <c r="QXL2463" s="54"/>
      <c r="QXM2463" s="63"/>
      <c r="QXN2463" s="60"/>
      <c r="QXO2463" s="60"/>
      <c r="QXP2463" s="60"/>
      <c r="QXQ2463" s="63"/>
      <c r="QXR2463" s="61"/>
      <c r="QXS2463" s="54"/>
      <c r="QXT2463" s="54"/>
      <c r="QXU2463" s="63"/>
      <c r="QXV2463" s="60"/>
      <c r="QXW2463" s="60"/>
      <c r="QXX2463" s="60"/>
      <c r="QXY2463" s="63"/>
      <c r="QXZ2463" s="61"/>
      <c r="QYA2463" s="54"/>
      <c r="QYB2463" s="54"/>
      <c r="QYC2463" s="63"/>
      <c r="QYD2463" s="60"/>
      <c r="QYE2463" s="60"/>
      <c r="QYF2463" s="60"/>
      <c r="QYG2463" s="63"/>
      <c r="QYH2463" s="61"/>
      <c r="QYI2463" s="54"/>
      <c r="QYJ2463" s="54"/>
      <c r="QYK2463" s="63"/>
      <c r="QYL2463" s="60"/>
      <c r="QYM2463" s="60"/>
      <c r="QYN2463" s="60"/>
      <c r="QYO2463" s="63"/>
      <c r="QYP2463" s="61"/>
      <c r="QYQ2463" s="54"/>
      <c r="QYR2463" s="54"/>
      <c r="QYS2463" s="63"/>
      <c r="QYT2463" s="60"/>
      <c r="QYU2463" s="60"/>
      <c r="QYV2463" s="60"/>
      <c r="QYW2463" s="63"/>
      <c r="QYX2463" s="61"/>
      <c r="QYY2463" s="54"/>
      <c r="QYZ2463" s="54"/>
      <c r="QZA2463" s="63"/>
      <c r="QZB2463" s="60"/>
      <c r="QZC2463" s="60"/>
      <c r="QZD2463" s="60"/>
      <c r="QZE2463" s="63"/>
      <c r="QZF2463" s="61"/>
      <c r="QZG2463" s="54"/>
      <c r="QZH2463" s="54"/>
      <c r="QZI2463" s="63"/>
      <c r="QZJ2463" s="60"/>
      <c r="QZK2463" s="60"/>
      <c r="QZL2463" s="60"/>
      <c r="QZM2463" s="63"/>
      <c r="QZN2463" s="61"/>
      <c r="QZO2463" s="54"/>
      <c r="QZP2463" s="54"/>
      <c r="QZQ2463" s="63"/>
      <c r="QZR2463" s="60"/>
      <c r="QZS2463" s="60"/>
      <c r="QZT2463" s="60"/>
      <c r="QZU2463" s="63"/>
      <c r="QZV2463" s="61"/>
      <c r="QZW2463" s="54"/>
      <c r="QZX2463" s="54"/>
      <c r="QZY2463" s="63"/>
      <c r="QZZ2463" s="60"/>
      <c r="RAA2463" s="60"/>
      <c r="RAB2463" s="60"/>
      <c r="RAC2463" s="63"/>
      <c r="RAD2463" s="61"/>
      <c r="RAE2463" s="54"/>
      <c r="RAF2463" s="54"/>
      <c r="RAG2463" s="63"/>
      <c r="RAH2463" s="60"/>
      <c r="RAI2463" s="60"/>
      <c r="RAJ2463" s="60"/>
      <c r="RAK2463" s="63"/>
      <c r="RAL2463" s="61"/>
      <c r="RAM2463" s="54"/>
      <c r="RAN2463" s="54"/>
      <c r="RAO2463" s="63"/>
      <c r="RAP2463" s="60"/>
      <c r="RAQ2463" s="60"/>
      <c r="RAR2463" s="60"/>
      <c r="RAS2463" s="63"/>
      <c r="RAT2463" s="61"/>
      <c r="RAU2463" s="54"/>
      <c r="RAV2463" s="54"/>
      <c r="RAW2463" s="63"/>
      <c r="RAX2463" s="60"/>
      <c r="RAY2463" s="60"/>
      <c r="RAZ2463" s="60"/>
      <c r="RBA2463" s="63"/>
      <c r="RBB2463" s="61"/>
      <c r="RBC2463" s="54"/>
      <c r="RBD2463" s="54"/>
      <c r="RBE2463" s="63"/>
      <c r="RBF2463" s="60"/>
      <c r="RBG2463" s="60"/>
      <c r="RBH2463" s="60"/>
      <c r="RBI2463" s="63"/>
      <c r="RBJ2463" s="61"/>
      <c r="RBK2463" s="54"/>
      <c r="RBL2463" s="54"/>
      <c r="RBM2463" s="63"/>
      <c r="RBN2463" s="60"/>
      <c r="RBO2463" s="60"/>
      <c r="RBP2463" s="60"/>
      <c r="RBQ2463" s="63"/>
      <c r="RBR2463" s="61"/>
      <c r="RBS2463" s="54"/>
      <c r="RBT2463" s="54"/>
      <c r="RBU2463" s="63"/>
      <c r="RBV2463" s="60"/>
      <c r="RBW2463" s="60"/>
      <c r="RBX2463" s="60"/>
      <c r="RBY2463" s="63"/>
      <c r="RBZ2463" s="61"/>
      <c r="RCA2463" s="54"/>
      <c r="RCB2463" s="54"/>
      <c r="RCC2463" s="63"/>
      <c r="RCD2463" s="60"/>
      <c r="RCE2463" s="60"/>
      <c r="RCF2463" s="60"/>
      <c r="RCG2463" s="63"/>
      <c r="RCH2463" s="61"/>
      <c r="RCI2463" s="54"/>
      <c r="RCJ2463" s="54"/>
      <c r="RCK2463" s="63"/>
      <c r="RCL2463" s="60"/>
      <c r="RCM2463" s="60"/>
      <c r="RCN2463" s="60"/>
      <c r="RCO2463" s="63"/>
      <c r="RCP2463" s="61"/>
      <c r="RCQ2463" s="54"/>
      <c r="RCR2463" s="54"/>
      <c r="RCS2463" s="63"/>
      <c r="RCT2463" s="60"/>
      <c r="RCU2463" s="60"/>
      <c r="RCV2463" s="60"/>
      <c r="RCW2463" s="63"/>
      <c r="RCX2463" s="61"/>
      <c r="RCY2463" s="54"/>
      <c r="RCZ2463" s="54"/>
      <c r="RDA2463" s="63"/>
      <c r="RDB2463" s="60"/>
      <c r="RDC2463" s="60"/>
      <c r="RDD2463" s="60"/>
      <c r="RDE2463" s="63"/>
      <c r="RDF2463" s="61"/>
      <c r="RDG2463" s="54"/>
      <c r="RDH2463" s="54"/>
      <c r="RDI2463" s="63"/>
      <c r="RDJ2463" s="60"/>
      <c r="RDK2463" s="60"/>
      <c r="RDL2463" s="60"/>
      <c r="RDM2463" s="63"/>
      <c r="RDN2463" s="61"/>
      <c r="RDO2463" s="54"/>
      <c r="RDP2463" s="54"/>
      <c r="RDQ2463" s="63"/>
      <c r="RDR2463" s="60"/>
      <c r="RDS2463" s="60"/>
      <c r="RDT2463" s="60"/>
      <c r="RDU2463" s="63"/>
      <c r="RDV2463" s="61"/>
      <c r="RDW2463" s="54"/>
      <c r="RDX2463" s="54"/>
      <c r="RDY2463" s="63"/>
      <c r="RDZ2463" s="60"/>
      <c r="REA2463" s="60"/>
      <c r="REB2463" s="60"/>
      <c r="REC2463" s="63"/>
      <c r="RED2463" s="61"/>
      <c r="REE2463" s="54"/>
      <c r="REF2463" s="54"/>
      <c r="REG2463" s="63"/>
      <c r="REH2463" s="60"/>
      <c r="REI2463" s="60"/>
      <c r="REJ2463" s="60"/>
      <c r="REK2463" s="63"/>
      <c r="REL2463" s="61"/>
      <c r="REM2463" s="54"/>
      <c r="REN2463" s="54"/>
      <c r="REO2463" s="63"/>
      <c r="REP2463" s="60"/>
      <c r="REQ2463" s="60"/>
      <c r="RER2463" s="60"/>
      <c r="RES2463" s="63"/>
      <c r="RET2463" s="61"/>
      <c r="REU2463" s="54"/>
      <c r="REV2463" s="54"/>
      <c r="REW2463" s="63"/>
      <c r="REX2463" s="60"/>
      <c r="REY2463" s="60"/>
      <c r="REZ2463" s="60"/>
      <c r="RFA2463" s="63"/>
      <c r="RFB2463" s="61"/>
      <c r="RFC2463" s="54"/>
      <c r="RFD2463" s="54"/>
      <c r="RFE2463" s="63"/>
      <c r="RFF2463" s="60"/>
      <c r="RFG2463" s="60"/>
      <c r="RFH2463" s="60"/>
      <c r="RFI2463" s="63"/>
      <c r="RFJ2463" s="61"/>
      <c r="RFK2463" s="54"/>
      <c r="RFL2463" s="54"/>
      <c r="RFM2463" s="63"/>
      <c r="RFN2463" s="60"/>
      <c r="RFO2463" s="60"/>
      <c r="RFP2463" s="60"/>
      <c r="RFQ2463" s="63"/>
      <c r="RFR2463" s="61"/>
      <c r="RFS2463" s="54"/>
      <c r="RFT2463" s="54"/>
      <c r="RFU2463" s="63"/>
      <c r="RFV2463" s="60"/>
      <c r="RFW2463" s="60"/>
      <c r="RFX2463" s="60"/>
      <c r="RFY2463" s="63"/>
      <c r="RFZ2463" s="61"/>
      <c r="RGA2463" s="54"/>
      <c r="RGB2463" s="54"/>
      <c r="RGC2463" s="63"/>
      <c r="RGD2463" s="60"/>
      <c r="RGE2463" s="60"/>
      <c r="RGF2463" s="60"/>
      <c r="RGG2463" s="63"/>
      <c r="RGH2463" s="61"/>
      <c r="RGI2463" s="54"/>
      <c r="RGJ2463" s="54"/>
      <c r="RGK2463" s="63"/>
      <c r="RGL2463" s="60"/>
      <c r="RGM2463" s="60"/>
      <c r="RGN2463" s="60"/>
      <c r="RGO2463" s="63"/>
      <c r="RGP2463" s="61"/>
      <c r="RGQ2463" s="54"/>
      <c r="RGR2463" s="54"/>
      <c r="RGS2463" s="63"/>
      <c r="RGT2463" s="60"/>
      <c r="RGU2463" s="60"/>
      <c r="RGV2463" s="60"/>
      <c r="RGW2463" s="63"/>
      <c r="RGX2463" s="61"/>
      <c r="RGY2463" s="54"/>
      <c r="RGZ2463" s="54"/>
      <c r="RHA2463" s="63"/>
      <c r="RHB2463" s="60"/>
      <c r="RHC2463" s="60"/>
      <c r="RHD2463" s="60"/>
      <c r="RHE2463" s="63"/>
      <c r="RHF2463" s="61"/>
      <c r="RHG2463" s="54"/>
      <c r="RHH2463" s="54"/>
      <c r="RHI2463" s="63"/>
      <c r="RHJ2463" s="60"/>
      <c r="RHK2463" s="60"/>
      <c r="RHL2463" s="60"/>
      <c r="RHM2463" s="63"/>
      <c r="RHN2463" s="61"/>
      <c r="RHO2463" s="54"/>
      <c r="RHP2463" s="54"/>
      <c r="RHQ2463" s="63"/>
      <c r="RHR2463" s="60"/>
      <c r="RHS2463" s="60"/>
      <c r="RHT2463" s="60"/>
      <c r="RHU2463" s="63"/>
      <c r="RHV2463" s="61"/>
      <c r="RHW2463" s="54"/>
      <c r="RHX2463" s="54"/>
      <c r="RHY2463" s="63"/>
      <c r="RHZ2463" s="60"/>
      <c r="RIA2463" s="60"/>
      <c r="RIB2463" s="60"/>
      <c r="RIC2463" s="63"/>
      <c r="RID2463" s="61"/>
      <c r="RIE2463" s="54"/>
      <c r="RIF2463" s="54"/>
      <c r="RIG2463" s="63"/>
      <c r="RIH2463" s="60"/>
      <c r="RII2463" s="60"/>
      <c r="RIJ2463" s="60"/>
      <c r="RIK2463" s="63"/>
      <c r="RIL2463" s="61"/>
      <c r="RIM2463" s="54"/>
      <c r="RIN2463" s="54"/>
      <c r="RIO2463" s="63"/>
      <c r="RIP2463" s="60"/>
      <c r="RIQ2463" s="60"/>
      <c r="RIR2463" s="60"/>
      <c r="RIS2463" s="63"/>
      <c r="RIT2463" s="61"/>
      <c r="RIU2463" s="54"/>
      <c r="RIV2463" s="54"/>
      <c r="RIW2463" s="63"/>
      <c r="RIX2463" s="60"/>
      <c r="RIY2463" s="60"/>
      <c r="RIZ2463" s="60"/>
      <c r="RJA2463" s="63"/>
      <c r="RJB2463" s="61"/>
      <c r="RJC2463" s="54"/>
      <c r="RJD2463" s="54"/>
      <c r="RJE2463" s="63"/>
      <c r="RJF2463" s="60"/>
      <c r="RJG2463" s="60"/>
      <c r="RJH2463" s="60"/>
      <c r="RJI2463" s="63"/>
      <c r="RJJ2463" s="61"/>
      <c r="RJK2463" s="54"/>
      <c r="RJL2463" s="54"/>
      <c r="RJM2463" s="63"/>
      <c r="RJN2463" s="60"/>
      <c r="RJO2463" s="60"/>
      <c r="RJP2463" s="60"/>
      <c r="RJQ2463" s="63"/>
      <c r="RJR2463" s="61"/>
      <c r="RJS2463" s="54"/>
      <c r="RJT2463" s="54"/>
      <c r="RJU2463" s="63"/>
      <c r="RJV2463" s="60"/>
      <c r="RJW2463" s="60"/>
      <c r="RJX2463" s="60"/>
      <c r="RJY2463" s="63"/>
      <c r="RJZ2463" s="61"/>
      <c r="RKA2463" s="54"/>
      <c r="RKB2463" s="54"/>
      <c r="RKC2463" s="63"/>
      <c r="RKD2463" s="60"/>
      <c r="RKE2463" s="60"/>
      <c r="RKF2463" s="60"/>
      <c r="RKG2463" s="63"/>
      <c r="RKH2463" s="61"/>
      <c r="RKI2463" s="54"/>
      <c r="RKJ2463" s="54"/>
      <c r="RKK2463" s="63"/>
      <c r="RKL2463" s="60"/>
      <c r="RKM2463" s="60"/>
      <c r="RKN2463" s="60"/>
      <c r="RKO2463" s="63"/>
      <c r="RKP2463" s="61"/>
      <c r="RKQ2463" s="54"/>
      <c r="RKR2463" s="54"/>
      <c r="RKS2463" s="63"/>
      <c r="RKT2463" s="60"/>
      <c r="RKU2463" s="60"/>
      <c r="RKV2463" s="60"/>
      <c r="RKW2463" s="63"/>
      <c r="RKX2463" s="61"/>
      <c r="RKY2463" s="54"/>
      <c r="RKZ2463" s="54"/>
      <c r="RLA2463" s="63"/>
      <c r="RLB2463" s="60"/>
      <c r="RLC2463" s="60"/>
      <c r="RLD2463" s="60"/>
      <c r="RLE2463" s="63"/>
      <c r="RLF2463" s="61"/>
      <c r="RLG2463" s="54"/>
      <c r="RLH2463" s="54"/>
      <c r="RLI2463" s="63"/>
      <c r="RLJ2463" s="60"/>
      <c r="RLK2463" s="60"/>
      <c r="RLL2463" s="60"/>
      <c r="RLM2463" s="63"/>
      <c r="RLN2463" s="61"/>
      <c r="RLO2463" s="54"/>
      <c r="RLP2463" s="54"/>
      <c r="RLQ2463" s="63"/>
      <c r="RLR2463" s="60"/>
      <c r="RLS2463" s="60"/>
      <c r="RLT2463" s="60"/>
      <c r="RLU2463" s="63"/>
      <c r="RLV2463" s="61"/>
      <c r="RLW2463" s="54"/>
      <c r="RLX2463" s="54"/>
      <c r="RLY2463" s="63"/>
      <c r="RLZ2463" s="60"/>
      <c r="RMA2463" s="60"/>
      <c r="RMB2463" s="60"/>
      <c r="RMC2463" s="63"/>
      <c r="RMD2463" s="61"/>
      <c r="RME2463" s="54"/>
      <c r="RMF2463" s="54"/>
      <c r="RMG2463" s="63"/>
      <c r="RMH2463" s="60"/>
      <c r="RMI2463" s="60"/>
      <c r="RMJ2463" s="60"/>
      <c r="RMK2463" s="63"/>
      <c r="RML2463" s="61"/>
      <c r="RMM2463" s="54"/>
      <c r="RMN2463" s="54"/>
      <c r="RMO2463" s="63"/>
      <c r="RMP2463" s="60"/>
      <c r="RMQ2463" s="60"/>
      <c r="RMR2463" s="60"/>
      <c r="RMS2463" s="63"/>
      <c r="RMT2463" s="61"/>
      <c r="RMU2463" s="54"/>
      <c r="RMV2463" s="54"/>
      <c r="RMW2463" s="63"/>
      <c r="RMX2463" s="60"/>
      <c r="RMY2463" s="60"/>
      <c r="RMZ2463" s="60"/>
      <c r="RNA2463" s="63"/>
      <c r="RNB2463" s="61"/>
      <c r="RNC2463" s="54"/>
      <c r="RND2463" s="54"/>
      <c r="RNE2463" s="63"/>
      <c r="RNF2463" s="60"/>
      <c r="RNG2463" s="60"/>
      <c r="RNH2463" s="60"/>
      <c r="RNI2463" s="63"/>
      <c r="RNJ2463" s="61"/>
      <c r="RNK2463" s="54"/>
      <c r="RNL2463" s="54"/>
      <c r="RNM2463" s="63"/>
      <c r="RNN2463" s="60"/>
      <c r="RNO2463" s="60"/>
      <c r="RNP2463" s="60"/>
      <c r="RNQ2463" s="63"/>
      <c r="RNR2463" s="61"/>
      <c r="RNS2463" s="54"/>
      <c r="RNT2463" s="54"/>
      <c r="RNU2463" s="63"/>
      <c r="RNV2463" s="60"/>
      <c r="RNW2463" s="60"/>
      <c r="RNX2463" s="60"/>
      <c r="RNY2463" s="63"/>
      <c r="RNZ2463" s="61"/>
      <c r="ROA2463" s="54"/>
      <c r="ROB2463" s="54"/>
      <c r="ROC2463" s="63"/>
      <c r="ROD2463" s="60"/>
      <c r="ROE2463" s="60"/>
      <c r="ROF2463" s="60"/>
      <c r="ROG2463" s="63"/>
      <c r="ROH2463" s="61"/>
      <c r="ROI2463" s="54"/>
      <c r="ROJ2463" s="54"/>
      <c r="ROK2463" s="63"/>
      <c r="ROL2463" s="60"/>
      <c r="ROM2463" s="60"/>
      <c r="RON2463" s="60"/>
      <c r="ROO2463" s="63"/>
      <c r="ROP2463" s="61"/>
      <c r="ROQ2463" s="54"/>
      <c r="ROR2463" s="54"/>
      <c r="ROS2463" s="63"/>
      <c r="ROT2463" s="60"/>
      <c r="ROU2463" s="60"/>
      <c r="ROV2463" s="60"/>
      <c r="ROW2463" s="63"/>
      <c r="ROX2463" s="61"/>
      <c r="ROY2463" s="54"/>
      <c r="ROZ2463" s="54"/>
      <c r="RPA2463" s="63"/>
      <c r="RPB2463" s="60"/>
      <c r="RPC2463" s="60"/>
      <c r="RPD2463" s="60"/>
      <c r="RPE2463" s="63"/>
      <c r="RPF2463" s="61"/>
      <c r="RPG2463" s="54"/>
      <c r="RPH2463" s="54"/>
      <c r="RPI2463" s="63"/>
      <c r="RPJ2463" s="60"/>
      <c r="RPK2463" s="60"/>
      <c r="RPL2463" s="60"/>
      <c r="RPM2463" s="63"/>
      <c r="RPN2463" s="61"/>
      <c r="RPO2463" s="54"/>
      <c r="RPP2463" s="54"/>
      <c r="RPQ2463" s="63"/>
      <c r="RPR2463" s="60"/>
      <c r="RPS2463" s="60"/>
      <c r="RPT2463" s="60"/>
      <c r="RPU2463" s="63"/>
      <c r="RPV2463" s="61"/>
      <c r="RPW2463" s="54"/>
      <c r="RPX2463" s="54"/>
      <c r="RPY2463" s="63"/>
      <c r="RPZ2463" s="60"/>
      <c r="RQA2463" s="60"/>
      <c r="RQB2463" s="60"/>
      <c r="RQC2463" s="63"/>
      <c r="RQD2463" s="61"/>
      <c r="RQE2463" s="54"/>
      <c r="RQF2463" s="54"/>
      <c r="RQG2463" s="63"/>
      <c r="RQH2463" s="60"/>
      <c r="RQI2463" s="60"/>
      <c r="RQJ2463" s="60"/>
      <c r="RQK2463" s="63"/>
      <c r="RQL2463" s="61"/>
      <c r="RQM2463" s="54"/>
      <c r="RQN2463" s="54"/>
      <c r="RQO2463" s="63"/>
      <c r="RQP2463" s="60"/>
      <c r="RQQ2463" s="60"/>
      <c r="RQR2463" s="60"/>
      <c r="RQS2463" s="63"/>
      <c r="RQT2463" s="61"/>
      <c r="RQU2463" s="54"/>
      <c r="RQV2463" s="54"/>
      <c r="RQW2463" s="63"/>
      <c r="RQX2463" s="60"/>
      <c r="RQY2463" s="60"/>
      <c r="RQZ2463" s="60"/>
      <c r="RRA2463" s="63"/>
      <c r="RRB2463" s="61"/>
      <c r="RRC2463" s="54"/>
      <c r="RRD2463" s="54"/>
      <c r="RRE2463" s="63"/>
      <c r="RRF2463" s="60"/>
      <c r="RRG2463" s="60"/>
      <c r="RRH2463" s="60"/>
      <c r="RRI2463" s="63"/>
      <c r="RRJ2463" s="61"/>
      <c r="RRK2463" s="54"/>
      <c r="RRL2463" s="54"/>
      <c r="RRM2463" s="63"/>
      <c r="RRN2463" s="60"/>
      <c r="RRO2463" s="60"/>
      <c r="RRP2463" s="60"/>
      <c r="RRQ2463" s="63"/>
      <c r="RRR2463" s="61"/>
      <c r="RRS2463" s="54"/>
      <c r="RRT2463" s="54"/>
      <c r="RRU2463" s="63"/>
      <c r="RRV2463" s="60"/>
      <c r="RRW2463" s="60"/>
      <c r="RRX2463" s="60"/>
      <c r="RRY2463" s="63"/>
      <c r="RRZ2463" s="61"/>
      <c r="RSA2463" s="54"/>
      <c r="RSB2463" s="54"/>
      <c r="RSC2463" s="63"/>
      <c r="RSD2463" s="60"/>
      <c r="RSE2463" s="60"/>
      <c r="RSF2463" s="60"/>
      <c r="RSG2463" s="63"/>
      <c r="RSH2463" s="61"/>
      <c r="RSI2463" s="54"/>
      <c r="RSJ2463" s="54"/>
      <c r="RSK2463" s="63"/>
      <c r="RSL2463" s="60"/>
      <c r="RSM2463" s="60"/>
      <c r="RSN2463" s="60"/>
      <c r="RSO2463" s="63"/>
      <c r="RSP2463" s="61"/>
      <c r="RSQ2463" s="54"/>
      <c r="RSR2463" s="54"/>
      <c r="RSS2463" s="63"/>
      <c r="RST2463" s="60"/>
      <c r="RSU2463" s="60"/>
      <c r="RSV2463" s="60"/>
      <c r="RSW2463" s="63"/>
      <c r="RSX2463" s="61"/>
      <c r="RSY2463" s="54"/>
      <c r="RSZ2463" s="54"/>
      <c r="RTA2463" s="63"/>
      <c r="RTB2463" s="60"/>
      <c r="RTC2463" s="60"/>
      <c r="RTD2463" s="60"/>
      <c r="RTE2463" s="63"/>
      <c r="RTF2463" s="61"/>
      <c r="RTG2463" s="54"/>
      <c r="RTH2463" s="54"/>
      <c r="RTI2463" s="63"/>
      <c r="RTJ2463" s="60"/>
      <c r="RTK2463" s="60"/>
      <c r="RTL2463" s="60"/>
      <c r="RTM2463" s="63"/>
      <c r="RTN2463" s="61"/>
      <c r="RTO2463" s="54"/>
      <c r="RTP2463" s="54"/>
      <c r="RTQ2463" s="63"/>
      <c r="RTR2463" s="60"/>
      <c r="RTS2463" s="60"/>
      <c r="RTT2463" s="60"/>
      <c r="RTU2463" s="63"/>
      <c r="RTV2463" s="61"/>
      <c r="RTW2463" s="54"/>
      <c r="RTX2463" s="54"/>
      <c r="RTY2463" s="63"/>
      <c r="RTZ2463" s="60"/>
      <c r="RUA2463" s="60"/>
      <c r="RUB2463" s="60"/>
      <c r="RUC2463" s="63"/>
      <c r="RUD2463" s="61"/>
      <c r="RUE2463" s="54"/>
      <c r="RUF2463" s="54"/>
      <c r="RUG2463" s="63"/>
      <c r="RUH2463" s="60"/>
      <c r="RUI2463" s="60"/>
      <c r="RUJ2463" s="60"/>
      <c r="RUK2463" s="63"/>
      <c r="RUL2463" s="61"/>
      <c r="RUM2463" s="54"/>
      <c r="RUN2463" s="54"/>
      <c r="RUO2463" s="63"/>
      <c r="RUP2463" s="60"/>
      <c r="RUQ2463" s="60"/>
      <c r="RUR2463" s="60"/>
      <c r="RUS2463" s="63"/>
      <c r="RUT2463" s="61"/>
      <c r="RUU2463" s="54"/>
      <c r="RUV2463" s="54"/>
      <c r="RUW2463" s="63"/>
      <c r="RUX2463" s="60"/>
      <c r="RUY2463" s="60"/>
      <c r="RUZ2463" s="60"/>
      <c r="RVA2463" s="63"/>
      <c r="RVB2463" s="61"/>
      <c r="RVC2463" s="54"/>
      <c r="RVD2463" s="54"/>
      <c r="RVE2463" s="63"/>
      <c r="RVF2463" s="60"/>
      <c r="RVG2463" s="60"/>
      <c r="RVH2463" s="60"/>
      <c r="RVI2463" s="63"/>
      <c r="RVJ2463" s="61"/>
      <c r="RVK2463" s="54"/>
      <c r="RVL2463" s="54"/>
      <c r="RVM2463" s="63"/>
      <c r="RVN2463" s="60"/>
      <c r="RVO2463" s="60"/>
      <c r="RVP2463" s="60"/>
      <c r="RVQ2463" s="63"/>
      <c r="RVR2463" s="61"/>
      <c r="RVS2463" s="54"/>
      <c r="RVT2463" s="54"/>
      <c r="RVU2463" s="63"/>
      <c r="RVV2463" s="60"/>
      <c r="RVW2463" s="60"/>
      <c r="RVX2463" s="60"/>
      <c r="RVY2463" s="63"/>
      <c r="RVZ2463" s="61"/>
      <c r="RWA2463" s="54"/>
      <c r="RWB2463" s="54"/>
      <c r="RWC2463" s="63"/>
      <c r="RWD2463" s="60"/>
      <c r="RWE2463" s="60"/>
      <c r="RWF2463" s="60"/>
      <c r="RWG2463" s="63"/>
      <c r="RWH2463" s="61"/>
      <c r="RWI2463" s="54"/>
      <c r="RWJ2463" s="54"/>
      <c r="RWK2463" s="63"/>
      <c r="RWL2463" s="60"/>
      <c r="RWM2463" s="60"/>
      <c r="RWN2463" s="60"/>
      <c r="RWO2463" s="63"/>
      <c r="RWP2463" s="61"/>
      <c r="RWQ2463" s="54"/>
      <c r="RWR2463" s="54"/>
      <c r="RWS2463" s="63"/>
      <c r="RWT2463" s="60"/>
      <c r="RWU2463" s="60"/>
      <c r="RWV2463" s="60"/>
      <c r="RWW2463" s="63"/>
      <c r="RWX2463" s="61"/>
      <c r="RWY2463" s="54"/>
      <c r="RWZ2463" s="54"/>
      <c r="RXA2463" s="63"/>
      <c r="RXB2463" s="60"/>
      <c r="RXC2463" s="60"/>
      <c r="RXD2463" s="60"/>
      <c r="RXE2463" s="63"/>
      <c r="RXF2463" s="61"/>
      <c r="RXG2463" s="54"/>
      <c r="RXH2463" s="54"/>
      <c r="RXI2463" s="63"/>
      <c r="RXJ2463" s="60"/>
      <c r="RXK2463" s="60"/>
      <c r="RXL2463" s="60"/>
      <c r="RXM2463" s="63"/>
      <c r="RXN2463" s="61"/>
      <c r="RXO2463" s="54"/>
      <c r="RXP2463" s="54"/>
      <c r="RXQ2463" s="63"/>
      <c r="RXR2463" s="60"/>
      <c r="RXS2463" s="60"/>
      <c r="RXT2463" s="60"/>
      <c r="RXU2463" s="63"/>
      <c r="RXV2463" s="61"/>
      <c r="RXW2463" s="54"/>
      <c r="RXX2463" s="54"/>
      <c r="RXY2463" s="63"/>
      <c r="RXZ2463" s="60"/>
      <c r="RYA2463" s="60"/>
      <c r="RYB2463" s="60"/>
      <c r="RYC2463" s="63"/>
      <c r="RYD2463" s="61"/>
      <c r="RYE2463" s="54"/>
      <c r="RYF2463" s="54"/>
      <c r="RYG2463" s="63"/>
      <c r="RYH2463" s="60"/>
      <c r="RYI2463" s="60"/>
      <c r="RYJ2463" s="60"/>
      <c r="RYK2463" s="63"/>
      <c r="RYL2463" s="61"/>
      <c r="RYM2463" s="54"/>
      <c r="RYN2463" s="54"/>
      <c r="RYO2463" s="63"/>
      <c r="RYP2463" s="60"/>
      <c r="RYQ2463" s="60"/>
      <c r="RYR2463" s="60"/>
      <c r="RYS2463" s="63"/>
      <c r="RYT2463" s="61"/>
      <c r="RYU2463" s="54"/>
      <c r="RYV2463" s="54"/>
      <c r="RYW2463" s="63"/>
      <c r="RYX2463" s="60"/>
      <c r="RYY2463" s="60"/>
      <c r="RYZ2463" s="60"/>
      <c r="RZA2463" s="63"/>
      <c r="RZB2463" s="61"/>
      <c r="RZC2463" s="54"/>
      <c r="RZD2463" s="54"/>
      <c r="RZE2463" s="63"/>
      <c r="RZF2463" s="60"/>
      <c r="RZG2463" s="60"/>
      <c r="RZH2463" s="60"/>
      <c r="RZI2463" s="63"/>
      <c r="RZJ2463" s="61"/>
      <c r="RZK2463" s="54"/>
      <c r="RZL2463" s="54"/>
      <c r="RZM2463" s="63"/>
      <c r="RZN2463" s="60"/>
      <c r="RZO2463" s="60"/>
      <c r="RZP2463" s="60"/>
      <c r="RZQ2463" s="63"/>
      <c r="RZR2463" s="61"/>
      <c r="RZS2463" s="54"/>
      <c r="RZT2463" s="54"/>
      <c r="RZU2463" s="63"/>
      <c r="RZV2463" s="60"/>
      <c r="RZW2463" s="60"/>
      <c r="RZX2463" s="60"/>
      <c r="RZY2463" s="63"/>
      <c r="RZZ2463" s="61"/>
      <c r="SAA2463" s="54"/>
      <c r="SAB2463" s="54"/>
      <c r="SAC2463" s="63"/>
      <c r="SAD2463" s="60"/>
      <c r="SAE2463" s="60"/>
      <c r="SAF2463" s="60"/>
      <c r="SAG2463" s="63"/>
      <c r="SAH2463" s="61"/>
      <c r="SAI2463" s="54"/>
      <c r="SAJ2463" s="54"/>
      <c r="SAK2463" s="63"/>
      <c r="SAL2463" s="60"/>
      <c r="SAM2463" s="60"/>
      <c r="SAN2463" s="60"/>
      <c r="SAO2463" s="63"/>
      <c r="SAP2463" s="61"/>
      <c r="SAQ2463" s="54"/>
      <c r="SAR2463" s="54"/>
      <c r="SAS2463" s="63"/>
      <c r="SAT2463" s="60"/>
      <c r="SAU2463" s="60"/>
      <c r="SAV2463" s="60"/>
      <c r="SAW2463" s="63"/>
      <c r="SAX2463" s="61"/>
      <c r="SAY2463" s="54"/>
      <c r="SAZ2463" s="54"/>
      <c r="SBA2463" s="63"/>
      <c r="SBB2463" s="60"/>
      <c r="SBC2463" s="60"/>
      <c r="SBD2463" s="60"/>
      <c r="SBE2463" s="63"/>
      <c r="SBF2463" s="61"/>
      <c r="SBG2463" s="54"/>
      <c r="SBH2463" s="54"/>
      <c r="SBI2463" s="63"/>
      <c r="SBJ2463" s="60"/>
      <c r="SBK2463" s="60"/>
      <c r="SBL2463" s="60"/>
      <c r="SBM2463" s="63"/>
      <c r="SBN2463" s="61"/>
      <c r="SBO2463" s="54"/>
      <c r="SBP2463" s="54"/>
      <c r="SBQ2463" s="63"/>
      <c r="SBR2463" s="60"/>
      <c r="SBS2463" s="60"/>
      <c r="SBT2463" s="60"/>
      <c r="SBU2463" s="63"/>
      <c r="SBV2463" s="61"/>
      <c r="SBW2463" s="54"/>
      <c r="SBX2463" s="54"/>
      <c r="SBY2463" s="63"/>
      <c r="SBZ2463" s="60"/>
      <c r="SCA2463" s="60"/>
      <c r="SCB2463" s="60"/>
      <c r="SCC2463" s="63"/>
      <c r="SCD2463" s="61"/>
      <c r="SCE2463" s="54"/>
      <c r="SCF2463" s="54"/>
      <c r="SCG2463" s="63"/>
      <c r="SCH2463" s="60"/>
      <c r="SCI2463" s="60"/>
      <c r="SCJ2463" s="60"/>
      <c r="SCK2463" s="63"/>
      <c r="SCL2463" s="61"/>
      <c r="SCM2463" s="54"/>
      <c r="SCN2463" s="54"/>
      <c r="SCO2463" s="63"/>
      <c r="SCP2463" s="60"/>
      <c r="SCQ2463" s="60"/>
      <c r="SCR2463" s="60"/>
      <c r="SCS2463" s="63"/>
      <c r="SCT2463" s="61"/>
      <c r="SCU2463" s="54"/>
      <c r="SCV2463" s="54"/>
      <c r="SCW2463" s="63"/>
      <c r="SCX2463" s="60"/>
      <c r="SCY2463" s="60"/>
      <c r="SCZ2463" s="60"/>
      <c r="SDA2463" s="63"/>
      <c r="SDB2463" s="61"/>
      <c r="SDC2463" s="54"/>
      <c r="SDD2463" s="54"/>
      <c r="SDE2463" s="63"/>
      <c r="SDF2463" s="60"/>
      <c r="SDG2463" s="60"/>
      <c r="SDH2463" s="60"/>
      <c r="SDI2463" s="63"/>
      <c r="SDJ2463" s="61"/>
      <c r="SDK2463" s="54"/>
      <c r="SDL2463" s="54"/>
      <c r="SDM2463" s="63"/>
      <c r="SDN2463" s="60"/>
      <c r="SDO2463" s="60"/>
      <c r="SDP2463" s="60"/>
      <c r="SDQ2463" s="63"/>
      <c r="SDR2463" s="61"/>
      <c r="SDS2463" s="54"/>
      <c r="SDT2463" s="54"/>
      <c r="SDU2463" s="63"/>
      <c r="SDV2463" s="60"/>
      <c r="SDW2463" s="60"/>
      <c r="SDX2463" s="60"/>
      <c r="SDY2463" s="63"/>
      <c r="SDZ2463" s="61"/>
      <c r="SEA2463" s="54"/>
      <c r="SEB2463" s="54"/>
      <c r="SEC2463" s="63"/>
      <c r="SED2463" s="60"/>
      <c r="SEE2463" s="60"/>
      <c r="SEF2463" s="60"/>
      <c r="SEG2463" s="63"/>
      <c r="SEH2463" s="61"/>
      <c r="SEI2463" s="54"/>
      <c r="SEJ2463" s="54"/>
      <c r="SEK2463" s="63"/>
      <c r="SEL2463" s="60"/>
      <c r="SEM2463" s="60"/>
      <c r="SEN2463" s="60"/>
      <c r="SEO2463" s="63"/>
      <c r="SEP2463" s="61"/>
      <c r="SEQ2463" s="54"/>
      <c r="SER2463" s="54"/>
      <c r="SES2463" s="63"/>
      <c r="SET2463" s="60"/>
      <c r="SEU2463" s="60"/>
      <c r="SEV2463" s="60"/>
      <c r="SEW2463" s="63"/>
      <c r="SEX2463" s="61"/>
      <c r="SEY2463" s="54"/>
      <c r="SEZ2463" s="54"/>
      <c r="SFA2463" s="63"/>
      <c r="SFB2463" s="60"/>
      <c r="SFC2463" s="60"/>
      <c r="SFD2463" s="60"/>
      <c r="SFE2463" s="63"/>
      <c r="SFF2463" s="61"/>
      <c r="SFG2463" s="54"/>
      <c r="SFH2463" s="54"/>
      <c r="SFI2463" s="63"/>
      <c r="SFJ2463" s="60"/>
      <c r="SFK2463" s="60"/>
      <c r="SFL2463" s="60"/>
      <c r="SFM2463" s="63"/>
      <c r="SFN2463" s="61"/>
      <c r="SFO2463" s="54"/>
      <c r="SFP2463" s="54"/>
      <c r="SFQ2463" s="63"/>
      <c r="SFR2463" s="60"/>
      <c r="SFS2463" s="60"/>
      <c r="SFT2463" s="60"/>
      <c r="SFU2463" s="63"/>
      <c r="SFV2463" s="61"/>
      <c r="SFW2463" s="54"/>
      <c r="SFX2463" s="54"/>
      <c r="SFY2463" s="63"/>
      <c r="SFZ2463" s="60"/>
      <c r="SGA2463" s="60"/>
      <c r="SGB2463" s="60"/>
      <c r="SGC2463" s="63"/>
      <c r="SGD2463" s="61"/>
      <c r="SGE2463" s="54"/>
      <c r="SGF2463" s="54"/>
      <c r="SGG2463" s="63"/>
      <c r="SGH2463" s="60"/>
      <c r="SGI2463" s="60"/>
      <c r="SGJ2463" s="60"/>
      <c r="SGK2463" s="63"/>
      <c r="SGL2463" s="61"/>
      <c r="SGM2463" s="54"/>
      <c r="SGN2463" s="54"/>
      <c r="SGO2463" s="63"/>
      <c r="SGP2463" s="60"/>
      <c r="SGQ2463" s="60"/>
      <c r="SGR2463" s="60"/>
      <c r="SGS2463" s="63"/>
      <c r="SGT2463" s="61"/>
      <c r="SGU2463" s="54"/>
      <c r="SGV2463" s="54"/>
      <c r="SGW2463" s="63"/>
      <c r="SGX2463" s="60"/>
      <c r="SGY2463" s="60"/>
      <c r="SGZ2463" s="60"/>
      <c r="SHA2463" s="63"/>
      <c r="SHB2463" s="61"/>
      <c r="SHC2463" s="54"/>
      <c r="SHD2463" s="54"/>
      <c r="SHE2463" s="63"/>
      <c r="SHF2463" s="60"/>
      <c r="SHG2463" s="60"/>
      <c r="SHH2463" s="60"/>
      <c r="SHI2463" s="63"/>
      <c r="SHJ2463" s="61"/>
      <c r="SHK2463" s="54"/>
      <c r="SHL2463" s="54"/>
      <c r="SHM2463" s="63"/>
      <c r="SHN2463" s="60"/>
      <c r="SHO2463" s="60"/>
      <c r="SHP2463" s="60"/>
      <c r="SHQ2463" s="63"/>
      <c r="SHR2463" s="61"/>
      <c r="SHS2463" s="54"/>
      <c r="SHT2463" s="54"/>
      <c r="SHU2463" s="63"/>
      <c r="SHV2463" s="60"/>
      <c r="SHW2463" s="60"/>
      <c r="SHX2463" s="60"/>
      <c r="SHY2463" s="63"/>
      <c r="SHZ2463" s="61"/>
      <c r="SIA2463" s="54"/>
      <c r="SIB2463" s="54"/>
      <c r="SIC2463" s="63"/>
      <c r="SID2463" s="60"/>
      <c r="SIE2463" s="60"/>
      <c r="SIF2463" s="60"/>
      <c r="SIG2463" s="63"/>
      <c r="SIH2463" s="61"/>
      <c r="SII2463" s="54"/>
      <c r="SIJ2463" s="54"/>
      <c r="SIK2463" s="63"/>
      <c r="SIL2463" s="60"/>
      <c r="SIM2463" s="60"/>
      <c r="SIN2463" s="60"/>
      <c r="SIO2463" s="63"/>
      <c r="SIP2463" s="61"/>
      <c r="SIQ2463" s="54"/>
      <c r="SIR2463" s="54"/>
      <c r="SIS2463" s="63"/>
      <c r="SIT2463" s="60"/>
      <c r="SIU2463" s="60"/>
      <c r="SIV2463" s="60"/>
      <c r="SIW2463" s="63"/>
      <c r="SIX2463" s="61"/>
      <c r="SIY2463" s="54"/>
      <c r="SIZ2463" s="54"/>
      <c r="SJA2463" s="63"/>
      <c r="SJB2463" s="60"/>
      <c r="SJC2463" s="60"/>
      <c r="SJD2463" s="60"/>
      <c r="SJE2463" s="63"/>
      <c r="SJF2463" s="61"/>
      <c r="SJG2463" s="54"/>
      <c r="SJH2463" s="54"/>
      <c r="SJI2463" s="63"/>
      <c r="SJJ2463" s="60"/>
      <c r="SJK2463" s="60"/>
      <c r="SJL2463" s="60"/>
      <c r="SJM2463" s="63"/>
      <c r="SJN2463" s="61"/>
      <c r="SJO2463" s="54"/>
      <c r="SJP2463" s="54"/>
      <c r="SJQ2463" s="63"/>
      <c r="SJR2463" s="60"/>
      <c r="SJS2463" s="60"/>
      <c r="SJT2463" s="60"/>
      <c r="SJU2463" s="63"/>
      <c r="SJV2463" s="61"/>
      <c r="SJW2463" s="54"/>
      <c r="SJX2463" s="54"/>
      <c r="SJY2463" s="63"/>
      <c r="SJZ2463" s="60"/>
      <c r="SKA2463" s="60"/>
      <c r="SKB2463" s="60"/>
      <c r="SKC2463" s="63"/>
      <c r="SKD2463" s="61"/>
      <c r="SKE2463" s="54"/>
      <c r="SKF2463" s="54"/>
      <c r="SKG2463" s="63"/>
      <c r="SKH2463" s="60"/>
      <c r="SKI2463" s="60"/>
      <c r="SKJ2463" s="60"/>
      <c r="SKK2463" s="63"/>
      <c r="SKL2463" s="61"/>
      <c r="SKM2463" s="54"/>
      <c r="SKN2463" s="54"/>
      <c r="SKO2463" s="63"/>
      <c r="SKP2463" s="60"/>
      <c r="SKQ2463" s="60"/>
      <c r="SKR2463" s="60"/>
      <c r="SKS2463" s="63"/>
      <c r="SKT2463" s="61"/>
      <c r="SKU2463" s="54"/>
      <c r="SKV2463" s="54"/>
      <c r="SKW2463" s="63"/>
      <c r="SKX2463" s="60"/>
      <c r="SKY2463" s="60"/>
      <c r="SKZ2463" s="60"/>
      <c r="SLA2463" s="63"/>
      <c r="SLB2463" s="61"/>
      <c r="SLC2463" s="54"/>
      <c r="SLD2463" s="54"/>
      <c r="SLE2463" s="63"/>
      <c r="SLF2463" s="60"/>
      <c r="SLG2463" s="60"/>
      <c r="SLH2463" s="60"/>
      <c r="SLI2463" s="63"/>
      <c r="SLJ2463" s="61"/>
      <c r="SLK2463" s="54"/>
      <c r="SLL2463" s="54"/>
      <c r="SLM2463" s="63"/>
      <c r="SLN2463" s="60"/>
      <c r="SLO2463" s="60"/>
      <c r="SLP2463" s="60"/>
      <c r="SLQ2463" s="63"/>
      <c r="SLR2463" s="61"/>
      <c r="SLS2463" s="54"/>
      <c r="SLT2463" s="54"/>
      <c r="SLU2463" s="63"/>
      <c r="SLV2463" s="60"/>
      <c r="SLW2463" s="60"/>
      <c r="SLX2463" s="60"/>
      <c r="SLY2463" s="63"/>
      <c r="SLZ2463" s="61"/>
      <c r="SMA2463" s="54"/>
      <c r="SMB2463" s="54"/>
      <c r="SMC2463" s="63"/>
      <c r="SMD2463" s="60"/>
      <c r="SME2463" s="60"/>
      <c r="SMF2463" s="60"/>
      <c r="SMG2463" s="63"/>
      <c r="SMH2463" s="61"/>
      <c r="SMI2463" s="54"/>
      <c r="SMJ2463" s="54"/>
      <c r="SMK2463" s="63"/>
      <c r="SML2463" s="60"/>
      <c r="SMM2463" s="60"/>
      <c r="SMN2463" s="60"/>
      <c r="SMO2463" s="63"/>
      <c r="SMP2463" s="61"/>
      <c r="SMQ2463" s="54"/>
      <c r="SMR2463" s="54"/>
      <c r="SMS2463" s="63"/>
      <c r="SMT2463" s="60"/>
      <c r="SMU2463" s="60"/>
      <c r="SMV2463" s="60"/>
      <c r="SMW2463" s="63"/>
      <c r="SMX2463" s="61"/>
      <c r="SMY2463" s="54"/>
      <c r="SMZ2463" s="54"/>
      <c r="SNA2463" s="63"/>
      <c r="SNB2463" s="60"/>
      <c r="SNC2463" s="60"/>
      <c r="SND2463" s="60"/>
      <c r="SNE2463" s="63"/>
      <c r="SNF2463" s="61"/>
      <c r="SNG2463" s="54"/>
      <c r="SNH2463" s="54"/>
      <c r="SNI2463" s="63"/>
      <c r="SNJ2463" s="60"/>
      <c r="SNK2463" s="60"/>
      <c r="SNL2463" s="60"/>
      <c r="SNM2463" s="63"/>
      <c r="SNN2463" s="61"/>
      <c r="SNO2463" s="54"/>
      <c r="SNP2463" s="54"/>
      <c r="SNQ2463" s="63"/>
      <c r="SNR2463" s="60"/>
      <c r="SNS2463" s="60"/>
      <c r="SNT2463" s="60"/>
      <c r="SNU2463" s="63"/>
      <c r="SNV2463" s="61"/>
      <c r="SNW2463" s="54"/>
      <c r="SNX2463" s="54"/>
      <c r="SNY2463" s="63"/>
      <c r="SNZ2463" s="60"/>
      <c r="SOA2463" s="60"/>
      <c r="SOB2463" s="60"/>
      <c r="SOC2463" s="63"/>
      <c r="SOD2463" s="61"/>
      <c r="SOE2463" s="54"/>
      <c r="SOF2463" s="54"/>
      <c r="SOG2463" s="63"/>
      <c r="SOH2463" s="60"/>
      <c r="SOI2463" s="60"/>
      <c r="SOJ2463" s="60"/>
      <c r="SOK2463" s="63"/>
      <c r="SOL2463" s="61"/>
      <c r="SOM2463" s="54"/>
      <c r="SON2463" s="54"/>
      <c r="SOO2463" s="63"/>
      <c r="SOP2463" s="60"/>
      <c r="SOQ2463" s="60"/>
      <c r="SOR2463" s="60"/>
      <c r="SOS2463" s="63"/>
      <c r="SOT2463" s="61"/>
      <c r="SOU2463" s="54"/>
      <c r="SOV2463" s="54"/>
      <c r="SOW2463" s="63"/>
      <c r="SOX2463" s="60"/>
      <c r="SOY2463" s="60"/>
      <c r="SOZ2463" s="60"/>
      <c r="SPA2463" s="63"/>
      <c r="SPB2463" s="61"/>
      <c r="SPC2463" s="54"/>
      <c r="SPD2463" s="54"/>
      <c r="SPE2463" s="63"/>
      <c r="SPF2463" s="60"/>
      <c r="SPG2463" s="60"/>
      <c r="SPH2463" s="60"/>
      <c r="SPI2463" s="63"/>
      <c r="SPJ2463" s="61"/>
      <c r="SPK2463" s="54"/>
      <c r="SPL2463" s="54"/>
      <c r="SPM2463" s="63"/>
      <c r="SPN2463" s="60"/>
      <c r="SPO2463" s="60"/>
      <c r="SPP2463" s="60"/>
      <c r="SPQ2463" s="63"/>
      <c r="SPR2463" s="61"/>
      <c r="SPS2463" s="54"/>
      <c r="SPT2463" s="54"/>
      <c r="SPU2463" s="63"/>
      <c r="SPV2463" s="60"/>
      <c r="SPW2463" s="60"/>
      <c r="SPX2463" s="60"/>
      <c r="SPY2463" s="63"/>
      <c r="SPZ2463" s="61"/>
      <c r="SQA2463" s="54"/>
      <c r="SQB2463" s="54"/>
      <c r="SQC2463" s="63"/>
      <c r="SQD2463" s="60"/>
      <c r="SQE2463" s="60"/>
      <c r="SQF2463" s="60"/>
      <c r="SQG2463" s="63"/>
      <c r="SQH2463" s="61"/>
      <c r="SQI2463" s="54"/>
      <c r="SQJ2463" s="54"/>
      <c r="SQK2463" s="63"/>
      <c r="SQL2463" s="60"/>
      <c r="SQM2463" s="60"/>
      <c r="SQN2463" s="60"/>
      <c r="SQO2463" s="63"/>
      <c r="SQP2463" s="61"/>
      <c r="SQQ2463" s="54"/>
      <c r="SQR2463" s="54"/>
      <c r="SQS2463" s="63"/>
      <c r="SQT2463" s="60"/>
      <c r="SQU2463" s="60"/>
      <c r="SQV2463" s="60"/>
      <c r="SQW2463" s="63"/>
      <c r="SQX2463" s="61"/>
      <c r="SQY2463" s="54"/>
      <c r="SQZ2463" s="54"/>
      <c r="SRA2463" s="63"/>
      <c r="SRB2463" s="60"/>
      <c r="SRC2463" s="60"/>
      <c r="SRD2463" s="60"/>
      <c r="SRE2463" s="63"/>
      <c r="SRF2463" s="61"/>
      <c r="SRG2463" s="54"/>
      <c r="SRH2463" s="54"/>
      <c r="SRI2463" s="63"/>
      <c r="SRJ2463" s="60"/>
      <c r="SRK2463" s="60"/>
      <c r="SRL2463" s="60"/>
      <c r="SRM2463" s="63"/>
      <c r="SRN2463" s="61"/>
      <c r="SRO2463" s="54"/>
      <c r="SRP2463" s="54"/>
      <c r="SRQ2463" s="63"/>
      <c r="SRR2463" s="60"/>
      <c r="SRS2463" s="60"/>
      <c r="SRT2463" s="60"/>
      <c r="SRU2463" s="63"/>
      <c r="SRV2463" s="61"/>
      <c r="SRW2463" s="54"/>
      <c r="SRX2463" s="54"/>
      <c r="SRY2463" s="63"/>
      <c r="SRZ2463" s="60"/>
      <c r="SSA2463" s="60"/>
      <c r="SSB2463" s="60"/>
      <c r="SSC2463" s="63"/>
      <c r="SSD2463" s="61"/>
      <c r="SSE2463" s="54"/>
      <c r="SSF2463" s="54"/>
      <c r="SSG2463" s="63"/>
      <c r="SSH2463" s="60"/>
      <c r="SSI2463" s="60"/>
      <c r="SSJ2463" s="60"/>
      <c r="SSK2463" s="63"/>
      <c r="SSL2463" s="61"/>
      <c r="SSM2463" s="54"/>
      <c r="SSN2463" s="54"/>
      <c r="SSO2463" s="63"/>
      <c r="SSP2463" s="60"/>
      <c r="SSQ2463" s="60"/>
      <c r="SSR2463" s="60"/>
      <c r="SSS2463" s="63"/>
      <c r="SST2463" s="61"/>
      <c r="SSU2463" s="54"/>
      <c r="SSV2463" s="54"/>
      <c r="SSW2463" s="63"/>
      <c r="SSX2463" s="60"/>
      <c r="SSY2463" s="60"/>
      <c r="SSZ2463" s="60"/>
      <c r="STA2463" s="63"/>
      <c r="STB2463" s="61"/>
      <c r="STC2463" s="54"/>
      <c r="STD2463" s="54"/>
      <c r="STE2463" s="63"/>
      <c r="STF2463" s="60"/>
      <c r="STG2463" s="60"/>
      <c r="STH2463" s="60"/>
      <c r="STI2463" s="63"/>
      <c r="STJ2463" s="61"/>
      <c r="STK2463" s="54"/>
      <c r="STL2463" s="54"/>
      <c r="STM2463" s="63"/>
      <c r="STN2463" s="60"/>
      <c r="STO2463" s="60"/>
      <c r="STP2463" s="60"/>
      <c r="STQ2463" s="63"/>
      <c r="STR2463" s="61"/>
      <c r="STS2463" s="54"/>
      <c r="STT2463" s="54"/>
      <c r="STU2463" s="63"/>
      <c r="STV2463" s="60"/>
      <c r="STW2463" s="60"/>
      <c r="STX2463" s="60"/>
      <c r="STY2463" s="63"/>
      <c r="STZ2463" s="61"/>
      <c r="SUA2463" s="54"/>
      <c r="SUB2463" s="54"/>
      <c r="SUC2463" s="63"/>
      <c r="SUD2463" s="60"/>
      <c r="SUE2463" s="60"/>
      <c r="SUF2463" s="60"/>
      <c r="SUG2463" s="63"/>
      <c r="SUH2463" s="61"/>
      <c r="SUI2463" s="54"/>
      <c r="SUJ2463" s="54"/>
      <c r="SUK2463" s="63"/>
      <c r="SUL2463" s="60"/>
      <c r="SUM2463" s="60"/>
      <c r="SUN2463" s="60"/>
      <c r="SUO2463" s="63"/>
      <c r="SUP2463" s="61"/>
      <c r="SUQ2463" s="54"/>
      <c r="SUR2463" s="54"/>
      <c r="SUS2463" s="63"/>
      <c r="SUT2463" s="60"/>
      <c r="SUU2463" s="60"/>
      <c r="SUV2463" s="60"/>
      <c r="SUW2463" s="63"/>
      <c r="SUX2463" s="61"/>
      <c r="SUY2463" s="54"/>
      <c r="SUZ2463" s="54"/>
      <c r="SVA2463" s="63"/>
      <c r="SVB2463" s="60"/>
      <c r="SVC2463" s="60"/>
      <c r="SVD2463" s="60"/>
      <c r="SVE2463" s="63"/>
      <c r="SVF2463" s="61"/>
      <c r="SVG2463" s="54"/>
      <c r="SVH2463" s="54"/>
      <c r="SVI2463" s="63"/>
      <c r="SVJ2463" s="60"/>
      <c r="SVK2463" s="60"/>
      <c r="SVL2463" s="60"/>
      <c r="SVM2463" s="63"/>
      <c r="SVN2463" s="61"/>
      <c r="SVO2463" s="54"/>
      <c r="SVP2463" s="54"/>
      <c r="SVQ2463" s="63"/>
      <c r="SVR2463" s="60"/>
      <c r="SVS2463" s="60"/>
      <c r="SVT2463" s="60"/>
      <c r="SVU2463" s="63"/>
      <c r="SVV2463" s="61"/>
      <c r="SVW2463" s="54"/>
      <c r="SVX2463" s="54"/>
      <c r="SVY2463" s="63"/>
      <c r="SVZ2463" s="60"/>
      <c r="SWA2463" s="60"/>
      <c r="SWB2463" s="60"/>
      <c r="SWC2463" s="63"/>
      <c r="SWD2463" s="61"/>
      <c r="SWE2463" s="54"/>
      <c r="SWF2463" s="54"/>
      <c r="SWG2463" s="63"/>
      <c r="SWH2463" s="60"/>
      <c r="SWI2463" s="60"/>
      <c r="SWJ2463" s="60"/>
      <c r="SWK2463" s="63"/>
      <c r="SWL2463" s="61"/>
      <c r="SWM2463" s="54"/>
      <c r="SWN2463" s="54"/>
      <c r="SWO2463" s="63"/>
      <c r="SWP2463" s="60"/>
      <c r="SWQ2463" s="60"/>
      <c r="SWR2463" s="60"/>
      <c r="SWS2463" s="63"/>
      <c r="SWT2463" s="61"/>
      <c r="SWU2463" s="54"/>
      <c r="SWV2463" s="54"/>
      <c r="SWW2463" s="63"/>
      <c r="SWX2463" s="60"/>
      <c r="SWY2463" s="60"/>
      <c r="SWZ2463" s="60"/>
      <c r="SXA2463" s="63"/>
      <c r="SXB2463" s="61"/>
      <c r="SXC2463" s="54"/>
      <c r="SXD2463" s="54"/>
      <c r="SXE2463" s="63"/>
      <c r="SXF2463" s="60"/>
      <c r="SXG2463" s="60"/>
      <c r="SXH2463" s="60"/>
      <c r="SXI2463" s="63"/>
      <c r="SXJ2463" s="61"/>
      <c r="SXK2463" s="54"/>
      <c r="SXL2463" s="54"/>
      <c r="SXM2463" s="63"/>
      <c r="SXN2463" s="60"/>
      <c r="SXO2463" s="60"/>
      <c r="SXP2463" s="60"/>
      <c r="SXQ2463" s="63"/>
      <c r="SXR2463" s="61"/>
      <c r="SXS2463" s="54"/>
      <c r="SXT2463" s="54"/>
      <c r="SXU2463" s="63"/>
      <c r="SXV2463" s="60"/>
      <c r="SXW2463" s="60"/>
      <c r="SXX2463" s="60"/>
      <c r="SXY2463" s="63"/>
      <c r="SXZ2463" s="61"/>
      <c r="SYA2463" s="54"/>
      <c r="SYB2463" s="54"/>
      <c r="SYC2463" s="63"/>
      <c r="SYD2463" s="60"/>
      <c r="SYE2463" s="60"/>
      <c r="SYF2463" s="60"/>
      <c r="SYG2463" s="63"/>
      <c r="SYH2463" s="61"/>
      <c r="SYI2463" s="54"/>
      <c r="SYJ2463" s="54"/>
      <c r="SYK2463" s="63"/>
      <c r="SYL2463" s="60"/>
      <c r="SYM2463" s="60"/>
      <c r="SYN2463" s="60"/>
      <c r="SYO2463" s="63"/>
      <c r="SYP2463" s="61"/>
      <c r="SYQ2463" s="54"/>
      <c r="SYR2463" s="54"/>
      <c r="SYS2463" s="63"/>
      <c r="SYT2463" s="60"/>
      <c r="SYU2463" s="60"/>
      <c r="SYV2463" s="60"/>
      <c r="SYW2463" s="63"/>
      <c r="SYX2463" s="61"/>
      <c r="SYY2463" s="54"/>
      <c r="SYZ2463" s="54"/>
      <c r="SZA2463" s="63"/>
      <c r="SZB2463" s="60"/>
      <c r="SZC2463" s="60"/>
      <c r="SZD2463" s="60"/>
      <c r="SZE2463" s="63"/>
      <c r="SZF2463" s="61"/>
      <c r="SZG2463" s="54"/>
      <c r="SZH2463" s="54"/>
      <c r="SZI2463" s="63"/>
      <c r="SZJ2463" s="60"/>
      <c r="SZK2463" s="60"/>
      <c r="SZL2463" s="60"/>
      <c r="SZM2463" s="63"/>
      <c r="SZN2463" s="61"/>
      <c r="SZO2463" s="54"/>
      <c r="SZP2463" s="54"/>
      <c r="SZQ2463" s="63"/>
      <c r="SZR2463" s="60"/>
      <c r="SZS2463" s="60"/>
      <c r="SZT2463" s="60"/>
      <c r="SZU2463" s="63"/>
      <c r="SZV2463" s="61"/>
      <c r="SZW2463" s="54"/>
      <c r="SZX2463" s="54"/>
      <c r="SZY2463" s="63"/>
      <c r="SZZ2463" s="60"/>
      <c r="TAA2463" s="60"/>
      <c r="TAB2463" s="60"/>
      <c r="TAC2463" s="63"/>
      <c r="TAD2463" s="61"/>
      <c r="TAE2463" s="54"/>
      <c r="TAF2463" s="54"/>
      <c r="TAG2463" s="63"/>
      <c r="TAH2463" s="60"/>
      <c r="TAI2463" s="60"/>
      <c r="TAJ2463" s="60"/>
      <c r="TAK2463" s="63"/>
      <c r="TAL2463" s="61"/>
      <c r="TAM2463" s="54"/>
      <c r="TAN2463" s="54"/>
      <c r="TAO2463" s="63"/>
      <c r="TAP2463" s="60"/>
      <c r="TAQ2463" s="60"/>
      <c r="TAR2463" s="60"/>
      <c r="TAS2463" s="63"/>
      <c r="TAT2463" s="61"/>
      <c r="TAU2463" s="54"/>
      <c r="TAV2463" s="54"/>
      <c r="TAW2463" s="63"/>
      <c r="TAX2463" s="60"/>
      <c r="TAY2463" s="60"/>
      <c r="TAZ2463" s="60"/>
      <c r="TBA2463" s="63"/>
      <c r="TBB2463" s="61"/>
      <c r="TBC2463" s="54"/>
      <c r="TBD2463" s="54"/>
      <c r="TBE2463" s="63"/>
      <c r="TBF2463" s="60"/>
      <c r="TBG2463" s="60"/>
      <c r="TBH2463" s="60"/>
      <c r="TBI2463" s="63"/>
      <c r="TBJ2463" s="61"/>
      <c r="TBK2463" s="54"/>
      <c r="TBL2463" s="54"/>
      <c r="TBM2463" s="63"/>
      <c r="TBN2463" s="60"/>
      <c r="TBO2463" s="60"/>
      <c r="TBP2463" s="60"/>
      <c r="TBQ2463" s="63"/>
      <c r="TBR2463" s="61"/>
      <c r="TBS2463" s="54"/>
      <c r="TBT2463" s="54"/>
      <c r="TBU2463" s="63"/>
      <c r="TBV2463" s="60"/>
      <c r="TBW2463" s="60"/>
      <c r="TBX2463" s="60"/>
      <c r="TBY2463" s="63"/>
      <c r="TBZ2463" s="61"/>
      <c r="TCA2463" s="54"/>
      <c r="TCB2463" s="54"/>
      <c r="TCC2463" s="63"/>
      <c r="TCD2463" s="60"/>
      <c r="TCE2463" s="60"/>
      <c r="TCF2463" s="60"/>
      <c r="TCG2463" s="63"/>
      <c r="TCH2463" s="61"/>
      <c r="TCI2463" s="54"/>
      <c r="TCJ2463" s="54"/>
      <c r="TCK2463" s="63"/>
      <c r="TCL2463" s="60"/>
      <c r="TCM2463" s="60"/>
      <c r="TCN2463" s="60"/>
      <c r="TCO2463" s="63"/>
      <c r="TCP2463" s="61"/>
      <c r="TCQ2463" s="54"/>
      <c r="TCR2463" s="54"/>
      <c r="TCS2463" s="63"/>
      <c r="TCT2463" s="60"/>
      <c r="TCU2463" s="60"/>
      <c r="TCV2463" s="60"/>
      <c r="TCW2463" s="63"/>
      <c r="TCX2463" s="61"/>
      <c r="TCY2463" s="54"/>
      <c r="TCZ2463" s="54"/>
      <c r="TDA2463" s="63"/>
      <c r="TDB2463" s="60"/>
      <c r="TDC2463" s="60"/>
      <c r="TDD2463" s="60"/>
      <c r="TDE2463" s="63"/>
      <c r="TDF2463" s="61"/>
      <c r="TDG2463" s="54"/>
      <c r="TDH2463" s="54"/>
      <c r="TDI2463" s="63"/>
      <c r="TDJ2463" s="60"/>
      <c r="TDK2463" s="60"/>
      <c r="TDL2463" s="60"/>
      <c r="TDM2463" s="63"/>
      <c r="TDN2463" s="61"/>
      <c r="TDO2463" s="54"/>
      <c r="TDP2463" s="54"/>
      <c r="TDQ2463" s="63"/>
      <c r="TDR2463" s="60"/>
      <c r="TDS2463" s="60"/>
      <c r="TDT2463" s="60"/>
      <c r="TDU2463" s="63"/>
      <c r="TDV2463" s="61"/>
      <c r="TDW2463" s="54"/>
      <c r="TDX2463" s="54"/>
      <c r="TDY2463" s="63"/>
      <c r="TDZ2463" s="60"/>
      <c r="TEA2463" s="60"/>
      <c r="TEB2463" s="60"/>
      <c r="TEC2463" s="63"/>
      <c r="TED2463" s="61"/>
      <c r="TEE2463" s="54"/>
      <c r="TEF2463" s="54"/>
      <c r="TEG2463" s="63"/>
      <c r="TEH2463" s="60"/>
      <c r="TEI2463" s="60"/>
      <c r="TEJ2463" s="60"/>
      <c r="TEK2463" s="63"/>
      <c r="TEL2463" s="61"/>
      <c r="TEM2463" s="54"/>
      <c r="TEN2463" s="54"/>
      <c r="TEO2463" s="63"/>
      <c r="TEP2463" s="60"/>
      <c r="TEQ2463" s="60"/>
      <c r="TER2463" s="60"/>
      <c r="TES2463" s="63"/>
      <c r="TET2463" s="61"/>
      <c r="TEU2463" s="54"/>
      <c r="TEV2463" s="54"/>
      <c r="TEW2463" s="63"/>
      <c r="TEX2463" s="60"/>
      <c r="TEY2463" s="60"/>
      <c r="TEZ2463" s="60"/>
      <c r="TFA2463" s="63"/>
      <c r="TFB2463" s="61"/>
      <c r="TFC2463" s="54"/>
      <c r="TFD2463" s="54"/>
      <c r="TFE2463" s="63"/>
      <c r="TFF2463" s="60"/>
      <c r="TFG2463" s="60"/>
      <c r="TFH2463" s="60"/>
      <c r="TFI2463" s="63"/>
      <c r="TFJ2463" s="61"/>
      <c r="TFK2463" s="54"/>
      <c r="TFL2463" s="54"/>
      <c r="TFM2463" s="63"/>
      <c r="TFN2463" s="60"/>
      <c r="TFO2463" s="60"/>
      <c r="TFP2463" s="60"/>
      <c r="TFQ2463" s="63"/>
      <c r="TFR2463" s="61"/>
      <c r="TFS2463" s="54"/>
      <c r="TFT2463" s="54"/>
      <c r="TFU2463" s="63"/>
      <c r="TFV2463" s="60"/>
      <c r="TFW2463" s="60"/>
      <c r="TFX2463" s="60"/>
      <c r="TFY2463" s="63"/>
      <c r="TFZ2463" s="61"/>
      <c r="TGA2463" s="54"/>
      <c r="TGB2463" s="54"/>
      <c r="TGC2463" s="63"/>
      <c r="TGD2463" s="60"/>
      <c r="TGE2463" s="60"/>
      <c r="TGF2463" s="60"/>
      <c r="TGG2463" s="63"/>
      <c r="TGH2463" s="61"/>
      <c r="TGI2463" s="54"/>
      <c r="TGJ2463" s="54"/>
      <c r="TGK2463" s="63"/>
      <c r="TGL2463" s="60"/>
      <c r="TGM2463" s="60"/>
      <c r="TGN2463" s="60"/>
      <c r="TGO2463" s="63"/>
      <c r="TGP2463" s="61"/>
      <c r="TGQ2463" s="54"/>
      <c r="TGR2463" s="54"/>
      <c r="TGS2463" s="63"/>
      <c r="TGT2463" s="60"/>
      <c r="TGU2463" s="60"/>
      <c r="TGV2463" s="60"/>
      <c r="TGW2463" s="63"/>
      <c r="TGX2463" s="61"/>
      <c r="TGY2463" s="54"/>
      <c r="TGZ2463" s="54"/>
      <c r="THA2463" s="63"/>
      <c r="THB2463" s="60"/>
      <c r="THC2463" s="60"/>
      <c r="THD2463" s="60"/>
      <c r="THE2463" s="63"/>
      <c r="THF2463" s="61"/>
      <c r="THG2463" s="54"/>
      <c r="THH2463" s="54"/>
      <c r="THI2463" s="63"/>
      <c r="THJ2463" s="60"/>
      <c r="THK2463" s="60"/>
      <c r="THL2463" s="60"/>
      <c r="THM2463" s="63"/>
      <c r="THN2463" s="61"/>
      <c r="THO2463" s="54"/>
      <c r="THP2463" s="54"/>
      <c r="THQ2463" s="63"/>
      <c r="THR2463" s="60"/>
      <c r="THS2463" s="60"/>
      <c r="THT2463" s="60"/>
      <c r="THU2463" s="63"/>
      <c r="THV2463" s="61"/>
      <c r="THW2463" s="54"/>
      <c r="THX2463" s="54"/>
      <c r="THY2463" s="63"/>
      <c r="THZ2463" s="60"/>
      <c r="TIA2463" s="60"/>
      <c r="TIB2463" s="60"/>
      <c r="TIC2463" s="63"/>
      <c r="TID2463" s="61"/>
      <c r="TIE2463" s="54"/>
      <c r="TIF2463" s="54"/>
      <c r="TIG2463" s="63"/>
      <c r="TIH2463" s="60"/>
      <c r="TII2463" s="60"/>
      <c r="TIJ2463" s="60"/>
      <c r="TIK2463" s="63"/>
      <c r="TIL2463" s="61"/>
      <c r="TIM2463" s="54"/>
      <c r="TIN2463" s="54"/>
      <c r="TIO2463" s="63"/>
      <c r="TIP2463" s="60"/>
      <c r="TIQ2463" s="60"/>
      <c r="TIR2463" s="60"/>
      <c r="TIS2463" s="63"/>
      <c r="TIT2463" s="61"/>
      <c r="TIU2463" s="54"/>
      <c r="TIV2463" s="54"/>
      <c r="TIW2463" s="63"/>
      <c r="TIX2463" s="60"/>
      <c r="TIY2463" s="60"/>
      <c r="TIZ2463" s="60"/>
      <c r="TJA2463" s="63"/>
      <c r="TJB2463" s="61"/>
      <c r="TJC2463" s="54"/>
      <c r="TJD2463" s="54"/>
      <c r="TJE2463" s="63"/>
      <c r="TJF2463" s="60"/>
      <c r="TJG2463" s="60"/>
      <c r="TJH2463" s="60"/>
      <c r="TJI2463" s="63"/>
      <c r="TJJ2463" s="61"/>
      <c r="TJK2463" s="54"/>
      <c r="TJL2463" s="54"/>
      <c r="TJM2463" s="63"/>
      <c r="TJN2463" s="60"/>
      <c r="TJO2463" s="60"/>
      <c r="TJP2463" s="60"/>
      <c r="TJQ2463" s="63"/>
      <c r="TJR2463" s="61"/>
      <c r="TJS2463" s="54"/>
      <c r="TJT2463" s="54"/>
      <c r="TJU2463" s="63"/>
      <c r="TJV2463" s="60"/>
      <c r="TJW2463" s="60"/>
      <c r="TJX2463" s="60"/>
      <c r="TJY2463" s="63"/>
      <c r="TJZ2463" s="61"/>
      <c r="TKA2463" s="54"/>
      <c r="TKB2463" s="54"/>
      <c r="TKC2463" s="63"/>
      <c r="TKD2463" s="60"/>
      <c r="TKE2463" s="60"/>
      <c r="TKF2463" s="60"/>
      <c r="TKG2463" s="63"/>
      <c r="TKH2463" s="61"/>
      <c r="TKI2463" s="54"/>
      <c r="TKJ2463" s="54"/>
      <c r="TKK2463" s="63"/>
      <c r="TKL2463" s="60"/>
      <c r="TKM2463" s="60"/>
      <c r="TKN2463" s="60"/>
      <c r="TKO2463" s="63"/>
      <c r="TKP2463" s="61"/>
      <c r="TKQ2463" s="54"/>
      <c r="TKR2463" s="54"/>
      <c r="TKS2463" s="63"/>
      <c r="TKT2463" s="60"/>
      <c r="TKU2463" s="60"/>
      <c r="TKV2463" s="60"/>
      <c r="TKW2463" s="63"/>
      <c r="TKX2463" s="61"/>
      <c r="TKY2463" s="54"/>
      <c r="TKZ2463" s="54"/>
      <c r="TLA2463" s="63"/>
      <c r="TLB2463" s="60"/>
      <c r="TLC2463" s="60"/>
      <c r="TLD2463" s="60"/>
      <c r="TLE2463" s="63"/>
      <c r="TLF2463" s="61"/>
      <c r="TLG2463" s="54"/>
      <c r="TLH2463" s="54"/>
      <c r="TLI2463" s="63"/>
      <c r="TLJ2463" s="60"/>
      <c r="TLK2463" s="60"/>
      <c r="TLL2463" s="60"/>
      <c r="TLM2463" s="63"/>
      <c r="TLN2463" s="61"/>
      <c r="TLO2463" s="54"/>
      <c r="TLP2463" s="54"/>
      <c r="TLQ2463" s="63"/>
      <c r="TLR2463" s="60"/>
      <c r="TLS2463" s="60"/>
      <c r="TLT2463" s="60"/>
      <c r="TLU2463" s="63"/>
      <c r="TLV2463" s="61"/>
      <c r="TLW2463" s="54"/>
      <c r="TLX2463" s="54"/>
      <c r="TLY2463" s="63"/>
      <c r="TLZ2463" s="60"/>
      <c r="TMA2463" s="60"/>
      <c r="TMB2463" s="60"/>
      <c r="TMC2463" s="63"/>
      <c r="TMD2463" s="61"/>
      <c r="TME2463" s="54"/>
      <c r="TMF2463" s="54"/>
      <c r="TMG2463" s="63"/>
      <c r="TMH2463" s="60"/>
      <c r="TMI2463" s="60"/>
      <c r="TMJ2463" s="60"/>
      <c r="TMK2463" s="63"/>
      <c r="TML2463" s="61"/>
      <c r="TMM2463" s="54"/>
      <c r="TMN2463" s="54"/>
      <c r="TMO2463" s="63"/>
      <c r="TMP2463" s="60"/>
      <c r="TMQ2463" s="60"/>
      <c r="TMR2463" s="60"/>
      <c r="TMS2463" s="63"/>
      <c r="TMT2463" s="61"/>
      <c r="TMU2463" s="54"/>
      <c r="TMV2463" s="54"/>
      <c r="TMW2463" s="63"/>
      <c r="TMX2463" s="60"/>
      <c r="TMY2463" s="60"/>
      <c r="TMZ2463" s="60"/>
      <c r="TNA2463" s="63"/>
      <c r="TNB2463" s="61"/>
      <c r="TNC2463" s="54"/>
      <c r="TND2463" s="54"/>
      <c r="TNE2463" s="63"/>
      <c r="TNF2463" s="60"/>
      <c r="TNG2463" s="60"/>
      <c r="TNH2463" s="60"/>
      <c r="TNI2463" s="63"/>
      <c r="TNJ2463" s="61"/>
      <c r="TNK2463" s="54"/>
      <c r="TNL2463" s="54"/>
      <c r="TNM2463" s="63"/>
      <c r="TNN2463" s="60"/>
      <c r="TNO2463" s="60"/>
      <c r="TNP2463" s="60"/>
      <c r="TNQ2463" s="63"/>
      <c r="TNR2463" s="61"/>
      <c r="TNS2463" s="54"/>
      <c r="TNT2463" s="54"/>
      <c r="TNU2463" s="63"/>
      <c r="TNV2463" s="60"/>
      <c r="TNW2463" s="60"/>
      <c r="TNX2463" s="60"/>
      <c r="TNY2463" s="63"/>
      <c r="TNZ2463" s="61"/>
      <c r="TOA2463" s="54"/>
      <c r="TOB2463" s="54"/>
      <c r="TOC2463" s="63"/>
      <c r="TOD2463" s="60"/>
      <c r="TOE2463" s="60"/>
      <c r="TOF2463" s="60"/>
      <c r="TOG2463" s="63"/>
      <c r="TOH2463" s="61"/>
      <c r="TOI2463" s="54"/>
      <c r="TOJ2463" s="54"/>
      <c r="TOK2463" s="63"/>
      <c r="TOL2463" s="60"/>
      <c r="TOM2463" s="60"/>
      <c r="TON2463" s="60"/>
      <c r="TOO2463" s="63"/>
      <c r="TOP2463" s="61"/>
      <c r="TOQ2463" s="54"/>
      <c r="TOR2463" s="54"/>
      <c r="TOS2463" s="63"/>
      <c r="TOT2463" s="60"/>
      <c r="TOU2463" s="60"/>
      <c r="TOV2463" s="60"/>
      <c r="TOW2463" s="63"/>
      <c r="TOX2463" s="61"/>
      <c r="TOY2463" s="54"/>
      <c r="TOZ2463" s="54"/>
      <c r="TPA2463" s="63"/>
      <c r="TPB2463" s="60"/>
      <c r="TPC2463" s="60"/>
      <c r="TPD2463" s="60"/>
      <c r="TPE2463" s="63"/>
      <c r="TPF2463" s="61"/>
      <c r="TPG2463" s="54"/>
      <c r="TPH2463" s="54"/>
      <c r="TPI2463" s="63"/>
      <c r="TPJ2463" s="60"/>
      <c r="TPK2463" s="60"/>
      <c r="TPL2463" s="60"/>
      <c r="TPM2463" s="63"/>
      <c r="TPN2463" s="61"/>
      <c r="TPO2463" s="54"/>
      <c r="TPP2463" s="54"/>
      <c r="TPQ2463" s="63"/>
      <c r="TPR2463" s="60"/>
      <c r="TPS2463" s="60"/>
      <c r="TPT2463" s="60"/>
      <c r="TPU2463" s="63"/>
      <c r="TPV2463" s="61"/>
      <c r="TPW2463" s="54"/>
      <c r="TPX2463" s="54"/>
      <c r="TPY2463" s="63"/>
      <c r="TPZ2463" s="60"/>
      <c r="TQA2463" s="60"/>
      <c r="TQB2463" s="60"/>
      <c r="TQC2463" s="63"/>
      <c r="TQD2463" s="61"/>
      <c r="TQE2463" s="54"/>
      <c r="TQF2463" s="54"/>
      <c r="TQG2463" s="63"/>
      <c r="TQH2463" s="60"/>
      <c r="TQI2463" s="60"/>
      <c r="TQJ2463" s="60"/>
      <c r="TQK2463" s="63"/>
      <c r="TQL2463" s="61"/>
      <c r="TQM2463" s="54"/>
      <c r="TQN2463" s="54"/>
      <c r="TQO2463" s="63"/>
      <c r="TQP2463" s="60"/>
      <c r="TQQ2463" s="60"/>
      <c r="TQR2463" s="60"/>
      <c r="TQS2463" s="63"/>
      <c r="TQT2463" s="61"/>
      <c r="TQU2463" s="54"/>
      <c r="TQV2463" s="54"/>
      <c r="TQW2463" s="63"/>
      <c r="TQX2463" s="60"/>
      <c r="TQY2463" s="60"/>
      <c r="TQZ2463" s="60"/>
      <c r="TRA2463" s="63"/>
      <c r="TRB2463" s="61"/>
      <c r="TRC2463" s="54"/>
      <c r="TRD2463" s="54"/>
      <c r="TRE2463" s="63"/>
      <c r="TRF2463" s="60"/>
      <c r="TRG2463" s="60"/>
      <c r="TRH2463" s="60"/>
      <c r="TRI2463" s="63"/>
      <c r="TRJ2463" s="61"/>
      <c r="TRK2463" s="54"/>
      <c r="TRL2463" s="54"/>
      <c r="TRM2463" s="63"/>
      <c r="TRN2463" s="60"/>
      <c r="TRO2463" s="60"/>
      <c r="TRP2463" s="60"/>
      <c r="TRQ2463" s="63"/>
      <c r="TRR2463" s="61"/>
      <c r="TRS2463" s="54"/>
      <c r="TRT2463" s="54"/>
      <c r="TRU2463" s="63"/>
      <c r="TRV2463" s="60"/>
      <c r="TRW2463" s="60"/>
      <c r="TRX2463" s="60"/>
      <c r="TRY2463" s="63"/>
      <c r="TRZ2463" s="61"/>
      <c r="TSA2463" s="54"/>
      <c r="TSB2463" s="54"/>
      <c r="TSC2463" s="63"/>
      <c r="TSD2463" s="60"/>
      <c r="TSE2463" s="60"/>
      <c r="TSF2463" s="60"/>
      <c r="TSG2463" s="63"/>
      <c r="TSH2463" s="61"/>
      <c r="TSI2463" s="54"/>
      <c r="TSJ2463" s="54"/>
      <c r="TSK2463" s="63"/>
      <c r="TSL2463" s="60"/>
      <c r="TSM2463" s="60"/>
      <c r="TSN2463" s="60"/>
      <c r="TSO2463" s="63"/>
      <c r="TSP2463" s="61"/>
      <c r="TSQ2463" s="54"/>
      <c r="TSR2463" s="54"/>
      <c r="TSS2463" s="63"/>
      <c r="TST2463" s="60"/>
      <c r="TSU2463" s="60"/>
      <c r="TSV2463" s="60"/>
      <c r="TSW2463" s="63"/>
      <c r="TSX2463" s="61"/>
      <c r="TSY2463" s="54"/>
      <c r="TSZ2463" s="54"/>
      <c r="TTA2463" s="63"/>
      <c r="TTB2463" s="60"/>
      <c r="TTC2463" s="60"/>
      <c r="TTD2463" s="60"/>
      <c r="TTE2463" s="63"/>
      <c r="TTF2463" s="61"/>
      <c r="TTG2463" s="54"/>
      <c r="TTH2463" s="54"/>
      <c r="TTI2463" s="63"/>
      <c r="TTJ2463" s="60"/>
      <c r="TTK2463" s="60"/>
      <c r="TTL2463" s="60"/>
      <c r="TTM2463" s="63"/>
      <c r="TTN2463" s="61"/>
      <c r="TTO2463" s="54"/>
      <c r="TTP2463" s="54"/>
      <c r="TTQ2463" s="63"/>
      <c r="TTR2463" s="60"/>
      <c r="TTS2463" s="60"/>
      <c r="TTT2463" s="60"/>
      <c r="TTU2463" s="63"/>
      <c r="TTV2463" s="61"/>
      <c r="TTW2463" s="54"/>
      <c r="TTX2463" s="54"/>
      <c r="TTY2463" s="63"/>
      <c r="TTZ2463" s="60"/>
      <c r="TUA2463" s="60"/>
      <c r="TUB2463" s="60"/>
      <c r="TUC2463" s="63"/>
      <c r="TUD2463" s="61"/>
      <c r="TUE2463" s="54"/>
      <c r="TUF2463" s="54"/>
      <c r="TUG2463" s="63"/>
      <c r="TUH2463" s="60"/>
      <c r="TUI2463" s="60"/>
      <c r="TUJ2463" s="60"/>
      <c r="TUK2463" s="63"/>
      <c r="TUL2463" s="61"/>
      <c r="TUM2463" s="54"/>
      <c r="TUN2463" s="54"/>
      <c r="TUO2463" s="63"/>
      <c r="TUP2463" s="60"/>
      <c r="TUQ2463" s="60"/>
      <c r="TUR2463" s="60"/>
      <c r="TUS2463" s="63"/>
      <c r="TUT2463" s="61"/>
      <c r="TUU2463" s="54"/>
      <c r="TUV2463" s="54"/>
      <c r="TUW2463" s="63"/>
      <c r="TUX2463" s="60"/>
      <c r="TUY2463" s="60"/>
      <c r="TUZ2463" s="60"/>
      <c r="TVA2463" s="63"/>
      <c r="TVB2463" s="61"/>
      <c r="TVC2463" s="54"/>
      <c r="TVD2463" s="54"/>
      <c r="TVE2463" s="63"/>
      <c r="TVF2463" s="60"/>
      <c r="TVG2463" s="60"/>
      <c r="TVH2463" s="60"/>
      <c r="TVI2463" s="63"/>
      <c r="TVJ2463" s="61"/>
      <c r="TVK2463" s="54"/>
      <c r="TVL2463" s="54"/>
      <c r="TVM2463" s="63"/>
      <c r="TVN2463" s="60"/>
      <c r="TVO2463" s="60"/>
      <c r="TVP2463" s="60"/>
      <c r="TVQ2463" s="63"/>
      <c r="TVR2463" s="61"/>
      <c r="TVS2463" s="54"/>
      <c r="TVT2463" s="54"/>
      <c r="TVU2463" s="63"/>
      <c r="TVV2463" s="60"/>
      <c r="TVW2463" s="60"/>
      <c r="TVX2463" s="60"/>
      <c r="TVY2463" s="63"/>
      <c r="TVZ2463" s="61"/>
      <c r="TWA2463" s="54"/>
      <c r="TWB2463" s="54"/>
      <c r="TWC2463" s="63"/>
      <c r="TWD2463" s="60"/>
      <c r="TWE2463" s="60"/>
      <c r="TWF2463" s="60"/>
      <c r="TWG2463" s="63"/>
      <c r="TWH2463" s="61"/>
      <c r="TWI2463" s="54"/>
      <c r="TWJ2463" s="54"/>
      <c r="TWK2463" s="63"/>
      <c r="TWL2463" s="60"/>
      <c r="TWM2463" s="60"/>
      <c r="TWN2463" s="60"/>
      <c r="TWO2463" s="63"/>
      <c r="TWP2463" s="61"/>
      <c r="TWQ2463" s="54"/>
      <c r="TWR2463" s="54"/>
      <c r="TWS2463" s="63"/>
      <c r="TWT2463" s="60"/>
      <c r="TWU2463" s="60"/>
      <c r="TWV2463" s="60"/>
      <c r="TWW2463" s="63"/>
      <c r="TWX2463" s="61"/>
      <c r="TWY2463" s="54"/>
      <c r="TWZ2463" s="54"/>
      <c r="TXA2463" s="63"/>
      <c r="TXB2463" s="60"/>
      <c r="TXC2463" s="60"/>
      <c r="TXD2463" s="60"/>
      <c r="TXE2463" s="63"/>
      <c r="TXF2463" s="61"/>
      <c r="TXG2463" s="54"/>
      <c r="TXH2463" s="54"/>
      <c r="TXI2463" s="63"/>
      <c r="TXJ2463" s="60"/>
      <c r="TXK2463" s="60"/>
      <c r="TXL2463" s="60"/>
      <c r="TXM2463" s="63"/>
      <c r="TXN2463" s="61"/>
      <c r="TXO2463" s="54"/>
      <c r="TXP2463" s="54"/>
      <c r="TXQ2463" s="63"/>
      <c r="TXR2463" s="60"/>
      <c r="TXS2463" s="60"/>
      <c r="TXT2463" s="60"/>
      <c r="TXU2463" s="63"/>
      <c r="TXV2463" s="61"/>
      <c r="TXW2463" s="54"/>
      <c r="TXX2463" s="54"/>
      <c r="TXY2463" s="63"/>
      <c r="TXZ2463" s="60"/>
      <c r="TYA2463" s="60"/>
      <c r="TYB2463" s="60"/>
      <c r="TYC2463" s="63"/>
      <c r="TYD2463" s="61"/>
      <c r="TYE2463" s="54"/>
      <c r="TYF2463" s="54"/>
      <c r="TYG2463" s="63"/>
      <c r="TYH2463" s="60"/>
      <c r="TYI2463" s="60"/>
      <c r="TYJ2463" s="60"/>
      <c r="TYK2463" s="63"/>
      <c r="TYL2463" s="61"/>
      <c r="TYM2463" s="54"/>
      <c r="TYN2463" s="54"/>
      <c r="TYO2463" s="63"/>
      <c r="TYP2463" s="60"/>
      <c r="TYQ2463" s="60"/>
      <c r="TYR2463" s="60"/>
      <c r="TYS2463" s="63"/>
      <c r="TYT2463" s="61"/>
      <c r="TYU2463" s="54"/>
      <c r="TYV2463" s="54"/>
      <c r="TYW2463" s="63"/>
      <c r="TYX2463" s="60"/>
      <c r="TYY2463" s="60"/>
      <c r="TYZ2463" s="60"/>
      <c r="TZA2463" s="63"/>
      <c r="TZB2463" s="61"/>
      <c r="TZC2463" s="54"/>
      <c r="TZD2463" s="54"/>
      <c r="TZE2463" s="63"/>
      <c r="TZF2463" s="60"/>
      <c r="TZG2463" s="60"/>
      <c r="TZH2463" s="60"/>
      <c r="TZI2463" s="63"/>
      <c r="TZJ2463" s="61"/>
      <c r="TZK2463" s="54"/>
      <c r="TZL2463" s="54"/>
      <c r="TZM2463" s="63"/>
      <c r="TZN2463" s="60"/>
      <c r="TZO2463" s="60"/>
      <c r="TZP2463" s="60"/>
      <c r="TZQ2463" s="63"/>
      <c r="TZR2463" s="61"/>
      <c r="TZS2463" s="54"/>
      <c r="TZT2463" s="54"/>
      <c r="TZU2463" s="63"/>
      <c r="TZV2463" s="60"/>
      <c r="TZW2463" s="60"/>
      <c r="TZX2463" s="60"/>
      <c r="TZY2463" s="63"/>
      <c r="TZZ2463" s="61"/>
      <c r="UAA2463" s="54"/>
      <c r="UAB2463" s="54"/>
      <c r="UAC2463" s="63"/>
      <c r="UAD2463" s="60"/>
      <c r="UAE2463" s="60"/>
      <c r="UAF2463" s="60"/>
      <c r="UAG2463" s="63"/>
      <c r="UAH2463" s="61"/>
      <c r="UAI2463" s="54"/>
      <c r="UAJ2463" s="54"/>
      <c r="UAK2463" s="63"/>
      <c r="UAL2463" s="60"/>
      <c r="UAM2463" s="60"/>
      <c r="UAN2463" s="60"/>
      <c r="UAO2463" s="63"/>
      <c r="UAP2463" s="61"/>
      <c r="UAQ2463" s="54"/>
      <c r="UAR2463" s="54"/>
      <c r="UAS2463" s="63"/>
      <c r="UAT2463" s="60"/>
      <c r="UAU2463" s="60"/>
      <c r="UAV2463" s="60"/>
      <c r="UAW2463" s="63"/>
      <c r="UAX2463" s="61"/>
      <c r="UAY2463" s="54"/>
      <c r="UAZ2463" s="54"/>
      <c r="UBA2463" s="63"/>
      <c r="UBB2463" s="60"/>
      <c r="UBC2463" s="60"/>
      <c r="UBD2463" s="60"/>
      <c r="UBE2463" s="63"/>
      <c r="UBF2463" s="61"/>
      <c r="UBG2463" s="54"/>
      <c r="UBH2463" s="54"/>
      <c r="UBI2463" s="63"/>
      <c r="UBJ2463" s="60"/>
      <c r="UBK2463" s="60"/>
      <c r="UBL2463" s="60"/>
      <c r="UBM2463" s="63"/>
      <c r="UBN2463" s="61"/>
      <c r="UBO2463" s="54"/>
      <c r="UBP2463" s="54"/>
      <c r="UBQ2463" s="63"/>
      <c r="UBR2463" s="60"/>
      <c r="UBS2463" s="60"/>
      <c r="UBT2463" s="60"/>
      <c r="UBU2463" s="63"/>
      <c r="UBV2463" s="61"/>
      <c r="UBW2463" s="54"/>
      <c r="UBX2463" s="54"/>
      <c r="UBY2463" s="63"/>
      <c r="UBZ2463" s="60"/>
      <c r="UCA2463" s="60"/>
      <c r="UCB2463" s="60"/>
      <c r="UCC2463" s="63"/>
      <c r="UCD2463" s="61"/>
      <c r="UCE2463" s="54"/>
      <c r="UCF2463" s="54"/>
      <c r="UCG2463" s="63"/>
      <c r="UCH2463" s="60"/>
      <c r="UCI2463" s="60"/>
      <c r="UCJ2463" s="60"/>
      <c r="UCK2463" s="63"/>
      <c r="UCL2463" s="61"/>
      <c r="UCM2463" s="54"/>
      <c r="UCN2463" s="54"/>
      <c r="UCO2463" s="63"/>
      <c r="UCP2463" s="60"/>
      <c r="UCQ2463" s="60"/>
      <c r="UCR2463" s="60"/>
      <c r="UCS2463" s="63"/>
      <c r="UCT2463" s="61"/>
      <c r="UCU2463" s="54"/>
      <c r="UCV2463" s="54"/>
      <c r="UCW2463" s="63"/>
      <c r="UCX2463" s="60"/>
      <c r="UCY2463" s="60"/>
      <c r="UCZ2463" s="60"/>
      <c r="UDA2463" s="63"/>
      <c r="UDB2463" s="61"/>
      <c r="UDC2463" s="54"/>
      <c r="UDD2463" s="54"/>
      <c r="UDE2463" s="63"/>
      <c r="UDF2463" s="60"/>
      <c r="UDG2463" s="60"/>
      <c r="UDH2463" s="60"/>
      <c r="UDI2463" s="63"/>
      <c r="UDJ2463" s="61"/>
      <c r="UDK2463" s="54"/>
      <c r="UDL2463" s="54"/>
      <c r="UDM2463" s="63"/>
      <c r="UDN2463" s="60"/>
      <c r="UDO2463" s="60"/>
      <c r="UDP2463" s="60"/>
      <c r="UDQ2463" s="63"/>
      <c r="UDR2463" s="61"/>
      <c r="UDS2463" s="54"/>
      <c r="UDT2463" s="54"/>
      <c r="UDU2463" s="63"/>
      <c r="UDV2463" s="60"/>
      <c r="UDW2463" s="60"/>
      <c r="UDX2463" s="60"/>
      <c r="UDY2463" s="63"/>
      <c r="UDZ2463" s="61"/>
      <c r="UEA2463" s="54"/>
      <c r="UEB2463" s="54"/>
      <c r="UEC2463" s="63"/>
      <c r="UED2463" s="60"/>
      <c r="UEE2463" s="60"/>
      <c r="UEF2463" s="60"/>
      <c r="UEG2463" s="63"/>
      <c r="UEH2463" s="61"/>
      <c r="UEI2463" s="54"/>
      <c r="UEJ2463" s="54"/>
      <c r="UEK2463" s="63"/>
      <c r="UEL2463" s="60"/>
      <c r="UEM2463" s="60"/>
      <c r="UEN2463" s="60"/>
      <c r="UEO2463" s="63"/>
      <c r="UEP2463" s="61"/>
      <c r="UEQ2463" s="54"/>
      <c r="UER2463" s="54"/>
      <c r="UES2463" s="63"/>
      <c r="UET2463" s="60"/>
      <c r="UEU2463" s="60"/>
      <c r="UEV2463" s="60"/>
      <c r="UEW2463" s="63"/>
      <c r="UEX2463" s="61"/>
      <c r="UEY2463" s="54"/>
      <c r="UEZ2463" s="54"/>
      <c r="UFA2463" s="63"/>
      <c r="UFB2463" s="60"/>
      <c r="UFC2463" s="60"/>
      <c r="UFD2463" s="60"/>
      <c r="UFE2463" s="63"/>
      <c r="UFF2463" s="61"/>
      <c r="UFG2463" s="54"/>
      <c r="UFH2463" s="54"/>
      <c r="UFI2463" s="63"/>
      <c r="UFJ2463" s="60"/>
      <c r="UFK2463" s="60"/>
      <c r="UFL2463" s="60"/>
      <c r="UFM2463" s="63"/>
      <c r="UFN2463" s="61"/>
      <c r="UFO2463" s="54"/>
      <c r="UFP2463" s="54"/>
      <c r="UFQ2463" s="63"/>
      <c r="UFR2463" s="60"/>
      <c r="UFS2463" s="60"/>
      <c r="UFT2463" s="60"/>
      <c r="UFU2463" s="63"/>
      <c r="UFV2463" s="61"/>
      <c r="UFW2463" s="54"/>
      <c r="UFX2463" s="54"/>
      <c r="UFY2463" s="63"/>
      <c r="UFZ2463" s="60"/>
      <c r="UGA2463" s="60"/>
      <c r="UGB2463" s="60"/>
      <c r="UGC2463" s="63"/>
      <c r="UGD2463" s="61"/>
      <c r="UGE2463" s="54"/>
      <c r="UGF2463" s="54"/>
      <c r="UGG2463" s="63"/>
      <c r="UGH2463" s="60"/>
      <c r="UGI2463" s="60"/>
      <c r="UGJ2463" s="60"/>
      <c r="UGK2463" s="63"/>
      <c r="UGL2463" s="61"/>
      <c r="UGM2463" s="54"/>
      <c r="UGN2463" s="54"/>
      <c r="UGO2463" s="63"/>
      <c r="UGP2463" s="60"/>
      <c r="UGQ2463" s="60"/>
      <c r="UGR2463" s="60"/>
      <c r="UGS2463" s="63"/>
      <c r="UGT2463" s="61"/>
      <c r="UGU2463" s="54"/>
      <c r="UGV2463" s="54"/>
      <c r="UGW2463" s="63"/>
      <c r="UGX2463" s="60"/>
      <c r="UGY2463" s="60"/>
      <c r="UGZ2463" s="60"/>
      <c r="UHA2463" s="63"/>
      <c r="UHB2463" s="61"/>
      <c r="UHC2463" s="54"/>
      <c r="UHD2463" s="54"/>
      <c r="UHE2463" s="63"/>
      <c r="UHF2463" s="60"/>
      <c r="UHG2463" s="60"/>
      <c r="UHH2463" s="60"/>
      <c r="UHI2463" s="63"/>
      <c r="UHJ2463" s="61"/>
      <c r="UHK2463" s="54"/>
      <c r="UHL2463" s="54"/>
      <c r="UHM2463" s="63"/>
      <c r="UHN2463" s="60"/>
      <c r="UHO2463" s="60"/>
      <c r="UHP2463" s="60"/>
      <c r="UHQ2463" s="63"/>
      <c r="UHR2463" s="61"/>
      <c r="UHS2463" s="54"/>
      <c r="UHT2463" s="54"/>
      <c r="UHU2463" s="63"/>
      <c r="UHV2463" s="60"/>
      <c r="UHW2463" s="60"/>
      <c r="UHX2463" s="60"/>
      <c r="UHY2463" s="63"/>
      <c r="UHZ2463" s="61"/>
      <c r="UIA2463" s="54"/>
      <c r="UIB2463" s="54"/>
      <c r="UIC2463" s="63"/>
      <c r="UID2463" s="60"/>
      <c r="UIE2463" s="60"/>
      <c r="UIF2463" s="60"/>
      <c r="UIG2463" s="63"/>
      <c r="UIH2463" s="61"/>
      <c r="UII2463" s="54"/>
      <c r="UIJ2463" s="54"/>
      <c r="UIK2463" s="63"/>
      <c r="UIL2463" s="60"/>
      <c r="UIM2463" s="60"/>
      <c r="UIN2463" s="60"/>
      <c r="UIO2463" s="63"/>
      <c r="UIP2463" s="61"/>
      <c r="UIQ2463" s="54"/>
      <c r="UIR2463" s="54"/>
      <c r="UIS2463" s="63"/>
      <c r="UIT2463" s="60"/>
      <c r="UIU2463" s="60"/>
      <c r="UIV2463" s="60"/>
      <c r="UIW2463" s="63"/>
      <c r="UIX2463" s="61"/>
      <c r="UIY2463" s="54"/>
      <c r="UIZ2463" s="54"/>
      <c r="UJA2463" s="63"/>
      <c r="UJB2463" s="60"/>
      <c r="UJC2463" s="60"/>
      <c r="UJD2463" s="60"/>
      <c r="UJE2463" s="63"/>
      <c r="UJF2463" s="61"/>
      <c r="UJG2463" s="54"/>
      <c r="UJH2463" s="54"/>
      <c r="UJI2463" s="63"/>
      <c r="UJJ2463" s="60"/>
      <c r="UJK2463" s="60"/>
      <c r="UJL2463" s="60"/>
      <c r="UJM2463" s="63"/>
      <c r="UJN2463" s="61"/>
      <c r="UJO2463" s="54"/>
      <c r="UJP2463" s="54"/>
      <c r="UJQ2463" s="63"/>
      <c r="UJR2463" s="60"/>
      <c r="UJS2463" s="60"/>
      <c r="UJT2463" s="60"/>
      <c r="UJU2463" s="63"/>
      <c r="UJV2463" s="61"/>
      <c r="UJW2463" s="54"/>
      <c r="UJX2463" s="54"/>
      <c r="UJY2463" s="63"/>
      <c r="UJZ2463" s="60"/>
      <c r="UKA2463" s="60"/>
      <c r="UKB2463" s="60"/>
      <c r="UKC2463" s="63"/>
      <c r="UKD2463" s="61"/>
      <c r="UKE2463" s="54"/>
      <c r="UKF2463" s="54"/>
      <c r="UKG2463" s="63"/>
      <c r="UKH2463" s="60"/>
      <c r="UKI2463" s="60"/>
      <c r="UKJ2463" s="60"/>
      <c r="UKK2463" s="63"/>
      <c r="UKL2463" s="61"/>
      <c r="UKM2463" s="54"/>
      <c r="UKN2463" s="54"/>
      <c r="UKO2463" s="63"/>
      <c r="UKP2463" s="60"/>
      <c r="UKQ2463" s="60"/>
      <c r="UKR2463" s="60"/>
      <c r="UKS2463" s="63"/>
      <c r="UKT2463" s="61"/>
      <c r="UKU2463" s="54"/>
      <c r="UKV2463" s="54"/>
      <c r="UKW2463" s="63"/>
      <c r="UKX2463" s="60"/>
      <c r="UKY2463" s="60"/>
      <c r="UKZ2463" s="60"/>
      <c r="ULA2463" s="63"/>
      <c r="ULB2463" s="61"/>
      <c r="ULC2463" s="54"/>
      <c r="ULD2463" s="54"/>
      <c r="ULE2463" s="63"/>
      <c r="ULF2463" s="60"/>
      <c r="ULG2463" s="60"/>
      <c r="ULH2463" s="60"/>
      <c r="ULI2463" s="63"/>
      <c r="ULJ2463" s="61"/>
      <c r="ULK2463" s="54"/>
      <c r="ULL2463" s="54"/>
      <c r="ULM2463" s="63"/>
      <c r="ULN2463" s="60"/>
      <c r="ULO2463" s="60"/>
      <c r="ULP2463" s="60"/>
      <c r="ULQ2463" s="63"/>
      <c r="ULR2463" s="61"/>
      <c r="ULS2463" s="54"/>
      <c r="ULT2463" s="54"/>
      <c r="ULU2463" s="63"/>
      <c r="ULV2463" s="60"/>
      <c r="ULW2463" s="60"/>
      <c r="ULX2463" s="60"/>
      <c r="ULY2463" s="63"/>
      <c r="ULZ2463" s="61"/>
      <c r="UMA2463" s="54"/>
      <c r="UMB2463" s="54"/>
      <c r="UMC2463" s="63"/>
      <c r="UMD2463" s="60"/>
      <c r="UME2463" s="60"/>
      <c r="UMF2463" s="60"/>
      <c r="UMG2463" s="63"/>
      <c r="UMH2463" s="61"/>
      <c r="UMI2463" s="54"/>
      <c r="UMJ2463" s="54"/>
      <c r="UMK2463" s="63"/>
      <c r="UML2463" s="60"/>
      <c r="UMM2463" s="60"/>
      <c r="UMN2463" s="60"/>
      <c r="UMO2463" s="63"/>
      <c r="UMP2463" s="61"/>
      <c r="UMQ2463" s="54"/>
      <c r="UMR2463" s="54"/>
      <c r="UMS2463" s="63"/>
      <c r="UMT2463" s="60"/>
      <c r="UMU2463" s="60"/>
      <c r="UMV2463" s="60"/>
      <c r="UMW2463" s="63"/>
      <c r="UMX2463" s="61"/>
      <c r="UMY2463" s="54"/>
      <c r="UMZ2463" s="54"/>
      <c r="UNA2463" s="63"/>
      <c r="UNB2463" s="60"/>
      <c r="UNC2463" s="60"/>
      <c r="UND2463" s="60"/>
      <c r="UNE2463" s="63"/>
      <c r="UNF2463" s="61"/>
      <c r="UNG2463" s="54"/>
      <c r="UNH2463" s="54"/>
      <c r="UNI2463" s="63"/>
      <c r="UNJ2463" s="60"/>
      <c r="UNK2463" s="60"/>
      <c r="UNL2463" s="60"/>
      <c r="UNM2463" s="63"/>
      <c r="UNN2463" s="61"/>
      <c r="UNO2463" s="54"/>
      <c r="UNP2463" s="54"/>
      <c r="UNQ2463" s="63"/>
      <c r="UNR2463" s="60"/>
      <c r="UNS2463" s="60"/>
      <c r="UNT2463" s="60"/>
      <c r="UNU2463" s="63"/>
      <c r="UNV2463" s="61"/>
      <c r="UNW2463" s="54"/>
      <c r="UNX2463" s="54"/>
      <c r="UNY2463" s="63"/>
      <c r="UNZ2463" s="60"/>
      <c r="UOA2463" s="60"/>
      <c r="UOB2463" s="60"/>
      <c r="UOC2463" s="63"/>
      <c r="UOD2463" s="61"/>
      <c r="UOE2463" s="54"/>
      <c r="UOF2463" s="54"/>
      <c r="UOG2463" s="63"/>
      <c r="UOH2463" s="60"/>
      <c r="UOI2463" s="60"/>
      <c r="UOJ2463" s="60"/>
      <c r="UOK2463" s="63"/>
      <c r="UOL2463" s="61"/>
      <c r="UOM2463" s="54"/>
      <c r="UON2463" s="54"/>
      <c r="UOO2463" s="63"/>
      <c r="UOP2463" s="60"/>
      <c r="UOQ2463" s="60"/>
      <c r="UOR2463" s="60"/>
      <c r="UOS2463" s="63"/>
      <c r="UOT2463" s="61"/>
      <c r="UOU2463" s="54"/>
      <c r="UOV2463" s="54"/>
      <c r="UOW2463" s="63"/>
      <c r="UOX2463" s="60"/>
      <c r="UOY2463" s="60"/>
      <c r="UOZ2463" s="60"/>
      <c r="UPA2463" s="63"/>
      <c r="UPB2463" s="61"/>
      <c r="UPC2463" s="54"/>
      <c r="UPD2463" s="54"/>
      <c r="UPE2463" s="63"/>
      <c r="UPF2463" s="60"/>
      <c r="UPG2463" s="60"/>
      <c r="UPH2463" s="60"/>
      <c r="UPI2463" s="63"/>
      <c r="UPJ2463" s="61"/>
      <c r="UPK2463" s="54"/>
      <c r="UPL2463" s="54"/>
      <c r="UPM2463" s="63"/>
      <c r="UPN2463" s="60"/>
      <c r="UPO2463" s="60"/>
      <c r="UPP2463" s="60"/>
      <c r="UPQ2463" s="63"/>
      <c r="UPR2463" s="61"/>
      <c r="UPS2463" s="54"/>
      <c r="UPT2463" s="54"/>
      <c r="UPU2463" s="63"/>
      <c r="UPV2463" s="60"/>
      <c r="UPW2463" s="60"/>
      <c r="UPX2463" s="60"/>
      <c r="UPY2463" s="63"/>
      <c r="UPZ2463" s="61"/>
      <c r="UQA2463" s="54"/>
      <c r="UQB2463" s="54"/>
      <c r="UQC2463" s="63"/>
      <c r="UQD2463" s="60"/>
      <c r="UQE2463" s="60"/>
      <c r="UQF2463" s="60"/>
      <c r="UQG2463" s="63"/>
      <c r="UQH2463" s="61"/>
      <c r="UQI2463" s="54"/>
      <c r="UQJ2463" s="54"/>
      <c r="UQK2463" s="63"/>
      <c r="UQL2463" s="60"/>
      <c r="UQM2463" s="60"/>
      <c r="UQN2463" s="60"/>
      <c r="UQO2463" s="63"/>
      <c r="UQP2463" s="61"/>
      <c r="UQQ2463" s="54"/>
      <c r="UQR2463" s="54"/>
      <c r="UQS2463" s="63"/>
      <c r="UQT2463" s="60"/>
      <c r="UQU2463" s="60"/>
      <c r="UQV2463" s="60"/>
      <c r="UQW2463" s="63"/>
      <c r="UQX2463" s="61"/>
      <c r="UQY2463" s="54"/>
      <c r="UQZ2463" s="54"/>
      <c r="URA2463" s="63"/>
      <c r="URB2463" s="60"/>
      <c r="URC2463" s="60"/>
      <c r="URD2463" s="60"/>
      <c r="URE2463" s="63"/>
      <c r="URF2463" s="61"/>
      <c r="URG2463" s="54"/>
      <c r="URH2463" s="54"/>
      <c r="URI2463" s="63"/>
      <c r="URJ2463" s="60"/>
      <c r="URK2463" s="60"/>
      <c r="URL2463" s="60"/>
      <c r="URM2463" s="63"/>
      <c r="URN2463" s="61"/>
      <c r="URO2463" s="54"/>
      <c r="URP2463" s="54"/>
      <c r="URQ2463" s="63"/>
      <c r="URR2463" s="60"/>
      <c r="URS2463" s="60"/>
      <c r="URT2463" s="60"/>
      <c r="URU2463" s="63"/>
      <c r="URV2463" s="61"/>
      <c r="URW2463" s="54"/>
      <c r="URX2463" s="54"/>
      <c r="URY2463" s="63"/>
      <c r="URZ2463" s="60"/>
      <c r="USA2463" s="60"/>
      <c r="USB2463" s="60"/>
      <c r="USC2463" s="63"/>
      <c r="USD2463" s="61"/>
      <c r="USE2463" s="54"/>
      <c r="USF2463" s="54"/>
      <c r="USG2463" s="63"/>
      <c r="USH2463" s="60"/>
      <c r="USI2463" s="60"/>
      <c r="USJ2463" s="60"/>
      <c r="USK2463" s="63"/>
      <c r="USL2463" s="61"/>
      <c r="USM2463" s="54"/>
      <c r="USN2463" s="54"/>
      <c r="USO2463" s="63"/>
      <c r="USP2463" s="60"/>
      <c r="USQ2463" s="60"/>
      <c r="USR2463" s="60"/>
      <c r="USS2463" s="63"/>
      <c r="UST2463" s="61"/>
      <c r="USU2463" s="54"/>
      <c r="USV2463" s="54"/>
      <c r="USW2463" s="63"/>
      <c r="USX2463" s="60"/>
      <c r="USY2463" s="60"/>
      <c r="USZ2463" s="60"/>
      <c r="UTA2463" s="63"/>
      <c r="UTB2463" s="61"/>
      <c r="UTC2463" s="54"/>
      <c r="UTD2463" s="54"/>
      <c r="UTE2463" s="63"/>
      <c r="UTF2463" s="60"/>
      <c r="UTG2463" s="60"/>
      <c r="UTH2463" s="60"/>
      <c r="UTI2463" s="63"/>
      <c r="UTJ2463" s="61"/>
      <c r="UTK2463" s="54"/>
      <c r="UTL2463" s="54"/>
      <c r="UTM2463" s="63"/>
      <c r="UTN2463" s="60"/>
      <c r="UTO2463" s="60"/>
      <c r="UTP2463" s="60"/>
      <c r="UTQ2463" s="63"/>
      <c r="UTR2463" s="61"/>
      <c r="UTS2463" s="54"/>
      <c r="UTT2463" s="54"/>
      <c r="UTU2463" s="63"/>
      <c r="UTV2463" s="60"/>
      <c r="UTW2463" s="60"/>
      <c r="UTX2463" s="60"/>
      <c r="UTY2463" s="63"/>
      <c r="UTZ2463" s="61"/>
      <c r="UUA2463" s="54"/>
      <c r="UUB2463" s="54"/>
      <c r="UUC2463" s="63"/>
      <c r="UUD2463" s="60"/>
      <c r="UUE2463" s="60"/>
      <c r="UUF2463" s="60"/>
      <c r="UUG2463" s="63"/>
      <c r="UUH2463" s="61"/>
      <c r="UUI2463" s="54"/>
      <c r="UUJ2463" s="54"/>
      <c r="UUK2463" s="63"/>
      <c r="UUL2463" s="60"/>
      <c r="UUM2463" s="60"/>
      <c r="UUN2463" s="60"/>
      <c r="UUO2463" s="63"/>
      <c r="UUP2463" s="61"/>
      <c r="UUQ2463" s="54"/>
      <c r="UUR2463" s="54"/>
      <c r="UUS2463" s="63"/>
      <c r="UUT2463" s="60"/>
      <c r="UUU2463" s="60"/>
      <c r="UUV2463" s="60"/>
      <c r="UUW2463" s="63"/>
      <c r="UUX2463" s="61"/>
      <c r="UUY2463" s="54"/>
      <c r="UUZ2463" s="54"/>
      <c r="UVA2463" s="63"/>
      <c r="UVB2463" s="60"/>
      <c r="UVC2463" s="60"/>
      <c r="UVD2463" s="60"/>
      <c r="UVE2463" s="63"/>
      <c r="UVF2463" s="61"/>
      <c r="UVG2463" s="54"/>
      <c r="UVH2463" s="54"/>
      <c r="UVI2463" s="63"/>
      <c r="UVJ2463" s="60"/>
      <c r="UVK2463" s="60"/>
      <c r="UVL2463" s="60"/>
      <c r="UVM2463" s="63"/>
      <c r="UVN2463" s="61"/>
      <c r="UVO2463" s="54"/>
      <c r="UVP2463" s="54"/>
      <c r="UVQ2463" s="63"/>
      <c r="UVR2463" s="60"/>
      <c r="UVS2463" s="60"/>
      <c r="UVT2463" s="60"/>
      <c r="UVU2463" s="63"/>
      <c r="UVV2463" s="61"/>
      <c r="UVW2463" s="54"/>
      <c r="UVX2463" s="54"/>
      <c r="UVY2463" s="63"/>
      <c r="UVZ2463" s="60"/>
      <c r="UWA2463" s="60"/>
      <c r="UWB2463" s="60"/>
      <c r="UWC2463" s="63"/>
      <c r="UWD2463" s="61"/>
      <c r="UWE2463" s="54"/>
      <c r="UWF2463" s="54"/>
      <c r="UWG2463" s="63"/>
      <c r="UWH2463" s="60"/>
      <c r="UWI2463" s="60"/>
      <c r="UWJ2463" s="60"/>
      <c r="UWK2463" s="63"/>
      <c r="UWL2463" s="61"/>
      <c r="UWM2463" s="54"/>
      <c r="UWN2463" s="54"/>
      <c r="UWO2463" s="63"/>
      <c r="UWP2463" s="60"/>
      <c r="UWQ2463" s="60"/>
      <c r="UWR2463" s="60"/>
      <c r="UWS2463" s="63"/>
      <c r="UWT2463" s="61"/>
      <c r="UWU2463" s="54"/>
      <c r="UWV2463" s="54"/>
      <c r="UWW2463" s="63"/>
      <c r="UWX2463" s="60"/>
      <c r="UWY2463" s="60"/>
      <c r="UWZ2463" s="60"/>
      <c r="UXA2463" s="63"/>
      <c r="UXB2463" s="61"/>
      <c r="UXC2463" s="54"/>
      <c r="UXD2463" s="54"/>
      <c r="UXE2463" s="63"/>
      <c r="UXF2463" s="60"/>
      <c r="UXG2463" s="60"/>
      <c r="UXH2463" s="60"/>
      <c r="UXI2463" s="63"/>
      <c r="UXJ2463" s="61"/>
      <c r="UXK2463" s="54"/>
      <c r="UXL2463" s="54"/>
      <c r="UXM2463" s="63"/>
      <c r="UXN2463" s="60"/>
      <c r="UXO2463" s="60"/>
      <c r="UXP2463" s="60"/>
      <c r="UXQ2463" s="63"/>
      <c r="UXR2463" s="61"/>
      <c r="UXS2463" s="54"/>
      <c r="UXT2463" s="54"/>
      <c r="UXU2463" s="63"/>
      <c r="UXV2463" s="60"/>
      <c r="UXW2463" s="60"/>
      <c r="UXX2463" s="60"/>
      <c r="UXY2463" s="63"/>
      <c r="UXZ2463" s="61"/>
      <c r="UYA2463" s="54"/>
      <c r="UYB2463" s="54"/>
      <c r="UYC2463" s="63"/>
      <c r="UYD2463" s="60"/>
      <c r="UYE2463" s="60"/>
      <c r="UYF2463" s="60"/>
      <c r="UYG2463" s="63"/>
      <c r="UYH2463" s="61"/>
      <c r="UYI2463" s="54"/>
      <c r="UYJ2463" s="54"/>
      <c r="UYK2463" s="63"/>
      <c r="UYL2463" s="60"/>
      <c r="UYM2463" s="60"/>
      <c r="UYN2463" s="60"/>
      <c r="UYO2463" s="63"/>
      <c r="UYP2463" s="61"/>
      <c r="UYQ2463" s="54"/>
      <c r="UYR2463" s="54"/>
      <c r="UYS2463" s="63"/>
      <c r="UYT2463" s="60"/>
      <c r="UYU2463" s="60"/>
      <c r="UYV2463" s="60"/>
      <c r="UYW2463" s="63"/>
      <c r="UYX2463" s="61"/>
      <c r="UYY2463" s="54"/>
      <c r="UYZ2463" s="54"/>
      <c r="UZA2463" s="63"/>
      <c r="UZB2463" s="60"/>
      <c r="UZC2463" s="60"/>
      <c r="UZD2463" s="60"/>
      <c r="UZE2463" s="63"/>
      <c r="UZF2463" s="61"/>
      <c r="UZG2463" s="54"/>
      <c r="UZH2463" s="54"/>
      <c r="UZI2463" s="63"/>
      <c r="UZJ2463" s="60"/>
      <c r="UZK2463" s="60"/>
      <c r="UZL2463" s="60"/>
      <c r="UZM2463" s="63"/>
      <c r="UZN2463" s="61"/>
      <c r="UZO2463" s="54"/>
      <c r="UZP2463" s="54"/>
      <c r="UZQ2463" s="63"/>
      <c r="UZR2463" s="60"/>
      <c r="UZS2463" s="60"/>
      <c r="UZT2463" s="60"/>
      <c r="UZU2463" s="63"/>
      <c r="UZV2463" s="61"/>
      <c r="UZW2463" s="54"/>
      <c r="UZX2463" s="54"/>
      <c r="UZY2463" s="63"/>
      <c r="UZZ2463" s="60"/>
      <c r="VAA2463" s="60"/>
      <c r="VAB2463" s="60"/>
      <c r="VAC2463" s="63"/>
      <c r="VAD2463" s="61"/>
      <c r="VAE2463" s="54"/>
      <c r="VAF2463" s="54"/>
      <c r="VAG2463" s="63"/>
      <c r="VAH2463" s="60"/>
      <c r="VAI2463" s="60"/>
      <c r="VAJ2463" s="60"/>
      <c r="VAK2463" s="63"/>
      <c r="VAL2463" s="61"/>
      <c r="VAM2463" s="54"/>
      <c r="VAN2463" s="54"/>
      <c r="VAO2463" s="63"/>
      <c r="VAP2463" s="60"/>
      <c r="VAQ2463" s="60"/>
      <c r="VAR2463" s="60"/>
      <c r="VAS2463" s="63"/>
      <c r="VAT2463" s="61"/>
      <c r="VAU2463" s="54"/>
      <c r="VAV2463" s="54"/>
      <c r="VAW2463" s="63"/>
      <c r="VAX2463" s="60"/>
      <c r="VAY2463" s="60"/>
      <c r="VAZ2463" s="60"/>
      <c r="VBA2463" s="63"/>
      <c r="VBB2463" s="61"/>
      <c r="VBC2463" s="54"/>
      <c r="VBD2463" s="54"/>
      <c r="VBE2463" s="63"/>
      <c r="VBF2463" s="60"/>
      <c r="VBG2463" s="60"/>
      <c r="VBH2463" s="60"/>
      <c r="VBI2463" s="63"/>
      <c r="VBJ2463" s="61"/>
      <c r="VBK2463" s="54"/>
      <c r="VBL2463" s="54"/>
      <c r="VBM2463" s="63"/>
      <c r="VBN2463" s="60"/>
      <c r="VBO2463" s="60"/>
      <c r="VBP2463" s="60"/>
      <c r="VBQ2463" s="63"/>
      <c r="VBR2463" s="61"/>
      <c r="VBS2463" s="54"/>
      <c r="VBT2463" s="54"/>
      <c r="VBU2463" s="63"/>
      <c r="VBV2463" s="60"/>
      <c r="VBW2463" s="60"/>
      <c r="VBX2463" s="60"/>
      <c r="VBY2463" s="63"/>
      <c r="VBZ2463" s="61"/>
      <c r="VCA2463" s="54"/>
      <c r="VCB2463" s="54"/>
      <c r="VCC2463" s="63"/>
      <c r="VCD2463" s="60"/>
      <c r="VCE2463" s="60"/>
      <c r="VCF2463" s="60"/>
      <c r="VCG2463" s="63"/>
      <c r="VCH2463" s="61"/>
      <c r="VCI2463" s="54"/>
      <c r="VCJ2463" s="54"/>
      <c r="VCK2463" s="63"/>
      <c r="VCL2463" s="60"/>
      <c r="VCM2463" s="60"/>
      <c r="VCN2463" s="60"/>
      <c r="VCO2463" s="63"/>
      <c r="VCP2463" s="61"/>
      <c r="VCQ2463" s="54"/>
      <c r="VCR2463" s="54"/>
      <c r="VCS2463" s="63"/>
      <c r="VCT2463" s="60"/>
      <c r="VCU2463" s="60"/>
      <c r="VCV2463" s="60"/>
      <c r="VCW2463" s="63"/>
      <c r="VCX2463" s="61"/>
      <c r="VCY2463" s="54"/>
      <c r="VCZ2463" s="54"/>
      <c r="VDA2463" s="63"/>
      <c r="VDB2463" s="60"/>
      <c r="VDC2463" s="60"/>
      <c r="VDD2463" s="60"/>
      <c r="VDE2463" s="63"/>
      <c r="VDF2463" s="61"/>
      <c r="VDG2463" s="54"/>
      <c r="VDH2463" s="54"/>
      <c r="VDI2463" s="63"/>
      <c r="VDJ2463" s="60"/>
      <c r="VDK2463" s="60"/>
      <c r="VDL2463" s="60"/>
      <c r="VDM2463" s="63"/>
      <c r="VDN2463" s="61"/>
      <c r="VDO2463" s="54"/>
      <c r="VDP2463" s="54"/>
      <c r="VDQ2463" s="63"/>
      <c r="VDR2463" s="60"/>
      <c r="VDS2463" s="60"/>
      <c r="VDT2463" s="60"/>
      <c r="VDU2463" s="63"/>
      <c r="VDV2463" s="61"/>
      <c r="VDW2463" s="54"/>
      <c r="VDX2463" s="54"/>
      <c r="VDY2463" s="63"/>
      <c r="VDZ2463" s="60"/>
      <c r="VEA2463" s="60"/>
      <c r="VEB2463" s="60"/>
      <c r="VEC2463" s="63"/>
      <c r="VED2463" s="61"/>
      <c r="VEE2463" s="54"/>
      <c r="VEF2463" s="54"/>
      <c r="VEG2463" s="63"/>
      <c r="VEH2463" s="60"/>
      <c r="VEI2463" s="60"/>
      <c r="VEJ2463" s="60"/>
      <c r="VEK2463" s="63"/>
      <c r="VEL2463" s="61"/>
      <c r="VEM2463" s="54"/>
      <c r="VEN2463" s="54"/>
      <c r="VEO2463" s="63"/>
      <c r="VEP2463" s="60"/>
      <c r="VEQ2463" s="60"/>
      <c r="VER2463" s="60"/>
      <c r="VES2463" s="63"/>
      <c r="VET2463" s="61"/>
      <c r="VEU2463" s="54"/>
      <c r="VEV2463" s="54"/>
      <c r="VEW2463" s="63"/>
      <c r="VEX2463" s="60"/>
      <c r="VEY2463" s="60"/>
      <c r="VEZ2463" s="60"/>
      <c r="VFA2463" s="63"/>
      <c r="VFB2463" s="61"/>
      <c r="VFC2463" s="54"/>
      <c r="VFD2463" s="54"/>
      <c r="VFE2463" s="63"/>
      <c r="VFF2463" s="60"/>
      <c r="VFG2463" s="60"/>
      <c r="VFH2463" s="60"/>
      <c r="VFI2463" s="63"/>
      <c r="VFJ2463" s="61"/>
      <c r="VFK2463" s="54"/>
      <c r="VFL2463" s="54"/>
      <c r="VFM2463" s="63"/>
      <c r="VFN2463" s="60"/>
      <c r="VFO2463" s="60"/>
      <c r="VFP2463" s="60"/>
      <c r="VFQ2463" s="63"/>
      <c r="VFR2463" s="61"/>
      <c r="VFS2463" s="54"/>
      <c r="VFT2463" s="54"/>
      <c r="VFU2463" s="63"/>
      <c r="VFV2463" s="60"/>
      <c r="VFW2463" s="60"/>
      <c r="VFX2463" s="60"/>
      <c r="VFY2463" s="63"/>
      <c r="VFZ2463" s="61"/>
      <c r="VGA2463" s="54"/>
      <c r="VGB2463" s="54"/>
      <c r="VGC2463" s="63"/>
      <c r="VGD2463" s="60"/>
      <c r="VGE2463" s="60"/>
      <c r="VGF2463" s="60"/>
      <c r="VGG2463" s="63"/>
      <c r="VGH2463" s="61"/>
      <c r="VGI2463" s="54"/>
      <c r="VGJ2463" s="54"/>
      <c r="VGK2463" s="63"/>
      <c r="VGL2463" s="60"/>
      <c r="VGM2463" s="60"/>
      <c r="VGN2463" s="60"/>
      <c r="VGO2463" s="63"/>
      <c r="VGP2463" s="61"/>
      <c r="VGQ2463" s="54"/>
      <c r="VGR2463" s="54"/>
      <c r="VGS2463" s="63"/>
      <c r="VGT2463" s="60"/>
      <c r="VGU2463" s="60"/>
      <c r="VGV2463" s="60"/>
      <c r="VGW2463" s="63"/>
      <c r="VGX2463" s="61"/>
      <c r="VGY2463" s="54"/>
      <c r="VGZ2463" s="54"/>
      <c r="VHA2463" s="63"/>
      <c r="VHB2463" s="60"/>
      <c r="VHC2463" s="60"/>
      <c r="VHD2463" s="60"/>
      <c r="VHE2463" s="63"/>
      <c r="VHF2463" s="61"/>
      <c r="VHG2463" s="54"/>
      <c r="VHH2463" s="54"/>
      <c r="VHI2463" s="63"/>
      <c r="VHJ2463" s="60"/>
      <c r="VHK2463" s="60"/>
      <c r="VHL2463" s="60"/>
      <c r="VHM2463" s="63"/>
      <c r="VHN2463" s="61"/>
      <c r="VHO2463" s="54"/>
      <c r="VHP2463" s="54"/>
      <c r="VHQ2463" s="63"/>
      <c r="VHR2463" s="60"/>
      <c r="VHS2463" s="60"/>
      <c r="VHT2463" s="60"/>
      <c r="VHU2463" s="63"/>
      <c r="VHV2463" s="61"/>
      <c r="VHW2463" s="54"/>
      <c r="VHX2463" s="54"/>
      <c r="VHY2463" s="63"/>
      <c r="VHZ2463" s="60"/>
      <c r="VIA2463" s="60"/>
      <c r="VIB2463" s="60"/>
      <c r="VIC2463" s="63"/>
      <c r="VID2463" s="61"/>
      <c r="VIE2463" s="54"/>
      <c r="VIF2463" s="54"/>
      <c r="VIG2463" s="63"/>
      <c r="VIH2463" s="60"/>
      <c r="VII2463" s="60"/>
      <c r="VIJ2463" s="60"/>
      <c r="VIK2463" s="63"/>
      <c r="VIL2463" s="61"/>
      <c r="VIM2463" s="54"/>
      <c r="VIN2463" s="54"/>
      <c r="VIO2463" s="63"/>
      <c r="VIP2463" s="60"/>
      <c r="VIQ2463" s="60"/>
      <c r="VIR2463" s="60"/>
      <c r="VIS2463" s="63"/>
      <c r="VIT2463" s="61"/>
      <c r="VIU2463" s="54"/>
      <c r="VIV2463" s="54"/>
      <c r="VIW2463" s="63"/>
      <c r="VIX2463" s="60"/>
      <c r="VIY2463" s="60"/>
      <c r="VIZ2463" s="60"/>
      <c r="VJA2463" s="63"/>
      <c r="VJB2463" s="61"/>
      <c r="VJC2463" s="54"/>
      <c r="VJD2463" s="54"/>
      <c r="VJE2463" s="63"/>
      <c r="VJF2463" s="60"/>
      <c r="VJG2463" s="60"/>
      <c r="VJH2463" s="60"/>
      <c r="VJI2463" s="63"/>
      <c r="VJJ2463" s="61"/>
      <c r="VJK2463" s="54"/>
      <c r="VJL2463" s="54"/>
      <c r="VJM2463" s="63"/>
      <c r="VJN2463" s="60"/>
      <c r="VJO2463" s="60"/>
      <c r="VJP2463" s="60"/>
      <c r="VJQ2463" s="63"/>
      <c r="VJR2463" s="61"/>
      <c r="VJS2463" s="54"/>
      <c r="VJT2463" s="54"/>
      <c r="VJU2463" s="63"/>
      <c r="VJV2463" s="60"/>
      <c r="VJW2463" s="60"/>
      <c r="VJX2463" s="60"/>
      <c r="VJY2463" s="63"/>
      <c r="VJZ2463" s="61"/>
      <c r="VKA2463" s="54"/>
      <c r="VKB2463" s="54"/>
      <c r="VKC2463" s="63"/>
      <c r="VKD2463" s="60"/>
      <c r="VKE2463" s="60"/>
      <c r="VKF2463" s="60"/>
      <c r="VKG2463" s="63"/>
      <c r="VKH2463" s="61"/>
      <c r="VKI2463" s="54"/>
      <c r="VKJ2463" s="54"/>
      <c r="VKK2463" s="63"/>
      <c r="VKL2463" s="60"/>
      <c r="VKM2463" s="60"/>
      <c r="VKN2463" s="60"/>
      <c r="VKO2463" s="63"/>
      <c r="VKP2463" s="61"/>
      <c r="VKQ2463" s="54"/>
      <c r="VKR2463" s="54"/>
      <c r="VKS2463" s="63"/>
      <c r="VKT2463" s="60"/>
      <c r="VKU2463" s="60"/>
      <c r="VKV2463" s="60"/>
      <c r="VKW2463" s="63"/>
      <c r="VKX2463" s="61"/>
      <c r="VKY2463" s="54"/>
      <c r="VKZ2463" s="54"/>
      <c r="VLA2463" s="63"/>
      <c r="VLB2463" s="60"/>
      <c r="VLC2463" s="60"/>
      <c r="VLD2463" s="60"/>
      <c r="VLE2463" s="63"/>
      <c r="VLF2463" s="61"/>
      <c r="VLG2463" s="54"/>
      <c r="VLH2463" s="54"/>
      <c r="VLI2463" s="63"/>
      <c r="VLJ2463" s="60"/>
      <c r="VLK2463" s="60"/>
      <c r="VLL2463" s="60"/>
      <c r="VLM2463" s="63"/>
      <c r="VLN2463" s="61"/>
      <c r="VLO2463" s="54"/>
      <c r="VLP2463" s="54"/>
      <c r="VLQ2463" s="63"/>
      <c r="VLR2463" s="60"/>
      <c r="VLS2463" s="60"/>
      <c r="VLT2463" s="60"/>
      <c r="VLU2463" s="63"/>
      <c r="VLV2463" s="61"/>
      <c r="VLW2463" s="54"/>
      <c r="VLX2463" s="54"/>
      <c r="VLY2463" s="63"/>
      <c r="VLZ2463" s="60"/>
      <c r="VMA2463" s="60"/>
      <c r="VMB2463" s="60"/>
      <c r="VMC2463" s="63"/>
      <c r="VMD2463" s="61"/>
      <c r="VME2463" s="54"/>
      <c r="VMF2463" s="54"/>
      <c r="VMG2463" s="63"/>
      <c r="VMH2463" s="60"/>
      <c r="VMI2463" s="60"/>
      <c r="VMJ2463" s="60"/>
      <c r="VMK2463" s="63"/>
      <c r="VML2463" s="61"/>
      <c r="VMM2463" s="54"/>
      <c r="VMN2463" s="54"/>
      <c r="VMO2463" s="63"/>
      <c r="VMP2463" s="60"/>
      <c r="VMQ2463" s="60"/>
      <c r="VMR2463" s="60"/>
      <c r="VMS2463" s="63"/>
      <c r="VMT2463" s="61"/>
      <c r="VMU2463" s="54"/>
      <c r="VMV2463" s="54"/>
      <c r="VMW2463" s="63"/>
      <c r="VMX2463" s="60"/>
      <c r="VMY2463" s="60"/>
      <c r="VMZ2463" s="60"/>
      <c r="VNA2463" s="63"/>
      <c r="VNB2463" s="61"/>
      <c r="VNC2463" s="54"/>
      <c r="VND2463" s="54"/>
      <c r="VNE2463" s="63"/>
      <c r="VNF2463" s="60"/>
      <c r="VNG2463" s="60"/>
      <c r="VNH2463" s="60"/>
      <c r="VNI2463" s="63"/>
      <c r="VNJ2463" s="61"/>
      <c r="VNK2463" s="54"/>
      <c r="VNL2463" s="54"/>
      <c r="VNM2463" s="63"/>
      <c r="VNN2463" s="60"/>
      <c r="VNO2463" s="60"/>
      <c r="VNP2463" s="60"/>
      <c r="VNQ2463" s="63"/>
      <c r="VNR2463" s="61"/>
      <c r="VNS2463" s="54"/>
      <c r="VNT2463" s="54"/>
      <c r="VNU2463" s="63"/>
      <c r="VNV2463" s="60"/>
      <c r="VNW2463" s="60"/>
      <c r="VNX2463" s="60"/>
      <c r="VNY2463" s="63"/>
      <c r="VNZ2463" s="61"/>
      <c r="VOA2463" s="54"/>
      <c r="VOB2463" s="54"/>
      <c r="VOC2463" s="63"/>
      <c r="VOD2463" s="60"/>
      <c r="VOE2463" s="60"/>
      <c r="VOF2463" s="60"/>
      <c r="VOG2463" s="63"/>
      <c r="VOH2463" s="61"/>
      <c r="VOI2463" s="54"/>
      <c r="VOJ2463" s="54"/>
      <c r="VOK2463" s="63"/>
      <c r="VOL2463" s="60"/>
      <c r="VOM2463" s="60"/>
      <c r="VON2463" s="60"/>
      <c r="VOO2463" s="63"/>
      <c r="VOP2463" s="61"/>
      <c r="VOQ2463" s="54"/>
      <c r="VOR2463" s="54"/>
      <c r="VOS2463" s="63"/>
      <c r="VOT2463" s="60"/>
      <c r="VOU2463" s="60"/>
      <c r="VOV2463" s="60"/>
      <c r="VOW2463" s="63"/>
      <c r="VOX2463" s="61"/>
      <c r="VOY2463" s="54"/>
      <c r="VOZ2463" s="54"/>
      <c r="VPA2463" s="63"/>
      <c r="VPB2463" s="60"/>
      <c r="VPC2463" s="60"/>
      <c r="VPD2463" s="60"/>
      <c r="VPE2463" s="63"/>
      <c r="VPF2463" s="61"/>
      <c r="VPG2463" s="54"/>
      <c r="VPH2463" s="54"/>
      <c r="VPI2463" s="63"/>
      <c r="VPJ2463" s="60"/>
      <c r="VPK2463" s="60"/>
      <c r="VPL2463" s="60"/>
      <c r="VPM2463" s="63"/>
      <c r="VPN2463" s="61"/>
      <c r="VPO2463" s="54"/>
      <c r="VPP2463" s="54"/>
      <c r="VPQ2463" s="63"/>
      <c r="VPR2463" s="60"/>
      <c r="VPS2463" s="60"/>
      <c r="VPT2463" s="60"/>
      <c r="VPU2463" s="63"/>
      <c r="VPV2463" s="61"/>
      <c r="VPW2463" s="54"/>
      <c r="VPX2463" s="54"/>
      <c r="VPY2463" s="63"/>
      <c r="VPZ2463" s="60"/>
      <c r="VQA2463" s="60"/>
      <c r="VQB2463" s="60"/>
      <c r="VQC2463" s="63"/>
      <c r="VQD2463" s="61"/>
      <c r="VQE2463" s="54"/>
      <c r="VQF2463" s="54"/>
      <c r="VQG2463" s="63"/>
      <c r="VQH2463" s="60"/>
      <c r="VQI2463" s="60"/>
      <c r="VQJ2463" s="60"/>
      <c r="VQK2463" s="63"/>
      <c r="VQL2463" s="61"/>
      <c r="VQM2463" s="54"/>
      <c r="VQN2463" s="54"/>
      <c r="VQO2463" s="63"/>
      <c r="VQP2463" s="60"/>
      <c r="VQQ2463" s="60"/>
      <c r="VQR2463" s="60"/>
      <c r="VQS2463" s="63"/>
      <c r="VQT2463" s="61"/>
      <c r="VQU2463" s="54"/>
      <c r="VQV2463" s="54"/>
      <c r="VQW2463" s="63"/>
      <c r="VQX2463" s="60"/>
      <c r="VQY2463" s="60"/>
      <c r="VQZ2463" s="60"/>
      <c r="VRA2463" s="63"/>
      <c r="VRB2463" s="61"/>
      <c r="VRC2463" s="54"/>
      <c r="VRD2463" s="54"/>
      <c r="VRE2463" s="63"/>
      <c r="VRF2463" s="60"/>
      <c r="VRG2463" s="60"/>
      <c r="VRH2463" s="60"/>
      <c r="VRI2463" s="63"/>
      <c r="VRJ2463" s="61"/>
      <c r="VRK2463" s="54"/>
      <c r="VRL2463" s="54"/>
      <c r="VRM2463" s="63"/>
      <c r="VRN2463" s="60"/>
      <c r="VRO2463" s="60"/>
      <c r="VRP2463" s="60"/>
      <c r="VRQ2463" s="63"/>
      <c r="VRR2463" s="61"/>
      <c r="VRS2463" s="54"/>
      <c r="VRT2463" s="54"/>
      <c r="VRU2463" s="63"/>
      <c r="VRV2463" s="60"/>
      <c r="VRW2463" s="60"/>
      <c r="VRX2463" s="60"/>
      <c r="VRY2463" s="63"/>
      <c r="VRZ2463" s="61"/>
      <c r="VSA2463" s="54"/>
      <c r="VSB2463" s="54"/>
      <c r="VSC2463" s="63"/>
      <c r="VSD2463" s="60"/>
      <c r="VSE2463" s="60"/>
      <c r="VSF2463" s="60"/>
      <c r="VSG2463" s="63"/>
      <c r="VSH2463" s="61"/>
      <c r="VSI2463" s="54"/>
      <c r="VSJ2463" s="54"/>
      <c r="VSK2463" s="63"/>
      <c r="VSL2463" s="60"/>
      <c r="VSM2463" s="60"/>
      <c r="VSN2463" s="60"/>
      <c r="VSO2463" s="63"/>
      <c r="VSP2463" s="61"/>
      <c r="VSQ2463" s="54"/>
      <c r="VSR2463" s="54"/>
      <c r="VSS2463" s="63"/>
      <c r="VST2463" s="60"/>
      <c r="VSU2463" s="60"/>
      <c r="VSV2463" s="60"/>
      <c r="VSW2463" s="63"/>
      <c r="VSX2463" s="61"/>
      <c r="VSY2463" s="54"/>
      <c r="VSZ2463" s="54"/>
      <c r="VTA2463" s="63"/>
      <c r="VTB2463" s="60"/>
      <c r="VTC2463" s="60"/>
      <c r="VTD2463" s="60"/>
      <c r="VTE2463" s="63"/>
      <c r="VTF2463" s="61"/>
      <c r="VTG2463" s="54"/>
      <c r="VTH2463" s="54"/>
      <c r="VTI2463" s="63"/>
      <c r="VTJ2463" s="60"/>
      <c r="VTK2463" s="60"/>
      <c r="VTL2463" s="60"/>
      <c r="VTM2463" s="63"/>
      <c r="VTN2463" s="61"/>
      <c r="VTO2463" s="54"/>
      <c r="VTP2463" s="54"/>
      <c r="VTQ2463" s="63"/>
      <c r="VTR2463" s="60"/>
      <c r="VTS2463" s="60"/>
      <c r="VTT2463" s="60"/>
      <c r="VTU2463" s="63"/>
      <c r="VTV2463" s="61"/>
      <c r="VTW2463" s="54"/>
      <c r="VTX2463" s="54"/>
      <c r="VTY2463" s="63"/>
      <c r="VTZ2463" s="60"/>
      <c r="VUA2463" s="60"/>
      <c r="VUB2463" s="60"/>
      <c r="VUC2463" s="63"/>
      <c r="VUD2463" s="61"/>
      <c r="VUE2463" s="54"/>
      <c r="VUF2463" s="54"/>
      <c r="VUG2463" s="63"/>
      <c r="VUH2463" s="60"/>
      <c r="VUI2463" s="60"/>
      <c r="VUJ2463" s="60"/>
      <c r="VUK2463" s="63"/>
      <c r="VUL2463" s="61"/>
      <c r="VUM2463" s="54"/>
      <c r="VUN2463" s="54"/>
      <c r="VUO2463" s="63"/>
      <c r="VUP2463" s="60"/>
      <c r="VUQ2463" s="60"/>
      <c r="VUR2463" s="60"/>
      <c r="VUS2463" s="63"/>
      <c r="VUT2463" s="61"/>
      <c r="VUU2463" s="54"/>
      <c r="VUV2463" s="54"/>
      <c r="VUW2463" s="63"/>
      <c r="VUX2463" s="60"/>
      <c r="VUY2463" s="60"/>
      <c r="VUZ2463" s="60"/>
      <c r="VVA2463" s="63"/>
      <c r="VVB2463" s="61"/>
      <c r="VVC2463" s="54"/>
      <c r="VVD2463" s="54"/>
      <c r="VVE2463" s="63"/>
      <c r="VVF2463" s="60"/>
      <c r="VVG2463" s="60"/>
      <c r="VVH2463" s="60"/>
      <c r="VVI2463" s="63"/>
      <c r="VVJ2463" s="61"/>
      <c r="VVK2463" s="54"/>
      <c r="VVL2463" s="54"/>
      <c r="VVM2463" s="63"/>
      <c r="VVN2463" s="60"/>
      <c r="VVO2463" s="60"/>
      <c r="VVP2463" s="60"/>
      <c r="VVQ2463" s="63"/>
      <c r="VVR2463" s="61"/>
      <c r="VVS2463" s="54"/>
      <c r="VVT2463" s="54"/>
      <c r="VVU2463" s="63"/>
      <c r="VVV2463" s="60"/>
      <c r="VVW2463" s="60"/>
      <c r="VVX2463" s="60"/>
      <c r="VVY2463" s="63"/>
      <c r="VVZ2463" s="61"/>
      <c r="VWA2463" s="54"/>
      <c r="VWB2463" s="54"/>
      <c r="VWC2463" s="63"/>
      <c r="VWD2463" s="60"/>
      <c r="VWE2463" s="60"/>
      <c r="VWF2463" s="60"/>
      <c r="VWG2463" s="63"/>
      <c r="VWH2463" s="61"/>
      <c r="VWI2463" s="54"/>
      <c r="VWJ2463" s="54"/>
      <c r="VWK2463" s="63"/>
      <c r="VWL2463" s="60"/>
      <c r="VWM2463" s="60"/>
      <c r="VWN2463" s="60"/>
      <c r="VWO2463" s="63"/>
      <c r="VWP2463" s="61"/>
      <c r="VWQ2463" s="54"/>
      <c r="VWR2463" s="54"/>
      <c r="VWS2463" s="63"/>
      <c r="VWT2463" s="60"/>
      <c r="VWU2463" s="60"/>
      <c r="VWV2463" s="60"/>
      <c r="VWW2463" s="63"/>
      <c r="VWX2463" s="61"/>
      <c r="VWY2463" s="54"/>
      <c r="VWZ2463" s="54"/>
      <c r="VXA2463" s="63"/>
      <c r="VXB2463" s="60"/>
      <c r="VXC2463" s="60"/>
      <c r="VXD2463" s="60"/>
      <c r="VXE2463" s="63"/>
      <c r="VXF2463" s="61"/>
      <c r="VXG2463" s="54"/>
      <c r="VXH2463" s="54"/>
      <c r="VXI2463" s="63"/>
      <c r="VXJ2463" s="60"/>
      <c r="VXK2463" s="60"/>
      <c r="VXL2463" s="60"/>
      <c r="VXM2463" s="63"/>
      <c r="VXN2463" s="61"/>
      <c r="VXO2463" s="54"/>
      <c r="VXP2463" s="54"/>
      <c r="VXQ2463" s="63"/>
      <c r="VXR2463" s="60"/>
      <c r="VXS2463" s="60"/>
      <c r="VXT2463" s="60"/>
      <c r="VXU2463" s="63"/>
      <c r="VXV2463" s="61"/>
      <c r="VXW2463" s="54"/>
      <c r="VXX2463" s="54"/>
      <c r="VXY2463" s="63"/>
      <c r="VXZ2463" s="60"/>
      <c r="VYA2463" s="60"/>
      <c r="VYB2463" s="60"/>
      <c r="VYC2463" s="63"/>
      <c r="VYD2463" s="61"/>
      <c r="VYE2463" s="54"/>
      <c r="VYF2463" s="54"/>
      <c r="VYG2463" s="63"/>
      <c r="VYH2463" s="60"/>
      <c r="VYI2463" s="60"/>
      <c r="VYJ2463" s="60"/>
      <c r="VYK2463" s="63"/>
      <c r="VYL2463" s="61"/>
      <c r="VYM2463" s="54"/>
      <c r="VYN2463" s="54"/>
      <c r="VYO2463" s="63"/>
      <c r="VYP2463" s="60"/>
      <c r="VYQ2463" s="60"/>
      <c r="VYR2463" s="60"/>
      <c r="VYS2463" s="63"/>
      <c r="VYT2463" s="61"/>
      <c r="VYU2463" s="54"/>
      <c r="VYV2463" s="54"/>
      <c r="VYW2463" s="63"/>
      <c r="VYX2463" s="60"/>
      <c r="VYY2463" s="60"/>
      <c r="VYZ2463" s="60"/>
      <c r="VZA2463" s="63"/>
      <c r="VZB2463" s="61"/>
      <c r="VZC2463" s="54"/>
      <c r="VZD2463" s="54"/>
      <c r="VZE2463" s="63"/>
      <c r="VZF2463" s="60"/>
      <c r="VZG2463" s="60"/>
      <c r="VZH2463" s="60"/>
      <c r="VZI2463" s="63"/>
      <c r="VZJ2463" s="61"/>
      <c r="VZK2463" s="54"/>
      <c r="VZL2463" s="54"/>
      <c r="VZM2463" s="63"/>
      <c r="VZN2463" s="60"/>
      <c r="VZO2463" s="60"/>
      <c r="VZP2463" s="60"/>
      <c r="VZQ2463" s="63"/>
      <c r="VZR2463" s="61"/>
      <c r="VZS2463" s="54"/>
      <c r="VZT2463" s="54"/>
      <c r="VZU2463" s="63"/>
      <c r="VZV2463" s="60"/>
      <c r="VZW2463" s="60"/>
      <c r="VZX2463" s="60"/>
      <c r="VZY2463" s="63"/>
      <c r="VZZ2463" s="61"/>
      <c r="WAA2463" s="54"/>
      <c r="WAB2463" s="54"/>
      <c r="WAC2463" s="63"/>
      <c r="WAD2463" s="60"/>
      <c r="WAE2463" s="60"/>
      <c r="WAF2463" s="60"/>
      <c r="WAG2463" s="63"/>
      <c r="WAH2463" s="61"/>
      <c r="WAI2463" s="54"/>
      <c r="WAJ2463" s="54"/>
      <c r="WAK2463" s="63"/>
      <c r="WAL2463" s="60"/>
      <c r="WAM2463" s="60"/>
      <c r="WAN2463" s="60"/>
      <c r="WAO2463" s="63"/>
      <c r="WAP2463" s="61"/>
      <c r="WAQ2463" s="54"/>
      <c r="WAR2463" s="54"/>
      <c r="WAS2463" s="63"/>
      <c r="WAT2463" s="60"/>
      <c r="WAU2463" s="60"/>
      <c r="WAV2463" s="60"/>
      <c r="WAW2463" s="63"/>
      <c r="WAX2463" s="61"/>
      <c r="WAY2463" s="54"/>
      <c r="WAZ2463" s="54"/>
      <c r="WBA2463" s="63"/>
      <c r="WBB2463" s="60"/>
      <c r="WBC2463" s="60"/>
      <c r="WBD2463" s="60"/>
      <c r="WBE2463" s="63"/>
      <c r="WBF2463" s="61"/>
      <c r="WBG2463" s="54"/>
      <c r="WBH2463" s="54"/>
      <c r="WBI2463" s="63"/>
      <c r="WBJ2463" s="60"/>
      <c r="WBK2463" s="60"/>
      <c r="WBL2463" s="60"/>
      <c r="WBM2463" s="63"/>
      <c r="WBN2463" s="61"/>
      <c r="WBO2463" s="54"/>
      <c r="WBP2463" s="54"/>
      <c r="WBQ2463" s="63"/>
      <c r="WBR2463" s="60"/>
      <c r="WBS2463" s="60"/>
      <c r="WBT2463" s="60"/>
      <c r="WBU2463" s="63"/>
      <c r="WBV2463" s="61"/>
      <c r="WBW2463" s="54"/>
      <c r="WBX2463" s="54"/>
      <c r="WBY2463" s="63"/>
      <c r="WBZ2463" s="60"/>
      <c r="WCA2463" s="60"/>
      <c r="WCB2463" s="60"/>
      <c r="WCC2463" s="63"/>
      <c r="WCD2463" s="61"/>
      <c r="WCE2463" s="54"/>
      <c r="WCF2463" s="54"/>
      <c r="WCG2463" s="63"/>
      <c r="WCH2463" s="60"/>
      <c r="WCI2463" s="60"/>
      <c r="WCJ2463" s="60"/>
      <c r="WCK2463" s="63"/>
      <c r="WCL2463" s="61"/>
      <c r="WCM2463" s="54"/>
      <c r="WCN2463" s="54"/>
      <c r="WCO2463" s="63"/>
      <c r="WCP2463" s="60"/>
      <c r="WCQ2463" s="60"/>
      <c r="WCR2463" s="60"/>
      <c r="WCS2463" s="63"/>
      <c r="WCT2463" s="61"/>
      <c r="WCU2463" s="54"/>
      <c r="WCV2463" s="54"/>
      <c r="WCW2463" s="63"/>
      <c r="WCX2463" s="60"/>
      <c r="WCY2463" s="60"/>
      <c r="WCZ2463" s="60"/>
      <c r="WDA2463" s="63"/>
      <c r="WDB2463" s="61"/>
      <c r="WDC2463" s="54"/>
      <c r="WDD2463" s="54"/>
      <c r="WDE2463" s="63"/>
      <c r="WDF2463" s="60"/>
      <c r="WDG2463" s="60"/>
      <c r="WDH2463" s="60"/>
      <c r="WDI2463" s="63"/>
      <c r="WDJ2463" s="61"/>
      <c r="WDK2463" s="54"/>
      <c r="WDL2463" s="54"/>
      <c r="WDM2463" s="63"/>
      <c r="WDN2463" s="60"/>
      <c r="WDO2463" s="60"/>
      <c r="WDP2463" s="60"/>
      <c r="WDQ2463" s="63"/>
      <c r="WDR2463" s="61"/>
      <c r="WDS2463" s="54"/>
      <c r="WDT2463" s="54"/>
      <c r="WDU2463" s="63"/>
      <c r="WDV2463" s="60"/>
      <c r="WDW2463" s="60"/>
      <c r="WDX2463" s="60"/>
      <c r="WDY2463" s="63"/>
      <c r="WDZ2463" s="61"/>
      <c r="WEA2463" s="54"/>
      <c r="WEB2463" s="54"/>
      <c r="WEC2463" s="63"/>
      <c r="WED2463" s="60"/>
      <c r="WEE2463" s="60"/>
      <c r="WEF2463" s="60"/>
      <c r="WEG2463" s="63"/>
      <c r="WEH2463" s="61"/>
      <c r="WEI2463" s="54"/>
      <c r="WEJ2463" s="54"/>
      <c r="WEK2463" s="63"/>
      <c r="WEL2463" s="60"/>
      <c r="WEM2463" s="60"/>
      <c r="WEN2463" s="60"/>
      <c r="WEO2463" s="63"/>
      <c r="WEP2463" s="61"/>
      <c r="WEQ2463" s="54"/>
      <c r="WER2463" s="54"/>
      <c r="WES2463" s="63"/>
      <c r="WET2463" s="60"/>
      <c r="WEU2463" s="60"/>
      <c r="WEV2463" s="60"/>
      <c r="WEW2463" s="63"/>
      <c r="WEX2463" s="61"/>
      <c r="WEY2463" s="54"/>
      <c r="WEZ2463" s="54"/>
      <c r="WFA2463" s="63"/>
      <c r="WFB2463" s="60"/>
      <c r="WFC2463" s="60"/>
      <c r="WFD2463" s="60"/>
      <c r="WFE2463" s="63"/>
      <c r="WFF2463" s="61"/>
      <c r="WFG2463" s="54"/>
      <c r="WFH2463" s="54"/>
      <c r="WFI2463" s="63"/>
      <c r="WFJ2463" s="60"/>
      <c r="WFK2463" s="60"/>
      <c r="WFL2463" s="60"/>
      <c r="WFM2463" s="63"/>
      <c r="WFN2463" s="61"/>
      <c r="WFO2463" s="54"/>
      <c r="WFP2463" s="54"/>
      <c r="WFQ2463" s="63"/>
      <c r="WFR2463" s="60"/>
      <c r="WFS2463" s="60"/>
      <c r="WFT2463" s="60"/>
      <c r="WFU2463" s="63"/>
      <c r="WFV2463" s="61"/>
      <c r="WFW2463" s="54"/>
      <c r="WFX2463" s="54"/>
      <c r="WFY2463" s="63"/>
      <c r="WFZ2463" s="60"/>
      <c r="WGA2463" s="60"/>
      <c r="WGB2463" s="60"/>
      <c r="WGC2463" s="63"/>
      <c r="WGD2463" s="61"/>
      <c r="WGE2463" s="54"/>
      <c r="WGF2463" s="54"/>
      <c r="WGG2463" s="63"/>
      <c r="WGH2463" s="60"/>
      <c r="WGI2463" s="60"/>
      <c r="WGJ2463" s="60"/>
      <c r="WGK2463" s="63"/>
      <c r="WGL2463" s="61"/>
      <c r="WGM2463" s="54"/>
      <c r="WGN2463" s="54"/>
      <c r="WGO2463" s="63"/>
      <c r="WGP2463" s="60"/>
      <c r="WGQ2463" s="60"/>
      <c r="WGR2463" s="60"/>
      <c r="WGS2463" s="63"/>
      <c r="WGT2463" s="61"/>
      <c r="WGU2463" s="54"/>
      <c r="WGV2463" s="54"/>
      <c r="WGW2463" s="63"/>
      <c r="WGX2463" s="60"/>
      <c r="WGY2463" s="60"/>
      <c r="WGZ2463" s="60"/>
      <c r="WHA2463" s="63"/>
      <c r="WHB2463" s="61"/>
      <c r="WHC2463" s="54"/>
      <c r="WHD2463" s="54"/>
      <c r="WHE2463" s="63"/>
      <c r="WHF2463" s="60"/>
      <c r="WHG2463" s="60"/>
      <c r="WHH2463" s="60"/>
      <c r="WHI2463" s="63"/>
      <c r="WHJ2463" s="61"/>
      <c r="WHK2463" s="54"/>
      <c r="WHL2463" s="54"/>
      <c r="WHM2463" s="63"/>
      <c r="WHN2463" s="60"/>
      <c r="WHO2463" s="60"/>
      <c r="WHP2463" s="60"/>
      <c r="WHQ2463" s="63"/>
      <c r="WHR2463" s="61"/>
      <c r="WHS2463" s="54"/>
      <c r="WHT2463" s="54"/>
      <c r="WHU2463" s="63"/>
      <c r="WHV2463" s="60"/>
      <c r="WHW2463" s="60"/>
      <c r="WHX2463" s="60"/>
      <c r="WHY2463" s="63"/>
      <c r="WHZ2463" s="61"/>
      <c r="WIA2463" s="54"/>
      <c r="WIB2463" s="54"/>
      <c r="WIC2463" s="63"/>
      <c r="WID2463" s="60"/>
      <c r="WIE2463" s="60"/>
      <c r="WIF2463" s="60"/>
      <c r="WIG2463" s="63"/>
      <c r="WIH2463" s="61"/>
      <c r="WII2463" s="54"/>
      <c r="WIJ2463" s="54"/>
      <c r="WIK2463" s="63"/>
      <c r="WIL2463" s="60"/>
      <c r="WIM2463" s="60"/>
      <c r="WIN2463" s="60"/>
      <c r="WIO2463" s="63"/>
      <c r="WIP2463" s="61"/>
      <c r="WIQ2463" s="54"/>
      <c r="WIR2463" s="54"/>
      <c r="WIS2463" s="63"/>
      <c r="WIT2463" s="60"/>
      <c r="WIU2463" s="60"/>
      <c r="WIV2463" s="60"/>
      <c r="WIW2463" s="63"/>
      <c r="WIX2463" s="61"/>
      <c r="WIY2463" s="54"/>
      <c r="WIZ2463" s="54"/>
      <c r="WJA2463" s="63"/>
      <c r="WJB2463" s="60"/>
      <c r="WJC2463" s="60"/>
      <c r="WJD2463" s="60"/>
      <c r="WJE2463" s="63"/>
      <c r="WJF2463" s="61"/>
      <c r="WJG2463" s="54"/>
      <c r="WJH2463" s="54"/>
      <c r="WJI2463" s="63"/>
      <c r="WJJ2463" s="60"/>
      <c r="WJK2463" s="60"/>
      <c r="WJL2463" s="60"/>
      <c r="WJM2463" s="63"/>
      <c r="WJN2463" s="61"/>
      <c r="WJO2463" s="54"/>
      <c r="WJP2463" s="54"/>
      <c r="WJQ2463" s="63"/>
      <c r="WJR2463" s="60"/>
      <c r="WJS2463" s="60"/>
      <c r="WJT2463" s="60"/>
      <c r="WJU2463" s="63"/>
      <c r="WJV2463" s="61"/>
      <c r="WJW2463" s="54"/>
      <c r="WJX2463" s="54"/>
      <c r="WJY2463" s="63"/>
      <c r="WJZ2463" s="60"/>
      <c r="WKA2463" s="60"/>
      <c r="WKB2463" s="60"/>
      <c r="WKC2463" s="63"/>
      <c r="WKD2463" s="61"/>
      <c r="WKE2463" s="54"/>
      <c r="WKF2463" s="54"/>
      <c r="WKG2463" s="63"/>
      <c r="WKH2463" s="60"/>
      <c r="WKI2463" s="60"/>
      <c r="WKJ2463" s="60"/>
      <c r="WKK2463" s="63"/>
      <c r="WKL2463" s="61"/>
      <c r="WKM2463" s="54"/>
      <c r="WKN2463" s="54"/>
      <c r="WKO2463" s="63"/>
      <c r="WKP2463" s="60"/>
      <c r="WKQ2463" s="60"/>
      <c r="WKR2463" s="60"/>
      <c r="WKS2463" s="63"/>
      <c r="WKT2463" s="61"/>
      <c r="WKU2463" s="54"/>
      <c r="WKV2463" s="54"/>
      <c r="WKW2463" s="63"/>
      <c r="WKX2463" s="60"/>
      <c r="WKY2463" s="60"/>
      <c r="WKZ2463" s="60"/>
      <c r="WLA2463" s="63"/>
      <c r="WLB2463" s="61"/>
      <c r="WLC2463" s="54"/>
      <c r="WLD2463" s="54"/>
      <c r="WLE2463" s="63"/>
      <c r="WLF2463" s="60"/>
      <c r="WLG2463" s="60"/>
      <c r="WLH2463" s="60"/>
      <c r="WLI2463" s="63"/>
      <c r="WLJ2463" s="61"/>
      <c r="WLK2463" s="54"/>
      <c r="WLL2463" s="54"/>
      <c r="WLM2463" s="63"/>
      <c r="WLN2463" s="60"/>
      <c r="WLO2463" s="60"/>
      <c r="WLP2463" s="60"/>
      <c r="WLQ2463" s="63"/>
      <c r="WLR2463" s="61"/>
      <c r="WLS2463" s="54"/>
      <c r="WLT2463" s="54"/>
      <c r="WLU2463" s="63"/>
      <c r="WLV2463" s="60"/>
      <c r="WLW2463" s="60"/>
      <c r="WLX2463" s="60"/>
      <c r="WLY2463" s="63"/>
      <c r="WLZ2463" s="61"/>
      <c r="WMA2463" s="54"/>
      <c r="WMB2463" s="54"/>
      <c r="WMC2463" s="63"/>
      <c r="WMD2463" s="60"/>
      <c r="WME2463" s="60"/>
      <c r="WMF2463" s="60"/>
      <c r="WMG2463" s="63"/>
      <c r="WMH2463" s="61"/>
      <c r="WMI2463" s="54"/>
      <c r="WMJ2463" s="54"/>
      <c r="WMK2463" s="63"/>
      <c r="WML2463" s="60"/>
      <c r="WMM2463" s="60"/>
      <c r="WMN2463" s="60"/>
      <c r="WMO2463" s="63"/>
      <c r="WMP2463" s="61"/>
      <c r="WMQ2463" s="54"/>
      <c r="WMR2463" s="54"/>
      <c r="WMS2463" s="63"/>
      <c r="WMT2463" s="60"/>
      <c r="WMU2463" s="60"/>
      <c r="WMV2463" s="60"/>
      <c r="WMW2463" s="63"/>
      <c r="WMX2463" s="61"/>
      <c r="WMY2463" s="54"/>
      <c r="WMZ2463" s="54"/>
      <c r="WNA2463" s="63"/>
      <c r="WNB2463" s="60"/>
      <c r="WNC2463" s="60"/>
      <c r="WND2463" s="60"/>
      <c r="WNE2463" s="63"/>
      <c r="WNF2463" s="61"/>
      <c r="WNG2463" s="54"/>
      <c r="WNH2463" s="54"/>
      <c r="WNI2463" s="63"/>
      <c r="WNJ2463" s="60"/>
      <c r="WNK2463" s="60"/>
      <c r="WNL2463" s="60"/>
      <c r="WNM2463" s="63"/>
      <c r="WNN2463" s="61"/>
      <c r="WNO2463" s="54"/>
      <c r="WNP2463" s="54"/>
      <c r="WNQ2463" s="63"/>
      <c r="WNR2463" s="60"/>
      <c r="WNS2463" s="60"/>
      <c r="WNT2463" s="60"/>
      <c r="WNU2463" s="63"/>
      <c r="WNV2463" s="61"/>
      <c r="WNW2463" s="54"/>
      <c r="WNX2463" s="54"/>
      <c r="WNY2463" s="63"/>
      <c r="WNZ2463" s="60"/>
      <c r="WOA2463" s="60"/>
      <c r="WOB2463" s="60"/>
      <c r="WOC2463" s="63"/>
      <c r="WOD2463" s="61"/>
      <c r="WOE2463" s="54"/>
      <c r="WOF2463" s="54"/>
      <c r="WOG2463" s="63"/>
      <c r="WOH2463" s="60"/>
      <c r="WOI2463" s="60"/>
      <c r="WOJ2463" s="60"/>
      <c r="WOK2463" s="63"/>
      <c r="WOL2463" s="61"/>
      <c r="WOM2463" s="54"/>
      <c r="WON2463" s="54"/>
      <c r="WOO2463" s="63"/>
      <c r="WOP2463" s="60"/>
      <c r="WOQ2463" s="60"/>
      <c r="WOR2463" s="60"/>
      <c r="WOS2463" s="63"/>
      <c r="WOT2463" s="61"/>
      <c r="WOU2463" s="54"/>
      <c r="WOV2463" s="54"/>
      <c r="WOW2463" s="63"/>
      <c r="WOX2463" s="60"/>
      <c r="WOY2463" s="60"/>
      <c r="WOZ2463" s="60"/>
      <c r="WPA2463" s="63"/>
      <c r="WPB2463" s="61"/>
      <c r="WPC2463" s="54"/>
      <c r="WPD2463" s="54"/>
      <c r="WPE2463" s="63"/>
      <c r="WPF2463" s="60"/>
      <c r="WPG2463" s="60"/>
      <c r="WPH2463" s="60"/>
      <c r="WPI2463" s="63"/>
      <c r="WPJ2463" s="61"/>
      <c r="WPK2463" s="54"/>
      <c r="WPL2463" s="54"/>
      <c r="WPM2463" s="63"/>
      <c r="WPN2463" s="60"/>
      <c r="WPO2463" s="60"/>
      <c r="WPP2463" s="60"/>
      <c r="WPQ2463" s="63"/>
      <c r="WPR2463" s="61"/>
      <c r="WPS2463" s="54"/>
      <c r="WPT2463" s="54"/>
      <c r="WPU2463" s="63"/>
      <c r="WPV2463" s="60"/>
      <c r="WPW2463" s="60"/>
      <c r="WPX2463" s="60"/>
      <c r="WPY2463" s="63"/>
      <c r="WPZ2463" s="61"/>
      <c r="WQA2463" s="54"/>
      <c r="WQB2463" s="54"/>
      <c r="WQC2463" s="63"/>
      <c r="WQD2463" s="60"/>
      <c r="WQE2463" s="60"/>
      <c r="WQF2463" s="60"/>
      <c r="WQG2463" s="63"/>
      <c r="WQH2463" s="61"/>
      <c r="WQI2463" s="54"/>
      <c r="WQJ2463" s="54"/>
      <c r="WQK2463" s="63"/>
      <c r="WQL2463" s="60"/>
      <c r="WQM2463" s="60"/>
      <c r="WQN2463" s="60"/>
      <c r="WQO2463" s="63"/>
      <c r="WQP2463" s="61"/>
      <c r="WQQ2463" s="54"/>
      <c r="WQR2463" s="54"/>
      <c r="WQS2463" s="63"/>
      <c r="WQT2463" s="60"/>
      <c r="WQU2463" s="60"/>
      <c r="WQV2463" s="60"/>
      <c r="WQW2463" s="63"/>
      <c r="WQX2463" s="61"/>
      <c r="WQY2463" s="54"/>
      <c r="WQZ2463" s="54"/>
      <c r="WRA2463" s="63"/>
      <c r="WRB2463" s="60"/>
      <c r="WRC2463" s="60"/>
      <c r="WRD2463" s="60"/>
      <c r="WRE2463" s="63"/>
      <c r="WRF2463" s="61"/>
      <c r="WRG2463" s="54"/>
      <c r="WRH2463" s="54"/>
      <c r="WRI2463" s="63"/>
      <c r="WRJ2463" s="60"/>
      <c r="WRK2463" s="60"/>
      <c r="WRL2463" s="60"/>
      <c r="WRM2463" s="63"/>
      <c r="WRN2463" s="61"/>
      <c r="WRO2463" s="54"/>
      <c r="WRP2463" s="54"/>
      <c r="WRQ2463" s="63"/>
      <c r="WRR2463" s="60"/>
      <c r="WRS2463" s="60"/>
      <c r="WRT2463" s="60"/>
      <c r="WRU2463" s="63"/>
      <c r="WRV2463" s="61"/>
      <c r="WRW2463" s="54"/>
      <c r="WRX2463" s="54"/>
      <c r="WRY2463" s="63"/>
      <c r="WRZ2463" s="60"/>
      <c r="WSA2463" s="60"/>
      <c r="WSB2463" s="60"/>
      <c r="WSC2463" s="63"/>
      <c r="WSD2463" s="61"/>
      <c r="WSE2463" s="54"/>
      <c r="WSF2463" s="54"/>
      <c r="WSG2463" s="63"/>
      <c r="WSH2463" s="60"/>
      <c r="WSI2463" s="60"/>
      <c r="WSJ2463" s="60"/>
      <c r="WSK2463" s="63"/>
      <c r="WSL2463" s="61"/>
      <c r="WSM2463" s="54"/>
      <c r="WSN2463" s="54"/>
      <c r="WSO2463" s="63"/>
      <c r="WSP2463" s="60"/>
      <c r="WSQ2463" s="60"/>
      <c r="WSR2463" s="60"/>
      <c r="WSS2463" s="63"/>
      <c r="WST2463" s="61"/>
      <c r="WSU2463" s="54"/>
      <c r="WSV2463" s="54"/>
      <c r="WSW2463" s="63"/>
      <c r="WSX2463" s="60"/>
      <c r="WSY2463" s="60"/>
      <c r="WSZ2463" s="60"/>
      <c r="WTA2463" s="63"/>
      <c r="WTB2463" s="61"/>
      <c r="WTC2463" s="54"/>
      <c r="WTD2463" s="54"/>
      <c r="WTE2463" s="63"/>
      <c r="WTF2463" s="60"/>
      <c r="WTG2463" s="60"/>
      <c r="WTH2463" s="60"/>
      <c r="WTI2463" s="63"/>
      <c r="WTJ2463" s="61"/>
      <c r="WTK2463" s="54"/>
      <c r="WTL2463" s="54"/>
      <c r="WTM2463" s="63"/>
      <c r="WTN2463" s="60"/>
      <c r="WTO2463" s="60"/>
      <c r="WTP2463" s="60"/>
      <c r="WTQ2463" s="63"/>
      <c r="WTR2463" s="61"/>
      <c r="WTS2463" s="54"/>
      <c r="WTT2463" s="54"/>
      <c r="WTU2463" s="63"/>
      <c r="WTV2463" s="60"/>
      <c r="WTW2463" s="60"/>
      <c r="WTX2463" s="60"/>
      <c r="WTY2463" s="63"/>
      <c r="WTZ2463" s="61"/>
      <c r="WUA2463" s="54"/>
      <c r="WUB2463" s="54"/>
      <c r="WUC2463" s="63"/>
      <c r="WUD2463" s="60"/>
      <c r="WUE2463" s="60"/>
      <c r="WUF2463" s="60"/>
      <c r="WUG2463" s="63"/>
      <c r="WUH2463" s="61"/>
      <c r="WUI2463" s="54"/>
      <c r="WUJ2463" s="54"/>
      <c r="WUK2463" s="63"/>
      <c r="WUL2463" s="60"/>
      <c r="WUM2463" s="60"/>
      <c r="WUN2463" s="60"/>
      <c r="WUO2463" s="63"/>
      <c r="WUP2463" s="61"/>
      <c r="WUQ2463" s="54"/>
      <c r="WUR2463" s="54"/>
      <c r="WUS2463" s="63"/>
      <c r="WUT2463" s="60"/>
      <c r="WUU2463" s="60"/>
      <c r="WUV2463" s="60"/>
      <c r="WUW2463" s="63"/>
      <c r="WUX2463" s="61"/>
      <c r="WUY2463" s="54"/>
      <c r="WUZ2463" s="54"/>
      <c r="WVA2463" s="63"/>
      <c r="WVB2463" s="60"/>
      <c r="WVC2463" s="60"/>
      <c r="WVD2463" s="60"/>
      <c r="WVE2463" s="63"/>
      <c r="WVF2463" s="61"/>
      <c r="WVG2463" s="54"/>
      <c r="WVH2463" s="54"/>
      <c r="WVI2463" s="63"/>
      <c r="WVJ2463" s="60"/>
      <c r="WVK2463" s="60"/>
      <c r="WVL2463" s="60"/>
      <c r="WVM2463" s="63"/>
      <c r="WVN2463" s="61"/>
      <c r="WVO2463" s="54"/>
      <c r="WVP2463" s="54"/>
      <c r="WVQ2463" s="63"/>
      <c r="WVR2463" s="60"/>
      <c r="WVS2463" s="60"/>
      <c r="WVT2463" s="60"/>
      <c r="WVU2463" s="63"/>
      <c r="WVV2463" s="61"/>
      <c r="WVW2463" s="54"/>
      <c r="WVX2463" s="54"/>
      <c r="WVY2463" s="63"/>
      <c r="WVZ2463" s="60"/>
      <c r="WWA2463" s="60"/>
      <c r="WWB2463" s="60"/>
      <c r="WWC2463" s="63"/>
      <c r="WWD2463" s="61"/>
      <c r="WWE2463" s="54"/>
      <c r="WWF2463" s="54"/>
      <c r="WWG2463" s="63"/>
      <c r="WWH2463" s="60"/>
      <c r="WWI2463" s="60"/>
      <c r="WWJ2463" s="60"/>
      <c r="WWK2463" s="63"/>
      <c r="WWL2463" s="61"/>
      <c r="WWM2463" s="54"/>
      <c r="WWN2463" s="54"/>
      <c r="WWO2463" s="63"/>
      <c r="WWP2463" s="60"/>
      <c r="WWQ2463" s="60"/>
      <c r="WWR2463" s="60"/>
      <c r="WWS2463" s="63"/>
      <c r="WWT2463" s="61"/>
      <c r="WWU2463" s="54"/>
      <c r="WWV2463" s="54"/>
      <c r="WWW2463" s="63"/>
      <c r="WWX2463" s="60"/>
      <c r="WWY2463" s="60"/>
      <c r="WWZ2463" s="60"/>
      <c r="WXA2463" s="63"/>
      <c r="WXB2463" s="61"/>
      <c r="WXC2463" s="54"/>
      <c r="WXD2463" s="54"/>
      <c r="WXE2463" s="63"/>
      <c r="WXF2463" s="60"/>
      <c r="WXG2463" s="60"/>
      <c r="WXH2463" s="60"/>
      <c r="WXI2463" s="63"/>
      <c r="WXJ2463" s="61"/>
      <c r="WXK2463" s="54"/>
      <c r="WXL2463" s="54"/>
      <c r="WXM2463" s="63"/>
      <c r="WXN2463" s="60"/>
      <c r="WXO2463" s="60"/>
      <c r="WXP2463" s="60"/>
      <c r="WXQ2463" s="63"/>
      <c r="WXR2463" s="61"/>
      <c r="WXS2463" s="54"/>
      <c r="WXT2463" s="54"/>
      <c r="WXU2463" s="63"/>
      <c r="WXV2463" s="60"/>
      <c r="WXW2463" s="60"/>
      <c r="WXX2463" s="60"/>
      <c r="WXY2463" s="63"/>
      <c r="WXZ2463" s="61"/>
      <c r="WYA2463" s="54"/>
      <c r="WYB2463" s="54"/>
      <c r="WYC2463" s="63"/>
      <c r="WYD2463" s="60"/>
      <c r="WYE2463" s="60"/>
      <c r="WYF2463" s="60"/>
      <c r="WYG2463" s="63"/>
      <c r="WYH2463" s="61"/>
      <c r="WYI2463" s="54"/>
      <c r="WYJ2463" s="54"/>
      <c r="WYK2463" s="63"/>
      <c r="WYL2463" s="60"/>
      <c r="WYM2463" s="60"/>
      <c r="WYN2463" s="60"/>
      <c r="WYO2463" s="63"/>
      <c r="WYP2463" s="61"/>
      <c r="WYQ2463" s="54"/>
      <c r="WYR2463" s="54"/>
      <c r="WYS2463" s="63"/>
      <c r="WYT2463" s="60"/>
      <c r="WYU2463" s="60"/>
      <c r="WYV2463" s="60"/>
      <c r="WYW2463" s="63"/>
      <c r="WYX2463" s="61"/>
      <c r="WYY2463" s="54"/>
      <c r="WYZ2463" s="54"/>
      <c r="WZA2463" s="63"/>
      <c r="WZB2463" s="60"/>
      <c r="WZC2463" s="60"/>
      <c r="WZD2463" s="60"/>
      <c r="WZE2463" s="63"/>
      <c r="WZF2463" s="61"/>
      <c r="WZG2463" s="54"/>
      <c r="WZH2463" s="54"/>
      <c r="WZI2463" s="63"/>
      <c r="WZJ2463" s="60"/>
      <c r="WZK2463" s="60"/>
      <c r="WZL2463" s="60"/>
      <c r="WZM2463" s="63"/>
      <c r="WZN2463" s="61"/>
      <c r="WZO2463" s="54"/>
      <c r="WZP2463" s="54"/>
      <c r="WZQ2463" s="63"/>
      <c r="WZR2463" s="60"/>
      <c r="WZS2463" s="60"/>
      <c r="WZT2463" s="60"/>
      <c r="WZU2463" s="63"/>
      <c r="WZV2463" s="61"/>
      <c r="WZW2463" s="54"/>
      <c r="WZX2463" s="54"/>
      <c r="WZY2463" s="63"/>
      <c r="WZZ2463" s="60"/>
      <c r="XAA2463" s="60"/>
      <c r="XAB2463" s="60"/>
      <c r="XAC2463" s="63"/>
      <c r="XAD2463" s="61"/>
      <c r="XAE2463" s="54"/>
      <c r="XAF2463" s="54"/>
      <c r="XAG2463" s="63"/>
      <c r="XAH2463" s="60"/>
      <c r="XAI2463" s="60"/>
      <c r="XAJ2463" s="60"/>
      <c r="XAK2463" s="63"/>
      <c r="XAL2463" s="61"/>
      <c r="XAM2463" s="54"/>
      <c r="XAN2463" s="54"/>
      <c r="XAO2463" s="63"/>
      <c r="XAP2463" s="60"/>
      <c r="XAQ2463" s="60"/>
      <c r="XAR2463" s="60"/>
      <c r="XAS2463" s="63"/>
      <c r="XAT2463" s="61"/>
      <c r="XAU2463" s="54"/>
      <c r="XAV2463" s="54"/>
      <c r="XAW2463" s="63"/>
      <c r="XAX2463" s="60"/>
      <c r="XAY2463" s="60"/>
      <c r="XAZ2463" s="60"/>
      <c r="XBA2463" s="63"/>
      <c r="XBB2463" s="61"/>
      <c r="XBC2463" s="54"/>
      <c r="XBD2463" s="54"/>
      <c r="XBE2463" s="63"/>
      <c r="XBF2463" s="60"/>
      <c r="XBG2463" s="60"/>
      <c r="XBH2463" s="60"/>
      <c r="XBI2463" s="63"/>
      <c r="XBJ2463" s="61"/>
      <c r="XBK2463" s="54"/>
      <c r="XBL2463" s="54"/>
      <c r="XBM2463" s="63"/>
      <c r="XBN2463" s="60"/>
      <c r="XBO2463" s="60"/>
      <c r="XBP2463" s="60"/>
      <c r="XBQ2463" s="63"/>
      <c r="XBR2463" s="61"/>
      <c r="XBS2463" s="54"/>
      <c r="XBT2463" s="54"/>
      <c r="XBU2463" s="63"/>
      <c r="XBV2463" s="60"/>
      <c r="XBW2463" s="60"/>
      <c r="XBX2463" s="60"/>
      <c r="XBY2463" s="63"/>
      <c r="XBZ2463" s="61"/>
      <c r="XCA2463" s="54"/>
      <c r="XCB2463" s="54"/>
      <c r="XCC2463" s="63"/>
      <c r="XCD2463" s="60"/>
      <c r="XCE2463" s="60"/>
      <c r="XCF2463" s="60"/>
      <c r="XCG2463" s="63"/>
      <c r="XCH2463" s="61"/>
      <c r="XCI2463" s="54"/>
      <c r="XCJ2463" s="54"/>
      <c r="XCK2463" s="63"/>
      <c r="XCL2463" s="60"/>
      <c r="XCM2463" s="60"/>
      <c r="XCN2463" s="60"/>
      <c r="XCO2463" s="63"/>
      <c r="XCP2463" s="61"/>
      <c r="XCQ2463" s="54"/>
      <c r="XCR2463" s="54"/>
      <c r="XCS2463" s="63"/>
      <c r="XCT2463" s="60"/>
      <c r="XCU2463" s="60"/>
      <c r="XCV2463" s="60"/>
      <c r="XCW2463" s="63"/>
      <c r="XCX2463" s="61"/>
      <c r="XCY2463" s="54"/>
      <c r="XCZ2463" s="54"/>
      <c r="XDA2463" s="63"/>
      <c r="XDB2463" s="60"/>
      <c r="XDC2463" s="60"/>
      <c r="XDD2463" s="60"/>
      <c r="XDE2463" s="63"/>
      <c r="XDF2463" s="61"/>
      <c r="XDG2463" s="54"/>
      <c r="XDH2463" s="54"/>
      <c r="XDI2463" s="63"/>
      <c r="XDJ2463" s="60"/>
      <c r="XDK2463" s="60"/>
      <c r="XDL2463" s="60"/>
      <c r="XDM2463" s="63"/>
      <c r="XDN2463" s="61"/>
      <c r="XDO2463" s="54"/>
      <c r="XDP2463" s="54"/>
      <c r="XDQ2463" s="63"/>
      <c r="XDR2463" s="60"/>
      <c r="XDS2463" s="60"/>
      <c r="XDT2463" s="60"/>
      <c r="XDU2463" s="63"/>
      <c r="XDV2463" s="61"/>
      <c r="XDW2463" s="54"/>
      <c r="XDX2463" s="54"/>
      <c r="XDY2463" s="63"/>
      <c r="XDZ2463" s="60"/>
      <c r="XEA2463" s="60"/>
      <c r="XEB2463" s="60"/>
      <c r="XEC2463" s="63"/>
      <c r="XED2463" s="61"/>
      <c r="XEE2463" s="54"/>
      <c r="XEF2463" s="54"/>
      <c r="XEG2463" s="63"/>
      <c r="XEH2463" s="60"/>
      <c r="XEI2463" s="60"/>
      <c r="XEJ2463" s="60"/>
      <c r="XEK2463" s="63"/>
      <c r="XEL2463" s="61"/>
      <c r="XEM2463" s="54"/>
      <c r="XEN2463" s="54"/>
      <c r="XEO2463" s="63"/>
      <c r="XEP2463" s="60"/>
      <c r="XEQ2463" s="60"/>
      <c r="XER2463" s="60"/>
      <c r="XES2463" s="63"/>
      <c r="XET2463" s="61"/>
      <c r="XEU2463" s="54"/>
      <c r="XEV2463" s="54"/>
      <c r="XEW2463" s="63"/>
    </row>
    <row r="2464" ht="18" customHeight="1" spans="1:16377">
      <c r="A2464" s="6" t="s">
        <v>8209</v>
      </c>
      <c r="B2464" s="6" t="s">
        <v>8540</v>
      </c>
      <c r="C2464" s="11" t="s">
        <v>8534</v>
      </c>
      <c r="D2464" s="5" t="s">
        <v>16382</v>
      </c>
      <c r="E2464" s="11" t="s">
        <v>16386</v>
      </c>
      <c r="F2464" s="7" t="s">
        <v>11535</v>
      </c>
      <c r="G2464" s="54"/>
      <c r="H2464" s="54"/>
      <c r="I2464" s="60"/>
      <c r="J2464" s="60"/>
      <c r="K2464" s="60"/>
      <c r="L2464" s="60"/>
      <c r="M2464" s="63"/>
      <c r="N2464" s="61"/>
      <c r="O2464" s="54"/>
      <c r="P2464" s="54"/>
      <c r="Q2464" s="60"/>
      <c r="R2464" s="60"/>
      <c r="S2464" s="60"/>
      <c r="T2464" s="60"/>
      <c r="U2464" s="63"/>
      <c r="V2464" s="61"/>
      <c r="W2464" s="54"/>
      <c r="X2464" s="54"/>
      <c r="Y2464" s="60"/>
      <c r="Z2464" s="60"/>
      <c r="AA2464" s="60"/>
      <c r="AB2464" s="60"/>
      <c r="AC2464" s="63"/>
      <c r="AD2464" s="61"/>
      <c r="AE2464" s="54"/>
      <c r="AF2464" s="54"/>
      <c r="AG2464" s="60"/>
      <c r="AH2464" s="60"/>
      <c r="AI2464" s="60"/>
      <c r="AJ2464" s="60"/>
      <c r="AK2464" s="63"/>
      <c r="AL2464" s="61"/>
      <c r="AM2464" s="54"/>
      <c r="AN2464" s="54"/>
      <c r="AO2464" s="60"/>
      <c r="AP2464" s="60"/>
      <c r="AQ2464" s="60"/>
      <c r="AR2464" s="60"/>
      <c r="AS2464" s="63"/>
      <c r="AT2464" s="61"/>
      <c r="AU2464" s="54"/>
      <c r="AV2464" s="54"/>
      <c r="AW2464" s="60"/>
      <c r="AX2464" s="60"/>
      <c r="AY2464" s="60"/>
      <c r="AZ2464" s="60"/>
      <c r="BA2464" s="63"/>
      <c r="BB2464" s="61"/>
      <c r="BC2464" s="54"/>
      <c r="BD2464" s="54"/>
      <c r="BE2464" s="60"/>
      <c r="BF2464" s="60"/>
      <c r="BG2464" s="60"/>
      <c r="BH2464" s="60"/>
      <c r="BI2464" s="63"/>
      <c r="BJ2464" s="61"/>
      <c r="BK2464" s="54"/>
      <c r="BL2464" s="54"/>
      <c r="BM2464" s="60"/>
      <c r="BN2464" s="60"/>
      <c r="BO2464" s="60"/>
      <c r="BP2464" s="60"/>
      <c r="BQ2464" s="63"/>
      <c r="BR2464" s="61"/>
      <c r="BS2464" s="54"/>
      <c r="BT2464" s="54"/>
      <c r="BU2464" s="60"/>
      <c r="BV2464" s="60"/>
      <c r="BW2464" s="60"/>
      <c r="BX2464" s="60"/>
      <c r="BY2464" s="63"/>
      <c r="BZ2464" s="61"/>
      <c r="CA2464" s="54"/>
      <c r="CB2464" s="54"/>
      <c r="CC2464" s="60"/>
      <c r="CD2464" s="60"/>
      <c r="CE2464" s="60"/>
      <c r="CF2464" s="60"/>
      <c r="CG2464" s="63"/>
      <c r="CH2464" s="61"/>
      <c r="CI2464" s="54"/>
      <c r="CJ2464" s="54"/>
      <c r="CK2464" s="60"/>
      <c r="CL2464" s="60"/>
      <c r="CM2464" s="60"/>
      <c r="CN2464" s="60"/>
      <c r="CO2464" s="63"/>
      <c r="CP2464" s="61"/>
      <c r="CQ2464" s="54"/>
      <c r="CR2464" s="54"/>
      <c r="CS2464" s="60"/>
      <c r="CT2464" s="60"/>
      <c r="CU2464" s="60"/>
      <c r="CV2464" s="60"/>
      <c r="CW2464" s="63"/>
      <c r="CX2464" s="61"/>
      <c r="CY2464" s="54"/>
      <c r="CZ2464" s="54"/>
      <c r="DA2464" s="60"/>
      <c r="DB2464" s="60"/>
      <c r="DC2464" s="60"/>
      <c r="DD2464" s="60"/>
      <c r="DE2464" s="63"/>
      <c r="DF2464" s="61"/>
      <c r="DG2464" s="54"/>
      <c r="DH2464" s="54"/>
      <c r="DI2464" s="60"/>
      <c r="DJ2464" s="60"/>
      <c r="DK2464" s="60"/>
      <c r="DL2464" s="60"/>
      <c r="DM2464" s="63"/>
      <c r="DN2464" s="61"/>
      <c r="DO2464" s="54"/>
      <c r="DP2464" s="54"/>
      <c r="DQ2464" s="60"/>
      <c r="DR2464" s="60"/>
      <c r="DS2464" s="60"/>
      <c r="DT2464" s="60"/>
      <c r="DU2464" s="63"/>
      <c r="DV2464" s="61"/>
      <c r="DW2464" s="54"/>
      <c r="DX2464" s="54"/>
      <c r="DY2464" s="60"/>
      <c r="DZ2464" s="60"/>
      <c r="EA2464" s="60"/>
      <c r="EB2464" s="60"/>
      <c r="EC2464" s="63"/>
      <c r="ED2464" s="61"/>
      <c r="EE2464" s="54"/>
      <c r="EF2464" s="54"/>
      <c r="EG2464" s="60"/>
      <c r="EH2464" s="60"/>
      <c r="EI2464" s="60"/>
      <c r="EJ2464" s="60"/>
      <c r="EK2464" s="63"/>
      <c r="EL2464" s="61"/>
      <c r="EM2464" s="54"/>
      <c r="EN2464" s="54"/>
      <c r="EO2464" s="60"/>
      <c r="EP2464" s="60"/>
      <c r="EQ2464" s="60"/>
      <c r="ER2464" s="60"/>
      <c r="ES2464" s="63"/>
      <c r="ET2464" s="61"/>
      <c r="EU2464" s="54"/>
      <c r="EV2464" s="54"/>
      <c r="EW2464" s="60"/>
      <c r="EX2464" s="60"/>
      <c r="EY2464" s="60"/>
      <c r="EZ2464" s="60"/>
      <c r="FA2464" s="63"/>
      <c r="FB2464" s="61"/>
      <c r="FC2464" s="54"/>
      <c r="FD2464" s="54"/>
      <c r="FE2464" s="60"/>
      <c r="FF2464" s="60"/>
      <c r="FG2464" s="60"/>
      <c r="FH2464" s="60"/>
      <c r="FI2464" s="63"/>
      <c r="FJ2464" s="61"/>
      <c r="FK2464" s="54"/>
      <c r="FL2464" s="54"/>
      <c r="FM2464" s="60"/>
      <c r="FN2464" s="60"/>
      <c r="FO2464" s="60"/>
      <c r="FP2464" s="60"/>
      <c r="FQ2464" s="63"/>
      <c r="FR2464" s="61"/>
      <c r="FS2464" s="54"/>
      <c r="FT2464" s="54"/>
      <c r="FU2464" s="60"/>
      <c r="FV2464" s="60"/>
      <c r="FW2464" s="60"/>
      <c r="FX2464" s="60"/>
      <c r="FY2464" s="63"/>
      <c r="FZ2464" s="61"/>
      <c r="GA2464" s="54"/>
      <c r="GB2464" s="54"/>
      <c r="GC2464" s="60"/>
      <c r="GD2464" s="60"/>
      <c r="GE2464" s="60"/>
      <c r="GF2464" s="60"/>
      <c r="GG2464" s="63"/>
      <c r="GH2464" s="61"/>
      <c r="GI2464" s="54"/>
      <c r="GJ2464" s="54"/>
      <c r="GK2464" s="60"/>
      <c r="GL2464" s="60"/>
      <c r="GM2464" s="60"/>
      <c r="GN2464" s="60"/>
      <c r="GO2464" s="63"/>
      <c r="GP2464" s="61"/>
      <c r="GQ2464" s="54"/>
      <c r="GR2464" s="54"/>
      <c r="GS2464" s="60"/>
      <c r="GT2464" s="60"/>
      <c r="GU2464" s="60"/>
      <c r="GV2464" s="60"/>
      <c r="GW2464" s="63"/>
      <c r="GX2464" s="61"/>
      <c r="GY2464" s="54"/>
      <c r="GZ2464" s="54"/>
      <c r="HA2464" s="60"/>
      <c r="HB2464" s="60"/>
      <c r="HC2464" s="60"/>
      <c r="HD2464" s="60"/>
      <c r="HE2464" s="63"/>
      <c r="HF2464" s="61"/>
      <c r="HG2464" s="54"/>
      <c r="HH2464" s="54"/>
      <c r="HI2464" s="60"/>
      <c r="HJ2464" s="60"/>
      <c r="HK2464" s="60"/>
      <c r="HL2464" s="60"/>
      <c r="HM2464" s="63"/>
      <c r="HN2464" s="61"/>
      <c r="HO2464" s="54"/>
      <c r="HP2464" s="54"/>
      <c r="HQ2464" s="60"/>
      <c r="HR2464" s="60"/>
      <c r="HS2464" s="60"/>
      <c r="HT2464" s="60"/>
      <c r="HU2464" s="63"/>
      <c r="HV2464" s="61"/>
      <c r="HW2464" s="54"/>
      <c r="HX2464" s="54"/>
      <c r="HY2464" s="60"/>
      <c r="HZ2464" s="60"/>
      <c r="IA2464" s="60"/>
      <c r="IB2464" s="60"/>
      <c r="IC2464" s="63"/>
      <c r="ID2464" s="61"/>
      <c r="IE2464" s="54"/>
      <c r="IF2464" s="54"/>
      <c r="IG2464" s="60"/>
      <c r="IH2464" s="60"/>
      <c r="II2464" s="60"/>
      <c r="IJ2464" s="60"/>
      <c r="IK2464" s="63"/>
      <c r="IL2464" s="61"/>
      <c r="IM2464" s="54"/>
      <c r="IN2464" s="54"/>
      <c r="IO2464" s="60"/>
      <c r="IP2464" s="60"/>
      <c r="IQ2464" s="60"/>
      <c r="IR2464" s="60"/>
      <c r="IS2464" s="63"/>
      <c r="IT2464" s="61"/>
      <c r="IU2464" s="54"/>
      <c r="IV2464" s="54"/>
      <c r="IW2464" s="60"/>
      <c r="IX2464" s="60"/>
      <c r="IY2464" s="60"/>
      <c r="IZ2464" s="60"/>
      <c r="JA2464" s="63"/>
      <c r="JB2464" s="61"/>
      <c r="JC2464" s="54"/>
      <c r="JD2464" s="54"/>
      <c r="JE2464" s="60"/>
      <c r="JF2464" s="60"/>
      <c r="JG2464" s="60"/>
      <c r="JH2464" s="60"/>
      <c r="JI2464" s="63"/>
      <c r="JJ2464" s="61"/>
      <c r="JK2464" s="54"/>
      <c r="JL2464" s="54"/>
      <c r="JM2464" s="60"/>
      <c r="JN2464" s="60"/>
      <c r="JO2464" s="60"/>
      <c r="JP2464" s="60"/>
      <c r="JQ2464" s="63"/>
      <c r="JR2464" s="61"/>
      <c r="JS2464" s="54"/>
      <c r="JT2464" s="54"/>
      <c r="JU2464" s="60"/>
      <c r="JV2464" s="60"/>
      <c r="JW2464" s="60"/>
      <c r="JX2464" s="60"/>
      <c r="JY2464" s="63"/>
      <c r="JZ2464" s="61"/>
      <c r="KA2464" s="54"/>
      <c r="KB2464" s="54"/>
      <c r="KC2464" s="60"/>
      <c r="KD2464" s="60"/>
      <c r="KE2464" s="60"/>
      <c r="KF2464" s="60"/>
      <c r="KG2464" s="63"/>
      <c r="KH2464" s="61"/>
      <c r="KI2464" s="54"/>
      <c r="KJ2464" s="54"/>
      <c r="KK2464" s="60"/>
      <c r="KL2464" s="60"/>
      <c r="KM2464" s="60"/>
      <c r="KN2464" s="60"/>
      <c r="KO2464" s="63"/>
      <c r="KP2464" s="61"/>
      <c r="KQ2464" s="54"/>
      <c r="KR2464" s="54"/>
      <c r="KS2464" s="60"/>
      <c r="KT2464" s="60"/>
      <c r="KU2464" s="60"/>
      <c r="KV2464" s="60"/>
      <c r="KW2464" s="63"/>
      <c r="KX2464" s="61"/>
      <c r="KY2464" s="54"/>
      <c r="KZ2464" s="54"/>
      <c r="LA2464" s="60"/>
      <c r="LB2464" s="60"/>
      <c r="LC2464" s="60"/>
      <c r="LD2464" s="60"/>
      <c r="LE2464" s="63"/>
      <c r="LF2464" s="61"/>
      <c r="LG2464" s="54"/>
      <c r="LH2464" s="54"/>
      <c r="LI2464" s="60"/>
      <c r="LJ2464" s="60"/>
      <c r="LK2464" s="60"/>
      <c r="LL2464" s="60"/>
      <c r="LM2464" s="63"/>
      <c r="LN2464" s="61"/>
      <c r="LO2464" s="54"/>
      <c r="LP2464" s="54"/>
      <c r="LQ2464" s="60"/>
      <c r="LR2464" s="60"/>
      <c r="LS2464" s="60"/>
      <c r="LT2464" s="60"/>
      <c r="LU2464" s="63"/>
      <c r="LV2464" s="61"/>
      <c r="LW2464" s="54"/>
      <c r="LX2464" s="54"/>
      <c r="LY2464" s="60"/>
      <c r="LZ2464" s="60"/>
      <c r="MA2464" s="60"/>
      <c r="MB2464" s="60"/>
      <c r="MC2464" s="63"/>
      <c r="MD2464" s="61"/>
      <c r="ME2464" s="54"/>
      <c r="MF2464" s="54"/>
      <c r="MG2464" s="60"/>
      <c r="MH2464" s="60"/>
      <c r="MI2464" s="60"/>
      <c r="MJ2464" s="60"/>
      <c r="MK2464" s="63"/>
      <c r="ML2464" s="61"/>
      <c r="MM2464" s="54"/>
      <c r="MN2464" s="54"/>
      <c r="MO2464" s="60"/>
      <c r="MP2464" s="60"/>
      <c r="MQ2464" s="60"/>
      <c r="MR2464" s="60"/>
      <c r="MS2464" s="63"/>
      <c r="MT2464" s="61"/>
      <c r="MU2464" s="54"/>
      <c r="MV2464" s="54"/>
      <c r="MW2464" s="60"/>
      <c r="MX2464" s="60"/>
      <c r="MY2464" s="60"/>
      <c r="MZ2464" s="60"/>
      <c r="NA2464" s="63"/>
      <c r="NB2464" s="61"/>
      <c r="NC2464" s="54"/>
      <c r="ND2464" s="54"/>
      <c r="NE2464" s="60"/>
      <c r="NF2464" s="60"/>
      <c r="NG2464" s="60"/>
      <c r="NH2464" s="60"/>
      <c r="NI2464" s="63"/>
      <c r="NJ2464" s="61"/>
      <c r="NK2464" s="54"/>
      <c r="NL2464" s="54"/>
      <c r="NM2464" s="60"/>
      <c r="NN2464" s="60"/>
      <c r="NO2464" s="60"/>
      <c r="NP2464" s="60"/>
      <c r="NQ2464" s="63"/>
      <c r="NR2464" s="61"/>
      <c r="NS2464" s="54"/>
      <c r="NT2464" s="54"/>
      <c r="NU2464" s="60"/>
      <c r="NV2464" s="60"/>
      <c r="NW2464" s="60"/>
      <c r="NX2464" s="60"/>
      <c r="NY2464" s="63"/>
      <c r="NZ2464" s="61"/>
      <c r="OA2464" s="54"/>
      <c r="OB2464" s="54"/>
      <c r="OC2464" s="60"/>
      <c r="OD2464" s="60"/>
      <c r="OE2464" s="60"/>
      <c r="OF2464" s="60"/>
      <c r="OG2464" s="63"/>
      <c r="OH2464" s="61"/>
      <c r="OI2464" s="54"/>
      <c r="OJ2464" s="54"/>
      <c r="OK2464" s="60"/>
      <c r="OL2464" s="60"/>
      <c r="OM2464" s="60"/>
      <c r="ON2464" s="60"/>
      <c r="OO2464" s="63"/>
      <c r="OP2464" s="61"/>
      <c r="OQ2464" s="54"/>
      <c r="OR2464" s="54"/>
      <c r="OS2464" s="60"/>
      <c r="OT2464" s="60"/>
      <c r="OU2464" s="60"/>
      <c r="OV2464" s="60"/>
      <c r="OW2464" s="63"/>
      <c r="OX2464" s="61"/>
      <c r="OY2464" s="54"/>
      <c r="OZ2464" s="54"/>
      <c r="PA2464" s="60"/>
      <c r="PB2464" s="60"/>
      <c r="PC2464" s="60"/>
      <c r="PD2464" s="60"/>
      <c r="PE2464" s="63"/>
      <c r="PF2464" s="61"/>
      <c r="PG2464" s="54"/>
      <c r="PH2464" s="54"/>
      <c r="PI2464" s="60"/>
      <c r="PJ2464" s="60"/>
      <c r="PK2464" s="60"/>
      <c r="PL2464" s="60"/>
      <c r="PM2464" s="63"/>
      <c r="PN2464" s="61"/>
      <c r="PO2464" s="54"/>
      <c r="PP2464" s="54"/>
      <c r="PQ2464" s="60"/>
      <c r="PR2464" s="60"/>
      <c r="PS2464" s="60"/>
      <c r="PT2464" s="60"/>
      <c r="PU2464" s="63"/>
      <c r="PV2464" s="61"/>
      <c r="PW2464" s="54"/>
      <c r="PX2464" s="54"/>
      <c r="PY2464" s="60"/>
      <c r="PZ2464" s="60"/>
      <c r="QA2464" s="60"/>
      <c r="QB2464" s="60"/>
      <c r="QC2464" s="63"/>
      <c r="QD2464" s="61"/>
      <c r="QE2464" s="54"/>
      <c r="QF2464" s="54"/>
      <c r="QG2464" s="60"/>
      <c r="QH2464" s="60"/>
      <c r="QI2464" s="60"/>
      <c r="QJ2464" s="60"/>
      <c r="QK2464" s="63"/>
      <c r="QL2464" s="61"/>
      <c r="QM2464" s="54"/>
      <c r="QN2464" s="54"/>
      <c r="QO2464" s="60"/>
      <c r="QP2464" s="60"/>
      <c r="QQ2464" s="60"/>
      <c r="QR2464" s="60"/>
      <c r="QS2464" s="63"/>
      <c r="QT2464" s="61"/>
      <c r="QU2464" s="54"/>
      <c r="QV2464" s="54"/>
      <c r="QW2464" s="60"/>
      <c r="QX2464" s="60"/>
      <c r="QY2464" s="60"/>
      <c r="QZ2464" s="60"/>
      <c r="RA2464" s="63"/>
      <c r="RB2464" s="61"/>
      <c r="RC2464" s="54"/>
      <c r="RD2464" s="54"/>
      <c r="RE2464" s="60"/>
      <c r="RF2464" s="60"/>
      <c r="RG2464" s="60"/>
      <c r="RH2464" s="60"/>
      <c r="RI2464" s="63"/>
      <c r="RJ2464" s="61"/>
      <c r="RK2464" s="54"/>
      <c r="RL2464" s="54"/>
      <c r="RM2464" s="60"/>
      <c r="RN2464" s="60"/>
      <c r="RO2464" s="60"/>
      <c r="RP2464" s="60"/>
      <c r="RQ2464" s="63"/>
      <c r="RR2464" s="61"/>
      <c r="RS2464" s="54"/>
      <c r="RT2464" s="54"/>
      <c r="RU2464" s="60"/>
      <c r="RV2464" s="60"/>
      <c r="RW2464" s="60"/>
      <c r="RX2464" s="60"/>
      <c r="RY2464" s="63"/>
      <c r="RZ2464" s="61"/>
      <c r="SA2464" s="54"/>
      <c r="SB2464" s="54"/>
      <c r="SC2464" s="60"/>
      <c r="SD2464" s="60"/>
      <c r="SE2464" s="60"/>
      <c r="SF2464" s="60"/>
      <c r="SG2464" s="63"/>
      <c r="SH2464" s="61"/>
      <c r="SI2464" s="54"/>
      <c r="SJ2464" s="54"/>
      <c r="SK2464" s="60"/>
      <c r="SL2464" s="60"/>
      <c r="SM2464" s="60"/>
      <c r="SN2464" s="60"/>
      <c r="SO2464" s="63"/>
      <c r="SP2464" s="61"/>
      <c r="SQ2464" s="54"/>
      <c r="SR2464" s="54"/>
      <c r="SS2464" s="60"/>
      <c r="ST2464" s="60"/>
      <c r="SU2464" s="60"/>
      <c r="SV2464" s="60"/>
      <c r="SW2464" s="63"/>
      <c r="SX2464" s="61"/>
      <c r="SY2464" s="54"/>
      <c r="SZ2464" s="54"/>
      <c r="TA2464" s="60"/>
      <c r="TB2464" s="60"/>
      <c r="TC2464" s="60"/>
      <c r="TD2464" s="60"/>
      <c r="TE2464" s="63"/>
      <c r="TF2464" s="61"/>
      <c r="TG2464" s="54"/>
      <c r="TH2464" s="54"/>
      <c r="TI2464" s="60"/>
      <c r="TJ2464" s="60"/>
      <c r="TK2464" s="60"/>
      <c r="TL2464" s="60"/>
      <c r="TM2464" s="63"/>
      <c r="TN2464" s="61"/>
      <c r="TO2464" s="54"/>
      <c r="TP2464" s="54"/>
      <c r="TQ2464" s="60"/>
      <c r="TR2464" s="60"/>
      <c r="TS2464" s="60"/>
      <c r="TT2464" s="60"/>
      <c r="TU2464" s="63"/>
      <c r="TV2464" s="61"/>
      <c r="TW2464" s="54"/>
      <c r="TX2464" s="54"/>
      <c r="TY2464" s="60"/>
      <c r="TZ2464" s="60"/>
      <c r="UA2464" s="60"/>
      <c r="UB2464" s="60"/>
      <c r="UC2464" s="63"/>
      <c r="UD2464" s="61"/>
      <c r="UE2464" s="54"/>
      <c r="UF2464" s="54"/>
      <c r="UG2464" s="60"/>
      <c r="UH2464" s="60"/>
      <c r="UI2464" s="60"/>
      <c r="UJ2464" s="60"/>
      <c r="UK2464" s="63"/>
      <c r="UL2464" s="61"/>
      <c r="UM2464" s="54"/>
      <c r="UN2464" s="54"/>
      <c r="UO2464" s="60"/>
      <c r="UP2464" s="60"/>
      <c r="UQ2464" s="60"/>
      <c r="UR2464" s="60"/>
      <c r="US2464" s="63"/>
      <c r="UT2464" s="61"/>
      <c r="UU2464" s="54"/>
      <c r="UV2464" s="54"/>
      <c r="UW2464" s="60"/>
      <c r="UX2464" s="60"/>
      <c r="UY2464" s="60"/>
      <c r="UZ2464" s="60"/>
      <c r="VA2464" s="63"/>
      <c r="VB2464" s="61"/>
      <c r="VC2464" s="54"/>
      <c r="VD2464" s="54"/>
      <c r="VE2464" s="60"/>
      <c r="VF2464" s="60"/>
      <c r="VG2464" s="60"/>
      <c r="VH2464" s="60"/>
      <c r="VI2464" s="63"/>
      <c r="VJ2464" s="61"/>
      <c r="VK2464" s="54"/>
      <c r="VL2464" s="54"/>
      <c r="VM2464" s="60"/>
      <c r="VN2464" s="60"/>
      <c r="VO2464" s="60"/>
      <c r="VP2464" s="60"/>
      <c r="VQ2464" s="63"/>
      <c r="VR2464" s="61"/>
      <c r="VS2464" s="54"/>
      <c r="VT2464" s="54"/>
      <c r="VU2464" s="60"/>
      <c r="VV2464" s="60"/>
      <c r="VW2464" s="60"/>
      <c r="VX2464" s="60"/>
      <c r="VY2464" s="63"/>
      <c r="VZ2464" s="61"/>
      <c r="WA2464" s="54"/>
      <c r="WB2464" s="54"/>
      <c r="WC2464" s="60"/>
      <c r="WD2464" s="60"/>
      <c r="WE2464" s="60"/>
      <c r="WF2464" s="60"/>
      <c r="WG2464" s="63"/>
      <c r="WH2464" s="61"/>
      <c r="WI2464" s="54"/>
      <c r="WJ2464" s="54"/>
      <c r="WK2464" s="60"/>
      <c r="WL2464" s="60"/>
      <c r="WM2464" s="60"/>
      <c r="WN2464" s="60"/>
      <c r="WO2464" s="63"/>
      <c r="WP2464" s="61"/>
      <c r="WQ2464" s="54"/>
      <c r="WR2464" s="54"/>
      <c r="WS2464" s="60"/>
      <c r="WT2464" s="60"/>
      <c r="WU2464" s="60"/>
      <c r="WV2464" s="60"/>
      <c r="WW2464" s="63"/>
      <c r="WX2464" s="61"/>
      <c r="WY2464" s="54"/>
      <c r="WZ2464" s="54"/>
      <c r="XA2464" s="60"/>
      <c r="XB2464" s="60"/>
      <c r="XC2464" s="60"/>
      <c r="XD2464" s="60"/>
      <c r="XE2464" s="63"/>
      <c r="XF2464" s="61"/>
      <c r="XG2464" s="54"/>
      <c r="XH2464" s="54"/>
      <c r="XI2464" s="60"/>
      <c r="XJ2464" s="60"/>
      <c r="XK2464" s="60"/>
      <c r="XL2464" s="60"/>
      <c r="XM2464" s="63"/>
      <c r="XN2464" s="61"/>
      <c r="XO2464" s="54"/>
      <c r="XP2464" s="54"/>
      <c r="XQ2464" s="60"/>
      <c r="XR2464" s="60"/>
      <c r="XS2464" s="60"/>
      <c r="XT2464" s="60"/>
      <c r="XU2464" s="63"/>
      <c r="XV2464" s="61"/>
      <c r="XW2464" s="54"/>
      <c r="XX2464" s="54"/>
      <c r="XY2464" s="60"/>
      <c r="XZ2464" s="60"/>
      <c r="YA2464" s="60"/>
      <c r="YB2464" s="60"/>
      <c r="YC2464" s="63"/>
      <c r="YD2464" s="61"/>
      <c r="YE2464" s="54"/>
      <c r="YF2464" s="54"/>
      <c r="YG2464" s="60"/>
      <c r="YH2464" s="60"/>
      <c r="YI2464" s="60"/>
      <c r="YJ2464" s="60"/>
      <c r="YK2464" s="63"/>
      <c r="YL2464" s="61"/>
      <c r="YM2464" s="54"/>
      <c r="YN2464" s="54"/>
      <c r="YO2464" s="60"/>
      <c r="YP2464" s="60"/>
      <c r="YQ2464" s="60"/>
      <c r="YR2464" s="60"/>
      <c r="YS2464" s="63"/>
      <c r="YT2464" s="61"/>
      <c r="YU2464" s="54"/>
      <c r="YV2464" s="54"/>
      <c r="YW2464" s="60"/>
      <c r="YX2464" s="60"/>
      <c r="YY2464" s="60"/>
      <c r="YZ2464" s="60"/>
      <c r="ZA2464" s="63"/>
      <c r="ZB2464" s="61"/>
      <c r="ZC2464" s="54"/>
      <c r="ZD2464" s="54"/>
      <c r="ZE2464" s="60"/>
      <c r="ZF2464" s="60"/>
      <c r="ZG2464" s="60"/>
      <c r="ZH2464" s="60"/>
      <c r="ZI2464" s="63"/>
      <c r="ZJ2464" s="61"/>
      <c r="ZK2464" s="54"/>
      <c r="ZL2464" s="54"/>
      <c r="ZM2464" s="60"/>
      <c r="ZN2464" s="60"/>
      <c r="ZO2464" s="60"/>
      <c r="ZP2464" s="60"/>
      <c r="ZQ2464" s="63"/>
      <c r="ZR2464" s="61"/>
      <c r="ZS2464" s="54"/>
      <c r="ZT2464" s="54"/>
      <c r="ZU2464" s="60"/>
      <c r="ZV2464" s="60"/>
      <c r="ZW2464" s="60"/>
      <c r="ZX2464" s="60"/>
      <c r="ZY2464" s="63"/>
      <c r="ZZ2464" s="61"/>
      <c r="AAA2464" s="54"/>
      <c r="AAB2464" s="54"/>
      <c r="AAC2464" s="60"/>
      <c r="AAD2464" s="60"/>
      <c r="AAE2464" s="60"/>
      <c r="AAF2464" s="60"/>
      <c r="AAG2464" s="63"/>
      <c r="AAH2464" s="61"/>
      <c r="AAI2464" s="54"/>
      <c r="AAJ2464" s="54"/>
      <c r="AAK2464" s="60"/>
      <c r="AAL2464" s="60"/>
      <c r="AAM2464" s="60"/>
      <c r="AAN2464" s="60"/>
      <c r="AAO2464" s="63"/>
      <c r="AAP2464" s="61"/>
      <c r="AAQ2464" s="54"/>
      <c r="AAR2464" s="54"/>
      <c r="AAS2464" s="60"/>
      <c r="AAT2464" s="60"/>
      <c r="AAU2464" s="60"/>
      <c r="AAV2464" s="60"/>
      <c r="AAW2464" s="63"/>
      <c r="AAX2464" s="61"/>
      <c r="AAY2464" s="54"/>
      <c r="AAZ2464" s="54"/>
      <c r="ABA2464" s="60"/>
      <c r="ABB2464" s="60"/>
      <c r="ABC2464" s="60"/>
      <c r="ABD2464" s="60"/>
      <c r="ABE2464" s="63"/>
      <c r="ABF2464" s="61"/>
      <c r="ABG2464" s="54"/>
      <c r="ABH2464" s="54"/>
      <c r="ABI2464" s="60"/>
      <c r="ABJ2464" s="60"/>
      <c r="ABK2464" s="60"/>
      <c r="ABL2464" s="60"/>
      <c r="ABM2464" s="63"/>
      <c r="ABN2464" s="61"/>
      <c r="ABO2464" s="54"/>
      <c r="ABP2464" s="54"/>
      <c r="ABQ2464" s="60"/>
      <c r="ABR2464" s="60"/>
      <c r="ABS2464" s="60"/>
      <c r="ABT2464" s="60"/>
      <c r="ABU2464" s="63"/>
      <c r="ABV2464" s="61"/>
      <c r="ABW2464" s="54"/>
      <c r="ABX2464" s="54"/>
      <c r="ABY2464" s="60"/>
      <c r="ABZ2464" s="60"/>
      <c r="ACA2464" s="60"/>
      <c r="ACB2464" s="60"/>
      <c r="ACC2464" s="63"/>
      <c r="ACD2464" s="61"/>
      <c r="ACE2464" s="54"/>
      <c r="ACF2464" s="54"/>
      <c r="ACG2464" s="60"/>
      <c r="ACH2464" s="60"/>
      <c r="ACI2464" s="60"/>
      <c r="ACJ2464" s="60"/>
      <c r="ACK2464" s="63"/>
      <c r="ACL2464" s="61"/>
      <c r="ACM2464" s="54"/>
      <c r="ACN2464" s="54"/>
      <c r="ACO2464" s="60"/>
      <c r="ACP2464" s="60"/>
      <c r="ACQ2464" s="60"/>
      <c r="ACR2464" s="60"/>
      <c r="ACS2464" s="63"/>
      <c r="ACT2464" s="61"/>
      <c r="ACU2464" s="54"/>
      <c r="ACV2464" s="54"/>
      <c r="ACW2464" s="60"/>
      <c r="ACX2464" s="60"/>
      <c r="ACY2464" s="60"/>
      <c r="ACZ2464" s="60"/>
      <c r="ADA2464" s="63"/>
      <c r="ADB2464" s="61"/>
      <c r="ADC2464" s="54"/>
      <c r="ADD2464" s="54"/>
      <c r="ADE2464" s="60"/>
      <c r="ADF2464" s="60"/>
      <c r="ADG2464" s="60"/>
      <c r="ADH2464" s="60"/>
      <c r="ADI2464" s="63"/>
      <c r="ADJ2464" s="61"/>
      <c r="ADK2464" s="54"/>
      <c r="ADL2464" s="54"/>
      <c r="ADM2464" s="60"/>
      <c r="ADN2464" s="60"/>
      <c r="ADO2464" s="60"/>
      <c r="ADP2464" s="60"/>
      <c r="ADQ2464" s="63"/>
      <c r="ADR2464" s="61"/>
      <c r="ADS2464" s="54"/>
      <c r="ADT2464" s="54"/>
      <c r="ADU2464" s="60"/>
      <c r="ADV2464" s="60"/>
      <c r="ADW2464" s="60"/>
      <c r="ADX2464" s="60"/>
      <c r="ADY2464" s="63"/>
      <c r="ADZ2464" s="61"/>
      <c r="AEA2464" s="54"/>
      <c r="AEB2464" s="54"/>
      <c r="AEC2464" s="60"/>
      <c r="AED2464" s="60"/>
      <c r="AEE2464" s="60"/>
      <c r="AEF2464" s="60"/>
      <c r="AEG2464" s="63"/>
      <c r="AEH2464" s="61"/>
      <c r="AEI2464" s="54"/>
      <c r="AEJ2464" s="54"/>
      <c r="AEK2464" s="60"/>
      <c r="AEL2464" s="60"/>
      <c r="AEM2464" s="60"/>
      <c r="AEN2464" s="60"/>
      <c r="AEO2464" s="63"/>
      <c r="AEP2464" s="61"/>
      <c r="AEQ2464" s="54"/>
      <c r="AER2464" s="54"/>
      <c r="AES2464" s="60"/>
      <c r="AET2464" s="60"/>
      <c r="AEU2464" s="60"/>
      <c r="AEV2464" s="60"/>
      <c r="AEW2464" s="63"/>
      <c r="AEX2464" s="61"/>
      <c r="AEY2464" s="54"/>
      <c r="AEZ2464" s="54"/>
      <c r="AFA2464" s="60"/>
      <c r="AFB2464" s="60"/>
      <c r="AFC2464" s="60"/>
      <c r="AFD2464" s="60"/>
      <c r="AFE2464" s="63"/>
      <c r="AFF2464" s="61"/>
      <c r="AFG2464" s="54"/>
      <c r="AFH2464" s="54"/>
      <c r="AFI2464" s="60"/>
      <c r="AFJ2464" s="60"/>
      <c r="AFK2464" s="60"/>
      <c r="AFL2464" s="60"/>
      <c r="AFM2464" s="63"/>
      <c r="AFN2464" s="61"/>
      <c r="AFO2464" s="54"/>
      <c r="AFP2464" s="54"/>
      <c r="AFQ2464" s="60"/>
      <c r="AFR2464" s="60"/>
      <c r="AFS2464" s="60"/>
      <c r="AFT2464" s="60"/>
      <c r="AFU2464" s="63"/>
      <c r="AFV2464" s="61"/>
      <c r="AFW2464" s="54"/>
      <c r="AFX2464" s="54"/>
      <c r="AFY2464" s="60"/>
      <c r="AFZ2464" s="60"/>
      <c r="AGA2464" s="60"/>
      <c r="AGB2464" s="60"/>
      <c r="AGC2464" s="63"/>
      <c r="AGD2464" s="61"/>
      <c r="AGE2464" s="54"/>
      <c r="AGF2464" s="54"/>
      <c r="AGG2464" s="60"/>
      <c r="AGH2464" s="60"/>
      <c r="AGI2464" s="60"/>
      <c r="AGJ2464" s="60"/>
      <c r="AGK2464" s="63"/>
      <c r="AGL2464" s="61"/>
      <c r="AGM2464" s="54"/>
      <c r="AGN2464" s="54"/>
      <c r="AGO2464" s="60"/>
      <c r="AGP2464" s="60"/>
      <c r="AGQ2464" s="60"/>
      <c r="AGR2464" s="60"/>
      <c r="AGS2464" s="63"/>
      <c r="AGT2464" s="61"/>
      <c r="AGU2464" s="54"/>
      <c r="AGV2464" s="54"/>
      <c r="AGW2464" s="60"/>
      <c r="AGX2464" s="60"/>
      <c r="AGY2464" s="60"/>
      <c r="AGZ2464" s="60"/>
      <c r="AHA2464" s="63"/>
      <c r="AHB2464" s="61"/>
      <c r="AHC2464" s="54"/>
      <c r="AHD2464" s="54"/>
      <c r="AHE2464" s="60"/>
      <c r="AHF2464" s="60"/>
      <c r="AHG2464" s="60"/>
      <c r="AHH2464" s="60"/>
      <c r="AHI2464" s="63"/>
      <c r="AHJ2464" s="61"/>
      <c r="AHK2464" s="54"/>
      <c r="AHL2464" s="54"/>
      <c r="AHM2464" s="60"/>
      <c r="AHN2464" s="60"/>
      <c r="AHO2464" s="60"/>
      <c r="AHP2464" s="60"/>
      <c r="AHQ2464" s="63"/>
      <c r="AHR2464" s="61"/>
      <c r="AHS2464" s="54"/>
      <c r="AHT2464" s="54"/>
      <c r="AHU2464" s="60"/>
      <c r="AHV2464" s="60"/>
      <c r="AHW2464" s="60"/>
      <c r="AHX2464" s="60"/>
      <c r="AHY2464" s="63"/>
      <c r="AHZ2464" s="61"/>
      <c r="AIA2464" s="54"/>
      <c r="AIB2464" s="54"/>
      <c r="AIC2464" s="60"/>
      <c r="AID2464" s="60"/>
      <c r="AIE2464" s="60"/>
      <c r="AIF2464" s="60"/>
      <c r="AIG2464" s="63"/>
      <c r="AIH2464" s="61"/>
      <c r="AII2464" s="54"/>
      <c r="AIJ2464" s="54"/>
      <c r="AIK2464" s="60"/>
      <c r="AIL2464" s="60"/>
      <c r="AIM2464" s="60"/>
      <c r="AIN2464" s="60"/>
      <c r="AIO2464" s="63"/>
      <c r="AIP2464" s="61"/>
      <c r="AIQ2464" s="54"/>
      <c r="AIR2464" s="54"/>
      <c r="AIS2464" s="60"/>
      <c r="AIT2464" s="60"/>
      <c r="AIU2464" s="60"/>
      <c r="AIV2464" s="60"/>
      <c r="AIW2464" s="63"/>
      <c r="AIX2464" s="61"/>
      <c r="AIY2464" s="54"/>
      <c r="AIZ2464" s="54"/>
      <c r="AJA2464" s="60"/>
      <c r="AJB2464" s="60"/>
      <c r="AJC2464" s="60"/>
      <c r="AJD2464" s="60"/>
      <c r="AJE2464" s="63"/>
      <c r="AJF2464" s="61"/>
      <c r="AJG2464" s="54"/>
      <c r="AJH2464" s="54"/>
      <c r="AJI2464" s="60"/>
      <c r="AJJ2464" s="60"/>
      <c r="AJK2464" s="60"/>
      <c r="AJL2464" s="60"/>
      <c r="AJM2464" s="63"/>
      <c r="AJN2464" s="61"/>
      <c r="AJO2464" s="54"/>
      <c r="AJP2464" s="54"/>
      <c r="AJQ2464" s="60"/>
      <c r="AJR2464" s="60"/>
      <c r="AJS2464" s="60"/>
      <c r="AJT2464" s="60"/>
      <c r="AJU2464" s="63"/>
      <c r="AJV2464" s="61"/>
      <c r="AJW2464" s="54"/>
      <c r="AJX2464" s="54"/>
      <c r="AJY2464" s="60"/>
      <c r="AJZ2464" s="60"/>
      <c r="AKA2464" s="60"/>
      <c r="AKB2464" s="60"/>
      <c r="AKC2464" s="63"/>
      <c r="AKD2464" s="61"/>
      <c r="AKE2464" s="54"/>
      <c r="AKF2464" s="54"/>
      <c r="AKG2464" s="60"/>
      <c r="AKH2464" s="60"/>
      <c r="AKI2464" s="60"/>
      <c r="AKJ2464" s="60"/>
      <c r="AKK2464" s="63"/>
      <c r="AKL2464" s="61"/>
      <c r="AKM2464" s="54"/>
      <c r="AKN2464" s="54"/>
      <c r="AKO2464" s="60"/>
      <c r="AKP2464" s="60"/>
      <c r="AKQ2464" s="60"/>
      <c r="AKR2464" s="60"/>
      <c r="AKS2464" s="63"/>
      <c r="AKT2464" s="61"/>
      <c r="AKU2464" s="54"/>
      <c r="AKV2464" s="54"/>
      <c r="AKW2464" s="60"/>
      <c r="AKX2464" s="60"/>
      <c r="AKY2464" s="60"/>
      <c r="AKZ2464" s="60"/>
      <c r="ALA2464" s="63"/>
      <c r="ALB2464" s="61"/>
      <c r="ALC2464" s="54"/>
      <c r="ALD2464" s="54"/>
      <c r="ALE2464" s="60"/>
      <c r="ALF2464" s="60"/>
      <c r="ALG2464" s="60"/>
      <c r="ALH2464" s="60"/>
      <c r="ALI2464" s="63"/>
      <c r="ALJ2464" s="61"/>
      <c r="ALK2464" s="54"/>
      <c r="ALL2464" s="54"/>
      <c r="ALM2464" s="60"/>
      <c r="ALN2464" s="60"/>
      <c r="ALO2464" s="60"/>
      <c r="ALP2464" s="60"/>
      <c r="ALQ2464" s="63"/>
      <c r="ALR2464" s="61"/>
      <c r="ALS2464" s="54"/>
      <c r="ALT2464" s="54"/>
      <c r="ALU2464" s="60"/>
      <c r="ALV2464" s="60"/>
      <c r="ALW2464" s="60"/>
      <c r="ALX2464" s="60"/>
      <c r="ALY2464" s="63"/>
      <c r="ALZ2464" s="61"/>
      <c r="AMA2464" s="54"/>
      <c r="AMB2464" s="54"/>
      <c r="AMC2464" s="60"/>
      <c r="AMD2464" s="60"/>
      <c r="AME2464" s="60"/>
      <c r="AMF2464" s="60"/>
      <c r="AMG2464" s="63"/>
      <c r="AMH2464" s="61"/>
      <c r="AMI2464" s="54"/>
      <c r="AMJ2464" s="54"/>
      <c r="AMK2464" s="60"/>
      <c r="AML2464" s="60"/>
      <c r="AMM2464" s="60"/>
      <c r="AMN2464" s="60"/>
      <c r="AMO2464" s="63"/>
      <c r="AMP2464" s="61"/>
      <c r="AMQ2464" s="54"/>
      <c r="AMR2464" s="54"/>
      <c r="AMS2464" s="60"/>
      <c r="AMT2464" s="60"/>
      <c r="AMU2464" s="60"/>
      <c r="AMV2464" s="60"/>
      <c r="AMW2464" s="63"/>
      <c r="AMX2464" s="61"/>
      <c r="AMY2464" s="54"/>
      <c r="AMZ2464" s="54"/>
      <c r="ANA2464" s="60"/>
      <c r="ANB2464" s="60"/>
      <c r="ANC2464" s="60"/>
      <c r="AND2464" s="60"/>
      <c r="ANE2464" s="63"/>
      <c r="ANF2464" s="61"/>
      <c r="ANG2464" s="54"/>
      <c r="ANH2464" s="54"/>
      <c r="ANI2464" s="60"/>
      <c r="ANJ2464" s="60"/>
      <c r="ANK2464" s="60"/>
      <c r="ANL2464" s="60"/>
      <c r="ANM2464" s="63"/>
      <c r="ANN2464" s="61"/>
      <c r="ANO2464" s="54"/>
      <c r="ANP2464" s="54"/>
      <c r="ANQ2464" s="60"/>
      <c r="ANR2464" s="60"/>
      <c r="ANS2464" s="60"/>
      <c r="ANT2464" s="60"/>
      <c r="ANU2464" s="63"/>
      <c r="ANV2464" s="61"/>
      <c r="ANW2464" s="54"/>
      <c r="ANX2464" s="54"/>
      <c r="ANY2464" s="60"/>
      <c r="ANZ2464" s="60"/>
      <c r="AOA2464" s="60"/>
      <c r="AOB2464" s="60"/>
      <c r="AOC2464" s="63"/>
      <c r="AOD2464" s="61"/>
      <c r="AOE2464" s="54"/>
      <c r="AOF2464" s="54"/>
      <c r="AOG2464" s="60"/>
      <c r="AOH2464" s="60"/>
      <c r="AOI2464" s="60"/>
      <c r="AOJ2464" s="60"/>
      <c r="AOK2464" s="63"/>
      <c r="AOL2464" s="61"/>
      <c r="AOM2464" s="54"/>
      <c r="AON2464" s="54"/>
      <c r="AOO2464" s="60"/>
      <c r="AOP2464" s="60"/>
      <c r="AOQ2464" s="60"/>
      <c r="AOR2464" s="60"/>
      <c r="AOS2464" s="63"/>
      <c r="AOT2464" s="61"/>
      <c r="AOU2464" s="54"/>
      <c r="AOV2464" s="54"/>
      <c r="AOW2464" s="60"/>
      <c r="AOX2464" s="60"/>
      <c r="AOY2464" s="60"/>
      <c r="AOZ2464" s="60"/>
      <c r="APA2464" s="63"/>
      <c r="APB2464" s="61"/>
      <c r="APC2464" s="54"/>
      <c r="APD2464" s="54"/>
      <c r="APE2464" s="60"/>
      <c r="APF2464" s="60"/>
      <c r="APG2464" s="60"/>
      <c r="APH2464" s="60"/>
      <c r="API2464" s="63"/>
      <c r="APJ2464" s="61"/>
      <c r="APK2464" s="54"/>
      <c r="APL2464" s="54"/>
      <c r="APM2464" s="60"/>
      <c r="APN2464" s="60"/>
      <c r="APO2464" s="60"/>
      <c r="APP2464" s="60"/>
      <c r="APQ2464" s="63"/>
      <c r="APR2464" s="61"/>
      <c r="APS2464" s="54"/>
      <c r="APT2464" s="54"/>
      <c r="APU2464" s="60"/>
      <c r="APV2464" s="60"/>
      <c r="APW2464" s="60"/>
      <c r="APX2464" s="60"/>
      <c r="APY2464" s="63"/>
      <c r="APZ2464" s="61"/>
      <c r="AQA2464" s="54"/>
      <c r="AQB2464" s="54"/>
      <c r="AQC2464" s="60"/>
      <c r="AQD2464" s="60"/>
      <c r="AQE2464" s="60"/>
      <c r="AQF2464" s="60"/>
      <c r="AQG2464" s="63"/>
      <c r="AQH2464" s="61"/>
      <c r="AQI2464" s="54"/>
      <c r="AQJ2464" s="54"/>
      <c r="AQK2464" s="60"/>
      <c r="AQL2464" s="60"/>
      <c r="AQM2464" s="60"/>
      <c r="AQN2464" s="60"/>
      <c r="AQO2464" s="63"/>
      <c r="AQP2464" s="61"/>
      <c r="AQQ2464" s="54"/>
      <c r="AQR2464" s="54"/>
      <c r="AQS2464" s="60"/>
      <c r="AQT2464" s="60"/>
      <c r="AQU2464" s="60"/>
      <c r="AQV2464" s="60"/>
      <c r="AQW2464" s="63"/>
      <c r="AQX2464" s="61"/>
      <c r="AQY2464" s="54"/>
      <c r="AQZ2464" s="54"/>
      <c r="ARA2464" s="60"/>
      <c r="ARB2464" s="60"/>
      <c r="ARC2464" s="60"/>
      <c r="ARD2464" s="60"/>
      <c r="ARE2464" s="63"/>
      <c r="ARF2464" s="61"/>
      <c r="ARG2464" s="54"/>
      <c r="ARH2464" s="54"/>
      <c r="ARI2464" s="60"/>
      <c r="ARJ2464" s="60"/>
      <c r="ARK2464" s="60"/>
      <c r="ARL2464" s="60"/>
      <c r="ARM2464" s="63"/>
      <c r="ARN2464" s="61"/>
      <c r="ARO2464" s="54"/>
      <c r="ARP2464" s="54"/>
      <c r="ARQ2464" s="60"/>
      <c r="ARR2464" s="60"/>
      <c r="ARS2464" s="60"/>
      <c r="ART2464" s="60"/>
      <c r="ARU2464" s="63"/>
      <c r="ARV2464" s="61"/>
      <c r="ARW2464" s="54"/>
      <c r="ARX2464" s="54"/>
      <c r="ARY2464" s="60"/>
      <c r="ARZ2464" s="60"/>
      <c r="ASA2464" s="60"/>
      <c r="ASB2464" s="60"/>
      <c r="ASC2464" s="63"/>
      <c r="ASD2464" s="61"/>
      <c r="ASE2464" s="54"/>
      <c r="ASF2464" s="54"/>
      <c r="ASG2464" s="60"/>
      <c r="ASH2464" s="60"/>
      <c r="ASI2464" s="60"/>
      <c r="ASJ2464" s="60"/>
      <c r="ASK2464" s="63"/>
      <c r="ASL2464" s="61"/>
      <c r="ASM2464" s="54"/>
      <c r="ASN2464" s="54"/>
      <c r="ASO2464" s="60"/>
      <c r="ASP2464" s="60"/>
      <c r="ASQ2464" s="60"/>
      <c r="ASR2464" s="60"/>
      <c r="ASS2464" s="63"/>
      <c r="AST2464" s="61"/>
      <c r="ASU2464" s="54"/>
      <c r="ASV2464" s="54"/>
      <c r="ASW2464" s="60"/>
      <c r="ASX2464" s="60"/>
      <c r="ASY2464" s="60"/>
      <c r="ASZ2464" s="60"/>
      <c r="ATA2464" s="63"/>
      <c r="ATB2464" s="61"/>
      <c r="ATC2464" s="54"/>
      <c r="ATD2464" s="54"/>
      <c r="ATE2464" s="60"/>
      <c r="ATF2464" s="60"/>
      <c r="ATG2464" s="60"/>
      <c r="ATH2464" s="60"/>
      <c r="ATI2464" s="63"/>
      <c r="ATJ2464" s="61"/>
      <c r="ATK2464" s="54"/>
      <c r="ATL2464" s="54"/>
      <c r="ATM2464" s="60"/>
      <c r="ATN2464" s="60"/>
      <c r="ATO2464" s="60"/>
      <c r="ATP2464" s="60"/>
      <c r="ATQ2464" s="63"/>
      <c r="ATR2464" s="61"/>
      <c r="ATS2464" s="54"/>
      <c r="ATT2464" s="54"/>
      <c r="ATU2464" s="60"/>
      <c r="ATV2464" s="60"/>
      <c r="ATW2464" s="60"/>
      <c r="ATX2464" s="60"/>
      <c r="ATY2464" s="63"/>
      <c r="ATZ2464" s="61"/>
      <c r="AUA2464" s="54"/>
      <c r="AUB2464" s="54"/>
      <c r="AUC2464" s="60"/>
      <c r="AUD2464" s="60"/>
      <c r="AUE2464" s="60"/>
      <c r="AUF2464" s="60"/>
      <c r="AUG2464" s="63"/>
      <c r="AUH2464" s="61"/>
      <c r="AUI2464" s="54"/>
      <c r="AUJ2464" s="54"/>
      <c r="AUK2464" s="60"/>
      <c r="AUL2464" s="60"/>
      <c r="AUM2464" s="60"/>
      <c r="AUN2464" s="60"/>
      <c r="AUO2464" s="63"/>
      <c r="AUP2464" s="61"/>
      <c r="AUQ2464" s="54"/>
      <c r="AUR2464" s="54"/>
      <c r="AUS2464" s="60"/>
      <c r="AUT2464" s="60"/>
      <c r="AUU2464" s="60"/>
      <c r="AUV2464" s="60"/>
      <c r="AUW2464" s="63"/>
      <c r="AUX2464" s="61"/>
      <c r="AUY2464" s="54"/>
      <c r="AUZ2464" s="54"/>
      <c r="AVA2464" s="60"/>
      <c r="AVB2464" s="60"/>
      <c r="AVC2464" s="60"/>
      <c r="AVD2464" s="60"/>
      <c r="AVE2464" s="63"/>
      <c r="AVF2464" s="61"/>
      <c r="AVG2464" s="54"/>
      <c r="AVH2464" s="54"/>
      <c r="AVI2464" s="60"/>
      <c r="AVJ2464" s="60"/>
      <c r="AVK2464" s="60"/>
      <c r="AVL2464" s="60"/>
      <c r="AVM2464" s="63"/>
      <c r="AVN2464" s="61"/>
      <c r="AVO2464" s="54"/>
      <c r="AVP2464" s="54"/>
      <c r="AVQ2464" s="60"/>
      <c r="AVR2464" s="60"/>
      <c r="AVS2464" s="60"/>
      <c r="AVT2464" s="60"/>
      <c r="AVU2464" s="63"/>
      <c r="AVV2464" s="61"/>
      <c r="AVW2464" s="54"/>
      <c r="AVX2464" s="54"/>
      <c r="AVY2464" s="60"/>
      <c r="AVZ2464" s="60"/>
      <c r="AWA2464" s="60"/>
      <c r="AWB2464" s="60"/>
      <c r="AWC2464" s="63"/>
      <c r="AWD2464" s="61"/>
      <c r="AWE2464" s="54"/>
      <c r="AWF2464" s="54"/>
      <c r="AWG2464" s="60"/>
      <c r="AWH2464" s="60"/>
      <c r="AWI2464" s="60"/>
      <c r="AWJ2464" s="60"/>
      <c r="AWK2464" s="63"/>
      <c r="AWL2464" s="61"/>
      <c r="AWM2464" s="54"/>
      <c r="AWN2464" s="54"/>
      <c r="AWO2464" s="60"/>
      <c r="AWP2464" s="60"/>
      <c r="AWQ2464" s="60"/>
      <c r="AWR2464" s="60"/>
      <c r="AWS2464" s="63"/>
      <c r="AWT2464" s="61"/>
      <c r="AWU2464" s="54"/>
      <c r="AWV2464" s="54"/>
      <c r="AWW2464" s="60"/>
      <c r="AWX2464" s="60"/>
      <c r="AWY2464" s="60"/>
      <c r="AWZ2464" s="60"/>
      <c r="AXA2464" s="63"/>
      <c r="AXB2464" s="61"/>
      <c r="AXC2464" s="54"/>
      <c r="AXD2464" s="54"/>
      <c r="AXE2464" s="60"/>
      <c r="AXF2464" s="60"/>
      <c r="AXG2464" s="60"/>
      <c r="AXH2464" s="60"/>
      <c r="AXI2464" s="63"/>
      <c r="AXJ2464" s="61"/>
      <c r="AXK2464" s="54"/>
      <c r="AXL2464" s="54"/>
      <c r="AXM2464" s="60"/>
      <c r="AXN2464" s="60"/>
      <c r="AXO2464" s="60"/>
      <c r="AXP2464" s="60"/>
      <c r="AXQ2464" s="63"/>
      <c r="AXR2464" s="61"/>
      <c r="AXS2464" s="54"/>
      <c r="AXT2464" s="54"/>
      <c r="AXU2464" s="60"/>
      <c r="AXV2464" s="60"/>
      <c r="AXW2464" s="60"/>
      <c r="AXX2464" s="60"/>
      <c r="AXY2464" s="63"/>
      <c r="AXZ2464" s="61"/>
      <c r="AYA2464" s="54"/>
      <c r="AYB2464" s="54"/>
      <c r="AYC2464" s="60"/>
      <c r="AYD2464" s="60"/>
      <c r="AYE2464" s="60"/>
      <c r="AYF2464" s="60"/>
      <c r="AYG2464" s="63"/>
      <c r="AYH2464" s="61"/>
      <c r="AYI2464" s="54"/>
      <c r="AYJ2464" s="54"/>
      <c r="AYK2464" s="60"/>
      <c r="AYL2464" s="60"/>
      <c r="AYM2464" s="60"/>
      <c r="AYN2464" s="60"/>
      <c r="AYO2464" s="63"/>
      <c r="AYP2464" s="61"/>
      <c r="AYQ2464" s="54"/>
      <c r="AYR2464" s="54"/>
      <c r="AYS2464" s="60"/>
      <c r="AYT2464" s="60"/>
      <c r="AYU2464" s="60"/>
      <c r="AYV2464" s="60"/>
      <c r="AYW2464" s="63"/>
      <c r="AYX2464" s="61"/>
      <c r="AYY2464" s="54"/>
      <c r="AYZ2464" s="54"/>
      <c r="AZA2464" s="60"/>
      <c r="AZB2464" s="60"/>
      <c r="AZC2464" s="60"/>
      <c r="AZD2464" s="60"/>
      <c r="AZE2464" s="63"/>
      <c r="AZF2464" s="61"/>
      <c r="AZG2464" s="54"/>
      <c r="AZH2464" s="54"/>
      <c r="AZI2464" s="60"/>
      <c r="AZJ2464" s="60"/>
      <c r="AZK2464" s="60"/>
      <c r="AZL2464" s="60"/>
      <c r="AZM2464" s="63"/>
      <c r="AZN2464" s="61"/>
      <c r="AZO2464" s="54"/>
      <c r="AZP2464" s="54"/>
      <c r="AZQ2464" s="60"/>
      <c r="AZR2464" s="60"/>
      <c r="AZS2464" s="60"/>
      <c r="AZT2464" s="60"/>
      <c r="AZU2464" s="63"/>
      <c r="AZV2464" s="61"/>
      <c r="AZW2464" s="54"/>
      <c r="AZX2464" s="54"/>
      <c r="AZY2464" s="60"/>
      <c r="AZZ2464" s="60"/>
      <c r="BAA2464" s="60"/>
      <c r="BAB2464" s="60"/>
      <c r="BAC2464" s="63"/>
      <c r="BAD2464" s="61"/>
      <c r="BAE2464" s="54"/>
      <c r="BAF2464" s="54"/>
      <c r="BAG2464" s="60"/>
      <c r="BAH2464" s="60"/>
      <c r="BAI2464" s="60"/>
      <c r="BAJ2464" s="60"/>
      <c r="BAK2464" s="63"/>
      <c r="BAL2464" s="61"/>
      <c r="BAM2464" s="54"/>
      <c r="BAN2464" s="54"/>
      <c r="BAO2464" s="60"/>
      <c r="BAP2464" s="60"/>
      <c r="BAQ2464" s="60"/>
      <c r="BAR2464" s="60"/>
      <c r="BAS2464" s="63"/>
      <c r="BAT2464" s="61"/>
      <c r="BAU2464" s="54"/>
      <c r="BAV2464" s="54"/>
      <c r="BAW2464" s="60"/>
      <c r="BAX2464" s="60"/>
      <c r="BAY2464" s="60"/>
      <c r="BAZ2464" s="60"/>
      <c r="BBA2464" s="63"/>
      <c r="BBB2464" s="61"/>
      <c r="BBC2464" s="54"/>
      <c r="BBD2464" s="54"/>
      <c r="BBE2464" s="60"/>
      <c r="BBF2464" s="60"/>
      <c r="BBG2464" s="60"/>
      <c r="BBH2464" s="60"/>
      <c r="BBI2464" s="63"/>
      <c r="BBJ2464" s="61"/>
      <c r="BBK2464" s="54"/>
      <c r="BBL2464" s="54"/>
      <c r="BBM2464" s="60"/>
      <c r="BBN2464" s="60"/>
      <c r="BBO2464" s="60"/>
      <c r="BBP2464" s="60"/>
      <c r="BBQ2464" s="63"/>
      <c r="BBR2464" s="61"/>
      <c r="BBS2464" s="54"/>
      <c r="BBT2464" s="54"/>
      <c r="BBU2464" s="60"/>
      <c r="BBV2464" s="60"/>
      <c r="BBW2464" s="60"/>
      <c r="BBX2464" s="60"/>
      <c r="BBY2464" s="63"/>
      <c r="BBZ2464" s="61"/>
      <c r="BCA2464" s="54"/>
      <c r="BCB2464" s="54"/>
      <c r="BCC2464" s="60"/>
      <c r="BCD2464" s="60"/>
      <c r="BCE2464" s="60"/>
      <c r="BCF2464" s="60"/>
      <c r="BCG2464" s="63"/>
      <c r="BCH2464" s="61"/>
      <c r="BCI2464" s="54"/>
      <c r="BCJ2464" s="54"/>
      <c r="BCK2464" s="60"/>
      <c r="BCL2464" s="60"/>
      <c r="BCM2464" s="60"/>
      <c r="BCN2464" s="60"/>
      <c r="BCO2464" s="63"/>
      <c r="BCP2464" s="61"/>
      <c r="BCQ2464" s="54"/>
      <c r="BCR2464" s="54"/>
      <c r="BCS2464" s="60"/>
      <c r="BCT2464" s="60"/>
      <c r="BCU2464" s="60"/>
      <c r="BCV2464" s="60"/>
      <c r="BCW2464" s="63"/>
      <c r="BCX2464" s="61"/>
      <c r="BCY2464" s="54"/>
      <c r="BCZ2464" s="54"/>
      <c r="BDA2464" s="60"/>
      <c r="BDB2464" s="60"/>
      <c r="BDC2464" s="60"/>
      <c r="BDD2464" s="60"/>
      <c r="BDE2464" s="63"/>
      <c r="BDF2464" s="61"/>
      <c r="BDG2464" s="54"/>
      <c r="BDH2464" s="54"/>
      <c r="BDI2464" s="60"/>
      <c r="BDJ2464" s="60"/>
      <c r="BDK2464" s="60"/>
      <c r="BDL2464" s="60"/>
      <c r="BDM2464" s="63"/>
      <c r="BDN2464" s="61"/>
      <c r="BDO2464" s="54"/>
      <c r="BDP2464" s="54"/>
      <c r="BDQ2464" s="60"/>
      <c r="BDR2464" s="60"/>
      <c r="BDS2464" s="60"/>
      <c r="BDT2464" s="60"/>
      <c r="BDU2464" s="63"/>
      <c r="BDV2464" s="61"/>
      <c r="BDW2464" s="54"/>
      <c r="BDX2464" s="54"/>
      <c r="BDY2464" s="60"/>
      <c r="BDZ2464" s="60"/>
      <c r="BEA2464" s="60"/>
      <c r="BEB2464" s="60"/>
      <c r="BEC2464" s="63"/>
      <c r="BED2464" s="61"/>
      <c r="BEE2464" s="54"/>
      <c r="BEF2464" s="54"/>
      <c r="BEG2464" s="60"/>
      <c r="BEH2464" s="60"/>
      <c r="BEI2464" s="60"/>
      <c r="BEJ2464" s="60"/>
      <c r="BEK2464" s="63"/>
      <c r="BEL2464" s="61"/>
      <c r="BEM2464" s="54"/>
      <c r="BEN2464" s="54"/>
      <c r="BEO2464" s="60"/>
      <c r="BEP2464" s="60"/>
      <c r="BEQ2464" s="60"/>
      <c r="BER2464" s="60"/>
      <c r="BES2464" s="63"/>
      <c r="BET2464" s="61"/>
      <c r="BEU2464" s="54"/>
      <c r="BEV2464" s="54"/>
      <c r="BEW2464" s="60"/>
      <c r="BEX2464" s="60"/>
      <c r="BEY2464" s="60"/>
      <c r="BEZ2464" s="60"/>
      <c r="BFA2464" s="63"/>
      <c r="BFB2464" s="61"/>
      <c r="BFC2464" s="54"/>
      <c r="BFD2464" s="54"/>
      <c r="BFE2464" s="60"/>
      <c r="BFF2464" s="60"/>
      <c r="BFG2464" s="60"/>
      <c r="BFH2464" s="60"/>
      <c r="BFI2464" s="63"/>
      <c r="BFJ2464" s="61"/>
      <c r="BFK2464" s="54"/>
      <c r="BFL2464" s="54"/>
      <c r="BFM2464" s="60"/>
      <c r="BFN2464" s="60"/>
      <c r="BFO2464" s="60"/>
      <c r="BFP2464" s="60"/>
      <c r="BFQ2464" s="63"/>
      <c r="BFR2464" s="61"/>
      <c r="BFS2464" s="54"/>
      <c r="BFT2464" s="54"/>
      <c r="BFU2464" s="60"/>
      <c r="BFV2464" s="60"/>
      <c r="BFW2464" s="60"/>
      <c r="BFX2464" s="60"/>
      <c r="BFY2464" s="63"/>
      <c r="BFZ2464" s="61"/>
      <c r="BGA2464" s="54"/>
      <c r="BGB2464" s="54"/>
      <c r="BGC2464" s="60"/>
      <c r="BGD2464" s="60"/>
      <c r="BGE2464" s="60"/>
      <c r="BGF2464" s="60"/>
      <c r="BGG2464" s="63"/>
      <c r="BGH2464" s="61"/>
      <c r="BGI2464" s="54"/>
      <c r="BGJ2464" s="54"/>
      <c r="BGK2464" s="60"/>
      <c r="BGL2464" s="60"/>
      <c r="BGM2464" s="60"/>
      <c r="BGN2464" s="60"/>
      <c r="BGO2464" s="63"/>
      <c r="BGP2464" s="61"/>
      <c r="BGQ2464" s="54"/>
      <c r="BGR2464" s="54"/>
      <c r="BGS2464" s="60"/>
      <c r="BGT2464" s="60"/>
      <c r="BGU2464" s="60"/>
      <c r="BGV2464" s="60"/>
      <c r="BGW2464" s="63"/>
      <c r="BGX2464" s="61"/>
      <c r="BGY2464" s="54"/>
      <c r="BGZ2464" s="54"/>
      <c r="BHA2464" s="60"/>
      <c r="BHB2464" s="60"/>
      <c r="BHC2464" s="60"/>
      <c r="BHD2464" s="60"/>
      <c r="BHE2464" s="63"/>
      <c r="BHF2464" s="61"/>
      <c r="BHG2464" s="54"/>
      <c r="BHH2464" s="54"/>
      <c r="BHI2464" s="60"/>
      <c r="BHJ2464" s="60"/>
      <c r="BHK2464" s="60"/>
      <c r="BHL2464" s="60"/>
      <c r="BHM2464" s="63"/>
      <c r="BHN2464" s="61"/>
      <c r="BHO2464" s="54"/>
      <c r="BHP2464" s="54"/>
      <c r="BHQ2464" s="60"/>
      <c r="BHR2464" s="60"/>
      <c r="BHS2464" s="60"/>
      <c r="BHT2464" s="60"/>
      <c r="BHU2464" s="63"/>
      <c r="BHV2464" s="61"/>
      <c r="BHW2464" s="54"/>
      <c r="BHX2464" s="54"/>
      <c r="BHY2464" s="60"/>
      <c r="BHZ2464" s="60"/>
      <c r="BIA2464" s="60"/>
      <c r="BIB2464" s="60"/>
      <c r="BIC2464" s="63"/>
      <c r="BID2464" s="61"/>
      <c r="BIE2464" s="54"/>
      <c r="BIF2464" s="54"/>
      <c r="BIG2464" s="60"/>
      <c r="BIH2464" s="60"/>
      <c r="BII2464" s="60"/>
      <c r="BIJ2464" s="60"/>
      <c r="BIK2464" s="63"/>
      <c r="BIL2464" s="61"/>
      <c r="BIM2464" s="54"/>
      <c r="BIN2464" s="54"/>
      <c r="BIO2464" s="60"/>
      <c r="BIP2464" s="60"/>
      <c r="BIQ2464" s="60"/>
      <c r="BIR2464" s="60"/>
      <c r="BIS2464" s="63"/>
      <c r="BIT2464" s="61"/>
      <c r="BIU2464" s="54"/>
      <c r="BIV2464" s="54"/>
      <c r="BIW2464" s="60"/>
      <c r="BIX2464" s="60"/>
      <c r="BIY2464" s="60"/>
      <c r="BIZ2464" s="60"/>
      <c r="BJA2464" s="63"/>
      <c r="BJB2464" s="61"/>
      <c r="BJC2464" s="54"/>
      <c r="BJD2464" s="54"/>
      <c r="BJE2464" s="60"/>
      <c r="BJF2464" s="60"/>
      <c r="BJG2464" s="60"/>
      <c r="BJH2464" s="60"/>
      <c r="BJI2464" s="63"/>
      <c r="BJJ2464" s="61"/>
      <c r="BJK2464" s="54"/>
      <c r="BJL2464" s="54"/>
      <c r="BJM2464" s="60"/>
      <c r="BJN2464" s="60"/>
      <c r="BJO2464" s="60"/>
      <c r="BJP2464" s="60"/>
      <c r="BJQ2464" s="63"/>
      <c r="BJR2464" s="61"/>
      <c r="BJS2464" s="54"/>
      <c r="BJT2464" s="54"/>
      <c r="BJU2464" s="60"/>
      <c r="BJV2464" s="60"/>
      <c r="BJW2464" s="60"/>
      <c r="BJX2464" s="60"/>
      <c r="BJY2464" s="63"/>
      <c r="BJZ2464" s="61"/>
      <c r="BKA2464" s="54"/>
      <c r="BKB2464" s="54"/>
      <c r="BKC2464" s="60"/>
      <c r="BKD2464" s="60"/>
      <c r="BKE2464" s="60"/>
      <c r="BKF2464" s="60"/>
      <c r="BKG2464" s="63"/>
      <c r="BKH2464" s="61"/>
      <c r="BKI2464" s="54"/>
      <c r="BKJ2464" s="54"/>
      <c r="BKK2464" s="60"/>
      <c r="BKL2464" s="60"/>
      <c r="BKM2464" s="60"/>
      <c r="BKN2464" s="60"/>
      <c r="BKO2464" s="63"/>
      <c r="BKP2464" s="61"/>
      <c r="BKQ2464" s="54"/>
      <c r="BKR2464" s="54"/>
      <c r="BKS2464" s="60"/>
      <c r="BKT2464" s="60"/>
      <c r="BKU2464" s="60"/>
      <c r="BKV2464" s="60"/>
      <c r="BKW2464" s="63"/>
      <c r="BKX2464" s="61"/>
      <c r="BKY2464" s="54"/>
      <c r="BKZ2464" s="54"/>
      <c r="BLA2464" s="60"/>
      <c r="BLB2464" s="60"/>
      <c r="BLC2464" s="60"/>
      <c r="BLD2464" s="60"/>
      <c r="BLE2464" s="63"/>
      <c r="BLF2464" s="61"/>
      <c r="BLG2464" s="54"/>
      <c r="BLH2464" s="54"/>
      <c r="BLI2464" s="60"/>
      <c r="BLJ2464" s="60"/>
      <c r="BLK2464" s="60"/>
      <c r="BLL2464" s="60"/>
      <c r="BLM2464" s="63"/>
      <c r="BLN2464" s="61"/>
      <c r="BLO2464" s="54"/>
      <c r="BLP2464" s="54"/>
      <c r="BLQ2464" s="60"/>
      <c r="BLR2464" s="60"/>
      <c r="BLS2464" s="60"/>
      <c r="BLT2464" s="60"/>
      <c r="BLU2464" s="63"/>
      <c r="BLV2464" s="61"/>
      <c r="BLW2464" s="54"/>
      <c r="BLX2464" s="54"/>
      <c r="BLY2464" s="60"/>
      <c r="BLZ2464" s="60"/>
      <c r="BMA2464" s="60"/>
      <c r="BMB2464" s="60"/>
      <c r="BMC2464" s="63"/>
      <c r="BMD2464" s="61"/>
      <c r="BME2464" s="54"/>
      <c r="BMF2464" s="54"/>
      <c r="BMG2464" s="60"/>
      <c r="BMH2464" s="60"/>
      <c r="BMI2464" s="60"/>
      <c r="BMJ2464" s="60"/>
      <c r="BMK2464" s="63"/>
      <c r="BML2464" s="61"/>
      <c r="BMM2464" s="54"/>
      <c r="BMN2464" s="54"/>
      <c r="BMO2464" s="60"/>
      <c r="BMP2464" s="60"/>
      <c r="BMQ2464" s="60"/>
      <c r="BMR2464" s="60"/>
      <c r="BMS2464" s="63"/>
      <c r="BMT2464" s="61"/>
      <c r="BMU2464" s="54"/>
      <c r="BMV2464" s="54"/>
      <c r="BMW2464" s="60"/>
      <c r="BMX2464" s="60"/>
      <c r="BMY2464" s="60"/>
      <c r="BMZ2464" s="60"/>
      <c r="BNA2464" s="63"/>
      <c r="BNB2464" s="61"/>
      <c r="BNC2464" s="54"/>
      <c r="BND2464" s="54"/>
      <c r="BNE2464" s="60"/>
      <c r="BNF2464" s="60"/>
      <c r="BNG2464" s="60"/>
      <c r="BNH2464" s="60"/>
      <c r="BNI2464" s="63"/>
      <c r="BNJ2464" s="61"/>
      <c r="BNK2464" s="54"/>
      <c r="BNL2464" s="54"/>
      <c r="BNM2464" s="60"/>
      <c r="BNN2464" s="60"/>
      <c r="BNO2464" s="60"/>
      <c r="BNP2464" s="60"/>
      <c r="BNQ2464" s="63"/>
      <c r="BNR2464" s="61"/>
      <c r="BNS2464" s="54"/>
      <c r="BNT2464" s="54"/>
      <c r="BNU2464" s="60"/>
      <c r="BNV2464" s="60"/>
      <c r="BNW2464" s="60"/>
      <c r="BNX2464" s="60"/>
      <c r="BNY2464" s="63"/>
      <c r="BNZ2464" s="61"/>
      <c r="BOA2464" s="54"/>
      <c r="BOB2464" s="54"/>
      <c r="BOC2464" s="60"/>
      <c r="BOD2464" s="60"/>
      <c r="BOE2464" s="60"/>
      <c r="BOF2464" s="60"/>
      <c r="BOG2464" s="63"/>
      <c r="BOH2464" s="61"/>
      <c r="BOI2464" s="54"/>
      <c r="BOJ2464" s="54"/>
      <c r="BOK2464" s="60"/>
      <c r="BOL2464" s="60"/>
      <c r="BOM2464" s="60"/>
      <c r="BON2464" s="60"/>
      <c r="BOO2464" s="63"/>
      <c r="BOP2464" s="61"/>
      <c r="BOQ2464" s="54"/>
      <c r="BOR2464" s="54"/>
      <c r="BOS2464" s="60"/>
      <c r="BOT2464" s="60"/>
      <c r="BOU2464" s="60"/>
      <c r="BOV2464" s="60"/>
      <c r="BOW2464" s="63"/>
      <c r="BOX2464" s="61"/>
      <c r="BOY2464" s="54"/>
      <c r="BOZ2464" s="54"/>
      <c r="BPA2464" s="60"/>
      <c r="BPB2464" s="60"/>
      <c r="BPC2464" s="60"/>
      <c r="BPD2464" s="60"/>
      <c r="BPE2464" s="63"/>
      <c r="BPF2464" s="61"/>
      <c r="BPG2464" s="54"/>
      <c r="BPH2464" s="54"/>
      <c r="BPI2464" s="60"/>
      <c r="BPJ2464" s="60"/>
      <c r="BPK2464" s="60"/>
      <c r="BPL2464" s="60"/>
      <c r="BPM2464" s="63"/>
      <c r="BPN2464" s="61"/>
      <c r="BPO2464" s="54"/>
      <c r="BPP2464" s="54"/>
      <c r="BPQ2464" s="60"/>
      <c r="BPR2464" s="60"/>
      <c r="BPS2464" s="60"/>
      <c r="BPT2464" s="60"/>
      <c r="BPU2464" s="63"/>
      <c r="BPV2464" s="61"/>
      <c r="BPW2464" s="54"/>
      <c r="BPX2464" s="54"/>
      <c r="BPY2464" s="60"/>
      <c r="BPZ2464" s="60"/>
      <c r="BQA2464" s="60"/>
      <c r="BQB2464" s="60"/>
      <c r="BQC2464" s="63"/>
      <c r="BQD2464" s="61"/>
      <c r="BQE2464" s="54"/>
      <c r="BQF2464" s="54"/>
      <c r="BQG2464" s="60"/>
      <c r="BQH2464" s="60"/>
      <c r="BQI2464" s="60"/>
      <c r="BQJ2464" s="60"/>
      <c r="BQK2464" s="63"/>
      <c r="BQL2464" s="61"/>
      <c r="BQM2464" s="54"/>
      <c r="BQN2464" s="54"/>
      <c r="BQO2464" s="60"/>
      <c r="BQP2464" s="60"/>
      <c r="BQQ2464" s="60"/>
      <c r="BQR2464" s="60"/>
      <c r="BQS2464" s="63"/>
      <c r="BQT2464" s="61"/>
      <c r="BQU2464" s="54"/>
      <c r="BQV2464" s="54"/>
      <c r="BQW2464" s="60"/>
      <c r="BQX2464" s="60"/>
      <c r="BQY2464" s="60"/>
      <c r="BQZ2464" s="60"/>
      <c r="BRA2464" s="63"/>
      <c r="BRB2464" s="61"/>
      <c r="BRC2464" s="54"/>
      <c r="BRD2464" s="54"/>
      <c r="BRE2464" s="60"/>
      <c r="BRF2464" s="60"/>
      <c r="BRG2464" s="60"/>
      <c r="BRH2464" s="60"/>
      <c r="BRI2464" s="63"/>
      <c r="BRJ2464" s="61"/>
      <c r="BRK2464" s="54"/>
      <c r="BRL2464" s="54"/>
      <c r="BRM2464" s="60"/>
      <c r="BRN2464" s="60"/>
      <c r="BRO2464" s="60"/>
      <c r="BRP2464" s="60"/>
      <c r="BRQ2464" s="63"/>
      <c r="BRR2464" s="61"/>
      <c r="BRS2464" s="54"/>
      <c r="BRT2464" s="54"/>
      <c r="BRU2464" s="60"/>
      <c r="BRV2464" s="60"/>
      <c r="BRW2464" s="60"/>
      <c r="BRX2464" s="60"/>
      <c r="BRY2464" s="63"/>
      <c r="BRZ2464" s="61"/>
      <c r="BSA2464" s="54"/>
      <c r="BSB2464" s="54"/>
      <c r="BSC2464" s="60"/>
      <c r="BSD2464" s="60"/>
      <c r="BSE2464" s="60"/>
      <c r="BSF2464" s="60"/>
      <c r="BSG2464" s="63"/>
      <c r="BSH2464" s="61"/>
      <c r="BSI2464" s="54"/>
      <c r="BSJ2464" s="54"/>
      <c r="BSK2464" s="60"/>
      <c r="BSL2464" s="60"/>
      <c r="BSM2464" s="60"/>
      <c r="BSN2464" s="60"/>
      <c r="BSO2464" s="63"/>
      <c r="BSP2464" s="61"/>
      <c r="BSQ2464" s="54"/>
      <c r="BSR2464" s="54"/>
      <c r="BSS2464" s="60"/>
      <c r="BST2464" s="60"/>
      <c r="BSU2464" s="60"/>
      <c r="BSV2464" s="60"/>
      <c r="BSW2464" s="63"/>
      <c r="BSX2464" s="61"/>
      <c r="BSY2464" s="54"/>
      <c r="BSZ2464" s="54"/>
      <c r="BTA2464" s="60"/>
      <c r="BTB2464" s="60"/>
      <c r="BTC2464" s="60"/>
      <c r="BTD2464" s="60"/>
      <c r="BTE2464" s="63"/>
      <c r="BTF2464" s="61"/>
      <c r="BTG2464" s="54"/>
      <c r="BTH2464" s="54"/>
      <c r="BTI2464" s="60"/>
      <c r="BTJ2464" s="60"/>
      <c r="BTK2464" s="60"/>
      <c r="BTL2464" s="60"/>
      <c r="BTM2464" s="63"/>
      <c r="BTN2464" s="61"/>
      <c r="BTO2464" s="54"/>
      <c r="BTP2464" s="54"/>
      <c r="BTQ2464" s="60"/>
      <c r="BTR2464" s="60"/>
      <c r="BTS2464" s="60"/>
      <c r="BTT2464" s="60"/>
      <c r="BTU2464" s="63"/>
      <c r="BTV2464" s="61"/>
      <c r="BTW2464" s="54"/>
      <c r="BTX2464" s="54"/>
      <c r="BTY2464" s="60"/>
      <c r="BTZ2464" s="60"/>
      <c r="BUA2464" s="60"/>
      <c r="BUB2464" s="60"/>
      <c r="BUC2464" s="63"/>
      <c r="BUD2464" s="61"/>
      <c r="BUE2464" s="54"/>
      <c r="BUF2464" s="54"/>
      <c r="BUG2464" s="60"/>
      <c r="BUH2464" s="60"/>
      <c r="BUI2464" s="60"/>
      <c r="BUJ2464" s="60"/>
      <c r="BUK2464" s="63"/>
      <c r="BUL2464" s="61"/>
      <c r="BUM2464" s="54"/>
      <c r="BUN2464" s="54"/>
      <c r="BUO2464" s="60"/>
      <c r="BUP2464" s="60"/>
      <c r="BUQ2464" s="60"/>
      <c r="BUR2464" s="60"/>
      <c r="BUS2464" s="63"/>
      <c r="BUT2464" s="61"/>
      <c r="BUU2464" s="54"/>
      <c r="BUV2464" s="54"/>
      <c r="BUW2464" s="60"/>
      <c r="BUX2464" s="60"/>
      <c r="BUY2464" s="60"/>
      <c r="BUZ2464" s="60"/>
      <c r="BVA2464" s="63"/>
      <c r="BVB2464" s="61"/>
      <c r="BVC2464" s="54"/>
      <c r="BVD2464" s="54"/>
      <c r="BVE2464" s="60"/>
      <c r="BVF2464" s="60"/>
      <c r="BVG2464" s="60"/>
      <c r="BVH2464" s="60"/>
      <c r="BVI2464" s="63"/>
      <c r="BVJ2464" s="61"/>
      <c r="BVK2464" s="54"/>
      <c r="BVL2464" s="54"/>
      <c r="BVM2464" s="60"/>
      <c r="BVN2464" s="60"/>
      <c r="BVO2464" s="60"/>
      <c r="BVP2464" s="60"/>
      <c r="BVQ2464" s="63"/>
      <c r="BVR2464" s="61"/>
      <c r="BVS2464" s="54"/>
      <c r="BVT2464" s="54"/>
      <c r="BVU2464" s="60"/>
      <c r="BVV2464" s="60"/>
      <c r="BVW2464" s="60"/>
      <c r="BVX2464" s="60"/>
      <c r="BVY2464" s="63"/>
      <c r="BVZ2464" s="61"/>
      <c r="BWA2464" s="54"/>
      <c r="BWB2464" s="54"/>
      <c r="BWC2464" s="60"/>
      <c r="BWD2464" s="60"/>
      <c r="BWE2464" s="60"/>
      <c r="BWF2464" s="60"/>
      <c r="BWG2464" s="63"/>
      <c r="BWH2464" s="61"/>
      <c r="BWI2464" s="54"/>
      <c r="BWJ2464" s="54"/>
      <c r="BWK2464" s="60"/>
      <c r="BWL2464" s="60"/>
      <c r="BWM2464" s="60"/>
      <c r="BWN2464" s="60"/>
      <c r="BWO2464" s="63"/>
      <c r="BWP2464" s="61"/>
      <c r="BWQ2464" s="54"/>
      <c r="BWR2464" s="54"/>
      <c r="BWS2464" s="60"/>
      <c r="BWT2464" s="60"/>
      <c r="BWU2464" s="60"/>
      <c r="BWV2464" s="60"/>
      <c r="BWW2464" s="63"/>
      <c r="BWX2464" s="61"/>
      <c r="BWY2464" s="54"/>
      <c r="BWZ2464" s="54"/>
      <c r="BXA2464" s="60"/>
      <c r="BXB2464" s="60"/>
      <c r="BXC2464" s="60"/>
      <c r="BXD2464" s="60"/>
      <c r="BXE2464" s="63"/>
      <c r="BXF2464" s="61"/>
      <c r="BXG2464" s="54"/>
      <c r="BXH2464" s="54"/>
      <c r="BXI2464" s="60"/>
      <c r="BXJ2464" s="60"/>
      <c r="BXK2464" s="60"/>
      <c r="BXL2464" s="60"/>
      <c r="BXM2464" s="63"/>
      <c r="BXN2464" s="61"/>
      <c r="BXO2464" s="54"/>
      <c r="BXP2464" s="54"/>
      <c r="BXQ2464" s="60"/>
      <c r="BXR2464" s="60"/>
      <c r="BXS2464" s="60"/>
      <c r="BXT2464" s="60"/>
      <c r="BXU2464" s="63"/>
      <c r="BXV2464" s="61"/>
      <c r="BXW2464" s="54"/>
      <c r="BXX2464" s="54"/>
      <c r="BXY2464" s="60"/>
      <c r="BXZ2464" s="60"/>
      <c r="BYA2464" s="60"/>
      <c r="BYB2464" s="60"/>
      <c r="BYC2464" s="63"/>
      <c r="BYD2464" s="61"/>
      <c r="BYE2464" s="54"/>
      <c r="BYF2464" s="54"/>
      <c r="BYG2464" s="60"/>
      <c r="BYH2464" s="60"/>
      <c r="BYI2464" s="60"/>
      <c r="BYJ2464" s="60"/>
      <c r="BYK2464" s="63"/>
      <c r="BYL2464" s="61"/>
      <c r="BYM2464" s="54"/>
      <c r="BYN2464" s="54"/>
      <c r="BYO2464" s="60"/>
      <c r="BYP2464" s="60"/>
      <c r="BYQ2464" s="60"/>
      <c r="BYR2464" s="60"/>
      <c r="BYS2464" s="63"/>
      <c r="BYT2464" s="61"/>
      <c r="BYU2464" s="54"/>
      <c r="BYV2464" s="54"/>
      <c r="BYW2464" s="60"/>
      <c r="BYX2464" s="60"/>
      <c r="BYY2464" s="60"/>
      <c r="BYZ2464" s="60"/>
      <c r="BZA2464" s="63"/>
      <c r="BZB2464" s="61"/>
      <c r="BZC2464" s="54"/>
      <c r="BZD2464" s="54"/>
      <c r="BZE2464" s="60"/>
      <c r="BZF2464" s="60"/>
      <c r="BZG2464" s="60"/>
      <c r="BZH2464" s="60"/>
      <c r="BZI2464" s="63"/>
      <c r="BZJ2464" s="61"/>
      <c r="BZK2464" s="54"/>
      <c r="BZL2464" s="54"/>
      <c r="BZM2464" s="60"/>
      <c r="BZN2464" s="60"/>
      <c r="BZO2464" s="60"/>
      <c r="BZP2464" s="60"/>
      <c r="BZQ2464" s="63"/>
      <c r="BZR2464" s="61"/>
      <c r="BZS2464" s="54"/>
      <c r="BZT2464" s="54"/>
      <c r="BZU2464" s="60"/>
      <c r="BZV2464" s="60"/>
      <c r="BZW2464" s="60"/>
      <c r="BZX2464" s="60"/>
      <c r="BZY2464" s="63"/>
      <c r="BZZ2464" s="61"/>
      <c r="CAA2464" s="54"/>
      <c r="CAB2464" s="54"/>
      <c r="CAC2464" s="60"/>
      <c r="CAD2464" s="60"/>
      <c r="CAE2464" s="60"/>
      <c r="CAF2464" s="60"/>
      <c r="CAG2464" s="63"/>
      <c r="CAH2464" s="61"/>
      <c r="CAI2464" s="54"/>
      <c r="CAJ2464" s="54"/>
      <c r="CAK2464" s="60"/>
      <c r="CAL2464" s="60"/>
      <c r="CAM2464" s="60"/>
      <c r="CAN2464" s="60"/>
      <c r="CAO2464" s="63"/>
      <c r="CAP2464" s="61"/>
      <c r="CAQ2464" s="54"/>
      <c r="CAR2464" s="54"/>
      <c r="CAS2464" s="60"/>
      <c r="CAT2464" s="60"/>
      <c r="CAU2464" s="60"/>
      <c r="CAV2464" s="60"/>
      <c r="CAW2464" s="63"/>
      <c r="CAX2464" s="61"/>
      <c r="CAY2464" s="54"/>
      <c r="CAZ2464" s="54"/>
      <c r="CBA2464" s="60"/>
      <c r="CBB2464" s="60"/>
      <c r="CBC2464" s="60"/>
      <c r="CBD2464" s="60"/>
      <c r="CBE2464" s="63"/>
      <c r="CBF2464" s="61"/>
      <c r="CBG2464" s="54"/>
      <c r="CBH2464" s="54"/>
      <c r="CBI2464" s="60"/>
      <c r="CBJ2464" s="60"/>
      <c r="CBK2464" s="60"/>
      <c r="CBL2464" s="60"/>
      <c r="CBM2464" s="63"/>
      <c r="CBN2464" s="61"/>
      <c r="CBO2464" s="54"/>
      <c r="CBP2464" s="54"/>
      <c r="CBQ2464" s="60"/>
      <c r="CBR2464" s="60"/>
      <c r="CBS2464" s="60"/>
      <c r="CBT2464" s="60"/>
      <c r="CBU2464" s="63"/>
      <c r="CBV2464" s="61"/>
      <c r="CBW2464" s="54"/>
      <c r="CBX2464" s="54"/>
      <c r="CBY2464" s="60"/>
      <c r="CBZ2464" s="60"/>
      <c r="CCA2464" s="60"/>
      <c r="CCB2464" s="60"/>
      <c r="CCC2464" s="63"/>
      <c r="CCD2464" s="61"/>
      <c r="CCE2464" s="54"/>
      <c r="CCF2464" s="54"/>
      <c r="CCG2464" s="60"/>
      <c r="CCH2464" s="60"/>
      <c r="CCI2464" s="60"/>
      <c r="CCJ2464" s="60"/>
      <c r="CCK2464" s="63"/>
      <c r="CCL2464" s="61"/>
      <c r="CCM2464" s="54"/>
      <c r="CCN2464" s="54"/>
      <c r="CCO2464" s="60"/>
      <c r="CCP2464" s="60"/>
      <c r="CCQ2464" s="60"/>
      <c r="CCR2464" s="60"/>
      <c r="CCS2464" s="63"/>
      <c r="CCT2464" s="61"/>
      <c r="CCU2464" s="54"/>
      <c r="CCV2464" s="54"/>
      <c r="CCW2464" s="60"/>
      <c r="CCX2464" s="60"/>
      <c r="CCY2464" s="60"/>
      <c r="CCZ2464" s="60"/>
      <c r="CDA2464" s="63"/>
      <c r="CDB2464" s="61"/>
      <c r="CDC2464" s="54"/>
      <c r="CDD2464" s="54"/>
      <c r="CDE2464" s="60"/>
      <c r="CDF2464" s="60"/>
      <c r="CDG2464" s="60"/>
      <c r="CDH2464" s="60"/>
      <c r="CDI2464" s="63"/>
      <c r="CDJ2464" s="61"/>
      <c r="CDK2464" s="54"/>
      <c r="CDL2464" s="54"/>
      <c r="CDM2464" s="60"/>
      <c r="CDN2464" s="60"/>
      <c r="CDO2464" s="60"/>
      <c r="CDP2464" s="60"/>
      <c r="CDQ2464" s="63"/>
      <c r="CDR2464" s="61"/>
      <c r="CDS2464" s="54"/>
      <c r="CDT2464" s="54"/>
      <c r="CDU2464" s="60"/>
      <c r="CDV2464" s="60"/>
      <c r="CDW2464" s="60"/>
      <c r="CDX2464" s="60"/>
      <c r="CDY2464" s="63"/>
      <c r="CDZ2464" s="61"/>
      <c r="CEA2464" s="54"/>
      <c r="CEB2464" s="54"/>
      <c r="CEC2464" s="60"/>
      <c r="CED2464" s="60"/>
      <c r="CEE2464" s="60"/>
      <c r="CEF2464" s="60"/>
      <c r="CEG2464" s="63"/>
      <c r="CEH2464" s="61"/>
      <c r="CEI2464" s="54"/>
      <c r="CEJ2464" s="54"/>
      <c r="CEK2464" s="60"/>
      <c r="CEL2464" s="60"/>
      <c r="CEM2464" s="60"/>
      <c r="CEN2464" s="60"/>
      <c r="CEO2464" s="63"/>
      <c r="CEP2464" s="61"/>
      <c r="CEQ2464" s="54"/>
      <c r="CER2464" s="54"/>
      <c r="CES2464" s="60"/>
      <c r="CET2464" s="60"/>
      <c r="CEU2464" s="60"/>
      <c r="CEV2464" s="60"/>
      <c r="CEW2464" s="63"/>
      <c r="CEX2464" s="61"/>
      <c r="CEY2464" s="54"/>
      <c r="CEZ2464" s="54"/>
      <c r="CFA2464" s="60"/>
      <c r="CFB2464" s="60"/>
      <c r="CFC2464" s="60"/>
      <c r="CFD2464" s="60"/>
      <c r="CFE2464" s="63"/>
      <c r="CFF2464" s="61"/>
      <c r="CFG2464" s="54"/>
      <c r="CFH2464" s="54"/>
      <c r="CFI2464" s="60"/>
      <c r="CFJ2464" s="60"/>
      <c r="CFK2464" s="60"/>
      <c r="CFL2464" s="60"/>
      <c r="CFM2464" s="63"/>
      <c r="CFN2464" s="61"/>
      <c r="CFO2464" s="54"/>
      <c r="CFP2464" s="54"/>
      <c r="CFQ2464" s="60"/>
      <c r="CFR2464" s="60"/>
      <c r="CFS2464" s="60"/>
      <c r="CFT2464" s="60"/>
      <c r="CFU2464" s="63"/>
      <c r="CFV2464" s="61"/>
      <c r="CFW2464" s="54"/>
      <c r="CFX2464" s="54"/>
      <c r="CFY2464" s="60"/>
      <c r="CFZ2464" s="60"/>
      <c r="CGA2464" s="60"/>
      <c r="CGB2464" s="60"/>
      <c r="CGC2464" s="63"/>
      <c r="CGD2464" s="61"/>
      <c r="CGE2464" s="54"/>
      <c r="CGF2464" s="54"/>
      <c r="CGG2464" s="60"/>
      <c r="CGH2464" s="60"/>
      <c r="CGI2464" s="60"/>
      <c r="CGJ2464" s="60"/>
      <c r="CGK2464" s="63"/>
      <c r="CGL2464" s="61"/>
      <c r="CGM2464" s="54"/>
      <c r="CGN2464" s="54"/>
      <c r="CGO2464" s="60"/>
      <c r="CGP2464" s="60"/>
      <c r="CGQ2464" s="60"/>
      <c r="CGR2464" s="60"/>
      <c r="CGS2464" s="63"/>
      <c r="CGT2464" s="61"/>
      <c r="CGU2464" s="54"/>
      <c r="CGV2464" s="54"/>
      <c r="CGW2464" s="60"/>
      <c r="CGX2464" s="60"/>
      <c r="CGY2464" s="60"/>
      <c r="CGZ2464" s="60"/>
      <c r="CHA2464" s="63"/>
      <c r="CHB2464" s="61"/>
      <c r="CHC2464" s="54"/>
      <c r="CHD2464" s="54"/>
      <c r="CHE2464" s="60"/>
      <c r="CHF2464" s="60"/>
      <c r="CHG2464" s="60"/>
      <c r="CHH2464" s="60"/>
      <c r="CHI2464" s="63"/>
      <c r="CHJ2464" s="61"/>
      <c r="CHK2464" s="54"/>
      <c r="CHL2464" s="54"/>
      <c r="CHM2464" s="60"/>
      <c r="CHN2464" s="60"/>
      <c r="CHO2464" s="60"/>
      <c r="CHP2464" s="60"/>
      <c r="CHQ2464" s="63"/>
      <c r="CHR2464" s="61"/>
      <c r="CHS2464" s="54"/>
      <c r="CHT2464" s="54"/>
      <c r="CHU2464" s="60"/>
      <c r="CHV2464" s="60"/>
      <c r="CHW2464" s="60"/>
      <c r="CHX2464" s="60"/>
      <c r="CHY2464" s="63"/>
      <c r="CHZ2464" s="61"/>
      <c r="CIA2464" s="54"/>
      <c r="CIB2464" s="54"/>
      <c r="CIC2464" s="60"/>
      <c r="CID2464" s="60"/>
      <c r="CIE2464" s="60"/>
      <c r="CIF2464" s="60"/>
      <c r="CIG2464" s="63"/>
      <c r="CIH2464" s="61"/>
      <c r="CII2464" s="54"/>
      <c r="CIJ2464" s="54"/>
      <c r="CIK2464" s="60"/>
      <c r="CIL2464" s="60"/>
      <c r="CIM2464" s="60"/>
      <c r="CIN2464" s="60"/>
      <c r="CIO2464" s="63"/>
      <c r="CIP2464" s="61"/>
      <c r="CIQ2464" s="54"/>
      <c r="CIR2464" s="54"/>
      <c r="CIS2464" s="60"/>
      <c r="CIT2464" s="60"/>
      <c r="CIU2464" s="60"/>
      <c r="CIV2464" s="60"/>
      <c r="CIW2464" s="63"/>
      <c r="CIX2464" s="61"/>
      <c r="CIY2464" s="54"/>
      <c r="CIZ2464" s="54"/>
      <c r="CJA2464" s="60"/>
      <c r="CJB2464" s="60"/>
      <c r="CJC2464" s="60"/>
      <c r="CJD2464" s="60"/>
      <c r="CJE2464" s="63"/>
      <c r="CJF2464" s="61"/>
      <c r="CJG2464" s="54"/>
      <c r="CJH2464" s="54"/>
      <c r="CJI2464" s="60"/>
      <c r="CJJ2464" s="60"/>
      <c r="CJK2464" s="60"/>
      <c r="CJL2464" s="60"/>
      <c r="CJM2464" s="63"/>
      <c r="CJN2464" s="61"/>
      <c r="CJO2464" s="54"/>
      <c r="CJP2464" s="54"/>
      <c r="CJQ2464" s="60"/>
      <c r="CJR2464" s="60"/>
      <c r="CJS2464" s="60"/>
      <c r="CJT2464" s="60"/>
      <c r="CJU2464" s="63"/>
      <c r="CJV2464" s="61"/>
      <c r="CJW2464" s="54"/>
      <c r="CJX2464" s="54"/>
      <c r="CJY2464" s="60"/>
      <c r="CJZ2464" s="60"/>
      <c r="CKA2464" s="60"/>
      <c r="CKB2464" s="60"/>
      <c r="CKC2464" s="63"/>
      <c r="CKD2464" s="61"/>
      <c r="CKE2464" s="54"/>
      <c r="CKF2464" s="54"/>
      <c r="CKG2464" s="60"/>
      <c r="CKH2464" s="60"/>
      <c r="CKI2464" s="60"/>
      <c r="CKJ2464" s="60"/>
      <c r="CKK2464" s="63"/>
      <c r="CKL2464" s="61"/>
      <c r="CKM2464" s="54"/>
      <c r="CKN2464" s="54"/>
      <c r="CKO2464" s="60"/>
      <c r="CKP2464" s="60"/>
      <c r="CKQ2464" s="60"/>
      <c r="CKR2464" s="60"/>
      <c r="CKS2464" s="63"/>
      <c r="CKT2464" s="61"/>
      <c r="CKU2464" s="54"/>
      <c r="CKV2464" s="54"/>
      <c r="CKW2464" s="60"/>
      <c r="CKX2464" s="60"/>
      <c r="CKY2464" s="60"/>
      <c r="CKZ2464" s="60"/>
      <c r="CLA2464" s="63"/>
      <c r="CLB2464" s="61"/>
      <c r="CLC2464" s="54"/>
      <c r="CLD2464" s="54"/>
      <c r="CLE2464" s="60"/>
      <c r="CLF2464" s="60"/>
      <c r="CLG2464" s="60"/>
      <c r="CLH2464" s="60"/>
      <c r="CLI2464" s="63"/>
      <c r="CLJ2464" s="61"/>
      <c r="CLK2464" s="54"/>
      <c r="CLL2464" s="54"/>
      <c r="CLM2464" s="60"/>
      <c r="CLN2464" s="60"/>
      <c r="CLO2464" s="60"/>
      <c r="CLP2464" s="60"/>
      <c r="CLQ2464" s="63"/>
      <c r="CLR2464" s="61"/>
      <c r="CLS2464" s="54"/>
      <c r="CLT2464" s="54"/>
      <c r="CLU2464" s="60"/>
      <c r="CLV2464" s="60"/>
      <c r="CLW2464" s="60"/>
      <c r="CLX2464" s="60"/>
      <c r="CLY2464" s="63"/>
      <c r="CLZ2464" s="61"/>
      <c r="CMA2464" s="54"/>
      <c r="CMB2464" s="54"/>
      <c r="CMC2464" s="60"/>
      <c r="CMD2464" s="60"/>
      <c r="CME2464" s="60"/>
      <c r="CMF2464" s="60"/>
      <c r="CMG2464" s="63"/>
      <c r="CMH2464" s="61"/>
      <c r="CMI2464" s="54"/>
      <c r="CMJ2464" s="54"/>
      <c r="CMK2464" s="60"/>
      <c r="CML2464" s="60"/>
      <c r="CMM2464" s="60"/>
      <c r="CMN2464" s="60"/>
      <c r="CMO2464" s="63"/>
      <c r="CMP2464" s="61"/>
      <c r="CMQ2464" s="54"/>
      <c r="CMR2464" s="54"/>
      <c r="CMS2464" s="60"/>
      <c r="CMT2464" s="60"/>
      <c r="CMU2464" s="60"/>
      <c r="CMV2464" s="60"/>
      <c r="CMW2464" s="63"/>
      <c r="CMX2464" s="61"/>
      <c r="CMY2464" s="54"/>
      <c r="CMZ2464" s="54"/>
      <c r="CNA2464" s="60"/>
      <c r="CNB2464" s="60"/>
      <c r="CNC2464" s="60"/>
      <c r="CND2464" s="60"/>
      <c r="CNE2464" s="63"/>
      <c r="CNF2464" s="61"/>
      <c r="CNG2464" s="54"/>
      <c r="CNH2464" s="54"/>
      <c r="CNI2464" s="60"/>
      <c r="CNJ2464" s="60"/>
      <c r="CNK2464" s="60"/>
      <c r="CNL2464" s="60"/>
      <c r="CNM2464" s="63"/>
      <c r="CNN2464" s="61"/>
      <c r="CNO2464" s="54"/>
      <c r="CNP2464" s="54"/>
      <c r="CNQ2464" s="60"/>
      <c r="CNR2464" s="60"/>
      <c r="CNS2464" s="60"/>
      <c r="CNT2464" s="60"/>
      <c r="CNU2464" s="63"/>
      <c r="CNV2464" s="61"/>
      <c r="CNW2464" s="54"/>
      <c r="CNX2464" s="54"/>
      <c r="CNY2464" s="60"/>
      <c r="CNZ2464" s="60"/>
      <c r="COA2464" s="60"/>
      <c r="COB2464" s="60"/>
      <c r="COC2464" s="63"/>
      <c r="COD2464" s="61"/>
      <c r="COE2464" s="54"/>
      <c r="COF2464" s="54"/>
      <c r="COG2464" s="60"/>
      <c r="COH2464" s="60"/>
      <c r="COI2464" s="60"/>
      <c r="COJ2464" s="60"/>
      <c r="COK2464" s="63"/>
      <c r="COL2464" s="61"/>
      <c r="COM2464" s="54"/>
      <c r="CON2464" s="54"/>
      <c r="COO2464" s="60"/>
      <c r="COP2464" s="60"/>
      <c r="COQ2464" s="60"/>
      <c r="COR2464" s="60"/>
      <c r="COS2464" s="63"/>
      <c r="COT2464" s="61"/>
      <c r="COU2464" s="54"/>
      <c r="COV2464" s="54"/>
      <c r="COW2464" s="60"/>
      <c r="COX2464" s="60"/>
      <c r="COY2464" s="60"/>
      <c r="COZ2464" s="60"/>
      <c r="CPA2464" s="63"/>
      <c r="CPB2464" s="61"/>
      <c r="CPC2464" s="54"/>
      <c r="CPD2464" s="54"/>
      <c r="CPE2464" s="60"/>
      <c r="CPF2464" s="60"/>
      <c r="CPG2464" s="60"/>
      <c r="CPH2464" s="60"/>
      <c r="CPI2464" s="63"/>
      <c r="CPJ2464" s="61"/>
      <c r="CPK2464" s="54"/>
      <c r="CPL2464" s="54"/>
      <c r="CPM2464" s="60"/>
      <c r="CPN2464" s="60"/>
      <c r="CPO2464" s="60"/>
      <c r="CPP2464" s="60"/>
      <c r="CPQ2464" s="63"/>
      <c r="CPR2464" s="61"/>
      <c r="CPS2464" s="54"/>
      <c r="CPT2464" s="54"/>
      <c r="CPU2464" s="60"/>
      <c r="CPV2464" s="60"/>
      <c r="CPW2464" s="60"/>
      <c r="CPX2464" s="60"/>
      <c r="CPY2464" s="63"/>
      <c r="CPZ2464" s="61"/>
      <c r="CQA2464" s="54"/>
      <c r="CQB2464" s="54"/>
      <c r="CQC2464" s="60"/>
      <c r="CQD2464" s="60"/>
      <c r="CQE2464" s="60"/>
      <c r="CQF2464" s="60"/>
      <c r="CQG2464" s="63"/>
      <c r="CQH2464" s="61"/>
      <c r="CQI2464" s="54"/>
      <c r="CQJ2464" s="54"/>
      <c r="CQK2464" s="60"/>
      <c r="CQL2464" s="60"/>
      <c r="CQM2464" s="60"/>
      <c r="CQN2464" s="60"/>
      <c r="CQO2464" s="63"/>
      <c r="CQP2464" s="61"/>
      <c r="CQQ2464" s="54"/>
      <c r="CQR2464" s="54"/>
      <c r="CQS2464" s="60"/>
      <c r="CQT2464" s="60"/>
      <c r="CQU2464" s="60"/>
      <c r="CQV2464" s="60"/>
      <c r="CQW2464" s="63"/>
      <c r="CQX2464" s="61"/>
      <c r="CQY2464" s="54"/>
      <c r="CQZ2464" s="54"/>
      <c r="CRA2464" s="60"/>
      <c r="CRB2464" s="60"/>
      <c r="CRC2464" s="60"/>
      <c r="CRD2464" s="60"/>
      <c r="CRE2464" s="63"/>
      <c r="CRF2464" s="61"/>
      <c r="CRG2464" s="54"/>
      <c r="CRH2464" s="54"/>
      <c r="CRI2464" s="60"/>
      <c r="CRJ2464" s="60"/>
      <c r="CRK2464" s="60"/>
      <c r="CRL2464" s="60"/>
      <c r="CRM2464" s="63"/>
      <c r="CRN2464" s="61"/>
      <c r="CRO2464" s="54"/>
      <c r="CRP2464" s="54"/>
      <c r="CRQ2464" s="60"/>
      <c r="CRR2464" s="60"/>
      <c r="CRS2464" s="60"/>
      <c r="CRT2464" s="60"/>
      <c r="CRU2464" s="63"/>
      <c r="CRV2464" s="61"/>
      <c r="CRW2464" s="54"/>
      <c r="CRX2464" s="54"/>
      <c r="CRY2464" s="60"/>
      <c r="CRZ2464" s="60"/>
      <c r="CSA2464" s="60"/>
      <c r="CSB2464" s="60"/>
      <c r="CSC2464" s="63"/>
      <c r="CSD2464" s="61"/>
      <c r="CSE2464" s="54"/>
      <c r="CSF2464" s="54"/>
      <c r="CSG2464" s="60"/>
      <c r="CSH2464" s="60"/>
      <c r="CSI2464" s="60"/>
      <c r="CSJ2464" s="60"/>
      <c r="CSK2464" s="63"/>
      <c r="CSL2464" s="61"/>
      <c r="CSM2464" s="54"/>
      <c r="CSN2464" s="54"/>
      <c r="CSO2464" s="60"/>
      <c r="CSP2464" s="60"/>
      <c r="CSQ2464" s="60"/>
      <c r="CSR2464" s="60"/>
      <c r="CSS2464" s="63"/>
      <c r="CST2464" s="61"/>
      <c r="CSU2464" s="54"/>
      <c r="CSV2464" s="54"/>
      <c r="CSW2464" s="60"/>
      <c r="CSX2464" s="60"/>
      <c r="CSY2464" s="60"/>
      <c r="CSZ2464" s="60"/>
      <c r="CTA2464" s="63"/>
      <c r="CTB2464" s="61"/>
      <c r="CTC2464" s="54"/>
      <c r="CTD2464" s="54"/>
      <c r="CTE2464" s="60"/>
      <c r="CTF2464" s="60"/>
      <c r="CTG2464" s="60"/>
      <c r="CTH2464" s="60"/>
      <c r="CTI2464" s="63"/>
      <c r="CTJ2464" s="61"/>
      <c r="CTK2464" s="54"/>
      <c r="CTL2464" s="54"/>
      <c r="CTM2464" s="60"/>
      <c r="CTN2464" s="60"/>
      <c r="CTO2464" s="60"/>
      <c r="CTP2464" s="60"/>
      <c r="CTQ2464" s="63"/>
      <c r="CTR2464" s="61"/>
      <c r="CTS2464" s="54"/>
      <c r="CTT2464" s="54"/>
      <c r="CTU2464" s="60"/>
      <c r="CTV2464" s="60"/>
      <c r="CTW2464" s="60"/>
      <c r="CTX2464" s="60"/>
      <c r="CTY2464" s="63"/>
      <c r="CTZ2464" s="61"/>
      <c r="CUA2464" s="54"/>
      <c r="CUB2464" s="54"/>
      <c r="CUC2464" s="60"/>
      <c r="CUD2464" s="60"/>
      <c r="CUE2464" s="60"/>
      <c r="CUF2464" s="60"/>
      <c r="CUG2464" s="63"/>
      <c r="CUH2464" s="61"/>
      <c r="CUI2464" s="54"/>
      <c r="CUJ2464" s="54"/>
      <c r="CUK2464" s="60"/>
      <c r="CUL2464" s="60"/>
      <c r="CUM2464" s="60"/>
      <c r="CUN2464" s="60"/>
      <c r="CUO2464" s="63"/>
      <c r="CUP2464" s="61"/>
      <c r="CUQ2464" s="54"/>
      <c r="CUR2464" s="54"/>
      <c r="CUS2464" s="60"/>
      <c r="CUT2464" s="60"/>
      <c r="CUU2464" s="60"/>
      <c r="CUV2464" s="60"/>
      <c r="CUW2464" s="63"/>
      <c r="CUX2464" s="61"/>
      <c r="CUY2464" s="54"/>
      <c r="CUZ2464" s="54"/>
      <c r="CVA2464" s="60"/>
      <c r="CVB2464" s="60"/>
      <c r="CVC2464" s="60"/>
      <c r="CVD2464" s="60"/>
      <c r="CVE2464" s="63"/>
      <c r="CVF2464" s="61"/>
      <c r="CVG2464" s="54"/>
      <c r="CVH2464" s="54"/>
      <c r="CVI2464" s="60"/>
      <c r="CVJ2464" s="60"/>
      <c r="CVK2464" s="60"/>
      <c r="CVL2464" s="60"/>
      <c r="CVM2464" s="63"/>
      <c r="CVN2464" s="61"/>
      <c r="CVO2464" s="54"/>
      <c r="CVP2464" s="54"/>
      <c r="CVQ2464" s="60"/>
      <c r="CVR2464" s="60"/>
      <c r="CVS2464" s="60"/>
      <c r="CVT2464" s="60"/>
      <c r="CVU2464" s="63"/>
      <c r="CVV2464" s="61"/>
      <c r="CVW2464" s="54"/>
      <c r="CVX2464" s="54"/>
      <c r="CVY2464" s="60"/>
      <c r="CVZ2464" s="60"/>
      <c r="CWA2464" s="60"/>
      <c r="CWB2464" s="60"/>
      <c r="CWC2464" s="63"/>
      <c r="CWD2464" s="61"/>
      <c r="CWE2464" s="54"/>
      <c r="CWF2464" s="54"/>
      <c r="CWG2464" s="60"/>
      <c r="CWH2464" s="60"/>
      <c r="CWI2464" s="60"/>
      <c r="CWJ2464" s="60"/>
      <c r="CWK2464" s="63"/>
      <c r="CWL2464" s="61"/>
      <c r="CWM2464" s="54"/>
      <c r="CWN2464" s="54"/>
      <c r="CWO2464" s="60"/>
      <c r="CWP2464" s="60"/>
      <c r="CWQ2464" s="60"/>
      <c r="CWR2464" s="60"/>
      <c r="CWS2464" s="63"/>
      <c r="CWT2464" s="61"/>
      <c r="CWU2464" s="54"/>
      <c r="CWV2464" s="54"/>
      <c r="CWW2464" s="60"/>
      <c r="CWX2464" s="60"/>
      <c r="CWY2464" s="60"/>
      <c r="CWZ2464" s="60"/>
      <c r="CXA2464" s="63"/>
      <c r="CXB2464" s="61"/>
      <c r="CXC2464" s="54"/>
      <c r="CXD2464" s="54"/>
      <c r="CXE2464" s="60"/>
      <c r="CXF2464" s="60"/>
      <c r="CXG2464" s="60"/>
      <c r="CXH2464" s="60"/>
      <c r="CXI2464" s="63"/>
      <c r="CXJ2464" s="61"/>
      <c r="CXK2464" s="54"/>
      <c r="CXL2464" s="54"/>
      <c r="CXM2464" s="60"/>
      <c r="CXN2464" s="60"/>
      <c r="CXO2464" s="60"/>
      <c r="CXP2464" s="60"/>
      <c r="CXQ2464" s="63"/>
      <c r="CXR2464" s="61"/>
      <c r="CXS2464" s="54"/>
      <c r="CXT2464" s="54"/>
      <c r="CXU2464" s="60"/>
      <c r="CXV2464" s="60"/>
      <c r="CXW2464" s="60"/>
      <c r="CXX2464" s="60"/>
      <c r="CXY2464" s="63"/>
      <c r="CXZ2464" s="61"/>
      <c r="CYA2464" s="54"/>
      <c r="CYB2464" s="54"/>
      <c r="CYC2464" s="60"/>
      <c r="CYD2464" s="60"/>
      <c r="CYE2464" s="60"/>
      <c r="CYF2464" s="60"/>
      <c r="CYG2464" s="63"/>
      <c r="CYH2464" s="61"/>
      <c r="CYI2464" s="54"/>
      <c r="CYJ2464" s="54"/>
      <c r="CYK2464" s="60"/>
      <c r="CYL2464" s="60"/>
      <c r="CYM2464" s="60"/>
      <c r="CYN2464" s="60"/>
      <c r="CYO2464" s="63"/>
      <c r="CYP2464" s="61"/>
      <c r="CYQ2464" s="54"/>
      <c r="CYR2464" s="54"/>
      <c r="CYS2464" s="60"/>
      <c r="CYT2464" s="60"/>
      <c r="CYU2464" s="60"/>
      <c r="CYV2464" s="60"/>
      <c r="CYW2464" s="63"/>
      <c r="CYX2464" s="61"/>
      <c r="CYY2464" s="54"/>
      <c r="CYZ2464" s="54"/>
      <c r="CZA2464" s="60"/>
      <c r="CZB2464" s="60"/>
      <c r="CZC2464" s="60"/>
      <c r="CZD2464" s="60"/>
      <c r="CZE2464" s="63"/>
      <c r="CZF2464" s="61"/>
      <c r="CZG2464" s="54"/>
      <c r="CZH2464" s="54"/>
      <c r="CZI2464" s="60"/>
      <c r="CZJ2464" s="60"/>
      <c r="CZK2464" s="60"/>
      <c r="CZL2464" s="60"/>
      <c r="CZM2464" s="63"/>
      <c r="CZN2464" s="61"/>
      <c r="CZO2464" s="54"/>
      <c r="CZP2464" s="54"/>
      <c r="CZQ2464" s="60"/>
      <c r="CZR2464" s="60"/>
      <c r="CZS2464" s="60"/>
      <c r="CZT2464" s="60"/>
      <c r="CZU2464" s="63"/>
      <c r="CZV2464" s="61"/>
      <c r="CZW2464" s="54"/>
      <c r="CZX2464" s="54"/>
      <c r="CZY2464" s="60"/>
      <c r="CZZ2464" s="60"/>
      <c r="DAA2464" s="60"/>
      <c r="DAB2464" s="60"/>
      <c r="DAC2464" s="63"/>
      <c r="DAD2464" s="61"/>
      <c r="DAE2464" s="54"/>
      <c r="DAF2464" s="54"/>
      <c r="DAG2464" s="60"/>
      <c r="DAH2464" s="60"/>
      <c r="DAI2464" s="60"/>
      <c r="DAJ2464" s="60"/>
      <c r="DAK2464" s="63"/>
      <c r="DAL2464" s="61"/>
      <c r="DAM2464" s="54"/>
      <c r="DAN2464" s="54"/>
      <c r="DAO2464" s="60"/>
      <c r="DAP2464" s="60"/>
      <c r="DAQ2464" s="60"/>
      <c r="DAR2464" s="60"/>
      <c r="DAS2464" s="63"/>
      <c r="DAT2464" s="61"/>
      <c r="DAU2464" s="54"/>
      <c r="DAV2464" s="54"/>
      <c r="DAW2464" s="60"/>
      <c r="DAX2464" s="60"/>
      <c r="DAY2464" s="60"/>
      <c r="DAZ2464" s="60"/>
      <c r="DBA2464" s="63"/>
      <c r="DBB2464" s="61"/>
      <c r="DBC2464" s="54"/>
      <c r="DBD2464" s="54"/>
      <c r="DBE2464" s="60"/>
      <c r="DBF2464" s="60"/>
      <c r="DBG2464" s="60"/>
      <c r="DBH2464" s="60"/>
      <c r="DBI2464" s="63"/>
      <c r="DBJ2464" s="61"/>
      <c r="DBK2464" s="54"/>
      <c r="DBL2464" s="54"/>
      <c r="DBM2464" s="60"/>
      <c r="DBN2464" s="60"/>
      <c r="DBO2464" s="60"/>
      <c r="DBP2464" s="60"/>
      <c r="DBQ2464" s="63"/>
      <c r="DBR2464" s="61"/>
      <c r="DBS2464" s="54"/>
      <c r="DBT2464" s="54"/>
      <c r="DBU2464" s="60"/>
      <c r="DBV2464" s="60"/>
      <c r="DBW2464" s="60"/>
      <c r="DBX2464" s="60"/>
      <c r="DBY2464" s="63"/>
      <c r="DBZ2464" s="61"/>
      <c r="DCA2464" s="54"/>
      <c r="DCB2464" s="54"/>
      <c r="DCC2464" s="60"/>
      <c r="DCD2464" s="60"/>
      <c r="DCE2464" s="60"/>
      <c r="DCF2464" s="60"/>
      <c r="DCG2464" s="63"/>
      <c r="DCH2464" s="61"/>
      <c r="DCI2464" s="54"/>
      <c r="DCJ2464" s="54"/>
      <c r="DCK2464" s="60"/>
      <c r="DCL2464" s="60"/>
      <c r="DCM2464" s="60"/>
      <c r="DCN2464" s="60"/>
      <c r="DCO2464" s="63"/>
      <c r="DCP2464" s="61"/>
      <c r="DCQ2464" s="54"/>
      <c r="DCR2464" s="54"/>
      <c r="DCS2464" s="60"/>
      <c r="DCT2464" s="60"/>
      <c r="DCU2464" s="60"/>
      <c r="DCV2464" s="60"/>
      <c r="DCW2464" s="63"/>
      <c r="DCX2464" s="61"/>
      <c r="DCY2464" s="54"/>
      <c r="DCZ2464" s="54"/>
      <c r="DDA2464" s="60"/>
      <c r="DDB2464" s="60"/>
      <c r="DDC2464" s="60"/>
      <c r="DDD2464" s="60"/>
      <c r="DDE2464" s="63"/>
      <c r="DDF2464" s="61"/>
      <c r="DDG2464" s="54"/>
      <c r="DDH2464" s="54"/>
      <c r="DDI2464" s="60"/>
      <c r="DDJ2464" s="60"/>
      <c r="DDK2464" s="60"/>
      <c r="DDL2464" s="60"/>
      <c r="DDM2464" s="63"/>
      <c r="DDN2464" s="61"/>
      <c r="DDO2464" s="54"/>
      <c r="DDP2464" s="54"/>
      <c r="DDQ2464" s="60"/>
      <c r="DDR2464" s="60"/>
      <c r="DDS2464" s="60"/>
      <c r="DDT2464" s="60"/>
      <c r="DDU2464" s="63"/>
      <c r="DDV2464" s="61"/>
      <c r="DDW2464" s="54"/>
      <c r="DDX2464" s="54"/>
      <c r="DDY2464" s="60"/>
      <c r="DDZ2464" s="60"/>
      <c r="DEA2464" s="60"/>
      <c r="DEB2464" s="60"/>
      <c r="DEC2464" s="63"/>
      <c r="DED2464" s="61"/>
      <c r="DEE2464" s="54"/>
      <c r="DEF2464" s="54"/>
      <c r="DEG2464" s="60"/>
      <c r="DEH2464" s="60"/>
      <c r="DEI2464" s="60"/>
      <c r="DEJ2464" s="60"/>
      <c r="DEK2464" s="63"/>
      <c r="DEL2464" s="61"/>
      <c r="DEM2464" s="54"/>
      <c r="DEN2464" s="54"/>
      <c r="DEO2464" s="60"/>
      <c r="DEP2464" s="60"/>
      <c r="DEQ2464" s="60"/>
      <c r="DER2464" s="60"/>
      <c r="DES2464" s="63"/>
      <c r="DET2464" s="61"/>
      <c r="DEU2464" s="54"/>
      <c r="DEV2464" s="54"/>
      <c r="DEW2464" s="60"/>
      <c r="DEX2464" s="60"/>
      <c r="DEY2464" s="60"/>
      <c r="DEZ2464" s="60"/>
      <c r="DFA2464" s="63"/>
      <c r="DFB2464" s="61"/>
      <c r="DFC2464" s="54"/>
      <c r="DFD2464" s="54"/>
      <c r="DFE2464" s="60"/>
      <c r="DFF2464" s="60"/>
      <c r="DFG2464" s="60"/>
      <c r="DFH2464" s="60"/>
      <c r="DFI2464" s="63"/>
      <c r="DFJ2464" s="61"/>
      <c r="DFK2464" s="54"/>
      <c r="DFL2464" s="54"/>
      <c r="DFM2464" s="60"/>
      <c r="DFN2464" s="60"/>
      <c r="DFO2464" s="60"/>
      <c r="DFP2464" s="60"/>
      <c r="DFQ2464" s="63"/>
      <c r="DFR2464" s="61"/>
      <c r="DFS2464" s="54"/>
      <c r="DFT2464" s="54"/>
      <c r="DFU2464" s="60"/>
      <c r="DFV2464" s="60"/>
      <c r="DFW2464" s="60"/>
      <c r="DFX2464" s="60"/>
      <c r="DFY2464" s="63"/>
      <c r="DFZ2464" s="61"/>
      <c r="DGA2464" s="54"/>
      <c r="DGB2464" s="54"/>
      <c r="DGC2464" s="60"/>
      <c r="DGD2464" s="60"/>
      <c r="DGE2464" s="60"/>
      <c r="DGF2464" s="60"/>
      <c r="DGG2464" s="63"/>
      <c r="DGH2464" s="61"/>
      <c r="DGI2464" s="54"/>
      <c r="DGJ2464" s="54"/>
      <c r="DGK2464" s="60"/>
      <c r="DGL2464" s="60"/>
      <c r="DGM2464" s="60"/>
      <c r="DGN2464" s="60"/>
      <c r="DGO2464" s="63"/>
      <c r="DGP2464" s="61"/>
      <c r="DGQ2464" s="54"/>
      <c r="DGR2464" s="54"/>
      <c r="DGS2464" s="60"/>
      <c r="DGT2464" s="60"/>
      <c r="DGU2464" s="60"/>
      <c r="DGV2464" s="60"/>
      <c r="DGW2464" s="63"/>
      <c r="DGX2464" s="61"/>
      <c r="DGY2464" s="54"/>
      <c r="DGZ2464" s="54"/>
      <c r="DHA2464" s="60"/>
      <c r="DHB2464" s="60"/>
      <c r="DHC2464" s="60"/>
      <c r="DHD2464" s="60"/>
      <c r="DHE2464" s="63"/>
      <c r="DHF2464" s="61"/>
      <c r="DHG2464" s="54"/>
      <c r="DHH2464" s="54"/>
      <c r="DHI2464" s="60"/>
      <c r="DHJ2464" s="60"/>
      <c r="DHK2464" s="60"/>
      <c r="DHL2464" s="60"/>
      <c r="DHM2464" s="63"/>
      <c r="DHN2464" s="61"/>
      <c r="DHO2464" s="54"/>
      <c r="DHP2464" s="54"/>
      <c r="DHQ2464" s="60"/>
      <c r="DHR2464" s="60"/>
      <c r="DHS2464" s="60"/>
      <c r="DHT2464" s="60"/>
      <c r="DHU2464" s="63"/>
      <c r="DHV2464" s="61"/>
      <c r="DHW2464" s="54"/>
      <c r="DHX2464" s="54"/>
      <c r="DHY2464" s="60"/>
      <c r="DHZ2464" s="60"/>
      <c r="DIA2464" s="60"/>
      <c r="DIB2464" s="60"/>
      <c r="DIC2464" s="63"/>
      <c r="DID2464" s="61"/>
      <c r="DIE2464" s="54"/>
      <c r="DIF2464" s="54"/>
      <c r="DIG2464" s="60"/>
      <c r="DIH2464" s="60"/>
      <c r="DII2464" s="60"/>
      <c r="DIJ2464" s="60"/>
      <c r="DIK2464" s="63"/>
      <c r="DIL2464" s="61"/>
      <c r="DIM2464" s="54"/>
      <c r="DIN2464" s="54"/>
      <c r="DIO2464" s="60"/>
      <c r="DIP2464" s="60"/>
      <c r="DIQ2464" s="60"/>
      <c r="DIR2464" s="60"/>
      <c r="DIS2464" s="63"/>
      <c r="DIT2464" s="61"/>
      <c r="DIU2464" s="54"/>
      <c r="DIV2464" s="54"/>
      <c r="DIW2464" s="60"/>
      <c r="DIX2464" s="60"/>
      <c r="DIY2464" s="60"/>
      <c r="DIZ2464" s="60"/>
      <c r="DJA2464" s="63"/>
      <c r="DJB2464" s="61"/>
      <c r="DJC2464" s="54"/>
      <c r="DJD2464" s="54"/>
      <c r="DJE2464" s="60"/>
      <c r="DJF2464" s="60"/>
      <c r="DJG2464" s="60"/>
      <c r="DJH2464" s="60"/>
      <c r="DJI2464" s="63"/>
      <c r="DJJ2464" s="61"/>
      <c r="DJK2464" s="54"/>
      <c r="DJL2464" s="54"/>
      <c r="DJM2464" s="60"/>
      <c r="DJN2464" s="60"/>
      <c r="DJO2464" s="60"/>
      <c r="DJP2464" s="60"/>
      <c r="DJQ2464" s="63"/>
      <c r="DJR2464" s="61"/>
      <c r="DJS2464" s="54"/>
      <c r="DJT2464" s="54"/>
      <c r="DJU2464" s="60"/>
      <c r="DJV2464" s="60"/>
      <c r="DJW2464" s="60"/>
      <c r="DJX2464" s="60"/>
      <c r="DJY2464" s="63"/>
      <c r="DJZ2464" s="61"/>
      <c r="DKA2464" s="54"/>
      <c r="DKB2464" s="54"/>
      <c r="DKC2464" s="60"/>
      <c r="DKD2464" s="60"/>
      <c r="DKE2464" s="60"/>
      <c r="DKF2464" s="60"/>
      <c r="DKG2464" s="63"/>
      <c r="DKH2464" s="61"/>
      <c r="DKI2464" s="54"/>
      <c r="DKJ2464" s="54"/>
      <c r="DKK2464" s="60"/>
      <c r="DKL2464" s="60"/>
      <c r="DKM2464" s="60"/>
      <c r="DKN2464" s="60"/>
      <c r="DKO2464" s="63"/>
      <c r="DKP2464" s="61"/>
      <c r="DKQ2464" s="54"/>
      <c r="DKR2464" s="54"/>
      <c r="DKS2464" s="60"/>
      <c r="DKT2464" s="60"/>
      <c r="DKU2464" s="60"/>
      <c r="DKV2464" s="60"/>
      <c r="DKW2464" s="63"/>
      <c r="DKX2464" s="61"/>
      <c r="DKY2464" s="54"/>
      <c r="DKZ2464" s="54"/>
      <c r="DLA2464" s="60"/>
      <c r="DLB2464" s="60"/>
      <c r="DLC2464" s="60"/>
      <c r="DLD2464" s="60"/>
      <c r="DLE2464" s="63"/>
      <c r="DLF2464" s="61"/>
      <c r="DLG2464" s="54"/>
      <c r="DLH2464" s="54"/>
      <c r="DLI2464" s="60"/>
      <c r="DLJ2464" s="60"/>
      <c r="DLK2464" s="60"/>
      <c r="DLL2464" s="60"/>
      <c r="DLM2464" s="63"/>
      <c r="DLN2464" s="61"/>
      <c r="DLO2464" s="54"/>
      <c r="DLP2464" s="54"/>
      <c r="DLQ2464" s="60"/>
      <c r="DLR2464" s="60"/>
      <c r="DLS2464" s="60"/>
      <c r="DLT2464" s="60"/>
      <c r="DLU2464" s="63"/>
      <c r="DLV2464" s="61"/>
      <c r="DLW2464" s="54"/>
      <c r="DLX2464" s="54"/>
      <c r="DLY2464" s="60"/>
      <c r="DLZ2464" s="60"/>
      <c r="DMA2464" s="60"/>
      <c r="DMB2464" s="60"/>
      <c r="DMC2464" s="63"/>
      <c r="DMD2464" s="61"/>
      <c r="DME2464" s="54"/>
      <c r="DMF2464" s="54"/>
      <c r="DMG2464" s="60"/>
      <c r="DMH2464" s="60"/>
      <c r="DMI2464" s="60"/>
      <c r="DMJ2464" s="60"/>
      <c r="DMK2464" s="63"/>
      <c r="DML2464" s="61"/>
      <c r="DMM2464" s="54"/>
      <c r="DMN2464" s="54"/>
      <c r="DMO2464" s="60"/>
      <c r="DMP2464" s="60"/>
      <c r="DMQ2464" s="60"/>
      <c r="DMR2464" s="60"/>
      <c r="DMS2464" s="63"/>
      <c r="DMT2464" s="61"/>
      <c r="DMU2464" s="54"/>
      <c r="DMV2464" s="54"/>
      <c r="DMW2464" s="60"/>
      <c r="DMX2464" s="60"/>
      <c r="DMY2464" s="60"/>
      <c r="DMZ2464" s="60"/>
      <c r="DNA2464" s="63"/>
      <c r="DNB2464" s="61"/>
      <c r="DNC2464" s="54"/>
      <c r="DND2464" s="54"/>
      <c r="DNE2464" s="60"/>
      <c r="DNF2464" s="60"/>
      <c r="DNG2464" s="60"/>
      <c r="DNH2464" s="60"/>
      <c r="DNI2464" s="63"/>
      <c r="DNJ2464" s="61"/>
      <c r="DNK2464" s="54"/>
      <c r="DNL2464" s="54"/>
      <c r="DNM2464" s="60"/>
      <c r="DNN2464" s="60"/>
      <c r="DNO2464" s="60"/>
      <c r="DNP2464" s="60"/>
      <c r="DNQ2464" s="63"/>
      <c r="DNR2464" s="61"/>
      <c r="DNS2464" s="54"/>
      <c r="DNT2464" s="54"/>
      <c r="DNU2464" s="60"/>
      <c r="DNV2464" s="60"/>
      <c r="DNW2464" s="60"/>
      <c r="DNX2464" s="60"/>
      <c r="DNY2464" s="63"/>
      <c r="DNZ2464" s="61"/>
      <c r="DOA2464" s="54"/>
      <c r="DOB2464" s="54"/>
      <c r="DOC2464" s="60"/>
      <c r="DOD2464" s="60"/>
      <c r="DOE2464" s="60"/>
      <c r="DOF2464" s="60"/>
      <c r="DOG2464" s="63"/>
      <c r="DOH2464" s="61"/>
      <c r="DOI2464" s="54"/>
      <c r="DOJ2464" s="54"/>
      <c r="DOK2464" s="60"/>
      <c r="DOL2464" s="60"/>
      <c r="DOM2464" s="60"/>
      <c r="DON2464" s="60"/>
      <c r="DOO2464" s="63"/>
      <c r="DOP2464" s="61"/>
      <c r="DOQ2464" s="54"/>
      <c r="DOR2464" s="54"/>
      <c r="DOS2464" s="60"/>
      <c r="DOT2464" s="60"/>
      <c r="DOU2464" s="60"/>
      <c r="DOV2464" s="60"/>
      <c r="DOW2464" s="63"/>
      <c r="DOX2464" s="61"/>
      <c r="DOY2464" s="54"/>
      <c r="DOZ2464" s="54"/>
      <c r="DPA2464" s="60"/>
      <c r="DPB2464" s="60"/>
      <c r="DPC2464" s="60"/>
      <c r="DPD2464" s="60"/>
      <c r="DPE2464" s="63"/>
      <c r="DPF2464" s="61"/>
      <c r="DPG2464" s="54"/>
      <c r="DPH2464" s="54"/>
      <c r="DPI2464" s="60"/>
      <c r="DPJ2464" s="60"/>
      <c r="DPK2464" s="60"/>
      <c r="DPL2464" s="60"/>
      <c r="DPM2464" s="63"/>
      <c r="DPN2464" s="61"/>
      <c r="DPO2464" s="54"/>
      <c r="DPP2464" s="54"/>
      <c r="DPQ2464" s="60"/>
      <c r="DPR2464" s="60"/>
      <c r="DPS2464" s="60"/>
      <c r="DPT2464" s="60"/>
      <c r="DPU2464" s="63"/>
      <c r="DPV2464" s="61"/>
      <c r="DPW2464" s="54"/>
      <c r="DPX2464" s="54"/>
      <c r="DPY2464" s="60"/>
      <c r="DPZ2464" s="60"/>
      <c r="DQA2464" s="60"/>
      <c r="DQB2464" s="60"/>
      <c r="DQC2464" s="63"/>
      <c r="DQD2464" s="61"/>
      <c r="DQE2464" s="54"/>
      <c r="DQF2464" s="54"/>
      <c r="DQG2464" s="60"/>
      <c r="DQH2464" s="60"/>
      <c r="DQI2464" s="60"/>
      <c r="DQJ2464" s="60"/>
      <c r="DQK2464" s="63"/>
      <c r="DQL2464" s="61"/>
      <c r="DQM2464" s="54"/>
      <c r="DQN2464" s="54"/>
      <c r="DQO2464" s="60"/>
      <c r="DQP2464" s="60"/>
      <c r="DQQ2464" s="60"/>
      <c r="DQR2464" s="60"/>
      <c r="DQS2464" s="63"/>
      <c r="DQT2464" s="61"/>
      <c r="DQU2464" s="54"/>
      <c r="DQV2464" s="54"/>
      <c r="DQW2464" s="60"/>
      <c r="DQX2464" s="60"/>
      <c r="DQY2464" s="60"/>
      <c r="DQZ2464" s="60"/>
      <c r="DRA2464" s="63"/>
      <c r="DRB2464" s="61"/>
      <c r="DRC2464" s="54"/>
      <c r="DRD2464" s="54"/>
      <c r="DRE2464" s="60"/>
      <c r="DRF2464" s="60"/>
      <c r="DRG2464" s="60"/>
      <c r="DRH2464" s="60"/>
      <c r="DRI2464" s="63"/>
      <c r="DRJ2464" s="61"/>
      <c r="DRK2464" s="54"/>
      <c r="DRL2464" s="54"/>
      <c r="DRM2464" s="60"/>
      <c r="DRN2464" s="60"/>
      <c r="DRO2464" s="60"/>
      <c r="DRP2464" s="60"/>
      <c r="DRQ2464" s="63"/>
      <c r="DRR2464" s="61"/>
      <c r="DRS2464" s="54"/>
      <c r="DRT2464" s="54"/>
      <c r="DRU2464" s="60"/>
      <c r="DRV2464" s="60"/>
      <c r="DRW2464" s="60"/>
      <c r="DRX2464" s="60"/>
      <c r="DRY2464" s="63"/>
      <c r="DRZ2464" s="61"/>
      <c r="DSA2464" s="54"/>
      <c r="DSB2464" s="54"/>
      <c r="DSC2464" s="60"/>
      <c r="DSD2464" s="60"/>
      <c r="DSE2464" s="60"/>
      <c r="DSF2464" s="60"/>
      <c r="DSG2464" s="63"/>
      <c r="DSH2464" s="61"/>
      <c r="DSI2464" s="54"/>
      <c r="DSJ2464" s="54"/>
      <c r="DSK2464" s="60"/>
      <c r="DSL2464" s="60"/>
      <c r="DSM2464" s="60"/>
      <c r="DSN2464" s="60"/>
      <c r="DSO2464" s="63"/>
      <c r="DSP2464" s="61"/>
      <c r="DSQ2464" s="54"/>
      <c r="DSR2464" s="54"/>
      <c r="DSS2464" s="60"/>
      <c r="DST2464" s="60"/>
      <c r="DSU2464" s="60"/>
      <c r="DSV2464" s="60"/>
      <c r="DSW2464" s="63"/>
      <c r="DSX2464" s="61"/>
      <c r="DSY2464" s="54"/>
      <c r="DSZ2464" s="54"/>
      <c r="DTA2464" s="60"/>
      <c r="DTB2464" s="60"/>
      <c r="DTC2464" s="60"/>
      <c r="DTD2464" s="60"/>
      <c r="DTE2464" s="63"/>
      <c r="DTF2464" s="61"/>
      <c r="DTG2464" s="54"/>
      <c r="DTH2464" s="54"/>
      <c r="DTI2464" s="60"/>
      <c r="DTJ2464" s="60"/>
      <c r="DTK2464" s="60"/>
      <c r="DTL2464" s="60"/>
      <c r="DTM2464" s="63"/>
      <c r="DTN2464" s="61"/>
      <c r="DTO2464" s="54"/>
      <c r="DTP2464" s="54"/>
      <c r="DTQ2464" s="60"/>
      <c r="DTR2464" s="60"/>
      <c r="DTS2464" s="60"/>
      <c r="DTT2464" s="60"/>
      <c r="DTU2464" s="63"/>
      <c r="DTV2464" s="61"/>
      <c r="DTW2464" s="54"/>
      <c r="DTX2464" s="54"/>
      <c r="DTY2464" s="60"/>
      <c r="DTZ2464" s="60"/>
      <c r="DUA2464" s="60"/>
      <c r="DUB2464" s="60"/>
      <c r="DUC2464" s="63"/>
      <c r="DUD2464" s="61"/>
      <c r="DUE2464" s="54"/>
      <c r="DUF2464" s="54"/>
      <c r="DUG2464" s="60"/>
      <c r="DUH2464" s="60"/>
      <c r="DUI2464" s="60"/>
      <c r="DUJ2464" s="60"/>
      <c r="DUK2464" s="63"/>
      <c r="DUL2464" s="61"/>
      <c r="DUM2464" s="54"/>
      <c r="DUN2464" s="54"/>
      <c r="DUO2464" s="60"/>
      <c r="DUP2464" s="60"/>
      <c r="DUQ2464" s="60"/>
      <c r="DUR2464" s="60"/>
      <c r="DUS2464" s="63"/>
      <c r="DUT2464" s="61"/>
      <c r="DUU2464" s="54"/>
      <c r="DUV2464" s="54"/>
      <c r="DUW2464" s="60"/>
      <c r="DUX2464" s="60"/>
      <c r="DUY2464" s="60"/>
      <c r="DUZ2464" s="60"/>
      <c r="DVA2464" s="63"/>
      <c r="DVB2464" s="61"/>
      <c r="DVC2464" s="54"/>
      <c r="DVD2464" s="54"/>
      <c r="DVE2464" s="60"/>
      <c r="DVF2464" s="60"/>
      <c r="DVG2464" s="60"/>
      <c r="DVH2464" s="60"/>
      <c r="DVI2464" s="63"/>
      <c r="DVJ2464" s="61"/>
      <c r="DVK2464" s="54"/>
      <c r="DVL2464" s="54"/>
      <c r="DVM2464" s="60"/>
      <c r="DVN2464" s="60"/>
      <c r="DVO2464" s="60"/>
      <c r="DVP2464" s="60"/>
      <c r="DVQ2464" s="63"/>
      <c r="DVR2464" s="61"/>
      <c r="DVS2464" s="54"/>
      <c r="DVT2464" s="54"/>
      <c r="DVU2464" s="60"/>
      <c r="DVV2464" s="60"/>
      <c r="DVW2464" s="60"/>
      <c r="DVX2464" s="60"/>
      <c r="DVY2464" s="63"/>
      <c r="DVZ2464" s="61"/>
      <c r="DWA2464" s="54"/>
      <c r="DWB2464" s="54"/>
      <c r="DWC2464" s="60"/>
      <c r="DWD2464" s="60"/>
      <c r="DWE2464" s="60"/>
      <c r="DWF2464" s="60"/>
      <c r="DWG2464" s="63"/>
      <c r="DWH2464" s="61"/>
      <c r="DWI2464" s="54"/>
      <c r="DWJ2464" s="54"/>
      <c r="DWK2464" s="60"/>
      <c r="DWL2464" s="60"/>
      <c r="DWM2464" s="60"/>
      <c r="DWN2464" s="60"/>
      <c r="DWO2464" s="63"/>
      <c r="DWP2464" s="61"/>
      <c r="DWQ2464" s="54"/>
      <c r="DWR2464" s="54"/>
      <c r="DWS2464" s="60"/>
      <c r="DWT2464" s="60"/>
      <c r="DWU2464" s="60"/>
      <c r="DWV2464" s="60"/>
      <c r="DWW2464" s="63"/>
      <c r="DWX2464" s="61"/>
      <c r="DWY2464" s="54"/>
      <c r="DWZ2464" s="54"/>
      <c r="DXA2464" s="60"/>
      <c r="DXB2464" s="60"/>
      <c r="DXC2464" s="60"/>
      <c r="DXD2464" s="60"/>
      <c r="DXE2464" s="63"/>
      <c r="DXF2464" s="61"/>
      <c r="DXG2464" s="54"/>
      <c r="DXH2464" s="54"/>
      <c r="DXI2464" s="60"/>
      <c r="DXJ2464" s="60"/>
      <c r="DXK2464" s="60"/>
      <c r="DXL2464" s="60"/>
      <c r="DXM2464" s="63"/>
      <c r="DXN2464" s="61"/>
      <c r="DXO2464" s="54"/>
      <c r="DXP2464" s="54"/>
      <c r="DXQ2464" s="60"/>
      <c r="DXR2464" s="60"/>
      <c r="DXS2464" s="60"/>
      <c r="DXT2464" s="60"/>
      <c r="DXU2464" s="63"/>
      <c r="DXV2464" s="61"/>
      <c r="DXW2464" s="54"/>
      <c r="DXX2464" s="54"/>
      <c r="DXY2464" s="60"/>
      <c r="DXZ2464" s="60"/>
      <c r="DYA2464" s="60"/>
      <c r="DYB2464" s="60"/>
      <c r="DYC2464" s="63"/>
      <c r="DYD2464" s="61"/>
      <c r="DYE2464" s="54"/>
      <c r="DYF2464" s="54"/>
      <c r="DYG2464" s="60"/>
      <c r="DYH2464" s="60"/>
      <c r="DYI2464" s="60"/>
      <c r="DYJ2464" s="60"/>
      <c r="DYK2464" s="63"/>
      <c r="DYL2464" s="61"/>
      <c r="DYM2464" s="54"/>
      <c r="DYN2464" s="54"/>
      <c r="DYO2464" s="60"/>
      <c r="DYP2464" s="60"/>
      <c r="DYQ2464" s="60"/>
      <c r="DYR2464" s="60"/>
      <c r="DYS2464" s="63"/>
      <c r="DYT2464" s="61"/>
      <c r="DYU2464" s="54"/>
      <c r="DYV2464" s="54"/>
      <c r="DYW2464" s="60"/>
      <c r="DYX2464" s="60"/>
      <c r="DYY2464" s="60"/>
      <c r="DYZ2464" s="60"/>
      <c r="DZA2464" s="63"/>
      <c r="DZB2464" s="61"/>
      <c r="DZC2464" s="54"/>
      <c r="DZD2464" s="54"/>
      <c r="DZE2464" s="60"/>
      <c r="DZF2464" s="60"/>
      <c r="DZG2464" s="60"/>
      <c r="DZH2464" s="60"/>
      <c r="DZI2464" s="63"/>
      <c r="DZJ2464" s="61"/>
      <c r="DZK2464" s="54"/>
      <c r="DZL2464" s="54"/>
      <c r="DZM2464" s="60"/>
      <c r="DZN2464" s="60"/>
      <c r="DZO2464" s="60"/>
      <c r="DZP2464" s="60"/>
      <c r="DZQ2464" s="63"/>
      <c r="DZR2464" s="61"/>
      <c r="DZS2464" s="54"/>
      <c r="DZT2464" s="54"/>
      <c r="DZU2464" s="60"/>
      <c r="DZV2464" s="60"/>
      <c r="DZW2464" s="60"/>
      <c r="DZX2464" s="60"/>
      <c r="DZY2464" s="63"/>
      <c r="DZZ2464" s="61"/>
      <c r="EAA2464" s="54"/>
      <c r="EAB2464" s="54"/>
      <c r="EAC2464" s="60"/>
      <c r="EAD2464" s="60"/>
      <c r="EAE2464" s="60"/>
      <c r="EAF2464" s="60"/>
      <c r="EAG2464" s="63"/>
      <c r="EAH2464" s="61"/>
      <c r="EAI2464" s="54"/>
      <c r="EAJ2464" s="54"/>
      <c r="EAK2464" s="60"/>
      <c r="EAL2464" s="60"/>
      <c r="EAM2464" s="60"/>
      <c r="EAN2464" s="60"/>
      <c r="EAO2464" s="63"/>
      <c r="EAP2464" s="61"/>
      <c r="EAQ2464" s="54"/>
      <c r="EAR2464" s="54"/>
      <c r="EAS2464" s="60"/>
      <c r="EAT2464" s="60"/>
      <c r="EAU2464" s="60"/>
      <c r="EAV2464" s="60"/>
      <c r="EAW2464" s="63"/>
      <c r="EAX2464" s="61"/>
      <c r="EAY2464" s="54"/>
      <c r="EAZ2464" s="54"/>
      <c r="EBA2464" s="60"/>
      <c r="EBB2464" s="60"/>
      <c r="EBC2464" s="60"/>
      <c r="EBD2464" s="60"/>
      <c r="EBE2464" s="63"/>
      <c r="EBF2464" s="61"/>
      <c r="EBG2464" s="54"/>
      <c r="EBH2464" s="54"/>
      <c r="EBI2464" s="60"/>
      <c r="EBJ2464" s="60"/>
      <c r="EBK2464" s="60"/>
      <c r="EBL2464" s="60"/>
      <c r="EBM2464" s="63"/>
      <c r="EBN2464" s="61"/>
      <c r="EBO2464" s="54"/>
      <c r="EBP2464" s="54"/>
      <c r="EBQ2464" s="60"/>
      <c r="EBR2464" s="60"/>
      <c r="EBS2464" s="60"/>
      <c r="EBT2464" s="60"/>
      <c r="EBU2464" s="63"/>
      <c r="EBV2464" s="61"/>
      <c r="EBW2464" s="54"/>
      <c r="EBX2464" s="54"/>
      <c r="EBY2464" s="60"/>
      <c r="EBZ2464" s="60"/>
      <c r="ECA2464" s="60"/>
      <c r="ECB2464" s="60"/>
      <c r="ECC2464" s="63"/>
      <c r="ECD2464" s="61"/>
      <c r="ECE2464" s="54"/>
      <c r="ECF2464" s="54"/>
      <c r="ECG2464" s="60"/>
      <c r="ECH2464" s="60"/>
      <c r="ECI2464" s="60"/>
      <c r="ECJ2464" s="60"/>
      <c r="ECK2464" s="63"/>
      <c r="ECL2464" s="61"/>
      <c r="ECM2464" s="54"/>
      <c r="ECN2464" s="54"/>
      <c r="ECO2464" s="60"/>
      <c r="ECP2464" s="60"/>
      <c r="ECQ2464" s="60"/>
      <c r="ECR2464" s="60"/>
      <c r="ECS2464" s="63"/>
      <c r="ECT2464" s="61"/>
      <c r="ECU2464" s="54"/>
      <c r="ECV2464" s="54"/>
      <c r="ECW2464" s="60"/>
      <c r="ECX2464" s="60"/>
      <c r="ECY2464" s="60"/>
      <c r="ECZ2464" s="60"/>
      <c r="EDA2464" s="63"/>
      <c r="EDB2464" s="61"/>
      <c r="EDC2464" s="54"/>
      <c r="EDD2464" s="54"/>
      <c r="EDE2464" s="60"/>
      <c r="EDF2464" s="60"/>
      <c r="EDG2464" s="60"/>
      <c r="EDH2464" s="60"/>
      <c r="EDI2464" s="63"/>
      <c r="EDJ2464" s="61"/>
      <c r="EDK2464" s="54"/>
      <c r="EDL2464" s="54"/>
      <c r="EDM2464" s="60"/>
      <c r="EDN2464" s="60"/>
      <c r="EDO2464" s="60"/>
      <c r="EDP2464" s="60"/>
      <c r="EDQ2464" s="63"/>
      <c r="EDR2464" s="61"/>
      <c r="EDS2464" s="54"/>
      <c r="EDT2464" s="54"/>
      <c r="EDU2464" s="60"/>
      <c r="EDV2464" s="60"/>
      <c r="EDW2464" s="60"/>
      <c r="EDX2464" s="60"/>
      <c r="EDY2464" s="63"/>
      <c r="EDZ2464" s="61"/>
      <c r="EEA2464" s="54"/>
      <c r="EEB2464" s="54"/>
      <c r="EEC2464" s="60"/>
      <c r="EED2464" s="60"/>
      <c r="EEE2464" s="60"/>
      <c r="EEF2464" s="60"/>
      <c r="EEG2464" s="63"/>
      <c r="EEH2464" s="61"/>
      <c r="EEI2464" s="54"/>
      <c r="EEJ2464" s="54"/>
      <c r="EEK2464" s="60"/>
      <c r="EEL2464" s="60"/>
      <c r="EEM2464" s="60"/>
      <c r="EEN2464" s="60"/>
      <c r="EEO2464" s="63"/>
      <c r="EEP2464" s="61"/>
      <c r="EEQ2464" s="54"/>
      <c r="EER2464" s="54"/>
      <c r="EES2464" s="60"/>
      <c r="EET2464" s="60"/>
      <c r="EEU2464" s="60"/>
      <c r="EEV2464" s="60"/>
      <c r="EEW2464" s="63"/>
      <c r="EEX2464" s="61"/>
      <c r="EEY2464" s="54"/>
      <c r="EEZ2464" s="54"/>
      <c r="EFA2464" s="60"/>
      <c r="EFB2464" s="60"/>
      <c r="EFC2464" s="60"/>
      <c r="EFD2464" s="60"/>
      <c r="EFE2464" s="63"/>
      <c r="EFF2464" s="61"/>
      <c r="EFG2464" s="54"/>
      <c r="EFH2464" s="54"/>
      <c r="EFI2464" s="60"/>
      <c r="EFJ2464" s="60"/>
      <c r="EFK2464" s="60"/>
      <c r="EFL2464" s="60"/>
      <c r="EFM2464" s="63"/>
      <c r="EFN2464" s="61"/>
      <c r="EFO2464" s="54"/>
      <c r="EFP2464" s="54"/>
      <c r="EFQ2464" s="60"/>
      <c r="EFR2464" s="60"/>
      <c r="EFS2464" s="60"/>
      <c r="EFT2464" s="60"/>
      <c r="EFU2464" s="63"/>
      <c r="EFV2464" s="61"/>
      <c r="EFW2464" s="54"/>
      <c r="EFX2464" s="54"/>
      <c r="EFY2464" s="60"/>
      <c r="EFZ2464" s="60"/>
      <c r="EGA2464" s="60"/>
      <c r="EGB2464" s="60"/>
      <c r="EGC2464" s="63"/>
      <c r="EGD2464" s="61"/>
      <c r="EGE2464" s="54"/>
      <c r="EGF2464" s="54"/>
      <c r="EGG2464" s="60"/>
      <c r="EGH2464" s="60"/>
      <c r="EGI2464" s="60"/>
      <c r="EGJ2464" s="60"/>
      <c r="EGK2464" s="63"/>
      <c r="EGL2464" s="61"/>
      <c r="EGM2464" s="54"/>
      <c r="EGN2464" s="54"/>
      <c r="EGO2464" s="60"/>
      <c r="EGP2464" s="60"/>
      <c r="EGQ2464" s="60"/>
      <c r="EGR2464" s="60"/>
      <c r="EGS2464" s="63"/>
      <c r="EGT2464" s="61"/>
      <c r="EGU2464" s="54"/>
      <c r="EGV2464" s="54"/>
      <c r="EGW2464" s="60"/>
      <c r="EGX2464" s="60"/>
      <c r="EGY2464" s="60"/>
      <c r="EGZ2464" s="60"/>
      <c r="EHA2464" s="63"/>
      <c r="EHB2464" s="61"/>
      <c r="EHC2464" s="54"/>
      <c r="EHD2464" s="54"/>
      <c r="EHE2464" s="60"/>
      <c r="EHF2464" s="60"/>
      <c r="EHG2464" s="60"/>
      <c r="EHH2464" s="60"/>
      <c r="EHI2464" s="63"/>
      <c r="EHJ2464" s="61"/>
      <c r="EHK2464" s="54"/>
      <c r="EHL2464" s="54"/>
      <c r="EHM2464" s="60"/>
      <c r="EHN2464" s="60"/>
      <c r="EHO2464" s="60"/>
      <c r="EHP2464" s="60"/>
      <c r="EHQ2464" s="63"/>
      <c r="EHR2464" s="61"/>
      <c r="EHS2464" s="54"/>
      <c r="EHT2464" s="54"/>
      <c r="EHU2464" s="60"/>
      <c r="EHV2464" s="60"/>
      <c r="EHW2464" s="60"/>
      <c r="EHX2464" s="60"/>
      <c r="EHY2464" s="63"/>
      <c r="EHZ2464" s="61"/>
      <c r="EIA2464" s="54"/>
      <c r="EIB2464" s="54"/>
      <c r="EIC2464" s="60"/>
      <c r="EID2464" s="60"/>
      <c r="EIE2464" s="60"/>
      <c r="EIF2464" s="60"/>
      <c r="EIG2464" s="63"/>
      <c r="EIH2464" s="61"/>
      <c r="EII2464" s="54"/>
      <c r="EIJ2464" s="54"/>
      <c r="EIK2464" s="60"/>
      <c r="EIL2464" s="60"/>
      <c r="EIM2464" s="60"/>
      <c r="EIN2464" s="60"/>
      <c r="EIO2464" s="63"/>
      <c r="EIP2464" s="61"/>
      <c r="EIQ2464" s="54"/>
      <c r="EIR2464" s="54"/>
      <c r="EIS2464" s="60"/>
      <c r="EIT2464" s="60"/>
      <c r="EIU2464" s="60"/>
      <c r="EIV2464" s="60"/>
      <c r="EIW2464" s="63"/>
      <c r="EIX2464" s="61"/>
      <c r="EIY2464" s="54"/>
      <c r="EIZ2464" s="54"/>
      <c r="EJA2464" s="60"/>
      <c r="EJB2464" s="60"/>
      <c r="EJC2464" s="60"/>
      <c r="EJD2464" s="60"/>
      <c r="EJE2464" s="63"/>
      <c r="EJF2464" s="61"/>
      <c r="EJG2464" s="54"/>
      <c r="EJH2464" s="54"/>
      <c r="EJI2464" s="60"/>
      <c r="EJJ2464" s="60"/>
      <c r="EJK2464" s="60"/>
      <c r="EJL2464" s="60"/>
      <c r="EJM2464" s="63"/>
      <c r="EJN2464" s="61"/>
      <c r="EJO2464" s="54"/>
      <c r="EJP2464" s="54"/>
      <c r="EJQ2464" s="60"/>
      <c r="EJR2464" s="60"/>
      <c r="EJS2464" s="60"/>
      <c r="EJT2464" s="60"/>
      <c r="EJU2464" s="63"/>
      <c r="EJV2464" s="61"/>
      <c r="EJW2464" s="54"/>
      <c r="EJX2464" s="54"/>
      <c r="EJY2464" s="60"/>
      <c r="EJZ2464" s="60"/>
      <c r="EKA2464" s="60"/>
      <c r="EKB2464" s="60"/>
      <c r="EKC2464" s="63"/>
      <c r="EKD2464" s="61"/>
      <c r="EKE2464" s="54"/>
      <c r="EKF2464" s="54"/>
      <c r="EKG2464" s="60"/>
      <c r="EKH2464" s="60"/>
      <c r="EKI2464" s="60"/>
      <c r="EKJ2464" s="60"/>
      <c r="EKK2464" s="63"/>
      <c r="EKL2464" s="61"/>
      <c r="EKM2464" s="54"/>
      <c r="EKN2464" s="54"/>
      <c r="EKO2464" s="60"/>
      <c r="EKP2464" s="60"/>
      <c r="EKQ2464" s="60"/>
      <c r="EKR2464" s="60"/>
      <c r="EKS2464" s="63"/>
      <c r="EKT2464" s="61"/>
      <c r="EKU2464" s="54"/>
      <c r="EKV2464" s="54"/>
      <c r="EKW2464" s="60"/>
      <c r="EKX2464" s="60"/>
      <c r="EKY2464" s="60"/>
      <c r="EKZ2464" s="60"/>
      <c r="ELA2464" s="63"/>
      <c r="ELB2464" s="61"/>
      <c r="ELC2464" s="54"/>
      <c r="ELD2464" s="54"/>
      <c r="ELE2464" s="60"/>
      <c r="ELF2464" s="60"/>
      <c r="ELG2464" s="60"/>
      <c r="ELH2464" s="60"/>
      <c r="ELI2464" s="63"/>
      <c r="ELJ2464" s="61"/>
      <c r="ELK2464" s="54"/>
      <c r="ELL2464" s="54"/>
      <c r="ELM2464" s="60"/>
      <c r="ELN2464" s="60"/>
      <c r="ELO2464" s="60"/>
      <c r="ELP2464" s="60"/>
      <c r="ELQ2464" s="63"/>
      <c r="ELR2464" s="61"/>
      <c r="ELS2464" s="54"/>
      <c r="ELT2464" s="54"/>
      <c r="ELU2464" s="60"/>
      <c r="ELV2464" s="60"/>
      <c r="ELW2464" s="60"/>
      <c r="ELX2464" s="60"/>
      <c r="ELY2464" s="63"/>
      <c r="ELZ2464" s="61"/>
      <c r="EMA2464" s="54"/>
      <c r="EMB2464" s="54"/>
      <c r="EMC2464" s="60"/>
      <c r="EMD2464" s="60"/>
      <c r="EME2464" s="60"/>
      <c r="EMF2464" s="60"/>
      <c r="EMG2464" s="63"/>
      <c r="EMH2464" s="61"/>
      <c r="EMI2464" s="54"/>
      <c r="EMJ2464" s="54"/>
      <c r="EMK2464" s="60"/>
      <c r="EML2464" s="60"/>
      <c r="EMM2464" s="60"/>
      <c r="EMN2464" s="60"/>
      <c r="EMO2464" s="63"/>
      <c r="EMP2464" s="61"/>
      <c r="EMQ2464" s="54"/>
      <c r="EMR2464" s="54"/>
      <c r="EMS2464" s="60"/>
      <c r="EMT2464" s="60"/>
      <c r="EMU2464" s="60"/>
      <c r="EMV2464" s="60"/>
      <c r="EMW2464" s="63"/>
      <c r="EMX2464" s="61"/>
      <c r="EMY2464" s="54"/>
      <c r="EMZ2464" s="54"/>
      <c r="ENA2464" s="60"/>
      <c r="ENB2464" s="60"/>
      <c r="ENC2464" s="60"/>
      <c r="END2464" s="60"/>
      <c r="ENE2464" s="63"/>
      <c r="ENF2464" s="61"/>
      <c r="ENG2464" s="54"/>
      <c r="ENH2464" s="54"/>
      <c r="ENI2464" s="60"/>
      <c r="ENJ2464" s="60"/>
      <c r="ENK2464" s="60"/>
      <c r="ENL2464" s="60"/>
      <c r="ENM2464" s="63"/>
      <c r="ENN2464" s="61"/>
      <c r="ENO2464" s="54"/>
      <c r="ENP2464" s="54"/>
      <c r="ENQ2464" s="60"/>
      <c r="ENR2464" s="60"/>
      <c r="ENS2464" s="60"/>
      <c r="ENT2464" s="60"/>
      <c r="ENU2464" s="63"/>
      <c r="ENV2464" s="61"/>
      <c r="ENW2464" s="54"/>
      <c r="ENX2464" s="54"/>
      <c r="ENY2464" s="60"/>
      <c r="ENZ2464" s="60"/>
      <c r="EOA2464" s="60"/>
      <c r="EOB2464" s="60"/>
      <c r="EOC2464" s="63"/>
      <c r="EOD2464" s="61"/>
      <c r="EOE2464" s="54"/>
      <c r="EOF2464" s="54"/>
      <c r="EOG2464" s="60"/>
      <c r="EOH2464" s="60"/>
      <c r="EOI2464" s="60"/>
      <c r="EOJ2464" s="60"/>
      <c r="EOK2464" s="63"/>
      <c r="EOL2464" s="61"/>
      <c r="EOM2464" s="54"/>
      <c r="EON2464" s="54"/>
      <c r="EOO2464" s="60"/>
      <c r="EOP2464" s="60"/>
      <c r="EOQ2464" s="60"/>
      <c r="EOR2464" s="60"/>
      <c r="EOS2464" s="63"/>
      <c r="EOT2464" s="61"/>
      <c r="EOU2464" s="54"/>
      <c r="EOV2464" s="54"/>
      <c r="EOW2464" s="60"/>
      <c r="EOX2464" s="60"/>
      <c r="EOY2464" s="60"/>
      <c r="EOZ2464" s="60"/>
      <c r="EPA2464" s="63"/>
      <c r="EPB2464" s="61"/>
      <c r="EPC2464" s="54"/>
      <c r="EPD2464" s="54"/>
      <c r="EPE2464" s="60"/>
      <c r="EPF2464" s="60"/>
      <c r="EPG2464" s="60"/>
      <c r="EPH2464" s="60"/>
      <c r="EPI2464" s="63"/>
      <c r="EPJ2464" s="61"/>
      <c r="EPK2464" s="54"/>
      <c r="EPL2464" s="54"/>
      <c r="EPM2464" s="60"/>
      <c r="EPN2464" s="60"/>
      <c r="EPO2464" s="60"/>
      <c r="EPP2464" s="60"/>
      <c r="EPQ2464" s="63"/>
      <c r="EPR2464" s="61"/>
      <c r="EPS2464" s="54"/>
      <c r="EPT2464" s="54"/>
      <c r="EPU2464" s="60"/>
      <c r="EPV2464" s="60"/>
      <c r="EPW2464" s="60"/>
      <c r="EPX2464" s="60"/>
      <c r="EPY2464" s="63"/>
      <c r="EPZ2464" s="61"/>
      <c r="EQA2464" s="54"/>
      <c r="EQB2464" s="54"/>
      <c r="EQC2464" s="60"/>
      <c r="EQD2464" s="60"/>
      <c r="EQE2464" s="60"/>
      <c r="EQF2464" s="60"/>
      <c r="EQG2464" s="63"/>
      <c r="EQH2464" s="61"/>
      <c r="EQI2464" s="54"/>
      <c r="EQJ2464" s="54"/>
      <c r="EQK2464" s="60"/>
      <c r="EQL2464" s="60"/>
      <c r="EQM2464" s="60"/>
      <c r="EQN2464" s="60"/>
      <c r="EQO2464" s="63"/>
      <c r="EQP2464" s="61"/>
      <c r="EQQ2464" s="54"/>
      <c r="EQR2464" s="54"/>
      <c r="EQS2464" s="60"/>
      <c r="EQT2464" s="60"/>
      <c r="EQU2464" s="60"/>
      <c r="EQV2464" s="60"/>
      <c r="EQW2464" s="63"/>
      <c r="EQX2464" s="61"/>
      <c r="EQY2464" s="54"/>
      <c r="EQZ2464" s="54"/>
      <c r="ERA2464" s="60"/>
      <c r="ERB2464" s="60"/>
      <c r="ERC2464" s="60"/>
      <c r="ERD2464" s="60"/>
      <c r="ERE2464" s="63"/>
      <c r="ERF2464" s="61"/>
      <c r="ERG2464" s="54"/>
      <c r="ERH2464" s="54"/>
      <c r="ERI2464" s="60"/>
      <c r="ERJ2464" s="60"/>
      <c r="ERK2464" s="60"/>
      <c r="ERL2464" s="60"/>
      <c r="ERM2464" s="63"/>
      <c r="ERN2464" s="61"/>
      <c r="ERO2464" s="54"/>
      <c r="ERP2464" s="54"/>
      <c r="ERQ2464" s="60"/>
      <c r="ERR2464" s="60"/>
      <c r="ERS2464" s="60"/>
      <c r="ERT2464" s="60"/>
      <c r="ERU2464" s="63"/>
      <c r="ERV2464" s="61"/>
      <c r="ERW2464" s="54"/>
      <c r="ERX2464" s="54"/>
      <c r="ERY2464" s="60"/>
      <c r="ERZ2464" s="60"/>
      <c r="ESA2464" s="60"/>
      <c r="ESB2464" s="60"/>
      <c r="ESC2464" s="63"/>
      <c r="ESD2464" s="61"/>
      <c r="ESE2464" s="54"/>
      <c r="ESF2464" s="54"/>
      <c r="ESG2464" s="60"/>
      <c r="ESH2464" s="60"/>
      <c r="ESI2464" s="60"/>
      <c r="ESJ2464" s="60"/>
      <c r="ESK2464" s="63"/>
      <c r="ESL2464" s="61"/>
      <c r="ESM2464" s="54"/>
      <c r="ESN2464" s="54"/>
      <c r="ESO2464" s="60"/>
      <c r="ESP2464" s="60"/>
      <c r="ESQ2464" s="60"/>
      <c r="ESR2464" s="60"/>
      <c r="ESS2464" s="63"/>
      <c r="EST2464" s="61"/>
      <c r="ESU2464" s="54"/>
      <c r="ESV2464" s="54"/>
      <c r="ESW2464" s="60"/>
      <c r="ESX2464" s="60"/>
      <c r="ESY2464" s="60"/>
      <c r="ESZ2464" s="60"/>
      <c r="ETA2464" s="63"/>
      <c r="ETB2464" s="61"/>
      <c r="ETC2464" s="54"/>
      <c r="ETD2464" s="54"/>
      <c r="ETE2464" s="60"/>
      <c r="ETF2464" s="60"/>
      <c r="ETG2464" s="60"/>
      <c r="ETH2464" s="60"/>
      <c r="ETI2464" s="63"/>
      <c r="ETJ2464" s="61"/>
      <c r="ETK2464" s="54"/>
      <c r="ETL2464" s="54"/>
      <c r="ETM2464" s="60"/>
      <c r="ETN2464" s="60"/>
      <c r="ETO2464" s="60"/>
      <c r="ETP2464" s="60"/>
      <c r="ETQ2464" s="63"/>
      <c r="ETR2464" s="61"/>
      <c r="ETS2464" s="54"/>
      <c r="ETT2464" s="54"/>
      <c r="ETU2464" s="60"/>
      <c r="ETV2464" s="60"/>
      <c r="ETW2464" s="60"/>
      <c r="ETX2464" s="60"/>
      <c r="ETY2464" s="63"/>
      <c r="ETZ2464" s="61"/>
      <c r="EUA2464" s="54"/>
      <c r="EUB2464" s="54"/>
      <c r="EUC2464" s="60"/>
      <c r="EUD2464" s="60"/>
      <c r="EUE2464" s="60"/>
      <c r="EUF2464" s="60"/>
      <c r="EUG2464" s="63"/>
      <c r="EUH2464" s="61"/>
      <c r="EUI2464" s="54"/>
      <c r="EUJ2464" s="54"/>
      <c r="EUK2464" s="60"/>
      <c r="EUL2464" s="60"/>
      <c r="EUM2464" s="60"/>
      <c r="EUN2464" s="60"/>
      <c r="EUO2464" s="63"/>
      <c r="EUP2464" s="61"/>
      <c r="EUQ2464" s="54"/>
      <c r="EUR2464" s="54"/>
      <c r="EUS2464" s="60"/>
      <c r="EUT2464" s="60"/>
      <c r="EUU2464" s="60"/>
      <c r="EUV2464" s="60"/>
      <c r="EUW2464" s="63"/>
      <c r="EUX2464" s="61"/>
      <c r="EUY2464" s="54"/>
      <c r="EUZ2464" s="54"/>
      <c r="EVA2464" s="60"/>
      <c r="EVB2464" s="60"/>
      <c r="EVC2464" s="60"/>
      <c r="EVD2464" s="60"/>
      <c r="EVE2464" s="63"/>
      <c r="EVF2464" s="61"/>
      <c r="EVG2464" s="54"/>
      <c r="EVH2464" s="54"/>
      <c r="EVI2464" s="60"/>
      <c r="EVJ2464" s="60"/>
      <c r="EVK2464" s="60"/>
      <c r="EVL2464" s="60"/>
      <c r="EVM2464" s="63"/>
      <c r="EVN2464" s="61"/>
      <c r="EVO2464" s="54"/>
      <c r="EVP2464" s="54"/>
      <c r="EVQ2464" s="60"/>
      <c r="EVR2464" s="60"/>
      <c r="EVS2464" s="60"/>
      <c r="EVT2464" s="60"/>
      <c r="EVU2464" s="63"/>
      <c r="EVV2464" s="61"/>
      <c r="EVW2464" s="54"/>
      <c r="EVX2464" s="54"/>
      <c r="EVY2464" s="60"/>
      <c r="EVZ2464" s="60"/>
      <c r="EWA2464" s="60"/>
      <c r="EWB2464" s="60"/>
      <c r="EWC2464" s="63"/>
      <c r="EWD2464" s="61"/>
      <c r="EWE2464" s="54"/>
      <c r="EWF2464" s="54"/>
      <c r="EWG2464" s="60"/>
      <c r="EWH2464" s="60"/>
      <c r="EWI2464" s="60"/>
      <c r="EWJ2464" s="60"/>
      <c r="EWK2464" s="63"/>
      <c r="EWL2464" s="61"/>
      <c r="EWM2464" s="54"/>
      <c r="EWN2464" s="54"/>
      <c r="EWO2464" s="60"/>
      <c r="EWP2464" s="60"/>
      <c r="EWQ2464" s="60"/>
      <c r="EWR2464" s="60"/>
      <c r="EWS2464" s="63"/>
      <c r="EWT2464" s="61"/>
      <c r="EWU2464" s="54"/>
      <c r="EWV2464" s="54"/>
      <c r="EWW2464" s="60"/>
      <c r="EWX2464" s="60"/>
      <c r="EWY2464" s="60"/>
      <c r="EWZ2464" s="60"/>
      <c r="EXA2464" s="63"/>
      <c r="EXB2464" s="61"/>
      <c r="EXC2464" s="54"/>
      <c r="EXD2464" s="54"/>
      <c r="EXE2464" s="60"/>
      <c r="EXF2464" s="60"/>
      <c r="EXG2464" s="60"/>
      <c r="EXH2464" s="60"/>
      <c r="EXI2464" s="63"/>
      <c r="EXJ2464" s="61"/>
      <c r="EXK2464" s="54"/>
      <c r="EXL2464" s="54"/>
      <c r="EXM2464" s="60"/>
      <c r="EXN2464" s="60"/>
      <c r="EXO2464" s="60"/>
      <c r="EXP2464" s="60"/>
      <c r="EXQ2464" s="63"/>
      <c r="EXR2464" s="61"/>
      <c r="EXS2464" s="54"/>
      <c r="EXT2464" s="54"/>
      <c r="EXU2464" s="60"/>
      <c r="EXV2464" s="60"/>
      <c r="EXW2464" s="60"/>
      <c r="EXX2464" s="60"/>
      <c r="EXY2464" s="63"/>
      <c r="EXZ2464" s="61"/>
      <c r="EYA2464" s="54"/>
      <c r="EYB2464" s="54"/>
      <c r="EYC2464" s="60"/>
      <c r="EYD2464" s="60"/>
      <c r="EYE2464" s="60"/>
      <c r="EYF2464" s="60"/>
      <c r="EYG2464" s="63"/>
      <c r="EYH2464" s="61"/>
      <c r="EYI2464" s="54"/>
      <c r="EYJ2464" s="54"/>
      <c r="EYK2464" s="60"/>
      <c r="EYL2464" s="60"/>
      <c r="EYM2464" s="60"/>
      <c r="EYN2464" s="60"/>
      <c r="EYO2464" s="63"/>
      <c r="EYP2464" s="61"/>
      <c r="EYQ2464" s="54"/>
      <c r="EYR2464" s="54"/>
      <c r="EYS2464" s="60"/>
      <c r="EYT2464" s="60"/>
      <c r="EYU2464" s="60"/>
      <c r="EYV2464" s="60"/>
      <c r="EYW2464" s="63"/>
      <c r="EYX2464" s="61"/>
      <c r="EYY2464" s="54"/>
      <c r="EYZ2464" s="54"/>
      <c r="EZA2464" s="60"/>
      <c r="EZB2464" s="60"/>
      <c r="EZC2464" s="60"/>
      <c r="EZD2464" s="60"/>
      <c r="EZE2464" s="63"/>
      <c r="EZF2464" s="61"/>
      <c r="EZG2464" s="54"/>
      <c r="EZH2464" s="54"/>
      <c r="EZI2464" s="60"/>
      <c r="EZJ2464" s="60"/>
      <c r="EZK2464" s="60"/>
      <c r="EZL2464" s="60"/>
      <c r="EZM2464" s="63"/>
      <c r="EZN2464" s="61"/>
      <c r="EZO2464" s="54"/>
      <c r="EZP2464" s="54"/>
      <c r="EZQ2464" s="60"/>
      <c r="EZR2464" s="60"/>
      <c r="EZS2464" s="60"/>
      <c r="EZT2464" s="60"/>
      <c r="EZU2464" s="63"/>
      <c r="EZV2464" s="61"/>
      <c r="EZW2464" s="54"/>
      <c r="EZX2464" s="54"/>
      <c r="EZY2464" s="60"/>
      <c r="EZZ2464" s="60"/>
      <c r="FAA2464" s="60"/>
      <c r="FAB2464" s="60"/>
      <c r="FAC2464" s="63"/>
      <c r="FAD2464" s="61"/>
      <c r="FAE2464" s="54"/>
      <c r="FAF2464" s="54"/>
      <c r="FAG2464" s="60"/>
      <c r="FAH2464" s="60"/>
      <c r="FAI2464" s="60"/>
      <c r="FAJ2464" s="60"/>
      <c r="FAK2464" s="63"/>
      <c r="FAL2464" s="61"/>
      <c r="FAM2464" s="54"/>
      <c r="FAN2464" s="54"/>
      <c r="FAO2464" s="60"/>
      <c r="FAP2464" s="60"/>
      <c r="FAQ2464" s="60"/>
      <c r="FAR2464" s="60"/>
      <c r="FAS2464" s="63"/>
      <c r="FAT2464" s="61"/>
      <c r="FAU2464" s="54"/>
      <c r="FAV2464" s="54"/>
      <c r="FAW2464" s="60"/>
      <c r="FAX2464" s="60"/>
      <c r="FAY2464" s="60"/>
      <c r="FAZ2464" s="60"/>
      <c r="FBA2464" s="63"/>
      <c r="FBB2464" s="61"/>
      <c r="FBC2464" s="54"/>
      <c r="FBD2464" s="54"/>
      <c r="FBE2464" s="60"/>
      <c r="FBF2464" s="60"/>
      <c r="FBG2464" s="60"/>
      <c r="FBH2464" s="60"/>
      <c r="FBI2464" s="63"/>
      <c r="FBJ2464" s="61"/>
      <c r="FBK2464" s="54"/>
      <c r="FBL2464" s="54"/>
      <c r="FBM2464" s="60"/>
      <c r="FBN2464" s="60"/>
      <c r="FBO2464" s="60"/>
      <c r="FBP2464" s="60"/>
      <c r="FBQ2464" s="63"/>
      <c r="FBR2464" s="61"/>
      <c r="FBS2464" s="54"/>
      <c r="FBT2464" s="54"/>
      <c r="FBU2464" s="60"/>
      <c r="FBV2464" s="60"/>
      <c r="FBW2464" s="60"/>
      <c r="FBX2464" s="60"/>
      <c r="FBY2464" s="63"/>
      <c r="FBZ2464" s="61"/>
      <c r="FCA2464" s="54"/>
      <c r="FCB2464" s="54"/>
      <c r="FCC2464" s="60"/>
      <c r="FCD2464" s="60"/>
      <c r="FCE2464" s="60"/>
      <c r="FCF2464" s="60"/>
      <c r="FCG2464" s="63"/>
      <c r="FCH2464" s="61"/>
      <c r="FCI2464" s="54"/>
      <c r="FCJ2464" s="54"/>
      <c r="FCK2464" s="60"/>
      <c r="FCL2464" s="60"/>
      <c r="FCM2464" s="60"/>
      <c r="FCN2464" s="60"/>
      <c r="FCO2464" s="63"/>
      <c r="FCP2464" s="61"/>
      <c r="FCQ2464" s="54"/>
      <c r="FCR2464" s="54"/>
      <c r="FCS2464" s="60"/>
      <c r="FCT2464" s="60"/>
      <c r="FCU2464" s="60"/>
      <c r="FCV2464" s="60"/>
      <c r="FCW2464" s="63"/>
      <c r="FCX2464" s="61"/>
      <c r="FCY2464" s="54"/>
      <c r="FCZ2464" s="54"/>
      <c r="FDA2464" s="60"/>
      <c r="FDB2464" s="60"/>
      <c r="FDC2464" s="60"/>
      <c r="FDD2464" s="60"/>
      <c r="FDE2464" s="63"/>
      <c r="FDF2464" s="61"/>
      <c r="FDG2464" s="54"/>
      <c r="FDH2464" s="54"/>
      <c r="FDI2464" s="60"/>
      <c r="FDJ2464" s="60"/>
      <c r="FDK2464" s="60"/>
      <c r="FDL2464" s="60"/>
      <c r="FDM2464" s="63"/>
      <c r="FDN2464" s="61"/>
      <c r="FDO2464" s="54"/>
      <c r="FDP2464" s="54"/>
      <c r="FDQ2464" s="60"/>
      <c r="FDR2464" s="60"/>
      <c r="FDS2464" s="60"/>
      <c r="FDT2464" s="60"/>
      <c r="FDU2464" s="63"/>
      <c r="FDV2464" s="61"/>
      <c r="FDW2464" s="54"/>
      <c r="FDX2464" s="54"/>
      <c r="FDY2464" s="60"/>
      <c r="FDZ2464" s="60"/>
      <c r="FEA2464" s="60"/>
      <c r="FEB2464" s="60"/>
      <c r="FEC2464" s="63"/>
      <c r="FED2464" s="61"/>
      <c r="FEE2464" s="54"/>
      <c r="FEF2464" s="54"/>
      <c r="FEG2464" s="60"/>
      <c r="FEH2464" s="60"/>
      <c r="FEI2464" s="60"/>
      <c r="FEJ2464" s="60"/>
      <c r="FEK2464" s="63"/>
      <c r="FEL2464" s="61"/>
      <c r="FEM2464" s="54"/>
      <c r="FEN2464" s="54"/>
      <c r="FEO2464" s="60"/>
      <c r="FEP2464" s="60"/>
      <c r="FEQ2464" s="60"/>
      <c r="FER2464" s="60"/>
      <c r="FES2464" s="63"/>
      <c r="FET2464" s="61"/>
      <c r="FEU2464" s="54"/>
      <c r="FEV2464" s="54"/>
      <c r="FEW2464" s="60"/>
      <c r="FEX2464" s="60"/>
      <c r="FEY2464" s="60"/>
      <c r="FEZ2464" s="60"/>
      <c r="FFA2464" s="63"/>
      <c r="FFB2464" s="61"/>
      <c r="FFC2464" s="54"/>
      <c r="FFD2464" s="54"/>
      <c r="FFE2464" s="60"/>
      <c r="FFF2464" s="60"/>
      <c r="FFG2464" s="60"/>
      <c r="FFH2464" s="60"/>
      <c r="FFI2464" s="63"/>
      <c r="FFJ2464" s="61"/>
      <c r="FFK2464" s="54"/>
      <c r="FFL2464" s="54"/>
      <c r="FFM2464" s="60"/>
      <c r="FFN2464" s="60"/>
      <c r="FFO2464" s="60"/>
      <c r="FFP2464" s="60"/>
      <c r="FFQ2464" s="63"/>
      <c r="FFR2464" s="61"/>
      <c r="FFS2464" s="54"/>
      <c r="FFT2464" s="54"/>
      <c r="FFU2464" s="60"/>
      <c r="FFV2464" s="60"/>
      <c r="FFW2464" s="60"/>
      <c r="FFX2464" s="60"/>
      <c r="FFY2464" s="63"/>
      <c r="FFZ2464" s="61"/>
      <c r="FGA2464" s="54"/>
      <c r="FGB2464" s="54"/>
      <c r="FGC2464" s="60"/>
      <c r="FGD2464" s="60"/>
      <c r="FGE2464" s="60"/>
      <c r="FGF2464" s="60"/>
      <c r="FGG2464" s="63"/>
      <c r="FGH2464" s="61"/>
      <c r="FGI2464" s="54"/>
      <c r="FGJ2464" s="54"/>
      <c r="FGK2464" s="60"/>
      <c r="FGL2464" s="60"/>
      <c r="FGM2464" s="60"/>
      <c r="FGN2464" s="60"/>
      <c r="FGO2464" s="63"/>
      <c r="FGP2464" s="61"/>
      <c r="FGQ2464" s="54"/>
      <c r="FGR2464" s="54"/>
      <c r="FGS2464" s="60"/>
      <c r="FGT2464" s="60"/>
      <c r="FGU2464" s="60"/>
      <c r="FGV2464" s="60"/>
      <c r="FGW2464" s="63"/>
      <c r="FGX2464" s="61"/>
      <c r="FGY2464" s="54"/>
      <c r="FGZ2464" s="54"/>
      <c r="FHA2464" s="60"/>
      <c r="FHB2464" s="60"/>
      <c r="FHC2464" s="60"/>
      <c r="FHD2464" s="60"/>
      <c r="FHE2464" s="63"/>
      <c r="FHF2464" s="61"/>
      <c r="FHG2464" s="54"/>
      <c r="FHH2464" s="54"/>
      <c r="FHI2464" s="60"/>
      <c r="FHJ2464" s="60"/>
      <c r="FHK2464" s="60"/>
      <c r="FHL2464" s="60"/>
      <c r="FHM2464" s="63"/>
      <c r="FHN2464" s="61"/>
      <c r="FHO2464" s="54"/>
      <c r="FHP2464" s="54"/>
      <c r="FHQ2464" s="60"/>
      <c r="FHR2464" s="60"/>
      <c r="FHS2464" s="60"/>
      <c r="FHT2464" s="60"/>
      <c r="FHU2464" s="63"/>
      <c r="FHV2464" s="61"/>
      <c r="FHW2464" s="54"/>
      <c r="FHX2464" s="54"/>
      <c r="FHY2464" s="60"/>
      <c r="FHZ2464" s="60"/>
      <c r="FIA2464" s="60"/>
      <c r="FIB2464" s="60"/>
      <c r="FIC2464" s="63"/>
      <c r="FID2464" s="61"/>
      <c r="FIE2464" s="54"/>
      <c r="FIF2464" s="54"/>
      <c r="FIG2464" s="60"/>
      <c r="FIH2464" s="60"/>
      <c r="FII2464" s="60"/>
      <c r="FIJ2464" s="60"/>
      <c r="FIK2464" s="63"/>
      <c r="FIL2464" s="61"/>
      <c r="FIM2464" s="54"/>
      <c r="FIN2464" s="54"/>
      <c r="FIO2464" s="60"/>
      <c r="FIP2464" s="60"/>
      <c r="FIQ2464" s="60"/>
      <c r="FIR2464" s="60"/>
      <c r="FIS2464" s="63"/>
      <c r="FIT2464" s="61"/>
      <c r="FIU2464" s="54"/>
      <c r="FIV2464" s="54"/>
      <c r="FIW2464" s="60"/>
      <c r="FIX2464" s="60"/>
      <c r="FIY2464" s="60"/>
      <c r="FIZ2464" s="60"/>
      <c r="FJA2464" s="63"/>
      <c r="FJB2464" s="61"/>
      <c r="FJC2464" s="54"/>
      <c r="FJD2464" s="54"/>
      <c r="FJE2464" s="60"/>
      <c r="FJF2464" s="60"/>
      <c r="FJG2464" s="60"/>
      <c r="FJH2464" s="60"/>
      <c r="FJI2464" s="63"/>
      <c r="FJJ2464" s="61"/>
      <c r="FJK2464" s="54"/>
      <c r="FJL2464" s="54"/>
      <c r="FJM2464" s="60"/>
      <c r="FJN2464" s="60"/>
      <c r="FJO2464" s="60"/>
      <c r="FJP2464" s="60"/>
      <c r="FJQ2464" s="63"/>
      <c r="FJR2464" s="61"/>
      <c r="FJS2464" s="54"/>
      <c r="FJT2464" s="54"/>
      <c r="FJU2464" s="60"/>
      <c r="FJV2464" s="60"/>
      <c r="FJW2464" s="60"/>
      <c r="FJX2464" s="60"/>
      <c r="FJY2464" s="63"/>
      <c r="FJZ2464" s="61"/>
      <c r="FKA2464" s="54"/>
      <c r="FKB2464" s="54"/>
      <c r="FKC2464" s="60"/>
      <c r="FKD2464" s="60"/>
      <c r="FKE2464" s="60"/>
      <c r="FKF2464" s="60"/>
      <c r="FKG2464" s="63"/>
      <c r="FKH2464" s="61"/>
      <c r="FKI2464" s="54"/>
      <c r="FKJ2464" s="54"/>
      <c r="FKK2464" s="60"/>
      <c r="FKL2464" s="60"/>
      <c r="FKM2464" s="60"/>
      <c r="FKN2464" s="60"/>
      <c r="FKO2464" s="63"/>
      <c r="FKP2464" s="61"/>
      <c r="FKQ2464" s="54"/>
      <c r="FKR2464" s="54"/>
      <c r="FKS2464" s="60"/>
      <c r="FKT2464" s="60"/>
      <c r="FKU2464" s="60"/>
      <c r="FKV2464" s="60"/>
      <c r="FKW2464" s="63"/>
      <c r="FKX2464" s="61"/>
      <c r="FKY2464" s="54"/>
      <c r="FKZ2464" s="54"/>
      <c r="FLA2464" s="60"/>
      <c r="FLB2464" s="60"/>
      <c r="FLC2464" s="60"/>
      <c r="FLD2464" s="60"/>
      <c r="FLE2464" s="63"/>
      <c r="FLF2464" s="61"/>
      <c r="FLG2464" s="54"/>
      <c r="FLH2464" s="54"/>
      <c r="FLI2464" s="60"/>
      <c r="FLJ2464" s="60"/>
      <c r="FLK2464" s="60"/>
      <c r="FLL2464" s="60"/>
      <c r="FLM2464" s="63"/>
      <c r="FLN2464" s="61"/>
      <c r="FLO2464" s="54"/>
      <c r="FLP2464" s="54"/>
      <c r="FLQ2464" s="60"/>
      <c r="FLR2464" s="60"/>
      <c r="FLS2464" s="60"/>
      <c r="FLT2464" s="60"/>
      <c r="FLU2464" s="63"/>
      <c r="FLV2464" s="61"/>
      <c r="FLW2464" s="54"/>
      <c r="FLX2464" s="54"/>
      <c r="FLY2464" s="60"/>
      <c r="FLZ2464" s="60"/>
      <c r="FMA2464" s="60"/>
      <c r="FMB2464" s="60"/>
      <c r="FMC2464" s="63"/>
      <c r="FMD2464" s="61"/>
      <c r="FME2464" s="54"/>
      <c r="FMF2464" s="54"/>
      <c r="FMG2464" s="60"/>
      <c r="FMH2464" s="60"/>
      <c r="FMI2464" s="60"/>
      <c r="FMJ2464" s="60"/>
      <c r="FMK2464" s="63"/>
      <c r="FML2464" s="61"/>
      <c r="FMM2464" s="54"/>
      <c r="FMN2464" s="54"/>
      <c r="FMO2464" s="60"/>
      <c r="FMP2464" s="60"/>
      <c r="FMQ2464" s="60"/>
      <c r="FMR2464" s="60"/>
      <c r="FMS2464" s="63"/>
      <c r="FMT2464" s="61"/>
      <c r="FMU2464" s="54"/>
      <c r="FMV2464" s="54"/>
      <c r="FMW2464" s="60"/>
      <c r="FMX2464" s="60"/>
      <c r="FMY2464" s="60"/>
      <c r="FMZ2464" s="60"/>
      <c r="FNA2464" s="63"/>
      <c r="FNB2464" s="61"/>
      <c r="FNC2464" s="54"/>
      <c r="FND2464" s="54"/>
      <c r="FNE2464" s="60"/>
      <c r="FNF2464" s="60"/>
      <c r="FNG2464" s="60"/>
      <c r="FNH2464" s="60"/>
      <c r="FNI2464" s="63"/>
      <c r="FNJ2464" s="61"/>
      <c r="FNK2464" s="54"/>
      <c r="FNL2464" s="54"/>
      <c r="FNM2464" s="60"/>
      <c r="FNN2464" s="60"/>
      <c r="FNO2464" s="60"/>
      <c r="FNP2464" s="60"/>
      <c r="FNQ2464" s="63"/>
      <c r="FNR2464" s="61"/>
      <c r="FNS2464" s="54"/>
      <c r="FNT2464" s="54"/>
      <c r="FNU2464" s="60"/>
      <c r="FNV2464" s="60"/>
      <c r="FNW2464" s="60"/>
      <c r="FNX2464" s="60"/>
      <c r="FNY2464" s="63"/>
      <c r="FNZ2464" s="61"/>
      <c r="FOA2464" s="54"/>
      <c r="FOB2464" s="54"/>
      <c r="FOC2464" s="60"/>
      <c r="FOD2464" s="60"/>
      <c r="FOE2464" s="60"/>
      <c r="FOF2464" s="60"/>
      <c r="FOG2464" s="63"/>
      <c r="FOH2464" s="61"/>
      <c r="FOI2464" s="54"/>
      <c r="FOJ2464" s="54"/>
      <c r="FOK2464" s="60"/>
      <c r="FOL2464" s="60"/>
      <c r="FOM2464" s="60"/>
      <c r="FON2464" s="60"/>
      <c r="FOO2464" s="63"/>
      <c r="FOP2464" s="61"/>
      <c r="FOQ2464" s="54"/>
      <c r="FOR2464" s="54"/>
      <c r="FOS2464" s="60"/>
      <c r="FOT2464" s="60"/>
      <c r="FOU2464" s="60"/>
      <c r="FOV2464" s="60"/>
      <c r="FOW2464" s="63"/>
      <c r="FOX2464" s="61"/>
      <c r="FOY2464" s="54"/>
      <c r="FOZ2464" s="54"/>
      <c r="FPA2464" s="60"/>
      <c r="FPB2464" s="60"/>
      <c r="FPC2464" s="60"/>
      <c r="FPD2464" s="60"/>
      <c r="FPE2464" s="63"/>
      <c r="FPF2464" s="61"/>
      <c r="FPG2464" s="54"/>
      <c r="FPH2464" s="54"/>
      <c r="FPI2464" s="60"/>
      <c r="FPJ2464" s="60"/>
      <c r="FPK2464" s="60"/>
      <c r="FPL2464" s="60"/>
      <c r="FPM2464" s="63"/>
      <c r="FPN2464" s="61"/>
      <c r="FPO2464" s="54"/>
      <c r="FPP2464" s="54"/>
      <c r="FPQ2464" s="60"/>
      <c r="FPR2464" s="60"/>
      <c r="FPS2464" s="60"/>
      <c r="FPT2464" s="60"/>
      <c r="FPU2464" s="63"/>
      <c r="FPV2464" s="61"/>
      <c r="FPW2464" s="54"/>
      <c r="FPX2464" s="54"/>
      <c r="FPY2464" s="60"/>
      <c r="FPZ2464" s="60"/>
      <c r="FQA2464" s="60"/>
      <c r="FQB2464" s="60"/>
      <c r="FQC2464" s="63"/>
      <c r="FQD2464" s="61"/>
      <c r="FQE2464" s="54"/>
      <c r="FQF2464" s="54"/>
      <c r="FQG2464" s="60"/>
      <c r="FQH2464" s="60"/>
      <c r="FQI2464" s="60"/>
      <c r="FQJ2464" s="60"/>
      <c r="FQK2464" s="63"/>
      <c r="FQL2464" s="61"/>
      <c r="FQM2464" s="54"/>
      <c r="FQN2464" s="54"/>
      <c r="FQO2464" s="60"/>
      <c r="FQP2464" s="60"/>
      <c r="FQQ2464" s="60"/>
      <c r="FQR2464" s="60"/>
      <c r="FQS2464" s="63"/>
      <c r="FQT2464" s="61"/>
      <c r="FQU2464" s="54"/>
      <c r="FQV2464" s="54"/>
      <c r="FQW2464" s="60"/>
      <c r="FQX2464" s="60"/>
      <c r="FQY2464" s="60"/>
      <c r="FQZ2464" s="60"/>
      <c r="FRA2464" s="63"/>
      <c r="FRB2464" s="61"/>
      <c r="FRC2464" s="54"/>
      <c r="FRD2464" s="54"/>
      <c r="FRE2464" s="60"/>
      <c r="FRF2464" s="60"/>
      <c r="FRG2464" s="60"/>
      <c r="FRH2464" s="60"/>
      <c r="FRI2464" s="63"/>
      <c r="FRJ2464" s="61"/>
      <c r="FRK2464" s="54"/>
      <c r="FRL2464" s="54"/>
      <c r="FRM2464" s="60"/>
      <c r="FRN2464" s="60"/>
      <c r="FRO2464" s="60"/>
      <c r="FRP2464" s="60"/>
      <c r="FRQ2464" s="63"/>
      <c r="FRR2464" s="61"/>
      <c r="FRS2464" s="54"/>
      <c r="FRT2464" s="54"/>
      <c r="FRU2464" s="60"/>
      <c r="FRV2464" s="60"/>
      <c r="FRW2464" s="60"/>
      <c r="FRX2464" s="60"/>
      <c r="FRY2464" s="63"/>
      <c r="FRZ2464" s="61"/>
      <c r="FSA2464" s="54"/>
      <c r="FSB2464" s="54"/>
      <c r="FSC2464" s="60"/>
      <c r="FSD2464" s="60"/>
      <c r="FSE2464" s="60"/>
      <c r="FSF2464" s="60"/>
      <c r="FSG2464" s="63"/>
      <c r="FSH2464" s="61"/>
      <c r="FSI2464" s="54"/>
      <c r="FSJ2464" s="54"/>
      <c r="FSK2464" s="60"/>
      <c r="FSL2464" s="60"/>
      <c r="FSM2464" s="60"/>
      <c r="FSN2464" s="60"/>
      <c r="FSO2464" s="63"/>
      <c r="FSP2464" s="61"/>
      <c r="FSQ2464" s="54"/>
      <c r="FSR2464" s="54"/>
      <c r="FSS2464" s="60"/>
      <c r="FST2464" s="60"/>
      <c r="FSU2464" s="60"/>
      <c r="FSV2464" s="60"/>
      <c r="FSW2464" s="63"/>
      <c r="FSX2464" s="61"/>
      <c r="FSY2464" s="54"/>
      <c r="FSZ2464" s="54"/>
      <c r="FTA2464" s="60"/>
      <c r="FTB2464" s="60"/>
      <c r="FTC2464" s="60"/>
      <c r="FTD2464" s="60"/>
      <c r="FTE2464" s="63"/>
      <c r="FTF2464" s="61"/>
      <c r="FTG2464" s="54"/>
      <c r="FTH2464" s="54"/>
      <c r="FTI2464" s="60"/>
      <c r="FTJ2464" s="60"/>
      <c r="FTK2464" s="60"/>
      <c r="FTL2464" s="60"/>
      <c r="FTM2464" s="63"/>
      <c r="FTN2464" s="61"/>
      <c r="FTO2464" s="54"/>
      <c r="FTP2464" s="54"/>
      <c r="FTQ2464" s="60"/>
      <c r="FTR2464" s="60"/>
      <c r="FTS2464" s="60"/>
      <c r="FTT2464" s="60"/>
      <c r="FTU2464" s="63"/>
      <c r="FTV2464" s="61"/>
      <c r="FTW2464" s="54"/>
      <c r="FTX2464" s="54"/>
      <c r="FTY2464" s="60"/>
      <c r="FTZ2464" s="60"/>
      <c r="FUA2464" s="60"/>
      <c r="FUB2464" s="60"/>
      <c r="FUC2464" s="63"/>
      <c r="FUD2464" s="61"/>
      <c r="FUE2464" s="54"/>
      <c r="FUF2464" s="54"/>
      <c r="FUG2464" s="60"/>
      <c r="FUH2464" s="60"/>
      <c r="FUI2464" s="60"/>
      <c r="FUJ2464" s="60"/>
      <c r="FUK2464" s="63"/>
      <c r="FUL2464" s="61"/>
      <c r="FUM2464" s="54"/>
      <c r="FUN2464" s="54"/>
      <c r="FUO2464" s="60"/>
      <c r="FUP2464" s="60"/>
      <c r="FUQ2464" s="60"/>
      <c r="FUR2464" s="60"/>
      <c r="FUS2464" s="63"/>
      <c r="FUT2464" s="61"/>
      <c r="FUU2464" s="54"/>
      <c r="FUV2464" s="54"/>
      <c r="FUW2464" s="60"/>
      <c r="FUX2464" s="60"/>
      <c r="FUY2464" s="60"/>
      <c r="FUZ2464" s="60"/>
      <c r="FVA2464" s="63"/>
      <c r="FVB2464" s="61"/>
      <c r="FVC2464" s="54"/>
      <c r="FVD2464" s="54"/>
      <c r="FVE2464" s="60"/>
      <c r="FVF2464" s="60"/>
      <c r="FVG2464" s="60"/>
      <c r="FVH2464" s="60"/>
      <c r="FVI2464" s="63"/>
      <c r="FVJ2464" s="61"/>
      <c r="FVK2464" s="54"/>
      <c r="FVL2464" s="54"/>
      <c r="FVM2464" s="60"/>
      <c r="FVN2464" s="60"/>
      <c r="FVO2464" s="60"/>
      <c r="FVP2464" s="60"/>
      <c r="FVQ2464" s="63"/>
      <c r="FVR2464" s="61"/>
      <c r="FVS2464" s="54"/>
      <c r="FVT2464" s="54"/>
      <c r="FVU2464" s="60"/>
      <c r="FVV2464" s="60"/>
      <c r="FVW2464" s="60"/>
      <c r="FVX2464" s="60"/>
      <c r="FVY2464" s="63"/>
      <c r="FVZ2464" s="61"/>
      <c r="FWA2464" s="54"/>
      <c r="FWB2464" s="54"/>
      <c r="FWC2464" s="60"/>
      <c r="FWD2464" s="60"/>
      <c r="FWE2464" s="60"/>
      <c r="FWF2464" s="60"/>
      <c r="FWG2464" s="63"/>
      <c r="FWH2464" s="61"/>
      <c r="FWI2464" s="54"/>
      <c r="FWJ2464" s="54"/>
      <c r="FWK2464" s="60"/>
      <c r="FWL2464" s="60"/>
      <c r="FWM2464" s="60"/>
      <c r="FWN2464" s="60"/>
      <c r="FWO2464" s="63"/>
      <c r="FWP2464" s="61"/>
      <c r="FWQ2464" s="54"/>
      <c r="FWR2464" s="54"/>
      <c r="FWS2464" s="60"/>
      <c r="FWT2464" s="60"/>
      <c r="FWU2464" s="60"/>
      <c r="FWV2464" s="60"/>
      <c r="FWW2464" s="63"/>
      <c r="FWX2464" s="61"/>
      <c r="FWY2464" s="54"/>
      <c r="FWZ2464" s="54"/>
      <c r="FXA2464" s="60"/>
      <c r="FXB2464" s="60"/>
      <c r="FXC2464" s="60"/>
      <c r="FXD2464" s="60"/>
      <c r="FXE2464" s="63"/>
      <c r="FXF2464" s="61"/>
      <c r="FXG2464" s="54"/>
      <c r="FXH2464" s="54"/>
      <c r="FXI2464" s="60"/>
      <c r="FXJ2464" s="60"/>
      <c r="FXK2464" s="60"/>
      <c r="FXL2464" s="60"/>
      <c r="FXM2464" s="63"/>
      <c r="FXN2464" s="61"/>
      <c r="FXO2464" s="54"/>
      <c r="FXP2464" s="54"/>
      <c r="FXQ2464" s="60"/>
      <c r="FXR2464" s="60"/>
      <c r="FXS2464" s="60"/>
      <c r="FXT2464" s="60"/>
      <c r="FXU2464" s="63"/>
      <c r="FXV2464" s="61"/>
      <c r="FXW2464" s="54"/>
      <c r="FXX2464" s="54"/>
      <c r="FXY2464" s="60"/>
      <c r="FXZ2464" s="60"/>
      <c r="FYA2464" s="60"/>
      <c r="FYB2464" s="60"/>
      <c r="FYC2464" s="63"/>
      <c r="FYD2464" s="61"/>
      <c r="FYE2464" s="54"/>
      <c r="FYF2464" s="54"/>
      <c r="FYG2464" s="60"/>
      <c r="FYH2464" s="60"/>
      <c r="FYI2464" s="60"/>
      <c r="FYJ2464" s="60"/>
      <c r="FYK2464" s="63"/>
      <c r="FYL2464" s="61"/>
      <c r="FYM2464" s="54"/>
      <c r="FYN2464" s="54"/>
      <c r="FYO2464" s="60"/>
      <c r="FYP2464" s="60"/>
      <c r="FYQ2464" s="60"/>
      <c r="FYR2464" s="60"/>
      <c r="FYS2464" s="63"/>
      <c r="FYT2464" s="61"/>
      <c r="FYU2464" s="54"/>
      <c r="FYV2464" s="54"/>
      <c r="FYW2464" s="60"/>
      <c r="FYX2464" s="60"/>
      <c r="FYY2464" s="60"/>
      <c r="FYZ2464" s="60"/>
      <c r="FZA2464" s="63"/>
      <c r="FZB2464" s="61"/>
      <c r="FZC2464" s="54"/>
      <c r="FZD2464" s="54"/>
      <c r="FZE2464" s="60"/>
      <c r="FZF2464" s="60"/>
      <c r="FZG2464" s="60"/>
      <c r="FZH2464" s="60"/>
      <c r="FZI2464" s="63"/>
      <c r="FZJ2464" s="61"/>
      <c r="FZK2464" s="54"/>
      <c r="FZL2464" s="54"/>
      <c r="FZM2464" s="60"/>
      <c r="FZN2464" s="60"/>
      <c r="FZO2464" s="60"/>
      <c r="FZP2464" s="60"/>
      <c r="FZQ2464" s="63"/>
      <c r="FZR2464" s="61"/>
      <c r="FZS2464" s="54"/>
      <c r="FZT2464" s="54"/>
      <c r="FZU2464" s="60"/>
      <c r="FZV2464" s="60"/>
      <c r="FZW2464" s="60"/>
      <c r="FZX2464" s="60"/>
      <c r="FZY2464" s="63"/>
      <c r="FZZ2464" s="61"/>
      <c r="GAA2464" s="54"/>
      <c r="GAB2464" s="54"/>
      <c r="GAC2464" s="60"/>
      <c r="GAD2464" s="60"/>
      <c r="GAE2464" s="60"/>
      <c r="GAF2464" s="60"/>
      <c r="GAG2464" s="63"/>
      <c r="GAH2464" s="61"/>
      <c r="GAI2464" s="54"/>
      <c r="GAJ2464" s="54"/>
      <c r="GAK2464" s="60"/>
      <c r="GAL2464" s="60"/>
      <c r="GAM2464" s="60"/>
      <c r="GAN2464" s="60"/>
      <c r="GAO2464" s="63"/>
      <c r="GAP2464" s="61"/>
      <c r="GAQ2464" s="54"/>
      <c r="GAR2464" s="54"/>
      <c r="GAS2464" s="60"/>
      <c r="GAT2464" s="60"/>
      <c r="GAU2464" s="60"/>
      <c r="GAV2464" s="60"/>
      <c r="GAW2464" s="63"/>
      <c r="GAX2464" s="61"/>
      <c r="GAY2464" s="54"/>
      <c r="GAZ2464" s="54"/>
      <c r="GBA2464" s="60"/>
      <c r="GBB2464" s="60"/>
      <c r="GBC2464" s="60"/>
      <c r="GBD2464" s="60"/>
      <c r="GBE2464" s="63"/>
      <c r="GBF2464" s="61"/>
      <c r="GBG2464" s="54"/>
      <c r="GBH2464" s="54"/>
      <c r="GBI2464" s="60"/>
      <c r="GBJ2464" s="60"/>
      <c r="GBK2464" s="60"/>
      <c r="GBL2464" s="60"/>
      <c r="GBM2464" s="63"/>
      <c r="GBN2464" s="61"/>
      <c r="GBO2464" s="54"/>
      <c r="GBP2464" s="54"/>
      <c r="GBQ2464" s="60"/>
      <c r="GBR2464" s="60"/>
      <c r="GBS2464" s="60"/>
      <c r="GBT2464" s="60"/>
      <c r="GBU2464" s="63"/>
      <c r="GBV2464" s="61"/>
      <c r="GBW2464" s="54"/>
      <c r="GBX2464" s="54"/>
      <c r="GBY2464" s="60"/>
      <c r="GBZ2464" s="60"/>
      <c r="GCA2464" s="60"/>
      <c r="GCB2464" s="60"/>
      <c r="GCC2464" s="63"/>
      <c r="GCD2464" s="61"/>
      <c r="GCE2464" s="54"/>
      <c r="GCF2464" s="54"/>
      <c r="GCG2464" s="60"/>
      <c r="GCH2464" s="60"/>
      <c r="GCI2464" s="60"/>
      <c r="GCJ2464" s="60"/>
      <c r="GCK2464" s="63"/>
      <c r="GCL2464" s="61"/>
      <c r="GCM2464" s="54"/>
      <c r="GCN2464" s="54"/>
      <c r="GCO2464" s="60"/>
      <c r="GCP2464" s="60"/>
      <c r="GCQ2464" s="60"/>
      <c r="GCR2464" s="60"/>
      <c r="GCS2464" s="63"/>
      <c r="GCT2464" s="61"/>
      <c r="GCU2464" s="54"/>
      <c r="GCV2464" s="54"/>
      <c r="GCW2464" s="60"/>
      <c r="GCX2464" s="60"/>
      <c r="GCY2464" s="60"/>
      <c r="GCZ2464" s="60"/>
      <c r="GDA2464" s="63"/>
      <c r="GDB2464" s="61"/>
      <c r="GDC2464" s="54"/>
      <c r="GDD2464" s="54"/>
      <c r="GDE2464" s="60"/>
      <c r="GDF2464" s="60"/>
      <c r="GDG2464" s="60"/>
      <c r="GDH2464" s="60"/>
      <c r="GDI2464" s="63"/>
      <c r="GDJ2464" s="61"/>
      <c r="GDK2464" s="54"/>
      <c r="GDL2464" s="54"/>
      <c r="GDM2464" s="60"/>
      <c r="GDN2464" s="60"/>
      <c r="GDO2464" s="60"/>
      <c r="GDP2464" s="60"/>
      <c r="GDQ2464" s="63"/>
      <c r="GDR2464" s="61"/>
      <c r="GDS2464" s="54"/>
      <c r="GDT2464" s="54"/>
      <c r="GDU2464" s="60"/>
      <c r="GDV2464" s="60"/>
      <c r="GDW2464" s="60"/>
      <c r="GDX2464" s="60"/>
      <c r="GDY2464" s="63"/>
      <c r="GDZ2464" s="61"/>
      <c r="GEA2464" s="54"/>
      <c r="GEB2464" s="54"/>
      <c r="GEC2464" s="60"/>
      <c r="GED2464" s="60"/>
      <c r="GEE2464" s="60"/>
      <c r="GEF2464" s="60"/>
      <c r="GEG2464" s="63"/>
      <c r="GEH2464" s="61"/>
      <c r="GEI2464" s="54"/>
      <c r="GEJ2464" s="54"/>
      <c r="GEK2464" s="60"/>
      <c r="GEL2464" s="60"/>
      <c r="GEM2464" s="60"/>
      <c r="GEN2464" s="60"/>
      <c r="GEO2464" s="63"/>
      <c r="GEP2464" s="61"/>
      <c r="GEQ2464" s="54"/>
      <c r="GER2464" s="54"/>
      <c r="GES2464" s="60"/>
      <c r="GET2464" s="60"/>
      <c r="GEU2464" s="60"/>
      <c r="GEV2464" s="60"/>
      <c r="GEW2464" s="63"/>
      <c r="GEX2464" s="61"/>
      <c r="GEY2464" s="54"/>
      <c r="GEZ2464" s="54"/>
      <c r="GFA2464" s="60"/>
      <c r="GFB2464" s="60"/>
      <c r="GFC2464" s="60"/>
      <c r="GFD2464" s="60"/>
      <c r="GFE2464" s="63"/>
      <c r="GFF2464" s="61"/>
      <c r="GFG2464" s="54"/>
      <c r="GFH2464" s="54"/>
      <c r="GFI2464" s="60"/>
      <c r="GFJ2464" s="60"/>
      <c r="GFK2464" s="60"/>
      <c r="GFL2464" s="60"/>
      <c r="GFM2464" s="63"/>
      <c r="GFN2464" s="61"/>
      <c r="GFO2464" s="54"/>
      <c r="GFP2464" s="54"/>
      <c r="GFQ2464" s="60"/>
      <c r="GFR2464" s="60"/>
      <c r="GFS2464" s="60"/>
      <c r="GFT2464" s="60"/>
      <c r="GFU2464" s="63"/>
      <c r="GFV2464" s="61"/>
      <c r="GFW2464" s="54"/>
      <c r="GFX2464" s="54"/>
      <c r="GFY2464" s="60"/>
      <c r="GFZ2464" s="60"/>
      <c r="GGA2464" s="60"/>
      <c r="GGB2464" s="60"/>
      <c r="GGC2464" s="63"/>
      <c r="GGD2464" s="61"/>
      <c r="GGE2464" s="54"/>
      <c r="GGF2464" s="54"/>
      <c r="GGG2464" s="60"/>
      <c r="GGH2464" s="60"/>
      <c r="GGI2464" s="60"/>
      <c r="GGJ2464" s="60"/>
      <c r="GGK2464" s="63"/>
      <c r="GGL2464" s="61"/>
      <c r="GGM2464" s="54"/>
      <c r="GGN2464" s="54"/>
      <c r="GGO2464" s="60"/>
      <c r="GGP2464" s="60"/>
      <c r="GGQ2464" s="60"/>
      <c r="GGR2464" s="60"/>
      <c r="GGS2464" s="63"/>
      <c r="GGT2464" s="61"/>
      <c r="GGU2464" s="54"/>
      <c r="GGV2464" s="54"/>
      <c r="GGW2464" s="60"/>
      <c r="GGX2464" s="60"/>
      <c r="GGY2464" s="60"/>
      <c r="GGZ2464" s="60"/>
      <c r="GHA2464" s="63"/>
      <c r="GHB2464" s="61"/>
      <c r="GHC2464" s="54"/>
      <c r="GHD2464" s="54"/>
      <c r="GHE2464" s="60"/>
      <c r="GHF2464" s="60"/>
      <c r="GHG2464" s="60"/>
      <c r="GHH2464" s="60"/>
      <c r="GHI2464" s="63"/>
      <c r="GHJ2464" s="61"/>
      <c r="GHK2464" s="54"/>
      <c r="GHL2464" s="54"/>
      <c r="GHM2464" s="60"/>
      <c r="GHN2464" s="60"/>
      <c r="GHO2464" s="60"/>
      <c r="GHP2464" s="60"/>
      <c r="GHQ2464" s="63"/>
      <c r="GHR2464" s="61"/>
      <c r="GHS2464" s="54"/>
      <c r="GHT2464" s="54"/>
      <c r="GHU2464" s="60"/>
      <c r="GHV2464" s="60"/>
      <c r="GHW2464" s="60"/>
      <c r="GHX2464" s="60"/>
      <c r="GHY2464" s="63"/>
      <c r="GHZ2464" s="61"/>
      <c r="GIA2464" s="54"/>
      <c r="GIB2464" s="54"/>
      <c r="GIC2464" s="60"/>
      <c r="GID2464" s="60"/>
      <c r="GIE2464" s="60"/>
      <c r="GIF2464" s="60"/>
      <c r="GIG2464" s="63"/>
      <c r="GIH2464" s="61"/>
      <c r="GII2464" s="54"/>
      <c r="GIJ2464" s="54"/>
      <c r="GIK2464" s="60"/>
      <c r="GIL2464" s="60"/>
      <c r="GIM2464" s="60"/>
      <c r="GIN2464" s="60"/>
      <c r="GIO2464" s="63"/>
      <c r="GIP2464" s="61"/>
      <c r="GIQ2464" s="54"/>
      <c r="GIR2464" s="54"/>
      <c r="GIS2464" s="60"/>
      <c r="GIT2464" s="60"/>
      <c r="GIU2464" s="60"/>
      <c r="GIV2464" s="60"/>
      <c r="GIW2464" s="63"/>
      <c r="GIX2464" s="61"/>
      <c r="GIY2464" s="54"/>
      <c r="GIZ2464" s="54"/>
      <c r="GJA2464" s="60"/>
      <c r="GJB2464" s="60"/>
      <c r="GJC2464" s="60"/>
      <c r="GJD2464" s="60"/>
      <c r="GJE2464" s="63"/>
      <c r="GJF2464" s="61"/>
      <c r="GJG2464" s="54"/>
      <c r="GJH2464" s="54"/>
      <c r="GJI2464" s="60"/>
      <c r="GJJ2464" s="60"/>
      <c r="GJK2464" s="60"/>
      <c r="GJL2464" s="60"/>
      <c r="GJM2464" s="63"/>
      <c r="GJN2464" s="61"/>
      <c r="GJO2464" s="54"/>
      <c r="GJP2464" s="54"/>
      <c r="GJQ2464" s="60"/>
      <c r="GJR2464" s="60"/>
      <c r="GJS2464" s="60"/>
      <c r="GJT2464" s="60"/>
      <c r="GJU2464" s="63"/>
      <c r="GJV2464" s="61"/>
      <c r="GJW2464" s="54"/>
      <c r="GJX2464" s="54"/>
      <c r="GJY2464" s="60"/>
      <c r="GJZ2464" s="60"/>
      <c r="GKA2464" s="60"/>
      <c r="GKB2464" s="60"/>
      <c r="GKC2464" s="63"/>
      <c r="GKD2464" s="61"/>
      <c r="GKE2464" s="54"/>
      <c r="GKF2464" s="54"/>
      <c r="GKG2464" s="60"/>
      <c r="GKH2464" s="60"/>
      <c r="GKI2464" s="60"/>
      <c r="GKJ2464" s="60"/>
      <c r="GKK2464" s="63"/>
      <c r="GKL2464" s="61"/>
      <c r="GKM2464" s="54"/>
      <c r="GKN2464" s="54"/>
      <c r="GKO2464" s="60"/>
      <c r="GKP2464" s="60"/>
      <c r="GKQ2464" s="60"/>
      <c r="GKR2464" s="60"/>
      <c r="GKS2464" s="63"/>
      <c r="GKT2464" s="61"/>
      <c r="GKU2464" s="54"/>
      <c r="GKV2464" s="54"/>
      <c r="GKW2464" s="60"/>
      <c r="GKX2464" s="60"/>
      <c r="GKY2464" s="60"/>
      <c r="GKZ2464" s="60"/>
      <c r="GLA2464" s="63"/>
      <c r="GLB2464" s="61"/>
      <c r="GLC2464" s="54"/>
      <c r="GLD2464" s="54"/>
      <c r="GLE2464" s="60"/>
      <c r="GLF2464" s="60"/>
      <c r="GLG2464" s="60"/>
      <c r="GLH2464" s="60"/>
      <c r="GLI2464" s="63"/>
      <c r="GLJ2464" s="61"/>
      <c r="GLK2464" s="54"/>
      <c r="GLL2464" s="54"/>
      <c r="GLM2464" s="60"/>
      <c r="GLN2464" s="60"/>
      <c r="GLO2464" s="60"/>
      <c r="GLP2464" s="60"/>
      <c r="GLQ2464" s="63"/>
      <c r="GLR2464" s="61"/>
      <c r="GLS2464" s="54"/>
      <c r="GLT2464" s="54"/>
      <c r="GLU2464" s="60"/>
      <c r="GLV2464" s="60"/>
      <c r="GLW2464" s="60"/>
      <c r="GLX2464" s="60"/>
      <c r="GLY2464" s="63"/>
      <c r="GLZ2464" s="61"/>
      <c r="GMA2464" s="54"/>
      <c r="GMB2464" s="54"/>
      <c r="GMC2464" s="60"/>
      <c r="GMD2464" s="60"/>
      <c r="GME2464" s="60"/>
      <c r="GMF2464" s="60"/>
      <c r="GMG2464" s="63"/>
      <c r="GMH2464" s="61"/>
      <c r="GMI2464" s="54"/>
      <c r="GMJ2464" s="54"/>
      <c r="GMK2464" s="60"/>
      <c r="GML2464" s="60"/>
      <c r="GMM2464" s="60"/>
      <c r="GMN2464" s="60"/>
      <c r="GMO2464" s="63"/>
      <c r="GMP2464" s="61"/>
      <c r="GMQ2464" s="54"/>
      <c r="GMR2464" s="54"/>
      <c r="GMS2464" s="60"/>
      <c r="GMT2464" s="60"/>
      <c r="GMU2464" s="60"/>
      <c r="GMV2464" s="60"/>
      <c r="GMW2464" s="63"/>
      <c r="GMX2464" s="61"/>
      <c r="GMY2464" s="54"/>
      <c r="GMZ2464" s="54"/>
      <c r="GNA2464" s="60"/>
      <c r="GNB2464" s="60"/>
      <c r="GNC2464" s="60"/>
      <c r="GND2464" s="60"/>
      <c r="GNE2464" s="63"/>
      <c r="GNF2464" s="61"/>
      <c r="GNG2464" s="54"/>
      <c r="GNH2464" s="54"/>
      <c r="GNI2464" s="60"/>
      <c r="GNJ2464" s="60"/>
      <c r="GNK2464" s="60"/>
      <c r="GNL2464" s="60"/>
      <c r="GNM2464" s="63"/>
      <c r="GNN2464" s="61"/>
      <c r="GNO2464" s="54"/>
      <c r="GNP2464" s="54"/>
      <c r="GNQ2464" s="60"/>
      <c r="GNR2464" s="60"/>
      <c r="GNS2464" s="60"/>
      <c r="GNT2464" s="60"/>
      <c r="GNU2464" s="63"/>
      <c r="GNV2464" s="61"/>
      <c r="GNW2464" s="54"/>
      <c r="GNX2464" s="54"/>
      <c r="GNY2464" s="60"/>
      <c r="GNZ2464" s="60"/>
      <c r="GOA2464" s="60"/>
      <c r="GOB2464" s="60"/>
      <c r="GOC2464" s="63"/>
      <c r="GOD2464" s="61"/>
      <c r="GOE2464" s="54"/>
      <c r="GOF2464" s="54"/>
      <c r="GOG2464" s="60"/>
      <c r="GOH2464" s="60"/>
      <c r="GOI2464" s="60"/>
      <c r="GOJ2464" s="60"/>
      <c r="GOK2464" s="63"/>
      <c r="GOL2464" s="61"/>
      <c r="GOM2464" s="54"/>
      <c r="GON2464" s="54"/>
      <c r="GOO2464" s="60"/>
      <c r="GOP2464" s="60"/>
      <c r="GOQ2464" s="60"/>
      <c r="GOR2464" s="60"/>
      <c r="GOS2464" s="63"/>
      <c r="GOT2464" s="61"/>
      <c r="GOU2464" s="54"/>
      <c r="GOV2464" s="54"/>
      <c r="GOW2464" s="60"/>
      <c r="GOX2464" s="60"/>
      <c r="GOY2464" s="60"/>
      <c r="GOZ2464" s="60"/>
      <c r="GPA2464" s="63"/>
      <c r="GPB2464" s="61"/>
      <c r="GPC2464" s="54"/>
      <c r="GPD2464" s="54"/>
      <c r="GPE2464" s="60"/>
      <c r="GPF2464" s="60"/>
      <c r="GPG2464" s="60"/>
      <c r="GPH2464" s="60"/>
      <c r="GPI2464" s="63"/>
      <c r="GPJ2464" s="61"/>
      <c r="GPK2464" s="54"/>
      <c r="GPL2464" s="54"/>
      <c r="GPM2464" s="60"/>
      <c r="GPN2464" s="60"/>
      <c r="GPO2464" s="60"/>
      <c r="GPP2464" s="60"/>
      <c r="GPQ2464" s="63"/>
      <c r="GPR2464" s="61"/>
      <c r="GPS2464" s="54"/>
      <c r="GPT2464" s="54"/>
      <c r="GPU2464" s="60"/>
      <c r="GPV2464" s="60"/>
      <c r="GPW2464" s="60"/>
      <c r="GPX2464" s="60"/>
      <c r="GPY2464" s="63"/>
      <c r="GPZ2464" s="61"/>
      <c r="GQA2464" s="54"/>
      <c r="GQB2464" s="54"/>
      <c r="GQC2464" s="60"/>
      <c r="GQD2464" s="60"/>
      <c r="GQE2464" s="60"/>
      <c r="GQF2464" s="60"/>
      <c r="GQG2464" s="63"/>
      <c r="GQH2464" s="61"/>
      <c r="GQI2464" s="54"/>
      <c r="GQJ2464" s="54"/>
      <c r="GQK2464" s="60"/>
      <c r="GQL2464" s="60"/>
      <c r="GQM2464" s="60"/>
      <c r="GQN2464" s="60"/>
      <c r="GQO2464" s="63"/>
      <c r="GQP2464" s="61"/>
      <c r="GQQ2464" s="54"/>
      <c r="GQR2464" s="54"/>
      <c r="GQS2464" s="60"/>
      <c r="GQT2464" s="60"/>
      <c r="GQU2464" s="60"/>
      <c r="GQV2464" s="60"/>
      <c r="GQW2464" s="63"/>
      <c r="GQX2464" s="61"/>
      <c r="GQY2464" s="54"/>
      <c r="GQZ2464" s="54"/>
      <c r="GRA2464" s="60"/>
      <c r="GRB2464" s="60"/>
      <c r="GRC2464" s="60"/>
      <c r="GRD2464" s="60"/>
      <c r="GRE2464" s="63"/>
      <c r="GRF2464" s="61"/>
      <c r="GRG2464" s="54"/>
      <c r="GRH2464" s="54"/>
      <c r="GRI2464" s="60"/>
      <c r="GRJ2464" s="60"/>
      <c r="GRK2464" s="60"/>
      <c r="GRL2464" s="60"/>
      <c r="GRM2464" s="63"/>
      <c r="GRN2464" s="61"/>
      <c r="GRO2464" s="54"/>
      <c r="GRP2464" s="54"/>
      <c r="GRQ2464" s="60"/>
      <c r="GRR2464" s="60"/>
      <c r="GRS2464" s="60"/>
      <c r="GRT2464" s="60"/>
      <c r="GRU2464" s="63"/>
      <c r="GRV2464" s="61"/>
      <c r="GRW2464" s="54"/>
      <c r="GRX2464" s="54"/>
      <c r="GRY2464" s="60"/>
      <c r="GRZ2464" s="60"/>
      <c r="GSA2464" s="60"/>
      <c r="GSB2464" s="60"/>
      <c r="GSC2464" s="63"/>
      <c r="GSD2464" s="61"/>
      <c r="GSE2464" s="54"/>
      <c r="GSF2464" s="54"/>
      <c r="GSG2464" s="60"/>
      <c r="GSH2464" s="60"/>
      <c r="GSI2464" s="60"/>
      <c r="GSJ2464" s="60"/>
      <c r="GSK2464" s="63"/>
      <c r="GSL2464" s="61"/>
      <c r="GSM2464" s="54"/>
      <c r="GSN2464" s="54"/>
      <c r="GSO2464" s="60"/>
      <c r="GSP2464" s="60"/>
      <c r="GSQ2464" s="60"/>
      <c r="GSR2464" s="60"/>
      <c r="GSS2464" s="63"/>
      <c r="GST2464" s="61"/>
      <c r="GSU2464" s="54"/>
      <c r="GSV2464" s="54"/>
      <c r="GSW2464" s="60"/>
      <c r="GSX2464" s="60"/>
      <c r="GSY2464" s="60"/>
      <c r="GSZ2464" s="60"/>
      <c r="GTA2464" s="63"/>
      <c r="GTB2464" s="61"/>
      <c r="GTC2464" s="54"/>
      <c r="GTD2464" s="54"/>
      <c r="GTE2464" s="60"/>
      <c r="GTF2464" s="60"/>
      <c r="GTG2464" s="60"/>
      <c r="GTH2464" s="60"/>
      <c r="GTI2464" s="63"/>
      <c r="GTJ2464" s="61"/>
      <c r="GTK2464" s="54"/>
      <c r="GTL2464" s="54"/>
      <c r="GTM2464" s="60"/>
      <c r="GTN2464" s="60"/>
      <c r="GTO2464" s="60"/>
      <c r="GTP2464" s="60"/>
      <c r="GTQ2464" s="63"/>
      <c r="GTR2464" s="61"/>
      <c r="GTS2464" s="54"/>
      <c r="GTT2464" s="54"/>
      <c r="GTU2464" s="60"/>
      <c r="GTV2464" s="60"/>
      <c r="GTW2464" s="60"/>
      <c r="GTX2464" s="60"/>
      <c r="GTY2464" s="63"/>
      <c r="GTZ2464" s="61"/>
      <c r="GUA2464" s="54"/>
      <c r="GUB2464" s="54"/>
      <c r="GUC2464" s="60"/>
      <c r="GUD2464" s="60"/>
      <c r="GUE2464" s="60"/>
      <c r="GUF2464" s="60"/>
      <c r="GUG2464" s="63"/>
      <c r="GUH2464" s="61"/>
      <c r="GUI2464" s="54"/>
      <c r="GUJ2464" s="54"/>
      <c r="GUK2464" s="60"/>
      <c r="GUL2464" s="60"/>
      <c r="GUM2464" s="60"/>
      <c r="GUN2464" s="60"/>
      <c r="GUO2464" s="63"/>
      <c r="GUP2464" s="61"/>
      <c r="GUQ2464" s="54"/>
      <c r="GUR2464" s="54"/>
      <c r="GUS2464" s="60"/>
      <c r="GUT2464" s="60"/>
      <c r="GUU2464" s="60"/>
      <c r="GUV2464" s="60"/>
      <c r="GUW2464" s="63"/>
      <c r="GUX2464" s="61"/>
      <c r="GUY2464" s="54"/>
      <c r="GUZ2464" s="54"/>
      <c r="GVA2464" s="60"/>
      <c r="GVB2464" s="60"/>
      <c r="GVC2464" s="60"/>
      <c r="GVD2464" s="60"/>
      <c r="GVE2464" s="63"/>
      <c r="GVF2464" s="61"/>
      <c r="GVG2464" s="54"/>
      <c r="GVH2464" s="54"/>
      <c r="GVI2464" s="60"/>
      <c r="GVJ2464" s="60"/>
      <c r="GVK2464" s="60"/>
      <c r="GVL2464" s="60"/>
      <c r="GVM2464" s="63"/>
      <c r="GVN2464" s="61"/>
      <c r="GVO2464" s="54"/>
      <c r="GVP2464" s="54"/>
      <c r="GVQ2464" s="60"/>
      <c r="GVR2464" s="60"/>
      <c r="GVS2464" s="60"/>
      <c r="GVT2464" s="60"/>
      <c r="GVU2464" s="63"/>
      <c r="GVV2464" s="61"/>
      <c r="GVW2464" s="54"/>
      <c r="GVX2464" s="54"/>
      <c r="GVY2464" s="60"/>
      <c r="GVZ2464" s="60"/>
      <c r="GWA2464" s="60"/>
      <c r="GWB2464" s="60"/>
      <c r="GWC2464" s="63"/>
      <c r="GWD2464" s="61"/>
      <c r="GWE2464" s="54"/>
      <c r="GWF2464" s="54"/>
      <c r="GWG2464" s="60"/>
      <c r="GWH2464" s="60"/>
      <c r="GWI2464" s="60"/>
      <c r="GWJ2464" s="60"/>
      <c r="GWK2464" s="63"/>
      <c r="GWL2464" s="61"/>
      <c r="GWM2464" s="54"/>
      <c r="GWN2464" s="54"/>
      <c r="GWO2464" s="60"/>
      <c r="GWP2464" s="60"/>
      <c r="GWQ2464" s="60"/>
      <c r="GWR2464" s="60"/>
      <c r="GWS2464" s="63"/>
      <c r="GWT2464" s="61"/>
      <c r="GWU2464" s="54"/>
      <c r="GWV2464" s="54"/>
      <c r="GWW2464" s="60"/>
      <c r="GWX2464" s="60"/>
      <c r="GWY2464" s="60"/>
      <c r="GWZ2464" s="60"/>
      <c r="GXA2464" s="63"/>
      <c r="GXB2464" s="61"/>
      <c r="GXC2464" s="54"/>
      <c r="GXD2464" s="54"/>
      <c r="GXE2464" s="60"/>
      <c r="GXF2464" s="60"/>
      <c r="GXG2464" s="60"/>
      <c r="GXH2464" s="60"/>
      <c r="GXI2464" s="63"/>
      <c r="GXJ2464" s="61"/>
      <c r="GXK2464" s="54"/>
      <c r="GXL2464" s="54"/>
      <c r="GXM2464" s="60"/>
      <c r="GXN2464" s="60"/>
      <c r="GXO2464" s="60"/>
      <c r="GXP2464" s="60"/>
      <c r="GXQ2464" s="63"/>
      <c r="GXR2464" s="61"/>
      <c r="GXS2464" s="54"/>
      <c r="GXT2464" s="54"/>
      <c r="GXU2464" s="60"/>
      <c r="GXV2464" s="60"/>
      <c r="GXW2464" s="60"/>
      <c r="GXX2464" s="60"/>
      <c r="GXY2464" s="63"/>
      <c r="GXZ2464" s="61"/>
      <c r="GYA2464" s="54"/>
      <c r="GYB2464" s="54"/>
      <c r="GYC2464" s="60"/>
      <c r="GYD2464" s="60"/>
      <c r="GYE2464" s="60"/>
      <c r="GYF2464" s="60"/>
      <c r="GYG2464" s="63"/>
      <c r="GYH2464" s="61"/>
      <c r="GYI2464" s="54"/>
      <c r="GYJ2464" s="54"/>
      <c r="GYK2464" s="60"/>
      <c r="GYL2464" s="60"/>
      <c r="GYM2464" s="60"/>
      <c r="GYN2464" s="60"/>
      <c r="GYO2464" s="63"/>
      <c r="GYP2464" s="61"/>
      <c r="GYQ2464" s="54"/>
      <c r="GYR2464" s="54"/>
      <c r="GYS2464" s="60"/>
      <c r="GYT2464" s="60"/>
      <c r="GYU2464" s="60"/>
      <c r="GYV2464" s="60"/>
      <c r="GYW2464" s="63"/>
      <c r="GYX2464" s="61"/>
      <c r="GYY2464" s="54"/>
      <c r="GYZ2464" s="54"/>
      <c r="GZA2464" s="60"/>
      <c r="GZB2464" s="60"/>
      <c r="GZC2464" s="60"/>
      <c r="GZD2464" s="60"/>
      <c r="GZE2464" s="63"/>
      <c r="GZF2464" s="61"/>
      <c r="GZG2464" s="54"/>
      <c r="GZH2464" s="54"/>
      <c r="GZI2464" s="60"/>
      <c r="GZJ2464" s="60"/>
      <c r="GZK2464" s="60"/>
      <c r="GZL2464" s="60"/>
      <c r="GZM2464" s="63"/>
      <c r="GZN2464" s="61"/>
      <c r="GZO2464" s="54"/>
      <c r="GZP2464" s="54"/>
      <c r="GZQ2464" s="60"/>
      <c r="GZR2464" s="60"/>
      <c r="GZS2464" s="60"/>
      <c r="GZT2464" s="60"/>
      <c r="GZU2464" s="63"/>
      <c r="GZV2464" s="61"/>
      <c r="GZW2464" s="54"/>
      <c r="GZX2464" s="54"/>
      <c r="GZY2464" s="60"/>
      <c r="GZZ2464" s="60"/>
      <c r="HAA2464" s="60"/>
      <c r="HAB2464" s="60"/>
      <c r="HAC2464" s="63"/>
      <c r="HAD2464" s="61"/>
      <c r="HAE2464" s="54"/>
      <c r="HAF2464" s="54"/>
      <c r="HAG2464" s="60"/>
      <c r="HAH2464" s="60"/>
      <c r="HAI2464" s="60"/>
      <c r="HAJ2464" s="60"/>
      <c r="HAK2464" s="63"/>
      <c r="HAL2464" s="61"/>
      <c r="HAM2464" s="54"/>
      <c r="HAN2464" s="54"/>
      <c r="HAO2464" s="60"/>
      <c r="HAP2464" s="60"/>
      <c r="HAQ2464" s="60"/>
      <c r="HAR2464" s="60"/>
      <c r="HAS2464" s="63"/>
      <c r="HAT2464" s="61"/>
      <c r="HAU2464" s="54"/>
      <c r="HAV2464" s="54"/>
      <c r="HAW2464" s="60"/>
      <c r="HAX2464" s="60"/>
      <c r="HAY2464" s="60"/>
      <c r="HAZ2464" s="60"/>
      <c r="HBA2464" s="63"/>
      <c r="HBB2464" s="61"/>
      <c r="HBC2464" s="54"/>
      <c r="HBD2464" s="54"/>
      <c r="HBE2464" s="60"/>
      <c r="HBF2464" s="60"/>
      <c r="HBG2464" s="60"/>
      <c r="HBH2464" s="60"/>
      <c r="HBI2464" s="63"/>
      <c r="HBJ2464" s="61"/>
      <c r="HBK2464" s="54"/>
      <c r="HBL2464" s="54"/>
      <c r="HBM2464" s="60"/>
      <c r="HBN2464" s="60"/>
      <c r="HBO2464" s="60"/>
      <c r="HBP2464" s="60"/>
      <c r="HBQ2464" s="63"/>
      <c r="HBR2464" s="61"/>
      <c r="HBS2464" s="54"/>
      <c r="HBT2464" s="54"/>
      <c r="HBU2464" s="60"/>
      <c r="HBV2464" s="60"/>
      <c r="HBW2464" s="60"/>
      <c r="HBX2464" s="60"/>
      <c r="HBY2464" s="63"/>
      <c r="HBZ2464" s="61"/>
      <c r="HCA2464" s="54"/>
      <c r="HCB2464" s="54"/>
      <c r="HCC2464" s="60"/>
      <c r="HCD2464" s="60"/>
      <c r="HCE2464" s="60"/>
      <c r="HCF2464" s="60"/>
      <c r="HCG2464" s="63"/>
      <c r="HCH2464" s="61"/>
      <c r="HCI2464" s="54"/>
      <c r="HCJ2464" s="54"/>
      <c r="HCK2464" s="60"/>
      <c r="HCL2464" s="60"/>
      <c r="HCM2464" s="60"/>
      <c r="HCN2464" s="60"/>
      <c r="HCO2464" s="63"/>
      <c r="HCP2464" s="61"/>
      <c r="HCQ2464" s="54"/>
      <c r="HCR2464" s="54"/>
      <c r="HCS2464" s="60"/>
      <c r="HCT2464" s="60"/>
      <c r="HCU2464" s="60"/>
      <c r="HCV2464" s="60"/>
      <c r="HCW2464" s="63"/>
      <c r="HCX2464" s="61"/>
      <c r="HCY2464" s="54"/>
      <c r="HCZ2464" s="54"/>
      <c r="HDA2464" s="60"/>
      <c r="HDB2464" s="60"/>
      <c r="HDC2464" s="60"/>
      <c r="HDD2464" s="60"/>
      <c r="HDE2464" s="63"/>
      <c r="HDF2464" s="61"/>
      <c r="HDG2464" s="54"/>
      <c r="HDH2464" s="54"/>
      <c r="HDI2464" s="60"/>
      <c r="HDJ2464" s="60"/>
      <c r="HDK2464" s="60"/>
      <c r="HDL2464" s="60"/>
      <c r="HDM2464" s="63"/>
      <c r="HDN2464" s="61"/>
      <c r="HDO2464" s="54"/>
      <c r="HDP2464" s="54"/>
      <c r="HDQ2464" s="60"/>
      <c r="HDR2464" s="60"/>
      <c r="HDS2464" s="60"/>
      <c r="HDT2464" s="60"/>
      <c r="HDU2464" s="63"/>
      <c r="HDV2464" s="61"/>
      <c r="HDW2464" s="54"/>
      <c r="HDX2464" s="54"/>
      <c r="HDY2464" s="60"/>
      <c r="HDZ2464" s="60"/>
      <c r="HEA2464" s="60"/>
      <c r="HEB2464" s="60"/>
      <c r="HEC2464" s="63"/>
      <c r="HED2464" s="61"/>
      <c r="HEE2464" s="54"/>
      <c r="HEF2464" s="54"/>
      <c r="HEG2464" s="60"/>
      <c r="HEH2464" s="60"/>
      <c r="HEI2464" s="60"/>
      <c r="HEJ2464" s="60"/>
      <c r="HEK2464" s="63"/>
      <c r="HEL2464" s="61"/>
      <c r="HEM2464" s="54"/>
      <c r="HEN2464" s="54"/>
      <c r="HEO2464" s="60"/>
      <c r="HEP2464" s="60"/>
      <c r="HEQ2464" s="60"/>
      <c r="HER2464" s="60"/>
      <c r="HES2464" s="63"/>
      <c r="HET2464" s="61"/>
      <c r="HEU2464" s="54"/>
      <c r="HEV2464" s="54"/>
      <c r="HEW2464" s="60"/>
      <c r="HEX2464" s="60"/>
      <c r="HEY2464" s="60"/>
      <c r="HEZ2464" s="60"/>
      <c r="HFA2464" s="63"/>
      <c r="HFB2464" s="61"/>
      <c r="HFC2464" s="54"/>
      <c r="HFD2464" s="54"/>
      <c r="HFE2464" s="60"/>
      <c r="HFF2464" s="60"/>
      <c r="HFG2464" s="60"/>
      <c r="HFH2464" s="60"/>
      <c r="HFI2464" s="63"/>
      <c r="HFJ2464" s="61"/>
      <c r="HFK2464" s="54"/>
      <c r="HFL2464" s="54"/>
      <c r="HFM2464" s="60"/>
      <c r="HFN2464" s="60"/>
      <c r="HFO2464" s="60"/>
      <c r="HFP2464" s="60"/>
      <c r="HFQ2464" s="63"/>
      <c r="HFR2464" s="61"/>
      <c r="HFS2464" s="54"/>
      <c r="HFT2464" s="54"/>
      <c r="HFU2464" s="60"/>
      <c r="HFV2464" s="60"/>
      <c r="HFW2464" s="60"/>
      <c r="HFX2464" s="60"/>
      <c r="HFY2464" s="63"/>
      <c r="HFZ2464" s="61"/>
      <c r="HGA2464" s="54"/>
      <c r="HGB2464" s="54"/>
      <c r="HGC2464" s="60"/>
      <c r="HGD2464" s="60"/>
      <c r="HGE2464" s="60"/>
      <c r="HGF2464" s="60"/>
      <c r="HGG2464" s="63"/>
      <c r="HGH2464" s="61"/>
      <c r="HGI2464" s="54"/>
      <c r="HGJ2464" s="54"/>
      <c r="HGK2464" s="60"/>
      <c r="HGL2464" s="60"/>
      <c r="HGM2464" s="60"/>
      <c r="HGN2464" s="60"/>
      <c r="HGO2464" s="63"/>
      <c r="HGP2464" s="61"/>
      <c r="HGQ2464" s="54"/>
      <c r="HGR2464" s="54"/>
      <c r="HGS2464" s="60"/>
      <c r="HGT2464" s="60"/>
      <c r="HGU2464" s="60"/>
      <c r="HGV2464" s="60"/>
      <c r="HGW2464" s="63"/>
      <c r="HGX2464" s="61"/>
      <c r="HGY2464" s="54"/>
      <c r="HGZ2464" s="54"/>
      <c r="HHA2464" s="60"/>
      <c r="HHB2464" s="60"/>
      <c r="HHC2464" s="60"/>
      <c r="HHD2464" s="60"/>
      <c r="HHE2464" s="63"/>
      <c r="HHF2464" s="61"/>
      <c r="HHG2464" s="54"/>
      <c r="HHH2464" s="54"/>
      <c r="HHI2464" s="60"/>
      <c r="HHJ2464" s="60"/>
      <c r="HHK2464" s="60"/>
      <c r="HHL2464" s="60"/>
      <c r="HHM2464" s="63"/>
      <c r="HHN2464" s="61"/>
      <c r="HHO2464" s="54"/>
      <c r="HHP2464" s="54"/>
      <c r="HHQ2464" s="60"/>
      <c r="HHR2464" s="60"/>
      <c r="HHS2464" s="60"/>
      <c r="HHT2464" s="60"/>
      <c r="HHU2464" s="63"/>
      <c r="HHV2464" s="61"/>
      <c r="HHW2464" s="54"/>
      <c r="HHX2464" s="54"/>
      <c r="HHY2464" s="60"/>
      <c r="HHZ2464" s="60"/>
      <c r="HIA2464" s="60"/>
      <c r="HIB2464" s="60"/>
      <c r="HIC2464" s="63"/>
      <c r="HID2464" s="61"/>
      <c r="HIE2464" s="54"/>
      <c r="HIF2464" s="54"/>
      <c r="HIG2464" s="60"/>
      <c r="HIH2464" s="60"/>
      <c r="HII2464" s="60"/>
      <c r="HIJ2464" s="60"/>
      <c r="HIK2464" s="63"/>
      <c r="HIL2464" s="61"/>
      <c r="HIM2464" s="54"/>
      <c r="HIN2464" s="54"/>
      <c r="HIO2464" s="60"/>
      <c r="HIP2464" s="60"/>
      <c r="HIQ2464" s="60"/>
      <c r="HIR2464" s="60"/>
      <c r="HIS2464" s="63"/>
      <c r="HIT2464" s="61"/>
      <c r="HIU2464" s="54"/>
      <c r="HIV2464" s="54"/>
      <c r="HIW2464" s="60"/>
      <c r="HIX2464" s="60"/>
      <c r="HIY2464" s="60"/>
      <c r="HIZ2464" s="60"/>
      <c r="HJA2464" s="63"/>
      <c r="HJB2464" s="61"/>
      <c r="HJC2464" s="54"/>
      <c r="HJD2464" s="54"/>
      <c r="HJE2464" s="60"/>
      <c r="HJF2464" s="60"/>
      <c r="HJG2464" s="60"/>
      <c r="HJH2464" s="60"/>
      <c r="HJI2464" s="63"/>
      <c r="HJJ2464" s="61"/>
      <c r="HJK2464" s="54"/>
      <c r="HJL2464" s="54"/>
      <c r="HJM2464" s="60"/>
      <c r="HJN2464" s="60"/>
      <c r="HJO2464" s="60"/>
      <c r="HJP2464" s="60"/>
      <c r="HJQ2464" s="63"/>
      <c r="HJR2464" s="61"/>
      <c r="HJS2464" s="54"/>
      <c r="HJT2464" s="54"/>
      <c r="HJU2464" s="60"/>
      <c r="HJV2464" s="60"/>
      <c r="HJW2464" s="60"/>
      <c r="HJX2464" s="60"/>
      <c r="HJY2464" s="63"/>
      <c r="HJZ2464" s="61"/>
      <c r="HKA2464" s="54"/>
      <c r="HKB2464" s="54"/>
      <c r="HKC2464" s="60"/>
      <c r="HKD2464" s="60"/>
      <c r="HKE2464" s="60"/>
      <c r="HKF2464" s="60"/>
      <c r="HKG2464" s="63"/>
      <c r="HKH2464" s="61"/>
      <c r="HKI2464" s="54"/>
      <c r="HKJ2464" s="54"/>
      <c r="HKK2464" s="60"/>
      <c r="HKL2464" s="60"/>
      <c r="HKM2464" s="60"/>
      <c r="HKN2464" s="60"/>
      <c r="HKO2464" s="63"/>
      <c r="HKP2464" s="61"/>
      <c r="HKQ2464" s="54"/>
      <c r="HKR2464" s="54"/>
      <c r="HKS2464" s="60"/>
      <c r="HKT2464" s="60"/>
      <c r="HKU2464" s="60"/>
      <c r="HKV2464" s="60"/>
      <c r="HKW2464" s="63"/>
      <c r="HKX2464" s="61"/>
      <c r="HKY2464" s="54"/>
      <c r="HKZ2464" s="54"/>
      <c r="HLA2464" s="60"/>
      <c r="HLB2464" s="60"/>
      <c r="HLC2464" s="60"/>
      <c r="HLD2464" s="60"/>
      <c r="HLE2464" s="63"/>
      <c r="HLF2464" s="61"/>
      <c r="HLG2464" s="54"/>
      <c r="HLH2464" s="54"/>
      <c r="HLI2464" s="60"/>
      <c r="HLJ2464" s="60"/>
      <c r="HLK2464" s="60"/>
      <c r="HLL2464" s="60"/>
      <c r="HLM2464" s="63"/>
      <c r="HLN2464" s="61"/>
      <c r="HLO2464" s="54"/>
      <c r="HLP2464" s="54"/>
      <c r="HLQ2464" s="60"/>
      <c r="HLR2464" s="60"/>
      <c r="HLS2464" s="60"/>
      <c r="HLT2464" s="60"/>
      <c r="HLU2464" s="63"/>
      <c r="HLV2464" s="61"/>
      <c r="HLW2464" s="54"/>
      <c r="HLX2464" s="54"/>
      <c r="HLY2464" s="60"/>
      <c r="HLZ2464" s="60"/>
      <c r="HMA2464" s="60"/>
      <c r="HMB2464" s="60"/>
      <c r="HMC2464" s="63"/>
      <c r="HMD2464" s="61"/>
      <c r="HME2464" s="54"/>
      <c r="HMF2464" s="54"/>
      <c r="HMG2464" s="60"/>
      <c r="HMH2464" s="60"/>
      <c r="HMI2464" s="60"/>
      <c r="HMJ2464" s="60"/>
      <c r="HMK2464" s="63"/>
      <c r="HML2464" s="61"/>
      <c r="HMM2464" s="54"/>
      <c r="HMN2464" s="54"/>
      <c r="HMO2464" s="60"/>
      <c r="HMP2464" s="60"/>
      <c r="HMQ2464" s="60"/>
      <c r="HMR2464" s="60"/>
      <c r="HMS2464" s="63"/>
      <c r="HMT2464" s="61"/>
      <c r="HMU2464" s="54"/>
      <c r="HMV2464" s="54"/>
      <c r="HMW2464" s="60"/>
      <c r="HMX2464" s="60"/>
      <c r="HMY2464" s="60"/>
      <c r="HMZ2464" s="60"/>
      <c r="HNA2464" s="63"/>
      <c r="HNB2464" s="61"/>
      <c r="HNC2464" s="54"/>
      <c r="HND2464" s="54"/>
      <c r="HNE2464" s="60"/>
      <c r="HNF2464" s="60"/>
      <c r="HNG2464" s="60"/>
      <c r="HNH2464" s="60"/>
      <c r="HNI2464" s="63"/>
      <c r="HNJ2464" s="61"/>
      <c r="HNK2464" s="54"/>
      <c r="HNL2464" s="54"/>
      <c r="HNM2464" s="60"/>
      <c r="HNN2464" s="60"/>
      <c r="HNO2464" s="60"/>
      <c r="HNP2464" s="60"/>
      <c r="HNQ2464" s="63"/>
      <c r="HNR2464" s="61"/>
      <c r="HNS2464" s="54"/>
      <c r="HNT2464" s="54"/>
      <c r="HNU2464" s="60"/>
      <c r="HNV2464" s="60"/>
      <c r="HNW2464" s="60"/>
      <c r="HNX2464" s="60"/>
      <c r="HNY2464" s="63"/>
      <c r="HNZ2464" s="61"/>
      <c r="HOA2464" s="54"/>
      <c r="HOB2464" s="54"/>
      <c r="HOC2464" s="60"/>
      <c r="HOD2464" s="60"/>
      <c r="HOE2464" s="60"/>
      <c r="HOF2464" s="60"/>
      <c r="HOG2464" s="63"/>
      <c r="HOH2464" s="61"/>
      <c r="HOI2464" s="54"/>
      <c r="HOJ2464" s="54"/>
      <c r="HOK2464" s="60"/>
      <c r="HOL2464" s="60"/>
      <c r="HOM2464" s="60"/>
      <c r="HON2464" s="60"/>
      <c r="HOO2464" s="63"/>
      <c r="HOP2464" s="61"/>
      <c r="HOQ2464" s="54"/>
      <c r="HOR2464" s="54"/>
      <c r="HOS2464" s="60"/>
      <c r="HOT2464" s="60"/>
      <c r="HOU2464" s="60"/>
      <c r="HOV2464" s="60"/>
      <c r="HOW2464" s="63"/>
      <c r="HOX2464" s="61"/>
      <c r="HOY2464" s="54"/>
      <c r="HOZ2464" s="54"/>
      <c r="HPA2464" s="60"/>
      <c r="HPB2464" s="60"/>
      <c r="HPC2464" s="60"/>
      <c r="HPD2464" s="60"/>
      <c r="HPE2464" s="63"/>
      <c r="HPF2464" s="61"/>
      <c r="HPG2464" s="54"/>
      <c r="HPH2464" s="54"/>
      <c r="HPI2464" s="60"/>
      <c r="HPJ2464" s="60"/>
      <c r="HPK2464" s="60"/>
      <c r="HPL2464" s="60"/>
      <c r="HPM2464" s="63"/>
      <c r="HPN2464" s="61"/>
      <c r="HPO2464" s="54"/>
      <c r="HPP2464" s="54"/>
      <c r="HPQ2464" s="60"/>
      <c r="HPR2464" s="60"/>
      <c r="HPS2464" s="60"/>
      <c r="HPT2464" s="60"/>
      <c r="HPU2464" s="63"/>
      <c r="HPV2464" s="61"/>
      <c r="HPW2464" s="54"/>
      <c r="HPX2464" s="54"/>
      <c r="HPY2464" s="60"/>
      <c r="HPZ2464" s="60"/>
      <c r="HQA2464" s="60"/>
      <c r="HQB2464" s="60"/>
      <c r="HQC2464" s="63"/>
      <c r="HQD2464" s="61"/>
      <c r="HQE2464" s="54"/>
      <c r="HQF2464" s="54"/>
      <c r="HQG2464" s="60"/>
      <c r="HQH2464" s="60"/>
      <c r="HQI2464" s="60"/>
      <c r="HQJ2464" s="60"/>
      <c r="HQK2464" s="63"/>
      <c r="HQL2464" s="61"/>
      <c r="HQM2464" s="54"/>
      <c r="HQN2464" s="54"/>
      <c r="HQO2464" s="60"/>
      <c r="HQP2464" s="60"/>
      <c r="HQQ2464" s="60"/>
      <c r="HQR2464" s="60"/>
      <c r="HQS2464" s="63"/>
      <c r="HQT2464" s="61"/>
      <c r="HQU2464" s="54"/>
      <c r="HQV2464" s="54"/>
      <c r="HQW2464" s="60"/>
      <c r="HQX2464" s="60"/>
      <c r="HQY2464" s="60"/>
      <c r="HQZ2464" s="60"/>
      <c r="HRA2464" s="63"/>
      <c r="HRB2464" s="61"/>
      <c r="HRC2464" s="54"/>
      <c r="HRD2464" s="54"/>
      <c r="HRE2464" s="60"/>
      <c r="HRF2464" s="60"/>
      <c r="HRG2464" s="60"/>
      <c r="HRH2464" s="60"/>
      <c r="HRI2464" s="63"/>
      <c r="HRJ2464" s="61"/>
      <c r="HRK2464" s="54"/>
      <c r="HRL2464" s="54"/>
      <c r="HRM2464" s="60"/>
      <c r="HRN2464" s="60"/>
      <c r="HRO2464" s="60"/>
      <c r="HRP2464" s="60"/>
      <c r="HRQ2464" s="63"/>
      <c r="HRR2464" s="61"/>
      <c r="HRS2464" s="54"/>
      <c r="HRT2464" s="54"/>
      <c r="HRU2464" s="60"/>
      <c r="HRV2464" s="60"/>
      <c r="HRW2464" s="60"/>
      <c r="HRX2464" s="60"/>
      <c r="HRY2464" s="63"/>
      <c r="HRZ2464" s="61"/>
      <c r="HSA2464" s="54"/>
      <c r="HSB2464" s="54"/>
      <c r="HSC2464" s="60"/>
      <c r="HSD2464" s="60"/>
      <c r="HSE2464" s="60"/>
      <c r="HSF2464" s="60"/>
      <c r="HSG2464" s="63"/>
      <c r="HSH2464" s="61"/>
      <c r="HSI2464" s="54"/>
      <c r="HSJ2464" s="54"/>
      <c r="HSK2464" s="60"/>
      <c r="HSL2464" s="60"/>
      <c r="HSM2464" s="60"/>
      <c r="HSN2464" s="60"/>
      <c r="HSO2464" s="63"/>
      <c r="HSP2464" s="61"/>
      <c r="HSQ2464" s="54"/>
      <c r="HSR2464" s="54"/>
      <c r="HSS2464" s="60"/>
      <c r="HST2464" s="60"/>
      <c r="HSU2464" s="60"/>
      <c r="HSV2464" s="60"/>
      <c r="HSW2464" s="63"/>
      <c r="HSX2464" s="61"/>
      <c r="HSY2464" s="54"/>
      <c r="HSZ2464" s="54"/>
      <c r="HTA2464" s="60"/>
      <c r="HTB2464" s="60"/>
      <c r="HTC2464" s="60"/>
      <c r="HTD2464" s="60"/>
      <c r="HTE2464" s="63"/>
      <c r="HTF2464" s="61"/>
      <c r="HTG2464" s="54"/>
      <c r="HTH2464" s="54"/>
      <c r="HTI2464" s="60"/>
      <c r="HTJ2464" s="60"/>
      <c r="HTK2464" s="60"/>
      <c r="HTL2464" s="60"/>
      <c r="HTM2464" s="63"/>
      <c r="HTN2464" s="61"/>
      <c r="HTO2464" s="54"/>
      <c r="HTP2464" s="54"/>
      <c r="HTQ2464" s="60"/>
      <c r="HTR2464" s="60"/>
      <c r="HTS2464" s="60"/>
      <c r="HTT2464" s="60"/>
      <c r="HTU2464" s="63"/>
      <c r="HTV2464" s="61"/>
      <c r="HTW2464" s="54"/>
      <c r="HTX2464" s="54"/>
      <c r="HTY2464" s="60"/>
      <c r="HTZ2464" s="60"/>
      <c r="HUA2464" s="60"/>
      <c r="HUB2464" s="60"/>
      <c r="HUC2464" s="63"/>
      <c r="HUD2464" s="61"/>
      <c r="HUE2464" s="54"/>
      <c r="HUF2464" s="54"/>
      <c r="HUG2464" s="60"/>
      <c r="HUH2464" s="60"/>
      <c r="HUI2464" s="60"/>
      <c r="HUJ2464" s="60"/>
      <c r="HUK2464" s="63"/>
      <c r="HUL2464" s="61"/>
      <c r="HUM2464" s="54"/>
      <c r="HUN2464" s="54"/>
      <c r="HUO2464" s="60"/>
      <c r="HUP2464" s="60"/>
      <c r="HUQ2464" s="60"/>
      <c r="HUR2464" s="60"/>
      <c r="HUS2464" s="63"/>
      <c r="HUT2464" s="61"/>
      <c r="HUU2464" s="54"/>
      <c r="HUV2464" s="54"/>
      <c r="HUW2464" s="60"/>
      <c r="HUX2464" s="60"/>
      <c r="HUY2464" s="60"/>
      <c r="HUZ2464" s="60"/>
      <c r="HVA2464" s="63"/>
      <c r="HVB2464" s="61"/>
      <c r="HVC2464" s="54"/>
      <c r="HVD2464" s="54"/>
      <c r="HVE2464" s="60"/>
      <c r="HVF2464" s="60"/>
      <c r="HVG2464" s="60"/>
      <c r="HVH2464" s="60"/>
      <c r="HVI2464" s="63"/>
      <c r="HVJ2464" s="61"/>
      <c r="HVK2464" s="54"/>
      <c r="HVL2464" s="54"/>
      <c r="HVM2464" s="60"/>
      <c r="HVN2464" s="60"/>
      <c r="HVO2464" s="60"/>
      <c r="HVP2464" s="60"/>
      <c r="HVQ2464" s="63"/>
      <c r="HVR2464" s="61"/>
      <c r="HVS2464" s="54"/>
      <c r="HVT2464" s="54"/>
      <c r="HVU2464" s="60"/>
      <c r="HVV2464" s="60"/>
      <c r="HVW2464" s="60"/>
      <c r="HVX2464" s="60"/>
      <c r="HVY2464" s="63"/>
      <c r="HVZ2464" s="61"/>
      <c r="HWA2464" s="54"/>
      <c r="HWB2464" s="54"/>
      <c r="HWC2464" s="60"/>
      <c r="HWD2464" s="60"/>
      <c r="HWE2464" s="60"/>
      <c r="HWF2464" s="60"/>
      <c r="HWG2464" s="63"/>
      <c r="HWH2464" s="61"/>
      <c r="HWI2464" s="54"/>
      <c r="HWJ2464" s="54"/>
      <c r="HWK2464" s="60"/>
      <c r="HWL2464" s="60"/>
      <c r="HWM2464" s="60"/>
      <c r="HWN2464" s="60"/>
      <c r="HWO2464" s="63"/>
      <c r="HWP2464" s="61"/>
      <c r="HWQ2464" s="54"/>
      <c r="HWR2464" s="54"/>
      <c r="HWS2464" s="60"/>
      <c r="HWT2464" s="60"/>
      <c r="HWU2464" s="60"/>
      <c r="HWV2464" s="60"/>
      <c r="HWW2464" s="63"/>
      <c r="HWX2464" s="61"/>
      <c r="HWY2464" s="54"/>
      <c r="HWZ2464" s="54"/>
      <c r="HXA2464" s="60"/>
      <c r="HXB2464" s="60"/>
      <c r="HXC2464" s="60"/>
      <c r="HXD2464" s="60"/>
      <c r="HXE2464" s="63"/>
      <c r="HXF2464" s="61"/>
      <c r="HXG2464" s="54"/>
      <c r="HXH2464" s="54"/>
      <c r="HXI2464" s="60"/>
      <c r="HXJ2464" s="60"/>
      <c r="HXK2464" s="60"/>
      <c r="HXL2464" s="60"/>
      <c r="HXM2464" s="63"/>
      <c r="HXN2464" s="61"/>
      <c r="HXO2464" s="54"/>
      <c r="HXP2464" s="54"/>
      <c r="HXQ2464" s="60"/>
      <c r="HXR2464" s="60"/>
      <c r="HXS2464" s="60"/>
      <c r="HXT2464" s="60"/>
      <c r="HXU2464" s="63"/>
      <c r="HXV2464" s="61"/>
      <c r="HXW2464" s="54"/>
      <c r="HXX2464" s="54"/>
      <c r="HXY2464" s="60"/>
      <c r="HXZ2464" s="60"/>
      <c r="HYA2464" s="60"/>
      <c r="HYB2464" s="60"/>
      <c r="HYC2464" s="63"/>
      <c r="HYD2464" s="61"/>
      <c r="HYE2464" s="54"/>
      <c r="HYF2464" s="54"/>
      <c r="HYG2464" s="60"/>
      <c r="HYH2464" s="60"/>
      <c r="HYI2464" s="60"/>
      <c r="HYJ2464" s="60"/>
      <c r="HYK2464" s="63"/>
      <c r="HYL2464" s="61"/>
      <c r="HYM2464" s="54"/>
      <c r="HYN2464" s="54"/>
      <c r="HYO2464" s="60"/>
      <c r="HYP2464" s="60"/>
      <c r="HYQ2464" s="60"/>
      <c r="HYR2464" s="60"/>
      <c r="HYS2464" s="63"/>
      <c r="HYT2464" s="61"/>
      <c r="HYU2464" s="54"/>
      <c r="HYV2464" s="54"/>
      <c r="HYW2464" s="60"/>
      <c r="HYX2464" s="60"/>
      <c r="HYY2464" s="60"/>
      <c r="HYZ2464" s="60"/>
      <c r="HZA2464" s="63"/>
      <c r="HZB2464" s="61"/>
      <c r="HZC2464" s="54"/>
      <c r="HZD2464" s="54"/>
      <c r="HZE2464" s="60"/>
      <c r="HZF2464" s="60"/>
      <c r="HZG2464" s="60"/>
      <c r="HZH2464" s="60"/>
      <c r="HZI2464" s="63"/>
      <c r="HZJ2464" s="61"/>
      <c r="HZK2464" s="54"/>
      <c r="HZL2464" s="54"/>
      <c r="HZM2464" s="60"/>
      <c r="HZN2464" s="60"/>
      <c r="HZO2464" s="60"/>
      <c r="HZP2464" s="60"/>
      <c r="HZQ2464" s="63"/>
      <c r="HZR2464" s="61"/>
      <c r="HZS2464" s="54"/>
      <c r="HZT2464" s="54"/>
      <c r="HZU2464" s="60"/>
      <c r="HZV2464" s="60"/>
      <c r="HZW2464" s="60"/>
      <c r="HZX2464" s="60"/>
      <c r="HZY2464" s="63"/>
      <c r="HZZ2464" s="61"/>
      <c r="IAA2464" s="54"/>
      <c r="IAB2464" s="54"/>
      <c r="IAC2464" s="60"/>
      <c r="IAD2464" s="60"/>
      <c r="IAE2464" s="60"/>
      <c r="IAF2464" s="60"/>
      <c r="IAG2464" s="63"/>
      <c r="IAH2464" s="61"/>
      <c r="IAI2464" s="54"/>
      <c r="IAJ2464" s="54"/>
      <c r="IAK2464" s="60"/>
      <c r="IAL2464" s="60"/>
      <c r="IAM2464" s="60"/>
      <c r="IAN2464" s="60"/>
      <c r="IAO2464" s="63"/>
      <c r="IAP2464" s="61"/>
      <c r="IAQ2464" s="54"/>
      <c r="IAR2464" s="54"/>
      <c r="IAS2464" s="60"/>
      <c r="IAT2464" s="60"/>
      <c r="IAU2464" s="60"/>
      <c r="IAV2464" s="60"/>
      <c r="IAW2464" s="63"/>
      <c r="IAX2464" s="61"/>
      <c r="IAY2464" s="54"/>
      <c r="IAZ2464" s="54"/>
      <c r="IBA2464" s="60"/>
      <c r="IBB2464" s="60"/>
      <c r="IBC2464" s="60"/>
      <c r="IBD2464" s="60"/>
      <c r="IBE2464" s="63"/>
      <c r="IBF2464" s="61"/>
      <c r="IBG2464" s="54"/>
      <c r="IBH2464" s="54"/>
      <c r="IBI2464" s="60"/>
      <c r="IBJ2464" s="60"/>
      <c r="IBK2464" s="60"/>
      <c r="IBL2464" s="60"/>
      <c r="IBM2464" s="63"/>
      <c r="IBN2464" s="61"/>
      <c r="IBO2464" s="54"/>
      <c r="IBP2464" s="54"/>
      <c r="IBQ2464" s="60"/>
      <c r="IBR2464" s="60"/>
      <c r="IBS2464" s="60"/>
      <c r="IBT2464" s="60"/>
      <c r="IBU2464" s="63"/>
      <c r="IBV2464" s="61"/>
      <c r="IBW2464" s="54"/>
      <c r="IBX2464" s="54"/>
      <c r="IBY2464" s="60"/>
      <c r="IBZ2464" s="60"/>
      <c r="ICA2464" s="60"/>
      <c r="ICB2464" s="60"/>
      <c r="ICC2464" s="63"/>
      <c r="ICD2464" s="61"/>
      <c r="ICE2464" s="54"/>
      <c r="ICF2464" s="54"/>
      <c r="ICG2464" s="60"/>
      <c r="ICH2464" s="60"/>
      <c r="ICI2464" s="60"/>
      <c r="ICJ2464" s="60"/>
      <c r="ICK2464" s="63"/>
      <c r="ICL2464" s="61"/>
      <c r="ICM2464" s="54"/>
      <c r="ICN2464" s="54"/>
      <c r="ICO2464" s="60"/>
      <c r="ICP2464" s="60"/>
      <c r="ICQ2464" s="60"/>
      <c r="ICR2464" s="60"/>
      <c r="ICS2464" s="63"/>
      <c r="ICT2464" s="61"/>
      <c r="ICU2464" s="54"/>
      <c r="ICV2464" s="54"/>
      <c r="ICW2464" s="60"/>
      <c r="ICX2464" s="60"/>
      <c r="ICY2464" s="60"/>
      <c r="ICZ2464" s="60"/>
      <c r="IDA2464" s="63"/>
      <c r="IDB2464" s="61"/>
      <c r="IDC2464" s="54"/>
      <c r="IDD2464" s="54"/>
      <c r="IDE2464" s="60"/>
      <c r="IDF2464" s="60"/>
      <c r="IDG2464" s="60"/>
      <c r="IDH2464" s="60"/>
      <c r="IDI2464" s="63"/>
      <c r="IDJ2464" s="61"/>
      <c r="IDK2464" s="54"/>
      <c r="IDL2464" s="54"/>
      <c r="IDM2464" s="60"/>
      <c r="IDN2464" s="60"/>
      <c r="IDO2464" s="60"/>
      <c r="IDP2464" s="60"/>
      <c r="IDQ2464" s="63"/>
      <c r="IDR2464" s="61"/>
      <c r="IDS2464" s="54"/>
      <c r="IDT2464" s="54"/>
      <c r="IDU2464" s="60"/>
      <c r="IDV2464" s="60"/>
      <c r="IDW2464" s="60"/>
      <c r="IDX2464" s="60"/>
      <c r="IDY2464" s="63"/>
      <c r="IDZ2464" s="61"/>
      <c r="IEA2464" s="54"/>
      <c r="IEB2464" s="54"/>
      <c r="IEC2464" s="60"/>
      <c r="IED2464" s="60"/>
      <c r="IEE2464" s="60"/>
      <c r="IEF2464" s="60"/>
      <c r="IEG2464" s="63"/>
      <c r="IEH2464" s="61"/>
      <c r="IEI2464" s="54"/>
      <c r="IEJ2464" s="54"/>
      <c r="IEK2464" s="60"/>
      <c r="IEL2464" s="60"/>
      <c r="IEM2464" s="60"/>
      <c r="IEN2464" s="60"/>
      <c r="IEO2464" s="63"/>
      <c r="IEP2464" s="61"/>
      <c r="IEQ2464" s="54"/>
      <c r="IER2464" s="54"/>
      <c r="IES2464" s="60"/>
      <c r="IET2464" s="60"/>
      <c r="IEU2464" s="60"/>
      <c r="IEV2464" s="60"/>
      <c r="IEW2464" s="63"/>
      <c r="IEX2464" s="61"/>
      <c r="IEY2464" s="54"/>
      <c r="IEZ2464" s="54"/>
      <c r="IFA2464" s="60"/>
      <c r="IFB2464" s="60"/>
      <c r="IFC2464" s="60"/>
      <c r="IFD2464" s="60"/>
      <c r="IFE2464" s="63"/>
      <c r="IFF2464" s="61"/>
      <c r="IFG2464" s="54"/>
      <c r="IFH2464" s="54"/>
      <c r="IFI2464" s="60"/>
      <c r="IFJ2464" s="60"/>
      <c r="IFK2464" s="60"/>
      <c r="IFL2464" s="60"/>
      <c r="IFM2464" s="63"/>
      <c r="IFN2464" s="61"/>
      <c r="IFO2464" s="54"/>
      <c r="IFP2464" s="54"/>
      <c r="IFQ2464" s="60"/>
      <c r="IFR2464" s="60"/>
      <c r="IFS2464" s="60"/>
      <c r="IFT2464" s="60"/>
      <c r="IFU2464" s="63"/>
      <c r="IFV2464" s="61"/>
      <c r="IFW2464" s="54"/>
      <c r="IFX2464" s="54"/>
      <c r="IFY2464" s="60"/>
      <c r="IFZ2464" s="60"/>
      <c r="IGA2464" s="60"/>
      <c r="IGB2464" s="60"/>
      <c r="IGC2464" s="63"/>
      <c r="IGD2464" s="61"/>
      <c r="IGE2464" s="54"/>
      <c r="IGF2464" s="54"/>
      <c r="IGG2464" s="60"/>
      <c r="IGH2464" s="60"/>
      <c r="IGI2464" s="60"/>
      <c r="IGJ2464" s="60"/>
      <c r="IGK2464" s="63"/>
      <c r="IGL2464" s="61"/>
      <c r="IGM2464" s="54"/>
      <c r="IGN2464" s="54"/>
      <c r="IGO2464" s="60"/>
      <c r="IGP2464" s="60"/>
      <c r="IGQ2464" s="60"/>
      <c r="IGR2464" s="60"/>
      <c r="IGS2464" s="63"/>
      <c r="IGT2464" s="61"/>
      <c r="IGU2464" s="54"/>
      <c r="IGV2464" s="54"/>
      <c r="IGW2464" s="60"/>
      <c r="IGX2464" s="60"/>
      <c r="IGY2464" s="60"/>
      <c r="IGZ2464" s="60"/>
      <c r="IHA2464" s="63"/>
      <c r="IHB2464" s="61"/>
      <c r="IHC2464" s="54"/>
      <c r="IHD2464" s="54"/>
      <c r="IHE2464" s="60"/>
      <c r="IHF2464" s="60"/>
      <c r="IHG2464" s="60"/>
      <c r="IHH2464" s="60"/>
      <c r="IHI2464" s="63"/>
      <c r="IHJ2464" s="61"/>
      <c r="IHK2464" s="54"/>
      <c r="IHL2464" s="54"/>
      <c r="IHM2464" s="60"/>
      <c r="IHN2464" s="60"/>
      <c r="IHO2464" s="60"/>
      <c r="IHP2464" s="60"/>
      <c r="IHQ2464" s="63"/>
      <c r="IHR2464" s="61"/>
      <c r="IHS2464" s="54"/>
      <c r="IHT2464" s="54"/>
      <c r="IHU2464" s="60"/>
      <c r="IHV2464" s="60"/>
      <c r="IHW2464" s="60"/>
      <c r="IHX2464" s="60"/>
      <c r="IHY2464" s="63"/>
      <c r="IHZ2464" s="61"/>
      <c r="IIA2464" s="54"/>
      <c r="IIB2464" s="54"/>
      <c r="IIC2464" s="60"/>
      <c r="IID2464" s="60"/>
      <c r="IIE2464" s="60"/>
      <c r="IIF2464" s="60"/>
      <c r="IIG2464" s="63"/>
      <c r="IIH2464" s="61"/>
      <c r="III2464" s="54"/>
      <c r="IIJ2464" s="54"/>
      <c r="IIK2464" s="60"/>
      <c r="IIL2464" s="60"/>
      <c r="IIM2464" s="60"/>
      <c r="IIN2464" s="60"/>
      <c r="IIO2464" s="63"/>
      <c r="IIP2464" s="61"/>
      <c r="IIQ2464" s="54"/>
      <c r="IIR2464" s="54"/>
      <c r="IIS2464" s="60"/>
      <c r="IIT2464" s="60"/>
      <c r="IIU2464" s="60"/>
      <c r="IIV2464" s="60"/>
      <c r="IIW2464" s="63"/>
      <c r="IIX2464" s="61"/>
      <c r="IIY2464" s="54"/>
      <c r="IIZ2464" s="54"/>
      <c r="IJA2464" s="60"/>
      <c r="IJB2464" s="60"/>
      <c r="IJC2464" s="60"/>
      <c r="IJD2464" s="60"/>
      <c r="IJE2464" s="63"/>
      <c r="IJF2464" s="61"/>
      <c r="IJG2464" s="54"/>
      <c r="IJH2464" s="54"/>
      <c r="IJI2464" s="60"/>
      <c r="IJJ2464" s="60"/>
      <c r="IJK2464" s="60"/>
      <c r="IJL2464" s="60"/>
      <c r="IJM2464" s="63"/>
      <c r="IJN2464" s="61"/>
      <c r="IJO2464" s="54"/>
      <c r="IJP2464" s="54"/>
      <c r="IJQ2464" s="60"/>
      <c r="IJR2464" s="60"/>
      <c r="IJS2464" s="60"/>
      <c r="IJT2464" s="60"/>
      <c r="IJU2464" s="63"/>
      <c r="IJV2464" s="61"/>
      <c r="IJW2464" s="54"/>
      <c r="IJX2464" s="54"/>
      <c r="IJY2464" s="60"/>
      <c r="IJZ2464" s="60"/>
      <c r="IKA2464" s="60"/>
      <c r="IKB2464" s="60"/>
      <c r="IKC2464" s="63"/>
      <c r="IKD2464" s="61"/>
      <c r="IKE2464" s="54"/>
      <c r="IKF2464" s="54"/>
      <c r="IKG2464" s="60"/>
      <c r="IKH2464" s="60"/>
      <c r="IKI2464" s="60"/>
      <c r="IKJ2464" s="60"/>
      <c r="IKK2464" s="63"/>
      <c r="IKL2464" s="61"/>
      <c r="IKM2464" s="54"/>
      <c r="IKN2464" s="54"/>
      <c r="IKO2464" s="60"/>
      <c r="IKP2464" s="60"/>
      <c r="IKQ2464" s="60"/>
      <c r="IKR2464" s="60"/>
      <c r="IKS2464" s="63"/>
      <c r="IKT2464" s="61"/>
      <c r="IKU2464" s="54"/>
      <c r="IKV2464" s="54"/>
      <c r="IKW2464" s="60"/>
      <c r="IKX2464" s="60"/>
      <c r="IKY2464" s="60"/>
      <c r="IKZ2464" s="60"/>
      <c r="ILA2464" s="63"/>
      <c r="ILB2464" s="61"/>
      <c r="ILC2464" s="54"/>
      <c r="ILD2464" s="54"/>
      <c r="ILE2464" s="60"/>
      <c r="ILF2464" s="60"/>
      <c r="ILG2464" s="60"/>
      <c r="ILH2464" s="60"/>
      <c r="ILI2464" s="63"/>
      <c r="ILJ2464" s="61"/>
      <c r="ILK2464" s="54"/>
      <c r="ILL2464" s="54"/>
      <c r="ILM2464" s="60"/>
      <c r="ILN2464" s="60"/>
      <c r="ILO2464" s="60"/>
      <c r="ILP2464" s="60"/>
      <c r="ILQ2464" s="63"/>
      <c r="ILR2464" s="61"/>
      <c r="ILS2464" s="54"/>
      <c r="ILT2464" s="54"/>
      <c r="ILU2464" s="60"/>
      <c r="ILV2464" s="60"/>
      <c r="ILW2464" s="60"/>
      <c r="ILX2464" s="60"/>
      <c r="ILY2464" s="63"/>
      <c r="ILZ2464" s="61"/>
      <c r="IMA2464" s="54"/>
      <c r="IMB2464" s="54"/>
      <c r="IMC2464" s="60"/>
      <c r="IMD2464" s="60"/>
      <c r="IME2464" s="60"/>
      <c r="IMF2464" s="60"/>
      <c r="IMG2464" s="63"/>
      <c r="IMH2464" s="61"/>
      <c r="IMI2464" s="54"/>
      <c r="IMJ2464" s="54"/>
      <c r="IMK2464" s="60"/>
      <c r="IML2464" s="60"/>
      <c r="IMM2464" s="60"/>
      <c r="IMN2464" s="60"/>
      <c r="IMO2464" s="63"/>
      <c r="IMP2464" s="61"/>
      <c r="IMQ2464" s="54"/>
      <c r="IMR2464" s="54"/>
      <c r="IMS2464" s="60"/>
      <c r="IMT2464" s="60"/>
      <c r="IMU2464" s="60"/>
      <c r="IMV2464" s="60"/>
      <c r="IMW2464" s="63"/>
      <c r="IMX2464" s="61"/>
      <c r="IMY2464" s="54"/>
      <c r="IMZ2464" s="54"/>
      <c r="INA2464" s="60"/>
      <c r="INB2464" s="60"/>
      <c r="INC2464" s="60"/>
      <c r="IND2464" s="60"/>
      <c r="INE2464" s="63"/>
      <c r="INF2464" s="61"/>
      <c r="ING2464" s="54"/>
      <c r="INH2464" s="54"/>
      <c r="INI2464" s="60"/>
      <c r="INJ2464" s="60"/>
      <c r="INK2464" s="60"/>
      <c r="INL2464" s="60"/>
      <c r="INM2464" s="63"/>
      <c r="INN2464" s="61"/>
      <c r="INO2464" s="54"/>
      <c r="INP2464" s="54"/>
      <c r="INQ2464" s="60"/>
      <c r="INR2464" s="60"/>
      <c r="INS2464" s="60"/>
      <c r="INT2464" s="60"/>
      <c r="INU2464" s="63"/>
      <c r="INV2464" s="61"/>
      <c r="INW2464" s="54"/>
      <c r="INX2464" s="54"/>
      <c r="INY2464" s="60"/>
      <c r="INZ2464" s="60"/>
      <c r="IOA2464" s="60"/>
      <c r="IOB2464" s="60"/>
      <c r="IOC2464" s="63"/>
      <c r="IOD2464" s="61"/>
      <c r="IOE2464" s="54"/>
      <c r="IOF2464" s="54"/>
      <c r="IOG2464" s="60"/>
      <c r="IOH2464" s="60"/>
      <c r="IOI2464" s="60"/>
      <c r="IOJ2464" s="60"/>
      <c r="IOK2464" s="63"/>
      <c r="IOL2464" s="61"/>
      <c r="IOM2464" s="54"/>
      <c r="ION2464" s="54"/>
      <c r="IOO2464" s="60"/>
      <c r="IOP2464" s="60"/>
      <c r="IOQ2464" s="60"/>
      <c r="IOR2464" s="60"/>
      <c r="IOS2464" s="63"/>
      <c r="IOT2464" s="61"/>
      <c r="IOU2464" s="54"/>
      <c r="IOV2464" s="54"/>
      <c r="IOW2464" s="60"/>
      <c r="IOX2464" s="60"/>
      <c r="IOY2464" s="60"/>
      <c r="IOZ2464" s="60"/>
      <c r="IPA2464" s="63"/>
      <c r="IPB2464" s="61"/>
      <c r="IPC2464" s="54"/>
      <c r="IPD2464" s="54"/>
      <c r="IPE2464" s="60"/>
      <c r="IPF2464" s="60"/>
      <c r="IPG2464" s="60"/>
      <c r="IPH2464" s="60"/>
      <c r="IPI2464" s="63"/>
      <c r="IPJ2464" s="61"/>
      <c r="IPK2464" s="54"/>
      <c r="IPL2464" s="54"/>
      <c r="IPM2464" s="60"/>
      <c r="IPN2464" s="60"/>
      <c r="IPO2464" s="60"/>
      <c r="IPP2464" s="60"/>
      <c r="IPQ2464" s="63"/>
      <c r="IPR2464" s="61"/>
      <c r="IPS2464" s="54"/>
      <c r="IPT2464" s="54"/>
      <c r="IPU2464" s="60"/>
      <c r="IPV2464" s="60"/>
      <c r="IPW2464" s="60"/>
      <c r="IPX2464" s="60"/>
      <c r="IPY2464" s="63"/>
      <c r="IPZ2464" s="61"/>
      <c r="IQA2464" s="54"/>
      <c r="IQB2464" s="54"/>
      <c r="IQC2464" s="60"/>
      <c r="IQD2464" s="60"/>
      <c r="IQE2464" s="60"/>
      <c r="IQF2464" s="60"/>
      <c r="IQG2464" s="63"/>
      <c r="IQH2464" s="61"/>
      <c r="IQI2464" s="54"/>
      <c r="IQJ2464" s="54"/>
      <c r="IQK2464" s="60"/>
      <c r="IQL2464" s="60"/>
      <c r="IQM2464" s="60"/>
      <c r="IQN2464" s="60"/>
      <c r="IQO2464" s="63"/>
      <c r="IQP2464" s="61"/>
      <c r="IQQ2464" s="54"/>
      <c r="IQR2464" s="54"/>
      <c r="IQS2464" s="60"/>
      <c r="IQT2464" s="60"/>
      <c r="IQU2464" s="60"/>
      <c r="IQV2464" s="60"/>
      <c r="IQW2464" s="63"/>
      <c r="IQX2464" s="61"/>
      <c r="IQY2464" s="54"/>
      <c r="IQZ2464" s="54"/>
      <c r="IRA2464" s="60"/>
      <c r="IRB2464" s="60"/>
      <c r="IRC2464" s="60"/>
      <c r="IRD2464" s="60"/>
      <c r="IRE2464" s="63"/>
      <c r="IRF2464" s="61"/>
      <c r="IRG2464" s="54"/>
      <c r="IRH2464" s="54"/>
      <c r="IRI2464" s="60"/>
      <c r="IRJ2464" s="60"/>
      <c r="IRK2464" s="60"/>
      <c r="IRL2464" s="60"/>
      <c r="IRM2464" s="63"/>
      <c r="IRN2464" s="61"/>
      <c r="IRO2464" s="54"/>
      <c r="IRP2464" s="54"/>
      <c r="IRQ2464" s="60"/>
      <c r="IRR2464" s="60"/>
      <c r="IRS2464" s="60"/>
      <c r="IRT2464" s="60"/>
      <c r="IRU2464" s="63"/>
      <c r="IRV2464" s="61"/>
      <c r="IRW2464" s="54"/>
      <c r="IRX2464" s="54"/>
      <c r="IRY2464" s="60"/>
      <c r="IRZ2464" s="60"/>
      <c r="ISA2464" s="60"/>
      <c r="ISB2464" s="60"/>
      <c r="ISC2464" s="63"/>
      <c r="ISD2464" s="61"/>
      <c r="ISE2464" s="54"/>
      <c r="ISF2464" s="54"/>
      <c r="ISG2464" s="60"/>
      <c r="ISH2464" s="60"/>
      <c r="ISI2464" s="60"/>
      <c r="ISJ2464" s="60"/>
      <c r="ISK2464" s="63"/>
      <c r="ISL2464" s="61"/>
      <c r="ISM2464" s="54"/>
      <c r="ISN2464" s="54"/>
      <c r="ISO2464" s="60"/>
      <c r="ISP2464" s="60"/>
      <c r="ISQ2464" s="60"/>
      <c r="ISR2464" s="60"/>
      <c r="ISS2464" s="63"/>
      <c r="IST2464" s="61"/>
      <c r="ISU2464" s="54"/>
      <c r="ISV2464" s="54"/>
      <c r="ISW2464" s="60"/>
      <c r="ISX2464" s="60"/>
      <c r="ISY2464" s="60"/>
      <c r="ISZ2464" s="60"/>
      <c r="ITA2464" s="63"/>
      <c r="ITB2464" s="61"/>
      <c r="ITC2464" s="54"/>
      <c r="ITD2464" s="54"/>
      <c r="ITE2464" s="60"/>
      <c r="ITF2464" s="60"/>
      <c r="ITG2464" s="60"/>
      <c r="ITH2464" s="60"/>
      <c r="ITI2464" s="63"/>
      <c r="ITJ2464" s="61"/>
      <c r="ITK2464" s="54"/>
      <c r="ITL2464" s="54"/>
      <c r="ITM2464" s="60"/>
      <c r="ITN2464" s="60"/>
      <c r="ITO2464" s="60"/>
      <c r="ITP2464" s="60"/>
      <c r="ITQ2464" s="63"/>
      <c r="ITR2464" s="61"/>
      <c r="ITS2464" s="54"/>
      <c r="ITT2464" s="54"/>
      <c r="ITU2464" s="60"/>
      <c r="ITV2464" s="60"/>
      <c r="ITW2464" s="60"/>
      <c r="ITX2464" s="60"/>
      <c r="ITY2464" s="63"/>
      <c r="ITZ2464" s="61"/>
      <c r="IUA2464" s="54"/>
      <c r="IUB2464" s="54"/>
      <c r="IUC2464" s="60"/>
      <c r="IUD2464" s="60"/>
      <c r="IUE2464" s="60"/>
      <c r="IUF2464" s="60"/>
      <c r="IUG2464" s="63"/>
      <c r="IUH2464" s="61"/>
      <c r="IUI2464" s="54"/>
      <c r="IUJ2464" s="54"/>
      <c r="IUK2464" s="60"/>
      <c r="IUL2464" s="60"/>
      <c r="IUM2464" s="60"/>
      <c r="IUN2464" s="60"/>
      <c r="IUO2464" s="63"/>
      <c r="IUP2464" s="61"/>
      <c r="IUQ2464" s="54"/>
      <c r="IUR2464" s="54"/>
      <c r="IUS2464" s="60"/>
      <c r="IUT2464" s="60"/>
      <c r="IUU2464" s="60"/>
      <c r="IUV2464" s="60"/>
      <c r="IUW2464" s="63"/>
      <c r="IUX2464" s="61"/>
      <c r="IUY2464" s="54"/>
      <c r="IUZ2464" s="54"/>
      <c r="IVA2464" s="60"/>
      <c r="IVB2464" s="60"/>
      <c r="IVC2464" s="60"/>
      <c r="IVD2464" s="60"/>
      <c r="IVE2464" s="63"/>
      <c r="IVF2464" s="61"/>
      <c r="IVG2464" s="54"/>
      <c r="IVH2464" s="54"/>
      <c r="IVI2464" s="60"/>
      <c r="IVJ2464" s="60"/>
      <c r="IVK2464" s="60"/>
      <c r="IVL2464" s="60"/>
      <c r="IVM2464" s="63"/>
      <c r="IVN2464" s="61"/>
      <c r="IVO2464" s="54"/>
      <c r="IVP2464" s="54"/>
      <c r="IVQ2464" s="60"/>
      <c r="IVR2464" s="60"/>
      <c r="IVS2464" s="60"/>
      <c r="IVT2464" s="60"/>
      <c r="IVU2464" s="63"/>
      <c r="IVV2464" s="61"/>
      <c r="IVW2464" s="54"/>
      <c r="IVX2464" s="54"/>
      <c r="IVY2464" s="60"/>
      <c r="IVZ2464" s="60"/>
      <c r="IWA2464" s="60"/>
      <c r="IWB2464" s="60"/>
      <c r="IWC2464" s="63"/>
      <c r="IWD2464" s="61"/>
      <c r="IWE2464" s="54"/>
      <c r="IWF2464" s="54"/>
      <c r="IWG2464" s="60"/>
      <c r="IWH2464" s="60"/>
      <c r="IWI2464" s="60"/>
      <c r="IWJ2464" s="60"/>
      <c r="IWK2464" s="63"/>
      <c r="IWL2464" s="61"/>
      <c r="IWM2464" s="54"/>
      <c r="IWN2464" s="54"/>
      <c r="IWO2464" s="60"/>
      <c r="IWP2464" s="60"/>
      <c r="IWQ2464" s="60"/>
      <c r="IWR2464" s="60"/>
      <c r="IWS2464" s="63"/>
      <c r="IWT2464" s="61"/>
      <c r="IWU2464" s="54"/>
      <c r="IWV2464" s="54"/>
      <c r="IWW2464" s="60"/>
      <c r="IWX2464" s="60"/>
      <c r="IWY2464" s="60"/>
      <c r="IWZ2464" s="60"/>
      <c r="IXA2464" s="63"/>
      <c r="IXB2464" s="61"/>
      <c r="IXC2464" s="54"/>
      <c r="IXD2464" s="54"/>
      <c r="IXE2464" s="60"/>
      <c r="IXF2464" s="60"/>
      <c r="IXG2464" s="60"/>
      <c r="IXH2464" s="60"/>
      <c r="IXI2464" s="63"/>
      <c r="IXJ2464" s="61"/>
      <c r="IXK2464" s="54"/>
      <c r="IXL2464" s="54"/>
      <c r="IXM2464" s="60"/>
      <c r="IXN2464" s="60"/>
      <c r="IXO2464" s="60"/>
      <c r="IXP2464" s="60"/>
      <c r="IXQ2464" s="63"/>
      <c r="IXR2464" s="61"/>
      <c r="IXS2464" s="54"/>
      <c r="IXT2464" s="54"/>
      <c r="IXU2464" s="60"/>
      <c r="IXV2464" s="60"/>
      <c r="IXW2464" s="60"/>
      <c r="IXX2464" s="60"/>
      <c r="IXY2464" s="63"/>
      <c r="IXZ2464" s="61"/>
      <c r="IYA2464" s="54"/>
      <c r="IYB2464" s="54"/>
      <c r="IYC2464" s="60"/>
      <c r="IYD2464" s="60"/>
      <c r="IYE2464" s="60"/>
      <c r="IYF2464" s="60"/>
      <c r="IYG2464" s="63"/>
      <c r="IYH2464" s="61"/>
      <c r="IYI2464" s="54"/>
      <c r="IYJ2464" s="54"/>
      <c r="IYK2464" s="60"/>
      <c r="IYL2464" s="60"/>
      <c r="IYM2464" s="60"/>
      <c r="IYN2464" s="60"/>
      <c r="IYO2464" s="63"/>
      <c r="IYP2464" s="61"/>
      <c r="IYQ2464" s="54"/>
      <c r="IYR2464" s="54"/>
      <c r="IYS2464" s="60"/>
      <c r="IYT2464" s="60"/>
      <c r="IYU2464" s="60"/>
      <c r="IYV2464" s="60"/>
      <c r="IYW2464" s="63"/>
      <c r="IYX2464" s="61"/>
      <c r="IYY2464" s="54"/>
      <c r="IYZ2464" s="54"/>
      <c r="IZA2464" s="60"/>
      <c r="IZB2464" s="60"/>
      <c r="IZC2464" s="60"/>
      <c r="IZD2464" s="60"/>
      <c r="IZE2464" s="63"/>
      <c r="IZF2464" s="61"/>
      <c r="IZG2464" s="54"/>
      <c r="IZH2464" s="54"/>
      <c r="IZI2464" s="60"/>
      <c r="IZJ2464" s="60"/>
      <c r="IZK2464" s="60"/>
      <c r="IZL2464" s="60"/>
      <c r="IZM2464" s="63"/>
      <c r="IZN2464" s="61"/>
      <c r="IZO2464" s="54"/>
      <c r="IZP2464" s="54"/>
      <c r="IZQ2464" s="60"/>
      <c r="IZR2464" s="60"/>
      <c r="IZS2464" s="60"/>
      <c r="IZT2464" s="60"/>
      <c r="IZU2464" s="63"/>
      <c r="IZV2464" s="61"/>
      <c r="IZW2464" s="54"/>
      <c r="IZX2464" s="54"/>
      <c r="IZY2464" s="60"/>
      <c r="IZZ2464" s="60"/>
      <c r="JAA2464" s="60"/>
      <c r="JAB2464" s="60"/>
      <c r="JAC2464" s="63"/>
      <c r="JAD2464" s="61"/>
      <c r="JAE2464" s="54"/>
      <c r="JAF2464" s="54"/>
      <c r="JAG2464" s="60"/>
      <c r="JAH2464" s="60"/>
      <c r="JAI2464" s="60"/>
      <c r="JAJ2464" s="60"/>
      <c r="JAK2464" s="63"/>
      <c r="JAL2464" s="61"/>
      <c r="JAM2464" s="54"/>
      <c r="JAN2464" s="54"/>
      <c r="JAO2464" s="60"/>
      <c r="JAP2464" s="60"/>
      <c r="JAQ2464" s="60"/>
      <c r="JAR2464" s="60"/>
      <c r="JAS2464" s="63"/>
      <c r="JAT2464" s="61"/>
      <c r="JAU2464" s="54"/>
      <c r="JAV2464" s="54"/>
      <c r="JAW2464" s="60"/>
      <c r="JAX2464" s="60"/>
      <c r="JAY2464" s="60"/>
      <c r="JAZ2464" s="60"/>
      <c r="JBA2464" s="63"/>
      <c r="JBB2464" s="61"/>
      <c r="JBC2464" s="54"/>
      <c r="JBD2464" s="54"/>
      <c r="JBE2464" s="60"/>
      <c r="JBF2464" s="60"/>
      <c r="JBG2464" s="60"/>
      <c r="JBH2464" s="60"/>
      <c r="JBI2464" s="63"/>
      <c r="JBJ2464" s="61"/>
      <c r="JBK2464" s="54"/>
      <c r="JBL2464" s="54"/>
      <c r="JBM2464" s="60"/>
      <c r="JBN2464" s="60"/>
      <c r="JBO2464" s="60"/>
      <c r="JBP2464" s="60"/>
      <c r="JBQ2464" s="63"/>
      <c r="JBR2464" s="61"/>
      <c r="JBS2464" s="54"/>
      <c r="JBT2464" s="54"/>
      <c r="JBU2464" s="60"/>
      <c r="JBV2464" s="60"/>
      <c r="JBW2464" s="60"/>
      <c r="JBX2464" s="60"/>
      <c r="JBY2464" s="63"/>
      <c r="JBZ2464" s="61"/>
      <c r="JCA2464" s="54"/>
      <c r="JCB2464" s="54"/>
      <c r="JCC2464" s="60"/>
      <c r="JCD2464" s="60"/>
      <c r="JCE2464" s="60"/>
      <c r="JCF2464" s="60"/>
      <c r="JCG2464" s="63"/>
      <c r="JCH2464" s="61"/>
      <c r="JCI2464" s="54"/>
      <c r="JCJ2464" s="54"/>
      <c r="JCK2464" s="60"/>
      <c r="JCL2464" s="60"/>
      <c r="JCM2464" s="60"/>
      <c r="JCN2464" s="60"/>
      <c r="JCO2464" s="63"/>
      <c r="JCP2464" s="61"/>
      <c r="JCQ2464" s="54"/>
      <c r="JCR2464" s="54"/>
      <c r="JCS2464" s="60"/>
      <c r="JCT2464" s="60"/>
      <c r="JCU2464" s="60"/>
      <c r="JCV2464" s="60"/>
      <c r="JCW2464" s="63"/>
      <c r="JCX2464" s="61"/>
      <c r="JCY2464" s="54"/>
      <c r="JCZ2464" s="54"/>
      <c r="JDA2464" s="60"/>
      <c r="JDB2464" s="60"/>
      <c r="JDC2464" s="60"/>
      <c r="JDD2464" s="60"/>
      <c r="JDE2464" s="63"/>
      <c r="JDF2464" s="61"/>
      <c r="JDG2464" s="54"/>
      <c r="JDH2464" s="54"/>
      <c r="JDI2464" s="60"/>
      <c r="JDJ2464" s="60"/>
      <c r="JDK2464" s="60"/>
      <c r="JDL2464" s="60"/>
      <c r="JDM2464" s="63"/>
      <c r="JDN2464" s="61"/>
      <c r="JDO2464" s="54"/>
      <c r="JDP2464" s="54"/>
      <c r="JDQ2464" s="60"/>
      <c r="JDR2464" s="60"/>
      <c r="JDS2464" s="60"/>
      <c r="JDT2464" s="60"/>
      <c r="JDU2464" s="63"/>
      <c r="JDV2464" s="61"/>
      <c r="JDW2464" s="54"/>
      <c r="JDX2464" s="54"/>
      <c r="JDY2464" s="60"/>
      <c r="JDZ2464" s="60"/>
      <c r="JEA2464" s="60"/>
      <c r="JEB2464" s="60"/>
      <c r="JEC2464" s="63"/>
      <c r="JED2464" s="61"/>
      <c r="JEE2464" s="54"/>
      <c r="JEF2464" s="54"/>
      <c r="JEG2464" s="60"/>
      <c r="JEH2464" s="60"/>
      <c r="JEI2464" s="60"/>
      <c r="JEJ2464" s="60"/>
      <c r="JEK2464" s="63"/>
      <c r="JEL2464" s="61"/>
      <c r="JEM2464" s="54"/>
      <c r="JEN2464" s="54"/>
      <c r="JEO2464" s="60"/>
      <c r="JEP2464" s="60"/>
      <c r="JEQ2464" s="60"/>
      <c r="JER2464" s="60"/>
      <c r="JES2464" s="63"/>
      <c r="JET2464" s="61"/>
      <c r="JEU2464" s="54"/>
      <c r="JEV2464" s="54"/>
      <c r="JEW2464" s="60"/>
      <c r="JEX2464" s="60"/>
      <c r="JEY2464" s="60"/>
      <c r="JEZ2464" s="60"/>
      <c r="JFA2464" s="63"/>
      <c r="JFB2464" s="61"/>
      <c r="JFC2464" s="54"/>
      <c r="JFD2464" s="54"/>
      <c r="JFE2464" s="60"/>
      <c r="JFF2464" s="60"/>
      <c r="JFG2464" s="60"/>
      <c r="JFH2464" s="60"/>
      <c r="JFI2464" s="63"/>
      <c r="JFJ2464" s="61"/>
      <c r="JFK2464" s="54"/>
      <c r="JFL2464" s="54"/>
      <c r="JFM2464" s="60"/>
      <c r="JFN2464" s="60"/>
      <c r="JFO2464" s="60"/>
      <c r="JFP2464" s="60"/>
      <c r="JFQ2464" s="63"/>
      <c r="JFR2464" s="61"/>
      <c r="JFS2464" s="54"/>
      <c r="JFT2464" s="54"/>
      <c r="JFU2464" s="60"/>
      <c r="JFV2464" s="60"/>
      <c r="JFW2464" s="60"/>
      <c r="JFX2464" s="60"/>
      <c r="JFY2464" s="63"/>
      <c r="JFZ2464" s="61"/>
      <c r="JGA2464" s="54"/>
      <c r="JGB2464" s="54"/>
      <c r="JGC2464" s="60"/>
      <c r="JGD2464" s="60"/>
      <c r="JGE2464" s="60"/>
      <c r="JGF2464" s="60"/>
      <c r="JGG2464" s="63"/>
      <c r="JGH2464" s="61"/>
      <c r="JGI2464" s="54"/>
      <c r="JGJ2464" s="54"/>
      <c r="JGK2464" s="60"/>
      <c r="JGL2464" s="60"/>
      <c r="JGM2464" s="60"/>
      <c r="JGN2464" s="60"/>
      <c r="JGO2464" s="63"/>
      <c r="JGP2464" s="61"/>
      <c r="JGQ2464" s="54"/>
      <c r="JGR2464" s="54"/>
      <c r="JGS2464" s="60"/>
      <c r="JGT2464" s="60"/>
      <c r="JGU2464" s="60"/>
      <c r="JGV2464" s="60"/>
      <c r="JGW2464" s="63"/>
      <c r="JGX2464" s="61"/>
      <c r="JGY2464" s="54"/>
      <c r="JGZ2464" s="54"/>
      <c r="JHA2464" s="60"/>
      <c r="JHB2464" s="60"/>
      <c r="JHC2464" s="60"/>
      <c r="JHD2464" s="60"/>
      <c r="JHE2464" s="63"/>
      <c r="JHF2464" s="61"/>
      <c r="JHG2464" s="54"/>
      <c r="JHH2464" s="54"/>
      <c r="JHI2464" s="60"/>
      <c r="JHJ2464" s="60"/>
      <c r="JHK2464" s="60"/>
      <c r="JHL2464" s="60"/>
      <c r="JHM2464" s="63"/>
      <c r="JHN2464" s="61"/>
      <c r="JHO2464" s="54"/>
      <c r="JHP2464" s="54"/>
      <c r="JHQ2464" s="60"/>
      <c r="JHR2464" s="60"/>
      <c r="JHS2464" s="60"/>
      <c r="JHT2464" s="60"/>
      <c r="JHU2464" s="63"/>
      <c r="JHV2464" s="61"/>
      <c r="JHW2464" s="54"/>
      <c r="JHX2464" s="54"/>
      <c r="JHY2464" s="60"/>
      <c r="JHZ2464" s="60"/>
      <c r="JIA2464" s="60"/>
      <c r="JIB2464" s="60"/>
      <c r="JIC2464" s="63"/>
      <c r="JID2464" s="61"/>
      <c r="JIE2464" s="54"/>
      <c r="JIF2464" s="54"/>
      <c r="JIG2464" s="60"/>
      <c r="JIH2464" s="60"/>
      <c r="JII2464" s="60"/>
      <c r="JIJ2464" s="60"/>
      <c r="JIK2464" s="63"/>
      <c r="JIL2464" s="61"/>
      <c r="JIM2464" s="54"/>
      <c r="JIN2464" s="54"/>
      <c r="JIO2464" s="60"/>
      <c r="JIP2464" s="60"/>
      <c r="JIQ2464" s="60"/>
      <c r="JIR2464" s="60"/>
      <c r="JIS2464" s="63"/>
      <c r="JIT2464" s="61"/>
      <c r="JIU2464" s="54"/>
      <c r="JIV2464" s="54"/>
      <c r="JIW2464" s="60"/>
      <c r="JIX2464" s="60"/>
      <c r="JIY2464" s="60"/>
      <c r="JIZ2464" s="60"/>
      <c r="JJA2464" s="63"/>
      <c r="JJB2464" s="61"/>
      <c r="JJC2464" s="54"/>
      <c r="JJD2464" s="54"/>
      <c r="JJE2464" s="60"/>
      <c r="JJF2464" s="60"/>
      <c r="JJG2464" s="60"/>
      <c r="JJH2464" s="60"/>
      <c r="JJI2464" s="63"/>
      <c r="JJJ2464" s="61"/>
      <c r="JJK2464" s="54"/>
      <c r="JJL2464" s="54"/>
      <c r="JJM2464" s="60"/>
      <c r="JJN2464" s="60"/>
      <c r="JJO2464" s="60"/>
      <c r="JJP2464" s="60"/>
      <c r="JJQ2464" s="63"/>
      <c r="JJR2464" s="61"/>
      <c r="JJS2464" s="54"/>
      <c r="JJT2464" s="54"/>
      <c r="JJU2464" s="60"/>
      <c r="JJV2464" s="60"/>
      <c r="JJW2464" s="60"/>
      <c r="JJX2464" s="60"/>
      <c r="JJY2464" s="63"/>
      <c r="JJZ2464" s="61"/>
      <c r="JKA2464" s="54"/>
      <c r="JKB2464" s="54"/>
      <c r="JKC2464" s="60"/>
      <c r="JKD2464" s="60"/>
      <c r="JKE2464" s="60"/>
      <c r="JKF2464" s="60"/>
      <c r="JKG2464" s="63"/>
      <c r="JKH2464" s="61"/>
      <c r="JKI2464" s="54"/>
      <c r="JKJ2464" s="54"/>
      <c r="JKK2464" s="60"/>
      <c r="JKL2464" s="60"/>
      <c r="JKM2464" s="60"/>
      <c r="JKN2464" s="60"/>
      <c r="JKO2464" s="63"/>
      <c r="JKP2464" s="61"/>
      <c r="JKQ2464" s="54"/>
      <c r="JKR2464" s="54"/>
      <c r="JKS2464" s="60"/>
      <c r="JKT2464" s="60"/>
      <c r="JKU2464" s="60"/>
      <c r="JKV2464" s="60"/>
      <c r="JKW2464" s="63"/>
      <c r="JKX2464" s="61"/>
      <c r="JKY2464" s="54"/>
      <c r="JKZ2464" s="54"/>
      <c r="JLA2464" s="60"/>
      <c r="JLB2464" s="60"/>
      <c r="JLC2464" s="60"/>
      <c r="JLD2464" s="60"/>
      <c r="JLE2464" s="63"/>
      <c r="JLF2464" s="61"/>
      <c r="JLG2464" s="54"/>
      <c r="JLH2464" s="54"/>
      <c r="JLI2464" s="60"/>
      <c r="JLJ2464" s="60"/>
      <c r="JLK2464" s="60"/>
      <c r="JLL2464" s="60"/>
      <c r="JLM2464" s="63"/>
      <c r="JLN2464" s="61"/>
      <c r="JLO2464" s="54"/>
      <c r="JLP2464" s="54"/>
      <c r="JLQ2464" s="60"/>
      <c r="JLR2464" s="60"/>
      <c r="JLS2464" s="60"/>
      <c r="JLT2464" s="60"/>
      <c r="JLU2464" s="63"/>
      <c r="JLV2464" s="61"/>
      <c r="JLW2464" s="54"/>
      <c r="JLX2464" s="54"/>
      <c r="JLY2464" s="60"/>
      <c r="JLZ2464" s="60"/>
      <c r="JMA2464" s="60"/>
      <c r="JMB2464" s="60"/>
      <c r="JMC2464" s="63"/>
      <c r="JMD2464" s="61"/>
      <c r="JME2464" s="54"/>
      <c r="JMF2464" s="54"/>
      <c r="JMG2464" s="60"/>
      <c r="JMH2464" s="60"/>
      <c r="JMI2464" s="60"/>
      <c r="JMJ2464" s="60"/>
      <c r="JMK2464" s="63"/>
      <c r="JML2464" s="61"/>
      <c r="JMM2464" s="54"/>
      <c r="JMN2464" s="54"/>
      <c r="JMO2464" s="60"/>
      <c r="JMP2464" s="60"/>
      <c r="JMQ2464" s="60"/>
      <c r="JMR2464" s="60"/>
      <c r="JMS2464" s="63"/>
      <c r="JMT2464" s="61"/>
      <c r="JMU2464" s="54"/>
      <c r="JMV2464" s="54"/>
      <c r="JMW2464" s="60"/>
      <c r="JMX2464" s="60"/>
      <c r="JMY2464" s="60"/>
      <c r="JMZ2464" s="60"/>
      <c r="JNA2464" s="63"/>
      <c r="JNB2464" s="61"/>
      <c r="JNC2464" s="54"/>
      <c r="JND2464" s="54"/>
      <c r="JNE2464" s="60"/>
      <c r="JNF2464" s="60"/>
      <c r="JNG2464" s="60"/>
      <c r="JNH2464" s="60"/>
      <c r="JNI2464" s="63"/>
      <c r="JNJ2464" s="61"/>
      <c r="JNK2464" s="54"/>
      <c r="JNL2464" s="54"/>
      <c r="JNM2464" s="60"/>
      <c r="JNN2464" s="60"/>
      <c r="JNO2464" s="60"/>
      <c r="JNP2464" s="60"/>
      <c r="JNQ2464" s="63"/>
      <c r="JNR2464" s="61"/>
      <c r="JNS2464" s="54"/>
      <c r="JNT2464" s="54"/>
      <c r="JNU2464" s="60"/>
      <c r="JNV2464" s="60"/>
      <c r="JNW2464" s="60"/>
      <c r="JNX2464" s="60"/>
      <c r="JNY2464" s="63"/>
      <c r="JNZ2464" s="61"/>
      <c r="JOA2464" s="54"/>
      <c r="JOB2464" s="54"/>
      <c r="JOC2464" s="60"/>
      <c r="JOD2464" s="60"/>
      <c r="JOE2464" s="60"/>
      <c r="JOF2464" s="60"/>
      <c r="JOG2464" s="63"/>
      <c r="JOH2464" s="61"/>
      <c r="JOI2464" s="54"/>
      <c r="JOJ2464" s="54"/>
      <c r="JOK2464" s="60"/>
      <c r="JOL2464" s="60"/>
      <c r="JOM2464" s="60"/>
      <c r="JON2464" s="60"/>
      <c r="JOO2464" s="63"/>
      <c r="JOP2464" s="61"/>
      <c r="JOQ2464" s="54"/>
      <c r="JOR2464" s="54"/>
      <c r="JOS2464" s="60"/>
      <c r="JOT2464" s="60"/>
      <c r="JOU2464" s="60"/>
      <c r="JOV2464" s="60"/>
      <c r="JOW2464" s="63"/>
      <c r="JOX2464" s="61"/>
      <c r="JOY2464" s="54"/>
      <c r="JOZ2464" s="54"/>
      <c r="JPA2464" s="60"/>
      <c r="JPB2464" s="60"/>
      <c r="JPC2464" s="60"/>
      <c r="JPD2464" s="60"/>
      <c r="JPE2464" s="63"/>
      <c r="JPF2464" s="61"/>
      <c r="JPG2464" s="54"/>
      <c r="JPH2464" s="54"/>
      <c r="JPI2464" s="60"/>
      <c r="JPJ2464" s="60"/>
      <c r="JPK2464" s="60"/>
      <c r="JPL2464" s="60"/>
      <c r="JPM2464" s="63"/>
      <c r="JPN2464" s="61"/>
      <c r="JPO2464" s="54"/>
      <c r="JPP2464" s="54"/>
      <c r="JPQ2464" s="60"/>
      <c r="JPR2464" s="60"/>
      <c r="JPS2464" s="60"/>
      <c r="JPT2464" s="60"/>
      <c r="JPU2464" s="63"/>
      <c r="JPV2464" s="61"/>
      <c r="JPW2464" s="54"/>
      <c r="JPX2464" s="54"/>
      <c r="JPY2464" s="60"/>
      <c r="JPZ2464" s="60"/>
      <c r="JQA2464" s="60"/>
      <c r="JQB2464" s="60"/>
      <c r="JQC2464" s="63"/>
      <c r="JQD2464" s="61"/>
      <c r="JQE2464" s="54"/>
      <c r="JQF2464" s="54"/>
      <c r="JQG2464" s="60"/>
      <c r="JQH2464" s="60"/>
      <c r="JQI2464" s="60"/>
      <c r="JQJ2464" s="60"/>
      <c r="JQK2464" s="63"/>
      <c r="JQL2464" s="61"/>
      <c r="JQM2464" s="54"/>
      <c r="JQN2464" s="54"/>
      <c r="JQO2464" s="60"/>
      <c r="JQP2464" s="60"/>
      <c r="JQQ2464" s="60"/>
      <c r="JQR2464" s="60"/>
      <c r="JQS2464" s="63"/>
      <c r="JQT2464" s="61"/>
      <c r="JQU2464" s="54"/>
      <c r="JQV2464" s="54"/>
      <c r="JQW2464" s="60"/>
      <c r="JQX2464" s="60"/>
      <c r="JQY2464" s="60"/>
      <c r="JQZ2464" s="60"/>
      <c r="JRA2464" s="63"/>
      <c r="JRB2464" s="61"/>
      <c r="JRC2464" s="54"/>
      <c r="JRD2464" s="54"/>
      <c r="JRE2464" s="60"/>
      <c r="JRF2464" s="60"/>
      <c r="JRG2464" s="60"/>
      <c r="JRH2464" s="60"/>
      <c r="JRI2464" s="63"/>
      <c r="JRJ2464" s="61"/>
      <c r="JRK2464" s="54"/>
      <c r="JRL2464" s="54"/>
      <c r="JRM2464" s="60"/>
      <c r="JRN2464" s="60"/>
      <c r="JRO2464" s="60"/>
      <c r="JRP2464" s="60"/>
      <c r="JRQ2464" s="63"/>
      <c r="JRR2464" s="61"/>
      <c r="JRS2464" s="54"/>
      <c r="JRT2464" s="54"/>
      <c r="JRU2464" s="60"/>
      <c r="JRV2464" s="60"/>
      <c r="JRW2464" s="60"/>
      <c r="JRX2464" s="60"/>
      <c r="JRY2464" s="63"/>
      <c r="JRZ2464" s="61"/>
      <c r="JSA2464" s="54"/>
      <c r="JSB2464" s="54"/>
      <c r="JSC2464" s="60"/>
      <c r="JSD2464" s="60"/>
      <c r="JSE2464" s="60"/>
      <c r="JSF2464" s="60"/>
      <c r="JSG2464" s="63"/>
      <c r="JSH2464" s="61"/>
      <c r="JSI2464" s="54"/>
      <c r="JSJ2464" s="54"/>
      <c r="JSK2464" s="60"/>
      <c r="JSL2464" s="60"/>
      <c r="JSM2464" s="60"/>
      <c r="JSN2464" s="60"/>
      <c r="JSO2464" s="63"/>
      <c r="JSP2464" s="61"/>
      <c r="JSQ2464" s="54"/>
      <c r="JSR2464" s="54"/>
      <c r="JSS2464" s="60"/>
      <c r="JST2464" s="60"/>
      <c r="JSU2464" s="60"/>
      <c r="JSV2464" s="60"/>
      <c r="JSW2464" s="63"/>
      <c r="JSX2464" s="61"/>
      <c r="JSY2464" s="54"/>
      <c r="JSZ2464" s="54"/>
      <c r="JTA2464" s="60"/>
      <c r="JTB2464" s="60"/>
      <c r="JTC2464" s="60"/>
      <c r="JTD2464" s="60"/>
      <c r="JTE2464" s="63"/>
      <c r="JTF2464" s="61"/>
      <c r="JTG2464" s="54"/>
      <c r="JTH2464" s="54"/>
      <c r="JTI2464" s="60"/>
      <c r="JTJ2464" s="60"/>
      <c r="JTK2464" s="60"/>
      <c r="JTL2464" s="60"/>
      <c r="JTM2464" s="63"/>
      <c r="JTN2464" s="61"/>
      <c r="JTO2464" s="54"/>
      <c r="JTP2464" s="54"/>
      <c r="JTQ2464" s="60"/>
      <c r="JTR2464" s="60"/>
      <c r="JTS2464" s="60"/>
      <c r="JTT2464" s="60"/>
      <c r="JTU2464" s="63"/>
      <c r="JTV2464" s="61"/>
      <c r="JTW2464" s="54"/>
      <c r="JTX2464" s="54"/>
      <c r="JTY2464" s="60"/>
      <c r="JTZ2464" s="60"/>
      <c r="JUA2464" s="60"/>
      <c r="JUB2464" s="60"/>
      <c r="JUC2464" s="63"/>
      <c r="JUD2464" s="61"/>
      <c r="JUE2464" s="54"/>
      <c r="JUF2464" s="54"/>
      <c r="JUG2464" s="60"/>
      <c r="JUH2464" s="60"/>
      <c r="JUI2464" s="60"/>
      <c r="JUJ2464" s="60"/>
      <c r="JUK2464" s="63"/>
      <c r="JUL2464" s="61"/>
      <c r="JUM2464" s="54"/>
      <c r="JUN2464" s="54"/>
      <c r="JUO2464" s="60"/>
      <c r="JUP2464" s="60"/>
      <c r="JUQ2464" s="60"/>
      <c r="JUR2464" s="60"/>
      <c r="JUS2464" s="63"/>
      <c r="JUT2464" s="61"/>
      <c r="JUU2464" s="54"/>
      <c r="JUV2464" s="54"/>
      <c r="JUW2464" s="60"/>
      <c r="JUX2464" s="60"/>
      <c r="JUY2464" s="60"/>
      <c r="JUZ2464" s="60"/>
      <c r="JVA2464" s="63"/>
      <c r="JVB2464" s="61"/>
      <c r="JVC2464" s="54"/>
      <c r="JVD2464" s="54"/>
      <c r="JVE2464" s="60"/>
      <c r="JVF2464" s="60"/>
      <c r="JVG2464" s="60"/>
      <c r="JVH2464" s="60"/>
      <c r="JVI2464" s="63"/>
      <c r="JVJ2464" s="61"/>
      <c r="JVK2464" s="54"/>
      <c r="JVL2464" s="54"/>
      <c r="JVM2464" s="60"/>
      <c r="JVN2464" s="60"/>
      <c r="JVO2464" s="60"/>
      <c r="JVP2464" s="60"/>
      <c r="JVQ2464" s="63"/>
      <c r="JVR2464" s="61"/>
      <c r="JVS2464" s="54"/>
      <c r="JVT2464" s="54"/>
      <c r="JVU2464" s="60"/>
      <c r="JVV2464" s="60"/>
      <c r="JVW2464" s="60"/>
      <c r="JVX2464" s="60"/>
      <c r="JVY2464" s="63"/>
      <c r="JVZ2464" s="61"/>
      <c r="JWA2464" s="54"/>
      <c r="JWB2464" s="54"/>
      <c r="JWC2464" s="60"/>
      <c r="JWD2464" s="60"/>
      <c r="JWE2464" s="60"/>
      <c r="JWF2464" s="60"/>
      <c r="JWG2464" s="63"/>
      <c r="JWH2464" s="61"/>
      <c r="JWI2464" s="54"/>
      <c r="JWJ2464" s="54"/>
      <c r="JWK2464" s="60"/>
      <c r="JWL2464" s="60"/>
      <c r="JWM2464" s="60"/>
      <c r="JWN2464" s="60"/>
      <c r="JWO2464" s="63"/>
      <c r="JWP2464" s="61"/>
      <c r="JWQ2464" s="54"/>
      <c r="JWR2464" s="54"/>
      <c r="JWS2464" s="60"/>
      <c r="JWT2464" s="60"/>
      <c r="JWU2464" s="60"/>
      <c r="JWV2464" s="60"/>
      <c r="JWW2464" s="63"/>
      <c r="JWX2464" s="61"/>
      <c r="JWY2464" s="54"/>
      <c r="JWZ2464" s="54"/>
      <c r="JXA2464" s="60"/>
      <c r="JXB2464" s="60"/>
      <c r="JXC2464" s="60"/>
      <c r="JXD2464" s="60"/>
      <c r="JXE2464" s="63"/>
      <c r="JXF2464" s="61"/>
      <c r="JXG2464" s="54"/>
      <c r="JXH2464" s="54"/>
      <c r="JXI2464" s="60"/>
      <c r="JXJ2464" s="60"/>
      <c r="JXK2464" s="60"/>
      <c r="JXL2464" s="60"/>
      <c r="JXM2464" s="63"/>
      <c r="JXN2464" s="61"/>
      <c r="JXO2464" s="54"/>
      <c r="JXP2464" s="54"/>
      <c r="JXQ2464" s="60"/>
      <c r="JXR2464" s="60"/>
      <c r="JXS2464" s="60"/>
      <c r="JXT2464" s="60"/>
      <c r="JXU2464" s="63"/>
      <c r="JXV2464" s="61"/>
      <c r="JXW2464" s="54"/>
      <c r="JXX2464" s="54"/>
      <c r="JXY2464" s="60"/>
      <c r="JXZ2464" s="60"/>
      <c r="JYA2464" s="60"/>
      <c r="JYB2464" s="60"/>
      <c r="JYC2464" s="63"/>
      <c r="JYD2464" s="61"/>
      <c r="JYE2464" s="54"/>
      <c r="JYF2464" s="54"/>
      <c r="JYG2464" s="60"/>
      <c r="JYH2464" s="60"/>
      <c r="JYI2464" s="60"/>
      <c r="JYJ2464" s="60"/>
      <c r="JYK2464" s="63"/>
      <c r="JYL2464" s="61"/>
      <c r="JYM2464" s="54"/>
      <c r="JYN2464" s="54"/>
      <c r="JYO2464" s="60"/>
      <c r="JYP2464" s="60"/>
      <c r="JYQ2464" s="60"/>
      <c r="JYR2464" s="60"/>
      <c r="JYS2464" s="63"/>
      <c r="JYT2464" s="61"/>
      <c r="JYU2464" s="54"/>
      <c r="JYV2464" s="54"/>
      <c r="JYW2464" s="60"/>
      <c r="JYX2464" s="60"/>
      <c r="JYY2464" s="60"/>
      <c r="JYZ2464" s="60"/>
      <c r="JZA2464" s="63"/>
      <c r="JZB2464" s="61"/>
      <c r="JZC2464" s="54"/>
      <c r="JZD2464" s="54"/>
      <c r="JZE2464" s="60"/>
      <c r="JZF2464" s="60"/>
      <c r="JZG2464" s="60"/>
      <c r="JZH2464" s="60"/>
      <c r="JZI2464" s="63"/>
      <c r="JZJ2464" s="61"/>
      <c r="JZK2464" s="54"/>
      <c r="JZL2464" s="54"/>
      <c r="JZM2464" s="60"/>
      <c r="JZN2464" s="60"/>
      <c r="JZO2464" s="60"/>
      <c r="JZP2464" s="60"/>
      <c r="JZQ2464" s="63"/>
      <c r="JZR2464" s="61"/>
      <c r="JZS2464" s="54"/>
      <c r="JZT2464" s="54"/>
      <c r="JZU2464" s="60"/>
      <c r="JZV2464" s="60"/>
      <c r="JZW2464" s="60"/>
      <c r="JZX2464" s="60"/>
      <c r="JZY2464" s="63"/>
      <c r="JZZ2464" s="61"/>
      <c r="KAA2464" s="54"/>
      <c r="KAB2464" s="54"/>
      <c r="KAC2464" s="60"/>
      <c r="KAD2464" s="60"/>
      <c r="KAE2464" s="60"/>
      <c r="KAF2464" s="60"/>
      <c r="KAG2464" s="63"/>
      <c r="KAH2464" s="61"/>
      <c r="KAI2464" s="54"/>
      <c r="KAJ2464" s="54"/>
      <c r="KAK2464" s="60"/>
      <c r="KAL2464" s="60"/>
      <c r="KAM2464" s="60"/>
      <c r="KAN2464" s="60"/>
      <c r="KAO2464" s="63"/>
      <c r="KAP2464" s="61"/>
      <c r="KAQ2464" s="54"/>
      <c r="KAR2464" s="54"/>
      <c r="KAS2464" s="60"/>
      <c r="KAT2464" s="60"/>
      <c r="KAU2464" s="60"/>
      <c r="KAV2464" s="60"/>
      <c r="KAW2464" s="63"/>
      <c r="KAX2464" s="61"/>
      <c r="KAY2464" s="54"/>
      <c r="KAZ2464" s="54"/>
      <c r="KBA2464" s="60"/>
      <c r="KBB2464" s="60"/>
      <c r="KBC2464" s="60"/>
      <c r="KBD2464" s="60"/>
      <c r="KBE2464" s="63"/>
      <c r="KBF2464" s="61"/>
      <c r="KBG2464" s="54"/>
      <c r="KBH2464" s="54"/>
      <c r="KBI2464" s="60"/>
      <c r="KBJ2464" s="60"/>
      <c r="KBK2464" s="60"/>
      <c r="KBL2464" s="60"/>
      <c r="KBM2464" s="63"/>
      <c r="KBN2464" s="61"/>
      <c r="KBO2464" s="54"/>
      <c r="KBP2464" s="54"/>
      <c r="KBQ2464" s="60"/>
      <c r="KBR2464" s="60"/>
      <c r="KBS2464" s="60"/>
      <c r="KBT2464" s="60"/>
      <c r="KBU2464" s="63"/>
      <c r="KBV2464" s="61"/>
      <c r="KBW2464" s="54"/>
      <c r="KBX2464" s="54"/>
      <c r="KBY2464" s="60"/>
      <c r="KBZ2464" s="60"/>
      <c r="KCA2464" s="60"/>
      <c r="KCB2464" s="60"/>
      <c r="KCC2464" s="63"/>
      <c r="KCD2464" s="61"/>
      <c r="KCE2464" s="54"/>
      <c r="KCF2464" s="54"/>
      <c r="KCG2464" s="60"/>
      <c r="KCH2464" s="60"/>
      <c r="KCI2464" s="60"/>
      <c r="KCJ2464" s="60"/>
      <c r="KCK2464" s="63"/>
      <c r="KCL2464" s="61"/>
      <c r="KCM2464" s="54"/>
      <c r="KCN2464" s="54"/>
      <c r="KCO2464" s="60"/>
      <c r="KCP2464" s="60"/>
      <c r="KCQ2464" s="60"/>
      <c r="KCR2464" s="60"/>
      <c r="KCS2464" s="63"/>
      <c r="KCT2464" s="61"/>
      <c r="KCU2464" s="54"/>
      <c r="KCV2464" s="54"/>
      <c r="KCW2464" s="60"/>
      <c r="KCX2464" s="60"/>
      <c r="KCY2464" s="60"/>
      <c r="KCZ2464" s="60"/>
      <c r="KDA2464" s="63"/>
      <c r="KDB2464" s="61"/>
      <c r="KDC2464" s="54"/>
      <c r="KDD2464" s="54"/>
      <c r="KDE2464" s="60"/>
      <c r="KDF2464" s="60"/>
      <c r="KDG2464" s="60"/>
      <c r="KDH2464" s="60"/>
      <c r="KDI2464" s="63"/>
      <c r="KDJ2464" s="61"/>
      <c r="KDK2464" s="54"/>
      <c r="KDL2464" s="54"/>
      <c r="KDM2464" s="60"/>
      <c r="KDN2464" s="60"/>
      <c r="KDO2464" s="60"/>
      <c r="KDP2464" s="60"/>
      <c r="KDQ2464" s="63"/>
      <c r="KDR2464" s="61"/>
      <c r="KDS2464" s="54"/>
      <c r="KDT2464" s="54"/>
      <c r="KDU2464" s="60"/>
      <c r="KDV2464" s="60"/>
      <c r="KDW2464" s="60"/>
      <c r="KDX2464" s="60"/>
      <c r="KDY2464" s="63"/>
      <c r="KDZ2464" s="61"/>
      <c r="KEA2464" s="54"/>
      <c r="KEB2464" s="54"/>
      <c r="KEC2464" s="60"/>
      <c r="KED2464" s="60"/>
      <c r="KEE2464" s="60"/>
      <c r="KEF2464" s="60"/>
      <c r="KEG2464" s="63"/>
      <c r="KEH2464" s="61"/>
      <c r="KEI2464" s="54"/>
      <c r="KEJ2464" s="54"/>
      <c r="KEK2464" s="60"/>
      <c r="KEL2464" s="60"/>
      <c r="KEM2464" s="60"/>
      <c r="KEN2464" s="60"/>
      <c r="KEO2464" s="63"/>
      <c r="KEP2464" s="61"/>
      <c r="KEQ2464" s="54"/>
      <c r="KER2464" s="54"/>
      <c r="KES2464" s="60"/>
      <c r="KET2464" s="60"/>
      <c r="KEU2464" s="60"/>
      <c r="KEV2464" s="60"/>
      <c r="KEW2464" s="63"/>
      <c r="KEX2464" s="61"/>
      <c r="KEY2464" s="54"/>
      <c r="KEZ2464" s="54"/>
      <c r="KFA2464" s="60"/>
      <c r="KFB2464" s="60"/>
      <c r="KFC2464" s="60"/>
      <c r="KFD2464" s="60"/>
      <c r="KFE2464" s="63"/>
      <c r="KFF2464" s="61"/>
      <c r="KFG2464" s="54"/>
      <c r="KFH2464" s="54"/>
      <c r="KFI2464" s="60"/>
      <c r="KFJ2464" s="60"/>
      <c r="KFK2464" s="60"/>
      <c r="KFL2464" s="60"/>
      <c r="KFM2464" s="63"/>
      <c r="KFN2464" s="61"/>
      <c r="KFO2464" s="54"/>
      <c r="KFP2464" s="54"/>
      <c r="KFQ2464" s="60"/>
      <c r="KFR2464" s="60"/>
      <c r="KFS2464" s="60"/>
      <c r="KFT2464" s="60"/>
      <c r="KFU2464" s="63"/>
      <c r="KFV2464" s="61"/>
      <c r="KFW2464" s="54"/>
      <c r="KFX2464" s="54"/>
      <c r="KFY2464" s="60"/>
      <c r="KFZ2464" s="60"/>
      <c r="KGA2464" s="60"/>
      <c r="KGB2464" s="60"/>
      <c r="KGC2464" s="63"/>
      <c r="KGD2464" s="61"/>
      <c r="KGE2464" s="54"/>
      <c r="KGF2464" s="54"/>
      <c r="KGG2464" s="60"/>
      <c r="KGH2464" s="60"/>
      <c r="KGI2464" s="60"/>
      <c r="KGJ2464" s="60"/>
      <c r="KGK2464" s="63"/>
      <c r="KGL2464" s="61"/>
      <c r="KGM2464" s="54"/>
      <c r="KGN2464" s="54"/>
      <c r="KGO2464" s="60"/>
      <c r="KGP2464" s="60"/>
      <c r="KGQ2464" s="60"/>
      <c r="KGR2464" s="60"/>
      <c r="KGS2464" s="63"/>
      <c r="KGT2464" s="61"/>
      <c r="KGU2464" s="54"/>
      <c r="KGV2464" s="54"/>
      <c r="KGW2464" s="60"/>
      <c r="KGX2464" s="60"/>
      <c r="KGY2464" s="60"/>
      <c r="KGZ2464" s="60"/>
      <c r="KHA2464" s="63"/>
      <c r="KHB2464" s="61"/>
      <c r="KHC2464" s="54"/>
      <c r="KHD2464" s="54"/>
      <c r="KHE2464" s="60"/>
      <c r="KHF2464" s="60"/>
      <c r="KHG2464" s="60"/>
      <c r="KHH2464" s="60"/>
      <c r="KHI2464" s="63"/>
      <c r="KHJ2464" s="61"/>
      <c r="KHK2464" s="54"/>
      <c r="KHL2464" s="54"/>
      <c r="KHM2464" s="60"/>
      <c r="KHN2464" s="60"/>
      <c r="KHO2464" s="60"/>
      <c r="KHP2464" s="60"/>
      <c r="KHQ2464" s="63"/>
      <c r="KHR2464" s="61"/>
      <c r="KHS2464" s="54"/>
      <c r="KHT2464" s="54"/>
      <c r="KHU2464" s="60"/>
      <c r="KHV2464" s="60"/>
      <c r="KHW2464" s="60"/>
      <c r="KHX2464" s="60"/>
      <c r="KHY2464" s="63"/>
      <c r="KHZ2464" s="61"/>
      <c r="KIA2464" s="54"/>
      <c r="KIB2464" s="54"/>
      <c r="KIC2464" s="60"/>
      <c r="KID2464" s="60"/>
      <c r="KIE2464" s="60"/>
      <c r="KIF2464" s="60"/>
      <c r="KIG2464" s="63"/>
      <c r="KIH2464" s="61"/>
      <c r="KII2464" s="54"/>
      <c r="KIJ2464" s="54"/>
      <c r="KIK2464" s="60"/>
      <c r="KIL2464" s="60"/>
      <c r="KIM2464" s="60"/>
      <c r="KIN2464" s="60"/>
      <c r="KIO2464" s="63"/>
      <c r="KIP2464" s="61"/>
      <c r="KIQ2464" s="54"/>
      <c r="KIR2464" s="54"/>
      <c r="KIS2464" s="60"/>
      <c r="KIT2464" s="60"/>
      <c r="KIU2464" s="60"/>
      <c r="KIV2464" s="60"/>
      <c r="KIW2464" s="63"/>
      <c r="KIX2464" s="61"/>
      <c r="KIY2464" s="54"/>
      <c r="KIZ2464" s="54"/>
      <c r="KJA2464" s="60"/>
      <c r="KJB2464" s="60"/>
      <c r="KJC2464" s="60"/>
      <c r="KJD2464" s="60"/>
      <c r="KJE2464" s="63"/>
      <c r="KJF2464" s="61"/>
      <c r="KJG2464" s="54"/>
      <c r="KJH2464" s="54"/>
      <c r="KJI2464" s="60"/>
      <c r="KJJ2464" s="60"/>
      <c r="KJK2464" s="60"/>
      <c r="KJL2464" s="60"/>
      <c r="KJM2464" s="63"/>
      <c r="KJN2464" s="61"/>
      <c r="KJO2464" s="54"/>
      <c r="KJP2464" s="54"/>
      <c r="KJQ2464" s="60"/>
      <c r="KJR2464" s="60"/>
      <c r="KJS2464" s="60"/>
      <c r="KJT2464" s="60"/>
      <c r="KJU2464" s="63"/>
      <c r="KJV2464" s="61"/>
      <c r="KJW2464" s="54"/>
      <c r="KJX2464" s="54"/>
      <c r="KJY2464" s="60"/>
      <c r="KJZ2464" s="60"/>
      <c r="KKA2464" s="60"/>
      <c r="KKB2464" s="60"/>
      <c r="KKC2464" s="63"/>
      <c r="KKD2464" s="61"/>
      <c r="KKE2464" s="54"/>
      <c r="KKF2464" s="54"/>
      <c r="KKG2464" s="60"/>
      <c r="KKH2464" s="60"/>
      <c r="KKI2464" s="60"/>
      <c r="KKJ2464" s="60"/>
      <c r="KKK2464" s="63"/>
      <c r="KKL2464" s="61"/>
      <c r="KKM2464" s="54"/>
      <c r="KKN2464" s="54"/>
      <c r="KKO2464" s="60"/>
      <c r="KKP2464" s="60"/>
      <c r="KKQ2464" s="60"/>
      <c r="KKR2464" s="60"/>
      <c r="KKS2464" s="63"/>
      <c r="KKT2464" s="61"/>
      <c r="KKU2464" s="54"/>
      <c r="KKV2464" s="54"/>
      <c r="KKW2464" s="60"/>
      <c r="KKX2464" s="60"/>
      <c r="KKY2464" s="60"/>
      <c r="KKZ2464" s="60"/>
      <c r="KLA2464" s="63"/>
      <c r="KLB2464" s="61"/>
      <c r="KLC2464" s="54"/>
      <c r="KLD2464" s="54"/>
      <c r="KLE2464" s="60"/>
      <c r="KLF2464" s="60"/>
      <c r="KLG2464" s="60"/>
      <c r="KLH2464" s="60"/>
      <c r="KLI2464" s="63"/>
      <c r="KLJ2464" s="61"/>
      <c r="KLK2464" s="54"/>
      <c r="KLL2464" s="54"/>
      <c r="KLM2464" s="60"/>
      <c r="KLN2464" s="60"/>
      <c r="KLO2464" s="60"/>
      <c r="KLP2464" s="60"/>
      <c r="KLQ2464" s="63"/>
      <c r="KLR2464" s="61"/>
      <c r="KLS2464" s="54"/>
      <c r="KLT2464" s="54"/>
      <c r="KLU2464" s="60"/>
      <c r="KLV2464" s="60"/>
      <c r="KLW2464" s="60"/>
      <c r="KLX2464" s="60"/>
      <c r="KLY2464" s="63"/>
      <c r="KLZ2464" s="61"/>
      <c r="KMA2464" s="54"/>
      <c r="KMB2464" s="54"/>
      <c r="KMC2464" s="60"/>
      <c r="KMD2464" s="60"/>
      <c r="KME2464" s="60"/>
      <c r="KMF2464" s="60"/>
      <c r="KMG2464" s="63"/>
      <c r="KMH2464" s="61"/>
      <c r="KMI2464" s="54"/>
      <c r="KMJ2464" s="54"/>
      <c r="KMK2464" s="60"/>
      <c r="KML2464" s="60"/>
      <c r="KMM2464" s="60"/>
      <c r="KMN2464" s="60"/>
      <c r="KMO2464" s="63"/>
      <c r="KMP2464" s="61"/>
      <c r="KMQ2464" s="54"/>
      <c r="KMR2464" s="54"/>
      <c r="KMS2464" s="60"/>
      <c r="KMT2464" s="60"/>
      <c r="KMU2464" s="60"/>
      <c r="KMV2464" s="60"/>
      <c r="KMW2464" s="63"/>
      <c r="KMX2464" s="61"/>
      <c r="KMY2464" s="54"/>
      <c r="KMZ2464" s="54"/>
      <c r="KNA2464" s="60"/>
      <c r="KNB2464" s="60"/>
      <c r="KNC2464" s="60"/>
      <c r="KND2464" s="60"/>
      <c r="KNE2464" s="63"/>
      <c r="KNF2464" s="61"/>
      <c r="KNG2464" s="54"/>
      <c r="KNH2464" s="54"/>
      <c r="KNI2464" s="60"/>
      <c r="KNJ2464" s="60"/>
      <c r="KNK2464" s="60"/>
      <c r="KNL2464" s="60"/>
      <c r="KNM2464" s="63"/>
      <c r="KNN2464" s="61"/>
      <c r="KNO2464" s="54"/>
      <c r="KNP2464" s="54"/>
      <c r="KNQ2464" s="60"/>
      <c r="KNR2464" s="60"/>
      <c r="KNS2464" s="60"/>
      <c r="KNT2464" s="60"/>
      <c r="KNU2464" s="63"/>
      <c r="KNV2464" s="61"/>
      <c r="KNW2464" s="54"/>
      <c r="KNX2464" s="54"/>
      <c r="KNY2464" s="60"/>
      <c r="KNZ2464" s="60"/>
      <c r="KOA2464" s="60"/>
      <c r="KOB2464" s="60"/>
      <c r="KOC2464" s="63"/>
      <c r="KOD2464" s="61"/>
      <c r="KOE2464" s="54"/>
      <c r="KOF2464" s="54"/>
      <c r="KOG2464" s="60"/>
      <c r="KOH2464" s="60"/>
      <c r="KOI2464" s="60"/>
      <c r="KOJ2464" s="60"/>
      <c r="KOK2464" s="63"/>
      <c r="KOL2464" s="61"/>
      <c r="KOM2464" s="54"/>
      <c r="KON2464" s="54"/>
      <c r="KOO2464" s="60"/>
      <c r="KOP2464" s="60"/>
      <c r="KOQ2464" s="60"/>
      <c r="KOR2464" s="60"/>
      <c r="KOS2464" s="63"/>
      <c r="KOT2464" s="61"/>
      <c r="KOU2464" s="54"/>
      <c r="KOV2464" s="54"/>
      <c r="KOW2464" s="60"/>
      <c r="KOX2464" s="60"/>
      <c r="KOY2464" s="60"/>
      <c r="KOZ2464" s="60"/>
      <c r="KPA2464" s="63"/>
      <c r="KPB2464" s="61"/>
      <c r="KPC2464" s="54"/>
      <c r="KPD2464" s="54"/>
      <c r="KPE2464" s="60"/>
      <c r="KPF2464" s="60"/>
      <c r="KPG2464" s="60"/>
      <c r="KPH2464" s="60"/>
      <c r="KPI2464" s="63"/>
      <c r="KPJ2464" s="61"/>
      <c r="KPK2464" s="54"/>
      <c r="KPL2464" s="54"/>
      <c r="KPM2464" s="60"/>
      <c r="KPN2464" s="60"/>
      <c r="KPO2464" s="60"/>
      <c r="KPP2464" s="60"/>
      <c r="KPQ2464" s="63"/>
      <c r="KPR2464" s="61"/>
      <c r="KPS2464" s="54"/>
      <c r="KPT2464" s="54"/>
      <c r="KPU2464" s="60"/>
      <c r="KPV2464" s="60"/>
      <c r="KPW2464" s="60"/>
      <c r="KPX2464" s="60"/>
      <c r="KPY2464" s="63"/>
      <c r="KPZ2464" s="61"/>
      <c r="KQA2464" s="54"/>
      <c r="KQB2464" s="54"/>
      <c r="KQC2464" s="60"/>
      <c r="KQD2464" s="60"/>
      <c r="KQE2464" s="60"/>
      <c r="KQF2464" s="60"/>
      <c r="KQG2464" s="63"/>
      <c r="KQH2464" s="61"/>
      <c r="KQI2464" s="54"/>
      <c r="KQJ2464" s="54"/>
      <c r="KQK2464" s="60"/>
      <c r="KQL2464" s="60"/>
      <c r="KQM2464" s="60"/>
      <c r="KQN2464" s="60"/>
      <c r="KQO2464" s="63"/>
      <c r="KQP2464" s="61"/>
      <c r="KQQ2464" s="54"/>
      <c r="KQR2464" s="54"/>
      <c r="KQS2464" s="60"/>
      <c r="KQT2464" s="60"/>
      <c r="KQU2464" s="60"/>
      <c r="KQV2464" s="60"/>
      <c r="KQW2464" s="63"/>
      <c r="KQX2464" s="61"/>
      <c r="KQY2464" s="54"/>
      <c r="KQZ2464" s="54"/>
      <c r="KRA2464" s="60"/>
      <c r="KRB2464" s="60"/>
      <c r="KRC2464" s="60"/>
      <c r="KRD2464" s="60"/>
      <c r="KRE2464" s="63"/>
      <c r="KRF2464" s="61"/>
      <c r="KRG2464" s="54"/>
      <c r="KRH2464" s="54"/>
      <c r="KRI2464" s="60"/>
      <c r="KRJ2464" s="60"/>
      <c r="KRK2464" s="60"/>
      <c r="KRL2464" s="60"/>
      <c r="KRM2464" s="63"/>
      <c r="KRN2464" s="61"/>
      <c r="KRO2464" s="54"/>
      <c r="KRP2464" s="54"/>
      <c r="KRQ2464" s="60"/>
      <c r="KRR2464" s="60"/>
      <c r="KRS2464" s="60"/>
      <c r="KRT2464" s="60"/>
      <c r="KRU2464" s="63"/>
      <c r="KRV2464" s="61"/>
      <c r="KRW2464" s="54"/>
      <c r="KRX2464" s="54"/>
      <c r="KRY2464" s="60"/>
      <c r="KRZ2464" s="60"/>
      <c r="KSA2464" s="60"/>
      <c r="KSB2464" s="60"/>
      <c r="KSC2464" s="63"/>
      <c r="KSD2464" s="61"/>
      <c r="KSE2464" s="54"/>
      <c r="KSF2464" s="54"/>
      <c r="KSG2464" s="60"/>
      <c r="KSH2464" s="60"/>
      <c r="KSI2464" s="60"/>
      <c r="KSJ2464" s="60"/>
      <c r="KSK2464" s="63"/>
      <c r="KSL2464" s="61"/>
      <c r="KSM2464" s="54"/>
      <c r="KSN2464" s="54"/>
      <c r="KSO2464" s="60"/>
      <c r="KSP2464" s="60"/>
      <c r="KSQ2464" s="60"/>
      <c r="KSR2464" s="60"/>
      <c r="KSS2464" s="63"/>
      <c r="KST2464" s="61"/>
      <c r="KSU2464" s="54"/>
      <c r="KSV2464" s="54"/>
      <c r="KSW2464" s="60"/>
      <c r="KSX2464" s="60"/>
      <c r="KSY2464" s="60"/>
      <c r="KSZ2464" s="60"/>
      <c r="KTA2464" s="63"/>
      <c r="KTB2464" s="61"/>
      <c r="KTC2464" s="54"/>
      <c r="KTD2464" s="54"/>
      <c r="KTE2464" s="60"/>
      <c r="KTF2464" s="60"/>
      <c r="KTG2464" s="60"/>
      <c r="KTH2464" s="60"/>
      <c r="KTI2464" s="63"/>
      <c r="KTJ2464" s="61"/>
      <c r="KTK2464" s="54"/>
      <c r="KTL2464" s="54"/>
      <c r="KTM2464" s="60"/>
      <c r="KTN2464" s="60"/>
      <c r="KTO2464" s="60"/>
      <c r="KTP2464" s="60"/>
      <c r="KTQ2464" s="63"/>
      <c r="KTR2464" s="61"/>
      <c r="KTS2464" s="54"/>
      <c r="KTT2464" s="54"/>
      <c r="KTU2464" s="60"/>
      <c r="KTV2464" s="60"/>
      <c r="KTW2464" s="60"/>
      <c r="KTX2464" s="60"/>
      <c r="KTY2464" s="63"/>
      <c r="KTZ2464" s="61"/>
      <c r="KUA2464" s="54"/>
      <c r="KUB2464" s="54"/>
      <c r="KUC2464" s="60"/>
      <c r="KUD2464" s="60"/>
      <c r="KUE2464" s="60"/>
      <c r="KUF2464" s="60"/>
      <c r="KUG2464" s="63"/>
      <c r="KUH2464" s="61"/>
      <c r="KUI2464" s="54"/>
      <c r="KUJ2464" s="54"/>
      <c r="KUK2464" s="60"/>
      <c r="KUL2464" s="60"/>
      <c r="KUM2464" s="60"/>
      <c r="KUN2464" s="60"/>
      <c r="KUO2464" s="63"/>
      <c r="KUP2464" s="61"/>
      <c r="KUQ2464" s="54"/>
      <c r="KUR2464" s="54"/>
      <c r="KUS2464" s="60"/>
      <c r="KUT2464" s="60"/>
      <c r="KUU2464" s="60"/>
      <c r="KUV2464" s="60"/>
      <c r="KUW2464" s="63"/>
      <c r="KUX2464" s="61"/>
      <c r="KUY2464" s="54"/>
      <c r="KUZ2464" s="54"/>
      <c r="KVA2464" s="60"/>
      <c r="KVB2464" s="60"/>
      <c r="KVC2464" s="60"/>
      <c r="KVD2464" s="60"/>
      <c r="KVE2464" s="63"/>
      <c r="KVF2464" s="61"/>
      <c r="KVG2464" s="54"/>
      <c r="KVH2464" s="54"/>
      <c r="KVI2464" s="60"/>
      <c r="KVJ2464" s="60"/>
      <c r="KVK2464" s="60"/>
      <c r="KVL2464" s="60"/>
      <c r="KVM2464" s="63"/>
      <c r="KVN2464" s="61"/>
      <c r="KVO2464" s="54"/>
      <c r="KVP2464" s="54"/>
      <c r="KVQ2464" s="60"/>
      <c r="KVR2464" s="60"/>
      <c r="KVS2464" s="60"/>
      <c r="KVT2464" s="60"/>
      <c r="KVU2464" s="63"/>
      <c r="KVV2464" s="61"/>
      <c r="KVW2464" s="54"/>
      <c r="KVX2464" s="54"/>
      <c r="KVY2464" s="60"/>
      <c r="KVZ2464" s="60"/>
      <c r="KWA2464" s="60"/>
      <c r="KWB2464" s="60"/>
      <c r="KWC2464" s="63"/>
      <c r="KWD2464" s="61"/>
      <c r="KWE2464" s="54"/>
      <c r="KWF2464" s="54"/>
      <c r="KWG2464" s="60"/>
      <c r="KWH2464" s="60"/>
      <c r="KWI2464" s="60"/>
      <c r="KWJ2464" s="60"/>
      <c r="KWK2464" s="63"/>
      <c r="KWL2464" s="61"/>
      <c r="KWM2464" s="54"/>
      <c r="KWN2464" s="54"/>
      <c r="KWO2464" s="60"/>
      <c r="KWP2464" s="60"/>
      <c r="KWQ2464" s="60"/>
      <c r="KWR2464" s="60"/>
      <c r="KWS2464" s="63"/>
      <c r="KWT2464" s="61"/>
      <c r="KWU2464" s="54"/>
      <c r="KWV2464" s="54"/>
      <c r="KWW2464" s="60"/>
      <c r="KWX2464" s="60"/>
      <c r="KWY2464" s="60"/>
      <c r="KWZ2464" s="60"/>
      <c r="KXA2464" s="63"/>
      <c r="KXB2464" s="61"/>
      <c r="KXC2464" s="54"/>
      <c r="KXD2464" s="54"/>
      <c r="KXE2464" s="60"/>
      <c r="KXF2464" s="60"/>
      <c r="KXG2464" s="60"/>
      <c r="KXH2464" s="60"/>
      <c r="KXI2464" s="63"/>
      <c r="KXJ2464" s="61"/>
      <c r="KXK2464" s="54"/>
      <c r="KXL2464" s="54"/>
      <c r="KXM2464" s="60"/>
      <c r="KXN2464" s="60"/>
      <c r="KXO2464" s="60"/>
      <c r="KXP2464" s="60"/>
      <c r="KXQ2464" s="63"/>
      <c r="KXR2464" s="61"/>
      <c r="KXS2464" s="54"/>
      <c r="KXT2464" s="54"/>
      <c r="KXU2464" s="60"/>
      <c r="KXV2464" s="60"/>
      <c r="KXW2464" s="60"/>
      <c r="KXX2464" s="60"/>
      <c r="KXY2464" s="63"/>
      <c r="KXZ2464" s="61"/>
      <c r="KYA2464" s="54"/>
      <c r="KYB2464" s="54"/>
      <c r="KYC2464" s="60"/>
      <c r="KYD2464" s="60"/>
      <c r="KYE2464" s="60"/>
      <c r="KYF2464" s="60"/>
      <c r="KYG2464" s="63"/>
      <c r="KYH2464" s="61"/>
      <c r="KYI2464" s="54"/>
      <c r="KYJ2464" s="54"/>
      <c r="KYK2464" s="60"/>
      <c r="KYL2464" s="60"/>
      <c r="KYM2464" s="60"/>
      <c r="KYN2464" s="60"/>
      <c r="KYO2464" s="63"/>
      <c r="KYP2464" s="61"/>
      <c r="KYQ2464" s="54"/>
      <c r="KYR2464" s="54"/>
      <c r="KYS2464" s="60"/>
      <c r="KYT2464" s="60"/>
      <c r="KYU2464" s="60"/>
      <c r="KYV2464" s="60"/>
      <c r="KYW2464" s="63"/>
      <c r="KYX2464" s="61"/>
      <c r="KYY2464" s="54"/>
      <c r="KYZ2464" s="54"/>
      <c r="KZA2464" s="60"/>
      <c r="KZB2464" s="60"/>
      <c r="KZC2464" s="60"/>
      <c r="KZD2464" s="60"/>
      <c r="KZE2464" s="63"/>
      <c r="KZF2464" s="61"/>
      <c r="KZG2464" s="54"/>
      <c r="KZH2464" s="54"/>
      <c r="KZI2464" s="60"/>
      <c r="KZJ2464" s="60"/>
      <c r="KZK2464" s="60"/>
      <c r="KZL2464" s="60"/>
      <c r="KZM2464" s="63"/>
      <c r="KZN2464" s="61"/>
      <c r="KZO2464" s="54"/>
      <c r="KZP2464" s="54"/>
      <c r="KZQ2464" s="60"/>
      <c r="KZR2464" s="60"/>
      <c r="KZS2464" s="60"/>
      <c r="KZT2464" s="60"/>
      <c r="KZU2464" s="63"/>
      <c r="KZV2464" s="61"/>
      <c r="KZW2464" s="54"/>
      <c r="KZX2464" s="54"/>
      <c r="KZY2464" s="60"/>
      <c r="KZZ2464" s="60"/>
      <c r="LAA2464" s="60"/>
      <c r="LAB2464" s="60"/>
      <c r="LAC2464" s="63"/>
      <c r="LAD2464" s="61"/>
      <c r="LAE2464" s="54"/>
      <c r="LAF2464" s="54"/>
      <c r="LAG2464" s="60"/>
      <c r="LAH2464" s="60"/>
      <c r="LAI2464" s="60"/>
      <c r="LAJ2464" s="60"/>
      <c r="LAK2464" s="63"/>
      <c r="LAL2464" s="61"/>
      <c r="LAM2464" s="54"/>
      <c r="LAN2464" s="54"/>
      <c r="LAO2464" s="60"/>
      <c r="LAP2464" s="60"/>
      <c r="LAQ2464" s="60"/>
      <c r="LAR2464" s="60"/>
      <c r="LAS2464" s="63"/>
      <c r="LAT2464" s="61"/>
      <c r="LAU2464" s="54"/>
      <c r="LAV2464" s="54"/>
      <c r="LAW2464" s="60"/>
      <c r="LAX2464" s="60"/>
      <c r="LAY2464" s="60"/>
      <c r="LAZ2464" s="60"/>
      <c r="LBA2464" s="63"/>
      <c r="LBB2464" s="61"/>
      <c r="LBC2464" s="54"/>
      <c r="LBD2464" s="54"/>
      <c r="LBE2464" s="60"/>
      <c r="LBF2464" s="60"/>
      <c r="LBG2464" s="60"/>
      <c r="LBH2464" s="60"/>
      <c r="LBI2464" s="63"/>
      <c r="LBJ2464" s="61"/>
      <c r="LBK2464" s="54"/>
      <c r="LBL2464" s="54"/>
      <c r="LBM2464" s="60"/>
      <c r="LBN2464" s="60"/>
      <c r="LBO2464" s="60"/>
      <c r="LBP2464" s="60"/>
      <c r="LBQ2464" s="63"/>
      <c r="LBR2464" s="61"/>
      <c r="LBS2464" s="54"/>
      <c r="LBT2464" s="54"/>
      <c r="LBU2464" s="60"/>
      <c r="LBV2464" s="60"/>
      <c r="LBW2464" s="60"/>
      <c r="LBX2464" s="60"/>
      <c r="LBY2464" s="63"/>
      <c r="LBZ2464" s="61"/>
      <c r="LCA2464" s="54"/>
      <c r="LCB2464" s="54"/>
      <c r="LCC2464" s="60"/>
      <c r="LCD2464" s="60"/>
      <c r="LCE2464" s="60"/>
      <c r="LCF2464" s="60"/>
      <c r="LCG2464" s="63"/>
      <c r="LCH2464" s="61"/>
      <c r="LCI2464" s="54"/>
      <c r="LCJ2464" s="54"/>
      <c r="LCK2464" s="60"/>
      <c r="LCL2464" s="60"/>
      <c r="LCM2464" s="60"/>
      <c r="LCN2464" s="60"/>
      <c r="LCO2464" s="63"/>
      <c r="LCP2464" s="61"/>
      <c r="LCQ2464" s="54"/>
      <c r="LCR2464" s="54"/>
      <c r="LCS2464" s="60"/>
      <c r="LCT2464" s="60"/>
      <c r="LCU2464" s="60"/>
      <c r="LCV2464" s="60"/>
      <c r="LCW2464" s="63"/>
      <c r="LCX2464" s="61"/>
      <c r="LCY2464" s="54"/>
      <c r="LCZ2464" s="54"/>
      <c r="LDA2464" s="60"/>
      <c r="LDB2464" s="60"/>
      <c r="LDC2464" s="60"/>
      <c r="LDD2464" s="60"/>
      <c r="LDE2464" s="63"/>
      <c r="LDF2464" s="61"/>
      <c r="LDG2464" s="54"/>
      <c r="LDH2464" s="54"/>
      <c r="LDI2464" s="60"/>
      <c r="LDJ2464" s="60"/>
      <c r="LDK2464" s="60"/>
      <c r="LDL2464" s="60"/>
      <c r="LDM2464" s="63"/>
      <c r="LDN2464" s="61"/>
      <c r="LDO2464" s="54"/>
      <c r="LDP2464" s="54"/>
      <c r="LDQ2464" s="60"/>
      <c r="LDR2464" s="60"/>
      <c r="LDS2464" s="60"/>
      <c r="LDT2464" s="60"/>
      <c r="LDU2464" s="63"/>
      <c r="LDV2464" s="61"/>
      <c r="LDW2464" s="54"/>
      <c r="LDX2464" s="54"/>
      <c r="LDY2464" s="60"/>
      <c r="LDZ2464" s="60"/>
      <c r="LEA2464" s="60"/>
      <c r="LEB2464" s="60"/>
      <c r="LEC2464" s="63"/>
      <c r="LED2464" s="61"/>
      <c r="LEE2464" s="54"/>
      <c r="LEF2464" s="54"/>
      <c r="LEG2464" s="60"/>
      <c r="LEH2464" s="60"/>
      <c r="LEI2464" s="60"/>
      <c r="LEJ2464" s="60"/>
      <c r="LEK2464" s="63"/>
      <c r="LEL2464" s="61"/>
      <c r="LEM2464" s="54"/>
      <c r="LEN2464" s="54"/>
      <c r="LEO2464" s="60"/>
      <c r="LEP2464" s="60"/>
      <c r="LEQ2464" s="60"/>
      <c r="LER2464" s="60"/>
      <c r="LES2464" s="63"/>
      <c r="LET2464" s="61"/>
      <c r="LEU2464" s="54"/>
      <c r="LEV2464" s="54"/>
      <c r="LEW2464" s="60"/>
      <c r="LEX2464" s="60"/>
      <c r="LEY2464" s="60"/>
      <c r="LEZ2464" s="60"/>
      <c r="LFA2464" s="63"/>
      <c r="LFB2464" s="61"/>
      <c r="LFC2464" s="54"/>
      <c r="LFD2464" s="54"/>
      <c r="LFE2464" s="60"/>
      <c r="LFF2464" s="60"/>
      <c r="LFG2464" s="60"/>
      <c r="LFH2464" s="60"/>
      <c r="LFI2464" s="63"/>
      <c r="LFJ2464" s="61"/>
      <c r="LFK2464" s="54"/>
      <c r="LFL2464" s="54"/>
      <c r="LFM2464" s="60"/>
      <c r="LFN2464" s="60"/>
      <c r="LFO2464" s="60"/>
      <c r="LFP2464" s="60"/>
      <c r="LFQ2464" s="63"/>
      <c r="LFR2464" s="61"/>
      <c r="LFS2464" s="54"/>
      <c r="LFT2464" s="54"/>
      <c r="LFU2464" s="60"/>
      <c r="LFV2464" s="60"/>
      <c r="LFW2464" s="60"/>
      <c r="LFX2464" s="60"/>
      <c r="LFY2464" s="63"/>
      <c r="LFZ2464" s="61"/>
      <c r="LGA2464" s="54"/>
      <c r="LGB2464" s="54"/>
      <c r="LGC2464" s="60"/>
      <c r="LGD2464" s="60"/>
      <c r="LGE2464" s="60"/>
      <c r="LGF2464" s="60"/>
      <c r="LGG2464" s="63"/>
      <c r="LGH2464" s="61"/>
      <c r="LGI2464" s="54"/>
      <c r="LGJ2464" s="54"/>
      <c r="LGK2464" s="60"/>
      <c r="LGL2464" s="60"/>
      <c r="LGM2464" s="60"/>
      <c r="LGN2464" s="60"/>
      <c r="LGO2464" s="63"/>
      <c r="LGP2464" s="61"/>
      <c r="LGQ2464" s="54"/>
      <c r="LGR2464" s="54"/>
      <c r="LGS2464" s="60"/>
      <c r="LGT2464" s="60"/>
      <c r="LGU2464" s="60"/>
      <c r="LGV2464" s="60"/>
      <c r="LGW2464" s="63"/>
      <c r="LGX2464" s="61"/>
      <c r="LGY2464" s="54"/>
      <c r="LGZ2464" s="54"/>
      <c r="LHA2464" s="60"/>
      <c r="LHB2464" s="60"/>
      <c r="LHC2464" s="60"/>
      <c r="LHD2464" s="60"/>
      <c r="LHE2464" s="63"/>
      <c r="LHF2464" s="61"/>
      <c r="LHG2464" s="54"/>
      <c r="LHH2464" s="54"/>
      <c r="LHI2464" s="60"/>
      <c r="LHJ2464" s="60"/>
      <c r="LHK2464" s="60"/>
      <c r="LHL2464" s="60"/>
      <c r="LHM2464" s="63"/>
      <c r="LHN2464" s="61"/>
      <c r="LHO2464" s="54"/>
      <c r="LHP2464" s="54"/>
      <c r="LHQ2464" s="60"/>
      <c r="LHR2464" s="60"/>
      <c r="LHS2464" s="60"/>
      <c r="LHT2464" s="60"/>
      <c r="LHU2464" s="63"/>
      <c r="LHV2464" s="61"/>
      <c r="LHW2464" s="54"/>
      <c r="LHX2464" s="54"/>
      <c r="LHY2464" s="60"/>
      <c r="LHZ2464" s="60"/>
      <c r="LIA2464" s="60"/>
      <c r="LIB2464" s="60"/>
      <c r="LIC2464" s="63"/>
      <c r="LID2464" s="61"/>
      <c r="LIE2464" s="54"/>
      <c r="LIF2464" s="54"/>
      <c r="LIG2464" s="60"/>
      <c r="LIH2464" s="60"/>
      <c r="LII2464" s="60"/>
      <c r="LIJ2464" s="60"/>
      <c r="LIK2464" s="63"/>
      <c r="LIL2464" s="61"/>
      <c r="LIM2464" s="54"/>
      <c r="LIN2464" s="54"/>
      <c r="LIO2464" s="60"/>
      <c r="LIP2464" s="60"/>
      <c r="LIQ2464" s="60"/>
      <c r="LIR2464" s="60"/>
      <c r="LIS2464" s="63"/>
      <c r="LIT2464" s="61"/>
      <c r="LIU2464" s="54"/>
      <c r="LIV2464" s="54"/>
      <c r="LIW2464" s="60"/>
      <c r="LIX2464" s="60"/>
      <c r="LIY2464" s="60"/>
      <c r="LIZ2464" s="60"/>
      <c r="LJA2464" s="63"/>
      <c r="LJB2464" s="61"/>
      <c r="LJC2464" s="54"/>
      <c r="LJD2464" s="54"/>
      <c r="LJE2464" s="60"/>
      <c r="LJF2464" s="60"/>
      <c r="LJG2464" s="60"/>
      <c r="LJH2464" s="60"/>
      <c r="LJI2464" s="63"/>
      <c r="LJJ2464" s="61"/>
      <c r="LJK2464" s="54"/>
      <c r="LJL2464" s="54"/>
      <c r="LJM2464" s="60"/>
      <c r="LJN2464" s="60"/>
      <c r="LJO2464" s="60"/>
      <c r="LJP2464" s="60"/>
      <c r="LJQ2464" s="63"/>
      <c r="LJR2464" s="61"/>
      <c r="LJS2464" s="54"/>
      <c r="LJT2464" s="54"/>
      <c r="LJU2464" s="60"/>
      <c r="LJV2464" s="60"/>
      <c r="LJW2464" s="60"/>
      <c r="LJX2464" s="60"/>
      <c r="LJY2464" s="63"/>
      <c r="LJZ2464" s="61"/>
      <c r="LKA2464" s="54"/>
      <c r="LKB2464" s="54"/>
      <c r="LKC2464" s="60"/>
      <c r="LKD2464" s="60"/>
      <c r="LKE2464" s="60"/>
      <c r="LKF2464" s="60"/>
      <c r="LKG2464" s="63"/>
      <c r="LKH2464" s="61"/>
      <c r="LKI2464" s="54"/>
      <c r="LKJ2464" s="54"/>
      <c r="LKK2464" s="60"/>
      <c r="LKL2464" s="60"/>
      <c r="LKM2464" s="60"/>
      <c r="LKN2464" s="60"/>
      <c r="LKO2464" s="63"/>
      <c r="LKP2464" s="61"/>
      <c r="LKQ2464" s="54"/>
      <c r="LKR2464" s="54"/>
      <c r="LKS2464" s="60"/>
      <c r="LKT2464" s="60"/>
      <c r="LKU2464" s="60"/>
      <c r="LKV2464" s="60"/>
      <c r="LKW2464" s="63"/>
      <c r="LKX2464" s="61"/>
      <c r="LKY2464" s="54"/>
      <c r="LKZ2464" s="54"/>
      <c r="LLA2464" s="60"/>
      <c r="LLB2464" s="60"/>
      <c r="LLC2464" s="60"/>
      <c r="LLD2464" s="60"/>
      <c r="LLE2464" s="63"/>
      <c r="LLF2464" s="61"/>
      <c r="LLG2464" s="54"/>
      <c r="LLH2464" s="54"/>
      <c r="LLI2464" s="60"/>
      <c r="LLJ2464" s="60"/>
      <c r="LLK2464" s="60"/>
      <c r="LLL2464" s="60"/>
      <c r="LLM2464" s="63"/>
      <c r="LLN2464" s="61"/>
      <c r="LLO2464" s="54"/>
      <c r="LLP2464" s="54"/>
      <c r="LLQ2464" s="60"/>
      <c r="LLR2464" s="60"/>
      <c r="LLS2464" s="60"/>
      <c r="LLT2464" s="60"/>
      <c r="LLU2464" s="63"/>
      <c r="LLV2464" s="61"/>
      <c r="LLW2464" s="54"/>
      <c r="LLX2464" s="54"/>
      <c r="LLY2464" s="60"/>
      <c r="LLZ2464" s="60"/>
      <c r="LMA2464" s="60"/>
      <c r="LMB2464" s="60"/>
      <c r="LMC2464" s="63"/>
      <c r="LMD2464" s="61"/>
      <c r="LME2464" s="54"/>
      <c r="LMF2464" s="54"/>
      <c r="LMG2464" s="60"/>
      <c r="LMH2464" s="60"/>
      <c r="LMI2464" s="60"/>
      <c r="LMJ2464" s="60"/>
      <c r="LMK2464" s="63"/>
      <c r="LML2464" s="61"/>
      <c r="LMM2464" s="54"/>
      <c r="LMN2464" s="54"/>
      <c r="LMO2464" s="60"/>
      <c r="LMP2464" s="60"/>
      <c r="LMQ2464" s="60"/>
      <c r="LMR2464" s="60"/>
      <c r="LMS2464" s="63"/>
      <c r="LMT2464" s="61"/>
      <c r="LMU2464" s="54"/>
      <c r="LMV2464" s="54"/>
      <c r="LMW2464" s="60"/>
      <c r="LMX2464" s="60"/>
      <c r="LMY2464" s="60"/>
      <c r="LMZ2464" s="60"/>
      <c r="LNA2464" s="63"/>
      <c r="LNB2464" s="61"/>
      <c r="LNC2464" s="54"/>
      <c r="LND2464" s="54"/>
      <c r="LNE2464" s="60"/>
      <c r="LNF2464" s="60"/>
      <c r="LNG2464" s="60"/>
      <c r="LNH2464" s="60"/>
      <c r="LNI2464" s="63"/>
      <c r="LNJ2464" s="61"/>
      <c r="LNK2464" s="54"/>
      <c r="LNL2464" s="54"/>
      <c r="LNM2464" s="60"/>
      <c r="LNN2464" s="60"/>
      <c r="LNO2464" s="60"/>
      <c r="LNP2464" s="60"/>
      <c r="LNQ2464" s="63"/>
      <c r="LNR2464" s="61"/>
      <c r="LNS2464" s="54"/>
      <c r="LNT2464" s="54"/>
      <c r="LNU2464" s="60"/>
      <c r="LNV2464" s="60"/>
      <c r="LNW2464" s="60"/>
      <c r="LNX2464" s="60"/>
      <c r="LNY2464" s="63"/>
      <c r="LNZ2464" s="61"/>
      <c r="LOA2464" s="54"/>
      <c r="LOB2464" s="54"/>
      <c r="LOC2464" s="60"/>
      <c r="LOD2464" s="60"/>
      <c r="LOE2464" s="60"/>
      <c r="LOF2464" s="60"/>
      <c r="LOG2464" s="63"/>
      <c r="LOH2464" s="61"/>
      <c r="LOI2464" s="54"/>
      <c r="LOJ2464" s="54"/>
      <c r="LOK2464" s="60"/>
      <c r="LOL2464" s="60"/>
      <c r="LOM2464" s="60"/>
      <c r="LON2464" s="60"/>
      <c r="LOO2464" s="63"/>
      <c r="LOP2464" s="61"/>
      <c r="LOQ2464" s="54"/>
      <c r="LOR2464" s="54"/>
      <c r="LOS2464" s="60"/>
      <c r="LOT2464" s="60"/>
      <c r="LOU2464" s="60"/>
      <c r="LOV2464" s="60"/>
      <c r="LOW2464" s="63"/>
      <c r="LOX2464" s="61"/>
      <c r="LOY2464" s="54"/>
      <c r="LOZ2464" s="54"/>
      <c r="LPA2464" s="60"/>
      <c r="LPB2464" s="60"/>
      <c r="LPC2464" s="60"/>
      <c r="LPD2464" s="60"/>
      <c r="LPE2464" s="63"/>
      <c r="LPF2464" s="61"/>
      <c r="LPG2464" s="54"/>
      <c r="LPH2464" s="54"/>
      <c r="LPI2464" s="60"/>
      <c r="LPJ2464" s="60"/>
      <c r="LPK2464" s="60"/>
      <c r="LPL2464" s="60"/>
      <c r="LPM2464" s="63"/>
      <c r="LPN2464" s="61"/>
      <c r="LPO2464" s="54"/>
      <c r="LPP2464" s="54"/>
      <c r="LPQ2464" s="60"/>
      <c r="LPR2464" s="60"/>
      <c r="LPS2464" s="60"/>
      <c r="LPT2464" s="60"/>
      <c r="LPU2464" s="63"/>
      <c r="LPV2464" s="61"/>
      <c r="LPW2464" s="54"/>
      <c r="LPX2464" s="54"/>
      <c r="LPY2464" s="60"/>
      <c r="LPZ2464" s="60"/>
      <c r="LQA2464" s="60"/>
      <c r="LQB2464" s="60"/>
      <c r="LQC2464" s="63"/>
      <c r="LQD2464" s="61"/>
      <c r="LQE2464" s="54"/>
      <c r="LQF2464" s="54"/>
      <c r="LQG2464" s="60"/>
      <c r="LQH2464" s="60"/>
      <c r="LQI2464" s="60"/>
      <c r="LQJ2464" s="60"/>
      <c r="LQK2464" s="63"/>
      <c r="LQL2464" s="61"/>
      <c r="LQM2464" s="54"/>
      <c r="LQN2464" s="54"/>
      <c r="LQO2464" s="60"/>
      <c r="LQP2464" s="60"/>
      <c r="LQQ2464" s="60"/>
      <c r="LQR2464" s="60"/>
      <c r="LQS2464" s="63"/>
      <c r="LQT2464" s="61"/>
      <c r="LQU2464" s="54"/>
      <c r="LQV2464" s="54"/>
      <c r="LQW2464" s="60"/>
      <c r="LQX2464" s="60"/>
      <c r="LQY2464" s="60"/>
      <c r="LQZ2464" s="60"/>
      <c r="LRA2464" s="63"/>
      <c r="LRB2464" s="61"/>
      <c r="LRC2464" s="54"/>
      <c r="LRD2464" s="54"/>
      <c r="LRE2464" s="60"/>
      <c r="LRF2464" s="60"/>
      <c r="LRG2464" s="60"/>
      <c r="LRH2464" s="60"/>
      <c r="LRI2464" s="63"/>
      <c r="LRJ2464" s="61"/>
      <c r="LRK2464" s="54"/>
      <c r="LRL2464" s="54"/>
      <c r="LRM2464" s="60"/>
      <c r="LRN2464" s="60"/>
      <c r="LRO2464" s="60"/>
      <c r="LRP2464" s="60"/>
      <c r="LRQ2464" s="63"/>
      <c r="LRR2464" s="61"/>
      <c r="LRS2464" s="54"/>
      <c r="LRT2464" s="54"/>
      <c r="LRU2464" s="60"/>
      <c r="LRV2464" s="60"/>
      <c r="LRW2464" s="60"/>
      <c r="LRX2464" s="60"/>
      <c r="LRY2464" s="63"/>
      <c r="LRZ2464" s="61"/>
      <c r="LSA2464" s="54"/>
      <c r="LSB2464" s="54"/>
      <c r="LSC2464" s="60"/>
      <c r="LSD2464" s="60"/>
      <c r="LSE2464" s="60"/>
      <c r="LSF2464" s="60"/>
      <c r="LSG2464" s="63"/>
      <c r="LSH2464" s="61"/>
      <c r="LSI2464" s="54"/>
      <c r="LSJ2464" s="54"/>
      <c r="LSK2464" s="60"/>
      <c r="LSL2464" s="60"/>
      <c r="LSM2464" s="60"/>
      <c r="LSN2464" s="60"/>
      <c r="LSO2464" s="63"/>
      <c r="LSP2464" s="61"/>
      <c r="LSQ2464" s="54"/>
      <c r="LSR2464" s="54"/>
      <c r="LSS2464" s="60"/>
      <c r="LST2464" s="60"/>
      <c r="LSU2464" s="60"/>
      <c r="LSV2464" s="60"/>
      <c r="LSW2464" s="63"/>
      <c r="LSX2464" s="61"/>
      <c r="LSY2464" s="54"/>
      <c r="LSZ2464" s="54"/>
      <c r="LTA2464" s="60"/>
      <c r="LTB2464" s="60"/>
      <c r="LTC2464" s="60"/>
      <c r="LTD2464" s="60"/>
      <c r="LTE2464" s="63"/>
      <c r="LTF2464" s="61"/>
      <c r="LTG2464" s="54"/>
      <c r="LTH2464" s="54"/>
      <c r="LTI2464" s="60"/>
      <c r="LTJ2464" s="60"/>
      <c r="LTK2464" s="60"/>
      <c r="LTL2464" s="60"/>
      <c r="LTM2464" s="63"/>
      <c r="LTN2464" s="61"/>
      <c r="LTO2464" s="54"/>
      <c r="LTP2464" s="54"/>
      <c r="LTQ2464" s="60"/>
      <c r="LTR2464" s="60"/>
      <c r="LTS2464" s="60"/>
      <c r="LTT2464" s="60"/>
      <c r="LTU2464" s="63"/>
      <c r="LTV2464" s="61"/>
      <c r="LTW2464" s="54"/>
      <c r="LTX2464" s="54"/>
      <c r="LTY2464" s="60"/>
      <c r="LTZ2464" s="60"/>
      <c r="LUA2464" s="60"/>
      <c r="LUB2464" s="60"/>
      <c r="LUC2464" s="63"/>
      <c r="LUD2464" s="61"/>
      <c r="LUE2464" s="54"/>
      <c r="LUF2464" s="54"/>
      <c r="LUG2464" s="60"/>
      <c r="LUH2464" s="60"/>
      <c r="LUI2464" s="60"/>
      <c r="LUJ2464" s="60"/>
      <c r="LUK2464" s="63"/>
      <c r="LUL2464" s="61"/>
      <c r="LUM2464" s="54"/>
      <c r="LUN2464" s="54"/>
      <c r="LUO2464" s="60"/>
      <c r="LUP2464" s="60"/>
      <c r="LUQ2464" s="60"/>
      <c r="LUR2464" s="60"/>
      <c r="LUS2464" s="63"/>
      <c r="LUT2464" s="61"/>
      <c r="LUU2464" s="54"/>
      <c r="LUV2464" s="54"/>
      <c r="LUW2464" s="60"/>
      <c r="LUX2464" s="60"/>
      <c r="LUY2464" s="60"/>
      <c r="LUZ2464" s="60"/>
      <c r="LVA2464" s="63"/>
      <c r="LVB2464" s="61"/>
      <c r="LVC2464" s="54"/>
      <c r="LVD2464" s="54"/>
      <c r="LVE2464" s="60"/>
      <c r="LVF2464" s="60"/>
      <c r="LVG2464" s="60"/>
      <c r="LVH2464" s="60"/>
      <c r="LVI2464" s="63"/>
      <c r="LVJ2464" s="61"/>
      <c r="LVK2464" s="54"/>
      <c r="LVL2464" s="54"/>
      <c r="LVM2464" s="60"/>
      <c r="LVN2464" s="60"/>
      <c r="LVO2464" s="60"/>
      <c r="LVP2464" s="60"/>
      <c r="LVQ2464" s="63"/>
      <c r="LVR2464" s="61"/>
      <c r="LVS2464" s="54"/>
      <c r="LVT2464" s="54"/>
      <c r="LVU2464" s="60"/>
      <c r="LVV2464" s="60"/>
      <c r="LVW2464" s="60"/>
      <c r="LVX2464" s="60"/>
      <c r="LVY2464" s="63"/>
      <c r="LVZ2464" s="61"/>
      <c r="LWA2464" s="54"/>
      <c r="LWB2464" s="54"/>
      <c r="LWC2464" s="60"/>
      <c r="LWD2464" s="60"/>
      <c r="LWE2464" s="60"/>
      <c r="LWF2464" s="60"/>
      <c r="LWG2464" s="63"/>
      <c r="LWH2464" s="61"/>
      <c r="LWI2464" s="54"/>
      <c r="LWJ2464" s="54"/>
      <c r="LWK2464" s="60"/>
      <c r="LWL2464" s="60"/>
      <c r="LWM2464" s="60"/>
      <c r="LWN2464" s="60"/>
      <c r="LWO2464" s="63"/>
      <c r="LWP2464" s="61"/>
      <c r="LWQ2464" s="54"/>
      <c r="LWR2464" s="54"/>
      <c r="LWS2464" s="60"/>
      <c r="LWT2464" s="60"/>
      <c r="LWU2464" s="60"/>
      <c r="LWV2464" s="60"/>
      <c r="LWW2464" s="63"/>
      <c r="LWX2464" s="61"/>
      <c r="LWY2464" s="54"/>
      <c r="LWZ2464" s="54"/>
      <c r="LXA2464" s="60"/>
      <c r="LXB2464" s="60"/>
      <c r="LXC2464" s="60"/>
      <c r="LXD2464" s="60"/>
      <c r="LXE2464" s="63"/>
      <c r="LXF2464" s="61"/>
      <c r="LXG2464" s="54"/>
      <c r="LXH2464" s="54"/>
      <c r="LXI2464" s="60"/>
      <c r="LXJ2464" s="60"/>
      <c r="LXK2464" s="60"/>
      <c r="LXL2464" s="60"/>
      <c r="LXM2464" s="63"/>
      <c r="LXN2464" s="61"/>
      <c r="LXO2464" s="54"/>
      <c r="LXP2464" s="54"/>
      <c r="LXQ2464" s="60"/>
      <c r="LXR2464" s="60"/>
      <c r="LXS2464" s="60"/>
      <c r="LXT2464" s="60"/>
      <c r="LXU2464" s="63"/>
      <c r="LXV2464" s="61"/>
      <c r="LXW2464" s="54"/>
      <c r="LXX2464" s="54"/>
      <c r="LXY2464" s="60"/>
      <c r="LXZ2464" s="60"/>
      <c r="LYA2464" s="60"/>
      <c r="LYB2464" s="60"/>
      <c r="LYC2464" s="63"/>
      <c r="LYD2464" s="61"/>
      <c r="LYE2464" s="54"/>
      <c r="LYF2464" s="54"/>
      <c r="LYG2464" s="60"/>
      <c r="LYH2464" s="60"/>
      <c r="LYI2464" s="60"/>
      <c r="LYJ2464" s="60"/>
      <c r="LYK2464" s="63"/>
      <c r="LYL2464" s="61"/>
      <c r="LYM2464" s="54"/>
      <c r="LYN2464" s="54"/>
      <c r="LYO2464" s="60"/>
      <c r="LYP2464" s="60"/>
      <c r="LYQ2464" s="60"/>
      <c r="LYR2464" s="60"/>
      <c r="LYS2464" s="63"/>
      <c r="LYT2464" s="61"/>
      <c r="LYU2464" s="54"/>
      <c r="LYV2464" s="54"/>
      <c r="LYW2464" s="60"/>
      <c r="LYX2464" s="60"/>
      <c r="LYY2464" s="60"/>
      <c r="LYZ2464" s="60"/>
      <c r="LZA2464" s="63"/>
      <c r="LZB2464" s="61"/>
      <c r="LZC2464" s="54"/>
      <c r="LZD2464" s="54"/>
      <c r="LZE2464" s="60"/>
      <c r="LZF2464" s="60"/>
      <c r="LZG2464" s="60"/>
      <c r="LZH2464" s="60"/>
      <c r="LZI2464" s="63"/>
      <c r="LZJ2464" s="61"/>
      <c r="LZK2464" s="54"/>
      <c r="LZL2464" s="54"/>
      <c r="LZM2464" s="60"/>
      <c r="LZN2464" s="60"/>
      <c r="LZO2464" s="60"/>
      <c r="LZP2464" s="60"/>
      <c r="LZQ2464" s="63"/>
      <c r="LZR2464" s="61"/>
      <c r="LZS2464" s="54"/>
      <c r="LZT2464" s="54"/>
      <c r="LZU2464" s="60"/>
      <c r="LZV2464" s="60"/>
      <c r="LZW2464" s="60"/>
      <c r="LZX2464" s="60"/>
      <c r="LZY2464" s="63"/>
      <c r="LZZ2464" s="61"/>
      <c r="MAA2464" s="54"/>
      <c r="MAB2464" s="54"/>
      <c r="MAC2464" s="60"/>
      <c r="MAD2464" s="60"/>
      <c r="MAE2464" s="60"/>
      <c r="MAF2464" s="60"/>
      <c r="MAG2464" s="63"/>
      <c r="MAH2464" s="61"/>
      <c r="MAI2464" s="54"/>
      <c r="MAJ2464" s="54"/>
      <c r="MAK2464" s="60"/>
      <c r="MAL2464" s="60"/>
      <c r="MAM2464" s="60"/>
      <c r="MAN2464" s="60"/>
      <c r="MAO2464" s="63"/>
      <c r="MAP2464" s="61"/>
      <c r="MAQ2464" s="54"/>
      <c r="MAR2464" s="54"/>
      <c r="MAS2464" s="60"/>
      <c r="MAT2464" s="60"/>
      <c r="MAU2464" s="60"/>
      <c r="MAV2464" s="60"/>
      <c r="MAW2464" s="63"/>
      <c r="MAX2464" s="61"/>
      <c r="MAY2464" s="54"/>
      <c r="MAZ2464" s="54"/>
      <c r="MBA2464" s="60"/>
      <c r="MBB2464" s="60"/>
      <c r="MBC2464" s="60"/>
      <c r="MBD2464" s="60"/>
      <c r="MBE2464" s="63"/>
      <c r="MBF2464" s="61"/>
      <c r="MBG2464" s="54"/>
      <c r="MBH2464" s="54"/>
      <c r="MBI2464" s="60"/>
      <c r="MBJ2464" s="60"/>
      <c r="MBK2464" s="60"/>
      <c r="MBL2464" s="60"/>
      <c r="MBM2464" s="63"/>
      <c r="MBN2464" s="61"/>
      <c r="MBO2464" s="54"/>
      <c r="MBP2464" s="54"/>
      <c r="MBQ2464" s="60"/>
      <c r="MBR2464" s="60"/>
      <c r="MBS2464" s="60"/>
      <c r="MBT2464" s="60"/>
      <c r="MBU2464" s="63"/>
      <c r="MBV2464" s="61"/>
      <c r="MBW2464" s="54"/>
      <c r="MBX2464" s="54"/>
      <c r="MBY2464" s="60"/>
      <c r="MBZ2464" s="60"/>
      <c r="MCA2464" s="60"/>
      <c r="MCB2464" s="60"/>
      <c r="MCC2464" s="63"/>
      <c r="MCD2464" s="61"/>
      <c r="MCE2464" s="54"/>
      <c r="MCF2464" s="54"/>
      <c r="MCG2464" s="60"/>
      <c r="MCH2464" s="60"/>
      <c r="MCI2464" s="60"/>
      <c r="MCJ2464" s="60"/>
      <c r="MCK2464" s="63"/>
      <c r="MCL2464" s="61"/>
      <c r="MCM2464" s="54"/>
      <c r="MCN2464" s="54"/>
      <c r="MCO2464" s="60"/>
      <c r="MCP2464" s="60"/>
      <c r="MCQ2464" s="60"/>
      <c r="MCR2464" s="60"/>
      <c r="MCS2464" s="63"/>
      <c r="MCT2464" s="61"/>
      <c r="MCU2464" s="54"/>
      <c r="MCV2464" s="54"/>
      <c r="MCW2464" s="60"/>
      <c r="MCX2464" s="60"/>
      <c r="MCY2464" s="60"/>
      <c r="MCZ2464" s="60"/>
      <c r="MDA2464" s="63"/>
      <c r="MDB2464" s="61"/>
      <c r="MDC2464" s="54"/>
      <c r="MDD2464" s="54"/>
      <c r="MDE2464" s="60"/>
      <c r="MDF2464" s="60"/>
      <c r="MDG2464" s="60"/>
      <c r="MDH2464" s="60"/>
      <c r="MDI2464" s="63"/>
      <c r="MDJ2464" s="61"/>
      <c r="MDK2464" s="54"/>
      <c r="MDL2464" s="54"/>
      <c r="MDM2464" s="60"/>
      <c r="MDN2464" s="60"/>
      <c r="MDO2464" s="60"/>
      <c r="MDP2464" s="60"/>
      <c r="MDQ2464" s="63"/>
      <c r="MDR2464" s="61"/>
      <c r="MDS2464" s="54"/>
      <c r="MDT2464" s="54"/>
      <c r="MDU2464" s="60"/>
      <c r="MDV2464" s="60"/>
      <c r="MDW2464" s="60"/>
      <c r="MDX2464" s="60"/>
      <c r="MDY2464" s="63"/>
      <c r="MDZ2464" s="61"/>
      <c r="MEA2464" s="54"/>
      <c r="MEB2464" s="54"/>
      <c r="MEC2464" s="60"/>
      <c r="MED2464" s="60"/>
      <c r="MEE2464" s="60"/>
      <c r="MEF2464" s="60"/>
      <c r="MEG2464" s="63"/>
      <c r="MEH2464" s="61"/>
      <c r="MEI2464" s="54"/>
      <c r="MEJ2464" s="54"/>
      <c r="MEK2464" s="60"/>
      <c r="MEL2464" s="60"/>
      <c r="MEM2464" s="60"/>
      <c r="MEN2464" s="60"/>
      <c r="MEO2464" s="63"/>
      <c r="MEP2464" s="61"/>
      <c r="MEQ2464" s="54"/>
      <c r="MER2464" s="54"/>
      <c r="MES2464" s="60"/>
      <c r="MET2464" s="60"/>
      <c r="MEU2464" s="60"/>
      <c r="MEV2464" s="60"/>
      <c r="MEW2464" s="63"/>
      <c r="MEX2464" s="61"/>
      <c r="MEY2464" s="54"/>
      <c r="MEZ2464" s="54"/>
      <c r="MFA2464" s="60"/>
      <c r="MFB2464" s="60"/>
      <c r="MFC2464" s="60"/>
      <c r="MFD2464" s="60"/>
      <c r="MFE2464" s="63"/>
      <c r="MFF2464" s="61"/>
      <c r="MFG2464" s="54"/>
      <c r="MFH2464" s="54"/>
      <c r="MFI2464" s="60"/>
      <c r="MFJ2464" s="60"/>
      <c r="MFK2464" s="60"/>
      <c r="MFL2464" s="60"/>
      <c r="MFM2464" s="63"/>
      <c r="MFN2464" s="61"/>
      <c r="MFO2464" s="54"/>
      <c r="MFP2464" s="54"/>
      <c r="MFQ2464" s="60"/>
      <c r="MFR2464" s="60"/>
      <c r="MFS2464" s="60"/>
      <c r="MFT2464" s="60"/>
      <c r="MFU2464" s="63"/>
      <c r="MFV2464" s="61"/>
      <c r="MFW2464" s="54"/>
      <c r="MFX2464" s="54"/>
      <c r="MFY2464" s="60"/>
      <c r="MFZ2464" s="60"/>
      <c r="MGA2464" s="60"/>
      <c r="MGB2464" s="60"/>
      <c r="MGC2464" s="63"/>
      <c r="MGD2464" s="61"/>
      <c r="MGE2464" s="54"/>
      <c r="MGF2464" s="54"/>
      <c r="MGG2464" s="60"/>
      <c r="MGH2464" s="60"/>
      <c r="MGI2464" s="60"/>
      <c r="MGJ2464" s="60"/>
      <c r="MGK2464" s="63"/>
      <c r="MGL2464" s="61"/>
      <c r="MGM2464" s="54"/>
      <c r="MGN2464" s="54"/>
      <c r="MGO2464" s="60"/>
      <c r="MGP2464" s="60"/>
      <c r="MGQ2464" s="60"/>
      <c r="MGR2464" s="60"/>
      <c r="MGS2464" s="63"/>
      <c r="MGT2464" s="61"/>
      <c r="MGU2464" s="54"/>
      <c r="MGV2464" s="54"/>
      <c r="MGW2464" s="60"/>
      <c r="MGX2464" s="60"/>
      <c r="MGY2464" s="60"/>
      <c r="MGZ2464" s="60"/>
      <c r="MHA2464" s="63"/>
      <c r="MHB2464" s="61"/>
      <c r="MHC2464" s="54"/>
      <c r="MHD2464" s="54"/>
      <c r="MHE2464" s="60"/>
      <c r="MHF2464" s="60"/>
      <c r="MHG2464" s="60"/>
      <c r="MHH2464" s="60"/>
      <c r="MHI2464" s="63"/>
      <c r="MHJ2464" s="61"/>
      <c r="MHK2464" s="54"/>
      <c r="MHL2464" s="54"/>
      <c r="MHM2464" s="60"/>
      <c r="MHN2464" s="60"/>
      <c r="MHO2464" s="60"/>
      <c r="MHP2464" s="60"/>
      <c r="MHQ2464" s="63"/>
      <c r="MHR2464" s="61"/>
      <c r="MHS2464" s="54"/>
      <c r="MHT2464" s="54"/>
      <c r="MHU2464" s="60"/>
      <c r="MHV2464" s="60"/>
      <c r="MHW2464" s="60"/>
      <c r="MHX2464" s="60"/>
      <c r="MHY2464" s="63"/>
      <c r="MHZ2464" s="61"/>
      <c r="MIA2464" s="54"/>
      <c r="MIB2464" s="54"/>
      <c r="MIC2464" s="60"/>
      <c r="MID2464" s="60"/>
      <c r="MIE2464" s="60"/>
      <c r="MIF2464" s="60"/>
      <c r="MIG2464" s="63"/>
      <c r="MIH2464" s="61"/>
      <c r="MII2464" s="54"/>
      <c r="MIJ2464" s="54"/>
      <c r="MIK2464" s="60"/>
      <c r="MIL2464" s="60"/>
      <c r="MIM2464" s="60"/>
      <c r="MIN2464" s="60"/>
      <c r="MIO2464" s="63"/>
      <c r="MIP2464" s="61"/>
      <c r="MIQ2464" s="54"/>
      <c r="MIR2464" s="54"/>
      <c r="MIS2464" s="60"/>
      <c r="MIT2464" s="60"/>
      <c r="MIU2464" s="60"/>
      <c r="MIV2464" s="60"/>
      <c r="MIW2464" s="63"/>
      <c r="MIX2464" s="61"/>
      <c r="MIY2464" s="54"/>
      <c r="MIZ2464" s="54"/>
      <c r="MJA2464" s="60"/>
      <c r="MJB2464" s="60"/>
      <c r="MJC2464" s="60"/>
      <c r="MJD2464" s="60"/>
      <c r="MJE2464" s="63"/>
      <c r="MJF2464" s="61"/>
      <c r="MJG2464" s="54"/>
      <c r="MJH2464" s="54"/>
      <c r="MJI2464" s="60"/>
      <c r="MJJ2464" s="60"/>
      <c r="MJK2464" s="60"/>
      <c r="MJL2464" s="60"/>
      <c r="MJM2464" s="63"/>
      <c r="MJN2464" s="61"/>
      <c r="MJO2464" s="54"/>
      <c r="MJP2464" s="54"/>
      <c r="MJQ2464" s="60"/>
      <c r="MJR2464" s="60"/>
      <c r="MJS2464" s="60"/>
      <c r="MJT2464" s="60"/>
      <c r="MJU2464" s="63"/>
      <c r="MJV2464" s="61"/>
      <c r="MJW2464" s="54"/>
      <c r="MJX2464" s="54"/>
      <c r="MJY2464" s="60"/>
      <c r="MJZ2464" s="60"/>
      <c r="MKA2464" s="60"/>
      <c r="MKB2464" s="60"/>
      <c r="MKC2464" s="63"/>
      <c r="MKD2464" s="61"/>
      <c r="MKE2464" s="54"/>
      <c r="MKF2464" s="54"/>
      <c r="MKG2464" s="60"/>
      <c r="MKH2464" s="60"/>
      <c r="MKI2464" s="60"/>
      <c r="MKJ2464" s="60"/>
      <c r="MKK2464" s="63"/>
      <c r="MKL2464" s="61"/>
      <c r="MKM2464" s="54"/>
      <c r="MKN2464" s="54"/>
      <c r="MKO2464" s="60"/>
      <c r="MKP2464" s="60"/>
      <c r="MKQ2464" s="60"/>
      <c r="MKR2464" s="60"/>
      <c r="MKS2464" s="63"/>
      <c r="MKT2464" s="61"/>
      <c r="MKU2464" s="54"/>
      <c r="MKV2464" s="54"/>
      <c r="MKW2464" s="60"/>
      <c r="MKX2464" s="60"/>
      <c r="MKY2464" s="60"/>
      <c r="MKZ2464" s="60"/>
      <c r="MLA2464" s="63"/>
      <c r="MLB2464" s="61"/>
      <c r="MLC2464" s="54"/>
      <c r="MLD2464" s="54"/>
      <c r="MLE2464" s="60"/>
      <c r="MLF2464" s="60"/>
      <c r="MLG2464" s="60"/>
      <c r="MLH2464" s="60"/>
      <c r="MLI2464" s="63"/>
      <c r="MLJ2464" s="61"/>
      <c r="MLK2464" s="54"/>
      <c r="MLL2464" s="54"/>
      <c r="MLM2464" s="60"/>
      <c r="MLN2464" s="60"/>
      <c r="MLO2464" s="60"/>
      <c r="MLP2464" s="60"/>
      <c r="MLQ2464" s="63"/>
      <c r="MLR2464" s="61"/>
      <c r="MLS2464" s="54"/>
      <c r="MLT2464" s="54"/>
      <c r="MLU2464" s="60"/>
      <c r="MLV2464" s="60"/>
      <c r="MLW2464" s="60"/>
      <c r="MLX2464" s="60"/>
      <c r="MLY2464" s="63"/>
      <c r="MLZ2464" s="61"/>
      <c r="MMA2464" s="54"/>
      <c r="MMB2464" s="54"/>
      <c r="MMC2464" s="60"/>
      <c r="MMD2464" s="60"/>
      <c r="MME2464" s="60"/>
      <c r="MMF2464" s="60"/>
      <c r="MMG2464" s="63"/>
      <c r="MMH2464" s="61"/>
      <c r="MMI2464" s="54"/>
      <c r="MMJ2464" s="54"/>
      <c r="MMK2464" s="60"/>
      <c r="MML2464" s="60"/>
      <c r="MMM2464" s="60"/>
      <c r="MMN2464" s="60"/>
      <c r="MMO2464" s="63"/>
      <c r="MMP2464" s="61"/>
      <c r="MMQ2464" s="54"/>
      <c r="MMR2464" s="54"/>
      <c r="MMS2464" s="60"/>
      <c r="MMT2464" s="60"/>
      <c r="MMU2464" s="60"/>
      <c r="MMV2464" s="60"/>
      <c r="MMW2464" s="63"/>
      <c r="MMX2464" s="61"/>
      <c r="MMY2464" s="54"/>
      <c r="MMZ2464" s="54"/>
      <c r="MNA2464" s="60"/>
      <c r="MNB2464" s="60"/>
      <c r="MNC2464" s="60"/>
      <c r="MND2464" s="60"/>
      <c r="MNE2464" s="63"/>
      <c r="MNF2464" s="61"/>
      <c r="MNG2464" s="54"/>
      <c r="MNH2464" s="54"/>
      <c r="MNI2464" s="60"/>
      <c r="MNJ2464" s="60"/>
      <c r="MNK2464" s="60"/>
      <c r="MNL2464" s="60"/>
      <c r="MNM2464" s="63"/>
      <c r="MNN2464" s="61"/>
      <c r="MNO2464" s="54"/>
      <c r="MNP2464" s="54"/>
      <c r="MNQ2464" s="60"/>
      <c r="MNR2464" s="60"/>
      <c r="MNS2464" s="60"/>
      <c r="MNT2464" s="60"/>
      <c r="MNU2464" s="63"/>
      <c r="MNV2464" s="61"/>
      <c r="MNW2464" s="54"/>
      <c r="MNX2464" s="54"/>
      <c r="MNY2464" s="60"/>
      <c r="MNZ2464" s="60"/>
      <c r="MOA2464" s="60"/>
      <c r="MOB2464" s="60"/>
      <c r="MOC2464" s="63"/>
      <c r="MOD2464" s="61"/>
      <c r="MOE2464" s="54"/>
      <c r="MOF2464" s="54"/>
      <c r="MOG2464" s="60"/>
      <c r="MOH2464" s="60"/>
      <c r="MOI2464" s="60"/>
      <c r="MOJ2464" s="60"/>
      <c r="MOK2464" s="63"/>
      <c r="MOL2464" s="61"/>
      <c r="MOM2464" s="54"/>
      <c r="MON2464" s="54"/>
      <c r="MOO2464" s="60"/>
      <c r="MOP2464" s="60"/>
      <c r="MOQ2464" s="60"/>
      <c r="MOR2464" s="60"/>
      <c r="MOS2464" s="63"/>
      <c r="MOT2464" s="61"/>
      <c r="MOU2464" s="54"/>
      <c r="MOV2464" s="54"/>
      <c r="MOW2464" s="60"/>
      <c r="MOX2464" s="60"/>
      <c r="MOY2464" s="60"/>
      <c r="MOZ2464" s="60"/>
      <c r="MPA2464" s="63"/>
      <c r="MPB2464" s="61"/>
      <c r="MPC2464" s="54"/>
      <c r="MPD2464" s="54"/>
      <c r="MPE2464" s="60"/>
      <c r="MPF2464" s="60"/>
      <c r="MPG2464" s="60"/>
      <c r="MPH2464" s="60"/>
      <c r="MPI2464" s="63"/>
      <c r="MPJ2464" s="61"/>
      <c r="MPK2464" s="54"/>
      <c r="MPL2464" s="54"/>
      <c r="MPM2464" s="60"/>
      <c r="MPN2464" s="60"/>
      <c r="MPO2464" s="60"/>
      <c r="MPP2464" s="60"/>
      <c r="MPQ2464" s="63"/>
      <c r="MPR2464" s="61"/>
      <c r="MPS2464" s="54"/>
      <c r="MPT2464" s="54"/>
      <c r="MPU2464" s="60"/>
      <c r="MPV2464" s="60"/>
      <c r="MPW2464" s="60"/>
      <c r="MPX2464" s="60"/>
      <c r="MPY2464" s="63"/>
      <c r="MPZ2464" s="61"/>
      <c r="MQA2464" s="54"/>
      <c r="MQB2464" s="54"/>
      <c r="MQC2464" s="60"/>
      <c r="MQD2464" s="60"/>
      <c r="MQE2464" s="60"/>
      <c r="MQF2464" s="60"/>
      <c r="MQG2464" s="63"/>
      <c r="MQH2464" s="61"/>
      <c r="MQI2464" s="54"/>
      <c r="MQJ2464" s="54"/>
      <c r="MQK2464" s="60"/>
      <c r="MQL2464" s="60"/>
      <c r="MQM2464" s="60"/>
      <c r="MQN2464" s="60"/>
      <c r="MQO2464" s="63"/>
      <c r="MQP2464" s="61"/>
      <c r="MQQ2464" s="54"/>
      <c r="MQR2464" s="54"/>
      <c r="MQS2464" s="60"/>
      <c r="MQT2464" s="60"/>
      <c r="MQU2464" s="60"/>
      <c r="MQV2464" s="60"/>
      <c r="MQW2464" s="63"/>
      <c r="MQX2464" s="61"/>
      <c r="MQY2464" s="54"/>
      <c r="MQZ2464" s="54"/>
      <c r="MRA2464" s="60"/>
      <c r="MRB2464" s="60"/>
      <c r="MRC2464" s="60"/>
      <c r="MRD2464" s="60"/>
      <c r="MRE2464" s="63"/>
      <c r="MRF2464" s="61"/>
      <c r="MRG2464" s="54"/>
      <c r="MRH2464" s="54"/>
      <c r="MRI2464" s="60"/>
      <c r="MRJ2464" s="60"/>
      <c r="MRK2464" s="60"/>
      <c r="MRL2464" s="60"/>
      <c r="MRM2464" s="63"/>
      <c r="MRN2464" s="61"/>
      <c r="MRO2464" s="54"/>
      <c r="MRP2464" s="54"/>
      <c r="MRQ2464" s="60"/>
      <c r="MRR2464" s="60"/>
      <c r="MRS2464" s="60"/>
      <c r="MRT2464" s="60"/>
      <c r="MRU2464" s="63"/>
      <c r="MRV2464" s="61"/>
      <c r="MRW2464" s="54"/>
      <c r="MRX2464" s="54"/>
      <c r="MRY2464" s="60"/>
      <c r="MRZ2464" s="60"/>
      <c r="MSA2464" s="60"/>
      <c r="MSB2464" s="60"/>
      <c r="MSC2464" s="63"/>
      <c r="MSD2464" s="61"/>
      <c r="MSE2464" s="54"/>
      <c r="MSF2464" s="54"/>
      <c r="MSG2464" s="60"/>
      <c r="MSH2464" s="60"/>
      <c r="MSI2464" s="60"/>
      <c r="MSJ2464" s="60"/>
      <c r="MSK2464" s="63"/>
      <c r="MSL2464" s="61"/>
      <c r="MSM2464" s="54"/>
      <c r="MSN2464" s="54"/>
      <c r="MSO2464" s="60"/>
      <c r="MSP2464" s="60"/>
      <c r="MSQ2464" s="60"/>
      <c r="MSR2464" s="60"/>
      <c r="MSS2464" s="63"/>
      <c r="MST2464" s="61"/>
      <c r="MSU2464" s="54"/>
      <c r="MSV2464" s="54"/>
      <c r="MSW2464" s="60"/>
      <c r="MSX2464" s="60"/>
      <c r="MSY2464" s="60"/>
      <c r="MSZ2464" s="60"/>
      <c r="MTA2464" s="63"/>
      <c r="MTB2464" s="61"/>
      <c r="MTC2464" s="54"/>
      <c r="MTD2464" s="54"/>
      <c r="MTE2464" s="60"/>
      <c r="MTF2464" s="60"/>
      <c r="MTG2464" s="60"/>
      <c r="MTH2464" s="60"/>
      <c r="MTI2464" s="63"/>
      <c r="MTJ2464" s="61"/>
      <c r="MTK2464" s="54"/>
      <c r="MTL2464" s="54"/>
      <c r="MTM2464" s="60"/>
      <c r="MTN2464" s="60"/>
      <c r="MTO2464" s="60"/>
      <c r="MTP2464" s="60"/>
      <c r="MTQ2464" s="63"/>
      <c r="MTR2464" s="61"/>
      <c r="MTS2464" s="54"/>
      <c r="MTT2464" s="54"/>
      <c r="MTU2464" s="60"/>
      <c r="MTV2464" s="60"/>
      <c r="MTW2464" s="60"/>
      <c r="MTX2464" s="60"/>
      <c r="MTY2464" s="63"/>
      <c r="MTZ2464" s="61"/>
      <c r="MUA2464" s="54"/>
      <c r="MUB2464" s="54"/>
      <c r="MUC2464" s="60"/>
      <c r="MUD2464" s="60"/>
      <c r="MUE2464" s="60"/>
      <c r="MUF2464" s="60"/>
      <c r="MUG2464" s="63"/>
      <c r="MUH2464" s="61"/>
      <c r="MUI2464" s="54"/>
      <c r="MUJ2464" s="54"/>
      <c r="MUK2464" s="60"/>
      <c r="MUL2464" s="60"/>
      <c r="MUM2464" s="60"/>
      <c r="MUN2464" s="60"/>
      <c r="MUO2464" s="63"/>
      <c r="MUP2464" s="61"/>
      <c r="MUQ2464" s="54"/>
      <c r="MUR2464" s="54"/>
      <c r="MUS2464" s="60"/>
      <c r="MUT2464" s="60"/>
      <c r="MUU2464" s="60"/>
      <c r="MUV2464" s="60"/>
      <c r="MUW2464" s="63"/>
      <c r="MUX2464" s="61"/>
      <c r="MUY2464" s="54"/>
      <c r="MUZ2464" s="54"/>
      <c r="MVA2464" s="60"/>
      <c r="MVB2464" s="60"/>
      <c r="MVC2464" s="60"/>
      <c r="MVD2464" s="60"/>
      <c r="MVE2464" s="63"/>
      <c r="MVF2464" s="61"/>
      <c r="MVG2464" s="54"/>
      <c r="MVH2464" s="54"/>
      <c r="MVI2464" s="60"/>
      <c r="MVJ2464" s="60"/>
      <c r="MVK2464" s="60"/>
      <c r="MVL2464" s="60"/>
      <c r="MVM2464" s="63"/>
      <c r="MVN2464" s="61"/>
      <c r="MVO2464" s="54"/>
      <c r="MVP2464" s="54"/>
      <c r="MVQ2464" s="60"/>
      <c r="MVR2464" s="60"/>
      <c r="MVS2464" s="60"/>
      <c r="MVT2464" s="60"/>
      <c r="MVU2464" s="63"/>
      <c r="MVV2464" s="61"/>
      <c r="MVW2464" s="54"/>
      <c r="MVX2464" s="54"/>
      <c r="MVY2464" s="60"/>
      <c r="MVZ2464" s="60"/>
      <c r="MWA2464" s="60"/>
      <c r="MWB2464" s="60"/>
      <c r="MWC2464" s="63"/>
      <c r="MWD2464" s="61"/>
      <c r="MWE2464" s="54"/>
      <c r="MWF2464" s="54"/>
      <c r="MWG2464" s="60"/>
      <c r="MWH2464" s="60"/>
      <c r="MWI2464" s="60"/>
      <c r="MWJ2464" s="60"/>
      <c r="MWK2464" s="63"/>
      <c r="MWL2464" s="61"/>
      <c r="MWM2464" s="54"/>
      <c r="MWN2464" s="54"/>
      <c r="MWO2464" s="60"/>
      <c r="MWP2464" s="60"/>
      <c r="MWQ2464" s="60"/>
      <c r="MWR2464" s="60"/>
      <c r="MWS2464" s="63"/>
      <c r="MWT2464" s="61"/>
      <c r="MWU2464" s="54"/>
      <c r="MWV2464" s="54"/>
      <c r="MWW2464" s="60"/>
      <c r="MWX2464" s="60"/>
      <c r="MWY2464" s="60"/>
      <c r="MWZ2464" s="60"/>
      <c r="MXA2464" s="63"/>
      <c r="MXB2464" s="61"/>
      <c r="MXC2464" s="54"/>
      <c r="MXD2464" s="54"/>
      <c r="MXE2464" s="60"/>
      <c r="MXF2464" s="60"/>
      <c r="MXG2464" s="60"/>
      <c r="MXH2464" s="60"/>
      <c r="MXI2464" s="63"/>
      <c r="MXJ2464" s="61"/>
      <c r="MXK2464" s="54"/>
      <c r="MXL2464" s="54"/>
      <c r="MXM2464" s="60"/>
      <c r="MXN2464" s="60"/>
      <c r="MXO2464" s="60"/>
      <c r="MXP2464" s="60"/>
      <c r="MXQ2464" s="63"/>
      <c r="MXR2464" s="61"/>
      <c r="MXS2464" s="54"/>
      <c r="MXT2464" s="54"/>
      <c r="MXU2464" s="60"/>
      <c r="MXV2464" s="60"/>
      <c r="MXW2464" s="60"/>
      <c r="MXX2464" s="60"/>
      <c r="MXY2464" s="63"/>
      <c r="MXZ2464" s="61"/>
      <c r="MYA2464" s="54"/>
      <c r="MYB2464" s="54"/>
      <c r="MYC2464" s="60"/>
      <c r="MYD2464" s="60"/>
      <c r="MYE2464" s="60"/>
      <c r="MYF2464" s="60"/>
      <c r="MYG2464" s="63"/>
      <c r="MYH2464" s="61"/>
      <c r="MYI2464" s="54"/>
      <c r="MYJ2464" s="54"/>
      <c r="MYK2464" s="60"/>
      <c r="MYL2464" s="60"/>
      <c r="MYM2464" s="60"/>
      <c r="MYN2464" s="60"/>
      <c r="MYO2464" s="63"/>
      <c r="MYP2464" s="61"/>
      <c r="MYQ2464" s="54"/>
      <c r="MYR2464" s="54"/>
      <c r="MYS2464" s="60"/>
      <c r="MYT2464" s="60"/>
      <c r="MYU2464" s="60"/>
      <c r="MYV2464" s="60"/>
      <c r="MYW2464" s="63"/>
      <c r="MYX2464" s="61"/>
      <c r="MYY2464" s="54"/>
      <c r="MYZ2464" s="54"/>
      <c r="MZA2464" s="60"/>
      <c r="MZB2464" s="60"/>
      <c r="MZC2464" s="60"/>
      <c r="MZD2464" s="60"/>
      <c r="MZE2464" s="63"/>
      <c r="MZF2464" s="61"/>
      <c r="MZG2464" s="54"/>
      <c r="MZH2464" s="54"/>
      <c r="MZI2464" s="60"/>
      <c r="MZJ2464" s="60"/>
      <c r="MZK2464" s="60"/>
      <c r="MZL2464" s="60"/>
      <c r="MZM2464" s="63"/>
      <c r="MZN2464" s="61"/>
      <c r="MZO2464" s="54"/>
      <c r="MZP2464" s="54"/>
      <c r="MZQ2464" s="60"/>
      <c r="MZR2464" s="60"/>
      <c r="MZS2464" s="60"/>
      <c r="MZT2464" s="60"/>
      <c r="MZU2464" s="63"/>
      <c r="MZV2464" s="61"/>
      <c r="MZW2464" s="54"/>
      <c r="MZX2464" s="54"/>
      <c r="MZY2464" s="60"/>
      <c r="MZZ2464" s="60"/>
      <c r="NAA2464" s="60"/>
      <c r="NAB2464" s="60"/>
      <c r="NAC2464" s="63"/>
      <c r="NAD2464" s="61"/>
      <c r="NAE2464" s="54"/>
      <c r="NAF2464" s="54"/>
      <c r="NAG2464" s="60"/>
      <c r="NAH2464" s="60"/>
      <c r="NAI2464" s="60"/>
      <c r="NAJ2464" s="60"/>
      <c r="NAK2464" s="63"/>
      <c r="NAL2464" s="61"/>
      <c r="NAM2464" s="54"/>
      <c r="NAN2464" s="54"/>
      <c r="NAO2464" s="60"/>
      <c r="NAP2464" s="60"/>
      <c r="NAQ2464" s="60"/>
      <c r="NAR2464" s="60"/>
      <c r="NAS2464" s="63"/>
      <c r="NAT2464" s="61"/>
      <c r="NAU2464" s="54"/>
      <c r="NAV2464" s="54"/>
      <c r="NAW2464" s="60"/>
      <c r="NAX2464" s="60"/>
      <c r="NAY2464" s="60"/>
      <c r="NAZ2464" s="60"/>
      <c r="NBA2464" s="63"/>
      <c r="NBB2464" s="61"/>
      <c r="NBC2464" s="54"/>
      <c r="NBD2464" s="54"/>
      <c r="NBE2464" s="60"/>
      <c r="NBF2464" s="60"/>
      <c r="NBG2464" s="60"/>
      <c r="NBH2464" s="60"/>
      <c r="NBI2464" s="63"/>
      <c r="NBJ2464" s="61"/>
      <c r="NBK2464" s="54"/>
      <c r="NBL2464" s="54"/>
      <c r="NBM2464" s="60"/>
      <c r="NBN2464" s="60"/>
      <c r="NBO2464" s="60"/>
      <c r="NBP2464" s="60"/>
      <c r="NBQ2464" s="63"/>
      <c r="NBR2464" s="61"/>
      <c r="NBS2464" s="54"/>
      <c r="NBT2464" s="54"/>
      <c r="NBU2464" s="60"/>
      <c r="NBV2464" s="60"/>
      <c r="NBW2464" s="60"/>
      <c r="NBX2464" s="60"/>
      <c r="NBY2464" s="63"/>
      <c r="NBZ2464" s="61"/>
      <c r="NCA2464" s="54"/>
      <c r="NCB2464" s="54"/>
      <c r="NCC2464" s="60"/>
      <c r="NCD2464" s="60"/>
      <c r="NCE2464" s="60"/>
      <c r="NCF2464" s="60"/>
      <c r="NCG2464" s="63"/>
      <c r="NCH2464" s="61"/>
      <c r="NCI2464" s="54"/>
      <c r="NCJ2464" s="54"/>
      <c r="NCK2464" s="60"/>
      <c r="NCL2464" s="60"/>
      <c r="NCM2464" s="60"/>
      <c r="NCN2464" s="60"/>
      <c r="NCO2464" s="63"/>
      <c r="NCP2464" s="61"/>
      <c r="NCQ2464" s="54"/>
      <c r="NCR2464" s="54"/>
      <c r="NCS2464" s="60"/>
      <c r="NCT2464" s="60"/>
      <c r="NCU2464" s="60"/>
      <c r="NCV2464" s="60"/>
      <c r="NCW2464" s="63"/>
      <c r="NCX2464" s="61"/>
      <c r="NCY2464" s="54"/>
      <c r="NCZ2464" s="54"/>
      <c r="NDA2464" s="60"/>
      <c r="NDB2464" s="60"/>
      <c r="NDC2464" s="60"/>
      <c r="NDD2464" s="60"/>
      <c r="NDE2464" s="63"/>
      <c r="NDF2464" s="61"/>
      <c r="NDG2464" s="54"/>
      <c r="NDH2464" s="54"/>
      <c r="NDI2464" s="60"/>
      <c r="NDJ2464" s="60"/>
      <c r="NDK2464" s="60"/>
      <c r="NDL2464" s="60"/>
      <c r="NDM2464" s="63"/>
      <c r="NDN2464" s="61"/>
      <c r="NDO2464" s="54"/>
      <c r="NDP2464" s="54"/>
      <c r="NDQ2464" s="60"/>
      <c r="NDR2464" s="60"/>
      <c r="NDS2464" s="60"/>
      <c r="NDT2464" s="60"/>
      <c r="NDU2464" s="63"/>
      <c r="NDV2464" s="61"/>
      <c r="NDW2464" s="54"/>
      <c r="NDX2464" s="54"/>
      <c r="NDY2464" s="60"/>
      <c r="NDZ2464" s="60"/>
      <c r="NEA2464" s="60"/>
      <c r="NEB2464" s="60"/>
      <c r="NEC2464" s="63"/>
      <c r="NED2464" s="61"/>
      <c r="NEE2464" s="54"/>
      <c r="NEF2464" s="54"/>
      <c r="NEG2464" s="60"/>
      <c r="NEH2464" s="60"/>
      <c r="NEI2464" s="60"/>
      <c r="NEJ2464" s="60"/>
      <c r="NEK2464" s="63"/>
      <c r="NEL2464" s="61"/>
      <c r="NEM2464" s="54"/>
      <c r="NEN2464" s="54"/>
      <c r="NEO2464" s="60"/>
      <c r="NEP2464" s="60"/>
      <c r="NEQ2464" s="60"/>
      <c r="NER2464" s="60"/>
      <c r="NES2464" s="63"/>
      <c r="NET2464" s="61"/>
      <c r="NEU2464" s="54"/>
      <c r="NEV2464" s="54"/>
      <c r="NEW2464" s="60"/>
      <c r="NEX2464" s="60"/>
      <c r="NEY2464" s="60"/>
      <c r="NEZ2464" s="60"/>
      <c r="NFA2464" s="63"/>
      <c r="NFB2464" s="61"/>
      <c r="NFC2464" s="54"/>
      <c r="NFD2464" s="54"/>
      <c r="NFE2464" s="60"/>
      <c r="NFF2464" s="60"/>
      <c r="NFG2464" s="60"/>
      <c r="NFH2464" s="60"/>
      <c r="NFI2464" s="63"/>
      <c r="NFJ2464" s="61"/>
      <c r="NFK2464" s="54"/>
      <c r="NFL2464" s="54"/>
      <c r="NFM2464" s="60"/>
      <c r="NFN2464" s="60"/>
      <c r="NFO2464" s="60"/>
      <c r="NFP2464" s="60"/>
      <c r="NFQ2464" s="63"/>
      <c r="NFR2464" s="61"/>
      <c r="NFS2464" s="54"/>
      <c r="NFT2464" s="54"/>
      <c r="NFU2464" s="60"/>
      <c r="NFV2464" s="60"/>
      <c r="NFW2464" s="60"/>
      <c r="NFX2464" s="60"/>
      <c r="NFY2464" s="63"/>
      <c r="NFZ2464" s="61"/>
      <c r="NGA2464" s="54"/>
      <c r="NGB2464" s="54"/>
      <c r="NGC2464" s="60"/>
      <c r="NGD2464" s="60"/>
      <c r="NGE2464" s="60"/>
      <c r="NGF2464" s="60"/>
      <c r="NGG2464" s="63"/>
      <c r="NGH2464" s="61"/>
      <c r="NGI2464" s="54"/>
      <c r="NGJ2464" s="54"/>
      <c r="NGK2464" s="60"/>
      <c r="NGL2464" s="60"/>
      <c r="NGM2464" s="60"/>
      <c r="NGN2464" s="60"/>
      <c r="NGO2464" s="63"/>
      <c r="NGP2464" s="61"/>
      <c r="NGQ2464" s="54"/>
      <c r="NGR2464" s="54"/>
      <c r="NGS2464" s="60"/>
      <c r="NGT2464" s="60"/>
      <c r="NGU2464" s="60"/>
      <c r="NGV2464" s="60"/>
      <c r="NGW2464" s="63"/>
      <c r="NGX2464" s="61"/>
      <c r="NGY2464" s="54"/>
      <c r="NGZ2464" s="54"/>
      <c r="NHA2464" s="60"/>
      <c r="NHB2464" s="60"/>
      <c r="NHC2464" s="60"/>
      <c r="NHD2464" s="60"/>
      <c r="NHE2464" s="63"/>
      <c r="NHF2464" s="61"/>
      <c r="NHG2464" s="54"/>
      <c r="NHH2464" s="54"/>
      <c r="NHI2464" s="60"/>
      <c r="NHJ2464" s="60"/>
      <c r="NHK2464" s="60"/>
      <c r="NHL2464" s="60"/>
      <c r="NHM2464" s="63"/>
      <c r="NHN2464" s="61"/>
      <c r="NHO2464" s="54"/>
      <c r="NHP2464" s="54"/>
      <c r="NHQ2464" s="60"/>
      <c r="NHR2464" s="60"/>
      <c r="NHS2464" s="60"/>
      <c r="NHT2464" s="60"/>
      <c r="NHU2464" s="63"/>
      <c r="NHV2464" s="61"/>
      <c r="NHW2464" s="54"/>
      <c r="NHX2464" s="54"/>
      <c r="NHY2464" s="60"/>
      <c r="NHZ2464" s="60"/>
      <c r="NIA2464" s="60"/>
      <c r="NIB2464" s="60"/>
      <c r="NIC2464" s="63"/>
      <c r="NID2464" s="61"/>
      <c r="NIE2464" s="54"/>
      <c r="NIF2464" s="54"/>
      <c r="NIG2464" s="60"/>
      <c r="NIH2464" s="60"/>
      <c r="NII2464" s="60"/>
      <c r="NIJ2464" s="60"/>
      <c r="NIK2464" s="63"/>
      <c r="NIL2464" s="61"/>
      <c r="NIM2464" s="54"/>
      <c r="NIN2464" s="54"/>
      <c r="NIO2464" s="60"/>
      <c r="NIP2464" s="60"/>
      <c r="NIQ2464" s="60"/>
      <c r="NIR2464" s="60"/>
      <c r="NIS2464" s="63"/>
      <c r="NIT2464" s="61"/>
      <c r="NIU2464" s="54"/>
      <c r="NIV2464" s="54"/>
      <c r="NIW2464" s="60"/>
      <c r="NIX2464" s="60"/>
      <c r="NIY2464" s="60"/>
      <c r="NIZ2464" s="60"/>
      <c r="NJA2464" s="63"/>
      <c r="NJB2464" s="61"/>
      <c r="NJC2464" s="54"/>
      <c r="NJD2464" s="54"/>
      <c r="NJE2464" s="60"/>
      <c r="NJF2464" s="60"/>
      <c r="NJG2464" s="60"/>
      <c r="NJH2464" s="60"/>
      <c r="NJI2464" s="63"/>
      <c r="NJJ2464" s="61"/>
      <c r="NJK2464" s="54"/>
      <c r="NJL2464" s="54"/>
      <c r="NJM2464" s="60"/>
      <c r="NJN2464" s="60"/>
      <c r="NJO2464" s="60"/>
      <c r="NJP2464" s="60"/>
      <c r="NJQ2464" s="63"/>
      <c r="NJR2464" s="61"/>
      <c r="NJS2464" s="54"/>
      <c r="NJT2464" s="54"/>
      <c r="NJU2464" s="60"/>
      <c r="NJV2464" s="60"/>
      <c r="NJW2464" s="60"/>
      <c r="NJX2464" s="60"/>
      <c r="NJY2464" s="63"/>
      <c r="NJZ2464" s="61"/>
      <c r="NKA2464" s="54"/>
      <c r="NKB2464" s="54"/>
      <c r="NKC2464" s="60"/>
      <c r="NKD2464" s="60"/>
      <c r="NKE2464" s="60"/>
      <c r="NKF2464" s="60"/>
      <c r="NKG2464" s="63"/>
      <c r="NKH2464" s="61"/>
      <c r="NKI2464" s="54"/>
      <c r="NKJ2464" s="54"/>
      <c r="NKK2464" s="60"/>
      <c r="NKL2464" s="60"/>
      <c r="NKM2464" s="60"/>
      <c r="NKN2464" s="60"/>
      <c r="NKO2464" s="63"/>
      <c r="NKP2464" s="61"/>
      <c r="NKQ2464" s="54"/>
      <c r="NKR2464" s="54"/>
      <c r="NKS2464" s="60"/>
      <c r="NKT2464" s="60"/>
      <c r="NKU2464" s="60"/>
      <c r="NKV2464" s="60"/>
      <c r="NKW2464" s="63"/>
      <c r="NKX2464" s="61"/>
      <c r="NKY2464" s="54"/>
      <c r="NKZ2464" s="54"/>
      <c r="NLA2464" s="60"/>
      <c r="NLB2464" s="60"/>
      <c r="NLC2464" s="60"/>
      <c r="NLD2464" s="60"/>
      <c r="NLE2464" s="63"/>
      <c r="NLF2464" s="61"/>
      <c r="NLG2464" s="54"/>
      <c r="NLH2464" s="54"/>
      <c r="NLI2464" s="60"/>
      <c r="NLJ2464" s="60"/>
      <c r="NLK2464" s="60"/>
      <c r="NLL2464" s="60"/>
      <c r="NLM2464" s="63"/>
      <c r="NLN2464" s="61"/>
      <c r="NLO2464" s="54"/>
      <c r="NLP2464" s="54"/>
      <c r="NLQ2464" s="60"/>
      <c r="NLR2464" s="60"/>
      <c r="NLS2464" s="60"/>
      <c r="NLT2464" s="60"/>
      <c r="NLU2464" s="63"/>
      <c r="NLV2464" s="61"/>
      <c r="NLW2464" s="54"/>
      <c r="NLX2464" s="54"/>
      <c r="NLY2464" s="60"/>
      <c r="NLZ2464" s="60"/>
      <c r="NMA2464" s="60"/>
      <c r="NMB2464" s="60"/>
      <c r="NMC2464" s="63"/>
      <c r="NMD2464" s="61"/>
      <c r="NME2464" s="54"/>
      <c r="NMF2464" s="54"/>
      <c r="NMG2464" s="60"/>
      <c r="NMH2464" s="60"/>
      <c r="NMI2464" s="60"/>
      <c r="NMJ2464" s="60"/>
      <c r="NMK2464" s="63"/>
      <c r="NML2464" s="61"/>
      <c r="NMM2464" s="54"/>
      <c r="NMN2464" s="54"/>
      <c r="NMO2464" s="60"/>
      <c r="NMP2464" s="60"/>
      <c r="NMQ2464" s="60"/>
      <c r="NMR2464" s="60"/>
      <c r="NMS2464" s="63"/>
      <c r="NMT2464" s="61"/>
      <c r="NMU2464" s="54"/>
      <c r="NMV2464" s="54"/>
      <c r="NMW2464" s="60"/>
      <c r="NMX2464" s="60"/>
      <c r="NMY2464" s="60"/>
      <c r="NMZ2464" s="60"/>
      <c r="NNA2464" s="63"/>
      <c r="NNB2464" s="61"/>
      <c r="NNC2464" s="54"/>
      <c r="NND2464" s="54"/>
      <c r="NNE2464" s="60"/>
      <c r="NNF2464" s="60"/>
      <c r="NNG2464" s="60"/>
      <c r="NNH2464" s="60"/>
      <c r="NNI2464" s="63"/>
      <c r="NNJ2464" s="61"/>
      <c r="NNK2464" s="54"/>
      <c r="NNL2464" s="54"/>
      <c r="NNM2464" s="60"/>
      <c r="NNN2464" s="60"/>
      <c r="NNO2464" s="60"/>
      <c r="NNP2464" s="60"/>
      <c r="NNQ2464" s="63"/>
      <c r="NNR2464" s="61"/>
      <c r="NNS2464" s="54"/>
      <c r="NNT2464" s="54"/>
      <c r="NNU2464" s="60"/>
      <c r="NNV2464" s="60"/>
      <c r="NNW2464" s="60"/>
      <c r="NNX2464" s="60"/>
      <c r="NNY2464" s="63"/>
      <c r="NNZ2464" s="61"/>
      <c r="NOA2464" s="54"/>
      <c r="NOB2464" s="54"/>
      <c r="NOC2464" s="60"/>
      <c r="NOD2464" s="60"/>
      <c r="NOE2464" s="60"/>
      <c r="NOF2464" s="60"/>
      <c r="NOG2464" s="63"/>
      <c r="NOH2464" s="61"/>
      <c r="NOI2464" s="54"/>
      <c r="NOJ2464" s="54"/>
      <c r="NOK2464" s="60"/>
      <c r="NOL2464" s="60"/>
      <c r="NOM2464" s="60"/>
      <c r="NON2464" s="60"/>
      <c r="NOO2464" s="63"/>
      <c r="NOP2464" s="61"/>
      <c r="NOQ2464" s="54"/>
      <c r="NOR2464" s="54"/>
      <c r="NOS2464" s="60"/>
      <c r="NOT2464" s="60"/>
      <c r="NOU2464" s="60"/>
      <c r="NOV2464" s="60"/>
      <c r="NOW2464" s="63"/>
      <c r="NOX2464" s="61"/>
      <c r="NOY2464" s="54"/>
      <c r="NOZ2464" s="54"/>
      <c r="NPA2464" s="60"/>
      <c r="NPB2464" s="60"/>
      <c r="NPC2464" s="60"/>
      <c r="NPD2464" s="60"/>
      <c r="NPE2464" s="63"/>
      <c r="NPF2464" s="61"/>
      <c r="NPG2464" s="54"/>
      <c r="NPH2464" s="54"/>
      <c r="NPI2464" s="60"/>
      <c r="NPJ2464" s="60"/>
      <c r="NPK2464" s="60"/>
      <c r="NPL2464" s="60"/>
      <c r="NPM2464" s="63"/>
      <c r="NPN2464" s="61"/>
      <c r="NPO2464" s="54"/>
      <c r="NPP2464" s="54"/>
      <c r="NPQ2464" s="60"/>
      <c r="NPR2464" s="60"/>
      <c r="NPS2464" s="60"/>
      <c r="NPT2464" s="60"/>
      <c r="NPU2464" s="63"/>
      <c r="NPV2464" s="61"/>
      <c r="NPW2464" s="54"/>
      <c r="NPX2464" s="54"/>
      <c r="NPY2464" s="60"/>
      <c r="NPZ2464" s="60"/>
      <c r="NQA2464" s="60"/>
      <c r="NQB2464" s="60"/>
      <c r="NQC2464" s="63"/>
      <c r="NQD2464" s="61"/>
      <c r="NQE2464" s="54"/>
      <c r="NQF2464" s="54"/>
      <c r="NQG2464" s="60"/>
      <c r="NQH2464" s="60"/>
      <c r="NQI2464" s="60"/>
      <c r="NQJ2464" s="60"/>
      <c r="NQK2464" s="63"/>
      <c r="NQL2464" s="61"/>
      <c r="NQM2464" s="54"/>
      <c r="NQN2464" s="54"/>
      <c r="NQO2464" s="60"/>
      <c r="NQP2464" s="60"/>
      <c r="NQQ2464" s="60"/>
      <c r="NQR2464" s="60"/>
      <c r="NQS2464" s="63"/>
      <c r="NQT2464" s="61"/>
      <c r="NQU2464" s="54"/>
      <c r="NQV2464" s="54"/>
      <c r="NQW2464" s="60"/>
      <c r="NQX2464" s="60"/>
      <c r="NQY2464" s="60"/>
      <c r="NQZ2464" s="60"/>
      <c r="NRA2464" s="63"/>
      <c r="NRB2464" s="61"/>
      <c r="NRC2464" s="54"/>
      <c r="NRD2464" s="54"/>
      <c r="NRE2464" s="60"/>
      <c r="NRF2464" s="60"/>
      <c r="NRG2464" s="60"/>
      <c r="NRH2464" s="60"/>
      <c r="NRI2464" s="63"/>
      <c r="NRJ2464" s="61"/>
      <c r="NRK2464" s="54"/>
      <c r="NRL2464" s="54"/>
      <c r="NRM2464" s="60"/>
      <c r="NRN2464" s="60"/>
      <c r="NRO2464" s="60"/>
      <c r="NRP2464" s="60"/>
      <c r="NRQ2464" s="63"/>
      <c r="NRR2464" s="61"/>
      <c r="NRS2464" s="54"/>
      <c r="NRT2464" s="54"/>
      <c r="NRU2464" s="60"/>
      <c r="NRV2464" s="60"/>
      <c r="NRW2464" s="60"/>
      <c r="NRX2464" s="60"/>
      <c r="NRY2464" s="63"/>
      <c r="NRZ2464" s="61"/>
      <c r="NSA2464" s="54"/>
      <c r="NSB2464" s="54"/>
      <c r="NSC2464" s="60"/>
      <c r="NSD2464" s="60"/>
      <c r="NSE2464" s="60"/>
      <c r="NSF2464" s="60"/>
      <c r="NSG2464" s="63"/>
      <c r="NSH2464" s="61"/>
      <c r="NSI2464" s="54"/>
      <c r="NSJ2464" s="54"/>
      <c r="NSK2464" s="60"/>
      <c r="NSL2464" s="60"/>
      <c r="NSM2464" s="60"/>
      <c r="NSN2464" s="60"/>
      <c r="NSO2464" s="63"/>
      <c r="NSP2464" s="61"/>
      <c r="NSQ2464" s="54"/>
      <c r="NSR2464" s="54"/>
      <c r="NSS2464" s="60"/>
      <c r="NST2464" s="60"/>
      <c r="NSU2464" s="60"/>
      <c r="NSV2464" s="60"/>
      <c r="NSW2464" s="63"/>
      <c r="NSX2464" s="61"/>
      <c r="NSY2464" s="54"/>
      <c r="NSZ2464" s="54"/>
      <c r="NTA2464" s="60"/>
      <c r="NTB2464" s="60"/>
      <c r="NTC2464" s="60"/>
      <c r="NTD2464" s="60"/>
      <c r="NTE2464" s="63"/>
      <c r="NTF2464" s="61"/>
      <c r="NTG2464" s="54"/>
      <c r="NTH2464" s="54"/>
      <c r="NTI2464" s="60"/>
      <c r="NTJ2464" s="60"/>
      <c r="NTK2464" s="60"/>
      <c r="NTL2464" s="60"/>
      <c r="NTM2464" s="63"/>
      <c r="NTN2464" s="61"/>
      <c r="NTO2464" s="54"/>
      <c r="NTP2464" s="54"/>
      <c r="NTQ2464" s="60"/>
      <c r="NTR2464" s="60"/>
      <c r="NTS2464" s="60"/>
      <c r="NTT2464" s="60"/>
      <c r="NTU2464" s="63"/>
      <c r="NTV2464" s="61"/>
      <c r="NTW2464" s="54"/>
      <c r="NTX2464" s="54"/>
      <c r="NTY2464" s="60"/>
      <c r="NTZ2464" s="60"/>
      <c r="NUA2464" s="60"/>
      <c r="NUB2464" s="60"/>
      <c r="NUC2464" s="63"/>
      <c r="NUD2464" s="61"/>
      <c r="NUE2464" s="54"/>
      <c r="NUF2464" s="54"/>
      <c r="NUG2464" s="60"/>
      <c r="NUH2464" s="60"/>
      <c r="NUI2464" s="60"/>
      <c r="NUJ2464" s="60"/>
      <c r="NUK2464" s="63"/>
      <c r="NUL2464" s="61"/>
      <c r="NUM2464" s="54"/>
      <c r="NUN2464" s="54"/>
      <c r="NUO2464" s="60"/>
      <c r="NUP2464" s="60"/>
      <c r="NUQ2464" s="60"/>
      <c r="NUR2464" s="60"/>
      <c r="NUS2464" s="63"/>
      <c r="NUT2464" s="61"/>
      <c r="NUU2464" s="54"/>
      <c r="NUV2464" s="54"/>
      <c r="NUW2464" s="60"/>
      <c r="NUX2464" s="60"/>
      <c r="NUY2464" s="60"/>
      <c r="NUZ2464" s="60"/>
      <c r="NVA2464" s="63"/>
      <c r="NVB2464" s="61"/>
      <c r="NVC2464" s="54"/>
      <c r="NVD2464" s="54"/>
      <c r="NVE2464" s="60"/>
      <c r="NVF2464" s="60"/>
      <c r="NVG2464" s="60"/>
      <c r="NVH2464" s="60"/>
      <c r="NVI2464" s="63"/>
      <c r="NVJ2464" s="61"/>
      <c r="NVK2464" s="54"/>
      <c r="NVL2464" s="54"/>
      <c r="NVM2464" s="60"/>
      <c r="NVN2464" s="60"/>
      <c r="NVO2464" s="60"/>
      <c r="NVP2464" s="60"/>
      <c r="NVQ2464" s="63"/>
      <c r="NVR2464" s="61"/>
      <c r="NVS2464" s="54"/>
      <c r="NVT2464" s="54"/>
      <c r="NVU2464" s="60"/>
      <c r="NVV2464" s="60"/>
      <c r="NVW2464" s="60"/>
      <c r="NVX2464" s="60"/>
      <c r="NVY2464" s="63"/>
      <c r="NVZ2464" s="61"/>
      <c r="NWA2464" s="54"/>
      <c r="NWB2464" s="54"/>
      <c r="NWC2464" s="60"/>
      <c r="NWD2464" s="60"/>
      <c r="NWE2464" s="60"/>
      <c r="NWF2464" s="60"/>
      <c r="NWG2464" s="63"/>
      <c r="NWH2464" s="61"/>
      <c r="NWI2464" s="54"/>
      <c r="NWJ2464" s="54"/>
      <c r="NWK2464" s="60"/>
      <c r="NWL2464" s="60"/>
      <c r="NWM2464" s="60"/>
      <c r="NWN2464" s="60"/>
      <c r="NWO2464" s="63"/>
      <c r="NWP2464" s="61"/>
      <c r="NWQ2464" s="54"/>
      <c r="NWR2464" s="54"/>
      <c r="NWS2464" s="60"/>
      <c r="NWT2464" s="60"/>
      <c r="NWU2464" s="60"/>
      <c r="NWV2464" s="60"/>
      <c r="NWW2464" s="63"/>
      <c r="NWX2464" s="61"/>
      <c r="NWY2464" s="54"/>
      <c r="NWZ2464" s="54"/>
      <c r="NXA2464" s="60"/>
      <c r="NXB2464" s="60"/>
      <c r="NXC2464" s="60"/>
      <c r="NXD2464" s="60"/>
      <c r="NXE2464" s="63"/>
      <c r="NXF2464" s="61"/>
      <c r="NXG2464" s="54"/>
      <c r="NXH2464" s="54"/>
      <c r="NXI2464" s="60"/>
      <c r="NXJ2464" s="60"/>
      <c r="NXK2464" s="60"/>
      <c r="NXL2464" s="60"/>
      <c r="NXM2464" s="63"/>
      <c r="NXN2464" s="61"/>
      <c r="NXO2464" s="54"/>
      <c r="NXP2464" s="54"/>
      <c r="NXQ2464" s="60"/>
      <c r="NXR2464" s="60"/>
      <c r="NXS2464" s="60"/>
      <c r="NXT2464" s="60"/>
      <c r="NXU2464" s="63"/>
      <c r="NXV2464" s="61"/>
      <c r="NXW2464" s="54"/>
      <c r="NXX2464" s="54"/>
      <c r="NXY2464" s="60"/>
      <c r="NXZ2464" s="60"/>
      <c r="NYA2464" s="60"/>
      <c r="NYB2464" s="60"/>
      <c r="NYC2464" s="63"/>
      <c r="NYD2464" s="61"/>
      <c r="NYE2464" s="54"/>
      <c r="NYF2464" s="54"/>
      <c r="NYG2464" s="60"/>
      <c r="NYH2464" s="60"/>
      <c r="NYI2464" s="60"/>
      <c r="NYJ2464" s="60"/>
      <c r="NYK2464" s="63"/>
      <c r="NYL2464" s="61"/>
      <c r="NYM2464" s="54"/>
      <c r="NYN2464" s="54"/>
      <c r="NYO2464" s="60"/>
      <c r="NYP2464" s="60"/>
      <c r="NYQ2464" s="60"/>
      <c r="NYR2464" s="60"/>
      <c r="NYS2464" s="63"/>
      <c r="NYT2464" s="61"/>
      <c r="NYU2464" s="54"/>
      <c r="NYV2464" s="54"/>
      <c r="NYW2464" s="60"/>
      <c r="NYX2464" s="60"/>
      <c r="NYY2464" s="60"/>
      <c r="NYZ2464" s="60"/>
      <c r="NZA2464" s="63"/>
      <c r="NZB2464" s="61"/>
      <c r="NZC2464" s="54"/>
      <c r="NZD2464" s="54"/>
      <c r="NZE2464" s="60"/>
      <c r="NZF2464" s="60"/>
      <c r="NZG2464" s="60"/>
      <c r="NZH2464" s="60"/>
      <c r="NZI2464" s="63"/>
      <c r="NZJ2464" s="61"/>
      <c r="NZK2464" s="54"/>
      <c r="NZL2464" s="54"/>
      <c r="NZM2464" s="60"/>
      <c r="NZN2464" s="60"/>
      <c r="NZO2464" s="60"/>
      <c r="NZP2464" s="60"/>
      <c r="NZQ2464" s="63"/>
      <c r="NZR2464" s="61"/>
      <c r="NZS2464" s="54"/>
      <c r="NZT2464" s="54"/>
      <c r="NZU2464" s="60"/>
      <c r="NZV2464" s="60"/>
      <c r="NZW2464" s="60"/>
      <c r="NZX2464" s="60"/>
      <c r="NZY2464" s="63"/>
      <c r="NZZ2464" s="61"/>
      <c r="OAA2464" s="54"/>
      <c r="OAB2464" s="54"/>
      <c r="OAC2464" s="60"/>
      <c r="OAD2464" s="60"/>
      <c r="OAE2464" s="60"/>
      <c r="OAF2464" s="60"/>
      <c r="OAG2464" s="63"/>
      <c r="OAH2464" s="61"/>
      <c r="OAI2464" s="54"/>
      <c r="OAJ2464" s="54"/>
      <c r="OAK2464" s="60"/>
      <c r="OAL2464" s="60"/>
      <c r="OAM2464" s="60"/>
      <c r="OAN2464" s="60"/>
      <c r="OAO2464" s="63"/>
      <c r="OAP2464" s="61"/>
      <c r="OAQ2464" s="54"/>
      <c r="OAR2464" s="54"/>
      <c r="OAS2464" s="60"/>
      <c r="OAT2464" s="60"/>
      <c r="OAU2464" s="60"/>
      <c r="OAV2464" s="60"/>
      <c r="OAW2464" s="63"/>
      <c r="OAX2464" s="61"/>
      <c r="OAY2464" s="54"/>
      <c r="OAZ2464" s="54"/>
      <c r="OBA2464" s="60"/>
      <c r="OBB2464" s="60"/>
      <c r="OBC2464" s="60"/>
      <c r="OBD2464" s="60"/>
      <c r="OBE2464" s="63"/>
      <c r="OBF2464" s="61"/>
      <c r="OBG2464" s="54"/>
      <c r="OBH2464" s="54"/>
      <c r="OBI2464" s="60"/>
      <c r="OBJ2464" s="60"/>
      <c r="OBK2464" s="60"/>
      <c r="OBL2464" s="60"/>
      <c r="OBM2464" s="63"/>
      <c r="OBN2464" s="61"/>
      <c r="OBO2464" s="54"/>
      <c r="OBP2464" s="54"/>
      <c r="OBQ2464" s="60"/>
      <c r="OBR2464" s="60"/>
      <c r="OBS2464" s="60"/>
      <c r="OBT2464" s="60"/>
      <c r="OBU2464" s="63"/>
      <c r="OBV2464" s="61"/>
      <c r="OBW2464" s="54"/>
      <c r="OBX2464" s="54"/>
      <c r="OBY2464" s="60"/>
      <c r="OBZ2464" s="60"/>
      <c r="OCA2464" s="60"/>
      <c r="OCB2464" s="60"/>
      <c r="OCC2464" s="63"/>
      <c r="OCD2464" s="61"/>
      <c r="OCE2464" s="54"/>
      <c r="OCF2464" s="54"/>
      <c r="OCG2464" s="60"/>
      <c r="OCH2464" s="60"/>
      <c r="OCI2464" s="60"/>
      <c r="OCJ2464" s="60"/>
      <c r="OCK2464" s="63"/>
      <c r="OCL2464" s="61"/>
      <c r="OCM2464" s="54"/>
      <c r="OCN2464" s="54"/>
      <c r="OCO2464" s="60"/>
      <c r="OCP2464" s="60"/>
      <c r="OCQ2464" s="60"/>
      <c r="OCR2464" s="60"/>
      <c r="OCS2464" s="63"/>
      <c r="OCT2464" s="61"/>
      <c r="OCU2464" s="54"/>
      <c r="OCV2464" s="54"/>
      <c r="OCW2464" s="60"/>
      <c r="OCX2464" s="60"/>
      <c r="OCY2464" s="60"/>
      <c r="OCZ2464" s="60"/>
      <c r="ODA2464" s="63"/>
      <c r="ODB2464" s="61"/>
      <c r="ODC2464" s="54"/>
      <c r="ODD2464" s="54"/>
      <c r="ODE2464" s="60"/>
      <c r="ODF2464" s="60"/>
      <c r="ODG2464" s="60"/>
      <c r="ODH2464" s="60"/>
      <c r="ODI2464" s="63"/>
      <c r="ODJ2464" s="61"/>
      <c r="ODK2464" s="54"/>
      <c r="ODL2464" s="54"/>
      <c r="ODM2464" s="60"/>
      <c r="ODN2464" s="60"/>
      <c r="ODO2464" s="60"/>
      <c r="ODP2464" s="60"/>
      <c r="ODQ2464" s="63"/>
      <c r="ODR2464" s="61"/>
      <c r="ODS2464" s="54"/>
      <c r="ODT2464" s="54"/>
      <c r="ODU2464" s="60"/>
      <c r="ODV2464" s="60"/>
      <c r="ODW2464" s="60"/>
      <c r="ODX2464" s="60"/>
      <c r="ODY2464" s="63"/>
      <c r="ODZ2464" s="61"/>
      <c r="OEA2464" s="54"/>
      <c r="OEB2464" s="54"/>
      <c r="OEC2464" s="60"/>
      <c r="OED2464" s="60"/>
      <c r="OEE2464" s="60"/>
      <c r="OEF2464" s="60"/>
      <c r="OEG2464" s="63"/>
      <c r="OEH2464" s="61"/>
      <c r="OEI2464" s="54"/>
      <c r="OEJ2464" s="54"/>
      <c r="OEK2464" s="60"/>
      <c r="OEL2464" s="60"/>
      <c r="OEM2464" s="60"/>
      <c r="OEN2464" s="60"/>
      <c r="OEO2464" s="63"/>
      <c r="OEP2464" s="61"/>
      <c r="OEQ2464" s="54"/>
      <c r="OER2464" s="54"/>
      <c r="OES2464" s="60"/>
      <c r="OET2464" s="60"/>
      <c r="OEU2464" s="60"/>
      <c r="OEV2464" s="60"/>
      <c r="OEW2464" s="63"/>
      <c r="OEX2464" s="61"/>
      <c r="OEY2464" s="54"/>
      <c r="OEZ2464" s="54"/>
      <c r="OFA2464" s="60"/>
      <c r="OFB2464" s="60"/>
      <c r="OFC2464" s="60"/>
      <c r="OFD2464" s="60"/>
      <c r="OFE2464" s="63"/>
      <c r="OFF2464" s="61"/>
      <c r="OFG2464" s="54"/>
      <c r="OFH2464" s="54"/>
      <c r="OFI2464" s="60"/>
      <c r="OFJ2464" s="60"/>
      <c r="OFK2464" s="60"/>
      <c r="OFL2464" s="60"/>
      <c r="OFM2464" s="63"/>
      <c r="OFN2464" s="61"/>
      <c r="OFO2464" s="54"/>
      <c r="OFP2464" s="54"/>
      <c r="OFQ2464" s="60"/>
      <c r="OFR2464" s="60"/>
      <c r="OFS2464" s="60"/>
      <c r="OFT2464" s="60"/>
      <c r="OFU2464" s="63"/>
      <c r="OFV2464" s="61"/>
      <c r="OFW2464" s="54"/>
      <c r="OFX2464" s="54"/>
      <c r="OFY2464" s="60"/>
      <c r="OFZ2464" s="60"/>
      <c r="OGA2464" s="60"/>
      <c r="OGB2464" s="60"/>
      <c r="OGC2464" s="63"/>
      <c r="OGD2464" s="61"/>
      <c r="OGE2464" s="54"/>
      <c r="OGF2464" s="54"/>
      <c r="OGG2464" s="60"/>
      <c r="OGH2464" s="60"/>
      <c r="OGI2464" s="60"/>
      <c r="OGJ2464" s="60"/>
      <c r="OGK2464" s="63"/>
      <c r="OGL2464" s="61"/>
      <c r="OGM2464" s="54"/>
      <c r="OGN2464" s="54"/>
      <c r="OGO2464" s="60"/>
      <c r="OGP2464" s="60"/>
      <c r="OGQ2464" s="60"/>
      <c r="OGR2464" s="60"/>
      <c r="OGS2464" s="63"/>
      <c r="OGT2464" s="61"/>
      <c r="OGU2464" s="54"/>
      <c r="OGV2464" s="54"/>
      <c r="OGW2464" s="60"/>
      <c r="OGX2464" s="60"/>
      <c r="OGY2464" s="60"/>
      <c r="OGZ2464" s="60"/>
      <c r="OHA2464" s="63"/>
      <c r="OHB2464" s="61"/>
      <c r="OHC2464" s="54"/>
      <c r="OHD2464" s="54"/>
      <c r="OHE2464" s="60"/>
      <c r="OHF2464" s="60"/>
      <c r="OHG2464" s="60"/>
      <c r="OHH2464" s="60"/>
      <c r="OHI2464" s="63"/>
      <c r="OHJ2464" s="61"/>
      <c r="OHK2464" s="54"/>
      <c r="OHL2464" s="54"/>
      <c r="OHM2464" s="60"/>
      <c r="OHN2464" s="60"/>
      <c r="OHO2464" s="60"/>
      <c r="OHP2464" s="60"/>
      <c r="OHQ2464" s="63"/>
      <c r="OHR2464" s="61"/>
      <c r="OHS2464" s="54"/>
      <c r="OHT2464" s="54"/>
      <c r="OHU2464" s="60"/>
      <c r="OHV2464" s="60"/>
      <c r="OHW2464" s="60"/>
      <c r="OHX2464" s="60"/>
      <c r="OHY2464" s="63"/>
      <c r="OHZ2464" s="61"/>
      <c r="OIA2464" s="54"/>
      <c r="OIB2464" s="54"/>
      <c r="OIC2464" s="60"/>
      <c r="OID2464" s="60"/>
      <c r="OIE2464" s="60"/>
      <c r="OIF2464" s="60"/>
      <c r="OIG2464" s="63"/>
      <c r="OIH2464" s="61"/>
      <c r="OII2464" s="54"/>
      <c r="OIJ2464" s="54"/>
      <c r="OIK2464" s="60"/>
      <c r="OIL2464" s="60"/>
      <c r="OIM2464" s="60"/>
      <c r="OIN2464" s="60"/>
      <c r="OIO2464" s="63"/>
      <c r="OIP2464" s="61"/>
      <c r="OIQ2464" s="54"/>
      <c r="OIR2464" s="54"/>
      <c r="OIS2464" s="60"/>
      <c r="OIT2464" s="60"/>
      <c r="OIU2464" s="60"/>
      <c r="OIV2464" s="60"/>
      <c r="OIW2464" s="63"/>
      <c r="OIX2464" s="61"/>
      <c r="OIY2464" s="54"/>
      <c r="OIZ2464" s="54"/>
      <c r="OJA2464" s="60"/>
      <c r="OJB2464" s="60"/>
      <c r="OJC2464" s="60"/>
      <c r="OJD2464" s="60"/>
      <c r="OJE2464" s="63"/>
      <c r="OJF2464" s="61"/>
      <c r="OJG2464" s="54"/>
      <c r="OJH2464" s="54"/>
      <c r="OJI2464" s="60"/>
      <c r="OJJ2464" s="60"/>
      <c r="OJK2464" s="60"/>
      <c r="OJL2464" s="60"/>
      <c r="OJM2464" s="63"/>
      <c r="OJN2464" s="61"/>
      <c r="OJO2464" s="54"/>
      <c r="OJP2464" s="54"/>
      <c r="OJQ2464" s="60"/>
      <c r="OJR2464" s="60"/>
      <c r="OJS2464" s="60"/>
      <c r="OJT2464" s="60"/>
      <c r="OJU2464" s="63"/>
      <c r="OJV2464" s="61"/>
      <c r="OJW2464" s="54"/>
      <c r="OJX2464" s="54"/>
      <c r="OJY2464" s="60"/>
      <c r="OJZ2464" s="60"/>
      <c r="OKA2464" s="60"/>
      <c r="OKB2464" s="60"/>
      <c r="OKC2464" s="63"/>
      <c r="OKD2464" s="61"/>
      <c r="OKE2464" s="54"/>
      <c r="OKF2464" s="54"/>
      <c r="OKG2464" s="60"/>
      <c r="OKH2464" s="60"/>
      <c r="OKI2464" s="60"/>
      <c r="OKJ2464" s="60"/>
      <c r="OKK2464" s="63"/>
      <c r="OKL2464" s="61"/>
      <c r="OKM2464" s="54"/>
      <c r="OKN2464" s="54"/>
      <c r="OKO2464" s="60"/>
      <c r="OKP2464" s="60"/>
      <c r="OKQ2464" s="60"/>
      <c r="OKR2464" s="60"/>
      <c r="OKS2464" s="63"/>
      <c r="OKT2464" s="61"/>
      <c r="OKU2464" s="54"/>
      <c r="OKV2464" s="54"/>
      <c r="OKW2464" s="60"/>
      <c r="OKX2464" s="60"/>
      <c r="OKY2464" s="60"/>
      <c r="OKZ2464" s="60"/>
      <c r="OLA2464" s="63"/>
      <c r="OLB2464" s="61"/>
      <c r="OLC2464" s="54"/>
      <c r="OLD2464" s="54"/>
      <c r="OLE2464" s="60"/>
      <c r="OLF2464" s="60"/>
      <c r="OLG2464" s="60"/>
      <c r="OLH2464" s="60"/>
      <c r="OLI2464" s="63"/>
      <c r="OLJ2464" s="61"/>
      <c r="OLK2464" s="54"/>
      <c r="OLL2464" s="54"/>
      <c r="OLM2464" s="60"/>
      <c r="OLN2464" s="60"/>
      <c r="OLO2464" s="60"/>
      <c r="OLP2464" s="60"/>
      <c r="OLQ2464" s="63"/>
      <c r="OLR2464" s="61"/>
      <c r="OLS2464" s="54"/>
      <c r="OLT2464" s="54"/>
      <c r="OLU2464" s="60"/>
      <c r="OLV2464" s="60"/>
      <c r="OLW2464" s="60"/>
      <c r="OLX2464" s="60"/>
      <c r="OLY2464" s="63"/>
      <c r="OLZ2464" s="61"/>
      <c r="OMA2464" s="54"/>
      <c r="OMB2464" s="54"/>
      <c r="OMC2464" s="60"/>
      <c r="OMD2464" s="60"/>
      <c r="OME2464" s="60"/>
      <c r="OMF2464" s="60"/>
      <c r="OMG2464" s="63"/>
      <c r="OMH2464" s="61"/>
      <c r="OMI2464" s="54"/>
      <c r="OMJ2464" s="54"/>
      <c r="OMK2464" s="60"/>
      <c r="OML2464" s="60"/>
      <c r="OMM2464" s="60"/>
      <c r="OMN2464" s="60"/>
      <c r="OMO2464" s="63"/>
      <c r="OMP2464" s="61"/>
      <c r="OMQ2464" s="54"/>
      <c r="OMR2464" s="54"/>
      <c r="OMS2464" s="60"/>
      <c r="OMT2464" s="60"/>
      <c r="OMU2464" s="60"/>
      <c r="OMV2464" s="60"/>
      <c r="OMW2464" s="63"/>
      <c r="OMX2464" s="61"/>
      <c r="OMY2464" s="54"/>
      <c r="OMZ2464" s="54"/>
      <c r="ONA2464" s="60"/>
      <c r="ONB2464" s="60"/>
      <c r="ONC2464" s="60"/>
      <c r="OND2464" s="60"/>
      <c r="ONE2464" s="63"/>
      <c r="ONF2464" s="61"/>
      <c r="ONG2464" s="54"/>
      <c r="ONH2464" s="54"/>
      <c r="ONI2464" s="60"/>
      <c r="ONJ2464" s="60"/>
      <c r="ONK2464" s="60"/>
      <c r="ONL2464" s="60"/>
      <c r="ONM2464" s="63"/>
      <c r="ONN2464" s="61"/>
      <c r="ONO2464" s="54"/>
      <c r="ONP2464" s="54"/>
      <c r="ONQ2464" s="60"/>
      <c r="ONR2464" s="60"/>
      <c r="ONS2464" s="60"/>
      <c r="ONT2464" s="60"/>
      <c r="ONU2464" s="63"/>
      <c r="ONV2464" s="61"/>
      <c r="ONW2464" s="54"/>
      <c r="ONX2464" s="54"/>
      <c r="ONY2464" s="60"/>
      <c r="ONZ2464" s="60"/>
      <c r="OOA2464" s="60"/>
      <c r="OOB2464" s="60"/>
      <c r="OOC2464" s="63"/>
      <c r="OOD2464" s="61"/>
      <c r="OOE2464" s="54"/>
      <c r="OOF2464" s="54"/>
      <c r="OOG2464" s="60"/>
      <c r="OOH2464" s="60"/>
      <c r="OOI2464" s="60"/>
      <c r="OOJ2464" s="60"/>
      <c r="OOK2464" s="63"/>
      <c r="OOL2464" s="61"/>
      <c r="OOM2464" s="54"/>
      <c r="OON2464" s="54"/>
      <c r="OOO2464" s="60"/>
      <c r="OOP2464" s="60"/>
      <c r="OOQ2464" s="60"/>
      <c r="OOR2464" s="60"/>
      <c r="OOS2464" s="63"/>
      <c r="OOT2464" s="61"/>
      <c r="OOU2464" s="54"/>
      <c r="OOV2464" s="54"/>
      <c r="OOW2464" s="60"/>
      <c r="OOX2464" s="60"/>
      <c r="OOY2464" s="60"/>
      <c r="OOZ2464" s="60"/>
      <c r="OPA2464" s="63"/>
      <c r="OPB2464" s="61"/>
      <c r="OPC2464" s="54"/>
      <c r="OPD2464" s="54"/>
      <c r="OPE2464" s="60"/>
      <c r="OPF2464" s="60"/>
      <c r="OPG2464" s="60"/>
      <c r="OPH2464" s="60"/>
      <c r="OPI2464" s="63"/>
      <c r="OPJ2464" s="61"/>
      <c r="OPK2464" s="54"/>
      <c r="OPL2464" s="54"/>
      <c r="OPM2464" s="60"/>
      <c r="OPN2464" s="60"/>
      <c r="OPO2464" s="60"/>
      <c r="OPP2464" s="60"/>
      <c r="OPQ2464" s="63"/>
      <c r="OPR2464" s="61"/>
      <c r="OPS2464" s="54"/>
      <c r="OPT2464" s="54"/>
      <c r="OPU2464" s="60"/>
      <c r="OPV2464" s="60"/>
      <c r="OPW2464" s="60"/>
      <c r="OPX2464" s="60"/>
      <c r="OPY2464" s="63"/>
      <c r="OPZ2464" s="61"/>
      <c r="OQA2464" s="54"/>
      <c r="OQB2464" s="54"/>
      <c r="OQC2464" s="60"/>
      <c r="OQD2464" s="60"/>
      <c r="OQE2464" s="60"/>
      <c r="OQF2464" s="60"/>
      <c r="OQG2464" s="63"/>
      <c r="OQH2464" s="61"/>
      <c r="OQI2464" s="54"/>
      <c r="OQJ2464" s="54"/>
      <c r="OQK2464" s="60"/>
      <c r="OQL2464" s="60"/>
      <c r="OQM2464" s="60"/>
      <c r="OQN2464" s="60"/>
      <c r="OQO2464" s="63"/>
      <c r="OQP2464" s="61"/>
      <c r="OQQ2464" s="54"/>
      <c r="OQR2464" s="54"/>
      <c r="OQS2464" s="60"/>
      <c r="OQT2464" s="60"/>
      <c r="OQU2464" s="60"/>
      <c r="OQV2464" s="60"/>
      <c r="OQW2464" s="63"/>
      <c r="OQX2464" s="61"/>
      <c r="OQY2464" s="54"/>
      <c r="OQZ2464" s="54"/>
      <c r="ORA2464" s="60"/>
      <c r="ORB2464" s="60"/>
      <c r="ORC2464" s="60"/>
      <c r="ORD2464" s="60"/>
      <c r="ORE2464" s="63"/>
      <c r="ORF2464" s="61"/>
      <c r="ORG2464" s="54"/>
      <c r="ORH2464" s="54"/>
      <c r="ORI2464" s="60"/>
      <c r="ORJ2464" s="60"/>
      <c r="ORK2464" s="60"/>
      <c r="ORL2464" s="60"/>
      <c r="ORM2464" s="63"/>
      <c r="ORN2464" s="61"/>
      <c r="ORO2464" s="54"/>
      <c r="ORP2464" s="54"/>
      <c r="ORQ2464" s="60"/>
      <c r="ORR2464" s="60"/>
      <c r="ORS2464" s="60"/>
      <c r="ORT2464" s="60"/>
      <c r="ORU2464" s="63"/>
      <c r="ORV2464" s="61"/>
      <c r="ORW2464" s="54"/>
      <c r="ORX2464" s="54"/>
      <c r="ORY2464" s="60"/>
      <c r="ORZ2464" s="60"/>
      <c r="OSA2464" s="60"/>
      <c r="OSB2464" s="60"/>
      <c r="OSC2464" s="63"/>
      <c r="OSD2464" s="61"/>
      <c r="OSE2464" s="54"/>
      <c r="OSF2464" s="54"/>
      <c r="OSG2464" s="60"/>
      <c r="OSH2464" s="60"/>
      <c r="OSI2464" s="60"/>
      <c r="OSJ2464" s="60"/>
      <c r="OSK2464" s="63"/>
      <c r="OSL2464" s="61"/>
      <c r="OSM2464" s="54"/>
      <c r="OSN2464" s="54"/>
      <c r="OSO2464" s="60"/>
      <c r="OSP2464" s="60"/>
      <c r="OSQ2464" s="60"/>
      <c r="OSR2464" s="60"/>
      <c r="OSS2464" s="63"/>
      <c r="OST2464" s="61"/>
      <c r="OSU2464" s="54"/>
      <c r="OSV2464" s="54"/>
      <c r="OSW2464" s="60"/>
      <c r="OSX2464" s="60"/>
      <c r="OSY2464" s="60"/>
      <c r="OSZ2464" s="60"/>
      <c r="OTA2464" s="63"/>
      <c r="OTB2464" s="61"/>
      <c r="OTC2464" s="54"/>
      <c r="OTD2464" s="54"/>
      <c r="OTE2464" s="60"/>
      <c r="OTF2464" s="60"/>
      <c r="OTG2464" s="60"/>
      <c r="OTH2464" s="60"/>
      <c r="OTI2464" s="63"/>
      <c r="OTJ2464" s="61"/>
      <c r="OTK2464" s="54"/>
      <c r="OTL2464" s="54"/>
      <c r="OTM2464" s="60"/>
      <c r="OTN2464" s="60"/>
      <c r="OTO2464" s="60"/>
      <c r="OTP2464" s="60"/>
      <c r="OTQ2464" s="63"/>
      <c r="OTR2464" s="61"/>
      <c r="OTS2464" s="54"/>
      <c r="OTT2464" s="54"/>
      <c r="OTU2464" s="60"/>
      <c r="OTV2464" s="60"/>
      <c r="OTW2464" s="60"/>
      <c r="OTX2464" s="60"/>
      <c r="OTY2464" s="63"/>
      <c r="OTZ2464" s="61"/>
      <c r="OUA2464" s="54"/>
      <c r="OUB2464" s="54"/>
      <c r="OUC2464" s="60"/>
      <c r="OUD2464" s="60"/>
      <c r="OUE2464" s="60"/>
      <c r="OUF2464" s="60"/>
      <c r="OUG2464" s="63"/>
      <c r="OUH2464" s="61"/>
      <c r="OUI2464" s="54"/>
      <c r="OUJ2464" s="54"/>
      <c r="OUK2464" s="60"/>
      <c r="OUL2464" s="60"/>
      <c r="OUM2464" s="60"/>
      <c r="OUN2464" s="60"/>
      <c r="OUO2464" s="63"/>
      <c r="OUP2464" s="61"/>
      <c r="OUQ2464" s="54"/>
      <c r="OUR2464" s="54"/>
      <c r="OUS2464" s="60"/>
      <c r="OUT2464" s="60"/>
      <c r="OUU2464" s="60"/>
      <c r="OUV2464" s="60"/>
      <c r="OUW2464" s="63"/>
      <c r="OUX2464" s="61"/>
      <c r="OUY2464" s="54"/>
      <c r="OUZ2464" s="54"/>
      <c r="OVA2464" s="60"/>
      <c r="OVB2464" s="60"/>
      <c r="OVC2464" s="60"/>
      <c r="OVD2464" s="60"/>
      <c r="OVE2464" s="63"/>
      <c r="OVF2464" s="61"/>
      <c r="OVG2464" s="54"/>
      <c r="OVH2464" s="54"/>
      <c r="OVI2464" s="60"/>
      <c r="OVJ2464" s="60"/>
      <c r="OVK2464" s="60"/>
      <c r="OVL2464" s="60"/>
      <c r="OVM2464" s="63"/>
      <c r="OVN2464" s="61"/>
      <c r="OVO2464" s="54"/>
      <c r="OVP2464" s="54"/>
      <c r="OVQ2464" s="60"/>
      <c r="OVR2464" s="60"/>
      <c r="OVS2464" s="60"/>
      <c r="OVT2464" s="60"/>
      <c r="OVU2464" s="63"/>
      <c r="OVV2464" s="61"/>
      <c r="OVW2464" s="54"/>
      <c r="OVX2464" s="54"/>
      <c r="OVY2464" s="60"/>
      <c r="OVZ2464" s="60"/>
      <c r="OWA2464" s="60"/>
      <c r="OWB2464" s="60"/>
      <c r="OWC2464" s="63"/>
      <c r="OWD2464" s="61"/>
      <c r="OWE2464" s="54"/>
      <c r="OWF2464" s="54"/>
      <c r="OWG2464" s="60"/>
      <c r="OWH2464" s="60"/>
      <c r="OWI2464" s="60"/>
      <c r="OWJ2464" s="60"/>
      <c r="OWK2464" s="63"/>
      <c r="OWL2464" s="61"/>
      <c r="OWM2464" s="54"/>
      <c r="OWN2464" s="54"/>
      <c r="OWO2464" s="60"/>
      <c r="OWP2464" s="60"/>
      <c r="OWQ2464" s="60"/>
      <c r="OWR2464" s="60"/>
      <c r="OWS2464" s="63"/>
      <c r="OWT2464" s="61"/>
      <c r="OWU2464" s="54"/>
      <c r="OWV2464" s="54"/>
      <c r="OWW2464" s="60"/>
      <c r="OWX2464" s="60"/>
      <c r="OWY2464" s="60"/>
      <c r="OWZ2464" s="60"/>
      <c r="OXA2464" s="63"/>
      <c r="OXB2464" s="61"/>
      <c r="OXC2464" s="54"/>
      <c r="OXD2464" s="54"/>
      <c r="OXE2464" s="60"/>
      <c r="OXF2464" s="60"/>
      <c r="OXG2464" s="60"/>
      <c r="OXH2464" s="60"/>
      <c r="OXI2464" s="63"/>
      <c r="OXJ2464" s="61"/>
      <c r="OXK2464" s="54"/>
      <c r="OXL2464" s="54"/>
      <c r="OXM2464" s="60"/>
      <c r="OXN2464" s="60"/>
      <c r="OXO2464" s="60"/>
      <c r="OXP2464" s="60"/>
      <c r="OXQ2464" s="63"/>
      <c r="OXR2464" s="61"/>
      <c r="OXS2464" s="54"/>
      <c r="OXT2464" s="54"/>
      <c r="OXU2464" s="60"/>
      <c r="OXV2464" s="60"/>
      <c r="OXW2464" s="60"/>
      <c r="OXX2464" s="60"/>
      <c r="OXY2464" s="63"/>
      <c r="OXZ2464" s="61"/>
      <c r="OYA2464" s="54"/>
      <c r="OYB2464" s="54"/>
      <c r="OYC2464" s="60"/>
      <c r="OYD2464" s="60"/>
      <c r="OYE2464" s="60"/>
      <c r="OYF2464" s="60"/>
      <c r="OYG2464" s="63"/>
      <c r="OYH2464" s="61"/>
      <c r="OYI2464" s="54"/>
      <c r="OYJ2464" s="54"/>
      <c r="OYK2464" s="60"/>
      <c r="OYL2464" s="60"/>
      <c r="OYM2464" s="60"/>
      <c r="OYN2464" s="60"/>
      <c r="OYO2464" s="63"/>
      <c r="OYP2464" s="61"/>
      <c r="OYQ2464" s="54"/>
      <c r="OYR2464" s="54"/>
      <c r="OYS2464" s="60"/>
      <c r="OYT2464" s="60"/>
      <c r="OYU2464" s="60"/>
      <c r="OYV2464" s="60"/>
      <c r="OYW2464" s="63"/>
      <c r="OYX2464" s="61"/>
      <c r="OYY2464" s="54"/>
      <c r="OYZ2464" s="54"/>
      <c r="OZA2464" s="60"/>
      <c r="OZB2464" s="60"/>
      <c r="OZC2464" s="60"/>
      <c r="OZD2464" s="60"/>
      <c r="OZE2464" s="63"/>
      <c r="OZF2464" s="61"/>
      <c r="OZG2464" s="54"/>
      <c r="OZH2464" s="54"/>
      <c r="OZI2464" s="60"/>
      <c r="OZJ2464" s="60"/>
      <c r="OZK2464" s="60"/>
      <c r="OZL2464" s="60"/>
      <c r="OZM2464" s="63"/>
      <c r="OZN2464" s="61"/>
      <c r="OZO2464" s="54"/>
      <c r="OZP2464" s="54"/>
      <c r="OZQ2464" s="60"/>
      <c r="OZR2464" s="60"/>
      <c r="OZS2464" s="60"/>
      <c r="OZT2464" s="60"/>
      <c r="OZU2464" s="63"/>
      <c r="OZV2464" s="61"/>
      <c r="OZW2464" s="54"/>
      <c r="OZX2464" s="54"/>
      <c r="OZY2464" s="60"/>
      <c r="OZZ2464" s="60"/>
      <c r="PAA2464" s="60"/>
      <c r="PAB2464" s="60"/>
      <c r="PAC2464" s="63"/>
      <c r="PAD2464" s="61"/>
      <c r="PAE2464" s="54"/>
      <c r="PAF2464" s="54"/>
      <c r="PAG2464" s="60"/>
      <c r="PAH2464" s="60"/>
      <c r="PAI2464" s="60"/>
      <c r="PAJ2464" s="60"/>
      <c r="PAK2464" s="63"/>
      <c r="PAL2464" s="61"/>
      <c r="PAM2464" s="54"/>
      <c r="PAN2464" s="54"/>
      <c r="PAO2464" s="60"/>
      <c r="PAP2464" s="60"/>
      <c r="PAQ2464" s="60"/>
      <c r="PAR2464" s="60"/>
      <c r="PAS2464" s="63"/>
      <c r="PAT2464" s="61"/>
      <c r="PAU2464" s="54"/>
      <c r="PAV2464" s="54"/>
      <c r="PAW2464" s="60"/>
      <c r="PAX2464" s="60"/>
      <c r="PAY2464" s="60"/>
      <c r="PAZ2464" s="60"/>
      <c r="PBA2464" s="63"/>
      <c r="PBB2464" s="61"/>
      <c r="PBC2464" s="54"/>
      <c r="PBD2464" s="54"/>
      <c r="PBE2464" s="60"/>
      <c r="PBF2464" s="60"/>
      <c r="PBG2464" s="60"/>
      <c r="PBH2464" s="60"/>
      <c r="PBI2464" s="63"/>
      <c r="PBJ2464" s="61"/>
      <c r="PBK2464" s="54"/>
      <c r="PBL2464" s="54"/>
      <c r="PBM2464" s="60"/>
      <c r="PBN2464" s="60"/>
      <c r="PBO2464" s="60"/>
      <c r="PBP2464" s="60"/>
      <c r="PBQ2464" s="63"/>
      <c r="PBR2464" s="61"/>
      <c r="PBS2464" s="54"/>
      <c r="PBT2464" s="54"/>
      <c r="PBU2464" s="60"/>
      <c r="PBV2464" s="60"/>
      <c r="PBW2464" s="60"/>
      <c r="PBX2464" s="60"/>
      <c r="PBY2464" s="63"/>
      <c r="PBZ2464" s="61"/>
      <c r="PCA2464" s="54"/>
      <c r="PCB2464" s="54"/>
      <c r="PCC2464" s="60"/>
      <c r="PCD2464" s="60"/>
      <c r="PCE2464" s="60"/>
      <c r="PCF2464" s="60"/>
      <c r="PCG2464" s="63"/>
      <c r="PCH2464" s="61"/>
      <c r="PCI2464" s="54"/>
      <c r="PCJ2464" s="54"/>
      <c r="PCK2464" s="60"/>
      <c r="PCL2464" s="60"/>
      <c r="PCM2464" s="60"/>
      <c r="PCN2464" s="60"/>
      <c r="PCO2464" s="63"/>
      <c r="PCP2464" s="61"/>
      <c r="PCQ2464" s="54"/>
      <c r="PCR2464" s="54"/>
      <c r="PCS2464" s="60"/>
      <c r="PCT2464" s="60"/>
      <c r="PCU2464" s="60"/>
      <c r="PCV2464" s="60"/>
      <c r="PCW2464" s="63"/>
      <c r="PCX2464" s="61"/>
      <c r="PCY2464" s="54"/>
      <c r="PCZ2464" s="54"/>
      <c r="PDA2464" s="60"/>
      <c r="PDB2464" s="60"/>
      <c r="PDC2464" s="60"/>
      <c r="PDD2464" s="60"/>
      <c r="PDE2464" s="63"/>
      <c r="PDF2464" s="61"/>
      <c r="PDG2464" s="54"/>
      <c r="PDH2464" s="54"/>
      <c r="PDI2464" s="60"/>
      <c r="PDJ2464" s="60"/>
      <c r="PDK2464" s="60"/>
      <c r="PDL2464" s="60"/>
      <c r="PDM2464" s="63"/>
      <c r="PDN2464" s="61"/>
      <c r="PDO2464" s="54"/>
      <c r="PDP2464" s="54"/>
      <c r="PDQ2464" s="60"/>
      <c r="PDR2464" s="60"/>
      <c r="PDS2464" s="60"/>
      <c r="PDT2464" s="60"/>
      <c r="PDU2464" s="63"/>
      <c r="PDV2464" s="61"/>
      <c r="PDW2464" s="54"/>
      <c r="PDX2464" s="54"/>
      <c r="PDY2464" s="60"/>
      <c r="PDZ2464" s="60"/>
      <c r="PEA2464" s="60"/>
      <c r="PEB2464" s="60"/>
      <c r="PEC2464" s="63"/>
      <c r="PED2464" s="61"/>
      <c r="PEE2464" s="54"/>
      <c r="PEF2464" s="54"/>
      <c r="PEG2464" s="60"/>
      <c r="PEH2464" s="60"/>
      <c r="PEI2464" s="60"/>
      <c r="PEJ2464" s="60"/>
      <c r="PEK2464" s="63"/>
      <c r="PEL2464" s="61"/>
      <c r="PEM2464" s="54"/>
      <c r="PEN2464" s="54"/>
      <c r="PEO2464" s="60"/>
      <c r="PEP2464" s="60"/>
      <c r="PEQ2464" s="60"/>
      <c r="PER2464" s="60"/>
      <c r="PES2464" s="63"/>
      <c r="PET2464" s="61"/>
      <c r="PEU2464" s="54"/>
      <c r="PEV2464" s="54"/>
      <c r="PEW2464" s="60"/>
      <c r="PEX2464" s="60"/>
      <c r="PEY2464" s="60"/>
      <c r="PEZ2464" s="60"/>
      <c r="PFA2464" s="63"/>
      <c r="PFB2464" s="61"/>
      <c r="PFC2464" s="54"/>
      <c r="PFD2464" s="54"/>
      <c r="PFE2464" s="60"/>
      <c r="PFF2464" s="60"/>
      <c r="PFG2464" s="60"/>
      <c r="PFH2464" s="60"/>
      <c r="PFI2464" s="63"/>
      <c r="PFJ2464" s="61"/>
      <c r="PFK2464" s="54"/>
      <c r="PFL2464" s="54"/>
      <c r="PFM2464" s="60"/>
      <c r="PFN2464" s="60"/>
      <c r="PFO2464" s="60"/>
      <c r="PFP2464" s="60"/>
      <c r="PFQ2464" s="63"/>
      <c r="PFR2464" s="61"/>
      <c r="PFS2464" s="54"/>
      <c r="PFT2464" s="54"/>
      <c r="PFU2464" s="60"/>
      <c r="PFV2464" s="60"/>
      <c r="PFW2464" s="60"/>
      <c r="PFX2464" s="60"/>
      <c r="PFY2464" s="63"/>
      <c r="PFZ2464" s="61"/>
      <c r="PGA2464" s="54"/>
      <c r="PGB2464" s="54"/>
      <c r="PGC2464" s="60"/>
      <c r="PGD2464" s="60"/>
      <c r="PGE2464" s="60"/>
      <c r="PGF2464" s="60"/>
      <c r="PGG2464" s="63"/>
      <c r="PGH2464" s="61"/>
      <c r="PGI2464" s="54"/>
      <c r="PGJ2464" s="54"/>
      <c r="PGK2464" s="60"/>
      <c r="PGL2464" s="60"/>
      <c r="PGM2464" s="60"/>
      <c r="PGN2464" s="60"/>
      <c r="PGO2464" s="63"/>
      <c r="PGP2464" s="61"/>
      <c r="PGQ2464" s="54"/>
      <c r="PGR2464" s="54"/>
      <c r="PGS2464" s="60"/>
      <c r="PGT2464" s="60"/>
      <c r="PGU2464" s="60"/>
      <c r="PGV2464" s="60"/>
      <c r="PGW2464" s="63"/>
      <c r="PGX2464" s="61"/>
      <c r="PGY2464" s="54"/>
      <c r="PGZ2464" s="54"/>
      <c r="PHA2464" s="60"/>
      <c r="PHB2464" s="60"/>
      <c r="PHC2464" s="60"/>
      <c r="PHD2464" s="60"/>
      <c r="PHE2464" s="63"/>
      <c r="PHF2464" s="61"/>
      <c r="PHG2464" s="54"/>
      <c r="PHH2464" s="54"/>
      <c r="PHI2464" s="60"/>
      <c r="PHJ2464" s="60"/>
      <c r="PHK2464" s="60"/>
      <c r="PHL2464" s="60"/>
      <c r="PHM2464" s="63"/>
      <c r="PHN2464" s="61"/>
      <c r="PHO2464" s="54"/>
      <c r="PHP2464" s="54"/>
      <c r="PHQ2464" s="60"/>
      <c r="PHR2464" s="60"/>
      <c r="PHS2464" s="60"/>
      <c r="PHT2464" s="60"/>
      <c r="PHU2464" s="63"/>
      <c r="PHV2464" s="61"/>
      <c r="PHW2464" s="54"/>
      <c r="PHX2464" s="54"/>
      <c r="PHY2464" s="60"/>
      <c r="PHZ2464" s="60"/>
      <c r="PIA2464" s="60"/>
      <c r="PIB2464" s="60"/>
      <c r="PIC2464" s="63"/>
      <c r="PID2464" s="61"/>
      <c r="PIE2464" s="54"/>
      <c r="PIF2464" s="54"/>
      <c r="PIG2464" s="60"/>
      <c r="PIH2464" s="60"/>
      <c r="PII2464" s="60"/>
      <c r="PIJ2464" s="60"/>
      <c r="PIK2464" s="63"/>
      <c r="PIL2464" s="61"/>
      <c r="PIM2464" s="54"/>
      <c r="PIN2464" s="54"/>
      <c r="PIO2464" s="60"/>
      <c r="PIP2464" s="60"/>
      <c r="PIQ2464" s="60"/>
      <c r="PIR2464" s="60"/>
      <c r="PIS2464" s="63"/>
      <c r="PIT2464" s="61"/>
      <c r="PIU2464" s="54"/>
      <c r="PIV2464" s="54"/>
      <c r="PIW2464" s="60"/>
      <c r="PIX2464" s="60"/>
      <c r="PIY2464" s="60"/>
      <c r="PIZ2464" s="60"/>
      <c r="PJA2464" s="63"/>
      <c r="PJB2464" s="61"/>
      <c r="PJC2464" s="54"/>
      <c r="PJD2464" s="54"/>
      <c r="PJE2464" s="60"/>
      <c r="PJF2464" s="60"/>
      <c r="PJG2464" s="60"/>
      <c r="PJH2464" s="60"/>
      <c r="PJI2464" s="63"/>
      <c r="PJJ2464" s="61"/>
      <c r="PJK2464" s="54"/>
      <c r="PJL2464" s="54"/>
      <c r="PJM2464" s="60"/>
      <c r="PJN2464" s="60"/>
      <c r="PJO2464" s="60"/>
      <c r="PJP2464" s="60"/>
      <c r="PJQ2464" s="63"/>
      <c r="PJR2464" s="61"/>
      <c r="PJS2464" s="54"/>
      <c r="PJT2464" s="54"/>
      <c r="PJU2464" s="60"/>
      <c r="PJV2464" s="60"/>
      <c r="PJW2464" s="60"/>
      <c r="PJX2464" s="60"/>
      <c r="PJY2464" s="63"/>
      <c r="PJZ2464" s="61"/>
      <c r="PKA2464" s="54"/>
      <c r="PKB2464" s="54"/>
      <c r="PKC2464" s="60"/>
      <c r="PKD2464" s="60"/>
      <c r="PKE2464" s="60"/>
      <c r="PKF2464" s="60"/>
      <c r="PKG2464" s="63"/>
      <c r="PKH2464" s="61"/>
      <c r="PKI2464" s="54"/>
      <c r="PKJ2464" s="54"/>
      <c r="PKK2464" s="60"/>
      <c r="PKL2464" s="60"/>
      <c r="PKM2464" s="60"/>
      <c r="PKN2464" s="60"/>
      <c r="PKO2464" s="63"/>
      <c r="PKP2464" s="61"/>
      <c r="PKQ2464" s="54"/>
      <c r="PKR2464" s="54"/>
      <c r="PKS2464" s="60"/>
      <c r="PKT2464" s="60"/>
      <c r="PKU2464" s="60"/>
      <c r="PKV2464" s="60"/>
      <c r="PKW2464" s="63"/>
      <c r="PKX2464" s="61"/>
      <c r="PKY2464" s="54"/>
      <c r="PKZ2464" s="54"/>
      <c r="PLA2464" s="60"/>
      <c r="PLB2464" s="60"/>
      <c r="PLC2464" s="60"/>
      <c r="PLD2464" s="60"/>
      <c r="PLE2464" s="63"/>
      <c r="PLF2464" s="61"/>
      <c r="PLG2464" s="54"/>
      <c r="PLH2464" s="54"/>
      <c r="PLI2464" s="60"/>
      <c r="PLJ2464" s="60"/>
      <c r="PLK2464" s="60"/>
      <c r="PLL2464" s="60"/>
      <c r="PLM2464" s="63"/>
      <c r="PLN2464" s="61"/>
      <c r="PLO2464" s="54"/>
      <c r="PLP2464" s="54"/>
      <c r="PLQ2464" s="60"/>
      <c r="PLR2464" s="60"/>
      <c r="PLS2464" s="60"/>
      <c r="PLT2464" s="60"/>
      <c r="PLU2464" s="63"/>
      <c r="PLV2464" s="61"/>
      <c r="PLW2464" s="54"/>
      <c r="PLX2464" s="54"/>
      <c r="PLY2464" s="60"/>
      <c r="PLZ2464" s="60"/>
      <c r="PMA2464" s="60"/>
      <c r="PMB2464" s="60"/>
      <c r="PMC2464" s="63"/>
      <c r="PMD2464" s="61"/>
      <c r="PME2464" s="54"/>
      <c r="PMF2464" s="54"/>
      <c r="PMG2464" s="60"/>
      <c r="PMH2464" s="60"/>
      <c r="PMI2464" s="60"/>
      <c r="PMJ2464" s="60"/>
      <c r="PMK2464" s="63"/>
      <c r="PML2464" s="61"/>
      <c r="PMM2464" s="54"/>
      <c r="PMN2464" s="54"/>
      <c r="PMO2464" s="60"/>
      <c r="PMP2464" s="60"/>
      <c r="PMQ2464" s="60"/>
      <c r="PMR2464" s="60"/>
      <c r="PMS2464" s="63"/>
      <c r="PMT2464" s="61"/>
      <c r="PMU2464" s="54"/>
      <c r="PMV2464" s="54"/>
      <c r="PMW2464" s="60"/>
      <c r="PMX2464" s="60"/>
      <c r="PMY2464" s="60"/>
      <c r="PMZ2464" s="60"/>
      <c r="PNA2464" s="63"/>
      <c r="PNB2464" s="61"/>
      <c r="PNC2464" s="54"/>
      <c r="PND2464" s="54"/>
      <c r="PNE2464" s="60"/>
      <c r="PNF2464" s="60"/>
      <c r="PNG2464" s="60"/>
      <c r="PNH2464" s="60"/>
      <c r="PNI2464" s="63"/>
      <c r="PNJ2464" s="61"/>
      <c r="PNK2464" s="54"/>
      <c r="PNL2464" s="54"/>
      <c r="PNM2464" s="60"/>
      <c r="PNN2464" s="60"/>
      <c r="PNO2464" s="60"/>
      <c r="PNP2464" s="60"/>
      <c r="PNQ2464" s="63"/>
      <c r="PNR2464" s="61"/>
      <c r="PNS2464" s="54"/>
      <c r="PNT2464" s="54"/>
      <c r="PNU2464" s="60"/>
      <c r="PNV2464" s="60"/>
      <c r="PNW2464" s="60"/>
      <c r="PNX2464" s="60"/>
      <c r="PNY2464" s="63"/>
      <c r="PNZ2464" s="61"/>
      <c r="POA2464" s="54"/>
      <c r="POB2464" s="54"/>
      <c r="POC2464" s="60"/>
      <c r="POD2464" s="60"/>
      <c r="POE2464" s="60"/>
      <c r="POF2464" s="60"/>
      <c r="POG2464" s="63"/>
      <c r="POH2464" s="61"/>
      <c r="POI2464" s="54"/>
      <c r="POJ2464" s="54"/>
      <c r="POK2464" s="60"/>
      <c r="POL2464" s="60"/>
      <c r="POM2464" s="60"/>
      <c r="PON2464" s="60"/>
      <c r="POO2464" s="63"/>
      <c r="POP2464" s="61"/>
      <c r="POQ2464" s="54"/>
      <c r="POR2464" s="54"/>
      <c r="POS2464" s="60"/>
      <c r="POT2464" s="60"/>
      <c r="POU2464" s="60"/>
      <c r="POV2464" s="60"/>
      <c r="POW2464" s="63"/>
      <c r="POX2464" s="61"/>
      <c r="POY2464" s="54"/>
      <c r="POZ2464" s="54"/>
      <c r="PPA2464" s="60"/>
      <c r="PPB2464" s="60"/>
      <c r="PPC2464" s="60"/>
      <c r="PPD2464" s="60"/>
      <c r="PPE2464" s="63"/>
      <c r="PPF2464" s="61"/>
      <c r="PPG2464" s="54"/>
      <c r="PPH2464" s="54"/>
      <c r="PPI2464" s="60"/>
      <c r="PPJ2464" s="60"/>
      <c r="PPK2464" s="60"/>
      <c r="PPL2464" s="60"/>
      <c r="PPM2464" s="63"/>
      <c r="PPN2464" s="61"/>
      <c r="PPO2464" s="54"/>
      <c r="PPP2464" s="54"/>
      <c r="PPQ2464" s="60"/>
      <c r="PPR2464" s="60"/>
      <c r="PPS2464" s="60"/>
      <c r="PPT2464" s="60"/>
      <c r="PPU2464" s="63"/>
      <c r="PPV2464" s="61"/>
      <c r="PPW2464" s="54"/>
      <c r="PPX2464" s="54"/>
      <c r="PPY2464" s="60"/>
      <c r="PPZ2464" s="60"/>
      <c r="PQA2464" s="60"/>
      <c r="PQB2464" s="60"/>
      <c r="PQC2464" s="63"/>
      <c r="PQD2464" s="61"/>
      <c r="PQE2464" s="54"/>
      <c r="PQF2464" s="54"/>
      <c r="PQG2464" s="60"/>
      <c r="PQH2464" s="60"/>
      <c r="PQI2464" s="60"/>
      <c r="PQJ2464" s="60"/>
      <c r="PQK2464" s="63"/>
      <c r="PQL2464" s="61"/>
      <c r="PQM2464" s="54"/>
      <c r="PQN2464" s="54"/>
      <c r="PQO2464" s="60"/>
      <c r="PQP2464" s="60"/>
      <c r="PQQ2464" s="60"/>
      <c r="PQR2464" s="60"/>
      <c r="PQS2464" s="63"/>
      <c r="PQT2464" s="61"/>
      <c r="PQU2464" s="54"/>
      <c r="PQV2464" s="54"/>
      <c r="PQW2464" s="60"/>
      <c r="PQX2464" s="60"/>
      <c r="PQY2464" s="60"/>
      <c r="PQZ2464" s="60"/>
      <c r="PRA2464" s="63"/>
      <c r="PRB2464" s="61"/>
      <c r="PRC2464" s="54"/>
      <c r="PRD2464" s="54"/>
      <c r="PRE2464" s="60"/>
      <c r="PRF2464" s="60"/>
      <c r="PRG2464" s="60"/>
      <c r="PRH2464" s="60"/>
      <c r="PRI2464" s="63"/>
      <c r="PRJ2464" s="61"/>
      <c r="PRK2464" s="54"/>
      <c r="PRL2464" s="54"/>
      <c r="PRM2464" s="60"/>
      <c r="PRN2464" s="60"/>
      <c r="PRO2464" s="60"/>
      <c r="PRP2464" s="60"/>
      <c r="PRQ2464" s="63"/>
      <c r="PRR2464" s="61"/>
      <c r="PRS2464" s="54"/>
      <c r="PRT2464" s="54"/>
      <c r="PRU2464" s="60"/>
      <c r="PRV2464" s="60"/>
      <c r="PRW2464" s="60"/>
      <c r="PRX2464" s="60"/>
      <c r="PRY2464" s="63"/>
      <c r="PRZ2464" s="61"/>
      <c r="PSA2464" s="54"/>
      <c r="PSB2464" s="54"/>
      <c r="PSC2464" s="60"/>
      <c r="PSD2464" s="60"/>
      <c r="PSE2464" s="60"/>
      <c r="PSF2464" s="60"/>
      <c r="PSG2464" s="63"/>
      <c r="PSH2464" s="61"/>
      <c r="PSI2464" s="54"/>
      <c r="PSJ2464" s="54"/>
      <c r="PSK2464" s="60"/>
      <c r="PSL2464" s="60"/>
      <c r="PSM2464" s="60"/>
      <c r="PSN2464" s="60"/>
      <c r="PSO2464" s="63"/>
      <c r="PSP2464" s="61"/>
      <c r="PSQ2464" s="54"/>
      <c r="PSR2464" s="54"/>
      <c r="PSS2464" s="60"/>
      <c r="PST2464" s="60"/>
      <c r="PSU2464" s="60"/>
      <c r="PSV2464" s="60"/>
      <c r="PSW2464" s="63"/>
      <c r="PSX2464" s="61"/>
      <c r="PSY2464" s="54"/>
      <c r="PSZ2464" s="54"/>
      <c r="PTA2464" s="60"/>
      <c r="PTB2464" s="60"/>
      <c r="PTC2464" s="60"/>
      <c r="PTD2464" s="60"/>
      <c r="PTE2464" s="63"/>
      <c r="PTF2464" s="61"/>
      <c r="PTG2464" s="54"/>
      <c r="PTH2464" s="54"/>
      <c r="PTI2464" s="60"/>
      <c r="PTJ2464" s="60"/>
      <c r="PTK2464" s="60"/>
      <c r="PTL2464" s="60"/>
      <c r="PTM2464" s="63"/>
      <c r="PTN2464" s="61"/>
      <c r="PTO2464" s="54"/>
      <c r="PTP2464" s="54"/>
      <c r="PTQ2464" s="60"/>
      <c r="PTR2464" s="60"/>
      <c r="PTS2464" s="60"/>
      <c r="PTT2464" s="60"/>
      <c r="PTU2464" s="63"/>
      <c r="PTV2464" s="61"/>
      <c r="PTW2464" s="54"/>
      <c r="PTX2464" s="54"/>
      <c r="PTY2464" s="60"/>
      <c r="PTZ2464" s="60"/>
      <c r="PUA2464" s="60"/>
      <c r="PUB2464" s="60"/>
      <c r="PUC2464" s="63"/>
      <c r="PUD2464" s="61"/>
      <c r="PUE2464" s="54"/>
      <c r="PUF2464" s="54"/>
      <c r="PUG2464" s="60"/>
      <c r="PUH2464" s="60"/>
      <c r="PUI2464" s="60"/>
      <c r="PUJ2464" s="60"/>
      <c r="PUK2464" s="63"/>
      <c r="PUL2464" s="61"/>
      <c r="PUM2464" s="54"/>
      <c r="PUN2464" s="54"/>
      <c r="PUO2464" s="60"/>
      <c r="PUP2464" s="60"/>
      <c r="PUQ2464" s="60"/>
      <c r="PUR2464" s="60"/>
      <c r="PUS2464" s="63"/>
      <c r="PUT2464" s="61"/>
      <c r="PUU2464" s="54"/>
      <c r="PUV2464" s="54"/>
      <c r="PUW2464" s="60"/>
      <c r="PUX2464" s="60"/>
      <c r="PUY2464" s="60"/>
      <c r="PUZ2464" s="60"/>
      <c r="PVA2464" s="63"/>
      <c r="PVB2464" s="61"/>
      <c r="PVC2464" s="54"/>
      <c r="PVD2464" s="54"/>
      <c r="PVE2464" s="60"/>
      <c r="PVF2464" s="60"/>
      <c r="PVG2464" s="60"/>
      <c r="PVH2464" s="60"/>
      <c r="PVI2464" s="63"/>
      <c r="PVJ2464" s="61"/>
      <c r="PVK2464" s="54"/>
      <c r="PVL2464" s="54"/>
      <c r="PVM2464" s="60"/>
      <c r="PVN2464" s="60"/>
      <c r="PVO2464" s="60"/>
      <c r="PVP2464" s="60"/>
      <c r="PVQ2464" s="63"/>
      <c r="PVR2464" s="61"/>
      <c r="PVS2464" s="54"/>
      <c r="PVT2464" s="54"/>
      <c r="PVU2464" s="60"/>
      <c r="PVV2464" s="60"/>
      <c r="PVW2464" s="60"/>
      <c r="PVX2464" s="60"/>
      <c r="PVY2464" s="63"/>
      <c r="PVZ2464" s="61"/>
      <c r="PWA2464" s="54"/>
      <c r="PWB2464" s="54"/>
      <c r="PWC2464" s="60"/>
      <c r="PWD2464" s="60"/>
      <c r="PWE2464" s="60"/>
      <c r="PWF2464" s="60"/>
      <c r="PWG2464" s="63"/>
      <c r="PWH2464" s="61"/>
      <c r="PWI2464" s="54"/>
      <c r="PWJ2464" s="54"/>
      <c r="PWK2464" s="60"/>
      <c r="PWL2464" s="60"/>
      <c r="PWM2464" s="60"/>
      <c r="PWN2464" s="60"/>
      <c r="PWO2464" s="63"/>
      <c r="PWP2464" s="61"/>
      <c r="PWQ2464" s="54"/>
      <c r="PWR2464" s="54"/>
      <c r="PWS2464" s="60"/>
      <c r="PWT2464" s="60"/>
      <c r="PWU2464" s="60"/>
      <c r="PWV2464" s="60"/>
      <c r="PWW2464" s="63"/>
      <c r="PWX2464" s="61"/>
      <c r="PWY2464" s="54"/>
      <c r="PWZ2464" s="54"/>
      <c r="PXA2464" s="60"/>
      <c r="PXB2464" s="60"/>
      <c r="PXC2464" s="60"/>
      <c r="PXD2464" s="60"/>
      <c r="PXE2464" s="63"/>
      <c r="PXF2464" s="61"/>
      <c r="PXG2464" s="54"/>
      <c r="PXH2464" s="54"/>
      <c r="PXI2464" s="60"/>
      <c r="PXJ2464" s="60"/>
      <c r="PXK2464" s="60"/>
      <c r="PXL2464" s="60"/>
      <c r="PXM2464" s="63"/>
      <c r="PXN2464" s="61"/>
      <c r="PXO2464" s="54"/>
      <c r="PXP2464" s="54"/>
      <c r="PXQ2464" s="60"/>
      <c r="PXR2464" s="60"/>
      <c r="PXS2464" s="60"/>
      <c r="PXT2464" s="60"/>
      <c r="PXU2464" s="63"/>
      <c r="PXV2464" s="61"/>
      <c r="PXW2464" s="54"/>
      <c r="PXX2464" s="54"/>
      <c r="PXY2464" s="60"/>
      <c r="PXZ2464" s="60"/>
      <c r="PYA2464" s="60"/>
      <c r="PYB2464" s="60"/>
      <c r="PYC2464" s="63"/>
      <c r="PYD2464" s="61"/>
      <c r="PYE2464" s="54"/>
      <c r="PYF2464" s="54"/>
      <c r="PYG2464" s="60"/>
      <c r="PYH2464" s="60"/>
      <c r="PYI2464" s="60"/>
      <c r="PYJ2464" s="60"/>
      <c r="PYK2464" s="63"/>
      <c r="PYL2464" s="61"/>
      <c r="PYM2464" s="54"/>
      <c r="PYN2464" s="54"/>
      <c r="PYO2464" s="60"/>
      <c r="PYP2464" s="60"/>
      <c r="PYQ2464" s="60"/>
      <c r="PYR2464" s="60"/>
      <c r="PYS2464" s="63"/>
      <c r="PYT2464" s="61"/>
      <c r="PYU2464" s="54"/>
      <c r="PYV2464" s="54"/>
      <c r="PYW2464" s="60"/>
      <c r="PYX2464" s="60"/>
      <c r="PYY2464" s="60"/>
      <c r="PYZ2464" s="60"/>
      <c r="PZA2464" s="63"/>
      <c r="PZB2464" s="61"/>
      <c r="PZC2464" s="54"/>
      <c r="PZD2464" s="54"/>
      <c r="PZE2464" s="60"/>
      <c r="PZF2464" s="60"/>
      <c r="PZG2464" s="60"/>
      <c r="PZH2464" s="60"/>
      <c r="PZI2464" s="63"/>
      <c r="PZJ2464" s="61"/>
      <c r="PZK2464" s="54"/>
      <c r="PZL2464" s="54"/>
      <c r="PZM2464" s="60"/>
      <c r="PZN2464" s="60"/>
      <c r="PZO2464" s="60"/>
      <c r="PZP2464" s="60"/>
      <c r="PZQ2464" s="63"/>
      <c r="PZR2464" s="61"/>
      <c r="PZS2464" s="54"/>
      <c r="PZT2464" s="54"/>
      <c r="PZU2464" s="60"/>
      <c r="PZV2464" s="60"/>
      <c r="PZW2464" s="60"/>
      <c r="PZX2464" s="60"/>
      <c r="PZY2464" s="63"/>
      <c r="PZZ2464" s="61"/>
      <c r="QAA2464" s="54"/>
      <c r="QAB2464" s="54"/>
      <c r="QAC2464" s="60"/>
      <c r="QAD2464" s="60"/>
      <c r="QAE2464" s="60"/>
      <c r="QAF2464" s="60"/>
      <c r="QAG2464" s="63"/>
      <c r="QAH2464" s="61"/>
      <c r="QAI2464" s="54"/>
      <c r="QAJ2464" s="54"/>
      <c r="QAK2464" s="60"/>
      <c r="QAL2464" s="60"/>
      <c r="QAM2464" s="60"/>
      <c r="QAN2464" s="60"/>
      <c r="QAO2464" s="63"/>
      <c r="QAP2464" s="61"/>
      <c r="QAQ2464" s="54"/>
      <c r="QAR2464" s="54"/>
      <c r="QAS2464" s="60"/>
      <c r="QAT2464" s="60"/>
      <c r="QAU2464" s="60"/>
      <c r="QAV2464" s="60"/>
      <c r="QAW2464" s="63"/>
      <c r="QAX2464" s="61"/>
      <c r="QAY2464" s="54"/>
      <c r="QAZ2464" s="54"/>
      <c r="QBA2464" s="60"/>
      <c r="QBB2464" s="60"/>
      <c r="QBC2464" s="60"/>
      <c r="QBD2464" s="60"/>
      <c r="QBE2464" s="63"/>
      <c r="QBF2464" s="61"/>
      <c r="QBG2464" s="54"/>
      <c r="QBH2464" s="54"/>
      <c r="QBI2464" s="60"/>
      <c r="QBJ2464" s="60"/>
      <c r="QBK2464" s="60"/>
      <c r="QBL2464" s="60"/>
      <c r="QBM2464" s="63"/>
      <c r="QBN2464" s="61"/>
      <c r="QBO2464" s="54"/>
      <c r="QBP2464" s="54"/>
      <c r="QBQ2464" s="60"/>
      <c r="QBR2464" s="60"/>
      <c r="QBS2464" s="60"/>
      <c r="QBT2464" s="60"/>
      <c r="QBU2464" s="63"/>
      <c r="QBV2464" s="61"/>
      <c r="QBW2464" s="54"/>
      <c r="QBX2464" s="54"/>
      <c r="QBY2464" s="60"/>
      <c r="QBZ2464" s="60"/>
      <c r="QCA2464" s="60"/>
      <c r="QCB2464" s="60"/>
      <c r="QCC2464" s="63"/>
      <c r="QCD2464" s="61"/>
      <c r="QCE2464" s="54"/>
      <c r="QCF2464" s="54"/>
      <c r="QCG2464" s="60"/>
      <c r="QCH2464" s="60"/>
      <c r="QCI2464" s="60"/>
      <c r="QCJ2464" s="60"/>
      <c r="QCK2464" s="63"/>
      <c r="QCL2464" s="61"/>
      <c r="QCM2464" s="54"/>
      <c r="QCN2464" s="54"/>
      <c r="QCO2464" s="60"/>
      <c r="QCP2464" s="60"/>
      <c r="QCQ2464" s="60"/>
      <c r="QCR2464" s="60"/>
      <c r="QCS2464" s="63"/>
      <c r="QCT2464" s="61"/>
      <c r="QCU2464" s="54"/>
      <c r="QCV2464" s="54"/>
      <c r="QCW2464" s="60"/>
      <c r="QCX2464" s="60"/>
      <c r="QCY2464" s="60"/>
      <c r="QCZ2464" s="60"/>
      <c r="QDA2464" s="63"/>
      <c r="QDB2464" s="61"/>
      <c r="QDC2464" s="54"/>
      <c r="QDD2464" s="54"/>
      <c r="QDE2464" s="60"/>
      <c r="QDF2464" s="60"/>
      <c r="QDG2464" s="60"/>
      <c r="QDH2464" s="60"/>
      <c r="QDI2464" s="63"/>
      <c r="QDJ2464" s="61"/>
      <c r="QDK2464" s="54"/>
      <c r="QDL2464" s="54"/>
      <c r="QDM2464" s="60"/>
      <c r="QDN2464" s="60"/>
      <c r="QDO2464" s="60"/>
      <c r="QDP2464" s="60"/>
      <c r="QDQ2464" s="63"/>
      <c r="QDR2464" s="61"/>
      <c r="QDS2464" s="54"/>
      <c r="QDT2464" s="54"/>
      <c r="QDU2464" s="60"/>
      <c r="QDV2464" s="60"/>
      <c r="QDW2464" s="60"/>
      <c r="QDX2464" s="60"/>
      <c r="QDY2464" s="63"/>
      <c r="QDZ2464" s="61"/>
      <c r="QEA2464" s="54"/>
      <c r="QEB2464" s="54"/>
      <c r="QEC2464" s="60"/>
      <c r="QED2464" s="60"/>
      <c r="QEE2464" s="60"/>
      <c r="QEF2464" s="60"/>
      <c r="QEG2464" s="63"/>
      <c r="QEH2464" s="61"/>
      <c r="QEI2464" s="54"/>
      <c r="QEJ2464" s="54"/>
      <c r="QEK2464" s="60"/>
      <c r="QEL2464" s="60"/>
      <c r="QEM2464" s="60"/>
      <c r="QEN2464" s="60"/>
      <c r="QEO2464" s="63"/>
      <c r="QEP2464" s="61"/>
      <c r="QEQ2464" s="54"/>
      <c r="QER2464" s="54"/>
      <c r="QES2464" s="60"/>
      <c r="QET2464" s="60"/>
      <c r="QEU2464" s="60"/>
      <c r="QEV2464" s="60"/>
      <c r="QEW2464" s="63"/>
      <c r="QEX2464" s="61"/>
      <c r="QEY2464" s="54"/>
      <c r="QEZ2464" s="54"/>
      <c r="QFA2464" s="60"/>
      <c r="QFB2464" s="60"/>
      <c r="QFC2464" s="60"/>
      <c r="QFD2464" s="60"/>
      <c r="QFE2464" s="63"/>
      <c r="QFF2464" s="61"/>
      <c r="QFG2464" s="54"/>
      <c r="QFH2464" s="54"/>
      <c r="QFI2464" s="60"/>
      <c r="QFJ2464" s="60"/>
      <c r="QFK2464" s="60"/>
      <c r="QFL2464" s="60"/>
      <c r="QFM2464" s="63"/>
      <c r="QFN2464" s="61"/>
      <c r="QFO2464" s="54"/>
      <c r="QFP2464" s="54"/>
      <c r="QFQ2464" s="60"/>
      <c r="QFR2464" s="60"/>
      <c r="QFS2464" s="60"/>
      <c r="QFT2464" s="60"/>
      <c r="QFU2464" s="63"/>
      <c r="QFV2464" s="61"/>
      <c r="QFW2464" s="54"/>
      <c r="QFX2464" s="54"/>
      <c r="QFY2464" s="60"/>
      <c r="QFZ2464" s="60"/>
      <c r="QGA2464" s="60"/>
      <c r="QGB2464" s="60"/>
      <c r="QGC2464" s="63"/>
      <c r="QGD2464" s="61"/>
      <c r="QGE2464" s="54"/>
      <c r="QGF2464" s="54"/>
      <c r="QGG2464" s="60"/>
      <c r="QGH2464" s="60"/>
      <c r="QGI2464" s="60"/>
      <c r="QGJ2464" s="60"/>
      <c r="QGK2464" s="63"/>
      <c r="QGL2464" s="61"/>
      <c r="QGM2464" s="54"/>
      <c r="QGN2464" s="54"/>
      <c r="QGO2464" s="60"/>
      <c r="QGP2464" s="60"/>
      <c r="QGQ2464" s="60"/>
      <c r="QGR2464" s="60"/>
      <c r="QGS2464" s="63"/>
      <c r="QGT2464" s="61"/>
      <c r="QGU2464" s="54"/>
      <c r="QGV2464" s="54"/>
      <c r="QGW2464" s="60"/>
      <c r="QGX2464" s="60"/>
      <c r="QGY2464" s="60"/>
      <c r="QGZ2464" s="60"/>
      <c r="QHA2464" s="63"/>
      <c r="QHB2464" s="61"/>
      <c r="QHC2464" s="54"/>
      <c r="QHD2464" s="54"/>
      <c r="QHE2464" s="60"/>
      <c r="QHF2464" s="60"/>
      <c r="QHG2464" s="60"/>
      <c r="QHH2464" s="60"/>
      <c r="QHI2464" s="63"/>
      <c r="QHJ2464" s="61"/>
      <c r="QHK2464" s="54"/>
      <c r="QHL2464" s="54"/>
      <c r="QHM2464" s="60"/>
      <c r="QHN2464" s="60"/>
      <c r="QHO2464" s="60"/>
      <c r="QHP2464" s="60"/>
      <c r="QHQ2464" s="63"/>
      <c r="QHR2464" s="61"/>
      <c r="QHS2464" s="54"/>
      <c r="QHT2464" s="54"/>
      <c r="QHU2464" s="60"/>
      <c r="QHV2464" s="60"/>
      <c r="QHW2464" s="60"/>
      <c r="QHX2464" s="60"/>
      <c r="QHY2464" s="63"/>
      <c r="QHZ2464" s="61"/>
      <c r="QIA2464" s="54"/>
      <c r="QIB2464" s="54"/>
      <c r="QIC2464" s="60"/>
      <c r="QID2464" s="60"/>
      <c r="QIE2464" s="60"/>
      <c r="QIF2464" s="60"/>
      <c r="QIG2464" s="63"/>
      <c r="QIH2464" s="61"/>
      <c r="QII2464" s="54"/>
      <c r="QIJ2464" s="54"/>
      <c r="QIK2464" s="60"/>
      <c r="QIL2464" s="60"/>
      <c r="QIM2464" s="60"/>
      <c r="QIN2464" s="60"/>
      <c r="QIO2464" s="63"/>
      <c r="QIP2464" s="61"/>
      <c r="QIQ2464" s="54"/>
      <c r="QIR2464" s="54"/>
      <c r="QIS2464" s="60"/>
      <c r="QIT2464" s="60"/>
      <c r="QIU2464" s="60"/>
      <c r="QIV2464" s="60"/>
      <c r="QIW2464" s="63"/>
      <c r="QIX2464" s="61"/>
      <c r="QIY2464" s="54"/>
      <c r="QIZ2464" s="54"/>
      <c r="QJA2464" s="60"/>
      <c r="QJB2464" s="60"/>
      <c r="QJC2464" s="60"/>
      <c r="QJD2464" s="60"/>
      <c r="QJE2464" s="63"/>
      <c r="QJF2464" s="61"/>
      <c r="QJG2464" s="54"/>
      <c r="QJH2464" s="54"/>
      <c r="QJI2464" s="60"/>
      <c r="QJJ2464" s="60"/>
      <c r="QJK2464" s="60"/>
      <c r="QJL2464" s="60"/>
      <c r="QJM2464" s="63"/>
      <c r="QJN2464" s="61"/>
      <c r="QJO2464" s="54"/>
      <c r="QJP2464" s="54"/>
      <c r="QJQ2464" s="60"/>
      <c r="QJR2464" s="60"/>
      <c r="QJS2464" s="60"/>
      <c r="QJT2464" s="60"/>
      <c r="QJU2464" s="63"/>
      <c r="QJV2464" s="61"/>
      <c r="QJW2464" s="54"/>
      <c r="QJX2464" s="54"/>
      <c r="QJY2464" s="60"/>
      <c r="QJZ2464" s="60"/>
      <c r="QKA2464" s="60"/>
      <c r="QKB2464" s="60"/>
      <c r="QKC2464" s="63"/>
      <c r="QKD2464" s="61"/>
      <c r="QKE2464" s="54"/>
      <c r="QKF2464" s="54"/>
      <c r="QKG2464" s="60"/>
      <c r="QKH2464" s="60"/>
      <c r="QKI2464" s="60"/>
      <c r="QKJ2464" s="60"/>
      <c r="QKK2464" s="63"/>
      <c r="QKL2464" s="61"/>
      <c r="QKM2464" s="54"/>
      <c r="QKN2464" s="54"/>
      <c r="QKO2464" s="60"/>
      <c r="QKP2464" s="60"/>
      <c r="QKQ2464" s="60"/>
      <c r="QKR2464" s="60"/>
      <c r="QKS2464" s="63"/>
      <c r="QKT2464" s="61"/>
      <c r="QKU2464" s="54"/>
      <c r="QKV2464" s="54"/>
      <c r="QKW2464" s="60"/>
      <c r="QKX2464" s="60"/>
      <c r="QKY2464" s="60"/>
      <c r="QKZ2464" s="60"/>
      <c r="QLA2464" s="63"/>
      <c r="QLB2464" s="61"/>
      <c r="QLC2464" s="54"/>
      <c r="QLD2464" s="54"/>
      <c r="QLE2464" s="60"/>
      <c r="QLF2464" s="60"/>
      <c r="QLG2464" s="60"/>
      <c r="QLH2464" s="60"/>
      <c r="QLI2464" s="63"/>
      <c r="QLJ2464" s="61"/>
      <c r="QLK2464" s="54"/>
      <c r="QLL2464" s="54"/>
      <c r="QLM2464" s="60"/>
      <c r="QLN2464" s="60"/>
      <c r="QLO2464" s="60"/>
      <c r="QLP2464" s="60"/>
      <c r="QLQ2464" s="63"/>
      <c r="QLR2464" s="61"/>
      <c r="QLS2464" s="54"/>
      <c r="QLT2464" s="54"/>
      <c r="QLU2464" s="60"/>
      <c r="QLV2464" s="60"/>
      <c r="QLW2464" s="60"/>
      <c r="QLX2464" s="60"/>
      <c r="QLY2464" s="63"/>
      <c r="QLZ2464" s="61"/>
      <c r="QMA2464" s="54"/>
      <c r="QMB2464" s="54"/>
      <c r="QMC2464" s="60"/>
      <c r="QMD2464" s="60"/>
      <c r="QME2464" s="60"/>
      <c r="QMF2464" s="60"/>
      <c r="QMG2464" s="63"/>
      <c r="QMH2464" s="61"/>
      <c r="QMI2464" s="54"/>
      <c r="QMJ2464" s="54"/>
      <c r="QMK2464" s="60"/>
      <c r="QML2464" s="60"/>
      <c r="QMM2464" s="60"/>
      <c r="QMN2464" s="60"/>
      <c r="QMO2464" s="63"/>
      <c r="QMP2464" s="61"/>
      <c r="QMQ2464" s="54"/>
      <c r="QMR2464" s="54"/>
      <c r="QMS2464" s="60"/>
      <c r="QMT2464" s="60"/>
      <c r="QMU2464" s="60"/>
      <c r="QMV2464" s="60"/>
      <c r="QMW2464" s="63"/>
      <c r="QMX2464" s="61"/>
      <c r="QMY2464" s="54"/>
      <c r="QMZ2464" s="54"/>
      <c r="QNA2464" s="60"/>
      <c r="QNB2464" s="60"/>
      <c r="QNC2464" s="60"/>
      <c r="QND2464" s="60"/>
      <c r="QNE2464" s="63"/>
      <c r="QNF2464" s="61"/>
      <c r="QNG2464" s="54"/>
      <c r="QNH2464" s="54"/>
      <c r="QNI2464" s="60"/>
      <c r="QNJ2464" s="60"/>
      <c r="QNK2464" s="60"/>
      <c r="QNL2464" s="60"/>
      <c r="QNM2464" s="63"/>
      <c r="QNN2464" s="61"/>
      <c r="QNO2464" s="54"/>
      <c r="QNP2464" s="54"/>
      <c r="QNQ2464" s="60"/>
      <c r="QNR2464" s="60"/>
      <c r="QNS2464" s="60"/>
      <c r="QNT2464" s="60"/>
      <c r="QNU2464" s="63"/>
      <c r="QNV2464" s="61"/>
      <c r="QNW2464" s="54"/>
      <c r="QNX2464" s="54"/>
      <c r="QNY2464" s="60"/>
      <c r="QNZ2464" s="60"/>
      <c r="QOA2464" s="60"/>
      <c r="QOB2464" s="60"/>
      <c r="QOC2464" s="63"/>
      <c r="QOD2464" s="61"/>
      <c r="QOE2464" s="54"/>
      <c r="QOF2464" s="54"/>
      <c r="QOG2464" s="60"/>
      <c r="QOH2464" s="60"/>
      <c r="QOI2464" s="60"/>
      <c r="QOJ2464" s="60"/>
      <c r="QOK2464" s="63"/>
      <c r="QOL2464" s="61"/>
      <c r="QOM2464" s="54"/>
      <c r="QON2464" s="54"/>
      <c r="QOO2464" s="60"/>
      <c r="QOP2464" s="60"/>
      <c r="QOQ2464" s="60"/>
      <c r="QOR2464" s="60"/>
      <c r="QOS2464" s="63"/>
      <c r="QOT2464" s="61"/>
      <c r="QOU2464" s="54"/>
      <c r="QOV2464" s="54"/>
      <c r="QOW2464" s="60"/>
      <c r="QOX2464" s="60"/>
      <c r="QOY2464" s="60"/>
      <c r="QOZ2464" s="60"/>
      <c r="QPA2464" s="63"/>
      <c r="QPB2464" s="61"/>
      <c r="QPC2464" s="54"/>
      <c r="QPD2464" s="54"/>
      <c r="QPE2464" s="60"/>
      <c r="QPF2464" s="60"/>
      <c r="QPG2464" s="60"/>
      <c r="QPH2464" s="60"/>
      <c r="QPI2464" s="63"/>
      <c r="QPJ2464" s="61"/>
      <c r="QPK2464" s="54"/>
      <c r="QPL2464" s="54"/>
      <c r="QPM2464" s="60"/>
      <c r="QPN2464" s="60"/>
      <c r="QPO2464" s="60"/>
      <c r="QPP2464" s="60"/>
      <c r="QPQ2464" s="63"/>
      <c r="QPR2464" s="61"/>
      <c r="QPS2464" s="54"/>
      <c r="QPT2464" s="54"/>
      <c r="QPU2464" s="60"/>
      <c r="QPV2464" s="60"/>
      <c r="QPW2464" s="60"/>
      <c r="QPX2464" s="60"/>
      <c r="QPY2464" s="63"/>
      <c r="QPZ2464" s="61"/>
      <c r="QQA2464" s="54"/>
      <c r="QQB2464" s="54"/>
      <c r="QQC2464" s="60"/>
      <c r="QQD2464" s="60"/>
      <c r="QQE2464" s="60"/>
      <c r="QQF2464" s="60"/>
      <c r="QQG2464" s="63"/>
      <c r="QQH2464" s="61"/>
      <c r="QQI2464" s="54"/>
      <c r="QQJ2464" s="54"/>
      <c r="QQK2464" s="60"/>
      <c r="QQL2464" s="60"/>
      <c r="QQM2464" s="60"/>
      <c r="QQN2464" s="60"/>
      <c r="QQO2464" s="63"/>
      <c r="QQP2464" s="61"/>
      <c r="QQQ2464" s="54"/>
      <c r="QQR2464" s="54"/>
      <c r="QQS2464" s="60"/>
      <c r="QQT2464" s="60"/>
      <c r="QQU2464" s="60"/>
      <c r="QQV2464" s="60"/>
      <c r="QQW2464" s="63"/>
      <c r="QQX2464" s="61"/>
      <c r="QQY2464" s="54"/>
      <c r="QQZ2464" s="54"/>
      <c r="QRA2464" s="60"/>
      <c r="QRB2464" s="60"/>
      <c r="QRC2464" s="60"/>
      <c r="QRD2464" s="60"/>
      <c r="QRE2464" s="63"/>
      <c r="QRF2464" s="61"/>
      <c r="QRG2464" s="54"/>
      <c r="QRH2464" s="54"/>
      <c r="QRI2464" s="60"/>
      <c r="QRJ2464" s="60"/>
      <c r="QRK2464" s="60"/>
      <c r="QRL2464" s="60"/>
      <c r="QRM2464" s="63"/>
      <c r="QRN2464" s="61"/>
      <c r="QRO2464" s="54"/>
      <c r="QRP2464" s="54"/>
      <c r="QRQ2464" s="60"/>
      <c r="QRR2464" s="60"/>
      <c r="QRS2464" s="60"/>
      <c r="QRT2464" s="60"/>
      <c r="QRU2464" s="63"/>
      <c r="QRV2464" s="61"/>
      <c r="QRW2464" s="54"/>
      <c r="QRX2464" s="54"/>
      <c r="QRY2464" s="60"/>
      <c r="QRZ2464" s="60"/>
      <c r="QSA2464" s="60"/>
      <c r="QSB2464" s="60"/>
      <c r="QSC2464" s="63"/>
      <c r="QSD2464" s="61"/>
      <c r="QSE2464" s="54"/>
      <c r="QSF2464" s="54"/>
      <c r="QSG2464" s="60"/>
      <c r="QSH2464" s="60"/>
      <c r="QSI2464" s="60"/>
      <c r="QSJ2464" s="60"/>
      <c r="QSK2464" s="63"/>
      <c r="QSL2464" s="61"/>
      <c r="QSM2464" s="54"/>
      <c r="QSN2464" s="54"/>
      <c r="QSO2464" s="60"/>
      <c r="QSP2464" s="60"/>
      <c r="QSQ2464" s="60"/>
      <c r="QSR2464" s="60"/>
      <c r="QSS2464" s="63"/>
      <c r="QST2464" s="61"/>
      <c r="QSU2464" s="54"/>
      <c r="QSV2464" s="54"/>
      <c r="QSW2464" s="60"/>
      <c r="QSX2464" s="60"/>
      <c r="QSY2464" s="60"/>
      <c r="QSZ2464" s="60"/>
      <c r="QTA2464" s="63"/>
      <c r="QTB2464" s="61"/>
      <c r="QTC2464" s="54"/>
      <c r="QTD2464" s="54"/>
      <c r="QTE2464" s="60"/>
      <c r="QTF2464" s="60"/>
      <c r="QTG2464" s="60"/>
      <c r="QTH2464" s="60"/>
      <c r="QTI2464" s="63"/>
      <c r="QTJ2464" s="61"/>
      <c r="QTK2464" s="54"/>
      <c r="QTL2464" s="54"/>
      <c r="QTM2464" s="60"/>
      <c r="QTN2464" s="60"/>
      <c r="QTO2464" s="60"/>
      <c r="QTP2464" s="60"/>
      <c r="QTQ2464" s="63"/>
      <c r="QTR2464" s="61"/>
      <c r="QTS2464" s="54"/>
      <c r="QTT2464" s="54"/>
      <c r="QTU2464" s="60"/>
      <c r="QTV2464" s="60"/>
      <c r="QTW2464" s="60"/>
      <c r="QTX2464" s="60"/>
      <c r="QTY2464" s="63"/>
      <c r="QTZ2464" s="61"/>
      <c r="QUA2464" s="54"/>
      <c r="QUB2464" s="54"/>
      <c r="QUC2464" s="60"/>
      <c r="QUD2464" s="60"/>
      <c r="QUE2464" s="60"/>
      <c r="QUF2464" s="60"/>
      <c r="QUG2464" s="63"/>
      <c r="QUH2464" s="61"/>
      <c r="QUI2464" s="54"/>
      <c r="QUJ2464" s="54"/>
      <c r="QUK2464" s="60"/>
      <c r="QUL2464" s="60"/>
      <c r="QUM2464" s="60"/>
      <c r="QUN2464" s="60"/>
      <c r="QUO2464" s="63"/>
      <c r="QUP2464" s="61"/>
      <c r="QUQ2464" s="54"/>
      <c r="QUR2464" s="54"/>
      <c r="QUS2464" s="60"/>
      <c r="QUT2464" s="60"/>
      <c r="QUU2464" s="60"/>
      <c r="QUV2464" s="60"/>
      <c r="QUW2464" s="63"/>
      <c r="QUX2464" s="61"/>
      <c r="QUY2464" s="54"/>
      <c r="QUZ2464" s="54"/>
      <c r="QVA2464" s="60"/>
      <c r="QVB2464" s="60"/>
      <c r="QVC2464" s="60"/>
      <c r="QVD2464" s="60"/>
      <c r="QVE2464" s="63"/>
      <c r="QVF2464" s="61"/>
      <c r="QVG2464" s="54"/>
      <c r="QVH2464" s="54"/>
      <c r="QVI2464" s="60"/>
      <c r="QVJ2464" s="60"/>
      <c r="QVK2464" s="60"/>
      <c r="QVL2464" s="60"/>
      <c r="QVM2464" s="63"/>
      <c r="QVN2464" s="61"/>
      <c r="QVO2464" s="54"/>
      <c r="QVP2464" s="54"/>
      <c r="QVQ2464" s="60"/>
      <c r="QVR2464" s="60"/>
      <c r="QVS2464" s="60"/>
      <c r="QVT2464" s="60"/>
      <c r="QVU2464" s="63"/>
      <c r="QVV2464" s="61"/>
      <c r="QVW2464" s="54"/>
      <c r="QVX2464" s="54"/>
      <c r="QVY2464" s="60"/>
      <c r="QVZ2464" s="60"/>
      <c r="QWA2464" s="60"/>
      <c r="QWB2464" s="60"/>
      <c r="QWC2464" s="63"/>
      <c r="QWD2464" s="61"/>
      <c r="QWE2464" s="54"/>
      <c r="QWF2464" s="54"/>
      <c r="QWG2464" s="60"/>
      <c r="QWH2464" s="60"/>
      <c r="QWI2464" s="60"/>
      <c r="QWJ2464" s="60"/>
      <c r="QWK2464" s="63"/>
      <c r="QWL2464" s="61"/>
      <c r="QWM2464" s="54"/>
      <c r="QWN2464" s="54"/>
      <c r="QWO2464" s="60"/>
      <c r="QWP2464" s="60"/>
      <c r="QWQ2464" s="60"/>
      <c r="QWR2464" s="60"/>
      <c r="QWS2464" s="63"/>
      <c r="QWT2464" s="61"/>
      <c r="QWU2464" s="54"/>
      <c r="QWV2464" s="54"/>
      <c r="QWW2464" s="60"/>
      <c r="QWX2464" s="60"/>
      <c r="QWY2464" s="60"/>
      <c r="QWZ2464" s="60"/>
      <c r="QXA2464" s="63"/>
      <c r="QXB2464" s="61"/>
      <c r="QXC2464" s="54"/>
      <c r="QXD2464" s="54"/>
      <c r="QXE2464" s="60"/>
      <c r="QXF2464" s="60"/>
      <c r="QXG2464" s="60"/>
      <c r="QXH2464" s="60"/>
      <c r="QXI2464" s="63"/>
      <c r="QXJ2464" s="61"/>
      <c r="QXK2464" s="54"/>
      <c r="QXL2464" s="54"/>
      <c r="QXM2464" s="60"/>
      <c r="QXN2464" s="60"/>
      <c r="QXO2464" s="60"/>
      <c r="QXP2464" s="60"/>
      <c r="QXQ2464" s="63"/>
      <c r="QXR2464" s="61"/>
      <c r="QXS2464" s="54"/>
      <c r="QXT2464" s="54"/>
      <c r="QXU2464" s="60"/>
      <c r="QXV2464" s="60"/>
      <c r="QXW2464" s="60"/>
      <c r="QXX2464" s="60"/>
      <c r="QXY2464" s="63"/>
      <c r="QXZ2464" s="61"/>
      <c r="QYA2464" s="54"/>
      <c r="QYB2464" s="54"/>
      <c r="QYC2464" s="60"/>
      <c r="QYD2464" s="60"/>
      <c r="QYE2464" s="60"/>
      <c r="QYF2464" s="60"/>
      <c r="QYG2464" s="63"/>
      <c r="QYH2464" s="61"/>
      <c r="QYI2464" s="54"/>
      <c r="QYJ2464" s="54"/>
      <c r="QYK2464" s="60"/>
      <c r="QYL2464" s="60"/>
      <c r="QYM2464" s="60"/>
      <c r="QYN2464" s="60"/>
      <c r="QYO2464" s="63"/>
      <c r="QYP2464" s="61"/>
      <c r="QYQ2464" s="54"/>
      <c r="QYR2464" s="54"/>
      <c r="QYS2464" s="60"/>
      <c r="QYT2464" s="60"/>
      <c r="QYU2464" s="60"/>
      <c r="QYV2464" s="60"/>
      <c r="QYW2464" s="63"/>
      <c r="QYX2464" s="61"/>
      <c r="QYY2464" s="54"/>
      <c r="QYZ2464" s="54"/>
      <c r="QZA2464" s="60"/>
      <c r="QZB2464" s="60"/>
      <c r="QZC2464" s="60"/>
      <c r="QZD2464" s="60"/>
      <c r="QZE2464" s="63"/>
      <c r="QZF2464" s="61"/>
      <c r="QZG2464" s="54"/>
      <c r="QZH2464" s="54"/>
      <c r="QZI2464" s="60"/>
      <c r="QZJ2464" s="60"/>
      <c r="QZK2464" s="60"/>
      <c r="QZL2464" s="60"/>
      <c r="QZM2464" s="63"/>
      <c r="QZN2464" s="61"/>
      <c r="QZO2464" s="54"/>
      <c r="QZP2464" s="54"/>
      <c r="QZQ2464" s="60"/>
      <c r="QZR2464" s="60"/>
      <c r="QZS2464" s="60"/>
      <c r="QZT2464" s="60"/>
      <c r="QZU2464" s="63"/>
      <c r="QZV2464" s="61"/>
      <c r="QZW2464" s="54"/>
      <c r="QZX2464" s="54"/>
      <c r="QZY2464" s="60"/>
      <c r="QZZ2464" s="60"/>
      <c r="RAA2464" s="60"/>
      <c r="RAB2464" s="60"/>
      <c r="RAC2464" s="63"/>
      <c r="RAD2464" s="61"/>
      <c r="RAE2464" s="54"/>
      <c r="RAF2464" s="54"/>
      <c r="RAG2464" s="60"/>
      <c r="RAH2464" s="60"/>
      <c r="RAI2464" s="60"/>
      <c r="RAJ2464" s="60"/>
      <c r="RAK2464" s="63"/>
      <c r="RAL2464" s="61"/>
      <c r="RAM2464" s="54"/>
      <c r="RAN2464" s="54"/>
      <c r="RAO2464" s="60"/>
      <c r="RAP2464" s="60"/>
      <c r="RAQ2464" s="60"/>
      <c r="RAR2464" s="60"/>
      <c r="RAS2464" s="63"/>
      <c r="RAT2464" s="61"/>
      <c r="RAU2464" s="54"/>
      <c r="RAV2464" s="54"/>
      <c r="RAW2464" s="60"/>
      <c r="RAX2464" s="60"/>
      <c r="RAY2464" s="60"/>
      <c r="RAZ2464" s="60"/>
      <c r="RBA2464" s="63"/>
      <c r="RBB2464" s="61"/>
      <c r="RBC2464" s="54"/>
      <c r="RBD2464" s="54"/>
      <c r="RBE2464" s="60"/>
      <c r="RBF2464" s="60"/>
      <c r="RBG2464" s="60"/>
      <c r="RBH2464" s="60"/>
      <c r="RBI2464" s="63"/>
      <c r="RBJ2464" s="61"/>
      <c r="RBK2464" s="54"/>
      <c r="RBL2464" s="54"/>
      <c r="RBM2464" s="60"/>
      <c r="RBN2464" s="60"/>
      <c r="RBO2464" s="60"/>
      <c r="RBP2464" s="60"/>
      <c r="RBQ2464" s="63"/>
      <c r="RBR2464" s="61"/>
      <c r="RBS2464" s="54"/>
      <c r="RBT2464" s="54"/>
      <c r="RBU2464" s="60"/>
      <c r="RBV2464" s="60"/>
      <c r="RBW2464" s="60"/>
      <c r="RBX2464" s="60"/>
      <c r="RBY2464" s="63"/>
      <c r="RBZ2464" s="61"/>
      <c r="RCA2464" s="54"/>
      <c r="RCB2464" s="54"/>
      <c r="RCC2464" s="60"/>
      <c r="RCD2464" s="60"/>
      <c r="RCE2464" s="60"/>
      <c r="RCF2464" s="60"/>
      <c r="RCG2464" s="63"/>
      <c r="RCH2464" s="61"/>
      <c r="RCI2464" s="54"/>
      <c r="RCJ2464" s="54"/>
      <c r="RCK2464" s="60"/>
      <c r="RCL2464" s="60"/>
      <c r="RCM2464" s="60"/>
      <c r="RCN2464" s="60"/>
      <c r="RCO2464" s="63"/>
      <c r="RCP2464" s="61"/>
      <c r="RCQ2464" s="54"/>
      <c r="RCR2464" s="54"/>
      <c r="RCS2464" s="60"/>
      <c r="RCT2464" s="60"/>
      <c r="RCU2464" s="60"/>
      <c r="RCV2464" s="60"/>
      <c r="RCW2464" s="63"/>
      <c r="RCX2464" s="61"/>
      <c r="RCY2464" s="54"/>
      <c r="RCZ2464" s="54"/>
      <c r="RDA2464" s="60"/>
      <c r="RDB2464" s="60"/>
      <c r="RDC2464" s="60"/>
      <c r="RDD2464" s="60"/>
      <c r="RDE2464" s="63"/>
      <c r="RDF2464" s="61"/>
      <c r="RDG2464" s="54"/>
      <c r="RDH2464" s="54"/>
      <c r="RDI2464" s="60"/>
      <c r="RDJ2464" s="60"/>
      <c r="RDK2464" s="60"/>
      <c r="RDL2464" s="60"/>
      <c r="RDM2464" s="63"/>
      <c r="RDN2464" s="61"/>
      <c r="RDO2464" s="54"/>
      <c r="RDP2464" s="54"/>
      <c r="RDQ2464" s="60"/>
      <c r="RDR2464" s="60"/>
      <c r="RDS2464" s="60"/>
      <c r="RDT2464" s="60"/>
      <c r="RDU2464" s="63"/>
      <c r="RDV2464" s="61"/>
      <c r="RDW2464" s="54"/>
      <c r="RDX2464" s="54"/>
      <c r="RDY2464" s="60"/>
      <c r="RDZ2464" s="60"/>
      <c r="REA2464" s="60"/>
      <c r="REB2464" s="60"/>
      <c r="REC2464" s="63"/>
      <c r="RED2464" s="61"/>
      <c r="REE2464" s="54"/>
      <c r="REF2464" s="54"/>
      <c r="REG2464" s="60"/>
      <c r="REH2464" s="60"/>
      <c r="REI2464" s="60"/>
      <c r="REJ2464" s="60"/>
      <c r="REK2464" s="63"/>
      <c r="REL2464" s="61"/>
      <c r="REM2464" s="54"/>
      <c r="REN2464" s="54"/>
      <c r="REO2464" s="60"/>
      <c r="REP2464" s="60"/>
      <c r="REQ2464" s="60"/>
      <c r="RER2464" s="60"/>
      <c r="RES2464" s="63"/>
      <c r="RET2464" s="61"/>
      <c r="REU2464" s="54"/>
      <c r="REV2464" s="54"/>
      <c r="REW2464" s="60"/>
      <c r="REX2464" s="60"/>
      <c r="REY2464" s="60"/>
      <c r="REZ2464" s="60"/>
      <c r="RFA2464" s="63"/>
      <c r="RFB2464" s="61"/>
      <c r="RFC2464" s="54"/>
      <c r="RFD2464" s="54"/>
      <c r="RFE2464" s="60"/>
      <c r="RFF2464" s="60"/>
      <c r="RFG2464" s="60"/>
      <c r="RFH2464" s="60"/>
      <c r="RFI2464" s="63"/>
      <c r="RFJ2464" s="61"/>
      <c r="RFK2464" s="54"/>
      <c r="RFL2464" s="54"/>
      <c r="RFM2464" s="60"/>
      <c r="RFN2464" s="60"/>
      <c r="RFO2464" s="60"/>
      <c r="RFP2464" s="60"/>
      <c r="RFQ2464" s="63"/>
      <c r="RFR2464" s="61"/>
      <c r="RFS2464" s="54"/>
      <c r="RFT2464" s="54"/>
      <c r="RFU2464" s="60"/>
      <c r="RFV2464" s="60"/>
      <c r="RFW2464" s="60"/>
      <c r="RFX2464" s="60"/>
      <c r="RFY2464" s="63"/>
      <c r="RFZ2464" s="61"/>
      <c r="RGA2464" s="54"/>
      <c r="RGB2464" s="54"/>
      <c r="RGC2464" s="60"/>
      <c r="RGD2464" s="60"/>
      <c r="RGE2464" s="60"/>
      <c r="RGF2464" s="60"/>
      <c r="RGG2464" s="63"/>
      <c r="RGH2464" s="61"/>
      <c r="RGI2464" s="54"/>
      <c r="RGJ2464" s="54"/>
      <c r="RGK2464" s="60"/>
      <c r="RGL2464" s="60"/>
      <c r="RGM2464" s="60"/>
      <c r="RGN2464" s="60"/>
      <c r="RGO2464" s="63"/>
      <c r="RGP2464" s="61"/>
      <c r="RGQ2464" s="54"/>
      <c r="RGR2464" s="54"/>
      <c r="RGS2464" s="60"/>
      <c r="RGT2464" s="60"/>
      <c r="RGU2464" s="60"/>
      <c r="RGV2464" s="60"/>
      <c r="RGW2464" s="63"/>
      <c r="RGX2464" s="61"/>
      <c r="RGY2464" s="54"/>
      <c r="RGZ2464" s="54"/>
      <c r="RHA2464" s="60"/>
      <c r="RHB2464" s="60"/>
      <c r="RHC2464" s="60"/>
      <c r="RHD2464" s="60"/>
      <c r="RHE2464" s="63"/>
      <c r="RHF2464" s="61"/>
      <c r="RHG2464" s="54"/>
      <c r="RHH2464" s="54"/>
      <c r="RHI2464" s="60"/>
      <c r="RHJ2464" s="60"/>
      <c r="RHK2464" s="60"/>
      <c r="RHL2464" s="60"/>
      <c r="RHM2464" s="63"/>
      <c r="RHN2464" s="61"/>
      <c r="RHO2464" s="54"/>
      <c r="RHP2464" s="54"/>
      <c r="RHQ2464" s="60"/>
      <c r="RHR2464" s="60"/>
      <c r="RHS2464" s="60"/>
      <c r="RHT2464" s="60"/>
      <c r="RHU2464" s="63"/>
      <c r="RHV2464" s="61"/>
      <c r="RHW2464" s="54"/>
      <c r="RHX2464" s="54"/>
      <c r="RHY2464" s="60"/>
      <c r="RHZ2464" s="60"/>
      <c r="RIA2464" s="60"/>
      <c r="RIB2464" s="60"/>
      <c r="RIC2464" s="63"/>
      <c r="RID2464" s="61"/>
      <c r="RIE2464" s="54"/>
      <c r="RIF2464" s="54"/>
      <c r="RIG2464" s="60"/>
      <c r="RIH2464" s="60"/>
      <c r="RII2464" s="60"/>
      <c r="RIJ2464" s="60"/>
      <c r="RIK2464" s="63"/>
      <c r="RIL2464" s="61"/>
      <c r="RIM2464" s="54"/>
      <c r="RIN2464" s="54"/>
      <c r="RIO2464" s="60"/>
      <c r="RIP2464" s="60"/>
      <c r="RIQ2464" s="60"/>
      <c r="RIR2464" s="60"/>
      <c r="RIS2464" s="63"/>
      <c r="RIT2464" s="61"/>
      <c r="RIU2464" s="54"/>
      <c r="RIV2464" s="54"/>
      <c r="RIW2464" s="60"/>
      <c r="RIX2464" s="60"/>
      <c r="RIY2464" s="60"/>
      <c r="RIZ2464" s="60"/>
      <c r="RJA2464" s="63"/>
      <c r="RJB2464" s="61"/>
      <c r="RJC2464" s="54"/>
      <c r="RJD2464" s="54"/>
      <c r="RJE2464" s="60"/>
      <c r="RJF2464" s="60"/>
      <c r="RJG2464" s="60"/>
      <c r="RJH2464" s="60"/>
      <c r="RJI2464" s="63"/>
      <c r="RJJ2464" s="61"/>
      <c r="RJK2464" s="54"/>
      <c r="RJL2464" s="54"/>
      <c r="RJM2464" s="60"/>
      <c r="RJN2464" s="60"/>
      <c r="RJO2464" s="60"/>
      <c r="RJP2464" s="60"/>
      <c r="RJQ2464" s="63"/>
      <c r="RJR2464" s="61"/>
      <c r="RJS2464" s="54"/>
      <c r="RJT2464" s="54"/>
      <c r="RJU2464" s="60"/>
      <c r="RJV2464" s="60"/>
      <c r="RJW2464" s="60"/>
      <c r="RJX2464" s="60"/>
      <c r="RJY2464" s="63"/>
      <c r="RJZ2464" s="61"/>
      <c r="RKA2464" s="54"/>
      <c r="RKB2464" s="54"/>
      <c r="RKC2464" s="60"/>
      <c r="RKD2464" s="60"/>
      <c r="RKE2464" s="60"/>
      <c r="RKF2464" s="60"/>
      <c r="RKG2464" s="63"/>
      <c r="RKH2464" s="61"/>
      <c r="RKI2464" s="54"/>
      <c r="RKJ2464" s="54"/>
      <c r="RKK2464" s="60"/>
      <c r="RKL2464" s="60"/>
      <c r="RKM2464" s="60"/>
      <c r="RKN2464" s="60"/>
      <c r="RKO2464" s="63"/>
      <c r="RKP2464" s="61"/>
      <c r="RKQ2464" s="54"/>
      <c r="RKR2464" s="54"/>
      <c r="RKS2464" s="60"/>
      <c r="RKT2464" s="60"/>
      <c r="RKU2464" s="60"/>
      <c r="RKV2464" s="60"/>
      <c r="RKW2464" s="63"/>
      <c r="RKX2464" s="61"/>
      <c r="RKY2464" s="54"/>
      <c r="RKZ2464" s="54"/>
      <c r="RLA2464" s="60"/>
      <c r="RLB2464" s="60"/>
      <c r="RLC2464" s="60"/>
      <c r="RLD2464" s="60"/>
      <c r="RLE2464" s="63"/>
      <c r="RLF2464" s="61"/>
      <c r="RLG2464" s="54"/>
      <c r="RLH2464" s="54"/>
      <c r="RLI2464" s="60"/>
      <c r="RLJ2464" s="60"/>
      <c r="RLK2464" s="60"/>
      <c r="RLL2464" s="60"/>
      <c r="RLM2464" s="63"/>
      <c r="RLN2464" s="61"/>
      <c r="RLO2464" s="54"/>
      <c r="RLP2464" s="54"/>
      <c r="RLQ2464" s="60"/>
      <c r="RLR2464" s="60"/>
      <c r="RLS2464" s="60"/>
      <c r="RLT2464" s="60"/>
      <c r="RLU2464" s="63"/>
      <c r="RLV2464" s="61"/>
      <c r="RLW2464" s="54"/>
      <c r="RLX2464" s="54"/>
      <c r="RLY2464" s="60"/>
      <c r="RLZ2464" s="60"/>
      <c r="RMA2464" s="60"/>
      <c r="RMB2464" s="60"/>
      <c r="RMC2464" s="63"/>
      <c r="RMD2464" s="61"/>
      <c r="RME2464" s="54"/>
      <c r="RMF2464" s="54"/>
      <c r="RMG2464" s="60"/>
      <c r="RMH2464" s="60"/>
      <c r="RMI2464" s="60"/>
      <c r="RMJ2464" s="60"/>
      <c r="RMK2464" s="63"/>
      <c r="RML2464" s="61"/>
      <c r="RMM2464" s="54"/>
      <c r="RMN2464" s="54"/>
      <c r="RMO2464" s="60"/>
      <c r="RMP2464" s="60"/>
      <c r="RMQ2464" s="60"/>
      <c r="RMR2464" s="60"/>
      <c r="RMS2464" s="63"/>
      <c r="RMT2464" s="61"/>
      <c r="RMU2464" s="54"/>
      <c r="RMV2464" s="54"/>
      <c r="RMW2464" s="60"/>
      <c r="RMX2464" s="60"/>
      <c r="RMY2464" s="60"/>
      <c r="RMZ2464" s="60"/>
      <c r="RNA2464" s="63"/>
      <c r="RNB2464" s="61"/>
      <c r="RNC2464" s="54"/>
      <c r="RND2464" s="54"/>
      <c r="RNE2464" s="60"/>
      <c r="RNF2464" s="60"/>
      <c r="RNG2464" s="60"/>
      <c r="RNH2464" s="60"/>
      <c r="RNI2464" s="63"/>
      <c r="RNJ2464" s="61"/>
      <c r="RNK2464" s="54"/>
      <c r="RNL2464" s="54"/>
      <c r="RNM2464" s="60"/>
      <c r="RNN2464" s="60"/>
      <c r="RNO2464" s="60"/>
      <c r="RNP2464" s="60"/>
      <c r="RNQ2464" s="63"/>
      <c r="RNR2464" s="61"/>
      <c r="RNS2464" s="54"/>
      <c r="RNT2464" s="54"/>
      <c r="RNU2464" s="60"/>
      <c r="RNV2464" s="60"/>
      <c r="RNW2464" s="60"/>
      <c r="RNX2464" s="60"/>
      <c r="RNY2464" s="63"/>
      <c r="RNZ2464" s="61"/>
      <c r="ROA2464" s="54"/>
      <c r="ROB2464" s="54"/>
      <c r="ROC2464" s="60"/>
      <c r="ROD2464" s="60"/>
      <c r="ROE2464" s="60"/>
      <c r="ROF2464" s="60"/>
      <c r="ROG2464" s="63"/>
      <c r="ROH2464" s="61"/>
      <c r="ROI2464" s="54"/>
      <c r="ROJ2464" s="54"/>
      <c r="ROK2464" s="60"/>
      <c r="ROL2464" s="60"/>
      <c r="ROM2464" s="60"/>
      <c r="RON2464" s="60"/>
      <c r="ROO2464" s="63"/>
      <c r="ROP2464" s="61"/>
      <c r="ROQ2464" s="54"/>
      <c r="ROR2464" s="54"/>
      <c r="ROS2464" s="60"/>
      <c r="ROT2464" s="60"/>
      <c r="ROU2464" s="60"/>
      <c r="ROV2464" s="60"/>
      <c r="ROW2464" s="63"/>
      <c r="ROX2464" s="61"/>
      <c r="ROY2464" s="54"/>
      <c r="ROZ2464" s="54"/>
      <c r="RPA2464" s="60"/>
      <c r="RPB2464" s="60"/>
      <c r="RPC2464" s="60"/>
      <c r="RPD2464" s="60"/>
      <c r="RPE2464" s="63"/>
      <c r="RPF2464" s="61"/>
      <c r="RPG2464" s="54"/>
      <c r="RPH2464" s="54"/>
      <c r="RPI2464" s="60"/>
      <c r="RPJ2464" s="60"/>
      <c r="RPK2464" s="60"/>
      <c r="RPL2464" s="60"/>
      <c r="RPM2464" s="63"/>
      <c r="RPN2464" s="61"/>
      <c r="RPO2464" s="54"/>
      <c r="RPP2464" s="54"/>
      <c r="RPQ2464" s="60"/>
      <c r="RPR2464" s="60"/>
      <c r="RPS2464" s="60"/>
      <c r="RPT2464" s="60"/>
      <c r="RPU2464" s="63"/>
      <c r="RPV2464" s="61"/>
      <c r="RPW2464" s="54"/>
      <c r="RPX2464" s="54"/>
      <c r="RPY2464" s="60"/>
      <c r="RPZ2464" s="60"/>
      <c r="RQA2464" s="60"/>
      <c r="RQB2464" s="60"/>
      <c r="RQC2464" s="63"/>
      <c r="RQD2464" s="61"/>
      <c r="RQE2464" s="54"/>
      <c r="RQF2464" s="54"/>
      <c r="RQG2464" s="60"/>
      <c r="RQH2464" s="60"/>
      <c r="RQI2464" s="60"/>
      <c r="RQJ2464" s="60"/>
      <c r="RQK2464" s="63"/>
      <c r="RQL2464" s="61"/>
      <c r="RQM2464" s="54"/>
      <c r="RQN2464" s="54"/>
      <c r="RQO2464" s="60"/>
      <c r="RQP2464" s="60"/>
      <c r="RQQ2464" s="60"/>
      <c r="RQR2464" s="60"/>
      <c r="RQS2464" s="63"/>
      <c r="RQT2464" s="61"/>
      <c r="RQU2464" s="54"/>
      <c r="RQV2464" s="54"/>
      <c r="RQW2464" s="60"/>
      <c r="RQX2464" s="60"/>
      <c r="RQY2464" s="60"/>
      <c r="RQZ2464" s="60"/>
      <c r="RRA2464" s="63"/>
      <c r="RRB2464" s="61"/>
      <c r="RRC2464" s="54"/>
      <c r="RRD2464" s="54"/>
      <c r="RRE2464" s="60"/>
      <c r="RRF2464" s="60"/>
      <c r="RRG2464" s="60"/>
      <c r="RRH2464" s="60"/>
      <c r="RRI2464" s="63"/>
      <c r="RRJ2464" s="61"/>
      <c r="RRK2464" s="54"/>
      <c r="RRL2464" s="54"/>
      <c r="RRM2464" s="60"/>
      <c r="RRN2464" s="60"/>
      <c r="RRO2464" s="60"/>
      <c r="RRP2464" s="60"/>
      <c r="RRQ2464" s="63"/>
      <c r="RRR2464" s="61"/>
      <c r="RRS2464" s="54"/>
      <c r="RRT2464" s="54"/>
      <c r="RRU2464" s="60"/>
      <c r="RRV2464" s="60"/>
      <c r="RRW2464" s="60"/>
      <c r="RRX2464" s="60"/>
      <c r="RRY2464" s="63"/>
      <c r="RRZ2464" s="61"/>
      <c r="RSA2464" s="54"/>
      <c r="RSB2464" s="54"/>
      <c r="RSC2464" s="60"/>
      <c r="RSD2464" s="60"/>
      <c r="RSE2464" s="60"/>
      <c r="RSF2464" s="60"/>
      <c r="RSG2464" s="63"/>
      <c r="RSH2464" s="61"/>
      <c r="RSI2464" s="54"/>
      <c r="RSJ2464" s="54"/>
      <c r="RSK2464" s="60"/>
      <c r="RSL2464" s="60"/>
      <c r="RSM2464" s="60"/>
      <c r="RSN2464" s="60"/>
      <c r="RSO2464" s="63"/>
      <c r="RSP2464" s="61"/>
      <c r="RSQ2464" s="54"/>
      <c r="RSR2464" s="54"/>
      <c r="RSS2464" s="60"/>
      <c r="RST2464" s="60"/>
      <c r="RSU2464" s="60"/>
      <c r="RSV2464" s="60"/>
      <c r="RSW2464" s="63"/>
      <c r="RSX2464" s="61"/>
      <c r="RSY2464" s="54"/>
      <c r="RSZ2464" s="54"/>
      <c r="RTA2464" s="60"/>
      <c r="RTB2464" s="60"/>
      <c r="RTC2464" s="60"/>
      <c r="RTD2464" s="60"/>
      <c r="RTE2464" s="63"/>
      <c r="RTF2464" s="61"/>
      <c r="RTG2464" s="54"/>
      <c r="RTH2464" s="54"/>
      <c r="RTI2464" s="60"/>
      <c r="RTJ2464" s="60"/>
      <c r="RTK2464" s="60"/>
      <c r="RTL2464" s="60"/>
      <c r="RTM2464" s="63"/>
      <c r="RTN2464" s="61"/>
      <c r="RTO2464" s="54"/>
      <c r="RTP2464" s="54"/>
      <c r="RTQ2464" s="60"/>
      <c r="RTR2464" s="60"/>
      <c r="RTS2464" s="60"/>
      <c r="RTT2464" s="60"/>
      <c r="RTU2464" s="63"/>
      <c r="RTV2464" s="61"/>
      <c r="RTW2464" s="54"/>
      <c r="RTX2464" s="54"/>
      <c r="RTY2464" s="60"/>
      <c r="RTZ2464" s="60"/>
      <c r="RUA2464" s="60"/>
      <c r="RUB2464" s="60"/>
      <c r="RUC2464" s="63"/>
      <c r="RUD2464" s="61"/>
      <c r="RUE2464" s="54"/>
      <c r="RUF2464" s="54"/>
      <c r="RUG2464" s="60"/>
      <c r="RUH2464" s="60"/>
      <c r="RUI2464" s="60"/>
      <c r="RUJ2464" s="60"/>
      <c r="RUK2464" s="63"/>
      <c r="RUL2464" s="61"/>
      <c r="RUM2464" s="54"/>
      <c r="RUN2464" s="54"/>
      <c r="RUO2464" s="60"/>
      <c r="RUP2464" s="60"/>
      <c r="RUQ2464" s="60"/>
      <c r="RUR2464" s="60"/>
      <c r="RUS2464" s="63"/>
      <c r="RUT2464" s="61"/>
      <c r="RUU2464" s="54"/>
      <c r="RUV2464" s="54"/>
      <c r="RUW2464" s="60"/>
      <c r="RUX2464" s="60"/>
      <c r="RUY2464" s="60"/>
      <c r="RUZ2464" s="60"/>
      <c r="RVA2464" s="63"/>
      <c r="RVB2464" s="61"/>
      <c r="RVC2464" s="54"/>
      <c r="RVD2464" s="54"/>
      <c r="RVE2464" s="60"/>
      <c r="RVF2464" s="60"/>
      <c r="RVG2464" s="60"/>
      <c r="RVH2464" s="60"/>
      <c r="RVI2464" s="63"/>
      <c r="RVJ2464" s="61"/>
      <c r="RVK2464" s="54"/>
      <c r="RVL2464" s="54"/>
      <c r="RVM2464" s="60"/>
      <c r="RVN2464" s="60"/>
      <c r="RVO2464" s="60"/>
      <c r="RVP2464" s="60"/>
      <c r="RVQ2464" s="63"/>
      <c r="RVR2464" s="61"/>
      <c r="RVS2464" s="54"/>
      <c r="RVT2464" s="54"/>
      <c r="RVU2464" s="60"/>
      <c r="RVV2464" s="60"/>
      <c r="RVW2464" s="60"/>
      <c r="RVX2464" s="60"/>
      <c r="RVY2464" s="63"/>
      <c r="RVZ2464" s="61"/>
      <c r="RWA2464" s="54"/>
      <c r="RWB2464" s="54"/>
      <c r="RWC2464" s="60"/>
      <c r="RWD2464" s="60"/>
      <c r="RWE2464" s="60"/>
      <c r="RWF2464" s="60"/>
      <c r="RWG2464" s="63"/>
      <c r="RWH2464" s="61"/>
      <c r="RWI2464" s="54"/>
      <c r="RWJ2464" s="54"/>
      <c r="RWK2464" s="60"/>
      <c r="RWL2464" s="60"/>
      <c r="RWM2464" s="60"/>
      <c r="RWN2464" s="60"/>
      <c r="RWO2464" s="63"/>
      <c r="RWP2464" s="61"/>
      <c r="RWQ2464" s="54"/>
      <c r="RWR2464" s="54"/>
      <c r="RWS2464" s="60"/>
      <c r="RWT2464" s="60"/>
      <c r="RWU2464" s="60"/>
      <c r="RWV2464" s="60"/>
      <c r="RWW2464" s="63"/>
      <c r="RWX2464" s="61"/>
      <c r="RWY2464" s="54"/>
      <c r="RWZ2464" s="54"/>
      <c r="RXA2464" s="60"/>
      <c r="RXB2464" s="60"/>
      <c r="RXC2464" s="60"/>
      <c r="RXD2464" s="60"/>
      <c r="RXE2464" s="63"/>
      <c r="RXF2464" s="61"/>
      <c r="RXG2464" s="54"/>
      <c r="RXH2464" s="54"/>
      <c r="RXI2464" s="60"/>
      <c r="RXJ2464" s="60"/>
      <c r="RXK2464" s="60"/>
      <c r="RXL2464" s="60"/>
      <c r="RXM2464" s="63"/>
      <c r="RXN2464" s="61"/>
      <c r="RXO2464" s="54"/>
      <c r="RXP2464" s="54"/>
      <c r="RXQ2464" s="60"/>
      <c r="RXR2464" s="60"/>
      <c r="RXS2464" s="60"/>
      <c r="RXT2464" s="60"/>
      <c r="RXU2464" s="63"/>
      <c r="RXV2464" s="61"/>
      <c r="RXW2464" s="54"/>
      <c r="RXX2464" s="54"/>
      <c r="RXY2464" s="60"/>
      <c r="RXZ2464" s="60"/>
      <c r="RYA2464" s="60"/>
      <c r="RYB2464" s="60"/>
      <c r="RYC2464" s="63"/>
      <c r="RYD2464" s="61"/>
      <c r="RYE2464" s="54"/>
      <c r="RYF2464" s="54"/>
      <c r="RYG2464" s="60"/>
      <c r="RYH2464" s="60"/>
      <c r="RYI2464" s="60"/>
      <c r="RYJ2464" s="60"/>
      <c r="RYK2464" s="63"/>
      <c r="RYL2464" s="61"/>
      <c r="RYM2464" s="54"/>
      <c r="RYN2464" s="54"/>
      <c r="RYO2464" s="60"/>
      <c r="RYP2464" s="60"/>
      <c r="RYQ2464" s="60"/>
      <c r="RYR2464" s="60"/>
      <c r="RYS2464" s="63"/>
      <c r="RYT2464" s="61"/>
      <c r="RYU2464" s="54"/>
      <c r="RYV2464" s="54"/>
      <c r="RYW2464" s="60"/>
      <c r="RYX2464" s="60"/>
      <c r="RYY2464" s="60"/>
      <c r="RYZ2464" s="60"/>
      <c r="RZA2464" s="63"/>
      <c r="RZB2464" s="61"/>
      <c r="RZC2464" s="54"/>
      <c r="RZD2464" s="54"/>
      <c r="RZE2464" s="60"/>
      <c r="RZF2464" s="60"/>
      <c r="RZG2464" s="60"/>
      <c r="RZH2464" s="60"/>
      <c r="RZI2464" s="63"/>
      <c r="RZJ2464" s="61"/>
      <c r="RZK2464" s="54"/>
      <c r="RZL2464" s="54"/>
      <c r="RZM2464" s="60"/>
      <c r="RZN2464" s="60"/>
      <c r="RZO2464" s="60"/>
      <c r="RZP2464" s="60"/>
      <c r="RZQ2464" s="63"/>
      <c r="RZR2464" s="61"/>
      <c r="RZS2464" s="54"/>
      <c r="RZT2464" s="54"/>
      <c r="RZU2464" s="60"/>
      <c r="RZV2464" s="60"/>
      <c r="RZW2464" s="60"/>
      <c r="RZX2464" s="60"/>
      <c r="RZY2464" s="63"/>
      <c r="RZZ2464" s="61"/>
      <c r="SAA2464" s="54"/>
      <c r="SAB2464" s="54"/>
      <c r="SAC2464" s="60"/>
      <c r="SAD2464" s="60"/>
      <c r="SAE2464" s="60"/>
      <c r="SAF2464" s="60"/>
      <c r="SAG2464" s="63"/>
      <c r="SAH2464" s="61"/>
      <c r="SAI2464" s="54"/>
      <c r="SAJ2464" s="54"/>
      <c r="SAK2464" s="60"/>
      <c r="SAL2464" s="60"/>
      <c r="SAM2464" s="60"/>
      <c r="SAN2464" s="60"/>
      <c r="SAO2464" s="63"/>
      <c r="SAP2464" s="61"/>
      <c r="SAQ2464" s="54"/>
      <c r="SAR2464" s="54"/>
      <c r="SAS2464" s="60"/>
      <c r="SAT2464" s="60"/>
      <c r="SAU2464" s="60"/>
      <c r="SAV2464" s="60"/>
      <c r="SAW2464" s="63"/>
      <c r="SAX2464" s="61"/>
      <c r="SAY2464" s="54"/>
      <c r="SAZ2464" s="54"/>
      <c r="SBA2464" s="60"/>
      <c r="SBB2464" s="60"/>
      <c r="SBC2464" s="60"/>
      <c r="SBD2464" s="60"/>
      <c r="SBE2464" s="63"/>
      <c r="SBF2464" s="61"/>
      <c r="SBG2464" s="54"/>
      <c r="SBH2464" s="54"/>
      <c r="SBI2464" s="60"/>
      <c r="SBJ2464" s="60"/>
      <c r="SBK2464" s="60"/>
      <c r="SBL2464" s="60"/>
      <c r="SBM2464" s="63"/>
      <c r="SBN2464" s="61"/>
      <c r="SBO2464" s="54"/>
      <c r="SBP2464" s="54"/>
      <c r="SBQ2464" s="60"/>
      <c r="SBR2464" s="60"/>
      <c r="SBS2464" s="60"/>
      <c r="SBT2464" s="60"/>
      <c r="SBU2464" s="63"/>
      <c r="SBV2464" s="61"/>
      <c r="SBW2464" s="54"/>
      <c r="SBX2464" s="54"/>
      <c r="SBY2464" s="60"/>
      <c r="SBZ2464" s="60"/>
      <c r="SCA2464" s="60"/>
      <c r="SCB2464" s="60"/>
      <c r="SCC2464" s="63"/>
      <c r="SCD2464" s="61"/>
      <c r="SCE2464" s="54"/>
      <c r="SCF2464" s="54"/>
      <c r="SCG2464" s="60"/>
      <c r="SCH2464" s="60"/>
      <c r="SCI2464" s="60"/>
      <c r="SCJ2464" s="60"/>
      <c r="SCK2464" s="63"/>
      <c r="SCL2464" s="61"/>
      <c r="SCM2464" s="54"/>
      <c r="SCN2464" s="54"/>
      <c r="SCO2464" s="60"/>
      <c r="SCP2464" s="60"/>
      <c r="SCQ2464" s="60"/>
      <c r="SCR2464" s="60"/>
      <c r="SCS2464" s="63"/>
      <c r="SCT2464" s="61"/>
      <c r="SCU2464" s="54"/>
      <c r="SCV2464" s="54"/>
      <c r="SCW2464" s="60"/>
      <c r="SCX2464" s="60"/>
      <c r="SCY2464" s="60"/>
      <c r="SCZ2464" s="60"/>
      <c r="SDA2464" s="63"/>
      <c r="SDB2464" s="61"/>
      <c r="SDC2464" s="54"/>
      <c r="SDD2464" s="54"/>
      <c r="SDE2464" s="60"/>
      <c r="SDF2464" s="60"/>
      <c r="SDG2464" s="60"/>
      <c r="SDH2464" s="60"/>
      <c r="SDI2464" s="63"/>
      <c r="SDJ2464" s="61"/>
      <c r="SDK2464" s="54"/>
      <c r="SDL2464" s="54"/>
      <c r="SDM2464" s="60"/>
      <c r="SDN2464" s="60"/>
      <c r="SDO2464" s="60"/>
      <c r="SDP2464" s="60"/>
      <c r="SDQ2464" s="63"/>
      <c r="SDR2464" s="61"/>
      <c r="SDS2464" s="54"/>
      <c r="SDT2464" s="54"/>
      <c r="SDU2464" s="60"/>
      <c r="SDV2464" s="60"/>
      <c r="SDW2464" s="60"/>
      <c r="SDX2464" s="60"/>
      <c r="SDY2464" s="63"/>
      <c r="SDZ2464" s="61"/>
      <c r="SEA2464" s="54"/>
      <c r="SEB2464" s="54"/>
      <c r="SEC2464" s="60"/>
      <c r="SED2464" s="60"/>
      <c r="SEE2464" s="60"/>
      <c r="SEF2464" s="60"/>
      <c r="SEG2464" s="63"/>
      <c r="SEH2464" s="61"/>
      <c r="SEI2464" s="54"/>
      <c r="SEJ2464" s="54"/>
      <c r="SEK2464" s="60"/>
      <c r="SEL2464" s="60"/>
      <c r="SEM2464" s="60"/>
      <c r="SEN2464" s="60"/>
      <c r="SEO2464" s="63"/>
      <c r="SEP2464" s="61"/>
      <c r="SEQ2464" s="54"/>
      <c r="SER2464" s="54"/>
      <c r="SES2464" s="60"/>
      <c r="SET2464" s="60"/>
      <c r="SEU2464" s="60"/>
      <c r="SEV2464" s="60"/>
      <c r="SEW2464" s="63"/>
      <c r="SEX2464" s="61"/>
      <c r="SEY2464" s="54"/>
      <c r="SEZ2464" s="54"/>
      <c r="SFA2464" s="60"/>
      <c r="SFB2464" s="60"/>
      <c r="SFC2464" s="60"/>
      <c r="SFD2464" s="60"/>
      <c r="SFE2464" s="63"/>
      <c r="SFF2464" s="61"/>
      <c r="SFG2464" s="54"/>
      <c r="SFH2464" s="54"/>
      <c r="SFI2464" s="60"/>
      <c r="SFJ2464" s="60"/>
      <c r="SFK2464" s="60"/>
      <c r="SFL2464" s="60"/>
      <c r="SFM2464" s="63"/>
      <c r="SFN2464" s="61"/>
      <c r="SFO2464" s="54"/>
      <c r="SFP2464" s="54"/>
      <c r="SFQ2464" s="60"/>
      <c r="SFR2464" s="60"/>
      <c r="SFS2464" s="60"/>
      <c r="SFT2464" s="60"/>
      <c r="SFU2464" s="63"/>
      <c r="SFV2464" s="61"/>
      <c r="SFW2464" s="54"/>
      <c r="SFX2464" s="54"/>
      <c r="SFY2464" s="60"/>
      <c r="SFZ2464" s="60"/>
      <c r="SGA2464" s="60"/>
      <c r="SGB2464" s="60"/>
      <c r="SGC2464" s="63"/>
      <c r="SGD2464" s="61"/>
      <c r="SGE2464" s="54"/>
      <c r="SGF2464" s="54"/>
      <c r="SGG2464" s="60"/>
      <c r="SGH2464" s="60"/>
      <c r="SGI2464" s="60"/>
      <c r="SGJ2464" s="60"/>
      <c r="SGK2464" s="63"/>
      <c r="SGL2464" s="61"/>
      <c r="SGM2464" s="54"/>
      <c r="SGN2464" s="54"/>
      <c r="SGO2464" s="60"/>
      <c r="SGP2464" s="60"/>
      <c r="SGQ2464" s="60"/>
      <c r="SGR2464" s="60"/>
      <c r="SGS2464" s="63"/>
      <c r="SGT2464" s="61"/>
      <c r="SGU2464" s="54"/>
      <c r="SGV2464" s="54"/>
      <c r="SGW2464" s="60"/>
      <c r="SGX2464" s="60"/>
      <c r="SGY2464" s="60"/>
      <c r="SGZ2464" s="60"/>
      <c r="SHA2464" s="63"/>
      <c r="SHB2464" s="61"/>
      <c r="SHC2464" s="54"/>
      <c r="SHD2464" s="54"/>
      <c r="SHE2464" s="60"/>
      <c r="SHF2464" s="60"/>
      <c r="SHG2464" s="60"/>
      <c r="SHH2464" s="60"/>
      <c r="SHI2464" s="63"/>
      <c r="SHJ2464" s="61"/>
      <c r="SHK2464" s="54"/>
      <c r="SHL2464" s="54"/>
      <c r="SHM2464" s="60"/>
      <c r="SHN2464" s="60"/>
      <c r="SHO2464" s="60"/>
      <c r="SHP2464" s="60"/>
      <c r="SHQ2464" s="63"/>
      <c r="SHR2464" s="61"/>
      <c r="SHS2464" s="54"/>
      <c r="SHT2464" s="54"/>
      <c r="SHU2464" s="60"/>
      <c r="SHV2464" s="60"/>
      <c r="SHW2464" s="60"/>
      <c r="SHX2464" s="60"/>
      <c r="SHY2464" s="63"/>
      <c r="SHZ2464" s="61"/>
      <c r="SIA2464" s="54"/>
      <c r="SIB2464" s="54"/>
      <c r="SIC2464" s="60"/>
      <c r="SID2464" s="60"/>
      <c r="SIE2464" s="60"/>
      <c r="SIF2464" s="60"/>
      <c r="SIG2464" s="63"/>
      <c r="SIH2464" s="61"/>
      <c r="SII2464" s="54"/>
      <c r="SIJ2464" s="54"/>
      <c r="SIK2464" s="60"/>
      <c r="SIL2464" s="60"/>
      <c r="SIM2464" s="60"/>
      <c r="SIN2464" s="60"/>
      <c r="SIO2464" s="63"/>
      <c r="SIP2464" s="61"/>
      <c r="SIQ2464" s="54"/>
      <c r="SIR2464" s="54"/>
      <c r="SIS2464" s="60"/>
      <c r="SIT2464" s="60"/>
      <c r="SIU2464" s="60"/>
      <c r="SIV2464" s="60"/>
      <c r="SIW2464" s="63"/>
      <c r="SIX2464" s="61"/>
      <c r="SIY2464" s="54"/>
      <c r="SIZ2464" s="54"/>
      <c r="SJA2464" s="60"/>
      <c r="SJB2464" s="60"/>
      <c r="SJC2464" s="60"/>
      <c r="SJD2464" s="60"/>
      <c r="SJE2464" s="63"/>
      <c r="SJF2464" s="61"/>
      <c r="SJG2464" s="54"/>
      <c r="SJH2464" s="54"/>
      <c r="SJI2464" s="60"/>
      <c r="SJJ2464" s="60"/>
      <c r="SJK2464" s="60"/>
      <c r="SJL2464" s="60"/>
      <c r="SJM2464" s="63"/>
      <c r="SJN2464" s="61"/>
      <c r="SJO2464" s="54"/>
      <c r="SJP2464" s="54"/>
      <c r="SJQ2464" s="60"/>
      <c r="SJR2464" s="60"/>
      <c r="SJS2464" s="60"/>
      <c r="SJT2464" s="60"/>
      <c r="SJU2464" s="63"/>
      <c r="SJV2464" s="61"/>
      <c r="SJW2464" s="54"/>
      <c r="SJX2464" s="54"/>
      <c r="SJY2464" s="60"/>
      <c r="SJZ2464" s="60"/>
      <c r="SKA2464" s="60"/>
      <c r="SKB2464" s="60"/>
      <c r="SKC2464" s="63"/>
      <c r="SKD2464" s="61"/>
      <c r="SKE2464" s="54"/>
      <c r="SKF2464" s="54"/>
      <c r="SKG2464" s="60"/>
      <c r="SKH2464" s="60"/>
      <c r="SKI2464" s="60"/>
      <c r="SKJ2464" s="60"/>
      <c r="SKK2464" s="63"/>
      <c r="SKL2464" s="61"/>
      <c r="SKM2464" s="54"/>
      <c r="SKN2464" s="54"/>
      <c r="SKO2464" s="60"/>
      <c r="SKP2464" s="60"/>
      <c r="SKQ2464" s="60"/>
      <c r="SKR2464" s="60"/>
      <c r="SKS2464" s="63"/>
      <c r="SKT2464" s="61"/>
      <c r="SKU2464" s="54"/>
      <c r="SKV2464" s="54"/>
      <c r="SKW2464" s="60"/>
      <c r="SKX2464" s="60"/>
      <c r="SKY2464" s="60"/>
      <c r="SKZ2464" s="60"/>
      <c r="SLA2464" s="63"/>
      <c r="SLB2464" s="61"/>
      <c r="SLC2464" s="54"/>
      <c r="SLD2464" s="54"/>
      <c r="SLE2464" s="60"/>
      <c r="SLF2464" s="60"/>
      <c r="SLG2464" s="60"/>
      <c r="SLH2464" s="60"/>
      <c r="SLI2464" s="63"/>
      <c r="SLJ2464" s="61"/>
      <c r="SLK2464" s="54"/>
      <c r="SLL2464" s="54"/>
      <c r="SLM2464" s="60"/>
      <c r="SLN2464" s="60"/>
      <c r="SLO2464" s="60"/>
      <c r="SLP2464" s="60"/>
      <c r="SLQ2464" s="63"/>
      <c r="SLR2464" s="61"/>
      <c r="SLS2464" s="54"/>
      <c r="SLT2464" s="54"/>
      <c r="SLU2464" s="60"/>
      <c r="SLV2464" s="60"/>
      <c r="SLW2464" s="60"/>
      <c r="SLX2464" s="60"/>
      <c r="SLY2464" s="63"/>
      <c r="SLZ2464" s="61"/>
      <c r="SMA2464" s="54"/>
      <c r="SMB2464" s="54"/>
      <c r="SMC2464" s="60"/>
      <c r="SMD2464" s="60"/>
      <c r="SME2464" s="60"/>
      <c r="SMF2464" s="60"/>
      <c r="SMG2464" s="63"/>
      <c r="SMH2464" s="61"/>
      <c r="SMI2464" s="54"/>
      <c r="SMJ2464" s="54"/>
      <c r="SMK2464" s="60"/>
      <c r="SML2464" s="60"/>
      <c r="SMM2464" s="60"/>
      <c r="SMN2464" s="60"/>
      <c r="SMO2464" s="63"/>
      <c r="SMP2464" s="61"/>
      <c r="SMQ2464" s="54"/>
      <c r="SMR2464" s="54"/>
      <c r="SMS2464" s="60"/>
      <c r="SMT2464" s="60"/>
      <c r="SMU2464" s="60"/>
      <c r="SMV2464" s="60"/>
      <c r="SMW2464" s="63"/>
      <c r="SMX2464" s="61"/>
      <c r="SMY2464" s="54"/>
      <c r="SMZ2464" s="54"/>
      <c r="SNA2464" s="60"/>
      <c r="SNB2464" s="60"/>
      <c r="SNC2464" s="60"/>
      <c r="SND2464" s="60"/>
      <c r="SNE2464" s="63"/>
      <c r="SNF2464" s="61"/>
      <c r="SNG2464" s="54"/>
      <c r="SNH2464" s="54"/>
      <c r="SNI2464" s="60"/>
      <c r="SNJ2464" s="60"/>
      <c r="SNK2464" s="60"/>
      <c r="SNL2464" s="60"/>
      <c r="SNM2464" s="63"/>
      <c r="SNN2464" s="61"/>
      <c r="SNO2464" s="54"/>
      <c r="SNP2464" s="54"/>
      <c r="SNQ2464" s="60"/>
      <c r="SNR2464" s="60"/>
      <c r="SNS2464" s="60"/>
      <c r="SNT2464" s="60"/>
      <c r="SNU2464" s="63"/>
      <c r="SNV2464" s="61"/>
      <c r="SNW2464" s="54"/>
      <c r="SNX2464" s="54"/>
      <c r="SNY2464" s="60"/>
      <c r="SNZ2464" s="60"/>
      <c r="SOA2464" s="60"/>
      <c r="SOB2464" s="60"/>
      <c r="SOC2464" s="63"/>
      <c r="SOD2464" s="61"/>
      <c r="SOE2464" s="54"/>
      <c r="SOF2464" s="54"/>
      <c r="SOG2464" s="60"/>
      <c r="SOH2464" s="60"/>
      <c r="SOI2464" s="60"/>
      <c r="SOJ2464" s="60"/>
      <c r="SOK2464" s="63"/>
      <c r="SOL2464" s="61"/>
      <c r="SOM2464" s="54"/>
      <c r="SON2464" s="54"/>
      <c r="SOO2464" s="60"/>
      <c r="SOP2464" s="60"/>
      <c r="SOQ2464" s="60"/>
      <c r="SOR2464" s="60"/>
      <c r="SOS2464" s="63"/>
      <c r="SOT2464" s="61"/>
      <c r="SOU2464" s="54"/>
      <c r="SOV2464" s="54"/>
      <c r="SOW2464" s="60"/>
      <c r="SOX2464" s="60"/>
      <c r="SOY2464" s="60"/>
      <c r="SOZ2464" s="60"/>
      <c r="SPA2464" s="63"/>
      <c r="SPB2464" s="61"/>
      <c r="SPC2464" s="54"/>
      <c r="SPD2464" s="54"/>
      <c r="SPE2464" s="60"/>
      <c r="SPF2464" s="60"/>
      <c r="SPG2464" s="60"/>
      <c r="SPH2464" s="60"/>
      <c r="SPI2464" s="63"/>
      <c r="SPJ2464" s="61"/>
      <c r="SPK2464" s="54"/>
      <c r="SPL2464" s="54"/>
      <c r="SPM2464" s="60"/>
      <c r="SPN2464" s="60"/>
      <c r="SPO2464" s="60"/>
      <c r="SPP2464" s="60"/>
      <c r="SPQ2464" s="63"/>
      <c r="SPR2464" s="61"/>
      <c r="SPS2464" s="54"/>
      <c r="SPT2464" s="54"/>
      <c r="SPU2464" s="60"/>
      <c r="SPV2464" s="60"/>
      <c r="SPW2464" s="60"/>
      <c r="SPX2464" s="60"/>
      <c r="SPY2464" s="63"/>
      <c r="SPZ2464" s="61"/>
      <c r="SQA2464" s="54"/>
      <c r="SQB2464" s="54"/>
      <c r="SQC2464" s="60"/>
      <c r="SQD2464" s="60"/>
      <c r="SQE2464" s="60"/>
      <c r="SQF2464" s="60"/>
      <c r="SQG2464" s="63"/>
      <c r="SQH2464" s="61"/>
      <c r="SQI2464" s="54"/>
      <c r="SQJ2464" s="54"/>
      <c r="SQK2464" s="60"/>
      <c r="SQL2464" s="60"/>
      <c r="SQM2464" s="60"/>
      <c r="SQN2464" s="60"/>
      <c r="SQO2464" s="63"/>
      <c r="SQP2464" s="61"/>
      <c r="SQQ2464" s="54"/>
      <c r="SQR2464" s="54"/>
      <c r="SQS2464" s="60"/>
      <c r="SQT2464" s="60"/>
      <c r="SQU2464" s="60"/>
      <c r="SQV2464" s="60"/>
      <c r="SQW2464" s="63"/>
      <c r="SQX2464" s="61"/>
      <c r="SQY2464" s="54"/>
      <c r="SQZ2464" s="54"/>
      <c r="SRA2464" s="60"/>
      <c r="SRB2464" s="60"/>
      <c r="SRC2464" s="60"/>
      <c r="SRD2464" s="60"/>
      <c r="SRE2464" s="63"/>
      <c r="SRF2464" s="61"/>
      <c r="SRG2464" s="54"/>
      <c r="SRH2464" s="54"/>
      <c r="SRI2464" s="60"/>
      <c r="SRJ2464" s="60"/>
      <c r="SRK2464" s="60"/>
      <c r="SRL2464" s="60"/>
      <c r="SRM2464" s="63"/>
      <c r="SRN2464" s="61"/>
      <c r="SRO2464" s="54"/>
      <c r="SRP2464" s="54"/>
      <c r="SRQ2464" s="60"/>
      <c r="SRR2464" s="60"/>
      <c r="SRS2464" s="60"/>
      <c r="SRT2464" s="60"/>
      <c r="SRU2464" s="63"/>
      <c r="SRV2464" s="61"/>
      <c r="SRW2464" s="54"/>
      <c r="SRX2464" s="54"/>
      <c r="SRY2464" s="60"/>
      <c r="SRZ2464" s="60"/>
      <c r="SSA2464" s="60"/>
      <c r="SSB2464" s="60"/>
      <c r="SSC2464" s="63"/>
      <c r="SSD2464" s="61"/>
      <c r="SSE2464" s="54"/>
      <c r="SSF2464" s="54"/>
      <c r="SSG2464" s="60"/>
      <c r="SSH2464" s="60"/>
      <c r="SSI2464" s="60"/>
      <c r="SSJ2464" s="60"/>
      <c r="SSK2464" s="63"/>
      <c r="SSL2464" s="61"/>
      <c r="SSM2464" s="54"/>
      <c r="SSN2464" s="54"/>
      <c r="SSO2464" s="60"/>
      <c r="SSP2464" s="60"/>
      <c r="SSQ2464" s="60"/>
      <c r="SSR2464" s="60"/>
      <c r="SSS2464" s="63"/>
      <c r="SST2464" s="61"/>
      <c r="SSU2464" s="54"/>
      <c r="SSV2464" s="54"/>
      <c r="SSW2464" s="60"/>
      <c r="SSX2464" s="60"/>
      <c r="SSY2464" s="60"/>
      <c r="SSZ2464" s="60"/>
      <c r="STA2464" s="63"/>
      <c r="STB2464" s="61"/>
      <c r="STC2464" s="54"/>
      <c r="STD2464" s="54"/>
      <c r="STE2464" s="60"/>
      <c r="STF2464" s="60"/>
      <c r="STG2464" s="60"/>
      <c r="STH2464" s="60"/>
      <c r="STI2464" s="63"/>
      <c r="STJ2464" s="61"/>
      <c r="STK2464" s="54"/>
      <c r="STL2464" s="54"/>
      <c r="STM2464" s="60"/>
      <c r="STN2464" s="60"/>
      <c r="STO2464" s="60"/>
      <c r="STP2464" s="60"/>
      <c r="STQ2464" s="63"/>
      <c r="STR2464" s="61"/>
      <c r="STS2464" s="54"/>
      <c r="STT2464" s="54"/>
      <c r="STU2464" s="60"/>
      <c r="STV2464" s="60"/>
      <c r="STW2464" s="60"/>
      <c r="STX2464" s="60"/>
      <c r="STY2464" s="63"/>
      <c r="STZ2464" s="61"/>
      <c r="SUA2464" s="54"/>
      <c r="SUB2464" s="54"/>
      <c r="SUC2464" s="60"/>
      <c r="SUD2464" s="60"/>
      <c r="SUE2464" s="60"/>
      <c r="SUF2464" s="60"/>
      <c r="SUG2464" s="63"/>
      <c r="SUH2464" s="61"/>
      <c r="SUI2464" s="54"/>
      <c r="SUJ2464" s="54"/>
      <c r="SUK2464" s="60"/>
      <c r="SUL2464" s="60"/>
      <c r="SUM2464" s="60"/>
      <c r="SUN2464" s="60"/>
      <c r="SUO2464" s="63"/>
      <c r="SUP2464" s="61"/>
      <c r="SUQ2464" s="54"/>
      <c r="SUR2464" s="54"/>
      <c r="SUS2464" s="60"/>
      <c r="SUT2464" s="60"/>
      <c r="SUU2464" s="60"/>
      <c r="SUV2464" s="60"/>
      <c r="SUW2464" s="63"/>
      <c r="SUX2464" s="61"/>
      <c r="SUY2464" s="54"/>
      <c r="SUZ2464" s="54"/>
      <c r="SVA2464" s="60"/>
      <c r="SVB2464" s="60"/>
      <c r="SVC2464" s="60"/>
      <c r="SVD2464" s="60"/>
      <c r="SVE2464" s="63"/>
      <c r="SVF2464" s="61"/>
      <c r="SVG2464" s="54"/>
      <c r="SVH2464" s="54"/>
      <c r="SVI2464" s="60"/>
      <c r="SVJ2464" s="60"/>
      <c r="SVK2464" s="60"/>
      <c r="SVL2464" s="60"/>
      <c r="SVM2464" s="63"/>
      <c r="SVN2464" s="61"/>
      <c r="SVO2464" s="54"/>
      <c r="SVP2464" s="54"/>
      <c r="SVQ2464" s="60"/>
      <c r="SVR2464" s="60"/>
      <c r="SVS2464" s="60"/>
      <c r="SVT2464" s="60"/>
      <c r="SVU2464" s="63"/>
      <c r="SVV2464" s="61"/>
      <c r="SVW2464" s="54"/>
      <c r="SVX2464" s="54"/>
      <c r="SVY2464" s="60"/>
      <c r="SVZ2464" s="60"/>
      <c r="SWA2464" s="60"/>
      <c r="SWB2464" s="60"/>
      <c r="SWC2464" s="63"/>
      <c r="SWD2464" s="61"/>
      <c r="SWE2464" s="54"/>
      <c r="SWF2464" s="54"/>
      <c r="SWG2464" s="60"/>
      <c r="SWH2464" s="60"/>
      <c r="SWI2464" s="60"/>
      <c r="SWJ2464" s="60"/>
      <c r="SWK2464" s="63"/>
      <c r="SWL2464" s="61"/>
      <c r="SWM2464" s="54"/>
      <c r="SWN2464" s="54"/>
      <c r="SWO2464" s="60"/>
      <c r="SWP2464" s="60"/>
      <c r="SWQ2464" s="60"/>
      <c r="SWR2464" s="60"/>
      <c r="SWS2464" s="63"/>
      <c r="SWT2464" s="61"/>
      <c r="SWU2464" s="54"/>
      <c r="SWV2464" s="54"/>
      <c r="SWW2464" s="60"/>
      <c r="SWX2464" s="60"/>
      <c r="SWY2464" s="60"/>
      <c r="SWZ2464" s="60"/>
      <c r="SXA2464" s="63"/>
      <c r="SXB2464" s="61"/>
      <c r="SXC2464" s="54"/>
      <c r="SXD2464" s="54"/>
      <c r="SXE2464" s="60"/>
      <c r="SXF2464" s="60"/>
      <c r="SXG2464" s="60"/>
      <c r="SXH2464" s="60"/>
      <c r="SXI2464" s="63"/>
      <c r="SXJ2464" s="61"/>
      <c r="SXK2464" s="54"/>
      <c r="SXL2464" s="54"/>
      <c r="SXM2464" s="60"/>
      <c r="SXN2464" s="60"/>
      <c r="SXO2464" s="60"/>
      <c r="SXP2464" s="60"/>
      <c r="SXQ2464" s="63"/>
      <c r="SXR2464" s="61"/>
      <c r="SXS2464" s="54"/>
      <c r="SXT2464" s="54"/>
      <c r="SXU2464" s="60"/>
      <c r="SXV2464" s="60"/>
      <c r="SXW2464" s="60"/>
      <c r="SXX2464" s="60"/>
      <c r="SXY2464" s="63"/>
      <c r="SXZ2464" s="61"/>
      <c r="SYA2464" s="54"/>
      <c r="SYB2464" s="54"/>
      <c r="SYC2464" s="60"/>
      <c r="SYD2464" s="60"/>
      <c r="SYE2464" s="60"/>
      <c r="SYF2464" s="60"/>
      <c r="SYG2464" s="63"/>
      <c r="SYH2464" s="61"/>
      <c r="SYI2464" s="54"/>
      <c r="SYJ2464" s="54"/>
      <c r="SYK2464" s="60"/>
      <c r="SYL2464" s="60"/>
      <c r="SYM2464" s="60"/>
      <c r="SYN2464" s="60"/>
      <c r="SYO2464" s="63"/>
      <c r="SYP2464" s="61"/>
      <c r="SYQ2464" s="54"/>
      <c r="SYR2464" s="54"/>
      <c r="SYS2464" s="60"/>
      <c r="SYT2464" s="60"/>
      <c r="SYU2464" s="60"/>
      <c r="SYV2464" s="60"/>
      <c r="SYW2464" s="63"/>
      <c r="SYX2464" s="61"/>
      <c r="SYY2464" s="54"/>
      <c r="SYZ2464" s="54"/>
      <c r="SZA2464" s="60"/>
      <c r="SZB2464" s="60"/>
      <c r="SZC2464" s="60"/>
      <c r="SZD2464" s="60"/>
      <c r="SZE2464" s="63"/>
      <c r="SZF2464" s="61"/>
      <c r="SZG2464" s="54"/>
      <c r="SZH2464" s="54"/>
      <c r="SZI2464" s="60"/>
      <c r="SZJ2464" s="60"/>
      <c r="SZK2464" s="60"/>
      <c r="SZL2464" s="60"/>
      <c r="SZM2464" s="63"/>
      <c r="SZN2464" s="61"/>
      <c r="SZO2464" s="54"/>
      <c r="SZP2464" s="54"/>
      <c r="SZQ2464" s="60"/>
      <c r="SZR2464" s="60"/>
      <c r="SZS2464" s="60"/>
      <c r="SZT2464" s="60"/>
      <c r="SZU2464" s="63"/>
      <c r="SZV2464" s="61"/>
      <c r="SZW2464" s="54"/>
      <c r="SZX2464" s="54"/>
      <c r="SZY2464" s="60"/>
      <c r="SZZ2464" s="60"/>
      <c r="TAA2464" s="60"/>
      <c r="TAB2464" s="60"/>
      <c r="TAC2464" s="63"/>
      <c r="TAD2464" s="61"/>
      <c r="TAE2464" s="54"/>
      <c r="TAF2464" s="54"/>
      <c r="TAG2464" s="60"/>
      <c r="TAH2464" s="60"/>
      <c r="TAI2464" s="60"/>
      <c r="TAJ2464" s="60"/>
      <c r="TAK2464" s="63"/>
      <c r="TAL2464" s="61"/>
      <c r="TAM2464" s="54"/>
      <c r="TAN2464" s="54"/>
      <c r="TAO2464" s="60"/>
      <c r="TAP2464" s="60"/>
      <c r="TAQ2464" s="60"/>
      <c r="TAR2464" s="60"/>
      <c r="TAS2464" s="63"/>
      <c r="TAT2464" s="61"/>
      <c r="TAU2464" s="54"/>
      <c r="TAV2464" s="54"/>
      <c r="TAW2464" s="60"/>
      <c r="TAX2464" s="60"/>
      <c r="TAY2464" s="60"/>
      <c r="TAZ2464" s="60"/>
      <c r="TBA2464" s="63"/>
      <c r="TBB2464" s="61"/>
      <c r="TBC2464" s="54"/>
      <c r="TBD2464" s="54"/>
      <c r="TBE2464" s="60"/>
      <c r="TBF2464" s="60"/>
      <c r="TBG2464" s="60"/>
      <c r="TBH2464" s="60"/>
      <c r="TBI2464" s="63"/>
      <c r="TBJ2464" s="61"/>
      <c r="TBK2464" s="54"/>
      <c r="TBL2464" s="54"/>
      <c r="TBM2464" s="60"/>
      <c r="TBN2464" s="60"/>
      <c r="TBO2464" s="60"/>
      <c r="TBP2464" s="60"/>
      <c r="TBQ2464" s="63"/>
      <c r="TBR2464" s="61"/>
      <c r="TBS2464" s="54"/>
      <c r="TBT2464" s="54"/>
      <c r="TBU2464" s="60"/>
      <c r="TBV2464" s="60"/>
      <c r="TBW2464" s="60"/>
      <c r="TBX2464" s="60"/>
      <c r="TBY2464" s="63"/>
      <c r="TBZ2464" s="61"/>
      <c r="TCA2464" s="54"/>
      <c r="TCB2464" s="54"/>
      <c r="TCC2464" s="60"/>
      <c r="TCD2464" s="60"/>
      <c r="TCE2464" s="60"/>
      <c r="TCF2464" s="60"/>
      <c r="TCG2464" s="63"/>
      <c r="TCH2464" s="61"/>
      <c r="TCI2464" s="54"/>
      <c r="TCJ2464" s="54"/>
      <c r="TCK2464" s="60"/>
      <c r="TCL2464" s="60"/>
      <c r="TCM2464" s="60"/>
      <c r="TCN2464" s="60"/>
      <c r="TCO2464" s="63"/>
      <c r="TCP2464" s="61"/>
      <c r="TCQ2464" s="54"/>
      <c r="TCR2464" s="54"/>
      <c r="TCS2464" s="60"/>
      <c r="TCT2464" s="60"/>
      <c r="TCU2464" s="60"/>
      <c r="TCV2464" s="60"/>
      <c r="TCW2464" s="63"/>
      <c r="TCX2464" s="61"/>
      <c r="TCY2464" s="54"/>
      <c r="TCZ2464" s="54"/>
      <c r="TDA2464" s="60"/>
      <c r="TDB2464" s="60"/>
      <c r="TDC2464" s="60"/>
      <c r="TDD2464" s="60"/>
      <c r="TDE2464" s="63"/>
      <c r="TDF2464" s="61"/>
      <c r="TDG2464" s="54"/>
      <c r="TDH2464" s="54"/>
      <c r="TDI2464" s="60"/>
      <c r="TDJ2464" s="60"/>
      <c r="TDK2464" s="60"/>
      <c r="TDL2464" s="60"/>
      <c r="TDM2464" s="63"/>
      <c r="TDN2464" s="61"/>
      <c r="TDO2464" s="54"/>
      <c r="TDP2464" s="54"/>
      <c r="TDQ2464" s="60"/>
      <c r="TDR2464" s="60"/>
      <c r="TDS2464" s="60"/>
      <c r="TDT2464" s="60"/>
      <c r="TDU2464" s="63"/>
      <c r="TDV2464" s="61"/>
      <c r="TDW2464" s="54"/>
      <c r="TDX2464" s="54"/>
      <c r="TDY2464" s="60"/>
      <c r="TDZ2464" s="60"/>
      <c r="TEA2464" s="60"/>
      <c r="TEB2464" s="60"/>
      <c r="TEC2464" s="63"/>
      <c r="TED2464" s="61"/>
      <c r="TEE2464" s="54"/>
      <c r="TEF2464" s="54"/>
      <c r="TEG2464" s="60"/>
      <c r="TEH2464" s="60"/>
      <c r="TEI2464" s="60"/>
      <c r="TEJ2464" s="60"/>
      <c r="TEK2464" s="63"/>
      <c r="TEL2464" s="61"/>
      <c r="TEM2464" s="54"/>
      <c r="TEN2464" s="54"/>
      <c r="TEO2464" s="60"/>
      <c r="TEP2464" s="60"/>
      <c r="TEQ2464" s="60"/>
      <c r="TER2464" s="60"/>
      <c r="TES2464" s="63"/>
      <c r="TET2464" s="61"/>
      <c r="TEU2464" s="54"/>
      <c r="TEV2464" s="54"/>
      <c r="TEW2464" s="60"/>
      <c r="TEX2464" s="60"/>
      <c r="TEY2464" s="60"/>
      <c r="TEZ2464" s="60"/>
      <c r="TFA2464" s="63"/>
      <c r="TFB2464" s="61"/>
      <c r="TFC2464" s="54"/>
      <c r="TFD2464" s="54"/>
      <c r="TFE2464" s="60"/>
      <c r="TFF2464" s="60"/>
      <c r="TFG2464" s="60"/>
      <c r="TFH2464" s="60"/>
      <c r="TFI2464" s="63"/>
      <c r="TFJ2464" s="61"/>
      <c r="TFK2464" s="54"/>
      <c r="TFL2464" s="54"/>
      <c r="TFM2464" s="60"/>
      <c r="TFN2464" s="60"/>
      <c r="TFO2464" s="60"/>
      <c r="TFP2464" s="60"/>
      <c r="TFQ2464" s="63"/>
      <c r="TFR2464" s="61"/>
      <c r="TFS2464" s="54"/>
      <c r="TFT2464" s="54"/>
      <c r="TFU2464" s="60"/>
      <c r="TFV2464" s="60"/>
      <c r="TFW2464" s="60"/>
      <c r="TFX2464" s="60"/>
      <c r="TFY2464" s="63"/>
      <c r="TFZ2464" s="61"/>
      <c r="TGA2464" s="54"/>
      <c r="TGB2464" s="54"/>
      <c r="TGC2464" s="60"/>
      <c r="TGD2464" s="60"/>
      <c r="TGE2464" s="60"/>
      <c r="TGF2464" s="60"/>
      <c r="TGG2464" s="63"/>
      <c r="TGH2464" s="61"/>
      <c r="TGI2464" s="54"/>
      <c r="TGJ2464" s="54"/>
      <c r="TGK2464" s="60"/>
      <c r="TGL2464" s="60"/>
      <c r="TGM2464" s="60"/>
      <c r="TGN2464" s="60"/>
      <c r="TGO2464" s="63"/>
      <c r="TGP2464" s="61"/>
      <c r="TGQ2464" s="54"/>
      <c r="TGR2464" s="54"/>
      <c r="TGS2464" s="60"/>
      <c r="TGT2464" s="60"/>
      <c r="TGU2464" s="60"/>
      <c r="TGV2464" s="60"/>
      <c r="TGW2464" s="63"/>
      <c r="TGX2464" s="61"/>
      <c r="TGY2464" s="54"/>
      <c r="TGZ2464" s="54"/>
      <c r="THA2464" s="60"/>
      <c r="THB2464" s="60"/>
      <c r="THC2464" s="60"/>
      <c r="THD2464" s="60"/>
      <c r="THE2464" s="63"/>
      <c r="THF2464" s="61"/>
      <c r="THG2464" s="54"/>
      <c r="THH2464" s="54"/>
      <c r="THI2464" s="60"/>
      <c r="THJ2464" s="60"/>
      <c r="THK2464" s="60"/>
      <c r="THL2464" s="60"/>
      <c r="THM2464" s="63"/>
      <c r="THN2464" s="61"/>
      <c r="THO2464" s="54"/>
      <c r="THP2464" s="54"/>
      <c r="THQ2464" s="60"/>
      <c r="THR2464" s="60"/>
      <c r="THS2464" s="60"/>
      <c r="THT2464" s="60"/>
      <c r="THU2464" s="63"/>
      <c r="THV2464" s="61"/>
      <c r="THW2464" s="54"/>
      <c r="THX2464" s="54"/>
      <c r="THY2464" s="60"/>
      <c r="THZ2464" s="60"/>
      <c r="TIA2464" s="60"/>
      <c r="TIB2464" s="60"/>
      <c r="TIC2464" s="63"/>
      <c r="TID2464" s="61"/>
      <c r="TIE2464" s="54"/>
      <c r="TIF2464" s="54"/>
      <c r="TIG2464" s="60"/>
      <c r="TIH2464" s="60"/>
      <c r="TII2464" s="60"/>
      <c r="TIJ2464" s="60"/>
      <c r="TIK2464" s="63"/>
      <c r="TIL2464" s="61"/>
      <c r="TIM2464" s="54"/>
      <c r="TIN2464" s="54"/>
      <c r="TIO2464" s="60"/>
      <c r="TIP2464" s="60"/>
      <c r="TIQ2464" s="60"/>
      <c r="TIR2464" s="60"/>
      <c r="TIS2464" s="63"/>
      <c r="TIT2464" s="61"/>
      <c r="TIU2464" s="54"/>
      <c r="TIV2464" s="54"/>
      <c r="TIW2464" s="60"/>
      <c r="TIX2464" s="60"/>
      <c r="TIY2464" s="60"/>
      <c r="TIZ2464" s="60"/>
      <c r="TJA2464" s="63"/>
      <c r="TJB2464" s="61"/>
      <c r="TJC2464" s="54"/>
      <c r="TJD2464" s="54"/>
      <c r="TJE2464" s="60"/>
      <c r="TJF2464" s="60"/>
      <c r="TJG2464" s="60"/>
      <c r="TJH2464" s="60"/>
      <c r="TJI2464" s="63"/>
      <c r="TJJ2464" s="61"/>
      <c r="TJK2464" s="54"/>
      <c r="TJL2464" s="54"/>
      <c r="TJM2464" s="60"/>
      <c r="TJN2464" s="60"/>
      <c r="TJO2464" s="60"/>
      <c r="TJP2464" s="60"/>
      <c r="TJQ2464" s="63"/>
      <c r="TJR2464" s="61"/>
      <c r="TJS2464" s="54"/>
      <c r="TJT2464" s="54"/>
      <c r="TJU2464" s="60"/>
      <c r="TJV2464" s="60"/>
      <c r="TJW2464" s="60"/>
      <c r="TJX2464" s="60"/>
      <c r="TJY2464" s="63"/>
      <c r="TJZ2464" s="61"/>
      <c r="TKA2464" s="54"/>
      <c r="TKB2464" s="54"/>
      <c r="TKC2464" s="60"/>
      <c r="TKD2464" s="60"/>
      <c r="TKE2464" s="60"/>
      <c r="TKF2464" s="60"/>
      <c r="TKG2464" s="63"/>
      <c r="TKH2464" s="61"/>
      <c r="TKI2464" s="54"/>
      <c r="TKJ2464" s="54"/>
      <c r="TKK2464" s="60"/>
      <c r="TKL2464" s="60"/>
      <c r="TKM2464" s="60"/>
      <c r="TKN2464" s="60"/>
      <c r="TKO2464" s="63"/>
      <c r="TKP2464" s="61"/>
      <c r="TKQ2464" s="54"/>
      <c r="TKR2464" s="54"/>
      <c r="TKS2464" s="60"/>
      <c r="TKT2464" s="60"/>
      <c r="TKU2464" s="60"/>
      <c r="TKV2464" s="60"/>
      <c r="TKW2464" s="63"/>
      <c r="TKX2464" s="61"/>
      <c r="TKY2464" s="54"/>
      <c r="TKZ2464" s="54"/>
      <c r="TLA2464" s="60"/>
      <c r="TLB2464" s="60"/>
      <c r="TLC2464" s="60"/>
      <c r="TLD2464" s="60"/>
      <c r="TLE2464" s="63"/>
      <c r="TLF2464" s="61"/>
      <c r="TLG2464" s="54"/>
      <c r="TLH2464" s="54"/>
      <c r="TLI2464" s="60"/>
      <c r="TLJ2464" s="60"/>
      <c r="TLK2464" s="60"/>
      <c r="TLL2464" s="60"/>
      <c r="TLM2464" s="63"/>
      <c r="TLN2464" s="61"/>
      <c r="TLO2464" s="54"/>
      <c r="TLP2464" s="54"/>
      <c r="TLQ2464" s="60"/>
      <c r="TLR2464" s="60"/>
      <c r="TLS2464" s="60"/>
      <c r="TLT2464" s="60"/>
      <c r="TLU2464" s="63"/>
      <c r="TLV2464" s="61"/>
      <c r="TLW2464" s="54"/>
      <c r="TLX2464" s="54"/>
      <c r="TLY2464" s="60"/>
      <c r="TLZ2464" s="60"/>
      <c r="TMA2464" s="60"/>
      <c r="TMB2464" s="60"/>
      <c r="TMC2464" s="63"/>
      <c r="TMD2464" s="61"/>
      <c r="TME2464" s="54"/>
      <c r="TMF2464" s="54"/>
      <c r="TMG2464" s="60"/>
      <c r="TMH2464" s="60"/>
      <c r="TMI2464" s="60"/>
      <c r="TMJ2464" s="60"/>
      <c r="TMK2464" s="63"/>
      <c r="TML2464" s="61"/>
      <c r="TMM2464" s="54"/>
      <c r="TMN2464" s="54"/>
      <c r="TMO2464" s="60"/>
      <c r="TMP2464" s="60"/>
      <c r="TMQ2464" s="60"/>
      <c r="TMR2464" s="60"/>
      <c r="TMS2464" s="63"/>
      <c r="TMT2464" s="61"/>
      <c r="TMU2464" s="54"/>
      <c r="TMV2464" s="54"/>
      <c r="TMW2464" s="60"/>
      <c r="TMX2464" s="60"/>
      <c r="TMY2464" s="60"/>
      <c r="TMZ2464" s="60"/>
      <c r="TNA2464" s="63"/>
      <c r="TNB2464" s="61"/>
      <c r="TNC2464" s="54"/>
      <c r="TND2464" s="54"/>
      <c r="TNE2464" s="60"/>
      <c r="TNF2464" s="60"/>
      <c r="TNG2464" s="60"/>
      <c r="TNH2464" s="60"/>
      <c r="TNI2464" s="63"/>
      <c r="TNJ2464" s="61"/>
      <c r="TNK2464" s="54"/>
      <c r="TNL2464" s="54"/>
      <c r="TNM2464" s="60"/>
      <c r="TNN2464" s="60"/>
      <c r="TNO2464" s="60"/>
      <c r="TNP2464" s="60"/>
      <c r="TNQ2464" s="63"/>
      <c r="TNR2464" s="61"/>
      <c r="TNS2464" s="54"/>
      <c r="TNT2464" s="54"/>
      <c r="TNU2464" s="60"/>
      <c r="TNV2464" s="60"/>
      <c r="TNW2464" s="60"/>
      <c r="TNX2464" s="60"/>
      <c r="TNY2464" s="63"/>
      <c r="TNZ2464" s="61"/>
      <c r="TOA2464" s="54"/>
      <c r="TOB2464" s="54"/>
      <c r="TOC2464" s="60"/>
      <c r="TOD2464" s="60"/>
      <c r="TOE2464" s="60"/>
      <c r="TOF2464" s="60"/>
      <c r="TOG2464" s="63"/>
      <c r="TOH2464" s="61"/>
      <c r="TOI2464" s="54"/>
      <c r="TOJ2464" s="54"/>
      <c r="TOK2464" s="60"/>
      <c r="TOL2464" s="60"/>
      <c r="TOM2464" s="60"/>
      <c r="TON2464" s="60"/>
      <c r="TOO2464" s="63"/>
      <c r="TOP2464" s="61"/>
      <c r="TOQ2464" s="54"/>
      <c r="TOR2464" s="54"/>
      <c r="TOS2464" s="60"/>
      <c r="TOT2464" s="60"/>
      <c r="TOU2464" s="60"/>
      <c r="TOV2464" s="60"/>
      <c r="TOW2464" s="63"/>
      <c r="TOX2464" s="61"/>
      <c r="TOY2464" s="54"/>
      <c r="TOZ2464" s="54"/>
      <c r="TPA2464" s="60"/>
      <c r="TPB2464" s="60"/>
      <c r="TPC2464" s="60"/>
      <c r="TPD2464" s="60"/>
      <c r="TPE2464" s="63"/>
      <c r="TPF2464" s="61"/>
      <c r="TPG2464" s="54"/>
      <c r="TPH2464" s="54"/>
      <c r="TPI2464" s="60"/>
      <c r="TPJ2464" s="60"/>
      <c r="TPK2464" s="60"/>
      <c r="TPL2464" s="60"/>
      <c r="TPM2464" s="63"/>
      <c r="TPN2464" s="61"/>
      <c r="TPO2464" s="54"/>
      <c r="TPP2464" s="54"/>
      <c r="TPQ2464" s="60"/>
      <c r="TPR2464" s="60"/>
      <c r="TPS2464" s="60"/>
      <c r="TPT2464" s="60"/>
      <c r="TPU2464" s="63"/>
      <c r="TPV2464" s="61"/>
      <c r="TPW2464" s="54"/>
      <c r="TPX2464" s="54"/>
      <c r="TPY2464" s="60"/>
      <c r="TPZ2464" s="60"/>
      <c r="TQA2464" s="60"/>
      <c r="TQB2464" s="60"/>
      <c r="TQC2464" s="63"/>
      <c r="TQD2464" s="61"/>
      <c r="TQE2464" s="54"/>
      <c r="TQF2464" s="54"/>
      <c r="TQG2464" s="60"/>
      <c r="TQH2464" s="60"/>
      <c r="TQI2464" s="60"/>
      <c r="TQJ2464" s="60"/>
      <c r="TQK2464" s="63"/>
      <c r="TQL2464" s="61"/>
      <c r="TQM2464" s="54"/>
      <c r="TQN2464" s="54"/>
      <c r="TQO2464" s="60"/>
      <c r="TQP2464" s="60"/>
      <c r="TQQ2464" s="60"/>
      <c r="TQR2464" s="60"/>
      <c r="TQS2464" s="63"/>
      <c r="TQT2464" s="61"/>
      <c r="TQU2464" s="54"/>
      <c r="TQV2464" s="54"/>
      <c r="TQW2464" s="60"/>
      <c r="TQX2464" s="60"/>
      <c r="TQY2464" s="60"/>
      <c r="TQZ2464" s="60"/>
      <c r="TRA2464" s="63"/>
      <c r="TRB2464" s="61"/>
      <c r="TRC2464" s="54"/>
      <c r="TRD2464" s="54"/>
      <c r="TRE2464" s="60"/>
      <c r="TRF2464" s="60"/>
      <c r="TRG2464" s="60"/>
      <c r="TRH2464" s="60"/>
      <c r="TRI2464" s="63"/>
      <c r="TRJ2464" s="61"/>
      <c r="TRK2464" s="54"/>
      <c r="TRL2464" s="54"/>
      <c r="TRM2464" s="60"/>
      <c r="TRN2464" s="60"/>
      <c r="TRO2464" s="60"/>
      <c r="TRP2464" s="60"/>
      <c r="TRQ2464" s="63"/>
      <c r="TRR2464" s="61"/>
      <c r="TRS2464" s="54"/>
      <c r="TRT2464" s="54"/>
      <c r="TRU2464" s="60"/>
      <c r="TRV2464" s="60"/>
      <c r="TRW2464" s="60"/>
      <c r="TRX2464" s="60"/>
      <c r="TRY2464" s="63"/>
      <c r="TRZ2464" s="61"/>
      <c r="TSA2464" s="54"/>
      <c r="TSB2464" s="54"/>
      <c r="TSC2464" s="60"/>
      <c r="TSD2464" s="60"/>
      <c r="TSE2464" s="60"/>
      <c r="TSF2464" s="60"/>
      <c r="TSG2464" s="63"/>
      <c r="TSH2464" s="61"/>
      <c r="TSI2464" s="54"/>
      <c r="TSJ2464" s="54"/>
      <c r="TSK2464" s="60"/>
      <c r="TSL2464" s="60"/>
      <c r="TSM2464" s="60"/>
      <c r="TSN2464" s="60"/>
      <c r="TSO2464" s="63"/>
      <c r="TSP2464" s="61"/>
      <c r="TSQ2464" s="54"/>
      <c r="TSR2464" s="54"/>
      <c r="TSS2464" s="60"/>
      <c r="TST2464" s="60"/>
      <c r="TSU2464" s="60"/>
      <c r="TSV2464" s="60"/>
      <c r="TSW2464" s="63"/>
      <c r="TSX2464" s="61"/>
      <c r="TSY2464" s="54"/>
      <c r="TSZ2464" s="54"/>
      <c r="TTA2464" s="60"/>
      <c r="TTB2464" s="60"/>
      <c r="TTC2464" s="60"/>
      <c r="TTD2464" s="60"/>
      <c r="TTE2464" s="63"/>
      <c r="TTF2464" s="61"/>
      <c r="TTG2464" s="54"/>
      <c r="TTH2464" s="54"/>
      <c r="TTI2464" s="60"/>
      <c r="TTJ2464" s="60"/>
      <c r="TTK2464" s="60"/>
      <c r="TTL2464" s="60"/>
      <c r="TTM2464" s="63"/>
      <c r="TTN2464" s="61"/>
      <c r="TTO2464" s="54"/>
      <c r="TTP2464" s="54"/>
      <c r="TTQ2464" s="60"/>
      <c r="TTR2464" s="60"/>
      <c r="TTS2464" s="60"/>
      <c r="TTT2464" s="60"/>
      <c r="TTU2464" s="63"/>
      <c r="TTV2464" s="61"/>
      <c r="TTW2464" s="54"/>
      <c r="TTX2464" s="54"/>
      <c r="TTY2464" s="60"/>
      <c r="TTZ2464" s="60"/>
      <c r="TUA2464" s="60"/>
      <c r="TUB2464" s="60"/>
      <c r="TUC2464" s="63"/>
      <c r="TUD2464" s="61"/>
      <c r="TUE2464" s="54"/>
      <c r="TUF2464" s="54"/>
      <c r="TUG2464" s="60"/>
      <c r="TUH2464" s="60"/>
      <c r="TUI2464" s="60"/>
      <c r="TUJ2464" s="60"/>
      <c r="TUK2464" s="63"/>
      <c r="TUL2464" s="61"/>
      <c r="TUM2464" s="54"/>
      <c r="TUN2464" s="54"/>
      <c r="TUO2464" s="60"/>
      <c r="TUP2464" s="60"/>
      <c r="TUQ2464" s="60"/>
      <c r="TUR2464" s="60"/>
      <c r="TUS2464" s="63"/>
      <c r="TUT2464" s="61"/>
      <c r="TUU2464" s="54"/>
      <c r="TUV2464" s="54"/>
      <c r="TUW2464" s="60"/>
      <c r="TUX2464" s="60"/>
      <c r="TUY2464" s="60"/>
      <c r="TUZ2464" s="60"/>
      <c r="TVA2464" s="63"/>
      <c r="TVB2464" s="61"/>
      <c r="TVC2464" s="54"/>
      <c r="TVD2464" s="54"/>
      <c r="TVE2464" s="60"/>
      <c r="TVF2464" s="60"/>
      <c r="TVG2464" s="60"/>
      <c r="TVH2464" s="60"/>
      <c r="TVI2464" s="63"/>
      <c r="TVJ2464" s="61"/>
      <c r="TVK2464" s="54"/>
      <c r="TVL2464" s="54"/>
      <c r="TVM2464" s="60"/>
      <c r="TVN2464" s="60"/>
      <c r="TVO2464" s="60"/>
      <c r="TVP2464" s="60"/>
      <c r="TVQ2464" s="63"/>
      <c r="TVR2464" s="61"/>
      <c r="TVS2464" s="54"/>
      <c r="TVT2464" s="54"/>
      <c r="TVU2464" s="60"/>
      <c r="TVV2464" s="60"/>
      <c r="TVW2464" s="60"/>
      <c r="TVX2464" s="60"/>
      <c r="TVY2464" s="63"/>
      <c r="TVZ2464" s="61"/>
      <c r="TWA2464" s="54"/>
      <c r="TWB2464" s="54"/>
      <c r="TWC2464" s="60"/>
      <c r="TWD2464" s="60"/>
      <c r="TWE2464" s="60"/>
      <c r="TWF2464" s="60"/>
      <c r="TWG2464" s="63"/>
      <c r="TWH2464" s="61"/>
      <c r="TWI2464" s="54"/>
      <c r="TWJ2464" s="54"/>
      <c r="TWK2464" s="60"/>
      <c r="TWL2464" s="60"/>
      <c r="TWM2464" s="60"/>
      <c r="TWN2464" s="60"/>
      <c r="TWO2464" s="63"/>
      <c r="TWP2464" s="61"/>
      <c r="TWQ2464" s="54"/>
      <c r="TWR2464" s="54"/>
      <c r="TWS2464" s="60"/>
      <c r="TWT2464" s="60"/>
      <c r="TWU2464" s="60"/>
      <c r="TWV2464" s="60"/>
      <c r="TWW2464" s="63"/>
      <c r="TWX2464" s="61"/>
      <c r="TWY2464" s="54"/>
      <c r="TWZ2464" s="54"/>
      <c r="TXA2464" s="60"/>
      <c r="TXB2464" s="60"/>
      <c r="TXC2464" s="60"/>
      <c r="TXD2464" s="60"/>
      <c r="TXE2464" s="63"/>
      <c r="TXF2464" s="61"/>
      <c r="TXG2464" s="54"/>
      <c r="TXH2464" s="54"/>
      <c r="TXI2464" s="60"/>
      <c r="TXJ2464" s="60"/>
      <c r="TXK2464" s="60"/>
      <c r="TXL2464" s="60"/>
      <c r="TXM2464" s="63"/>
      <c r="TXN2464" s="61"/>
      <c r="TXO2464" s="54"/>
      <c r="TXP2464" s="54"/>
      <c r="TXQ2464" s="60"/>
      <c r="TXR2464" s="60"/>
      <c r="TXS2464" s="60"/>
      <c r="TXT2464" s="60"/>
      <c r="TXU2464" s="63"/>
      <c r="TXV2464" s="61"/>
      <c r="TXW2464" s="54"/>
      <c r="TXX2464" s="54"/>
      <c r="TXY2464" s="60"/>
      <c r="TXZ2464" s="60"/>
      <c r="TYA2464" s="60"/>
      <c r="TYB2464" s="60"/>
      <c r="TYC2464" s="63"/>
      <c r="TYD2464" s="61"/>
      <c r="TYE2464" s="54"/>
      <c r="TYF2464" s="54"/>
      <c r="TYG2464" s="60"/>
      <c r="TYH2464" s="60"/>
      <c r="TYI2464" s="60"/>
      <c r="TYJ2464" s="60"/>
      <c r="TYK2464" s="63"/>
      <c r="TYL2464" s="61"/>
      <c r="TYM2464" s="54"/>
      <c r="TYN2464" s="54"/>
      <c r="TYO2464" s="60"/>
      <c r="TYP2464" s="60"/>
      <c r="TYQ2464" s="60"/>
      <c r="TYR2464" s="60"/>
      <c r="TYS2464" s="63"/>
      <c r="TYT2464" s="61"/>
      <c r="TYU2464" s="54"/>
      <c r="TYV2464" s="54"/>
      <c r="TYW2464" s="60"/>
      <c r="TYX2464" s="60"/>
      <c r="TYY2464" s="60"/>
      <c r="TYZ2464" s="60"/>
      <c r="TZA2464" s="63"/>
      <c r="TZB2464" s="61"/>
      <c r="TZC2464" s="54"/>
      <c r="TZD2464" s="54"/>
      <c r="TZE2464" s="60"/>
      <c r="TZF2464" s="60"/>
      <c r="TZG2464" s="60"/>
      <c r="TZH2464" s="60"/>
      <c r="TZI2464" s="63"/>
      <c r="TZJ2464" s="61"/>
      <c r="TZK2464" s="54"/>
      <c r="TZL2464" s="54"/>
      <c r="TZM2464" s="60"/>
      <c r="TZN2464" s="60"/>
      <c r="TZO2464" s="60"/>
      <c r="TZP2464" s="60"/>
      <c r="TZQ2464" s="63"/>
      <c r="TZR2464" s="61"/>
      <c r="TZS2464" s="54"/>
      <c r="TZT2464" s="54"/>
      <c r="TZU2464" s="60"/>
      <c r="TZV2464" s="60"/>
      <c r="TZW2464" s="60"/>
      <c r="TZX2464" s="60"/>
      <c r="TZY2464" s="63"/>
      <c r="TZZ2464" s="61"/>
      <c r="UAA2464" s="54"/>
      <c r="UAB2464" s="54"/>
      <c r="UAC2464" s="60"/>
      <c r="UAD2464" s="60"/>
      <c r="UAE2464" s="60"/>
      <c r="UAF2464" s="60"/>
      <c r="UAG2464" s="63"/>
      <c r="UAH2464" s="61"/>
      <c r="UAI2464" s="54"/>
      <c r="UAJ2464" s="54"/>
      <c r="UAK2464" s="60"/>
      <c r="UAL2464" s="60"/>
      <c r="UAM2464" s="60"/>
      <c r="UAN2464" s="60"/>
      <c r="UAO2464" s="63"/>
      <c r="UAP2464" s="61"/>
      <c r="UAQ2464" s="54"/>
      <c r="UAR2464" s="54"/>
      <c r="UAS2464" s="60"/>
      <c r="UAT2464" s="60"/>
      <c r="UAU2464" s="60"/>
      <c r="UAV2464" s="60"/>
      <c r="UAW2464" s="63"/>
      <c r="UAX2464" s="61"/>
      <c r="UAY2464" s="54"/>
      <c r="UAZ2464" s="54"/>
      <c r="UBA2464" s="60"/>
      <c r="UBB2464" s="60"/>
      <c r="UBC2464" s="60"/>
      <c r="UBD2464" s="60"/>
      <c r="UBE2464" s="63"/>
      <c r="UBF2464" s="61"/>
      <c r="UBG2464" s="54"/>
      <c r="UBH2464" s="54"/>
      <c r="UBI2464" s="60"/>
      <c r="UBJ2464" s="60"/>
      <c r="UBK2464" s="60"/>
      <c r="UBL2464" s="60"/>
      <c r="UBM2464" s="63"/>
      <c r="UBN2464" s="61"/>
      <c r="UBO2464" s="54"/>
      <c r="UBP2464" s="54"/>
      <c r="UBQ2464" s="60"/>
      <c r="UBR2464" s="60"/>
      <c r="UBS2464" s="60"/>
      <c r="UBT2464" s="60"/>
      <c r="UBU2464" s="63"/>
      <c r="UBV2464" s="61"/>
      <c r="UBW2464" s="54"/>
      <c r="UBX2464" s="54"/>
      <c r="UBY2464" s="60"/>
      <c r="UBZ2464" s="60"/>
      <c r="UCA2464" s="60"/>
      <c r="UCB2464" s="60"/>
      <c r="UCC2464" s="63"/>
      <c r="UCD2464" s="61"/>
      <c r="UCE2464" s="54"/>
      <c r="UCF2464" s="54"/>
      <c r="UCG2464" s="60"/>
      <c r="UCH2464" s="60"/>
      <c r="UCI2464" s="60"/>
      <c r="UCJ2464" s="60"/>
      <c r="UCK2464" s="63"/>
      <c r="UCL2464" s="61"/>
      <c r="UCM2464" s="54"/>
      <c r="UCN2464" s="54"/>
      <c r="UCO2464" s="60"/>
      <c r="UCP2464" s="60"/>
      <c r="UCQ2464" s="60"/>
      <c r="UCR2464" s="60"/>
      <c r="UCS2464" s="63"/>
      <c r="UCT2464" s="61"/>
      <c r="UCU2464" s="54"/>
      <c r="UCV2464" s="54"/>
      <c r="UCW2464" s="60"/>
      <c r="UCX2464" s="60"/>
      <c r="UCY2464" s="60"/>
      <c r="UCZ2464" s="60"/>
      <c r="UDA2464" s="63"/>
      <c r="UDB2464" s="61"/>
      <c r="UDC2464" s="54"/>
      <c r="UDD2464" s="54"/>
      <c r="UDE2464" s="60"/>
      <c r="UDF2464" s="60"/>
      <c r="UDG2464" s="60"/>
      <c r="UDH2464" s="60"/>
      <c r="UDI2464" s="63"/>
      <c r="UDJ2464" s="61"/>
      <c r="UDK2464" s="54"/>
      <c r="UDL2464" s="54"/>
      <c r="UDM2464" s="60"/>
      <c r="UDN2464" s="60"/>
      <c r="UDO2464" s="60"/>
      <c r="UDP2464" s="60"/>
      <c r="UDQ2464" s="63"/>
      <c r="UDR2464" s="61"/>
      <c r="UDS2464" s="54"/>
      <c r="UDT2464" s="54"/>
      <c r="UDU2464" s="60"/>
      <c r="UDV2464" s="60"/>
      <c r="UDW2464" s="60"/>
      <c r="UDX2464" s="60"/>
      <c r="UDY2464" s="63"/>
      <c r="UDZ2464" s="61"/>
      <c r="UEA2464" s="54"/>
      <c r="UEB2464" s="54"/>
      <c r="UEC2464" s="60"/>
      <c r="UED2464" s="60"/>
      <c r="UEE2464" s="60"/>
      <c r="UEF2464" s="60"/>
      <c r="UEG2464" s="63"/>
      <c r="UEH2464" s="61"/>
      <c r="UEI2464" s="54"/>
      <c r="UEJ2464" s="54"/>
      <c r="UEK2464" s="60"/>
      <c r="UEL2464" s="60"/>
      <c r="UEM2464" s="60"/>
      <c r="UEN2464" s="60"/>
      <c r="UEO2464" s="63"/>
      <c r="UEP2464" s="61"/>
      <c r="UEQ2464" s="54"/>
      <c r="UER2464" s="54"/>
      <c r="UES2464" s="60"/>
      <c r="UET2464" s="60"/>
      <c r="UEU2464" s="60"/>
      <c r="UEV2464" s="60"/>
      <c r="UEW2464" s="63"/>
      <c r="UEX2464" s="61"/>
      <c r="UEY2464" s="54"/>
      <c r="UEZ2464" s="54"/>
      <c r="UFA2464" s="60"/>
      <c r="UFB2464" s="60"/>
      <c r="UFC2464" s="60"/>
      <c r="UFD2464" s="60"/>
      <c r="UFE2464" s="63"/>
      <c r="UFF2464" s="61"/>
      <c r="UFG2464" s="54"/>
      <c r="UFH2464" s="54"/>
      <c r="UFI2464" s="60"/>
      <c r="UFJ2464" s="60"/>
      <c r="UFK2464" s="60"/>
      <c r="UFL2464" s="60"/>
      <c r="UFM2464" s="63"/>
      <c r="UFN2464" s="61"/>
      <c r="UFO2464" s="54"/>
      <c r="UFP2464" s="54"/>
      <c r="UFQ2464" s="60"/>
      <c r="UFR2464" s="60"/>
      <c r="UFS2464" s="60"/>
      <c r="UFT2464" s="60"/>
      <c r="UFU2464" s="63"/>
      <c r="UFV2464" s="61"/>
      <c r="UFW2464" s="54"/>
      <c r="UFX2464" s="54"/>
      <c r="UFY2464" s="60"/>
      <c r="UFZ2464" s="60"/>
      <c r="UGA2464" s="60"/>
      <c r="UGB2464" s="60"/>
      <c r="UGC2464" s="63"/>
      <c r="UGD2464" s="61"/>
      <c r="UGE2464" s="54"/>
      <c r="UGF2464" s="54"/>
      <c r="UGG2464" s="60"/>
      <c r="UGH2464" s="60"/>
      <c r="UGI2464" s="60"/>
      <c r="UGJ2464" s="60"/>
      <c r="UGK2464" s="63"/>
      <c r="UGL2464" s="61"/>
      <c r="UGM2464" s="54"/>
      <c r="UGN2464" s="54"/>
      <c r="UGO2464" s="60"/>
      <c r="UGP2464" s="60"/>
      <c r="UGQ2464" s="60"/>
      <c r="UGR2464" s="60"/>
      <c r="UGS2464" s="63"/>
      <c r="UGT2464" s="61"/>
      <c r="UGU2464" s="54"/>
      <c r="UGV2464" s="54"/>
      <c r="UGW2464" s="60"/>
      <c r="UGX2464" s="60"/>
      <c r="UGY2464" s="60"/>
      <c r="UGZ2464" s="60"/>
      <c r="UHA2464" s="63"/>
      <c r="UHB2464" s="61"/>
      <c r="UHC2464" s="54"/>
      <c r="UHD2464" s="54"/>
      <c r="UHE2464" s="60"/>
      <c r="UHF2464" s="60"/>
      <c r="UHG2464" s="60"/>
      <c r="UHH2464" s="60"/>
      <c r="UHI2464" s="63"/>
      <c r="UHJ2464" s="61"/>
      <c r="UHK2464" s="54"/>
      <c r="UHL2464" s="54"/>
      <c r="UHM2464" s="60"/>
      <c r="UHN2464" s="60"/>
      <c r="UHO2464" s="60"/>
      <c r="UHP2464" s="60"/>
      <c r="UHQ2464" s="63"/>
      <c r="UHR2464" s="61"/>
      <c r="UHS2464" s="54"/>
      <c r="UHT2464" s="54"/>
      <c r="UHU2464" s="60"/>
      <c r="UHV2464" s="60"/>
      <c r="UHW2464" s="60"/>
      <c r="UHX2464" s="60"/>
      <c r="UHY2464" s="63"/>
      <c r="UHZ2464" s="61"/>
      <c r="UIA2464" s="54"/>
      <c r="UIB2464" s="54"/>
      <c r="UIC2464" s="60"/>
      <c r="UID2464" s="60"/>
      <c r="UIE2464" s="60"/>
      <c r="UIF2464" s="60"/>
      <c r="UIG2464" s="63"/>
      <c r="UIH2464" s="61"/>
      <c r="UII2464" s="54"/>
      <c r="UIJ2464" s="54"/>
      <c r="UIK2464" s="60"/>
      <c r="UIL2464" s="60"/>
      <c r="UIM2464" s="60"/>
      <c r="UIN2464" s="60"/>
      <c r="UIO2464" s="63"/>
      <c r="UIP2464" s="61"/>
      <c r="UIQ2464" s="54"/>
      <c r="UIR2464" s="54"/>
      <c r="UIS2464" s="60"/>
      <c r="UIT2464" s="60"/>
      <c r="UIU2464" s="60"/>
      <c r="UIV2464" s="60"/>
      <c r="UIW2464" s="63"/>
      <c r="UIX2464" s="61"/>
      <c r="UIY2464" s="54"/>
      <c r="UIZ2464" s="54"/>
      <c r="UJA2464" s="60"/>
      <c r="UJB2464" s="60"/>
      <c r="UJC2464" s="60"/>
      <c r="UJD2464" s="60"/>
      <c r="UJE2464" s="63"/>
      <c r="UJF2464" s="61"/>
      <c r="UJG2464" s="54"/>
      <c r="UJH2464" s="54"/>
      <c r="UJI2464" s="60"/>
      <c r="UJJ2464" s="60"/>
      <c r="UJK2464" s="60"/>
      <c r="UJL2464" s="60"/>
      <c r="UJM2464" s="63"/>
      <c r="UJN2464" s="61"/>
      <c r="UJO2464" s="54"/>
      <c r="UJP2464" s="54"/>
      <c r="UJQ2464" s="60"/>
      <c r="UJR2464" s="60"/>
      <c r="UJS2464" s="60"/>
      <c r="UJT2464" s="60"/>
      <c r="UJU2464" s="63"/>
      <c r="UJV2464" s="61"/>
      <c r="UJW2464" s="54"/>
      <c r="UJX2464" s="54"/>
      <c r="UJY2464" s="60"/>
      <c r="UJZ2464" s="60"/>
      <c r="UKA2464" s="60"/>
      <c r="UKB2464" s="60"/>
      <c r="UKC2464" s="63"/>
      <c r="UKD2464" s="61"/>
      <c r="UKE2464" s="54"/>
      <c r="UKF2464" s="54"/>
      <c r="UKG2464" s="60"/>
      <c r="UKH2464" s="60"/>
      <c r="UKI2464" s="60"/>
      <c r="UKJ2464" s="60"/>
      <c r="UKK2464" s="63"/>
      <c r="UKL2464" s="61"/>
      <c r="UKM2464" s="54"/>
      <c r="UKN2464" s="54"/>
      <c r="UKO2464" s="60"/>
      <c r="UKP2464" s="60"/>
      <c r="UKQ2464" s="60"/>
      <c r="UKR2464" s="60"/>
      <c r="UKS2464" s="63"/>
      <c r="UKT2464" s="61"/>
      <c r="UKU2464" s="54"/>
      <c r="UKV2464" s="54"/>
      <c r="UKW2464" s="60"/>
      <c r="UKX2464" s="60"/>
      <c r="UKY2464" s="60"/>
      <c r="UKZ2464" s="60"/>
      <c r="ULA2464" s="63"/>
      <c r="ULB2464" s="61"/>
      <c r="ULC2464" s="54"/>
      <c r="ULD2464" s="54"/>
      <c r="ULE2464" s="60"/>
      <c r="ULF2464" s="60"/>
      <c r="ULG2464" s="60"/>
      <c r="ULH2464" s="60"/>
      <c r="ULI2464" s="63"/>
      <c r="ULJ2464" s="61"/>
      <c r="ULK2464" s="54"/>
      <c r="ULL2464" s="54"/>
      <c r="ULM2464" s="60"/>
      <c r="ULN2464" s="60"/>
      <c r="ULO2464" s="60"/>
      <c r="ULP2464" s="60"/>
      <c r="ULQ2464" s="63"/>
      <c r="ULR2464" s="61"/>
      <c r="ULS2464" s="54"/>
      <c r="ULT2464" s="54"/>
      <c r="ULU2464" s="60"/>
      <c r="ULV2464" s="60"/>
      <c r="ULW2464" s="60"/>
      <c r="ULX2464" s="60"/>
      <c r="ULY2464" s="63"/>
      <c r="ULZ2464" s="61"/>
      <c r="UMA2464" s="54"/>
      <c r="UMB2464" s="54"/>
      <c r="UMC2464" s="60"/>
      <c r="UMD2464" s="60"/>
      <c r="UME2464" s="60"/>
      <c r="UMF2464" s="60"/>
      <c r="UMG2464" s="63"/>
      <c r="UMH2464" s="61"/>
      <c r="UMI2464" s="54"/>
      <c r="UMJ2464" s="54"/>
      <c r="UMK2464" s="60"/>
      <c r="UML2464" s="60"/>
      <c r="UMM2464" s="60"/>
      <c r="UMN2464" s="60"/>
      <c r="UMO2464" s="63"/>
      <c r="UMP2464" s="61"/>
      <c r="UMQ2464" s="54"/>
      <c r="UMR2464" s="54"/>
      <c r="UMS2464" s="60"/>
      <c r="UMT2464" s="60"/>
      <c r="UMU2464" s="60"/>
      <c r="UMV2464" s="60"/>
      <c r="UMW2464" s="63"/>
      <c r="UMX2464" s="61"/>
      <c r="UMY2464" s="54"/>
      <c r="UMZ2464" s="54"/>
      <c r="UNA2464" s="60"/>
      <c r="UNB2464" s="60"/>
      <c r="UNC2464" s="60"/>
      <c r="UND2464" s="60"/>
      <c r="UNE2464" s="63"/>
      <c r="UNF2464" s="61"/>
      <c r="UNG2464" s="54"/>
      <c r="UNH2464" s="54"/>
      <c r="UNI2464" s="60"/>
      <c r="UNJ2464" s="60"/>
      <c r="UNK2464" s="60"/>
      <c r="UNL2464" s="60"/>
      <c r="UNM2464" s="63"/>
      <c r="UNN2464" s="61"/>
      <c r="UNO2464" s="54"/>
      <c r="UNP2464" s="54"/>
      <c r="UNQ2464" s="60"/>
      <c r="UNR2464" s="60"/>
      <c r="UNS2464" s="60"/>
      <c r="UNT2464" s="60"/>
      <c r="UNU2464" s="63"/>
      <c r="UNV2464" s="61"/>
      <c r="UNW2464" s="54"/>
      <c r="UNX2464" s="54"/>
      <c r="UNY2464" s="60"/>
      <c r="UNZ2464" s="60"/>
      <c r="UOA2464" s="60"/>
      <c r="UOB2464" s="60"/>
      <c r="UOC2464" s="63"/>
      <c r="UOD2464" s="61"/>
      <c r="UOE2464" s="54"/>
      <c r="UOF2464" s="54"/>
      <c r="UOG2464" s="60"/>
      <c r="UOH2464" s="60"/>
      <c r="UOI2464" s="60"/>
      <c r="UOJ2464" s="60"/>
      <c r="UOK2464" s="63"/>
      <c r="UOL2464" s="61"/>
      <c r="UOM2464" s="54"/>
      <c r="UON2464" s="54"/>
      <c r="UOO2464" s="60"/>
      <c r="UOP2464" s="60"/>
      <c r="UOQ2464" s="60"/>
      <c r="UOR2464" s="60"/>
      <c r="UOS2464" s="63"/>
      <c r="UOT2464" s="61"/>
      <c r="UOU2464" s="54"/>
      <c r="UOV2464" s="54"/>
      <c r="UOW2464" s="60"/>
      <c r="UOX2464" s="60"/>
      <c r="UOY2464" s="60"/>
      <c r="UOZ2464" s="60"/>
      <c r="UPA2464" s="63"/>
      <c r="UPB2464" s="61"/>
      <c r="UPC2464" s="54"/>
      <c r="UPD2464" s="54"/>
      <c r="UPE2464" s="60"/>
      <c r="UPF2464" s="60"/>
      <c r="UPG2464" s="60"/>
      <c r="UPH2464" s="60"/>
      <c r="UPI2464" s="63"/>
      <c r="UPJ2464" s="61"/>
      <c r="UPK2464" s="54"/>
      <c r="UPL2464" s="54"/>
      <c r="UPM2464" s="60"/>
      <c r="UPN2464" s="60"/>
      <c r="UPO2464" s="60"/>
      <c r="UPP2464" s="60"/>
      <c r="UPQ2464" s="63"/>
      <c r="UPR2464" s="61"/>
      <c r="UPS2464" s="54"/>
      <c r="UPT2464" s="54"/>
      <c r="UPU2464" s="60"/>
      <c r="UPV2464" s="60"/>
      <c r="UPW2464" s="60"/>
      <c r="UPX2464" s="60"/>
      <c r="UPY2464" s="63"/>
      <c r="UPZ2464" s="61"/>
      <c r="UQA2464" s="54"/>
      <c r="UQB2464" s="54"/>
      <c r="UQC2464" s="60"/>
      <c r="UQD2464" s="60"/>
      <c r="UQE2464" s="60"/>
      <c r="UQF2464" s="60"/>
      <c r="UQG2464" s="63"/>
      <c r="UQH2464" s="61"/>
      <c r="UQI2464" s="54"/>
      <c r="UQJ2464" s="54"/>
      <c r="UQK2464" s="60"/>
      <c r="UQL2464" s="60"/>
      <c r="UQM2464" s="60"/>
      <c r="UQN2464" s="60"/>
      <c r="UQO2464" s="63"/>
      <c r="UQP2464" s="61"/>
      <c r="UQQ2464" s="54"/>
      <c r="UQR2464" s="54"/>
      <c r="UQS2464" s="60"/>
      <c r="UQT2464" s="60"/>
      <c r="UQU2464" s="60"/>
      <c r="UQV2464" s="60"/>
      <c r="UQW2464" s="63"/>
      <c r="UQX2464" s="61"/>
      <c r="UQY2464" s="54"/>
      <c r="UQZ2464" s="54"/>
      <c r="URA2464" s="60"/>
      <c r="URB2464" s="60"/>
      <c r="URC2464" s="60"/>
      <c r="URD2464" s="60"/>
      <c r="URE2464" s="63"/>
      <c r="URF2464" s="61"/>
      <c r="URG2464" s="54"/>
      <c r="URH2464" s="54"/>
      <c r="URI2464" s="60"/>
      <c r="URJ2464" s="60"/>
      <c r="URK2464" s="60"/>
      <c r="URL2464" s="60"/>
      <c r="URM2464" s="63"/>
      <c r="URN2464" s="61"/>
      <c r="URO2464" s="54"/>
      <c r="URP2464" s="54"/>
      <c r="URQ2464" s="60"/>
      <c r="URR2464" s="60"/>
      <c r="URS2464" s="60"/>
      <c r="URT2464" s="60"/>
      <c r="URU2464" s="63"/>
      <c r="URV2464" s="61"/>
      <c r="URW2464" s="54"/>
      <c r="URX2464" s="54"/>
      <c r="URY2464" s="60"/>
      <c r="URZ2464" s="60"/>
      <c r="USA2464" s="60"/>
      <c r="USB2464" s="60"/>
      <c r="USC2464" s="63"/>
      <c r="USD2464" s="61"/>
      <c r="USE2464" s="54"/>
      <c r="USF2464" s="54"/>
      <c r="USG2464" s="60"/>
      <c r="USH2464" s="60"/>
      <c r="USI2464" s="60"/>
      <c r="USJ2464" s="60"/>
      <c r="USK2464" s="63"/>
      <c r="USL2464" s="61"/>
      <c r="USM2464" s="54"/>
      <c r="USN2464" s="54"/>
      <c r="USO2464" s="60"/>
      <c r="USP2464" s="60"/>
      <c r="USQ2464" s="60"/>
      <c r="USR2464" s="60"/>
      <c r="USS2464" s="63"/>
      <c r="UST2464" s="61"/>
      <c r="USU2464" s="54"/>
      <c r="USV2464" s="54"/>
      <c r="USW2464" s="60"/>
      <c r="USX2464" s="60"/>
      <c r="USY2464" s="60"/>
      <c r="USZ2464" s="60"/>
      <c r="UTA2464" s="63"/>
      <c r="UTB2464" s="61"/>
      <c r="UTC2464" s="54"/>
      <c r="UTD2464" s="54"/>
      <c r="UTE2464" s="60"/>
      <c r="UTF2464" s="60"/>
      <c r="UTG2464" s="60"/>
      <c r="UTH2464" s="60"/>
      <c r="UTI2464" s="63"/>
      <c r="UTJ2464" s="61"/>
      <c r="UTK2464" s="54"/>
      <c r="UTL2464" s="54"/>
      <c r="UTM2464" s="60"/>
      <c r="UTN2464" s="60"/>
      <c r="UTO2464" s="60"/>
      <c r="UTP2464" s="60"/>
      <c r="UTQ2464" s="63"/>
      <c r="UTR2464" s="61"/>
      <c r="UTS2464" s="54"/>
      <c r="UTT2464" s="54"/>
      <c r="UTU2464" s="60"/>
      <c r="UTV2464" s="60"/>
      <c r="UTW2464" s="60"/>
      <c r="UTX2464" s="60"/>
      <c r="UTY2464" s="63"/>
      <c r="UTZ2464" s="61"/>
      <c r="UUA2464" s="54"/>
      <c r="UUB2464" s="54"/>
      <c r="UUC2464" s="60"/>
      <c r="UUD2464" s="60"/>
      <c r="UUE2464" s="60"/>
      <c r="UUF2464" s="60"/>
      <c r="UUG2464" s="63"/>
      <c r="UUH2464" s="61"/>
      <c r="UUI2464" s="54"/>
      <c r="UUJ2464" s="54"/>
      <c r="UUK2464" s="60"/>
      <c r="UUL2464" s="60"/>
      <c r="UUM2464" s="60"/>
      <c r="UUN2464" s="60"/>
      <c r="UUO2464" s="63"/>
      <c r="UUP2464" s="61"/>
      <c r="UUQ2464" s="54"/>
      <c r="UUR2464" s="54"/>
      <c r="UUS2464" s="60"/>
      <c r="UUT2464" s="60"/>
      <c r="UUU2464" s="60"/>
      <c r="UUV2464" s="60"/>
      <c r="UUW2464" s="63"/>
      <c r="UUX2464" s="61"/>
      <c r="UUY2464" s="54"/>
      <c r="UUZ2464" s="54"/>
      <c r="UVA2464" s="60"/>
      <c r="UVB2464" s="60"/>
      <c r="UVC2464" s="60"/>
      <c r="UVD2464" s="60"/>
      <c r="UVE2464" s="63"/>
      <c r="UVF2464" s="61"/>
      <c r="UVG2464" s="54"/>
      <c r="UVH2464" s="54"/>
      <c r="UVI2464" s="60"/>
      <c r="UVJ2464" s="60"/>
      <c r="UVK2464" s="60"/>
      <c r="UVL2464" s="60"/>
      <c r="UVM2464" s="63"/>
      <c r="UVN2464" s="61"/>
      <c r="UVO2464" s="54"/>
      <c r="UVP2464" s="54"/>
      <c r="UVQ2464" s="60"/>
      <c r="UVR2464" s="60"/>
      <c r="UVS2464" s="60"/>
      <c r="UVT2464" s="60"/>
      <c r="UVU2464" s="63"/>
      <c r="UVV2464" s="61"/>
      <c r="UVW2464" s="54"/>
      <c r="UVX2464" s="54"/>
      <c r="UVY2464" s="60"/>
      <c r="UVZ2464" s="60"/>
      <c r="UWA2464" s="60"/>
      <c r="UWB2464" s="60"/>
      <c r="UWC2464" s="63"/>
      <c r="UWD2464" s="61"/>
      <c r="UWE2464" s="54"/>
      <c r="UWF2464" s="54"/>
      <c r="UWG2464" s="60"/>
      <c r="UWH2464" s="60"/>
      <c r="UWI2464" s="60"/>
      <c r="UWJ2464" s="60"/>
      <c r="UWK2464" s="63"/>
      <c r="UWL2464" s="61"/>
      <c r="UWM2464" s="54"/>
      <c r="UWN2464" s="54"/>
      <c r="UWO2464" s="60"/>
      <c r="UWP2464" s="60"/>
      <c r="UWQ2464" s="60"/>
      <c r="UWR2464" s="60"/>
      <c r="UWS2464" s="63"/>
      <c r="UWT2464" s="61"/>
      <c r="UWU2464" s="54"/>
      <c r="UWV2464" s="54"/>
      <c r="UWW2464" s="60"/>
      <c r="UWX2464" s="60"/>
      <c r="UWY2464" s="60"/>
      <c r="UWZ2464" s="60"/>
      <c r="UXA2464" s="63"/>
      <c r="UXB2464" s="61"/>
      <c r="UXC2464" s="54"/>
      <c r="UXD2464" s="54"/>
      <c r="UXE2464" s="60"/>
      <c r="UXF2464" s="60"/>
      <c r="UXG2464" s="60"/>
      <c r="UXH2464" s="60"/>
      <c r="UXI2464" s="63"/>
      <c r="UXJ2464" s="61"/>
      <c r="UXK2464" s="54"/>
      <c r="UXL2464" s="54"/>
      <c r="UXM2464" s="60"/>
      <c r="UXN2464" s="60"/>
      <c r="UXO2464" s="60"/>
      <c r="UXP2464" s="60"/>
      <c r="UXQ2464" s="63"/>
      <c r="UXR2464" s="61"/>
      <c r="UXS2464" s="54"/>
      <c r="UXT2464" s="54"/>
      <c r="UXU2464" s="60"/>
      <c r="UXV2464" s="60"/>
      <c r="UXW2464" s="60"/>
      <c r="UXX2464" s="60"/>
      <c r="UXY2464" s="63"/>
      <c r="UXZ2464" s="61"/>
      <c r="UYA2464" s="54"/>
      <c r="UYB2464" s="54"/>
      <c r="UYC2464" s="60"/>
      <c r="UYD2464" s="60"/>
      <c r="UYE2464" s="60"/>
      <c r="UYF2464" s="60"/>
      <c r="UYG2464" s="63"/>
      <c r="UYH2464" s="61"/>
      <c r="UYI2464" s="54"/>
      <c r="UYJ2464" s="54"/>
      <c r="UYK2464" s="60"/>
      <c r="UYL2464" s="60"/>
      <c r="UYM2464" s="60"/>
      <c r="UYN2464" s="60"/>
      <c r="UYO2464" s="63"/>
      <c r="UYP2464" s="61"/>
      <c r="UYQ2464" s="54"/>
      <c r="UYR2464" s="54"/>
      <c r="UYS2464" s="60"/>
      <c r="UYT2464" s="60"/>
      <c r="UYU2464" s="60"/>
      <c r="UYV2464" s="60"/>
      <c r="UYW2464" s="63"/>
      <c r="UYX2464" s="61"/>
      <c r="UYY2464" s="54"/>
      <c r="UYZ2464" s="54"/>
      <c r="UZA2464" s="60"/>
      <c r="UZB2464" s="60"/>
      <c r="UZC2464" s="60"/>
      <c r="UZD2464" s="60"/>
      <c r="UZE2464" s="63"/>
      <c r="UZF2464" s="61"/>
      <c r="UZG2464" s="54"/>
      <c r="UZH2464" s="54"/>
      <c r="UZI2464" s="60"/>
      <c r="UZJ2464" s="60"/>
      <c r="UZK2464" s="60"/>
      <c r="UZL2464" s="60"/>
      <c r="UZM2464" s="63"/>
      <c r="UZN2464" s="61"/>
      <c r="UZO2464" s="54"/>
      <c r="UZP2464" s="54"/>
      <c r="UZQ2464" s="60"/>
      <c r="UZR2464" s="60"/>
      <c r="UZS2464" s="60"/>
      <c r="UZT2464" s="60"/>
      <c r="UZU2464" s="63"/>
      <c r="UZV2464" s="61"/>
      <c r="UZW2464" s="54"/>
      <c r="UZX2464" s="54"/>
      <c r="UZY2464" s="60"/>
      <c r="UZZ2464" s="60"/>
      <c r="VAA2464" s="60"/>
      <c r="VAB2464" s="60"/>
      <c r="VAC2464" s="63"/>
      <c r="VAD2464" s="61"/>
      <c r="VAE2464" s="54"/>
      <c r="VAF2464" s="54"/>
      <c r="VAG2464" s="60"/>
      <c r="VAH2464" s="60"/>
      <c r="VAI2464" s="60"/>
      <c r="VAJ2464" s="60"/>
      <c r="VAK2464" s="63"/>
      <c r="VAL2464" s="61"/>
      <c r="VAM2464" s="54"/>
      <c r="VAN2464" s="54"/>
      <c r="VAO2464" s="60"/>
      <c r="VAP2464" s="60"/>
      <c r="VAQ2464" s="60"/>
      <c r="VAR2464" s="60"/>
      <c r="VAS2464" s="63"/>
      <c r="VAT2464" s="61"/>
      <c r="VAU2464" s="54"/>
      <c r="VAV2464" s="54"/>
      <c r="VAW2464" s="60"/>
      <c r="VAX2464" s="60"/>
      <c r="VAY2464" s="60"/>
      <c r="VAZ2464" s="60"/>
      <c r="VBA2464" s="63"/>
      <c r="VBB2464" s="61"/>
      <c r="VBC2464" s="54"/>
      <c r="VBD2464" s="54"/>
      <c r="VBE2464" s="60"/>
      <c r="VBF2464" s="60"/>
      <c r="VBG2464" s="60"/>
      <c r="VBH2464" s="60"/>
      <c r="VBI2464" s="63"/>
      <c r="VBJ2464" s="61"/>
      <c r="VBK2464" s="54"/>
      <c r="VBL2464" s="54"/>
      <c r="VBM2464" s="60"/>
      <c r="VBN2464" s="60"/>
      <c r="VBO2464" s="60"/>
      <c r="VBP2464" s="60"/>
      <c r="VBQ2464" s="63"/>
      <c r="VBR2464" s="61"/>
      <c r="VBS2464" s="54"/>
      <c r="VBT2464" s="54"/>
      <c r="VBU2464" s="60"/>
      <c r="VBV2464" s="60"/>
      <c r="VBW2464" s="60"/>
      <c r="VBX2464" s="60"/>
      <c r="VBY2464" s="63"/>
      <c r="VBZ2464" s="61"/>
      <c r="VCA2464" s="54"/>
      <c r="VCB2464" s="54"/>
      <c r="VCC2464" s="60"/>
      <c r="VCD2464" s="60"/>
      <c r="VCE2464" s="60"/>
      <c r="VCF2464" s="60"/>
      <c r="VCG2464" s="63"/>
      <c r="VCH2464" s="61"/>
      <c r="VCI2464" s="54"/>
      <c r="VCJ2464" s="54"/>
      <c r="VCK2464" s="60"/>
      <c r="VCL2464" s="60"/>
      <c r="VCM2464" s="60"/>
      <c r="VCN2464" s="60"/>
      <c r="VCO2464" s="63"/>
      <c r="VCP2464" s="61"/>
      <c r="VCQ2464" s="54"/>
      <c r="VCR2464" s="54"/>
      <c r="VCS2464" s="60"/>
      <c r="VCT2464" s="60"/>
      <c r="VCU2464" s="60"/>
      <c r="VCV2464" s="60"/>
      <c r="VCW2464" s="63"/>
      <c r="VCX2464" s="61"/>
      <c r="VCY2464" s="54"/>
      <c r="VCZ2464" s="54"/>
      <c r="VDA2464" s="60"/>
      <c r="VDB2464" s="60"/>
      <c r="VDC2464" s="60"/>
      <c r="VDD2464" s="60"/>
      <c r="VDE2464" s="63"/>
      <c r="VDF2464" s="61"/>
      <c r="VDG2464" s="54"/>
      <c r="VDH2464" s="54"/>
      <c r="VDI2464" s="60"/>
      <c r="VDJ2464" s="60"/>
      <c r="VDK2464" s="60"/>
      <c r="VDL2464" s="60"/>
      <c r="VDM2464" s="63"/>
      <c r="VDN2464" s="61"/>
      <c r="VDO2464" s="54"/>
      <c r="VDP2464" s="54"/>
      <c r="VDQ2464" s="60"/>
      <c r="VDR2464" s="60"/>
      <c r="VDS2464" s="60"/>
      <c r="VDT2464" s="60"/>
      <c r="VDU2464" s="63"/>
      <c r="VDV2464" s="61"/>
      <c r="VDW2464" s="54"/>
      <c r="VDX2464" s="54"/>
      <c r="VDY2464" s="60"/>
      <c r="VDZ2464" s="60"/>
      <c r="VEA2464" s="60"/>
      <c r="VEB2464" s="60"/>
      <c r="VEC2464" s="63"/>
      <c r="VED2464" s="61"/>
      <c r="VEE2464" s="54"/>
      <c r="VEF2464" s="54"/>
      <c r="VEG2464" s="60"/>
      <c r="VEH2464" s="60"/>
      <c r="VEI2464" s="60"/>
      <c r="VEJ2464" s="60"/>
      <c r="VEK2464" s="63"/>
      <c r="VEL2464" s="61"/>
      <c r="VEM2464" s="54"/>
      <c r="VEN2464" s="54"/>
      <c r="VEO2464" s="60"/>
      <c r="VEP2464" s="60"/>
      <c r="VEQ2464" s="60"/>
      <c r="VER2464" s="60"/>
      <c r="VES2464" s="63"/>
      <c r="VET2464" s="61"/>
      <c r="VEU2464" s="54"/>
      <c r="VEV2464" s="54"/>
      <c r="VEW2464" s="60"/>
      <c r="VEX2464" s="60"/>
      <c r="VEY2464" s="60"/>
      <c r="VEZ2464" s="60"/>
      <c r="VFA2464" s="63"/>
      <c r="VFB2464" s="61"/>
      <c r="VFC2464" s="54"/>
      <c r="VFD2464" s="54"/>
      <c r="VFE2464" s="60"/>
      <c r="VFF2464" s="60"/>
      <c r="VFG2464" s="60"/>
      <c r="VFH2464" s="60"/>
      <c r="VFI2464" s="63"/>
      <c r="VFJ2464" s="61"/>
      <c r="VFK2464" s="54"/>
      <c r="VFL2464" s="54"/>
      <c r="VFM2464" s="60"/>
      <c r="VFN2464" s="60"/>
      <c r="VFO2464" s="60"/>
      <c r="VFP2464" s="60"/>
      <c r="VFQ2464" s="63"/>
      <c r="VFR2464" s="61"/>
      <c r="VFS2464" s="54"/>
      <c r="VFT2464" s="54"/>
      <c r="VFU2464" s="60"/>
      <c r="VFV2464" s="60"/>
      <c r="VFW2464" s="60"/>
      <c r="VFX2464" s="60"/>
      <c r="VFY2464" s="63"/>
      <c r="VFZ2464" s="61"/>
      <c r="VGA2464" s="54"/>
      <c r="VGB2464" s="54"/>
      <c r="VGC2464" s="60"/>
      <c r="VGD2464" s="60"/>
      <c r="VGE2464" s="60"/>
      <c r="VGF2464" s="60"/>
      <c r="VGG2464" s="63"/>
      <c r="VGH2464" s="61"/>
      <c r="VGI2464" s="54"/>
      <c r="VGJ2464" s="54"/>
      <c r="VGK2464" s="60"/>
      <c r="VGL2464" s="60"/>
      <c r="VGM2464" s="60"/>
      <c r="VGN2464" s="60"/>
      <c r="VGO2464" s="63"/>
      <c r="VGP2464" s="61"/>
      <c r="VGQ2464" s="54"/>
      <c r="VGR2464" s="54"/>
      <c r="VGS2464" s="60"/>
      <c r="VGT2464" s="60"/>
      <c r="VGU2464" s="60"/>
      <c r="VGV2464" s="60"/>
      <c r="VGW2464" s="63"/>
      <c r="VGX2464" s="61"/>
      <c r="VGY2464" s="54"/>
      <c r="VGZ2464" s="54"/>
      <c r="VHA2464" s="60"/>
      <c r="VHB2464" s="60"/>
      <c r="VHC2464" s="60"/>
      <c r="VHD2464" s="60"/>
      <c r="VHE2464" s="63"/>
      <c r="VHF2464" s="61"/>
      <c r="VHG2464" s="54"/>
      <c r="VHH2464" s="54"/>
      <c r="VHI2464" s="60"/>
      <c r="VHJ2464" s="60"/>
      <c r="VHK2464" s="60"/>
      <c r="VHL2464" s="60"/>
      <c r="VHM2464" s="63"/>
      <c r="VHN2464" s="61"/>
      <c r="VHO2464" s="54"/>
      <c r="VHP2464" s="54"/>
      <c r="VHQ2464" s="60"/>
      <c r="VHR2464" s="60"/>
      <c r="VHS2464" s="60"/>
      <c r="VHT2464" s="60"/>
      <c r="VHU2464" s="63"/>
      <c r="VHV2464" s="61"/>
      <c r="VHW2464" s="54"/>
      <c r="VHX2464" s="54"/>
      <c r="VHY2464" s="60"/>
      <c r="VHZ2464" s="60"/>
      <c r="VIA2464" s="60"/>
      <c r="VIB2464" s="60"/>
      <c r="VIC2464" s="63"/>
      <c r="VID2464" s="61"/>
      <c r="VIE2464" s="54"/>
      <c r="VIF2464" s="54"/>
      <c r="VIG2464" s="60"/>
      <c r="VIH2464" s="60"/>
      <c r="VII2464" s="60"/>
      <c r="VIJ2464" s="60"/>
      <c r="VIK2464" s="63"/>
      <c r="VIL2464" s="61"/>
      <c r="VIM2464" s="54"/>
      <c r="VIN2464" s="54"/>
      <c r="VIO2464" s="60"/>
      <c r="VIP2464" s="60"/>
      <c r="VIQ2464" s="60"/>
      <c r="VIR2464" s="60"/>
      <c r="VIS2464" s="63"/>
      <c r="VIT2464" s="61"/>
      <c r="VIU2464" s="54"/>
      <c r="VIV2464" s="54"/>
      <c r="VIW2464" s="60"/>
      <c r="VIX2464" s="60"/>
      <c r="VIY2464" s="60"/>
      <c r="VIZ2464" s="60"/>
      <c r="VJA2464" s="63"/>
      <c r="VJB2464" s="61"/>
      <c r="VJC2464" s="54"/>
      <c r="VJD2464" s="54"/>
      <c r="VJE2464" s="60"/>
      <c r="VJF2464" s="60"/>
      <c r="VJG2464" s="60"/>
      <c r="VJH2464" s="60"/>
      <c r="VJI2464" s="63"/>
      <c r="VJJ2464" s="61"/>
      <c r="VJK2464" s="54"/>
      <c r="VJL2464" s="54"/>
      <c r="VJM2464" s="60"/>
      <c r="VJN2464" s="60"/>
      <c r="VJO2464" s="60"/>
      <c r="VJP2464" s="60"/>
      <c r="VJQ2464" s="63"/>
      <c r="VJR2464" s="61"/>
      <c r="VJS2464" s="54"/>
      <c r="VJT2464" s="54"/>
      <c r="VJU2464" s="60"/>
      <c r="VJV2464" s="60"/>
      <c r="VJW2464" s="60"/>
      <c r="VJX2464" s="60"/>
      <c r="VJY2464" s="63"/>
      <c r="VJZ2464" s="61"/>
      <c r="VKA2464" s="54"/>
      <c r="VKB2464" s="54"/>
      <c r="VKC2464" s="60"/>
      <c r="VKD2464" s="60"/>
      <c r="VKE2464" s="60"/>
      <c r="VKF2464" s="60"/>
      <c r="VKG2464" s="63"/>
      <c r="VKH2464" s="61"/>
      <c r="VKI2464" s="54"/>
      <c r="VKJ2464" s="54"/>
      <c r="VKK2464" s="60"/>
      <c r="VKL2464" s="60"/>
      <c r="VKM2464" s="60"/>
      <c r="VKN2464" s="60"/>
      <c r="VKO2464" s="63"/>
      <c r="VKP2464" s="61"/>
      <c r="VKQ2464" s="54"/>
      <c r="VKR2464" s="54"/>
      <c r="VKS2464" s="60"/>
      <c r="VKT2464" s="60"/>
      <c r="VKU2464" s="60"/>
      <c r="VKV2464" s="60"/>
      <c r="VKW2464" s="63"/>
      <c r="VKX2464" s="61"/>
      <c r="VKY2464" s="54"/>
      <c r="VKZ2464" s="54"/>
      <c r="VLA2464" s="60"/>
      <c r="VLB2464" s="60"/>
      <c r="VLC2464" s="60"/>
      <c r="VLD2464" s="60"/>
      <c r="VLE2464" s="63"/>
      <c r="VLF2464" s="61"/>
      <c r="VLG2464" s="54"/>
      <c r="VLH2464" s="54"/>
      <c r="VLI2464" s="60"/>
      <c r="VLJ2464" s="60"/>
      <c r="VLK2464" s="60"/>
      <c r="VLL2464" s="60"/>
      <c r="VLM2464" s="63"/>
      <c r="VLN2464" s="61"/>
      <c r="VLO2464" s="54"/>
      <c r="VLP2464" s="54"/>
      <c r="VLQ2464" s="60"/>
      <c r="VLR2464" s="60"/>
      <c r="VLS2464" s="60"/>
      <c r="VLT2464" s="60"/>
      <c r="VLU2464" s="63"/>
      <c r="VLV2464" s="61"/>
      <c r="VLW2464" s="54"/>
      <c r="VLX2464" s="54"/>
      <c r="VLY2464" s="60"/>
      <c r="VLZ2464" s="60"/>
      <c r="VMA2464" s="60"/>
      <c r="VMB2464" s="60"/>
      <c r="VMC2464" s="63"/>
      <c r="VMD2464" s="61"/>
      <c r="VME2464" s="54"/>
      <c r="VMF2464" s="54"/>
      <c r="VMG2464" s="60"/>
      <c r="VMH2464" s="60"/>
      <c r="VMI2464" s="60"/>
      <c r="VMJ2464" s="60"/>
      <c r="VMK2464" s="63"/>
      <c r="VML2464" s="61"/>
      <c r="VMM2464" s="54"/>
      <c r="VMN2464" s="54"/>
      <c r="VMO2464" s="60"/>
      <c r="VMP2464" s="60"/>
      <c r="VMQ2464" s="60"/>
      <c r="VMR2464" s="60"/>
      <c r="VMS2464" s="63"/>
      <c r="VMT2464" s="61"/>
      <c r="VMU2464" s="54"/>
      <c r="VMV2464" s="54"/>
      <c r="VMW2464" s="60"/>
      <c r="VMX2464" s="60"/>
      <c r="VMY2464" s="60"/>
      <c r="VMZ2464" s="60"/>
      <c r="VNA2464" s="63"/>
      <c r="VNB2464" s="61"/>
      <c r="VNC2464" s="54"/>
      <c r="VND2464" s="54"/>
      <c r="VNE2464" s="60"/>
      <c r="VNF2464" s="60"/>
      <c r="VNG2464" s="60"/>
      <c r="VNH2464" s="60"/>
      <c r="VNI2464" s="63"/>
      <c r="VNJ2464" s="61"/>
      <c r="VNK2464" s="54"/>
      <c r="VNL2464" s="54"/>
      <c r="VNM2464" s="60"/>
      <c r="VNN2464" s="60"/>
      <c r="VNO2464" s="60"/>
      <c r="VNP2464" s="60"/>
      <c r="VNQ2464" s="63"/>
      <c r="VNR2464" s="61"/>
      <c r="VNS2464" s="54"/>
      <c r="VNT2464" s="54"/>
      <c r="VNU2464" s="60"/>
      <c r="VNV2464" s="60"/>
      <c r="VNW2464" s="60"/>
      <c r="VNX2464" s="60"/>
      <c r="VNY2464" s="63"/>
      <c r="VNZ2464" s="61"/>
      <c r="VOA2464" s="54"/>
      <c r="VOB2464" s="54"/>
      <c r="VOC2464" s="60"/>
      <c r="VOD2464" s="60"/>
      <c r="VOE2464" s="60"/>
      <c r="VOF2464" s="60"/>
      <c r="VOG2464" s="63"/>
      <c r="VOH2464" s="61"/>
      <c r="VOI2464" s="54"/>
      <c r="VOJ2464" s="54"/>
      <c r="VOK2464" s="60"/>
      <c r="VOL2464" s="60"/>
      <c r="VOM2464" s="60"/>
      <c r="VON2464" s="60"/>
      <c r="VOO2464" s="63"/>
      <c r="VOP2464" s="61"/>
      <c r="VOQ2464" s="54"/>
      <c r="VOR2464" s="54"/>
      <c r="VOS2464" s="60"/>
      <c r="VOT2464" s="60"/>
      <c r="VOU2464" s="60"/>
      <c r="VOV2464" s="60"/>
      <c r="VOW2464" s="63"/>
      <c r="VOX2464" s="61"/>
      <c r="VOY2464" s="54"/>
      <c r="VOZ2464" s="54"/>
      <c r="VPA2464" s="60"/>
      <c r="VPB2464" s="60"/>
      <c r="VPC2464" s="60"/>
      <c r="VPD2464" s="60"/>
      <c r="VPE2464" s="63"/>
      <c r="VPF2464" s="61"/>
      <c r="VPG2464" s="54"/>
      <c r="VPH2464" s="54"/>
      <c r="VPI2464" s="60"/>
      <c r="VPJ2464" s="60"/>
      <c r="VPK2464" s="60"/>
      <c r="VPL2464" s="60"/>
      <c r="VPM2464" s="63"/>
      <c r="VPN2464" s="61"/>
      <c r="VPO2464" s="54"/>
      <c r="VPP2464" s="54"/>
      <c r="VPQ2464" s="60"/>
      <c r="VPR2464" s="60"/>
      <c r="VPS2464" s="60"/>
      <c r="VPT2464" s="60"/>
      <c r="VPU2464" s="63"/>
      <c r="VPV2464" s="61"/>
      <c r="VPW2464" s="54"/>
      <c r="VPX2464" s="54"/>
      <c r="VPY2464" s="60"/>
      <c r="VPZ2464" s="60"/>
      <c r="VQA2464" s="60"/>
      <c r="VQB2464" s="60"/>
      <c r="VQC2464" s="63"/>
      <c r="VQD2464" s="61"/>
      <c r="VQE2464" s="54"/>
      <c r="VQF2464" s="54"/>
      <c r="VQG2464" s="60"/>
      <c r="VQH2464" s="60"/>
      <c r="VQI2464" s="60"/>
      <c r="VQJ2464" s="60"/>
      <c r="VQK2464" s="63"/>
      <c r="VQL2464" s="61"/>
      <c r="VQM2464" s="54"/>
      <c r="VQN2464" s="54"/>
      <c r="VQO2464" s="60"/>
      <c r="VQP2464" s="60"/>
      <c r="VQQ2464" s="60"/>
      <c r="VQR2464" s="60"/>
      <c r="VQS2464" s="63"/>
      <c r="VQT2464" s="61"/>
      <c r="VQU2464" s="54"/>
      <c r="VQV2464" s="54"/>
      <c r="VQW2464" s="60"/>
      <c r="VQX2464" s="60"/>
      <c r="VQY2464" s="60"/>
      <c r="VQZ2464" s="60"/>
      <c r="VRA2464" s="63"/>
      <c r="VRB2464" s="61"/>
      <c r="VRC2464" s="54"/>
      <c r="VRD2464" s="54"/>
      <c r="VRE2464" s="60"/>
      <c r="VRF2464" s="60"/>
      <c r="VRG2464" s="60"/>
      <c r="VRH2464" s="60"/>
      <c r="VRI2464" s="63"/>
      <c r="VRJ2464" s="61"/>
      <c r="VRK2464" s="54"/>
      <c r="VRL2464" s="54"/>
      <c r="VRM2464" s="60"/>
      <c r="VRN2464" s="60"/>
      <c r="VRO2464" s="60"/>
      <c r="VRP2464" s="60"/>
      <c r="VRQ2464" s="63"/>
      <c r="VRR2464" s="61"/>
      <c r="VRS2464" s="54"/>
      <c r="VRT2464" s="54"/>
      <c r="VRU2464" s="60"/>
      <c r="VRV2464" s="60"/>
      <c r="VRW2464" s="60"/>
      <c r="VRX2464" s="60"/>
      <c r="VRY2464" s="63"/>
      <c r="VRZ2464" s="61"/>
      <c r="VSA2464" s="54"/>
      <c r="VSB2464" s="54"/>
      <c r="VSC2464" s="60"/>
      <c r="VSD2464" s="60"/>
      <c r="VSE2464" s="60"/>
      <c r="VSF2464" s="60"/>
      <c r="VSG2464" s="63"/>
      <c r="VSH2464" s="61"/>
      <c r="VSI2464" s="54"/>
      <c r="VSJ2464" s="54"/>
      <c r="VSK2464" s="60"/>
      <c r="VSL2464" s="60"/>
      <c r="VSM2464" s="60"/>
      <c r="VSN2464" s="60"/>
      <c r="VSO2464" s="63"/>
      <c r="VSP2464" s="61"/>
      <c r="VSQ2464" s="54"/>
      <c r="VSR2464" s="54"/>
      <c r="VSS2464" s="60"/>
      <c r="VST2464" s="60"/>
      <c r="VSU2464" s="60"/>
      <c r="VSV2464" s="60"/>
      <c r="VSW2464" s="63"/>
      <c r="VSX2464" s="61"/>
      <c r="VSY2464" s="54"/>
      <c r="VSZ2464" s="54"/>
      <c r="VTA2464" s="60"/>
      <c r="VTB2464" s="60"/>
      <c r="VTC2464" s="60"/>
      <c r="VTD2464" s="60"/>
      <c r="VTE2464" s="63"/>
      <c r="VTF2464" s="61"/>
      <c r="VTG2464" s="54"/>
      <c r="VTH2464" s="54"/>
      <c r="VTI2464" s="60"/>
      <c r="VTJ2464" s="60"/>
      <c r="VTK2464" s="60"/>
      <c r="VTL2464" s="60"/>
      <c r="VTM2464" s="63"/>
      <c r="VTN2464" s="61"/>
      <c r="VTO2464" s="54"/>
      <c r="VTP2464" s="54"/>
      <c r="VTQ2464" s="60"/>
      <c r="VTR2464" s="60"/>
      <c r="VTS2464" s="60"/>
      <c r="VTT2464" s="60"/>
      <c r="VTU2464" s="63"/>
      <c r="VTV2464" s="61"/>
      <c r="VTW2464" s="54"/>
      <c r="VTX2464" s="54"/>
      <c r="VTY2464" s="60"/>
      <c r="VTZ2464" s="60"/>
      <c r="VUA2464" s="60"/>
      <c r="VUB2464" s="60"/>
      <c r="VUC2464" s="63"/>
      <c r="VUD2464" s="61"/>
      <c r="VUE2464" s="54"/>
      <c r="VUF2464" s="54"/>
      <c r="VUG2464" s="60"/>
      <c r="VUH2464" s="60"/>
      <c r="VUI2464" s="60"/>
      <c r="VUJ2464" s="60"/>
      <c r="VUK2464" s="63"/>
      <c r="VUL2464" s="61"/>
      <c r="VUM2464" s="54"/>
      <c r="VUN2464" s="54"/>
      <c r="VUO2464" s="60"/>
      <c r="VUP2464" s="60"/>
      <c r="VUQ2464" s="60"/>
      <c r="VUR2464" s="60"/>
      <c r="VUS2464" s="63"/>
      <c r="VUT2464" s="61"/>
      <c r="VUU2464" s="54"/>
      <c r="VUV2464" s="54"/>
      <c r="VUW2464" s="60"/>
      <c r="VUX2464" s="60"/>
      <c r="VUY2464" s="60"/>
      <c r="VUZ2464" s="60"/>
      <c r="VVA2464" s="63"/>
      <c r="VVB2464" s="61"/>
      <c r="VVC2464" s="54"/>
      <c r="VVD2464" s="54"/>
      <c r="VVE2464" s="60"/>
      <c r="VVF2464" s="60"/>
      <c r="VVG2464" s="60"/>
      <c r="VVH2464" s="60"/>
      <c r="VVI2464" s="63"/>
      <c r="VVJ2464" s="61"/>
      <c r="VVK2464" s="54"/>
      <c r="VVL2464" s="54"/>
      <c r="VVM2464" s="60"/>
      <c r="VVN2464" s="60"/>
      <c r="VVO2464" s="60"/>
      <c r="VVP2464" s="60"/>
      <c r="VVQ2464" s="63"/>
      <c r="VVR2464" s="61"/>
      <c r="VVS2464" s="54"/>
      <c r="VVT2464" s="54"/>
      <c r="VVU2464" s="60"/>
      <c r="VVV2464" s="60"/>
      <c r="VVW2464" s="60"/>
      <c r="VVX2464" s="60"/>
      <c r="VVY2464" s="63"/>
      <c r="VVZ2464" s="61"/>
      <c r="VWA2464" s="54"/>
      <c r="VWB2464" s="54"/>
      <c r="VWC2464" s="60"/>
      <c r="VWD2464" s="60"/>
      <c r="VWE2464" s="60"/>
      <c r="VWF2464" s="60"/>
      <c r="VWG2464" s="63"/>
      <c r="VWH2464" s="61"/>
      <c r="VWI2464" s="54"/>
      <c r="VWJ2464" s="54"/>
      <c r="VWK2464" s="60"/>
      <c r="VWL2464" s="60"/>
      <c r="VWM2464" s="60"/>
      <c r="VWN2464" s="60"/>
      <c r="VWO2464" s="63"/>
      <c r="VWP2464" s="61"/>
      <c r="VWQ2464" s="54"/>
      <c r="VWR2464" s="54"/>
      <c r="VWS2464" s="60"/>
      <c r="VWT2464" s="60"/>
      <c r="VWU2464" s="60"/>
      <c r="VWV2464" s="60"/>
      <c r="VWW2464" s="63"/>
      <c r="VWX2464" s="61"/>
      <c r="VWY2464" s="54"/>
      <c r="VWZ2464" s="54"/>
      <c r="VXA2464" s="60"/>
      <c r="VXB2464" s="60"/>
      <c r="VXC2464" s="60"/>
      <c r="VXD2464" s="60"/>
      <c r="VXE2464" s="63"/>
      <c r="VXF2464" s="61"/>
      <c r="VXG2464" s="54"/>
      <c r="VXH2464" s="54"/>
      <c r="VXI2464" s="60"/>
      <c r="VXJ2464" s="60"/>
      <c r="VXK2464" s="60"/>
      <c r="VXL2464" s="60"/>
      <c r="VXM2464" s="63"/>
      <c r="VXN2464" s="61"/>
      <c r="VXO2464" s="54"/>
      <c r="VXP2464" s="54"/>
      <c r="VXQ2464" s="60"/>
      <c r="VXR2464" s="60"/>
      <c r="VXS2464" s="60"/>
      <c r="VXT2464" s="60"/>
      <c r="VXU2464" s="63"/>
      <c r="VXV2464" s="61"/>
      <c r="VXW2464" s="54"/>
      <c r="VXX2464" s="54"/>
      <c r="VXY2464" s="60"/>
      <c r="VXZ2464" s="60"/>
      <c r="VYA2464" s="60"/>
      <c r="VYB2464" s="60"/>
      <c r="VYC2464" s="63"/>
      <c r="VYD2464" s="61"/>
      <c r="VYE2464" s="54"/>
      <c r="VYF2464" s="54"/>
      <c r="VYG2464" s="60"/>
      <c r="VYH2464" s="60"/>
      <c r="VYI2464" s="60"/>
      <c r="VYJ2464" s="60"/>
      <c r="VYK2464" s="63"/>
      <c r="VYL2464" s="61"/>
      <c r="VYM2464" s="54"/>
      <c r="VYN2464" s="54"/>
      <c r="VYO2464" s="60"/>
      <c r="VYP2464" s="60"/>
      <c r="VYQ2464" s="60"/>
      <c r="VYR2464" s="60"/>
      <c r="VYS2464" s="63"/>
      <c r="VYT2464" s="61"/>
      <c r="VYU2464" s="54"/>
      <c r="VYV2464" s="54"/>
      <c r="VYW2464" s="60"/>
      <c r="VYX2464" s="60"/>
      <c r="VYY2464" s="60"/>
      <c r="VYZ2464" s="60"/>
      <c r="VZA2464" s="63"/>
      <c r="VZB2464" s="61"/>
      <c r="VZC2464" s="54"/>
      <c r="VZD2464" s="54"/>
      <c r="VZE2464" s="60"/>
      <c r="VZF2464" s="60"/>
      <c r="VZG2464" s="60"/>
      <c r="VZH2464" s="60"/>
      <c r="VZI2464" s="63"/>
      <c r="VZJ2464" s="61"/>
      <c r="VZK2464" s="54"/>
      <c r="VZL2464" s="54"/>
      <c r="VZM2464" s="60"/>
      <c r="VZN2464" s="60"/>
      <c r="VZO2464" s="60"/>
      <c r="VZP2464" s="60"/>
      <c r="VZQ2464" s="63"/>
      <c r="VZR2464" s="61"/>
      <c r="VZS2464" s="54"/>
      <c r="VZT2464" s="54"/>
      <c r="VZU2464" s="60"/>
      <c r="VZV2464" s="60"/>
      <c r="VZW2464" s="60"/>
      <c r="VZX2464" s="60"/>
      <c r="VZY2464" s="63"/>
      <c r="VZZ2464" s="61"/>
      <c r="WAA2464" s="54"/>
      <c r="WAB2464" s="54"/>
      <c r="WAC2464" s="60"/>
      <c r="WAD2464" s="60"/>
      <c r="WAE2464" s="60"/>
      <c r="WAF2464" s="60"/>
      <c r="WAG2464" s="63"/>
      <c r="WAH2464" s="61"/>
      <c r="WAI2464" s="54"/>
      <c r="WAJ2464" s="54"/>
      <c r="WAK2464" s="60"/>
      <c r="WAL2464" s="60"/>
      <c r="WAM2464" s="60"/>
      <c r="WAN2464" s="60"/>
      <c r="WAO2464" s="63"/>
      <c r="WAP2464" s="61"/>
      <c r="WAQ2464" s="54"/>
      <c r="WAR2464" s="54"/>
      <c r="WAS2464" s="60"/>
      <c r="WAT2464" s="60"/>
      <c r="WAU2464" s="60"/>
      <c r="WAV2464" s="60"/>
      <c r="WAW2464" s="63"/>
      <c r="WAX2464" s="61"/>
      <c r="WAY2464" s="54"/>
      <c r="WAZ2464" s="54"/>
      <c r="WBA2464" s="60"/>
      <c r="WBB2464" s="60"/>
      <c r="WBC2464" s="60"/>
      <c r="WBD2464" s="60"/>
      <c r="WBE2464" s="63"/>
      <c r="WBF2464" s="61"/>
      <c r="WBG2464" s="54"/>
      <c r="WBH2464" s="54"/>
      <c r="WBI2464" s="60"/>
      <c r="WBJ2464" s="60"/>
      <c r="WBK2464" s="60"/>
      <c r="WBL2464" s="60"/>
      <c r="WBM2464" s="63"/>
      <c r="WBN2464" s="61"/>
      <c r="WBO2464" s="54"/>
      <c r="WBP2464" s="54"/>
      <c r="WBQ2464" s="60"/>
      <c r="WBR2464" s="60"/>
      <c r="WBS2464" s="60"/>
      <c r="WBT2464" s="60"/>
      <c r="WBU2464" s="63"/>
      <c r="WBV2464" s="61"/>
      <c r="WBW2464" s="54"/>
      <c r="WBX2464" s="54"/>
      <c r="WBY2464" s="60"/>
      <c r="WBZ2464" s="60"/>
      <c r="WCA2464" s="60"/>
      <c r="WCB2464" s="60"/>
      <c r="WCC2464" s="63"/>
      <c r="WCD2464" s="61"/>
      <c r="WCE2464" s="54"/>
      <c r="WCF2464" s="54"/>
      <c r="WCG2464" s="60"/>
      <c r="WCH2464" s="60"/>
      <c r="WCI2464" s="60"/>
      <c r="WCJ2464" s="60"/>
      <c r="WCK2464" s="63"/>
      <c r="WCL2464" s="61"/>
      <c r="WCM2464" s="54"/>
      <c r="WCN2464" s="54"/>
      <c r="WCO2464" s="60"/>
      <c r="WCP2464" s="60"/>
      <c r="WCQ2464" s="60"/>
      <c r="WCR2464" s="60"/>
      <c r="WCS2464" s="63"/>
      <c r="WCT2464" s="61"/>
      <c r="WCU2464" s="54"/>
      <c r="WCV2464" s="54"/>
      <c r="WCW2464" s="60"/>
      <c r="WCX2464" s="60"/>
      <c r="WCY2464" s="60"/>
      <c r="WCZ2464" s="60"/>
      <c r="WDA2464" s="63"/>
      <c r="WDB2464" s="61"/>
      <c r="WDC2464" s="54"/>
      <c r="WDD2464" s="54"/>
      <c r="WDE2464" s="60"/>
      <c r="WDF2464" s="60"/>
      <c r="WDG2464" s="60"/>
      <c r="WDH2464" s="60"/>
      <c r="WDI2464" s="63"/>
      <c r="WDJ2464" s="61"/>
      <c r="WDK2464" s="54"/>
      <c r="WDL2464" s="54"/>
      <c r="WDM2464" s="60"/>
      <c r="WDN2464" s="60"/>
      <c r="WDO2464" s="60"/>
      <c r="WDP2464" s="60"/>
      <c r="WDQ2464" s="63"/>
      <c r="WDR2464" s="61"/>
      <c r="WDS2464" s="54"/>
      <c r="WDT2464" s="54"/>
      <c r="WDU2464" s="60"/>
      <c r="WDV2464" s="60"/>
      <c r="WDW2464" s="60"/>
      <c r="WDX2464" s="60"/>
      <c r="WDY2464" s="63"/>
      <c r="WDZ2464" s="61"/>
      <c r="WEA2464" s="54"/>
      <c r="WEB2464" s="54"/>
      <c r="WEC2464" s="60"/>
      <c r="WED2464" s="60"/>
      <c r="WEE2464" s="60"/>
      <c r="WEF2464" s="60"/>
      <c r="WEG2464" s="63"/>
      <c r="WEH2464" s="61"/>
      <c r="WEI2464" s="54"/>
      <c r="WEJ2464" s="54"/>
      <c r="WEK2464" s="60"/>
      <c r="WEL2464" s="60"/>
      <c r="WEM2464" s="60"/>
      <c r="WEN2464" s="60"/>
      <c r="WEO2464" s="63"/>
      <c r="WEP2464" s="61"/>
      <c r="WEQ2464" s="54"/>
      <c r="WER2464" s="54"/>
      <c r="WES2464" s="60"/>
      <c r="WET2464" s="60"/>
      <c r="WEU2464" s="60"/>
      <c r="WEV2464" s="60"/>
      <c r="WEW2464" s="63"/>
      <c r="WEX2464" s="61"/>
      <c r="WEY2464" s="54"/>
      <c r="WEZ2464" s="54"/>
      <c r="WFA2464" s="60"/>
      <c r="WFB2464" s="60"/>
      <c r="WFC2464" s="60"/>
      <c r="WFD2464" s="60"/>
      <c r="WFE2464" s="63"/>
      <c r="WFF2464" s="61"/>
      <c r="WFG2464" s="54"/>
      <c r="WFH2464" s="54"/>
      <c r="WFI2464" s="60"/>
      <c r="WFJ2464" s="60"/>
      <c r="WFK2464" s="60"/>
      <c r="WFL2464" s="60"/>
      <c r="WFM2464" s="63"/>
      <c r="WFN2464" s="61"/>
      <c r="WFO2464" s="54"/>
      <c r="WFP2464" s="54"/>
      <c r="WFQ2464" s="60"/>
      <c r="WFR2464" s="60"/>
      <c r="WFS2464" s="60"/>
      <c r="WFT2464" s="60"/>
      <c r="WFU2464" s="63"/>
      <c r="WFV2464" s="61"/>
      <c r="WFW2464" s="54"/>
      <c r="WFX2464" s="54"/>
      <c r="WFY2464" s="60"/>
      <c r="WFZ2464" s="60"/>
      <c r="WGA2464" s="60"/>
      <c r="WGB2464" s="60"/>
      <c r="WGC2464" s="63"/>
      <c r="WGD2464" s="61"/>
      <c r="WGE2464" s="54"/>
      <c r="WGF2464" s="54"/>
      <c r="WGG2464" s="60"/>
      <c r="WGH2464" s="60"/>
      <c r="WGI2464" s="60"/>
      <c r="WGJ2464" s="60"/>
      <c r="WGK2464" s="63"/>
      <c r="WGL2464" s="61"/>
      <c r="WGM2464" s="54"/>
      <c r="WGN2464" s="54"/>
      <c r="WGO2464" s="60"/>
      <c r="WGP2464" s="60"/>
      <c r="WGQ2464" s="60"/>
      <c r="WGR2464" s="60"/>
      <c r="WGS2464" s="63"/>
      <c r="WGT2464" s="61"/>
      <c r="WGU2464" s="54"/>
      <c r="WGV2464" s="54"/>
      <c r="WGW2464" s="60"/>
      <c r="WGX2464" s="60"/>
      <c r="WGY2464" s="60"/>
      <c r="WGZ2464" s="60"/>
      <c r="WHA2464" s="63"/>
      <c r="WHB2464" s="61"/>
      <c r="WHC2464" s="54"/>
      <c r="WHD2464" s="54"/>
      <c r="WHE2464" s="60"/>
      <c r="WHF2464" s="60"/>
      <c r="WHG2464" s="60"/>
      <c r="WHH2464" s="60"/>
      <c r="WHI2464" s="63"/>
      <c r="WHJ2464" s="61"/>
      <c r="WHK2464" s="54"/>
      <c r="WHL2464" s="54"/>
      <c r="WHM2464" s="60"/>
      <c r="WHN2464" s="60"/>
      <c r="WHO2464" s="60"/>
      <c r="WHP2464" s="60"/>
      <c r="WHQ2464" s="63"/>
      <c r="WHR2464" s="61"/>
      <c r="WHS2464" s="54"/>
      <c r="WHT2464" s="54"/>
      <c r="WHU2464" s="60"/>
      <c r="WHV2464" s="60"/>
      <c r="WHW2464" s="60"/>
      <c r="WHX2464" s="60"/>
      <c r="WHY2464" s="63"/>
      <c r="WHZ2464" s="61"/>
      <c r="WIA2464" s="54"/>
      <c r="WIB2464" s="54"/>
      <c r="WIC2464" s="60"/>
      <c r="WID2464" s="60"/>
      <c r="WIE2464" s="60"/>
      <c r="WIF2464" s="60"/>
      <c r="WIG2464" s="63"/>
      <c r="WIH2464" s="61"/>
      <c r="WII2464" s="54"/>
      <c r="WIJ2464" s="54"/>
      <c r="WIK2464" s="60"/>
      <c r="WIL2464" s="60"/>
      <c r="WIM2464" s="60"/>
      <c r="WIN2464" s="60"/>
      <c r="WIO2464" s="63"/>
      <c r="WIP2464" s="61"/>
      <c r="WIQ2464" s="54"/>
      <c r="WIR2464" s="54"/>
      <c r="WIS2464" s="60"/>
      <c r="WIT2464" s="60"/>
      <c r="WIU2464" s="60"/>
      <c r="WIV2464" s="60"/>
      <c r="WIW2464" s="63"/>
      <c r="WIX2464" s="61"/>
      <c r="WIY2464" s="54"/>
      <c r="WIZ2464" s="54"/>
      <c r="WJA2464" s="60"/>
      <c r="WJB2464" s="60"/>
      <c r="WJC2464" s="60"/>
      <c r="WJD2464" s="60"/>
      <c r="WJE2464" s="63"/>
      <c r="WJF2464" s="61"/>
      <c r="WJG2464" s="54"/>
      <c r="WJH2464" s="54"/>
      <c r="WJI2464" s="60"/>
      <c r="WJJ2464" s="60"/>
      <c r="WJK2464" s="60"/>
      <c r="WJL2464" s="60"/>
      <c r="WJM2464" s="63"/>
      <c r="WJN2464" s="61"/>
      <c r="WJO2464" s="54"/>
      <c r="WJP2464" s="54"/>
      <c r="WJQ2464" s="60"/>
      <c r="WJR2464" s="60"/>
      <c r="WJS2464" s="60"/>
      <c r="WJT2464" s="60"/>
      <c r="WJU2464" s="63"/>
      <c r="WJV2464" s="61"/>
      <c r="WJW2464" s="54"/>
      <c r="WJX2464" s="54"/>
      <c r="WJY2464" s="60"/>
      <c r="WJZ2464" s="60"/>
      <c r="WKA2464" s="60"/>
      <c r="WKB2464" s="60"/>
      <c r="WKC2464" s="63"/>
      <c r="WKD2464" s="61"/>
      <c r="WKE2464" s="54"/>
      <c r="WKF2464" s="54"/>
      <c r="WKG2464" s="60"/>
      <c r="WKH2464" s="60"/>
      <c r="WKI2464" s="60"/>
      <c r="WKJ2464" s="60"/>
      <c r="WKK2464" s="63"/>
      <c r="WKL2464" s="61"/>
      <c r="WKM2464" s="54"/>
      <c r="WKN2464" s="54"/>
      <c r="WKO2464" s="60"/>
      <c r="WKP2464" s="60"/>
      <c r="WKQ2464" s="60"/>
      <c r="WKR2464" s="60"/>
      <c r="WKS2464" s="63"/>
      <c r="WKT2464" s="61"/>
      <c r="WKU2464" s="54"/>
      <c r="WKV2464" s="54"/>
      <c r="WKW2464" s="60"/>
      <c r="WKX2464" s="60"/>
      <c r="WKY2464" s="60"/>
      <c r="WKZ2464" s="60"/>
      <c r="WLA2464" s="63"/>
      <c r="WLB2464" s="61"/>
      <c r="WLC2464" s="54"/>
      <c r="WLD2464" s="54"/>
      <c r="WLE2464" s="60"/>
      <c r="WLF2464" s="60"/>
      <c r="WLG2464" s="60"/>
      <c r="WLH2464" s="60"/>
      <c r="WLI2464" s="63"/>
      <c r="WLJ2464" s="61"/>
      <c r="WLK2464" s="54"/>
      <c r="WLL2464" s="54"/>
      <c r="WLM2464" s="60"/>
      <c r="WLN2464" s="60"/>
      <c r="WLO2464" s="60"/>
      <c r="WLP2464" s="60"/>
      <c r="WLQ2464" s="63"/>
      <c r="WLR2464" s="61"/>
      <c r="WLS2464" s="54"/>
      <c r="WLT2464" s="54"/>
      <c r="WLU2464" s="60"/>
      <c r="WLV2464" s="60"/>
      <c r="WLW2464" s="60"/>
      <c r="WLX2464" s="60"/>
      <c r="WLY2464" s="63"/>
      <c r="WLZ2464" s="61"/>
      <c r="WMA2464" s="54"/>
      <c r="WMB2464" s="54"/>
      <c r="WMC2464" s="60"/>
      <c r="WMD2464" s="60"/>
      <c r="WME2464" s="60"/>
      <c r="WMF2464" s="60"/>
      <c r="WMG2464" s="63"/>
      <c r="WMH2464" s="61"/>
      <c r="WMI2464" s="54"/>
      <c r="WMJ2464" s="54"/>
      <c r="WMK2464" s="60"/>
      <c r="WML2464" s="60"/>
      <c r="WMM2464" s="60"/>
      <c r="WMN2464" s="60"/>
      <c r="WMO2464" s="63"/>
      <c r="WMP2464" s="61"/>
      <c r="WMQ2464" s="54"/>
      <c r="WMR2464" s="54"/>
      <c r="WMS2464" s="60"/>
      <c r="WMT2464" s="60"/>
      <c r="WMU2464" s="60"/>
      <c r="WMV2464" s="60"/>
      <c r="WMW2464" s="63"/>
      <c r="WMX2464" s="61"/>
      <c r="WMY2464" s="54"/>
      <c r="WMZ2464" s="54"/>
      <c r="WNA2464" s="60"/>
      <c r="WNB2464" s="60"/>
      <c r="WNC2464" s="60"/>
      <c r="WND2464" s="60"/>
      <c r="WNE2464" s="63"/>
      <c r="WNF2464" s="61"/>
      <c r="WNG2464" s="54"/>
      <c r="WNH2464" s="54"/>
      <c r="WNI2464" s="60"/>
      <c r="WNJ2464" s="60"/>
      <c r="WNK2464" s="60"/>
      <c r="WNL2464" s="60"/>
      <c r="WNM2464" s="63"/>
      <c r="WNN2464" s="61"/>
      <c r="WNO2464" s="54"/>
      <c r="WNP2464" s="54"/>
      <c r="WNQ2464" s="60"/>
      <c r="WNR2464" s="60"/>
      <c r="WNS2464" s="60"/>
      <c r="WNT2464" s="60"/>
      <c r="WNU2464" s="63"/>
      <c r="WNV2464" s="61"/>
      <c r="WNW2464" s="54"/>
      <c r="WNX2464" s="54"/>
      <c r="WNY2464" s="60"/>
      <c r="WNZ2464" s="60"/>
      <c r="WOA2464" s="60"/>
      <c r="WOB2464" s="60"/>
      <c r="WOC2464" s="63"/>
      <c r="WOD2464" s="61"/>
      <c r="WOE2464" s="54"/>
      <c r="WOF2464" s="54"/>
      <c r="WOG2464" s="60"/>
      <c r="WOH2464" s="60"/>
      <c r="WOI2464" s="60"/>
      <c r="WOJ2464" s="60"/>
      <c r="WOK2464" s="63"/>
      <c r="WOL2464" s="61"/>
      <c r="WOM2464" s="54"/>
      <c r="WON2464" s="54"/>
      <c r="WOO2464" s="60"/>
      <c r="WOP2464" s="60"/>
      <c r="WOQ2464" s="60"/>
      <c r="WOR2464" s="60"/>
      <c r="WOS2464" s="63"/>
      <c r="WOT2464" s="61"/>
      <c r="WOU2464" s="54"/>
      <c r="WOV2464" s="54"/>
      <c r="WOW2464" s="60"/>
      <c r="WOX2464" s="60"/>
      <c r="WOY2464" s="60"/>
      <c r="WOZ2464" s="60"/>
      <c r="WPA2464" s="63"/>
      <c r="WPB2464" s="61"/>
      <c r="WPC2464" s="54"/>
      <c r="WPD2464" s="54"/>
      <c r="WPE2464" s="60"/>
      <c r="WPF2464" s="60"/>
      <c r="WPG2464" s="60"/>
      <c r="WPH2464" s="60"/>
      <c r="WPI2464" s="63"/>
      <c r="WPJ2464" s="61"/>
      <c r="WPK2464" s="54"/>
      <c r="WPL2464" s="54"/>
      <c r="WPM2464" s="60"/>
      <c r="WPN2464" s="60"/>
      <c r="WPO2464" s="60"/>
      <c r="WPP2464" s="60"/>
      <c r="WPQ2464" s="63"/>
      <c r="WPR2464" s="61"/>
      <c r="WPS2464" s="54"/>
      <c r="WPT2464" s="54"/>
      <c r="WPU2464" s="60"/>
      <c r="WPV2464" s="60"/>
      <c r="WPW2464" s="60"/>
      <c r="WPX2464" s="60"/>
      <c r="WPY2464" s="63"/>
      <c r="WPZ2464" s="61"/>
      <c r="WQA2464" s="54"/>
      <c r="WQB2464" s="54"/>
      <c r="WQC2464" s="60"/>
      <c r="WQD2464" s="60"/>
      <c r="WQE2464" s="60"/>
      <c r="WQF2464" s="60"/>
      <c r="WQG2464" s="63"/>
      <c r="WQH2464" s="61"/>
      <c r="WQI2464" s="54"/>
      <c r="WQJ2464" s="54"/>
      <c r="WQK2464" s="60"/>
      <c r="WQL2464" s="60"/>
      <c r="WQM2464" s="60"/>
      <c r="WQN2464" s="60"/>
      <c r="WQO2464" s="63"/>
      <c r="WQP2464" s="61"/>
      <c r="WQQ2464" s="54"/>
      <c r="WQR2464" s="54"/>
      <c r="WQS2464" s="60"/>
      <c r="WQT2464" s="60"/>
      <c r="WQU2464" s="60"/>
      <c r="WQV2464" s="60"/>
      <c r="WQW2464" s="63"/>
      <c r="WQX2464" s="61"/>
      <c r="WQY2464" s="54"/>
      <c r="WQZ2464" s="54"/>
      <c r="WRA2464" s="60"/>
      <c r="WRB2464" s="60"/>
      <c r="WRC2464" s="60"/>
      <c r="WRD2464" s="60"/>
      <c r="WRE2464" s="63"/>
      <c r="WRF2464" s="61"/>
      <c r="WRG2464" s="54"/>
      <c r="WRH2464" s="54"/>
      <c r="WRI2464" s="60"/>
      <c r="WRJ2464" s="60"/>
      <c r="WRK2464" s="60"/>
      <c r="WRL2464" s="60"/>
      <c r="WRM2464" s="63"/>
      <c r="WRN2464" s="61"/>
      <c r="WRO2464" s="54"/>
      <c r="WRP2464" s="54"/>
      <c r="WRQ2464" s="60"/>
      <c r="WRR2464" s="60"/>
      <c r="WRS2464" s="60"/>
      <c r="WRT2464" s="60"/>
      <c r="WRU2464" s="63"/>
      <c r="WRV2464" s="61"/>
      <c r="WRW2464" s="54"/>
      <c r="WRX2464" s="54"/>
      <c r="WRY2464" s="60"/>
      <c r="WRZ2464" s="60"/>
      <c r="WSA2464" s="60"/>
      <c r="WSB2464" s="60"/>
      <c r="WSC2464" s="63"/>
      <c r="WSD2464" s="61"/>
      <c r="WSE2464" s="54"/>
      <c r="WSF2464" s="54"/>
      <c r="WSG2464" s="60"/>
      <c r="WSH2464" s="60"/>
      <c r="WSI2464" s="60"/>
      <c r="WSJ2464" s="60"/>
      <c r="WSK2464" s="63"/>
      <c r="WSL2464" s="61"/>
      <c r="WSM2464" s="54"/>
      <c r="WSN2464" s="54"/>
      <c r="WSO2464" s="60"/>
      <c r="WSP2464" s="60"/>
      <c r="WSQ2464" s="60"/>
      <c r="WSR2464" s="60"/>
      <c r="WSS2464" s="63"/>
      <c r="WST2464" s="61"/>
      <c r="WSU2464" s="54"/>
      <c r="WSV2464" s="54"/>
      <c r="WSW2464" s="60"/>
      <c r="WSX2464" s="60"/>
      <c r="WSY2464" s="60"/>
      <c r="WSZ2464" s="60"/>
      <c r="WTA2464" s="63"/>
      <c r="WTB2464" s="61"/>
      <c r="WTC2464" s="54"/>
      <c r="WTD2464" s="54"/>
      <c r="WTE2464" s="60"/>
      <c r="WTF2464" s="60"/>
      <c r="WTG2464" s="60"/>
      <c r="WTH2464" s="60"/>
      <c r="WTI2464" s="63"/>
      <c r="WTJ2464" s="61"/>
      <c r="WTK2464" s="54"/>
      <c r="WTL2464" s="54"/>
      <c r="WTM2464" s="60"/>
      <c r="WTN2464" s="60"/>
      <c r="WTO2464" s="60"/>
      <c r="WTP2464" s="60"/>
      <c r="WTQ2464" s="63"/>
      <c r="WTR2464" s="61"/>
      <c r="WTS2464" s="54"/>
      <c r="WTT2464" s="54"/>
      <c r="WTU2464" s="60"/>
      <c r="WTV2464" s="60"/>
      <c r="WTW2464" s="60"/>
      <c r="WTX2464" s="60"/>
      <c r="WTY2464" s="63"/>
      <c r="WTZ2464" s="61"/>
      <c r="WUA2464" s="54"/>
      <c r="WUB2464" s="54"/>
      <c r="WUC2464" s="60"/>
      <c r="WUD2464" s="60"/>
      <c r="WUE2464" s="60"/>
      <c r="WUF2464" s="60"/>
      <c r="WUG2464" s="63"/>
      <c r="WUH2464" s="61"/>
      <c r="WUI2464" s="54"/>
      <c r="WUJ2464" s="54"/>
      <c r="WUK2464" s="60"/>
      <c r="WUL2464" s="60"/>
      <c r="WUM2464" s="60"/>
      <c r="WUN2464" s="60"/>
      <c r="WUO2464" s="63"/>
      <c r="WUP2464" s="61"/>
      <c r="WUQ2464" s="54"/>
      <c r="WUR2464" s="54"/>
      <c r="WUS2464" s="60"/>
      <c r="WUT2464" s="60"/>
      <c r="WUU2464" s="60"/>
      <c r="WUV2464" s="60"/>
      <c r="WUW2464" s="63"/>
      <c r="WUX2464" s="61"/>
      <c r="WUY2464" s="54"/>
      <c r="WUZ2464" s="54"/>
      <c r="WVA2464" s="60"/>
      <c r="WVB2464" s="60"/>
      <c r="WVC2464" s="60"/>
      <c r="WVD2464" s="60"/>
      <c r="WVE2464" s="63"/>
      <c r="WVF2464" s="61"/>
      <c r="WVG2464" s="54"/>
      <c r="WVH2464" s="54"/>
      <c r="WVI2464" s="60"/>
      <c r="WVJ2464" s="60"/>
      <c r="WVK2464" s="60"/>
      <c r="WVL2464" s="60"/>
      <c r="WVM2464" s="63"/>
      <c r="WVN2464" s="61"/>
      <c r="WVO2464" s="54"/>
      <c r="WVP2464" s="54"/>
      <c r="WVQ2464" s="60"/>
      <c r="WVR2464" s="60"/>
      <c r="WVS2464" s="60"/>
      <c r="WVT2464" s="60"/>
      <c r="WVU2464" s="63"/>
      <c r="WVV2464" s="61"/>
      <c r="WVW2464" s="54"/>
      <c r="WVX2464" s="54"/>
      <c r="WVY2464" s="60"/>
      <c r="WVZ2464" s="60"/>
      <c r="WWA2464" s="60"/>
      <c r="WWB2464" s="60"/>
      <c r="WWC2464" s="63"/>
      <c r="WWD2464" s="61"/>
      <c r="WWE2464" s="54"/>
      <c r="WWF2464" s="54"/>
      <c r="WWG2464" s="60"/>
      <c r="WWH2464" s="60"/>
      <c r="WWI2464" s="60"/>
      <c r="WWJ2464" s="60"/>
      <c r="WWK2464" s="63"/>
      <c r="WWL2464" s="61"/>
      <c r="WWM2464" s="54"/>
      <c r="WWN2464" s="54"/>
      <c r="WWO2464" s="60"/>
      <c r="WWP2464" s="60"/>
      <c r="WWQ2464" s="60"/>
      <c r="WWR2464" s="60"/>
      <c r="WWS2464" s="63"/>
      <c r="WWT2464" s="61"/>
      <c r="WWU2464" s="54"/>
      <c r="WWV2464" s="54"/>
      <c r="WWW2464" s="60"/>
      <c r="WWX2464" s="60"/>
      <c r="WWY2464" s="60"/>
      <c r="WWZ2464" s="60"/>
      <c r="WXA2464" s="63"/>
      <c r="WXB2464" s="61"/>
      <c r="WXC2464" s="54"/>
      <c r="WXD2464" s="54"/>
      <c r="WXE2464" s="60"/>
      <c r="WXF2464" s="60"/>
      <c r="WXG2464" s="60"/>
      <c r="WXH2464" s="60"/>
      <c r="WXI2464" s="63"/>
      <c r="WXJ2464" s="61"/>
      <c r="WXK2464" s="54"/>
      <c r="WXL2464" s="54"/>
      <c r="WXM2464" s="60"/>
      <c r="WXN2464" s="60"/>
      <c r="WXO2464" s="60"/>
      <c r="WXP2464" s="60"/>
      <c r="WXQ2464" s="63"/>
      <c r="WXR2464" s="61"/>
      <c r="WXS2464" s="54"/>
      <c r="WXT2464" s="54"/>
      <c r="WXU2464" s="60"/>
      <c r="WXV2464" s="60"/>
      <c r="WXW2464" s="60"/>
      <c r="WXX2464" s="60"/>
      <c r="WXY2464" s="63"/>
      <c r="WXZ2464" s="61"/>
      <c r="WYA2464" s="54"/>
      <c r="WYB2464" s="54"/>
      <c r="WYC2464" s="60"/>
      <c r="WYD2464" s="60"/>
      <c r="WYE2464" s="60"/>
      <c r="WYF2464" s="60"/>
      <c r="WYG2464" s="63"/>
      <c r="WYH2464" s="61"/>
      <c r="WYI2464" s="54"/>
      <c r="WYJ2464" s="54"/>
      <c r="WYK2464" s="60"/>
      <c r="WYL2464" s="60"/>
      <c r="WYM2464" s="60"/>
      <c r="WYN2464" s="60"/>
      <c r="WYO2464" s="63"/>
      <c r="WYP2464" s="61"/>
      <c r="WYQ2464" s="54"/>
      <c r="WYR2464" s="54"/>
      <c r="WYS2464" s="60"/>
      <c r="WYT2464" s="60"/>
      <c r="WYU2464" s="60"/>
      <c r="WYV2464" s="60"/>
      <c r="WYW2464" s="63"/>
      <c r="WYX2464" s="61"/>
      <c r="WYY2464" s="54"/>
      <c r="WYZ2464" s="54"/>
      <c r="WZA2464" s="60"/>
      <c r="WZB2464" s="60"/>
      <c r="WZC2464" s="60"/>
      <c r="WZD2464" s="60"/>
      <c r="WZE2464" s="63"/>
      <c r="WZF2464" s="61"/>
      <c r="WZG2464" s="54"/>
      <c r="WZH2464" s="54"/>
      <c r="WZI2464" s="60"/>
      <c r="WZJ2464" s="60"/>
      <c r="WZK2464" s="60"/>
      <c r="WZL2464" s="60"/>
      <c r="WZM2464" s="63"/>
      <c r="WZN2464" s="61"/>
      <c r="WZO2464" s="54"/>
      <c r="WZP2464" s="54"/>
      <c r="WZQ2464" s="60"/>
      <c r="WZR2464" s="60"/>
      <c r="WZS2464" s="60"/>
      <c r="WZT2464" s="60"/>
      <c r="WZU2464" s="63"/>
      <c r="WZV2464" s="61"/>
      <c r="WZW2464" s="54"/>
      <c r="WZX2464" s="54"/>
      <c r="WZY2464" s="60"/>
      <c r="WZZ2464" s="60"/>
      <c r="XAA2464" s="60"/>
      <c r="XAB2464" s="60"/>
      <c r="XAC2464" s="63"/>
      <c r="XAD2464" s="61"/>
      <c r="XAE2464" s="54"/>
      <c r="XAF2464" s="54"/>
      <c r="XAG2464" s="60"/>
      <c r="XAH2464" s="60"/>
      <c r="XAI2464" s="60"/>
      <c r="XAJ2464" s="60"/>
      <c r="XAK2464" s="63"/>
      <c r="XAL2464" s="61"/>
      <c r="XAM2464" s="54"/>
      <c r="XAN2464" s="54"/>
      <c r="XAO2464" s="60"/>
      <c r="XAP2464" s="60"/>
      <c r="XAQ2464" s="60"/>
      <c r="XAR2464" s="60"/>
      <c r="XAS2464" s="63"/>
      <c r="XAT2464" s="61"/>
      <c r="XAU2464" s="54"/>
      <c r="XAV2464" s="54"/>
      <c r="XAW2464" s="60"/>
      <c r="XAX2464" s="60"/>
      <c r="XAY2464" s="60"/>
      <c r="XAZ2464" s="60"/>
      <c r="XBA2464" s="63"/>
      <c r="XBB2464" s="61"/>
      <c r="XBC2464" s="54"/>
      <c r="XBD2464" s="54"/>
      <c r="XBE2464" s="60"/>
      <c r="XBF2464" s="60"/>
      <c r="XBG2464" s="60"/>
      <c r="XBH2464" s="60"/>
      <c r="XBI2464" s="63"/>
      <c r="XBJ2464" s="61"/>
      <c r="XBK2464" s="54"/>
      <c r="XBL2464" s="54"/>
      <c r="XBM2464" s="60"/>
      <c r="XBN2464" s="60"/>
      <c r="XBO2464" s="60"/>
      <c r="XBP2464" s="60"/>
      <c r="XBQ2464" s="63"/>
      <c r="XBR2464" s="61"/>
      <c r="XBS2464" s="54"/>
      <c r="XBT2464" s="54"/>
      <c r="XBU2464" s="60"/>
      <c r="XBV2464" s="60"/>
      <c r="XBW2464" s="60"/>
      <c r="XBX2464" s="60"/>
      <c r="XBY2464" s="63"/>
      <c r="XBZ2464" s="61"/>
      <c r="XCA2464" s="54"/>
      <c r="XCB2464" s="54"/>
      <c r="XCC2464" s="60"/>
      <c r="XCD2464" s="60"/>
      <c r="XCE2464" s="60"/>
      <c r="XCF2464" s="60"/>
      <c r="XCG2464" s="63"/>
      <c r="XCH2464" s="61"/>
      <c r="XCI2464" s="54"/>
      <c r="XCJ2464" s="54"/>
      <c r="XCK2464" s="60"/>
      <c r="XCL2464" s="60"/>
      <c r="XCM2464" s="60"/>
      <c r="XCN2464" s="60"/>
      <c r="XCO2464" s="63"/>
      <c r="XCP2464" s="61"/>
      <c r="XCQ2464" s="54"/>
      <c r="XCR2464" s="54"/>
      <c r="XCS2464" s="60"/>
      <c r="XCT2464" s="60"/>
      <c r="XCU2464" s="60"/>
      <c r="XCV2464" s="60"/>
      <c r="XCW2464" s="63"/>
      <c r="XCX2464" s="61"/>
      <c r="XCY2464" s="54"/>
      <c r="XCZ2464" s="54"/>
      <c r="XDA2464" s="60"/>
      <c r="XDB2464" s="60"/>
      <c r="XDC2464" s="60"/>
      <c r="XDD2464" s="60"/>
      <c r="XDE2464" s="63"/>
      <c r="XDF2464" s="61"/>
      <c r="XDG2464" s="54"/>
      <c r="XDH2464" s="54"/>
      <c r="XDI2464" s="60"/>
      <c r="XDJ2464" s="60"/>
      <c r="XDK2464" s="60"/>
      <c r="XDL2464" s="60"/>
      <c r="XDM2464" s="63"/>
      <c r="XDN2464" s="61"/>
      <c r="XDO2464" s="54"/>
      <c r="XDP2464" s="54"/>
      <c r="XDQ2464" s="60"/>
      <c r="XDR2464" s="60"/>
      <c r="XDS2464" s="60"/>
      <c r="XDT2464" s="60"/>
      <c r="XDU2464" s="63"/>
      <c r="XDV2464" s="61"/>
      <c r="XDW2464" s="54"/>
      <c r="XDX2464" s="54"/>
      <c r="XDY2464" s="60"/>
      <c r="XDZ2464" s="60"/>
      <c r="XEA2464" s="60"/>
      <c r="XEB2464" s="60"/>
      <c r="XEC2464" s="63"/>
      <c r="XED2464" s="61"/>
      <c r="XEE2464" s="54"/>
      <c r="XEF2464" s="54"/>
      <c r="XEG2464" s="60"/>
      <c r="XEH2464" s="60"/>
      <c r="XEI2464" s="60"/>
      <c r="XEJ2464" s="60"/>
      <c r="XEK2464" s="63"/>
      <c r="XEL2464" s="61"/>
      <c r="XEM2464" s="54"/>
      <c r="XEN2464" s="54"/>
      <c r="XEO2464" s="60"/>
      <c r="XEP2464" s="60"/>
      <c r="XEQ2464" s="60"/>
      <c r="XER2464" s="60"/>
      <c r="XES2464" s="63"/>
      <c r="XET2464" s="61"/>
      <c r="XEU2464" s="54"/>
      <c r="XEV2464" s="54"/>
      <c r="XEW2464" s="60"/>
    </row>
    <row r="2465" ht="18" customHeight="1" spans="1:16377">
      <c r="A2465" s="6" t="s">
        <v>8209</v>
      </c>
      <c r="B2465" s="6" t="s">
        <v>8540</v>
      </c>
      <c r="C2465" s="11" t="s">
        <v>16387</v>
      </c>
      <c r="D2465" s="5" t="s">
        <v>16382</v>
      </c>
      <c r="E2465" s="11" t="s">
        <v>16388</v>
      </c>
      <c r="F2465" s="7" t="s">
        <v>11535</v>
      </c>
      <c r="G2465" s="54"/>
      <c r="H2465" s="54"/>
      <c r="I2465" s="60"/>
      <c r="J2465" s="60"/>
      <c r="K2465" s="60"/>
      <c r="L2465" s="60"/>
      <c r="M2465" s="63"/>
      <c r="N2465" s="61"/>
      <c r="O2465" s="54"/>
      <c r="P2465" s="54"/>
      <c r="Q2465" s="60"/>
      <c r="R2465" s="60"/>
      <c r="S2465" s="60"/>
      <c r="T2465" s="60"/>
      <c r="U2465" s="63"/>
      <c r="V2465" s="61"/>
      <c r="W2465" s="54"/>
      <c r="X2465" s="54"/>
      <c r="Y2465" s="60"/>
      <c r="Z2465" s="60"/>
      <c r="AA2465" s="60"/>
      <c r="AB2465" s="60"/>
      <c r="AC2465" s="63"/>
      <c r="AD2465" s="61"/>
      <c r="AE2465" s="54"/>
      <c r="AF2465" s="54"/>
      <c r="AG2465" s="60"/>
      <c r="AH2465" s="60"/>
      <c r="AI2465" s="60"/>
      <c r="AJ2465" s="60"/>
      <c r="AK2465" s="63"/>
      <c r="AL2465" s="61"/>
      <c r="AM2465" s="54"/>
      <c r="AN2465" s="54"/>
      <c r="AO2465" s="60"/>
      <c r="AP2465" s="60"/>
      <c r="AQ2465" s="60"/>
      <c r="AR2465" s="60"/>
      <c r="AS2465" s="63"/>
      <c r="AT2465" s="61"/>
      <c r="AU2465" s="54"/>
      <c r="AV2465" s="54"/>
      <c r="AW2465" s="60"/>
      <c r="AX2465" s="60"/>
      <c r="AY2465" s="60"/>
      <c r="AZ2465" s="60"/>
      <c r="BA2465" s="63"/>
      <c r="BB2465" s="61"/>
      <c r="BC2465" s="54"/>
      <c r="BD2465" s="54"/>
      <c r="BE2465" s="60"/>
      <c r="BF2465" s="60"/>
      <c r="BG2465" s="60"/>
      <c r="BH2465" s="60"/>
      <c r="BI2465" s="63"/>
      <c r="BJ2465" s="61"/>
      <c r="BK2465" s="54"/>
      <c r="BL2465" s="54"/>
      <c r="BM2465" s="60"/>
      <c r="BN2465" s="60"/>
      <c r="BO2465" s="60"/>
      <c r="BP2465" s="60"/>
      <c r="BQ2465" s="63"/>
      <c r="BR2465" s="61"/>
      <c r="BS2465" s="54"/>
      <c r="BT2465" s="54"/>
      <c r="BU2465" s="60"/>
      <c r="BV2465" s="60"/>
      <c r="BW2465" s="60"/>
      <c r="BX2465" s="60"/>
      <c r="BY2465" s="63"/>
      <c r="BZ2465" s="61"/>
      <c r="CA2465" s="54"/>
      <c r="CB2465" s="54"/>
      <c r="CC2465" s="60"/>
      <c r="CD2465" s="60"/>
      <c r="CE2465" s="60"/>
      <c r="CF2465" s="60"/>
      <c r="CG2465" s="63"/>
      <c r="CH2465" s="61"/>
      <c r="CI2465" s="54"/>
      <c r="CJ2465" s="54"/>
      <c r="CK2465" s="60"/>
      <c r="CL2465" s="60"/>
      <c r="CM2465" s="60"/>
      <c r="CN2465" s="60"/>
      <c r="CO2465" s="63"/>
      <c r="CP2465" s="61"/>
      <c r="CQ2465" s="54"/>
      <c r="CR2465" s="54"/>
      <c r="CS2465" s="60"/>
      <c r="CT2465" s="60"/>
      <c r="CU2465" s="60"/>
      <c r="CV2465" s="60"/>
      <c r="CW2465" s="63"/>
      <c r="CX2465" s="61"/>
      <c r="CY2465" s="54"/>
      <c r="CZ2465" s="54"/>
      <c r="DA2465" s="60"/>
      <c r="DB2465" s="60"/>
      <c r="DC2465" s="60"/>
      <c r="DD2465" s="60"/>
      <c r="DE2465" s="63"/>
      <c r="DF2465" s="61"/>
      <c r="DG2465" s="54"/>
      <c r="DH2465" s="54"/>
      <c r="DI2465" s="60"/>
      <c r="DJ2465" s="60"/>
      <c r="DK2465" s="60"/>
      <c r="DL2465" s="60"/>
      <c r="DM2465" s="63"/>
      <c r="DN2465" s="61"/>
      <c r="DO2465" s="54"/>
      <c r="DP2465" s="54"/>
      <c r="DQ2465" s="60"/>
      <c r="DR2465" s="60"/>
      <c r="DS2465" s="60"/>
      <c r="DT2465" s="60"/>
      <c r="DU2465" s="63"/>
      <c r="DV2465" s="61"/>
      <c r="DW2465" s="54"/>
      <c r="DX2465" s="54"/>
      <c r="DY2465" s="60"/>
      <c r="DZ2465" s="60"/>
      <c r="EA2465" s="60"/>
      <c r="EB2465" s="60"/>
      <c r="EC2465" s="63"/>
      <c r="ED2465" s="61"/>
      <c r="EE2465" s="54"/>
      <c r="EF2465" s="54"/>
      <c r="EG2465" s="60"/>
      <c r="EH2465" s="60"/>
      <c r="EI2465" s="60"/>
      <c r="EJ2465" s="60"/>
      <c r="EK2465" s="63"/>
      <c r="EL2465" s="61"/>
      <c r="EM2465" s="54"/>
      <c r="EN2465" s="54"/>
      <c r="EO2465" s="60"/>
      <c r="EP2465" s="60"/>
      <c r="EQ2465" s="60"/>
      <c r="ER2465" s="60"/>
      <c r="ES2465" s="63"/>
      <c r="ET2465" s="61"/>
      <c r="EU2465" s="54"/>
      <c r="EV2465" s="54"/>
      <c r="EW2465" s="60"/>
      <c r="EX2465" s="60"/>
      <c r="EY2465" s="60"/>
      <c r="EZ2465" s="60"/>
      <c r="FA2465" s="63"/>
      <c r="FB2465" s="61"/>
      <c r="FC2465" s="54"/>
      <c r="FD2465" s="54"/>
      <c r="FE2465" s="60"/>
      <c r="FF2465" s="60"/>
      <c r="FG2465" s="60"/>
      <c r="FH2465" s="60"/>
      <c r="FI2465" s="63"/>
      <c r="FJ2465" s="61"/>
      <c r="FK2465" s="54"/>
      <c r="FL2465" s="54"/>
      <c r="FM2465" s="60"/>
      <c r="FN2465" s="60"/>
      <c r="FO2465" s="60"/>
      <c r="FP2465" s="60"/>
      <c r="FQ2465" s="63"/>
      <c r="FR2465" s="61"/>
      <c r="FS2465" s="54"/>
      <c r="FT2465" s="54"/>
      <c r="FU2465" s="60"/>
      <c r="FV2465" s="60"/>
      <c r="FW2465" s="60"/>
      <c r="FX2465" s="60"/>
      <c r="FY2465" s="63"/>
      <c r="FZ2465" s="61"/>
      <c r="GA2465" s="54"/>
      <c r="GB2465" s="54"/>
      <c r="GC2465" s="60"/>
      <c r="GD2465" s="60"/>
      <c r="GE2465" s="60"/>
      <c r="GF2465" s="60"/>
      <c r="GG2465" s="63"/>
      <c r="GH2465" s="61"/>
      <c r="GI2465" s="54"/>
      <c r="GJ2465" s="54"/>
      <c r="GK2465" s="60"/>
      <c r="GL2465" s="60"/>
      <c r="GM2465" s="60"/>
      <c r="GN2465" s="60"/>
      <c r="GO2465" s="63"/>
      <c r="GP2465" s="61"/>
      <c r="GQ2465" s="54"/>
      <c r="GR2465" s="54"/>
      <c r="GS2465" s="60"/>
      <c r="GT2465" s="60"/>
      <c r="GU2465" s="60"/>
      <c r="GV2465" s="60"/>
      <c r="GW2465" s="63"/>
      <c r="GX2465" s="61"/>
      <c r="GY2465" s="54"/>
      <c r="GZ2465" s="54"/>
      <c r="HA2465" s="60"/>
      <c r="HB2465" s="60"/>
      <c r="HC2465" s="60"/>
      <c r="HD2465" s="60"/>
      <c r="HE2465" s="63"/>
      <c r="HF2465" s="61"/>
      <c r="HG2465" s="54"/>
      <c r="HH2465" s="54"/>
      <c r="HI2465" s="60"/>
      <c r="HJ2465" s="60"/>
      <c r="HK2465" s="60"/>
      <c r="HL2465" s="60"/>
      <c r="HM2465" s="63"/>
      <c r="HN2465" s="61"/>
      <c r="HO2465" s="54"/>
      <c r="HP2465" s="54"/>
      <c r="HQ2465" s="60"/>
      <c r="HR2465" s="60"/>
      <c r="HS2465" s="60"/>
      <c r="HT2465" s="60"/>
      <c r="HU2465" s="63"/>
      <c r="HV2465" s="61"/>
      <c r="HW2465" s="54"/>
      <c r="HX2465" s="54"/>
      <c r="HY2465" s="60"/>
      <c r="HZ2465" s="60"/>
      <c r="IA2465" s="60"/>
      <c r="IB2465" s="60"/>
      <c r="IC2465" s="63"/>
      <c r="ID2465" s="61"/>
      <c r="IE2465" s="54"/>
      <c r="IF2465" s="54"/>
      <c r="IG2465" s="60"/>
      <c r="IH2465" s="60"/>
      <c r="II2465" s="60"/>
      <c r="IJ2465" s="60"/>
      <c r="IK2465" s="63"/>
      <c r="IL2465" s="61"/>
      <c r="IM2465" s="54"/>
      <c r="IN2465" s="54"/>
      <c r="IO2465" s="60"/>
      <c r="IP2465" s="60"/>
      <c r="IQ2465" s="60"/>
      <c r="IR2465" s="60"/>
      <c r="IS2465" s="63"/>
      <c r="IT2465" s="61"/>
      <c r="IU2465" s="54"/>
      <c r="IV2465" s="54"/>
      <c r="IW2465" s="60"/>
      <c r="IX2465" s="60"/>
      <c r="IY2465" s="60"/>
      <c r="IZ2465" s="60"/>
      <c r="JA2465" s="63"/>
      <c r="JB2465" s="61"/>
      <c r="JC2465" s="54"/>
      <c r="JD2465" s="54"/>
      <c r="JE2465" s="60"/>
      <c r="JF2465" s="60"/>
      <c r="JG2465" s="60"/>
      <c r="JH2465" s="60"/>
      <c r="JI2465" s="63"/>
      <c r="JJ2465" s="61"/>
      <c r="JK2465" s="54"/>
      <c r="JL2465" s="54"/>
      <c r="JM2465" s="60"/>
      <c r="JN2465" s="60"/>
      <c r="JO2465" s="60"/>
      <c r="JP2465" s="60"/>
      <c r="JQ2465" s="63"/>
      <c r="JR2465" s="61"/>
      <c r="JS2465" s="54"/>
      <c r="JT2465" s="54"/>
      <c r="JU2465" s="60"/>
      <c r="JV2465" s="60"/>
      <c r="JW2465" s="60"/>
      <c r="JX2465" s="60"/>
      <c r="JY2465" s="63"/>
      <c r="JZ2465" s="61"/>
      <c r="KA2465" s="54"/>
      <c r="KB2465" s="54"/>
      <c r="KC2465" s="60"/>
      <c r="KD2465" s="60"/>
      <c r="KE2465" s="60"/>
      <c r="KF2465" s="60"/>
      <c r="KG2465" s="63"/>
      <c r="KH2465" s="61"/>
      <c r="KI2465" s="54"/>
      <c r="KJ2465" s="54"/>
      <c r="KK2465" s="60"/>
      <c r="KL2465" s="60"/>
      <c r="KM2465" s="60"/>
      <c r="KN2465" s="60"/>
      <c r="KO2465" s="63"/>
      <c r="KP2465" s="61"/>
      <c r="KQ2465" s="54"/>
      <c r="KR2465" s="54"/>
      <c r="KS2465" s="60"/>
      <c r="KT2465" s="60"/>
      <c r="KU2465" s="60"/>
      <c r="KV2465" s="60"/>
      <c r="KW2465" s="63"/>
      <c r="KX2465" s="61"/>
      <c r="KY2465" s="54"/>
      <c r="KZ2465" s="54"/>
      <c r="LA2465" s="60"/>
      <c r="LB2465" s="60"/>
      <c r="LC2465" s="60"/>
      <c r="LD2465" s="60"/>
      <c r="LE2465" s="63"/>
      <c r="LF2465" s="61"/>
      <c r="LG2465" s="54"/>
      <c r="LH2465" s="54"/>
      <c r="LI2465" s="60"/>
      <c r="LJ2465" s="60"/>
      <c r="LK2465" s="60"/>
      <c r="LL2465" s="60"/>
      <c r="LM2465" s="63"/>
      <c r="LN2465" s="61"/>
      <c r="LO2465" s="54"/>
      <c r="LP2465" s="54"/>
      <c r="LQ2465" s="60"/>
      <c r="LR2465" s="60"/>
      <c r="LS2465" s="60"/>
      <c r="LT2465" s="60"/>
      <c r="LU2465" s="63"/>
      <c r="LV2465" s="61"/>
      <c r="LW2465" s="54"/>
      <c r="LX2465" s="54"/>
      <c r="LY2465" s="60"/>
      <c r="LZ2465" s="60"/>
      <c r="MA2465" s="60"/>
      <c r="MB2465" s="60"/>
      <c r="MC2465" s="63"/>
      <c r="MD2465" s="61"/>
      <c r="ME2465" s="54"/>
      <c r="MF2465" s="54"/>
      <c r="MG2465" s="60"/>
      <c r="MH2465" s="60"/>
      <c r="MI2465" s="60"/>
      <c r="MJ2465" s="60"/>
      <c r="MK2465" s="63"/>
      <c r="ML2465" s="61"/>
      <c r="MM2465" s="54"/>
      <c r="MN2465" s="54"/>
      <c r="MO2465" s="60"/>
      <c r="MP2465" s="60"/>
      <c r="MQ2465" s="60"/>
      <c r="MR2465" s="60"/>
      <c r="MS2465" s="63"/>
      <c r="MT2465" s="61"/>
      <c r="MU2465" s="54"/>
      <c r="MV2465" s="54"/>
      <c r="MW2465" s="60"/>
      <c r="MX2465" s="60"/>
      <c r="MY2465" s="60"/>
      <c r="MZ2465" s="60"/>
      <c r="NA2465" s="63"/>
      <c r="NB2465" s="61"/>
      <c r="NC2465" s="54"/>
      <c r="ND2465" s="54"/>
      <c r="NE2465" s="60"/>
      <c r="NF2465" s="60"/>
      <c r="NG2465" s="60"/>
      <c r="NH2465" s="60"/>
      <c r="NI2465" s="63"/>
      <c r="NJ2465" s="61"/>
      <c r="NK2465" s="54"/>
      <c r="NL2465" s="54"/>
      <c r="NM2465" s="60"/>
      <c r="NN2465" s="60"/>
      <c r="NO2465" s="60"/>
      <c r="NP2465" s="60"/>
      <c r="NQ2465" s="63"/>
      <c r="NR2465" s="61"/>
      <c r="NS2465" s="54"/>
      <c r="NT2465" s="54"/>
      <c r="NU2465" s="60"/>
      <c r="NV2465" s="60"/>
      <c r="NW2465" s="60"/>
      <c r="NX2465" s="60"/>
      <c r="NY2465" s="63"/>
      <c r="NZ2465" s="61"/>
      <c r="OA2465" s="54"/>
      <c r="OB2465" s="54"/>
      <c r="OC2465" s="60"/>
      <c r="OD2465" s="60"/>
      <c r="OE2465" s="60"/>
      <c r="OF2465" s="60"/>
      <c r="OG2465" s="63"/>
      <c r="OH2465" s="61"/>
      <c r="OI2465" s="54"/>
      <c r="OJ2465" s="54"/>
      <c r="OK2465" s="60"/>
      <c r="OL2465" s="60"/>
      <c r="OM2465" s="60"/>
      <c r="ON2465" s="60"/>
      <c r="OO2465" s="63"/>
      <c r="OP2465" s="61"/>
      <c r="OQ2465" s="54"/>
      <c r="OR2465" s="54"/>
      <c r="OS2465" s="60"/>
      <c r="OT2465" s="60"/>
      <c r="OU2465" s="60"/>
      <c r="OV2465" s="60"/>
      <c r="OW2465" s="63"/>
      <c r="OX2465" s="61"/>
      <c r="OY2465" s="54"/>
      <c r="OZ2465" s="54"/>
      <c r="PA2465" s="60"/>
      <c r="PB2465" s="60"/>
      <c r="PC2465" s="60"/>
      <c r="PD2465" s="60"/>
      <c r="PE2465" s="63"/>
      <c r="PF2465" s="61"/>
      <c r="PG2465" s="54"/>
      <c r="PH2465" s="54"/>
      <c r="PI2465" s="60"/>
      <c r="PJ2465" s="60"/>
      <c r="PK2465" s="60"/>
      <c r="PL2465" s="60"/>
      <c r="PM2465" s="63"/>
      <c r="PN2465" s="61"/>
      <c r="PO2465" s="54"/>
      <c r="PP2465" s="54"/>
      <c r="PQ2465" s="60"/>
      <c r="PR2465" s="60"/>
      <c r="PS2465" s="60"/>
      <c r="PT2465" s="60"/>
      <c r="PU2465" s="63"/>
      <c r="PV2465" s="61"/>
      <c r="PW2465" s="54"/>
      <c r="PX2465" s="54"/>
      <c r="PY2465" s="60"/>
      <c r="PZ2465" s="60"/>
      <c r="QA2465" s="60"/>
      <c r="QB2465" s="60"/>
      <c r="QC2465" s="63"/>
      <c r="QD2465" s="61"/>
      <c r="QE2465" s="54"/>
      <c r="QF2465" s="54"/>
      <c r="QG2465" s="60"/>
      <c r="QH2465" s="60"/>
      <c r="QI2465" s="60"/>
      <c r="QJ2465" s="60"/>
      <c r="QK2465" s="63"/>
      <c r="QL2465" s="61"/>
      <c r="QM2465" s="54"/>
      <c r="QN2465" s="54"/>
      <c r="QO2465" s="60"/>
      <c r="QP2465" s="60"/>
      <c r="QQ2465" s="60"/>
      <c r="QR2465" s="60"/>
      <c r="QS2465" s="63"/>
      <c r="QT2465" s="61"/>
      <c r="QU2465" s="54"/>
      <c r="QV2465" s="54"/>
      <c r="QW2465" s="60"/>
      <c r="QX2465" s="60"/>
      <c r="QY2465" s="60"/>
      <c r="QZ2465" s="60"/>
      <c r="RA2465" s="63"/>
      <c r="RB2465" s="61"/>
      <c r="RC2465" s="54"/>
      <c r="RD2465" s="54"/>
      <c r="RE2465" s="60"/>
      <c r="RF2465" s="60"/>
      <c r="RG2465" s="60"/>
      <c r="RH2465" s="60"/>
      <c r="RI2465" s="63"/>
      <c r="RJ2465" s="61"/>
      <c r="RK2465" s="54"/>
      <c r="RL2465" s="54"/>
      <c r="RM2465" s="60"/>
      <c r="RN2465" s="60"/>
      <c r="RO2465" s="60"/>
      <c r="RP2465" s="60"/>
      <c r="RQ2465" s="63"/>
      <c r="RR2465" s="61"/>
      <c r="RS2465" s="54"/>
      <c r="RT2465" s="54"/>
      <c r="RU2465" s="60"/>
      <c r="RV2465" s="60"/>
      <c r="RW2465" s="60"/>
      <c r="RX2465" s="60"/>
      <c r="RY2465" s="63"/>
      <c r="RZ2465" s="61"/>
      <c r="SA2465" s="54"/>
      <c r="SB2465" s="54"/>
      <c r="SC2465" s="60"/>
      <c r="SD2465" s="60"/>
      <c r="SE2465" s="60"/>
      <c r="SF2465" s="60"/>
      <c r="SG2465" s="63"/>
      <c r="SH2465" s="61"/>
      <c r="SI2465" s="54"/>
      <c r="SJ2465" s="54"/>
      <c r="SK2465" s="60"/>
      <c r="SL2465" s="60"/>
      <c r="SM2465" s="60"/>
      <c r="SN2465" s="60"/>
      <c r="SO2465" s="63"/>
      <c r="SP2465" s="61"/>
      <c r="SQ2465" s="54"/>
      <c r="SR2465" s="54"/>
      <c r="SS2465" s="60"/>
      <c r="ST2465" s="60"/>
      <c r="SU2465" s="60"/>
      <c r="SV2465" s="60"/>
      <c r="SW2465" s="63"/>
      <c r="SX2465" s="61"/>
      <c r="SY2465" s="54"/>
      <c r="SZ2465" s="54"/>
      <c r="TA2465" s="60"/>
      <c r="TB2465" s="60"/>
      <c r="TC2465" s="60"/>
      <c r="TD2465" s="60"/>
      <c r="TE2465" s="63"/>
      <c r="TF2465" s="61"/>
      <c r="TG2465" s="54"/>
      <c r="TH2465" s="54"/>
      <c r="TI2465" s="60"/>
      <c r="TJ2465" s="60"/>
      <c r="TK2465" s="60"/>
      <c r="TL2465" s="60"/>
      <c r="TM2465" s="63"/>
      <c r="TN2465" s="61"/>
      <c r="TO2465" s="54"/>
      <c r="TP2465" s="54"/>
      <c r="TQ2465" s="60"/>
      <c r="TR2465" s="60"/>
      <c r="TS2465" s="60"/>
      <c r="TT2465" s="60"/>
      <c r="TU2465" s="63"/>
      <c r="TV2465" s="61"/>
      <c r="TW2465" s="54"/>
      <c r="TX2465" s="54"/>
      <c r="TY2465" s="60"/>
      <c r="TZ2465" s="60"/>
      <c r="UA2465" s="60"/>
      <c r="UB2465" s="60"/>
      <c r="UC2465" s="63"/>
      <c r="UD2465" s="61"/>
      <c r="UE2465" s="54"/>
      <c r="UF2465" s="54"/>
      <c r="UG2465" s="60"/>
      <c r="UH2465" s="60"/>
      <c r="UI2465" s="60"/>
      <c r="UJ2465" s="60"/>
      <c r="UK2465" s="63"/>
      <c r="UL2465" s="61"/>
      <c r="UM2465" s="54"/>
      <c r="UN2465" s="54"/>
      <c r="UO2465" s="60"/>
      <c r="UP2465" s="60"/>
      <c r="UQ2465" s="60"/>
      <c r="UR2465" s="60"/>
      <c r="US2465" s="63"/>
      <c r="UT2465" s="61"/>
      <c r="UU2465" s="54"/>
      <c r="UV2465" s="54"/>
      <c r="UW2465" s="60"/>
      <c r="UX2465" s="60"/>
      <c r="UY2465" s="60"/>
      <c r="UZ2465" s="60"/>
      <c r="VA2465" s="63"/>
      <c r="VB2465" s="61"/>
      <c r="VC2465" s="54"/>
      <c r="VD2465" s="54"/>
      <c r="VE2465" s="60"/>
      <c r="VF2465" s="60"/>
      <c r="VG2465" s="60"/>
      <c r="VH2465" s="60"/>
      <c r="VI2465" s="63"/>
      <c r="VJ2465" s="61"/>
      <c r="VK2465" s="54"/>
      <c r="VL2465" s="54"/>
      <c r="VM2465" s="60"/>
      <c r="VN2465" s="60"/>
      <c r="VO2465" s="60"/>
      <c r="VP2465" s="60"/>
      <c r="VQ2465" s="63"/>
      <c r="VR2465" s="61"/>
      <c r="VS2465" s="54"/>
      <c r="VT2465" s="54"/>
      <c r="VU2465" s="60"/>
      <c r="VV2465" s="60"/>
      <c r="VW2465" s="60"/>
      <c r="VX2465" s="60"/>
      <c r="VY2465" s="63"/>
      <c r="VZ2465" s="61"/>
      <c r="WA2465" s="54"/>
      <c r="WB2465" s="54"/>
      <c r="WC2465" s="60"/>
      <c r="WD2465" s="60"/>
      <c r="WE2465" s="60"/>
      <c r="WF2465" s="60"/>
      <c r="WG2465" s="63"/>
      <c r="WH2465" s="61"/>
      <c r="WI2465" s="54"/>
      <c r="WJ2465" s="54"/>
      <c r="WK2465" s="60"/>
      <c r="WL2465" s="60"/>
      <c r="WM2465" s="60"/>
      <c r="WN2465" s="60"/>
      <c r="WO2465" s="63"/>
      <c r="WP2465" s="61"/>
      <c r="WQ2465" s="54"/>
      <c r="WR2465" s="54"/>
      <c r="WS2465" s="60"/>
      <c r="WT2465" s="60"/>
      <c r="WU2465" s="60"/>
      <c r="WV2465" s="60"/>
      <c r="WW2465" s="63"/>
      <c r="WX2465" s="61"/>
      <c r="WY2465" s="54"/>
      <c r="WZ2465" s="54"/>
      <c r="XA2465" s="60"/>
      <c r="XB2465" s="60"/>
      <c r="XC2465" s="60"/>
      <c r="XD2465" s="60"/>
      <c r="XE2465" s="63"/>
      <c r="XF2465" s="61"/>
      <c r="XG2465" s="54"/>
      <c r="XH2465" s="54"/>
      <c r="XI2465" s="60"/>
      <c r="XJ2465" s="60"/>
      <c r="XK2465" s="60"/>
      <c r="XL2465" s="60"/>
      <c r="XM2465" s="63"/>
      <c r="XN2465" s="61"/>
      <c r="XO2465" s="54"/>
      <c r="XP2465" s="54"/>
      <c r="XQ2465" s="60"/>
      <c r="XR2465" s="60"/>
      <c r="XS2465" s="60"/>
      <c r="XT2465" s="60"/>
      <c r="XU2465" s="63"/>
      <c r="XV2465" s="61"/>
      <c r="XW2465" s="54"/>
      <c r="XX2465" s="54"/>
      <c r="XY2465" s="60"/>
      <c r="XZ2465" s="60"/>
      <c r="YA2465" s="60"/>
      <c r="YB2465" s="60"/>
      <c r="YC2465" s="63"/>
      <c r="YD2465" s="61"/>
      <c r="YE2465" s="54"/>
      <c r="YF2465" s="54"/>
      <c r="YG2465" s="60"/>
      <c r="YH2465" s="60"/>
      <c r="YI2465" s="60"/>
      <c r="YJ2465" s="60"/>
      <c r="YK2465" s="63"/>
      <c r="YL2465" s="61"/>
      <c r="YM2465" s="54"/>
      <c r="YN2465" s="54"/>
      <c r="YO2465" s="60"/>
      <c r="YP2465" s="60"/>
      <c r="YQ2465" s="60"/>
      <c r="YR2465" s="60"/>
      <c r="YS2465" s="63"/>
      <c r="YT2465" s="61"/>
      <c r="YU2465" s="54"/>
      <c r="YV2465" s="54"/>
      <c r="YW2465" s="60"/>
      <c r="YX2465" s="60"/>
      <c r="YY2465" s="60"/>
      <c r="YZ2465" s="60"/>
      <c r="ZA2465" s="63"/>
      <c r="ZB2465" s="61"/>
      <c r="ZC2465" s="54"/>
      <c r="ZD2465" s="54"/>
      <c r="ZE2465" s="60"/>
      <c r="ZF2465" s="60"/>
      <c r="ZG2465" s="60"/>
      <c r="ZH2465" s="60"/>
      <c r="ZI2465" s="63"/>
      <c r="ZJ2465" s="61"/>
      <c r="ZK2465" s="54"/>
      <c r="ZL2465" s="54"/>
      <c r="ZM2465" s="60"/>
      <c r="ZN2465" s="60"/>
      <c r="ZO2465" s="60"/>
      <c r="ZP2465" s="60"/>
      <c r="ZQ2465" s="63"/>
      <c r="ZR2465" s="61"/>
      <c r="ZS2465" s="54"/>
      <c r="ZT2465" s="54"/>
      <c r="ZU2465" s="60"/>
      <c r="ZV2465" s="60"/>
      <c r="ZW2465" s="60"/>
      <c r="ZX2465" s="60"/>
      <c r="ZY2465" s="63"/>
      <c r="ZZ2465" s="61"/>
      <c r="AAA2465" s="54"/>
      <c r="AAB2465" s="54"/>
      <c r="AAC2465" s="60"/>
      <c r="AAD2465" s="60"/>
      <c r="AAE2465" s="60"/>
      <c r="AAF2465" s="60"/>
      <c r="AAG2465" s="63"/>
      <c r="AAH2465" s="61"/>
      <c r="AAI2465" s="54"/>
      <c r="AAJ2465" s="54"/>
      <c r="AAK2465" s="60"/>
      <c r="AAL2465" s="60"/>
      <c r="AAM2465" s="60"/>
      <c r="AAN2465" s="60"/>
      <c r="AAO2465" s="63"/>
      <c r="AAP2465" s="61"/>
      <c r="AAQ2465" s="54"/>
      <c r="AAR2465" s="54"/>
      <c r="AAS2465" s="60"/>
      <c r="AAT2465" s="60"/>
      <c r="AAU2465" s="60"/>
      <c r="AAV2465" s="60"/>
      <c r="AAW2465" s="63"/>
      <c r="AAX2465" s="61"/>
      <c r="AAY2465" s="54"/>
      <c r="AAZ2465" s="54"/>
      <c r="ABA2465" s="60"/>
      <c r="ABB2465" s="60"/>
      <c r="ABC2465" s="60"/>
      <c r="ABD2465" s="60"/>
      <c r="ABE2465" s="63"/>
      <c r="ABF2465" s="61"/>
      <c r="ABG2465" s="54"/>
      <c r="ABH2465" s="54"/>
      <c r="ABI2465" s="60"/>
      <c r="ABJ2465" s="60"/>
      <c r="ABK2465" s="60"/>
      <c r="ABL2465" s="60"/>
      <c r="ABM2465" s="63"/>
      <c r="ABN2465" s="61"/>
      <c r="ABO2465" s="54"/>
      <c r="ABP2465" s="54"/>
      <c r="ABQ2465" s="60"/>
      <c r="ABR2465" s="60"/>
      <c r="ABS2465" s="60"/>
      <c r="ABT2465" s="60"/>
      <c r="ABU2465" s="63"/>
      <c r="ABV2465" s="61"/>
      <c r="ABW2465" s="54"/>
      <c r="ABX2465" s="54"/>
      <c r="ABY2465" s="60"/>
      <c r="ABZ2465" s="60"/>
      <c r="ACA2465" s="60"/>
      <c r="ACB2465" s="60"/>
      <c r="ACC2465" s="63"/>
      <c r="ACD2465" s="61"/>
      <c r="ACE2465" s="54"/>
      <c r="ACF2465" s="54"/>
      <c r="ACG2465" s="60"/>
      <c r="ACH2465" s="60"/>
      <c r="ACI2465" s="60"/>
      <c r="ACJ2465" s="60"/>
      <c r="ACK2465" s="63"/>
      <c r="ACL2465" s="61"/>
      <c r="ACM2465" s="54"/>
      <c r="ACN2465" s="54"/>
      <c r="ACO2465" s="60"/>
      <c r="ACP2465" s="60"/>
      <c r="ACQ2465" s="60"/>
      <c r="ACR2465" s="60"/>
      <c r="ACS2465" s="63"/>
      <c r="ACT2465" s="61"/>
      <c r="ACU2465" s="54"/>
      <c r="ACV2465" s="54"/>
      <c r="ACW2465" s="60"/>
      <c r="ACX2465" s="60"/>
      <c r="ACY2465" s="60"/>
      <c r="ACZ2465" s="60"/>
      <c r="ADA2465" s="63"/>
      <c r="ADB2465" s="61"/>
      <c r="ADC2465" s="54"/>
      <c r="ADD2465" s="54"/>
      <c r="ADE2465" s="60"/>
      <c r="ADF2465" s="60"/>
      <c r="ADG2465" s="60"/>
      <c r="ADH2465" s="60"/>
      <c r="ADI2465" s="63"/>
      <c r="ADJ2465" s="61"/>
      <c r="ADK2465" s="54"/>
      <c r="ADL2465" s="54"/>
      <c r="ADM2465" s="60"/>
      <c r="ADN2465" s="60"/>
      <c r="ADO2465" s="60"/>
      <c r="ADP2465" s="60"/>
      <c r="ADQ2465" s="63"/>
      <c r="ADR2465" s="61"/>
      <c r="ADS2465" s="54"/>
      <c r="ADT2465" s="54"/>
      <c r="ADU2465" s="60"/>
      <c r="ADV2465" s="60"/>
      <c r="ADW2465" s="60"/>
      <c r="ADX2465" s="60"/>
      <c r="ADY2465" s="63"/>
      <c r="ADZ2465" s="61"/>
      <c r="AEA2465" s="54"/>
      <c r="AEB2465" s="54"/>
      <c r="AEC2465" s="60"/>
      <c r="AED2465" s="60"/>
      <c r="AEE2465" s="60"/>
      <c r="AEF2465" s="60"/>
      <c r="AEG2465" s="63"/>
      <c r="AEH2465" s="61"/>
      <c r="AEI2465" s="54"/>
      <c r="AEJ2465" s="54"/>
      <c r="AEK2465" s="60"/>
      <c r="AEL2465" s="60"/>
      <c r="AEM2465" s="60"/>
      <c r="AEN2465" s="60"/>
      <c r="AEO2465" s="63"/>
      <c r="AEP2465" s="61"/>
      <c r="AEQ2465" s="54"/>
      <c r="AER2465" s="54"/>
      <c r="AES2465" s="60"/>
      <c r="AET2465" s="60"/>
      <c r="AEU2465" s="60"/>
      <c r="AEV2465" s="60"/>
      <c r="AEW2465" s="63"/>
      <c r="AEX2465" s="61"/>
      <c r="AEY2465" s="54"/>
      <c r="AEZ2465" s="54"/>
      <c r="AFA2465" s="60"/>
      <c r="AFB2465" s="60"/>
      <c r="AFC2465" s="60"/>
      <c r="AFD2465" s="60"/>
      <c r="AFE2465" s="63"/>
      <c r="AFF2465" s="61"/>
      <c r="AFG2465" s="54"/>
      <c r="AFH2465" s="54"/>
      <c r="AFI2465" s="60"/>
      <c r="AFJ2465" s="60"/>
      <c r="AFK2465" s="60"/>
      <c r="AFL2465" s="60"/>
      <c r="AFM2465" s="63"/>
      <c r="AFN2465" s="61"/>
      <c r="AFO2465" s="54"/>
      <c r="AFP2465" s="54"/>
      <c r="AFQ2465" s="60"/>
      <c r="AFR2465" s="60"/>
      <c r="AFS2465" s="60"/>
      <c r="AFT2465" s="60"/>
      <c r="AFU2465" s="63"/>
      <c r="AFV2465" s="61"/>
      <c r="AFW2465" s="54"/>
      <c r="AFX2465" s="54"/>
      <c r="AFY2465" s="60"/>
      <c r="AFZ2465" s="60"/>
      <c r="AGA2465" s="60"/>
      <c r="AGB2465" s="60"/>
      <c r="AGC2465" s="63"/>
      <c r="AGD2465" s="61"/>
      <c r="AGE2465" s="54"/>
      <c r="AGF2465" s="54"/>
      <c r="AGG2465" s="60"/>
      <c r="AGH2465" s="60"/>
      <c r="AGI2465" s="60"/>
      <c r="AGJ2465" s="60"/>
      <c r="AGK2465" s="63"/>
      <c r="AGL2465" s="61"/>
      <c r="AGM2465" s="54"/>
      <c r="AGN2465" s="54"/>
      <c r="AGO2465" s="60"/>
      <c r="AGP2465" s="60"/>
      <c r="AGQ2465" s="60"/>
      <c r="AGR2465" s="60"/>
      <c r="AGS2465" s="63"/>
      <c r="AGT2465" s="61"/>
      <c r="AGU2465" s="54"/>
      <c r="AGV2465" s="54"/>
      <c r="AGW2465" s="60"/>
      <c r="AGX2465" s="60"/>
      <c r="AGY2465" s="60"/>
      <c r="AGZ2465" s="60"/>
      <c r="AHA2465" s="63"/>
      <c r="AHB2465" s="61"/>
      <c r="AHC2465" s="54"/>
      <c r="AHD2465" s="54"/>
      <c r="AHE2465" s="60"/>
      <c r="AHF2465" s="60"/>
      <c r="AHG2465" s="60"/>
      <c r="AHH2465" s="60"/>
      <c r="AHI2465" s="63"/>
      <c r="AHJ2465" s="61"/>
      <c r="AHK2465" s="54"/>
      <c r="AHL2465" s="54"/>
      <c r="AHM2465" s="60"/>
      <c r="AHN2465" s="60"/>
      <c r="AHO2465" s="60"/>
      <c r="AHP2465" s="60"/>
      <c r="AHQ2465" s="63"/>
      <c r="AHR2465" s="61"/>
      <c r="AHS2465" s="54"/>
      <c r="AHT2465" s="54"/>
      <c r="AHU2465" s="60"/>
      <c r="AHV2465" s="60"/>
      <c r="AHW2465" s="60"/>
      <c r="AHX2465" s="60"/>
      <c r="AHY2465" s="63"/>
      <c r="AHZ2465" s="61"/>
      <c r="AIA2465" s="54"/>
      <c r="AIB2465" s="54"/>
      <c r="AIC2465" s="60"/>
      <c r="AID2465" s="60"/>
      <c r="AIE2465" s="60"/>
      <c r="AIF2465" s="60"/>
      <c r="AIG2465" s="63"/>
      <c r="AIH2465" s="61"/>
      <c r="AII2465" s="54"/>
      <c r="AIJ2465" s="54"/>
      <c r="AIK2465" s="60"/>
      <c r="AIL2465" s="60"/>
      <c r="AIM2465" s="60"/>
      <c r="AIN2465" s="60"/>
      <c r="AIO2465" s="63"/>
      <c r="AIP2465" s="61"/>
      <c r="AIQ2465" s="54"/>
      <c r="AIR2465" s="54"/>
      <c r="AIS2465" s="60"/>
      <c r="AIT2465" s="60"/>
      <c r="AIU2465" s="60"/>
      <c r="AIV2465" s="60"/>
      <c r="AIW2465" s="63"/>
      <c r="AIX2465" s="61"/>
      <c r="AIY2465" s="54"/>
      <c r="AIZ2465" s="54"/>
      <c r="AJA2465" s="60"/>
      <c r="AJB2465" s="60"/>
      <c r="AJC2465" s="60"/>
      <c r="AJD2465" s="60"/>
      <c r="AJE2465" s="63"/>
      <c r="AJF2465" s="61"/>
      <c r="AJG2465" s="54"/>
      <c r="AJH2465" s="54"/>
      <c r="AJI2465" s="60"/>
      <c r="AJJ2465" s="60"/>
      <c r="AJK2465" s="60"/>
      <c r="AJL2465" s="60"/>
      <c r="AJM2465" s="63"/>
      <c r="AJN2465" s="61"/>
      <c r="AJO2465" s="54"/>
      <c r="AJP2465" s="54"/>
      <c r="AJQ2465" s="60"/>
      <c r="AJR2465" s="60"/>
      <c r="AJS2465" s="60"/>
      <c r="AJT2465" s="60"/>
      <c r="AJU2465" s="63"/>
      <c r="AJV2465" s="61"/>
      <c r="AJW2465" s="54"/>
      <c r="AJX2465" s="54"/>
      <c r="AJY2465" s="60"/>
      <c r="AJZ2465" s="60"/>
      <c r="AKA2465" s="60"/>
      <c r="AKB2465" s="60"/>
      <c r="AKC2465" s="63"/>
      <c r="AKD2465" s="61"/>
      <c r="AKE2465" s="54"/>
      <c r="AKF2465" s="54"/>
      <c r="AKG2465" s="60"/>
      <c r="AKH2465" s="60"/>
      <c r="AKI2465" s="60"/>
      <c r="AKJ2465" s="60"/>
      <c r="AKK2465" s="63"/>
      <c r="AKL2465" s="61"/>
      <c r="AKM2465" s="54"/>
      <c r="AKN2465" s="54"/>
      <c r="AKO2465" s="60"/>
      <c r="AKP2465" s="60"/>
      <c r="AKQ2465" s="60"/>
      <c r="AKR2465" s="60"/>
      <c r="AKS2465" s="63"/>
      <c r="AKT2465" s="61"/>
      <c r="AKU2465" s="54"/>
      <c r="AKV2465" s="54"/>
      <c r="AKW2465" s="60"/>
      <c r="AKX2465" s="60"/>
      <c r="AKY2465" s="60"/>
      <c r="AKZ2465" s="60"/>
      <c r="ALA2465" s="63"/>
      <c r="ALB2465" s="61"/>
      <c r="ALC2465" s="54"/>
      <c r="ALD2465" s="54"/>
      <c r="ALE2465" s="60"/>
      <c r="ALF2465" s="60"/>
      <c r="ALG2465" s="60"/>
      <c r="ALH2465" s="60"/>
      <c r="ALI2465" s="63"/>
      <c r="ALJ2465" s="61"/>
      <c r="ALK2465" s="54"/>
      <c r="ALL2465" s="54"/>
      <c r="ALM2465" s="60"/>
      <c r="ALN2465" s="60"/>
      <c r="ALO2465" s="60"/>
      <c r="ALP2465" s="60"/>
      <c r="ALQ2465" s="63"/>
      <c r="ALR2465" s="61"/>
      <c r="ALS2465" s="54"/>
      <c r="ALT2465" s="54"/>
      <c r="ALU2465" s="60"/>
      <c r="ALV2465" s="60"/>
      <c r="ALW2465" s="60"/>
      <c r="ALX2465" s="60"/>
      <c r="ALY2465" s="63"/>
      <c r="ALZ2465" s="61"/>
      <c r="AMA2465" s="54"/>
      <c r="AMB2465" s="54"/>
      <c r="AMC2465" s="60"/>
      <c r="AMD2465" s="60"/>
      <c r="AME2465" s="60"/>
      <c r="AMF2465" s="60"/>
      <c r="AMG2465" s="63"/>
      <c r="AMH2465" s="61"/>
      <c r="AMI2465" s="54"/>
      <c r="AMJ2465" s="54"/>
      <c r="AMK2465" s="60"/>
      <c r="AML2465" s="60"/>
      <c r="AMM2465" s="60"/>
      <c r="AMN2465" s="60"/>
      <c r="AMO2465" s="63"/>
      <c r="AMP2465" s="61"/>
      <c r="AMQ2465" s="54"/>
      <c r="AMR2465" s="54"/>
      <c r="AMS2465" s="60"/>
      <c r="AMT2465" s="60"/>
      <c r="AMU2465" s="60"/>
      <c r="AMV2465" s="60"/>
      <c r="AMW2465" s="63"/>
      <c r="AMX2465" s="61"/>
      <c r="AMY2465" s="54"/>
      <c r="AMZ2465" s="54"/>
      <c r="ANA2465" s="60"/>
      <c r="ANB2465" s="60"/>
      <c r="ANC2465" s="60"/>
      <c r="AND2465" s="60"/>
      <c r="ANE2465" s="63"/>
      <c r="ANF2465" s="61"/>
      <c r="ANG2465" s="54"/>
      <c r="ANH2465" s="54"/>
      <c r="ANI2465" s="60"/>
      <c r="ANJ2465" s="60"/>
      <c r="ANK2465" s="60"/>
      <c r="ANL2465" s="60"/>
      <c r="ANM2465" s="63"/>
      <c r="ANN2465" s="61"/>
      <c r="ANO2465" s="54"/>
      <c r="ANP2465" s="54"/>
      <c r="ANQ2465" s="60"/>
      <c r="ANR2465" s="60"/>
      <c r="ANS2465" s="60"/>
      <c r="ANT2465" s="60"/>
      <c r="ANU2465" s="63"/>
      <c r="ANV2465" s="61"/>
      <c r="ANW2465" s="54"/>
      <c r="ANX2465" s="54"/>
      <c r="ANY2465" s="60"/>
      <c r="ANZ2465" s="60"/>
      <c r="AOA2465" s="60"/>
      <c r="AOB2465" s="60"/>
      <c r="AOC2465" s="63"/>
      <c r="AOD2465" s="61"/>
      <c r="AOE2465" s="54"/>
      <c r="AOF2465" s="54"/>
      <c r="AOG2465" s="60"/>
      <c r="AOH2465" s="60"/>
      <c r="AOI2465" s="60"/>
      <c r="AOJ2465" s="60"/>
      <c r="AOK2465" s="63"/>
      <c r="AOL2465" s="61"/>
      <c r="AOM2465" s="54"/>
      <c r="AON2465" s="54"/>
      <c r="AOO2465" s="60"/>
      <c r="AOP2465" s="60"/>
      <c r="AOQ2465" s="60"/>
      <c r="AOR2465" s="60"/>
      <c r="AOS2465" s="63"/>
      <c r="AOT2465" s="61"/>
      <c r="AOU2465" s="54"/>
      <c r="AOV2465" s="54"/>
      <c r="AOW2465" s="60"/>
      <c r="AOX2465" s="60"/>
      <c r="AOY2465" s="60"/>
      <c r="AOZ2465" s="60"/>
      <c r="APA2465" s="63"/>
      <c r="APB2465" s="61"/>
      <c r="APC2465" s="54"/>
      <c r="APD2465" s="54"/>
      <c r="APE2465" s="60"/>
      <c r="APF2465" s="60"/>
      <c r="APG2465" s="60"/>
      <c r="APH2465" s="60"/>
      <c r="API2465" s="63"/>
      <c r="APJ2465" s="61"/>
      <c r="APK2465" s="54"/>
      <c r="APL2465" s="54"/>
      <c r="APM2465" s="60"/>
      <c r="APN2465" s="60"/>
      <c r="APO2465" s="60"/>
      <c r="APP2465" s="60"/>
      <c r="APQ2465" s="63"/>
      <c r="APR2465" s="61"/>
      <c r="APS2465" s="54"/>
      <c r="APT2465" s="54"/>
      <c r="APU2465" s="60"/>
      <c r="APV2465" s="60"/>
      <c r="APW2465" s="60"/>
      <c r="APX2465" s="60"/>
      <c r="APY2465" s="63"/>
      <c r="APZ2465" s="61"/>
      <c r="AQA2465" s="54"/>
      <c r="AQB2465" s="54"/>
      <c r="AQC2465" s="60"/>
      <c r="AQD2465" s="60"/>
      <c r="AQE2465" s="60"/>
      <c r="AQF2465" s="60"/>
      <c r="AQG2465" s="63"/>
      <c r="AQH2465" s="61"/>
      <c r="AQI2465" s="54"/>
      <c r="AQJ2465" s="54"/>
      <c r="AQK2465" s="60"/>
      <c r="AQL2465" s="60"/>
      <c r="AQM2465" s="60"/>
      <c r="AQN2465" s="60"/>
      <c r="AQO2465" s="63"/>
      <c r="AQP2465" s="61"/>
      <c r="AQQ2465" s="54"/>
      <c r="AQR2465" s="54"/>
      <c r="AQS2465" s="60"/>
      <c r="AQT2465" s="60"/>
      <c r="AQU2465" s="60"/>
      <c r="AQV2465" s="60"/>
      <c r="AQW2465" s="63"/>
      <c r="AQX2465" s="61"/>
      <c r="AQY2465" s="54"/>
      <c r="AQZ2465" s="54"/>
      <c r="ARA2465" s="60"/>
      <c r="ARB2465" s="60"/>
      <c r="ARC2465" s="60"/>
      <c r="ARD2465" s="60"/>
      <c r="ARE2465" s="63"/>
      <c r="ARF2465" s="61"/>
      <c r="ARG2465" s="54"/>
      <c r="ARH2465" s="54"/>
      <c r="ARI2465" s="60"/>
      <c r="ARJ2465" s="60"/>
      <c r="ARK2465" s="60"/>
      <c r="ARL2465" s="60"/>
      <c r="ARM2465" s="63"/>
      <c r="ARN2465" s="61"/>
      <c r="ARO2465" s="54"/>
      <c r="ARP2465" s="54"/>
      <c r="ARQ2465" s="60"/>
      <c r="ARR2465" s="60"/>
      <c r="ARS2465" s="60"/>
      <c r="ART2465" s="60"/>
      <c r="ARU2465" s="63"/>
      <c r="ARV2465" s="61"/>
      <c r="ARW2465" s="54"/>
      <c r="ARX2465" s="54"/>
      <c r="ARY2465" s="60"/>
      <c r="ARZ2465" s="60"/>
      <c r="ASA2465" s="60"/>
      <c r="ASB2465" s="60"/>
      <c r="ASC2465" s="63"/>
      <c r="ASD2465" s="61"/>
      <c r="ASE2465" s="54"/>
      <c r="ASF2465" s="54"/>
      <c r="ASG2465" s="60"/>
      <c r="ASH2465" s="60"/>
      <c r="ASI2465" s="60"/>
      <c r="ASJ2465" s="60"/>
      <c r="ASK2465" s="63"/>
      <c r="ASL2465" s="61"/>
      <c r="ASM2465" s="54"/>
      <c r="ASN2465" s="54"/>
      <c r="ASO2465" s="60"/>
      <c r="ASP2465" s="60"/>
      <c r="ASQ2465" s="60"/>
      <c r="ASR2465" s="60"/>
      <c r="ASS2465" s="63"/>
      <c r="AST2465" s="61"/>
      <c r="ASU2465" s="54"/>
      <c r="ASV2465" s="54"/>
      <c r="ASW2465" s="60"/>
      <c r="ASX2465" s="60"/>
      <c r="ASY2465" s="60"/>
      <c r="ASZ2465" s="60"/>
      <c r="ATA2465" s="63"/>
      <c r="ATB2465" s="61"/>
      <c r="ATC2465" s="54"/>
      <c r="ATD2465" s="54"/>
      <c r="ATE2465" s="60"/>
      <c r="ATF2465" s="60"/>
      <c r="ATG2465" s="60"/>
      <c r="ATH2465" s="60"/>
      <c r="ATI2465" s="63"/>
      <c r="ATJ2465" s="61"/>
      <c r="ATK2465" s="54"/>
      <c r="ATL2465" s="54"/>
      <c r="ATM2465" s="60"/>
      <c r="ATN2465" s="60"/>
      <c r="ATO2465" s="60"/>
      <c r="ATP2465" s="60"/>
      <c r="ATQ2465" s="63"/>
      <c r="ATR2465" s="61"/>
      <c r="ATS2465" s="54"/>
      <c r="ATT2465" s="54"/>
      <c r="ATU2465" s="60"/>
      <c r="ATV2465" s="60"/>
      <c r="ATW2465" s="60"/>
      <c r="ATX2465" s="60"/>
      <c r="ATY2465" s="63"/>
      <c r="ATZ2465" s="61"/>
      <c r="AUA2465" s="54"/>
      <c r="AUB2465" s="54"/>
      <c r="AUC2465" s="60"/>
      <c r="AUD2465" s="60"/>
      <c r="AUE2465" s="60"/>
      <c r="AUF2465" s="60"/>
      <c r="AUG2465" s="63"/>
      <c r="AUH2465" s="61"/>
      <c r="AUI2465" s="54"/>
      <c r="AUJ2465" s="54"/>
      <c r="AUK2465" s="60"/>
      <c r="AUL2465" s="60"/>
      <c r="AUM2465" s="60"/>
      <c r="AUN2465" s="60"/>
      <c r="AUO2465" s="63"/>
      <c r="AUP2465" s="61"/>
      <c r="AUQ2465" s="54"/>
      <c r="AUR2465" s="54"/>
      <c r="AUS2465" s="60"/>
      <c r="AUT2465" s="60"/>
      <c r="AUU2465" s="60"/>
      <c r="AUV2465" s="60"/>
      <c r="AUW2465" s="63"/>
      <c r="AUX2465" s="61"/>
      <c r="AUY2465" s="54"/>
      <c r="AUZ2465" s="54"/>
      <c r="AVA2465" s="60"/>
      <c r="AVB2465" s="60"/>
      <c r="AVC2465" s="60"/>
      <c r="AVD2465" s="60"/>
      <c r="AVE2465" s="63"/>
      <c r="AVF2465" s="61"/>
      <c r="AVG2465" s="54"/>
      <c r="AVH2465" s="54"/>
      <c r="AVI2465" s="60"/>
      <c r="AVJ2465" s="60"/>
      <c r="AVK2465" s="60"/>
      <c r="AVL2465" s="60"/>
      <c r="AVM2465" s="63"/>
      <c r="AVN2465" s="61"/>
      <c r="AVO2465" s="54"/>
      <c r="AVP2465" s="54"/>
      <c r="AVQ2465" s="60"/>
      <c r="AVR2465" s="60"/>
      <c r="AVS2465" s="60"/>
      <c r="AVT2465" s="60"/>
      <c r="AVU2465" s="63"/>
      <c r="AVV2465" s="61"/>
      <c r="AVW2465" s="54"/>
      <c r="AVX2465" s="54"/>
      <c r="AVY2465" s="60"/>
      <c r="AVZ2465" s="60"/>
      <c r="AWA2465" s="60"/>
      <c r="AWB2465" s="60"/>
      <c r="AWC2465" s="63"/>
      <c r="AWD2465" s="61"/>
      <c r="AWE2465" s="54"/>
      <c r="AWF2465" s="54"/>
      <c r="AWG2465" s="60"/>
      <c r="AWH2465" s="60"/>
      <c r="AWI2465" s="60"/>
      <c r="AWJ2465" s="60"/>
      <c r="AWK2465" s="63"/>
      <c r="AWL2465" s="61"/>
      <c r="AWM2465" s="54"/>
      <c r="AWN2465" s="54"/>
      <c r="AWO2465" s="60"/>
      <c r="AWP2465" s="60"/>
      <c r="AWQ2465" s="60"/>
      <c r="AWR2465" s="60"/>
      <c r="AWS2465" s="63"/>
      <c r="AWT2465" s="61"/>
      <c r="AWU2465" s="54"/>
      <c r="AWV2465" s="54"/>
      <c r="AWW2465" s="60"/>
      <c r="AWX2465" s="60"/>
      <c r="AWY2465" s="60"/>
      <c r="AWZ2465" s="60"/>
      <c r="AXA2465" s="63"/>
      <c r="AXB2465" s="61"/>
      <c r="AXC2465" s="54"/>
      <c r="AXD2465" s="54"/>
      <c r="AXE2465" s="60"/>
      <c r="AXF2465" s="60"/>
      <c r="AXG2465" s="60"/>
      <c r="AXH2465" s="60"/>
      <c r="AXI2465" s="63"/>
      <c r="AXJ2465" s="61"/>
      <c r="AXK2465" s="54"/>
      <c r="AXL2465" s="54"/>
      <c r="AXM2465" s="60"/>
      <c r="AXN2465" s="60"/>
      <c r="AXO2465" s="60"/>
      <c r="AXP2465" s="60"/>
      <c r="AXQ2465" s="63"/>
      <c r="AXR2465" s="61"/>
      <c r="AXS2465" s="54"/>
      <c r="AXT2465" s="54"/>
      <c r="AXU2465" s="60"/>
      <c r="AXV2465" s="60"/>
      <c r="AXW2465" s="60"/>
      <c r="AXX2465" s="60"/>
      <c r="AXY2465" s="63"/>
      <c r="AXZ2465" s="61"/>
      <c r="AYA2465" s="54"/>
      <c r="AYB2465" s="54"/>
      <c r="AYC2465" s="60"/>
      <c r="AYD2465" s="60"/>
      <c r="AYE2465" s="60"/>
      <c r="AYF2465" s="60"/>
      <c r="AYG2465" s="63"/>
      <c r="AYH2465" s="61"/>
      <c r="AYI2465" s="54"/>
      <c r="AYJ2465" s="54"/>
      <c r="AYK2465" s="60"/>
      <c r="AYL2465" s="60"/>
      <c r="AYM2465" s="60"/>
      <c r="AYN2465" s="60"/>
      <c r="AYO2465" s="63"/>
      <c r="AYP2465" s="61"/>
      <c r="AYQ2465" s="54"/>
      <c r="AYR2465" s="54"/>
      <c r="AYS2465" s="60"/>
      <c r="AYT2465" s="60"/>
      <c r="AYU2465" s="60"/>
      <c r="AYV2465" s="60"/>
      <c r="AYW2465" s="63"/>
      <c r="AYX2465" s="61"/>
      <c r="AYY2465" s="54"/>
      <c r="AYZ2465" s="54"/>
      <c r="AZA2465" s="60"/>
      <c r="AZB2465" s="60"/>
      <c r="AZC2465" s="60"/>
      <c r="AZD2465" s="60"/>
      <c r="AZE2465" s="63"/>
      <c r="AZF2465" s="61"/>
      <c r="AZG2465" s="54"/>
      <c r="AZH2465" s="54"/>
      <c r="AZI2465" s="60"/>
      <c r="AZJ2465" s="60"/>
      <c r="AZK2465" s="60"/>
      <c r="AZL2465" s="60"/>
      <c r="AZM2465" s="63"/>
      <c r="AZN2465" s="61"/>
      <c r="AZO2465" s="54"/>
      <c r="AZP2465" s="54"/>
      <c r="AZQ2465" s="60"/>
      <c r="AZR2465" s="60"/>
      <c r="AZS2465" s="60"/>
      <c r="AZT2465" s="60"/>
      <c r="AZU2465" s="63"/>
      <c r="AZV2465" s="61"/>
      <c r="AZW2465" s="54"/>
      <c r="AZX2465" s="54"/>
      <c r="AZY2465" s="60"/>
      <c r="AZZ2465" s="60"/>
      <c r="BAA2465" s="60"/>
      <c r="BAB2465" s="60"/>
      <c r="BAC2465" s="63"/>
      <c r="BAD2465" s="61"/>
      <c r="BAE2465" s="54"/>
      <c r="BAF2465" s="54"/>
      <c r="BAG2465" s="60"/>
      <c r="BAH2465" s="60"/>
      <c r="BAI2465" s="60"/>
      <c r="BAJ2465" s="60"/>
      <c r="BAK2465" s="63"/>
      <c r="BAL2465" s="61"/>
      <c r="BAM2465" s="54"/>
      <c r="BAN2465" s="54"/>
      <c r="BAO2465" s="60"/>
      <c r="BAP2465" s="60"/>
      <c r="BAQ2465" s="60"/>
      <c r="BAR2465" s="60"/>
      <c r="BAS2465" s="63"/>
      <c r="BAT2465" s="61"/>
      <c r="BAU2465" s="54"/>
      <c r="BAV2465" s="54"/>
      <c r="BAW2465" s="60"/>
      <c r="BAX2465" s="60"/>
      <c r="BAY2465" s="60"/>
      <c r="BAZ2465" s="60"/>
      <c r="BBA2465" s="63"/>
      <c r="BBB2465" s="61"/>
      <c r="BBC2465" s="54"/>
      <c r="BBD2465" s="54"/>
      <c r="BBE2465" s="60"/>
      <c r="BBF2465" s="60"/>
      <c r="BBG2465" s="60"/>
      <c r="BBH2465" s="60"/>
      <c r="BBI2465" s="63"/>
      <c r="BBJ2465" s="61"/>
      <c r="BBK2465" s="54"/>
      <c r="BBL2465" s="54"/>
      <c r="BBM2465" s="60"/>
      <c r="BBN2465" s="60"/>
      <c r="BBO2465" s="60"/>
      <c r="BBP2465" s="60"/>
      <c r="BBQ2465" s="63"/>
      <c r="BBR2465" s="61"/>
      <c r="BBS2465" s="54"/>
      <c r="BBT2465" s="54"/>
      <c r="BBU2465" s="60"/>
      <c r="BBV2465" s="60"/>
      <c r="BBW2465" s="60"/>
      <c r="BBX2465" s="60"/>
      <c r="BBY2465" s="63"/>
      <c r="BBZ2465" s="61"/>
      <c r="BCA2465" s="54"/>
      <c r="BCB2465" s="54"/>
      <c r="BCC2465" s="60"/>
      <c r="BCD2465" s="60"/>
      <c r="BCE2465" s="60"/>
      <c r="BCF2465" s="60"/>
      <c r="BCG2465" s="63"/>
      <c r="BCH2465" s="61"/>
      <c r="BCI2465" s="54"/>
      <c r="BCJ2465" s="54"/>
      <c r="BCK2465" s="60"/>
      <c r="BCL2465" s="60"/>
      <c r="BCM2465" s="60"/>
      <c r="BCN2465" s="60"/>
      <c r="BCO2465" s="63"/>
      <c r="BCP2465" s="61"/>
      <c r="BCQ2465" s="54"/>
      <c r="BCR2465" s="54"/>
      <c r="BCS2465" s="60"/>
      <c r="BCT2465" s="60"/>
      <c r="BCU2465" s="60"/>
      <c r="BCV2465" s="60"/>
      <c r="BCW2465" s="63"/>
      <c r="BCX2465" s="61"/>
      <c r="BCY2465" s="54"/>
      <c r="BCZ2465" s="54"/>
      <c r="BDA2465" s="60"/>
      <c r="BDB2465" s="60"/>
      <c r="BDC2465" s="60"/>
      <c r="BDD2465" s="60"/>
      <c r="BDE2465" s="63"/>
      <c r="BDF2465" s="61"/>
      <c r="BDG2465" s="54"/>
      <c r="BDH2465" s="54"/>
      <c r="BDI2465" s="60"/>
      <c r="BDJ2465" s="60"/>
      <c r="BDK2465" s="60"/>
      <c r="BDL2465" s="60"/>
      <c r="BDM2465" s="63"/>
      <c r="BDN2465" s="61"/>
      <c r="BDO2465" s="54"/>
      <c r="BDP2465" s="54"/>
      <c r="BDQ2465" s="60"/>
      <c r="BDR2465" s="60"/>
      <c r="BDS2465" s="60"/>
      <c r="BDT2465" s="60"/>
      <c r="BDU2465" s="63"/>
      <c r="BDV2465" s="61"/>
      <c r="BDW2465" s="54"/>
      <c r="BDX2465" s="54"/>
      <c r="BDY2465" s="60"/>
      <c r="BDZ2465" s="60"/>
      <c r="BEA2465" s="60"/>
      <c r="BEB2465" s="60"/>
      <c r="BEC2465" s="63"/>
      <c r="BED2465" s="61"/>
      <c r="BEE2465" s="54"/>
      <c r="BEF2465" s="54"/>
      <c r="BEG2465" s="60"/>
      <c r="BEH2465" s="60"/>
      <c r="BEI2465" s="60"/>
      <c r="BEJ2465" s="60"/>
      <c r="BEK2465" s="63"/>
      <c r="BEL2465" s="61"/>
      <c r="BEM2465" s="54"/>
      <c r="BEN2465" s="54"/>
      <c r="BEO2465" s="60"/>
      <c r="BEP2465" s="60"/>
      <c r="BEQ2465" s="60"/>
      <c r="BER2465" s="60"/>
      <c r="BES2465" s="63"/>
      <c r="BET2465" s="61"/>
      <c r="BEU2465" s="54"/>
      <c r="BEV2465" s="54"/>
      <c r="BEW2465" s="60"/>
      <c r="BEX2465" s="60"/>
      <c r="BEY2465" s="60"/>
      <c r="BEZ2465" s="60"/>
      <c r="BFA2465" s="63"/>
      <c r="BFB2465" s="61"/>
      <c r="BFC2465" s="54"/>
      <c r="BFD2465" s="54"/>
      <c r="BFE2465" s="60"/>
      <c r="BFF2465" s="60"/>
      <c r="BFG2465" s="60"/>
      <c r="BFH2465" s="60"/>
      <c r="BFI2465" s="63"/>
      <c r="BFJ2465" s="61"/>
      <c r="BFK2465" s="54"/>
      <c r="BFL2465" s="54"/>
      <c r="BFM2465" s="60"/>
      <c r="BFN2465" s="60"/>
      <c r="BFO2465" s="60"/>
      <c r="BFP2465" s="60"/>
      <c r="BFQ2465" s="63"/>
      <c r="BFR2465" s="61"/>
      <c r="BFS2465" s="54"/>
      <c r="BFT2465" s="54"/>
      <c r="BFU2465" s="60"/>
      <c r="BFV2465" s="60"/>
      <c r="BFW2465" s="60"/>
      <c r="BFX2465" s="60"/>
      <c r="BFY2465" s="63"/>
      <c r="BFZ2465" s="61"/>
      <c r="BGA2465" s="54"/>
      <c r="BGB2465" s="54"/>
      <c r="BGC2465" s="60"/>
      <c r="BGD2465" s="60"/>
      <c r="BGE2465" s="60"/>
      <c r="BGF2465" s="60"/>
      <c r="BGG2465" s="63"/>
      <c r="BGH2465" s="61"/>
      <c r="BGI2465" s="54"/>
      <c r="BGJ2465" s="54"/>
      <c r="BGK2465" s="60"/>
      <c r="BGL2465" s="60"/>
      <c r="BGM2465" s="60"/>
      <c r="BGN2465" s="60"/>
      <c r="BGO2465" s="63"/>
      <c r="BGP2465" s="61"/>
      <c r="BGQ2465" s="54"/>
      <c r="BGR2465" s="54"/>
      <c r="BGS2465" s="60"/>
      <c r="BGT2465" s="60"/>
      <c r="BGU2465" s="60"/>
      <c r="BGV2465" s="60"/>
      <c r="BGW2465" s="63"/>
      <c r="BGX2465" s="61"/>
      <c r="BGY2465" s="54"/>
      <c r="BGZ2465" s="54"/>
      <c r="BHA2465" s="60"/>
      <c r="BHB2465" s="60"/>
      <c r="BHC2465" s="60"/>
      <c r="BHD2465" s="60"/>
      <c r="BHE2465" s="63"/>
      <c r="BHF2465" s="61"/>
      <c r="BHG2465" s="54"/>
      <c r="BHH2465" s="54"/>
      <c r="BHI2465" s="60"/>
      <c r="BHJ2465" s="60"/>
      <c r="BHK2465" s="60"/>
      <c r="BHL2465" s="60"/>
      <c r="BHM2465" s="63"/>
      <c r="BHN2465" s="61"/>
      <c r="BHO2465" s="54"/>
      <c r="BHP2465" s="54"/>
      <c r="BHQ2465" s="60"/>
      <c r="BHR2465" s="60"/>
      <c r="BHS2465" s="60"/>
      <c r="BHT2465" s="60"/>
      <c r="BHU2465" s="63"/>
      <c r="BHV2465" s="61"/>
      <c r="BHW2465" s="54"/>
      <c r="BHX2465" s="54"/>
      <c r="BHY2465" s="60"/>
      <c r="BHZ2465" s="60"/>
      <c r="BIA2465" s="60"/>
      <c r="BIB2465" s="60"/>
      <c r="BIC2465" s="63"/>
      <c r="BID2465" s="61"/>
      <c r="BIE2465" s="54"/>
      <c r="BIF2465" s="54"/>
      <c r="BIG2465" s="60"/>
      <c r="BIH2465" s="60"/>
      <c r="BII2465" s="60"/>
      <c r="BIJ2465" s="60"/>
      <c r="BIK2465" s="63"/>
      <c r="BIL2465" s="61"/>
      <c r="BIM2465" s="54"/>
      <c r="BIN2465" s="54"/>
      <c r="BIO2465" s="60"/>
      <c r="BIP2465" s="60"/>
      <c r="BIQ2465" s="60"/>
      <c r="BIR2465" s="60"/>
      <c r="BIS2465" s="63"/>
      <c r="BIT2465" s="61"/>
      <c r="BIU2465" s="54"/>
      <c r="BIV2465" s="54"/>
      <c r="BIW2465" s="60"/>
      <c r="BIX2465" s="60"/>
      <c r="BIY2465" s="60"/>
      <c r="BIZ2465" s="60"/>
      <c r="BJA2465" s="63"/>
      <c r="BJB2465" s="61"/>
      <c r="BJC2465" s="54"/>
      <c r="BJD2465" s="54"/>
      <c r="BJE2465" s="60"/>
      <c r="BJF2465" s="60"/>
      <c r="BJG2465" s="60"/>
      <c r="BJH2465" s="60"/>
      <c r="BJI2465" s="63"/>
      <c r="BJJ2465" s="61"/>
      <c r="BJK2465" s="54"/>
      <c r="BJL2465" s="54"/>
      <c r="BJM2465" s="60"/>
      <c r="BJN2465" s="60"/>
      <c r="BJO2465" s="60"/>
      <c r="BJP2465" s="60"/>
      <c r="BJQ2465" s="63"/>
      <c r="BJR2465" s="61"/>
      <c r="BJS2465" s="54"/>
      <c r="BJT2465" s="54"/>
      <c r="BJU2465" s="60"/>
      <c r="BJV2465" s="60"/>
      <c r="BJW2465" s="60"/>
      <c r="BJX2465" s="60"/>
      <c r="BJY2465" s="63"/>
      <c r="BJZ2465" s="61"/>
      <c r="BKA2465" s="54"/>
      <c r="BKB2465" s="54"/>
      <c r="BKC2465" s="60"/>
      <c r="BKD2465" s="60"/>
      <c r="BKE2465" s="60"/>
      <c r="BKF2465" s="60"/>
      <c r="BKG2465" s="63"/>
      <c r="BKH2465" s="61"/>
      <c r="BKI2465" s="54"/>
      <c r="BKJ2465" s="54"/>
      <c r="BKK2465" s="60"/>
      <c r="BKL2465" s="60"/>
      <c r="BKM2465" s="60"/>
      <c r="BKN2465" s="60"/>
      <c r="BKO2465" s="63"/>
      <c r="BKP2465" s="61"/>
      <c r="BKQ2465" s="54"/>
      <c r="BKR2465" s="54"/>
      <c r="BKS2465" s="60"/>
      <c r="BKT2465" s="60"/>
      <c r="BKU2465" s="60"/>
      <c r="BKV2465" s="60"/>
      <c r="BKW2465" s="63"/>
      <c r="BKX2465" s="61"/>
      <c r="BKY2465" s="54"/>
      <c r="BKZ2465" s="54"/>
      <c r="BLA2465" s="60"/>
      <c r="BLB2465" s="60"/>
      <c r="BLC2465" s="60"/>
      <c r="BLD2465" s="60"/>
      <c r="BLE2465" s="63"/>
      <c r="BLF2465" s="61"/>
      <c r="BLG2465" s="54"/>
      <c r="BLH2465" s="54"/>
      <c r="BLI2465" s="60"/>
      <c r="BLJ2465" s="60"/>
      <c r="BLK2465" s="60"/>
      <c r="BLL2465" s="60"/>
      <c r="BLM2465" s="63"/>
      <c r="BLN2465" s="61"/>
      <c r="BLO2465" s="54"/>
      <c r="BLP2465" s="54"/>
      <c r="BLQ2465" s="60"/>
      <c r="BLR2465" s="60"/>
      <c r="BLS2465" s="60"/>
      <c r="BLT2465" s="60"/>
      <c r="BLU2465" s="63"/>
      <c r="BLV2465" s="61"/>
      <c r="BLW2465" s="54"/>
      <c r="BLX2465" s="54"/>
      <c r="BLY2465" s="60"/>
      <c r="BLZ2465" s="60"/>
      <c r="BMA2465" s="60"/>
      <c r="BMB2465" s="60"/>
      <c r="BMC2465" s="63"/>
      <c r="BMD2465" s="61"/>
      <c r="BME2465" s="54"/>
      <c r="BMF2465" s="54"/>
      <c r="BMG2465" s="60"/>
      <c r="BMH2465" s="60"/>
      <c r="BMI2465" s="60"/>
      <c r="BMJ2465" s="60"/>
      <c r="BMK2465" s="63"/>
      <c r="BML2465" s="61"/>
      <c r="BMM2465" s="54"/>
      <c r="BMN2465" s="54"/>
      <c r="BMO2465" s="60"/>
      <c r="BMP2465" s="60"/>
      <c r="BMQ2465" s="60"/>
      <c r="BMR2465" s="60"/>
      <c r="BMS2465" s="63"/>
      <c r="BMT2465" s="61"/>
      <c r="BMU2465" s="54"/>
      <c r="BMV2465" s="54"/>
      <c r="BMW2465" s="60"/>
      <c r="BMX2465" s="60"/>
      <c r="BMY2465" s="60"/>
      <c r="BMZ2465" s="60"/>
      <c r="BNA2465" s="63"/>
      <c r="BNB2465" s="61"/>
      <c r="BNC2465" s="54"/>
      <c r="BND2465" s="54"/>
      <c r="BNE2465" s="60"/>
      <c r="BNF2465" s="60"/>
      <c r="BNG2465" s="60"/>
      <c r="BNH2465" s="60"/>
      <c r="BNI2465" s="63"/>
      <c r="BNJ2465" s="61"/>
      <c r="BNK2465" s="54"/>
      <c r="BNL2465" s="54"/>
      <c r="BNM2465" s="60"/>
      <c r="BNN2465" s="60"/>
      <c r="BNO2465" s="60"/>
      <c r="BNP2465" s="60"/>
      <c r="BNQ2465" s="63"/>
      <c r="BNR2465" s="61"/>
      <c r="BNS2465" s="54"/>
      <c r="BNT2465" s="54"/>
      <c r="BNU2465" s="60"/>
      <c r="BNV2465" s="60"/>
      <c r="BNW2465" s="60"/>
      <c r="BNX2465" s="60"/>
      <c r="BNY2465" s="63"/>
      <c r="BNZ2465" s="61"/>
      <c r="BOA2465" s="54"/>
      <c r="BOB2465" s="54"/>
      <c r="BOC2465" s="60"/>
      <c r="BOD2465" s="60"/>
      <c r="BOE2465" s="60"/>
      <c r="BOF2465" s="60"/>
      <c r="BOG2465" s="63"/>
      <c r="BOH2465" s="61"/>
      <c r="BOI2465" s="54"/>
      <c r="BOJ2465" s="54"/>
      <c r="BOK2465" s="60"/>
      <c r="BOL2465" s="60"/>
      <c r="BOM2465" s="60"/>
      <c r="BON2465" s="60"/>
      <c r="BOO2465" s="63"/>
      <c r="BOP2465" s="61"/>
      <c r="BOQ2465" s="54"/>
      <c r="BOR2465" s="54"/>
      <c r="BOS2465" s="60"/>
      <c r="BOT2465" s="60"/>
      <c r="BOU2465" s="60"/>
      <c r="BOV2465" s="60"/>
      <c r="BOW2465" s="63"/>
      <c r="BOX2465" s="61"/>
      <c r="BOY2465" s="54"/>
      <c r="BOZ2465" s="54"/>
      <c r="BPA2465" s="60"/>
      <c r="BPB2465" s="60"/>
      <c r="BPC2465" s="60"/>
      <c r="BPD2465" s="60"/>
      <c r="BPE2465" s="63"/>
      <c r="BPF2465" s="61"/>
      <c r="BPG2465" s="54"/>
      <c r="BPH2465" s="54"/>
      <c r="BPI2465" s="60"/>
      <c r="BPJ2465" s="60"/>
      <c r="BPK2465" s="60"/>
      <c r="BPL2465" s="60"/>
      <c r="BPM2465" s="63"/>
      <c r="BPN2465" s="61"/>
      <c r="BPO2465" s="54"/>
      <c r="BPP2465" s="54"/>
      <c r="BPQ2465" s="60"/>
      <c r="BPR2465" s="60"/>
      <c r="BPS2465" s="60"/>
      <c r="BPT2465" s="60"/>
      <c r="BPU2465" s="63"/>
      <c r="BPV2465" s="61"/>
      <c r="BPW2465" s="54"/>
      <c r="BPX2465" s="54"/>
      <c r="BPY2465" s="60"/>
      <c r="BPZ2465" s="60"/>
      <c r="BQA2465" s="60"/>
      <c r="BQB2465" s="60"/>
      <c r="BQC2465" s="63"/>
      <c r="BQD2465" s="61"/>
      <c r="BQE2465" s="54"/>
      <c r="BQF2465" s="54"/>
      <c r="BQG2465" s="60"/>
      <c r="BQH2465" s="60"/>
      <c r="BQI2465" s="60"/>
      <c r="BQJ2465" s="60"/>
      <c r="BQK2465" s="63"/>
      <c r="BQL2465" s="61"/>
      <c r="BQM2465" s="54"/>
      <c r="BQN2465" s="54"/>
      <c r="BQO2465" s="60"/>
      <c r="BQP2465" s="60"/>
      <c r="BQQ2465" s="60"/>
      <c r="BQR2465" s="60"/>
      <c r="BQS2465" s="63"/>
      <c r="BQT2465" s="61"/>
      <c r="BQU2465" s="54"/>
      <c r="BQV2465" s="54"/>
      <c r="BQW2465" s="60"/>
      <c r="BQX2465" s="60"/>
      <c r="BQY2465" s="60"/>
      <c r="BQZ2465" s="60"/>
      <c r="BRA2465" s="63"/>
      <c r="BRB2465" s="61"/>
      <c r="BRC2465" s="54"/>
      <c r="BRD2465" s="54"/>
      <c r="BRE2465" s="60"/>
      <c r="BRF2465" s="60"/>
      <c r="BRG2465" s="60"/>
      <c r="BRH2465" s="60"/>
      <c r="BRI2465" s="63"/>
      <c r="BRJ2465" s="61"/>
      <c r="BRK2465" s="54"/>
      <c r="BRL2465" s="54"/>
      <c r="BRM2465" s="60"/>
      <c r="BRN2465" s="60"/>
      <c r="BRO2465" s="60"/>
      <c r="BRP2465" s="60"/>
      <c r="BRQ2465" s="63"/>
      <c r="BRR2465" s="61"/>
      <c r="BRS2465" s="54"/>
      <c r="BRT2465" s="54"/>
      <c r="BRU2465" s="60"/>
      <c r="BRV2465" s="60"/>
      <c r="BRW2465" s="60"/>
      <c r="BRX2465" s="60"/>
      <c r="BRY2465" s="63"/>
      <c r="BRZ2465" s="61"/>
      <c r="BSA2465" s="54"/>
      <c r="BSB2465" s="54"/>
      <c r="BSC2465" s="60"/>
      <c r="BSD2465" s="60"/>
      <c r="BSE2465" s="60"/>
      <c r="BSF2465" s="60"/>
      <c r="BSG2465" s="63"/>
      <c r="BSH2465" s="61"/>
      <c r="BSI2465" s="54"/>
      <c r="BSJ2465" s="54"/>
      <c r="BSK2465" s="60"/>
      <c r="BSL2465" s="60"/>
      <c r="BSM2465" s="60"/>
      <c r="BSN2465" s="60"/>
      <c r="BSO2465" s="63"/>
      <c r="BSP2465" s="61"/>
      <c r="BSQ2465" s="54"/>
      <c r="BSR2465" s="54"/>
      <c r="BSS2465" s="60"/>
      <c r="BST2465" s="60"/>
      <c r="BSU2465" s="60"/>
      <c r="BSV2465" s="60"/>
      <c r="BSW2465" s="63"/>
      <c r="BSX2465" s="61"/>
      <c r="BSY2465" s="54"/>
      <c r="BSZ2465" s="54"/>
      <c r="BTA2465" s="60"/>
      <c r="BTB2465" s="60"/>
      <c r="BTC2465" s="60"/>
      <c r="BTD2465" s="60"/>
      <c r="BTE2465" s="63"/>
      <c r="BTF2465" s="61"/>
      <c r="BTG2465" s="54"/>
      <c r="BTH2465" s="54"/>
      <c r="BTI2465" s="60"/>
      <c r="BTJ2465" s="60"/>
      <c r="BTK2465" s="60"/>
      <c r="BTL2465" s="60"/>
      <c r="BTM2465" s="63"/>
      <c r="BTN2465" s="61"/>
      <c r="BTO2465" s="54"/>
      <c r="BTP2465" s="54"/>
      <c r="BTQ2465" s="60"/>
      <c r="BTR2465" s="60"/>
      <c r="BTS2465" s="60"/>
      <c r="BTT2465" s="60"/>
      <c r="BTU2465" s="63"/>
      <c r="BTV2465" s="61"/>
      <c r="BTW2465" s="54"/>
      <c r="BTX2465" s="54"/>
      <c r="BTY2465" s="60"/>
      <c r="BTZ2465" s="60"/>
      <c r="BUA2465" s="60"/>
      <c r="BUB2465" s="60"/>
      <c r="BUC2465" s="63"/>
      <c r="BUD2465" s="61"/>
      <c r="BUE2465" s="54"/>
      <c r="BUF2465" s="54"/>
      <c r="BUG2465" s="60"/>
      <c r="BUH2465" s="60"/>
      <c r="BUI2465" s="60"/>
      <c r="BUJ2465" s="60"/>
      <c r="BUK2465" s="63"/>
      <c r="BUL2465" s="61"/>
      <c r="BUM2465" s="54"/>
      <c r="BUN2465" s="54"/>
      <c r="BUO2465" s="60"/>
      <c r="BUP2465" s="60"/>
      <c r="BUQ2465" s="60"/>
      <c r="BUR2465" s="60"/>
      <c r="BUS2465" s="63"/>
      <c r="BUT2465" s="61"/>
      <c r="BUU2465" s="54"/>
      <c r="BUV2465" s="54"/>
      <c r="BUW2465" s="60"/>
      <c r="BUX2465" s="60"/>
      <c r="BUY2465" s="60"/>
      <c r="BUZ2465" s="60"/>
      <c r="BVA2465" s="63"/>
      <c r="BVB2465" s="61"/>
      <c r="BVC2465" s="54"/>
      <c r="BVD2465" s="54"/>
      <c r="BVE2465" s="60"/>
      <c r="BVF2465" s="60"/>
      <c r="BVG2465" s="60"/>
      <c r="BVH2465" s="60"/>
      <c r="BVI2465" s="63"/>
      <c r="BVJ2465" s="61"/>
      <c r="BVK2465" s="54"/>
      <c r="BVL2465" s="54"/>
      <c r="BVM2465" s="60"/>
      <c r="BVN2465" s="60"/>
      <c r="BVO2465" s="60"/>
      <c r="BVP2465" s="60"/>
      <c r="BVQ2465" s="63"/>
      <c r="BVR2465" s="61"/>
      <c r="BVS2465" s="54"/>
      <c r="BVT2465" s="54"/>
      <c r="BVU2465" s="60"/>
      <c r="BVV2465" s="60"/>
      <c r="BVW2465" s="60"/>
      <c r="BVX2465" s="60"/>
      <c r="BVY2465" s="63"/>
      <c r="BVZ2465" s="61"/>
      <c r="BWA2465" s="54"/>
      <c r="BWB2465" s="54"/>
      <c r="BWC2465" s="60"/>
      <c r="BWD2465" s="60"/>
      <c r="BWE2465" s="60"/>
      <c r="BWF2465" s="60"/>
      <c r="BWG2465" s="63"/>
      <c r="BWH2465" s="61"/>
      <c r="BWI2465" s="54"/>
      <c r="BWJ2465" s="54"/>
      <c r="BWK2465" s="60"/>
      <c r="BWL2465" s="60"/>
      <c r="BWM2465" s="60"/>
      <c r="BWN2465" s="60"/>
      <c r="BWO2465" s="63"/>
      <c r="BWP2465" s="61"/>
      <c r="BWQ2465" s="54"/>
      <c r="BWR2465" s="54"/>
      <c r="BWS2465" s="60"/>
      <c r="BWT2465" s="60"/>
      <c r="BWU2465" s="60"/>
      <c r="BWV2465" s="60"/>
      <c r="BWW2465" s="63"/>
      <c r="BWX2465" s="61"/>
      <c r="BWY2465" s="54"/>
      <c r="BWZ2465" s="54"/>
      <c r="BXA2465" s="60"/>
      <c r="BXB2465" s="60"/>
      <c r="BXC2465" s="60"/>
      <c r="BXD2465" s="60"/>
      <c r="BXE2465" s="63"/>
      <c r="BXF2465" s="61"/>
      <c r="BXG2465" s="54"/>
      <c r="BXH2465" s="54"/>
      <c r="BXI2465" s="60"/>
      <c r="BXJ2465" s="60"/>
      <c r="BXK2465" s="60"/>
      <c r="BXL2465" s="60"/>
      <c r="BXM2465" s="63"/>
      <c r="BXN2465" s="61"/>
      <c r="BXO2465" s="54"/>
      <c r="BXP2465" s="54"/>
      <c r="BXQ2465" s="60"/>
      <c r="BXR2465" s="60"/>
      <c r="BXS2465" s="60"/>
      <c r="BXT2465" s="60"/>
      <c r="BXU2465" s="63"/>
      <c r="BXV2465" s="61"/>
      <c r="BXW2465" s="54"/>
      <c r="BXX2465" s="54"/>
      <c r="BXY2465" s="60"/>
      <c r="BXZ2465" s="60"/>
      <c r="BYA2465" s="60"/>
      <c r="BYB2465" s="60"/>
      <c r="BYC2465" s="63"/>
      <c r="BYD2465" s="61"/>
      <c r="BYE2465" s="54"/>
      <c r="BYF2465" s="54"/>
      <c r="BYG2465" s="60"/>
      <c r="BYH2465" s="60"/>
      <c r="BYI2465" s="60"/>
      <c r="BYJ2465" s="60"/>
      <c r="BYK2465" s="63"/>
      <c r="BYL2465" s="61"/>
      <c r="BYM2465" s="54"/>
      <c r="BYN2465" s="54"/>
      <c r="BYO2465" s="60"/>
      <c r="BYP2465" s="60"/>
      <c r="BYQ2465" s="60"/>
      <c r="BYR2465" s="60"/>
      <c r="BYS2465" s="63"/>
      <c r="BYT2465" s="61"/>
      <c r="BYU2465" s="54"/>
      <c r="BYV2465" s="54"/>
      <c r="BYW2465" s="60"/>
      <c r="BYX2465" s="60"/>
      <c r="BYY2465" s="60"/>
      <c r="BYZ2465" s="60"/>
      <c r="BZA2465" s="63"/>
      <c r="BZB2465" s="61"/>
      <c r="BZC2465" s="54"/>
      <c r="BZD2465" s="54"/>
      <c r="BZE2465" s="60"/>
      <c r="BZF2465" s="60"/>
      <c r="BZG2465" s="60"/>
      <c r="BZH2465" s="60"/>
      <c r="BZI2465" s="63"/>
      <c r="BZJ2465" s="61"/>
      <c r="BZK2465" s="54"/>
      <c r="BZL2465" s="54"/>
      <c r="BZM2465" s="60"/>
      <c r="BZN2465" s="60"/>
      <c r="BZO2465" s="60"/>
      <c r="BZP2465" s="60"/>
      <c r="BZQ2465" s="63"/>
      <c r="BZR2465" s="61"/>
      <c r="BZS2465" s="54"/>
      <c r="BZT2465" s="54"/>
      <c r="BZU2465" s="60"/>
      <c r="BZV2465" s="60"/>
      <c r="BZW2465" s="60"/>
      <c r="BZX2465" s="60"/>
      <c r="BZY2465" s="63"/>
      <c r="BZZ2465" s="61"/>
      <c r="CAA2465" s="54"/>
      <c r="CAB2465" s="54"/>
      <c r="CAC2465" s="60"/>
      <c r="CAD2465" s="60"/>
      <c r="CAE2465" s="60"/>
      <c r="CAF2465" s="60"/>
      <c r="CAG2465" s="63"/>
      <c r="CAH2465" s="61"/>
      <c r="CAI2465" s="54"/>
      <c r="CAJ2465" s="54"/>
      <c r="CAK2465" s="60"/>
      <c r="CAL2465" s="60"/>
      <c r="CAM2465" s="60"/>
      <c r="CAN2465" s="60"/>
      <c r="CAO2465" s="63"/>
      <c r="CAP2465" s="61"/>
      <c r="CAQ2465" s="54"/>
      <c r="CAR2465" s="54"/>
      <c r="CAS2465" s="60"/>
      <c r="CAT2465" s="60"/>
      <c r="CAU2465" s="60"/>
      <c r="CAV2465" s="60"/>
      <c r="CAW2465" s="63"/>
      <c r="CAX2465" s="61"/>
      <c r="CAY2465" s="54"/>
      <c r="CAZ2465" s="54"/>
      <c r="CBA2465" s="60"/>
      <c r="CBB2465" s="60"/>
      <c r="CBC2465" s="60"/>
      <c r="CBD2465" s="60"/>
      <c r="CBE2465" s="63"/>
      <c r="CBF2465" s="61"/>
      <c r="CBG2465" s="54"/>
      <c r="CBH2465" s="54"/>
      <c r="CBI2465" s="60"/>
      <c r="CBJ2465" s="60"/>
      <c r="CBK2465" s="60"/>
      <c r="CBL2465" s="60"/>
      <c r="CBM2465" s="63"/>
      <c r="CBN2465" s="61"/>
      <c r="CBO2465" s="54"/>
      <c r="CBP2465" s="54"/>
      <c r="CBQ2465" s="60"/>
      <c r="CBR2465" s="60"/>
      <c r="CBS2465" s="60"/>
      <c r="CBT2465" s="60"/>
      <c r="CBU2465" s="63"/>
      <c r="CBV2465" s="61"/>
      <c r="CBW2465" s="54"/>
      <c r="CBX2465" s="54"/>
      <c r="CBY2465" s="60"/>
      <c r="CBZ2465" s="60"/>
      <c r="CCA2465" s="60"/>
      <c r="CCB2465" s="60"/>
      <c r="CCC2465" s="63"/>
      <c r="CCD2465" s="61"/>
      <c r="CCE2465" s="54"/>
      <c r="CCF2465" s="54"/>
      <c r="CCG2465" s="60"/>
      <c r="CCH2465" s="60"/>
      <c r="CCI2465" s="60"/>
      <c r="CCJ2465" s="60"/>
      <c r="CCK2465" s="63"/>
      <c r="CCL2465" s="61"/>
      <c r="CCM2465" s="54"/>
      <c r="CCN2465" s="54"/>
      <c r="CCO2465" s="60"/>
      <c r="CCP2465" s="60"/>
      <c r="CCQ2465" s="60"/>
      <c r="CCR2465" s="60"/>
      <c r="CCS2465" s="63"/>
      <c r="CCT2465" s="61"/>
      <c r="CCU2465" s="54"/>
      <c r="CCV2465" s="54"/>
      <c r="CCW2465" s="60"/>
      <c r="CCX2465" s="60"/>
      <c r="CCY2465" s="60"/>
      <c r="CCZ2465" s="60"/>
      <c r="CDA2465" s="63"/>
      <c r="CDB2465" s="61"/>
      <c r="CDC2465" s="54"/>
      <c r="CDD2465" s="54"/>
      <c r="CDE2465" s="60"/>
      <c r="CDF2465" s="60"/>
      <c r="CDG2465" s="60"/>
      <c r="CDH2465" s="60"/>
      <c r="CDI2465" s="63"/>
      <c r="CDJ2465" s="61"/>
      <c r="CDK2465" s="54"/>
      <c r="CDL2465" s="54"/>
      <c r="CDM2465" s="60"/>
      <c r="CDN2465" s="60"/>
      <c r="CDO2465" s="60"/>
      <c r="CDP2465" s="60"/>
      <c r="CDQ2465" s="63"/>
      <c r="CDR2465" s="61"/>
      <c r="CDS2465" s="54"/>
      <c r="CDT2465" s="54"/>
      <c r="CDU2465" s="60"/>
      <c r="CDV2465" s="60"/>
      <c r="CDW2465" s="60"/>
      <c r="CDX2465" s="60"/>
      <c r="CDY2465" s="63"/>
      <c r="CDZ2465" s="61"/>
      <c r="CEA2465" s="54"/>
      <c r="CEB2465" s="54"/>
      <c r="CEC2465" s="60"/>
      <c r="CED2465" s="60"/>
      <c r="CEE2465" s="60"/>
      <c r="CEF2465" s="60"/>
      <c r="CEG2465" s="63"/>
      <c r="CEH2465" s="61"/>
      <c r="CEI2465" s="54"/>
      <c r="CEJ2465" s="54"/>
      <c r="CEK2465" s="60"/>
      <c r="CEL2465" s="60"/>
      <c r="CEM2465" s="60"/>
      <c r="CEN2465" s="60"/>
      <c r="CEO2465" s="63"/>
      <c r="CEP2465" s="61"/>
      <c r="CEQ2465" s="54"/>
      <c r="CER2465" s="54"/>
      <c r="CES2465" s="60"/>
      <c r="CET2465" s="60"/>
      <c r="CEU2465" s="60"/>
      <c r="CEV2465" s="60"/>
      <c r="CEW2465" s="63"/>
      <c r="CEX2465" s="61"/>
      <c r="CEY2465" s="54"/>
      <c r="CEZ2465" s="54"/>
      <c r="CFA2465" s="60"/>
      <c r="CFB2465" s="60"/>
      <c r="CFC2465" s="60"/>
      <c r="CFD2465" s="60"/>
      <c r="CFE2465" s="63"/>
      <c r="CFF2465" s="61"/>
      <c r="CFG2465" s="54"/>
      <c r="CFH2465" s="54"/>
      <c r="CFI2465" s="60"/>
      <c r="CFJ2465" s="60"/>
      <c r="CFK2465" s="60"/>
      <c r="CFL2465" s="60"/>
      <c r="CFM2465" s="63"/>
      <c r="CFN2465" s="61"/>
      <c r="CFO2465" s="54"/>
      <c r="CFP2465" s="54"/>
      <c r="CFQ2465" s="60"/>
      <c r="CFR2465" s="60"/>
      <c r="CFS2465" s="60"/>
      <c r="CFT2465" s="60"/>
      <c r="CFU2465" s="63"/>
      <c r="CFV2465" s="61"/>
      <c r="CFW2465" s="54"/>
      <c r="CFX2465" s="54"/>
      <c r="CFY2465" s="60"/>
      <c r="CFZ2465" s="60"/>
      <c r="CGA2465" s="60"/>
      <c r="CGB2465" s="60"/>
      <c r="CGC2465" s="63"/>
      <c r="CGD2465" s="61"/>
      <c r="CGE2465" s="54"/>
      <c r="CGF2465" s="54"/>
      <c r="CGG2465" s="60"/>
      <c r="CGH2465" s="60"/>
      <c r="CGI2465" s="60"/>
      <c r="CGJ2465" s="60"/>
      <c r="CGK2465" s="63"/>
      <c r="CGL2465" s="61"/>
      <c r="CGM2465" s="54"/>
      <c r="CGN2465" s="54"/>
      <c r="CGO2465" s="60"/>
      <c r="CGP2465" s="60"/>
      <c r="CGQ2465" s="60"/>
      <c r="CGR2465" s="60"/>
      <c r="CGS2465" s="63"/>
      <c r="CGT2465" s="61"/>
      <c r="CGU2465" s="54"/>
      <c r="CGV2465" s="54"/>
      <c r="CGW2465" s="60"/>
      <c r="CGX2465" s="60"/>
      <c r="CGY2465" s="60"/>
      <c r="CGZ2465" s="60"/>
      <c r="CHA2465" s="63"/>
      <c r="CHB2465" s="61"/>
      <c r="CHC2465" s="54"/>
      <c r="CHD2465" s="54"/>
      <c r="CHE2465" s="60"/>
      <c r="CHF2465" s="60"/>
      <c r="CHG2465" s="60"/>
      <c r="CHH2465" s="60"/>
      <c r="CHI2465" s="63"/>
      <c r="CHJ2465" s="61"/>
      <c r="CHK2465" s="54"/>
      <c r="CHL2465" s="54"/>
      <c r="CHM2465" s="60"/>
      <c r="CHN2465" s="60"/>
      <c r="CHO2465" s="60"/>
      <c r="CHP2465" s="60"/>
      <c r="CHQ2465" s="63"/>
      <c r="CHR2465" s="61"/>
      <c r="CHS2465" s="54"/>
      <c r="CHT2465" s="54"/>
      <c r="CHU2465" s="60"/>
      <c r="CHV2465" s="60"/>
      <c r="CHW2465" s="60"/>
      <c r="CHX2465" s="60"/>
      <c r="CHY2465" s="63"/>
      <c r="CHZ2465" s="61"/>
      <c r="CIA2465" s="54"/>
      <c r="CIB2465" s="54"/>
      <c r="CIC2465" s="60"/>
      <c r="CID2465" s="60"/>
      <c r="CIE2465" s="60"/>
      <c r="CIF2465" s="60"/>
      <c r="CIG2465" s="63"/>
      <c r="CIH2465" s="61"/>
      <c r="CII2465" s="54"/>
      <c r="CIJ2465" s="54"/>
      <c r="CIK2465" s="60"/>
      <c r="CIL2465" s="60"/>
      <c r="CIM2465" s="60"/>
      <c r="CIN2465" s="60"/>
      <c r="CIO2465" s="63"/>
      <c r="CIP2465" s="61"/>
      <c r="CIQ2465" s="54"/>
      <c r="CIR2465" s="54"/>
      <c r="CIS2465" s="60"/>
      <c r="CIT2465" s="60"/>
      <c r="CIU2465" s="60"/>
      <c r="CIV2465" s="60"/>
      <c r="CIW2465" s="63"/>
      <c r="CIX2465" s="61"/>
      <c r="CIY2465" s="54"/>
      <c r="CIZ2465" s="54"/>
      <c r="CJA2465" s="60"/>
      <c r="CJB2465" s="60"/>
      <c r="CJC2465" s="60"/>
      <c r="CJD2465" s="60"/>
      <c r="CJE2465" s="63"/>
      <c r="CJF2465" s="61"/>
      <c r="CJG2465" s="54"/>
      <c r="CJH2465" s="54"/>
      <c r="CJI2465" s="60"/>
      <c r="CJJ2465" s="60"/>
      <c r="CJK2465" s="60"/>
      <c r="CJL2465" s="60"/>
      <c r="CJM2465" s="63"/>
      <c r="CJN2465" s="61"/>
      <c r="CJO2465" s="54"/>
      <c r="CJP2465" s="54"/>
      <c r="CJQ2465" s="60"/>
      <c r="CJR2465" s="60"/>
      <c r="CJS2465" s="60"/>
      <c r="CJT2465" s="60"/>
      <c r="CJU2465" s="63"/>
      <c r="CJV2465" s="61"/>
      <c r="CJW2465" s="54"/>
      <c r="CJX2465" s="54"/>
      <c r="CJY2465" s="60"/>
      <c r="CJZ2465" s="60"/>
      <c r="CKA2465" s="60"/>
      <c r="CKB2465" s="60"/>
      <c r="CKC2465" s="63"/>
      <c r="CKD2465" s="61"/>
      <c r="CKE2465" s="54"/>
      <c r="CKF2465" s="54"/>
      <c r="CKG2465" s="60"/>
      <c r="CKH2465" s="60"/>
      <c r="CKI2465" s="60"/>
      <c r="CKJ2465" s="60"/>
      <c r="CKK2465" s="63"/>
      <c r="CKL2465" s="61"/>
      <c r="CKM2465" s="54"/>
      <c r="CKN2465" s="54"/>
      <c r="CKO2465" s="60"/>
      <c r="CKP2465" s="60"/>
      <c r="CKQ2465" s="60"/>
      <c r="CKR2465" s="60"/>
      <c r="CKS2465" s="63"/>
      <c r="CKT2465" s="61"/>
      <c r="CKU2465" s="54"/>
      <c r="CKV2465" s="54"/>
      <c r="CKW2465" s="60"/>
      <c r="CKX2465" s="60"/>
      <c r="CKY2465" s="60"/>
      <c r="CKZ2465" s="60"/>
      <c r="CLA2465" s="63"/>
      <c r="CLB2465" s="61"/>
      <c r="CLC2465" s="54"/>
      <c r="CLD2465" s="54"/>
      <c r="CLE2465" s="60"/>
      <c r="CLF2465" s="60"/>
      <c r="CLG2465" s="60"/>
      <c r="CLH2465" s="60"/>
      <c r="CLI2465" s="63"/>
      <c r="CLJ2465" s="61"/>
      <c r="CLK2465" s="54"/>
      <c r="CLL2465" s="54"/>
      <c r="CLM2465" s="60"/>
      <c r="CLN2465" s="60"/>
      <c r="CLO2465" s="60"/>
      <c r="CLP2465" s="60"/>
      <c r="CLQ2465" s="63"/>
      <c r="CLR2465" s="61"/>
      <c r="CLS2465" s="54"/>
      <c r="CLT2465" s="54"/>
      <c r="CLU2465" s="60"/>
      <c r="CLV2465" s="60"/>
      <c r="CLW2465" s="60"/>
      <c r="CLX2465" s="60"/>
      <c r="CLY2465" s="63"/>
      <c r="CLZ2465" s="61"/>
      <c r="CMA2465" s="54"/>
      <c r="CMB2465" s="54"/>
      <c r="CMC2465" s="60"/>
      <c r="CMD2465" s="60"/>
      <c r="CME2465" s="60"/>
      <c r="CMF2465" s="60"/>
      <c r="CMG2465" s="63"/>
      <c r="CMH2465" s="61"/>
      <c r="CMI2465" s="54"/>
      <c r="CMJ2465" s="54"/>
      <c r="CMK2465" s="60"/>
      <c r="CML2465" s="60"/>
      <c r="CMM2465" s="60"/>
      <c r="CMN2465" s="60"/>
      <c r="CMO2465" s="63"/>
      <c r="CMP2465" s="61"/>
      <c r="CMQ2465" s="54"/>
      <c r="CMR2465" s="54"/>
      <c r="CMS2465" s="60"/>
      <c r="CMT2465" s="60"/>
      <c r="CMU2465" s="60"/>
      <c r="CMV2465" s="60"/>
      <c r="CMW2465" s="63"/>
      <c r="CMX2465" s="61"/>
      <c r="CMY2465" s="54"/>
      <c r="CMZ2465" s="54"/>
      <c r="CNA2465" s="60"/>
      <c r="CNB2465" s="60"/>
      <c r="CNC2465" s="60"/>
      <c r="CND2465" s="60"/>
      <c r="CNE2465" s="63"/>
      <c r="CNF2465" s="61"/>
      <c r="CNG2465" s="54"/>
      <c r="CNH2465" s="54"/>
      <c r="CNI2465" s="60"/>
      <c r="CNJ2465" s="60"/>
      <c r="CNK2465" s="60"/>
      <c r="CNL2465" s="60"/>
      <c r="CNM2465" s="63"/>
      <c r="CNN2465" s="61"/>
      <c r="CNO2465" s="54"/>
      <c r="CNP2465" s="54"/>
      <c r="CNQ2465" s="60"/>
      <c r="CNR2465" s="60"/>
      <c r="CNS2465" s="60"/>
      <c r="CNT2465" s="60"/>
      <c r="CNU2465" s="63"/>
      <c r="CNV2465" s="61"/>
      <c r="CNW2465" s="54"/>
      <c r="CNX2465" s="54"/>
      <c r="CNY2465" s="60"/>
      <c r="CNZ2465" s="60"/>
      <c r="COA2465" s="60"/>
      <c r="COB2465" s="60"/>
      <c r="COC2465" s="63"/>
      <c r="COD2465" s="61"/>
      <c r="COE2465" s="54"/>
      <c r="COF2465" s="54"/>
      <c r="COG2465" s="60"/>
      <c r="COH2465" s="60"/>
      <c r="COI2465" s="60"/>
      <c r="COJ2465" s="60"/>
      <c r="COK2465" s="63"/>
      <c r="COL2465" s="61"/>
      <c r="COM2465" s="54"/>
      <c r="CON2465" s="54"/>
      <c r="COO2465" s="60"/>
      <c r="COP2465" s="60"/>
      <c r="COQ2465" s="60"/>
      <c r="COR2465" s="60"/>
      <c r="COS2465" s="63"/>
      <c r="COT2465" s="61"/>
      <c r="COU2465" s="54"/>
      <c r="COV2465" s="54"/>
      <c r="COW2465" s="60"/>
      <c r="COX2465" s="60"/>
      <c r="COY2465" s="60"/>
      <c r="COZ2465" s="60"/>
      <c r="CPA2465" s="63"/>
      <c r="CPB2465" s="61"/>
      <c r="CPC2465" s="54"/>
      <c r="CPD2465" s="54"/>
      <c r="CPE2465" s="60"/>
      <c r="CPF2465" s="60"/>
      <c r="CPG2465" s="60"/>
      <c r="CPH2465" s="60"/>
      <c r="CPI2465" s="63"/>
      <c r="CPJ2465" s="61"/>
      <c r="CPK2465" s="54"/>
      <c r="CPL2465" s="54"/>
      <c r="CPM2465" s="60"/>
      <c r="CPN2465" s="60"/>
      <c r="CPO2465" s="60"/>
      <c r="CPP2465" s="60"/>
      <c r="CPQ2465" s="63"/>
      <c r="CPR2465" s="61"/>
      <c r="CPS2465" s="54"/>
      <c r="CPT2465" s="54"/>
      <c r="CPU2465" s="60"/>
      <c r="CPV2465" s="60"/>
      <c r="CPW2465" s="60"/>
      <c r="CPX2465" s="60"/>
      <c r="CPY2465" s="63"/>
      <c r="CPZ2465" s="61"/>
      <c r="CQA2465" s="54"/>
      <c r="CQB2465" s="54"/>
      <c r="CQC2465" s="60"/>
      <c r="CQD2465" s="60"/>
      <c r="CQE2465" s="60"/>
      <c r="CQF2465" s="60"/>
      <c r="CQG2465" s="63"/>
      <c r="CQH2465" s="61"/>
      <c r="CQI2465" s="54"/>
      <c r="CQJ2465" s="54"/>
      <c r="CQK2465" s="60"/>
      <c r="CQL2465" s="60"/>
      <c r="CQM2465" s="60"/>
      <c r="CQN2465" s="60"/>
      <c r="CQO2465" s="63"/>
      <c r="CQP2465" s="61"/>
      <c r="CQQ2465" s="54"/>
      <c r="CQR2465" s="54"/>
      <c r="CQS2465" s="60"/>
      <c r="CQT2465" s="60"/>
      <c r="CQU2465" s="60"/>
      <c r="CQV2465" s="60"/>
      <c r="CQW2465" s="63"/>
      <c r="CQX2465" s="61"/>
      <c r="CQY2465" s="54"/>
      <c r="CQZ2465" s="54"/>
      <c r="CRA2465" s="60"/>
      <c r="CRB2465" s="60"/>
      <c r="CRC2465" s="60"/>
      <c r="CRD2465" s="60"/>
      <c r="CRE2465" s="63"/>
      <c r="CRF2465" s="61"/>
      <c r="CRG2465" s="54"/>
      <c r="CRH2465" s="54"/>
      <c r="CRI2465" s="60"/>
      <c r="CRJ2465" s="60"/>
      <c r="CRK2465" s="60"/>
      <c r="CRL2465" s="60"/>
      <c r="CRM2465" s="63"/>
      <c r="CRN2465" s="61"/>
      <c r="CRO2465" s="54"/>
      <c r="CRP2465" s="54"/>
      <c r="CRQ2465" s="60"/>
      <c r="CRR2465" s="60"/>
      <c r="CRS2465" s="60"/>
      <c r="CRT2465" s="60"/>
      <c r="CRU2465" s="63"/>
      <c r="CRV2465" s="61"/>
      <c r="CRW2465" s="54"/>
      <c r="CRX2465" s="54"/>
      <c r="CRY2465" s="60"/>
      <c r="CRZ2465" s="60"/>
      <c r="CSA2465" s="60"/>
      <c r="CSB2465" s="60"/>
      <c r="CSC2465" s="63"/>
      <c r="CSD2465" s="61"/>
      <c r="CSE2465" s="54"/>
      <c r="CSF2465" s="54"/>
      <c r="CSG2465" s="60"/>
      <c r="CSH2465" s="60"/>
      <c r="CSI2465" s="60"/>
      <c r="CSJ2465" s="60"/>
      <c r="CSK2465" s="63"/>
      <c r="CSL2465" s="61"/>
      <c r="CSM2465" s="54"/>
      <c r="CSN2465" s="54"/>
      <c r="CSO2465" s="60"/>
      <c r="CSP2465" s="60"/>
      <c r="CSQ2465" s="60"/>
      <c r="CSR2465" s="60"/>
      <c r="CSS2465" s="63"/>
      <c r="CST2465" s="61"/>
      <c r="CSU2465" s="54"/>
      <c r="CSV2465" s="54"/>
      <c r="CSW2465" s="60"/>
      <c r="CSX2465" s="60"/>
      <c r="CSY2465" s="60"/>
      <c r="CSZ2465" s="60"/>
      <c r="CTA2465" s="63"/>
      <c r="CTB2465" s="61"/>
      <c r="CTC2465" s="54"/>
      <c r="CTD2465" s="54"/>
      <c r="CTE2465" s="60"/>
      <c r="CTF2465" s="60"/>
      <c r="CTG2465" s="60"/>
      <c r="CTH2465" s="60"/>
      <c r="CTI2465" s="63"/>
      <c r="CTJ2465" s="61"/>
      <c r="CTK2465" s="54"/>
      <c r="CTL2465" s="54"/>
      <c r="CTM2465" s="60"/>
      <c r="CTN2465" s="60"/>
      <c r="CTO2465" s="60"/>
      <c r="CTP2465" s="60"/>
      <c r="CTQ2465" s="63"/>
      <c r="CTR2465" s="61"/>
      <c r="CTS2465" s="54"/>
      <c r="CTT2465" s="54"/>
      <c r="CTU2465" s="60"/>
      <c r="CTV2465" s="60"/>
      <c r="CTW2465" s="60"/>
      <c r="CTX2465" s="60"/>
      <c r="CTY2465" s="63"/>
      <c r="CTZ2465" s="61"/>
      <c r="CUA2465" s="54"/>
      <c r="CUB2465" s="54"/>
      <c r="CUC2465" s="60"/>
      <c r="CUD2465" s="60"/>
      <c r="CUE2465" s="60"/>
      <c r="CUF2465" s="60"/>
      <c r="CUG2465" s="63"/>
      <c r="CUH2465" s="61"/>
      <c r="CUI2465" s="54"/>
      <c r="CUJ2465" s="54"/>
      <c r="CUK2465" s="60"/>
      <c r="CUL2465" s="60"/>
      <c r="CUM2465" s="60"/>
      <c r="CUN2465" s="60"/>
      <c r="CUO2465" s="63"/>
      <c r="CUP2465" s="61"/>
      <c r="CUQ2465" s="54"/>
      <c r="CUR2465" s="54"/>
      <c r="CUS2465" s="60"/>
      <c r="CUT2465" s="60"/>
      <c r="CUU2465" s="60"/>
      <c r="CUV2465" s="60"/>
      <c r="CUW2465" s="63"/>
      <c r="CUX2465" s="61"/>
      <c r="CUY2465" s="54"/>
      <c r="CUZ2465" s="54"/>
      <c r="CVA2465" s="60"/>
      <c r="CVB2465" s="60"/>
      <c r="CVC2465" s="60"/>
      <c r="CVD2465" s="60"/>
      <c r="CVE2465" s="63"/>
      <c r="CVF2465" s="61"/>
      <c r="CVG2465" s="54"/>
      <c r="CVH2465" s="54"/>
      <c r="CVI2465" s="60"/>
      <c r="CVJ2465" s="60"/>
      <c r="CVK2465" s="60"/>
      <c r="CVL2465" s="60"/>
      <c r="CVM2465" s="63"/>
      <c r="CVN2465" s="61"/>
      <c r="CVO2465" s="54"/>
      <c r="CVP2465" s="54"/>
      <c r="CVQ2465" s="60"/>
      <c r="CVR2465" s="60"/>
      <c r="CVS2465" s="60"/>
      <c r="CVT2465" s="60"/>
      <c r="CVU2465" s="63"/>
      <c r="CVV2465" s="61"/>
      <c r="CVW2465" s="54"/>
      <c r="CVX2465" s="54"/>
      <c r="CVY2465" s="60"/>
      <c r="CVZ2465" s="60"/>
      <c r="CWA2465" s="60"/>
      <c r="CWB2465" s="60"/>
      <c r="CWC2465" s="63"/>
      <c r="CWD2465" s="61"/>
      <c r="CWE2465" s="54"/>
      <c r="CWF2465" s="54"/>
      <c r="CWG2465" s="60"/>
      <c r="CWH2465" s="60"/>
      <c r="CWI2465" s="60"/>
      <c r="CWJ2465" s="60"/>
      <c r="CWK2465" s="63"/>
      <c r="CWL2465" s="61"/>
      <c r="CWM2465" s="54"/>
      <c r="CWN2465" s="54"/>
      <c r="CWO2465" s="60"/>
      <c r="CWP2465" s="60"/>
      <c r="CWQ2465" s="60"/>
      <c r="CWR2465" s="60"/>
      <c r="CWS2465" s="63"/>
      <c r="CWT2465" s="61"/>
      <c r="CWU2465" s="54"/>
      <c r="CWV2465" s="54"/>
      <c r="CWW2465" s="60"/>
      <c r="CWX2465" s="60"/>
      <c r="CWY2465" s="60"/>
      <c r="CWZ2465" s="60"/>
      <c r="CXA2465" s="63"/>
      <c r="CXB2465" s="61"/>
      <c r="CXC2465" s="54"/>
      <c r="CXD2465" s="54"/>
      <c r="CXE2465" s="60"/>
      <c r="CXF2465" s="60"/>
      <c r="CXG2465" s="60"/>
      <c r="CXH2465" s="60"/>
      <c r="CXI2465" s="63"/>
      <c r="CXJ2465" s="61"/>
      <c r="CXK2465" s="54"/>
      <c r="CXL2465" s="54"/>
      <c r="CXM2465" s="60"/>
      <c r="CXN2465" s="60"/>
      <c r="CXO2465" s="60"/>
      <c r="CXP2465" s="60"/>
      <c r="CXQ2465" s="63"/>
      <c r="CXR2465" s="61"/>
      <c r="CXS2465" s="54"/>
      <c r="CXT2465" s="54"/>
      <c r="CXU2465" s="60"/>
      <c r="CXV2465" s="60"/>
      <c r="CXW2465" s="60"/>
      <c r="CXX2465" s="60"/>
      <c r="CXY2465" s="63"/>
      <c r="CXZ2465" s="61"/>
      <c r="CYA2465" s="54"/>
      <c r="CYB2465" s="54"/>
      <c r="CYC2465" s="60"/>
      <c r="CYD2465" s="60"/>
      <c r="CYE2465" s="60"/>
      <c r="CYF2465" s="60"/>
      <c r="CYG2465" s="63"/>
      <c r="CYH2465" s="61"/>
      <c r="CYI2465" s="54"/>
      <c r="CYJ2465" s="54"/>
      <c r="CYK2465" s="60"/>
      <c r="CYL2465" s="60"/>
      <c r="CYM2465" s="60"/>
      <c r="CYN2465" s="60"/>
      <c r="CYO2465" s="63"/>
      <c r="CYP2465" s="61"/>
      <c r="CYQ2465" s="54"/>
      <c r="CYR2465" s="54"/>
      <c r="CYS2465" s="60"/>
      <c r="CYT2465" s="60"/>
      <c r="CYU2465" s="60"/>
      <c r="CYV2465" s="60"/>
      <c r="CYW2465" s="63"/>
      <c r="CYX2465" s="61"/>
      <c r="CYY2465" s="54"/>
      <c r="CYZ2465" s="54"/>
      <c r="CZA2465" s="60"/>
      <c r="CZB2465" s="60"/>
      <c r="CZC2465" s="60"/>
      <c r="CZD2465" s="60"/>
      <c r="CZE2465" s="63"/>
      <c r="CZF2465" s="61"/>
      <c r="CZG2465" s="54"/>
      <c r="CZH2465" s="54"/>
      <c r="CZI2465" s="60"/>
      <c r="CZJ2465" s="60"/>
      <c r="CZK2465" s="60"/>
      <c r="CZL2465" s="60"/>
      <c r="CZM2465" s="63"/>
      <c r="CZN2465" s="61"/>
      <c r="CZO2465" s="54"/>
      <c r="CZP2465" s="54"/>
      <c r="CZQ2465" s="60"/>
      <c r="CZR2465" s="60"/>
      <c r="CZS2465" s="60"/>
      <c r="CZT2465" s="60"/>
      <c r="CZU2465" s="63"/>
      <c r="CZV2465" s="61"/>
      <c r="CZW2465" s="54"/>
      <c r="CZX2465" s="54"/>
      <c r="CZY2465" s="60"/>
      <c r="CZZ2465" s="60"/>
      <c r="DAA2465" s="60"/>
      <c r="DAB2465" s="60"/>
      <c r="DAC2465" s="63"/>
      <c r="DAD2465" s="61"/>
      <c r="DAE2465" s="54"/>
      <c r="DAF2465" s="54"/>
      <c r="DAG2465" s="60"/>
      <c r="DAH2465" s="60"/>
      <c r="DAI2465" s="60"/>
      <c r="DAJ2465" s="60"/>
      <c r="DAK2465" s="63"/>
      <c r="DAL2465" s="61"/>
      <c r="DAM2465" s="54"/>
      <c r="DAN2465" s="54"/>
      <c r="DAO2465" s="60"/>
      <c r="DAP2465" s="60"/>
      <c r="DAQ2465" s="60"/>
      <c r="DAR2465" s="60"/>
      <c r="DAS2465" s="63"/>
      <c r="DAT2465" s="61"/>
      <c r="DAU2465" s="54"/>
      <c r="DAV2465" s="54"/>
      <c r="DAW2465" s="60"/>
      <c r="DAX2465" s="60"/>
      <c r="DAY2465" s="60"/>
      <c r="DAZ2465" s="60"/>
      <c r="DBA2465" s="63"/>
      <c r="DBB2465" s="61"/>
      <c r="DBC2465" s="54"/>
      <c r="DBD2465" s="54"/>
      <c r="DBE2465" s="60"/>
      <c r="DBF2465" s="60"/>
      <c r="DBG2465" s="60"/>
      <c r="DBH2465" s="60"/>
      <c r="DBI2465" s="63"/>
      <c r="DBJ2465" s="61"/>
      <c r="DBK2465" s="54"/>
      <c r="DBL2465" s="54"/>
      <c r="DBM2465" s="60"/>
      <c r="DBN2465" s="60"/>
      <c r="DBO2465" s="60"/>
      <c r="DBP2465" s="60"/>
      <c r="DBQ2465" s="63"/>
      <c r="DBR2465" s="61"/>
      <c r="DBS2465" s="54"/>
      <c r="DBT2465" s="54"/>
      <c r="DBU2465" s="60"/>
      <c r="DBV2465" s="60"/>
      <c r="DBW2465" s="60"/>
      <c r="DBX2465" s="60"/>
      <c r="DBY2465" s="63"/>
      <c r="DBZ2465" s="61"/>
      <c r="DCA2465" s="54"/>
      <c r="DCB2465" s="54"/>
      <c r="DCC2465" s="60"/>
      <c r="DCD2465" s="60"/>
      <c r="DCE2465" s="60"/>
      <c r="DCF2465" s="60"/>
      <c r="DCG2465" s="63"/>
      <c r="DCH2465" s="61"/>
      <c r="DCI2465" s="54"/>
      <c r="DCJ2465" s="54"/>
      <c r="DCK2465" s="60"/>
      <c r="DCL2465" s="60"/>
      <c r="DCM2465" s="60"/>
      <c r="DCN2465" s="60"/>
      <c r="DCO2465" s="63"/>
      <c r="DCP2465" s="61"/>
      <c r="DCQ2465" s="54"/>
      <c r="DCR2465" s="54"/>
      <c r="DCS2465" s="60"/>
      <c r="DCT2465" s="60"/>
      <c r="DCU2465" s="60"/>
      <c r="DCV2465" s="60"/>
      <c r="DCW2465" s="63"/>
      <c r="DCX2465" s="61"/>
      <c r="DCY2465" s="54"/>
      <c r="DCZ2465" s="54"/>
      <c r="DDA2465" s="60"/>
      <c r="DDB2465" s="60"/>
      <c r="DDC2465" s="60"/>
      <c r="DDD2465" s="60"/>
      <c r="DDE2465" s="63"/>
      <c r="DDF2465" s="61"/>
      <c r="DDG2465" s="54"/>
      <c r="DDH2465" s="54"/>
      <c r="DDI2465" s="60"/>
      <c r="DDJ2465" s="60"/>
      <c r="DDK2465" s="60"/>
      <c r="DDL2465" s="60"/>
      <c r="DDM2465" s="63"/>
      <c r="DDN2465" s="61"/>
      <c r="DDO2465" s="54"/>
      <c r="DDP2465" s="54"/>
      <c r="DDQ2465" s="60"/>
      <c r="DDR2465" s="60"/>
      <c r="DDS2465" s="60"/>
      <c r="DDT2465" s="60"/>
      <c r="DDU2465" s="63"/>
      <c r="DDV2465" s="61"/>
      <c r="DDW2465" s="54"/>
      <c r="DDX2465" s="54"/>
      <c r="DDY2465" s="60"/>
      <c r="DDZ2465" s="60"/>
      <c r="DEA2465" s="60"/>
      <c r="DEB2465" s="60"/>
      <c r="DEC2465" s="63"/>
      <c r="DED2465" s="61"/>
      <c r="DEE2465" s="54"/>
      <c r="DEF2465" s="54"/>
      <c r="DEG2465" s="60"/>
      <c r="DEH2465" s="60"/>
      <c r="DEI2465" s="60"/>
      <c r="DEJ2465" s="60"/>
      <c r="DEK2465" s="63"/>
      <c r="DEL2465" s="61"/>
      <c r="DEM2465" s="54"/>
      <c r="DEN2465" s="54"/>
      <c r="DEO2465" s="60"/>
      <c r="DEP2465" s="60"/>
      <c r="DEQ2465" s="60"/>
      <c r="DER2465" s="60"/>
      <c r="DES2465" s="63"/>
      <c r="DET2465" s="61"/>
      <c r="DEU2465" s="54"/>
      <c r="DEV2465" s="54"/>
      <c r="DEW2465" s="60"/>
      <c r="DEX2465" s="60"/>
      <c r="DEY2465" s="60"/>
      <c r="DEZ2465" s="60"/>
      <c r="DFA2465" s="63"/>
      <c r="DFB2465" s="61"/>
      <c r="DFC2465" s="54"/>
      <c r="DFD2465" s="54"/>
      <c r="DFE2465" s="60"/>
      <c r="DFF2465" s="60"/>
      <c r="DFG2465" s="60"/>
      <c r="DFH2465" s="60"/>
      <c r="DFI2465" s="63"/>
      <c r="DFJ2465" s="61"/>
      <c r="DFK2465" s="54"/>
      <c r="DFL2465" s="54"/>
      <c r="DFM2465" s="60"/>
      <c r="DFN2465" s="60"/>
      <c r="DFO2465" s="60"/>
      <c r="DFP2465" s="60"/>
      <c r="DFQ2465" s="63"/>
      <c r="DFR2465" s="61"/>
      <c r="DFS2465" s="54"/>
      <c r="DFT2465" s="54"/>
      <c r="DFU2465" s="60"/>
      <c r="DFV2465" s="60"/>
      <c r="DFW2465" s="60"/>
      <c r="DFX2465" s="60"/>
      <c r="DFY2465" s="63"/>
      <c r="DFZ2465" s="61"/>
      <c r="DGA2465" s="54"/>
      <c r="DGB2465" s="54"/>
      <c r="DGC2465" s="60"/>
      <c r="DGD2465" s="60"/>
      <c r="DGE2465" s="60"/>
      <c r="DGF2465" s="60"/>
      <c r="DGG2465" s="63"/>
      <c r="DGH2465" s="61"/>
      <c r="DGI2465" s="54"/>
      <c r="DGJ2465" s="54"/>
      <c r="DGK2465" s="60"/>
      <c r="DGL2465" s="60"/>
      <c r="DGM2465" s="60"/>
      <c r="DGN2465" s="60"/>
      <c r="DGO2465" s="63"/>
      <c r="DGP2465" s="61"/>
      <c r="DGQ2465" s="54"/>
      <c r="DGR2465" s="54"/>
      <c r="DGS2465" s="60"/>
      <c r="DGT2465" s="60"/>
      <c r="DGU2465" s="60"/>
      <c r="DGV2465" s="60"/>
      <c r="DGW2465" s="63"/>
      <c r="DGX2465" s="61"/>
      <c r="DGY2465" s="54"/>
      <c r="DGZ2465" s="54"/>
      <c r="DHA2465" s="60"/>
      <c r="DHB2465" s="60"/>
      <c r="DHC2465" s="60"/>
      <c r="DHD2465" s="60"/>
      <c r="DHE2465" s="63"/>
      <c r="DHF2465" s="61"/>
      <c r="DHG2465" s="54"/>
      <c r="DHH2465" s="54"/>
      <c r="DHI2465" s="60"/>
      <c r="DHJ2465" s="60"/>
      <c r="DHK2465" s="60"/>
      <c r="DHL2465" s="60"/>
      <c r="DHM2465" s="63"/>
      <c r="DHN2465" s="61"/>
      <c r="DHO2465" s="54"/>
      <c r="DHP2465" s="54"/>
      <c r="DHQ2465" s="60"/>
      <c r="DHR2465" s="60"/>
      <c r="DHS2465" s="60"/>
      <c r="DHT2465" s="60"/>
      <c r="DHU2465" s="63"/>
      <c r="DHV2465" s="61"/>
      <c r="DHW2465" s="54"/>
      <c r="DHX2465" s="54"/>
      <c r="DHY2465" s="60"/>
      <c r="DHZ2465" s="60"/>
      <c r="DIA2465" s="60"/>
      <c r="DIB2465" s="60"/>
      <c r="DIC2465" s="63"/>
      <c r="DID2465" s="61"/>
      <c r="DIE2465" s="54"/>
      <c r="DIF2465" s="54"/>
      <c r="DIG2465" s="60"/>
      <c r="DIH2465" s="60"/>
      <c r="DII2465" s="60"/>
      <c r="DIJ2465" s="60"/>
      <c r="DIK2465" s="63"/>
      <c r="DIL2465" s="61"/>
      <c r="DIM2465" s="54"/>
      <c r="DIN2465" s="54"/>
      <c r="DIO2465" s="60"/>
      <c r="DIP2465" s="60"/>
      <c r="DIQ2465" s="60"/>
      <c r="DIR2465" s="60"/>
      <c r="DIS2465" s="63"/>
      <c r="DIT2465" s="61"/>
      <c r="DIU2465" s="54"/>
      <c r="DIV2465" s="54"/>
      <c r="DIW2465" s="60"/>
      <c r="DIX2465" s="60"/>
      <c r="DIY2465" s="60"/>
      <c r="DIZ2465" s="60"/>
      <c r="DJA2465" s="63"/>
      <c r="DJB2465" s="61"/>
      <c r="DJC2465" s="54"/>
      <c r="DJD2465" s="54"/>
      <c r="DJE2465" s="60"/>
      <c r="DJF2465" s="60"/>
      <c r="DJG2465" s="60"/>
      <c r="DJH2465" s="60"/>
      <c r="DJI2465" s="63"/>
      <c r="DJJ2465" s="61"/>
      <c r="DJK2465" s="54"/>
      <c r="DJL2465" s="54"/>
      <c r="DJM2465" s="60"/>
      <c r="DJN2465" s="60"/>
      <c r="DJO2465" s="60"/>
      <c r="DJP2465" s="60"/>
      <c r="DJQ2465" s="63"/>
      <c r="DJR2465" s="61"/>
      <c r="DJS2465" s="54"/>
      <c r="DJT2465" s="54"/>
      <c r="DJU2465" s="60"/>
      <c r="DJV2465" s="60"/>
      <c r="DJW2465" s="60"/>
      <c r="DJX2465" s="60"/>
      <c r="DJY2465" s="63"/>
      <c r="DJZ2465" s="61"/>
      <c r="DKA2465" s="54"/>
      <c r="DKB2465" s="54"/>
      <c r="DKC2465" s="60"/>
      <c r="DKD2465" s="60"/>
      <c r="DKE2465" s="60"/>
      <c r="DKF2465" s="60"/>
      <c r="DKG2465" s="63"/>
      <c r="DKH2465" s="61"/>
      <c r="DKI2465" s="54"/>
      <c r="DKJ2465" s="54"/>
      <c r="DKK2465" s="60"/>
      <c r="DKL2465" s="60"/>
      <c r="DKM2465" s="60"/>
      <c r="DKN2465" s="60"/>
      <c r="DKO2465" s="63"/>
      <c r="DKP2465" s="61"/>
      <c r="DKQ2465" s="54"/>
      <c r="DKR2465" s="54"/>
      <c r="DKS2465" s="60"/>
      <c r="DKT2465" s="60"/>
      <c r="DKU2465" s="60"/>
      <c r="DKV2465" s="60"/>
      <c r="DKW2465" s="63"/>
      <c r="DKX2465" s="61"/>
      <c r="DKY2465" s="54"/>
      <c r="DKZ2465" s="54"/>
      <c r="DLA2465" s="60"/>
      <c r="DLB2465" s="60"/>
      <c r="DLC2465" s="60"/>
      <c r="DLD2465" s="60"/>
      <c r="DLE2465" s="63"/>
      <c r="DLF2465" s="61"/>
      <c r="DLG2465" s="54"/>
      <c r="DLH2465" s="54"/>
      <c r="DLI2465" s="60"/>
      <c r="DLJ2465" s="60"/>
      <c r="DLK2465" s="60"/>
      <c r="DLL2465" s="60"/>
      <c r="DLM2465" s="63"/>
      <c r="DLN2465" s="61"/>
      <c r="DLO2465" s="54"/>
      <c r="DLP2465" s="54"/>
      <c r="DLQ2465" s="60"/>
      <c r="DLR2465" s="60"/>
      <c r="DLS2465" s="60"/>
      <c r="DLT2465" s="60"/>
      <c r="DLU2465" s="63"/>
      <c r="DLV2465" s="61"/>
      <c r="DLW2465" s="54"/>
      <c r="DLX2465" s="54"/>
      <c r="DLY2465" s="60"/>
      <c r="DLZ2465" s="60"/>
      <c r="DMA2465" s="60"/>
      <c r="DMB2465" s="60"/>
      <c r="DMC2465" s="63"/>
      <c r="DMD2465" s="61"/>
      <c r="DME2465" s="54"/>
      <c r="DMF2465" s="54"/>
      <c r="DMG2465" s="60"/>
      <c r="DMH2465" s="60"/>
      <c r="DMI2465" s="60"/>
      <c r="DMJ2465" s="60"/>
      <c r="DMK2465" s="63"/>
      <c r="DML2465" s="61"/>
      <c r="DMM2465" s="54"/>
      <c r="DMN2465" s="54"/>
      <c r="DMO2465" s="60"/>
      <c r="DMP2465" s="60"/>
      <c r="DMQ2465" s="60"/>
      <c r="DMR2465" s="60"/>
      <c r="DMS2465" s="63"/>
      <c r="DMT2465" s="61"/>
      <c r="DMU2465" s="54"/>
      <c r="DMV2465" s="54"/>
      <c r="DMW2465" s="60"/>
      <c r="DMX2465" s="60"/>
      <c r="DMY2465" s="60"/>
      <c r="DMZ2465" s="60"/>
      <c r="DNA2465" s="63"/>
      <c r="DNB2465" s="61"/>
      <c r="DNC2465" s="54"/>
      <c r="DND2465" s="54"/>
      <c r="DNE2465" s="60"/>
      <c r="DNF2465" s="60"/>
      <c r="DNG2465" s="60"/>
      <c r="DNH2465" s="60"/>
      <c r="DNI2465" s="63"/>
      <c r="DNJ2465" s="61"/>
      <c r="DNK2465" s="54"/>
      <c r="DNL2465" s="54"/>
      <c r="DNM2465" s="60"/>
      <c r="DNN2465" s="60"/>
      <c r="DNO2465" s="60"/>
      <c r="DNP2465" s="60"/>
      <c r="DNQ2465" s="63"/>
      <c r="DNR2465" s="61"/>
      <c r="DNS2465" s="54"/>
      <c r="DNT2465" s="54"/>
      <c r="DNU2465" s="60"/>
      <c r="DNV2465" s="60"/>
      <c r="DNW2465" s="60"/>
      <c r="DNX2465" s="60"/>
      <c r="DNY2465" s="63"/>
      <c r="DNZ2465" s="61"/>
      <c r="DOA2465" s="54"/>
      <c r="DOB2465" s="54"/>
      <c r="DOC2465" s="60"/>
      <c r="DOD2465" s="60"/>
      <c r="DOE2465" s="60"/>
      <c r="DOF2465" s="60"/>
      <c r="DOG2465" s="63"/>
      <c r="DOH2465" s="61"/>
      <c r="DOI2465" s="54"/>
      <c r="DOJ2465" s="54"/>
      <c r="DOK2465" s="60"/>
      <c r="DOL2465" s="60"/>
      <c r="DOM2465" s="60"/>
      <c r="DON2465" s="60"/>
      <c r="DOO2465" s="63"/>
      <c r="DOP2465" s="61"/>
      <c r="DOQ2465" s="54"/>
      <c r="DOR2465" s="54"/>
      <c r="DOS2465" s="60"/>
      <c r="DOT2465" s="60"/>
      <c r="DOU2465" s="60"/>
      <c r="DOV2465" s="60"/>
      <c r="DOW2465" s="63"/>
      <c r="DOX2465" s="61"/>
      <c r="DOY2465" s="54"/>
      <c r="DOZ2465" s="54"/>
      <c r="DPA2465" s="60"/>
      <c r="DPB2465" s="60"/>
      <c r="DPC2465" s="60"/>
      <c r="DPD2465" s="60"/>
      <c r="DPE2465" s="63"/>
      <c r="DPF2465" s="61"/>
      <c r="DPG2465" s="54"/>
      <c r="DPH2465" s="54"/>
      <c r="DPI2465" s="60"/>
      <c r="DPJ2465" s="60"/>
      <c r="DPK2465" s="60"/>
      <c r="DPL2465" s="60"/>
      <c r="DPM2465" s="63"/>
      <c r="DPN2465" s="61"/>
      <c r="DPO2465" s="54"/>
      <c r="DPP2465" s="54"/>
      <c r="DPQ2465" s="60"/>
      <c r="DPR2465" s="60"/>
      <c r="DPS2465" s="60"/>
      <c r="DPT2465" s="60"/>
      <c r="DPU2465" s="63"/>
      <c r="DPV2465" s="61"/>
      <c r="DPW2465" s="54"/>
      <c r="DPX2465" s="54"/>
      <c r="DPY2465" s="60"/>
      <c r="DPZ2465" s="60"/>
      <c r="DQA2465" s="60"/>
      <c r="DQB2465" s="60"/>
      <c r="DQC2465" s="63"/>
      <c r="DQD2465" s="61"/>
      <c r="DQE2465" s="54"/>
      <c r="DQF2465" s="54"/>
      <c r="DQG2465" s="60"/>
      <c r="DQH2465" s="60"/>
      <c r="DQI2465" s="60"/>
      <c r="DQJ2465" s="60"/>
      <c r="DQK2465" s="63"/>
      <c r="DQL2465" s="61"/>
      <c r="DQM2465" s="54"/>
      <c r="DQN2465" s="54"/>
      <c r="DQO2465" s="60"/>
      <c r="DQP2465" s="60"/>
      <c r="DQQ2465" s="60"/>
      <c r="DQR2465" s="60"/>
      <c r="DQS2465" s="63"/>
      <c r="DQT2465" s="61"/>
      <c r="DQU2465" s="54"/>
      <c r="DQV2465" s="54"/>
      <c r="DQW2465" s="60"/>
      <c r="DQX2465" s="60"/>
      <c r="DQY2465" s="60"/>
      <c r="DQZ2465" s="60"/>
      <c r="DRA2465" s="63"/>
      <c r="DRB2465" s="61"/>
      <c r="DRC2465" s="54"/>
      <c r="DRD2465" s="54"/>
      <c r="DRE2465" s="60"/>
      <c r="DRF2465" s="60"/>
      <c r="DRG2465" s="60"/>
      <c r="DRH2465" s="60"/>
      <c r="DRI2465" s="63"/>
      <c r="DRJ2465" s="61"/>
      <c r="DRK2465" s="54"/>
      <c r="DRL2465" s="54"/>
      <c r="DRM2465" s="60"/>
      <c r="DRN2465" s="60"/>
      <c r="DRO2465" s="60"/>
      <c r="DRP2465" s="60"/>
      <c r="DRQ2465" s="63"/>
      <c r="DRR2465" s="61"/>
      <c r="DRS2465" s="54"/>
      <c r="DRT2465" s="54"/>
      <c r="DRU2465" s="60"/>
      <c r="DRV2465" s="60"/>
      <c r="DRW2465" s="60"/>
      <c r="DRX2465" s="60"/>
      <c r="DRY2465" s="63"/>
      <c r="DRZ2465" s="61"/>
      <c r="DSA2465" s="54"/>
      <c r="DSB2465" s="54"/>
      <c r="DSC2465" s="60"/>
      <c r="DSD2465" s="60"/>
      <c r="DSE2465" s="60"/>
      <c r="DSF2465" s="60"/>
      <c r="DSG2465" s="63"/>
      <c r="DSH2465" s="61"/>
      <c r="DSI2465" s="54"/>
      <c r="DSJ2465" s="54"/>
      <c r="DSK2465" s="60"/>
      <c r="DSL2465" s="60"/>
      <c r="DSM2465" s="60"/>
      <c r="DSN2465" s="60"/>
      <c r="DSO2465" s="63"/>
      <c r="DSP2465" s="61"/>
      <c r="DSQ2465" s="54"/>
      <c r="DSR2465" s="54"/>
      <c r="DSS2465" s="60"/>
      <c r="DST2465" s="60"/>
      <c r="DSU2465" s="60"/>
      <c r="DSV2465" s="60"/>
      <c r="DSW2465" s="63"/>
      <c r="DSX2465" s="61"/>
      <c r="DSY2465" s="54"/>
      <c r="DSZ2465" s="54"/>
      <c r="DTA2465" s="60"/>
      <c r="DTB2465" s="60"/>
      <c r="DTC2465" s="60"/>
      <c r="DTD2465" s="60"/>
      <c r="DTE2465" s="63"/>
      <c r="DTF2465" s="61"/>
      <c r="DTG2465" s="54"/>
      <c r="DTH2465" s="54"/>
      <c r="DTI2465" s="60"/>
      <c r="DTJ2465" s="60"/>
      <c r="DTK2465" s="60"/>
      <c r="DTL2465" s="60"/>
      <c r="DTM2465" s="63"/>
      <c r="DTN2465" s="61"/>
      <c r="DTO2465" s="54"/>
      <c r="DTP2465" s="54"/>
      <c r="DTQ2465" s="60"/>
      <c r="DTR2465" s="60"/>
      <c r="DTS2465" s="60"/>
      <c r="DTT2465" s="60"/>
      <c r="DTU2465" s="63"/>
      <c r="DTV2465" s="61"/>
      <c r="DTW2465" s="54"/>
      <c r="DTX2465" s="54"/>
      <c r="DTY2465" s="60"/>
      <c r="DTZ2465" s="60"/>
      <c r="DUA2465" s="60"/>
      <c r="DUB2465" s="60"/>
      <c r="DUC2465" s="63"/>
      <c r="DUD2465" s="61"/>
      <c r="DUE2465" s="54"/>
      <c r="DUF2465" s="54"/>
      <c r="DUG2465" s="60"/>
      <c r="DUH2465" s="60"/>
      <c r="DUI2465" s="60"/>
      <c r="DUJ2465" s="60"/>
      <c r="DUK2465" s="63"/>
      <c r="DUL2465" s="61"/>
      <c r="DUM2465" s="54"/>
      <c r="DUN2465" s="54"/>
      <c r="DUO2465" s="60"/>
      <c r="DUP2465" s="60"/>
      <c r="DUQ2465" s="60"/>
      <c r="DUR2465" s="60"/>
      <c r="DUS2465" s="63"/>
      <c r="DUT2465" s="61"/>
      <c r="DUU2465" s="54"/>
      <c r="DUV2465" s="54"/>
      <c r="DUW2465" s="60"/>
      <c r="DUX2465" s="60"/>
      <c r="DUY2465" s="60"/>
      <c r="DUZ2465" s="60"/>
      <c r="DVA2465" s="63"/>
      <c r="DVB2465" s="61"/>
      <c r="DVC2465" s="54"/>
      <c r="DVD2465" s="54"/>
      <c r="DVE2465" s="60"/>
      <c r="DVF2465" s="60"/>
      <c r="DVG2465" s="60"/>
      <c r="DVH2465" s="60"/>
      <c r="DVI2465" s="63"/>
      <c r="DVJ2465" s="61"/>
      <c r="DVK2465" s="54"/>
      <c r="DVL2465" s="54"/>
      <c r="DVM2465" s="60"/>
      <c r="DVN2465" s="60"/>
      <c r="DVO2465" s="60"/>
      <c r="DVP2465" s="60"/>
      <c r="DVQ2465" s="63"/>
      <c r="DVR2465" s="61"/>
      <c r="DVS2465" s="54"/>
      <c r="DVT2465" s="54"/>
      <c r="DVU2465" s="60"/>
      <c r="DVV2465" s="60"/>
      <c r="DVW2465" s="60"/>
      <c r="DVX2465" s="60"/>
      <c r="DVY2465" s="63"/>
      <c r="DVZ2465" s="61"/>
      <c r="DWA2465" s="54"/>
      <c r="DWB2465" s="54"/>
      <c r="DWC2465" s="60"/>
      <c r="DWD2465" s="60"/>
      <c r="DWE2465" s="60"/>
      <c r="DWF2465" s="60"/>
      <c r="DWG2465" s="63"/>
      <c r="DWH2465" s="61"/>
      <c r="DWI2465" s="54"/>
      <c r="DWJ2465" s="54"/>
      <c r="DWK2465" s="60"/>
      <c r="DWL2465" s="60"/>
      <c r="DWM2465" s="60"/>
      <c r="DWN2465" s="60"/>
      <c r="DWO2465" s="63"/>
      <c r="DWP2465" s="61"/>
      <c r="DWQ2465" s="54"/>
      <c r="DWR2465" s="54"/>
      <c r="DWS2465" s="60"/>
      <c r="DWT2465" s="60"/>
      <c r="DWU2465" s="60"/>
      <c r="DWV2465" s="60"/>
      <c r="DWW2465" s="63"/>
      <c r="DWX2465" s="61"/>
      <c r="DWY2465" s="54"/>
      <c r="DWZ2465" s="54"/>
      <c r="DXA2465" s="60"/>
      <c r="DXB2465" s="60"/>
      <c r="DXC2465" s="60"/>
      <c r="DXD2465" s="60"/>
      <c r="DXE2465" s="63"/>
      <c r="DXF2465" s="61"/>
      <c r="DXG2465" s="54"/>
      <c r="DXH2465" s="54"/>
      <c r="DXI2465" s="60"/>
      <c r="DXJ2465" s="60"/>
      <c r="DXK2465" s="60"/>
      <c r="DXL2465" s="60"/>
      <c r="DXM2465" s="63"/>
      <c r="DXN2465" s="61"/>
      <c r="DXO2465" s="54"/>
      <c r="DXP2465" s="54"/>
      <c r="DXQ2465" s="60"/>
      <c r="DXR2465" s="60"/>
      <c r="DXS2465" s="60"/>
      <c r="DXT2465" s="60"/>
      <c r="DXU2465" s="63"/>
      <c r="DXV2465" s="61"/>
      <c r="DXW2465" s="54"/>
      <c r="DXX2465" s="54"/>
      <c r="DXY2465" s="60"/>
      <c r="DXZ2465" s="60"/>
      <c r="DYA2465" s="60"/>
      <c r="DYB2465" s="60"/>
      <c r="DYC2465" s="63"/>
      <c r="DYD2465" s="61"/>
      <c r="DYE2465" s="54"/>
      <c r="DYF2465" s="54"/>
      <c r="DYG2465" s="60"/>
      <c r="DYH2465" s="60"/>
      <c r="DYI2465" s="60"/>
      <c r="DYJ2465" s="60"/>
      <c r="DYK2465" s="63"/>
      <c r="DYL2465" s="61"/>
      <c r="DYM2465" s="54"/>
      <c r="DYN2465" s="54"/>
      <c r="DYO2465" s="60"/>
      <c r="DYP2465" s="60"/>
      <c r="DYQ2465" s="60"/>
      <c r="DYR2465" s="60"/>
      <c r="DYS2465" s="63"/>
      <c r="DYT2465" s="61"/>
      <c r="DYU2465" s="54"/>
      <c r="DYV2465" s="54"/>
      <c r="DYW2465" s="60"/>
      <c r="DYX2465" s="60"/>
      <c r="DYY2465" s="60"/>
      <c r="DYZ2465" s="60"/>
      <c r="DZA2465" s="63"/>
      <c r="DZB2465" s="61"/>
      <c r="DZC2465" s="54"/>
      <c r="DZD2465" s="54"/>
      <c r="DZE2465" s="60"/>
      <c r="DZF2465" s="60"/>
      <c r="DZG2465" s="60"/>
      <c r="DZH2465" s="60"/>
      <c r="DZI2465" s="63"/>
      <c r="DZJ2465" s="61"/>
      <c r="DZK2465" s="54"/>
      <c r="DZL2465" s="54"/>
      <c r="DZM2465" s="60"/>
      <c r="DZN2465" s="60"/>
      <c r="DZO2465" s="60"/>
      <c r="DZP2465" s="60"/>
      <c r="DZQ2465" s="63"/>
      <c r="DZR2465" s="61"/>
      <c r="DZS2465" s="54"/>
      <c r="DZT2465" s="54"/>
      <c r="DZU2465" s="60"/>
      <c r="DZV2465" s="60"/>
      <c r="DZW2465" s="60"/>
      <c r="DZX2465" s="60"/>
      <c r="DZY2465" s="63"/>
      <c r="DZZ2465" s="61"/>
      <c r="EAA2465" s="54"/>
      <c r="EAB2465" s="54"/>
      <c r="EAC2465" s="60"/>
      <c r="EAD2465" s="60"/>
      <c r="EAE2465" s="60"/>
      <c r="EAF2465" s="60"/>
      <c r="EAG2465" s="63"/>
      <c r="EAH2465" s="61"/>
      <c r="EAI2465" s="54"/>
      <c r="EAJ2465" s="54"/>
      <c r="EAK2465" s="60"/>
      <c r="EAL2465" s="60"/>
      <c r="EAM2465" s="60"/>
      <c r="EAN2465" s="60"/>
      <c r="EAO2465" s="63"/>
      <c r="EAP2465" s="61"/>
      <c r="EAQ2465" s="54"/>
      <c r="EAR2465" s="54"/>
      <c r="EAS2465" s="60"/>
      <c r="EAT2465" s="60"/>
      <c r="EAU2465" s="60"/>
      <c r="EAV2465" s="60"/>
      <c r="EAW2465" s="63"/>
      <c r="EAX2465" s="61"/>
      <c r="EAY2465" s="54"/>
      <c r="EAZ2465" s="54"/>
      <c r="EBA2465" s="60"/>
      <c r="EBB2465" s="60"/>
      <c r="EBC2465" s="60"/>
      <c r="EBD2465" s="60"/>
      <c r="EBE2465" s="63"/>
      <c r="EBF2465" s="61"/>
      <c r="EBG2465" s="54"/>
      <c r="EBH2465" s="54"/>
      <c r="EBI2465" s="60"/>
      <c r="EBJ2465" s="60"/>
      <c r="EBK2465" s="60"/>
      <c r="EBL2465" s="60"/>
      <c r="EBM2465" s="63"/>
      <c r="EBN2465" s="61"/>
      <c r="EBO2465" s="54"/>
      <c r="EBP2465" s="54"/>
      <c r="EBQ2465" s="60"/>
      <c r="EBR2465" s="60"/>
      <c r="EBS2465" s="60"/>
      <c r="EBT2465" s="60"/>
      <c r="EBU2465" s="63"/>
      <c r="EBV2465" s="61"/>
      <c r="EBW2465" s="54"/>
      <c r="EBX2465" s="54"/>
      <c r="EBY2465" s="60"/>
      <c r="EBZ2465" s="60"/>
      <c r="ECA2465" s="60"/>
      <c r="ECB2465" s="60"/>
      <c r="ECC2465" s="63"/>
      <c r="ECD2465" s="61"/>
      <c r="ECE2465" s="54"/>
      <c r="ECF2465" s="54"/>
      <c r="ECG2465" s="60"/>
      <c r="ECH2465" s="60"/>
      <c r="ECI2465" s="60"/>
      <c r="ECJ2465" s="60"/>
      <c r="ECK2465" s="63"/>
      <c r="ECL2465" s="61"/>
      <c r="ECM2465" s="54"/>
      <c r="ECN2465" s="54"/>
      <c r="ECO2465" s="60"/>
      <c r="ECP2465" s="60"/>
      <c r="ECQ2465" s="60"/>
      <c r="ECR2465" s="60"/>
      <c r="ECS2465" s="63"/>
      <c r="ECT2465" s="61"/>
      <c r="ECU2465" s="54"/>
      <c r="ECV2465" s="54"/>
      <c r="ECW2465" s="60"/>
      <c r="ECX2465" s="60"/>
      <c r="ECY2465" s="60"/>
      <c r="ECZ2465" s="60"/>
      <c r="EDA2465" s="63"/>
      <c r="EDB2465" s="61"/>
      <c r="EDC2465" s="54"/>
      <c r="EDD2465" s="54"/>
      <c r="EDE2465" s="60"/>
      <c r="EDF2465" s="60"/>
      <c r="EDG2465" s="60"/>
      <c r="EDH2465" s="60"/>
      <c r="EDI2465" s="63"/>
      <c r="EDJ2465" s="61"/>
      <c r="EDK2465" s="54"/>
      <c r="EDL2465" s="54"/>
      <c r="EDM2465" s="60"/>
      <c r="EDN2465" s="60"/>
      <c r="EDO2465" s="60"/>
      <c r="EDP2465" s="60"/>
      <c r="EDQ2465" s="63"/>
      <c r="EDR2465" s="61"/>
      <c r="EDS2465" s="54"/>
      <c r="EDT2465" s="54"/>
      <c r="EDU2465" s="60"/>
      <c r="EDV2465" s="60"/>
      <c r="EDW2465" s="60"/>
      <c r="EDX2465" s="60"/>
      <c r="EDY2465" s="63"/>
      <c r="EDZ2465" s="61"/>
      <c r="EEA2465" s="54"/>
      <c r="EEB2465" s="54"/>
      <c r="EEC2465" s="60"/>
      <c r="EED2465" s="60"/>
      <c r="EEE2465" s="60"/>
      <c r="EEF2465" s="60"/>
      <c r="EEG2465" s="63"/>
      <c r="EEH2465" s="61"/>
      <c r="EEI2465" s="54"/>
      <c r="EEJ2465" s="54"/>
      <c r="EEK2465" s="60"/>
      <c r="EEL2465" s="60"/>
      <c r="EEM2465" s="60"/>
      <c r="EEN2465" s="60"/>
      <c r="EEO2465" s="63"/>
      <c r="EEP2465" s="61"/>
      <c r="EEQ2465" s="54"/>
      <c r="EER2465" s="54"/>
      <c r="EES2465" s="60"/>
      <c r="EET2465" s="60"/>
      <c r="EEU2465" s="60"/>
      <c r="EEV2465" s="60"/>
      <c r="EEW2465" s="63"/>
      <c r="EEX2465" s="61"/>
      <c r="EEY2465" s="54"/>
      <c r="EEZ2465" s="54"/>
      <c r="EFA2465" s="60"/>
      <c r="EFB2465" s="60"/>
      <c r="EFC2465" s="60"/>
      <c r="EFD2465" s="60"/>
      <c r="EFE2465" s="63"/>
      <c r="EFF2465" s="61"/>
      <c r="EFG2465" s="54"/>
      <c r="EFH2465" s="54"/>
      <c r="EFI2465" s="60"/>
      <c r="EFJ2465" s="60"/>
      <c r="EFK2465" s="60"/>
      <c r="EFL2465" s="60"/>
      <c r="EFM2465" s="63"/>
      <c r="EFN2465" s="61"/>
      <c r="EFO2465" s="54"/>
      <c r="EFP2465" s="54"/>
      <c r="EFQ2465" s="60"/>
      <c r="EFR2465" s="60"/>
      <c r="EFS2465" s="60"/>
      <c r="EFT2465" s="60"/>
      <c r="EFU2465" s="63"/>
      <c r="EFV2465" s="61"/>
      <c r="EFW2465" s="54"/>
      <c r="EFX2465" s="54"/>
      <c r="EFY2465" s="60"/>
      <c r="EFZ2465" s="60"/>
      <c r="EGA2465" s="60"/>
      <c r="EGB2465" s="60"/>
      <c r="EGC2465" s="63"/>
      <c r="EGD2465" s="61"/>
      <c r="EGE2465" s="54"/>
      <c r="EGF2465" s="54"/>
      <c r="EGG2465" s="60"/>
      <c r="EGH2465" s="60"/>
      <c r="EGI2465" s="60"/>
      <c r="EGJ2465" s="60"/>
      <c r="EGK2465" s="63"/>
      <c r="EGL2465" s="61"/>
      <c r="EGM2465" s="54"/>
      <c r="EGN2465" s="54"/>
      <c r="EGO2465" s="60"/>
      <c r="EGP2465" s="60"/>
      <c r="EGQ2465" s="60"/>
      <c r="EGR2465" s="60"/>
      <c r="EGS2465" s="63"/>
      <c r="EGT2465" s="61"/>
      <c r="EGU2465" s="54"/>
      <c r="EGV2465" s="54"/>
      <c r="EGW2465" s="60"/>
      <c r="EGX2465" s="60"/>
      <c r="EGY2465" s="60"/>
      <c r="EGZ2465" s="60"/>
      <c r="EHA2465" s="63"/>
      <c r="EHB2465" s="61"/>
      <c r="EHC2465" s="54"/>
      <c r="EHD2465" s="54"/>
      <c r="EHE2465" s="60"/>
      <c r="EHF2465" s="60"/>
      <c r="EHG2465" s="60"/>
      <c r="EHH2465" s="60"/>
      <c r="EHI2465" s="63"/>
      <c r="EHJ2465" s="61"/>
      <c r="EHK2465" s="54"/>
      <c r="EHL2465" s="54"/>
      <c r="EHM2465" s="60"/>
      <c r="EHN2465" s="60"/>
      <c r="EHO2465" s="60"/>
      <c r="EHP2465" s="60"/>
      <c r="EHQ2465" s="63"/>
      <c r="EHR2465" s="61"/>
      <c r="EHS2465" s="54"/>
      <c r="EHT2465" s="54"/>
      <c r="EHU2465" s="60"/>
      <c r="EHV2465" s="60"/>
      <c r="EHW2465" s="60"/>
      <c r="EHX2465" s="60"/>
      <c r="EHY2465" s="63"/>
      <c r="EHZ2465" s="61"/>
      <c r="EIA2465" s="54"/>
      <c r="EIB2465" s="54"/>
      <c r="EIC2465" s="60"/>
      <c r="EID2465" s="60"/>
      <c r="EIE2465" s="60"/>
      <c r="EIF2465" s="60"/>
      <c r="EIG2465" s="63"/>
      <c r="EIH2465" s="61"/>
      <c r="EII2465" s="54"/>
      <c r="EIJ2465" s="54"/>
      <c r="EIK2465" s="60"/>
      <c r="EIL2465" s="60"/>
      <c r="EIM2465" s="60"/>
      <c r="EIN2465" s="60"/>
      <c r="EIO2465" s="63"/>
      <c r="EIP2465" s="61"/>
      <c r="EIQ2465" s="54"/>
      <c r="EIR2465" s="54"/>
      <c r="EIS2465" s="60"/>
      <c r="EIT2465" s="60"/>
      <c r="EIU2465" s="60"/>
      <c r="EIV2465" s="60"/>
      <c r="EIW2465" s="63"/>
      <c r="EIX2465" s="61"/>
      <c r="EIY2465" s="54"/>
      <c r="EIZ2465" s="54"/>
      <c r="EJA2465" s="60"/>
      <c r="EJB2465" s="60"/>
      <c r="EJC2465" s="60"/>
      <c r="EJD2465" s="60"/>
      <c r="EJE2465" s="63"/>
      <c r="EJF2465" s="61"/>
      <c r="EJG2465" s="54"/>
      <c r="EJH2465" s="54"/>
      <c r="EJI2465" s="60"/>
      <c r="EJJ2465" s="60"/>
      <c r="EJK2465" s="60"/>
      <c r="EJL2465" s="60"/>
      <c r="EJM2465" s="63"/>
      <c r="EJN2465" s="61"/>
      <c r="EJO2465" s="54"/>
      <c r="EJP2465" s="54"/>
      <c r="EJQ2465" s="60"/>
      <c r="EJR2465" s="60"/>
      <c r="EJS2465" s="60"/>
      <c r="EJT2465" s="60"/>
      <c r="EJU2465" s="63"/>
      <c r="EJV2465" s="61"/>
      <c r="EJW2465" s="54"/>
      <c r="EJX2465" s="54"/>
      <c r="EJY2465" s="60"/>
      <c r="EJZ2465" s="60"/>
      <c r="EKA2465" s="60"/>
      <c r="EKB2465" s="60"/>
      <c r="EKC2465" s="63"/>
      <c r="EKD2465" s="61"/>
      <c r="EKE2465" s="54"/>
      <c r="EKF2465" s="54"/>
      <c r="EKG2465" s="60"/>
      <c r="EKH2465" s="60"/>
      <c r="EKI2465" s="60"/>
      <c r="EKJ2465" s="60"/>
      <c r="EKK2465" s="63"/>
      <c r="EKL2465" s="61"/>
      <c r="EKM2465" s="54"/>
      <c r="EKN2465" s="54"/>
      <c r="EKO2465" s="60"/>
      <c r="EKP2465" s="60"/>
      <c r="EKQ2465" s="60"/>
      <c r="EKR2465" s="60"/>
      <c r="EKS2465" s="63"/>
      <c r="EKT2465" s="61"/>
      <c r="EKU2465" s="54"/>
      <c r="EKV2465" s="54"/>
      <c r="EKW2465" s="60"/>
      <c r="EKX2465" s="60"/>
      <c r="EKY2465" s="60"/>
      <c r="EKZ2465" s="60"/>
      <c r="ELA2465" s="63"/>
      <c r="ELB2465" s="61"/>
      <c r="ELC2465" s="54"/>
      <c r="ELD2465" s="54"/>
      <c r="ELE2465" s="60"/>
      <c r="ELF2465" s="60"/>
      <c r="ELG2465" s="60"/>
      <c r="ELH2465" s="60"/>
      <c r="ELI2465" s="63"/>
      <c r="ELJ2465" s="61"/>
      <c r="ELK2465" s="54"/>
      <c r="ELL2465" s="54"/>
      <c r="ELM2465" s="60"/>
      <c r="ELN2465" s="60"/>
      <c r="ELO2465" s="60"/>
      <c r="ELP2465" s="60"/>
      <c r="ELQ2465" s="63"/>
      <c r="ELR2465" s="61"/>
      <c r="ELS2465" s="54"/>
      <c r="ELT2465" s="54"/>
      <c r="ELU2465" s="60"/>
      <c r="ELV2465" s="60"/>
      <c r="ELW2465" s="60"/>
      <c r="ELX2465" s="60"/>
      <c r="ELY2465" s="63"/>
      <c r="ELZ2465" s="61"/>
      <c r="EMA2465" s="54"/>
      <c r="EMB2465" s="54"/>
      <c r="EMC2465" s="60"/>
      <c r="EMD2465" s="60"/>
      <c r="EME2465" s="60"/>
      <c r="EMF2465" s="60"/>
      <c r="EMG2465" s="63"/>
      <c r="EMH2465" s="61"/>
      <c r="EMI2465" s="54"/>
      <c r="EMJ2465" s="54"/>
      <c r="EMK2465" s="60"/>
      <c r="EML2465" s="60"/>
      <c r="EMM2465" s="60"/>
      <c r="EMN2465" s="60"/>
      <c r="EMO2465" s="63"/>
      <c r="EMP2465" s="61"/>
      <c r="EMQ2465" s="54"/>
      <c r="EMR2465" s="54"/>
      <c r="EMS2465" s="60"/>
      <c r="EMT2465" s="60"/>
      <c r="EMU2465" s="60"/>
      <c r="EMV2465" s="60"/>
      <c r="EMW2465" s="63"/>
      <c r="EMX2465" s="61"/>
      <c r="EMY2465" s="54"/>
      <c r="EMZ2465" s="54"/>
      <c r="ENA2465" s="60"/>
      <c r="ENB2465" s="60"/>
      <c r="ENC2465" s="60"/>
      <c r="END2465" s="60"/>
      <c r="ENE2465" s="63"/>
      <c r="ENF2465" s="61"/>
      <c r="ENG2465" s="54"/>
      <c r="ENH2465" s="54"/>
      <c r="ENI2465" s="60"/>
      <c r="ENJ2465" s="60"/>
      <c r="ENK2465" s="60"/>
      <c r="ENL2465" s="60"/>
      <c r="ENM2465" s="63"/>
      <c r="ENN2465" s="61"/>
      <c r="ENO2465" s="54"/>
      <c r="ENP2465" s="54"/>
      <c r="ENQ2465" s="60"/>
      <c r="ENR2465" s="60"/>
      <c r="ENS2465" s="60"/>
      <c r="ENT2465" s="60"/>
      <c r="ENU2465" s="63"/>
      <c r="ENV2465" s="61"/>
      <c r="ENW2465" s="54"/>
      <c r="ENX2465" s="54"/>
      <c r="ENY2465" s="60"/>
      <c r="ENZ2465" s="60"/>
      <c r="EOA2465" s="60"/>
      <c r="EOB2465" s="60"/>
      <c r="EOC2465" s="63"/>
      <c r="EOD2465" s="61"/>
      <c r="EOE2465" s="54"/>
      <c r="EOF2465" s="54"/>
      <c r="EOG2465" s="60"/>
      <c r="EOH2465" s="60"/>
      <c r="EOI2465" s="60"/>
      <c r="EOJ2465" s="60"/>
      <c r="EOK2465" s="63"/>
      <c r="EOL2465" s="61"/>
      <c r="EOM2465" s="54"/>
      <c r="EON2465" s="54"/>
      <c r="EOO2465" s="60"/>
      <c r="EOP2465" s="60"/>
      <c r="EOQ2465" s="60"/>
      <c r="EOR2465" s="60"/>
      <c r="EOS2465" s="63"/>
      <c r="EOT2465" s="61"/>
      <c r="EOU2465" s="54"/>
      <c r="EOV2465" s="54"/>
      <c r="EOW2465" s="60"/>
      <c r="EOX2465" s="60"/>
      <c r="EOY2465" s="60"/>
      <c r="EOZ2465" s="60"/>
      <c r="EPA2465" s="63"/>
      <c r="EPB2465" s="61"/>
      <c r="EPC2465" s="54"/>
      <c r="EPD2465" s="54"/>
      <c r="EPE2465" s="60"/>
      <c r="EPF2465" s="60"/>
      <c r="EPG2465" s="60"/>
      <c r="EPH2465" s="60"/>
      <c r="EPI2465" s="63"/>
      <c r="EPJ2465" s="61"/>
      <c r="EPK2465" s="54"/>
      <c r="EPL2465" s="54"/>
      <c r="EPM2465" s="60"/>
      <c r="EPN2465" s="60"/>
      <c r="EPO2465" s="60"/>
      <c r="EPP2465" s="60"/>
      <c r="EPQ2465" s="63"/>
      <c r="EPR2465" s="61"/>
      <c r="EPS2465" s="54"/>
      <c r="EPT2465" s="54"/>
      <c r="EPU2465" s="60"/>
      <c r="EPV2465" s="60"/>
      <c r="EPW2465" s="60"/>
      <c r="EPX2465" s="60"/>
      <c r="EPY2465" s="63"/>
      <c r="EPZ2465" s="61"/>
      <c r="EQA2465" s="54"/>
      <c r="EQB2465" s="54"/>
      <c r="EQC2465" s="60"/>
      <c r="EQD2465" s="60"/>
      <c r="EQE2465" s="60"/>
      <c r="EQF2465" s="60"/>
      <c r="EQG2465" s="63"/>
      <c r="EQH2465" s="61"/>
      <c r="EQI2465" s="54"/>
      <c r="EQJ2465" s="54"/>
      <c r="EQK2465" s="60"/>
      <c r="EQL2465" s="60"/>
      <c r="EQM2465" s="60"/>
      <c r="EQN2465" s="60"/>
      <c r="EQO2465" s="63"/>
      <c r="EQP2465" s="61"/>
      <c r="EQQ2465" s="54"/>
      <c r="EQR2465" s="54"/>
      <c r="EQS2465" s="60"/>
      <c r="EQT2465" s="60"/>
      <c r="EQU2465" s="60"/>
      <c r="EQV2465" s="60"/>
      <c r="EQW2465" s="63"/>
      <c r="EQX2465" s="61"/>
      <c r="EQY2465" s="54"/>
      <c r="EQZ2465" s="54"/>
      <c r="ERA2465" s="60"/>
      <c r="ERB2465" s="60"/>
      <c r="ERC2465" s="60"/>
      <c r="ERD2465" s="60"/>
      <c r="ERE2465" s="63"/>
      <c r="ERF2465" s="61"/>
      <c r="ERG2465" s="54"/>
      <c r="ERH2465" s="54"/>
      <c r="ERI2465" s="60"/>
      <c r="ERJ2465" s="60"/>
      <c r="ERK2465" s="60"/>
      <c r="ERL2465" s="60"/>
      <c r="ERM2465" s="63"/>
      <c r="ERN2465" s="61"/>
      <c r="ERO2465" s="54"/>
      <c r="ERP2465" s="54"/>
      <c r="ERQ2465" s="60"/>
      <c r="ERR2465" s="60"/>
      <c r="ERS2465" s="60"/>
      <c r="ERT2465" s="60"/>
      <c r="ERU2465" s="63"/>
      <c r="ERV2465" s="61"/>
      <c r="ERW2465" s="54"/>
      <c r="ERX2465" s="54"/>
      <c r="ERY2465" s="60"/>
      <c r="ERZ2465" s="60"/>
      <c r="ESA2465" s="60"/>
      <c r="ESB2465" s="60"/>
      <c r="ESC2465" s="63"/>
      <c r="ESD2465" s="61"/>
      <c r="ESE2465" s="54"/>
      <c r="ESF2465" s="54"/>
      <c r="ESG2465" s="60"/>
      <c r="ESH2465" s="60"/>
      <c r="ESI2465" s="60"/>
      <c r="ESJ2465" s="60"/>
      <c r="ESK2465" s="63"/>
      <c r="ESL2465" s="61"/>
      <c r="ESM2465" s="54"/>
      <c r="ESN2465" s="54"/>
      <c r="ESO2465" s="60"/>
      <c r="ESP2465" s="60"/>
      <c r="ESQ2465" s="60"/>
      <c r="ESR2465" s="60"/>
      <c r="ESS2465" s="63"/>
      <c r="EST2465" s="61"/>
      <c r="ESU2465" s="54"/>
      <c r="ESV2465" s="54"/>
      <c r="ESW2465" s="60"/>
      <c r="ESX2465" s="60"/>
      <c r="ESY2465" s="60"/>
      <c r="ESZ2465" s="60"/>
      <c r="ETA2465" s="63"/>
      <c r="ETB2465" s="61"/>
      <c r="ETC2465" s="54"/>
      <c r="ETD2465" s="54"/>
      <c r="ETE2465" s="60"/>
      <c r="ETF2465" s="60"/>
      <c r="ETG2465" s="60"/>
      <c r="ETH2465" s="60"/>
      <c r="ETI2465" s="63"/>
      <c r="ETJ2465" s="61"/>
      <c r="ETK2465" s="54"/>
      <c r="ETL2465" s="54"/>
      <c r="ETM2465" s="60"/>
      <c r="ETN2465" s="60"/>
      <c r="ETO2465" s="60"/>
      <c r="ETP2465" s="60"/>
      <c r="ETQ2465" s="63"/>
      <c r="ETR2465" s="61"/>
      <c r="ETS2465" s="54"/>
      <c r="ETT2465" s="54"/>
      <c r="ETU2465" s="60"/>
      <c r="ETV2465" s="60"/>
      <c r="ETW2465" s="60"/>
      <c r="ETX2465" s="60"/>
      <c r="ETY2465" s="63"/>
      <c r="ETZ2465" s="61"/>
      <c r="EUA2465" s="54"/>
      <c r="EUB2465" s="54"/>
      <c r="EUC2465" s="60"/>
      <c r="EUD2465" s="60"/>
      <c r="EUE2465" s="60"/>
      <c r="EUF2465" s="60"/>
      <c r="EUG2465" s="63"/>
      <c r="EUH2465" s="61"/>
      <c r="EUI2465" s="54"/>
      <c r="EUJ2465" s="54"/>
      <c r="EUK2465" s="60"/>
      <c r="EUL2465" s="60"/>
      <c r="EUM2465" s="60"/>
      <c r="EUN2465" s="60"/>
      <c r="EUO2465" s="63"/>
      <c r="EUP2465" s="61"/>
      <c r="EUQ2465" s="54"/>
      <c r="EUR2465" s="54"/>
      <c r="EUS2465" s="60"/>
      <c r="EUT2465" s="60"/>
      <c r="EUU2465" s="60"/>
      <c r="EUV2465" s="60"/>
      <c r="EUW2465" s="63"/>
      <c r="EUX2465" s="61"/>
      <c r="EUY2465" s="54"/>
      <c r="EUZ2465" s="54"/>
      <c r="EVA2465" s="60"/>
      <c r="EVB2465" s="60"/>
      <c r="EVC2465" s="60"/>
      <c r="EVD2465" s="60"/>
      <c r="EVE2465" s="63"/>
      <c r="EVF2465" s="61"/>
      <c r="EVG2465" s="54"/>
      <c r="EVH2465" s="54"/>
      <c r="EVI2465" s="60"/>
      <c r="EVJ2465" s="60"/>
      <c r="EVK2465" s="60"/>
      <c r="EVL2465" s="60"/>
      <c r="EVM2465" s="63"/>
      <c r="EVN2465" s="61"/>
      <c r="EVO2465" s="54"/>
      <c r="EVP2465" s="54"/>
      <c r="EVQ2465" s="60"/>
      <c r="EVR2465" s="60"/>
      <c r="EVS2465" s="60"/>
      <c r="EVT2465" s="60"/>
      <c r="EVU2465" s="63"/>
      <c r="EVV2465" s="61"/>
      <c r="EVW2465" s="54"/>
      <c r="EVX2465" s="54"/>
      <c r="EVY2465" s="60"/>
      <c r="EVZ2465" s="60"/>
      <c r="EWA2465" s="60"/>
      <c r="EWB2465" s="60"/>
      <c r="EWC2465" s="63"/>
      <c r="EWD2465" s="61"/>
      <c r="EWE2465" s="54"/>
      <c r="EWF2465" s="54"/>
      <c r="EWG2465" s="60"/>
      <c r="EWH2465" s="60"/>
      <c r="EWI2465" s="60"/>
      <c r="EWJ2465" s="60"/>
      <c r="EWK2465" s="63"/>
      <c r="EWL2465" s="61"/>
      <c r="EWM2465" s="54"/>
      <c r="EWN2465" s="54"/>
      <c r="EWO2465" s="60"/>
      <c r="EWP2465" s="60"/>
      <c r="EWQ2465" s="60"/>
      <c r="EWR2465" s="60"/>
      <c r="EWS2465" s="63"/>
      <c r="EWT2465" s="61"/>
      <c r="EWU2465" s="54"/>
      <c r="EWV2465" s="54"/>
      <c r="EWW2465" s="60"/>
      <c r="EWX2465" s="60"/>
      <c r="EWY2465" s="60"/>
      <c r="EWZ2465" s="60"/>
      <c r="EXA2465" s="63"/>
      <c r="EXB2465" s="61"/>
      <c r="EXC2465" s="54"/>
      <c r="EXD2465" s="54"/>
      <c r="EXE2465" s="60"/>
      <c r="EXF2465" s="60"/>
      <c r="EXG2465" s="60"/>
      <c r="EXH2465" s="60"/>
      <c r="EXI2465" s="63"/>
      <c r="EXJ2465" s="61"/>
      <c r="EXK2465" s="54"/>
      <c r="EXL2465" s="54"/>
      <c r="EXM2465" s="60"/>
      <c r="EXN2465" s="60"/>
      <c r="EXO2465" s="60"/>
      <c r="EXP2465" s="60"/>
      <c r="EXQ2465" s="63"/>
      <c r="EXR2465" s="61"/>
      <c r="EXS2465" s="54"/>
      <c r="EXT2465" s="54"/>
      <c r="EXU2465" s="60"/>
      <c r="EXV2465" s="60"/>
      <c r="EXW2465" s="60"/>
      <c r="EXX2465" s="60"/>
      <c r="EXY2465" s="63"/>
      <c r="EXZ2465" s="61"/>
      <c r="EYA2465" s="54"/>
      <c r="EYB2465" s="54"/>
      <c r="EYC2465" s="60"/>
      <c r="EYD2465" s="60"/>
      <c r="EYE2465" s="60"/>
      <c r="EYF2465" s="60"/>
      <c r="EYG2465" s="63"/>
      <c r="EYH2465" s="61"/>
      <c r="EYI2465" s="54"/>
      <c r="EYJ2465" s="54"/>
      <c r="EYK2465" s="60"/>
      <c r="EYL2465" s="60"/>
      <c r="EYM2465" s="60"/>
      <c r="EYN2465" s="60"/>
      <c r="EYO2465" s="63"/>
      <c r="EYP2465" s="61"/>
      <c r="EYQ2465" s="54"/>
      <c r="EYR2465" s="54"/>
      <c r="EYS2465" s="60"/>
      <c r="EYT2465" s="60"/>
      <c r="EYU2465" s="60"/>
      <c r="EYV2465" s="60"/>
      <c r="EYW2465" s="63"/>
      <c r="EYX2465" s="61"/>
      <c r="EYY2465" s="54"/>
      <c r="EYZ2465" s="54"/>
      <c r="EZA2465" s="60"/>
      <c r="EZB2465" s="60"/>
      <c r="EZC2465" s="60"/>
      <c r="EZD2465" s="60"/>
      <c r="EZE2465" s="63"/>
      <c r="EZF2465" s="61"/>
      <c r="EZG2465" s="54"/>
      <c r="EZH2465" s="54"/>
      <c r="EZI2465" s="60"/>
      <c r="EZJ2465" s="60"/>
      <c r="EZK2465" s="60"/>
      <c r="EZL2465" s="60"/>
      <c r="EZM2465" s="63"/>
      <c r="EZN2465" s="61"/>
      <c r="EZO2465" s="54"/>
      <c r="EZP2465" s="54"/>
      <c r="EZQ2465" s="60"/>
      <c r="EZR2465" s="60"/>
      <c r="EZS2465" s="60"/>
      <c r="EZT2465" s="60"/>
      <c r="EZU2465" s="63"/>
      <c r="EZV2465" s="61"/>
      <c r="EZW2465" s="54"/>
      <c r="EZX2465" s="54"/>
      <c r="EZY2465" s="60"/>
      <c r="EZZ2465" s="60"/>
      <c r="FAA2465" s="60"/>
      <c r="FAB2465" s="60"/>
      <c r="FAC2465" s="63"/>
      <c r="FAD2465" s="61"/>
      <c r="FAE2465" s="54"/>
      <c r="FAF2465" s="54"/>
      <c r="FAG2465" s="60"/>
      <c r="FAH2465" s="60"/>
      <c r="FAI2465" s="60"/>
      <c r="FAJ2465" s="60"/>
      <c r="FAK2465" s="63"/>
      <c r="FAL2465" s="61"/>
      <c r="FAM2465" s="54"/>
      <c r="FAN2465" s="54"/>
      <c r="FAO2465" s="60"/>
      <c r="FAP2465" s="60"/>
      <c r="FAQ2465" s="60"/>
      <c r="FAR2465" s="60"/>
      <c r="FAS2465" s="63"/>
      <c r="FAT2465" s="61"/>
      <c r="FAU2465" s="54"/>
      <c r="FAV2465" s="54"/>
      <c r="FAW2465" s="60"/>
      <c r="FAX2465" s="60"/>
      <c r="FAY2465" s="60"/>
      <c r="FAZ2465" s="60"/>
      <c r="FBA2465" s="63"/>
      <c r="FBB2465" s="61"/>
      <c r="FBC2465" s="54"/>
      <c r="FBD2465" s="54"/>
      <c r="FBE2465" s="60"/>
      <c r="FBF2465" s="60"/>
      <c r="FBG2465" s="60"/>
      <c r="FBH2465" s="60"/>
      <c r="FBI2465" s="63"/>
      <c r="FBJ2465" s="61"/>
      <c r="FBK2465" s="54"/>
      <c r="FBL2465" s="54"/>
      <c r="FBM2465" s="60"/>
      <c r="FBN2465" s="60"/>
      <c r="FBO2465" s="60"/>
      <c r="FBP2465" s="60"/>
      <c r="FBQ2465" s="63"/>
      <c r="FBR2465" s="61"/>
      <c r="FBS2465" s="54"/>
      <c r="FBT2465" s="54"/>
      <c r="FBU2465" s="60"/>
      <c r="FBV2465" s="60"/>
      <c r="FBW2465" s="60"/>
      <c r="FBX2465" s="60"/>
      <c r="FBY2465" s="63"/>
      <c r="FBZ2465" s="61"/>
      <c r="FCA2465" s="54"/>
      <c r="FCB2465" s="54"/>
      <c r="FCC2465" s="60"/>
      <c r="FCD2465" s="60"/>
      <c r="FCE2465" s="60"/>
      <c r="FCF2465" s="60"/>
      <c r="FCG2465" s="63"/>
      <c r="FCH2465" s="61"/>
      <c r="FCI2465" s="54"/>
      <c r="FCJ2465" s="54"/>
      <c r="FCK2465" s="60"/>
      <c r="FCL2465" s="60"/>
      <c r="FCM2465" s="60"/>
      <c r="FCN2465" s="60"/>
      <c r="FCO2465" s="63"/>
      <c r="FCP2465" s="61"/>
      <c r="FCQ2465" s="54"/>
      <c r="FCR2465" s="54"/>
      <c r="FCS2465" s="60"/>
      <c r="FCT2465" s="60"/>
      <c r="FCU2465" s="60"/>
      <c r="FCV2465" s="60"/>
      <c r="FCW2465" s="63"/>
      <c r="FCX2465" s="61"/>
      <c r="FCY2465" s="54"/>
      <c r="FCZ2465" s="54"/>
      <c r="FDA2465" s="60"/>
      <c r="FDB2465" s="60"/>
      <c r="FDC2465" s="60"/>
      <c r="FDD2465" s="60"/>
      <c r="FDE2465" s="63"/>
      <c r="FDF2465" s="61"/>
      <c r="FDG2465" s="54"/>
      <c r="FDH2465" s="54"/>
      <c r="FDI2465" s="60"/>
      <c r="FDJ2465" s="60"/>
      <c r="FDK2465" s="60"/>
      <c r="FDL2465" s="60"/>
      <c r="FDM2465" s="63"/>
      <c r="FDN2465" s="61"/>
      <c r="FDO2465" s="54"/>
      <c r="FDP2465" s="54"/>
      <c r="FDQ2465" s="60"/>
      <c r="FDR2465" s="60"/>
      <c r="FDS2465" s="60"/>
      <c r="FDT2465" s="60"/>
      <c r="FDU2465" s="63"/>
      <c r="FDV2465" s="61"/>
      <c r="FDW2465" s="54"/>
      <c r="FDX2465" s="54"/>
      <c r="FDY2465" s="60"/>
      <c r="FDZ2465" s="60"/>
      <c r="FEA2465" s="60"/>
      <c r="FEB2465" s="60"/>
      <c r="FEC2465" s="63"/>
      <c r="FED2465" s="61"/>
      <c r="FEE2465" s="54"/>
      <c r="FEF2465" s="54"/>
      <c r="FEG2465" s="60"/>
      <c r="FEH2465" s="60"/>
      <c r="FEI2465" s="60"/>
      <c r="FEJ2465" s="60"/>
      <c r="FEK2465" s="63"/>
      <c r="FEL2465" s="61"/>
      <c r="FEM2465" s="54"/>
      <c r="FEN2465" s="54"/>
      <c r="FEO2465" s="60"/>
      <c r="FEP2465" s="60"/>
      <c r="FEQ2465" s="60"/>
      <c r="FER2465" s="60"/>
      <c r="FES2465" s="63"/>
      <c r="FET2465" s="61"/>
      <c r="FEU2465" s="54"/>
      <c r="FEV2465" s="54"/>
      <c r="FEW2465" s="60"/>
      <c r="FEX2465" s="60"/>
      <c r="FEY2465" s="60"/>
      <c r="FEZ2465" s="60"/>
      <c r="FFA2465" s="63"/>
      <c r="FFB2465" s="61"/>
      <c r="FFC2465" s="54"/>
      <c r="FFD2465" s="54"/>
      <c r="FFE2465" s="60"/>
      <c r="FFF2465" s="60"/>
      <c r="FFG2465" s="60"/>
      <c r="FFH2465" s="60"/>
      <c r="FFI2465" s="63"/>
      <c r="FFJ2465" s="61"/>
      <c r="FFK2465" s="54"/>
      <c r="FFL2465" s="54"/>
      <c r="FFM2465" s="60"/>
      <c r="FFN2465" s="60"/>
      <c r="FFO2465" s="60"/>
      <c r="FFP2465" s="60"/>
      <c r="FFQ2465" s="63"/>
      <c r="FFR2465" s="61"/>
      <c r="FFS2465" s="54"/>
      <c r="FFT2465" s="54"/>
      <c r="FFU2465" s="60"/>
      <c r="FFV2465" s="60"/>
      <c r="FFW2465" s="60"/>
      <c r="FFX2465" s="60"/>
      <c r="FFY2465" s="63"/>
      <c r="FFZ2465" s="61"/>
      <c r="FGA2465" s="54"/>
      <c r="FGB2465" s="54"/>
      <c r="FGC2465" s="60"/>
      <c r="FGD2465" s="60"/>
      <c r="FGE2465" s="60"/>
      <c r="FGF2465" s="60"/>
      <c r="FGG2465" s="63"/>
      <c r="FGH2465" s="61"/>
      <c r="FGI2465" s="54"/>
      <c r="FGJ2465" s="54"/>
      <c r="FGK2465" s="60"/>
      <c r="FGL2465" s="60"/>
      <c r="FGM2465" s="60"/>
      <c r="FGN2465" s="60"/>
      <c r="FGO2465" s="63"/>
      <c r="FGP2465" s="61"/>
      <c r="FGQ2465" s="54"/>
      <c r="FGR2465" s="54"/>
      <c r="FGS2465" s="60"/>
      <c r="FGT2465" s="60"/>
      <c r="FGU2465" s="60"/>
      <c r="FGV2465" s="60"/>
      <c r="FGW2465" s="63"/>
      <c r="FGX2465" s="61"/>
      <c r="FGY2465" s="54"/>
      <c r="FGZ2465" s="54"/>
      <c r="FHA2465" s="60"/>
      <c r="FHB2465" s="60"/>
      <c r="FHC2465" s="60"/>
      <c r="FHD2465" s="60"/>
      <c r="FHE2465" s="63"/>
      <c r="FHF2465" s="61"/>
      <c r="FHG2465" s="54"/>
      <c r="FHH2465" s="54"/>
      <c r="FHI2465" s="60"/>
      <c r="FHJ2465" s="60"/>
      <c r="FHK2465" s="60"/>
      <c r="FHL2465" s="60"/>
      <c r="FHM2465" s="63"/>
      <c r="FHN2465" s="61"/>
      <c r="FHO2465" s="54"/>
      <c r="FHP2465" s="54"/>
      <c r="FHQ2465" s="60"/>
      <c r="FHR2465" s="60"/>
      <c r="FHS2465" s="60"/>
      <c r="FHT2465" s="60"/>
      <c r="FHU2465" s="63"/>
      <c r="FHV2465" s="61"/>
      <c r="FHW2465" s="54"/>
      <c r="FHX2465" s="54"/>
      <c r="FHY2465" s="60"/>
      <c r="FHZ2465" s="60"/>
      <c r="FIA2465" s="60"/>
      <c r="FIB2465" s="60"/>
      <c r="FIC2465" s="63"/>
      <c r="FID2465" s="61"/>
      <c r="FIE2465" s="54"/>
      <c r="FIF2465" s="54"/>
      <c r="FIG2465" s="60"/>
      <c r="FIH2465" s="60"/>
      <c r="FII2465" s="60"/>
      <c r="FIJ2465" s="60"/>
      <c r="FIK2465" s="63"/>
      <c r="FIL2465" s="61"/>
      <c r="FIM2465" s="54"/>
      <c r="FIN2465" s="54"/>
      <c r="FIO2465" s="60"/>
      <c r="FIP2465" s="60"/>
      <c r="FIQ2465" s="60"/>
      <c r="FIR2465" s="60"/>
      <c r="FIS2465" s="63"/>
      <c r="FIT2465" s="61"/>
      <c r="FIU2465" s="54"/>
      <c r="FIV2465" s="54"/>
      <c r="FIW2465" s="60"/>
      <c r="FIX2465" s="60"/>
      <c r="FIY2465" s="60"/>
      <c r="FIZ2465" s="60"/>
      <c r="FJA2465" s="63"/>
      <c r="FJB2465" s="61"/>
      <c r="FJC2465" s="54"/>
      <c r="FJD2465" s="54"/>
      <c r="FJE2465" s="60"/>
      <c r="FJF2465" s="60"/>
      <c r="FJG2465" s="60"/>
      <c r="FJH2465" s="60"/>
      <c r="FJI2465" s="63"/>
      <c r="FJJ2465" s="61"/>
      <c r="FJK2465" s="54"/>
      <c r="FJL2465" s="54"/>
      <c r="FJM2465" s="60"/>
      <c r="FJN2465" s="60"/>
      <c r="FJO2465" s="60"/>
      <c r="FJP2465" s="60"/>
      <c r="FJQ2465" s="63"/>
      <c r="FJR2465" s="61"/>
      <c r="FJS2465" s="54"/>
      <c r="FJT2465" s="54"/>
      <c r="FJU2465" s="60"/>
      <c r="FJV2465" s="60"/>
      <c r="FJW2465" s="60"/>
      <c r="FJX2465" s="60"/>
      <c r="FJY2465" s="63"/>
      <c r="FJZ2465" s="61"/>
      <c r="FKA2465" s="54"/>
      <c r="FKB2465" s="54"/>
      <c r="FKC2465" s="60"/>
      <c r="FKD2465" s="60"/>
      <c r="FKE2465" s="60"/>
      <c r="FKF2465" s="60"/>
      <c r="FKG2465" s="63"/>
      <c r="FKH2465" s="61"/>
      <c r="FKI2465" s="54"/>
      <c r="FKJ2465" s="54"/>
      <c r="FKK2465" s="60"/>
      <c r="FKL2465" s="60"/>
      <c r="FKM2465" s="60"/>
      <c r="FKN2465" s="60"/>
      <c r="FKO2465" s="63"/>
      <c r="FKP2465" s="61"/>
      <c r="FKQ2465" s="54"/>
      <c r="FKR2465" s="54"/>
      <c r="FKS2465" s="60"/>
      <c r="FKT2465" s="60"/>
      <c r="FKU2465" s="60"/>
      <c r="FKV2465" s="60"/>
      <c r="FKW2465" s="63"/>
      <c r="FKX2465" s="61"/>
      <c r="FKY2465" s="54"/>
      <c r="FKZ2465" s="54"/>
      <c r="FLA2465" s="60"/>
      <c r="FLB2465" s="60"/>
      <c r="FLC2465" s="60"/>
      <c r="FLD2465" s="60"/>
      <c r="FLE2465" s="63"/>
      <c r="FLF2465" s="61"/>
      <c r="FLG2465" s="54"/>
      <c r="FLH2465" s="54"/>
      <c r="FLI2465" s="60"/>
      <c r="FLJ2465" s="60"/>
      <c r="FLK2465" s="60"/>
      <c r="FLL2465" s="60"/>
      <c r="FLM2465" s="63"/>
      <c r="FLN2465" s="61"/>
      <c r="FLO2465" s="54"/>
      <c r="FLP2465" s="54"/>
      <c r="FLQ2465" s="60"/>
      <c r="FLR2465" s="60"/>
      <c r="FLS2465" s="60"/>
      <c r="FLT2465" s="60"/>
      <c r="FLU2465" s="63"/>
      <c r="FLV2465" s="61"/>
      <c r="FLW2465" s="54"/>
      <c r="FLX2465" s="54"/>
      <c r="FLY2465" s="60"/>
      <c r="FLZ2465" s="60"/>
      <c r="FMA2465" s="60"/>
      <c r="FMB2465" s="60"/>
      <c r="FMC2465" s="63"/>
      <c r="FMD2465" s="61"/>
      <c r="FME2465" s="54"/>
      <c r="FMF2465" s="54"/>
      <c r="FMG2465" s="60"/>
      <c r="FMH2465" s="60"/>
      <c r="FMI2465" s="60"/>
      <c r="FMJ2465" s="60"/>
      <c r="FMK2465" s="63"/>
      <c r="FML2465" s="61"/>
      <c r="FMM2465" s="54"/>
      <c r="FMN2465" s="54"/>
      <c r="FMO2465" s="60"/>
      <c r="FMP2465" s="60"/>
      <c r="FMQ2465" s="60"/>
      <c r="FMR2465" s="60"/>
      <c r="FMS2465" s="63"/>
      <c r="FMT2465" s="61"/>
      <c r="FMU2465" s="54"/>
      <c r="FMV2465" s="54"/>
      <c r="FMW2465" s="60"/>
      <c r="FMX2465" s="60"/>
      <c r="FMY2465" s="60"/>
      <c r="FMZ2465" s="60"/>
      <c r="FNA2465" s="63"/>
      <c r="FNB2465" s="61"/>
      <c r="FNC2465" s="54"/>
      <c r="FND2465" s="54"/>
      <c r="FNE2465" s="60"/>
      <c r="FNF2465" s="60"/>
      <c r="FNG2465" s="60"/>
      <c r="FNH2465" s="60"/>
      <c r="FNI2465" s="63"/>
      <c r="FNJ2465" s="61"/>
      <c r="FNK2465" s="54"/>
      <c r="FNL2465" s="54"/>
      <c r="FNM2465" s="60"/>
      <c r="FNN2465" s="60"/>
      <c r="FNO2465" s="60"/>
      <c r="FNP2465" s="60"/>
      <c r="FNQ2465" s="63"/>
      <c r="FNR2465" s="61"/>
      <c r="FNS2465" s="54"/>
      <c r="FNT2465" s="54"/>
      <c r="FNU2465" s="60"/>
      <c r="FNV2465" s="60"/>
      <c r="FNW2465" s="60"/>
      <c r="FNX2465" s="60"/>
      <c r="FNY2465" s="63"/>
      <c r="FNZ2465" s="61"/>
      <c r="FOA2465" s="54"/>
      <c r="FOB2465" s="54"/>
      <c r="FOC2465" s="60"/>
      <c r="FOD2465" s="60"/>
      <c r="FOE2465" s="60"/>
      <c r="FOF2465" s="60"/>
      <c r="FOG2465" s="63"/>
      <c r="FOH2465" s="61"/>
      <c r="FOI2465" s="54"/>
      <c r="FOJ2465" s="54"/>
      <c r="FOK2465" s="60"/>
      <c r="FOL2465" s="60"/>
      <c r="FOM2465" s="60"/>
      <c r="FON2465" s="60"/>
      <c r="FOO2465" s="63"/>
      <c r="FOP2465" s="61"/>
      <c r="FOQ2465" s="54"/>
      <c r="FOR2465" s="54"/>
      <c r="FOS2465" s="60"/>
      <c r="FOT2465" s="60"/>
      <c r="FOU2465" s="60"/>
      <c r="FOV2465" s="60"/>
      <c r="FOW2465" s="63"/>
      <c r="FOX2465" s="61"/>
      <c r="FOY2465" s="54"/>
      <c r="FOZ2465" s="54"/>
      <c r="FPA2465" s="60"/>
      <c r="FPB2465" s="60"/>
      <c r="FPC2465" s="60"/>
      <c r="FPD2465" s="60"/>
      <c r="FPE2465" s="63"/>
      <c r="FPF2465" s="61"/>
      <c r="FPG2465" s="54"/>
      <c r="FPH2465" s="54"/>
      <c r="FPI2465" s="60"/>
      <c r="FPJ2465" s="60"/>
      <c r="FPK2465" s="60"/>
      <c r="FPL2465" s="60"/>
      <c r="FPM2465" s="63"/>
      <c r="FPN2465" s="61"/>
      <c r="FPO2465" s="54"/>
      <c r="FPP2465" s="54"/>
      <c r="FPQ2465" s="60"/>
      <c r="FPR2465" s="60"/>
      <c r="FPS2465" s="60"/>
      <c r="FPT2465" s="60"/>
      <c r="FPU2465" s="63"/>
      <c r="FPV2465" s="61"/>
      <c r="FPW2465" s="54"/>
      <c r="FPX2465" s="54"/>
      <c r="FPY2465" s="60"/>
      <c r="FPZ2465" s="60"/>
      <c r="FQA2465" s="60"/>
      <c r="FQB2465" s="60"/>
      <c r="FQC2465" s="63"/>
      <c r="FQD2465" s="61"/>
      <c r="FQE2465" s="54"/>
      <c r="FQF2465" s="54"/>
      <c r="FQG2465" s="60"/>
      <c r="FQH2465" s="60"/>
      <c r="FQI2465" s="60"/>
      <c r="FQJ2465" s="60"/>
      <c r="FQK2465" s="63"/>
      <c r="FQL2465" s="61"/>
      <c r="FQM2465" s="54"/>
      <c r="FQN2465" s="54"/>
      <c r="FQO2465" s="60"/>
      <c r="FQP2465" s="60"/>
      <c r="FQQ2465" s="60"/>
      <c r="FQR2465" s="60"/>
      <c r="FQS2465" s="63"/>
      <c r="FQT2465" s="61"/>
      <c r="FQU2465" s="54"/>
      <c r="FQV2465" s="54"/>
      <c r="FQW2465" s="60"/>
      <c r="FQX2465" s="60"/>
      <c r="FQY2465" s="60"/>
      <c r="FQZ2465" s="60"/>
      <c r="FRA2465" s="63"/>
      <c r="FRB2465" s="61"/>
      <c r="FRC2465" s="54"/>
      <c r="FRD2465" s="54"/>
      <c r="FRE2465" s="60"/>
      <c r="FRF2465" s="60"/>
      <c r="FRG2465" s="60"/>
      <c r="FRH2465" s="60"/>
      <c r="FRI2465" s="63"/>
      <c r="FRJ2465" s="61"/>
      <c r="FRK2465" s="54"/>
      <c r="FRL2465" s="54"/>
      <c r="FRM2465" s="60"/>
      <c r="FRN2465" s="60"/>
      <c r="FRO2465" s="60"/>
      <c r="FRP2465" s="60"/>
      <c r="FRQ2465" s="63"/>
      <c r="FRR2465" s="61"/>
      <c r="FRS2465" s="54"/>
      <c r="FRT2465" s="54"/>
      <c r="FRU2465" s="60"/>
      <c r="FRV2465" s="60"/>
      <c r="FRW2465" s="60"/>
      <c r="FRX2465" s="60"/>
      <c r="FRY2465" s="63"/>
      <c r="FRZ2465" s="61"/>
      <c r="FSA2465" s="54"/>
      <c r="FSB2465" s="54"/>
      <c r="FSC2465" s="60"/>
      <c r="FSD2465" s="60"/>
      <c r="FSE2465" s="60"/>
      <c r="FSF2465" s="60"/>
      <c r="FSG2465" s="63"/>
      <c r="FSH2465" s="61"/>
      <c r="FSI2465" s="54"/>
      <c r="FSJ2465" s="54"/>
      <c r="FSK2465" s="60"/>
      <c r="FSL2465" s="60"/>
      <c r="FSM2465" s="60"/>
      <c r="FSN2465" s="60"/>
      <c r="FSO2465" s="63"/>
      <c r="FSP2465" s="61"/>
      <c r="FSQ2465" s="54"/>
      <c r="FSR2465" s="54"/>
      <c r="FSS2465" s="60"/>
      <c r="FST2465" s="60"/>
      <c r="FSU2465" s="60"/>
      <c r="FSV2465" s="60"/>
      <c r="FSW2465" s="63"/>
      <c r="FSX2465" s="61"/>
      <c r="FSY2465" s="54"/>
      <c r="FSZ2465" s="54"/>
      <c r="FTA2465" s="60"/>
      <c r="FTB2465" s="60"/>
      <c r="FTC2465" s="60"/>
      <c r="FTD2465" s="60"/>
      <c r="FTE2465" s="63"/>
      <c r="FTF2465" s="61"/>
      <c r="FTG2465" s="54"/>
      <c r="FTH2465" s="54"/>
      <c r="FTI2465" s="60"/>
      <c r="FTJ2465" s="60"/>
      <c r="FTK2465" s="60"/>
      <c r="FTL2465" s="60"/>
      <c r="FTM2465" s="63"/>
      <c r="FTN2465" s="61"/>
      <c r="FTO2465" s="54"/>
      <c r="FTP2465" s="54"/>
      <c r="FTQ2465" s="60"/>
      <c r="FTR2465" s="60"/>
      <c r="FTS2465" s="60"/>
      <c r="FTT2465" s="60"/>
      <c r="FTU2465" s="63"/>
      <c r="FTV2465" s="61"/>
      <c r="FTW2465" s="54"/>
      <c r="FTX2465" s="54"/>
      <c r="FTY2465" s="60"/>
      <c r="FTZ2465" s="60"/>
      <c r="FUA2465" s="60"/>
      <c r="FUB2465" s="60"/>
      <c r="FUC2465" s="63"/>
      <c r="FUD2465" s="61"/>
      <c r="FUE2465" s="54"/>
      <c r="FUF2465" s="54"/>
      <c r="FUG2465" s="60"/>
      <c r="FUH2465" s="60"/>
      <c r="FUI2465" s="60"/>
      <c r="FUJ2465" s="60"/>
      <c r="FUK2465" s="63"/>
      <c r="FUL2465" s="61"/>
      <c r="FUM2465" s="54"/>
      <c r="FUN2465" s="54"/>
      <c r="FUO2465" s="60"/>
      <c r="FUP2465" s="60"/>
      <c r="FUQ2465" s="60"/>
      <c r="FUR2465" s="60"/>
      <c r="FUS2465" s="63"/>
      <c r="FUT2465" s="61"/>
      <c r="FUU2465" s="54"/>
      <c r="FUV2465" s="54"/>
      <c r="FUW2465" s="60"/>
      <c r="FUX2465" s="60"/>
      <c r="FUY2465" s="60"/>
      <c r="FUZ2465" s="60"/>
      <c r="FVA2465" s="63"/>
      <c r="FVB2465" s="61"/>
      <c r="FVC2465" s="54"/>
      <c r="FVD2465" s="54"/>
      <c r="FVE2465" s="60"/>
      <c r="FVF2465" s="60"/>
      <c r="FVG2465" s="60"/>
      <c r="FVH2465" s="60"/>
      <c r="FVI2465" s="63"/>
      <c r="FVJ2465" s="61"/>
      <c r="FVK2465" s="54"/>
      <c r="FVL2465" s="54"/>
      <c r="FVM2465" s="60"/>
      <c r="FVN2465" s="60"/>
      <c r="FVO2465" s="60"/>
      <c r="FVP2465" s="60"/>
      <c r="FVQ2465" s="63"/>
      <c r="FVR2465" s="61"/>
      <c r="FVS2465" s="54"/>
      <c r="FVT2465" s="54"/>
      <c r="FVU2465" s="60"/>
      <c r="FVV2465" s="60"/>
      <c r="FVW2465" s="60"/>
      <c r="FVX2465" s="60"/>
      <c r="FVY2465" s="63"/>
      <c r="FVZ2465" s="61"/>
      <c r="FWA2465" s="54"/>
      <c r="FWB2465" s="54"/>
      <c r="FWC2465" s="60"/>
      <c r="FWD2465" s="60"/>
      <c r="FWE2465" s="60"/>
      <c r="FWF2465" s="60"/>
      <c r="FWG2465" s="63"/>
      <c r="FWH2465" s="61"/>
      <c r="FWI2465" s="54"/>
      <c r="FWJ2465" s="54"/>
      <c r="FWK2465" s="60"/>
      <c r="FWL2465" s="60"/>
      <c r="FWM2465" s="60"/>
      <c r="FWN2465" s="60"/>
      <c r="FWO2465" s="63"/>
      <c r="FWP2465" s="61"/>
      <c r="FWQ2465" s="54"/>
      <c r="FWR2465" s="54"/>
      <c r="FWS2465" s="60"/>
      <c r="FWT2465" s="60"/>
      <c r="FWU2465" s="60"/>
      <c r="FWV2465" s="60"/>
      <c r="FWW2465" s="63"/>
      <c r="FWX2465" s="61"/>
      <c r="FWY2465" s="54"/>
      <c r="FWZ2465" s="54"/>
      <c r="FXA2465" s="60"/>
      <c r="FXB2465" s="60"/>
      <c r="FXC2465" s="60"/>
      <c r="FXD2465" s="60"/>
      <c r="FXE2465" s="63"/>
      <c r="FXF2465" s="61"/>
      <c r="FXG2465" s="54"/>
      <c r="FXH2465" s="54"/>
      <c r="FXI2465" s="60"/>
      <c r="FXJ2465" s="60"/>
      <c r="FXK2465" s="60"/>
      <c r="FXL2465" s="60"/>
      <c r="FXM2465" s="63"/>
      <c r="FXN2465" s="61"/>
      <c r="FXO2465" s="54"/>
      <c r="FXP2465" s="54"/>
      <c r="FXQ2465" s="60"/>
      <c r="FXR2465" s="60"/>
      <c r="FXS2465" s="60"/>
      <c r="FXT2465" s="60"/>
      <c r="FXU2465" s="63"/>
      <c r="FXV2465" s="61"/>
      <c r="FXW2465" s="54"/>
      <c r="FXX2465" s="54"/>
      <c r="FXY2465" s="60"/>
      <c r="FXZ2465" s="60"/>
      <c r="FYA2465" s="60"/>
      <c r="FYB2465" s="60"/>
      <c r="FYC2465" s="63"/>
      <c r="FYD2465" s="61"/>
      <c r="FYE2465" s="54"/>
      <c r="FYF2465" s="54"/>
      <c r="FYG2465" s="60"/>
      <c r="FYH2465" s="60"/>
      <c r="FYI2465" s="60"/>
      <c r="FYJ2465" s="60"/>
      <c r="FYK2465" s="63"/>
      <c r="FYL2465" s="61"/>
      <c r="FYM2465" s="54"/>
      <c r="FYN2465" s="54"/>
      <c r="FYO2465" s="60"/>
      <c r="FYP2465" s="60"/>
      <c r="FYQ2465" s="60"/>
      <c r="FYR2465" s="60"/>
      <c r="FYS2465" s="63"/>
      <c r="FYT2465" s="61"/>
      <c r="FYU2465" s="54"/>
      <c r="FYV2465" s="54"/>
      <c r="FYW2465" s="60"/>
      <c r="FYX2465" s="60"/>
      <c r="FYY2465" s="60"/>
      <c r="FYZ2465" s="60"/>
      <c r="FZA2465" s="63"/>
      <c r="FZB2465" s="61"/>
      <c r="FZC2465" s="54"/>
      <c r="FZD2465" s="54"/>
      <c r="FZE2465" s="60"/>
      <c r="FZF2465" s="60"/>
      <c r="FZG2465" s="60"/>
      <c r="FZH2465" s="60"/>
      <c r="FZI2465" s="63"/>
      <c r="FZJ2465" s="61"/>
      <c r="FZK2465" s="54"/>
      <c r="FZL2465" s="54"/>
      <c r="FZM2465" s="60"/>
      <c r="FZN2465" s="60"/>
      <c r="FZO2465" s="60"/>
      <c r="FZP2465" s="60"/>
      <c r="FZQ2465" s="63"/>
      <c r="FZR2465" s="61"/>
      <c r="FZS2465" s="54"/>
      <c r="FZT2465" s="54"/>
      <c r="FZU2465" s="60"/>
      <c r="FZV2465" s="60"/>
      <c r="FZW2465" s="60"/>
      <c r="FZX2465" s="60"/>
      <c r="FZY2465" s="63"/>
      <c r="FZZ2465" s="61"/>
      <c r="GAA2465" s="54"/>
      <c r="GAB2465" s="54"/>
      <c r="GAC2465" s="60"/>
      <c r="GAD2465" s="60"/>
      <c r="GAE2465" s="60"/>
      <c r="GAF2465" s="60"/>
      <c r="GAG2465" s="63"/>
      <c r="GAH2465" s="61"/>
      <c r="GAI2465" s="54"/>
      <c r="GAJ2465" s="54"/>
      <c r="GAK2465" s="60"/>
      <c r="GAL2465" s="60"/>
      <c r="GAM2465" s="60"/>
      <c r="GAN2465" s="60"/>
      <c r="GAO2465" s="63"/>
      <c r="GAP2465" s="61"/>
      <c r="GAQ2465" s="54"/>
      <c r="GAR2465" s="54"/>
      <c r="GAS2465" s="60"/>
      <c r="GAT2465" s="60"/>
      <c r="GAU2465" s="60"/>
      <c r="GAV2465" s="60"/>
      <c r="GAW2465" s="63"/>
      <c r="GAX2465" s="61"/>
      <c r="GAY2465" s="54"/>
      <c r="GAZ2465" s="54"/>
      <c r="GBA2465" s="60"/>
      <c r="GBB2465" s="60"/>
      <c r="GBC2465" s="60"/>
      <c r="GBD2465" s="60"/>
      <c r="GBE2465" s="63"/>
      <c r="GBF2465" s="61"/>
      <c r="GBG2465" s="54"/>
      <c r="GBH2465" s="54"/>
      <c r="GBI2465" s="60"/>
      <c r="GBJ2465" s="60"/>
      <c r="GBK2465" s="60"/>
      <c r="GBL2465" s="60"/>
      <c r="GBM2465" s="63"/>
      <c r="GBN2465" s="61"/>
      <c r="GBO2465" s="54"/>
      <c r="GBP2465" s="54"/>
      <c r="GBQ2465" s="60"/>
      <c r="GBR2465" s="60"/>
      <c r="GBS2465" s="60"/>
      <c r="GBT2465" s="60"/>
      <c r="GBU2465" s="63"/>
      <c r="GBV2465" s="61"/>
      <c r="GBW2465" s="54"/>
      <c r="GBX2465" s="54"/>
      <c r="GBY2465" s="60"/>
      <c r="GBZ2465" s="60"/>
      <c r="GCA2465" s="60"/>
      <c r="GCB2465" s="60"/>
      <c r="GCC2465" s="63"/>
      <c r="GCD2465" s="61"/>
      <c r="GCE2465" s="54"/>
      <c r="GCF2465" s="54"/>
      <c r="GCG2465" s="60"/>
      <c r="GCH2465" s="60"/>
      <c r="GCI2465" s="60"/>
      <c r="GCJ2465" s="60"/>
      <c r="GCK2465" s="63"/>
      <c r="GCL2465" s="61"/>
      <c r="GCM2465" s="54"/>
      <c r="GCN2465" s="54"/>
      <c r="GCO2465" s="60"/>
      <c r="GCP2465" s="60"/>
      <c r="GCQ2465" s="60"/>
      <c r="GCR2465" s="60"/>
      <c r="GCS2465" s="63"/>
      <c r="GCT2465" s="61"/>
      <c r="GCU2465" s="54"/>
      <c r="GCV2465" s="54"/>
      <c r="GCW2465" s="60"/>
      <c r="GCX2465" s="60"/>
      <c r="GCY2465" s="60"/>
      <c r="GCZ2465" s="60"/>
      <c r="GDA2465" s="63"/>
      <c r="GDB2465" s="61"/>
      <c r="GDC2465" s="54"/>
      <c r="GDD2465" s="54"/>
      <c r="GDE2465" s="60"/>
      <c r="GDF2465" s="60"/>
      <c r="GDG2465" s="60"/>
      <c r="GDH2465" s="60"/>
      <c r="GDI2465" s="63"/>
      <c r="GDJ2465" s="61"/>
      <c r="GDK2465" s="54"/>
      <c r="GDL2465" s="54"/>
      <c r="GDM2465" s="60"/>
      <c r="GDN2465" s="60"/>
      <c r="GDO2465" s="60"/>
      <c r="GDP2465" s="60"/>
      <c r="GDQ2465" s="63"/>
      <c r="GDR2465" s="61"/>
      <c r="GDS2465" s="54"/>
      <c r="GDT2465" s="54"/>
      <c r="GDU2465" s="60"/>
      <c r="GDV2465" s="60"/>
      <c r="GDW2465" s="60"/>
      <c r="GDX2465" s="60"/>
      <c r="GDY2465" s="63"/>
      <c r="GDZ2465" s="61"/>
      <c r="GEA2465" s="54"/>
      <c r="GEB2465" s="54"/>
      <c r="GEC2465" s="60"/>
      <c r="GED2465" s="60"/>
      <c r="GEE2465" s="60"/>
      <c r="GEF2465" s="60"/>
      <c r="GEG2465" s="63"/>
      <c r="GEH2465" s="61"/>
      <c r="GEI2465" s="54"/>
      <c r="GEJ2465" s="54"/>
      <c r="GEK2465" s="60"/>
      <c r="GEL2465" s="60"/>
      <c r="GEM2465" s="60"/>
      <c r="GEN2465" s="60"/>
      <c r="GEO2465" s="63"/>
      <c r="GEP2465" s="61"/>
      <c r="GEQ2465" s="54"/>
      <c r="GER2465" s="54"/>
      <c r="GES2465" s="60"/>
      <c r="GET2465" s="60"/>
      <c r="GEU2465" s="60"/>
      <c r="GEV2465" s="60"/>
      <c r="GEW2465" s="63"/>
      <c r="GEX2465" s="61"/>
      <c r="GEY2465" s="54"/>
      <c r="GEZ2465" s="54"/>
      <c r="GFA2465" s="60"/>
      <c r="GFB2465" s="60"/>
      <c r="GFC2465" s="60"/>
      <c r="GFD2465" s="60"/>
      <c r="GFE2465" s="63"/>
      <c r="GFF2465" s="61"/>
      <c r="GFG2465" s="54"/>
      <c r="GFH2465" s="54"/>
      <c r="GFI2465" s="60"/>
      <c r="GFJ2465" s="60"/>
      <c r="GFK2465" s="60"/>
      <c r="GFL2465" s="60"/>
      <c r="GFM2465" s="63"/>
      <c r="GFN2465" s="61"/>
      <c r="GFO2465" s="54"/>
      <c r="GFP2465" s="54"/>
      <c r="GFQ2465" s="60"/>
      <c r="GFR2465" s="60"/>
      <c r="GFS2465" s="60"/>
      <c r="GFT2465" s="60"/>
      <c r="GFU2465" s="63"/>
      <c r="GFV2465" s="61"/>
      <c r="GFW2465" s="54"/>
      <c r="GFX2465" s="54"/>
      <c r="GFY2465" s="60"/>
      <c r="GFZ2465" s="60"/>
      <c r="GGA2465" s="60"/>
      <c r="GGB2465" s="60"/>
      <c r="GGC2465" s="63"/>
      <c r="GGD2465" s="61"/>
      <c r="GGE2465" s="54"/>
      <c r="GGF2465" s="54"/>
      <c r="GGG2465" s="60"/>
      <c r="GGH2465" s="60"/>
      <c r="GGI2465" s="60"/>
      <c r="GGJ2465" s="60"/>
      <c r="GGK2465" s="63"/>
      <c r="GGL2465" s="61"/>
      <c r="GGM2465" s="54"/>
      <c r="GGN2465" s="54"/>
      <c r="GGO2465" s="60"/>
      <c r="GGP2465" s="60"/>
      <c r="GGQ2465" s="60"/>
      <c r="GGR2465" s="60"/>
      <c r="GGS2465" s="63"/>
      <c r="GGT2465" s="61"/>
      <c r="GGU2465" s="54"/>
      <c r="GGV2465" s="54"/>
      <c r="GGW2465" s="60"/>
      <c r="GGX2465" s="60"/>
      <c r="GGY2465" s="60"/>
      <c r="GGZ2465" s="60"/>
      <c r="GHA2465" s="63"/>
      <c r="GHB2465" s="61"/>
      <c r="GHC2465" s="54"/>
      <c r="GHD2465" s="54"/>
      <c r="GHE2465" s="60"/>
      <c r="GHF2465" s="60"/>
      <c r="GHG2465" s="60"/>
      <c r="GHH2465" s="60"/>
      <c r="GHI2465" s="63"/>
      <c r="GHJ2465" s="61"/>
      <c r="GHK2465" s="54"/>
      <c r="GHL2465" s="54"/>
      <c r="GHM2465" s="60"/>
      <c r="GHN2465" s="60"/>
      <c r="GHO2465" s="60"/>
      <c r="GHP2465" s="60"/>
      <c r="GHQ2465" s="63"/>
      <c r="GHR2465" s="61"/>
      <c r="GHS2465" s="54"/>
      <c r="GHT2465" s="54"/>
      <c r="GHU2465" s="60"/>
      <c r="GHV2465" s="60"/>
      <c r="GHW2465" s="60"/>
      <c r="GHX2465" s="60"/>
      <c r="GHY2465" s="63"/>
      <c r="GHZ2465" s="61"/>
      <c r="GIA2465" s="54"/>
      <c r="GIB2465" s="54"/>
      <c r="GIC2465" s="60"/>
      <c r="GID2465" s="60"/>
      <c r="GIE2465" s="60"/>
      <c r="GIF2465" s="60"/>
      <c r="GIG2465" s="63"/>
      <c r="GIH2465" s="61"/>
      <c r="GII2465" s="54"/>
      <c r="GIJ2465" s="54"/>
      <c r="GIK2465" s="60"/>
      <c r="GIL2465" s="60"/>
      <c r="GIM2465" s="60"/>
      <c r="GIN2465" s="60"/>
      <c r="GIO2465" s="63"/>
      <c r="GIP2465" s="61"/>
      <c r="GIQ2465" s="54"/>
      <c r="GIR2465" s="54"/>
      <c r="GIS2465" s="60"/>
      <c r="GIT2465" s="60"/>
      <c r="GIU2465" s="60"/>
      <c r="GIV2465" s="60"/>
      <c r="GIW2465" s="63"/>
      <c r="GIX2465" s="61"/>
      <c r="GIY2465" s="54"/>
      <c r="GIZ2465" s="54"/>
      <c r="GJA2465" s="60"/>
      <c r="GJB2465" s="60"/>
      <c r="GJC2465" s="60"/>
      <c r="GJD2465" s="60"/>
      <c r="GJE2465" s="63"/>
      <c r="GJF2465" s="61"/>
      <c r="GJG2465" s="54"/>
      <c r="GJH2465" s="54"/>
      <c r="GJI2465" s="60"/>
      <c r="GJJ2465" s="60"/>
      <c r="GJK2465" s="60"/>
      <c r="GJL2465" s="60"/>
      <c r="GJM2465" s="63"/>
      <c r="GJN2465" s="61"/>
      <c r="GJO2465" s="54"/>
      <c r="GJP2465" s="54"/>
      <c r="GJQ2465" s="60"/>
      <c r="GJR2465" s="60"/>
      <c r="GJS2465" s="60"/>
      <c r="GJT2465" s="60"/>
      <c r="GJU2465" s="63"/>
      <c r="GJV2465" s="61"/>
      <c r="GJW2465" s="54"/>
      <c r="GJX2465" s="54"/>
      <c r="GJY2465" s="60"/>
      <c r="GJZ2465" s="60"/>
      <c r="GKA2465" s="60"/>
      <c r="GKB2465" s="60"/>
      <c r="GKC2465" s="63"/>
      <c r="GKD2465" s="61"/>
      <c r="GKE2465" s="54"/>
      <c r="GKF2465" s="54"/>
      <c r="GKG2465" s="60"/>
      <c r="GKH2465" s="60"/>
      <c r="GKI2465" s="60"/>
      <c r="GKJ2465" s="60"/>
      <c r="GKK2465" s="63"/>
      <c r="GKL2465" s="61"/>
      <c r="GKM2465" s="54"/>
      <c r="GKN2465" s="54"/>
      <c r="GKO2465" s="60"/>
      <c r="GKP2465" s="60"/>
      <c r="GKQ2465" s="60"/>
      <c r="GKR2465" s="60"/>
      <c r="GKS2465" s="63"/>
      <c r="GKT2465" s="61"/>
      <c r="GKU2465" s="54"/>
      <c r="GKV2465" s="54"/>
      <c r="GKW2465" s="60"/>
      <c r="GKX2465" s="60"/>
      <c r="GKY2465" s="60"/>
      <c r="GKZ2465" s="60"/>
      <c r="GLA2465" s="63"/>
      <c r="GLB2465" s="61"/>
      <c r="GLC2465" s="54"/>
      <c r="GLD2465" s="54"/>
      <c r="GLE2465" s="60"/>
      <c r="GLF2465" s="60"/>
      <c r="GLG2465" s="60"/>
      <c r="GLH2465" s="60"/>
      <c r="GLI2465" s="63"/>
      <c r="GLJ2465" s="61"/>
      <c r="GLK2465" s="54"/>
      <c r="GLL2465" s="54"/>
      <c r="GLM2465" s="60"/>
      <c r="GLN2465" s="60"/>
      <c r="GLO2465" s="60"/>
      <c r="GLP2465" s="60"/>
      <c r="GLQ2465" s="63"/>
      <c r="GLR2465" s="61"/>
      <c r="GLS2465" s="54"/>
      <c r="GLT2465" s="54"/>
      <c r="GLU2465" s="60"/>
      <c r="GLV2465" s="60"/>
      <c r="GLW2465" s="60"/>
      <c r="GLX2465" s="60"/>
      <c r="GLY2465" s="63"/>
      <c r="GLZ2465" s="61"/>
      <c r="GMA2465" s="54"/>
      <c r="GMB2465" s="54"/>
      <c r="GMC2465" s="60"/>
      <c r="GMD2465" s="60"/>
      <c r="GME2465" s="60"/>
      <c r="GMF2465" s="60"/>
      <c r="GMG2465" s="63"/>
      <c r="GMH2465" s="61"/>
      <c r="GMI2465" s="54"/>
      <c r="GMJ2465" s="54"/>
      <c r="GMK2465" s="60"/>
      <c r="GML2465" s="60"/>
      <c r="GMM2465" s="60"/>
      <c r="GMN2465" s="60"/>
      <c r="GMO2465" s="63"/>
      <c r="GMP2465" s="61"/>
      <c r="GMQ2465" s="54"/>
      <c r="GMR2465" s="54"/>
      <c r="GMS2465" s="60"/>
      <c r="GMT2465" s="60"/>
      <c r="GMU2465" s="60"/>
      <c r="GMV2465" s="60"/>
      <c r="GMW2465" s="63"/>
      <c r="GMX2465" s="61"/>
      <c r="GMY2465" s="54"/>
      <c r="GMZ2465" s="54"/>
      <c r="GNA2465" s="60"/>
      <c r="GNB2465" s="60"/>
      <c r="GNC2465" s="60"/>
      <c r="GND2465" s="60"/>
      <c r="GNE2465" s="63"/>
      <c r="GNF2465" s="61"/>
      <c r="GNG2465" s="54"/>
      <c r="GNH2465" s="54"/>
      <c r="GNI2465" s="60"/>
      <c r="GNJ2465" s="60"/>
      <c r="GNK2465" s="60"/>
      <c r="GNL2465" s="60"/>
      <c r="GNM2465" s="63"/>
      <c r="GNN2465" s="61"/>
      <c r="GNO2465" s="54"/>
      <c r="GNP2465" s="54"/>
      <c r="GNQ2465" s="60"/>
      <c r="GNR2465" s="60"/>
      <c r="GNS2465" s="60"/>
      <c r="GNT2465" s="60"/>
      <c r="GNU2465" s="63"/>
      <c r="GNV2465" s="61"/>
      <c r="GNW2465" s="54"/>
      <c r="GNX2465" s="54"/>
      <c r="GNY2465" s="60"/>
      <c r="GNZ2465" s="60"/>
      <c r="GOA2465" s="60"/>
      <c r="GOB2465" s="60"/>
      <c r="GOC2465" s="63"/>
      <c r="GOD2465" s="61"/>
      <c r="GOE2465" s="54"/>
      <c r="GOF2465" s="54"/>
      <c r="GOG2465" s="60"/>
      <c r="GOH2465" s="60"/>
      <c r="GOI2465" s="60"/>
      <c r="GOJ2465" s="60"/>
      <c r="GOK2465" s="63"/>
      <c r="GOL2465" s="61"/>
      <c r="GOM2465" s="54"/>
      <c r="GON2465" s="54"/>
      <c r="GOO2465" s="60"/>
      <c r="GOP2465" s="60"/>
      <c r="GOQ2465" s="60"/>
      <c r="GOR2465" s="60"/>
      <c r="GOS2465" s="63"/>
      <c r="GOT2465" s="61"/>
      <c r="GOU2465" s="54"/>
      <c r="GOV2465" s="54"/>
      <c r="GOW2465" s="60"/>
      <c r="GOX2465" s="60"/>
      <c r="GOY2465" s="60"/>
      <c r="GOZ2465" s="60"/>
      <c r="GPA2465" s="63"/>
      <c r="GPB2465" s="61"/>
      <c r="GPC2465" s="54"/>
      <c r="GPD2465" s="54"/>
      <c r="GPE2465" s="60"/>
      <c r="GPF2465" s="60"/>
      <c r="GPG2465" s="60"/>
      <c r="GPH2465" s="60"/>
      <c r="GPI2465" s="63"/>
      <c r="GPJ2465" s="61"/>
      <c r="GPK2465" s="54"/>
      <c r="GPL2465" s="54"/>
      <c r="GPM2465" s="60"/>
      <c r="GPN2465" s="60"/>
      <c r="GPO2465" s="60"/>
      <c r="GPP2465" s="60"/>
      <c r="GPQ2465" s="63"/>
      <c r="GPR2465" s="61"/>
      <c r="GPS2465" s="54"/>
      <c r="GPT2465" s="54"/>
      <c r="GPU2465" s="60"/>
      <c r="GPV2465" s="60"/>
      <c r="GPW2465" s="60"/>
      <c r="GPX2465" s="60"/>
      <c r="GPY2465" s="63"/>
      <c r="GPZ2465" s="61"/>
      <c r="GQA2465" s="54"/>
      <c r="GQB2465" s="54"/>
      <c r="GQC2465" s="60"/>
      <c r="GQD2465" s="60"/>
      <c r="GQE2465" s="60"/>
      <c r="GQF2465" s="60"/>
      <c r="GQG2465" s="63"/>
      <c r="GQH2465" s="61"/>
      <c r="GQI2465" s="54"/>
      <c r="GQJ2465" s="54"/>
      <c r="GQK2465" s="60"/>
      <c r="GQL2465" s="60"/>
      <c r="GQM2465" s="60"/>
      <c r="GQN2465" s="60"/>
      <c r="GQO2465" s="63"/>
      <c r="GQP2465" s="61"/>
      <c r="GQQ2465" s="54"/>
      <c r="GQR2465" s="54"/>
      <c r="GQS2465" s="60"/>
      <c r="GQT2465" s="60"/>
      <c r="GQU2465" s="60"/>
      <c r="GQV2465" s="60"/>
      <c r="GQW2465" s="63"/>
      <c r="GQX2465" s="61"/>
      <c r="GQY2465" s="54"/>
      <c r="GQZ2465" s="54"/>
      <c r="GRA2465" s="60"/>
      <c r="GRB2465" s="60"/>
      <c r="GRC2465" s="60"/>
      <c r="GRD2465" s="60"/>
      <c r="GRE2465" s="63"/>
      <c r="GRF2465" s="61"/>
      <c r="GRG2465" s="54"/>
      <c r="GRH2465" s="54"/>
      <c r="GRI2465" s="60"/>
      <c r="GRJ2465" s="60"/>
      <c r="GRK2465" s="60"/>
      <c r="GRL2465" s="60"/>
      <c r="GRM2465" s="63"/>
      <c r="GRN2465" s="61"/>
      <c r="GRO2465" s="54"/>
      <c r="GRP2465" s="54"/>
      <c r="GRQ2465" s="60"/>
      <c r="GRR2465" s="60"/>
      <c r="GRS2465" s="60"/>
      <c r="GRT2465" s="60"/>
      <c r="GRU2465" s="63"/>
      <c r="GRV2465" s="61"/>
      <c r="GRW2465" s="54"/>
      <c r="GRX2465" s="54"/>
      <c r="GRY2465" s="60"/>
      <c r="GRZ2465" s="60"/>
      <c r="GSA2465" s="60"/>
      <c r="GSB2465" s="60"/>
      <c r="GSC2465" s="63"/>
      <c r="GSD2465" s="61"/>
      <c r="GSE2465" s="54"/>
      <c r="GSF2465" s="54"/>
      <c r="GSG2465" s="60"/>
      <c r="GSH2465" s="60"/>
      <c r="GSI2465" s="60"/>
      <c r="GSJ2465" s="60"/>
      <c r="GSK2465" s="63"/>
      <c r="GSL2465" s="61"/>
      <c r="GSM2465" s="54"/>
      <c r="GSN2465" s="54"/>
      <c r="GSO2465" s="60"/>
      <c r="GSP2465" s="60"/>
      <c r="GSQ2465" s="60"/>
      <c r="GSR2465" s="60"/>
      <c r="GSS2465" s="63"/>
      <c r="GST2465" s="61"/>
      <c r="GSU2465" s="54"/>
      <c r="GSV2465" s="54"/>
      <c r="GSW2465" s="60"/>
      <c r="GSX2465" s="60"/>
      <c r="GSY2465" s="60"/>
      <c r="GSZ2465" s="60"/>
      <c r="GTA2465" s="63"/>
      <c r="GTB2465" s="61"/>
      <c r="GTC2465" s="54"/>
      <c r="GTD2465" s="54"/>
      <c r="GTE2465" s="60"/>
      <c r="GTF2465" s="60"/>
      <c r="GTG2465" s="60"/>
      <c r="GTH2465" s="60"/>
      <c r="GTI2465" s="63"/>
      <c r="GTJ2465" s="61"/>
      <c r="GTK2465" s="54"/>
      <c r="GTL2465" s="54"/>
      <c r="GTM2465" s="60"/>
      <c r="GTN2465" s="60"/>
      <c r="GTO2465" s="60"/>
      <c r="GTP2465" s="60"/>
      <c r="GTQ2465" s="63"/>
      <c r="GTR2465" s="61"/>
      <c r="GTS2465" s="54"/>
      <c r="GTT2465" s="54"/>
      <c r="GTU2465" s="60"/>
      <c r="GTV2465" s="60"/>
      <c r="GTW2465" s="60"/>
      <c r="GTX2465" s="60"/>
      <c r="GTY2465" s="63"/>
      <c r="GTZ2465" s="61"/>
      <c r="GUA2465" s="54"/>
      <c r="GUB2465" s="54"/>
      <c r="GUC2465" s="60"/>
      <c r="GUD2465" s="60"/>
      <c r="GUE2465" s="60"/>
      <c r="GUF2465" s="60"/>
      <c r="GUG2465" s="63"/>
      <c r="GUH2465" s="61"/>
      <c r="GUI2465" s="54"/>
      <c r="GUJ2465" s="54"/>
      <c r="GUK2465" s="60"/>
      <c r="GUL2465" s="60"/>
      <c r="GUM2465" s="60"/>
      <c r="GUN2465" s="60"/>
      <c r="GUO2465" s="63"/>
      <c r="GUP2465" s="61"/>
      <c r="GUQ2465" s="54"/>
      <c r="GUR2465" s="54"/>
      <c r="GUS2465" s="60"/>
      <c r="GUT2465" s="60"/>
      <c r="GUU2465" s="60"/>
      <c r="GUV2465" s="60"/>
      <c r="GUW2465" s="63"/>
      <c r="GUX2465" s="61"/>
      <c r="GUY2465" s="54"/>
      <c r="GUZ2465" s="54"/>
      <c r="GVA2465" s="60"/>
      <c r="GVB2465" s="60"/>
      <c r="GVC2465" s="60"/>
      <c r="GVD2465" s="60"/>
      <c r="GVE2465" s="63"/>
      <c r="GVF2465" s="61"/>
      <c r="GVG2465" s="54"/>
      <c r="GVH2465" s="54"/>
      <c r="GVI2465" s="60"/>
      <c r="GVJ2465" s="60"/>
      <c r="GVK2465" s="60"/>
      <c r="GVL2465" s="60"/>
      <c r="GVM2465" s="63"/>
      <c r="GVN2465" s="61"/>
      <c r="GVO2465" s="54"/>
      <c r="GVP2465" s="54"/>
      <c r="GVQ2465" s="60"/>
      <c r="GVR2465" s="60"/>
      <c r="GVS2465" s="60"/>
      <c r="GVT2465" s="60"/>
      <c r="GVU2465" s="63"/>
      <c r="GVV2465" s="61"/>
      <c r="GVW2465" s="54"/>
      <c r="GVX2465" s="54"/>
      <c r="GVY2465" s="60"/>
      <c r="GVZ2465" s="60"/>
      <c r="GWA2465" s="60"/>
      <c r="GWB2465" s="60"/>
      <c r="GWC2465" s="63"/>
      <c r="GWD2465" s="61"/>
      <c r="GWE2465" s="54"/>
      <c r="GWF2465" s="54"/>
      <c r="GWG2465" s="60"/>
      <c r="GWH2465" s="60"/>
      <c r="GWI2465" s="60"/>
      <c r="GWJ2465" s="60"/>
      <c r="GWK2465" s="63"/>
      <c r="GWL2465" s="61"/>
      <c r="GWM2465" s="54"/>
      <c r="GWN2465" s="54"/>
      <c r="GWO2465" s="60"/>
      <c r="GWP2465" s="60"/>
      <c r="GWQ2465" s="60"/>
      <c r="GWR2465" s="60"/>
      <c r="GWS2465" s="63"/>
      <c r="GWT2465" s="61"/>
      <c r="GWU2465" s="54"/>
      <c r="GWV2465" s="54"/>
      <c r="GWW2465" s="60"/>
      <c r="GWX2465" s="60"/>
      <c r="GWY2465" s="60"/>
      <c r="GWZ2465" s="60"/>
      <c r="GXA2465" s="63"/>
      <c r="GXB2465" s="61"/>
      <c r="GXC2465" s="54"/>
      <c r="GXD2465" s="54"/>
      <c r="GXE2465" s="60"/>
      <c r="GXF2465" s="60"/>
      <c r="GXG2465" s="60"/>
      <c r="GXH2465" s="60"/>
      <c r="GXI2465" s="63"/>
      <c r="GXJ2465" s="61"/>
      <c r="GXK2465" s="54"/>
      <c r="GXL2465" s="54"/>
      <c r="GXM2465" s="60"/>
      <c r="GXN2465" s="60"/>
      <c r="GXO2465" s="60"/>
      <c r="GXP2465" s="60"/>
      <c r="GXQ2465" s="63"/>
      <c r="GXR2465" s="61"/>
      <c r="GXS2465" s="54"/>
      <c r="GXT2465" s="54"/>
      <c r="GXU2465" s="60"/>
      <c r="GXV2465" s="60"/>
      <c r="GXW2465" s="60"/>
      <c r="GXX2465" s="60"/>
      <c r="GXY2465" s="63"/>
      <c r="GXZ2465" s="61"/>
      <c r="GYA2465" s="54"/>
      <c r="GYB2465" s="54"/>
      <c r="GYC2465" s="60"/>
      <c r="GYD2465" s="60"/>
      <c r="GYE2465" s="60"/>
      <c r="GYF2465" s="60"/>
      <c r="GYG2465" s="63"/>
      <c r="GYH2465" s="61"/>
      <c r="GYI2465" s="54"/>
      <c r="GYJ2465" s="54"/>
      <c r="GYK2465" s="60"/>
      <c r="GYL2465" s="60"/>
      <c r="GYM2465" s="60"/>
      <c r="GYN2465" s="60"/>
      <c r="GYO2465" s="63"/>
      <c r="GYP2465" s="61"/>
      <c r="GYQ2465" s="54"/>
      <c r="GYR2465" s="54"/>
      <c r="GYS2465" s="60"/>
      <c r="GYT2465" s="60"/>
      <c r="GYU2465" s="60"/>
      <c r="GYV2465" s="60"/>
      <c r="GYW2465" s="63"/>
      <c r="GYX2465" s="61"/>
      <c r="GYY2465" s="54"/>
      <c r="GYZ2465" s="54"/>
      <c r="GZA2465" s="60"/>
      <c r="GZB2465" s="60"/>
      <c r="GZC2465" s="60"/>
      <c r="GZD2465" s="60"/>
      <c r="GZE2465" s="63"/>
      <c r="GZF2465" s="61"/>
      <c r="GZG2465" s="54"/>
      <c r="GZH2465" s="54"/>
      <c r="GZI2465" s="60"/>
      <c r="GZJ2465" s="60"/>
      <c r="GZK2465" s="60"/>
      <c r="GZL2465" s="60"/>
      <c r="GZM2465" s="63"/>
      <c r="GZN2465" s="61"/>
      <c r="GZO2465" s="54"/>
      <c r="GZP2465" s="54"/>
      <c r="GZQ2465" s="60"/>
      <c r="GZR2465" s="60"/>
      <c r="GZS2465" s="60"/>
      <c r="GZT2465" s="60"/>
      <c r="GZU2465" s="63"/>
      <c r="GZV2465" s="61"/>
      <c r="GZW2465" s="54"/>
      <c r="GZX2465" s="54"/>
      <c r="GZY2465" s="60"/>
      <c r="GZZ2465" s="60"/>
      <c r="HAA2465" s="60"/>
      <c r="HAB2465" s="60"/>
      <c r="HAC2465" s="63"/>
      <c r="HAD2465" s="61"/>
      <c r="HAE2465" s="54"/>
      <c r="HAF2465" s="54"/>
      <c r="HAG2465" s="60"/>
      <c r="HAH2465" s="60"/>
      <c r="HAI2465" s="60"/>
      <c r="HAJ2465" s="60"/>
      <c r="HAK2465" s="63"/>
      <c r="HAL2465" s="61"/>
      <c r="HAM2465" s="54"/>
      <c r="HAN2465" s="54"/>
      <c r="HAO2465" s="60"/>
      <c r="HAP2465" s="60"/>
      <c r="HAQ2465" s="60"/>
      <c r="HAR2465" s="60"/>
      <c r="HAS2465" s="63"/>
      <c r="HAT2465" s="61"/>
      <c r="HAU2465" s="54"/>
      <c r="HAV2465" s="54"/>
      <c r="HAW2465" s="60"/>
      <c r="HAX2465" s="60"/>
      <c r="HAY2465" s="60"/>
      <c r="HAZ2465" s="60"/>
      <c r="HBA2465" s="63"/>
      <c r="HBB2465" s="61"/>
      <c r="HBC2465" s="54"/>
      <c r="HBD2465" s="54"/>
      <c r="HBE2465" s="60"/>
      <c r="HBF2465" s="60"/>
      <c r="HBG2465" s="60"/>
      <c r="HBH2465" s="60"/>
      <c r="HBI2465" s="63"/>
      <c r="HBJ2465" s="61"/>
      <c r="HBK2465" s="54"/>
      <c r="HBL2465" s="54"/>
      <c r="HBM2465" s="60"/>
      <c r="HBN2465" s="60"/>
      <c r="HBO2465" s="60"/>
      <c r="HBP2465" s="60"/>
      <c r="HBQ2465" s="63"/>
      <c r="HBR2465" s="61"/>
      <c r="HBS2465" s="54"/>
      <c r="HBT2465" s="54"/>
      <c r="HBU2465" s="60"/>
      <c r="HBV2465" s="60"/>
      <c r="HBW2465" s="60"/>
      <c r="HBX2465" s="60"/>
      <c r="HBY2465" s="63"/>
      <c r="HBZ2465" s="61"/>
      <c r="HCA2465" s="54"/>
      <c r="HCB2465" s="54"/>
      <c r="HCC2465" s="60"/>
      <c r="HCD2465" s="60"/>
      <c r="HCE2465" s="60"/>
      <c r="HCF2465" s="60"/>
      <c r="HCG2465" s="63"/>
      <c r="HCH2465" s="61"/>
      <c r="HCI2465" s="54"/>
      <c r="HCJ2465" s="54"/>
      <c r="HCK2465" s="60"/>
      <c r="HCL2465" s="60"/>
      <c r="HCM2465" s="60"/>
      <c r="HCN2465" s="60"/>
      <c r="HCO2465" s="63"/>
      <c r="HCP2465" s="61"/>
      <c r="HCQ2465" s="54"/>
      <c r="HCR2465" s="54"/>
      <c r="HCS2465" s="60"/>
      <c r="HCT2465" s="60"/>
      <c r="HCU2465" s="60"/>
      <c r="HCV2465" s="60"/>
      <c r="HCW2465" s="63"/>
      <c r="HCX2465" s="61"/>
      <c r="HCY2465" s="54"/>
      <c r="HCZ2465" s="54"/>
      <c r="HDA2465" s="60"/>
      <c r="HDB2465" s="60"/>
      <c r="HDC2465" s="60"/>
      <c r="HDD2465" s="60"/>
      <c r="HDE2465" s="63"/>
      <c r="HDF2465" s="61"/>
      <c r="HDG2465" s="54"/>
      <c r="HDH2465" s="54"/>
      <c r="HDI2465" s="60"/>
      <c r="HDJ2465" s="60"/>
      <c r="HDK2465" s="60"/>
      <c r="HDL2465" s="60"/>
      <c r="HDM2465" s="63"/>
      <c r="HDN2465" s="61"/>
      <c r="HDO2465" s="54"/>
      <c r="HDP2465" s="54"/>
      <c r="HDQ2465" s="60"/>
      <c r="HDR2465" s="60"/>
      <c r="HDS2465" s="60"/>
      <c r="HDT2465" s="60"/>
      <c r="HDU2465" s="63"/>
      <c r="HDV2465" s="61"/>
      <c r="HDW2465" s="54"/>
      <c r="HDX2465" s="54"/>
      <c r="HDY2465" s="60"/>
      <c r="HDZ2465" s="60"/>
      <c r="HEA2465" s="60"/>
      <c r="HEB2465" s="60"/>
      <c r="HEC2465" s="63"/>
      <c r="HED2465" s="61"/>
      <c r="HEE2465" s="54"/>
      <c r="HEF2465" s="54"/>
      <c r="HEG2465" s="60"/>
      <c r="HEH2465" s="60"/>
      <c r="HEI2465" s="60"/>
      <c r="HEJ2465" s="60"/>
      <c r="HEK2465" s="63"/>
      <c r="HEL2465" s="61"/>
      <c r="HEM2465" s="54"/>
      <c r="HEN2465" s="54"/>
      <c r="HEO2465" s="60"/>
      <c r="HEP2465" s="60"/>
      <c r="HEQ2465" s="60"/>
      <c r="HER2465" s="60"/>
      <c r="HES2465" s="63"/>
      <c r="HET2465" s="61"/>
      <c r="HEU2465" s="54"/>
      <c r="HEV2465" s="54"/>
      <c r="HEW2465" s="60"/>
      <c r="HEX2465" s="60"/>
      <c r="HEY2465" s="60"/>
      <c r="HEZ2465" s="60"/>
      <c r="HFA2465" s="63"/>
      <c r="HFB2465" s="61"/>
      <c r="HFC2465" s="54"/>
      <c r="HFD2465" s="54"/>
      <c r="HFE2465" s="60"/>
      <c r="HFF2465" s="60"/>
      <c r="HFG2465" s="60"/>
      <c r="HFH2465" s="60"/>
      <c r="HFI2465" s="63"/>
      <c r="HFJ2465" s="61"/>
      <c r="HFK2465" s="54"/>
      <c r="HFL2465" s="54"/>
      <c r="HFM2465" s="60"/>
      <c r="HFN2465" s="60"/>
      <c r="HFO2465" s="60"/>
      <c r="HFP2465" s="60"/>
      <c r="HFQ2465" s="63"/>
      <c r="HFR2465" s="61"/>
      <c r="HFS2465" s="54"/>
      <c r="HFT2465" s="54"/>
      <c r="HFU2465" s="60"/>
      <c r="HFV2465" s="60"/>
      <c r="HFW2465" s="60"/>
      <c r="HFX2465" s="60"/>
      <c r="HFY2465" s="63"/>
      <c r="HFZ2465" s="61"/>
      <c r="HGA2465" s="54"/>
      <c r="HGB2465" s="54"/>
      <c r="HGC2465" s="60"/>
      <c r="HGD2465" s="60"/>
      <c r="HGE2465" s="60"/>
      <c r="HGF2465" s="60"/>
      <c r="HGG2465" s="63"/>
      <c r="HGH2465" s="61"/>
      <c r="HGI2465" s="54"/>
      <c r="HGJ2465" s="54"/>
      <c r="HGK2465" s="60"/>
      <c r="HGL2465" s="60"/>
      <c r="HGM2465" s="60"/>
      <c r="HGN2465" s="60"/>
      <c r="HGO2465" s="63"/>
      <c r="HGP2465" s="61"/>
      <c r="HGQ2465" s="54"/>
      <c r="HGR2465" s="54"/>
      <c r="HGS2465" s="60"/>
      <c r="HGT2465" s="60"/>
      <c r="HGU2465" s="60"/>
      <c r="HGV2465" s="60"/>
      <c r="HGW2465" s="63"/>
      <c r="HGX2465" s="61"/>
      <c r="HGY2465" s="54"/>
      <c r="HGZ2465" s="54"/>
      <c r="HHA2465" s="60"/>
      <c r="HHB2465" s="60"/>
      <c r="HHC2465" s="60"/>
      <c r="HHD2465" s="60"/>
      <c r="HHE2465" s="63"/>
      <c r="HHF2465" s="61"/>
      <c r="HHG2465" s="54"/>
      <c r="HHH2465" s="54"/>
      <c r="HHI2465" s="60"/>
      <c r="HHJ2465" s="60"/>
      <c r="HHK2465" s="60"/>
      <c r="HHL2465" s="60"/>
      <c r="HHM2465" s="63"/>
      <c r="HHN2465" s="61"/>
      <c r="HHO2465" s="54"/>
      <c r="HHP2465" s="54"/>
      <c r="HHQ2465" s="60"/>
      <c r="HHR2465" s="60"/>
      <c r="HHS2465" s="60"/>
      <c r="HHT2465" s="60"/>
      <c r="HHU2465" s="63"/>
      <c r="HHV2465" s="61"/>
      <c r="HHW2465" s="54"/>
      <c r="HHX2465" s="54"/>
      <c r="HHY2465" s="60"/>
      <c r="HHZ2465" s="60"/>
      <c r="HIA2465" s="60"/>
      <c r="HIB2465" s="60"/>
      <c r="HIC2465" s="63"/>
      <c r="HID2465" s="61"/>
      <c r="HIE2465" s="54"/>
      <c r="HIF2465" s="54"/>
      <c r="HIG2465" s="60"/>
      <c r="HIH2465" s="60"/>
      <c r="HII2465" s="60"/>
      <c r="HIJ2465" s="60"/>
      <c r="HIK2465" s="63"/>
      <c r="HIL2465" s="61"/>
      <c r="HIM2465" s="54"/>
      <c r="HIN2465" s="54"/>
      <c r="HIO2465" s="60"/>
      <c r="HIP2465" s="60"/>
      <c r="HIQ2465" s="60"/>
      <c r="HIR2465" s="60"/>
      <c r="HIS2465" s="63"/>
      <c r="HIT2465" s="61"/>
      <c r="HIU2465" s="54"/>
      <c r="HIV2465" s="54"/>
      <c r="HIW2465" s="60"/>
      <c r="HIX2465" s="60"/>
      <c r="HIY2465" s="60"/>
      <c r="HIZ2465" s="60"/>
      <c r="HJA2465" s="63"/>
      <c r="HJB2465" s="61"/>
      <c r="HJC2465" s="54"/>
      <c r="HJD2465" s="54"/>
      <c r="HJE2465" s="60"/>
      <c r="HJF2465" s="60"/>
      <c r="HJG2465" s="60"/>
      <c r="HJH2465" s="60"/>
      <c r="HJI2465" s="63"/>
      <c r="HJJ2465" s="61"/>
      <c r="HJK2465" s="54"/>
      <c r="HJL2465" s="54"/>
      <c r="HJM2465" s="60"/>
      <c r="HJN2465" s="60"/>
      <c r="HJO2465" s="60"/>
      <c r="HJP2465" s="60"/>
      <c r="HJQ2465" s="63"/>
      <c r="HJR2465" s="61"/>
      <c r="HJS2465" s="54"/>
      <c r="HJT2465" s="54"/>
      <c r="HJU2465" s="60"/>
      <c r="HJV2465" s="60"/>
      <c r="HJW2465" s="60"/>
      <c r="HJX2465" s="60"/>
      <c r="HJY2465" s="63"/>
      <c r="HJZ2465" s="61"/>
      <c r="HKA2465" s="54"/>
      <c r="HKB2465" s="54"/>
      <c r="HKC2465" s="60"/>
      <c r="HKD2465" s="60"/>
      <c r="HKE2465" s="60"/>
      <c r="HKF2465" s="60"/>
      <c r="HKG2465" s="63"/>
      <c r="HKH2465" s="61"/>
      <c r="HKI2465" s="54"/>
      <c r="HKJ2465" s="54"/>
      <c r="HKK2465" s="60"/>
      <c r="HKL2465" s="60"/>
      <c r="HKM2465" s="60"/>
      <c r="HKN2465" s="60"/>
      <c r="HKO2465" s="63"/>
      <c r="HKP2465" s="61"/>
      <c r="HKQ2465" s="54"/>
      <c r="HKR2465" s="54"/>
      <c r="HKS2465" s="60"/>
      <c r="HKT2465" s="60"/>
      <c r="HKU2465" s="60"/>
      <c r="HKV2465" s="60"/>
      <c r="HKW2465" s="63"/>
      <c r="HKX2465" s="61"/>
      <c r="HKY2465" s="54"/>
      <c r="HKZ2465" s="54"/>
      <c r="HLA2465" s="60"/>
      <c r="HLB2465" s="60"/>
      <c r="HLC2465" s="60"/>
      <c r="HLD2465" s="60"/>
      <c r="HLE2465" s="63"/>
      <c r="HLF2465" s="61"/>
      <c r="HLG2465" s="54"/>
      <c r="HLH2465" s="54"/>
      <c r="HLI2465" s="60"/>
      <c r="HLJ2465" s="60"/>
      <c r="HLK2465" s="60"/>
      <c r="HLL2465" s="60"/>
      <c r="HLM2465" s="63"/>
      <c r="HLN2465" s="61"/>
      <c r="HLO2465" s="54"/>
      <c r="HLP2465" s="54"/>
      <c r="HLQ2465" s="60"/>
      <c r="HLR2465" s="60"/>
      <c r="HLS2465" s="60"/>
      <c r="HLT2465" s="60"/>
      <c r="HLU2465" s="63"/>
      <c r="HLV2465" s="61"/>
      <c r="HLW2465" s="54"/>
      <c r="HLX2465" s="54"/>
      <c r="HLY2465" s="60"/>
      <c r="HLZ2465" s="60"/>
      <c r="HMA2465" s="60"/>
      <c r="HMB2465" s="60"/>
      <c r="HMC2465" s="63"/>
      <c r="HMD2465" s="61"/>
      <c r="HME2465" s="54"/>
      <c r="HMF2465" s="54"/>
      <c r="HMG2465" s="60"/>
      <c r="HMH2465" s="60"/>
      <c r="HMI2465" s="60"/>
      <c r="HMJ2465" s="60"/>
      <c r="HMK2465" s="63"/>
      <c r="HML2465" s="61"/>
      <c r="HMM2465" s="54"/>
      <c r="HMN2465" s="54"/>
      <c r="HMO2465" s="60"/>
      <c r="HMP2465" s="60"/>
      <c r="HMQ2465" s="60"/>
      <c r="HMR2465" s="60"/>
      <c r="HMS2465" s="63"/>
      <c r="HMT2465" s="61"/>
      <c r="HMU2465" s="54"/>
      <c r="HMV2465" s="54"/>
      <c r="HMW2465" s="60"/>
      <c r="HMX2465" s="60"/>
      <c r="HMY2465" s="60"/>
      <c r="HMZ2465" s="60"/>
      <c r="HNA2465" s="63"/>
      <c r="HNB2465" s="61"/>
      <c r="HNC2465" s="54"/>
      <c r="HND2465" s="54"/>
      <c r="HNE2465" s="60"/>
      <c r="HNF2465" s="60"/>
      <c r="HNG2465" s="60"/>
      <c r="HNH2465" s="60"/>
      <c r="HNI2465" s="63"/>
      <c r="HNJ2465" s="61"/>
      <c r="HNK2465" s="54"/>
      <c r="HNL2465" s="54"/>
      <c r="HNM2465" s="60"/>
      <c r="HNN2465" s="60"/>
      <c r="HNO2465" s="60"/>
      <c r="HNP2465" s="60"/>
      <c r="HNQ2465" s="63"/>
      <c r="HNR2465" s="61"/>
      <c r="HNS2465" s="54"/>
      <c r="HNT2465" s="54"/>
      <c r="HNU2465" s="60"/>
      <c r="HNV2465" s="60"/>
      <c r="HNW2465" s="60"/>
      <c r="HNX2465" s="60"/>
      <c r="HNY2465" s="63"/>
      <c r="HNZ2465" s="61"/>
      <c r="HOA2465" s="54"/>
      <c r="HOB2465" s="54"/>
      <c r="HOC2465" s="60"/>
      <c r="HOD2465" s="60"/>
      <c r="HOE2465" s="60"/>
      <c r="HOF2465" s="60"/>
      <c r="HOG2465" s="63"/>
      <c r="HOH2465" s="61"/>
      <c r="HOI2465" s="54"/>
      <c r="HOJ2465" s="54"/>
      <c r="HOK2465" s="60"/>
      <c r="HOL2465" s="60"/>
      <c r="HOM2465" s="60"/>
      <c r="HON2465" s="60"/>
      <c r="HOO2465" s="63"/>
      <c r="HOP2465" s="61"/>
      <c r="HOQ2465" s="54"/>
      <c r="HOR2465" s="54"/>
      <c r="HOS2465" s="60"/>
      <c r="HOT2465" s="60"/>
      <c r="HOU2465" s="60"/>
      <c r="HOV2465" s="60"/>
      <c r="HOW2465" s="63"/>
      <c r="HOX2465" s="61"/>
      <c r="HOY2465" s="54"/>
      <c r="HOZ2465" s="54"/>
      <c r="HPA2465" s="60"/>
      <c r="HPB2465" s="60"/>
      <c r="HPC2465" s="60"/>
      <c r="HPD2465" s="60"/>
      <c r="HPE2465" s="63"/>
      <c r="HPF2465" s="61"/>
      <c r="HPG2465" s="54"/>
      <c r="HPH2465" s="54"/>
      <c r="HPI2465" s="60"/>
      <c r="HPJ2465" s="60"/>
      <c r="HPK2465" s="60"/>
      <c r="HPL2465" s="60"/>
      <c r="HPM2465" s="63"/>
      <c r="HPN2465" s="61"/>
      <c r="HPO2465" s="54"/>
      <c r="HPP2465" s="54"/>
      <c r="HPQ2465" s="60"/>
      <c r="HPR2465" s="60"/>
      <c r="HPS2465" s="60"/>
      <c r="HPT2465" s="60"/>
      <c r="HPU2465" s="63"/>
      <c r="HPV2465" s="61"/>
      <c r="HPW2465" s="54"/>
      <c r="HPX2465" s="54"/>
      <c r="HPY2465" s="60"/>
      <c r="HPZ2465" s="60"/>
      <c r="HQA2465" s="60"/>
      <c r="HQB2465" s="60"/>
      <c r="HQC2465" s="63"/>
      <c r="HQD2465" s="61"/>
      <c r="HQE2465" s="54"/>
      <c r="HQF2465" s="54"/>
      <c r="HQG2465" s="60"/>
      <c r="HQH2465" s="60"/>
      <c r="HQI2465" s="60"/>
      <c r="HQJ2465" s="60"/>
      <c r="HQK2465" s="63"/>
      <c r="HQL2465" s="61"/>
      <c r="HQM2465" s="54"/>
      <c r="HQN2465" s="54"/>
      <c r="HQO2465" s="60"/>
      <c r="HQP2465" s="60"/>
      <c r="HQQ2465" s="60"/>
      <c r="HQR2465" s="60"/>
      <c r="HQS2465" s="63"/>
      <c r="HQT2465" s="61"/>
      <c r="HQU2465" s="54"/>
      <c r="HQV2465" s="54"/>
      <c r="HQW2465" s="60"/>
      <c r="HQX2465" s="60"/>
      <c r="HQY2465" s="60"/>
      <c r="HQZ2465" s="60"/>
      <c r="HRA2465" s="63"/>
      <c r="HRB2465" s="61"/>
      <c r="HRC2465" s="54"/>
      <c r="HRD2465" s="54"/>
      <c r="HRE2465" s="60"/>
      <c r="HRF2465" s="60"/>
      <c r="HRG2465" s="60"/>
      <c r="HRH2465" s="60"/>
      <c r="HRI2465" s="63"/>
      <c r="HRJ2465" s="61"/>
      <c r="HRK2465" s="54"/>
      <c r="HRL2465" s="54"/>
      <c r="HRM2465" s="60"/>
      <c r="HRN2465" s="60"/>
      <c r="HRO2465" s="60"/>
      <c r="HRP2465" s="60"/>
      <c r="HRQ2465" s="63"/>
      <c r="HRR2465" s="61"/>
      <c r="HRS2465" s="54"/>
      <c r="HRT2465" s="54"/>
      <c r="HRU2465" s="60"/>
      <c r="HRV2465" s="60"/>
      <c r="HRW2465" s="60"/>
      <c r="HRX2465" s="60"/>
      <c r="HRY2465" s="63"/>
      <c r="HRZ2465" s="61"/>
      <c r="HSA2465" s="54"/>
      <c r="HSB2465" s="54"/>
      <c r="HSC2465" s="60"/>
      <c r="HSD2465" s="60"/>
      <c r="HSE2465" s="60"/>
      <c r="HSF2465" s="60"/>
      <c r="HSG2465" s="63"/>
      <c r="HSH2465" s="61"/>
      <c r="HSI2465" s="54"/>
      <c r="HSJ2465" s="54"/>
      <c r="HSK2465" s="60"/>
      <c r="HSL2465" s="60"/>
      <c r="HSM2465" s="60"/>
      <c r="HSN2465" s="60"/>
      <c r="HSO2465" s="63"/>
      <c r="HSP2465" s="61"/>
      <c r="HSQ2465" s="54"/>
      <c r="HSR2465" s="54"/>
      <c r="HSS2465" s="60"/>
      <c r="HST2465" s="60"/>
      <c r="HSU2465" s="60"/>
      <c r="HSV2465" s="60"/>
      <c r="HSW2465" s="63"/>
      <c r="HSX2465" s="61"/>
      <c r="HSY2465" s="54"/>
      <c r="HSZ2465" s="54"/>
      <c r="HTA2465" s="60"/>
      <c r="HTB2465" s="60"/>
      <c r="HTC2465" s="60"/>
      <c r="HTD2465" s="60"/>
      <c r="HTE2465" s="63"/>
      <c r="HTF2465" s="61"/>
      <c r="HTG2465" s="54"/>
      <c r="HTH2465" s="54"/>
      <c r="HTI2465" s="60"/>
      <c r="HTJ2465" s="60"/>
      <c r="HTK2465" s="60"/>
      <c r="HTL2465" s="60"/>
      <c r="HTM2465" s="63"/>
      <c r="HTN2465" s="61"/>
      <c r="HTO2465" s="54"/>
      <c r="HTP2465" s="54"/>
      <c r="HTQ2465" s="60"/>
      <c r="HTR2465" s="60"/>
      <c r="HTS2465" s="60"/>
      <c r="HTT2465" s="60"/>
      <c r="HTU2465" s="63"/>
      <c r="HTV2465" s="61"/>
      <c r="HTW2465" s="54"/>
      <c r="HTX2465" s="54"/>
      <c r="HTY2465" s="60"/>
      <c r="HTZ2465" s="60"/>
      <c r="HUA2465" s="60"/>
      <c r="HUB2465" s="60"/>
      <c r="HUC2465" s="63"/>
      <c r="HUD2465" s="61"/>
      <c r="HUE2465" s="54"/>
      <c r="HUF2465" s="54"/>
      <c r="HUG2465" s="60"/>
      <c r="HUH2465" s="60"/>
      <c r="HUI2465" s="60"/>
      <c r="HUJ2465" s="60"/>
      <c r="HUK2465" s="63"/>
      <c r="HUL2465" s="61"/>
      <c r="HUM2465" s="54"/>
      <c r="HUN2465" s="54"/>
      <c r="HUO2465" s="60"/>
      <c r="HUP2465" s="60"/>
      <c r="HUQ2465" s="60"/>
      <c r="HUR2465" s="60"/>
      <c r="HUS2465" s="63"/>
      <c r="HUT2465" s="61"/>
      <c r="HUU2465" s="54"/>
      <c r="HUV2465" s="54"/>
      <c r="HUW2465" s="60"/>
      <c r="HUX2465" s="60"/>
      <c r="HUY2465" s="60"/>
      <c r="HUZ2465" s="60"/>
      <c r="HVA2465" s="63"/>
      <c r="HVB2465" s="61"/>
      <c r="HVC2465" s="54"/>
      <c r="HVD2465" s="54"/>
      <c r="HVE2465" s="60"/>
      <c r="HVF2465" s="60"/>
      <c r="HVG2465" s="60"/>
      <c r="HVH2465" s="60"/>
      <c r="HVI2465" s="63"/>
      <c r="HVJ2465" s="61"/>
      <c r="HVK2465" s="54"/>
      <c r="HVL2465" s="54"/>
      <c r="HVM2465" s="60"/>
      <c r="HVN2465" s="60"/>
      <c r="HVO2465" s="60"/>
      <c r="HVP2465" s="60"/>
      <c r="HVQ2465" s="63"/>
      <c r="HVR2465" s="61"/>
      <c r="HVS2465" s="54"/>
      <c r="HVT2465" s="54"/>
      <c r="HVU2465" s="60"/>
      <c r="HVV2465" s="60"/>
      <c r="HVW2465" s="60"/>
      <c r="HVX2465" s="60"/>
      <c r="HVY2465" s="63"/>
      <c r="HVZ2465" s="61"/>
      <c r="HWA2465" s="54"/>
      <c r="HWB2465" s="54"/>
      <c r="HWC2465" s="60"/>
      <c r="HWD2465" s="60"/>
      <c r="HWE2465" s="60"/>
      <c r="HWF2465" s="60"/>
      <c r="HWG2465" s="63"/>
      <c r="HWH2465" s="61"/>
      <c r="HWI2465" s="54"/>
      <c r="HWJ2465" s="54"/>
      <c r="HWK2465" s="60"/>
      <c r="HWL2465" s="60"/>
      <c r="HWM2465" s="60"/>
      <c r="HWN2465" s="60"/>
      <c r="HWO2465" s="63"/>
      <c r="HWP2465" s="61"/>
      <c r="HWQ2465" s="54"/>
      <c r="HWR2465" s="54"/>
      <c r="HWS2465" s="60"/>
      <c r="HWT2465" s="60"/>
      <c r="HWU2465" s="60"/>
      <c r="HWV2465" s="60"/>
      <c r="HWW2465" s="63"/>
      <c r="HWX2465" s="61"/>
      <c r="HWY2465" s="54"/>
      <c r="HWZ2465" s="54"/>
      <c r="HXA2465" s="60"/>
      <c r="HXB2465" s="60"/>
      <c r="HXC2465" s="60"/>
      <c r="HXD2465" s="60"/>
      <c r="HXE2465" s="63"/>
      <c r="HXF2465" s="61"/>
      <c r="HXG2465" s="54"/>
      <c r="HXH2465" s="54"/>
      <c r="HXI2465" s="60"/>
      <c r="HXJ2465" s="60"/>
      <c r="HXK2465" s="60"/>
      <c r="HXL2465" s="60"/>
      <c r="HXM2465" s="63"/>
      <c r="HXN2465" s="61"/>
      <c r="HXO2465" s="54"/>
      <c r="HXP2465" s="54"/>
      <c r="HXQ2465" s="60"/>
      <c r="HXR2465" s="60"/>
      <c r="HXS2465" s="60"/>
      <c r="HXT2465" s="60"/>
      <c r="HXU2465" s="63"/>
      <c r="HXV2465" s="61"/>
      <c r="HXW2465" s="54"/>
      <c r="HXX2465" s="54"/>
      <c r="HXY2465" s="60"/>
      <c r="HXZ2465" s="60"/>
      <c r="HYA2465" s="60"/>
      <c r="HYB2465" s="60"/>
      <c r="HYC2465" s="63"/>
      <c r="HYD2465" s="61"/>
      <c r="HYE2465" s="54"/>
      <c r="HYF2465" s="54"/>
      <c r="HYG2465" s="60"/>
      <c r="HYH2465" s="60"/>
      <c r="HYI2465" s="60"/>
      <c r="HYJ2465" s="60"/>
      <c r="HYK2465" s="63"/>
      <c r="HYL2465" s="61"/>
      <c r="HYM2465" s="54"/>
      <c r="HYN2465" s="54"/>
      <c r="HYO2465" s="60"/>
      <c r="HYP2465" s="60"/>
      <c r="HYQ2465" s="60"/>
      <c r="HYR2465" s="60"/>
      <c r="HYS2465" s="63"/>
      <c r="HYT2465" s="61"/>
      <c r="HYU2465" s="54"/>
      <c r="HYV2465" s="54"/>
      <c r="HYW2465" s="60"/>
      <c r="HYX2465" s="60"/>
      <c r="HYY2465" s="60"/>
      <c r="HYZ2465" s="60"/>
      <c r="HZA2465" s="63"/>
      <c r="HZB2465" s="61"/>
      <c r="HZC2465" s="54"/>
      <c r="HZD2465" s="54"/>
      <c r="HZE2465" s="60"/>
      <c r="HZF2465" s="60"/>
      <c r="HZG2465" s="60"/>
      <c r="HZH2465" s="60"/>
      <c r="HZI2465" s="63"/>
      <c r="HZJ2465" s="61"/>
      <c r="HZK2465" s="54"/>
      <c r="HZL2465" s="54"/>
      <c r="HZM2465" s="60"/>
      <c r="HZN2465" s="60"/>
      <c r="HZO2465" s="60"/>
      <c r="HZP2465" s="60"/>
      <c r="HZQ2465" s="63"/>
      <c r="HZR2465" s="61"/>
      <c r="HZS2465" s="54"/>
      <c r="HZT2465" s="54"/>
      <c r="HZU2465" s="60"/>
      <c r="HZV2465" s="60"/>
      <c r="HZW2465" s="60"/>
      <c r="HZX2465" s="60"/>
      <c r="HZY2465" s="63"/>
      <c r="HZZ2465" s="61"/>
      <c r="IAA2465" s="54"/>
      <c r="IAB2465" s="54"/>
      <c r="IAC2465" s="60"/>
      <c r="IAD2465" s="60"/>
      <c r="IAE2465" s="60"/>
      <c r="IAF2465" s="60"/>
      <c r="IAG2465" s="63"/>
      <c r="IAH2465" s="61"/>
      <c r="IAI2465" s="54"/>
      <c r="IAJ2465" s="54"/>
      <c r="IAK2465" s="60"/>
      <c r="IAL2465" s="60"/>
      <c r="IAM2465" s="60"/>
      <c r="IAN2465" s="60"/>
      <c r="IAO2465" s="63"/>
      <c r="IAP2465" s="61"/>
      <c r="IAQ2465" s="54"/>
      <c r="IAR2465" s="54"/>
      <c r="IAS2465" s="60"/>
      <c r="IAT2465" s="60"/>
      <c r="IAU2465" s="60"/>
      <c r="IAV2465" s="60"/>
      <c r="IAW2465" s="63"/>
      <c r="IAX2465" s="61"/>
      <c r="IAY2465" s="54"/>
      <c r="IAZ2465" s="54"/>
      <c r="IBA2465" s="60"/>
      <c r="IBB2465" s="60"/>
      <c r="IBC2465" s="60"/>
      <c r="IBD2465" s="60"/>
      <c r="IBE2465" s="63"/>
      <c r="IBF2465" s="61"/>
      <c r="IBG2465" s="54"/>
      <c r="IBH2465" s="54"/>
      <c r="IBI2465" s="60"/>
      <c r="IBJ2465" s="60"/>
      <c r="IBK2465" s="60"/>
      <c r="IBL2465" s="60"/>
      <c r="IBM2465" s="63"/>
      <c r="IBN2465" s="61"/>
      <c r="IBO2465" s="54"/>
      <c r="IBP2465" s="54"/>
      <c r="IBQ2465" s="60"/>
      <c r="IBR2465" s="60"/>
      <c r="IBS2465" s="60"/>
      <c r="IBT2465" s="60"/>
      <c r="IBU2465" s="63"/>
      <c r="IBV2465" s="61"/>
      <c r="IBW2465" s="54"/>
      <c r="IBX2465" s="54"/>
      <c r="IBY2465" s="60"/>
      <c r="IBZ2465" s="60"/>
      <c r="ICA2465" s="60"/>
      <c r="ICB2465" s="60"/>
      <c r="ICC2465" s="63"/>
      <c r="ICD2465" s="61"/>
      <c r="ICE2465" s="54"/>
      <c r="ICF2465" s="54"/>
      <c r="ICG2465" s="60"/>
      <c r="ICH2465" s="60"/>
      <c r="ICI2465" s="60"/>
      <c r="ICJ2465" s="60"/>
      <c r="ICK2465" s="63"/>
      <c r="ICL2465" s="61"/>
      <c r="ICM2465" s="54"/>
      <c r="ICN2465" s="54"/>
      <c r="ICO2465" s="60"/>
      <c r="ICP2465" s="60"/>
      <c r="ICQ2465" s="60"/>
      <c r="ICR2465" s="60"/>
      <c r="ICS2465" s="63"/>
      <c r="ICT2465" s="61"/>
      <c r="ICU2465" s="54"/>
      <c r="ICV2465" s="54"/>
      <c r="ICW2465" s="60"/>
      <c r="ICX2465" s="60"/>
      <c r="ICY2465" s="60"/>
      <c r="ICZ2465" s="60"/>
      <c r="IDA2465" s="63"/>
      <c r="IDB2465" s="61"/>
      <c r="IDC2465" s="54"/>
      <c r="IDD2465" s="54"/>
      <c r="IDE2465" s="60"/>
      <c r="IDF2465" s="60"/>
      <c r="IDG2465" s="60"/>
      <c r="IDH2465" s="60"/>
      <c r="IDI2465" s="63"/>
      <c r="IDJ2465" s="61"/>
      <c r="IDK2465" s="54"/>
      <c r="IDL2465" s="54"/>
      <c r="IDM2465" s="60"/>
      <c r="IDN2465" s="60"/>
      <c r="IDO2465" s="60"/>
      <c r="IDP2465" s="60"/>
      <c r="IDQ2465" s="63"/>
      <c r="IDR2465" s="61"/>
      <c r="IDS2465" s="54"/>
      <c r="IDT2465" s="54"/>
      <c r="IDU2465" s="60"/>
      <c r="IDV2465" s="60"/>
      <c r="IDW2465" s="60"/>
      <c r="IDX2465" s="60"/>
      <c r="IDY2465" s="63"/>
      <c r="IDZ2465" s="61"/>
      <c r="IEA2465" s="54"/>
      <c r="IEB2465" s="54"/>
      <c r="IEC2465" s="60"/>
      <c r="IED2465" s="60"/>
      <c r="IEE2465" s="60"/>
      <c r="IEF2465" s="60"/>
      <c r="IEG2465" s="63"/>
      <c r="IEH2465" s="61"/>
      <c r="IEI2465" s="54"/>
      <c r="IEJ2465" s="54"/>
      <c r="IEK2465" s="60"/>
      <c r="IEL2465" s="60"/>
      <c r="IEM2465" s="60"/>
      <c r="IEN2465" s="60"/>
      <c r="IEO2465" s="63"/>
      <c r="IEP2465" s="61"/>
      <c r="IEQ2465" s="54"/>
      <c r="IER2465" s="54"/>
      <c r="IES2465" s="60"/>
      <c r="IET2465" s="60"/>
      <c r="IEU2465" s="60"/>
      <c r="IEV2465" s="60"/>
      <c r="IEW2465" s="63"/>
      <c r="IEX2465" s="61"/>
      <c r="IEY2465" s="54"/>
      <c r="IEZ2465" s="54"/>
      <c r="IFA2465" s="60"/>
      <c r="IFB2465" s="60"/>
      <c r="IFC2465" s="60"/>
      <c r="IFD2465" s="60"/>
      <c r="IFE2465" s="63"/>
      <c r="IFF2465" s="61"/>
      <c r="IFG2465" s="54"/>
      <c r="IFH2465" s="54"/>
      <c r="IFI2465" s="60"/>
      <c r="IFJ2465" s="60"/>
      <c r="IFK2465" s="60"/>
      <c r="IFL2465" s="60"/>
      <c r="IFM2465" s="63"/>
      <c r="IFN2465" s="61"/>
      <c r="IFO2465" s="54"/>
      <c r="IFP2465" s="54"/>
      <c r="IFQ2465" s="60"/>
      <c r="IFR2465" s="60"/>
      <c r="IFS2465" s="60"/>
      <c r="IFT2465" s="60"/>
      <c r="IFU2465" s="63"/>
      <c r="IFV2465" s="61"/>
      <c r="IFW2465" s="54"/>
      <c r="IFX2465" s="54"/>
      <c r="IFY2465" s="60"/>
      <c r="IFZ2465" s="60"/>
      <c r="IGA2465" s="60"/>
      <c r="IGB2465" s="60"/>
      <c r="IGC2465" s="63"/>
      <c r="IGD2465" s="61"/>
      <c r="IGE2465" s="54"/>
      <c r="IGF2465" s="54"/>
      <c r="IGG2465" s="60"/>
      <c r="IGH2465" s="60"/>
      <c r="IGI2465" s="60"/>
      <c r="IGJ2465" s="60"/>
      <c r="IGK2465" s="63"/>
      <c r="IGL2465" s="61"/>
      <c r="IGM2465" s="54"/>
      <c r="IGN2465" s="54"/>
      <c r="IGO2465" s="60"/>
      <c r="IGP2465" s="60"/>
      <c r="IGQ2465" s="60"/>
      <c r="IGR2465" s="60"/>
      <c r="IGS2465" s="63"/>
      <c r="IGT2465" s="61"/>
      <c r="IGU2465" s="54"/>
      <c r="IGV2465" s="54"/>
      <c r="IGW2465" s="60"/>
      <c r="IGX2465" s="60"/>
      <c r="IGY2465" s="60"/>
      <c r="IGZ2465" s="60"/>
      <c r="IHA2465" s="63"/>
      <c r="IHB2465" s="61"/>
      <c r="IHC2465" s="54"/>
      <c r="IHD2465" s="54"/>
      <c r="IHE2465" s="60"/>
      <c r="IHF2465" s="60"/>
      <c r="IHG2465" s="60"/>
      <c r="IHH2465" s="60"/>
      <c r="IHI2465" s="63"/>
      <c r="IHJ2465" s="61"/>
      <c r="IHK2465" s="54"/>
      <c r="IHL2465" s="54"/>
      <c r="IHM2465" s="60"/>
      <c r="IHN2465" s="60"/>
      <c r="IHO2465" s="60"/>
      <c r="IHP2465" s="60"/>
      <c r="IHQ2465" s="63"/>
      <c r="IHR2465" s="61"/>
      <c r="IHS2465" s="54"/>
      <c r="IHT2465" s="54"/>
      <c r="IHU2465" s="60"/>
      <c r="IHV2465" s="60"/>
      <c r="IHW2465" s="60"/>
      <c r="IHX2465" s="60"/>
      <c r="IHY2465" s="63"/>
      <c r="IHZ2465" s="61"/>
      <c r="IIA2465" s="54"/>
      <c r="IIB2465" s="54"/>
      <c r="IIC2465" s="60"/>
      <c r="IID2465" s="60"/>
      <c r="IIE2465" s="60"/>
      <c r="IIF2465" s="60"/>
      <c r="IIG2465" s="63"/>
      <c r="IIH2465" s="61"/>
      <c r="III2465" s="54"/>
      <c r="IIJ2465" s="54"/>
      <c r="IIK2465" s="60"/>
      <c r="IIL2465" s="60"/>
      <c r="IIM2465" s="60"/>
      <c r="IIN2465" s="60"/>
      <c r="IIO2465" s="63"/>
      <c r="IIP2465" s="61"/>
      <c r="IIQ2465" s="54"/>
      <c r="IIR2465" s="54"/>
      <c r="IIS2465" s="60"/>
      <c r="IIT2465" s="60"/>
      <c r="IIU2465" s="60"/>
      <c r="IIV2465" s="60"/>
      <c r="IIW2465" s="63"/>
      <c r="IIX2465" s="61"/>
      <c r="IIY2465" s="54"/>
      <c r="IIZ2465" s="54"/>
      <c r="IJA2465" s="60"/>
      <c r="IJB2465" s="60"/>
      <c r="IJC2465" s="60"/>
      <c r="IJD2465" s="60"/>
      <c r="IJE2465" s="63"/>
      <c r="IJF2465" s="61"/>
      <c r="IJG2465" s="54"/>
      <c r="IJH2465" s="54"/>
      <c r="IJI2465" s="60"/>
      <c r="IJJ2465" s="60"/>
      <c r="IJK2465" s="60"/>
      <c r="IJL2465" s="60"/>
      <c r="IJM2465" s="63"/>
      <c r="IJN2465" s="61"/>
      <c r="IJO2465" s="54"/>
      <c r="IJP2465" s="54"/>
      <c r="IJQ2465" s="60"/>
      <c r="IJR2465" s="60"/>
      <c r="IJS2465" s="60"/>
      <c r="IJT2465" s="60"/>
      <c r="IJU2465" s="63"/>
      <c r="IJV2465" s="61"/>
      <c r="IJW2465" s="54"/>
      <c r="IJX2465" s="54"/>
      <c r="IJY2465" s="60"/>
      <c r="IJZ2465" s="60"/>
      <c r="IKA2465" s="60"/>
      <c r="IKB2465" s="60"/>
      <c r="IKC2465" s="63"/>
      <c r="IKD2465" s="61"/>
      <c r="IKE2465" s="54"/>
      <c r="IKF2465" s="54"/>
      <c r="IKG2465" s="60"/>
      <c r="IKH2465" s="60"/>
      <c r="IKI2465" s="60"/>
      <c r="IKJ2465" s="60"/>
      <c r="IKK2465" s="63"/>
      <c r="IKL2465" s="61"/>
      <c r="IKM2465" s="54"/>
      <c r="IKN2465" s="54"/>
      <c r="IKO2465" s="60"/>
      <c r="IKP2465" s="60"/>
      <c r="IKQ2465" s="60"/>
      <c r="IKR2465" s="60"/>
      <c r="IKS2465" s="63"/>
      <c r="IKT2465" s="61"/>
      <c r="IKU2465" s="54"/>
      <c r="IKV2465" s="54"/>
      <c r="IKW2465" s="60"/>
      <c r="IKX2465" s="60"/>
      <c r="IKY2465" s="60"/>
      <c r="IKZ2465" s="60"/>
      <c r="ILA2465" s="63"/>
      <c r="ILB2465" s="61"/>
      <c r="ILC2465" s="54"/>
      <c r="ILD2465" s="54"/>
      <c r="ILE2465" s="60"/>
      <c r="ILF2465" s="60"/>
      <c r="ILG2465" s="60"/>
      <c r="ILH2465" s="60"/>
      <c r="ILI2465" s="63"/>
      <c r="ILJ2465" s="61"/>
      <c r="ILK2465" s="54"/>
      <c r="ILL2465" s="54"/>
      <c r="ILM2465" s="60"/>
      <c r="ILN2465" s="60"/>
      <c r="ILO2465" s="60"/>
      <c r="ILP2465" s="60"/>
      <c r="ILQ2465" s="63"/>
      <c r="ILR2465" s="61"/>
      <c r="ILS2465" s="54"/>
      <c r="ILT2465" s="54"/>
      <c r="ILU2465" s="60"/>
      <c r="ILV2465" s="60"/>
      <c r="ILW2465" s="60"/>
      <c r="ILX2465" s="60"/>
      <c r="ILY2465" s="63"/>
      <c r="ILZ2465" s="61"/>
      <c r="IMA2465" s="54"/>
      <c r="IMB2465" s="54"/>
      <c r="IMC2465" s="60"/>
      <c r="IMD2465" s="60"/>
      <c r="IME2465" s="60"/>
      <c r="IMF2465" s="60"/>
      <c r="IMG2465" s="63"/>
      <c r="IMH2465" s="61"/>
      <c r="IMI2465" s="54"/>
      <c r="IMJ2465" s="54"/>
      <c r="IMK2465" s="60"/>
      <c r="IML2465" s="60"/>
      <c r="IMM2465" s="60"/>
      <c r="IMN2465" s="60"/>
      <c r="IMO2465" s="63"/>
      <c r="IMP2465" s="61"/>
      <c r="IMQ2465" s="54"/>
      <c r="IMR2465" s="54"/>
      <c r="IMS2465" s="60"/>
      <c r="IMT2465" s="60"/>
      <c r="IMU2465" s="60"/>
      <c r="IMV2465" s="60"/>
      <c r="IMW2465" s="63"/>
      <c r="IMX2465" s="61"/>
      <c r="IMY2465" s="54"/>
      <c r="IMZ2465" s="54"/>
      <c r="INA2465" s="60"/>
      <c r="INB2465" s="60"/>
      <c r="INC2465" s="60"/>
      <c r="IND2465" s="60"/>
      <c r="INE2465" s="63"/>
      <c r="INF2465" s="61"/>
      <c r="ING2465" s="54"/>
      <c r="INH2465" s="54"/>
      <c r="INI2465" s="60"/>
      <c r="INJ2465" s="60"/>
      <c r="INK2465" s="60"/>
      <c r="INL2465" s="60"/>
      <c r="INM2465" s="63"/>
      <c r="INN2465" s="61"/>
      <c r="INO2465" s="54"/>
      <c r="INP2465" s="54"/>
      <c r="INQ2465" s="60"/>
      <c r="INR2465" s="60"/>
      <c r="INS2465" s="60"/>
      <c r="INT2465" s="60"/>
      <c r="INU2465" s="63"/>
      <c r="INV2465" s="61"/>
      <c r="INW2465" s="54"/>
      <c r="INX2465" s="54"/>
      <c r="INY2465" s="60"/>
      <c r="INZ2465" s="60"/>
      <c r="IOA2465" s="60"/>
      <c r="IOB2465" s="60"/>
      <c r="IOC2465" s="63"/>
      <c r="IOD2465" s="61"/>
      <c r="IOE2465" s="54"/>
      <c r="IOF2465" s="54"/>
      <c r="IOG2465" s="60"/>
      <c r="IOH2465" s="60"/>
      <c r="IOI2465" s="60"/>
      <c r="IOJ2465" s="60"/>
      <c r="IOK2465" s="63"/>
      <c r="IOL2465" s="61"/>
      <c r="IOM2465" s="54"/>
      <c r="ION2465" s="54"/>
      <c r="IOO2465" s="60"/>
      <c r="IOP2465" s="60"/>
      <c r="IOQ2465" s="60"/>
      <c r="IOR2465" s="60"/>
      <c r="IOS2465" s="63"/>
      <c r="IOT2465" s="61"/>
      <c r="IOU2465" s="54"/>
      <c r="IOV2465" s="54"/>
      <c r="IOW2465" s="60"/>
      <c r="IOX2465" s="60"/>
      <c r="IOY2465" s="60"/>
      <c r="IOZ2465" s="60"/>
      <c r="IPA2465" s="63"/>
      <c r="IPB2465" s="61"/>
      <c r="IPC2465" s="54"/>
      <c r="IPD2465" s="54"/>
      <c r="IPE2465" s="60"/>
      <c r="IPF2465" s="60"/>
      <c r="IPG2465" s="60"/>
      <c r="IPH2465" s="60"/>
      <c r="IPI2465" s="63"/>
      <c r="IPJ2465" s="61"/>
      <c r="IPK2465" s="54"/>
      <c r="IPL2465" s="54"/>
      <c r="IPM2465" s="60"/>
      <c r="IPN2465" s="60"/>
      <c r="IPO2465" s="60"/>
      <c r="IPP2465" s="60"/>
      <c r="IPQ2465" s="63"/>
      <c r="IPR2465" s="61"/>
      <c r="IPS2465" s="54"/>
      <c r="IPT2465" s="54"/>
      <c r="IPU2465" s="60"/>
      <c r="IPV2465" s="60"/>
      <c r="IPW2465" s="60"/>
      <c r="IPX2465" s="60"/>
      <c r="IPY2465" s="63"/>
      <c r="IPZ2465" s="61"/>
      <c r="IQA2465" s="54"/>
      <c r="IQB2465" s="54"/>
      <c r="IQC2465" s="60"/>
      <c r="IQD2465" s="60"/>
      <c r="IQE2465" s="60"/>
      <c r="IQF2465" s="60"/>
      <c r="IQG2465" s="63"/>
      <c r="IQH2465" s="61"/>
      <c r="IQI2465" s="54"/>
      <c r="IQJ2465" s="54"/>
      <c r="IQK2465" s="60"/>
      <c r="IQL2465" s="60"/>
      <c r="IQM2465" s="60"/>
      <c r="IQN2465" s="60"/>
      <c r="IQO2465" s="63"/>
      <c r="IQP2465" s="61"/>
      <c r="IQQ2465" s="54"/>
      <c r="IQR2465" s="54"/>
      <c r="IQS2465" s="60"/>
      <c r="IQT2465" s="60"/>
      <c r="IQU2465" s="60"/>
      <c r="IQV2465" s="60"/>
      <c r="IQW2465" s="63"/>
      <c r="IQX2465" s="61"/>
      <c r="IQY2465" s="54"/>
      <c r="IQZ2465" s="54"/>
      <c r="IRA2465" s="60"/>
      <c r="IRB2465" s="60"/>
      <c r="IRC2465" s="60"/>
      <c r="IRD2465" s="60"/>
      <c r="IRE2465" s="63"/>
      <c r="IRF2465" s="61"/>
      <c r="IRG2465" s="54"/>
      <c r="IRH2465" s="54"/>
      <c r="IRI2465" s="60"/>
      <c r="IRJ2465" s="60"/>
      <c r="IRK2465" s="60"/>
      <c r="IRL2465" s="60"/>
      <c r="IRM2465" s="63"/>
      <c r="IRN2465" s="61"/>
      <c r="IRO2465" s="54"/>
      <c r="IRP2465" s="54"/>
      <c r="IRQ2465" s="60"/>
      <c r="IRR2465" s="60"/>
      <c r="IRS2465" s="60"/>
      <c r="IRT2465" s="60"/>
      <c r="IRU2465" s="63"/>
      <c r="IRV2465" s="61"/>
      <c r="IRW2465" s="54"/>
      <c r="IRX2465" s="54"/>
      <c r="IRY2465" s="60"/>
      <c r="IRZ2465" s="60"/>
      <c r="ISA2465" s="60"/>
      <c r="ISB2465" s="60"/>
      <c r="ISC2465" s="63"/>
      <c r="ISD2465" s="61"/>
      <c r="ISE2465" s="54"/>
      <c r="ISF2465" s="54"/>
      <c r="ISG2465" s="60"/>
      <c r="ISH2465" s="60"/>
      <c r="ISI2465" s="60"/>
      <c r="ISJ2465" s="60"/>
      <c r="ISK2465" s="63"/>
      <c r="ISL2465" s="61"/>
      <c r="ISM2465" s="54"/>
      <c r="ISN2465" s="54"/>
      <c r="ISO2465" s="60"/>
      <c r="ISP2465" s="60"/>
      <c r="ISQ2465" s="60"/>
      <c r="ISR2465" s="60"/>
      <c r="ISS2465" s="63"/>
      <c r="IST2465" s="61"/>
      <c r="ISU2465" s="54"/>
      <c r="ISV2465" s="54"/>
      <c r="ISW2465" s="60"/>
      <c r="ISX2465" s="60"/>
      <c r="ISY2465" s="60"/>
      <c r="ISZ2465" s="60"/>
      <c r="ITA2465" s="63"/>
      <c r="ITB2465" s="61"/>
      <c r="ITC2465" s="54"/>
      <c r="ITD2465" s="54"/>
      <c r="ITE2465" s="60"/>
      <c r="ITF2465" s="60"/>
      <c r="ITG2465" s="60"/>
      <c r="ITH2465" s="60"/>
      <c r="ITI2465" s="63"/>
      <c r="ITJ2465" s="61"/>
      <c r="ITK2465" s="54"/>
      <c r="ITL2465" s="54"/>
      <c r="ITM2465" s="60"/>
      <c r="ITN2465" s="60"/>
      <c r="ITO2465" s="60"/>
      <c r="ITP2465" s="60"/>
      <c r="ITQ2465" s="63"/>
      <c r="ITR2465" s="61"/>
      <c r="ITS2465" s="54"/>
      <c r="ITT2465" s="54"/>
      <c r="ITU2465" s="60"/>
      <c r="ITV2465" s="60"/>
      <c r="ITW2465" s="60"/>
      <c r="ITX2465" s="60"/>
      <c r="ITY2465" s="63"/>
      <c r="ITZ2465" s="61"/>
      <c r="IUA2465" s="54"/>
      <c r="IUB2465" s="54"/>
      <c r="IUC2465" s="60"/>
      <c r="IUD2465" s="60"/>
      <c r="IUE2465" s="60"/>
      <c r="IUF2465" s="60"/>
      <c r="IUG2465" s="63"/>
      <c r="IUH2465" s="61"/>
      <c r="IUI2465" s="54"/>
      <c r="IUJ2465" s="54"/>
      <c r="IUK2465" s="60"/>
      <c r="IUL2465" s="60"/>
      <c r="IUM2465" s="60"/>
      <c r="IUN2465" s="60"/>
      <c r="IUO2465" s="63"/>
      <c r="IUP2465" s="61"/>
      <c r="IUQ2465" s="54"/>
      <c r="IUR2465" s="54"/>
      <c r="IUS2465" s="60"/>
      <c r="IUT2465" s="60"/>
      <c r="IUU2465" s="60"/>
      <c r="IUV2465" s="60"/>
      <c r="IUW2465" s="63"/>
      <c r="IUX2465" s="61"/>
      <c r="IUY2465" s="54"/>
      <c r="IUZ2465" s="54"/>
      <c r="IVA2465" s="60"/>
      <c r="IVB2465" s="60"/>
      <c r="IVC2465" s="60"/>
      <c r="IVD2465" s="60"/>
      <c r="IVE2465" s="63"/>
      <c r="IVF2465" s="61"/>
      <c r="IVG2465" s="54"/>
      <c r="IVH2465" s="54"/>
      <c r="IVI2465" s="60"/>
      <c r="IVJ2465" s="60"/>
      <c r="IVK2465" s="60"/>
      <c r="IVL2465" s="60"/>
      <c r="IVM2465" s="63"/>
      <c r="IVN2465" s="61"/>
      <c r="IVO2465" s="54"/>
      <c r="IVP2465" s="54"/>
      <c r="IVQ2465" s="60"/>
      <c r="IVR2465" s="60"/>
      <c r="IVS2465" s="60"/>
      <c r="IVT2465" s="60"/>
      <c r="IVU2465" s="63"/>
      <c r="IVV2465" s="61"/>
      <c r="IVW2465" s="54"/>
      <c r="IVX2465" s="54"/>
      <c r="IVY2465" s="60"/>
      <c r="IVZ2465" s="60"/>
      <c r="IWA2465" s="60"/>
      <c r="IWB2465" s="60"/>
      <c r="IWC2465" s="63"/>
      <c r="IWD2465" s="61"/>
      <c r="IWE2465" s="54"/>
      <c r="IWF2465" s="54"/>
      <c r="IWG2465" s="60"/>
      <c r="IWH2465" s="60"/>
      <c r="IWI2465" s="60"/>
      <c r="IWJ2465" s="60"/>
      <c r="IWK2465" s="63"/>
      <c r="IWL2465" s="61"/>
      <c r="IWM2465" s="54"/>
      <c r="IWN2465" s="54"/>
      <c r="IWO2465" s="60"/>
      <c r="IWP2465" s="60"/>
      <c r="IWQ2465" s="60"/>
      <c r="IWR2465" s="60"/>
      <c r="IWS2465" s="63"/>
      <c r="IWT2465" s="61"/>
      <c r="IWU2465" s="54"/>
      <c r="IWV2465" s="54"/>
      <c r="IWW2465" s="60"/>
      <c r="IWX2465" s="60"/>
      <c r="IWY2465" s="60"/>
      <c r="IWZ2465" s="60"/>
      <c r="IXA2465" s="63"/>
      <c r="IXB2465" s="61"/>
      <c r="IXC2465" s="54"/>
      <c r="IXD2465" s="54"/>
      <c r="IXE2465" s="60"/>
      <c r="IXF2465" s="60"/>
      <c r="IXG2465" s="60"/>
      <c r="IXH2465" s="60"/>
      <c r="IXI2465" s="63"/>
      <c r="IXJ2465" s="61"/>
      <c r="IXK2465" s="54"/>
      <c r="IXL2465" s="54"/>
      <c r="IXM2465" s="60"/>
      <c r="IXN2465" s="60"/>
      <c r="IXO2465" s="60"/>
      <c r="IXP2465" s="60"/>
      <c r="IXQ2465" s="63"/>
      <c r="IXR2465" s="61"/>
      <c r="IXS2465" s="54"/>
      <c r="IXT2465" s="54"/>
      <c r="IXU2465" s="60"/>
      <c r="IXV2465" s="60"/>
      <c r="IXW2465" s="60"/>
      <c r="IXX2465" s="60"/>
      <c r="IXY2465" s="63"/>
      <c r="IXZ2465" s="61"/>
      <c r="IYA2465" s="54"/>
      <c r="IYB2465" s="54"/>
      <c r="IYC2465" s="60"/>
      <c r="IYD2465" s="60"/>
      <c r="IYE2465" s="60"/>
      <c r="IYF2465" s="60"/>
      <c r="IYG2465" s="63"/>
      <c r="IYH2465" s="61"/>
      <c r="IYI2465" s="54"/>
      <c r="IYJ2465" s="54"/>
      <c r="IYK2465" s="60"/>
      <c r="IYL2465" s="60"/>
      <c r="IYM2465" s="60"/>
      <c r="IYN2465" s="60"/>
      <c r="IYO2465" s="63"/>
      <c r="IYP2465" s="61"/>
      <c r="IYQ2465" s="54"/>
      <c r="IYR2465" s="54"/>
      <c r="IYS2465" s="60"/>
      <c r="IYT2465" s="60"/>
      <c r="IYU2465" s="60"/>
      <c r="IYV2465" s="60"/>
      <c r="IYW2465" s="63"/>
      <c r="IYX2465" s="61"/>
      <c r="IYY2465" s="54"/>
      <c r="IYZ2465" s="54"/>
      <c r="IZA2465" s="60"/>
      <c r="IZB2465" s="60"/>
      <c r="IZC2465" s="60"/>
      <c r="IZD2465" s="60"/>
      <c r="IZE2465" s="63"/>
      <c r="IZF2465" s="61"/>
      <c r="IZG2465" s="54"/>
      <c r="IZH2465" s="54"/>
      <c r="IZI2465" s="60"/>
      <c r="IZJ2465" s="60"/>
      <c r="IZK2465" s="60"/>
      <c r="IZL2465" s="60"/>
      <c r="IZM2465" s="63"/>
      <c r="IZN2465" s="61"/>
      <c r="IZO2465" s="54"/>
      <c r="IZP2465" s="54"/>
      <c r="IZQ2465" s="60"/>
      <c r="IZR2465" s="60"/>
      <c r="IZS2465" s="60"/>
      <c r="IZT2465" s="60"/>
      <c r="IZU2465" s="63"/>
      <c r="IZV2465" s="61"/>
      <c r="IZW2465" s="54"/>
      <c r="IZX2465" s="54"/>
      <c r="IZY2465" s="60"/>
      <c r="IZZ2465" s="60"/>
      <c r="JAA2465" s="60"/>
      <c r="JAB2465" s="60"/>
      <c r="JAC2465" s="63"/>
      <c r="JAD2465" s="61"/>
      <c r="JAE2465" s="54"/>
      <c r="JAF2465" s="54"/>
      <c r="JAG2465" s="60"/>
      <c r="JAH2465" s="60"/>
      <c r="JAI2465" s="60"/>
      <c r="JAJ2465" s="60"/>
      <c r="JAK2465" s="63"/>
      <c r="JAL2465" s="61"/>
      <c r="JAM2465" s="54"/>
      <c r="JAN2465" s="54"/>
      <c r="JAO2465" s="60"/>
      <c r="JAP2465" s="60"/>
      <c r="JAQ2465" s="60"/>
      <c r="JAR2465" s="60"/>
      <c r="JAS2465" s="63"/>
      <c r="JAT2465" s="61"/>
      <c r="JAU2465" s="54"/>
      <c r="JAV2465" s="54"/>
      <c r="JAW2465" s="60"/>
      <c r="JAX2465" s="60"/>
      <c r="JAY2465" s="60"/>
      <c r="JAZ2465" s="60"/>
      <c r="JBA2465" s="63"/>
      <c r="JBB2465" s="61"/>
      <c r="JBC2465" s="54"/>
      <c r="JBD2465" s="54"/>
      <c r="JBE2465" s="60"/>
      <c r="JBF2465" s="60"/>
      <c r="JBG2465" s="60"/>
      <c r="JBH2465" s="60"/>
      <c r="JBI2465" s="63"/>
      <c r="JBJ2465" s="61"/>
      <c r="JBK2465" s="54"/>
      <c r="JBL2465" s="54"/>
      <c r="JBM2465" s="60"/>
      <c r="JBN2465" s="60"/>
      <c r="JBO2465" s="60"/>
      <c r="JBP2465" s="60"/>
      <c r="JBQ2465" s="63"/>
      <c r="JBR2465" s="61"/>
      <c r="JBS2465" s="54"/>
      <c r="JBT2465" s="54"/>
      <c r="JBU2465" s="60"/>
      <c r="JBV2465" s="60"/>
      <c r="JBW2465" s="60"/>
      <c r="JBX2465" s="60"/>
      <c r="JBY2465" s="63"/>
      <c r="JBZ2465" s="61"/>
      <c r="JCA2465" s="54"/>
      <c r="JCB2465" s="54"/>
      <c r="JCC2465" s="60"/>
      <c r="JCD2465" s="60"/>
      <c r="JCE2465" s="60"/>
      <c r="JCF2465" s="60"/>
      <c r="JCG2465" s="63"/>
      <c r="JCH2465" s="61"/>
      <c r="JCI2465" s="54"/>
      <c r="JCJ2465" s="54"/>
      <c r="JCK2465" s="60"/>
      <c r="JCL2465" s="60"/>
      <c r="JCM2465" s="60"/>
      <c r="JCN2465" s="60"/>
      <c r="JCO2465" s="63"/>
      <c r="JCP2465" s="61"/>
      <c r="JCQ2465" s="54"/>
      <c r="JCR2465" s="54"/>
      <c r="JCS2465" s="60"/>
      <c r="JCT2465" s="60"/>
      <c r="JCU2465" s="60"/>
      <c r="JCV2465" s="60"/>
      <c r="JCW2465" s="63"/>
      <c r="JCX2465" s="61"/>
      <c r="JCY2465" s="54"/>
      <c r="JCZ2465" s="54"/>
      <c r="JDA2465" s="60"/>
      <c r="JDB2465" s="60"/>
      <c r="JDC2465" s="60"/>
      <c r="JDD2465" s="60"/>
      <c r="JDE2465" s="63"/>
      <c r="JDF2465" s="61"/>
      <c r="JDG2465" s="54"/>
      <c r="JDH2465" s="54"/>
      <c r="JDI2465" s="60"/>
      <c r="JDJ2465" s="60"/>
      <c r="JDK2465" s="60"/>
      <c r="JDL2465" s="60"/>
      <c r="JDM2465" s="63"/>
      <c r="JDN2465" s="61"/>
      <c r="JDO2465" s="54"/>
      <c r="JDP2465" s="54"/>
      <c r="JDQ2465" s="60"/>
      <c r="JDR2465" s="60"/>
      <c r="JDS2465" s="60"/>
      <c r="JDT2465" s="60"/>
      <c r="JDU2465" s="63"/>
      <c r="JDV2465" s="61"/>
      <c r="JDW2465" s="54"/>
      <c r="JDX2465" s="54"/>
      <c r="JDY2465" s="60"/>
      <c r="JDZ2465" s="60"/>
      <c r="JEA2465" s="60"/>
      <c r="JEB2465" s="60"/>
      <c r="JEC2465" s="63"/>
      <c r="JED2465" s="61"/>
      <c r="JEE2465" s="54"/>
      <c r="JEF2465" s="54"/>
      <c r="JEG2465" s="60"/>
      <c r="JEH2465" s="60"/>
      <c r="JEI2465" s="60"/>
      <c r="JEJ2465" s="60"/>
      <c r="JEK2465" s="63"/>
      <c r="JEL2465" s="61"/>
      <c r="JEM2465" s="54"/>
      <c r="JEN2465" s="54"/>
      <c r="JEO2465" s="60"/>
      <c r="JEP2465" s="60"/>
      <c r="JEQ2465" s="60"/>
      <c r="JER2465" s="60"/>
      <c r="JES2465" s="63"/>
      <c r="JET2465" s="61"/>
      <c r="JEU2465" s="54"/>
      <c r="JEV2465" s="54"/>
      <c r="JEW2465" s="60"/>
      <c r="JEX2465" s="60"/>
      <c r="JEY2465" s="60"/>
      <c r="JEZ2465" s="60"/>
      <c r="JFA2465" s="63"/>
      <c r="JFB2465" s="61"/>
      <c r="JFC2465" s="54"/>
      <c r="JFD2465" s="54"/>
      <c r="JFE2465" s="60"/>
      <c r="JFF2465" s="60"/>
      <c r="JFG2465" s="60"/>
      <c r="JFH2465" s="60"/>
      <c r="JFI2465" s="63"/>
      <c r="JFJ2465" s="61"/>
      <c r="JFK2465" s="54"/>
      <c r="JFL2465" s="54"/>
      <c r="JFM2465" s="60"/>
      <c r="JFN2465" s="60"/>
      <c r="JFO2465" s="60"/>
      <c r="JFP2465" s="60"/>
      <c r="JFQ2465" s="63"/>
      <c r="JFR2465" s="61"/>
      <c r="JFS2465" s="54"/>
      <c r="JFT2465" s="54"/>
      <c r="JFU2465" s="60"/>
      <c r="JFV2465" s="60"/>
      <c r="JFW2465" s="60"/>
      <c r="JFX2465" s="60"/>
      <c r="JFY2465" s="63"/>
      <c r="JFZ2465" s="61"/>
      <c r="JGA2465" s="54"/>
      <c r="JGB2465" s="54"/>
      <c r="JGC2465" s="60"/>
      <c r="JGD2465" s="60"/>
      <c r="JGE2465" s="60"/>
      <c r="JGF2465" s="60"/>
      <c r="JGG2465" s="63"/>
      <c r="JGH2465" s="61"/>
      <c r="JGI2465" s="54"/>
      <c r="JGJ2465" s="54"/>
      <c r="JGK2465" s="60"/>
      <c r="JGL2465" s="60"/>
      <c r="JGM2465" s="60"/>
      <c r="JGN2465" s="60"/>
      <c r="JGO2465" s="63"/>
      <c r="JGP2465" s="61"/>
      <c r="JGQ2465" s="54"/>
      <c r="JGR2465" s="54"/>
      <c r="JGS2465" s="60"/>
      <c r="JGT2465" s="60"/>
      <c r="JGU2465" s="60"/>
      <c r="JGV2465" s="60"/>
      <c r="JGW2465" s="63"/>
      <c r="JGX2465" s="61"/>
      <c r="JGY2465" s="54"/>
      <c r="JGZ2465" s="54"/>
      <c r="JHA2465" s="60"/>
      <c r="JHB2465" s="60"/>
      <c r="JHC2465" s="60"/>
      <c r="JHD2465" s="60"/>
      <c r="JHE2465" s="63"/>
      <c r="JHF2465" s="61"/>
      <c r="JHG2465" s="54"/>
      <c r="JHH2465" s="54"/>
      <c r="JHI2465" s="60"/>
      <c r="JHJ2465" s="60"/>
      <c r="JHK2465" s="60"/>
      <c r="JHL2465" s="60"/>
      <c r="JHM2465" s="63"/>
      <c r="JHN2465" s="61"/>
      <c r="JHO2465" s="54"/>
      <c r="JHP2465" s="54"/>
      <c r="JHQ2465" s="60"/>
      <c r="JHR2465" s="60"/>
      <c r="JHS2465" s="60"/>
      <c r="JHT2465" s="60"/>
      <c r="JHU2465" s="63"/>
      <c r="JHV2465" s="61"/>
      <c r="JHW2465" s="54"/>
      <c r="JHX2465" s="54"/>
      <c r="JHY2465" s="60"/>
      <c r="JHZ2465" s="60"/>
      <c r="JIA2465" s="60"/>
      <c r="JIB2465" s="60"/>
      <c r="JIC2465" s="63"/>
      <c r="JID2465" s="61"/>
      <c r="JIE2465" s="54"/>
      <c r="JIF2465" s="54"/>
      <c r="JIG2465" s="60"/>
      <c r="JIH2465" s="60"/>
      <c r="JII2465" s="60"/>
      <c r="JIJ2465" s="60"/>
      <c r="JIK2465" s="63"/>
      <c r="JIL2465" s="61"/>
      <c r="JIM2465" s="54"/>
      <c r="JIN2465" s="54"/>
      <c r="JIO2465" s="60"/>
      <c r="JIP2465" s="60"/>
      <c r="JIQ2465" s="60"/>
      <c r="JIR2465" s="60"/>
      <c r="JIS2465" s="63"/>
      <c r="JIT2465" s="61"/>
      <c r="JIU2465" s="54"/>
      <c r="JIV2465" s="54"/>
      <c r="JIW2465" s="60"/>
      <c r="JIX2465" s="60"/>
      <c r="JIY2465" s="60"/>
      <c r="JIZ2465" s="60"/>
      <c r="JJA2465" s="63"/>
      <c r="JJB2465" s="61"/>
      <c r="JJC2465" s="54"/>
      <c r="JJD2465" s="54"/>
      <c r="JJE2465" s="60"/>
      <c r="JJF2465" s="60"/>
      <c r="JJG2465" s="60"/>
      <c r="JJH2465" s="60"/>
      <c r="JJI2465" s="63"/>
      <c r="JJJ2465" s="61"/>
      <c r="JJK2465" s="54"/>
      <c r="JJL2465" s="54"/>
      <c r="JJM2465" s="60"/>
      <c r="JJN2465" s="60"/>
      <c r="JJO2465" s="60"/>
      <c r="JJP2465" s="60"/>
      <c r="JJQ2465" s="63"/>
      <c r="JJR2465" s="61"/>
      <c r="JJS2465" s="54"/>
      <c r="JJT2465" s="54"/>
      <c r="JJU2465" s="60"/>
      <c r="JJV2465" s="60"/>
      <c r="JJW2465" s="60"/>
      <c r="JJX2465" s="60"/>
      <c r="JJY2465" s="63"/>
      <c r="JJZ2465" s="61"/>
      <c r="JKA2465" s="54"/>
      <c r="JKB2465" s="54"/>
      <c r="JKC2465" s="60"/>
      <c r="JKD2465" s="60"/>
      <c r="JKE2465" s="60"/>
      <c r="JKF2465" s="60"/>
      <c r="JKG2465" s="63"/>
      <c r="JKH2465" s="61"/>
      <c r="JKI2465" s="54"/>
      <c r="JKJ2465" s="54"/>
      <c r="JKK2465" s="60"/>
      <c r="JKL2465" s="60"/>
      <c r="JKM2465" s="60"/>
      <c r="JKN2465" s="60"/>
      <c r="JKO2465" s="63"/>
      <c r="JKP2465" s="61"/>
      <c r="JKQ2465" s="54"/>
      <c r="JKR2465" s="54"/>
      <c r="JKS2465" s="60"/>
      <c r="JKT2465" s="60"/>
      <c r="JKU2465" s="60"/>
      <c r="JKV2465" s="60"/>
      <c r="JKW2465" s="63"/>
      <c r="JKX2465" s="61"/>
      <c r="JKY2465" s="54"/>
      <c r="JKZ2465" s="54"/>
      <c r="JLA2465" s="60"/>
      <c r="JLB2465" s="60"/>
      <c r="JLC2465" s="60"/>
      <c r="JLD2465" s="60"/>
      <c r="JLE2465" s="63"/>
      <c r="JLF2465" s="61"/>
      <c r="JLG2465" s="54"/>
      <c r="JLH2465" s="54"/>
      <c r="JLI2465" s="60"/>
      <c r="JLJ2465" s="60"/>
      <c r="JLK2465" s="60"/>
      <c r="JLL2465" s="60"/>
      <c r="JLM2465" s="63"/>
      <c r="JLN2465" s="61"/>
      <c r="JLO2465" s="54"/>
      <c r="JLP2465" s="54"/>
      <c r="JLQ2465" s="60"/>
      <c r="JLR2465" s="60"/>
      <c r="JLS2465" s="60"/>
      <c r="JLT2465" s="60"/>
      <c r="JLU2465" s="63"/>
      <c r="JLV2465" s="61"/>
      <c r="JLW2465" s="54"/>
      <c r="JLX2465" s="54"/>
      <c r="JLY2465" s="60"/>
      <c r="JLZ2465" s="60"/>
      <c r="JMA2465" s="60"/>
      <c r="JMB2465" s="60"/>
      <c r="JMC2465" s="63"/>
      <c r="JMD2465" s="61"/>
      <c r="JME2465" s="54"/>
      <c r="JMF2465" s="54"/>
      <c r="JMG2465" s="60"/>
      <c r="JMH2465" s="60"/>
      <c r="JMI2465" s="60"/>
      <c r="JMJ2465" s="60"/>
      <c r="JMK2465" s="63"/>
      <c r="JML2465" s="61"/>
      <c r="JMM2465" s="54"/>
      <c r="JMN2465" s="54"/>
      <c r="JMO2465" s="60"/>
      <c r="JMP2465" s="60"/>
      <c r="JMQ2465" s="60"/>
      <c r="JMR2465" s="60"/>
      <c r="JMS2465" s="63"/>
      <c r="JMT2465" s="61"/>
      <c r="JMU2465" s="54"/>
      <c r="JMV2465" s="54"/>
      <c r="JMW2465" s="60"/>
      <c r="JMX2465" s="60"/>
      <c r="JMY2465" s="60"/>
      <c r="JMZ2465" s="60"/>
      <c r="JNA2465" s="63"/>
      <c r="JNB2465" s="61"/>
      <c r="JNC2465" s="54"/>
      <c r="JND2465" s="54"/>
      <c r="JNE2465" s="60"/>
      <c r="JNF2465" s="60"/>
      <c r="JNG2465" s="60"/>
      <c r="JNH2465" s="60"/>
      <c r="JNI2465" s="63"/>
      <c r="JNJ2465" s="61"/>
      <c r="JNK2465" s="54"/>
      <c r="JNL2465" s="54"/>
      <c r="JNM2465" s="60"/>
      <c r="JNN2465" s="60"/>
      <c r="JNO2465" s="60"/>
      <c r="JNP2465" s="60"/>
      <c r="JNQ2465" s="63"/>
      <c r="JNR2465" s="61"/>
      <c r="JNS2465" s="54"/>
      <c r="JNT2465" s="54"/>
      <c r="JNU2465" s="60"/>
      <c r="JNV2465" s="60"/>
      <c r="JNW2465" s="60"/>
      <c r="JNX2465" s="60"/>
      <c r="JNY2465" s="63"/>
      <c r="JNZ2465" s="61"/>
      <c r="JOA2465" s="54"/>
      <c r="JOB2465" s="54"/>
      <c r="JOC2465" s="60"/>
      <c r="JOD2465" s="60"/>
      <c r="JOE2465" s="60"/>
      <c r="JOF2465" s="60"/>
      <c r="JOG2465" s="63"/>
      <c r="JOH2465" s="61"/>
      <c r="JOI2465" s="54"/>
      <c r="JOJ2465" s="54"/>
      <c r="JOK2465" s="60"/>
      <c r="JOL2465" s="60"/>
      <c r="JOM2465" s="60"/>
      <c r="JON2465" s="60"/>
      <c r="JOO2465" s="63"/>
      <c r="JOP2465" s="61"/>
      <c r="JOQ2465" s="54"/>
      <c r="JOR2465" s="54"/>
      <c r="JOS2465" s="60"/>
      <c r="JOT2465" s="60"/>
      <c r="JOU2465" s="60"/>
      <c r="JOV2465" s="60"/>
      <c r="JOW2465" s="63"/>
      <c r="JOX2465" s="61"/>
      <c r="JOY2465" s="54"/>
      <c r="JOZ2465" s="54"/>
      <c r="JPA2465" s="60"/>
      <c r="JPB2465" s="60"/>
      <c r="JPC2465" s="60"/>
      <c r="JPD2465" s="60"/>
      <c r="JPE2465" s="63"/>
      <c r="JPF2465" s="61"/>
      <c r="JPG2465" s="54"/>
      <c r="JPH2465" s="54"/>
      <c r="JPI2465" s="60"/>
      <c r="JPJ2465" s="60"/>
      <c r="JPK2465" s="60"/>
      <c r="JPL2465" s="60"/>
      <c r="JPM2465" s="63"/>
      <c r="JPN2465" s="61"/>
      <c r="JPO2465" s="54"/>
      <c r="JPP2465" s="54"/>
      <c r="JPQ2465" s="60"/>
      <c r="JPR2465" s="60"/>
      <c r="JPS2465" s="60"/>
      <c r="JPT2465" s="60"/>
      <c r="JPU2465" s="63"/>
      <c r="JPV2465" s="61"/>
      <c r="JPW2465" s="54"/>
      <c r="JPX2465" s="54"/>
      <c r="JPY2465" s="60"/>
      <c r="JPZ2465" s="60"/>
      <c r="JQA2465" s="60"/>
      <c r="JQB2465" s="60"/>
      <c r="JQC2465" s="63"/>
      <c r="JQD2465" s="61"/>
      <c r="JQE2465" s="54"/>
      <c r="JQF2465" s="54"/>
      <c r="JQG2465" s="60"/>
      <c r="JQH2465" s="60"/>
      <c r="JQI2465" s="60"/>
      <c r="JQJ2465" s="60"/>
      <c r="JQK2465" s="63"/>
      <c r="JQL2465" s="61"/>
      <c r="JQM2465" s="54"/>
      <c r="JQN2465" s="54"/>
      <c r="JQO2465" s="60"/>
      <c r="JQP2465" s="60"/>
      <c r="JQQ2465" s="60"/>
      <c r="JQR2465" s="60"/>
      <c r="JQS2465" s="63"/>
      <c r="JQT2465" s="61"/>
      <c r="JQU2465" s="54"/>
      <c r="JQV2465" s="54"/>
      <c r="JQW2465" s="60"/>
      <c r="JQX2465" s="60"/>
      <c r="JQY2465" s="60"/>
      <c r="JQZ2465" s="60"/>
      <c r="JRA2465" s="63"/>
      <c r="JRB2465" s="61"/>
      <c r="JRC2465" s="54"/>
      <c r="JRD2465" s="54"/>
      <c r="JRE2465" s="60"/>
      <c r="JRF2465" s="60"/>
      <c r="JRG2465" s="60"/>
      <c r="JRH2465" s="60"/>
      <c r="JRI2465" s="63"/>
      <c r="JRJ2465" s="61"/>
      <c r="JRK2465" s="54"/>
      <c r="JRL2465" s="54"/>
      <c r="JRM2465" s="60"/>
      <c r="JRN2465" s="60"/>
      <c r="JRO2465" s="60"/>
      <c r="JRP2465" s="60"/>
      <c r="JRQ2465" s="63"/>
      <c r="JRR2465" s="61"/>
      <c r="JRS2465" s="54"/>
      <c r="JRT2465" s="54"/>
      <c r="JRU2465" s="60"/>
      <c r="JRV2465" s="60"/>
      <c r="JRW2465" s="60"/>
      <c r="JRX2465" s="60"/>
      <c r="JRY2465" s="63"/>
      <c r="JRZ2465" s="61"/>
      <c r="JSA2465" s="54"/>
      <c r="JSB2465" s="54"/>
      <c r="JSC2465" s="60"/>
      <c r="JSD2465" s="60"/>
      <c r="JSE2465" s="60"/>
      <c r="JSF2465" s="60"/>
      <c r="JSG2465" s="63"/>
      <c r="JSH2465" s="61"/>
      <c r="JSI2465" s="54"/>
      <c r="JSJ2465" s="54"/>
      <c r="JSK2465" s="60"/>
      <c r="JSL2465" s="60"/>
      <c r="JSM2465" s="60"/>
      <c r="JSN2465" s="60"/>
      <c r="JSO2465" s="63"/>
      <c r="JSP2465" s="61"/>
      <c r="JSQ2465" s="54"/>
      <c r="JSR2465" s="54"/>
      <c r="JSS2465" s="60"/>
      <c r="JST2465" s="60"/>
      <c r="JSU2465" s="60"/>
      <c r="JSV2465" s="60"/>
      <c r="JSW2465" s="63"/>
      <c r="JSX2465" s="61"/>
      <c r="JSY2465" s="54"/>
      <c r="JSZ2465" s="54"/>
      <c r="JTA2465" s="60"/>
      <c r="JTB2465" s="60"/>
      <c r="JTC2465" s="60"/>
      <c r="JTD2465" s="60"/>
      <c r="JTE2465" s="63"/>
      <c r="JTF2465" s="61"/>
      <c r="JTG2465" s="54"/>
      <c r="JTH2465" s="54"/>
      <c r="JTI2465" s="60"/>
      <c r="JTJ2465" s="60"/>
      <c r="JTK2465" s="60"/>
      <c r="JTL2465" s="60"/>
      <c r="JTM2465" s="63"/>
      <c r="JTN2465" s="61"/>
      <c r="JTO2465" s="54"/>
      <c r="JTP2465" s="54"/>
      <c r="JTQ2465" s="60"/>
      <c r="JTR2465" s="60"/>
      <c r="JTS2465" s="60"/>
      <c r="JTT2465" s="60"/>
      <c r="JTU2465" s="63"/>
      <c r="JTV2465" s="61"/>
      <c r="JTW2465" s="54"/>
      <c r="JTX2465" s="54"/>
      <c r="JTY2465" s="60"/>
      <c r="JTZ2465" s="60"/>
      <c r="JUA2465" s="60"/>
      <c r="JUB2465" s="60"/>
      <c r="JUC2465" s="63"/>
      <c r="JUD2465" s="61"/>
      <c r="JUE2465" s="54"/>
      <c r="JUF2465" s="54"/>
      <c r="JUG2465" s="60"/>
      <c r="JUH2465" s="60"/>
      <c r="JUI2465" s="60"/>
      <c r="JUJ2465" s="60"/>
      <c r="JUK2465" s="63"/>
      <c r="JUL2465" s="61"/>
      <c r="JUM2465" s="54"/>
      <c r="JUN2465" s="54"/>
      <c r="JUO2465" s="60"/>
      <c r="JUP2465" s="60"/>
      <c r="JUQ2465" s="60"/>
      <c r="JUR2465" s="60"/>
      <c r="JUS2465" s="63"/>
      <c r="JUT2465" s="61"/>
      <c r="JUU2465" s="54"/>
      <c r="JUV2465" s="54"/>
      <c r="JUW2465" s="60"/>
      <c r="JUX2465" s="60"/>
      <c r="JUY2465" s="60"/>
      <c r="JUZ2465" s="60"/>
      <c r="JVA2465" s="63"/>
      <c r="JVB2465" s="61"/>
      <c r="JVC2465" s="54"/>
      <c r="JVD2465" s="54"/>
      <c r="JVE2465" s="60"/>
      <c r="JVF2465" s="60"/>
      <c r="JVG2465" s="60"/>
      <c r="JVH2465" s="60"/>
      <c r="JVI2465" s="63"/>
      <c r="JVJ2465" s="61"/>
      <c r="JVK2465" s="54"/>
      <c r="JVL2465" s="54"/>
      <c r="JVM2465" s="60"/>
      <c r="JVN2465" s="60"/>
      <c r="JVO2465" s="60"/>
      <c r="JVP2465" s="60"/>
      <c r="JVQ2465" s="63"/>
      <c r="JVR2465" s="61"/>
      <c r="JVS2465" s="54"/>
      <c r="JVT2465" s="54"/>
      <c r="JVU2465" s="60"/>
      <c r="JVV2465" s="60"/>
      <c r="JVW2465" s="60"/>
      <c r="JVX2465" s="60"/>
      <c r="JVY2465" s="63"/>
      <c r="JVZ2465" s="61"/>
      <c r="JWA2465" s="54"/>
      <c r="JWB2465" s="54"/>
      <c r="JWC2465" s="60"/>
      <c r="JWD2465" s="60"/>
      <c r="JWE2465" s="60"/>
      <c r="JWF2465" s="60"/>
      <c r="JWG2465" s="63"/>
      <c r="JWH2465" s="61"/>
      <c r="JWI2465" s="54"/>
      <c r="JWJ2465" s="54"/>
      <c r="JWK2465" s="60"/>
      <c r="JWL2465" s="60"/>
      <c r="JWM2465" s="60"/>
      <c r="JWN2465" s="60"/>
      <c r="JWO2465" s="63"/>
      <c r="JWP2465" s="61"/>
      <c r="JWQ2465" s="54"/>
      <c r="JWR2465" s="54"/>
      <c r="JWS2465" s="60"/>
      <c r="JWT2465" s="60"/>
      <c r="JWU2465" s="60"/>
      <c r="JWV2465" s="60"/>
      <c r="JWW2465" s="63"/>
      <c r="JWX2465" s="61"/>
      <c r="JWY2465" s="54"/>
      <c r="JWZ2465" s="54"/>
      <c r="JXA2465" s="60"/>
      <c r="JXB2465" s="60"/>
      <c r="JXC2465" s="60"/>
      <c r="JXD2465" s="60"/>
      <c r="JXE2465" s="63"/>
      <c r="JXF2465" s="61"/>
      <c r="JXG2465" s="54"/>
      <c r="JXH2465" s="54"/>
      <c r="JXI2465" s="60"/>
      <c r="JXJ2465" s="60"/>
      <c r="JXK2465" s="60"/>
      <c r="JXL2465" s="60"/>
      <c r="JXM2465" s="63"/>
      <c r="JXN2465" s="61"/>
      <c r="JXO2465" s="54"/>
      <c r="JXP2465" s="54"/>
      <c r="JXQ2465" s="60"/>
      <c r="JXR2465" s="60"/>
      <c r="JXS2465" s="60"/>
      <c r="JXT2465" s="60"/>
      <c r="JXU2465" s="63"/>
      <c r="JXV2465" s="61"/>
      <c r="JXW2465" s="54"/>
      <c r="JXX2465" s="54"/>
      <c r="JXY2465" s="60"/>
      <c r="JXZ2465" s="60"/>
      <c r="JYA2465" s="60"/>
      <c r="JYB2465" s="60"/>
      <c r="JYC2465" s="63"/>
      <c r="JYD2465" s="61"/>
      <c r="JYE2465" s="54"/>
      <c r="JYF2465" s="54"/>
      <c r="JYG2465" s="60"/>
      <c r="JYH2465" s="60"/>
      <c r="JYI2465" s="60"/>
      <c r="JYJ2465" s="60"/>
      <c r="JYK2465" s="63"/>
      <c r="JYL2465" s="61"/>
      <c r="JYM2465" s="54"/>
      <c r="JYN2465" s="54"/>
      <c r="JYO2465" s="60"/>
      <c r="JYP2465" s="60"/>
      <c r="JYQ2465" s="60"/>
      <c r="JYR2465" s="60"/>
      <c r="JYS2465" s="63"/>
      <c r="JYT2465" s="61"/>
      <c r="JYU2465" s="54"/>
      <c r="JYV2465" s="54"/>
      <c r="JYW2465" s="60"/>
      <c r="JYX2465" s="60"/>
      <c r="JYY2465" s="60"/>
      <c r="JYZ2465" s="60"/>
      <c r="JZA2465" s="63"/>
      <c r="JZB2465" s="61"/>
      <c r="JZC2465" s="54"/>
      <c r="JZD2465" s="54"/>
      <c r="JZE2465" s="60"/>
      <c r="JZF2465" s="60"/>
      <c r="JZG2465" s="60"/>
      <c r="JZH2465" s="60"/>
      <c r="JZI2465" s="63"/>
      <c r="JZJ2465" s="61"/>
      <c r="JZK2465" s="54"/>
      <c r="JZL2465" s="54"/>
      <c r="JZM2465" s="60"/>
      <c r="JZN2465" s="60"/>
      <c r="JZO2465" s="60"/>
      <c r="JZP2465" s="60"/>
      <c r="JZQ2465" s="63"/>
      <c r="JZR2465" s="61"/>
      <c r="JZS2465" s="54"/>
      <c r="JZT2465" s="54"/>
      <c r="JZU2465" s="60"/>
      <c r="JZV2465" s="60"/>
      <c r="JZW2465" s="60"/>
      <c r="JZX2465" s="60"/>
      <c r="JZY2465" s="63"/>
      <c r="JZZ2465" s="61"/>
      <c r="KAA2465" s="54"/>
      <c r="KAB2465" s="54"/>
      <c r="KAC2465" s="60"/>
      <c r="KAD2465" s="60"/>
      <c r="KAE2465" s="60"/>
      <c r="KAF2465" s="60"/>
      <c r="KAG2465" s="63"/>
      <c r="KAH2465" s="61"/>
      <c r="KAI2465" s="54"/>
      <c r="KAJ2465" s="54"/>
      <c r="KAK2465" s="60"/>
      <c r="KAL2465" s="60"/>
      <c r="KAM2465" s="60"/>
      <c r="KAN2465" s="60"/>
      <c r="KAO2465" s="63"/>
      <c r="KAP2465" s="61"/>
      <c r="KAQ2465" s="54"/>
      <c r="KAR2465" s="54"/>
      <c r="KAS2465" s="60"/>
      <c r="KAT2465" s="60"/>
      <c r="KAU2465" s="60"/>
      <c r="KAV2465" s="60"/>
      <c r="KAW2465" s="63"/>
      <c r="KAX2465" s="61"/>
      <c r="KAY2465" s="54"/>
      <c r="KAZ2465" s="54"/>
      <c r="KBA2465" s="60"/>
      <c r="KBB2465" s="60"/>
      <c r="KBC2465" s="60"/>
      <c r="KBD2465" s="60"/>
      <c r="KBE2465" s="63"/>
      <c r="KBF2465" s="61"/>
      <c r="KBG2465" s="54"/>
      <c r="KBH2465" s="54"/>
      <c r="KBI2465" s="60"/>
      <c r="KBJ2465" s="60"/>
      <c r="KBK2465" s="60"/>
      <c r="KBL2465" s="60"/>
      <c r="KBM2465" s="63"/>
      <c r="KBN2465" s="61"/>
      <c r="KBO2465" s="54"/>
      <c r="KBP2465" s="54"/>
      <c r="KBQ2465" s="60"/>
      <c r="KBR2465" s="60"/>
      <c r="KBS2465" s="60"/>
      <c r="KBT2465" s="60"/>
      <c r="KBU2465" s="63"/>
      <c r="KBV2465" s="61"/>
      <c r="KBW2465" s="54"/>
      <c r="KBX2465" s="54"/>
      <c r="KBY2465" s="60"/>
      <c r="KBZ2465" s="60"/>
      <c r="KCA2465" s="60"/>
      <c r="KCB2465" s="60"/>
      <c r="KCC2465" s="63"/>
      <c r="KCD2465" s="61"/>
      <c r="KCE2465" s="54"/>
      <c r="KCF2465" s="54"/>
      <c r="KCG2465" s="60"/>
      <c r="KCH2465" s="60"/>
      <c r="KCI2465" s="60"/>
      <c r="KCJ2465" s="60"/>
      <c r="KCK2465" s="63"/>
      <c r="KCL2465" s="61"/>
      <c r="KCM2465" s="54"/>
      <c r="KCN2465" s="54"/>
      <c r="KCO2465" s="60"/>
      <c r="KCP2465" s="60"/>
      <c r="KCQ2465" s="60"/>
      <c r="KCR2465" s="60"/>
      <c r="KCS2465" s="63"/>
      <c r="KCT2465" s="61"/>
      <c r="KCU2465" s="54"/>
      <c r="KCV2465" s="54"/>
      <c r="KCW2465" s="60"/>
      <c r="KCX2465" s="60"/>
      <c r="KCY2465" s="60"/>
      <c r="KCZ2465" s="60"/>
      <c r="KDA2465" s="63"/>
      <c r="KDB2465" s="61"/>
      <c r="KDC2465" s="54"/>
      <c r="KDD2465" s="54"/>
      <c r="KDE2465" s="60"/>
      <c r="KDF2465" s="60"/>
      <c r="KDG2465" s="60"/>
      <c r="KDH2465" s="60"/>
      <c r="KDI2465" s="63"/>
      <c r="KDJ2465" s="61"/>
      <c r="KDK2465" s="54"/>
      <c r="KDL2465" s="54"/>
      <c r="KDM2465" s="60"/>
      <c r="KDN2465" s="60"/>
      <c r="KDO2465" s="60"/>
      <c r="KDP2465" s="60"/>
      <c r="KDQ2465" s="63"/>
      <c r="KDR2465" s="61"/>
      <c r="KDS2465" s="54"/>
      <c r="KDT2465" s="54"/>
      <c r="KDU2465" s="60"/>
      <c r="KDV2465" s="60"/>
      <c r="KDW2465" s="60"/>
      <c r="KDX2465" s="60"/>
      <c r="KDY2465" s="63"/>
      <c r="KDZ2465" s="61"/>
      <c r="KEA2465" s="54"/>
      <c r="KEB2465" s="54"/>
      <c r="KEC2465" s="60"/>
      <c r="KED2465" s="60"/>
      <c r="KEE2465" s="60"/>
      <c r="KEF2465" s="60"/>
      <c r="KEG2465" s="63"/>
      <c r="KEH2465" s="61"/>
      <c r="KEI2465" s="54"/>
      <c r="KEJ2465" s="54"/>
      <c r="KEK2465" s="60"/>
      <c r="KEL2465" s="60"/>
      <c r="KEM2465" s="60"/>
      <c r="KEN2465" s="60"/>
      <c r="KEO2465" s="63"/>
      <c r="KEP2465" s="61"/>
      <c r="KEQ2465" s="54"/>
      <c r="KER2465" s="54"/>
      <c r="KES2465" s="60"/>
      <c r="KET2465" s="60"/>
      <c r="KEU2465" s="60"/>
      <c r="KEV2465" s="60"/>
      <c r="KEW2465" s="63"/>
      <c r="KEX2465" s="61"/>
      <c r="KEY2465" s="54"/>
      <c r="KEZ2465" s="54"/>
      <c r="KFA2465" s="60"/>
      <c r="KFB2465" s="60"/>
      <c r="KFC2465" s="60"/>
      <c r="KFD2465" s="60"/>
      <c r="KFE2465" s="63"/>
      <c r="KFF2465" s="61"/>
      <c r="KFG2465" s="54"/>
      <c r="KFH2465" s="54"/>
      <c r="KFI2465" s="60"/>
      <c r="KFJ2465" s="60"/>
      <c r="KFK2465" s="60"/>
      <c r="KFL2465" s="60"/>
      <c r="KFM2465" s="63"/>
      <c r="KFN2465" s="61"/>
      <c r="KFO2465" s="54"/>
      <c r="KFP2465" s="54"/>
      <c r="KFQ2465" s="60"/>
      <c r="KFR2465" s="60"/>
      <c r="KFS2465" s="60"/>
      <c r="KFT2465" s="60"/>
      <c r="KFU2465" s="63"/>
      <c r="KFV2465" s="61"/>
      <c r="KFW2465" s="54"/>
      <c r="KFX2465" s="54"/>
      <c r="KFY2465" s="60"/>
      <c r="KFZ2465" s="60"/>
      <c r="KGA2465" s="60"/>
      <c r="KGB2465" s="60"/>
      <c r="KGC2465" s="63"/>
      <c r="KGD2465" s="61"/>
      <c r="KGE2465" s="54"/>
      <c r="KGF2465" s="54"/>
      <c r="KGG2465" s="60"/>
      <c r="KGH2465" s="60"/>
      <c r="KGI2465" s="60"/>
      <c r="KGJ2465" s="60"/>
      <c r="KGK2465" s="63"/>
      <c r="KGL2465" s="61"/>
      <c r="KGM2465" s="54"/>
      <c r="KGN2465" s="54"/>
      <c r="KGO2465" s="60"/>
      <c r="KGP2465" s="60"/>
      <c r="KGQ2465" s="60"/>
      <c r="KGR2465" s="60"/>
      <c r="KGS2465" s="63"/>
      <c r="KGT2465" s="61"/>
      <c r="KGU2465" s="54"/>
      <c r="KGV2465" s="54"/>
      <c r="KGW2465" s="60"/>
      <c r="KGX2465" s="60"/>
      <c r="KGY2465" s="60"/>
      <c r="KGZ2465" s="60"/>
      <c r="KHA2465" s="63"/>
      <c r="KHB2465" s="61"/>
      <c r="KHC2465" s="54"/>
      <c r="KHD2465" s="54"/>
      <c r="KHE2465" s="60"/>
      <c r="KHF2465" s="60"/>
      <c r="KHG2465" s="60"/>
      <c r="KHH2465" s="60"/>
      <c r="KHI2465" s="63"/>
      <c r="KHJ2465" s="61"/>
      <c r="KHK2465" s="54"/>
      <c r="KHL2465" s="54"/>
      <c r="KHM2465" s="60"/>
      <c r="KHN2465" s="60"/>
      <c r="KHO2465" s="60"/>
      <c r="KHP2465" s="60"/>
      <c r="KHQ2465" s="63"/>
      <c r="KHR2465" s="61"/>
      <c r="KHS2465" s="54"/>
      <c r="KHT2465" s="54"/>
      <c r="KHU2465" s="60"/>
      <c r="KHV2465" s="60"/>
      <c r="KHW2465" s="60"/>
      <c r="KHX2465" s="60"/>
      <c r="KHY2465" s="63"/>
      <c r="KHZ2465" s="61"/>
      <c r="KIA2465" s="54"/>
      <c r="KIB2465" s="54"/>
      <c r="KIC2465" s="60"/>
      <c r="KID2465" s="60"/>
      <c r="KIE2465" s="60"/>
      <c r="KIF2465" s="60"/>
      <c r="KIG2465" s="63"/>
      <c r="KIH2465" s="61"/>
      <c r="KII2465" s="54"/>
      <c r="KIJ2465" s="54"/>
      <c r="KIK2465" s="60"/>
      <c r="KIL2465" s="60"/>
      <c r="KIM2465" s="60"/>
      <c r="KIN2465" s="60"/>
      <c r="KIO2465" s="63"/>
      <c r="KIP2465" s="61"/>
      <c r="KIQ2465" s="54"/>
      <c r="KIR2465" s="54"/>
      <c r="KIS2465" s="60"/>
      <c r="KIT2465" s="60"/>
      <c r="KIU2465" s="60"/>
      <c r="KIV2465" s="60"/>
      <c r="KIW2465" s="63"/>
      <c r="KIX2465" s="61"/>
      <c r="KIY2465" s="54"/>
      <c r="KIZ2465" s="54"/>
      <c r="KJA2465" s="60"/>
      <c r="KJB2465" s="60"/>
      <c r="KJC2465" s="60"/>
      <c r="KJD2465" s="60"/>
      <c r="KJE2465" s="63"/>
      <c r="KJF2465" s="61"/>
      <c r="KJG2465" s="54"/>
      <c r="KJH2465" s="54"/>
      <c r="KJI2465" s="60"/>
      <c r="KJJ2465" s="60"/>
      <c r="KJK2465" s="60"/>
      <c r="KJL2465" s="60"/>
      <c r="KJM2465" s="63"/>
      <c r="KJN2465" s="61"/>
      <c r="KJO2465" s="54"/>
      <c r="KJP2465" s="54"/>
      <c r="KJQ2465" s="60"/>
      <c r="KJR2465" s="60"/>
      <c r="KJS2465" s="60"/>
      <c r="KJT2465" s="60"/>
      <c r="KJU2465" s="63"/>
      <c r="KJV2465" s="61"/>
      <c r="KJW2465" s="54"/>
      <c r="KJX2465" s="54"/>
      <c r="KJY2465" s="60"/>
      <c r="KJZ2465" s="60"/>
      <c r="KKA2465" s="60"/>
      <c r="KKB2465" s="60"/>
      <c r="KKC2465" s="63"/>
      <c r="KKD2465" s="61"/>
      <c r="KKE2465" s="54"/>
      <c r="KKF2465" s="54"/>
      <c r="KKG2465" s="60"/>
      <c r="KKH2465" s="60"/>
      <c r="KKI2465" s="60"/>
      <c r="KKJ2465" s="60"/>
      <c r="KKK2465" s="63"/>
      <c r="KKL2465" s="61"/>
      <c r="KKM2465" s="54"/>
      <c r="KKN2465" s="54"/>
      <c r="KKO2465" s="60"/>
      <c r="KKP2465" s="60"/>
      <c r="KKQ2465" s="60"/>
      <c r="KKR2465" s="60"/>
      <c r="KKS2465" s="63"/>
      <c r="KKT2465" s="61"/>
      <c r="KKU2465" s="54"/>
      <c r="KKV2465" s="54"/>
      <c r="KKW2465" s="60"/>
      <c r="KKX2465" s="60"/>
      <c r="KKY2465" s="60"/>
      <c r="KKZ2465" s="60"/>
      <c r="KLA2465" s="63"/>
      <c r="KLB2465" s="61"/>
      <c r="KLC2465" s="54"/>
      <c r="KLD2465" s="54"/>
      <c r="KLE2465" s="60"/>
      <c r="KLF2465" s="60"/>
      <c r="KLG2465" s="60"/>
      <c r="KLH2465" s="60"/>
      <c r="KLI2465" s="63"/>
      <c r="KLJ2465" s="61"/>
      <c r="KLK2465" s="54"/>
      <c r="KLL2465" s="54"/>
      <c r="KLM2465" s="60"/>
      <c r="KLN2465" s="60"/>
      <c r="KLO2465" s="60"/>
      <c r="KLP2465" s="60"/>
      <c r="KLQ2465" s="63"/>
      <c r="KLR2465" s="61"/>
      <c r="KLS2465" s="54"/>
      <c r="KLT2465" s="54"/>
      <c r="KLU2465" s="60"/>
      <c r="KLV2465" s="60"/>
      <c r="KLW2465" s="60"/>
      <c r="KLX2465" s="60"/>
      <c r="KLY2465" s="63"/>
      <c r="KLZ2465" s="61"/>
      <c r="KMA2465" s="54"/>
      <c r="KMB2465" s="54"/>
      <c r="KMC2465" s="60"/>
      <c r="KMD2465" s="60"/>
      <c r="KME2465" s="60"/>
      <c r="KMF2465" s="60"/>
      <c r="KMG2465" s="63"/>
      <c r="KMH2465" s="61"/>
      <c r="KMI2465" s="54"/>
      <c r="KMJ2465" s="54"/>
      <c r="KMK2465" s="60"/>
      <c r="KML2465" s="60"/>
      <c r="KMM2465" s="60"/>
      <c r="KMN2465" s="60"/>
      <c r="KMO2465" s="63"/>
      <c r="KMP2465" s="61"/>
      <c r="KMQ2465" s="54"/>
      <c r="KMR2465" s="54"/>
      <c r="KMS2465" s="60"/>
      <c r="KMT2465" s="60"/>
      <c r="KMU2465" s="60"/>
      <c r="KMV2465" s="60"/>
      <c r="KMW2465" s="63"/>
      <c r="KMX2465" s="61"/>
      <c r="KMY2465" s="54"/>
      <c r="KMZ2465" s="54"/>
      <c r="KNA2465" s="60"/>
      <c r="KNB2465" s="60"/>
      <c r="KNC2465" s="60"/>
      <c r="KND2465" s="60"/>
      <c r="KNE2465" s="63"/>
      <c r="KNF2465" s="61"/>
      <c r="KNG2465" s="54"/>
      <c r="KNH2465" s="54"/>
      <c r="KNI2465" s="60"/>
      <c r="KNJ2465" s="60"/>
      <c r="KNK2465" s="60"/>
      <c r="KNL2465" s="60"/>
      <c r="KNM2465" s="63"/>
      <c r="KNN2465" s="61"/>
      <c r="KNO2465" s="54"/>
      <c r="KNP2465" s="54"/>
      <c r="KNQ2465" s="60"/>
      <c r="KNR2465" s="60"/>
      <c r="KNS2465" s="60"/>
      <c r="KNT2465" s="60"/>
      <c r="KNU2465" s="63"/>
      <c r="KNV2465" s="61"/>
      <c r="KNW2465" s="54"/>
      <c r="KNX2465" s="54"/>
      <c r="KNY2465" s="60"/>
      <c r="KNZ2465" s="60"/>
      <c r="KOA2465" s="60"/>
      <c r="KOB2465" s="60"/>
      <c r="KOC2465" s="63"/>
      <c r="KOD2465" s="61"/>
      <c r="KOE2465" s="54"/>
      <c r="KOF2465" s="54"/>
      <c r="KOG2465" s="60"/>
      <c r="KOH2465" s="60"/>
      <c r="KOI2465" s="60"/>
      <c r="KOJ2465" s="60"/>
      <c r="KOK2465" s="63"/>
      <c r="KOL2465" s="61"/>
      <c r="KOM2465" s="54"/>
      <c r="KON2465" s="54"/>
      <c r="KOO2465" s="60"/>
      <c r="KOP2465" s="60"/>
      <c r="KOQ2465" s="60"/>
      <c r="KOR2465" s="60"/>
      <c r="KOS2465" s="63"/>
      <c r="KOT2465" s="61"/>
      <c r="KOU2465" s="54"/>
      <c r="KOV2465" s="54"/>
      <c r="KOW2465" s="60"/>
      <c r="KOX2465" s="60"/>
      <c r="KOY2465" s="60"/>
      <c r="KOZ2465" s="60"/>
      <c r="KPA2465" s="63"/>
      <c r="KPB2465" s="61"/>
      <c r="KPC2465" s="54"/>
      <c r="KPD2465" s="54"/>
      <c r="KPE2465" s="60"/>
      <c r="KPF2465" s="60"/>
      <c r="KPG2465" s="60"/>
      <c r="KPH2465" s="60"/>
      <c r="KPI2465" s="63"/>
      <c r="KPJ2465" s="61"/>
      <c r="KPK2465" s="54"/>
      <c r="KPL2465" s="54"/>
      <c r="KPM2465" s="60"/>
      <c r="KPN2465" s="60"/>
      <c r="KPO2465" s="60"/>
      <c r="KPP2465" s="60"/>
      <c r="KPQ2465" s="63"/>
      <c r="KPR2465" s="61"/>
      <c r="KPS2465" s="54"/>
      <c r="KPT2465" s="54"/>
      <c r="KPU2465" s="60"/>
      <c r="KPV2465" s="60"/>
      <c r="KPW2465" s="60"/>
      <c r="KPX2465" s="60"/>
      <c r="KPY2465" s="63"/>
      <c r="KPZ2465" s="61"/>
      <c r="KQA2465" s="54"/>
      <c r="KQB2465" s="54"/>
      <c r="KQC2465" s="60"/>
      <c r="KQD2465" s="60"/>
      <c r="KQE2465" s="60"/>
      <c r="KQF2465" s="60"/>
      <c r="KQG2465" s="63"/>
      <c r="KQH2465" s="61"/>
      <c r="KQI2465" s="54"/>
      <c r="KQJ2465" s="54"/>
      <c r="KQK2465" s="60"/>
      <c r="KQL2465" s="60"/>
      <c r="KQM2465" s="60"/>
      <c r="KQN2465" s="60"/>
      <c r="KQO2465" s="63"/>
      <c r="KQP2465" s="61"/>
      <c r="KQQ2465" s="54"/>
      <c r="KQR2465" s="54"/>
      <c r="KQS2465" s="60"/>
      <c r="KQT2465" s="60"/>
      <c r="KQU2465" s="60"/>
      <c r="KQV2465" s="60"/>
      <c r="KQW2465" s="63"/>
      <c r="KQX2465" s="61"/>
      <c r="KQY2465" s="54"/>
      <c r="KQZ2465" s="54"/>
      <c r="KRA2465" s="60"/>
      <c r="KRB2465" s="60"/>
      <c r="KRC2465" s="60"/>
      <c r="KRD2465" s="60"/>
      <c r="KRE2465" s="63"/>
      <c r="KRF2465" s="61"/>
      <c r="KRG2465" s="54"/>
      <c r="KRH2465" s="54"/>
      <c r="KRI2465" s="60"/>
      <c r="KRJ2465" s="60"/>
      <c r="KRK2465" s="60"/>
      <c r="KRL2465" s="60"/>
      <c r="KRM2465" s="63"/>
      <c r="KRN2465" s="61"/>
      <c r="KRO2465" s="54"/>
      <c r="KRP2465" s="54"/>
      <c r="KRQ2465" s="60"/>
      <c r="KRR2465" s="60"/>
      <c r="KRS2465" s="60"/>
      <c r="KRT2465" s="60"/>
      <c r="KRU2465" s="63"/>
      <c r="KRV2465" s="61"/>
      <c r="KRW2465" s="54"/>
      <c r="KRX2465" s="54"/>
      <c r="KRY2465" s="60"/>
      <c r="KRZ2465" s="60"/>
      <c r="KSA2465" s="60"/>
      <c r="KSB2465" s="60"/>
      <c r="KSC2465" s="63"/>
      <c r="KSD2465" s="61"/>
      <c r="KSE2465" s="54"/>
      <c r="KSF2465" s="54"/>
      <c r="KSG2465" s="60"/>
      <c r="KSH2465" s="60"/>
      <c r="KSI2465" s="60"/>
      <c r="KSJ2465" s="60"/>
      <c r="KSK2465" s="63"/>
      <c r="KSL2465" s="61"/>
      <c r="KSM2465" s="54"/>
      <c r="KSN2465" s="54"/>
      <c r="KSO2465" s="60"/>
      <c r="KSP2465" s="60"/>
      <c r="KSQ2465" s="60"/>
      <c r="KSR2465" s="60"/>
      <c r="KSS2465" s="63"/>
      <c r="KST2465" s="61"/>
      <c r="KSU2465" s="54"/>
      <c r="KSV2465" s="54"/>
      <c r="KSW2465" s="60"/>
      <c r="KSX2465" s="60"/>
      <c r="KSY2465" s="60"/>
      <c r="KSZ2465" s="60"/>
      <c r="KTA2465" s="63"/>
      <c r="KTB2465" s="61"/>
      <c r="KTC2465" s="54"/>
      <c r="KTD2465" s="54"/>
      <c r="KTE2465" s="60"/>
      <c r="KTF2465" s="60"/>
      <c r="KTG2465" s="60"/>
      <c r="KTH2465" s="60"/>
      <c r="KTI2465" s="63"/>
      <c r="KTJ2465" s="61"/>
      <c r="KTK2465" s="54"/>
      <c r="KTL2465" s="54"/>
      <c r="KTM2465" s="60"/>
      <c r="KTN2465" s="60"/>
      <c r="KTO2465" s="60"/>
      <c r="KTP2465" s="60"/>
      <c r="KTQ2465" s="63"/>
      <c r="KTR2465" s="61"/>
      <c r="KTS2465" s="54"/>
      <c r="KTT2465" s="54"/>
      <c r="KTU2465" s="60"/>
      <c r="KTV2465" s="60"/>
      <c r="KTW2465" s="60"/>
      <c r="KTX2465" s="60"/>
      <c r="KTY2465" s="63"/>
      <c r="KTZ2465" s="61"/>
      <c r="KUA2465" s="54"/>
      <c r="KUB2465" s="54"/>
      <c r="KUC2465" s="60"/>
      <c r="KUD2465" s="60"/>
      <c r="KUE2465" s="60"/>
      <c r="KUF2465" s="60"/>
      <c r="KUG2465" s="63"/>
      <c r="KUH2465" s="61"/>
      <c r="KUI2465" s="54"/>
      <c r="KUJ2465" s="54"/>
      <c r="KUK2465" s="60"/>
      <c r="KUL2465" s="60"/>
      <c r="KUM2465" s="60"/>
      <c r="KUN2465" s="60"/>
      <c r="KUO2465" s="63"/>
      <c r="KUP2465" s="61"/>
      <c r="KUQ2465" s="54"/>
      <c r="KUR2465" s="54"/>
      <c r="KUS2465" s="60"/>
      <c r="KUT2465" s="60"/>
      <c r="KUU2465" s="60"/>
      <c r="KUV2465" s="60"/>
      <c r="KUW2465" s="63"/>
      <c r="KUX2465" s="61"/>
      <c r="KUY2465" s="54"/>
      <c r="KUZ2465" s="54"/>
      <c r="KVA2465" s="60"/>
      <c r="KVB2465" s="60"/>
      <c r="KVC2465" s="60"/>
      <c r="KVD2465" s="60"/>
      <c r="KVE2465" s="63"/>
      <c r="KVF2465" s="61"/>
      <c r="KVG2465" s="54"/>
      <c r="KVH2465" s="54"/>
      <c r="KVI2465" s="60"/>
      <c r="KVJ2465" s="60"/>
      <c r="KVK2465" s="60"/>
      <c r="KVL2465" s="60"/>
      <c r="KVM2465" s="63"/>
      <c r="KVN2465" s="61"/>
      <c r="KVO2465" s="54"/>
      <c r="KVP2465" s="54"/>
      <c r="KVQ2465" s="60"/>
      <c r="KVR2465" s="60"/>
      <c r="KVS2465" s="60"/>
      <c r="KVT2465" s="60"/>
      <c r="KVU2465" s="63"/>
      <c r="KVV2465" s="61"/>
      <c r="KVW2465" s="54"/>
      <c r="KVX2465" s="54"/>
      <c r="KVY2465" s="60"/>
      <c r="KVZ2465" s="60"/>
      <c r="KWA2465" s="60"/>
      <c r="KWB2465" s="60"/>
      <c r="KWC2465" s="63"/>
      <c r="KWD2465" s="61"/>
      <c r="KWE2465" s="54"/>
      <c r="KWF2465" s="54"/>
      <c r="KWG2465" s="60"/>
      <c r="KWH2465" s="60"/>
      <c r="KWI2465" s="60"/>
      <c r="KWJ2465" s="60"/>
      <c r="KWK2465" s="63"/>
      <c r="KWL2465" s="61"/>
      <c r="KWM2465" s="54"/>
      <c r="KWN2465" s="54"/>
      <c r="KWO2465" s="60"/>
      <c r="KWP2465" s="60"/>
      <c r="KWQ2465" s="60"/>
      <c r="KWR2465" s="60"/>
      <c r="KWS2465" s="63"/>
      <c r="KWT2465" s="61"/>
      <c r="KWU2465" s="54"/>
      <c r="KWV2465" s="54"/>
      <c r="KWW2465" s="60"/>
      <c r="KWX2465" s="60"/>
      <c r="KWY2465" s="60"/>
      <c r="KWZ2465" s="60"/>
      <c r="KXA2465" s="63"/>
      <c r="KXB2465" s="61"/>
      <c r="KXC2465" s="54"/>
      <c r="KXD2465" s="54"/>
      <c r="KXE2465" s="60"/>
      <c r="KXF2465" s="60"/>
      <c r="KXG2465" s="60"/>
      <c r="KXH2465" s="60"/>
      <c r="KXI2465" s="63"/>
      <c r="KXJ2465" s="61"/>
      <c r="KXK2465" s="54"/>
      <c r="KXL2465" s="54"/>
      <c r="KXM2465" s="60"/>
      <c r="KXN2465" s="60"/>
      <c r="KXO2465" s="60"/>
      <c r="KXP2465" s="60"/>
      <c r="KXQ2465" s="63"/>
      <c r="KXR2465" s="61"/>
      <c r="KXS2465" s="54"/>
      <c r="KXT2465" s="54"/>
      <c r="KXU2465" s="60"/>
      <c r="KXV2465" s="60"/>
      <c r="KXW2465" s="60"/>
      <c r="KXX2465" s="60"/>
      <c r="KXY2465" s="63"/>
      <c r="KXZ2465" s="61"/>
      <c r="KYA2465" s="54"/>
      <c r="KYB2465" s="54"/>
      <c r="KYC2465" s="60"/>
      <c r="KYD2465" s="60"/>
      <c r="KYE2465" s="60"/>
      <c r="KYF2465" s="60"/>
      <c r="KYG2465" s="63"/>
      <c r="KYH2465" s="61"/>
      <c r="KYI2465" s="54"/>
      <c r="KYJ2465" s="54"/>
      <c r="KYK2465" s="60"/>
      <c r="KYL2465" s="60"/>
      <c r="KYM2465" s="60"/>
      <c r="KYN2465" s="60"/>
      <c r="KYO2465" s="63"/>
      <c r="KYP2465" s="61"/>
      <c r="KYQ2465" s="54"/>
      <c r="KYR2465" s="54"/>
      <c r="KYS2465" s="60"/>
      <c r="KYT2465" s="60"/>
      <c r="KYU2465" s="60"/>
      <c r="KYV2465" s="60"/>
      <c r="KYW2465" s="63"/>
      <c r="KYX2465" s="61"/>
      <c r="KYY2465" s="54"/>
      <c r="KYZ2465" s="54"/>
      <c r="KZA2465" s="60"/>
      <c r="KZB2465" s="60"/>
      <c r="KZC2465" s="60"/>
      <c r="KZD2465" s="60"/>
      <c r="KZE2465" s="63"/>
      <c r="KZF2465" s="61"/>
      <c r="KZG2465" s="54"/>
      <c r="KZH2465" s="54"/>
      <c r="KZI2465" s="60"/>
      <c r="KZJ2465" s="60"/>
      <c r="KZK2465" s="60"/>
      <c r="KZL2465" s="60"/>
      <c r="KZM2465" s="63"/>
      <c r="KZN2465" s="61"/>
      <c r="KZO2465" s="54"/>
      <c r="KZP2465" s="54"/>
      <c r="KZQ2465" s="60"/>
      <c r="KZR2465" s="60"/>
      <c r="KZS2465" s="60"/>
      <c r="KZT2465" s="60"/>
      <c r="KZU2465" s="63"/>
      <c r="KZV2465" s="61"/>
      <c r="KZW2465" s="54"/>
      <c r="KZX2465" s="54"/>
      <c r="KZY2465" s="60"/>
      <c r="KZZ2465" s="60"/>
      <c r="LAA2465" s="60"/>
      <c r="LAB2465" s="60"/>
      <c r="LAC2465" s="63"/>
      <c r="LAD2465" s="61"/>
      <c r="LAE2465" s="54"/>
      <c r="LAF2465" s="54"/>
      <c r="LAG2465" s="60"/>
      <c r="LAH2465" s="60"/>
      <c r="LAI2465" s="60"/>
      <c r="LAJ2465" s="60"/>
      <c r="LAK2465" s="63"/>
      <c r="LAL2465" s="61"/>
      <c r="LAM2465" s="54"/>
      <c r="LAN2465" s="54"/>
      <c r="LAO2465" s="60"/>
      <c r="LAP2465" s="60"/>
      <c r="LAQ2465" s="60"/>
      <c r="LAR2465" s="60"/>
      <c r="LAS2465" s="63"/>
      <c r="LAT2465" s="61"/>
      <c r="LAU2465" s="54"/>
      <c r="LAV2465" s="54"/>
      <c r="LAW2465" s="60"/>
      <c r="LAX2465" s="60"/>
      <c r="LAY2465" s="60"/>
      <c r="LAZ2465" s="60"/>
      <c r="LBA2465" s="63"/>
      <c r="LBB2465" s="61"/>
      <c r="LBC2465" s="54"/>
      <c r="LBD2465" s="54"/>
      <c r="LBE2465" s="60"/>
      <c r="LBF2465" s="60"/>
      <c r="LBG2465" s="60"/>
      <c r="LBH2465" s="60"/>
      <c r="LBI2465" s="63"/>
      <c r="LBJ2465" s="61"/>
      <c r="LBK2465" s="54"/>
      <c r="LBL2465" s="54"/>
      <c r="LBM2465" s="60"/>
      <c r="LBN2465" s="60"/>
      <c r="LBO2465" s="60"/>
      <c r="LBP2465" s="60"/>
      <c r="LBQ2465" s="63"/>
      <c r="LBR2465" s="61"/>
      <c r="LBS2465" s="54"/>
      <c r="LBT2465" s="54"/>
      <c r="LBU2465" s="60"/>
      <c r="LBV2465" s="60"/>
      <c r="LBW2465" s="60"/>
      <c r="LBX2465" s="60"/>
      <c r="LBY2465" s="63"/>
      <c r="LBZ2465" s="61"/>
      <c r="LCA2465" s="54"/>
      <c r="LCB2465" s="54"/>
      <c r="LCC2465" s="60"/>
      <c r="LCD2465" s="60"/>
      <c r="LCE2465" s="60"/>
      <c r="LCF2465" s="60"/>
      <c r="LCG2465" s="63"/>
      <c r="LCH2465" s="61"/>
      <c r="LCI2465" s="54"/>
      <c r="LCJ2465" s="54"/>
      <c r="LCK2465" s="60"/>
      <c r="LCL2465" s="60"/>
      <c r="LCM2465" s="60"/>
      <c r="LCN2465" s="60"/>
      <c r="LCO2465" s="63"/>
      <c r="LCP2465" s="61"/>
      <c r="LCQ2465" s="54"/>
      <c r="LCR2465" s="54"/>
      <c r="LCS2465" s="60"/>
      <c r="LCT2465" s="60"/>
      <c r="LCU2465" s="60"/>
      <c r="LCV2465" s="60"/>
      <c r="LCW2465" s="63"/>
      <c r="LCX2465" s="61"/>
      <c r="LCY2465" s="54"/>
      <c r="LCZ2465" s="54"/>
      <c r="LDA2465" s="60"/>
      <c r="LDB2465" s="60"/>
      <c r="LDC2465" s="60"/>
      <c r="LDD2465" s="60"/>
      <c r="LDE2465" s="63"/>
      <c r="LDF2465" s="61"/>
      <c r="LDG2465" s="54"/>
      <c r="LDH2465" s="54"/>
      <c r="LDI2465" s="60"/>
      <c r="LDJ2465" s="60"/>
      <c r="LDK2465" s="60"/>
      <c r="LDL2465" s="60"/>
      <c r="LDM2465" s="63"/>
      <c r="LDN2465" s="61"/>
      <c r="LDO2465" s="54"/>
      <c r="LDP2465" s="54"/>
      <c r="LDQ2465" s="60"/>
      <c r="LDR2465" s="60"/>
      <c r="LDS2465" s="60"/>
      <c r="LDT2465" s="60"/>
      <c r="LDU2465" s="63"/>
      <c r="LDV2465" s="61"/>
      <c r="LDW2465" s="54"/>
      <c r="LDX2465" s="54"/>
      <c r="LDY2465" s="60"/>
      <c r="LDZ2465" s="60"/>
      <c r="LEA2465" s="60"/>
      <c r="LEB2465" s="60"/>
      <c r="LEC2465" s="63"/>
      <c r="LED2465" s="61"/>
      <c r="LEE2465" s="54"/>
      <c r="LEF2465" s="54"/>
      <c r="LEG2465" s="60"/>
      <c r="LEH2465" s="60"/>
      <c r="LEI2465" s="60"/>
      <c r="LEJ2465" s="60"/>
      <c r="LEK2465" s="63"/>
      <c r="LEL2465" s="61"/>
      <c r="LEM2465" s="54"/>
      <c r="LEN2465" s="54"/>
      <c r="LEO2465" s="60"/>
      <c r="LEP2465" s="60"/>
      <c r="LEQ2465" s="60"/>
      <c r="LER2465" s="60"/>
      <c r="LES2465" s="63"/>
      <c r="LET2465" s="61"/>
      <c r="LEU2465" s="54"/>
      <c r="LEV2465" s="54"/>
      <c r="LEW2465" s="60"/>
      <c r="LEX2465" s="60"/>
      <c r="LEY2465" s="60"/>
      <c r="LEZ2465" s="60"/>
      <c r="LFA2465" s="63"/>
      <c r="LFB2465" s="61"/>
      <c r="LFC2465" s="54"/>
      <c r="LFD2465" s="54"/>
      <c r="LFE2465" s="60"/>
      <c r="LFF2465" s="60"/>
      <c r="LFG2465" s="60"/>
      <c r="LFH2465" s="60"/>
      <c r="LFI2465" s="63"/>
      <c r="LFJ2465" s="61"/>
      <c r="LFK2465" s="54"/>
      <c r="LFL2465" s="54"/>
      <c r="LFM2465" s="60"/>
      <c r="LFN2465" s="60"/>
      <c r="LFO2465" s="60"/>
      <c r="LFP2465" s="60"/>
      <c r="LFQ2465" s="63"/>
      <c r="LFR2465" s="61"/>
      <c r="LFS2465" s="54"/>
      <c r="LFT2465" s="54"/>
      <c r="LFU2465" s="60"/>
      <c r="LFV2465" s="60"/>
      <c r="LFW2465" s="60"/>
      <c r="LFX2465" s="60"/>
      <c r="LFY2465" s="63"/>
      <c r="LFZ2465" s="61"/>
      <c r="LGA2465" s="54"/>
      <c r="LGB2465" s="54"/>
      <c r="LGC2465" s="60"/>
      <c r="LGD2465" s="60"/>
      <c r="LGE2465" s="60"/>
      <c r="LGF2465" s="60"/>
      <c r="LGG2465" s="63"/>
      <c r="LGH2465" s="61"/>
      <c r="LGI2465" s="54"/>
      <c r="LGJ2465" s="54"/>
      <c r="LGK2465" s="60"/>
      <c r="LGL2465" s="60"/>
      <c r="LGM2465" s="60"/>
      <c r="LGN2465" s="60"/>
      <c r="LGO2465" s="63"/>
      <c r="LGP2465" s="61"/>
      <c r="LGQ2465" s="54"/>
      <c r="LGR2465" s="54"/>
      <c r="LGS2465" s="60"/>
      <c r="LGT2465" s="60"/>
      <c r="LGU2465" s="60"/>
      <c r="LGV2465" s="60"/>
      <c r="LGW2465" s="63"/>
      <c r="LGX2465" s="61"/>
      <c r="LGY2465" s="54"/>
      <c r="LGZ2465" s="54"/>
      <c r="LHA2465" s="60"/>
      <c r="LHB2465" s="60"/>
      <c r="LHC2465" s="60"/>
      <c r="LHD2465" s="60"/>
      <c r="LHE2465" s="63"/>
      <c r="LHF2465" s="61"/>
      <c r="LHG2465" s="54"/>
      <c r="LHH2465" s="54"/>
      <c r="LHI2465" s="60"/>
      <c r="LHJ2465" s="60"/>
      <c r="LHK2465" s="60"/>
      <c r="LHL2465" s="60"/>
      <c r="LHM2465" s="63"/>
      <c r="LHN2465" s="61"/>
      <c r="LHO2465" s="54"/>
      <c r="LHP2465" s="54"/>
      <c r="LHQ2465" s="60"/>
      <c r="LHR2465" s="60"/>
      <c r="LHS2465" s="60"/>
      <c r="LHT2465" s="60"/>
      <c r="LHU2465" s="63"/>
      <c r="LHV2465" s="61"/>
      <c r="LHW2465" s="54"/>
      <c r="LHX2465" s="54"/>
      <c r="LHY2465" s="60"/>
      <c r="LHZ2465" s="60"/>
      <c r="LIA2465" s="60"/>
      <c r="LIB2465" s="60"/>
      <c r="LIC2465" s="63"/>
      <c r="LID2465" s="61"/>
      <c r="LIE2465" s="54"/>
      <c r="LIF2465" s="54"/>
      <c r="LIG2465" s="60"/>
      <c r="LIH2465" s="60"/>
      <c r="LII2465" s="60"/>
      <c r="LIJ2465" s="60"/>
      <c r="LIK2465" s="63"/>
      <c r="LIL2465" s="61"/>
      <c r="LIM2465" s="54"/>
      <c r="LIN2465" s="54"/>
      <c r="LIO2465" s="60"/>
      <c r="LIP2465" s="60"/>
      <c r="LIQ2465" s="60"/>
      <c r="LIR2465" s="60"/>
      <c r="LIS2465" s="63"/>
      <c r="LIT2465" s="61"/>
      <c r="LIU2465" s="54"/>
      <c r="LIV2465" s="54"/>
      <c r="LIW2465" s="60"/>
      <c r="LIX2465" s="60"/>
      <c r="LIY2465" s="60"/>
      <c r="LIZ2465" s="60"/>
      <c r="LJA2465" s="63"/>
      <c r="LJB2465" s="61"/>
      <c r="LJC2465" s="54"/>
      <c r="LJD2465" s="54"/>
      <c r="LJE2465" s="60"/>
      <c r="LJF2465" s="60"/>
      <c r="LJG2465" s="60"/>
      <c r="LJH2465" s="60"/>
      <c r="LJI2465" s="63"/>
      <c r="LJJ2465" s="61"/>
      <c r="LJK2465" s="54"/>
      <c r="LJL2465" s="54"/>
      <c r="LJM2465" s="60"/>
      <c r="LJN2465" s="60"/>
      <c r="LJO2465" s="60"/>
      <c r="LJP2465" s="60"/>
      <c r="LJQ2465" s="63"/>
      <c r="LJR2465" s="61"/>
      <c r="LJS2465" s="54"/>
      <c r="LJT2465" s="54"/>
      <c r="LJU2465" s="60"/>
      <c r="LJV2465" s="60"/>
      <c r="LJW2465" s="60"/>
      <c r="LJX2465" s="60"/>
      <c r="LJY2465" s="63"/>
      <c r="LJZ2465" s="61"/>
      <c r="LKA2465" s="54"/>
      <c r="LKB2465" s="54"/>
      <c r="LKC2465" s="60"/>
      <c r="LKD2465" s="60"/>
      <c r="LKE2465" s="60"/>
      <c r="LKF2465" s="60"/>
      <c r="LKG2465" s="63"/>
      <c r="LKH2465" s="61"/>
      <c r="LKI2465" s="54"/>
      <c r="LKJ2465" s="54"/>
      <c r="LKK2465" s="60"/>
      <c r="LKL2465" s="60"/>
      <c r="LKM2465" s="60"/>
      <c r="LKN2465" s="60"/>
      <c r="LKO2465" s="63"/>
      <c r="LKP2465" s="61"/>
      <c r="LKQ2465" s="54"/>
      <c r="LKR2465" s="54"/>
      <c r="LKS2465" s="60"/>
      <c r="LKT2465" s="60"/>
      <c r="LKU2465" s="60"/>
      <c r="LKV2465" s="60"/>
      <c r="LKW2465" s="63"/>
      <c r="LKX2465" s="61"/>
      <c r="LKY2465" s="54"/>
      <c r="LKZ2465" s="54"/>
      <c r="LLA2465" s="60"/>
      <c r="LLB2465" s="60"/>
      <c r="LLC2465" s="60"/>
      <c r="LLD2465" s="60"/>
      <c r="LLE2465" s="63"/>
      <c r="LLF2465" s="61"/>
      <c r="LLG2465" s="54"/>
      <c r="LLH2465" s="54"/>
      <c r="LLI2465" s="60"/>
      <c r="LLJ2465" s="60"/>
      <c r="LLK2465" s="60"/>
      <c r="LLL2465" s="60"/>
      <c r="LLM2465" s="63"/>
      <c r="LLN2465" s="61"/>
      <c r="LLO2465" s="54"/>
      <c r="LLP2465" s="54"/>
      <c r="LLQ2465" s="60"/>
      <c r="LLR2465" s="60"/>
      <c r="LLS2465" s="60"/>
      <c r="LLT2465" s="60"/>
      <c r="LLU2465" s="63"/>
      <c r="LLV2465" s="61"/>
      <c r="LLW2465" s="54"/>
      <c r="LLX2465" s="54"/>
      <c r="LLY2465" s="60"/>
      <c r="LLZ2465" s="60"/>
      <c r="LMA2465" s="60"/>
      <c r="LMB2465" s="60"/>
      <c r="LMC2465" s="63"/>
      <c r="LMD2465" s="61"/>
      <c r="LME2465" s="54"/>
      <c r="LMF2465" s="54"/>
      <c r="LMG2465" s="60"/>
      <c r="LMH2465" s="60"/>
      <c r="LMI2465" s="60"/>
      <c r="LMJ2465" s="60"/>
      <c r="LMK2465" s="63"/>
      <c r="LML2465" s="61"/>
      <c r="LMM2465" s="54"/>
      <c r="LMN2465" s="54"/>
      <c r="LMO2465" s="60"/>
      <c r="LMP2465" s="60"/>
      <c r="LMQ2465" s="60"/>
      <c r="LMR2465" s="60"/>
      <c r="LMS2465" s="63"/>
      <c r="LMT2465" s="61"/>
      <c r="LMU2465" s="54"/>
      <c r="LMV2465" s="54"/>
      <c r="LMW2465" s="60"/>
      <c r="LMX2465" s="60"/>
      <c r="LMY2465" s="60"/>
      <c r="LMZ2465" s="60"/>
      <c r="LNA2465" s="63"/>
      <c r="LNB2465" s="61"/>
      <c r="LNC2465" s="54"/>
      <c r="LND2465" s="54"/>
      <c r="LNE2465" s="60"/>
      <c r="LNF2465" s="60"/>
      <c r="LNG2465" s="60"/>
      <c r="LNH2465" s="60"/>
      <c r="LNI2465" s="63"/>
      <c r="LNJ2465" s="61"/>
      <c r="LNK2465" s="54"/>
      <c r="LNL2465" s="54"/>
      <c r="LNM2465" s="60"/>
      <c r="LNN2465" s="60"/>
      <c r="LNO2465" s="60"/>
      <c r="LNP2465" s="60"/>
      <c r="LNQ2465" s="63"/>
      <c r="LNR2465" s="61"/>
      <c r="LNS2465" s="54"/>
      <c r="LNT2465" s="54"/>
      <c r="LNU2465" s="60"/>
      <c r="LNV2465" s="60"/>
      <c r="LNW2465" s="60"/>
      <c r="LNX2465" s="60"/>
      <c r="LNY2465" s="63"/>
      <c r="LNZ2465" s="61"/>
      <c r="LOA2465" s="54"/>
      <c r="LOB2465" s="54"/>
      <c r="LOC2465" s="60"/>
      <c r="LOD2465" s="60"/>
      <c r="LOE2465" s="60"/>
      <c r="LOF2465" s="60"/>
      <c r="LOG2465" s="63"/>
      <c r="LOH2465" s="61"/>
      <c r="LOI2465" s="54"/>
      <c r="LOJ2465" s="54"/>
      <c r="LOK2465" s="60"/>
      <c r="LOL2465" s="60"/>
      <c r="LOM2465" s="60"/>
      <c r="LON2465" s="60"/>
      <c r="LOO2465" s="63"/>
      <c r="LOP2465" s="61"/>
      <c r="LOQ2465" s="54"/>
      <c r="LOR2465" s="54"/>
      <c r="LOS2465" s="60"/>
      <c r="LOT2465" s="60"/>
      <c r="LOU2465" s="60"/>
      <c r="LOV2465" s="60"/>
      <c r="LOW2465" s="63"/>
      <c r="LOX2465" s="61"/>
      <c r="LOY2465" s="54"/>
      <c r="LOZ2465" s="54"/>
      <c r="LPA2465" s="60"/>
      <c r="LPB2465" s="60"/>
      <c r="LPC2465" s="60"/>
      <c r="LPD2465" s="60"/>
      <c r="LPE2465" s="63"/>
      <c r="LPF2465" s="61"/>
      <c r="LPG2465" s="54"/>
      <c r="LPH2465" s="54"/>
      <c r="LPI2465" s="60"/>
      <c r="LPJ2465" s="60"/>
      <c r="LPK2465" s="60"/>
      <c r="LPL2465" s="60"/>
      <c r="LPM2465" s="63"/>
      <c r="LPN2465" s="61"/>
      <c r="LPO2465" s="54"/>
      <c r="LPP2465" s="54"/>
      <c r="LPQ2465" s="60"/>
      <c r="LPR2465" s="60"/>
      <c r="LPS2465" s="60"/>
      <c r="LPT2465" s="60"/>
      <c r="LPU2465" s="63"/>
      <c r="LPV2465" s="61"/>
      <c r="LPW2465" s="54"/>
      <c r="LPX2465" s="54"/>
      <c r="LPY2465" s="60"/>
      <c r="LPZ2465" s="60"/>
      <c r="LQA2465" s="60"/>
      <c r="LQB2465" s="60"/>
      <c r="LQC2465" s="63"/>
      <c r="LQD2465" s="61"/>
      <c r="LQE2465" s="54"/>
      <c r="LQF2465" s="54"/>
      <c r="LQG2465" s="60"/>
      <c r="LQH2465" s="60"/>
      <c r="LQI2465" s="60"/>
      <c r="LQJ2465" s="60"/>
      <c r="LQK2465" s="63"/>
      <c r="LQL2465" s="61"/>
      <c r="LQM2465" s="54"/>
      <c r="LQN2465" s="54"/>
      <c r="LQO2465" s="60"/>
      <c r="LQP2465" s="60"/>
      <c r="LQQ2465" s="60"/>
      <c r="LQR2465" s="60"/>
      <c r="LQS2465" s="63"/>
      <c r="LQT2465" s="61"/>
      <c r="LQU2465" s="54"/>
      <c r="LQV2465" s="54"/>
      <c r="LQW2465" s="60"/>
      <c r="LQX2465" s="60"/>
      <c r="LQY2465" s="60"/>
      <c r="LQZ2465" s="60"/>
      <c r="LRA2465" s="63"/>
      <c r="LRB2465" s="61"/>
      <c r="LRC2465" s="54"/>
      <c r="LRD2465" s="54"/>
      <c r="LRE2465" s="60"/>
      <c r="LRF2465" s="60"/>
      <c r="LRG2465" s="60"/>
      <c r="LRH2465" s="60"/>
      <c r="LRI2465" s="63"/>
      <c r="LRJ2465" s="61"/>
      <c r="LRK2465" s="54"/>
      <c r="LRL2465" s="54"/>
      <c r="LRM2465" s="60"/>
      <c r="LRN2465" s="60"/>
      <c r="LRO2465" s="60"/>
      <c r="LRP2465" s="60"/>
      <c r="LRQ2465" s="63"/>
      <c r="LRR2465" s="61"/>
      <c r="LRS2465" s="54"/>
      <c r="LRT2465" s="54"/>
      <c r="LRU2465" s="60"/>
      <c r="LRV2465" s="60"/>
      <c r="LRW2465" s="60"/>
      <c r="LRX2465" s="60"/>
      <c r="LRY2465" s="63"/>
      <c r="LRZ2465" s="61"/>
      <c r="LSA2465" s="54"/>
      <c r="LSB2465" s="54"/>
      <c r="LSC2465" s="60"/>
      <c r="LSD2465" s="60"/>
      <c r="LSE2465" s="60"/>
      <c r="LSF2465" s="60"/>
      <c r="LSG2465" s="63"/>
      <c r="LSH2465" s="61"/>
      <c r="LSI2465" s="54"/>
      <c r="LSJ2465" s="54"/>
      <c r="LSK2465" s="60"/>
      <c r="LSL2465" s="60"/>
      <c r="LSM2465" s="60"/>
      <c r="LSN2465" s="60"/>
      <c r="LSO2465" s="63"/>
      <c r="LSP2465" s="61"/>
      <c r="LSQ2465" s="54"/>
      <c r="LSR2465" s="54"/>
      <c r="LSS2465" s="60"/>
      <c r="LST2465" s="60"/>
      <c r="LSU2465" s="60"/>
      <c r="LSV2465" s="60"/>
      <c r="LSW2465" s="63"/>
      <c r="LSX2465" s="61"/>
      <c r="LSY2465" s="54"/>
      <c r="LSZ2465" s="54"/>
      <c r="LTA2465" s="60"/>
      <c r="LTB2465" s="60"/>
      <c r="LTC2465" s="60"/>
      <c r="LTD2465" s="60"/>
      <c r="LTE2465" s="63"/>
      <c r="LTF2465" s="61"/>
      <c r="LTG2465" s="54"/>
      <c r="LTH2465" s="54"/>
      <c r="LTI2465" s="60"/>
      <c r="LTJ2465" s="60"/>
      <c r="LTK2465" s="60"/>
      <c r="LTL2465" s="60"/>
      <c r="LTM2465" s="63"/>
      <c r="LTN2465" s="61"/>
      <c r="LTO2465" s="54"/>
      <c r="LTP2465" s="54"/>
      <c r="LTQ2465" s="60"/>
      <c r="LTR2465" s="60"/>
      <c r="LTS2465" s="60"/>
      <c r="LTT2465" s="60"/>
      <c r="LTU2465" s="63"/>
      <c r="LTV2465" s="61"/>
      <c r="LTW2465" s="54"/>
      <c r="LTX2465" s="54"/>
      <c r="LTY2465" s="60"/>
      <c r="LTZ2465" s="60"/>
      <c r="LUA2465" s="60"/>
      <c r="LUB2465" s="60"/>
      <c r="LUC2465" s="63"/>
      <c r="LUD2465" s="61"/>
      <c r="LUE2465" s="54"/>
      <c r="LUF2465" s="54"/>
      <c r="LUG2465" s="60"/>
      <c r="LUH2465" s="60"/>
      <c r="LUI2465" s="60"/>
      <c r="LUJ2465" s="60"/>
      <c r="LUK2465" s="63"/>
      <c r="LUL2465" s="61"/>
      <c r="LUM2465" s="54"/>
      <c r="LUN2465" s="54"/>
      <c r="LUO2465" s="60"/>
      <c r="LUP2465" s="60"/>
      <c r="LUQ2465" s="60"/>
      <c r="LUR2465" s="60"/>
      <c r="LUS2465" s="63"/>
      <c r="LUT2465" s="61"/>
      <c r="LUU2465" s="54"/>
      <c r="LUV2465" s="54"/>
      <c r="LUW2465" s="60"/>
      <c r="LUX2465" s="60"/>
      <c r="LUY2465" s="60"/>
      <c r="LUZ2465" s="60"/>
      <c r="LVA2465" s="63"/>
      <c r="LVB2465" s="61"/>
      <c r="LVC2465" s="54"/>
      <c r="LVD2465" s="54"/>
      <c r="LVE2465" s="60"/>
      <c r="LVF2465" s="60"/>
      <c r="LVG2465" s="60"/>
      <c r="LVH2465" s="60"/>
      <c r="LVI2465" s="63"/>
      <c r="LVJ2465" s="61"/>
      <c r="LVK2465" s="54"/>
      <c r="LVL2465" s="54"/>
      <c r="LVM2465" s="60"/>
      <c r="LVN2465" s="60"/>
      <c r="LVO2465" s="60"/>
      <c r="LVP2465" s="60"/>
      <c r="LVQ2465" s="63"/>
      <c r="LVR2465" s="61"/>
      <c r="LVS2465" s="54"/>
      <c r="LVT2465" s="54"/>
      <c r="LVU2465" s="60"/>
      <c r="LVV2465" s="60"/>
      <c r="LVW2465" s="60"/>
      <c r="LVX2465" s="60"/>
      <c r="LVY2465" s="63"/>
      <c r="LVZ2465" s="61"/>
      <c r="LWA2465" s="54"/>
      <c r="LWB2465" s="54"/>
      <c r="LWC2465" s="60"/>
      <c r="LWD2465" s="60"/>
      <c r="LWE2465" s="60"/>
      <c r="LWF2465" s="60"/>
      <c r="LWG2465" s="63"/>
      <c r="LWH2465" s="61"/>
      <c r="LWI2465" s="54"/>
      <c r="LWJ2465" s="54"/>
      <c r="LWK2465" s="60"/>
      <c r="LWL2465" s="60"/>
      <c r="LWM2465" s="60"/>
      <c r="LWN2465" s="60"/>
      <c r="LWO2465" s="63"/>
      <c r="LWP2465" s="61"/>
      <c r="LWQ2465" s="54"/>
      <c r="LWR2465" s="54"/>
      <c r="LWS2465" s="60"/>
      <c r="LWT2465" s="60"/>
      <c r="LWU2465" s="60"/>
      <c r="LWV2465" s="60"/>
      <c r="LWW2465" s="63"/>
      <c r="LWX2465" s="61"/>
      <c r="LWY2465" s="54"/>
      <c r="LWZ2465" s="54"/>
      <c r="LXA2465" s="60"/>
      <c r="LXB2465" s="60"/>
      <c r="LXC2465" s="60"/>
      <c r="LXD2465" s="60"/>
      <c r="LXE2465" s="63"/>
      <c r="LXF2465" s="61"/>
      <c r="LXG2465" s="54"/>
      <c r="LXH2465" s="54"/>
      <c r="LXI2465" s="60"/>
      <c r="LXJ2465" s="60"/>
      <c r="LXK2465" s="60"/>
      <c r="LXL2465" s="60"/>
      <c r="LXM2465" s="63"/>
      <c r="LXN2465" s="61"/>
      <c r="LXO2465" s="54"/>
      <c r="LXP2465" s="54"/>
      <c r="LXQ2465" s="60"/>
      <c r="LXR2465" s="60"/>
      <c r="LXS2465" s="60"/>
      <c r="LXT2465" s="60"/>
      <c r="LXU2465" s="63"/>
      <c r="LXV2465" s="61"/>
      <c r="LXW2465" s="54"/>
      <c r="LXX2465" s="54"/>
      <c r="LXY2465" s="60"/>
      <c r="LXZ2465" s="60"/>
      <c r="LYA2465" s="60"/>
      <c r="LYB2465" s="60"/>
      <c r="LYC2465" s="63"/>
      <c r="LYD2465" s="61"/>
      <c r="LYE2465" s="54"/>
      <c r="LYF2465" s="54"/>
      <c r="LYG2465" s="60"/>
      <c r="LYH2465" s="60"/>
      <c r="LYI2465" s="60"/>
      <c r="LYJ2465" s="60"/>
      <c r="LYK2465" s="63"/>
      <c r="LYL2465" s="61"/>
      <c r="LYM2465" s="54"/>
      <c r="LYN2465" s="54"/>
      <c r="LYO2465" s="60"/>
      <c r="LYP2465" s="60"/>
      <c r="LYQ2465" s="60"/>
      <c r="LYR2465" s="60"/>
      <c r="LYS2465" s="63"/>
      <c r="LYT2465" s="61"/>
      <c r="LYU2465" s="54"/>
      <c r="LYV2465" s="54"/>
      <c r="LYW2465" s="60"/>
      <c r="LYX2465" s="60"/>
      <c r="LYY2465" s="60"/>
      <c r="LYZ2465" s="60"/>
      <c r="LZA2465" s="63"/>
      <c r="LZB2465" s="61"/>
      <c r="LZC2465" s="54"/>
      <c r="LZD2465" s="54"/>
      <c r="LZE2465" s="60"/>
      <c r="LZF2465" s="60"/>
      <c r="LZG2465" s="60"/>
      <c r="LZH2465" s="60"/>
      <c r="LZI2465" s="63"/>
      <c r="LZJ2465" s="61"/>
      <c r="LZK2465" s="54"/>
      <c r="LZL2465" s="54"/>
      <c r="LZM2465" s="60"/>
      <c r="LZN2465" s="60"/>
      <c r="LZO2465" s="60"/>
      <c r="LZP2465" s="60"/>
      <c r="LZQ2465" s="63"/>
      <c r="LZR2465" s="61"/>
      <c r="LZS2465" s="54"/>
      <c r="LZT2465" s="54"/>
      <c r="LZU2465" s="60"/>
      <c r="LZV2465" s="60"/>
      <c r="LZW2465" s="60"/>
      <c r="LZX2465" s="60"/>
      <c r="LZY2465" s="63"/>
      <c r="LZZ2465" s="61"/>
      <c r="MAA2465" s="54"/>
      <c r="MAB2465" s="54"/>
      <c r="MAC2465" s="60"/>
      <c r="MAD2465" s="60"/>
      <c r="MAE2465" s="60"/>
      <c r="MAF2465" s="60"/>
      <c r="MAG2465" s="63"/>
      <c r="MAH2465" s="61"/>
      <c r="MAI2465" s="54"/>
      <c r="MAJ2465" s="54"/>
      <c r="MAK2465" s="60"/>
      <c r="MAL2465" s="60"/>
      <c r="MAM2465" s="60"/>
      <c r="MAN2465" s="60"/>
      <c r="MAO2465" s="63"/>
      <c r="MAP2465" s="61"/>
      <c r="MAQ2465" s="54"/>
      <c r="MAR2465" s="54"/>
      <c r="MAS2465" s="60"/>
      <c r="MAT2465" s="60"/>
      <c r="MAU2465" s="60"/>
      <c r="MAV2465" s="60"/>
      <c r="MAW2465" s="63"/>
      <c r="MAX2465" s="61"/>
      <c r="MAY2465" s="54"/>
      <c r="MAZ2465" s="54"/>
      <c r="MBA2465" s="60"/>
      <c r="MBB2465" s="60"/>
      <c r="MBC2465" s="60"/>
      <c r="MBD2465" s="60"/>
      <c r="MBE2465" s="63"/>
      <c r="MBF2465" s="61"/>
      <c r="MBG2465" s="54"/>
      <c r="MBH2465" s="54"/>
      <c r="MBI2465" s="60"/>
      <c r="MBJ2465" s="60"/>
      <c r="MBK2465" s="60"/>
      <c r="MBL2465" s="60"/>
      <c r="MBM2465" s="63"/>
      <c r="MBN2465" s="61"/>
      <c r="MBO2465" s="54"/>
      <c r="MBP2465" s="54"/>
      <c r="MBQ2465" s="60"/>
      <c r="MBR2465" s="60"/>
      <c r="MBS2465" s="60"/>
      <c r="MBT2465" s="60"/>
      <c r="MBU2465" s="63"/>
      <c r="MBV2465" s="61"/>
      <c r="MBW2465" s="54"/>
      <c r="MBX2465" s="54"/>
      <c r="MBY2465" s="60"/>
      <c r="MBZ2465" s="60"/>
      <c r="MCA2465" s="60"/>
      <c r="MCB2465" s="60"/>
      <c r="MCC2465" s="63"/>
      <c r="MCD2465" s="61"/>
      <c r="MCE2465" s="54"/>
      <c r="MCF2465" s="54"/>
      <c r="MCG2465" s="60"/>
      <c r="MCH2465" s="60"/>
      <c r="MCI2465" s="60"/>
      <c r="MCJ2465" s="60"/>
      <c r="MCK2465" s="63"/>
      <c r="MCL2465" s="61"/>
      <c r="MCM2465" s="54"/>
      <c r="MCN2465" s="54"/>
      <c r="MCO2465" s="60"/>
      <c r="MCP2465" s="60"/>
      <c r="MCQ2465" s="60"/>
      <c r="MCR2465" s="60"/>
      <c r="MCS2465" s="63"/>
      <c r="MCT2465" s="61"/>
      <c r="MCU2465" s="54"/>
      <c r="MCV2465" s="54"/>
      <c r="MCW2465" s="60"/>
      <c r="MCX2465" s="60"/>
      <c r="MCY2465" s="60"/>
      <c r="MCZ2465" s="60"/>
      <c r="MDA2465" s="63"/>
      <c r="MDB2465" s="61"/>
      <c r="MDC2465" s="54"/>
      <c r="MDD2465" s="54"/>
      <c r="MDE2465" s="60"/>
      <c r="MDF2465" s="60"/>
      <c r="MDG2465" s="60"/>
      <c r="MDH2465" s="60"/>
      <c r="MDI2465" s="63"/>
      <c r="MDJ2465" s="61"/>
      <c r="MDK2465" s="54"/>
      <c r="MDL2465" s="54"/>
      <c r="MDM2465" s="60"/>
      <c r="MDN2465" s="60"/>
      <c r="MDO2465" s="60"/>
      <c r="MDP2465" s="60"/>
      <c r="MDQ2465" s="63"/>
      <c r="MDR2465" s="61"/>
      <c r="MDS2465" s="54"/>
      <c r="MDT2465" s="54"/>
      <c r="MDU2465" s="60"/>
      <c r="MDV2465" s="60"/>
      <c r="MDW2465" s="60"/>
      <c r="MDX2465" s="60"/>
      <c r="MDY2465" s="63"/>
      <c r="MDZ2465" s="61"/>
      <c r="MEA2465" s="54"/>
      <c r="MEB2465" s="54"/>
      <c r="MEC2465" s="60"/>
      <c r="MED2465" s="60"/>
      <c r="MEE2465" s="60"/>
      <c r="MEF2465" s="60"/>
      <c r="MEG2465" s="63"/>
      <c r="MEH2465" s="61"/>
      <c r="MEI2465" s="54"/>
      <c r="MEJ2465" s="54"/>
      <c r="MEK2465" s="60"/>
      <c r="MEL2465" s="60"/>
      <c r="MEM2465" s="60"/>
      <c r="MEN2465" s="60"/>
      <c r="MEO2465" s="63"/>
      <c r="MEP2465" s="61"/>
      <c r="MEQ2465" s="54"/>
      <c r="MER2465" s="54"/>
      <c r="MES2465" s="60"/>
      <c r="MET2465" s="60"/>
      <c r="MEU2465" s="60"/>
      <c r="MEV2465" s="60"/>
      <c r="MEW2465" s="63"/>
      <c r="MEX2465" s="61"/>
      <c r="MEY2465" s="54"/>
      <c r="MEZ2465" s="54"/>
      <c r="MFA2465" s="60"/>
      <c r="MFB2465" s="60"/>
      <c r="MFC2465" s="60"/>
      <c r="MFD2465" s="60"/>
      <c r="MFE2465" s="63"/>
      <c r="MFF2465" s="61"/>
      <c r="MFG2465" s="54"/>
      <c r="MFH2465" s="54"/>
      <c r="MFI2465" s="60"/>
      <c r="MFJ2465" s="60"/>
      <c r="MFK2465" s="60"/>
      <c r="MFL2465" s="60"/>
      <c r="MFM2465" s="63"/>
      <c r="MFN2465" s="61"/>
      <c r="MFO2465" s="54"/>
      <c r="MFP2465" s="54"/>
      <c r="MFQ2465" s="60"/>
      <c r="MFR2465" s="60"/>
      <c r="MFS2465" s="60"/>
      <c r="MFT2465" s="60"/>
      <c r="MFU2465" s="63"/>
      <c r="MFV2465" s="61"/>
      <c r="MFW2465" s="54"/>
      <c r="MFX2465" s="54"/>
      <c r="MFY2465" s="60"/>
      <c r="MFZ2465" s="60"/>
      <c r="MGA2465" s="60"/>
      <c r="MGB2465" s="60"/>
      <c r="MGC2465" s="63"/>
      <c r="MGD2465" s="61"/>
      <c r="MGE2465" s="54"/>
      <c r="MGF2465" s="54"/>
      <c r="MGG2465" s="60"/>
      <c r="MGH2465" s="60"/>
      <c r="MGI2465" s="60"/>
      <c r="MGJ2465" s="60"/>
      <c r="MGK2465" s="63"/>
      <c r="MGL2465" s="61"/>
      <c r="MGM2465" s="54"/>
      <c r="MGN2465" s="54"/>
      <c r="MGO2465" s="60"/>
      <c r="MGP2465" s="60"/>
      <c r="MGQ2465" s="60"/>
      <c r="MGR2465" s="60"/>
      <c r="MGS2465" s="63"/>
      <c r="MGT2465" s="61"/>
      <c r="MGU2465" s="54"/>
      <c r="MGV2465" s="54"/>
      <c r="MGW2465" s="60"/>
      <c r="MGX2465" s="60"/>
      <c r="MGY2465" s="60"/>
      <c r="MGZ2465" s="60"/>
      <c r="MHA2465" s="63"/>
      <c r="MHB2465" s="61"/>
      <c r="MHC2465" s="54"/>
      <c r="MHD2465" s="54"/>
      <c r="MHE2465" s="60"/>
      <c r="MHF2465" s="60"/>
      <c r="MHG2465" s="60"/>
      <c r="MHH2465" s="60"/>
      <c r="MHI2465" s="63"/>
      <c r="MHJ2465" s="61"/>
      <c r="MHK2465" s="54"/>
      <c r="MHL2465" s="54"/>
      <c r="MHM2465" s="60"/>
      <c r="MHN2465" s="60"/>
      <c r="MHO2465" s="60"/>
      <c r="MHP2465" s="60"/>
      <c r="MHQ2465" s="63"/>
      <c r="MHR2465" s="61"/>
      <c r="MHS2465" s="54"/>
      <c r="MHT2465" s="54"/>
      <c r="MHU2465" s="60"/>
      <c r="MHV2465" s="60"/>
      <c r="MHW2465" s="60"/>
      <c r="MHX2465" s="60"/>
      <c r="MHY2465" s="63"/>
      <c r="MHZ2465" s="61"/>
      <c r="MIA2465" s="54"/>
      <c r="MIB2465" s="54"/>
      <c r="MIC2465" s="60"/>
      <c r="MID2465" s="60"/>
      <c r="MIE2465" s="60"/>
      <c r="MIF2465" s="60"/>
      <c r="MIG2465" s="63"/>
      <c r="MIH2465" s="61"/>
      <c r="MII2465" s="54"/>
      <c r="MIJ2465" s="54"/>
      <c r="MIK2465" s="60"/>
      <c r="MIL2465" s="60"/>
      <c r="MIM2465" s="60"/>
      <c r="MIN2465" s="60"/>
      <c r="MIO2465" s="63"/>
      <c r="MIP2465" s="61"/>
      <c r="MIQ2465" s="54"/>
      <c r="MIR2465" s="54"/>
      <c r="MIS2465" s="60"/>
      <c r="MIT2465" s="60"/>
      <c r="MIU2465" s="60"/>
      <c r="MIV2465" s="60"/>
      <c r="MIW2465" s="63"/>
      <c r="MIX2465" s="61"/>
      <c r="MIY2465" s="54"/>
      <c r="MIZ2465" s="54"/>
      <c r="MJA2465" s="60"/>
      <c r="MJB2465" s="60"/>
      <c r="MJC2465" s="60"/>
      <c r="MJD2465" s="60"/>
      <c r="MJE2465" s="63"/>
      <c r="MJF2465" s="61"/>
      <c r="MJG2465" s="54"/>
      <c r="MJH2465" s="54"/>
      <c r="MJI2465" s="60"/>
      <c r="MJJ2465" s="60"/>
      <c r="MJK2465" s="60"/>
      <c r="MJL2465" s="60"/>
      <c r="MJM2465" s="63"/>
      <c r="MJN2465" s="61"/>
      <c r="MJO2465" s="54"/>
      <c r="MJP2465" s="54"/>
      <c r="MJQ2465" s="60"/>
      <c r="MJR2465" s="60"/>
      <c r="MJS2465" s="60"/>
      <c r="MJT2465" s="60"/>
      <c r="MJU2465" s="63"/>
      <c r="MJV2465" s="61"/>
      <c r="MJW2465" s="54"/>
      <c r="MJX2465" s="54"/>
      <c r="MJY2465" s="60"/>
      <c r="MJZ2465" s="60"/>
      <c r="MKA2465" s="60"/>
      <c r="MKB2465" s="60"/>
      <c r="MKC2465" s="63"/>
      <c r="MKD2465" s="61"/>
      <c r="MKE2465" s="54"/>
      <c r="MKF2465" s="54"/>
      <c r="MKG2465" s="60"/>
      <c r="MKH2465" s="60"/>
      <c r="MKI2465" s="60"/>
      <c r="MKJ2465" s="60"/>
      <c r="MKK2465" s="63"/>
      <c r="MKL2465" s="61"/>
      <c r="MKM2465" s="54"/>
      <c r="MKN2465" s="54"/>
      <c r="MKO2465" s="60"/>
      <c r="MKP2465" s="60"/>
      <c r="MKQ2465" s="60"/>
      <c r="MKR2465" s="60"/>
      <c r="MKS2465" s="63"/>
      <c r="MKT2465" s="61"/>
      <c r="MKU2465" s="54"/>
      <c r="MKV2465" s="54"/>
      <c r="MKW2465" s="60"/>
      <c r="MKX2465" s="60"/>
      <c r="MKY2465" s="60"/>
      <c r="MKZ2465" s="60"/>
      <c r="MLA2465" s="63"/>
      <c r="MLB2465" s="61"/>
      <c r="MLC2465" s="54"/>
      <c r="MLD2465" s="54"/>
      <c r="MLE2465" s="60"/>
      <c r="MLF2465" s="60"/>
      <c r="MLG2465" s="60"/>
      <c r="MLH2465" s="60"/>
      <c r="MLI2465" s="63"/>
      <c r="MLJ2465" s="61"/>
      <c r="MLK2465" s="54"/>
      <c r="MLL2465" s="54"/>
      <c r="MLM2465" s="60"/>
      <c r="MLN2465" s="60"/>
      <c r="MLO2465" s="60"/>
      <c r="MLP2465" s="60"/>
      <c r="MLQ2465" s="63"/>
      <c r="MLR2465" s="61"/>
      <c r="MLS2465" s="54"/>
      <c r="MLT2465" s="54"/>
      <c r="MLU2465" s="60"/>
      <c r="MLV2465" s="60"/>
      <c r="MLW2465" s="60"/>
      <c r="MLX2465" s="60"/>
      <c r="MLY2465" s="63"/>
      <c r="MLZ2465" s="61"/>
      <c r="MMA2465" s="54"/>
      <c r="MMB2465" s="54"/>
      <c r="MMC2465" s="60"/>
      <c r="MMD2465" s="60"/>
      <c r="MME2465" s="60"/>
      <c r="MMF2465" s="60"/>
      <c r="MMG2465" s="63"/>
      <c r="MMH2465" s="61"/>
      <c r="MMI2465" s="54"/>
      <c r="MMJ2465" s="54"/>
      <c r="MMK2465" s="60"/>
      <c r="MML2465" s="60"/>
      <c r="MMM2465" s="60"/>
      <c r="MMN2465" s="60"/>
      <c r="MMO2465" s="63"/>
      <c r="MMP2465" s="61"/>
      <c r="MMQ2465" s="54"/>
      <c r="MMR2465" s="54"/>
      <c r="MMS2465" s="60"/>
      <c r="MMT2465" s="60"/>
      <c r="MMU2465" s="60"/>
      <c r="MMV2465" s="60"/>
      <c r="MMW2465" s="63"/>
      <c r="MMX2465" s="61"/>
      <c r="MMY2465" s="54"/>
      <c r="MMZ2465" s="54"/>
      <c r="MNA2465" s="60"/>
      <c r="MNB2465" s="60"/>
      <c r="MNC2465" s="60"/>
      <c r="MND2465" s="60"/>
      <c r="MNE2465" s="63"/>
      <c r="MNF2465" s="61"/>
      <c r="MNG2465" s="54"/>
      <c r="MNH2465" s="54"/>
      <c r="MNI2465" s="60"/>
      <c r="MNJ2465" s="60"/>
      <c r="MNK2465" s="60"/>
      <c r="MNL2465" s="60"/>
      <c r="MNM2465" s="63"/>
      <c r="MNN2465" s="61"/>
      <c r="MNO2465" s="54"/>
      <c r="MNP2465" s="54"/>
      <c r="MNQ2465" s="60"/>
      <c r="MNR2465" s="60"/>
      <c r="MNS2465" s="60"/>
      <c r="MNT2465" s="60"/>
      <c r="MNU2465" s="63"/>
      <c r="MNV2465" s="61"/>
      <c r="MNW2465" s="54"/>
      <c r="MNX2465" s="54"/>
      <c r="MNY2465" s="60"/>
      <c r="MNZ2465" s="60"/>
      <c r="MOA2465" s="60"/>
      <c r="MOB2465" s="60"/>
      <c r="MOC2465" s="63"/>
      <c r="MOD2465" s="61"/>
      <c r="MOE2465" s="54"/>
      <c r="MOF2465" s="54"/>
      <c r="MOG2465" s="60"/>
      <c r="MOH2465" s="60"/>
      <c r="MOI2465" s="60"/>
      <c r="MOJ2465" s="60"/>
      <c r="MOK2465" s="63"/>
      <c r="MOL2465" s="61"/>
      <c r="MOM2465" s="54"/>
      <c r="MON2465" s="54"/>
      <c r="MOO2465" s="60"/>
      <c r="MOP2465" s="60"/>
      <c r="MOQ2465" s="60"/>
      <c r="MOR2465" s="60"/>
      <c r="MOS2465" s="63"/>
      <c r="MOT2465" s="61"/>
      <c r="MOU2465" s="54"/>
      <c r="MOV2465" s="54"/>
      <c r="MOW2465" s="60"/>
      <c r="MOX2465" s="60"/>
      <c r="MOY2465" s="60"/>
      <c r="MOZ2465" s="60"/>
      <c r="MPA2465" s="63"/>
      <c r="MPB2465" s="61"/>
      <c r="MPC2465" s="54"/>
      <c r="MPD2465" s="54"/>
      <c r="MPE2465" s="60"/>
      <c r="MPF2465" s="60"/>
      <c r="MPG2465" s="60"/>
      <c r="MPH2465" s="60"/>
      <c r="MPI2465" s="63"/>
      <c r="MPJ2465" s="61"/>
      <c r="MPK2465" s="54"/>
      <c r="MPL2465" s="54"/>
      <c r="MPM2465" s="60"/>
      <c r="MPN2465" s="60"/>
      <c r="MPO2465" s="60"/>
      <c r="MPP2465" s="60"/>
      <c r="MPQ2465" s="63"/>
      <c r="MPR2465" s="61"/>
      <c r="MPS2465" s="54"/>
      <c r="MPT2465" s="54"/>
      <c r="MPU2465" s="60"/>
      <c r="MPV2465" s="60"/>
      <c r="MPW2465" s="60"/>
      <c r="MPX2465" s="60"/>
      <c r="MPY2465" s="63"/>
      <c r="MPZ2465" s="61"/>
      <c r="MQA2465" s="54"/>
      <c r="MQB2465" s="54"/>
      <c r="MQC2465" s="60"/>
      <c r="MQD2465" s="60"/>
      <c r="MQE2465" s="60"/>
      <c r="MQF2465" s="60"/>
      <c r="MQG2465" s="63"/>
      <c r="MQH2465" s="61"/>
      <c r="MQI2465" s="54"/>
      <c r="MQJ2465" s="54"/>
      <c r="MQK2465" s="60"/>
      <c r="MQL2465" s="60"/>
      <c r="MQM2465" s="60"/>
      <c r="MQN2465" s="60"/>
      <c r="MQO2465" s="63"/>
      <c r="MQP2465" s="61"/>
      <c r="MQQ2465" s="54"/>
      <c r="MQR2465" s="54"/>
      <c r="MQS2465" s="60"/>
      <c r="MQT2465" s="60"/>
      <c r="MQU2465" s="60"/>
      <c r="MQV2465" s="60"/>
      <c r="MQW2465" s="63"/>
      <c r="MQX2465" s="61"/>
      <c r="MQY2465" s="54"/>
      <c r="MQZ2465" s="54"/>
      <c r="MRA2465" s="60"/>
      <c r="MRB2465" s="60"/>
      <c r="MRC2465" s="60"/>
      <c r="MRD2465" s="60"/>
      <c r="MRE2465" s="63"/>
      <c r="MRF2465" s="61"/>
      <c r="MRG2465" s="54"/>
      <c r="MRH2465" s="54"/>
      <c r="MRI2465" s="60"/>
      <c r="MRJ2465" s="60"/>
      <c r="MRK2465" s="60"/>
      <c r="MRL2465" s="60"/>
      <c r="MRM2465" s="63"/>
      <c r="MRN2465" s="61"/>
      <c r="MRO2465" s="54"/>
      <c r="MRP2465" s="54"/>
      <c r="MRQ2465" s="60"/>
      <c r="MRR2465" s="60"/>
      <c r="MRS2465" s="60"/>
      <c r="MRT2465" s="60"/>
      <c r="MRU2465" s="63"/>
      <c r="MRV2465" s="61"/>
      <c r="MRW2465" s="54"/>
      <c r="MRX2465" s="54"/>
      <c r="MRY2465" s="60"/>
      <c r="MRZ2465" s="60"/>
      <c r="MSA2465" s="60"/>
      <c r="MSB2465" s="60"/>
      <c r="MSC2465" s="63"/>
      <c r="MSD2465" s="61"/>
      <c r="MSE2465" s="54"/>
      <c r="MSF2465" s="54"/>
      <c r="MSG2465" s="60"/>
      <c r="MSH2465" s="60"/>
      <c r="MSI2465" s="60"/>
      <c r="MSJ2465" s="60"/>
      <c r="MSK2465" s="63"/>
      <c r="MSL2465" s="61"/>
      <c r="MSM2465" s="54"/>
      <c r="MSN2465" s="54"/>
      <c r="MSO2465" s="60"/>
      <c r="MSP2465" s="60"/>
      <c r="MSQ2465" s="60"/>
      <c r="MSR2465" s="60"/>
      <c r="MSS2465" s="63"/>
      <c r="MST2465" s="61"/>
      <c r="MSU2465" s="54"/>
      <c r="MSV2465" s="54"/>
      <c r="MSW2465" s="60"/>
      <c r="MSX2465" s="60"/>
      <c r="MSY2465" s="60"/>
      <c r="MSZ2465" s="60"/>
      <c r="MTA2465" s="63"/>
      <c r="MTB2465" s="61"/>
      <c r="MTC2465" s="54"/>
      <c r="MTD2465" s="54"/>
      <c r="MTE2465" s="60"/>
      <c r="MTF2465" s="60"/>
      <c r="MTG2465" s="60"/>
      <c r="MTH2465" s="60"/>
      <c r="MTI2465" s="63"/>
      <c r="MTJ2465" s="61"/>
      <c r="MTK2465" s="54"/>
      <c r="MTL2465" s="54"/>
      <c r="MTM2465" s="60"/>
      <c r="MTN2465" s="60"/>
      <c r="MTO2465" s="60"/>
      <c r="MTP2465" s="60"/>
      <c r="MTQ2465" s="63"/>
      <c r="MTR2465" s="61"/>
      <c r="MTS2465" s="54"/>
      <c r="MTT2465" s="54"/>
      <c r="MTU2465" s="60"/>
      <c r="MTV2465" s="60"/>
      <c r="MTW2465" s="60"/>
      <c r="MTX2465" s="60"/>
      <c r="MTY2465" s="63"/>
      <c r="MTZ2465" s="61"/>
      <c r="MUA2465" s="54"/>
      <c r="MUB2465" s="54"/>
      <c r="MUC2465" s="60"/>
      <c r="MUD2465" s="60"/>
      <c r="MUE2465" s="60"/>
      <c r="MUF2465" s="60"/>
      <c r="MUG2465" s="63"/>
      <c r="MUH2465" s="61"/>
      <c r="MUI2465" s="54"/>
      <c r="MUJ2465" s="54"/>
      <c r="MUK2465" s="60"/>
      <c r="MUL2465" s="60"/>
      <c r="MUM2465" s="60"/>
      <c r="MUN2465" s="60"/>
      <c r="MUO2465" s="63"/>
      <c r="MUP2465" s="61"/>
      <c r="MUQ2465" s="54"/>
      <c r="MUR2465" s="54"/>
      <c r="MUS2465" s="60"/>
      <c r="MUT2465" s="60"/>
      <c r="MUU2465" s="60"/>
      <c r="MUV2465" s="60"/>
      <c r="MUW2465" s="63"/>
      <c r="MUX2465" s="61"/>
      <c r="MUY2465" s="54"/>
      <c r="MUZ2465" s="54"/>
      <c r="MVA2465" s="60"/>
      <c r="MVB2465" s="60"/>
      <c r="MVC2465" s="60"/>
      <c r="MVD2465" s="60"/>
      <c r="MVE2465" s="63"/>
      <c r="MVF2465" s="61"/>
      <c r="MVG2465" s="54"/>
      <c r="MVH2465" s="54"/>
      <c r="MVI2465" s="60"/>
      <c r="MVJ2465" s="60"/>
      <c r="MVK2465" s="60"/>
      <c r="MVL2465" s="60"/>
      <c r="MVM2465" s="63"/>
      <c r="MVN2465" s="61"/>
      <c r="MVO2465" s="54"/>
      <c r="MVP2465" s="54"/>
      <c r="MVQ2465" s="60"/>
      <c r="MVR2465" s="60"/>
      <c r="MVS2465" s="60"/>
      <c r="MVT2465" s="60"/>
      <c r="MVU2465" s="63"/>
      <c r="MVV2465" s="61"/>
      <c r="MVW2465" s="54"/>
      <c r="MVX2465" s="54"/>
      <c r="MVY2465" s="60"/>
      <c r="MVZ2465" s="60"/>
      <c r="MWA2465" s="60"/>
      <c r="MWB2465" s="60"/>
      <c r="MWC2465" s="63"/>
      <c r="MWD2465" s="61"/>
      <c r="MWE2465" s="54"/>
      <c r="MWF2465" s="54"/>
      <c r="MWG2465" s="60"/>
      <c r="MWH2465" s="60"/>
      <c r="MWI2465" s="60"/>
      <c r="MWJ2465" s="60"/>
      <c r="MWK2465" s="63"/>
      <c r="MWL2465" s="61"/>
      <c r="MWM2465" s="54"/>
      <c r="MWN2465" s="54"/>
      <c r="MWO2465" s="60"/>
      <c r="MWP2465" s="60"/>
      <c r="MWQ2465" s="60"/>
      <c r="MWR2465" s="60"/>
      <c r="MWS2465" s="63"/>
      <c r="MWT2465" s="61"/>
      <c r="MWU2465" s="54"/>
      <c r="MWV2465" s="54"/>
      <c r="MWW2465" s="60"/>
      <c r="MWX2465" s="60"/>
      <c r="MWY2465" s="60"/>
      <c r="MWZ2465" s="60"/>
      <c r="MXA2465" s="63"/>
      <c r="MXB2465" s="61"/>
      <c r="MXC2465" s="54"/>
      <c r="MXD2465" s="54"/>
      <c r="MXE2465" s="60"/>
      <c r="MXF2465" s="60"/>
      <c r="MXG2465" s="60"/>
      <c r="MXH2465" s="60"/>
      <c r="MXI2465" s="63"/>
      <c r="MXJ2465" s="61"/>
      <c r="MXK2465" s="54"/>
      <c r="MXL2465" s="54"/>
      <c r="MXM2465" s="60"/>
      <c r="MXN2465" s="60"/>
      <c r="MXO2465" s="60"/>
      <c r="MXP2465" s="60"/>
      <c r="MXQ2465" s="63"/>
      <c r="MXR2465" s="61"/>
      <c r="MXS2465" s="54"/>
      <c r="MXT2465" s="54"/>
      <c r="MXU2465" s="60"/>
      <c r="MXV2465" s="60"/>
      <c r="MXW2465" s="60"/>
      <c r="MXX2465" s="60"/>
      <c r="MXY2465" s="63"/>
      <c r="MXZ2465" s="61"/>
      <c r="MYA2465" s="54"/>
      <c r="MYB2465" s="54"/>
      <c r="MYC2465" s="60"/>
      <c r="MYD2465" s="60"/>
      <c r="MYE2465" s="60"/>
      <c r="MYF2465" s="60"/>
      <c r="MYG2465" s="63"/>
      <c r="MYH2465" s="61"/>
      <c r="MYI2465" s="54"/>
      <c r="MYJ2465" s="54"/>
      <c r="MYK2465" s="60"/>
      <c r="MYL2465" s="60"/>
      <c r="MYM2465" s="60"/>
      <c r="MYN2465" s="60"/>
      <c r="MYO2465" s="63"/>
      <c r="MYP2465" s="61"/>
      <c r="MYQ2465" s="54"/>
      <c r="MYR2465" s="54"/>
      <c r="MYS2465" s="60"/>
      <c r="MYT2465" s="60"/>
      <c r="MYU2465" s="60"/>
      <c r="MYV2465" s="60"/>
      <c r="MYW2465" s="63"/>
      <c r="MYX2465" s="61"/>
      <c r="MYY2465" s="54"/>
      <c r="MYZ2465" s="54"/>
      <c r="MZA2465" s="60"/>
      <c r="MZB2465" s="60"/>
      <c r="MZC2465" s="60"/>
      <c r="MZD2465" s="60"/>
      <c r="MZE2465" s="63"/>
      <c r="MZF2465" s="61"/>
      <c r="MZG2465" s="54"/>
      <c r="MZH2465" s="54"/>
      <c r="MZI2465" s="60"/>
      <c r="MZJ2465" s="60"/>
      <c r="MZK2465" s="60"/>
      <c r="MZL2465" s="60"/>
      <c r="MZM2465" s="63"/>
      <c r="MZN2465" s="61"/>
      <c r="MZO2465" s="54"/>
      <c r="MZP2465" s="54"/>
      <c r="MZQ2465" s="60"/>
      <c r="MZR2465" s="60"/>
      <c r="MZS2465" s="60"/>
      <c r="MZT2465" s="60"/>
      <c r="MZU2465" s="63"/>
      <c r="MZV2465" s="61"/>
      <c r="MZW2465" s="54"/>
      <c r="MZX2465" s="54"/>
      <c r="MZY2465" s="60"/>
      <c r="MZZ2465" s="60"/>
      <c r="NAA2465" s="60"/>
      <c r="NAB2465" s="60"/>
      <c r="NAC2465" s="63"/>
      <c r="NAD2465" s="61"/>
      <c r="NAE2465" s="54"/>
      <c r="NAF2465" s="54"/>
      <c r="NAG2465" s="60"/>
      <c r="NAH2465" s="60"/>
      <c r="NAI2465" s="60"/>
      <c r="NAJ2465" s="60"/>
      <c r="NAK2465" s="63"/>
      <c r="NAL2465" s="61"/>
      <c r="NAM2465" s="54"/>
      <c r="NAN2465" s="54"/>
      <c r="NAO2465" s="60"/>
      <c r="NAP2465" s="60"/>
      <c r="NAQ2465" s="60"/>
      <c r="NAR2465" s="60"/>
      <c r="NAS2465" s="63"/>
      <c r="NAT2465" s="61"/>
      <c r="NAU2465" s="54"/>
      <c r="NAV2465" s="54"/>
      <c r="NAW2465" s="60"/>
      <c r="NAX2465" s="60"/>
      <c r="NAY2465" s="60"/>
      <c r="NAZ2465" s="60"/>
      <c r="NBA2465" s="63"/>
      <c r="NBB2465" s="61"/>
      <c r="NBC2465" s="54"/>
      <c r="NBD2465" s="54"/>
      <c r="NBE2465" s="60"/>
      <c r="NBF2465" s="60"/>
      <c r="NBG2465" s="60"/>
      <c r="NBH2465" s="60"/>
      <c r="NBI2465" s="63"/>
      <c r="NBJ2465" s="61"/>
      <c r="NBK2465" s="54"/>
      <c r="NBL2465" s="54"/>
      <c r="NBM2465" s="60"/>
      <c r="NBN2465" s="60"/>
      <c r="NBO2465" s="60"/>
      <c r="NBP2465" s="60"/>
      <c r="NBQ2465" s="63"/>
      <c r="NBR2465" s="61"/>
      <c r="NBS2465" s="54"/>
      <c r="NBT2465" s="54"/>
      <c r="NBU2465" s="60"/>
      <c r="NBV2465" s="60"/>
      <c r="NBW2465" s="60"/>
      <c r="NBX2465" s="60"/>
      <c r="NBY2465" s="63"/>
      <c r="NBZ2465" s="61"/>
      <c r="NCA2465" s="54"/>
      <c r="NCB2465" s="54"/>
      <c r="NCC2465" s="60"/>
      <c r="NCD2465" s="60"/>
      <c r="NCE2465" s="60"/>
      <c r="NCF2465" s="60"/>
      <c r="NCG2465" s="63"/>
      <c r="NCH2465" s="61"/>
      <c r="NCI2465" s="54"/>
      <c r="NCJ2465" s="54"/>
      <c r="NCK2465" s="60"/>
      <c r="NCL2465" s="60"/>
      <c r="NCM2465" s="60"/>
      <c r="NCN2465" s="60"/>
      <c r="NCO2465" s="63"/>
      <c r="NCP2465" s="61"/>
      <c r="NCQ2465" s="54"/>
      <c r="NCR2465" s="54"/>
      <c r="NCS2465" s="60"/>
      <c r="NCT2465" s="60"/>
      <c r="NCU2465" s="60"/>
      <c r="NCV2465" s="60"/>
      <c r="NCW2465" s="63"/>
      <c r="NCX2465" s="61"/>
      <c r="NCY2465" s="54"/>
      <c r="NCZ2465" s="54"/>
      <c r="NDA2465" s="60"/>
      <c r="NDB2465" s="60"/>
      <c r="NDC2465" s="60"/>
      <c r="NDD2465" s="60"/>
      <c r="NDE2465" s="63"/>
      <c r="NDF2465" s="61"/>
      <c r="NDG2465" s="54"/>
      <c r="NDH2465" s="54"/>
      <c r="NDI2465" s="60"/>
      <c r="NDJ2465" s="60"/>
      <c r="NDK2465" s="60"/>
      <c r="NDL2465" s="60"/>
      <c r="NDM2465" s="63"/>
      <c r="NDN2465" s="61"/>
      <c r="NDO2465" s="54"/>
      <c r="NDP2465" s="54"/>
      <c r="NDQ2465" s="60"/>
      <c r="NDR2465" s="60"/>
      <c r="NDS2465" s="60"/>
      <c r="NDT2465" s="60"/>
      <c r="NDU2465" s="63"/>
      <c r="NDV2465" s="61"/>
      <c r="NDW2465" s="54"/>
      <c r="NDX2465" s="54"/>
      <c r="NDY2465" s="60"/>
      <c r="NDZ2465" s="60"/>
      <c r="NEA2465" s="60"/>
      <c r="NEB2465" s="60"/>
      <c r="NEC2465" s="63"/>
      <c r="NED2465" s="61"/>
      <c r="NEE2465" s="54"/>
      <c r="NEF2465" s="54"/>
      <c r="NEG2465" s="60"/>
      <c r="NEH2465" s="60"/>
      <c r="NEI2465" s="60"/>
      <c r="NEJ2465" s="60"/>
      <c r="NEK2465" s="63"/>
      <c r="NEL2465" s="61"/>
      <c r="NEM2465" s="54"/>
      <c r="NEN2465" s="54"/>
      <c r="NEO2465" s="60"/>
      <c r="NEP2465" s="60"/>
      <c r="NEQ2465" s="60"/>
      <c r="NER2465" s="60"/>
      <c r="NES2465" s="63"/>
      <c r="NET2465" s="61"/>
      <c r="NEU2465" s="54"/>
      <c r="NEV2465" s="54"/>
      <c r="NEW2465" s="60"/>
      <c r="NEX2465" s="60"/>
      <c r="NEY2465" s="60"/>
      <c r="NEZ2465" s="60"/>
      <c r="NFA2465" s="63"/>
      <c r="NFB2465" s="61"/>
      <c r="NFC2465" s="54"/>
      <c r="NFD2465" s="54"/>
      <c r="NFE2465" s="60"/>
      <c r="NFF2465" s="60"/>
      <c r="NFG2465" s="60"/>
      <c r="NFH2465" s="60"/>
      <c r="NFI2465" s="63"/>
      <c r="NFJ2465" s="61"/>
      <c r="NFK2465" s="54"/>
      <c r="NFL2465" s="54"/>
      <c r="NFM2465" s="60"/>
      <c r="NFN2465" s="60"/>
      <c r="NFO2465" s="60"/>
      <c r="NFP2465" s="60"/>
      <c r="NFQ2465" s="63"/>
      <c r="NFR2465" s="61"/>
      <c r="NFS2465" s="54"/>
      <c r="NFT2465" s="54"/>
      <c r="NFU2465" s="60"/>
      <c r="NFV2465" s="60"/>
      <c r="NFW2465" s="60"/>
      <c r="NFX2465" s="60"/>
      <c r="NFY2465" s="63"/>
      <c r="NFZ2465" s="61"/>
      <c r="NGA2465" s="54"/>
      <c r="NGB2465" s="54"/>
      <c r="NGC2465" s="60"/>
      <c r="NGD2465" s="60"/>
      <c r="NGE2465" s="60"/>
      <c r="NGF2465" s="60"/>
      <c r="NGG2465" s="63"/>
      <c r="NGH2465" s="61"/>
      <c r="NGI2465" s="54"/>
      <c r="NGJ2465" s="54"/>
      <c r="NGK2465" s="60"/>
      <c r="NGL2465" s="60"/>
      <c r="NGM2465" s="60"/>
      <c r="NGN2465" s="60"/>
      <c r="NGO2465" s="63"/>
      <c r="NGP2465" s="61"/>
      <c r="NGQ2465" s="54"/>
      <c r="NGR2465" s="54"/>
      <c r="NGS2465" s="60"/>
      <c r="NGT2465" s="60"/>
      <c r="NGU2465" s="60"/>
      <c r="NGV2465" s="60"/>
      <c r="NGW2465" s="63"/>
      <c r="NGX2465" s="61"/>
      <c r="NGY2465" s="54"/>
      <c r="NGZ2465" s="54"/>
      <c r="NHA2465" s="60"/>
      <c r="NHB2465" s="60"/>
      <c r="NHC2465" s="60"/>
      <c r="NHD2465" s="60"/>
      <c r="NHE2465" s="63"/>
      <c r="NHF2465" s="61"/>
      <c r="NHG2465" s="54"/>
      <c r="NHH2465" s="54"/>
      <c r="NHI2465" s="60"/>
      <c r="NHJ2465" s="60"/>
      <c r="NHK2465" s="60"/>
      <c r="NHL2465" s="60"/>
      <c r="NHM2465" s="63"/>
      <c r="NHN2465" s="61"/>
      <c r="NHO2465" s="54"/>
      <c r="NHP2465" s="54"/>
      <c r="NHQ2465" s="60"/>
      <c r="NHR2465" s="60"/>
      <c r="NHS2465" s="60"/>
      <c r="NHT2465" s="60"/>
      <c r="NHU2465" s="63"/>
      <c r="NHV2465" s="61"/>
      <c r="NHW2465" s="54"/>
      <c r="NHX2465" s="54"/>
      <c r="NHY2465" s="60"/>
      <c r="NHZ2465" s="60"/>
      <c r="NIA2465" s="60"/>
      <c r="NIB2465" s="60"/>
      <c r="NIC2465" s="63"/>
      <c r="NID2465" s="61"/>
      <c r="NIE2465" s="54"/>
      <c r="NIF2465" s="54"/>
      <c r="NIG2465" s="60"/>
      <c r="NIH2465" s="60"/>
      <c r="NII2465" s="60"/>
      <c r="NIJ2465" s="60"/>
      <c r="NIK2465" s="63"/>
      <c r="NIL2465" s="61"/>
      <c r="NIM2465" s="54"/>
      <c r="NIN2465" s="54"/>
      <c r="NIO2465" s="60"/>
      <c r="NIP2465" s="60"/>
      <c r="NIQ2465" s="60"/>
      <c r="NIR2465" s="60"/>
      <c r="NIS2465" s="63"/>
      <c r="NIT2465" s="61"/>
      <c r="NIU2465" s="54"/>
      <c r="NIV2465" s="54"/>
      <c r="NIW2465" s="60"/>
      <c r="NIX2465" s="60"/>
      <c r="NIY2465" s="60"/>
      <c r="NIZ2465" s="60"/>
      <c r="NJA2465" s="63"/>
      <c r="NJB2465" s="61"/>
      <c r="NJC2465" s="54"/>
      <c r="NJD2465" s="54"/>
      <c r="NJE2465" s="60"/>
      <c r="NJF2465" s="60"/>
      <c r="NJG2465" s="60"/>
      <c r="NJH2465" s="60"/>
      <c r="NJI2465" s="63"/>
      <c r="NJJ2465" s="61"/>
      <c r="NJK2465" s="54"/>
      <c r="NJL2465" s="54"/>
      <c r="NJM2465" s="60"/>
      <c r="NJN2465" s="60"/>
      <c r="NJO2465" s="60"/>
      <c r="NJP2465" s="60"/>
      <c r="NJQ2465" s="63"/>
      <c r="NJR2465" s="61"/>
      <c r="NJS2465" s="54"/>
      <c r="NJT2465" s="54"/>
      <c r="NJU2465" s="60"/>
      <c r="NJV2465" s="60"/>
      <c r="NJW2465" s="60"/>
      <c r="NJX2465" s="60"/>
      <c r="NJY2465" s="63"/>
      <c r="NJZ2465" s="61"/>
      <c r="NKA2465" s="54"/>
      <c r="NKB2465" s="54"/>
      <c r="NKC2465" s="60"/>
      <c r="NKD2465" s="60"/>
      <c r="NKE2465" s="60"/>
      <c r="NKF2465" s="60"/>
      <c r="NKG2465" s="63"/>
      <c r="NKH2465" s="61"/>
      <c r="NKI2465" s="54"/>
      <c r="NKJ2465" s="54"/>
      <c r="NKK2465" s="60"/>
      <c r="NKL2465" s="60"/>
      <c r="NKM2465" s="60"/>
      <c r="NKN2465" s="60"/>
      <c r="NKO2465" s="63"/>
      <c r="NKP2465" s="61"/>
      <c r="NKQ2465" s="54"/>
      <c r="NKR2465" s="54"/>
      <c r="NKS2465" s="60"/>
      <c r="NKT2465" s="60"/>
      <c r="NKU2465" s="60"/>
      <c r="NKV2465" s="60"/>
      <c r="NKW2465" s="63"/>
      <c r="NKX2465" s="61"/>
      <c r="NKY2465" s="54"/>
      <c r="NKZ2465" s="54"/>
      <c r="NLA2465" s="60"/>
      <c r="NLB2465" s="60"/>
      <c r="NLC2465" s="60"/>
      <c r="NLD2465" s="60"/>
      <c r="NLE2465" s="63"/>
      <c r="NLF2465" s="61"/>
      <c r="NLG2465" s="54"/>
      <c r="NLH2465" s="54"/>
      <c r="NLI2465" s="60"/>
      <c r="NLJ2465" s="60"/>
      <c r="NLK2465" s="60"/>
      <c r="NLL2465" s="60"/>
      <c r="NLM2465" s="63"/>
      <c r="NLN2465" s="61"/>
      <c r="NLO2465" s="54"/>
      <c r="NLP2465" s="54"/>
      <c r="NLQ2465" s="60"/>
      <c r="NLR2465" s="60"/>
      <c r="NLS2465" s="60"/>
      <c r="NLT2465" s="60"/>
      <c r="NLU2465" s="63"/>
      <c r="NLV2465" s="61"/>
      <c r="NLW2465" s="54"/>
      <c r="NLX2465" s="54"/>
      <c r="NLY2465" s="60"/>
      <c r="NLZ2465" s="60"/>
      <c r="NMA2465" s="60"/>
      <c r="NMB2465" s="60"/>
      <c r="NMC2465" s="63"/>
      <c r="NMD2465" s="61"/>
      <c r="NME2465" s="54"/>
      <c r="NMF2465" s="54"/>
      <c r="NMG2465" s="60"/>
      <c r="NMH2465" s="60"/>
      <c r="NMI2465" s="60"/>
      <c r="NMJ2465" s="60"/>
      <c r="NMK2465" s="63"/>
      <c r="NML2465" s="61"/>
      <c r="NMM2465" s="54"/>
      <c r="NMN2465" s="54"/>
      <c r="NMO2465" s="60"/>
      <c r="NMP2465" s="60"/>
      <c r="NMQ2465" s="60"/>
      <c r="NMR2465" s="60"/>
      <c r="NMS2465" s="63"/>
      <c r="NMT2465" s="61"/>
      <c r="NMU2465" s="54"/>
      <c r="NMV2465" s="54"/>
      <c r="NMW2465" s="60"/>
      <c r="NMX2465" s="60"/>
      <c r="NMY2465" s="60"/>
      <c r="NMZ2465" s="60"/>
      <c r="NNA2465" s="63"/>
      <c r="NNB2465" s="61"/>
      <c r="NNC2465" s="54"/>
      <c r="NND2465" s="54"/>
      <c r="NNE2465" s="60"/>
      <c r="NNF2465" s="60"/>
      <c r="NNG2465" s="60"/>
      <c r="NNH2465" s="60"/>
      <c r="NNI2465" s="63"/>
      <c r="NNJ2465" s="61"/>
      <c r="NNK2465" s="54"/>
      <c r="NNL2465" s="54"/>
      <c r="NNM2465" s="60"/>
      <c r="NNN2465" s="60"/>
      <c r="NNO2465" s="60"/>
      <c r="NNP2465" s="60"/>
      <c r="NNQ2465" s="63"/>
      <c r="NNR2465" s="61"/>
      <c r="NNS2465" s="54"/>
      <c r="NNT2465" s="54"/>
      <c r="NNU2465" s="60"/>
      <c r="NNV2465" s="60"/>
      <c r="NNW2465" s="60"/>
      <c r="NNX2465" s="60"/>
      <c r="NNY2465" s="63"/>
      <c r="NNZ2465" s="61"/>
      <c r="NOA2465" s="54"/>
      <c r="NOB2465" s="54"/>
      <c r="NOC2465" s="60"/>
      <c r="NOD2465" s="60"/>
      <c r="NOE2465" s="60"/>
      <c r="NOF2465" s="60"/>
      <c r="NOG2465" s="63"/>
      <c r="NOH2465" s="61"/>
      <c r="NOI2465" s="54"/>
      <c r="NOJ2465" s="54"/>
      <c r="NOK2465" s="60"/>
      <c r="NOL2465" s="60"/>
      <c r="NOM2465" s="60"/>
      <c r="NON2465" s="60"/>
      <c r="NOO2465" s="63"/>
      <c r="NOP2465" s="61"/>
      <c r="NOQ2465" s="54"/>
      <c r="NOR2465" s="54"/>
      <c r="NOS2465" s="60"/>
      <c r="NOT2465" s="60"/>
      <c r="NOU2465" s="60"/>
      <c r="NOV2465" s="60"/>
      <c r="NOW2465" s="63"/>
      <c r="NOX2465" s="61"/>
      <c r="NOY2465" s="54"/>
      <c r="NOZ2465" s="54"/>
      <c r="NPA2465" s="60"/>
      <c r="NPB2465" s="60"/>
      <c r="NPC2465" s="60"/>
      <c r="NPD2465" s="60"/>
      <c r="NPE2465" s="63"/>
      <c r="NPF2465" s="61"/>
      <c r="NPG2465" s="54"/>
      <c r="NPH2465" s="54"/>
      <c r="NPI2465" s="60"/>
      <c r="NPJ2465" s="60"/>
      <c r="NPK2465" s="60"/>
      <c r="NPL2465" s="60"/>
      <c r="NPM2465" s="63"/>
      <c r="NPN2465" s="61"/>
      <c r="NPO2465" s="54"/>
      <c r="NPP2465" s="54"/>
      <c r="NPQ2465" s="60"/>
      <c r="NPR2465" s="60"/>
      <c r="NPS2465" s="60"/>
      <c r="NPT2465" s="60"/>
      <c r="NPU2465" s="63"/>
      <c r="NPV2465" s="61"/>
      <c r="NPW2465" s="54"/>
      <c r="NPX2465" s="54"/>
      <c r="NPY2465" s="60"/>
      <c r="NPZ2465" s="60"/>
      <c r="NQA2465" s="60"/>
      <c r="NQB2465" s="60"/>
      <c r="NQC2465" s="63"/>
      <c r="NQD2465" s="61"/>
      <c r="NQE2465" s="54"/>
      <c r="NQF2465" s="54"/>
      <c r="NQG2465" s="60"/>
      <c r="NQH2465" s="60"/>
      <c r="NQI2465" s="60"/>
      <c r="NQJ2465" s="60"/>
      <c r="NQK2465" s="63"/>
      <c r="NQL2465" s="61"/>
      <c r="NQM2465" s="54"/>
      <c r="NQN2465" s="54"/>
      <c r="NQO2465" s="60"/>
      <c r="NQP2465" s="60"/>
      <c r="NQQ2465" s="60"/>
      <c r="NQR2465" s="60"/>
      <c r="NQS2465" s="63"/>
      <c r="NQT2465" s="61"/>
      <c r="NQU2465" s="54"/>
      <c r="NQV2465" s="54"/>
      <c r="NQW2465" s="60"/>
      <c r="NQX2465" s="60"/>
      <c r="NQY2465" s="60"/>
      <c r="NQZ2465" s="60"/>
      <c r="NRA2465" s="63"/>
      <c r="NRB2465" s="61"/>
      <c r="NRC2465" s="54"/>
      <c r="NRD2465" s="54"/>
      <c r="NRE2465" s="60"/>
      <c r="NRF2465" s="60"/>
      <c r="NRG2465" s="60"/>
      <c r="NRH2465" s="60"/>
      <c r="NRI2465" s="63"/>
      <c r="NRJ2465" s="61"/>
      <c r="NRK2465" s="54"/>
      <c r="NRL2465" s="54"/>
      <c r="NRM2465" s="60"/>
      <c r="NRN2465" s="60"/>
      <c r="NRO2465" s="60"/>
      <c r="NRP2465" s="60"/>
      <c r="NRQ2465" s="63"/>
      <c r="NRR2465" s="61"/>
      <c r="NRS2465" s="54"/>
      <c r="NRT2465" s="54"/>
      <c r="NRU2465" s="60"/>
      <c r="NRV2465" s="60"/>
      <c r="NRW2465" s="60"/>
      <c r="NRX2465" s="60"/>
      <c r="NRY2465" s="63"/>
      <c r="NRZ2465" s="61"/>
      <c r="NSA2465" s="54"/>
      <c r="NSB2465" s="54"/>
      <c r="NSC2465" s="60"/>
      <c r="NSD2465" s="60"/>
      <c r="NSE2465" s="60"/>
      <c r="NSF2465" s="60"/>
      <c r="NSG2465" s="63"/>
      <c r="NSH2465" s="61"/>
      <c r="NSI2465" s="54"/>
      <c r="NSJ2465" s="54"/>
      <c r="NSK2465" s="60"/>
      <c r="NSL2465" s="60"/>
      <c r="NSM2465" s="60"/>
      <c r="NSN2465" s="60"/>
      <c r="NSO2465" s="63"/>
      <c r="NSP2465" s="61"/>
      <c r="NSQ2465" s="54"/>
      <c r="NSR2465" s="54"/>
      <c r="NSS2465" s="60"/>
      <c r="NST2465" s="60"/>
      <c r="NSU2465" s="60"/>
      <c r="NSV2465" s="60"/>
      <c r="NSW2465" s="63"/>
      <c r="NSX2465" s="61"/>
      <c r="NSY2465" s="54"/>
      <c r="NSZ2465" s="54"/>
      <c r="NTA2465" s="60"/>
      <c r="NTB2465" s="60"/>
      <c r="NTC2465" s="60"/>
      <c r="NTD2465" s="60"/>
      <c r="NTE2465" s="63"/>
      <c r="NTF2465" s="61"/>
      <c r="NTG2465" s="54"/>
      <c r="NTH2465" s="54"/>
      <c r="NTI2465" s="60"/>
      <c r="NTJ2465" s="60"/>
      <c r="NTK2465" s="60"/>
      <c r="NTL2465" s="60"/>
      <c r="NTM2465" s="63"/>
      <c r="NTN2465" s="61"/>
      <c r="NTO2465" s="54"/>
      <c r="NTP2465" s="54"/>
      <c r="NTQ2465" s="60"/>
      <c r="NTR2465" s="60"/>
      <c r="NTS2465" s="60"/>
      <c r="NTT2465" s="60"/>
      <c r="NTU2465" s="63"/>
      <c r="NTV2465" s="61"/>
      <c r="NTW2465" s="54"/>
      <c r="NTX2465" s="54"/>
      <c r="NTY2465" s="60"/>
      <c r="NTZ2465" s="60"/>
      <c r="NUA2465" s="60"/>
      <c r="NUB2465" s="60"/>
      <c r="NUC2465" s="63"/>
      <c r="NUD2465" s="61"/>
      <c r="NUE2465" s="54"/>
      <c r="NUF2465" s="54"/>
      <c r="NUG2465" s="60"/>
      <c r="NUH2465" s="60"/>
      <c r="NUI2465" s="60"/>
      <c r="NUJ2465" s="60"/>
      <c r="NUK2465" s="63"/>
      <c r="NUL2465" s="61"/>
      <c r="NUM2465" s="54"/>
      <c r="NUN2465" s="54"/>
      <c r="NUO2465" s="60"/>
      <c r="NUP2465" s="60"/>
      <c r="NUQ2465" s="60"/>
      <c r="NUR2465" s="60"/>
      <c r="NUS2465" s="63"/>
      <c r="NUT2465" s="61"/>
      <c r="NUU2465" s="54"/>
      <c r="NUV2465" s="54"/>
      <c r="NUW2465" s="60"/>
      <c r="NUX2465" s="60"/>
      <c r="NUY2465" s="60"/>
      <c r="NUZ2465" s="60"/>
      <c r="NVA2465" s="63"/>
      <c r="NVB2465" s="61"/>
      <c r="NVC2465" s="54"/>
      <c r="NVD2465" s="54"/>
      <c r="NVE2465" s="60"/>
      <c r="NVF2465" s="60"/>
      <c r="NVG2465" s="60"/>
      <c r="NVH2465" s="60"/>
      <c r="NVI2465" s="63"/>
      <c r="NVJ2465" s="61"/>
      <c r="NVK2465" s="54"/>
      <c r="NVL2465" s="54"/>
      <c r="NVM2465" s="60"/>
      <c r="NVN2465" s="60"/>
      <c r="NVO2465" s="60"/>
      <c r="NVP2465" s="60"/>
      <c r="NVQ2465" s="63"/>
      <c r="NVR2465" s="61"/>
      <c r="NVS2465" s="54"/>
      <c r="NVT2465" s="54"/>
      <c r="NVU2465" s="60"/>
      <c r="NVV2465" s="60"/>
      <c r="NVW2465" s="60"/>
      <c r="NVX2465" s="60"/>
      <c r="NVY2465" s="63"/>
      <c r="NVZ2465" s="61"/>
      <c r="NWA2465" s="54"/>
      <c r="NWB2465" s="54"/>
      <c r="NWC2465" s="60"/>
      <c r="NWD2465" s="60"/>
      <c r="NWE2465" s="60"/>
      <c r="NWF2465" s="60"/>
      <c r="NWG2465" s="63"/>
      <c r="NWH2465" s="61"/>
      <c r="NWI2465" s="54"/>
      <c r="NWJ2465" s="54"/>
      <c r="NWK2465" s="60"/>
      <c r="NWL2465" s="60"/>
      <c r="NWM2465" s="60"/>
      <c r="NWN2465" s="60"/>
      <c r="NWO2465" s="63"/>
      <c r="NWP2465" s="61"/>
      <c r="NWQ2465" s="54"/>
      <c r="NWR2465" s="54"/>
      <c r="NWS2465" s="60"/>
      <c r="NWT2465" s="60"/>
      <c r="NWU2465" s="60"/>
      <c r="NWV2465" s="60"/>
      <c r="NWW2465" s="63"/>
      <c r="NWX2465" s="61"/>
      <c r="NWY2465" s="54"/>
      <c r="NWZ2465" s="54"/>
      <c r="NXA2465" s="60"/>
      <c r="NXB2465" s="60"/>
      <c r="NXC2465" s="60"/>
      <c r="NXD2465" s="60"/>
      <c r="NXE2465" s="63"/>
      <c r="NXF2465" s="61"/>
      <c r="NXG2465" s="54"/>
      <c r="NXH2465" s="54"/>
      <c r="NXI2465" s="60"/>
      <c r="NXJ2465" s="60"/>
      <c r="NXK2465" s="60"/>
      <c r="NXL2465" s="60"/>
      <c r="NXM2465" s="63"/>
      <c r="NXN2465" s="61"/>
      <c r="NXO2465" s="54"/>
      <c r="NXP2465" s="54"/>
      <c r="NXQ2465" s="60"/>
      <c r="NXR2465" s="60"/>
      <c r="NXS2465" s="60"/>
      <c r="NXT2465" s="60"/>
      <c r="NXU2465" s="63"/>
      <c r="NXV2465" s="61"/>
      <c r="NXW2465" s="54"/>
      <c r="NXX2465" s="54"/>
      <c r="NXY2465" s="60"/>
      <c r="NXZ2465" s="60"/>
      <c r="NYA2465" s="60"/>
      <c r="NYB2465" s="60"/>
      <c r="NYC2465" s="63"/>
      <c r="NYD2465" s="61"/>
      <c r="NYE2465" s="54"/>
      <c r="NYF2465" s="54"/>
      <c r="NYG2465" s="60"/>
      <c r="NYH2465" s="60"/>
      <c r="NYI2465" s="60"/>
      <c r="NYJ2465" s="60"/>
      <c r="NYK2465" s="63"/>
      <c r="NYL2465" s="61"/>
      <c r="NYM2465" s="54"/>
      <c r="NYN2465" s="54"/>
      <c r="NYO2465" s="60"/>
      <c r="NYP2465" s="60"/>
      <c r="NYQ2465" s="60"/>
      <c r="NYR2465" s="60"/>
      <c r="NYS2465" s="63"/>
      <c r="NYT2465" s="61"/>
      <c r="NYU2465" s="54"/>
      <c r="NYV2465" s="54"/>
      <c r="NYW2465" s="60"/>
      <c r="NYX2465" s="60"/>
      <c r="NYY2465" s="60"/>
      <c r="NYZ2465" s="60"/>
      <c r="NZA2465" s="63"/>
      <c r="NZB2465" s="61"/>
      <c r="NZC2465" s="54"/>
      <c r="NZD2465" s="54"/>
      <c r="NZE2465" s="60"/>
      <c r="NZF2465" s="60"/>
      <c r="NZG2465" s="60"/>
      <c r="NZH2465" s="60"/>
      <c r="NZI2465" s="63"/>
      <c r="NZJ2465" s="61"/>
      <c r="NZK2465" s="54"/>
      <c r="NZL2465" s="54"/>
      <c r="NZM2465" s="60"/>
      <c r="NZN2465" s="60"/>
      <c r="NZO2465" s="60"/>
      <c r="NZP2465" s="60"/>
      <c r="NZQ2465" s="63"/>
      <c r="NZR2465" s="61"/>
      <c r="NZS2465" s="54"/>
      <c r="NZT2465" s="54"/>
      <c r="NZU2465" s="60"/>
      <c r="NZV2465" s="60"/>
      <c r="NZW2465" s="60"/>
      <c r="NZX2465" s="60"/>
      <c r="NZY2465" s="63"/>
      <c r="NZZ2465" s="61"/>
      <c r="OAA2465" s="54"/>
      <c r="OAB2465" s="54"/>
      <c r="OAC2465" s="60"/>
      <c r="OAD2465" s="60"/>
      <c r="OAE2465" s="60"/>
      <c r="OAF2465" s="60"/>
      <c r="OAG2465" s="63"/>
      <c r="OAH2465" s="61"/>
      <c r="OAI2465" s="54"/>
      <c r="OAJ2465" s="54"/>
      <c r="OAK2465" s="60"/>
      <c r="OAL2465" s="60"/>
      <c r="OAM2465" s="60"/>
      <c r="OAN2465" s="60"/>
      <c r="OAO2465" s="63"/>
      <c r="OAP2465" s="61"/>
      <c r="OAQ2465" s="54"/>
      <c r="OAR2465" s="54"/>
      <c r="OAS2465" s="60"/>
      <c r="OAT2465" s="60"/>
      <c r="OAU2465" s="60"/>
      <c r="OAV2465" s="60"/>
      <c r="OAW2465" s="63"/>
      <c r="OAX2465" s="61"/>
      <c r="OAY2465" s="54"/>
      <c r="OAZ2465" s="54"/>
      <c r="OBA2465" s="60"/>
      <c r="OBB2465" s="60"/>
      <c r="OBC2465" s="60"/>
      <c r="OBD2465" s="60"/>
      <c r="OBE2465" s="63"/>
      <c r="OBF2465" s="61"/>
      <c r="OBG2465" s="54"/>
      <c r="OBH2465" s="54"/>
      <c r="OBI2465" s="60"/>
      <c r="OBJ2465" s="60"/>
      <c r="OBK2465" s="60"/>
      <c r="OBL2465" s="60"/>
      <c r="OBM2465" s="63"/>
      <c r="OBN2465" s="61"/>
      <c r="OBO2465" s="54"/>
      <c r="OBP2465" s="54"/>
      <c r="OBQ2465" s="60"/>
      <c r="OBR2465" s="60"/>
      <c r="OBS2465" s="60"/>
      <c r="OBT2465" s="60"/>
      <c r="OBU2465" s="63"/>
      <c r="OBV2465" s="61"/>
      <c r="OBW2465" s="54"/>
      <c r="OBX2465" s="54"/>
      <c r="OBY2465" s="60"/>
      <c r="OBZ2465" s="60"/>
      <c r="OCA2465" s="60"/>
      <c r="OCB2465" s="60"/>
      <c r="OCC2465" s="63"/>
      <c r="OCD2465" s="61"/>
      <c r="OCE2465" s="54"/>
      <c r="OCF2465" s="54"/>
      <c r="OCG2465" s="60"/>
      <c r="OCH2465" s="60"/>
      <c r="OCI2465" s="60"/>
      <c r="OCJ2465" s="60"/>
      <c r="OCK2465" s="63"/>
      <c r="OCL2465" s="61"/>
      <c r="OCM2465" s="54"/>
      <c r="OCN2465" s="54"/>
      <c r="OCO2465" s="60"/>
      <c r="OCP2465" s="60"/>
      <c r="OCQ2465" s="60"/>
      <c r="OCR2465" s="60"/>
      <c r="OCS2465" s="63"/>
      <c r="OCT2465" s="61"/>
      <c r="OCU2465" s="54"/>
      <c r="OCV2465" s="54"/>
      <c r="OCW2465" s="60"/>
      <c r="OCX2465" s="60"/>
      <c r="OCY2465" s="60"/>
      <c r="OCZ2465" s="60"/>
      <c r="ODA2465" s="63"/>
      <c r="ODB2465" s="61"/>
      <c r="ODC2465" s="54"/>
      <c r="ODD2465" s="54"/>
      <c r="ODE2465" s="60"/>
      <c r="ODF2465" s="60"/>
      <c r="ODG2465" s="60"/>
      <c r="ODH2465" s="60"/>
      <c r="ODI2465" s="63"/>
      <c r="ODJ2465" s="61"/>
      <c r="ODK2465" s="54"/>
      <c r="ODL2465" s="54"/>
      <c r="ODM2465" s="60"/>
      <c r="ODN2465" s="60"/>
      <c r="ODO2465" s="60"/>
      <c r="ODP2465" s="60"/>
      <c r="ODQ2465" s="63"/>
      <c r="ODR2465" s="61"/>
      <c r="ODS2465" s="54"/>
      <c r="ODT2465" s="54"/>
      <c r="ODU2465" s="60"/>
      <c r="ODV2465" s="60"/>
      <c r="ODW2465" s="60"/>
      <c r="ODX2465" s="60"/>
      <c r="ODY2465" s="63"/>
      <c r="ODZ2465" s="61"/>
      <c r="OEA2465" s="54"/>
      <c r="OEB2465" s="54"/>
      <c r="OEC2465" s="60"/>
      <c r="OED2465" s="60"/>
      <c r="OEE2465" s="60"/>
      <c r="OEF2465" s="60"/>
      <c r="OEG2465" s="63"/>
      <c r="OEH2465" s="61"/>
      <c r="OEI2465" s="54"/>
      <c r="OEJ2465" s="54"/>
      <c r="OEK2465" s="60"/>
      <c r="OEL2465" s="60"/>
      <c r="OEM2465" s="60"/>
      <c r="OEN2465" s="60"/>
      <c r="OEO2465" s="63"/>
      <c r="OEP2465" s="61"/>
      <c r="OEQ2465" s="54"/>
      <c r="OER2465" s="54"/>
      <c r="OES2465" s="60"/>
      <c r="OET2465" s="60"/>
      <c r="OEU2465" s="60"/>
      <c r="OEV2465" s="60"/>
      <c r="OEW2465" s="63"/>
      <c r="OEX2465" s="61"/>
      <c r="OEY2465" s="54"/>
      <c r="OEZ2465" s="54"/>
      <c r="OFA2465" s="60"/>
      <c r="OFB2465" s="60"/>
      <c r="OFC2465" s="60"/>
      <c r="OFD2465" s="60"/>
      <c r="OFE2465" s="63"/>
      <c r="OFF2465" s="61"/>
      <c r="OFG2465" s="54"/>
      <c r="OFH2465" s="54"/>
      <c r="OFI2465" s="60"/>
      <c r="OFJ2465" s="60"/>
      <c r="OFK2465" s="60"/>
      <c r="OFL2465" s="60"/>
      <c r="OFM2465" s="63"/>
      <c r="OFN2465" s="61"/>
      <c r="OFO2465" s="54"/>
      <c r="OFP2465" s="54"/>
      <c r="OFQ2465" s="60"/>
      <c r="OFR2465" s="60"/>
      <c r="OFS2465" s="60"/>
      <c r="OFT2465" s="60"/>
      <c r="OFU2465" s="63"/>
      <c r="OFV2465" s="61"/>
      <c r="OFW2465" s="54"/>
      <c r="OFX2465" s="54"/>
      <c r="OFY2465" s="60"/>
      <c r="OFZ2465" s="60"/>
      <c r="OGA2465" s="60"/>
      <c r="OGB2465" s="60"/>
      <c r="OGC2465" s="63"/>
      <c r="OGD2465" s="61"/>
      <c r="OGE2465" s="54"/>
      <c r="OGF2465" s="54"/>
      <c r="OGG2465" s="60"/>
      <c r="OGH2465" s="60"/>
      <c r="OGI2465" s="60"/>
      <c r="OGJ2465" s="60"/>
      <c r="OGK2465" s="63"/>
      <c r="OGL2465" s="61"/>
      <c r="OGM2465" s="54"/>
      <c r="OGN2465" s="54"/>
      <c r="OGO2465" s="60"/>
      <c r="OGP2465" s="60"/>
      <c r="OGQ2465" s="60"/>
      <c r="OGR2465" s="60"/>
      <c r="OGS2465" s="63"/>
      <c r="OGT2465" s="61"/>
      <c r="OGU2465" s="54"/>
      <c r="OGV2465" s="54"/>
      <c r="OGW2465" s="60"/>
      <c r="OGX2465" s="60"/>
      <c r="OGY2465" s="60"/>
      <c r="OGZ2465" s="60"/>
      <c r="OHA2465" s="63"/>
      <c r="OHB2465" s="61"/>
      <c r="OHC2465" s="54"/>
      <c r="OHD2465" s="54"/>
      <c r="OHE2465" s="60"/>
      <c r="OHF2465" s="60"/>
      <c r="OHG2465" s="60"/>
      <c r="OHH2465" s="60"/>
      <c r="OHI2465" s="63"/>
      <c r="OHJ2465" s="61"/>
      <c r="OHK2465" s="54"/>
      <c r="OHL2465" s="54"/>
      <c r="OHM2465" s="60"/>
      <c r="OHN2465" s="60"/>
      <c r="OHO2465" s="60"/>
      <c r="OHP2465" s="60"/>
      <c r="OHQ2465" s="63"/>
      <c r="OHR2465" s="61"/>
      <c r="OHS2465" s="54"/>
      <c r="OHT2465" s="54"/>
      <c r="OHU2465" s="60"/>
      <c r="OHV2465" s="60"/>
      <c r="OHW2465" s="60"/>
      <c r="OHX2465" s="60"/>
      <c r="OHY2465" s="63"/>
      <c r="OHZ2465" s="61"/>
      <c r="OIA2465" s="54"/>
      <c r="OIB2465" s="54"/>
      <c r="OIC2465" s="60"/>
      <c r="OID2465" s="60"/>
      <c r="OIE2465" s="60"/>
      <c r="OIF2465" s="60"/>
      <c r="OIG2465" s="63"/>
      <c r="OIH2465" s="61"/>
      <c r="OII2465" s="54"/>
      <c r="OIJ2465" s="54"/>
      <c r="OIK2465" s="60"/>
      <c r="OIL2465" s="60"/>
      <c r="OIM2465" s="60"/>
      <c r="OIN2465" s="60"/>
      <c r="OIO2465" s="63"/>
      <c r="OIP2465" s="61"/>
      <c r="OIQ2465" s="54"/>
      <c r="OIR2465" s="54"/>
      <c r="OIS2465" s="60"/>
      <c r="OIT2465" s="60"/>
      <c r="OIU2465" s="60"/>
      <c r="OIV2465" s="60"/>
      <c r="OIW2465" s="63"/>
      <c r="OIX2465" s="61"/>
      <c r="OIY2465" s="54"/>
      <c r="OIZ2465" s="54"/>
      <c r="OJA2465" s="60"/>
      <c r="OJB2465" s="60"/>
      <c r="OJC2465" s="60"/>
      <c r="OJD2465" s="60"/>
      <c r="OJE2465" s="63"/>
      <c r="OJF2465" s="61"/>
      <c r="OJG2465" s="54"/>
      <c r="OJH2465" s="54"/>
      <c r="OJI2465" s="60"/>
      <c r="OJJ2465" s="60"/>
      <c r="OJK2465" s="60"/>
      <c r="OJL2465" s="60"/>
      <c r="OJM2465" s="63"/>
      <c r="OJN2465" s="61"/>
      <c r="OJO2465" s="54"/>
      <c r="OJP2465" s="54"/>
      <c r="OJQ2465" s="60"/>
      <c r="OJR2465" s="60"/>
      <c r="OJS2465" s="60"/>
      <c r="OJT2465" s="60"/>
      <c r="OJU2465" s="63"/>
      <c r="OJV2465" s="61"/>
      <c r="OJW2465" s="54"/>
      <c r="OJX2465" s="54"/>
      <c r="OJY2465" s="60"/>
      <c r="OJZ2465" s="60"/>
      <c r="OKA2465" s="60"/>
      <c r="OKB2465" s="60"/>
      <c r="OKC2465" s="63"/>
      <c r="OKD2465" s="61"/>
      <c r="OKE2465" s="54"/>
      <c r="OKF2465" s="54"/>
      <c r="OKG2465" s="60"/>
      <c r="OKH2465" s="60"/>
      <c r="OKI2465" s="60"/>
      <c r="OKJ2465" s="60"/>
      <c r="OKK2465" s="63"/>
      <c r="OKL2465" s="61"/>
      <c r="OKM2465" s="54"/>
      <c r="OKN2465" s="54"/>
      <c r="OKO2465" s="60"/>
      <c r="OKP2465" s="60"/>
      <c r="OKQ2465" s="60"/>
      <c r="OKR2465" s="60"/>
      <c r="OKS2465" s="63"/>
      <c r="OKT2465" s="61"/>
      <c r="OKU2465" s="54"/>
      <c r="OKV2465" s="54"/>
      <c r="OKW2465" s="60"/>
      <c r="OKX2465" s="60"/>
      <c r="OKY2465" s="60"/>
      <c r="OKZ2465" s="60"/>
      <c r="OLA2465" s="63"/>
      <c r="OLB2465" s="61"/>
      <c r="OLC2465" s="54"/>
      <c r="OLD2465" s="54"/>
      <c r="OLE2465" s="60"/>
      <c r="OLF2465" s="60"/>
      <c r="OLG2465" s="60"/>
      <c r="OLH2465" s="60"/>
      <c r="OLI2465" s="63"/>
      <c r="OLJ2465" s="61"/>
      <c r="OLK2465" s="54"/>
      <c r="OLL2465" s="54"/>
      <c r="OLM2465" s="60"/>
      <c r="OLN2465" s="60"/>
      <c r="OLO2465" s="60"/>
      <c r="OLP2465" s="60"/>
      <c r="OLQ2465" s="63"/>
      <c r="OLR2465" s="61"/>
      <c r="OLS2465" s="54"/>
      <c r="OLT2465" s="54"/>
      <c r="OLU2465" s="60"/>
      <c r="OLV2465" s="60"/>
      <c r="OLW2465" s="60"/>
      <c r="OLX2465" s="60"/>
      <c r="OLY2465" s="63"/>
      <c r="OLZ2465" s="61"/>
      <c r="OMA2465" s="54"/>
      <c r="OMB2465" s="54"/>
      <c r="OMC2465" s="60"/>
      <c r="OMD2465" s="60"/>
      <c r="OME2465" s="60"/>
      <c r="OMF2465" s="60"/>
      <c r="OMG2465" s="63"/>
      <c r="OMH2465" s="61"/>
      <c r="OMI2465" s="54"/>
      <c r="OMJ2465" s="54"/>
      <c r="OMK2465" s="60"/>
      <c r="OML2465" s="60"/>
      <c r="OMM2465" s="60"/>
      <c r="OMN2465" s="60"/>
      <c r="OMO2465" s="63"/>
      <c r="OMP2465" s="61"/>
      <c r="OMQ2465" s="54"/>
      <c r="OMR2465" s="54"/>
      <c r="OMS2465" s="60"/>
      <c r="OMT2465" s="60"/>
      <c r="OMU2465" s="60"/>
      <c r="OMV2465" s="60"/>
      <c r="OMW2465" s="63"/>
      <c r="OMX2465" s="61"/>
      <c r="OMY2465" s="54"/>
      <c r="OMZ2465" s="54"/>
      <c r="ONA2465" s="60"/>
      <c r="ONB2465" s="60"/>
      <c r="ONC2465" s="60"/>
      <c r="OND2465" s="60"/>
      <c r="ONE2465" s="63"/>
      <c r="ONF2465" s="61"/>
      <c r="ONG2465" s="54"/>
      <c r="ONH2465" s="54"/>
      <c r="ONI2465" s="60"/>
      <c r="ONJ2465" s="60"/>
      <c r="ONK2465" s="60"/>
      <c r="ONL2465" s="60"/>
      <c r="ONM2465" s="63"/>
      <c r="ONN2465" s="61"/>
      <c r="ONO2465" s="54"/>
      <c r="ONP2465" s="54"/>
      <c r="ONQ2465" s="60"/>
      <c r="ONR2465" s="60"/>
      <c r="ONS2465" s="60"/>
      <c r="ONT2465" s="60"/>
      <c r="ONU2465" s="63"/>
      <c r="ONV2465" s="61"/>
      <c r="ONW2465" s="54"/>
      <c r="ONX2465" s="54"/>
      <c r="ONY2465" s="60"/>
      <c r="ONZ2465" s="60"/>
      <c r="OOA2465" s="60"/>
      <c r="OOB2465" s="60"/>
      <c r="OOC2465" s="63"/>
      <c r="OOD2465" s="61"/>
      <c r="OOE2465" s="54"/>
      <c r="OOF2465" s="54"/>
      <c r="OOG2465" s="60"/>
      <c r="OOH2465" s="60"/>
      <c r="OOI2465" s="60"/>
      <c r="OOJ2465" s="60"/>
      <c r="OOK2465" s="63"/>
      <c r="OOL2465" s="61"/>
      <c r="OOM2465" s="54"/>
      <c r="OON2465" s="54"/>
      <c r="OOO2465" s="60"/>
      <c r="OOP2465" s="60"/>
      <c r="OOQ2465" s="60"/>
      <c r="OOR2465" s="60"/>
      <c r="OOS2465" s="63"/>
      <c r="OOT2465" s="61"/>
      <c r="OOU2465" s="54"/>
      <c r="OOV2465" s="54"/>
      <c r="OOW2465" s="60"/>
      <c r="OOX2465" s="60"/>
      <c r="OOY2465" s="60"/>
      <c r="OOZ2465" s="60"/>
      <c r="OPA2465" s="63"/>
      <c r="OPB2465" s="61"/>
      <c r="OPC2465" s="54"/>
      <c r="OPD2465" s="54"/>
      <c r="OPE2465" s="60"/>
      <c r="OPF2465" s="60"/>
      <c r="OPG2465" s="60"/>
      <c r="OPH2465" s="60"/>
      <c r="OPI2465" s="63"/>
      <c r="OPJ2465" s="61"/>
      <c r="OPK2465" s="54"/>
      <c r="OPL2465" s="54"/>
      <c r="OPM2465" s="60"/>
      <c r="OPN2465" s="60"/>
      <c r="OPO2465" s="60"/>
      <c r="OPP2465" s="60"/>
      <c r="OPQ2465" s="63"/>
      <c r="OPR2465" s="61"/>
      <c r="OPS2465" s="54"/>
      <c r="OPT2465" s="54"/>
      <c r="OPU2465" s="60"/>
      <c r="OPV2465" s="60"/>
      <c r="OPW2465" s="60"/>
      <c r="OPX2465" s="60"/>
      <c r="OPY2465" s="63"/>
      <c r="OPZ2465" s="61"/>
      <c r="OQA2465" s="54"/>
      <c r="OQB2465" s="54"/>
      <c r="OQC2465" s="60"/>
      <c r="OQD2465" s="60"/>
      <c r="OQE2465" s="60"/>
      <c r="OQF2465" s="60"/>
      <c r="OQG2465" s="63"/>
      <c r="OQH2465" s="61"/>
      <c r="OQI2465" s="54"/>
      <c r="OQJ2465" s="54"/>
      <c r="OQK2465" s="60"/>
      <c r="OQL2465" s="60"/>
      <c r="OQM2465" s="60"/>
      <c r="OQN2465" s="60"/>
      <c r="OQO2465" s="63"/>
      <c r="OQP2465" s="61"/>
      <c r="OQQ2465" s="54"/>
      <c r="OQR2465" s="54"/>
      <c r="OQS2465" s="60"/>
      <c r="OQT2465" s="60"/>
      <c r="OQU2465" s="60"/>
      <c r="OQV2465" s="60"/>
      <c r="OQW2465" s="63"/>
      <c r="OQX2465" s="61"/>
      <c r="OQY2465" s="54"/>
      <c r="OQZ2465" s="54"/>
      <c r="ORA2465" s="60"/>
      <c r="ORB2465" s="60"/>
      <c r="ORC2465" s="60"/>
      <c r="ORD2465" s="60"/>
      <c r="ORE2465" s="63"/>
      <c r="ORF2465" s="61"/>
      <c r="ORG2465" s="54"/>
      <c r="ORH2465" s="54"/>
      <c r="ORI2465" s="60"/>
      <c r="ORJ2465" s="60"/>
      <c r="ORK2465" s="60"/>
      <c r="ORL2465" s="60"/>
      <c r="ORM2465" s="63"/>
      <c r="ORN2465" s="61"/>
      <c r="ORO2465" s="54"/>
      <c r="ORP2465" s="54"/>
      <c r="ORQ2465" s="60"/>
      <c r="ORR2465" s="60"/>
      <c r="ORS2465" s="60"/>
      <c r="ORT2465" s="60"/>
      <c r="ORU2465" s="63"/>
      <c r="ORV2465" s="61"/>
      <c r="ORW2465" s="54"/>
      <c r="ORX2465" s="54"/>
      <c r="ORY2465" s="60"/>
      <c r="ORZ2465" s="60"/>
      <c r="OSA2465" s="60"/>
      <c r="OSB2465" s="60"/>
      <c r="OSC2465" s="63"/>
      <c r="OSD2465" s="61"/>
      <c r="OSE2465" s="54"/>
      <c r="OSF2465" s="54"/>
      <c r="OSG2465" s="60"/>
      <c r="OSH2465" s="60"/>
      <c r="OSI2465" s="60"/>
      <c r="OSJ2465" s="60"/>
      <c r="OSK2465" s="63"/>
      <c r="OSL2465" s="61"/>
      <c r="OSM2465" s="54"/>
      <c r="OSN2465" s="54"/>
      <c r="OSO2465" s="60"/>
      <c r="OSP2465" s="60"/>
      <c r="OSQ2465" s="60"/>
      <c r="OSR2465" s="60"/>
      <c r="OSS2465" s="63"/>
      <c r="OST2465" s="61"/>
      <c r="OSU2465" s="54"/>
      <c r="OSV2465" s="54"/>
      <c r="OSW2465" s="60"/>
      <c r="OSX2465" s="60"/>
      <c r="OSY2465" s="60"/>
      <c r="OSZ2465" s="60"/>
      <c r="OTA2465" s="63"/>
      <c r="OTB2465" s="61"/>
      <c r="OTC2465" s="54"/>
      <c r="OTD2465" s="54"/>
      <c r="OTE2465" s="60"/>
      <c r="OTF2465" s="60"/>
      <c r="OTG2465" s="60"/>
      <c r="OTH2465" s="60"/>
      <c r="OTI2465" s="63"/>
      <c r="OTJ2465" s="61"/>
      <c r="OTK2465" s="54"/>
      <c r="OTL2465" s="54"/>
      <c r="OTM2465" s="60"/>
      <c r="OTN2465" s="60"/>
      <c r="OTO2465" s="60"/>
      <c r="OTP2465" s="60"/>
      <c r="OTQ2465" s="63"/>
      <c r="OTR2465" s="61"/>
      <c r="OTS2465" s="54"/>
      <c r="OTT2465" s="54"/>
      <c r="OTU2465" s="60"/>
      <c r="OTV2465" s="60"/>
      <c r="OTW2465" s="60"/>
      <c r="OTX2465" s="60"/>
      <c r="OTY2465" s="63"/>
      <c r="OTZ2465" s="61"/>
      <c r="OUA2465" s="54"/>
      <c r="OUB2465" s="54"/>
      <c r="OUC2465" s="60"/>
      <c r="OUD2465" s="60"/>
      <c r="OUE2465" s="60"/>
      <c r="OUF2465" s="60"/>
      <c r="OUG2465" s="63"/>
      <c r="OUH2465" s="61"/>
      <c r="OUI2465" s="54"/>
      <c r="OUJ2465" s="54"/>
      <c r="OUK2465" s="60"/>
      <c r="OUL2465" s="60"/>
      <c r="OUM2465" s="60"/>
      <c r="OUN2465" s="60"/>
      <c r="OUO2465" s="63"/>
      <c r="OUP2465" s="61"/>
      <c r="OUQ2465" s="54"/>
      <c r="OUR2465" s="54"/>
      <c r="OUS2465" s="60"/>
      <c r="OUT2465" s="60"/>
      <c r="OUU2465" s="60"/>
      <c r="OUV2465" s="60"/>
      <c r="OUW2465" s="63"/>
      <c r="OUX2465" s="61"/>
      <c r="OUY2465" s="54"/>
      <c r="OUZ2465" s="54"/>
      <c r="OVA2465" s="60"/>
      <c r="OVB2465" s="60"/>
      <c r="OVC2465" s="60"/>
      <c r="OVD2465" s="60"/>
      <c r="OVE2465" s="63"/>
      <c r="OVF2465" s="61"/>
      <c r="OVG2465" s="54"/>
      <c r="OVH2465" s="54"/>
      <c r="OVI2465" s="60"/>
      <c r="OVJ2465" s="60"/>
      <c r="OVK2465" s="60"/>
      <c r="OVL2465" s="60"/>
      <c r="OVM2465" s="63"/>
      <c r="OVN2465" s="61"/>
      <c r="OVO2465" s="54"/>
      <c r="OVP2465" s="54"/>
      <c r="OVQ2465" s="60"/>
      <c r="OVR2465" s="60"/>
      <c r="OVS2465" s="60"/>
      <c r="OVT2465" s="60"/>
      <c r="OVU2465" s="63"/>
      <c r="OVV2465" s="61"/>
      <c r="OVW2465" s="54"/>
      <c r="OVX2465" s="54"/>
      <c r="OVY2465" s="60"/>
      <c r="OVZ2465" s="60"/>
      <c r="OWA2465" s="60"/>
      <c r="OWB2465" s="60"/>
      <c r="OWC2465" s="63"/>
      <c r="OWD2465" s="61"/>
      <c r="OWE2465" s="54"/>
      <c r="OWF2465" s="54"/>
      <c r="OWG2465" s="60"/>
      <c r="OWH2465" s="60"/>
      <c r="OWI2465" s="60"/>
      <c r="OWJ2465" s="60"/>
      <c r="OWK2465" s="63"/>
      <c r="OWL2465" s="61"/>
      <c r="OWM2465" s="54"/>
      <c r="OWN2465" s="54"/>
      <c r="OWO2465" s="60"/>
      <c r="OWP2465" s="60"/>
      <c r="OWQ2465" s="60"/>
      <c r="OWR2465" s="60"/>
      <c r="OWS2465" s="63"/>
      <c r="OWT2465" s="61"/>
      <c r="OWU2465" s="54"/>
      <c r="OWV2465" s="54"/>
      <c r="OWW2465" s="60"/>
      <c r="OWX2465" s="60"/>
      <c r="OWY2465" s="60"/>
      <c r="OWZ2465" s="60"/>
      <c r="OXA2465" s="63"/>
      <c r="OXB2465" s="61"/>
      <c r="OXC2465" s="54"/>
      <c r="OXD2465" s="54"/>
      <c r="OXE2465" s="60"/>
      <c r="OXF2465" s="60"/>
      <c r="OXG2465" s="60"/>
      <c r="OXH2465" s="60"/>
      <c r="OXI2465" s="63"/>
      <c r="OXJ2465" s="61"/>
      <c r="OXK2465" s="54"/>
      <c r="OXL2465" s="54"/>
      <c r="OXM2465" s="60"/>
      <c r="OXN2465" s="60"/>
      <c r="OXO2465" s="60"/>
      <c r="OXP2465" s="60"/>
      <c r="OXQ2465" s="63"/>
      <c r="OXR2465" s="61"/>
      <c r="OXS2465" s="54"/>
      <c r="OXT2465" s="54"/>
      <c r="OXU2465" s="60"/>
      <c r="OXV2465" s="60"/>
      <c r="OXW2465" s="60"/>
      <c r="OXX2465" s="60"/>
      <c r="OXY2465" s="63"/>
      <c r="OXZ2465" s="61"/>
      <c r="OYA2465" s="54"/>
      <c r="OYB2465" s="54"/>
      <c r="OYC2465" s="60"/>
      <c r="OYD2465" s="60"/>
      <c r="OYE2465" s="60"/>
      <c r="OYF2465" s="60"/>
      <c r="OYG2465" s="63"/>
      <c r="OYH2465" s="61"/>
      <c r="OYI2465" s="54"/>
      <c r="OYJ2465" s="54"/>
      <c r="OYK2465" s="60"/>
      <c r="OYL2465" s="60"/>
      <c r="OYM2465" s="60"/>
      <c r="OYN2465" s="60"/>
      <c r="OYO2465" s="63"/>
      <c r="OYP2465" s="61"/>
      <c r="OYQ2465" s="54"/>
      <c r="OYR2465" s="54"/>
      <c r="OYS2465" s="60"/>
      <c r="OYT2465" s="60"/>
      <c r="OYU2465" s="60"/>
      <c r="OYV2465" s="60"/>
      <c r="OYW2465" s="63"/>
      <c r="OYX2465" s="61"/>
      <c r="OYY2465" s="54"/>
      <c r="OYZ2465" s="54"/>
      <c r="OZA2465" s="60"/>
      <c r="OZB2465" s="60"/>
      <c r="OZC2465" s="60"/>
      <c r="OZD2465" s="60"/>
      <c r="OZE2465" s="63"/>
      <c r="OZF2465" s="61"/>
      <c r="OZG2465" s="54"/>
      <c r="OZH2465" s="54"/>
      <c r="OZI2465" s="60"/>
      <c r="OZJ2465" s="60"/>
      <c r="OZK2465" s="60"/>
      <c r="OZL2465" s="60"/>
      <c r="OZM2465" s="63"/>
      <c r="OZN2465" s="61"/>
      <c r="OZO2465" s="54"/>
      <c r="OZP2465" s="54"/>
      <c r="OZQ2465" s="60"/>
      <c r="OZR2465" s="60"/>
      <c r="OZS2465" s="60"/>
      <c r="OZT2465" s="60"/>
      <c r="OZU2465" s="63"/>
      <c r="OZV2465" s="61"/>
      <c r="OZW2465" s="54"/>
      <c r="OZX2465" s="54"/>
      <c r="OZY2465" s="60"/>
      <c r="OZZ2465" s="60"/>
      <c r="PAA2465" s="60"/>
      <c r="PAB2465" s="60"/>
      <c r="PAC2465" s="63"/>
      <c r="PAD2465" s="61"/>
      <c r="PAE2465" s="54"/>
      <c r="PAF2465" s="54"/>
      <c r="PAG2465" s="60"/>
      <c r="PAH2465" s="60"/>
      <c r="PAI2465" s="60"/>
      <c r="PAJ2465" s="60"/>
      <c r="PAK2465" s="63"/>
      <c r="PAL2465" s="61"/>
      <c r="PAM2465" s="54"/>
      <c r="PAN2465" s="54"/>
      <c r="PAO2465" s="60"/>
      <c r="PAP2465" s="60"/>
      <c r="PAQ2465" s="60"/>
      <c r="PAR2465" s="60"/>
      <c r="PAS2465" s="63"/>
      <c r="PAT2465" s="61"/>
      <c r="PAU2465" s="54"/>
      <c r="PAV2465" s="54"/>
      <c r="PAW2465" s="60"/>
      <c r="PAX2465" s="60"/>
      <c r="PAY2465" s="60"/>
      <c r="PAZ2465" s="60"/>
      <c r="PBA2465" s="63"/>
      <c r="PBB2465" s="61"/>
      <c r="PBC2465" s="54"/>
      <c r="PBD2465" s="54"/>
      <c r="PBE2465" s="60"/>
      <c r="PBF2465" s="60"/>
      <c r="PBG2465" s="60"/>
      <c r="PBH2465" s="60"/>
      <c r="PBI2465" s="63"/>
      <c r="PBJ2465" s="61"/>
      <c r="PBK2465" s="54"/>
      <c r="PBL2465" s="54"/>
      <c r="PBM2465" s="60"/>
      <c r="PBN2465" s="60"/>
      <c r="PBO2465" s="60"/>
      <c r="PBP2465" s="60"/>
      <c r="PBQ2465" s="63"/>
      <c r="PBR2465" s="61"/>
      <c r="PBS2465" s="54"/>
      <c r="PBT2465" s="54"/>
      <c r="PBU2465" s="60"/>
      <c r="PBV2465" s="60"/>
      <c r="PBW2465" s="60"/>
      <c r="PBX2465" s="60"/>
      <c r="PBY2465" s="63"/>
      <c r="PBZ2465" s="61"/>
      <c r="PCA2465" s="54"/>
      <c r="PCB2465" s="54"/>
      <c r="PCC2465" s="60"/>
      <c r="PCD2465" s="60"/>
      <c r="PCE2465" s="60"/>
      <c r="PCF2465" s="60"/>
      <c r="PCG2465" s="63"/>
      <c r="PCH2465" s="61"/>
      <c r="PCI2465" s="54"/>
      <c r="PCJ2465" s="54"/>
      <c r="PCK2465" s="60"/>
      <c r="PCL2465" s="60"/>
      <c r="PCM2465" s="60"/>
      <c r="PCN2465" s="60"/>
      <c r="PCO2465" s="63"/>
      <c r="PCP2465" s="61"/>
      <c r="PCQ2465" s="54"/>
      <c r="PCR2465" s="54"/>
      <c r="PCS2465" s="60"/>
      <c r="PCT2465" s="60"/>
      <c r="PCU2465" s="60"/>
      <c r="PCV2465" s="60"/>
      <c r="PCW2465" s="63"/>
      <c r="PCX2465" s="61"/>
      <c r="PCY2465" s="54"/>
      <c r="PCZ2465" s="54"/>
      <c r="PDA2465" s="60"/>
      <c r="PDB2465" s="60"/>
      <c r="PDC2465" s="60"/>
      <c r="PDD2465" s="60"/>
      <c r="PDE2465" s="63"/>
      <c r="PDF2465" s="61"/>
      <c r="PDG2465" s="54"/>
      <c r="PDH2465" s="54"/>
      <c r="PDI2465" s="60"/>
      <c r="PDJ2465" s="60"/>
      <c r="PDK2465" s="60"/>
      <c r="PDL2465" s="60"/>
      <c r="PDM2465" s="63"/>
      <c r="PDN2465" s="61"/>
      <c r="PDO2465" s="54"/>
      <c r="PDP2465" s="54"/>
      <c r="PDQ2465" s="60"/>
      <c r="PDR2465" s="60"/>
      <c r="PDS2465" s="60"/>
      <c r="PDT2465" s="60"/>
      <c r="PDU2465" s="63"/>
      <c r="PDV2465" s="61"/>
      <c r="PDW2465" s="54"/>
      <c r="PDX2465" s="54"/>
      <c r="PDY2465" s="60"/>
      <c r="PDZ2465" s="60"/>
      <c r="PEA2465" s="60"/>
      <c r="PEB2465" s="60"/>
      <c r="PEC2465" s="63"/>
      <c r="PED2465" s="61"/>
      <c r="PEE2465" s="54"/>
      <c r="PEF2465" s="54"/>
      <c r="PEG2465" s="60"/>
      <c r="PEH2465" s="60"/>
      <c r="PEI2465" s="60"/>
      <c r="PEJ2465" s="60"/>
      <c r="PEK2465" s="63"/>
      <c r="PEL2465" s="61"/>
      <c r="PEM2465" s="54"/>
      <c r="PEN2465" s="54"/>
      <c r="PEO2465" s="60"/>
      <c r="PEP2465" s="60"/>
      <c r="PEQ2465" s="60"/>
      <c r="PER2465" s="60"/>
      <c r="PES2465" s="63"/>
      <c r="PET2465" s="61"/>
      <c r="PEU2465" s="54"/>
      <c r="PEV2465" s="54"/>
      <c r="PEW2465" s="60"/>
      <c r="PEX2465" s="60"/>
      <c r="PEY2465" s="60"/>
      <c r="PEZ2465" s="60"/>
      <c r="PFA2465" s="63"/>
      <c r="PFB2465" s="61"/>
      <c r="PFC2465" s="54"/>
      <c r="PFD2465" s="54"/>
      <c r="PFE2465" s="60"/>
      <c r="PFF2465" s="60"/>
      <c r="PFG2465" s="60"/>
      <c r="PFH2465" s="60"/>
      <c r="PFI2465" s="63"/>
      <c r="PFJ2465" s="61"/>
      <c r="PFK2465" s="54"/>
      <c r="PFL2465" s="54"/>
      <c r="PFM2465" s="60"/>
      <c r="PFN2465" s="60"/>
      <c r="PFO2465" s="60"/>
      <c r="PFP2465" s="60"/>
      <c r="PFQ2465" s="63"/>
      <c r="PFR2465" s="61"/>
      <c r="PFS2465" s="54"/>
      <c r="PFT2465" s="54"/>
      <c r="PFU2465" s="60"/>
      <c r="PFV2465" s="60"/>
      <c r="PFW2465" s="60"/>
      <c r="PFX2465" s="60"/>
      <c r="PFY2465" s="63"/>
      <c r="PFZ2465" s="61"/>
      <c r="PGA2465" s="54"/>
      <c r="PGB2465" s="54"/>
      <c r="PGC2465" s="60"/>
      <c r="PGD2465" s="60"/>
      <c r="PGE2465" s="60"/>
      <c r="PGF2465" s="60"/>
      <c r="PGG2465" s="63"/>
      <c r="PGH2465" s="61"/>
      <c r="PGI2465" s="54"/>
      <c r="PGJ2465" s="54"/>
      <c r="PGK2465" s="60"/>
      <c r="PGL2465" s="60"/>
      <c r="PGM2465" s="60"/>
      <c r="PGN2465" s="60"/>
      <c r="PGO2465" s="63"/>
      <c r="PGP2465" s="61"/>
      <c r="PGQ2465" s="54"/>
      <c r="PGR2465" s="54"/>
      <c r="PGS2465" s="60"/>
      <c r="PGT2465" s="60"/>
      <c r="PGU2465" s="60"/>
      <c r="PGV2465" s="60"/>
      <c r="PGW2465" s="63"/>
      <c r="PGX2465" s="61"/>
      <c r="PGY2465" s="54"/>
      <c r="PGZ2465" s="54"/>
      <c r="PHA2465" s="60"/>
      <c r="PHB2465" s="60"/>
      <c r="PHC2465" s="60"/>
      <c r="PHD2465" s="60"/>
      <c r="PHE2465" s="63"/>
      <c r="PHF2465" s="61"/>
      <c r="PHG2465" s="54"/>
      <c r="PHH2465" s="54"/>
      <c r="PHI2465" s="60"/>
      <c r="PHJ2465" s="60"/>
      <c r="PHK2465" s="60"/>
      <c r="PHL2465" s="60"/>
      <c r="PHM2465" s="63"/>
      <c r="PHN2465" s="61"/>
      <c r="PHO2465" s="54"/>
      <c r="PHP2465" s="54"/>
      <c r="PHQ2465" s="60"/>
      <c r="PHR2465" s="60"/>
      <c r="PHS2465" s="60"/>
      <c r="PHT2465" s="60"/>
      <c r="PHU2465" s="63"/>
      <c r="PHV2465" s="61"/>
      <c r="PHW2465" s="54"/>
      <c r="PHX2465" s="54"/>
      <c r="PHY2465" s="60"/>
      <c r="PHZ2465" s="60"/>
      <c r="PIA2465" s="60"/>
      <c r="PIB2465" s="60"/>
      <c r="PIC2465" s="63"/>
      <c r="PID2465" s="61"/>
      <c r="PIE2465" s="54"/>
      <c r="PIF2465" s="54"/>
      <c r="PIG2465" s="60"/>
      <c r="PIH2465" s="60"/>
      <c r="PII2465" s="60"/>
      <c r="PIJ2465" s="60"/>
      <c r="PIK2465" s="63"/>
      <c r="PIL2465" s="61"/>
      <c r="PIM2465" s="54"/>
      <c r="PIN2465" s="54"/>
      <c r="PIO2465" s="60"/>
      <c r="PIP2465" s="60"/>
      <c r="PIQ2465" s="60"/>
      <c r="PIR2465" s="60"/>
      <c r="PIS2465" s="63"/>
      <c r="PIT2465" s="61"/>
      <c r="PIU2465" s="54"/>
      <c r="PIV2465" s="54"/>
      <c r="PIW2465" s="60"/>
      <c r="PIX2465" s="60"/>
      <c r="PIY2465" s="60"/>
      <c r="PIZ2465" s="60"/>
      <c r="PJA2465" s="63"/>
      <c r="PJB2465" s="61"/>
      <c r="PJC2465" s="54"/>
      <c r="PJD2465" s="54"/>
      <c r="PJE2465" s="60"/>
      <c r="PJF2465" s="60"/>
      <c r="PJG2465" s="60"/>
      <c r="PJH2465" s="60"/>
      <c r="PJI2465" s="63"/>
      <c r="PJJ2465" s="61"/>
      <c r="PJK2465" s="54"/>
      <c r="PJL2465" s="54"/>
      <c r="PJM2465" s="60"/>
      <c r="PJN2465" s="60"/>
      <c r="PJO2465" s="60"/>
      <c r="PJP2465" s="60"/>
      <c r="PJQ2465" s="63"/>
      <c r="PJR2465" s="61"/>
      <c r="PJS2465" s="54"/>
      <c r="PJT2465" s="54"/>
      <c r="PJU2465" s="60"/>
      <c r="PJV2465" s="60"/>
      <c r="PJW2465" s="60"/>
      <c r="PJX2465" s="60"/>
      <c r="PJY2465" s="63"/>
      <c r="PJZ2465" s="61"/>
      <c r="PKA2465" s="54"/>
      <c r="PKB2465" s="54"/>
      <c r="PKC2465" s="60"/>
      <c r="PKD2465" s="60"/>
      <c r="PKE2465" s="60"/>
      <c r="PKF2465" s="60"/>
      <c r="PKG2465" s="63"/>
      <c r="PKH2465" s="61"/>
      <c r="PKI2465" s="54"/>
      <c r="PKJ2465" s="54"/>
      <c r="PKK2465" s="60"/>
      <c r="PKL2465" s="60"/>
      <c r="PKM2465" s="60"/>
      <c r="PKN2465" s="60"/>
      <c r="PKO2465" s="63"/>
      <c r="PKP2465" s="61"/>
      <c r="PKQ2465" s="54"/>
      <c r="PKR2465" s="54"/>
      <c r="PKS2465" s="60"/>
      <c r="PKT2465" s="60"/>
      <c r="PKU2465" s="60"/>
      <c r="PKV2465" s="60"/>
      <c r="PKW2465" s="63"/>
      <c r="PKX2465" s="61"/>
      <c r="PKY2465" s="54"/>
      <c r="PKZ2465" s="54"/>
      <c r="PLA2465" s="60"/>
      <c r="PLB2465" s="60"/>
      <c r="PLC2465" s="60"/>
      <c r="PLD2465" s="60"/>
      <c r="PLE2465" s="63"/>
      <c r="PLF2465" s="61"/>
      <c r="PLG2465" s="54"/>
      <c r="PLH2465" s="54"/>
      <c r="PLI2465" s="60"/>
      <c r="PLJ2465" s="60"/>
      <c r="PLK2465" s="60"/>
      <c r="PLL2465" s="60"/>
      <c r="PLM2465" s="63"/>
      <c r="PLN2465" s="61"/>
      <c r="PLO2465" s="54"/>
      <c r="PLP2465" s="54"/>
      <c r="PLQ2465" s="60"/>
      <c r="PLR2465" s="60"/>
      <c r="PLS2465" s="60"/>
      <c r="PLT2465" s="60"/>
      <c r="PLU2465" s="63"/>
      <c r="PLV2465" s="61"/>
      <c r="PLW2465" s="54"/>
      <c r="PLX2465" s="54"/>
      <c r="PLY2465" s="60"/>
      <c r="PLZ2465" s="60"/>
      <c r="PMA2465" s="60"/>
      <c r="PMB2465" s="60"/>
      <c r="PMC2465" s="63"/>
      <c r="PMD2465" s="61"/>
      <c r="PME2465" s="54"/>
      <c r="PMF2465" s="54"/>
      <c r="PMG2465" s="60"/>
      <c r="PMH2465" s="60"/>
      <c r="PMI2465" s="60"/>
      <c r="PMJ2465" s="60"/>
      <c r="PMK2465" s="63"/>
      <c r="PML2465" s="61"/>
      <c r="PMM2465" s="54"/>
      <c r="PMN2465" s="54"/>
      <c r="PMO2465" s="60"/>
      <c r="PMP2465" s="60"/>
      <c r="PMQ2465" s="60"/>
      <c r="PMR2465" s="60"/>
      <c r="PMS2465" s="63"/>
      <c r="PMT2465" s="61"/>
      <c r="PMU2465" s="54"/>
      <c r="PMV2465" s="54"/>
      <c r="PMW2465" s="60"/>
      <c r="PMX2465" s="60"/>
      <c r="PMY2465" s="60"/>
      <c r="PMZ2465" s="60"/>
      <c r="PNA2465" s="63"/>
      <c r="PNB2465" s="61"/>
      <c r="PNC2465" s="54"/>
      <c r="PND2465" s="54"/>
      <c r="PNE2465" s="60"/>
      <c r="PNF2465" s="60"/>
      <c r="PNG2465" s="60"/>
      <c r="PNH2465" s="60"/>
      <c r="PNI2465" s="63"/>
      <c r="PNJ2465" s="61"/>
      <c r="PNK2465" s="54"/>
      <c r="PNL2465" s="54"/>
      <c r="PNM2465" s="60"/>
      <c r="PNN2465" s="60"/>
      <c r="PNO2465" s="60"/>
      <c r="PNP2465" s="60"/>
      <c r="PNQ2465" s="63"/>
      <c r="PNR2465" s="61"/>
      <c r="PNS2465" s="54"/>
      <c r="PNT2465" s="54"/>
      <c r="PNU2465" s="60"/>
      <c r="PNV2465" s="60"/>
      <c r="PNW2465" s="60"/>
      <c r="PNX2465" s="60"/>
      <c r="PNY2465" s="63"/>
      <c r="PNZ2465" s="61"/>
      <c r="POA2465" s="54"/>
      <c r="POB2465" s="54"/>
      <c r="POC2465" s="60"/>
      <c r="POD2465" s="60"/>
      <c r="POE2465" s="60"/>
      <c r="POF2465" s="60"/>
      <c r="POG2465" s="63"/>
      <c r="POH2465" s="61"/>
      <c r="POI2465" s="54"/>
      <c r="POJ2465" s="54"/>
      <c r="POK2465" s="60"/>
      <c r="POL2465" s="60"/>
      <c r="POM2465" s="60"/>
      <c r="PON2465" s="60"/>
      <c r="POO2465" s="63"/>
      <c r="POP2465" s="61"/>
      <c r="POQ2465" s="54"/>
      <c r="POR2465" s="54"/>
      <c r="POS2465" s="60"/>
      <c r="POT2465" s="60"/>
      <c r="POU2465" s="60"/>
      <c r="POV2465" s="60"/>
      <c r="POW2465" s="63"/>
      <c r="POX2465" s="61"/>
      <c r="POY2465" s="54"/>
      <c r="POZ2465" s="54"/>
      <c r="PPA2465" s="60"/>
      <c r="PPB2465" s="60"/>
      <c r="PPC2465" s="60"/>
      <c r="PPD2465" s="60"/>
      <c r="PPE2465" s="63"/>
      <c r="PPF2465" s="61"/>
      <c r="PPG2465" s="54"/>
      <c r="PPH2465" s="54"/>
      <c r="PPI2465" s="60"/>
      <c r="PPJ2465" s="60"/>
      <c r="PPK2465" s="60"/>
      <c r="PPL2465" s="60"/>
      <c r="PPM2465" s="63"/>
      <c r="PPN2465" s="61"/>
      <c r="PPO2465" s="54"/>
      <c r="PPP2465" s="54"/>
      <c r="PPQ2465" s="60"/>
      <c r="PPR2465" s="60"/>
      <c r="PPS2465" s="60"/>
      <c r="PPT2465" s="60"/>
      <c r="PPU2465" s="63"/>
      <c r="PPV2465" s="61"/>
      <c r="PPW2465" s="54"/>
      <c r="PPX2465" s="54"/>
      <c r="PPY2465" s="60"/>
      <c r="PPZ2465" s="60"/>
      <c r="PQA2465" s="60"/>
      <c r="PQB2465" s="60"/>
      <c r="PQC2465" s="63"/>
      <c r="PQD2465" s="61"/>
      <c r="PQE2465" s="54"/>
      <c r="PQF2465" s="54"/>
      <c r="PQG2465" s="60"/>
      <c r="PQH2465" s="60"/>
      <c r="PQI2465" s="60"/>
      <c r="PQJ2465" s="60"/>
      <c r="PQK2465" s="63"/>
      <c r="PQL2465" s="61"/>
      <c r="PQM2465" s="54"/>
      <c r="PQN2465" s="54"/>
      <c r="PQO2465" s="60"/>
      <c r="PQP2465" s="60"/>
      <c r="PQQ2465" s="60"/>
      <c r="PQR2465" s="60"/>
      <c r="PQS2465" s="63"/>
      <c r="PQT2465" s="61"/>
      <c r="PQU2465" s="54"/>
      <c r="PQV2465" s="54"/>
      <c r="PQW2465" s="60"/>
      <c r="PQX2465" s="60"/>
      <c r="PQY2465" s="60"/>
      <c r="PQZ2465" s="60"/>
      <c r="PRA2465" s="63"/>
      <c r="PRB2465" s="61"/>
      <c r="PRC2465" s="54"/>
      <c r="PRD2465" s="54"/>
      <c r="PRE2465" s="60"/>
      <c r="PRF2465" s="60"/>
      <c r="PRG2465" s="60"/>
      <c r="PRH2465" s="60"/>
      <c r="PRI2465" s="63"/>
      <c r="PRJ2465" s="61"/>
      <c r="PRK2465" s="54"/>
      <c r="PRL2465" s="54"/>
      <c r="PRM2465" s="60"/>
      <c r="PRN2465" s="60"/>
      <c r="PRO2465" s="60"/>
      <c r="PRP2465" s="60"/>
      <c r="PRQ2465" s="63"/>
      <c r="PRR2465" s="61"/>
      <c r="PRS2465" s="54"/>
      <c r="PRT2465" s="54"/>
      <c r="PRU2465" s="60"/>
      <c r="PRV2465" s="60"/>
      <c r="PRW2465" s="60"/>
      <c r="PRX2465" s="60"/>
      <c r="PRY2465" s="63"/>
      <c r="PRZ2465" s="61"/>
      <c r="PSA2465" s="54"/>
      <c r="PSB2465" s="54"/>
      <c r="PSC2465" s="60"/>
      <c r="PSD2465" s="60"/>
      <c r="PSE2465" s="60"/>
      <c r="PSF2465" s="60"/>
      <c r="PSG2465" s="63"/>
      <c r="PSH2465" s="61"/>
      <c r="PSI2465" s="54"/>
      <c r="PSJ2465" s="54"/>
      <c r="PSK2465" s="60"/>
      <c r="PSL2465" s="60"/>
      <c r="PSM2465" s="60"/>
      <c r="PSN2465" s="60"/>
      <c r="PSO2465" s="63"/>
      <c r="PSP2465" s="61"/>
      <c r="PSQ2465" s="54"/>
      <c r="PSR2465" s="54"/>
      <c r="PSS2465" s="60"/>
      <c r="PST2465" s="60"/>
      <c r="PSU2465" s="60"/>
      <c r="PSV2465" s="60"/>
      <c r="PSW2465" s="63"/>
      <c r="PSX2465" s="61"/>
      <c r="PSY2465" s="54"/>
      <c r="PSZ2465" s="54"/>
      <c r="PTA2465" s="60"/>
      <c r="PTB2465" s="60"/>
      <c r="PTC2465" s="60"/>
      <c r="PTD2465" s="60"/>
      <c r="PTE2465" s="63"/>
      <c r="PTF2465" s="61"/>
      <c r="PTG2465" s="54"/>
      <c r="PTH2465" s="54"/>
      <c r="PTI2465" s="60"/>
      <c r="PTJ2465" s="60"/>
      <c r="PTK2465" s="60"/>
      <c r="PTL2465" s="60"/>
      <c r="PTM2465" s="63"/>
      <c r="PTN2465" s="61"/>
      <c r="PTO2465" s="54"/>
      <c r="PTP2465" s="54"/>
      <c r="PTQ2465" s="60"/>
      <c r="PTR2465" s="60"/>
      <c r="PTS2465" s="60"/>
      <c r="PTT2465" s="60"/>
      <c r="PTU2465" s="63"/>
      <c r="PTV2465" s="61"/>
      <c r="PTW2465" s="54"/>
      <c r="PTX2465" s="54"/>
      <c r="PTY2465" s="60"/>
      <c r="PTZ2465" s="60"/>
      <c r="PUA2465" s="60"/>
      <c r="PUB2465" s="60"/>
      <c r="PUC2465" s="63"/>
      <c r="PUD2465" s="61"/>
      <c r="PUE2465" s="54"/>
      <c r="PUF2465" s="54"/>
      <c r="PUG2465" s="60"/>
      <c r="PUH2465" s="60"/>
      <c r="PUI2465" s="60"/>
      <c r="PUJ2465" s="60"/>
      <c r="PUK2465" s="63"/>
      <c r="PUL2465" s="61"/>
      <c r="PUM2465" s="54"/>
      <c r="PUN2465" s="54"/>
      <c r="PUO2465" s="60"/>
      <c r="PUP2465" s="60"/>
      <c r="PUQ2465" s="60"/>
      <c r="PUR2465" s="60"/>
      <c r="PUS2465" s="63"/>
      <c r="PUT2465" s="61"/>
      <c r="PUU2465" s="54"/>
      <c r="PUV2465" s="54"/>
      <c r="PUW2465" s="60"/>
      <c r="PUX2465" s="60"/>
      <c r="PUY2465" s="60"/>
      <c r="PUZ2465" s="60"/>
      <c r="PVA2465" s="63"/>
      <c r="PVB2465" s="61"/>
      <c r="PVC2465" s="54"/>
      <c r="PVD2465" s="54"/>
      <c r="PVE2465" s="60"/>
      <c r="PVF2465" s="60"/>
      <c r="PVG2465" s="60"/>
      <c r="PVH2465" s="60"/>
      <c r="PVI2465" s="63"/>
      <c r="PVJ2465" s="61"/>
      <c r="PVK2465" s="54"/>
      <c r="PVL2465" s="54"/>
      <c r="PVM2465" s="60"/>
      <c r="PVN2465" s="60"/>
      <c r="PVO2465" s="60"/>
      <c r="PVP2465" s="60"/>
      <c r="PVQ2465" s="63"/>
      <c r="PVR2465" s="61"/>
      <c r="PVS2465" s="54"/>
      <c r="PVT2465" s="54"/>
      <c r="PVU2465" s="60"/>
      <c r="PVV2465" s="60"/>
      <c r="PVW2465" s="60"/>
      <c r="PVX2465" s="60"/>
      <c r="PVY2465" s="63"/>
      <c r="PVZ2465" s="61"/>
      <c r="PWA2465" s="54"/>
      <c r="PWB2465" s="54"/>
      <c r="PWC2465" s="60"/>
      <c r="PWD2465" s="60"/>
      <c r="PWE2465" s="60"/>
      <c r="PWF2465" s="60"/>
      <c r="PWG2465" s="63"/>
      <c r="PWH2465" s="61"/>
      <c r="PWI2465" s="54"/>
      <c r="PWJ2465" s="54"/>
      <c r="PWK2465" s="60"/>
      <c r="PWL2465" s="60"/>
      <c r="PWM2465" s="60"/>
      <c r="PWN2465" s="60"/>
      <c r="PWO2465" s="63"/>
      <c r="PWP2465" s="61"/>
      <c r="PWQ2465" s="54"/>
      <c r="PWR2465" s="54"/>
      <c r="PWS2465" s="60"/>
      <c r="PWT2465" s="60"/>
      <c r="PWU2465" s="60"/>
      <c r="PWV2465" s="60"/>
      <c r="PWW2465" s="63"/>
      <c r="PWX2465" s="61"/>
      <c r="PWY2465" s="54"/>
      <c r="PWZ2465" s="54"/>
      <c r="PXA2465" s="60"/>
      <c r="PXB2465" s="60"/>
      <c r="PXC2465" s="60"/>
      <c r="PXD2465" s="60"/>
      <c r="PXE2465" s="63"/>
      <c r="PXF2465" s="61"/>
      <c r="PXG2465" s="54"/>
      <c r="PXH2465" s="54"/>
      <c r="PXI2465" s="60"/>
      <c r="PXJ2465" s="60"/>
      <c r="PXK2465" s="60"/>
      <c r="PXL2465" s="60"/>
      <c r="PXM2465" s="63"/>
      <c r="PXN2465" s="61"/>
      <c r="PXO2465" s="54"/>
      <c r="PXP2465" s="54"/>
      <c r="PXQ2465" s="60"/>
      <c r="PXR2465" s="60"/>
      <c r="PXS2465" s="60"/>
      <c r="PXT2465" s="60"/>
      <c r="PXU2465" s="63"/>
      <c r="PXV2465" s="61"/>
      <c r="PXW2465" s="54"/>
      <c r="PXX2465" s="54"/>
      <c r="PXY2465" s="60"/>
      <c r="PXZ2465" s="60"/>
      <c r="PYA2465" s="60"/>
      <c r="PYB2465" s="60"/>
      <c r="PYC2465" s="63"/>
      <c r="PYD2465" s="61"/>
      <c r="PYE2465" s="54"/>
      <c r="PYF2465" s="54"/>
      <c r="PYG2465" s="60"/>
      <c r="PYH2465" s="60"/>
      <c r="PYI2465" s="60"/>
      <c r="PYJ2465" s="60"/>
      <c r="PYK2465" s="63"/>
      <c r="PYL2465" s="61"/>
      <c r="PYM2465" s="54"/>
      <c r="PYN2465" s="54"/>
      <c r="PYO2465" s="60"/>
      <c r="PYP2465" s="60"/>
      <c r="PYQ2465" s="60"/>
      <c r="PYR2465" s="60"/>
      <c r="PYS2465" s="63"/>
      <c r="PYT2465" s="61"/>
      <c r="PYU2465" s="54"/>
      <c r="PYV2465" s="54"/>
      <c r="PYW2465" s="60"/>
      <c r="PYX2465" s="60"/>
      <c r="PYY2465" s="60"/>
      <c r="PYZ2465" s="60"/>
      <c r="PZA2465" s="63"/>
      <c r="PZB2465" s="61"/>
      <c r="PZC2465" s="54"/>
      <c r="PZD2465" s="54"/>
      <c r="PZE2465" s="60"/>
      <c r="PZF2465" s="60"/>
      <c r="PZG2465" s="60"/>
      <c r="PZH2465" s="60"/>
      <c r="PZI2465" s="63"/>
      <c r="PZJ2465" s="61"/>
      <c r="PZK2465" s="54"/>
      <c r="PZL2465" s="54"/>
      <c r="PZM2465" s="60"/>
      <c r="PZN2465" s="60"/>
      <c r="PZO2465" s="60"/>
      <c r="PZP2465" s="60"/>
      <c r="PZQ2465" s="63"/>
      <c r="PZR2465" s="61"/>
      <c r="PZS2465" s="54"/>
      <c r="PZT2465" s="54"/>
      <c r="PZU2465" s="60"/>
      <c r="PZV2465" s="60"/>
      <c r="PZW2465" s="60"/>
      <c r="PZX2465" s="60"/>
      <c r="PZY2465" s="63"/>
      <c r="PZZ2465" s="61"/>
      <c r="QAA2465" s="54"/>
      <c r="QAB2465" s="54"/>
      <c r="QAC2465" s="60"/>
      <c r="QAD2465" s="60"/>
      <c r="QAE2465" s="60"/>
      <c r="QAF2465" s="60"/>
      <c r="QAG2465" s="63"/>
      <c r="QAH2465" s="61"/>
      <c r="QAI2465" s="54"/>
      <c r="QAJ2465" s="54"/>
      <c r="QAK2465" s="60"/>
      <c r="QAL2465" s="60"/>
      <c r="QAM2465" s="60"/>
      <c r="QAN2465" s="60"/>
      <c r="QAO2465" s="63"/>
      <c r="QAP2465" s="61"/>
      <c r="QAQ2465" s="54"/>
      <c r="QAR2465" s="54"/>
      <c r="QAS2465" s="60"/>
      <c r="QAT2465" s="60"/>
      <c r="QAU2465" s="60"/>
      <c r="QAV2465" s="60"/>
      <c r="QAW2465" s="63"/>
      <c r="QAX2465" s="61"/>
      <c r="QAY2465" s="54"/>
      <c r="QAZ2465" s="54"/>
      <c r="QBA2465" s="60"/>
      <c r="QBB2465" s="60"/>
      <c r="QBC2465" s="60"/>
      <c r="QBD2465" s="60"/>
      <c r="QBE2465" s="63"/>
      <c r="QBF2465" s="61"/>
      <c r="QBG2465" s="54"/>
      <c r="QBH2465" s="54"/>
      <c r="QBI2465" s="60"/>
      <c r="QBJ2465" s="60"/>
      <c r="QBK2465" s="60"/>
      <c r="QBL2465" s="60"/>
      <c r="QBM2465" s="63"/>
      <c r="QBN2465" s="61"/>
      <c r="QBO2465" s="54"/>
      <c r="QBP2465" s="54"/>
      <c r="QBQ2465" s="60"/>
      <c r="QBR2465" s="60"/>
      <c r="QBS2465" s="60"/>
      <c r="QBT2465" s="60"/>
      <c r="QBU2465" s="63"/>
      <c r="QBV2465" s="61"/>
      <c r="QBW2465" s="54"/>
      <c r="QBX2465" s="54"/>
      <c r="QBY2465" s="60"/>
      <c r="QBZ2465" s="60"/>
      <c r="QCA2465" s="60"/>
      <c r="QCB2465" s="60"/>
      <c r="QCC2465" s="63"/>
      <c r="QCD2465" s="61"/>
      <c r="QCE2465" s="54"/>
      <c r="QCF2465" s="54"/>
      <c r="QCG2465" s="60"/>
      <c r="QCH2465" s="60"/>
      <c r="QCI2465" s="60"/>
      <c r="QCJ2465" s="60"/>
      <c r="QCK2465" s="63"/>
      <c r="QCL2465" s="61"/>
      <c r="QCM2465" s="54"/>
      <c r="QCN2465" s="54"/>
      <c r="QCO2465" s="60"/>
      <c r="QCP2465" s="60"/>
      <c r="QCQ2465" s="60"/>
      <c r="QCR2465" s="60"/>
      <c r="QCS2465" s="63"/>
      <c r="QCT2465" s="61"/>
      <c r="QCU2465" s="54"/>
      <c r="QCV2465" s="54"/>
      <c r="QCW2465" s="60"/>
      <c r="QCX2465" s="60"/>
      <c r="QCY2465" s="60"/>
      <c r="QCZ2465" s="60"/>
      <c r="QDA2465" s="63"/>
      <c r="QDB2465" s="61"/>
      <c r="QDC2465" s="54"/>
      <c r="QDD2465" s="54"/>
      <c r="QDE2465" s="60"/>
      <c r="QDF2465" s="60"/>
      <c r="QDG2465" s="60"/>
      <c r="QDH2465" s="60"/>
      <c r="QDI2465" s="63"/>
      <c r="QDJ2465" s="61"/>
      <c r="QDK2465" s="54"/>
      <c r="QDL2465" s="54"/>
      <c r="QDM2465" s="60"/>
      <c r="QDN2465" s="60"/>
      <c r="QDO2465" s="60"/>
      <c r="QDP2465" s="60"/>
      <c r="QDQ2465" s="63"/>
      <c r="QDR2465" s="61"/>
      <c r="QDS2465" s="54"/>
      <c r="QDT2465" s="54"/>
      <c r="QDU2465" s="60"/>
      <c r="QDV2465" s="60"/>
      <c r="QDW2465" s="60"/>
      <c r="QDX2465" s="60"/>
      <c r="QDY2465" s="63"/>
      <c r="QDZ2465" s="61"/>
      <c r="QEA2465" s="54"/>
      <c r="QEB2465" s="54"/>
      <c r="QEC2465" s="60"/>
      <c r="QED2465" s="60"/>
      <c r="QEE2465" s="60"/>
      <c r="QEF2465" s="60"/>
      <c r="QEG2465" s="63"/>
      <c r="QEH2465" s="61"/>
      <c r="QEI2465" s="54"/>
      <c r="QEJ2465" s="54"/>
      <c r="QEK2465" s="60"/>
      <c r="QEL2465" s="60"/>
      <c r="QEM2465" s="60"/>
      <c r="QEN2465" s="60"/>
      <c r="QEO2465" s="63"/>
      <c r="QEP2465" s="61"/>
      <c r="QEQ2465" s="54"/>
      <c r="QER2465" s="54"/>
      <c r="QES2465" s="60"/>
      <c r="QET2465" s="60"/>
      <c r="QEU2465" s="60"/>
      <c r="QEV2465" s="60"/>
      <c r="QEW2465" s="63"/>
      <c r="QEX2465" s="61"/>
      <c r="QEY2465" s="54"/>
      <c r="QEZ2465" s="54"/>
      <c r="QFA2465" s="60"/>
      <c r="QFB2465" s="60"/>
      <c r="QFC2465" s="60"/>
      <c r="QFD2465" s="60"/>
      <c r="QFE2465" s="63"/>
      <c r="QFF2465" s="61"/>
      <c r="QFG2465" s="54"/>
      <c r="QFH2465" s="54"/>
      <c r="QFI2465" s="60"/>
      <c r="QFJ2465" s="60"/>
      <c r="QFK2465" s="60"/>
      <c r="QFL2465" s="60"/>
      <c r="QFM2465" s="63"/>
      <c r="QFN2465" s="61"/>
      <c r="QFO2465" s="54"/>
      <c r="QFP2465" s="54"/>
      <c r="QFQ2465" s="60"/>
      <c r="QFR2465" s="60"/>
      <c r="QFS2465" s="60"/>
      <c r="QFT2465" s="60"/>
      <c r="QFU2465" s="63"/>
      <c r="QFV2465" s="61"/>
      <c r="QFW2465" s="54"/>
      <c r="QFX2465" s="54"/>
      <c r="QFY2465" s="60"/>
      <c r="QFZ2465" s="60"/>
      <c r="QGA2465" s="60"/>
      <c r="QGB2465" s="60"/>
      <c r="QGC2465" s="63"/>
      <c r="QGD2465" s="61"/>
      <c r="QGE2465" s="54"/>
      <c r="QGF2465" s="54"/>
      <c r="QGG2465" s="60"/>
      <c r="QGH2465" s="60"/>
      <c r="QGI2465" s="60"/>
      <c r="QGJ2465" s="60"/>
      <c r="QGK2465" s="63"/>
      <c r="QGL2465" s="61"/>
      <c r="QGM2465" s="54"/>
      <c r="QGN2465" s="54"/>
      <c r="QGO2465" s="60"/>
      <c r="QGP2465" s="60"/>
      <c r="QGQ2465" s="60"/>
      <c r="QGR2465" s="60"/>
      <c r="QGS2465" s="63"/>
      <c r="QGT2465" s="61"/>
      <c r="QGU2465" s="54"/>
      <c r="QGV2465" s="54"/>
      <c r="QGW2465" s="60"/>
      <c r="QGX2465" s="60"/>
      <c r="QGY2465" s="60"/>
      <c r="QGZ2465" s="60"/>
      <c r="QHA2465" s="63"/>
      <c r="QHB2465" s="61"/>
      <c r="QHC2465" s="54"/>
      <c r="QHD2465" s="54"/>
      <c r="QHE2465" s="60"/>
      <c r="QHF2465" s="60"/>
      <c r="QHG2465" s="60"/>
      <c r="QHH2465" s="60"/>
      <c r="QHI2465" s="63"/>
      <c r="QHJ2465" s="61"/>
      <c r="QHK2465" s="54"/>
      <c r="QHL2465" s="54"/>
      <c r="QHM2465" s="60"/>
      <c r="QHN2465" s="60"/>
      <c r="QHO2465" s="60"/>
      <c r="QHP2465" s="60"/>
      <c r="QHQ2465" s="63"/>
      <c r="QHR2465" s="61"/>
      <c r="QHS2465" s="54"/>
      <c r="QHT2465" s="54"/>
      <c r="QHU2465" s="60"/>
      <c r="QHV2465" s="60"/>
      <c r="QHW2465" s="60"/>
      <c r="QHX2465" s="60"/>
      <c r="QHY2465" s="63"/>
      <c r="QHZ2465" s="61"/>
      <c r="QIA2465" s="54"/>
      <c r="QIB2465" s="54"/>
      <c r="QIC2465" s="60"/>
      <c r="QID2465" s="60"/>
      <c r="QIE2465" s="60"/>
      <c r="QIF2465" s="60"/>
      <c r="QIG2465" s="63"/>
      <c r="QIH2465" s="61"/>
      <c r="QII2465" s="54"/>
      <c r="QIJ2465" s="54"/>
      <c r="QIK2465" s="60"/>
      <c r="QIL2465" s="60"/>
      <c r="QIM2465" s="60"/>
      <c r="QIN2465" s="60"/>
      <c r="QIO2465" s="63"/>
      <c r="QIP2465" s="61"/>
      <c r="QIQ2465" s="54"/>
      <c r="QIR2465" s="54"/>
      <c r="QIS2465" s="60"/>
      <c r="QIT2465" s="60"/>
      <c r="QIU2465" s="60"/>
      <c r="QIV2465" s="60"/>
      <c r="QIW2465" s="63"/>
      <c r="QIX2465" s="61"/>
      <c r="QIY2465" s="54"/>
      <c r="QIZ2465" s="54"/>
      <c r="QJA2465" s="60"/>
      <c r="QJB2465" s="60"/>
      <c r="QJC2465" s="60"/>
      <c r="QJD2465" s="60"/>
      <c r="QJE2465" s="63"/>
      <c r="QJF2465" s="61"/>
      <c r="QJG2465" s="54"/>
      <c r="QJH2465" s="54"/>
      <c r="QJI2465" s="60"/>
      <c r="QJJ2465" s="60"/>
      <c r="QJK2465" s="60"/>
      <c r="QJL2465" s="60"/>
      <c r="QJM2465" s="63"/>
      <c r="QJN2465" s="61"/>
      <c r="QJO2465" s="54"/>
      <c r="QJP2465" s="54"/>
      <c r="QJQ2465" s="60"/>
      <c r="QJR2465" s="60"/>
      <c r="QJS2465" s="60"/>
      <c r="QJT2465" s="60"/>
      <c r="QJU2465" s="63"/>
      <c r="QJV2465" s="61"/>
      <c r="QJW2465" s="54"/>
      <c r="QJX2465" s="54"/>
      <c r="QJY2465" s="60"/>
      <c r="QJZ2465" s="60"/>
      <c r="QKA2465" s="60"/>
      <c r="QKB2465" s="60"/>
      <c r="QKC2465" s="63"/>
      <c r="QKD2465" s="61"/>
      <c r="QKE2465" s="54"/>
      <c r="QKF2465" s="54"/>
      <c r="QKG2465" s="60"/>
      <c r="QKH2465" s="60"/>
      <c r="QKI2465" s="60"/>
      <c r="QKJ2465" s="60"/>
      <c r="QKK2465" s="63"/>
      <c r="QKL2465" s="61"/>
      <c r="QKM2465" s="54"/>
      <c r="QKN2465" s="54"/>
      <c r="QKO2465" s="60"/>
      <c r="QKP2465" s="60"/>
      <c r="QKQ2465" s="60"/>
      <c r="QKR2465" s="60"/>
      <c r="QKS2465" s="63"/>
      <c r="QKT2465" s="61"/>
      <c r="QKU2465" s="54"/>
      <c r="QKV2465" s="54"/>
      <c r="QKW2465" s="60"/>
      <c r="QKX2465" s="60"/>
      <c r="QKY2465" s="60"/>
      <c r="QKZ2465" s="60"/>
      <c r="QLA2465" s="63"/>
      <c r="QLB2465" s="61"/>
      <c r="QLC2465" s="54"/>
      <c r="QLD2465" s="54"/>
      <c r="QLE2465" s="60"/>
      <c r="QLF2465" s="60"/>
      <c r="QLG2465" s="60"/>
      <c r="QLH2465" s="60"/>
      <c r="QLI2465" s="63"/>
      <c r="QLJ2465" s="61"/>
      <c r="QLK2465" s="54"/>
      <c r="QLL2465" s="54"/>
      <c r="QLM2465" s="60"/>
      <c r="QLN2465" s="60"/>
      <c r="QLO2465" s="60"/>
      <c r="QLP2465" s="60"/>
      <c r="QLQ2465" s="63"/>
      <c r="QLR2465" s="61"/>
      <c r="QLS2465" s="54"/>
      <c r="QLT2465" s="54"/>
      <c r="QLU2465" s="60"/>
      <c r="QLV2465" s="60"/>
      <c r="QLW2465" s="60"/>
      <c r="QLX2465" s="60"/>
      <c r="QLY2465" s="63"/>
      <c r="QLZ2465" s="61"/>
      <c r="QMA2465" s="54"/>
      <c r="QMB2465" s="54"/>
      <c r="QMC2465" s="60"/>
      <c r="QMD2465" s="60"/>
      <c r="QME2465" s="60"/>
      <c r="QMF2465" s="60"/>
      <c r="QMG2465" s="63"/>
      <c r="QMH2465" s="61"/>
      <c r="QMI2465" s="54"/>
      <c r="QMJ2465" s="54"/>
      <c r="QMK2465" s="60"/>
      <c r="QML2465" s="60"/>
      <c r="QMM2465" s="60"/>
      <c r="QMN2465" s="60"/>
      <c r="QMO2465" s="63"/>
      <c r="QMP2465" s="61"/>
      <c r="QMQ2465" s="54"/>
      <c r="QMR2465" s="54"/>
      <c r="QMS2465" s="60"/>
      <c r="QMT2465" s="60"/>
      <c r="QMU2465" s="60"/>
      <c r="QMV2465" s="60"/>
      <c r="QMW2465" s="63"/>
      <c r="QMX2465" s="61"/>
      <c r="QMY2465" s="54"/>
      <c r="QMZ2465" s="54"/>
      <c r="QNA2465" s="60"/>
      <c r="QNB2465" s="60"/>
      <c r="QNC2465" s="60"/>
      <c r="QND2465" s="60"/>
      <c r="QNE2465" s="63"/>
      <c r="QNF2465" s="61"/>
      <c r="QNG2465" s="54"/>
      <c r="QNH2465" s="54"/>
      <c r="QNI2465" s="60"/>
      <c r="QNJ2465" s="60"/>
      <c r="QNK2465" s="60"/>
      <c r="QNL2465" s="60"/>
      <c r="QNM2465" s="63"/>
      <c r="QNN2465" s="61"/>
      <c r="QNO2465" s="54"/>
      <c r="QNP2465" s="54"/>
      <c r="QNQ2465" s="60"/>
      <c r="QNR2465" s="60"/>
      <c r="QNS2465" s="60"/>
      <c r="QNT2465" s="60"/>
      <c r="QNU2465" s="63"/>
      <c r="QNV2465" s="61"/>
      <c r="QNW2465" s="54"/>
      <c r="QNX2465" s="54"/>
      <c r="QNY2465" s="60"/>
      <c r="QNZ2465" s="60"/>
      <c r="QOA2465" s="60"/>
      <c r="QOB2465" s="60"/>
      <c r="QOC2465" s="63"/>
      <c r="QOD2465" s="61"/>
      <c r="QOE2465" s="54"/>
      <c r="QOF2465" s="54"/>
      <c r="QOG2465" s="60"/>
      <c r="QOH2465" s="60"/>
      <c r="QOI2465" s="60"/>
      <c r="QOJ2465" s="60"/>
      <c r="QOK2465" s="63"/>
      <c r="QOL2465" s="61"/>
      <c r="QOM2465" s="54"/>
      <c r="QON2465" s="54"/>
      <c r="QOO2465" s="60"/>
      <c r="QOP2465" s="60"/>
      <c r="QOQ2465" s="60"/>
      <c r="QOR2465" s="60"/>
      <c r="QOS2465" s="63"/>
      <c r="QOT2465" s="61"/>
      <c r="QOU2465" s="54"/>
      <c r="QOV2465" s="54"/>
      <c r="QOW2465" s="60"/>
      <c r="QOX2465" s="60"/>
      <c r="QOY2465" s="60"/>
      <c r="QOZ2465" s="60"/>
      <c r="QPA2465" s="63"/>
      <c r="QPB2465" s="61"/>
      <c r="QPC2465" s="54"/>
      <c r="QPD2465" s="54"/>
      <c r="QPE2465" s="60"/>
      <c r="QPF2465" s="60"/>
      <c r="QPG2465" s="60"/>
      <c r="QPH2465" s="60"/>
      <c r="QPI2465" s="63"/>
      <c r="QPJ2465" s="61"/>
      <c r="QPK2465" s="54"/>
      <c r="QPL2465" s="54"/>
      <c r="QPM2465" s="60"/>
      <c r="QPN2465" s="60"/>
      <c r="QPO2465" s="60"/>
      <c r="QPP2465" s="60"/>
      <c r="QPQ2465" s="63"/>
      <c r="QPR2465" s="61"/>
      <c r="QPS2465" s="54"/>
      <c r="QPT2465" s="54"/>
      <c r="QPU2465" s="60"/>
      <c r="QPV2465" s="60"/>
      <c r="QPW2465" s="60"/>
      <c r="QPX2465" s="60"/>
      <c r="QPY2465" s="63"/>
      <c r="QPZ2465" s="61"/>
      <c r="QQA2465" s="54"/>
      <c r="QQB2465" s="54"/>
      <c r="QQC2465" s="60"/>
      <c r="QQD2465" s="60"/>
      <c r="QQE2465" s="60"/>
      <c r="QQF2465" s="60"/>
      <c r="QQG2465" s="63"/>
      <c r="QQH2465" s="61"/>
      <c r="QQI2465" s="54"/>
      <c r="QQJ2465" s="54"/>
      <c r="QQK2465" s="60"/>
      <c r="QQL2465" s="60"/>
      <c r="QQM2465" s="60"/>
      <c r="QQN2465" s="60"/>
      <c r="QQO2465" s="63"/>
      <c r="QQP2465" s="61"/>
      <c r="QQQ2465" s="54"/>
      <c r="QQR2465" s="54"/>
      <c r="QQS2465" s="60"/>
      <c r="QQT2465" s="60"/>
      <c r="QQU2465" s="60"/>
      <c r="QQV2465" s="60"/>
      <c r="QQW2465" s="63"/>
      <c r="QQX2465" s="61"/>
      <c r="QQY2465" s="54"/>
      <c r="QQZ2465" s="54"/>
      <c r="QRA2465" s="60"/>
      <c r="QRB2465" s="60"/>
      <c r="QRC2465" s="60"/>
      <c r="QRD2465" s="60"/>
      <c r="QRE2465" s="63"/>
      <c r="QRF2465" s="61"/>
      <c r="QRG2465" s="54"/>
      <c r="QRH2465" s="54"/>
      <c r="QRI2465" s="60"/>
      <c r="QRJ2465" s="60"/>
      <c r="QRK2465" s="60"/>
      <c r="QRL2465" s="60"/>
      <c r="QRM2465" s="63"/>
      <c r="QRN2465" s="61"/>
      <c r="QRO2465" s="54"/>
      <c r="QRP2465" s="54"/>
      <c r="QRQ2465" s="60"/>
      <c r="QRR2465" s="60"/>
      <c r="QRS2465" s="60"/>
      <c r="QRT2465" s="60"/>
      <c r="QRU2465" s="63"/>
      <c r="QRV2465" s="61"/>
      <c r="QRW2465" s="54"/>
      <c r="QRX2465" s="54"/>
      <c r="QRY2465" s="60"/>
      <c r="QRZ2465" s="60"/>
      <c r="QSA2465" s="60"/>
      <c r="QSB2465" s="60"/>
      <c r="QSC2465" s="63"/>
      <c r="QSD2465" s="61"/>
      <c r="QSE2465" s="54"/>
      <c r="QSF2465" s="54"/>
      <c r="QSG2465" s="60"/>
      <c r="QSH2465" s="60"/>
      <c r="QSI2465" s="60"/>
      <c r="QSJ2465" s="60"/>
      <c r="QSK2465" s="63"/>
      <c r="QSL2465" s="61"/>
      <c r="QSM2465" s="54"/>
      <c r="QSN2465" s="54"/>
      <c r="QSO2465" s="60"/>
      <c r="QSP2465" s="60"/>
      <c r="QSQ2465" s="60"/>
      <c r="QSR2465" s="60"/>
      <c r="QSS2465" s="63"/>
      <c r="QST2465" s="61"/>
      <c r="QSU2465" s="54"/>
      <c r="QSV2465" s="54"/>
      <c r="QSW2465" s="60"/>
      <c r="QSX2465" s="60"/>
      <c r="QSY2465" s="60"/>
      <c r="QSZ2465" s="60"/>
      <c r="QTA2465" s="63"/>
      <c r="QTB2465" s="61"/>
      <c r="QTC2465" s="54"/>
      <c r="QTD2465" s="54"/>
      <c r="QTE2465" s="60"/>
      <c r="QTF2465" s="60"/>
      <c r="QTG2465" s="60"/>
      <c r="QTH2465" s="60"/>
      <c r="QTI2465" s="63"/>
      <c r="QTJ2465" s="61"/>
      <c r="QTK2465" s="54"/>
      <c r="QTL2465" s="54"/>
      <c r="QTM2465" s="60"/>
      <c r="QTN2465" s="60"/>
      <c r="QTO2465" s="60"/>
      <c r="QTP2465" s="60"/>
      <c r="QTQ2465" s="63"/>
      <c r="QTR2465" s="61"/>
      <c r="QTS2465" s="54"/>
      <c r="QTT2465" s="54"/>
      <c r="QTU2465" s="60"/>
      <c r="QTV2465" s="60"/>
      <c r="QTW2465" s="60"/>
      <c r="QTX2465" s="60"/>
      <c r="QTY2465" s="63"/>
      <c r="QTZ2465" s="61"/>
      <c r="QUA2465" s="54"/>
      <c r="QUB2465" s="54"/>
      <c r="QUC2465" s="60"/>
      <c r="QUD2465" s="60"/>
      <c r="QUE2465" s="60"/>
      <c r="QUF2465" s="60"/>
      <c r="QUG2465" s="63"/>
      <c r="QUH2465" s="61"/>
      <c r="QUI2465" s="54"/>
      <c r="QUJ2465" s="54"/>
      <c r="QUK2465" s="60"/>
      <c r="QUL2465" s="60"/>
      <c r="QUM2465" s="60"/>
      <c r="QUN2465" s="60"/>
      <c r="QUO2465" s="63"/>
      <c r="QUP2465" s="61"/>
      <c r="QUQ2465" s="54"/>
      <c r="QUR2465" s="54"/>
      <c r="QUS2465" s="60"/>
      <c r="QUT2465" s="60"/>
      <c r="QUU2465" s="60"/>
      <c r="QUV2465" s="60"/>
      <c r="QUW2465" s="63"/>
      <c r="QUX2465" s="61"/>
      <c r="QUY2465" s="54"/>
      <c r="QUZ2465" s="54"/>
      <c r="QVA2465" s="60"/>
      <c r="QVB2465" s="60"/>
      <c r="QVC2465" s="60"/>
      <c r="QVD2465" s="60"/>
      <c r="QVE2465" s="63"/>
      <c r="QVF2465" s="61"/>
      <c r="QVG2465" s="54"/>
      <c r="QVH2465" s="54"/>
      <c r="QVI2465" s="60"/>
      <c r="QVJ2465" s="60"/>
      <c r="QVK2465" s="60"/>
      <c r="QVL2465" s="60"/>
      <c r="QVM2465" s="63"/>
      <c r="QVN2465" s="61"/>
      <c r="QVO2465" s="54"/>
      <c r="QVP2465" s="54"/>
      <c r="QVQ2465" s="60"/>
      <c r="QVR2465" s="60"/>
      <c r="QVS2465" s="60"/>
      <c r="QVT2465" s="60"/>
      <c r="QVU2465" s="63"/>
      <c r="QVV2465" s="61"/>
      <c r="QVW2465" s="54"/>
      <c r="QVX2465" s="54"/>
      <c r="QVY2465" s="60"/>
      <c r="QVZ2465" s="60"/>
      <c r="QWA2465" s="60"/>
      <c r="QWB2465" s="60"/>
      <c r="QWC2465" s="63"/>
      <c r="QWD2465" s="61"/>
      <c r="QWE2465" s="54"/>
      <c r="QWF2465" s="54"/>
      <c r="QWG2465" s="60"/>
      <c r="QWH2465" s="60"/>
      <c r="QWI2465" s="60"/>
      <c r="QWJ2465" s="60"/>
      <c r="QWK2465" s="63"/>
      <c r="QWL2465" s="61"/>
      <c r="QWM2465" s="54"/>
      <c r="QWN2465" s="54"/>
      <c r="QWO2465" s="60"/>
      <c r="QWP2465" s="60"/>
      <c r="QWQ2465" s="60"/>
      <c r="QWR2465" s="60"/>
      <c r="QWS2465" s="63"/>
      <c r="QWT2465" s="61"/>
      <c r="QWU2465" s="54"/>
      <c r="QWV2465" s="54"/>
      <c r="QWW2465" s="60"/>
      <c r="QWX2465" s="60"/>
      <c r="QWY2465" s="60"/>
      <c r="QWZ2465" s="60"/>
      <c r="QXA2465" s="63"/>
      <c r="QXB2465" s="61"/>
      <c r="QXC2465" s="54"/>
      <c r="QXD2465" s="54"/>
      <c r="QXE2465" s="60"/>
      <c r="QXF2465" s="60"/>
      <c r="QXG2465" s="60"/>
      <c r="QXH2465" s="60"/>
      <c r="QXI2465" s="63"/>
      <c r="QXJ2465" s="61"/>
      <c r="QXK2465" s="54"/>
      <c r="QXL2465" s="54"/>
      <c r="QXM2465" s="60"/>
      <c r="QXN2465" s="60"/>
      <c r="QXO2465" s="60"/>
      <c r="QXP2465" s="60"/>
      <c r="QXQ2465" s="63"/>
      <c r="QXR2465" s="61"/>
      <c r="QXS2465" s="54"/>
      <c r="QXT2465" s="54"/>
      <c r="QXU2465" s="60"/>
      <c r="QXV2465" s="60"/>
      <c r="QXW2465" s="60"/>
      <c r="QXX2465" s="60"/>
      <c r="QXY2465" s="63"/>
      <c r="QXZ2465" s="61"/>
      <c r="QYA2465" s="54"/>
      <c r="QYB2465" s="54"/>
      <c r="QYC2465" s="60"/>
      <c r="QYD2465" s="60"/>
      <c r="QYE2465" s="60"/>
      <c r="QYF2465" s="60"/>
      <c r="QYG2465" s="63"/>
      <c r="QYH2465" s="61"/>
      <c r="QYI2465" s="54"/>
      <c r="QYJ2465" s="54"/>
      <c r="QYK2465" s="60"/>
      <c r="QYL2465" s="60"/>
      <c r="QYM2465" s="60"/>
      <c r="QYN2465" s="60"/>
      <c r="QYO2465" s="63"/>
      <c r="QYP2465" s="61"/>
      <c r="QYQ2465" s="54"/>
      <c r="QYR2465" s="54"/>
      <c r="QYS2465" s="60"/>
      <c r="QYT2465" s="60"/>
      <c r="QYU2465" s="60"/>
      <c r="QYV2465" s="60"/>
      <c r="QYW2465" s="63"/>
      <c r="QYX2465" s="61"/>
      <c r="QYY2465" s="54"/>
      <c r="QYZ2465" s="54"/>
      <c r="QZA2465" s="60"/>
      <c r="QZB2465" s="60"/>
      <c r="QZC2465" s="60"/>
      <c r="QZD2465" s="60"/>
      <c r="QZE2465" s="63"/>
      <c r="QZF2465" s="61"/>
      <c r="QZG2465" s="54"/>
      <c r="QZH2465" s="54"/>
      <c r="QZI2465" s="60"/>
      <c r="QZJ2465" s="60"/>
      <c r="QZK2465" s="60"/>
      <c r="QZL2465" s="60"/>
      <c r="QZM2465" s="63"/>
      <c r="QZN2465" s="61"/>
      <c r="QZO2465" s="54"/>
      <c r="QZP2465" s="54"/>
      <c r="QZQ2465" s="60"/>
      <c r="QZR2465" s="60"/>
      <c r="QZS2465" s="60"/>
      <c r="QZT2465" s="60"/>
      <c r="QZU2465" s="63"/>
      <c r="QZV2465" s="61"/>
      <c r="QZW2465" s="54"/>
      <c r="QZX2465" s="54"/>
      <c r="QZY2465" s="60"/>
      <c r="QZZ2465" s="60"/>
      <c r="RAA2465" s="60"/>
      <c r="RAB2465" s="60"/>
      <c r="RAC2465" s="63"/>
      <c r="RAD2465" s="61"/>
      <c r="RAE2465" s="54"/>
      <c r="RAF2465" s="54"/>
      <c r="RAG2465" s="60"/>
      <c r="RAH2465" s="60"/>
      <c r="RAI2465" s="60"/>
      <c r="RAJ2465" s="60"/>
      <c r="RAK2465" s="63"/>
      <c r="RAL2465" s="61"/>
      <c r="RAM2465" s="54"/>
      <c r="RAN2465" s="54"/>
      <c r="RAO2465" s="60"/>
      <c r="RAP2465" s="60"/>
      <c r="RAQ2465" s="60"/>
      <c r="RAR2465" s="60"/>
      <c r="RAS2465" s="63"/>
      <c r="RAT2465" s="61"/>
      <c r="RAU2465" s="54"/>
      <c r="RAV2465" s="54"/>
      <c r="RAW2465" s="60"/>
      <c r="RAX2465" s="60"/>
      <c r="RAY2465" s="60"/>
      <c r="RAZ2465" s="60"/>
      <c r="RBA2465" s="63"/>
      <c r="RBB2465" s="61"/>
      <c r="RBC2465" s="54"/>
      <c r="RBD2465" s="54"/>
      <c r="RBE2465" s="60"/>
      <c r="RBF2465" s="60"/>
      <c r="RBG2465" s="60"/>
      <c r="RBH2465" s="60"/>
      <c r="RBI2465" s="63"/>
      <c r="RBJ2465" s="61"/>
      <c r="RBK2465" s="54"/>
      <c r="RBL2465" s="54"/>
      <c r="RBM2465" s="60"/>
      <c r="RBN2465" s="60"/>
      <c r="RBO2465" s="60"/>
      <c r="RBP2465" s="60"/>
      <c r="RBQ2465" s="63"/>
      <c r="RBR2465" s="61"/>
      <c r="RBS2465" s="54"/>
      <c r="RBT2465" s="54"/>
      <c r="RBU2465" s="60"/>
      <c r="RBV2465" s="60"/>
      <c r="RBW2465" s="60"/>
      <c r="RBX2465" s="60"/>
      <c r="RBY2465" s="63"/>
      <c r="RBZ2465" s="61"/>
      <c r="RCA2465" s="54"/>
      <c r="RCB2465" s="54"/>
      <c r="RCC2465" s="60"/>
      <c r="RCD2465" s="60"/>
      <c r="RCE2465" s="60"/>
      <c r="RCF2465" s="60"/>
      <c r="RCG2465" s="63"/>
      <c r="RCH2465" s="61"/>
      <c r="RCI2465" s="54"/>
      <c r="RCJ2465" s="54"/>
      <c r="RCK2465" s="60"/>
      <c r="RCL2465" s="60"/>
      <c r="RCM2465" s="60"/>
      <c r="RCN2465" s="60"/>
      <c r="RCO2465" s="63"/>
      <c r="RCP2465" s="61"/>
      <c r="RCQ2465" s="54"/>
      <c r="RCR2465" s="54"/>
      <c r="RCS2465" s="60"/>
      <c r="RCT2465" s="60"/>
      <c r="RCU2465" s="60"/>
      <c r="RCV2465" s="60"/>
      <c r="RCW2465" s="63"/>
      <c r="RCX2465" s="61"/>
      <c r="RCY2465" s="54"/>
      <c r="RCZ2465" s="54"/>
      <c r="RDA2465" s="60"/>
      <c r="RDB2465" s="60"/>
      <c r="RDC2465" s="60"/>
      <c r="RDD2465" s="60"/>
      <c r="RDE2465" s="63"/>
      <c r="RDF2465" s="61"/>
      <c r="RDG2465" s="54"/>
      <c r="RDH2465" s="54"/>
      <c r="RDI2465" s="60"/>
      <c r="RDJ2465" s="60"/>
      <c r="RDK2465" s="60"/>
      <c r="RDL2465" s="60"/>
      <c r="RDM2465" s="63"/>
      <c r="RDN2465" s="61"/>
      <c r="RDO2465" s="54"/>
      <c r="RDP2465" s="54"/>
      <c r="RDQ2465" s="60"/>
      <c r="RDR2465" s="60"/>
      <c r="RDS2465" s="60"/>
      <c r="RDT2465" s="60"/>
      <c r="RDU2465" s="63"/>
      <c r="RDV2465" s="61"/>
      <c r="RDW2465" s="54"/>
      <c r="RDX2465" s="54"/>
      <c r="RDY2465" s="60"/>
      <c r="RDZ2465" s="60"/>
      <c r="REA2465" s="60"/>
      <c r="REB2465" s="60"/>
      <c r="REC2465" s="63"/>
      <c r="RED2465" s="61"/>
      <c r="REE2465" s="54"/>
      <c r="REF2465" s="54"/>
      <c r="REG2465" s="60"/>
      <c r="REH2465" s="60"/>
      <c r="REI2465" s="60"/>
      <c r="REJ2465" s="60"/>
      <c r="REK2465" s="63"/>
      <c r="REL2465" s="61"/>
      <c r="REM2465" s="54"/>
      <c r="REN2465" s="54"/>
      <c r="REO2465" s="60"/>
      <c r="REP2465" s="60"/>
      <c r="REQ2465" s="60"/>
      <c r="RER2465" s="60"/>
      <c r="RES2465" s="63"/>
      <c r="RET2465" s="61"/>
      <c r="REU2465" s="54"/>
      <c r="REV2465" s="54"/>
      <c r="REW2465" s="60"/>
      <c r="REX2465" s="60"/>
      <c r="REY2465" s="60"/>
      <c r="REZ2465" s="60"/>
      <c r="RFA2465" s="63"/>
      <c r="RFB2465" s="61"/>
      <c r="RFC2465" s="54"/>
      <c r="RFD2465" s="54"/>
      <c r="RFE2465" s="60"/>
      <c r="RFF2465" s="60"/>
      <c r="RFG2465" s="60"/>
      <c r="RFH2465" s="60"/>
      <c r="RFI2465" s="63"/>
      <c r="RFJ2465" s="61"/>
      <c r="RFK2465" s="54"/>
      <c r="RFL2465" s="54"/>
      <c r="RFM2465" s="60"/>
      <c r="RFN2465" s="60"/>
      <c r="RFO2465" s="60"/>
      <c r="RFP2465" s="60"/>
      <c r="RFQ2465" s="63"/>
      <c r="RFR2465" s="61"/>
      <c r="RFS2465" s="54"/>
      <c r="RFT2465" s="54"/>
      <c r="RFU2465" s="60"/>
      <c r="RFV2465" s="60"/>
      <c r="RFW2465" s="60"/>
      <c r="RFX2465" s="60"/>
      <c r="RFY2465" s="63"/>
      <c r="RFZ2465" s="61"/>
      <c r="RGA2465" s="54"/>
      <c r="RGB2465" s="54"/>
      <c r="RGC2465" s="60"/>
      <c r="RGD2465" s="60"/>
      <c r="RGE2465" s="60"/>
      <c r="RGF2465" s="60"/>
      <c r="RGG2465" s="63"/>
      <c r="RGH2465" s="61"/>
      <c r="RGI2465" s="54"/>
      <c r="RGJ2465" s="54"/>
      <c r="RGK2465" s="60"/>
      <c r="RGL2465" s="60"/>
      <c r="RGM2465" s="60"/>
      <c r="RGN2465" s="60"/>
      <c r="RGO2465" s="63"/>
      <c r="RGP2465" s="61"/>
      <c r="RGQ2465" s="54"/>
      <c r="RGR2465" s="54"/>
      <c r="RGS2465" s="60"/>
      <c r="RGT2465" s="60"/>
      <c r="RGU2465" s="60"/>
      <c r="RGV2465" s="60"/>
      <c r="RGW2465" s="63"/>
      <c r="RGX2465" s="61"/>
      <c r="RGY2465" s="54"/>
      <c r="RGZ2465" s="54"/>
      <c r="RHA2465" s="60"/>
      <c r="RHB2465" s="60"/>
      <c r="RHC2465" s="60"/>
      <c r="RHD2465" s="60"/>
      <c r="RHE2465" s="63"/>
      <c r="RHF2465" s="61"/>
      <c r="RHG2465" s="54"/>
      <c r="RHH2465" s="54"/>
      <c r="RHI2465" s="60"/>
      <c r="RHJ2465" s="60"/>
      <c r="RHK2465" s="60"/>
      <c r="RHL2465" s="60"/>
      <c r="RHM2465" s="63"/>
      <c r="RHN2465" s="61"/>
      <c r="RHO2465" s="54"/>
      <c r="RHP2465" s="54"/>
      <c r="RHQ2465" s="60"/>
      <c r="RHR2465" s="60"/>
      <c r="RHS2465" s="60"/>
      <c r="RHT2465" s="60"/>
      <c r="RHU2465" s="63"/>
      <c r="RHV2465" s="61"/>
      <c r="RHW2465" s="54"/>
      <c r="RHX2465" s="54"/>
      <c r="RHY2465" s="60"/>
      <c r="RHZ2465" s="60"/>
      <c r="RIA2465" s="60"/>
      <c r="RIB2465" s="60"/>
      <c r="RIC2465" s="63"/>
      <c r="RID2465" s="61"/>
      <c r="RIE2465" s="54"/>
      <c r="RIF2465" s="54"/>
      <c r="RIG2465" s="60"/>
      <c r="RIH2465" s="60"/>
      <c r="RII2465" s="60"/>
      <c r="RIJ2465" s="60"/>
      <c r="RIK2465" s="63"/>
      <c r="RIL2465" s="61"/>
      <c r="RIM2465" s="54"/>
      <c r="RIN2465" s="54"/>
      <c r="RIO2465" s="60"/>
      <c r="RIP2465" s="60"/>
      <c r="RIQ2465" s="60"/>
      <c r="RIR2465" s="60"/>
      <c r="RIS2465" s="63"/>
      <c r="RIT2465" s="61"/>
      <c r="RIU2465" s="54"/>
      <c r="RIV2465" s="54"/>
      <c r="RIW2465" s="60"/>
      <c r="RIX2465" s="60"/>
      <c r="RIY2465" s="60"/>
      <c r="RIZ2465" s="60"/>
      <c r="RJA2465" s="63"/>
      <c r="RJB2465" s="61"/>
      <c r="RJC2465" s="54"/>
      <c r="RJD2465" s="54"/>
      <c r="RJE2465" s="60"/>
      <c r="RJF2465" s="60"/>
      <c r="RJG2465" s="60"/>
      <c r="RJH2465" s="60"/>
      <c r="RJI2465" s="63"/>
      <c r="RJJ2465" s="61"/>
      <c r="RJK2465" s="54"/>
      <c r="RJL2465" s="54"/>
      <c r="RJM2465" s="60"/>
      <c r="RJN2465" s="60"/>
      <c r="RJO2465" s="60"/>
      <c r="RJP2465" s="60"/>
      <c r="RJQ2465" s="63"/>
      <c r="RJR2465" s="61"/>
      <c r="RJS2465" s="54"/>
      <c r="RJT2465" s="54"/>
      <c r="RJU2465" s="60"/>
      <c r="RJV2465" s="60"/>
      <c r="RJW2465" s="60"/>
      <c r="RJX2465" s="60"/>
      <c r="RJY2465" s="63"/>
      <c r="RJZ2465" s="61"/>
      <c r="RKA2465" s="54"/>
      <c r="RKB2465" s="54"/>
      <c r="RKC2465" s="60"/>
      <c r="RKD2465" s="60"/>
      <c r="RKE2465" s="60"/>
      <c r="RKF2465" s="60"/>
      <c r="RKG2465" s="63"/>
      <c r="RKH2465" s="61"/>
      <c r="RKI2465" s="54"/>
      <c r="RKJ2465" s="54"/>
      <c r="RKK2465" s="60"/>
      <c r="RKL2465" s="60"/>
      <c r="RKM2465" s="60"/>
      <c r="RKN2465" s="60"/>
      <c r="RKO2465" s="63"/>
      <c r="RKP2465" s="61"/>
      <c r="RKQ2465" s="54"/>
      <c r="RKR2465" s="54"/>
      <c r="RKS2465" s="60"/>
      <c r="RKT2465" s="60"/>
      <c r="RKU2465" s="60"/>
      <c r="RKV2465" s="60"/>
      <c r="RKW2465" s="63"/>
      <c r="RKX2465" s="61"/>
      <c r="RKY2465" s="54"/>
      <c r="RKZ2465" s="54"/>
      <c r="RLA2465" s="60"/>
      <c r="RLB2465" s="60"/>
      <c r="RLC2465" s="60"/>
      <c r="RLD2465" s="60"/>
      <c r="RLE2465" s="63"/>
      <c r="RLF2465" s="61"/>
      <c r="RLG2465" s="54"/>
      <c r="RLH2465" s="54"/>
      <c r="RLI2465" s="60"/>
      <c r="RLJ2465" s="60"/>
      <c r="RLK2465" s="60"/>
      <c r="RLL2465" s="60"/>
      <c r="RLM2465" s="63"/>
      <c r="RLN2465" s="61"/>
      <c r="RLO2465" s="54"/>
      <c r="RLP2465" s="54"/>
      <c r="RLQ2465" s="60"/>
      <c r="RLR2465" s="60"/>
      <c r="RLS2465" s="60"/>
      <c r="RLT2465" s="60"/>
      <c r="RLU2465" s="63"/>
      <c r="RLV2465" s="61"/>
      <c r="RLW2465" s="54"/>
      <c r="RLX2465" s="54"/>
      <c r="RLY2465" s="60"/>
      <c r="RLZ2465" s="60"/>
      <c r="RMA2465" s="60"/>
      <c r="RMB2465" s="60"/>
      <c r="RMC2465" s="63"/>
      <c r="RMD2465" s="61"/>
      <c r="RME2465" s="54"/>
      <c r="RMF2465" s="54"/>
      <c r="RMG2465" s="60"/>
      <c r="RMH2465" s="60"/>
      <c r="RMI2465" s="60"/>
      <c r="RMJ2465" s="60"/>
      <c r="RMK2465" s="63"/>
      <c r="RML2465" s="61"/>
      <c r="RMM2465" s="54"/>
      <c r="RMN2465" s="54"/>
      <c r="RMO2465" s="60"/>
      <c r="RMP2465" s="60"/>
      <c r="RMQ2465" s="60"/>
      <c r="RMR2465" s="60"/>
      <c r="RMS2465" s="63"/>
      <c r="RMT2465" s="61"/>
      <c r="RMU2465" s="54"/>
      <c r="RMV2465" s="54"/>
      <c r="RMW2465" s="60"/>
      <c r="RMX2465" s="60"/>
      <c r="RMY2465" s="60"/>
      <c r="RMZ2465" s="60"/>
      <c r="RNA2465" s="63"/>
      <c r="RNB2465" s="61"/>
      <c r="RNC2465" s="54"/>
      <c r="RND2465" s="54"/>
      <c r="RNE2465" s="60"/>
      <c r="RNF2465" s="60"/>
      <c r="RNG2465" s="60"/>
      <c r="RNH2465" s="60"/>
      <c r="RNI2465" s="63"/>
      <c r="RNJ2465" s="61"/>
      <c r="RNK2465" s="54"/>
      <c r="RNL2465" s="54"/>
      <c r="RNM2465" s="60"/>
      <c r="RNN2465" s="60"/>
      <c r="RNO2465" s="60"/>
      <c r="RNP2465" s="60"/>
      <c r="RNQ2465" s="63"/>
      <c r="RNR2465" s="61"/>
      <c r="RNS2465" s="54"/>
      <c r="RNT2465" s="54"/>
      <c r="RNU2465" s="60"/>
      <c r="RNV2465" s="60"/>
      <c r="RNW2465" s="60"/>
      <c r="RNX2465" s="60"/>
      <c r="RNY2465" s="63"/>
      <c r="RNZ2465" s="61"/>
      <c r="ROA2465" s="54"/>
      <c r="ROB2465" s="54"/>
      <c r="ROC2465" s="60"/>
      <c r="ROD2465" s="60"/>
      <c r="ROE2465" s="60"/>
      <c r="ROF2465" s="60"/>
      <c r="ROG2465" s="63"/>
      <c r="ROH2465" s="61"/>
      <c r="ROI2465" s="54"/>
      <c r="ROJ2465" s="54"/>
      <c r="ROK2465" s="60"/>
      <c r="ROL2465" s="60"/>
      <c r="ROM2465" s="60"/>
      <c r="RON2465" s="60"/>
      <c r="ROO2465" s="63"/>
      <c r="ROP2465" s="61"/>
      <c r="ROQ2465" s="54"/>
      <c r="ROR2465" s="54"/>
      <c r="ROS2465" s="60"/>
      <c r="ROT2465" s="60"/>
      <c r="ROU2465" s="60"/>
      <c r="ROV2465" s="60"/>
      <c r="ROW2465" s="63"/>
      <c r="ROX2465" s="61"/>
      <c r="ROY2465" s="54"/>
      <c r="ROZ2465" s="54"/>
      <c r="RPA2465" s="60"/>
      <c r="RPB2465" s="60"/>
      <c r="RPC2465" s="60"/>
      <c r="RPD2465" s="60"/>
      <c r="RPE2465" s="63"/>
      <c r="RPF2465" s="61"/>
      <c r="RPG2465" s="54"/>
      <c r="RPH2465" s="54"/>
      <c r="RPI2465" s="60"/>
      <c r="RPJ2465" s="60"/>
      <c r="RPK2465" s="60"/>
      <c r="RPL2465" s="60"/>
      <c r="RPM2465" s="63"/>
      <c r="RPN2465" s="61"/>
      <c r="RPO2465" s="54"/>
      <c r="RPP2465" s="54"/>
      <c r="RPQ2465" s="60"/>
      <c r="RPR2465" s="60"/>
      <c r="RPS2465" s="60"/>
      <c r="RPT2465" s="60"/>
      <c r="RPU2465" s="63"/>
      <c r="RPV2465" s="61"/>
      <c r="RPW2465" s="54"/>
      <c r="RPX2465" s="54"/>
      <c r="RPY2465" s="60"/>
      <c r="RPZ2465" s="60"/>
      <c r="RQA2465" s="60"/>
      <c r="RQB2465" s="60"/>
      <c r="RQC2465" s="63"/>
      <c r="RQD2465" s="61"/>
      <c r="RQE2465" s="54"/>
      <c r="RQF2465" s="54"/>
      <c r="RQG2465" s="60"/>
      <c r="RQH2465" s="60"/>
      <c r="RQI2465" s="60"/>
      <c r="RQJ2465" s="60"/>
      <c r="RQK2465" s="63"/>
      <c r="RQL2465" s="61"/>
      <c r="RQM2465" s="54"/>
      <c r="RQN2465" s="54"/>
      <c r="RQO2465" s="60"/>
      <c r="RQP2465" s="60"/>
      <c r="RQQ2465" s="60"/>
      <c r="RQR2465" s="60"/>
      <c r="RQS2465" s="63"/>
      <c r="RQT2465" s="61"/>
      <c r="RQU2465" s="54"/>
      <c r="RQV2465" s="54"/>
      <c r="RQW2465" s="60"/>
      <c r="RQX2465" s="60"/>
      <c r="RQY2465" s="60"/>
      <c r="RQZ2465" s="60"/>
      <c r="RRA2465" s="63"/>
      <c r="RRB2465" s="61"/>
      <c r="RRC2465" s="54"/>
      <c r="RRD2465" s="54"/>
      <c r="RRE2465" s="60"/>
      <c r="RRF2465" s="60"/>
      <c r="RRG2465" s="60"/>
      <c r="RRH2465" s="60"/>
      <c r="RRI2465" s="63"/>
      <c r="RRJ2465" s="61"/>
      <c r="RRK2465" s="54"/>
      <c r="RRL2465" s="54"/>
      <c r="RRM2465" s="60"/>
      <c r="RRN2465" s="60"/>
      <c r="RRO2465" s="60"/>
      <c r="RRP2465" s="60"/>
      <c r="RRQ2465" s="63"/>
      <c r="RRR2465" s="61"/>
      <c r="RRS2465" s="54"/>
      <c r="RRT2465" s="54"/>
      <c r="RRU2465" s="60"/>
      <c r="RRV2465" s="60"/>
      <c r="RRW2465" s="60"/>
      <c r="RRX2465" s="60"/>
      <c r="RRY2465" s="63"/>
      <c r="RRZ2465" s="61"/>
      <c r="RSA2465" s="54"/>
      <c r="RSB2465" s="54"/>
      <c r="RSC2465" s="60"/>
      <c r="RSD2465" s="60"/>
      <c r="RSE2465" s="60"/>
      <c r="RSF2465" s="60"/>
      <c r="RSG2465" s="63"/>
      <c r="RSH2465" s="61"/>
      <c r="RSI2465" s="54"/>
      <c r="RSJ2465" s="54"/>
      <c r="RSK2465" s="60"/>
      <c r="RSL2465" s="60"/>
      <c r="RSM2465" s="60"/>
      <c r="RSN2465" s="60"/>
      <c r="RSO2465" s="63"/>
      <c r="RSP2465" s="61"/>
      <c r="RSQ2465" s="54"/>
      <c r="RSR2465" s="54"/>
      <c r="RSS2465" s="60"/>
      <c r="RST2465" s="60"/>
      <c r="RSU2465" s="60"/>
      <c r="RSV2465" s="60"/>
      <c r="RSW2465" s="63"/>
      <c r="RSX2465" s="61"/>
      <c r="RSY2465" s="54"/>
      <c r="RSZ2465" s="54"/>
      <c r="RTA2465" s="60"/>
      <c r="RTB2465" s="60"/>
      <c r="RTC2465" s="60"/>
      <c r="RTD2465" s="60"/>
      <c r="RTE2465" s="63"/>
      <c r="RTF2465" s="61"/>
      <c r="RTG2465" s="54"/>
      <c r="RTH2465" s="54"/>
      <c r="RTI2465" s="60"/>
      <c r="RTJ2465" s="60"/>
      <c r="RTK2465" s="60"/>
      <c r="RTL2465" s="60"/>
      <c r="RTM2465" s="63"/>
      <c r="RTN2465" s="61"/>
      <c r="RTO2465" s="54"/>
      <c r="RTP2465" s="54"/>
      <c r="RTQ2465" s="60"/>
      <c r="RTR2465" s="60"/>
      <c r="RTS2465" s="60"/>
      <c r="RTT2465" s="60"/>
      <c r="RTU2465" s="63"/>
      <c r="RTV2465" s="61"/>
      <c r="RTW2465" s="54"/>
      <c r="RTX2465" s="54"/>
      <c r="RTY2465" s="60"/>
      <c r="RTZ2465" s="60"/>
      <c r="RUA2465" s="60"/>
      <c r="RUB2465" s="60"/>
      <c r="RUC2465" s="63"/>
      <c r="RUD2465" s="61"/>
      <c r="RUE2465" s="54"/>
      <c r="RUF2465" s="54"/>
      <c r="RUG2465" s="60"/>
      <c r="RUH2465" s="60"/>
      <c r="RUI2465" s="60"/>
      <c r="RUJ2465" s="60"/>
      <c r="RUK2465" s="63"/>
      <c r="RUL2465" s="61"/>
      <c r="RUM2465" s="54"/>
      <c r="RUN2465" s="54"/>
      <c r="RUO2465" s="60"/>
      <c r="RUP2465" s="60"/>
      <c r="RUQ2465" s="60"/>
      <c r="RUR2465" s="60"/>
      <c r="RUS2465" s="63"/>
      <c r="RUT2465" s="61"/>
      <c r="RUU2465" s="54"/>
      <c r="RUV2465" s="54"/>
      <c r="RUW2465" s="60"/>
      <c r="RUX2465" s="60"/>
      <c r="RUY2465" s="60"/>
      <c r="RUZ2465" s="60"/>
      <c r="RVA2465" s="63"/>
      <c r="RVB2465" s="61"/>
      <c r="RVC2465" s="54"/>
      <c r="RVD2465" s="54"/>
      <c r="RVE2465" s="60"/>
      <c r="RVF2465" s="60"/>
      <c r="RVG2465" s="60"/>
      <c r="RVH2465" s="60"/>
      <c r="RVI2465" s="63"/>
      <c r="RVJ2465" s="61"/>
      <c r="RVK2465" s="54"/>
      <c r="RVL2465" s="54"/>
      <c r="RVM2465" s="60"/>
      <c r="RVN2465" s="60"/>
      <c r="RVO2465" s="60"/>
      <c r="RVP2465" s="60"/>
      <c r="RVQ2465" s="63"/>
      <c r="RVR2465" s="61"/>
      <c r="RVS2465" s="54"/>
      <c r="RVT2465" s="54"/>
      <c r="RVU2465" s="60"/>
      <c r="RVV2465" s="60"/>
      <c r="RVW2465" s="60"/>
      <c r="RVX2465" s="60"/>
      <c r="RVY2465" s="63"/>
      <c r="RVZ2465" s="61"/>
      <c r="RWA2465" s="54"/>
      <c r="RWB2465" s="54"/>
      <c r="RWC2465" s="60"/>
      <c r="RWD2465" s="60"/>
      <c r="RWE2465" s="60"/>
      <c r="RWF2465" s="60"/>
      <c r="RWG2465" s="63"/>
      <c r="RWH2465" s="61"/>
      <c r="RWI2465" s="54"/>
      <c r="RWJ2465" s="54"/>
      <c r="RWK2465" s="60"/>
      <c r="RWL2465" s="60"/>
      <c r="RWM2465" s="60"/>
      <c r="RWN2465" s="60"/>
      <c r="RWO2465" s="63"/>
      <c r="RWP2465" s="61"/>
      <c r="RWQ2465" s="54"/>
      <c r="RWR2465" s="54"/>
      <c r="RWS2465" s="60"/>
      <c r="RWT2465" s="60"/>
      <c r="RWU2465" s="60"/>
      <c r="RWV2465" s="60"/>
      <c r="RWW2465" s="63"/>
      <c r="RWX2465" s="61"/>
      <c r="RWY2465" s="54"/>
      <c r="RWZ2465" s="54"/>
      <c r="RXA2465" s="60"/>
      <c r="RXB2465" s="60"/>
      <c r="RXC2465" s="60"/>
      <c r="RXD2465" s="60"/>
      <c r="RXE2465" s="63"/>
      <c r="RXF2465" s="61"/>
      <c r="RXG2465" s="54"/>
      <c r="RXH2465" s="54"/>
      <c r="RXI2465" s="60"/>
      <c r="RXJ2465" s="60"/>
      <c r="RXK2465" s="60"/>
      <c r="RXL2465" s="60"/>
      <c r="RXM2465" s="63"/>
      <c r="RXN2465" s="61"/>
      <c r="RXO2465" s="54"/>
      <c r="RXP2465" s="54"/>
      <c r="RXQ2465" s="60"/>
      <c r="RXR2465" s="60"/>
      <c r="RXS2465" s="60"/>
      <c r="RXT2465" s="60"/>
      <c r="RXU2465" s="63"/>
      <c r="RXV2465" s="61"/>
      <c r="RXW2465" s="54"/>
      <c r="RXX2465" s="54"/>
      <c r="RXY2465" s="60"/>
      <c r="RXZ2465" s="60"/>
      <c r="RYA2465" s="60"/>
      <c r="RYB2465" s="60"/>
      <c r="RYC2465" s="63"/>
      <c r="RYD2465" s="61"/>
      <c r="RYE2465" s="54"/>
      <c r="RYF2465" s="54"/>
      <c r="RYG2465" s="60"/>
      <c r="RYH2465" s="60"/>
      <c r="RYI2465" s="60"/>
      <c r="RYJ2465" s="60"/>
      <c r="RYK2465" s="63"/>
      <c r="RYL2465" s="61"/>
      <c r="RYM2465" s="54"/>
      <c r="RYN2465" s="54"/>
      <c r="RYO2465" s="60"/>
      <c r="RYP2465" s="60"/>
      <c r="RYQ2465" s="60"/>
      <c r="RYR2465" s="60"/>
      <c r="RYS2465" s="63"/>
      <c r="RYT2465" s="61"/>
      <c r="RYU2465" s="54"/>
      <c r="RYV2465" s="54"/>
      <c r="RYW2465" s="60"/>
      <c r="RYX2465" s="60"/>
      <c r="RYY2465" s="60"/>
      <c r="RYZ2465" s="60"/>
      <c r="RZA2465" s="63"/>
      <c r="RZB2465" s="61"/>
      <c r="RZC2465" s="54"/>
      <c r="RZD2465" s="54"/>
      <c r="RZE2465" s="60"/>
      <c r="RZF2465" s="60"/>
      <c r="RZG2465" s="60"/>
      <c r="RZH2465" s="60"/>
      <c r="RZI2465" s="63"/>
      <c r="RZJ2465" s="61"/>
      <c r="RZK2465" s="54"/>
      <c r="RZL2465" s="54"/>
      <c r="RZM2465" s="60"/>
      <c r="RZN2465" s="60"/>
      <c r="RZO2465" s="60"/>
      <c r="RZP2465" s="60"/>
      <c r="RZQ2465" s="63"/>
      <c r="RZR2465" s="61"/>
      <c r="RZS2465" s="54"/>
      <c r="RZT2465" s="54"/>
      <c r="RZU2465" s="60"/>
      <c r="RZV2465" s="60"/>
      <c r="RZW2465" s="60"/>
      <c r="RZX2465" s="60"/>
      <c r="RZY2465" s="63"/>
      <c r="RZZ2465" s="61"/>
      <c r="SAA2465" s="54"/>
      <c r="SAB2465" s="54"/>
      <c r="SAC2465" s="60"/>
      <c r="SAD2465" s="60"/>
      <c r="SAE2465" s="60"/>
      <c r="SAF2465" s="60"/>
      <c r="SAG2465" s="63"/>
      <c r="SAH2465" s="61"/>
      <c r="SAI2465" s="54"/>
      <c r="SAJ2465" s="54"/>
      <c r="SAK2465" s="60"/>
      <c r="SAL2465" s="60"/>
      <c r="SAM2465" s="60"/>
      <c r="SAN2465" s="60"/>
      <c r="SAO2465" s="63"/>
      <c r="SAP2465" s="61"/>
      <c r="SAQ2465" s="54"/>
      <c r="SAR2465" s="54"/>
      <c r="SAS2465" s="60"/>
      <c r="SAT2465" s="60"/>
      <c r="SAU2465" s="60"/>
      <c r="SAV2465" s="60"/>
      <c r="SAW2465" s="63"/>
      <c r="SAX2465" s="61"/>
      <c r="SAY2465" s="54"/>
      <c r="SAZ2465" s="54"/>
      <c r="SBA2465" s="60"/>
      <c r="SBB2465" s="60"/>
      <c r="SBC2465" s="60"/>
      <c r="SBD2465" s="60"/>
      <c r="SBE2465" s="63"/>
      <c r="SBF2465" s="61"/>
      <c r="SBG2465" s="54"/>
      <c r="SBH2465" s="54"/>
      <c r="SBI2465" s="60"/>
      <c r="SBJ2465" s="60"/>
      <c r="SBK2465" s="60"/>
      <c r="SBL2465" s="60"/>
      <c r="SBM2465" s="63"/>
      <c r="SBN2465" s="61"/>
      <c r="SBO2465" s="54"/>
      <c r="SBP2465" s="54"/>
      <c r="SBQ2465" s="60"/>
      <c r="SBR2465" s="60"/>
      <c r="SBS2465" s="60"/>
      <c r="SBT2465" s="60"/>
      <c r="SBU2465" s="63"/>
      <c r="SBV2465" s="61"/>
      <c r="SBW2465" s="54"/>
      <c r="SBX2465" s="54"/>
      <c r="SBY2465" s="60"/>
      <c r="SBZ2465" s="60"/>
      <c r="SCA2465" s="60"/>
      <c r="SCB2465" s="60"/>
      <c r="SCC2465" s="63"/>
      <c r="SCD2465" s="61"/>
      <c r="SCE2465" s="54"/>
      <c r="SCF2465" s="54"/>
      <c r="SCG2465" s="60"/>
      <c r="SCH2465" s="60"/>
      <c r="SCI2465" s="60"/>
      <c r="SCJ2465" s="60"/>
      <c r="SCK2465" s="63"/>
      <c r="SCL2465" s="61"/>
      <c r="SCM2465" s="54"/>
      <c r="SCN2465" s="54"/>
      <c r="SCO2465" s="60"/>
      <c r="SCP2465" s="60"/>
      <c r="SCQ2465" s="60"/>
      <c r="SCR2465" s="60"/>
      <c r="SCS2465" s="63"/>
      <c r="SCT2465" s="61"/>
      <c r="SCU2465" s="54"/>
      <c r="SCV2465" s="54"/>
      <c r="SCW2465" s="60"/>
      <c r="SCX2465" s="60"/>
      <c r="SCY2465" s="60"/>
      <c r="SCZ2465" s="60"/>
      <c r="SDA2465" s="63"/>
      <c r="SDB2465" s="61"/>
      <c r="SDC2465" s="54"/>
      <c r="SDD2465" s="54"/>
      <c r="SDE2465" s="60"/>
      <c r="SDF2465" s="60"/>
      <c r="SDG2465" s="60"/>
      <c r="SDH2465" s="60"/>
      <c r="SDI2465" s="63"/>
      <c r="SDJ2465" s="61"/>
      <c r="SDK2465" s="54"/>
      <c r="SDL2465" s="54"/>
      <c r="SDM2465" s="60"/>
      <c r="SDN2465" s="60"/>
      <c r="SDO2465" s="60"/>
      <c r="SDP2465" s="60"/>
      <c r="SDQ2465" s="63"/>
      <c r="SDR2465" s="61"/>
      <c r="SDS2465" s="54"/>
      <c r="SDT2465" s="54"/>
      <c r="SDU2465" s="60"/>
      <c r="SDV2465" s="60"/>
      <c r="SDW2465" s="60"/>
      <c r="SDX2465" s="60"/>
      <c r="SDY2465" s="63"/>
      <c r="SDZ2465" s="61"/>
      <c r="SEA2465" s="54"/>
      <c r="SEB2465" s="54"/>
      <c r="SEC2465" s="60"/>
      <c r="SED2465" s="60"/>
      <c r="SEE2465" s="60"/>
      <c r="SEF2465" s="60"/>
      <c r="SEG2465" s="63"/>
      <c r="SEH2465" s="61"/>
      <c r="SEI2465" s="54"/>
      <c r="SEJ2465" s="54"/>
      <c r="SEK2465" s="60"/>
      <c r="SEL2465" s="60"/>
      <c r="SEM2465" s="60"/>
      <c r="SEN2465" s="60"/>
      <c r="SEO2465" s="63"/>
      <c r="SEP2465" s="61"/>
      <c r="SEQ2465" s="54"/>
      <c r="SER2465" s="54"/>
      <c r="SES2465" s="60"/>
      <c r="SET2465" s="60"/>
      <c r="SEU2465" s="60"/>
      <c r="SEV2465" s="60"/>
      <c r="SEW2465" s="63"/>
      <c r="SEX2465" s="61"/>
      <c r="SEY2465" s="54"/>
      <c r="SEZ2465" s="54"/>
      <c r="SFA2465" s="60"/>
      <c r="SFB2465" s="60"/>
      <c r="SFC2465" s="60"/>
      <c r="SFD2465" s="60"/>
      <c r="SFE2465" s="63"/>
      <c r="SFF2465" s="61"/>
      <c r="SFG2465" s="54"/>
      <c r="SFH2465" s="54"/>
      <c r="SFI2465" s="60"/>
      <c r="SFJ2465" s="60"/>
      <c r="SFK2465" s="60"/>
      <c r="SFL2465" s="60"/>
      <c r="SFM2465" s="63"/>
      <c r="SFN2465" s="61"/>
      <c r="SFO2465" s="54"/>
      <c r="SFP2465" s="54"/>
      <c r="SFQ2465" s="60"/>
      <c r="SFR2465" s="60"/>
      <c r="SFS2465" s="60"/>
      <c r="SFT2465" s="60"/>
      <c r="SFU2465" s="63"/>
      <c r="SFV2465" s="61"/>
      <c r="SFW2465" s="54"/>
      <c r="SFX2465" s="54"/>
      <c r="SFY2465" s="60"/>
      <c r="SFZ2465" s="60"/>
      <c r="SGA2465" s="60"/>
      <c r="SGB2465" s="60"/>
      <c r="SGC2465" s="63"/>
      <c r="SGD2465" s="61"/>
      <c r="SGE2465" s="54"/>
      <c r="SGF2465" s="54"/>
      <c r="SGG2465" s="60"/>
      <c r="SGH2465" s="60"/>
      <c r="SGI2465" s="60"/>
      <c r="SGJ2465" s="60"/>
      <c r="SGK2465" s="63"/>
      <c r="SGL2465" s="61"/>
      <c r="SGM2465" s="54"/>
      <c r="SGN2465" s="54"/>
      <c r="SGO2465" s="60"/>
      <c r="SGP2465" s="60"/>
      <c r="SGQ2465" s="60"/>
      <c r="SGR2465" s="60"/>
      <c r="SGS2465" s="63"/>
      <c r="SGT2465" s="61"/>
      <c r="SGU2465" s="54"/>
      <c r="SGV2465" s="54"/>
      <c r="SGW2465" s="60"/>
      <c r="SGX2465" s="60"/>
      <c r="SGY2465" s="60"/>
      <c r="SGZ2465" s="60"/>
      <c r="SHA2465" s="63"/>
      <c r="SHB2465" s="61"/>
      <c r="SHC2465" s="54"/>
      <c r="SHD2465" s="54"/>
      <c r="SHE2465" s="60"/>
      <c r="SHF2465" s="60"/>
      <c r="SHG2465" s="60"/>
      <c r="SHH2465" s="60"/>
      <c r="SHI2465" s="63"/>
      <c r="SHJ2465" s="61"/>
      <c r="SHK2465" s="54"/>
      <c r="SHL2465" s="54"/>
      <c r="SHM2465" s="60"/>
      <c r="SHN2465" s="60"/>
      <c r="SHO2465" s="60"/>
      <c r="SHP2465" s="60"/>
      <c r="SHQ2465" s="63"/>
      <c r="SHR2465" s="61"/>
      <c r="SHS2465" s="54"/>
      <c r="SHT2465" s="54"/>
      <c r="SHU2465" s="60"/>
      <c r="SHV2465" s="60"/>
      <c r="SHW2465" s="60"/>
      <c r="SHX2465" s="60"/>
      <c r="SHY2465" s="63"/>
      <c r="SHZ2465" s="61"/>
      <c r="SIA2465" s="54"/>
      <c r="SIB2465" s="54"/>
      <c r="SIC2465" s="60"/>
      <c r="SID2465" s="60"/>
      <c r="SIE2465" s="60"/>
      <c r="SIF2465" s="60"/>
      <c r="SIG2465" s="63"/>
      <c r="SIH2465" s="61"/>
      <c r="SII2465" s="54"/>
      <c r="SIJ2465" s="54"/>
      <c r="SIK2465" s="60"/>
      <c r="SIL2465" s="60"/>
      <c r="SIM2465" s="60"/>
      <c r="SIN2465" s="60"/>
      <c r="SIO2465" s="63"/>
      <c r="SIP2465" s="61"/>
      <c r="SIQ2465" s="54"/>
      <c r="SIR2465" s="54"/>
      <c r="SIS2465" s="60"/>
      <c r="SIT2465" s="60"/>
      <c r="SIU2465" s="60"/>
      <c r="SIV2465" s="60"/>
      <c r="SIW2465" s="63"/>
      <c r="SIX2465" s="61"/>
      <c r="SIY2465" s="54"/>
      <c r="SIZ2465" s="54"/>
      <c r="SJA2465" s="60"/>
      <c r="SJB2465" s="60"/>
      <c r="SJC2465" s="60"/>
      <c r="SJD2465" s="60"/>
      <c r="SJE2465" s="63"/>
      <c r="SJF2465" s="61"/>
      <c r="SJG2465" s="54"/>
      <c r="SJH2465" s="54"/>
      <c r="SJI2465" s="60"/>
      <c r="SJJ2465" s="60"/>
      <c r="SJK2465" s="60"/>
      <c r="SJL2465" s="60"/>
      <c r="SJM2465" s="63"/>
      <c r="SJN2465" s="61"/>
      <c r="SJO2465" s="54"/>
      <c r="SJP2465" s="54"/>
      <c r="SJQ2465" s="60"/>
      <c r="SJR2465" s="60"/>
      <c r="SJS2465" s="60"/>
      <c r="SJT2465" s="60"/>
      <c r="SJU2465" s="63"/>
      <c r="SJV2465" s="61"/>
      <c r="SJW2465" s="54"/>
      <c r="SJX2465" s="54"/>
      <c r="SJY2465" s="60"/>
      <c r="SJZ2465" s="60"/>
      <c r="SKA2465" s="60"/>
      <c r="SKB2465" s="60"/>
      <c r="SKC2465" s="63"/>
      <c r="SKD2465" s="61"/>
      <c r="SKE2465" s="54"/>
      <c r="SKF2465" s="54"/>
      <c r="SKG2465" s="60"/>
      <c r="SKH2465" s="60"/>
      <c r="SKI2465" s="60"/>
      <c r="SKJ2465" s="60"/>
      <c r="SKK2465" s="63"/>
      <c r="SKL2465" s="61"/>
      <c r="SKM2465" s="54"/>
      <c r="SKN2465" s="54"/>
      <c r="SKO2465" s="60"/>
      <c r="SKP2465" s="60"/>
      <c r="SKQ2465" s="60"/>
      <c r="SKR2465" s="60"/>
      <c r="SKS2465" s="63"/>
      <c r="SKT2465" s="61"/>
      <c r="SKU2465" s="54"/>
      <c r="SKV2465" s="54"/>
      <c r="SKW2465" s="60"/>
      <c r="SKX2465" s="60"/>
      <c r="SKY2465" s="60"/>
      <c r="SKZ2465" s="60"/>
      <c r="SLA2465" s="63"/>
      <c r="SLB2465" s="61"/>
      <c r="SLC2465" s="54"/>
      <c r="SLD2465" s="54"/>
      <c r="SLE2465" s="60"/>
      <c r="SLF2465" s="60"/>
      <c r="SLG2465" s="60"/>
      <c r="SLH2465" s="60"/>
      <c r="SLI2465" s="63"/>
      <c r="SLJ2465" s="61"/>
      <c r="SLK2465" s="54"/>
      <c r="SLL2465" s="54"/>
      <c r="SLM2465" s="60"/>
      <c r="SLN2465" s="60"/>
      <c r="SLO2465" s="60"/>
      <c r="SLP2465" s="60"/>
      <c r="SLQ2465" s="63"/>
      <c r="SLR2465" s="61"/>
      <c r="SLS2465" s="54"/>
      <c r="SLT2465" s="54"/>
      <c r="SLU2465" s="60"/>
      <c r="SLV2465" s="60"/>
      <c r="SLW2465" s="60"/>
      <c r="SLX2465" s="60"/>
      <c r="SLY2465" s="63"/>
      <c r="SLZ2465" s="61"/>
      <c r="SMA2465" s="54"/>
      <c r="SMB2465" s="54"/>
      <c r="SMC2465" s="60"/>
      <c r="SMD2465" s="60"/>
      <c r="SME2465" s="60"/>
      <c r="SMF2465" s="60"/>
      <c r="SMG2465" s="63"/>
      <c r="SMH2465" s="61"/>
      <c r="SMI2465" s="54"/>
      <c r="SMJ2465" s="54"/>
      <c r="SMK2465" s="60"/>
      <c r="SML2465" s="60"/>
      <c r="SMM2465" s="60"/>
      <c r="SMN2465" s="60"/>
      <c r="SMO2465" s="63"/>
      <c r="SMP2465" s="61"/>
      <c r="SMQ2465" s="54"/>
      <c r="SMR2465" s="54"/>
      <c r="SMS2465" s="60"/>
      <c r="SMT2465" s="60"/>
      <c r="SMU2465" s="60"/>
      <c r="SMV2465" s="60"/>
      <c r="SMW2465" s="63"/>
      <c r="SMX2465" s="61"/>
      <c r="SMY2465" s="54"/>
      <c r="SMZ2465" s="54"/>
      <c r="SNA2465" s="60"/>
      <c r="SNB2465" s="60"/>
      <c r="SNC2465" s="60"/>
      <c r="SND2465" s="60"/>
      <c r="SNE2465" s="63"/>
      <c r="SNF2465" s="61"/>
      <c r="SNG2465" s="54"/>
      <c r="SNH2465" s="54"/>
      <c r="SNI2465" s="60"/>
      <c r="SNJ2465" s="60"/>
      <c r="SNK2465" s="60"/>
      <c r="SNL2465" s="60"/>
      <c r="SNM2465" s="63"/>
      <c r="SNN2465" s="61"/>
      <c r="SNO2465" s="54"/>
      <c r="SNP2465" s="54"/>
      <c r="SNQ2465" s="60"/>
      <c r="SNR2465" s="60"/>
      <c r="SNS2465" s="60"/>
      <c r="SNT2465" s="60"/>
      <c r="SNU2465" s="63"/>
      <c r="SNV2465" s="61"/>
      <c r="SNW2465" s="54"/>
      <c r="SNX2465" s="54"/>
      <c r="SNY2465" s="60"/>
      <c r="SNZ2465" s="60"/>
      <c r="SOA2465" s="60"/>
      <c r="SOB2465" s="60"/>
      <c r="SOC2465" s="63"/>
      <c r="SOD2465" s="61"/>
      <c r="SOE2465" s="54"/>
      <c r="SOF2465" s="54"/>
      <c r="SOG2465" s="60"/>
      <c r="SOH2465" s="60"/>
      <c r="SOI2465" s="60"/>
      <c r="SOJ2465" s="60"/>
      <c r="SOK2465" s="63"/>
      <c r="SOL2465" s="61"/>
      <c r="SOM2465" s="54"/>
      <c r="SON2465" s="54"/>
      <c r="SOO2465" s="60"/>
      <c r="SOP2465" s="60"/>
      <c r="SOQ2465" s="60"/>
      <c r="SOR2465" s="60"/>
      <c r="SOS2465" s="63"/>
      <c r="SOT2465" s="61"/>
      <c r="SOU2465" s="54"/>
      <c r="SOV2465" s="54"/>
      <c r="SOW2465" s="60"/>
      <c r="SOX2465" s="60"/>
      <c r="SOY2465" s="60"/>
      <c r="SOZ2465" s="60"/>
      <c r="SPA2465" s="63"/>
      <c r="SPB2465" s="61"/>
      <c r="SPC2465" s="54"/>
      <c r="SPD2465" s="54"/>
      <c r="SPE2465" s="60"/>
      <c r="SPF2465" s="60"/>
      <c r="SPG2465" s="60"/>
      <c r="SPH2465" s="60"/>
      <c r="SPI2465" s="63"/>
      <c r="SPJ2465" s="61"/>
      <c r="SPK2465" s="54"/>
      <c r="SPL2465" s="54"/>
      <c r="SPM2465" s="60"/>
      <c r="SPN2465" s="60"/>
      <c r="SPO2465" s="60"/>
      <c r="SPP2465" s="60"/>
      <c r="SPQ2465" s="63"/>
      <c r="SPR2465" s="61"/>
      <c r="SPS2465" s="54"/>
      <c r="SPT2465" s="54"/>
      <c r="SPU2465" s="60"/>
      <c r="SPV2465" s="60"/>
      <c r="SPW2465" s="60"/>
      <c r="SPX2465" s="60"/>
      <c r="SPY2465" s="63"/>
      <c r="SPZ2465" s="61"/>
      <c r="SQA2465" s="54"/>
      <c r="SQB2465" s="54"/>
      <c r="SQC2465" s="60"/>
      <c r="SQD2465" s="60"/>
      <c r="SQE2465" s="60"/>
      <c r="SQF2465" s="60"/>
      <c r="SQG2465" s="63"/>
      <c r="SQH2465" s="61"/>
      <c r="SQI2465" s="54"/>
      <c r="SQJ2465" s="54"/>
      <c r="SQK2465" s="60"/>
      <c r="SQL2465" s="60"/>
      <c r="SQM2465" s="60"/>
      <c r="SQN2465" s="60"/>
      <c r="SQO2465" s="63"/>
      <c r="SQP2465" s="61"/>
      <c r="SQQ2465" s="54"/>
      <c r="SQR2465" s="54"/>
      <c r="SQS2465" s="60"/>
      <c r="SQT2465" s="60"/>
      <c r="SQU2465" s="60"/>
      <c r="SQV2465" s="60"/>
      <c r="SQW2465" s="63"/>
      <c r="SQX2465" s="61"/>
      <c r="SQY2465" s="54"/>
      <c r="SQZ2465" s="54"/>
      <c r="SRA2465" s="60"/>
      <c r="SRB2465" s="60"/>
      <c r="SRC2465" s="60"/>
      <c r="SRD2465" s="60"/>
      <c r="SRE2465" s="63"/>
      <c r="SRF2465" s="61"/>
      <c r="SRG2465" s="54"/>
      <c r="SRH2465" s="54"/>
      <c r="SRI2465" s="60"/>
      <c r="SRJ2465" s="60"/>
      <c r="SRK2465" s="60"/>
      <c r="SRL2465" s="60"/>
      <c r="SRM2465" s="63"/>
      <c r="SRN2465" s="61"/>
      <c r="SRO2465" s="54"/>
      <c r="SRP2465" s="54"/>
      <c r="SRQ2465" s="60"/>
      <c r="SRR2465" s="60"/>
      <c r="SRS2465" s="60"/>
      <c r="SRT2465" s="60"/>
      <c r="SRU2465" s="63"/>
      <c r="SRV2465" s="61"/>
      <c r="SRW2465" s="54"/>
      <c r="SRX2465" s="54"/>
      <c r="SRY2465" s="60"/>
      <c r="SRZ2465" s="60"/>
      <c r="SSA2465" s="60"/>
      <c r="SSB2465" s="60"/>
      <c r="SSC2465" s="63"/>
      <c r="SSD2465" s="61"/>
      <c r="SSE2465" s="54"/>
      <c r="SSF2465" s="54"/>
      <c r="SSG2465" s="60"/>
      <c r="SSH2465" s="60"/>
      <c r="SSI2465" s="60"/>
      <c r="SSJ2465" s="60"/>
      <c r="SSK2465" s="63"/>
      <c r="SSL2465" s="61"/>
      <c r="SSM2465" s="54"/>
      <c r="SSN2465" s="54"/>
      <c r="SSO2465" s="60"/>
      <c r="SSP2465" s="60"/>
      <c r="SSQ2465" s="60"/>
      <c r="SSR2465" s="60"/>
      <c r="SSS2465" s="63"/>
      <c r="SST2465" s="61"/>
      <c r="SSU2465" s="54"/>
      <c r="SSV2465" s="54"/>
      <c r="SSW2465" s="60"/>
      <c r="SSX2465" s="60"/>
      <c r="SSY2465" s="60"/>
      <c r="SSZ2465" s="60"/>
      <c r="STA2465" s="63"/>
      <c r="STB2465" s="61"/>
      <c r="STC2465" s="54"/>
      <c r="STD2465" s="54"/>
      <c r="STE2465" s="60"/>
      <c r="STF2465" s="60"/>
      <c r="STG2465" s="60"/>
      <c r="STH2465" s="60"/>
      <c r="STI2465" s="63"/>
      <c r="STJ2465" s="61"/>
      <c r="STK2465" s="54"/>
      <c r="STL2465" s="54"/>
      <c r="STM2465" s="60"/>
      <c r="STN2465" s="60"/>
      <c r="STO2465" s="60"/>
      <c r="STP2465" s="60"/>
      <c r="STQ2465" s="63"/>
      <c r="STR2465" s="61"/>
      <c r="STS2465" s="54"/>
      <c r="STT2465" s="54"/>
      <c r="STU2465" s="60"/>
      <c r="STV2465" s="60"/>
      <c r="STW2465" s="60"/>
      <c r="STX2465" s="60"/>
      <c r="STY2465" s="63"/>
      <c r="STZ2465" s="61"/>
      <c r="SUA2465" s="54"/>
      <c r="SUB2465" s="54"/>
      <c r="SUC2465" s="60"/>
      <c r="SUD2465" s="60"/>
      <c r="SUE2465" s="60"/>
      <c r="SUF2465" s="60"/>
      <c r="SUG2465" s="63"/>
      <c r="SUH2465" s="61"/>
      <c r="SUI2465" s="54"/>
      <c r="SUJ2465" s="54"/>
      <c r="SUK2465" s="60"/>
      <c r="SUL2465" s="60"/>
      <c r="SUM2465" s="60"/>
      <c r="SUN2465" s="60"/>
      <c r="SUO2465" s="63"/>
      <c r="SUP2465" s="61"/>
      <c r="SUQ2465" s="54"/>
      <c r="SUR2465" s="54"/>
      <c r="SUS2465" s="60"/>
      <c r="SUT2465" s="60"/>
      <c r="SUU2465" s="60"/>
      <c r="SUV2465" s="60"/>
      <c r="SUW2465" s="63"/>
      <c r="SUX2465" s="61"/>
      <c r="SUY2465" s="54"/>
      <c r="SUZ2465" s="54"/>
      <c r="SVA2465" s="60"/>
      <c r="SVB2465" s="60"/>
      <c r="SVC2465" s="60"/>
      <c r="SVD2465" s="60"/>
      <c r="SVE2465" s="63"/>
      <c r="SVF2465" s="61"/>
      <c r="SVG2465" s="54"/>
      <c r="SVH2465" s="54"/>
      <c r="SVI2465" s="60"/>
      <c r="SVJ2465" s="60"/>
      <c r="SVK2465" s="60"/>
      <c r="SVL2465" s="60"/>
      <c r="SVM2465" s="63"/>
      <c r="SVN2465" s="61"/>
      <c r="SVO2465" s="54"/>
      <c r="SVP2465" s="54"/>
      <c r="SVQ2465" s="60"/>
      <c r="SVR2465" s="60"/>
      <c r="SVS2465" s="60"/>
      <c r="SVT2465" s="60"/>
      <c r="SVU2465" s="63"/>
      <c r="SVV2465" s="61"/>
      <c r="SVW2465" s="54"/>
      <c r="SVX2465" s="54"/>
      <c r="SVY2465" s="60"/>
      <c r="SVZ2465" s="60"/>
      <c r="SWA2465" s="60"/>
      <c r="SWB2465" s="60"/>
      <c r="SWC2465" s="63"/>
      <c r="SWD2465" s="61"/>
      <c r="SWE2465" s="54"/>
      <c r="SWF2465" s="54"/>
      <c r="SWG2465" s="60"/>
      <c r="SWH2465" s="60"/>
      <c r="SWI2465" s="60"/>
      <c r="SWJ2465" s="60"/>
      <c r="SWK2465" s="63"/>
      <c r="SWL2465" s="61"/>
      <c r="SWM2465" s="54"/>
      <c r="SWN2465" s="54"/>
      <c r="SWO2465" s="60"/>
      <c r="SWP2465" s="60"/>
      <c r="SWQ2465" s="60"/>
      <c r="SWR2465" s="60"/>
      <c r="SWS2465" s="63"/>
      <c r="SWT2465" s="61"/>
      <c r="SWU2465" s="54"/>
      <c r="SWV2465" s="54"/>
      <c r="SWW2465" s="60"/>
      <c r="SWX2465" s="60"/>
      <c r="SWY2465" s="60"/>
      <c r="SWZ2465" s="60"/>
      <c r="SXA2465" s="63"/>
      <c r="SXB2465" s="61"/>
      <c r="SXC2465" s="54"/>
      <c r="SXD2465" s="54"/>
      <c r="SXE2465" s="60"/>
      <c r="SXF2465" s="60"/>
      <c r="SXG2465" s="60"/>
      <c r="SXH2465" s="60"/>
      <c r="SXI2465" s="63"/>
      <c r="SXJ2465" s="61"/>
      <c r="SXK2465" s="54"/>
      <c r="SXL2465" s="54"/>
      <c r="SXM2465" s="60"/>
      <c r="SXN2465" s="60"/>
      <c r="SXO2465" s="60"/>
      <c r="SXP2465" s="60"/>
      <c r="SXQ2465" s="63"/>
      <c r="SXR2465" s="61"/>
      <c r="SXS2465" s="54"/>
      <c r="SXT2465" s="54"/>
      <c r="SXU2465" s="60"/>
      <c r="SXV2465" s="60"/>
      <c r="SXW2465" s="60"/>
      <c r="SXX2465" s="60"/>
      <c r="SXY2465" s="63"/>
      <c r="SXZ2465" s="61"/>
      <c r="SYA2465" s="54"/>
      <c r="SYB2465" s="54"/>
      <c r="SYC2465" s="60"/>
      <c r="SYD2465" s="60"/>
      <c r="SYE2465" s="60"/>
      <c r="SYF2465" s="60"/>
      <c r="SYG2465" s="63"/>
      <c r="SYH2465" s="61"/>
      <c r="SYI2465" s="54"/>
      <c r="SYJ2465" s="54"/>
      <c r="SYK2465" s="60"/>
      <c r="SYL2465" s="60"/>
      <c r="SYM2465" s="60"/>
      <c r="SYN2465" s="60"/>
      <c r="SYO2465" s="63"/>
      <c r="SYP2465" s="61"/>
      <c r="SYQ2465" s="54"/>
      <c r="SYR2465" s="54"/>
      <c r="SYS2465" s="60"/>
      <c r="SYT2465" s="60"/>
      <c r="SYU2465" s="60"/>
      <c r="SYV2465" s="60"/>
      <c r="SYW2465" s="63"/>
      <c r="SYX2465" s="61"/>
      <c r="SYY2465" s="54"/>
      <c r="SYZ2465" s="54"/>
      <c r="SZA2465" s="60"/>
      <c r="SZB2465" s="60"/>
      <c r="SZC2465" s="60"/>
      <c r="SZD2465" s="60"/>
      <c r="SZE2465" s="63"/>
      <c r="SZF2465" s="61"/>
      <c r="SZG2465" s="54"/>
      <c r="SZH2465" s="54"/>
      <c r="SZI2465" s="60"/>
      <c r="SZJ2465" s="60"/>
      <c r="SZK2465" s="60"/>
      <c r="SZL2465" s="60"/>
      <c r="SZM2465" s="63"/>
      <c r="SZN2465" s="61"/>
      <c r="SZO2465" s="54"/>
      <c r="SZP2465" s="54"/>
      <c r="SZQ2465" s="60"/>
      <c r="SZR2465" s="60"/>
      <c r="SZS2465" s="60"/>
      <c r="SZT2465" s="60"/>
      <c r="SZU2465" s="63"/>
      <c r="SZV2465" s="61"/>
      <c r="SZW2465" s="54"/>
      <c r="SZX2465" s="54"/>
      <c r="SZY2465" s="60"/>
      <c r="SZZ2465" s="60"/>
      <c r="TAA2465" s="60"/>
      <c r="TAB2465" s="60"/>
      <c r="TAC2465" s="63"/>
      <c r="TAD2465" s="61"/>
      <c r="TAE2465" s="54"/>
      <c r="TAF2465" s="54"/>
      <c r="TAG2465" s="60"/>
      <c r="TAH2465" s="60"/>
      <c r="TAI2465" s="60"/>
      <c r="TAJ2465" s="60"/>
      <c r="TAK2465" s="63"/>
      <c r="TAL2465" s="61"/>
      <c r="TAM2465" s="54"/>
      <c r="TAN2465" s="54"/>
      <c r="TAO2465" s="60"/>
      <c r="TAP2465" s="60"/>
      <c r="TAQ2465" s="60"/>
      <c r="TAR2465" s="60"/>
      <c r="TAS2465" s="63"/>
      <c r="TAT2465" s="61"/>
      <c r="TAU2465" s="54"/>
      <c r="TAV2465" s="54"/>
      <c r="TAW2465" s="60"/>
      <c r="TAX2465" s="60"/>
      <c r="TAY2465" s="60"/>
      <c r="TAZ2465" s="60"/>
      <c r="TBA2465" s="63"/>
      <c r="TBB2465" s="61"/>
      <c r="TBC2465" s="54"/>
      <c r="TBD2465" s="54"/>
      <c r="TBE2465" s="60"/>
      <c r="TBF2465" s="60"/>
      <c r="TBG2465" s="60"/>
      <c r="TBH2465" s="60"/>
      <c r="TBI2465" s="63"/>
      <c r="TBJ2465" s="61"/>
      <c r="TBK2465" s="54"/>
      <c r="TBL2465" s="54"/>
      <c r="TBM2465" s="60"/>
      <c r="TBN2465" s="60"/>
      <c r="TBO2465" s="60"/>
      <c r="TBP2465" s="60"/>
      <c r="TBQ2465" s="63"/>
      <c r="TBR2465" s="61"/>
      <c r="TBS2465" s="54"/>
      <c r="TBT2465" s="54"/>
      <c r="TBU2465" s="60"/>
      <c r="TBV2465" s="60"/>
      <c r="TBW2465" s="60"/>
      <c r="TBX2465" s="60"/>
      <c r="TBY2465" s="63"/>
      <c r="TBZ2465" s="61"/>
      <c r="TCA2465" s="54"/>
      <c r="TCB2465" s="54"/>
      <c r="TCC2465" s="60"/>
      <c r="TCD2465" s="60"/>
      <c r="TCE2465" s="60"/>
      <c r="TCF2465" s="60"/>
      <c r="TCG2465" s="63"/>
      <c r="TCH2465" s="61"/>
      <c r="TCI2465" s="54"/>
      <c r="TCJ2465" s="54"/>
      <c r="TCK2465" s="60"/>
      <c r="TCL2465" s="60"/>
      <c r="TCM2465" s="60"/>
      <c r="TCN2465" s="60"/>
      <c r="TCO2465" s="63"/>
      <c r="TCP2465" s="61"/>
      <c r="TCQ2465" s="54"/>
      <c r="TCR2465" s="54"/>
      <c r="TCS2465" s="60"/>
      <c r="TCT2465" s="60"/>
      <c r="TCU2465" s="60"/>
      <c r="TCV2465" s="60"/>
      <c r="TCW2465" s="63"/>
      <c r="TCX2465" s="61"/>
      <c r="TCY2465" s="54"/>
      <c r="TCZ2465" s="54"/>
      <c r="TDA2465" s="60"/>
      <c r="TDB2465" s="60"/>
      <c r="TDC2465" s="60"/>
      <c r="TDD2465" s="60"/>
      <c r="TDE2465" s="63"/>
      <c r="TDF2465" s="61"/>
      <c r="TDG2465" s="54"/>
      <c r="TDH2465" s="54"/>
      <c r="TDI2465" s="60"/>
      <c r="TDJ2465" s="60"/>
      <c r="TDK2465" s="60"/>
      <c r="TDL2465" s="60"/>
      <c r="TDM2465" s="63"/>
      <c r="TDN2465" s="61"/>
      <c r="TDO2465" s="54"/>
      <c r="TDP2465" s="54"/>
      <c r="TDQ2465" s="60"/>
      <c r="TDR2465" s="60"/>
      <c r="TDS2465" s="60"/>
      <c r="TDT2465" s="60"/>
      <c r="TDU2465" s="63"/>
      <c r="TDV2465" s="61"/>
      <c r="TDW2465" s="54"/>
      <c r="TDX2465" s="54"/>
      <c r="TDY2465" s="60"/>
      <c r="TDZ2465" s="60"/>
      <c r="TEA2465" s="60"/>
      <c r="TEB2465" s="60"/>
      <c r="TEC2465" s="63"/>
      <c r="TED2465" s="61"/>
      <c r="TEE2465" s="54"/>
      <c r="TEF2465" s="54"/>
      <c r="TEG2465" s="60"/>
      <c r="TEH2465" s="60"/>
      <c r="TEI2465" s="60"/>
      <c r="TEJ2465" s="60"/>
      <c r="TEK2465" s="63"/>
      <c r="TEL2465" s="61"/>
      <c r="TEM2465" s="54"/>
      <c r="TEN2465" s="54"/>
      <c r="TEO2465" s="60"/>
      <c r="TEP2465" s="60"/>
      <c r="TEQ2465" s="60"/>
      <c r="TER2465" s="60"/>
      <c r="TES2465" s="63"/>
      <c r="TET2465" s="61"/>
      <c r="TEU2465" s="54"/>
      <c r="TEV2465" s="54"/>
      <c r="TEW2465" s="60"/>
      <c r="TEX2465" s="60"/>
      <c r="TEY2465" s="60"/>
      <c r="TEZ2465" s="60"/>
      <c r="TFA2465" s="63"/>
      <c r="TFB2465" s="61"/>
      <c r="TFC2465" s="54"/>
      <c r="TFD2465" s="54"/>
      <c r="TFE2465" s="60"/>
      <c r="TFF2465" s="60"/>
      <c r="TFG2465" s="60"/>
      <c r="TFH2465" s="60"/>
      <c r="TFI2465" s="63"/>
      <c r="TFJ2465" s="61"/>
      <c r="TFK2465" s="54"/>
      <c r="TFL2465" s="54"/>
      <c r="TFM2465" s="60"/>
      <c r="TFN2465" s="60"/>
      <c r="TFO2465" s="60"/>
      <c r="TFP2465" s="60"/>
      <c r="TFQ2465" s="63"/>
      <c r="TFR2465" s="61"/>
      <c r="TFS2465" s="54"/>
      <c r="TFT2465" s="54"/>
      <c r="TFU2465" s="60"/>
      <c r="TFV2465" s="60"/>
      <c r="TFW2465" s="60"/>
      <c r="TFX2465" s="60"/>
      <c r="TFY2465" s="63"/>
      <c r="TFZ2465" s="61"/>
      <c r="TGA2465" s="54"/>
      <c r="TGB2465" s="54"/>
      <c r="TGC2465" s="60"/>
      <c r="TGD2465" s="60"/>
      <c r="TGE2465" s="60"/>
      <c r="TGF2465" s="60"/>
      <c r="TGG2465" s="63"/>
      <c r="TGH2465" s="61"/>
      <c r="TGI2465" s="54"/>
      <c r="TGJ2465" s="54"/>
      <c r="TGK2465" s="60"/>
      <c r="TGL2465" s="60"/>
      <c r="TGM2465" s="60"/>
      <c r="TGN2465" s="60"/>
      <c r="TGO2465" s="63"/>
      <c r="TGP2465" s="61"/>
      <c r="TGQ2465" s="54"/>
      <c r="TGR2465" s="54"/>
      <c r="TGS2465" s="60"/>
      <c r="TGT2465" s="60"/>
      <c r="TGU2465" s="60"/>
      <c r="TGV2465" s="60"/>
      <c r="TGW2465" s="63"/>
      <c r="TGX2465" s="61"/>
      <c r="TGY2465" s="54"/>
      <c r="TGZ2465" s="54"/>
      <c r="THA2465" s="60"/>
      <c r="THB2465" s="60"/>
      <c r="THC2465" s="60"/>
      <c r="THD2465" s="60"/>
      <c r="THE2465" s="63"/>
      <c r="THF2465" s="61"/>
      <c r="THG2465" s="54"/>
      <c r="THH2465" s="54"/>
      <c r="THI2465" s="60"/>
      <c r="THJ2465" s="60"/>
      <c r="THK2465" s="60"/>
      <c r="THL2465" s="60"/>
      <c r="THM2465" s="63"/>
      <c r="THN2465" s="61"/>
      <c r="THO2465" s="54"/>
      <c r="THP2465" s="54"/>
      <c r="THQ2465" s="60"/>
      <c r="THR2465" s="60"/>
      <c r="THS2465" s="60"/>
      <c r="THT2465" s="60"/>
      <c r="THU2465" s="63"/>
      <c r="THV2465" s="61"/>
      <c r="THW2465" s="54"/>
      <c r="THX2465" s="54"/>
      <c r="THY2465" s="60"/>
      <c r="THZ2465" s="60"/>
      <c r="TIA2465" s="60"/>
      <c r="TIB2465" s="60"/>
      <c r="TIC2465" s="63"/>
      <c r="TID2465" s="61"/>
      <c r="TIE2465" s="54"/>
      <c r="TIF2465" s="54"/>
      <c r="TIG2465" s="60"/>
      <c r="TIH2465" s="60"/>
      <c r="TII2465" s="60"/>
      <c r="TIJ2465" s="60"/>
      <c r="TIK2465" s="63"/>
      <c r="TIL2465" s="61"/>
      <c r="TIM2465" s="54"/>
      <c r="TIN2465" s="54"/>
      <c r="TIO2465" s="60"/>
      <c r="TIP2465" s="60"/>
      <c r="TIQ2465" s="60"/>
      <c r="TIR2465" s="60"/>
      <c r="TIS2465" s="63"/>
      <c r="TIT2465" s="61"/>
      <c r="TIU2465" s="54"/>
      <c r="TIV2465" s="54"/>
      <c r="TIW2465" s="60"/>
      <c r="TIX2465" s="60"/>
      <c r="TIY2465" s="60"/>
      <c r="TIZ2465" s="60"/>
      <c r="TJA2465" s="63"/>
      <c r="TJB2465" s="61"/>
      <c r="TJC2465" s="54"/>
      <c r="TJD2465" s="54"/>
      <c r="TJE2465" s="60"/>
      <c r="TJF2465" s="60"/>
      <c r="TJG2465" s="60"/>
      <c r="TJH2465" s="60"/>
      <c r="TJI2465" s="63"/>
      <c r="TJJ2465" s="61"/>
      <c r="TJK2465" s="54"/>
      <c r="TJL2465" s="54"/>
      <c r="TJM2465" s="60"/>
      <c r="TJN2465" s="60"/>
      <c r="TJO2465" s="60"/>
      <c r="TJP2465" s="60"/>
      <c r="TJQ2465" s="63"/>
      <c r="TJR2465" s="61"/>
      <c r="TJS2465" s="54"/>
      <c r="TJT2465" s="54"/>
      <c r="TJU2465" s="60"/>
      <c r="TJV2465" s="60"/>
      <c r="TJW2465" s="60"/>
      <c r="TJX2465" s="60"/>
      <c r="TJY2465" s="63"/>
      <c r="TJZ2465" s="61"/>
      <c r="TKA2465" s="54"/>
      <c r="TKB2465" s="54"/>
      <c r="TKC2465" s="60"/>
      <c r="TKD2465" s="60"/>
      <c r="TKE2465" s="60"/>
      <c r="TKF2465" s="60"/>
      <c r="TKG2465" s="63"/>
      <c r="TKH2465" s="61"/>
      <c r="TKI2465" s="54"/>
      <c r="TKJ2465" s="54"/>
      <c r="TKK2465" s="60"/>
      <c r="TKL2465" s="60"/>
      <c r="TKM2465" s="60"/>
      <c r="TKN2465" s="60"/>
      <c r="TKO2465" s="63"/>
      <c r="TKP2465" s="61"/>
      <c r="TKQ2465" s="54"/>
      <c r="TKR2465" s="54"/>
      <c r="TKS2465" s="60"/>
      <c r="TKT2465" s="60"/>
      <c r="TKU2465" s="60"/>
      <c r="TKV2465" s="60"/>
      <c r="TKW2465" s="63"/>
      <c r="TKX2465" s="61"/>
      <c r="TKY2465" s="54"/>
      <c r="TKZ2465" s="54"/>
      <c r="TLA2465" s="60"/>
      <c r="TLB2465" s="60"/>
      <c r="TLC2465" s="60"/>
      <c r="TLD2465" s="60"/>
      <c r="TLE2465" s="63"/>
      <c r="TLF2465" s="61"/>
      <c r="TLG2465" s="54"/>
      <c r="TLH2465" s="54"/>
      <c r="TLI2465" s="60"/>
      <c r="TLJ2465" s="60"/>
      <c r="TLK2465" s="60"/>
      <c r="TLL2465" s="60"/>
      <c r="TLM2465" s="63"/>
      <c r="TLN2465" s="61"/>
      <c r="TLO2465" s="54"/>
      <c r="TLP2465" s="54"/>
      <c r="TLQ2465" s="60"/>
      <c r="TLR2465" s="60"/>
      <c r="TLS2465" s="60"/>
      <c r="TLT2465" s="60"/>
      <c r="TLU2465" s="63"/>
      <c r="TLV2465" s="61"/>
      <c r="TLW2465" s="54"/>
      <c r="TLX2465" s="54"/>
      <c r="TLY2465" s="60"/>
      <c r="TLZ2465" s="60"/>
      <c r="TMA2465" s="60"/>
      <c r="TMB2465" s="60"/>
      <c r="TMC2465" s="63"/>
      <c r="TMD2465" s="61"/>
      <c r="TME2465" s="54"/>
      <c r="TMF2465" s="54"/>
      <c r="TMG2465" s="60"/>
      <c r="TMH2465" s="60"/>
      <c r="TMI2465" s="60"/>
      <c r="TMJ2465" s="60"/>
      <c r="TMK2465" s="63"/>
      <c r="TML2465" s="61"/>
      <c r="TMM2465" s="54"/>
      <c r="TMN2465" s="54"/>
      <c r="TMO2465" s="60"/>
      <c r="TMP2465" s="60"/>
      <c r="TMQ2465" s="60"/>
      <c r="TMR2465" s="60"/>
      <c r="TMS2465" s="63"/>
      <c r="TMT2465" s="61"/>
      <c r="TMU2465" s="54"/>
      <c r="TMV2465" s="54"/>
      <c r="TMW2465" s="60"/>
      <c r="TMX2465" s="60"/>
      <c r="TMY2465" s="60"/>
      <c r="TMZ2465" s="60"/>
      <c r="TNA2465" s="63"/>
      <c r="TNB2465" s="61"/>
      <c r="TNC2465" s="54"/>
      <c r="TND2465" s="54"/>
      <c r="TNE2465" s="60"/>
      <c r="TNF2465" s="60"/>
      <c r="TNG2465" s="60"/>
      <c r="TNH2465" s="60"/>
      <c r="TNI2465" s="63"/>
      <c r="TNJ2465" s="61"/>
      <c r="TNK2465" s="54"/>
      <c r="TNL2465" s="54"/>
      <c r="TNM2465" s="60"/>
      <c r="TNN2465" s="60"/>
      <c r="TNO2465" s="60"/>
      <c r="TNP2465" s="60"/>
      <c r="TNQ2465" s="63"/>
      <c r="TNR2465" s="61"/>
      <c r="TNS2465" s="54"/>
      <c r="TNT2465" s="54"/>
      <c r="TNU2465" s="60"/>
      <c r="TNV2465" s="60"/>
      <c r="TNW2465" s="60"/>
      <c r="TNX2465" s="60"/>
      <c r="TNY2465" s="63"/>
      <c r="TNZ2465" s="61"/>
      <c r="TOA2465" s="54"/>
      <c r="TOB2465" s="54"/>
      <c r="TOC2465" s="60"/>
      <c r="TOD2465" s="60"/>
      <c r="TOE2465" s="60"/>
      <c r="TOF2465" s="60"/>
      <c r="TOG2465" s="63"/>
      <c r="TOH2465" s="61"/>
      <c r="TOI2465" s="54"/>
      <c r="TOJ2465" s="54"/>
      <c r="TOK2465" s="60"/>
      <c r="TOL2465" s="60"/>
      <c r="TOM2465" s="60"/>
      <c r="TON2465" s="60"/>
      <c r="TOO2465" s="63"/>
      <c r="TOP2465" s="61"/>
      <c r="TOQ2465" s="54"/>
      <c r="TOR2465" s="54"/>
      <c r="TOS2465" s="60"/>
      <c r="TOT2465" s="60"/>
      <c r="TOU2465" s="60"/>
      <c r="TOV2465" s="60"/>
      <c r="TOW2465" s="63"/>
      <c r="TOX2465" s="61"/>
      <c r="TOY2465" s="54"/>
      <c r="TOZ2465" s="54"/>
      <c r="TPA2465" s="60"/>
      <c r="TPB2465" s="60"/>
      <c r="TPC2465" s="60"/>
      <c r="TPD2465" s="60"/>
      <c r="TPE2465" s="63"/>
      <c r="TPF2465" s="61"/>
      <c r="TPG2465" s="54"/>
      <c r="TPH2465" s="54"/>
      <c r="TPI2465" s="60"/>
      <c r="TPJ2465" s="60"/>
      <c r="TPK2465" s="60"/>
      <c r="TPL2465" s="60"/>
      <c r="TPM2465" s="63"/>
      <c r="TPN2465" s="61"/>
      <c r="TPO2465" s="54"/>
      <c r="TPP2465" s="54"/>
      <c r="TPQ2465" s="60"/>
      <c r="TPR2465" s="60"/>
      <c r="TPS2465" s="60"/>
      <c r="TPT2465" s="60"/>
      <c r="TPU2465" s="63"/>
      <c r="TPV2465" s="61"/>
      <c r="TPW2465" s="54"/>
      <c r="TPX2465" s="54"/>
      <c r="TPY2465" s="60"/>
      <c r="TPZ2465" s="60"/>
      <c r="TQA2465" s="60"/>
      <c r="TQB2465" s="60"/>
      <c r="TQC2465" s="63"/>
      <c r="TQD2465" s="61"/>
      <c r="TQE2465" s="54"/>
      <c r="TQF2465" s="54"/>
      <c r="TQG2465" s="60"/>
      <c r="TQH2465" s="60"/>
      <c r="TQI2465" s="60"/>
      <c r="TQJ2465" s="60"/>
      <c r="TQK2465" s="63"/>
      <c r="TQL2465" s="61"/>
      <c r="TQM2465" s="54"/>
      <c r="TQN2465" s="54"/>
      <c r="TQO2465" s="60"/>
      <c r="TQP2465" s="60"/>
      <c r="TQQ2465" s="60"/>
      <c r="TQR2465" s="60"/>
      <c r="TQS2465" s="63"/>
      <c r="TQT2465" s="61"/>
      <c r="TQU2465" s="54"/>
      <c r="TQV2465" s="54"/>
      <c r="TQW2465" s="60"/>
      <c r="TQX2465" s="60"/>
      <c r="TQY2465" s="60"/>
      <c r="TQZ2465" s="60"/>
      <c r="TRA2465" s="63"/>
      <c r="TRB2465" s="61"/>
      <c r="TRC2465" s="54"/>
      <c r="TRD2465" s="54"/>
      <c r="TRE2465" s="60"/>
      <c r="TRF2465" s="60"/>
      <c r="TRG2465" s="60"/>
      <c r="TRH2465" s="60"/>
      <c r="TRI2465" s="63"/>
      <c r="TRJ2465" s="61"/>
      <c r="TRK2465" s="54"/>
      <c r="TRL2465" s="54"/>
      <c r="TRM2465" s="60"/>
      <c r="TRN2465" s="60"/>
      <c r="TRO2465" s="60"/>
      <c r="TRP2465" s="60"/>
      <c r="TRQ2465" s="63"/>
      <c r="TRR2465" s="61"/>
      <c r="TRS2465" s="54"/>
      <c r="TRT2465" s="54"/>
      <c r="TRU2465" s="60"/>
      <c r="TRV2465" s="60"/>
      <c r="TRW2465" s="60"/>
      <c r="TRX2465" s="60"/>
      <c r="TRY2465" s="63"/>
      <c r="TRZ2465" s="61"/>
      <c r="TSA2465" s="54"/>
      <c r="TSB2465" s="54"/>
      <c r="TSC2465" s="60"/>
      <c r="TSD2465" s="60"/>
      <c r="TSE2465" s="60"/>
      <c r="TSF2465" s="60"/>
      <c r="TSG2465" s="63"/>
      <c r="TSH2465" s="61"/>
      <c r="TSI2465" s="54"/>
      <c r="TSJ2465" s="54"/>
      <c r="TSK2465" s="60"/>
      <c r="TSL2465" s="60"/>
      <c r="TSM2465" s="60"/>
      <c r="TSN2465" s="60"/>
      <c r="TSO2465" s="63"/>
      <c r="TSP2465" s="61"/>
      <c r="TSQ2465" s="54"/>
      <c r="TSR2465" s="54"/>
      <c r="TSS2465" s="60"/>
      <c r="TST2465" s="60"/>
      <c r="TSU2465" s="60"/>
      <c r="TSV2465" s="60"/>
      <c r="TSW2465" s="63"/>
      <c r="TSX2465" s="61"/>
      <c r="TSY2465" s="54"/>
      <c r="TSZ2465" s="54"/>
      <c r="TTA2465" s="60"/>
      <c r="TTB2465" s="60"/>
      <c r="TTC2465" s="60"/>
      <c r="TTD2465" s="60"/>
      <c r="TTE2465" s="63"/>
      <c r="TTF2465" s="61"/>
      <c r="TTG2465" s="54"/>
      <c r="TTH2465" s="54"/>
      <c r="TTI2465" s="60"/>
      <c r="TTJ2465" s="60"/>
      <c r="TTK2465" s="60"/>
      <c r="TTL2465" s="60"/>
      <c r="TTM2465" s="63"/>
      <c r="TTN2465" s="61"/>
      <c r="TTO2465" s="54"/>
      <c r="TTP2465" s="54"/>
      <c r="TTQ2465" s="60"/>
      <c r="TTR2465" s="60"/>
      <c r="TTS2465" s="60"/>
      <c r="TTT2465" s="60"/>
      <c r="TTU2465" s="63"/>
      <c r="TTV2465" s="61"/>
      <c r="TTW2465" s="54"/>
      <c r="TTX2465" s="54"/>
      <c r="TTY2465" s="60"/>
      <c r="TTZ2465" s="60"/>
      <c r="TUA2465" s="60"/>
      <c r="TUB2465" s="60"/>
      <c r="TUC2465" s="63"/>
      <c r="TUD2465" s="61"/>
      <c r="TUE2465" s="54"/>
      <c r="TUF2465" s="54"/>
      <c r="TUG2465" s="60"/>
      <c r="TUH2465" s="60"/>
      <c r="TUI2465" s="60"/>
      <c r="TUJ2465" s="60"/>
      <c r="TUK2465" s="63"/>
      <c r="TUL2465" s="61"/>
      <c r="TUM2465" s="54"/>
      <c r="TUN2465" s="54"/>
      <c r="TUO2465" s="60"/>
      <c r="TUP2465" s="60"/>
      <c r="TUQ2465" s="60"/>
      <c r="TUR2465" s="60"/>
      <c r="TUS2465" s="63"/>
      <c r="TUT2465" s="61"/>
      <c r="TUU2465" s="54"/>
      <c r="TUV2465" s="54"/>
      <c r="TUW2465" s="60"/>
      <c r="TUX2465" s="60"/>
      <c r="TUY2465" s="60"/>
      <c r="TUZ2465" s="60"/>
      <c r="TVA2465" s="63"/>
      <c r="TVB2465" s="61"/>
      <c r="TVC2465" s="54"/>
      <c r="TVD2465" s="54"/>
      <c r="TVE2465" s="60"/>
      <c r="TVF2465" s="60"/>
      <c r="TVG2465" s="60"/>
      <c r="TVH2465" s="60"/>
      <c r="TVI2465" s="63"/>
      <c r="TVJ2465" s="61"/>
      <c r="TVK2465" s="54"/>
      <c r="TVL2465" s="54"/>
      <c r="TVM2465" s="60"/>
      <c r="TVN2465" s="60"/>
      <c r="TVO2465" s="60"/>
      <c r="TVP2465" s="60"/>
      <c r="TVQ2465" s="63"/>
      <c r="TVR2465" s="61"/>
      <c r="TVS2465" s="54"/>
      <c r="TVT2465" s="54"/>
      <c r="TVU2465" s="60"/>
      <c r="TVV2465" s="60"/>
      <c r="TVW2465" s="60"/>
      <c r="TVX2465" s="60"/>
      <c r="TVY2465" s="63"/>
      <c r="TVZ2465" s="61"/>
      <c r="TWA2465" s="54"/>
      <c r="TWB2465" s="54"/>
      <c r="TWC2465" s="60"/>
      <c r="TWD2465" s="60"/>
      <c r="TWE2465" s="60"/>
      <c r="TWF2465" s="60"/>
      <c r="TWG2465" s="63"/>
      <c r="TWH2465" s="61"/>
      <c r="TWI2465" s="54"/>
      <c r="TWJ2465" s="54"/>
      <c r="TWK2465" s="60"/>
      <c r="TWL2465" s="60"/>
      <c r="TWM2465" s="60"/>
      <c r="TWN2465" s="60"/>
      <c r="TWO2465" s="63"/>
      <c r="TWP2465" s="61"/>
      <c r="TWQ2465" s="54"/>
      <c r="TWR2465" s="54"/>
      <c r="TWS2465" s="60"/>
      <c r="TWT2465" s="60"/>
      <c r="TWU2465" s="60"/>
      <c r="TWV2465" s="60"/>
      <c r="TWW2465" s="63"/>
      <c r="TWX2465" s="61"/>
      <c r="TWY2465" s="54"/>
      <c r="TWZ2465" s="54"/>
      <c r="TXA2465" s="60"/>
      <c r="TXB2465" s="60"/>
      <c r="TXC2465" s="60"/>
      <c r="TXD2465" s="60"/>
      <c r="TXE2465" s="63"/>
      <c r="TXF2465" s="61"/>
      <c r="TXG2465" s="54"/>
      <c r="TXH2465" s="54"/>
      <c r="TXI2465" s="60"/>
      <c r="TXJ2465" s="60"/>
      <c r="TXK2465" s="60"/>
      <c r="TXL2465" s="60"/>
      <c r="TXM2465" s="63"/>
      <c r="TXN2465" s="61"/>
      <c r="TXO2465" s="54"/>
      <c r="TXP2465" s="54"/>
      <c r="TXQ2465" s="60"/>
      <c r="TXR2465" s="60"/>
      <c r="TXS2465" s="60"/>
      <c r="TXT2465" s="60"/>
      <c r="TXU2465" s="63"/>
      <c r="TXV2465" s="61"/>
      <c r="TXW2465" s="54"/>
      <c r="TXX2465" s="54"/>
      <c r="TXY2465" s="60"/>
      <c r="TXZ2465" s="60"/>
      <c r="TYA2465" s="60"/>
      <c r="TYB2465" s="60"/>
      <c r="TYC2465" s="63"/>
      <c r="TYD2465" s="61"/>
      <c r="TYE2465" s="54"/>
      <c r="TYF2465" s="54"/>
      <c r="TYG2465" s="60"/>
      <c r="TYH2465" s="60"/>
      <c r="TYI2465" s="60"/>
      <c r="TYJ2465" s="60"/>
      <c r="TYK2465" s="63"/>
      <c r="TYL2465" s="61"/>
      <c r="TYM2465" s="54"/>
      <c r="TYN2465" s="54"/>
      <c r="TYO2465" s="60"/>
      <c r="TYP2465" s="60"/>
      <c r="TYQ2465" s="60"/>
      <c r="TYR2465" s="60"/>
      <c r="TYS2465" s="63"/>
      <c r="TYT2465" s="61"/>
      <c r="TYU2465" s="54"/>
      <c r="TYV2465" s="54"/>
      <c r="TYW2465" s="60"/>
      <c r="TYX2465" s="60"/>
      <c r="TYY2465" s="60"/>
      <c r="TYZ2465" s="60"/>
      <c r="TZA2465" s="63"/>
      <c r="TZB2465" s="61"/>
      <c r="TZC2465" s="54"/>
      <c r="TZD2465" s="54"/>
      <c r="TZE2465" s="60"/>
      <c r="TZF2465" s="60"/>
      <c r="TZG2465" s="60"/>
      <c r="TZH2465" s="60"/>
      <c r="TZI2465" s="63"/>
      <c r="TZJ2465" s="61"/>
      <c r="TZK2465" s="54"/>
      <c r="TZL2465" s="54"/>
      <c r="TZM2465" s="60"/>
      <c r="TZN2465" s="60"/>
      <c r="TZO2465" s="60"/>
      <c r="TZP2465" s="60"/>
      <c r="TZQ2465" s="63"/>
      <c r="TZR2465" s="61"/>
      <c r="TZS2465" s="54"/>
      <c r="TZT2465" s="54"/>
      <c r="TZU2465" s="60"/>
      <c r="TZV2465" s="60"/>
      <c r="TZW2465" s="60"/>
      <c r="TZX2465" s="60"/>
      <c r="TZY2465" s="63"/>
      <c r="TZZ2465" s="61"/>
      <c r="UAA2465" s="54"/>
      <c r="UAB2465" s="54"/>
      <c r="UAC2465" s="60"/>
      <c r="UAD2465" s="60"/>
      <c r="UAE2465" s="60"/>
      <c r="UAF2465" s="60"/>
      <c r="UAG2465" s="63"/>
      <c r="UAH2465" s="61"/>
      <c r="UAI2465" s="54"/>
      <c r="UAJ2465" s="54"/>
      <c r="UAK2465" s="60"/>
      <c r="UAL2465" s="60"/>
      <c r="UAM2465" s="60"/>
      <c r="UAN2465" s="60"/>
      <c r="UAO2465" s="63"/>
      <c r="UAP2465" s="61"/>
      <c r="UAQ2465" s="54"/>
      <c r="UAR2465" s="54"/>
      <c r="UAS2465" s="60"/>
      <c r="UAT2465" s="60"/>
      <c r="UAU2465" s="60"/>
      <c r="UAV2465" s="60"/>
      <c r="UAW2465" s="63"/>
      <c r="UAX2465" s="61"/>
      <c r="UAY2465" s="54"/>
      <c r="UAZ2465" s="54"/>
      <c r="UBA2465" s="60"/>
      <c r="UBB2465" s="60"/>
      <c r="UBC2465" s="60"/>
      <c r="UBD2465" s="60"/>
      <c r="UBE2465" s="63"/>
      <c r="UBF2465" s="61"/>
      <c r="UBG2465" s="54"/>
      <c r="UBH2465" s="54"/>
      <c r="UBI2465" s="60"/>
      <c r="UBJ2465" s="60"/>
      <c r="UBK2465" s="60"/>
      <c r="UBL2465" s="60"/>
      <c r="UBM2465" s="63"/>
      <c r="UBN2465" s="61"/>
      <c r="UBO2465" s="54"/>
      <c r="UBP2465" s="54"/>
      <c r="UBQ2465" s="60"/>
      <c r="UBR2465" s="60"/>
      <c r="UBS2465" s="60"/>
      <c r="UBT2465" s="60"/>
      <c r="UBU2465" s="63"/>
      <c r="UBV2465" s="61"/>
      <c r="UBW2465" s="54"/>
      <c r="UBX2465" s="54"/>
      <c r="UBY2465" s="60"/>
      <c r="UBZ2465" s="60"/>
      <c r="UCA2465" s="60"/>
      <c r="UCB2465" s="60"/>
      <c r="UCC2465" s="63"/>
      <c r="UCD2465" s="61"/>
      <c r="UCE2465" s="54"/>
      <c r="UCF2465" s="54"/>
      <c r="UCG2465" s="60"/>
      <c r="UCH2465" s="60"/>
      <c r="UCI2465" s="60"/>
      <c r="UCJ2465" s="60"/>
      <c r="UCK2465" s="63"/>
      <c r="UCL2465" s="61"/>
      <c r="UCM2465" s="54"/>
      <c r="UCN2465" s="54"/>
      <c r="UCO2465" s="60"/>
      <c r="UCP2465" s="60"/>
      <c r="UCQ2465" s="60"/>
      <c r="UCR2465" s="60"/>
      <c r="UCS2465" s="63"/>
      <c r="UCT2465" s="61"/>
      <c r="UCU2465" s="54"/>
      <c r="UCV2465" s="54"/>
      <c r="UCW2465" s="60"/>
      <c r="UCX2465" s="60"/>
      <c r="UCY2465" s="60"/>
      <c r="UCZ2465" s="60"/>
      <c r="UDA2465" s="63"/>
      <c r="UDB2465" s="61"/>
      <c r="UDC2465" s="54"/>
      <c r="UDD2465" s="54"/>
      <c r="UDE2465" s="60"/>
      <c r="UDF2465" s="60"/>
      <c r="UDG2465" s="60"/>
      <c r="UDH2465" s="60"/>
      <c r="UDI2465" s="63"/>
      <c r="UDJ2465" s="61"/>
      <c r="UDK2465" s="54"/>
      <c r="UDL2465" s="54"/>
      <c r="UDM2465" s="60"/>
      <c r="UDN2465" s="60"/>
      <c r="UDO2465" s="60"/>
      <c r="UDP2465" s="60"/>
      <c r="UDQ2465" s="63"/>
      <c r="UDR2465" s="61"/>
      <c r="UDS2465" s="54"/>
      <c r="UDT2465" s="54"/>
      <c r="UDU2465" s="60"/>
      <c r="UDV2465" s="60"/>
      <c r="UDW2465" s="60"/>
      <c r="UDX2465" s="60"/>
      <c r="UDY2465" s="63"/>
      <c r="UDZ2465" s="61"/>
      <c r="UEA2465" s="54"/>
      <c r="UEB2465" s="54"/>
      <c r="UEC2465" s="60"/>
      <c r="UED2465" s="60"/>
      <c r="UEE2465" s="60"/>
      <c r="UEF2465" s="60"/>
      <c r="UEG2465" s="63"/>
      <c r="UEH2465" s="61"/>
      <c r="UEI2465" s="54"/>
      <c r="UEJ2465" s="54"/>
      <c r="UEK2465" s="60"/>
      <c r="UEL2465" s="60"/>
      <c r="UEM2465" s="60"/>
      <c r="UEN2465" s="60"/>
      <c r="UEO2465" s="63"/>
      <c r="UEP2465" s="61"/>
      <c r="UEQ2465" s="54"/>
      <c r="UER2465" s="54"/>
      <c r="UES2465" s="60"/>
      <c r="UET2465" s="60"/>
      <c r="UEU2465" s="60"/>
      <c r="UEV2465" s="60"/>
      <c r="UEW2465" s="63"/>
      <c r="UEX2465" s="61"/>
      <c r="UEY2465" s="54"/>
      <c r="UEZ2465" s="54"/>
      <c r="UFA2465" s="60"/>
      <c r="UFB2465" s="60"/>
      <c r="UFC2465" s="60"/>
      <c r="UFD2465" s="60"/>
      <c r="UFE2465" s="63"/>
      <c r="UFF2465" s="61"/>
      <c r="UFG2465" s="54"/>
      <c r="UFH2465" s="54"/>
      <c r="UFI2465" s="60"/>
      <c r="UFJ2465" s="60"/>
      <c r="UFK2465" s="60"/>
      <c r="UFL2465" s="60"/>
      <c r="UFM2465" s="63"/>
      <c r="UFN2465" s="61"/>
      <c r="UFO2465" s="54"/>
      <c r="UFP2465" s="54"/>
      <c r="UFQ2465" s="60"/>
      <c r="UFR2465" s="60"/>
      <c r="UFS2465" s="60"/>
      <c r="UFT2465" s="60"/>
      <c r="UFU2465" s="63"/>
      <c r="UFV2465" s="61"/>
      <c r="UFW2465" s="54"/>
      <c r="UFX2465" s="54"/>
      <c r="UFY2465" s="60"/>
      <c r="UFZ2465" s="60"/>
      <c r="UGA2465" s="60"/>
      <c r="UGB2465" s="60"/>
      <c r="UGC2465" s="63"/>
      <c r="UGD2465" s="61"/>
      <c r="UGE2465" s="54"/>
      <c r="UGF2465" s="54"/>
      <c r="UGG2465" s="60"/>
      <c r="UGH2465" s="60"/>
      <c r="UGI2465" s="60"/>
      <c r="UGJ2465" s="60"/>
      <c r="UGK2465" s="63"/>
      <c r="UGL2465" s="61"/>
      <c r="UGM2465" s="54"/>
      <c r="UGN2465" s="54"/>
      <c r="UGO2465" s="60"/>
      <c r="UGP2465" s="60"/>
      <c r="UGQ2465" s="60"/>
      <c r="UGR2465" s="60"/>
      <c r="UGS2465" s="63"/>
      <c r="UGT2465" s="61"/>
      <c r="UGU2465" s="54"/>
      <c r="UGV2465" s="54"/>
      <c r="UGW2465" s="60"/>
      <c r="UGX2465" s="60"/>
      <c r="UGY2465" s="60"/>
      <c r="UGZ2465" s="60"/>
      <c r="UHA2465" s="63"/>
      <c r="UHB2465" s="61"/>
      <c r="UHC2465" s="54"/>
      <c r="UHD2465" s="54"/>
      <c r="UHE2465" s="60"/>
      <c r="UHF2465" s="60"/>
      <c r="UHG2465" s="60"/>
      <c r="UHH2465" s="60"/>
      <c r="UHI2465" s="63"/>
      <c r="UHJ2465" s="61"/>
      <c r="UHK2465" s="54"/>
      <c r="UHL2465" s="54"/>
      <c r="UHM2465" s="60"/>
      <c r="UHN2465" s="60"/>
      <c r="UHO2465" s="60"/>
      <c r="UHP2465" s="60"/>
      <c r="UHQ2465" s="63"/>
      <c r="UHR2465" s="61"/>
      <c r="UHS2465" s="54"/>
      <c r="UHT2465" s="54"/>
      <c r="UHU2465" s="60"/>
      <c r="UHV2465" s="60"/>
      <c r="UHW2465" s="60"/>
      <c r="UHX2465" s="60"/>
      <c r="UHY2465" s="63"/>
      <c r="UHZ2465" s="61"/>
      <c r="UIA2465" s="54"/>
      <c r="UIB2465" s="54"/>
      <c r="UIC2465" s="60"/>
      <c r="UID2465" s="60"/>
      <c r="UIE2465" s="60"/>
      <c r="UIF2465" s="60"/>
      <c r="UIG2465" s="63"/>
      <c r="UIH2465" s="61"/>
      <c r="UII2465" s="54"/>
      <c r="UIJ2465" s="54"/>
      <c r="UIK2465" s="60"/>
      <c r="UIL2465" s="60"/>
      <c r="UIM2465" s="60"/>
      <c r="UIN2465" s="60"/>
      <c r="UIO2465" s="63"/>
      <c r="UIP2465" s="61"/>
      <c r="UIQ2465" s="54"/>
      <c r="UIR2465" s="54"/>
      <c r="UIS2465" s="60"/>
      <c r="UIT2465" s="60"/>
      <c r="UIU2465" s="60"/>
      <c r="UIV2465" s="60"/>
      <c r="UIW2465" s="63"/>
      <c r="UIX2465" s="61"/>
      <c r="UIY2465" s="54"/>
      <c r="UIZ2465" s="54"/>
      <c r="UJA2465" s="60"/>
      <c r="UJB2465" s="60"/>
      <c r="UJC2465" s="60"/>
      <c r="UJD2465" s="60"/>
      <c r="UJE2465" s="63"/>
      <c r="UJF2465" s="61"/>
      <c r="UJG2465" s="54"/>
      <c r="UJH2465" s="54"/>
      <c r="UJI2465" s="60"/>
      <c r="UJJ2465" s="60"/>
      <c r="UJK2465" s="60"/>
      <c r="UJL2465" s="60"/>
      <c r="UJM2465" s="63"/>
      <c r="UJN2465" s="61"/>
      <c r="UJO2465" s="54"/>
      <c r="UJP2465" s="54"/>
      <c r="UJQ2465" s="60"/>
      <c r="UJR2465" s="60"/>
      <c r="UJS2465" s="60"/>
      <c r="UJT2465" s="60"/>
      <c r="UJU2465" s="63"/>
      <c r="UJV2465" s="61"/>
      <c r="UJW2465" s="54"/>
      <c r="UJX2465" s="54"/>
      <c r="UJY2465" s="60"/>
      <c r="UJZ2465" s="60"/>
      <c r="UKA2465" s="60"/>
      <c r="UKB2465" s="60"/>
      <c r="UKC2465" s="63"/>
      <c r="UKD2465" s="61"/>
      <c r="UKE2465" s="54"/>
      <c r="UKF2465" s="54"/>
      <c r="UKG2465" s="60"/>
      <c r="UKH2465" s="60"/>
      <c r="UKI2465" s="60"/>
      <c r="UKJ2465" s="60"/>
      <c r="UKK2465" s="63"/>
      <c r="UKL2465" s="61"/>
      <c r="UKM2465" s="54"/>
      <c r="UKN2465" s="54"/>
      <c r="UKO2465" s="60"/>
      <c r="UKP2465" s="60"/>
      <c r="UKQ2465" s="60"/>
      <c r="UKR2465" s="60"/>
      <c r="UKS2465" s="63"/>
      <c r="UKT2465" s="61"/>
      <c r="UKU2465" s="54"/>
      <c r="UKV2465" s="54"/>
      <c r="UKW2465" s="60"/>
      <c r="UKX2465" s="60"/>
      <c r="UKY2465" s="60"/>
      <c r="UKZ2465" s="60"/>
      <c r="ULA2465" s="63"/>
      <c r="ULB2465" s="61"/>
      <c r="ULC2465" s="54"/>
      <c r="ULD2465" s="54"/>
      <c r="ULE2465" s="60"/>
      <c r="ULF2465" s="60"/>
      <c r="ULG2465" s="60"/>
      <c r="ULH2465" s="60"/>
      <c r="ULI2465" s="63"/>
      <c r="ULJ2465" s="61"/>
      <c r="ULK2465" s="54"/>
      <c r="ULL2465" s="54"/>
      <c r="ULM2465" s="60"/>
      <c r="ULN2465" s="60"/>
      <c r="ULO2465" s="60"/>
      <c r="ULP2465" s="60"/>
      <c r="ULQ2465" s="63"/>
      <c r="ULR2465" s="61"/>
      <c r="ULS2465" s="54"/>
      <c r="ULT2465" s="54"/>
      <c r="ULU2465" s="60"/>
      <c r="ULV2465" s="60"/>
      <c r="ULW2465" s="60"/>
      <c r="ULX2465" s="60"/>
      <c r="ULY2465" s="63"/>
      <c r="ULZ2465" s="61"/>
      <c r="UMA2465" s="54"/>
      <c r="UMB2465" s="54"/>
      <c r="UMC2465" s="60"/>
      <c r="UMD2465" s="60"/>
      <c r="UME2465" s="60"/>
      <c r="UMF2465" s="60"/>
      <c r="UMG2465" s="63"/>
      <c r="UMH2465" s="61"/>
      <c r="UMI2465" s="54"/>
      <c r="UMJ2465" s="54"/>
      <c r="UMK2465" s="60"/>
      <c r="UML2465" s="60"/>
      <c r="UMM2465" s="60"/>
      <c r="UMN2465" s="60"/>
      <c r="UMO2465" s="63"/>
      <c r="UMP2465" s="61"/>
      <c r="UMQ2465" s="54"/>
      <c r="UMR2465" s="54"/>
      <c r="UMS2465" s="60"/>
      <c r="UMT2465" s="60"/>
      <c r="UMU2465" s="60"/>
      <c r="UMV2465" s="60"/>
      <c r="UMW2465" s="63"/>
      <c r="UMX2465" s="61"/>
      <c r="UMY2465" s="54"/>
      <c r="UMZ2465" s="54"/>
      <c r="UNA2465" s="60"/>
      <c r="UNB2465" s="60"/>
      <c r="UNC2465" s="60"/>
      <c r="UND2465" s="60"/>
      <c r="UNE2465" s="63"/>
      <c r="UNF2465" s="61"/>
      <c r="UNG2465" s="54"/>
      <c r="UNH2465" s="54"/>
      <c r="UNI2465" s="60"/>
      <c r="UNJ2465" s="60"/>
      <c r="UNK2465" s="60"/>
      <c r="UNL2465" s="60"/>
      <c r="UNM2465" s="63"/>
      <c r="UNN2465" s="61"/>
      <c r="UNO2465" s="54"/>
      <c r="UNP2465" s="54"/>
      <c r="UNQ2465" s="60"/>
      <c r="UNR2465" s="60"/>
      <c r="UNS2465" s="60"/>
      <c r="UNT2465" s="60"/>
      <c r="UNU2465" s="63"/>
      <c r="UNV2465" s="61"/>
      <c r="UNW2465" s="54"/>
      <c r="UNX2465" s="54"/>
      <c r="UNY2465" s="60"/>
      <c r="UNZ2465" s="60"/>
      <c r="UOA2465" s="60"/>
      <c r="UOB2465" s="60"/>
      <c r="UOC2465" s="63"/>
      <c r="UOD2465" s="61"/>
      <c r="UOE2465" s="54"/>
      <c r="UOF2465" s="54"/>
      <c r="UOG2465" s="60"/>
      <c r="UOH2465" s="60"/>
      <c r="UOI2465" s="60"/>
      <c r="UOJ2465" s="60"/>
      <c r="UOK2465" s="63"/>
      <c r="UOL2465" s="61"/>
      <c r="UOM2465" s="54"/>
      <c r="UON2465" s="54"/>
      <c r="UOO2465" s="60"/>
      <c r="UOP2465" s="60"/>
      <c r="UOQ2465" s="60"/>
      <c r="UOR2465" s="60"/>
      <c r="UOS2465" s="63"/>
      <c r="UOT2465" s="61"/>
      <c r="UOU2465" s="54"/>
      <c r="UOV2465" s="54"/>
      <c r="UOW2465" s="60"/>
      <c r="UOX2465" s="60"/>
      <c r="UOY2465" s="60"/>
      <c r="UOZ2465" s="60"/>
      <c r="UPA2465" s="63"/>
      <c r="UPB2465" s="61"/>
      <c r="UPC2465" s="54"/>
      <c r="UPD2465" s="54"/>
      <c r="UPE2465" s="60"/>
      <c r="UPF2465" s="60"/>
      <c r="UPG2465" s="60"/>
      <c r="UPH2465" s="60"/>
      <c r="UPI2465" s="63"/>
      <c r="UPJ2465" s="61"/>
      <c r="UPK2465" s="54"/>
      <c r="UPL2465" s="54"/>
      <c r="UPM2465" s="60"/>
      <c r="UPN2465" s="60"/>
      <c r="UPO2465" s="60"/>
      <c r="UPP2465" s="60"/>
      <c r="UPQ2465" s="63"/>
      <c r="UPR2465" s="61"/>
      <c r="UPS2465" s="54"/>
      <c r="UPT2465" s="54"/>
      <c r="UPU2465" s="60"/>
      <c r="UPV2465" s="60"/>
      <c r="UPW2465" s="60"/>
      <c r="UPX2465" s="60"/>
      <c r="UPY2465" s="63"/>
      <c r="UPZ2465" s="61"/>
      <c r="UQA2465" s="54"/>
      <c r="UQB2465" s="54"/>
      <c r="UQC2465" s="60"/>
      <c r="UQD2465" s="60"/>
      <c r="UQE2465" s="60"/>
      <c r="UQF2465" s="60"/>
      <c r="UQG2465" s="63"/>
      <c r="UQH2465" s="61"/>
      <c r="UQI2465" s="54"/>
      <c r="UQJ2465" s="54"/>
      <c r="UQK2465" s="60"/>
      <c r="UQL2465" s="60"/>
      <c r="UQM2465" s="60"/>
      <c r="UQN2465" s="60"/>
      <c r="UQO2465" s="63"/>
      <c r="UQP2465" s="61"/>
      <c r="UQQ2465" s="54"/>
      <c r="UQR2465" s="54"/>
      <c r="UQS2465" s="60"/>
      <c r="UQT2465" s="60"/>
      <c r="UQU2465" s="60"/>
      <c r="UQV2465" s="60"/>
      <c r="UQW2465" s="63"/>
      <c r="UQX2465" s="61"/>
      <c r="UQY2465" s="54"/>
      <c r="UQZ2465" s="54"/>
      <c r="URA2465" s="60"/>
      <c r="URB2465" s="60"/>
      <c r="URC2465" s="60"/>
      <c r="URD2465" s="60"/>
      <c r="URE2465" s="63"/>
      <c r="URF2465" s="61"/>
      <c r="URG2465" s="54"/>
      <c r="URH2465" s="54"/>
      <c r="URI2465" s="60"/>
      <c r="URJ2465" s="60"/>
      <c r="URK2465" s="60"/>
      <c r="URL2465" s="60"/>
      <c r="URM2465" s="63"/>
      <c r="URN2465" s="61"/>
      <c r="URO2465" s="54"/>
      <c r="URP2465" s="54"/>
      <c r="URQ2465" s="60"/>
      <c r="URR2465" s="60"/>
      <c r="URS2465" s="60"/>
      <c r="URT2465" s="60"/>
      <c r="URU2465" s="63"/>
      <c r="URV2465" s="61"/>
      <c r="URW2465" s="54"/>
      <c r="URX2465" s="54"/>
      <c r="URY2465" s="60"/>
      <c r="URZ2465" s="60"/>
      <c r="USA2465" s="60"/>
      <c r="USB2465" s="60"/>
      <c r="USC2465" s="63"/>
      <c r="USD2465" s="61"/>
      <c r="USE2465" s="54"/>
      <c r="USF2465" s="54"/>
      <c r="USG2465" s="60"/>
      <c r="USH2465" s="60"/>
      <c r="USI2465" s="60"/>
      <c r="USJ2465" s="60"/>
      <c r="USK2465" s="63"/>
      <c r="USL2465" s="61"/>
      <c r="USM2465" s="54"/>
      <c r="USN2465" s="54"/>
      <c r="USO2465" s="60"/>
      <c r="USP2465" s="60"/>
      <c r="USQ2465" s="60"/>
      <c r="USR2465" s="60"/>
      <c r="USS2465" s="63"/>
      <c r="UST2465" s="61"/>
      <c r="USU2465" s="54"/>
      <c r="USV2465" s="54"/>
      <c r="USW2465" s="60"/>
      <c r="USX2465" s="60"/>
      <c r="USY2465" s="60"/>
      <c r="USZ2465" s="60"/>
      <c r="UTA2465" s="63"/>
      <c r="UTB2465" s="61"/>
      <c r="UTC2465" s="54"/>
      <c r="UTD2465" s="54"/>
      <c r="UTE2465" s="60"/>
      <c r="UTF2465" s="60"/>
      <c r="UTG2465" s="60"/>
      <c r="UTH2465" s="60"/>
      <c r="UTI2465" s="63"/>
      <c r="UTJ2465" s="61"/>
      <c r="UTK2465" s="54"/>
      <c r="UTL2465" s="54"/>
      <c r="UTM2465" s="60"/>
      <c r="UTN2465" s="60"/>
      <c r="UTO2465" s="60"/>
      <c r="UTP2465" s="60"/>
      <c r="UTQ2465" s="63"/>
      <c r="UTR2465" s="61"/>
      <c r="UTS2465" s="54"/>
      <c r="UTT2465" s="54"/>
      <c r="UTU2465" s="60"/>
      <c r="UTV2465" s="60"/>
      <c r="UTW2465" s="60"/>
      <c r="UTX2465" s="60"/>
      <c r="UTY2465" s="63"/>
      <c r="UTZ2465" s="61"/>
      <c r="UUA2465" s="54"/>
      <c r="UUB2465" s="54"/>
      <c r="UUC2465" s="60"/>
      <c r="UUD2465" s="60"/>
      <c r="UUE2465" s="60"/>
      <c r="UUF2465" s="60"/>
      <c r="UUG2465" s="63"/>
      <c r="UUH2465" s="61"/>
      <c r="UUI2465" s="54"/>
      <c r="UUJ2465" s="54"/>
      <c r="UUK2465" s="60"/>
      <c r="UUL2465" s="60"/>
      <c r="UUM2465" s="60"/>
      <c r="UUN2465" s="60"/>
      <c r="UUO2465" s="63"/>
      <c r="UUP2465" s="61"/>
      <c r="UUQ2465" s="54"/>
      <c r="UUR2465" s="54"/>
      <c r="UUS2465" s="60"/>
      <c r="UUT2465" s="60"/>
      <c r="UUU2465" s="60"/>
      <c r="UUV2465" s="60"/>
      <c r="UUW2465" s="63"/>
      <c r="UUX2465" s="61"/>
      <c r="UUY2465" s="54"/>
      <c r="UUZ2465" s="54"/>
      <c r="UVA2465" s="60"/>
      <c r="UVB2465" s="60"/>
      <c r="UVC2465" s="60"/>
      <c r="UVD2465" s="60"/>
      <c r="UVE2465" s="63"/>
      <c r="UVF2465" s="61"/>
      <c r="UVG2465" s="54"/>
      <c r="UVH2465" s="54"/>
      <c r="UVI2465" s="60"/>
      <c r="UVJ2465" s="60"/>
      <c r="UVK2465" s="60"/>
      <c r="UVL2465" s="60"/>
      <c r="UVM2465" s="63"/>
      <c r="UVN2465" s="61"/>
      <c r="UVO2465" s="54"/>
      <c r="UVP2465" s="54"/>
      <c r="UVQ2465" s="60"/>
      <c r="UVR2465" s="60"/>
      <c r="UVS2465" s="60"/>
      <c r="UVT2465" s="60"/>
      <c r="UVU2465" s="63"/>
      <c r="UVV2465" s="61"/>
      <c r="UVW2465" s="54"/>
      <c r="UVX2465" s="54"/>
      <c r="UVY2465" s="60"/>
      <c r="UVZ2465" s="60"/>
      <c r="UWA2465" s="60"/>
      <c r="UWB2465" s="60"/>
      <c r="UWC2465" s="63"/>
      <c r="UWD2465" s="61"/>
      <c r="UWE2465" s="54"/>
      <c r="UWF2465" s="54"/>
      <c r="UWG2465" s="60"/>
      <c r="UWH2465" s="60"/>
      <c r="UWI2465" s="60"/>
      <c r="UWJ2465" s="60"/>
      <c r="UWK2465" s="63"/>
      <c r="UWL2465" s="61"/>
      <c r="UWM2465" s="54"/>
      <c r="UWN2465" s="54"/>
      <c r="UWO2465" s="60"/>
      <c r="UWP2465" s="60"/>
      <c r="UWQ2465" s="60"/>
      <c r="UWR2465" s="60"/>
      <c r="UWS2465" s="63"/>
      <c r="UWT2465" s="61"/>
      <c r="UWU2465" s="54"/>
      <c r="UWV2465" s="54"/>
      <c r="UWW2465" s="60"/>
      <c r="UWX2465" s="60"/>
      <c r="UWY2465" s="60"/>
      <c r="UWZ2465" s="60"/>
      <c r="UXA2465" s="63"/>
      <c r="UXB2465" s="61"/>
      <c r="UXC2465" s="54"/>
      <c r="UXD2465" s="54"/>
      <c r="UXE2465" s="60"/>
      <c r="UXF2465" s="60"/>
      <c r="UXG2465" s="60"/>
      <c r="UXH2465" s="60"/>
      <c r="UXI2465" s="63"/>
      <c r="UXJ2465" s="61"/>
      <c r="UXK2465" s="54"/>
      <c r="UXL2465" s="54"/>
      <c r="UXM2465" s="60"/>
      <c r="UXN2465" s="60"/>
      <c r="UXO2465" s="60"/>
      <c r="UXP2465" s="60"/>
      <c r="UXQ2465" s="63"/>
      <c r="UXR2465" s="61"/>
      <c r="UXS2465" s="54"/>
      <c r="UXT2465" s="54"/>
      <c r="UXU2465" s="60"/>
      <c r="UXV2465" s="60"/>
      <c r="UXW2465" s="60"/>
      <c r="UXX2465" s="60"/>
      <c r="UXY2465" s="63"/>
      <c r="UXZ2465" s="61"/>
      <c r="UYA2465" s="54"/>
      <c r="UYB2465" s="54"/>
      <c r="UYC2465" s="60"/>
      <c r="UYD2465" s="60"/>
      <c r="UYE2465" s="60"/>
      <c r="UYF2465" s="60"/>
      <c r="UYG2465" s="63"/>
      <c r="UYH2465" s="61"/>
      <c r="UYI2465" s="54"/>
      <c r="UYJ2465" s="54"/>
      <c r="UYK2465" s="60"/>
      <c r="UYL2465" s="60"/>
      <c r="UYM2465" s="60"/>
      <c r="UYN2465" s="60"/>
      <c r="UYO2465" s="63"/>
      <c r="UYP2465" s="61"/>
      <c r="UYQ2465" s="54"/>
      <c r="UYR2465" s="54"/>
      <c r="UYS2465" s="60"/>
      <c r="UYT2465" s="60"/>
      <c r="UYU2465" s="60"/>
      <c r="UYV2465" s="60"/>
      <c r="UYW2465" s="63"/>
      <c r="UYX2465" s="61"/>
      <c r="UYY2465" s="54"/>
      <c r="UYZ2465" s="54"/>
      <c r="UZA2465" s="60"/>
      <c r="UZB2465" s="60"/>
      <c r="UZC2465" s="60"/>
      <c r="UZD2465" s="60"/>
      <c r="UZE2465" s="63"/>
      <c r="UZF2465" s="61"/>
      <c r="UZG2465" s="54"/>
      <c r="UZH2465" s="54"/>
      <c r="UZI2465" s="60"/>
      <c r="UZJ2465" s="60"/>
      <c r="UZK2465" s="60"/>
      <c r="UZL2465" s="60"/>
      <c r="UZM2465" s="63"/>
      <c r="UZN2465" s="61"/>
      <c r="UZO2465" s="54"/>
      <c r="UZP2465" s="54"/>
      <c r="UZQ2465" s="60"/>
      <c r="UZR2465" s="60"/>
      <c r="UZS2465" s="60"/>
      <c r="UZT2465" s="60"/>
      <c r="UZU2465" s="63"/>
      <c r="UZV2465" s="61"/>
      <c r="UZW2465" s="54"/>
      <c r="UZX2465" s="54"/>
      <c r="UZY2465" s="60"/>
      <c r="UZZ2465" s="60"/>
      <c r="VAA2465" s="60"/>
      <c r="VAB2465" s="60"/>
      <c r="VAC2465" s="63"/>
      <c r="VAD2465" s="61"/>
      <c r="VAE2465" s="54"/>
      <c r="VAF2465" s="54"/>
      <c r="VAG2465" s="60"/>
      <c r="VAH2465" s="60"/>
      <c r="VAI2465" s="60"/>
      <c r="VAJ2465" s="60"/>
      <c r="VAK2465" s="63"/>
      <c r="VAL2465" s="61"/>
      <c r="VAM2465" s="54"/>
      <c r="VAN2465" s="54"/>
      <c r="VAO2465" s="60"/>
      <c r="VAP2465" s="60"/>
      <c r="VAQ2465" s="60"/>
      <c r="VAR2465" s="60"/>
      <c r="VAS2465" s="63"/>
      <c r="VAT2465" s="61"/>
      <c r="VAU2465" s="54"/>
      <c r="VAV2465" s="54"/>
      <c r="VAW2465" s="60"/>
      <c r="VAX2465" s="60"/>
      <c r="VAY2465" s="60"/>
      <c r="VAZ2465" s="60"/>
      <c r="VBA2465" s="63"/>
      <c r="VBB2465" s="61"/>
      <c r="VBC2465" s="54"/>
      <c r="VBD2465" s="54"/>
      <c r="VBE2465" s="60"/>
      <c r="VBF2465" s="60"/>
      <c r="VBG2465" s="60"/>
      <c r="VBH2465" s="60"/>
      <c r="VBI2465" s="63"/>
      <c r="VBJ2465" s="61"/>
      <c r="VBK2465" s="54"/>
      <c r="VBL2465" s="54"/>
      <c r="VBM2465" s="60"/>
      <c r="VBN2465" s="60"/>
      <c r="VBO2465" s="60"/>
      <c r="VBP2465" s="60"/>
      <c r="VBQ2465" s="63"/>
      <c r="VBR2465" s="61"/>
      <c r="VBS2465" s="54"/>
      <c r="VBT2465" s="54"/>
      <c r="VBU2465" s="60"/>
      <c r="VBV2465" s="60"/>
      <c r="VBW2465" s="60"/>
      <c r="VBX2465" s="60"/>
      <c r="VBY2465" s="63"/>
      <c r="VBZ2465" s="61"/>
      <c r="VCA2465" s="54"/>
      <c r="VCB2465" s="54"/>
      <c r="VCC2465" s="60"/>
      <c r="VCD2465" s="60"/>
      <c r="VCE2465" s="60"/>
      <c r="VCF2465" s="60"/>
      <c r="VCG2465" s="63"/>
      <c r="VCH2465" s="61"/>
      <c r="VCI2465" s="54"/>
      <c r="VCJ2465" s="54"/>
      <c r="VCK2465" s="60"/>
      <c r="VCL2465" s="60"/>
      <c r="VCM2465" s="60"/>
      <c r="VCN2465" s="60"/>
      <c r="VCO2465" s="63"/>
      <c r="VCP2465" s="61"/>
      <c r="VCQ2465" s="54"/>
      <c r="VCR2465" s="54"/>
      <c r="VCS2465" s="60"/>
      <c r="VCT2465" s="60"/>
      <c r="VCU2465" s="60"/>
      <c r="VCV2465" s="60"/>
      <c r="VCW2465" s="63"/>
      <c r="VCX2465" s="61"/>
      <c r="VCY2465" s="54"/>
      <c r="VCZ2465" s="54"/>
      <c r="VDA2465" s="60"/>
      <c r="VDB2465" s="60"/>
      <c r="VDC2465" s="60"/>
      <c r="VDD2465" s="60"/>
      <c r="VDE2465" s="63"/>
      <c r="VDF2465" s="61"/>
      <c r="VDG2465" s="54"/>
      <c r="VDH2465" s="54"/>
      <c r="VDI2465" s="60"/>
      <c r="VDJ2465" s="60"/>
      <c r="VDK2465" s="60"/>
      <c r="VDL2465" s="60"/>
      <c r="VDM2465" s="63"/>
      <c r="VDN2465" s="61"/>
      <c r="VDO2465" s="54"/>
      <c r="VDP2465" s="54"/>
      <c r="VDQ2465" s="60"/>
      <c r="VDR2465" s="60"/>
      <c r="VDS2465" s="60"/>
      <c r="VDT2465" s="60"/>
      <c r="VDU2465" s="63"/>
      <c r="VDV2465" s="61"/>
      <c r="VDW2465" s="54"/>
      <c r="VDX2465" s="54"/>
      <c r="VDY2465" s="60"/>
      <c r="VDZ2465" s="60"/>
      <c r="VEA2465" s="60"/>
      <c r="VEB2465" s="60"/>
      <c r="VEC2465" s="63"/>
      <c r="VED2465" s="61"/>
      <c r="VEE2465" s="54"/>
      <c r="VEF2465" s="54"/>
      <c r="VEG2465" s="60"/>
      <c r="VEH2465" s="60"/>
      <c r="VEI2465" s="60"/>
      <c r="VEJ2465" s="60"/>
      <c r="VEK2465" s="63"/>
      <c r="VEL2465" s="61"/>
      <c r="VEM2465" s="54"/>
      <c r="VEN2465" s="54"/>
      <c r="VEO2465" s="60"/>
      <c r="VEP2465" s="60"/>
      <c r="VEQ2465" s="60"/>
      <c r="VER2465" s="60"/>
      <c r="VES2465" s="63"/>
      <c r="VET2465" s="61"/>
      <c r="VEU2465" s="54"/>
      <c r="VEV2465" s="54"/>
      <c r="VEW2465" s="60"/>
      <c r="VEX2465" s="60"/>
      <c r="VEY2465" s="60"/>
      <c r="VEZ2465" s="60"/>
      <c r="VFA2465" s="63"/>
      <c r="VFB2465" s="61"/>
      <c r="VFC2465" s="54"/>
      <c r="VFD2465" s="54"/>
      <c r="VFE2465" s="60"/>
      <c r="VFF2465" s="60"/>
      <c r="VFG2465" s="60"/>
      <c r="VFH2465" s="60"/>
      <c r="VFI2465" s="63"/>
      <c r="VFJ2465" s="61"/>
      <c r="VFK2465" s="54"/>
      <c r="VFL2465" s="54"/>
      <c r="VFM2465" s="60"/>
      <c r="VFN2465" s="60"/>
      <c r="VFO2465" s="60"/>
      <c r="VFP2465" s="60"/>
      <c r="VFQ2465" s="63"/>
      <c r="VFR2465" s="61"/>
      <c r="VFS2465" s="54"/>
      <c r="VFT2465" s="54"/>
      <c r="VFU2465" s="60"/>
      <c r="VFV2465" s="60"/>
      <c r="VFW2465" s="60"/>
      <c r="VFX2465" s="60"/>
      <c r="VFY2465" s="63"/>
      <c r="VFZ2465" s="61"/>
      <c r="VGA2465" s="54"/>
      <c r="VGB2465" s="54"/>
      <c r="VGC2465" s="60"/>
      <c r="VGD2465" s="60"/>
      <c r="VGE2465" s="60"/>
      <c r="VGF2465" s="60"/>
      <c r="VGG2465" s="63"/>
      <c r="VGH2465" s="61"/>
      <c r="VGI2465" s="54"/>
      <c r="VGJ2465" s="54"/>
      <c r="VGK2465" s="60"/>
      <c r="VGL2465" s="60"/>
      <c r="VGM2465" s="60"/>
      <c r="VGN2465" s="60"/>
      <c r="VGO2465" s="63"/>
      <c r="VGP2465" s="61"/>
      <c r="VGQ2465" s="54"/>
      <c r="VGR2465" s="54"/>
      <c r="VGS2465" s="60"/>
      <c r="VGT2465" s="60"/>
      <c r="VGU2465" s="60"/>
      <c r="VGV2465" s="60"/>
      <c r="VGW2465" s="63"/>
      <c r="VGX2465" s="61"/>
      <c r="VGY2465" s="54"/>
      <c r="VGZ2465" s="54"/>
      <c r="VHA2465" s="60"/>
      <c r="VHB2465" s="60"/>
      <c r="VHC2465" s="60"/>
      <c r="VHD2465" s="60"/>
      <c r="VHE2465" s="63"/>
      <c r="VHF2465" s="61"/>
      <c r="VHG2465" s="54"/>
      <c r="VHH2465" s="54"/>
      <c r="VHI2465" s="60"/>
      <c r="VHJ2465" s="60"/>
      <c r="VHK2465" s="60"/>
      <c r="VHL2465" s="60"/>
      <c r="VHM2465" s="63"/>
      <c r="VHN2465" s="61"/>
      <c r="VHO2465" s="54"/>
      <c r="VHP2465" s="54"/>
      <c r="VHQ2465" s="60"/>
      <c r="VHR2465" s="60"/>
      <c r="VHS2465" s="60"/>
      <c r="VHT2465" s="60"/>
      <c r="VHU2465" s="63"/>
      <c r="VHV2465" s="61"/>
      <c r="VHW2465" s="54"/>
      <c r="VHX2465" s="54"/>
      <c r="VHY2465" s="60"/>
      <c r="VHZ2465" s="60"/>
      <c r="VIA2465" s="60"/>
      <c r="VIB2465" s="60"/>
      <c r="VIC2465" s="63"/>
      <c r="VID2465" s="61"/>
      <c r="VIE2465" s="54"/>
      <c r="VIF2465" s="54"/>
      <c r="VIG2465" s="60"/>
      <c r="VIH2465" s="60"/>
      <c r="VII2465" s="60"/>
      <c r="VIJ2465" s="60"/>
      <c r="VIK2465" s="63"/>
      <c r="VIL2465" s="61"/>
      <c r="VIM2465" s="54"/>
      <c r="VIN2465" s="54"/>
      <c r="VIO2465" s="60"/>
      <c r="VIP2465" s="60"/>
      <c r="VIQ2465" s="60"/>
      <c r="VIR2465" s="60"/>
      <c r="VIS2465" s="63"/>
      <c r="VIT2465" s="61"/>
      <c r="VIU2465" s="54"/>
      <c r="VIV2465" s="54"/>
      <c r="VIW2465" s="60"/>
      <c r="VIX2465" s="60"/>
      <c r="VIY2465" s="60"/>
      <c r="VIZ2465" s="60"/>
      <c r="VJA2465" s="63"/>
      <c r="VJB2465" s="61"/>
      <c r="VJC2465" s="54"/>
      <c r="VJD2465" s="54"/>
      <c r="VJE2465" s="60"/>
      <c r="VJF2465" s="60"/>
      <c r="VJG2465" s="60"/>
      <c r="VJH2465" s="60"/>
      <c r="VJI2465" s="63"/>
      <c r="VJJ2465" s="61"/>
      <c r="VJK2465" s="54"/>
      <c r="VJL2465" s="54"/>
      <c r="VJM2465" s="60"/>
      <c r="VJN2465" s="60"/>
      <c r="VJO2465" s="60"/>
      <c r="VJP2465" s="60"/>
      <c r="VJQ2465" s="63"/>
      <c r="VJR2465" s="61"/>
      <c r="VJS2465" s="54"/>
      <c r="VJT2465" s="54"/>
      <c r="VJU2465" s="60"/>
      <c r="VJV2465" s="60"/>
      <c r="VJW2465" s="60"/>
      <c r="VJX2465" s="60"/>
      <c r="VJY2465" s="63"/>
      <c r="VJZ2465" s="61"/>
      <c r="VKA2465" s="54"/>
      <c r="VKB2465" s="54"/>
      <c r="VKC2465" s="60"/>
      <c r="VKD2465" s="60"/>
      <c r="VKE2465" s="60"/>
      <c r="VKF2465" s="60"/>
      <c r="VKG2465" s="63"/>
      <c r="VKH2465" s="61"/>
      <c r="VKI2465" s="54"/>
      <c r="VKJ2465" s="54"/>
      <c r="VKK2465" s="60"/>
      <c r="VKL2465" s="60"/>
      <c r="VKM2465" s="60"/>
      <c r="VKN2465" s="60"/>
      <c r="VKO2465" s="63"/>
      <c r="VKP2465" s="61"/>
      <c r="VKQ2465" s="54"/>
      <c r="VKR2465" s="54"/>
      <c r="VKS2465" s="60"/>
      <c r="VKT2465" s="60"/>
      <c r="VKU2465" s="60"/>
      <c r="VKV2465" s="60"/>
      <c r="VKW2465" s="63"/>
      <c r="VKX2465" s="61"/>
      <c r="VKY2465" s="54"/>
      <c r="VKZ2465" s="54"/>
      <c r="VLA2465" s="60"/>
      <c r="VLB2465" s="60"/>
      <c r="VLC2465" s="60"/>
      <c r="VLD2465" s="60"/>
      <c r="VLE2465" s="63"/>
      <c r="VLF2465" s="61"/>
      <c r="VLG2465" s="54"/>
      <c r="VLH2465" s="54"/>
      <c r="VLI2465" s="60"/>
      <c r="VLJ2465" s="60"/>
      <c r="VLK2465" s="60"/>
      <c r="VLL2465" s="60"/>
      <c r="VLM2465" s="63"/>
      <c r="VLN2465" s="61"/>
      <c r="VLO2465" s="54"/>
      <c r="VLP2465" s="54"/>
      <c r="VLQ2465" s="60"/>
      <c r="VLR2465" s="60"/>
      <c r="VLS2465" s="60"/>
      <c r="VLT2465" s="60"/>
      <c r="VLU2465" s="63"/>
      <c r="VLV2465" s="61"/>
      <c r="VLW2465" s="54"/>
      <c r="VLX2465" s="54"/>
      <c r="VLY2465" s="60"/>
      <c r="VLZ2465" s="60"/>
      <c r="VMA2465" s="60"/>
      <c r="VMB2465" s="60"/>
      <c r="VMC2465" s="63"/>
      <c r="VMD2465" s="61"/>
      <c r="VME2465" s="54"/>
      <c r="VMF2465" s="54"/>
      <c r="VMG2465" s="60"/>
      <c r="VMH2465" s="60"/>
      <c r="VMI2465" s="60"/>
      <c r="VMJ2465" s="60"/>
      <c r="VMK2465" s="63"/>
      <c r="VML2465" s="61"/>
      <c r="VMM2465" s="54"/>
      <c r="VMN2465" s="54"/>
      <c r="VMO2465" s="60"/>
      <c r="VMP2465" s="60"/>
      <c r="VMQ2465" s="60"/>
      <c r="VMR2465" s="60"/>
      <c r="VMS2465" s="63"/>
      <c r="VMT2465" s="61"/>
      <c r="VMU2465" s="54"/>
      <c r="VMV2465" s="54"/>
      <c r="VMW2465" s="60"/>
      <c r="VMX2465" s="60"/>
      <c r="VMY2465" s="60"/>
      <c r="VMZ2465" s="60"/>
      <c r="VNA2465" s="63"/>
      <c r="VNB2465" s="61"/>
      <c r="VNC2465" s="54"/>
      <c r="VND2465" s="54"/>
      <c r="VNE2465" s="60"/>
      <c r="VNF2465" s="60"/>
      <c r="VNG2465" s="60"/>
      <c r="VNH2465" s="60"/>
      <c r="VNI2465" s="63"/>
      <c r="VNJ2465" s="61"/>
      <c r="VNK2465" s="54"/>
      <c r="VNL2465" s="54"/>
      <c r="VNM2465" s="60"/>
      <c r="VNN2465" s="60"/>
      <c r="VNO2465" s="60"/>
      <c r="VNP2465" s="60"/>
      <c r="VNQ2465" s="63"/>
      <c r="VNR2465" s="61"/>
      <c r="VNS2465" s="54"/>
      <c r="VNT2465" s="54"/>
      <c r="VNU2465" s="60"/>
      <c r="VNV2465" s="60"/>
      <c r="VNW2465" s="60"/>
      <c r="VNX2465" s="60"/>
      <c r="VNY2465" s="63"/>
      <c r="VNZ2465" s="61"/>
      <c r="VOA2465" s="54"/>
      <c r="VOB2465" s="54"/>
      <c r="VOC2465" s="60"/>
      <c r="VOD2465" s="60"/>
      <c r="VOE2465" s="60"/>
      <c r="VOF2465" s="60"/>
      <c r="VOG2465" s="63"/>
      <c r="VOH2465" s="61"/>
      <c r="VOI2465" s="54"/>
      <c r="VOJ2465" s="54"/>
      <c r="VOK2465" s="60"/>
      <c r="VOL2465" s="60"/>
      <c r="VOM2465" s="60"/>
      <c r="VON2465" s="60"/>
      <c r="VOO2465" s="63"/>
      <c r="VOP2465" s="61"/>
      <c r="VOQ2465" s="54"/>
      <c r="VOR2465" s="54"/>
      <c r="VOS2465" s="60"/>
      <c r="VOT2465" s="60"/>
      <c r="VOU2465" s="60"/>
      <c r="VOV2465" s="60"/>
      <c r="VOW2465" s="63"/>
      <c r="VOX2465" s="61"/>
      <c r="VOY2465" s="54"/>
      <c r="VOZ2465" s="54"/>
      <c r="VPA2465" s="60"/>
      <c r="VPB2465" s="60"/>
      <c r="VPC2465" s="60"/>
      <c r="VPD2465" s="60"/>
      <c r="VPE2465" s="63"/>
      <c r="VPF2465" s="61"/>
      <c r="VPG2465" s="54"/>
      <c r="VPH2465" s="54"/>
      <c r="VPI2465" s="60"/>
      <c r="VPJ2465" s="60"/>
      <c r="VPK2465" s="60"/>
      <c r="VPL2465" s="60"/>
      <c r="VPM2465" s="63"/>
      <c r="VPN2465" s="61"/>
      <c r="VPO2465" s="54"/>
      <c r="VPP2465" s="54"/>
      <c r="VPQ2465" s="60"/>
      <c r="VPR2465" s="60"/>
      <c r="VPS2465" s="60"/>
      <c r="VPT2465" s="60"/>
      <c r="VPU2465" s="63"/>
      <c r="VPV2465" s="61"/>
      <c r="VPW2465" s="54"/>
      <c r="VPX2465" s="54"/>
      <c r="VPY2465" s="60"/>
      <c r="VPZ2465" s="60"/>
      <c r="VQA2465" s="60"/>
      <c r="VQB2465" s="60"/>
      <c r="VQC2465" s="63"/>
      <c r="VQD2465" s="61"/>
      <c r="VQE2465" s="54"/>
      <c r="VQF2465" s="54"/>
      <c r="VQG2465" s="60"/>
      <c r="VQH2465" s="60"/>
      <c r="VQI2465" s="60"/>
      <c r="VQJ2465" s="60"/>
      <c r="VQK2465" s="63"/>
      <c r="VQL2465" s="61"/>
      <c r="VQM2465" s="54"/>
      <c r="VQN2465" s="54"/>
      <c r="VQO2465" s="60"/>
      <c r="VQP2465" s="60"/>
      <c r="VQQ2465" s="60"/>
      <c r="VQR2465" s="60"/>
      <c r="VQS2465" s="63"/>
      <c r="VQT2465" s="61"/>
      <c r="VQU2465" s="54"/>
      <c r="VQV2465" s="54"/>
      <c r="VQW2465" s="60"/>
      <c r="VQX2465" s="60"/>
      <c r="VQY2465" s="60"/>
      <c r="VQZ2465" s="60"/>
      <c r="VRA2465" s="63"/>
      <c r="VRB2465" s="61"/>
      <c r="VRC2465" s="54"/>
      <c r="VRD2465" s="54"/>
      <c r="VRE2465" s="60"/>
      <c r="VRF2465" s="60"/>
      <c r="VRG2465" s="60"/>
      <c r="VRH2465" s="60"/>
      <c r="VRI2465" s="63"/>
      <c r="VRJ2465" s="61"/>
      <c r="VRK2465" s="54"/>
      <c r="VRL2465" s="54"/>
      <c r="VRM2465" s="60"/>
      <c r="VRN2465" s="60"/>
      <c r="VRO2465" s="60"/>
      <c r="VRP2465" s="60"/>
      <c r="VRQ2465" s="63"/>
      <c r="VRR2465" s="61"/>
      <c r="VRS2465" s="54"/>
      <c r="VRT2465" s="54"/>
      <c r="VRU2465" s="60"/>
      <c r="VRV2465" s="60"/>
      <c r="VRW2465" s="60"/>
      <c r="VRX2465" s="60"/>
      <c r="VRY2465" s="63"/>
      <c r="VRZ2465" s="61"/>
      <c r="VSA2465" s="54"/>
      <c r="VSB2465" s="54"/>
      <c r="VSC2465" s="60"/>
      <c r="VSD2465" s="60"/>
      <c r="VSE2465" s="60"/>
      <c r="VSF2465" s="60"/>
      <c r="VSG2465" s="63"/>
      <c r="VSH2465" s="61"/>
      <c r="VSI2465" s="54"/>
      <c r="VSJ2465" s="54"/>
      <c r="VSK2465" s="60"/>
      <c r="VSL2465" s="60"/>
      <c r="VSM2465" s="60"/>
      <c r="VSN2465" s="60"/>
      <c r="VSO2465" s="63"/>
      <c r="VSP2465" s="61"/>
      <c r="VSQ2465" s="54"/>
      <c r="VSR2465" s="54"/>
      <c r="VSS2465" s="60"/>
      <c r="VST2465" s="60"/>
      <c r="VSU2465" s="60"/>
      <c r="VSV2465" s="60"/>
      <c r="VSW2465" s="63"/>
      <c r="VSX2465" s="61"/>
      <c r="VSY2465" s="54"/>
      <c r="VSZ2465" s="54"/>
      <c r="VTA2465" s="60"/>
      <c r="VTB2465" s="60"/>
      <c r="VTC2465" s="60"/>
      <c r="VTD2465" s="60"/>
      <c r="VTE2465" s="63"/>
      <c r="VTF2465" s="61"/>
      <c r="VTG2465" s="54"/>
      <c r="VTH2465" s="54"/>
      <c r="VTI2465" s="60"/>
      <c r="VTJ2465" s="60"/>
      <c r="VTK2465" s="60"/>
      <c r="VTL2465" s="60"/>
      <c r="VTM2465" s="63"/>
      <c r="VTN2465" s="61"/>
      <c r="VTO2465" s="54"/>
      <c r="VTP2465" s="54"/>
      <c r="VTQ2465" s="60"/>
      <c r="VTR2465" s="60"/>
      <c r="VTS2465" s="60"/>
      <c r="VTT2465" s="60"/>
      <c r="VTU2465" s="63"/>
      <c r="VTV2465" s="61"/>
      <c r="VTW2465" s="54"/>
      <c r="VTX2465" s="54"/>
      <c r="VTY2465" s="60"/>
      <c r="VTZ2465" s="60"/>
      <c r="VUA2465" s="60"/>
      <c r="VUB2465" s="60"/>
      <c r="VUC2465" s="63"/>
      <c r="VUD2465" s="61"/>
      <c r="VUE2465" s="54"/>
      <c r="VUF2465" s="54"/>
      <c r="VUG2465" s="60"/>
      <c r="VUH2465" s="60"/>
      <c r="VUI2465" s="60"/>
      <c r="VUJ2465" s="60"/>
      <c r="VUK2465" s="63"/>
      <c r="VUL2465" s="61"/>
      <c r="VUM2465" s="54"/>
      <c r="VUN2465" s="54"/>
      <c r="VUO2465" s="60"/>
      <c r="VUP2465" s="60"/>
      <c r="VUQ2465" s="60"/>
      <c r="VUR2465" s="60"/>
      <c r="VUS2465" s="63"/>
      <c r="VUT2465" s="61"/>
      <c r="VUU2465" s="54"/>
      <c r="VUV2465" s="54"/>
      <c r="VUW2465" s="60"/>
      <c r="VUX2465" s="60"/>
      <c r="VUY2465" s="60"/>
      <c r="VUZ2465" s="60"/>
      <c r="VVA2465" s="63"/>
      <c r="VVB2465" s="61"/>
      <c r="VVC2465" s="54"/>
      <c r="VVD2465" s="54"/>
      <c r="VVE2465" s="60"/>
      <c r="VVF2465" s="60"/>
      <c r="VVG2465" s="60"/>
      <c r="VVH2465" s="60"/>
      <c r="VVI2465" s="63"/>
      <c r="VVJ2465" s="61"/>
      <c r="VVK2465" s="54"/>
      <c r="VVL2465" s="54"/>
      <c r="VVM2465" s="60"/>
      <c r="VVN2465" s="60"/>
      <c r="VVO2465" s="60"/>
      <c r="VVP2465" s="60"/>
      <c r="VVQ2465" s="63"/>
      <c r="VVR2465" s="61"/>
      <c r="VVS2465" s="54"/>
      <c r="VVT2465" s="54"/>
      <c r="VVU2465" s="60"/>
      <c r="VVV2465" s="60"/>
      <c r="VVW2465" s="60"/>
      <c r="VVX2465" s="60"/>
      <c r="VVY2465" s="63"/>
      <c r="VVZ2465" s="61"/>
      <c r="VWA2465" s="54"/>
      <c r="VWB2465" s="54"/>
      <c r="VWC2465" s="60"/>
      <c r="VWD2465" s="60"/>
      <c r="VWE2465" s="60"/>
      <c r="VWF2465" s="60"/>
      <c r="VWG2465" s="63"/>
      <c r="VWH2465" s="61"/>
      <c r="VWI2465" s="54"/>
      <c r="VWJ2465" s="54"/>
      <c r="VWK2465" s="60"/>
      <c r="VWL2465" s="60"/>
      <c r="VWM2465" s="60"/>
      <c r="VWN2465" s="60"/>
      <c r="VWO2465" s="63"/>
      <c r="VWP2465" s="61"/>
      <c r="VWQ2465" s="54"/>
      <c r="VWR2465" s="54"/>
      <c r="VWS2465" s="60"/>
      <c r="VWT2465" s="60"/>
      <c r="VWU2465" s="60"/>
      <c r="VWV2465" s="60"/>
      <c r="VWW2465" s="63"/>
      <c r="VWX2465" s="61"/>
      <c r="VWY2465" s="54"/>
      <c r="VWZ2465" s="54"/>
      <c r="VXA2465" s="60"/>
      <c r="VXB2465" s="60"/>
      <c r="VXC2465" s="60"/>
      <c r="VXD2465" s="60"/>
      <c r="VXE2465" s="63"/>
      <c r="VXF2465" s="61"/>
      <c r="VXG2465" s="54"/>
      <c r="VXH2465" s="54"/>
      <c r="VXI2465" s="60"/>
      <c r="VXJ2465" s="60"/>
      <c r="VXK2465" s="60"/>
      <c r="VXL2465" s="60"/>
      <c r="VXM2465" s="63"/>
      <c r="VXN2465" s="61"/>
      <c r="VXO2465" s="54"/>
      <c r="VXP2465" s="54"/>
      <c r="VXQ2465" s="60"/>
      <c r="VXR2465" s="60"/>
      <c r="VXS2465" s="60"/>
      <c r="VXT2465" s="60"/>
      <c r="VXU2465" s="63"/>
      <c r="VXV2465" s="61"/>
      <c r="VXW2465" s="54"/>
      <c r="VXX2465" s="54"/>
      <c r="VXY2465" s="60"/>
      <c r="VXZ2465" s="60"/>
      <c r="VYA2465" s="60"/>
      <c r="VYB2465" s="60"/>
      <c r="VYC2465" s="63"/>
      <c r="VYD2465" s="61"/>
      <c r="VYE2465" s="54"/>
      <c r="VYF2465" s="54"/>
      <c r="VYG2465" s="60"/>
      <c r="VYH2465" s="60"/>
      <c r="VYI2465" s="60"/>
      <c r="VYJ2465" s="60"/>
      <c r="VYK2465" s="63"/>
      <c r="VYL2465" s="61"/>
      <c r="VYM2465" s="54"/>
      <c r="VYN2465" s="54"/>
      <c r="VYO2465" s="60"/>
      <c r="VYP2465" s="60"/>
      <c r="VYQ2465" s="60"/>
      <c r="VYR2465" s="60"/>
      <c r="VYS2465" s="63"/>
      <c r="VYT2465" s="61"/>
      <c r="VYU2465" s="54"/>
      <c r="VYV2465" s="54"/>
      <c r="VYW2465" s="60"/>
      <c r="VYX2465" s="60"/>
      <c r="VYY2465" s="60"/>
      <c r="VYZ2465" s="60"/>
      <c r="VZA2465" s="63"/>
      <c r="VZB2465" s="61"/>
      <c r="VZC2465" s="54"/>
      <c r="VZD2465" s="54"/>
      <c r="VZE2465" s="60"/>
      <c r="VZF2465" s="60"/>
      <c r="VZG2465" s="60"/>
      <c r="VZH2465" s="60"/>
      <c r="VZI2465" s="63"/>
      <c r="VZJ2465" s="61"/>
      <c r="VZK2465" s="54"/>
      <c r="VZL2465" s="54"/>
      <c r="VZM2465" s="60"/>
      <c r="VZN2465" s="60"/>
      <c r="VZO2465" s="60"/>
      <c r="VZP2465" s="60"/>
      <c r="VZQ2465" s="63"/>
      <c r="VZR2465" s="61"/>
      <c r="VZS2465" s="54"/>
      <c r="VZT2465" s="54"/>
      <c r="VZU2465" s="60"/>
      <c r="VZV2465" s="60"/>
      <c r="VZW2465" s="60"/>
      <c r="VZX2465" s="60"/>
      <c r="VZY2465" s="63"/>
      <c r="VZZ2465" s="61"/>
      <c r="WAA2465" s="54"/>
      <c r="WAB2465" s="54"/>
      <c r="WAC2465" s="60"/>
      <c r="WAD2465" s="60"/>
      <c r="WAE2465" s="60"/>
      <c r="WAF2465" s="60"/>
      <c r="WAG2465" s="63"/>
      <c r="WAH2465" s="61"/>
      <c r="WAI2465" s="54"/>
      <c r="WAJ2465" s="54"/>
      <c r="WAK2465" s="60"/>
      <c r="WAL2465" s="60"/>
      <c r="WAM2465" s="60"/>
      <c r="WAN2465" s="60"/>
      <c r="WAO2465" s="63"/>
      <c r="WAP2465" s="61"/>
      <c r="WAQ2465" s="54"/>
      <c r="WAR2465" s="54"/>
      <c r="WAS2465" s="60"/>
      <c r="WAT2465" s="60"/>
      <c r="WAU2465" s="60"/>
      <c r="WAV2465" s="60"/>
      <c r="WAW2465" s="63"/>
      <c r="WAX2465" s="61"/>
      <c r="WAY2465" s="54"/>
      <c r="WAZ2465" s="54"/>
      <c r="WBA2465" s="60"/>
      <c r="WBB2465" s="60"/>
      <c r="WBC2465" s="60"/>
      <c r="WBD2465" s="60"/>
      <c r="WBE2465" s="63"/>
      <c r="WBF2465" s="61"/>
      <c r="WBG2465" s="54"/>
      <c r="WBH2465" s="54"/>
      <c r="WBI2465" s="60"/>
      <c r="WBJ2465" s="60"/>
      <c r="WBK2465" s="60"/>
      <c r="WBL2465" s="60"/>
      <c r="WBM2465" s="63"/>
      <c r="WBN2465" s="61"/>
      <c r="WBO2465" s="54"/>
      <c r="WBP2465" s="54"/>
      <c r="WBQ2465" s="60"/>
      <c r="WBR2465" s="60"/>
      <c r="WBS2465" s="60"/>
      <c r="WBT2465" s="60"/>
      <c r="WBU2465" s="63"/>
      <c r="WBV2465" s="61"/>
      <c r="WBW2465" s="54"/>
      <c r="WBX2465" s="54"/>
      <c r="WBY2465" s="60"/>
      <c r="WBZ2465" s="60"/>
      <c r="WCA2465" s="60"/>
      <c r="WCB2465" s="60"/>
      <c r="WCC2465" s="63"/>
      <c r="WCD2465" s="61"/>
      <c r="WCE2465" s="54"/>
      <c r="WCF2465" s="54"/>
      <c r="WCG2465" s="60"/>
      <c r="WCH2465" s="60"/>
      <c r="WCI2465" s="60"/>
      <c r="WCJ2465" s="60"/>
      <c r="WCK2465" s="63"/>
      <c r="WCL2465" s="61"/>
      <c r="WCM2465" s="54"/>
      <c r="WCN2465" s="54"/>
      <c r="WCO2465" s="60"/>
      <c r="WCP2465" s="60"/>
      <c r="WCQ2465" s="60"/>
      <c r="WCR2465" s="60"/>
      <c r="WCS2465" s="63"/>
      <c r="WCT2465" s="61"/>
      <c r="WCU2465" s="54"/>
      <c r="WCV2465" s="54"/>
      <c r="WCW2465" s="60"/>
      <c r="WCX2465" s="60"/>
      <c r="WCY2465" s="60"/>
      <c r="WCZ2465" s="60"/>
      <c r="WDA2465" s="63"/>
      <c r="WDB2465" s="61"/>
      <c r="WDC2465" s="54"/>
      <c r="WDD2465" s="54"/>
      <c r="WDE2465" s="60"/>
      <c r="WDF2465" s="60"/>
      <c r="WDG2465" s="60"/>
      <c r="WDH2465" s="60"/>
      <c r="WDI2465" s="63"/>
      <c r="WDJ2465" s="61"/>
      <c r="WDK2465" s="54"/>
      <c r="WDL2465" s="54"/>
      <c r="WDM2465" s="60"/>
      <c r="WDN2465" s="60"/>
      <c r="WDO2465" s="60"/>
      <c r="WDP2465" s="60"/>
      <c r="WDQ2465" s="63"/>
      <c r="WDR2465" s="61"/>
      <c r="WDS2465" s="54"/>
      <c r="WDT2465" s="54"/>
      <c r="WDU2465" s="60"/>
      <c r="WDV2465" s="60"/>
      <c r="WDW2465" s="60"/>
      <c r="WDX2465" s="60"/>
      <c r="WDY2465" s="63"/>
      <c r="WDZ2465" s="61"/>
      <c r="WEA2465" s="54"/>
      <c r="WEB2465" s="54"/>
      <c r="WEC2465" s="60"/>
      <c r="WED2465" s="60"/>
      <c r="WEE2465" s="60"/>
      <c r="WEF2465" s="60"/>
      <c r="WEG2465" s="63"/>
      <c r="WEH2465" s="61"/>
      <c r="WEI2465" s="54"/>
      <c r="WEJ2465" s="54"/>
      <c r="WEK2465" s="60"/>
      <c r="WEL2465" s="60"/>
      <c r="WEM2465" s="60"/>
      <c r="WEN2465" s="60"/>
      <c r="WEO2465" s="63"/>
      <c r="WEP2465" s="61"/>
      <c r="WEQ2465" s="54"/>
      <c r="WER2465" s="54"/>
      <c r="WES2465" s="60"/>
      <c r="WET2465" s="60"/>
      <c r="WEU2465" s="60"/>
      <c r="WEV2465" s="60"/>
      <c r="WEW2465" s="63"/>
      <c r="WEX2465" s="61"/>
      <c r="WEY2465" s="54"/>
      <c r="WEZ2465" s="54"/>
      <c r="WFA2465" s="60"/>
      <c r="WFB2465" s="60"/>
      <c r="WFC2465" s="60"/>
      <c r="WFD2465" s="60"/>
      <c r="WFE2465" s="63"/>
      <c r="WFF2465" s="61"/>
      <c r="WFG2465" s="54"/>
      <c r="WFH2465" s="54"/>
      <c r="WFI2465" s="60"/>
      <c r="WFJ2465" s="60"/>
      <c r="WFK2465" s="60"/>
      <c r="WFL2465" s="60"/>
      <c r="WFM2465" s="63"/>
      <c r="WFN2465" s="61"/>
      <c r="WFO2465" s="54"/>
      <c r="WFP2465" s="54"/>
      <c r="WFQ2465" s="60"/>
      <c r="WFR2465" s="60"/>
      <c r="WFS2465" s="60"/>
      <c r="WFT2465" s="60"/>
      <c r="WFU2465" s="63"/>
      <c r="WFV2465" s="61"/>
      <c r="WFW2465" s="54"/>
      <c r="WFX2465" s="54"/>
      <c r="WFY2465" s="60"/>
      <c r="WFZ2465" s="60"/>
      <c r="WGA2465" s="60"/>
      <c r="WGB2465" s="60"/>
      <c r="WGC2465" s="63"/>
      <c r="WGD2465" s="61"/>
      <c r="WGE2465" s="54"/>
      <c r="WGF2465" s="54"/>
      <c r="WGG2465" s="60"/>
      <c r="WGH2465" s="60"/>
      <c r="WGI2465" s="60"/>
      <c r="WGJ2465" s="60"/>
      <c r="WGK2465" s="63"/>
      <c r="WGL2465" s="61"/>
      <c r="WGM2465" s="54"/>
      <c r="WGN2465" s="54"/>
      <c r="WGO2465" s="60"/>
      <c r="WGP2465" s="60"/>
      <c r="WGQ2465" s="60"/>
      <c r="WGR2465" s="60"/>
      <c r="WGS2465" s="63"/>
      <c r="WGT2465" s="61"/>
      <c r="WGU2465" s="54"/>
      <c r="WGV2465" s="54"/>
      <c r="WGW2465" s="60"/>
      <c r="WGX2465" s="60"/>
      <c r="WGY2465" s="60"/>
      <c r="WGZ2465" s="60"/>
      <c r="WHA2465" s="63"/>
      <c r="WHB2465" s="61"/>
      <c r="WHC2465" s="54"/>
      <c r="WHD2465" s="54"/>
      <c r="WHE2465" s="60"/>
      <c r="WHF2465" s="60"/>
      <c r="WHG2465" s="60"/>
      <c r="WHH2465" s="60"/>
      <c r="WHI2465" s="63"/>
      <c r="WHJ2465" s="61"/>
      <c r="WHK2465" s="54"/>
      <c r="WHL2465" s="54"/>
      <c r="WHM2465" s="60"/>
      <c r="WHN2465" s="60"/>
      <c r="WHO2465" s="60"/>
      <c r="WHP2465" s="60"/>
      <c r="WHQ2465" s="63"/>
      <c r="WHR2465" s="61"/>
      <c r="WHS2465" s="54"/>
      <c r="WHT2465" s="54"/>
      <c r="WHU2465" s="60"/>
      <c r="WHV2465" s="60"/>
      <c r="WHW2465" s="60"/>
      <c r="WHX2465" s="60"/>
      <c r="WHY2465" s="63"/>
      <c r="WHZ2465" s="61"/>
      <c r="WIA2465" s="54"/>
      <c r="WIB2465" s="54"/>
      <c r="WIC2465" s="60"/>
      <c r="WID2465" s="60"/>
      <c r="WIE2465" s="60"/>
      <c r="WIF2465" s="60"/>
      <c r="WIG2465" s="63"/>
      <c r="WIH2465" s="61"/>
      <c r="WII2465" s="54"/>
      <c r="WIJ2465" s="54"/>
      <c r="WIK2465" s="60"/>
      <c r="WIL2465" s="60"/>
      <c r="WIM2465" s="60"/>
      <c r="WIN2465" s="60"/>
      <c r="WIO2465" s="63"/>
      <c r="WIP2465" s="61"/>
      <c r="WIQ2465" s="54"/>
      <c r="WIR2465" s="54"/>
      <c r="WIS2465" s="60"/>
      <c r="WIT2465" s="60"/>
      <c r="WIU2465" s="60"/>
      <c r="WIV2465" s="60"/>
      <c r="WIW2465" s="63"/>
      <c r="WIX2465" s="61"/>
      <c r="WIY2465" s="54"/>
      <c r="WIZ2465" s="54"/>
      <c r="WJA2465" s="60"/>
      <c r="WJB2465" s="60"/>
      <c r="WJC2465" s="60"/>
      <c r="WJD2465" s="60"/>
      <c r="WJE2465" s="63"/>
      <c r="WJF2465" s="61"/>
      <c r="WJG2465" s="54"/>
      <c r="WJH2465" s="54"/>
      <c r="WJI2465" s="60"/>
      <c r="WJJ2465" s="60"/>
      <c r="WJK2465" s="60"/>
      <c r="WJL2465" s="60"/>
      <c r="WJM2465" s="63"/>
      <c r="WJN2465" s="61"/>
      <c r="WJO2465" s="54"/>
      <c r="WJP2465" s="54"/>
      <c r="WJQ2465" s="60"/>
      <c r="WJR2465" s="60"/>
      <c r="WJS2465" s="60"/>
      <c r="WJT2465" s="60"/>
      <c r="WJU2465" s="63"/>
      <c r="WJV2465" s="61"/>
      <c r="WJW2465" s="54"/>
      <c r="WJX2465" s="54"/>
      <c r="WJY2465" s="60"/>
      <c r="WJZ2465" s="60"/>
      <c r="WKA2465" s="60"/>
      <c r="WKB2465" s="60"/>
      <c r="WKC2465" s="63"/>
      <c r="WKD2465" s="61"/>
      <c r="WKE2465" s="54"/>
      <c r="WKF2465" s="54"/>
      <c r="WKG2465" s="60"/>
      <c r="WKH2465" s="60"/>
      <c r="WKI2465" s="60"/>
      <c r="WKJ2465" s="60"/>
      <c r="WKK2465" s="63"/>
      <c r="WKL2465" s="61"/>
      <c r="WKM2465" s="54"/>
      <c r="WKN2465" s="54"/>
      <c r="WKO2465" s="60"/>
      <c r="WKP2465" s="60"/>
      <c r="WKQ2465" s="60"/>
      <c r="WKR2465" s="60"/>
      <c r="WKS2465" s="63"/>
      <c r="WKT2465" s="61"/>
      <c r="WKU2465" s="54"/>
      <c r="WKV2465" s="54"/>
      <c r="WKW2465" s="60"/>
      <c r="WKX2465" s="60"/>
      <c r="WKY2465" s="60"/>
      <c r="WKZ2465" s="60"/>
      <c r="WLA2465" s="63"/>
      <c r="WLB2465" s="61"/>
      <c r="WLC2465" s="54"/>
      <c r="WLD2465" s="54"/>
      <c r="WLE2465" s="60"/>
      <c r="WLF2465" s="60"/>
      <c r="WLG2465" s="60"/>
      <c r="WLH2465" s="60"/>
      <c r="WLI2465" s="63"/>
      <c r="WLJ2465" s="61"/>
      <c r="WLK2465" s="54"/>
      <c r="WLL2465" s="54"/>
      <c r="WLM2465" s="60"/>
      <c r="WLN2465" s="60"/>
      <c r="WLO2465" s="60"/>
      <c r="WLP2465" s="60"/>
      <c r="WLQ2465" s="63"/>
      <c r="WLR2465" s="61"/>
      <c r="WLS2465" s="54"/>
      <c r="WLT2465" s="54"/>
      <c r="WLU2465" s="60"/>
      <c r="WLV2465" s="60"/>
      <c r="WLW2465" s="60"/>
      <c r="WLX2465" s="60"/>
      <c r="WLY2465" s="63"/>
      <c r="WLZ2465" s="61"/>
      <c r="WMA2465" s="54"/>
      <c r="WMB2465" s="54"/>
      <c r="WMC2465" s="60"/>
      <c r="WMD2465" s="60"/>
      <c r="WME2465" s="60"/>
      <c r="WMF2465" s="60"/>
      <c r="WMG2465" s="63"/>
      <c r="WMH2465" s="61"/>
      <c r="WMI2465" s="54"/>
      <c r="WMJ2465" s="54"/>
      <c r="WMK2465" s="60"/>
      <c r="WML2465" s="60"/>
      <c r="WMM2465" s="60"/>
      <c r="WMN2465" s="60"/>
      <c r="WMO2465" s="63"/>
      <c r="WMP2465" s="61"/>
      <c r="WMQ2465" s="54"/>
      <c r="WMR2465" s="54"/>
      <c r="WMS2465" s="60"/>
      <c r="WMT2465" s="60"/>
      <c r="WMU2465" s="60"/>
      <c r="WMV2465" s="60"/>
      <c r="WMW2465" s="63"/>
      <c r="WMX2465" s="61"/>
      <c r="WMY2465" s="54"/>
      <c r="WMZ2465" s="54"/>
      <c r="WNA2465" s="60"/>
      <c r="WNB2465" s="60"/>
      <c r="WNC2465" s="60"/>
      <c r="WND2465" s="60"/>
      <c r="WNE2465" s="63"/>
      <c r="WNF2465" s="61"/>
      <c r="WNG2465" s="54"/>
      <c r="WNH2465" s="54"/>
      <c r="WNI2465" s="60"/>
      <c r="WNJ2465" s="60"/>
      <c r="WNK2465" s="60"/>
      <c r="WNL2465" s="60"/>
      <c r="WNM2465" s="63"/>
      <c r="WNN2465" s="61"/>
      <c r="WNO2465" s="54"/>
      <c r="WNP2465" s="54"/>
      <c r="WNQ2465" s="60"/>
      <c r="WNR2465" s="60"/>
      <c r="WNS2465" s="60"/>
      <c r="WNT2465" s="60"/>
      <c r="WNU2465" s="63"/>
      <c r="WNV2465" s="61"/>
      <c r="WNW2465" s="54"/>
      <c r="WNX2465" s="54"/>
      <c r="WNY2465" s="60"/>
      <c r="WNZ2465" s="60"/>
      <c r="WOA2465" s="60"/>
      <c r="WOB2465" s="60"/>
      <c r="WOC2465" s="63"/>
      <c r="WOD2465" s="61"/>
      <c r="WOE2465" s="54"/>
      <c r="WOF2465" s="54"/>
      <c r="WOG2465" s="60"/>
      <c r="WOH2465" s="60"/>
      <c r="WOI2465" s="60"/>
      <c r="WOJ2465" s="60"/>
      <c r="WOK2465" s="63"/>
      <c r="WOL2465" s="61"/>
      <c r="WOM2465" s="54"/>
      <c r="WON2465" s="54"/>
      <c r="WOO2465" s="60"/>
      <c r="WOP2465" s="60"/>
      <c r="WOQ2465" s="60"/>
      <c r="WOR2465" s="60"/>
      <c r="WOS2465" s="63"/>
      <c r="WOT2465" s="61"/>
      <c r="WOU2465" s="54"/>
      <c r="WOV2465" s="54"/>
      <c r="WOW2465" s="60"/>
      <c r="WOX2465" s="60"/>
      <c r="WOY2465" s="60"/>
      <c r="WOZ2465" s="60"/>
      <c r="WPA2465" s="63"/>
      <c r="WPB2465" s="61"/>
      <c r="WPC2465" s="54"/>
      <c r="WPD2465" s="54"/>
      <c r="WPE2465" s="60"/>
      <c r="WPF2465" s="60"/>
      <c r="WPG2465" s="60"/>
      <c r="WPH2465" s="60"/>
      <c r="WPI2465" s="63"/>
      <c r="WPJ2465" s="61"/>
      <c r="WPK2465" s="54"/>
      <c r="WPL2465" s="54"/>
      <c r="WPM2465" s="60"/>
      <c r="WPN2465" s="60"/>
      <c r="WPO2465" s="60"/>
      <c r="WPP2465" s="60"/>
      <c r="WPQ2465" s="63"/>
      <c r="WPR2465" s="61"/>
      <c r="WPS2465" s="54"/>
      <c r="WPT2465" s="54"/>
      <c r="WPU2465" s="60"/>
      <c r="WPV2465" s="60"/>
      <c r="WPW2465" s="60"/>
      <c r="WPX2465" s="60"/>
      <c r="WPY2465" s="63"/>
      <c r="WPZ2465" s="61"/>
      <c r="WQA2465" s="54"/>
      <c r="WQB2465" s="54"/>
      <c r="WQC2465" s="60"/>
      <c r="WQD2465" s="60"/>
      <c r="WQE2465" s="60"/>
      <c r="WQF2465" s="60"/>
      <c r="WQG2465" s="63"/>
      <c r="WQH2465" s="61"/>
      <c r="WQI2465" s="54"/>
      <c r="WQJ2465" s="54"/>
      <c r="WQK2465" s="60"/>
      <c r="WQL2465" s="60"/>
      <c r="WQM2465" s="60"/>
      <c r="WQN2465" s="60"/>
      <c r="WQO2465" s="63"/>
      <c r="WQP2465" s="61"/>
      <c r="WQQ2465" s="54"/>
      <c r="WQR2465" s="54"/>
      <c r="WQS2465" s="60"/>
      <c r="WQT2465" s="60"/>
      <c r="WQU2465" s="60"/>
      <c r="WQV2465" s="60"/>
      <c r="WQW2465" s="63"/>
      <c r="WQX2465" s="61"/>
      <c r="WQY2465" s="54"/>
      <c r="WQZ2465" s="54"/>
      <c r="WRA2465" s="60"/>
      <c r="WRB2465" s="60"/>
      <c r="WRC2465" s="60"/>
      <c r="WRD2465" s="60"/>
      <c r="WRE2465" s="63"/>
      <c r="WRF2465" s="61"/>
      <c r="WRG2465" s="54"/>
      <c r="WRH2465" s="54"/>
      <c r="WRI2465" s="60"/>
      <c r="WRJ2465" s="60"/>
      <c r="WRK2465" s="60"/>
      <c r="WRL2465" s="60"/>
      <c r="WRM2465" s="63"/>
      <c r="WRN2465" s="61"/>
      <c r="WRO2465" s="54"/>
      <c r="WRP2465" s="54"/>
      <c r="WRQ2465" s="60"/>
      <c r="WRR2465" s="60"/>
      <c r="WRS2465" s="60"/>
      <c r="WRT2465" s="60"/>
      <c r="WRU2465" s="63"/>
      <c r="WRV2465" s="61"/>
      <c r="WRW2465" s="54"/>
      <c r="WRX2465" s="54"/>
      <c r="WRY2465" s="60"/>
      <c r="WRZ2465" s="60"/>
      <c r="WSA2465" s="60"/>
      <c r="WSB2465" s="60"/>
      <c r="WSC2465" s="63"/>
      <c r="WSD2465" s="61"/>
      <c r="WSE2465" s="54"/>
      <c r="WSF2465" s="54"/>
      <c r="WSG2465" s="60"/>
      <c r="WSH2465" s="60"/>
      <c r="WSI2465" s="60"/>
      <c r="WSJ2465" s="60"/>
      <c r="WSK2465" s="63"/>
      <c r="WSL2465" s="61"/>
      <c r="WSM2465" s="54"/>
      <c r="WSN2465" s="54"/>
      <c r="WSO2465" s="60"/>
      <c r="WSP2465" s="60"/>
      <c r="WSQ2465" s="60"/>
      <c r="WSR2465" s="60"/>
      <c r="WSS2465" s="63"/>
      <c r="WST2465" s="61"/>
      <c r="WSU2465" s="54"/>
      <c r="WSV2465" s="54"/>
      <c r="WSW2465" s="60"/>
      <c r="WSX2465" s="60"/>
      <c r="WSY2465" s="60"/>
      <c r="WSZ2465" s="60"/>
      <c r="WTA2465" s="63"/>
      <c r="WTB2465" s="61"/>
      <c r="WTC2465" s="54"/>
      <c r="WTD2465" s="54"/>
      <c r="WTE2465" s="60"/>
      <c r="WTF2465" s="60"/>
      <c r="WTG2465" s="60"/>
      <c r="WTH2465" s="60"/>
      <c r="WTI2465" s="63"/>
      <c r="WTJ2465" s="61"/>
      <c r="WTK2465" s="54"/>
      <c r="WTL2465" s="54"/>
      <c r="WTM2465" s="60"/>
      <c r="WTN2465" s="60"/>
      <c r="WTO2465" s="60"/>
      <c r="WTP2465" s="60"/>
      <c r="WTQ2465" s="63"/>
      <c r="WTR2465" s="61"/>
      <c r="WTS2465" s="54"/>
      <c r="WTT2465" s="54"/>
      <c r="WTU2465" s="60"/>
      <c r="WTV2465" s="60"/>
      <c r="WTW2465" s="60"/>
      <c r="WTX2465" s="60"/>
      <c r="WTY2465" s="63"/>
      <c r="WTZ2465" s="61"/>
      <c r="WUA2465" s="54"/>
      <c r="WUB2465" s="54"/>
      <c r="WUC2465" s="60"/>
      <c r="WUD2465" s="60"/>
      <c r="WUE2465" s="60"/>
      <c r="WUF2465" s="60"/>
      <c r="WUG2465" s="63"/>
      <c r="WUH2465" s="61"/>
      <c r="WUI2465" s="54"/>
      <c r="WUJ2465" s="54"/>
      <c r="WUK2465" s="60"/>
      <c r="WUL2465" s="60"/>
      <c r="WUM2465" s="60"/>
      <c r="WUN2465" s="60"/>
      <c r="WUO2465" s="63"/>
      <c r="WUP2465" s="61"/>
      <c r="WUQ2465" s="54"/>
      <c r="WUR2465" s="54"/>
      <c r="WUS2465" s="60"/>
      <c r="WUT2465" s="60"/>
      <c r="WUU2465" s="60"/>
      <c r="WUV2465" s="60"/>
      <c r="WUW2465" s="63"/>
      <c r="WUX2465" s="61"/>
      <c r="WUY2465" s="54"/>
      <c r="WUZ2465" s="54"/>
      <c r="WVA2465" s="60"/>
      <c r="WVB2465" s="60"/>
      <c r="WVC2465" s="60"/>
      <c r="WVD2465" s="60"/>
      <c r="WVE2465" s="63"/>
      <c r="WVF2465" s="61"/>
      <c r="WVG2465" s="54"/>
      <c r="WVH2465" s="54"/>
      <c r="WVI2465" s="60"/>
      <c r="WVJ2465" s="60"/>
      <c r="WVK2465" s="60"/>
      <c r="WVL2465" s="60"/>
      <c r="WVM2465" s="63"/>
      <c r="WVN2465" s="61"/>
      <c r="WVO2465" s="54"/>
      <c r="WVP2465" s="54"/>
      <c r="WVQ2465" s="60"/>
      <c r="WVR2465" s="60"/>
      <c r="WVS2465" s="60"/>
      <c r="WVT2465" s="60"/>
      <c r="WVU2465" s="63"/>
      <c r="WVV2465" s="61"/>
      <c r="WVW2465" s="54"/>
      <c r="WVX2465" s="54"/>
      <c r="WVY2465" s="60"/>
      <c r="WVZ2465" s="60"/>
      <c r="WWA2465" s="60"/>
      <c r="WWB2465" s="60"/>
      <c r="WWC2465" s="63"/>
      <c r="WWD2465" s="61"/>
      <c r="WWE2465" s="54"/>
      <c r="WWF2465" s="54"/>
      <c r="WWG2465" s="60"/>
      <c r="WWH2465" s="60"/>
      <c r="WWI2465" s="60"/>
      <c r="WWJ2465" s="60"/>
      <c r="WWK2465" s="63"/>
      <c r="WWL2465" s="61"/>
      <c r="WWM2465" s="54"/>
      <c r="WWN2465" s="54"/>
      <c r="WWO2465" s="60"/>
      <c r="WWP2465" s="60"/>
      <c r="WWQ2465" s="60"/>
      <c r="WWR2465" s="60"/>
      <c r="WWS2465" s="63"/>
      <c r="WWT2465" s="61"/>
      <c r="WWU2465" s="54"/>
      <c r="WWV2465" s="54"/>
      <c r="WWW2465" s="60"/>
      <c r="WWX2465" s="60"/>
      <c r="WWY2465" s="60"/>
      <c r="WWZ2465" s="60"/>
      <c r="WXA2465" s="63"/>
      <c r="WXB2465" s="61"/>
      <c r="WXC2465" s="54"/>
      <c r="WXD2465" s="54"/>
      <c r="WXE2465" s="60"/>
      <c r="WXF2465" s="60"/>
      <c r="WXG2465" s="60"/>
      <c r="WXH2465" s="60"/>
      <c r="WXI2465" s="63"/>
      <c r="WXJ2465" s="61"/>
      <c r="WXK2465" s="54"/>
      <c r="WXL2465" s="54"/>
      <c r="WXM2465" s="60"/>
      <c r="WXN2465" s="60"/>
      <c r="WXO2465" s="60"/>
      <c r="WXP2465" s="60"/>
      <c r="WXQ2465" s="63"/>
      <c r="WXR2465" s="61"/>
      <c r="WXS2465" s="54"/>
      <c r="WXT2465" s="54"/>
      <c r="WXU2465" s="60"/>
      <c r="WXV2465" s="60"/>
      <c r="WXW2465" s="60"/>
      <c r="WXX2465" s="60"/>
      <c r="WXY2465" s="63"/>
      <c r="WXZ2465" s="61"/>
      <c r="WYA2465" s="54"/>
      <c r="WYB2465" s="54"/>
      <c r="WYC2465" s="60"/>
      <c r="WYD2465" s="60"/>
      <c r="WYE2465" s="60"/>
      <c r="WYF2465" s="60"/>
      <c r="WYG2465" s="63"/>
      <c r="WYH2465" s="61"/>
      <c r="WYI2465" s="54"/>
      <c r="WYJ2465" s="54"/>
      <c r="WYK2465" s="60"/>
      <c r="WYL2465" s="60"/>
      <c r="WYM2465" s="60"/>
      <c r="WYN2465" s="60"/>
      <c r="WYO2465" s="63"/>
      <c r="WYP2465" s="61"/>
      <c r="WYQ2465" s="54"/>
      <c r="WYR2465" s="54"/>
      <c r="WYS2465" s="60"/>
      <c r="WYT2465" s="60"/>
      <c r="WYU2465" s="60"/>
      <c r="WYV2465" s="60"/>
      <c r="WYW2465" s="63"/>
      <c r="WYX2465" s="61"/>
      <c r="WYY2465" s="54"/>
      <c r="WYZ2465" s="54"/>
      <c r="WZA2465" s="60"/>
      <c r="WZB2465" s="60"/>
      <c r="WZC2465" s="60"/>
      <c r="WZD2465" s="60"/>
      <c r="WZE2465" s="63"/>
      <c r="WZF2465" s="61"/>
      <c r="WZG2465" s="54"/>
      <c r="WZH2465" s="54"/>
      <c r="WZI2465" s="60"/>
      <c r="WZJ2465" s="60"/>
      <c r="WZK2465" s="60"/>
      <c r="WZL2465" s="60"/>
      <c r="WZM2465" s="63"/>
      <c r="WZN2465" s="61"/>
      <c r="WZO2465" s="54"/>
      <c r="WZP2465" s="54"/>
      <c r="WZQ2465" s="60"/>
      <c r="WZR2465" s="60"/>
      <c r="WZS2465" s="60"/>
      <c r="WZT2465" s="60"/>
      <c r="WZU2465" s="63"/>
      <c r="WZV2465" s="61"/>
      <c r="WZW2465" s="54"/>
      <c r="WZX2465" s="54"/>
      <c r="WZY2465" s="60"/>
      <c r="WZZ2465" s="60"/>
      <c r="XAA2465" s="60"/>
      <c r="XAB2465" s="60"/>
      <c r="XAC2465" s="63"/>
      <c r="XAD2465" s="61"/>
      <c r="XAE2465" s="54"/>
      <c r="XAF2465" s="54"/>
      <c r="XAG2465" s="60"/>
      <c r="XAH2465" s="60"/>
      <c r="XAI2465" s="60"/>
      <c r="XAJ2465" s="60"/>
      <c r="XAK2465" s="63"/>
      <c r="XAL2465" s="61"/>
      <c r="XAM2465" s="54"/>
      <c r="XAN2465" s="54"/>
      <c r="XAO2465" s="60"/>
      <c r="XAP2465" s="60"/>
      <c r="XAQ2465" s="60"/>
      <c r="XAR2465" s="60"/>
      <c r="XAS2465" s="63"/>
      <c r="XAT2465" s="61"/>
      <c r="XAU2465" s="54"/>
      <c r="XAV2465" s="54"/>
      <c r="XAW2465" s="60"/>
      <c r="XAX2465" s="60"/>
      <c r="XAY2465" s="60"/>
      <c r="XAZ2465" s="60"/>
      <c r="XBA2465" s="63"/>
      <c r="XBB2465" s="61"/>
      <c r="XBC2465" s="54"/>
      <c r="XBD2465" s="54"/>
      <c r="XBE2465" s="60"/>
      <c r="XBF2465" s="60"/>
      <c r="XBG2465" s="60"/>
      <c r="XBH2465" s="60"/>
      <c r="XBI2465" s="63"/>
      <c r="XBJ2465" s="61"/>
      <c r="XBK2465" s="54"/>
      <c r="XBL2465" s="54"/>
      <c r="XBM2465" s="60"/>
      <c r="XBN2465" s="60"/>
      <c r="XBO2465" s="60"/>
      <c r="XBP2465" s="60"/>
      <c r="XBQ2465" s="63"/>
      <c r="XBR2465" s="61"/>
      <c r="XBS2465" s="54"/>
      <c r="XBT2465" s="54"/>
      <c r="XBU2465" s="60"/>
      <c r="XBV2465" s="60"/>
      <c r="XBW2465" s="60"/>
      <c r="XBX2465" s="60"/>
      <c r="XBY2465" s="63"/>
      <c r="XBZ2465" s="61"/>
      <c r="XCA2465" s="54"/>
      <c r="XCB2465" s="54"/>
      <c r="XCC2465" s="60"/>
      <c r="XCD2465" s="60"/>
      <c r="XCE2465" s="60"/>
      <c r="XCF2465" s="60"/>
      <c r="XCG2465" s="63"/>
      <c r="XCH2465" s="61"/>
      <c r="XCI2465" s="54"/>
      <c r="XCJ2465" s="54"/>
      <c r="XCK2465" s="60"/>
      <c r="XCL2465" s="60"/>
      <c r="XCM2465" s="60"/>
      <c r="XCN2465" s="60"/>
      <c r="XCO2465" s="63"/>
      <c r="XCP2465" s="61"/>
      <c r="XCQ2465" s="54"/>
      <c r="XCR2465" s="54"/>
      <c r="XCS2465" s="60"/>
      <c r="XCT2465" s="60"/>
      <c r="XCU2465" s="60"/>
      <c r="XCV2465" s="60"/>
      <c r="XCW2465" s="63"/>
      <c r="XCX2465" s="61"/>
      <c r="XCY2465" s="54"/>
      <c r="XCZ2465" s="54"/>
      <c r="XDA2465" s="60"/>
      <c r="XDB2465" s="60"/>
      <c r="XDC2465" s="60"/>
      <c r="XDD2465" s="60"/>
      <c r="XDE2465" s="63"/>
      <c r="XDF2465" s="61"/>
      <c r="XDG2465" s="54"/>
      <c r="XDH2465" s="54"/>
      <c r="XDI2465" s="60"/>
      <c r="XDJ2465" s="60"/>
      <c r="XDK2465" s="60"/>
      <c r="XDL2465" s="60"/>
      <c r="XDM2465" s="63"/>
      <c r="XDN2465" s="61"/>
      <c r="XDO2465" s="54"/>
      <c r="XDP2465" s="54"/>
      <c r="XDQ2465" s="60"/>
      <c r="XDR2465" s="60"/>
      <c r="XDS2465" s="60"/>
      <c r="XDT2465" s="60"/>
      <c r="XDU2465" s="63"/>
      <c r="XDV2465" s="61"/>
      <c r="XDW2465" s="54"/>
      <c r="XDX2465" s="54"/>
      <c r="XDY2465" s="60"/>
      <c r="XDZ2465" s="60"/>
      <c r="XEA2465" s="60"/>
      <c r="XEB2465" s="60"/>
      <c r="XEC2465" s="63"/>
      <c r="XED2465" s="61"/>
      <c r="XEE2465" s="54"/>
      <c r="XEF2465" s="54"/>
      <c r="XEG2465" s="60"/>
      <c r="XEH2465" s="60"/>
      <c r="XEI2465" s="60"/>
      <c r="XEJ2465" s="60"/>
      <c r="XEK2465" s="63"/>
      <c r="XEL2465" s="61"/>
      <c r="XEM2465" s="54"/>
      <c r="XEN2465" s="54"/>
      <c r="XEO2465" s="60"/>
      <c r="XEP2465" s="60"/>
      <c r="XEQ2465" s="60"/>
      <c r="XER2465" s="60"/>
      <c r="XES2465" s="63"/>
      <c r="XET2465" s="61"/>
      <c r="XEU2465" s="54"/>
      <c r="XEV2465" s="54"/>
      <c r="XEW2465" s="60"/>
    </row>
    <row r="2466" ht="18" customHeight="1" spans="1:16377">
      <c r="A2466" s="6" t="s">
        <v>8209</v>
      </c>
      <c r="B2466" s="6" t="s">
        <v>8540</v>
      </c>
      <c r="C2466" s="11" t="s">
        <v>16389</v>
      </c>
      <c r="D2466" s="5" t="s">
        <v>16390</v>
      </c>
      <c r="E2466" s="11" t="s">
        <v>16391</v>
      </c>
      <c r="F2466" s="7" t="s">
        <v>11535</v>
      </c>
      <c r="G2466" s="54"/>
      <c r="H2466" s="54"/>
      <c r="I2466" s="60"/>
      <c r="J2466" s="60"/>
      <c r="K2466" s="60"/>
      <c r="L2466" s="60"/>
      <c r="M2466" s="63"/>
      <c r="N2466" s="61"/>
      <c r="O2466" s="54"/>
      <c r="P2466" s="54"/>
      <c r="Q2466" s="60"/>
      <c r="R2466" s="60"/>
      <c r="S2466" s="60"/>
      <c r="T2466" s="60"/>
      <c r="U2466" s="63"/>
      <c r="V2466" s="61"/>
      <c r="W2466" s="54"/>
      <c r="X2466" s="54"/>
      <c r="Y2466" s="60"/>
      <c r="Z2466" s="60"/>
      <c r="AA2466" s="60"/>
      <c r="AB2466" s="60"/>
      <c r="AC2466" s="63"/>
      <c r="AD2466" s="61"/>
      <c r="AE2466" s="54"/>
      <c r="AF2466" s="54"/>
      <c r="AG2466" s="60"/>
      <c r="AH2466" s="60"/>
      <c r="AI2466" s="60"/>
      <c r="AJ2466" s="60"/>
      <c r="AK2466" s="63"/>
      <c r="AL2466" s="61"/>
      <c r="AM2466" s="54"/>
      <c r="AN2466" s="54"/>
      <c r="AO2466" s="60"/>
      <c r="AP2466" s="60"/>
      <c r="AQ2466" s="60"/>
      <c r="AR2466" s="60"/>
      <c r="AS2466" s="63"/>
      <c r="AT2466" s="61"/>
      <c r="AU2466" s="54"/>
      <c r="AV2466" s="54"/>
      <c r="AW2466" s="60"/>
      <c r="AX2466" s="60"/>
      <c r="AY2466" s="60"/>
      <c r="AZ2466" s="60"/>
      <c r="BA2466" s="63"/>
      <c r="BB2466" s="61"/>
      <c r="BC2466" s="54"/>
      <c r="BD2466" s="54"/>
      <c r="BE2466" s="60"/>
      <c r="BF2466" s="60"/>
      <c r="BG2466" s="60"/>
      <c r="BH2466" s="60"/>
      <c r="BI2466" s="63"/>
      <c r="BJ2466" s="61"/>
      <c r="BK2466" s="54"/>
      <c r="BL2466" s="54"/>
      <c r="BM2466" s="60"/>
      <c r="BN2466" s="60"/>
      <c r="BO2466" s="60"/>
      <c r="BP2466" s="60"/>
      <c r="BQ2466" s="63"/>
      <c r="BR2466" s="61"/>
      <c r="BS2466" s="54"/>
      <c r="BT2466" s="54"/>
      <c r="BU2466" s="60"/>
      <c r="BV2466" s="60"/>
      <c r="BW2466" s="60"/>
      <c r="BX2466" s="60"/>
      <c r="BY2466" s="63"/>
      <c r="BZ2466" s="61"/>
      <c r="CA2466" s="54"/>
      <c r="CB2466" s="54"/>
      <c r="CC2466" s="60"/>
      <c r="CD2466" s="60"/>
      <c r="CE2466" s="60"/>
      <c r="CF2466" s="60"/>
      <c r="CG2466" s="63"/>
      <c r="CH2466" s="61"/>
      <c r="CI2466" s="54"/>
      <c r="CJ2466" s="54"/>
      <c r="CK2466" s="60"/>
      <c r="CL2466" s="60"/>
      <c r="CM2466" s="60"/>
      <c r="CN2466" s="60"/>
      <c r="CO2466" s="63"/>
      <c r="CP2466" s="61"/>
      <c r="CQ2466" s="54"/>
      <c r="CR2466" s="54"/>
      <c r="CS2466" s="60"/>
      <c r="CT2466" s="60"/>
      <c r="CU2466" s="60"/>
      <c r="CV2466" s="60"/>
      <c r="CW2466" s="63"/>
      <c r="CX2466" s="61"/>
      <c r="CY2466" s="54"/>
      <c r="CZ2466" s="54"/>
      <c r="DA2466" s="60"/>
      <c r="DB2466" s="60"/>
      <c r="DC2466" s="60"/>
      <c r="DD2466" s="60"/>
      <c r="DE2466" s="63"/>
      <c r="DF2466" s="61"/>
      <c r="DG2466" s="54"/>
      <c r="DH2466" s="54"/>
      <c r="DI2466" s="60"/>
      <c r="DJ2466" s="60"/>
      <c r="DK2466" s="60"/>
      <c r="DL2466" s="60"/>
      <c r="DM2466" s="63"/>
      <c r="DN2466" s="61"/>
      <c r="DO2466" s="54"/>
      <c r="DP2466" s="54"/>
      <c r="DQ2466" s="60"/>
      <c r="DR2466" s="60"/>
      <c r="DS2466" s="60"/>
      <c r="DT2466" s="60"/>
      <c r="DU2466" s="63"/>
      <c r="DV2466" s="61"/>
      <c r="DW2466" s="54"/>
      <c r="DX2466" s="54"/>
      <c r="DY2466" s="60"/>
      <c r="DZ2466" s="60"/>
      <c r="EA2466" s="60"/>
      <c r="EB2466" s="60"/>
      <c r="EC2466" s="63"/>
      <c r="ED2466" s="61"/>
      <c r="EE2466" s="54"/>
      <c r="EF2466" s="54"/>
      <c r="EG2466" s="60"/>
      <c r="EH2466" s="60"/>
      <c r="EI2466" s="60"/>
      <c r="EJ2466" s="60"/>
      <c r="EK2466" s="63"/>
      <c r="EL2466" s="61"/>
      <c r="EM2466" s="54"/>
      <c r="EN2466" s="54"/>
      <c r="EO2466" s="60"/>
      <c r="EP2466" s="60"/>
      <c r="EQ2466" s="60"/>
      <c r="ER2466" s="60"/>
      <c r="ES2466" s="63"/>
      <c r="ET2466" s="61"/>
      <c r="EU2466" s="54"/>
      <c r="EV2466" s="54"/>
      <c r="EW2466" s="60"/>
      <c r="EX2466" s="60"/>
      <c r="EY2466" s="60"/>
      <c r="EZ2466" s="60"/>
      <c r="FA2466" s="63"/>
      <c r="FB2466" s="61"/>
      <c r="FC2466" s="54"/>
      <c r="FD2466" s="54"/>
      <c r="FE2466" s="60"/>
      <c r="FF2466" s="60"/>
      <c r="FG2466" s="60"/>
      <c r="FH2466" s="60"/>
      <c r="FI2466" s="63"/>
      <c r="FJ2466" s="61"/>
      <c r="FK2466" s="54"/>
      <c r="FL2466" s="54"/>
      <c r="FM2466" s="60"/>
      <c r="FN2466" s="60"/>
      <c r="FO2466" s="60"/>
      <c r="FP2466" s="60"/>
      <c r="FQ2466" s="63"/>
      <c r="FR2466" s="61"/>
      <c r="FS2466" s="54"/>
      <c r="FT2466" s="54"/>
      <c r="FU2466" s="60"/>
      <c r="FV2466" s="60"/>
      <c r="FW2466" s="60"/>
      <c r="FX2466" s="60"/>
      <c r="FY2466" s="63"/>
      <c r="FZ2466" s="61"/>
      <c r="GA2466" s="54"/>
      <c r="GB2466" s="54"/>
      <c r="GC2466" s="60"/>
      <c r="GD2466" s="60"/>
      <c r="GE2466" s="60"/>
      <c r="GF2466" s="60"/>
      <c r="GG2466" s="63"/>
      <c r="GH2466" s="61"/>
      <c r="GI2466" s="54"/>
      <c r="GJ2466" s="54"/>
      <c r="GK2466" s="60"/>
      <c r="GL2466" s="60"/>
      <c r="GM2466" s="60"/>
      <c r="GN2466" s="60"/>
      <c r="GO2466" s="63"/>
      <c r="GP2466" s="61"/>
      <c r="GQ2466" s="54"/>
      <c r="GR2466" s="54"/>
      <c r="GS2466" s="60"/>
      <c r="GT2466" s="60"/>
      <c r="GU2466" s="60"/>
      <c r="GV2466" s="60"/>
      <c r="GW2466" s="63"/>
      <c r="GX2466" s="61"/>
      <c r="GY2466" s="54"/>
      <c r="GZ2466" s="54"/>
      <c r="HA2466" s="60"/>
      <c r="HB2466" s="60"/>
      <c r="HC2466" s="60"/>
      <c r="HD2466" s="60"/>
      <c r="HE2466" s="63"/>
      <c r="HF2466" s="61"/>
      <c r="HG2466" s="54"/>
      <c r="HH2466" s="54"/>
      <c r="HI2466" s="60"/>
      <c r="HJ2466" s="60"/>
      <c r="HK2466" s="60"/>
      <c r="HL2466" s="60"/>
      <c r="HM2466" s="63"/>
      <c r="HN2466" s="61"/>
      <c r="HO2466" s="54"/>
      <c r="HP2466" s="54"/>
      <c r="HQ2466" s="60"/>
      <c r="HR2466" s="60"/>
      <c r="HS2466" s="60"/>
      <c r="HT2466" s="60"/>
      <c r="HU2466" s="63"/>
      <c r="HV2466" s="61"/>
      <c r="HW2466" s="54"/>
      <c r="HX2466" s="54"/>
      <c r="HY2466" s="60"/>
      <c r="HZ2466" s="60"/>
      <c r="IA2466" s="60"/>
      <c r="IB2466" s="60"/>
      <c r="IC2466" s="63"/>
      <c r="ID2466" s="61"/>
      <c r="IE2466" s="54"/>
      <c r="IF2466" s="54"/>
      <c r="IG2466" s="60"/>
      <c r="IH2466" s="60"/>
      <c r="II2466" s="60"/>
      <c r="IJ2466" s="60"/>
      <c r="IK2466" s="63"/>
      <c r="IL2466" s="61"/>
      <c r="IM2466" s="54"/>
      <c r="IN2466" s="54"/>
      <c r="IO2466" s="60"/>
      <c r="IP2466" s="60"/>
      <c r="IQ2466" s="60"/>
      <c r="IR2466" s="60"/>
      <c r="IS2466" s="63"/>
      <c r="IT2466" s="61"/>
      <c r="IU2466" s="54"/>
      <c r="IV2466" s="54"/>
      <c r="IW2466" s="60"/>
      <c r="IX2466" s="60"/>
      <c r="IY2466" s="60"/>
      <c r="IZ2466" s="60"/>
      <c r="JA2466" s="63"/>
      <c r="JB2466" s="61"/>
      <c r="JC2466" s="54"/>
      <c r="JD2466" s="54"/>
      <c r="JE2466" s="60"/>
      <c r="JF2466" s="60"/>
      <c r="JG2466" s="60"/>
      <c r="JH2466" s="60"/>
      <c r="JI2466" s="63"/>
      <c r="JJ2466" s="61"/>
      <c r="JK2466" s="54"/>
      <c r="JL2466" s="54"/>
      <c r="JM2466" s="60"/>
      <c r="JN2466" s="60"/>
      <c r="JO2466" s="60"/>
      <c r="JP2466" s="60"/>
      <c r="JQ2466" s="63"/>
      <c r="JR2466" s="61"/>
      <c r="JS2466" s="54"/>
      <c r="JT2466" s="54"/>
      <c r="JU2466" s="60"/>
      <c r="JV2466" s="60"/>
      <c r="JW2466" s="60"/>
      <c r="JX2466" s="60"/>
      <c r="JY2466" s="63"/>
      <c r="JZ2466" s="61"/>
      <c r="KA2466" s="54"/>
      <c r="KB2466" s="54"/>
      <c r="KC2466" s="60"/>
      <c r="KD2466" s="60"/>
      <c r="KE2466" s="60"/>
      <c r="KF2466" s="60"/>
      <c r="KG2466" s="63"/>
      <c r="KH2466" s="61"/>
      <c r="KI2466" s="54"/>
      <c r="KJ2466" s="54"/>
      <c r="KK2466" s="60"/>
      <c r="KL2466" s="60"/>
      <c r="KM2466" s="60"/>
      <c r="KN2466" s="60"/>
      <c r="KO2466" s="63"/>
      <c r="KP2466" s="61"/>
      <c r="KQ2466" s="54"/>
      <c r="KR2466" s="54"/>
      <c r="KS2466" s="60"/>
      <c r="KT2466" s="60"/>
      <c r="KU2466" s="60"/>
      <c r="KV2466" s="60"/>
      <c r="KW2466" s="63"/>
      <c r="KX2466" s="61"/>
      <c r="KY2466" s="54"/>
      <c r="KZ2466" s="54"/>
      <c r="LA2466" s="60"/>
      <c r="LB2466" s="60"/>
      <c r="LC2466" s="60"/>
      <c r="LD2466" s="60"/>
      <c r="LE2466" s="63"/>
      <c r="LF2466" s="61"/>
      <c r="LG2466" s="54"/>
      <c r="LH2466" s="54"/>
      <c r="LI2466" s="60"/>
      <c r="LJ2466" s="60"/>
      <c r="LK2466" s="60"/>
      <c r="LL2466" s="60"/>
      <c r="LM2466" s="63"/>
      <c r="LN2466" s="61"/>
      <c r="LO2466" s="54"/>
      <c r="LP2466" s="54"/>
      <c r="LQ2466" s="60"/>
      <c r="LR2466" s="60"/>
      <c r="LS2466" s="60"/>
      <c r="LT2466" s="60"/>
      <c r="LU2466" s="63"/>
      <c r="LV2466" s="61"/>
      <c r="LW2466" s="54"/>
      <c r="LX2466" s="54"/>
      <c r="LY2466" s="60"/>
      <c r="LZ2466" s="60"/>
      <c r="MA2466" s="60"/>
      <c r="MB2466" s="60"/>
      <c r="MC2466" s="63"/>
      <c r="MD2466" s="61"/>
      <c r="ME2466" s="54"/>
      <c r="MF2466" s="54"/>
      <c r="MG2466" s="60"/>
      <c r="MH2466" s="60"/>
      <c r="MI2466" s="60"/>
      <c r="MJ2466" s="60"/>
      <c r="MK2466" s="63"/>
      <c r="ML2466" s="61"/>
      <c r="MM2466" s="54"/>
      <c r="MN2466" s="54"/>
      <c r="MO2466" s="60"/>
      <c r="MP2466" s="60"/>
      <c r="MQ2466" s="60"/>
      <c r="MR2466" s="60"/>
      <c r="MS2466" s="63"/>
      <c r="MT2466" s="61"/>
      <c r="MU2466" s="54"/>
      <c r="MV2466" s="54"/>
      <c r="MW2466" s="60"/>
      <c r="MX2466" s="60"/>
      <c r="MY2466" s="60"/>
      <c r="MZ2466" s="60"/>
      <c r="NA2466" s="63"/>
      <c r="NB2466" s="61"/>
      <c r="NC2466" s="54"/>
      <c r="ND2466" s="54"/>
      <c r="NE2466" s="60"/>
      <c r="NF2466" s="60"/>
      <c r="NG2466" s="60"/>
      <c r="NH2466" s="60"/>
      <c r="NI2466" s="63"/>
      <c r="NJ2466" s="61"/>
      <c r="NK2466" s="54"/>
      <c r="NL2466" s="54"/>
      <c r="NM2466" s="60"/>
      <c r="NN2466" s="60"/>
      <c r="NO2466" s="60"/>
      <c r="NP2466" s="60"/>
      <c r="NQ2466" s="63"/>
      <c r="NR2466" s="61"/>
      <c r="NS2466" s="54"/>
      <c r="NT2466" s="54"/>
      <c r="NU2466" s="60"/>
      <c r="NV2466" s="60"/>
      <c r="NW2466" s="60"/>
      <c r="NX2466" s="60"/>
      <c r="NY2466" s="63"/>
      <c r="NZ2466" s="61"/>
      <c r="OA2466" s="54"/>
      <c r="OB2466" s="54"/>
      <c r="OC2466" s="60"/>
      <c r="OD2466" s="60"/>
      <c r="OE2466" s="60"/>
      <c r="OF2466" s="60"/>
      <c r="OG2466" s="63"/>
      <c r="OH2466" s="61"/>
      <c r="OI2466" s="54"/>
      <c r="OJ2466" s="54"/>
      <c r="OK2466" s="60"/>
      <c r="OL2466" s="60"/>
      <c r="OM2466" s="60"/>
      <c r="ON2466" s="60"/>
      <c r="OO2466" s="63"/>
      <c r="OP2466" s="61"/>
      <c r="OQ2466" s="54"/>
      <c r="OR2466" s="54"/>
      <c r="OS2466" s="60"/>
      <c r="OT2466" s="60"/>
      <c r="OU2466" s="60"/>
      <c r="OV2466" s="60"/>
      <c r="OW2466" s="63"/>
      <c r="OX2466" s="61"/>
      <c r="OY2466" s="54"/>
      <c r="OZ2466" s="54"/>
      <c r="PA2466" s="60"/>
      <c r="PB2466" s="60"/>
      <c r="PC2466" s="60"/>
      <c r="PD2466" s="60"/>
      <c r="PE2466" s="63"/>
      <c r="PF2466" s="61"/>
      <c r="PG2466" s="54"/>
      <c r="PH2466" s="54"/>
      <c r="PI2466" s="60"/>
      <c r="PJ2466" s="60"/>
      <c r="PK2466" s="60"/>
      <c r="PL2466" s="60"/>
      <c r="PM2466" s="63"/>
      <c r="PN2466" s="61"/>
      <c r="PO2466" s="54"/>
      <c r="PP2466" s="54"/>
      <c r="PQ2466" s="60"/>
      <c r="PR2466" s="60"/>
      <c r="PS2466" s="60"/>
      <c r="PT2466" s="60"/>
      <c r="PU2466" s="63"/>
      <c r="PV2466" s="61"/>
      <c r="PW2466" s="54"/>
      <c r="PX2466" s="54"/>
      <c r="PY2466" s="60"/>
      <c r="PZ2466" s="60"/>
      <c r="QA2466" s="60"/>
      <c r="QB2466" s="60"/>
      <c r="QC2466" s="63"/>
      <c r="QD2466" s="61"/>
      <c r="QE2466" s="54"/>
      <c r="QF2466" s="54"/>
      <c r="QG2466" s="60"/>
      <c r="QH2466" s="60"/>
      <c r="QI2466" s="60"/>
      <c r="QJ2466" s="60"/>
      <c r="QK2466" s="63"/>
      <c r="QL2466" s="61"/>
      <c r="QM2466" s="54"/>
      <c r="QN2466" s="54"/>
      <c r="QO2466" s="60"/>
      <c r="QP2466" s="60"/>
      <c r="QQ2466" s="60"/>
      <c r="QR2466" s="60"/>
      <c r="QS2466" s="63"/>
      <c r="QT2466" s="61"/>
      <c r="QU2466" s="54"/>
      <c r="QV2466" s="54"/>
      <c r="QW2466" s="60"/>
      <c r="QX2466" s="60"/>
      <c r="QY2466" s="60"/>
      <c r="QZ2466" s="60"/>
      <c r="RA2466" s="63"/>
      <c r="RB2466" s="61"/>
      <c r="RC2466" s="54"/>
      <c r="RD2466" s="54"/>
      <c r="RE2466" s="60"/>
      <c r="RF2466" s="60"/>
      <c r="RG2466" s="60"/>
      <c r="RH2466" s="60"/>
      <c r="RI2466" s="63"/>
      <c r="RJ2466" s="61"/>
      <c r="RK2466" s="54"/>
      <c r="RL2466" s="54"/>
      <c r="RM2466" s="60"/>
      <c r="RN2466" s="60"/>
      <c r="RO2466" s="60"/>
      <c r="RP2466" s="60"/>
      <c r="RQ2466" s="63"/>
      <c r="RR2466" s="61"/>
      <c r="RS2466" s="54"/>
      <c r="RT2466" s="54"/>
      <c r="RU2466" s="60"/>
      <c r="RV2466" s="60"/>
      <c r="RW2466" s="60"/>
      <c r="RX2466" s="60"/>
      <c r="RY2466" s="63"/>
      <c r="RZ2466" s="61"/>
      <c r="SA2466" s="54"/>
      <c r="SB2466" s="54"/>
      <c r="SC2466" s="60"/>
      <c r="SD2466" s="60"/>
      <c r="SE2466" s="60"/>
      <c r="SF2466" s="60"/>
      <c r="SG2466" s="63"/>
      <c r="SH2466" s="61"/>
      <c r="SI2466" s="54"/>
      <c r="SJ2466" s="54"/>
      <c r="SK2466" s="60"/>
      <c r="SL2466" s="60"/>
      <c r="SM2466" s="60"/>
      <c r="SN2466" s="60"/>
      <c r="SO2466" s="63"/>
      <c r="SP2466" s="61"/>
      <c r="SQ2466" s="54"/>
      <c r="SR2466" s="54"/>
      <c r="SS2466" s="60"/>
      <c r="ST2466" s="60"/>
      <c r="SU2466" s="60"/>
      <c r="SV2466" s="60"/>
      <c r="SW2466" s="63"/>
      <c r="SX2466" s="61"/>
      <c r="SY2466" s="54"/>
      <c r="SZ2466" s="54"/>
      <c r="TA2466" s="60"/>
      <c r="TB2466" s="60"/>
      <c r="TC2466" s="60"/>
      <c r="TD2466" s="60"/>
      <c r="TE2466" s="63"/>
      <c r="TF2466" s="61"/>
      <c r="TG2466" s="54"/>
      <c r="TH2466" s="54"/>
      <c r="TI2466" s="60"/>
      <c r="TJ2466" s="60"/>
      <c r="TK2466" s="60"/>
      <c r="TL2466" s="60"/>
      <c r="TM2466" s="63"/>
      <c r="TN2466" s="61"/>
      <c r="TO2466" s="54"/>
      <c r="TP2466" s="54"/>
      <c r="TQ2466" s="60"/>
      <c r="TR2466" s="60"/>
      <c r="TS2466" s="60"/>
      <c r="TT2466" s="60"/>
      <c r="TU2466" s="63"/>
      <c r="TV2466" s="61"/>
      <c r="TW2466" s="54"/>
      <c r="TX2466" s="54"/>
      <c r="TY2466" s="60"/>
      <c r="TZ2466" s="60"/>
      <c r="UA2466" s="60"/>
      <c r="UB2466" s="60"/>
      <c r="UC2466" s="63"/>
      <c r="UD2466" s="61"/>
      <c r="UE2466" s="54"/>
      <c r="UF2466" s="54"/>
      <c r="UG2466" s="60"/>
      <c r="UH2466" s="60"/>
      <c r="UI2466" s="60"/>
      <c r="UJ2466" s="60"/>
      <c r="UK2466" s="63"/>
      <c r="UL2466" s="61"/>
      <c r="UM2466" s="54"/>
      <c r="UN2466" s="54"/>
      <c r="UO2466" s="60"/>
      <c r="UP2466" s="60"/>
      <c r="UQ2466" s="60"/>
      <c r="UR2466" s="60"/>
      <c r="US2466" s="63"/>
      <c r="UT2466" s="61"/>
      <c r="UU2466" s="54"/>
      <c r="UV2466" s="54"/>
      <c r="UW2466" s="60"/>
      <c r="UX2466" s="60"/>
      <c r="UY2466" s="60"/>
      <c r="UZ2466" s="60"/>
      <c r="VA2466" s="63"/>
      <c r="VB2466" s="61"/>
      <c r="VC2466" s="54"/>
      <c r="VD2466" s="54"/>
      <c r="VE2466" s="60"/>
      <c r="VF2466" s="60"/>
      <c r="VG2466" s="60"/>
      <c r="VH2466" s="60"/>
      <c r="VI2466" s="63"/>
      <c r="VJ2466" s="61"/>
      <c r="VK2466" s="54"/>
      <c r="VL2466" s="54"/>
      <c r="VM2466" s="60"/>
      <c r="VN2466" s="60"/>
      <c r="VO2466" s="60"/>
      <c r="VP2466" s="60"/>
      <c r="VQ2466" s="63"/>
      <c r="VR2466" s="61"/>
      <c r="VS2466" s="54"/>
      <c r="VT2466" s="54"/>
      <c r="VU2466" s="60"/>
      <c r="VV2466" s="60"/>
      <c r="VW2466" s="60"/>
      <c r="VX2466" s="60"/>
      <c r="VY2466" s="63"/>
      <c r="VZ2466" s="61"/>
      <c r="WA2466" s="54"/>
      <c r="WB2466" s="54"/>
      <c r="WC2466" s="60"/>
      <c r="WD2466" s="60"/>
      <c r="WE2466" s="60"/>
      <c r="WF2466" s="60"/>
      <c r="WG2466" s="63"/>
      <c r="WH2466" s="61"/>
      <c r="WI2466" s="54"/>
      <c r="WJ2466" s="54"/>
      <c r="WK2466" s="60"/>
      <c r="WL2466" s="60"/>
      <c r="WM2466" s="60"/>
      <c r="WN2466" s="60"/>
      <c r="WO2466" s="63"/>
      <c r="WP2466" s="61"/>
      <c r="WQ2466" s="54"/>
      <c r="WR2466" s="54"/>
      <c r="WS2466" s="60"/>
      <c r="WT2466" s="60"/>
      <c r="WU2466" s="60"/>
      <c r="WV2466" s="60"/>
      <c r="WW2466" s="63"/>
      <c r="WX2466" s="61"/>
      <c r="WY2466" s="54"/>
      <c r="WZ2466" s="54"/>
      <c r="XA2466" s="60"/>
      <c r="XB2466" s="60"/>
      <c r="XC2466" s="60"/>
      <c r="XD2466" s="60"/>
      <c r="XE2466" s="63"/>
      <c r="XF2466" s="61"/>
      <c r="XG2466" s="54"/>
      <c r="XH2466" s="54"/>
      <c r="XI2466" s="60"/>
      <c r="XJ2466" s="60"/>
      <c r="XK2466" s="60"/>
      <c r="XL2466" s="60"/>
      <c r="XM2466" s="63"/>
      <c r="XN2466" s="61"/>
      <c r="XO2466" s="54"/>
      <c r="XP2466" s="54"/>
      <c r="XQ2466" s="60"/>
      <c r="XR2466" s="60"/>
      <c r="XS2466" s="60"/>
      <c r="XT2466" s="60"/>
      <c r="XU2466" s="63"/>
      <c r="XV2466" s="61"/>
      <c r="XW2466" s="54"/>
      <c r="XX2466" s="54"/>
      <c r="XY2466" s="60"/>
      <c r="XZ2466" s="60"/>
      <c r="YA2466" s="60"/>
      <c r="YB2466" s="60"/>
      <c r="YC2466" s="63"/>
      <c r="YD2466" s="61"/>
      <c r="YE2466" s="54"/>
      <c r="YF2466" s="54"/>
      <c r="YG2466" s="60"/>
      <c r="YH2466" s="60"/>
      <c r="YI2466" s="60"/>
      <c r="YJ2466" s="60"/>
      <c r="YK2466" s="63"/>
      <c r="YL2466" s="61"/>
      <c r="YM2466" s="54"/>
      <c r="YN2466" s="54"/>
      <c r="YO2466" s="60"/>
      <c r="YP2466" s="60"/>
      <c r="YQ2466" s="60"/>
      <c r="YR2466" s="60"/>
      <c r="YS2466" s="63"/>
      <c r="YT2466" s="61"/>
      <c r="YU2466" s="54"/>
      <c r="YV2466" s="54"/>
      <c r="YW2466" s="60"/>
      <c r="YX2466" s="60"/>
      <c r="YY2466" s="60"/>
      <c r="YZ2466" s="60"/>
      <c r="ZA2466" s="63"/>
      <c r="ZB2466" s="61"/>
      <c r="ZC2466" s="54"/>
      <c r="ZD2466" s="54"/>
      <c r="ZE2466" s="60"/>
      <c r="ZF2466" s="60"/>
      <c r="ZG2466" s="60"/>
      <c r="ZH2466" s="60"/>
      <c r="ZI2466" s="63"/>
      <c r="ZJ2466" s="61"/>
      <c r="ZK2466" s="54"/>
      <c r="ZL2466" s="54"/>
      <c r="ZM2466" s="60"/>
      <c r="ZN2466" s="60"/>
      <c r="ZO2466" s="60"/>
      <c r="ZP2466" s="60"/>
      <c r="ZQ2466" s="63"/>
      <c r="ZR2466" s="61"/>
      <c r="ZS2466" s="54"/>
      <c r="ZT2466" s="54"/>
      <c r="ZU2466" s="60"/>
      <c r="ZV2466" s="60"/>
      <c r="ZW2466" s="60"/>
      <c r="ZX2466" s="60"/>
      <c r="ZY2466" s="63"/>
      <c r="ZZ2466" s="61"/>
      <c r="AAA2466" s="54"/>
      <c r="AAB2466" s="54"/>
      <c r="AAC2466" s="60"/>
      <c r="AAD2466" s="60"/>
      <c r="AAE2466" s="60"/>
      <c r="AAF2466" s="60"/>
      <c r="AAG2466" s="63"/>
      <c r="AAH2466" s="61"/>
      <c r="AAI2466" s="54"/>
      <c r="AAJ2466" s="54"/>
      <c r="AAK2466" s="60"/>
      <c r="AAL2466" s="60"/>
      <c r="AAM2466" s="60"/>
      <c r="AAN2466" s="60"/>
      <c r="AAO2466" s="63"/>
      <c r="AAP2466" s="61"/>
      <c r="AAQ2466" s="54"/>
      <c r="AAR2466" s="54"/>
      <c r="AAS2466" s="60"/>
      <c r="AAT2466" s="60"/>
      <c r="AAU2466" s="60"/>
      <c r="AAV2466" s="60"/>
      <c r="AAW2466" s="63"/>
      <c r="AAX2466" s="61"/>
      <c r="AAY2466" s="54"/>
      <c r="AAZ2466" s="54"/>
      <c r="ABA2466" s="60"/>
      <c r="ABB2466" s="60"/>
      <c r="ABC2466" s="60"/>
      <c r="ABD2466" s="60"/>
      <c r="ABE2466" s="63"/>
      <c r="ABF2466" s="61"/>
      <c r="ABG2466" s="54"/>
      <c r="ABH2466" s="54"/>
      <c r="ABI2466" s="60"/>
      <c r="ABJ2466" s="60"/>
      <c r="ABK2466" s="60"/>
      <c r="ABL2466" s="60"/>
      <c r="ABM2466" s="63"/>
      <c r="ABN2466" s="61"/>
      <c r="ABO2466" s="54"/>
      <c r="ABP2466" s="54"/>
      <c r="ABQ2466" s="60"/>
      <c r="ABR2466" s="60"/>
      <c r="ABS2466" s="60"/>
      <c r="ABT2466" s="60"/>
      <c r="ABU2466" s="63"/>
      <c r="ABV2466" s="61"/>
      <c r="ABW2466" s="54"/>
      <c r="ABX2466" s="54"/>
      <c r="ABY2466" s="60"/>
      <c r="ABZ2466" s="60"/>
      <c r="ACA2466" s="60"/>
      <c r="ACB2466" s="60"/>
      <c r="ACC2466" s="63"/>
      <c r="ACD2466" s="61"/>
      <c r="ACE2466" s="54"/>
      <c r="ACF2466" s="54"/>
      <c r="ACG2466" s="60"/>
      <c r="ACH2466" s="60"/>
      <c r="ACI2466" s="60"/>
      <c r="ACJ2466" s="60"/>
      <c r="ACK2466" s="63"/>
      <c r="ACL2466" s="61"/>
      <c r="ACM2466" s="54"/>
      <c r="ACN2466" s="54"/>
      <c r="ACO2466" s="60"/>
      <c r="ACP2466" s="60"/>
      <c r="ACQ2466" s="60"/>
      <c r="ACR2466" s="60"/>
      <c r="ACS2466" s="63"/>
      <c r="ACT2466" s="61"/>
      <c r="ACU2466" s="54"/>
      <c r="ACV2466" s="54"/>
      <c r="ACW2466" s="60"/>
      <c r="ACX2466" s="60"/>
      <c r="ACY2466" s="60"/>
      <c r="ACZ2466" s="60"/>
      <c r="ADA2466" s="63"/>
      <c r="ADB2466" s="61"/>
      <c r="ADC2466" s="54"/>
      <c r="ADD2466" s="54"/>
      <c r="ADE2466" s="60"/>
      <c r="ADF2466" s="60"/>
      <c r="ADG2466" s="60"/>
      <c r="ADH2466" s="60"/>
      <c r="ADI2466" s="63"/>
      <c r="ADJ2466" s="61"/>
      <c r="ADK2466" s="54"/>
      <c r="ADL2466" s="54"/>
      <c r="ADM2466" s="60"/>
      <c r="ADN2466" s="60"/>
      <c r="ADO2466" s="60"/>
      <c r="ADP2466" s="60"/>
      <c r="ADQ2466" s="63"/>
      <c r="ADR2466" s="61"/>
      <c r="ADS2466" s="54"/>
      <c r="ADT2466" s="54"/>
      <c r="ADU2466" s="60"/>
      <c r="ADV2466" s="60"/>
      <c r="ADW2466" s="60"/>
      <c r="ADX2466" s="60"/>
      <c r="ADY2466" s="63"/>
      <c r="ADZ2466" s="61"/>
      <c r="AEA2466" s="54"/>
      <c r="AEB2466" s="54"/>
      <c r="AEC2466" s="60"/>
      <c r="AED2466" s="60"/>
      <c r="AEE2466" s="60"/>
      <c r="AEF2466" s="60"/>
      <c r="AEG2466" s="63"/>
      <c r="AEH2466" s="61"/>
      <c r="AEI2466" s="54"/>
      <c r="AEJ2466" s="54"/>
      <c r="AEK2466" s="60"/>
      <c r="AEL2466" s="60"/>
      <c r="AEM2466" s="60"/>
      <c r="AEN2466" s="60"/>
      <c r="AEO2466" s="63"/>
      <c r="AEP2466" s="61"/>
      <c r="AEQ2466" s="54"/>
      <c r="AER2466" s="54"/>
      <c r="AES2466" s="60"/>
      <c r="AET2466" s="60"/>
      <c r="AEU2466" s="60"/>
      <c r="AEV2466" s="60"/>
      <c r="AEW2466" s="63"/>
      <c r="AEX2466" s="61"/>
      <c r="AEY2466" s="54"/>
      <c r="AEZ2466" s="54"/>
      <c r="AFA2466" s="60"/>
      <c r="AFB2466" s="60"/>
      <c r="AFC2466" s="60"/>
      <c r="AFD2466" s="60"/>
      <c r="AFE2466" s="63"/>
      <c r="AFF2466" s="61"/>
      <c r="AFG2466" s="54"/>
      <c r="AFH2466" s="54"/>
      <c r="AFI2466" s="60"/>
      <c r="AFJ2466" s="60"/>
      <c r="AFK2466" s="60"/>
      <c r="AFL2466" s="60"/>
      <c r="AFM2466" s="63"/>
      <c r="AFN2466" s="61"/>
      <c r="AFO2466" s="54"/>
      <c r="AFP2466" s="54"/>
      <c r="AFQ2466" s="60"/>
      <c r="AFR2466" s="60"/>
      <c r="AFS2466" s="60"/>
      <c r="AFT2466" s="60"/>
      <c r="AFU2466" s="63"/>
      <c r="AFV2466" s="61"/>
      <c r="AFW2466" s="54"/>
      <c r="AFX2466" s="54"/>
      <c r="AFY2466" s="60"/>
      <c r="AFZ2466" s="60"/>
      <c r="AGA2466" s="60"/>
      <c r="AGB2466" s="60"/>
      <c r="AGC2466" s="63"/>
      <c r="AGD2466" s="61"/>
      <c r="AGE2466" s="54"/>
      <c r="AGF2466" s="54"/>
      <c r="AGG2466" s="60"/>
      <c r="AGH2466" s="60"/>
      <c r="AGI2466" s="60"/>
      <c r="AGJ2466" s="60"/>
      <c r="AGK2466" s="63"/>
      <c r="AGL2466" s="61"/>
      <c r="AGM2466" s="54"/>
      <c r="AGN2466" s="54"/>
      <c r="AGO2466" s="60"/>
      <c r="AGP2466" s="60"/>
      <c r="AGQ2466" s="60"/>
      <c r="AGR2466" s="60"/>
      <c r="AGS2466" s="63"/>
      <c r="AGT2466" s="61"/>
      <c r="AGU2466" s="54"/>
      <c r="AGV2466" s="54"/>
      <c r="AGW2466" s="60"/>
      <c r="AGX2466" s="60"/>
      <c r="AGY2466" s="60"/>
      <c r="AGZ2466" s="60"/>
      <c r="AHA2466" s="63"/>
      <c r="AHB2466" s="61"/>
      <c r="AHC2466" s="54"/>
      <c r="AHD2466" s="54"/>
      <c r="AHE2466" s="60"/>
      <c r="AHF2466" s="60"/>
      <c r="AHG2466" s="60"/>
      <c r="AHH2466" s="60"/>
      <c r="AHI2466" s="63"/>
      <c r="AHJ2466" s="61"/>
      <c r="AHK2466" s="54"/>
      <c r="AHL2466" s="54"/>
      <c r="AHM2466" s="60"/>
      <c r="AHN2466" s="60"/>
      <c r="AHO2466" s="60"/>
      <c r="AHP2466" s="60"/>
      <c r="AHQ2466" s="63"/>
      <c r="AHR2466" s="61"/>
      <c r="AHS2466" s="54"/>
      <c r="AHT2466" s="54"/>
      <c r="AHU2466" s="60"/>
      <c r="AHV2466" s="60"/>
      <c r="AHW2466" s="60"/>
      <c r="AHX2466" s="60"/>
      <c r="AHY2466" s="63"/>
      <c r="AHZ2466" s="61"/>
      <c r="AIA2466" s="54"/>
      <c r="AIB2466" s="54"/>
      <c r="AIC2466" s="60"/>
      <c r="AID2466" s="60"/>
      <c r="AIE2466" s="60"/>
      <c r="AIF2466" s="60"/>
      <c r="AIG2466" s="63"/>
      <c r="AIH2466" s="61"/>
      <c r="AII2466" s="54"/>
      <c r="AIJ2466" s="54"/>
      <c r="AIK2466" s="60"/>
      <c r="AIL2466" s="60"/>
      <c r="AIM2466" s="60"/>
      <c r="AIN2466" s="60"/>
      <c r="AIO2466" s="63"/>
      <c r="AIP2466" s="61"/>
      <c r="AIQ2466" s="54"/>
      <c r="AIR2466" s="54"/>
      <c r="AIS2466" s="60"/>
      <c r="AIT2466" s="60"/>
      <c r="AIU2466" s="60"/>
      <c r="AIV2466" s="60"/>
      <c r="AIW2466" s="63"/>
      <c r="AIX2466" s="61"/>
      <c r="AIY2466" s="54"/>
      <c r="AIZ2466" s="54"/>
      <c r="AJA2466" s="60"/>
      <c r="AJB2466" s="60"/>
      <c r="AJC2466" s="60"/>
      <c r="AJD2466" s="60"/>
      <c r="AJE2466" s="63"/>
      <c r="AJF2466" s="61"/>
      <c r="AJG2466" s="54"/>
      <c r="AJH2466" s="54"/>
      <c r="AJI2466" s="60"/>
      <c r="AJJ2466" s="60"/>
      <c r="AJK2466" s="60"/>
      <c r="AJL2466" s="60"/>
      <c r="AJM2466" s="63"/>
      <c r="AJN2466" s="61"/>
      <c r="AJO2466" s="54"/>
      <c r="AJP2466" s="54"/>
      <c r="AJQ2466" s="60"/>
      <c r="AJR2466" s="60"/>
      <c r="AJS2466" s="60"/>
      <c r="AJT2466" s="60"/>
      <c r="AJU2466" s="63"/>
      <c r="AJV2466" s="61"/>
      <c r="AJW2466" s="54"/>
      <c r="AJX2466" s="54"/>
      <c r="AJY2466" s="60"/>
      <c r="AJZ2466" s="60"/>
      <c r="AKA2466" s="60"/>
      <c r="AKB2466" s="60"/>
      <c r="AKC2466" s="63"/>
      <c r="AKD2466" s="61"/>
      <c r="AKE2466" s="54"/>
      <c r="AKF2466" s="54"/>
      <c r="AKG2466" s="60"/>
      <c r="AKH2466" s="60"/>
      <c r="AKI2466" s="60"/>
      <c r="AKJ2466" s="60"/>
      <c r="AKK2466" s="63"/>
      <c r="AKL2466" s="61"/>
      <c r="AKM2466" s="54"/>
      <c r="AKN2466" s="54"/>
      <c r="AKO2466" s="60"/>
      <c r="AKP2466" s="60"/>
      <c r="AKQ2466" s="60"/>
      <c r="AKR2466" s="60"/>
      <c r="AKS2466" s="63"/>
      <c r="AKT2466" s="61"/>
      <c r="AKU2466" s="54"/>
      <c r="AKV2466" s="54"/>
      <c r="AKW2466" s="60"/>
      <c r="AKX2466" s="60"/>
      <c r="AKY2466" s="60"/>
      <c r="AKZ2466" s="60"/>
      <c r="ALA2466" s="63"/>
      <c r="ALB2466" s="61"/>
      <c r="ALC2466" s="54"/>
      <c r="ALD2466" s="54"/>
      <c r="ALE2466" s="60"/>
      <c r="ALF2466" s="60"/>
      <c r="ALG2466" s="60"/>
      <c r="ALH2466" s="60"/>
      <c r="ALI2466" s="63"/>
      <c r="ALJ2466" s="61"/>
      <c r="ALK2466" s="54"/>
      <c r="ALL2466" s="54"/>
      <c r="ALM2466" s="60"/>
      <c r="ALN2466" s="60"/>
      <c r="ALO2466" s="60"/>
      <c r="ALP2466" s="60"/>
      <c r="ALQ2466" s="63"/>
      <c r="ALR2466" s="61"/>
      <c r="ALS2466" s="54"/>
      <c r="ALT2466" s="54"/>
      <c r="ALU2466" s="60"/>
      <c r="ALV2466" s="60"/>
      <c r="ALW2466" s="60"/>
      <c r="ALX2466" s="60"/>
      <c r="ALY2466" s="63"/>
      <c r="ALZ2466" s="61"/>
      <c r="AMA2466" s="54"/>
      <c r="AMB2466" s="54"/>
      <c r="AMC2466" s="60"/>
      <c r="AMD2466" s="60"/>
      <c r="AME2466" s="60"/>
      <c r="AMF2466" s="60"/>
      <c r="AMG2466" s="63"/>
      <c r="AMH2466" s="61"/>
      <c r="AMI2466" s="54"/>
      <c r="AMJ2466" s="54"/>
      <c r="AMK2466" s="60"/>
      <c r="AML2466" s="60"/>
      <c r="AMM2466" s="60"/>
      <c r="AMN2466" s="60"/>
      <c r="AMO2466" s="63"/>
      <c r="AMP2466" s="61"/>
      <c r="AMQ2466" s="54"/>
      <c r="AMR2466" s="54"/>
      <c r="AMS2466" s="60"/>
      <c r="AMT2466" s="60"/>
      <c r="AMU2466" s="60"/>
      <c r="AMV2466" s="60"/>
      <c r="AMW2466" s="63"/>
      <c r="AMX2466" s="61"/>
      <c r="AMY2466" s="54"/>
      <c r="AMZ2466" s="54"/>
      <c r="ANA2466" s="60"/>
      <c r="ANB2466" s="60"/>
      <c r="ANC2466" s="60"/>
      <c r="AND2466" s="60"/>
      <c r="ANE2466" s="63"/>
      <c r="ANF2466" s="61"/>
      <c r="ANG2466" s="54"/>
      <c r="ANH2466" s="54"/>
      <c r="ANI2466" s="60"/>
      <c r="ANJ2466" s="60"/>
      <c r="ANK2466" s="60"/>
      <c r="ANL2466" s="60"/>
      <c r="ANM2466" s="63"/>
      <c r="ANN2466" s="61"/>
      <c r="ANO2466" s="54"/>
      <c r="ANP2466" s="54"/>
      <c r="ANQ2466" s="60"/>
      <c r="ANR2466" s="60"/>
      <c r="ANS2466" s="60"/>
      <c r="ANT2466" s="60"/>
      <c r="ANU2466" s="63"/>
      <c r="ANV2466" s="61"/>
      <c r="ANW2466" s="54"/>
      <c r="ANX2466" s="54"/>
      <c r="ANY2466" s="60"/>
      <c r="ANZ2466" s="60"/>
      <c r="AOA2466" s="60"/>
      <c r="AOB2466" s="60"/>
      <c r="AOC2466" s="63"/>
      <c r="AOD2466" s="61"/>
      <c r="AOE2466" s="54"/>
      <c r="AOF2466" s="54"/>
      <c r="AOG2466" s="60"/>
      <c r="AOH2466" s="60"/>
      <c r="AOI2466" s="60"/>
      <c r="AOJ2466" s="60"/>
      <c r="AOK2466" s="63"/>
      <c r="AOL2466" s="61"/>
      <c r="AOM2466" s="54"/>
      <c r="AON2466" s="54"/>
      <c r="AOO2466" s="60"/>
      <c r="AOP2466" s="60"/>
      <c r="AOQ2466" s="60"/>
      <c r="AOR2466" s="60"/>
      <c r="AOS2466" s="63"/>
      <c r="AOT2466" s="61"/>
      <c r="AOU2466" s="54"/>
      <c r="AOV2466" s="54"/>
      <c r="AOW2466" s="60"/>
      <c r="AOX2466" s="60"/>
      <c r="AOY2466" s="60"/>
      <c r="AOZ2466" s="60"/>
      <c r="APA2466" s="63"/>
      <c r="APB2466" s="61"/>
      <c r="APC2466" s="54"/>
      <c r="APD2466" s="54"/>
      <c r="APE2466" s="60"/>
      <c r="APF2466" s="60"/>
      <c r="APG2466" s="60"/>
      <c r="APH2466" s="60"/>
      <c r="API2466" s="63"/>
      <c r="APJ2466" s="61"/>
      <c r="APK2466" s="54"/>
      <c r="APL2466" s="54"/>
      <c r="APM2466" s="60"/>
      <c r="APN2466" s="60"/>
      <c r="APO2466" s="60"/>
      <c r="APP2466" s="60"/>
      <c r="APQ2466" s="63"/>
      <c r="APR2466" s="61"/>
      <c r="APS2466" s="54"/>
      <c r="APT2466" s="54"/>
      <c r="APU2466" s="60"/>
      <c r="APV2466" s="60"/>
      <c r="APW2466" s="60"/>
      <c r="APX2466" s="60"/>
      <c r="APY2466" s="63"/>
      <c r="APZ2466" s="61"/>
      <c r="AQA2466" s="54"/>
      <c r="AQB2466" s="54"/>
      <c r="AQC2466" s="60"/>
      <c r="AQD2466" s="60"/>
      <c r="AQE2466" s="60"/>
      <c r="AQF2466" s="60"/>
      <c r="AQG2466" s="63"/>
      <c r="AQH2466" s="61"/>
      <c r="AQI2466" s="54"/>
      <c r="AQJ2466" s="54"/>
      <c r="AQK2466" s="60"/>
      <c r="AQL2466" s="60"/>
      <c r="AQM2466" s="60"/>
      <c r="AQN2466" s="60"/>
      <c r="AQO2466" s="63"/>
      <c r="AQP2466" s="61"/>
      <c r="AQQ2466" s="54"/>
      <c r="AQR2466" s="54"/>
      <c r="AQS2466" s="60"/>
      <c r="AQT2466" s="60"/>
      <c r="AQU2466" s="60"/>
      <c r="AQV2466" s="60"/>
      <c r="AQW2466" s="63"/>
      <c r="AQX2466" s="61"/>
      <c r="AQY2466" s="54"/>
      <c r="AQZ2466" s="54"/>
      <c r="ARA2466" s="60"/>
      <c r="ARB2466" s="60"/>
      <c r="ARC2466" s="60"/>
      <c r="ARD2466" s="60"/>
      <c r="ARE2466" s="63"/>
      <c r="ARF2466" s="61"/>
      <c r="ARG2466" s="54"/>
      <c r="ARH2466" s="54"/>
      <c r="ARI2466" s="60"/>
      <c r="ARJ2466" s="60"/>
      <c r="ARK2466" s="60"/>
      <c r="ARL2466" s="60"/>
      <c r="ARM2466" s="63"/>
      <c r="ARN2466" s="61"/>
      <c r="ARO2466" s="54"/>
      <c r="ARP2466" s="54"/>
      <c r="ARQ2466" s="60"/>
      <c r="ARR2466" s="60"/>
      <c r="ARS2466" s="60"/>
      <c r="ART2466" s="60"/>
      <c r="ARU2466" s="63"/>
      <c r="ARV2466" s="61"/>
      <c r="ARW2466" s="54"/>
      <c r="ARX2466" s="54"/>
      <c r="ARY2466" s="60"/>
      <c r="ARZ2466" s="60"/>
      <c r="ASA2466" s="60"/>
      <c r="ASB2466" s="60"/>
      <c r="ASC2466" s="63"/>
      <c r="ASD2466" s="61"/>
      <c r="ASE2466" s="54"/>
      <c r="ASF2466" s="54"/>
      <c r="ASG2466" s="60"/>
      <c r="ASH2466" s="60"/>
      <c r="ASI2466" s="60"/>
      <c r="ASJ2466" s="60"/>
      <c r="ASK2466" s="63"/>
      <c r="ASL2466" s="61"/>
      <c r="ASM2466" s="54"/>
      <c r="ASN2466" s="54"/>
      <c r="ASO2466" s="60"/>
      <c r="ASP2466" s="60"/>
      <c r="ASQ2466" s="60"/>
      <c r="ASR2466" s="60"/>
      <c r="ASS2466" s="63"/>
      <c r="AST2466" s="61"/>
      <c r="ASU2466" s="54"/>
      <c r="ASV2466" s="54"/>
      <c r="ASW2466" s="60"/>
      <c r="ASX2466" s="60"/>
      <c r="ASY2466" s="60"/>
      <c r="ASZ2466" s="60"/>
      <c r="ATA2466" s="63"/>
      <c r="ATB2466" s="61"/>
      <c r="ATC2466" s="54"/>
      <c r="ATD2466" s="54"/>
      <c r="ATE2466" s="60"/>
      <c r="ATF2466" s="60"/>
      <c r="ATG2466" s="60"/>
      <c r="ATH2466" s="60"/>
      <c r="ATI2466" s="63"/>
      <c r="ATJ2466" s="61"/>
      <c r="ATK2466" s="54"/>
      <c r="ATL2466" s="54"/>
      <c r="ATM2466" s="60"/>
      <c r="ATN2466" s="60"/>
      <c r="ATO2466" s="60"/>
      <c r="ATP2466" s="60"/>
      <c r="ATQ2466" s="63"/>
      <c r="ATR2466" s="61"/>
      <c r="ATS2466" s="54"/>
      <c r="ATT2466" s="54"/>
      <c r="ATU2466" s="60"/>
      <c r="ATV2466" s="60"/>
      <c r="ATW2466" s="60"/>
      <c r="ATX2466" s="60"/>
      <c r="ATY2466" s="63"/>
      <c r="ATZ2466" s="61"/>
      <c r="AUA2466" s="54"/>
      <c r="AUB2466" s="54"/>
      <c r="AUC2466" s="60"/>
      <c r="AUD2466" s="60"/>
      <c r="AUE2466" s="60"/>
      <c r="AUF2466" s="60"/>
      <c r="AUG2466" s="63"/>
      <c r="AUH2466" s="61"/>
      <c r="AUI2466" s="54"/>
      <c r="AUJ2466" s="54"/>
      <c r="AUK2466" s="60"/>
      <c r="AUL2466" s="60"/>
      <c r="AUM2466" s="60"/>
      <c r="AUN2466" s="60"/>
      <c r="AUO2466" s="63"/>
      <c r="AUP2466" s="61"/>
      <c r="AUQ2466" s="54"/>
      <c r="AUR2466" s="54"/>
      <c r="AUS2466" s="60"/>
      <c r="AUT2466" s="60"/>
      <c r="AUU2466" s="60"/>
      <c r="AUV2466" s="60"/>
      <c r="AUW2466" s="63"/>
      <c r="AUX2466" s="61"/>
      <c r="AUY2466" s="54"/>
      <c r="AUZ2466" s="54"/>
      <c r="AVA2466" s="60"/>
      <c r="AVB2466" s="60"/>
      <c r="AVC2466" s="60"/>
      <c r="AVD2466" s="60"/>
      <c r="AVE2466" s="63"/>
      <c r="AVF2466" s="61"/>
      <c r="AVG2466" s="54"/>
      <c r="AVH2466" s="54"/>
      <c r="AVI2466" s="60"/>
      <c r="AVJ2466" s="60"/>
      <c r="AVK2466" s="60"/>
      <c r="AVL2466" s="60"/>
      <c r="AVM2466" s="63"/>
      <c r="AVN2466" s="61"/>
      <c r="AVO2466" s="54"/>
      <c r="AVP2466" s="54"/>
      <c r="AVQ2466" s="60"/>
      <c r="AVR2466" s="60"/>
      <c r="AVS2466" s="60"/>
      <c r="AVT2466" s="60"/>
      <c r="AVU2466" s="63"/>
      <c r="AVV2466" s="61"/>
      <c r="AVW2466" s="54"/>
      <c r="AVX2466" s="54"/>
      <c r="AVY2466" s="60"/>
      <c r="AVZ2466" s="60"/>
      <c r="AWA2466" s="60"/>
      <c r="AWB2466" s="60"/>
      <c r="AWC2466" s="63"/>
      <c r="AWD2466" s="61"/>
      <c r="AWE2466" s="54"/>
      <c r="AWF2466" s="54"/>
      <c r="AWG2466" s="60"/>
      <c r="AWH2466" s="60"/>
      <c r="AWI2466" s="60"/>
      <c r="AWJ2466" s="60"/>
      <c r="AWK2466" s="63"/>
      <c r="AWL2466" s="61"/>
      <c r="AWM2466" s="54"/>
      <c r="AWN2466" s="54"/>
      <c r="AWO2466" s="60"/>
      <c r="AWP2466" s="60"/>
      <c r="AWQ2466" s="60"/>
      <c r="AWR2466" s="60"/>
      <c r="AWS2466" s="63"/>
      <c r="AWT2466" s="61"/>
      <c r="AWU2466" s="54"/>
      <c r="AWV2466" s="54"/>
      <c r="AWW2466" s="60"/>
      <c r="AWX2466" s="60"/>
      <c r="AWY2466" s="60"/>
      <c r="AWZ2466" s="60"/>
      <c r="AXA2466" s="63"/>
      <c r="AXB2466" s="61"/>
      <c r="AXC2466" s="54"/>
      <c r="AXD2466" s="54"/>
      <c r="AXE2466" s="60"/>
      <c r="AXF2466" s="60"/>
      <c r="AXG2466" s="60"/>
      <c r="AXH2466" s="60"/>
      <c r="AXI2466" s="63"/>
      <c r="AXJ2466" s="61"/>
      <c r="AXK2466" s="54"/>
      <c r="AXL2466" s="54"/>
      <c r="AXM2466" s="60"/>
      <c r="AXN2466" s="60"/>
      <c r="AXO2466" s="60"/>
      <c r="AXP2466" s="60"/>
      <c r="AXQ2466" s="63"/>
      <c r="AXR2466" s="61"/>
      <c r="AXS2466" s="54"/>
      <c r="AXT2466" s="54"/>
      <c r="AXU2466" s="60"/>
      <c r="AXV2466" s="60"/>
      <c r="AXW2466" s="60"/>
      <c r="AXX2466" s="60"/>
      <c r="AXY2466" s="63"/>
      <c r="AXZ2466" s="61"/>
      <c r="AYA2466" s="54"/>
      <c r="AYB2466" s="54"/>
      <c r="AYC2466" s="60"/>
      <c r="AYD2466" s="60"/>
      <c r="AYE2466" s="60"/>
      <c r="AYF2466" s="60"/>
      <c r="AYG2466" s="63"/>
      <c r="AYH2466" s="61"/>
      <c r="AYI2466" s="54"/>
      <c r="AYJ2466" s="54"/>
      <c r="AYK2466" s="60"/>
      <c r="AYL2466" s="60"/>
      <c r="AYM2466" s="60"/>
      <c r="AYN2466" s="60"/>
      <c r="AYO2466" s="63"/>
      <c r="AYP2466" s="61"/>
      <c r="AYQ2466" s="54"/>
      <c r="AYR2466" s="54"/>
      <c r="AYS2466" s="60"/>
      <c r="AYT2466" s="60"/>
      <c r="AYU2466" s="60"/>
      <c r="AYV2466" s="60"/>
      <c r="AYW2466" s="63"/>
      <c r="AYX2466" s="61"/>
      <c r="AYY2466" s="54"/>
      <c r="AYZ2466" s="54"/>
      <c r="AZA2466" s="60"/>
      <c r="AZB2466" s="60"/>
      <c r="AZC2466" s="60"/>
      <c r="AZD2466" s="60"/>
      <c r="AZE2466" s="63"/>
      <c r="AZF2466" s="61"/>
      <c r="AZG2466" s="54"/>
      <c r="AZH2466" s="54"/>
      <c r="AZI2466" s="60"/>
      <c r="AZJ2466" s="60"/>
      <c r="AZK2466" s="60"/>
      <c r="AZL2466" s="60"/>
      <c r="AZM2466" s="63"/>
      <c r="AZN2466" s="61"/>
      <c r="AZO2466" s="54"/>
      <c r="AZP2466" s="54"/>
      <c r="AZQ2466" s="60"/>
      <c r="AZR2466" s="60"/>
      <c r="AZS2466" s="60"/>
      <c r="AZT2466" s="60"/>
      <c r="AZU2466" s="63"/>
      <c r="AZV2466" s="61"/>
      <c r="AZW2466" s="54"/>
      <c r="AZX2466" s="54"/>
      <c r="AZY2466" s="60"/>
      <c r="AZZ2466" s="60"/>
      <c r="BAA2466" s="60"/>
      <c r="BAB2466" s="60"/>
      <c r="BAC2466" s="63"/>
      <c r="BAD2466" s="61"/>
      <c r="BAE2466" s="54"/>
      <c r="BAF2466" s="54"/>
      <c r="BAG2466" s="60"/>
      <c r="BAH2466" s="60"/>
      <c r="BAI2466" s="60"/>
      <c r="BAJ2466" s="60"/>
      <c r="BAK2466" s="63"/>
      <c r="BAL2466" s="61"/>
      <c r="BAM2466" s="54"/>
      <c r="BAN2466" s="54"/>
      <c r="BAO2466" s="60"/>
      <c r="BAP2466" s="60"/>
      <c r="BAQ2466" s="60"/>
      <c r="BAR2466" s="60"/>
      <c r="BAS2466" s="63"/>
      <c r="BAT2466" s="61"/>
      <c r="BAU2466" s="54"/>
      <c r="BAV2466" s="54"/>
      <c r="BAW2466" s="60"/>
      <c r="BAX2466" s="60"/>
      <c r="BAY2466" s="60"/>
      <c r="BAZ2466" s="60"/>
      <c r="BBA2466" s="63"/>
      <c r="BBB2466" s="61"/>
      <c r="BBC2466" s="54"/>
      <c r="BBD2466" s="54"/>
      <c r="BBE2466" s="60"/>
      <c r="BBF2466" s="60"/>
      <c r="BBG2466" s="60"/>
      <c r="BBH2466" s="60"/>
      <c r="BBI2466" s="63"/>
      <c r="BBJ2466" s="61"/>
      <c r="BBK2466" s="54"/>
      <c r="BBL2466" s="54"/>
      <c r="BBM2466" s="60"/>
      <c r="BBN2466" s="60"/>
      <c r="BBO2466" s="60"/>
      <c r="BBP2466" s="60"/>
      <c r="BBQ2466" s="63"/>
      <c r="BBR2466" s="61"/>
      <c r="BBS2466" s="54"/>
      <c r="BBT2466" s="54"/>
      <c r="BBU2466" s="60"/>
      <c r="BBV2466" s="60"/>
      <c r="BBW2466" s="60"/>
      <c r="BBX2466" s="60"/>
      <c r="BBY2466" s="63"/>
      <c r="BBZ2466" s="61"/>
      <c r="BCA2466" s="54"/>
      <c r="BCB2466" s="54"/>
      <c r="BCC2466" s="60"/>
      <c r="BCD2466" s="60"/>
      <c r="BCE2466" s="60"/>
      <c r="BCF2466" s="60"/>
      <c r="BCG2466" s="63"/>
      <c r="BCH2466" s="61"/>
      <c r="BCI2466" s="54"/>
      <c r="BCJ2466" s="54"/>
      <c r="BCK2466" s="60"/>
      <c r="BCL2466" s="60"/>
      <c r="BCM2466" s="60"/>
      <c r="BCN2466" s="60"/>
      <c r="BCO2466" s="63"/>
      <c r="BCP2466" s="61"/>
      <c r="BCQ2466" s="54"/>
      <c r="BCR2466" s="54"/>
      <c r="BCS2466" s="60"/>
      <c r="BCT2466" s="60"/>
      <c r="BCU2466" s="60"/>
      <c r="BCV2466" s="60"/>
      <c r="BCW2466" s="63"/>
      <c r="BCX2466" s="61"/>
      <c r="BCY2466" s="54"/>
      <c r="BCZ2466" s="54"/>
      <c r="BDA2466" s="60"/>
      <c r="BDB2466" s="60"/>
      <c r="BDC2466" s="60"/>
      <c r="BDD2466" s="60"/>
      <c r="BDE2466" s="63"/>
      <c r="BDF2466" s="61"/>
      <c r="BDG2466" s="54"/>
      <c r="BDH2466" s="54"/>
      <c r="BDI2466" s="60"/>
      <c r="BDJ2466" s="60"/>
      <c r="BDK2466" s="60"/>
      <c r="BDL2466" s="60"/>
      <c r="BDM2466" s="63"/>
      <c r="BDN2466" s="61"/>
      <c r="BDO2466" s="54"/>
      <c r="BDP2466" s="54"/>
      <c r="BDQ2466" s="60"/>
      <c r="BDR2466" s="60"/>
      <c r="BDS2466" s="60"/>
      <c r="BDT2466" s="60"/>
      <c r="BDU2466" s="63"/>
      <c r="BDV2466" s="61"/>
      <c r="BDW2466" s="54"/>
      <c r="BDX2466" s="54"/>
      <c r="BDY2466" s="60"/>
      <c r="BDZ2466" s="60"/>
      <c r="BEA2466" s="60"/>
      <c r="BEB2466" s="60"/>
      <c r="BEC2466" s="63"/>
      <c r="BED2466" s="61"/>
      <c r="BEE2466" s="54"/>
      <c r="BEF2466" s="54"/>
      <c r="BEG2466" s="60"/>
      <c r="BEH2466" s="60"/>
      <c r="BEI2466" s="60"/>
      <c r="BEJ2466" s="60"/>
      <c r="BEK2466" s="63"/>
      <c r="BEL2466" s="61"/>
      <c r="BEM2466" s="54"/>
      <c r="BEN2466" s="54"/>
      <c r="BEO2466" s="60"/>
      <c r="BEP2466" s="60"/>
      <c r="BEQ2466" s="60"/>
      <c r="BER2466" s="60"/>
      <c r="BES2466" s="63"/>
      <c r="BET2466" s="61"/>
      <c r="BEU2466" s="54"/>
      <c r="BEV2466" s="54"/>
      <c r="BEW2466" s="60"/>
      <c r="BEX2466" s="60"/>
      <c r="BEY2466" s="60"/>
      <c r="BEZ2466" s="60"/>
      <c r="BFA2466" s="63"/>
      <c r="BFB2466" s="61"/>
      <c r="BFC2466" s="54"/>
      <c r="BFD2466" s="54"/>
      <c r="BFE2466" s="60"/>
      <c r="BFF2466" s="60"/>
      <c r="BFG2466" s="60"/>
      <c r="BFH2466" s="60"/>
      <c r="BFI2466" s="63"/>
      <c r="BFJ2466" s="61"/>
      <c r="BFK2466" s="54"/>
      <c r="BFL2466" s="54"/>
      <c r="BFM2466" s="60"/>
      <c r="BFN2466" s="60"/>
      <c r="BFO2466" s="60"/>
      <c r="BFP2466" s="60"/>
      <c r="BFQ2466" s="63"/>
      <c r="BFR2466" s="61"/>
      <c r="BFS2466" s="54"/>
      <c r="BFT2466" s="54"/>
      <c r="BFU2466" s="60"/>
      <c r="BFV2466" s="60"/>
      <c r="BFW2466" s="60"/>
      <c r="BFX2466" s="60"/>
      <c r="BFY2466" s="63"/>
      <c r="BFZ2466" s="61"/>
      <c r="BGA2466" s="54"/>
      <c r="BGB2466" s="54"/>
      <c r="BGC2466" s="60"/>
      <c r="BGD2466" s="60"/>
      <c r="BGE2466" s="60"/>
      <c r="BGF2466" s="60"/>
      <c r="BGG2466" s="63"/>
      <c r="BGH2466" s="61"/>
      <c r="BGI2466" s="54"/>
      <c r="BGJ2466" s="54"/>
      <c r="BGK2466" s="60"/>
      <c r="BGL2466" s="60"/>
      <c r="BGM2466" s="60"/>
      <c r="BGN2466" s="60"/>
      <c r="BGO2466" s="63"/>
      <c r="BGP2466" s="61"/>
      <c r="BGQ2466" s="54"/>
      <c r="BGR2466" s="54"/>
      <c r="BGS2466" s="60"/>
      <c r="BGT2466" s="60"/>
      <c r="BGU2466" s="60"/>
      <c r="BGV2466" s="60"/>
      <c r="BGW2466" s="63"/>
      <c r="BGX2466" s="61"/>
      <c r="BGY2466" s="54"/>
      <c r="BGZ2466" s="54"/>
      <c r="BHA2466" s="60"/>
      <c r="BHB2466" s="60"/>
      <c r="BHC2466" s="60"/>
      <c r="BHD2466" s="60"/>
      <c r="BHE2466" s="63"/>
      <c r="BHF2466" s="61"/>
      <c r="BHG2466" s="54"/>
      <c r="BHH2466" s="54"/>
      <c r="BHI2466" s="60"/>
      <c r="BHJ2466" s="60"/>
      <c r="BHK2466" s="60"/>
      <c r="BHL2466" s="60"/>
      <c r="BHM2466" s="63"/>
      <c r="BHN2466" s="61"/>
      <c r="BHO2466" s="54"/>
      <c r="BHP2466" s="54"/>
      <c r="BHQ2466" s="60"/>
      <c r="BHR2466" s="60"/>
      <c r="BHS2466" s="60"/>
      <c r="BHT2466" s="60"/>
      <c r="BHU2466" s="63"/>
      <c r="BHV2466" s="61"/>
      <c r="BHW2466" s="54"/>
      <c r="BHX2466" s="54"/>
      <c r="BHY2466" s="60"/>
      <c r="BHZ2466" s="60"/>
      <c r="BIA2466" s="60"/>
      <c r="BIB2466" s="60"/>
      <c r="BIC2466" s="63"/>
      <c r="BID2466" s="61"/>
      <c r="BIE2466" s="54"/>
      <c r="BIF2466" s="54"/>
      <c r="BIG2466" s="60"/>
      <c r="BIH2466" s="60"/>
      <c r="BII2466" s="60"/>
      <c r="BIJ2466" s="60"/>
      <c r="BIK2466" s="63"/>
      <c r="BIL2466" s="61"/>
      <c r="BIM2466" s="54"/>
      <c r="BIN2466" s="54"/>
      <c r="BIO2466" s="60"/>
      <c r="BIP2466" s="60"/>
      <c r="BIQ2466" s="60"/>
      <c r="BIR2466" s="60"/>
      <c r="BIS2466" s="63"/>
      <c r="BIT2466" s="61"/>
      <c r="BIU2466" s="54"/>
      <c r="BIV2466" s="54"/>
      <c r="BIW2466" s="60"/>
      <c r="BIX2466" s="60"/>
      <c r="BIY2466" s="60"/>
      <c r="BIZ2466" s="60"/>
      <c r="BJA2466" s="63"/>
      <c r="BJB2466" s="61"/>
      <c r="BJC2466" s="54"/>
      <c r="BJD2466" s="54"/>
      <c r="BJE2466" s="60"/>
      <c r="BJF2466" s="60"/>
      <c r="BJG2466" s="60"/>
      <c r="BJH2466" s="60"/>
      <c r="BJI2466" s="63"/>
      <c r="BJJ2466" s="61"/>
      <c r="BJK2466" s="54"/>
      <c r="BJL2466" s="54"/>
      <c r="BJM2466" s="60"/>
      <c r="BJN2466" s="60"/>
      <c r="BJO2466" s="60"/>
      <c r="BJP2466" s="60"/>
      <c r="BJQ2466" s="63"/>
      <c r="BJR2466" s="61"/>
      <c r="BJS2466" s="54"/>
      <c r="BJT2466" s="54"/>
      <c r="BJU2466" s="60"/>
      <c r="BJV2466" s="60"/>
      <c r="BJW2466" s="60"/>
      <c r="BJX2466" s="60"/>
      <c r="BJY2466" s="63"/>
      <c r="BJZ2466" s="61"/>
      <c r="BKA2466" s="54"/>
      <c r="BKB2466" s="54"/>
      <c r="BKC2466" s="60"/>
      <c r="BKD2466" s="60"/>
      <c r="BKE2466" s="60"/>
      <c r="BKF2466" s="60"/>
      <c r="BKG2466" s="63"/>
      <c r="BKH2466" s="61"/>
      <c r="BKI2466" s="54"/>
      <c r="BKJ2466" s="54"/>
      <c r="BKK2466" s="60"/>
      <c r="BKL2466" s="60"/>
      <c r="BKM2466" s="60"/>
      <c r="BKN2466" s="60"/>
      <c r="BKO2466" s="63"/>
      <c r="BKP2466" s="61"/>
      <c r="BKQ2466" s="54"/>
      <c r="BKR2466" s="54"/>
      <c r="BKS2466" s="60"/>
      <c r="BKT2466" s="60"/>
      <c r="BKU2466" s="60"/>
      <c r="BKV2466" s="60"/>
      <c r="BKW2466" s="63"/>
      <c r="BKX2466" s="61"/>
      <c r="BKY2466" s="54"/>
      <c r="BKZ2466" s="54"/>
      <c r="BLA2466" s="60"/>
      <c r="BLB2466" s="60"/>
      <c r="BLC2466" s="60"/>
      <c r="BLD2466" s="60"/>
      <c r="BLE2466" s="63"/>
      <c r="BLF2466" s="61"/>
      <c r="BLG2466" s="54"/>
      <c r="BLH2466" s="54"/>
      <c r="BLI2466" s="60"/>
      <c r="BLJ2466" s="60"/>
      <c r="BLK2466" s="60"/>
      <c r="BLL2466" s="60"/>
      <c r="BLM2466" s="63"/>
      <c r="BLN2466" s="61"/>
      <c r="BLO2466" s="54"/>
      <c r="BLP2466" s="54"/>
      <c r="BLQ2466" s="60"/>
      <c r="BLR2466" s="60"/>
      <c r="BLS2466" s="60"/>
      <c r="BLT2466" s="60"/>
      <c r="BLU2466" s="63"/>
      <c r="BLV2466" s="61"/>
      <c r="BLW2466" s="54"/>
      <c r="BLX2466" s="54"/>
      <c r="BLY2466" s="60"/>
      <c r="BLZ2466" s="60"/>
      <c r="BMA2466" s="60"/>
      <c r="BMB2466" s="60"/>
      <c r="BMC2466" s="63"/>
      <c r="BMD2466" s="61"/>
      <c r="BME2466" s="54"/>
      <c r="BMF2466" s="54"/>
      <c r="BMG2466" s="60"/>
      <c r="BMH2466" s="60"/>
      <c r="BMI2466" s="60"/>
      <c r="BMJ2466" s="60"/>
      <c r="BMK2466" s="63"/>
      <c r="BML2466" s="61"/>
      <c r="BMM2466" s="54"/>
      <c r="BMN2466" s="54"/>
      <c r="BMO2466" s="60"/>
      <c r="BMP2466" s="60"/>
      <c r="BMQ2466" s="60"/>
      <c r="BMR2466" s="60"/>
      <c r="BMS2466" s="63"/>
      <c r="BMT2466" s="61"/>
      <c r="BMU2466" s="54"/>
      <c r="BMV2466" s="54"/>
      <c r="BMW2466" s="60"/>
      <c r="BMX2466" s="60"/>
      <c r="BMY2466" s="60"/>
      <c r="BMZ2466" s="60"/>
      <c r="BNA2466" s="63"/>
      <c r="BNB2466" s="61"/>
      <c r="BNC2466" s="54"/>
      <c r="BND2466" s="54"/>
      <c r="BNE2466" s="60"/>
      <c r="BNF2466" s="60"/>
      <c r="BNG2466" s="60"/>
      <c r="BNH2466" s="60"/>
      <c r="BNI2466" s="63"/>
      <c r="BNJ2466" s="61"/>
      <c r="BNK2466" s="54"/>
      <c r="BNL2466" s="54"/>
      <c r="BNM2466" s="60"/>
      <c r="BNN2466" s="60"/>
      <c r="BNO2466" s="60"/>
      <c r="BNP2466" s="60"/>
      <c r="BNQ2466" s="63"/>
      <c r="BNR2466" s="61"/>
      <c r="BNS2466" s="54"/>
      <c r="BNT2466" s="54"/>
      <c r="BNU2466" s="60"/>
      <c r="BNV2466" s="60"/>
      <c r="BNW2466" s="60"/>
      <c r="BNX2466" s="60"/>
      <c r="BNY2466" s="63"/>
      <c r="BNZ2466" s="61"/>
      <c r="BOA2466" s="54"/>
      <c r="BOB2466" s="54"/>
      <c r="BOC2466" s="60"/>
      <c r="BOD2466" s="60"/>
      <c r="BOE2466" s="60"/>
      <c r="BOF2466" s="60"/>
      <c r="BOG2466" s="63"/>
      <c r="BOH2466" s="61"/>
      <c r="BOI2466" s="54"/>
      <c r="BOJ2466" s="54"/>
      <c r="BOK2466" s="60"/>
      <c r="BOL2466" s="60"/>
      <c r="BOM2466" s="60"/>
      <c r="BON2466" s="60"/>
      <c r="BOO2466" s="63"/>
      <c r="BOP2466" s="61"/>
      <c r="BOQ2466" s="54"/>
      <c r="BOR2466" s="54"/>
      <c r="BOS2466" s="60"/>
      <c r="BOT2466" s="60"/>
      <c r="BOU2466" s="60"/>
      <c r="BOV2466" s="60"/>
      <c r="BOW2466" s="63"/>
      <c r="BOX2466" s="61"/>
      <c r="BOY2466" s="54"/>
      <c r="BOZ2466" s="54"/>
      <c r="BPA2466" s="60"/>
      <c r="BPB2466" s="60"/>
      <c r="BPC2466" s="60"/>
      <c r="BPD2466" s="60"/>
      <c r="BPE2466" s="63"/>
      <c r="BPF2466" s="61"/>
      <c r="BPG2466" s="54"/>
      <c r="BPH2466" s="54"/>
      <c r="BPI2466" s="60"/>
      <c r="BPJ2466" s="60"/>
      <c r="BPK2466" s="60"/>
      <c r="BPL2466" s="60"/>
      <c r="BPM2466" s="63"/>
      <c r="BPN2466" s="61"/>
      <c r="BPO2466" s="54"/>
      <c r="BPP2466" s="54"/>
      <c r="BPQ2466" s="60"/>
      <c r="BPR2466" s="60"/>
      <c r="BPS2466" s="60"/>
      <c r="BPT2466" s="60"/>
      <c r="BPU2466" s="63"/>
      <c r="BPV2466" s="61"/>
      <c r="BPW2466" s="54"/>
      <c r="BPX2466" s="54"/>
      <c r="BPY2466" s="60"/>
      <c r="BPZ2466" s="60"/>
      <c r="BQA2466" s="60"/>
      <c r="BQB2466" s="60"/>
      <c r="BQC2466" s="63"/>
      <c r="BQD2466" s="61"/>
      <c r="BQE2466" s="54"/>
      <c r="BQF2466" s="54"/>
      <c r="BQG2466" s="60"/>
      <c r="BQH2466" s="60"/>
      <c r="BQI2466" s="60"/>
      <c r="BQJ2466" s="60"/>
      <c r="BQK2466" s="63"/>
      <c r="BQL2466" s="61"/>
      <c r="BQM2466" s="54"/>
      <c r="BQN2466" s="54"/>
      <c r="BQO2466" s="60"/>
      <c r="BQP2466" s="60"/>
      <c r="BQQ2466" s="60"/>
      <c r="BQR2466" s="60"/>
      <c r="BQS2466" s="63"/>
      <c r="BQT2466" s="61"/>
      <c r="BQU2466" s="54"/>
      <c r="BQV2466" s="54"/>
      <c r="BQW2466" s="60"/>
      <c r="BQX2466" s="60"/>
      <c r="BQY2466" s="60"/>
      <c r="BQZ2466" s="60"/>
      <c r="BRA2466" s="63"/>
      <c r="BRB2466" s="61"/>
      <c r="BRC2466" s="54"/>
      <c r="BRD2466" s="54"/>
      <c r="BRE2466" s="60"/>
      <c r="BRF2466" s="60"/>
      <c r="BRG2466" s="60"/>
      <c r="BRH2466" s="60"/>
      <c r="BRI2466" s="63"/>
      <c r="BRJ2466" s="61"/>
      <c r="BRK2466" s="54"/>
      <c r="BRL2466" s="54"/>
      <c r="BRM2466" s="60"/>
      <c r="BRN2466" s="60"/>
      <c r="BRO2466" s="60"/>
      <c r="BRP2466" s="60"/>
      <c r="BRQ2466" s="63"/>
      <c r="BRR2466" s="61"/>
      <c r="BRS2466" s="54"/>
      <c r="BRT2466" s="54"/>
      <c r="BRU2466" s="60"/>
      <c r="BRV2466" s="60"/>
      <c r="BRW2466" s="60"/>
      <c r="BRX2466" s="60"/>
      <c r="BRY2466" s="63"/>
      <c r="BRZ2466" s="61"/>
      <c r="BSA2466" s="54"/>
      <c r="BSB2466" s="54"/>
      <c r="BSC2466" s="60"/>
      <c r="BSD2466" s="60"/>
      <c r="BSE2466" s="60"/>
      <c r="BSF2466" s="60"/>
      <c r="BSG2466" s="63"/>
      <c r="BSH2466" s="61"/>
      <c r="BSI2466" s="54"/>
      <c r="BSJ2466" s="54"/>
      <c r="BSK2466" s="60"/>
      <c r="BSL2466" s="60"/>
      <c r="BSM2466" s="60"/>
      <c r="BSN2466" s="60"/>
      <c r="BSO2466" s="63"/>
      <c r="BSP2466" s="61"/>
      <c r="BSQ2466" s="54"/>
      <c r="BSR2466" s="54"/>
      <c r="BSS2466" s="60"/>
      <c r="BST2466" s="60"/>
      <c r="BSU2466" s="60"/>
      <c r="BSV2466" s="60"/>
      <c r="BSW2466" s="63"/>
      <c r="BSX2466" s="61"/>
      <c r="BSY2466" s="54"/>
      <c r="BSZ2466" s="54"/>
      <c r="BTA2466" s="60"/>
      <c r="BTB2466" s="60"/>
      <c r="BTC2466" s="60"/>
      <c r="BTD2466" s="60"/>
      <c r="BTE2466" s="63"/>
      <c r="BTF2466" s="61"/>
      <c r="BTG2466" s="54"/>
      <c r="BTH2466" s="54"/>
      <c r="BTI2466" s="60"/>
      <c r="BTJ2466" s="60"/>
      <c r="BTK2466" s="60"/>
      <c r="BTL2466" s="60"/>
      <c r="BTM2466" s="63"/>
      <c r="BTN2466" s="61"/>
      <c r="BTO2466" s="54"/>
      <c r="BTP2466" s="54"/>
      <c r="BTQ2466" s="60"/>
      <c r="BTR2466" s="60"/>
      <c r="BTS2466" s="60"/>
      <c r="BTT2466" s="60"/>
      <c r="BTU2466" s="63"/>
      <c r="BTV2466" s="61"/>
      <c r="BTW2466" s="54"/>
      <c r="BTX2466" s="54"/>
      <c r="BTY2466" s="60"/>
      <c r="BTZ2466" s="60"/>
      <c r="BUA2466" s="60"/>
      <c r="BUB2466" s="60"/>
      <c r="BUC2466" s="63"/>
      <c r="BUD2466" s="61"/>
      <c r="BUE2466" s="54"/>
      <c r="BUF2466" s="54"/>
      <c r="BUG2466" s="60"/>
      <c r="BUH2466" s="60"/>
      <c r="BUI2466" s="60"/>
      <c r="BUJ2466" s="60"/>
      <c r="BUK2466" s="63"/>
      <c r="BUL2466" s="61"/>
      <c r="BUM2466" s="54"/>
      <c r="BUN2466" s="54"/>
      <c r="BUO2466" s="60"/>
      <c r="BUP2466" s="60"/>
      <c r="BUQ2466" s="60"/>
      <c r="BUR2466" s="60"/>
      <c r="BUS2466" s="63"/>
      <c r="BUT2466" s="61"/>
      <c r="BUU2466" s="54"/>
      <c r="BUV2466" s="54"/>
      <c r="BUW2466" s="60"/>
      <c r="BUX2466" s="60"/>
      <c r="BUY2466" s="60"/>
      <c r="BUZ2466" s="60"/>
      <c r="BVA2466" s="63"/>
      <c r="BVB2466" s="61"/>
      <c r="BVC2466" s="54"/>
      <c r="BVD2466" s="54"/>
      <c r="BVE2466" s="60"/>
      <c r="BVF2466" s="60"/>
      <c r="BVG2466" s="60"/>
      <c r="BVH2466" s="60"/>
      <c r="BVI2466" s="63"/>
      <c r="BVJ2466" s="61"/>
      <c r="BVK2466" s="54"/>
      <c r="BVL2466" s="54"/>
      <c r="BVM2466" s="60"/>
      <c r="BVN2466" s="60"/>
      <c r="BVO2466" s="60"/>
      <c r="BVP2466" s="60"/>
      <c r="BVQ2466" s="63"/>
      <c r="BVR2466" s="61"/>
      <c r="BVS2466" s="54"/>
      <c r="BVT2466" s="54"/>
      <c r="BVU2466" s="60"/>
      <c r="BVV2466" s="60"/>
      <c r="BVW2466" s="60"/>
      <c r="BVX2466" s="60"/>
      <c r="BVY2466" s="63"/>
      <c r="BVZ2466" s="61"/>
      <c r="BWA2466" s="54"/>
      <c r="BWB2466" s="54"/>
      <c r="BWC2466" s="60"/>
      <c r="BWD2466" s="60"/>
      <c r="BWE2466" s="60"/>
      <c r="BWF2466" s="60"/>
      <c r="BWG2466" s="63"/>
      <c r="BWH2466" s="61"/>
      <c r="BWI2466" s="54"/>
      <c r="BWJ2466" s="54"/>
      <c r="BWK2466" s="60"/>
      <c r="BWL2466" s="60"/>
      <c r="BWM2466" s="60"/>
      <c r="BWN2466" s="60"/>
      <c r="BWO2466" s="63"/>
      <c r="BWP2466" s="61"/>
      <c r="BWQ2466" s="54"/>
      <c r="BWR2466" s="54"/>
      <c r="BWS2466" s="60"/>
      <c r="BWT2466" s="60"/>
      <c r="BWU2466" s="60"/>
      <c r="BWV2466" s="60"/>
      <c r="BWW2466" s="63"/>
      <c r="BWX2466" s="61"/>
      <c r="BWY2466" s="54"/>
      <c r="BWZ2466" s="54"/>
      <c r="BXA2466" s="60"/>
      <c r="BXB2466" s="60"/>
      <c r="BXC2466" s="60"/>
      <c r="BXD2466" s="60"/>
      <c r="BXE2466" s="63"/>
      <c r="BXF2466" s="61"/>
      <c r="BXG2466" s="54"/>
      <c r="BXH2466" s="54"/>
      <c r="BXI2466" s="60"/>
      <c r="BXJ2466" s="60"/>
      <c r="BXK2466" s="60"/>
      <c r="BXL2466" s="60"/>
      <c r="BXM2466" s="63"/>
      <c r="BXN2466" s="61"/>
      <c r="BXO2466" s="54"/>
      <c r="BXP2466" s="54"/>
      <c r="BXQ2466" s="60"/>
      <c r="BXR2466" s="60"/>
      <c r="BXS2466" s="60"/>
      <c r="BXT2466" s="60"/>
      <c r="BXU2466" s="63"/>
      <c r="BXV2466" s="61"/>
      <c r="BXW2466" s="54"/>
      <c r="BXX2466" s="54"/>
      <c r="BXY2466" s="60"/>
      <c r="BXZ2466" s="60"/>
      <c r="BYA2466" s="60"/>
      <c r="BYB2466" s="60"/>
      <c r="BYC2466" s="63"/>
      <c r="BYD2466" s="61"/>
      <c r="BYE2466" s="54"/>
      <c r="BYF2466" s="54"/>
      <c r="BYG2466" s="60"/>
      <c r="BYH2466" s="60"/>
      <c r="BYI2466" s="60"/>
      <c r="BYJ2466" s="60"/>
      <c r="BYK2466" s="63"/>
      <c r="BYL2466" s="61"/>
      <c r="BYM2466" s="54"/>
      <c r="BYN2466" s="54"/>
      <c r="BYO2466" s="60"/>
      <c r="BYP2466" s="60"/>
      <c r="BYQ2466" s="60"/>
      <c r="BYR2466" s="60"/>
      <c r="BYS2466" s="63"/>
      <c r="BYT2466" s="61"/>
      <c r="BYU2466" s="54"/>
      <c r="BYV2466" s="54"/>
      <c r="BYW2466" s="60"/>
      <c r="BYX2466" s="60"/>
      <c r="BYY2466" s="60"/>
      <c r="BYZ2466" s="60"/>
      <c r="BZA2466" s="63"/>
      <c r="BZB2466" s="61"/>
      <c r="BZC2466" s="54"/>
      <c r="BZD2466" s="54"/>
      <c r="BZE2466" s="60"/>
      <c r="BZF2466" s="60"/>
      <c r="BZG2466" s="60"/>
      <c r="BZH2466" s="60"/>
      <c r="BZI2466" s="63"/>
      <c r="BZJ2466" s="61"/>
      <c r="BZK2466" s="54"/>
      <c r="BZL2466" s="54"/>
      <c r="BZM2466" s="60"/>
      <c r="BZN2466" s="60"/>
      <c r="BZO2466" s="60"/>
      <c r="BZP2466" s="60"/>
      <c r="BZQ2466" s="63"/>
      <c r="BZR2466" s="61"/>
      <c r="BZS2466" s="54"/>
      <c r="BZT2466" s="54"/>
      <c r="BZU2466" s="60"/>
      <c r="BZV2466" s="60"/>
      <c r="BZW2466" s="60"/>
      <c r="BZX2466" s="60"/>
      <c r="BZY2466" s="63"/>
      <c r="BZZ2466" s="61"/>
      <c r="CAA2466" s="54"/>
      <c r="CAB2466" s="54"/>
      <c r="CAC2466" s="60"/>
      <c r="CAD2466" s="60"/>
      <c r="CAE2466" s="60"/>
      <c r="CAF2466" s="60"/>
      <c r="CAG2466" s="63"/>
      <c r="CAH2466" s="61"/>
      <c r="CAI2466" s="54"/>
      <c r="CAJ2466" s="54"/>
      <c r="CAK2466" s="60"/>
      <c r="CAL2466" s="60"/>
      <c r="CAM2466" s="60"/>
      <c r="CAN2466" s="60"/>
      <c r="CAO2466" s="63"/>
      <c r="CAP2466" s="61"/>
      <c r="CAQ2466" s="54"/>
      <c r="CAR2466" s="54"/>
      <c r="CAS2466" s="60"/>
      <c r="CAT2466" s="60"/>
      <c r="CAU2466" s="60"/>
      <c r="CAV2466" s="60"/>
      <c r="CAW2466" s="63"/>
      <c r="CAX2466" s="61"/>
      <c r="CAY2466" s="54"/>
      <c r="CAZ2466" s="54"/>
      <c r="CBA2466" s="60"/>
      <c r="CBB2466" s="60"/>
      <c r="CBC2466" s="60"/>
      <c r="CBD2466" s="60"/>
      <c r="CBE2466" s="63"/>
      <c r="CBF2466" s="61"/>
      <c r="CBG2466" s="54"/>
      <c r="CBH2466" s="54"/>
      <c r="CBI2466" s="60"/>
      <c r="CBJ2466" s="60"/>
      <c r="CBK2466" s="60"/>
      <c r="CBL2466" s="60"/>
      <c r="CBM2466" s="63"/>
      <c r="CBN2466" s="61"/>
      <c r="CBO2466" s="54"/>
      <c r="CBP2466" s="54"/>
      <c r="CBQ2466" s="60"/>
      <c r="CBR2466" s="60"/>
      <c r="CBS2466" s="60"/>
      <c r="CBT2466" s="60"/>
      <c r="CBU2466" s="63"/>
      <c r="CBV2466" s="61"/>
      <c r="CBW2466" s="54"/>
      <c r="CBX2466" s="54"/>
      <c r="CBY2466" s="60"/>
      <c r="CBZ2466" s="60"/>
      <c r="CCA2466" s="60"/>
      <c r="CCB2466" s="60"/>
      <c r="CCC2466" s="63"/>
      <c r="CCD2466" s="61"/>
      <c r="CCE2466" s="54"/>
      <c r="CCF2466" s="54"/>
      <c r="CCG2466" s="60"/>
      <c r="CCH2466" s="60"/>
      <c r="CCI2466" s="60"/>
      <c r="CCJ2466" s="60"/>
      <c r="CCK2466" s="63"/>
      <c r="CCL2466" s="61"/>
      <c r="CCM2466" s="54"/>
      <c r="CCN2466" s="54"/>
      <c r="CCO2466" s="60"/>
      <c r="CCP2466" s="60"/>
      <c r="CCQ2466" s="60"/>
      <c r="CCR2466" s="60"/>
      <c r="CCS2466" s="63"/>
      <c r="CCT2466" s="61"/>
      <c r="CCU2466" s="54"/>
      <c r="CCV2466" s="54"/>
      <c r="CCW2466" s="60"/>
      <c r="CCX2466" s="60"/>
      <c r="CCY2466" s="60"/>
      <c r="CCZ2466" s="60"/>
      <c r="CDA2466" s="63"/>
      <c r="CDB2466" s="61"/>
      <c r="CDC2466" s="54"/>
      <c r="CDD2466" s="54"/>
      <c r="CDE2466" s="60"/>
      <c r="CDF2466" s="60"/>
      <c r="CDG2466" s="60"/>
      <c r="CDH2466" s="60"/>
      <c r="CDI2466" s="63"/>
      <c r="CDJ2466" s="61"/>
      <c r="CDK2466" s="54"/>
      <c r="CDL2466" s="54"/>
      <c r="CDM2466" s="60"/>
      <c r="CDN2466" s="60"/>
      <c r="CDO2466" s="60"/>
      <c r="CDP2466" s="60"/>
      <c r="CDQ2466" s="63"/>
      <c r="CDR2466" s="61"/>
      <c r="CDS2466" s="54"/>
      <c r="CDT2466" s="54"/>
      <c r="CDU2466" s="60"/>
      <c r="CDV2466" s="60"/>
      <c r="CDW2466" s="60"/>
      <c r="CDX2466" s="60"/>
      <c r="CDY2466" s="63"/>
      <c r="CDZ2466" s="61"/>
      <c r="CEA2466" s="54"/>
      <c r="CEB2466" s="54"/>
      <c r="CEC2466" s="60"/>
      <c r="CED2466" s="60"/>
      <c r="CEE2466" s="60"/>
      <c r="CEF2466" s="60"/>
      <c r="CEG2466" s="63"/>
      <c r="CEH2466" s="61"/>
      <c r="CEI2466" s="54"/>
      <c r="CEJ2466" s="54"/>
      <c r="CEK2466" s="60"/>
      <c r="CEL2466" s="60"/>
      <c r="CEM2466" s="60"/>
      <c r="CEN2466" s="60"/>
      <c r="CEO2466" s="63"/>
      <c r="CEP2466" s="61"/>
      <c r="CEQ2466" s="54"/>
      <c r="CER2466" s="54"/>
      <c r="CES2466" s="60"/>
      <c r="CET2466" s="60"/>
      <c r="CEU2466" s="60"/>
      <c r="CEV2466" s="60"/>
      <c r="CEW2466" s="63"/>
      <c r="CEX2466" s="61"/>
      <c r="CEY2466" s="54"/>
      <c r="CEZ2466" s="54"/>
      <c r="CFA2466" s="60"/>
      <c r="CFB2466" s="60"/>
      <c r="CFC2466" s="60"/>
      <c r="CFD2466" s="60"/>
      <c r="CFE2466" s="63"/>
      <c r="CFF2466" s="61"/>
      <c r="CFG2466" s="54"/>
      <c r="CFH2466" s="54"/>
      <c r="CFI2466" s="60"/>
      <c r="CFJ2466" s="60"/>
      <c r="CFK2466" s="60"/>
      <c r="CFL2466" s="60"/>
      <c r="CFM2466" s="63"/>
      <c r="CFN2466" s="61"/>
      <c r="CFO2466" s="54"/>
      <c r="CFP2466" s="54"/>
      <c r="CFQ2466" s="60"/>
      <c r="CFR2466" s="60"/>
      <c r="CFS2466" s="60"/>
      <c r="CFT2466" s="60"/>
      <c r="CFU2466" s="63"/>
      <c r="CFV2466" s="61"/>
      <c r="CFW2466" s="54"/>
      <c r="CFX2466" s="54"/>
      <c r="CFY2466" s="60"/>
      <c r="CFZ2466" s="60"/>
      <c r="CGA2466" s="60"/>
      <c r="CGB2466" s="60"/>
      <c r="CGC2466" s="63"/>
      <c r="CGD2466" s="61"/>
      <c r="CGE2466" s="54"/>
      <c r="CGF2466" s="54"/>
      <c r="CGG2466" s="60"/>
      <c r="CGH2466" s="60"/>
      <c r="CGI2466" s="60"/>
      <c r="CGJ2466" s="60"/>
      <c r="CGK2466" s="63"/>
      <c r="CGL2466" s="61"/>
      <c r="CGM2466" s="54"/>
      <c r="CGN2466" s="54"/>
      <c r="CGO2466" s="60"/>
      <c r="CGP2466" s="60"/>
      <c r="CGQ2466" s="60"/>
      <c r="CGR2466" s="60"/>
      <c r="CGS2466" s="63"/>
      <c r="CGT2466" s="61"/>
      <c r="CGU2466" s="54"/>
      <c r="CGV2466" s="54"/>
      <c r="CGW2466" s="60"/>
      <c r="CGX2466" s="60"/>
      <c r="CGY2466" s="60"/>
      <c r="CGZ2466" s="60"/>
      <c r="CHA2466" s="63"/>
      <c r="CHB2466" s="61"/>
      <c r="CHC2466" s="54"/>
      <c r="CHD2466" s="54"/>
      <c r="CHE2466" s="60"/>
      <c r="CHF2466" s="60"/>
      <c r="CHG2466" s="60"/>
      <c r="CHH2466" s="60"/>
      <c r="CHI2466" s="63"/>
      <c r="CHJ2466" s="61"/>
      <c r="CHK2466" s="54"/>
      <c r="CHL2466" s="54"/>
      <c r="CHM2466" s="60"/>
      <c r="CHN2466" s="60"/>
      <c r="CHO2466" s="60"/>
      <c r="CHP2466" s="60"/>
      <c r="CHQ2466" s="63"/>
      <c r="CHR2466" s="61"/>
      <c r="CHS2466" s="54"/>
      <c r="CHT2466" s="54"/>
      <c r="CHU2466" s="60"/>
      <c r="CHV2466" s="60"/>
      <c r="CHW2466" s="60"/>
      <c r="CHX2466" s="60"/>
      <c r="CHY2466" s="63"/>
      <c r="CHZ2466" s="61"/>
      <c r="CIA2466" s="54"/>
      <c r="CIB2466" s="54"/>
      <c r="CIC2466" s="60"/>
      <c r="CID2466" s="60"/>
      <c r="CIE2466" s="60"/>
      <c r="CIF2466" s="60"/>
      <c r="CIG2466" s="63"/>
      <c r="CIH2466" s="61"/>
      <c r="CII2466" s="54"/>
      <c r="CIJ2466" s="54"/>
      <c r="CIK2466" s="60"/>
      <c r="CIL2466" s="60"/>
      <c r="CIM2466" s="60"/>
      <c r="CIN2466" s="60"/>
      <c r="CIO2466" s="63"/>
      <c r="CIP2466" s="61"/>
      <c r="CIQ2466" s="54"/>
      <c r="CIR2466" s="54"/>
      <c r="CIS2466" s="60"/>
      <c r="CIT2466" s="60"/>
      <c r="CIU2466" s="60"/>
      <c r="CIV2466" s="60"/>
      <c r="CIW2466" s="63"/>
      <c r="CIX2466" s="61"/>
      <c r="CIY2466" s="54"/>
      <c r="CIZ2466" s="54"/>
      <c r="CJA2466" s="60"/>
      <c r="CJB2466" s="60"/>
      <c r="CJC2466" s="60"/>
      <c r="CJD2466" s="60"/>
      <c r="CJE2466" s="63"/>
      <c r="CJF2466" s="61"/>
      <c r="CJG2466" s="54"/>
      <c r="CJH2466" s="54"/>
      <c r="CJI2466" s="60"/>
      <c r="CJJ2466" s="60"/>
      <c r="CJK2466" s="60"/>
      <c r="CJL2466" s="60"/>
      <c r="CJM2466" s="63"/>
      <c r="CJN2466" s="61"/>
      <c r="CJO2466" s="54"/>
      <c r="CJP2466" s="54"/>
      <c r="CJQ2466" s="60"/>
      <c r="CJR2466" s="60"/>
      <c r="CJS2466" s="60"/>
      <c r="CJT2466" s="60"/>
      <c r="CJU2466" s="63"/>
      <c r="CJV2466" s="61"/>
      <c r="CJW2466" s="54"/>
      <c r="CJX2466" s="54"/>
      <c r="CJY2466" s="60"/>
      <c r="CJZ2466" s="60"/>
      <c r="CKA2466" s="60"/>
      <c r="CKB2466" s="60"/>
      <c r="CKC2466" s="63"/>
      <c r="CKD2466" s="61"/>
      <c r="CKE2466" s="54"/>
      <c r="CKF2466" s="54"/>
      <c r="CKG2466" s="60"/>
      <c r="CKH2466" s="60"/>
      <c r="CKI2466" s="60"/>
      <c r="CKJ2466" s="60"/>
      <c r="CKK2466" s="63"/>
      <c r="CKL2466" s="61"/>
      <c r="CKM2466" s="54"/>
      <c r="CKN2466" s="54"/>
      <c r="CKO2466" s="60"/>
      <c r="CKP2466" s="60"/>
      <c r="CKQ2466" s="60"/>
      <c r="CKR2466" s="60"/>
      <c r="CKS2466" s="63"/>
      <c r="CKT2466" s="61"/>
      <c r="CKU2466" s="54"/>
      <c r="CKV2466" s="54"/>
      <c r="CKW2466" s="60"/>
      <c r="CKX2466" s="60"/>
      <c r="CKY2466" s="60"/>
      <c r="CKZ2466" s="60"/>
      <c r="CLA2466" s="63"/>
      <c r="CLB2466" s="61"/>
      <c r="CLC2466" s="54"/>
      <c r="CLD2466" s="54"/>
      <c r="CLE2466" s="60"/>
      <c r="CLF2466" s="60"/>
      <c r="CLG2466" s="60"/>
      <c r="CLH2466" s="60"/>
      <c r="CLI2466" s="63"/>
      <c r="CLJ2466" s="61"/>
      <c r="CLK2466" s="54"/>
      <c r="CLL2466" s="54"/>
      <c r="CLM2466" s="60"/>
      <c r="CLN2466" s="60"/>
      <c r="CLO2466" s="60"/>
      <c r="CLP2466" s="60"/>
      <c r="CLQ2466" s="63"/>
      <c r="CLR2466" s="61"/>
      <c r="CLS2466" s="54"/>
      <c r="CLT2466" s="54"/>
      <c r="CLU2466" s="60"/>
      <c r="CLV2466" s="60"/>
      <c r="CLW2466" s="60"/>
      <c r="CLX2466" s="60"/>
      <c r="CLY2466" s="63"/>
      <c r="CLZ2466" s="61"/>
      <c r="CMA2466" s="54"/>
      <c r="CMB2466" s="54"/>
      <c r="CMC2466" s="60"/>
      <c r="CMD2466" s="60"/>
      <c r="CME2466" s="60"/>
      <c r="CMF2466" s="60"/>
      <c r="CMG2466" s="63"/>
      <c r="CMH2466" s="61"/>
      <c r="CMI2466" s="54"/>
      <c r="CMJ2466" s="54"/>
      <c r="CMK2466" s="60"/>
      <c r="CML2466" s="60"/>
      <c r="CMM2466" s="60"/>
      <c r="CMN2466" s="60"/>
      <c r="CMO2466" s="63"/>
      <c r="CMP2466" s="61"/>
      <c r="CMQ2466" s="54"/>
      <c r="CMR2466" s="54"/>
      <c r="CMS2466" s="60"/>
      <c r="CMT2466" s="60"/>
      <c r="CMU2466" s="60"/>
      <c r="CMV2466" s="60"/>
      <c r="CMW2466" s="63"/>
      <c r="CMX2466" s="61"/>
      <c r="CMY2466" s="54"/>
      <c r="CMZ2466" s="54"/>
      <c r="CNA2466" s="60"/>
      <c r="CNB2466" s="60"/>
      <c r="CNC2466" s="60"/>
      <c r="CND2466" s="60"/>
      <c r="CNE2466" s="63"/>
      <c r="CNF2466" s="61"/>
      <c r="CNG2466" s="54"/>
      <c r="CNH2466" s="54"/>
      <c r="CNI2466" s="60"/>
      <c r="CNJ2466" s="60"/>
      <c r="CNK2466" s="60"/>
      <c r="CNL2466" s="60"/>
      <c r="CNM2466" s="63"/>
      <c r="CNN2466" s="61"/>
      <c r="CNO2466" s="54"/>
      <c r="CNP2466" s="54"/>
      <c r="CNQ2466" s="60"/>
      <c r="CNR2466" s="60"/>
      <c r="CNS2466" s="60"/>
      <c r="CNT2466" s="60"/>
      <c r="CNU2466" s="63"/>
      <c r="CNV2466" s="61"/>
      <c r="CNW2466" s="54"/>
      <c r="CNX2466" s="54"/>
      <c r="CNY2466" s="60"/>
      <c r="CNZ2466" s="60"/>
      <c r="COA2466" s="60"/>
      <c r="COB2466" s="60"/>
      <c r="COC2466" s="63"/>
      <c r="COD2466" s="61"/>
      <c r="COE2466" s="54"/>
      <c r="COF2466" s="54"/>
      <c r="COG2466" s="60"/>
      <c r="COH2466" s="60"/>
      <c r="COI2466" s="60"/>
      <c r="COJ2466" s="60"/>
      <c r="COK2466" s="63"/>
      <c r="COL2466" s="61"/>
      <c r="COM2466" s="54"/>
      <c r="CON2466" s="54"/>
      <c r="COO2466" s="60"/>
      <c r="COP2466" s="60"/>
      <c r="COQ2466" s="60"/>
      <c r="COR2466" s="60"/>
      <c r="COS2466" s="63"/>
      <c r="COT2466" s="61"/>
      <c r="COU2466" s="54"/>
      <c r="COV2466" s="54"/>
      <c r="COW2466" s="60"/>
      <c r="COX2466" s="60"/>
      <c r="COY2466" s="60"/>
      <c r="COZ2466" s="60"/>
      <c r="CPA2466" s="63"/>
      <c r="CPB2466" s="61"/>
      <c r="CPC2466" s="54"/>
      <c r="CPD2466" s="54"/>
      <c r="CPE2466" s="60"/>
      <c r="CPF2466" s="60"/>
      <c r="CPG2466" s="60"/>
      <c r="CPH2466" s="60"/>
      <c r="CPI2466" s="63"/>
      <c r="CPJ2466" s="61"/>
      <c r="CPK2466" s="54"/>
      <c r="CPL2466" s="54"/>
      <c r="CPM2466" s="60"/>
      <c r="CPN2466" s="60"/>
      <c r="CPO2466" s="60"/>
      <c r="CPP2466" s="60"/>
      <c r="CPQ2466" s="63"/>
      <c r="CPR2466" s="61"/>
      <c r="CPS2466" s="54"/>
      <c r="CPT2466" s="54"/>
      <c r="CPU2466" s="60"/>
      <c r="CPV2466" s="60"/>
      <c r="CPW2466" s="60"/>
      <c r="CPX2466" s="60"/>
      <c r="CPY2466" s="63"/>
      <c r="CPZ2466" s="61"/>
      <c r="CQA2466" s="54"/>
      <c r="CQB2466" s="54"/>
      <c r="CQC2466" s="60"/>
      <c r="CQD2466" s="60"/>
      <c r="CQE2466" s="60"/>
      <c r="CQF2466" s="60"/>
      <c r="CQG2466" s="63"/>
      <c r="CQH2466" s="61"/>
      <c r="CQI2466" s="54"/>
      <c r="CQJ2466" s="54"/>
      <c r="CQK2466" s="60"/>
      <c r="CQL2466" s="60"/>
      <c r="CQM2466" s="60"/>
      <c r="CQN2466" s="60"/>
      <c r="CQO2466" s="63"/>
      <c r="CQP2466" s="61"/>
      <c r="CQQ2466" s="54"/>
      <c r="CQR2466" s="54"/>
      <c r="CQS2466" s="60"/>
      <c r="CQT2466" s="60"/>
      <c r="CQU2466" s="60"/>
      <c r="CQV2466" s="60"/>
      <c r="CQW2466" s="63"/>
      <c r="CQX2466" s="61"/>
      <c r="CQY2466" s="54"/>
      <c r="CQZ2466" s="54"/>
      <c r="CRA2466" s="60"/>
      <c r="CRB2466" s="60"/>
      <c r="CRC2466" s="60"/>
      <c r="CRD2466" s="60"/>
      <c r="CRE2466" s="63"/>
      <c r="CRF2466" s="61"/>
      <c r="CRG2466" s="54"/>
      <c r="CRH2466" s="54"/>
      <c r="CRI2466" s="60"/>
      <c r="CRJ2466" s="60"/>
      <c r="CRK2466" s="60"/>
      <c r="CRL2466" s="60"/>
      <c r="CRM2466" s="63"/>
      <c r="CRN2466" s="61"/>
      <c r="CRO2466" s="54"/>
      <c r="CRP2466" s="54"/>
      <c r="CRQ2466" s="60"/>
      <c r="CRR2466" s="60"/>
      <c r="CRS2466" s="60"/>
      <c r="CRT2466" s="60"/>
      <c r="CRU2466" s="63"/>
      <c r="CRV2466" s="61"/>
      <c r="CRW2466" s="54"/>
      <c r="CRX2466" s="54"/>
      <c r="CRY2466" s="60"/>
      <c r="CRZ2466" s="60"/>
      <c r="CSA2466" s="60"/>
      <c r="CSB2466" s="60"/>
      <c r="CSC2466" s="63"/>
      <c r="CSD2466" s="61"/>
      <c r="CSE2466" s="54"/>
      <c r="CSF2466" s="54"/>
      <c r="CSG2466" s="60"/>
      <c r="CSH2466" s="60"/>
      <c r="CSI2466" s="60"/>
      <c r="CSJ2466" s="60"/>
      <c r="CSK2466" s="63"/>
      <c r="CSL2466" s="61"/>
      <c r="CSM2466" s="54"/>
      <c r="CSN2466" s="54"/>
      <c r="CSO2466" s="60"/>
      <c r="CSP2466" s="60"/>
      <c r="CSQ2466" s="60"/>
      <c r="CSR2466" s="60"/>
      <c r="CSS2466" s="63"/>
      <c r="CST2466" s="61"/>
      <c r="CSU2466" s="54"/>
      <c r="CSV2466" s="54"/>
      <c r="CSW2466" s="60"/>
      <c r="CSX2466" s="60"/>
      <c r="CSY2466" s="60"/>
      <c r="CSZ2466" s="60"/>
      <c r="CTA2466" s="63"/>
      <c r="CTB2466" s="61"/>
      <c r="CTC2466" s="54"/>
      <c r="CTD2466" s="54"/>
      <c r="CTE2466" s="60"/>
      <c r="CTF2466" s="60"/>
      <c r="CTG2466" s="60"/>
      <c r="CTH2466" s="60"/>
      <c r="CTI2466" s="63"/>
      <c r="CTJ2466" s="61"/>
      <c r="CTK2466" s="54"/>
      <c r="CTL2466" s="54"/>
      <c r="CTM2466" s="60"/>
      <c r="CTN2466" s="60"/>
      <c r="CTO2466" s="60"/>
      <c r="CTP2466" s="60"/>
      <c r="CTQ2466" s="63"/>
      <c r="CTR2466" s="61"/>
      <c r="CTS2466" s="54"/>
      <c r="CTT2466" s="54"/>
      <c r="CTU2466" s="60"/>
      <c r="CTV2466" s="60"/>
      <c r="CTW2466" s="60"/>
      <c r="CTX2466" s="60"/>
      <c r="CTY2466" s="63"/>
      <c r="CTZ2466" s="61"/>
      <c r="CUA2466" s="54"/>
      <c r="CUB2466" s="54"/>
      <c r="CUC2466" s="60"/>
      <c r="CUD2466" s="60"/>
      <c r="CUE2466" s="60"/>
      <c r="CUF2466" s="60"/>
      <c r="CUG2466" s="63"/>
      <c r="CUH2466" s="61"/>
      <c r="CUI2466" s="54"/>
      <c r="CUJ2466" s="54"/>
      <c r="CUK2466" s="60"/>
      <c r="CUL2466" s="60"/>
      <c r="CUM2466" s="60"/>
      <c r="CUN2466" s="60"/>
      <c r="CUO2466" s="63"/>
      <c r="CUP2466" s="61"/>
      <c r="CUQ2466" s="54"/>
      <c r="CUR2466" s="54"/>
      <c r="CUS2466" s="60"/>
      <c r="CUT2466" s="60"/>
      <c r="CUU2466" s="60"/>
      <c r="CUV2466" s="60"/>
      <c r="CUW2466" s="63"/>
      <c r="CUX2466" s="61"/>
      <c r="CUY2466" s="54"/>
      <c r="CUZ2466" s="54"/>
      <c r="CVA2466" s="60"/>
      <c r="CVB2466" s="60"/>
      <c r="CVC2466" s="60"/>
      <c r="CVD2466" s="60"/>
      <c r="CVE2466" s="63"/>
      <c r="CVF2466" s="61"/>
      <c r="CVG2466" s="54"/>
      <c r="CVH2466" s="54"/>
      <c r="CVI2466" s="60"/>
      <c r="CVJ2466" s="60"/>
      <c r="CVK2466" s="60"/>
      <c r="CVL2466" s="60"/>
      <c r="CVM2466" s="63"/>
      <c r="CVN2466" s="61"/>
      <c r="CVO2466" s="54"/>
      <c r="CVP2466" s="54"/>
      <c r="CVQ2466" s="60"/>
      <c r="CVR2466" s="60"/>
      <c r="CVS2466" s="60"/>
      <c r="CVT2466" s="60"/>
      <c r="CVU2466" s="63"/>
      <c r="CVV2466" s="61"/>
      <c r="CVW2466" s="54"/>
      <c r="CVX2466" s="54"/>
      <c r="CVY2466" s="60"/>
      <c r="CVZ2466" s="60"/>
      <c r="CWA2466" s="60"/>
      <c r="CWB2466" s="60"/>
      <c r="CWC2466" s="63"/>
      <c r="CWD2466" s="61"/>
      <c r="CWE2466" s="54"/>
      <c r="CWF2466" s="54"/>
      <c r="CWG2466" s="60"/>
      <c r="CWH2466" s="60"/>
      <c r="CWI2466" s="60"/>
      <c r="CWJ2466" s="60"/>
      <c r="CWK2466" s="63"/>
      <c r="CWL2466" s="61"/>
      <c r="CWM2466" s="54"/>
      <c r="CWN2466" s="54"/>
      <c r="CWO2466" s="60"/>
      <c r="CWP2466" s="60"/>
      <c r="CWQ2466" s="60"/>
      <c r="CWR2466" s="60"/>
      <c r="CWS2466" s="63"/>
      <c r="CWT2466" s="61"/>
      <c r="CWU2466" s="54"/>
      <c r="CWV2466" s="54"/>
      <c r="CWW2466" s="60"/>
      <c r="CWX2466" s="60"/>
      <c r="CWY2466" s="60"/>
      <c r="CWZ2466" s="60"/>
      <c r="CXA2466" s="63"/>
      <c r="CXB2466" s="61"/>
      <c r="CXC2466" s="54"/>
      <c r="CXD2466" s="54"/>
      <c r="CXE2466" s="60"/>
      <c r="CXF2466" s="60"/>
      <c r="CXG2466" s="60"/>
      <c r="CXH2466" s="60"/>
      <c r="CXI2466" s="63"/>
      <c r="CXJ2466" s="61"/>
      <c r="CXK2466" s="54"/>
      <c r="CXL2466" s="54"/>
      <c r="CXM2466" s="60"/>
      <c r="CXN2466" s="60"/>
      <c r="CXO2466" s="60"/>
      <c r="CXP2466" s="60"/>
      <c r="CXQ2466" s="63"/>
      <c r="CXR2466" s="61"/>
      <c r="CXS2466" s="54"/>
      <c r="CXT2466" s="54"/>
      <c r="CXU2466" s="60"/>
      <c r="CXV2466" s="60"/>
      <c r="CXW2466" s="60"/>
      <c r="CXX2466" s="60"/>
      <c r="CXY2466" s="63"/>
      <c r="CXZ2466" s="61"/>
      <c r="CYA2466" s="54"/>
      <c r="CYB2466" s="54"/>
      <c r="CYC2466" s="60"/>
      <c r="CYD2466" s="60"/>
      <c r="CYE2466" s="60"/>
      <c r="CYF2466" s="60"/>
      <c r="CYG2466" s="63"/>
      <c r="CYH2466" s="61"/>
      <c r="CYI2466" s="54"/>
      <c r="CYJ2466" s="54"/>
      <c r="CYK2466" s="60"/>
      <c r="CYL2466" s="60"/>
      <c r="CYM2466" s="60"/>
      <c r="CYN2466" s="60"/>
      <c r="CYO2466" s="63"/>
      <c r="CYP2466" s="61"/>
      <c r="CYQ2466" s="54"/>
      <c r="CYR2466" s="54"/>
      <c r="CYS2466" s="60"/>
      <c r="CYT2466" s="60"/>
      <c r="CYU2466" s="60"/>
      <c r="CYV2466" s="60"/>
      <c r="CYW2466" s="63"/>
      <c r="CYX2466" s="61"/>
      <c r="CYY2466" s="54"/>
      <c r="CYZ2466" s="54"/>
      <c r="CZA2466" s="60"/>
      <c r="CZB2466" s="60"/>
      <c r="CZC2466" s="60"/>
      <c r="CZD2466" s="60"/>
      <c r="CZE2466" s="63"/>
      <c r="CZF2466" s="61"/>
      <c r="CZG2466" s="54"/>
      <c r="CZH2466" s="54"/>
      <c r="CZI2466" s="60"/>
      <c r="CZJ2466" s="60"/>
      <c r="CZK2466" s="60"/>
      <c r="CZL2466" s="60"/>
      <c r="CZM2466" s="63"/>
      <c r="CZN2466" s="61"/>
      <c r="CZO2466" s="54"/>
      <c r="CZP2466" s="54"/>
      <c r="CZQ2466" s="60"/>
      <c r="CZR2466" s="60"/>
      <c r="CZS2466" s="60"/>
      <c r="CZT2466" s="60"/>
      <c r="CZU2466" s="63"/>
      <c r="CZV2466" s="61"/>
      <c r="CZW2466" s="54"/>
      <c r="CZX2466" s="54"/>
      <c r="CZY2466" s="60"/>
      <c r="CZZ2466" s="60"/>
      <c r="DAA2466" s="60"/>
      <c r="DAB2466" s="60"/>
      <c r="DAC2466" s="63"/>
      <c r="DAD2466" s="61"/>
      <c r="DAE2466" s="54"/>
      <c r="DAF2466" s="54"/>
      <c r="DAG2466" s="60"/>
      <c r="DAH2466" s="60"/>
      <c r="DAI2466" s="60"/>
      <c r="DAJ2466" s="60"/>
      <c r="DAK2466" s="63"/>
      <c r="DAL2466" s="61"/>
      <c r="DAM2466" s="54"/>
      <c r="DAN2466" s="54"/>
      <c r="DAO2466" s="60"/>
      <c r="DAP2466" s="60"/>
      <c r="DAQ2466" s="60"/>
      <c r="DAR2466" s="60"/>
      <c r="DAS2466" s="63"/>
      <c r="DAT2466" s="61"/>
      <c r="DAU2466" s="54"/>
      <c r="DAV2466" s="54"/>
      <c r="DAW2466" s="60"/>
      <c r="DAX2466" s="60"/>
      <c r="DAY2466" s="60"/>
      <c r="DAZ2466" s="60"/>
      <c r="DBA2466" s="63"/>
      <c r="DBB2466" s="61"/>
      <c r="DBC2466" s="54"/>
      <c r="DBD2466" s="54"/>
      <c r="DBE2466" s="60"/>
      <c r="DBF2466" s="60"/>
      <c r="DBG2466" s="60"/>
      <c r="DBH2466" s="60"/>
      <c r="DBI2466" s="63"/>
      <c r="DBJ2466" s="61"/>
      <c r="DBK2466" s="54"/>
      <c r="DBL2466" s="54"/>
      <c r="DBM2466" s="60"/>
      <c r="DBN2466" s="60"/>
      <c r="DBO2466" s="60"/>
      <c r="DBP2466" s="60"/>
      <c r="DBQ2466" s="63"/>
      <c r="DBR2466" s="61"/>
      <c r="DBS2466" s="54"/>
      <c r="DBT2466" s="54"/>
      <c r="DBU2466" s="60"/>
      <c r="DBV2466" s="60"/>
      <c r="DBW2466" s="60"/>
      <c r="DBX2466" s="60"/>
      <c r="DBY2466" s="63"/>
      <c r="DBZ2466" s="61"/>
      <c r="DCA2466" s="54"/>
      <c r="DCB2466" s="54"/>
      <c r="DCC2466" s="60"/>
      <c r="DCD2466" s="60"/>
      <c r="DCE2466" s="60"/>
      <c r="DCF2466" s="60"/>
      <c r="DCG2466" s="63"/>
      <c r="DCH2466" s="61"/>
      <c r="DCI2466" s="54"/>
      <c r="DCJ2466" s="54"/>
      <c r="DCK2466" s="60"/>
      <c r="DCL2466" s="60"/>
      <c r="DCM2466" s="60"/>
      <c r="DCN2466" s="60"/>
      <c r="DCO2466" s="63"/>
      <c r="DCP2466" s="61"/>
      <c r="DCQ2466" s="54"/>
      <c r="DCR2466" s="54"/>
      <c r="DCS2466" s="60"/>
      <c r="DCT2466" s="60"/>
      <c r="DCU2466" s="60"/>
      <c r="DCV2466" s="60"/>
      <c r="DCW2466" s="63"/>
      <c r="DCX2466" s="61"/>
      <c r="DCY2466" s="54"/>
      <c r="DCZ2466" s="54"/>
      <c r="DDA2466" s="60"/>
      <c r="DDB2466" s="60"/>
      <c r="DDC2466" s="60"/>
      <c r="DDD2466" s="60"/>
      <c r="DDE2466" s="63"/>
      <c r="DDF2466" s="61"/>
      <c r="DDG2466" s="54"/>
      <c r="DDH2466" s="54"/>
      <c r="DDI2466" s="60"/>
      <c r="DDJ2466" s="60"/>
      <c r="DDK2466" s="60"/>
      <c r="DDL2466" s="60"/>
      <c r="DDM2466" s="63"/>
      <c r="DDN2466" s="61"/>
      <c r="DDO2466" s="54"/>
      <c r="DDP2466" s="54"/>
      <c r="DDQ2466" s="60"/>
      <c r="DDR2466" s="60"/>
      <c r="DDS2466" s="60"/>
      <c r="DDT2466" s="60"/>
      <c r="DDU2466" s="63"/>
      <c r="DDV2466" s="61"/>
      <c r="DDW2466" s="54"/>
      <c r="DDX2466" s="54"/>
      <c r="DDY2466" s="60"/>
      <c r="DDZ2466" s="60"/>
      <c r="DEA2466" s="60"/>
      <c r="DEB2466" s="60"/>
      <c r="DEC2466" s="63"/>
      <c r="DED2466" s="61"/>
      <c r="DEE2466" s="54"/>
      <c r="DEF2466" s="54"/>
      <c r="DEG2466" s="60"/>
      <c r="DEH2466" s="60"/>
      <c r="DEI2466" s="60"/>
      <c r="DEJ2466" s="60"/>
      <c r="DEK2466" s="63"/>
      <c r="DEL2466" s="61"/>
      <c r="DEM2466" s="54"/>
      <c r="DEN2466" s="54"/>
      <c r="DEO2466" s="60"/>
      <c r="DEP2466" s="60"/>
      <c r="DEQ2466" s="60"/>
      <c r="DER2466" s="60"/>
      <c r="DES2466" s="63"/>
      <c r="DET2466" s="61"/>
      <c r="DEU2466" s="54"/>
      <c r="DEV2466" s="54"/>
      <c r="DEW2466" s="60"/>
      <c r="DEX2466" s="60"/>
      <c r="DEY2466" s="60"/>
      <c r="DEZ2466" s="60"/>
      <c r="DFA2466" s="63"/>
      <c r="DFB2466" s="61"/>
      <c r="DFC2466" s="54"/>
      <c r="DFD2466" s="54"/>
      <c r="DFE2466" s="60"/>
      <c r="DFF2466" s="60"/>
      <c r="DFG2466" s="60"/>
      <c r="DFH2466" s="60"/>
      <c r="DFI2466" s="63"/>
      <c r="DFJ2466" s="61"/>
      <c r="DFK2466" s="54"/>
      <c r="DFL2466" s="54"/>
      <c r="DFM2466" s="60"/>
      <c r="DFN2466" s="60"/>
      <c r="DFO2466" s="60"/>
      <c r="DFP2466" s="60"/>
      <c r="DFQ2466" s="63"/>
      <c r="DFR2466" s="61"/>
      <c r="DFS2466" s="54"/>
      <c r="DFT2466" s="54"/>
      <c r="DFU2466" s="60"/>
      <c r="DFV2466" s="60"/>
      <c r="DFW2466" s="60"/>
      <c r="DFX2466" s="60"/>
      <c r="DFY2466" s="63"/>
      <c r="DFZ2466" s="61"/>
      <c r="DGA2466" s="54"/>
      <c r="DGB2466" s="54"/>
      <c r="DGC2466" s="60"/>
      <c r="DGD2466" s="60"/>
      <c r="DGE2466" s="60"/>
      <c r="DGF2466" s="60"/>
      <c r="DGG2466" s="63"/>
      <c r="DGH2466" s="61"/>
      <c r="DGI2466" s="54"/>
      <c r="DGJ2466" s="54"/>
      <c r="DGK2466" s="60"/>
      <c r="DGL2466" s="60"/>
      <c r="DGM2466" s="60"/>
      <c r="DGN2466" s="60"/>
      <c r="DGO2466" s="63"/>
      <c r="DGP2466" s="61"/>
      <c r="DGQ2466" s="54"/>
      <c r="DGR2466" s="54"/>
      <c r="DGS2466" s="60"/>
      <c r="DGT2466" s="60"/>
      <c r="DGU2466" s="60"/>
      <c r="DGV2466" s="60"/>
      <c r="DGW2466" s="63"/>
      <c r="DGX2466" s="61"/>
      <c r="DGY2466" s="54"/>
      <c r="DGZ2466" s="54"/>
      <c r="DHA2466" s="60"/>
      <c r="DHB2466" s="60"/>
      <c r="DHC2466" s="60"/>
      <c r="DHD2466" s="60"/>
      <c r="DHE2466" s="63"/>
      <c r="DHF2466" s="61"/>
      <c r="DHG2466" s="54"/>
      <c r="DHH2466" s="54"/>
      <c r="DHI2466" s="60"/>
      <c r="DHJ2466" s="60"/>
      <c r="DHK2466" s="60"/>
      <c r="DHL2466" s="60"/>
      <c r="DHM2466" s="63"/>
      <c r="DHN2466" s="61"/>
      <c r="DHO2466" s="54"/>
      <c r="DHP2466" s="54"/>
      <c r="DHQ2466" s="60"/>
      <c r="DHR2466" s="60"/>
      <c r="DHS2466" s="60"/>
      <c r="DHT2466" s="60"/>
      <c r="DHU2466" s="63"/>
      <c r="DHV2466" s="61"/>
      <c r="DHW2466" s="54"/>
      <c r="DHX2466" s="54"/>
      <c r="DHY2466" s="60"/>
      <c r="DHZ2466" s="60"/>
      <c r="DIA2466" s="60"/>
      <c r="DIB2466" s="60"/>
      <c r="DIC2466" s="63"/>
      <c r="DID2466" s="61"/>
      <c r="DIE2466" s="54"/>
      <c r="DIF2466" s="54"/>
      <c r="DIG2466" s="60"/>
      <c r="DIH2466" s="60"/>
      <c r="DII2466" s="60"/>
      <c r="DIJ2466" s="60"/>
      <c r="DIK2466" s="63"/>
      <c r="DIL2466" s="61"/>
      <c r="DIM2466" s="54"/>
      <c r="DIN2466" s="54"/>
      <c r="DIO2466" s="60"/>
      <c r="DIP2466" s="60"/>
      <c r="DIQ2466" s="60"/>
      <c r="DIR2466" s="60"/>
      <c r="DIS2466" s="63"/>
      <c r="DIT2466" s="61"/>
      <c r="DIU2466" s="54"/>
      <c r="DIV2466" s="54"/>
      <c r="DIW2466" s="60"/>
      <c r="DIX2466" s="60"/>
      <c r="DIY2466" s="60"/>
      <c r="DIZ2466" s="60"/>
      <c r="DJA2466" s="63"/>
      <c r="DJB2466" s="61"/>
      <c r="DJC2466" s="54"/>
      <c r="DJD2466" s="54"/>
      <c r="DJE2466" s="60"/>
      <c r="DJF2466" s="60"/>
      <c r="DJG2466" s="60"/>
      <c r="DJH2466" s="60"/>
      <c r="DJI2466" s="63"/>
      <c r="DJJ2466" s="61"/>
      <c r="DJK2466" s="54"/>
      <c r="DJL2466" s="54"/>
      <c r="DJM2466" s="60"/>
      <c r="DJN2466" s="60"/>
      <c r="DJO2466" s="60"/>
      <c r="DJP2466" s="60"/>
      <c r="DJQ2466" s="63"/>
      <c r="DJR2466" s="61"/>
      <c r="DJS2466" s="54"/>
      <c r="DJT2466" s="54"/>
      <c r="DJU2466" s="60"/>
      <c r="DJV2466" s="60"/>
      <c r="DJW2466" s="60"/>
      <c r="DJX2466" s="60"/>
      <c r="DJY2466" s="63"/>
      <c r="DJZ2466" s="61"/>
      <c r="DKA2466" s="54"/>
      <c r="DKB2466" s="54"/>
      <c r="DKC2466" s="60"/>
      <c r="DKD2466" s="60"/>
      <c r="DKE2466" s="60"/>
      <c r="DKF2466" s="60"/>
      <c r="DKG2466" s="63"/>
      <c r="DKH2466" s="61"/>
      <c r="DKI2466" s="54"/>
      <c r="DKJ2466" s="54"/>
      <c r="DKK2466" s="60"/>
      <c r="DKL2466" s="60"/>
      <c r="DKM2466" s="60"/>
      <c r="DKN2466" s="60"/>
      <c r="DKO2466" s="63"/>
      <c r="DKP2466" s="61"/>
      <c r="DKQ2466" s="54"/>
      <c r="DKR2466" s="54"/>
      <c r="DKS2466" s="60"/>
      <c r="DKT2466" s="60"/>
      <c r="DKU2466" s="60"/>
      <c r="DKV2466" s="60"/>
      <c r="DKW2466" s="63"/>
      <c r="DKX2466" s="61"/>
      <c r="DKY2466" s="54"/>
      <c r="DKZ2466" s="54"/>
      <c r="DLA2466" s="60"/>
      <c r="DLB2466" s="60"/>
      <c r="DLC2466" s="60"/>
      <c r="DLD2466" s="60"/>
      <c r="DLE2466" s="63"/>
      <c r="DLF2466" s="61"/>
      <c r="DLG2466" s="54"/>
      <c r="DLH2466" s="54"/>
      <c r="DLI2466" s="60"/>
      <c r="DLJ2466" s="60"/>
      <c r="DLK2466" s="60"/>
      <c r="DLL2466" s="60"/>
      <c r="DLM2466" s="63"/>
      <c r="DLN2466" s="61"/>
      <c r="DLO2466" s="54"/>
      <c r="DLP2466" s="54"/>
      <c r="DLQ2466" s="60"/>
      <c r="DLR2466" s="60"/>
      <c r="DLS2466" s="60"/>
      <c r="DLT2466" s="60"/>
      <c r="DLU2466" s="63"/>
      <c r="DLV2466" s="61"/>
      <c r="DLW2466" s="54"/>
      <c r="DLX2466" s="54"/>
      <c r="DLY2466" s="60"/>
      <c r="DLZ2466" s="60"/>
      <c r="DMA2466" s="60"/>
      <c r="DMB2466" s="60"/>
      <c r="DMC2466" s="63"/>
      <c r="DMD2466" s="61"/>
      <c r="DME2466" s="54"/>
      <c r="DMF2466" s="54"/>
      <c r="DMG2466" s="60"/>
      <c r="DMH2466" s="60"/>
      <c r="DMI2466" s="60"/>
      <c r="DMJ2466" s="60"/>
      <c r="DMK2466" s="63"/>
      <c r="DML2466" s="61"/>
      <c r="DMM2466" s="54"/>
      <c r="DMN2466" s="54"/>
      <c r="DMO2466" s="60"/>
      <c r="DMP2466" s="60"/>
      <c r="DMQ2466" s="60"/>
      <c r="DMR2466" s="60"/>
      <c r="DMS2466" s="63"/>
      <c r="DMT2466" s="61"/>
      <c r="DMU2466" s="54"/>
      <c r="DMV2466" s="54"/>
      <c r="DMW2466" s="60"/>
      <c r="DMX2466" s="60"/>
      <c r="DMY2466" s="60"/>
      <c r="DMZ2466" s="60"/>
      <c r="DNA2466" s="63"/>
      <c r="DNB2466" s="61"/>
      <c r="DNC2466" s="54"/>
      <c r="DND2466" s="54"/>
      <c r="DNE2466" s="60"/>
      <c r="DNF2466" s="60"/>
      <c r="DNG2466" s="60"/>
      <c r="DNH2466" s="60"/>
      <c r="DNI2466" s="63"/>
      <c r="DNJ2466" s="61"/>
      <c r="DNK2466" s="54"/>
      <c r="DNL2466" s="54"/>
      <c r="DNM2466" s="60"/>
      <c r="DNN2466" s="60"/>
      <c r="DNO2466" s="60"/>
      <c r="DNP2466" s="60"/>
      <c r="DNQ2466" s="63"/>
      <c r="DNR2466" s="61"/>
      <c r="DNS2466" s="54"/>
      <c r="DNT2466" s="54"/>
      <c r="DNU2466" s="60"/>
      <c r="DNV2466" s="60"/>
      <c r="DNW2466" s="60"/>
      <c r="DNX2466" s="60"/>
      <c r="DNY2466" s="63"/>
      <c r="DNZ2466" s="61"/>
      <c r="DOA2466" s="54"/>
      <c r="DOB2466" s="54"/>
      <c r="DOC2466" s="60"/>
      <c r="DOD2466" s="60"/>
      <c r="DOE2466" s="60"/>
      <c r="DOF2466" s="60"/>
      <c r="DOG2466" s="63"/>
      <c r="DOH2466" s="61"/>
      <c r="DOI2466" s="54"/>
      <c r="DOJ2466" s="54"/>
      <c r="DOK2466" s="60"/>
      <c r="DOL2466" s="60"/>
      <c r="DOM2466" s="60"/>
      <c r="DON2466" s="60"/>
      <c r="DOO2466" s="63"/>
      <c r="DOP2466" s="61"/>
      <c r="DOQ2466" s="54"/>
      <c r="DOR2466" s="54"/>
      <c r="DOS2466" s="60"/>
      <c r="DOT2466" s="60"/>
      <c r="DOU2466" s="60"/>
      <c r="DOV2466" s="60"/>
      <c r="DOW2466" s="63"/>
      <c r="DOX2466" s="61"/>
      <c r="DOY2466" s="54"/>
      <c r="DOZ2466" s="54"/>
      <c r="DPA2466" s="60"/>
      <c r="DPB2466" s="60"/>
      <c r="DPC2466" s="60"/>
      <c r="DPD2466" s="60"/>
      <c r="DPE2466" s="63"/>
      <c r="DPF2466" s="61"/>
      <c r="DPG2466" s="54"/>
      <c r="DPH2466" s="54"/>
      <c r="DPI2466" s="60"/>
      <c r="DPJ2466" s="60"/>
      <c r="DPK2466" s="60"/>
      <c r="DPL2466" s="60"/>
      <c r="DPM2466" s="63"/>
      <c r="DPN2466" s="61"/>
      <c r="DPO2466" s="54"/>
      <c r="DPP2466" s="54"/>
      <c r="DPQ2466" s="60"/>
      <c r="DPR2466" s="60"/>
      <c r="DPS2466" s="60"/>
      <c r="DPT2466" s="60"/>
      <c r="DPU2466" s="63"/>
      <c r="DPV2466" s="61"/>
      <c r="DPW2466" s="54"/>
      <c r="DPX2466" s="54"/>
      <c r="DPY2466" s="60"/>
      <c r="DPZ2466" s="60"/>
      <c r="DQA2466" s="60"/>
      <c r="DQB2466" s="60"/>
      <c r="DQC2466" s="63"/>
      <c r="DQD2466" s="61"/>
      <c r="DQE2466" s="54"/>
      <c r="DQF2466" s="54"/>
      <c r="DQG2466" s="60"/>
      <c r="DQH2466" s="60"/>
      <c r="DQI2466" s="60"/>
      <c r="DQJ2466" s="60"/>
      <c r="DQK2466" s="63"/>
      <c r="DQL2466" s="61"/>
      <c r="DQM2466" s="54"/>
      <c r="DQN2466" s="54"/>
      <c r="DQO2466" s="60"/>
      <c r="DQP2466" s="60"/>
      <c r="DQQ2466" s="60"/>
      <c r="DQR2466" s="60"/>
      <c r="DQS2466" s="63"/>
      <c r="DQT2466" s="61"/>
      <c r="DQU2466" s="54"/>
      <c r="DQV2466" s="54"/>
      <c r="DQW2466" s="60"/>
      <c r="DQX2466" s="60"/>
      <c r="DQY2466" s="60"/>
      <c r="DQZ2466" s="60"/>
      <c r="DRA2466" s="63"/>
      <c r="DRB2466" s="61"/>
      <c r="DRC2466" s="54"/>
      <c r="DRD2466" s="54"/>
      <c r="DRE2466" s="60"/>
      <c r="DRF2466" s="60"/>
      <c r="DRG2466" s="60"/>
      <c r="DRH2466" s="60"/>
      <c r="DRI2466" s="63"/>
      <c r="DRJ2466" s="61"/>
      <c r="DRK2466" s="54"/>
      <c r="DRL2466" s="54"/>
      <c r="DRM2466" s="60"/>
      <c r="DRN2466" s="60"/>
      <c r="DRO2466" s="60"/>
      <c r="DRP2466" s="60"/>
      <c r="DRQ2466" s="63"/>
      <c r="DRR2466" s="61"/>
      <c r="DRS2466" s="54"/>
      <c r="DRT2466" s="54"/>
      <c r="DRU2466" s="60"/>
      <c r="DRV2466" s="60"/>
      <c r="DRW2466" s="60"/>
      <c r="DRX2466" s="60"/>
      <c r="DRY2466" s="63"/>
      <c r="DRZ2466" s="61"/>
      <c r="DSA2466" s="54"/>
      <c r="DSB2466" s="54"/>
      <c r="DSC2466" s="60"/>
      <c r="DSD2466" s="60"/>
      <c r="DSE2466" s="60"/>
      <c r="DSF2466" s="60"/>
      <c r="DSG2466" s="63"/>
      <c r="DSH2466" s="61"/>
      <c r="DSI2466" s="54"/>
      <c r="DSJ2466" s="54"/>
      <c r="DSK2466" s="60"/>
      <c r="DSL2466" s="60"/>
      <c r="DSM2466" s="60"/>
      <c r="DSN2466" s="60"/>
      <c r="DSO2466" s="63"/>
      <c r="DSP2466" s="61"/>
      <c r="DSQ2466" s="54"/>
      <c r="DSR2466" s="54"/>
      <c r="DSS2466" s="60"/>
      <c r="DST2466" s="60"/>
      <c r="DSU2466" s="60"/>
      <c r="DSV2466" s="60"/>
      <c r="DSW2466" s="63"/>
      <c r="DSX2466" s="61"/>
      <c r="DSY2466" s="54"/>
      <c r="DSZ2466" s="54"/>
      <c r="DTA2466" s="60"/>
      <c r="DTB2466" s="60"/>
      <c r="DTC2466" s="60"/>
      <c r="DTD2466" s="60"/>
      <c r="DTE2466" s="63"/>
      <c r="DTF2466" s="61"/>
      <c r="DTG2466" s="54"/>
      <c r="DTH2466" s="54"/>
      <c r="DTI2466" s="60"/>
      <c r="DTJ2466" s="60"/>
      <c r="DTK2466" s="60"/>
      <c r="DTL2466" s="60"/>
      <c r="DTM2466" s="63"/>
      <c r="DTN2466" s="61"/>
      <c r="DTO2466" s="54"/>
      <c r="DTP2466" s="54"/>
      <c r="DTQ2466" s="60"/>
      <c r="DTR2466" s="60"/>
      <c r="DTS2466" s="60"/>
      <c r="DTT2466" s="60"/>
      <c r="DTU2466" s="63"/>
      <c r="DTV2466" s="61"/>
      <c r="DTW2466" s="54"/>
      <c r="DTX2466" s="54"/>
      <c r="DTY2466" s="60"/>
      <c r="DTZ2466" s="60"/>
      <c r="DUA2466" s="60"/>
      <c r="DUB2466" s="60"/>
      <c r="DUC2466" s="63"/>
      <c r="DUD2466" s="61"/>
      <c r="DUE2466" s="54"/>
      <c r="DUF2466" s="54"/>
      <c r="DUG2466" s="60"/>
      <c r="DUH2466" s="60"/>
      <c r="DUI2466" s="60"/>
      <c r="DUJ2466" s="60"/>
      <c r="DUK2466" s="63"/>
      <c r="DUL2466" s="61"/>
      <c r="DUM2466" s="54"/>
      <c r="DUN2466" s="54"/>
      <c r="DUO2466" s="60"/>
      <c r="DUP2466" s="60"/>
      <c r="DUQ2466" s="60"/>
      <c r="DUR2466" s="60"/>
      <c r="DUS2466" s="63"/>
      <c r="DUT2466" s="61"/>
      <c r="DUU2466" s="54"/>
      <c r="DUV2466" s="54"/>
      <c r="DUW2466" s="60"/>
      <c r="DUX2466" s="60"/>
      <c r="DUY2466" s="60"/>
      <c r="DUZ2466" s="60"/>
      <c r="DVA2466" s="63"/>
      <c r="DVB2466" s="61"/>
      <c r="DVC2466" s="54"/>
      <c r="DVD2466" s="54"/>
      <c r="DVE2466" s="60"/>
      <c r="DVF2466" s="60"/>
      <c r="DVG2466" s="60"/>
      <c r="DVH2466" s="60"/>
      <c r="DVI2466" s="63"/>
      <c r="DVJ2466" s="61"/>
      <c r="DVK2466" s="54"/>
      <c r="DVL2466" s="54"/>
      <c r="DVM2466" s="60"/>
      <c r="DVN2466" s="60"/>
      <c r="DVO2466" s="60"/>
      <c r="DVP2466" s="60"/>
      <c r="DVQ2466" s="63"/>
      <c r="DVR2466" s="61"/>
      <c r="DVS2466" s="54"/>
      <c r="DVT2466" s="54"/>
      <c r="DVU2466" s="60"/>
      <c r="DVV2466" s="60"/>
      <c r="DVW2466" s="60"/>
      <c r="DVX2466" s="60"/>
      <c r="DVY2466" s="63"/>
      <c r="DVZ2466" s="61"/>
      <c r="DWA2466" s="54"/>
      <c r="DWB2466" s="54"/>
      <c r="DWC2466" s="60"/>
      <c r="DWD2466" s="60"/>
      <c r="DWE2466" s="60"/>
      <c r="DWF2466" s="60"/>
      <c r="DWG2466" s="63"/>
      <c r="DWH2466" s="61"/>
      <c r="DWI2466" s="54"/>
      <c r="DWJ2466" s="54"/>
      <c r="DWK2466" s="60"/>
      <c r="DWL2466" s="60"/>
      <c r="DWM2466" s="60"/>
      <c r="DWN2466" s="60"/>
      <c r="DWO2466" s="63"/>
      <c r="DWP2466" s="61"/>
      <c r="DWQ2466" s="54"/>
      <c r="DWR2466" s="54"/>
      <c r="DWS2466" s="60"/>
      <c r="DWT2466" s="60"/>
      <c r="DWU2466" s="60"/>
      <c r="DWV2466" s="60"/>
      <c r="DWW2466" s="63"/>
      <c r="DWX2466" s="61"/>
      <c r="DWY2466" s="54"/>
      <c r="DWZ2466" s="54"/>
      <c r="DXA2466" s="60"/>
      <c r="DXB2466" s="60"/>
      <c r="DXC2466" s="60"/>
      <c r="DXD2466" s="60"/>
      <c r="DXE2466" s="63"/>
      <c r="DXF2466" s="61"/>
      <c r="DXG2466" s="54"/>
      <c r="DXH2466" s="54"/>
      <c r="DXI2466" s="60"/>
      <c r="DXJ2466" s="60"/>
      <c r="DXK2466" s="60"/>
      <c r="DXL2466" s="60"/>
      <c r="DXM2466" s="63"/>
      <c r="DXN2466" s="61"/>
      <c r="DXO2466" s="54"/>
      <c r="DXP2466" s="54"/>
      <c r="DXQ2466" s="60"/>
      <c r="DXR2466" s="60"/>
      <c r="DXS2466" s="60"/>
      <c r="DXT2466" s="60"/>
      <c r="DXU2466" s="63"/>
      <c r="DXV2466" s="61"/>
      <c r="DXW2466" s="54"/>
      <c r="DXX2466" s="54"/>
      <c r="DXY2466" s="60"/>
      <c r="DXZ2466" s="60"/>
      <c r="DYA2466" s="60"/>
      <c r="DYB2466" s="60"/>
      <c r="DYC2466" s="63"/>
      <c r="DYD2466" s="61"/>
      <c r="DYE2466" s="54"/>
      <c r="DYF2466" s="54"/>
      <c r="DYG2466" s="60"/>
      <c r="DYH2466" s="60"/>
      <c r="DYI2466" s="60"/>
      <c r="DYJ2466" s="60"/>
      <c r="DYK2466" s="63"/>
      <c r="DYL2466" s="61"/>
      <c r="DYM2466" s="54"/>
      <c r="DYN2466" s="54"/>
      <c r="DYO2466" s="60"/>
      <c r="DYP2466" s="60"/>
      <c r="DYQ2466" s="60"/>
      <c r="DYR2466" s="60"/>
      <c r="DYS2466" s="63"/>
      <c r="DYT2466" s="61"/>
      <c r="DYU2466" s="54"/>
      <c r="DYV2466" s="54"/>
      <c r="DYW2466" s="60"/>
      <c r="DYX2466" s="60"/>
      <c r="DYY2466" s="60"/>
      <c r="DYZ2466" s="60"/>
      <c r="DZA2466" s="63"/>
      <c r="DZB2466" s="61"/>
      <c r="DZC2466" s="54"/>
      <c r="DZD2466" s="54"/>
      <c r="DZE2466" s="60"/>
      <c r="DZF2466" s="60"/>
      <c r="DZG2466" s="60"/>
      <c r="DZH2466" s="60"/>
      <c r="DZI2466" s="63"/>
      <c r="DZJ2466" s="61"/>
      <c r="DZK2466" s="54"/>
      <c r="DZL2466" s="54"/>
      <c r="DZM2466" s="60"/>
      <c r="DZN2466" s="60"/>
      <c r="DZO2466" s="60"/>
      <c r="DZP2466" s="60"/>
      <c r="DZQ2466" s="63"/>
      <c r="DZR2466" s="61"/>
      <c r="DZS2466" s="54"/>
      <c r="DZT2466" s="54"/>
      <c r="DZU2466" s="60"/>
      <c r="DZV2466" s="60"/>
      <c r="DZW2466" s="60"/>
      <c r="DZX2466" s="60"/>
      <c r="DZY2466" s="63"/>
      <c r="DZZ2466" s="61"/>
      <c r="EAA2466" s="54"/>
      <c r="EAB2466" s="54"/>
      <c r="EAC2466" s="60"/>
      <c r="EAD2466" s="60"/>
      <c r="EAE2466" s="60"/>
      <c r="EAF2466" s="60"/>
      <c r="EAG2466" s="63"/>
      <c r="EAH2466" s="61"/>
      <c r="EAI2466" s="54"/>
      <c r="EAJ2466" s="54"/>
      <c r="EAK2466" s="60"/>
      <c r="EAL2466" s="60"/>
      <c r="EAM2466" s="60"/>
      <c r="EAN2466" s="60"/>
      <c r="EAO2466" s="63"/>
      <c r="EAP2466" s="61"/>
      <c r="EAQ2466" s="54"/>
      <c r="EAR2466" s="54"/>
      <c r="EAS2466" s="60"/>
      <c r="EAT2466" s="60"/>
      <c r="EAU2466" s="60"/>
      <c r="EAV2466" s="60"/>
      <c r="EAW2466" s="63"/>
      <c r="EAX2466" s="61"/>
      <c r="EAY2466" s="54"/>
      <c r="EAZ2466" s="54"/>
      <c r="EBA2466" s="60"/>
      <c r="EBB2466" s="60"/>
      <c r="EBC2466" s="60"/>
      <c r="EBD2466" s="60"/>
      <c r="EBE2466" s="63"/>
      <c r="EBF2466" s="61"/>
      <c r="EBG2466" s="54"/>
      <c r="EBH2466" s="54"/>
      <c r="EBI2466" s="60"/>
      <c r="EBJ2466" s="60"/>
      <c r="EBK2466" s="60"/>
      <c r="EBL2466" s="60"/>
      <c r="EBM2466" s="63"/>
      <c r="EBN2466" s="61"/>
      <c r="EBO2466" s="54"/>
      <c r="EBP2466" s="54"/>
      <c r="EBQ2466" s="60"/>
      <c r="EBR2466" s="60"/>
      <c r="EBS2466" s="60"/>
      <c r="EBT2466" s="60"/>
      <c r="EBU2466" s="63"/>
      <c r="EBV2466" s="61"/>
      <c r="EBW2466" s="54"/>
      <c r="EBX2466" s="54"/>
      <c r="EBY2466" s="60"/>
      <c r="EBZ2466" s="60"/>
      <c r="ECA2466" s="60"/>
      <c r="ECB2466" s="60"/>
      <c r="ECC2466" s="63"/>
      <c r="ECD2466" s="61"/>
      <c r="ECE2466" s="54"/>
      <c r="ECF2466" s="54"/>
      <c r="ECG2466" s="60"/>
      <c r="ECH2466" s="60"/>
      <c r="ECI2466" s="60"/>
      <c r="ECJ2466" s="60"/>
      <c r="ECK2466" s="63"/>
      <c r="ECL2466" s="61"/>
      <c r="ECM2466" s="54"/>
      <c r="ECN2466" s="54"/>
      <c r="ECO2466" s="60"/>
      <c r="ECP2466" s="60"/>
      <c r="ECQ2466" s="60"/>
      <c r="ECR2466" s="60"/>
      <c r="ECS2466" s="63"/>
      <c r="ECT2466" s="61"/>
      <c r="ECU2466" s="54"/>
      <c r="ECV2466" s="54"/>
      <c r="ECW2466" s="60"/>
      <c r="ECX2466" s="60"/>
      <c r="ECY2466" s="60"/>
      <c r="ECZ2466" s="60"/>
      <c r="EDA2466" s="63"/>
      <c r="EDB2466" s="61"/>
      <c r="EDC2466" s="54"/>
      <c r="EDD2466" s="54"/>
      <c r="EDE2466" s="60"/>
      <c r="EDF2466" s="60"/>
      <c r="EDG2466" s="60"/>
      <c r="EDH2466" s="60"/>
      <c r="EDI2466" s="63"/>
      <c r="EDJ2466" s="61"/>
      <c r="EDK2466" s="54"/>
      <c r="EDL2466" s="54"/>
      <c r="EDM2466" s="60"/>
      <c r="EDN2466" s="60"/>
      <c r="EDO2466" s="60"/>
      <c r="EDP2466" s="60"/>
      <c r="EDQ2466" s="63"/>
      <c r="EDR2466" s="61"/>
      <c r="EDS2466" s="54"/>
      <c r="EDT2466" s="54"/>
      <c r="EDU2466" s="60"/>
      <c r="EDV2466" s="60"/>
      <c r="EDW2466" s="60"/>
      <c r="EDX2466" s="60"/>
      <c r="EDY2466" s="63"/>
      <c r="EDZ2466" s="61"/>
      <c r="EEA2466" s="54"/>
      <c r="EEB2466" s="54"/>
      <c r="EEC2466" s="60"/>
      <c r="EED2466" s="60"/>
      <c r="EEE2466" s="60"/>
      <c r="EEF2466" s="60"/>
      <c r="EEG2466" s="63"/>
      <c r="EEH2466" s="61"/>
      <c r="EEI2466" s="54"/>
      <c r="EEJ2466" s="54"/>
      <c r="EEK2466" s="60"/>
      <c r="EEL2466" s="60"/>
      <c r="EEM2466" s="60"/>
      <c r="EEN2466" s="60"/>
      <c r="EEO2466" s="63"/>
      <c r="EEP2466" s="61"/>
      <c r="EEQ2466" s="54"/>
      <c r="EER2466" s="54"/>
      <c r="EES2466" s="60"/>
      <c r="EET2466" s="60"/>
      <c r="EEU2466" s="60"/>
      <c r="EEV2466" s="60"/>
      <c r="EEW2466" s="63"/>
      <c r="EEX2466" s="61"/>
      <c r="EEY2466" s="54"/>
      <c r="EEZ2466" s="54"/>
      <c r="EFA2466" s="60"/>
      <c r="EFB2466" s="60"/>
      <c r="EFC2466" s="60"/>
      <c r="EFD2466" s="60"/>
      <c r="EFE2466" s="63"/>
      <c r="EFF2466" s="61"/>
      <c r="EFG2466" s="54"/>
      <c r="EFH2466" s="54"/>
      <c r="EFI2466" s="60"/>
      <c r="EFJ2466" s="60"/>
      <c r="EFK2466" s="60"/>
      <c r="EFL2466" s="60"/>
      <c r="EFM2466" s="63"/>
      <c r="EFN2466" s="61"/>
      <c r="EFO2466" s="54"/>
      <c r="EFP2466" s="54"/>
      <c r="EFQ2466" s="60"/>
      <c r="EFR2466" s="60"/>
      <c r="EFS2466" s="60"/>
      <c r="EFT2466" s="60"/>
      <c r="EFU2466" s="63"/>
      <c r="EFV2466" s="61"/>
      <c r="EFW2466" s="54"/>
      <c r="EFX2466" s="54"/>
      <c r="EFY2466" s="60"/>
      <c r="EFZ2466" s="60"/>
      <c r="EGA2466" s="60"/>
      <c r="EGB2466" s="60"/>
      <c r="EGC2466" s="63"/>
      <c r="EGD2466" s="61"/>
      <c r="EGE2466" s="54"/>
      <c r="EGF2466" s="54"/>
      <c r="EGG2466" s="60"/>
      <c r="EGH2466" s="60"/>
      <c r="EGI2466" s="60"/>
      <c r="EGJ2466" s="60"/>
      <c r="EGK2466" s="63"/>
      <c r="EGL2466" s="61"/>
      <c r="EGM2466" s="54"/>
      <c r="EGN2466" s="54"/>
      <c r="EGO2466" s="60"/>
      <c r="EGP2466" s="60"/>
      <c r="EGQ2466" s="60"/>
      <c r="EGR2466" s="60"/>
      <c r="EGS2466" s="63"/>
      <c r="EGT2466" s="61"/>
      <c r="EGU2466" s="54"/>
      <c r="EGV2466" s="54"/>
      <c r="EGW2466" s="60"/>
      <c r="EGX2466" s="60"/>
      <c r="EGY2466" s="60"/>
      <c r="EGZ2466" s="60"/>
      <c r="EHA2466" s="63"/>
      <c r="EHB2466" s="61"/>
      <c r="EHC2466" s="54"/>
      <c r="EHD2466" s="54"/>
      <c r="EHE2466" s="60"/>
      <c r="EHF2466" s="60"/>
      <c r="EHG2466" s="60"/>
      <c r="EHH2466" s="60"/>
      <c r="EHI2466" s="63"/>
      <c r="EHJ2466" s="61"/>
      <c r="EHK2466" s="54"/>
      <c r="EHL2466" s="54"/>
      <c r="EHM2466" s="60"/>
      <c r="EHN2466" s="60"/>
      <c r="EHO2466" s="60"/>
      <c r="EHP2466" s="60"/>
      <c r="EHQ2466" s="63"/>
      <c r="EHR2466" s="61"/>
      <c r="EHS2466" s="54"/>
      <c r="EHT2466" s="54"/>
      <c r="EHU2466" s="60"/>
      <c r="EHV2466" s="60"/>
      <c r="EHW2466" s="60"/>
      <c r="EHX2466" s="60"/>
      <c r="EHY2466" s="63"/>
      <c r="EHZ2466" s="61"/>
      <c r="EIA2466" s="54"/>
      <c r="EIB2466" s="54"/>
      <c r="EIC2466" s="60"/>
      <c r="EID2466" s="60"/>
      <c r="EIE2466" s="60"/>
      <c r="EIF2466" s="60"/>
      <c r="EIG2466" s="63"/>
      <c r="EIH2466" s="61"/>
      <c r="EII2466" s="54"/>
      <c r="EIJ2466" s="54"/>
      <c r="EIK2466" s="60"/>
      <c r="EIL2466" s="60"/>
      <c r="EIM2466" s="60"/>
      <c r="EIN2466" s="60"/>
      <c r="EIO2466" s="63"/>
      <c r="EIP2466" s="61"/>
      <c r="EIQ2466" s="54"/>
      <c r="EIR2466" s="54"/>
      <c r="EIS2466" s="60"/>
      <c r="EIT2466" s="60"/>
      <c r="EIU2466" s="60"/>
      <c r="EIV2466" s="60"/>
      <c r="EIW2466" s="63"/>
      <c r="EIX2466" s="61"/>
      <c r="EIY2466" s="54"/>
      <c r="EIZ2466" s="54"/>
      <c r="EJA2466" s="60"/>
      <c r="EJB2466" s="60"/>
      <c r="EJC2466" s="60"/>
      <c r="EJD2466" s="60"/>
      <c r="EJE2466" s="63"/>
      <c r="EJF2466" s="61"/>
      <c r="EJG2466" s="54"/>
      <c r="EJH2466" s="54"/>
      <c r="EJI2466" s="60"/>
      <c r="EJJ2466" s="60"/>
      <c r="EJK2466" s="60"/>
      <c r="EJL2466" s="60"/>
      <c r="EJM2466" s="63"/>
      <c r="EJN2466" s="61"/>
      <c r="EJO2466" s="54"/>
      <c r="EJP2466" s="54"/>
      <c r="EJQ2466" s="60"/>
      <c r="EJR2466" s="60"/>
      <c r="EJS2466" s="60"/>
      <c r="EJT2466" s="60"/>
      <c r="EJU2466" s="63"/>
      <c r="EJV2466" s="61"/>
      <c r="EJW2466" s="54"/>
      <c r="EJX2466" s="54"/>
      <c r="EJY2466" s="60"/>
      <c r="EJZ2466" s="60"/>
      <c r="EKA2466" s="60"/>
      <c r="EKB2466" s="60"/>
      <c r="EKC2466" s="63"/>
      <c r="EKD2466" s="61"/>
      <c r="EKE2466" s="54"/>
      <c r="EKF2466" s="54"/>
      <c r="EKG2466" s="60"/>
      <c r="EKH2466" s="60"/>
      <c r="EKI2466" s="60"/>
      <c r="EKJ2466" s="60"/>
      <c r="EKK2466" s="63"/>
      <c r="EKL2466" s="61"/>
      <c r="EKM2466" s="54"/>
      <c r="EKN2466" s="54"/>
      <c r="EKO2466" s="60"/>
      <c r="EKP2466" s="60"/>
      <c r="EKQ2466" s="60"/>
      <c r="EKR2466" s="60"/>
      <c r="EKS2466" s="63"/>
      <c r="EKT2466" s="61"/>
      <c r="EKU2466" s="54"/>
      <c r="EKV2466" s="54"/>
      <c r="EKW2466" s="60"/>
      <c r="EKX2466" s="60"/>
      <c r="EKY2466" s="60"/>
      <c r="EKZ2466" s="60"/>
      <c r="ELA2466" s="63"/>
      <c r="ELB2466" s="61"/>
      <c r="ELC2466" s="54"/>
      <c r="ELD2466" s="54"/>
      <c r="ELE2466" s="60"/>
      <c r="ELF2466" s="60"/>
      <c r="ELG2466" s="60"/>
      <c r="ELH2466" s="60"/>
      <c r="ELI2466" s="63"/>
      <c r="ELJ2466" s="61"/>
      <c r="ELK2466" s="54"/>
      <c r="ELL2466" s="54"/>
      <c r="ELM2466" s="60"/>
      <c r="ELN2466" s="60"/>
      <c r="ELO2466" s="60"/>
      <c r="ELP2466" s="60"/>
      <c r="ELQ2466" s="63"/>
      <c r="ELR2466" s="61"/>
      <c r="ELS2466" s="54"/>
      <c r="ELT2466" s="54"/>
      <c r="ELU2466" s="60"/>
      <c r="ELV2466" s="60"/>
      <c r="ELW2466" s="60"/>
      <c r="ELX2466" s="60"/>
      <c r="ELY2466" s="63"/>
      <c r="ELZ2466" s="61"/>
      <c r="EMA2466" s="54"/>
      <c r="EMB2466" s="54"/>
      <c r="EMC2466" s="60"/>
      <c r="EMD2466" s="60"/>
      <c r="EME2466" s="60"/>
      <c r="EMF2466" s="60"/>
      <c r="EMG2466" s="63"/>
      <c r="EMH2466" s="61"/>
      <c r="EMI2466" s="54"/>
      <c r="EMJ2466" s="54"/>
      <c r="EMK2466" s="60"/>
      <c r="EML2466" s="60"/>
      <c r="EMM2466" s="60"/>
      <c r="EMN2466" s="60"/>
      <c r="EMO2466" s="63"/>
      <c r="EMP2466" s="61"/>
      <c r="EMQ2466" s="54"/>
      <c r="EMR2466" s="54"/>
      <c r="EMS2466" s="60"/>
      <c r="EMT2466" s="60"/>
      <c r="EMU2466" s="60"/>
      <c r="EMV2466" s="60"/>
      <c r="EMW2466" s="63"/>
      <c r="EMX2466" s="61"/>
      <c r="EMY2466" s="54"/>
      <c r="EMZ2466" s="54"/>
      <c r="ENA2466" s="60"/>
      <c r="ENB2466" s="60"/>
      <c r="ENC2466" s="60"/>
      <c r="END2466" s="60"/>
      <c r="ENE2466" s="63"/>
      <c r="ENF2466" s="61"/>
      <c r="ENG2466" s="54"/>
      <c r="ENH2466" s="54"/>
      <c r="ENI2466" s="60"/>
      <c r="ENJ2466" s="60"/>
      <c r="ENK2466" s="60"/>
      <c r="ENL2466" s="60"/>
      <c r="ENM2466" s="63"/>
      <c r="ENN2466" s="61"/>
      <c r="ENO2466" s="54"/>
      <c r="ENP2466" s="54"/>
      <c r="ENQ2466" s="60"/>
      <c r="ENR2466" s="60"/>
      <c r="ENS2466" s="60"/>
      <c r="ENT2466" s="60"/>
      <c r="ENU2466" s="63"/>
      <c r="ENV2466" s="61"/>
      <c r="ENW2466" s="54"/>
      <c r="ENX2466" s="54"/>
      <c r="ENY2466" s="60"/>
      <c r="ENZ2466" s="60"/>
      <c r="EOA2466" s="60"/>
      <c r="EOB2466" s="60"/>
      <c r="EOC2466" s="63"/>
      <c r="EOD2466" s="61"/>
      <c r="EOE2466" s="54"/>
      <c r="EOF2466" s="54"/>
      <c r="EOG2466" s="60"/>
      <c r="EOH2466" s="60"/>
      <c r="EOI2466" s="60"/>
      <c r="EOJ2466" s="60"/>
      <c r="EOK2466" s="63"/>
      <c r="EOL2466" s="61"/>
      <c r="EOM2466" s="54"/>
      <c r="EON2466" s="54"/>
      <c r="EOO2466" s="60"/>
      <c r="EOP2466" s="60"/>
      <c r="EOQ2466" s="60"/>
      <c r="EOR2466" s="60"/>
      <c r="EOS2466" s="63"/>
      <c r="EOT2466" s="61"/>
      <c r="EOU2466" s="54"/>
      <c r="EOV2466" s="54"/>
      <c r="EOW2466" s="60"/>
      <c r="EOX2466" s="60"/>
      <c r="EOY2466" s="60"/>
      <c r="EOZ2466" s="60"/>
      <c r="EPA2466" s="63"/>
      <c r="EPB2466" s="61"/>
      <c r="EPC2466" s="54"/>
      <c r="EPD2466" s="54"/>
      <c r="EPE2466" s="60"/>
      <c r="EPF2466" s="60"/>
      <c r="EPG2466" s="60"/>
      <c r="EPH2466" s="60"/>
      <c r="EPI2466" s="63"/>
      <c r="EPJ2466" s="61"/>
      <c r="EPK2466" s="54"/>
      <c r="EPL2466" s="54"/>
      <c r="EPM2466" s="60"/>
      <c r="EPN2466" s="60"/>
      <c r="EPO2466" s="60"/>
      <c r="EPP2466" s="60"/>
      <c r="EPQ2466" s="63"/>
      <c r="EPR2466" s="61"/>
      <c r="EPS2466" s="54"/>
      <c r="EPT2466" s="54"/>
      <c r="EPU2466" s="60"/>
      <c r="EPV2466" s="60"/>
      <c r="EPW2466" s="60"/>
      <c r="EPX2466" s="60"/>
      <c r="EPY2466" s="63"/>
      <c r="EPZ2466" s="61"/>
      <c r="EQA2466" s="54"/>
      <c r="EQB2466" s="54"/>
      <c r="EQC2466" s="60"/>
      <c r="EQD2466" s="60"/>
      <c r="EQE2466" s="60"/>
      <c r="EQF2466" s="60"/>
      <c r="EQG2466" s="63"/>
      <c r="EQH2466" s="61"/>
      <c r="EQI2466" s="54"/>
      <c r="EQJ2466" s="54"/>
      <c r="EQK2466" s="60"/>
      <c r="EQL2466" s="60"/>
      <c r="EQM2466" s="60"/>
      <c r="EQN2466" s="60"/>
      <c r="EQO2466" s="63"/>
      <c r="EQP2466" s="61"/>
      <c r="EQQ2466" s="54"/>
      <c r="EQR2466" s="54"/>
      <c r="EQS2466" s="60"/>
      <c r="EQT2466" s="60"/>
      <c r="EQU2466" s="60"/>
      <c r="EQV2466" s="60"/>
      <c r="EQW2466" s="63"/>
      <c r="EQX2466" s="61"/>
      <c r="EQY2466" s="54"/>
      <c r="EQZ2466" s="54"/>
      <c r="ERA2466" s="60"/>
      <c r="ERB2466" s="60"/>
      <c r="ERC2466" s="60"/>
      <c r="ERD2466" s="60"/>
      <c r="ERE2466" s="63"/>
      <c r="ERF2466" s="61"/>
      <c r="ERG2466" s="54"/>
      <c r="ERH2466" s="54"/>
      <c r="ERI2466" s="60"/>
      <c r="ERJ2466" s="60"/>
      <c r="ERK2466" s="60"/>
      <c r="ERL2466" s="60"/>
      <c r="ERM2466" s="63"/>
      <c r="ERN2466" s="61"/>
      <c r="ERO2466" s="54"/>
      <c r="ERP2466" s="54"/>
      <c r="ERQ2466" s="60"/>
      <c r="ERR2466" s="60"/>
      <c r="ERS2466" s="60"/>
      <c r="ERT2466" s="60"/>
      <c r="ERU2466" s="63"/>
      <c r="ERV2466" s="61"/>
      <c r="ERW2466" s="54"/>
      <c r="ERX2466" s="54"/>
      <c r="ERY2466" s="60"/>
      <c r="ERZ2466" s="60"/>
      <c r="ESA2466" s="60"/>
      <c r="ESB2466" s="60"/>
      <c r="ESC2466" s="63"/>
      <c r="ESD2466" s="61"/>
      <c r="ESE2466" s="54"/>
      <c r="ESF2466" s="54"/>
      <c r="ESG2466" s="60"/>
      <c r="ESH2466" s="60"/>
      <c r="ESI2466" s="60"/>
      <c r="ESJ2466" s="60"/>
      <c r="ESK2466" s="63"/>
      <c r="ESL2466" s="61"/>
      <c r="ESM2466" s="54"/>
      <c r="ESN2466" s="54"/>
      <c r="ESO2466" s="60"/>
      <c r="ESP2466" s="60"/>
      <c r="ESQ2466" s="60"/>
      <c r="ESR2466" s="60"/>
      <c r="ESS2466" s="63"/>
      <c r="EST2466" s="61"/>
      <c r="ESU2466" s="54"/>
      <c r="ESV2466" s="54"/>
      <c r="ESW2466" s="60"/>
      <c r="ESX2466" s="60"/>
      <c r="ESY2466" s="60"/>
      <c r="ESZ2466" s="60"/>
      <c r="ETA2466" s="63"/>
      <c r="ETB2466" s="61"/>
      <c r="ETC2466" s="54"/>
      <c r="ETD2466" s="54"/>
      <c r="ETE2466" s="60"/>
      <c r="ETF2466" s="60"/>
      <c r="ETG2466" s="60"/>
      <c r="ETH2466" s="60"/>
      <c r="ETI2466" s="63"/>
      <c r="ETJ2466" s="61"/>
      <c r="ETK2466" s="54"/>
      <c r="ETL2466" s="54"/>
      <c r="ETM2466" s="60"/>
      <c r="ETN2466" s="60"/>
      <c r="ETO2466" s="60"/>
      <c r="ETP2466" s="60"/>
      <c r="ETQ2466" s="63"/>
      <c r="ETR2466" s="61"/>
      <c r="ETS2466" s="54"/>
      <c r="ETT2466" s="54"/>
      <c r="ETU2466" s="60"/>
      <c r="ETV2466" s="60"/>
      <c r="ETW2466" s="60"/>
      <c r="ETX2466" s="60"/>
      <c r="ETY2466" s="63"/>
      <c r="ETZ2466" s="61"/>
      <c r="EUA2466" s="54"/>
      <c r="EUB2466" s="54"/>
      <c r="EUC2466" s="60"/>
      <c r="EUD2466" s="60"/>
      <c r="EUE2466" s="60"/>
      <c r="EUF2466" s="60"/>
      <c r="EUG2466" s="63"/>
      <c r="EUH2466" s="61"/>
      <c r="EUI2466" s="54"/>
      <c r="EUJ2466" s="54"/>
      <c r="EUK2466" s="60"/>
      <c r="EUL2466" s="60"/>
      <c r="EUM2466" s="60"/>
      <c r="EUN2466" s="60"/>
      <c r="EUO2466" s="63"/>
      <c r="EUP2466" s="61"/>
      <c r="EUQ2466" s="54"/>
      <c r="EUR2466" s="54"/>
      <c r="EUS2466" s="60"/>
      <c r="EUT2466" s="60"/>
      <c r="EUU2466" s="60"/>
      <c r="EUV2466" s="60"/>
      <c r="EUW2466" s="63"/>
      <c r="EUX2466" s="61"/>
      <c r="EUY2466" s="54"/>
      <c r="EUZ2466" s="54"/>
      <c r="EVA2466" s="60"/>
      <c r="EVB2466" s="60"/>
      <c r="EVC2466" s="60"/>
      <c r="EVD2466" s="60"/>
      <c r="EVE2466" s="63"/>
      <c r="EVF2466" s="61"/>
      <c r="EVG2466" s="54"/>
      <c r="EVH2466" s="54"/>
      <c r="EVI2466" s="60"/>
      <c r="EVJ2466" s="60"/>
      <c r="EVK2466" s="60"/>
      <c r="EVL2466" s="60"/>
      <c r="EVM2466" s="63"/>
      <c r="EVN2466" s="61"/>
      <c r="EVO2466" s="54"/>
      <c r="EVP2466" s="54"/>
      <c r="EVQ2466" s="60"/>
      <c r="EVR2466" s="60"/>
      <c r="EVS2466" s="60"/>
      <c r="EVT2466" s="60"/>
      <c r="EVU2466" s="63"/>
      <c r="EVV2466" s="61"/>
      <c r="EVW2466" s="54"/>
      <c r="EVX2466" s="54"/>
      <c r="EVY2466" s="60"/>
      <c r="EVZ2466" s="60"/>
      <c r="EWA2466" s="60"/>
      <c r="EWB2466" s="60"/>
      <c r="EWC2466" s="63"/>
      <c r="EWD2466" s="61"/>
      <c r="EWE2466" s="54"/>
      <c r="EWF2466" s="54"/>
      <c r="EWG2466" s="60"/>
      <c r="EWH2466" s="60"/>
      <c r="EWI2466" s="60"/>
      <c r="EWJ2466" s="60"/>
      <c r="EWK2466" s="63"/>
      <c r="EWL2466" s="61"/>
      <c r="EWM2466" s="54"/>
      <c r="EWN2466" s="54"/>
      <c r="EWO2466" s="60"/>
      <c r="EWP2466" s="60"/>
      <c r="EWQ2466" s="60"/>
      <c r="EWR2466" s="60"/>
      <c r="EWS2466" s="63"/>
      <c r="EWT2466" s="61"/>
      <c r="EWU2466" s="54"/>
      <c r="EWV2466" s="54"/>
      <c r="EWW2466" s="60"/>
      <c r="EWX2466" s="60"/>
      <c r="EWY2466" s="60"/>
      <c r="EWZ2466" s="60"/>
      <c r="EXA2466" s="63"/>
      <c r="EXB2466" s="61"/>
      <c r="EXC2466" s="54"/>
      <c r="EXD2466" s="54"/>
      <c r="EXE2466" s="60"/>
      <c r="EXF2466" s="60"/>
      <c r="EXG2466" s="60"/>
      <c r="EXH2466" s="60"/>
      <c r="EXI2466" s="63"/>
      <c r="EXJ2466" s="61"/>
      <c r="EXK2466" s="54"/>
      <c r="EXL2466" s="54"/>
      <c r="EXM2466" s="60"/>
      <c r="EXN2466" s="60"/>
      <c r="EXO2466" s="60"/>
      <c r="EXP2466" s="60"/>
      <c r="EXQ2466" s="63"/>
      <c r="EXR2466" s="61"/>
      <c r="EXS2466" s="54"/>
      <c r="EXT2466" s="54"/>
      <c r="EXU2466" s="60"/>
      <c r="EXV2466" s="60"/>
      <c r="EXW2466" s="60"/>
      <c r="EXX2466" s="60"/>
      <c r="EXY2466" s="63"/>
      <c r="EXZ2466" s="61"/>
      <c r="EYA2466" s="54"/>
      <c r="EYB2466" s="54"/>
      <c r="EYC2466" s="60"/>
      <c r="EYD2466" s="60"/>
      <c r="EYE2466" s="60"/>
      <c r="EYF2466" s="60"/>
      <c r="EYG2466" s="63"/>
      <c r="EYH2466" s="61"/>
      <c r="EYI2466" s="54"/>
      <c r="EYJ2466" s="54"/>
      <c r="EYK2466" s="60"/>
      <c r="EYL2466" s="60"/>
      <c r="EYM2466" s="60"/>
      <c r="EYN2466" s="60"/>
      <c r="EYO2466" s="63"/>
      <c r="EYP2466" s="61"/>
      <c r="EYQ2466" s="54"/>
      <c r="EYR2466" s="54"/>
      <c r="EYS2466" s="60"/>
      <c r="EYT2466" s="60"/>
      <c r="EYU2466" s="60"/>
      <c r="EYV2466" s="60"/>
      <c r="EYW2466" s="63"/>
      <c r="EYX2466" s="61"/>
      <c r="EYY2466" s="54"/>
      <c r="EYZ2466" s="54"/>
      <c r="EZA2466" s="60"/>
      <c r="EZB2466" s="60"/>
      <c r="EZC2466" s="60"/>
      <c r="EZD2466" s="60"/>
      <c r="EZE2466" s="63"/>
      <c r="EZF2466" s="61"/>
      <c r="EZG2466" s="54"/>
      <c r="EZH2466" s="54"/>
      <c r="EZI2466" s="60"/>
      <c r="EZJ2466" s="60"/>
      <c r="EZK2466" s="60"/>
      <c r="EZL2466" s="60"/>
      <c r="EZM2466" s="63"/>
      <c r="EZN2466" s="61"/>
      <c r="EZO2466" s="54"/>
      <c r="EZP2466" s="54"/>
      <c r="EZQ2466" s="60"/>
      <c r="EZR2466" s="60"/>
      <c r="EZS2466" s="60"/>
      <c r="EZT2466" s="60"/>
      <c r="EZU2466" s="63"/>
      <c r="EZV2466" s="61"/>
      <c r="EZW2466" s="54"/>
      <c r="EZX2466" s="54"/>
      <c r="EZY2466" s="60"/>
      <c r="EZZ2466" s="60"/>
      <c r="FAA2466" s="60"/>
      <c r="FAB2466" s="60"/>
      <c r="FAC2466" s="63"/>
      <c r="FAD2466" s="61"/>
      <c r="FAE2466" s="54"/>
      <c r="FAF2466" s="54"/>
      <c r="FAG2466" s="60"/>
      <c r="FAH2466" s="60"/>
      <c r="FAI2466" s="60"/>
      <c r="FAJ2466" s="60"/>
      <c r="FAK2466" s="63"/>
      <c r="FAL2466" s="61"/>
      <c r="FAM2466" s="54"/>
      <c r="FAN2466" s="54"/>
      <c r="FAO2466" s="60"/>
      <c r="FAP2466" s="60"/>
      <c r="FAQ2466" s="60"/>
      <c r="FAR2466" s="60"/>
      <c r="FAS2466" s="63"/>
      <c r="FAT2466" s="61"/>
      <c r="FAU2466" s="54"/>
      <c r="FAV2466" s="54"/>
      <c r="FAW2466" s="60"/>
      <c r="FAX2466" s="60"/>
      <c r="FAY2466" s="60"/>
      <c r="FAZ2466" s="60"/>
      <c r="FBA2466" s="63"/>
      <c r="FBB2466" s="61"/>
      <c r="FBC2466" s="54"/>
      <c r="FBD2466" s="54"/>
      <c r="FBE2466" s="60"/>
      <c r="FBF2466" s="60"/>
      <c r="FBG2466" s="60"/>
      <c r="FBH2466" s="60"/>
      <c r="FBI2466" s="63"/>
      <c r="FBJ2466" s="61"/>
      <c r="FBK2466" s="54"/>
      <c r="FBL2466" s="54"/>
      <c r="FBM2466" s="60"/>
      <c r="FBN2466" s="60"/>
      <c r="FBO2466" s="60"/>
      <c r="FBP2466" s="60"/>
      <c r="FBQ2466" s="63"/>
      <c r="FBR2466" s="61"/>
      <c r="FBS2466" s="54"/>
      <c r="FBT2466" s="54"/>
      <c r="FBU2466" s="60"/>
      <c r="FBV2466" s="60"/>
      <c r="FBW2466" s="60"/>
      <c r="FBX2466" s="60"/>
      <c r="FBY2466" s="63"/>
      <c r="FBZ2466" s="61"/>
      <c r="FCA2466" s="54"/>
      <c r="FCB2466" s="54"/>
      <c r="FCC2466" s="60"/>
      <c r="FCD2466" s="60"/>
      <c r="FCE2466" s="60"/>
      <c r="FCF2466" s="60"/>
      <c r="FCG2466" s="63"/>
      <c r="FCH2466" s="61"/>
      <c r="FCI2466" s="54"/>
      <c r="FCJ2466" s="54"/>
      <c r="FCK2466" s="60"/>
      <c r="FCL2466" s="60"/>
      <c r="FCM2466" s="60"/>
      <c r="FCN2466" s="60"/>
      <c r="FCO2466" s="63"/>
      <c r="FCP2466" s="61"/>
      <c r="FCQ2466" s="54"/>
      <c r="FCR2466" s="54"/>
      <c r="FCS2466" s="60"/>
      <c r="FCT2466" s="60"/>
      <c r="FCU2466" s="60"/>
      <c r="FCV2466" s="60"/>
      <c r="FCW2466" s="63"/>
      <c r="FCX2466" s="61"/>
      <c r="FCY2466" s="54"/>
      <c r="FCZ2466" s="54"/>
      <c r="FDA2466" s="60"/>
      <c r="FDB2466" s="60"/>
      <c r="FDC2466" s="60"/>
      <c r="FDD2466" s="60"/>
      <c r="FDE2466" s="63"/>
      <c r="FDF2466" s="61"/>
      <c r="FDG2466" s="54"/>
      <c r="FDH2466" s="54"/>
      <c r="FDI2466" s="60"/>
      <c r="FDJ2466" s="60"/>
      <c r="FDK2466" s="60"/>
      <c r="FDL2466" s="60"/>
      <c r="FDM2466" s="63"/>
      <c r="FDN2466" s="61"/>
      <c r="FDO2466" s="54"/>
      <c r="FDP2466" s="54"/>
      <c r="FDQ2466" s="60"/>
      <c r="FDR2466" s="60"/>
      <c r="FDS2466" s="60"/>
      <c r="FDT2466" s="60"/>
      <c r="FDU2466" s="63"/>
      <c r="FDV2466" s="61"/>
      <c r="FDW2466" s="54"/>
      <c r="FDX2466" s="54"/>
      <c r="FDY2466" s="60"/>
      <c r="FDZ2466" s="60"/>
      <c r="FEA2466" s="60"/>
      <c r="FEB2466" s="60"/>
      <c r="FEC2466" s="63"/>
      <c r="FED2466" s="61"/>
      <c r="FEE2466" s="54"/>
      <c r="FEF2466" s="54"/>
      <c r="FEG2466" s="60"/>
      <c r="FEH2466" s="60"/>
      <c r="FEI2466" s="60"/>
      <c r="FEJ2466" s="60"/>
      <c r="FEK2466" s="63"/>
      <c r="FEL2466" s="61"/>
      <c r="FEM2466" s="54"/>
      <c r="FEN2466" s="54"/>
      <c r="FEO2466" s="60"/>
      <c r="FEP2466" s="60"/>
      <c r="FEQ2466" s="60"/>
      <c r="FER2466" s="60"/>
      <c r="FES2466" s="63"/>
      <c r="FET2466" s="61"/>
      <c r="FEU2466" s="54"/>
      <c r="FEV2466" s="54"/>
      <c r="FEW2466" s="60"/>
      <c r="FEX2466" s="60"/>
      <c r="FEY2466" s="60"/>
      <c r="FEZ2466" s="60"/>
      <c r="FFA2466" s="63"/>
      <c r="FFB2466" s="61"/>
      <c r="FFC2466" s="54"/>
      <c r="FFD2466" s="54"/>
      <c r="FFE2466" s="60"/>
      <c r="FFF2466" s="60"/>
      <c r="FFG2466" s="60"/>
      <c r="FFH2466" s="60"/>
      <c r="FFI2466" s="63"/>
      <c r="FFJ2466" s="61"/>
      <c r="FFK2466" s="54"/>
      <c r="FFL2466" s="54"/>
      <c r="FFM2466" s="60"/>
      <c r="FFN2466" s="60"/>
      <c r="FFO2466" s="60"/>
      <c r="FFP2466" s="60"/>
      <c r="FFQ2466" s="63"/>
      <c r="FFR2466" s="61"/>
      <c r="FFS2466" s="54"/>
      <c r="FFT2466" s="54"/>
      <c r="FFU2466" s="60"/>
      <c r="FFV2466" s="60"/>
      <c r="FFW2466" s="60"/>
      <c r="FFX2466" s="60"/>
      <c r="FFY2466" s="63"/>
      <c r="FFZ2466" s="61"/>
      <c r="FGA2466" s="54"/>
      <c r="FGB2466" s="54"/>
      <c r="FGC2466" s="60"/>
      <c r="FGD2466" s="60"/>
      <c r="FGE2466" s="60"/>
      <c r="FGF2466" s="60"/>
      <c r="FGG2466" s="63"/>
      <c r="FGH2466" s="61"/>
      <c r="FGI2466" s="54"/>
      <c r="FGJ2466" s="54"/>
      <c r="FGK2466" s="60"/>
      <c r="FGL2466" s="60"/>
      <c r="FGM2466" s="60"/>
      <c r="FGN2466" s="60"/>
      <c r="FGO2466" s="63"/>
      <c r="FGP2466" s="61"/>
      <c r="FGQ2466" s="54"/>
      <c r="FGR2466" s="54"/>
      <c r="FGS2466" s="60"/>
      <c r="FGT2466" s="60"/>
      <c r="FGU2466" s="60"/>
      <c r="FGV2466" s="60"/>
      <c r="FGW2466" s="63"/>
      <c r="FGX2466" s="61"/>
      <c r="FGY2466" s="54"/>
      <c r="FGZ2466" s="54"/>
      <c r="FHA2466" s="60"/>
      <c r="FHB2466" s="60"/>
      <c r="FHC2466" s="60"/>
      <c r="FHD2466" s="60"/>
      <c r="FHE2466" s="63"/>
      <c r="FHF2466" s="61"/>
      <c r="FHG2466" s="54"/>
      <c r="FHH2466" s="54"/>
      <c r="FHI2466" s="60"/>
      <c r="FHJ2466" s="60"/>
      <c r="FHK2466" s="60"/>
      <c r="FHL2466" s="60"/>
      <c r="FHM2466" s="63"/>
      <c r="FHN2466" s="61"/>
      <c r="FHO2466" s="54"/>
      <c r="FHP2466" s="54"/>
      <c r="FHQ2466" s="60"/>
      <c r="FHR2466" s="60"/>
      <c r="FHS2466" s="60"/>
      <c r="FHT2466" s="60"/>
      <c r="FHU2466" s="63"/>
      <c r="FHV2466" s="61"/>
      <c r="FHW2466" s="54"/>
      <c r="FHX2466" s="54"/>
      <c r="FHY2466" s="60"/>
      <c r="FHZ2466" s="60"/>
      <c r="FIA2466" s="60"/>
      <c r="FIB2466" s="60"/>
      <c r="FIC2466" s="63"/>
      <c r="FID2466" s="61"/>
      <c r="FIE2466" s="54"/>
      <c r="FIF2466" s="54"/>
      <c r="FIG2466" s="60"/>
      <c r="FIH2466" s="60"/>
      <c r="FII2466" s="60"/>
      <c r="FIJ2466" s="60"/>
      <c r="FIK2466" s="63"/>
      <c r="FIL2466" s="61"/>
      <c r="FIM2466" s="54"/>
      <c r="FIN2466" s="54"/>
      <c r="FIO2466" s="60"/>
      <c r="FIP2466" s="60"/>
      <c r="FIQ2466" s="60"/>
      <c r="FIR2466" s="60"/>
      <c r="FIS2466" s="63"/>
      <c r="FIT2466" s="61"/>
      <c r="FIU2466" s="54"/>
      <c r="FIV2466" s="54"/>
      <c r="FIW2466" s="60"/>
      <c r="FIX2466" s="60"/>
      <c r="FIY2466" s="60"/>
      <c r="FIZ2466" s="60"/>
      <c r="FJA2466" s="63"/>
      <c r="FJB2466" s="61"/>
      <c r="FJC2466" s="54"/>
      <c r="FJD2466" s="54"/>
      <c r="FJE2466" s="60"/>
      <c r="FJF2466" s="60"/>
      <c r="FJG2466" s="60"/>
      <c r="FJH2466" s="60"/>
      <c r="FJI2466" s="63"/>
      <c r="FJJ2466" s="61"/>
      <c r="FJK2466" s="54"/>
      <c r="FJL2466" s="54"/>
      <c r="FJM2466" s="60"/>
      <c r="FJN2466" s="60"/>
      <c r="FJO2466" s="60"/>
      <c r="FJP2466" s="60"/>
      <c r="FJQ2466" s="63"/>
      <c r="FJR2466" s="61"/>
      <c r="FJS2466" s="54"/>
      <c r="FJT2466" s="54"/>
      <c r="FJU2466" s="60"/>
      <c r="FJV2466" s="60"/>
      <c r="FJW2466" s="60"/>
      <c r="FJX2466" s="60"/>
      <c r="FJY2466" s="63"/>
      <c r="FJZ2466" s="61"/>
      <c r="FKA2466" s="54"/>
      <c r="FKB2466" s="54"/>
      <c r="FKC2466" s="60"/>
      <c r="FKD2466" s="60"/>
      <c r="FKE2466" s="60"/>
      <c r="FKF2466" s="60"/>
      <c r="FKG2466" s="63"/>
      <c r="FKH2466" s="61"/>
      <c r="FKI2466" s="54"/>
      <c r="FKJ2466" s="54"/>
      <c r="FKK2466" s="60"/>
      <c r="FKL2466" s="60"/>
      <c r="FKM2466" s="60"/>
      <c r="FKN2466" s="60"/>
      <c r="FKO2466" s="63"/>
      <c r="FKP2466" s="61"/>
      <c r="FKQ2466" s="54"/>
      <c r="FKR2466" s="54"/>
      <c r="FKS2466" s="60"/>
      <c r="FKT2466" s="60"/>
      <c r="FKU2466" s="60"/>
      <c r="FKV2466" s="60"/>
      <c r="FKW2466" s="63"/>
      <c r="FKX2466" s="61"/>
      <c r="FKY2466" s="54"/>
      <c r="FKZ2466" s="54"/>
      <c r="FLA2466" s="60"/>
      <c r="FLB2466" s="60"/>
      <c r="FLC2466" s="60"/>
      <c r="FLD2466" s="60"/>
      <c r="FLE2466" s="63"/>
      <c r="FLF2466" s="61"/>
      <c r="FLG2466" s="54"/>
      <c r="FLH2466" s="54"/>
      <c r="FLI2466" s="60"/>
      <c r="FLJ2466" s="60"/>
      <c r="FLK2466" s="60"/>
      <c r="FLL2466" s="60"/>
      <c r="FLM2466" s="63"/>
      <c r="FLN2466" s="61"/>
      <c r="FLO2466" s="54"/>
      <c r="FLP2466" s="54"/>
      <c r="FLQ2466" s="60"/>
      <c r="FLR2466" s="60"/>
      <c r="FLS2466" s="60"/>
      <c r="FLT2466" s="60"/>
      <c r="FLU2466" s="63"/>
      <c r="FLV2466" s="61"/>
      <c r="FLW2466" s="54"/>
      <c r="FLX2466" s="54"/>
      <c r="FLY2466" s="60"/>
      <c r="FLZ2466" s="60"/>
      <c r="FMA2466" s="60"/>
      <c r="FMB2466" s="60"/>
      <c r="FMC2466" s="63"/>
      <c r="FMD2466" s="61"/>
      <c r="FME2466" s="54"/>
      <c r="FMF2466" s="54"/>
      <c r="FMG2466" s="60"/>
      <c r="FMH2466" s="60"/>
      <c r="FMI2466" s="60"/>
      <c r="FMJ2466" s="60"/>
      <c r="FMK2466" s="63"/>
      <c r="FML2466" s="61"/>
      <c r="FMM2466" s="54"/>
      <c r="FMN2466" s="54"/>
      <c r="FMO2466" s="60"/>
      <c r="FMP2466" s="60"/>
      <c r="FMQ2466" s="60"/>
      <c r="FMR2466" s="60"/>
      <c r="FMS2466" s="63"/>
      <c r="FMT2466" s="61"/>
      <c r="FMU2466" s="54"/>
      <c r="FMV2466" s="54"/>
      <c r="FMW2466" s="60"/>
      <c r="FMX2466" s="60"/>
      <c r="FMY2466" s="60"/>
      <c r="FMZ2466" s="60"/>
      <c r="FNA2466" s="63"/>
      <c r="FNB2466" s="61"/>
      <c r="FNC2466" s="54"/>
      <c r="FND2466" s="54"/>
      <c r="FNE2466" s="60"/>
      <c r="FNF2466" s="60"/>
      <c r="FNG2466" s="60"/>
      <c r="FNH2466" s="60"/>
      <c r="FNI2466" s="63"/>
      <c r="FNJ2466" s="61"/>
      <c r="FNK2466" s="54"/>
      <c r="FNL2466" s="54"/>
      <c r="FNM2466" s="60"/>
      <c r="FNN2466" s="60"/>
      <c r="FNO2466" s="60"/>
      <c r="FNP2466" s="60"/>
      <c r="FNQ2466" s="63"/>
      <c r="FNR2466" s="61"/>
      <c r="FNS2466" s="54"/>
      <c r="FNT2466" s="54"/>
      <c r="FNU2466" s="60"/>
      <c r="FNV2466" s="60"/>
      <c r="FNW2466" s="60"/>
      <c r="FNX2466" s="60"/>
      <c r="FNY2466" s="63"/>
      <c r="FNZ2466" s="61"/>
      <c r="FOA2466" s="54"/>
      <c r="FOB2466" s="54"/>
      <c r="FOC2466" s="60"/>
      <c r="FOD2466" s="60"/>
      <c r="FOE2466" s="60"/>
      <c r="FOF2466" s="60"/>
      <c r="FOG2466" s="63"/>
      <c r="FOH2466" s="61"/>
      <c r="FOI2466" s="54"/>
      <c r="FOJ2466" s="54"/>
      <c r="FOK2466" s="60"/>
      <c r="FOL2466" s="60"/>
      <c r="FOM2466" s="60"/>
      <c r="FON2466" s="60"/>
      <c r="FOO2466" s="63"/>
      <c r="FOP2466" s="61"/>
      <c r="FOQ2466" s="54"/>
      <c r="FOR2466" s="54"/>
      <c r="FOS2466" s="60"/>
      <c r="FOT2466" s="60"/>
      <c r="FOU2466" s="60"/>
      <c r="FOV2466" s="60"/>
      <c r="FOW2466" s="63"/>
      <c r="FOX2466" s="61"/>
      <c r="FOY2466" s="54"/>
      <c r="FOZ2466" s="54"/>
      <c r="FPA2466" s="60"/>
      <c r="FPB2466" s="60"/>
      <c r="FPC2466" s="60"/>
      <c r="FPD2466" s="60"/>
      <c r="FPE2466" s="63"/>
      <c r="FPF2466" s="61"/>
      <c r="FPG2466" s="54"/>
      <c r="FPH2466" s="54"/>
      <c r="FPI2466" s="60"/>
      <c r="FPJ2466" s="60"/>
      <c r="FPK2466" s="60"/>
      <c r="FPL2466" s="60"/>
      <c r="FPM2466" s="63"/>
      <c r="FPN2466" s="61"/>
      <c r="FPO2466" s="54"/>
      <c r="FPP2466" s="54"/>
      <c r="FPQ2466" s="60"/>
      <c r="FPR2466" s="60"/>
      <c r="FPS2466" s="60"/>
      <c r="FPT2466" s="60"/>
      <c r="FPU2466" s="63"/>
      <c r="FPV2466" s="61"/>
      <c r="FPW2466" s="54"/>
      <c r="FPX2466" s="54"/>
      <c r="FPY2466" s="60"/>
      <c r="FPZ2466" s="60"/>
      <c r="FQA2466" s="60"/>
      <c r="FQB2466" s="60"/>
      <c r="FQC2466" s="63"/>
      <c r="FQD2466" s="61"/>
      <c r="FQE2466" s="54"/>
      <c r="FQF2466" s="54"/>
      <c r="FQG2466" s="60"/>
      <c r="FQH2466" s="60"/>
      <c r="FQI2466" s="60"/>
      <c r="FQJ2466" s="60"/>
      <c r="FQK2466" s="63"/>
      <c r="FQL2466" s="61"/>
      <c r="FQM2466" s="54"/>
      <c r="FQN2466" s="54"/>
      <c r="FQO2466" s="60"/>
      <c r="FQP2466" s="60"/>
      <c r="FQQ2466" s="60"/>
      <c r="FQR2466" s="60"/>
      <c r="FQS2466" s="63"/>
      <c r="FQT2466" s="61"/>
      <c r="FQU2466" s="54"/>
      <c r="FQV2466" s="54"/>
      <c r="FQW2466" s="60"/>
      <c r="FQX2466" s="60"/>
      <c r="FQY2466" s="60"/>
      <c r="FQZ2466" s="60"/>
      <c r="FRA2466" s="63"/>
      <c r="FRB2466" s="61"/>
      <c r="FRC2466" s="54"/>
      <c r="FRD2466" s="54"/>
      <c r="FRE2466" s="60"/>
      <c r="FRF2466" s="60"/>
      <c r="FRG2466" s="60"/>
      <c r="FRH2466" s="60"/>
      <c r="FRI2466" s="63"/>
      <c r="FRJ2466" s="61"/>
      <c r="FRK2466" s="54"/>
      <c r="FRL2466" s="54"/>
      <c r="FRM2466" s="60"/>
      <c r="FRN2466" s="60"/>
      <c r="FRO2466" s="60"/>
      <c r="FRP2466" s="60"/>
      <c r="FRQ2466" s="63"/>
      <c r="FRR2466" s="61"/>
      <c r="FRS2466" s="54"/>
      <c r="FRT2466" s="54"/>
      <c r="FRU2466" s="60"/>
      <c r="FRV2466" s="60"/>
      <c r="FRW2466" s="60"/>
      <c r="FRX2466" s="60"/>
      <c r="FRY2466" s="63"/>
      <c r="FRZ2466" s="61"/>
      <c r="FSA2466" s="54"/>
      <c r="FSB2466" s="54"/>
      <c r="FSC2466" s="60"/>
      <c r="FSD2466" s="60"/>
      <c r="FSE2466" s="60"/>
      <c r="FSF2466" s="60"/>
      <c r="FSG2466" s="63"/>
      <c r="FSH2466" s="61"/>
      <c r="FSI2466" s="54"/>
      <c r="FSJ2466" s="54"/>
      <c r="FSK2466" s="60"/>
      <c r="FSL2466" s="60"/>
      <c r="FSM2466" s="60"/>
      <c r="FSN2466" s="60"/>
      <c r="FSO2466" s="63"/>
      <c r="FSP2466" s="61"/>
      <c r="FSQ2466" s="54"/>
      <c r="FSR2466" s="54"/>
      <c r="FSS2466" s="60"/>
      <c r="FST2466" s="60"/>
      <c r="FSU2466" s="60"/>
      <c r="FSV2466" s="60"/>
      <c r="FSW2466" s="63"/>
      <c r="FSX2466" s="61"/>
      <c r="FSY2466" s="54"/>
      <c r="FSZ2466" s="54"/>
      <c r="FTA2466" s="60"/>
      <c r="FTB2466" s="60"/>
      <c r="FTC2466" s="60"/>
      <c r="FTD2466" s="60"/>
      <c r="FTE2466" s="63"/>
      <c r="FTF2466" s="61"/>
      <c r="FTG2466" s="54"/>
      <c r="FTH2466" s="54"/>
      <c r="FTI2466" s="60"/>
      <c r="FTJ2466" s="60"/>
      <c r="FTK2466" s="60"/>
      <c r="FTL2466" s="60"/>
      <c r="FTM2466" s="63"/>
      <c r="FTN2466" s="61"/>
      <c r="FTO2466" s="54"/>
      <c r="FTP2466" s="54"/>
      <c r="FTQ2466" s="60"/>
      <c r="FTR2466" s="60"/>
      <c r="FTS2466" s="60"/>
      <c r="FTT2466" s="60"/>
      <c r="FTU2466" s="63"/>
      <c r="FTV2466" s="61"/>
      <c r="FTW2466" s="54"/>
      <c r="FTX2466" s="54"/>
      <c r="FTY2466" s="60"/>
      <c r="FTZ2466" s="60"/>
      <c r="FUA2466" s="60"/>
      <c r="FUB2466" s="60"/>
      <c r="FUC2466" s="63"/>
      <c r="FUD2466" s="61"/>
      <c r="FUE2466" s="54"/>
      <c r="FUF2466" s="54"/>
      <c r="FUG2466" s="60"/>
      <c r="FUH2466" s="60"/>
      <c r="FUI2466" s="60"/>
      <c r="FUJ2466" s="60"/>
      <c r="FUK2466" s="63"/>
      <c r="FUL2466" s="61"/>
      <c r="FUM2466" s="54"/>
      <c r="FUN2466" s="54"/>
      <c r="FUO2466" s="60"/>
      <c r="FUP2466" s="60"/>
      <c r="FUQ2466" s="60"/>
      <c r="FUR2466" s="60"/>
      <c r="FUS2466" s="63"/>
      <c r="FUT2466" s="61"/>
      <c r="FUU2466" s="54"/>
      <c r="FUV2466" s="54"/>
      <c r="FUW2466" s="60"/>
      <c r="FUX2466" s="60"/>
      <c r="FUY2466" s="60"/>
      <c r="FUZ2466" s="60"/>
      <c r="FVA2466" s="63"/>
      <c r="FVB2466" s="61"/>
      <c r="FVC2466" s="54"/>
      <c r="FVD2466" s="54"/>
      <c r="FVE2466" s="60"/>
      <c r="FVF2466" s="60"/>
      <c r="FVG2466" s="60"/>
      <c r="FVH2466" s="60"/>
      <c r="FVI2466" s="63"/>
      <c r="FVJ2466" s="61"/>
      <c r="FVK2466" s="54"/>
      <c r="FVL2466" s="54"/>
      <c r="FVM2466" s="60"/>
      <c r="FVN2466" s="60"/>
      <c r="FVO2466" s="60"/>
      <c r="FVP2466" s="60"/>
      <c r="FVQ2466" s="63"/>
      <c r="FVR2466" s="61"/>
      <c r="FVS2466" s="54"/>
      <c r="FVT2466" s="54"/>
      <c r="FVU2466" s="60"/>
      <c r="FVV2466" s="60"/>
      <c r="FVW2466" s="60"/>
      <c r="FVX2466" s="60"/>
      <c r="FVY2466" s="63"/>
      <c r="FVZ2466" s="61"/>
      <c r="FWA2466" s="54"/>
      <c r="FWB2466" s="54"/>
      <c r="FWC2466" s="60"/>
      <c r="FWD2466" s="60"/>
      <c r="FWE2466" s="60"/>
      <c r="FWF2466" s="60"/>
      <c r="FWG2466" s="63"/>
      <c r="FWH2466" s="61"/>
      <c r="FWI2466" s="54"/>
      <c r="FWJ2466" s="54"/>
      <c r="FWK2466" s="60"/>
      <c r="FWL2466" s="60"/>
      <c r="FWM2466" s="60"/>
      <c r="FWN2466" s="60"/>
      <c r="FWO2466" s="63"/>
      <c r="FWP2466" s="61"/>
      <c r="FWQ2466" s="54"/>
      <c r="FWR2466" s="54"/>
      <c r="FWS2466" s="60"/>
      <c r="FWT2466" s="60"/>
      <c r="FWU2466" s="60"/>
      <c r="FWV2466" s="60"/>
      <c r="FWW2466" s="63"/>
      <c r="FWX2466" s="61"/>
      <c r="FWY2466" s="54"/>
      <c r="FWZ2466" s="54"/>
      <c r="FXA2466" s="60"/>
      <c r="FXB2466" s="60"/>
      <c r="FXC2466" s="60"/>
      <c r="FXD2466" s="60"/>
      <c r="FXE2466" s="63"/>
      <c r="FXF2466" s="61"/>
      <c r="FXG2466" s="54"/>
      <c r="FXH2466" s="54"/>
      <c r="FXI2466" s="60"/>
      <c r="FXJ2466" s="60"/>
      <c r="FXK2466" s="60"/>
      <c r="FXL2466" s="60"/>
      <c r="FXM2466" s="63"/>
      <c r="FXN2466" s="61"/>
      <c r="FXO2466" s="54"/>
      <c r="FXP2466" s="54"/>
      <c r="FXQ2466" s="60"/>
      <c r="FXR2466" s="60"/>
      <c r="FXS2466" s="60"/>
      <c r="FXT2466" s="60"/>
      <c r="FXU2466" s="63"/>
      <c r="FXV2466" s="61"/>
      <c r="FXW2466" s="54"/>
      <c r="FXX2466" s="54"/>
      <c r="FXY2466" s="60"/>
      <c r="FXZ2466" s="60"/>
      <c r="FYA2466" s="60"/>
      <c r="FYB2466" s="60"/>
      <c r="FYC2466" s="63"/>
      <c r="FYD2466" s="61"/>
      <c r="FYE2466" s="54"/>
      <c r="FYF2466" s="54"/>
      <c r="FYG2466" s="60"/>
      <c r="FYH2466" s="60"/>
      <c r="FYI2466" s="60"/>
      <c r="FYJ2466" s="60"/>
      <c r="FYK2466" s="63"/>
      <c r="FYL2466" s="61"/>
      <c r="FYM2466" s="54"/>
      <c r="FYN2466" s="54"/>
      <c r="FYO2466" s="60"/>
      <c r="FYP2466" s="60"/>
      <c r="FYQ2466" s="60"/>
      <c r="FYR2466" s="60"/>
      <c r="FYS2466" s="63"/>
      <c r="FYT2466" s="61"/>
      <c r="FYU2466" s="54"/>
      <c r="FYV2466" s="54"/>
      <c r="FYW2466" s="60"/>
      <c r="FYX2466" s="60"/>
      <c r="FYY2466" s="60"/>
      <c r="FYZ2466" s="60"/>
      <c r="FZA2466" s="63"/>
      <c r="FZB2466" s="61"/>
      <c r="FZC2466" s="54"/>
      <c r="FZD2466" s="54"/>
      <c r="FZE2466" s="60"/>
      <c r="FZF2466" s="60"/>
      <c r="FZG2466" s="60"/>
      <c r="FZH2466" s="60"/>
      <c r="FZI2466" s="63"/>
      <c r="FZJ2466" s="61"/>
      <c r="FZK2466" s="54"/>
      <c r="FZL2466" s="54"/>
      <c r="FZM2466" s="60"/>
      <c r="FZN2466" s="60"/>
      <c r="FZO2466" s="60"/>
      <c r="FZP2466" s="60"/>
      <c r="FZQ2466" s="63"/>
      <c r="FZR2466" s="61"/>
      <c r="FZS2466" s="54"/>
      <c r="FZT2466" s="54"/>
      <c r="FZU2466" s="60"/>
      <c r="FZV2466" s="60"/>
      <c r="FZW2466" s="60"/>
      <c r="FZX2466" s="60"/>
      <c r="FZY2466" s="63"/>
      <c r="FZZ2466" s="61"/>
      <c r="GAA2466" s="54"/>
      <c r="GAB2466" s="54"/>
      <c r="GAC2466" s="60"/>
      <c r="GAD2466" s="60"/>
      <c r="GAE2466" s="60"/>
      <c r="GAF2466" s="60"/>
      <c r="GAG2466" s="63"/>
      <c r="GAH2466" s="61"/>
      <c r="GAI2466" s="54"/>
      <c r="GAJ2466" s="54"/>
      <c r="GAK2466" s="60"/>
      <c r="GAL2466" s="60"/>
      <c r="GAM2466" s="60"/>
      <c r="GAN2466" s="60"/>
      <c r="GAO2466" s="63"/>
      <c r="GAP2466" s="61"/>
      <c r="GAQ2466" s="54"/>
      <c r="GAR2466" s="54"/>
      <c r="GAS2466" s="60"/>
      <c r="GAT2466" s="60"/>
      <c r="GAU2466" s="60"/>
      <c r="GAV2466" s="60"/>
      <c r="GAW2466" s="63"/>
      <c r="GAX2466" s="61"/>
      <c r="GAY2466" s="54"/>
      <c r="GAZ2466" s="54"/>
      <c r="GBA2466" s="60"/>
      <c r="GBB2466" s="60"/>
      <c r="GBC2466" s="60"/>
      <c r="GBD2466" s="60"/>
      <c r="GBE2466" s="63"/>
      <c r="GBF2466" s="61"/>
      <c r="GBG2466" s="54"/>
      <c r="GBH2466" s="54"/>
      <c r="GBI2466" s="60"/>
      <c r="GBJ2466" s="60"/>
      <c r="GBK2466" s="60"/>
      <c r="GBL2466" s="60"/>
      <c r="GBM2466" s="63"/>
      <c r="GBN2466" s="61"/>
      <c r="GBO2466" s="54"/>
      <c r="GBP2466" s="54"/>
      <c r="GBQ2466" s="60"/>
      <c r="GBR2466" s="60"/>
      <c r="GBS2466" s="60"/>
      <c r="GBT2466" s="60"/>
      <c r="GBU2466" s="63"/>
      <c r="GBV2466" s="61"/>
      <c r="GBW2466" s="54"/>
      <c r="GBX2466" s="54"/>
      <c r="GBY2466" s="60"/>
      <c r="GBZ2466" s="60"/>
      <c r="GCA2466" s="60"/>
      <c r="GCB2466" s="60"/>
      <c r="GCC2466" s="63"/>
      <c r="GCD2466" s="61"/>
      <c r="GCE2466" s="54"/>
      <c r="GCF2466" s="54"/>
      <c r="GCG2466" s="60"/>
      <c r="GCH2466" s="60"/>
      <c r="GCI2466" s="60"/>
      <c r="GCJ2466" s="60"/>
      <c r="GCK2466" s="63"/>
      <c r="GCL2466" s="61"/>
      <c r="GCM2466" s="54"/>
      <c r="GCN2466" s="54"/>
      <c r="GCO2466" s="60"/>
      <c r="GCP2466" s="60"/>
      <c r="GCQ2466" s="60"/>
      <c r="GCR2466" s="60"/>
      <c r="GCS2466" s="63"/>
      <c r="GCT2466" s="61"/>
      <c r="GCU2466" s="54"/>
      <c r="GCV2466" s="54"/>
      <c r="GCW2466" s="60"/>
      <c r="GCX2466" s="60"/>
      <c r="GCY2466" s="60"/>
      <c r="GCZ2466" s="60"/>
      <c r="GDA2466" s="63"/>
      <c r="GDB2466" s="61"/>
      <c r="GDC2466" s="54"/>
      <c r="GDD2466" s="54"/>
      <c r="GDE2466" s="60"/>
      <c r="GDF2466" s="60"/>
      <c r="GDG2466" s="60"/>
      <c r="GDH2466" s="60"/>
      <c r="GDI2466" s="63"/>
      <c r="GDJ2466" s="61"/>
      <c r="GDK2466" s="54"/>
      <c r="GDL2466" s="54"/>
      <c r="GDM2466" s="60"/>
      <c r="GDN2466" s="60"/>
      <c r="GDO2466" s="60"/>
      <c r="GDP2466" s="60"/>
      <c r="GDQ2466" s="63"/>
      <c r="GDR2466" s="61"/>
      <c r="GDS2466" s="54"/>
      <c r="GDT2466" s="54"/>
      <c r="GDU2466" s="60"/>
      <c r="GDV2466" s="60"/>
      <c r="GDW2466" s="60"/>
      <c r="GDX2466" s="60"/>
      <c r="GDY2466" s="63"/>
      <c r="GDZ2466" s="61"/>
      <c r="GEA2466" s="54"/>
      <c r="GEB2466" s="54"/>
      <c r="GEC2466" s="60"/>
      <c r="GED2466" s="60"/>
      <c r="GEE2466" s="60"/>
      <c r="GEF2466" s="60"/>
      <c r="GEG2466" s="63"/>
      <c r="GEH2466" s="61"/>
      <c r="GEI2466" s="54"/>
      <c r="GEJ2466" s="54"/>
      <c r="GEK2466" s="60"/>
      <c r="GEL2466" s="60"/>
      <c r="GEM2466" s="60"/>
      <c r="GEN2466" s="60"/>
      <c r="GEO2466" s="63"/>
      <c r="GEP2466" s="61"/>
      <c r="GEQ2466" s="54"/>
      <c r="GER2466" s="54"/>
      <c r="GES2466" s="60"/>
      <c r="GET2466" s="60"/>
      <c r="GEU2466" s="60"/>
      <c r="GEV2466" s="60"/>
      <c r="GEW2466" s="63"/>
      <c r="GEX2466" s="61"/>
      <c r="GEY2466" s="54"/>
      <c r="GEZ2466" s="54"/>
      <c r="GFA2466" s="60"/>
      <c r="GFB2466" s="60"/>
      <c r="GFC2466" s="60"/>
      <c r="GFD2466" s="60"/>
      <c r="GFE2466" s="63"/>
      <c r="GFF2466" s="61"/>
      <c r="GFG2466" s="54"/>
      <c r="GFH2466" s="54"/>
      <c r="GFI2466" s="60"/>
      <c r="GFJ2466" s="60"/>
      <c r="GFK2466" s="60"/>
      <c r="GFL2466" s="60"/>
      <c r="GFM2466" s="63"/>
      <c r="GFN2466" s="61"/>
      <c r="GFO2466" s="54"/>
      <c r="GFP2466" s="54"/>
      <c r="GFQ2466" s="60"/>
      <c r="GFR2466" s="60"/>
      <c r="GFS2466" s="60"/>
      <c r="GFT2466" s="60"/>
      <c r="GFU2466" s="63"/>
      <c r="GFV2466" s="61"/>
      <c r="GFW2466" s="54"/>
      <c r="GFX2466" s="54"/>
      <c r="GFY2466" s="60"/>
      <c r="GFZ2466" s="60"/>
      <c r="GGA2466" s="60"/>
      <c r="GGB2466" s="60"/>
      <c r="GGC2466" s="63"/>
      <c r="GGD2466" s="61"/>
      <c r="GGE2466" s="54"/>
      <c r="GGF2466" s="54"/>
      <c r="GGG2466" s="60"/>
      <c r="GGH2466" s="60"/>
      <c r="GGI2466" s="60"/>
      <c r="GGJ2466" s="60"/>
      <c r="GGK2466" s="63"/>
      <c r="GGL2466" s="61"/>
      <c r="GGM2466" s="54"/>
      <c r="GGN2466" s="54"/>
      <c r="GGO2466" s="60"/>
      <c r="GGP2466" s="60"/>
      <c r="GGQ2466" s="60"/>
      <c r="GGR2466" s="60"/>
      <c r="GGS2466" s="63"/>
      <c r="GGT2466" s="61"/>
      <c r="GGU2466" s="54"/>
      <c r="GGV2466" s="54"/>
      <c r="GGW2466" s="60"/>
      <c r="GGX2466" s="60"/>
      <c r="GGY2466" s="60"/>
      <c r="GGZ2466" s="60"/>
      <c r="GHA2466" s="63"/>
      <c r="GHB2466" s="61"/>
      <c r="GHC2466" s="54"/>
      <c r="GHD2466" s="54"/>
      <c r="GHE2466" s="60"/>
      <c r="GHF2466" s="60"/>
      <c r="GHG2466" s="60"/>
      <c r="GHH2466" s="60"/>
      <c r="GHI2466" s="63"/>
      <c r="GHJ2466" s="61"/>
      <c r="GHK2466" s="54"/>
      <c r="GHL2466" s="54"/>
      <c r="GHM2466" s="60"/>
      <c r="GHN2466" s="60"/>
      <c r="GHO2466" s="60"/>
      <c r="GHP2466" s="60"/>
      <c r="GHQ2466" s="63"/>
      <c r="GHR2466" s="61"/>
      <c r="GHS2466" s="54"/>
      <c r="GHT2466" s="54"/>
      <c r="GHU2466" s="60"/>
      <c r="GHV2466" s="60"/>
      <c r="GHW2466" s="60"/>
      <c r="GHX2466" s="60"/>
      <c r="GHY2466" s="63"/>
      <c r="GHZ2466" s="61"/>
      <c r="GIA2466" s="54"/>
      <c r="GIB2466" s="54"/>
      <c r="GIC2466" s="60"/>
      <c r="GID2466" s="60"/>
      <c r="GIE2466" s="60"/>
      <c r="GIF2466" s="60"/>
      <c r="GIG2466" s="63"/>
      <c r="GIH2466" s="61"/>
      <c r="GII2466" s="54"/>
      <c r="GIJ2466" s="54"/>
      <c r="GIK2466" s="60"/>
      <c r="GIL2466" s="60"/>
      <c r="GIM2466" s="60"/>
      <c r="GIN2466" s="60"/>
      <c r="GIO2466" s="63"/>
      <c r="GIP2466" s="61"/>
      <c r="GIQ2466" s="54"/>
      <c r="GIR2466" s="54"/>
      <c r="GIS2466" s="60"/>
      <c r="GIT2466" s="60"/>
      <c r="GIU2466" s="60"/>
      <c r="GIV2466" s="60"/>
      <c r="GIW2466" s="63"/>
      <c r="GIX2466" s="61"/>
      <c r="GIY2466" s="54"/>
      <c r="GIZ2466" s="54"/>
      <c r="GJA2466" s="60"/>
      <c r="GJB2466" s="60"/>
      <c r="GJC2466" s="60"/>
      <c r="GJD2466" s="60"/>
      <c r="GJE2466" s="63"/>
      <c r="GJF2466" s="61"/>
      <c r="GJG2466" s="54"/>
      <c r="GJH2466" s="54"/>
      <c r="GJI2466" s="60"/>
      <c r="GJJ2466" s="60"/>
      <c r="GJK2466" s="60"/>
      <c r="GJL2466" s="60"/>
      <c r="GJM2466" s="63"/>
      <c r="GJN2466" s="61"/>
      <c r="GJO2466" s="54"/>
      <c r="GJP2466" s="54"/>
      <c r="GJQ2466" s="60"/>
      <c r="GJR2466" s="60"/>
      <c r="GJS2466" s="60"/>
      <c r="GJT2466" s="60"/>
      <c r="GJU2466" s="63"/>
      <c r="GJV2466" s="61"/>
      <c r="GJW2466" s="54"/>
      <c r="GJX2466" s="54"/>
      <c r="GJY2466" s="60"/>
      <c r="GJZ2466" s="60"/>
      <c r="GKA2466" s="60"/>
      <c r="GKB2466" s="60"/>
      <c r="GKC2466" s="63"/>
      <c r="GKD2466" s="61"/>
      <c r="GKE2466" s="54"/>
      <c r="GKF2466" s="54"/>
      <c r="GKG2466" s="60"/>
      <c r="GKH2466" s="60"/>
      <c r="GKI2466" s="60"/>
      <c r="GKJ2466" s="60"/>
      <c r="GKK2466" s="63"/>
      <c r="GKL2466" s="61"/>
      <c r="GKM2466" s="54"/>
      <c r="GKN2466" s="54"/>
      <c r="GKO2466" s="60"/>
      <c r="GKP2466" s="60"/>
      <c r="GKQ2466" s="60"/>
      <c r="GKR2466" s="60"/>
      <c r="GKS2466" s="63"/>
      <c r="GKT2466" s="61"/>
      <c r="GKU2466" s="54"/>
      <c r="GKV2466" s="54"/>
      <c r="GKW2466" s="60"/>
      <c r="GKX2466" s="60"/>
      <c r="GKY2466" s="60"/>
      <c r="GKZ2466" s="60"/>
      <c r="GLA2466" s="63"/>
      <c r="GLB2466" s="61"/>
      <c r="GLC2466" s="54"/>
      <c r="GLD2466" s="54"/>
      <c r="GLE2466" s="60"/>
      <c r="GLF2466" s="60"/>
      <c r="GLG2466" s="60"/>
      <c r="GLH2466" s="60"/>
      <c r="GLI2466" s="63"/>
      <c r="GLJ2466" s="61"/>
      <c r="GLK2466" s="54"/>
      <c r="GLL2466" s="54"/>
      <c r="GLM2466" s="60"/>
      <c r="GLN2466" s="60"/>
      <c r="GLO2466" s="60"/>
      <c r="GLP2466" s="60"/>
      <c r="GLQ2466" s="63"/>
      <c r="GLR2466" s="61"/>
      <c r="GLS2466" s="54"/>
      <c r="GLT2466" s="54"/>
      <c r="GLU2466" s="60"/>
      <c r="GLV2466" s="60"/>
      <c r="GLW2466" s="60"/>
      <c r="GLX2466" s="60"/>
      <c r="GLY2466" s="63"/>
      <c r="GLZ2466" s="61"/>
      <c r="GMA2466" s="54"/>
      <c r="GMB2466" s="54"/>
      <c r="GMC2466" s="60"/>
      <c r="GMD2466" s="60"/>
      <c r="GME2466" s="60"/>
      <c r="GMF2466" s="60"/>
      <c r="GMG2466" s="63"/>
      <c r="GMH2466" s="61"/>
      <c r="GMI2466" s="54"/>
      <c r="GMJ2466" s="54"/>
      <c r="GMK2466" s="60"/>
      <c r="GML2466" s="60"/>
      <c r="GMM2466" s="60"/>
      <c r="GMN2466" s="60"/>
      <c r="GMO2466" s="63"/>
      <c r="GMP2466" s="61"/>
      <c r="GMQ2466" s="54"/>
      <c r="GMR2466" s="54"/>
      <c r="GMS2466" s="60"/>
      <c r="GMT2466" s="60"/>
      <c r="GMU2466" s="60"/>
      <c r="GMV2466" s="60"/>
      <c r="GMW2466" s="63"/>
      <c r="GMX2466" s="61"/>
      <c r="GMY2466" s="54"/>
      <c r="GMZ2466" s="54"/>
      <c r="GNA2466" s="60"/>
      <c r="GNB2466" s="60"/>
      <c r="GNC2466" s="60"/>
      <c r="GND2466" s="60"/>
      <c r="GNE2466" s="63"/>
      <c r="GNF2466" s="61"/>
      <c r="GNG2466" s="54"/>
      <c r="GNH2466" s="54"/>
      <c r="GNI2466" s="60"/>
      <c r="GNJ2466" s="60"/>
      <c r="GNK2466" s="60"/>
      <c r="GNL2466" s="60"/>
      <c r="GNM2466" s="63"/>
      <c r="GNN2466" s="61"/>
      <c r="GNO2466" s="54"/>
      <c r="GNP2466" s="54"/>
      <c r="GNQ2466" s="60"/>
      <c r="GNR2466" s="60"/>
      <c r="GNS2466" s="60"/>
      <c r="GNT2466" s="60"/>
      <c r="GNU2466" s="63"/>
      <c r="GNV2466" s="61"/>
      <c r="GNW2466" s="54"/>
      <c r="GNX2466" s="54"/>
      <c r="GNY2466" s="60"/>
      <c r="GNZ2466" s="60"/>
      <c r="GOA2466" s="60"/>
      <c r="GOB2466" s="60"/>
      <c r="GOC2466" s="63"/>
      <c r="GOD2466" s="61"/>
      <c r="GOE2466" s="54"/>
      <c r="GOF2466" s="54"/>
      <c r="GOG2466" s="60"/>
      <c r="GOH2466" s="60"/>
      <c r="GOI2466" s="60"/>
      <c r="GOJ2466" s="60"/>
      <c r="GOK2466" s="63"/>
      <c r="GOL2466" s="61"/>
      <c r="GOM2466" s="54"/>
      <c r="GON2466" s="54"/>
      <c r="GOO2466" s="60"/>
      <c r="GOP2466" s="60"/>
      <c r="GOQ2466" s="60"/>
      <c r="GOR2466" s="60"/>
      <c r="GOS2466" s="63"/>
      <c r="GOT2466" s="61"/>
      <c r="GOU2466" s="54"/>
      <c r="GOV2466" s="54"/>
      <c r="GOW2466" s="60"/>
      <c r="GOX2466" s="60"/>
      <c r="GOY2466" s="60"/>
      <c r="GOZ2466" s="60"/>
      <c r="GPA2466" s="63"/>
      <c r="GPB2466" s="61"/>
      <c r="GPC2466" s="54"/>
      <c r="GPD2466" s="54"/>
      <c r="GPE2466" s="60"/>
      <c r="GPF2466" s="60"/>
      <c r="GPG2466" s="60"/>
      <c r="GPH2466" s="60"/>
      <c r="GPI2466" s="63"/>
      <c r="GPJ2466" s="61"/>
      <c r="GPK2466" s="54"/>
      <c r="GPL2466" s="54"/>
      <c r="GPM2466" s="60"/>
      <c r="GPN2466" s="60"/>
      <c r="GPO2466" s="60"/>
      <c r="GPP2466" s="60"/>
      <c r="GPQ2466" s="63"/>
      <c r="GPR2466" s="61"/>
      <c r="GPS2466" s="54"/>
      <c r="GPT2466" s="54"/>
      <c r="GPU2466" s="60"/>
      <c r="GPV2466" s="60"/>
      <c r="GPW2466" s="60"/>
      <c r="GPX2466" s="60"/>
      <c r="GPY2466" s="63"/>
      <c r="GPZ2466" s="61"/>
      <c r="GQA2466" s="54"/>
      <c r="GQB2466" s="54"/>
      <c r="GQC2466" s="60"/>
      <c r="GQD2466" s="60"/>
      <c r="GQE2466" s="60"/>
      <c r="GQF2466" s="60"/>
      <c r="GQG2466" s="63"/>
      <c r="GQH2466" s="61"/>
      <c r="GQI2466" s="54"/>
      <c r="GQJ2466" s="54"/>
      <c r="GQK2466" s="60"/>
      <c r="GQL2466" s="60"/>
      <c r="GQM2466" s="60"/>
      <c r="GQN2466" s="60"/>
      <c r="GQO2466" s="63"/>
      <c r="GQP2466" s="61"/>
      <c r="GQQ2466" s="54"/>
      <c r="GQR2466" s="54"/>
      <c r="GQS2466" s="60"/>
      <c r="GQT2466" s="60"/>
      <c r="GQU2466" s="60"/>
      <c r="GQV2466" s="60"/>
      <c r="GQW2466" s="63"/>
      <c r="GQX2466" s="61"/>
      <c r="GQY2466" s="54"/>
      <c r="GQZ2466" s="54"/>
      <c r="GRA2466" s="60"/>
      <c r="GRB2466" s="60"/>
      <c r="GRC2466" s="60"/>
      <c r="GRD2466" s="60"/>
      <c r="GRE2466" s="63"/>
      <c r="GRF2466" s="61"/>
      <c r="GRG2466" s="54"/>
      <c r="GRH2466" s="54"/>
      <c r="GRI2466" s="60"/>
      <c r="GRJ2466" s="60"/>
      <c r="GRK2466" s="60"/>
      <c r="GRL2466" s="60"/>
      <c r="GRM2466" s="63"/>
      <c r="GRN2466" s="61"/>
      <c r="GRO2466" s="54"/>
      <c r="GRP2466" s="54"/>
      <c r="GRQ2466" s="60"/>
      <c r="GRR2466" s="60"/>
      <c r="GRS2466" s="60"/>
      <c r="GRT2466" s="60"/>
      <c r="GRU2466" s="63"/>
      <c r="GRV2466" s="61"/>
      <c r="GRW2466" s="54"/>
      <c r="GRX2466" s="54"/>
      <c r="GRY2466" s="60"/>
      <c r="GRZ2466" s="60"/>
      <c r="GSA2466" s="60"/>
      <c r="GSB2466" s="60"/>
      <c r="GSC2466" s="63"/>
      <c r="GSD2466" s="61"/>
      <c r="GSE2466" s="54"/>
      <c r="GSF2466" s="54"/>
      <c r="GSG2466" s="60"/>
      <c r="GSH2466" s="60"/>
      <c r="GSI2466" s="60"/>
      <c r="GSJ2466" s="60"/>
      <c r="GSK2466" s="63"/>
      <c r="GSL2466" s="61"/>
      <c r="GSM2466" s="54"/>
      <c r="GSN2466" s="54"/>
      <c r="GSO2466" s="60"/>
      <c r="GSP2466" s="60"/>
      <c r="GSQ2466" s="60"/>
      <c r="GSR2466" s="60"/>
      <c r="GSS2466" s="63"/>
      <c r="GST2466" s="61"/>
      <c r="GSU2466" s="54"/>
      <c r="GSV2466" s="54"/>
      <c r="GSW2466" s="60"/>
      <c r="GSX2466" s="60"/>
      <c r="GSY2466" s="60"/>
      <c r="GSZ2466" s="60"/>
      <c r="GTA2466" s="63"/>
      <c r="GTB2466" s="61"/>
      <c r="GTC2466" s="54"/>
      <c r="GTD2466" s="54"/>
      <c r="GTE2466" s="60"/>
      <c r="GTF2466" s="60"/>
      <c r="GTG2466" s="60"/>
      <c r="GTH2466" s="60"/>
      <c r="GTI2466" s="63"/>
      <c r="GTJ2466" s="61"/>
      <c r="GTK2466" s="54"/>
      <c r="GTL2466" s="54"/>
      <c r="GTM2466" s="60"/>
      <c r="GTN2466" s="60"/>
      <c r="GTO2466" s="60"/>
      <c r="GTP2466" s="60"/>
      <c r="GTQ2466" s="63"/>
      <c r="GTR2466" s="61"/>
      <c r="GTS2466" s="54"/>
      <c r="GTT2466" s="54"/>
      <c r="GTU2466" s="60"/>
      <c r="GTV2466" s="60"/>
      <c r="GTW2466" s="60"/>
      <c r="GTX2466" s="60"/>
      <c r="GTY2466" s="63"/>
      <c r="GTZ2466" s="61"/>
      <c r="GUA2466" s="54"/>
      <c r="GUB2466" s="54"/>
      <c r="GUC2466" s="60"/>
      <c r="GUD2466" s="60"/>
      <c r="GUE2466" s="60"/>
      <c r="GUF2466" s="60"/>
      <c r="GUG2466" s="63"/>
      <c r="GUH2466" s="61"/>
      <c r="GUI2466" s="54"/>
      <c r="GUJ2466" s="54"/>
      <c r="GUK2466" s="60"/>
      <c r="GUL2466" s="60"/>
      <c r="GUM2466" s="60"/>
      <c r="GUN2466" s="60"/>
      <c r="GUO2466" s="63"/>
      <c r="GUP2466" s="61"/>
      <c r="GUQ2466" s="54"/>
      <c r="GUR2466" s="54"/>
      <c r="GUS2466" s="60"/>
      <c r="GUT2466" s="60"/>
      <c r="GUU2466" s="60"/>
      <c r="GUV2466" s="60"/>
      <c r="GUW2466" s="63"/>
      <c r="GUX2466" s="61"/>
      <c r="GUY2466" s="54"/>
      <c r="GUZ2466" s="54"/>
      <c r="GVA2466" s="60"/>
      <c r="GVB2466" s="60"/>
      <c r="GVC2466" s="60"/>
      <c r="GVD2466" s="60"/>
      <c r="GVE2466" s="63"/>
      <c r="GVF2466" s="61"/>
      <c r="GVG2466" s="54"/>
      <c r="GVH2466" s="54"/>
      <c r="GVI2466" s="60"/>
      <c r="GVJ2466" s="60"/>
      <c r="GVK2466" s="60"/>
      <c r="GVL2466" s="60"/>
      <c r="GVM2466" s="63"/>
      <c r="GVN2466" s="61"/>
      <c r="GVO2466" s="54"/>
      <c r="GVP2466" s="54"/>
      <c r="GVQ2466" s="60"/>
      <c r="GVR2466" s="60"/>
      <c r="GVS2466" s="60"/>
      <c r="GVT2466" s="60"/>
      <c r="GVU2466" s="63"/>
      <c r="GVV2466" s="61"/>
      <c r="GVW2466" s="54"/>
      <c r="GVX2466" s="54"/>
      <c r="GVY2466" s="60"/>
      <c r="GVZ2466" s="60"/>
      <c r="GWA2466" s="60"/>
      <c r="GWB2466" s="60"/>
      <c r="GWC2466" s="63"/>
      <c r="GWD2466" s="61"/>
      <c r="GWE2466" s="54"/>
      <c r="GWF2466" s="54"/>
      <c r="GWG2466" s="60"/>
      <c r="GWH2466" s="60"/>
      <c r="GWI2466" s="60"/>
      <c r="GWJ2466" s="60"/>
      <c r="GWK2466" s="63"/>
      <c r="GWL2466" s="61"/>
      <c r="GWM2466" s="54"/>
      <c r="GWN2466" s="54"/>
      <c r="GWO2466" s="60"/>
      <c r="GWP2466" s="60"/>
      <c r="GWQ2466" s="60"/>
      <c r="GWR2466" s="60"/>
      <c r="GWS2466" s="63"/>
      <c r="GWT2466" s="61"/>
      <c r="GWU2466" s="54"/>
      <c r="GWV2466" s="54"/>
      <c r="GWW2466" s="60"/>
      <c r="GWX2466" s="60"/>
      <c r="GWY2466" s="60"/>
      <c r="GWZ2466" s="60"/>
      <c r="GXA2466" s="63"/>
      <c r="GXB2466" s="61"/>
      <c r="GXC2466" s="54"/>
      <c r="GXD2466" s="54"/>
      <c r="GXE2466" s="60"/>
      <c r="GXF2466" s="60"/>
      <c r="GXG2466" s="60"/>
      <c r="GXH2466" s="60"/>
      <c r="GXI2466" s="63"/>
      <c r="GXJ2466" s="61"/>
      <c r="GXK2466" s="54"/>
      <c r="GXL2466" s="54"/>
      <c r="GXM2466" s="60"/>
      <c r="GXN2466" s="60"/>
      <c r="GXO2466" s="60"/>
      <c r="GXP2466" s="60"/>
      <c r="GXQ2466" s="63"/>
      <c r="GXR2466" s="61"/>
      <c r="GXS2466" s="54"/>
      <c r="GXT2466" s="54"/>
      <c r="GXU2466" s="60"/>
      <c r="GXV2466" s="60"/>
      <c r="GXW2466" s="60"/>
      <c r="GXX2466" s="60"/>
      <c r="GXY2466" s="63"/>
      <c r="GXZ2466" s="61"/>
      <c r="GYA2466" s="54"/>
      <c r="GYB2466" s="54"/>
      <c r="GYC2466" s="60"/>
      <c r="GYD2466" s="60"/>
      <c r="GYE2466" s="60"/>
      <c r="GYF2466" s="60"/>
      <c r="GYG2466" s="63"/>
      <c r="GYH2466" s="61"/>
      <c r="GYI2466" s="54"/>
      <c r="GYJ2466" s="54"/>
      <c r="GYK2466" s="60"/>
      <c r="GYL2466" s="60"/>
      <c r="GYM2466" s="60"/>
      <c r="GYN2466" s="60"/>
      <c r="GYO2466" s="63"/>
      <c r="GYP2466" s="61"/>
      <c r="GYQ2466" s="54"/>
      <c r="GYR2466" s="54"/>
      <c r="GYS2466" s="60"/>
      <c r="GYT2466" s="60"/>
      <c r="GYU2466" s="60"/>
      <c r="GYV2466" s="60"/>
      <c r="GYW2466" s="63"/>
      <c r="GYX2466" s="61"/>
      <c r="GYY2466" s="54"/>
      <c r="GYZ2466" s="54"/>
      <c r="GZA2466" s="60"/>
      <c r="GZB2466" s="60"/>
      <c r="GZC2466" s="60"/>
      <c r="GZD2466" s="60"/>
      <c r="GZE2466" s="63"/>
      <c r="GZF2466" s="61"/>
      <c r="GZG2466" s="54"/>
      <c r="GZH2466" s="54"/>
      <c r="GZI2466" s="60"/>
      <c r="GZJ2466" s="60"/>
      <c r="GZK2466" s="60"/>
      <c r="GZL2466" s="60"/>
      <c r="GZM2466" s="63"/>
      <c r="GZN2466" s="61"/>
      <c r="GZO2466" s="54"/>
      <c r="GZP2466" s="54"/>
      <c r="GZQ2466" s="60"/>
      <c r="GZR2466" s="60"/>
      <c r="GZS2466" s="60"/>
      <c r="GZT2466" s="60"/>
      <c r="GZU2466" s="63"/>
      <c r="GZV2466" s="61"/>
      <c r="GZW2466" s="54"/>
      <c r="GZX2466" s="54"/>
      <c r="GZY2466" s="60"/>
      <c r="GZZ2466" s="60"/>
      <c r="HAA2466" s="60"/>
      <c r="HAB2466" s="60"/>
      <c r="HAC2466" s="63"/>
      <c r="HAD2466" s="61"/>
      <c r="HAE2466" s="54"/>
      <c r="HAF2466" s="54"/>
      <c r="HAG2466" s="60"/>
      <c r="HAH2466" s="60"/>
      <c r="HAI2466" s="60"/>
      <c r="HAJ2466" s="60"/>
      <c r="HAK2466" s="63"/>
      <c r="HAL2466" s="61"/>
      <c r="HAM2466" s="54"/>
      <c r="HAN2466" s="54"/>
      <c r="HAO2466" s="60"/>
      <c r="HAP2466" s="60"/>
      <c r="HAQ2466" s="60"/>
      <c r="HAR2466" s="60"/>
      <c r="HAS2466" s="63"/>
      <c r="HAT2466" s="61"/>
      <c r="HAU2466" s="54"/>
      <c r="HAV2466" s="54"/>
      <c r="HAW2466" s="60"/>
      <c r="HAX2466" s="60"/>
      <c r="HAY2466" s="60"/>
      <c r="HAZ2466" s="60"/>
      <c r="HBA2466" s="63"/>
      <c r="HBB2466" s="61"/>
      <c r="HBC2466" s="54"/>
      <c r="HBD2466" s="54"/>
      <c r="HBE2466" s="60"/>
      <c r="HBF2466" s="60"/>
      <c r="HBG2466" s="60"/>
      <c r="HBH2466" s="60"/>
      <c r="HBI2466" s="63"/>
      <c r="HBJ2466" s="61"/>
      <c r="HBK2466" s="54"/>
      <c r="HBL2466" s="54"/>
      <c r="HBM2466" s="60"/>
      <c r="HBN2466" s="60"/>
      <c r="HBO2466" s="60"/>
      <c r="HBP2466" s="60"/>
      <c r="HBQ2466" s="63"/>
      <c r="HBR2466" s="61"/>
      <c r="HBS2466" s="54"/>
      <c r="HBT2466" s="54"/>
      <c r="HBU2466" s="60"/>
      <c r="HBV2466" s="60"/>
      <c r="HBW2466" s="60"/>
      <c r="HBX2466" s="60"/>
      <c r="HBY2466" s="63"/>
      <c r="HBZ2466" s="61"/>
      <c r="HCA2466" s="54"/>
      <c r="HCB2466" s="54"/>
      <c r="HCC2466" s="60"/>
      <c r="HCD2466" s="60"/>
      <c r="HCE2466" s="60"/>
      <c r="HCF2466" s="60"/>
      <c r="HCG2466" s="63"/>
      <c r="HCH2466" s="61"/>
      <c r="HCI2466" s="54"/>
      <c r="HCJ2466" s="54"/>
      <c r="HCK2466" s="60"/>
      <c r="HCL2466" s="60"/>
      <c r="HCM2466" s="60"/>
      <c r="HCN2466" s="60"/>
      <c r="HCO2466" s="63"/>
      <c r="HCP2466" s="61"/>
      <c r="HCQ2466" s="54"/>
      <c r="HCR2466" s="54"/>
      <c r="HCS2466" s="60"/>
      <c r="HCT2466" s="60"/>
      <c r="HCU2466" s="60"/>
      <c r="HCV2466" s="60"/>
      <c r="HCW2466" s="63"/>
      <c r="HCX2466" s="61"/>
      <c r="HCY2466" s="54"/>
      <c r="HCZ2466" s="54"/>
      <c r="HDA2466" s="60"/>
      <c r="HDB2466" s="60"/>
      <c r="HDC2466" s="60"/>
      <c r="HDD2466" s="60"/>
      <c r="HDE2466" s="63"/>
      <c r="HDF2466" s="61"/>
      <c r="HDG2466" s="54"/>
      <c r="HDH2466" s="54"/>
      <c r="HDI2466" s="60"/>
      <c r="HDJ2466" s="60"/>
      <c r="HDK2466" s="60"/>
      <c r="HDL2466" s="60"/>
      <c r="HDM2466" s="63"/>
      <c r="HDN2466" s="61"/>
      <c r="HDO2466" s="54"/>
      <c r="HDP2466" s="54"/>
      <c r="HDQ2466" s="60"/>
      <c r="HDR2466" s="60"/>
      <c r="HDS2466" s="60"/>
      <c r="HDT2466" s="60"/>
      <c r="HDU2466" s="63"/>
      <c r="HDV2466" s="61"/>
      <c r="HDW2466" s="54"/>
      <c r="HDX2466" s="54"/>
      <c r="HDY2466" s="60"/>
      <c r="HDZ2466" s="60"/>
      <c r="HEA2466" s="60"/>
      <c r="HEB2466" s="60"/>
      <c r="HEC2466" s="63"/>
      <c r="HED2466" s="61"/>
      <c r="HEE2466" s="54"/>
      <c r="HEF2466" s="54"/>
      <c r="HEG2466" s="60"/>
      <c r="HEH2466" s="60"/>
      <c r="HEI2466" s="60"/>
      <c r="HEJ2466" s="60"/>
      <c r="HEK2466" s="63"/>
      <c r="HEL2466" s="61"/>
      <c r="HEM2466" s="54"/>
      <c r="HEN2466" s="54"/>
      <c r="HEO2466" s="60"/>
      <c r="HEP2466" s="60"/>
      <c r="HEQ2466" s="60"/>
      <c r="HER2466" s="60"/>
      <c r="HES2466" s="63"/>
      <c r="HET2466" s="61"/>
      <c r="HEU2466" s="54"/>
      <c r="HEV2466" s="54"/>
      <c r="HEW2466" s="60"/>
      <c r="HEX2466" s="60"/>
      <c r="HEY2466" s="60"/>
      <c r="HEZ2466" s="60"/>
      <c r="HFA2466" s="63"/>
      <c r="HFB2466" s="61"/>
      <c r="HFC2466" s="54"/>
      <c r="HFD2466" s="54"/>
      <c r="HFE2466" s="60"/>
      <c r="HFF2466" s="60"/>
      <c r="HFG2466" s="60"/>
      <c r="HFH2466" s="60"/>
      <c r="HFI2466" s="63"/>
      <c r="HFJ2466" s="61"/>
      <c r="HFK2466" s="54"/>
      <c r="HFL2466" s="54"/>
      <c r="HFM2466" s="60"/>
      <c r="HFN2466" s="60"/>
      <c r="HFO2466" s="60"/>
      <c r="HFP2466" s="60"/>
      <c r="HFQ2466" s="63"/>
      <c r="HFR2466" s="61"/>
      <c r="HFS2466" s="54"/>
      <c r="HFT2466" s="54"/>
      <c r="HFU2466" s="60"/>
      <c r="HFV2466" s="60"/>
      <c r="HFW2466" s="60"/>
      <c r="HFX2466" s="60"/>
      <c r="HFY2466" s="63"/>
      <c r="HFZ2466" s="61"/>
      <c r="HGA2466" s="54"/>
      <c r="HGB2466" s="54"/>
      <c r="HGC2466" s="60"/>
      <c r="HGD2466" s="60"/>
      <c r="HGE2466" s="60"/>
      <c r="HGF2466" s="60"/>
      <c r="HGG2466" s="63"/>
      <c r="HGH2466" s="61"/>
      <c r="HGI2466" s="54"/>
      <c r="HGJ2466" s="54"/>
      <c r="HGK2466" s="60"/>
      <c r="HGL2466" s="60"/>
      <c r="HGM2466" s="60"/>
      <c r="HGN2466" s="60"/>
      <c r="HGO2466" s="63"/>
      <c r="HGP2466" s="61"/>
      <c r="HGQ2466" s="54"/>
      <c r="HGR2466" s="54"/>
      <c r="HGS2466" s="60"/>
      <c r="HGT2466" s="60"/>
      <c r="HGU2466" s="60"/>
      <c r="HGV2466" s="60"/>
      <c r="HGW2466" s="63"/>
      <c r="HGX2466" s="61"/>
      <c r="HGY2466" s="54"/>
      <c r="HGZ2466" s="54"/>
      <c r="HHA2466" s="60"/>
      <c r="HHB2466" s="60"/>
      <c r="HHC2466" s="60"/>
      <c r="HHD2466" s="60"/>
      <c r="HHE2466" s="63"/>
      <c r="HHF2466" s="61"/>
      <c r="HHG2466" s="54"/>
      <c r="HHH2466" s="54"/>
      <c r="HHI2466" s="60"/>
      <c r="HHJ2466" s="60"/>
      <c r="HHK2466" s="60"/>
      <c r="HHL2466" s="60"/>
      <c r="HHM2466" s="63"/>
      <c r="HHN2466" s="61"/>
      <c r="HHO2466" s="54"/>
      <c r="HHP2466" s="54"/>
      <c r="HHQ2466" s="60"/>
      <c r="HHR2466" s="60"/>
      <c r="HHS2466" s="60"/>
      <c r="HHT2466" s="60"/>
      <c r="HHU2466" s="63"/>
      <c r="HHV2466" s="61"/>
      <c r="HHW2466" s="54"/>
      <c r="HHX2466" s="54"/>
      <c r="HHY2466" s="60"/>
      <c r="HHZ2466" s="60"/>
      <c r="HIA2466" s="60"/>
      <c r="HIB2466" s="60"/>
      <c r="HIC2466" s="63"/>
      <c r="HID2466" s="61"/>
      <c r="HIE2466" s="54"/>
      <c r="HIF2466" s="54"/>
      <c r="HIG2466" s="60"/>
      <c r="HIH2466" s="60"/>
      <c r="HII2466" s="60"/>
      <c r="HIJ2466" s="60"/>
      <c r="HIK2466" s="63"/>
      <c r="HIL2466" s="61"/>
      <c r="HIM2466" s="54"/>
      <c r="HIN2466" s="54"/>
      <c r="HIO2466" s="60"/>
      <c r="HIP2466" s="60"/>
      <c r="HIQ2466" s="60"/>
      <c r="HIR2466" s="60"/>
      <c r="HIS2466" s="63"/>
      <c r="HIT2466" s="61"/>
      <c r="HIU2466" s="54"/>
      <c r="HIV2466" s="54"/>
      <c r="HIW2466" s="60"/>
      <c r="HIX2466" s="60"/>
      <c r="HIY2466" s="60"/>
      <c r="HIZ2466" s="60"/>
      <c r="HJA2466" s="63"/>
      <c r="HJB2466" s="61"/>
      <c r="HJC2466" s="54"/>
      <c r="HJD2466" s="54"/>
      <c r="HJE2466" s="60"/>
      <c r="HJF2466" s="60"/>
      <c r="HJG2466" s="60"/>
      <c r="HJH2466" s="60"/>
      <c r="HJI2466" s="63"/>
      <c r="HJJ2466" s="61"/>
      <c r="HJK2466" s="54"/>
      <c r="HJL2466" s="54"/>
      <c r="HJM2466" s="60"/>
      <c r="HJN2466" s="60"/>
      <c r="HJO2466" s="60"/>
      <c r="HJP2466" s="60"/>
      <c r="HJQ2466" s="63"/>
      <c r="HJR2466" s="61"/>
      <c r="HJS2466" s="54"/>
      <c r="HJT2466" s="54"/>
      <c r="HJU2466" s="60"/>
      <c r="HJV2466" s="60"/>
      <c r="HJW2466" s="60"/>
      <c r="HJX2466" s="60"/>
      <c r="HJY2466" s="63"/>
      <c r="HJZ2466" s="61"/>
      <c r="HKA2466" s="54"/>
      <c r="HKB2466" s="54"/>
      <c r="HKC2466" s="60"/>
      <c r="HKD2466" s="60"/>
      <c r="HKE2466" s="60"/>
      <c r="HKF2466" s="60"/>
      <c r="HKG2466" s="63"/>
      <c r="HKH2466" s="61"/>
      <c r="HKI2466" s="54"/>
      <c r="HKJ2466" s="54"/>
      <c r="HKK2466" s="60"/>
      <c r="HKL2466" s="60"/>
      <c r="HKM2466" s="60"/>
      <c r="HKN2466" s="60"/>
      <c r="HKO2466" s="63"/>
      <c r="HKP2466" s="61"/>
      <c r="HKQ2466" s="54"/>
      <c r="HKR2466" s="54"/>
      <c r="HKS2466" s="60"/>
      <c r="HKT2466" s="60"/>
      <c r="HKU2466" s="60"/>
      <c r="HKV2466" s="60"/>
      <c r="HKW2466" s="63"/>
      <c r="HKX2466" s="61"/>
      <c r="HKY2466" s="54"/>
      <c r="HKZ2466" s="54"/>
      <c r="HLA2466" s="60"/>
      <c r="HLB2466" s="60"/>
      <c r="HLC2466" s="60"/>
      <c r="HLD2466" s="60"/>
      <c r="HLE2466" s="63"/>
      <c r="HLF2466" s="61"/>
      <c r="HLG2466" s="54"/>
      <c r="HLH2466" s="54"/>
      <c r="HLI2466" s="60"/>
      <c r="HLJ2466" s="60"/>
      <c r="HLK2466" s="60"/>
      <c r="HLL2466" s="60"/>
      <c r="HLM2466" s="63"/>
      <c r="HLN2466" s="61"/>
      <c r="HLO2466" s="54"/>
      <c r="HLP2466" s="54"/>
      <c r="HLQ2466" s="60"/>
      <c r="HLR2466" s="60"/>
      <c r="HLS2466" s="60"/>
      <c r="HLT2466" s="60"/>
      <c r="HLU2466" s="63"/>
      <c r="HLV2466" s="61"/>
      <c r="HLW2466" s="54"/>
      <c r="HLX2466" s="54"/>
      <c r="HLY2466" s="60"/>
      <c r="HLZ2466" s="60"/>
      <c r="HMA2466" s="60"/>
      <c r="HMB2466" s="60"/>
      <c r="HMC2466" s="63"/>
      <c r="HMD2466" s="61"/>
      <c r="HME2466" s="54"/>
      <c r="HMF2466" s="54"/>
      <c r="HMG2466" s="60"/>
      <c r="HMH2466" s="60"/>
      <c r="HMI2466" s="60"/>
      <c r="HMJ2466" s="60"/>
      <c r="HMK2466" s="63"/>
      <c r="HML2466" s="61"/>
      <c r="HMM2466" s="54"/>
      <c r="HMN2466" s="54"/>
      <c r="HMO2466" s="60"/>
      <c r="HMP2466" s="60"/>
      <c r="HMQ2466" s="60"/>
      <c r="HMR2466" s="60"/>
      <c r="HMS2466" s="63"/>
      <c r="HMT2466" s="61"/>
      <c r="HMU2466" s="54"/>
      <c r="HMV2466" s="54"/>
      <c r="HMW2466" s="60"/>
      <c r="HMX2466" s="60"/>
      <c r="HMY2466" s="60"/>
      <c r="HMZ2466" s="60"/>
      <c r="HNA2466" s="63"/>
      <c r="HNB2466" s="61"/>
      <c r="HNC2466" s="54"/>
      <c r="HND2466" s="54"/>
      <c r="HNE2466" s="60"/>
      <c r="HNF2466" s="60"/>
      <c r="HNG2466" s="60"/>
      <c r="HNH2466" s="60"/>
      <c r="HNI2466" s="63"/>
      <c r="HNJ2466" s="61"/>
      <c r="HNK2466" s="54"/>
      <c r="HNL2466" s="54"/>
      <c r="HNM2466" s="60"/>
      <c r="HNN2466" s="60"/>
      <c r="HNO2466" s="60"/>
      <c r="HNP2466" s="60"/>
      <c r="HNQ2466" s="63"/>
      <c r="HNR2466" s="61"/>
      <c r="HNS2466" s="54"/>
      <c r="HNT2466" s="54"/>
      <c r="HNU2466" s="60"/>
      <c r="HNV2466" s="60"/>
      <c r="HNW2466" s="60"/>
      <c r="HNX2466" s="60"/>
      <c r="HNY2466" s="63"/>
      <c r="HNZ2466" s="61"/>
      <c r="HOA2466" s="54"/>
      <c r="HOB2466" s="54"/>
      <c r="HOC2466" s="60"/>
      <c r="HOD2466" s="60"/>
      <c r="HOE2466" s="60"/>
      <c r="HOF2466" s="60"/>
      <c r="HOG2466" s="63"/>
      <c r="HOH2466" s="61"/>
      <c r="HOI2466" s="54"/>
      <c r="HOJ2466" s="54"/>
      <c r="HOK2466" s="60"/>
      <c r="HOL2466" s="60"/>
      <c r="HOM2466" s="60"/>
      <c r="HON2466" s="60"/>
      <c r="HOO2466" s="63"/>
      <c r="HOP2466" s="61"/>
      <c r="HOQ2466" s="54"/>
      <c r="HOR2466" s="54"/>
      <c r="HOS2466" s="60"/>
      <c r="HOT2466" s="60"/>
      <c r="HOU2466" s="60"/>
      <c r="HOV2466" s="60"/>
      <c r="HOW2466" s="63"/>
      <c r="HOX2466" s="61"/>
      <c r="HOY2466" s="54"/>
      <c r="HOZ2466" s="54"/>
      <c r="HPA2466" s="60"/>
      <c r="HPB2466" s="60"/>
      <c r="HPC2466" s="60"/>
      <c r="HPD2466" s="60"/>
      <c r="HPE2466" s="63"/>
      <c r="HPF2466" s="61"/>
      <c r="HPG2466" s="54"/>
      <c r="HPH2466" s="54"/>
      <c r="HPI2466" s="60"/>
      <c r="HPJ2466" s="60"/>
      <c r="HPK2466" s="60"/>
      <c r="HPL2466" s="60"/>
      <c r="HPM2466" s="63"/>
      <c r="HPN2466" s="61"/>
      <c r="HPO2466" s="54"/>
      <c r="HPP2466" s="54"/>
      <c r="HPQ2466" s="60"/>
      <c r="HPR2466" s="60"/>
      <c r="HPS2466" s="60"/>
      <c r="HPT2466" s="60"/>
      <c r="HPU2466" s="63"/>
      <c r="HPV2466" s="61"/>
      <c r="HPW2466" s="54"/>
      <c r="HPX2466" s="54"/>
      <c r="HPY2466" s="60"/>
      <c r="HPZ2466" s="60"/>
      <c r="HQA2466" s="60"/>
      <c r="HQB2466" s="60"/>
      <c r="HQC2466" s="63"/>
      <c r="HQD2466" s="61"/>
      <c r="HQE2466" s="54"/>
      <c r="HQF2466" s="54"/>
      <c r="HQG2466" s="60"/>
      <c r="HQH2466" s="60"/>
      <c r="HQI2466" s="60"/>
      <c r="HQJ2466" s="60"/>
      <c r="HQK2466" s="63"/>
      <c r="HQL2466" s="61"/>
      <c r="HQM2466" s="54"/>
      <c r="HQN2466" s="54"/>
      <c r="HQO2466" s="60"/>
      <c r="HQP2466" s="60"/>
      <c r="HQQ2466" s="60"/>
      <c r="HQR2466" s="60"/>
      <c r="HQS2466" s="63"/>
      <c r="HQT2466" s="61"/>
      <c r="HQU2466" s="54"/>
      <c r="HQV2466" s="54"/>
      <c r="HQW2466" s="60"/>
      <c r="HQX2466" s="60"/>
      <c r="HQY2466" s="60"/>
      <c r="HQZ2466" s="60"/>
      <c r="HRA2466" s="63"/>
      <c r="HRB2466" s="61"/>
      <c r="HRC2466" s="54"/>
      <c r="HRD2466" s="54"/>
      <c r="HRE2466" s="60"/>
      <c r="HRF2466" s="60"/>
      <c r="HRG2466" s="60"/>
      <c r="HRH2466" s="60"/>
      <c r="HRI2466" s="63"/>
      <c r="HRJ2466" s="61"/>
      <c r="HRK2466" s="54"/>
      <c r="HRL2466" s="54"/>
      <c r="HRM2466" s="60"/>
      <c r="HRN2466" s="60"/>
      <c r="HRO2466" s="60"/>
      <c r="HRP2466" s="60"/>
      <c r="HRQ2466" s="63"/>
      <c r="HRR2466" s="61"/>
      <c r="HRS2466" s="54"/>
      <c r="HRT2466" s="54"/>
      <c r="HRU2466" s="60"/>
      <c r="HRV2466" s="60"/>
      <c r="HRW2466" s="60"/>
      <c r="HRX2466" s="60"/>
      <c r="HRY2466" s="63"/>
      <c r="HRZ2466" s="61"/>
      <c r="HSA2466" s="54"/>
      <c r="HSB2466" s="54"/>
      <c r="HSC2466" s="60"/>
      <c r="HSD2466" s="60"/>
      <c r="HSE2466" s="60"/>
      <c r="HSF2466" s="60"/>
      <c r="HSG2466" s="63"/>
      <c r="HSH2466" s="61"/>
      <c r="HSI2466" s="54"/>
      <c r="HSJ2466" s="54"/>
      <c r="HSK2466" s="60"/>
      <c r="HSL2466" s="60"/>
      <c r="HSM2466" s="60"/>
      <c r="HSN2466" s="60"/>
      <c r="HSO2466" s="63"/>
      <c r="HSP2466" s="61"/>
      <c r="HSQ2466" s="54"/>
      <c r="HSR2466" s="54"/>
      <c r="HSS2466" s="60"/>
      <c r="HST2466" s="60"/>
      <c r="HSU2466" s="60"/>
      <c r="HSV2466" s="60"/>
      <c r="HSW2466" s="63"/>
      <c r="HSX2466" s="61"/>
      <c r="HSY2466" s="54"/>
      <c r="HSZ2466" s="54"/>
      <c r="HTA2466" s="60"/>
      <c r="HTB2466" s="60"/>
      <c r="HTC2466" s="60"/>
      <c r="HTD2466" s="60"/>
      <c r="HTE2466" s="63"/>
      <c r="HTF2466" s="61"/>
      <c r="HTG2466" s="54"/>
      <c r="HTH2466" s="54"/>
      <c r="HTI2466" s="60"/>
      <c r="HTJ2466" s="60"/>
      <c r="HTK2466" s="60"/>
      <c r="HTL2466" s="60"/>
      <c r="HTM2466" s="63"/>
      <c r="HTN2466" s="61"/>
      <c r="HTO2466" s="54"/>
      <c r="HTP2466" s="54"/>
      <c r="HTQ2466" s="60"/>
      <c r="HTR2466" s="60"/>
      <c r="HTS2466" s="60"/>
      <c r="HTT2466" s="60"/>
      <c r="HTU2466" s="63"/>
      <c r="HTV2466" s="61"/>
      <c r="HTW2466" s="54"/>
      <c r="HTX2466" s="54"/>
      <c r="HTY2466" s="60"/>
      <c r="HTZ2466" s="60"/>
      <c r="HUA2466" s="60"/>
      <c r="HUB2466" s="60"/>
      <c r="HUC2466" s="63"/>
      <c r="HUD2466" s="61"/>
      <c r="HUE2466" s="54"/>
      <c r="HUF2466" s="54"/>
      <c r="HUG2466" s="60"/>
      <c r="HUH2466" s="60"/>
      <c r="HUI2466" s="60"/>
      <c r="HUJ2466" s="60"/>
      <c r="HUK2466" s="63"/>
      <c r="HUL2466" s="61"/>
      <c r="HUM2466" s="54"/>
      <c r="HUN2466" s="54"/>
      <c r="HUO2466" s="60"/>
      <c r="HUP2466" s="60"/>
      <c r="HUQ2466" s="60"/>
      <c r="HUR2466" s="60"/>
      <c r="HUS2466" s="63"/>
      <c r="HUT2466" s="61"/>
      <c r="HUU2466" s="54"/>
      <c r="HUV2466" s="54"/>
      <c r="HUW2466" s="60"/>
      <c r="HUX2466" s="60"/>
      <c r="HUY2466" s="60"/>
      <c r="HUZ2466" s="60"/>
      <c r="HVA2466" s="63"/>
      <c r="HVB2466" s="61"/>
      <c r="HVC2466" s="54"/>
      <c r="HVD2466" s="54"/>
      <c r="HVE2466" s="60"/>
      <c r="HVF2466" s="60"/>
      <c r="HVG2466" s="60"/>
      <c r="HVH2466" s="60"/>
      <c r="HVI2466" s="63"/>
      <c r="HVJ2466" s="61"/>
      <c r="HVK2466" s="54"/>
      <c r="HVL2466" s="54"/>
      <c r="HVM2466" s="60"/>
      <c r="HVN2466" s="60"/>
      <c r="HVO2466" s="60"/>
      <c r="HVP2466" s="60"/>
      <c r="HVQ2466" s="63"/>
      <c r="HVR2466" s="61"/>
      <c r="HVS2466" s="54"/>
      <c r="HVT2466" s="54"/>
      <c r="HVU2466" s="60"/>
      <c r="HVV2466" s="60"/>
      <c r="HVW2466" s="60"/>
      <c r="HVX2466" s="60"/>
      <c r="HVY2466" s="63"/>
      <c r="HVZ2466" s="61"/>
      <c r="HWA2466" s="54"/>
      <c r="HWB2466" s="54"/>
      <c r="HWC2466" s="60"/>
      <c r="HWD2466" s="60"/>
      <c r="HWE2466" s="60"/>
      <c r="HWF2466" s="60"/>
      <c r="HWG2466" s="63"/>
      <c r="HWH2466" s="61"/>
      <c r="HWI2466" s="54"/>
      <c r="HWJ2466" s="54"/>
      <c r="HWK2466" s="60"/>
      <c r="HWL2466" s="60"/>
      <c r="HWM2466" s="60"/>
      <c r="HWN2466" s="60"/>
      <c r="HWO2466" s="63"/>
      <c r="HWP2466" s="61"/>
      <c r="HWQ2466" s="54"/>
      <c r="HWR2466" s="54"/>
      <c r="HWS2466" s="60"/>
      <c r="HWT2466" s="60"/>
      <c r="HWU2466" s="60"/>
      <c r="HWV2466" s="60"/>
      <c r="HWW2466" s="63"/>
      <c r="HWX2466" s="61"/>
      <c r="HWY2466" s="54"/>
      <c r="HWZ2466" s="54"/>
      <c r="HXA2466" s="60"/>
      <c r="HXB2466" s="60"/>
      <c r="HXC2466" s="60"/>
      <c r="HXD2466" s="60"/>
      <c r="HXE2466" s="63"/>
      <c r="HXF2466" s="61"/>
      <c r="HXG2466" s="54"/>
      <c r="HXH2466" s="54"/>
      <c r="HXI2466" s="60"/>
      <c r="HXJ2466" s="60"/>
      <c r="HXK2466" s="60"/>
      <c r="HXL2466" s="60"/>
      <c r="HXM2466" s="63"/>
      <c r="HXN2466" s="61"/>
      <c r="HXO2466" s="54"/>
      <c r="HXP2466" s="54"/>
      <c r="HXQ2466" s="60"/>
      <c r="HXR2466" s="60"/>
      <c r="HXS2466" s="60"/>
      <c r="HXT2466" s="60"/>
      <c r="HXU2466" s="63"/>
      <c r="HXV2466" s="61"/>
      <c r="HXW2466" s="54"/>
      <c r="HXX2466" s="54"/>
      <c r="HXY2466" s="60"/>
      <c r="HXZ2466" s="60"/>
      <c r="HYA2466" s="60"/>
      <c r="HYB2466" s="60"/>
      <c r="HYC2466" s="63"/>
      <c r="HYD2466" s="61"/>
      <c r="HYE2466" s="54"/>
      <c r="HYF2466" s="54"/>
      <c r="HYG2466" s="60"/>
      <c r="HYH2466" s="60"/>
      <c r="HYI2466" s="60"/>
      <c r="HYJ2466" s="60"/>
      <c r="HYK2466" s="63"/>
      <c r="HYL2466" s="61"/>
      <c r="HYM2466" s="54"/>
      <c r="HYN2466" s="54"/>
      <c r="HYO2466" s="60"/>
      <c r="HYP2466" s="60"/>
      <c r="HYQ2466" s="60"/>
      <c r="HYR2466" s="60"/>
      <c r="HYS2466" s="63"/>
      <c r="HYT2466" s="61"/>
      <c r="HYU2466" s="54"/>
      <c r="HYV2466" s="54"/>
      <c r="HYW2466" s="60"/>
      <c r="HYX2466" s="60"/>
      <c r="HYY2466" s="60"/>
      <c r="HYZ2466" s="60"/>
      <c r="HZA2466" s="63"/>
      <c r="HZB2466" s="61"/>
      <c r="HZC2466" s="54"/>
      <c r="HZD2466" s="54"/>
      <c r="HZE2466" s="60"/>
      <c r="HZF2466" s="60"/>
      <c r="HZG2466" s="60"/>
      <c r="HZH2466" s="60"/>
      <c r="HZI2466" s="63"/>
      <c r="HZJ2466" s="61"/>
      <c r="HZK2466" s="54"/>
      <c r="HZL2466" s="54"/>
      <c r="HZM2466" s="60"/>
      <c r="HZN2466" s="60"/>
      <c r="HZO2466" s="60"/>
      <c r="HZP2466" s="60"/>
      <c r="HZQ2466" s="63"/>
      <c r="HZR2466" s="61"/>
      <c r="HZS2466" s="54"/>
      <c r="HZT2466" s="54"/>
      <c r="HZU2466" s="60"/>
      <c r="HZV2466" s="60"/>
      <c r="HZW2466" s="60"/>
      <c r="HZX2466" s="60"/>
      <c r="HZY2466" s="63"/>
      <c r="HZZ2466" s="61"/>
      <c r="IAA2466" s="54"/>
      <c r="IAB2466" s="54"/>
      <c r="IAC2466" s="60"/>
      <c r="IAD2466" s="60"/>
      <c r="IAE2466" s="60"/>
      <c r="IAF2466" s="60"/>
      <c r="IAG2466" s="63"/>
      <c r="IAH2466" s="61"/>
      <c r="IAI2466" s="54"/>
      <c r="IAJ2466" s="54"/>
      <c r="IAK2466" s="60"/>
      <c r="IAL2466" s="60"/>
      <c r="IAM2466" s="60"/>
      <c r="IAN2466" s="60"/>
      <c r="IAO2466" s="63"/>
      <c r="IAP2466" s="61"/>
      <c r="IAQ2466" s="54"/>
      <c r="IAR2466" s="54"/>
      <c r="IAS2466" s="60"/>
      <c r="IAT2466" s="60"/>
      <c r="IAU2466" s="60"/>
      <c r="IAV2466" s="60"/>
      <c r="IAW2466" s="63"/>
      <c r="IAX2466" s="61"/>
      <c r="IAY2466" s="54"/>
      <c r="IAZ2466" s="54"/>
      <c r="IBA2466" s="60"/>
      <c r="IBB2466" s="60"/>
      <c r="IBC2466" s="60"/>
      <c r="IBD2466" s="60"/>
      <c r="IBE2466" s="63"/>
      <c r="IBF2466" s="61"/>
      <c r="IBG2466" s="54"/>
      <c r="IBH2466" s="54"/>
      <c r="IBI2466" s="60"/>
      <c r="IBJ2466" s="60"/>
      <c r="IBK2466" s="60"/>
      <c r="IBL2466" s="60"/>
      <c r="IBM2466" s="63"/>
      <c r="IBN2466" s="61"/>
      <c r="IBO2466" s="54"/>
      <c r="IBP2466" s="54"/>
      <c r="IBQ2466" s="60"/>
      <c r="IBR2466" s="60"/>
      <c r="IBS2466" s="60"/>
      <c r="IBT2466" s="60"/>
      <c r="IBU2466" s="63"/>
      <c r="IBV2466" s="61"/>
      <c r="IBW2466" s="54"/>
      <c r="IBX2466" s="54"/>
      <c r="IBY2466" s="60"/>
      <c r="IBZ2466" s="60"/>
      <c r="ICA2466" s="60"/>
      <c r="ICB2466" s="60"/>
      <c r="ICC2466" s="63"/>
      <c r="ICD2466" s="61"/>
      <c r="ICE2466" s="54"/>
      <c r="ICF2466" s="54"/>
      <c r="ICG2466" s="60"/>
      <c r="ICH2466" s="60"/>
      <c r="ICI2466" s="60"/>
      <c r="ICJ2466" s="60"/>
      <c r="ICK2466" s="63"/>
      <c r="ICL2466" s="61"/>
      <c r="ICM2466" s="54"/>
      <c r="ICN2466" s="54"/>
      <c r="ICO2466" s="60"/>
      <c r="ICP2466" s="60"/>
      <c r="ICQ2466" s="60"/>
      <c r="ICR2466" s="60"/>
      <c r="ICS2466" s="63"/>
      <c r="ICT2466" s="61"/>
      <c r="ICU2466" s="54"/>
      <c r="ICV2466" s="54"/>
      <c r="ICW2466" s="60"/>
      <c r="ICX2466" s="60"/>
      <c r="ICY2466" s="60"/>
      <c r="ICZ2466" s="60"/>
      <c r="IDA2466" s="63"/>
      <c r="IDB2466" s="61"/>
      <c r="IDC2466" s="54"/>
      <c r="IDD2466" s="54"/>
      <c r="IDE2466" s="60"/>
      <c r="IDF2466" s="60"/>
      <c r="IDG2466" s="60"/>
      <c r="IDH2466" s="60"/>
      <c r="IDI2466" s="63"/>
      <c r="IDJ2466" s="61"/>
      <c r="IDK2466" s="54"/>
      <c r="IDL2466" s="54"/>
      <c r="IDM2466" s="60"/>
      <c r="IDN2466" s="60"/>
      <c r="IDO2466" s="60"/>
      <c r="IDP2466" s="60"/>
      <c r="IDQ2466" s="63"/>
      <c r="IDR2466" s="61"/>
      <c r="IDS2466" s="54"/>
      <c r="IDT2466" s="54"/>
      <c r="IDU2466" s="60"/>
      <c r="IDV2466" s="60"/>
      <c r="IDW2466" s="60"/>
      <c r="IDX2466" s="60"/>
      <c r="IDY2466" s="63"/>
      <c r="IDZ2466" s="61"/>
      <c r="IEA2466" s="54"/>
      <c r="IEB2466" s="54"/>
      <c r="IEC2466" s="60"/>
      <c r="IED2466" s="60"/>
      <c r="IEE2466" s="60"/>
      <c r="IEF2466" s="60"/>
      <c r="IEG2466" s="63"/>
      <c r="IEH2466" s="61"/>
      <c r="IEI2466" s="54"/>
      <c r="IEJ2466" s="54"/>
      <c r="IEK2466" s="60"/>
      <c r="IEL2466" s="60"/>
      <c r="IEM2466" s="60"/>
      <c r="IEN2466" s="60"/>
      <c r="IEO2466" s="63"/>
      <c r="IEP2466" s="61"/>
      <c r="IEQ2466" s="54"/>
      <c r="IER2466" s="54"/>
      <c r="IES2466" s="60"/>
      <c r="IET2466" s="60"/>
      <c r="IEU2466" s="60"/>
      <c r="IEV2466" s="60"/>
      <c r="IEW2466" s="63"/>
      <c r="IEX2466" s="61"/>
      <c r="IEY2466" s="54"/>
      <c r="IEZ2466" s="54"/>
      <c r="IFA2466" s="60"/>
      <c r="IFB2466" s="60"/>
      <c r="IFC2466" s="60"/>
      <c r="IFD2466" s="60"/>
      <c r="IFE2466" s="63"/>
      <c r="IFF2466" s="61"/>
      <c r="IFG2466" s="54"/>
      <c r="IFH2466" s="54"/>
      <c r="IFI2466" s="60"/>
      <c r="IFJ2466" s="60"/>
      <c r="IFK2466" s="60"/>
      <c r="IFL2466" s="60"/>
      <c r="IFM2466" s="63"/>
      <c r="IFN2466" s="61"/>
      <c r="IFO2466" s="54"/>
      <c r="IFP2466" s="54"/>
      <c r="IFQ2466" s="60"/>
      <c r="IFR2466" s="60"/>
      <c r="IFS2466" s="60"/>
      <c r="IFT2466" s="60"/>
      <c r="IFU2466" s="63"/>
      <c r="IFV2466" s="61"/>
      <c r="IFW2466" s="54"/>
      <c r="IFX2466" s="54"/>
      <c r="IFY2466" s="60"/>
      <c r="IFZ2466" s="60"/>
      <c r="IGA2466" s="60"/>
      <c r="IGB2466" s="60"/>
      <c r="IGC2466" s="63"/>
      <c r="IGD2466" s="61"/>
      <c r="IGE2466" s="54"/>
      <c r="IGF2466" s="54"/>
      <c r="IGG2466" s="60"/>
      <c r="IGH2466" s="60"/>
      <c r="IGI2466" s="60"/>
      <c r="IGJ2466" s="60"/>
      <c r="IGK2466" s="63"/>
      <c r="IGL2466" s="61"/>
      <c r="IGM2466" s="54"/>
      <c r="IGN2466" s="54"/>
      <c r="IGO2466" s="60"/>
      <c r="IGP2466" s="60"/>
      <c r="IGQ2466" s="60"/>
      <c r="IGR2466" s="60"/>
      <c r="IGS2466" s="63"/>
      <c r="IGT2466" s="61"/>
      <c r="IGU2466" s="54"/>
      <c r="IGV2466" s="54"/>
      <c r="IGW2466" s="60"/>
      <c r="IGX2466" s="60"/>
      <c r="IGY2466" s="60"/>
      <c r="IGZ2466" s="60"/>
      <c r="IHA2466" s="63"/>
      <c r="IHB2466" s="61"/>
      <c r="IHC2466" s="54"/>
      <c r="IHD2466" s="54"/>
      <c r="IHE2466" s="60"/>
      <c r="IHF2466" s="60"/>
      <c r="IHG2466" s="60"/>
      <c r="IHH2466" s="60"/>
      <c r="IHI2466" s="63"/>
      <c r="IHJ2466" s="61"/>
      <c r="IHK2466" s="54"/>
      <c r="IHL2466" s="54"/>
      <c r="IHM2466" s="60"/>
      <c r="IHN2466" s="60"/>
      <c r="IHO2466" s="60"/>
      <c r="IHP2466" s="60"/>
      <c r="IHQ2466" s="63"/>
      <c r="IHR2466" s="61"/>
      <c r="IHS2466" s="54"/>
      <c r="IHT2466" s="54"/>
      <c r="IHU2466" s="60"/>
      <c r="IHV2466" s="60"/>
      <c r="IHW2466" s="60"/>
      <c r="IHX2466" s="60"/>
      <c r="IHY2466" s="63"/>
      <c r="IHZ2466" s="61"/>
      <c r="IIA2466" s="54"/>
      <c r="IIB2466" s="54"/>
      <c r="IIC2466" s="60"/>
      <c r="IID2466" s="60"/>
      <c r="IIE2466" s="60"/>
      <c r="IIF2466" s="60"/>
      <c r="IIG2466" s="63"/>
      <c r="IIH2466" s="61"/>
      <c r="III2466" s="54"/>
      <c r="IIJ2466" s="54"/>
      <c r="IIK2466" s="60"/>
      <c r="IIL2466" s="60"/>
      <c r="IIM2466" s="60"/>
      <c r="IIN2466" s="60"/>
      <c r="IIO2466" s="63"/>
      <c r="IIP2466" s="61"/>
      <c r="IIQ2466" s="54"/>
      <c r="IIR2466" s="54"/>
      <c r="IIS2466" s="60"/>
      <c r="IIT2466" s="60"/>
      <c r="IIU2466" s="60"/>
      <c r="IIV2466" s="60"/>
      <c r="IIW2466" s="63"/>
      <c r="IIX2466" s="61"/>
      <c r="IIY2466" s="54"/>
      <c r="IIZ2466" s="54"/>
      <c r="IJA2466" s="60"/>
      <c r="IJB2466" s="60"/>
      <c r="IJC2466" s="60"/>
      <c r="IJD2466" s="60"/>
      <c r="IJE2466" s="63"/>
      <c r="IJF2466" s="61"/>
      <c r="IJG2466" s="54"/>
      <c r="IJH2466" s="54"/>
      <c r="IJI2466" s="60"/>
      <c r="IJJ2466" s="60"/>
      <c r="IJK2466" s="60"/>
      <c r="IJL2466" s="60"/>
      <c r="IJM2466" s="63"/>
      <c r="IJN2466" s="61"/>
      <c r="IJO2466" s="54"/>
      <c r="IJP2466" s="54"/>
      <c r="IJQ2466" s="60"/>
      <c r="IJR2466" s="60"/>
      <c r="IJS2466" s="60"/>
      <c r="IJT2466" s="60"/>
      <c r="IJU2466" s="63"/>
      <c r="IJV2466" s="61"/>
      <c r="IJW2466" s="54"/>
      <c r="IJX2466" s="54"/>
      <c r="IJY2466" s="60"/>
      <c r="IJZ2466" s="60"/>
      <c r="IKA2466" s="60"/>
      <c r="IKB2466" s="60"/>
      <c r="IKC2466" s="63"/>
      <c r="IKD2466" s="61"/>
      <c r="IKE2466" s="54"/>
      <c r="IKF2466" s="54"/>
      <c r="IKG2466" s="60"/>
      <c r="IKH2466" s="60"/>
      <c r="IKI2466" s="60"/>
      <c r="IKJ2466" s="60"/>
      <c r="IKK2466" s="63"/>
      <c r="IKL2466" s="61"/>
      <c r="IKM2466" s="54"/>
      <c r="IKN2466" s="54"/>
      <c r="IKO2466" s="60"/>
      <c r="IKP2466" s="60"/>
      <c r="IKQ2466" s="60"/>
      <c r="IKR2466" s="60"/>
      <c r="IKS2466" s="63"/>
      <c r="IKT2466" s="61"/>
      <c r="IKU2466" s="54"/>
      <c r="IKV2466" s="54"/>
      <c r="IKW2466" s="60"/>
      <c r="IKX2466" s="60"/>
      <c r="IKY2466" s="60"/>
      <c r="IKZ2466" s="60"/>
      <c r="ILA2466" s="63"/>
      <c r="ILB2466" s="61"/>
      <c r="ILC2466" s="54"/>
      <c r="ILD2466" s="54"/>
      <c r="ILE2466" s="60"/>
      <c r="ILF2466" s="60"/>
      <c r="ILG2466" s="60"/>
      <c r="ILH2466" s="60"/>
      <c r="ILI2466" s="63"/>
      <c r="ILJ2466" s="61"/>
      <c r="ILK2466" s="54"/>
      <c r="ILL2466" s="54"/>
      <c r="ILM2466" s="60"/>
      <c r="ILN2466" s="60"/>
      <c r="ILO2466" s="60"/>
      <c r="ILP2466" s="60"/>
      <c r="ILQ2466" s="63"/>
      <c r="ILR2466" s="61"/>
      <c r="ILS2466" s="54"/>
      <c r="ILT2466" s="54"/>
      <c r="ILU2466" s="60"/>
      <c r="ILV2466" s="60"/>
      <c r="ILW2466" s="60"/>
      <c r="ILX2466" s="60"/>
      <c r="ILY2466" s="63"/>
      <c r="ILZ2466" s="61"/>
      <c r="IMA2466" s="54"/>
      <c r="IMB2466" s="54"/>
      <c r="IMC2466" s="60"/>
      <c r="IMD2466" s="60"/>
      <c r="IME2466" s="60"/>
      <c r="IMF2466" s="60"/>
      <c r="IMG2466" s="63"/>
      <c r="IMH2466" s="61"/>
      <c r="IMI2466" s="54"/>
      <c r="IMJ2466" s="54"/>
      <c r="IMK2466" s="60"/>
      <c r="IML2466" s="60"/>
      <c r="IMM2466" s="60"/>
      <c r="IMN2466" s="60"/>
      <c r="IMO2466" s="63"/>
      <c r="IMP2466" s="61"/>
      <c r="IMQ2466" s="54"/>
      <c r="IMR2466" s="54"/>
      <c r="IMS2466" s="60"/>
      <c r="IMT2466" s="60"/>
      <c r="IMU2466" s="60"/>
      <c r="IMV2466" s="60"/>
      <c r="IMW2466" s="63"/>
      <c r="IMX2466" s="61"/>
      <c r="IMY2466" s="54"/>
      <c r="IMZ2466" s="54"/>
      <c r="INA2466" s="60"/>
      <c r="INB2466" s="60"/>
      <c r="INC2466" s="60"/>
      <c r="IND2466" s="60"/>
      <c r="INE2466" s="63"/>
      <c r="INF2466" s="61"/>
      <c r="ING2466" s="54"/>
      <c r="INH2466" s="54"/>
      <c r="INI2466" s="60"/>
      <c r="INJ2466" s="60"/>
      <c r="INK2466" s="60"/>
      <c r="INL2466" s="60"/>
      <c r="INM2466" s="63"/>
      <c r="INN2466" s="61"/>
      <c r="INO2466" s="54"/>
      <c r="INP2466" s="54"/>
      <c r="INQ2466" s="60"/>
      <c r="INR2466" s="60"/>
      <c r="INS2466" s="60"/>
      <c r="INT2466" s="60"/>
      <c r="INU2466" s="63"/>
      <c r="INV2466" s="61"/>
      <c r="INW2466" s="54"/>
      <c r="INX2466" s="54"/>
      <c r="INY2466" s="60"/>
      <c r="INZ2466" s="60"/>
      <c r="IOA2466" s="60"/>
      <c r="IOB2466" s="60"/>
      <c r="IOC2466" s="63"/>
      <c r="IOD2466" s="61"/>
      <c r="IOE2466" s="54"/>
      <c r="IOF2466" s="54"/>
      <c r="IOG2466" s="60"/>
      <c r="IOH2466" s="60"/>
      <c r="IOI2466" s="60"/>
      <c r="IOJ2466" s="60"/>
      <c r="IOK2466" s="63"/>
      <c r="IOL2466" s="61"/>
      <c r="IOM2466" s="54"/>
      <c r="ION2466" s="54"/>
      <c r="IOO2466" s="60"/>
      <c r="IOP2466" s="60"/>
      <c r="IOQ2466" s="60"/>
      <c r="IOR2466" s="60"/>
      <c r="IOS2466" s="63"/>
      <c r="IOT2466" s="61"/>
      <c r="IOU2466" s="54"/>
      <c r="IOV2466" s="54"/>
      <c r="IOW2466" s="60"/>
      <c r="IOX2466" s="60"/>
      <c r="IOY2466" s="60"/>
      <c r="IOZ2466" s="60"/>
      <c r="IPA2466" s="63"/>
      <c r="IPB2466" s="61"/>
      <c r="IPC2466" s="54"/>
      <c r="IPD2466" s="54"/>
      <c r="IPE2466" s="60"/>
      <c r="IPF2466" s="60"/>
      <c r="IPG2466" s="60"/>
      <c r="IPH2466" s="60"/>
      <c r="IPI2466" s="63"/>
      <c r="IPJ2466" s="61"/>
      <c r="IPK2466" s="54"/>
      <c r="IPL2466" s="54"/>
      <c r="IPM2466" s="60"/>
      <c r="IPN2466" s="60"/>
      <c r="IPO2466" s="60"/>
      <c r="IPP2466" s="60"/>
      <c r="IPQ2466" s="63"/>
      <c r="IPR2466" s="61"/>
      <c r="IPS2466" s="54"/>
      <c r="IPT2466" s="54"/>
      <c r="IPU2466" s="60"/>
      <c r="IPV2466" s="60"/>
      <c r="IPW2466" s="60"/>
      <c r="IPX2466" s="60"/>
      <c r="IPY2466" s="63"/>
      <c r="IPZ2466" s="61"/>
      <c r="IQA2466" s="54"/>
      <c r="IQB2466" s="54"/>
      <c r="IQC2466" s="60"/>
      <c r="IQD2466" s="60"/>
      <c r="IQE2466" s="60"/>
      <c r="IQF2466" s="60"/>
      <c r="IQG2466" s="63"/>
      <c r="IQH2466" s="61"/>
      <c r="IQI2466" s="54"/>
      <c r="IQJ2466" s="54"/>
      <c r="IQK2466" s="60"/>
      <c r="IQL2466" s="60"/>
      <c r="IQM2466" s="60"/>
      <c r="IQN2466" s="60"/>
      <c r="IQO2466" s="63"/>
      <c r="IQP2466" s="61"/>
      <c r="IQQ2466" s="54"/>
      <c r="IQR2466" s="54"/>
      <c r="IQS2466" s="60"/>
      <c r="IQT2466" s="60"/>
      <c r="IQU2466" s="60"/>
      <c r="IQV2466" s="60"/>
      <c r="IQW2466" s="63"/>
      <c r="IQX2466" s="61"/>
      <c r="IQY2466" s="54"/>
      <c r="IQZ2466" s="54"/>
      <c r="IRA2466" s="60"/>
      <c r="IRB2466" s="60"/>
      <c r="IRC2466" s="60"/>
      <c r="IRD2466" s="60"/>
      <c r="IRE2466" s="63"/>
      <c r="IRF2466" s="61"/>
      <c r="IRG2466" s="54"/>
      <c r="IRH2466" s="54"/>
      <c r="IRI2466" s="60"/>
      <c r="IRJ2466" s="60"/>
      <c r="IRK2466" s="60"/>
      <c r="IRL2466" s="60"/>
      <c r="IRM2466" s="63"/>
      <c r="IRN2466" s="61"/>
      <c r="IRO2466" s="54"/>
      <c r="IRP2466" s="54"/>
      <c r="IRQ2466" s="60"/>
      <c r="IRR2466" s="60"/>
      <c r="IRS2466" s="60"/>
      <c r="IRT2466" s="60"/>
      <c r="IRU2466" s="63"/>
      <c r="IRV2466" s="61"/>
      <c r="IRW2466" s="54"/>
      <c r="IRX2466" s="54"/>
      <c r="IRY2466" s="60"/>
      <c r="IRZ2466" s="60"/>
      <c r="ISA2466" s="60"/>
      <c r="ISB2466" s="60"/>
      <c r="ISC2466" s="63"/>
      <c r="ISD2466" s="61"/>
      <c r="ISE2466" s="54"/>
      <c r="ISF2466" s="54"/>
      <c r="ISG2466" s="60"/>
      <c r="ISH2466" s="60"/>
      <c r="ISI2466" s="60"/>
      <c r="ISJ2466" s="60"/>
      <c r="ISK2466" s="63"/>
      <c r="ISL2466" s="61"/>
      <c r="ISM2466" s="54"/>
      <c r="ISN2466" s="54"/>
      <c r="ISO2466" s="60"/>
      <c r="ISP2466" s="60"/>
      <c r="ISQ2466" s="60"/>
      <c r="ISR2466" s="60"/>
      <c r="ISS2466" s="63"/>
      <c r="IST2466" s="61"/>
      <c r="ISU2466" s="54"/>
      <c r="ISV2466" s="54"/>
      <c r="ISW2466" s="60"/>
      <c r="ISX2466" s="60"/>
      <c r="ISY2466" s="60"/>
      <c r="ISZ2466" s="60"/>
      <c r="ITA2466" s="63"/>
      <c r="ITB2466" s="61"/>
      <c r="ITC2466" s="54"/>
      <c r="ITD2466" s="54"/>
      <c r="ITE2466" s="60"/>
      <c r="ITF2466" s="60"/>
      <c r="ITG2466" s="60"/>
      <c r="ITH2466" s="60"/>
      <c r="ITI2466" s="63"/>
      <c r="ITJ2466" s="61"/>
      <c r="ITK2466" s="54"/>
      <c r="ITL2466" s="54"/>
      <c r="ITM2466" s="60"/>
      <c r="ITN2466" s="60"/>
      <c r="ITO2466" s="60"/>
      <c r="ITP2466" s="60"/>
      <c r="ITQ2466" s="63"/>
      <c r="ITR2466" s="61"/>
      <c r="ITS2466" s="54"/>
      <c r="ITT2466" s="54"/>
      <c r="ITU2466" s="60"/>
      <c r="ITV2466" s="60"/>
      <c r="ITW2466" s="60"/>
      <c r="ITX2466" s="60"/>
      <c r="ITY2466" s="63"/>
      <c r="ITZ2466" s="61"/>
      <c r="IUA2466" s="54"/>
      <c r="IUB2466" s="54"/>
      <c r="IUC2466" s="60"/>
      <c r="IUD2466" s="60"/>
      <c r="IUE2466" s="60"/>
      <c r="IUF2466" s="60"/>
      <c r="IUG2466" s="63"/>
      <c r="IUH2466" s="61"/>
      <c r="IUI2466" s="54"/>
      <c r="IUJ2466" s="54"/>
      <c r="IUK2466" s="60"/>
      <c r="IUL2466" s="60"/>
      <c r="IUM2466" s="60"/>
      <c r="IUN2466" s="60"/>
      <c r="IUO2466" s="63"/>
      <c r="IUP2466" s="61"/>
      <c r="IUQ2466" s="54"/>
      <c r="IUR2466" s="54"/>
      <c r="IUS2466" s="60"/>
      <c r="IUT2466" s="60"/>
      <c r="IUU2466" s="60"/>
      <c r="IUV2466" s="60"/>
      <c r="IUW2466" s="63"/>
      <c r="IUX2466" s="61"/>
      <c r="IUY2466" s="54"/>
      <c r="IUZ2466" s="54"/>
      <c r="IVA2466" s="60"/>
      <c r="IVB2466" s="60"/>
      <c r="IVC2466" s="60"/>
      <c r="IVD2466" s="60"/>
      <c r="IVE2466" s="63"/>
      <c r="IVF2466" s="61"/>
      <c r="IVG2466" s="54"/>
      <c r="IVH2466" s="54"/>
      <c r="IVI2466" s="60"/>
      <c r="IVJ2466" s="60"/>
      <c r="IVK2466" s="60"/>
      <c r="IVL2466" s="60"/>
      <c r="IVM2466" s="63"/>
      <c r="IVN2466" s="61"/>
      <c r="IVO2466" s="54"/>
      <c r="IVP2466" s="54"/>
      <c r="IVQ2466" s="60"/>
      <c r="IVR2466" s="60"/>
      <c r="IVS2466" s="60"/>
      <c r="IVT2466" s="60"/>
      <c r="IVU2466" s="63"/>
      <c r="IVV2466" s="61"/>
      <c r="IVW2466" s="54"/>
      <c r="IVX2466" s="54"/>
      <c r="IVY2466" s="60"/>
      <c r="IVZ2466" s="60"/>
      <c r="IWA2466" s="60"/>
      <c r="IWB2466" s="60"/>
      <c r="IWC2466" s="63"/>
      <c r="IWD2466" s="61"/>
      <c r="IWE2466" s="54"/>
      <c r="IWF2466" s="54"/>
      <c r="IWG2466" s="60"/>
      <c r="IWH2466" s="60"/>
      <c r="IWI2466" s="60"/>
      <c r="IWJ2466" s="60"/>
      <c r="IWK2466" s="63"/>
      <c r="IWL2466" s="61"/>
      <c r="IWM2466" s="54"/>
      <c r="IWN2466" s="54"/>
      <c r="IWO2466" s="60"/>
      <c r="IWP2466" s="60"/>
      <c r="IWQ2466" s="60"/>
      <c r="IWR2466" s="60"/>
      <c r="IWS2466" s="63"/>
      <c r="IWT2466" s="61"/>
      <c r="IWU2466" s="54"/>
      <c r="IWV2466" s="54"/>
      <c r="IWW2466" s="60"/>
      <c r="IWX2466" s="60"/>
      <c r="IWY2466" s="60"/>
      <c r="IWZ2466" s="60"/>
      <c r="IXA2466" s="63"/>
      <c r="IXB2466" s="61"/>
      <c r="IXC2466" s="54"/>
      <c r="IXD2466" s="54"/>
      <c r="IXE2466" s="60"/>
      <c r="IXF2466" s="60"/>
      <c r="IXG2466" s="60"/>
      <c r="IXH2466" s="60"/>
      <c r="IXI2466" s="63"/>
      <c r="IXJ2466" s="61"/>
      <c r="IXK2466" s="54"/>
      <c r="IXL2466" s="54"/>
      <c r="IXM2466" s="60"/>
      <c r="IXN2466" s="60"/>
      <c r="IXO2466" s="60"/>
      <c r="IXP2466" s="60"/>
      <c r="IXQ2466" s="63"/>
      <c r="IXR2466" s="61"/>
      <c r="IXS2466" s="54"/>
      <c r="IXT2466" s="54"/>
      <c r="IXU2466" s="60"/>
      <c r="IXV2466" s="60"/>
      <c r="IXW2466" s="60"/>
      <c r="IXX2466" s="60"/>
      <c r="IXY2466" s="63"/>
      <c r="IXZ2466" s="61"/>
      <c r="IYA2466" s="54"/>
      <c r="IYB2466" s="54"/>
      <c r="IYC2466" s="60"/>
      <c r="IYD2466" s="60"/>
      <c r="IYE2466" s="60"/>
      <c r="IYF2466" s="60"/>
      <c r="IYG2466" s="63"/>
      <c r="IYH2466" s="61"/>
      <c r="IYI2466" s="54"/>
      <c r="IYJ2466" s="54"/>
      <c r="IYK2466" s="60"/>
      <c r="IYL2466" s="60"/>
      <c r="IYM2466" s="60"/>
      <c r="IYN2466" s="60"/>
      <c r="IYO2466" s="63"/>
      <c r="IYP2466" s="61"/>
      <c r="IYQ2466" s="54"/>
      <c r="IYR2466" s="54"/>
      <c r="IYS2466" s="60"/>
      <c r="IYT2466" s="60"/>
      <c r="IYU2466" s="60"/>
      <c r="IYV2466" s="60"/>
      <c r="IYW2466" s="63"/>
      <c r="IYX2466" s="61"/>
      <c r="IYY2466" s="54"/>
      <c r="IYZ2466" s="54"/>
      <c r="IZA2466" s="60"/>
      <c r="IZB2466" s="60"/>
      <c r="IZC2466" s="60"/>
      <c r="IZD2466" s="60"/>
      <c r="IZE2466" s="63"/>
      <c r="IZF2466" s="61"/>
      <c r="IZG2466" s="54"/>
      <c r="IZH2466" s="54"/>
      <c r="IZI2466" s="60"/>
      <c r="IZJ2466" s="60"/>
      <c r="IZK2466" s="60"/>
      <c r="IZL2466" s="60"/>
      <c r="IZM2466" s="63"/>
      <c r="IZN2466" s="61"/>
      <c r="IZO2466" s="54"/>
      <c r="IZP2466" s="54"/>
      <c r="IZQ2466" s="60"/>
      <c r="IZR2466" s="60"/>
      <c r="IZS2466" s="60"/>
      <c r="IZT2466" s="60"/>
      <c r="IZU2466" s="63"/>
      <c r="IZV2466" s="61"/>
      <c r="IZW2466" s="54"/>
      <c r="IZX2466" s="54"/>
      <c r="IZY2466" s="60"/>
      <c r="IZZ2466" s="60"/>
      <c r="JAA2466" s="60"/>
      <c r="JAB2466" s="60"/>
      <c r="JAC2466" s="63"/>
      <c r="JAD2466" s="61"/>
      <c r="JAE2466" s="54"/>
      <c r="JAF2466" s="54"/>
      <c r="JAG2466" s="60"/>
      <c r="JAH2466" s="60"/>
      <c r="JAI2466" s="60"/>
      <c r="JAJ2466" s="60"/>
      <c r="JAK2466" s="63"/>
      <c r="JAL2466" s="61"/>
      <c r="JAM2466" s="54"/>
      <c r="JAN2466" s="54"/>
      <c r="JAO2466" s="60"/>
      <c r="JAP2466" s="60"/>
      <c r="JAQ2466" s="60"/>
      <c r="JAR2466" s="60"/>
      <c r="JAS2466" s="63"/>
      <c r="JAT2466" s="61"/>
      <c r="JAU2466" s="54"/>
      <c r="JAV2466" s="54"/>
      <c r="JAW2466" s="60"/>
      <c r="JAX2466" s="60"/>
      <c r="JAY2466" s="60"/>
      <c r="JAZ2466" s="60"/>
      <c r="JBA2466" s="63"/>
      <c r="JBB2466" s="61"/>
      <c r="JBC2466" s="54"/>
      <c r="JBD2466" s="54"/>
      <c r="JBE2466" s="60"/>
      <c r="JBF2466" s="60"/>
      <c r="JBG2466" s="60"/>
      <c r="JBH2466" s="60"/>
      <c r="JBI2466" s="63"/>
      <c r="JBJ2466" s="61"/>
      <c r="JBK2466" s="54"/>
      <c r="JBL2466" s="54"/>
      <c r="JBM2466" s="60"/>
      <c r="JBN2466" s="60"/>
      <c r="JBO2466" s="60"/>
      <c r="JBP2466" s="60"/>
      <c r="JBQ2466" s="63"/>
      <c r="JBR2466" s="61"/>
      <c r="JBS2466" s="54"/>
      <c r="JBT2466" s="54"/>
      <c r="JBU2466" s="60"/>
      <c r="JBV2466" s="60"/>
      <c r="JBW2466" s="60"/>
      <c r="JBX2466" s="60"/>
      <c r="JBY2466" s="63"/>
      <c r="JBZ2466" s="61"/>
      <c r="JCA2466" s="54"/>
      <c r="JCB2466" s="54"/>
      <c r="JCC2466" s="60"/>
      <c r="JCD2466" s="60"/>
      <c r="JCE2466" s="60"/>
      <c r="JCF2466" s="60"/>
      <c r="JCG2466" s="63"/>
      <c r="JCH2466" s="61"/>
      <c r="JCI2466" s="54"/>
      <c r="JCJ2466" s="54"/>
      <c r="JCK2466" s="60"/>
      <c r="JCL2466" s="60"/>
      <c r="JCM2466" s="60"/>
      <c r="JCN2466" s="60"/>
      <c r="JCO2466" s="63"/>
      <c r="JCP2466" s="61"/>
      <c r="JCQ2466" s="54"/>
      <c r="JCR2466" s="54"/>
      <c r="JCS2466" s="60"/>
      <c r="JCT2466" s="60"/>
      <c r="JCU2466" s="60"/>
      <c r="JCV2466" s="60"/>
      <c r="JCW2466" s="63"/>
      <c r="JCX2466" s="61"/>
      <c r="JCY2466" s="54"/>
      <c r="JCZ2466" s="54"/>
      <c r="JDA2466" s="60"/>
      <c r="JDB2466" s="60"/>
      <c r="JDC2466" s="60"/>
      <c r="JDD2466" s="60"/>
      <c r="JDE2466" s="63"/>
      <c r="JDF2466" s="61"/>
      <c r="JDG2466" s="54"/>
      <c r="JDH2466" s="54"/>
      <c r="JDI2466" s="60"/>
      <c r="JDJ2466" s="60"/>
      <c r="JDK2466" s="60"/>
      <c r="JDL2466" s="60"/>
      <c r="JDM2466" s="63"/>
      <c r="JDN2466" s="61"/>
      <c r="JDO2466" s="54"/>
      <c r="JDP2466" s="54"/>
      <c r="JDQ2466" s="60"/>
      <c r="JDR2466" s="60"/>
      <c r="JDS2466" s="60"/>
      <c r="JDT2466" s="60"/>
      <c r="JDU2466" s="63"/>
      <c r="JDV2466" s="61"/>
      <c r="JDW2466" s="54"/>
      <c r="JDX2466" s="54"/>
      <c r="JDY2466" s="60"/>
      <c r="JDZ2466" s="60"/>
      <c r="JEA2466" s="60"/>
      <c r="JEB2466" s="60"/>
      <c r="JEC2466" s="63"/>
      <c r="JED2466" s="61"/>
      <c r="JEE2466" s="54"/>
      <c r="JEF2466" s="54"/>
      <c r="JEG2466" s="60"/>
      <c r="JEH2466" s="60"/>
      <c r="JEI2466" s="60"/>
      <c r="JEJ2466" s="60"/>
      <c r="JEK2466" s="63"/>
      <c r="JEL2466" s="61"/>
      <c r="JEM2466" s="54"/>
      <c r="JEN2466" s="54"/>
      <c r="JEO2466" s="60"/>
      <c r="JEP2466" s="60"/>
      <c r="JEQ2466" s="60"/>
      <c r="JER2466" s="60"/>
      <c r="JES2466" s="63"/>
      <c r="JET2466" s="61"/>
      <c r="JEU2466" s="54"/>
      <c r="JEV2466" s="54"/>
      <c r="JEW2466" s="60"/>
      <c r="JEX2466" s="60"/>
      <c r="JEY2466" s="60"/>
      <c r="JEZ2466" s="60"/>
      <c r="JFA2466" s="63"/>
      <c r="JFB2466" s="61"/>
      <c r="JFC2466" s="54"/>
      <c r="JFD2466" s="54"/>
      <c r="JFE2466" s="60"/>
      <c r="JFF2466" s="60"/>
      <c r="JFG2466" s="60"/>
      <c r="JFH2466" s="60"/>
      <c r="JFI2466" s="63"/>
      <c r="JFJ2466" s="61"/>
      <c r="JFK2466" s="54"/>
      <c r="JFL2466" s="54"/>
      <c r="JFM2466" s="60"/>
      <c r="JFN2466" s="60"/>
      <c r="JFO2466" s="60"/>
      <c r="JFP2466" s="60"/>
      <c r="JFQ2466" s="63"/>
      <c r="JFR2466" s="61"/>
      <c r="JFS2466" s="54"/>
      <c r="JFT2466" s="54"/>
      <c r="JFU2466" s="60"/>
      <c r="JFV2466" s="60"/>
      <c r="JFW2466" s="60"/>
      <c r="JFX2466" s="60"/>
      <c r="JFY2466" s="63"/>
      <c r="JFZ2466" s="61"/>
      <c r="JGA2466" s="54"/>
      <c r="JGB2466" s="54"/>
      <c r="JGC2466" s="60"/>
      <c r="JGD2466" s="60"/>
      <c r="JGE2466" s="60"/>
      <c r="JGF2466" s="60"/>
      <c r="JGG2466" s="63"/>
      <c r="JGH2466" s="61"/>
      <c r="JGI2466" s="54"/>
      <c r="JGJ2466" s="54"/>
      <c r="JGK2466" s="60"/>
      <c r="JGL2466" s="60"/>
      <c r="JGM2466" s="60"/>
      <c r="JGN2466" s="60"/>
      <c r="JGO2466" s="63"/>
      <c r="JGP2466" s="61"/>
      <c r="JGQ2466" s="54"/>
      <c r="JGR2466" s="54"/>
      <c r="JGS2466" s="60"/>
      <c r="JGT2466" s="60"/>
      <c r="JGU2466" s="60"/>
      <c r="JGV2466" s="60"/>
      <c r="JGW2466" s="63"/>
      <c r="JGX2466" s="61"/>
      <c r="JGY2466" s="54"/>
      <c r="JGZ2466" s="54"/>
      <c r="JHA2466" s="60"/>
      <c r="JHB2466" s="60"/>
      <c r="JHC2466" s="60"/>
      <c r="JHD2466" s="60"/>
      <c r="JHE2466" s="63"/>
      <c r="JHF2466" s="61"/>
      <c r="JHG2466" s="54"/>
      <c r="JHH2466" s="54"/>
      <c r="JHI2466" s="60"/>
      <c r="JHJ2466" s="60"/>
      <c r="JHK2466" s="60"/>
      <c r="JHL2466" s="60"/>
      <c r="JHM2466" s="63"/>
      <c r="JHN2466" s="61"/>
      <c r="JHO2466" s="54"/>
      <c r="JHP2466" s="54"/>
      <c r="JHQ2466" s="60"/>
      <c r="JHR2466" s="60"/>
      <c r="JHS2466" s="60"/>
      <c r="JHT2466" s="60"/>
      <c r="JHU2466" s="63"/>
      <c r="JHV2466" s="61"/>
      <c r="JHW2466" s="54"/>
      <c r="JHX2466" s="54"/>
      <c r="JHY2466" s="60"/>
      <c r="JHZ2466" s="60"/>
      <c r="JIA2466" s="60"/>
      <c r="JIB2466" s="60"/>
      <c r="JIC2466" s="63"/>
      <c r="JID2466" s="61"/>
      <c r="JIE2466" s="54"/>
      <c r="JIF2466" s="54"/>
      <c r="JIG2466" s="60"/>
      <c r="JIH2466" s="60"/>
      <c r="JII2466" s="60"/>
      <c r="JIJ2466" s="60"/>
      <c r="JIK2466" s="63"/>
      <c r="JIL2466" s="61"/>
      <c r="JIM2466" s="54"/>
      <c r="JIN2466" s="54"/>
      <c r="JIO2466" s="60"/>
      <c r="JIP2466" s="60"/>
      <c r="JIQ2466" s="60"/>
      <c r="JIR2466" s="60"/>
      <c r="JIS2466" s="63"/>
      <c r="JIT2466" s="61"/>
      <c r="JIU2466" s="54"/>
      <c r="JIV2466" s="54"/>
      <c r="JIW2466" s="60"/>
      <c r="JIX2466" s="60"/>
      <c r="JIY2466" s="60"/>
      <c r="JIZ2466" s="60"/>
      <c r="JJA2466" s="63"/>
      <c r="JJB2466" s="61"/>
      <c r="JJC2466" s="54"/>
      <c r="JJD2466" s="54"/>
      <c r="JJE2466" s="60"/>
      <c r="JJF2466" s="60"/>
      <c r="JJG2466" s="60"/>
      <c r="JJH2466" s="60"/>
      <c r="JJI2466" s="63"/>
      <c r="JJJ2466" s="61"/>
      <c r="JJK2466" s="54"/>
      <c r="JJL2466" s="54"/>
      <c r="JJM2466" s="60"/>
      <c r="JJN2466" s="60"/>
      <c r="JJO2466" s="60"/>
      <c r="JJP2466" s="60"/>
      <c r="JJQ2466" s="63"/>
      <c r="JJR2466" s="61"/>
      <c r="JJS2466" s="54"/>
      <c r="JJT2466" s="54"/>
      <c r="JJU2466" s="60"/>
      <c r="JJV2466" s="60"/>
      <c r="JJW2466" s="60"/>
      <c r="JJX2466" s="60"/>
      <c r="JJY2466" s="63"/>
      <c r="JJZ2466" s="61"/>
      <c r="JKA2466" s="54"/>
      <c r="JKB2466" s="54"/>
      <c r="JKC2466" s="60"/>
      <c r="JKD2466" s="60"/>
      <c r="JKE2466" s="60"/>
      <c r="JKF2466" s="60"/>
      <c r="JKG2466" s="63"/>
      <c r="JKH2466" s="61"/>
      <c r="JKI2466" s="54"/>
      <c r="JKJ2466" s="54"/>
      <c r="JKK2466" s="60"/>
      <c r="JKL2466" s="60"/>
      <c r="JKM2466" s="60"/>
      <c r="JKN2466" s="60"/>
      <c r="JKO2466" s="63"/>
      <c r="JKP2466" s="61"/>
      <c r="JKQ2466" s="54"/>
      <c r="JKR2466" s="54"/>
      <c r="JKS2466" s="60"/>
      <c r="JKT2466" s="60"/>
      <c r="JKU2466" s="60"/>
      <c r="JKV2466" s="60"/>
      <c r="JKW2466" s="63"/>
      <c r="JKX2466" s="61"/>
      <c r="JKY2466" s="54"/>
      <c r="JKZ2466" s="54"/>
      <c r="JLA2466" s="60"/>
      <c r="JLB2466" s="60"/>
      <c r="JLC2466" s="60"/>
      <c r="JLD2466" s="60"/>
      <c r="JLE2466" s="63"/>
      <c r="JLF2466" s="61"/>
      <c r="JLG2466" s="54"/>
      <c r="JLH2466" s="54"/>
      <c r="JLI2466" s="60"/>
      <c r="JLJ2466" s="60"/>
      <c r="JLK2466" s="60"/>
      <c r="JLL2466" s="60"/>
      <c r="JLM2466" s="63"/>
      <c r="JLN2466" s="61"/>
      <c r="JLO2466" s="54"/>
      <c r="JLP2466" s="54"/>
      <c r="JLQ2466" s="60"/>
      <c r="JLR2466" s="60"/>
      <c r="JLS2466" s="60"/>
      <c r="JLT2466" s="60"/>
      <c r="JLU2466" s="63"/>
      <c r="JLV2466" s="61"/>
      <c r="JLW2466" s="54"/>
      <c r="JLX2466" s="54"/>
      <c r="JLY2466" s="60"/>
      <c r="JLZ2466" s="60"/>
      <c r="JMA2466" s="60"/>
      <c r="JMB2466" s="60"/>
      <c r="JMC2466" s="63"/>
      <c r="JMD2466" s="61"/>
      <c r="JME2466" s="54"/>
      <c r="JMF2466" s="54"/>
      <c r="JMG2466" s="60"/>
      <c r="JMH2466" s="60"/>
      <c r="JMI2466" s="60"/>
      <c r="JMJ2466" s="60"/>
      <c r="JMK2466" s="63"/>
      <c r="JML2466" s="61"/>
      <c r="JMM2466" s="54"/>
      <c r="JMN2466" s="54"/>
      <c r="JMO2466" s="60"/>
      <c r="JMP2466" s="60"/>
      <c r="JMQ2466" s="60"/>
      <c r="JMR2466" s="60"/>
      <c r="JMS2466" s="63"/>
      <c r="JMT2466" s="61"/>
      <c r="JMU2466" s="54"/>
      <c r="JMV2466" s="54"/>
      <c r="JMW2466" s="60"/>
      <c r="JMX2466" s="60"/>
      <c r="JMY2466" s="60"/>
      <c r="JMZ2466" s="60"/>
      <c r="JNA2466" s="63"/>
      <c r="JNB2466" s="61"/>
      <c r="JNC2466" s="54"/>
      <c r="JND2466" s="54"/>
      <c r="JNE2466" s="60"/>
      <c r="JNF2466" s="60"/>
      <c r="JNG2466" s="60"/>
      <c r="JNH2466" s="60"/>
      <c r="JNI2466" s="63"/>
      <c r="JNJ2466" s="61"/>
      <c r="JNK2466" s="54"/>
      <c r="JNL2466" s="54"/>
      <c r="JNM2466" s="60"/>
      <c r="JNN2466" s="60"/>
      <c r="JNO2466" s="60"/>
      <c r="JNP2466" s="60"/>
      <c r="JNQ2466" s="63"/>
      <c r="JNR2466" s="61"/>
      <c r="JNS2466" s="54"/>
      <c r="JNT2466" s="54"/>
      <c r="JNU2466" s="60"/>
      <c r="JNV2466" s="60"/>
      <c r="JNW2466" s="60"/>
      <c r="JNX2466" s="60"/>
      <c r="JNY2466" s="63"/>
      <c r="JNZ2466" s="61"/>
      <c r="JOA2466" s="54"/>
      <c r="JOB2466" s="54"/>
      <c r="JOC2466" s="60"/>
      <c r="JOD2466" s="60"/>
      <c r="JOE2466" s="60"/>
      <c r="JOF2466" s="60"/>
      <c r="JOG2466" s="63"/>
      <c r="JOH2466" s="61"/>
      <c r="JOI2466" s="54"/>
      <c r="JOJ2466" s="54"/>
      <c r="JOK2466" s="60"/>
      <c r="JOL2466" s="60"/>
      <c r="JOM2466" s="60"/>
      <c r="JON2466" s="60"/>
      <c r="JOO2466" s="63"/>
      <c r="JOP2466" s="61"/>
      <c r="JOQ2466" s="54"/>
      <c r="JOR2466" s="54"/>
      <c r="JOS2466" s="60"/>
      <c r="JOT2466" s="60"/>
      <c r="JOU2466" s="60"/>
      <c r="JOV2466" s="60"/>
      <c r="JOW2466" s="63"/>
      <c r="JOX2466" s="61"/>
      <c r="JOY2466" s="54"/>
      <c r="JOZ2466" s="54"/>
      <c r="JPA2466" s="60"/>
      <c r="JPB2466" s="60"/>
      <c r="JPC2466" s="60"/>
      <c r="JPD2466" s="60"/>
      <c r="JPE2466" s="63"/>
      <c r="JPF2466" s="61"/>
      <c r="JPG2466" s="54"/>
      <c r="JPH2466" s="54"/>
      <c r="JPI2466" s="60"/>
      <c r="JPJ2466" s="60"/>
      <c r="JPK2466" s="60"/>
      <c r="JPL2466" s="60"/>
      <c r="JPM2466" s="63"/>
      <c r="JPN2466" s="61"/>
      <c r="JPO2466" s="54"/>
      <c r="JPP2466" s="54"/>
      <c r="JPQ2466" s="60"/>
      <c r="JPR2466" s="60"/>
      <c r="JPS2466" s="60"/>
      <c r="JPT2466" s="60"/>
      <c r="JPU2466" s="63"/>
      <c r="JPV2466" s="61"/>
      <c r="JPW2466" s="54"/>
      <c r="JPX2466" s="54"/>
      <c r="JPY2466" s="60"/>
      <c r="JPZ2466" s="60"/>
      <c r="JQA2466" s="60"/>
      <c r="JQB2466" s="60"/>
      <c r="JQC2466" s="63"/>
      <c r="JQD2466" s="61"/>
      <c r="JQE2466" s="54"/>
      <c r="JQF2466" s="54"/>
      <c r="JQG2466" s="60"/>
      <c r="JQH2466" s="60"/>
      <c r="JQI2466" s="60"/>
      <c r="JQJ2466" s="60"/>
      <c r="JQK2466" s="63"/>
      <c r="JQL2466" s="61"/>
      <c r="JQM2466" s="54"/>
      <c r="JQN2466" s="54"/>
      <c r="JQO2466" s="60"/>
      <c r="JQP2466" s="60"/>
      <c r="JQQ2466" s="60"/>
      <c r="JQR2466" s="60"/>
      <c r="JQS2466" s="63"/>
      <c r="JQT2466" s="61"/>
      <c r="JQU2466" s="54"/>
      <c r="JQV2466" s="54"/>
      <c r="JQW2466" s="60"/>
      <c r="JQX2466" s="60"/>
      <c r="JQY2466" s="60"/>
      <c r="JQZ2466" s="60"/>
      <c r="JRA2466" s="63"/>
      <c r="JRB2466" s="61"/>
      <c r="JRC2466" s="54"/>
      <c r="JRD2466" s="54"/>
      <c r="JRE2466" s="60"/>
      <c r="JRF2466" s="60"/>
      <c r="JRG2466" s="60"/>
      <c r="JRH2466" s="60"/>
      <c r="JRI2466" s="63"/>
      <c r="JRJ2466" s="61"/>
      <c r="JRK2466" s="54"/>
      <c r="JRL2466" s="54"/>
      <c r="JRM2466" s="60"/>
      <c r="JRN2466" s="60"/>
      <c r="JRO2466" s="60"/>
      <c r="JRP2466" s="60"/>
      <c r="JRQ2466" s="63"/>
      <c r="JRR2466" s="61"/>
      <c r="JRS2466" s="54"/>
      <c r="JRT2466" s="54"/>
      <c r="JRU2466" s="60"/>
      <c r="JRV2466" s="60"/>
      <c r="JRW2466" s="60"/>
      <c r="JRX2466" s="60"/>
      <c r="JRY2466" s="63"/>
      <c r="JRZ2466" s="61"/>
      <c r="JSA2466" s="54"/>
      <c r="JSB2466" s="54"/>
      <c r="JSC2466" s="60"/>
      <c r="JSD2466" s="60"/>
      <c r="JSE2466" s="60"/>
      <c r="JSF2466" s="60"/>
      <c r="JSG2466" s="63"/>
      <c r="JSH2466" s="61"/>
      <c r="JSI2466" s="54"/>
      <c r="JSJ2466" s="54"/>
      <c r="JSK2466" s="60"/>
      <c r="JSL2466" s="60"/>
      <c r="JSM2466" s="60"/>
      <c r="JSN2466" s="60"/>
      <c r="JSO2466" s="63"/>
      <c r="JSP2466" s="61"/>
      <c r="JSQ2466" s="54"/>
      <c r="JSR2466" s="54"/>
      <c r="JSS2466" s="60"/>
      <c r="JST2466" s="60"/>
      <c r="JSU2466" s="60"/>
      <c r="JSV2466" s="60"/>
      <c r="JSW2466" s="63"/>
      <c r="JSX2466" s="61"/>
      <c r="JSY2466" s="54"/>
      <c r="JSZ2466" s="54"/>
      <c r="JTA2466" s="60"/>
      <c r="JTB2466" s="60"/>
      <c r="JTC2466" s="60"/>
      <c r="JTD2466" s="60"/>
      <c r="JTE2466" s="63"/>
      <c r="JTF2466" s="61"/>
      <c r="JTG2466" s="54"/>
      <c r="JTH2466" s="54"/>
      <c r="JTI2466" s="60"/>
      <c r="JTJ2466" s="60"/>
      <c r="JTK2466" s="60"/>
      <c r="JTL2466" s="60"/>
      <c r="JTM2466" s="63"/>
      <c r="JTN2466" s="61"/>
      <c r="JTO2466" s="54"/>
      <c r="JTP2466" s="54"/>
      <c r="JTQ2466" s="60"/>
      <c r="JTR2466" s="60"/>
      <c r="JTS2466" s="60"/>
      <c r="JTT2466" s="60"/>
      <c r="JTU2466" s="63"/>
      <c r="JTV2466" s="61"/>
      <c r="JTW2466" s="54"/>
      <c r="JTX2466" s="54"/>
      <c r="JTY2466" s="60"/>
      <c r="JTZ2466" s="60"/>
      <c r="JUA2466" s="60"/>
      <c r="JUB2466" s="60"/>
      <c r="JUC2466" s="63"/>
      <c r="JUD2466" s="61"/>
      <c r="JUE2466" s="54"/>
      <c r="JUF2466" s="54"/>
      <c r="JUG2466" s="60"/>
      <c r="JUH2466" s="60"/>
      <c r="JUI2466" s="60"/>
      <c r="JUJ2466" s="60"/>
      <c r="JUK2466" s="63"/>
      <c r="JUL2466" s="61"/>
      <c r="JUM2466" s="54"/>
      <c r="JUN2466" s="54"/>
      <c r="JUO2466" s="60"/>
      <c r="JUP2466" s="60"/>
      <c r="JUQ2466" s="60"/>
      <c r="JUR2466" s="60"/>
      <c r="JUS2466" s="63"/>
      <c r="JUT2466" s="61"/>
      <c r="JUU2466" s="54"/>
      <c r="JUV2466" s="54"/>
      <c r="JUW2466" s="60"/>
      <c r="JUX2466" s="60"/>
      <c r="JUY2466" s="60"/>
      <c r="JUZ2466" s="60"/>
      <c r="JVA2466" s="63"/>
      <c r="JVB2466" s="61"/>
      <c r="JVC2466" s="54"/>
      <c r="JVD2466" s="54"/>
      <c r="JVE2466" s="60"/>
      <c r="JVF2466" s="60"/>
      <c r="JVG2466" s="60"/>
      <c r="JVH2466" s="60"/>
      <c r="JVI2466" s="63"/>
      <c r="JVJ2466" s="61"/>
      <c r="JVK2466" s="54"/>
      <c r="JVL2466" s="54"/>
      <c r="JVM2466" s="60"/>
      <c r="JVN2466" s="60"/>
      <c r="JVO2466" s="60"/>
      <c r="JVP2466" s="60"/>
      <c r="JVQ2466" s="63"/>
      <c r="JVR2466" s="61"/>
      <c r="JVS2466" s="54"/>
      <c r="JVT2466" s="54"/>
      <c r="JVU2466" s="60"/>
      <c r="JVV2466" s="60"/>
      <c r="JVW2466" s="60"/>
      <c r="JVX2466" s="60"/>
      <c r="JVY2466" s="63"/>
      <c r="JVZ2466" s="61"/>
      <c r="JWA2466" s="54"/>
      <c r="JWB2466" s="54"/>
      <c r="JWC2466" s="60"/>
      <c r="JWD2466" s="60"/>
      <c r="JWE2466" s="60"/>
      <c r="JWF2466" s="60"/>
      <c r="JWG2466" s="63"/>
      <c r="JWH2466" s="61"/>
      <c r="JWI2466" s="54"/>
      <c r="JWJ2466" s="54"/>
      <c r="JWK2466" s="60"/>
      <c r="JWL2466" s="60"/>
      <c r="JWM2466" s="60"/>
      <c r="JWN2466" s="60"/>
      <c r="JWO2466" s="63"/>
      <c r="JWP2466" s="61"/>
      <c r="JWQ2466" s="54"/>
      <c r="JWR2466" s="54"/>
      <c r="JWS2466" s="60"/>
      <c r="JWT2466" s="60"/>
      <c r="JWU2466" s="60"/>
      <c r="JWV2466" s="60"/>
      <c r="JWW2466" s="63"/>
      <c r="JWX2466" s="61"/>
      <c r="JWY2466" s="54"/>
      <c r="JWZ2466" s="54"/>
      <c r="JXA2466" s="60"/>
      <c r="JXB2466" s="60"/>
      <c r="JXC2466" s="60"/>
      <c r="JXD2466" s="60"/>
      <c r="JXE2466" s="63"/>
      <c r="JXF2466" s="61"/>
      <c r="JXG2466" s="54"/>
      <c r="JXH2466" s="54"/>
      <c r="JXI2466" s="60"/>
      <c r="JXJ2466" s="60"/>
      <c r="JXK2466" s="60"/>
      <c r="JXL2466" s="60"/>
      <c r="JXM2466" s="63"/>
      <c r="JXN2466" s="61"/>
      <c r="JXO2466" s="54"/>
      <c r="JXP2466" s="54"/>
      <c r="JXQ2466" s="60"/>
      <c r="JXR2466" s="60"/>
      <c r="JXS2466" s="60"/>
      <c r="JXT2466" s="60"/>
      <c r="JXU2466" s="63"/>
      <c r="JXV2466" s="61"/>
      <c r="JXW2466" s="54"/>
      <c r="JXX2466" s="54"/>
      <c r="JXY2466" s="60"/>
      <c r="JXZ2466" s="60"/>
      <c r="JYA2466" s="60"/>
      <c r="JYB2466" s="60"/>
      <c r="JYC2466" s="63"/>
      <c r="JYD2466" s="61"/>
      <c r="JYE2466" s="54"/>
      <c r="JYF2466" s="54"/>
      <c r="JYG2466" s="60"/>
      <c r="JYH2466" s="60"/>
      <c r="JYI2466" s="60"/>
      <c r="JYJ2466" s="60"/>
      <c r="JYK2466" s="63"/>
      <c r="JYL2466" s="61"/>
      <c r="JYM2466" s="54"/>
      <c r="JYN2466" s="54"/>
      <c r="JYO2466" s="60"/>
      <c r="JYP2466" s="60"/>
      <c r="JYQ2466" s="60"/>
      <c r="JYR2466" s="60"/>
      <c r="JYS2466" s="63"/>
      <c r="JYT2466" s="61"/>
      <c r="JYU2466" s="54"/>
      <c r="JYV2466" s="54"/>
      <c r="JYW2466" s="60"/>
      <c r="JYX2466" s="60"/>
      <c r="JYY2466" s="60"/>
      <c r="JYZ2466" s="60"/>
      <c r="JZA2466" s="63"/>
      <c r="JZB2466" s="61"/>
      <c r="JZC2466" s="54"/>
      <c r="JZD2466" s="54"/>
      <c r="JZE2466" s="60"/>
      <c r="JZF2466" s="60"/>
      <c r="JZG2466" s="60"/>
      <c r="JZH2466" s="60"/>
      <c r="JZI2466" s="63"/>
      <c r="JZJ2466" s="61"/>
      <c r="JZK2466" s="54"/>
      <c r="JZL2466" s="54"/>
      <c r="JZM2466" s="60"/>
      <c r="JZN2466" s="60"/>
      <c r="JZO2466" s="60"/>
      <c r="JZP2466" s="60"/>
      <c r="JZQ2466" s="63"/>
      <c r="JZR2466" s="61"/>
      <c r="JZS2466" s="54"/>
      <c r="JZT2466" s="54"/>
      <c r="JZU2466" s="60"/>
      <c r="JZV2466" s="60"/>
      <c r="JZW2466" s="60"/>
      <c r="JZX2466" s="60"/>
      <c r="JZY2466" s="63"/>
      <c r="JZZ2466" s="61"/>
      <c r="KAA2466" s="54"/>
      <c r="KAB2466" s="54"/>
      <c r="KAC2466" s="60"/>
      <c r="KAD2466" s="60"/>
      <c r="KAE2466" s="60"/>
      <c r="KAF2466" s="60"/>
      <c r="KAG2466" s="63"/>
      <c r="KAH2466" s="61"/>
      <c r="KAI2466" s="54"/>
      <c r="KAJ2466" s="54"/>
      <c r="KAK2466" s="60"/>
      <c r="KAL2466" s="60"/>
      <c r="KAM2466" s="60"/>
      <c r="KAN2466" s="60"/>
      <c r="KAO2466" s="63"/>
      <c r="KAP2466" s="61"/>
      <c r="KAQ2466" s="54"/>
      <c r="KAR2466" s="54"/>
      <c r="KAS2466" s="60"/>
      <c r="KAT2466" s="60"/>
      <c r="KAU2466" s="60"/>
      <c r="KAV2466" s="60"/>
      <c r="KAW2466" s="63"/>
      <c r="KAX2466" s="61"/>
      <c r="KAY2466" s="54"/>
      <c r="KAZ2466" s="54"/>
      <c r="KBA2466" s="60"/>
      <c r="KBB2466" s="60"/>
      <c r="KBC2466" s="60"/>
      <c r="KBD2466" s="60"/>
      <c r="KBE2466" s="63"/>
      <c r="KBF2466" s="61"/>
      <c r="KBG2466" s="54"/>
      <c r="KBH2466" s="54"/>
      <c r="KBI2466" s="60"/>
      <c r="KBJ2466" s="60"/>
      <c r="KBK2466" s="60"/>
      <c r="KBL2466" s="60"/>
      <c r="KBM2466" s="63"/>
      <c r="KBN2466" s="61"/>
      <c r="KBO2466" s="54"/>
      <c r="KBP2466" s="54"/>
      <c r="KBQ2466" s="60"/>
      <c r="KBR2466" s="60"/>
      <c r="KBS2466" s="60"/>
      <c r="KBT2466" s="60"/>
      <c r="KBU2466" s="63"/>
      <c r="KBV2466" s="61"/>
      <c r="KBW2466" s="54"/>
      <c r="KBX2466" s="54"/>
      <c r="KBY2466" s="60"/>
      <c r="KBZ2466" s="60"/>
      <c r="KCA2466" s="60"/>
      <c r="KCB2466" s="60"/>
      <c r="KCC2466" s="63"/>
      <c r="KCD2466" s="61"/>
      <c r="KCE2466" s="54"/>
      <c r="KCF2466" s="54"/>
      <c r="KCG2466" s="60"/>
      <c r="KCH2466" s="60"/>
      <c r="KCI2466" s="60"/>
      <c r="KCJ2466" s="60"/>
      <c r="KCK2466" s="63"/>
      <c r="KCL2466" s="61"/>
      <c r="KCM2466" s="54"/>
      <c r="KCN2466" s="54"/>
      <c r="KCO2466" s="60"/>
      <c r="KCP2466" s="60"/>
      <c r="KCQ2466" s="60"/>
      <c r="KCR2466" s="60"/>
      <c r="KCS2466" s="63"/>
      <c r="KCT2466" s="61"/>
      <c r="KCU2466" s="54"/>
      <c r="KCV2466" s="54"/>
      <c r="KCW2466" s="60"/>
      <c r="KCX2466" s="60"/>
      <c r="KCY2466" s="60"/>
      <c r="KCZ2466" s="60"/>
      <c r="KDA2466" s="63"/>
      <c r="KDB2466" s="61"/>
      <c r="KDC2466" s="54"/>
      <c r="KDD2466" s="54"/>
      <c r="KDE2466" s="60"/>
      <c r="KDF2466" s="60"/>
      <c r="KDG2466" s="60"/>
      <c r="KDH2466" s="60"/>
      <c r="KDI2466" s="63"/>
      <c r="KDJ2466" s="61"/>
      <c r="KDK2466" s="54"/>
      <c r="KDL2466" s="54"/>
      <c r="KDM2466" s="60"/>
      <c r="KDN2466" s="60"/>
      <c r="KDO2466" s="60"/>
      <c r="KDP2466" s="60"/>
      <c r="KDQ2466" s="63"/>
      <c r="KDR2466" s="61"/>
      <c r="KDS2466" s="54"/>
      <c r="KDT2466" s="54"/>
      <c r="KDU2466" s="60"/>
      <c r="KDV2466" s="60"/>
      <c r="KDW2466" s="60"/>
      <c r="KDX2466" s="60"/>
      <c r="KDY2466" s="63"/>
      <c r="KDZ2466" s="61"/>
      <c r="KEA2466" s="54"/>
      <c r="KEB2466" s="54"/>
      <c r="KEC2466" s="60"/>
      <c r="KED2466" s="60"/>
      <c r="KEE2466" s="60"/>
      <c r="KEF2466" s="60"/>
      <c r="KEG2466" s="63"/>
      <c r="KEH2466" s="61"/>
      <c r="KEI2466" s="54"/>
      <c r="KEJ2466" s="54"/>
      <c r="KEK2466" s="60"/>
      <c r="KEL2466" s="60"/>
      <c r="KEM2466" s="60"/>
      <c r="KEN2466" s="60"/>
      <c r="KEO2466" s="63"/>
      <c r="KEP2466" s="61"/>
      <c r="KEQ2466" s="54"/>
      <c r="KER2466" s="54"/>
      <c r="KES2466" s="60"/>
      <c r="KET2466" s="60"/>
      <c r="KEU2466" s="60"/>
      <c r="KEV2466" s="60"/>
      <c r="KEW2466" s="63"/>
      <c r="KEX2466" s="61"/>
      <c r="KEY2466" s="54"/>
      <c r="KEZ2466" s="54"/>
      <c r="KFA2466" s="60"/>
      <c r="KFB2466" s="60"/>
      <c r="KFC2466" s="60"/>
      <c r="KFD2466" s="60"/>
      <c r="KFE2466" s="63"/>
      <c r="KFF2466" s="61"/>
      <c r="KFG2466" s="54"/>
      <c r="KFH2466" s="54"/>
      <c r="KFI2466" s="60"/>
      <c r="KFJ2466" s="60"/>
      <c r="KFK2466" s="60"/>
      <c r="KFL2466" s="60"/>
      <c r="KFM2466" s="63"/>
      <c r="KFN2466" s="61"/>
      <c r="KFO2466" s="54"/>
      <c r="KFP2466" s="54"/>
      <c r="KFQ2466" s="60"/>
      <c r="KFR2466" s="60"/>
      <c r="KFS2466" s="60"/>
      <c r="KFT2466" s="60"/>
      <c r="KFU2466" s="63"/>
      <c r="KFV2466" s="61"/>
      <c r="KFW2466" s="54"/>
      <c r="KFX2466" s="54"/>
      <c r="KFY2466" s="60"/>
      <c r="KFZ2466" s="60"/>
      <c r="KGA2466" s="60"/>
      <c r="KGB2466" s="60"/>
      <c r="KGC2466" s="63"/>
      <c r="KGD2466" s="61"/>
      <c r="KGE2466" s="54"/>
      <c r="KGF2466" s="54"/>
      <c r="KGG2466" s="60"/>
      <c r="KGH2466" s="60"/>
      <c r="KGI2466" s="60"/>
      <c r="KGJ2466" s="60"/>
      <c r="KGK2466" s="63"/>
      <c r="KGL2466" s="61"/>
      <c r="KGM2466" s="54"/>
      <c r="KGN2466" s="54"/>
      <c r="KGO2466" s="60"/>
      <c r="KGP2466" s="60"/>
      <c r="KGQ2466" s="60"/>
      <c r="KGR2466" s="60"/>
      <c r="KGS2466" s="63"/>
      <c r="KGT2466" s="61"/>
      <c r="KGU2466" s="54"/>
      <c r="KGV2466" s="54"/>
      <c r="KGW2466" s="60"/>
      <c r="KGX2466" s="60"/>
      <c r="KGY2466" s="60"/>
      <c r="KGZ2466" s="60"/>
      <c r="KHA2466" s="63"/>
      <c r="KHB2466" s="61"/>
      <c r="KHC2466" s="54"/>
      <c r="KHD2466" s="54"/>
      <c r="KHE2466" s="60"/>
      <c r="KHF2466" s="60"/>
      <c r="KHG2466" s="60"/>
      <c r="KHH2466" s="60"/>
      <c r="KHI2466" s="63"/>
      <c r="KHJ2466" s="61"/>
      <c r="KHK2466" s="54"/>
      <c r="KHL2466" s="54"/>
      <c r="KHM2466" s="60"/>
      <c r="KHN2466" s="60"/>
      <c r="KHO2466" s="60"/>
      <c r="KHP2466" s="60"/>
      <c r="KHQ2466" s="63"/>
      <c r="KHR2466" s="61"/>
      <c r="KHS2466" s="54"/>
      <c r="KHT2466" s="54"/>
      <c r="KHU2466" s="60"/>
      <c r="KHV2466" s="60"/>
      <c r="KHW2466" s="60"/>
      <c r="KHX2466" s="60"/>
      <c r="KHY2466" s="63"/>
      <c r="KHZ2466" s="61"/>
      <c r="KIA2466" s="54"/>
      <c r="KIB2466" s="54"/>
      <c r="KIC2466" s="60"/>
      <c r="KID2466" s="60"/>
      <c r="KIE2466" s="60"/>
      <c r="KIF2466" s="60"/>
      <c r="KIG2466" s="63"/>
      <c r="KIH2466" s="61"/>
      <c r="KII2466" s="54"/>
      <c r="KIJ2466" s="54"/>
      <c r="KIK2466" s="60"/>
      <c r="KIL2466" s="60"/>
      <c r="KIM2466" s="60"/>
      <c r="KIN2466" s="60"/>
      <c r="KIO2466" s="63"/>
      <c r="KIP2466" s="61"/>
      <c r="KIQ2466" s="54"/>
      <c r="KIR2466" s="54"/>
      <c r="KIS2466" s="60"/>
      <c r="KIT2466" s="60"/>
      <c r="KIU2466" s="60"/>
      <c r="KIV2466" s="60"/>
      <c r="KIW2466" s="63"/>
      <c r="KIX2466" s="61"/>
      <c r="KIY2466" s="54"/>
      <c r="KIZ2466" s="54"/>
      <c r="KJA2466" s="60"/>
      <c r="KJB2466" s="60"/>
      <c r="KJC2466" s="60"/>
      <c r="KJD2466" s="60"/>
      <c r="KJE2466" s="63"/>
      <c r="KJF2466" s="61"/>
      <c r="KJG2466" s="54"/>
      <c r="KJH2466" s="54"/>
      <c r="KJI2466" s="60"/>
      <c r="KJJ2466" s="60"/>
      <c r="KJK2466" s="60"/>
      <c r="KJL2466" s="60"/>
      <c r="KJM2466" s="63"/>
      <c r="KJN2466" s="61"/>
      <c r="KJO2466" s="54"/>
      <c r="KJP2466" s="54"/>
      <c r="KJQ2466" s="60"/>
      <c r="KJR2466" s="60"/>
      <c r="KJS2466" s="60"/>
      <c r="KJT2466" s="60"/>
      <c r="KJU2466" s="63"/>
      <c r="KJV2466" s="61"/>
      <c r="KJW2466" s="54"/>
      <c r="KJX2466" s="54"/>
      <c r="KJY2466" s="60"/>
      <c r="KJZ2466" s="60"/>
      <c r="KKA2466" s="60"/>
      <c r="KKB2466" s="60"/>
      <c r="KKC2466" s="63"/>
      <c r="KKD2466" s="61"/>
      <c r="KKE2466" s="54"/>
      <c r="KKF2466" s="54"/>
      <c r="KKG2466" s="60"/>
      <c r="KKH2466" s="60"/>
      <c r="KKI2466" s="60"/>
      <c r="KKJ2466" s="60"/>
      <c r="KKK2466" s="63"/>
      <c r="KKL2466" s="61"/>
      <c r="KKM2466" s="54"/>
      <c r="KKN2466" s="54"/>
      <c r="KKO2466" s="60"/>
      <c r="KKP2466" s="60"/>
      <c r="KKQ2466" s="60"/>
      <c r="KKR2466" s="60"/>
      <c r="KKS2466" s="63"/>
      <c r="KKT2466" s="61"/>
      <c r="KKU2466" s="54"/>
      <c r="KKV2466" s="54"/>
      <c r="KKW2466" s="60"/>
      <c r="KKX2466" s="60"/>
      <c r="KKY2466" s="60"/>
      <c r="KKZ2466" s="60"/>
      <c r="KLA2466" s="63"/>
      <c r="KLB2466" s="61"/>
      <c r="KLC2466" s="54"/>
      <c r="KLD2466" s="54"/>
      <c r="KLE2466" s="60"/>
      <c r="KLF2466" s="60"/>
      <c r="KLG2466" s="60"/>
      <c r="KLH2466" s="60"/>
      <c r="KLI2466" s="63"/>
      <c r="KLJ2466" s="61"/>
      <c r="KLK2466" s="54"/>
      <c r="KLL2466" s="54"/>
      <c r="KLM2466" s="60"/>
      <c r="KLN2466" s="60"/>
      <c r="KLO2466" s="60"/>
      <c r="KLP2466" s="60"/>
      <c r="KLQ2466" s="63"/>
      <c r="KLR2466" s="61"/>
      <c r="KLS2466" s="54"/>
      <c r="KLT2466" s="54"/>
      <c r="KLU2466" s="60"/>
      <c r="KLV2466" s="60"/>
      <c r="KLW2466" s="60"/>
      <c r="KLX2466" s="60"/>
      <c r="KLY2466" s="63"/>
      <c r="KLZ2466" s="61"/>
      <c r="KMA2466" s="54"/>
      <c r="KMB2466" s="54"/>
      <c r="KMC2466" s="60"/>
      <c r="KMD2466" s="60"/>
      <c r="KME2466" s="60"/>
      <c r="KMF2466" s="60"/>
      <c r="KMG2466" s="63"/>
      <c r="KMH2466" s="61"/>
      <c r="KMI2466" s="54"/>
      <c r="KMJ2466" s="54"/>
      <c r="KMK2466" s="60"/>
      <c r="KML2466" s="60"/>
      <c r="KMM2466" s="60"/>
      <c r="KMN2466" s="60"/>
      <c r="KMO2466" s="63"/>
      <c r="KMP2466" s="61"/>
      <c r="KMQ2466" s="54"/>
      <c r="KMR2466" s="54"/>
      <c r="KMS2466" s="60"/>
      <c r="KMT2466" s="60"/>
      <c r="KMU2466" s="60"/>
      <c r="KMV2466" s="60"/>
      <c r="KMW2466" s="63"/>
      <c r="KMX2466" s="61"/>
      <c r="KMY2466" s="54"/>
      <c r="KMZ2466" s="54"/>
      <c r="KNA2466" s="60"/>
      <c r="KNB2466" s="60"/>
      <c r="KNC2466" s="60"/>
      <c r="KND2466" s="60"/>
      <c r="KNE2466" s="63"/>
      <c r="KNF2466" s="61"/>
      <c r="KNG2466" s="54"/>
      <c r="KNH2466" s="54"/>
      <c r="KNI2466" s="60"/>
      <c r="KNJ2466" s="60"/>
      <c r="KNK2466" s="60"/>
      <c r="KNL2466" s="60"/>
      <c r="KNM2466" s="63"/>
      <c r="KNN2466" s="61"/>
      <c r="KNO2466" s="54"/>
      <c r="KNP2466" s="54"/>
      <c r="KNQ2466" s="60"/>
      <c r="KNR2466" s="60"/>
      <c r="KNS2466" s="60"/>
      <c r="KNT2466" s="60"/>
      <c r="KNU2466" s="63"/>
      <c r="KNV2466" s="61"/>
      <c r="KNW2466" s="54"/>
      <c r="KNX2466" s="54"/>
      <c r="KNY2466" s="60"/>
      <c r="KNZ2466" s="60"/>
      <c r="KOA2466" s="60"/>
      <c r="KOB2466" s="60"/>
      <c r="KOC2466" s="63"/>
      <c r="KOD2466" s="61"/>
      <c r="KOE2466" s="54"/>
      <c r="KOF2466" s="54"/>
      <c r="KOG2466" s="60"/>
      <c r="KOH2466" s="60"/>
      <c r="KOI2466" s="60"/>
      <c r="KOJ2466" s="60"/>
      <c r="KOK2466" s="63"/>
      <c r="KOL2466" s="61"/>
      <c r="KOM2466" s="54"/>
      <c r="KON2466" s="54"/>
      <c r="KOO2466" s="60"/>
      <c r="KOP2466" s="60"/>
      <c r="KOQ2466" s="60"/>
      <c r="KOR2466" s="60"/>
      <c r="KOS2466" s="63"/>
      <c r="KOT2466" s="61"/>
      <c r="KOU2466" s="54"/>
      <c r="KOV2466" s="54"/>
      <c r="KOW2466" s="60"/>
      <c r="KOX2466" s="60"/>
      <c r="KOY2466" s="60"/>
      <c r="KOZ2466" s="60"/>
      <c r="KPA2466" s="63"/>
      <c r="KPB2466" s="61"/>
      <c r="KPC2466" s="54"/>
      <c r="KPD2466" s="54"/>
      <c r="KPE2466" s="60"/>
      <c r="KPF2466" s="60"/>
      <c r="KPG2466" s="60"/>
      <c r="KPH2466" s="60"/>
      <c r="KPI2466" s="63"/>
      <c r="KPJ2466" s="61"/>
      <c r="KPK2466" s="54"/>
      <c r="KPL2466" s="54"/>
      <c r="KPM2466" s="60"/>
      <c r="KPN2466" s="60"/>
      <c r="KPO2466" s="60"/>
      <c r="KPP2466" s="60"/>
      <c r="KPQ2466" s="63"/>
      <c r="KPR2466" s="61"/>
      <c r="KPS2466" s="54"/>
      <c r="KPT2466" s="54"/>
      <c r="KPU2466" s="60"/>
      <c r="KPV2466" s="60"/>
      <c r="KPW2466" s="60"/>
      <c r="KPX2466" s="60"/>
      <c r="KPY2466" s="63"/>
      <c r="KPZ2466" s="61"/>
      <c r="KQA2466" s="54"/>
      <c r="KQB2466" s="54"/>
      <c r="KQC2466" s="60"/>
      <c r="KQD2466" s="60"/>
      <c r="KQE2466" s="60"/>
      <c r="KQF2466" s="60"/>
      <c r="KQG2466" s="63"/>
      <c r="KQH2466" s="61"/>
      <c r="KQI2466" s="54"/>
      <c r="KQJ2466" s="54"/>
      <c r="KQK2466" s="60"/>
      <c r="KQL2466" s="60"/>
      <c r="KQM2466" s="60"/>
      <c r="KQN2466" s="60"/>
      <c r="KQO2466" s="63"/>
      <c r="KQP2466" s="61"/>
      <c r="KQQ2466" s="54"/>
      <c r="KQR2466" s="54"/>
      <c r="KQS2466" s="60"/>
      <c r="KQT2466" s="60"/>
      <c r="KQU2466" s="60"/>
      <c r="KQV2466" s="60"/>
      <c r="KQW2466" s="63"/>
      <c r="KQX2466" s="61"/>
      <c r="KQY2466" s="54"/>
      <c r="KQZ2466" s="54"/>
      <c r="KRA2466" s="60"/>
      <c r="KRB2466" s="60"/>
      <c r="KRC2466" s="60"/>
      <c r="KRD2466" s="60"/>
      <c r="KRE2466" s="63"/>
      <c r="KRF2466" s="61"/>
      <c r="KRG2466" s="54"/>
      <c r="KRH2466" s="54"/>
      <c r="KRI2466" s="60"/>
      <c r="KRJ2466" s="60"/>
      <c r="KRK2466" s="60"/>
      <c r="KRL2466" s="60"/>
      <c r="KRM2466" s="63"/>
      <c r="KRN2466" s="61"/>
      <c r="KRO2466" s="54"/>
      <c r="KRP2466" s="54"/>
      <c r="KRQ2466" s="60"/>
      <c r="KRR2466" s="60"/>
      <c r="KRS2466" s="60"/>
      <c r="KRT2466" s="60"/>
      <c r="KRU2466" s="63"/>
      <c r="KRV2466" s="61"/>
      <c r="KRW2466" s="54"/>
      <c r="KRX2466" s="54"/>
      <c r="KRY2466" s="60"/>
      <c r="KRZ2466" s="60"/>
      <c r="KSA2466" s="60"/>
      <c r="KSB2466" s="60"/>
      <c r="KSC2466" s="63"/>
      <c r="KSD2466" s="61"/>
      <c r="KSE2466" s="54"/>
      <c r="KSF2466" s="54"/>
      <c r="KSG2466" s="60"/>
      <c r="KSH2466" s="60"/>
      <c r="KSI2466" s="60"/>
      <c r="KSJ2466" s="60"/>
      <c r="KSK2466" s="63"/>
      <c r="KSL2466" s="61"/>
      <c r="KSM2466" s="54"/>
      <c r="KSN2466" s="54"/>
      <c r="KSO2466" s="60"/>
      <c r="KSP2466" s="60"/>
      <c r="KSQ2466" s="60"/>
      <c r="KSR2466" s="60"/>
      <c r="KSS2466" s="63"/>
      <c r="KST2466" s="61"/>
      <c r="KSU2466" s="54"/>
      <c r="KSV2466" s="54"/>
      <c r="KSW2466" s="60"/>
      <c r="KSX2466" s="60"/>
      <c r="KSY2466" s="60"/>
      <c r="KSZ2466" s="60"/>
      <c r="KTA2466" s="63"/>
      <c r="KTB2466" s="61"/>
      <c r="KTC2466" s="54"/>
      <c r="KTD2466" s="54"/>
      <c r="KTE2466" s="60"/>
      <c r="KTF2466" s="60"/>
      <c r="KTG2466" s="60"/>
      <c r="KTH2466" s="60"/>
      <c r="KTI2466" s="63"/>
      <c r="KTJ2466" s="61"/>
      <c r="KTK2466" s="54"/>
      <c r="KTL2466" s="54"/>
      <c r="KTM2466" s="60"/>
      <c r="KTN2466" s="60"/>
      <c r="KTO2466" s="60"/>
      <c r="KTP2466" s="60"/>
      <c r="KTQ2466" s="63"/>
      <c r="KTR2466" s="61"/>
      <c r="KTS2466" s="54"/>
      <c r="KTT2466" s="54"/>
      <c r="KTU2466" s="60"/>
      <c r="KTV2466" s="60"/>
      <c r="KTW2466" s="60"/>
      <c r="KTX2466" s="60"/>
      <c r="KTY2466" s="63"/>
      <c r="KTZ2466" s="61"/>
      <c r="KUA2466" s="54"/>
      <c r="KUB2466" s="54"/>
      <c r="KUC2466" s="60"/>
      <c r="KUD2466" s="60"/>
      <c r="KUE2466" s="60"/>
      <c r="KUF2466" s="60"/>
      <c r="KUG2466" s="63"/>
      <c r="KUH2466" s="61"/>
      <c r="KUI2466" s="54"/>
      <c r="KUJ2466" s="54"/>
      <c r="KUK2466" s="60"/>
      <c r="KUL2466" s="60"/>
      <c r="KUM2466" s="60"/>
      <c r="KUN2466" s="60"/>
      <c r="KUO2466" s="63"/>
      <c r="KUP2466" s="61"/>
      <c r="KUQ2466" s="54"/>
      <c r="KUR2466" s="54"/>
      <c r="KUS2466" s="60"/>
      <c r="KUT2466" s="60"/>
      <c r="KUU2466" s="60"/>
      <c r="KUV2466" s="60"/>
      <c r="KUW2466" s="63"/>
      <c r="KUX2466" s="61"/>
      <c r="KUY2466" s="54"/>
      <c r="KUZ2466" s="54"/>
      <c r="KVA2466" s="60"/>
      <c r="KVB2466" s="60"/>
      <c r="KVC2466" s="60"/>
      <c r="KVD2466" s="60"/>
      <c r="KVE2466" s="63"/>
      <c r="KVF2466" s="61"/>
      <c r="KVG2466" s="54"/>
      <c r="KVH2466" s="54"/>
      <c r="KVI2466" s="60"/>
      <c r="KVJ2466" s="60"/>
      <c r="KVK2466" s="60"/>
      <c r="KVL2466" s="60"/>
      <c r="KVM2466" s="63"/>
      <c r="KVN2466" s="61"/>
      <c r="KVO2466" s="54"/>
      <c r="KVP2466" s="54"/>
      <c r="KVQ2466" s="60"/>
      <c r="KVR2466" s="60"/>
      <c r="KVS2466" s="60"/>
      <c r="KVT2466" s="60"/>
      <c r="KVU2466" s="63"/>
      <c r="KVV2466" s="61"/>
      <c r="KVW2466" s="54"/>
      <c r="KVX2466" s="54"/>
      <c r="KVY2466" s="60"/>
      <c r="KVZ2466" s="60"/>
      <c r="KWA2466" s="60"/>
      <c r="KWB2466" s="60"/>
      <c r="KWC2466" s="63"/>
      <c r="KWD2466" s="61"/>
      <c r="KWE2466" s="54"/>
      <c r="KWF2466" s="54"/>
      <c r="KWG2466" s="60"/>
      <c r="KWH2466" s="60"/>
      <c r="KWI2466" s="60"/>
      <c r="KWJ2466" s="60"/>
      <c r="KWK2466" s="63"/>
      <c r="KWL2466" s="61"/>
      <c r="KWM2466" s="54"/>
      <c r="KWN2466" s="54"/>
      <c r="KWO2466" s="60"/>
      <c r="KWP2466" s="60"/>
      <c r="KWQ2466" s="60"/>
      <c r="KWR2466" s="60"/>
      <c r="KWS2466" s="63"/>
      <c r="KWT2466" s="61"/>
      <c r="KWU2466" s="54"/>
      <c r="KWV2466" s="54"/>
      <c r="KWW2466" s="60"/>
      <c r="KWX2466" s="60"/>
      <c r="KWY2466" s="60"/>
      <c r="KWZ2466" s="60"/>
      <c r="KXA2466" s="63"/>
      <c r="KXB2466" s="61"/>
      <c r="KXC2466" s="54"/>
      <c r="KXD2466" s="54"/>
      <c r="KXE2466" s="60"/>
      <c r="KXF2466" s="60"/>
      <c r="KXG2466" s="60"/>
      <c r="KXH2466" s="60"/>
      <c r="KXI2466" s="63"/>
      <c r="KXJ2466" s="61"/>
      <c r="KXK2466" s="54"/>
      <c r="KXL2466" s="54"/>
      <c r="KXM2466" s="60"/>
      <c r="KXN2466" s="60"/>
      <c r="KXO2466" s="60"/>
      <c r="KXP2466" s="60"/>
      <c r="KXQ2466" s="63"/>
      <c r="KXR2466" s="61"/>
      <c r="KXS2466" s="54"/>
      <c r="KXT2466" s="54"/>
      <c r="KXU2466" s="60"/>
      <c r="KXV2466" s="60"/>
      <c r="KXW2466" s="60"/>
      <c r="KXX2466" s="60"/>
      <c r="KXY2466" s="63"/>
      <c r="KXZ2466" s="61"/>
      <c r="KYA2466" s="54"/>
      <c r="KYB2466" s="54"/>
      <c r="KYC2466" s="60"/>
      <c r="KYD2466" s="60"/>
      <c r="KYE2466" s="60"/>
      <c r="KYF2466" s="60"/>
      <c r="KYG2466" s="63"/>
      <c r="KYH2466" s="61"/>
      <c r="KYI2466" s="54"/>
      <c r="KYJ2466" s="54"/>
      <c r="KYK2466" s="60"/>
      <c r="KYL2466" s="60"/>
      <c r="KYM2466" s="60"/>
      <c r="KYN2466" s="60"/>
      <c r="KYO2466" s="63"/>
      <c r="KYP2466" s="61"/>
      <c r="KYQ2466" s="54"/>
      <c r="KYR2466" s="54"/>
      <c r="KYS2466" s="60"/>
      <c r="KYT2466" s="60"/>
      <c r="KYU2466" s="60"/>
      <c r="KYV2466" s="60"/>
      <c r="KYW2466" s="63"/>
      <c r="KYX2466" s="61"/>
      <c r="KYY2466" s="54"/>
      <c r="KYZ2466" s="54"/>
      <c r="KZA2466" s="60"/>
      <c r="KZB2466" s="60"/>
      <c r="KZC2466" s="60"/>
      <c r="KZD2466" s="60"/>
      <c r="KZE2466" s="63"/>
      <c r="KZF2466" s="61"/>
      <c r="KZG2466" s="54"/>
      <c r="KZH2466" s="54"/>
      <c r="KZI2466" s="60"/>
      <c r="KZJ2466" s="60"/>
      <c r="KZK2466" s="60"/>
      <c r="KZL2466" s="60"/>
      <c r="KZM2466" s="63"/>
      <c r="KZN2466" s="61"/>
      <c r="KZO2466" s="54"/>
      <c r="KZP2466" s="54"/>
      <c r="KZQ2466" s="60"/>
      <c r="KZR2466" s="60"/>
      <c r="KZS2466" s="60"/>
      <c r="KZT2466" s="60"/>
      <c r="KZU2466" s="63"/>
      <c r="KZV2466" s="61"/>
      <c r="KZW2466" s="54"/>
      <c r="KZX2466" s="54"/>
      <c r="KZY2466" s="60"/>
      <c r="KZZ2466" s="60"/>
      <c r="LAA2466" s="60"/>
      <c r="LAB2466" s="60"/>
      <c r="LAC2466" s="63"/>
      <c r="LAD2466" s="61"/>
      <c r="LAE2466" s="54"/>
      <c r="LAF2466" s="54"/>
      <c r="LAG2466" s="60"/>
      <c r="LAH2466" s="60"/>
      <c r="LAI2466" s="60"/>
      <c r="LAJ2466" s="60"/>
      <c r="LAK2466" s="63"/>
      <c r="LAL2466" s="61"/>
      <c r="LAM2466" s="54"/>
      <c r="LAN2466" s="54"/>
      <c r="LAO2466" s="60"/>
      <c r="LAP2466" s="60"/>
      <c r="LAQ2466" s="60"/>
      <c r="LAR2466" s="60"/>
      <c r="LAS2466" s="63"/>
      <c r="LAT2466" s="61"/>
      <c r="LAU2466" s="54"/>
      <c r="LAV2466" s="54"/>
      <c r="LAW2466" s="60"/>
      <c r="LAX2466" s="60"/>
      <c r="LAY2466" s="60"/>
      <c r="LAZ2466" s="60"/>
      <c r="LBA2466" s="63"/>
      <c r="LBB2466" s="61"/>
      <c r="LBC2466" s="54"/>
      <c r="LBD2466" s="54"/>
      <c r="LBE2466" s="60"/>
      <c r="LBF2466" s="60"/>
      <c r="LBG2466" s="60"/>
      <c r="LBH2466" s="60"/>
      <c r="LBI2466" s="63"/>
      <c r="LBJ2466" s="61"/>
      <c r="LBK2466" s="54"/>
      <c r="LBL2466" s="54"/>
      <c r="LBM2466" s="60"/>
      <c r="LBN2466" s="60"/>
      <c r="LBO2466" s="60"/>
      <c r="LBP2466" s="60"/>
      <c r="LBQ2466" s="63"/>
      <c r="LBR2466" s="61"/>
      <c r="LBS2466" s="54"/>
      <c r="LBT2466" s="54"/>
      <c r="LBU2466" s="60"/>
      <c r="LBV2466" s="60"/>
      <c r="LBW2466" s="60"/>
      <c r="LBX2466" s="60"/>
      <c r="LBY2466" s="63"/>
      <c r="LBZ2466" s="61"/>
      <c r="LCA2466" s="54"/>
      <c r="LCB2466" s="54"/>
      <c r="LCC2466" s="60"/>
      <c r="LCD2466" s="60"/>
      <c r="LCE2466" s="60"/>
      <c r="LCF2466" s="60"/>
      <c r="LCG2466" s="63"/>
      <c r="LCH2466" s="61"/>
      <c r="LCI2466" s="54"/>
      <c r="LCJ2466" s="54"/>
      <c r="LCK2466" s="60"/>
      <c r="LCL2466" s="60"/>
      <c r="LCM2466" s="60"/>
      <c r="LCN2466" s="60"/>
      <c r="LCO2466" s="63"/>
      <c r="LCP2466" s="61"/>
      <c r="LCQ2466" s="54"/>
      <c r="LCR2466" s="54"/>
      <c r="LCS2466" s="60"/>
      <c r="LCT2466" s="60"/>
      <c r="LCU2466" s="60"/>
      <c r="LCV2466" s="60"/>
      <c r="LCW2466" s="63"/>
      <c r="LCX2466" s="61"/>
      <c r="LCY2466" s="54"/>
      <c r="LCZ2466" s="54"/>
      <c r="LDA2466" s="60"/>
      <c r="LDB2466" s="60"/>
      <c r="LDC2466" s="60"/>
      <c r="LDD2466" s="60"/>
      <c r="LDE2466" s="63"/>
      <c r="LDF2466" s="61"/>
      <c r="LDG2466" s="54"/>
      <c r="LDH2466" s="54"/>
      <c r="LDI2466" s="60"/>
      <c r="LDJ2466" s="60"/>
      <c r="LDK2466" s="60"/>
      <c r="LDL2466" s="60"/>
      <c r="LDM2466" s="63"/>
      <c r="LDN2466" s="61"/>
      <c r="LDO2466" s="54"/>
      <c r="LDP2466" s="54"/>
      <c r="LDQ2466" s="60"/>
      <c r="LDR2466" s="60"/>
      <c r="LDS2466" s="60"/>
      <c r="LDT2466" s="60"/>
      <c r="LDU2466" s="63"/>
      <c r="LDV2466" s="61"/>
      <c r="LDW2466" s="54"/>
      <c r="LDX2466" s="54"/>
      <c r="LDY2466" s="60"/>
      <c r="LDZ2466" s="60"/>
      <c r="LEA2466" s="60"/>
      <c r="LEB2466" s="60"/>
      <c r="LEC2466" s="63"/>
      <c r="LED2466" s="61"/>
      <c r="LEE2466" s="54"/>
      <c r="LEF2466" s="54"/>
      <c r="LEG2466" s="60"/>
      <c r="LEH2466" s="60"/>
      <c r="LEI2466" s="60"/>
      <c r="LEJ2466" s="60"/>
      <c r="LEK2466" s="63"/>
      <c r="LEL2466" s="61"/>
      <c r="LEM2466" s="54"/>
      <c r="LEN2466" s="54"/>
      <c r="LEO2466" s="60"/>
      <c r="LEP2466" s="60"/>
      <c r="LEQ2466" s="60"/>
      <c r="LER2466" s="60"/>
      <c r="LES2466" s="63"/>
      <c r="LET2466" s="61"/>
      <c r="LEU2466" s="54"/>
      <c r="LEV2466" s="54"/>
      <c r="LEW2466" s="60"/>
      <c r="LEX2466" s="60"/>
      <c r="LEY2466" s="60"/>
      <c r="LEZ2466" s="60"/>
      <c r="LFA2466" s="63"/>
      <c r="LFB2466" s="61"/>
      <c r="LFC2466" s="54"/>
      <c r="LFD2466" s="54"/>
      <c r="LFE2466" s="60"/>
      <c r="LFF2466" s="60"/>
      <c r="LFG2466" s="60"/>
      <c r="LFH2466" s="60"/>
      <c r="LFI2466" s="63"/>
      <c r="LFJ2466" s="61"/>
      <c r="LFK2466" s="54"/>
      <c r="LFL2466" s="54"/>
      <c r="LFM2466" s="60"/>
      <c r="LFN2466" s="60"/>
      <c r="LFO2466" s="60"/>
      <c r="LFP2466" s="60"/>
      <c r="LFQ2466" s="63"/>
      <c r="LFR2466" s="61"/>
      <c r="LFS2466" s="54"/>
      <c r="LFT2466" s="54"/>
      <c r="LFU2466" s="60"/>
      <c r="LFV2466" s="60"/>
      <c r="LFW2466" s="60"/>
      <c r="LFX2466" s="60"/>
      <c r="LFY2466" s="63"/>
      <c r="LFZ2466" s="61"/>
      <c r="LGA2466" s="54"/>
      <c r="LGB2466" s="54"/>
      <c r="LGC2466" s="60"/>
      <c r="LGD2466" s="60"/>
      <c r="LGE2466" s="60"/>
      <c r="LGF2466" s="60"/>
      <c r="LGG2466" s="63"/>
      <c r="LGH2466" s="61"/>
      <c r="LGI2466" s="54"/>
      <c r="LGJ2466" s="54"/>
      <c r="LGK2466" s="60"/>
      <c r="LGL2466" s="60"/>
      <c r="LGM2466" s="60"/>
      <c r="LGN2466" s="60"/>
      <c r="LGO2466" s="63"/>
      <c r="LGP2466" s="61"/>
      <c r="LGQ2466" s="54"/>
      <c r="LGR2466" s="54"/>
      <c r="LGS2466" s="60"/>
      <c r="LGT2466" s="60"/>
      <c r="LGU2466" s="60"/>
      <c r="LGV2466" s="60"/>
      <c r="LGW2466" s="63"/>
      <c r="LGX2466" s="61"/>
      <c r="LGY2466" s="54"/>
      <c r="LGZ2466" s="54"/>
      <c r="LHA2466" s="60"/>
      <c r="LHB2466" s="60"/>
      <c r="LHC2466" s="60"/>
      <c r="LHD2466" s="60"/>
      <c r="LHE2466" s="63"/>
      <c r="LHF2466" s="61"/>
      <c r="LHG2466" s="54"/>
      <c r="LHH2466" s="54"/>
      <c r="LHI2466" s="60"/>
      <c r="LHJ2466" s="60"/>
      <c r="LHK2466" s="60"/>
      <c r="LHL2466" s="60"/>
      <c r="LHM2466" s="63"/>
      <c r="LHN2466" s="61"/>
      <c r="LHO2466" s="54"/>
      <c r="LHP2466" s="54"/>
      <c r="LHQ2466" s="60"/>
      <c r="LHR2466" s="60"/>
      <c r="LHS2466" s="60"/>
      <c r="LHT2466" s="60"/>
      <c r="LHU2466" s="63"/>
      <c r="LHV2466" s="61"/>
      <c r="LHW2466" s="54"/>
      <c r="LHX2466" s="54"/>
      <c r="LHY2466" s="60"/>
      <c r="LHZ2466" s="60"/>
      <c r="LIA2466" s="60"/>
      <c r="LIB2466" s="60"/>
      <c r="LIC2466" s="63"/>
      <c r="LID2466" s="61"/>
      <c r="LIE2466" s="54"/>
      <c r="LIF2466" s="54"/>
      <c r="LIG2466" s="60"/>
      <c r="LIH2466" s="60"/>
      <c r="LII2466" s="60"/>
      <c r="LIJ2466" s="60"/>
      <c r="LIK2466" s="63"/>
      <c r="LIL2466" s="61"/>
      <c r="LIM2466" s="54"/>
      <c r="LIN2466" s="54"/>
      <c r="LIO2466" s="60"/>
      <c r="LIP2466" s="60"/>
      <c r="LIQ2466" s="60"/>
      <c r="LIR2466" s="60"/>
      <c r="LIS2466" s="63"/>
      <c r="LIT2466" s="61"/>
      <c r="LIU2466" s="54"/>
      <c r="LIV2466" s="54"/>
      <c r="LIW2466" s="60"/>
      <c r="LIX2466" s="60"/>
      <c r="LIY2466" s="60"/>
      <c r="LIZ2466" s="60"/>
      <c r="LJA2466" s="63"/>
      <c r="LJB2466" s="61"/>
      <c r="LJC2466" s="54"/>
      <c r="LJD2466" s="54"/>
      <c r="LJE2466" s="60"/>
      <c r="LJF2466" s="60"/>
      <c r="LJG2466" s="60"/>
      <c r="LJH2466" s="60"/>
      <c r="LJI2466" s="63"/>
      <c r="LJJ2466" s="61"/>
      <c r="LJK2466" s="54"/>
      <c r="LJL2466" s="54"/>
      <c r="LJM2466" s="60"/>
      <c r="LJN2466" s="60"/>
      <c r="LJO2466" s="60"/>
      <c r="LJP2466" s="60"/>
      <c r="LJQ2466" s="63"/>
      <c r="LJR2466" s="61"/>
      <c r="LJS2466" s="54"/>
      <c r="LJT2466" s="54"/>
      <c r="LJU2466" s="60"/>
      <c r="LJV2466" s="60"/>
      <c r="LJW2466" s="60"/>
      <c r="LJX2466" s="60"/>
      <c r="LJY2466" s="63"/>
      <c r="LJZ2466" s="61"/>
      <c r="LKA2466" s="54"/>
      <c r="LKB2466" s="54"/>
      <c r="LKC2466" s="60"/>
      <c r="LKD2466" s="60"/>
      <c r="LKE2466" s="60"/>
      <c r="LKF2466" s="60"/>
      <c r="LKG2466" s="63"/>
      <c r="LKH2466" s="61"/>
      <c r="LKI2466" s="54"/>
      <c r="LKJ2466" s="54"/>
      <c r="LKK2466" s="60"/>
      <c r="LKL2466" s="60"/>
      <c r="LKM2466" s="60"/>
      <c r="LKN2466" s="60"/>
      <c r="LKO2466" s="63"/>
      <c r="LKP2466" s="61"/>
      <c r="LKQ2466" s="54"/>
      <c r="LKR2466" s="54"/>
      <c r="LKS2466" s="60"/>
      <c r="LKT2466" s="60"/>
      <c r="LKU2466" s="60"/>
      <c r="LKV2466" s="60"/>
      <c r="LKW2466" s="63"/>
      <c r="LKX2466" s="61"/>
      <c r="LKY2466" s="54"/>
      <c r="LKZ2466" s="54"/>
      <c r="LLA2466" s="60"/>
      <c r="LLB2466" s="60"/>
      <c r="LLC2466" s="60"/>
      <c r="LLD2466" s="60"/>
      <c r="LLE2466" s="63"/>
      <c r="LLF2466" s="61"/>
      <c r="LLG2466" s="54"/>
      <c r="LLH2466" s="54"/>
      <c r="LLI2466" s="60"/>
      <c r="LLJ2466" s="60"/>
      <c r="LLK2466" s="60"/>
      <c r="LLL2466" s="60"/>
      <c r="LLM2466" s="63"/>
      <c r="LLN2466" s="61"/>
      <c r="LLO2466" s="54"/>
      <c r="LLP2466" s="54"/>
      <c r="LLQ2466" s="60"/>
      <c r="LLR2466" s="60"/>
      <c r="LLS2466" s="60"/>
      <c r="LLT2466" s="60"/>
      <c r="LLU2466" s="63"/>
      <c r="LLV2466" s="61"/>
      <c r="LLW2466" s="54"/>
      <c r="LLX2466" s="54"/>
      <c r="LLY2466" s="60"/>
      <c r="LLZ2466" s="60"/>
      <c r="LMA2466" s="60"/>
      <c r="LMB2466" s="60"/>
      <c r="LMC2466" s="63"/>
      <c r="LMD2466" s="61"/>
      <c r="LME2466" s="54"/>
      <c r="LMF2466" s="54"/>
      <c r="LMG2466" s="60"/>
      <c r="LMH2466" s="60"/>
      <c r="LMI2466" s="60"/>
      <c r="LMJ2466" s="60"/>
      <c r="LMK2466" s="63"/>
      <c r="LML2466" s="61"/>
      <c r="LMM2466" s="54"/>
      <c r="LMN2466" s="54"/>
      <c r="LMO2466" s="60"/>
      <c r="LMP2466" s="60"/>
      <c r="LMQ2466" s="60"/>
      <c r="LMR2466" s="60"/>
      <c r="LMS2466" s="63"/>
      <c r="LMT2466" s="61"/>
      <c r="LMU2466" s="54"/>
      <c r="LMV2466" s="54"/>
      <c r="LMW2466" s="60"/>
      <c r="LMX2466" s="60"/>
      <c r="LMY2466" s="60"/>
      <c r="LMZ2466" s="60"/>
      <c r="LNA2466" s="63"/>
      <c r="LNB2466" s="61"/>
      <c r="LNC2466" s="54"/>
      <c r="LND2466" s="54"/>
      <c r="LNE2466" s="60"/>
      <c r="LNF2466" s="60"/>
      <c r="LNG2466" s="60"/>
      <c r="LNH2466" s="60"/>
      <c r="LNI2466" s="63"/>
      <c r="LNJ2466" s="61"/>
      <c r="LNK2466" s="54"/>
      <c r="LNL2466" s="54"/>
      <c r="LNM2466" s="60"/>
      <c r="LNN2466" s="60"/>
      <c r="LNO2466" s="60"/>
      <c r="LNP2466" s="60"/>
      <c r="LNQ2466" s="63"/>
      <c r="LNR2466" s="61"/>
      <c r="LNS2466" s="54"/>
      <c r="LNT2466" s="54"/>
      <c r="LNU2466" s="60"/>
      <c r="LNV2466" s="60"/>
      <c r="LNW2466" s="60"/>
      <c r="LNX2466" s="60"/>
      <c r="LNY2466" s="63"/>
      <c r="LNZ2466" s="61"/>
      <c r="LOA2466" s="54"/>
      <c r="LOB2466" s="54"/>
      <c r="LOC2466" s="60"/>
      <c r="LOD2466" s="60"/>
      <c r="LOE2466" s="60"/>
      <c r="LOF2466" s="60"/>
      <c r="LOG2466" s="63"/>
      <c r="LOH2466" s="61"/>
      <c r="LOI2466" s="54"/>
      <c r="LOJ2466" s="54"/>
      <c r="LOK2466" s="60"/>
      <c r="LOL2466" s="60"/>
      <c r="LOM2466" s="60"/>
      <c r="LON2466" s="60"/>
      <c r="LOO2466" s="63"/>
      <c r="LOP2466" s="61"/>
      <c r="LOQ2466" s="54"/>
      <c r="LOR2466" s="54"/>
      <c r="LOS2466" s="60"/>
      <c r="LOT2466" s="60"/>
      <c r="LOU2466" s="60"/>
      <c r="LOV2466" s="60"/>
      <c r="LOW2466" s="63"/>
      <c r="LOX2466" s="61"/>
      <c r="LOY2466" s="54"/>
      <c r="LOZ2466" s="54"/>
      <c r="LPA2466" s="60"/>
      <c r="LPB2466" s="60"/>
      <c r="LPC2466" s="60"/>
      <c r="LPD2466" s="60"/>
      <c r="LPE2466" s="63"/>
      <c r="LPF2466" s="61"/>
      <c r="LPG2466" s="54"/>
      <c r="LPH2466" s="54"/>
      <c r="LPI2466" s="60"/>
      <c r="LPJ2466" s="60"/>
      <c r="LPK2466" s="60"/>
      <c r="LPL2466" s="60"/>
      <c r="LPM2466" s="63"/>
      <c r="LPN2466" s="61"/>
      <c r="LPO2466" s="54"/>
      <c r="LPP2466" s="54"/>
      <c r="LPQ2466" s="60"/>
      <c r="LPR2466" s="60"/>
      <c r="LPS2466" s="60"/>
      <c r="LPT2466" s="60"/>
      <c r="LPU2466" s="63"/>
      <c r="LPV2466" s="61"/>
      <c r="LPW2466" s="54"/>
      <c r="LPX2466" s="54"/>
      <c r="LPY2466" s="60"/>
      <c r="LPZ2466" s="60"/>
      <c r="LQA2466" s="60"/>
      <c r="LQB2466" s="60"/>
      <c r="LQC2466" s="63"/>
      <c r="LQD2466" s="61"/>
      <c r="LQE2466" s="54"/>
      <c r="LQF2466" s="54"/>
      <c r="LQG2466" s="60"/>
      <c r="LQH2466" s="60"/>
      <c r="LQI2466" s="60"/>
      <c r="LQJ2466" s="60"/>
      <c r="LQK2466" s="63"/>
      <c r="LQL2466" s="61"/>
      <c r="LQM2466" s="54"/>
      <c r="LQN2466" s="54"/>
      <c r="LQO2466" s="60"/>
      <c r="LQP2466" s="60"/>
      <c r="LQQ2466" s="60"/>
      <c r="LQR2466" s="60"/>
      <c r="LQS2466" s="63"/>
      <c r="LQT2466" s="61"/>
      <c r="LQU2466" s="54"/>
      <c r="LQV2466" s="54"/>
      <c r="LQW2466" s="60"/>
      <c r="LQX2466" s="60"/>
      <c r="LQY2466" s="60"/>
      <c r="LQZ2466" s="60"/>
      <c r="LRA2466" s="63"/>
      <c r="LRB2466" s="61"/>
      <c r="LRC2466" s="54"/>
      <c r="LRD2466" s="54"/>
      <c r="LRE2466" s="60"/>
      <c r="LRF2466" s="60"/>
      <c r="LRG2466" s="60"/>
      <c r="LRH2466" s="60"/>
      <c r="LRI2466" s="63"/>
      <c r="LRJ2466" s="61"/>
      <c r="LRK2466" s="54"/>
      <c r="LRL2466" s="54"/>
      <c r="LRM2466" s="60"/>
      <c r="LRN2466" s="60"/>
      <c r="LRO2466" s="60"/>
      <c r="LRP2466" s="60"/>
      <c r="LRQ2466" s="63"/>
      <c r="LRR2466" s="61"/>
      <c r="LRS2466" s="54"/>
      <c r="LRT2466" s="54"/>
      <c r="LRU2466" s="60"/>
      <c r="LRV2466" s="60"/>
      <c r="LRW2466" s="60"/>
      <c r="LRX2466" s="60"/>
      <c r="LRY2466" s="63"/>
      <c r="LRZ2466" s="61"/>
      <c r="LSA2466" s="54"/>
      <c r="LSB2466" s="54"/>
      <c r="LSC2466" s="60"/>
      <c r="LSD2466" s="60"/>
      <c r="LSE2466" s="60"/>
      <c r="LSF2466" s="60"/>
      <c r="LSG2466" s="63"/>
      <c r="LSH2466" s="61"/>
      <c r="LSI2466" s="54"/>
      <c r="LSJ2466" s="54"/>
      <c r="LSK2466" s="60"/>
      <c r="LSL2466" s="60"/>
      <c r="LSM2466" s="60"/>
      <c r="LSN2466" s="60"/>
      <c r="LSO2466" s="63"/>
      <c r="LSP2466" s="61"/>
      <c r="LSQ2466" s="54"/>
      <c r="LSR2466" s="54"/>
      <c r="LSS2466" s="60"/>
      <c r="LST2466" s="60"/>
      <c r="LSU2466" s="60"/>
      <c r="LSV2466" s="60"/>
      <c r="LSW2466" s="63"/>
      <c r="LSX2466" s="61"/>
      <c r="LSY2466" s="54"/>
      <c r="LSZ2466" s="54"/>
      <c r="LTA2466" s="60"/>
      <c r="LTB2466" s="60"/>
      <c r="LTC2466" s="60"/>
      <c r="LTD2466" s="60"/>
      <c r="LTE2466" s="63"/>
      <c r="LTF2466" s="61"/>
      <c r="LTG2466" s="54"/>
      <c r="LTH2466" s="54"/>
      <c r="LTI2466" s="60"/>
      <c r="LTJ2466" s="60"/>
      <c r="LTK2466" s="60"/>
      <c r="LTL2466" s="60"/>
      <c r="LTM2466" s="63"/>
      <c r="LTN2466" s="61"/>
      <c r="LTO2466" s="54"/>
      <c r="LTP2466" s="54"/>
      <c r="LTQ2466" s="60"/>
      <c r="LTR2466" s="60"/>
      <c r="LTS2466" s="60"/>
      <c r="LTT2466" s="60"/>
      <c r="LTU2466" s="63"/>
      <c r="LTV2466" s="61"/>
      <c r="LTW2466" s="54"/>
      <c r="LTX2466" s="54"/>
      <c r="LTY2466" s="60"/>
      <c r="LTZ2466" s="60"/>
      <c r="LUA2466" s="60"/>
      <c r="LUB2466" s="60"/>
      <c r="LUC2466" s="63"/>
      <c r="LUD2466" s="61"/>
      <c r="LUE2466" s="54"/>
      <c r="LUF2466" s="54"/>
      <c r="LUG2466" s="60"/>
      <c r="LUH2466" s="60"/>
      <c r="LUI2466" s="60"/>
      <c r="LUJ2466" s="60"/>
      <c r="LUK2466" s="63"/>
      <c r="LUL2466" s="61"/>
      <c r="LUM2466" s="54"/>
      <c r="LUN2466" s="54"/>
      <c r="LUO2466" s="60"/>
      <c r="LUP2466" s="60"/>
      <c r="LUQ2466" s="60"/>
      <c r="LUR2466" s="60"/>
      <c r="LUS2466" s="63"/>
      <c r="LUT2466" s="61"/>
      <c r="LUU2466" s="54"/>
      <c r="LUV2466" s="54"/>
      <c r="LUW2466" s="60"/>
      <c r="LUX2466" s="60"/>
      <c r="LUY2466" s="60"/>
      <c r="LUZ2466" s="60"/>
      <c r="LVA2466" s="63"/>
      <c r="LVB2466" s="61"/>
      <c r="LVC2466" s="54"/>
      <c r="LVD2466" s="54"/>
      <c r="LVE2466" s="60"/>
      <c r="LVF2466" s="60"/>
      <c r="LVG2466" s="60"/>
      <c r="LVH2466" s="60"/>
      <c r="LVI2466" s="63"/>
      <c r="LVJ2466" s="61"/>
      <c r="LVK2466" s="54"/>
      <c r="LVL2466" s="54"/>
      <c r="LVM2466" s="60"/>
      <c r="LVN2466" s="60"/>
      <c r="LVO2466" s="60"/>
      <c r="LVP2466" s="60"/>
      <c r="LVQ2466" s="63"/>
      <c r="LVR2466" s="61"/>
      <c r="LVS2466" s="54"/>
      <c r="LVT2466" s="54"/>
      <c r="LVU2466" s="60"/>
      <c r="LVV2466" s="60"/>
      <c r="LVW2466" s="60"/>
      <c r="LVX2466" s="60"/>
      <c r="LVY2466" s="63"/>
      <c r="LVZ2466" s="61"/>
      <c r="LWA2466" s="54"/>
      <c r="LWB2466" s="54"/>
      <c r="LWC2466" s="60"/>
      <c r="LWD2466" s="60"/>
      <c r="LWE2466" s="60"/>
      <c r="LWF2466" s="60"/>
      <c r="LWG2466" s="63"/>
      <c r="LWH2466" s="61"/>
      <c r="LWI2466" s="54"/>
      <c r="LWJ2466" s="54"/>
      <c r="LWK2466" s="60"/>
      <c r="LWL2466" s="60"/>
      <c r="LWM2466" s="60"/>
      <c r="LWN2466" s="60"/>
      <c r="LWO2466" s="63"/>
      <c r="LWP2466" s="61"/>
      <c r="LWQ2466" s="54"/>
      <c r="LWR2466" s="54"/>
      <c r="LWS2466" s="60"/>
      <c r="LWT2466" s="60"/>
      <c r="LWU2466" s="60"/>
      <c r="LWV2466" s="60"/>
      <c r="LWW2466" s="63"/>
      <c r="LWX2466" s="61"/>
      <c r="LWY2466" s="54"/>
      <c r="LWZ2466" s="54"/>
      <c r="LXA2466" s="60"/>
      <c r="LXB2466" s="60"/>
      <c r="LXC2466" s="60"/>
      <c r="LXD2466" s="60"/>
      <c r="LXE2466" s="63"/>
      <c r="LXF2466" s="61"/>
      <c r="LXG2466" s="54"/>
      <c r="LXH2466" s="54"/>
      <c r="LXI2466" s="60"/>
      <c r="LXJ2466" s="60"/>
      <c r="LXK2466" s="60"/>
      <c r="LXL2466" s="60"/>
      <c r="LXM2466" s="63"/>
      <c r="LXN2466" s="61"/>
      <c r="LXO2466" s="54"/>
      <c r="LXP2466" s="54"/>
      <c r="LXQ2466" s="60"/>
      <c r="LXR2466" s="60"/>
      <c r="LXS2466" s="60"/>
      <c r="LXT2466" s="60"/>
      <c r="LXU2466" s="63"/>
      <c r="LXV2466" s="61"/>
      <c r="LXW2466" s="54"/>
      <c r="LXX2466" s="54"/>
      <c r="LXY2466" s="60"/>
      <c r="LXZ2466" s="60"/>
      <c r="LYA2466" s="60"/>
      <c r="LYB2466" s="60"/>
      <c r="LYC2466" s="63"/>
      <c r="LYD2466" s="61"/>
      <c r="LYE2466" s="54"/>
      <c r="LYF2466" s="54"/>
      <c r="LYG2466" s="60"/>
      <c r="LYH2466" s="60"/>
      <c r="LYI2466" s="60"/>
      <c r="LYJ2466" s="60"/>
      <c r="LYK2466" s="63"/>
      <c r="LYL2466" s="61"/>
      <c r="LYM2466" s="54"/>
      <c r="LYN2466" s="54"/>
      <c r="LYO2466" s="60"/>
      <c r="LYP2466" s="60"/>
      <c r="LYQ2466" s="60"/>
      <c r="LYR2466" s="60"/>
      <c r="LYS2466" s="63"/>
      <c r="LYT2466" s="61"/>
      <c r="LYU2466" s="54"/>
      <c r="LYV2466" s="54"/>
      <c r="LYW2466" s="60"/>
      <c r="LYX2466" s="60"/>
      <c r="LYY2466" s="60"/>
      <c r="LYZ2466" s="60"/>
      <c r="LZA2466" s="63"/>
      <c r="LZB2466" s="61"/>
      <c r="LZC2466" s="54"/>
      <c r="LZD2466" s="54"/>
      <c r="LZE2466" s="60"/>
      <c r="LZF2466" s="60"/>
      <c r="LZG2466" s="60"/>
      <c r="LZH2466" s="60"/>
      <c r="LZI2466" s="63"/>
      <c r="LZJ2466" s="61"/>
      <c r="LZK2466" s="54"/>
      <c r="LZL2466" s="54"/>
      <c r="LZM2466" s="60"/>
      <c r="LZN2466" s="60"/>
      <c r="LZO2466" s="60"/>
      <c r="LZP2466" s="60"/>
      <c r="LZQ2466" s="63"/>
      <c r="LZR2466" s="61"/>
      <c r="LZS2466" s="54"/>
      <c r="LZT2466" s="54"/>
      <c r="LZU2466" s="60"/>
      <c r="LZV2466" s="60"/>
      <c r="LZW2466" s="60"/>
      <c r="LZX2466" s="60"/>
      <c r="LZY2466" s="63"/>
      <c r="LZZ2466" s="61"/>
      <c r="MAA2466" s="54"/>
      <c r="MAB2466" s="54"/>
      <c r="MAC2466" s="60"/>
      <c r="MAD2466" s="60"/>
      <c r="MAE2466" s="60"/>
      <c r="MAF2466" s="60"/>
      <c r="MAG2466" s="63"/>
      <c r="MAH2466" s="61"/>
      <c r="MAI2466" s="54"/>
      <c r="MAJ2466" s="54"/>
      <c r="MAK2466" s="60"/>
      <c r="MAL2466" s="60"/>
      <c r="MAM2466" s="60"/>
      <c r="MAN2466" s="60"/>
      <c r="MAO2466" s="63"/>
      <c r="MAP2466" s="61"/>
      <c r="MAQ2466" s="54"/>
      <c r="MAR2466" s="54"/>
      <c r="MAS2466" s="60"/>
      <c r="MAT2466" s="60"/>
      <c r="MAU2466" s="60"/>
      <c r="MAV2466" s="60"/>
      <c r="MAW2466" s="63"/>
      <c r="MAX2466" s="61"/>
      <c r="MAY2466" s="54"/>
      <c r="MAZ2466" s="54"/>
      <c r="MBA2466" s="60"/>
      <c r="MBB2466" s="60"/>
      <c r="MBC2466" s="60"/>
      <c r="MBD2466" s="60"/>
      <c r="MBE2466" s="63"/>
      <c r="MBF2466" s="61"/>
      <c r="MBG2466" s="54"/>
      <c r="MBH2466" s="54"/>
      <c r="MBI2466" s="60"/>
      <c r="MBJ2466" s="60"/>
      <c r="MBK2466" s="60"/>
      <c r="MBL2466" s="60"/>
      <c r="MBM2466" s="63"/>
      <c r="MBN2466" s="61"/>
      <c r="MBO2466" s="54"/>
      <c r="MBP2466" s="54"/>
      <c r="MBQ2466" s="60"/>
      <c r="MBR2466" s="60"/>
      <c r="MBS2466" s="60"/>
      <c r="MBT2466" s="60"/>
      <c r="MBU2466" s="63"/>
      <c r="MBV2466" s="61"/>
      <c r="MBW2466" s="54"/>
      <c r="MBX2466" s="54"/>
      <c r="MBY2466" s="60"/>
      <c r="MBZ2466" s="60"/>
      <c r="MCA2466" s="60"/>
      <c r="MCB2466" s="60"/>
      <c r="MCC2466" s="63"/>
      <c r="MCD2466" s="61"/>
      <c r="MCE2466" s="54"/>
      <c r="MCF2466" s="54"/>
      <c r="MCG2466" s="60"/>
      <c r="MCH2466" s="60"/>
      <c r="MCI2466" s="60"/>
      <c r="MCJ2466" s="60"/>
      <c r="MCK2466" s="63"/>
      <c r="MCL2466" s="61"/>
      <c r="MCM2466" s="54"/>
      <c r="MCN2466" s="54"/>
      <c r="MCO2466" s="60"/>
      <c r="MCP2466" s="60"/>
      <c r="MCQ2466" s="60"/>
      <c r="MCR2466" s="60"/>
      <c r="MCS2466" s="63"/>
      <c r="MCT2466" s="61"/>
      <c r="MCU2466" s="54"/>
      <c r="MCV2466" s="54"/>
      <c r="MCW2466" s="60"/>
      <c r="MCX2466" s="60"/>
      <c r="MCY2466" s="60"/>
      <c r="MCZ2466" s="60"/>
      <c r="MDA2466" s="63"/>
      <c r="MDB2466" s="61"/>
      <c r="MDC2466" s="54"/>
      <c r="MDD2466" s="54"/>
      <c r="MDE2466" s="60"/>
      <c r="MDF2466" s="60"/>
      <c r="MDG2466" s="60"/>
      <c r="MDH2466" s="60"/>
      <c r="MDI2466" s="63"/>
      <c r="MDJ2466" s="61"/>
      <c r="MDK2466" s="54"/>
      <c r="MDL2466" s="54"/>
      <c r="MDM2466" s="60"/>
      <c r="MDN2466" s="60"/>
      <c r="MDO2466" s="60"/>
      <c r="MDP2466" s="60"/>
      <c r="MDQ2466" s="63"/>
      <c r="MDR2466" s="61"/>
      <c r="MDS2466" s="54"/>
      <c r="MDT2466" s="54"/>
      <c r="MDU2466" s="60"/>
      <c r="MDV2466" s="60"/>
      <c r="MDW2466" s="60"/>
      <c r="MDX2466" s="60"/>
      <c r="MDY2466" s="63"/>
      <c r="MDZ2466" s="61"/>
      <c r="MEA2466" s="54"/>
      <c r="MEB2466" s="54"/>
      <c r="MEC2466" s="60"/>
      <c r="MED2466" s="60"/>
      <c r="MEE2466" s="60"/>
      <c r="MEF2466" s="60"/>
      <c r="MEG2466" s="63"/>
      <c r="MEH2466" s="61"/>
      <c r="MEI2466" s="54"/>
      <c r="MEJ2466" s="54"/>
      <c r="MEK2466" s="60"/>
      <c r="MEL2466" s="60"/>
      <c r="MEM2466" s="60"/>
      <c r="MEN2466" s="60"/>
      <c r="MEO2466" s="63"/>
      <c r="MEP2466" s="61"/>
      <c r="MEQ2466" s="54"/>
      <c r="MER2466" s="54"/>
      <c r="MES2466" s="60"/>
      <c r="MET2466" s="60"/>
      <c r="MEU2466" s="60"/>
      <c r="MEV2466" s="60"/>
      <c r="MEW2466" s="63"/>
      <c r="MEX2466" s="61"/>
      <c r="MEY2466" s="54"/>
      <c r="MEZ2466" s="54"/>
      <c r="MFA2466" s="60"/>
      <c r="MFB2466" s="60"/>
      <c r="MFC2466" s="60"/>
      <c r="MFD2466" s="60"/>
      <c r="MFE2466" s="63"/>
      <c r="MFF2466" s="61"/>
      <c r="MFG2466" s="54"/>
      <c r="MFH2466" s="54"/>
      <c r="MFI2466" s="60"/>
      <c r="MFJ2466" s="60"/>
      <c r="MFK2466" s="60"/>
      <c r="MFL2466" s="60"/>
      <c r="MFM2466" s="63"/>
      <c r="MFN2466" s="61"/>
      <c r="MFO2466" s="54"/>
      <c r="MFP2466" s="54"/>
      <c r="MFQ2466" s="60"/>
      <c r="MFR2466" s="60"/>
      <c r="MFS2466" s="60"/>
      <c r="MFT2466" s="60"/>
      <c r="MFU2466" s="63"/>
      <c r="MFV2466" s="61"/>
      <c r="MFW2466" s="54"/>
      <c r="MFX2466" s="54"/>
      <c r="MFY2466" s="60"/>
      <c r="MFZ2466" s="60"/>
      <c r="MGA2466" s="60"/>
      <c r="MGB2466" s="60"/>
      <c r="MGC2466" s="63"/>
      <c r="MGD2466" s="61"/>
      <c r="MGE2466" s="54"/>
      <c r="MGF2466" s="54"/>
      <c r="MGG2466" s="60"/>
      <c r="MGH2466" s="60"/>
      <c r="MGI2466" s="60"/>
      <c r="MGJ2466" s="60"/>
      <c r="MGK2466" s="63"/>
      <c r="MGL2466" s="61"/>
      <c r="MGM2466" s="54"/>
      <c r="MGN2466" s="54"/>
      <c r="MGO2466" s="60"/>
      <c r="MGP2466" s="60"/>
      <c r="MGQ2466" s="60"/>
      <c r="MGR2466" s="60"/>
      <c r="MGS2466" s="63"/>
      <c r="MGT2466" s="61"/>
      <c r="MGU2466" s="54"/>
      <c r="MGV2466" s="54"/>
      <c r="MGW2466" s="60"/>
      <c r="MGX2466" s="60"/>
      <c r="MGY2466" s="60"/>
      <c r="MGZ2466" s="60"/>
      <c r="MHA2466" s="63"/>
      <c r="MHB2466" s="61"/>
      <c r="MHC2466" s="54"/>
      <c r="MHD2466" s="54"/>
      <c r="MHE2466" s="60"/>
      <c r="MHF2466" s="60"/>
      <c r="MHG2466" s="60"/>
      <c r="MHH2466" s="60"/>
      <c r="MHI2466" s="63"/>
      <c r="MHJ2466" s="61"/>
      <c r="MHK2466" s="54"/>
      <c r="MHL2466" s="54"/>
      <c r="MHM2466" s="60"/>
      <c r="MHN2466" s="60"/>
      <c r="MHO2466" s="60"/>
      <c r="MHP2466" s="60"/>
      <c r="MHQ2466" s="63"/>
      <c r="MHR2466" s="61"/>
      <c r="MHS2466" s="54"/>
      <c r="MHT2466" s="54"/>
      <c r="MHU2466" s="60"/>
      <c r="MHV2466" s="60"/>
      <c r="MHW2466" s="60"/>
      <c r="MHX2466" s="60"/>
      <c r="MHY2466" s="63"/>
      <c r="MHZ2466" s="61"/>
      <c r="MIA2466" s="54"/>
      <c r="MIB2466" s="54"/>
      <c r="MIC2466" s="60"/>
      <c r="MID2466" s="60"/>
      <c r="MIE2466" s="60"/>
      <c r="MIF2466" s="60"/>
      <c r="MIG2466" s="63"/>
      <c r="MIH2466" s="61"/>
      <c r="MII2466" s="54"/>
      <c r="MIJ2466" s="54"/>
      <c r="MIK2466" s="60"/>
      <c r="MIL2466" s="60"/>
      <c r="MIM2466" s="60"/>
      <c r="MIN2466" s="60"/>
      <c r="MIO2466" s="63"/>
      <c r="MIP2466" s="61"/>
      <c r="MIQ2466" s="54"/>
      <c r="MIR2466" s="54"/>
      <c r="MIS2466" s="60"/>
      <c r="MIT2466" s="60"/>
      <c r="MIU2466" s="60"/>
      <c r="MIV2466" s="60"/>
      <c r="MIW2466" s="63"/>
      <c r="MIX2466" s="61"/>
      <c r="MIY2466" s="54"/>
      <c r="MIZ2466" s="54"/>
      <c r="MJA2466" s="60"/>
      <c r="MJB2466" s="60"/>
      <c r="MJC2466" s="60"/>
      <c r="MJD2466" s="60"/>
      <c r="MJE2466" s="63"/>
      <c r="MJF2466" s="61"/>
      <c r="MJG2466" s="54"/>
      <c r="MJH2466" s="54"/>
      <c r="MJI2466" s="60"/>
      <c r="MJJ2466" s="60"/>
      <c r="MJK2466" s="60"/>
      <c r="MJL2466" s="60"/>
      <c r="MJM2466" s="63"/>
      <c r="MJN2466" s="61"/>
      <c r="MJO2466" s="54"/>
      <c r="MJP2466" s="54"/>
      <c r="MJQ2466" s="60"/>
      <c r="MJR2466" s="60"/>
      <c r="MJS2466" s="60"/>
      <c r="MJT2466" s="60"/>
      <c r="MJU2466" s="63"/>
      <c r="MJV2466" s="61"/>
      <c r="MJW2466" s="54"/>
      <c r="MJX2466" s="54"/>
      <c r="MJY2466" s="60"/>
      <c r="MJZ2466" s="60"/>
      <c r="MKA2466" s="60"/>
      <c r="MKB2466" s="60"/>
      <c r="MKC2466" s="63"/>
      <c r="MKD2466" s="61"/>
      <c r="MKE2466" s="54"/>
      <c r="MKF2466" s="54"/>
      <c r="MKG2466" s="60"/>
      <c r="MKH2466" s="60"/>
      <c r="MKI2466" s="60"/>
      <c r="MKJ2466" s="60"/>
      <c r="MKK2466" s="63"/>
      <c r="MKL2466" s="61"/>
      <c r="MKM2466" s="54"/>
      <c r="MKN2466" s="54"/>
      <c r="MKO2466" s="60"/>
      <c r="MKP2466" s="60"/>
      <c r="MKQ2466" s="60"/>
      <c r="MKR2466" s="60"/>
      <c r="MKS2466" s="63"/>
      <c r="MKT2466" s="61"/>
      <c r="MKU2466" s="54"/>
      <c r="MKV2466" s="54"/>
      <c r="MKW2466" s="60"/>
      <c r="MKX2466" s="60"/>
      <c r="MKY2466" s="60"/>
      <c r="MKZ2466" s="60"/>
      <c r="MLA2466" s="63"/>
      <c r="MLB2466" s="61"/>
      <c r="MLC2466" s="54"/>
      <c r="MLD2466" s="54"/>
      <c r="MLE2466" s="60"/>
      <c r="MLF2466" s="60"/>
      <c r="MLG2466" s="60"/>
      <c r="MLH2466" s="60"/>
      <c r="MLI2466" s="63"/>
      <c r="MLJ2466" s="61"/>
      <c r="MLK2466" s="54"/>
      <c r="MLL2466" s="54"/>
      <c r="MLM2466" s="60"/>
      <c r="MLN2466" s="60"/>
      <c r="MLO2466" s="60"/>
      <c r="MLP2466" s="60"/>
      <c r="MLQ2466" s="63"/>
      <c r="MLR2466" s="61"/>
      <c r="MLS2466" s="54"/>
      <c r="MLT2466" s="54"/>
      <c r="MLU2466" s="60"/>
      <c r="MLV2466" s="60"/>
      <c r="MLW2466" s="60"/>
      <c r="MLX2466" s="60"/>
      <c r="MLY2466" s="63"/>
      <c r="MLZ2466" s="61"/>
      <c r="MMA2466" s="54"/>
      <c r="MMB2466" s="54"/>
      <c r="MMC2466" s="60"/>
      <c r="MMD2466" s="60"/>
      <c r="MME2466" s="60"/>
      <c r="MMF2466" s="60"/>
      <c r="MMG2466" s="63"/>
      <c r="MMH2466" s="61"/>
      <c r="MMI2466" s="54"/>
      <c r="MMJ2466" s="54"/>
      <c r="MMK2466" s="60"/>
      <c r="MML2466" s="60"/>
      <c r="MMM2466" s="60"/>
      <c r="MMN2466" s="60"/>
      <c r="MMO2466" s="63"/>
      <c r="MMP2466" s="61"/>
      <c r="MMQ2466" s="54"/>
      <c r="MMR2466" s="54"/>
      <c r="MMS2466" s="60"/>
      <c r="MMT2466" s="60"/>
      <c r="MMU2466" s="60"/>
      <c r="MMV2466" s="60"/>
      <c r="MMW2466" s="63"/>
      <c r="MMX2466" s="61"/>
      <c r="MMY2466" s="54"/>
      <c r="MMZ2466" s="54"/>
      <c r="MNA2466" s="60"/>
      <c r="MNB2466" s="60"/>
      <c r="MNC2466" s="60"/>
      <c r="MND2466" s="60"/>
      <c r="MNE2466" s="63"/>
      <c r="MNF2466" s="61"/>
      <c r="MNG2466" s="54"/>
      <c r="MNH2466" s="54"/>
      <c r="MNI2466" s="60"/>
      <c r="MNJ2466" s="60"/>
      <c r="MNK2466" s="60"/>
      <c r="MNL2466" s="60"/>
      <c r="MNM2466" s="63"/>
      <c r="MNN2466" s="61"/>
      <c r="MNO2466" s="54"/>
      <c r="MNP2466" s="54"/>
      <c r="MNQ2466" s="60"/>
      <c r="MNR2466" s="60"/>
      <c r="MNS2466" s="60"/>
      <c r="MNT2466" s="60"/>
      <c r="MNU2466" s="63"/>
      <c r="MNV2466" s="61"/>
      <c r="MNW2466" s="54"/>
      <c r="MNX2466" s="54"/>
      <c r="MNY2466" s="60"/>
      <c r="MNZ2466" s="60"/>
      <c r="MOA2466" s="60"/>
      <c r="MOB2466" s="60"/>
      <c r="MOC2466" s="63"/>
      <c r="MOD2466" s="61"/>
      <c r="MOE2466" s="54"/>
      <c r="MOF2466" s="54"/>
      <c r="MOG2466" s="60"/>
      <c r="MOH2466" s="60"/>
      <c r="MOI2466" s="60"/>
      <c r="MOJ2466" s="60"/>
      <c r="MOK2466" s="63"/>
      <c r="MOL2466" s="61"/>
      <c r="MOM2466" s="54"/>
      <c r="MON2466" s="54"/>
      <c r="MOO2466" s="60"/>
      <c r="MOP2466" s="60"/>
      <c r="MOQ2466" s="60"/>
      <c r="MOR2466" s="60"/>
      <c r="MOS2466" s="63"/>
      <c r="MOT2466" s="61"/>
      <c r="MOU2466" s="54"/>
      <c r="MOV2466" s="54"/>
      <c r="MOW2466" s="60"/>
      <c r="MOX2466" s="60"/>
      <c r="MOY2466" s="60"/>
      <c r="MOZ2466" s="60"/>
      <c r="MPA2466" s="63"/>
      <c r="MPB2466" s="61"/>
      <c r="MPC2466" s="54"/>
      <c r="MPD2466" s="54"/>
      <c r="MPE2466" s="60"/>
      <c r="MPF2466" s="60"/>
      <c r="MPG2466" s="60"/>
      <c r="MPH2466" s="60"/>
      <c r="MPI2466" s="63"/>
      <c r="MPJ2466" s="61"/>
      <c r="MPK2466" s="54"/>
      <c r="MPL2466" s="54"/>
      <c r="MPM2466" s="60"/>
      <c r="MPN2466" s="60"/>
      <c r="MPO2466" s="60"/>
      <c r="MPP2466" s="60"/>
      <c r="MPQ2466" s="63"/>
      <c r="MPR2466" s="61"/>
      <c r="MPS2466" s="54"/>
      <c r="MPT2466" s="54"/>
      <c r="MPU2466" s="60"/>
      <c r="MPV2466" s="60"/>
      <c r="MPW2466" s="60"/>
      <c r="MPX2466" s="60"/>
      <c r="MPY2466" s="63"/>
      <c r="MPZ2466" s="61"/>
      <c r="MQA2466" s="54"/>
      <c r="MQB2466" s="54"/>
      <c r="MQC2466" s="60"/>
      <c r="MQD2466" s="60"/>
      <c r="MQE2466" s="60"/>
      <c r="MQF2466" s="60"/>
      <c r="MQG2466" s="63"/>
      <c r="MQH2466" s="61"/>
      <c r="MQI2466" s="54"/>
      <c r="MQJ2466" s="54"/>
      <c r="MQK2466" s="60"/>
      <c r="MQL2466" s="60"/>
      <c r="MQM2466" s="60"/>
      <c r="MQN2466" s="60"/>
      <c r="MQO2466" s="63"/>
      <c r="MQP2466" s="61"/>
      <c r="MQQ2466" s="54"/>
      <c r="MQR2466" s="54"/>
      <c r="MQS2466" s="60"/>
      <c r="MQT2466" s="60"/>
      <c r="MQU2466" s="60"/>
      <c r="MQV2466" s="60"/>
      <c r="MQW2466" s="63"/>
      <c r="MQX2466" s="61"/>
      <c r="MQY2466" s="54"/>
      <c r="MQZ2466" s="54"/>
      <c r="MRA2466" s="60"/>
      <c r="MRB2466" s="60"/>
      <c r="MRC2466" s="60"/>
      <c r="MRD2466" s="60"/>
      <c r="MRE2466" s="63"/>
      <c r="MRF2466" s="61"/>
      <c r="MRG2466" s="54"/>
      <c r="MRH2466" s="54"/>
      <c r="MRI2466" s="60"/>
      <c r="MRJ2466" s="60"/>
      <c r="MRK2466" s="60"/>
      <c r="MRL2466" s="60"/>
      <c r="MRM2466" s="63"/>
      <c r="MRN2466" s="61"/>
      <c r="MRO2466" s="54"/>
      <c r="MRP2466" s="54"/>
      <c r="MRQ2466" s="60"/>
      <c r="MRR2466" s="60"/>
      <c r="MRS2466" s="60"/>
      <c r="MRT2466" s="60"/>
      <c r="MRU2466" s="63"/>
      <c r="MRV2466" s="61"/>
      <c r="MRW2466" s="54"/>
      <c r="MRX2466" s="54"/>
      <c r="MRY2466" s="60"/>
      <c r="MRZ2466" s="60"/>
      <c r="MSA2466" s="60"/>
      <c r="MSB2466" s="60"/>
      <c r="MSC2466" s="63"/>
      <c r="MSD2466" s="61"/>
      <c r="MSE2466" s="54"/>
      <c r="MSF2466" s="54"/>
      <c r="MSG2466" s="60"/>
      <c r="MSH2466" s="60"/>
      <c r="MSI2466" s="60"/>
      <c r="MSJ2466" s="60"/>
      <c r="MSK2466" s="63"/>
      <c r="MSL2466" s="61"/>
      <c r="MSM2466" s="54"/>
      <c r="MSN2466" s="54"/>
      <c r="MSO2466" s="60"/>
      <c r="MSP2466" s="60"/>
      <c r="MSQ2466" s="60"/>
      <c r="MSR2466" s="60"/>
      <c r="MSS2466" s="63"/>
      <c r="MST2466" s="61"/>
      <c r="MSU2466" s="54"/>
      <c r="MSV2466" s="54"/>
      <c r="MSW2466" s="60"/>
      <c r="MSX2466" s="60"/>
      <c r="MSY2466" s="60"/>
      <c r="MSZ2466" s="60"/>
      <c r="MTA2466" s="63"/>
      <c r="MTB2466" s="61"/>
      <c r="MTC2466" s="54"/>
      <c r="MTD2466" s="54"/>
      <c r="MTE2466" s="60"/>
      <c r="MTF2466" s="60"/>
      <c r="MTG2466" s="60"/>
      <c r="MTH2466" s="60"/>
      <c r="MTI2466" s="63"/>
      <c r="MTJ2466" s="61"/>
      <c r="MTK2466" s="54"/>
      <c r="MTL2466" s="54"/>
      <c r="MTM2466" s="60"/>
      <c r="MTN2466" s="60"/>
      <c r="MTO2466" s="60"/>
      <c r="MTP2466" s="60"/>
      <c r="MTQ2466" s="63"/>
      <c r="MTR2466" s="61"/>
      <c r="MTS2466" s="54"/>
      <c r="MTT2466" s="54"/>
      <c r="MTU2466" s="60"/>
      <c r="MTV2466" s="60"/>
      <c r="MTW2466" s="60"/>
      <c r="MTX2466" s="60"/>
      <c r="MTY2466" s="63"/>
      <c r="MTZ2466" s="61"/>
      <c r="MUA2466" s="54"/>
      <c r="MUB2466" s="54"/>
      <c r="MUC2466" s="60"/>
      <c r="MUD2466" s="60"/>
      <c r="MUE2466" s="60"/>
      <c r="MUF2466" s="60"/>
      <c r="MUG2466" s="63"/>
      <c r="MUH2466" s="61"/>
      <c r="MUI2466" s="54"/>
      <c r="MUJ2466" s="54"/>
      <c r="MUK2466" s="60"/>
      <c r="MUL2466" s="60"/>
      <c r="MUM2466" s="60"/>
      <c r="MUN2466" s="60"/>
      <c r="MUO2466" s="63"/>
      <c r="MUP2466" s="61"/>
      <c r="MUQ2466" s="54"/>
      <c r="MUR2466" s="54"/>
      <c r="MUS2466" s="60"/>
      <c r="MUT2466" s="60"/>
      <c r="MUU2466" s="60"/>
      <c r="MUV2466" s="60"/>
      <c r="MUW2466" s="63"/>
      <c r="MUX2466" s="61"/>
      <c r="MUY2466" s="54"/>
      <c r="MUZ2466" s="54"/>
      <c r="MVA2466" s="60"/>
      <c r="MVB2466" s="60"/>
      <c r="MVC2466" s="60"/>
      <c r="MVD2466" s="60"/>
      <c r="MVE2466" s="63"/>
      <c r="MVF2466" s="61"/>
      <c r="MVG2466" s="54"/>
      <c r="MVH2466" s="54"/>
      <c r="MVI2466" s="60"/>
      <c r="MVJ2466" s="60"/>
      <c r="MVK2466" s="60"/>
      <c r="MVL2466" s="60"/>
      <c r="MVM2466" s="63"/>
      <c r="MVN2466" s="61"/>
      <c r="MVO2466" s="54"/>
      <c r="MVP2466" s="54"/>
      <c r="MVQ2466" s="60"/>
      <c r="MVR2466" s="60"/>
      <c r="MVS2466" s="60"/>
      <c r="MVT2466" s="60"/>
      <c r="MVU2466" s="63"/>
      <c r="MVV2466" s="61"/>
      <c r="MVW2466" s="54"/>
      <c r="MVX2466" s="54"/>
      <c r="MVY2466" s="60"/>
      <c r="MVZ2466" s="60"/>
      <c r="MWA2466" s="60"/>
      <c r="MWB2466" s="60"/>
      <c r="MWC2466" s="63"/>
      <c r="MWD2466" s="61"/>
      <c r="MWE2466" s="54"/>
      <c r="MWF2466" s="54"/>
      <c r="MWG2466" s="60"/>
      <c r="MWH2466" s="60"/>
      <c r="MWI2466" s="60"/>
      <c r="MWJ2466" s="60"/>
      <c r="MWK2466" s="63"/>
      <c r="MWL2466" s="61"/>
      <c r="MWM2466" s="54"/>
      <c r="MWN2466" s="54"/>
      <c r="MWO2466" s="60"/>
      <c r="MWP2466" s="60"/>
      <c r="MWQ2466" s="60"/>
      <c r="MWR2466" s="60"/>
      <c r="MWS2466" s="63"/>
      <c r="MWT2466" s="61"/>
      <c r="MWU2466" s="54"/>
      <c r="MWV2466" s="54"/>
      <c r="MWW2466" s="60"/>
      <c r="MWX2466" s="60"/>
      <c r="MWY2466" s="60"/>
      <c r="MWZ2466" s="60"/>
      <c r="MXA2466" s="63"/>
      <c r="MXB2466" s="61"/>
      <c r="MXC2466" s="54"/>
      <c r="MXD2466" s="54"/>
      <c r="MXE2466" s="60"/>
      <c r="MXF2466" s="60"/>
      <c r="MXG2466" s="60"/>
      <c r="MXH2466" s="60"/>
      <c r="MXI2466" s="63"/>
      <c r="MXJ2466" s="61"/>
      <c r="MXK2466" s="54"/>
      <c r="MXL2466" s="54"/>
      <c r="MXM2466" s="60"/>
      <c r="MXN2466" s="60"/>
      <c r="MXO2466" s="60"/>
      <c r="MXP2466" s="60"/>
      <c r="MXQ2466" s="63"/>
      <c r="MXR2466" s="61"/>
      <c r="MXS2466" s="54"/>
      <c r="MXT2466" s="54"/>
      <c r="MXU2466" s="60"/>
      <c r="MXV2466" s="60"/>
      <c r="MXW2466" s="60"/>
      <c r="MXX2466" s="60"/>
      <c r="MXY2466" s="63"/>
      <c r="MXZ2466" s="61"/>
      <c r="MYA2466" s="54"/>
      <c r="MYB2466" s="54"/>
      <c r="MYC2466" s="60"/>
      <c r="MYD2466" s="60"/>
      <c r="MYE2466" s="60"/>
      <c r="MYF2466" s="60"/>
      <c r="MYG2466" s="63"/>
      <c r="MYH2466" s="61"/>
      <c r="MYI2466" s="54"/>
      <c r="MYJ2466" s="54"/>
      <c r="MYK2466" s="60"/>
      <c r="MYL2466" s="60"/>
      <c r="MYM2466" s="60"/>
      <c r="MYN2466" s="60"/>
      <c r="MYO2466" s="63"/>
      <c r="MYP2466" s="61"/>
      <c r="MYQ2466" s="54"/>
      <c r="MYR2466" s="54"/>
      <c r="MYS2466" s="60"/>
      <c r="MYT2466" s="60"/>
      <c r="MYU2466" s="60"/>
      <c r="MYV2466" s="60"/>
      <c r="MYW2466" s="63"/>
      <c r="MYX2466" s="61"/>
      <c r="MYY2466" s="54"/>
      <c r="MYZ2466" s="54"/>
      <c r="MZA2466" s="60"/>
      <c r="MZB2466" s="60"/>
      <c r="MZC2466" s="60"/>
      <c r="MZD2466" s="60"/>
      <c r="MZE2466" s="63"/>
      <c r="MZF2466" s="61"/>
      <c r="MZG2466" s="54"/>
      <c r="MZH2466" s="54"/>
      <c r="MZI2466" s="60"/>
      <c r="MZJ2466" s="60"/>
      <c r="MZK2466" s="60"/>
      <c r="MZL2466" s="60"/>
      <c r="MZM2466" s="63"/>
      <c r="MZN2466" s="61"/>
      <c r="MZO2466" s="54"/>
      <c r="MZP2466" s="54"/>
      <c r="MZQ2466" s="60"/>
      <c r="MZR2466" s="60"/>
      <c r="MZS2466" s="60"/>
      <c r="MZT2466" s="60"/>
      <c r="MZU2466" s="63"/>
      <c r="MZV2466" s="61"/>
      <c r="MZW2466" s="54"/>
      <c r="MZX2466" s="54"/>
      <c r="MZY2466" s="60"/>
      <c r="MZZ2466" s="60"/>
      <c r="NAA2466" s="60"/>
      <c r="NAB2466" s="60"/>
      <c r="NAC2466" s="63"/>
      <c r="NAD2466" s="61"/>
      <c r="NAE2466" s="54"/>
      <c r="NAF2466" s="54"/>
      <c r="NAG2466" s="60"/>
      <c r="NAH2466" s="60"/>
      <c r="NAI2466" s="60"/>
      <c r="NAJ2466" s="60"/>
      <c r="NAK2466" s="63"/>
      <c r="NAL2466" s="61"/>
      <c r="NAM2466" s="54"/>
      <c r="NAN2466" s="54"/>
      <c r="NAO2466" s="60"/>
      <c r="NAP2466" s="60"/>
      <c r="NAQ2466" s="60"/>
      <c r="NAR2466" s="60"/>
      <c r="NAS2466" s="63"/>
      <c r="NAT2466" s="61"/>
      <c r="NAU2466" s="54"/>
      <c r="NAV2466" s="54"/>
      <c r="NAW2466" s="60"/>
      <c r="NAX2466" s="60"/>
      <c r="NAY2466" s="60"/>
      <c r="NAZ2466" s="60"/>
      <c r="NBA2466" s="63"/>
      <c r="NBB2466" s="61"/>
      <c r="NBC2466" s="54"/>
      <c r="NBD2466" s="54"/>
      <c r="NBE2466" s="60"/>
      <c r="NBF2466" s="60"/>
      <c r="NBG2466" s="60"/>
      <c r="NBH2466" s="60"/>
      <c r="NBI2466" s="63"/>
      <c r="NBJ2466" s="61"/>
      <c r="NBK2466" s="54"/>
      <c r="NBL2466" s="54"/>
      <c r="NBM2466" s="60"/>
      <c r="NBN2466" s="60"/>
      <c r="NBO2466" s="60"/>
      <c r="NBP2466" s="60"/>
      <c r="NBQ2466" s="63"/>
      <c r="NBR2466" s="61"/>
      <c r="NBS2466" s="54"/>
      <c r="NBT2466" s="54"/>
      <c r="NBU2466" s="60"/>
      <c r="NBV2466" s="60"/>
      <c r="NBW2466" s="60"/>
      <c r="NBX2466" s="60"/>
      <c r="NBY2466" s="63"/>
      <c r="NBZ2466" s="61"/>
      <c r="NCA2466" s="54"/>
      <c r="NCB2466" s="54"/>
      <c r="NCC2466" s="60"/>
      <c r="NCD2466" s="60"/>
      <c r="NCE2466" s="60"/>
      <c r="NCF2466" s="60"/>
      <c r="NCG2466" s="63"/>
      <c r="NCH2466" s="61"/>
      <c r="NCI2466" s="54"/>
      <c r="NCJ2466" s="54"/>
      <c r="NCK2466" s="60"/>
      <c r="NCL2466" s="60"/>
      <c r="NCM2466" s="60"/>
      <c r="NCN2466" s="60"/>
      <c r="NCO2466" s="63"/>
      <c r="NCP2466" s="61"/>
      <c r="NCQ2466" s="54"/>
      <c r="NCR2466" s="54"/>
      <c r="NCS2466" s="60"/>
      <c r="NCT2466" s="60"/>
      <c r="NCU2466" s="60"/>
      <c r="NCV2466" s="60"/>
      <c r="NCW2466" s="63"/>
      <c r="NCX2466" s="61"/>
      <c r="NCY2466" s="54"/>
      <c r="NCZ2466" s="54"/>
      <c r="NDA2466" s="60"/>
      <c r="NDB2466" s="60"/>
      <c r="NDC2466" s="60"/>
      <c r="NDD2466" s="60"/>
      <c r="NDE2466" s="63"/>
      <c r="NDF2466" s="61"/>
      <c r="NDG2466" s="54"/>
      <c r="NDH2466" s="54"/>
      <c r="NDI2466" s="60"/>
      <c r="NDJ2466" s="60"/>
      <c r="NDK2466" s="60"/>
      <c r="NDL2466" s="60"/>
      <c r="NDM2466" s="63"/>
      <c r="NDN2466" s="61"/>
      <c r="NDO2466" s="54"/>
      <c r="NDP2466" s="54"/>
      <c r="NDQ2466" s="60"/>
      <c r="NDR2466" s="60"/>
      <c r="NDS2466" s="60"/>
      <c r="NDT2466" s="60"/>
      <c r="NDU2466" s="63"/>
      <c r="NDV2466" s="61"/>
      <c r="NDW2466" s="54"/>
      <c r="NDX2466" s="54"/>
      <c r="NDY2466" s="60"/>
      <c r="NDZ2466" s="60"/>
      <c r="NEA2466" s="60"/>
      <c r="NEB2466" s="60"/>
      <c r="NEC2466" s="63"/>
      <c r="NED2466" s="61"/>
      <c r="NEE2466" s="54"/>
      <c r="NEF2466" s="54"/>
      <c r="NEG2466" s="60"/>
      <c r="NEH2466" s="60"/>
      <c r="NEI2466" s="60"/>
      <c r="NEJ2466" s="60"/>
      <c r="NEK2466" s="63"/>
      <c r="NEL2466" s="61"/>
      <c r="NEM2466" s="54"/>
      <c r="NEN2466" s="54"/>
      <c r="NEO2466" s="60"/>
      <c r="NEP2466" s="60"/>
      <c r="NEQ2466" s="60"/>
      <c r="NER2466" s="60"/>
      <c r="NES2466" s="63"/>
      <c r="NET2466" s="61"/>
      <c r="NEU2466" s="54"/>
      <c r="NEV2466" s="54"/>
      <c r="NEW2466" s="60"/>
      <c r="NEX2466" s="60"/>
      <c r="NEY2466" s="60"/>
      <c r="NEZ2466" s="60"/>
      <c r="NFA2466" s="63"/>
      <c r="NFB2466" s="61"/>
      <c r="NFC2466" s="54"/>
      <c r="NFD2466" s="54"/>
      <c r="NFE2466" s="60"/>
      <c r="NFF2466" s="60"/>
      <c r="NFG2466" s="60"/>
      <c r="NFH2466" s="60"/>
      <c r="NFI2466" s="63"/>
      <c r="NFJ2466" s="61"/>
      <c r="NFK2466" s="54"/>
      <c r="NFL2466" s="54"/>
      <c r="NFM2466" s="60"/>
      <c r="NFN2466" s="60"/>
      <c r="NFO2466" s="60"/>
      <c r="NFP2466" s="60"/>
      <c r="NFQ2466" s="63"/>
      <c r="NFR2466" s="61"/>
      <c r="NFS2466" s="54"/>
      <c r="NFT2466" s="54"/>
      <c r="NFU2466" s="60"/>
      <c r="NFV2466" s="60"/>
      <c r="NFW2466" s="60"/>
      <c r="NFX2466" s="60"/>
      <c r="NFY2466" s="63"/>
      <c r="NFZ2466" s="61"/>
      <c r="NGA2466" s="54"/>
      <c r="NGB2466" s="54"/>
      <c r="NGC2466" s="60"/>
      <c r="NGD2466" s="60"/>
      <c r="NGE2466" s="60"/>
      <c r="NGF2466" s="60"/>
      <c r="NGG2466" s="63"/>
      <c r="NGH2466" s="61"/>
      <c r="NGI2466" s="54"/>
      <c r="NGJ2466" s="54"/>
      <c r="NGK2466" s="60"/>
      <c r="NGL2466" s="60"/>
      <c r="NGM2466" s="60"/>
      <c r="NGN2466" s="60"/>
      <c r="NGO2466" s="63"/>
      <c r="NGP2466" s="61"/>
      <c r="NGQ2466" s="54"/>
      <c r="NGR2466" s="54"/>
      <c r="NGS2466" s="60"/>
      <c r="NGT2466" s="60"/>
      <c r="NGU2466" s="60"/>
      <c r="NGV2466" s="60"/>
      <c r="NGW2466" s="63"/>
      <c r="NGX2466" s="61"/>
      <c r="NGY2466" s="54"/>
      <c r="NGZ2466" s="54"/>
      <c r="NHA2466" s="60"/>
      <c r="NHB2466" s="60"/>
      <c r="NHC2466" s="60"/>
      <c r="NHD2466" s="60"/>
      <c r="NHE2466" s="63"/>
      <c r="NHF2466" s="61"/>
      <c r="NHG2466" s="54"/>
      <c r="NHH2466" s="54"/>
      <c r="NHI2466" s="60"/>
      <c r="NHJ2466" s="60"/>
      <c r="NHK2466" s="60"/>
      <c r="NHL2466" s="60"/>
      <c r="NHM2466" s="63"/>
      <c r="NHN2466" s="61"/>
      <c r="NHO2466" s="54"/>
      <c r="NHP2466" s="54"/>
      <c r="NHQ2466" s="60"/>
      <c r="NHR2466" s="60"/>
      <c r="NHS2466" s="60"/>
      <c r="NHT2466" s="60"/>
      <c r="NHU2466" s="63"/>
      <c r="NHV2466" s="61"/>
      <c r="NHW2466" s="54"/>
      <c r="NHX2466" s="54"/>
      <c r="NHY2466" s="60"/>
      <c r="NHZ2466" s="60"/>
      <c r="NIA2466" s="60"/>
      <c r="NIB2466" s="60"/>
      <c r="NIC2466" s="63"/>
      <c r="NID2466" s="61"/>
      <c r="NIE2466" s="54"/>
      <c r="NIF2466" s="54"/>
      <c r="NIG2466" s="60"/>
      <c r="NIH2466" s="60"/>
      <c r="NII2466" s="60"/>
      <c r="NIJ2466" s="60"/>
      <c r="NIK2466" s="63"/>
      <c r="NIL2466" s="61"/>
      <c r="NIM2466" s="54"/>
      <c r="NIN2466" s="54"/>
      <c r="NIO2466" s="60"/>
      <c r="NIP2466" s="60"/>
      <c r="NIQ2466" s="60"/>
      <c r="NIR2466" s="60"/>
      <c r="NIS2466" s="63"/>
      <c r="NIT2466" s="61"/>
      <c r="NIU2466" s="54"/>
      <c r="NIV2466" s="54"/>
      <c r="NIW2466" s="60"/>
      <c r="NIX2466" s="60"/>
      <c r="NIY2466" s="60"/>
      <c r="NIZ2466" s="60"/>
      <c r="NJA2466" s="63"/>
      <c r="NJB2466" s="61"/>
      <c r="NJC2466" s="54"/>
      <c r="NJD2466" s="54"/>
      <c r="NJE2466" s="60"/>
      <c r="NJF2466" s="60"/>
      <c r="NJG2466" s="60"/>
      <c r="NJH2466" s="60"/>
      <c r="NJI2466" s="63"/>
      <c r="NJJ2466" s="61"/>
      <c r="NJK2466" s="54"/>
      <c r="NJL2466" s="54"/>
      <c r="NJM2466" s="60"/>
      <c r="NJN2466" s="60"/>
      <c r="NJO2466" s="60"/>
      <c r="NJP2466" s="60"/>
      <c r="NJQ2466" s="63"/>
      <c r="NJR2466" s="61"/>
      <c r="NJS2466" s="54"/>
      <c r="NJT2466" s="54"/>
      <c r="NJU2466" s="60"/>
      <c r="NJV2466" s="60"/>
      <c r="NJW2466" s="60"/>
      <c r="NJX2466" s="60"/>
      <c r="NJY2466" s="63"/>
      <c r="NJZ2466" s="61"/>
      <c r="NKA2466" s="54"/>
      <c r="NKB2466" s="54"/>
      <c r="NKC2466" s="60"/>
      <c r="NKD2466" s="60"/>
      <c r="NKE2466" s="60"/>
      <c r="NKF2466" s="60"/>
      <c r="NKG2466" s="63"/>
      <c r="NKH2466" s="61"/>
      <c r="NKI2466" s="54"/>
      <c r="NKJ2466" s="54"/>
      <c r="NKK2466" s="60"/>
      <c r="NKL2466" s="60"/>
      <c r="NKM2466" s="60"/>
      <c r="NKN2466" s="60"/>
      <c r="NKO2466" s="63"/>
      <c r="NKP2466" s="61"/>
      <c r="NKQ2466" s="54"/>
      <c r="NKR2466" s="54"/>
      <c r="NKS2466" s="60"/>
      <c r="NKT2466" s="60"/>
      <c r="NKU2466" s="60"/>
      <c r="NKV2466" s="60"/>
      <c r="NKW2466" s="63"/>
      <c r="NKX2466" s="61"/>
      <c r="NKY2466" s="54"/>
      <c r="NKZ2466" s="54"/>
      <c r="NLA2466" s="60"/>
      <c r="NLB2466" s="60"/>
      <c r="NLC2466" s="60"/>
      <c r="NLD2466" s="60"/>
      <c r="NLE2466" s="63"/>
      <c r="NLF2466" s="61"/>
      <c r="NLG2466" s="54"/>
      <c r="NLH2466" s="54"/>
      <c r="NLI2466" s="60"/>
      <c r="NLJ2466" s="60"/>
      <c r="NLK2466" s="60"/>
      <c r="NLL2466" s="60"/>
      <c r="NLM2466" s="63"/>
      <c r="NLN2466" s="61"/>
      <c r="NLO2466" s="54"/>
      <c r="NLP2466" s="54"/>
      <c r="NLQ2466" s="60"/>
      <c r="NLR2466" s="60"/>
      <c r="NLS2466" s="60"/>
      <c r="NLT2466" s="60"/>
      <c r="NLU2466" s="63"/>
      <c r="NLV2466" s="61"/>
      <c r="NLW2466" s="54"/>
      <c r="NLX2466" s="54"/>
      <c r="NLY2466" s="60"/>
      <c r="NLZ2466" s="60"/>
      <c r="NMA2466" s="60"/>
      <c r="NMB2466" s="60"/>
      <c r="NMC2466" s="63"/>
      <c r="NMD2466" s="61"/>
      <c r="NME2466" s="54"/>
      <c r="NMF2466" s="54"/>
      <c r="NMG2466" s="60"/>
      <c r="NMH2466" s="60"/>
      <c r="NMI2466" s="60"/>
      <c r="NMJ2466" s="60"/>
      <c r="NMK2466" s="63"/>
      <c r="NML2466" s="61"/>
      <c r="NMM2466" s="54"/>
      <c r="NMN2466" s="54"/>
      <c r="NMO2466" s="60"/>
      <c r="NMP2466" s="60"/>
      <c r="NMQ2466" s="60"/>
      <c r="NMR2466" s="60"/>
      <c r="NMS2466" s="63"/>
      <c r="NMT2466" s="61"/>
      <c r="NMU2466" s="54"/>
      <c r="NMV2466" s="54"/>
      <c r="NMW2466" s="60"/>
      <c r="NMX2466" s="60"/>
      <c r="NMY2466" s="60"/>
      <c r="NMZ2466" s="60"/>
      <c r="NNA2466" s="63"/>
      <c r="NNB2466" s="61"/>
      <c r="NNC2466" s="54"/>
      <c r="NND2466" s="54"/>
      <c r="NNE2466" s="60"/>
      <c r="NNF2466" s="60"/>
      <c r="NNG2466" s="60"/>
      <c r="NNH2466" s="60"/>
      <c r="NNI2466" s="63"/>
      <c r="NNJ2466" s="61"/>
      <c r="NNK2466" s="54"/>
      <c r="NNL2466" s="54"/>
      <c r="NNM2466" s="60"/>
      <c r="NNN2466" s="60"/>
      <c r="NNO2466" s="60"/>
      <c r="NNP2466" s="60"/>
      <c r="NNQ2466" s="63"/>
      <c r="NNR2466" s="61"/>
      <c r="NNS2466" s="54"/>
      <c r="NNT2466" s="54"/>
      <c r="NNU2466" s="60"/>
      <c r="NNV2466" s="60"/>
      <c r="NNW2466" s="60"/>
      <c r="NNX2466" s="60"/>
      <c r="NNY2466" s="63"/>
      <c r="NNZ2466" s="61"/>
      <c r="NOA2466" s="54"/>
      <c r="NOB2466" s="54"/>
      <c r="NOC2466" s="60"/>
      <c r="NOD2466" s="60"/>
      <c r="NOE2466" s="60"/>
      <c r="NOF2466" s="60"/>
      <c r="NOG2466" s="63"/>
      <c r="NOH2466" s="61"/>
      <c r="NOI2466" s="54"/>
      <c r="NOJ2466" s="54"/>
      <c r="NOK2466" s="60"/>
      <c r="NOL2466" s="60"/>
      <c r="NOM2466" s="60"/>
      <c r="NON2466" s="60"/>
      <c r="NOO2466" s="63"/>
      <c r="NOP2466" s="61"/>
      <c r="NOQ2466" s="54"/>
      <c r="NOR2466" s="54"/>
      <c r="NOS2466" s="60"/>
      <c r="NOT2466" s="60"/>
      <c r="NOU2466" s="60"/>
      <c r="NOV2466" s="60"/>
      <c r="NOW2466" s="63"/>
      <c r="NOX2466" s="61"/>
      <c r="NOY2466" s="54"/>
      <c r="NOZ2466" s="54"/>
      <c r="NPA2466" s="60"/>
      <c r="NPB2466" s="60"/>
      <c r="NPC2466" s="60"/>
      <c r="NPD2466" s="60"/>
      <c r="NPE2466" s="63"/>
      <c r="NPF2466" s="61"/>
      <c r="NPG2466" s="54"/>
      <c r="NPH2466" s="54"/>
      <c r="NPI2466" s="60"/>
      <c r="NPJ2466" s="60"/>
      <c r="NPK2466" s="60"/>
      <c r="NPL2466" s="60"/>
      <c r="NPM2466" s="63"/>
      <c r="NPN2466" s="61"/>
      <c r="NPO2466" s="54"/>
      <c r="NPP2466" s="54"/>
      <c r="NPQ2466" s="60"/>
      <c r="NPR2466" s="60"/>
      <c r="NPS2466" s="60"/>
      <c r="NPT2466" s="60"/>
      <c r="NPU2466" s="63"/>
      <c r="NPV2466" s="61"/>
      <c r="NPW2466" s="54"/>
      <c r="NPX2466" s="54"/>
      <c r="NPY2466" s="60"/>
      <c r="NPZ2466" s="60"/>
      <c r="NQA2466" s="60"/>
      <c r="NQB2466" s="60"/>
      <c r="NQC2466" s="63"/>
      <c r="NQD2466" s="61"/>
      <c r="NQE2466" s="54"/>
      <c r="NQF2466" s="54"/>
      <c r="NQG2466" s="60"/>
      <c r="NQH2466" s="60"/>
      <c r="NQI2466" s="60"/>
      <c r="NQJ2466" s="60"/>
      <c r="NQK2466" s="63"/>
      <c r="NQL2466" s="61"/>
      <c r="NQM2466" s="54"/>
      <c r="NQN2466" s="54"/>
      <c r="NQO2466" s="60"/>
      <c r="NQP2466" s="60"/>
      <c r="NQQ2466" s="60"/>
      <c r="NQR2466" s="60"/>
      <c r="NQS2466" s="63"/>
      <c r="NQT2466" s="61"/>
      <c r="NQU2466" s="54"/>
      <c r="NQV2466" s="54"/>
      <c r="NQW2466" s="60"/>
      <c r="NQX2466" s="60"/>
      <c r="NQY2466" s="60"/>
      <c r="NQZ2466" s="60"/>
      <c r="NRA2466" s="63"/>
      <c r="NRB2466" s="61"/>
      <c r="NRC2466" s="54"/>
      <c r="NRD2466" s="54"/>
      <c r="NRE2466" s="60"/>
      <c r="NRF2466" s="60"/>
      <c r="NRG2466" s="60"/>
      <c r="NRH2466" s="60"/>
      <c r="NRI2466" s="63"/>
      <c r="NRJ2466" s="61"/>
      <c r="NRK2466" s="54"/>
      <c r="NRL2466" s="54"/>
      <c r="NRM2466" s="60"/>
      <c r="NRN2466" s="60"/>
      <c r="NRO2466" s="60"/>
      <c r="NRP2466" s="60"/>
      <c r="NRQ2466" s="63"/>
      <c r="NRR2466" s="61"/>
      <c r="NRS2466" s="54"/>
      <c r="NRT2466" s="54"/>
      <c r="NRU2466" s="60"/>
      <c r="NRV2466" s="60"/>
      <c r="NRW2466" s="60"/>
      <c r="NRX2466" s="60"/>
      <c r="NRY2466" s="63"/>
      <c r="NRZ2466" s="61"/>
      <c r="NSA2466" s="54"/>
      <c r="NSB2466" s="54"/>
      <c r="NSC2466" s="60"/>
      <c r="NSD2466" s="60"/>
      <c r="NSE2466" s="60"/>
      <c r="NSF2466" s="60"/>
      <c r="NSG2466" s="63"/>
      <c r="NSH2466" s="61"/>
      <c r="NSI2466" s="54"/>
      <c r="NSJ2466" s="54"/>
      <c r="NSK2466" s="60"/>
      <c r="NSL2466" s="60"/>
      <c r="NSM2466" s="60"/>
      <c r="NSN2466" s="60"/>
      <c r="NSO2466" s="63"/>
      <c r="NSP2466" s="61"/>
      <c r="NSQ2466" s="54"/>
      <c r="NSR2466" s="54"/>
      <c r="NSS2466" s="60"/>
      <c r="NST2466" s="60"/>
      <c r="NSU2466" s="60"/>
      <c r="NSV2466" s="60"/>
      <c r="NSW2466" s="63"/>
      <c r="NSX2466" s="61"/>
      <c r="NSY2466" s="54"/>
      <c r="NSZ2466" s="54"/>
      <c r="NTA2466" s="60"/>
      <c r="NTB2466" s="60"/>
      <c r="NTC2466" s="60"/>
      <c r="NTD2466" s="60"/>
      <c r="NTE2466" s="63"/>
      <c r="NTF2466" s="61"/>
      <c r="NTG2466" s="54"/>
      <c r="NTH2466" s="54"/>
      <c r="NTI2466" s="60"/>
      <c r="NTJ2466" s="60"/>
      <c r="NTK2466" s="60"/>
      <c r="NTL2466" s="60"/>
      <c r="NTM2466" s="63"/>
      <c r="NTN2466" s="61"/>
      <c r="NTO2466" s="54"/>
      <c r="NTP2466" s="54"/>
      <c r="NTQ2466" s="60"/>
      <c r="NTR2466" s="60"/>
      <c r="NTS2466" s="60"/>
      <c r="NTT2466" s="60"/>
      <c r="NTU2466" s="63"/>
      <c r="NTV2466" s="61"/>
      <c r="NTW2466" s="54"/>
      <c r="NTX2466" s="54"/>
      <c r="NTY2466" s="60"/>
      <c r="NTZ2466" s="60"/>
      <c r="NUA2466" s="60"/>
      <c r="NUB2466" s="60"/>
      <c r="NUC2466" s="63"/>
      <c r="NUD2466" s="61"/>
      <c r="NUE2466" s="54"/>
      <c r="NUF2466" s="54"/>
      <c r="NUG2466" s="60"/>
      <c r="NUH2466" s="60"/>
      <c r="NUI2466" s="60"/>
      <c r="NUJ2466" s="60"/>
      <c r="NUK2466" s="63"/>
      <c r="NUL2466" s="61"/>
      <c r="NUM2466" s="54"/>
      <c r="NUN2466" s="54"/>
      <c r="NUO2466" s="60"/>
      <c r="NUP2466" s="60"/>
      <c r="NUQ2466" s="60"/>
      <c r="NUR2466" s="60"/>
      <c r="NUS2466" s="63"/>
      <c r="NUT2466" s="61"/>
      <c r="NUU2466" s="54"/>
      <c r="NUV2466" s="54"/>
      <c r="NUW2466" s="60"/>
      <c r="NUX2466" s="60"/>
      <c r="NUY2466" s="60"/>
      <c r="NUZ2466" s="60"/>
      <c r="NVA2466" s="63"/>
      <c r="NVB2466" s="61"/>
      <c r="NVC2466" s="54"/>
      <c r="NVD2466" s="54"/>
      <c r="NVE2466" s="60"/>
      <c r="NVF2466" s="60"/>
      <c r="NVG2466" s="60"/>
      <c r="NVH2466" s="60"/>
      <c r="NVI2466" s="63"/>
      <c r="NVJ2466" s="61"/>
      <c r="NVK2466" s="54"/>
      <c r="NVL2466" s="54"/>
      <c r="NVM2466" s="60"/>
      <c r="NVN2466" s="60"/>
      <c r="NVO2466" s="60"/>
      <c r="NVP2466" s="60"/>
      <c r="NVQ2466" s="63"/>
      <c r="NVR2466" s="61"/>
      <c r="NVS2466" s="54"/>
      <c r="NVT2466" s="54"/>
      <c r="NVU2466" s="60"/>
      <c r="NVV2466" s="60"/>
      <c r="NVW2466" s="60"/>
      <c r="NVX2466" s="60"/>
      <c r="NVY2466" s="63"/>
      <c r="NVZ2466" s="61"/>
      <c r="NWA2466" s="54"/>
      <c r="NWB2466" s="54"/>
      <c r="NWC2466" s="60"/>
      <c r="NWD2466" s="60"/>
      <c r="NWE2466" s="60"/>
      <c r="NWF2466" s="60"/>
      <c r="NWG2466" s="63"/>
      <c r="NWH2466" s="61"/>
      <c r="NWI2466" s="54"/>
      <c r="NWJ2466" s="54"/>
      <c r="NWK2466" s="60"/>
      <c r="NWL2466" s="60"/>
      <c r="NWM2466" s="60"/>
      <c r="NWN2466" s="60"/>
      <c r="NWO2466" s="63"/>
      <c r="NWP2466" s="61"/>
      <c r="NWQ2466" s="54"/>
      <c r="NWR2466" s="54"/>
      <c r="NWS2466" s="60"/>
      <c r="NWT2466" s="60"/>
      <c r="NWU2466" s="60"/>
      <c r="NWV2466" s="60"/>
      <c r="NWW2466" s="63"/>
      <c r="NWX2466" s="61"/>
      <c r="NWY2466" s="54"/>
      <c r="NWZ2466" s="54"/>
      <c r="NXA2466" s="60"/>
      <c r="NXB2466" s="60"/>
      <c r="NXC2466" s="60"/>
      <c r="NXD2466" s="60"/>
      <c r="NXE2466" s="63"/>
      <c r="NXF2466" s="61"/>
      <c r="NXG2466" s="54"/>
      <c r="NXH2466" s="54"/>
      <c r="NXI2466" s="60"/>
      <c r="NXJ2466" s="60"/>
      <c r="NXK2466" s="60"/>
      <c r="NXL2466" s="60"/>
      <c r="NXM2466" s="63"/>
      <c r="NXN2466" s="61"/>
      <c r="NXO2466" s="54"/>
      <c r="NXP2466" s="54"/>
      <c r="NXQ2466" s="60"/>
      <c r="NXR2466" s="60"/>
      <c r="NXS2466" s="60"/>
      <c r="NXT2466" s="60"/>
      <c r="NXU2466" s="63"/>
      <c r="NXV2466" s="61"/>
      <c r="NXW2466" s="54"/>
      <c r="NXX2466" s="54"/>
      <c r="NXY2466" s="60"/>
      <c r="NXZ2466" s="60"/>
      <c r="NYA2466" s="60"/>
      <c r="NYB2466" s="60"/>
      <c r="NYC2466" s="63"/>
      <c r="NYD2466" s="61"/>
      <c r="NYE2466" s="54"/>
      <c r="NYF2466" s="54"/>
      <c r="NYG2466" s="60"/>
      <c r="NYH2466" s="60"/>
      <c r="NYI2466" s="60"/>
      <c r="NYJ2466" s="60"/>
      <c r="NYK2466" s="63"/>
      <c r="NYL2466" s="61"/>
      <c r="NYM2466" s="54"/>
      <c r="NYN2466" s="54"/>
      <c r="NYO2466" s="60"/>
      <c r="NYP2466" s="60"/>
      <c r="NYQ2466" s="60"/>
      <c r="NYR2466" s="60"/>
      <c r="NYS2466" s="63"/>
      <c r="NYT2466" s="61"/>
      <c r="NYU2466" s="54"/>
      <c r="NYV2466" s="54"/>
      <c r="NYW2466" s="60"/>
      <c r="NYX2466" s="60"/>
      <c r="NYY2466" s="60"/>
      <c r="NYZ2466" s="60"/>
      <c r="NZA2466" s="63"/>
      <c r="NZB2466" s="61"/>
      <c r="NZC2466" s="54"/>
      <c r="NZD2466" s="54"/>
      <c r="NZE2466" s="60"/>
      <c r="NZF2466" s="60"/>
      <c r="NZG2466" s="60"/>
      <c r="NZH2466" s="60"/>
      <c r="NZI2466" s="63"/>
      <c r="NZJ2466" s="61"/>
      <c r="NZK2466" s="54"/>
      <c r="NZL2466" s="54"/>
      <c r="NZM2466" s="60"/>
      <c r="NZN2466" s="60"/>
      <c r="NZO2466" s="60"/>
      <c r="NZP2466" s="60"/>
      <c r="NZQ2466" s="63"/>
      <c r="NZR2466" s="61"/>
      <c r="NZS2466" s="54"/>
      <c r="NZT2466" s="54"/>
      <c r="NZU2466" s="60"/>
      <c r="NZV2466" s="60"/>
      <c r="NZW2466" s="60"/>
      <c r="NZX2466" s="60"/>
      <c r="NZY2466" s="63"/>
      <c r="NZZ2466" s="61"/>
      <c r="OAA2466" s="54"/>
      <c r="OAB2466" s="54"/>
      <c r="OAC2466" s="60"/>
      <c r="OAD2466" s="60"/>
      <c r="OAE2466" s="60"/>
      <c r="OAF2466" s="60"/>
      <c r="OAG2466" s="63"/>
      <c r="OAH2466" s="61"/>
      <c r="OAI2466" s="54"/>
      <c r="OAJ2466" s="54"/>
      <c r="OAK2466" s="60"/>
      <c r="OAL2466" s="60"/>
      <c r="OAM2466" s="60"/>
      <c r="OAN2466" s="60"/>
      <c r="OAO2466" s="63"/>
      <c r="OAP2466" s="61"/>
      <c r="OAQ2466" s="54"/>
      <c r="OAR2466" s="54"/>
      <c r="OAS2466" s="60"/>
      <c r="OAT2466" s="60"/>
      <c r="OAU2466" s="60"/>
      <c r="OAV2466" s="60"/>
      <c r="OAW2466" s="63"/>
      <c r="OAX2466" s="61"/>
      <c r="OAY2466" s="54"/>
      <c r="OAZ2466" s="54"/>
      <c r="OBA2466" s="60"/>
      <c r="OBB2466" s="60"/>
      <c r="OBC2466" s="60"/>
      <c r="OBD2466" s="60"/>
      <c r="OBE2466" s="63"/>
      <c r="OBF2466" s="61"/>
      <c r="OBG2466" s="54"/>
      <c r="OBH2466" s="54"/>
      <c r="OBI2466" s="60"/>
      <c r="OBJ2466" s="60"/>
      <c r="OBK2466" s="60"/>
      <c r="OBL2466" s="60"/>
      <c r="OBM2466" s="63"/>
      <c r="OBN2466" s="61"/>
      <c r="OBO2466" s="54"/>
      <c r="OBP2466" s="54"/>
      <c r="OBQ2466" s="60"/>
      <c r="OBR2466" s="60"/>
      <c r="OBS2466" s="60"/>
      <c r="OBT2466" s="60"/>
      <c r="OBU2466" s="63"/>
      <c r="OBV2466" s="61"/>
      <c r="OBW2466" s="54"/>
      <c r="OBX2466" s="54"/>
      <c r="OBY2466" s="60"/>
      <c r="OBZ2466" s="60"/>
      <c r="OCA2466" s="60"/>
      <c r="OCB2466" s="60"/>
      <c r="OCC2466" s="63"/>
      <c r="OCD2466" s="61"/>
      <c r="OCE2466" s="54"/>
      <c r="OCF2466" s="54"/>
      <c r="OCG2466" s="60"/>
      <c r="OCH2466" s="60"/>
      <c r="OCI2466" s="60"/>
      <c r="OCJ2466" s="60"/>
      <c r="OCK2466" s="63"/>
      <c r="OCL2466" s="61"/>
      <c r="OCM2466" s="54"/>
      <c r="OCN2466" s="54"/>
      <c r="OCO2466" s="60"/>
      <c r="OCP2466" s="60"/>
      <c r="OCQ2466" s="60"/>
      <c r="OCR2466" s="60"/>
      <c r="OCS2466" s="63"/>
      <c r="OCT2466" s="61"/>
      <c r="OCU2466" s="54"/>
      <c r="OCV2466" s="54"/>
      <c r="OCW2466" s="60"/>
      <c r="OCX2466" s="60"/>
      <c r="OCY2466" s="60"/>
      <c r="OCZ2466" s="60"/>
      <c r="ODA2466" s="63"/>
      <c r="ODB2466" s="61"/>
      <c r="ODC2466" s="54"/>
      <c r="ODD2466" s="54"/>
      <c r="ODE2466" s="60"/>
      <c r="ODF2466" s="60"/>
      <c r="ODG2466" s="60"/>
      <c r="ODH2466" s="60"/>
      <c r="ODI2466" s="63"/>
      <c r="ODJ2466" s="61"/>
      <c r="ODK2466" s="54"/>
      <c r="ODL2466" s="54"/>
      <c r="ODM2466" s="60"/>
      <c r="ODN2466" s="60"/>
      <c r="ODO2466" s="60"/>
      <c r="ODP2466" s="60"/>
      <c r="ODQ2466" s="63"/>
      <c r="ODR2466" s="61"/>
      <c r="ODS2466" s="54"/>
      <c r="ODT2466" s="54"/>
      <c r="ODU2466" s="60"/>
      <c r="ODV2466" s="60"/>
      <c r="ODW2466" s="60"/>
      <c r="ODX2466" s="60"/>
      <c r="ODY2466" s="63"/>
      <c r="ODZ2466" s="61"/>
      <c r="OEA2466" s="54"/>
      <c r="OEB2466" s="54"/>
      <c r="OEC2466" s="60"/>
      <c r="OED2466" s="60"/>
      <c r="OEE2466" s="60"/>
      <c r="OEF2466" s="60"/>
      <c r="OEG2466" s="63"/>
      <c r="OEH2466" s="61"/>
      <c r="OEI2466" s="54"/>
      <c r="OEJ2466" s="54"/>
      <c r="OEK2466" s="60"/>
      <c r="OEL2466" s="60"/>
      <c r="OEM2466" s="60"/>
      <c r="OEN2466" s="60"/>
      <c r="OEO2466" s="63"/>
      <c r="OEP2466" s="61"/>
      <c r="OEQ2466" s="54"/>
      <c r="OER2466" s="54"/>
      <c r="OES2466" s="60"/>
      <c r="OET2466" s="60"/>
      <c r="OEU2466" s="60"/>
      <c r="OEV2466" s="60"/>
      <c r="OEW2466" s="63"/>
      <c r="OEX2466" s="61"/>
      <c r="OEY2466" s="54"/>
      <c r="OEZ2466" s="54"/>
      <c r="OFA2466" s="60"/>
      <c r="OFB2466" s="60"/>
      <c r="OFC2466" s="60"/>
      <c r="OFD2466" s="60"/>
      <c r="OFE2466" s="63"/>
      <c r="OFF2466" s="61"/>
      <c r="OFG2466" s="54"/>
      <c r="OFH2466" s="54"/>
      <c r="OFI2466" s="60"/>
      <c r="OFJ2466" s="60"/>
      <c r="OFK2466" s="60"/>
      <c r="OFL2466" s="60"/>
      <c r="OFM2466" s="63"/>
      <c r="OFN2466" s="61"/>
      <c r="OFO2466" s="54"/>
      <c r="OFP2466" s="54"/>
      <c r="OFQ2466" s="60"/>
      <c r="OFR2466" s="60"/>
      <c r="OFS2466" s="60"/>
      <c r="OFT2466" s="60"/>
      <c r="OFU2466" s="63"/>
      <c r="OFV2466" s="61"/>
      <c r="OFW2466" s="54"/>
      <c r="OFX2466" s="54"/>
      <c r="OFY2466" s="60"/>
      <c r="OFZ2466" s="60"/>
      <c r="OGA2466" s="60"/>
      <c r="OGB2466" s="60"/>
      <c r="OGC2466" s="63"/>
      <c r="OGD2466" s="61"/>
      <c r="OGE2466" s="54"/>
      <c r="OGF2466" s="54"/>
      <c r="OGG2466" s="60"/>
      <c r="OGH2466" s="60"/>
      <c r="OGI2466" s="60"/>
      <c r="OGJ2466" s="60"/>
      <c r="OGK2466" s="63"/>
      <c r="OGL2466" s="61"/>
      <c r="OGM2466" s="54"/>
      <c r="OGN2466" s="54"/>
      <c r="OGO2466" s="60"/>
      <c r="OGP2466" s="60"/>
      <c r="OGQ2466" s="60"/>
      <c r="OGR2466" s="60"/>
      <c r="OGS2466" s="63"/>
      <c r="OGT2466" s="61"/>
      <c r="OGU2466" s="54"/>
      <c r="OGV2466" s="54"/>
      <c r="OGW2466" s="60"/>
      <c r="OGX2466" s="60"/>
      <c r="OGY2466" s="60"/>
      <c r="OGZ2466" s="60"/>
      <c r="OHA2466" s="63"/>
      <c r="OHB2466" s="61"/>
      <c r="OHC2466" s="54"/>
      <c r="OHD2466" s="54"/>
      <c r="OHE2466" s="60"/>
      <c r="OHF2466" s="60"/>
      <c r="OHG2466" s="60"/>
      <c r="OHH2466" s="60"/>
      <c r="OHI2466" s="63"/>
      <c r="OHJ2466" s="61"/>
      <c r="OHK2466" s="54"/>
      <c r="OHL2466" s="54"/>
      <c r="OHM2466" s="60"/>
      <c r="OHN2466" s="60"/>
      <c r="OHO2466" s="60"/>
      <c r="OHP2466" s="60"/>
      <c r="OHQ2466" s="63"/>
      <c r="OHR2466" s="61"/>
      <c r="OHS2466" s="54"/>
      <c r="OHT2466" s="54"/>
      <c r="OHU2466" s="60"/>
      <c r="OHV2466" s="60"/>
      <c r="OHW2466" s="60"/>
      <c r="OHX2466" s="60"/>
      <c r="OHY2466" s="63"/>
      <c r="OHZ2466" s="61"/>
      <c r="OIA2466" s="54"/>
      <c r="OIB2466" s="54"/>
      <c r="OIC2466" s="60"/>
      <c r="OID2466" s="60"/>
      <c r="OIE2466" s="60"/>
      <c r="OIF2466" s="60"/>
      <c r="OIG2466" s="63"/>
      <c r="OIH2466" s="61"/>
      <c r="OII2466" s="54"/>
      <c r="OIJ2466" s="54"/>
      <c r="OIK2466" s="60"/>
      <c r="OIL2466" s="60"/>
      <c r="OIM2466" s="60"/>
      <c r="OIN2466" s="60"/>
      <c r="OIO2466" s="63"/>
      <c r="OIP2466" s="61"/>
      <c r="OIQ2466" s="54"/>
      <c r="OIR2466" s="54"/>
      <c r="OIS2466" s="60"/>
      <c r="OIT2466" s="60"/>
      <c r="OIU2466" s="60"/>
      <c r="OIV2466" s="60"/>
      <c r="OIW2466" s="63"/>
      <c r="OIX2466" s="61"/>
      <c r="OIY2466" s="54"/>
      <c r="OIZ2466" s="54"/>
      <c r="OJA2466" s="60"/>
      <c r="OJB2466" s="60"/>
      <c r="OJC2466" s="60"/>
      <c r="OJD2466" s="60"/>
      <c r="OJE2466" s="63"/>
      <c r="OJF2466" s="61"/>
      <c r="OJG2466" s="54"/>
      <c r="OJH2466" s="54"/>
      <c r="OJI2466" s="60"/>
      <c r="OJJ2466" s="60"/>
      <c r="OJK2466" s="60"/>
      <c r="OJL2466" s="60"/>
      <c r="OJM2466" s="63"/>
      <c r="OJN2466" s="61"/>
      <c r="OJO2466" s="54"/>
      <c r="OJP2466" s="54"/>
      <c r="OJQ2466" s="60"/>
      <c r="OJR2466" s="60"/>
      <c r="OJS2466" s="60"/>
      <c r="OJT2466" s="60"/>
      <c r="OJU2466" s="63"/>
      <c r="OJV2466" s="61"/>
      <c r="OJW2466" s="54"/>
      <c r="OJX2466" s="54"/>
      <c r="OJY2466" s="60"/>
      <c r="OJZ2466" s="60"/>
      <c r="OKA2466" s="60"/>
      <c r="OKB2466" s="60"/>
      <c r="OKC2466" s="63"/>
      <c r="OKD2466" s="61"/>
      <c r="OKE2466" s="54"/>
      <c r="OKF2466" s="54"/>
      <c r="OKG2466" s="60"/>
      <c r="OKH2466" s="60"/>
      <c r="OKI2466" s="60"/>
      <c r="OKJ2466" s="60"/>
      <c r="OKK2466" s="63"/>
      <c r="OKL2466" s="61"/>
      <c r="OKM2466" s="54"/>
      <c r="OKN2466" s="54"/>
      <c r="OKO2466" s="60"/>
      <c r="OKP2466" s="60"/>
      <c r="OKQ2466" s="60"/>
      <c r="OKR2466" s="60"/>
      <c r="OKS2466" s="63"/>
      <c r="OKT2466" s="61"/>
      <c r="OKU2466" s="54"/>
      <c r="OKV2466" s="54"/>
      <c r="OKW2466" s="60"/>
      <c r="OKX2466" s="60"/>
      <c r="OKY2466" s="60"/>
      <c r="OKZ2466" s="60"/>
      <c r="OLA2466" s="63"/>
      <c r="OLB2466" s="61"/>
      <c r="OLC2466" s="54"/>
      <c r="OLD2466" s="54"/>
      <c r="OLE2466" s="60"/>
      <c r="OLF2466" s="60"/>
      <c r="OLG2466" s="60"/>
      <c r="OLH2466" s="60"/>
      <c r="OLI2466" s="63"/>
      <c r="OLJ2466" s="61"/>
      <c r="OLK2466" s="54"/>
      <c r="OLL2466" s="54"/>
      <c r="OLM2466" s="60"/>
      <c r="OLN2466" s="60"/>
      <c r="OLO2466" s="60"/>
      <c r="OLP2466" s="60"/>
      <c r="OLQ2466" s="63"/>
      <c r="OLR2466" s="61"/>
      <c r="OLS2466" s="54"/>
      <c r="OLT2466" s="54"/>
      <c r="OLU2466" s="60"/>
      <c r="OLV2466" s="60"/>
      <c r="OLW2466" s="60"/>
      <c r="OLX2466" s="60"/>
      <c r="OLY2466" s="63"/>
      <c r="OLZ2466" s="61"/>
      <c r="OMA2466" s="54"/>
      <c r="OMB2466" s="54"/>
      <c r="OMC2466" s="60"/>
      <c r="OMD2466" s="60"/>
      <c r="OME2466" s="60"/>
      <c r="OMF2466" s="60"/>
      <c r="OMG2466" s="63"/>
      <c r="OMH2466" s="61"/>
      <c r="OMI2466" s="54"/>
      <c r="OMJ2466" s="54"/>
      <c r="OMK2466" s="60"/>
      <c r="OML2466" s="60"/>
      <c r="OMM2466" s="60"/>
      <c r="OMN2466" s="60"/>
      <c r="OMO2466" s="63"/>
      <c r="OMP2466" s="61"/>
      <c r="OMQ2466" s="54"/>
      <c r="OMR2466" s="54"/>
      <c r="OMS2466" s="60"/>
      <c r="OMT2466" s="60"/>
      <c r="OMU2466" s="60"/>
      <c r="OMV2466" s="60"/>
      <c r="OMW2466" s="63"/>
      <c r="OMX2466" s="61"/>
      <c r="OMY2466" s="54"/>
      <c r="OMZ2466" s="54"/>
      <c r="ONA2466" s="60"/>
      <c r="ONB2466" s="60"/>
      <c r="ONC2466" s="60"/>
      <c r="OND2466" s="60"/>
      <c r="ONE2466" s="63"/>
      <c r="ONF2466" s="61"/>
      <c r="ONG2466" s="54"/>
      <c r="ONH2466" s="54"/>
      <c r="ONI2466" s="60"/>
      <c r="ONJ2466" s="60"/>
      <c r="ONK2466" s="60"/>
      <c r="ONL2466" s="60"/>
      <c r="ONM2466" s="63"/>
      <c r="ONN2466" s="61"/>
      <c r="ONO2466" s="54"/>
      <c r="ONP2466" s="54"/>
      <c r="ONQ2466" s="60"/>
      <c r="ONR2466" s="60"/>
      <c r="ONS2466" s="60"/>
      <c r="ONT2466" s="60"/>
      <c r="ONU2466" s="63"/>
      <c r="ONV2466" s="61"/>
      <c r="ONW2466" s="54"/>
      <c r="ONX2466" s="54"/>
      <c r="ONY2466" s="60"/>
      <c r="ONZ2466" s="60"/>
      <c r="OOA2466" s="60"/>
      <c r="OOB2466" s="60"/>
      <c r="OOC2466" s="63"/>
      <c r="OOD2466" s="61"/>
      <c r="OOE2466" s="54"/>
      <c r="OOF2466" s="54"/>
      <c r="OOG2466" s="60"/>
      <c r="OOH2466" s="60"/>
      <c r="OOI2466" s="60"/>
      <c r="OOJ2466" s="60"/>
      <c r="OOK2466" s="63"/>
      <c r="OOL2466" s="61"/>
      <c r="OOM2466" s="54"/>
      <c r="OON2466" s="54"/>
      <c r="OOO2466" s="60"/>
      <c r="OOP2466" s="60"/>
      <c r="OOQ2466" s="60"/>
      <c r="OOR2466" s="60"/>
      <c r="OOS2466" s="63"/>
      <c r="OOT2466" s="61"/>
      <c r="OOU2466" s="54"/>
      <c r="OOV2466" s="54"/>
      <c r="OOW2466" s="60"/>
      <c r="OOX2466" s="60"/>
      <c r="OOY2466" s="60"/>
      <c r="OOZ2466" s="60"/>
      <c r="OPA2466" s="63"/>
      <c r="OPB2466" s="61"/>
      <c r="OPC2466" s="54"/>
      <c r="OPD2466" s="54"/>
      <c r="OPE2466" s="60"/>
      <c r="OPF2466" s="60"/>
      <c r="OPG2466" s="60"/>
      <c r="OPH2466" s="60"/>
      <c r="OPI2466" s="63"/>
      <c r="OPJ2466" s="61"/>
      <c r="OPK2466" s="54"/>
      <c r="OPL2466" s="54"/>
      <c r="OPM2466" s="60"/>
      <c r="OPN2466" s="60"/>
      <c r="OPO2466" s="60"/>
      <c r="OPP2466" s="60"/>
      <c r="OPQ2466" s="63"/>
      <c r="OPR2466" s="61"/>
      <c r="OPS2466" s="54"/>
      <c r="OPT2466" s="54"/>
      <c r="OPU2466" s="60"/>
      <c r="OPV2466" s="60"/>
      <c r="OPW2466" s="60"/>
      <c r="OPX2466" s="60"/>
      <c r="OPY2466" s="63"/>
      <c r="OPZ2466" s="61"/>
      <c r="OQA2466" s="54"/>
      <c r="OQB2466" s="54"/>
      <c r="OQC2466" s="60"/>
      <c r="OQD2466" s="60"/>
      <c r="OQE2466" s="60"/>
      <c r="OQF2466" s="60"/>
      <c r="OQG2466" s="63"/>
      <c r="OQH2466" s="61"/>
      <c r="OQI2466" s="54"/>
      <c r="OQJ2466" s="54"/>
      <c r="OQK2466" s="60"/>
      <c r="OQL2466" s="60"/>
      <c r="OQM2466" s="60"/>
      <c r="OQN2466" s="60"/>
      <c r="OQO2466" s="63"/>
      <c r="OQP2466" s="61"/>
      <c r="OQQ2466" s="54"/>
      <c r="OQR2466" s="54"/>
      <c r="OQS2466" s="60"/>
      <c r="OQT2466" s="60"/>
      <c r="OQU2466" s="60"/>
      <c r="OQV2466" s="60"/>
      <c r="OQW2466" s="63"/>
      <c r="OQX2466" s="61"/>
      <c r="OQY2466" s="54"/>
      <c r="OQZ2466" s="54"/>
      <c r="ORA2466" s="60"/>
      <c r="ORB2466" s="60"/>
      <c r="ORC2466" s="60"/>
      <c r="ORD2466" s="60"/>
      <c r="ORE2466" s="63"/>
      <c r="ORF2466" s="61"/>
      <c r="ORG2466" s="54"/>
      <c r="ORH2466" s="54"/>
      <c r="ORI2466" s="60"/>
      <c r="ORJ2466" s="60"/>
      <c r="ORK2466" s="60"/>
      <c r="ORL2466" s="60"/>
      <c r="ORM2466" s="63"/>
      <c r="ORN2466" s="61"/>
      <c r="ORO2466" s="54"/>
      <c r="ORP2466" s="54"/>
      <c r="ORQ2466" s="60"/>
      <c r="ORR2466" s="60"/>
      <c r="ORS2466" s="60"/>
      <c r="ORT2466" s="60"/>
      <c r="ORU2466" s="63"/>
      <c r="ORV2466" s="61"/>
      <c r="ORW2466" s="54"/>
      <c r="ORX2466" s="54"/>
      <c r="ORY2466" s="60"/>
      <c r="ORZ2466" s="60"/>
      <c r="OSA2466" s="60"/>
      <c r="OSB2466" s="60"/>
      <c r="OSC2466" s="63"/>
      <c r="OSD2466" s="61"/>
      <c r="OSE2466" s="54"/>
      <c r="OSF2466" s="54"/>
      <c r="OSG2466" s="60"/>
      <c r="OSH2466" s="60"/>
      <c r="OSI2466" s="60"/>
      <c r="OSJ2466" s="60"/>
      <c r="OSK2466" s="63"/>
      <c r="OSL2466" s="61"/>
      <c r="OSM2466" s="54"/>
      <c r="OSN2466" s="54"/>
      <c r="OSO2466" s="60"/>
      <c r="OSP2466" s="60"/>
      <c r="OSQ2466" s="60"/>
      <c r="OSR2466" s="60"/>
      <c r="OSS2466" s="63"/>
      <c r="OST2466" s="61"/>
      <c r="OSU2466" s="54"/>
      <c r="OSV2466" s="54"/>
      <c r="OSW2466" s="60"/>
      <c r="OSX2466" s="60"/>
      <c r="OSY2466" s="60"/>
      <c r="OSZ2466" s="60"/>
      <c r="OTA2466" s="63"/>
      <c r="OTB2466" s="61"/>
      <c r="OTC2466" s="54"/>
      <c r="OTD2466" s="54"/>
      <c r="OTE2466" s="60"/>
      <c r="OTF2466" s="60"/>
      <c r="OTG2466" s="60"/>
      <c r="OTH2466" s="60"/>
      <c r="OTI2466" s="63"/>
      <c r="OTJ2466" s="61"/>
      <c r="OTK2466" s="54"/>
      <c r="OTL2466" s="54"/>
      <c r="OTM2466" s="60"/>
      <c r="OTN2466" s="60"/>
      <c r="OTO2466" s="60"/>
      <c r="OTP2466" s="60"/>
      <c r="OTQ2466" s="63"/>
      <c r="OTR2466" s="61"/>
      <c r="OTS2466" s="54"/>
      <c r="OTT2466" s="54"/>
      <c r="OTU2466" s="60"/>
      <c r="OTV2466" s="60"/>
      <c r="OTW2466" s="60"/>
      <c r="OTX2466" s="60"/>
      <c r="OTY2466" s="63"/>
      <c r="OTZ2466" s="61"/>
      <c r="OUA2466" s="54"/>
      <c r="OUB2466" s="54"/>
      <c r="OUC2466" s="60"/>
      <c r="OUD2466" s="60"/>
      <c r="OUE2466" s="60"/>
      <c r="OUF2466" s="60"/>
      <c r="OUG2466" s="63"/>
      <c r="OUH2466" s="61"/>
      <c r="OUI2466" s="54"/>
      <c r="OUJ2466" s="54"/>
      <c r="OUK2466" s="60"/>
      <c r="OUL2466" s="60"/>
      <c r="OUM2466" s="60"/>
      <c r="OUN2466" s="60"/>
      <c r="OUO2466" s="63"/>
      <c r="OUP2466" s="61"/>
      <c r="OUQ2466" s="54"/>
      <c r="OUR2466" s="54"/>
      <c r="OUS2466" s="60"/>
      <c r="OUT2466" s="60"/>
      <c r="OUU2466" s="60"/>
      <c r="OUV2466" s="60"/>
      <c r="OUW2466" s="63"/>
      <c r="OUX2466" s="61"/>
      <c r="OUY2466" s="54"/>
      <c r="OUZ2466" s="54"/>
      <c r="OVA2466" s="60"/>
      <c r="OVB2466" s="60"/>
      <c r="OVC2466" s="60"/>
      <c r="OVD2466" s="60"/>
      <c r="OVE2466" s="63"/>
      <c r="OVF2466" s="61"/>
      <c r="OVG2466" s="54"/>
      <c r="OVH2466" s="54"/>
      <c r="OVI2466" s="60"/>
      <c r="OVJ2466" s="60"/>
      <c r="OVK2466" s="60"/>
      <c r="OVL2466" s="60"/>
      <c r="OVM2466" s="63"/>
      <c r="OVN2466" s="61"/>
      <c r="OVO2466" s="54"/>
      <c r="OVP2466" s="54"/>
      <c r="OVQ2466" s="60"/>
      <c r="OVR2466" s="60"/>
      <c r="OVS2466" s="60"/>
      <c r="OVT2466" s="60"/>
      <c r="OVU2466" s="63"/>
      <c r="OVV2466" s="61"/>
      <c r="OVW2466" s="54"/>
      <c r="OVX2466" s="54"/>
      <c r="OVY2466" s="60"/>
      <c r="OVZ2466" s="60"/>
      <c r="OWA2466" s="60"/>
      <c r="OWB2466" s="60"/>
      <c r="OWC2466" s="63"/>
      <c r="OWD2466" s="61"/>
      <c r="OWE2466" s="54"/>
      <c r="OWF2466" s="54"/>
      <c r="OWG2466" s="60"/>
      <c r="OWH2466" s="60"/>
      <c r="OWI2466" s="60"/>
      <c r="OWJ2466" s="60"/>
      <c r="OWK2466" s="63"/>
      <c r="OWL2466" s="61"/>
      <c r="OWM2466" s="54"/>
      <c r="OWN2466" s="54"/>
      <c r="OWO2466" s="60"/>
      <c r="OWP2466" s="60"/>
      <c r="OWQ2466" s="60"/>
      <c r="OWR2466" s="60"/>
      <c r="OWS2466" s="63"/>
      <c r="OWT2466" s="61"/>
      <c r="OWU2466" s="54"/>
      <c r="OWV2466" s="54"/>
      <c r="OWW2466" s="60"/>
      <c r="OWX2466" s="60"/>
      <c r="OWY2466" s="60"/>
      <c r="OWZ2466" s="60"/>
      <c r="OXA2466" s="63"/>
      <c r="OXB2466" s="61"/>
      <c r="OXC2466" s="54"/>
      <c r="OXD2466" s="54"/>
      <c r="OXE2466" s="60"/>
      <c r="OXF2466" s="60"/>
      <c r="OXG2466" s="60"/>
      <c r="OXH2466" s="60"/>
      <c r="OXI2466" s="63"/>
      <c r="OXJ2466" s="61"/>
      <c r="OXK2466" s="54"/>
      <c r="OXL2466" s="54"/>
      <c r="OXM2466" s="60"/>
      <c r="OXN2466" s="60"/>
      <c r="OXO2466" s="60"/>
      <c r="OXP2466" s="60"/>
      <c r="OXQ2466" s="63"/>
      <c r="OXR2466" s="61"/>
      <c r="OXS2466" s="54"/>
      <c r="OXT2466" s="54"/>
      <c r="OXU2466" s="60"/>
      <c r="OXV2466" s="60"/>
      <c r="OXW2466" s="60"/>
      <c r="OXX2466" s="60"/>
      <c r="OXY2466" s="63"/>
      <c r="OXZ2466" s="61"/>
      <c r="OYA2466" s="54"/>
      <c r="OYB2466" s="54"/>
      <c r="OYC2466" s="60"/>
      <c r="OYD2466" s="60"/>
      <c r="OYE2466" s="60"/>
      <c r="OYF2466" s="60"/>
      <c r="OYG2466" s="63"/>
      <c r="OYH2466" s="61"/>
      <c r="OYI2466" s="54"/>
      <c r="OYJ2466" s="54"/>
      <c r="OYK2466" s="60"/>
      <c r="OYL2466" s="60"/>
      <c r="OYM2466" s="60"/>
      <c r="OYN2466" s="60"/>
      <c r="OYO2466" s="63"/>
      <c r="OYP2466" s="61"/>
      <c r="OYQ2466" s="54"/>
      <c r="OYR2466" s="54"/>
      <c r="OYS2466" s="60"/>
      <c r="OYT2466" s="60"/>
      <c r="OYU2466" s="60"/>
      <c r="OYV2466" s="60"/>
      <c r="OYW2466" s="63"/>
      <c r="OYX2466" s="61"/>
      <c r="OYY2466" s="54"/>
      <c r="OYZ2466" s="54"/>
      <c r="OZA2466" s="60"/>
      <c r="OZB2466" s="60"/>
      <c r="OZC2466" s="60"/>
      <c r="OZD2466" s="60"/>
      <c r="OZE2466" s="63"/>
      <c r="OZF2466" s="61"/>
      <c r="OZG2466" s="54"/>
      <c r="OZH2466" s="54"/>
      <c r="OZI2466" s="60"/>
      <c r="OZJ2466" s="60"/>
      <c r="OZK2466" s="60"/>
      <c r="OZL2466" s="60"/>
      <c r="OZM2466" s="63"/>
      <c r="OZN2466" s="61"/>
      <c r="OZO2466" s="54"/>
      <c r="OZP2466" s="54"/>
      <c r="OZQ2466" s="60"/>
      <c r="OZR2466" s="60"/>
      <c r="OZS2466" s="60"/>
      <c r="OZT2466" s="60"/>
      <c r="OZU2466" s="63"/>
      <c r="OZV2466" s="61"/>
      <c r="OZW2466" s="54"/>
      <c r="OZX2466" s="54"/>
      <c r="OZY2466" s="60"/>
      <c r="OZZ2466" s="60"/>
      <c r="PAA2466" s="60"/>
      <c r="PAB2466" s="60"/>
      <c r="PAC2466" s="63"/>
      <c r="PAD2466" s="61"/>
      <c r="PAE2466" s="54"/>
      <c r="PAF2466" s="54"/>
      <c r="PAG2466" s="60"/>
      <c r="PAH2466" s="60"/>
      <c r="PAI2466" s="60"/>
      <c r="PAJ2466" s="60"/>
      <c r="PAK2466" s="63"/>
      <c r="PAL2466" s="61"/>
      <c r="PAM2466" s="54"/>
      <c r="PAN2466" s="54"/>
      <c r="PAO2466" s="60"/>
      <c r="PAP2466" s="60"/>
      <c r="PAQ2466" s="60"/>
      <c r="PAR2466" s="60"/>
      <c r="PAS2466" s="63"/>
      <c r="PAT2466" s="61"/>
      <c r="PAU2466" s="54"/>
      <c r="PAV2466" s="54"/>
      <c r="PAW2466" s="60"/>
      <c r="PAX2466" s="60"/>
      <c r="PAY2466" s="60"/>
      <c r="PAZ2466" s="60"/>
      <c r="PBA2466" s="63"/>
      <c r="PBB2466" s="61"/>
      <c r="PBC2466" s="54"/>
      <c r="PBD2466" s="54"/>
      <c r="PBE2466" s="60"/>
      <c r="PBF2466" s="60"/>
      <c r="PBG2466" s="60"/>
      <c r="PBH2466" s="60"/>
      <c r="PBI2466" s="63"/>
      <c r="PBJ2466" s="61"/>
      <c r="PBK2466" s="54"/>
      <c r="PBL2466" s="54"/>
      <c r="PBM2466" s="60"/>
      <c r="PBN2466" s="60"/>
      <c r="PBO2466" s="60"/>
      <c r="PBP2466" s="60"/>
      <c r="PBQ2466" s="63"/>
      <c r="PBR2466" s="61"/>
      <c r="PBS2466" s="54"/>
      <c r="PBT2466" s="54"/>
      <c r="PBU2466" s="60"/>
      <c r="PBV2466" s="60"/>
      <c r="PBW2466" s="60"/>
      <c r="PBX2466" s="60"/>
      <c r="PBY2466" s="63"/>
      <c r="PBZ2466" s="61"/>
      <c r="PCA2466" s="54"/>
      <c r="PCB2466" s="54"/>
      <c r="PCC2466" s="60"/>
      <c r="PCD2466" s="60"/>
      <c r="PCE2466" s="60"/>
      <c r="PCF2466" s="60"/>
      <c r="PCG2466" s="63"/>
      <c r="PCH2466" s="61"/>
      <c r="PCI2466" s="54"/>
      <c r="PCJ2466" s="54"/>
      <c r="PCK2466" s="60"/>
      <c r="PCL2466" s="60"/>
      <c r="PCM2466" s="60"/>
      <c r="PCN2466" s="60"/>
      <c r="PCO2466" s="63"/>
      <c r="PCP2466" s="61"/>
      <c r="PCQ2466" s="54"/>
      <c r="PCR2466" s="54"/>
      <c r="PCS2466" s="60"/>
      <c r="PCT2466" s="60"/>
      <c r="PCU2466" s="60"/>
      <c r="PCV2466" s="60"/>
      <c r="PCW2466" s="63"/>
      <c r="PCX2466" s="61"/>
      <c r="PCY2466" s="54"/>
      <c r="PCZ2466" s="54"/>
      <c r="PDA2466" s="60"/>
      <c r="PDB2466" s="60"/>
      <c r="PDC2466" s="60"/>
      <c r="PDD2466" s="60"/>
      <c r="PDE2466" s="63"/>
      <c r="PDF2466" s="61"/>
      <c r="PDG2466" s="54"/>
      <c r="PDH2466" s="54"/>
      <c r="PDI2466" s="60"/>
      <c r="PDJ2466" s="60"/>
      <c r="PDK2466" s="60"/>
      <c r="PDL2466" s="60"/>
      <c r="PDM2466" s="63"/>
      <c r="PDN2466" s="61"/>
      <c r="PDO2466" s="54"/>
      <c r="PDP2466" s="54"/>
      <c r="PDQ2466" s="60"/>
      <c r="PDR2466" s="60"/>
      <c r="PDS2466" s="60"/>
      <c r="PDT2466" s="60"/>
      <c r="PDU2466" s="63"/>
      <c r="PDV2466" s="61"/>
      <c r="PDW2466" s="54"/>
      <c r="PDX2466" s="54"/>
      <c r="PDY2466" s="60"/>
      <c r="PDZ2466" s="60"/>
      <c r="PEA2466" s="60"/>
      <c r="PEB2466" s="60"/>
      <c r="PEC2466" s="63"/>
      <c r="PED2466" s="61"/>
      <c r="PEE2466" s="54"/>
      <c r="PEF2466" s="54"/>
      <c r="PEG2466" s="60"/>
      <c r="PEH2466" s="60"/>
      <c r="PEI2466" s="60"/>
      <c r="PEJ2466" s="60"/>
      <c r="PEK2466" s="63"/>
      <c r="PEL2466" s="61"/>
      <c r="PEM2466" s="54"/>
      <c r="PEN2466" s="54"/>
      <c r="PEO2466" s="60"/>
      <c r="PEP2466" s="60"/>
      <c r="PEQ2466" s="60"/>
      <c r="PER2466" s="60"/>
      <c r="PES2466" s="63"/>
      <c r="PET2466" s="61"/>
      <c r="PEU2466" s="54"/>
      <c r="PEV2466" s="54"/>
      <c r="PEW2466" s="60"/>
      <c r="PEX2466" s="60"/>
      <c r="PEY2466" s="60"/>
      <c r="PEZ2466" s="60"/>
      <c r="PFA2466" s="63"/>
      <c r="PFB2466" s="61"/>
      <c r="PFC2466" s="54"/>
      <c r="PFD2466" s="54"/>
      <c r="PFE2466" s="60"/>
      <c r="PFF2466" s="60"/>
      <c r="PFG2466" s="60"/>
      <c r="PFH2466" s="60"/>
      <c r="PFI2466" s="63"/>
      <c r="PFJ2466" s="61"/>
      <c r="PFK2466" s="54"/>
      <c r="PFL2466" s="54"/>
      <c r="PFM2466" s="60"/>
      <c r="PFN2466" s="60"/>
      <c r="PFO2466" s="60"/>
      <c r="PFP2466" s="60"/>
      <c r="PFQ2466" s="63"/>
      <c r="PFR2466" s="61"/>
      <c r="PFS2466" s="54"/>
      <c r="PFT2466" s="54"/>
      <c r="PFU2466" s="60"/>
      <c r="PFV2466" s="60"/>
      <c r="PFW2466" s="60"/>
      <c r="PFX2466" s="60"/>
      <c r="PFY2466" s="63"/>
      <c r="PFZ2466" s="61"/>
      <c r="PGA2466" s="54"/>
      <c r="PGB2466" s="54"/>
      <c r="PGC2466" s="60"/>
      <c r="PGD2466" s="60"/>
      <c r="PGE2466" s="60"/>
      <c r="PGF2466" s="60"/>
      <c r="PGG2466" s="63"/>
      <c r="PGH2466" s="61"/>
      <c r="PGI2466" s="54"/>
      <c r="PGJ2466" s="54"/>
      <c r="PGK2466" s="60"/>
      <c r="PGL2466" s="60"/>
      <c r="PGM2466" s="60"/>
      <c r="PGN2466" s="60"/>
      <c r="PGO2466" s="63"/>
      <c r="PGP2466" s="61"/>
      <c r="PGQ2466" s="54"/>
      <c r="PGR2466" s="54"/>
      <c r="PGS2466" s="60"/>
      <c r="PGT2466" s="60"/>
      <c r="PGU2466" s="60"/>
      <c r="PGV2466" s="60"/>
      <c r="PGW2466" s="63"/>
      <c r="PGX2466" s="61"/>
      <c r="PGY2466" s="54"/>
      <c r="PGZ2466" s="54"/>
      <c r="PHA2466" s="60"/>
      <c r="PHB2466" s="60"/>
      <c r="PHC2466" s="60"/>
      <c r="PHD2466" s="60"/>
      <c r="PHE2466" s="63"/>
      <c r="PHF2466" s="61"/>
      <c r="PHG2466" s="54"/>
      <c r="PHH2466" s="54"/>
      <c r="PHI2466" s="60"/>
      <c r="PHJ2466" s="60"/>
      <c r="PHK2466" s="60"/>
      <c r="PHL2466" s="60"/>
      <c r="PHM2466" s="63"/>
      <c r="PHN2466" s="61"/>
      <c r="PHO2466" s="54"/>
      <c r="PHP2466" s="54"/>
      <c r="PHQ2466" s="60"/>
      <c r="PHR2466" s="60"/>
      <c r="PHS2466" s="60"/>
      <c r="PHT2466" s="60"/>
      <c r="PHU2466" s="63"/>
      <c r="PHV2466" s="61"/>
      <c r="PHW2466" s="54"/>
      <c r="PHX2466" s="54"/>
      <c r="PHY2466" s="60"/>
      <c r="PHZ2466" s="60"/>
      <c r="PIA2466" s="60"/>
      <c r="PIB2466" s="60"/>
      <c r="PIC2466" s="63"/>
      <c r="PID2466" s="61"/>
      <c r="PIE2466" s="54"/>
      <c r="PIF2466" s="54"/>
      <c r="PIG2466" s="60"/>
      <c r="PIH2466" s="60"/>
      <c r="PII2466" s="60"/>
      <c r="PIJ2466" s="60"/>
      <c r="PIK2466" s="63"/>
      <c r="PIL2466" s="61"/>
      <c r="PIM2466" s="54"/>
      <c r="PIN2466" s="54"/>
      <c r="PIO2466" s="60"/>
      <c r="PIP2466" s="60"/>
      <c r="PIQ2466" s="60"/>
      <c r="PIR2466" s="60"/>
      <c r="PIS2466" s="63"/>
      <c r="PIT2466" s="61"/>
      <c r="PIU2466" s="54"/>
      <c r="PIV2466" s="54"/>
      <c r="PIW2466" s="60"/>
      <c r="PIX2466" s="60"/>
      <c r="PIY2466" s="60"/>
      <c r="PIZ2466" s="60"/>
      <c r="PJA2466" s="63"/>
      <c r="PJB2466" s="61"/>
      <c r="PJC2466" s="54"/>
      <c r="PJD2466" s="54"/>
      <c r="PJE2466" s="60"/>
      <c r="PJF2466" s="60"/>
      <c r="PJG2466" s="60"/>
      <c r="PJH2466" s="60"/>
      <c r="PJI2466" s="63"/>
      <c r="PJJ2466" s="61"/>
      <c r="PJK2466" s="54"/>
      <c r="PJL2466" s="54"/>
      <c r="PJM2466" s="60"/>
      <c r="PJN2466" s="60"/>
      <c r="PJO2466" s="60"/>
      <c r="PJP2466" s="60"/>
      <c r="PJQ2466" s="63"/>
      <c r="PJR2466" s="61"/>
      <c r="PJS2466" s="54"/>
      <c r="PJT2466" s="54"/>
      <c r="PJU2466" s="60"/>
      <c r="PJV2466" s="60"/>
      <c r="PJW2466" s="60"/>
      <c r="PJX2466" s="60"/>
      <c r="PJY2466" s="63"/>
      <c r="PJZ2466" s="61"/>
      <c r="PKA2466" s="54"/>
      <c r="PKB2466" s="54"/>
      <c r="PKC2466" s="60"/>
      <c r="PKD2466" s="60"/>
      <c r="PKE2466" s="60"/>
      <c r="PKF2466" s="60"/>
      <c r="PKG2466" s="63"/>
      <c r="PKH2466" s="61"/>
      <c r="PKI2466" s="54"/>
      <c r="PKJ2466" s="54"/>
      <c r="PKK2466" s="60"/>
      <c r="PKL2466" s="60"/>
      <c r="PKM2466" s="60"/>
      <c r="PKN2466" s="60"/>
      <c r="PKO2466" s="63"/>
      <c r="PKP2466" s="61"/>
      <c r="PKQ2466" s="54"/>
      <c r="PKR2466" s="54"/>
      <c r="PKS2466" s="60"/>
      <c r="PKT2466" s="60"/>
      <c r="PKU2466" s="60"/>
      <c r="PKV2466" s="60"/>
      <c r="PKW2466" s="63"/>
      <c r="PKX2466" s="61"/>
      <c r="PKY2466" s="54"/>
      <c r="PKZ2466" s="54"/>
      <c r="PLA2466" s="60"/>
      <c r="PLB2466" s="60"/>
      <c r="PLC2466" s="60"/>
      <c r="PLD2466" s="60"/>
      <c r="PLE2466" s="63"/>
      <c r="PLF2466" s="61"/>
      <c r="PLG2466" s="54"/>
      <c r="PLH2466" s="54"/>
      <c r="PLI2466" s="60"/>
      <c r="PLJ2466" s="60"/>
      <c r="PLK2466" s="60"/>
      <c r="PLL2466" s="60"/>
      <c r="PLM2466" s="63"/>
      <c r="PLN2466" s="61"/>
      <c r="PLO2466" s="54"/>
      <c r="PLP2466" s="54"/>
      <c r="PLQ2466" s="60"/>
      <c r="PLR2466" s="60"/>
      <c r="PLS2466" s="60"/>
      <c r="PLT2466" s="60"/>
      <c r="PLU2466" s="63"/>
      <c r="PLV2466" s="61"/>
      <c r="PLW2466" s="54"/>
      <c r="PLX2466" s="54"/>
      <c r="PLY2466" s="60"/>
      <c r="PLZ2466" s="60"/>
      <c r="PMA2466" s="60"/>
      <c r="PMB2466" s="60"/>
      <c r="PMC2466" s="63"/>
      <c r="PMD2466" s="61"/>
      <c r="PME2466" s="54"/>
      <c r="PMF2466" s="54"/>
      <c r="PMG2466" s="60"/>
      <c r="PMH2466" s="60"/>
      <c r="PMI2466" s="60"/>
      <c r="PMJ2466" s="60"/>
      <c r="PMK2466" s="63"/>
      <c r="PML2466" s="61"/>
      <c r="PMM2466" s="54"/>
      <c r="PMN2466" s="54"/>
      <c r="PMO2466" s="60"/>
      <c r="PMP2466" s="60"/>
      <c r="PMQ2466" s="60"/>
      <c r="PMR2466" s="60"/>
      <c r="PMS2466" s="63"/>
      <c r="PMT2466" s="61"/>
      <c r="PMU2466" s="54"/>
      <c r="PMV2466" s="54"/>
      <c r="PMW2466" s="60"/>
      <c r="PMX2466" s="60"/>
      <c r="PMY2466" s="60"/>
      <c r="PMZ2466" s="60"/>
      <c r="PNA2466" s="63"/>
      <c r="PNB2466" s="61"/>
      <c r="PNC2466" s="54"/>
      <c r="PND2466" s="54"/>
      <c r="PNE2466" s="60"/>
      <c r="PNF2466" s="60"/>
      <c r="PNG2466" s="60"/>
      <c r="PNH2466" s="60"/>
      <c r="PNI2466" s="63"/>
      <c r="PNJ2466" s="61"/>
      <c r="PNK2466" s="54"/>
      <c r="PNL2466" s="54"/>
      <c r="PNM2466" s="60"/>
      <c r="PNN2466" s="60"/>
      <c r="PNO2466" s="60"/>
      <c r="PNP2466" s="60"/>
      <c r="PNQ2466" s="63"/>
      <c r="PNR2466" s="61"/>
      <c r="PNS2466" s="54"/>
      <c r="PNT2466" s="54"/>
      <c r="PNU2466" s="60"/>
      <c r="PNV2466" s="60"/>
      <c r="PNW2466" s="60"/>
      <c r="PNX2466" s="60"/>
      <c r="PNY2466" s="63"/>
      <c r="PNZ2466" s="61"/>
      <c r="POA2466" s="54"/>
      <c r="POB2466" s="54"/>
      <c r="POC2466" s="60"/>
      <c r="POD2466" s="60"/>
      <c r="POE2466" s="60"/>
      <c r="POF2466" s="60"/>
      <c r="POG2466" s="63"/>
      <c r="POH2466" s="61"/>
      <c r="POI2466" s="54"/>
      <c r="POJ2466" s="54"/>
      <c r="POK2466" s="60"/>
      <c r="POL2466" s="60"/>
      <c r="POM2466" s="60"/>
      <c r="PON2466" s="60"/>
      <c r="POO2466" s="63"/>
      <c r="POP2466" s="61"/>
      <c r="POQ2466" s="54"/>
      <c r="POR2466" s="54"/>
      <c r="POS2466" s="60"/>
      <c r="POT2466" s="60"/>
      <c r="POU2466" s="60"/>
      <c r="POV2466" s="60"/>
      <c r="POW2466" s="63"/>
      <c r="POX2466" s="61"/>
      <c r="POY2466" s="54"/>
      <c r="POZ2466" s="54"/>
      <c r="PPA2466" s="60"/>
      <c r="PPB2466" s="60"/>
      <c r="PPC2466" s="60"/>
      <c r="PPD2466" s="60"/>
      <c r="PPE2466" s="63"/>
      <c r="PPF2466" s="61"/>
      <c r="PPG2466" s="54"/>
      <c r="PPH2466" s="54"/>
      <c r="PPI2466" s="60"/>
      <c r="PPJ2466" s="60"/>
      <c r="PPK2466" s="60"/>
      <c r="PPL2466" s="60"/>
      <c r="PPM2466" s="63"/>
      <c r="PPN2466" s="61"/>
      <c r="PPO2466" s="54"/>
      <c r="PPP2466" s="54"/>
      <c r="PPQ2466" s="60"/>
      <c r="PPR2466" s="60"/>
      <c r="PPS2466" s="60"/>
      <c r="PPT2466" s="60"/>
      <c r="PPU2466" s="63"/>
      <c r="PPV2466" s="61"/>
      <c r="PPW2466" s="54"/>
      <c r="PPX2466" s="54"/>
      <c r="PPY2466" s="60"/>
      <c r="PPZ2466" s="60"/>
      <c r="PQA2466" s="60"/>
      <c r="PQB2466" s="60"/>
      <c r="PQC2466" s="63"/>
      <c r="PQD2466" s="61"/>
      <c r="PQE2466" s="54"/>
      <c r="PQF2466" s="54"/>
      <c r="PQG2466" s="60"/>
      <c r="PQH2466" s="60"/>
      <c r="PQI2466" s="60"/>
      <c r="PQJ2466" s="60"/>
      <c r="PQK2466" s="63"/>
      <c r="PQL2466" s="61"/>
      <c r="PQM2466" s="54"/>
      <c r="PQN2466" s="54"/>
      <c r="PQO2466" s="60"/>
      <c r="PQP2466" s="60"/>
      <c r="PQQ2466" s="60"/>
      <c r="PQR2466" s="60"/>
      <c r="PQS2466" s="63"/>
      <c r="PQT2466" s="61"/>
      <c r="PQU2466" s="54"/>
      <c r="PQV2466" s="54"/>
      <c r="PQW2466" s="60"/>
      <c r="PQX2466" s="60"/>
      <c r="PQY2466" s="60"/>
      <c r="PQZ2466" s="60"/>
      <c r="PRA2466" s="63"/>
      <c r="PRB2466" s="61"/>
      <c r="PRC2466" s="54"/>
      <c r="PRD2466" s="54"/>
      <c r="PRE2466" s="60"/>
      <c r="PRF2466" s="60"/>
      <c r="PRG2466" s="60"/>
      <c r="PRH2466" s="60"/>
      <c r="PRI2466" s="63"/>
      <c r="PRJ2466" s="61"/>
      <c r="PRK2466" s="54"/>
      <c r="PRL2466" s="54"/>
      <c r="PRM2466" s="60"/>
      <c r="PRN2466" s="60"/>
      <c r="PRO2466" s="60"/>
      <c r="PRP2466" s="60"/>
      <c r="PRQ2466" s="63"/>
      <c r="PRR2466" s="61"/>
      <c r="PRS2466" s="54"/>
      <c r="PRT2466" s="54"/>
      <c r="PRU2466" s="60"/>
      <c r="PRV2466" s="60"/>
      <c r="PRW2466" s="60"/>
      <c r="PRX2466" s="60"/>
      <c r="PRY2466" s="63"/>
      <c r="PRZ2466" s="61"/>
      <c r="PSA2466" s="54"/>
      <c r="PSB2466" s="54"/>
      <c r="PSC2466" s="60"/>
      <c r="PSD2466" s="60"/>
      <c r="PSE2466" s="60"/>
      <c r="PSF2466" s="60"/>
      <c r="PSG2466" s="63"/>
      <c r="PSH2466" s="61"/>
      <c r="PSI2466" s="54"/>
      <c r="PSJ2466" s="54"/>
      <c r="PSK2466" s="60"/>
      <c r="PSL2466" s="60"/>
      <c r="PSM2466" s="60"/>
      <c r="PSN2466" s="60"/>
      <c r="PSO2466" s="63"/>
      <c r="PSP2466" s="61"/>
      <c r="PSQ2466" s="54"/>
      <c r="PSR2466" s="54"/>
      <c r="PSS2466" s="60"/>
      <c r="PST2466" s="60"/>
      <c r="PSU2466" s="60"/>
      <c r="PSV2466" s="60"/>
      <c r="PSW2466" s="63"/>
      <c r="PSX2466" s="61"/>
      <c r="PSY2466" s="54"/>
      <c r="PSZ2466" s="54"/>
      <c r="PTA2466" s="60"/>
      <c r="PTB2466" s="60"/>
      <c r="PTC2466" s="60"/>
      <c r="PTD2466" s="60"/>
      <c r="PTE2466" s="63"/>
      <c r="PTF2466" s="61"/>
      <c r="PTG2466" s="54"/>
      <c r="PTH2466" s="54"/>
      <c r="PTI2466" s="60"/>
      <c r="PTJ2466" s="60"/>
      <c r="PTK2466" s="60"/>
      <c r="PTL2466" s="60"/>
      <c r="PTM2466" s="63"/>
      <c r="PTN2466" s="61"/>
      <c r="PTO2466" s="54"/>
      <c r="PTP2466" s="54"/>
      <c r="PTQ2466" s="60"/>
      <c r="PTR2466" s="60"/>
      <c r="PTS2466" s="60"/>
      <c r="PTT2466" s="60"/>
      <c r="PTU2466" s="63"/>
      <c r="PTV2466" s="61"/>
      <c r="PTW2466" s="54"/>
      <c r="PTX2466" s="54"/>
      <c r="PTY2466" s="60"/>
      <c r="PTZ2466" s="60"/>
      <c r="PUA2466" s="60"/>
      <c r="PUB2466" s="60"/>
      <c r="PUC2466" s="63"/>
      <c r="PUD2466" s="61"/>
      <c r="PUE2466" s="54"/>
      <c r="PUF2466" s="54"/>
      <c r="PUG2466" s="60"/>
      <c r="PUH2466" s="60"/>
      <c r="PUI2466" s="60"/>
      <c r="PUJ2466" s="60"/>
      <c r="PUK2466" s="63"/>
      <c r="PUL2466" s="61"/>
      <c r="PUM2466" s="54"/>
      <c r="PUN2466" s="54"/>
      <c r="PUO2466" s="60"/>
      <c r="PUP2466" s="60"/>
      <c r="PUQ2466" s="60"/>
      <c r="PUR2466" s="60"/>
      <c r="PUS2466" s="63"/>
      <c r="PUT2466" s="61"/>
      <c r="PUU2466" s="54"/>
      <c r="PUV2466" s="54"/>
      <c r="PUW2466" s="60"/>
      <c r="PUX2466" s="60"/>
      <c r="PUY2466" s="60"/>
      <c r="PUZ2466" s="60"/>
      <c r="PVA2466" s="63"/>
      <c r="PVB2466" s="61"/>
      <c r="PVC2466" s="54"/>
      <c r="PVD2466" s="54"/>
      <c r="PVE2466" s="60"/>
      <c r="PVF2466" s="60"/>
      <c r="PVG2466" s="60"/>
      <c r="PVH2466" s="60"/>
      <c r="PVI2466" s="63"/>
      <c r="PVJ2466" s="61"/>
      <c r="PVK2466" s="54"/>
      <c r="PVL2466" s="54"/>
      <c r="PVM2466" s="60"/>
      <c r="PVN2466" s="60"/>
      <c r="PVO2466" s="60"/>
      <c r="PVP2466" s="60"/>
      <c r="PVQ2466" s="63"/>
      <c r="PVR2466" s="61"/>
      <c r="PVS2466" s="54"/>
      <c r="PVT2466" s="54"/>
      <c r="PVU2466" s="60"/>
      <c r="PVV2466" s="60"/>
      <c r="PVW2466" s="60"/>
      <c r="PVX2466" s="60"/>
      <c r="PVY2466" s="63"/>
      <c r="PVZ2466" s="61"/>
      <c r="PWA2466" s="54"/>
      <c r="PWB2466" s="54"/>
      <c r="PWC2466" s="60"/>
      <c r="PWD2466" s="60"/>
      <c r="PWE2466" s="60"/>
      <c r="PWF2466" s="60"/>
      <c r="PWG2466" s="63"/>
      <c r="PWH2466" s="61"/>
      <c r="PWI2466" s="54"/>
      <c r="PWJ2466" s="54"/>
      <c r="PWK2466" s="60"/>
      <c r="PWL2466" s="60"/>
      <c r="PWM2466" s="60"/>
      <c r="PWN2466" s="60"/>
      <c r="PWO2466" s="63"/>
      <c r="PWP2466" s="61"/>
      <c r="PWQ2466" s="54"/>
      <c r="PWR2466" s="54"/>
      <c r="PWS2466" s="60"/>
      <c r="PWT2466" s="60"/>
      <c r="PWU2466" s="60"/>
      <c r="PWV2466" s="60"/>
      <c r="PWW2466" s="63"/>
      <c r="PWX2466" s="61"/>
      <c r="PWY2466" s="54"/>
      <c r="PWZ2466" s="54"/>
      <c r="PXA2466" s="60"/>
      <c r="PXB2466" s="60"/>
      <c r="PXC2466" s="60"/>
      <c r="PXD2466" s="60"/>
      <c r="PXE2466" s="63"/>
      <c r="PXF2466" s="61"/>
      <c r="PXG2466" s="54"/>
      <c r="PXH2466" s="54"/>
      <c r="PXI2466" s="60"/>
      <c r="PXJ2466" s="60"/>
      <c r="PXK2466" s="60"/>
      <c r="PXL2466" s="60"/>
      <c r="PXM2466" s="63"/>
      <c r="PXN2466" s="61"/>
      <c r="PXO2466" s="54"/>
      <c r="PXP2466" s="54"/>
      <c r="PXQ2466" s="60"/>
      <c r="PXR2466" s="60"/>
      <c r="PXS2466" s="60"/>
      <c r="PXT2466" s="60"/>
      <c r="PXU2466" s="63"/>
      <c r="PXV2466" s="61"/>
      <c r="PXW2466" s="54"/>
      <c r="PXX2466" s="54"/>
      <c r="PXY2466" s="60"/>
      <c r="PXZ2466" s="60"/>
      <c r="PYA2466" s="60"/>
      <c r="PYB2466" s="60"/>
      <c r="PYC2466" s="63"/>
      <c r="PYD2466" s="61"/>
      <c r="PYE2466" s="54"/>
      <c r="PYF2466" s="54"/>
      <c r="PYG2466" s="60"/>
      <c r="PYH2466" s="60"/>
      <c r="PYI2466" s="60"/>
      <c r="PYJ2466" s="60"/>
      <c r="PYK2466" s="63"/>
      <c r="PYL2466" s="61"/>
      <c r="PYM2466" s="54"/>
      <c r="PYN2466" s="54"/>
      <c r="PYO2466" s="60"/>
      <c r="PYP2466" s="60"/>
      <c r="PYQ2466" s="60"/>
      <c r="PYR2466" s="60"/>
      <c r="PYS2466" s="63"/>
      <c r="PYT2466" s="61"/>
      <c r="PYU2466" s="54"/>
      <c r="PYV2466" s="54"/>
      <c r="PYW2466" s="60"/>
      <c r="PYX2466" s="60"/>
      <c r="PYY2466" s="60"/>
      <c r="PYZ2466" s="60"/>
      <c r="PZA2466" s="63"/>
      <c r="PZB2466" s="61"/>
      <c r="PZC2466" s="54"/>
      <c r="PZD2466" s="54"/>
      <c r="PZE2466" s="60"/>
      <c r="PZF2466" s="60"/>
      <c r="PZG2466" s="60"/>
      <c r="PZH2466" s="60"/>
      <c r="PZI2466" s="63"/>
      <c r="PZJ2466" s="61"/>
      <c r="PZK2466" s="54"/>
      <c r="PZL2466" s="54"/>
      <c r="PZM2466" s="60"/>
      <c r="PZN2466" s="60"/>
      <c r="PZO2466" s="60"/>
      <c r="PZP2466" s="60"/>
      <c r="PZQ2466" s="63"/>
      <c r="PZR2466" s="61"/>
      <c r="PZS2466" s="54"/>
      <c r="PZT2466" s="54"/>
      <c r="PZU2466" s="60"/>
      <c r="PZV2466" s="60"/>
      <c r="PZW2466" s="60"/>
      <c r="PZX2466" s="60"/>
      <c r="PZY2466" s="63"/>
      <c r="PZZ2466" s="61"/>
      <c r="QAA2466" s="54"/>
      <c r="QAB2466" s="54"/>
      <c r="QAC2466" s="60"/>
      <c r="QAD2466" s="60"/>
      <c r="QAE2466" s="60"/>
      <c r="QAF2466" s="60"/>
      <c r="QAG2466" s="63"/>
      <c r="QAH2466" s="61"/>
      <c r="QAI2466" s="54"/>
      <c r="QAJ2466" s="54"/>
      <c r="QAK2466" s="60"/>
      <c r="QAL2466" s="60"/>
      <c r="QAM2466" s="60"/>
      <c r="QAN2466" s="60"/>
      <c r="QAO2466" s="63"/>
      <c r="QAP2466" s="61"/>
      <c r="QAQ2466" s="54"/>
      <c r="QAR2466" s="54"/>
      <c r="QAS2466" s="60"/>
      <c r="QAT2466" s="60"/>
      <c r="QAU2466" s="60"/>
      <c r="QAV2466" s="60"/>
      <c r="QAW2466" s="63"/>
      <c r="QAX2466" s="61"/>
      <c r="QAY2466" s="54"/>
      <c r="QAZ2466" s="54"/>
      <c r="QBA2466" s="60"/>
      <c r="QBB2466" s="60"/>
      <c r="QBC2466" s="60"/>
      <c r="QBD2466" s="60"/>
      <c r="QBE2466" s="63"/>
      <c r="QBF2466" s="61"/>
      <c r="QBG2466" s="54"/>
      <c r="QBH2466" s="54"/>
      <c r="QBI2466" s="60"/>
      <c r="QBJ2466" s="60"/>
      <c r="QBK2466" s="60"/>
      <c r="QBL2466" s="60"/>
      <c r="QBM2466" s="63"/>
      <c r="QBN2466" s="61"/>
      <c r="QBO2466" s="54"/>
      <c r="QBP2466" s="54"/>
      <c r="QBQ2466" s="60"/>
      <c r="QBR2466" s="60"/>
      <c r="QBS2466" s="60"/>
      <c r="QBT2466" s="60"/>
      <c r="QBU2466" s="63"/>
      <c r="QBV2466" s="61"/>
      <c r="QBW2466" s="54"/>
      <c r="QBX2466" s="54"/>
      <c r="QBY2466" s="60"/>
      <c r="QBZ2466" s="60"/>
      <c r="QCA2466" s="60"/>
      <c r="QCB2466" s="60"/>
      <c r="QCC2466" s="63"/>
      <c r="QCD2466" s="61"/>
      <c r="QCE2466" s="54"/>
      <c r="QCF2466" s="54"/>
      <c r="QCG2466" s="60"/>
      <c r="QCH2466" s="60"/>
      <c r="QCI2466" s="60"/>
      <c r="QCJ2466" s="60"/>
      <c r="QCK2466" s="63"/>
      <c r="QCL2466" s="61"/>
      <c r="QCM2466" s="54"/>
      <c r="QCN2466" s="54"/>
      <c r="QCO2466" s="60"/>
      <c r="QCP2466" s="60"/>
      <c r="QCQ2466" s="60"/>
      <c r="QCR2466" s="60"/>
      <c r="QCS2466" s="63"/>
      <c r="QCT2466" s="61"/>
      <c r="QCU2466" s="54"/>
      <c r="QCV2466" s="54"/>
      <c r="QCW2466" s="60"/>
      <c r="QCX2466" s="60"/>
      <c r="QCY2466" s="60"/>
      <c r="QCZ2466" s="60"/>
      <c r="QDA2466" s="63"/>
      <c r="QDB2466" s="61"/>
      <c r="QDC2466" s="54"/>
      <c r="QDD2466" s="54"/>
      <c r="QDE2466" s="60"/>
      <c r="QDF2466" s="60"/>
      <c r="QDG2466" s="60"/>
      <c r="QDH2466" s="60"/>
      <c r="QDI2466" s="63"/>
      <c r="QDJ2466" s="61"/>
      <c r="QDK2466" s="54"/>
      <c r="QDL2466" s="54"/>
      <c r="QDM2466" s="60"/>
      <c r="QDN2466" s="60"/>
      <c r="QDO2466" s="60"/>
      <c r="QDP2466" s="60"/>
      <c r="QDQ2466" s="63"/>
      <c r="QDR2466" s="61"/>
      <c r="QDS2466" s="54"/>
      <c r="QDT2466" s="54"/>
      <c r="QDU2466" s="60"/>
      <c r="QDV2466" s="60"/>
      <c r="QDW2466" s="60"/>
      <c r="QDX2466" s="60"/>
      <c r="QDY2466" s="63"/>
      <c r="QDZ2466" s="61"/>
      <c r="QEA2466" s="54"/>
      <c r="QEB2466" s="54"/>
      <c r="QEC2466" s="60"/>
      <c r="QED2466" s="60"/>
      <c r="QEE2466" s="60"/>
      <c r="QEF2466" s="60"/>
      <c r="QEG2466" s="63"/>
      <c r="QEH2466" s="61"/>
      <c r="QEI2466" s="54"/>
      <c r="QEJ2466" s="54"/>
      <c r="QEK2466" s="60"/>
      <c r="QEL2466" s="60"/>
      <c r="QEM2466" s="60"/>
      <c r="QEN2466" s="60"/>
      <c r="QEO2466" s="63"/>
      <c r="QEP2466" s="61"/>
      <c r="QEQ2466" s="54"/>
      <c r="QER2466" s="54"/>
      <c r="QES2466" s="60"/>
      <c r="QET2466" s="60"/>
      <c r="QEU2466" s="60"/>
      <c r="QEV2466" s="60"/>
      <c r="QEW2466" s="63"/>
      <c r="QEX2466" s="61"/>
      <c r="QEY2466" s="54"/>
      <c r="QEZ2466" s="54"/>
      <c r="QFA2466" s="60"/>
      <c r="QFB2466" s="60"/>
      <c r="QFC2466" s="60"/>
      <c r="QFD2466" s="60"/>
      <c r="QFE2466" s="63"/>
      <c r="QFF2466" s="61"/>
      <c r="QFG2466" s="54"/>
      <c r="QFH2466" s="54"/>
      <c r="QFI2466" s="60"/>
      <c r="QFJ2466" s="60"/>
      <c r="QFK2466" s="60"/>
      <c r="QFL2466" s="60"/>
      <c r="QFM2466" s="63"/>
      <c r="QFN2466" s="61"/>
      <c r="QFO2466" s="54"/>
      <c r="QFP2466" s="54"/>
      <c r="QFQ2466" s="60"/>
      <c r="QFR2466" s="60"/>
      <c r="QFS2466" s="60"/>
      <c r="QFT2466" s="60"/>
      <c r="QFU2466" s="63"/>
      <c r="QFV2466" s="61"/>
      <c r="QFW2466" s="54"/>
      <c r="QFX2466" s="54"/>
      <c r="QFY2466" s="60"/>
      <c r="QFZ2466" s="60"/>
      <c r="QGA2466" s="60"/>
      <c r="QGB2466" s="60"/>
      <c r="QGC2466" s="63"/>
      <c r="QGD2466" s="61"/>
      <c r="QGE2466" s="54"/>
      <c r="QGF2466" s="54"/>
      <c r="QGG2466" s="60"/>
      <c r="QGH2466" s="60"/>
      <c r="QGI2466" s="60"/>
      <c r="QGJ2466" s="60"/>
      <c r="QGK2466" s="63"/>
      <c r="QGL2466" s="61"/>
      <c r="QGM2466" s="54"/>
      <c r="QGN2466" s="54"/>
      <c r="QGO2466" s="60"/>
      <c r="QGP2466" s="60"/>
      <c r="QGQ2466" s="60"/>
      <c r="QGR2466" s="60"/>
      <c r="QGS2466" s="63"/>
      <c r="QGT2466" s="61"/>
      <c r="QGU2466" s="54"/>
      <c r="QGV2466" s="54"/>
      <c r="QGW2466" s="60"/>
      <c r="QGX2466" s="60"/>
      <c r="QGY2466" s="60"/>
      <c r="QGZ2466" s="60"/>
      <c r="QHA2466" s="63"/>
      <c r="QHB2466" s="61"/>
      <c r="QHC2466" s="54"/>
      <c r="QHD2466" s="54"/>
      <c r="QHE2466" s="60"/>
      <c r="QHF2466" s="60"/>
      <c r="QHG2466" s="60"/>
      <c r="QHH2466" s="60"/>
      <c r="QHI2466" s="63"/>
      <c r="QHJ2466" s="61"/>
      <c r="QHK2466" s="54"/>
      <c r="QHL2466" s="54"/>
      <c r="QHM2466" s="60"/>
      <c r="QHN2466" s="60"/>
      <c r="QHO2466" s="60"/>
      <c r="QHP2466" s="60"/>
      <c r="QHQ2466" s="63"/>
      <c r="QHR2466" s="61"/>
      <c r="QHS2466" s="54"/>
      <c r="QHT2466" s="54"/>
      <c r="QHU2466" s="60"/>
      <c r="QHV2466" s="60"/>
      <c r="QHW2466" s="60"/>
      <c r="QHX2466" s="60"/>
      <c r="QHY2466" s="63"/>
      <c r="QHZ2466" s="61"/>
      <c r="QIA2466" s="54"/>
      <c r="QIB2466" s="54"/>
      <c r="QIC2466" s="60"/>
      <c r="QID2466" s="60"/>
      <c r="QIE2466" s="60"/>
      <c r="QIF2466" s="60"/>
      <c r="QIG2466" s="63"/>
      <c r="QIH2466" s="61"/>
      <c r="QII2466" s="54"/>
      <c r="QIJ2466" s="54"/>
      <c r="QIK2466" s="60"/>
      <c r="QIL2466" s="60"/>
      <c r="QIM2466" s="60"/>
      <c r="QIN2466" s="60"/>
      <c r="QIO2466" s="63"/>
      <c r="QIP2466" s="61"/>
      <c r="QIQ2466" s="54"/>
      <c r="QIR2466" s="54"/>
      <c r="QIS2466" s="60"/>
      <c r="QIT2466" s="60"/>
      <c r="QIU2466" s="60"/>
      <c r="QIV2466" s="60"/>
      <c r="QIW2466" s="63"/>
      <c r="QIX2466" s="61"/>
      <c r="QIY2466" s="54"/>
      <c r="QIZ2466" s="54"/>
      <c r="QJA2466" s="60"/>
      <c r="QJB2466" s="60"/>
      <c r="QJC2466" s="60"/>
      <c r="QJD2466" s="60"/>
      <c r="QJE2466" s="63"/>
      <c r="QJF2466" s="61"/>
      <c r="QJG2466" s="54"/>
      <c r="QJH2466" s="54"/>
      <c r="QJI2466" s="60"/>
      <c r="QJJ2466" s="60"/>
      <c r="QJK2466" s="60"/>
      <c r="QJL2466" s="60"/>
      <c r="QJM2466" s="63"/>
      <c r="QJN2466" s="61"/>
      <c r="QJO2466" s="54"/>
      <c r="QJP2466" s="54"/>
      <c r="QJQ2466" s="60"/>
      <c r="QJR2466" s="60"/>
      <c r="QJS2466" s="60"/>
      <c r="QJT2466" s="60"/>
      <c r="QJU2466" s="63"/>
      <c r="QJV2466" s="61"/>
      <c r="QJW2466" s="54"/>
      <c r="QJX2466" s="54"/>
      <c r="QJY2466" s="60"/>
      <c r="QJZ2466" s="60"/>
      <c r="QKA2466" s="60"/>
      <c r="QKB2466" s="60"/>
      <c r="QKC2466" s="63"/>
      <c r="QKD2466" s="61"/>
      <c r="QKE2466" s="54"/>
      <c r="QKF2466" s="54"/>
      <c r="QKG2466" s="60"/>
      <c r="QKH2466" s="60"/>
      <c r="QKI2466" s="60"/>
      <c r="QKJ2466" s="60"/>
      <c r="QKK2466" s="63"/>
      <c r="QKL2466" s="61"/>
      <c r="QKM2466" s="54"/>
      <c r="QKN2466" s="54"/>
      <c r="QKO2466" s="60"/>
      <c r="QKP2466" s="60"/>
      <c r="QKQ2466" s="60"/>
      <c r="QKR2466" s="60"/>
      <c r="QKS2466" s="63"/>
      <c r="QKT2466" s="61"/>
      <c r="QKU2466" s="54"/>
      <c r="QKV2466" s="54"/>
      <c r="QKW2466" s="60"/>
      <c r="QKX2466" s="60"/>
      <c r="QKY2466" s="60"/>
      <c r="QKZ2466" s="60"/>
      <c r="QLA2466" s="63"/>
      <c r="QLB2466" s="61"/>
      <c r="QLC2466" s="54"/>
      <c r="QLD2466" s="54"/>
      <c r="QLE2466" s="60"/>
      <c r="QLF2466" s="60"/>
      <c r="QLG2466" s="60"/>
      <c r="QLH2466" s="60"/>
      <c r="QLI2466" s="63"/>
      <c r="QLJ2466" s="61"/>
      <c r="QLK2466" s="54"/>
      <c r="QLL2466" s="54"/>
      <c r="QLM2466" s="60"/>
      <c r="QLN2466" s="60"/>
      <c r="QLO2466" s="60"/>
      <c r="QLP2466" s="60"/>
      <c r="QLQ2466" s="63"/>
      <c r="QLR2466" s="61"/>
      <c r="QLS2466" s="54"/>
      <c r="QLT2466" s="54"/>
      <c r="QLU2466" s="60"/>
      <c r="QLV2466" s="60"/>
      <c r="QLW2466" s="60"/>
      <c r="QLX2466" s="60"/>
      <c r="QLY2466" s="63"/>
      <c r="QLZ2466" s="61"/>
      <c r="QMA2466" s="54"/>
      <c r="QMB2466" s="54"/>
      <c r="QMC2466" s="60"/>
      <c r="QMD2466" s="60"/>
      <c r="QME2466" s="60"/>
      <c r="QMF2466" s="60"/>
      <c r="QMG2466" s="63"/>
      <c r="QMH2466" s="61"/>
      <c r="QMI2466" s="54"/>
      <c r="QMJ2466" s="54"/>
      <c r="QMK2466" s="60"/>
      <c r="QML2466" s="60"/>
      <c r="QMM2466" s="60"/>
      <c r="QMN2466" s="60"/>
      <c r="QMO2466" s="63"/>
      <c r="QMP2466" s="61"/>
      <c r="QMQ2466" s="54"/>
      <c r="QMR2466" s="54"/>
      <c r="QMS2466" s="60"/>
      <c r="QMT2466" s="60"/>
      <c r="QMU2466" s="60"/>
      <c r="QMV2466" s="60"/>
      <c r="QMW2466" s="63"/>
      <c r="QMX2466" s="61"/>
      <c r="QMY2466" s="54"/>
      <c r="QMZ2466" s="54"/>
      <c r="QNA2466" s="60"/>
      <c r="QNB2466" s="60"/>
      <c r="QNC2466" s="60"/>
      <c r="QND2466" s="60"/>
      <c r="QNE2466" s="63"/>
      <c r="QNF2466" s="61"/>
      <c r="QNG2466" s="54"/>
      <c r="QNH2466" s="54"/>
      <c r="QNI2466" s="60"/>
      <c r="QNJ2466" s="60"/>
      <c r="QNK2466" s="60"/>
      <c r="QNL2466" s="60"/>
      <c r="QNM2466" s="63"/>
      <c r="QNN2466" s="61"/>
      <c r="QNO2466" s="54"/>
      <c r="QNP2466" s="54"/>
      <c r="QNQ2466" s="60"/>
      <c r="QNR2466" s="60"/>
      <c r="QNS2466" s="60"/>
      <c r="QNT2466" s="60"/>
      <c r="QNU2466" s="63"/>
      <c r="QNV2466" s="61"/>
      <c r="QNW2466" s="54"/>
      <c r="QNX2466" s="54"/>
      <c r="QNY2466" s="60"/>
      <c r="QNZ2466" s="60"/>
      <c r="QOA2466" s="60"/>
      <c r="QOB2466" s="60"/>
      <c r="QOC2466" s="63"/>
      <c r="QOD2466" s="61"/>
      <c r="QOE2466" s="54"/>
      <c r="QOF2466" s="54"/>
      <c r="QOG2466" s="60"/>
      <c r="QOH2466" s="60"/>
      <c r="QOI2466" s="60"/>
      <c r="QOJ2466" s="60"/>
      <c r="QOK2466" s="63"/>
      <c r="QOL2466" s="61"/>
      <c r="QOM2466" s="54"/>
      <c r="QON2466" s="54"/>
      <c r="QOO2466" s="60"/>
      <c r="QOP2466" s="60"/>
      <c r="QOQ2466" s="60"/>
      <c r="QOR2466" s="60"/>
      <c r="QOS2466" s="63"/>
      <c r="QOT2466" s="61"/>
      <c r="QOU2466" s="54"/>
      <c r="QOV2466" s="54"/>
      <c r="QOW2466" s="60"/>
      <c r="QOX2466" s="60"/>
      <c r="QOY2466" s="60"/>
      <c r="QOZ2466" s="60"/>
      <c r="QPA2466" s="63"/>
      <c r="QPB2466" s="61"/>
      <c r="QPC2466" s="54"/>
      <c r="QPD2466" s="54"/>
      <c r="QPE2466" s="60"/>
      <c r="QPF2466" s="60"/>
      <c r="QPG2466" s="60"/>
      <c r="QPH2466" s="60"/>
      <c r="QPI2466" s="63"/>
      <c r="QPJ2466" s="61"/>
      <c r="QPK2466" s="54"/>
      <c r="QPL2466" s="54"/>
      <c r="QPM2466" s="60"/>
      <c r="QPN2466" s="60"/>
      <c r="QPO2466" s="60"/>
      <c r="QPP2466" s="60"/>
      <c r="QPQ2466" s="63"/>
      <c r="QPR2466" s="61"/>
      <c r="QPS2466" s="54"/>
      <c r="QPT2466" s="54"/>
      <c r="QPU2466" s="60"/>
      <c r="QPV2466" s="60"/>
      <c r="QPW2466" s="60"/>
      <c r="QPX2466" s="60"/>
      <c r="QPY2466" s="63"/>
      <c r="QPZ2466" s="61"/>
      <c r="QQA2466" s="54"/>
      <c r="QQB2466" s="54"/>
      <c r="QQC2466" s="60"/>
      <c r="QQD2466" s="60"/>
      <c r="QQE2466" s="60"/>
      <c r="QQF2466" s="60"/>
      <c r="QQG2466" s="63"/>
      <c r="QQH2466" s="61"/>
      <c r="QQI2466" s="54"/>
      <c r="QQJ2466" s="54"/>
      <c r="QQK2466" s="60"/>
      <c r="QQL2466" s="60"/>
      <c r="QQM2466" s="60"/>
      <c r="QQN2466" s="60"/>
      <c r="QQO2466" s="63"/>
      <c r="QQP2466" s="61"/>
      <c r="QQQ2466" s="54"/>
      <c r="QQR2466" s="54"/>
      <c r="QQS2466" s="60"/>
      <c r="QQT2466" s="60"/>
      <c r="QQU2466" s="60"/>
      <c r="QQV2466" s="60"/>
      <c r="QQW2466" s="63"/>
      <c r="QQX2466" s="61"/>
      <c r="QQY2466" s="54"/>
      <c r="QQZ2466" s="54"/>
      <c r="QRA2466" s="60"/>
      <c r="QRB2466" s="60"/>
      <c r="QRC2466" s="60"/>
      <c r="QRD2466" s="60"/>
      <c r="QRE2466" s="63"/>
      <c r="QRF2466" s="61"/>
      <c r="QRG2466" s="54"/>
      <c r="QRH2466" s="54"/>
      <c r="QRI2466" s="60"/>
      <c r="QRJ2466" s="60"/>
      <c r="QRK2466" s="60"/>
      <c r="QRL2466" s="60"/>
      <c r="QRM2466" s="63"/>
      <c r="QRN2466" s="61"/>
      <c r="QRO2466" s="54"/>
      <c r="QRP2466" s="54"/>
      <c r="QRQ2466" s="60"/>
      <c r="QRR2466" s="60"/>
      <c r="QRS2466" s="60"/>
      <c r="QRT2466" s="60"/>
      <c r="QRU2466" s="63"/>
      <c r="QRV2466" s="61"/>
      <c r="QRW2466" s="54"/>
      <c r="QRX2466" s="54"/>
      <c r="QRY2466" s="60"/>
      <c r="QRZ2466" s="60"/>
      <c r="QSA2466" s="60"/>
      <c r="QSB2466" s="60"/>
      <c r="QSC2466" s="63"/>
      <c r="QSD2466" s="61"/>
      <c r="QSE2466" s="54"/>
      <c r="QSF2466" s="54"/>
      <c r="QSG2466" s="60"/>
      <c r="QSH2466" s="60"/>
      <c r="QSI2466" s="60"/>
      <c r="QSJ2466" s="60"/>
      <c r="QSK2466" s="63"/>
      <c r="QSL2466" s="61"/>
      <c r="QSM2466" s="54"/>
      <c r="QSN2466" s="54"/>
      <c r="QSO2466" s="60"/>
      <c r="QSP2466" s="60"/>
      <c r="QSQ2466" s="60"/>
      <c r="QSR2466" s="60"/>
      <c r="QSS2466" s="63"/>
      <c r="QST2466" s="61"/>
      <c r="QSU2466" s="54"/>
      <c r="QSV2466" s="54"/>
      <c r="QSW2466" s="60"/>
      <c r="QSX2466" s="60"/>
      <c r="QSY2466" s="60"/>
      <c r="QSZ2466" s="60"/>
      <c r="QTA2466" s="63"/>
      <c r="QTB2466" s="61"/>
      <c r="QTC2466" s="54"/>
      <c r="QTD2466" s="54"/>
      <c r="QTE2466" s="60"/>
      <c r="QTF2466" s="60"/>
      <c r="QTG2466" s="60"/>
      <c r="QTH2466" s="60"/>
      <c r="QTI2466" s="63"/>
      <c r="QTJ2466" s="61"/>
      <c r="QTK2466" s="54"/>
      <c r="QTL2466" s="54"/>
      <c r="QTM2466" s="60"/>
      <c r="QTN2466" s="60"/>
      <c r="QTO2466" s="60"/>
      <c r="QTP2466" s="60"/>
      <c r="QTQ2466" s="63"/>
      <c r="QTR2466" s="61"/>
      <c r="QTS2466" s="54"/>
      <c r="QTT2466" s="54"/>
      <c r="QTU2466" s="60"/>
      <c r="QTV2466" s="60"/>
      <c r="QTW2466" s="60"/>
      <c r="QTX2466" s="60"/>
      <c r="QTY2466" s="63"/>
      <c r="QTZ2466" s="61"/>
      <c r="QUA2466" s="54"/>
      <c r="QUB2466" s="54"/>
      <c r="QUC2466" s="60"/>
      <c r="QUD2466" s="60"/>
      <c r="QUE2466" s="60"/>
      <c r="QUF2466" s="60"/>
      <c r="QUG2466" s="63"/>
      <c r="QUH2466" s="61"/>
      <c r="QUI2466" s="54"/>
      <c r="QUJ2466" s="54"/>
      <c r="QUK2466" s="60"/>
      <c r="QUL2466" s="60"/>
      <c r="QUM2466" s="60"/>
      <c r="QUN2466" s="60"/>
      <c r="QUO2466" s="63"/>
      <c r="QUP2466" s="61"/>
      <c r="QUQ2466" s="54"/>
      <c r="QUR2466" s="54"/>
      <c r="QUS2466" s="60"/>
      <c r="QUT2466" s="60"/>
      <c r="QUU2466" s="60"/>
      <c r="QUV2466" s="60"/>
      <c r="QUW2466" s="63"/>
      <c r="QUX2466" s="61"/>
      <c r="QUY2466" s="54"/>
      <c r="QUZ2466" s="54"/>
      <c r="QVA2466" s="60"/>
      <c r="QVB2466" s="60"/>
      <c r="QVC2466" s="60"/>
      <c r="QVD2466" s="60"/>
      <c r="QVE2466" s="63"/>
      <c r="QVF2466" s="61"/>
      <c r="QVG2466" s="54"/>
      <c r="QVH2466" s="54"/>
      <c r="QVI2466" s="60"/>
      <c r="QVJ2466" s="60"/>
      <c r="QVK2466" s="60"/>
      <c r="QVL2466" s="60"/>
      <c r="QVM2466" s="63"/>
      <c r="QVN2466" s="61"/>
      <c r="QVO2466" s="54"/>
      <c r="QVP2466" s="54"/>
      <c r="QVQ2466" s="60"/>
      <c r="QVR2466" s="60"/>
      <c r="QVS2466" s="60"/>
      <c r="QVT2466" s="60"/>
      <c r="QVU2466" s="63"/>
      <c r="QVV2466" s="61"/>
      <c r="QVW2466" s="54"/>
      <c r="QVX2466" s="54"/>
      <c r="QVY2466" s="60"/>
      <c r="QVZ2466" s="60"/>
      <c r="QWA2466" s="60"/>
      <c r="QWB2466" s="60"/>
      <c r="QWC2466" s="63"/>
      <c r="QWD2466" s="61"/>
      <c r="QWE2466" s="54"/>
      <c r="QWF2466" s="54"/>
      <c r="QWG2466" s="60"/>
      <c r="QWH2466" s="60"/>
      <c r="QWI2466" s="60"/>
      <c r="QWJ2466" s="60"/>
      <c r="QWK2466" s="63"/>
      <c r="QWL2466" s="61"/>
      <c r="QWM2466" s="54"/>
      <c r="QWN2466" s="54"/>
      <c r="QWO2466" s="60"/>
      <c r="QWP2466" s="60"/>
      <c r="QWQ2466" s="60"/>
      <c r="QWR2466" s="60"/>
      <c r="QWS2466" s="63"/>
      <c r="QWT2466" s="61"/>
      <c r="QWU2466" s="54"/>
      <c r="QWV2466" s="54"/>
      <c r="QWW2466" s="60"/>
      <c r="QWX2466" s="60"/>
      <c r="QWY2466" s="60"/>
      <c r="QWZ2466" s="60"/>
      <c r="QXA2466" s="63"/>
      <c r="QXB2466" s="61"/>
      <c r="QXC2466" s="54"/>
      <c r="QXD2466" s="54"/>
      <c r="QXE2466" s="60"/>
      <c r="QXF2466" s="60"/>
      <c r="QXG2466" s="60"/>
      <c r="QXH2466" s="60"/>
      <c r="QXI2466" s="63"/>
      <c r="QXJ2466" s="61"/>
      <c r="QXK2466" s="54"/>
      <c r="QXL2466" s="54"/>
      <c r="QXM2466" s="60"/>
      <c r="QXN2466" s="60"/>
      <c r="QXO2466" s="60"/>
      <c r="QXP2466" s="60"/>
      <c r="QXQ2466" s="63"/>
      <c r="QXR2466" s="61"/>
      <c r="QXS2466" s="54"/>
      <c r="QXT2466" s="54"/>
      <c r="QXU2466" s="60"/>
      <c r="QXV2466" s="60"/>
      <c r="QXW2466" s="60"/>
      <c r="QXX2466" s="60"/>
      <c r="QXY2466" s="63"/>
      <c r="QXZ2466" s="61"/>
      <c r="QYA2466" s="54"/>
      <c r="QYB2466" s="54"/>
      <c r="QYC2466" s="60"/>
      <c r="QYD2466" s="60"/>
      <c r="QYE2466" s="60"/>
      <c r="QYF2466" s="60"/>
      <c r="QYG2466" s="63"/>
      <c r="QYH2466" s="61"/>
      <c r="QYI2466" s="54"/>
      <c r="QYJ2466" s="54"/>
      <c r="QYK2466" s="60"/>
      <c r="QYL2466" s="60"/>
      <c r="QYM2466" s="60"/>
      <c r="QYN2466" s="60"/>
      <c r="QYO2466" s="63"/>
      <c r="QYP2466" s="61"/>
      <c r="QYQ2466" s="54"/>
      <c r="QYR2466" s="54"/>
      <c r="QYS2466" s="60"/>
      <c r="QYT2466" s="60"/>
      <c r="QYU2466" s="60"/>
      <c r="QYV2466" s="60"/>
      <c r="QYW2466" s="63"/>
      <c r="QYX2466" s="61"/>
      <c r="QYY2466" s="54"/>
      <c r="QYZ2466" s="54"/>
      <c r="QZA2466" s="60"/>
      <c r="QZB2466" s="60"/>
      <c r="QZC2466" s="60"/>
      <c r="QZD2466" s="60"/>
      <c r="QZE2466" s="63"/>
      <c r="QZF2466" s="61"/>
      <c r="QZG2466" s="54"/>
      <c r="QZH2466" s="54"/>
      <c r="QZI2466" s="60"/>
      <c r="QZJ2466" s="60"/>
      <c r="QZK2466" s="60"/>
      <c r="QZL2466" s="60"/>
      <c r="QZM2466" s="63"/>
      <c r="QZN2466" s="61"/>
      <c r="QZO2466" s="54"/>
      <c r="QZP2466" s="54"/>
      <c r="QZQ2466" s="60"/>
      <c r="QZR2466" s="60"/>
      <c r="QZS2466" s="60"/>
      <c r="QZT2466" s="60"/>
      <c r="QZU2466" s="63"/>
      <c r="QZV2466" s="61"/>
      <c r="QZW2466" s="54"/>
      <c r="QZX2466" s="54"/>
      <c r="QZY2466" s="60"/>
      <c r="QZZ2466" s="60"/>
      <c r="RAA2466" s="60"/>
      <c r="RAB2466" s="60"/>
      <c r="RAC2466" s="63"/>
      <c r="RAD2466" s="61"/>
      <c r="RAE2466" s="54"/>
      <c r="RAF2466" s="54"/>
      <c r="RAG2466" s="60"/>
      <c r="RAH2466" s="60"/>
      <c r="RAI2466" s="60"/>
      <c r="RAJ2466" s="60"/>
      <c r="RAK2466" s="63"/>
      <c r="RAL2466" s="61"/>
      <c r="RAM2466" s="54"/>
      <c r="RAN2466" s="54"/>
      <c r="RAO2466" s="60"/>
      <c r="RAP2466" s="60"/>
      <c r="RAQ2466" s="60"/>
      <c r="RAR2466" s="60"/>
      <c r="RAS2466" s="63"/>
      <c r="RAT2466" s="61"/>
      <c r="RAU2466" s="54"/>
      <c r="RAV2466" s="54"/>
      <c r="RAW2466" s="60"/>
      <c r="RAX2466" s="60"/>
      <c r="RAY2466" s="60"/>
      <c r="RAZ2466" s="60"/>
      <c r="RBA2466" s="63"/>
      <c r="RBB2466" s="61"/>
      <c r="RBC2466" s="54"/>
      <c r="RBD2466" s="54"/>
      <c r="RBE2466" s="60"/>
      <c r="RBF2466" s="60"/>
      <c r="RBG2466" s="60"/>
      <c r="RBH2466" s="60"/>
      <c r="RBI2466" s="63"/>
      <c r="RBJ2466" s="61"/>
      <c r="RBK2466" s="54"/>
      <c r="RBL2466" s="54"/>
      <c r="RBM2466" s="60"/>
      <c r="RBN2466" s="60"/>
      <c r="RBO2466" s="60"/>
      <c r="RBP2466" s="60"/>
      <c r="RBQ2466" s="63"/>
      <c r="RBR2466" s="61"/>
      <c r="RBS2466" s="54"/>
      <c r="RBT2466" s="54"/>
      <c r="RBU2466" s="60"/>
      <c r="RBV2466" s="60"/>
      <c r="RBW2466" s="60"/>
      <c r="RBX2466" s="60"/>
      <c r="RBY2466" s="63"/>
      <c r="RBZ2466" s="61"/>
      <c r="RCA2466" s="54"/>
      <c r="RCB2466" s="54"/>
      <c r="RCC2466" s="60"/>
      <c r="RCD2466" s="60"/>
      <c r="RCE2466" s="60"/>
      <c r="RCF2466" s="60"/>
      <c r="RCG2466" s="63"/>
      <c r="RCH2466" s="61"/>
      <c r="RCI2466" s="54"/>
      <c r="RCJ2466" s="54"/>
      <c r="RCK2466" s="60"/>
      <c r="RCL2466" s="60"/>
      <c r="RCM2466" s="60"/>
      <c r="RCN2466" s="60"/>
      <c r="RCO2466" s="63"/>
      <c r="RCP2466" s="61"/>
      <c r="RCQ2466" s="54"/>
      <c r="RCR2466" s="54"/>
      <c r="RCS2466" s="60"/>
      <c r="RCT2466" s="60"/>
      <c r="RCU2466" s="60"/>
      <c r="RCV2466" s="60"/>
      <c r="RCW2466" s="63"/>
      <c r="RCX2466" s="61"/>
      <c r="RCY2466" s="54"/>
      <c r="RCZ2466" s="54"/>
      <c r="RDA2466" s="60"/>
      <c r="RDB2466" s="60"/>
      <c r="RDC2466" s="60"/>
      <c r="RDD2466" s="60"/>
      <c r="RDE2466" s="63"/>
      <c r="RDF2466" s="61"/>
      <c r="RDG2466" s="54"/>
      <c r="RDH2466" s="54"/>
      <c r="RDI2466" s="60"/>
      <c r="RDJ2466" s="60"/>
      <c r="RDK2466" s="60"/>
      <c r="RDL2466" s="60"/>
      <c r="RDM2466" s="63"/>
      <c r="RDN2466" s="61"/>
      <c r="RDO2466" s="54"/>
      <c r="RDP2466" s="54"/>
      <c r="RDQ2466" s="60"/>
      <c r="RDR2466" s="60"/>
      <c r="RDS2466" s="60"/>
      <c r="RDT2466" s="60"/>
      <c r="RDU2466" s="63"/>
      <c r="RDV2466" s="61"/>
      <c r="RDW2466" s="54"/>
      <c r="RDX2466" s="54"/>
      <c r="RDY2466" s="60"/>
      <c r="RDZ2466" s="60"/>
      <c r="REA2466" s="60"/>
      <c r="REB2466" s="60"/>
      <c r="REC2466" s="63"/>
      <c r="RED2466" s="61"/>
      <c r="REE2466" s="54"/>
      <c r="REF2466" s="54"/>
      <c r="REG2466" s="60"/>
      <c r="REH2466" s="60"/>
      <c r="REI2466" s="60"/>
      <c r="REJ2466" s="60"/>
      <c r="REK2466" s="63"/>
      <c r="REL2466" s="61"/>
      <c r="REM2466" s="54"/>
      <c r="REN2466" s="54"/>
      <c r="REO2466" s="60"/>
      <c r="REP2466" s="60"/>
      <c r="REQ2466" s="60"/>
      <c r="RER2466" s="60"/>
      <c r="RES2466" s="63"/>
      <c r="RET2466" s="61"/>
      <c r="REU2466" s="54"/>
      <c r="REV2466" s="54"/>
      <c r="REW2466" s="60"/>
      <c r="REX2466" s="60"/>
      <c r="REY2466" s="60"/>
      <c r="REZ2466" s="60"/>
      <c r="RFA2466" s="63"/>
      <c r="RFB2466" s="61"/>
      <c r="RFC2466" s="54"/>
      <c r="RFD2466" s="54"/>
      <c r="RFE2466" s="60"/>
      <c r="RFF2466" s="60"/>
      <c r="RFG2466" s="60"/>
      <c r="RFH2466" s="60"/>
      <c r="RFI2466" s="63"/>
      <c r="RFJ2466" s="61"/>
      <c r="RFK2466" s="54"/>
      <c r="RFL2466" s="54"/>
      <c r="RFM2466" s="60"/>
      <c r="RFN2466" s="60"/>
      <c r="RFO2466" s="60"/>
      <c r="RFP2466" s="60"/>
      <c r="RFQ2466" s="63"/>
      <c r="RFR2466" s="61"/>
      <c r="RFS2466" s="54"/>
      <c r="RFT2466" s="54"/>
      <c r="RFU2466" s="60"/>
      <c r="RFV2466" s="60"/>
      <c r="RFW2466" s="60"/>
      <c r="RFX2466" s="60"/>
      <c r="RFY2466" s="63"/>
      <c r="RFZ2466" s="61"/>
      <c r="RGA2466" s="54"/>
      <c r="RGB2466" s="54"/>
      <c r="RGC2466" s="60"/>
      <c r="RGD2466" s="60"/>
      <c r="RGE2466" s="60"/>
      <c r="RGF2466" s="60"/>
      <c r="RGG2466" s="63"/>
      <c r="RGH2466" s="61"/>
      <c r="RGI2466" s="54"/>
      <c r="RGJ2466" s="54"/>
      <c r="RGK2466" s="60"/>
      <c r="RGL2466" s="60"/>
      <c r="RGM2466" s="60"/>
      <c r="RGN2466" s="60"/>
      <c r="RGO2466" s="63"/>
      <c r="RGP2466" s="61"/>
      <c r="RGQ2466" s="54"/>
      <c r="RGR2466" s="54"/>
      <c r="RGS2466" s="60"/>
      <c r="RGT2466" s="60"/>
      <c r="RGU2466" s="60"/>
      <c r="RGV2466" s="60"/>
      <c r="RGW2466" s="63"/>
      <c r="RGX2466" s="61"/>
      <c r="RGY2466" s="54"/>
      <c r="RGZ2466" s="54"/>
      <c r="RHA2466" s="60"/>
      <c r="RHB2466" s="60"/>
      <c r="RHC2466" s="60"/>
      <c r="RHD2466" s="60"/>
      <c r="RHE2466" s="63"/>
      <c r="RHF2466" s="61"/>
      <c r="RHG2466" s="54"/>
      <c r="RHH2466" s="54"/>
      <c r="RHI2466" s="60"/>
      <c r="RHJ2466" s="60"/>
      <c r="RHK2466" s="60"/>
      <c r="RHL2466" s="60"/>
      <c r="RHM2466" s="63"/>
      <c r="RHN2466" s="61"/>
      <c r="RHO2466" s="54"/>
      <c r="RHP2466" s="54"/>
      <c r="RHQ2466" s="60"/>
      <c r="RHR2466" s="60"/>
      <c r="RHS2466" s="60"/>
      <c r="RHT2466" s="60"/>
      <c r="RHU2466" s="63"/>
      <c r="RHV2466" s="61"/>
      <c r="RHW2466" s="54"/>
      <c r="RHX2466" s="54"/>
      <c r="RHY2466" s="60"/>
      <c r="RHZ2466" s="60"/>
      <c r="RIA2466" s="60"/>
      <c r="RIB2466" s="60"/>
      <c r="RIC2466" s="63"/>
      <c r="RID2466" s="61"/>
      <c r="RIE2466" s="54"/>
      <c r="RIF2466" s="54"/>
      <c r="RIG2466" s="60"/>
      <c r="RIH2466" s="60"/>
      <c r="RII2466" s="60"/>
      <c r="RIJ2466" s="60"/>
      <c r="RIK2466" s="63"/>
      <c r="RIL2466" s="61"/>
      <c r="RIM2466" s="54"/>
      <c r="RIN2466" s="54"/>
      <c r="RIO2466" s="60"/>
      <c r="RIP2466" s="60"/>
      <c r="RIQ2466" s="60"/>
      <c r="RIR2466" s="60"/>
      <c r="RIS2466" s="63"/>
      <c r="RIT2466" s="61"/>
      <c r="RIU2466" s="54"/>
      <c r="RIV2466" s="54"/>
      <c r="RIW2466" s="60"/>
      <c r="RIX2466" s="60"/>
      <c r="RIY2466" s="60"/>
      <c r="RIZ2466" s="60"/>
      <c r="RJA2466" s="63"/>
      <c r="RJB2466" s="61"/>
      <c r="RJC2466" s="54"/>
      <c r="RJD2466" s="54"/>
      <c r="RJE2466" s="60"/>
      <c r="RJF2466" s="60"/>
      <c r="RJG2466" s="60"/>
      <c r="RJH2466" s="60"/>
      <c r="RJI2466" s="63"/>
      <c r="RJJ2466" s="61"/>
      <c r="RJK2466" s="54"/>
      <c r="RJL2466" s="54"/>
      <c r="RJM2466" s="60"/>
      <c r="RJN2466" s="60"/>
      <c r="RJO2466" s="60"/>
      <c r="RJP2466" s="60"/>
      <c r="RJQ2466" s="63"/>
      <c r="RJR2466" s="61"/>
      <c r="RJS2466" s="54"/>
      <c r="RJT2466" s="54"/>
      <c r="RJU2466" s="60"/>
      <c r="RJV2466" s="60"/>
      <c r="RJW2466" s="60"/>
      <c r="RJX2466" s="60"/>
      <c r="RJY2466" s="63"/>
      <c r="RJZ2466" s="61"/>
      <c r="RKA2466" s="54"/>
      <c r="RKB2466" s="54"/>
      <c r="RKC2466" s="60"/>
      <c r="RKD2466" s="60"/>
      <c r="RKE2466" s="60"/>
      <c r="RKF2466" s="60"/>
      <c r="RKG2466" s="63"/>
      <c r="RKH2466" s="61"/>
      <c r="RKI2466" s="54"/>
      <c r="RKJ2466" s="54"/>
      <c r="RKK2466" s="60"/>
      <c r="RKL2466" s="60"/>
      <c r="RKM2466" s="60"/>
      <c r="RKN2466" s="60"/>
      <c r="RKO2466" s="63"/>
      <c r="RKP2466" s="61"/>
      <c r="RKQ2466" s="54"/>
      <c r="RKR2466" s="54"/>
      <c r="RKS2466" s="60"/>
      <c r="RKT2466" s="60"/>
      <c r="RKU2466" s="60"/>
      <c r="RKV2466" s="60"/>
      <c r="RKW2466" s="63"/>
      <c r="RKX2466" s="61"/>
      <c r="RKY2466" s="54"/>
      <c r="RKZ2466" s="54"/>
      <c r="RLA2466" s="60"/>
      <c r="RLB2466" s="60"/>
      <c r="RLC2466" s="60"/>
      <c r="RLD2466" s="60"/>
      <c r="RLE2466" s="63"/>
      <c r="RLF2466" s="61"/>
      <c r="RLG2466" s="54"/>
      <c r="RLH2466" s="54"/>
      <c r="RLI2466" s="60"/>
      <c r="RLJ2466" s="60"/>
      <c r="RLK2466" s="60"/>
      <c r="RLL2466" s="60"/>
      <c r="RLM2466" s="63"/>
      <c r="RLN2466" s="61"/>
      <c r="RLO2466" s="54"/>
      <c r="RLP2466" s="54"/>
      <c r="RLQ2466" s="60"/>
      <c r="RLR2466" s="60"/>
      <c r="RLS2466" s="60"/>
      <c r="RLT2466" s="60"/>
      <c r="RLU2466" s="63"/>
      <c r="RLV2466" s="61"/>
      <c r="RLW2466" s="54"/>
      <c r="RLX2466" s="54"/>
      <c r="RLY2466" s="60"/>
      <c r="RLZ2466" s="60"/>
      <c r="RMA2466" s="60"/>
      <c r="RMB2466" s="60"/>
      <c r="RMC2466" s="63"/>
      <c r="RMD2466" s="61"/>
      <c r="RME2466" s="54"/>
      <c r="RMF2466" s="54"/>
      <c r="RMG2466" s="60"/>
      <c r="RMH2466" s="60"/>
      <c r="RMI2466" s="60"/>
      <c r="RMJ2466" s="60"/>
      <c r="RMK2466" s="63"/>
      <c r="RML2466" s="61"/>
      <c r="RMM2466" s="54"/>
      <c r="RMN2466" s="54"/>
      <c r="RMO2466" s="60"/>
      <c r="RMP2466" s="60"/>
      <c r="RMQ2466" s="60"/>
      <c r="RMR2466" s="60"/>
      <c r="RMS2466" s="63"/>
      <c r="RMT2466" s="61"/>
      <c r="RMU2466" s="54"/>
      <c r="RMV2466" s="54"/>
      <c r="RMW2466" s="60"/>
      <c r="RMX2466" s="60"/>
      <c r="RMY2466" s="60"/>
      <c r="RMZ2466" s="60"/>
      <c r="RNA2466" s="63"/>
      <c r="RNB2466" s="61"/>
      <c r="RNC2466" s="54"/>
      <c r="RND2466" s="54"/>
      <c r="RNE2466" s="60"/>
      <c r="RNF2466" s="60"/>
      <c r="RNG2466" s="60"/>
      <c r="RNH2466" s="60"/>
      <c r="RNI2466" s="63"/>
      <c r="RNJ2466" s="61"/>
      <c r="RNK2466" s="54"/>
      <c r="RNL2466" s="54"/>
      <c r="RNM2466" s="60"/>
      <c r="RNN2466" s="60"/>
      <c r="RNO2466" s="60"/>
      <c r="RNP2466" s="60"/>
      <c r="RNQ2466" s="63"/>
      <c r="RNR2466" s="61"/>
      <c r="RNS2466" s="54"/>
      <c r="RNT2466" s="54"/>
      <c r="RNU2466" s="60"/>
      <c r="RNV2466" s="60"/>
      <c r="RNW2466" s="60"/>
      <c r="RNX2466" s="60"/>
      <c r="RNY2466" s="63"/>
      <c r="RNZ2466" s="61"/>
      <c r="ROA2466" s="54"/>
      <c r="ROB2466" s="54"/>
      <c r="ROC2466" s="60"/>
      <c r="ROD2466" s="60"/>
      <c r="ROE2466" s="60"/>
      <c r="ROF2466" s="60"/>
      <c r="ROG2466" s="63"/>
      <c r="ROH2466" s="61"/>
      <c r="ROI2466" s="54"/>
      <c r="ROJ2466" s="54"/>
      <c r="ROK2466" s="60"/>
      <c r="ROL2466" s="60"/>
      <c r="ROM2466" s="60"/>
      <c r="RON2466" s="60"/>
      <c r="ROO2466" s="63"/>
      <c r="ROP2466" s="61"/>
      <c r="ROQ2466" s="54"/>
      <c r="ROR2466" s="54"/>
      <c r="ROS2466" s="60"/>
      <c r="ROT2466" s="60"/>
      <c r="ROU2466" s="60"/>
      <c r="ROV2466" s="60"/>
      <c r="ROW2466" s="63"/>
      <c r="ROX2466" s="61"/>
      <c r="ROY2466" s="54"/>
      <c r="ROZ2466" s="54"/>
      <c r="RPA2466" s="60"/>
      <c r="RPB2466" s="60"/>
      <c r="RPC2466" s="60"/>
      <c r="RPD2466" s="60"/>
      <c r="RPE2466" s="63"/>
      <c r="RPF2466" s="61"/>
      <c r="RPG2466" s="54"/>
      <c r="RPH2466" s="54"/>
      <c r="RPI2466" s="60"/>
      <c r="RPJ2466" s="60"/>
      <c r="RPK2466" s="60"/>
      <c r="RPL2466" s="60"/>
      <c r="RPM2466" s="63"/>
      <c r="RPN2466" s="61"/>
      <c r="RPO2466" s="54"/>
      <c r="RPP2466" s="54"/>
      <c r="RPQ2466" s="60"/>
      <c r="RPR2466" s="60"/>
      <c r="RPS2466" s="60"/>
      <c r="RPT2466" s="60"/>
      <c r="RPU2466" s="63"/>
      <c r="RPV2466" s="61"/>
      <c r="RPW2466" s="54"/>
      <c r="RPX2466" s="54"/>
      <c r="RPY2466" s="60"/>
      <c r="RPZ2466" s="60"/>
      <c r="RQA2466" s="60"/>
      <c r="RQB2466" s="60"/>
      <c r="RQC2466" s="63"/>
      <c r="RQD2466" s="61"/>
      <c r="RQE2466" s="54"/>
      <c r="RQF2466" s="54"/>
      <c r="RQG2466" s="60"/>
      <c r="RQH2466" s="60"/>
      <c r="RQI2466" s="60"/>
      <c r="RQJ2466" s="60"/>
      <c r="RQK2466" s="63"/>
      <c r="RQL2466" s="61"/>
      <c r="RQM2466" s="54"/>
      <c r="RQN2466" s="54"/>
      <c r="RQO2466" s="60"/>
      <c r="RQP2466" s="60"/>
      <c r="RQQ2466" s="60"/>
      <c r="RQR2466" s="60"/>
      <c r="RQS2466" s="63"/>
      <c r="RQT2466" s="61"/>
      <c r="RQU2466" s="54"/>
      <c r="RQV2466" s="54"/>
      <c r="RQW2466" s="60"/>
      <c r="RQX2466" s="60"/>
      <c r="RQY2466" s="60"/>
      <c r="RQZ2466" s="60"/>
      <c r="RRA2466" s="63"/>
      <c r="RRB2466" s="61"/>
      <c r="RRC2466" s="54"/>
      <c r="RRD2466" s="54"/>
      <c r="RRE2466" s="60"/>
      <c r="RRF2466" s="60"/>
      <c r="RRG2466" s="60"/>
      <c r="RRH2466" s="60"/>
      <c r="RRI2466" s="63"/>
      <c r="RRJ2466" s="61"/>
      <c r="RRK2466" s="54"/>
      <c r="RRL2466" s="54"/>
      <c r="RRM2466" s="60"/>
      <c r="RRN2466" s="60"/>
      <c r="RRO2466" s="60"/>
      <c r="RRP2466" s="60"/>
      <c r="RRQ2466" s="63"/>
      <c r="RRR2466" s="61"/>
      <c r="RRS2466" s="54"/>
      <c r="RRT2466" s="54"/>
      <c r="RRU2466" s="60"/>
      <c r="RRV2466" s="60"/>
      <c r="RRW2466" s="60"/>
      <c r="RRX2466" s="60"/>
      <c r="RRY2466" s="63"/>
      <c r="RRZ2466" s="61"/>
      <c r="RSA2466" s="54"/>
      <c r="RSB2466" s="54"/>
      <c r="RSC2466" s="60"/>
      <c r="RSD2466" s="60"/>
      <c r="RSE2466" s="60"/>
      <c r="RSF2466" s="60"/>
      <c r="RSG2466" s="63"/>
      <c r="RSH2466" s="61"/>
      <c r="RSI2466" s="54"/>
      <c r="RSJ2466" s="54"/>
      <c r="RSK2466" s="60"/>
      <c r="RSL2466" s="60"/>
      <c r="RSM2466" s="60"/>
      <c r="RSN2466" s="60"/>
      <c r="RSO2466" s="63"/>
      <c r="RSP2466" s="61"/>
      <c r="RSQ2466" s="54"/>
      <c r="RSR2466" s="54"/>
      <c r="RSS2466" s="60"/>
      <c r="RST2466" s="60"/>
      <c r="RSU2466" s="60"/>
      <c r="RSV2466" s="60"/>
      <c r="RSW2466" s="63"/>
      <c r="RSX2466" s="61"/>
      <c r="RSY2466" s="54"/>
      <c r="RSZ2466" s="54"/>
      <c r="RTA2466" s="60"/>
      <c r="RTB2466" s="60"/>
      <c r="RTC2466" s="60"/>
      <c r="RTD2466" s="60"/>
      <c r="RTE2466" s="63"/>
      <c r="RTF2466" s="61"/>
      <c r="RTG2466" s="54"/>
      <c r="RTH2466" s="54"/>
      <c r="RTI2466" s="60"/>
      <c r="RTJ2466" s="60"/>
      <c r="RTK2466" s="60"/>
      <c r="RTL2466" s="60"/>
      <c r="RTM2466" s="63"/>
      <c r="RTN2466" s="61"/>
      <c r="RTO2466" s="54"/>
      <c r="RTP2466" s="54"/>
      <c r="RTQ2466" s="60"/>
      <c r="RTR2466" s="60"/>
      <c r="RTS2466" s="60"/>
      <c r="RTT2466" s="60"/>
      <c r="RTU2466" s="63"/>
      <c r="RTV2466" s="61"/>
      <c r="RTW2466" s="54"/>
      <c r="RTX2466" s="54"/>
      <c r="RTY2466" s="60"/>
      <c r="RTZ2466" s="60"/>
      <c r="RUA2466" s="60"/>
      <c r="RUB2466" s="60"/>
      <c r="RUC2466" s="63"/>
      <c r="RUD2466" s="61"/>
      <c r="RUE2466" s="54"/>
      <c r="RUF2466" s="54"/>
      <c r="RUG2466" s="60"/>
      <c r="RUH2466" s="60"/>
      <c r="RUI2466" s="60"/>
      <c r="RUJ2466" s="60"/>
      <c r="RUK2466" s="63"/>
      <c r="RUL2466" s="61"/>
      <c r="RUM2466" s="54"/>
      <c r="RUN2466" s="54"/>
      <c r="RUO2466" s="60"/>
      <c r="RUP2466" s="60"/>
      <c r="RUQ2466" s="60"/>
      <c r="RUR2466" s="60"/>
      <c r="RUS2466" s="63"/>
      <c r="RUT2466" s="61"/>
      <c r="RUU2466" s="54"/>
      <c r="RUV2466" s="54"/>
      <c r="RUW2466" s="60"/>
      <c r="RUX2466" s="60"/>
      <c r="RUY2466" s="60"/>
      <c r="RUZ2466" s="60"/>
      <c r="RVA2466" s="63"/>
      <c r="RVB2466" s="61"/>
      <c r="RVC2466" s="54"/>
      <c r="RVD2466" s="54"/>
      <c r="RVE2466" s="60"/>
      <c r="RVF2466" s="60"/>
      <c r="RVG2466" s="60"/>
      <c r="RVH2466" s="60"/>
      <c r="RVI2466" s="63"/>
      <c r="RVJ2466" s="61"/>
      <c r="RVK2466" s="54"/>
      <c r="RVL2466" s="54"/>
      <c r="RVM2466" s="60"/>
      <c r="RVN2466" s="60"/>
      <c r="RVO2466" s="60"/>
      <c r="RVP2466" s="60"/>
      <c r="RVQ2466" s="63"/>
      <c r="RVR2466" s="61"/>
      <c r="RVS2466" s="54"/>
      <c r="RVT2466" s="54"/>
      <c r="RVU2466" s="60"/>
      <c r="RVV2466" s="60"/>
      <c r="RVW2466" s="60"/>
      <c r="RVX2466" s="60"/>
      <c r="RVY2466" s="63"/>
      <c r="RVZ2466" s="61"/>
      <c r="RWA2466" s="54"/>
      <c r="RWB2466" s="54"/>
      <c r="RWC2466" s="60"/>
      <c r="RWD2466" s="60"/>
      <c r="RWE2466" s="60"/>
      <c r="RWF2466" s="60"/>
      <c r="RWG2466" s="63"/>
      <c r="RWH2466" s="61"/>
      <c r="RWI2466" s="54"/>
      <c r="RWJ2466" s="54"/>
      <c r="RWK2466" s="60"/>
      <c r="RWL2466" s="60"/>
      <c r="RWM2466" s="60"/>
      <c r="RWN2466" s="60"/>
      <c r="RWO2466" s="63"/>
      <c r="RWP2466" s="61"/>
      <c r="RWQ2466" s="54"/>
      <c r="RWR2466" s="54"/>
      <c r="RWS2466" s="60"/>
      <c r="RWT2466" s="60"/>
      <c r="RWU2466" s="60"/>
      <c r="RWV2466" s="60"/>
      <c r="RWW2466" s="63"/>
      <c r="RWX2466" s="61"/>
      <c r="RWY2466" s="54"/>
      <c r="RWZ2466" s="54"/>
      <c r="RXA2466" s="60"/>
      <c r="RXB2466" s="60"/>
      <c r="RXC2466" s="60"/>
      <c r="RXD2466" s="60"/>
      <c r="RXE2466" s="63"/>
      <c r="RXF2466" s="61"/>
      <c r="RXG2466" s="54"/>
      <c r="RXH2466" s="54"/>
      <c r="RXI2466" s="60"/>
      <c r="RXJ2466" s="60"/>
      <c r="RXK2466" s="60"/>
      <c r="RXL2466" s="60"/>
      <c r="RXM2466" s="63"/>
      <c r="RXN2466" s="61"/>
      <c r="RXO2466" s="54"/>
      <c r="RXP2466" s="54"/>
      <c r="RXQ2466" s="60"/>
      <c r="RXR2466" s="60"/>
      <c r="RXS2466" s="60"/>
      <c r="RXT2466" s="60"/>
      <c r="RXU2466" s="63"/>
      <c r="RXV2466" s="61"/>
      <c r="RXW2466" s="54"/>
      <c r="RXX2466" s="54"/>
      <c r="RXY2466" s="60"/>
      <c r="RXZ2466" s="60"/>
      <c r="RYA2466" s="60"/>
      <c r="RYB2466" s="60"/>
      <c r="RYC2466" s="63"/>
      <c r="RYD2466" s="61"/>
      <c r="RYE2466" s="54"/>
      <c r="RYF2466" s="54"/>
      <c r="RYG2466" s="60"/>
      <c r="RYH2466" s="60"/>
      <c r="RYI2466" s="60"/>
      <c r="RYJ2466" s="60"/>
      <c r="RYK2466" s="63"/>
      <c r="RYL2466" s="61"/>
      <c r="RYM2466" s="54"/>
      <c r="RYN2466" s="54"/>
      <c r="RYO2466" s="60"/>
      <c r="RYP2466" s="60"/>
      <c r="RYQ2466" s="60"/>
      <c r="RYR2466" s="60"/>
      <c r="RYS2466" s="63"/>
      <c r="RYT2466" s="61"/>
      <c r="RYU2466" s="54"/>
      <c r="RYV2466" s="54"/>
      <c r="RYW2466" s="60"/>
      <c r="RYX2466" s="60"/>
      <c r="RYY2466" s="60"/>
      <c r="RYZ2466" s="60"/>
      <c r="RZA2466" s="63"/>
      <c r="RZB2466" s="61"/>
      <c r="RZC2466" s="54"/>
      <c r="RZD2466" s="54"/>
      <c r="RZE2466" s="60"/>
      <c r="RZF2466" s="60"/>
      <c r="RZG2466" s="60"/>
      <c r="RZH2466" s="60"/>
      <c r="RZI2466" s="63"/>
      <c r="RZJ2466" s="61"/>
      <c r="RZK2466" s="54"/>
      <c r="RZL2466" s="54"/>
      <c r="RZM2466" s="60"/>
      <c r="RZN2466" s="60"/>
      <c r="RZO2466" s="60"/>
      <c r="RZP2466" s="60"/>
      <c r="RZQ2466" s="63"/>
      <c r="RZR2466" s="61"/>
      <c r="RZS2466" s="54"/>
      <c r="RZT2466" s="54"/>
      <c r="RZU2466" s="60"/>
      <c r="RZV2466" s="60"/>
      <c r="RZW2466" s="60"/>
      <c r="RZX2466" s="60"/>
      <c r="RZY2466" s="63"/>
      <c r="RZZ2466" s="61"/>
      <c r="SAA2466" s="54"/>
      <c r="SAB2466" s="54"/>
      <c r="SAC2466" s="60"/>
      <c r="SAD2466" s="60"/>
      <c r="SAE2466" s="60"/>
      <c r="SAF2466" s="60"/>
      <c r="SAG2466" s="63"/>
      <c r="SAH2466" s="61"/>
      <c r="SAI2466" s="54"/>
      <c r="SAJ2466" s="54"/>
      <c r="SAK2466" s="60"/>
      <c r="SAL2466" s="60"/>
      <c r="SAM2466" s="60"/>
      <c r="SAN2466" s="60"/>
      <c r="SAO2466" s="63"/>
      <c r="SAP2466" s="61"/>
      <c r="SAQ2466" s="54"/>
      <c r="SAR2466" s="54"/>
      <c r="SAS2466" s="60"/>
      <c r="SAT2466" s="60"/>
      <c r="SAU2466" s="60"/>
      <c r="SAV2466" s="60"/>
      <c r="SAW2466" s="63"/>
      <c r="SAX2466" s="61"/>
      <c r="SAY2466" s="54"/>
      <c r="SAZ2466" s="54"/>
      <c r="SBA2466" s="60"/>
      <c r="SBB2466" s="60"/>
      <c r="SBC2466" s="60"/>
      <c r="SBD2466" s="60"/>
      <c r="SBE2466" s="63"/>
      <c r="SBF2466" s="61"/>
      <c r="SBG2466" s="54"/>
      <c r="SBH2466" s="54"/>
      <c r="SBI2466" s="60"/>
      <c r="SBJ2466" s="60"/>
      <c r="SBK2466" s="60"/>
      <c r="SBL2466" s="60"/>
      <c r="SBM2466" s="63"/>
      <c r="SBN2466" s="61"/>
      <c r="SBO2466" s="54"/>
      <c r="SBP2466" s="54"/>
      <c r="SBQ2466" s="60"/>
      <c r="SBR2466" s="60"/>
      <c r="SBS2466" s="60"/>
      <c r="SBT2466" s="60"/>
      <c r="SBU2466" s="63"/>
      <c r="SBV2466" s="61"/>
      <c r="SBW2466" s="54"/>
      <c r="SBX2466" s="54"/>
      <c r="SBY2466" s="60"/>
      <c r="SBZ2466" s="60"/>
      <c r="SCA2466" s="60"/>
      <c r="SCB2466" s="60"/>
      <c r="SCC2466" s="63"/>
      <c r="SCD2466" s="61"/>
      <c r="SCE2466" s="54"/>
      <c r="SCF2466" s="54"/>
      <c r="SCG2466" s="60"/>
      <c r="SCH2466" s="60"/>
      <c r="SCI2466" s="60"/>
      <c r="SCJ2466" s="60"/>
      <c r="SCK2466" s="63"/>
      <c r="SCL2466" s="61"/>
      <c r="SCM2466" s="54"/>
      <c r="SCN2466" s="54"/>
      <c r="SCO2466" s="60"/>
      <c r="SCP2466" s="60"/>
      <c r="SCQ2466" s="60"/>
      <c r="SCR2466" s="60"/>
      <c r="SCS2466" s="63"/>
      <c r="SCT2466" s="61"/>
      <c r="SCU2466" s="54"/>
      <c r="SCV2466" s="54"/>
      <c r="SCW2466" s="60"/>
      <c r="SCX2466" s="60"/>
      <c r="SCY2466" s="60"/>
      <c r="SCZ2466" s="60"/>
      <c r="SDA2466" s="63"/>
      <c r="SDB2466" s="61"/>
      <c r="SDC2466" s="54"/>
      <c r="SDD2466" s="54"/>
      <c r="SDE2466" s="60"/>
      <c r="SDF2466" s="60"/>
      <c r="SDG2466" s="60"/>
      <c r="SDH2466" s="60"/>
      <c r="SDI2466" s="63"/>
      <c r="SDJ2466" s="61"/>
      <c r="SDK2466" s="54"/>
      <c r="SDL2466" s="54"/>
      <c r="SDM2466" s="60"/>
      <c r="SDN2466" s="60"/>
      <c r="SDO2466" s="60"/>
      <c r="SDP2466" s="60"/>
      <c r="SDQ2466" s="63"/>
      <c r="SDR2466" s="61"/>
      <c r="SDS2466" s="54"/>
      <c r="SDT2466" s="54"/>
      <c r="SDU2466" s="60"/>
      <c r="SDV2466" s="60"/>
      <c r="SDW2466" s="60"/>
      <c r="SDX2466" s="60"/>
      <c r="SDY2466" s="63"/>
      <c r="SDZ2466" s="61"/>
      <c r="SEA2466" s="54"/>
      <c r="SEB2466" s="54"/>
      <c r="SEC2466" s="60"/>
      <c r="SED2466" s="60"/>
      <c r="SEE2466" s="60"/>
      <c r="SEF2466" s="60"/>
      <c r="SEG2466" s="63"/>
      <c r="SEH2466" s="61"/>
      <c r="SEI2466" s="54"/>
      <c r="SEJ2466" s="54"/>
      <c r="SEK2466" s="60"/>
      <c r="SEL2466" s="60"/>
      <c r="SEM2466" s="60"/>
      <c r="SEN2466" s="60"/>
      <c r="SEO2466" s="63"/>
      <c r="SEP2466" s="61"/>
      <c r="SEQ2466" s="54"/>
      <c r="SER2466" s="54"/>
      <c r="SES2466" s="60"/>
      <c r="SET2466" s="60"/>
      <c r="SEU2466" s="60"/>
      <c r="SEV2466" s="60"/>
      <c r="SEW2466" s="63"/>
      <c r="SEX2466" s="61"/>
      <c r="SEY2466" s="54"/>
      <c r="SEZ2466" s="54"/>
      <c r="SFA2466" s="60"/>
      <c r="SFB2466" s="60"/>
      <c r="SFC2466" s="60"/>
      <c r="SFD2466" s="60"/>
      <c r="SFE2466" s="63"/>
      <c r="SFF2466" s="61"/>
      <c r="SFG2466" s="54"/>
      <c r="SFH2466" s="54"/>
      <c r="SFI2466" s="60"/>
      <c r="SFJ2466" s="60"/>
      <c r="SFK2466" s="60"/>
      <c r="SFL2466" s="60"/>
      <c r="SFM2466" s="63"/>
      <c r="SFN2466" s="61"/>
      <c r="SFO2466" s="54"/>
      <c r="SFP2466" s="54"/>
      <c r="SFQ2466" s="60"/>
      <c r="SFR2466" s="60"/>
      <c r="SFS2466" s="60"/>
      <c r="SFT2466" s="60"/>
      <c r="SFU2466" s="63"/>
      <c r="SFV2466" s="61"/>
      <c r="SFW2466" s="54"/>
      <c r="SFX2466" s="54"/>
      <c r="SFY2466" s="60"/>
      <c r="SFZ2466" s="60"/>
      <c r="SGA2466" s="60"/>
      <c r="SGB2466" s="60"/>
      <c r="SGC2466" s="63"/>
      <c r="SGD2466" s="61"/>
      <c r="SGE2466" s="54"/>
      <c r="SGF2466" s="54"/>
      <c r="SGG2466" s="60"/>
      <c r="SGH2466" s="60"/>
      <c r="SGI2466" s="60"/>
      <c r="SGJ2466" s="60"/>
      <c r="SGK2466" s="63"/>
      <c r="SGL2466" s="61"/>
      <c r="SGM2466" s="54"/>
      <c r="SGN2466" s="54"/>
      <c r="SGO2466" s="60"/>
      <c r="SGP2466" s="60"/>
      <c r="SGQ2466" s="60"/>
      <c r="SGR2466" s="60"/>
      <c r="SGS2466" s="63"/>
      <c r="SGT2466" s="61"/>
      <c r="SGU2466" s="54"/>
      <c r="SGV2466" s="54"/>
      <c r="SGW2466" s="60"/>
      <c r="SGX2466" s="60"/>
      <c r="SGY2466" s="60"/>
      <c r="SGZ2466" s="60"/>
      <c r="SHA2466" s="63"/>
      <c r="SHB2466" s="61"/>
      <c r="SHC2466" s="54"/>
      <c r="SHD2466" s="54"/>
      <c r="SHE2466" s="60"/>
      <c r="SHF2466" s="60"/>
      <c r="SHG2466" s="60"/>
      <c r="SHH2466" s="60"/>
      <c r="SHI2466" s="63"/>
      <c r="SHJ2466" s="61"/>
      <c r="SHK2466" s="54"/>
      <c r="SHL2466" s="54"/>
      <c r="SHM2466" s="60"/>
      <c r="SHN2466" s="60"/>
      <c r="SHO2466" s="60"/>
      <c r="SHP2466" s="60"/>
      <c r="SHQ2466" s="63"/>
      <c r="SHR2466" s="61"/>
      <c r="SHS2466" s="54"/>
      <c r="SHT2466" s="54"/>
      <c r="SHU2466" s="60"/>
      <c r="SHV2466" s="60"/>
      <c r="SHW2466" s="60"/>
      <c r="SHX2466" s="60"/>
      <c r="SHY2466" s="63"/>
      <c r="SHZ2466" s="61"/>
      <c r="SIA2466" s="54"/>
      <c r="SIB2466" s="54"/>
      <c r="SIC2466" s="60"/>
      <c r="SID2466" s="60"/>
      <c r="SIE2466" s="60"/>
      <c r="SIF2466" s="60"/>
      <c r="SIG2466" s="63"/>
      <c r="SIH2466" s="61"/>
      <c r="SII2466" s="54"/>
      <c r="SIJ2466" s="54"/>
      <c r="SIK2466" s="60"/>
      <c r="SIL2466" s="60"/>
      <c r="SIM2466" s="60"/>
      <c r="SIN2466" s="60"/>
      <c r="SIO2466" s="63"/>
      <c r="SIP2466" s="61"/>
      <c r="SIQ2466" s="54"/>
      <c r="SIR2466" s="54"/>
      <c r="SIS2466" s="60"/>
      <c r="SIT2466" s="60"/>
      <c r="SIU2466" s="60"/>
      <c r="SIV2466" s="60"/>
      <c r="SIW2466" s="63"/>
      <c r="SIX2466" s="61"/>
      <c r="SIY2466" s="54"/>
      <c r="SIZ2466" s="54"/>
      <c r="SJA2466" s="60"/>
      <c r="SJB2466" s="60"/>
      <c r="SJC2466" s="60"/>
      <c r="SJD2466" s="60"/>
      <c r="SJE2466" s="63"/>
      <c r="SJF2466" s="61"/>
      <c r="SJG2466" s="54"/>
      <c r="SJH2466" s="54"/>
      <c r="SJI2466" s="60"/>
      <c r="SJJ2466" s="60"/>
      <c r="SJK2466" s="60"/>
      <c r="SJL2466" s="60"/>
      <c r="SJM2466" s="63"/>
      <c r="SJN2466" s="61"/>
      <c r="SJO2466" s="54"/>
      <c r="SJP2466" s="54"/>
      <c r="SJQ2466" s="60"/>
      <c r="SJR2466" s="60"/>
      <c r="SJS2466" s="60"/>
      <c r="SJT2466" s="60"/>
      <c r="SJU2466" s="63"/>
      <c r="SJV2466" s="61"/>
      <c r="SJW2466" s="54"/>
      <c r="SJX2466" s="54"/>
      <c r="SJY2466" s="60"/>
      <c r="SJZ2466" s="60"/>
      <c r="SKA2466" s="60"/>
      <c r="SKB2466" s="60"/>
      <c r="SKC2466" s="63"/>
      <c r="SKD2466" s="61"/>
      <c r="SKE2466" s="54"/>
      <c r="SKF2466" s="54"/>
      <c r="SKG2466" s="60"/>
      <c r="SKH2466" s="60"/>
      <c r="SKI2466" s="60"/>
      <c r="SKJ2466" s="60"/>
      <c r="SKK2466" s="63"/>
      <c r="SKL2466" s="61"/>
      <c r="SKM2466" s="54"/>
      <c r="SKN2466" s="54"/>
      <c r="SKO2466" s="60"/>
      <c r="SKP2466" s="60"/>
      <c r="SKQ2466" s="60"/>
      <c r="SKR2466" s="60"/>
      <c r="SKS2466" s="63"/>
      <c r="SKT2466" s="61"/>
      <c r="SKU2466" s="54"/>
      <c r="SKV2466" s="54"/>
      <c r="SKW2466" s="60"/>
      <c r="SKX2466" s="60"/>
      <c r="SKY2466" s="60"/>
      <c r="SKZ2466" s="60"/>
      <c r="SLA2466" s="63"/>
      <c r="SLB2466" s="61"/>
      <c r="SLC2466" s="54"/>
      <c r="SLD2466" s="54"/>
      <c r="SLE2466" s="60"/>
      <c r="SLF2466" s="60"/>
      <c r="SLG2466" s="60"/>
      <c r="SLH2466" s="60"/>
      <c r="SLI2466" s="63"/>
      <c r="SLJ2466" s="61"/>
      <c r="SLK2466" s="54"/>
      <c r="SLL2466" s="54"/>
      <c r="SLM2466" s="60"/>
      <c r="SLN2466" s="60"/>
      <c r="SLO2466" s="60"/>
      <c r="SLP2466" s="60"/>
      <c r="SLQ2466" s="63"/>
      <c r="SLR2466" s="61"/>
      <c r="SLS2466" s="54"/>
      <c r="SLT2466" s="54"/>
      <c r="SLU2466" s="60"/>
      <c r="SLV2466" s="60"/>
      <c r="SLW2466" s="60"/>
      <c r="SLX2466" s="60"/>
      <c r="SLY2466" s="63"/>
      <c r="SLZ2466" s="61"/>
      <c r="SMA2466" s="54"/>
      <c r="SMB2466" s="54"/>
      <c r="SMC2466" s="60"/>
      <c r="SMD2466" s="60"/>
      <c r="SME2466" s="60"/>
      <c r="SMF2466" s="60"/>
      <c r="SMG2466" s="63"/>
      <c r="SMH2466" s="61"/>
      <c r="SMI2466" s="54"/>
      <c r="SMJ2466" s="54"/>
      <c r="SMK2466" s="60"/>
      <c r="SML2466" s="60"/>
      <c r="SMM2466" s="60"/>
      <c r="SMN2466" s="60"/>
      <c r="SMO2466" s="63"/>
      <c r="SMP2466" s="61"/>
      <c r="SMQ2466" s="54"/>
      <c r="SMR2466" s="54"/>
      <c r="SMS2466" s="60"/>
      <c r="SMT2466" s="60"/>
      <c r="SMU2466" s="60"/>
      <c r="SMV2466" s="60"/>
      <c r="SMW2466" s="63"/>
      <c r="SMX2466" s="61"/>
      <c r="SMY2466" s="54"/>
      <c r="SMZ2466" s="54"/>
      <c r="SNA2466" s="60"/>
      <c r="SNB2466" s="60"/>
      <c r="SNC2466" s="60"/>
      <c r="SND2466" s="60"/>
      <c r="SNE2466" s="63"/>
      <c r="SNF2466" s="61"/>
      <c r="SNG2466" s="54"/>
      <c r="SNH2466" s="54"/>
      <c r="SNI2466" s="60"/>
      <c r="SNJ2466" s="60"/>
      <c r="SNK2466" s="60"/>
      <c r="SNL2466" s="60"/>
      <c r="SNM2466" s="63"/>
      <c r="SNN2466" s="61"/>
      <c r="SNO2466" s="54"/>
      <c r="SNP2466" s="54"/>
      <c r="SNQ2466" s="60"/>
      <c r="SNR2466" s="60"/>
      <c r="SNS2466" s="60"/>
      <c r="SNT2466" s="60"/>
      <c r="SNU2466" s="63"/>
      <c r="SNV2466" s="61"/>
      <c r="SNW2466" s="54"/>
      <c r="SNX2466" s="54"/>
      <c r="SNY2466" s="60"/>
      <c r="SNZ2466" s="60"/>
      <c r="SOA2466" s="60"/>
      <c r="SOB2466" s="60"/>
      <c r="SOC2466" s="63"/>
      <c r="SOD2466" s="61"/>
      <c r="SOE2466" s="54"/>
      <c r="SOF2466" s="54"/>
      <c r="SOG2466" s="60"/>
      <c r="SOH2466" s="60"/>
      <c r="SOI2466" s="60"/>
      <c r="SOJ2466" s="60"/>
      <c r="SOK2466" s="63"/>
      <c r="SOL2466" s="61"/>
      <c r="SOM2466" s="54"/>
      <c r="SON2466" s="54"/>
      <c r="SOO2466" s="60"/>
      <c r="SOP2466" s="60"/>
      <c r="SOQ2466" s="60"/>
      <c r="SOR2466" s="60"/>
      <c r="SOS2466" s="63"/>
      <c r="SOT2466" s="61"/>
      <c r="SOU2466" s="54"/>
      <c r="SOV2466" s="54"/>
      <c r="SOW2466" s="60"/>
      <c r="SOX2466" s="60"/>
      <c r="SOY2466" s="60"/>
      <c r="SOZ2466" s="60"/>
      <c r="SPA2466" s="63"/>
      <c r="SPB2466" s="61"/>
      <c r="SPC2466" s="54"/>
      <c r="SPD2466" s="54"/>
      <c r="SPE2466" s="60"/>
      <c r="SPF2466" s="60"/>
      <c r="SPG2466" s="60"/>
      <c r="SPH2466" s="60"/>
      <c r="SPI2466" s="63"/>
      <c r="SPJ2466" s="61"/>
      <c r="SPK2466" s="54"/>
      <c r="SPL2466" s="54"/>
      <c r="SPM2466" s="60"/>
      <c r="SPN2466" s="60"/>
      <c r="SPO2466" s="60"/>
      <c r="SPP2466" s="60"/>
      <c r="SPQ2466" s="63"/>
      <c r="SPR2466" s="61"/>
      <c r="SPS2466" s="54"/>
      <c r="SPT2466" s="54"/>
      <c r="SPU2466" s="60"/>
      <c r="SPV2466" s="60"/>
      <c r="SPW2466" s="60"/>
      <c r="SPX2466" s="60"/>
      <c r="SPY2466" s="63"/>
      <c r="SPZ2466" s="61"/>
      <c r="SQA2466" s="54"/>
      <c r="SQB2466" s="54"/>
      <c r="SQC2466" s="60"/>
      <c r="SQD2466" s="60"/>
      <c r="SQE2466" s="60"/>
      <c r="SQF2466" s="60"/>
      <c r="SQG2466" s="63"/>
      <c r="SQH2466" s="61"/>
      <c r="SQI2466" s="54"/>
      <c r="SQJ2466" s="54"/>
      <c r="SQK2466" s="60"/>
      <c r="SQL2466" s="60"/>
      <c r="SQM2466" s="60"/>
      <c r="SQN2466" s="60"/>
      <c r="SQO2466" s="63"/>
      <c r="SQP2466" s="61"/>
      <c r="SQQ2466" s="54"/>
      <c r="SQR2466" s="54"/>
      <c r="SQS2466" s="60"/>
      <c r="SQT2466" s="60"/>
      <c r="SQU2466" s="60"/>
      <c r="SQV2466" s="60"/>
      <c r="SQW2466" s="63"/>
      <c r="SQX2466" s="61"/>
      <c r="SQY2466" s="54"/>
      <c r="SQZ2466" s="54"/>
      <c r="SRA2466" s="60"/>
      <c r="SRB2466" s="60"/>
      <c r="SRC2466" s="60"/>
      <c r="SRD2466" s="60"/>
      <c r="SRE2466" s="63"/>
      <c r="SRF2466" s="61"/>
      <c r="SRG2466" s="54"/>
      <c r="SRH2466" s="54"/>
      <c r="SRI2466" s="60"/>
      <c r="SRJ2466" s="60"/>
      <c r="SRK2466" s="60"/>
      <c r="SRL2466" s="60"/>
      <c r="SRM2466" s="63"/>
      <c r="SRN2466" s="61"/>
      <c r="SRO2466" s="54"/>
      <c r="SRP2466" s="54"/>
      <c r="SRQ2466" s="60"/>
      <c r="SRR2466" s="60"/>
      <c r="SRS2466" s="60"/>
      <c r="SRT2466" s="60"/>
      <c r="SRU2466" s="63"/>
      <c r="SRV2466" s="61"/>
      <c r="SRW2466" s="54"/>
      <c r="SRX2466" s="54"/>
      <c r="SRY2466" s="60"/>
      <c r="SRZ2466" s="60"/>
      <c r="SSA2466" s="60"/>
      <c r="SSB2466" s="60"/>
      <c r="SSC2466" s="63"/>
      <c r="SSD2466" s="61"/>
      <c r="SSE2466" s="54"/>
      <c r="SSF2466" s="54"/>
      <c r="SSG2466" s="60"/>
      <c r="SSH2466" s="60"/>
      <c r="SSI2466" s="60"/>
      <c r="SSJ2466" s="60"/>
      <c r="SSK2466" s="63"/>
      <c r="SSL2466" s="61"/>
      <c r="SSM2466" s="54"/>
      <c r="SSN2466" s="54"/>
      <c r="SSO2466" s="60"/>
      <c r="SSP2466" s="60"/>
      <c r="SSQ2466" s="60"/>
      <c r="SSR2466" s="60"/>
      <c r="SSS2466" s="63"/>
      <c r="SST2466" s="61"/>
      <c r="SSU2466" s="54"/>
      <c r="SSV2466" s="54"/>
      <c r="SSW2466" s="60"/>
      <c r="SSX2466" s="60"/>
      <c r="SSY2466" s="60"/>
      <c r="SSZ2466" s="60"/>
      <c r="STA2466" s="63"/>
      <c r="STB2466" s="61"/>
      <c r="STC2466" s="54"/>
      <c r="STD2466" s="54"/>
      <c r="STE2466" s="60"/>
      <c r="STF2466" s="60"/>
      <c r="STG2466" s="60"/>
      <c r="STH2466" s="60"/>
      <c r="STI2466" s="63"/>
      <c r="STJ2466" s="61"/>
      <c r="STK2466" s="54"/>
      <c r="STL2466" s="54"/>
      <c r="STM2466" s="60"/>
      <c r="STN2466" s="60"/>
      <c r="STO2466" s="60"/>
      <c r="STP2466" s="60"/>
      <c r="STQ2466" s="63"/>
      <c r="STR2466" s="61"/>
      <c r="STS2466" s="54"/>
      <c r="STT2466" s="54"/>
      <c r="STU2466" s="60"/>
      <c r="STV2466" s="60"/>
      <c r="STW2466" s="60"/>
      <c r="STX2466" s="60"/>
      <c r="STY2466" s="63"/>
      <c r="STZ2466" s="61"/>
      <c r="SUA2466" s="54"/>
      <c r="SUB2466" s="54"/>
      <c r="SUC2466" s="60"/>
      <c r="SUD2466" s="60"/>
      <c r="SUE2466" s="60"/>
      <c r="SUF2466" s="60"/>
      <c r="SUG2466" s="63"/>
      <c r="SUH2466" s="61"/>
      <c r="SUI2466" s="54"/>
      <c r="SUJ2466" s="54"/>
      <c r="SUK2466" s="60"/>
      <c r="SUL2466" s="60"/>
      <c r="SUM2466" s="60"/>
      <c r="SUN2466" s="60"/>
      <c r="SUO2466" s="63"/>
      <c r="SUP2466" s="61"/>
      <c r="SUQ2466" s="54"/>
      <c r="SUR2466" s="54"/>
      <c r="SUS2466" s="60"/>
      <c r="SUT2466" s="60"/>
      <c r="SUU2466" s="60"/>
      <c r="SUV2466" s="60"/>
      <c r="SUW2466" s="63"/>
      <c r="SUX2466" s="61"/>
      <c r="SUY2466" s="54"/>
      <c r="SUZ2466" s="54"/>
      <c r="SVA2466" s="60"/>
      <c r="SVB2466" s="60"/>
      <c r="SVC2466" s="60"/>
      <c r="SVD2466" s="60"/>
      <c r="SVE2466" s="63"/>
      <c r="SVF2466" s="61"/>
      <c r="SVG2466" s="54"/>
      <c r="SVH2466" s="54"/>
      <c r="SVI2466" s="60"/>
      <c r="SVJ2466" s="60"/>
      <c r="SVK2466" s="60"/>
      <c r="SVL2466" s="60"/>
      <c r="SVM2466" s="63"/>
      <c r="SVN2466" s="61"/>
      <c r="SVO2466" s="54"/>
      <c r="SVP2466" s="54"/>
      <c r="SVQ2466" s="60"/>
      <c r="SVR2466" s="60"/>
      <c r="SVS2466" s="60"/>
      <c r="SVT2466" s="60"/>
      <c r="SVU2466" s="63"/>
      <c r="SVV2466" s="61"/>
      <c r="SVW2466" s="54"/>
      <c r="SVX2466" s="54"/>
      <c r="SVY2466" s="60"/>
      <c r="SVZ2466" s="60"/>
      <c r="SWA2466" s="60"/>
      <c r="SWB2466" s="60"/>
      <c r="SWC2466" s="63"/>
      <c r="SWD2466" s="61"/>
      <c r="SWE2466" s="54"/>
      <c r="SWF2466" s="54"/>
      <c r="SWG2466" s="60"/>
      <c r="SWH2466" s="60"/>
      <c r="SWI2466" s="60"/>
      <c r="SWJ2466" s="60"/>
      <c r="SWK2466" s="63"/>
      <c r="SWL2466" s="61"/>
      <c r="SWM2466" s="54"/>
      <c r="SWN2466" s="54"/>
      <c r="SWO2466" s="60"/>
      <c r="SWP2466" s="60"/>
      <c r="SWQ2466" s="60"/>
      <c r="SWR2466" s="60"/>
      <c r="SWS2466" s="63"/>
      <c r="SWT2466" s="61"/>
      <c r="SWU2466" s="54"/>
      <c r="SWV2466" s="54"/>
      <c r="SWW2466" s="60"/>
      <c r="SWX2466" s="60"/>
      <c r="SWY2466" s="60"/>
      <c r="SWZ2466" s="60"/>
      <c r="SXA2466" s="63"/>
      <c r="SXB2466" s="61"/>
      <c r="SXC2466" s="54"/>
      <c r="SXD2466" s="54"/>
      <c r="SXE2466" s="60"/>
      <c r="SXF2466" s="60"/>
      <c r="SXG2466" s="60"/>
      <c r="SXH2466" s="60"/>
      <c r="SXI2466" s="63"/>
      <c r="SXJ2466" s="61"/>
      <c r="SXK2466" s="54"/>
      <c r="SXL2466" s="54"/>
      <c r="SXM2466" s="60"/>
      <c r="SXN2466" s="60"/>
      <c r="SXO2466" s="60"/>
      <c r="SXP2466" s="60"/>
      <c r="SXQ2466" s="63"/>
      <c r="SXR2466" s="61"/>
      <c r="SXS2466" s="54"/>
      <c r="SXT2466" s="54"/>
      <c r="SXU2466" s="60"/>
      <c r="SXV2466" s="60"/>
      <c r="SXW2466" s="60"/>
      <c r="SXX2466" s="60"/>
      <c r="SXY2466" s="63"/>
      <c r="SXZ2466" s="61"/>
      <c r="SYA2466" s="54"/>
      <c r="SYB2466" s="54"/>
      <c r="SYC2466" s="60"/>
      <c r="SYD2466" s="60"/>
      <c r="SYE2466" s="60"/>
      <c r="SYF2466" s="60"/>
      <c r="SYG2466" s="63"/>
      <c r="SYH2466" s="61"/>
      <c r="SYI2466" s="54"/>
      <c r="SYJ2466" s="54"/>
      <c r="SYK2466" s="60"/>
      <c r="SYL2466" s="60"/>
      <c r="SYM2466" s="60"/>
      <c r="SYN2466" s="60"/>
      <c r="SYO2466" s="63"/>
      <c r="SYP2466" s="61"/>
      <c r="SYQ2466" s="54"/>
      <c r="SYR2466" s="54"/>
      <c r="SYS2466" s="60"/>
      <c r="SYT2466" s="60"/>
      <c r="SYU2466" s="60"/>
      <c r="SYV2466" s="60"/>
      <c r="SYW2466" s="63"/>
      <c r="SYX2466" s="61"/>
      <c r="SYY2466" s="54"/>
      <c r="SYZ2466" s="54"/>
      <c r="SZA2466" s="60"/>
      <c r="SZB2466" s="60"/>
      <c r="SZC2466" s="60"/>
      <c r="SZD2466" s="60"/>
      <c r="SZE2466" s="63"/>
      <c r="SZF2466" s="61"/>
      <c r="SZG2466" s="54"/>
      <c r="SZH2466" s="54"/>
      <c r="SZI2466" s="60"/>
      <c r="SZJ2466" s="60"/>
      <c r="SZK2466" s="60"/>
      <c r="SZL2466" s="60"/>
      <c r="SZM2466" s="63"/>
      <c r="SZN2466" s="61"/>
      <c r="SZO2466" s="54"/>
      <c r="SZP2466" s="54"/>
      <c r="SZQ2466" s="60"/>
      <c r="SZR2466" s="60"/>
      <c r="SZS2466" s="60"/>
      <c r="SZT2466" s="60"/>
      <c r="SZU2466" s="63"/>
      <c r="SZV2466" s="61"/>
      <c r="SZW2466" s="54"/>
      <c r="SZX2466" s="54"/>
      <c r="SZY2466" s="60"/>
      <c r="SZZ2466" s="60"/>
      <c r="TAA2466" s="60"/>
      <c r="TAB2466" s="60"/>
      <c r="TAC2466" s="63"/>
      <c r="TAD2466" s="61"/>
      <c r="TAE2466" s="54"/>
      <c r="TAF2466" s="54"/>
      <c r="TAG2466" s="60"/>
      <c r="TAH2466" s="60"/>
      <c r="TAI2466" s="60"/>
      <c r="TAJ2466" s="60"/>
      <c r="TAK2466" s="63"/>
      <c r="TAL2466" s="61"/>
      <c r="TAM2466" s="54"/>
      <c r="TAN2466" s="54"/>
      <c r="TAO2466" s="60"/>
      <c r="TAP2466" s="60"/>
      <c r="TAQ2466" s="60"/>
      <c r="TAR2466" s="60"/>
      <c r="TAS2466" s="63"/>
      <c r="TAT2466" s="61"/>
      <c r="TAU2466" s="54"/>
      <c r="TAV2466" s="54"/>
      <c r="TAW2466" s="60"/>
      <c r="TAX2466" s="60"/>
      <c r="TAY2466" s="60"/>
      <c r="TAZ2466" s="60"/>
      <c r="TBA2466" s="63"/>
      <c r="TBB2466" s="61"/>
      <c r="TBC2466" s="54"/>
      <c r="TBD2466" s="54"/>
      <c r="TBE2466" s="60"/>
      <c r="TBF2466" s="60"/>
      <c r="TBG2466" s="60"/>
      <c r="TBH2466" s="60"/>
      <c r="TBI2466" s="63"/>
      <c r="TBJ2466" s="61"/>
      <c r="TBK2466" s="54"/>
      <c r="TBL2466" s="54"/>
      <c r="TBM2466" s="60"/>
      <c r="TBN2466" s="60"/>
      <c r="TBO2466" s="60"/>
      <c r="TBP2466" s="60"/>
      <c r="TBQ2466" s="63"/>
      <c r="TBR2466" s="61"/>
      <c r="TBS2466" s="54"/>
      <c r="TBT2466" s="54"/>
      <c r="TBU2466" s="60"/>
      <c r="TBV2466" s="60"/>
      <c r="TBW2466" s="60"/>
      <c r="TBX2466" s="60"/>
      <c r="TBY2466" s="63"/>
      <c r="TBZ2466" s="61"/>
      <c r="TCA2466" s="54"/>
      <c r="TCB2466" s="54"/>
      <c r="TCC2466" s="60"/>
      <c r="TCD2466" s="60"/>
      <c r="TCE2466" s="60"/>
      <c r="TCF2466" s="60"/>
      <c r="TCG2466" s="63"/>
      <c r="TCH2466" s="61"/>
      <c r="TCI2466" s="54"/>
      <c r="TCJ2466" s="54"/>
      <c r="TCK2466" s="60"/>
      <c r="TCL2466" s="60"/>
      <c r="TCM2466" s="60"/>
      <c r="TCN2466" s="60"/>
      <c r="TCO2466" s="63"/>
      <c r="TCP2466" s="61"/>
      <c r="TCQ2466" s="54"/>
      <c r="TCR2466" s="54"/>
      <c r="TCS2466" s="60"/>
      <c r="TCT2466" s="60"/>
      <c r="TCU2466" s="60"/>
      <c r="TCV2466" s="60"/>
      <c r="TCW2466" s="63"/>
      <c r="TCX2466" s="61"/>
      <c r="TCY2466" s="54"/>
      <c r="TCZ2466" s="54"/>
      <c r="TDA2466" s="60"/>
      <c r="TDB2466" s="60"/>
      <c r="TDC2466" s="60"/>
      <c r="TDD2466" s="60"/>
      <c r="TDE2466" s="63"/>
      <c r="TDF2466" s="61"/>
      <c r="TDG2466" s="54"/>
      <c r="TDH2466" s="54"/>
      <c r="TDI2466" s="60"/>
      <c r="TDJ2466" s="60"/>
      <c r="TDK2466" s="60"/>
      <c r="TDL2466" s="60"/>
      <c r="TDM2466" s="63"/>
      <c r="TDN2466" s="61"/>
      <c r="TDO2466" s="54"/>
      <c r="TDP2466" s="54"/>
      <c r="TDQ2466" s="60"/>
      <c r="TDR2466" s="60"/>
      <c r="TDS2466" s="60"/>
      <c r="TDT2466" s="60"/>
      <c r="TDU2466" s="63"/>
      <c r="TDV2466" s="61"/>
      <c r="TDW2466" s="54"/>
      <c r="TDX2466" s="54"/>
      <c r="TDY2466" s="60"/>
      <c r="TDZ2466" s="60"/>
      <c r="TEA2466" s="60"/>
      <c r="TEB2466" s="60"/>
      <c r="TEC2466" s="63"/>
      <c r="TED2466" s="61"/>
      <c r="TEE2466" s="54"/>
      <c r="TEF2466" s="54"/>
      <c r="TEG2466" s="60"/>
      <c r="TEH2466" s="60"/>
      <c r="TEI2466" s="60"/>
      <c r="TEJ2466" s="60"/>
      <c r="TEK2466" s="63"/>
      <c r="TEL2466" s="61"/>
      <c r="TEM2466" s="54"/>
      <c r="TEN2466" s="54"/>
      <c r="TEO2466" s="60"/>
      <c r="TEP2466" s="60"/>
      <c r="TEQ2466" s="60"/>
      <c r="TER2466" s="60"/>
      <c r="TES2466" s="63"/>
      <c r="TET2466" s="61"/>
      <c r="TEU2466" s="54"/>
      <c r="TEV2466" s="54"/>
      <c r="TEW2466" s="60"/>
      <c r="TEX2466" s="60"/>
      <c r="TEY2466" s="60"/>
      <c r="TEZ2466" s="60"/>
      <c r="TFA2466" s="63"/>
      <c r="TFB2466" s="61"/>
      <c r="TFC2466" s="54"/>
      <c r="TFD2466" s="54"/>
      <c r="TFE2466" s="60"/>
      <c r="TFF2466" s="60"/>
      <c r="TFG2466" s="60"/>
      <c r="TFH2466" s="60"/>
      <c r="TFI2466" s="63"/>
      <c r="TFJ2466" s="61"/>
      <c r="TFK2466" s="54"/>
      <c r="TFL2466" s="54"/>
      <c r="TFM2466" s="60"/>
      <c r="TFN2466" s="60"/>
      <c r="TFO2466" s="60"/>
      <c r="TFP2466" s="60"/>
      <c r="TFQ2466" s="63"/>
      <c r="TFR2466" s="61"/>
      <c r="TFS2466" s="54"/>
      <c r="TFT2466" s="54"/>
      <c r="TFU2466" s="60"/>
      <c r="TFV2466" s="60"/>
      <c r="TFW2466" s="60"/>
      <c r="TFX2466" s="60"/>
      <c r="TFY2466" s="63"/>
      <c r="TFZ2466" s="61"/>
      <c r="TGA2466" s="54"/>
      <c r="TGB2466" s="54"/>
      <c r="TGC2466" s="60"/>
      <c r="TGD2466" s="60"/>
      <c r="TGE2466" s="60"/>
      <c r="TGF2466" s="60"/>
      <c r="TGG2466" s="63"/>
      <c r="TGH2466" s="61"/>
      <c r="TGI2466" s="54"/>
      <c r="TGJ2466" s="54"/>
      <c r="TGK2466" s="60"/>
      <c r="TGL2466" s="60"/>
      <c r="TGM2466" s="60"/>
      <c r="TGN2466" s="60"/>
      <c r="TGO2466" s="63"/>
      <c r="TGP2466" s="61"/>
      <c r="TGQ2466" s="54"/>
      <c r="TGR2466" s="54"/>
      <c r="TGS2466" s="60"/>
      <c r="TGT2466" s="60"/>
      <c r="TGU2466" s="60"/>
      <c r="TGV2466" s="60"/>
      <c r="TGW2466" s="63"/>
      <c r="TGX2466" s="61"/>
      <c r="TGY2466" s="54"/>
      <c r="TGZ2466" s="54"/>
      <c r="THA2466" s="60"/>
      <c r="THB2466" s="60"/>
      <c r="THC2466" s="60"/>
      <c r="THD2466" s="60"/>
      <c r="THE2466" s="63"/>
      <c r="THF2466" s="61"/>
      <c r="THG2466" s="54"/>
      <c r="THH2466" s="54"/>
      <c r="THI2466" s="60"/>
      <c r="THJ2466" s="60"/>
      <c r="THK2466" s="60"/>
      <c r="THL2466" s="60"/>
      <c r="THM2466" s="63"/>
      <c r="THN2466" s="61"/>
      <c r="THO2466" s="54"/>
      <c r="THP2466" s="54"/>
      <c r="THQ2466" s="60"/>
      <c r="THR2466" s="60"/>
      <c r="THS2466" s="60"/>
      <c r="THT2466" s="60"/>
      <c r="THU2466" s="63"/>
      <c r="THV2466" s="61"/>
      <c r="THW2466" s="54"/>
      <c r="THX2466" s="54"/>
      <c r="THY2466" s="60"/>
      <c r="THZ2466" s="60"/>
      <c r="TIA2466" s="60"/>
      <c r="TIB2466" s="60"/>
      <c r="TIC2466" s="63"/>
      <c r="TID2466" s="61"/>
      <c r="TIE2466" s="54"/>
      <c r="TIF2466" s="54"/>
      <c r="TIG2466" s="60"/>
      <c r="TIH2466" s="60"/>
      <c r="TII2466" s="60"/>
      <c r="TIJ2466" s="60"/>
      <c r="TIK2466" s="63"/>
      <c r="TIL2466" s="61"/>
      <c r="TIM2466" s="54"/>
      <c r="TIN2466" s="54"/>
      <c r="TIO2466" s="60"/>
      <c r="TIP2466" s="60"/>
      <c r="TIQ2466" s="60"/>
      <c r="TIR2466" s="60"/>
      <c r="TIS2466" s="63"/>
      <c r="TIT2466" s="61"/>
      <c r="TIU2466" s="54"/>
      <c r="TIV2466" s="54"/>
      <c r="TIW2466" s="60"/>
      <c r="TIX2466" s="60"/>
      <c r="TIY2466" s="60"/>
      <c r="TIZ2466" s="60"/>
      <c r="TJA2466" s="63"/>
      <c r="TJB2466" s="61"/>
      <c r="TJC2466" s="54"/>
      <c r="TJD2466" s="54"/>
      <c r="TJE2466" s="60"/>
      <c r="TJF2466" s="60"/>
      <c r="TJG2466" s="60"/>
      <c r="TJH2466" s="60"/>
      <c r="TJI2466" s="63"/>
      <c r="TJJ2466" s="61"/>
      <c r="TJK2466" s="54"/>
      <c r="TJL2466" s="54"/>
      <c r="TJM2466" s="60"/>
      <c r="TJN2466" s="60"/>
      <c r="TJO2466" s="60"/>
      <c r="TJP2466" s="60"/>
      <c r="TJQ2466" s="63"/>
      <c r="TJR2466" s="61"/>
      <c r="TJS2466" s="54"/>
      <c r="TJT2466" s="54"/>
      <c r="TJU2466" s="60"/>
      <c r="TJV2466" s="60"/>
      <c r="TJW2466" s="60"/>
      <c r="TJX2466" s="60"/>
      <c r="TJY2466" s="63"/>
      <c r="TJZ2466" s="61"/>
      <c r="TKA2466" s="54"/>
      <c r="TKB2466" s="54"/>
      <c r="TKC2466" s="60"/>
      <c r="TKD2466" s="60"/>
      <c r="TKE2466" s="60"/>
      <c r="TKF2466" s="60"/>
      <c r="TKG2466" s="63"/>
      <c r="TKH2466" s="61"/>
      <c r="TKI2466" s="54"/>
      <c r="TKJ2466" s="54"/>
      <c r="TKK2466" s="60"/>
      <c r="TKL2466" s="60"/>
      <c r="TKM2466" s="60"/>
      <c r="TKN2466" s="60"/>
      <c r="TKO2466" s="63"/>
      <c r="TKP2466" s="61"/>
      <c r="TKQ2466" s="54"/>
      <c r="TKR2466" s="54"/>
      <c r="TKS2466" s="60"/>
      <c r="TKT2466" s="60"/>
      <c r="TKU2466" s="60"/>
      <c r="TKV2466" s="60"/>
      <c r="TKW2466" s="63"/>
      <c r="TKX2466" s="61"/>
      <c r="TKY2466" s="54"/>
      <c r="TKZ2466" s="54"/>
      <c r="TLA2466" s="60"/>
      <c r="TLB2466" s="60"/>
      <c r="TLC2466" s="60"/>
      <c r="TLD2466" s="60"/>
      <c r="TLE2466" s="63"/>
      <c r="TLF2466" s="61"/>
      <c r="TLG2466" s="54"/>
      <c r="TLH2466" s="54"/>
      <c r="TLI2466" s="60"/>
      <c r="TLJ2466" s="60"/>
      <c r="TLK2466" s="60"/>
      <c r="TLL2466" s="60"/>
      <c r="TLM2466" s="63"/>
      <c r="TLN2466" s="61"/>
      <c r="TLO2466" s="54"/>
      <c r="TLP2466" s="54"/>
      <c r="TLQ2466" s="60"/>
      <c r="TLR2466" s="60"/>
      <c r="TLS2466" s="60"/>
      <c r="TLT2466" s="60"/>
      <c r="TLU2466" s="63"/>
      <c r="TLV2466" s="61"/>
      <c r="TLW2466" s="54"/>
      <c r="TLX2466" s="54"/>
      <c r="TLY2466" s="60"/>
      <c r="TLZ2466" s="60"/>
      <c r="TMA2466" s="60"/>
      <c r="TMB2466" s="60"/>
      <c r="TMC2466" s="63"/>
      <c r="TMD2466" s="61"/>
      <c r="TME2466" s="54"/>
      <c r="TMF2466" s="54"/>
      <c r="TMG2466" s="60"/>
      <c r="TMH2466" s="60"/>
      <c r="TMI2466" s="60"/>
      <c r="TMJ2466" s="60"/>
      <c r="TMK2466" s="63"/>
      <c r="TML2466" s="61"/>
      <c r="TMM2466" s="54"/>
      <c r="TMN2466" s="54"/>
      <c r="TMO2466" s="60"/>
      <c r="TMP2466" s="60"/>
      <c r="TMQ2466" s="60"/>
      <c r="TMR2466" s="60"/>
      <c r="TMS2466" s="63"/>
      <c r="TMT2466" s="61"/>
      <c r="TMU2466" s="54"/>
      <c r="TMV2466" s="54"/>
      <c r="TMW2466" s="60"/>
      <c r="TMX2466" s="60"/>
      <c r="TMY2466" s="60"/>
      <c r="TMZ2466" s="60"/>
      <c r="TNA2466" s="63"/>
      <c r="TNB2466" s="61"/>
      <c r="TNC2466" s="54"/>
      <c r="TND2466" s="54"/>
      <c r="TNE2466" s="60"/>
      <c r="TNF2466" s="60"/>
      <c r="TNG2466" s="60"/>
      <c r="TNH2466" s="60"/>
      <c r="TNI2466" s="63"/>
      <c r="TNJ2466" s="61"/>
      <c r="TNK2466" s="54"/>
      <c r="TNL2466" s="54"/>
      <c r="TNM2466" s="60"/>
      <c r="TNN2466" s="60"/>
      <c r="TNO2466" s="60"/>
      <c r="TNP2466" s="60"/>
      <c r="TNQ2466" s="63"/>
      <c r="TNR2466" s="61"/>
      <c r="TNS2466" s="54"/>
      <c r="TNT2466" s="54"/>
      <c r="TNU2466" s="60"/>
      <c r="TNV2466" s="60"/>
      <c r="TNW2466" s="60"/>
      <c r="TNX2466" s="60"/>
      <c r="TNY2466" s="63"/>
      <c r="TNZ2466" s="61"/>
      <c r="TOA2466" s="54"/>
      <c r="TOB2466" s="54"/>
      <c r="TOC2466" s="60"/>
      <c r="TOD2466" s="60"/>
      <c r="TOE2466" s="60"/>
      <c r="TOF2466" s="60"/>
      <c r="TOG2466" s="63"/>
      <c r="TOH2466" s="61"/>
      <c r="TOI2466" s="54"/>
      <c r="TOJ2466" s="54"/>
      <c r="TOK2466" s="60"/>
      <c r="TOL2466" s="60"/>
      <c r="TOM2466" s="60"/>
      <c r="TON2466" s="60"/>
      <c r="TOO2466" s="63"/>
      <c r="TOP2466" s="61"/>
      <c r="TOQ2466" s="54"/>
      <c r="TOR2466" s="54"/>
      <c r="TOS2466" s="60"/>
      <c r="TOT2466" s="60"/>
      <c r="TOU2466" s="60"/>
      <c r="TOV2466" s="60"/>
      <c r="TOW2466" s="63"/>
      <c r="TOX2466" s="61"/>
      <c r="TOY2466" s="54"/>
      <c r="TOZ2466" s="54"/>
      <c r="TPA2466" s="60"/>
      <c r="TPB2466" s="60"/>
      <c r="TPC2466" s="60"/>
      <c r="TPD2466" s="60"/>
      <c r="TPE2466" s="63"/>
      <c r="TPF2466" s="61"/>
      <c r="TPG2466" s="54"/>
      <c r="TPH2466" s="54"/>
      <c r="TPI2466" s="60"/>
      <c r="TPJ2466" s="60"/>
      <c r="TPK2466" s="60"/>
      <c r="TPL2466" s="60"/>
      <c r="TPM2466" s="63"/>
      <c r="TPN2466" s="61"/>
      <c r="TPO2466" s="54"/>
      <c r="TPP2466" s="54"/>
      <c r="TPQ2466" s="60"/>
      <c r="TPR2466" s="60"/>
      <c r="TPS2466" s="60"/>
      <c r="TPT2466" s="60"/>
      <c r="TPU2466" s="63"/>
      <c r="TPV2466" s="61"/>
      <c r="TPW2466" s="54"/>
      <c r="TPX2466" s="54"/>
      <c r="TPY2466" s="60"/>
      <c r="TPZ2466" s="60"/>
      <c r="TQA2466" s="60"/>
      <c r="TQB2466" s="60"/>
      <c r="TQC2466" s="63"/>
      <c r="TQD2466" s="61"/>
      <c r="TQE2466" s="54"/>
      <c r="TQF2466" s="54"/>
      <c r="TQG2466" s="60"/>
      <c r="TQH2466" s="60"/>
      <c r="TQI2466" s="60"/>
      <c r="TQJ2466" s="60"/>
      <c r="TQK2466" s="63"/>
      <c r="TQL2466" s="61"/>
      <c r="TQM2466" s="54"/>
      <c r="TQN2466" s="54"/>
      <c r="TQO2466" s="60"/>
      <c r="TQP2466" s="60"/>
      <c r="TQQ2466" s="60"/>
      <c r="TQR2466" s="60"/>
      <c r="TQS2466" s="63"/>
      <c r="TQT2466" s="61"/>
      <c r="TQU2466" s="54"/>
      <c r="TQV2466" s="54"/>
      <c r="TQW2466" s="60"/>
      <c r="TQX2466" s="60"/>
      <c r="TQY2466" s="60"/>
      <c r="TQZ2466" s="60"/>
      <c r="TRA2466" s="63"/>
      <c r="TRB2466" s="61"/>
      <c r="TRC2466" s="54"/>
      <c r="TRD2466" s="54"/>
      <c r="TRE2466" s="60"/>
      <c r="TRF2466" s="60"/>
      <c r="TRG2466" s="60"/>
      <c r="TRH2466" s="60"/>
      <c r="TRI2466" s="63"/>
      <c r="TRJ2466" s="61"/>
      <c r="TRK2466" s="54"/>
      <c r="TRL2466" s="54"/>
      <c r="TRM2466" s="60"/>
      <c r="TRN2466" s="60"/>
      <c r="TRO2466" s="60"/>
      <c r="TRP2466" s="60"/>
      <c r="TRQ2466" s="63"/>
      <c r="TRR2466" s="61"/>
      <c r="TRS2466" s="54"/>
      <c r="TRT2466" s="54"/>
      <c r="TRU2466" s="60"/>
      <c r="TRV2466" s="60"/>
      <c r="TRW2466" s="60"/>
      <c r="TRX2466" s="60"/>
      <c r="TRY2466" s="63"/>
      <c r="TRZ2466" s="61"/>
      <c r="TSA2466" s="54"/>
      <c r="TSB2466" s="54"/>
      <c r="TSC2466" s="60"/>
      <c r="TSD2466" s="60"/>
      <c r="TSE2466" s="60"/>
      <c r="TSF2466" s="60"/>
      <c r="TSG2466" s="63"/>
      <c r="TSH2466" s="61"/>
      <c r="TSI2466" s="54"/>
      <c r="TSJ2466" s="54"/>
      <c r="TSK2466" s="60"/>
      <c r="TSL2466" s="60"/>
      <c r="TSM2466" s="60"/>
      <c r="TSN2466" s="60"/>
      <c r="TSO2466" s="63"/>
      <c r="TSP2466" s="61"/>
      <c r="TSQ2466" s="54"/>
      <c r="TSR2466" s="54"/>
      <c r="TSS2466" s="60"/>
      <c r="TST2466" s="60"/>
      <c r="TSU2466" s="60"/>
      <c r="TSV2466" s="60"/>
      <c r="TSW2466" s="63"/>
      <c r="TSX2466" s="61"/>
      <c r="TSY2466" s="54"/>
      <c r="TSZ2466" s="54"/>
      <c r="TTA2466" s="60"/>
      <c r="TTB2466" s="60"/>
      <c r="TTC2466" s="60"/>
      <c r="TTD2466" s="60"/>
      <c r="TTE2466" s="63"/>
      <c r="TTF2466" s="61"/>
      <c r="TTG2466" s="54"/>
      <c r="TTH2466" s="54"/>
      <c r="TTI2466" s="60"/>
      <c r="TTJ2466" s="60"/>
      <c r="TTK2466" s="60"/>
      <c r="TTL2466" s="60"/>
      <c r="TTM2466" s="63"/>
      <c r="TTN2466" s="61"/>
      <c r="TTO2466" s="54"/>
      <c r="TTP2466" s="54"/>
      <c r="TTQ2466" s="60"/>
      <c r="TTR2466" s="60"/>
      <c r="TTS2466" s="60"/>
      <c r="TTT2466" s="60"/>
      <c r="TTU2466" s="63"/>
      <c r="TTV2466" s="61"/>
      <c r="TTW2466" s="54"/>
      <c r="TTX2466" s="54"/>
      <c r="TTY2466" s="60"/>
      <c r="TTZ2466" s="60"/>
      <c r="TUA2466" s="60"/>
      <c r="TUB2466" s="60"/>
      <c r="TUC2466" s="63"/>
      <c r="TUD2466" s="61"/>
      <c r="TUE2466" s="54"/>
      <c r="TUF2466" s="54"/>
      <c r="TUG2466" s="60"/>
      <c r="TUH2466" s="60"/>
      <c r="TUI2466" s="60"/>
      <c r="TUJ2466" s="60"/>
      <c r="TUK2466" s="63"/>
      <c r="TUL2466" s="61"/>
      <c r="TUM2466" s="54"/>
      <c r="TUN2466" s="54"/>
      <c r="TUO2466" s="60"/>
      <c r="TUP2466" s="60"/>
      <c r="TUQ2466" s="60"/>
      <c r="TUR2466" s="60"/>
      <c r="TUS2466" s="63"/>
      <c r="TUT2466" s="61"/>
      <c r="TUU2466" s="54"/>
      <c r="TUV2466" s="54"/>
      <c r="TUW2466" s="60"/>
      <c r="TUX2466" s="60"/>
      <c r="TUY2466" s="60"/>
      <c r="TUZ2466" s="60"/>
      <c r="TVA2466" s="63"/>
      <c r="TVB2466" s="61"/>
      <c r="TVC2466" s="54"/>
      <c r="TVD2466" s="54"/>
      <c r="TVE2466" s="60"/>
      <c r="TVF2466" s="60"/>
      <c r="TVG2466" s="60"/>
      <c r="TVH2466" s="60"/>
      <c r="TVI2466" s="63"/>
      <c r="TVJ2466" s="61"/>
      <c r="TVK2466" s="54"/>
      <c r="TVL2466" s="54"/>
      <c r="TVM2466" s="60"/>
      <c r="TVN2466" s="60"/>
      <c r="TVO2466" s="60"/>
      <c r="TVP2466" s="60"/>
      <c r="TVQ2466" s="63"/>
      <c r="TVR2466" s="61"/>
      <c r="TVS2466" s="54"/>
      <c r="TVT2466" s="54"/>
      <c r="TVU2466" s="60"/>
      <c r="TVV2466" s="60"/>
      <c r="TVW2466" s="60"/>
      <c r="TVX2466" s="60"/>
      <c r="TVY2466" s="63"/>
      <c r="TVZ2466" s="61"/>
      <c r="TWA2466" s="54"/>
      <c r="TWB2466" s="54"/>
      <c r="TWC2466" s="60"/>
      <c r="TWD2466" s="60"/>
      <c r="TWE2466" s="60"/>
      <c r="TWF2466" s="60"/>
      <c r="TWG2466" s="63"/>
      <c r="TWH2466" s="61"/>
      <c r="TWI2466" s="54"/>
      <c r="TWJ2466" s="54"/>
      <c r="TWK2466" s="60"/>
      <c r="TWL2466" s="60"/>
      <c r="TWM2466" s="60"/>
      <c r="TWN2466" s="60"/>
      <c r="TWO2466" s="63"/>
      <c r="TWP2466" s="61"/>
      <c r="TWQ2466" s="54"/>
      <c r="TWR2466" s="54"/>
      <c r="TWS2466" s="60"/>
      <c r="TWT2466" s="60"/>
      <c r="TWU2466" s="60"/>
      <c r="TWV2466" s="60"/>
      <c r="TWW2466" s="63"/>
      <c r="TWX2466" s="61"/>
      <c r="TWY2466" s="54"/>
      <c r="TWZ2466" s="54"/>
      <c r="TXA2466" s="60"/>
      <c r="TXB2466" s="60"/>
      <c r="TXC2466" s="60"/>
      <c r="TXD2466" s="60"/>
      <c r="TXE2466" s="63"/>
      <c r="TXF2466" s="61"/>
      <c r="TXG2466" s="54"/>
      <c r="TXH2466" s="54"/>
      <c r="TXI2466" s="60"/>
      <c r="TXJ2466" s="60"/>
      <c r="TXK2466" s="60"/>
      <c r="TXL2466" s="60"/>
      <c r="TXM2466" s="63"/>
      <c r="TXN2466" s="61"/>
      <c r="TXO2466" s="54"/>
      <c r="TXP2466" s="54"/>
      <c r="TXQ2466" s="60"/>
      <c r="TXR2466" s="60"/>
      <c r="TXS2466" s="60"/>
      <c r="TXT2466" s="60"/>
      <c r="TXU2466" s="63"/>
      <c r="TXV2466" s="61"/>
      <c r="TXW2466" s="54"/>
      <c r="TXX2466" s="54"/>
      <c r="TXY2466" s="60"/>
      <c r="TXZ2466" s="60"/>
      <c r="TYA2466" s="60"/>
      <c r="TYB2466" s="60"/>
      <c r="TYC2466" s="63"/>
      <c r="TYD2466" s="61"/>
      <c r="TYE2466" s="54"/>
      <c r="TYF2466" s="54"/>
      <c r="TYG2466" s="60"/>
      <c r="TYH2466" s="60"/>
      <c r="TYI2466" s="60"/>
      <c r="TYJ2466" s="60"/>
      <c r="TYK2466" s="63"/>
      <c r="TYL2466" s="61"/>
      <c r="TYM2466" s="54"/>
      <c r="TYN2466" s="54"/>
      <c r="TYO2466" s="60"/>
      <c r="TYP2466" s="60"/>
      <c r="TYQ2466" s="60"/>
      <c r="TYR2466" s="60"/>
      <c r="TYS2466" s="63"/>
      <c r="TYT2466" s="61"/>
      <c r="TYU2466" s="54"/>
      <c r="TYV2466" s="54"/>
      <c r="TYW2466" s="60"/>
      <c r="TYX2466" s="60"/>
      <c r="TYY2466" s="60"/>
      <c r="TYZ2466" s="60"/>
      <c r="TZA2466" s="63"/>
      <c r="TZB2466" s="61"/>
      <c r="TZC2466" s="54"/>
      <c r="TZD2466" s="54"/>
      <c r="TZE2466" s="60"/>
      <c r="TZF2466" s="60"/>
      <c r="TZG2466" s="60"/>
      <c r="TZH2466" s="60"/>
      <c r="TZI2466" s="63"/>
      <c r="TZJ2466" s="61"/>
      <c r="TZK2466" s="54"/>
      <c r="TZL2466" s="54"/>
      <c r="TZM2466" s="60"/>
      <c r="TZN2466" s="60"/>
      <c r="TZO2466" s="60"/>
      <c r="TZP2466" s="60"/>
      <c r="TZQ2466" s="63"/>
      <c r="TZR2466" s="61"/>
      <c r="TZS2466" s="54"/>
      <c r="TZT2466" s="54"/>
      <c r="TZU2466" s="60"/>
      <c r="TZV2466" s="60"/>
      <c r="TZW2466" s="60"/>
      <c r="TZX2466" s="60"/>
      <c r="TZY2466" s="63"/>
      <c r="TZZ2466" s="61"/>
      <c r="UAA2466" s="54"/>
      <c r="UAB2466" s="54"/>
      <c r="UAC2466" s="60"/>
      <c r="UAD2466" s="60"/>
      <c r="UAE2466" s="60"/>
      <c r="UAF2466" s="60"/>
      <c r="UAG2466" s="63"/>
      <c r="UAH2466" s="61"/>
      <c r="UAI2466" s="54"/>
      <c r="UAJ2466" s="54"/>
      <c r="UAK2466" s="60"/>
      <c r="UAL2466" s="60"/>
      <c r="UAM2466" s="60"/>
      <c r="UAN2466" s="60"/>
      <c r="UAO2466" s="63"/>
      <c r="UAP2466" s="61"/>
      <c r="UAQ2466" s="54"/>
      <c r="UAR2466" s="54"/>
      <c r="UAS2466" s="60"/>
      <c r="UAT2466" s="60"/>
      <c r="UAU2466" s="60"/>
      <c r="UAV2466" s="60"/>
      <c r="UAW2466" s="63"/>
      <c r="UAX2466" s="61"/>
      <c r="UAY2466" s="54"/>
      <c r="UAZ2466" s="54"/>
      <c r="UBA2466" s="60"/>
      <c r="UBB2466" s="60"/>
      <c r="UBC2466" s="60"/>
      <c r="UBD2466" s="60"/>
      <c r="UBE2466" s="63"/>
      <c r="UBF2466" s="61"/>
      <c r="UBG2466" s="54"/>
      <c r="UBH2466" s="54"/>
      <c r="UBI2466" s="60"/>
      <c r="UBJ2466" s="60"/>
      <c r="UBK2466" s="60"/>
      <c r="UBL2466" s="60"/>
      <c r="UBM2466" s="63"/>
      <c r="UBN2466" s="61"/>
      <c r="UBO2466" s="54"/>
      <c r="UBP2466" s="54"/>
      <c r="UBQ2466" s="60"/>
      <c r="UBR2466" s="60"/>
      <c r="UBS2466" s="60"/>
      <c r="UBT2466" s="60"/>
      <c r="UBU2466" s="63"/>
      <c r="UBV2466" s="61"/>
      <c r="UBW2466" s="54"/>
      <c r="UBX2466" s="54"/>
      <c r="UBY2466" s="60"/>
      <c r="UBZ2466" s="60"/>
      <c r="UCA2466" s="60"/>
      <c r="UCB2466" s="60"/>
      <c r="UCC2466" s="63"/>
      <c r="UCD2466" s="61"/>
      <c r="UCE2466" s="54"/>
      <c r="UCF2466" s="54"/>
      <c r="UCG2466" s="60"/>
      <c r="UCH2466" s="60"/>
      <c r="UCI2466" s="60"/>
      <c r="UCJ2466" s="60"/>
      <c r="UCK2466" s="63"/>
      <c r="UCL2466" s="61"/>
      <c r="UCM2466" s="54"/>
      <c r="UCN2466" s="54"/>
      <c r="UCO2466" s="60"/>
      <c r="UCP2466" s="60"/>
      <c r="UCQ2466" s="60"/>
      <c r="UCR2466" s="60"/>
      <c r="UCS2466" s="63"/>
      <c r="UCT2466" s="61"/>
      <c r="UCU2466" s="54"/>
      <c r="UCV2466" s="54"/>
      <c r="UCW2466" s="60"/>
      <c r="UCX2466" s="60"/>
      <c r="UCY2466" s="60"/>
      <c r="UCZ2466" s="60"/>
      <c r="UDA2466" s="63"/>
      <c r="UDB2466" s="61"/>
      <c r="UDC2466" s="54"/>
      <c r="UDD2466" s="54"/>
      <c r="UDE2466" s="60"/>
      <c r="UDF2466" s="60"/>
      <c r="UDG2466" s="60"/>
      <c r="UDH2466" s="60"/>
      <c r="UDI2466" s="63"/>
      <c r="UDJ2466" s="61"/>
      <c r="UDK2466" s="54"/>
      <c r="UDL2466" s="54"/>
      <c r="UDM2466" s="60"/>
      <c r="UDN2466" s="60"/>
      <c r="UDO2466" s="60"/>
      <c r="UDP2466" s="60"/>
      <c r="UDQ2466" s="63"/>
      <c r="UDR2466" s="61"/>
      <c r="UDS2466" s="54"/>
      <c r="UDT2466" s="54"/>
      <c r="UDU2466" s="60"/>
      <c r="UDV2466" s="60"/>
      <c r="UDW2466" s="60"/>
      <c r="UDX2466" s="60"/>
      <c r="UDY2466" s="63"/>
      <c r="UDZ2466" s="61"/>
      <c r="UEA2466" s="54"/>
      <c r="UEB2466" s="54"/>
      <c r="UEC2466" s="60"/>
      <c r="UED2466" s="60"/>
      <c r="UEE2466" s="60"/>
      <c r="UEF2466" s="60"/>
      <c r="UEG2466" s="63"/>
      <c r="UEH2466" s="61"/>
      <c r="UEI2466" s="54"/>
      <c r="UEJ2466" s="54"/>
      <c r="UEK2466" s="60"/>
      <c r="UEL2466" s="60"/>
      <c r="UEM2466" s="60"/>
      <c r="UEN2466" s="60"/>
      <c r="UEO2466" s="63"/>
      <c r="UEP2466" s="61"/>
      <c r="UEQ2466" s="54"/>
      <c r="UER2466" s="54"/>
      <c r="UES2466" s="60"/>
      <c r="UET2466" s="60"/>
      <c r="UEU2466" s="60"/>
      <c r="UEV2466" s="60"/>
      <c r="UEW2466" s="63"/>
      <c r="UEX2466" s="61"/>
      <c r="UEY2466" s="54"/>
      <c r="UEZ2466" s="54"/>
      <c r="UFA2466" s="60"/>
      <c r="UFB2466" s="60"/>
      <c r="UFC2466" s="60"/>
      <c r="UFD2466" s="60"/>
      <c r="UFE2466" s="63"/>
      <c r="UFF2466" s="61"/>
      <c r="UFG2466" s="54"/>
      <c r="UFH2466" s="54"/>
      <c r="UFI2466" s="60"/>
      <c r="UFJ2466" s="60"/>
      <c r="UFK2466" s="60"/>
      <c r="UFL2466" s="60"/>
      <c r="UFM2466" s="63"/>
      <c r="UFN2466" s="61"/>
      <c r="UFO2466" s="54"/>
      <c r="UFP2466" s="54"/>
      <c r="UFQ2466" s="60"/>
      <c r="UFR2466" s="60"/>
      <c r="UFS2466" s="60"/>
      <c r="UFT2466" s="60"/>
      <c r="UFU2466" s="63"/>
      <c r="UFV2466" s="61"/>
      <c r="UFW2466" s="54"/>
      <c r="UFX2466" s="54"/>
      <c r="UFY2466" s="60"/>
      <c r="UFZ2466" s="60"/>
      <c r="UGA2466" s="60"/>
      <c r="UGB2466" s="60"/>
      <c r="UGC2466" s="63"/>
      <c r="UGD2466" s="61"/>
      <c r="UGE2466" s="54"/>
      <c r="UGF2466" s="54"/>
      <c r="UGG2466" s="60"/>
      <c r="UGH2466" s="60"/>
      <c r="UGI2466" s="60"/>
      <c r="UGJ2466" s="60"/>
      <c r="UGK2466" s="63"/>
      <c r="UGL2466" s="61"/>
      <c r="UGM2466" s="54"/>
      <c r="UGN2466" s="54"/>
      <c r="UGO2466" s="60"/>
      <c r="UGP2466" s="60"/>
      <c r="UGQ2466" s="60"/>
      <c r="UGR2466" s="60"/>
      <c r="UGS2466" s="63"/>
      <c r="UGT2466" s="61"/>
      <c r="UGU2466" s="54"/>
      <c r="UGV2466" s="54"/>
      <c r="UGW2466" s="60"/>
      <c r="UGX2466" s="60"/>
      <c r="UGY2466" s="60"/>
      <c r="UGZ2466" s="60"/>
      <c r="UHA2466" s="63"/>
      <c r="UHB2466" s="61"/>
      <c r="UHC2466" s="54"/>
      <c r="UHD2466" s="54"/>
      <c r="UHE2466" s="60"/>
      <c r="UHF2466" s="60"/>
      <c r="UHG2466" s="60"/>
      <c r="UHH2466" s="60"/>
      <c r="UHI2466" s="63"/>
      <c r="UHJ2466" s="61"/>
      <c r="UHK2466" s="54"/>
      <c r="UHL2466" s="54"/>
      <c r="UHM2466" s="60"/>
      <c r="UHN2466" s="60"/>
      <c r="UHO2466" s="60"/>
      <c r="UHP2466" s="60"/>
      <c r="UHQ2466" s="63"/>
      <c r="UHR2466" s="61"/>
      <c r="UHS2466" s="54"/>
      <c r="UHT2466" s="54"/>
      <c r="UHU2466" s="60"/>
      <c r="UHV2466" s="60"/>
      <c r="UHW2466" s="60"/>
      <c r="UHX2466" s="60"/>
      <c r="UHY2466" s="63"/>
      <c r="UHZ2466" s="61"/>
      <c r="UIA2466" s="54"/>
      <c r="UIB2466" s="54"/>
      <c r="UIC2466" s="60"/>
      <c r="UID2466" s="60"/>
      <c r="UIE2466" s="60"/>
      <c r="UIF2466" s="60"/>
      <c r="UIG2466" s="63"/>
      <c r="UIH2466" s="61"/>
      <c r="UII2466" s="54"/>
      <c r="UIJ2466" s="54"/>
      <c r="UIK2466" s="60"/>
      <c r="UIL2466" s="60"/>
      <c r="UIM2466" s="60"/>
      <c r="UIN2466" s="60"/>
      <c r="UIO2466" s="63"/>
      <c r="UIP2466" s="61"/>
      <c r="UIQ2466" s="54"/>
      <c r="UIR2466" s="54"/>
      <c r="UIS2466" s="60"/>
      <c r="UIT2466" s="60"/>
      <c r="UIU2466" s="60"/>
      <c r="UIV2466" s="60"/>
      <c r="UIW2466" s="63"/>
      <c r="UIX2466" s="61"/>
      <c r="UIY2466" s="54"/>
      <c r="UIZ2466" s="54"/>
      <c r="UJA2466" s="60"/>
      <c r="UJB2466" s="60"/>
      <c r="UJC2466" s="60"/>
      <c r="UJD2466" s="60"/>
      <c r="UJE2466" s="63"/>
      <c r="UJF2466" s="61"/>
      <c r="UJG2466" s="54"/>
      <c r="UJH2466" s="54"/>
      <c r="UJI2466" s="60"/>
      <c r="UJJ2466" s="60"/>
      <c r="UJK2466" s="60"/>
      <c r="UJL2466" s="60"/>
      <c r="UJM2466" s="63"/>
      <c r="UJN2466" s="61"/>
      <c r="UJO2466" s="54"/>
      <c r="UJP2466" s="54"/>
      <c r="UJQ2466" s="60"/>
      <c r="UJR2466" s="60"/>
      <c r="UJS2466" s="60"/>
      <c r="UJT2466" s="60"/>
      <c r="UJU2466" s="63"/>
      <c r="UJV2466" s="61"/>
      <c r="UJW2466" s="54"/>
      <c r="UJX2466" s="54"/>
      <c r="UJY2466" s="60"/>
      <c r="UJZ2466" s="60"/>
      <c r="UKA2466" s="60"/>
      <c r="UKB2466" s="60"/>
      <c r="UKC2466" s="63"/>
      <c r="UKD2466" s="61"/>
      <c r="UKE2466" s="54"/>
      <c r="UKF2466" s="54"/>
      <c r="UKG2466" s="60"/>
      <c r="UKH2466" s="60"/>
      <c r="UKI2466" s="60"/>
      <c r="UKJ2466" s="60"/>
      <c r="UKK2466" s="63"/>
      <c r="UKL2466" s="61"/>
      <c r="UKM2466" s="54"/>
      <c r="UKN2466" s="54"/>
      <c r="UKO2466" s="60"/>
      <c r="UKP2466" s="60"/>
      <c r="UKQ2466" s="60"/>
      <c r="UKR2466" s="60"/>
      <c r="UKS2466" s="63"/>
      <c r="UKT2466" s="61"/>
      <c r="UKU2466" s="54"/>
      <c r="UKV2466" s="54"/>
      <c r="UKW2466" s="60"/>
      <c r="UKX2466" s="60"/>
      <c r="UKY2466" s="60"/>
      <c r="UKZ2466" s="60"/>
      <c r="ULA2466" s="63"/>
      <c r="ULB2466" s="61"/>
      <c r="ULC2466" s="54"/>
      <c r="ULD2466" s="54"/>
      <c r="ULE2466" s="60"/>
      <c r="ULF2466" s="60"/>
      <c r="ULG2466" s="60"/>
      <c r="ULH2466" s="60"/>
      <c r="ULI2466" s="63"/>
      <c r="ULJ2466" s="61"/>
      <c r="ULK2466" s="54"/>
      <c r="ULL2466" s="54"/>
      <c r="ULM2466" s="60"/>
      <c r="ULN2466" s="60"/>
      <c r="ULO2466" s="60"/>
      <c r="ULP2466" s="60"/>
      <c r="ULQ2466" s="63"/>
      <c r="ULR2466" s="61"/>
      <c r="ULS2466" s="54"/>
      <c r="ULT2466" s="54"/>
      <c r="ULU2466" s="60"/>
      <c r="ULV2466" s="60"/>
      <c r="ULW2466" s="60"/>
      <c r="ULX2466" s="60"/>
      <c r="ULY2466" s="63"/>
      <c r="ULZ2466" s="61"/>
      <c r="UMA2466" s="54"/>
      <c r="UMB2466" s="54"/>
      <c r="UMC2466" s="60"/>
      <c r="UMD2466" s="60"/>
      <c r="UME2466" s="60"/>
      <c r="UMF2466" s="60"/>
      <c r="UMG2466" s="63"/>
      <c r="UMH2466" s="61"/>
      <c r="UMI2466" s="54"/>
      <c r="UMJ2466" s="54"/>
      <c r="UMK2466" s="60"/>
      <c r="UML2466" s="60"/>
      <c r="UMM2466" s="60"/>
      <c r="UMN2466" s="60"/>
      <c r="UMO2466" s="63"/>
      <c r="UMP2466" s="61"/>
      <c r="UMQ2466" s="54"/>
      <c r="UMR2466" s="54"/>
      <c r="UMS2466" s="60"/>
      <c r="UMT2466" s="60"/>
      <c r="UMU2466" s="60"/>
      <c r="UMV2466" s="60"/>
      <c r="UMW2466" s="63"/>
      <c r="UMX2466" s="61"/>
      <c r="UMY2466" s="54"/>
      <c r="UMZ2466" s="54"/>
      <c r="UNA2466" s="60"/>
      <c r="UNB2466" s="60"/>
      <c r="UNC2466" s="60"/>
      <c r="UND2466" s="60"/>
      <c r="UNE2466" s="63"/>
      <c r="UNF2466" s="61"/>
      <c r="UNG2466" s="54"/>
      <c r="UNH2466" s="54"/>
      <c r="UNI2466" s="60"/>
      <c r="UNJ2466" s="60"/>
      <c r="UNK2466" s="60"/>
      <c r="UNL2466" s="60"/>
      <c r="UNM2466" s="63"/>
      <c r="UNN2466" s="61"/>
      <c r="UNO2466" s="54"/>
      <c r="UNP2466" s="54"/>
      <c r="UNQ2466" s="60"/>
      <c r="UNR2466" s="60"/>
      <c r="UNS2466" s="60"/>
      <c r="UNT2466" s="60"/>
      <c r="UNU2466" s="63"/>
      <c r="UNV2466" s="61"/>
      <c r="UNW2466" s="54"/>
      <c r="UNX2466" s="54"/>
      <c r="UNY2466" s="60"/>
      <c r="UNZ2466" s="60"/>
      <c r="UOA2466" s="60"/>
      <c r="UOB2466" s="60"/>
      <c r="UOC2466" s="63"/>
      <c r="UOD2466" s="61"/>
      <c r="UOE2466" s="54"/>
      <c r="UOF2466" s="54"/>
      <c r="UOG2466" s="60"/>
      <c r="UOH2466" s="60"/>
      <c r="UOI2466" s="60"/>
      <c r="UOJ2466" s="60"/>
      <c r="UOK2466" s="63"/>
      <c r="UOL2466" s="61"/>
      <c r="UOM2466" s="54"/>
      <c r="UON2466" s="54"/>
      <c r="UOO2466" s="60"/>
      <c r="UOP2466" s="60"/>
      <c r="UOQ2466" s="60"/>
      <c r="UOR2466" s="60"/>
      <c r="UOS2466" s="63"/>
      <c r="UOT2466" s="61"/>
      <c r="UOU2466" s="54"/>
      <c r="UOV2466" s="54"/>
      <c r="UOW2466" s="60"/>
      <c r="UOX2466" s="60"/>
      <c r="UOY2466" s="60"/>
      <c r="UOZ2466" s="60"/>
      <c r="UPA2466" s="63"/>
      <c r="UPB2466" s="61"/>
      <c r="UPC2466" s="54"/>
      <c r="UPD2466" s="54"/>
      <c r="UPE2466" s="60"/>
      <c r="UPF2466" s="60"/>
      <c r="UPG2466" s="60"/>
      <c r="UPH2466" s="60"/>
      <c r="UPI2466" s="63"/>
      <c r="UPJ2466" s="61"/>
      <c r="UPK2466" s="54"/>
      <c r="UPL2466" s="54"/>
      <c r="UPM2466" s="60"/>
      <c r="UPN2466" s="60"/>
      <c r="UPO2466" s="60"/>
      <c r="UPP2466" s="60"/>
      <c r="UPQ2466" s="63"/>
      <c r="UPR2466" s="61"/>
      <c r="UPS2466" s="54"/>
      <c r="UPT2466" s="54"/>
      <c r="UPU2466" s="60"/>
      <c r="UPV2466" s="60"/>
      <c r="UPW2466" s="60"/>
      <c r="UPX2466" s="60"/>
      <c r="UPY2466" s="63"/>
      <c r="UPZ2466" s="61"/>
      <c r="UQA2466" s="54"/>
      <c r="UQB2466" s="54"/>
      <c r="UQC2466" s="60"/>
      <c r="UQD2466" s="60"/>
      <c r="UQE2466" s="60"/>
      <c r="UQF2466" s="60"/>
      <c r="UQG2466" s="63"/>
      <c r="UQH2466" s="61"/>
      <c r="UQI2466" s="54"/>
      <c r="UQJ2466" s="54"/>
      <c r="UQK2466" s="60"/>
      <c r="UQL2466" s="60"/>
      <c r="UQM2466" s="60"/>
      <c r="UQN2466" s="60"/>
      <c r="UQO2466" s="63"/>
      <c r="UQP2466" s="61"/>
      <c r="UQQ2466" s="54"/>
      <c r="UQR2466" s="54"/>
      <c r="UQS2466" s="60"/>
      <c r="UQT2466" s="60"/>
      <c r="UQU2466" s="60"/>
      <c r="UQV2466" s="60"/>
      <c r="UQW2466" s="63"/>
      <c r="UQX2466" s="61"/>
      <c r="UQY2466" s="54"/>
      <c r="UQZ2466" s="54"/>
      <c r="URA2466" s="60"/>
      <c r="URB2466" s="60"/>
      <c r="URC2466" s="60"/>
      <c r="URD2466" s="60"/>
      <c r="URE2466" s="63"/>
      <c r="URF2466" s="61"/>
      <c r="URG2466" s="54"/>
      <c r="URH2466" s="54"/>
      <c r="URI2466" s="60"/>
      <c r="URJ2466" s="60"/>
      <c r="URK2466" s="60"/>
      <c r="URL2466" s="60"/>
      <c r="URM2466" s="63"/>
      <c r="URN2466" s="61"/>
      <c r="URO2466" s="54"/>
      <c r="URP2466" s="54"/>
      <c r="URQ2466" s="60"/>
      <c r="URR2466" s="60"/>
      <c r="URS2466" s="60"/>
      <c r="URT2466" s="60"/>
      <c r="URU2466" s="63"/>
      <c r="URV2466" s="61"/>
      <c r="URW2466" s="54"/>
      <c r="URX2466" s="54"/>
      <c r="URY2466" s="60"/>
      <c r="URZ2466" s="60"/>
      <c r="USA2466" s="60"/>
      <c r="USB2466" s="60"/>
      <c r="USC2466" s="63"/>
      <c r="USD2466" s="61"/>
      <c r="USE2466" s="54"/>
      <c r="USF2466" s="54"/>
      <c r="USG2466" s="60"/>
      <c r="USH2466" s="60"/>
      <c r="USI2466" s="60"/>
      <c r="USJ2466" s="60"/>
      <c r="USK2466" s="63"/>
      <c r="USL2466" s="61"/>
      <c r="USM2466" s="54"/>
      <c r="USN2466" s="54"/>
      <c r="USO2466" s="60"/>
      <c r="USP2466" s="60"/>
      <c r="USQ2466" s="60"/>
      <c r="USR2466" s="60"/>
      <c r="USS2466" s="63"/>
      <c r="UST2466" s="61"/>
      <c r="USU2466" s="54"/>
      <c r="USV2466" s="54"/>
      <c r="USW2466" s="60"/>
      <c r="USX2466" s="60"/>
      <c r="USY2466" s="60"/>
      <c r="USZ2466" s="60"/>
      <c r="UTA2466" s="63"/>
      <c r="UTB2466" s="61"/>
      <c r="UTC2466" s="54"/>
      <c r="UTD2466" s="54"/>
      <c r="UTE2466" s="60"/>
      <c r="UTF2466" s="60"/>
      <c r="UTG2466" s="60"/>
      <c r="UTH2466" s="60"/>
      <c r="UTI2466" s="63"/>
      <c r="UTJ2466" s="61"/>
      <c r="UTK2466" s="54"/>
      <c r="UTL2466" s="54"/>
      <c r="UTM2466" s="60"/>
      <c r="UTN2466" s="60"/>
      <c r="UTO2466" s="60"/>
      <c r="UTP2466" s="60"/>
      <c r="UTQ2466" s="63"/>
      <c r="UTR2466" s="61"/>
      <c r="UTS2466" s="54"/>
      <c r="UTT2466" s="54"/>
      <c r="UTU2466" s="60"/>
      <c r="UTV2466" s="60"/>
      <c r="UTW2466" s="60"/>
      <c r="UTX2466" s="60"/>
      <c r="UTY2466" s="63"/>
      <c r="UTZ2466" s="61"/>
      <c r="UUA2466" s="54"/>
      <c r="UUB2466" s="54"/>
      <c r="UUC2466" s="60"/>
      <c r="UUD2466" s="60"/>
      <c r="UUE2466" s="60"/>
      <c r="UUF2466" s="60"/>
      <c r="UUG2466" s="63"/>
      <c r="UUH2466" s="61"/>
      <c r="UUI2466" s="54"/>
      <c r="UUJ2466" s="54"/>
      <c r="UUK2466" s="60"/>
      <c r="UUL2466" s="60"/>
      <c r="UUM2466" s="60"/>
      <c r="UUN2466" s="60"/>
      <c r="UUO2466" s="63"/>
      <c r="UUP2466" s="61"/>
      <c r="UUQ2466" s="54"/>
      <c r="UUR2466" s="54"/>
      <c r="UUS2466" s="60"/>
      <c r="UUT2466" s="60"/>
      <c r="UUU2466" s="60"/>
      <c r="UUV2466" s="60"/>
      <c r="UUW2466" s="63"/>
      <c r="UUX2466" s="61"/>
      <c r="UUY2466" s="54"/>
      <c r="UUZ2466" s="54"/>
      <c r="UVA2466" s="60"/>
      <c r="UVB2466" s="60"/>
      <c r="UVC2466" s="60"/>
      <c r="UVD2466" s="60"/>
      <c r="UVE2466" s="63"/>
      <c r="UVF2466" s="61"/>
      <c r="UVG2466" s="54"/>
      <c r="UVH2466" s="54"/>
      <c r="UVI2466" s="60"/>
      <c r="UVJ2466" s="60"/>
      <c r="UVK2466" s="60"/>
      <c r="UVL2466" s="60"/>
      <c r="UVM2466" s="63"/>
      <c r="UVN2466" s="61"/>
      <c r="UVO2466" s="54"/>
      <c r="UVP2466" s="54"/>
      <c r="UVQ2466" s="60"/>
      <c r="UVR2466" s="60"/>
      <c r="UVS2466" s="60"/>
      <c r="UVT2466" s="60"/>
      <c r="UVU2466" s="63"/>
      <c r="UVV2466" s="61"/>
      <c r="UVW2466" s="54"/>
      <c r="UVX2466" s="54"/>
      <c r="UVY2466" s="60"/>
      <c r="UVZ2466" s="60"/>
      <c r="UWA2466" s="60"/>
      <c r="UWB2466" s="60"/>
      <c r="UWC2466" s="63"/>
      <c r="UWD2466" s="61"/>
      <c r="UWE2466" s="54"/>
      <c r="UWF2466" s="54"/>
      <c r="UWG2466" s="60"/>
      <c r="UWH2466" s="60"/>
      <c r="UWI2466" s="60"/>
      <c r="UWJ2466" s="60"/>
      <c r="UWK2466" s="63"/>
      <c r="UWL2466" s="61"/>
      <c r="UWM2466" s="54"/>
      <c r="UWN2466" s="54"/>
      <c r="UWO2466" s="60"/>
      <c r="UWP2466" s="60"/>
      <c r="UWQ2466" s="60"/>
      <c r="UWR2466" s="60"/>
      <c r="UWS2466" s="63"/>
      <c r="UWT2466" s="61"/>
      <c r="UWU2466" s="54"/>
      <c r="UWV2466" s="54"/>
      <c r="UWW2466" s="60"/>
      <c r="UWX2466" s="60"/>
      <c r="UWY2466" s="60"/>
      <c r="UWZ2466" s="60"/>
      <c r="UXA2466" s="63"/>
      <c r="UXB2466" s="61"/>
      <c r="UXC2466" s="54"/>
      <c r="UXD2466" s="54"/>
      <c r="UXE2466" s="60"/>
      <c r="UXF2466" s="60"/>
      <c r="UXG2466" s="60"/>
      <c r="UXH2466" s="60"/>
      <c r="UXI2466" s="63"/>
      <c r="UXJ2466" s="61"/>
      <c r="UXK2466" s="54"/>
      <c r="UXL2466" s="54"/>
      <c r="UXM2466" s="60"/>
      <c r="UXN2466" s="60"/>
      <c r="UXO2466" s="60"/>
      <c r="UXP2466" s="60"/>
      <c r="UXQ2466" s="63"/>
      <c r="UXR2466" s="61"/>
      <c r="UXS2466" s="54"/>
      <c r="UXT2466" s="54"/>
      <c r="UXU2466" s="60"/>
      <c r="UXV2466" s="60"/>
      <c r="UXW2466" s="60"/>
      <c r="UXX2466" s="60"/>
      <c r="UXY2466" s="63"/>
      <c r="UXZ2466" s="61"/>
      <c r="UYA2466" s="54"/>
      <c r="UYB2466" s="54"/>
      <c r="UYC2466" s="60"/>
      <c r="UYD2466" s="60"/>
      <c r="UYE2466" s="60"/>
      <c r="UYF2466" s="60"/>
      <c r="UYG2466" s="63"/>
      <c r="UYH2466" s="61"/>
      <c r="UYI2466" s="54"/>
      <c r="UYJ2466" s="54"/>
      <c r="UYK2466" s="60"/>
      <c r="UYL2466" s="60"/>
      <c r="UYM2466" s="60"/>
      <c r="UYN2466" s="60"/>
      <c r="UYO2466" s="63"/>
      <c r="UYP2466" s="61"/>
      <c r="UYQ2466" s="54"/>
      <c r="UYR2466" s="54"/>
      <c r="UYS2466" s="60"/>
      <c r="UYT2466" s="60"/>
      <c r="UYU2466" s="60"/>
      <c r="UYV2466" s="60"/>
      <c r="UYW2466" s="63"/>
      <c r="UYX2466" s="61"/>
      <c r="UYY2466" s="54"/>
      <c r="UYZ2466" s="54"/>
      <c r="UZA2466" s="60"/>
      <c r="UZB2466" s="60"/>
      <c r="UZC2466" s="60"/>
      <c r="UZD2466" s="60"/>
      <c r="UZE2466" s="63"/>
      <c r="UZF2466" s="61"/>
      <c r="UZG2466" s="54"/>
      <c r="UZH2466" s="54"/>
      <c r="UZI2466" s="60"/>
      <c r="UZJ2466" s="60"/>
      <c r="UZK2466" s="60"/>
      <c r="UZL2466" s="60"/>
      <c r="UZM2466" s="63"/>
      <c r="UZN2466" s="61"/>
      <c r="UZO2466" s="54"/>
      <c r="UZP2466" s="54"/>
      <c r="UZQ2466" s="60"/>
      <c r="UZR2466" s="60"/>
      <c r="UZS2466" s="60"/>
      <c r="UZT2466" s="60"/>
      <c r="UZU2466" s="63"/>
      <c r="UZV2466" s="61"/>
      <c r="UZW2466" s="54"/>
      <c r="UZX2466" s="54"/>
      <c r="UZY2466" s="60"/>
      <c r="UZZ2466" s="60"/>
      <c r="VAA2466" s="60"/>
      <c r="VAB2466" s="60"/>
      <c r="VAC2466" s="63"/>
      <c r="VAD2466" s="61"/>
      <c r="VAE2466" s="54"/>
      <c r="VAF2466" s="54"/>
      <c r="VAG2466" s="60"/>
      <c r="VAH2466" s="60"/>
      <c r="VAI2466" s="60"/>
      <c r="VAJ2466" s="60"/>
      <c r="VAK2466" s="63"/>
      <c r="VAL2466" s="61"/>
      <c r="VAM2466" s="54"/>
      <c r="VAN2466" s="54"/>
      <c r="VAO2466" s="60"/>
      <c r="VAP2466" s="60"/>
      <c r="VAQ2466" s="60"/>
      <c r="VAR2466" s="60"/>
      <c r="VAS2466" s="63"/>
      <c r="VAT2466" s="61"/>
      <c r="VAU2466" s="54"/>
      <c r="VAV2466" s="54"/>
      <c r="VAW2466" s="60"/>
      <c r="VAX2466" s="60"/>
      <c r="VAY2466" s="60"/>
      <c r="VAZ2466" s="60"/>
      <c r="VBA2466" s="63"/>
      <c r="VBB2466" s="61"/>
      <c r="VBC2466" s="54"/>
      <c r="VBD2466" s="54"/>
      <c r="VBE2466" s="60"/>
      <c r="VBF2466" s="60"/>
      <c r="VBG2466" s="60"/>
      <c r="VBH2466" s="60"/>
      <c r="VBI2466" s="63"/>
      <c r="VBJ2466" s="61"/>
      <c r="VBK2466" s="54"/>
      <c r="VBL2466" s="54"/>
      <c r="VBM2466" s="60"/>
      <c r="VBN2466" s="60"/>
      <c r="VBO2466" s="60"/>
      <c r="VBP2466" s="60"/>
      <c r="VBQ2466" s="63"/>
      <c r="VBR2466" s="61"/>
      <c r="VBS2466" s="54"/>
      <c r="VBT2466" s="54"/>
      <c r="VBU2466" s="60"/>
      <c r="VBV2466" s="60"/>
      <c r="VBW2466" s="60"/>
      <c r="VBX2466" s="60"/>
      <c r="VBY2466" s="63"/>
      <c r="VBZ2466" s="61"/>
      <c r="VCA2466" s="54"/>
      <c r="VCB2466" s="54"/>
      <c r="VCC2466" s="60"/>
      <c r="VCD2466" s="60"/>
      <c r="VCE2466" s="60"/>
      <c r="VCF2466" s="60"/>
      <c r="VCG2466" s="63"/>
      <c r="VCH2466" s="61"/>
      <c r="VCI2466" s="54"/>
      <c r="VCJ2466" s="54"/>
      <c r="VCK2466" s="60"/>
      <c r="VCL2466" s="60"/>
      <c r="VCM2466" s="60"/>
      <c r="VCN2466" s="60"/>
      <c r="VCO2466" s="63"/>
      <c r="VCP2466" s="61"/>
      <c r="VCQ2466" s="54"/>
      <c r="VCR2466" s="54"/>
      <c r="VCS2466" s="60"/>
      <c r="VCT2466" s="60"/>
      <c r="VCU2466" s="60"/>
      <c r="VCV2466" s="60"/>
      <c r="VCW2466" s="63"/>
      <c r="VCX2466" s="61"/>
      <c r="VCY2466" s="54"/>
      <c r="VCZ2466" s="54"/>
      <c r="VDA2466" s="60"/>
      <c r="VDB2466" s="60"/>
      <c r="VDC2466" s="60"/>
      <c r="VDD2466" s="60"/>
      <c r="VDE2466" s="63"/>
      <c r="VDF2466" s="61"/>
      <c r="VDG2466" s="54"/>
      <c r="VDH2466" s="54"/>
      <c r="VDI2466" s="60"/>
      <c r="VDJ2466" s="60"/>
      <c r="VDK2466" s="60"/>
      <c r="VDL2466" s="60"/>
      <c r="VDM2466" s="63"/>
      <c r="VDN2466" s="61"/>
      <c r="VDO2466" s="54"/>
      <c r="VDP2466" s="54"/>
      <c r="VDQ2466" s="60"/>
      <c r="VDR2466" s="60"/>
      <c r="VDS2466" s="60"/>
      <c r="VDT2466" s="60"/>
      <c r="VDU2466" s="63"/>
      <c r="VDV2466" s="61"/>
      <c r="VDW2466" s="54"/>
      <c r="VDX2466" s="54"/>
      <c r="VDY2466" s="60"/>
      <c r="VDZ2466" s="60"/>
      <c r="VEA2466" s="60"/>
      <c r="VEB2466" s="60"/>
      <c r="VEC2466" s="63"/>
      <c r="VED2466" s="61"/>
      <c r="VEE2466" s="54"/>
      <c r="VEF2466" s="54"/>
      <c r="VEG2466" s="60"/>
      <c r="VEH2466" s="60"/>
      <c r="VEI2466" s="60"/>
      <c r="VEJ2466" s="60"/>
      <c r="VEK2466" s="63"/>
      <c r="VEL2466" s="61"/>
      <c r="VEM2466" s="54"/>
      <c r="VEN2466" s="54"/>
      <c r="VEO2466" s="60"/>
      <c r="VEP2466" s="60"/>
      <c r="VEQ2466" s="60"/>
      <c r="VER2466" s="60"/>
      <c r="VES2466" s="63"/>
      <c r="VET2466" s="61"/>
      <c r="VEU2466" s="54"/>
      <c r="VEV2466" s="54"/>
      <c r="VEW2466" s="60"/>
      <c r="VEX2466" s="60"/>
      <c r="VEY2466" s="60"/>
      <c r="VEZ2466" s="60"/>
      <c r="VFA2466" s="63"/>
      <c r="VFB2466" s="61"/>
      <c r="VFC2466" s="54"/>
      <c r="VFD2466" s="54"/>
      <c r="VFE2466" s="60"/>
      <c r="VFF2466" s="60"/>
      <c r="VFG2466" s="60"/>
      <c r="VFH2466" s="60"/>
      <c r="VFI2466" s="63"/>
      <c r="VFJ2466" s="61"/>
      <c r="VFK2466" s="54"/>
      <c r="VFL2466" s="54"/>
      <c r="VFM2466" s="60"/>
      <c r="VFN2466" s="60"/>
      <c r="VFO2466" s="60"/>
      <c r="VFP2466" s="60"/>
      <c r="VFQ2466" s="63"/>
      <c r="VFR2466" s="61"/>
      <c r="VFS2466" s="54"/>
      <c r="VFT2466" s="54"/>
      <c r="VFU2466" s="60"/>
      <c r="VFV2466" s="60"/>
      <c r="VFW2466" s="60"/>
      <c r="VFX2466" s="60"/>
      <c r="VFY2466" s="63"/>
      <c r="VFZ2466" s="61"/>
      <c r="VGA2466" s="54"/>
      <c r="VGB2466" s="54"/>
      <c r="VGC2466" s="60"/>
      <c r="VGD2466" s="60"/>
      <c r="VGE2466" s="60"/>
      <c r="VGF2466" s="60"/>
      <c r="VGG2466" s="63"/>
      <c r="VGH2466" s="61"/>
      <c r="VGI2466" s="54"/>
      <c r="VGJ2466" s="54"/>
      <c r="VGK2466" s="60"/>
      <c r="VGL2466" s="60"/>
      <c r="VGM2466" s="60"/>
      <c r="VGN2466" s="60"/>
      <c r="VGO2466" s="63"/>
      <c r="VGP2466" s="61"/>
      <c r="VGQ2466" s="54"/>
      <c r="VGR2466" s="54"/>
      <c r="VGS2466" s="60"/>
      <c r="VGT2466" s="60"/>
      <c r="VGU2466" s="60"/>
      <c r="VGV2466" s="60"/>
      <c r="VGW2466" s="63"/>
      <c r="VGX2466" s="61"/>
      <c r="VGY2466" s="54"/>
      <c r="VGZ2466" s="54"/>
      <c r="VHA2466" s="60"/>
      <c r="VHB2466" s="60"/>
      <c r="VHC2466" s="60"/>
      <c r="VHD2466" s="60"/>
      <c r="VHE2466" s="63"/>
      <c r="VHF2466" s="61"/>
      <c r="VHG2466" s="54"/>
      <c r="VHH2466" s="54"/>
      <c r="VHI2466" s="60"/>
      <c r="VHJ2466" s="60"/>
      <c r="VHK2466" s="60"/>
      <c r="VHL2466" s="60"/>
      <c r="VHM2466" s="63"/>
      <c r="VHN2466" s="61"/>
      <c r="VHO2466" s="54"/>
      <c r="VHP2466" s="54"/>
      <c r="VHQ2466" s="60"/>
      <c r="VHR2466" s="60"/>
      <c r="VHS2466" s="60"/>
      <c r="VHT2466" s="60"/>
      <c r="VHU2466" s="63"/>
      <c r="VHV2466" s="61"/>
      <c r="VHW2466" s="54"/>
      <c r="VHX2466" s="54"/>
      <c r="VHY2466" s="60"/>
      <c r="VHZ2466" s="60"/>
      <c r="VIA2466" s="60"/>
      <c r="VIB2466" s="60"/>
      <c r="VIC2466" s="63"/>
      <c r="VID2466" s="61"/>
      <c r="VIE2466" s="54"/>
      <c r="VIF2466" s="54"/>
      <c r="VIG2466" s="60"/>
      <c r="VIH2466" s="60"/>
      <c r="VII2466" s="60"/>
      <c r="VIJ2466" s="60"/>
      <c r="VIK2466" s="63"/>
      <c r="VIL2466" s="61"/>
      <c r="VIM2466" s="54"/>
      <c r="VIN2466" s="54"/>
      <c r="VIO2466" s="60"/>
      <c r="VIP2466" s="60"/>
      <c r="VIQ2466" s="60"/>
      <c r="VIR2466" s="60"/>
      <c r="VIS2466" s="63"/>
      <c r="VIT2466" s="61"/>
      <c r="VIU2466" s="54"/>
      <c r="VIV2466" s="54"/>
      <c r="VIW2466" s="60"/>
      <c r="VIX2466" s="60"/>
      <c r="VIY2466" s="60"/>
      <c r="VIZ2466" s="60"/>
      <c r="VJA2466" s="63"/>
      <c r="VJB2466" s="61"/>
      <c r="VJC2466" s="54"/>
      <c r="VJD2466" s="54"/>
      <c r="VJE2466" s="60"/>
      <c r="VJF2466" s="60"/>
      <c r="VJG2466" s="60"/>
      <c r="VJH2466" s="60"/>
      <c r="VJI2466" s="63"/>
      <c r="VJJ2466" s="61"/>
      <c r="VJK2466" s="54"/>
      <c r="VJL2466" s="54"/>
      <c r="VJM2466" s="60"/>
      <c r="VJN2466" s="60"/>
      <c r="VJO2466" s="60"/>
      <c r="VJP2466" s="60"/>
      <c r="VJQ2466" s="63"/>
      <c r="VJR2466" s="61"/>
      <c r="VJS2466" s="54"/>
      <c r="VJT2466" s="54"/>
      <c r="VJU2466" s="60"/>
      <c r="VJV2466" s="60"/>
      <c r="VJW2466" s="60"/>
      <c r="VJX2466" s="60"/>
      <c r="VJY2466" s="63"/>
      <c r="VJZ2466" s="61"/>
      <c r="VKA2466" s="54"/>
      <c r="VKB2466" s="54"/>
      <c r="VKC2466" s="60"/>
      <c r="VKD2466" s="60"/>
      <c r="VKE2466" s="60"/>
      <c r="VKF2466" s="60"/>
      <c r="VKG2466" s="63"/>
      <c r="VKH2466" s="61"/>
      <c r="VKI2466" s="54"/>
      <c r="VKJ2466" s="54"/>
      <c r="VKK2466" s="60"/>
      <c r="VKL2466" s="60"/>
      <c r="VKM2466" s="60"/>
      <c r="VKN2466" s="60"/>
      <c r="VKO2466" s="63"/>
      <c r="VKP2466" s="61"/>
      <c r="VKQ2466" s="54"/>
      <c r="VKR2466" s="54"/>
      <c r="VKS2466" s="60"/>
      <c r="VKT2466" s="60"/>
      <c r="VKU2466" s="60"/>
      <c r="VKV2466" s="60"/>
      <c r="VKW2466" s="63"/>
      <c r="VKX2466" s="61"/>
      <c r="VKY2466" s="54"/>
      <c r="VKZ2466" s="54"/>
      <c r="VLA2466" s="60"/>
      <c r="VLB2466" s="60"/>
      <c r="VLC2466" s="60"/>
      <c r="VLD2466" s="60"/>
      <c r="VLE2466" s="63"/>
      <c r="VLF2466" s="61"/>
      <c r="VLG2466" s="54"/>
      <c r="VLH2466" s="54"/>
      <c r="VLI2466" s="60"/>
      <c r="VLJ2466" s="60"/>
      <c r="VLK2466" s="60"/>
      <c r="VLL2466" s="60"/>
      <c r="VLM2466" s="63"/>
      <c r="VLN2466" s="61"/>
      <c r="VLO2466" s="54"/>
      <c r="VLP2466" s="54"/>
      <c r="VLQ2466" s="60"/>
      <c r="VLR2466" s="60"/>
      <c r="VLS2466" s="60"/>
      <c r="VLT2466" s="60"/>
      <c r="VLU2466" s="63"/>
      <c r="VLV2466" s="61"/>
      <c r="VLW2466" s="54"/>
      <c r="VLX2466" s="54"/>
      <c r="VLY2466" s="60"/>
      <c r="VLZ2466" s="60"/>
      <c r="VMA2466" s="60"/>
      <c r="VMB2466" s="60"/>
      <c r="VMC2466" s="63"/>
      <c r="VMD2466" s="61"/>
      <c r="VME2466" s="54"/>
      <c r="VMF2466" s="54"/>
      <c r="VMG2466" s="60"/>
      <c r="VMH2466" s="60"/>
      <c r="VMI2466" s="60"/>
      <c r="VMJ2466" s="60"/>
      <c r="VMK2466" s="63"/>
      <c r="VML2466" s="61"/>
      <c r="VMM2466" s="54"/>
      <c r="VMN2466" s="54"/>
      <c r="VMO2466" s="60"/>
      <c r="VMP2466" s="60"/>
      <c r="VMQ2466" s="60"/>
      <c r="VMR2466" s="60"/>
      <c r="VMS2466" s="63"/>
      <c r="VMT2466" s="61"/>
      <c r="VMU2466" s="54"/>
      <c r="VMV2466" s="54"/>
      <c r="VMW2466" s="60"/>
      <c r="VMX2466" s="60"/>
      <c r="VMY2466" s="60"/>
      <c r="VMZ2466" s="60"/>
      <c r="VNA2466" s="63"/>
      <c r="VNB2466" s="61"/>
      <c r="VNC2466" s="54"/>
      <c r="VND2466" s="54"/>
      <c r="VNE2466" s="60"/>
      <c r="VNF2466" s="60"/>
      <c r="VNG2466" s="60"/>
      <c r="VNH2466" s="60"/>
      <c r="VNI2466" s="63"/>
      <c r="VNJ2466" s="61"/>
      <c r="VNK2466" s="54"/>
      <c r="VNL2466" s="54"/>
      <c r="VNM2466" s="60"/>
      <c r="VNN2466" s="60"/>
      <c r="VNO2466" s="60"/>
      <c r="VNP2466" s="60"/>
      <c r="VNQ2466" s="63"/>
      <c r="VNR2466" s="61"/>
      <c r="VNS2466" s="54"/>
      <c r="VNT2466" s="54"/>
      <c r="VNU2466" s="60"/>
      <c r="VNV2466" s="60"/>
      <c r="VNW2466" s="60"/>
      <c r="VNX2466" s="60"/>
      <c r="VNY2466" s="63"/>
      <c r="VNZ2466" s="61"/>
      <c r="VOA2466" s="54"/>
      <c r="VOB2466" s="54"/>
      <c r="VOC2466" s="60"/>
      <c r="VOD2466" s="60"/>
      <c r="VOE2466" s="60"/>
      <c r="VOF2466" s="60"/>
      <c r="VOG2466" s="63"/>
      <c r="VOH2466" s="61"/>
      <c r="VOI2466" s="54"/>
      <c r="VOJ2466" s="54"/>
      <c r="VOK2466" s="60"/>
      <c r="VOL2466" s="60"/>
      <c r="VOM2466" s="60"/>
      <c r="VON2466" s="60"/>
      <c r="VOO2466" s="63"/>
      <c r="VOP2466" s="61"/>
      <c r="VOQ2466" s="54"/>
      <c r="VOR2466" s="54"/>
      <c r="VOS2466" s="60"/>
      <c r="VOT2466" s="60"/>
      <c r="VOU2466" s="60"/>
      <c r="VOV2466" s="60"/>
      <c r="VOW2466" s="63"/>
      <c r="VOX2466" s="61"/>
      <c r="VOY2466" s="54"/>
      <c r="VOZ2466" s="54"/>
      <c r="VPA2466" s="60"/>
      <c r="VPB2466" s="60"/>
      <c r="VPC2466" s="60"/>
      <c r="VPD2466" s="60"/>
      <c r="VPE2466" s="63"/>
      <c r="VPF2466" s="61"/>
      <c r="VPG2466" s="54"/>
      <c r="VPH2466" s="54"/>
      <c r="VPI2466" s="60"/>
      <c r="VPJ2466" s="60"/>
      <c r="VPK2466" s="60"/>
      <c r="VPL2466" s="60"/>
      <c r="VPM2466" s="63"/>
      <c r="VPN2466" s="61"/>
      <c r="VPO2466" s="54"/>
      <c r="VPP2466" s="54"/>
      <c r="VPQ2466" s="60"/>
      <c r="VPR2466" s="60"/>
      <c r="VPS2466" s="60"/>
      <c r="VPT2466" s="60"/>
      <c r="VPU2466" s="63"/>
      <c r="VPV2466" s="61"/>
      <c r="VPW2466" s="54"/>
      <c r="VPX2466" s="54"/>
      <c r="VPY2466" s="60"/>
      <c r="VPZ2466" s="60"/>
      <c r="VQA2466" s="60"/>
      <c r="VQB2466" s="60"/>
      <c r="VQC2466" s="63"/>
      <c r="VQD2466" s="61"/>
      <c r="VQE2466" s="54"/>
      <c r="VQF2466" s="54"/>
      <c r="VQG2466" s="60"/>
      <c r="VQH2466" s="60"/>
      <c r="VQI2466" s="60"/>
      <c r="VQJ2466" s="60"/>
      <c r="VQK2466" s="63"/>
      <c r="VQL2466" s="61"/>
      <c r="VQM2466" s="54"/>
      <c r="VQN2466" s="54"/>
      <c r="VQO2466" s="60"/>
      <c r="VQP2466" s="60"/>
      <c r="VQQ2466" s="60"/>
      <c r="VQR2466" s="60"/>
      <c r="VQS2466" s="63"/>
      <c r="VQT2466" s="61"/>
      <c r="VQU2466" s="54"/>
      <c r="VQV2466" s="54"/>
      <c r="VQW2466" s="60"/>
      <c r="VQX2466" s="60"/>
      <c r="VQY2466" s="60"/>
      <c r="VQZ2466" s="60"/>
      <c r="VRA2466" s="63"/>
      <c r="VRB2466" s="61"/>
      <c r="VRC2466" s="54"/>
      <c r="VRD2466" s="54"/>
      <c r="VRE2466" s="60"/>
      <c r="VRF2466" s="60"/>
      <c r="VRG2466" s="60"/>
      <c r="VRH2466" s="60"/>
      <c r="VRI2466" s="63"/>
      <c r="VRJ2466" s="61"/>
      <c r="VRK2466" s="54"/>
      <c r="VRL2466" s="54"/>
      <c r="VRM2466" s="60"/>
      <c r="VRN2466" s="60"/>
      <c r="VRO2466" s="60"/>
      <c r="VRP2466" s="60"/>
      <c r="VRQ2466" s="63"/>
      <c r="VRR2466" s="61"/>
      <c r="VRS2466" s="54"/>
      <c r="VRT2466" s="54"/>
      <c r="VRU2466" s="60"/>
      <c r="VRV2466" s="60"/>
      <c r="VRW2466" s="60"/>
      <c r="VRX2466" s="60"/>
      <c r="VRY2466" s="63"/>
      <c r="VRZ2466" s="61"/>
      <c r="VSA2466" s="54"/>
      <c r="VSB2466" s="54"/>
      <c r="VSC2466" s="60"/>
      <c r="VSD2466" s="60"/>
      <c r="VSE2466" s="60"/>
      <c r="VSF2466" s="60"/>
      <c r="VSG2466" s="63"/>
      <c r="VSH2466" s="61"/>
      <c r="VSI2466" s="54"/>
      <c r="VSJ2466" s="54"/>
      <c r="VSK2466" s="60"/>
      <c r="VSL2466" s="60"/>
      <c r="VSM2466" s="60"/>
      <c r="VSN2466" s="60"/>
      <c r="VSO2466" s="63"/>
      <c r="VSP2466" s="61"/>
      <c r="VSQ2466" s="54"/>
      <c r="VSR2466" s="54"/>
      <c r="VSS2466" s="60"/>
      <c r="VST2466" s="60"/>
      <c r="VSU2466" s="60"/>
      <c r="VSV2466" s="60"/>
      <c r="VSW2466" s="63"/>
      <c r="VSX2466" s="61"/>
      <c r="VSY2466" s="54"/>
      <c r="VSZ2466" s="54"/>
      <c r="VTA2466" s="60"/>
      <c r="VTB2466" s="60"/>
      <c r="VTC2466" s="60"/>
      <c r="VTD2466" s="60"/>
      <c r="VTE2466" s="63"/>
      <c r="VTF2466" s="61"/>
      <c r="VTG2466" s="54"/>
      <c r="VTH2466" s="54"/>
      <c r="VTI2466" s="60"/>
      <c r="VTJ2466" s="60"/>
      <c r="VTK2466" s="60"/>
      <c r="VTL2466" s="60"/>
      <c r="VTM2466" s="63"/>
      <c r="VTN2466" s="61"/>
      <c r="VTO2466" s="54"/>
      <c r="VTP2466" s="54"/>
      <c r="VTQ2466" s="60"/>
      <c r="VTR2466" s="60"/>
      <c r="VTS2466" s="60"/>
      <c r="VTT2466" s="60"/>
      <c r="VTU2466" s="63"/>
      <c r="VTV2466" s="61"/>
      <c r="VTW2466" s="54"/>
      <c r="VTX2466" s="54"/>
      <c r="VTY2466" s="60"/>
      <c r="VTZ2466" s="60"/>
      <c r="VUA2466" s="60"/>
      <c r="VUB2466" s="60"/>
      <c r="VUC2466" s="63"/>
      <c r="VUD2466" s="61"/>
      <c r="VUE2466" s="54"/>
      <c r="VUF2466" s="54"/>
      <c r="VUG2466" s="60"/>
      <c r="VUH2466" s="60"/>
      <c r="VUI2466" s="60"/>
      <c r="VUJ2466" s="60"/>
      <c r="VUK2466" s="63"/>
      <c r="VUL2466" s="61"/>
      <c r="VUM2466" s="54"/>
      <c r="VUN2466" s="54"/>
      <c r="VUO2466" s="60"/>
      <c r="VUP2466" s="60"/>
      <c r="VUQ2466" s="60"/>
      <c r="VUR2466" s="60"/>
      <c r="VUS2466" s="63"/>
      <c r="VUT2466" s="61"/>
      <c r="VUU2466" s="54"/>
      <c r="VUV2466" s="54"/>
      <c r="VUW2466" s="60"/>
      <c r="VUX2466" s="60"/>
      <c r="VUY2466" s="60"/>
      <c r="VUZ2466" s="60"/>
      <c r="VVA2466" s="63"/>
      <c r="VVB2466" s="61"/>
      <c r="VVC2466" s="54"/>
      <c r="VVD2466" s="54"/>
      <c r="VVE2466" s="60"/>
      <c r="VVF2466" s="60"/>
      <c r="VVG2466" s="60"/>
      <c r="VVH2466" s="60"/>
      <c r="VVI2466" s="63"/>
      <c r="VVJ2466" s="61"/>
      <c r="VVK2466" s="54"/>
      <c r="VVL2466" s="54"/>
      <c r="VVM2466" s="60"/>
      <c r="VVN2466" s="60"/>
      <c r="VVO2466" s="60"/>
      <c r="VVP2466" s="60"/>
      <c r="VVQ2466" s="63"/>
      <c r="VVR2466" s="61"/>
      <c r="VVS2466" s="54"/>
      <c r="VVT2466" s="54"/>
      <c r="VVU2466" s="60"/>
      <c r="VVV2466" s="60"/>
      <c r="VVW2466" s="60"/>
      <c r="VVX2466" s="60"/>
      <c r="VVY2466" s="63"/>
      <c r="VVZ2466" s="61"/>
      <c r="VWA2466" s="54"/>
      <c r="VWB2466" s="54"/>
      <c r="VWC2466" s="60"/>
      <c r="VWD2466" s="60"/>
      <c r="VWE2466" s="60"/>
      <c r="VWF2466" s="60"/>
      <c r="VWG2466" s="63"/>
      <c r="VWH2466" s="61"/>
      <c r="VWI2466" s="54"/>
      <c r="VWJ2466" s="54"/>
      <c r="VWK2466" s="60"/>
      <c r="VWL2466" s="60"/>
      <c r="VWM2466" s="60"/>
      <c r="VWN2466" s="60"/>
      <c r="VWO2466" s="63"/>
      <c r="VWP2466" s="61"/>
      <c r="VWQ2466" s="54"/>
      <c r="VWR2466" s="54"/>
      <c r="VWS2466" s="60"/>
      <c r="VWT2466" s="60"/>
      <c r="VWU2466" s="60"/>
      <c r="VWV2466" s="60"/>
      <c r="VWW2466" s="63"/>
      <c r="VWX2466" s="61"/>
      <c r="VWY2466" s="54"/>
      <c r="VWZ2466" s="54"/>
      <c r="VXA2466" s="60"/>
      <c r="VXB2466" s="60"/>
      <c r="VXC2466" s="60"/>
      <c r="VXD2466" s="60"/>
      <c r="VXE2466" s="63"/>
      <c r="VXF2466" s="61"/>
      <c r="VXG2466" s="54"/>
      <c r="VXH2466" s="54"/>
      <c r="VXI2466" s="60"/>
      <c r="VXJ2466" s="60"/>
      <c r="VXK2466" s="60"/>
      <c r="VXL2466" s="60"/>
      <c r="VXM2466" s="63"/>
      <c r="VXN2466" s="61"/>
      <c r="VXO2466" s="54"/>
      <c r="VXP2466" s="54"/>
      <c r="VXQ2466" s="60"/>
      <c r="VXR2466" s="60"/>
      <c r="VXS2466" s="60"/>
      <c r="VXT2466" s="60"/>
      <c r="VXU2466" s="63"/>
      <c r="VXV2466" s="61"/>
      <c r="VXW2466" s="54"/>
      <c r="VXX2466" s="54"/>
      <c r="VXY2466" s="60"/>
      <c r="VXZ2466" s="60"/>
      <c r="VYA2466" s="60"/>
      <c r="VYB2466" s="60"/>
      <c r="VYC2466" s="63"/>
      <c r="VYD2466" s="61"/>
      <c r="VYE2466" s="54"/>
      <c r="VYF2466" s="54"/>
      <c r="VYG2466" s="60"/>
      <c r="VYH2466" s="60"/>
      <c r="VYI2466" s="60"/>
      <c r="VYJ2466" s="60"/>
      <c r="VYK2466" s="63"/>
      <c r="VYL2466" s="61"/>
      <c r="VYM2466" s="54"/>
      <c r="VYN2466" s="54"/>
      <c r="VYO2466" s="60"/>
      <c r="VYP2466" s="60"/>
      <c r="VYQ2466" s="60"/>
      <c r="VYR2466" s="60"/>
      <c r="VYS2466" s="63"/>
      <c r="VYT2466" s="61"/>
      <c r="VYU2466" s="54"/>
      <c r="VYV2466" s="54"/>
      <c r="VYW2466" s="60"/>
      <c r="VYX2466" s="60"/>
      <c r="VYY2466" s="60"/>
      <c r="VYZ2466" s="60"/>
      <c r="VZA2466" s="63"/>
      <c r="VZB2466" s="61"/>
      <c r="VZC2466" s="54"/>
      <c r="VZD2466" s="54"/>
      <c r="VZE2466" s="60"/>
      <c r="VZF2466" s="60"/>
      <c r="VZG2466" s="60"/>
      <c r="VZH2466" s="60"/>
      <c r="VZI2466" s="63"/>
      <c r="VZJ2466" s="61"/>
      <c r="VZK2466" s="54"/>
      <c r="VZL2466" s="54"/>
      <c r="VZM2466" s="60"/>
      <c r="VZN2466" s="60"/>
      <c r="VZO2466" s="60"/>
      <c r="VZP2466" s="60"/>
      <c r="VZQ2466" s="63"/>
      <c r="VZR2466" s="61"/>
      <c r="VZS2466" s="54"/>
      <c r="VZT2466" s="54"/>
      <c r="VZU2466" s="60"/>
      <c r="VZV2466" s="60"/>
      <c r="VZW2466" s="60"/>
      <c r="VZX2466" s="60"/>
      <c r="VZY2466" s="63"/>
      <c r="VZZ2466" s="61"/>
      <c r="WAA2466" s="54"/>
      <c r="WAB2466" s="54"/>
      <c r="WAC2466" s="60"/>
      <c r="WAD2466" s="60"/>
      <c r="WAE2466" s="60"/>
      <c r="WAF2466" s="60"/>
      <c r="WAG2466" s="63"/>
      <c r="WAH2466" s="61"/>
      <c r="WAI2466" s="54"/>
      <c r="WAJ2466" s="54"/>
      <c r="WAK2466" s="60"/>
      <c r="WAL2466" s="60"/>
      <c r="WAM2466" s="60"/>
      <c r="WAN2466" s="60"/>
      <c r="WAO2466" s="63"/>
      <c r="WAP2466" s="61"/>
      <c r="WAQ2466" s="54"/>
      <c r="WAR2466" s="54"/>
      <c r="WAS2466" s="60"/>
      <c r="WAT2466" s="60"/>
      <c r="WAU2466" s="60"/>
      <c r="WAV2466" s="60"/>
      <c r="WAW2466" s="63"/>
      <c r="WAX2466" s="61"/>
      <c r="WAY2466" s="54"/>
      <c r="WAZ2466" s="54"/>
      <c r="WBA2466" s="60"/>
      <c r="WBB2466" s="60"/>
      <c r="WBC2466" s="60"/>
      <c r="WBD2466" s="60"/>
      <c r="WBE2466" s="63"/>
      <c r="WBF2466" s="61"/>
      <c r="WBG2466" s="54"/>
      <c r="WBH2466" s="54"/>
      <c r="WBI2466" s="60"/>
      <c r="WBJ2466" s="60"/>
      <c r="WBK2466" s="60"/>
      <c r="WBL2466" s="60"/>
      <c r="WBM2466" s="63"/>
      <c r="WBN2466" s="61"/>
      <c r="WBO2466" s="54"/>
      <c r="WBP2466" s="54"/>
      <c r="WBQ2466" s="60"/>
      <c r="WBR2466" s="60"/>
      <c r="WBS2466" s="60"/>
      <c r="WBT2466" s="60"/>
      <c r="WBU2466" s="63"/>
      <c r="WBV2466" s="61"/>
      <c r="WBW2466" s="54"/>
      <c r="WBX2466" s="54"/>
      <c r="WBY2466" s="60"/>
      <c r="WBZ2466" s="60"/>
      <c r="WCA2466" s="60"/>
      <c r="WCB2466" s="60"/>
      <c r="WCC2466" s="63"/>
      <c r="WCD2466" s="61"/>
      <c r="WCE2466" s="54"/>
      <c r="WCF2466" s="54"/>
      <c r="WCG2466" s="60"/>
      <c r="WCH2466" s="60"/>
      <c r="WCI2466" s="60"/>
      <c r="WCJ2466" s="60"/>
      <c r="WCK2466" s="63"/>
      <c r="WCL2466" s="61"/>
      <c r="WCM2466" s="54"/>
      <c r="WCN2466" s="54"/>
      <c r="WCO2466" s="60"/>
      <c r="WCP2466" s="60"/>
      <c r="WCQ2466" s="60"/>
      <c r="WCR2466" s="60"/>
      <c r="WCS2466" s="63"/>
      <c r="WCT2466" s="61"/>
      <c r="WCU2466" s="54"/>
      <c r="WCV2466" s="54"/>
      <c r="WCW2466" s="60"/>
      <c r="WCX2466" s="60"/>
      <c r="WCY2466" s="60"/>
      <c r="WCZ2466" s="60"/>
      <c r="WDA2466" s="63"/>
      <c r="WDB2466" s="61"/>
      <c r="WDC2466" s="54"/>
      <c r="WDD2466" s="54"/>
      <c r="WDE2466" s="60"/>
      <c r="WDF2466" s="60"/>
      <c r="WDG2466" s="60"/>
      <c r="WDH2466" s="60"/>
      <c r="WDI2466" s="63"/>
      <c r="WDJ2466" s="61"/>
      <c r="WDK2466" s="54"/>
      <c r="WDL2466" s="54"/>
      <c r="WDM2466" s="60"/>
      <c r="WDN2466" s="60"/>
      <c r="WDO2466" s="60"/>
      <c r="WDP2466" s="60"/>
      <c r="WDQ2466" s="63"/>
      <c r="WDR2466" s="61"/>
      <c r="WDS2466" s="54"/>
      <c r="WDT2466" s="54"/>
      <c r="WDU2466" s="60"/>
      <c r="WDV2466" s="60"/>
      <c r="WDW2466" s="60"/>
      <c r="WDX2466" s="60"/>
      <c r="WDY2466" s="63"/>
      <c r="WDZ2466" s="61"/>
      <c r="WEA2466" s="54"/>
      <c r="WEB2466" s="54"/>
      <c r="WEC2466" s="60"/>
      <c r="WED2466" s="60"/>
      <c r="WEE2466" s="60"/>
      <c r="WEF2466" s="60"/>
      <c r="WEG2466" s="63"/>
      <c r="WEH2466" s="61"/>
      <c r="WEI2466" s="54"/>
      <c r="WEJ2466" s="54"/>
      <c r="WEK2466" s="60"/>
      <c r="WEL2466" s="60"/>
      <c r="WEM2466" s="60"/>
      <c r="WEN2466" s="60"/>
      <c r="WEO2466" s="63"/>
      <c r="WEP2466" s="61"/>
      <c r="WEQ2466" s="54"/>
      <c r="WER2466" s="54"/>
      <c r="WES2466" s="60"/>
      <c r="WET2466" s="60"/>
      <c r="WEU2466" s="60"/>
      <c r="WEV2466" s="60"/>
      <c r="WEW2466" s="63"/>
      <c r="WEX2466" s="61"/>
      <c r="WEY2466" s="54"/>
      <c r="WEZ2466" s="54"/>
      <c r="WFA2466" s="60"/>
      <c r="WFB2466" s="60"/>
      <c r="WFC2466" s="60"/>
      <c r="WFD2466" s="60"/>
      <c r="WFE2466" s="63"/>
      <c r="WFF2466" s="61"/>
      <c r="WFG2466" s="54"/>
      <c r="WFH2466" s="54"/>
      <c r="WFI2466" s="60"/>
      <c r="WFJ2466" s="60"/>
      <c r="WFK2466" s="60"/>
      <c r="WFL2466" s="60"/>
      <c r="WFM2466" s="63"/>
      <c r="WFN2466" s="61"/>
      <c r="WFO2466" s="54"/>
      <c r="WFP2466" s="54"/>
      <c r="WFQ2466" s="60"/>
      <c r="WFR2466" s="60"/>
      <c r="WFS2466" s="60"/>
      <c r="WFT2466" s="60"/>
      <c r="WFU2466" s="63"/>
      <c r="WFV2466" s="61"/>
      <c r="WFW2466" s="54"/>
      <c r="WFX2466" s="54"/>
      <c r="WFY2466" s="60"/>
      <c r="WFZ2466" s="60"/>
      <c r="WGA2466" s="60"/>
      <c r="WGB2466" s="60"/>
      <c r="WGC2466" s="63"/>
      <c r="WGD2466" s="61"/>
      <c r="WGE2466" s="54"/>
      <c r="WGF2466" s="54"/>
      <c r="WGG2466" s="60"/>
      <c r="WGH2466" s="60"/>
      <c r="WGI2466" s="60"/>
      <c r="WGJ2466" s="60"/>
      <c r="WGK2466" s="63"/>
      <c r="WGL2466" s="61"/>
      <c r="WGM2466" s="54"/>
      <c r="WGN2466" s="54"/>
      <c r="WGO2466" s="60"/>
      <c r="WGP2466" s="60"/>
      <c r="WGQ2466" s="60"/>
      <c r="WGR2466" s="60"/>
      <c r="WGS2466" s="63"/>
      <c r="WGT2466" s="61"/>
      <c r="WGU2466" s="54"/>
      <c r="WGV2466" s="54"/>
      <c r="WGW2466" s="60"/>
      <c r="WGX2466" s="60"/>
      <c r="WGY2466" s="60"/>
      <c r="WGZ2466" s="60"/>
      <c r="WHA2466" s="63"/>
      <c r="WHB2466" s="61"/>
      <c r="WHC2466" s="54"/>
      <c r="WHD2466" s="54"/>
      <c r="WHE2466" s="60"/>
      <c r="WHF2466" s="60"/>
      <c r="WHG2466" s="60"/>
      <c r="WHH2466" s="60"/>
      <c r="WHI2466" s="63"/>
      <c r="WHJ2466" s="61"/>
      <c r="WHK2466" s="54"/>
      <c r="WHL2466" s="54"/>
      <c r="WHM2466" s="60"/>
      <c r="WHN2466" s="60"/>
      <c r="WHO2466" s="60"/>
      <c r="WHP2466" s="60"/>
      <c r="WHQ2466" s="63"/>
      <c r="WHR2466" s="61"/>
      <c r="WHS2466" s="54"/>
      <c r="WHT2466" s="54"/>
      <c r="WHU2466" s="60"/>
      <c r="WHV2466" s="60"/>
      <c r="WHW2466" s="60"/>
      <c r="WHX2466" s="60"/>
      <c r="WHY2466" s="63"/>
      <c r="WHZ2466" s="61"/>
      <c r="WIA2466" s="54"/>
      <c r="WIB2466" s="54"/>
      <c r="WIC2466" s="60"/>
      <c r="WID2466" s="60"/>
      <c r="WIE2466" s="60"/>
      <c r="WIF2466" s="60"/>
      <c r="WIG2466" s="63"/>
      <c r="WIH2466" s="61"/>
      <c r="WII2466" s="54"/>
      <c r="WIJ2466" s="54"/>
      <c r="WIK2466" s="60"/>
      <c r="WIL2466" s="60"/>
      <c r="WIM2466" s="60"/>
      <c r="WIN2466" s="60"/>
      <c r="WIO2466" s="63"/>
      <c r="WIP2466" s="61"/>
      <c r="WIQ2466" s="54"/>
      <c r="WIR2466" s="54"/>
      <c r="WIS2466" s="60"/>
      <c r="WIT2466" s="60"/>
      <c r="WIU2466" s="60"/>
      <c r="WIV2466" s="60"/>
      <c r="WIW2466" s="63"/>
      <c r="WIX2466" s="61"/>
      <c r="WIY2466" s="54"/>
      <c r="WIZ2466" s="54"/>
      <c r="WJA2466" s="60"/>
      <c r="WJB2466" s="60"/>
      <c r="WJC2466" s="60"/>
      <c r="WJD2466" s="60"/>
      <c r="WJE2466" s="63"/>
      <c r="WJF2466" s="61"/>
      <c r="WJG2466" s="54"/>
      <c r="WJH2466" s="54"/>
      <c r="WJI2466" s="60"/>
      <c r="WJJ2466" s="60"/>
      <c r="WJK2466" s="60"/>
      <c r="WJL2466" s="60"/>
      <c r="WJM2466" s="63"/>
      <c r="WJN2466" s="61"/>
      <c r="WJO2466" s="54"/>
      <c r="WJP2466" s="54"/>
      <c r="WJQ2466" s="60"/>
      <c r="WJR2466" s="60"/>
      <c r="WJS2466" s="60"/>
      <c r="WJT2466" s="60"/>
      <c r="WJU2466" s="63"/>
      <c r="WJV2466" s="61"/>
      <c r="WJW2466" s="54"/>
      <c r="WJX2466" s="54"/>
      <c r="WJY2466" s="60"/>
      <c r="WJZ2466" s="60"/>
      <c r="WKA2466" s="60"/>
      <c r="WKB2466" s="60"/>
      <c r="WKC2466" s="63"/>
      <c r="WKD2466" s="61"/>
      <c r="WKE2466" s="54"/>
      <c r="WKF2466" s="54"/>
      <c r="WKG2466" s="60"/>
      <c r="WKH2466" s="60"/>
      <c r="WKI2466" s="60"/>
      <c r="WKJ2466" s="60"/>
      <c r="WKK2466" s="63"/>
      <c r="WKL2466" s="61"/>
      <c r="WKM2466" s="54"/>
      <c r="WKN2466" s="54"/>
      <c r="WKO2466" s="60"/>
      <c r="WKP2466" s="60"/>
      <c r="WKQ2466" s="60"/>
      <c r="WKR2466" s="60"/>
      <c r="WKS2466" s="63"/>
      <c r="WKT2466" s="61"/>
      <c r="WKU2466" s="54"/>
      <c r="WKV2466" s="54"/>
      <c r="WKW2466" s="60"/>
      <c r="WKX2466" s="60"/>
      <c r="WKY2466" s="60"/>
      <c r="WKZ2466" s="60"/>
      <c r="WLA2466" s="63"/>
      <c r="WLB2466" s="61"/>
      <c r="WLC2466" s="54"/>
      <c r="WLD2466" s="54"/>
      <c r="WLE2466" s="60"/>
      <c r="WLF2466" s="60"/>
      <c r="WLG2466" s="60"/>
      <c r="WLH2466" s="60"/>
      <c r="WLI2466" s="63"/>
      <c r="WLJ2466" s="61"/>
      <c r="WLK2466" s="54"/>
      <c r="WLL2466" s="54"/>
      <c r="WLM2466" s="60"/>
      <c r="WLN2466" s="60"/>
      <c r="WLO2466" s="60"/>
      <c r="WLP2466" s="60"/>
      <c r="WLQ2466" s="63"/>
      <c r="WLR2466" s="61"/>
      <c r="WLS2466" s="54"/>
      <c r="WLT2466" s="54"/>
      <c r="WLU2466" s="60"/>
      <c r="WLV2466" s="60"/>
      <c r="WLW2466" s="60"/>
      <c r="WLX2466" s="60"/>
      <c r="WLY2466" s="63"/>
      <c r="WLZ2466" s="61"/>
      <c r="WMA2466" s="54"/>
      <c r="WMB2466" s="54"/>
      <c r="WMC2466" s="60"/>
      <c r="WMD2466" s="60"/>
      <c r="WME2466" s="60"/>
      <c r="WMF2466" s="60"/>
      <c r="WMG2466" s="63"/>
      <c r="WMH2466" s="61"/>
      <c r="WMI2466" s="54"/>
      <c r="WMJ2466" s="54"/>
      <c r="WMK2466" s="60"/>
      <c r="WML2466" s="60"/>
      <c r="WMM2466" s="60"/>
      <c r="WMN2466" s="60"/>
      <c r="WMO2466" s="63"/>
      <c r="WMP2466" s="61"/>
      <c r="WMQ2466" s="54"/>
      <c r="WMR2466" s="54"/>
      <c r="WMS2466" s="60"/>
      <c r="WMT2466" s="60"/>
      <c r="WMU2466" s="60"/>
      <c r="WMV2466" s="60"/>
      <c r="WMW2466" s="63"/>
      <c r="WMX2466" s="61"/>
      <c r="WMY2466" s="54"/>
      <c r="WMZ2466" s="54"/>
      <c r="WNA2466" s="60"/>
      <c r="WNB2466" s="60"/>
      <c r="WNC2466" s="60"/>
      <c r="WND2466" s="60"/>
      <c r="WNE2466" s="63"/>
      <c r="WNF2466" s="61"/>
      <c r="WNG2466" s="54"/>
      <c r="WNH2466" s="54"/>
      <c r="WNI2466" s="60"/>
      <c r="WNJ2466" s="60"/>
      <c r="WNK2466" s="60"/>
      <c r="WNL2466" s="60"/>
      <c r="WNM2466" s="63"/>
      <c r="WNN2466" s="61"/>
      <c r="WNO2466" s="54"/>
      <c r="WNP2466" s="54"/>
      <c r="WNQ2466" s="60"/>
      <c r="WNR2466" s="60"/>
      <c r="WNS2466" s="60"/>
      <c r="WNT2466" s="60"/>
      <c r="WNU2466" s="63"/>
      <c r="WNV2466" s="61"/>
      <c r="WNW2466" s="54"/>
      <c r="WNX2466" s="54"/>
      <c r="WNY2466" s="60"/>
      <c r="WNZ2466" s="60"/>
      <c r="WOA2466" s="60"/>
      <c r="WOB2466" s="60"/>
      <c r="WOC2466" s="63"/>
      <c r="WOD2466" s="61"/>
      <c r="WOE2466" s="54"/>
      <c r="WOF2466" s="54"/>
      <c r="WOG2466" s="60"/>
      <c r="WOH2466" s="60"/>
      <c r="WOI2466" s="60"/>
      <c r="WOJ2466" s="60"/>
      <c r="WOK2466" s="63"/>
      <c r="WOL2466" s="61"/>
      <c r="WOM2466" s="54"/>
      <c r="WON2466" s="54"/>
      <c r="WOO2466" s="60"/>
      <c r="WOP2466" s="60"/>
      <c r="WOQ2466" s="60"/>
      <c r="WOR2466" s="60"/>
      <c r="WOS2466" s="63"/>
      <c r="WOT2466" s="61"/>
      <c r="WOU2466" s="54"/>
      <c r="WOV2466" s="54"/>
      <c r="WOW2466" s="60"/>
      <c r="WOX2466" s="60"/>
      <c r="WOY2466" s="60"/>
      <c r="WOZ2466" s="60"/>
      <c r="WPA2466" s="63"/>
      <c r="WPB2466" s="61"/>
      <c r="WPC2466" s="54"/>
      <c r="WPD2466" s="54"/>
      <c r="WPE2466" s="60"/>
      <c r="WPF2466" s="60"/>
      <c r="WPG2466" s="60"/>
      <c r="WPH2466" s="60"/>
      <c r="WPI2466" s="63"/>
      <c r="WPJ2466" s="61"/>
      <c r="WPK2466" s="54"/>
      <c r="WPL2466" s="54"/>
      <c r="WPM2466" s="60"/>
      <c r="WPN2466" s="60"/>
      <c r="WPO2466" s="60"/>
      <c r="WPP2466" s="60"/>
      <c r="WPQ2466" s="63"/>
      <c r="WPR2466" s="61"/>
      <c r="WPS2466" s="54"/>
      <c r="WPT2466" s="54"/>
      <c r="WPU2466" s="60"/>
      <c r="WPV2466" s="60"/>
      <c r="WPW2466" s="60"/>
      <c r="WPX2466" s="60"/>
      <c r="WPY2466" s="63"/>
      <c r="WPZ2466" s="61"/>
      <c r="WQA2466" s="54"/>
      <c r="WQB2466" s="54"/>
      <c r="WQC2466" s="60"/>
      <c r="WQD2466" s="60"/>
      <c r="WQE2466" s="60"/>
      <c r="WQF2466" s="60"/>
      <c r="WQG2466" s="63"/>
      <c r="WQH2466" s="61"/>
      <c r="WQI2466" s="54"/>
      <c r="WQJ2466" s="54"/>
      <c r="WQK2466" s="60"/>
      <c r="WQL2466" s="60"/>
      <c r="WQM2466" s="60"/>
      <c r="WQN2466" s="60"/>
      <c r="WQO2466" s="63"/>
      <c r="WQP2466" s="61"/>
      <c r="WQQ2466" s="54"/>
      <c r="WQR2466" s="54"/>
      <c r="WQS2466" s="60"/>
      <c r="WQT2466" s="60"/>
      <c r="WQU2466" s="60"/>
      <c r="WQV2466" s="60"/>
      <c r="WQW2466" s="63"/>
      <c r="WQX2466" s="61"/>
      <c r="WQY2466" s="54"/>
      <c r="WQZ2466" s="54"/>
      <c r="WRA2466" s="60"/>
      <c r="WRB2466" s="60"/>
      <c r="WRC2466" s="60"/>
      <c r="WRD2466" s="60"/>
      <c r="WRE2466" s="63"/>
      <c r="WRF2466" s="61"/>
      <c r="WRG2466" s="54"/>
      <c r="WRH2466" s="54"/>
      <c r="WRI2466" s="60"/>
      <c r="WRJ2466" s="60"/>
      <c r="WRK2466" s="60"/>
      <c r="WRL2466" s="60"/>
      <c r="WRM2466" s="63"/>
      <c r="WRN2466" s="61"/>
      <c r="WRO2466" s="54"/>
      <c r="WRP2466" s="54"/>
      <c r="WRQ2466" s="60"/>
      <c r="WRR2466" s="60"/>
      <c r="WRS2466" s="60"/>
      <c r="WRT2466" s="60"/>
      <c r="WRU2466" s="63"/>
      <c r="WRV2466" s="61"/>
      <c r="WRW2466" s="54"/>
      <c r="WRX2466" s="54"/>
      <c r="WRY2466" s="60"/>
      <c r="WRZ2466" s="60"/>
      <c r="WSA2466" s="60"/>
      <c r="WSB2466" s="60"/>
      <c r="WSC2466" s="63"/>
      <c r="WSD2466" s="61"/>
      <c r="WSE2466" s="54"/>
      <c r="WSF2466" s="54"/>
      <c r="WSG2466" s="60"/>
      <c r="WSH2466" s="60"/>
      <c r="WSI2466" s="60"/>
      <c r="WSJ2466" s="60"/>
      <c r="WSK2466" s="63"/>
      <c r="WSL2466" s="61"/>
      <c r="WSM2466" s="54"/>
      <c r="WSN2466" s="54"/>
      <c r="WSO2466" s="60"/>
      <c r="WSP2466" s="60"/>
      <c r="WSQ2466" s="60"/>
      <c r="WSR2466" s="60"/>
      <c r="WSS2466" s="63"/>
      <c r="WST2466" s="61"/>
      <c r="WSU2466" s="54"/>
      <c r="WSV2466" s="54"/>
      <c r="WSW2466" s="60"/>
      <c r="WSX2466" s="60"/>
      <c r="WSY2466" s="60"/>
      <c r="WSZ2466" s="60"/>
      <c r="WTA2466" s="63"/>
      <c r="WTB2466" s="61"/>
      <c r="WTC2466" s="54"/>
      <c r="WTD2466" s="54"/>
      <c r="WTE2466" s="60"/>
      <c r="WTF2466" s="60"/>
      <c r="WTG2466" s="60"/>
      <c r="WTH2466" s="60"/>
      <c r="WTI2466" s="63"/>
      <c r="WTJ2466" s="61"/>
      <c r="WTK2466" s="54"/>
      <c r="WTL2466" s="54"/>
      <c r="WTM2466" s="60"/>
      <c r="WTN2466" s="60"/>
      <c r="WTO2466" s="60"/>
      <c r="WTP2466" s="60"/>
      <c r="WTQ2466" s="63"/>
      <c r="WTR2466" s="61"/>
      <c r="WTS2466" s="54"/>
      <c r="WTT2466" s="54"/>
      <c r="WTU2466" s="60"/>
      <c r="WTV2466" s="60"/>
      <c r="WTW2466" s="60"/>
      <c r="WTX2466" s="60"/>
      <c r="WTY2466" s="63"/>
      <c r="WTZ2466" s="61"/>
      <c r="WUA2466" s="54"/>
      <c r="WUB2466" s="54"/>
      <c r="WUC2466" s="60"/>
      <c r="WUD2466" s="60"/>
      <c r="WUE2466" s="60"/>
      <c r="WUF2466" s="60"/>
      <c r="WUG2466" s="63"/>
      <c r="WUH2466" s="61"/>
      <c r="WUI2466" s="54"/>
      <c r="WUJ2466" s="54"/>
      <c r="WUK2466" s="60"/>
      <c r="WUL2466" s="60"/>
      <c r="WUM2466" s="60"/>
      <c r="WUN2466" s="60"/>
      <c r="WUO2466" s="63"/>
      <c r="WUP2466" s="61"/>
      <c r="WUQ2466" s="54"/>
      <c r="WUR2466" s="54"/>
      <c r="WUS2466" s="60"/>
      <c r="WUT2466" s="60"/>
      <c r="WUU2466" s="60"/>
      <c r="WUV2466" s="60"/>
      <c r="WUW2466" s="63"/>
      <c r="WUX2466" s="61"/>
      <c r="WUY2466" s="54"/>
      <c r="WUZ2466" s="54"/>
      <c r="WVA2466" s="60"/>
      <c r="WVB2466" s="60"/>
      <c r="WVC2466" s="60"/>
      <c r="WVD2466" s="60"/>
      <c r="WVE2466" s="63"/>
      <c r="WVF2466" s="61"/>
      <c r="WVG2466" s="54"/>
      <c r="WVH2466" s="54"/>
      <c r="WVI2466" s="60"/>
      <c r="WVJ2466" s="60"/>
      <c r="WVK2466" s="60"/>
      <c r="WVL2466" s="60"/>
      <c r="WVM2466" s="63"/>
      <c r="WVN2466" s="61"/>
      <c r="WVO2466" s="54"/>
      <c r="WVP2466" s="54"/>
      <c r="WVQ2466" s="60"/>
      <c r="WVR2466" s="60"/>
      <c r="WVS2466" s="60"/>
      <c r="WVT2466" s="60"/>
      <c r="WVU2466" s="63"/>
      <c r="WVV2466" s="61"/>
      <c r="WVW2466" s="54"/>
      <c r="WVX2466" s="54"/>
      <c r="WVY2466" s="60"/>
      <c r="WVZ2466" s="60"/>
      <c r="WWA2466" s="60"/>
      <c r="WWB2466" s="60"/>
      <c r="WWC2466" s="63"/>
      <c r="WWD2466" s="61"/>
      <c r="WWE2466" s="54"/>
      <c r="WWF2466" s="54"/>
      <c r="WWG2466" s="60"/>
      <c r="WWH2466" s="60"/>
      <c r="WWI2466" s="60"/>
      <c r="WWJ2466" s="60"/>
      <c r="WWK2466" s="63"/>
      <c r="WWL2466" s="61"/>
      <c r="WWM2466" s="54"/>
      <c r="WWN2466" s="54"/>
      <c r="WWO2466" s="60"/>
      <c r="WWP2466" s="60"/>
      <c r="WWQ2466" s="60"/>
      <c r="WWR2466" s="60"/>
      <c r="WWS2466" s="63"/>
      <c r="WWT2466" s="61"/>
      <c r="WWU2466" s="54"/>
      <c r="WWV2466" s="54"/>
      <c r="WWW2466" s="60"/>
      <c r="WWX2466" s="60"/>
      <c r="WWY2466" s="60"/>
      <c r="WWZ2466" s="60"/>
      <c r="WXA2466" s="63"/>
      <c r="WXB2466" s="61"/>
      <c r="WXC2466" s="54"/>
      <c r="WXD2466" s="54"/>
      <c r="WXE2466" s="60"/>
      <c r="WXF2466" s="60"/>
      <c r="WXG2466" s="60"/>
      <c r="WXH2466" s="60"/>
      <c r="WXI2466" s="63"/>
      <c r="WXJ2466" s="61"/>
      <c r="WXK2466" s="54"/>
      <c r="WXL2466" s="54"/>
      <c r="WXM2466" s="60"/>
      <c r="WXN2466" s="60"/>
      <c r="WXO2466" s="60"/>
      <c r="WXP2466" s="60"/>
      <c r="WXQ2466" s="63"/>
      <c r="WXR2466" s="61"/>
      <c r="WXS2466" s="54"/>
      <c r="WXT2466" s="54"/>
      <c r="WXU2466" s="60"/>
      <c r="WXV2466" s="60"/>
      <c r="WXW2466" s="60"/>
      <c r="WXX2466" s="60"/>
      <c r="WXY2466" s="63"/>
      <c r="WXZ2466" s="61"/>
      <c r="WYA2466" s="54"/>
      <c r="WYB2466" s="54"/>
      <c r="WYC2466" s="60"/>
      <c r="WYD2466" s="60"/>
      <c r="WYE2466" s="60"/>
      <c r="WYF2466" s="60"/>
      <c r="WYG2466" s="63"/>
      <c r="WYH2466" s="61"/>
      <c r="WYI2466" s="54"/>
      <c r="WYJ2466" s="54"/>
      <c r="WYK2466" s="60"/>
      <c r="WYL2466" s="60"/>
      <c r="WYM2466" s="60"/>
      <c r="WYN2466" s="60"/>
      <c r="WYO2466" s="63"/>
      <c r="WYP2466" s="61"/>
      <c r="WYQ2466" s="54"/>
      <c r="WYR2466" s="54"/>
      <c r="WYS2466" s="60"/>
      <c r="WYT2466" s="60"/>
      <c r="WYU2466" s="60"/>
      <c r="WYV2466" s="60"/>
      <c r="WYW2466" s="63"/>
      <c r="WYX2466" s="61"/>
      <c r="WYY2466" s="54"/>
      <c r="WYZ2466" s="54"/>
      <c r="WZA2466" s="60"/>
      <c r="WZB2466" s="60"/>
      <c r="WZC2466" s="60"/>
      <c r="WZD2466" s="60"/>
      <c r="WZE2466" s="63"/>
      <c r="WZF2466" s="61"/>
      <c r="WZG2466" s="54"/>
      <c r="WZH2466" s="54"/>
      <c r="WZI2466" s="60"/>
      <c r="WZJ2466" s="60"/>
      <c r="WZK2466" s="60"/>
      <c r="WZL2466" s="60"/>
      <c r="WZM2466" s="63"/>
      <c r="WZN2466" s="61"/>
      <c r="WZO2466" s="54"/>
      <c r="WZP2466" s="54"/>
      <c r="WZQ2466" s="60"/>
      <c r="WZR2466" s="60"/>
      <c r="WZS2466" s="60"/>
      <c r="WZT2466" s="60"/>
      <c r="WZU2466" s="63"/>
      <c r="WZV2466" s="61"/>
      <c r="WZW2466" s="54"/>
      <c r="WZX2466" s="54"/>
      <c r="WZY2466" s="60"/>
      <c r="WZZ2466" s="60"/>
      <c r="XAA2466" s="60"/>
      <c r="XAB2466" s="60"/>
      <c r="XAC2466" s="63"/>
      <c r="XAD2466" s="61"/>
      <c r="XAE2466" s="54"/>
      <c r="XAF2466" s="54"/>
      <c r="XAG2466" s="60"/>
      <c r="XAH2466" s="60"/>
      <c r="XAI2466" s="60"/>
      <c r="XAJ2466" s="60"/>
      <c r="XAK2466" s="63"/>
      <c r="XAL2466" s="61"/>
      <c r="XAM2466" s="54"/>
      <c r="XAN2466" s="54"/>
      <c r="XAO2466" s="60"/>
      <c r="XAP2466" s="60"/>
      <c r="XAQ2466" s="60"/>
      <c r="XAR2466" s="60"/>
      <c r="XAS2466" s="63"/>
      <c r="XAT2466" s="61"/>
      <c r="XAU2466" s="54"/>
      <c r="XAV2466" s="54"/>
      <c r="XAW2466" s="60"/>
      <c r="XAX2466" s="60"/>
      <c r="XAY2466" s="60"/>
      <c r="XAZ2466" s="60"/>
      <c r="XBA2466" s="63"/>
      <c r="XBB2466" s="61"/>
      <c r="XBC2466" s="54"/>
      <c r="XBD2466" s="54"/>
      <c r="XBE2466" s="60"/>
      <c r="XBF2466" s="60"/>
      <c r="XBG2466" s="60"/>
      <c r="XBH2466" s="60"/>
      <c r="XBI2466" s="63"/>
      <c r="XBJ2466" s="61"/>
      <c r="XBK2466" s="54"/>
      <c r="XBL2466" s="54"/>
      <c r="XBM2466" s="60"/>
      <c r="XBN2466" s="60"/>
      <c r="XBO2466" s="60"/>
      <c r="XBP2466" s="60"/>
      <c r="XBQ2466" s="63"/>
      <c r="XBR2466" s="61"/>
      <c r="XBS2466" s="54"/>
      <c r="XBT2466" s="54"/>
      <c r="XBU2466" s="60"/>
      <c r="XBV2466" s="60"/>
      <c r="XBW2466" s="60"/>
      <c r="XBX2466" s="60"/>
      <c r="XBY2466" s="63"/>
      <c r="XBZ2466" s="61"/>
      <c r="XCA2466" s="54"/>
      <c r="XCB2466" s="54"/>
      <c r="XCC2466" s="60"/>
      <c r="XCD2466" s="60"/>
      <c r="XCE2466" s="60"/>
      <c r="XCF2466" s="60"/>
      <c r="XCG2466" s="63"/>
      <c r="XCH2466" s="61"/>
      <c r="XCI2466" s="54"/>
      <c r="XCJ2466" s="54"/>
      <c r="XCK2466" s="60"/>
      <c r="XCL2466" s="60"/>
      <c r="XCM2466" s="60"/>
      <c r="XCN2466" s="60"/>
      <c r="XCO2466" s="63"/>
      <c r="XCP2466" s="61"/>
      <c r="XCQ2466" s="54"/>
      <c r="XCR2466" s="54"/>
      <c r="XCS2466" s="60"/>
      <c r="XCT2466" s="60"/>
      <c r="XCU2466" s="60"/>
      <c r="XCV2466" s="60"/>
      <c r="XCW2466" s="63"/>
      <c r="XCX2466" s="61"/>
      <c r="XCY2466" s="54"/>
      <c r="XCZ2466" s="54"/>
      <c r="XDA2466" s="60"/>
      <c r="XDB2466" s="60"/>
      <c r="XDC2466" s="60"/>
      <c r="XDD2466" s="60"/>
      <c r="XDE2466" s="63"/>
      <c r="XDF2466" s="61"/>
      <c r="XDG2466" s="54"/>
      <c r="XDH2466" s="54"/>
      <c r="XDI2466" s="60"/>
      <c r="XDJ2466" s="60"/>
      <c r="XDK2466" s="60"/>
      <c r="XDL2466" s="60"/>
      <c r="XDM2466" s="63"/>
      <c r="XDN2466" s="61"/>
      <c r="XDO2466" s="54"/>
      <c r="XDP2466" s="54"/>
      <c r="XDQ2466" s="60"/>
      <c r="XDR2466" s="60"/>
      <c r="XDS2466" s="60"/>
      <c r="XDT2466" s="60"/>
      <c r="XDU2466" s="63"/>
      <c r="XDV2466" s="61"/>
      <c r="XDW2466" s="54"/>
      <c r="XDX2466" s="54"/>
      <c r="XDY2466" s="60"/>
      <c r="XDZ2466" s="60"/>
      <c r="XEA2466" s="60"/>
      <c r="XEB2466" s="60"/>
      <c r="XEC2466" s="63"/>
      <c r="XED2466" s="61"/>
      <c r="XEE2466" s="54"/>
      <c r="XEF2466" s="54"/>
      <c r="XEG2466" s="60"/>
      <c r="XEH2466" s="60"/>
      <c r="XEI2466" s="60"/>
      <c r="XEJ2466" s="60"/>
      <c r="XEK2466" s="63"/>
      <c r="XEL2466" s="61"/>
      <c r="XEM2466" s="54"/>
      <c r="XEN2466" s="54"/>
      <c r="XEO2466" s="60"/>
      <c r="XEP2466" s="60"/>
      <c r="XEQ2466" s="60"/>
      <c r="XER2466" s="60"/>
      <c r="XES2466" s="63"/>
      <c r="XET2466" s="61"/>
      <c r="XEU2466" s="54"/>
      <c r="XEV2466" s="54"/>
      <c r="XEW2466" s="60"/>
    </row>
    <row r="2467" ht="18" customHeight="1" spans="1:16377">
      <c r="A2467" s="6" t="s">
        <v>8209</v>
      </c>
      <c r="B2467" s="6" t="s">
        <v>8540</v>
      </c>
      <c r="C2467" s="11" t="s">
        <v>16392</v>
      </c>
      <c r="D2467" s="5" t="s">
        <v>16382</v>
      </c>
      <c r="E2467" s="11" t="s">
        <v>16393</v>
      </c>
      <c r="F2467" s="7" t="s">
        <v>11535</v>
      </c>
      <c r="G2467" s="54"/>
      <c r="H2467" s="54"/>
      <c r="I2467" s="60"/>
      <c r="J2467" s="60"/>
      <c r="K2467" s="60"/>
      <c r="L2467" s="60"/>
      <c r="M2467" s="63"/>
      <c r="N2467" s="61"/>
      <c r="O2467" s="54"/>
      <c r="P2467" s="54"/>
      <c r="Q2467" s="60"/>
      <c r="R2467" s="60"/>
      <c r="S2467" s="60"/>
      <c r="T2467" s="60"/>
      <c r="U2467" s="63"/>
      <c r="V2467" s="61"/>
      <c r="W2467" s="54"/>
      <c r="X2467" s="54"/>
      <c r="Y2467" s="60"/>
      <c r="Z2467" s="60"/>
      <c r="AA2467" s="60"/>
      <c r="AB2467" s="60"/>
      <c r="AC2467" s="63"/>
      <c r="AD2467" s="61"/>
      <c r="AE2467" s="54"/>
      <c r="AF2467" s="54"/>
      <c r="AG2467" s="60"/>
      <c r="AH2467" s="60"/>
      <c r="AI2467" s="60"/>
      <c r="AJ2467" s="60"/>
      <c r="AK2467" s="63"/>
      <c r="AL2467" s="61"/>
      <c r="AM2467" s="54"/>
      <c r="AN2467" s="54"/>
      <c r="AO2467" s="60"/>
      <c r="AP2467" s="60"/>
      <c r="AQ2467" s="60"/>
      <c r="AR2467" s="60"/>
      <c r="AS2467" s="63"/>
      <c r="AT2467" s="61"/>
      <c r="AU2467" s="54"/>
      <c r="AV2467" s="54"/>
      <c r="AW2467" s="60"/>
      <c r="AX2467" s="60"/>
      <c r="AY2467" s="60"/>
      <c r="AZ2467" s="60"/>
      <c r="BA2467" s="63"/>
      <c r="BB2467" s="61"/>
      <c r="BC2467" s="54"/>
      <c r="BD2467" s="54"/>
      <c r="BE2467" s="60"/>
      <c r="BF2467" s="60"/>
      <c r="BG2467" s="60"/>
      <c r="BH2467" s="60"/>
      <c r="BI2467" s="63"/>
      <c r="BJ2467" s="61"/>
      <c r="BK2467" s="54"/>
      <c r="BL2467" s="54"/>
      <c r="BM2467" s="60"/>
      <c r="BN2467" s="60"/>
      <c r="BO2467" s="60"/>
      <c r="BP2467" s="60"/>
      <c r="BQ2467" s="63"/>
      <c r="BR2467" s="61"/>
      <c r="BS2467" s="54"/>
      <c r="BT2467" s="54"/>
      <c r="BU2467" s="60"/>
      <c r="BV2467" s="60"/>
      <c r="BW2467" s="60"/>
      <c r="BX2467" s="60"/>
      <c r="BY2467" s="63"/>
      <c r="BZ2467" s="61"/>
      <c r="CA2467" s="54"/>
      <c r="CB2467" s="54"/>
      <c r="CC2467" s="60"/>
      <c r="CD2467" s="60"/>
      <c r="CE2467" s="60"/>
      <c r="CF2467" s="60"/>
      <c r="CG2467" s="63"/>
      <c r="CH2467" s="61"/>
      <c r="CI2467" s="54"/>
      <c r="CJ2467" s="54"/>
      <c r="CK2467" s="60"/>
      <c r="CL2467" s="60"/>
      <c r="CM2467" s="60"/>
      <c r="CN2467" s="60"/>
      <c r="CO2467" s="63"/>
      <c r="CP2467" s="61"/>
      <c r="CQ2467" s="54"/>
      <c r="CR2467" s="54"/>
      <c r="CS2467" s="60"/>
      <c r="CT2467" s="60"/>
      <c r="CU2467" s="60"/>
      <c r="CV2467" s="60"/>
      <c r="CW2467" s="63"/>
      <c r="CX2467" s="61"/>
      <c r="CY2467" s="54"/>
      <c r="CZ2467" s="54"/>
      <c r="DA2467" s="60"/>
      <c r="DB2467" s="60"/>
      <c r="DC2467" s="60"/>
      <c r="DD2467" s="60"/>
      <c r="DE2467" s="63"/>
      <c r="DF2467" s="61"/>
      <c r="DG2467" s="54"/>
      <c r="DH2467" s="54"/>
      <c r="DI2467" s="60"/>
      <c r="DJ2467" s="60"/>
      <c r="DK2467" s="60"/>
      <c r="DL2467" s="60"/>
      <c r="DM2467" s="63"/>
      <c r="DN2467" s="61"/>
      <c r="DO2467" s="54"/>
      <c r="DP2467" s="54"/>
      <c r="DQ2467" s="60"/>
      <c r="DR2467" s="60"/>
      <c r="DS2467" s="60"/>
      <c r="DT2467" s="60"/>
      <c r="DU2467" s="63"/>
      <c r="DV2467" s="61"/>
      <c r="DW2467" s="54"/>
      <c r="DX2467" s="54"/>
      <c r="DY2467" s="60"/>
      <c r="DZ2467" s="60"/>
      <c r="EA2467" s="60"/>
      <c r="EB2467" s="60"/>
      <c r="EC2467" s="63"/>
      <c r="ED2467" s="61"/>
      <c r="EE2467" s="54"/>
      <c r="EF2467" s="54"/>
      <c r="EG2467" s="60"/>
      <c r="EH2467" s="60"/>
      <c r="EI2467" s="60"/>
      <c r="EJ2467" s="60"/>
      <c r="EK2467" s="63"/>
      <c r="EL2467" s="61"/>
      <c r="EM2467" s="54"/>
      <c r="EN2467" s="54"/>
      <c r="EO2467" s="60"/>
      <c r="EP2467" s="60"/>
      <c r="EQ2467" s="60"/>
      <c r="ER2467" s="60"/>
      <c r="ES2467" s="63"/>
      <c r="ET2467" s="61"/>
      <c r="EU2467" s="54"/>
      <c r="EV2467" s="54"/>
      <c r="EW2467" s="60"/>
      <c r="EX2467" s="60"/>
      <c r="EY2467" s="60"/>
      <c r="EZ2467" s="60"/>
      <c r="FA2467" s="63"/>
      <c r="FB2467" s="61"/>
      <c r="FC2467" s="54"/>
      <c r="FD2467" s="54"/>
      <c r="FE2467" s="60"/>
      <c r="FF2467" s="60"/>
      <c r="FG2467" s="60"/>
      <c r="FH2467" s="60"/>
      <c r="FI2467" s="63"/>
      <c r="FJ2467" s="61"/>
      <c r="FK2467" s="54"/>
      <c r="FL2467" s="54"/>
      <c r="FM2467" s="60"/>
      <c r="FN2467" s="60"/>
      <c r="FO2467" s="60"/>
      <c r="FP2467" s="60"/>
      <c r="FQ2467" s="63"/>
      <c r="FR2467" s="61"/>
      <c r="FS2467" s="54"/>
      <c r="FT2467" s="54"/>
      <c r="FU2467" s="60"/>
      <c r="FV2467" s="60"/>
      <c r="FW2467" s="60"/>
      <c r="FX2467" s="60"/>
      <c r="FY2467" s="63"/>
      <c r="FZ2467" s="61"/>
      <c r="GA2467" s="54"/>
      <c r="GB2467" s="54"/>
      <c r="GC2467" s="60"/>
      <c r="GD2467" s="60"/>
      <c r="GE2467" s="60"/>
      <c r="GF2467" s="60"/>
      <c r="GG2467" s="63"/>
      <c r="GH2467" s="61"/>
      <c r="GI2467" s="54"/>
      <c r="GJ2467" s="54"/>
      <c r="GK2467" s="60"/>
      <c r="GL2467" s="60"/>
      <c r="GM2467" s="60"/>
      <c r="GN2467" s="60"/>
      <c r="GO2467" s="63"/>
      <c r="GP2467" s="61"/>
      <c r="GQ2467" s="54"/>
      <c r="GR2467" s="54"/>
      <c r="GS2467" s="60"/>
      <c r="GT2467" s="60"/>
      <c r="GU2467" s="60"/>
      <c r="GV2467" s="60"/>
      <c r="GW2467" s="63"/>
      <c r="GX2467" s="61"/>
      <c r="GY2467" s="54"/>
      <c r="GZ2467" s="54"/>
      <c r="HA2467" s="60"/>
      <c r="HB2467" s="60"/>
      <c r="HC2467" s="60"/>
      <c r="HD2467" s="60"/>
      <c r="HE2467" s="63"/>
      <c r="HF2467" s="61"/>
      <c r="HG2467" s="54"/>
      <c r="HH2467" s="54"/>
      <c r="HI2467" s="60"/>
      <c r="HJ2467" s="60"/>
      <c r="HK2467" s="60"/>
      <c r="HL2467" s="60"/>
      <c r="HM2467" s="63"/>
      <c r="HN2467" s="61"/>
      <c r="HO2467" s="54"/>
      <c r="HP2467" s="54"/>
      <c r="HQ2467" s="60"/>
      <c r="HR2467" s="60"/>
      <c r="HS2467" s="60"/>
      <c r="HT2467" s="60"/>
      <c r="HU2467" s="63"/>
      <c r="HV2467" s="61"/>
      <c r="HW2467" s="54"/>
      <c r="HX2467" s="54"/>
      <c r="HY2467" s="60"/>
      <c r="HZ2467" s="60"/>
      <c r="IA2467" s="60"/>
      <c r="IB2467" s="60"/>
      <c r="IC2467" s="63"/>
      <c r="ID2467" s="61"/>
      <c r="IE2467" s="54"/>
      <c r="IF2467" s="54"/>
      <c r="IG2467" s="60"/>
      <c r="IH2467" s="60"/>
      <c r="II2467" s="60"/>
      <c r="IJ2467" s="60"/>
      <c r="IK2467" s="63"/>
      <c r="IL2467" s="61"/>
      <c r="IM2467" s="54"/>
      <c r="IN2467" s="54"/>
      <c r="IO2467" s="60"/>
      <c r="IP2467" s="60"/>
      <c r="IQ2467" s="60"/>
      <c r="IR2467" s="60"/>
      <c r="IS2467" s="63"/>
      <c r="IT2467" s="61"/>
      <c r="IU2467" s="54"/>
      <c r="IV2467" s="54"/>
      <c r="IW2467" s="60"/>
      <c r="IX2467" s="60"/>
      <c r="IY2467" s="60"/>
      <c r="IZ2467" s="60"/>
      <c r="JA2467" s="63"/>
      <c r="JB2467" s="61"/>
      <c r="JC2467" s="54"/>
      <c r="JD2467" s="54"/>
      <c r="JE2467" s="60"/>
      <c r="JF2467" s="60"/>
      <c r="JG2467" s="60"/>
      <c r="JH2467" s="60"/>
      <c r="JI2467" s="63"/>
      <c r="JJ2467" s="61"/>
      <c r="JK2467" s="54"/>
      <c r="JL2467" s="54"/>
      <c r="JM2467" s="60"/>
      <c r="JN2467" s="60"/>
      <c r="JO2467" s="60"/>
      <c r="JP2467" s="60"/>
      <c r="JQ2467" s="63"/>
      <c r="JR2467" s="61"/>
      <c r="JS2467" s="54"/>
      <c r="JT2467" s="54"/>
      <c r="JU2467" s="60"/>
      <c r="JV2467" s="60"/>
      <c r="JW2467" s="60"/>
      <c r="JX2467" s="60"/>
      <c r="JY2467" s="63"/>
      <c r="JZ2467" s="61"/>
      <c r="KA2467" s="54"/>
      <c r="KB2467" s="54"/>
      <c r="KC2467" s="60"/>
      <c r="KD2467" s="60"/>
      <c r="KE2467" s="60"/>
      <c r="KF2467" s="60"/>
      <c r="KG2467" s="63"/>
      <c r="KH2467" s="61"/>
      <c r="KI2467" s="54"/>
      <c r="KJ2467" s="54"/>
      <c r="KK2467" s="60"/>
      <c r="KL2467" s="60"/>
      <c r="KM2467" s="60"/>
      <c r="KN2467" s="60"/>
      <c r="KO2467" s="63"/>
      <c r="KP2467" s="61"/>
      <c r="KQ2467" s="54"/>
      <c r="KR2467" s="54"/>
      <c r="KS2467" s="60"/>
      <c r="KT2467" s="60"/>
      <c r="KU2467" s="60"/>
      <c r="KV2467" s="60"/>
      <c r="KW2467" s="63"/>
      <c r="KX2467" s="61"/>
      <c r="KY2467" s="54"/>
      <c r="KZ2467" s="54"/>
      <c r="LA2467" s="60"/>
      <c r="LB2467" s="60"/>
      <c r="LC2467" s="60"/>
      <c r="LD2467" s="60"/>
      <c r="LE2467" s="63"/>
      <c r="LF2467" s="61"/>
      <c r="LG2467" s="54"/>
      <c r="LH2467" s="54"/>
      <c r="LI2467" s="60"/>
      <c r="LJ2467" s="60"/>
      <c r="LK2467" s="60"/>
      <c r="LL2467" s="60"/>
      <c r="LM2467" s="63"/>
      <c r="LN2467" s="61"/>
      <c r="LO2467" s="54"/>
      <c r="LP2467" s="54"/>
      <c r="LQ2467" s="60"/>
      <c r="LR2467" s="60"/>
      <c r="LS2467" s="60"/>
      <c r="LT2467" s="60"/>
      <c r="LU2467" s="63"/>
      <c r="LV2467" s="61"/>
      <c r="LW2467" s="54"/>
      <c r="LX2467" s="54"/>
      <c r="LY2467" s="60"/>
      <c r="LZ2467" s="60"/>
      <c r="MA2467" s="60"/>
      <c r="MB2467" s="60"/>
      <c r="MC2467" s="63"/>
      <c r="MD2467" s="61"/>
      <c r="ME2467" s="54"/>
      <c r="MF2467" s="54"/>
      <c r="MG2467" s="60"/>
      <c r="MH2467" s="60"/>
      <c r="MI2467" s="60"/>
      <c r="MJ2467" s="60"/>
      <c r="MK2467" s="63"/>
      <c r="ML2467" s="61"/>
      <c r="MM2467" s="54"/>
      <c r="MN2467" s="54"/>
      <c r="MO2467" s="60"/>
      <c r="MP2467" s="60"/>
      <c r="MQ2467" s="60"/>
      <c r="MR2467" s="60"/>
      <c r="MS2467" s="63"/>
      <c r="MT2467" s="61"/>
      <c r="MU2467" s="54"/>
      <c r="MV2467" s="54"/>
      <c r="MW2467" s="60"/>
      <c r="MX2467" s="60"/>
      <c r="MY2467" s="60"/>
      <c r="MZ2467" s="60"/>
      <c r="NA2467" s="63"/>
      <c r="NB2467" s="61"/>
      <c r="NC2467" s="54"/>
      <c r="ND2467" s="54"/>
      <c r="NE2467" s="60"/>
      <c r="NF2467" s="60"/>
      <c r="NG2467" s="60"/>
      <c r="NH2467" s="60"/>
      <c r="NI2467" s="63"/>
      <c r="NJ2467" s="61"/>
      <c r="NK2467" s="54"/>
      <c r="NL2467" s="54"/>
      <c r="NM2467" s="60"/>
      <c r="NN2467" s="60"/>
      <c r="NO2467" s="60"/>
      <c r="NP2467" s="60"/>
      <c r="NQ2467" s="63"/>
      <c r="NR2467" s="61"/>
      <c r="NS2467" s="54"/>
      <c r="NT2467" s="54"/>
      <c r="NU2467" s="60"/>
      <c r="NV2467" s="60"/>
      <c r="NW2467" s="60"/>
      <c r="NX2467" s="60"/>
      <c r="NY2467" s="63"/>
      <c r="NZ2467" s="61"/>
      <c r="OA2467" s="54"/>
      <c r="OB2467" s="54"/>
      <c r="OC2467" s="60"/>
      <c r="OD2467" s="60"/>
      <c r="OE2467" s="60"/>
      <c r="OF2467" s="60"/>
      <c r="OG2467" s="63"/>
      <c r="OH2467" s="61"/>
      <c r="OI2467" s="54"/>
      <c r="OJ2467" s="54"/>
      <c r="OK2467" s="60"/>
      <c r="OL2467" s="60"/>
      <c r="OM2467" s="60"/>
      <c r="ON2467" s="60"/>
      <c r="OO2467" s="63"/>
      <c r="OP2467" s="61"/>
      <c r="OQ2467" s="54"/>
      <c r="OR2467" s="54"/>
      <c r="OS2467" s="60"/>
      <c r="OT2467" s="60"/>
      <c r="OU2467" s="60"/>
      <c r="OV2467" s="60"/>
      <c r="OW2467" s="63"/>
      <c r="OX2467" s="61"/>
      <c r="OY2467" s="54"/>
      <c r="OZ2467" s="54"/>
      <c r="PA2467" s="60"/>
      <c r="PB2467" s="60"/>
      <c r="PC2467" s="60"/>
      <c r="PD2467" s="60"/>
      <c r="PE2467" s="63"/>
      <c r="PF2467" s="61"/>
      <c r="PG2467" s="54"/>
      <c r="PH2467" s="54"/>
      <c r="PI2467" s="60"/>
      <c r="PJ2467" s="60"/>
      <c r="PK2467" s="60"/>
      <c r="PL2467" s="60"/>
      <c r="PM2467" s="63"/>
      <c r="PN2467" s="61"/>
      <c r="PO2467" s="54"/>
      <c r="PP2467" s="54"/>
      <c r="PQ2467" s="60"/>
      <c r="PR2467" s="60"/>
      <c r="PS2467" s="60"/>
      <c r="PT2467" s="60"/>
      <c r="PU2467" s="63"/>
      <c r="PV2467" s="61"/>
      <c r="PW2467" s="54"/>
      <c r="PX2467" s="54"/>
      <c r="PY2467" s="60"/>
      <c r="PZ2467" s="60"/>
      <c r="QA2467" s="60"/>
      <c r="QB2467" s="60"/>
      <c r="QC2467" s="63"/>
      <c r="QD2467" s="61"/>
      <c r="QE2467" s="54"/>
      <c r="QF2467" s="54"/>
      <c r="QG2467" s="60"/>
      <c r="QH2467" s="60"/>
      <c r="QI2467" s="60"/>
      <c r="QJ2467" s="60"/>
      <c r="QK2467" s="63"/>
      <c r="QL2467" s="61"/>
      <c r="QM2467" s="54"/>
      <c r="QN2467" s="54"/>
      <c r="QO2467" s="60"/>
      <c r="QP2467" s="60"/>
      <c r="QQ2467" s="60"/>
      <c r="QR2467" s="60"/>
      <c r="QS2467" s="63"/>
      <c r="QT2467" s="61"/>
      <c r="QU2467" s="54"/>
      <c r="QV2467" s="54"/>
      <c r="QW2467" s="60"/>
      <c r="QX2467" s="60"/>
      <c r="QY2467" s="60"/>
      <c r="QZ2467" s="60"/>
      <c r="RA2467" s="63"/>
      <c r="RB2467" s="61"/>
      <c r="RC2467" s="54"/>
      <c r="RD2467" s="54"/>
      <c r="RE2467" s="60"/>
      <c r="RF2467" s="60"/>
      <c r="RG2467" s="60"/>
      <c r="RH2467" s="60"/>
      <c r="RI2467" s="63"/>
      <c r="RJ2467" s="61"/>
      <c r="RK2467" s="54"/>
      <c r="RL2467" s="54"/>
      <c r="RM2467" s="60"/>
      <c r="RN2467" s="60"/>
      <c r="RO2467" s="60"/>
      <c r="RP2467" s="60"/>
      <c r="RQ2467" s="63"/>
      <c r="RR2467" s="61"/>
      <c r="RS2467" s="54"/>
      <c r="RT2467" s="54"/>
      <c r="RU2467" s="60"/>
      <c r="RV2467" s="60"/>
      <c r="RW2467" s="60"/>
      <c r="RX2467" s="60"/>
      <c r="RY2467" s="63"/>
      <c r="RZ2467" s="61"/>
      <c r="SA2467" s="54"/>
      <c r="SB2467" s="54"/>
      <c r="SC2467" s="60"/>
      <c r="SD2467" s="60"/>
      <c r="SE2467" s="60"/>
      <c r="SF2467" s="60"/>
      <c r="SG2467" s="63"/>
      <c r="SH2467" s="61"/>
      <c r="SI2467" s="54"/>
      <c r="SJ2467" s="54"/>
      <c r="SK2467" s="60"/>
      <c r="SL2467" s="60"/>
      <c r="SM2467" s="60"/>
      <c r="SN2467" s="60"/>
      <c r="SO2467" s="63"/>
      <c r="SP2467" s="61"/>
      <c r="SQ2467" s="54"/>
      <c r="SR2467" s="54"/>
      <c r="SS2467" s="60"/>
      <c r="ST2467" s="60"/>
      <c r="SU2467" s="60"/>
      <c r="SV2467" s="60"/>
      <c r="SW2467" s="63"/>
      <c r="SX2467" s="61"/>
      <c r="SY2467" s="54"/>
      <c r="SZ2467" s="54"/>
      <c r="TA2467" s="60"/>
      <c r="TB2467" s="60"/>
      <c r="TC2467" s="60"/>
      <c r="TD2467" s="60"/>
      <c r="TE2467" s="63"/>
      <c r="TF2467" s="61"/>
      <c r="TG2467" s="54"/>
      <c r="TH2467" s="54"/>
      <c r="TI2467" s="60"/>
      <c r="TJ2467" s="60"/>
      <c r="TK2467" s="60"/>
      <c r="TL2467" s="60"/>
      <c r="TM2467" s="63"/>
      <c r="TN2467" s="61"/>
      <c r="TO2467" s="54"/>
      <c r="TP2467" s="54"/>
      <c r="TQ2467" s="60"/>
      <c r="TR2467" s="60"/>
      <c r="TS2467" s="60"/>
      <c r="TT2467" s="60"/>
      <c r="TU2467" s="63"/>
      <c r="TV2467" s="61"/>
      <c r="TW2467" s="54"/>
      <c r="TX2467" s="54"/>
      <c r="TY2467" s="60"/>
      <c r="TZ2467" s="60"/>
      <c r="UA2467" s="60"/>
      <c r="UB2467" s="60"/>
      <c r="UC2467" s="63"/>
      <c r="UD2467" s="61"/>
      <c r="UE2467" s="54"/>
      <c r="UF2467" s="54"/>
      <c r="UG2467" s="60"/>
      <c r="UH2467" s="60"/>
      <c r="UI2467" s="60"/>
      <c r="UJ2467" s="60"/>
      <c r="UK2467" s="63"/>
      <c r="UL2467" s="61"/>
      <c r="UM2467" s="54"/>
      <c r="UN2467" s="54"/>
      <c r="UO2467" s="60"/>
      <c r="UP2467" s="60"/>
      <c r="UQ2467" s="60"/>
      <c r="UR2467" s="60"/>
      <c r="US2467" s="63"/>
      <c r="UT2467" s="61"/>
      <c r="UU2467" s="54"/>
      <c r="UV2467" s="54"/>
      <c r="UW2467" s="60"/>
      <c r="UX2467" s="60"/>
      <c r="UY2467" s="60"/>
      <c r="UZ2467" s="60"/>
      <c r="VA2467" s="63"/>
      <c r="VB2467" s="61"/>
      <c r="VC2467" s="54"/>
      <c r="VD2467" s="54"/>
      <c r="VE2467" s="60"/>
      <c r="VF2467" s="60"/>
      <c r="VG2467" s="60"/>
      <c r="VH2467" s="60"/>
      <c r="VI2467" s="63"/>
      <c r="VJ2467" s="61"/>
      <c r="VK2467" s="54"/>
      <c r="VL2467" s="54"/>
      <c r="VM2467" s="60"/>
      <c r="VN2467" s="60"/>
      <c r="VO2467" s="60"/>
      <c r="VP2467" s="60"/>
      <c r="VQ2467" s="63"/>
      <c r="VR2467" s="61"/>
      <c r="VS2467" s="54"/>
      <c r="VT2467" s="54"/>
      <c r="VU2467" s="60"/>
      <c r="VV2467" s="60"/>
      <c r="VW2467" s="60"/>
      <c r="VX2467" s="60"/>
      <c r="VY2467" s="63"/>
      <c r="VZ2467" s="61"/>
      <c r="WA2467" s="54"/>
      <c r="WB2467" s="54"/>
      <c r="WC2467" s="60"/>
      <c r="WD2467" s="60"/>
      <c r="WE2467" s="60"/>
      <c r="WF2467" s="60"/>
      <c r="WG2467" s="63"/>
      <c r="WH2467" s="61"/>
      <c r="WI2467" s="54"/>
      <c r="WJ2467" s="54"/>
      <c r="WK2467" s="60"/>
      <c r="WL2467" s="60"/>
      <c r="WM2467" s="60"/>
      <c r="WN2467" s="60"/>
      <c r="WO2467" s="63"/>
      <c r="WP2467" s="61"/>
      <c r="WQ2467" s="54"/>
      <c r="WR2467" s="54"/>
      <c r="WS2467" s="60"/>
      <c r="WT2467" s="60"/>
      <c r="WU2467" s="60"/>
      <c r="WV2467" s="60"/>
      <c r="WW2467" s="63"/>
      <c r="WX2467" s="61"/>
      <c r="WY2467" s="54"/>
      <c r="WZ2467" s="54"/>
      <c r="XA2467" s="60"/>
      <c r="XB2467" s="60"/>
      <c r="XC2467" s="60"/>
      <c r="XD2467" s="60"/>
      <c r="XE2467" s="63"/>
      <c r="XF2467" s="61"/>
      <c r="XG2467" s="54"/>
      <c r="XH2467" s="54"/>
      <c r="XI2467" s="60"/>
      <c r="XJ2467" s="60"/>
      <c r="XK2467" s="60"/>
      <c r="XL2467" s="60"/>
      <c r="XM2467" s="63"/>
      <c r="XN2467" s="61"/>
      <c r="XO2467" s="54"/>
      <c r="XP2467" s="54"/>
      <c r="XQ2467" s="60"/>
      <c r="XR2467" s="60"/>
      <c r="XS2467" s="60"/>
      <c r="XT2467" s="60"/>
      <c r="XU2467" s="63"/>
      <c r="XV2467" s="61"/>
      <c r="XW2467" s="54"/>
      <c r="XX2467" s="54"/>
      <c r="XY2467" s="60"/>
      <c r="XZ2467" s="60"/>
      <c r="YA2467" s="60"/>
      <c r="YB2467" s="60"/>
      <c r="YC2467" s="63"/>
      <c r="YD2467" s="61"/>
      <c r="YE2467" s="54"/>
      <c r="YF2467" s="54"/>
      <c r="YG2467" s="60"/>
      <c r="YH2467" s="60"/>
      <c r="YI2467" s="60"/>
      <c r="YJ2467" s="60"/>
      <c r="YK2467" s="63"/>
      <c r="YL2467" s="61"/>
      <c r="YM2467" s="54"/>
      <c r="YN2467" s="54"/>
      <c r="YO2467" s="60"/>
      <c r="YP2467" s="60"/>
      <c r="YQ2467" s="60"/>
      <c r="YR2467" s="60"/>
      <c r="YS2467" s="63"/>
      <c r="YT2467" s="61"/>
      <c r="YU2467" s="54"/>
      <c r="YV2467" s="54"/>
      <c r="YW2467" s="60"/>
      <c r="YX2467" s="60"/>
      <c r="YY2467" s="60"/>
      <c r="YZ2467" s="60"/>
      <c r="ZA2467" s="63"/>
      <c r="ZB2467" s="61"/>
      <c r="ZC2467" s="54"/>
      <c r="ZD2467" s="54"/>
      <c r="ZE2467" s="60"/>
      <c r="ZF2467" s="60"/>
      <c r="ZG2467" s="60"/>
      <c r="ZH2467" s="60"/>
      <c r="ZI2467" s="63"/>
      <c r="ZJ2467" s="61"/>
      <c r="ZK2467" s="54"/>
      <c r="ZL2467" s="54"/>
      <c r="ZM2467" s="60"/>
      <c r="ZN2467" s="60"/>
      <c r="ZO2467" s="60"/>
      <c r="ZP2467" s="60"/>
      <c r="ZQ2467" s="63"/>
      <c r="ZR2467" s="61"/>
      <c r="ZS2467" s="54"/>
      <c r="ZT2467" s="54"/>
      <c r="ZU2467" s="60"/>
      <c r="ZV2467" s="60"/>
      <c r="ZW2467" s="60"/>
      <c r="ZX2467" s="60"/>
      <c r="ZY2467" s="63"/>
      <c r="ZZ2467" s="61"/>
      <c r="AAA2467" s="54"/>
      <c r="AAB2467" s="54"/>
      <c r="AAC2467" s="60"/>
      <c r="AAD2467" s="60"/>
      <c r="AAE2467" s="60"/>
      <c r="AAF2467" s="60"/>
      <c r="AAG2467" s="63"/>
      <c r="AAH2467" s="61"/>
      <c r="AAI2467" s="54"/>
      <c r="AAJ2467" s="54"/>
      <c r="AAK2467" s="60"/>
      <c r="AAL2467" s="60"/>
      <c r="AAM2467" s="60"/>
      <c r="AAN2467" s="60"/>
      <c r="AAO2467" s="63"/>
      <c r="AAP2467" s="61"/>
      <c r="AAQ2467" s="54"/>
      <c r="AAR2467" s="54"/>
      <c r="AAS2467" s="60"/>
      <c r="AAT2467" s="60"/>
      <c r="AAU2467" s="60"/>
      <c r="AAV2467" s="60"/>
      <c r="AAW2467" s="63"/>
      <c r="AAX2467" s="61"/>
      <c r="AAY2467" s="54"/>
      <c r="AAZ2467" s="54"/>
      <c r="ABA2467" s="60"/>
      <c r="ABB2467" s="60"/>
      <c r="ABC2467" s="60"/>
      <c r="ABD2467" s="60"/>
      <c r="ABE2467" s="63"/>
      <c r="ABF2467" s="61"/>
      <c r="ABG2467" s="54"/>
      <c r="ABH2467" s="54"/>
      <c r="ABI2467" s="60"/>
      <c r="ABJ2467" s="60"/>
      <c r="ABK2467" s="60"/>
      <c r="ABL2467" s="60"/>
      <c r="ABM2467" s="63"/>
      <c r="ABN2467" s="61"/>
      <c r="ABO2467" s="54"/>
      <c r="ABP2467" s="54"/>
      <c r="ABQ2467" s="60"/>
      <c r="ABR2467" s="60"/>
      <c r="ABS2467" s="60"/>
      <c r="ABT2467" s="60"/>
      <c r="ABU2467" s="63"/>
      <c r="ABV2467" s="61"/>
      <c r="ABW2467" s="54"/>
      <c r="ABX2467" s="54"/>
      <c r="ABY2467" s="60"/>
      <c r="ABZ2467" s="60"/>
      <c r="ACA2467" s="60"/>
      <c r="ACB2467" s="60"/>
      <c r="ACC2467" s="63"/>
      <c r="ACD2467" s="61"/>
      <c r="ACE2467" s="54"/>
      <c r="ACF2467" s="54"/>
      <c r="ACG2467" s="60"/>
      <c r="ACH2467" s="60"/>
      <c r="ACI2467" s="60"/>
      <c r="ACJ2467" s="60"/>
      <c r="ACK2467" s="63"/>
      <c r="ACL2467" s="61"/>
      <c r="ACM2467" s="54"/>
      <c r="ACN2467" s="54"/>
      <c r="ACO2467" s="60"/>
      <c r="ACP2467" s="60"/>
      <c r="ACQ2467" s="60"/>
      <c r="ACR2467" s="60"/>
      <c r="ACS2467" s="63"/>
      <c r="ACT2467" s="61"/>
      <c r="ACU2467" s="54"/>
      <c r="ACV2467" s="54"/>
      <c r="ACW2467" s="60"/>
      <c r="ACX2467" s="60"/>
      <c r="ACY2467" s="60"/>
      <c r="ACZ2467" s="60"/>
      <c r="ADA2467" s="63"/>
      <c r="ADB2467" s="61"/>
      <c r="ADC2467" s="54"/>
      <c r="ADD2467" s="54"/>
      <c r="ADE2467" s="60"/>
      <c r="ADF2467" s="60"/>
      <c r="ADG2467" s="60"/>
      <c r="ADH2467" s="60"/>
      <c r="ADI2467" s="63"/>
      <c r="ADJ2467" s="61"/>
      <c r="ADK2467" s="54"/>
      <c r="ADL2467" s="54"/>
      <c r="ADM2467" s="60"/>
      <c r="ADN2467" s="60"/>
      <c r="ADO2467" s="60"/>
      <c r="ADP2467" s="60"/>
      <c r="ADQ2467" s="63"/>
      <c r="ADR2467" s="61"/>
      <c r="ADS2467" s="54"/>
      <c r="ADT2467" s="54"/>
      <c r="ADU2467" s="60"/>
      <c r="ADV2467" s="60"/>
      <c r="ADW2467" s="60"/>
      <c r="ADX2467" s="60"/>
      <c r="ADY2467" s="63"/>
      <c r="ADZ2467" s="61"/>
      <c r="AEA2467" s="54"/>
      <c r="AEB2467" s="54"/>
      <c r="AEC2467" s="60"/>
      <c r="AED2467" s="60"/>
      <c r="AEE2467" s="60"/>
      <c r="AEF2467" s="60"/>
      <c r="AEG2467" s="63"/>
      <c r="AEH2467" s="61"/>
      <c r="AEI2467" s="54"/>
      <c r="AEJ2467" s="54"/>
      <c r="AEK2467" s="60"/>
      <c r="AEL2467" s="60"/>
      <c r="AEM2467" s="60"/>
      <c r="AEN2467" s="60"/>
      <c r="AEO2467" s="63"/>
      <c r="AEP2467" s="61"/>
      <c r="AEQ2467" s="54"/>
      <c r="AER2467" s="54"/>
      <c r="AES2467" s="60"/>
      <c r="AET2467" s="60"/>
      <c r="AEU2467" s="60"/>
      <c r="AEV2467" s="60"/>
      <c r="AEW2467" s="63"/>
      <c r="AEX2467" s="61"/>
      <c r="AEY2467" s="54"/>
      <c r="AEZ2467" s="54"/>
      <c r="AFA2467" s="60"/>
      <c r="AFB2467" s="60"/>
      <c r="AFC2467" s="60"/>
      <c r="AFD2467" s="60"/>
      <c r="AFE2467" s="63"/>
      <c r="AFF2467" s="61"/>
      <c r="AFG2467" s="54"/>
      <c r="AFH2467" s="54"/>
      <c r="AFI2467" s="60"/>
      <c r="AFJ2467" s="60"/>
      <c r="AFK2467" s="60"/>
      <c r="AFL2467" s="60"/>
      <c r="AFM2467" s="63"/>
      <c r="AFN2467" s="61"/>
      <c r="AFO2467" s="54"/>
      <c r="AFP2467" s="54"/>
      <c r="AFQ2467" s="60"/>
      <c r="AFR2467" s="60"/>
      <c r="AFS2467" s="60"/>
      <c r="AFT2467" s="60"/>
      <c r="AFU2467" s="63"/>
      <c r="AFV2467" s="61"/>
      <c r="AFW2467" s="54"/>
      <c r="AFX2467" s="54"/>
      <c r="AFY2467" s="60"/>
      <c r="AFZ2467" s="60"/>
      <c r="AGA2467" s="60"/>
      <c r="AGB2467" s="60"/>
      <c r="AGC2467" s="63"/>
      <c r="AGD2467" s="61"/>
      <c r="AGE2467" s="54"/>
      <c r="AGF2467" s="54"/>
      <c r="AGG2467" s="60"/>
      <c r="AGH2467" s="60"/>
      <c r="AGI2467" s="60"/>
      <c r="AGJ2467" s="60"/>
      <c r="AGK2467" s="63"/>
      <c r="AGL2467" s="61"/>
      <c r="AGM2467" s="54"/>
      <c r="AGN2467" s="54"/>
      <c r="AGO2467" s="60"/>
      <c r="AGP2467" s="60"/>
      <c r="AGQ2467" s="60"/>
      <c r="AGR2467" s="60"/>
      <c r="AGS2467" s="63"/>
      <c r="AGT2467" s="61"/>
      <c r="AGU2467" s="54"/>
      <c r="AGV2467" s="54"/>
      <c r="AGW2467" s="60"/>
      <c r="AGX2467" s="60"/>
      <c r="AGY2467" s="60"/>
      <c r="AGZ2467" s="60"/>
      <c r="AHA2467" s="63"/>
      <c r="AHB2467" s="61"/>
      <c r="AHC2467" s="54"/>
      <c r="AHD2467" s="54"/>
      <c r="AHE2467" s="60"/>
      <c r="AHF2467" s="60"/>
      <c r="AHG2467" s="60"/>
      <c r="AHH2467" s="60"/>
      <c r="AHI2467" s="63"/>
      <c r="AHJ2467" s="61"/>
      <c r="AHK2467" s="54"/>
      <c r="AHL2467" s="54"/>
      <c r="AHM2467" s="60"/>
      <c r="AHN2467" s="60"/>
      <c r="AHO2467" s="60"/>
      <c r="AHP2467" s="60"/>
      <c r="AHQ2467" s="63"/>
      <c r="AHR2467" s="61"/>
      <c r="AHS2467" s="54"/>
      <c r="AHT2467" s="54"/>
      <c r="AHU2467" s="60"/>
      <c r="AHV2467" s="60"/>
      <c r="AHW2467" s="60"/>
      <c r="AHX2467" s="60"/>
      <c r="AHY2467" s="63"/>
      <c r="AHZ2467" s="61"/>
      <c r="AIA2467" s="54"/>
      <c r="AIB2467" s="54"/>
      <c r="AIC2467" s="60"/>
      <c r="AID2467" s="60"/>
      <c r="AIE2467" s="60"/>
      <c r="AIF2467" s="60"/>
      <c r="AIG2467" s="63"/>
      <c r="AIH2467" s="61"/>
      <c r="AII2467" s="54"/>
      <c r="AIJ2467" s="54"/>
      <c r="AIK2467" s="60"/>
      <c r="AIL2467" s="60"/>
      <c r="AIM2467" s="60"/>
      <c r="AIN2467" s="60"/>
      <c r="AIO2467" s="63"/>
      <c r="AIP2467" s="61"/>
      <c r="AIQ2467" s="54"/>
      <c r="AIR2467" s="54"/>
      <c r="AIS2467" s="60"/>
      <c r="AIT2467" s="60"/>
      <c r="AIU2467" s="60"/>
      <c r="AIV2467" s="60"/>
      <c r="AIW2467" s="63"/>
      <c r="AIX2467" s="61"/>
      <c r="AIY2467" s="54"/>
      <c r="AIZ2467" s="54"/>
      <c r="AJA2467" s="60"/>
      <c r="AJB2467" s="60"/>
      <c r="AJC2467" s="60"/>
      <c r="AJD2467" s="60"/>
      <c r="AJE2467" s="63"/>
      <c r="AJF2467" s="61"/>
      <c r="AJG2467" s="54"/>
      <c r="AJH2467" s="54"/>
      <c r="AJI2467" s="60"/>
      <c r="AJJ2467" s="60"/>
      <c r="AJK2467" s="60"/>
      <c r="AJL2467" s="60"/>
      <c r="AJM2467" s="63"/>
      <c r="AJN2467" s="61"/>
      <c r="AJO2467" s="54"/>
      <c r="AJP2467" s="54"/>
      <c r="AJQ2467" s="60"/>
      <c r="AJR2467" s="60"/>
      <c r="AJS2467" s="60"/>
      <c r="AJT2467" s="60"/>
      <c r="AJU2467" s="63"/>
      <c r="AJV2467" s="61"/>
      <c r="AJW2467" s="54"/>
      <c r="AJX2467" s="54"/>
      <c r="AJY2467" s="60"/>
      <c r="AJZ2467" s="60"/>
      <c r="AKA2467" s="60"/>
      <c r="AKB2467" s="60"/>
      <c r="AKC2467" s="63"/>
      <c r="AKD2467" s="61"/>
      <c r="AKE2467" s="54"/>
      <c r="AKF2467" s="54"/>
      <c r="AKG2467" s="60"/>
      <c r="AKH2467" s="60"/>
      <c r="AKI2467" s="60"/>
      <c r="AKJ2467" s="60"/>
      <c r="AKK2467" s="63"/>
      <c r="AKL2467" s="61"/>
      <c r="AKM2467" s="54"/>
      <c r="AKN2467" s="54"/>
      <c r="AKO2467" s="60"/>
      <c r="AKP2467" s="60"/>
      <c r="AKQ2467" s="60"/>
      <c r="AKR2467" s="60"/>
      <c r="AKS2467" s="63"/>
      <c r="AKT2467" s="61"/>
      <c r="AKU2467" s="54"/>
      <c r="AKV2467" s="54"/>
      <c r="AKW2467" s="60"/>
      <c r="AKX2467" s="60"/>
      <c r="AKY2467" s="60"/>
      <c r="AKZ2467" s="60"/>
      <c r="ALA2467" s="63"/>
      <c r="ALB2467" s="61"/>
      <c r="ALC2467" s="54"/>
      <c r="ALD2467" s="54"/>
      <c r="ALE2467" s="60"/>
      <c r="ALF2467" s="60"/>
      <c r="ALG2467" s="60"/>
      <c r="ALH2467" s="60"/>
      <c r="ALI2467" s="63"/>
      <c r="ALJ2467" s="61"/>
      <c r="ALK2467" s="54"/>
      <c r="ALL2467" s="54"/>
      <c r="ALM2467" s="60"/>
      <c r="ALN2467" s="60"/>
      <c r="ALO2467" s="60"/>
      <c r="ALP2467" s="60"/>
      <c r="ALQ2467" s="63"/>
      <c r="ALR2467" s="61"/>
      <c r="ALS2467" s="54"/>
      <c r="ALT2467" s="54"/>
      <c r="ALU2467" s="60"/>
      <c r="ALV2467" s="60"/>
      <c r="ALW2467" s="60"/>
      <c r="ALX2467" s="60"/>
      <c r="ALY2467" s="63"/>
      <c r="ALZ2467" s="61"/>
      <c r="AMA2467" s="54"/>
      <c r="AMB2467" s="54"/>
      <c r="AMC2467" s="60"/>
      <c r="AMD2467" s="60"/>
      <c r="AME2467" s="60"/>
      <c r="AMF2467" s="60"/>
      <c r="AMG2467" s="63"/>
      <c r="AMH2467" s="61"/>
      <c r="AMI2467" s="54"/>
      <c r="AMJ2467" s="54"/>
      <c r="AMK2467" s="60"/>
      <c r="AML2467" s="60"/>
      <c r="AMM2467" s="60"/>
      <c r="AMN2467" s="60"/>
      <c r="AMO2467" s="63"/>
      <c r="AMP2467" s="61"/>
      <c r="AMQ2467" s="54"/>
      <c r="AMR2467" s="54"/>
      <c r="AMS2467" s="60"/>
      <c r="AMT2467" s="60"/>
      <c r="AMU2467" s="60"/>
      <c r="AMV2467" s="60"/>
      <c r="AMW2467" s="63"/>
      <c r="AMX2467" s="61"/>
      <c r="AMY2467" s="54"/>
      <c r="AMZ2467" s="54"/>
      <c r="ANA2467" s="60"/>
      <c r="ANB2467" s="60"/>
      <c r="ANC2467" s="60"/>
      <c r="AND2467" s="60"/>
      <c r="ANE2467" s="63"/>
      <c r="ANF2467" s="61"/>
      <c r="ANG2467" s="54"/>
      <c r="ANH2467" s="54"/>
      <c r="ANI2467" s="60"/>
      <c r="ANJ2467" s="60"/>
      <c r="ANK2467" s="60"/>
      <c r="ANL2467" s="60"/>
      <c r="ANM2467" s="63"/>
      <c r="ANN2467" s="61"/>
      <c r="ANO2467" s="54"/>
      <c r="ANP2467" s="54"/>
      <c r="ANQ2467" s="60"/>
      <c r="ANR2467" s="60"/>
      <c r="ANS2467" s="60"/>
      <c r="ANT2467" s="60"/>
      <c r="ANU2467" s="63"/>
      <c r="ANV2467" s="61"/>
      <c r="ANW2467" s="54"/>
      <c r="ANX2467" s="54"/>
      <c r="ANY2467" s="60"/>
      <c r="ANZ2467" s="60"/>
      <c r="AOA2467" s="60"/>
      <c r="AOB2467" s="60"/>
      <c r="AOC2467" s="63"/>
      <c r="AOD2467" s="61"/>
      <c r="AOE2467" s="54"/>
      <c r="AOF2467" s="54"/>
      <c r="AOG2467" s="60"/>
      <c r="AOH2467" s="60"/>
      <c r="AOI2467" s="60"/>
      <c r="AOJ2467" s="60"/>
      <c r="AOK2467" s="63"/>
      <c r="AOL2467" s="61"/>
      <c r="AOM2467" s="54"/>
      <c r="AON2467" s="54"/>
      <c r="AOO2467" s="60"/>
      <c r="AOP2467" s="60"/>
      <c r="AOQ2467" s="60"/>
      <c r="AOR2467" s="60"/>
      <c r="AOS2467" s="63"/>
      <c r="AOT2467" s="61"/>
      <c r="AOU2467" s="54"/>
      <c r="AOV2467" s="54"/>
      <c r="AOW2467" s="60"/>
      <c r="AOX2467" s="60"/>
      <c r="AOY2467" s="60"/>
      <c r="AOZ2467" s="60"/>
      <c r="APA2467" s="63"/>
      <c r="APB2467" s="61"/>
      <c r="APC2467" s="54"/>
      <c r="APD2467" s="54"/>
      <c r="APE2467" s="60"/>
      <c r="APF2467" s="60"/>
      <c r="APG2467" s="60"/>
      <c r="APH2467" s="60"/>
      <c r="API2467" s="63"/>
      <c r="APJ2467" s="61"/>
      <c r="APK2467" s="54"/>
      <c r="APL2467" s="54"/>
      <c r="APM2467" s="60"/>
      <c r="APN2467" s="60"/>
      <c r="APO2467" s="60"/>
      <c r="APP2467" s="60"/>
      <c r="APQ2467" s="63"/>
      <c r="APR2467" s="61"/>
      <c r="APS2467" s="54"/>
      <c r="APT2467" s="54"/>
      <c r="APU2467" s="60"/>
      <c r="APV2467" s="60"/>
      <c r="APW2467" s="60"/>
      <c r="APX2467" s="60"/>
      <c r="APY2467" s="63"/>
      <c r="APZ2467" s="61"/>
      <c r="AQA2467" s="54"/>
      <c r="AQB2467" s="54"/>
      <c r="AQC2467" s="60"/>
      <c r="AQD2467" s="60"/>
      <c r="AQE2467" s="60"/>
      <c r="AQF2467" s="60"/>
      <c r="AQG2467" s="63"/>
      <c r="AQH2467" s="61"/>
      <c r="AQI2467" s="54"/>
      <c r="AQJ2467" s="54"/>
      <c r="AQK2467" s="60"/>
      <c r="AQL2467" s="60"/>
      <c r="AQM2467" s="60"/>
      <c r="AQN2467" s="60"/>
      <c r="AQO2467" s="63"/>
      <c r="AQP2467" s="61"/>
      <c r="AQQ2467" s="54"/>
      <c r="AQR2467" s="54"/>
      <c r="AQS2467" s="60"/>
      <c r="AQT2467" s="60"/>
      <c r="AQU2467" s="60"/>
      <c r="AQV2467" s="60"/>
      <c r="AQW2467" s="63"/>
      <c r="AQX2467" s="61"/>
      <c r="AQY2467" s="54"/>
      <c r="AQZ2467" s="54"/>
      <c r="ARA2467" s="60"/>
      <c r="ARB2467" s="60"/>
      <c r="ARC2467" s="60"/>
      <c r="ARD2467" s="60"/>
      <c r="ARE2467" s="63"/>
      <c r="ARF2467" s="61"/>
      <c r="ARG2467" s="54"/>
      <c r="ARH2467" s="54"/>
      <c r="ARI2467" s="60"/>
      <c r="ARJ2467" s="60"/>
      <c r="ARK2467" s="60"/>
      <c r="ARL2467" s="60"/>
      <c r="ARM2467" s="63"/>
      <c r="ARN2467" s="61"/>
      <c r="ARO2467" s="54"/>
      <c r="ARP2467" s="54"/>
      <c r="ARQ2467" s="60"/>
      <c r="ARR2467" s="60"/>
      <c r="ARS2467" s="60"/>
      <c r="ART2467" s="60"/>
      <c r="ARU2467" s="63"/>
      <c r="ARV2467" s="61"/>
      <c r="ARW2467" s="54"/>
      <c r="ARX2467" s="54"/>
      <c r="ARY2467" s="60"/>
      <c r="ARZ2467" s="60"/>
      <c r="ASA2467" s="60"/>
      <c r="ASB2467" s="60"/>
      <c r="ASC2467" s="63"/>
      <c r="ASD2467" s="61"/>
      <c r="ASE2467" s="54"/>
      <c r="ASF2467" s="54"/>
      <c r="ASG2467" s="60"/>
      <c r="ASH2467" s="60"/>
      <c r="ASI2467" s="60"/>
      <c r="ASJ2467" s="60"/>
      <c r="ASK2467" s="63"/>
      <c r="ASL2467" s="61"/>
      <c r="ASM2467" s="54"/>
      <c r="ASN2467" s="54"/>
      <c r="ASO2467" s="60"/>
      <c r="ASP2467" s="60"/>
      <c r="ASQ2467" s="60"/>
      <c r="ASR2467" s="60"/>
      <c r="ASS2467" s="63"/>
      <c r="AST2467" s="61"/>
      <c r="ASU2467" s="54"/>
      <c r="ASV2467" s="54"/>
      <c r="ASW2467" s="60"/>
      <c r="ASX2467" s="60"/>
      <c r="ASY2467" s="60"/>
      <c r="ASZ2467" s="60"/>
      <c r="ATA2467" s="63"/>
      <c r="ATB2467" s="61"/>
      <c r="ATC2467" s="54"/>
      <c r="ATD2467" s="54"/>
      <c r="ATE2467" s="60"/>
      <c r="ATF2467" s="60"/>
      <c r="ATG2467" s="60"/>
      <c r="ATH2467" s="60"/>
      <c r="ATI2467" s="63"/>
      <c r="ATJ2467" s="61"/>
      <c r="ATK2467" s="54"/>
      <c r="ATL2467" s="54"/>
      <c r="ATM2467" s="60"/>
      <c r="ATN2467" s="60"/>
      <c r="ATO2467" s="60"/>
      <c r="ATP2467" s="60"/>
      <c r="ATQ2467" s="63"/>
      <c r="ATR2467" s="61"/>
      <c r="ATS2467" s="54"/>
      <c r="ATT2467" s="54"/>
      <c r="ATU2467" s="60"/>
      <c r="ATV2467" s="60"/>
      <c r="ATW2467" s="60"/>
      <c r="ATX2467" s="60"/>
      <c r="ATY2467" s="63"/>
      <c r="ATZ2467" s="61"/>
      <c r="AUA2467" s="54"/>
      <c r="AUB2467" s="54"/>
      <c r="AUC2467" s="60"/>
      <c r="AUD2467" s="60"/>
      <c r="AUE2467" s="60"/>
      <c r="AUF2467" s="60"/>
      <c r="AUG2467" s="63"/>
      <c r="AUH2467" s="61"/>
      <c r="AUI2467" s="54"/>
      <c r="AUJ2467" s="54"/>
      <c r="AUK2467" s="60"/>
      <c r="AUL2467" s="60"/>
      <c r="AUM2467" s="60"/>
      <c r="AUN2467" s="60"/>
      <c r="AUO2467" s="63"/>
      <c r="AUP2467" s="61"/>
      <c r="AUQ2467" s="54"/>
      <c r="AUR2467" s="54"/>
      <c r="AUS2467" s="60"/>
      <c r="AUT2467" s="60"/>
      <c r="AUU2467" s="60"/>
      <c r="AUV2467" s="60"/>
      <c r="AUW2467" s="63"/>
      <c r="AUX2467" s="61"/>
      <c r="AUY2467" s="54"/>
      <c r="AUZ2467" s="54"/>
      <c r="AVA2467" s="60"/>
      <c r="AVB2467" s="60"/>
      <c r="AVC2467" s="60"/>
      <c r="AVD2467" s="60"/>
      <c r="AVE2467" s="63"/>
      <c r="AVF2467" s="61"/>
      <c r="AVG2467" s="54"/>
      <c r="AVH2467" s="54"/>
      <c r="AVI2467" s="60"/>
      <c r="AVJ2467" s="60"/>
      <c r="AVK2467" s="60"/>
      <c r="AVL2467" s="60"/>
      <c r="AVM2467" s="63"/>
      <c r="AVN2467" s="61"/>
      <c r="AVO2467" s="54"/>
      <c r="AVP2467" s="54"/>
      <c r="AVQ2467" s="60"/>
      <c r="AVR2467" s="60"/>
      <c r="AVS2467" s="60"/>
      <c r="AVT2467" s="60"/>
      <c r="AVU2467" s="63"/>
      <c r="AVV2467" s="61"/>
      <c r="AVW2467" s="54"/>
      <c r="AVX2467" s="54"/>
      <c r="AVY2467" s="60"/>
      <c r="AVZ2467" s="60"/>
      <c r="AWA2467" s="60"/>
      <c r="AWB2467" s="60"/>
      <c r="AWC2467" s="63"/>
      <c r="AWD2467" s="61"/>
      <c r="AWE2467" s="54"/>
      <c r="AWF2467" s="54"/>
      <c r="AWG2467" s="60"/>
      <c r="AWH2467" s="60"/>
      <c r="AWI2467" s="60"/>
      <c r="AWJ2467" s="60"/>
      <c r="AWK2467" s="63"/>
      <c r="AWL2467" s="61"/>
      <c r="AWM2467" s="54"/>
      <c r="AWN2467" s="54"/>
      <c r="AWO2467" s="60"/>
      <c r="AWP2467" s="60"/>
      <c r="AWQ2467" s="60"/>
      <c r="AWR2467" s="60"/>
      <c r="AWS2467" s="63"/>
      <c r="AWT2467" s="61"/>
      <c r="AWU2467" s="54"/>
      <c r="AWV2467" s="54"/>
      <c r="AWW2467" s="60"/>
      <c r="AWX2467" s="60"/>
      <c r="AWY2467" s="60"/>
      <c r="AWZ2467" s="60"/>
      <c r="AXA2467" s="63"/>
      <c r="AXB2467" s="61"/>
      <c r="AXC2467" s="54"/>
      <c r="AXD2467" s="54"/>
      <c r="AXE2467" s="60"/>
      <c r="AXF2467" s="60"/>
      <c r="AXG2467" s="60"/>
      <c r="AXH2467" s="60"/>
      <c r="AXI2467" s="63"/>
      <c r="AXJ2467" s="61"/>
      <c r="AXK2467" s="54"/>
      <c r="AXL2467" s="54"/>
      <c r="AXM2467" s="60"/>
      <c r="AXN2467" s="60"/>
      <c r="AXO2467" s="60"/>
      <c r="AXP2467" s="60"/>
      <c r="AXQ2467" s="63"/>
      <c r="AXR2467" s="61"/>
      <c r="AXS2467" s="54"/>
      <c r="AXT2467" s="54"/>
      <c r="AXU2467" s="60"/>
      <c r="AXV2467" s="60"/>
      <c r="AXW2467" s="60"/>
      <c r="AXX2467" s="60"/>
      <c r="AXY2467" s="63"/>
      <c r="AXZ2467" s="61"/>
      <c r="AYA2467" s="54"/>
      <c r="AYB2467" s="54"/>
      <c r="AYC2467" s="60"/>
      <c r="AYD2467" s="60"/>
      <c r="AYE2467" s="60"/>
      <c r="AYF2467" s="60"/>
      <c r="AYG2467" s="63"/>
      <c r="AYH2467" s="61"/>
      <c r="AYI2467" s="54"/>
      <c r="AYJ2467" s="54"/>
      <c r="AYK2467" s="60"/>
      <c r="AYL2467" s="60"/>
      <c r="AYM2467" s="60"/>
      <c r="AYN2467" s="60"/>
      <c r="AYO2467" s="63"/>
      <c r="AYP2467" s="61"/>
      <c r="AYQ2467" s="54"/>
      <c r="AYR2467" s="54"/>
      <c r="AYS2467" s="60"/>
      <c r="AYT2467" s="60"/>
      <c r="AYU2467" s="60"/>
      <c r="AYV2467" s="60"/>
      <c r="AYW2467" s="63"/>
      <c r="AYX2467" s="61"/>
      <c r="AYY2467" s="54"/>
      <c r="AYZ2467" s="54"/>
      <c r="AZA2467" s="60"/>
      <c r="AZB2467" s="60"/>
      <c r="AZC2467" s="60"/>
      <c r="AZD2467" s="60"/>
      <c r="AZE2467" s="63"/>
      <c r="AZF2467" s="61"/>
      <c r="AZG2467" s="54"/>
      <c r="AZH2467" s="54"/>
      <c r="AZI2467" s="60"/>
      <c r="AZJ2467" s="60"/>
      <c r="AZK2467" s="60"/>
      <c r="AZL2467" s="60"/>
      <c r="AZM2467" s="63"/>
      <c r="AZN2467" s="61"/>
      <c r="AZO2467" s="54"/>
      <c r="AZP2467" s="54"/>
      <c r="AZQ2467" s="60"/>
      <c r="AZR2467" s="60"/>
      <c r="AZS2467" s="60"/>
      <c r="AZT2467" s="60"/>
      <c r="AZU2467" s="63"/>
      <c r="AZV2467" s="61"/>
      <c r="AZW2467" s="54"/>
      <c r="AZX2467" s="54"/>
      <c r="AZY2467" s="60"/>
      <c r="AZZ2467" s="60"/>
      <c r="BAA2467" s="60"/>
      <c r="BAB2467" s="60"/>
      <c r="BAC2467" s="63"/>
      <c r="BAD2467" s="61"/>
      <c r="BAE2467" s="54"/>
      <c r="BAF2467" s="54"/>
      <c r="BAG2467" s="60"/>
      <c r="BAH2467" s="60"/>
      <c r="BAI2467" s="60"/>
      <c r="BAJ2467" s="60"/>
      <c r="BAK2467" s="63"/>
      <c r="BAL2467" s="61"/>
      <c r="BAM2467" s="54"/>
      <c r="BAN2467" s="54"/>
      <c r="BAO2467" s="60"/>
      <c r="BAP2467" s="60"/>
      <c r="BAQ2467" s="60"/>
      <c r="BAR2467" s="60"/>
      <c r="BAS2467" s="63"/>
      <c r="BAT2467" s="61"/>
      <c r="BAU2467" s="54"/>
      <c r="BAV2467" s="54"/>
      <c r="BAW2467" s="60"/>
      <c r="BAX2467" s="60"/>
      <c r="BAY2467" s="60"/>
      <c r="BAZ2467" s="60"/>
      <c r="BBA2467" s="63"/>
      <c r="BBB2467" s="61"/>
      <c r="BBC2467" s="54"/>
      <c r="BBD2467" s="54"/>
      <c r="BBE2467" s="60"/>
      <c r="BBF2467" s="60"/>
      <c r="BBG2467" s="60"/>
      <c r="BBH2467" s="60"/>
      <c r="BBI2467" s="63"/>
      <c r="BBJ2467" s="61"/>
      <c r="BBK2467" s="54"/>
      <c r="BBL2467" s="54"/>
      <c r="BBM2467" s="60"/>
      <c r="BBN2467" s="60"/>
      <c r="BBO2467" s="60"/>
      <c r="BBP2467" s="60"/>
      <c r="BBQ2467" s="63"/>
      <c r="BBR2467" s="61"/>
      <c r="BBS2467" s="54"/>
      <c r="BBT2467" s="54"/>
      <c r="BBU2467" s="60"/>
      <c r="BBV2467" s="60"/>
      <c r="BBW2467" s="60"/>
      <c r="BBX2467" s="60"/>
      <c r="BBY2467" s="63"/>
      <c r="BBZ2467" s="61"/>
      <c r="BCA2467" s="54"/>
      <c r="BCB2467" s="54"/>
      <c r="BCC2467" s="60"/>
      <c r="BCD2467" s="60"/>
      <c r="BCE2467" s="60"/>
      <c r="BCF2467" s="60"/>
      <c r="BCG2467" s="63"/>
      <c r="BCH2467" s="61"/>
      <c r="BCI2467" s="54"/>
      <c r="BCJ2467" s="54"/>
      <c r="BCK2467" s="60"/>
      <c r="BCL2467" s="60"/>
      <c r="BCM2467" s="60"/>
      <c r="BCN2467" s="60"/>
      <c r="BCO2467" s="63"/>
      <c r="BCP2467" s="61"/>
      <c r="BCQ2467" s="54"/>
      <c r="BCR2467" s="54"/>
      <c r="BCS2467" s="60"/>
      <c r="BCT2467" s="60"/>
      <c r="BCU2467" s="60"/>
      <c r="BCV2467" s="60"/>
      <c r="BCW2467" s="63"/>
      <c r="BCX2467" s="61"/>
      <c r="BCY2467" s="54"/>
      <c r="BCZ2467" s="54"/>
      <c r="BDA2467" s="60"/>
      <c r="BDB2467" s="60"/>
      <c r="BDC2467" s="60"/>
      <c r="BDD2467" s="60"/>
      <c r="BDE2467" s="63"/>
      <c r="BDF2467" s="61"/>
      <c r="BDG2467" s="54"/>
      <c r="BDH2467" s="54"/>
      <c r="BDI2467" s="60"/>
      <c r="BDJ2467" s="60"/>
      <c r="BDK2467" s="60"/>
      <c r="BDL2467" s="60"/>
      <c r="BDM2467" s="63"/>
      <c r="BDN2467" s="61"/>
      <c r="BDO2467" s="54"/>
      <c r="BDP2467" s="54"/>
      <c r="BDQ2467" s="60"/>
      <c r="BDR2467" s="60"/>
      <c r="BDS2467" s="60"/>
      <c r="BDT2467" s="60"/>
      <c r="BDU2467" s="63"/>
      <c r="BDV2467" s="61"/>
      <c r="BDW2467" s="54"/>
      <c r="BDX2467" s="54"/>
      <c r="BDY2467" s="60"/>
      <c r="BDZ2467" s="60"/>
      <c r="BEA2467" s="60"/>
      <c r="BEB2467" s="60"/>
      <c r="BEC2467" s="63"/>
      <c r="BED2467" s="61"/>
      <c r="BEE2467" s="54"/>
      <c r="BEF2467" s="54"/>
      <c r="BEG2467" s="60"/>
      <c r="BEH2467" s="60"/>
      <c r="BEI2467" s="60"/>
      <c r="BEJ2467" s="60"/>
      <c r="BEK2467" s="63"/>
      <c r="BEL2467" s="61"/>
      <c r="BEM2467" s="54"/>
      <c r="BEN2467" s="54"/>
      <c r="BEO2467" s="60"/>
      <c r="BEP2467" s="60"/>
      <c r="BEQ2467" s="60"/>
      <c r="BER2467" s="60"/>
      <c r="BES2467" s="63"/>
      <c r="BET2467" s="61"/>
      <c r="BEU2467" s="54"/>
      <c r="BEV2467" s="54"/>
      <c r="BEW2467" s="60"/>
      <c r="BEX2467" s="60"/>
      <c r="BEY2467" s="60"/>
      <c r="BEZ2467" s="60"/>
      <c r="BFA2467" s="63"/>
      <c r="BFB2467" s="61"/>
      <c r="BFC2467" s="54"/>
      <c r="BFD2467" s="54"/>
      <c r="BFE2467" s="60"/>
      <c r="BFF2467" s="60"/>
      <c r="BFG2467" s="60"/>
      <c r="BFH2467" s="60"/>
      <c r="BFI2467" s="63"/>
      <c r="BFJ2467" s="61"/>
      <c r="BFK2467" s="54"/>
      <c r="BFL2467" s="54"/>
      <c r="BFM2467" s="60"/>
      <c r="BFN2467" s="60"/>
      <c r="BFO2467" s="60"/>
      <c r="BFP2467" s="60"/>
      <c r="BFQ2467" s="63"/>
      <c r="BFR2467" s="61"/>
      <c r="BFS2467" s="54"/>
      <c r="BFT2467" s="54"/>
      <c r="BFU2467" s="60"/>
      <c r="BFV2467" s="60"/>
      <c r="BFW2467" s="60"/>
      <c r="BFX2467" s="60"/>
      <c r="BFY2467" s="63"/>
      <c r="BFZ2467" s="61"/>
      <c r="BGA2467" s="54"/>
      <c r="BGB2467" s="54"/>
      <c r="BGC2467" s="60"/>
      <c r="BGD2467" s="60"/>
      <c r="BGE2467" s="60"/>
      <c r="BGF2467" s="60"/>
      <c r="BGG2467" s="63"/>
      <c r="BGH2467" s="61"/>
      <c r="BGI2467" s="54"/>
      <c r="BGJ2467" s="54"/>
      <c r="BGK2467" s="60"/>
      <c r="BGL2467" s="60"/>
      <c r="BGM2467" s="60"/>
      <c r="BGN2467" s="60"/>
      <c r="BGO2467" s="63"/>
      <c r="BGP2467" s="61"/>
      <c r="BGQ2467" s="54"/>
      <c r="BGR2467" s="54"/>
      <c r="BGS2467" s="60"/>
      <c r="BGT2467" s="60"/>
      <c r="BGU2467" s="60"/>
      <c r="BGV2467" s="60"/>
      <c r="BGW2467" s="63"/>
      <c r="BGX2467" s="61"/>
      <c r="BGY2467" s="54"/>
      <c r="BGZ2467" s="54"/>
      <c r="BHA2467" s="60"/>
      <c r="BHB2467" s="60"/>
      <c r="BHC2467" s="60"/>
      <c r="BHD2467" s="60"/>
      <c r="BHE2467" s="63"/>
      <c r="BHF2467" s="61"/>
      <c r="BHG2467" s="54"/>
      <c r="BHH2467" s="54"/>
      <c r="BHI2467" s="60"/>
      <c r="BHJ2467" s="60"/>
      <c r="BHK2467" s="60"/>
      <c r="BHL2467" s="60"/>
      <c r="BHM2467" s="63"/>
      <c r="BHN2467" s="61"/>
      <c r="BHO2467" s="54"/>
      <c r="BHP2467" s="54"/>
      <c r="BHQ2467" s="60"/>
      <c r="BHR2467" s="60"/>
      <c r="BHS2467" s="60"/>
      <c r="BHT2467" s="60"/>
      <c r="BHU2467" s="63"/>
      <c r="BHV2467" s="61"/>
      <c r="BHW2467" s="54"/>
      <c r="BHX2467" s="54"/>
      <c r="BHY2467" s="60"/>
      <c r="BHZ2467" s="60"/>
      <c r="BIA2467" s="60"/>
      <c r="BIB2467" s="60"/>
      <c r="BIC2467" s="63"/>
      <c r="BID2467" s="61"/>
      <c r="BIE2467" s="54"/>
      <c r="BIF2467" s="54"/>
      <c r="BIG2467" s="60"/>
      <c r="BIH2467" s="60"/>
      <c r="BII2467" s="60"/>
      <c r="BIJ2467" s="60"/>
      <c r="BIK2467" s="63"/>
      <c r="BIL2467" s="61"/>
      <c r="BIM2467" s="54"/>
      <c r="BIN2467" s="54"/>
      <c r="BIO2467" s="60"/>
      <c r="BIP2467" s="60"/>
      <c r="BIQ2467" s="60"/>
      <c r="BIR2467" s="60"/>
      <c r="BIS2467" s="63"/>
      <c r="BIT2467" s="61"/>
      <c r="BIU2467" s="54"/>
      <c r="BIV2467" s="54"/>
      <c r="BIW2467" s="60"/>
      <c r="BIX2467" s="60"/>
      <c r="BIY2467" s="60"/>
      <c r="BIZ2467" s="60"/>
      <c r="BJA2467" s="63"/>
      <c r="BJB2467" s="61"/>
      <c r="BJC2467" s="54"/>
      <c r="BJD2467" s="54"/>
      <c r="BJE2467" s="60"/>
      <c r="BJF2467" s="60"/>
      <c r="BJG2467" s="60"/>
      <c r="BJH2467" s="60"/>
      <c r="BJI2467" s="63"/>
      <c r="BJJ2467" s="61"/>
      <c r="BJK2467" s="54"/>
      <c r="BJL2467" s="54"/>
      <c r="BJM2467" s="60"/>
      <c r="BJN2467" s="60"/>
      <c r="BJO2467" s="60"/>
      <c r="BJP2467" s="60"/>
      <c r="BJQ2467" s="63"/>
      <c r="BJR2467" s="61"/>
      <c r="BJS2467" s="54"/>
      <c r="BJT2467" s="54"/>
      <c r="BJU2467" s="60"/>
      <c r="BJV2467" s="60"/>
      <c r="BJW2467" s="60"/>
      <c r="BJX2467" s="60"/>
      <c r="BJY2467" s="63"/>
      <c r="BJZ2467" s="61"/>
      <c r="BKA2467" s="54"/>
      <c r="BKB2467" s="54"/>
      <c r="BKC2467" s="60"/>
      <c r="BKD2467" s="60"/>
      <c r="BKE2467" s="60"/>
      <c r="BKF2467" s="60"/>
      <c r="BKG2467" s="63"/>
      <c r="BKH2467" s="61"/>
      <c r="BKI2467" s="54"/>
      <c r="BKJ2467" s="54"/>
      <c r="BKK2467" s="60"/>
      <c r="BKL2467" s="60"/>
      <c r="BKM2467" s="60"/>
      <c r="BKN2467" s="60"/>
      <c r="BKO2467" s="63"/>
      <c r="BKP2467" s="61"/>
      <c r="BKQ2467" s="54"/>
      <c r="BKR2467" s="54"/>
      <c r="BKS2467" s="60"/>
      <c r="BKT2467" s="60"/>
      <c r="BKU2467" s="60"/>
      <c r="BKV2467" s="60"/>
      <c r="BKW2467" s="63"/>
      <c r="BKX2467" s="61"/>
      <c r="BKY2467" s="54"/>
      <c r="BKZ2467" s="54"/>
      <c r="BLA2467" s="60"/>
      <c r="BLB2467" s="60"/>
      <c r="BLC2467" s="60"/>
      <c r="BLD2467" s="60"/>
      <c r="BLE2467" s="63"/>
      <c r="BLF2467" s="61"/>
      <c r="BLG2467" s="54"/>
      <c r="BLH2467" s="54"/>
      <c r="BLI2467" s="60"/>
      <c r="BLJ2467" s="60"/>
      <c r="BLK2467" s="60"/>
      <c r="BLL2467" s="60"/>
      <c r="BLM2467" s="63"/>
      <c r="BLN2467" s="61"/>
      <c r="BLO2467" s="54"/>
      <c r="BLP2467" s="54"/>
      <c r="BLQ2467" s="60"/>
      <c r="BLR2467" s="60"/>
      <c r="BLS2467" s="60"/>
      <c r="BLT2467" s="60"/>
      <c r="BLU2467" s="63"/>
      <c r="BLV2467" s="61"/>
      <c r="BLW2467" s="54"/>
      <c r="BLX2467" s="54"/>
      <c r="BLY2467" s="60"/>
      <c r="BLZ2467" s="60"/>
      <c r="BMA2467" s="60"/>
      <c r="BMB2467" s="60"/>
      <c r="BMC2467" s="63"/>
      <c r="BMD2467" s="61"/>
      <c r="BME2467" s="54"/>
      <c r="BMF2467" s="54"/>
      <c r="BMG2467" s="60"/>
      <c r="BMH2467" s="60"/>
      <c r="BMI2467" s="60"/>
      <c r="BMJ2467" s="60"/>
      <c r="BMK2467" s="63"/>
      <c r="BML2467" s="61"/>
      <c r="BMM2467" s="54"/>
      <c r="BMN2467" s="54"/>
      <c r="BMO2467" s="60"/>
      <c r="BMP2467" s="60"/>
      <c r="BMQ2467" s="60"/>
      <c r="BMR2467" s="60"/>
      <c r="BMS2467" s="63"/>
      <c r="BMT2467" s="61"/>
      <c r="BMU2467" s="54"/>
      <c r="BMV2467" s="54"/>
      <c r="BMW2467" s="60"/>
      <c r="BMX2467" s="60"/>
      <c r="BMY2467" s="60"/>
      <c r="BMZ2467" s="60"/>
      <c r="BNA2467" s="63"/>
      <c r="BNB2467" s="61"/>
      <c r="BNC2467" s="54"/>
      <c r="BND2467" s="54"/>
      <c r="BNE2467" s="60"/>
      <c r="BNF2467" s="60"/>
      <c r="BNG2467" s="60"/>
      <c r="BNH2467" s="60"/>
      <c r="BNI2467" s="63"/>
      <c r="BNJ2467" s="61"/>
      <c r="BNK2467" s="54"/>
      <c r="BNL2467" s="54"/>
      <c r="BNM2467" s="60"/>
      <c r="BNN2467" s="60"/>
      <c r="BNO2467" s="60"/>
      <c r="BNP2467" s="60"/>
      <c r="BNQ2467" s="63"/>
      <c r="BNR2467" s="61"/>
      <c r="BNS2467" s="54"/>
      <c r="BNT2467" s="54"/>
      <c r="BNU2467" s="60"/>
      <c r="BNV2467" s="60"/>
      <c r="BNW2467" s="60"/>
      <c r="BNX2467" s="60"/>
      <c r="BNY2467" s="63"/>
      <c r="BNZ2467" s="61"/>
      <c r="BOA2467" s="54"/>
      <c r="BOB2467" s="54"/>
      <c r="BOC2467" s="60"/>
      <c r="BOD2467" s="60"/>
      <c r="BOE2467" s="60"/>
      <c r="BOF2467" s="60"/>
      <c r="BOG2467" s="63"/>
      <c r="BOH2467" s="61"/>
      <c r="BOI2467" s="54"/>
      <c r="BOJ2467" s="54"/>
      <c r="BOK2467" s="60"/>
      <c r="BOL2467" s="60"/>
      <c r="BOM2467" s="60"/>
      <c r="BON2467" s="60"/>
      <c r="BOO2467" s="63"/>
      <c r="BOP2467" s="61"/>
      <c r="BOQ2467" s="54"/>
      <c r="BOR2467" s="54"/>
      <c r="BOS2467" s="60"/>
      <c r="BOT2467" s="60"/>
      <c r="BOU2467" s="60"/>
      <c r="BOV2467" s="60"/>
      <c r="BOW2467" s="63"/>
      <c r="BOX2467" s="61"/>
      <c r="BOY2467" s="54"/>
      <c r="BOZ2467" s="54"/>
      <c r="BPA2467" s="60"/>
      <c r="BPB2467" s="60"/>
      <c r="BPC2467" s="60"/>
      <c r="BPD2467" s="60"/>
      <c r="BPE2467" s="63"/>
      <c r="BPF2467" s="61"/>
      <c r="BPG2467" s="54"/>
      <c r="BPH2467" s="54"/>
      <c r="BPI2467" s="60"/>
      <c r="BPJ2467" s="60"/>
      <c r="BPK2467" s="60"/>
      <c r="BPL2467" s="60"/>
      <c r="BPM2467" s="63"/>
      <c r="BPN2467" s="61"/>
      <c r="BPO2467" s="54"/>
      <c r="BPP2467" s="54"/>
      <c r="BPQ2467" s="60"/>
      <c r="BPR2467" s="60"/>
      <c r="BPS2467" s="60"/>
      <c r="BPT2467" s="60"/>
      <c r="BPU2467" s="63"/>
      <c r="BPV2467" s="61"/>
      <c r="BPW2467" s="54"/>
      <c r="BPX2467" s="54"/>
      <c r="BPY2467" s="60"/>
      <c r="BPZ2467" s="60"/>
      <c r="BQA2467" s="60"/>
      <c r="BQB2467" s="60"/>
      <c r="BQC2467" s="63"/>
      <c r="BQD2467" s="61"/>
      <c r="BQE2467" s="54"/>
      <c r="BQF2467" s="54"/>
      <c r="BQG2467" s="60"/>
      <c r="BQH2467" s="60"/>
      <c r="BQI2467" s="60"/>
      <c r="BQJ2467" s="60"/>
      <c r="BQK2467" s="63"/>
      <c r="BQL2467" s="61"/>
      <c r="BQM2467" s="54"/>
      <c r="BQN2467" s="54"/>
      <c r="BQO2467" s="60"/>
      <c r="BQP2467" s="60"/>
      <c r="BQQ2467" s="60"/>
      <c r="BQR2467" s="60"/>
      <c r="BQS2467" s="63"/>
      <c r="BQT2467" s="61"/>
      <c r="BQU2467" s="54"/>
      <c r="BQV2467" s="54"/>
      <c r="BQW2467" s="60"/>
      <c r="BQX2467" s="60"/>
      <c r="BQY2467" s="60"/>
      <c r="BQZ2467" s="60"/>
      <c r="BRA2467" s="63"/>
      <c r="BRB2467" s="61"/>
      <c r="BRC2467" s="54"/>
      <c r="BRD2467" s="54"/>
      <c r="BRE2467" s="60"/>
      <c r="BRF2467" s="60"/>
      <c r="BRG2467" s="60"/>
      <c r="BRH2467" s="60"/>
      <c r="BRI2467" s="63"/>
      <c r="BRJ2467" s="61"/>
      <c r="BRK2467" s="54"/>
      <c r="BRL2467" s="54"/>
      <c r="BRM2467" s="60"/>
      <c r="BRN2467" s="60"/>
      <c r="BRO2467" s="60"/>
      <c r="BRP2467" s="60"/>
      <c r="BRQ2467" s="63"/>
      <c r="BRR2467" s="61"/>
      <c r="BRS2467" s="54"/>
      <c r="BRT2467" s="54"/>
      <c r="BRU2467" s="60"/>
      <c r="BRV2467" s="60"/>
      <c r="BRW2467" s="60"/>
      <c r="BRX2467" s="60"/>
      <c r="BRY2467" s="63"/>
      <c r="BRZ2467" s="61"/>
      <c r="BSA2467" s="54"/>
      <c r="BSB2467" s="54"/>
      <c r="BSC2467" s="60"/>
      <c r="BSD2467" s="60"/>
      <c r="BSE2467" s="60"/>
      <c r="BSF2467" s="60"/>
      <c r="BSG2467" s="63"/>
      <c r="BSH2467" s="61"/>
      <c r="BSI2467" s="54"/>
      <c r="BSJ2467" s="54"/>
      <c r="BSK2467" s="60"/>
      <c r="BSL2467" s="60"/>
      <c r="BSM2467" s="60"/>
      <c r="BSN2467" s="60"/>
      <c r="BSO2467" s="63"/>
      <c r="BSP2467" s="61"/>
      <c r="BSQ2467" s="54"/>
      <c r="BSR2467" s="54"/>
      <c r="BSS2467" s="60"/>
      <c r="BST2467" s="60"/>
      <c r="BSU2467" s="60"/>
      <c r="BSV2467" s="60"/>
      <c r="BSW2467" s="63"/>
      <c r="BSX2467" s="61"/>
      <c r="BSY2467" s="54"/>
      <c r="BSZ2467" s="54"/>
      <c r="BTA2467" s="60"/>
      <c r="BTB2467" s="60"/>
      <c r="BTC2467" s="60"/>
      <c r="BTD2467" s="60"/>
      <c r="BTE2467" s="63"/>
      <c r="BTF2467" s="61"/>
      <c r="BTG2467" s="54"/>
      <c r="BTH2467" s="54"/>
      <c r="BTI2467" s="60"/>
      <c r="BTJ2467" s="60"/>
      <c r="BTK2467" s="60"/>
      <c r="BTL2467" s="60"/>
      <c r="BTM2467" s="63"/>
      <c r="BTN2467" s="61"/>
      <c r="BTO2467" s="54"/>
      <c r="BTP2467" s="54"/>
      <c r="BTQ2467" s="60"/>
      <c r="BTR2467" s="60"/>
      <c r="BTS2467" s="60"/>
      <c r="BTT2467" s="60"/>
      <c r="BTU2467" s="63"/>
      <c r="BTV2467" s="61"/>
      <c r="BTW2467" s="54"/>
      <c r="BTX2467" s="54"/>
      <c r="BTY2467" s="60"/>
      <c r="BTZ2467" s="60"/>
      <c r="BUA2467" s="60"/>
      <c r="BUB2467" s="60"/>
      <c r="BUC2467" s="63"/>
      <c r="BUD2467" s="61"/>
      <c r="BUE2467" s="54"/>
      <c r="BUF2467" s="54"/>
      <c r="BUG2467" s="60"/>
      <c r="BUH2467" s="60"/>
      <c r="BUI2467" s="60"/>
      <c r="BUJ2467" s="60"/>
      <c r="BUK2467" s="63"/>
      <c r="BUL2467" s="61"/>
      <c r="BUM2467" s="54"/>
      <c r="BUN2467" s="54"/>
      <c r="BUO2467" s="60"/>
      <c r="BUP2467" s="60"/>
      <c r="BUQ2467" s="60"/>
      <c r="BUR2467" s="60"/>
      <c r="BUS2467" s="63"/>
      <c r="BUT2467" s="61"/>
      <c r="BUU2467" s="54"/>
      <c r="BUV2467" s="54"/>
      <c r="BUW2467" s="60"/>
      <c r="BUX2467" s="60"/>
      <c r="BUY2467" s="60"/>
      <c r="BUZ2467" s="60"/>
      <c r="BVA2467" s="63"/>
      <c r="BVB2467" s="61"/>
      <c r="BVC2467" s="54"/>
      <c r="BVD2467" s="54"/>
      <c r="BVE2467" s="60"/>
      <c r="BVF2467" s="60"/>
      <c r="BVG2467" s="60"/>
      <c r="BVH2467" s="60"/>
      <c r="BVI2467" s="63"/>
      <c r="BVJ2467" s="61"/>
      <c r="BVK2467" s="54"/>
      <c r="BVL2467" s="54"/>
      <c r="BVM2467" s="60"/>
      <c r="BVN2467" s="60"/>
      <c r="BVO2467" s="60"/>
      <c r="BVP2467" s="60"/>
      <c r="BVQ2467" s="63"/>
      <c r="BVR2467" s="61"/>
      <c r="BVS2467" s="54"/>
      <c r="BVT2467" s="54"/>
      <c r="BVU2467" s="60"/>
      <c r="BVV2467" s="60"/>
      <c r="BVW2467" s="60"/>
      <c r="BVX2467" s="60"/>
      <c r="BVY2467" s="63"/>
      <c r="BVZ2467" s="61"/>
      <c r="BWA2467" s="54"/>
      <c r="BWB2467" s="54"/>
      <c r="BWC2467" s="60"/>
      <c r="BWD2467" s="60"/>
      <c r="BWE2467" s="60"/>
      <c r="BWF2467" s="60"/>
      <c r="BWG2467" s="63"/>
      <c r="BWH2467" s="61"/>
      <c r="BWI2467" s="54"/>
      <c r="BWJ2467" s="54"/>
      <c r="BWK2467" s="60"/>
      <c r="BWL2467" s="60"/>
      <c r="BWM2467" s="60"/>
      <c r="BWN2467" s="60"/>
      <c r="BWO2467" s="63"/>
      <c r="BWP2467" s="61"/>
      <c r="BWQ2467" s="54"/>
      <c r="BWR2467" s="54"/>
      <c r="BWS2467" s="60"/>
      <c r="BWT2467" s="60"/>
      <c r="BWU2467" s="60"/>
      <c r="BWV2467" s="60"/>
      <c r="BWW2467" s="63"/>
      <c r="BWX2467" s="61"/>
      <c r="BWY2467" s="54"/>
      <c r="BWZ2467" s="54"/>
      <c r="BXA2467" s="60"/>
      <c r="BXB2467" s="60"/>
      <c r="BXC2467" s="60"/>
      <c r="BXD2467" s="60"/>
      <c r="BXE2467" s="63"/>
      <c r="BXF2467" s="61"/>
      <c r="BXG2467" s="54"/>
      <c r="BXH2467" s="54"/>
      <c r="BXI2467" s="60"/>
      <c r="BXJ2467" s="60"/>
      <c r="BXK2467" s="60"/>
      <c r="BXL2467" s="60"/>
      <c r="BXM2467" s="63"/>
      <c r="BXN2467" s="61"/>
      <c r="BXO2467" s="54"/>
      <c r="BXP2467" s="54"/>
      <c r="BXQ2467" s="60"/>
      <c r="BXR2467" s="60"/>
      <c r="BXS2467" s="60"/>
      <c r="BXT2467" s="60"/>
      <c r="BXU2467" s="63"/>
      <c r="BXV2467" s="61"/>
      <c r="BXW2467" s="54"/>
      <c r="BXX2467" s="54"/>
      <c r="BXY2467" s="60"/>
      <c r="BXZ2467" s="60"/>
      <c r="BYA2467" s="60"/>
      <c r="BYB2467" s="60"/>
      <c r="BYC2467" s="63"/>
      <c r="BYD2467" s="61"/>
      <c r="BYE2467" s="54"/>
      <c r="BYF2467" s="54"/>
      <c r="BYG2467" s="60"/>
      <c r="BYH2467" s="60"/>
      <c r="BYI2467" s="60"/>
      <c r="BYJ2467" s="60"/>
      <c r="BYK2467" s="63"/>
      <c r="BYL2467" s="61"/>
      <c r="BYM2467" s="54"/>
      <c r="BYN2467" s="54"/>
      <c r="BYO2467" s="60"/>
      <c r="BYP2467" s="60"/>
      <c r="BYQ2467" s="60"/>
      <c r="BYR2467" s="60"/>
      <c r="BYS2467" s="63"/>
      <c r="BYT2467" s="61"/>
      <c r="BYU2467" s="54"/>
      <c r="BYV2467" s="54"/>
      <c r="BYW2467" s="60"/>
      <c r="BYX2467" s="60"/>
      <c r="BYY2467" s="60"/>
      <c r="BYZ2467" s="60"/>
      <c r="BZA2467" s="63"/>
      <c r="BZB2467" s="61"/>
      <c r="BZC2467" s="54"/>
      <c r="BZD2467" s="54"/>
      <c r="BZE2467" s="60"/>
      <c r="BZF2467" s="60"/>
      <c r="BZG2467" s="60"/>
      <c r="BZH2467" s="60"/>
      <c r="BZI2467" s="63"/>
      <c r="BZJ2467" s="61"/>
      <c r="BZK2467" s="54"/>
      <c r="BZL2467" s="54"/>
      <c r="BZM2467" s="60"/>
      <c r="BZN2467" s="60"/>
      <c r="BZO2467" s="60"/>
      <c r="BZP2467" s="60"/>
      <c r="BZQ2467" s="63"/>
      <c r="BZR2467" s="61"/>
      <c r="BZS2467" s="54"/>
      <c r="BZT2467" s="54"/>
      <c r="BZU2467" s="60"/>
      <c r="BZV2467" s="60"/>
      <c r="BZW2467" s="60"/>
      <c r="BZX2467" s="60"/>
      <c r="BZY2467" s="63"/>
      <c r="BZZ2467" s="61"/>
      <c r="CAA2467" s="54"/>
      <c r="CAB2467" s="54"/>
      <c r="CAC2467" s="60"/>
      <c r="CAD2467" s="60"/>
      <c r="CAE2467" s="60"/>
      <c r="CAF2467" s="60"/>
      <c r="CAG2467" s="63"/>
      <c r="CAH2467" s="61"/>
      <c r="CAI2467" s="54"/>
      <c r="CAJ2467" s="54"/>
      <c r="CAK2467" s="60"/>
      <c r="CAL2467" s="60"/>
      <c r="CAM2467" s="60"/>
      <c r="CAN2467" s="60"/>
      <c r="CAO2467" s="63"/>
      <c r="CAP2467" s="61"/>
      <c r="CAQ2467" s="54"/>
      <c r="CAR2467" s="54"/>
      <c r="CAS2467" s="60"/>
      <c r="CAT2467" s="60"/>
      <c r="CAU2467" s="60"/>
      <c r="CAV2467" s="60"/>
      <c r="CAW2467" s="63"/>
      <c r="CAX2467" s="61"/>
      <c r="CAY2467" s="54"/>
      <c r="CAZ2467" s="54"/>
      <c r="CBA2467" s="60"/>
      <c r="CBB2467" s="60"/>
      <c r="CBC2467" s="60"/>
      <c r="CBD2467" s="60"/>
      <c r="CBE2467" s="63"/>
      <c r="CBF2467" s="61"/>
      <c r="CBG2467" s="54"/>
      <c r="CBH2467" s="54"/>
      <c r="CBI2467" s="60"/>
      <c r="CBJ2467" s="60"/>
      <c r="CBK2467" s="60"/>
      <c r="CBL2467" s="60"/>
      <c r="CBM2467" s="63"/>
      <c r="CBN2467" s="61"/>
      <c r="CBO2467" s="54"/>
      <c r="CBP2467" s="54"/>
      <c r="CBQ2467" s="60"/>
      <c r="CBR2467" s="60"/>
      <c r="CBS2467" s="60"/>
      <c r="CBT2467" s="60"/>
      <c r="CBU2467" s="63"/>
      <c r="CBV2467" s="61"/>
      <c r="CBW2467" s="54"/>
      <c r="CBX2467" s="54"/>
      <c r="CBY2467" s="60"/>
      <c r="CBZ2467" s="60"/>
      <c r="CCA2467" s="60"/>
      <c r="CCB2467" s="60"/>
      <c r="CCC2467" s="63"/>
      <c r="CCD2467" s="61"/>
      <c r="CCE2467" s="54"/>
      <c r="CCF2467" s="54"/>
      <c r="CCG2467" s="60"/>
      <c r="CCH2467" s="60"/>
      <c r="CCI2467" s="60"/>
      <c r="CCJ2467" s="60"/>
      <c r="CCK2467" s="63"/>
      <c r="CCL2467" s="61"/>
      <c r="CCM2467" s="54"/>
      <c r="CCN2467" s="54"/>
      <c r="CCO2467" s="60"/>
      <c r="CCP2467" s="60"/>
      <c r="CCQ2467" s="60"/>
      <c r="CCR2467" s="60"/>
      <c r="CCS2467" s="63"/>
      <c r="CCT2467" s="61"/>
      <c r="CCU2467" s="54"/>
      <c r="CCV2467" s="54"/>
      <c r="CCW2467" s="60"/>
      <c r="CCX2467" s="60"/>
      <c r="CCY2467" s="60"/>
      <c r="CCZ2467" s="60"/>
      <c r="CDA2467" s="63"/>
      <c r="CDB2467" s="61"/>
      <c r="CDC2467" s="54"/>
      <c r="CDD2467" s="54"/>
      <c r="CDE2467" s="60"/>
      <c r="CDF2467" s="60"/>
      <c r="CDG2467" s="60"/>
      <c r="CDH2467" s="60"/>
      <c r="CDI2467" s="63"/>
      <c r="CDJ2467" s="61"/>
      <c r="CDK2467" s="54"/>
      <c r="CDL2467" s="54"/>
      <c r="CDM2467" s="60"/>
      <c r="CDN2467" s="60"/>
      <c r="CDO2467" s="60"/>
      <c r="CDP2467" s="60"/>
      <c r="CDQ2467" s="63"/>
      <c r="CDR2467" s="61"/>
      <c r="CDS2467" s="54"/>
      <c r="CDT2467" s="54"/>
      <c r="CDU2467" s="60"/>
      <c r="CDV2467" s="60"/>
      <c r="CDW2467" s="60"/>
      <c r="CDX2467" s="60"/>
      <c r="CDY2467" s="63"/>
      <c r="CDZ2467" s="61"/>
      <c r="CEA2467" s="54"/>
      <c r="CEB2467" s="54"/>
      <c r="CEC2467" s="60"/>
      <c r="CED2467" s="60"/>
      <c r="CEE2467" s="60"/>
      <c r="CEF2467" s="60"/>
      <c r="CEG2467" s="63"/>
      <c r="CEH2467" s="61"/>
      <c r="CEI2467" s="54"/>
      <c r="CEJ2467" s="54"/>
      <c r="CEK2467" s="60"/>
      <c r="CEL2467" s="60"/>
      <c r="CEM2467" s="60"/>
      <c r="CEN2467" s="60"/>
      <c r="CEO2467" s="63"/>
      <c r="CEP2467" s="61"/>
      <c r="CEQ2467" s="54"/>
      <c r="CER2467" s="54"/>
      <c r="CES2467" s="60"/>
      <c r="CET2467" s="60"/>
      <c r="CEU2467" s="60"/>
      <c r="CEV2467" s="60"/>
      <c r="CEW2467" s="63"/>
      <c r="CEX2467" s="61"/>
      <c r="CEY2467" s="54"/>
      <c r="CEZ2467" s="54"/>
      <c r="CFA2467" s="60"/>
      <c r="CFB2467" s="60"/>
      <c r="CFC2467" s="60"/>
      <c r="CFD2467" s="60"/>
      <c r="CFE2467" s="63"/>
      <c r="CFF2467" s="61"/>
      <c r="CFG2467" s="54"/>
      <c r="CFH2467" s="54"/>
      <c r="CFI2467" s="60"/>
      <c r="CFJ2467" s="60"/>
      <c r="CFK2467" s="60"/>
      <c r="CFL2467" s="60"/>
      <c r="CFM2467" s="63"/>
      <c r="CFN2467" s="61"/>
      <c r="CFO2467" s="54"/>
      <c r="CFP2467" s="54"/>
      <c r="CFQ2467" s="60"/>
      <c r="CFR2467" s="60"/>
      <c r="CFS2467" s="60"/>
      <c r="CFT2467" s="60"/>
      <c r="CFU2467" s="63"/>
      <c r="CFV2467" s="61"/>
      <c r="CFW2467" s="54"/>
      <c r="CFX2467" s="54"/>
      <c r="CFY2467" s="60"/>
      <c r="CFZ2467" s="60"/>
      <c r="CGA2467" s="60"/>
      <c r="CGB2467" s="60"/>
      <c r="CGC2467" s="63"/>
      <c r="CGD2467" s="61"/>
      <c r="CGE2467" s="54"/>
      <c r="CGF2467" s="54"/>
      <c r="CGG2467" s="60"/>
      <c r="CGH2467" s="60"/>
      <c r="CGI2467" s="60"/>
      <c r="CGJ2467" s="60"/>
      <c r="CGK2467" s="63"/>
      <c r="CGL2467" s="61"/>
      <c r="CGM2467" s="54"/>
      <c r="CGN2467" s="54"/>
      <c r="CGO2467" s="60"/>
      <c r="CGP2467" s="60"/>
      <c r="CGQ2467" s="60"/>
      <c r="CGR2467" s="60"/>
      <c r="CGS2467" s="63"/>
      <c r="CGT2467" s="61"/>
      <c r="CGU2467" s="54"/>
      <c r="CGV2467" s="54"/>
      <c r="CGW2467" s="60"/>
      <c r="CGX2467" s="60"/>
      <c r="CGY2467" s="60"/>
      <c r="CGZ2467" s="60"/>
      <c r="CHA2467" s="63"/>
      <c r="CHB2467" s="61"/>
      <c r="CHC2467" s="54"/>
      <c r="CHD2467" s="54"/>
      <c r="CHE2467" s="60"/>
      <c r="CHF2467" s="60"/>
      <c r="CHG2467" s="60"/>
      <c r="CHH2467" s="60"/>
      <c r="CHI2467" s="63"/>
      <c r="CHJ2467" s="61"/>
      <c r="CHK2467" s="54"/>
      <c r="CHL2467" s="54"/>
      <c r="CHM2467" s="60"/>
      <c r="CHN2467" s="60"/>
      <c r="CHO2467" s="60"/>
      <c r="CHP2467" s="60"/>
      <c r="CHQ2467" s="63"/>
      <c r="CHR2467" s="61"/>
      <c r="CHS2467" s="54"/>
      <c r="CHT2467" s="54"/>
      <c r="CHU2467" s="60"/>
      <c r="CHV2467" s="60"/>
      <c r="CHW2467" s="60"/>
      <c r="CHX2467" s="60"/>
      <c r="CHY2467" s="63"/>
      <c r="CHZ2467" s="61"/>
      <c r="CIA2467" s="54"/>
      <c r="CIB2467" s="54"/>
      <c r="CIC2467" s="60"/>
      <c r="CID2467" s="60"/>
      <c r="CIE2467" s="60"/>
      <c r="CIF2467" s="60"/>
      <c r="CIG2467" s="63"/>
      <c r="CIH2467" s="61"/>
      <c r="CII2467" s="54"/>
      <c r="CIJ2467" s="54"/>
      <c r="CIK2467" s="60"/>
      <c r="CIL2467" s="60"/>
      <c r="CIM2467" s="60"/>
      <c r="CIN2467" s="60"/>
      <c r="CIO2467" s="63"/>
      <c r="CIP2467" s="61"/>
      <c r="CIQ2467" s="54"/>
      <c r="CIR2467" s="54"/>
      <c r="CIS2467" s="60"/>
      <c r="CIT2467" s="60"/>
      <c r="CIU2467" s="60"/>
      <c r="CIV2467" s="60"/>
      <c r="CIW2467" s="63"/>
      <c r="CIX2467" s="61"/>
      <c r="CIY2467" s="54"/>
      <c r="CIZ2467" s="54"/>
      <c r="CJA2467" s="60"/>
      <c r="CJB2467" s="60"/>
      <c r="CJC2467" s="60"/>
      <c r="CJD2467" s="60"/>
      <c r="CJE2467" s="63"/>
      <c r="CJF2467" s="61"/>
      <c r="CJG2467" s="54"/>
      <c r="CJH2467" s="54"/>
      <c r="CJI2467" s="60"/>
      <c r="CJJ2467" s="60"/>
      <c r="CJK2467" s="60"/>
      <c r="CJL2467" s="60"/>
      <c r="CJM2467" s="63"/>
      <c r="CJN2467" s="61"/>
      <c r="CJO2467" s="54"/>
      <c r="CJP2467" s="54"/>
      <c r="CJQ2467" s="60"/>
      <c r="CJR2467" s="60"/>
      <c r="CJS2467" s="60"/>
      <c r="CJT2467" s="60"/>
      <c r="CJU2467" s="63"/>
      <c r="CJV2467" s="61"/>
      <c r="CJW2467" s="54"/>
      <c r="CJX2467" s="54"/>
      <c r="CJY2467" s="60"/>
      <c r="CJZ2467" s="60"/>
      <c r="CKA2467" s="60"/>
      <c r="CKB2467" s="60"/>
      <c r="CKC2467" s="63"/>
      <c r="CKD2467" s="61"/>
      <c r="CKE2467" s="54"/>
      <c r="CKF2467" s="54"/>
      <c r="CKG2467" s="60"/>
      <c r="CKH2467" s="60"/>
      <c r="CKI2467" s="60"/>
      <c r="CKJ2467" s="60"/>
      <c r="CKK2467" s="63"/>
      <c r="CKL2467" s="61"/>
      <c r="CKM2467" s="54"/>
      <c r="CKN2467" s="54"/>
      <c r="CKO2467" s="60"/>
      <c r="CKP2467" s="60"/>
      <c r="CKQ2467" s="60"/>
      <c r="CKR2467" s="60"/>
      <c r="CKS2467" s="63"/>
      <c r="CKT2467" s="61"/>
      <c r="CKU2467" s="54"/>
      <c r="CKV2467" s="54"/>
      <c r="CKW2467" s="60"/>
      <c r="CKX2467" s="60"/>
      <c r="CKY2467" s="60"/>
      <c r="CKZ2467" s="60"/>
      <c r="CLA2467" s="63"/>
      <c r="CLB2467" s="61"/>
      <c r="CLC2467" s="54"/>
      <c r="CLD2467" s="54"/>
      <c r="CLE2467" s="60"/>
      <c r="CLF2467" s="60"/>
      <c r="CLG2467" s="60"/>
      <c r="CLH2467" s="60"/>
      <c r="CLI2467" s="63"/>
      <c r="CLJ2467" s="61"/>
      <c r="CLK2467" s="54"/>
      <c r="CLL2467" s="54"/>
      <c r="CLM2467" s="60"/>
      <c r="CLN2467" s="60"/>
      <c r="CLO2467" s="60"/>
      <c r="CLP2467" s="60"/>
      <c r="CLQ2467" s="63"/>
      <c r="CLR2467" s="61"/>
      <c r="CLS2467" s="54"/>
      <c r="CLT2467" s="54"/>
      <c r="CLU2467" s="60"/>
      <c r="CLV2467" s="60"/>
      <c r="CLW2467" s="60"/>
      <c r="CLX2467" s="60"/>
      <c r="CLY2467" s="63"/>
      <c r="CLZ2467" s="61"/>
      <c r="CMA2467" s="54"/>
      <c r="CMB2467" s="54"/>
      <c r="CMC2467" s="60"/>
      <c r="CMD2467" s="60"/>
      <c r="CME2467" s="60"/>
      <c r="CMF2467" s="60"/>
      <c r="CMG2467" s="63"/>
      <c r="CMH2467" s="61"/>
      <c r="CMI2467" s="54"/>
      <c r="CMJ2467" s="54"/>
      <c r="CMK2467" s="60"/>
      <c r="CML2467" s="60"/>
      <c r="CMM2467" s="60"/>
      <c r="CMN2467" s="60"/>
      <c r="CMO2467" s="63"/>
      <c r="CMP2467" s="61"/>
      <c r="CMQ2467" s="54"/>
      <c r="CMR2467" s="54"/>
      <c r="CMS2467" s="60"/>
      <c r="CMT2467" s="60"/>
      <c r="CMU2467" s="60"/>
      <c r="CMV2467" s="60"/>
      <c r="CMW2467" s="63"/>
      <c r="CMX2467" s="61"/>
      <c r="CMY2467" s="54"/>
      <c r="CMZ2467" s="54"/>
      <c r="CNA2467" s="60"/>
      <c r="CNB2467" s="60"/>
      <c r="CNC2467" s="60"/>
      <c r="CND2467" s="60"/>
      <c r="CNE2467" s="63"/>
      <c r="CNF2467" s="61"/>
      <c r="CNG2467" s="54"/>
      <c r="CNH2467" s="54"/>
      <c r="CNI2467" s="60"/>
      <c r="CNJ2467" s="60"/>
      <c r="CNK2467" s="60"/>
      <c r="CNL2467" s="60"/>
      <c r="CNM2467" s="63"/>
      <c r="CNN2467" s="61"/>
      <c r="CNO2467" s="54"/>
      <c r="CNP2467" s="54"/>
      <c r="CNQ2467" s="60"/>
      <c r="CNR2467" s="60"/>
      <c r="CNS2467" s="60"/>
      <c r="CNT2467" s="60"/>
      <c r="CNU2467" s="63"/>
      <c r="CNV2467" s="61"/>
      <c r="CNW2467" s="54"/>
      <c r="CNX2467" s="54"/>
      <c r="CNY2467" s="60"/>
      <c r="CNZ2467" s="60"/>
      <c r="COA2467" s="60"/>
      <c r="COB2467" s="60"/>
      <c r="COC2467" s="63"/>
      <c r="COD2467" s="61"/>
      <c r="COE2467" s="54"/>
      <c r="COF2467" s="54"/>
      <c r="COG2467" s="60"/>
      <c r="COH2467" s="60"/>
      <c r="COI2467" s="60"/>
      <c r="COJ2467" s="60"/>
      <c r="COK2467" s="63"/>
      <c r="COL2467" s="61"/>
      <c r="COM2467" s="54"/>
      <c r="CON2467" s="54"/>
      <c r="COO2467" s="60"/>
      <c r="COP2467" s="60"/>
      <c r="COQ2467" s="60"/>
      <c r="COR2467" s="60"/>
      <c r="COS2467" s="63"/>
      <c r="COT2467" s="61"/>
      <c r="COU2467" s="54"/>
      <c r="COV2467" s="54"/>
      <c r="COW2467" s="60"/>
      <c r="COX2467" s="60"/>
      <c r="COY2467" s="60"/>
      <c r="COZ2467" s="60"/>
      <c r="CPA2467" s="63"/>
      <c r="CPB2467" s="61"/>
      <c r="CPC2467" s="54"/>
      <c r="CPD2467" s="54"/>
      <c r="CPE2467" s="60"/>
      <c r="CPF2467" s="60"/>
      <c r="CPG2467" s="60"/>
      <c r="CPH2467" s="60"/>
      <c r="CPI2467" s="63"/>
      <c r="CPJ2467" s="61"/>
      <c r="CPK2467" s="54"/>
      <c r="CPL2467" s="54"/>
      <c r="CPM2467" s="60"/>
      <c r="CPN2467" s="60"/>
      <c r="CPO2467" s="60"/>
      <c r="CPP2467" s="60"/>
      <c r="CPQ2467" s="63"/>
      <c r="CPR2467" s="61"/>
      <c r="CPS2467" s="54"/>
      <c r="CPT2467" s="54"/>
      <c r="CPU2467" s="60"/>
      <c r="CPV2467" s="60"/>
      <c r="CPW2467" s="60"/>
      <c r="CPX2467" s="60"/>
      <c r="CPY2467" s="63"/>
      <c r="CPZ2467" s="61"/>
      <c r="CQA2467" s="54"/>
      <c r="CQB2467" s="54"/>
      <c r="CQC2467" s="60"/>
      <c r="CQD2467" s="60"/>
      <c r="CQE2467" s="60"/>
      <c r="CQF2467" s="60"/>
      <c r="CQG2467" s="63"/>
      <c r="CQH2467" s="61"/>
      <c r="CQI2467" s="54"/>
      <c r="CQJ2467" s="54"/>
      <c r="CQK2467" s="60"/>
      <c r="CQL2467" s="60"/>
      <c r="CQM2467" s="60"/>
      <c r="CQN2467" s="60"/>
      <c r="CQO2467" s="63"/>
      <c r="CQP2467" s="61"/>
      <c r="CQQ2467" s="54"/>
      <c r="CQR2467" s="54"/>
      <c r="CQS2467" s="60"/>
      <c r="CQT2467" s="60"/>
      <c r="CQU2467" s="60"/>
      <c r="CQV2467" s="60"/>
      <c r="CQW2467" s="63"/>
      <c r="CQX2467" s="61"/>
      <c r="CQY2467" s="54"/>
      <c r="CQZ2467" s="54"/>
      <c r="CRA2467" s="60"/>
      <c r="CRB2467" s="60"/>
      <c r="CRC2467" s="60"/>
      <c r="CRD2467" s="60"/>
      <c r="CRE2467" s="63"/>
      <c r="CRF2467" s="61"/>
      <c r="CRG2467" s="54"/>
      <c r="CRH2467" s="54"/>
      <c r="CRI2467" s="60"/>
      <c r="CRJ2467" s="60"/>
      <c r="CRK2467" s="60"/>
      <c r="CRL2467" s="60"/>
      <c r="CRM2467" s="63"/>
      <c r="CRN2467" s="61"/>
      <c r="CRO2467" s="54"/>
      <c r="CRP2467" s="54"/>
      <c r="CRQ2467" s="60"/>
      <c r="CRR2467" s="60"/>
      <c r="CRS2467" s="60"/>
      <c r="CRT2467" s="60"/>
      <c r="CRU2467" s="63"/>
      <c r="CRV2467" s="61"/>
      <c r="CRW2467" s="54"/>
      <c r="CRX2467" s="54"/>
      <c r="CRY2467" s="60"/>
      <c r="CRZ2467" s="60"/>
      <c r="CSA2467" s="60"/>
      <c r="CSB2467" s="60"/>
      <c r="CSC2467" s="63"/>
      <c r="CSD2467" s="61"/>
      <c r="CSE2467" s="54"/>
      <c r="CSF2467" s="54"/>
      <c r="CSG2467" s="60"/>
      <c r="CSH2467" s="60"/>
      <c r="CSI2467" s="60"/>
      <c r="CSJ2467" s="60"/>
      <c r="CSK2467" s="63"/>
      <c r="CSL2467" s="61"/>
      <c r="CSM2467" s="54"/>
      <c r="CSN2467" s="54"/>
      <c r="CSO2467" s="60"/>
      <c r="CSP2467" s="60"/>
      <c r="CSQ2467" s="60"/>
      <c r="CSR2467" s="60"/>
      <c r="CSS2467" s="63"/>
      <c r="CST2467" s="61"/>
      <c r="CSU2467" s="54"/>
      <c r="CSV2467" s="54"/>
      <c r="CSW2467" s="60"/>
      <c r="CSX2467" s="60"/>
      <c r="CSY2467" s="60"/>
      <c r="CSZ2467" s="60"/>
      <c r="CTA2467" s="63"/>
      <c r="CTB2467" s="61"/>
      <c r="CTC2467" s="54"/>
      <c r="CTD2467" s="54"/>
      <c r="CTE2467" s="60"/>
      <c r="CTF2467" s="60"/>
      <c r="CTG2467" s="60"/>
      <c r="CTH2467" s="60"/>
      <c r="CTI2467" s="63"/>
      <c r="CTJ2467" s="61"/>
      <c r="CTK2467" s="54"/>
      <c r="CTL2467" s="54"/>
      <c r="CTM2467" s="60"/>
      <c r="CTN2467" s="60"/>
      <c r="CTO2467" s="60"/>
      <c r="CTP2467" s="60"/>
      <c r="CTQ2467" s="63"/>
      <c r="CTR2467" s="61"/>
      <c r="CTS2467" s="54"/>
      <c r="CTT2467" s="54"/>
      <c r="CTU2467" s="60"/>
      <c r="CTV2467" s="60"/>
      <c r="CTW2467" s="60"/>
      <c r="CTX2467" s="60"/>
      <c r="CTY2467" s="63"/>
      <c r="CTZ2467" s="61"/>
      <c r="CUA2467" s="54"/>
      <c r="CUB2467" s="54"/>
      <c r="CUC2467" s="60"/>
      <c r="CUD2467" s="60"/>
      <c r="CUE2467" s="60"/>
      <c r="CUF2467" s="60"/>
      <c r="CUG2467" s="63"/>
      <c r="CUH2467" s="61"/>
      <c r="CUI2467" s="54"/>
      <c r="CUJ2467" s="54"/>
      <c r="CUK2467" s="60"/>
      <c r="CUL2467" s="60"/>
      <c r="CUM2467" s="60"/>
      <c r="CUN2467" s="60"/>
      <c r="CUO2467" s="63"/>
      <c r="CUP2467" s="61"/>
      <c r="CUQ2467" s="54"/>
      <c r="CUR2467" s="54"/>
      <c r="CUS2467" s="60"/>
      <c r="CUT2467" s="60"/>
      <c r="CUU2467" s="60"/>
      <c r="CUV2467" s="60"/>
      <c r="CUW2467" s="63"/>
      <c r="CUX2467" s="61"/>
      <c r="CUY2467" s="54"/>
      <c r="CUZ2467" s="54"/>
      <c r="CVA2467" s="60"/>
      <c r="CVB2467" s="60"/>
      <c r="CVC2467" s="60"/>
      <c r="CVD2467" s="60"/>
      <c r="CVE2467" s="63"/>
      <c r="CVF2467" s="61"/>
      <c r="CVG2467" s="54"/>
      <c r="CVH2467" s="54"/>
      <c r="CVI2467" s="60"/>
      <c r="CVJ2467" s="60"/>
      <c r="CVK2467" s="60"/>
      <c r="CVL2467" s="60"/>
      <c r="CVM2467" s="63"/>
      <c r="CVN2467" s="61"/>
      <c r="CVO2467" s="54"/>
      <c r="CVP2467" s="54"/>
      <c r="CVQ2467" s="60"/>
      <c r="CVR2467" s="60"/>
      <c r="CVS2467" s="60"/>
      <c r="CVT2467" s="60"/>
      <c r="CVU2467" s="63"/>
      <c r="CVV2467" s="61"/>
      <c r="CVW2467" s="54"/>
      <c r="CVX2467" s="54"/>
      <c r="CVY2467" s="60"/>
      <c r="CVZ2467" s="60"/>
      <c r="CWA2467" s="60"/>
      <c r="CWB2467" s="60"/>
      <c r="CWC2467" s="63"/>
      <c r="CWD2467" s="61"/>
      <c r="CWE2467" s="54"/>
      <c r="CWF2467" s="54"/>
      <c r="CWG2467" s="60"/>
      <c r="CWH2467" s="60"/>
      <c r="CWI2467" s="60"/>
      <c r="CWJ2467" s="60"/>
      <c r="CWK2467" s="63"/>
      <c r="CWL2467" s="61"/>
      <c r="CWM2467" s="54"/>
      <c r="CWN2467" s="54"/>
      <c r="CWO2467" s="60"/>
      <c r="CWP2467" s="60"/>
      <c r="CWQ2467" s="60"/>
      <c r="CWR2467" s="60"/>
      <c r="CWS2467" s="63"/>
      <c r="CWT2467" s="61"/>
      <c r="CWU2467" s="54"/>
      <c r="CWV2467" s="54"/>
      <c r="CWW2467" s="60"/>
      <c r="CWX2467" s="60"/>
      <c r="CWY2467" s="60"/>
      <c r="CWZ2467" s="60"/>
      <c r="CXA2467" s="63"/>
      <c r="CXB2467" s="61"/>
      <c r="CXC2467" s="54"/>
      <c r="CXD2467" s="54"/>
      <c r="CXE2467" s="60"/>
      <c r="CXF2467" s="60"/>
      <c r="CXG2467" s="60"/>
      <c r="CXH2467" s="60"/>
      <c r="CXI2467" s="63"/>
      <c r="CXJ2467" s="61"/>
      <c r="CXK2467" s="54"/>
      <c r="CXL2467" s="54"/>
      <c r="CXM2467" s="60"/>
      <c r="CXN2467" s="60"/>
      <c r="CXO2467" s="60"/>
      <c r="CXP2467" s="60"/>
      <c r="CXQ2467" s="63"/>
      <c r="CXR2467" s="61"/>
      <c r="CXS2467" s="54"/>
      <c r="CXT2467" s="54"/>
      <c r="CXU2467" s="60"/>
      <c r="CXV2467" s="60"/>
      <c r="CXW2467" s="60"/>
      <c r="CXX2467" s="60"/>
      <c r="CXY2467" s="63"/>
      <c r="CXZ2467" s="61"/>
      <c r="CYA2467" s="54"/>
      <c r="CYB2467" s="54"/>
      <c r="CYC2467" s="60"/>
      <c r="CYD2467" s="60"/>
      <c r="CYE2467" s="60"/>
      <c r="CYF2467" s="60"/>
      <c r="CYG2467" s="63"/>
      <c r="CYH2467" s="61"/>
      <c r="CYI2467" s="54"/>
      <c r="CYJ2467" s="54"/>
      <c r="CYK2467" s="60"/>
      <c r="CYL2467" s="60"/>
      <c r="CYM2467" s="60"/>
      <c r="CYN2467" s="60"/>
      <c r="CYO2467" s="63"/>
      <c r="CYP2467" s="61"/>
      <c r="CYQ2467" s="54"/>
      <c r="CYR2467" s="54"/>
      <c r="CYS2467" s="60"/>
      <c r="CYT2467" s="60"/>
      <c r="CYU2467" s="60"/>
      <c r="CYV2467" s="60"/>
      <c r="CYW2467" s="63"/>
      <c r="CYX2467" s="61"/>
      <c r="CYY2467" s="54"/>
      <c r="CYZ2467" s="54"/>
      <c r="CZA2467" s="60"/>
      <c r="CZB2467" s="60"/>
      <c r="CZC2467" s="60"/>
      <c r="CZD2467" s="60"/>
      <c r="CZE2467" s="63"/>
      <c r="CZF2467" s="61"/>
      <c r="CZG2467" s="54"/>
      <c r="CZH2467" s="54"/>
      <c r="CZI2467" s="60"/>
      <c r="CZJ2467" s="60"/>
      <c r="CZK2467" s="60"/>
      <c r="CZL2467" s="60"/>
      <c r="CZM2467" s="63"/>
      <c r="CZN2467" s="61"/>
      <c r="CZO2467" s="54"/>
      <c r="CZP2467" s="54"/>
      <c r="CZQ2467" s="60"/>
      <c r="CZR2467" s="60"/>
      <c r="CZS2467" s="60"/>
      <c r="CZT2467" s="60"/>
      <c r="CZU2467" s="63"/>
      <c r="CZV2467" s="61"/>
      <c r="CZW2467" s="54"/>
      <c r="CZX2467" s="54"/>
      <c r="CZY2467" s="60"/>
      <c r="CZZ2467" s="60"/>
      <c r="DAA2467" s="60"/>
      <c r="DAB2467" s="60"/>
      <c r="DAC2467" s="63"/>
      <c r="DAD2467" s="61"/>
      <c r="DAE2467" s="54"/>
      <c r="DAF2467" s="54"/>
      <c r="DAG2467" s="60"/>
      <c r="DAH2467" s="60"/>
      <c r="DAI2467" s="60"/>
      <c r="DAJ2467" s="60"/>
      <c r="DAK2467" s="63"/>
      <c r="DAL2467" s="61"/>
      <c r="DAM2467" s="54"/>
      <c r="DAN2467" s="54"/>
      <c r="DAO2467" s="60"/>
      <c r="DAP2467" s="60"/>
      <c r="DAQ2467" s="60"/>
      <c r="DAR2467" s="60"/>
      <c r="DAS2467" s="63"/>
      <c r="DAT2467" s="61"/>
      <c r="DAU2467" s="54"/>
      <c r="DAV2467" s="54"/>
      <c r="DAW2467" s="60"/>
      <c r="DAX2467" s="60"/>
      <c r="DAY2467" s="60"/>
      <c r="DAZ2467" s="60"/>
      <c r="DBA2467" s="63"/>
      <c r="DBB2467" s="61"/>
      <c r="DBC2467" s="54"/>
      <c r="DBD2467" s="54"/>
      <c r="DBE2467" s="60"/>
      <c r="DBF2467" s="60"/>
      <c r="DBG2467" s="60"/>
      <c r="DBH2467" s="60"/>
      <c r="DBI2467" s="63"/>
      <c r="DBJ2467" s="61"/>
      <c r="DBK2467" s="54"/>
      <c r="DBL2467" s="54"/>
      <c r="DBM2467" s="60"/>
      <c r="DBN2467" s="60"/>
      <c r="DBO2467" s="60"/>
      <c r="DBP2467" s="60"/>
      <c r="DBQ2467" s="63"/>
      <c r="DBR2467" s="61"/>
      <c r="DBS2467" s="54"/>
      <c r="DBT2467" s="54"/>
      <c r="DBU2467" s="60"/>
      <c r="DBV2467" s="60"/>
      <c r="DBW2467" s="60"/>
      <c r="DBX2467" s="60"/>
      <c r="DBY2467" s="63"/>
      <c r="DBZ2467" s="61"/>
      <c r="DCA2467" s="54"/>
      <c r="DCB2467" s="54"/>
      <c r="DCC2467" s="60"/>
      <c r="DCD2467" s="60"/>
      <c r="DCE2467" s="60"/>
      <c r="DCF2467" s="60"/>
      <c r="DCG2467" s="63"/>
      <c r="DCH2467" s="61"/>
      <c r="DCI2467" s="54"/>
      <c r="DCJ2467" s="54"/>
      <c r="DCK2467" s="60"/>
      <c r="DCL2467" s="60"/>
      <c r="DCM2467" s="60"/>
      <c r="DCN2467" s="60"/>
      <c r="DCO2467" s="63"/>
      <c r="DCP2467" s="61"/>
      <c r="DCQ2467" s="54"/>
      <c r="DCR2467" s="54"/>
      <c r="DCS2467" s="60"/>
      <c r="DCT2467" s="60"/>
      <c r="DCU2467" s="60"/>
      <c r="DCV2467" s="60"/>
      <c r="DCW2467" s="63"/>
      <c r="DCX2467" s="61"/>
      <c r="DCY2467" s="54"/>
      <c r="DCZ2467" s="54"/>
      <c r="DDA2467" s="60"/>
      <c r="DDB2467" s="60"/>
      <c r="DDC2467" s="60"/>
      <c r="DDD2467" s="60"/>
      <c r="DDE2467" s="63"/>
      <c r="DDF2467" s="61"/>
      <c r="DDG2467" s="54"/>
      <c r="DDH2467" s="54"/>
      <c r="DDI2467" s="60"/>
      <c r="DDJ2467" s="60"/>
      <c r="DDK2467" s="60"/>
      <c r="DDL2467" s="60"/>
      <c r="DDM2467" s="63"/>
      <c r="DDN2467" s="61"/>
      <c r="DDO2467" s="54"/>
      <c r="DDP2467" s="54"/>
      <c r="DDQ2467" s="60"/>
      <c r="DDR2467" s="60"/>
      <c r="DDS2467" s="60"/>
      <c r="DDT2467" s="60"/>
      <c r="DDU2467" s="63"/>
      <c r="DDV2467" s="61"/>
      <c r="DDW2467" s="54"/>
      <c r="DDX2467" s="54"/>
      <c r="DDY2467" s="60"/>
      <c r="DDZ2467" s="60"/>
      <c r="DEA2467" s="60"/>
      <c r="DEB2467" s="60"/>
      <c r="DEC2467" s="63"/>
      <c r="DED2467" s="61"/>
      <c r="DEE2467" s="54"/>
      <c r="DEF2467" s="54"/>
      <c r="DEG2467" s="60"/>
      <c r="DEH2467" s="60"/>
      <c r="DEI2467" s="60"/>
      <c r="DEJ2467" s="60"/>
      <c r="DEK2467" s="63"/>
      <c r="DEL2467" s="61"/>
      <c r="DEM2467" s="54"/>
      <c r="DEN2467" s="54"/>
      <c r="DEO2467" s="60"/>
      <c r="DEP2467" s="60"/>
      <c r="DEQ2467" s="60"/>
      <c r="DER2467" s="60"/>
      <c r="DES2467" s="63"/>
      <c r="DET2467" s="61"/>
      <c r="DEU2467" s="54"/>
      <c r="DEV2467" s="54"/>
      <c r="DEW2467" s="60"/>
      <c r="DEX2467" s="60"/>
      <c r="DEY2467" s="60"/>
      <c r="DEZ2467" s="60"/>
      <c r="DFA2467" s="63"/>
      <c r="DFB2467" s="61"/>
      <c r="DFC2467" s="54"/>
      <c r="DFD2467" s="54"/>
      <c r="DFE2467" s="60"/>
      <c r="DFF2467" s="60"/>
      <c r="DFG2467" s="60"/>
      <c r="DFH2467" s="60"/>
      <c r="DFI2467" s="63"/>
      <c r="DFJ2467" s="61"/>
      <c r="DFK2467" s="54"/>
      <c r="DFL2467" s="54"/>
      <c r="DFM2467" s="60"/>
      <c r="DFN2467" s="60"/>
      <c r="DFO2467" s="60"/>
      <c r="DFP2467" s="60"/>
      <c r="DFQ2467" s="63"/>
      <c r="DFR2467" s="61"/>
      <c r="DFS2467" s="54"/>
      <c r="DFT2467" s="54"/>
      <c r="DFU2467" s="60"/>
      <c r="DFV2467" s="60"/>
      <c r="DFW2467" s="60"/>
      <c r="DFX2467" s="60"/>
      <c r="DFY2467" s="63"/>
      <c r="DFZ2467" s="61"/>
      <c r="DGA2467" s="54"/>
      <c r="DGB2467" s="54"/>
      <c r="DGC2467" s="60"/>
      <c r="DGD2467" s="60"/>
      <c r="DGE2467" s="60"/>
      <c r="DGF2467" s="60"/>
      <c r="DGG2467" s="63"/>
      <c r="DGH2467" s="61"/>
      <c r="DGI2467" s="54"/>
      <c r="DGJ2467" s="54"/>
      <c r="DGK2467" s="60"/>
      <c r="DGL2467" s="60"/>
      <c r="DGM2467" s="60"/>
      <c r="DGN2467" s="60"/>
      <c r="DGO2467" s="63"/>
      <c r="DGP2467" s="61"/>
      <c r="DGQ2467" s="54"/>
      <c r="DGR2467" s="54"/>
      <c r="DGS2467" s="60"/>
      <c r="DGT2467" s="60"/>
      <c r="DGU2467" s="60"/>
      <c r="DGV2467" s="60"/>
      <c r="DGW2467" s="63"/>
      <c r="DGX2467" s="61"/>
      <c r="DGY2467" s="54"/>
      <c r="DGZ2467" s="54"/>
      <c r="DHA2467" s="60"/>
      <c r="DHB2467" s="60"/>
      <c r="DHC2467" s="60"/>
      <c r="DHD2467" s="60"/>
      <c r="DHE2467" s="63"/>
      <c r="DHF2467" s="61"/>
      <c r="DHG2467" s="54"/>
      <c r="DHH2467" s="54"/>
      <c r="DHI2467" s="60"/>
      <c r="DHJ2467" s="60"/>
      <c r="DHK2467" s="60"/>
      <c r="DHL2467" s="60"/>
      <c r="DHM2467" s="63"/>
      <c r="DHN2467" s="61"/>
      <c r="DHO2467" s="54"/>
      <c r="DHP2467" s="54"/>
      <c r="DHQ2467" s="60"/>
      <c r="DHR2467" s="60"/>
      <c r="DHS2467" s="60"/>
      <c r="DHT2467" s="60"/>
      <c r="DHU2467" s="63"/>
      <c r="DHV2467" s="61"/>
      <c r="DHW2467" s="54"/>
      <c r="DHX2467" s="54"/>
      <c r="DHY2467" s="60"/>
      <c r="DHZ2467" s="60"/>
      <c r="DIA2467" s="60"/>
      <c r="DIB2467" s="60"/>
      <c r="DIC2467" s="63"/>
      <c r="DID2467" s="61"/>
      <c r="DIE2467" s="54"/>
      <c r="DIF2467" s="54"/>
      <c r="DIG2467" s="60"/>
      <c r="DIH2467" s="60"/>
      <c r="DII2467" s="60"/>
      <c r="DIJ2467" s="60"/>
      <c r="DIK2467" s="63"/>
      <c r="DIL2467" s="61"/>
      <c r="DIM2467" s="54"/>
      <c r="DIN2467" s="54"/>
      <c r="DIO2467" s="60"/>
      <c r="DIP2467" s="60"/>
      <c r="DIQ2467" s="60"/>
      <c r="DIR2467" s="60"/>
      <c r="DIS2467" s="63"/>
      <c r="DIT2467" s="61"/>
      <c r="DIU2467" s="54"/>
      <c r="DIV2467" s="54"/>
      <c r="DIW2467" s="60"/>
      <c r="DIX2467" s="60"/>
      <c r="DIY2467" s="60"/>
      <c r="DIZ2467" s="60"/>
      <c r="DJA2467" s="63"/>
      <c r="DJB2467" s="61"/>
      <c r="DJC2467" s="54"/>
      <c r="DJD2467" s="54"/>
      <c r="DJE2467" s="60"/>
      <c r="DJF2467" s="60"/>
      <c r="DJG2467" s="60"/>
      <c r="DJH2467" s="60"/>
      <c r="DJI2467" s="63"/>
      <c r="DJJ2467" s="61"/>
      <c r="DJK2467" s="54"/>
      <c r="DJL2467" s="54"/>
      <c r="DJM2467" s="60"/>
      <c r="DJN2467" s="60"/>
      <c r="DJO2467" s="60"/>
      <c r="DJP2467" s="60"/>
      <c r="DJQ2467" s="63"/>
      <c r="DJR2467" s="61"/>
      <c r="DJS2467" s="54"/>
      <c r="DJT2467" s="54"/>
      <c r="DJU2467" s="60"/>
      <c r="DJV2467" s="60"/>
      <c r="DJW2467" s="60"/>
      <c r="DJX2467" s="60"/>
      <c r="DJY2467" s="63"/>
      <c r="DJZ2467" s="61"/>
      <c r="DKA2467" s="54"/>
      <c r="DKB2467" s="54"/>
      <c r="DKC2467" s="60"/>
      <c r="DKD2467" s="60"/>
      <c r="DKE2467" s="60"/>
      <c r="DKF2467" s="60"/>
      <c r="DKG2467" s="63"/>
      <c r="DKH2467" s="61"/>
      <c r="DKI2467" s="54"/>
      <c r="DKJ2467" s="54"/>
      <c r="DKK2467" s="60"/>
      <c r="DKL2467" s="60"/>
      <c r="DKM2467" s="60"/>
      <c r="DKN2467" s="60"/>
      <c r="DKO2467" s="63"/>
      <c r="DKP2467" s="61"/>
      <c r="DKQ2467" s="54"/>
      <c r="DKR2467" s="54"/>
      <c r="DKS2467" s="60"/>
      <c r="DKT2467" s="60"/>
      <c r="DKU2467" s="60"/>
      <c r="DKV2467" s="60"/>
      <c r="DKW2467" s="63"/>
      <c r="DKX2467" s="61"/>
      <c r="DKY2467" s="54"/>
      <c r="DKZ2467" s="54"/>
      <c r="DLA2467" s="60"/>
      <c r="DLB2467" s="60"/>
      <c r="DLC2467" s="60"/>
      <c r="DLD2467" s="60"/>
      <c r="DLE2467" s="63"/>
      <c r="DLF2467" s="61"/>
      <c r="DLG2467" s="54"/>
      <c r="DLH2467" s="54"/>
      <c r="DLI2467" s="60"/>
      <c r="DLJ2467" s="60"/>
      <c r="DLK2467" s="60"/>
      <c r="DLL2467" s="60"/>
      <c r="DLM2467" s="63"/>
      <c r="DLN2467" s="61"/>
      <c r="DLO2467" s="54"/>
      <c r="DLP2467" s="54"/>
      <c r="DLQ2467" s="60"/>
      <c r="DLR2467" s="60"/>
      <c r="DLS2467" s="60"/>
      <c r="DLT2467" s="60"/>
      <c r="DLU2467" s="63"/>
      <c r="DLV2467" s="61"/>
      <c r="DLW2467" s="54"/>
      <c r="DLX2467" s="54"/>
      <c r="DLY2467" s="60"/>
      <c r="DLZ2467" s="60"/>
      <c r="DMA2467" s="60"/>
      <c r="DMB2467" s="60"/>
      <c r="DMC2467" s="63"/>
      <c r="DMD2467" s="61"/>
      <c r="DME2467" s="54"/>
      <c r="DMF2467" s="54"/>
      <c r="DMG2467" s="60"/>
      <c r="DMH2467" s="60"/>
      <c r="DMI2467" s="60"/>
      <c r="DMJ2467" s="60"/>
      <c r="DMK2467" s="63"/>
      <c r="DML2467" s="61"/>
      <c r="DMM2467" s="54"/>
      <c r="DMN2467" s="54"/>
      <c r="DMO2467" s="60"/>
      <c r="DMP2467" s="60"/>
      <c r="DMQ2467" s="60"/>
      <c r="DMR2467" s="60"/>
      <c r="DMS2467" s="63"/>
      <c r="DMT2467" s="61"/>
      <c r="DMU2467" s="54"/>
      <c r="DMV2467" s="54"/>
      <c r="DMW2467" s="60"/>
      <c r="DMX2467" s="60"/>
      <c r="DMY2467" s="60"/>
      <c r="DMZ2467" s="60"/>
      <c r="DNA2467" s="63"/>
      <c r="DNB2467" s="61"/>
      <c r="DNC2467" s="54"/>
      <c r="DND2467" s="54"/>
      <c r="DNE2467" s="60"/>
      <c r="DNF2467" s="60"/>
      <c r="DNG2467" s="60"/>
      <c r="DNH2467" s="60"/>
      <c r="DNI2467" s="63"/>
      <c r="DNJ2467" s="61"/>
      <c r="DNK2467" s="54"/>
      <c r="DNL2467" s="54"/>
      <c r="DNM2467" s="60"/>
      <c r="DNN2467" s="60"/>
      <c r="DNO2467" s="60"/>
      <c r="DNP2467" s="60"/>
      <c r="DNQ2467" s="63"/>
      <c r="DNR2467" s="61"/>
      <c r="DNS2467" s="54"/>
      <c r="DNT2467" s="54"/>
      <c r="DNU2467" s="60"/>
      <c r="DNV2467" s="60"/>
      <c r="DNW2467" s="60"/>
      <c r="DNX2467" s="60"/>
      <c r="DNY2467" s="63"/>
      <c r="DNZ2467" s="61"/>
      <c r="DOA2467" s="54"/>
      <c r="DOB2467" s="54"/>
      <c r="DOC2467" s="60"/>
      <c r="DOD2467" s="60"/>
      <c r="DOE2467" s="60"/>
      <c r="DOF2467" s="60"/>
      <c r="DOG2467" s="63"/>
      <c r="DOH2467" s="61"/>
      <c r="DOI2467" s="54"/>
      <c r="DOJ2467" s="54"/>
      <c r="DOK2467" s="60"/>
      <c r="DOL2467" s="60"/>
      <c r="DOM2467" s="60"/>
      <c r="DON2467" s="60"/>
      <c r="DOO2467" s="63"/>
      <c r="DOP2467" s="61"/>
      <c r="DOQ2467" s="54"/>
      <c r="DOR2467" s="54"/>
      <c r="DOS2467" s="60"/>
      <c r="DOT2467" s="60"/>
      <c r="DOU2467" s="60"/>
      <c r="DOV2467" s="60"/>
      <c r="DOW2467" s="63"/>
      <c r="DOX2467" s="61"/>
      <c r="DOY2467" s="54"/>
      <c r="DOZ2467" s="54"/>
      <c r="DPA2467" s="60"/>
      <c r="DPB2467" s="60"/>
      <c r="DPC2467" s="60"/>
      <c r="DPD2467" s="60"/>
      <c r="DPE2467" s="63"/>
      <c r="DPF2467" s="61"/>
      <c r="DPG2467" s="54"/>
      <c r="DPH2467" s="54"/>
      <c r="DPI2467" s="60"/>
      <c r="DPJ2467" s="60"/>
      <c r="DPK2467" s="60"/>
      <c r="DPL2467" s="60"/>
      <c r="DPM2467" s="63"/>
      <c r="DPN2467" s="61"/>
      <c r="DPO2467" s="54"/>
      <c r="DPP2467" s="54"/>
      <c r="DPQ2467" s="60"/>
      <c r="DPR2467" s="60"/>
      <c r="DPS2467" s="60"/>
      <c r="DPT2467" s="60"/>
      <c r="DPU2467" s="63"/>
      <c r="DPV2467" s="61"/>
      <c r="DPW2467" s="54"/>
      <c r="DPX2467" s="54"/>
      <c r="DPY2467" s="60"/>
      <c r="DPZ2467" s="60"/>
      <c r="DQA2467" s="60"/>
      <c r="DQB2467" s="60"/>
      <c r="DQC2467" s="63"/>
      <c r="DQD2467" s="61"/>
      <c r="DQE2467" s="54"/>
      <c r="DQF2467" s="54"/>
      <c r="DQG2467" s="60"/>
      <c r="DQH2467" s="60"/>
      <c r="DQI2467" s="60"/>
      <c r="DQJ2467" s="60"/>
      <c r="DQK2467" s="63"/>
      <c r="DQL2467" s="61"/>
      <c r="DQM2467" s="54"/>
      <c r="DQN2467" s="54"/>
      <c r="DQO2467" s="60"/>
      <c r="DQP2467" s="60"/>
      <c r="DQQ2467" s="60"/>
      <c r="DQR2467" s="60"/>
      <c r="DQS2467" s="63"/>
      <c r="DQT2467" s="61"/>
      <c r="DQU2467" s="54"/>
      <c r="DQV2467" s="54"/>
      <c r="DQW2467" s="60"/>
      <c r="DQX2467" s="60"/>
      <c r="DQY2467" s="60"/>
      <c r="DQZ2467" s="60"/>
      <c r="DRA2467" s="63"/>
      <c r="DRB2467" s="61"/>
      <c r="DRC2467" s="54"/>
      <c r="DRD2467" s="54"/>
      <c r="DRE2467" s="60"/>
      <c r="DRF2467" s="60"/>
      <c r="DRG2467" s="60"/>
      <c r="DRH2467" s="60"/>
      <c r="DRI2467" s="63"/>
      <c r="DRJ2467" s="61"/>
      <c r="DRK2467" s="54"/>
      <c r="DRL2467" s="54"/>
      <c r="DRM2467" s="60"/>
      <c r="DRN2467" s="60"/>
      <c r="DRO2467" s="60"/>
      <c r="DRP2467" s="60"/>
      <c r="DRQ2467" s="63"/>
      <c r="DRR2467" s="61"/>
      <c r="DRS2467" s="54"/>
      <c r="DRT2467" s="54"/>
      <c r="DRU2467" s="60"/>
      <c r="DRV2467" s="60"/>
      <c r="DRW2467" s="60"/>
      <c r="DRX2467" s="60"/>
      <c r="DRY2467" s="63"/>
      <c r="DRZ2467" s="61"/>
      <c r="DSA2467" s="54"/>
      <c r="DSB2467" s="54"/>
      <c r="DSC2467" s="60"/>
      <c r="DSD2467" s="60"/>
      <c r="DSE2467" s="60"/>
      <c r="DSF2467" s="60"/>
      <c r="DSG2467" s="63"/>
      <c r="DSH2467" s="61"/>
      <c r="DSI2467" s="54"/>
      <c r="DSJ2467" s="54"/>
      <c r="DSK2467" s="60"/>
      <c r="DSL2467" s="60"/>
      <c r="DSM2467" s="60"/>
      <c r="DSN2467" s="60"/>
      <c r="DSO2467" s="63"/>
      <c r="DSP2467" s="61"/>
      <c r="DSQ2467" s="54"/>
      <c r="DSR2467" s="54"/>
      <c r="DSS2467" s="60"/>
      <c r="DST2467" s="60"/>
      <c r="DSU2467" s="60"/>
      <c r="DSV2467" s="60"/>
      <c r="DSW2467" s="63"/>
      <c r="DSX2467" s="61"/>
      <c r="DSY2467" s="54"/>
      <c r="DSZ2467" s="54"/>
      <c r="DTA2467" s="60"/>
      <c r="DTB2467" s="60"/>
      <c r="DTC2467" s="60"/>
      <c r="DTD2467" s="60"/>
      <c r="DTE2467" s="63"/>
      <c r="DTF2467" s="61"/>
      <c r="DTG2467" s="54"/>
      <c r="DTH2467" s="54"/>
      <c r="DTI2467" s="60"/>
      <c r="DTJ2467" s="60"/>
      <c r="DTK2467" s="60"/>
      <c r="DTL2467" s="60"/>
      <c r="DTM2467" s="63"/>
      <c r="DTN2467" s="61"/>
      <c r="DTO2467" s="54"/>
      <c r="DTP2467" s="54"/>
      <c r="DTQ2467" s="60"/>
      <c r="DTR2467" s="60"/>
      <c r="DTS2467" s="60"/>
      <c r="DTT2467" s="60"/>
      <c r="DTU2467" s="63"/>
      <c r="DTV2467" s="61"/>
      <c r="DTW2467" s="54"/>
      <c r="DTX2467" s="54"/>
      <c r="DTY2467" s="60"/>
      <c r="DTZ2467" s="60"/>
      <c r="DUA2467" s="60"/>
      <c r="DUB2467" s="60"/>
      <c r="DUC2467" s="63"/>
      <c r="DUD2467" s="61"/>
      <c r="DUE2467" s="54"/>
      <c r="DUF2467" s="54"/>
      <c r="DUG2467" s="60"/>
      <c r="DUH2467" s="60"/>
      <c r="DUI2467" s="60"/>
      <c r="DUJ2467" s="60"/>
      <c r="DUK2467" s="63"/>
      <c r="DUL2467" s="61"/>
      <c r="DUM2467" s="54"/>
      <c r="DUN2467" s="54"/>
      <c r="DUO2467" s="60"/>
      <c r="DUP2467" s="60"/>
      <c r="DUQ2467" s="60"/>
      <c r="DUR2467" s="60"/>
      <c r="DUS2467" s="63"/>
      <c r="DUT2467" s="61"/>
      <c r="DUU2467" s="54"/>
      <c r="DUV2467" s="54"/>
      <c r="DUW2467" s="60"/>
      <c r="DUX2467" s="60"/>
      <c r="DUY2467" s="60"/>
      <c r="DUZ2467" s="60"/>
      <c r="DVA2467" s="63"/>
      <c r="DVB2467" s="61"/>
      <c r="DVC2467" s="54"/>
      <c r="DVD2467" s="54"/>
      <c r="DVE2467" s="60"/>
      <c r="DVF2467" s="60"/>
      <c r="DVG2467" s="60"/>
      <c r="DVH2467" s="60"/>
      <c r="DVI2467" s="63"/>
      <c r="DVJ2467" s="61"/>
      <c r="DVK2467" s="54"/>
      <c r="DVL2467" s="54"/>
      <c r="DVM2467" s="60"/>
      <c r="DVN2467" s="60"/>
      <c r="DVO2467" s="60"/>
      <c r="DVP2467" s="60"/>
      <c r="DVQ2467" s="63"/>
      <c r="DVR2467" s="61"/>
      <c r="DVS2467" s="54"/>
      <c r="DVT2467" s="54"/>
      <c r="DVU2467" s="60"/>
      <c r="DVV2467" s="60"/>
      <c r="DVW2467" s="60"/>
      <c r="DVX2467" s="60"/>
      <c r="DVY2467" s="63"/>
      <c r="DVZ2467" s="61"/>
      <c r="DWA2467" s="54"/>
      <c r="DWB2467" s="54"/>
      <c r="DWC2467" s="60"/>
      <c r="DWD2467" s="60"/>
      <c r="DWE2467" s="60"/>
      <c r="DWF2467" s="60"/>
      <c r="DWG2467" s="63"/>
      <c r="DWH2467" s="61"/>
      <c r="DWI2467" s="54"/>
      <c r="DWJ2467" s="54"/>
      <c r="DWK2467" s="60"/>
      <c r="DWL2467" s="60"/>
      <c r="DWM2467" s="60"/>
      <c r="DWN2467" s="60"/>
      <c r="DWO2467" s="63"/>
      <c r="DWP2467" s="61"/>
      <c r="DWQ2467" s="54"/>
      <c r="DWR2467" s="54"/>
      <c r="DWS2467" s="60"/>
      <c r="DWT2467" s="60"/>
      <c r="DWU2467" s="60"/>
      <c r="DWV2467" s="60"/>
      <c r="DWW2467" s="63"/>
      <c r="DWX2467" s="61"/>
      <c r="DWY2467" s="54"/>
      <c r="DWZ2467" s="54"/>
      <c r="DXA2467" s="60"/>
      <c r="DXB2467" s="60"/>
      <c r="DXC2467" s="60"/>
      <c r="DXD2467" s="60"/>
      <c r="DXE2467" s="63"/>
      <c r="DXF2467" s="61"/>
      <c r="DXG2467" s="54"/>
      <c r="DXH2467" s="54"/>
      <c r="DXI2467" s="60"/>
      <c r="DXJ2467" s="60"/>
      <c r="DXK2467" s="60"/>
      <c r="DXL2467" s="60"/>
      <c r="DXM2467" s="63"/>
      <c r="DXN2467" s="61"/>
      <c r="DXO2467" s="54"/>
      <c r="DXP2467" s="54"/>
      <c r="DXQ2467" s="60"/>
      <c r="DXR2467" s="60"/>
      <c r="DXS2467" s="60"/>
      <c r="DXT2467" s="60"/>
      <c r="DXU2467" s="63"/>
      <c r="DXV2467" s="61"/>
      <c r="DXW2467" s="54"/>
      <c r="DXX2467" s="54"/>
      <c r="DXY2467" s="60"/>
      <c r="DXZ2467" s="60"/>
      <c r="DYA2467" s="60"/>
      <c r="DYB2467" s="60"/>
      <c r="DYC2467" s="63"/>
      <c r="DYD2467" s="61"/>
      <c r="DYE2467" s="54"/>
      <c r="DYF2467" s="54"/>
      <c r="DYG2467" s="60"/>
      <c r="DYH2467" s="60"/>
      <c r="DYI2467" s="60"/>
      <c r="DYJ2467" s="60"/>
      <c r="DYK2467" s="63"/>
      <c r="DYL2467" s="61"/>
      <c r="DYM2467" s="54"/>
      <c r="DYN2467" s="54"/>
      <c r="DYO2467" s="60"/>
      <c r="DYP2467" s="60"/>
      <c r="DYQ2467" s="60"/>
      <c r="DYR2467" s="60"/>
      <c r="DYS2467" s="63"/>
      <c r="DYT2467" s="61"/>
      <c r="DYU2467" s="54"/>
      <c r="DYV2467" s="54"/>
      <c r="DYW2467" s="60"/>
      <c r="DYX2467" s="60"/>
      <c r="DYY2467" s="60"/>
      <c r="DYZ2467" s="60"/>
      <c r="DZA2467" s="63"/>
      <c r="DZB2467" s="61"/>
      <c r="DZC2467" s="54"/>
      <c r="DZD2467" s="54"/>
      <c r="DZE2467" s="60"/>
      <c r="DZF2467" s="60"/>
      <c r="DZG2467" s="60"/>
      <c r="DZH2467" s="60"/>
      <c r="DZI2467" s="63"/>
      <c r="DZJ2467" s="61"/>
      <c r="DZK2467" s="54"/>
      <c r="DZL2467" s="54"/>
      <c r="DZM2467" s="60"/>
      <c r="DZN2467" s="60"/>
      <c r="DZO2467" s="60"/>
      <c r="DZP2467" s="60"/>
      <c r="DZQ2467" s="63"/>
      <c r="DZR2467" s="61"/>
      <c r="DZS2467" s="54"/>
      <c r="DZT2467" s="54"/>
      <c r="DZU2467" s="60"/>
      <c r="DZV2467" s="60"/>
      <c r="DZW2467" s="60"/>
      <c r="DZX2467" s="60"/>
      <c r="DZY2467" s="63"/>
      <c r="DZZ2467" s="61"/>
      <c r="EAA2467" s="54"/>
      <c r="EAB2467" s="54"/>
      <c r="EAC2467" s="60"/>
      <c r="EAD2467" s="60"/>
      <c r="EAE2467" s="60"/>
      <c r="EAF2467" s="60"/>
      <c r="EAG2467" s="63"/>
      <c r="EAH2467" s="61"/>
      <c r="EAI2467" s="54"/>
      <c r="EAJ2467" s="54"/>
      <c r="EAK2467" s="60"/>
      <c r="EAL2467" s="60"/>
      <c r="EAM2467" s="60"/>
      <c r="EAN2467" s="60"/>
      <c r="EAO2467" s="63"/>
      <c r="EAP2467" s="61"/>
      <c r="EAQ2467" s="54"/>
      <c r="EAR2467" s="54"/>
      <c r="EAS2467" s="60"/>
      <c r="EAT2467" s="60"/>
      <c r="EAU2467" s="60"/>
      <c r="EAV2467" s="60"/>
      <c r="EAW2467" s="63"/>
      <c r="EAX2467" s="61"/>
      <c r="EAY2467" s="54"/>
      <c r="EAZ2467" s="54"/>
      <c r="EBA2467" s="60"/>
      <c r="EBB2467" s="60"/>
      <c r="EBC2467" s="60"/>
      <c r="EBD2467" s="60"/>
      <c r="EBE2467" s="63"/>
      <c r="EBF2467" s="61"/>
      <c r="EBG2467" s="54"/>
      <c r="EBH2467" s="54"/>
      <c r="EBI2467" s="60"/>
      <c r="EBJ2467" s="60"/>
      <c r="EBK2467" s="60"/>
      <c r="EBL2467" s="60"/>
      <c r="EBM2467" s="63"/>
      <c r="EBN2467" s="61"/>
      <c r="EBO2467" s="54"/>
      <c r="EBP2467" s="54"/>
      <c r="EBQ2467" s="60"/>
      <c r="EBR2467" s="60"/>
      <c r="EBS2467" s="60"/>
      <c r="EBT2467" s="60"/>
      <c r="EBU2467" s="63"/>
      <c r="EBV2467" s="61"/>
      <c r="EBW2467" s="54"/>
      <c r="EBX2467" s="54"/>
      <c r="EBY2467" s="60"/>
      <c r="EBZ2467" s="60"/>
      <c r="ECA2467" s="60"/>
      <c r="ECB2467" s="60"/>
      <c r="ECC2467" s="63"/>
      <c r="ECD2467" s="61"/>
      <c r="ECE2467" s="54"/>
      <c r="ECF2467" s="54"/>
      <c r="ECG2467" s="60"/>
      <c r="ECH2467" s="60"/>
      <c r="ECI2467" s="60"/>
      <c r="ECJ2467" s="60"/>
      <c r="ECK2467" s="63"/>
      <c r="ECL2467" s="61"/>
      <c r="ECM2467" s="54"/>
      <c r="ECN2467" s="54"/>
      <c r="ECO2467" s="60"/>
      <c r="ECP2467" s="60"/>
      <c r="ECQ2467" s="60"/>
      <c r="ECR2467" s="60"/>
      <c r="ECS2467" s="63"/>
      <c r="ECT2467" s="61"/>
      <c r="ECU2467" s="54"/>
      <c r="ECV2467" s="54"/>
      <c r="ECW2467" s="60"/>
      <c r="ECX2467" s="60"/>
      <c r="ECY2467" s="60"/>
      <c r="ECZ2467" s="60"/>
      <c r="EDA2467" s="63"/>
      <c r="EDB2467" s="61"/>
      <c r="EDC2467" s="54"/>
      <c r="EDD2467" s="54"/>
      <c r="EDE2467" s="60"/>
      <c r="EDF2467" s="60"/>
      <c r="EDG2467" s="60"/>
      <c r="EDH2467" s="60"/>
      <c r="EDI2467" s="63"/>
      <c r="EDJ2467" s="61"/>
      <c r="EDK2467" s="54"/>
      <c r="EDL2467" s="54"/>
      <c r="EDM2467" s="60"/>
      <c r="EDN2467" s="60"/>
      <c r="EDO2467" s="60"/>
      <c r="EDP2467" s="60"/>
      <c r="EDQ2467" s="63"/>
      <c r="EDR2467" s="61"/>
      <c r="EDS2467" s="54"/>
      <c r="EDT2467" s="54"/>
      <c r="EDU2467" s="60"/>
      <c r="EDV2467" s="60"/>
      <c r="EDW2467" s="60"/>
      <c r="EDX2467" s="60"/>
      <c r="EDY2467" s="63"/>
      <c r="EDZ2467" s="61"/>
      <c r="EEA2467" s="54"/>
      <c r="EEB2467" s="54"/>
      <c r="EEC2467" s="60"/>
      <c r="EED2467" s="60"/>
      <c r="EEE2467" s="60"/>
      <c r="EEF2467" s="60"/>
      <c r="EEG2467" s="63"/>
      <c r="EEH2467" s="61"/>
      <c r="EEI2467" s="54"/>
      <c r="EEJ2467" s="54"/>
      <c r="EEK2467" s="60"/>
      <c r="EEL2467" s="60"/>
      <c r="EEM2467" s="60"/>
      <c r="EEN2467" s="60"/>
      <c r="EEO2467" s="63"/>
      <c r="EEP2467" s="61"/>
      <c r="EEQ2467" s="54"/>
      <c r="EER2467" s="54"/>
      <c r="EES2467" s="60"/>
      <c r="EET2467" s="60"/>
      <c r="EEU2467" s="60"/>
      <c r="EEV2467" s="60"/>
      <c r="EEW2467" s="63"/>
      <c r="EEX2467" s="61"/>
      <c r="EEY2467" s="54"/>
      <c r="EEZ2467" s="54"/>
      <c r="EFA2467" s="60"/>
      <c r="EFB2467" s="60"/>
      <c r="EFC2467" s="60"/>
      <c r="EFD2467" s="60"/>
      <c r="EFE2467" s="63"/>
      <c r="EFF2467" s="61"/>
      <c r="EFG2467" s="54"/>
      <c r="EFH2467" s="54"/>
      <c r="EFI2467" s="60"/>
      <c r="EFJ2467" s="60"/>
      <c r="EFK2467" s="60"/>
      <c r="EFL2467" s="60"/>
      <c r="EFM2467" s="63"/>
      <c r="EFN2467" s="61"/>
      <c r="EFO2467" s="54"/>
      <c r="EFP2467" s="54"/>
      <c r="EFQ2467" s="60"/>
      <c r="EFR2467" s="60"/>
      <c r="EFS2467" s="60"/>
      <c r="EFT2467" s="60"/>
      <c r="EFU2467" s="63"/>
      <c r="EFV2467" s="61"/>
      <c r="EFW2467" s="54"/>
      <c r="EFX2467" s="54"/>
      <c r="EFY2467" s="60"/>
      <c r="EFZ2467" s="60"/>
      <c r="EGA2467" s="60"/>
      <c r="EGB2467" s="60"/>
      <c r="EGC2467" s="63"/>
      <c r="EGD2467" s="61"/>
      <c r="EGE2467" s="54"/>
      <c r="EGF2467" s="54"/>
      <c r="EGG2467" s="60"/>
      <c r="EGH2467" s="60"/>
      <c r="EGI2467" s="60"/>
      <c r="EGJ2467" s="60"/>
      <c r="EGK2467" s="63"/>
      <c r="EGL2467" s="61"/>
      <c r="EGM2467" s="54"/>
      <c r="EGN2467" s="54"/>
      <c r="EGO2467" s="60"/>
      <c r="EGP2467" s="60"/>
      <c r="EGQ2467" s="60"/>
      <c r="EGR2467" s="60"/>
      <c r="EGS2467" s="63"/>
      <c r="EGT2467" s="61"/>
      <c r="EGU2467" s="54"/>
      <c r="EGV2467" s="54"/>
      <c r="EGW2467" s="60"/>
      <c r="EGX2467" s="60"/>
      <c r="EGY2467" s="60"/>
      <c r="EGZ2467" s="60"/>
      <c r="EHA2467" s="63"/>
      <c r="EHB2467" s="61"/>
      <c r="EHC2467" s="54"/>
      <c r="EHD2467" s="54"/>
      <c r="EHE2467" s="60"/>
      <c r="EHF2467" s="60"/>
      <c r="EHG2467" s="60"/>
      <c r="EHH2467" s="60"/>
      <c r="EHI2467" s="63"/>
      <c r="EHJ2467" s="61"/>
      <c r="EHK2467" s="54"/>
      <c r="EHL2467" s="54"/>
      <c r="EHM2467" s="60"/>
      <c r="EHN2467" s="60"/>
      <c r="EHO2467" s="60"/>
      <c r="EHP2467" s="60"/>
      <c r="EHQ2467" s="63"/>
      <c r="EHR2467" s="61"/>
      <c r="EHS2467" s="54"/>
      <c r="EHT2467" s="54"/>
      <c r="EHU2467" s="60"/>
      <c r="EHV2467" s="60"/>
      <c r="EHW2467" s="60"/>
      <c r="EHX2467" s="60"/>
      <c r="EHY2467" s="63"/>
      <c r="EHZ2467" s="61"/>
      <c r="EIA2467" s="54"/>
      <c r="EIB2467" s="54"/>
      <c r="EIC2467" s="60"/>
      <c r="EID2467" s="60"/>
      <c r="EIE2467" s="60"/>
      <c r="EIF2467" s="60"/>
      <c r="EIG2467" s="63"/>
      <c r="EIH2467" s="61"/>
      <c r="EII2467" s="54"/>
      <c r="EIJ2467" s="54"/>
      <c r="EIK2467" s="60"/>
      <c r="EIL2467" s="60"/>
      <c r="EIM2467" s="60"/>
      <c r="EIN2467" s="60"/>
      <c r="EIO2467" s="63"/>
      <c r="EIP2467" s="61"/>
      <c r="EIQ2467" s="54"/>
      <c r="EIR2467" s="54"/>
      <c r="EIS2467" s="60"/>
      <c r="EIT2467" s="60"/>
      <c r="EIU2467" s="60"/>
      <c r="EIV2467" s="60"/>
      <c r="EIW2467" s="63"/>
      <c r="EIX2467" s="61"/>
      <c r="EIY2467" s="54"/>
      <c r="EIZ2467" s="54"/>
      <c r="EJA2467" s="60"/>
      <c r="EJB2467" s="60"/>
      <c r="EJC2467" s="60"/>
      <c r="EJD2467" s="60"/>
      <c r="EJE2467" s="63"/>
      <c r="EJF2467" s="61"/>
      <c r="EJG2467" s="54"/>
      <c r="EJH2467" s="54"/>
      <c r="EJI2467" s="60"/>
      <c r="EJJ2467" s="60"/>
      <c r="EJK2467" s="60"/>
      <c r="EJL2467" s="60"/>
      <c r="EJM2467" s="63"/>
      <c r="EJN2467" s="61"/>
      <c r="EJO2467" s="54"/>
      <c r="EJP2467" s="54"/>
      <c r="EJQ2467" s="60"/>
      <c r="EJR2467" s="60"/>
      <c r="EJS2467" s="60"/>
      <c r="EJT2467" s="60"/>
      <c r="EJU2467" s="63"/>
      <c r="EJV2467" s="61"/>
      <c r="EJW2467" s="54"/>
      <c r="EJX2467" s="54"/>
      <c r="EJY2467" s="60"/>
      <c r="EJZ2467" s="60"/>
      <c r="EKA2467" s="60"/>
      <c r="EKB2467" s="60"/>
      <c r="EKC2467" s="63"/>
      <c r="EKD2467" s="61"/>
      <c r="EKE2467" s="54"/>
      <c r="EKF2467" s="54"/>
      <c r="EKG2467" s="60"/>
      <c r="EKH2467" s="60"/>
      <c r="EKI2467" s="60"/>
      <c r="EKJ2467" s="60"/>
      <c r="EKK2467" s="63"/>
      <c r="EKL2467" s="61"/>
      <c r="EKM2467" s="54"/>
      <c r="EKN2467" s="54"/>
      <c r="EKO2467" s="60"/>
      <c r="EKP2467" s="60"/>
      <c r="EKQ2467" s="60"/>
      <c r="EKR2467" s="60"/>
      <c r="EKS2467" s="63"/>
      <c r="EKT2467" s="61"/>
      <c r="EKU2467" s="54"/>
      <c r="EKV2467" s="54"/>
      <c r="EKW2467" s="60"/>
      <c r="EKX2467" s="60"/>
      <c r="EKY2467" s="60"/>
      <c r="EKZ2467" s="60"/>
      <c r="ELA2467" s="63"/>
      <c r="ELB2467" s="61"/>
      <c r="ELC2467" s="54"/>
      <c r="ELD2467" s="54"/>
      <c r="ELE2467" s="60"/>
      <c r="ELF2467" s="60"/>
      <c r="ELG2467" s="60"/>
      <c r="ELH2467" s="60"/>
      <c r="ELI2467" s="63"/>
      <c r="ELJ2467" s="61"/>
      <c r="ELK2467" s="54"/>
      <c r="ELL2467" s="54"/>
      <c r="ELM2467" s="60"/>
      <c r="ELN2467" s="60"/>
      <c r="ELO2467" s="60"/>
      <c r="ELP2467" s="60"/>
      <c r="ELQ2467" s="63"/>
      <c r="ELR2467" s="61"/>
      <c r="ELS2467" s="54"/>
      <c r="ELT2467" s="54"/>
      <c r="ELU2467" s="60"/>
      <c r="ELV2467" s="60"/>
      <c r="ELW2467" s="60"/>
      <c r="ELX2467" s="60"/>
      <c r="ELY2467" s="63"/>
      <c r="ELZ2467" s="61"/>
      <c r="EMA2467" s="54"/>
      <c r="EMB2467" s="54"/>
      <c r="EMC2467" s="60"/>
      <c r="EMD2467" s="60"/>
      <c r="EME2467" s="60"/>
      <c r="EMF2467" s="60"/>
      <c r="EMG2467" s="63"/>
      <c r="EMH2467" s="61"/>
      <c r="EMI2467" s="54"/>
      <c r="EMJ2467" s="54"/>
      <c r="EMK2467" s="60"/>
      <c r="EML2467" s="60"/>
      <c r="EMM2467" s="60"/>
      <c r="EMN2467" s="60"/>
      <c r="EMO2467" s="63"/>
      <c r="EMP2467" s="61"/>
      <c r="EMQ2467" s="54"/>
      <c r="EMR2467" s="54"/>
      <c r="EMS2467" s="60"/>
      <c r="EMT2467" s="60"/>
      <c r="EMU2467" s="60"/>
      <c r="EMV2467" s="60"/>
      <c r="EMW2467" s="63"/>
      <c r="EMX2467" s="61"/>
      <c r="EMY2467" s="54"/>
      <c r="EMZ2467" s="54"/>
      <c r="ENA2467" s="60"/>
      <c r="ENB2467" s="60"/>
      <c r="ENC2467" s="60"/>
      <c r="END2467" s="60"/>
      <c r="ENE2467" s="63"/>
      <c r="ENF2467" s="61"/>
      <c r="ENG2467" s="54"/>
      <c r="ENH2467" s="54"/>
      <c r="ENI2467" s="60"/>
      <c r="ENJ2467" s="60"/>
      <c r="ENK2467" s="60"/>
      <c r="ENL2467" s="60"/>
      <c r="ENM2467" s="63"/>
      <c r="ENN2467" s="61"/>
      <c r="ENO2467" s="54"/>
      <c r="ENP2467" s="54"/>
      <c r="ENQ2467" s="60"/>
      <c r="ENR2467" s="60"/>
      <c r="ENS2467" s="60"/>
      <c r="ENT2467" s="60"/>
      <c r="ENU2467" s="63"/>
      <c r="ENV2467" s="61"/>
      <c r="ENW2467" s="54"/>
      <c r="ENX2467" s="54"/>
      <c r="ENY2467" s="60"/>
      <c r="ENZ2467" s="60"/>
      <c r="EOA2467" s="60"/>
      <c r="EOB2467" s="60"/>
      <c r="EOC2467" s="63"/>
      <c r="EOD2467" s="61"/>
      <c r="EOE2467" s="54"/>
      <c r="EOF2467" s="54"/>
      <c r="EOG2467" s="60"/>
      <c r="EOH2467" s="60"/>
      <c r="EOI2467" s="60"/>
      <c r="EOJ2467" s="60"/>
      <c r="EOK2467" s="63"/>
      <c r="EOL2467" s="61"/>
      <c r="EOM2467" s="54"/>
      <c r="EON2467" s="54"/>
      <c r="EOO2467" s="60"/>
      <c r="EOP2467" s="60"/>
      <c r="EOQ2467" s="60"/>
      <c r="EOR2467" s="60"/>
      <c r="EOS2467" s="63"/>
      <c r="EOT2467" s="61"/>
      <c r="EOU2467" s="54"/>
      <c r="EOV2467" s="54"/>
      <c r="EOW2467" s="60"/>
      <c r="EOX2467" s="60"/>
      <c r="EOY2467" s="60"/>
      <c r="EOZ2467" s="60"/>
      <c r="EPA2467" s="63"/>
      <c r="EPB2467" s="61"/>
      <c r="EPC2467" s="54"/>
      <c r="EPD2467" s="54"/>
      <c r="EPE2467" s="60"/>
      <c r="EPF2467" s="60"/>
      <c r="EPG2467" s="60"/>
      <c r="EPH2467" s="60"/>
      <c r="EPI2467" s="63"/>
      <c r="EPJ2467" s="61"/>
      <c r="EPK2467" s="54"/>
      <c r="EPL2467" s="54"/>
      <c r="EPM2467" s="60"/>
      <c r="EPN2467" s="60"/>
      <c r="EPO2467" s="60"/>
      <c r="EPP2467" s="60"/>
      <c r="EPQ2467" s="63"/>
      <c r="EPR2467" s="61"/>
      <c r="EPS2467" s="54"/>
      <c r="EPT2467" s="54"/>
      <c r="EPU2467" s="60"/>
      <c r="EPV2467" s="60"/>
      <c r="EPW2467" s="60"/>
      <c r="EPX2467" s="60"/>
      <c r="EPY2467" s="63"/>
      <c r="EPZ2467" s="61"/>
      <c r="EQA2467" s="54"/>
      <c r="EQB2467" s="54"/>
      <c r="EQC2467" s="60"/>
      <c r="EQD2467" s="60"/>
      <c r="EQE2467" s="60"/>
      <c r="EQF2467" s="60"/>
      <c r="EQG2467" s="63"/>
      <c r="EQH2467" s="61"/>
      <c r="EQI2467" s="54"/>
      <c r="EQJ2467" s="54"/>
      <c r="EQK2467" s="60"/>
      <c r="EQL2467" s="60"/>
      <c r="EQM2467" s="60"/>
      <c r="EQN2467" s="60"/>
      <c r="EQO2467" s="63"/>
      <c r="EQP2467" s="61"/>
      <c r="EQQ2467" s="54"/>
      <c r="EQR2467" s="54"/>
      <c r="EQS2467" s="60"/>
      <c r="EQT2467" s="60"/>
      <c r="EQU2467" s="60"/>
      <c r="EQV2467" s="60"/>
      <c r="EQW2467" s="63"/>
      <c r="EQX2467" s="61"/>
      <c r="EQY2467" s="54"/>
      <c r="EQZ2467" s="54"/>
      <c r="ERA2467" s="60"/>
      <c r="ERB2467" s="60"/>
      <c r="ERC2467" s="60"/>
      <c r="ERD2467" s="60"/>
      <c r="ERE2467" s="63"/>
      <c r="ERF2467" s="61"/>
      <c r="ERG2467" s="54"/>
      <c r="ERH2467" s="54"/>
      <c r="ERI2467" s="60"/>
      <c r="ERJ2467" s="60"/>
      <c r="ERK2467" s="60"/>
      <c r="ERL2467" s="60"/>
      <c r="ERM2467" s="63"/>
      <c r="ERN2467" s="61"/>
      <c r="ERO2467" s="54"/>
      <c r="ERP2467" s="54"/>
      <c r="ERQ2467" s="60"/>
      <c r="ERR2467" s="60"/>
      <c r="ERS2467" s="60"/>
      <c r="ERT2467" s="60"/>
      <c r="ERU2467" s="63"/>
      <c r="ERV2467" s="61"/>
      <c r="ERW2467" s="54"/>
      <c r="ERX2467" s="54"/>
      <c r="ERY2467" s="60"/>
      <c r="ERZ2467" s="60"/>
      <c r="ESA2467" s="60"/>
      <c r="ESB2467" s="60"/>
      <c r="ESC2467" s="63"/>
      <c r="ESD2467" s="61"/>
      <c r="ESE2467" s="54"/>
      <c r="ESF2467" s="54"/>
      <c r="ESG2467" s="60"/>
      <c r="ESH2467" s="60"/>
      <c r="ESI2467" s="60"/>
      <c r="ESJ2467" s="60"/>
      <c r="ESK2467" s="63"/>
      <c r="ESL2467" s="61"/>
      <c r="ESM2467" s="54"/>
      <c r="ESN2467" s="54"/>
      <c r="ESO2467" s="60"/>
      <c r="ESP2467" s="60"/>
      <c r="ESQ2467" s="60"/>
      <c r="ESR2467" s="60"/>
      <c r="ESS2467" s="63"/>
      <c r="EST2467" s="61"/>
      <c r="ESU2467" s="54"/>
      <c r="ESV2467" s="54"/>
      <c r="ESW2467" s="60"/>
      <c r="ESX2467" s="60"/>
      <c r="ESY2467" s="60"/>
      <c r="ESZ2467" s="60"/>
      <c r="ETA2467" s="63"/>
      <c r="ETB2467" s="61"/>
      <c r="ETC2467" s="54"/>
      <c r="ETD2467" s="54"/>
      <c r="ETE2467" s="60"/>
      <c r="ETF2467" s="60"/>
      <c r="ETG2467" s="60"/>
      <c r="ETH2467" s="60"/>
      <c r="ETI2467" s="63"/>
      <c r="ETJ2467" s="61"/>
      <c r="ETK2467" s="54"/>
      <c r="ETL2467" s="54"/>
      <c r="ETM2467" s="60"/>
      <c r="ETN2467" s="60"/>
      <c r="ETO2467" s="60"/>
      <c r="ETP2467" s="60"/>
      <c r="ETQ2467" s="63"/>
      <c r="ETR2467" s="61"/>
      <c r="ETS2467" s="54"/>
      <c r="ETT2467" s="54"/>
      <c r="ETU2467" s="60"/>
      <c r="ETV2467" s="60"/>
      <c r="ETW2467" s="60"/>
      <c r="ETX2467" s="60"/>
      <c r="ETY2467" s="63"/>
      <c r="ETZ2467" s="61"/>
      <c r="EUA2467" s="54"/>
      <c r="EUB2467" s="54"/>
      <c r="EUC2467" s="60"/>
      <c r="EUD2467" s="60"/>
      <c r="EUE2467" s="60"/>
      <c r="EUF2467" s="60"/>
      <c r="EUG2467" s="63"/>
      <c r="EUH2467" s="61"/>
      <c r="EUI2467" s="54"/>
      <c r="EUJ2467" s="54"/>
      <c r="EUK2467" s="60"/>
      <c r="EUL2467" s="60"/>
      <c r="EUM2467" s="60"/>
      <c r="EUN2467" s="60"/>
      <c r="EUO2467" s="63"/>
      <c r="EUP2467" s="61"/>
      <c r="EUQ2467" s="54"/>
      <c r="EUR2467" s="54"/>
      <c r="EUS2467" s="60"/>
      <c r="EUT2467" s="60"/>
      <c r="EUU2467" s="60"/>
      <c r="EUV2467" s="60"/>
      <c r="EUW2467" s="63"/>
      <c r="EUX2467" s="61"/>
      <c r="EUY2467" s="54"/>
      <c r="EUZ2467" s="54"/>
      <c r="EVA2467" s="60"/>
      <c r="EVB2467" s="60"/>
      <c r="EVC2467" s="60"/>
      <c r="EVD2467" s="60"/>
      <c r="EVE2467" s="63"/>
      <c r="EVF2467" s="61"/>
      <c r="EVG2467" s="54"/>
      <c r="EVH2467" s="54"/>
      <c r="EVI2467" s="60"/>
      <c r="EVJ2467" s="60"/>
      <c r="EVK2467" s="60"/>
      <c r="EVL2467" s="60"/>
      <c r="EVM2467" s="63"/>
      <c r="EVN2467" s="61"/>
      <c r="EVO2467" s="54"/>
      <c r="EVP2467" s="54"/>
      <c r="EVQ2467" s="60"/>
      <c r="EVR2467" s="60"/>
      <c r="EVS2467" s="60"/>
      <c r="EVT2467" s="60"/>
      <c r="EVU2467" s="63"/>
      <c r="EVV2467" s="61"/>
      <c r="EVW2467" s="54"/>
      <c r="EVX2467" s="54"/>
      <c r="EVY2467" s="60"/>
      <c r="EVZ2467" s="60"/>
      <c r="EWA2467" s="60"/>
      <c r="EWB2467" s="60"/>
      <c r="EWC2467" s="63"/>
      <c r="EWD2467" s="61"/>
      <c r="EWE2467" s="54"/>
      <c r="EWF2467" s="54"/>
      <c r="EWG2467" s="60"/>
      <c r="EWH2467" s="60"/>
      <c r="EWI2467" s="60"/>
      <c r="EWJ2467" s="60"/>
      <c r="EWK2467" s="63"/>
      <c r="EWL2467" s="61"/>
      <c r="EWM2467" s="54"/>
      <c r="EWN2467" s="54"/>
      <c r="EWO2467" s="60"/>
      <c r="EWP2467" s="60"/>
      <c r="EWQ2467" s="60"/>
      <c r="EWR2467" s="60"/>
      <c r="EWS2467" s="63"/>
      <c r="EWT2467" s="61"/>
      <c r="EWU2467" s="54"/>
      <c r="EWV2467" s="54"/>
      <c r="EWW2467" s="60"/>
      <c r="EWX2467" s="60"/>
      <c r="EWY2467" s="60"/>
      <c r="EWZ2467" s="60"/>
      <c r="EXA2467" s="63"/>
      <c r="EXB2467" s="61"/>
      <c r="EXC2467" s="54"/>
      <c r="EXD2467" s="54"/>
      <c r="EXE2467" s="60"/>
      <c r="EXF2467" s="60"/>
      <c r="EXG2467" s="60"/>
      <c r="EXH2467" s="60"/>
      <c r="EXI2467" s="63"/>
      <c r="EXJ2467" s="61"/>
      <c r="EXK2467" s="54"/>
      <c r="EXL2467" s="54"/>
      <c r="EXM2467" s="60"/>
      <c r="EXN2467" s="60"/>
      <c r="EXO2467" s="60"/>
      <c r="EXP2467" s="60"/>
      <c r="EXQ2467" s="63"/>
      <c r="EXR2467" s="61"/>
      <c r="EXS2467" s="54"/>
      <c r="EXT2467" s="54"/>
      <c r="EXU2467" s="60"/>
      <c r="EXV2467" s="60"/>
      <c r="EXW2467" s="60"/>
      <c r="EXX2467" s="60"/>
      <c r="EXY2467" s="63"/>
      <c r="EXZ2467" s="61"/>
      <c r="EYA2467" s="54"/>
      <c r="EYB2467" s="54"/>
      <c r="EYC2467" s="60"/>
      <c r="EYD2467" s="60"/>
      <c r="EYE2467" s="60"/>
      <c r="EYF2467" s="60"/>
      <c r="EYG2467" s="63"/>
      <c r="EYH2467" s="61"/>
      <c r="EYI2467" s="54"/>
      <c r="EYJ2467" s="54"/>
      <c r="EYK2467" s="60"/>
      <c r="EYL2467" s="60"/>
      <c r="EYM2467" s="60"/>
      <c r="EYN2467" s="60"/>
      <c r="EYO2467" s="63"/>
      <c r="EYP2467" s="61"/>
      <c r="EYQ2467" s="54"/>
      <c r="EYR2467" s="54"/>
      <c r="EYS2467" s="60"/>
      <c r="EYT2467" s="60"/>
      <c r="EYU2467" s="60"/>
      <c r="EYV2467" s="60"/>
      <c r="EYW2467" s="63"/>
      <c r="EYX2467" s="61"/>
      <c r="EYY2467" s="54"/>
      <c r="EYZ2467" s="54"/>
      <c r="EZA2467" s="60"/>
      <c r="EZB2467" s="60"/>
      <c r="EZC2467" s="60"/>
      <c r="EZD2467" s="60"/>
      <c r="EZE2467" s="63"/>
      <c r="EZF2467" s="61"/>
      <c r="EZG2467" s="54"/>
      <c r="EZH2467" s="54"/>
      <c r="EZI2467" s="60"/>
      <c r="EZJ2467" s="60"/>
      <c r="EZK2467" s="60"/>
      <c r="EZL2467" s="60"/>
      <c r="EZM2467" s="63"/>
      <c r="EZN2467" s="61"/>
      <c r="EZO2467" s="54"/>
      <c r="EZP2467" s="54"/>
      <c r="EZQ2467" s="60"/>
      <c r="EZR2467" s="60"/>
      <c r="EZS2467" s="60"/>
      <c r="EZT2467" s="60"/>
      <c r="EZU2467" s="63"/>
      <c r="EZV2467" s="61"/>
      <c r="EZW2467" s="54"/>
      <c r="EZX2467" s="54"/>
      <c r="EZY2467" s="60"/>
      <c r="EZZ2467" s="60"/>
      <c r="FAA2467" s="60"/>
      <c r="FAB2467" s="60"/>
      <c r="FAC2467" s="63"/>
      <c r="FAD2467" s="61"/>
      <c r="FAE2467" s="54"/>
      <c r="FAF2467" s="54"/>
      <c r="FAG2467" s="60"/>
      <c r="FAH2467" s="60"/>
      <c r="FAI2467" s="60"/>
      <c r="FAJ2467" s="60"/>
      <c r="FAK2467" s="63"/>
      <c r="FAL2467" s="61"/>
      <c r="FAM2467" s="54"/>
      <c r="FAN2467" s="54"/>
      <c r="FAO2467" s="60"/>
      <c r="FAP2467" s="60"/>
      <c r="FAQ2467" s="60"/>
      <c r="FAR2467" s="60"/>
      <c r="FAS2467" s="63"/>
      <c r="FAT2467" s="61"/>
      <c r="FAU2467" s="54"/>
      <c r="FAV2467" s="54"/>
      <c r="FAW2467" s="60"/>
      <c r="FAX2467" s="60"/>
      <c r="FAY2467" s="60"/>
      <c r="FAZ2467" s="60"/>
      <c r="FBA2467" s="63"/>
      <c r="FBB2467" s="61"/>
      <c r="FBC2467" s="54"/>
      <c r="FBD2467" s="54"/>
      <c r="FBE2467" s="60"/>
      <c r="FBF2467" s="60"/>
      <c r="FBG2467" s="60"/>
      <c r="FBH2467" s="60"/>
      <c r="FBI2467" s="63"/>
      <c r="FBJ2467" s="61"/>
      <c r="FBK2467" s="54"/>
      <c r="FBL2467" s="54"/>
      <c r="FBM2467" s="60"/>
      <c r="FBN2467" s="60"/>
      <c r="FBO2467" s="60"/>
      <c r="FBP2467" s="60"/>
      <c r="FBQ2467" s="63"/>
      <c r="FBR2467" s="61"/>
      <c r="FBS2467" s="54"/>
      <c r="FBT2467" s="54"/>
      <c r="FBU2467" s="60"/>
      <c r="FBV2467" s="60"/>
      <c r="FBW2467" s="60"/>
      <c r="FBX2467" s="60"/>
      <c r="FBY2467" s="63"/>
      <c r="FBZ2467" s="61"/>
      <c r="FCA2467" s="54"/>
      <c r="FCB2467" s="54"/>
      <c r="FCC2467" s="60"/>
      <c r="FCD2467" s="60"/>
      <c r="FCE2467" s="60"/>
      <c r="FCF2467" s="60"/>
      <c r="FCG2467" s="63"/>
      <c r="FCH2467" s="61"/>
      <c r="FCI2467" s="54"/>
      <c r="FCJ2467" s="54"/>
      <c r="FCK2467" s="60"/>
      <c r="FCL2467" s="60"/>
      <c r="FCM2467" s="60"/>
      <c r="FCN2467" s="60"/>
      <c r="FCO2467" s="63"/>
      <c r="FCP2467" s="61"/>
      <c r="FCQ2467" s="54"/>
      <c r="FCR2467" s="54"/>
      <c r="FCS2467" s="60"/>
      <c r="FCT2467" s="60"/>
      <c r="FCU2467" s="60"/>
      <c r="FCV2467" s="60"/>
      <c r="FCW2467" s="63"/>
      <c r="FCX2467" s="61"/>
      <c r="FCY2467" s="54"/>
      <c r="FCZ2467" s="54"/>
      <c r="FDA2467" s="60"/>
      <c r="FDB2467" s="60"/>
      <c r="FDC2467" s="60"/>
      <c r="FDD2467" s="60"/>
      <c r="FDE2467" s="63"/>
      <c r="FDF2467" s="61"/>
      <c r="FDG2467" s="54"/>
      <c r="FDH2467" s="54"/>
      <c r="FDI2467" s="60"/>
      <c r="FDJ2467" s="60"/>
      <c r="FDK2467" s="60"/>
      <c r="FDL2467" s="60"/>
      <c r="FDM2467" s="63"/>
      <c r="FDN2467" s="61"/>
      <c r="FDO2467" s="54"/>
      <c r="FDP2467" s="54"/>
      <c r="FDQ2467" s="60"/>
      <c r="FDR2467" s="60"/>
      <c r="FDS2467" s="60"/>
      <c r="FDT2467" s="60"/>
      <c r="FDU2467" s="63"/>
      <c r="FDV2467" s="61"/>
      <c r="FDW2467" s="54"/>
      <c r="FDX2467" s="54"/>
      <c r="FDY2467" s="60"/>
      <c r="FDZ2467" s="60"/>
      <c r="FEA2467" s="60"/>
      <c r="FEB2467" s="60"/>
      <c r="FEC2467" s="63"/>
      <c r="FED2467" s="61"/>
      <c r="FEE2467" s="54"/>
      <c r="FEF2467" s="54"/>
      <c r="FEG2467" s="60"/>
      <c r="FEH2467" s="60"/>
      <c r="FEI2467" s="60"/>
      <c r="FEJ2467" s="60"/>
      <c r="FEK2467" s="63"/>
      <c r="FEL2467" s="61"/>
      <c r="FEM2467" s="54"/>
      <c r="FEN2467" s="54"/>
      <c r="FEO2467" s="60"/>
      <c r="FEP2467" s="60"/>
      <c r="FEQ2467" s="60"/>
      <c r="FER2467" s="60"/>
      <c r="FES2467" s="63"/>
      <c r="FET2467" s="61"/>
      <c r="FEU2467" s="54"/>
      <c r="FEV2467" s="54"/>
      <c r="FEW2467" s="60"/>
      <c r="FEX2467" s="60"/>
      <c r="FEY2467" s="60"/>
      <c r="FEZ2467" s="60"/>
      <c r="FFA2467" s="63"/>
      <c r="FFB2467" s="61"/>
      <c r="FFC2467" s="54"/>
      <c r="FFD2467" s="54"/>
      <c r="FFE2467" s="60"/>
      <c r="FFF2467" s="60"/>
      <c r="FFG2467" s="60"/>
      <c r="FFH2467" s="60"/>
      <c r="FFI2467" s="63"/>
      <c r="FFJ2467" s="61"/>
      <c r="FFK2467" s="54"/>
      <c r="FFL2467" s="54"/>
      <c r="FFM2467" s="60"/>
      <c r="FFN2467" s="60"/>
      <c r="FFO2467" s="60"/>
      <c r="FFP2467" s="60"/>
      <c r="FFQ2467" s="63"/>
      <c r="FFR2467" s="61"/>
      <c r="FFS2467" s="54"/>
      <c r="FFT2467" s="54"/>
      <c r="FFU2467" s="60"/>
      <c r="FFV2467" s="60"/>
      <c r="FFW2467" s="60"/>
      <c r="FFX2467" s="60"/>
      <c r="FFY2467" s="63"/>
      <c r="FFZ2467" s="61"/>
      <c r="FGA2467" s="54"/>
      <c r="FGB2467" s="54"/>
      <c r="FGC2467" s="60"/>
      <c r="FGD2467" s="60"/>
      <c r="FGE2467" s="60"/>
      <c r="FGF2467" s="60"/>
      <c r="FGG2467" s="63"/>
      <c r="FGH2467" s="61"/>
      <c r="FGI2467" s="54"/>
      <c r="FGJ2467" s="54"/>
      <c r="FGK2467" s="60"/>
      <c r="FGL2467" s="60"/>
      <c r="FGM2467" s="60"/>
      <c r="FGN2467" s="60"/>
      <c r="FGO2467" s="63"/>
      <c r="FGP2467" s="61"/>
      <c r="FGQ2467" s="54"/>
      <c r="FGR2467" s="54"/>
      <c r="FGS2467" s="60"/>
      <c r="FGT2467" s="60"/>
      <c r="FGU2467" s="60"/>
      <c r="FGV2467" s="60"/>
      <c r="FGW2467" s="63"/>
      <c r="FGX2467" s="61"/>
      <c r="FGY2467" s="54"/>
      <c r="FGZ2467" s="54"/>
      <c r="FHA2467" s="60"/>
      <c r="FHB2467" s="60"/>
      <c r="FHC2467" s="60"/>
      <c r="FHD2467" s="60"/>
      <c r="FHE2467" s="63"/>
      <c r="FHF2467" s="61"/>
      <c r="FHG2467" s="54"/>
      <c r="FHH2467" s="54"/>
      <c r="FHI2467" s="60"/>
      <c r="FHJ2467" s="60"/>
      <c r="FHK2467" s="60"/>
      <c r="FHL2467" s="60"/>
      <c r="FHM2467" s="63"/>
      <c r="FHN2467" s="61"/>
      <c r="FHO2467" s="54"/>
      <c r="FHP2467" s="54"/>
      <c r="FHQ2467" s="60"/>
      <c r="FHR2467" s="60"/>
      <c r="FHS2467" s="60"/>
      <c r="FHT2467" s="60"/>
      <c r="FHU2467" s="63"/>
      <c r="FHV2467" s="61"/>
      <c r="FHW2467" s="54"/>
      <c r="FHX2467" s="54"/>
      <c r="FHY2467" s="60"/>
      <c r="FHZ2467" s="60"/>
      <c r="FIA2467" s="60"/>
      <c r="FIB2467" s="60"/>
      <c r="FIC2467" s="63"/>
      <c r="FID2467" s="61"/>
      <c r="FIE2467" s="54"/>
      <c r="FIF2467" s="54"/>
      <c r="FIG2467" s="60"/>
      <c r="FIH2467" s="60"/>
      <c r="FII2467" s="60"/>
      <c r="FIJ2467" s="60"/>
      <c r="FIK2467" s="63"/>
      <c r="FIL2467" s="61"/>
      <c r="FIM2467" s="54"/>
      <c r="FIN2467" s="54"/>
      <c r="FIO2467" s="60"/>
      <c r="FIP2467" s="60"/>
      <c r="FIQ2467" s="60"/>
      <c r="FIR2467" s="60"/>
      <c r="FIS2467" s="63"/>
      <c r="FIT2467" s="61"/>
      <c r="FIU2467" s="54"/>
      <c r="FIV2467" s="54"/>
      <c r="FIW2467" s="60"/>
      <c r="FIX2467" s="60"/>
      <c r="FIY2467" s="60"/>
      <c r="FIZ2467" s="60"/>
      <c r="FJA2467" s="63"/>
      <c r="FJB2467" s="61"/>
      <c r="FJC2467" s="54"/>
      <c r="FJD2467" s="54"/>
      <c r="FJE2467" s="60"/>
      <c r="FJF2467" s="60"/>
      <c r="FJG2467" s="60"/>
      <c r="FJH2467" s="60"/>
      <c r="FJI2467" s="63"/>
      <c r="FJJ2467" s="61"/>
      <c r="FJK2467" s="54"/>
      <c r="FJL2467" s="54"/>
      <c r="FJM2467" s="60"/>
      <c r="FJN2467" s="60"/>
      <c r="FJO2467" s="60"/>
      <c r="FJP2467" s="60"/>
      <c r="FJQ2467" s="63"/>
      <c r="FJR2467" s="61"/>
      <c r="FJS2467" s="54"/>
      <c r="FJT2467" s="54"/>
      <c r="FJU2467" s="60"/>
      <c r="FJV2467" s="60"/>
      <c r="FJW2467" s="60"/>
      <c r="FJX2467" s="60"/>
      <c r="FJY2467" s="63"/>
      <c r="FJZ2467" s="61"/>
      <c r="FKA2467" s="54"/>
      <c r="FKB2467" s="54"/>
      <c r="FKC2467" s="60"/>
      <c r="FKD2467" s="60"/>
      <c r="FKE2467" s="60"/>
      <c r="FKF2467" s="60"/>
      <c r="FKG2467" s="63"/>
      <c r="FKH2467" s="61"/>
      <c r="FKI2467" s="54"/>
      <c r="FKJ2467" s="54"/>
      <c r="FKK2467" s="60"/>
      <c r="FKL2467" s="60"/>
      <c r="FKM2467" s="60"/>
      <c r="FKN2467" s="60"/>
      <c r="FKO2467" s="63"/>
      <c r="FKP2467" s="61"/>
      <c r="FKQ2467" s="54"/>
      <c r="FKR2467" s="54"/>
      <c r="FKS2467" s="60"/>
      <c r="FKT2467" s="60"/>
      <c r="FKU2467" s="60"/>
      <c r="FKV2467" s="60"/>
      <c r="FKW2467" s="63"/>
      <c r="FKX2467" s="61"/>
      <c r="FKY2467" s="54"/>
      <c r="FKZ2467" s="54"/>
      <c r="FLA2467" s="60"/>
      <c r="FLB2467" s="60"/>
      <c r="FLC2467" s="60"/>
      <c r="FLD2467" s="60"/>
      <c r="FLE2467" s="63"/>
      <c r="FLF2467" s="61"/>
      <c r="FLG2467" s="54"/>
      <c r="FLH2467" s="54"/>
      <c r="FLI2467" s="60"/>
      <c r="FLJ2467" s="60"/>
      <c r="FLK2467" s="60"/>
      <c r="FLL2467" s="60"/>
      <c r="FLM2467" s="63"/>
      <c r="FLN2467" s="61"/>
      <c r="FLO2467" s="54"/>
      <c r="FLP2467" s="54"/>
      <c r="FLQ2467" s="60"/>
      <c r="FLR2467" s="60"/>
      <c r="FLS2467" s="60"/>
      <c r="FLT2467" s="60"/>
      <c r="FLU2467" s="63"/>
      <c r="FLV2467" s="61"/>
      <c r="FLW2467" s="54"/>
      <c r="FLX2467" s="54"/>
      <c r="FLY2467" s="60"/>
      <c r="FLZ2467" s="60"/>
      <c r="FMA2467" s="60"/>
      <c r="FMB2467" s="60"/>
      <c r="FMC2467" s="63"/>
      <c r="FMD2467" s="61"/>
      <c r="FME2467" s="54"/>
      <c r="FMF2467" s="54"/>
      <c r="FMG2467" s="60"/>
      <c r="FMH2467" s="60"/>
      <c r="FMI2467" s="60"/>
      <c r="FMJ2467" s="60"/>
      <c r="FMK2467" s="63"/>
      <c r="FML2467" s="61"/>
      <c r="FMM2467" s="54"/>
      <c r="FMN2467" s="54"/>
      <c r="FMO2467" s="60"/>
      <c r="FMP2467" s="60"/>
      <c r="FMQ2467" s="60"/>
      <c r="FMR2467" s="60"/>
      <c r="FMS2467" s="63"/>
      <c r="FMT2467" s="61"/>
      <c r="FMU2467" s="54"/>
      <c r="FMV2467" s="54"/>
      <c r="FMW2467" s="60"/>
      <c r="FMX2467" s="60"/>
      <c r="FMY2467" s="60"/>
      <c r="FMZ2467" s="60"/>
      <c r="FNA2467" s="63"/>
      <c r="FNB2467" s="61"/>
      <c r="FNC2467" s="54"/>
      <c r="FND2467" s="54"/>
      <c r="FNE2467" s="60"/>
      <c r="FNF2467" s="60"/>
      <c r="FNG2467" s="60"/>
      <c r="FNH2467" s="60"/>
      <c r="FNI2467" s="63"/>
      <c r="FNJ2467" s="61"/>
      <c r="FNK2467" s="54"/>
      <c r="FNL2467" s="54"/>
      <c r="FNM2467" s="60"/>
      <c r="FNN2467" s="60"/>
      <c r="FNO2467" s="60"/>
      <c r="FNP2467" s="60"/>
      <c r="FNQ2467" s="63"/>
      <c r="FNR2467" s="61"/>
      <c r="FNS2467" s="54"/>
      <c r="FNT2467" s="54"/>
      <c r="FNU2467" s="60"/>
      <c r="FNV2467" s="60"/>
      <c r="FNW2467" s="60"/>
      <c r="FNX2467" s="60"/>
      <c r="FNY2467" s="63"/>
      <c r="FNZ2467" s="61"/>
      <c r="FOA2467" s="54"/>
      <c r="FOB2467" s="54"/>
      <c r="FOC2467" s="60"/>
      <c r="FOD2467" s="60"/>
      <c r="FOE2467" s="60"/>
      <c r="FOF2467" s="60"/>
      <c r="FOG2467" s="63"/>
      <c r="FOH2467" s="61"/>
      <c r="FOI2467" s="54"/>
      <c r="FOJ2467" s="54"/>
      <c r="FOK2467" s="60"/>
      <c r="FOL2467" s="60"/>
      <c r="FOM2467" s="60"/>
      <c r="FON2467" s="60"/>
      <c r="FOO2467" s="63"/>
      <c r="FOP2467" s="61"/>
      <c r="FOQ2467" s="54"/>
      <c r="FOR2467" s="54"/>
      <c r="FOS2467" s="60"/>
      <c r="FOT2467" s="60"/>
      <c r="FOU2467" s="60"/>
      <c r="FOV2467" s="60"/>
      <c r="FOW2467" s="63"/>
      <c r="FOX2467" s="61"/>
      <c r="FOY2467" s="54"/>
      <c r="FOZ2467" s="54"/>
      <c r="FPA2467" s="60"/>
      <c r="FPB2467" s="60"/>
      <c r="FPC2467" s="60"/>
      <c r="FPD2467" s="60"/>
      <c r="FPE2467" s="63"/>
      <c r="FPF2467" s="61"/>
      <c r="FPG2467" s="54"/>
      <c r="FPH2467" s="54"/>
      <c r="FPI2467" s="60"/>
      <c r="FPJ2467" s="60"/>
      <c r="FPK2467" s="60"/>
      <c r="FPL2467" s="60"/>
      <c r="FPM2467" s="63"/>
      <c r="FPN2467" s="61"/>
      <c r="FPO2467" s="54"/>
      <c r="FPP2467" s="54"/>
      <c r="FPQ2467" s="60"/>
      <c r="FPR2467" s="60"/>
      <c r="FPS2467" s="60"/>
      <c r="FPT2467" s="60"/>
      <c r="FPU2467" s="63"/>
      <c r="FPV2467" s="61"/>
      <c r="FPW2467" s="54"/>
      <c r="FPX2467" s="54"/>
      <c r="FPY2467" s="60"/>
      <c r="FPZ2467" s="60"/>
      <c r="FQA2467" s="60"/>
      <c r="FQB2467" s="60"/>
      <c r="FQC2467" s="63"/>
      <c r="FQD2467" s="61"/>
      <c r="FQE2467" s="54"/>
      <c r="FQF2467" s="54"/>
      <c r="FQG2467" s="60"/>
      <c r="FQH2467" s="60"/>
      <c r="FQI2467" s="60"/>
      <c r="FQJ2467" s="60"/>
      <c r="FQK2467" s="63"/>
      <c r="FQL2467" s="61"/>
      <c r="FQM2467" s="54"/>
      <c r="FQN2467" s="54"/>
      <c r="FQO2467" s="60"/>
      <c r="FQP2467" s="60"/>
      <c r="FQQ2467" s="60"/>
      <c r="FQR2467" s="60"/>
      <c r="FQS2467" s="63"/>
      <c r="FQT2467" s="61"/>
      <c r="FQU2467" s="54"/>
      <c r="FQV2467" s="54"/>
      <c r="FQW2467" s="60"/>
      <c r="FQX2467" s="60"/>
      <c r="FQY2467" s="60"/>
      <c r="FQZ2467" s="60"/>
      <c r="FRA2467" s="63"/>
      <c r="FRB2467" s="61"/>
      <c r="FRC2467" s="54"/>
      <c r="FRD2467" s="54"/>
      <c r="FRE2467" s="60"/>
      <c r="FRF2467" s="60"/>
      <c r="FRG2467" s="60"/>
      <c r="FRH2467" s="60"/>
      <c r="FRI2467" s="63"/>
      <c r="FRJ2467" s="61"/>
      <c r="FRK2467" s="54"/>
      <c r="FRL2467" s="54"/>
      <c r="FRM2467" s="60"/>
      <c r="FRN2467" s="60"/>
      <c r="FRO2467" s="60"/>
      <c r="FRP2467" s="60"/>
      <c r="FRQ2467" s="63"/>
      <c r="FRR2467" s="61"/>
      <c r="FRS2467" s="54"/>
      <c r="FRT2467" s="54"/>
      <c r="FRU2467" s="60"/>
      <c r="FRV2467" s="60"/>
      <c r="FRW2467" s="60"/>
      <c r="FRX2467" s="60"/>
      <c r="FRY2467" s="63"/>
      <c r="FRZ2467" s="61"/>
      <c r="FSA2467" s="54"/>
      <c r="FSB2467" s="54"/>
      <c r="FSC2467" s="60"/>
      <c r="FSD2467" s="60"/>
      <c r="FSE2467" s="60"/>
      <c r="FSF2467" s="60"/>
      <c r="FSG2467" s="63"/>
      <c r="FSH2467" s="61"/>
      <c r="FSI2467" s="54"/>
      <c r="FSJ2467" s="54"/>
      <c r="FSK2467" s="60"/>
      <c r="FSL2467" s="60"/>
      <c r="FSM2467" s="60"/>
      <c r="FSN2467" s="60"/>
      <c r="FSO2467" s="63"/>
      <c r="FSP2467" s="61"/>
      <c r="FSQ2467" s="54"/>
      <c r="FSR2467" s="54"/>
      <c r="FSS2467" s="60"/>
      <c r="FST2467" s="60"/>
      <c r="FSU2467" s="60"/>
      <c r="FSV2467" s="60"/>
      <c r="FSW2467" s="63"/>
      <c r="FSX2467" s="61"/>
      <c r="FSY2467" s="54"/>
      <c r="FSZ2467" s="54"/>
      <c r="FTA2467" s="60"/>
      <c r="FTB2467" s="60"/>
      <c r="FTC2467" s="60"/>
      <c r="FTD2467" s="60"/>
      <c r="FTE2467" s="63"/>
      <c r="FTF2467" s="61"/>
      <c r="FTG2467" s="54"/>
      <c r="FTH2467" s="54"/>
      <c r="FTI2467" s="60"/>
      <c r="FTJ2467" s="60"/>
      <c r="FTK2467" s="60"/>
      <c r="FTL2467" s="60"/>
      <c r="FTM2467" s="63"/>
      <c r="FTN2467" s="61"/>
      <c r="FTO2467" s="54"/>
      <c r="FTP2467" s="54"/>
      <c r="FTQ2467" s="60"/>
      <c r="FTR2467" s="60"/>
      <c r="FTS2467" s="60"/>
      <c r="FTT2467" s="60"/>
      <c r="FTU2467" s="63"/>
      <c r="FTV2467" s="61"/>
      <c r="FTW2467" s="54"/>
      <c r="FTX2467" s="54"/>
      <c r="FTY2467" s="60"/>
      <c r="FTZ2467" s="60"/>
      <c r="FUA2467" s="60"/>
      <c r="FUB2467" s="60"/>
      <c r="FUC2467" s="63"/>
      <c r="FUD2467" s="61"/>
      <c r="FUE2467" s="54"/>
      <c r="FUF2467" s="54"/>
      <c r="FUG2467" s="60"/>
      <c r="FUH2467" s="60"/>
      <c r="FUI2467" s="60"/>
      <c r="FUJ2467" s="60"/>
      <c r="FUK2467" s="63"/>
      <c r="FUL2467" s="61"/>
      <c r="FUM2467" s="54"/>
      <c r="FUN2467" s="54"/>
      <c r="FUO2467" s="60"/>
      <c r="FUP2467" s="60"/>
      <c r="FUQ2467" s="60"/>
      <c r="FUR2467" s="60"/>
      <c r="FUS2467" s="63"/>
      <c r="FUT2467" s="61"/>
      <c r="FUU2467" s="54"/>
      <c r="FUV2467" s="54"/>
      <c r="FUW2467" s="60"/>
      <c r="FUX2467" s="60"/>
      <c r="FUY2467" s="60"/>
      <c r="FUZ2467" s="60"/>
      <c r="FVA2467" s="63"/>
      <c r="FVB2467" s="61"/>
      <c r="FVC2467" s="54"/>
      <c r="FVD2467" s="54"/>
      <c r="FVE2467" s="60"/>
      <c r="FVF2467" s="60"/>
      <c r="FVG2467" s="60"/>
      <c r="FVH2467" s="60"/>
      <c r="FVI2467" s="63"/>
      <c r="FVJ2467" s="61"/>
      <c r="FVK2467" s="54"/>
      <c r="FVL2467" s="54"/>
      <c r="FVM2467" s="60"/>
      <c r="FVN2467" s="60"/>
      <c r="FVO2467" s="60"/>
      <c r="FVP2467" s="60"/>
      <c r="FVQ2467" s="63"/>
      <c r="FVR2467" s="61"/>
      <c r="FVS2467" s="54"/>
      <c r="FVT2467" s="54"/>
      <c r="FVU2467" s="60"/>
      <c r="FVV2467" s="60"/>
      <c r="FVW2467" s="60"/>
      <c r="FVX2467" s="60"/>
      <c r="FVY2467" s="63"/>
      <c r="FVZ2467" s="61"/>
      <c r="FWA2467" s="54"/>
      <c r="FWB2467" s="54"/>
      <c r="FWC2467" s="60"/>
      <c r="FWD2467" s="60"/>
      <c r="FWE2467" s="60"/>
      <c r="FWF2467" s="60"/>
      <c r="FWG2467" s="63"/>
      <c r="FWH2467" s="61"/>
      <c r="FWI2467" s="54"/>
      <c r="FWJ2467" s="54"/>
      <c r="FWK2467" s="60"/>
      <c r="FWL2467" s="60"/>
      <c r="FWM2467" s="60"/>
      <c r="FWN2467" s="60"/>
      <c r="FWO2467" s="63"/>
      <c r="FWP2467" s="61"/>
      <c r="FWQ2467" s="54"/>
      <c r="FWR2467" s="54"/>
      <c r="FWS2467" s="60"/>
      <c r="FWT2467" s="60"/>
      <c r="FWU2467" s="60"/>
      <c r="FWV2467" s="60"/>
      <c r="FWW2467" s="63"/>
      <c r="FWX2467" s="61"/>
      <c r="FWY2467" s="54"/>
      <c r="FWZ2467" s="54"/>
      <c r="FXA2467" s="60"/>
      <c r="FXB2467" s="60"/>
      <c r="FXC2467" s="60"/>
      <c r="FXD2467" s="60"/>
      <c r="FXE2467" s="63"/>
      <c r="FXF2467" s="61"/>
      <c r="FXG2467" s="54"/>
      <c r="FXH2467" s="54"/>
      <c r="FXI2467" s="60"/>
      <c r="FXJ2467" s="60"/>
      <c r="FXK2467" s="60"/>
      <c r="FXL2467" s="60"/>
      <c r="FXM2467" s="63"/>
      <c r="FXN2467" s="61"/>
      <c r="FXO2467" s="54"/>
      <c r="FXP2467" s="54"/>
      <c r="FXQ2467" s="60"/>
      <c r="FXR2467" s="60"/>
      <c r="FXS2467" s="60"/>
      <c r="FXT2467" s="60"/>
      <c r="FXU2467" s="63"/>
      <c r="FXV2467" s="61"/>
      <c r="FXW2467" s="54"/>
      <c r="FXX2467" s="54"/>
      <c r="FXY2467" s="60"/>
      <c r="FXZ2467" s="60"/>
      <c r="FYA2467" s="60"/>
      <c r="FYB2467" s="60"/>
      <c r="FYC2467" s="63"/>
      <c r="FYD2467" s="61"/>
      <c r="FYE2467" s="54"/>
      <c r="FYF2467" s="54"/>
      <c r="FYG2467" s="60"/>
      <c r="FYH2467" s="60"/>
      <c r="FYI2467" s="60"/>
      <c r="FYJ2467" s="60"/>
      <c r="FYK2467" s="63"/>
      <c r="FYL2467" s="61"/>
      <c r="FYM2467" s="54"/>
      <c r="FYN2467" s="54"/>
      <c r="FYO2467" s="60"/>
      <c r="FYP2467" s="60"/>
      <c r="FYQ2467" s="60"/>
      <c r="FYR2467" s="60"/>
      <c r="FYS2467" s="63"/>
      <c r="FYT2467" s="61"/>
      <c r="FYU2467" s="54"/>
      <c r="FYV2467" s="54"/>
      <c r="FYW2467" s="60"/>
      <c r="FYX2467" s="60"/>
      <c r="FYY2467" s="60"/>
      <c r="FYZ2467" s="60"/>
      <c r="FZA2467" s="63"/>
      <c r="FZB2467" s="61"/>
      <c r="FZC2467" s="54"/>
      <c r="FZD2467" s="54"/>
      <c r="FZE2467" s="60"/>
      <c r="FZF2467" s="60"/>
      <c r="FZG2467" s="60"/>
      <c r="FZH2467" s="60"/>
      <c r="FZI2467" s="63"/>
      <c r="FZJ2467" s="61"/>
      <c r="FZK2467" s="54"/>
      <c r="FZL2467" s="54"/>
      <c r="FZM2467" s="60"/>
      <c r="FZN2467" s="60"/>
      <c r="FZO2467" s="60"/>
      <c r="FZP2467" s="60"/>
      <c r="FZQ2467" s="63"/>
      <c r="FZR2467" s="61"/>
      <c r="FZS2467" s="54"/>
      <c r="FZT2467" s="54"/>
      <c r="FZU2467" s="60"/>
      <c r="FZV2467" s="60"/>
      <c r="FZW2467" s="60"/>
      <c r="FZX2467" s="60"/>
      <c r="FZY2467" s="63"/>
      <c r="FZZ2467" s="61"/>
      <c r="GAA2467" s="54"/>
      <c r="GAB2467" s="54"/>
      <c r="GAC2467" s="60"/>
      <c r="GAD2467" s="60"/>
      <c r="GAE2467" s="60"/>
      <c r="GAF2467" s="60"/>
      <c r="GAG2467" s="63"/>
      <c r="GAH2467" s="61"/>
      <c r="GAI2467" s="54"/>
      <c r="GAJ2467" s="54"/>
      <c r="GAK2467" s="60"/>
      <c r="GAL2467" s="60"/>
      <c r="GAM2467" s="60"/>
      <c r="GAN2467" s="60"/>
      <c r="GAO2467" s="63"/>
      <c r="GAP2467" s="61"/>
      <c r="GAQ2467" s="54"/>
      <c r="GAR2467" s="54"/>
      <c r="GAS2467" s="60"/>
      <c r="GAT2467" s="60"/>
      <c r="GAU2467" s="60"/>
      <c r="GAV2467" s="60"/>
      <c r="GAW2467" s="63"/>
      <c r="GAX2467" s="61"/>
      <c r="GAY2467" s="54"/>
      <c r="GAZ2467" s="54"/>
      <c r="GBA2467" s="60"/>
      <c r="GBB2467" s="60"/>
      <c r="GBC2467" s="60"/>
      <c r="GBD2467" s="60"/>
      <c r="GBE2467" s="63"/>
      <c r="GBF2467" s="61"/>
      <c r="GBG2467" s="54"/>
      <c r="GBH2467" s="54"/>
      <c r="GBI2467" s="60"/>
      <c r="GBJ2467" s="60"/>
      <c r="GBK2467" s="60"/>
      <c r="GBL2467" s="60"/>
      <c r="GBM2467" s="63"/>
      <c r="GBN2467" s="61"/>
      <c r="GBO2467" s="54"/>
      <c r="GBP2467" s="54"/>
      <c r="GBQ2467" s="60"/>
      <c r="GBR2467" s="60"/>
      <c r="GBS2467" s="60"/>
      <c r="GBT2467" s="60"/>
      <c r="GBU2467" s="63"/>
      <c r="GBV2467" s="61"/>
      <c r="GBW2467" s="54"/>
      <c r="GBX2467" s="54"/>
      <c r="GBY2467" s="60"/>
      <c r="GBZ2467" s="60"/>
      <c r="GCA2467" s="60"/>
      <c r="GCB2467" s="60"/>
      <c r="GCC2467" s="63"/>
      <c r="GCD2467" s="61"/>
      <c r="GCE2467" s="54"/>
      <c r="GCF2467" s="54"/>
      <c r="GCG2467" s="60"/>
      <c r="GCH2467" s="60"/>
      <c r="GCI2467" s="60"/>
      <c r="GCJ2467" s="60"/>
      <c r="GCK2467" s="63"/>
      <c r="GCL2467" s="61"/>
      <c r="GCM2467" s="54"/>
      <c r="GCN2467" s="54"/>
      <c r="GCO2467" s="60"/>
      <c r="GCP2467" s="60"/>
      <c r="GCQ2467" s="60"/>
      <c r="GCR2467" s="60"/>
      <c r="GCS2467" s="63"/>
      <c r="GCT2467" s="61"/>
      <c r="GCU2467" s="54"/>
      <c r="GCV2467" s="54"/>
      <c r="GCW2467" s="60"/>
      <c r="GCX2467" s="60"/>
      <c r="GCY2467" s="60"/>
      <c r="GCZ2467" s="60"/>
      <c r="GDA2467" s="63"/>
      <c r="GDB2467" s="61"/>
      <c r="GDC2467" s="54"/>
      <c r="GDD2467" s="54"/>
      <c r="GDE2467" s="60"/>
      <c r="GDF2467" s="60"/>
      <c r="GDG2467" s="60"/>
      <c r="GDH2467" s="60"/>
      <c r="GDI2467" s="63"/>
      <c r="GDJ2467" s="61"/>
      <c r="GDK2467" s="54"/>
      <c r="GDL2467" s="54"/>
      <c r="GDM2467" s="60"/>
      <c r="GDN2467" s="60"/>
      <c r="GDO2467" s="60"/>
      <c r="GDP2467" s="60"/>
      <c r="GDQ2467" s="63"/>
      <c r="GDR2467" s="61"/>
      <c r="GDS2467" s="54"/>
      <c r="GDT2467" s="54"/>
      <c r="GDU2467" s="60"/>
      <c r="GDV2467" s="60"/>
      <c r="GDW2467" s="60"/>
      <c r="GDX2467" s="60"/>
      <c r="GDY2467" s="63"/>
      <c r="GDZ2467" s="61"/>
      <c r="GEA2467" s="54"/>
      <c r="GEB2467" s="54"/>
      <c r="GEC2467" s="60"/>
      <c r="GED2467" s="60"/>
      <c r="GEE2467" s="60"/>
      <c r="GEF2467" s="60"/>
      <c r="GEG2467" s="63"/>
      <c r="GEH2467" s="61"/>
      <c r="GEI2467" s="54"/>
      <c r="GEJ2467" s="54"/>
      <c r="GEK2467" s="60"/>
      <c r="GEL2467" s="60"/>
      <c r="GEM2467" s="60"/>
      <c r="GEN2467" s="60"/>
      <c r="GEO2467" s="63"/>
      <c r="GEP2467" s="61"/>
      <c r="GEQ2467" s="54"/>
      <c r="GER2467" s="54"/>
      <c r="GES2467" s="60"/>
      <c r="GET2467" s="60"/>
      <c r="GEU2467" s="60"/>
      <c r="GEV2467" s="60"/>
      <c r="GEW2467" s="63"/>
      <c r="GEX2467" s="61"/>
      <c r="GEY2467" s="54"/>
      <c r="GEZ2467" s="54"/>
      <c r="GFA2467" s="60"/>
      <c r="GFB2467" s="60"/>
      <c r="GFC2467" s="60"/>
      <c r="GFD2467" s="60"/>
      <c r="GFE2467" s="63"/>
      <c r="GFF2467" s="61"/>
      <c r="GFG2467" s="54"/>
      <c r="GFH2467" s="54"/>
      <c r="GFI2467" s="60"/>
      <c r="GFJ2467" s="60"/>
      <c r="GFK2467" s="60"/>
      <c r="GFL2467" s="60"/>
      <c r="GFM2467" s="63"/>
      <c r="GFN2467" s="61"/>
      <c r="GFO2467" s="54"/>
      <c r="GFP2467" s="54"/>
      <c r="GFQ2467" s="60"/>
      <c r="GFR2467" s="60"/>
      <c r="GFS2467" s="60"/>
      <c r="GFT2467" s="60"/>
      <c r="GFU2467" s="63"/>
      <c r="GFV2467" s="61"/>
      <c r="GFW2467" s="54"/>
      <c r="GFX2467" s="54"/>
      <c r="GFY2467" s="60"/>
      <c r="GFZ2467" s="60"/>
      <c r="GGA2467" s="60"/>
      <c r="GGB2467" s="60"/>
      <c r="GGC2467" s="63"/>
      <c r="GGD2467" s="61"/>
      <c r="GGE2467" s="54"/>
      <c r="GGF2467" s="54"/>
      <c r="GGG2467" s="60"/>
      <c r="GGH2467" s="60"/>
      <c r="GGI2467" s="60"/>
      <c r="GGJ2467" s="60"/>
      <c r="GGK2467" s="63"/>
      <c r="GGL2467" s="61"/>
      <c r="GGM2467" s="54"/>
      <c r="GGN2467" s="54"/>
      <c r="GGO2467" s="60"/>
      <c r="GGP2467" s="60"/>
      <c r="GGQ2467" s="60"/>
      <c r="GGR2467" s="60"/>
      <c r="GGS2467" s="63"/>
      <c r="GGT2467" s="61"/>
      <c r="GGU2467" s="54"/>
      <c r="GGV2467" s="54"/>
      <c r="GGW2467" s="60"/>
      <c r="GGX2467" s="60"/>
      <c r="GGY2467" s="60"/>
      <c r="GGZ2467" s="60"/>
      <c r="GHA2467" s="63"/>
      <c r="GHB2467" s="61"/>
      <c r="GHC2467" s="54"/>
      <c r="GHD2467" s="54"/>
      <c r="GHE2467" s="60"/>
      <c r="GHF2467" s="60"/>
      <c r="GHG2467" s="60"/>
      <c r="GHH2467" s="60"/>
      <c r="GHI2467" s="63"/>
      <c r="GHJ2467" s="61"/>
      <c r="GHK2467" s="54"/>
      <c r="GHL2467" s="54"/>
      <c r="GHM2467" s="60"/>
      <c r="GHN2467" s="60"/>
      <c r="GHO2467" s="60"/>
      <c r="GHP2467" s="60"/>
      <c r="GHQ2467" s="63"/>
      <c r="GHR2467" s="61"/>
      <c r="GHS2467" s="54"/>
      <c r="GHT2467" s="54"/>
      <c r="GHU2467" s="60"/>
      <c r="GHV2467" s="60"/>
      <c r="GHW2467" s="60"/>
      <c r="GHX2467" s="60"/>
      <c r="GHY2467" s="63"/>
      <c r="GHZ2467" s="61"/>
      <c r="GIA2467" s="54"/>
      <c r="GIB2467" s="54"/>
      <c r="GIC2467" s="60"/>
      <c r="GID2467" s="60"/>
      <c r="GIE2467" s="60"/>
      <c r="GIF2467" s="60"/>
      <c r="GIG2467" s="63"/>
      <c r="GIH2467" s="61"/>
      <c r="GII2467" s="54"/>
      <c r="GIJ2467" s="54"/>
      <c r="GIK2467" s="60"/>
      <c r="GIL2467" s="60"/>
      <c r="GIM2467" s="60"/>
      <c r="GIN2467" s="60"/>
      <c r="GIO2467" s="63"/>
      <c r="GIP2467" s="61"/>
      <c r="GIQ2467" s="54"/>
      <c r="GIR2467" s="54"/>
      <c r="GIS2467" s="60"/>
      <c r="GIT2467" s="60"/>
      <c r="GIU2467" s="60"/>
      <c r="GIV2467" s="60"/>
      <c r="GIW2467" s="63"/>
      <c r="GIX2467" s="61"/>
      <c r="GIY2467" s="54"/>
      <c r="GIZ2467" s="54"/>
      <c r="GJA2467" s="60"/>
      <c r="GJB2467" s="60"/>
      <c r="GJC2467" s="60"/>
      <c r="GJD2467" s="60"/>
      <c r="GJE2467" s="63"/>
      <c r="GJF2467" s="61"/>
      <c r="GJG2467" s="54"/>
      <c r="GJH2467" s="54"/>
      <c r="GJI2467" s="60"/>
      <c r="GJJ2467" s="60"/>
      <c r="GJK2467" s="60"/>
      <c r="GJL2467" s="60"/>
      <c r="GJM2467" s="63"/>
      <c r="GJN2467" s="61"/>
      <c r="GJO2467" s="54"/>
      <c r="GJP2467" s="54"/>
      <c r="GJQ2467" s="60"/>
      <c r="GJR2467" s="60"/>
      <c r="GJS2467" s="60"/>
      <c r="GJT2467" s="60"/>
      <c r="GJU2467" s="63"/>
      <c r="GJV2467" s="61"/>
      <c r="GJW2467" s="54"/>
      <c r="GJX2467" s="54"/>
      <c r="GJY2467" s="60"/>
      <c r="GJZ2467" s="60"/>
      <c r="GKA2467" s="60"/>
      <c r="GKB2467" s="60"/>
      <c r="GKC2467" s="63"/>
      <c r="GKD2467" s="61"/>
      <c r="GKE2467" s="54"/>
      <c r="GKF2467" s="54"/>
      <c r="GKG2467" s="60"/>
      <c r="GKH2467" s="60"/>
      <c r="GKI2467" s="60"/>
      <c r="GKJ2467" s="60"/>
      <c r="GKK2467" s="63"/>
      <c r="GKL2467" s="61"/>
      <c r="GKM2467" s="54"/>
      <c r="GKN2467" s="54"/>
      <c r="GKO2467" s="60"/>
      <c r="GKP2467" s="60"/>
      <c r="GKQ2467" s="60"/>
      <c r="GKR2467" s="60"/>
      <c r="GKS2467" s="63"/>
      <c r="GKT2467" s="61"/>
      <c r="GKU2467" s="54"/>
      <c r="GKV2467" s="54"/>
      <c r="GKW2467" s="60"/>
      <c r="GKX2467" s="60"/>
      <c r="GKY2467" s="60"/>
      <c r="GKZ2467" s="60"/>
      <c r="GLA2467" s="63"/>
      <c r="GLB2467" s="61"/>
      <c r="GLC2467" s="54"/>
      <c r="GLD2467" s="54"/>
      <c r="GLE2467" s="60"/>
      <c r="GLF2467" s="60"/>
      <c r="GLG2467" s="60"/>
      <c r="GLH2467" s="60"/>
      <c r="GLI2467" s="63"/>
      <c r="GLJ2467" s="61"/>
      <c r="GLK2467" s="54"/>
      <c r="GLL2467" s="54"/>
      <c r="GLM2467" s="60"/>
      <c r="GLN2467" s="60"/>
      <c r="GLO2467" s="60"/>
      <c r="GLP2467" s="60"/>
      <c r="GLQ2467" s="63"/>
      <c r="GLR2467" s="61"/>
      <c r="GLS2467" s="54"/>
      <c r="GLT2467" s="54"/>
      <c r="GLU2467" s="60"/>
      <c r="GLV2467" s="60"/>
      <c r="GLW2467" s="60"/>
      <c r="GLX2467" s="60"/>
      <c r="GLY2467" s="63"/>
      <c r="GLZ2467" s="61"/>
      <c r="GMA2467" s="54"/>
      <c r="GMB2467" s="54"/>
      <c r="GMC2467" s="60"/>
      <c r="GMD2467" s="60"/>
      <c r="GME2467" s="60"/>
      <c r="GMF2467" s="60"/>
      <c r="GMG2467" s="63"/>
      <c r="GMH2467" s="61"/>
      <c r="GMI2467" s="54"/>
      <c r="GMJ2467" s="54"/>
      <c r="GMK2467" s="60"/>
      <c r="GML2467" s="60"/>
      <c r="GMM2467" s="60"/>
      <c r="GMN2467" s="60"/>
      <c r="GMO2467" s="63"/>
      <c r="GMP2467" s="61"/>
      <c r="GMQ2467" s="54"/>
      <c r="GMR2467" s="54"/>
      <c r="GMS2467" s="60"/>
      <c r="GMT2467" s="60"/>
      <c r="GMU2467" s="60"/>
      <c r="GMV2467" s="60"/>
      <c r="GMW2467" s="63"/>
      <c r="GMX2467" s="61"/>
      <c r="GMY2467" s="54"/>
      <c r="GMZ2467" s="54"/>
      <c r="GNA2467" s="60"/>
      <c r="GNB2467" s="60"/>
      <c r="GNC2467" s="60"/>
      <c r="GND2467" s="60"/>
      <c r="GNE2467" s="63"/>
      <c r="GNF2467" s="61"/>
      <c r="GNG2467" s="54"/>
      <c r="GNH2467" s="54"/>
      <c r="GNI2467" s="60"/>
      <c r="GNJ2467" s="60"/>
      <c r="GNK2467" s="60"/>
      <c r="GNL2467" s="60"/>
      <c r="GNM2467" s="63"/>
      <c r="GNN2467" s="61"/>
      <c r="GNO2467" s="54"/>
      <c r="GNP2467" s="54"/>
      <c r="GNQ2467" s="60"/>
      <c r="GNR2467" s="60"/>
      <c r="GNS2467" s="60"/>
      <c r="GNT2467" s="60"/>
      <c r="GNU2467" s="63"/>
      <c r="GNV2467" s="61"/>
      <c r="GNW2467" s="54"/>
      <c r="GNX2467" s="54"/>
      <c r="GNY2467" s="60"/>
      <c r="GNZ2467" s="60"/>
      <c r="GOA2467" s="60"/>
      <c r="GOB2467" s="60"/>
      <c r="GOC2467" s="63"/>
      <c r="GOD2467" s="61"/>
      <c r="GOE2467" s="54"/>
      <c r="GOF2467" s="54"/>
      <c r="GOG2467" s="60"/>
      <c r="GOH2467" s="60"/>
      <c r="GOI2467" s="60"/>
      <c r="GOJ2467" s="60"/>
      <c r="GOK2467" s="63"/>
      <c r="GOL2467" s="61"/>
      <c r="GOM2467" s="54"/>
      <c r="GON2467" s="54"/>
      <c r="GOO2467" s="60"/>
      <c r="GOP2467" s="60"/>
      <c r="GOQ2467" s="60"/>
      <c r="GOR2467" s="60"/>
      <c r="GOS2467" s="63"/>
      <c r="GOT2467" s="61"/>
      <c r="GOU2467" s="54"/>
      <c r="GOV2467" s="54"/>
      <c r="GOW2467" s="60"/>
      <c r="GOX2467" s="60"/>
      <c r="GOY2467" s="60"/>
      <c r="GOZ2467" s="60"/>
      <c r="GPA2467" s="63"/>
      <c r="GPB2467" s="61"/>
      <c r="GPC2467" s="54"/>
      <c r="GPD2467" s="54"/>
      <c r="GPE2467" s="60"/>
      <c r="GPF2467" s="60"/>
      <c r="GPG2467" s="60"/>
      <c r="GPH2467" s="60"/>
      <c r="GPI2467" s="63"/>
      <c r="GPJ2467" s="61"/>
      <c r="GPK2467" s="54"/>
      <c r="GPL2467" s="54"/>
      <c r="GPM2467" s="60"/>
      <c r="GPN2467" s="60"/>
      <c r="GPO2467" s="60"/>
      <c r="GPP2467" s="60"/>
      <c r="GPQ2467" s="63"/>
      <c r="GPR2467" s="61"/>
      <c r="GPS2467" s="54"/>
      <c r="GPT2467" s="54"/>
      <c r="GPU2467" s="60"/>
      <c r="GPV2467" s="60"/>
      <c r="GPW2467" s="60"/>
      <c r="GPX2467" s="60"/>
      <c r="GPY2467" s="63"/>
      <c r="GPZ2467" s="61"/>
      <c r="GQA2467" s="54"/>
      <c r="GQB2467" s="54"/>
      <c r="GQC2467" s="60"/>
      <c r="GQD2467" s="60"/>
      <c r="GQE2467" s="60"/>
      <c r="GQF2467" s="60"/>
      <c r="GQG2467" s="63"/>
      <c r="GQH2467" s="61"/>
      <c r="GQI2467" s="54"/>
      <c r="GQJ2467" s="54"/>
      <c r="GQK2467" s="60"/>
      <c r="GQL2467" s="60"/>
      <c r="GQM2467" s="60"/>
      <c r="GQN2467" s="60"/>
      <c r="GQO2467" s="63"/>
      <c r="GQP2467" s="61"/>
      <c r="GQQ2467" s="54"/>
      <c r="GQR2467" s="54"/>
      <c r="GQS2467" s="60"/>
      <c r="GQT2467" s="60"/>
      <c r="GQU2467" s="60"/>
      <c r="GQV2467" s="60"/>
      <c r="GQW2467" s="63"/>
      <c r="GQX2467" s="61"/>
      <c r="GQY2467" s="54"/>
      <c r="GQZ2467" s="54"/>
      <c r="GRA2467" s="60"/>
      <c r="GRB2467" s="60"/>
      <c r="GRC2467" s="60"/>
      <c r="GRD2467" s="60"/>
      <c r="GRE2467" s="63"/>
      <c r="GRF2467" s="61"/>
      <c r="GRG2467" s="54"/>
      <c r="GRH2467" s="54"/>
      <c r="GRI2467" s="60"/>
      <c r="GRJ2467" s="60"/>
      <c r="GRK2467" s="60"/>
      <c r="GRL2467" s="60"/>
      <c r="GRM2467" s="63"/>
      <c r="GRN2467" s="61"/>
      <c r="GRO2467" s="54"/>
      <c r="GRP2467" s="54"/>
      <c r="GRQ2467" s="60"/>
      <c r="GRR2467" s="60"/>
      <c r="GRS2467" s="60"/>
      <c r="GRT2467" s="60"/>
      <c r="GRU2467" s="63"/>
      <c r="GRV2467" s="61"/>
      <c r="GRW2467" s="54"/>
      <c r="GRX2467" s="54"/>
      <c r="GRY2467" s="60"/>
      <c r="GRZ2467" s="60"/>
      <c r="GSA2467" s="60"/>
      <c r="GSB2467" s="60"/>
      <c r="GSC2467" s="63"/>
      <c r="GSD2467" s="61"/>
      <c r="GSE2467" s="54"/>
      <c r="GSF2467" s="54"/>
      <c r="GSG2467" s="60"/>
      <c r="GSH2467" s="60"/>
      <c r="GSI2467" s="60"/>
      <c r="GSJ2467" s="60"/>
      <c r="GSK2467" s="63"/>
      <c r="GSL2467" s="61"/>
      <c r="GSM2467" s="54"/>
      <c r="GSN2467" s="54"/>
      <c r="GSO2467" s="60"/>
      <c r="GSP2467" s="60"/>
      <c r="GSQ2467" s="60"/>
      <c r="GSR2467" s="60"/>
      <c r="GSS2467" s="63"/>
      <c r="GST2467" s="61"/>
      <c r="GSU2467" s="54"/>
      <c r="GSV2467" s="54"/>
      <c r="GSW2467" s="60"/>
      <c r="GSX2467" s="60"/>
      <c r="GSY2467" s="60"/>
      <c r="GSZ2467" s="60"/>
      <c r="GTA2467" s="63"/>
      <c r="GTB2467" s="61"/>
      <c r="GTC2467" s="54"/>
      <c r="GTD2467" s="54"/>
      <c r="GTE2467" s="60"/>
      <c r="GTF2467" s="60"/>
      <c r="GTG2467" s="60"/>
      <c r="GTH2467" s="60"/>
      <c r="GTI2467" s="63"/>
      <c r="GTJ2467" s="61"/>
      <c r="GTK2467" s="54"/>
      <c r="GTL2467" s="54"/>
      <c r="GTM2467" s="60"/>
      <c r="GTN2467" s="60"/>
      <c r="GTO2467" s="60"/>
      <c r="GTP2467" s="60"/>
      <c r="GTQ2467" s="63"/>
      <c r="GTR2467" s="61"/>
      <c r="GTS2467" s="54"/>
      <c r="GTT2467" s="54"/>
      <c r="GTU2467" s="60"/>
      <c r="GTV2467" s="60"/>
      <c r="GTW2467" s="60"/>
      <c r="GTX2467" s="60"/>
      <c r="GTY2467" s="63"/>
      <c r="GTZ2467" s="61"/>
      <c r="GUA2467" s="54"/>
      <c r="GUB2467" s="54"/>
      <c r="GUC2467" s="60"/>
      <c r="GUD2467" s="60"/>
      <c r="GUE2467" s="60"/>
      <c r="GUF2467" s="60"/>
      <c r="GUG2467" s="63"/>
      <c r="GUH2467" s="61"/>
      <c r="GUI2467" s="54"/>
      <c r="GUJ2467" s="54"/>
      <c r="GUK2467" s="60"/>
      <c r="GUL2467" s="60"/>
      <c r="GUM2467" s="60"/>
      <c r="GUN2467" s="60"/>
      <c r="GUO2467" s="63"/>
      <c r="GUP2467" s="61"/>
      <c r="GUQ2467" s="54"/>
      <c r="GUR2467" s="54"/>
      <c r="GUS2467" s="60"/>
      <c r="GUT2467" s="60"/>
      <c r="GUU2467" s="60"/>
      <c r="GUV2467" s="60"/>
      <c r="GUW2467" s="63"/>
      <c r="GUX2467" s="61"/>
      <c r="GUY2467" s="54"/>
      <c r="GUZ2467" s="54"/>
      <c r="GVA2467" s="60"/>
      <c r="GVB2467" s="60"/>
      <c r="GVC2467" s="60"/>
      <c r="GVD2467" s="60"/>
      <c r="GVE2467" s="63"/>
      <c r="GVF2467" s="61"/>
      <c r="GVG2467" s="54"/>
      <c r="GVH2467" s="54"/>
      <c r="GVI2467" s="60"/>
      <c r="GVJ2467" s="60"/>
      <c r="GVK2467" s="60"/>
      <c r="GVL2467" s="60"/>
      <c r="GVM2467" s="63"/>
      <c r="GVN2467" s="61"/>
      <c r="GVO2467" s="54"/>
      <c r="GVP2467" s="54"/>
      <c r="GVQ2467" s="60"/>
      <c r="GVR2467" s="60"/>
      <c r="GVS2467" s="60"/>
      <c r="GVT2467" s="60"/>
      <c r="GVU2467" s="63"/>
      <c r="GVV2467" s="61"/>
      <c r="GVW2467" s="54"/>
      <c r="GVX2467" s="54"/>
      <c r="GVY2467" s="60"/>
      <c r="GVZ2467" s="60"/>
      <c r="GWA2467" s="60"/>
      <c r="GWB2467" s="60"/>
      <c r="GWC2467" s="63"/>
      <c r="GWD2467" s="61"/>
      <c r="GWE2467" s="54"/>
      <c r="GWF2467" s="54"/>
      <c r="GWG2467" s="60"/>
      <c r="GWH2467" s="60"/>
      <c r="GWI2467" s="60"/>
      <c r="GWJ2467" s="60"/>
      <c r="GWK2467" s="63"/>
      <c r="GWL2467" s="61"/>
      <c r="GWM2467" s="54"/>
      <c r="GWN2467" s="54"/>
      <c r="GWO2467" s="60"/>
      <c r="GWP2467" s="60"/>
      <c r="GWQ2467" s="60"/>
      <c r="GWR2467" s="60"/>
      <c r="GWS2467" s="63"/>
      <c r="GWT2467" s="61"/>
      <c r="GWU2467" s="54"/>
      <c r="GWV2467" s="54"/>
      <c r="GWW2467" s="60"/>
      <c r="GWX2467" s="60"/>
      <c r="GWY2467" s="60"/>
      <c r="GWZ2467" s="60"/>
      <c r="GXA2467" s="63"/>
      <c r="GXB2467" s="61"/>
      <c r="GXC2467" s="54"/>
      <c r="GXD2467" s="54"/>
      <c r="GXE2467" s="60"/>
      <c r="GXF2467" s="60"/>
      <c r="GXG2467" s="60"/>
      <c r="GXH2467" s="60"/>
      <c r="GXI2467" s="63"/>
      <c r="GXJ2467" s="61"/>
      <c r="GXK2467" s="54"/>
      <c r="GXL2467" s="54"/>
      <c r="GXM2467" s="60"/>
      <c r="GXN2467" s="60"/>
      <c r="GXO2467" s="60"/>
      <c r="GXP2467" s="60"/>
      <c r="GXQ2467" s="63"/>
      <c r="GXR2467" s="61"/>
      <c r="GXS2467" s="54"/>
      <c r="GXT2467" s="54"/>
      <c r="GXU2467" s="60"/>
      <c r="GXV2467" s="60"/>
      <c r="GXW2467" s="60"/>
      <c r="GXX2467" s="60"/>
      <c r="GXY2467" s="63"/>
      <c r="GXZ2467" s="61"/>
      <c r="GYA2467" s="54"/>
      <c r="GYB2467" s="54"/>
      <c r="GYC2467" s="60"/>
      <c r="GYD2467" s="60"/>
      <c r="GYE2467" s="60"/>
      <c r="GYF2467" s="60"/>
      <c r="GYG2467" s="63"/>
      <c r="GYH2467" s="61"/>
      <c r="GYI2467" s="54"/>
      <c r="GYJ2467" s="54"/>
      <c r="GYK2467" s="60"/>
      <c r="GYL2467" s="60"/>
      <c r="GYM2467" s="60"/>
      <c r="GYN2467" s="60"/>
      <c r="GYO2467" s="63"/>
      <c r="GYP2467" s="61"/>
      <c r="GYQ2467" s="54"/>
      <c r="GYR2467" s="54"/>
      <c r="GYS2467" s="60"/>
      <c r="GYT2467" s="60"/>
      <c r="GYU2467" s="60"/>
      <c r="GYV2467" s="60"/>
      <c r="GYW2467" s="63"/>
      <c r="GYX2467" s="61"/>
      <c r="GYY2467" s="54"/>
      <c r="GYZ2467" s="54"/>
      <c r="GZA2467" s="60"/>
      <c r="GZB2467" s="60"/>
      <c r="GZC2467" s="60"/>
      <c r="GZD2467" s="60"/>
      <c r="GZE2467" s="63"/>
      <c r="GZF2467" s="61"/>
      <c r="GZG2467" s="54"/>
      <c r="GZH2467" s="54"/>
      <c r="GZI2467" s="60"/>
      <c r="GZJ2467" s="60"/>
      <c r="GZK2467" s="60"/>
      <c r="GZL2467" s="60"/>
      <c r="GZM2467" s="63"/>
      <c r="GZN2467" s="61"/>
      <c r="GZO2467" s="54"/>
      <c r="GZP2467" s="54"/>
      <c r="GZQ2467" s="60"/>
      <c r="GZR2467" s="60"/>
      <c r="GZS2467" s="60"/>
      <c r="GZT2467" s="60"/>
      <c r="GZU2467" s="63"/>
      <c r="GZV2467" s="61"/>
      <c r="GZW2467" s="54"/>
      <c r="GZX2467" s="54"/>
      <c r="GZY2467" s="60"/>
      <c r="GZZ2467" s="60"/>
      <c r="HAA2467" s="60"/>
      <c r="HAB2467" s="60"/>
      <c r="HAC2467" s="63"/>
      <c r="HAD2467" s="61"/>
      <c r="HAE2467" s="54"/>
      <c r="HAF2467" s="54"/>
      <c r="HAG2467" s="60"/>
      <c r="HAH2467" s="60"/>
      <c r="HAI2467" s="60"/>
      <c r="HAJ2467" s="60"/>
      <c r="HAK2467" s="63"/>
      <c r="HAL2467" s="61"/>
      <c r="HAM2467" s="54"/>
      <c r="HAN2467" s="54"/>
      <c r="HAO2467" s="60"/>
      <c r="HAP2467" s="60"/>
      <c r="HAQ2467" s="60"/>
      <c r="HAR2467" s="60"/>
      <c r="HAS2467" s="63"/>
      <c r="HAT2467" s="61"/>
      <c r="HAU2467" s="54"/>
      <c r="HAV2467" s="54"/>
      <c r="HAW2467" s="60"/>
      <c r="HAX2467" s="60"/>
      <c r="HAY2467" s="60"/>
      <c r="HAZ2467" s="60"/>
      <c r="HBA2467" s="63"/>
      <c r="HBB2467" s="61"/>
      <c r="HBC2467" s="54"/>
      <c r="HBD2467" s="54"/>
      <c r="HBE2467" s="60"/>
      <c r="HBF2467" s="60"/>
      <c r="HBG2467" s="60"/>
      <c r="HBH2467" s="60"/>
      <c r="HBI2467" s="63"/>
      <c r="HBJ2467" s="61"/>
      <c r="HBK2467" s="54"/>
      <c r="HBL2467" s="54"/>
      <c r="HBM2467" s="60"/>
      <c r="HBN2467" s="60"/>
      <c r="HBO2467" s="60"/>
      <c r="HBP2467" s="60"/>
      <c r="HBQ2467" s="63"/>
      <c r="HBR2467" s="61"/>
      <c r="HBS2467" s="54"/>
      <c r="HBT2467" s="54"/>
      <c r="HBU2467" s="60"/>
      <c r="HBV2467" s="60"/>
      <c r="HBW2467" s="60"/>
      <c r="HBX2467" s="60"/>
      <c r="HBY2467" s="63"/>
      <c r="HBZ2467" s="61"/>
      <c r="HCA2467" s="54"/>
      <c r="HCB2467" s="54"/>
      <c r="HCC2467" s="60"/>
      <c r="HCD2467" s="60"/>
      <c r="HCE2467" s="60"/>
      <c r="HCF2467" s="60"/>
      <c r="HCG2467" s="63"/>
      <c r="HCH2467" s="61"/>
      <c r="HCI2467" s="54"/>
      <c r="HCJ2467" s="54"/>
      <c r="HCK2467" s="60"/>
      <c r="HCL2467" s="60"/>
      <c r="HCM2467" s="60"/>
      <c r="HCN2467" s="60"/>
      <c r="HCO2467" s="63"/>
      <c r="HCP2467" s="61"/>
      <c r="HCQ2467" s="54"/>
      <c r="HCR2467" s="54"/>
      <c r="HCS2467" s="60"/>
      <c r="HCT2467" s="60"/>
      <c r="HCU2467" s="60"/>
      <c r="HCV2467" s="60"/>
      <c r="HCW2467" s="63"/>
      <c r="HCX2467" s="61"/>
      <c r="HCY2467" s="54"/>
      <c r="HCZ2467" s="54"/>
      <c r="HDA2467" s="60"/>
      <c r="HDB2467" s="60"/>
      <c r="HDC2467" s="60"/>
      <c r="HDD2467" s="60"/>
      <c r="HDE2467" s="63"/>
      <c r="HDF2467" s="61"/>
      <c r="HDG2467" s="54"/>
      <c r="HDH2467" s="54"/>
      <c r="HDI2467" s="60"/>
      <c r="HDJ2467" s="60"/>
      <c r="HDK2467" s="60"/>
      <c r="HDL2467" s="60"/>
      <c r="HDM2467" s="63"/>
      <c r="HDN2467" s="61"/>
      <c r="HDO2467" s="54"/>
      <c r="HDP2467" s="54"/>
      <c r="HDQ2467" s="60"/>
      <c r="HDR2467" s="60"/>
      <c r="HDS2467" s="60"/>
      <c r="HDT2467" s="60"/>
      <c r="HDU2467" s="63"/>
      <c r="HDV2467" s="61"/>
      <c r="HDW2467" s="54"/>
      <c r="HDX2467" s="54"/>
      <c r="HDY2467" s="60"/>
      <c r="HDZ2467" s="60"/>
      <c r="HEA2467" s="60"/>
      <c r="HEB2467" s="60"/>
      <c r="HEC2467" s="63"/>
      <c r="HED2467" s="61"/>
      <c r="HEE2467" s="54"/>
      <c r="HEF2467" s="54"/>
      <c r="HEG2467" s="60"/>
      <c r="HEH2467" s="60"/>
      <c r="HEI2467" s="60"/>
      <c r="HEJ2467" s="60"/>
      <c r="HEK2467" s="63"/>
      <c r="HEL2467" s="61"/>
      <c r="HEM2467" s="54"/>
      <c r="HEN2467" s="54"/>
      <c r="HEO2467" s="60"/>
      <c r="HEP2467" s="60"/>
      <c r="HEQ2467" s="60"/>
      <c r="HER2467" s="60"/>
      <c r="HES2467" s="63"/>
      <c r="HET2467" s="61"/>
      <c r="HEU2467" s="54"/>
      <c r="HEV2467" s="54"/>
      <c r="HEW2467" s="60"/>
      <c r="HEX2467" s="60"/>
      <c r="HEY2467" s="60"/>
      <c r="HEZ2467" s="60"/>
      <c r="HFA2467" s="63"/>
      <c r="HFB2467" s="61"/>
      <c r="HFC2467" s="54"/>
      <c r="HFD2467" s="54"/>
      <c r="HFE2467" s="60"/>
      <c r="HFF2467" s="60"/>
      <c r="HFG2467" s="60"/>
      <c r="HFH2467" s="60"/>
      <c r="HFI2467" s="63"/>
      <c r="HFJ2467" s="61"/>
      <c r="HFK2467" s="54"/>
      <c r="HFL2467" s="54"/>
      <c r="HFM2467" s="60"/>
      <c r="HFN2467" s="60"/>
      <c r="HFO2467" s="60"/>
      <c r="HFP2467" s="60"/>
      <c r="HFQ2467" s="63"/>
      <c r="HFR2467" s="61"/>
      <c r="HFS2467" s="54"/>
      <c r="HFT2467" s="54"/>
      <c r="HFU2467" s="60"/>
      <c r="HFV2467" s="60"/>
      <c r="HFW2467" s="60"/>
      <c r="HFX2467" s="60"/>
      <c r="HFY2467" s="63"/>
      <c r="HFZ2467" s="61"/>
      <c r="HGA2467" s="54"/>
      <c r="HGB2467" s="54"/>
      <c r="HGC2467" s="60"/>
      <c r="HGD2467" s="60"/>
      <c r="HGE2467" s="60"/>
      <c r="HGF2467" s="60"/>
      <c r="HGG2467" s="63"/>
      <c r="HGH2467" s="61"/>
      <c r="HGI2467" s="54"/>
      <c r="HGJ2467" s="54"/>
      <c r="HGK2467" s="60"/>
      <c r="HGL2467" s="60"/>
      <c r="HGM2467" s="60"/>
      <c r="HGN2467" s="60"/>
      <c r="HGO2467" s="63"/>
      <c r="HGP2467" s="61"/>
      <c r="HGQ2467" s="54"/>
      <c r="HGR2467" s="54"/>
      <c r="HGS2467" s="60"/>
      <c r="HGT2467" s="60"/>
      <c r="HGU2467" s="60"/>
      <c r="HGV2467" s="60"/>
      <c r="HGW2467" s="63"/>
      <c r="HGX2467" s="61"/>
      <c r="HGY2467" s="54"/>
      <c r="HGZ2467" s="54"/>
      <c r="HHA2467" s="60"/>
      <c r="HHB2467" s="60"/>
      <c r="HHC2467" s="60"/>
      <c r="HHD2467" s="60"/>
      <c r="HHE2467" s="63"/>
      <c r="HHF2467" s="61"/>
      <c r="HHG2467" s="54"/>
      <c r="HHH2467" s="54"/>
      <c r="HHI2467" s="60"/>
      <c r="HHJ2467" s="60"/>
      <c r="HHK2467" s="60"/>
      <c r="HHL2467" s="60"/>
      <c r="HHM2467" s="63"/>
      <c r="HHN2467" s="61"/>
      <c r="HHO2467" s="54"/>
      <c r="HHP2467" s="54"/>
      <c r="HHQ2467" s="60"/>
      <c r="HHR2467" s="60"/>
      <c r="HHS2467" s="60"/>
      <c r="HHT2467" s="60"/>
      <c r="HHU2467" s="63"/>
      <c r="HHV2467" s="61"/>
      <c r="HHW2467" s="54"/>
      <c r="HHX2467" s="54"/>
      <c r="HHY2467" s="60"/>
      <c r="HHZ2467" s="60"/>
      <c r="HIA2467" s="60"/>
      <c r="HIB2467" s="60"/>
      <c r="HIC2467" s="63"/>
      <c r="HID2467" s="61"/>
      <c r="HIE2467" s="54"/>
      <c r="HIF2467" s="54"/>
      <c r="HIG2467" s="60"/>
      <c r="HIH2467" s="60"/>
      <c r="HII2467" s="60"/>
      <c r="HIJ2467" s="60"/>
      <c r="HIK2467" s="63"/>
      <c r="HIL2467" s="61"/>
      <c r="HIM2467" s="54"/>
      <c r="HIN2467" s="54"/>
      <c r="HIO2467" s="60"/>
      <c r="HIP2467" s="60"/>
      <c r="HIQ2467" s="60"/>
      <c r="HIR2467" s="60"/>
      <c r="HIS2467" s="63"/>
      <c r="HIT2467" s="61"/>
      <c r="HIU2467" s="54"/>
      <c r="HIV2467" s="54"/>
      <c r="HIW2467" s="60"/>
      <c r="HIX2467" s="60"/>
      <c r="HIY2467" s="60"/>
      <c r="HIZ2467" s="60"/>
      <c r="HJA2467" s="63"/>
      <c r="HJB2467" s="61"/>
      <c r="HJC2467" s="54"/>
      <c r="HJD2467" s="54"/>
      <c r="HJE2467" s="60"/>
      <c r="HJF2467" s="60"/>
      <c r="HJG2467" s="60"/>
      <c r="HJH2467" s="60"/>
      <c r="HJI2467" s="63"/>
      <c r="HJJ2467" s="61"/>
      <c r="HJK2467" s="54"/>
      <c r="HJL2467" s="54"/>
      <c r="HJM2467" s="60"/>
      <c r="HJN2467" s="60"/>
      <c r="HJO2467" s="60"/>
      <c r="HJP2467" s="60"/>
      <c r="HJQ2467" s="63"/>
      <c r="HJR2467" s="61"/>
      <c r="HJS2467" s="54"/>
      <c r="HJT2467" s="54"/>
      <c r="HJU2467" s="60"/>
      <c r="HJV2467" s="60"/>
      <c r="HJW2467" s="60"/>
      <c r="HJX2467" s="60"/>
      <c r="HJY2467" s="63"/>
      <c r="HJZ2467" s="61"/>
      <c r="HKA2467" s="54"/>
      <c r="HKB2467" s="54"/>
      <c r="HKC2467" s="60"/>
      <c r="HKD2467" s="60"/>
      <c r="HKE2467" s="60"/>
      <c r="HKF2467" s="60"/>
      <c r="HKG2467" s="63"/>
      <c r="HKH2467" s="61"/>
      <c r="HKI2467" s="54"/>
      <c r="HKJ2467" s="54"/>
      <c r="HKK2467" s="60"/>
      <c r="HKL2467" s="60"/>
      <c r="HKM2467" s="60"/>
      <c r="HKN2467" s="60"/>
      <c r="HKO2467" s="63"/>
      <c r="HKP2467" s="61"/>
      <c r="HKQ2467" s="54"/>
      <c r="HKR2467" s="54"/>
      <c r="HKS2467" s="60"/>
      <c r="HKT2467" s="60"/>
      <c r="HKU2467" s="60"/>
      <c r="HKV2467" s="60"/>
      <c r="HKW2467" s="63"/>
      <c r="HKX2467" s="61"/>
      <c r="HKY2467" s="54"/>
      <c r="HKZ2467" s="54"/>
      <c r="HLA2467" s="60"/>
      <c r="HLB2467" s="60"/>
      <c r="HLC2467" s="60"/>
      <c r="HLD2467" s="60"/>
      <c r="HLE2467" s="63"/>
      <c r="HLF2467" s="61"/>
      <c r="HLG2467" s="54"/>
      <c r="HLH2467" s="54"/>
      <c r="HLI2467" s="60"/>
      <c r="HLJ2467" s="60"/>
      <c r="HLK2467" s="60"/>
      <c r="HLL2467" s="60"/>
      <c r="HLM2467" s="63"/>
      <c r="HLN2467" s="61"/>
      <c r="HLO2467" s="54"/>
      <c r="HLP2467" s="54"/>
      <c r="HLQ2467" s="60"/>
      <c r="HLR2467" s="60"/>
      <c r="HLS2467" s="60"/>
      <c r="HLT2467" s="60"/>
      <c r="HLU2467" s="63"/>
      <c r="HLV2467" s="61"/>
      <c r="HLW2467" s="54"/>
      <c r="HLX2467" s="54"/>
      <c r="HLY2467" s="60"/>
      <c r="HLZ2467" s="60"/>
      <c r="HMA2467" s="60"/>
      <c r="HMB2467" s="60"/>
      <c r="HMC2467" s="63"/>
      <c r="HMD2467" s="61"/>
      <c r="HME2467" s="54"/>
      <c r="HMF2467" s="54"/>
      <c r="HMG2467" s="60"/>
      <c r="HMH2467" s="60"/>
      <c r="HMI2467" s="60"/>
      <c r="HMJ2467" s="60"/>
      <c r="HMK2467" s="63"/>
      <c r="HML2467" s="61"/>
      <c r="HMM2467" s="54"/>
      <c r="HMN2467" s="54"/>
      <c r="HMO2467" s="60"/>
      <c r="HMP2467" s="60"/>
      <c r="HMQ2467" s="60"/>
      <c r="HMR2467" s="60"/>
      <c r="HMS2467" s="63"/>
      <c r="HMT2467" s="61"/>
      <c r="HMU2467" s="54"/>
      <c r="HMV2467" s="54"/>
      <c r="HMW2467" s="60"/>
      <c r="HMX2467" s="60"/>
      <c r="HMY2467" s="60"/>
      <c r="HMZ2467" s="60"/>
      <c r="HNA2467" s="63"/>
      <c r="HNB2467" s="61"/>
      <c r="HNC2467" s="54"/>
      <c r="HND2467" s="54"/>
      <c r="HNE2467" s="60"/>
      <c r="HNF2467" s="60"/>
      <c r="HNG2467" s="60"/>
      <c r="HNH2467" s="60"/>
      <c r="HNI2467" s="63"/>
      <c r="HNJ2467" s="61"/>
      <c r="HNK2467" s="54"/>
      <c r="HNL2467" s="54"/>
      <c r="HNM2467" s="60"/>
      <c r="HNN2467" s="60"/>
      <c r="HNO2467" s="60"/>
      <c r="HNP2467" s="60"/>
      <c r="HNQ2467" s="63"/>
      <c r="HNR2467" s="61"/>
      <c r="HNS2467" s="54"/>
      <c r="HNT2467" s="54"/>
      <c r="HNU2467" s="60"/>
      <c r="HNV2467" s="60"/>
      <c r="HNW2467" s="60"/>
      <c r="HNX2467" s="60"/>
      <c r="HNY2467" s="63"/>
      <c r="HNZ2467" s="61"/>
      <c r="HOA2467" s="54"/>
      <c r="HOB2467" s="54"/>
      <c r="HOC2467" s="60"/>
      <c r="HOD2467" s="60"/>
      <c r="HOE2467" s="60"/>
      <c r="HOF2467" s="60"/>
      <c r="HOG2467" s="63"/>
      <c r="HOH2467" s="61"/>
      <c r="HOI2467" s="54"/>
      <c r="HOJ2467" s="54"/>
      <c r="HOK2467" s="60"/>
      <c r="HOL2467" s="60"/>
      <c r="HOM2467" s="60"/>
      <c r="HON2467" s="60"/>
      <c r="HOO2467" s="63"/>
      <c r="HOP2467" s="61"/>
      <c r="HOQ2467" s="54"/>
      <c r="HOR2467" s="54"/>
      <c r="HOS2467" s="60"/>
      <c r="HOT2467" s="60"/>
      <c r="HOU2467" s="60"/>
      <c r="HOV2467" s="60"/>
      <c r="HOW2467" s="63"/>
      <c r="HOX2467" s="61"/>
      <c r="HOY2467" s="54"/>
      <c r="HOZ2467" s="54"/>
      <c r="HPA2467" s="60"/>
      <c r="HPB2467" s="60"/>
      <c r="HPC2467" s="60"/>
      <c r="HPD2467" s="60"/>
      <c r="HPE2467" s="63"/>
      <c r="HPF2467" s="61"/>
      <c r="HPG2467" s="54"/>
      <c r="HPH2467" s="54"/>
      <c r="HPI2467" s="60"/>
      <c r="HPJ2467" s="60"/>
      <c r="HPK2467" s="60"/>
      <c r="HPL2467" s="60"/>
      <c r="HPM2467" s="63"/>
      <c r="HPN2467" s="61"/>
      <c r="HPO2467" s="54"/>
      <c r="HPP2467" s="54"/>
      <c r="HPQ2467" s="60"/>
      <c r="HPR2467" s="60"/>
      <c r="HPS2467" s="60"/>
      <c r="HPT2467" s="60"/>
      <c r="HPU2467" s="63"/>
      <c r="HPV2467" s="61"/>
      <c r="HPW2467" s="54"/>
      <c r="HPX2467" s="54"/>
      <c r="HPY2467" s="60"/>
      <c r="HPZ2467" s="60"/>
      <c r="HQA2467" s="60"/>
      <c r="HQB2467" s="60"/>
      <c r="HQC2467" s="63"/>
      <c r="HQD2467" s="61"/>
      <c r="HQE2467" s="54"/>
      <c r="HQF2467" s="54"/>
      <c r="HQG2467" s="60"/>
      <c r="HQH2467" s="60"/>
      <c r="HQI2467" s="60"/>
      <c r="HQJ2467" s="60"/>
      <c r="HQK2467" s="63"/>
      <c r="HQL2467" s="61"/>
      <c r="HQM2467" s="54"/>
      <c r="HQN2467" s="54"/>
      <c r="HQO2467" s="60"/>
      <c r="HQP2467" s="60"/>
      <c r="HQQ2467" s="60"/>
      <c r="HQR2467" s="60"/>
      <c r="HQS2467" s="63"/>
      <c r="HQT2467" s="61"/>
      <c r="HQU2467" s="54"/>
      <c r="HQV2467" s="54"/>
      <c r="HQW2467" s="60"/>
      <c r="HQX2467" s="60"/>
      <c r="HQY2467" s="60"/>
      <c r="HQZ2467" s="60"/>
      <c r="HRA2467" s="63"/>
      <c r="HRB2467" s="61"/>
      <c r="HRC2467" s="54"/>
      <c r="HRD2467" s="54"/>
      <c r="HRE2467" s="60"/>
      <c r="HRF2467" s="60"/>
      <c r="HRG2467" s="60"/>
      <c r="HRH2467" s="60"/>
      <c r="HRI2467" s="63"/>
      <c r="HRJ2467" s="61"/>
      <c r="HRK2467" s="54"/>
      <c r="HRL2467" s="54"/>
      <c r="HRM2467" s="60"/>
      <c r="HRN2467" s="60"/>
      <c r="HRO2467" s="60"/>
      <c r="HRP2467" s="60"/>
      <c r="HRQ2467" s="63"/>
      <c r="HRR2467" s="61"/>
      <c r="HRS2467" s="54"/>
      <c r="HRT2467" s="54"/>
      <c r="HRU2467" s="60"/>
      <c r="HRV2467" s="60"/>
      <c r="HRW2467" s="60"/>
      <c r="HRX2467" s="60"/>
      <c r="HRY2467" s="63"/>
      <c r="HRZ2467" s="61"/>
      <c r="HSA2467" s="54"/>
      <c r="HSB2467" s="54"/>
      <c r="HSC2467" s="60"/>
      <c r="HSD2467" s="60"/>
      <c r="HSE2467" s="60"/>
      <c r="HSF2467" s="60"/>
      <c r="HSG2467" s="63"/>
      <c r="HSH2467" s="61"/>
      <c r="HSI2467" s="54"/>
      <c r="HSJ2467" s="54"/>
      <c r="HSK2467" s="60"/>
      <c r="HSL2467" s="60"/>
      <c r="HSM2467" s="60"/>
      <c r="HSN2467" s="60"/>
      <c r="HSO2467" s="63"/>
      <c r="HSP2467" s="61"/>
      <c r="HSQ2467" s="54"/>
      <c r="HSR2467" s="54"/>
      <c r="HSS2467" s="60"/>
      <c r="HST2467" s="60"/>
      <c r="HSU2467" s="60"/>
      <c r="HSV2467" s="60"/>
      <c r="HSW2467" s="63"/>
      <c r="HSX2467" s="61"/>
      <c r="HSY2467" s="54"/>
      <c r="HSZ2467" s="54"/>
      <c r="HTA2467" s="60"/>
      <c r="HTB2467" s="60"/>
      <c r="HTC2467" s="60"/>
      <c r="HTD2467" s="60"/>
      <c r="HTE2467" s="63"/>
      <c r="HTF2467" s="61"/>
      <c r="HTG2467" s="54"/>
      <c r="HTH2467" s="54"/>
      <c r="HTI2467" s="60"/>
      <c r="HTJ2467" s="60"/>
      <c r="HTK2467" s="60"/>
      <c r="HTL2467" s="60"/>
      <c r="HTM2467" s="63"/>
      <c r="HTN2467" s="61"/>
      <c r="HTO2467" s="54"/>
      <c r="HTP2467" s="54"/>
      <c r="HTQ2467" s="60"/>
      <c r="HTR2467" s="60"/>
      <c r="HTS2467" s="60"/>
      <c r="HTT2467" s="60"/>
      <c r="HTU2467" s="63"/>
      <c r="HTV2467" s="61"/>
      <c r="HTW2467" s="54"/>
      <c r="HTX2467" s="54"/>
      <c r="HTY2467" s="60"/>
      <c r="HTZ2467" s="60"/>
      <c r="HUA2467" s="60"/>
      <c r="HUB2467" s="60"/>
      <c r="HUC2467" s="63"/>
      <c r="HUD2467" s="61"/>
      <c r="HUE2467" s="54"/>
      <c r="HUF2467" s="54"/>
      <c r="HUG2467" s="60"/>
      <c r="HUH2467" s="60"/>
      <c r="HUI2467" s="60"/>
      <c r="HUJ2467" s="60"/>
      <c r="HUK2467" s="63"/>
      <c r="HUL2467" s="61"/>
      <c r="HUM2467" s="54"/>
      <c r="HUN2467" s="54"/>
      <c r="HUO2467" s="60"/>
      <c r="HUP2467" s="60"/>
      <c r="HUQ2467" s="60"/>
      <c r="HUR2467" s="60"/>
      <c r="HUS2467" s="63"/>
      <c r="HUT2467" s="61"/>
      <c r="HUU2467" s="54"/>
      <c r="HUV2467" s="54"/>
      <c r="HUW2467" s="60"/>
      <c r="HUX2467" s="60"/>
      <c r="HUY2467" s="60"/>
      <c r="HUZ2467" s="60"/>
      <c r="HVA2467" s="63"/>
      <c r="HVB2467" s="61"/>
      <c r="HVC2467" s="54"/>
      <c r="HVD2467" s="54"/>
      <c r="HVE2467" s="60"/>
      <c r="HVF2467" s="60"/>
      <c r="HVG2467" s="60"/>
      <c r="HVH2467" s="60"/>
      <c r="HVI2467" s="63"/>
      <c r="HVJ2467" s="61"/>
      <c r="HVK2467" s="54"/>
      <c r="HVL2467" s="54"/>
      <c r="HVM2467" s="60"/>
      <c r="HVN2467" s="60"/>
      <c r="HVO2467" s="60"/>
      <c r="HVP2467" s="60"/>
      <c r="HVQ2467" s="63"/>
      <c r="HVR2467" s="61"/>
      <c r="HVS2467" s="54"/>
      <c r="HVT2467" s="54"/>
      <c r="HVU2467" s="60"/>
      <c r="HVV2467" s="60"/>
      <c r="HVW2467" s="60"/>
      <c r="HVX2467" s="60"/>
      <c r="HVY2467" s="63"/>
      <c r="HVZ2467" s="61"/>
      <c r="HWA2467" s="54"/>
      <c r="HWB2467" s="54"/>
      <c r="HWC2467" s="60"/>
      <c r="HWD2467" s="60"/>
      <c r="HWE2467" s="60"/>
      <c r="HWF2467" s="60"/>
      <c r="HWG2467" s="63"/>
      <c r="HWH2467" s="61"/>
      <c r="HWI2467" s="54"/>
      <c r="HWJ2467" s="54"/>
      <c r="HWK2467" s="60"/>
      <c r="HWL2467" s="60"/>
      <c r="HWM2467" s="60"/>
      <c r="HWN2467" s="60"/>
      <c r="HWO2467" s="63"/>
      <c r="HWP2467" s="61"/>
      <c r="HWQ2467" s="54"/>
      <c r="HWR2467" s="54"/>
      <c r="HWS2467" s="60"/>
      <c r="HWT2467" s="60"/>
      <c r="HWU2467" s="60"/>
      <c r="HWV2467" s="60"/>
      <c r="HWW2467" s="63"/>
      <c r="HWX2467" s="61"/>
      <c r="HWY2467" s="54"/>
      <c r="HWZ2467" s="54"/>
      <c r="HXA2467" s="60"/>
      <c r="HXB2467" s="60"/>
      <c r="HXC2467" s="60"/>
      <c r="HXD2467" s="60"/>
      <c r="HXE2467" s="63"/>
      <c r="HXF2467" s="61"/>
      <c r="HXG2467" s="54"/>
      <c r="HXH2467" s="54"/>
      <c r="HXI2467" s="60"/>
      <c r="HXJ2467" s="60"/>
      <c r="HXK2467" s="60"/>
      <c r="HXL2467" s="60"/>
      <c r="HXM2467" s="63"/>
      <c r="HXN2467" s="61"/>
      <c r="HXO2467" s="54"/>
      <c r="HXP2467" s="54"/>
      <c r="HXQ2467" s="60"/>
      <c r="HXR2467" s="60"/>
      <c r="HXS2467" s="60"/>
      <c r="HXT2467" s="60"/>
      <c r="HXU2467" s="63"/>
      <c r="HXV2467" s="61"/>
      <c r="HXW2467" s="54"/>
      <c r="HXX2467" s="54"/>
      <c r="HXY2467" s="60"/>
      <c r="HXZ2467" s="60"/>
      <c r="HYA2467" s="60"/>
      <c r="HYB2467" s="60"/>
      <c r="HYC2467" s="63"/>
      <c r="HYD2467" s="61"/>
      <c r="HYE2467" s="54"/>
      <c r="HYF2467" s="54"/>
      <c r="HYG2467" s="60"/>
      <c r="HYH2467" s="60"/>
      <c r="HYI2467" s="60"/>
      <c r="HYJ2467" s="60"/>
      <c r="HYK2467" s="63"/>
      <c r="HYL2467" s="61"/>
      <c r="HYM2467" s="54"/>
      <c r="HYN2467" s="54"/>
      <c r="HYO2467" s="60"/>
      <c r="HYP2467" s="60"/>
      <c r="HYQ2467" s="60"/>
      <c r="HYR2467" s="60"/>
      <c r="HYS2467" s="63"/>
      <c r="HYT2467" s="61"/>
      <c r="HYU2467" s="54"/>
      <c r="HYV2467" s="54"/>
      <c r="HYW2467" s="60"/>
      <c r="HYX2467" s="60"/>
      <c r="HYY2467" s="60"/>
      <c r="HYZ2467" s="60"/>
      <c r="HZA2467" s="63"/>
      <c r="HZB2467" s="61"/>
      <c r="HZC2467" s="54"/>
      <c r="HZD2467" s="54"/>
      <c r="HZE2467" s="60"/>
      <c r="HZF2467" s="60"/>
      <c r="HZG2467" s="60"/>
      <c r="HZH2467" s="60"/>
      <c r="HZI2467" s="63"/>
      <c r="HZJ2467" s="61"/>
      <c r="HZK2467" s="54"/>
      <c r="HZL2467" s="54"/>
      <c r="HZM2467" s="60"/>
      <c r="HZN2467" s="60"/>
      <c r="HZO2467" s="60"/>
      <c r="HZP2467" s="60"/>
      <c r="HZQ2467" s="63"/>
      <c r="HZR2467" s="61"/>
      <c r="HZS2467" s="54"/>
      <c r="HZT2467" s="54"/>
      <c r="HZU2467" s="60"/>
      <c r="HZV2467" s="60"/>
      <c r="HZW2467" s="60"/>
      <c r="HZX2467" s="60"/>
      <c r="HZY2467" s="63"/>
      <c r="HZZ2467" s="61"/>
      <c r="IAA2467" s="54"/>
      <c r="IAB2467" s="54"/>
      <c r="IAC2467" s="60"/>
      <c r="IAD2467" s="60"/>
      <c r="IAE2467" s="60"/>
      <c r="IAF2467" s="60"/>
      <c r="IAG2467" s="63"/>
      <c r="IAH2467" s="61"/>
      <c r="IAI2467" s="54"/>
      <c r="IAJ2467" s="54"/>
      <c r="IAK2467" s="60"/>
      <c r="IAL2467" s="60"/>
      <c r="IAM2467" s="60"/>
      <c r="IAN2467" s="60"/>
      <c r="IAO2467" s="63"/>
      <c r="IAP2467" s="61"/>
      <c r="IAQ2467" s="54"/>
      <c r="IAR2467" s="54"/>
      <c r="IAS2467" s="60"/>
      <c r="IAT2467" s="60"/>
      <c r="IAU2467" s="60"/>
      <c r="IAV2467" s="60"/>
      <c r="IAW2467" s="63"/>
      <c r="IAX2467" s="61"/>
      <c r="IAY2467" s="54"/>
      <c r="IAZ2467" s="54"/>
      <c r="IBA2467" s="60"/>
      <c r="IBB2467" s="60"/>
      <c r="IBC2467" s="60"/>
      <c r="IBD2467" s="60"/>
      <c r="IBE2467" s="63"/>
      <c r="IBF2467" s="61"/>
      <c r="IBG2467" s="54"/>
      <c r="IBH2467" s="54"/>
      <c r="IBI2467" s="60"/>
      <c r="IBJ2467" s="60"/>
      <c r="IBK2467" s="60"/>
      <c r="IBL2467" s="60"/>
      <c r="IBM2467" s="63"/>
      <c r="IBN2467" s="61"/>
      <c r="IBO2467" s="54"/>
      <c r="IBP2467" s="54"/>
      <c r="IBQ2467" s="60"/>
      <c r="IBR2467" s="60"/>
      <c r="IBS2467" s="60"/>
      <c r="IBT2467" s="60"/>
      <c r="IBU2467" s="63"/>
      <c r="IBV2467" s="61"/>
      <c r="IBW2467" s="54"/>
      <c r="IBX2467" s="54"/>
      <c r="IBY2467" s="60"/>
      <c r="IBZ2467" s="60"/>
      <c r="ICA2467" s="60"/>
      <c r="ICB2467" s="60"/>
      <c r="ICC2467" s="63"/>
      <c r="ICD2467" s="61"/>
      <c r="ICE2467" s="54"/>
      <c r="ICF2467" s="54"/>
      <c r="ICG2467" s="60"/>
      <c r="ICH2467" s="60"/>
      <c r="ICI2467" s="60"/>
      <c r="ICJ2467" s="60"/>
      <c r="ICK2467" s="63"/>
      <c r="ICL2467" s="61"/>
      <c r="ICM2467" s="54"/>
      <c r="ICN2467" s="54"/>
      <c r="ICO2467" s="60"/>
      <c r="ICP2467" s="60"/>
      <c r="ICQ2467" s="60"/>
      <c r="ICR2467" s="60"/>
      <c r="ICS2467" s="63"/>
      <c r="ICT2467" s="61"/>
      <c r="ICU2467" s="54"/>
      <c r="ICV2467" s="54"/>
      <c r="ICW2467" s="60"/>
      <c r="ICX2467" s="60"/>
      <c r="ICY2467" s="60"/>
      <c r="ICZ2467" s="60"/>
      <c r="IDA2467" s="63"/>
      <c r="IDB2467" s="61"/>
      <c r="IDC2467" s="54"/>
      <c r="IDD2467" s="54"/>
      <c r="IDE2467" s="60"/>
      <c r="IDF2467" s="60"/>
      <c r="IDG2467" s="60"/>
      <c r="IDH2467" s="60"/>
      <c r="IDI2467" s="63"/>
      <c r="IDJ2467" s="61"/>
      <c r="IDK2467" s="54"/>
      <c r="IDL2467" s="54"/>
      <c r="IDM2467" s="60"/>
      <c r="IDN2467" s="60"/>
      <c r="IDO2467" s="60"/>
      <c r="IDP2467" s="60"/>
      <c r="IDQ2467" s="63"/>
      <c r="IDR2467" s="61"/>
      <c r="IDS2467" s="54"/>
      <c r="IDT2467" s="54"/>
      <c r="IDU2467" s="60"/>
      <c r="IDV2467" s="60"/>
      <c r="IDW2467" s="60"/>
      <c r="IDX2467" s="60"/>
      <c r="IDY2467" s="63"/>
      <c r="IDZ2467" s="61"/>
      <c r="IEA2467" s="54"/>
      <c r="IEB2467" s="54"/>
      <c r="IEC2467" s="60"/>
      <c r="IED2467" s="60"/>
      <c r="IEE2467" s="60"/>
      <c r="IEF2467" s="60"/>
      <c r="IEG2467" s="63"/>
      <c r="IEH2467" s="61"/>
      <c r="IEI2467" s="54"/>
      <c r="IEJ2467" s="54"/>
      <c r="IEK2467" s="60"/>
      <c r="IEL2467" s="60"/>
      <c r="IEM2467" s="60"/>
      <c r="IEN2467" s="60"/>
      <c r="IEO2467" s="63"/>
      <c r="IEP2467" s="61"/>
      <c r="IEQ2467" s="54"/>
      <c r="IER2467" s="54"/>
      <c r="IES2467" s="60"/>
      <c r="IET2467" s="60"/>
      <c r="IEU2467" s="60"/>
      <c r="IEV2467" s="60"/>
      <c r="IEW2467" s="63"/>
      <c r="IEX2467" s="61"/>
      <c r="IEY2467" s="54"/>
      <c r="IEZ2467" s="54"/>
      <c r="IFA2467" s="60"/>
      <c r="IFB2467" s="60"/>
      <c r="IFC2467" s="60"/>
      <c r="IFD2467" s="60"/>
      <c r="IFE2467" s="63"/>
      <c r="IFF2467" s="61"/>
      <c r="IFG2467" s="54"/>
      <c r="IFH2467" s="54"/>
      <c r="IFI2467" s="60"/>
      <c r="IFJ2467" s="60"/>
      <c r="IFK2467" s="60"/>
      <c r="IFL2467" s="60"/>
      <c r="IFM2467" s="63"/>
      <c r="IFN2467" s="61"/>
      <c r="IFO2467" s="54"/>
      <c r="IFP2467" s="54"/>
      <c r="IFQ2467" s="60"/>
      <c r="IFR2467" s="60"/>
      <c r="IFS2467" s="60"/>
      <c r="IFT2467" s="60"/>
      <c r="IFU2467" s="63"/>
      <c r="IFV2467" s="61"/>
      <c r="IFW2467" s="54"/>
      <c r="IFX2467" s="54"/>
      <c r="IFY2467" s="60"/>
      <c r="IFZ2467" s="60"/>
      <c r="IGA2467" s="60"/>
      <c r="IGB2467" s="60"/>
      <c r="IGC2467" s="63"/>
      <c r="IGD2467" s="61"/>
      <c r="IGE2467" s="54"/>
      <c r="IGF2467" s="54"/>
      <c r="IGG2467" s="60"/>
      <c r="IGH2467" s="60"/>
      <c r="IGI2467" s="60"/>
      <c r="IGJ2467" s="60"/>
      <c r="IGK2467" s="63"/>
      <c r="IGL2467" s="61"/>
      <c r="IGM2467" s="54"/>
      <c r="IGN2467" s="54"/>
      <c r="IGO2467" s="60"/>
      <c r="IGP2467" s="60"/>
      <c r="IGQ2467" s="60"/>
      <c r="IGR2467" s="60"/>
      <c r="IGS2467" s="63"/>
      <c r="IGT2467" s="61"/>
      <c r="IGU2467" s="54"/>
      <c r="IGV2467" s="54"/>
      <c r="IGW2467" s="60"/>
      <c r="IGX2467" s="60"/>
      <c r="IGY2467" s="60"/>
      <c r="IGZ2467" s="60"/>
      <c r="IHA2467" s="63"/>
      <c r="IHB2467" s="61"/>
      <c r="IHC2467" s="54"/>
      <c r="IHD2467" s="54"/>
      <c r="IHE2467" s="60"/>
      <c r="IHF2467" s="60"/>
      <c r="IHG2467" s="60"/>
      <c r="IHH2467" s="60"/>
      <c r="IHI2467" s="63"/>
      <c r="IHJ2467" s="61"/>
      <c r="IHK2467" s="54"/>
      <c r="IHL2467" s="54"/>
      <c r="IHM2467" s="60"/>
      <c r="IHN2467" s="60"/>
      <c r="IHO2467" s="60"/>
      <c r="IHP2467" s="60"/>
      <c r="IHQ2467" s="63"/>
      <c r="IHR2467" s="61"/>
      <c r="IHS2467" s="54"/>
      <c r="IHT2467" s="54"/>
      <c r="IHU2467" s="60"/>
      <c r="IHV2467" s="60"/>
      <c r="IHW2467" s="60"/>
      <c r="IHX2467" s="60"/>
      <c r="IHY2467" s="63"/>
      <c r="IHZ2467" s="61"/>
      <c r="IIA2467" s="54"/>
      <c r="IIB2467" s="54"/>
      <c r="IIC2467" s="60"/>
      <c r="IID2467" s="60"/>
      <c r="IIE2467" s="60"/>
      <c r="IIF2467" s="60"/>
      <c r="IIG2467" s="63"/>
      <c r="IIH2467" s="61"/>
      <c r="III2467" s="54"/>
      <c r="IIJ2467" s="54"/>
      <c r="IIK2467" s="60"/>
      <c r="IIL2467" s="60"/>
      <c r="IIM2467" s="60"/>
      <c r="IIN2467" s="60"/>
      <c r="IIO2467" s="63"/>
      <c r="IIP2467" s="61"/>
      <c r="IIQ2467" s="54"/>
      <c r="IIR2467" s="54"/>
      <c r="IIS2467" s="60"/>
      <c r="IIT2467" s="60"/>
      <c r="IIU2467" s="60"/>
      <c r="IIV2467" s="60"/>
      <c r="IIW2467" s="63"/>
      <c r="IIX2467" s="61"/>
      <c r="IIY2467" s="54"/>
      <c r="IIZ2467" s="54"/>
      <c r="IJA2467" s="60"/>
      <c r="IJB2467" s="60"/>
      <c r="IJC2467" s="60"/>
      <c r="IJD2467" s="60"/>
      <c r="IJE2467" s="63"/>
      <c r="IJF2467" s="61"/>
      <c r="IJG2467" s="54"/>
      <c r="IJH2467" s="54"/>
      <c r="IJI2467" s="60"/>
      <c r="IJJ2467" s="60"/>
      <c r="IJK2467" s="60"/>
      <c r="IJL2467" s="60"/>
      <c r="IJM2467" s="63"/>
      <c r="IJN2467" s="61"/>
      <c r="IJO2467" s="54"/>
      <c r="IJP2467" s="54"/>
      <c r="IJQ2467" s="60"/>
      <c r="IJR2467" s="60"/>
      <c r="IJS2467" s="60"/>
      <c r="IJT2467" s="60"/>
      <c r="IJU2467" s="63"/>
      <c r="IJV2467" s="61"/>
      <c r="IJW2467" s="54"/>
      <c r="IJX2467" s="54"/>
      <c r="IJY2467" s="60"/>
      <c r="IJZ2467" s="60"/>
      <c r="IKA2467" s="60"/>
      <c r="IKB2467" s="60"/>
      <c r="IKC2467" s="63"/>
      <c r="IKD2467" s="61"/>
      <c r="IKE2467" s="54"/>
      <c r="IKF2467" s="54"/>
      <c r="IKG2467" s="60"/>
      <c r="IKH2467" s="60"/>
      <c r="IKI2467" s="60"/>
      <c r="IKJ2467" s="60"/>
      <c r="IKK2467" s="63"/>
      <c r="IKL2467" s="61"/>
      <c r="IKM2467" s="54"/>
      <c r="IKN2467" s="54"/>
      <c r="IKO2467" s="60"/>
      <c r="IKP2467" s="60"/>
      <c r="IKQ2467" s="60"/>
      <c r="IKR2467" s="60"/>
      <c r="IKS2467" s="63"/>
      <c r="IKT2467" s="61"/>
      <c r="IKU2467" s="54"/>
      <c r="IKV2467" s="54"/>
      <c r="IKW2467" s="60"/>
      <c r="IKX2467" s="60"/>
      <c r="IKY2467" s="60"/>
      <c r="IKZ2467" s="60"/>
      <c r="ILA2467" s="63"/>
      <c r="ILB2467" s="61"/>
      <c r="ILC2467" s="54"/>
      <c r="ILD2467" s="54"/>
      <c r="ILE2467" s="60"/>
      <c r="ILF2467" s="60"/>
      <c r="ILG2467" s="60"/>
      <c r="ILH2467" s="60"/>
      <c r="ILI2467" s="63"/>
      <c r="ILJ2467" s="61"/>
      <c r="ILK2467" s="54"/>
      <c r="ILL2467" s="54"/>
      <c r="ILM2467" s="60"/>
      <c r="ILN2467" s="60"/>
      <c r="ILO2467" s="60"/>
      <c r="ILP2467" s="60"/>
      <c r="ILQ2467" s="63"/>
      <c r="ILR2467" s="61"/>
      <c r="ILS2467" s="54"/>
      <c r="ILT2467" s="54"/>
      <c r="ILU2467" s="60"/>
      <c r="ILV2467" s="60"/>
      <c r="ILW2467" s="60"/>
      <c r="ILX2467" s="60"/>
      <c r="ILY2467" s="63"/>
      <c r="ILZ2467" s="61"/>
      <c r="IMA2467" s="54"/>
      <c r="IMB2467" s="54"/>
      <c r="IMC2467" s="60"/>
      <c r="IMD2467" s="60"/>
      <c r="IME2467" s="60"/>
      <c r="IMF2467" s="60"/>
      <c r="IMG2467" s="63"/>
      <c r="IMH2467" s="61"/>
      <c r="IMI2467" s="54"/>
      <c r="IMJ2467" s="54"/>
      <c r="IMK2467" s="60"/>
      <c r="IML2467" s="60"/>
      <c r="IMM2467" s="60"/>
      <c r="IMN2467" s="60"/>
      <c r="IMO2467" s="63"/>
      <c r="IMP2467" s="61"/>
      <c r="IMQ2467" s="54"/>
      <c r="IMR2467" s="54"/>
      <c r="IMS2467" s="60"/>
      <c r="IMT2467" s="60"/>
      <c r="IMU2467" s="60"/>
      <c r="IMV2467" s="60"/>
      <c r="IMW2467" s="63"/>
      <c r="IMX2467" s="61"/>
      <c r="IMY2467" s="54"/>
      <c r="IMZ2467" s="54"/>
      <c r="INA2467" s="60"/>
      <c r="INB2467" s="60"/>
      <c r="INC2467" s="60"/>
      <c r="IND2467" s="60"/>
      <c r="INE2467" s="63"/>
      <c r="INF2467" s="61"/>
      <c r="ING2467" s="54"/>
      <c r="INH2467" s="54"/>
      <c r="INI2467" s="60"/>
      <c r="INJ2467" s="60"/>
      <c r="INK2467" s="60"/>
      <c r="INL2467" s="60"/>
      <c r="INM2467" s="63"/>
      <c r="INN2467" s="61"/>
      <c r="INO2467" s="54"/>
      <c r="INP2467" s="54"/>
      <c r="INQ2467" s="60"/>
      <c r="INR2467" s="60"/>
      <c r="INS2467" s="60"/>
      <c r="INT2467" s="60"/>
      <c r="INU2467" s="63"/>
      <c r="INV2467" s="61"/>
      <c r="INW2467" s="54"/>
      <c r="INX2467" s="54"/>
      <c r="INY2467" s="60"/>
      <c r="INZ2467" s="60"/>
      <c r="IOA2467" s="60"/>
      <c r="IOB2467" s="60"/>
      <c r="IOC2467" s="63"/>
      <c r="IOD2467" s="61"/>
      <c r="IOE2467" s="54"/>
      <c r="IOF2467" s="54"/>
      <c r="IOG2467" s="60"/>
      <c r="IOH2467" s="60"/>
      <c r="IOI2467" s="60"/>
      <c r="IOJ2467" s="60"/>
      <c r="IOK2467" s="63"/>
      <c r="IOL2467" s="61"/>
      <c r="IOM2467" s="54"/>
      <c r="ION2467" s="54"/>
      <c r="IOO2467" s="60"/>
      <c r="IOP2467" s="60"/>
      <c r="IOQ2467" s="60"/>
      <c r="IOR2467" s="60"/>
      <c r="IOS2467" s="63"/>
      <c r="IOT2467" s="61"/>
      <c r="IOU2467" s="54"/>
      <c r="IOV2467" s="54"/>
      <c r="IOW2467" s="60"/>
      <c r="IOX2467" s="60"/>
      <c r="IOY2467" s="60"/>
      <c r="IOZ2467" s="60"/>
      <c r="IPA2467" s="63"/>
      <c r="IPB2467" s="61"/>
      <c r="IPC2467" s="54"/>
      <c r="IPD2467" s="54"/>
      <c r="IPE2467" s="60"/>
      <c r="IPF2467" s="60"/>
      <c r="IPG2467" s="60"/>
      <c r="IPH2467" s="60"/>
      <c r="IPI2467" s="63"/>
      <c r="IPJ2467" s="61"/>
      <c r="IPK2467" s="54"/>
      <c r="IPL2467" s="54"/>
      <c r="IPM2467" s="60"/>
      <c r="IPN2467" s="60"/>
      <c r="IPO2467" s="60"/>
      <c r="IPP2467" s="60"/>
      <c r="IPQ2467" s="63"/>
      <c r="IPR2467" s="61"/>
      <c r="IPS2467" s="54"/>
      <c r="IPT2467" s="54"/>
      <c r="IPU2467" s="60"/>
      <c r="IPV2467" s="60"/>
      <c r="IPW2467" s="60"/>
      <c r="IPX2467" s="60"/>
      <c r="IPY2467" s="63"/>
      <c r="IPZ2467" s="61"/>
      <c r="IQA2467" s="54"/>
      <c r="IQB2467" s="54"/>
      <c r="IQC2467" s="60"/>
      <c r="IQD2467" s="60"/>
      <c r="IQE2467" s="60"/>
      <c r="IQF2467" s="60"/>
      <c r="IQG2467" s="63"/>
      <c r="IQH2467" s="61"/>
      <c r="IQI2467" s="54"/>
      <c r="IQJ2467" s="54"/>
      <c r="IQK2467" s="60"/>
      <c r="IQL2467" s="60"/>
      <c r="IQM2467" s="60"/>
      <c r="IQN2467" s="60"/>
      <c r="IQO2467" s="63"/>
      <c r="IQP2467" s="61"/>
      <c r="IQQ2467" s="54"/>
      <c r="IQR2467" s="54"/>
      <c r="IQS2467" s="60"/>
      <c r="IQT2467" s="60"/>
      <c r="IQU2467" s="60"/>
      <c r="IQV2467" s="60"/>
      <c r="IQW2467" s="63"/>
      <c r="IQX2467" s="61"/>
      <c r="IQY2467" s="54"/>
      <c r="IQZ2467" s="54"/>
      <c r="IRA2467" s="60"/>
      <c r="IRB2467" s="60"/>
      <c r="IRC2467" s="60"/>
      <c r="IRD2467" s="60"/>
      <c r="IRE2467" s="63"/>
      <c r="IRF2467" s="61"/>
      <c r="IRG2467" s="54"/>
      <c r="IRH2467" s="54"/>
      <c r="IRI2467" s="60"/>
      <c r="IRJ2467" s="60"/>
      <c r="IRK2467" s="60"/>
      <c r="IRL2467" s="60"/>
      <c r="IRM2467" s="63"/>
      <c r="IRN2467" s="61"/>
      <c r="IRO2467" s="54"/>
      <c r="IRP2467" s="54"/>
      <c r="IRQ2467" s="60"/>
      <c r="IRR2467" s="60"/>
      <c r="IRS2467" s="60"/>
      <c r="IRT2467" s="60"/>
      <c r="IRU2467" s="63"/>
      <c r="IRV2467" s="61"/>
      <c r="IRW2467" s="54"/>
      <c r="IRX2467" s="54"/>
      <c r="IRY2467" s="60"/>
      <c r="IRZ2467" s="60"/>
      <c r="ISA2467" s="60"/>
      <c r="ISB2467" s="60"/>
      <c r="ISC2467" s="63"/>
      <c r="ISD2467" s="61"/>
      <c r="ISE2467" s="54"/>
      <c r="ISF2467" s="54"/>
      <c r="ISG2467" s="60"/>
      <c r="ISH2467" s="60"/>
      <c r="ISI2467" s="60"/>
      <c r="ISJ2467" s="60"/>
      <c r="ISK2467" s="63"/>
      <c r="ISL2467" s="61"/>
      <c r="ISM2467" s="54"/>
      <c r="ISN2467" s="54"/>
      <c r="ISO2467" s="60"/>
      <c r="ISP2467" s="60"/>
      <c r="ISQ2467" s="60"/>
      <c r="ISR2467" s="60"/>
      <c r="ISS2467" s="63"/>
      <c r="IST2467" s="61"/>
      <c r="ISU2467" s="54"/>
      <c r="ISV2467" s="54"/>
      <c r="ISW2467" s="60"/>
      <c r="ISX2467" s="60"/>
      <c r="ISY2467" s="60"/>
      <c r="ISZ2467" s="60"/>
      <c r="ITA2467" s="63"/>
      <c r="ITB2467" s="61"/>
      <c r="ITC2467" s="54"/>
      <c r="ITD2467" s="54"/>
      <c r="ITE2467" s="60"/>
      <c r="ITF2467" s="60"/>
      <c r="ITG2467" s="60"/>
      <c r="ITH2467" s="60"/>
      <c r="ITI2467" s="63"/>
      <c r="ITJ2467" s="61"/>
      <c r="ITK2467" s="54"/>
      <c r="ITL2467" s="54"/>
      <c r="ITM2467" s="60"/>
      <c r="ITN2467" s="60"/>
      <c r="ITO2467" s="60"/>
      <c r="ITP2467" s="60"/>
      <c r="ITQ2467" s="63"/>
      <c r="ITR2467" s="61"/>
      <c r="ITS2467" s="54"/>
      <c r="ITT2467" s="54"/>
      <c r="ITU2467" s="60"/>
      <c r="ITV2467" s="60"/>
      <c r="ITW2467" s="60"/>
      <c r="ITX2467" s="60"/>
      <c r="ITY2467" s="63"/>
      <c r="ITZ2467" s="61"/>
      <c r="IUA2467" s="54"/>
      <c r="IUB2467" s="54"/>
      <c r="IUC2467" s="60"/>
      <c r="IUD2467" s="60"/>
      <c r="IUE2467" s="60"/>
      <c r="IUF2467" s="60"/>
      <c r="IUG2467" s="63"/>
      <c r="IUH2467" s="61"/>
      <c r="IUI2467" s="54"/>
      <c r="IUJ2467" s="54"/>
      <c r="IUK2467" s="60"/>
      <c r="IUL2467" s="60"/>
      <c r="IUM2467" s="60"/>
      <c r="IUN2467" s="60"/>
      <c r="IUO2467" s="63"/>
      <c r="IUP2467" s="61"/>
      <c r="IUQ2467" s="54"/>
      <c r="IUR2467" s="54"/>
      <c r="IUS2467" s="60"/>
      <c r="IUT2467" s="60"/>
      <c r="IUU2467" s="60"/>
      <c r="IUV2467" s="60"/>
      <c r="IUW2467" s="63"/>
      <c r="IUX2467" s="61"/>
      <c r="IUY2467" s="54"/>
      <c r="IUZ2467" s="54"/>
      <c r="IVA2467" s="60"/>
      <c r="IVB2467" s="60"/>
      <c r="IVC2467" s="60"/>
      <c r="IVD2467" s="60"/>
      <c r="IVE2467" s="63"/>
      <c r="IVF2467" s="61"/>
      <c r="IVG2467" s="54"/>
      <c r="IVH2467" s="54"/>
      <c r="IVI2467" s="60"/>
      <c r="IVJ2467" s="60"/>
      <c r="IVK2467" s="60"/>
      <c r="IVL2467" s="60"/>
      <c r="IVM2467" s="63"/>
      <c r="IVN2467" s="61"/>
      <c r="IVO2467" s="54"/>
      <c r="IVP2467" s="54"/>
      <c r="IVQ2467" s="60"/>
      <c r="IVR2467" s="60"/>
      <c r="IVS2467" s="60"/>
      <c r="IVT2467" s="60"/>
      <c r="IVU2467" s="63"/>
      <c r="IVV2467" s="61"/>
      <c r="IVW2467" s="54"/>
      <c r="IVX2467" s="54"/>
      <c r="IVY2467" s="60"/>
      <c r="IVZ2467" s="60"/>
      <c r="IWA2467" s="60"/>
      <c r="IWB2467" s="60"/>
      <c r="IWC2467" s="63"/>
      <c r="IWD2467" s="61"/>
      <c r="IWE2467" s="54"/>
      <c r="IWF2467" s="54"/>
      <c r="IWG2467" s="60"/>
      <c r="IWH2467" s="60"/>
      <c r="IWI2467" s="60"/>
      <c r="IWJ2467" s="60"/>
      <c r="IWK2467" s="63"/>
      <c r="IWL2467" s="61"/>
      <c r="IWM2467" s="54"/>
      <c r="IWN2467" s="54"/>
      <c r="IWO2467" s="60"/>
      <c r="IWP2467" s="60"/>
      <c r="IWQ2467" s="60"/>
      <c r="IWR2467" s="60"/>
      <c r="IWS2467" s="63"/>
      <c r="IWT2467" s="61"/>
      <c r="IWU2467" s="54"/>
      <c r="IWV2467" s="54"/>
      <c r="IWW2467" s="60"/>
      <c r="IWX2467" s="60"/>
      <c r="IWY2467" s="60"/>
      <c r="IWZ2467" s="60"/>
      <c r="IXA2467" s="63"/>
      <c r="IXB2467" s="61"/>
      <c r="IXC2467" s="54"/>
      <c r="IXD2467" s="54"/>
      <c r="IXE2467" s="60"/>
      <c r="IXF2467" s="60"/>
      <c r="IXG2467" s="60"/>
      <c r="IXH2467" s="60"/>
      <c r="IXI2467" s="63"/>
      <c r="IXJ2467" s="61"/>
      <c r="IXK2467" s="54"/>
      <c r="IXL2467" s="54"/>
      <c r="IXM2467" s="60"/>
      <c r="IXN2467" s="60"/>
      <c r="IXO2467" s="60"/>
      <c r="IXP2467" s="60"/>
      <c r="IXQ2467" s="63"/>
      <c r="IXR2467" s="61"/>
      <c r="IXS2467" s="54"/>
      <c r="IXT2467" s="54"/>
      <c r="IXU2467" s="60"/>
      <c r="IXV2467" s="60"/>
      <c r="IXW2467" s="60"/>
      <c r="IXX2467" s="60"/>
      <c r="IXY2467" s="63"/>
      <c r="IXZ2467" s="61"/>
      <c r="IYA2467" s="54"/>
      <c r="IYB2467" s="54"/>
      <c r="IYC2467" s="60"/>
      <c r="IYD2467" s="60"/>
      <c r="IYE2467" s="60"/>
      <c r="IYF2467" s="60"/>
      <c r="IYG2467" s="63"/>
      <c r="IYH2467" s="61"/>
      <c r="IYI2467" s="54"/>
      <c r="IYJ2467" s="54"/>
      <c r="IYK2467" s="60"/>
      <c r="IYL2467" s="60"/>
      <c r="IYM2467" s="60"/>
      <c r="IYN2467" s="60"/>
      <c r="IYO2467" s="63"/>
      <c r="IYP2467" s="61"/>
      <c r="IYQ2467" s="54"/>
      <c r="IYR2467" s="54"/>
      <c r="IYS2467" s="60"/>
      <c r="IYT2467" s="60"/>
      <c r="IYU2467" s="60"/>
      <c r="IYV2467" s="60"/>
      <c r="IYW2467" s="63"/>
      <c r="IYX2467" s="61"/>
      <c r="IYY2467" s="54"/>
      <c r="IYZ2467" s="54"/>
      <c r="IZA2467" s="60"/>
      <c r="IZB2467" s="60"/>
      <c r="IZC2467" s="60"/>
      <c r="IZD2467" s="60"/>
      <c r="IZE2467" s="63"/>
      <c r="IZF2467" s="61"/>
      <c r="IZG2467" s="54"/>
      <c r="IZH2467" s="54"/>
      <c r="IZI2467" s="60"/>
      <c r="IZJ2467" s="60"/>
      <c r="IZK2467" s="60"/>
      <c r="IZL2467" s="60"/>
      <c r="IZM2467" s="63"/>
      <c r="IZN2467" s="61"/>
      <c r="IZO2467" s="54"/>
      <c r="IZP2467" s="54"/>
      <c r="IZQ2467" s="60"/>
      <c r="IZR2467" s="60"/>
      <c r="IZS2467" s="60"/>
      <c r="IZT2467" s="60"/>
      <c r="IZU2467" s="63"/>
      <c r="IZV2467" s="61"/>
      <c r="IZW2467" s="54"/>
      <c r="IZX2467" s="54"/>
      <c r="IZY2467" s="60"/>
      <c r="IZZ2467" s="60"/>
      <c r="JAA2467" s="60"/>
      <c r="JAB2467" s="60"/>
      <c r="JAC2467" s="63"/>
      <c r="JAD2467" s="61"/>
      <c r="JAE2467" s="54"/>
      <c r="JAF2467" s="54"/>
      <c r="JAG2467" s="60"/>
      <c r="JAH2467" s="60"/>
      <c r="JAI2467" s="60"/>
      <c r="JAJ2467" s="60"/>
      <c r="JAK2467" s="63"/>
      <c r="JAL2467" s="61"/>
      <c r="JAM2467" s="54"/>
      <c r="JAN2467" s="54"/>
      <c r="JAO2467" s="60"/>
      <c r="JAP2467" s="60"/>
      <c r="JAQ2467" s="60"/>
      <c r="JAR2467" s="60"/>
      <c r="JAS2467" s="63"/>
      <c r="JAT2467" s="61"/>
      <c r="JAU2467" s="54"/>
      <c r="JAV2467" s="54"/>
      <c r="JAW2467" s="60"/>
      <c r="JAX2467" s="60"/>
      <c r="JAY2467" s="60"/>
      <c r="JAZ2467" s="60"/>
      <c r="JBA2467" s="63"/>
      <c r="JBB2467" s="61"/>
      <c r="JBC2467" s="54"/>
      <c r="JBD2467" s="54"/>
      <c r="JBE2467" s="60"/>
      <c r="JBF2467" s="60"/>
      <c r="JBG2467" s="60"/>
      <c r="JBH2467" s="60"/>
      <c r="JBI2467" s="63"/>
      <c r="JBJ2467" s="61"/>
      <c r="JBK2467" s="54"/>
      <c r="JBL2467" s="54"/>
      <c r="JBM2467" s="60"/>
      <c r="JBN2467" s="60"/>
      <c r="JBO2467" s="60"/>
      <c r="JBP2467" s="60"/>
      <c r="JBQ2467" s="63"/>
      <c r="JBR2467" s="61"/>
      <c r="JBS2467" s="54"/>
      <c r="JBT2467" s="54"/>
      <c r="JBU2467" s="60"/>
      <c r="JBV2467" s="60"/>
      <c r="JBW2467" s="60"/>
      <c r="JBX2467" s="60"/>
      <c r="JBY2467" s="63"/>
      <c r="JBZ2467" s="61"/>
      <c r="JCA2467" s="54"/>
      <c r="JCB2467" s="54"/>
      <c r="JCC2467" s="60"/>
      <c r="JCD2467" s="60"/>
      <c r="JCE2467" s="60"/>
      <c r="JCF2467" s="60"/>
      <c r="JCG2467" s="63"/>
      <c r="JCH2467" s="61"/>
      <c r="JCI2467" s="54"/>
      <c r="JCJ2467" s="54"/>
      <c r="JCK2467" s="60"/>
      <c r="JCL2467" s="60"/>
      <c r="JCM2467" s="60"/>
      <c r="JCN2467" s="60"/>
      <c r="JCO2467" s="63"/>
      <c r="JCP2467" s="61"/>
      <c r="JCQ2467" s="54"/>
      <c r="JCR2467" s="54"/>
      <c r="JCS2467" s="60"/>
      <c r="JCT2467" s="60"/>
      <c r="JCU2467" s="60"/>
      <c r="JCV2467" s="60"/>
      <c r="JCW2467" s="63"/>
      <c r="JCX2467" s="61"/>
      <c r="JCY2467" s="54"/>
      <c r="JCZ2467" s="54"/>
      <c r="JDA2467" s="60"/>
      <c r="JDB2467" s="60"/>
      <c r="JDC2467" s="60"/>
      <c r="JDD2467" s="60"/>
      <c r="JDE2467" s="63"/>
      <c r="JDF2467" s="61"/>
      <c r="JDG2467" s="54"/>
      <c r="JDH2467" s="54"/>
      <c r="JDI2467" s="60"/>
      <c r="JDJ2467" s="60"/>
      <c r="JDK2467" s="60"/>
      <c r="JDL2467" s="60"/>
      <c r="JDM2467" s="63"/>
      <c r="JDN2467" s="61"/>
      <c r="JDO2467" s="54"/>
      <c r="JDP2467" s="54"/>
      <c r="JDQ2467" s="60"/>
      <c r="JDR2467" s="60"/>
      <c r="JDS2467" s="60"/>
      <c r="JDT2467" s="60"/>
      <c r="JDU2467" s="63"/>
      <c r="JDV2467" s="61"/>
      <c r="JDW2467" s="54"/>
      <c r="JDX2467" s="54"/>
      <c r="JDY2467" s="60"/>
      <c r="JDZ2467" s="60"/>
      <c r="JEA2467" s="60"/>
      <c r="JEB2467" s="60"/>
      <c r="JEC2467" s="63"/>
      <c r="JED2467" s="61"/>
      <c r="JEE2467" s="54"/>
      <c r="JEF2467" s="54"/>
      <c r="JEG2467" s="60"/>
      <c r="JEH2467" s="60"/>
      <c r="JEI2467" s="60"/>
      <c r="JEJ2467" s="60"/>
      <c r="JEK2467" s="63"/>
      <c r="JEL2467" s="61"/>
      <c r="JEM2467" s="54"/>
      <c r="JEN2467" s="54"/>
      <c r="JEO2467" s="60"/>
      <c r="JEP2467" s="60"/>
      <c r="JEQ2467" s="60"/>
      <c r="JER2467" s="60"/>
      <c r="JES2467" s="63"/>
      <c r="JET2467" s="61"/>
      <c r="JEU2467" s="54"/>
      <c r="JEV2467" s="54"/>
      <c r="JEW2467" s="60"/>
      <c r="JEX2467" s="60"/>
      <c r="JEY2467" s="60"/>
      <c r="JEZ2467" s="60"/>
      <c r="JFA2467" s="63"/>
      <c r="JFB2467" s="61"/>
      <c r="JFC2467" s="54"/>
      <c r="JFD2467" s="54"/>
      <c r="JFE2467" s="60"/>
      <c r="JFF2467" s="60"/>
      <c r="JFG2467" s="60"/>
      <c r="JFH2467" s="60"/>
      <c r="JFI2467" s="63"/>
      <c r="JFJ2467" s="61"/>
      <c r="JFK2467" s="54"/>
      <c r="JFL2467" s="54"/>
      <c r="JFM2467" s="60"/>
      <c r="JFN2467" s="60"/>
      <c r="JFO2467" s="60"/>
      <c r="JFP2467" s="60"/>
      <c r="JFQ2467" s="63"/>
      <c r="JFR2467" s="61"/>
      <c r="JFS2467" s="54"/>
      <c r="JFT2467" s="54"/>
      <c r="JFU2467" s="60"/>
      <c r="JFV2467" s="60"/>
      <c r="JFW2467" s="60"/>
      <c r="JFX2467" s="60"/>
      <c r="JFY2467" s="63"/>
      <c r="JFZ2467" s="61"/>
      <c r="JGA2467" s="54"/>
      <c r="JGB2467" s="54"/>
      <c r="JGC2467" s="60"/>
      <c r="JGD2467" s="60"/>
      <c r="JGE2467" s="60"/>
      <c r="JGF2467" s="60"/>
      <c r="JGG2467" s="63"/>
      <c r="JGH2467" s="61"/>
      <c r="JGI2467" s="54"/>
      <c r="JGJ2467" s="54"/>
      <c r="JGK2467" s="60"/>
      <c r="JGL2467" s="60"/>
      <c r="JGM2467" s="60"/>
      <c r="JGN2467" s="60"/>
      <c r="JGO2467" s="63"/>
      <c r="JGP2467" s="61"/>
      <c r="JGQ2467" s="54"/>
      <c r="JGR2467" s="54"/>
      <c r="JGS2467" s="60"/>
      <c r="JGT2467" s="60"/>
      <c r="JGU2467" s="60"/>
      <c r="JGV2467" s="60"/>
      <c r="JGW2467" s="63"/>
      <c r="JGX2467" s="61"/>
      <c r="JGY2467" s="54"/>
      <c r="JGZ2467" s="54"/>
      <c r="JHA2467" s="60"/>
      <c r="JHB2467" s="60"/>
      <c r="JHC2467" s="60"/>
      <c r="JHD2467" s="60"/>
      <c r="JHE2467" s="63"/>
      <c r="JHF2467" s="61"/>
      <c r="JHG2467" s="54"/>
      <c r="JHH2467" s="54"/>
      <c r="JHI2467" s="60"/>
      <c r="JHJ2467" s="60"/>
      <c r="JHK2467" s="60"/>
      <c r="JHL2467" s="60"/>
      <c r="JHM2467" s="63"/>
      <c r="JHN2467" s="61"/>
      <c r="JHO2467" s="54"/>
      <c r="JHP2467" s="54"/>
      <c r="JHQ2467" s="60"/>
      <c r="JHR2467" s="60"/>
      <c r="JHS2467" s="60"/>
      <c r="JHT2467" s="60"/>
      <c r="JHU2467" s="63"/>
      <c r="JHV2467" s="61"/>
      <c r="JHW2467" s="54"/>
      <c r="JHX2467" s="54"/>
      <c r="JHY2467" s="60"/>
      <c r="JHZ2467" s="60"/>
      <c r="JIA2467" s="60"/>
      <c r="JIB2467" s="60"/>
      <c r="JIC2467" s="63"/>
      <c r="JID2467" s="61"/>
      <c r="JIE2467" s="54"/>
      <c r="JIF2467" s="54"/>
      <c r="JIG2467" s="60"/>
      <c r="JIH2467" s="60"/>
      <c r="JII2467" s="60"/>
      <c r="JIJ2467" s="60"/>
      <c r="JIK2467" s="63"/>
      <c r="JIL2467" s="61"/>
      <c r="JIM2467" s="54"/>
      <c r="JIN2467" s="54"/>
      <c r="JIO2467" s="60"/>
      <c r="JIP2467" s="60"/>
      <c r="JIQ2467" s="60"/>
      <c r="JIR2467" s="60"/>
      <c r="JIS2467" s="63"/>
      <c r="JIT2467" s="61"/>
      <c r="JIU2467" s="54"/>
      <c r="JIV2467" s="54"/>
      <c r="JIW2467" s="60"/>
      <c r="JIX2467" s="60"/>
      <c r="JIY2467" s="60"/>
      <c r="JIZ2467" s="60"/>
      <c r="JJA2467" s="63"/>
      <c r="JJB2467" s="61"/>
      <c r="JJC2467" s="54"/>
      <c r="JJD2467" s="54"/>
      <c r="JJE2467" s="60"/>
      <c r="JJF2467" s="60"/>
      <c r="JJG2467" s="60"/>
      <c r="JJH2467" s="60"/>
      <c r="JJI2467" s="63"/>
      <c r="JJJ2467" s="61"/>
      <c r="JJK2467" s="54"/>
      <c r="JJL2467" s="54"/>
      <c r="JJM2467" s="60"/>
      <c r="JJN2467" s="60"/>
      <c r="JJO2467" s="60"/>
      <c r="JJP2467" s="60"/>
      <c r="JJQ2467" s="63"/>
      <c r="JJR2467" s="61"/>
      <c r="JJS2467" s="54"/>
      <c r="JJT2467" s="54"/>
      <c r="JJU2467" s="60"/>
      <c r="JJV2467" s="60"/>
      <c r="JJW2467" s="60"/>
      <c r="JJX2467" s="60"/>
      <c r="JJY2467" s="63"/>
      <c r="JJZ2467" s="61"/>
      <c r="JKA2467" s="54"/>
      <c r="JKB2467" s="54"/>
      <c r="JKC2467" s="60"/>
      <c r="JKD2467" s="60"/>
      <c r="JKE2467" s="60"/>
      <c r="JKF2467" s="60"/>
      <c r="JKG2467" s="63"/>
      <c r="JKH2467" s="61"/>
      <c r="JKI2467" s="54"/>
      <c r="JKJ2467" s="54"/>
      <c r="JKK2467" s="60"/>
      <c r="JKL2467" s="60"/>
      <c r="JKM2467" s="60"/>
      <c r="JKN2467" s="60"/>
      <c r="JKO2467" s="63"/>
      <c r="JKP2467" s="61"/>
      <c r="JKQ2467" s="54"/>
      <c r="JKR2467" s="54"/>
      <c r="JKS2467" s="60"/>
      <c r="JKT2467" s="60"/>
      <c r="JKU2467" s="60"/>
      <c r="JKV2467" s="60"/>
      <c r="JKW2467" s="63"/>
      <c r="JKX2467" s="61"/>
      <c r="JKY2467" s="54"/>
      <c r="JKZ2467" s="54"/>
      <c r="JLA2467" s="60"/>
      <c r="JLB2467" s="60"/>
      <c r="JLC2467" s="60"/>
      <c r="JLD2467" s="60"/>
      <c r="JLE2467" s="63"/>
      <c r="JLF2467" s="61"/>
      <c r="JLG2467" s="54"/>
      <c r="JLH2467" s="54"/>
      <c r="JLI2467" s="60"/>
      <c r="JLJ2467" s="60"/>
      <c r="JLK2467" s="60"/>
      <c r="JLL2467" s="60"/>
      <c r="JLM2467" s="63"/>
      <c r="JLN2467" s="61"/>
      <c r="JLO2467" s="54"/>
      <c r="JLP2467" s="54"/>
      <c r="JLQ2467" s="60"/>
      <c r="JLR2467" s="60"/>
      <c r="JLS2467" s="60"/>
      <c r="JLT2467" s="60"/>
      <c r="JLU2467" s="63"/>
      <c r="JLV2467" s="61"/>
      <c r="JLW2467" s="54"/>
      <c r="JLX2467" s="54"/>
      <c r="JLY2467" s="60"/>
      <c r="JLZ2467" s="60"/>
      <c r="JMA2467" s="60"/>
      <c r="JMB2467" s="60"/>
      <c r="JMC2467" s="63"/>
      <c r="JMD2467" s="61"/>
      <c r="JME2467" s="54"/>
      <c r="JMF2467" s="54"/>
      <c r="JMG2467" s="60"/>
      <c r="JMH2467" s="60"/>
      <c r="JMI2467" s="60"/>
      <c r="JMJ2467" s="60"/>
      <c r="JMK2467" s="63"/>
      <c r="JML2467" s="61"/>
      <c r="JMM2467" s="54"/>
      <c r="JMN2467" s="54"/>
      <c r="JMO2467" s="60"/>
      <c r="JMP2467" s="60"/>
      <c r="JMQ2467" s="60"/>
      <c r="JMR2467" s="60"/>
      <c r="JMS2467" s="63"/>
      <c r="JMT2467" s="61"/>
      <c r="JMU2467" s="54"/>
      <c r="JMV2467" s="54"/>
      <c r="JMW2467" s="60"/>
      <c r="JMX2467" s="60"/>
      <c r="JMY2467" s="60"/>
      <c r="JMZ2467" s="60"/>
      <c r="JNA2467" s="63"/>
      <c r="JNB2467" s="61"/>
      <c r="JNC2467" s="54"/>
      <c r="JND2467" s="54"/>
      <c r="JNE2467" s="60"/>
      <c r="JNF2467" s="60"/>
      <c r="JNG2467" s="60"/>
      <c r="JNH2467" s="60"/>
      <c r="JNI2467" s="63"/>
      <c r="JNJ2467" s="61"/>
      <c r="JNK2467" s="54"/>
      <c r="JNL2467" s="54"/>
      <c r="JNM2467" s="60"/>
      <c r="JNN2467" s="60"/>
      <c r="JNO2467" s="60"/>
      <c r="JNP2467" s="60"/>
      <c r="JNQ2467" s="63"/>
      <c r="JNR2467" s="61"/>
      <c r="JNS2467" s="54"/>
      <c r="JNT2467" s="54"/>
      <c r="JNU2467" s="60"/>
      <c r="JNV2467" s="60"/>
      <c r="JNW2467" s="60"/>
      <c r="JNX2467" s="60"/>
      <c r="JNY2467" s="63"/>
      <c r="JNZ2467" s="61"/>
      <c r="JOA2467" s="54"/>
      <c r="JOB2467" s="54"/>
      <c r="JOC2467" s="60"/>
      <c r="JOD2467" s="60"/>
      <c r="JOE2467" s="60"/>
      <c r="JOF2467" s="60"/>
      <c r="JOG2467" s="63"/>
      <c r="JOH2467" s="61"/>
      <c r="JOI2467" s="54"/>
      <c r="JOJ2467" s="54"/>
      <c r="JOK2467" s="60"/>
      <c r="JOL2467" s="60"/>
      <c r="JOM2467" s="60"/>
      <c r="JON2467" s="60"/>
      <c r="JOO2467" s="63"/>
      <c r="JOP2467" s="61"/>
      <c r="JOQ2467" s="54"/>
      <c r="JOR2467" s="54"/>
      <c r="JOS2467" s="60"/>
      <c r="JOT2467" s="60"/>
      <c r="JOU2467" s="60"/>
      <c r="JOV2467" s="60"/>
      <c r="JOW2467" s="63"/>
      <c r="JOX2467" s="61"/>
      <c r="JOY2467" s="54"/>
      <c r="JOZ2467" s="54"/>
      <c r="JPA2467" s="60"/>
      <c r="JPB2467" s="60"/>
      <c r="JPC2467" s="60"/>
      <c r="JPD2467" s="60"/>
      <c r="JPE2467" s="63"/>
      <c r="JPF2467" s="61"/>
      <c r="JPG2467" s="54"/>
      <c r="JPH2467" s="54"/>
      <c r="JPI2467" s="60"/>
      <c r="JPJ2467" s="60"/>
      <c r="JPK2467" s="60"/>
      <c r="JPL2467" s="60"/>
      <c r="JPM2467" s="63"/>
      <c r="JPN2467" s="61"/>
      <c r="JPO2467" s="54"/>
      <c r="JPP2467" s="54"/>
      <c r="JPQ2467" s="60"/>
      <c r="JPR2467" s="60"/>
      <c r="JPS2467" s="60"/>
      <c r="JPT2467" s="60"/>
      <c r="JPU2467" s="63"/>
      <c r="JPV2467" s="61"/>
      <c r="JPW2467" s="54"/>
      <c r="JPX2467" s="54"/>
      <c r="JPY2467" s="60"/>
      <c r="JPZ2467" s="60"/>
      <c r="JQA2467" s="60"/>
      <c r="JQB2467" s="60"/>
      <c r="JQC2467" s="63"/>
      <c r="JQD2467" s="61"/>
      <c r="JQE2467" s="54"/>
      <c r="JQF2467" s="54"/>
      <c r="JQG2467" s="60"/>
      <c r="JQH2467" s="60"/>
      <c r="JQI2467" s="60"/>
      <c r="JQJ2467" s="60"/>
      <c r="JQK2467" s="63"/>
      <c r="JQL2467" s="61"/>
      <c r="JQM2467" s="54"/>
      <c r="JQN2467" s="54"/>
      <c r="JQO2467" s="60"/>
      <c r="JQP2467" s="60"/>
      <c r="JQQ2467" s="60"/>
      <c r="JQR2467" s="60"/>
      <c r="JQS2467" s="63"/>
      <c r="JQT2467" s="61"/>
      <c r="JQU2467" s="54"/>
      <c r="JQV2467" s="54"/>
      <c r="JQW2467" s="60"/>
      <c r="JQX2467" s="60"/>
      <c r="JQY2467" s="60"/>
      <c r="JQZ2467" s="60"/>
      <c r="JRA2467" s="63"/>
      <c r="JRB2467" s="61"/>
      <c r="JRC2467" s="54"/>
      <c r="JRD2467" s="54"/>
      <c r="JRE2467" s="60"/>
      <c r="JRF2467" s="60"/>
      <c r="JRG2467" s="60"/>
      <c r="JRH2467" s="60"/>
      <c r="JRI2467" s="63"/>
      <c r="JRJ2467" s="61"/>
      <c r="JRK2467" s="54"/>
      <c r="JRL2467" s="54"/>
      <c r="JRM2467" s="60"/>
      <c r="JRN2467" s="60"/>
      <c r="JRO2467" s="60"/>
      <c r="JRP2467" s="60"/>
      <c r="JRQ2467" s="63"/>
      <c r="JRR2467" s="61"/>
      <c r="JRS2467" s="54"/>
      <c r="JRT2467" s="54"/>
      <c r="JRU2467" s="60"/>
      <c r="JRV2467" s="60"/>
      <c r="JRW2467" s="60"/>
      <c r="JRX2467" s="60"/>
      <c r="JRY2467" s="63"/>
      <c r="JRZ2467" s="61"/>
      <c r="JSA2467" s="54"/>
      <c r="JSB2467" s="54"/>
      <c r="JSC2467" s="60"/>
      <c r="JSD2467" s="60"/>
      <c r="JSE2467" s="60"/>
      <c r="JSF2467" s="60"/>
      <c r="JSG2467" s="63"/>
      <c r="JSH2467" s="61"/>
      <c r="JSI2467" s="54"/>
      <c r="JSJ2467" s="54"/>
      <c r="JSK2467" s="60"/>
      <c r="JSL2467" s="60"/>
      <c r="JSM2467" s="60"/>
      <c r="JSN2467" s="60"/>
      <c r="JSO2467" s="63"/>
      <c r="JSP2467" s="61"/>
      <c r="JSQ2467" s="54"/>
      <c r="JSR2467" s="54"/>
      <c r="JSS2467" s="60"/>
      <c r="JST2467" s="60"/>
      <c r="JSU2467" s="60"/>
      <c r="JSV2467" s="60"/>
      <c r="JSW2467" s="63"/>
      <c r="JSX2467" s="61"/>
      <c r="JSY2467" s="54"/>
      <c r="JSZ2467" s="54"/>
      <c r="JTA2467" s="60"/>
      <c r="JTB2467" s="60"/>
      <c r="JTC2467" s="60"/>
      <c r="JTD2467" s="60"/>
      <c r="JTE2467" s="63"/>
      <c r="JTF2467" s="61"/>
      <c r="JTG2467" s="54"/>
      <c r="JTH2467" s="54"/>
      <c r="JTI2467" s="60"/>
      <c r="JTJ2467" s="60"/>
      <c r="JTK2467" s="60"/>
      <c r="JTL2467" s="60"/>
      <c r="JTM2467" s="63"/>
      <c r="JTN2467" s="61"/>
      <c r="JTO2467" s="54"/>
      <c r="JTP2467" s="54"/>
      <c r="JTQ2467" s="60"/>
      <c r="JTR2467" s="60"/>
      <c r="JTS2467" s="60"/>
      <c r="JTT2467" s="60"/>
      <c r="JTU2467" s="63"/>
      <c r="JTV2467" s="61"/>
      <c r="JTW2467" s="54"/>
      <c r="JTX2467" s="54"/>
      <c r="JTY2467" s="60"/>
      <c r="JTZ2467" s="60"/>
      <c r="JUA2467" s="60"/>
      <c r="JUB2467" s="60"/>
      <c r="JUC2467" s="63"/>
      <c r="JUD2467" s="61"/>
      <c r="JUE2467" s="54"/>
      <c r="JUF2467" s="54"/>
      <c r="JUG2467" s="60"/>
      <c r="JUH2467" s="60"/>
      <c r="JUI2467" s="60"/>
      <c r="JUJ2467" s="60"/>
      <c r="JUK2467" s="63"/>
      <c r="JUL2467" s="61"/>
      <c r="JUM2467" s="54"/>
      <c r="JUN2467" s="54"/>
      <c r="JUO2467" s="60"/>
      <c r="JUP2467" s="60"/>
      <c r="JUQ2467" s="60"/>
      <c r="JUR2467" s="60"/>
      <c r="JUS2467" s="63"/>
      <c r="JUT2467" s="61"/>
      <c r="JUU2467" s="54"/>
      <c r="JUV2467" s="54"/>
      <c r="JUW2467" s="60"/>
      <c r="JUX2467" s="60"/>
      <c r="JUY2467" s="60"/>
      <c r="JUZ2467" s="60"/>
      <c r="JVA2467" s="63"/>
      <c r="JVB2467" s="61"/>
      <c r="JVC2467" s="54"/>
      <c r="JVD2467" s="54"/>
      <c r="JVE2467" s="60"/>
      <c r="JVF2467" s="60"/>
      <c r="JVG2467" s="60"/>
      <c r="JVH2467" s="60"/>
      <c r="JVI2467" s="63"/>
      <c r="JVJ2467" s="61"/>
      <c r="JVK2467" s="54"/>
      <c r="JVL2467" s="54"/>
      <c r="JVM2467" s="60"/>
      <c r="JVN2467" s="60"/>
      <c r="JVO2467" s="60"/>
      <c r="JVP2467" s="60"/>
      <c r="JVQ2467" s="63"/>
      <c r="JVR2467" s="61"/>
      <c r="JVS2467" s="54"/>
      <c r="JVT2467" s="54"/>
      <c r="JVU2467" s="60"/>
      <c r="JVV2467" s="60"/>
      <c r="JVW2467" s="60"/>
      <c r="JVX2467" s="60"/>
      <c r="JVY2467" s="63"/>
      <c r="JVZ2467" s="61"/>
      <c r="JWA2467" s="54"/>
      <c r="JWB2467" s="54"/>
      <c r="JWC2467" s="60"/>
      <c r="JWD2467" s="60"/>
      <c r="JWE2467" s="60"/>
      <c r="JWF2467" s="60"/>
      <c r="JWG2467" s="63"/>
      <c r="JWH2467" s="61"/>
      <c r="JWI2467" s="54"/>
      <c r="JWJ2467" s="54"/>
      <c r="JWK2467" s="60"/>
      <c r="JWL2467" s="60"/>
      <c r="JWM2467" s="60"/>
      <c r="JWN2467" s="60"/>
      <c r="JWO2467" s="63"/>
      <c r="JWP2467" s="61"/>
      <c r="JWQ2467" s="54"/>
      <c r="JWR2467" s="54"/>
      <c r="JWS2467" s="60"/>
      <c r="JWT2467" s="60"/>
      <c r="JWU2467" s="60"/>
      <c r="JWV2467" s="60"/>
      <c r="JWW2467" s="63"/>
      <c r="JWX2467" s="61"/>
      <c r="JWY2467" s="54"/>
      <c r="JWZ2467" s="54"/>
      <c r="JXA2467" s="60"/>
      <c r="JXB2467" s="60"/>
      <c r="JXC2467" s="60"/>
      <c r="JXD2467" s="60"/>
      <c r="JXE2467" s="63"/>
      <c r="JXF2467" s="61"/>
      <c r="JXG2467" s="54"/>
      <c r="JXH2467" s="54"/>
      <c r="JXI2467" s="60"/>
      <c r="JXJ2467" s="60"/>
      <c r="JXK2467" s="60"/>
      <c r="JXL2467" s="60"/>
      <c r="JXM2467" s="63"/>
      <c r="JXN2467" s="61"/>
      <c r="JXO2467" s="54"/>
      <c r="JXP2467" s="54"/>
      <c r="JXQ2467" s="60"/>
      <c r="JXR2467" s="60"/>
      <c r="JXS2467" s="60"/>
      <c r="JXT2467" s="60"/>
      <c r="JXU2467" s="63"/>
      <c r="JXV2467" s="61"/>
      <c r="JXW2467" s="54"/>
      <c r="JXX2467" s="54"/>
      <c r="JXY2467" s="60"/>
      <c r="JXZ2467" s="60"/>
      <c r="JYA2467" s="60"/>
      <c r="JYB2467" s="60"/>
      <c r="JYC2467" s="63"/>
      <c r="JYD2467" s="61"/>
      <c r="JYE2467" s="54"/>
      <c r="JYF2467" s="54"/>
      <c r="JYG2467" s="60"/>
      <c r="JYH2467" s="60"/>
      <c r="JYI2467" s="60"/>
      <c r="JYJ2467" s="60"/>
      <c r="JYK2467" s="63"/>
      <c r="JYL2467" s="61"/>
      <c r="JYM2467" s="54"/>
      <c r="JYN2467" s="54"/>
      <c r="JYO2467" s="60"/>
      <c r="JYP2467" s="60"/>
      <c r="JYQ2467" s="60"/>
      <c r="JYR2467" s="60"/>
      <c r="JYS2467" s="63"/>
      <c r="JYT2467" s="61"/>
      <c r="JYU2467" s="54"/>
      <c r="JYV2467" s="54"/>
      <c r="JYW2467" s="60"/>
      <c r="JYX2467" s="60"/>
      <c r="JYY2467" s="60"/>
      <c r="JYZ2467" s="60"/>
      <c r="JZA2467" s="63"/>
      <c r="JZB2467" s="61"/>
      <c r="JZC2467" s="54"/>
      <c r="JZD2467" s="54"/>
      <c r="JZE2467" s="60"/>
      <c r="JZF2467" s="60"/>
      <c r="JZG2467" s="60"/>
      <c r="JZH2467" s="60"/>
      <c r="JZI2467" s="63"/>
      <c r="JZJ2467" s="61"/>
      <c r="JZK2467" s="54"/>
      <c r="JZL2467" s="54"/>
      <c r="JZM2467" s="60"/>
      <c r="JZN2467" s="60"/>
      <c r="JZO2467" s="60"/>
      <c r="JZP2467" s="60"/>
      <c r="JZQ2467" s="63"/>
      <c r="JZR2467" s="61"/>
      <c r="JZS2467" s="54"/>
      <c r="JZT2467" s="54"/>
      <c r="JZU2467" s="60"/>
      <c r="JZV2467" s="60"/>
      <c r="JZW2467" s="60"/>
      <c r="JZX2467" s="60"/>
      <c r="JZY2467" s="63"/>
      <c r="JZZ2467" s="61"/>
      <c r="KAA2467" s="54"/>
      <c r="KAB2467" s="54"/>
      <c r="KAC2467" s="60"/>
      <c r="KAD2467" s="60"/>
      <c r="KAE2467" s="60"/>
      <c r="KAF2467" s="60"/>
      <c r="KAG2467" s="63"/>
      <c r="KAH2467" s="61"/>
      <c r="KAI2467" s="54"/>
      <c r="KAJ2467" s="54"/>
      <c r="KAK2467" s="60"/>
      <c r="KAL2467" s="60"/>
      <c r="KAM2467" s="60"/>
      <c r="KAN2467" s="60"/>
      <c r="KAO2467" s="63"/>
      <c r="KAP2467" s="61"/>
      <c r="KAQ2467" s="54"/>
      <c r="KAR2467" s="54"/>
      <c r="KAS2467" s="60"/>
      <c r="KAT2467" s="60"/>
      <c r="KAU2467" s="60"/>
      <c r="KAV2467" s="60"/>
      <c r="KAW2467" s="63"/>
      <c r="KAX2467" s="61"/>
      <c r="KAY2467" s="54"/>
      <c r="KAZ2467" s="54"/>
      <c r="KBA2467" s="60"/>
      <c r="KBB2467" s="60"/>
      <c r="KBC2467" s="60"/>
      <c r="KBD2467" s="60"/>
      <c r="KBE2467" s="63"/>
      <c r="KBF2467" s="61"/>
      <c r="KBG2467" s="54"/>
      <c r="KBH2467" s="54"/>
      <c r="KBI2467" s="60"/>
      <c r="KBJ2467" s="60"/>
      <c r="KBK2467" s="60"/>
      <c r="KBL2467" s="60"/>
      <c r="KBM2467" s="63"/>
      <c r="KBN2467" s="61"/>
      <c r="KBO2467" s="54"/>
      <c r="KBP2467" s="54"/>
      <c r="KBQ2467" s="60"/>
      <c r="KBR2467" s="60"/>
      <c r="KBS2467" s="60"/>
      <c r="KBT2467" s="60"/>
      <c r="KBU2467" s="63"/>
      <c r="KBV2467" s="61"/>
      <c r="KBW2467" s="54"/>
      <c r="KBX2467" s="54"/>
      <c r="KBY2467" s="60"/>
      <c r="KBZ2467" s="60"/>
      <c r="KCA2467" s="60"/>
      <c r="KCB2467" s="60"/>
      <c r="KCC2467" s="63"/>
      <c r="KCD2467" s="61"/>
      <c r="KCE2467" s="54"/>
      <c r="KCF2467" s="54"/>
      <c r="KCG2467" s="60"/>
      <c r="KCH2467" s="60"/>
      <c r="KCI2467" s="60"/>
      <c r="KCJ2467" s="60"/>
      <c r="KCK2467" s="63"/>
      <c r="KCL2467" s="61"/>
      <c r="KCM2467" s="54"/>
      <c r="KCN2467" s="54"/>
      <c r="KCO2467" s="60"/>
      <c r="KCP2467" s="60"/>
      <c r="KCQ2467" s="60"/>
      <c r="KCR2467" s="60"/>
      <c r="KCS2467" s="63"/>
      <c r="KCT2467" s="61"/>
      <c r="KCU2467" s="54"/>
      <c r="KCV2467" s="54"/>
      <c r="KCW2467" s="60"/>
      <c r="KCX2467" s="60"/>
      <c r="KCY2467" s="60"/>
      <c r="KCZ2467" s="60"/>
      <c r="KDA2467" s="63"/>
      <c r="KDB2467" s="61"/>
      <c r="KDC2467" s="54"/>
      <c r="KDD2467" s="54"/>
      <c r="KDE2467" s="60"/>
      <c r="KDF2467" s="60"/>
      <c r="KDG2467" s="60"/>
      <c r="KDH2467" s="60"/>
      <c r="KDI2467" s="63"/>
      <c r="KDJ2467" s="61"/>
      <c r="KDK2467" s="54"/>
      <c r="KDL2467" s="54"/>
      <c r="KDM2467" s="60"/>
      <c r="KDN2467" s="60"/>
      <c r="KDO2467" s="60"/>
      <c r="KDP2467" s="60"/>
      <c r="KDQ2467" s="63"/>
      <c r="KDR2467" s="61"/>
      <c r="KDS2467" s="54"/>
      <c r="KDT2467" s="54"/>
      <c r="KDU2467" s="60"/>
      <c r="KDV2467" s="60"/>
      <c r="KDW2467" s="60"/>
      <c r="KDX2467" s="60"/>
      <c r="KDY2467" s="63"/>
      <c r="KDZ2467" s="61"/>
      <c r="KEA2467" s="54"/>
      <c r="KEB2467" s="54"/>
      <c r="KEC2467" s="60"/>
      <c r="KED2467" s="60"/>
      <c r="KEE2467" s="60"/>
      <c r="KEF2467" s="60"/>
      <c r="KEG2467" s="63"/>
      <c r="KEH2467" s="61"/>
      <c r="KEI2467" s="54"/>
      <c r="KEJ2467" s="54"/>
      <c r="KEK2467" s="60"/>
      <c r="KEL2467" s="60"/>
      <c r="KEM2467" s="60"/>
      <c r="KEN2467" s="60"/>
      <c r="KEO2467" s="63"/>
      <c r="KEP2467" s="61"/>
      <c r="KEQ2467" s="54"/>
      <c r="KER2467" s="54"/>
      <c r="KES2467" s="60"/>
      <c r="KET2467" s="60"/>
      <c r="KEU2467" s="60"/>
      <c r="KEV2467" s="60"/>
      <c r="KEW2467" s="63"/>
      <c r="KEX2467" s="61"/>
      <c r="KEY2467" s="54"/>
      <c r="KEZ2467" s="54"/>
      <c r="KFA2467" s="60"/>
      <c r="KFB2467" s="60"/>
      <c r="KFC2467" s="60"/>
      <c r="KFD2467" s="60"/>
      <c r="KFE2467" s="63"/>
      <c r="KFF2467" s="61"/>
      <c r="KFG2467" s="54"/>
      <c r="KFH2467" s="54"/>
      <c r="KFI2467" s="60"/>
      <c r="KFJ2467" s="60"/>
      <c r="KFK2467" s="60"/>
      <c r="KFL2467" s="60"/>
      <c r="KFM2467" s="63"/>
      <c r="KFN2467" s="61"/>
      <c r="KFO2467" s="54"/>
      <c r="KFP2467" s="54"/>
      <c r="KFQ2467" s="60"/>
      <c r="KFR2467" s="60"/>
      <c r="KFS2467" s="60"/>
      <c r="KFT2467" s="60"/>
      <c r="KFU2467" s="63"/>
      <c r="KFV2467" s="61"/>
      <c r="KFW2467" s="54"/>
      <c r="KFX2467" s="54"/>
      <c r="KFY2467" s="60"/>
      <c r="KFZ2467" s="60"/>
      <c r="KGA2467" s="60"/>
      <c r="KGB2467" s="60"/>
      <c r="KGC2467" s="63"/>
      <c r="KGD2467" s="61"/>
      <c r="KGE2467" s="54"/>
      <c r="KGF2467" s="54"/>
      <c r="KGG2467" s="60"/>
      <c r="KGH2467" s="60"/>
      <c r="KGI2467" s="60"/>
      <c r="KGJ2467" s="60"/>
      <c r="KGK2467" s="63"/>
      <c r="KGL2467" s="61"/>
      <c r="KGM2467" s="54"/>
      <c r="KGN2467" s="54"/>
      <c r="KGO2467" s="60"/>
      <c r="KGP2467" s="60"/>
      <c r="KGQ2467" s="60"/>
      <c r="KGR2467" s="60"/>
      <c r="KGS2467" s="63"/>
      <c r="KGT2467" s="61"/>
      <c r="KGU2467" s="54"/>
      <c r="KGV2467" s="54"/>
      <c r="KGW2467" s="60"/>
      <c r="KGX2467" s="60"/>
      <c r="KGY2467" s="60"/>
      <c r="KGZ2467" s="60"/>
      <c r="KHA2467" s="63"/>
      <c r="KHB2467" s="61"/>
      <c r="KHC2467" s="54"/>
      <c r="KHD2467" s="54"/>
      <c r="KHE2467" s="60"/>
      <c r="KHF2467" s="60"/>
      <c r="KHG2467" s="60"/>
      <c r="KHH2467" s="60"/>
      <c r="KHI2467" s="63"/>
      <c r="KHJ2467" s="61"/>
      <c r="KHK2467" s="54"/>
      <c r="KHL2467" s="54"/>
      <c r="KHM2467" s="60"/>
      <c r="KHN2467" s="60"/>
      <c r="KHO2467" s="60"/>
      <c r="KHP2467" s="60"/>
      <c r="KHQ2467" s="63"/>
      <c r="KHR2467" s="61"/>
      <c r="KHS2467" s="54"/>
      <c r="KHT2467" s="54"/>
      <c r="KHU2467" s="60"/>
      <c r="KHV2467" s="60"/>
      <c r="KHW2467" s="60"/>
      <c r="KHX2467" s="60"/>
      <c r="KHY2467" s="63"/>
      <c r="KHZ2467" s="61"/>
      <c r="KIA2467" s="54"/>
      <c r="KIB2467" s="54"/>
      <c r="KIC2467" s="60"/>
      <c r="KID2467" s="60"/>
      <c r="KIE2467" s="60"/>
      <c r="KIF2467" s="60"/>
      <c r="KIG2467" s="63"/>
      <c r="KIH2467" s="61"/>
      <c r="KII2467" s="54"/>
      <c r="KIJ2467" s="54"/>
      <c r="KIK2467" s="60"/>
      <c r="KIL2467" s="60"/>
      <c r="KIM2467" s="60"/>
      <c r="KIN2467" s="60"/>
      <c r="KIO2467" s="63"/>
      <c r="KIP2467" s="61"/>
      <c r="KIQ2467" s="54"/>
      <c r="KIR2467" s="54"/>
      <c r="KIS2467" s="60"/>
      <c r="KIT2467" s="60"/>
      <c r="KIU2467" s="60"/>
      <c r="KIV2467" s="60"/>
      <c r="KIW2467" s="63"/>
      <c r="KIX2467" s="61"/>
      <c r="KIY2467" s="54"/>
      <c r="KIZ2467" s="54"/>
      <c r="KJA2467" s="60"/>
      <c r="KJB2467" s="60"/>
      <c r="KJC2467" s="60"/>
      <c r="KJD2467" s="60"/>
      <c r="KJE2467" s="63"/>
      <c r="KJF2467" s="61"/>
      <c r="KJG2467" s="54"/>
      <c r="KJH2467" s="54"/>
      <c r="KJI2467" s="60"/>
      <c r="KJJ2467" s="60"/>
      <c r="KJK2467" s="60"/>
      <c r="KJL2467" s="60"/>
      <c r="KJM2467" s="63"/>
      <c r="KJN2467" s="61"/>
      <c r="KJO2467" s="54"/>
      <c r="KJP2467" s="54"/>
      <c r="KJQ2467" s="60"/>
      <c r="KJR2467" s="60"/>
      <c r="KJS2467" s="60"/>
      <c r="KJT2467" s="60"/>
      <c r="KJU2467" s="63"/>
      <c r="KJV2467" s="61"/>
      <c r="KJW2467" s="54"/>
      <c r="KJX2467" s="54"/>
      <c r="KJY2467" s="60"/>
      <c r="KJZ2467" s="60"/>
      <c r="KKA2467" s="60"/>
      <c r="KKB2467" s="60"/>
      <c r="KKC2467" s="63"/>
      <c r="KKD2467" s="61"/>
      <c r="KKE2467" s="54"/>
      <c r="KKF2467" s="54"/>
      <c r="KKG2467" s="60"/>
      <c r="KKH2467" s="60"/>
      <c r="KKI2467" s="60"/>
      <c r="KKJ2467" s="60"/>
      <c r="KKK2467" s="63"/>
      <c r="KKL2467" s="61"/>
      <c r="KKM2467" s="54"/>
      <c r="KKN2467" s="54"/>
      <c r="KKO2467" s="60"/>
      <c r="KKP2467" s="60"/>
      <c r="KKQ2467" s="60"/>
      <c r="KKR2467" s="60"/>
      <c r="KKS2467" s="63"/>
      <c r="KKT2467" s="61"/>
      <c r="KKU2467" s="54"/>
      <c r="KKV2467" s="54"/>
      <c r="KKW2467" s="60"/>
      <c r="KKX2467" s="60"/>
      <c r="KKY2467" s="60"/>
      <c r="KKZ2467" s="60"/>
      <c r="KLA2467" s="63"/>
      <c r="KLB2467" s="61"/>
      <c r="KLC2467" s="54"/>
      <c r="KLD2467" s="54"/>
      <c r="KLE2467" s="60"/>
      <c r="KLF2467" s="60"/>
      <c r="KLG2467" s="60"/>
      <c r="KLH2467" s="60"/>
      <c r="KLI2467" s="63"/>
      <c r="KLJ2467" s="61"/>
      <c r="KLK2467" s="54"/>
      <c r="KLL2467" s="54"/>
      <c r="KLM2467" s="60"/>
      <c r="KLN2467" s="60"/>
      <c r="KLO2467" s="60"/>
      <c r="KLP2467" s="60"/>
      <c r="KLQ2467" s="63"/>
      <c r="KLR2467" s="61"/>
      <c r="KLS2467" s="54"/>
      <c r="KLT2467" s="54"/>
      <c r="KLU2467" s="60"/>
      <c r="KLV2467" s="60"/>
      <c r="KLW2467" s="60"/>
      <c r="KLX2467" s="60"/>
      <c r="KLY2467" s="63"/>
      <c r="KLZ2467" s="61"/>
      <c r="KMA2467" s="54"/>
      <c r="KMB2467" s="54"/>
      <c r="KMC2467" s="60"/>
      <c r="KMD2467" s="60"/>
      <c r="KME2467" s="60"/>
      <c r="KMF2467" s="60"/>
      <c r="KMG2467" s="63"/>
      <c r="KMH2467" s="61"/>
      <c r="KMI2467" s="54"/>
      <c r="KMJ2467" s="54"/>
      <c r="KMK2467" s="60"/>
      <c r="KML2467" s="60"/>
      <c r="KMM2467" s="60"/>
      <c r="KMN2467" s="60"/>
      <c r="KMO2467" s="63"/>
      <c r="KMP2467" s="61"/>
      <c r="KMQ2467" s="54"/>
      <c r="KMR2467" s="54"/>
      <c r="KMS2467" s="60"/>
      <c r="KMT2467" s="60"/>
      <c r="KMU2467" s="60"/>
      <c r="KMV2467" s="60"/>
      <c r="KMW2467" s="63"/>
      <c r="KMX2467" s="61"/>
      <c r="KMY2467" s="54"/>
      <c r="KMZ2467" s="54"/>
      <c r="KNA2467" s="60"/>
      <c r="KNB2467" s="60"/>
      <c r="KNC2467" s="60"/>
      <c r="KND2467" s="60"/>
      <c r="KNE2467" s="63"/>
      <c r="KNF2467" s="61"/>
      <c r="KNG2467" s="54"/>
      <c r="KNH2467" s="54"/>
      <c r="KNI2467" s="60"/>
      <c r="KNJ2467" s="60"/>
      <c r="KNK2467" s="60"/>
      <c r="KNL2467" s="60"/>
      <c r="KNM2467" s="63"/>
      <c r="KNN2467" s="61"/>
      <c r="KNO2467" s="54"/>
      <c r="KNP2467" s="54"/>
      <c r="KNQ2467" s="60"/>
      <c r="KNR2467" s="60"/>
      <c r="KNS2467" s="60"/>
      <c r="KNT2467" s="60"/>
      <c r="KNU2467" s="63"/>
      <c r="KNV2467" s="61"/>
      <c r="KNW2467" s="54"/>
      <c r="KNX2467" s="54"/>
      <c r="KNY2467" s="60"/>
      <c r="KNZ2467" s="60"/>
      <c r="KOA2467" s="60"/>
      <c r="KOB2467" s="60"/>
      <c r="KOC2467" s="63"/>
      <c r="KOD2467" s="61"/>
      <c r="KOE2467" s="54"/>
      <c r="KOF2467" s="54"/>
      <c r="KOG2467" s="60"/>
      <c r="KOH2467" s="60"/>
      <c r="KOI2467" s="60"/>
      <c r="KOJ2467" s="60"/>
      <c r="KOK2467" s="63"/>
      <c r="KOL2467" s="61"/>
      <c r="KOM2467" s="54"/>
      <c r="KON2467" s="54"/>
      <c r="KOO2467" s="60"/>
      <c r="KOP2467" s="60"/>
      <c r="KOQ2467" s="60"/>
      <c r="KOR2467" s="60"/>
      <c r="KOS2467" s="63"/>
      <c r="KOT2467" s="61"/>
      <c r="KOU2467" s="54"/>
      <c r="KOV2467" s="54"/>
      <c r="KOW2467" s="60"/>
      <c r="KOX2467" s="60"/>
      <c r="KOY2467" s="60"/>
      <c r="KOZ2467" s="60"/>
      <c r="KPA2467" s="63"/>
      <c r="KPB2467" s="61"/>
      <c r="KPC2467" s="54"/>
      <c r="KPD2467" s="54"/>
      <c r="KPE2467" s="60"/>
      <c r="KPF2467" s="60"/>
      <c r="KPG2467" s="60"/>
      <c r="KPH2467" s="60"/>
      <c r="KPI2467" s="63"/>
      <c r="KPJ2467" s="61"/>
      <c r="KPK2467" s="54"/>
      <c r="KPL2467" s="54"/>
      <c r="KPM2467" s="60"/>
      <c r="KPN2467" s="60"/>
      <c r="KPO2467" s="60"/>
      <c r="KPP2467" s="60"/>
      <c r="KPQ2467" s="63"/>
      <c r="KPR2467" s="61"/>
      <c r="KPS2467" s="54"/>
      <c r="KPT2467" s="54"/>
      <c r="KPU2467" s="60"/>
      <c r="KPV2467" s="60"/>
      <c r="KPW2467" s="60"/>
      <c r="KPX2467" s="60"/>
      <c r="KPY2467" s="63"/>
      <c r="KPZ2467" s="61"/>
      <c r="KQA2467" s="54"/>
      <c r="KQB2467" s="54"/>
      <c r="KQC2467" s="60"/>
      <c r="KQD2467" s="60"/>
      <c r="KQE2467" s="60"/>
      <c r="KQF2467" s="60"/>
      <c r="KQG2467" s="63"/>
      <c r="KQH2467" s="61"/>
      <c r="KQI2467" s="54"/>
      <c r="KQJ2467" s="54"/>
      <c r="KQK2467" s="60"/>
      <c r="KQL2467" s="60"/>
      <c r="KQM2467" s="60"/>
      <c r="KQN2467" s="60"/>
      <c r="KQO2467" s="63"/>
      <c r="KQP2467" s="61"/>
      <c r="KQQ2467" s="54"/>
      <c r="KQR2467" s="54"/>
      <c r="KQS2467" s="60"/>
      <c r="KQT2467" s="60"/>
      <c r="KQU2467" s="60"/>
      <c r="KQV2467" s="60"/>
      <c r="KQW2467" s="63"/>
      <c r="KQX2467" s="61"/>
      <c r="KQY2467" s="54"/>
      <c r="KQZ2467" s="54"/>
      <c r="KRA2467" s="60"/>
      <c r="KRB2467" s="60"/>
      <c r="KRC2467" s="60"/>
      <c r="KRD2467" s="60"/>
      <c r="KRE2467" s="63"/>
      <c r="KRF2467" s="61"/>
      <c r="KRG2467" s="54"/>
      <c r="KRH2467" s="54"/>
      <c r="KRI2467" s="60"/>
      <c r="KRJ2467" s="60"/>
      <c r="KRK2467" s="60"/>
      <c r="KRL2467" s="60"/>
      <c r="KRM2467" s="63"/>
      <c r="KRN2467" s="61"/>
      <c r="KRO2467" s="54"/>
      <c r="KRP2467" s="54"/>
      <c r="KRQ2467" s="60"/>
      <c r="KRR2467" s="60"/>
      <c r="KRS2467" s="60"/>
      <c r="KRT2467" s="60"/>
      <c r="KRU2467" s="63"/>
      <c r="KRV2467" s="61"/>
      <c r="KRW2467" s="54"/>
      <c r="KRX2467" s="54"/>
      <c r="KRY2467" s="60"/>
      <c r="KRZ2467" s="60"/>
      <c r="KSA2467" s="60"/>
      <c r="KSB2467" s="60"/>
      <c r="KSC2467" s="63"/>
      <c r="KSD2467" s="61"/>
      <c r="KSE2467" s="54"/>
      <c r="KSF2467" s="54"/>
      <c r="KSG2467" s="60"/>
      <c r="KSH2467" s="60"/>
      <c r="KSI2467" s="60"/>
      <c r="KSJ2467" s="60"/>
      <c r="KSK2467" s="63"/>
      <c r="KSL2467" s="61"/>
      <c r="KSM2467" s="54"/>
      <c r="KSN2467" s="54"/>
      <c r="KSO2467" s="60"/>
      <c r="KSP2467" s="60"/>
      <c r="KSQ2467" s="60"/>
      <c r="KSR2467" s="60"/>
      <c r="KSS2467" s="63"/>
      <c r="KST2467" s="61"/>
      <c r="KSU2467" s="54"/>
      <c r="KSV2467" s="54"/>
      <c r="KSW2467" s="60"/>
      <c r="KSX2467" s="60"/>
      <c r="KSY2467" s="60"/>
      <c r="KSZ2467" s="60"/>
      <c r="KTA2467" s="63"/>
      <c r="KTB2467" s="61"/>
      <c r="KTC2467" s="54"/>
      <c r="KTD2467" s="54"/>
      <c r="KTE2467" s="60"/>
      <c r="KTF2467" s="60"/>
      <c r="KTG2467" s="60"/>
      <c r="KTH2467" s="60"/>
      <c r="KTI2467" s="63"/>
      <c r="KTJ2467" s="61"/>
      <c r="KTK2467" s="54"/>
      <c r="KTL2467" s="54"/>
      <c r="KTM2467" s="60"/>
      <c r="KTN2467" s="60"/>
      <c r="KTO2467" s="60"/>
      <c r="KTP2467" s="60"/>
      <c r="KTQ2467" s="63"/>
      <c r="KTR2467" s="61"/>
      <c r="KTS2467" s="54"/>
      <c r="KTT2467" s="54"/>
      <c r="KTU2467" s="60"/>
      <c r="KTV2467" s="60"/>
      <c r="KTW2467" s="60"/>
      <c r="KTX2467" s="60"/>
      <c r="KTY2467" s="63"/>
      <c r="KTZ2467" s="61"/>
      <c r="KUA2467" s="54"/>
      <c r="KUB2467" s="54"/>
      <c r="KUC2467" s="60"/>
      <c r="KUD2467" s="60"/>
      <c r="KUE2467" s="60"/>
      <c r="KUF2467" s="60"/>
      <c r="KUG2467" s="63"/>
      <c r="KUH2467" s="61"/>
      <c r="KUI2467" s="54"/>
      <c r="KUJ2467" s="54"/>
      <c r="KUK2467" s="60"/>
      <c r="KUL2467" s="60"/>
      <c r="KUM2467" s="60"/>
      <c r="KUN2467" s="60"/>
      <c r="KUO2467" s="63"/>
      <c r="KUP2467" s="61"/>
      <c r="KUQ2467" s="54"/>
      <c r="KUR2467" s="54"/>
      <c r="KUS2467" s="60"/>
      <c r="KUT2467" s="60"/>
      <c r="KUU2467" s="60"/>
      <c r="KUV2467" s="60"/>
      <c r="KUW2467" s="63"/>
      <c r="KUX2467" s="61"/>
      <c r="KUY2467" s="54"/>
      <c r="KUZ2467" s="54"/>
      <c r="KVA2467" s="60"/>
      <c r="KVB2467" s="60"/>
      <c r="KVC2467" s="60"/>
      <c r="KVD2467" s="60"/>
      <c r="KVE2467" s="63"/>
      <c r="KVF2467" s="61"/>
      <c r="KVG2467" s="54"/>
      <c r="KVH2467" s="54"/>
      <c r="KVI2467" s="60"/>
      <c r="KVJ2467" s="60"/>
      <c r="KVK2467" s="60"/>
      <c r="KVL2467" s="60"/>
      <c r="KVM2467" s="63"/>
      <c r="KVN2467" s="61"/>
      <c r="KVO2467" s="54"/>
      <c r="KVP2467" s="54"/>
      <c r="KVQ2467" s="60"/>
      <c r="KVR2467" s="60"/>
      <c r="KVS2467" s="60"/>
      <c r="KVT2467" s="60"/>
      <c r="KVU2467" s="63"/>
      <c r="KVV2467" s="61"/>
      <c r="KVW2467" s="54"/>
      <c r="KVX2467" s="54"/>
      <c r="KVY2467" s="60"/>
      <c r="KVZ2467" s="60"/>
      <c r="KWA2467" s="60"/>
      <c r="KWB2467" s="60"/>
      <c r="KWC2467" s="63"/>
      <c r="KWD2467" s="61"/>
      <c r="KWE2467" s="54"/>
      <c r="KWF2467" s="54"/>
      <c r="KWG2467" s="60"/>
      <c r="KWH2467" s="60"/>
      <c r="KWI2467" s="60"/>
      <c r="KWJ2467" s="60"/>
      <c r="KWK2467" s="63"/>
      <c r="KWL2467" s="61"/>
      <c r="KWM2467" s="54"/>
      <c r="KWN2467" s="54"/>
      <c r="KWO2467" s="60"/>
      <c r="KWP2467" s="60"/>
      <c r="KWQ2467" s="60"/>
      <c r="KWR2467" s="60"/>
      <c r="KWS2467" s="63"/>
      <c r="KWT2467" s="61"/>
      <c r="KWU2467" s="54"/>
      <c r="KWV2467" s="54"/>
      <c r="KWW2467" s="60"/>
      <c r="KWX2467" s="60"/>
      <c r="KWY2467" s="60"/>
      <c r="KWZ2467" s="60"/>
      <c r="KXA2467" s="63"/>
      <c r="KXB2467" s="61"/>
      <c r="KXC2467" s="54"/>
      <c r="KXD2467" s="54"/>
      <c r="KXE2467" s="60"/>
      <c r="KXF2467" s="60"/>
      <c r="KXG2467" s="60"/>
      <c r="KXH2467" s="60"/>
      <c r="KXI2467" s="63"/>
      <c r="KXJ2467" s="61"/>
      <c r="KXK2467" s="54"/>
      <c r="KXL2467" s="54"/>
      <c r="KXM2467" s="60"/>
      <c r="KXN2467" s="60"/>
      <c r="KXO2467" s="60"/>
      <c r="KXP2467" s="60"/>
      <c r="KXQ2467" s="63"/>
      <c r="KXR2467" s="61"/>
      <c r="KXS2467" s="54"/>
      <c r="KXT2467" s="54"/>
      <c r="KXU2467" s="60"/>
      <c r="KXV2467" s="60"/>
      <c r="KXW2467" s="60"/>
      <c r="KXX2467" s="60"/>
      <c r="KXY2467" s="63"/>
      <c r="KXZ2467" s="61"/>
      <c r="KYA2467" s="54"/>
      <c r="KYB2467" s="54"/>
      <c r="KYC2467" s="60"/>
      <c r="KYD2467" s="60"/>
      <c r="KYE2467" s="60"/>
      <c r="KYF2467" s="60"/>
      <c r="KYG2467" s="63"/>
      <c r="KYH2467" s="61"/>
      <c r="KYI2467" s="54"/>
      <c r="KYJ2467" s="54"/>
      <c r="KYK2467" s="60"/>
      <c r="KYL2467" s="60"/>
      <c r="KYM2467" s="60"/>
      <c r="KYN2467" s="60"/>
      <c r="KYO2467" s="63"/>
      <c r="KYP2467" s="61"/>
      <c r="KYQ2467" s="54"/>
      <c r="KYR2467" s="54"/>
      <c r="KYS2467" s="60"/>
      <c r="KYT2467" s="60"/>
      <c r="KYU2467" s="60"/>
      <c r="KYV2467" s="60"/>
      <c r="KYW2467" s="63"/>
      <c r="KYX2467" s="61"/>
      <c r="KYY2467" s="54"/>
      <c r="KYZ2467" s="54"/>
      <c r="KZA2467" s="60"/>
      <c r="KZB2467" s="60"/>
      <c r="KZC2467" s="60"/>
      <c r="KZD2467" s="60"/>
      <c r="KZE2467" s="63"/>
      <c r="KZF2467" s="61"/>
      <c r="KZG2467" s="54"/>
      <c r="KZH2467" s="54"/>
      <c r="KZI2467" s="60"/>
      <c r="KZJ2467" s="60"/>
      <c r="KZK2467" s="60"/>
      <c r="KZL2467" s="60"/>
      <c r="KZM2467" s="63"/>
      <c r="KZN2467" s="61"/>
      <c r="KZO2467" s="54"/>
      <c r="KZP2467" s="54"/>
      <c r="KZQ2467" s="60"/>
      <c r="KZR2467" s="60"/>
      <c r="KZS2467" s="60"/>
      <c r="KZT2467" s="60"/>
      <c r="KZU2467" s="63"/>
      <c r="KZV2467" s="61"/>
      <c r="KZW2467" s="54"/>
      <c r="KZX2467" s="54"/>
      <c r="KZY2467" s="60"/>
      <c r="KZZ2467" s="60"/>
      <c r="LAA2467" s="60"/>
      <c r="LAB2467" s="60"/>
      <c r="LAC2467" s="63"/>
      <c r="LAD2467" s="61"/>
      <c r="LAE2467" s="54"/>
      <c r="LAF2467" s="54"/>
      <c r="LAG2467" s="60"/>
      <c r="LAH2467" s="60"/>
      <c r="LAI2467" s="60"/>
      <c r="LAJ2467" s="60"/>
      <c r="LAK2467" s="63"/>
      <c r="LAL2467" s="61"/>
      <c r="LAM2467" s="54"/>
      <c r="LAN2467" s="54"/>
      <c r="LAO2467" s="60"/>
      <c r="LAP2467" s="60"/>
      <c r="LAQ2467" s="60"/>
      <c r="LAR2467" s="60"/>
      <c r="LAS2467" s="63"/>
      <c r="LAT2467" s="61"/>
      <c r="LAU2467" s="54"/>
      <c r="LAV2467" s="54"/>
      <c r="LAW2467" s="60"/>
      <c r="LAX2467" s="60"/>
      <c r="LAY2467" s="60"/>
      <c r="LAZ2467" s="60"/>
      <c r="LBA2467" s="63"/>
      <c r="LBB2467" s="61"/>
      <c r="LBC2467" s="54"/>
      <c r="LBD2467" s="54"/>
      <c r="LBE2467" s="60"/>
      <c r="LBF2467" s="60"/>
      <c r="LBG2467" s="60"/>
      <c r="LBH2467" s="60"/>
      <c r="LBI2467" s="63"/>
      <c r="LBJ2467" s="61"/>
      <c r="LBK2467" s="54"/>
      <c r="LBL2467" s="54"/>
      <c r="LBM2467" s="60"/>
      <c r="LBN2467" s="60"/>
      <c r="LBO2467" s="60"/>
      <c r="LBP2467" s="60"/>
      <c r="LBQ2467" s="63"/>
      <c r="LBR2467" s="61"/>
      <c r="LBS2467" s="54"/>
      <c r="LBT2467" s="54"/>
      <c r="LBU2467" s="60"/>
      <c r="LBV2467" s="60"/>
      <c r="LBW2467" s="60"/>
      <c r="LBX2467" s="60"/>
      <c r="LBY2467" s="63"/>
      <c r="LBZ2467" s="61"/>
      <c r="LCA2467" s="54"/>
      <c r="LCB2467" s="54"/>
      <c r="LCC2467" s="60"/>
      <c r="LCD2467" s="60"/>
      <c r="LCE2467" s="60"/>
      <c r="LCF2467" s="60"/>
      <c r="LCG2467" s="63"/>
      <c r="LCH2467" s="61"/>
      <c r="LCI2467" s="54"/>
      <c r="LCJ2467" s="54"/>
      <c r="LCK2467" s="60"/>
      <c r="LCL2467" s="60"/>
      <c r="LCM2467" s="60"/>
      <c r="LCN2467" s="60"/>
      <c r="LCO2467" s="63"/>
      <c r="LCP2467" s="61"/>
      <c r="LCQ2467" s="54"/>
      <c r="LCR2467" s="54"/>
      <c r="LCS2467" s="60"/>
      <c r="LCT2467" s="60"/>
      <c r="LCU2467" s="60"/>
      <c r="LCV2467" s="60"/>
      <c r="LCW2467" s="63"/>
      <c r="LCX2467" s="61"/>
      <c r="LCY2467" s="54"/>
      <c r="LCZ2467" s="54"/>
      <c r="LDA2467" s="60"/>
      <c r="LDB2467" s="60"/>
      <c r="LDC2467" s="60"/>
      <c r="LDD2467" s="60"/>
      <c r="LDE2467" s="63"/>
      <c r="LDF2467" s="61"/>
      <c r="LDG2467" s="54"/>
      <c r="LDH2467" s="54"/>
      <c r="LDI2467" s="60"/>
      <c r="LDJ2467" s="60"/>
      <c r="LDK2467" s="60"/>
      <c r="LDL2467" s="60"/>
      <c r="LDM2467" s="63"/>
      <c r="LDN2467" s="61"/>
      <c r="LDO2467" s="54"/>
      <c r="LDP2467" s="54"/>
      <c r="LDQ2467" s="60"/>
      <c r="LDR2467" s="60"/>
      <c r="LDS2467" s="60"/>
      <c r="LDT2467" s="60"/>
      <c r="LDU2467" s="63"/>
      <c r="LDV2467" s="61"/>
      <c r="LDW2467" s="54"/>
      <c r="LDX2467" s="54"/>
      <c r="LDY2467" s="60"/>
      <c r="LDZ2467" s="60"/>
      <c r="LEA2467" s="60"/>
      <c r="LEB2467" s="60"/>
      <c r="LEC2467" s="63"/>
      <c r="LED2467" s="61"/>
      <c r="LEE2467" s="54"/>
      <c r="LEF2467" s="54"/>
      <c r="LEG2467" s="60"/>
      <c r="LEH2467" s="60"/>
      <c r="LEI2467" s="60"/>
      <c r="LEJ2467" s="60"/>
      <c r="LEK2467" s="63"/>
      <c r="LEL2467" s="61"/>
      <c r="LEM2467" s="54"/>
      <c r="LEN2467" s="54"/>
      <c r="LEO2467" s="60"/>
      <c r="LEP2467" s="60"/>
      <c r="LEQ2467" s="60"/>
      <c r="LER2467" s="60"/>
      <c r="LES2467" s="63"/>
      <c r="LET2467" s="61"/>
      <c r="LEU2467" s="54"/>
      <c r="LEV2467" s="54"/>
      <c r="LEW2467" s="60"/>
      <c r="LEX2467" s="60"/>
      <c r="LEY2467" s="60"/>
      <c r="LEZ2467" s="60"/>
      <c r="LFA2467" s="63"/>
      <c r="LFB2467" s="61"/>
      <c r="LFC2467" s="54"/>
      <c r="LFD2467" s="54"/>
      <c r="LFE2467" s="60"/>
      <c r="LFF2467" s="60"/>
      <c r="LFG2467" s="60"/>
      <c r="LFH2467" s="60"/>
      <c r="LFI2467" s="63"/>
      <c r="LFJ2467" s="61"/>
      <c r="LFK2467" s="54"/>
      <c r="LFL2467" s="54"/>
      <c r="LFM2467" s="60"/>
      <c r="LFN2467" s="60"/>
      <c r="LFO2467" s="60"/>
      <c r="LFP2467" s="60"/>
      <c r="LFQ2467" s="63"/>
      <c r="LFR2467" s="61"/>
      <c r="LFS2467" s="54"/>
      <c r="LFT2467" s="54"/>
      <c r="LFU2467" s="60"/>
      <c r="LFV2467" s="60"/>
      <c r="LFW2467" s="60"/>
      <c r="LFX2467" s="60"/>
      <c r="LFY2467" s="63"/>
      <c r="LFZ2467" s="61"/>
      <c r="LGA2467" s="54"/>
      <c r="LGB2467" s="54"/>
      <c r="LGC2467" s="60"/>
      <c r="LGD2467" s="60"/>
      <c r="LGE2467" s="60"/>
      <c r="LGF2467" s="60"/>
      <c r="LGG2467" s="63"/>
      <c r="LGH2467" s="61"/>
      <c r="LGI2467" s="54"/>
      <c r="LGJ2467" s="54"/>
      <c r="LGK2467" s="60"/>
      <c r="LGL2467" s="60"/>
      <c r="LGM2467" s="60"/>
      <c r="LGN2467" s="60"/>
      <c r="LGO2467" s="63"/>
      <c r="LGP2467" s="61"/>
      <c r="LGQ2467" s="54"/>
      <c r="LGR2467" s="54"/>
      <c r="LGS2467" s="60"/>
      <c r="LGT2467" s="60"/>
      <c r="LGU2467" s="60"/>
      <c r="LGV2467" s="60"/>
      <c r="LGW2467" s="63"/>
      <c r="LGX2467" s="61"/>
      <c r="LGY2467" s="54"/>
      <c r="LGZ2467" s="54"/>
      <c r="LHA2467" s="60"/>
      <c r="LHB2467" s="60"/>
      <c r="LHC2467" s="60"/>
      <c r="LHD2467" s="60"/>
      <c r="LHE2467" s="63"/>
      <c r="LHF2467" s="61"/>
      <c r="LHG2467" s="54"/>
      <c r="LHH2467" s="54"/>
      <c r="LHI2467" s="60"/>
      <c r="LHJ2467" s="60"/>
      <c r="LHK2467" s="60"/>
      <c r="LHL2467" s="60"/>
      <c r="LHM2467" s="63"/>
      <c r="LHN2467" s="61"/>
      <c r="LHO2467" s="54"/>
      <c r="LHP2467" s="54"/>
      <c r="LHQ2467" s="60"/>
      <c r="LHR2467" s="60"/>
      <c r="LHS2467" s="60"/>
      <c r="LHT2467" s="60"/>
      <c r="LHU2467" s="63"/>
      <c r="LHV2467" s="61"/>
      <c r="LHW2467" s="54"/>
      <c r="LHX2467" s="54"/>
      <c r="LHY2467" s="60"/>
      <c r="LHZ2467" s="60"/>
      <c r="LIA2467" s="60"/>
      <c r="LIB2467" s="60"/>
      <c r="LIC2467" s="63"/>
      <c r="LID2467" s="61"/>
      <c r="LIE2467" s="54"/>
      <c r="LIF2467" s="54"/>
      <c r="LIG2467" s="60"/>
      <c r="LIH2467" s="60"/>
      <c r="LII2467" s="60"/>
      <c r="LIJ2467" s="60"/>
      <c r="LIK2467" s="63"/>
      <c r="LIL2467" s="61"/>
      <c r="LIM2467" s="54"/>
      <c r="LIN2467" s="54"/>
      <c r="LIO2467" s="60"/>
      <c r="LIP2467" s="60"/>
      <c r="LIQ2467" s="60"/>
      <c r="LIR2467" s="60"/>
      <c r="LIS2467" s="63"/>
      <c r="LIT2467" s="61"/>
      <c r="LIU2467" s="54"/>
      <c r="LIV2467" s="54"/>
      <c r="LIW2467" s="60"/>
      <c r="LIX2467" s="60"/>
      <c r="LIY2467" s="60"/>
      <c r="LIZ2467" s="60"/>
      <c r="LJA2467" s="63"/>
      <c r="LJB2467" s="61"/>
      <c r="LJC2467" s="54"/>
      <c r="LJD2467" s="54"/>
      <c r="LJE2467" s="60"/>
      <c r="LJF2467" s="60"/>
      <c r="LJG2467" s="60"/>
      <c r="LJH2467" s="60"/>
      <c r="LJI2467" s="63"/>
      <c r="LJJ2467" s="61"/>
      <c r="LJK2467" s="54"/>
      <c r="LJL2467" s="54"/>
      <c r="LJM2467" s="60"/>
      <c r="LJN2467" s="60"/>
      <c r="LJO2467" s="60"/>
      <c r="LJP2467" s="60"/>
      <c r="LJQ2467" s="63"/>
      <c r="LJR2467" s="61"/>
      <c r="LJS2467" s="54"/>
      <c r="LJT2467" s="54"/>
      <c r="LJU2467" s="60"/>
      <c r="LJV2467" s="60"/>
      <c r="LJW2467" s="60"/>
      <c r="LJX2467" s="60"/>
      <c r="LJY2467" s="63"/>
      <c r="LJZ2467" s="61"/>
      <c r="LKA2467" s="54"/>
      <c r="LKB2467" s="54"/>
      <c r="LKC2467" s="60"/>
      <c r="LKD2467" s="60"/>
      <c r="LKE2467" s="60"/>
      <c r="LKF2467" s="60"/>
      <c r="LKG2467" s="63"/>
      <c r="LKH2467" s="61"/>
      <c r="LKI2467" s="54"/>
      <c r="LKJ2467" s="54"/>
      <c r="LKK2467" s="60"/>
      <c r="LKL2467" s="60"/>
      <c r="LKM2467" s="60"/>
      <c r="LKN2467" s="60"/>
      <c r="LKO2467" s="63"/>
      <c r="LKP2467" s="61"/>
      <c r="LKQ2467" s="54"/>
      <c r="LKR2467" s="54"/>
      <c r="LKS2467" s="60"/>
      <c r="LKT2467" s="60"/>
      <c r="LKU2467" s="60"/>
      <c r="LKV2467" s="60"/>
      <c r="LKW2467" s="63"/>
      <c r="LKX2467" s="61"/>
      <c r="LKY2467" s="54"/>
      <c r="LKZ2467" s="54"/>
      <c r="LLA2467" s="60"/>
      <c r="LLB2467" s="60"/>
      <c r="LLC2467" s="60"/>
      <c r="LLD2467" s="60"/>
      <c r="LLE2467" s="63"/>
      <c r="LLF2467" s="61"/>
      <c r="LLG2467" s="54"/>
      <c r="LLH2467" s="54"/>
      <c r="LLI2467" s="60"/>
      <c r="LLJ2467" s="60"/>
      <c r="LLK2467" s="60"/>
      <c r="LLL2467" s="60"/>
      <c r="LLM2467" s="63"/>
      <c r="LLN2467" s="61"/>
      <c r="LLO2467" s="54"/>
      <c r="LLP2467" s="54"/>
      <c r="LLQ2467" s="60"/>
      <c r="LLR2467" s="60"/>
      <c r="LLS2467" s="60"/>
      <c r="LLT2467" s="60"/>
      <c r="LLU2467" s="63"/>
      <c r="LLV2467" s="61"/>
      <c r="LLW2467" s="54"/>
      <c r="LLX2467" s="54"/>
      <c r="LLY2467" s="60"/>
      <c r="LLZ2467" s="60"/>
      <c r="LMA2467" s="60"/>
      <c r="LMB2467" s="60"/>
      <c r="LMC2467" s="63"/>
      <c r="LMD2467" s="61"/>
      <c r="LME2467" s="54"/>
      <c r="LMF2467" s="54"/>
      <c r="LMG2467" s="60"/>
      <c r="LMH2467" s="60"/>
      <c r="LMI2467" s="60"/>
      <c r="LMJ2467" s="60"/>
      <c r="LMK2467" s="63"/>
      <c r="LML2467" s="61"/>
      <c r="LMM2467" s="54"/>
      <c r="LMN2467" s="54"/>
      <c r="LMO2467" s="60"/>
      <c r="LMP2467" s="60"/>
      <c r="LMQ2467" s="60"/>
      <c r="LMR2467" s="60"/>
      <c r="LMS2467" s="63"/>
      <c r="LMT2467" s="61"/>
      <c r="LMU2467" s="54"/>
      <c r="LMV2467" s="54"/>
      <c r="LMW2467" s="60"/>
      <c r="LMX2467" s="60"/>
      <c r="LMY2467" s="60"/>
      <c r="LMZ2467" s="60"/>
      <c r="LNA2467" s="63"/>
      <c r="LNB2467" s="61"/>
      <c r="LNC2467" s="54"/>
      <c r="LND2467" s="54"/>
      <c r="LNE2467" s="60"/>
      <c r="LNF2467" s="60"/>
      <c r="LNG2467" s="60"/>
      <c r="LNH2467" s="60"/>
      <c r="LNI2467" s="63"/>
      <c r="LNJ2467" s="61"/>
      <c r="LNK2467" s="54"/>
      <c r="LNL2467" s="54"/>
      <c r="LNM2467" s="60"/>
      <c r="LNN2467" s="60"/>
      <c r="LNO2467" s="60"/>
      <c r="LNP2467" s="60"/>
      <c r="LNQ2467" s="63"/>
      <c r="LNR2467" s="61"/>
      <c r="LNS2467" s="54"/>
      <c r="LNT2467" s="54"/>
      <c r="LNU2467" s="60"/>
      <c r="LNV2467" s="60"/>
      <c r="LNW2467" s="60"/>
      <c r="LNX2467" s="60"/>
      <c r="LNY2467" s="63"/>
      <c r="LNZ2467" s="61"/>
      <c r="LOA2467" s="54"/>
      <c r="LOB2467" s="54"/>
      <c r="LOC2467" s="60"/>
      <c r="LOD2467" s="60"/>
      <c r="LOE2467" s="60"/>
      <c r="LOF2467" s="60"/>
      <c r="LOG2467" s="63"/>
      <c r="LOH2467" s="61"/>
      <c r="LOI2467" s="54"/>
      <c r="LOJ2467" s="54"/>
      <c r="LOK2467" s="60"/>
      <c r="LOL2467" s="60"/>
      <c r="LOM2467" s="60"/>
      <c r="LON2467" s="60"/>
      <c r="LOO2467" s="63"/>
      <c r="LOP2467" s="61"/>
      <c r="LOQ2467" s="54"/>
      <c r="LOR2467" s="54"/>
      <c r="LOS2467" s="60"/>
      <c r="LOT2467" s="60"/>
      <c r="LOU2467" s="60"/>
      <c r="LOV2467" s="60"/>
      <c r="LOW2467" s="63"/>
      <c r="LOX2467" s="61"/>
      <c r="LOY2467" s="54"/>
      <c r="LOZ2467" s="54"/>
      <c r="LPA2467" s="60"/>
      <c r="LPB2467" s="60"/>
      <c r="LPC2467" s="60"/>
      <c r="LPD2467" s="60"/>
      <c r="LPE2467" s="63"/>
      <c r="LPF2467" s="61"/>
      <c r="LPG2467" s="54"/>
      <c r="LPH2467" s="54"/>
      <c r="LPI2467" s="60"/>
      <c r="LPJ2467" s="60"/>
      <c r="LPK2467" s="60"/>
      <c r="LPL2467" s="60"/>
      <c r="LPM2467" s="63"/>
      <c r="LPN2467" s="61"/>
      <c r="LPO2467" s="54"/>
      <c r="LPP2467" s="54"/>
      <c r="LPQ2467" s="60"/>
      <c r="LPR2467" s="60"/>
      <c r="LPS2467" s="60"/>
      <c r="LPT2467" s="60"/>
      <c r="LPU2467" s="63"/>
      <c r="LPV2467" s="61"/>
      <c r="LPW2467" s="54"/>
      <c r="LPX2467" s="54"/>
      <c r="LPY2467" s="60"/>
      <c r="LPZ2467" s="60"/>
      <c r="LQA2467" s="60"/>
      <c r="LQB2467" s="60"/>
      <c r="LQC2467" s="63"/>
      <c r="LQD2467" s="61"/>
      <c r="LQE2467" s="54"/>
      <c r="LQF2467" s="54"/>
      <c r="LQG2467" s="60"/>
      <c r="LQH2467" s="60"/>
      <c r="LQI2467" s="60"/>
      <c r="LQJ2467" s="60"/>
      <c r="LQK2467" s="63"/>
      <c r="LQL2467" s="61"/>
      <c r="LQM2467" s="54"/>
      <c r="LQN2467" s="54"/>
      <c r="LQO2467" s="60"/>
      <c r="LQP2467" s="60"/>
      <c r="LQQ2467" s="60"/>
      <c r="LQR2467" s="60"/>
      <c r="LQS2467" s="63"/>
      <c r="LQT2467" s="61"/>
      <c r="LQU2467" s="54"/>
      <c r="LQV2467" s="54"/>
      <c r="LQW2467" s="60"/>
      <c r="LQX2467" s="60"/>
      <c r="LQY2467" s="60"/>
      <c r="LQZ2467" s="60"/>
      <c r="LRA2467" s="63"/>
      <c r="LRB2467" s="61"/>
      <c r="LRC2467" s="54"/>
      <c r="LRD2467" s="54"/>
      <c r="LRE2467" s="60"/>
      <c r="LRF2467" s="60"/>
      <c r="LRG2467" s="60"/>
      <c r="LRH2467" s="60"/>
      <c r="LRI2467" s="63"/>
      <c r="LRJ2467" s="61"/>
      <c r="LRK2467" s="54"/>
      <c r="LRL2467" s="54"/>
      <c r="LRM2467" s="60"/>
      <c r="LRN2467" s="60"/>
      <c r="LRO2467" s="60"/>
      <c r="LRP2467" s="60"/>
      <c r="LRQ2467" s="63"/>
      <c r="LRR2467" s="61"/>
      <c r="LRS2467" s="54"/>
      <c r="LRT2467" s="54"/>
      <c r="LRU2467" s="60"/>
      <c r="LRV2467" s="60"/>
      <c r="LRW2467" s="60"/>
      <c r="LRX2467" s="60"/>
      <c r="LRY2467" s="63"/>
      <c r="LRZ2467" s="61"/>
      <c r="LSA2467" s="54"/>
      <c r="LSB2467" s="54"/>
      <c r="LSC2467" s="60"/>
      <c r="LSD2467" s="60"/>
      <c r="LSE2467" s="60"/>
      <c r="LSF2467" s="60"/>
      <c r="LSG2467" s="63"/>
      <c r="LSH2467" s="61"/>
      <c r="LSI2467" s="54"/>
      <c r="LSJ2467" s="54"/>
      <c r="LSK2467" s="60"/>
      <c r="LSL2467" s="60"/>
      <c r="LSM2467" s="60"/>
      <c r="LSN2467" s="60"/>
      <c r="LSO2467" s="63"/>
      <c r="LSP2467" s="61"/>
      <c r="LSQ2467" s="54"/>
      <c r="LSR2467" s="54"/>
      <c r="LSS2467" s="60"/>
      <c r="LST2467" s="60"/>
      <c r="LSU2467" s="60"/>
      <c r="LSV2467" s="60"/>
      <c r="LSW2467" s="63"/>
      <c r="LSX2467" s="61"/>
      <c r="LSY2467" s="54"/>
      <c r="LSZ2467" s="54"/>
      <c r="LTA2467" s="60"/>
      <c r="LTB2467" s="60"/>
      <c r="LTC2467" s="60"/>
      <c r="LTD2467" s="60"/>
      <c r="LTE2467" s="63"/>
      <c r="LTF2467" s="61"/>
      <c r="LTG2467" s="54"/>
      <c r="LTH2467" s="54"/>
      <c r="LTI2467" s="60"/>
      <c r="LTJ2467" s="60"/>
      <c r="LTK2467" s="60"/>
      <c r="LTL2467" s="60"/>
      <c r="LTM2467" s="63"/>
      <c r="LTN2467" s="61"/>
      <c r="LTO2467" s="54"/>
      <c r="LTP2467" s="54"/>
      <c r="LTQ2467" s="60"/>
      <c r="LTR2467" s="60"/>
      <c r="LTS2467" s="60"/>
      <c r="LTT2467" s="60"/>
      <c r="LTU2467" s="63"/>
      <c r="LTV2467" s="61"/>
      <c r="LTW2467" s="54"/>
      <c r="LTX2467" s="54"/>
      <c r="LTY2467" s="60"/>
      <c r="LTZ2467" s="60"/>
      <c r="LUA2467" s="60"/>
      <c r="LUB2467" s="60"/>
      <c r="LUC2467" s="63"/>
      <c r="LUD2467" s="61"/>
      <c r="LUE2467" s="54"/>
      <c r="LUF2467" s="54"/>
      <c r="LUG2467" s="60"/>
      <c r="LUH2467" s="60"/>
      <c r="LUI2467" s="60"/>
      <c r="LUJ2467" s="60"/>
      <c r="LUK2467" s="63"/>
      <c r="LUL2467" s="61"/>
      <c r="LUM2467" s="54"/>
      <c r="LUN2467" s="54"/>
      <c r="LUO2467" s="60"/>
      <c r="LUP2467" s="60"/>
      <c r="LUQ2467" s="60"/>
      <c r="LUR2467" s="60"/>
      <c r="LUS2467" s="63"/>
      <c r="LUT2467" s="61"/>
      <c r="LUU2467" s="54"/>
      <c r="LUV2467" s="54"/>
      <c r="LUW2467" s="60"/>
      <c r="LUX2467" s="60"/>
      <c r="LUY2467" s="60"/>
      <c r="LUZ2467" s="60"/>
      <c r="LVA2467" s="63"/>
      <c r="LVB2467" s="61"/>
      <c r="LVC2467" s="54"/>
      <c r="LVD2467" s="54"/>
      <c r="LVE2467" s="60"/>
      <c r="LVF2467" s="60"/>
      <c r="LVG2467" s="60"/>
      <c r="LVH2467" s="60"/>
      <c r="LVI2467" s="63"/>
      <c r="LVJ2467" s="61"/>
      <c r="LVK2467" s="54"/>
      <c r="LVL2467" s="54"/>
      <c r="LVM2467" s="60"/>
      <c r="LVN2467" s="60"/>
      <c r="LVO2467" s="60"/>
      <c r="LVP2467" s="60"/>
      <c r="LVQ2467" s="63"/>
      <c r="LVR2467" s="61"/>
      <c r="LVS2467" s="54"/>
      <c r="LVT2467" s="54"/>
      <c r="LVU2467" s="60"/>
      <c r="LVV2467" s="60"/>
      <c r="LVW2467" s="60"/>
      <c r="LVX2467" s="60"/>
      <c r="LVY2467" s="63"/>
      <c r="LVZ2467" s="61"/>
      <c r="LWA2467" s="54"/>
      <c r="LWB2467" s="54"/>
      <c r="LWC2467" s="60"/>
      <c r="LWD2467" s="60"/>
      <c r="LWE2467" s="60"/>
      <c r="LWF2467" s="60"/>
      <c r="LWG2467" s="63"/>
      <c r="LWH2467" s="61"/>
      <c r="LWI2467" s="54"/>
      <c r="LWJ2467" s="54"/>
      <c r="LWK2467" s="60"/>
      <c r="LWL2467" s="60"/>
      <c r="LWM2467" s="60"/>
      <c r="LWN2467" s="60"/>
      <c r="LWO2467" s="63"/>
      <c r="LWP2467" s="61"/>
      <c r="LWQ2467" s="54"/>
      <c r="LWR2467" s="54"/>
      <c r="LWS2467" s="60"/>
      <c r="LWT2467" s="60"/>
      <c r="LWU2467" s="60"/>
      <c r="LWV2467" s="60"/>
      <c r="LWW2467" s="63"/>
      <c r="LWX2467" s="61"/>
      <c r="LWY2467" s="54"/>
      <c r="LWZ2467" s="54"/>
      <c r="LXA2467" s="60"/>
      <c r="LXB2467" s="60"/>
      <c r="LXC2467" s="60"/>
      <c r="LXD2467" s="60"/>
      <c r="LXE2467" s="63"/>
      <c r="LXF2467" s="61"/>
      <c r="LXG2467" s="54"/>
      <c r="LXH2467" s="54"/>
      <c r="LXI2467" s="60"/>
      <c r="LXJ2467" s="60"/>
      <c r="LXK2467" s="60"/>
      <c r="LXL2467" s="60"/>
      <c r="LXM2467" s="63"/>
      <c r="LXN2467" s="61"/>
      <c r="LXO2467" s="54"/>
      <c r="LXP2467" s="54"/>
      <c r="LXQ2467" s="60"/>
      <c r="LXR2467" s="60"/>
      <c r="LXS2467" s="60"/>
      <c r="LXT2467" s="60"/>
      <c r="LXU2467" s="63"/>
      <c r="LXV2467" s="61"/>
      <c r="LXW2467" s="54"/>
      <c r="LXX2467" s="54"/>
      <c r="LXY2467" s="60"/>
      <c r="LXZ2467" s="60"/>
      <c r="LYA2467" s="60"/>
      <c r="LYB2467" s="60"/>
      <c r="LYC2467" s="63"/>
      <c r="LYD2467" s="61"/>
      <c r="LYE2467" s="54"/>
      <c r="LYF2467" s="54"/>
      <c r="LYG2467" s="60"/>
      <c r="LYH2467" s="60"/>
      <c r="LYI2467" s="60"/>
      <c r="LYJ2467" s="60"/>
      <c r="LYK2467" s="63"/>
      <c r="LYL2467" s="61"/>
      <c r="LYM2467" s="54"/>
      <c r="LYN2467" s="54"/>
      <c r="LYO2467" s="60"/>
      <c r="LYP2467" s="60"/>
      <c r="LYQ2467" s="60"/>
      <c r="LYR2467" s="60"/>
      <c r="LYS2467" s="63"/>
      <c r="LYT2467" s="61"/>
      <c r="LYU2467" s="54"/>
      <c r="LYV2467" s="54"/>
      <c r="LYW2467" s="60"/>
      <c r="LYX2467" s="60"/>
      <c r="LYY2467" s="60"/>
      <c r="LYZ2467" s="60"/>
      <c r="LZA2467" s="63"/>
      <c r="LZB2467" s="61"/>
      <c r="LZC2467" s="54"/>
      <c r="LZD2467" s="54"/>
      <c r="LZE2467" s="60"/>
      <c r="LZF2467" s="60"/>
      <c r="LZG2467" s="60"/>
      <c r="LZH2467" s="60"/>
      <c r="LZI2467" s="63"/>
      <c r="LZJ2467" s="61"/>
      <c r="LZK2467" s="54"/>
      <c r="LZL2467" s="54"/>
      <c r="LZM2467" s="60"/>
      <c r="LZN2467" s="60"/>
      <c r="LZO2467" s="60"/>
      <c r="LZP2467" s="60"/>
      <c r="LZQ2467" s="63"/>
      <c r="LZR2467" s="61"/>
      <c r="LZS2467" s="54"/>
      <c r="LZT2467" s="54"/>
      <c r="LZU2467" s="60"/>
      <c r="LZV2467" s="60"/>
      <c r="LZW2467" s="60"/>
      <c r="LZX2467" s="60"/>
      <c r="LZY2467" s="63"/>
      <c r="LZZ2467" s="61"/>
      <c r="MAA2467" s="54"/>
      <c r="MAB2467" s="54"/>
      <c r="MAC2467" s="60"/>
      <c r="MAD2467" s="60"/>
      <c r="MAE2467" s="60"/>
      <c r="MAF2467" s="60"/>
      <c r="MAG2467" s="63"/>
      <c r="MAH2467" s="61"/>
      <c r="MAI2467" s="54"/>
      <c r="MAJ2467" s="54"/>
      <c r="MAK2467" s="60"/>
      <c r="MAL2467" s="60"/>
      <c r="MAM2467" s="60"/>
      <c r="MAN2467" s="60"/>
      <c r="MAO2467" s="63"/>
      <c r="MAP2467" s="61"/>
      <c r="MAQ2467" s="54"/>
      <c r="MAR2467" s="54"/>
      <c r="MAS2467" s="60"/>
      <c r="MAT2467" s="60"/>
      <c r="MAU2467" s="60"/>
      <c r="MAV2467" s="60"/>
      <c r="MAW2467" s="63"/>
      <c r="MAX2467" s="61"/>
      <c r="MAY2467" s="54"/>
      <c r="MAZ2467" s="54"/>
      <c r="MBA2467" s="60"/>
      <c r="MBB2467" s="60"/>
      <c r="MBC2467" s="60"/>
      <c r="MBD2467" s="60"/>
      <c r="MBE2467" s="63"/>
      <c r="MBF2467" s="61"/>
      <c r="MBG2467" s="54"/>
      <c r="MBH2467" s="54"/>
      <c r="MBI2467" s="60"/>
      <c r="MBJ2467" s="60"/>
      <c r="MBK2467" s="60"/>
      <c r="MBL2467" s="60"/>
      <c r="MBM2467" s="63"/>
      <c r="MBN2467" s="61"/>
      <c r="MBO2467" s="54"/>
      <c r="MBP2467" s="54"/>
      <c r="MBQ2467" s="60"/>
      <c r="MBR2467" s="60"/>
      <c r="MBS2467" s="60"/>
      <c r="MBT2467" s="60"/>
      <c r="MBU2467" s="63"/>
      <c r="MBV2467" s="61"/>
      <c r="MBW2467" s="54"/>
      <c r="MBX2467" s="54"/>
      <c r="MBY2467" s="60"/>
      <c r="MBZ2467" s="60"/>
      <c r="MCA2467" s="60"/>
      <c r="MCB2467" s="60"/>
      <c r="MCC2467" s="63"/>
      <c r="MCD2467" s="61"/>
      <c r="MCE2467" s="54"/>
      <c r="MCF2467" s="54"/>
      <c r="MCG2467" s="60"/>
      <c r="MCH2467" s="60"/>
      <c r="MCI2467" s="60"/>
      <c r="MCJ2467" s="60"/>
      <c r="MCK2467" s="63"/>
      <c r="MCL2467" s="61"/>
      <c r="MCM2467" s="54"/>
      <c r="MCN2467" s="54"/>
      <c r="MCO2467" s="60"/>
      <c r="MCP2467" s="60"/>
      <c r="MCQ2467" s="60"/>
      <c r="MCR2467" s="60"/>
      <c r="MCS2467" s="63"/>
      <c r="MCT2467" s="61"/>
      <c r="MCU2467" s="54"/>
      <c r="MCV2467" s="54"/>
      <c r="MCW2467" s="60"/>
      <c r="MCX2467" s="60"/>
      <c r="MCY2467" s="60"/>
      <c r="MCZ2467" s="60"/>
      <c r="MDA2467" s="63"/>
      <c r="MDB2467" s="61"/>
      <c r="MDC2467" s="54"/>
      <c r="MDD2467" s="54"/>
      <c r="MDE2467" s="60"/>
      <c r="MDF2467" s="60"/>
      <c r="MDG2467" s="60"/>
      <c r="MDH2467" s="60"/>
      <c r="MDI2467" s="63"/>
      <c r="MDJ2467" s="61"/>
      <c r="MDK2467" s="54"/>
      <c r="MDL2467" s="54"/>
      <c r="MDM2467" s="60"/>
      <c r="MDN2467" s="60"/>
      <c r="MDO2467" s="60"/>
      <c r="MDP2467" s="60"/>
      <c r="MDQ2467" s="63"/>
      <c r="MDR2467" s="61"/>
      <c r="MDS2467" s="54"/>
      <c r="MDT2467" s="54"/>
      <c r="MDU2467" s="60"/>
      <c r="MDV2467" s="60"/>
      <c r="MDW2467" s="60"/>
      <c r="MDX2467" s="60"/>
      <c r="MDY2467" s="63"/>
      <c r="MDZ2467" s="61"/>
      <c r="MEA2467" s="54"/>
      <c r="MEB2467" s="54"/>
      <c r="MEC2467" s="60"/>
      <c r="MED2467" s="60"/>
      <c r="MEE2467" s="60"/>
      <c r="MEF2467" s="60"/>
      <c r="MEG2467" s="63"/>
      <c r="MEH2467" s="61"/>
      <c r="MEI2467" s="54"/>
      <c r="MEJ2467" s="54"/>
      <c r="MEK2467" s="60"/>
      <c r="MEL2467" s="60"/>
      <c r="MEM2467" s="60"/>
      <c r="MEN2467" s="60"/>
      <c r="MEO2467" s="63"/>
      <c r="MEP2467" s="61"/>
      <c r="MEQ2467" s="54"/>
      <c r="MER2467" s="54"/>
      <c r="MES2467" s="60"/>
      <c r="MET2467" s="60"/>
      <c r="MEU2467" s="60"/>
      <c r="MEV2467" s="60"/>
      <c r="MEW2467" s="63"/>
      <c r="MEX2467" s="61"/>
      <c r="MEY2467" s="54"/>
      <c r="MEZ2467" s="54"/>
      <c r="MFA2467" s="60"/>
      <c r="MFB2467" s="60"/>
      <c r="MFC2467" s="60"/>
      <c r="MFD2467" s="60"/>
      <c r="MFE2467" s="63"/>
      <c r="MFF2467" s="61"/>
      <c r="MFG2467" s="54"/>
      <c r="MFH2467" s="54"/>
      <c r="MFI2467" s="60"/>
      <c r="MFJ2467" s="60"/>
      <c r="MFK2467" s="60"/>
      <c r="MFL2467" s="60"/>
      <c r="MFM2467" s="63"/>
      <c r="MFN2467" s="61"/>
      <c r="MFO2467" s="54"/>
      <c r="MFP2467" s="54"/>
      <c r="MFQ2467" s="60"/>
      <c r="MFR2467" s="60"/>
      <c r="MFS2467" s="60"/>
      <c r="MFT2467" s="60"/>
      <c r="MFU2467" s="63"/>
      <c r="MFV2467" s="61"/>
      <c r="MFW2467" s="54"/>
      <c r="MFX2467" s="54"/>
      <c r="MFY2467" s="60"/>
      <c r="MFZ2467" s="60"/>
      <c r="MGA2467" s="60"/>
      <c r="MGB2467" s="60"/>
      <c r="MGC2467" s="63"/>
      <c r="MGD2467" s="61"/>
      <c r="MGE2467" s="54"/>
      <c r="MGF2467" s="54"/>
      <c r="MGG2467" s="60"/>
      <c r="MGH2467" s="60"/>
      <c r="MGI2467" s="60"/>
      <c r="MGJ2467" s="60"/>
      <c r="MGK2467" s="63"/>
      <c r="MGL2467" s="61"/>
      <c r="MGM2467" s="54"/>
      <c r="MGN2467" s="54"/>
      <c r="MGO2467" s="60"/>
      <c r="MGP2467" s="60"/>
      <c r="MGQ2467" s="60"/>
      <c r="MGR2467" s="60"/>
      <c r="MGS2467" s="63"/>
      <c r="MGT2467" s="61"/>
      <c r="MGU2467" s="54"/>
      <c r="MGV2467" s="54"/>
      <c r="MGW2467" s="60"/>
      <c r="MGX2467" s="60"/>
      <c r="MGY2467" s="60"/>
      <c r="MGZ2467" s="60"/>
      <c r="MHA2467" s="63"/>
      <c r="MHB2467" s="61"/>
      <c r="MHC2467" s="54"/>
      <c r="MHD2467" s="54"/>
      <c r="MHE2467" s="60"/>
      <c r="MHF2467" s="60"/>
      <c r="MHG2467" s="60"/>
      <c r="MHH2467" s="60"/>
      <c r="MHI2467" s="63"/>
      <c r="MHJ2467" s="61"/>
      <c r="MHK2467" s="54"/>
      <c r="MHL2467" s="54"/>
      <c r="MHM2467" s="60"/>
      <c r="MHN2467" s="60"/>
      <c r="MHO2467" s="60"/>
      <c r="MHP2467" s="60"/>
      <c r="MHQ2467" s="63"/>
      <c r="MHR2467" s="61"/>
      <c r="MHS2467" s="54"/>
      <c r="MHT2467" s="54"/>
      <c r="MHU2467" s="60"/>
      <c r="MHV2467" s="60"/>
      <c r="MHW2467" s="60"/>
      <c r="MHX2467" s="60"/>
      <c r="MHY2467" s="63"/>
      <c r="MHZ2467" s="61"/>
      <c r="MIA2467" s="54"/>
      <c r="MIB2467" s="54"/>
      <c r="MIC2467" s="60"/>
      <c r="MID2467" s="60"/>
      <c r="MIE2467" s="60"/>
      <c r="MIF2467" s="60"/>
      <c r="MIG2467" s="63"/>
      <c r="MIH2467" s="61"/>
      <c r="MII2467" s="54"/>
      <c r="MIJ2467" s="54"/>
      <c r="MIK2467" s="60"/>
      <c r="MIL2467" s="60"/>
      <c r="MIM2467" s="60"/>
      <c r="MIN2467" s="60"/>
      <c r="MIO2467" s="63"/>
      <c r="MIP2467" s="61"/>
      <c r="MIQ2467" s="54"/>
      <c r="MIR2467" s="54"/>
      <c r="MIS2467" s="60"/>
      <c r="MIT2467" s="60"/>
      <c r="MIU2467" s="60"/>
      <c r="MIV2467" s="60"/>
      <c r="MIW2467" s="63"/>
      <c r="MIX2467" s="61"/>
      <c r="MIY2467" s="54"/>
      <c r="MIZ2467" s="54"/>
      <c r="MJA2467" s="60"/>
      <c r="MJB2467" s="60"/>
      <c r="MJC2467" s="60"/>
      <c r="MJD2467" s="60"/>
      <c r="MJE2467" s="63"/>
      <c r="MJF2467" s="61"/>
      <c r="MJG2467" s="54"/>
      <c r="MJH2467" s="54"/>
      <c r="MJI2467" s="60"/>
      <c r="MJJ2467" s="60"/>
      <c r="MJK2467" s="60"/>
      <c r="MJL2467" s="60"/>
      <c r="MJM2467" s="63"/>
      <c r="MJN2467" s="61"/>
      <c r="MJO2467" s="54"/>
      <c r="MJP2467" s="54"/>
      <c r="MJQ2467" s="60"/>
      <c r="MJR2467" s="60"/>
      <c r="MJS2467" s="60"/>
      <c r="MJT2467" s="60"/>
      <c r="MJU2467" s="63"/>
      <c r="MJV2467" s="61"/>
      <c r="MJW2467" s="54"/>
      <c r="MJX2467" s="54"/>
      <c r="MJY2467" s="60"/>
      <c r="MJZ2467" s="60"/>
      <c r="MKA2467" s="60"/>
      <c r="MKB2467" s="60"/>
      <c r="MKC2467" s="63"/>
      <c r="MKD2467" s="61"/>
      <c r="MKE2467" s="54"/>
      <c r="MKF2467" s="54"/>
      <c r="MKG2467" s="60"/>
      <c r="MKH2467" s="60"/>
      <c r="MKI2467" s="60"/>
      <c r="MKJ2467" s="60"/>
      <c r="MKK2467" s="63"/>
      <c r="MKL2467" s="61"/>
      <c r="MKM2467" s="54"/>
      <c r="MKN2467" s="54"/>
      <c r="MKO2467" s="60"/>
      <c r="MKP2467" s="60"/>
      <c r="MKQ2467" s="60"/>
      <c r="MKR2467" s="60"/>
      <c r="MKS2467" s="63"/>
      <c r="MKT2467" s="61"/>
      <c r="MKU2467" s="54"/>
      <c r="MKV2467" s="54"/>
      <c r="MKW2467" s="60"/>
      <c r="MKX2467" s="60"/>
      <c r="MKY2467" s="60"/>
      <c r="MKZ2467" s="60"/>
      <c r="MLA2467" s="63"/>
      <c r="MLB2467" s="61"/>
      <c r="MLC2467" s="54"/>
      <c r="MLD2467" s="54"/>
      <c r="MLE2467" s="60"/>
      <c r="MLF2467" s="60"/>
      <c r="MLG2467" s="60"/>
      <c r="MLH2467" s="60"/>
      <c r="MLI2467" s="63"/>
      <c r="MLJ2467" s="61"/>
      <c r="MLK2467" s="54"/>
      <c r="MLL2467" s="54"/>
      <c r="MLM2467" s="60"/>
      <c r="MLN2467" s="60"/>
      <c r="MLO2467" s="60"/>
      <c r="MLP2467" s="60"/>
      <c r="MLQ2467" s="63"/>
      <c r="MLR2467" s="61"/>
      <c r="MLS2467" s="54"/>
      <c r="MLT2467" s="54"/>
      <c r="MLU2467" s="60"/>
      <c r="MLV2467" s="60"/>
      <c r="MLW2467" s="60"/>
      <c r="MLX2467" s="60"/>
      <c r="MLY2467" s="63"/>
      <c r="MLZ2467" s="61"/>
      <c r="MMA2467" s="54"/>
      <c r="MMB2467" s="54"/>
      <c r="MMC2467" s="60"/>
      <c r="MMD2467" s="60"/>
      <c r="MME2467" s="60"/>
      <c r="MMF2467" s="60"/>
      <c r="MMG2467" s="63"/>
      <c r="MMH2467" s="61"/>
      <c r="MMI2467" s="54"/>
      <c r="MMJ2467" s="54"/>
      <c r="MMK2467" s="60"/>
      <c r="MML2467" s="60"/>
      <c r="MMM2467" s="60"/>
      <c r="MMN2467" s="60"/>
      <c r="MMO2467" s="63"/>
      <c r="MMP2467" s="61"/>
      <c r="MMQ2467" s="54"/>
      <c r="MMR2467" s="54"/>
      <c r="MMS2467" s="60"/>
      <c r="MMT2467" s="60"/>
      <c r="MMU2467" s="60"/>
      <c r="MMV2467" s="60"/>
      <c r="MMW2467" s="63"/>
      <c r="MMX2467" s="61"/>
      <c r="MMY2467" s="54"/>
      <c r="MMZ2467" s="54"/>
      <c r="MNA2467" s="60"/>
      <c r="MNB2467" s="60"/>
      <c r="MNC2467" s="60"/>
      <c r="MND2467" s="60"/>
      <c r="MNE2467" s="63"/>
      <c r="MNF2467" s="61"/>
      <c r="MNG2467" s="54"/>
      <c r="MNH2467" s="54"/>
      <c r="MNI2467" s="60"/>
      <c r="MNJ2467" s="60"/>
      <c r="MNK2467" s="60"/>
      <c r="MNL2467" s="60"/>
      <c r="MNM2467" s="63"/>
      <c r="MNN2467" s="61"/>
      <c r="MNO2467" s="54"/>
      <c r="MNP2467" s="54"/>
      <c r="MNQ2467" s="60"/>
      <c r="MNR2467" s="60"/>
      <c r="MNS2467" s="60"/>
      <c r="MNT2467" s="60"/>
      <c r="MNU2467" s="63"/>
      <c r="MNV2467" s="61"/>
      <c r="MNW2467" s="54"/>
      <c r="MNX2467" s="54"/>
      <c r="MNY2467" s="60"/>
      <c r="MNZ2467" s="60"/>
      <c r="MOA2467" s="60"/>
      <c r="MOB2467" s="60"/>
      <c r="MOC2467" s="63"/>
      <c r="MOD2467" s="61"/>
      <c r="MOE2467" s="54"/>
      <c r="MOF2467" s="54"/>
      <c r="MOG2467" s="60"/>
      <c r="MOH2467" s="60"/>
      <c r="MOI2467" s="60"/>
      <c r="MOJ2467" s="60"/>
      <c r="MOK2467" s="63"/>
      <c r="MOL2467" s="61"/>
      <c r="MOM2467" s="54"/>
      <c r="MON2467" s="54"/>
      <c r="MOO2467" s="60"/>
      <c r="MOP2467" s="60"/>
      <c r="MOQ2467" s="60"/>
      <c r="MOR2467" s="60"/>
      <c r="MOS2467" s="63"/>
      <c r="MOT2467" s="61"/>
      <c r="MOU2467" s="54"/>
      <c r="MOV2467" s="54"/>
      <c r="MOW2467" s="60"/>
      <c r="MOX2467" s="60"/>
      <c r="MOY2467" s="60"/>
      <c r="MOZ2467" s="60"/>
      <c r="MPA2467" s="63"/>
      <c r="MPB2467" s="61"/>
      <c r="MPC2467" s="54"/>
      <c r="MPD2467" s="54"/>
      <c r="MPE2467" s="60"/>
      <c r="MPF2467" s="60"/>
      <c r="MPG2467" s="60"/>
      <c r="MPH2467" s="60"/>
      <c r="MPI2467" s="63"/>
      <c r="MPJ2467" s="61"/>
      <c r="MPK2467" s="54"/>
      <c r="MPL2467" s="54"/>
      <c r="MPM2467" s="60"/>
      <c r="MPN2467" s="60"/>
      <c r="MPO2467" s="60"/>
      <c r="MPP2467" s="60"/>
      <c r="MPQ2467" s="63"/>
      <c r="MPR2467" s="61"/>
      <c r="MPS2467" s="54"/>
      <c r="MPT2467" s="54"/>
      <c r="MPU2467" s="60"/>
      <c r="MPV2467" s="60"/>
      <c r="MPW2467" s="60"/>
      <c r="MPX2467" s="60"/>
      <c r="MPY2467" s="63"/>
      <c r="MPZ2467" s="61"/>
      <c r="MQA2467" s="54"/>
      <c r="MQB2467" s="54"/>
      <c r="MQC2467" s="60"/>
      <c r="MQD2467" s="60"/>
      <c r="MQE2467" s="60"/>
      <c r="MQF2467" s="60"/>
      <c r="MQG2467" s="63"/>
      <c r="MQH2467" s="61"/>
      <c r="MQI2467" s="54"/>
      <c r="MQJ2467" s="54"/>
      <c r="MQK2467" s="60"/>
      <c r="MQL2467" s="60"/>
      <c r="MQM2467" s="60"/>
      <c r="MQN2467" s="60"/>
      <c r="MQO2467" s="63"/>
      <c r="MQP2467" s="61"/>
      <c r="MQQ2467" s="54"/>
      <c r="MQR2467" s="54"/>
      <c r="MQS2467" s="60"/>
      <c r="MQT2467" s="60"/>
      <c r="MQU2467" s="60"/>
      <c r="MQV2467" s="60"/>
      <c r="MQW2467" s="63"/>
      <c r="MQX2467" s="61"/>
      <c r="MQY2467" s="54"/>
      <c r="MQZ2467" s="54"/>
      <c r="MRA2467" s="60"/>
      <c r="MRB2467" s="60"/>
      <c r="MRC2467" s="60"/>
      <c r="MRD2467" s="60"/>
      <c r="MRE2467" s="63"/>
      <c r="MRF2467" s="61"/>
      <c r="MRG2467" s="54"/>
      <c r="MRH2467" s="54"/>
      <c r="MRI2467" s="60"/>
      <c r="MRJ2467" s="60"/>
      <c r="MRK2467" s="60"/>
      <c r="MRL2467" s="60"/>
      <c r="MRM2467" s="63"/>
      <c r="MRN2467" s="61"/>
      <c r="MRO2467" s="54"/>
      <c r="MRP2467" s="54"/>
      <c r="MRQ2467" s="60"/>
      <c r="MRR2467" s="60"/>
      <c r="MRS2467" s="60"/>
      <c r="MRT2467" s="60"/>
      <c r="MRU2467" s="63"/>
      <c r="MRV2467" s="61"/>
      <c r="MRW2467" s="54"/>
      <c r="MRX2467" s="54"/>
      <c r="MRY2467" s="60"/>
      <c r="MRZ2467" s="60"/>
      <c r="MSA2467" s="60"/>
      <c r="MSB2467" s="60"/>
      <c r="MSC2467" s="63"/>
      <c r="MSD2467" s="61"/>
      <c r="MSE2467" s="54"/>
      <c r="MSF2467" s="54"/>
      <c r="MSG2467" s="60"/>
      <c r="MSH2467" s="60"/>
      <c r="MSI2467" s="60"/>
      <c r="MSJ2467" s="60"/>
      <c r="MSK2467" s="63"/>
      <c r="MSL2467" s="61"/>
      <c r="MSM2467" s="54"/>
      <c r="MSN2467" s="54"/>
      <c r="MSO2467" s="60"/>
      <c r="MSP2467" s="60"/>
      <c r="MSQ2467" s="60"/>
      <c r="MSR2467" s="60"/>
      <c r="MSS2467" s="63"/>
      <c r="MST2467" s="61"/>
      <c r="MSU2467" s="54"/>
      <c r="MSV2467" s="54"/>
      <c r="MSW2467" s="60"/>
      <c r="MSX2467" s="60"/>
      <c r="MSY2467" s="60"/>
      <c r="MSZ2467" s="60"/>
      <c r="MTA2467" s="63"/>
      <c r="MTB2467" s="61"/>
      <c r="MTC2467" s="54"/>
      <c r="MTD2467" s="54"/>
      <c r="MTE2467" s="60"/>
      <c r="MTF2467" s="60"/>
      <c r="MTG2467" s="60"/>
      <c r="MTH2467" s="60"/>
      <c r="MTI2467" s="63"/>
      <c r="MTJ2467" s="61"/>
      <c r="MTK2467" s="54"/>
      <c r="MTL2467" s="54"/>
      <c r="MTM2467" s="60"/>
      <c r="MTN2467" s="60"/>
      <c r="MTO2467" s="60"/>
      <c r="MTP2467" s="60"/>
      <c r="MTQ2467" s="63"/>
      <c r="MTR2467" s="61"/>
      <c r="MTS2467" s="54"/>
      <c r="MTT2467" s="54"/>
      <c r="MTU2467" s="60"/>
      <c r="MTV2467" s="60"/>
      <c r="MTW2467" s="60"/>
      <c r="MTX2467" s="60"/>
      <c r="MTY2467" s="63"/>
      <c r="MTZ2467" s="61"/>
      <c r="MUA2467" s="54"/>
      <c r="MUB2467" s="54"/>
      <c r="MUC2467" s="60"/>
      <c r="MUD2467" s="60"/>
      <c r="MUE2467" s="60"/>
      <c r="MUF2467" s="60"/>
      <c r="MUG2467" s="63"/>
      <c r="MUH2467" s="61"/>
      <c r="MUI2467" s="54"/>
      <c r="MUJ2467" s="54"/>
      <c r="MUK2467" s="60"/>
      <c r="MUL2467" s="60"/>
      <c r="MUM2467" s="60"/>
      <c r="MUN2467" s="60"/>
      <c r="MUO2467" s="63"/>
      <c r="MUP2467" s="61"/>
      <c r="MUQ2467" s="54"/>
      <c r="MUR2467" s="54"/>
      <c r="MUS2467" s="60"/>
      <c r="MUT2467" s="60"/>
      <c r="MUU2467" s="60"/>
      <c r="MUV2467" s="60"/>
      <c r="MUW2467" s="63"/>
      <c r="MUX2467" s="61"/>
      <c r="MUY2467" s="54"/>
      <c r="MUZ2467" s="54"/>
      <c r="MVA2467" s="60"/>
      <c r="MVB2467" s="60"/>
      <c r="MVC2467" s="60"/>
      <c r="MVD2467" s="60"/>
      <c r="MVE2467" s="63"/>
      <c r="MVF2467" s="61"/>
      <c r="MVG2467" s="54"/>
      <c r="MVH2467" s="54"/>
      <c r="MVI2467" s="60"/>
      <c r="MVJ2467" s="60"/>
      <c r="MVK2467" s="60"/>
      <c r="MVL2467" s="60"/>
      <c r="MVM2467" s="63"/>
      <c r="MVN2467" s="61"/>
      <c r="MVO2467" s="54"/>
      <c r="MVP2467" s="54"/>
      <c r="MVQ2467" s="60"/>
      <c r="MVR2467" s="60"/>
      <c r="MVS2467" s="60"/>
      <c r="MVT2467" s="60"/>
      <c r="MVU2467" s="63"/>
      <c r="MVV2467" s="61"/>
      <c r="MVW2467" s="54"/>
      <c r="MVX2467" s="54"/>
      <c r="MVY2467" s="60"/>
      <c r="MVZ2467" s="60"/>
      <c r="MWA2467" s="60"/>
      <c r="MWB2467" s="60"/>
      <c r="MWC2467" s="63"/>
      <c r="MWD2467" s="61"/>
      <c r="MWE2467" s="54"/>
      <c r="MWF2467" s="54"/>
      <c r="MWG2467" s="60"/>
      <c r="MWH2467" s="60"/>
      <c r="MWI2467" s="60"/>
      <c r="MWJ2467" s="60"/>
      <c r="MWK2467" s="63"/>
      <c r="MWL2467" s="61"/>
      <c r="MWM2467" s="54"/>
      <c r="MWN2467" s="54"/>
      <c r="MWO2467" s="60"/>
      <c r="MWP2467" s="60"/>
      <c r="MWQ2467" s="60"/>
      <c r="MWR2467" s="60"/>
      <c r="MWS2467" s="63"/>
      <c r="MWT2467" s="61"/>
      <c r="MWU2467" s="54"/>
      <c r="MWV2467" s="54"/>
      <c r="MWW2467" s="60"/>
      <c r="MWX2467" s="60"/>
      <c r="MWY2467" s="60"/>
      <c r="MWZ2467" s="60"/>
      <c r="MXA2467" s="63"/>
      <c r="MXB2467" s="61"/>
      <c r="MXC2467" s="54"/>
      <c r="MXD2467" s="54"/>
      <c r="MXE2467" s="60"/>
      <c r="MXF2467" s="60"/>
      <c r="MXG2467" s="60"/>
      <c r="MXH2467" s="60"/>
      <c r="MXI2467" s="63"/>
      <c r="MXJ2467" s="61"/>
      <c r="MXK2467" s="54"/>
      <c r="MXL2467" s="54"/>
      <c r="MXM2467" s="60"/>
      <c r="MXN2467" s="60"/>
      <c r="MXO2467" s="60"/>
      <c r="MXP2467" s="60"/>
      <c r="MXQ2467" s="63"/>
      <c r="MXR2467" s="61"/>
      <c r="MXS2467" s="54"/>
      <c r="MXT2467" s="54"/>
      <c r="MXU2467" s="60"/>
      <c r="MXV2467" s="60"/>
      <c r="MXW2467" s="60"/>
      <c r="MXX2467" s="60"/>
      <c r="MXY2467" s="63"/>
      <c r="MXZ2467" s="61"/>
      <c r="MYA2467" s="54"/>
      <c r="MYB2467" s="54"/>
      <c r="MYC2467" s="60"/>
      <c r="MYD2467" s="60"/>
      <c r="MYE2467" s="60"/>
      <c r="MYF2467" s="60"/>
      <c r="MYG2467" s="63"/>
      <c r="MYH2467" s="61"/>
      <c r="MYI2467" s="54"/>
      <c r="MYJ2467" s="54"/>
      <c r="MYK2467" s="60"/>
      <c r="MYL2467" s="60"/>
      <c r="MYM2467" s="60"/>
      <c r="MYN2467" s="60"/>
      <c r="MYO2467" s="63"/>
      <c r="MYP2467" s="61"/>
      <c r="MYQ2467" s="54"/>
      <c r="MYR2467" s="54"/>
      <c r="MYS2467" s="60"/>
      <c r="MYT2467" s="60"/>
      <c r="MYU2467" s="60"/>
      <c r="MYV2467" s="60"/>
      <c r="MYW2467" s="63"/>
      <c r="MYX2467" s="61"/>
      <c r="MYY2467" s="54"/>
      <c r="MYZ2467" s="54"/>
      <c r="MZA2467" s="60"/>
      <c r="MZB2467" s="60"/>
      <c r="MZC2467" s="60"/>
      <c r="MZD2467" s="60"/>
      <c r="MZE2467" s="63"/>
      <c r="MZF2467" s="61"/>
      <c r="MZG2467" s="54"/>
      <c r="MZH2467" s="54"/>
      <c r="MZI2467" s="60"/>
      <c r="MZJ2467" s="60"/>
      <c r="MZK2467" s="60"/>
      <c r="MZL2467" s="60"/>
      <c r="MZM2467" s="63"/>
      <c r="MZN2467" s="61"/>
      <c r="MZO2467" s="54"/>
      <c r="MZP2467" s="54"/>
      <c r="MZQ2467" s="60"/>
      <c r="MZR2467" s="60"/>
      <c r="MZS2467" s="60"/>
      <c r="MZT2467" s="60"/>
      <c r="MZU2467" s="63"/>
      <c r="MZV2467" s="61"/>
      <c r="MZW2467" s="54"/>
      <c r="MZX2467" s="54"/>
      <c r="MZY2467" s="60"/>
      <c r="MZZ2467" s="60"/>
      <c r="NAA2467" s="60"/>
      <c r="NAB2467" s="60"/>
      <c r="NAC2467" s="63"/>
      <c r="NAD2467" s="61"/>
      <c r="NAE2467" s="54"/>
      <c r="NAF2467" s="54"/>
      <c r="NAG2467" s="60"/>
      <c r="NAH2467" s="60"/>
      <c r="NAI2467" s="60"/>
      <c r="NAJ2467" s="60"/>
      <c r="NAK2467" s="63"/>
      <c r="NAL2467" s="61"/>
      <c r="NAM2467" s="54"/>
      <c r="NAN2467" s="54"/>
      <c r="NAO2467" s="60"/>
      <c r="NAP2467" s="60"/>
      <c r="NAQ2467" s="60"/>
      <c r="NAR2467" s="60"/>
      <c r="NAS2467" s="63"/>
      <c r="NAT2467" s="61"/>
      <c r="NAU2467" s="54"/>
      <c r="NAV2467" s="54"/>
      <c r="NAW2467" s="60"/>
      <c r="NAX2467" s="60"/>
      <c r="NAY2467" s="60"/>
      <c r="NAZ2467" s="60"/>
      <c r="NBA2467" s="63"/>
      <c r="NBB2467" s="61"/>
      <c r="NBC2467" s="54"/>
      <c r="NBD2467" s="54"/>
      <c r="NBE2467" s="60"/>
      <c r="NBF2467" s="60"/>
      <c r="NBG2467" s="60"/>
      <c r="NBH2467" s="60"/>
      <c r="NBI2467" s="63"/>
      <c r="NBJ2467" s="61"/>
      <c r="NBK2467" s="54"/>
      <c r="NBL2467" s="54"/>
      <c r="NBM2467" s="60"/>
      <c r="NBN2467" s="60"/>
      <c r="NBO2467" s="60"/>
      <c r="NBP2467" s="60"/>
      <c r="NBQ2467" s="63"/>
      <c r="NBR2467" s="61"/>
      <c r="NBS2467" s="54"/>
      <c r="NBT2467" s="54"/>
      <c r="NBU2467" s="60"/>
      <c r="NBV2467" s="60"/>
      <c r="NBW2467" s="60"/>
      <c r="NBX2467" s="60"/>
      <c r="NBY2467" s="63"/>
      <c r="NBZ2467" s="61"/>
      <c r="NCA2467" s="54"/>
      <c r="NCB2467" s="54"/>
      <c r="NCC2467" s="60"/>
      <c r="NCD2467" s="60"/>
      <c r="NCE2467" s="60"/>
      <c r="NCF2467" s="60"/>
      <c r="NCG2467" s="63"/>
      <c r="NCH2467" s="61"/>
      <c r="NCI2467" s="54"/>
      <c r="NCJ2467" s="54"/>
      <c r="NCK2467" s="60"/>
      <c r="NCL2467" s="60"/>
      <c r="NCM2467" s="60"/>
      <c r="NCN2467" s="60"/>
      <c r="NCO2467" s="63"/>
      <c r="NCP2467" s="61"/>
      <c r="NCQ2467" s="54"/>
      <c r="NCR2467" s="54"/>
      <c r="NCS2467" s="60"/>
      <c r="NCT2467" s="60"/>
      <c r="NCU2467" s="60"/>
      <c r="NCV2467" s="60"/>
      <c r="NCW2467" s="63"/>
      <c r="NCX2467" s="61"/>
      <c r="NCY2467" s="54"/>
      <c r="NCZ2467" s="54"/>
      <c r="NDA2467" s="60"/>
      <c r="NDB2467" s="60"/>
      <c r="NDC2467" s="60"/>
      <c r="NDD2467" s="60"/>
      <c r="NDE2467" s="63"/>
      <c r="NDF2467" s="61"/>
      <c r="NDG2467" s="54"/>
      <c r="NDH2467" s="54"/>
      <c r="NDI2467" s="60"/>
      <c r="NDJ2467" s="60"/>
      <c r="NDK2467" s="60"/>
      <c r="NDL2467" s="60"/>
      <c r="NDM2467" s="63"/>
      <c r="NDN2467" s="61"/>
      <c r="NDO2467" s="54"/>
      <c r="NDP2467" s="54"/>
      <c r="NDQ2467" s="60"/>
      <c r="NDR2467" s="60"/>
      <c r="NDS2467" s="60"/>
      <c r="NDT2467" s="60"/>
      <c r="NDU2467" s="63"/>
      <c r="NDV2467" s="61"/>
      <c r="NDW2467" s="54"/>
      <c r="NDX2467" s="54"/>
      <c r="NDY2467" s="60"/>
      <c r="NDZ2467" s="60"/>
      <c r="NEA2467" s="60"/>
      <c r="NEB2467" s="60"/>
      <c r="NEC2467" s="63"/>
      <c r="NED2467" s="61"/>
      <c r="NEE2467" s="54"/>
      <c r="NEF2467" s="54"/>
      <c r="NEG2467" s="60"/>
      <c r="NEH2467" s="60"/>
      <c r="NEI2467" s="60"/>
      <c r="NEJ2467" s="60"/>
      <c r="NEK2467" s="63"/>
      <c r="NEL2467" s="61"/>
      <c r="NEM2467" s="54"/>
      <c r="NEN2467" s="54"/>
      <c r="NEO2467" s="60"/>
      <c r="NEP2467" s="60"/>
      <c r="NEQ2467" s="60"/>
      <c r="NER2467" s="60"/>
      <c r="NES2467" s="63"/>
      <c r="NET2467" s="61"/>
      <c r="NEU2467" s="54"/>
      <c r="NEV2467" s="54"/>
      <c r="NEW2467" s="60"/>
      <c r="NEX2467" s="60"/>
      <c r="NEY2467" s="60"/>
      <c r="NEZ2467" s="60"/>
      <c r="NFA2467" s="63"/>
      <c r="NFB2467" s="61"/>
      <c r="NFC2467" s="54"/>
      <c r="NFD2467" s="54"/>
      <c r="NFE2467" s="60"/>
      <c r="NFF2467" s="60"/>
      <c r="NFG2467" s="60"/>
      <c r="NFH2467" s="60"/>
      <c r="NFI2467" s="63"/>
      <c r="NFJ2467" s="61"/>
      <c r="NFK2467" s="54"/>
      <c r="NFL2467" s="54"/>
      <c r="NFM2467" s="60"/>
      <c r="NFN2467" s="60"/>
      <c r="NFO2467" s="60"/>
      <c r="NFP2467" s="60"/>
      <c r="NFQ2467" s="63"/>
      <c r="NFR2467" s="61"/>
      <c r="NFS2467" s="54"/>
      <c r="NFT2467" s="54"/>
      <c r="NFU2467" s="60"/>
      <c r="NFV2467" s="60"/>
      <c r="NFW2467" s="60"/>
      <c r="NFX2467" s="60"/>
      <c r="NFY2467" s="63"/>
      <c r="NFZ2467" s="61"/>
      <c r="NGA2467" s="54"/>
      <c r="NGB2467" s="54"/>
      <c r="NGC2467" s="60"/>
      <c r="NGD2467" s="60"/>
      <c r="NGE2467" s="60"/>
      <c r="NGF2467" s="60"/>
      <c r="NGG2467" s="63"/>
      <c r="NGH2467" s="61"/>
      <c r="NGI2467" s="54"/>
      <c r="NGJ2467" s="54"/>
      <c r="NGK2467" s="60"/>
      <c r="NGL2467" s="60"/>
      <c r="NGM2467" s="60"/>
      <c r="NGN2467" s="60"/>
      <c r="NGO2467" s="63"/>
      <c r="NGP2467" s="61"/>
      <c r="NGQ2467" s="54"/>
      <c r="NGR2467" s="54"/>
      <c r="NGS2467" s="60"/>
      <c r="NGT2467" s="60"/>
      <c r="NGU2467" s="60"/>
      <c r="NGV2467" s="60"/>
      <c r="NGW2467" s="63"/>
      <c r="NGX2467" s="61"/>
      <c r="NGY2467" s="54"/>
      <c r="NGZ2467" s="54"/>
      <c r="NHA2467" s="60"/>
      <c r="NHB2467" s="60"/>
      <c r="NHC2467" s="60"/>
      <c r="NHD2467" s="60"/>
      <c r="NHE2467" s="63"/>
      <c r="NHF2467" s="61"/>
      <c r="NHG2467" s="54"/>
      <c r="NHH2467" s="54"/>
      <c r="NHI2467" s="60"/>
      <c r="NHJ2467" s="60"/>
      <c r="NHK2467" s="60"/>
      <c r="NHL2467" s="60"/>
      <c r="NHM2467" s="63"/>
      <c r="NHN2467" s="61"/>
      <c r="NHO2467" s="54"/>
      <c r="NHP2467" s="54"/>
      <c r="NHQ2467" s="60"/>
      <c r="NHR2467" s="60"/>
      <c r="NHS2467" s="60"/>
      <c r="NHT2467" s="60"/>
      <c r="NHU2467" s="63"/>
      <c r="NHV2467" s="61"/>
      <c r="NHW2467" s="54"/>
      <c r="NHX2467" s="54"/>
      <c r="NHY2467" s="60"/>
      <c r="NHZ2467" s="60"/>
      <c r="NIA2467" s="60"/>
      <c r="NIB2467" s="60"/>
      <c r="NIC2467" s="63"/>
      <c r="NID2467" s="61"/>
      <c r="NIE2467" s="54"/>
      <c r="NIF2467" s="54"/>
      <c r="NIG2467" s="60"/>
      <c r="NIH2467" s="60"/>
      <c r="NII2467" s="60"/>
      <c r="NIJ2467" s="60"/>
      <c r="NIK2467" s="63"/>
      <c r="NIL2467" s="61"/>
      <c r="NIM2467" s="54"/>
      <c r="NIN2467" s="54"/>
      <c r="NIO2467" s="60"/>
      <c r="NIP2467" s="60"/>
      <c r="NIQ2467" s="60"/>
      <c r="NIR2467" s="60"/>
      <c r="NIS2467" s="63"/>
      <c r="NIT2467" s="61"/>
      <c r="NIU2467" s="54"/>
      <c r="NIV2467" s="54"/>
      <c r="NIW2467" s="60"/>
      <c r="NIX2467" s="60"/>
      <c r="NIY2467" s="60"/>
      <c r="NIZ2467" s="60"/>
      <c r="NJA2467" s="63"/>
      <c r="NJB2467" s="61"/>
      <c r="NJC2467" s="54"/>
      <c r="NJD2467" s="54"/>
      <c r="NJE2467" s="60"/>
      <c r="NJF2467" s="60"/>
      <c r="NJG2467" s="60"/>
      <c r="NJH2467" s="60"/>
      <c r="NJI2467" s="63"/>
      <c r="NJJ2467" s="61"/>
      <c r="NJK2467" s="54"/>
      <c r="NJL2467" s="54"/>
      <c r="NJM2467" s="60"/>
      <c r="NJN2467" s="60"/>
      <c r="NJO2467" s="60"/>
      <c r="NJP2467" s="60"/>
      <c r="NJQ2467" s="63"/>
      <c r="NJR2467" s="61"/>
      <c r="NJS2467" s="54"/>
      <c r="NJT2467" s="54"/>
      <c r="NJU2467" s="60"/>
      <c r="NJV2467" s="60"/>
      <c r="NJW2467" s="60"/>
      <c r="NJX2467" s="60"/>
      <c r="NJY2467" s="63"/>
      <c r="NJZ2467" s="61"/>
      <c r="NKA2467" s="54"/>
      <c r="NKB2467" s="54"/>
      <c r="NKC2467" s="60"/>
      <c r="NKD2467" s="60"/>
      <c r="NKE2467" s="60"/>
      <c r="NKF2467" s="60"/>
      <c r="NKG2467" s="63"/>
      <c r="NKH2467" s="61"/>
      <c r="NKI2467" s="54"/>
      <c r="NKJ2467" s="54"/>
      <c r="NKK2467" s="60"/>
      <c r="NKL2467" s="60"/>
      <c r="NKM2467" s="60"/>
      <c r="NKN2467" s="60"/>
      <c r="NKO2467" s="63"/>
      <c r="NKP2467" s="61"/>
      <c r="NKQ2467" s="54"/>
      <c r="NKR2467" s="54"/>
      <c r="NKS2467" s="60"/>
      <c r="NKT2467" s="60"/>
      <c r="NKU2467" s="60"/>
      <c r="NKV2467" s="60"/>
      <c r="NKW2467" s="63"/>
      <c r="NKX2467" s="61"/>
      <c r="NKY2467" s="54"/>
      <c r="NKZ2467" s="54"/>
      <c r="NLA2467" s="60"/>
      <c r="NLB2467" s="60"/>
      <c r="NLC2467" s="60"/>
      <c r="NLD2467" s="60"/>
      <c r="NLE2467" s="63"/>
      <c r="NLF2467" s="61"/>
      <c r="NLG2467" s="54"/>
      <c r="NLH2467" s="54"/>
      <c r="NLI2467" s="60"/>
      <c r="NLJ2467" s="60"/>
      <c r="NLK2467" s="60"/>
      <c r="NLL2467" s="60"/>
      <c r="NLM2467" s="63"/>
      <c r="NLN2467" s="61"/>
      <c r="NLO2467" s="54"/>
      <c r="NLP2467" s="54"/>
      <c r="NLQ2467" s="60"/>
      <c r="NLR2467" s="60"/>
      <c r="NLS2467" s="60"/>
      <c r="NLT2467" s="60"/>
      <c r="NLU2467" s="63"/>
      <c r="NLV2467" s="61"/>
      <c r="NLW2467" s="54"/>
      <c r="NLX2467" s="54"/>
      <c r="NLY2467" s="60"/>
      <c r="NLZ2467" s="60"/>
      <c r="NMA2467" s="60"/>
      <c r="NMB2467" s="60"/>
      <c r="NMC2467" s="63"/>
      <c r="NMD2467" s="61"/>
      <c r="NME2467" s="54"/>
      <c r="NMF2467" s="54"/>
      <c r="NMG2467" s="60"/>
      <c r="NMH2467" s="60"/>
      <c r="NMI2467" s="60"/>
      <c r="NMJ2467" s="60"/>
      <c r="NMK2467" s="63"/>
      <c r="NML2467" s="61"/>
      <c r="NMM2467" s="54"/>
      <c r="NMN2467" s="54"/>
      <c r="NMO2467" s="60"/>
      <c r="NMP2467" s="60"/>
      <c r="NMQ2467" s="60"/>
      <c r="NMR2467" s="60"/>
      <c r="NMS2467" s="63"/>
      <c r="NMT2467" s="61"/>
      <c r="NMU2467" s="54"/>
      <c r="NMV2467" s="54"/>
      <c r="NMW2467" s="60"/>
      <c r="NMX2467" s="60"/>
      <c r="NMY2467" s="60"/>
      <c r="NMZ2467" s="60"/>
      <c r="NNA2467" s="63"/>
      <c r="NNB2467" s="61"/>
      <c r="NNC2467" s="54"/>
      <c r="NND2467" s="54"/>
      <c r="NNE2467" s="60"/>
      <c r="NNF2467" s="60"/>
      <c r="NNG2467" s="60"/>
      <c r="NNH2467" s="60"/>
      <c r="NNI2467" s="63"/>
      <c r="NNJ2467" s="61"/>
      <c r="NNK2467" s="54"/>
      <c r="NNL2467" s="54"/>
      <c r="NNM2467" s="60"/>
      <c r="NNN2467" s="60"/>
      <c r="NNO2467" s="60"/>
      <c r="NNP2467" s="60"/>
      <c r="NNQ2467" s="63"/>
      <c r="NNR2467" s="61"/>
      <c r="NNS2467" s="54"/>
      <c r="NNT2467" s="54"/>
      <c r="NNU2467" s="60"/>
      <c r="NNV2467" s="60"/>
      <c r="NNW2467" s="60"/>
      <c r="NNX2467" s="60"/>
      <c r="NNY2467" s="63"/>
      <c r="NNZ2467" s="61"/>
      <c r="NOA2467" s="54"/>
      <c r="NOB2467" s="54"/>
      <c r="NOC2467" s="60"/>
      <c r="NOD2467" s="60"/>
      <c r="NOE2467" s="60"/>
      <c r="NOF2467" s="60"/>
      <c r="NOG2467" s="63"/>
      <c r="NOH2467" s="61"/>
      <c r="NOI2467" s="54"/>
      <c r="NOJ2467" s="54"/>
      <c r="NOK2467" s="60"/>
      <c r="NOL2467" s="60"/>
      <c r="NOM2467" s="60"/>
      <c r="NON2467" s="60"/>
      <c r="NOO2467" s="63"/>
      <c r="NOP2467" s="61"/>
      <c r="NOQ2467" s="54"/>
      <c r="NOR2467" s="54"/>
      <c r="NOS2467" s="60"/>
      <c r="NOT2467" s="60"/>
      <c r="NOU2467" s="60"/>
      <c r="NOV2467" s="60"/>
      <c r="NOW2467" s="63"/>
      <c r="NOX2467" s="61"/>
      <c r="NOY2467" s="54"/>
      <c r="NOZ2467" s="54"/>
      <c r="NPA2467" s="60"/>
      <c r="NPB2467" s="60"/>
      <c r="NPC2467" s="60"/>
      <c r="NPD2467" s="60"/>
      <c r="NPE2467" s="63"/>
      <c r="NPF2467" s="61"/>
      <c r="NPG2467" s="54"/>
      <c r="NPH2467" s="54"/>
      <c r="NPI2467" s="60"/>
      <c r="NPJ2467" s="60"/>
      <c r="NPK2467" s="60"/>
      <c r="NPL2467" s="60"/>
      <c r="NPM2467" s="63"/>
      <c r="NPN2467" s="61"/>
      <c r="NPO2467" s="54"/>
      <c r="NPP2467" s="54"/>
      <c r="NPQ2467" s="60"/>
      <c r="NPR2467" s="60"/>
      <c r="NPS2467" s="60"/>
      <c r="NPT2467" s="60"/>
      <c r="NPU2467" s="63"/>
      <c r="NPV2467" s="61"/>
      <c r="NPW2467" s="54"/>
      <c r="NPX2467" s="54"/>
      <c r="NPY2467" s="60"/>
      <c r="NPZ2467" s="60"/>
      <c r="NQA2467" s="60"/>
      <c r="NQB2467" s="60"/>
      <c r="NQC2467" s="63"/>
      <c r="NQD2467" s="61"/>
      <c r="NQE2467" s="54"/>
      <c r="NQF2467" s="54"/>
      <c r="NQG2467" s="60"/>
      <c r="NQH2467" s="60"/>
      <c r="NQI2467" s="60"/>
      <c r="NQJ2467" s="60"/>
      <c r="NQK2467" s="63"/>
      <c r="NQL2467" s="61"/>
      <c r="NQM2467" s="54"/>
      <c r="NQN2467" s="54"/>
      <c r="NQO2467" s="60"/>
      <c r="NQP2467" s="60"/>
      <c r="NQQ2467" s="60"/>
      <c r="NQR2467" s="60"/>
      <c r="NQS2467" s="63"/>
      <c r="NQT2467" s="61"/>
      <c r="NQU2467" s="54"/>
      <c r="NQV2467" s="54"/>
      <c r="NQW2467" s="60"/>
      <c r="NQX2467" s="60"/>
      <c r="NQY2467" s="60"/>
      <c r="NQZ2467" s="60"/>
      <c r="NRA2467" s="63"/>
      <c r="NRB2467" s="61"/>
      <c r="NRC2467" s="54"/>
      <c r="NRD2467" s="54"/>
      <c r="NRE2467" s="60"/>
      <c r="NRF2467" s="60"/>
      <c r="NRG2467" s="60"/>
      <c r="NRH2467" s="60"/>
      <c r="NRI2467" s="63"/>
      <c r="NRJ2467" s="61"/>
      <c r="NRK2467" s="54"/>
      <c r="NRL2467" s="54"/>
      <c r="NRM2467" s="60"/>
      <c r="NRN2467" s="60"/>
      <c r="NRO2467" s="60"/>
      <c r="NRP2467" s="60"/>
      <c r="NRQ2467" s="63"/>
      <c r="NRR2467" s="61"/>
      <c r="NRS2467" s="54"/>
      <c r="NRT2467" s="54"/>
      <c r="NRU2467" s="60"/>
      <c r="NRV2467" s="60"/>
      <c r="NRW2467" s="60"/>
      <c r="NRX2467" s="60"/>
      <c r="NRY2467" s="63"/>
      <c r="NRZ2467" s="61"/>
      <c r="NSA2467" s="54"/>
      <c r="NSB2467" s="54"/>
      <c r="NSC2467" s="60"/>
      <c r="NSD2467" s="60"/>
      <c r="NSE2467" s="60"/>
      <c r="NSF2467" s="60"/>
      <c r="NSG2467" s="63"/>
      <c r="NSH2467" s="61"/>
      <c r="NSI2467" s="54"/>
      <c r="NSJ2467" s="54"/>
      <c r="NSK2467" s="60"/>
      <c r="NSL2467" s="60"/>
      <c r="NSM2467" s="60"/>
      <c r="NSN2467" s="60"/>
      <c r="NSO2467" s="63"/>
      <c r="NSP2467" s="61"/>
      <c r="NSQ2467" s="54"/>
      <c r="NSR2467" s="54"/>
      <c r="NSS2467" s="60"/>
      <c r="NST2467" s="60"/>
      <c r="NSU2467" s="60"/>
      <c r="NSV2467" s="60"/>
      <c r="NSW2467" s="63"/>
      <c r="NSX2467" s="61"/>
      <c r="NSY2467" s="54"/>
      <c r="NSZ2467" s="54"/>
      <c r="NTA2467" s="60"/>
      <c r="NTB2467" s="60"/>
      <c r="NTC2467" s="60"/>
      <c r="NTD2467" s="60"/>
      <c r="NTE2467" s="63"/>
      <c r="NTF2467" s="61"/>
      <c r="NTG2467" s="54"/>
      <c r="NTH2467" s="54"/>
      <c r="NTI2467" s="60"/>
      <c r="NTJ2467" s="60"/>
      <c r="NTK2467" s="60"/>
      <c r="NTL2467" s="60"/>
      <c r="NTM2467" s="63"/>
      <c r="NTN2467" s="61"/>
      <c r="NTO2467" s="54"/>
      <c r="NTP2467" s="54"/>
      <c r="NTQ2467" s="60"/>
      <c r="NTR2467" s="60"/>
      <c r="NTS2467" s="60"/>
      <c r="NTT2467" s="60"/>
      <c r="NTU2467" s="63"/>
      <c r="NTV2467" s="61"/>
      <c r="NTW2467" s="54"/>
      <c r="NTX2467" s="54"/>
      <c r="NTY2467" s="60"/>
      <c r="NTZ2467" s="60"/>
      <c r="NUA2467" s="60"/>
      <c r="NUB2467" s="60"/>
      <c r="NUC2467" s="63"/>
      <c r="NUD2467" s="61"/>
      <c r="NUE2467" s="54"/>
      <c r="NUF2467" s="54"/>
      <c r="NUG2467" s="60"/>
      <c r="NUH2467" s="60"/>
      <c r="NUI2467" s="60"/>
      <c r="NUJ2467" s="60"/>
      <c r="NUK2467" s="63"/>
      <c r="NUL2467" s="61"/>
      <c r="NUM2467" s="54"/>
      <c r="NUN2467" s="54"/>
      <c r="NUO2467" s="60"/>
      <c r="NUP2467" s="60"/>
      <c r="NUQ2467" s="60"/>
      <c r="NUR2467" s="60"/>
      <c r="NUS2467" s="63"/>
      <c r="NUT2467" s="61"/>
      <c r="NUU2467" s="54"/>
      <c r="NUV2467" s="54"/>
      <c r="NUW2467" s="60"/>
      <c r="NUX2467" s="60"/>
      <c r="NUY2467" s="60"/>
      <c r="NUZ2467" s="60"/>
      <c r="NVA2467" s="63"/>
      <c r="NVB2467" s="61"/>
      <c r="NVC2467" s="54"/>
      <c r="NVD2467" s="54"/>
      <c r="NVE2467" s="60"/>
      <c r="NVF2467" s="60"/>
      <c r="NVG2467" s="60"/>
      <c r="NVH2467" s="60"/>
      <c r="NVI2467" s="63"/>
      <c r="NVJ2467" s="61"/>
      <c r="NVK2467" s="54"/>
      <c r="NVL2467" s="54"/>
      <c r="NVM2467" s="60"/>
      <c r="NVN2467" s="60"/>
      <c r="NVO2467" s="60"/>
      <c r="NVP2467" s="60"/>
      <c r="NVQ2467" s="63"/>
      <c r="NVR2467" s="61"/>
      <c r="NVS2467" s="54"/>
      <c r="NVT2467" s="54"/>
      <c r="NVU2467" s="60"/>
      <c r="NVV2467" s="60"/>
      <c r="NVW2467" s="60"/>
      <c r="NVX2467" s="60"/>
      <c r="NVY2467" s="63"/>
      <c r="NVZ2467" s="61"/>
      <c r="NWA2467" s="54"/>
      <c r="NWB2467" s="54"/>
      <c r="NWC2467" s="60"/>
      <c r="NWD2467" s="60"/>
      <c r="NWE2467" s="60"/>
      <c r="NWF2467" s="60"/>
      <c r="NWG2467" s="63"/>
      <c r="NWH2467" s="61"/>
      <c r="NWI2467" s="54"/>
      <c r="NWJ2467" s="54"/>
      <c r="NWK2467" s="60"/>
      <c r="NWL2467" s="60"/>
      <c r="NWM2467" s="60"/>
      <c r="NWN2467" s="60"/>
      <c r="NWO2467" s="63"/>
      <c r="NWP2467" s="61"/>
      <c r="NWQ2467" s="54"/>
      <c r="NWR2467" s="54"/>
      <c r="NWS2467" s="60"/>
      <c r="NWT2467" s="60"/>
      <c r="NWU2467" s="60"/>
      <c r="NWV2467" s="60"/>
      <c r="NWW2467" s="63"/>
      <c r="NWX2467" s="61"/>
      <c r="NWY2467" s="54"/>
      <c r="NWZ2467" s="54"/>
      <c r="NXA2467" s="60"/>
      <c r="NXB2467" s="60"/>
      <c r="NXC2467" s="60"/>
      <c r="NXD2467" s="60"/>
      <c r="NXE2467" s="63"/>
      <c r="NXF2467" s="61"/>
      <c r="NXG2467" s="54"/>
      <c r="NXH2467" s="54"/>
      <c r="NXI2467" s="60"/>
      <c r="NXJ2467" s="60"/>
      <c r="NXK2467" s="60"/>
      <c r="NXL2467" s="60"/>
      <c r="NXM2467" s="63"/>
      <c r="NXN2467" s="61"/>
      <c r="NXO2467" s="54"/>
      <c r="NXP2467" s="54"/>
      <c r="NXQ2467" s="60"/>
      <c r="NXR2467" s="60"/>
      <c r="NXS2467" s="60"/>
      <c r="NXT2467" s="60"/>
      <c r="NXU2467" s="63"/>
      <c r="NXV2467" s="61"/>
      <c r="NXW2467" s="54"/>
      <c r="NXX2467" s="54"/>
      <c r="NXY2467" s="60"/>
      <c r="NXZ2467" s="60"/>
      <c r="NYA2467" s="60"/>
      <c r="NYB2467" s="60"/>
      <c r="NYC2467" s="63"/>
      <c r="NYD2467" s="61"/>
      <c r="NYE2467" s="54"/>
      <c r="NYF2467" s="54"/>
      <c r="NYG2467" s="60"/>
      <c r="NYH2467" s="60"/>
      <c r="NYI2467" s="60"/>
      <c r="NYJ2467" s="60"/>
      <c r="NYK2467" s="63"/>
      <c r="NYL2467" s="61"/>
      <c r="NYM2467" s="54"/>
      <c r="NYN2467" s="54"/>
      <c r="NYO2467" s="60"/>
      <c r="NYP2467" s="60"/>
      <c r="NYQ2467" s="60"/>
      <c r="NYR2467" s="60"/>
      <c r="NYS2467" s="63"/>
      <c r="NYT2467" s="61"/>
      <c r="NYU2467" s="54"/>
      <c r="NYV2467" s="54"/>
      <c r="NYW2467" s="60"/>
      <c r="NYX2467" s="60"/>
      <c r="NYY2467" s="60"/>
      <c r="NYZ2467" s="60"/>
      <c r="NZA2467" s="63"/>
      <c r="NZB2467" s="61"/>
      <c r="NZC2467" s="54"/>
      <c r="NZD2467" s="54"/>
      <c r="NZE2467" s="60"/>
      <c r="NZF2467" s="60"/>
      <c r="NZG2467" s="60"/>
      <c r="NZH2467" s="60"/>
      <c r="NZI2467" s="63"/>
      <c r="NZJ2467" s="61"/>
      <c r="NZK2467" s="54"/>
      <c r="NZL2467" s="54"/>
      <c r="NZM2467" s="60"/>
      <c r="NZN2467" s="60"/>
      <c r="NZO2467" s="60"/>
      <c r="NZP2467" s="60"/>
      <c r="NZQ2467" s="63"/>
      <c r="NZR2467" s="61"/>
      <c r="NZS2467" s="54"/>
      <c r="NZT2467" s="54"/>
      <c r="NZU2467" s="60"/>
      <c r="NZV2467" s="60"/>
      <c r="NZW2467" s="60"/>
      <c r="NZX2467" s="60"/>
      <c r="NZY2467" s="63"/>
      <c r="NZZ2467" s="61"/>
      <c r="OAA2467" s="54"/>
      <c r="OAB2467" s="54"/>
      <c r="OAC2467" s="60"/>
      <c r="OAD2467" s="60"/>
      <c r="OAE2467" s="60"/>
      <c r="OAF2467" s="60"/>
      <c r="OAG2467" s="63"/>
      <c r="OAH2467" s="61"/>
      <c r="OAI2467" s="54"/>
      <c r="OAJ2467" s="54"/>
      <c r="OAK2467" s="60"/>
      <c r="OAL2467" s="60"/>
      <c r="OAM2467" s="60"/>
      <c r="OAN2467" s="60"/>
      <c r="OAO2467" s="63"/>
      <c r="OAP2467" s="61"/>
      <c r="OAQ2467" s="54"/>
      <c r="OAR2467" s="54"/>
      <c r="OAS2467" s="60"/>
      <c r="OAT2467" s="60"/>
      <c r="OAU2467" s="60"/>
      <c r="OAV2467" s="60"/>
      <c r="OAW2467" s="63"/>
      <c r="OAX2467" s="61"/>
      <c r="OAY2467" s="54"/>
      <c r="OAZ2467" s="54"/>
      <c r="OBA2467" s="60"/>
      <c r="OBB2467" s="60"/>
      <c r="OBC2467" s="60"/>
      <c r="OBD2467" s="60"/>
      <c r="OBE2467" s="63"/>
      <c r="OBF2467" s="61"/>
      <c r="OBG2467" s="54"/>
      <c r="OBH2467" s="54"/>
      <c r="OBI2467" s="60"/>
      <c r="OBJ2467" s="60"/>
      <c r="OBK2467" s="60"/>
      <c r="OBL2467" s="60"/>
      <c r="OBM2467" s="63"/>
      <c r="OBN2467" s="61"/>
      <c r="OBO2467" s="54"/>
      <c r="OBP2467" s="54"/>
      <c r="OBQ2467" s="60"/>
      <c r="OBR2467" s="60"/>
      <c r="OBS2467" s="60"/>
      <c r="OBT2467" s="60"/>
      <c r="OBU2467" s="63"/>
      <c r="OBV2467" s="61"/>
      <c r="OBW2467" s="54"/>
      <c r="OBX2467" s="54"/>
      <c r="OBY2467" s="60"/>
      <c r="OBZ2467" s="60"/>
      <c r="OCA2467" s="60"/>
      <c r="OCB2467" s="60"/>
      <c r="OCC2467" s="63"/>
      <c r="OCD2467" s="61"/>
      <c r="OCE2467" s="54"/>
      <c r="OCF2467" s="54"/>
      <c r="OCG2467" s="60"/>
      <c r="OCH2467" s="60"/>
      <c r="OCI2467" s="60"/>
      <c r="OCJ2467" s="60"/>
      <c r="OCK2467" s="63"/>
      <c r="OCL2467" s="61"/>
      <c r="OCM2467" s="54"/>
      <c r="OCN2467" s="54"/>
      <c r="OCO2467" s="60"/>
      <c r="OCP2467" s="60"/>
      <c r="OCQ2467" s="60"/>
      <c r="OCR2467" s="60"/>
      <c r="OCS2467" s="63"/>
      <c r="OCT2467" s="61"/>
      <c r="OCU2467" s="54"/>
      <c r="OCV2467" s="54"/>
      <c r="OCW2467" s="60"/>
      <c r="OCX2467" s="60"/>
      <c r="OCY2467" s="60"/>
      <c r="OCZ2467" s="60"/>
      <c r="ODA2467" s="63"/>
      <c r="ODB2467" s="61"/>
      <c r="ODC2467" s="54"/>
      <c r="ODD2467" s="54"/>
      <c r="ODE2467" s="60"/>
      <c r="ODF2467" s="60"/>
      <c r="ODG2467" s="60"/>
      <c r="ODH2467" s="60"/>
      <c r="ODI2467" s="63"/>
      <c r="ODJ2467" s="61"/>
      <c r="ODK2467" s="54"/>
      <c r="ODL2467" s="54"/>
      <c r="ODM2467" s="60"/>
      <c r="ODN2467" s="60"/>
      <c r="ODO2467" s="60"/>
      <c r="ODP2467" s="60"/>
      <c r="ODQ2467" s="63"/>
      <c r="ODR2467" s="61"/>
      <c r="ODS2467" s="54"/>
      <c r="ODT2467" s="54"/>
      <c r="ODU2467" s="60"/>
      <c r="ODV2467" s="60"/>
      <c r="ODW2467" s="60"/>
      <c r="ODX2467" s="60"/>
      <c r="ODY2467" s="63"/>
      <c r="ODZ2467" s="61"/>
      <c r="OEA2467" s="54"/>
      <c r="OEB2467" s="54"/>
      <c r="OEC2467" s="60"/>
      <c r="OED2467" s="60"/>
      <c r="OEE2467" s="60"/>
      <c r="OEF2467" s="60"/>
      <c r="OEG2467" s="63"/>
      <c r="OEH2467" s="61"/>
      <c r="OEI2467" s="54"/>
      <c r="OEJ2467" s="54"/>
      <c r="OEK2467" s="60"/>
      <c r="OEL2467" s="60"/>
      <c r="OEM2467" s="60"/>
      <c r="OEN2467" s="60"/>
      <c r="OEO2467" s="63"/>
      <c r="OEP2467" s="61"/>
      <c r="OEQ2467" s="54"/>
      <c r="OER2467" s="54"/>
      <c r="OES2467" s="60"/>
      <c r="OET2467" s="60"/>
      <c r="OEU2467" s="60"/>
      <c r="OEV2467" s="60"/>
      <c r="OEW2467" s="63"/>
      <c r="OEX2467" s="61"/>
      <c r="OEY2467" s="54"/>
      <c r="OEZ2467" s="54"/>
      <c r="OFA2467" s="60"/>
      <c r="OFB2467" s="60"/>
      <c r="OFC2467" s="60"/>
      <c r="OFD2467" s="60"/>
      <c r="OFE2467" s="63"/>
      <c r="OFF2467" s="61"/>
      <c r="OFG2467" s="54"/>
      <c r="OFH2467" s="54"/>
      <c r="OFI2467" s="60"/>
      <c r="OFJ2467" s="60"/>
      <c r="OFK2467" s="60"/>
      <c r="OFL2467" s="60"/>
      <c r="OFM2467" s="63"/>
      <c r="OFN2467" s="61"/>
      <c r="OFO2467" s="54"/>
      <c r="OFP2467" s="54"/>
      <c r="OFQ2467" s="60"/>
      <c r="OFR2467" s="60"/>
      <c r="OFS2467" s="60"/>
      <c r="OFT2467" s="60"/>
      <c r="OFU2467" s="63"/>
      <c r="OFV2467" s="61"/>
      <c r="OFW2467" s="54"/>
      <c r="OFX2467" s="54"/>
      <c r="OFY2467" s="60"/>
      <c r="OFZ2467" s="60"/>
      <c r="OGA2467" s="60"/>
      <c r="OGB2467" s="60"/>
      <c r="OGC2467" s="63"/>
      <c r="OGD2467" s="61"/>
      <c r="OGE2467" s="54"/>
      <c r="OGF2467" s="54"/>
      <c r="OGG2467" s="60"/>
      <c r="OGH2467" s="60"/>
      <c r="OGI2467" s="60"/>
      <c r="OGJ2467" s="60"/>
      <c r="OGK2467" s="63"/>
      <c r="OGL2467" s="61"/>
      <c r="OGM2467" s="54"/>
      <c r="OGN2467" s="54"/>
      <c r="OGO2467" s="60"/>
      <c r="OGP2467" s="60"/>
      <c r="OGQ2467" s="60"/>
      <c r="OGR2467" s="60"/>
      <c r="OGS2467" s="63"/>
      <c r="OGT2467" s="61"/>
      <c r="OGU2467" s="54"/>
      <c r="OGV2467" s="54"/>
      <c r="OGW2467" s="60"/>
      <c r="OGX2467" s="60"/>
      <c r="OGY2467" s="60"/>
      <c r="OGZ2467" s="60"/>
      <c r="OHA2467" s="63"/>
      <c r="OHB2467" s="61"/>
      <c r="OHC2467" s="54"/>
      <c r="OHD2467" s="54"/>
      <c r="OHE2467" s="60"/>
      <c r="OHF2467" s="60"/>
      <c r="OHG2467" s="60"/>
      <c r="OHH2467" s="60"/>
      <c r="OHI2467" s="63"/>
      <c r="OHJ2467" s="61"/>
      <c r="OHK2467" s="54"/>
      <c r="OHL2467" s="54"/>
      <c r="OHM2467" s="60"/>
      <c r="OHN2467" s="60"/>
      <c r="OHO2467" s="60"/>
      <c r="OHP2467" s="60"/>
      <c r="OHQ2467" s="63"/>
      <c r="OHR2467" s="61"/>
      <c r="OHS2467" s="54"/>
      <c r="OHT2467" s="54"/>
      <c r="OHU2467" s="60"/>
      <c r="OHV2467" s="60"/>
      <c r="OHW2467" s="60"/>
      <c r="OHX2467" s="60"/>
      <c r="OHY2467" s="63"/>
      <c r="OHZ2467" s="61"/>
      <c r="OIA2467" s="54"/>
      <c r="OIB2467" s="54"/>
      <c r="OIC2467" s="60"/>
      <c r="OID2467" s="60"/>
      <c r="OIE2467" s="60"/>
      <c r="OIF2467" s="60"/>
      <c r="OIG2467" s="63"/>
      <c r="OIH2467" s="61"/>
      <c r="OII2467" s="54"/>
      <c r="OIJ2467" s="54"/>
      <c r="OIK2467" s="60"/>
      <c r="OIL2467" s="60"/>
      <c r="OIM2467" s="60"/>
      <c r="OIN2467" s="60"/>
      <c r="OIO2467" s="63"/>
      <c r="OIP2467" s="61"/>
      <c r="OIQ2467" s="54"/>
      <c r="OIR2467" s="54"/>
      <c r="OIS2467" s="60"/>
      <c r="OIT2467" s="60"/>
      <c r="OIU2467" s="60"/>
      <c r="OIV2467" s="60"/>
      <c r="OIW2467" s="63"/>
      <c r="OIX2467" s="61"/>
      <c r="OIY2467" s="54"/>
      <c r="OIZ2467" s="54"/>
      <c r="OJA2467" s="60"/>
      <c r="OJB2467" s="60"/>
      <c r="OJC2467" s="60"/>
      <c r="OJD2467" s="60"/>
      <c r="OJE2467" s="63"/>
      <c r="OJF2467" s="61"/>
      <c r="OJG2467" s="54"/>
      <c r="OJH2467" s="54"/>
      <c r="OJI2467" s="60"/>
      <c r="OJJ2467" s="60"/>
      <c r="OJK2467" s="60"/>
      <c r="OJL2467" s="60"/>
      <c r="OJM2467" s="63"/>
      <c r="OJN2467" s="61"/>
      <c r="OJO2467" s="54"/>
      <c r="OJP2467" s="54"/>
      <c r="OJQ2467" s="60"/>
      <c r="OJR2467" s="60"/>
      <c r="OJS2467" s="60"/>
      <c r="OJT2467" s="60"/>
      <c r="OJU2467" s="63"/>
      <c r="OJV2467" s="61"/>
      <c r="OJW2467" s="54"/>
      <c r="OJX2467" s="54"/>
      <c r="OJY2467" s="60"/>
      <c r="OJZ2467" s="60"/>
      <c r="OKA2467" s="60"/>
      <c r="OKB2467" s="60"/>
      <c r="OKC2467" s="63"/>
      <c r="OKD2467" s="61"/>
      <c r="OKE2467" s="54"/>
      <c r="OKF2467" s="54"/>
      <c r="OKG2467" s="60"/>
      <c r="OKH2467" s="60"/>
      <c r="OKI2467" s="60"/>
      <c r="OKJ2467" s="60"/>
      <c r="OKK2467" s="63"/>
      <c r="OKL2467" s="61"/>
      <c r="OKM2467" s="54"/>
      <c r="OKN2467" s="54"/>
      <c r="OKO2467" s="60"/>
      <c r="OKP2467" s="60"/>
      <c r="OKQ2467" s="60"/>
      <c r="OKR2467" s="60"/>
      <c r="OKS2467" s="63"/>
      <c r="OKT2467" s="61"/>
      <c r="OKU2467" s="54"/>
      <c r="OKV2467" s="54"/>
      <c r="OKW2467" s="60"/>
      <c r="OKX2467" s="60"/>
      <c r="OKY2467" s="60"/>
      <c r="OKZ2467" s="60"/>
      <c r="OLA2467" s="63"/>
      <c r="OLB2467" s="61"/>
      <c r="OLC2467" s="54"/>
      <c r="OLD2467" s="54"/>
      <c r="OLE2467" s="60"/>
      <c r="OLF2467" s="60"/>
      <c r="OLG2467" s="60"/>
      <c r="OLH2467" s="60"/>
      <c r="OLI2467" s="63"/>
      <c r="OLJ2467" s="61"/>
      <c r="OLK2467" s="54"/>
      <c r="OLL2467" s="54"/>
      <c r="OLM2467" s="60"/>
      <c r="OLN2467" s="60"/>
      <c r="OLO2467" s="60"/>
      <c r="OLP2467" s="60"/>
      <c r="OLQ2467" s="63"/>
      <c r="OLR2467" s="61"/>
      <c r="OLS2467" s="54"/>
      <c r="OLT2467" s="54"/>
      <c r="OLU2467" s="60"/>
      <c r="OLV2467" s="60"/>
      <c r="OLW2467" s="60"/>
      <c r="OLX2467" s="60"/>
      <c r="OLY2467" s="63"/>
      <c r="OLZ2467" s="61"/>
      <c r="OMA2467" s="54"/>
      <c r="OMB2467" s="54"/>
      <c r="OMC2467" s="60"/>
      <c r="OMD2467" s="60"/>
      <c r="OME2467" s="60"/>
      <c r="OMF2467" s="60"/>
      <c r="OMG2467" s="63"/>
      <c r="OMH2467" s="61"/>
      <c r="OMI2467" s="54"/>
      <c r="OMJ2467" s="54"/>
      <c r="OMK2467" s="60"/>
      <c r="OML2467" s="60"/>
      <c r="OMM2467" s="60"/>
      <c r="OMN2467" s="60"/>
      <c r="OMO2467" s="63"/>
      <c r="OMP2467" s="61"/>
      <c r="OMQ2467" s="54"/>
      <c r="OMR2467" s="54"/>
      <c r="OMS2467" s="60"/>
      <c r="OMT2467" s="60"/>
      <c r="OMU2467" s="60"/>
      <c r="OMV2467" s="60"/>
      <c r="OMW2467" s="63"/>
      <c r="OMX2467" s="61"/>
      <c r="OMY2467" s="54"/>
      <c r="OMZ2467" s="54"/>
      <c r="ONA2467" s="60"/>
      <c r="ONB2467" s="60"/>
      <c r="ONC2467" s="60"/>
      <c r="OND2467" s="60"/>
      <c r="ONE2467" s="63"/>
      <c r="ONF2467" s="61"/>
      <c r="ONG2467" s="54"/>
      <c r="ONH2467" s="54"/>
      <c r="ONI2467" s="60"/>
      <c r="ONJ2467" s="60"/>
      <c r="ONK2467" s="60"/>
      <c r="ONL2467" s="60"/>
      <c r="ONM2467" s="63"/>
      <c r="ONN2467" s="61"/>
      <c r="ONO2467" s="54"/>
      <c r="ONP2467" s="54"/>
      <c r="ONQ2467" s="60"/>
      <c r="ONR2467" s="60"/>
      <c r="ONS2467" s="60"/>
      <c r="ONT2467" s="60"/>
      <c r="ONU2467" s="63"/>
      <c r="ONV2467" s="61"/>
      <c r="ONW2467" s="54"/>
      <c r="ONX2467" s="54"/>
      <c r="ONY2467" s="60"/>
      <c r="ONZ2467" s="60"/>
      <c r="OOA2467" s="60"/>
      <c r="OOB2467" s="60"/>
      <c r="OOC2467" s="63"/>
      <c r="OOD2467" s="61"/>
      <c r="OOE2467" s="54"/>
      <c r="OOF2467" s="54"/>
      <c r="OOG2467" s="60"/>
      <c r="OOH2467" s="60"/>
      <c r="OOI2467" s="60"/>
      <c r="OOJ2467" s="60"/>
      <c r="OOK2467" s="63"/>
      <c r="OOL2467" s="61"/>
      <c r="OOM2467" s="54"/>
      <c r="OON2467" s="54"/>
      <c r="OOO2467" s="60"/>
      <c r="OOP2467" s="60"/>
      <c r="OOQ2467" s="60"/>
      <c r="OOR2467" s="60"/>
      <c r="OOS2467" s="63"/>
      <c r="OOT2467" s="61"/>
      <c r="OOU2467" s="54"/>
      <c r="OOV2467" s="54"/>
      <c r="OOW2467" s="60"/>
      <c r="OOX2467" s="60"/>
      <c r="OOY2467" s="60"/>
      <c r="OOZ2467" s="60"/>
      <c r="OPA2467" s="63"/>
      <c r="OPB2467" s="61"/>
      <c r="OPC2467" s="54"/>
      <c r="OPD2467" s="54"/>
      <c r="OPE2467" s="60"/>
      <c r="OPF2467" s="60"/>
      <c r="OPG2467" s="60"/>
      <c r="OPH2467" s="60"/>
      <c r="OPI2467" s="63"/>
      <c r="OPJ2467" s="61"/>
      <c r="OPK2467" s="54"/>
      <c r="OPL2467" s="54"/>
      <c r="OPM2467" s="60"/>
      <c r="OPN2467" s="60"/>
      <c r="OPO2467" s="60"/>
      <c r="OPP2467" s="60"/>
      <c r="OPQ2467" s="63"/>
      <c r="OPR2467" s="61"/>
      <c r="OPS2467" s="54"/>
      <c r="OPT2467" s="54"/>
      <c r="OPU2467" s="60"/>
      <c r="OPV2467" s="60"/>
      <c r="OPW2467" s="60"/>
      <c r="OPX2467" s="60"/>
      <c r="OPY2467" s="63"/>
      <c r="OPZ2467" s="61"/>
      <c r="OQA2467" s="54"/>
      <c r="OQB2467" s="54"/>
      <c r="OQC2467" s="60"/>
      <c r="OQD2467" s="60"/>
      <c r="OQE2467" s="60"/>
      <c r="OQF2467" s="60"/>
      <c r="OQG2467" s="63"/>
      <c r="OQH2467" s="61"/>
      <c r="OQI2467" s="54"/>
      <c r="OQJ2467" s="54"/>
      <c r="OQK2467" s="60"/>
      <c r="OQL2467" s="60"/>
      <c r="OQM2467" s="60"/>
      <c r="OQN2467" s="60"/>
      <c r="OQO2467" s="63"/>
      <c r="OQP2467" s="61"/>
      <c r="OQQ2467" s="54"/>
      <c r="OQR2467" s="54"/>
      <c r="OQS2467" s="60"/>
      <c r="OQT2467" s="60"/>
      <c r="OQU2467" s="60"/>
      <c r="OQV2467" s="60"/>
      <c r="OQW2467" s="63"/>
      <c r="OQX2467" s="61"/>
      <c r="OQY2467" s="54"/>
      <c r="OQZ2467" s="54"/>
      <c r="ORA2467" s="60"/>
      <c r="ORB2467" s="60"/>
      <c r="ORC2467" s="60"/>
      <c r="ORD2467" s="60"/>
      <c r="ORE2467" s="63"/>
      <c r="ORF2467" s="61"/>
      <c r="ORG2467" s="54"/>
      <c r="ORH2467" s="54"/>
      <c r="ORI2467" s="60"/>
      <c r="ORJ2467" s="60"/>
      <c r="ORK2467" s="60"/>
      <c r="ORL2467" s="60"/>
      <c r="ORM2467" s="63"/>
      <c r="ORN2467" s="61"/>
      <c r="ORO2467" s="54"/>
      <c r="ORP2467" s="54"/>
      <c r="ORQ2467" s="60"/>
      <c r="ORR2467" s="60"/>
      <c r="ORS2467" s="60"/>
      <c r="ORT2467" s="60"/>
      <c r="ORU2467" s="63"/>
      <c r="ORV2467" s="61"/>
      <c r="ORW2467" s="54"/>
      <c r="ORX2467" s="54"/>
      <c r="ORY2467" s="60"/>
      <c r="ORZ2467" s="60"/>
      <c r="OSA2467" s="60"/>
      <c r="OSB2467" s="60"/>
      <c r="OSC2467" s="63"/>
      <c r="OSD2467" s="61"/>
      <c r="OSE2467" s="54"/>
      <c r="OSF2467" s="54"/>
      <c r="OSG2467" s="60"/>
      <c r="OSH2467" s="60"/>
      <c r="OSI2467" s="60"/>
      <c r="OSJ2467" s="60"/>
      <c r="OSK2467" s="63"/>
      <c r="OSL2467" s="61"/>
      <c r="OSM2467" s="54"/>
      <c r="OSN2467" s="54"/>
      <c r="OSO2467" s="60"/>
      <c r="OSP2467" s="60"/>
      <c r="OSQ2467" s="60"/>
      <c r="OSR2467" s="60"/>
      <c r="OSS2467" s="63"/>
      <c r="OST2467" s="61"/>
      <c r="OSU2467" s="54"/>
      <c r="OSV2467" s="54"/>
      <c r="OSW2467" s="60"/>
      <c r="OSX2467" s="60"/>
      <c r="OSY2467" s="60"/>
      <c r="OSZ2467" s="60"/>
      <c r="OTA2467" s="63"/>
      <c r="OTB2467" s="61"/>
      <c r="OTC2467" s="54"/>
      <c r="OTD2467" s="54"/>
      <c r="OTE2467" s="60"/>
      <c r="OTF2467" s="60"/>
      <c r="OTG2467" s="60"/>
      <c r="OTH2467" s="60"/>
      <c r="OTI2467" s="63"/>
      <c r="OTJ2467" s="61"/>
      <c r="OTK2467" s="54"/>
      <c r="OTL2467" s="54"/>
      <c r="OTM2467" s="60"/>
      <c r="OTN2467" s="60"/>
      <c r="OTO2467" s="60"/>
      <c r="OTP2467" s="60"/>
      <c r="OTQ2467" s="63"/>
      <c r="OTR2467" s="61"/>
      <c r="OTS2467" s="54"/>
      <c r="OTT2467" s="54"/>
      <c r="OTU2467" s="60"/>
      <c r="OTV2467" s="60"/>
      <c r="OTW2467" s="60"/>
      <c r="OTX2467" s="60"/>
      <c r="OTY2467" s="63"/>
      <c r="OTZ2467" s="61"/>
      <c r="OUA2467" s="54"/>
      <c r="OUB2467" s="54"/>
      <c r="OUC2467" s="60"/>
      <c r="OUD2467" s="60"/>
      <c r="OUE2467" s="60"/>
      <c r="OUF2467" s="60"/>
      <c r="OUG2467" s="63"/>
      <c r="OUH2467" s="61"/>
      <c r="OUI2467" s="54"/>
      <c r="OUJ2467" s="54"/>
      <c r="OUK2467" s="60"/>
      <c r="OUL2467" s="60"/>
      <c r="OUM2467" s="60"/>
      <c r="OUN2467" s="60"/>
      <c r="OUO2467" s="63"/>
      <c r="OUP2467" s="61"/>
      <c r="OUQ2467" s="54"/>
      <c r="OUR2467" s="54"/>
      <c r="OUS2467" s="60"/>
      <c r="OUT2467" s="60"/>
      <c r="OUU2467" s="60"/>
      <c r="OUV2467" s="60"/>
      <c r="OUW2467" s="63"/>
      <c r="OUX2467" s="61"/>
      <c r="OUY2467" s="54"/>
      <c r="OUZ2467" s="54"/>
      <c r="OVA2467" s="60"/>
      <c r="OVB2467" s="60"/>
      <c r="OVC2467" s="60"/>
      <c r="OVD2467" s="60"/>
      <c r="OVE2467" s="63"/>
      <c r="OVF2467" s="61"/>
      <c r="OVG2467" s="54"/>
      <c r="OVH2467" s="54"/>
      <c r="OVI2467" s="60"/>
      <c r="OVJ2467" s="60"/>
      <c r="OVK2467" s="60"/>
      <c r="OVL2467" s="60"/>
      <c r="OVM2467" s="63"/>
      <c r="OVN2467" s="61"/>
      <c r="OVO2467" s="54"/>
      <c r="OVP2467" s="54"/>
      <c r="OVQ2467" s="60"/>
      <c r="OVR2467" s="60"/>
      <c r="OVS2467" s="60"/>
      <c r="OVT2467" s="60"/>
      <c r="OVU2467" s="63"/>
      <c r="OVV2467" s="61"/>
      <c r="OVW2467" s="54"/>
      <c r="OVX2467" s="54"/>
      <c r="OVY2467" s="60"/>
      <c r="OVZ2467" s="60"/>
      <c r="OWA2467" s="60"/>
      <c r="OWB2467" s="60"/>
      <c r="OWC2467" s="63"/>
      <c r="OWD2467" s="61"/>
      <c r="OWE2467" s="54"/>
      <c r="OWF2467" s="54"/>
      <c r="OWG2467" s="60"/>
      <c r="OWH2467" s="60"/>
      <c r="OWI2467" s="60"/>
      <c r="OWJ2467" s="60"/>
      <c r="OWK2467" s="63"/>
      <c r="OWL2467" s="61"/>
      <c r="OWM2467" s="54"/>
      <c r="OWN2467" s="54"/>
      <c r="OWO2467" s="60"/>
      <c r="OWP2467" s="60"/>
      <c r="OWQ2467" s="60"/>
      <c r="OWR2467" s="60"/>
      <c r="OWS2467" s="63"/>
      <c r="OWT2467" s="61"/>
      <c r="OWU2467" s="54"/>
      <c r="OWV2467" s="54"/>
      <c r="OWW2467" s="60"/>
      <c r="OWX2467" s="60"/>
      <c r="OWY2467" s="60"/>
      <c r="OWZ2467" s="60"/>
      <c r="OXA2467" s="63"/>
      <c r="OXB2467" s="61"/>
      <c r="OXC2467" s="54"/>
      <c r="OXD2467" s="54"/>
      <c r="OXE2467" s="60"/>
      <c r="OXF2467" s="60"/>
      <c r="OXG2467" s="60"/>
      <c r="OXH2467" s="60"/>
      <c r="OXI2467" s="63"/>
      <c r="OXJ2467" s="61"/>
      <c r="OXK2467" s="54"/>
      <c r="OXL2467" s="54"/>
      <c r="OXM2467" s="60"/>
      <c r="OXN2467" s="60"/>
      <c r="OXO2467" s="60"/>
      <c r="OXP2467" s="60"/>
      <c r="OXQ2467" s="63"/>
      <c r="OXR2467" s="61"/>
      <c r="OXS2467" s="54"/>
      <c r="OXT2467" s="54"/>
      <c r="OXU2467" s="60"/>
      <c r="OXV2467" s="60"/>
      <c r="OXW2467" s="60"/>
      <c r="OXX2467" s="60"/>
      <c r="OXY2467" s="63"/>
      <c r="OXZ2467" s="61"/>
      <c r="OYA2467" s="54"/>
      <c r="OYB2467" s="54"/>
      <c r="OYC2467" s="60"/>
      <c r="OYD2467" s="60"/>
      <c r="OYE2467" s="60"/>
      <c r="OYF2467" s="60"/>
      <c r="OYG2467" s="63"/>
      <c r="OYH2467" s="61"/>
      <c r="OYI2467" s="54"/>
      <c r="OYJ2467" s="54"/>
      <c r="OYK2467" s="60"/>
      <c r="OYL2467" s="60"/>
      <c r="OYM2467" s="60"/>
      <c r="OYN2467" s="60"/>
      <c r="OYO2467" s="63"/>
      <c r="OYP2467" s="61"/>
      <c r="OYQ2467" s="54"/>
      <c r="OYR2467" s="54"/>
      <c r="OYS2467" s="60"/>
      <c r="OYT2467" s="60"/>
      <c r="OYU2467" s="60"/>
      <c r="OYV2467" s="60"/>
      <c r="OYW2467" s="63"/>
      <c r="OYX2467" s="61"/>
      <c r="OYY2467" s="54"/>
      <c r="OYZ2467" s="54"/>
      <c r="OZA2467" s="60"/>
      <c r="OZB2467" s="60"/>
      <c r="OZC2467" s="60"/>
      <c r="OZD2467" s="60"/>
      <c r="OZE2467" s="63"/>
      <c r="OZF2467" s="61"/>
      <c r="OZG2467" s="54"/>
      <c r="OZH2467" s="54"/>
      <c r="OZI2467" s="60"/>
      <c r="OZJ2467" s="60"/>
      <c r="OZK2467" s="60"/>
      <c r="OZL2467" s="60"/>
      <c r="OZM2467" s="63"/>
      <c r="OZN2467" s="61"/>
      <c r="OZO2467" s="54"/>
      <c r="OZP2467" s="54"/>
      <c r="OZQ2467" s="60"/>
      <c r="OZR2467" s="60"/>
      <c r="OZS2467" s="60"/>
      <c r="OZT2467" s="60"/>
      <c r="OZU2467" s="63"/>
      <c r="OZV2467" s="61"/>
      <c r="OZW2467" s="54"/>
      <c r="OZX2467" s="54"/>
      <c r="OZY2467" s="60"/>
      <c r="OZZ2467" s="60"/>
      <c r="PAA2467" s="60"/>
      <c r="PAB2467" s="60"/>
      <c r="PAC2467" s="63"/>
      <c r="PAD2467" s="61"/>
      <c r="PAE2467" s="54"/>
      <c r="PAF2467" s="54"/>
      <c r="PAG2467" s="60"/>
      <c r="PAH2467" s="60"/>
      <c r="PAI2467" s="60"/>
      <c r="PAJ2467" s="60"/>
      <c r="PAK2467" s="63"/>
      <c r="PAL2467" s="61"/>
      <c r="PAM2467" s="54"/>
      <c r="PAN2467" s="54"/>
      <c r="PAO2467" s="60"/>
      <c r="PAP2467" s="60"/>
      <c r="PAQ2467" s="60"/>
      <c r="PAR2467" s="60"/>
      <c r="PAS2467" s="63"/>
      <c r="PAT2467" s="61"/>
      <c r="PAU2467" s="54"/>
      <c r="PAV2467" s="54"/>
      <c r="PAW2467" s="60"/>
      <c r="PAX2467" s="60"/>
      <c r="PAY2467" s="60"/>
      <c r="PAZ2467" s="60"/>
      <c r="PBA2467" s="63"/>
      <c r="PBB2467" s="61"/>
      <c r="PBC2467" s="54"/>
      <c r="PBD2467" s="54"/>
      <c r="PBE2467" s="60"/>
      <c r="PBF2467" s="60"/>
      <c r="PBG2467" s="60"/>
      <c r="PBH2467" s="60"/>
      <c r="PBI2467" s="63"/>
      <c r="PBJ2467" s="61"/>
      <c r="PBK2467" s="54"/>
      <c r="PBL2467" s="54"/>
      <c r="PBM2467" s="60"/>
      <c r="PBN2467" s="60"/>
      <c r="PBO2467" s="60"/>
      <c r="PBP2467" s="60"/>
      <c r="PBQ2467" s="63"/>
      <c r="PBR2467" s="61"/>
      <c r="PBS2467" s="54"/>
      <c r="PBT2467" s="54"/>
      <c r="PBU2467" s="60"/>
      <c r="PBV2467" s="60"/>
      <c r="PBW2467" s="60"/>
      <c r="PBX2467" s="60"/>
      <c r="PBY2467" s="63"/>
      <c r="PBZ2467" s="61"/>
      <c r="PCA2467" s="54"/>
      <c r="PCB2467" s="54"/>
      <c r="PCC2467" s="60"/>
      <c r="PCD2467" s="60"/>
      <c r="PCE2467" s="60"/>
      <c r="PCF2467" s="60"/>
      <c r="PCG2467" s="63"/>
      <c r="PCH2467" s="61"/>
      <c r="PCI2467" s="54"/>
      <c r="PCJ2467" s="54"/>
      <c r="PCK2467" s="60"/>
      <c r="PCL2467" s="60"/>
      <c r="PCM2467" s="60"/>
      <c r="PCN2467" s="60"/>
      <c r="PCO2467" s="63"/>
      <c r="PCP2467" s="61"/>
      <c r="PCQ2467" s="54"/>
      <c r="PCR2467" s="54"/>
      <c r="PCS2467" s="60"/>
      <c r="PCT2467" s="60"/>
      <c r="PCU2467" s="60"/>
      <c r="PCV2467" s="60"/>
      <c r="PCW2467" s="63"/>
      <c r="PCX2467" s="61"/>
      <c r="PCY2467" s="54"/>
      <c r="PCZ2467" s="54"/>
      <c r="PDA2467" s="60"/>
      <c r="PDB2467" s="60"/>
      <c r="PDC2467" s="60"/>
      <c r="PDD2467" s="60"/>
      <c r="PDE2467" s="63"/>
      <c r="PDF2467" s="61"/>
      <c r="PDG2467" s="54"/>
      <c r="PDH2467" s="54"/>
      <c r="PDI2467" s="60"/>
      <c r="PDJ2467" s="60"/>
      <c r="PDK2467" s="60"/>
      <c r="PDL2467" s="60"/>
      <c r="PDM2467" s="63"/>
      <c r="PDN2467" s="61"/>
      <c r="PDO2467" s="54"/>
      <c r="PDP2467" s="54"/>
      <c r="PDQ2467" s="60"/>
      <c r="PDR2467" s="60"/>
      <c r="PDS2467" s="60"/>
      <c r="PDT2467" s="60"/>
      <c r="PDU2467" s="63"/>
      <c r="PDV2467" s="61"/>
      <c r="PDW2467" s="54"/>
      <c r="PDX2467" s="54"/>
      <c r="PDY2467" s="60"/>
      <c r="PDZ2467" s="60"/>
      <c r="PEA2467" s="60"/>
      <c r="PEB2467" s="60"/>
      <c r="PEC2467" s="63"/>
      <c r="PED2467" s="61"/>
      <c r="PEE2467" s="54"/>
      <c r="PEF2467" s="54"/>
      <c r="PEG2467" s="60"/>
      <c r="PEH2467" s="60"/>
      <c r="PEI2467" s="60"/>
      <c r="PEJ2467" s="60"/>
      <c r="PEK2467" s="63"/>
      <c r="PEL2467" s="61"/>
      <c r="PEM2467" s="54"/>
      <c r="PEN2467" s="54"/>
      <c r="PEO2467" s="60"/>
      <c r="PEP2467" s="60"/>
      <c r="PEQ2467" s="60"/>
      <c r="PER2467" s="60"/>
      <c r="PES2467" s="63"/>
      <c r="PET2467" s="61"/>
      <c r="PEU2467" s="54"/>
      <c r="PEV2467" s="54"/>
      <c r="PEW2467" s="60"/>
      <c r="PEX2467" s="60"/>
      <c r="PEY2467" s="60"/>
      <c r="PEZ2467" s="60"/>
      <c r="PFA2467" s="63"/>
      <c r="PFB2467" s="61"/>
      <c r="PFC2467" s="54"/>
      <c r="PFD2467" s="54"/>
      <c r="PFE2467" s="60"/>
      <c r="PFF2467" s="60"/>
      <c r="PFG2467" s="60"/>
      <c r="PFH2467" s="60"/>
      <c r="PFI2467" s="63"/>
      <c r="PFJ2467" s="61"/>
      <c r="PFK2467" s="54"/>
      <c r="PFL2467" s="54"/>
      <c r="PFM2467" s="60"/>
      <c r="PFN2467" s="60"/>
      <c r="PFO2467" s="60"/>
      <c r="PFP2467" s="60"/>
      <c r="PFQ2467" s="63"/>
      <c r="PFR2467" s="61"/>
      <c r="PFS2467" s="54"/>
      <c r="PFT2467" s="54"/>
      <c r="PFU2467" s="60"/>
      <c r="PFV2467" s="60"/>
      <c r="PFW2467" s="60"/>
      <c r="PFX2467" s="60"/>
      <c r="PFY2467" s="63"/>
      <c r="PFZ2467" s="61"/>
      <c r="PGA2467" s="54"/>
      <c r="PGB2467" s="54"/>
      <c r="PGC2467" s="60"/>
      <c r="PGD2467" s="60"/>
      <c r="PGE2467" s="60"/>
      <c r="PGF2467" s="60"/>
      <c r="PGG2467" s="63"/>
      <c r="PGH2467" s="61"/>
      <c r="PGI2467" s="54"/>
      <c r="PGJ2467" s="54"/>
      <c r="PGK2467" s="60"/>
      <c r="PGL2467" s="60"/>
      <c r="PGM2467" s="60"/>
      <c r="PGN2467" s="60"/>
      <c r="PGO2467" s="63"/>
      <c r="PGP2467" s="61"/>
      <c r="PGQ2467" s="54"/>
      <c r="PGR2467" s="54"/>
      <c r="PGS2467" s="60"/>
      <c r="PGT2467" s="60"/>
      <c r="PGU2467" s="60"/>
      <c r="PGV2467" s="60"/>
      <c r="PGW2467" s="63"/>
      <c r="PGX2467" s="61"/>
      <c r="PGY2467" s="54"/>
      <c r="PGZ2467" s="54"/>
      <c r="PHA2467" s="60"/>
      <c r="PHB2467" s="60"/>
      <c r="PHC2467" s="60"/>
      <c r="PHD2467" s="60"/>
      <c r="PHE2467" s="63"/>
      <c r="PHF2467" s="61"/>
      <c r="PHG2467" s="54"/>
      <c r="PHH2467" s="54"/>
      <c r="PHI2467" s="60"/>
      <c r="PHJ2467" s="60"/>
      <c r="PHK2467" s="60"/>
      <c r="PHL2467" s="60"/>
      <c r="PHM2467" s="63"/>
      <c r="PHN2467" s="61"/>
      <c r="PHO2467" s="54"/>
      <c r="PHP2467" s="54"/>
      <c r="PHQ2467" s="60"/>
      <c r="PHR2467" s="60"/>
      <c r="PHS2467" s="60"/>
      <c r="PHT2467" s="60"/>
      <c r="PHU2467" s="63"/>
      <c r="PHV2467" s="61"/>
      <c r="PHW2467" s="54"/>
      <c r="PHX2467" s="54"/>
      <c r="PHY2467" s="60"/>
      <c r="PHZ2467" s="60"/>
      <c r="PIA2467" s="60"/>
      <c r="PIB2467" s="60"/>
      <c r="PIC2467" s="63"/>
      <c r="PID2467" s="61"/>
      <c r="PIE2467" s="54"/>
      <c r="PIF2467" s="54"/>
      <c r="PIG2467" s="60"/>
      <c r="PIH2467" s="60"/>
      <c r="PII2467" s="60"/>
      <c r="PIJ2467" s="60"/>
      <c r="PIK2467" s="63"/>
      <c r="PIL2467" s="61"/>
      <c r="PIM2467" s="54"/>
      <c r="PIN2467" s="54"/>
      <c r="PIO2467" s="60"/>
      <c r="PIP2467" s="60"/>
      <c r="PIQ2467" s="60"/>
      <c r="PIR2467" s="60"/>
      <c r="PIS2467" s="63"/>
      <c r="PIT2467" s="61"/>
      <c r="PIU2467" s="54"/>
      <c r="PIV2467" s="54"/>
      <c r="PIW2467" s="60"/>
      <c r="PIX2467" s="60"/>
      <c r="PIY2467" s="60"/>
      <c r="PIZ2467" s="60"/>
      <c r="PJA2467" s="63"/>
      <c r="PJB2467" s="61"/>
      <c r="PJC2467" s="54"/>
      <c r="PJD2467" s="54"/>
      <c r="PJE2467" s="60"/>
      <c r="PJF2467" s="60"/>
      <c r="PJG2467" s="60"/>
      <c r="PJH2467" s="60"/>
      <c r="PJI2467" s="63"/>
      <c r="PJJ2467" s="61"/>
      <c r="PJK2467" s="54"/>
      <c r="PJL2467" s="54"/>
      <c r="PJM2467" s="60"/>
      <c r="PJN2467" s="60"/>
      <c r="PJO2467" s="60"/>
      <c r="PJP2467" s="60"/>
      <c r="PJQ2467" s="63"/>
      <c r="PJR2467" s="61"/>
      <c r="PJS2467" s="54"/>
      <c r="PJT2467" s="54"/>
      <c r="PJU2467" s="60"/>
      <c r="PJV2467" s="60"/>
      <c r="PJW2467" s="60"/>
      <c r="PJX2467" s="60"/>
      <c r="PJY2467" s="63"/>
      <c r="PJZ2467" s="61"/>
      <c r="PKA2467" s="54"/>
      <c r="PKB2467" s="54"/>
      <c r="PKC2467" s="60"/>
      <c r="PKD2467" s="60"/>
      <c r="PKE2467" s="60"/>
      <c r="PKF2467" s="60"/>
      <c r="PKG2467" s="63"/>
      <c r="PKH2467" s="61"/>
      <c r="PKI2467" s="54"/>
      <c r="PKJ2467" s="54"/>
      <c r="PKK2467" s="60"/>
      <c r="PKL2467" s="60"/>
      <c r="PKM2467" s="60"/>
      <c r="PKN2467" s="60"/>
      <c r="PKO2467" s="63"/>
      <c r="PKP2467" s="61"/>
      <c r="PKQ2467" s="54"/>
      <c r="PKR2467" s="54"/>
      <c r="PKS2467" s="60"/>
      <c r="PKT2467" s="60"/>
      <c r="PKU2467" s="60"/>
      <c r="PKV2467" s="60"/>
      <c r="PKW2467" s="63"/>
      <c r="PKX2467" s="61"/>
      <c r="PKY2467" s="54"/>
      <c r="PKZ2467" s="54"/>
      <c r="PLA2467" s="60"/>
      <c r="PLB2467" s="60"/>
      <c r="PLC2467" s="60"/>
      <c r="PLD2467" s="60"/>
      <c r="PLE2467" s="63"/>
      <c r="PLF2467" s="61"/>
      <c r="PLG2467" s="54"/>
      <c r="PLH2467" s="54"/>
      <c r="PLI2467" s="60"/>
      <c r="PLJ2467" s="60"/>
      <c r="PLK2467" s="60"/>
      <c r="PLL2467" s="60"/>
      <c r="PLM2467" s="63"/>
      <c r="PLN2467" s="61"/>
      <c r="PLO2467" s="54"/>
      <c r="PLP2467" s="54"/>
      <c r="PLQ2467" s="60"/>
      <c r="PLR2467" s="60"/>
      <c r="PLS2467" s="60"/>
      <c r="PLT2467" s="60"/>
      <c r="PLU2467" s="63"/>
      <c r="PLV2467" s="61"/>
      <c r="PLW2467" s="54"/>
      <c r="PLX2467" s="54"/>
      <c r="PLY2467" s="60"/>
      <c r="PLZ2467" s="60"/>
      <c r="PMA2467" s="60"/>
      <c r="PMB2467" s="60"/>
      <c r="PMC2467" s="63"/>
      <c r="PMD2467" s="61"/>
      <c r="PME2467" s="54"/>
      <c r="PMF2467" s="54"/>
      <c r="PMG2467" s="60"/>
      <c r="PMH2467" s="60"/>
      <c r="PMI2467" s="60"/>
      <c r="PMJ2467" s="60"/>
      <c r="PMK2467" s="63"/>
      <c r="PML2467" s="61"/>
      <c r="PMM2467" s="54"/>
      <c r="PMN2467" s="54"/>
      <c r="PMO2467" s="60"/>
      <c r="PMP2467" s="60"/>
      <c r="PMQ2467" s="60"/>
      <c r="PMR2467" s="60"/>
      <c r="PMS2467" s="63"/>
      <c r="PMT2467" s="61"/>
      <c r="PMU2467" s="54"/>
      <c r="PMV2467" s="54"/>
      <c r="PMW2467" s="60"/>
      <c r="PMX2467" s="60"/>
      <c r="PMY2467" s="60"/>
      <c r="PMZ2467" s="60"/>
      <c r="PNA2467" s="63"/>
      <c r="PNB2467" s="61"/>
      <c r="PNC2467" s="54"/>
      <c r="PND2467" s="54"/>
      <c r="PNE2467" s="60"/>
      <c r="PNF2467" s="60"/>
      <c r="PNG2467" s="60"/>
      <c r="PNH2467" s="60"/>
      <c r="PNI2467" s="63"/>
      <c r="PNJ2467" s="61"/>
      <c r="PNK2467" s="54"/>
      <c r="PNL2467" s="54"/>
      <c r="PNM2467" s="60"/>
      <c r="PNN2467" s="60"/>
      <c r="PNO2467" s="60"/>
      <c r="PNP2467" s="60"/>
      <c r="PNQ2467" s="63"/>
      <c r="PNR2467" s="61"/>
      <c r="PNS2467" s="54"/>
      <c r="PNT2467" s="54"/>
      <c r="PNU2467" s="60"/>
      <c r="PNV2467" s="60"/>
      <c r="PNW2467" s="60"/>
      <c r="PNX2467" s="60"/>
      <c r="PNY2467" s="63"/>
      <c r="PNZ2467" s="61"/>
      <c r="POA2467" s="54"/>
      <c r="POB2467" s="54"/>
      <c r="POC2467" s="60"/>
      <c r="POD2467" s="60"/>
      <c r="POE2467" s="60"/>
      <c r="POF2467" s="60"/>
      <c r="POG2467" s="63"/>
      <c r="POH2467" s="61"/>
      <c r="POI2467" s="54"/>
      <c r="POJ2467" s="54"/>
      <c r="POK2467" s="60"/>
      <c r="POL2467" s="60"/>
      <c r="POM2467" s="60"/>
      <c r="PON2467" s="60"/>
      <c r="POO2467" s="63"/>
      <c r="POP2467" s="61"/>
      <c r="POQ2467" s="54"/>
      <c r="POR2467" s="54"/>
      <c r="POS2467" s="60"/>
      <c r="POT2467" s="60"/>
      <c r="POU2467" s="60"/>
      <c r="POV2467" s="60"/>
      <c r="POW2467" s="63"/>
      <c r="POX2467" s="61"/>
      <c r="POY2467" s="54"/>
      <c r="POZ2467" s="54"/>
      <c r="PPA2467" s="60"/>
      <c r="PPB2467" s="60"/>
      <c r="PPC2467" s="60"/>
      <c r="PPD2467" s="60"/>
      <c r="PPE2467" s="63"/>
      <c r="PPF2467" s="61"/>
      <c r="PPG2467" s="54"/>
      <c r="PPH2467" s="54"/>
      <c r="PPI2467" s="60"/>
      <c r="PPJ2467" s="60"/>
      <c r="PPK2467" s="60"/>
      <c r="PPL2467" s="60"/>
      <c r="PPM2467" s="63"/>
      <c r="PPN2467" s="61"/>
      <c r="PPO2467" s="54"/>
      <c r="PPP2467" s="54"/>
      <c r="PPQ2467" s="60"/>
      <c r="PPR2467" s="60"/>
      <c r="PPS2467" s="60"/>
      <c r="PPT2467" s="60"/>
      <c r="PPU2467" s="63"/>
      <c r="PPV2467" s="61"/>
      <c r="PPW2467" s="54"/>
      <c r="PPX2467" s="54"/>
      <c r="PPY2467" s="60"/>
      <c r="PPZ2467" s="60"/>
      <c r="PQA2467" s="60"/>
      <c r="PQB2467" s="60"/>
      <c r="PQC2467" s="63"/>
      <c r="PQD2467" s="61"/>
      <c r="PQE2467" s="54"/>
      <c r="PQF2467" s="54"/>
      <c r="PQG2467" s="60"/>
      <c r="PQH2467" s="60"/>
      <c r="PQI2467" s="60"/>
      <c r="PQJ2467" s="60"/>
      <c r="PQK2467" s="63"/>
      <c r="PQL2467" s="61"/>
      <c r="PQM2467" s="54"/>
      <c r="PQN2467" s="54"/>
      <c r="PQO2467" s="60"/>
      <c r="PQP2467" s="60"/>
      <c r="PQQ2467" s="60"/>
      <c r="PQR2467" s="60"/>
      <c r="PQS2467" s="63"/>
      <c r="PQT2467" s="61"/>
      <c r="PQU2467" s="54"/>
      <c r="PQV2467" s="54"/>
      <c r="PQW2467" s="60"/>
      <c r="PQX2467" s="60"/>
      <c r="PQY2467" s="60"/>
      <c r="PQZ2467" s="60"/>
      <c r="PRA2467" s="63"/>
      <c r="PRB2467" s="61"/>
      <c r="PRC2467" s="54"/>
      <c r="PRD2467" s="54"/>
      <c r="PRE2467" s="60"/>
      <c r="PRF2467" s="60"/>
      <c r="PRG2467" s="60"/>
      <c r="PRH2467" s="60"/>
      <c r="PRI2467" s="63"/>
      <c r="PRJ2467" s="61"/>
      <c r="PRK2467" s="54"/>
      <c r="PRL2467" s="54"/>
      <c r="PRM2467" s="60"/>
      <c r="PRN2467" s="60"/>
      <c r="PRO2467" s="60"/>
      <c r="PRP2467" s="60"/>
      <c r="PRQ2467" s="63"/>
      <c r="PRR2467" s="61"/>
      <c r="PRS2467" s="54"/>
      <c r="PRT2467" s="54"/>
      <c r="PRU2467" s="60"/>
      <c r="PRV2467" s="60"/>
      <c r="PRW2467" s="60"/>
      <c r="PRX2467" s="60"/>
      <c r="PRY2467" s="63"/>
      <c r="PRZ2467" s="61"/>
      <c r="PSA2467" s="54"/>
      <c r="PSB2467" s="54"/>
      <c r="PSC2467" s="60"/>
      <c r="PSD2467" s="60"/>
      <c r="PSE2467" s="60"/>
      <c r="PSF2467" s="60"/>
      <c r="PSG2467" s="63"/>
      <c r="PSH2467" s="61"/>
      <c r="PSI2467" s="54"/>
      <c r="PSJ2467" s="54"/>
      <c r="PSK2467" s="60"/>
      <c r="PSL2467" s="60"/>
      <c r="PSM2467" s="60"/>
      <c r="PSN2467" s="60"/>
      <c r="PSO2467" s="63"/>
      <c r="PSP2467" s="61"/>
      <c r="PSQ2467" s="54"/>
      <c r="PSR2467" s="54"/>
      <c r="PSS2467" s="60"/>
      <c r="PST2467" s="60"/>
      <c r="PSU2467" s="60"/>
      <c r="PSV2467" s="60"/>
      <c r="PSW2467" s="63"/>
      <c r="PSX2467" s="61"/>
      <c r="PSY2467" s="54"/>
      <c r="PSZ2467" s="54"/>
      <c r="PTA2467" s="60"/>
      <c r="PTB2467" s="60"/>
      <c r="PTC2467" s="60"/>
      <c r="PTD2467" s="60"/>
      <c r="PTE2467" s="63"/>
      <c r="PTF2467" s="61"/>
      <c r="PTG2467" s="54"/>
      <c r="PTH2467" s="54"/>
      <c r="PTI2467" s="60"/>
      <c r="PTJ2467" s="60"/>
      <c r="PTK2467" s="60"/>
      <c r="PTL2467" s="60"/>
      <c r="PTM2467" s="63"/>
      <c r="PTN2467" s="61"/>
      <c r="PTO2467" s="54"/>
      <c r="PTP2467" s="54"/>
      <c r="PTQ2467" s="60"/>
      <c r="PTR2467" s="60"/>
      <c r="PTS2467" s="60"/>
      <c r="PTT2467" s="60"/>
      <c r="PTU2467" s="63"/>
      <c r="PTV2467" s="61"/>
      <c r="PTW2467" s="54"/>
      <c r="PTX2467" s="54"/>
      <c r="PTY2467" s="60"/>
      <c r="PTZ2467" s="60"/>
      <c r="PUA2467" s="60"/>
      <c r="PUB2467" s="60"/>
      <c r="PUC2467" s="63"/>
      <c r="PUD2467" s="61"/>
      <c r="PUE2467" s="54"/>
      <c r="PUF2467" s="54"/>
      <c r="PUG2467" s="60"/>
      <c r="PUH2467" s="60"/>
      <c r="PUI2467" s="60"/>
      <c r="PUJ2467" s="60"/>
      <c r="PUK2467" s="63"/>
      <c r="PUL2467" s="61"/>
      <c r="PUM2467" s="54"/>
      <c r="PUN2467" s="54"/>
      <c r="PUO2467" s="60"/>
      <c r="PUP2467" s="60"/>
      <c r="PUQ2467" s="60"/>
      <c r="PUR2467" s="60"/>
      <c r="PUS2467" s="63"/>
      <c r="PUT2467" s="61"/>
      <c r="PUU2467" s="54"/>
      <c r="PUV2467" s="54"/>
      <c r="PUW2467" s="60"/>
      <c r="PUX2467" s="60"/>
      <c r="PUY2467" s="60"/>
      <c r="PUZ2467" s="60"/>
      <c r="PVA2467" s="63"/>
      <c r="PVB2467" s="61"/>
      <c r="PVC2467" s="54"/>
      <c r="PVD2467" s="54"/>
      <c r="PVE2467" s="60"/>
      <c r="PVF2467" s="60"/>
      <c r="PVG2467" s="60"/>
      <c r="PVH2467" s="60"/>
      <c r="PVI2467" s="63"/>
      <c r="PVJ2467" s="61"/>
      <c r="PVK2467" s="54"/>
      <c r="PVL2467" s="54"/>
      <c r="PVM2467" s="60"/>
      <c r="PVN2467" s="60"/>
      <c r="PVO2467" s="60"/>
      <c r="PVP2467" s="60"/>
      <c r="PVQ2467" s="63"/>
      <c r="PVR2467" s="61"/>
      <c r="PVS2467" s="54"/>
      <c r="PVT2467" s="54"/>
      <c r="PVU2467" s="60"/>
      <c r="PVV2467" s="60"/>
      <c r="PVW2467" s="60"/>
      <c r="PVX2467" s="60"/>
      <c r="PVY2467" s="63"/>
      <c r="PVZ2467" s="61"/>
      <c r="PWA2467" s="54"/>
      <c r="PWB2467" s="54"/>
      <c r="PWC2467" s="60"/>
      <c r="PWD2467" s="60"/>
      <c r="PWE2467" s="60"/>
      <c r="PWF2467" s="60"/>
      <c r="PWG2467" s="63"/>
      <c r="PWH2467" s="61"/>
      <c r="PWI2467" s="54"/>
      <c r="PWJ2467" s="54"/>
      <c r="PWK2467" s="60"/>
      <c r="PWL2467" s="60"/>
      <c r="PWM2467" s="60"/>
      <c r="PWN2467" s="60"/>
      <c r="PWO2467" s="63"/>
      <c r="PWP2467" s="61"/>
      <c r="PWQ2467" s="54"/>
      <c r="PWR2467" s="54"/>
      <c r="PWS2467" s="60"/>
      <c r="PWT2467" s="60"/>
      <c r="PWU2467" s="60"/>
      <c r="PWV2467" s="60"/>
      <c r="PWW2467" s="63"/>
      <c r="PWX2467" s="61"/>
      <c r="PWY2467" s="54"/>
      <c r="PWZ2467" s="54"/>
      <c r="PXA2467" s="60"/>
      <c r="PXB2467" s="60"/>
      <c r="PXC2467" s="60"/>
      <c r="PXD2467" s="60"/>
      <c r="PXE2467" s="63"/>
      <c r="PXF2467" s="61"/>
      <c r="PXG2467" s="54"/>
      <c r="PXH2467" s="54"/>
      <c r="PXI2467" s="60"/>
      <c r="PXJ2467" s="60"/>
      <c r="PXK2467" s="60"/>
      <c r="PXL2467" s="60"/>
      <c r="PXM2467" s="63"/>
      <c r="PXN2467" s="61"/>
      <c r="PXO2467" s="54"/>
      <c r="PXP2467" s="54"/>
      <c r="PXQ2467" s="60"/>
      <c r="PXR2467" s="60"/>
      <c r="PXS2467" s="60"/>
      <c r="PXT2467" s="60"/>
      <c r="PXU2467" s="63"/>
      <c r="PXV2467" s="61"/>
      <c r="PXW2467" s="54"/>
      <c r="PXX2467" s="54"/>
      <c r="PXY2467" s="60"/>
      <c r="PXZ2467" s="60"/>
      <c r="PYA2467" s="60"/>
      <c r="PYB2467" s="60"/>
      <c r="PYC2467" s="63"/>
      <c r="PYD2467" s="61"/>
      <c r="PYE2467" s="54"/>
      <c r="PYF2467" s="54"/>
      <c r="PYG2467" s="60"/>
      <c r="PYH2467" s="60"/>
      <c r="PYI2467" s="60"/>
      <c r="PYJ2467" s="60"/>
      <c r="PYK2467" s="63"/>
      <c r="PYL2467" s="61"/>
      <c r="PYM2467" s="54"/>
      <c r="PYN2467" s="54"/>
      <c r="PYO2467" s="60"/>
      <c r="PYP2467" s="60"/>
      <c r="PYQ2467" s="60"/>
      <c r="PYR2467" s="60"/>
      <c r="PYS2467" s="63"/>
      <c r="PYT2467" s="61"/>
      <c r="PYU2467" s="54"/>
      <c r="PYV2467" s="54"/>
      <c r="PYW2467" s="60"/>
      <c r="PYX2467" s="60"/>
      <c r="PYY2467" s="60"/>
      <c r="PYZ2467" s="60"/>
      <c r="PZA2467" s="63"/>
      <c r="PZB2467" s="61"/>
      <c r="PZC2467" s="54"/>
      <c r="PZD2467" s="54"/>
      <c r="PZE2467" s="60"/>
      <c r="PZF2467" s="60"/>
      <c r="PZG2467" s="60"/>
      <c r="PZH2467" s="60"/>
      <c r="PZI2467" s="63"/>
      <c r="PZJ2467" s="61"/>
      <c r="PZK2467" s="54"/>
      <c r="PZL2467" s="54"/>
      <c r="PZM2467" s="60"/>
      <c r="PZN2467" s="60"/>
      <c r="PZO2467" s="60"/>
      <c r="PZP2467" s="60"/>
      <c r="PZQ2467" s="63"/>
      <c r="PZR2467" s="61"/>
      <c r="PZS2467" s="54"/>
      <c r="PZT2467" s="54"/>
      <c r="PZU2467" s="60"/>
      <c r="PZV2467" s="60"/>
      <c r="PZW2467" s="60"/>
      <c r="PZX2467" s="60"/>
      <c r="PZY2467" s="63"/>
      <c r="PZZ2467" s="61"/>
      <c r="QAA2467" s="54"/>
      <c r="QAB2467" s="54"/>
      <c r="QAC2467" s="60"/>
      <c r="QAD2467" s="60"/>
      <c r="QAE2467" s="60"/>
      <c r="QAF2467" s="60"/>
      <c r="QAG2467" s="63"/>
      <c r="QAH2467" s="61"/>
      <c r="QAI2467" s="54"/>
      <c r="QAJ2467" s="54"/>
      <c r="QAK2467" s="60"/>
      <c r="QAL2467" s="60"/>
      <c r="QAM2467" s="60"/>
      <c r="QAN2467" s="60"/>
      <c r="QAO2467" s="63"/>
      <c r="QAP2467" s="61"/>
      <c r="QAQ2467" s="54"/>
      <c r="QAR2467" s="54"/>
      <c r="QAS2467" s="60"/>
      <c r="QAT2467" s="60"/>
      <c r="QAU2467" s="60"/>
      <c r="QAV2467" s="60"/>
      <c r="QAW2467" s="63"/>
      <c r="QAX2467" s="61"/>
      <c r="QAY2467" s="54"/>
      <c r="QAZ2467" s="54"/>
      <c r="QBA2467" s="60"/>
      <c r="QBB2467" s="60"/>
      <c r="QBC2467" s="60"/>
      <c r="QBD2467" s="60"/>
      <c r="QBE2467" s="63"/>
      <c r="QBF2467" s="61"/>
      <c r="QBG2467" s="54"/>
      <c r="QBH2467" s="54"/>
      <c r="QBI2467" s="60"/>
      <c r="QBJ2467" s="60"/>
      <c r="QBK2467" s="60"/>
      <c r="QBL2467" s="60"/>
      <c r="QBM2467" s="63"/>
      <c r="QBN2467" s="61"/>
      <c r="QBO2467" s="54"/>
      <c r="QBP2467" s="54"/>
      <c r="QBQ2467" s="60"/>
      <c r="QBR2467" s="60"/>
      <c r="QBS2467" s="60"/>
      <c r="QBT2467" s="60"/>
      <c r="QBU2467" s="63"/>
      <c r="QBV2467" s="61"/>
      <c r="QBW2467" s="54"/>
      <c r="QBX2467" s="54"/>
      <c r="QBY2467" s="60"/>
      <c r="QBZ2467" s="60"/>
      <c r="QCA2467" s="60"/>
      <c r="QCB2467" s="60"/>
      <c r="QCC2467" s="63"/>
      <c r="QCD2467" s="61"/>
      <c r="QCE2467" s="54"/>
      <c r="QCF2467" s="54"/>
      <c r="QCG2467" s="60"/>
      <c r="QCH2467" s="60"/>
      <c r="QCI2467" s="60"/>
      <c r="QCJ2467" s="60"/>
      <c r="QCK2467" s="63"/>
      <c r="QCL2467" s="61"/>
      <c r="QCM2467" s="54"/>
      <c r="QCN2467" s="54"/>
      <c r="QCO2467" s="60"/>
      <c r="QCP2467" s="60"/>
      <c r="QCQ2467" s="60"/>
      <c r="QCR2467" s="60"/>
      <c r="QCS2467" s="63"/>
      <c r="QCT2467" s="61"/>
      <c r="QCU2467" s="54"/>
      <c r="QCV2467" s="54"/>
      <c r="QCW2467" s="60"/>
      <c r="QCX2467" s="60"/>
      <c r="QCY2467" s="60"/>
      <c r="QCZ2467" s="60"/>
      <c r="QDA2467" s="63"/>
      <c r="QDB2467" s="61"/>
      <c r="QDC2467" s="54"/>
      <c r="QDD2467" s="54"/>
      <c r="QDE2467" s="60"/>
      <c r="QDF2467" s="60"/>
      <c r="QDG2467" s="60"/>
      <c r="QDH2467" s="60"/>
      <c r="QDI2467" s="63"/>
      <c r="QDJ2467" s="61"/>
      <c r="QDK2467" s="54"/>
      <c r="QDL2467" s="54"/>
      <c r="QDM2467" s="60"/>
      <c r="QDN2467" s="60"/>
      <c r="QDO2467" s="60"/>
      <c r="QDP2467" s="60"/>
      <c r="QDQ2467" s="63"/>
      <c r="QDR2467" s="61"/>
      <c r="QDS2467" s="54"/>
      <c r="QDT2467" s="54"/>
      <c r="QDU2467" s="60"/>
      <c r="QDV2467" s="60"/>
      <c r="QDW2467" s="60"/>
      <c r="QDX2467" s="60"/>
      <c r="QDY2467" s="63"/>
      <c r="QDZ2467" s="61"/>
      <c r="QEA2467" s="54"/>
      <c r="QEB2467" s="54"/>
      <c r="QEC2467" s="60"/>
      <c r="QED2467" s="60"/>
      <c r="QEE2467" s="60"/>
      <c r="QEF2467" s="60"/>
      <c r="QEG2467" s="63"/>
      <c r="QEH2467" s="61"/>
      <c r="QEI2467" s="54"/>
      <c r="QEJ2467" s="54"/>
      <c r="QEK2467" s="60"/>
      <c r="QEL2467" s="60"/>
      <c r="QEM2467" s="60"/>
      <c r="QEN2467" s="60"/>
      <c r="QEO2467" s="63"/>
      <c r="QEP2467" s="61"/>
      <c r="QEQ2467" s="54"/>
      <c r="QER2467" s="54"/>
      <c r="QES2467" s="60"/>
      <c r="QET2467" s="60"/>
      <c r="QEU2467" s="60"/>
      <c r="QEV2467" s="60"/>
      <c r="QEW2467" s="63"/>
      <c r="QEX2467" s="61"/>
      <c r="QEY2467" s="54"/>
      <c r="QEZ2467" s="54"/>
      <c r="QFA2467" s="60"/>
      <c r="QFB2467" s="60"/>
      <c r="QFC2467" s="60"/>
      <c r="QFD2467" s="60"/>
      <c r="QFE2467" s="63"/>
      <c r="QFF2467" s="61"/>
      <c r="QFG2467" s="54"/>
      <c r="QFH2467" s="54"/>
      <c r="QFI2467" s="60"/>
      <c r="QFJ2467" s="60"/>
      <c r="QFK2467" s="60"/>
      <c r="QFL2467" s="60"/>
      <c r="QFM2467" s="63"/>
      <c r="QFN2467" s="61"/>
      <c r="QFO2467" s="54"/>
      <c r="QFP2467" s="54"/>
      <c r="QFQ2467" s="60"/>
      <c r="QFR2467" s="60"/>
      <c r="QFS2467" s="60"/>
      <c r="QFT2467" s="60"/>
      <c r="QFU2467" s="63"/>
      <c r="QFV2467" s="61"/>
      <c r="QFW2467" s="54"/>
      <c r="QFX2467" s="54"/>
      <c r="QFY2467" s="60"/>
      <c r="QFZ2467" s="60"/>
      <c r="QGA2467" s="60"/>
      <c r="QGB2467" s="60"/>
      <c r="QGC2467" s="63"/>
      <c r="QGD2467" s="61"/>
      <c r="QGE2467" s="54"/>
      <c r="QGF2467" s="54"/>
      <c r="QGG2467" s="60"/>
      <c r="QGH2467" s="60"/>
      <c r="QGI2467" s="60"/>
      <c r="QGJ2467" s="60"/>
      <c r="QGK2467" s="63"/>
      <c r="QGL2467" s="61"/>
      <c r="QGM2467" s="54"/>
      <c r="QGN2467" s="54"/>
      <c r="QGO2467" s="60"/>
      <c r="QGP2467" s="60"/>
      <c r="QGQ2467" s="60"/>
      <c r="QGR2467" s="60"/>
      <c r="QGS2467" s="63"/>
      <c r="QGT2467" s="61"/>
      <c r="QGU2467" s="54"/>
      <c r="QGV2467" s="54"/>
      <c r="QGW2467" s="60"/>
      <c r="QGX2467" s="60"/>
      <c r="QGY2467" s="60"/>
      <c r="QGZ2467" s="60"/>
      <c r="QHA2467" s="63"/>
      <c r="QHB2467" s="61"/>
      <c r="QHC2467" s="54"/>
      <c r="QHD2467" s="54"/>
      <c r="QHE2467" s="60"/>
      <c r="QHF2467" s="60"/>
      <c r="QHG2467" s="60"/>
      <c r="QHH2467" s="60"/>
      <c r="QHI2467" s="63"/>
      <c r="QHJ2467" s="61"/>
      <c r="QHK2467" s="54"/>
      <c r="QHL2467" s="54"/>
      <c r="QHM2467" s="60"/>
      <c r="QHN2467" s="60"/>
      <c r="QHO2467" s="60"/>
      <c r="QHP2467" s="60"/>
      <c r="QHQ2467" s="63"/>
      <c r="QHR2467" s="61"/>
      <c r="QHS2467" s="54"/>
      <c r="QHT2467" s="54"/>
      <c r="QHU2467" s="60"/>
      <c r="QHV2467" s="60"/>
      <c r="QHW2467" s="60"/>
      <c r="QHX2467" s="60"/>
      <c r="QHY2467" s="63"/>
      <c r="QHZ2467" s="61"/>
      <c r="QIA2467" s="54"/>
      <c r="QIB2467" s="54"/>
      <c r="QIC2467" s="60"/>
      <c r="QID2467" s="60"/>
      <c r="QIE2467" s="60"/>
      <c r="QIF2467" s="60"/>
      <c r="QIG2467" s="63"/>
      <c r="QIH2467" s="61"/>
      <c r="QII2467" s="54"/>
      <c r="QIJ2467" s="54"/>
      <c r="QIK2467" s="60"/>
      <c r="QIL2467" s="60"/>
      <c r="QIM2467" s="60"/>
      <c r="QIN2467" s="60"/>
      <c r="QIO2467" s="63"/>
      <c r="QIP2467" s="61"/>
      <c r="QIQ2467" s="54"/>
      <c r="QIR2467" s="54"/>
      <c r="QIS2467" s="60"/>
      <c r="QIT2467" s="60"/>
      <c r="QIU2467" s="60"/>
      <c r="QIV2467" s="60"/>
      <c r="QIW2467" s="63"/>
      <c r="QIX2467" s="61"/>
      <c r="QIY2467" s="54"/>
      <c r="QIZ2467" s="54"/>
      <c r="QJA2467" s="60"/>
      <c r="QJB2467" s="60"/>
      <c r="QJC2467" s="60"/>
      <c r="QJD2467" s="60"/>
      <c r="QJE2467" s="63"/>
      <c r="QJF2467" s="61"/>
      <c r="QJG2467" s="54"/>
      <c r="QJH2467" s="54"/>
      <c r="QJI2467" s="60"/>
      <c r="QJJ2467" s="60"/>
      <c r="QJK2467" s="60"/>
      <c r="QJL2467" s="60"/>
      <c r="QJM2467" s="63"/>
      <c r="QJN2467" s="61"/>
      <c r="QJO2467" s="54"/>
      <c r="QJP2467" s="54"/>
      <c r="QJQ2467" s="60"/>
      <c r="QJR2467" s="60"/>
      <c r="QJS2467" s="60"/>
      <c r="QJT2467" s="60"/>
      <c r="QJU2467" s="63"/>
      <c r="QJV2467" s="61"/>
      <c r="QJW2467" s="54"/>
      <c r="QJX2467" s="54"/>
      <c r="QJY2467" s="60"/>
      <c r="QJZ2467" s="60"/>
      <c r="QKA2467" s="60"/>
      <c r="QKB2467" s="60"/>
      <c r="QKC2467" s="63"/>
      <c r="QKD2467" s="61"/>
      <c r="QKE2467" s="54"/>
      <c r="QKF2467" s="54"/>
      <c r="QKG2467" s="60"/>
      <c r="QKH2467" s="60"/>
      <c r="QKI2467" s="60"/>
      <c r="QKJ2467" s="60"/>
      <c r="QKK2467" s="63"/>
      <c r="QKL2467" s="61"/>
      <c r="QKM2467" s="54"/>
      <c r="QKN2467" s="54"/>
      <c r="QKO2467" s="60"/>
      <c r="QKP2467" s="60"/>
      <c r="QKQ2467" s="60"/>
      <c r="QKR2467" s="60"/>
      <c r="QKS2467" s="63"/>
      <c r="QKT2467" s="61"/>
      <c r="QKU2467" s="54"/>
      <c r="QKV2467" s="54"/>
      <c r="QKW2467" s="60"/>
      <c r="QKX2467" s="60"/>
      <c r="QKY2467" s="60"/>
      <c r="QKZ2467" s="60"/>
      <c r="QLA2467" s="63"/>
      <c r="QLB2467" s="61"/>
      <c r="QLC2467" s="54"/>
      <c r="QLD2467" s="54"/>
      <c r="QLE2467" s="60"/>
      <c r="QLF2467" s="60"/>
      <c r="QLG2467" s="60"/>
      <c r="QLH2467" s="60"/>
      <c r="QLI2467" s="63"/>
      <c r="QLJ2467" s="61"/>
      <c r="QLK2467" s="54"/>
      <c r="QLL2467" s="54"/>
      <c r="QLM2467" s="60"/>
      <c r="QLN2467" s="60"/>
      <c r="QLO2467" s="60"/>
      <c r="QLP2467" s="60"/>
      <c r="QLQ2467" s="63"/>
      <c r="QLR2467" s="61"/>
      <c r="QLS2467" s="54"/>
      <c r="QLT2467" s="54"/>
      <c r="QLU2467" s="60"/>
      <c r="QLV2467" s="60"/>
      <c r="QLW2467" s="60"/>
      <c r="QLX2467" s="60"/>
      <c r="QLY2467" s="63"/>
      <c r="QLZ2467" s="61"/>
      <c r="QMA2467" s="54"/>
      <c r="QMB2467" s="54"/>
      <c r="QMC2467" s="60"/>
      <c r="QMD2467" s="60"/>
      <c r="QME2467" s="60"/>
      <c r="QMF2467" s="60"/>
      <c r="QMG2467" s="63"/>
      <c r="QMH2467" s="61"/>
      <c r="QMI2467" s="54"/>
      <c r="QMJ2467" s="54"/>
      <c r="QMK2467" s="60"/>
      <c r="QML2467" s="60"/>
      <c r="QMM2467" s="60"/>
      <c r="QMN2467" s="60"/>
      <c r="QMO2467" s="63"/>
      <c r="QMP2467" s="61"/>
      <c r="QMQ2467" s="54"/>
      <c r="QMR2467" s="54"/>
      <c r="QMS2467" s="60"/>
      <c r="QMT2467" s="60"/>
      <c r="QMU2467" s="60"/>
      <c r="QMV2467" s="60"/>
      <c r="QMW2467" s="63"/>
      <c r="QMX2467" s="61"/>
      <c r="QMY2467" s="54"/>
      <c r="QMZ2467" s="54"/>
      <c r="QNA2467" s="60"/>
      <c r="QNB2467" s="60"/>
      <c r="QNC2467" s="60"/>
      <c r="QND2467" s="60"/>
      <c r="QNE2467" s="63"/>
      <c r="QNF2467" s="61"/>
      <c r="QNG2467" s="54"/>
      <c r="QNH2467" s="54"/>
      <c r="QNI2467" s="60"/>
      <c r="QNJ2467" s="60"/>
      <c r="QNK2467" s="60"/>
      <c r="QNL2467" s="60"/>
      <c r="QNM2467" s="63"/>
      <c r="QNN2467" s="61"/>
      <c r="QNO2467" s="54"/>
      <c r="QNP2467" s="54"/>
      <c r="QNQ2467" s="60"/>
      <c r="QNR2467" s="60"/>
      <c r="QNS2467" s="60"/>
      <c r="QNT2467" s="60"/>
      <c r="QNU2467" s="63"/>
      <c r="QNV2467" s="61"/>
      <c r="QNW2467" s="54"/>
      <c r="QNX2467" s="54"/>
      <c r="QNY2467" s="60"/>
      <c r="QNZ2467" s="60"/>
      <c r="QOA2467" s="60"/>
      <c r="QOB2467" s="60"/>
      <c r="QOC2467" s="63"/>
      <c r="QOD2467" s="61"/>
      <c r="QOE2467" s="54"/>
      <c r="QOF2467" s="54"/>
      <c r="QOG2467" s="60"/>
      <c r="QOH2467" s="60"/>
      <c r="QOI2467" s="60"/>
      <c r="QOJ2467" s="60"/>
      <c r="QOK2467" s="63"/>
      <c r="QOL2467" s="61"/>
      <c r="QOM2467" s="54"/>
      <c r="QON2467" s="54"/>
      <c r="QOO2467" s="60"/>
      <c r="QOP2467" s="60"/>
      <c r="QOQ2467" s="60"/>
      <c r="QOR2467" s="60"/>
      <c r="QOS2467" s="63"/>
      <c r="QOT2467" s="61"/>
      <c r="QOU2467" s="54"/>
      <c r="QOV2467" s="54"/>
      <c r="QOW2467" s="60"/>
      <c r="QOX2467" s="60"/>
      <c r="QOY2467" s="60"/>
      <c r="QOZ2467" s="60"/>
      <c r="QPA2467" s="63"/>
      <c r="QPB2467" s="61"/>
      <c r="QPC2467" s="54"/>
      <c r="QPD2467" s="54"/>
      <c r="QPE2467" s="60"/>
      <c r="QPF2467" s="60"/>
      <c r="QPG2467" s="60"/>
      <c r="QPH2467" s="60"/>
      <c r="QPI2467" s="63"/>
      <c r="QPJ2467" s="61"/>
      <c r="QPK2467" s="54"/>
      <c r="QPL2467" s="54"/>
      <c r="QPM2467" s="60"/>
      <c r="QPN2467" s="60"/>
      <c r="QPO2467" s="60"/>
      <c r="QPP2467" s="60"/>
      <c r="QPQ2467" s="63"/>
      <c r="QPR2467" s="61"/>
      <c r="QPS2467" s="54"/>
      <c r="QPT2467" s="54"/>
      <c r="QPU2467" s="60"/>
      <c r="QPV2467" s="60"/>
      <c r="QPW2467" s="60"/>
      <c r="QPX2467" s="60"/>
      <c r="QPY2467" s="63"/>
      <c r="QPZ2467" s="61"/>
      <c r="QQA2467" s="54"/>
      <c r="QQB2467" s="54"/>
      <c r="QQC2467" s="60"/>
      <c r="QQD2467" s="60"/>
      <c r="QQE2467" s="60"/>
      <c r="QQF2467" s="60"/>
      <c r="QQG2467" s="63"/>
      <c r="QQH2467" s="61"/>
      <c r="QQI2467" s="54"/>
      <c r="QQJ2467" s="54"/>
      <c r="QQK2467" s="60"/>
      <c r="QQL2467" s="60"/>
      <c r="QQM2467" s="60"/>
      <c r="QQN2467" s="60"/>
      <c r="QQO2467" s="63"/>
      <c r="QQP2467" s="61"/>
      <c r="QQQ2467" s="54"/>
      <c r="QQR2467" s="54"/>
      <c r="QQS2467" s="60"/>
      <c r="QQT2467" s="60"/>
      <c r="QQU2467" s="60"/>
      <c r="QQV2467" s="60"/>
      <c r="QQW2467" s="63"/>
      <c r="QQX2467" s="61"/>
      <c r="QQY2467" s="54"/>
      <c r="QQZ2467" s="54"/>
      <c r="QRA2467" s="60"/>
      <c r="QRB2467" s="60"/>
      <c r="QRC2467" s="60"/>
      <c r="QRD2467" s="60"/>
      <c r="QRE2467" s="63"/>
      <c r="QRF2467" s="61"/>
      <c r="QRG2467" s="54"/>
      <c r="QRH2467" s="54"/>
      <c r="QRI2467" s="60"/>
      <c r="QRJ2467" s="60"/>
      <c r="QRK2467" s="60"/>
      <c r="QRL2467" s="60"/>
      <c r="QRM2467" s="63"/>
      <c r="QRN2467" s="61"/>
      <c r="QRO2467" s="54"/>
      <c r="QRP2467" s="54"/>
      <c r="QRQ2467" s="60"/>
      <c r="QRR2467" s="60"/>
      <c r="QRS2467" s="60"/>
      <c r="QRT2467" s="60"/>
      <c r="QRU2467" s="63"/>
      <c r="QRV2467" s="61"/>
      <c r="QRW2467" s="54"/>
      <c r="QRX2467" s="54"/>
      <c r="QRY2467" s="60"/>
      <c r="QRZ2467" s="60"/>
      <c r="QSA2467" s="60"/>
      <c r="QSB2467" s="60"/>
      <c r="QSC2467" s="63"/>
      <c r="QSD2467" s="61"/>
      <c r="QSE2467" s="54"/>
      <c r="QSF2467" s="54"/>
      <c r="QSG2467" s="60"/>
      <c r="QSH2467" s="60"/>
      <c r="QSI2467" s="60"/>
      <c r="QSJ2467" s="60"/>
      <c r="QSK2467" s="63"/>
      <c r="QSL2467" s="61"/>
      <c r="QSM2467" s="54"/>
      <c r="QSN2467" s="54"/>
      <c r="QSO2467" s="60"/>
      <c r="QSP2467" s="60"/>
      <c r="QSQ2467" s="60"/>
      <c r="QSR2467" s="60"/>
      <c r="QSS2467" s="63"/>
      <c r="QST2467" s="61"/>
      <c r="QSU2467" s="54"/>
      <c r="QSV2467" s="54"/>
      <c r="QSW2467" s="60"/>
      <c r="QSX2467" s="60"/>
      <c r="QSY2467" s="60"/>
      <c r="QSZ2467" s="60"/>
      <c r="QTA2467" s="63"/>
      <c r="QTB2467" s="61"/>
      <c r="QTC2467" s="54"/>
      <c r="QTD2467" s="54"/>
      <c r="QTE2467" s="60"/>
      <c r="QTF2467" s="60"/>
      <c r="QTG2467" s="60"/>
      <c r="QTH2467" s="60"/>
      <c r="QTI2467" s="63"/>
      <c r="QTJ2467" s="61"/>
      <c r="QTK2467" s="54"/>
      <c r="QTL2467" s="54"/>
      <c r="QTM2467" s="60"/>
      <c r="QTN2467" s="60"/>
      <c r="QTO2467" s="60"/>
      <c r="QTP2467" s="60"/>
      <c r="QTQ2467" s="63"/>
      <c r="QTR2467" s="61"/>
      <c r="QTS2467" s="54"/>
      <c r="QTT2467" s="54"/>
      <c r="QTU2467" s="60"/>
      <c r="QTV2467" s="60"/>
      <c r="QTW2467" s="60"/>
      <c r="QTX2467" s="60"/>
      <c r="QTY2467" s="63"/>
      <c r="QTZ2467" s="61"/>
      <c r="QUA2467" s="54"/>
      <c r="QUB2467" s="54"/>
      <c r="QUC2467" s="60"/>
      <c r="QUD2467" s="60"/>
      <c r="QUE2467" s="60"/>
      <c r="QUF2467" s="60"/>
      <c r="QUG2467" s="63"/>
      <c r="QUH2467" s="61"/>
      <c r="QUI2467" s="54"/>
      <c r="QUJ2467" s="54"/>
      <c r="QUK2467" s="60"/>
      <c r="QUL2467" s="60"/>
      <c r="QUM2467" s="60"/>
      <c r="QUN2467" s="60"/>
      <c r="QUO2467" s="63"/>
      <c r="QUP2467" s="61"/>
      <c r="QUQ2467" s="54"/>
      <c r="QUR2467" s="54"/>
      <c r="QUS2467" s="60"/>
      <c r="QUT2467" s="60"/>
      <c r="QUU2467" s="60"/>
      <c r="QUV2467" s="60"/>
      <c r="QUW2467" s="63"/>
      <c r="QUX2467" s="61"/>
      <c r="QUY2467" s="54"/>
      <c r="QUZ2467" s="54"/>
      <c r="QVA2467" s="60"/>
      <c r="QVB2467" s="60"/>
      <c r="QVC2467" s="60"/>
      <c r="QVD2467" s="60"/>
      <c r="QVE2467" s="63"/>
      <c r="QVF2467" s="61"/>
      <c r="QVG2467" s="54"/>
      <c r="QVH2467" s="54"/>
      <c r="QVI2467" s="60"/>
      <c r="QVJ2467" s="60"/>
      <c r="QVK2467" s="60"/>
      <c r="QVL2467" s="60"/>
      <c r="QVM2467" s="63"/>
      <c r="QVN2467" s="61"/>
      <c r="QVO2467" s="54"/>
      <c r="QVP2467" s="54"/>
      <c r="QVQ2467" s="60"/>
      <c r="QVR2467" s="60"/>
      <c r="QVS2467" s="60"/>
      <c r="QVT2467" s="60"/>
      <c r="QVU2467" s="63"/>
      <c r="QVV2467" s="61"/>
      <c r="QVW2467" s="54"/>
      <c r="QVX2467" s="54"/>
      <c r="QVY2467" s="60"/>
      <c r="QVZ2467" s="60"/>
      <c r="QWA2467" s="60"/>
      <c r="QWB2467" s="60"/>
      <c r="QWC2467" s="63"/>
      <c r="QWD2467" s="61"/>
      <c r="QWE2467" s="54"/>
      <c r="QWF2467" s="54"/>
      <c r="QWG2467" s="60"/>
      <c r="QWH2467" s="60"/>
      <c r="QWI2467" s="60"/>
      <c r="QWJ2467" s="60"/>
      <c r="QWK2467" s="63"/>
      <c r="QWL2467" s="61"/>
      <c r="QWM2467" s="54"/>
      <c r="QWN2467" s="54"/>
      <c r="QWO2467" s="60"/>
      <c r="QWP2467" s="60"/>
      <c r="QWQ2467" s="60"/>
      <c r="QWR2467" s="60"/>
      <c r="QWS2467" s="63"/>
      <c r="QWT2467" s="61"/>
      <c r="QWU2467" s="54"/>
      <c r="QWV2467" s="54"/>
      <c r="QWW2467" s="60"/>
      <c r="QWX2467" s="60"/>
      <c r="QWY2467" s="60"/>
      <c r="QWZ2467" s="60"/>
      <c r="QXA2467" s="63"/>
      <c r="QXB2467" s="61"/>
      <c r="QXC2467" s="54"/>
      <c r="QXD2467" s="54"/>
      <c r="QXE2467" s="60"/>
      <c r="QXF2467" s="60"/>
      <c r="QXG2467" s="60"/>
      <c r="QXH2467" s="60"/>
      <c r="QXI2467" s="63"/>
      <c r="QXJ2467" s="61"/>
      <c r="QXK2467" s="54"/>
      <c r="QXL2467" s="54"/>
      <c r="QXM2467" s="60"/>
      <c r="QXN2467" s="60"/>
      <c r="QXO2467" s="60"/>
      <c r="QXP2467" s="60"/>
      <c r="QXQ2467" s="63"/>
      <c r="QXR2467" s="61"/>
      <c r="QXS2467" s="54"/>
      <c r="QXT2467" s="54"/>
      <c r="QXU2467" s="60"/>
      <c r="QXV2467" s="60"/>
      <c r="QXW2467" s="60"/>
      <c r="QXX2467" s="60"/>
      <c r="QXY2467" s="63"/>
      <c r="QXZ2467" s="61"/>
      <c r="QYA2467" s="54"/>
      <c r="QYB2467" s="54"/>
      <c r="QYC2467" s="60"/>
      <c r="QYD2467" s="60"/>
      <c r="QYE2467" s="60"/>
      <c r="QYF2467" s="60"/>
      <c r="QYG2467" s="63"/>
      <c r="QYH2467" s="61"/>
      <c r="QYI2467" s="54"/>
      <c r="QYJ2467" s="54"/>
      <c r="QYK2467" s="60"/>
      <c r="QYL2467" s="60"/>
      <c r="QYM2467" s="60"/>
      <c r="QYN2467" s="60"/>
      <c r="QYO2467" s="63"/>
      <c r="QYP2467" s="61"/>
      <c r="QYQ2467" s="54"/>
      <c r="QYR2467" s="54"/>
      <c r="QYS2467" s="60"/>
      <c r="QYT2467" s="60"/>
      <c r="QYU2467" s="60"/>
      <c r="QYV2467" s="60"/>
      <c r="QYW2467" s="63"/>
      <c r="QYX2467" s="61"/>
      <c r="QYY2467" s="54"/>
      <c r="QYZ2467" s="54"/>
      <c r="QZA2467" s="60"/>
      <c r="QZB2467" s="60"/>
      <c r="QZC2467" s="60"/>
      <c r="QZD2467" s="60"/>
      <c r="QZE2467" s="63"/>
      <c r="QZF2467" s="61"/>
      <c r="QZG2467" s="54"/>
      <c r="QZH2467" s="54"/>
      <c r="QZI2467" s="60"/>
      <c r="QZJ2467" s="60"/>
      <c r="QZK2467" s="60"/>
      <c r="QZL2467" s="60"/>
      <c r="QZM2467" s="63"/>
      <c r="QZN2467" s="61"/>
      <c r="QZO2467" s="54"/>
      <c r="QZP2467" s="54"/>
      <c r="QZQ2467" s="60"/>
      <c r="QZR2467" s="60"/>
      <c r="QZS2467" s="60"/>
      <c r="QZT2467" s="60"/>
      <c r="QZU2467" s="63"/>
      <c r="QZV2467" s="61"/>
      <c r="QZW2467" s="54"/>
      <c r="QZX2467" s="54"/>
      <c r="QZY2467" s="60"/>
      <c r="QZZ2467" s="60"/>
      <c r="RAA2467" s="60"/>
      <c r="RAB2467" s="60"/>
      <c r="RAC2467" s="63"/>
      <c r="RAD2467" s="61"/>
      <c r="RAE2467" s="54"/>
      <c r="RAF2467" s="54"/>
      <c r="RAG2467" s="60"/>
      <c r="RAH2467" s="60"/>
      <c r="RAI2467" s="60"/>
      <c r="RAJ2467" s="60"/>
      <c r="RAK2467" s="63"/>
      <c r="RAL2467" s="61"/>
      <c r="RAM2467" s="54"/>
      <c r="RAN2467" s="54"/>
      <c r="RAO2467" s="60"/>
      <c r="RAP2467" s="60"/>
      <c r="RAQ2467" s="60"/>
      <c r="RAR2467" s="60"/>
      <c r="RAS2467" s="63"/>
      <c r="RAT2467" s="61"/>
      <c r="RAU2467" s="54"/>
      <c r="RAV2467" s="54"/>
      <c r="RAW2467" s="60"/>
      <c r="RAX2467" s="60"/>
      <c r="RAY2467" s="60"/>
      <c r="RAZ2467" s="60"/>
      <c r="RBA2467" s="63"/>
      <c r="RBB2467" s="61"/>
      <c r="RBC2467" s="54"/>
      <c r="RBD2467" s="54"/>
      <c r="RBE2467" s="60"/>
      <c r="RBF2467" s="60"/>
      <c r="RBG2467" s="60"/>
      <c r="RBH2467" s="60"/>
      <c r="RBI2467" s="63"/>
      <c r="RBJ2467" s="61"/>
      <c r="RBK2467" s="54"/>
      <c r="RBL2467" s="54"/>
      <c r="RBM2467" s="60"/>
      <c r="RBN2467" s="60"/>
      <c r="RBO2467" s="60"/>
      <c r="RBP2467" s="60"/>
      <c r="RBQ2467" s="63"/>
      <c r="RBR2467" s="61"/>
      <c r="RBS2467" s="54"/>
      <c r="RBT2467" s="54"/>
      <c r="RBU2467" s="60"/>
      <c r="RBV2467" s="60"/>
      <c r="RBW2467" s="60"/>
      <c r="RBX2467" s="60"/>
      <c r="RBY2467" s="63"/>
      <c r="RBZ2467" s="61"/>
      <c r="RCA2467" s="54"/>
      <c r="RCB2467" s="54"/>
      <c r="RCC2467" s="60"/>
      <c r="RCD2467" s="60"/>
      <c r="RCE2467" s="60"/>
      <c r="RCF2467" s="60"/>
      <c r="RCG2467" s="63"/>
      <c r="RCH2467" s="61"/>
      <c r="RCI2467" s="54"/>
      <c r="RCJ2467" s="54"/>
      <c r="RCK2467" s="60"/>
      <c r="RCL2467" s="60"/>
      <c r="RCM2467" s="60"/>
      <c r="RCN2467" s="60"/>
      <c r="RCO2467" s="63"/>
      <c r="RCP2467" s="61"/>
      <c r="RCQ2467" s="54"/>
      <c r="RCR2467" s="54"/>
      <c r="RCS2467" s="60"/>
      <c r="RCT2467" s="60"/>
      <c r="RCU2467" s="60"/>
      <c r="RCV2467" s="60"/>
      <c r="RCW2467" s="63"/>
      <c r="RCX2467" s="61"/>
      <c r="RCY2467" s="54"/>
      <c r="RCZ2467" s="54"/>
      <c r="RDA2467" s="60"/>
      <c r="RDB2467" s="60"/>
      <c r="RDC2467" s="60"/>
      <c r="RDD2467" s="60"/>
      <c r="RDE2467" s="63"/>
      <c r="RDF2467" s="61"/>
      <c r="RDG2467" s="54"/>
      <c r="RDH2467" s="54"/>
      <c r="RDI2467" s="60"/>
      <c r="RDJ2467" s="60"/>
      <c r="RDK2467" s="60"/>
      <c r="RDL2467" s="60"/>
      <c r="RDM2467" s="63"/>
      <c r="RDN2467" s="61"/>
      <c r="RDO2467" s="54"/>
      <c r="RDP2467" s="54"/>
      <c r="RDQ2467" s="60"/>
      <c r="RDR2467" s="60"/>
      <c r="RDS2467" s="60"/>
      <c r="RDT2467" s="60"/>
      <c r="RDU2467" s="63"/>
      <c r="RDV2467" s="61"/>
      <c r="RDW2467" s="54"/>
      <c r="RDX2467" s="54"/>
      <c r="RDY2467" s="60"/>
      <c r="RDZ2467" s="60"/>
      <c r="REA2467" s="60"/>
      <c r="REB2467" s="60"/>
      <c r="REC2467" s="63"/>
      <c r="RED2467" s="61"/>
      <c r="REE2467" s="54"/>
      <c r="REF2467" s="54"/>
      <c r="REG2467" s="60"/>
      <c r="REH2467" s="60"/>
      <c r="REI2467" s="60"/>
      <c r="REJ2467" s="60"/>
      <c r="REK2467" s="63"/>
      <c r="REL2467" s="61"/>
      <c r="REM2467" s="54"/>
      <c r="REN2467" s="54"/>
      <c r="REO2467" s="60"/>
      <c r="REP2467" s="60"/>
      <c r="REQ2467" s="60"/>
      <c r="RER2467" s="60"/>
      <c r="RES2467" s="63"/>
      <c r="RET2467" s="61"/>
      <c r="REU2467" s="54"/>
      <c r="REV2467" s="54"/>
      <c r="REW2467" s="60"/>
      <c r="REX2467" s="60"/>
      <c r="REY2467" s="60"/>
      <c r="REZ2467" s="60"/>
      <c r="RFA2467" s="63"/>
      <c r="RFB2467" s="61"/>
      <c r="RFC2467" s="54"/>
      <c r="RFD2467" s="54"/>
      <c r="RFE2467" s="60"/>
      <c r="RFF2467" s="60"/>
      <c r="RFG2467" s="60"/>
      <c r="RFH2467" s="60"/>
      <c r="RFI2467" s="63"/>
      <c r="RFJ2467" s="61"/>
      <c r="RFK2467" s="54"/>
      <c r="RFL2467" s="54"/>
      <c r="RFM2467" s="60"/>
      <c r="RFN2467" s="60"/>
      <c r="RFO2467" s="60"/>
      <c r="RFP2467" s="60"/>
      <c r="RFQ2467" s="63"/>
      <c r="RFR2467" s="61"/>
      <c r="RFS2467" s="54"/>
      <c r="RFT2467" s="54"/>
      <c r="RFU2467" s="60"/>
      <c r="RFV2467" s="60"/>
      <c r="RFW2467" s="60"/>
      <c r="RFX2467" s="60"/>
      <c r="RFY2467" s="63"/>
      <c r="RFZ2467" s="61"/>
      <c r="RGA2467" s="54"/>
      <c r="RGB2467" s="54"/>
      <c r="RGC2467" s="60"/>
      <c r="RGD2467" s="60"/>
      <c r="RGE2467" s="60"/>
      <c r="RGF2467" s="60"/>
      <c r="RGG2467" s="63"/>
      <c r="RGH2467" s="61"/>
      <c r="RGI2467" s="54"/>
      <c r="RGJ2467" s="54"/>
      <c r="RGK2467" s="60"/>
      <c r="RGL2467" s="60"/>
      <c r="RGM2467" s="60"/>
      <c r="RGN2467" s="60"/>
      <c r="RGO2467" s="63"/>
      <c r="RGP2467" s="61"/>
      <c r="RGQ2467" s="54"/>
      <c r="RGR2467" s="54"/>
      <c r="RGS2467" s="60"/>
      <c r="RGT2467" s="60"/>
      <c r="RGU2467" s="60"/>
      <c r="RGV2467" s="60"/>
      <c r="RGW2467" s="63"/>
      <c r="RGX2467" s="61"/>
      <c r="RGY2467" s="54"/>
      <c r="RGZ2467" s="54"/>
      <c r="RHA2467" s="60"/>
      <c r="RHB2467" s="60"/>
      <c r="RHC2467" s="60"/>
      <c r="RHD2467" s="60"/>
      <c r="RHE2467" s="63"/>
      <c r="RHF2467" s="61"/>
      <c r="RHG2467" s="54"/>
      <c r="RHH2467" s="54"/>
      <c r="RHI2467" s="60"/>
      <c r="RHJ2467" s="60"/>
      <c r="RHK2467" s="60"/>
      <c r="RHL2467" s="60"/>
      <c r="RHM2467" s="63"/>
      <c r="RHN2467" s="61"/>
      <c r="RHO2467" s="54"/>
      <c r="RHP2467" s="54"/>
      <c r="RHQ2467" s="60"/>
      <c r="RHR2467" s="60"/>
      <c r="RHS2467" s="60"/>
      <c r="RHT2467" s="60"/>
      <c r="RHU2467" s="63"/>
      <c r="RHV2467" s="61"/>
      <c r="RHW2467" s="54"/>
      <c r="RHX2467" s="54"/>
      <c r="RHY2467" s="60"/>
      <c r="RHZ2467" s="60"/>
      <c r="RIA2467" s="60"/>
      <c r="RIB2467" s="60"/>
      <c r="RIC2467" s="63"/>
      <c r="RID2467" s="61"/>
      <c r="RIE2467" s="54"/>
      <c r="RIF2467" s="54"/>
      <c r="RIG2467" s="60"/>
      <c r="RIH2467" s="60"/>
      <c r="RII2467" s="60"/>
      <c r="RIJ2467" s="60"/>
      <c r="RIK2467" s="63"/>
      <c r="RIL2467" s="61"/>
      <c r="RIM2467" s="54"/>
      <c r="RIN2467" s="54"/>
      <c r="RIO2467" s="60"/>
      <c r="RIP2467" s="60"/>
      <c r="RIQ2467" s="60"/>
      <c r="RIR2467" s="60"/>
      <c r="RIS2467" s="63"/>
      <c r="RIT2467" s="61"/>
      <c r="RIU2467" s="54"/>
      <c r="RIV2467" s="54"/>
      <c r="RIW2467" s="60"/>
      <c r="RIX2467" s="60"/>
      <c r="RIY2467" s="60"/>
      <c r="RIZ2467" s="60"/>
      <c r="RJA2467" s="63"/>
      <c r="RJB2467" s="61"/>
      <c r="RJC2467" s="54"/>
      <c r="RJD2467" s="54"/>
      <c r="RJE2467" s="60"/>
      <c r="RJF2467" s="60"/>
      <c r="RJG2467" s="60"/>
      <c r="RJH2467" s="60"/>
      <c r="RJI2467" s="63"/>
      <c r="RJJ2467" s="61"/>
      <c r="RJK2467" s="54"/>
      <c r="RJL2467" s="54"/>
      <c r="RJM2467" s="60"/>
      <c r="RJN2467" s="60"/>
      <c r="RJO2467" s="60"/>
      <c r="RJP2467" s="60"/>
      <c r="RJQ2467" s="63"/>
      <c r="RJR2467" s="61"/>
      <c r="RJS2467" s="54"/>
      <c r="RJT2467" s="54"/>
      <c r="RJU2467" s="60"/>
      <c r="RJV2467" s="60"/>
      <c r="RJW2467" s="60"/>
      <c r="RJX2467" s="60"/>
      <c r="RJY2467" s="63"/>
      <c r="RJZ2467" s="61"/>
      <c r="RKA2467" s="54"/>
      <c r="RKB2467" s="54"/>
      <c r="RKC2467" s="60"/>
      <c r="RKD2467" s="60"/>
      <c r="RKE2467" s="60"/>
      <c r="RKF2467" s="60"/>
      <c r="RKG2467" s="63"/>
      <c r="RKH2467" s="61"/>
      <c r="RKI2467" s="54"/>
      <c r="RKJ2467" s="54"/>
      <c r="RKK2467" s="60"/>
      <c r="RKL2467" s="60"/>
      <c r="RKM2467" s="60"/>
      <c r="RKN2467" s="60"/>
      <c r="RKO2467" s="63"/>
      <c r="RKP2467" s="61"/>
      <c r="RKQ2467" s="54"/>
      <c r="RKR2467" s="54"/>
      <c r="RKS2467" s="60"/>
      <c r="RKT2467" s="60"/>
      <c r="RKU2467" s="60"/>
      <c r="RKV2467" s="60"/>
      <c r="RKW2467" s="63"/>
      <c r="RKX2467" s="61"/>
      <c r="RKY2467" s="54"/>
      <c r="RKZ2467" s="54"/>
      <c r="RLA2467" s="60"/>
      <c r="RLB2467" s="60"/>
      <c r="RLC2467" s="60"/>
      <c r="RLD2467" s="60"/>
      <c r="RLE2467" s="63"/>
      <c r="RLF2467" s="61"/>
      <c r="RLG2467" s="54"/>
      <c r="RLH2467" s="54"/>
      <c r="RLI2467" s="60"/>
      <c r="RLJ2467" s="60"/>
      <c r="RLK2467" s="60"/>
      <c r="RLL2467" s="60"/>
      <c r="RLM2467" s="63"/>
      <c r="RLN2467" s="61"/>
      <c r="RLO2467" s="54"/>
      <c r="RLP2467" s="54"/>
      <c r="RLQ2467" s="60"/>
      <c r="RLR2467" s="60"/>
      <c r="RLS2467" s="60"/>
      <c r="RLT2467" s="60"/>
      <c r="RLU2467" s="63"/>
      <c r="RLV2467" s="61"/>
      <c r="RLW2467" s="54"/>
      <c r="RLX2467" s="54"/>
      <c r="RLY2467" s="60"/>
      <c r="RLZ2467" s="60"/>
      <c r="RMA2467" s="60"/>
      <c r="RMB2467" s="60"/>
      <c r="RMC2467" s="63"/>
      <c r="RMD2467" s="61"/>
      <c r="RME2467" s="54"/>
      <c r="RMF2467" s="54"/>
      <c r="RMG2467" s="60"/>
      <c r="RMH2467" s="60"/>
      <c r="RMI2467" s="60"/>
      <c r="RMJ2467" s="60"/>
      <c r="RMK2467" s="63"/>
      <c r="RML2467" s="61"/>
      <c r="RMM2467" s="54"/>
      <c r="RMN2467" s="54"/>
      <c r="RMO2467" s="60"/>
      <c r="RMP2467" s="60"/>
      <c r="RMQ2467" s="60"/>
      <c r="RMR2467" s="60"/>
      <c r="RMS2467" s="63"/>
      <c r="RMT2467" s="61"/>
      <c r="RMU2467" s="54"/>
      <c r="RMV2467" s="54"/>
      <c r="RMW2467" s="60"/>
      <c r="RMX2467" s="60"/>
      <c r="RMY2467" s="60"/>
      <c r="RMZ2467" s="60"/>
      <c r="RNA2467" s="63"/>
      <c r="RNB2467" s="61"/>
      <c r="RNC2467" s="54"/>
      <c r="RND2467" s="54"/>
      <c r="RNE2467" s="60"/>
      <c r="RNF2467" s="60"/>
      <c r="RNG2467" s="60"/>
      <c r="RNH2467" s="60"/>
      <c r="RNI2467" s="63"/>
      <c r="RNJ2467" s="61"/>
      <c r="RNK2467" s="54"/>
      <c r="RNL2467" s="54"/>
      <c r="RNM2467" s="60"/>
      <c r="RNN2467" s="60"/>
      <c r="RNO2467" s="60"/>
      <c r="RNP2467" s="60"/>
      <c r="RNQ2467" s="63"/>
      <c r="RNR2467" s="61"/>
      <c r="RNS2467" s="54"/>
      <c r="RNT2467" s="54"/>
      <c r="RNU2467" s="60"/>
      <c r="RNV2467" s="60"/>
      <c r="RNW2467" s="60"/>
      <c r="RNX2467" s="60"/>
      <c r="RNY2467" s="63"/>
      <c r="RNZ2467" s="61"/>
      <c r="ROA2467" s="54"/>
      <c r="ROB2467" s="54"/>
      <c r="ROC2467" s="60"/>
      <c r="ROD2467" s="60"/>
      <c r="ROE2467" s="60"/>
      <c r="ROF2467" s="60"/>
      <c r="ROG2467" s="63"/>
      <c r="ROH2467" s="61"/>
      <c r="ROI2467" s="54"/>
      <c r="ROJ2467" s="54"/>
      <c r="ROK2467" s="60"/>
      <c r="ROL2467" s="60"/>
      <c r="ROM2467" s="60"/>
      <c r="RON2467" s="60"/>
      <c r="ROO2467" s="63"/>
      <c r="ROP2467" s="61"/>
      <c r="ROQ2467" s="54"/>
      <c r="ROR2467" s="54"/>
      <c r="ROS2467" s="60"/>
      <c r="ROT2467" s="60"/>
      <c r="ROU2467" s="60"/>
      <c r="ROV2467" s="60"/>
      <c r="ROW2467" s="63"/>
      <c r="ROX2467" s="61"/>
      <c r="ROY2467" s="54"/>
      <c r="ROZ2467" s="54"/>
      <c r="RPA2467" s="60"/>
      <c r="RPB2467" s="60"/>
      <c r="RPC2467" s="60"/>
      <c r="RPD2467" s="60"/>
      <c r="RPE2467" s="63"/>
      <c r="RPF2467" s="61"/>
      <c r="RPG2467" s="54"/>
      <c r="RPH2467" s="54"/>
      <c r="RPI2467" s="60"/>
      <c r="RPJ2467" s="60"/>
      <c r="RPK2467" s="60"/>
      <c r="RPL2467" s="60"/>
      <c r="RPM2467" s="63"/>
      <c r="RPN2467" s="61"/>
      <c r="RPO2467" s="54"/>
      <c r="RPP2467" s="54"/>
      <c r="RPQ2467" s="60"/>
      <c r="RPR2467" s="60"/>
      <c r="RPS2467" s="60"/>
      <c r="RPT2467" s="60"/>
      <c r="RPU2467" s="63"/>
      <c r="RPV2467" s="61"/>
      <c r="RPW2467" s="54"/>
      <c r="RPX2467" s="54"/>
      <c r="RPY2467" s="60"/>
      <c r="RPZ2467" s="60"/>
      <c r="RQA2467" s="60"/>
      <c r="RQB2467" s="60"/>
      <c r="RQC2467" s="63"/>
      <c r="RQD2467" s="61"/>
      <c r="RQE2467" s="54"/>
      <c r="RQF2467" s="54"/>
      <c r="RQG2467" s="60"/>
      <c r="RQH2467" s="60"/>
      <c r="RQI2467" s="60"/>
      <c r="RQJ2467" s="60"/>
      <c r="RQK2467" s="63"/>
      <c r="RQL2467" s="61"/>
      <c r="RQM2467" s="54"/>
      <c r="RQN2467" s="54"/>
      <c r="RQO2467" s="60"/>
      <c r="RQP2467" s="60"/>
      <c r="RQQ2467" s="60"/>
      <c r="RQR2467" s="60"/>
      <c r="RQS2467" s="63"/>
      <c r="RQT2467" s="61"/>
      <c r="RQU2467" s="54"/>
      <c r="RQV2467" s="54"/>
      <c r="RQW2467" s="60"/>
      <c r="RQX2467" s="60"/>
      <c r="RQY2467" s="60"/>
      <c r="RQZ2467" s="60"/>
      <c r="RRA2467" s="63"/>
      <c r="RRB2467" s="61"/>
      <c r="RRC2467" s="54"/>
      <c r="RRD2467" s="54"/>
      <c r="RRE2467" s="60"/>
      <c r="RRF2467" s="60"/>
      <c r="RRG2467" s="60"/>
      <c r="RRH2467" s="60"/>
      <c r="RRI2467" s="63"/>
      <c r="RRJ2467" s="61"/>
      <c r="RRK2467" s="54"/>
      <c r="RRL2467" s="54"/>
      <c r="RRM2467" s="60"/>
      <c r="RRN2467" s="60"/>
      <c r="RRO2467" s="60"/>
      <c r="RRP2467" s="60"/>
      <c r="RRQ2467" s="63"/>
      <c r="RRR2467" s="61"/>
      <c r="RRS2467" s="54"/>
      <c r="RRT2467" s="54"/>
      <c r="RRU2467" s="60"/>
      <c r="RRV2467" s="60"/>
      <c r="RRW2467" s="60"/>
      <c r="RRX2467" s="60"/>
      <c r="RRY2467" s="63"/>
      <c r="RRZ2467" s="61"/>
      <c r="RSA2467" s="54"/>
      <c r="RSB2467" s="54"/>
      <c r="RSC2467" s="60"/>
      <c r="RSD2467" s="60"/>
      <c r="RSE2467" s="60"/>
      <c r="RSF2467" s="60"/>
      <c r="RSG2467" s="63"/>
      <c r="RSH2467" s="61"/>
      <c r="RSI2467" s="54"/>
      <c r="RSJ2467" s="54"/>
      <c r="RSK2467" s="60"/>
      <c r="RSL2467" s="60"/>
      <c r="RSM2467" s="60"/>
      <c r="RSN2467" s="60"/>
      <c r="RSO2467" s="63"/>
      <c r="RSP2467" s="61"/>
      <c r="RSQ2467" s="54"/>
      <c r="RSR2467" s="54"/>
      <c r="RSS2467" s="60"/>
      <c r="RST2467" s="60"/>
      <c r="RSU2467" s="60"/>
      <c r="RSV2467" s="60"/>
      <c r="RSW2467" s="63"/>
      <c r="RSX2467" s="61"/>
      <c r="RSY2467" s="54"/>
      <c r="RSZ2467" s="54"/>
      <c r="RTA2467" s="60"/>
      <c r="RTB2467" s="60"/>
      <c r="RTC2467" s="60"/>
      <c r="RTD2467" s="60"/>
      <c r="RTE2467" s="63"/>
      <c r="RTF2467" s="61"/>
      <c r="RTG2467" s="54"/>
      <c r="RTH2467" s="54"/>
      <c r="RTI2467" s="60"/>
      <c r="RTJ2467" s="60"/>
      <c r="RTK2467" s="60"/>
      <c r="RTL2467" s="60"/>
      <c r="RTM2467" s="63"/>
      <c r="RTN2467" s="61"/>
      <c r="RTO2467" s="54"/>
      <c r="RTP2467" s="54"/>
      <c r="RTQ2467" s="60"/>
      <c r="RTR2467" s="60"/>
      <c r="RTS2467" s="60"/>
      <c r="RTT2467" s="60"/>
      <c r="RTU2467" s="63"/>
      <c r="RTV2467" s="61"/>
      <c r="RTW2467" s="54"/>
      <c r="RTX2467" s="54"/>
      <c r="RTY2467" s="60"/>
      <c r="RTZ2467" s="60"/>
      <c r="RUA2467" s="60"/>
      <c r="RUB2467" s="60"/>
      <c r="RUC2467" s="63"/>
      <c r="RUD2467" s="61"/>
      <c r="RUE2467" s="54"/>
      <c r="RUF2467" s="54"/>
      <c r="RUG2467" s="60"/>
      <c r="RUH2467" s="60"/>
      <c r="RUI2467" s="60"/>
      <c r="RUJ2467" s="60"/>
      <c r="RUK2467" s="63"/>
      <c r="RUL2467" s="61"/>
      <c r="RUM2467" s="54"/>
      <c r="RUN2467" s="54"/>
      <c r="RUO2467" s="60"/>
      <c r="RUP2467" s="60"/>
      <c r="RUQ2467" s="60"/>
      <c r="RUR2467" s="60"/>
      <c r="RUS2467" s="63"/>
      <c r="RUT2467" s="61"/>
      <c r="RUU2467" s="54"/>
      <c r="RUV2467" s="54"/>
      <c r="RUW2467" s="60"/>
      <c r="RUX2467" s="60"/>
      <c r="RUY2467" s="60"/>
      <c r="RUZ2467" s="60"/>
      <c r="RVA2467" s="63"/>
      <c r="RVB2467" s="61"/>
      <c r="RVC2467" s="54"/>
      <c r="RVD2467" s="54"/>
      <c r="RVE2467" s="60"/>
      <c r="RVF2467" s="60"/>
      <c r="RVG2467" s="60"/>
      <c r="RVH2467" s="60"/>
      <c r="RVI2467" s="63"/>
      <c r="RVJ2467" s="61"/>
      <c r="RVK2467" s="54"/>
      <c r="RVL2467" s="54"/>
      <c r="RVM2467" s="60"/>
      <c r="RVN2467" s="60"/>
      <c r="RVO2467" s="60"/>
      <c r="RVP2467" s="60"/>
      <c r="RVQ2467" s="63"/>
      <c r="RVR2467" s="61"/>
      <c r="RVS2467" s="54"/>
      <c r="RVT2467" s="54"/>
      <c r="RVU2467" s="60"/>
      <c r="RVV2467" s="60"/>
      <c r="RVW2467" s="60"/>
      <c r="RVX2467" s="60"/>
      <c r="RVY2467" s="63"/>
      <c r="RVZ2467" s="61"/>
      <c r="RWA2467" s="54"/>
      <c r="RWB2467" s="54"/>
      <c r="RWC2467" s="60"/>
      <c r="RWD2467" s="60"/>
      <c r="RWE2467" s="60"/>
      <c r="RWF2467" s="60"/>
      <c r="RWG2467" s="63"/>
      <c r="RWH2467" s="61"/>
      <c r="RWI2467" s="54"/>
      <c r="RWJ2467" s="54"/>
      <c r="RWK2467" s="60"/>
      <c r="RWL2467" s="60"/>
      <c r="RWM2467" s="60"/>
      <c r="RWN2467" s="60"/>
      <c r="RWO2467" s="63"/>
      <c r="RWP2467" s="61"/>
      <c r="RWQ2467" s="54"/>
      <c r="RWR2467" s="54"/>
      <c r="RWS2467" s="60"/>
      <c r="RWT2467" s="60"/>
      <c r="RWU2467" s="60"/>
      <c r="RWV2467" s="60"/>
      <c r="RWW2467" s="63"/>
      <c r="RWX2467" s="61"/>
      <c r="RWY2467" s="54"/>
      <c r="RWZ2467" s="54"/>
      <c r="RXA2467" s="60"/>
      <c r="RXB2467" s="60"/>
      <c r="RXC2467" s="60"/>
      <c r="RXD2467" s="60"/>
      <c r="RXE2467" s="63"/>
      <c r="RXF2467" s="61"/>
      <c r="RXG2467" s="54"/>
      <c r="RXH2467" s="54"/>
      <c r="RXI2467" s="60"/>
      <c r="RXJ2467" s="60"/>
      <c r="RXK2467" s="60"/>
      <c r="RXL2467" s="60"/>
      <c r="RXM2467" s="63"/>
      <c r="RXN2467" s="61"/>
      <c r="RXO2467" s="54"/>
      <c r="RXP2467" s="54"/>
      <c r="RXQ2467" s="60"/>
      <c r="RXR2467" s="60"/>
      <c r="RXS2467" s="60"/>
      <c r="RXT2467" s="60"/>
      <c r="RXU2467" s="63"/>
      <c r="RXV2467" s="61"/>
      <c r="RXW2467" s="54"/>
      <c r="RXX2467" s="54"/>
      <c r="RXY2467" s="60"/>
      <c r="RXZ2467" s="60"/>
      <c r="RYA2467" s="60"/>
      <c r="RYB2467" s="60"/>
      <c r="RYC2467" s="63"/>
      <c r="RYD2467" s="61"/>
      <c r="RYE2467" s="54"/>
      <c r="RYF2467" s="54"/>
      <c r="RYG2467" s="60"/>
      <c r="RYH2467" s="60"/>
      <c r="RYI2467" s="60"/>
      <c r="RYJ2467" s="60"/>
      <c r="RYK2467" s="63"/>
      <c r="RYL2467" s="61"/>
      <c r="RYM2467" s="54"/>
      <c r="RYN2467" s="54"/>
      <c r="RYO2467" s="60"/>
      <c r="RYP2467" s="60"/>
      <c r="RYQ2467" s="60"/>
      <c r="RYR2467" s="60"/>
      <c r="RYS2467" s="63"/>
      <c r="RYT2467" s="61"/>
      <c r="RYU2467" s="54"/>
      <c r="RYV2467" s="54"/>
      <c r="RYW2467" s="60"/>
      <c r="RYX2467" s="60"/>
      <c r="RYY2467" s="60"/>
      <c r="RYZ2467" s="60"/>
      <c r="RZA2467" s="63"/>
      <c r="RZB2467" s="61"/>
      <c r="RZC2467" s="54"/>
      <c r="RZD2467" s="54"/>
      <c r="RZE2467" s="60"/>
      <c r="RZF2467" s="60"/>
      <c r="RZG2467" s="60"/>
      <c r="RZH2467" s="60"/>
      <c r="RZI2467" s="63"/>
      <c r="RZJ2467" s="61"/>
      <c r="RZK2467" s="54"/>
      <c r="RZL2467" s="54"/>
      <c r="RZM2467" s="60"/>
      <c r="RZN2467" s="60"/>
      <c r="RZO2467" s="60"/>
      <c r="RZP2467" s="60"/>
      <c r="RZQ2467" s="63"/>
      <c r="RZR2467" s="61"/>
      <c r="RZS2467" s="54"/>
      <c r="RZT2467" s="54"/>
      <c r="RZU2467" s="60"/>
      <c r="RZV2467" s="60"/>
      <c r="RZW2467" s="60"/>
      <c r="RZX2467" s="60"/>
      <c r="RZY2467" s="63"/>
      <c r="RZZ2467" s="61"/>
      <c r="SAA2467" s="54"/>
      <c r="SAB2467" s="54"/>
      <c r="SAC2467" s="60"/>
      <c r="SAD2467" s="60"/>
      <c r="SAE2467" s="60"/>
      <c r="SAF2467" s="60"/>
      <c r="SAG2467" s="63"/>
      <c r="SAH2467" s="61"/>
      <c r="SAI2467" s="54"/>
      <c r="SAJ2467" s="54"/>
      <c r="SAK2467" s="60"/>
      <c r="SAL2467" s="60"/>
      <c r="SAM2467" s="60"/>
      <c r="SAN2467" s="60"/>
      <c r="SAO2467" s="63"/>
      <c r="SAP2467" s="61"/>
      <c r="SAQ2467" s="54"/>
      <c r="SAR2467" s="54"/>
      <c r="SAS2467" s="60"/>
      <c r="SAT2467" s="60"/>
      <c r="SAU2467" s="60"/>
      <c r="SAV2467" s="60"/>
      <c r="SAW2467" s="63"/>
      <c r="SAX2467" s="61"/>
      <c r="SAY2467" s="54"/>
      <c r="SAZ2467" s="54"/>
      <c r="SBA2467" s="60"/>
      <c r="SBB2467" s="60"/>
      <c r="SBC2467" s="60"/>
      <c r="SBD2467" s="60"/>
      <c r="SBE2467" s="63"/>
      <c r="SBF2467" s="61"/>
      <c r="SBG2467" s="54"/>
      <c r="SBH2467" s="54"/>
      <c r="SBI2467" s="60"/>
      <c r="SBJ2467" s="60"/>
      <c r="SBK2467" s="60"/>
      <c r="SBL2467" s="60"/>
      <c r="SBM2467" s="63"/>
      <c r="SBN2467" s="61"/>
      <c r="SBO2467" s="54"/>
      <c r="SBP2467" s="54"/>
      <c r="SBQ2467" s="60"/>
      <c r="SBR2467" s="60"/>
      <c r="SBS2467" s="60"/>
      <c r="SBT2467" s="60"/>
      <c r="SBU2467" s="63"/>
      <c r="SBV2467" s="61"/>
      <c r="SBW2467" s="54"/>
      <c r="SBX2467" s="54"/>
      <c r="SBY2467" s="60"/>
      <c r="SBZ2467" s="60"/>
      <c r="SCA2467" s="60"/>
      <c r="SCB2467" s="60"/>
      <c r="SCC2467" s="63"/>
      <c r="SCD2467" s="61"/>
      <c r="SCE2467" s="54"/>
      <c r="SCF2467" s="54"/>
      <c r="SCG2467" s="60"/>
      <c r="SCH2467" s="60"/>
      <c r="SCI2467" s="60"/>
      <c r="SCJ2467" s="60"/>
      <c r="SCK2467" s="63"/>
      <c r="SCL2467" s="61"/>
      <c r="SCM2467" s="54"/>
      <c r="SCN2467" s="54"/>
      <c r="SCO2467" s="60"/>
      <c r="SCP2467" s="60"/>
      <c r="SCQ2467" s="60"/>
      <c r="SCR2467" s="60"/>
      <c r="SCS2467" s="63"/>
      <c r="SCT2467" s="61"/>
      <c r="SCU2467" s="54"/>
      <c r="SCV2467" s="54"/>
      <c r="SCW2467" s="60"/>
      <c r="SCX2467" s="60"/>
      <c r="SCY2467" s="60"/>
      <c r="SCZ2467" s="60"/>
      <c r="SDA2467" s="63"/>
      <c r="SDB2467" s="61"/>
      <c r="SDC2467" s="54"/>
      <c r="SDD2467" s="54"/>
      <c r="SDE2467" s="60"/>
      <c r="SDF2467" s="60"/>
      <c r="SDG2467" s="60"/>
      <c r="SDH2467" s="60"/>
      <c r="SDI2467" s="63"/>
      <c r="SDJ2467" s="61"/>
      <c r="SDK2467" s="54"/>
      <c r="SDL2467" s="54"/>
      <c r="SDM2467" s="60"/>
      <c r="SDN2467" s="60"/>
      <c r="SDO2467" s="60"/>
      <c r="SDP2467" s="60"/>
      <c r="SDQ2467" s="63"/>
      <c r="SDR2467" s="61"/>
      <c r="SDS2467" s="54"/>
      <c r="SDT2467" s="54"/>
      <c r="SDU2467" s="60"/>
      <c r="SDV2467" s="60"/>
      <c r="SDW2467" s="60"/>
      <c r="SDX2467" s="60"/>
      <c r="SDY2467" s="63"/>
      <c r="SDZ2467" s="61"/>
      <c r="SEA2467" s="54"/>
      <c r="SEB2467" s="54"/>
      <c r="SEC2467" s="60"/>
      <c r="SED2467" s="60"/>
      <c r="SEE2467" s="60"/>
      <c r="SEF2467" s="60"/>
      <c r="SEG2467" s="63"/>
      <c r="SEH2467" s="61"/>
      <c r="SEI2467" s="54"/>
      <c r="SEJ2467" s="54"/>
      <c r="SEK2467" s="60"/>
      <c r="SEL2467" s="60"/>
      <c r="SEM2467" s="60"/>
      <c r="SEN2467" s="60"/>
      <c r="SEO2467" s="63"/>
      <c r="SEP2467" s="61"/>
      <c r="SEQ2467" s="54"/>
      <c r="SER2467" s="54"/>
      <c r="SES2467" s="60"/>
      <c r="SET2467" s="60"/>
      <c r="SEU2467" s="60"/>
      <c r="SEV2467" s="60"/>
      <c r="SEW2467" s="63"/>
      <c r="SEX2467" s="61"/>
      <c r="SEY2467" s="54"/>
      <c r="SEZ2467" s="54"/>
      <c r="SFA2467" s="60"/>
      <c r="SFB2467" s="60"/>
      <c r="SFC2467" s="60"/>
      <c r="SFD2467" s="60"/>
      <c r="SFE2467" s="63"/>
      <c r="SFF2467" s="61"/>
      <c r="SFG2467" s="54"/>
      <c r="SFH2467" s="54"/>
      <c r="SFI2467" s="60"/>
      <c r="SFJ2467" s="60"/>
      <c r="SFK2467" s="60"/>
      <c r="SFL2467" s="60"/>
      <c r="SFM2467" s="63"/>
      <c r="SFN2467" s="61"/>
      <c r="SFO2467" s="54"/>
      <c r="SFP2467" s="54"/>
      <c r="SFQ2467" s="60"/>
      <c r="SFR2467" s="60"/>
      <c r="SFS2467" s="60"/>
      <c r="SFT2467" s="60"/>
      <c r="SFU2467" s="63"/>
      <c r="SFV2467" s="61"/>
      <c r="SFW2467" s="54"/>
      <c r="SFX2467" s="54"/>
      <c r="SFY2467" s="60"/>
      <c r="SFZ2467" s="60"/>
      <c r="SGA2467" s="60"/>
      <c r="SGB2467" s="60"/>
      <c r="SGC2467" s="63"/>
      <c r="SGD2467" s="61"/>
      <c r="SGE2467" s="54"/>
      <c r="SGF2467" s="54"/>
      <c r="SGG2467" s="60"/>
      <c r="SGH2467" s="60"/>
      <c r="SGI2467" s="60"/>
      <c r="SGJ2467" s="60"/>
      <c r="SGK2467" s="63"/>
      <c r="SGL2467" s="61"/>
      <c r="SGM2467" s="54"/>
      <c r="SGN2467" s="54"/>
      <c r="SGO2467" s="60"/>
      <c r="SGP2467" s="60"/>
      <c r="SGQ2467" s="60"/>
      <c r="SGR2467" s="60"/>
      <c r="SGS2467" s="63"/>
      <c r="SGT2467" s="61"/>
      <c r="SGU2467" s="54"/>
      <c r="SGV2467" s="54"/>
      <c r="SGW2467" s="60"/>
      <c r="SGX2467" s="60"/>
      <c r="SGY2467" s="60"/>
      <c r="SGZ2467" s="60"/>
      <c r="SHA2467" s="63"/>
      <c r="SHB2467" s="61"/>
      <c r="SHC2467" s="54"/>
      <c r="SHD2467" s="54"/>
      <c r="SHE2467" s="60"/>
      <c r="SHF2467" s="60"/>
      <c r="SHG2467" s="60"/>
      <c r="SHH2467" s="60"/>
      <c r="SHI2467" s="63"/>
      <c r="SHJ2467" s="61"/>
      <c r="SHK2467" s="54"/>
      <c r="SHL2467" s="54"/>
      <c r="SHM2467" s="60"/>
      <c r="SHN2467" s="60"/>
      <c r="SHO2467" s="60"/>
      <c r="SHP2467" s="60"/>
      <c r="SHQ2467" s="63"/>
      <c r="SHR2467" s="61"/>
      <c r="SHS2467" s="54"/>
      <c r="SHT2467" s="54"/>
      <c r="SHU2467" s="60"/>
      <c r="SHV2467" s="60"/>
      <c r="SHW2467" s="60"/>
      <c r="SHX2467" s="60"/>
      <c r="SHY2467" s="63"/>
      <c r="SHZ2467" s="61"/>
      <c r="SIA2467" s="54"/>
      <c r="SIB2467" s="54"/>
      <c r="SIC2467" s="60"/>
      <c r="SID2467" s="60"/>
      <c r="SIE2467" s="60"/>
      <c r="SIF2467" s="60"/>
      <c r="SIG2467" s="63"/>
      <c r="SIH2467" s="61"/>
      <c r="SII2467" s="54"/>
      <c r="SIJ2467" s="54"/>
      <c r="SIK2467" s="60"/>
      <c r="SIL2467" s="60"/>
      <c r="SIM2467" s="60"/>
      <c r="SIN2467" s="60"/>
      <c r="SIO2467" s="63"/>
      <c r="SIP2467" s="61"/>
      <c r="SIQ2467" s="54"/>
      <c r="SIR2467" s="54"/>
      <c r="SIS2467" s="60"/>
      <c r="SIT2467" s="60"/>
      <c r="SIU2467" s="60"/>
      <c r="SIV2467" s="60"/>
      <c r="SIW2467" s="63"/>
      <c r="SIX2467" s="61"/>
      <c r="SIY2467" s="54"/>
      <c r="SIZ2467" s="54"/>
      <c r="SJA2467" s="60"/>
      <c r="SJB2467" s="60"/>
      <c r="SJC2467" s="60"/>
      <c r="SJD2467" s="60"/>
      <c r="SJE2467" s="63"/>
      <c r="SJF2467" s="61"/>
      <c r="SJG2467" s="54"/>
      <c r="SJH2467" s="54"/>
      <c r="SJI2467" s="60"/>
      <c r="SJJ2467" s="60"/>
      <c r="SJK2467" s="60"/>
      <c r="SJL2467" s="60"/>
      <c r="SJM2467" s="63"/>
      <c r="SJN2467" s="61"/>
      <c r="SJO2467" s="54"/>
      <c r="SJP2467" s="54"/>
      <c r="SJQ2467" s="60"/>
      <c r="SJR2467" s="60"/>
      <c r="SJS2467" s="60"/>
      <c r="SJT2467" s="60"/>
      <c r="SJU2467" s="63"/>
      <c r="SJV2467" s="61"/>
      <c r="SJW2467" s="54"/>
      <c r="SJX2467" s="54"/>
      <c r="SJY2467" s="60"/>
      <c r="SJZ2467" s="60"/>
      <c r="SKA2467" s="60"/>
      <c r="SKB2467" s="60"/>
      <c r="SKC2467" s="63"/>
      <c r="SKD2467" s="61"/>
      <c r="SKE2467" s="54"/>
      <c r="SKF2467" s="54"/>
      <c r="SKG2467" s="60"/>
      <c r="SKH2467" s="60"/>
      <c r="SKI2467" s="60"/>
      <c r="SKJ2467" s="60"/>
      <c r="SKK2467" s="63"/>
      <c r="SKL2467" s="61"/>
      <c r="SKM2467" s="54"/>
      <c r="SKN2467" s="54"/>
      <c r="SKO2467" s="60"/>
      <c r="SKP2467" s="60"/>
      <c r="SKQ2467" s="60"/>
      <c r="SKR2467" s="60"/>
      <c r="SKS2467" s="63"/>
      <c r="SKT2467" s="61"/>
      <c r="SKU2467" s="54"/>
      <c r="SKV2467" s="54"/>
      <c r="SKW2467" s="60"/>
      <c r="SKX2467" s="60"/>
      <c r="SKY2467" s="60"/>
      <c r="SKZ2467" s="60"/>
      <c r="SLA2467" s="63"/>
      <c r="SLB2467" s="61"/>
      <c r="SLC2467" s="54"/>
      <c r="SLD2467" s="54"/>
      <c r="SLE2467" s="60"/>
      <c r="SLF2467" s="60"/>
      <c r="SLG2467" s="60"/>
      <c r="SLH2467" s="60"/>
      <c r="SLI2467" s="63"/>
      <c r="SLJ2467" s="61"/>
      <c r="SLK2467" s="54"/>
      <c r="SLL2467" s="54"/>
      <c r="SLM2467" s="60"/>
      <c r="SLN2467" s="60"/>
      <c r="SLO2467" s="60"/>
      <c r="SLP2467" s="60"/>
      <c r="SLQ2467" s="63"/>
      <c r="SLR2467" s="61"/>
      <c r="SLS2467" s="54"/>
      <c r="SLT2467" s="54"/>
      <c r="SLU2467" s="60"/>
      <c r="SLV2467" s="60"/>
      <c r="SLW2467" s="60"/>
      <c r="SLX2467" s="60"/>
      <c r="SLY2467" s="63"/>
      <c r="SLZ2467" s="61"/>
      <c r="SMA2467" s="54"/>
      <c r="SMB2467" s="54"/>
      <c r="SMC2467" s="60"/>
      <c r="SMD2467" s="60"/>
      <c r="SME2467" s="60"/>
      <c r="SMF2467" s="60"/>
      <c r="SMG2467" s="63"/>
      <c r="SMH2467" s="61"/>
      <c r="SMI2467" s="54"/>
      <c r="SMJ2467" s="54"/>
      <c r="SMK2467" s="60"/>
      <c r="SML2467" s="60"/>
      <c r="SMM2467" s="60"/>
      <c r="SMN2467" s="60"/>
      <c r="SMO2467" s="63"/>
      <c r="SMP2467" s="61"/>
      <c r="SMQ2467" s="54"/>
      <c r="SMR2467" s="54"/>
      <c r="SMS2467" s="60"/>
      <c r="SMT2467" s="60"/>
      <c r="SMU2467" s="60"/>
      <c r="SMV2467" s="60"/>
      <c r="SMW2467" s="63"/>
      <c r="SMX2467" s="61"/>
      <c r="SMY2467" s="54"/>
      <c r="SMZ2467" s="54"/>
      <c r="SNA2467" s="60"/>
      <c r="SNB2467" s="60"/>
      <c r="SNC2467" s="60"/>
      <c r="SND2467" s="60"/>
      <c r="SNE2467" s="63"/>
      <c r="SNF2467" s="61"/>
      <c r="SNG2467" s="54"/>
      <c r="SNH2467" s="54"/>
      <c r="SNI2467" s="60"/>
      <c r="SNJ2467" s="60"/>
      <c r="SNK2467" s="60"/>
      <c r="SNL2467" s="60"/>
      <c r="SNM2467" s="63"/>
      <c r="SNN2467" s="61"/>
      <c r="SNO2467" s="54"/>
      <c r="SNP2467" s="54"/>
      <c r="SNQ2467" s="60"/>
      <c r="SNR2467" s="60"/>
      <c r="SNS2467" s="60"/>
      <c r="SNT2467" s="60"/>
      <c r="SNU2467" s="63"/>
      <c r="SNV2467" s="61"/>
      <c r="SNW2467" s="54"/>
      <c r="SNX2467" s="54"/>
      <c r="SNY2467" s="60"/>
      <c r="SNZ2467" s="60"/>
      <c r="SOA2467" s="60"/>
      <c r="SOB2467" s="60"/>
      <c r="SOC2467" s="63"/>
      <c r="SOD2467" s="61"/>
      <c r="SOE2467" s="54"/>
      <c r="SOF2467" s="54"/>
      <c r="SOG2467" s="60"/>
      <c r="SOH2467" s="60"/>
      <c r="SOI2467" s="60"/>
      <c r="SOJ2467" s="60"/>
      <c r="SOK2467" s="63"/>
      <c r="SOL2467" s="61"/>
      <c r="SOM2467" s="54"/>
      <c r="SON2467" s="54"/>
      <c r="SOO2467" s="60"/>
      <c r="SOP2467" s="60"/>
      <c r="SOQ2467" s="60"/>
      <c r="SOR2467" s="60"/>
      <c r="SOS2467" s="63"/>
      <c r="SOT2467" s="61"/>
      <c r="SOU2467" s="54"/>
      <c r="SOV2467" s="54"/>
      <c r="SOW2467" s="60"/>
      <c r="SOX2467" s="60"/>
      <c r="SOY2467" s="60"/>
      <c r="SOZ2467" s="60"/>
      <c r="SPA2467" s="63"/>
      <c r="SPB2467" s="61"/>
      <c r="SPC2467" s="54"/>
      <c r="SPD2467" s="54"/>
      <c r="SPE2467" s="60"/>
      <c r="SPF2467" s="60"/>
      <c r="SPG2467" s="60"/>
      <c r="SPH2467" s="60"/>
      <c r="SPI2467" s="63"/>
      <c r="SPJ2467" s="61"/>
      <c r="SPK2467" s="54"/>
      <c r="SPL2467" s="54"/>
      <c r="SPM2467" s="60"/>
      <c r="SPN2467" s="60"/>
      <c r="SPO2467" s="60"/>
      <c r="SPP2467" s="60"/>
      <c r="SPQ2467" s="63"/>
      <c r="SPR2467" s="61"/>
      <c r="SPS2467" s="54"/>
      <c r="SPT2467" s="54"/>
      <c r="SPU2467" s="60"/>
      <c r="SPV2467" s="60"/>
      <c r="SPW2467" s="60"/>
      <c r="SPX2467" s="60"/>
      <c r="SPY2467" s="63"/>
      <c r="SPZ2467" s="61"/>
      <c r="SQA2467" s="54"/>
      <c r="SQB2467" s="54"/>
      <c r="SQC2467" s="60"/>
      <c r="SQD2467" s="60"/>
      <c r="SQE2467" s="60"/>
      <c r="SQF2467" s="60"/>
      <c r="SQG2467" s="63"/>
      <c r="SQH2467" s="61"/>
      <c r="SQI2467" s="54"/>
      <c r="SQJ2467" s="54"/>
      <c r="SQK2467" s="60"/>
      <c r="SQL2467" s="60"/>
      <c r="SQM2467" s="60"/>
      <c r="SQN2467" s="60"/>
      <c r="SQO2467" s="63"/>
      <c r="SQP2467" s="61"/>
      <c r="SQQ2467" s="54"/>
      <c r="SQR2467" s="54"/>
      <c r="SQS2467" s="60"/>
      <c r="SQT2467" s="60"/>
      <c r="SQU2467" s="60"/>
      <c r="SQV2467" s="60"/>
      <c r="SQW2467" s="63"/>
      <c r="SQX2467" s="61"/>
      <c r="SQY2467" s="54"/>
      <c r="SQZ2467" s="54"/>
      <c r="SRA2467" s="60"/>
      <c r="SRB2467" s="60"/>
      <c r="SRC2467" s="60"/>
      <c r="SRD2467" s="60"/>
      <c r="SRE2467" s="63"/>
      <c r="SRF2467" s="61"/>
      <c r="SRG2467" s="54"/>
      <c r="SRH2467" s="54"/>
      <c r="SRI2467" s="60"/>
      <c r="SRJ2467" s="60"/>
      <c r="SRK2467" s="60"/>
      <c r="SRL2467" s="60"/>
      <c r="SRM2467" s="63"/>
      <c r="SRN2467" s="61"/>
      <c r="SRO2467" s="54"/>
      <c r="SRP2467" s="54"/>
      <c r="SRQ2467" s="60"/>
      <c r="SRR2467" s="60"/>
      <c r="SRS2467" s="60"/>
      <c r="SRT2467" s="60"/>
      <c r="SRU2467" s="63"/>
      <c r="SRV2467" s="61"/>
      <c r="SRW2467" s="54"/>
      <c r="SRX2467" s="54"/>
      <c r="SRY2467" s="60"/>
      <c r="SRZ2467" s="60"/>
      <c r="SSA2467" s="60"/>
      <c r="SSB2467" s="60"/>
      <c r="SSC2467" s="63"/>
      <c r="SSD2467" s="61"/>
      <c r="SSE2467" s="54"/>
      <c r="SSF2467" s="54"/>
      <c r="SSG2467" s="60"/>
      <c r="SSH2467" s="60"/>
      <c r="SSI2467" s="60"/>
      <c r="SSJ2467" s="60"/>
      <c r="SSK2467" s="63"/>
      <c r="SSL2467" s="61"/>
      <c r="SSM2467" s="54"/>
      <c r="SSN2467" s="54"/>
      <c r="SSO2467" s="60"/>
      <c r="SSP2467" s="60"/>
      <c r="SSQ2467" s="60"/>
      <c r="SSR2467" s="60"/>
      <c r="SSS2467" s="63"/>
      <c r="SST2467" s="61"/>
      <c r="SSU2467" s="54"/>
      <c r="SSV2467" s="54"/>
      <c r="SSW2467" s="60"/>
      <c r="SSX2467" s="60"/>
      <c r="SSY2467" s="60"/>
      <c r="SSZ2467" s="60"/>
      <c r="STA2467" s="63"/>
      <c r="STB2467" s="61"/>
      <c r="STC2467" s="54"/>
      <c r="STD2467" s="54"/>
      <c r="STE2467" s="60"/>
      <c r="STF2467" s="60"/>
      <c r="STG2467" s="60"/>
      <c r="STH2467" s="60"/>
      <c r="STI2467" s="63"/>
      <c r="STJ2467" s="61"/>
      <c r="STK2467" s="54"/>
      <c r="STL2467" s="54"/>
      <c r="STM2467" s="60"/>
      <c r="STN2467" s="60"/>
      <c r="STO2467" s="60"/>
      <c r="STP2467" s="60"/>
      <c r="STQ2467" s="63"/>
      <c r="STR2467" s="61"/>
      <c r="STS2467" s="54"/>
      <c r="STT2467" s="54"/>
      <c r="STU2467" s="60"/>
      <c r="STV2467" s="60"/>
      <c r="STW2467" s="60"/>
      <c r="STX2467" s="60"/>
      <c r="STY2467" s="63"/>
      <c r="STZ2467" s="61"/>
      <c r="SUA2467" s="54"/>
      <c r="SUB2467" s="54"/>
      <c r="SUC2467" s="60"/>
      <c r="SUD2467" s="60"/>
      <c r="SUE2467" s="60"/>
      <c r="SUF2467" s="60"/>
      <c r="SUG2467" s="63"/>
      <c r="SUH2467" s="61"/>
      <c r="SUI2467" s="54"/>
      <c r="SUJ2467" s="54"/>
      <c r="SUK2467" s="60"/>
      <c r="SUL2467" s="60"/>
      <c r="SUM2467" s="60"/>
      <c r="SUN2467" s="60"/>
      <c r="SUO2467" s="63"/>
      <c r="SUP2467" s="61"/>
      <c r="SUQ2467" s="54"/>
      <c r="SUR2467" s="54"/>
      <c r="SUS2467" s="60"/>
      <c r="SUT2467" s="60"/>
      <c r="SUU2467" s="60"/>
      <c r="SUV2467" s="60"/>
      <c r="SUW2467" s="63"/>
      <c r="SUX2467" s="61"/>
      <c r="SUY2467" s="54"/>
      <c r="SUZ2467" s="54"/>
      <c r="SVA2467" s="60"/>
      <c r="SVB2467" s="60"/>
      <c r="SVC2467" s="60"/>
      <c r="SVD2467" s="60"/>
      <c r="SVE2467" s="63"/>
      <c r="SVF2467" s="61"/>
      <c r="SVG2467" s="54"/>
      <c r="SVH2467" s="54"/>
      <c r="SVI2467" s="60"/>
      <c r="SVJ2467" s="60"/>
      <c r="SVK2467" s="60"/>
      <c r="SVL2467" s="60"/>
      <c r="SVM2467" s="63"/>
      <c r="SVN2467" s="61"/>
      <c r="SVO2467" s="54"/>
      <c r="SVP2467" s="54"/>
      <c r="SVQ2467" s="60"/>
      <c r="SVR2467" s="60"/>
      <c r="SVS2467" s="60"/>
      <c r="SVT2467" s="60"/>
      <c r="SVU2467" s="63"/>
      <c r="SVV2467" s="61"/>
      <c r="SVW2467" s="54"/>
      <c r="SVX2467" s="54"/>
      <c r="SVY2467" s="60"/>
      <c r="SVZ2467" s="60"/>
      <c r="SWA2467" s="60"/>
      <c r="SWB2467" s="60"/>
      <c r="SWC2467" s="63"/>
      <c r="SWD2467" s="61"/>
      <c r="SWE2467" s="54"/>
      <c r="SWF2467" s="54"/>
      <c r="SWG2467" s="60"/>
      <c r="SWH2467" s="60"/>
      <c r="SWI2467" s="60"/>
      <c r="SWJ2467" s="60"/>
      <c r="SWK2467" s="63"/>
      <c r="SWL2467" s="61"/>
      <c r="SWM2467" s="54"/>
      <c r="SWN2467" s="54"/>
      <c r="SWO2467" s="60"/>
      <c r="SWP2467" s="60"/>
      <c r="SWQ2467" s="60"/>
      <c r="SWR2467" s="60"/>
      <c r="SWS2467" s="63"/>
      <c r="SWT2467" s="61"/>
      <c r="SWU2467" s="54"/>
      <c r="SWV2467" s="54"/>
      <c r="SWW2467" s="60"/>
      <c r="SWX2467" s="60"/>
      <c r="SWY2467" s="60"/>
      <c r="SWZ2467" s="60"/>
      <c r="SXA2467" s="63"/>
      <c r="SXB2467" s="61"/>
      <c r="SXC2467" s="54"/>
      <c r="SXD2467" s="54"/>
      <c r="SXE2467" s="60"/>
      <c r="SXF2467" s="60"/>
      <c r="SXG2467" s="60"/>
      <c r="SXH2467" s="60"/>
      <c r="SXI2467" s="63"/>
      <c r="SXJ2467" s="61"/>
      <c r="SXK2467" s="54"/>
      <c r="SXL2467" s="54"/>
      <c r="SXM2467" s="60"/>
      <c r="SXN2467" s="60"/>
      <c r="SXO2467" s="60"/>
      <c r="SXP2467" s="60"/>
      <c r="SXQ2467" s="63"/>
      <c r="SXR2467" s="61"/>
      <c r="SXS2467" s="54"/>
      <c r="SXT2467" s="54"/>
      <c r="SXU2467" s="60"/>
      <c r="SXV2467" s="60"/>
      <c r="SXW2467" s="60"/>
      <c r="SXX2467" s="60"/>
      <c r="SXY2467" s="63"/>
      <c r="SXZ2467" s="61"/>
      <c r="SYA2467" s="54"/>
      <c r="SYB2467" s="54"/>
      <c r="SYC2467" s="60"/>
      <c r="SYD2467" s="60"/>
      <c r="SYE2467" s="60"/>
      <c r="SYF2467" s="60"/>
      <c r="SYG2467" s="63"/>
      <c r="SYH2467" s="61"/>
      <c r="SYI2467" s="54"/>
      <c r="SYJ2467" s="54"/>
      <c r="SYK2467" s="60"/>
      <c r="SYL2467" s="60"/>
      <c r="SYM2467" s="60"/>
      <c r="SYN2467" s="60"/>
      <c r="SYO2467" s="63"/>
      <c r="SYP2467" s="61"/>
      <c r="SYQ2467" s="54"/>
      <c r="SYR2467" s="54"/>
      <c r="SYS2467" s="60"/>
      <c r="SYT2467" s="60"/>
      <c r="SYU2467" s="60"/>
      <c r="SYV2467" s="60"/>
      <c r="SYW2467" s="63"/>
      <c r="SYX2467" s="61"/>
      <c r="SYY2467" s="54"/>
      <c r="SYZ2467" s="54"/>
      <c r="SZA2467" s="60"/>
      <c r="SZB2467" s="60"/>
      <c r="SZC2467" s="60"/>
      <c r="SZD2467" s="60"/>
      <c r="SZE2467" s="63"/>
      <c r="SZF2467" s="61"/>
      <c r="SZG2467" s="54"/>
      <c r="SZH2467" s="54"/>
      <c r="SZI2467" s="60"/>
      <c r="SZJ2467" s="60"/>
      <c r="SZK2467" s="60"/>
      <c r="SZL2467" s="60"/>
      <c r="SZM2467" s="63"/>
      <c r="SZN2467" s="61"/>
      <c r="SZO2467" s="54"/>
      <c r="SZP2467" s="54"/>
      <c r="SZQ2467" s="60"/>
      <c r="SZR2467" s="60"/>
      <c r="SZS2467" s="60"/>
      <c r="SZT2467" s="60"/>
      <c r="SZU2467" s="63"/>
      <c r="SZV2467" s="61"/>
      <c r="SZW2467" s="54"/>
      <c r="SZX2467" s="54"/>
      <c r="SZY2467" s="60"/>
      <c r="SZZ2467" s="60"/>
      <c r="TAA2467" s="60"/>
      <c r="TAB2467" s="60"/>
      <c r="TAC2467" s="63"/>
      <c r="TAD2467" s="61"/>
      <c r="TAE2467" s="54"/>
      <c r="TAF2467" s="54"/>
      <c r="TAG2467" s="60"/>
      <c r="TAH2467" s="60"/>
      <c r="TAI2467" s="60"/>
      <c r="TAJ2467" s="60"/>
      <c r="TAK2467" s="63"/>
      <c r="TAL2467" s="61"/>
      <c r="TAM2467" s="54"/>
      <c r="TAN2467" s="54"/>
      <c r="TAO2467" s="60"/>
      <c r="TAP2467" s="60"/>
      <c r="TAQ2467" s="60"/>
      <c r="TAR2467" s="60"/>
      <c r="TAS2467" s="63"/>
      <c r="TAT2467" s="61"/>
      <c r="TAU2467" s="54"/>
      <c r="TAV2467" s="54"/>
      <c r="TAW2467" s="60"/>
      <c r="TAX2467" s="60"/>
      <c r="TAY2467" s="60"/>
      <c r="TAZ2467" s="60"/>
      <c r="TBA2467" s="63"/>
      <c r="TBB2467" s="61"/>
      <c r="TBC2467" s="54"/>
      <c r="TBD2467" s="54"/>
      <c r="TBE2467" s="60"/>
      <c r="TBF2467" s="60"/>
      <c r="TBG2467" s="60"/>
      <c r="TBH2467" s="60"/>
      <c r="TBI2467" s="63"/>
      <c r="TBJ2467" s="61"/>
      <c r="TBK2467" s="54"/>
      <c r="TBL2467" s="54"/>
      <c r="TBM2467" s="60"/>
      <c r="TBN2467" s="60"/>
      <c r="TBO2467" s="60"/>
      <c r="TBP2467" s="60"/>
      <c r="TBQ2467" s="63"/>
      <c r="TBR2467" s="61"/>
      <c r="TBS2467" s="54"/>
      <c r="TBT2467" s="54"/>
      <c r="TBU2467" s="60"/>
      <c r="TBV2467" s="60"/>
      <c r="TBW2467" s="60"/>
      <c r="TBX2467" s="60"/>
      <c r="TBY2467" s="63"/>
      <c r="TBZ2467" s="61"/>
      <c r="TCA2467" s="54"/>
      <c r="TCB2467" s="54"/>
      <c r="TCC2467" s="60"/>
      <c r="TCD2467" s="60"/>
      <c r="TCE2467" s="60"/>
      <c r="TCF2467" s="60"/>
      <c r="TCG2467" s="63"/>
      <c r="TCH2467" s="61"/>
      <c r="TCI2467" s="54"/>
      <c r="TCJ2467" s="54"/>
      <c r="TCK2467" s="60"/>
      <c r="TCL2467" s="60"/>
      <c r="TCM2467" s="60"/>
      <c r="TCN2467" s="60"/>
      <c r="TCO2467" s="63"/>
      <c r="TCP2467" s="61"/>
      <c r="TCQ2467" s="54"/>
      <c r="TCR2467" s="54"/>
      <c r="TCS2467" s="60"/>
      <c r="TCT2467" s="60"/>
      <c r="TCU2467" s="60"/>
      <c r="TCV2467" s="60"/>
      <c r="TCW2467" s="63"/>
      <c r="TCX2467" s="61"/>
      <c r="TCY2467" s="54"/>
      <c r="TCZ2467" s="54"/>
      <c r="TDA2467" s="60"/>
      <c r="TDB2467" s="60"/>
      <c r="TDC2467" s="60"/>
      <c r="TDD2467" s="60"/>
      <c r="TDE2467" s="63"/>
      <c r="TDF2467" s="61"/>
      <c r="TDG2467" s="54"/>
      <c r="TDH2467" s="54"/>
      <c r="TDI2467" s="60"/>
      <c r="TDJ2467" s="60"/>
      <c r="TDK2467" s="60"/>
      <c r="TDL2467" s="60"/>
      <c r="TDM2467" s="63"/>
      <c r="TDN2467" s="61"/>
      <c r="TDO2467" s="54"/>
      <c r="TDP2467" s="54"/>
      <c r="TDQ2467" s="60"/>
      <c r="TDR2467" s="60"/>
      <c r="TDS2467" s="60"/>
      <c r="TDT2467" s="60"/>
      <c r="TDU2467" s="63"/>
      <c r="TDV2467" s="61"/>
      <c r="TDW2467" s="54"/>
      <c r="TDX2467" s="54"/>
      <c r="TDY2467" s="60"/>
      <c r="TDZ2467" s="60"/>
      <c r="TEA2467" s="60"/>
      <c r="TEB2467" s="60"/>
      <c r="TEC2467" s="63"/>
      <c r="TED2467" s="61"/>
      <c r="TEE2467" s="54"/>
      <c r="TEF2467" s="54"/>
      <c r="TEG2467" s="60"/>
      <c r="TEH2467" s="60"/>
      <c r="TEI2467" s="60"/>
      <c r="TEJ2467" s="60"/>
      <c r="TEK2467" s="63"/>
      <c r="TEL2467" s="61"/>
      <c r="TEM2467" s="54"/>
      <c r="TEN2467" s="54"/>
      <c r="TEO2467" s="60"/>
      <c r="TEP2467" s="60"/>
      <c r="TEQ2467" s="60"/>
      <c r="TER2467" s="60"/>
      <c r="TES2467" s="63"/>
      <c r="TET2467" s="61"/>
      <c r="TEU2467" s="54"/>
      <c r="TEV2467" s="54"/>
      <c r="TEW2467" s="60"/>
      <c r="TEX2467" s="60"/>
      <c r="TEY2467" s="60"/>
      <c r="TEZ2467" s="60"/>
      <c r="TFA2467" s="63"/>
      <c r="TFB2467" s="61"/>
      <c r="TFC2467" s="54"/>
      <c r="TFD2467" s="54"/>
      <c r="TFE2467" s="60"/>
      <c r="TFF2467" s="60"/>
      <c r="TFG2467" s="60"/>
      <c r="TFH2467" s="60"/>
      <c r="TFI2467" s="63"/>
      <c r="TFJ2467" s="61"/>
      <c r="TFK2467" s="54"/>
      <c r="TFL2467" s="54"/>
      <c r="TFM2467" s="60"/>
      <c r="TFN2467" s="60"/>
      <c r="TFO2467" s="60"/>
      <c r="TFP2467" s="60"/>
      <c r="TFQ2467" s="63"/>
      <c r="TFR2467" s="61"/>
      <c r="TFS2467" s="54"/>
      <c r="TFT2467" s="54"/>
      <c r="TFU2467" s="60"/>
      <c r="TFV2467" s="60"/>
      <c r="TFW2467" s="60"/>
      <c r="TFX2467" s="60"/>
      <c r="TFY2467" s="63"/>
      <c r="TFZ2467" s="61"/>
      <c r="TGA2467" s="54"/>
      <c r="TGB2467" s="54"/>
      <c r="TGC2467" s="60"/>
      <c r="TGD2467" s="60"/>
      <c r="TGE2467" s="60"/>
      <c r="TGF2467" s="60"/>
      <c r="TGG2467" s="63"/>
      <c r="TGH2467" s="61"/>
      <c r="TGI2467" s="54"/>
      <c r="TGJ2467" s="54"/>
      <c r="TGK2467" s="60"/>
      <c r="TGL2467" s="60"/>
      <c r="TGM2467" s="60"/>
      <c r="TGN2467" s="60"/>
      <c r="TGO2467" s="63"/>
      <c r="TGP2467" s="61"/>
      <c r="TGQ2467" s="54"/>
      <c r="TGR2467" s="54"/>
      <c r="TGS2467" s="60"/>
      <c r="TGT2467" s="60"/>
      <c r="TGU2467" s="60"/>
      <c r="TGV2467" s="60"/>
      <c r="TGW2467" s="63"/>
      <c r="TGX2467" s="61"/>
      <c r="TGY2467" s="54"/>
      <c r="TGZ2467" s="54"/>
      <c r="THA2467" s="60"/>
      <c r="THB2467" s="60"/>
      <c r="THC2467" s="60"/>
      <c r="THD2467" s="60"/>
      <c r="THE2467" s="63"/>
      <c r="THF2467" s="61"/>
      <c r="THG2467" s="54"/>
      <c r="THH2467" s="54"/>
      <c r="THI2467" s="60"/>
      <c r="THJ2467" s="60"/>
      <c r="THK2467" s="60"/>
      <c r="THL2467" s="60"/>
      <c r="THM2467" s="63"/>
      <c r="THN2467" s="61"/>
      <c r="THO2467" s="54"/>
      <c r="THP2467" s="54"/>
      <c r="THQ2467" s="60"/>
      <c r="THR2467" s="60"/>
      <c r="THS2467" s="60"/>
      <c r="THT2467" s="60"/>
      <c r="THU2467" s="63"/>
      <c r="THV2467" s="61"/>
      <c r="THW2467" s="54"/>
      <c r="THX2467" s="54"/>
      <c r="THY2467" s="60"/>
      <c r="THZ2467" s="60"/>
      <c r="TIA2467" s="60"/>
      <c r="TIB2467" s="60"/>
      <c r="TIC2467" s="63"/>
      <c r="TID2467" s="61"/>
      <c r="TIE2467" s="54"/>
      <c r="TIF2467" s="54"/>
      <c r="TIG2467" s="60"/>
      <c r="TIH2467" s="60"/>
      <c r="TII2467" s="60"/>
      <c r="TIJ2467" s="60"/>
      <c r="TIK2467" s="63"/>
      <c r="TIL2467" s="61"/>
      <c r="TIM2467" s="54"/>
      <c r="TIN2467" s="54"/>
      <c r="TIO2467" s="60"/>
      <c r="TIP2467" s="60"/>
      <c r="TIQ2467" s="60"/>
      <c r="TIR2467" s="60"/>
      <c r="TIS2467" s="63"/>
      <c r="TIT2467" s="61"/>
      <c r="TIU2467" s="54"/>
      <c r="TIV2467" s="54"/>
      <c r="TIW2467" s="60"/>
      <c r="TIX2467" s="60"/>
      <c r="TIY2467" s="60"/>
      <c r="TIZ2467" s="60"/>
      <c r="TJA2467" s="63"/>
      <c r="TJB2467" s="61"/>
      <c r="TJC2467" s="54"/>
      <c r="TJD2467" s="54"/>
      <c r="TJE2467" s="60"/>
      <c r="TJF2467" s="60"/>
      <c r="TJG2467" s="60"/>
      <c r="TJH2467" s="60"/>
      <c r="TJI2467" s="63"/>
      <c r="TJJ2467" s="61"/>
      <c r="TJK2467" s="54"/>
      <c r="TJL2467" s="54"/>
      <c r="TJM2467" s="60"/>
      <c r="TJN2467" s="60"/>
      <c r="TJO2467" s="60"/>
      <c r="TJP2467" s="60"/>
      <c r="TJQ2467" s="63"/>
      <c r="TJR2467" s="61"/>
      <c r="TJS2467" s="54"/>
      <c r="TJT2467" s="54"/>
      <c r="TJU2467" s="60"/>
      <c r="TJV2467" s="60"/>
      <c r="TJW2467" s="60"/>
      <c r="TJX2467" s="60"/>
      <c r="TJY2467" s="63"/>
      <c r="TJZ2467" s="61"/>
      <c r="TKA2467" s="54"/>
      <c r="TKB2467" s="54"/>
      <c r="TKC2467" s="60"/>
      <c r="TKD2467" s="60"/>
      <c r="TKE2467" s="60"/>
      <c r="TKF2467" s="60"/>
      <c r="TKG2467" s="63"/>
      <c r="TKH2467" s="61"/>
      <c r="TKI2467" s="54"/>
      <c r="TKJ2467" s="54"/>
      <c r="TKK2467" s="60"/>
      <c r="TKL2467" s="60"/>
      <c r="TKM2467" s="60"/>
      <c r="TKN2467" s="60"/>
      <c r="TKO2467" s="63"/>
      <c r="TKP2467" s="61"/>
      <c r="TKQ2467" s="54"/>
      <c r="TKR2467" s="54"/>
      <c r="TKS2467" s="60"/>
      <c r="TKT2467" s="60"/>
      <c r="TKU2467" s="60"/>
      <c r="TKV2467" s="60"/>
      <c r="TKW2467" s="63"/>
      <c r="TKX2467" s="61"/>
      <c r="TKY2467" s="54"/>
      <c r="TKZ2467" s="54"/>
      <c r="TLA2467" s="60"/>
      <c r="TLB2467" s="60"/>
      <c r="TLC2467" s="60"/>
      <c r="TLD2467" s="60"/>
      <c r="TLE2467" s="63"/>
      <c r="TLF2467" s="61"/>
      <c r="TLG2467" s="54"/>
      <c r="TLH2467" s="54"/>
      <c r="TLI2467" s="60"/>
      <c r="TLJ2467" s="60"/>
      <c r="TLK2467" s="60"/>
      <c r="TLL2467" s="60"/>
      <c r="TLM2467" s="63"/>
      <c r="TLN2467" s="61"/>
      <c r="TLO2467" s="54"/>
      <c r="TLP2467" s="54"/>
      <c r="TLQ2467" s="60"/>
      <c r="TLR2467" s="60"/>
      <c r="TLS2467" s="60"/>
      <c r="TLT2467" s="60"/>
      <c r="TLU2467" s="63"/>
      <c r="TLV2467" s="61"/>
      <c r="TLW2467" s="54"/>
      <c r="TLX2467" s="54"/>
      <c r="TLY2467" s="60"/>
      <c r="TLZ2467" s="60"/>
      <c r="TMA2467" s="60"/>
      <c r="TMB2467" s="60"/>
      <c r="TMC2467" s="63"/>
      <c r="TMD2467" s="61"/>
      <c r="TME2467" s="54"/>
      <c r="TMF2467" s="54"/>
      <c r="TMG2467" s="60"/>
      <c r="TMH2467" s="60"/>
      <c r="TMI2467" s="60"/>
      <c r="TMJ2467" s="60"/>
      <c r="TMK2467" s="63"/>
      <c r="TML2467" s="61"/>
      <c r="TMM2467" s="54"/>
      <c r="TMN2467" s="54"/>
      <c r="TMO2467" s="60"/>
      <c r="TMP2467" s="60"/>
      <c r="TMQ2467" s="60"/>
      <c r="TMR2467" s="60"/>
      <c r="TMS2467" s="63"/>
      <c r="TMT2467" s="61"/>
      <c r="TMU2467" s="54"/>
      <c r="TMV2467" s="54"/>
      <c r="TMW2467" s="60"/>
      <c r="TMX2467" s="60"/>
      <c r="TMY2467" s="60"/>
      <c r="TMZ2467" s="60"/>
      <c r="TNA2467" s="63"/>
      <c r="TNB2467" s="61"/>
      <c r="TNC2467" s="54"/>
      <c r="TND2467" s="54"/>
      <c r="TNE2467" s="60"/>
      <c r="TNF2467" s="60"/>
      <c r="TNG2467" s="60"/>
      <c r="TNH2467" s="60"/>
      <c r="TNI2467" s="63"/>
      <c r="TNJ2467" s="61"/>
      <c r="TNK2467" s="54"/>
      <c r="TNL2467" s="54"/>
      <c r="TNM2467" s="60"/>
      <c r="TNN2467" s="60"/>
      <c r="TNO2467" s="60"/>
      <c r="TNP2467" s="60"/>
      <c r="TNQ2467" s="63"/>
      <c r="TNR2467" s="61"/>
      <c r="TNS2467" s="54"/>
      <c r="TNT2467" s="54"/>
      <c r="TNU2467" s="60"/>
      <c r="TNV2467" s="60"/>
      <c r="TNW2467" s="60"/>
      <c r="TNX2467" s="60"/>
      <c r="TNY2467" s="63"/>
      <c r="TNZ2467" s="61"/>
      <c r="TOA2467" s="54"/>
      <c r="TOB2467" s="54"/>
      <c r="TOC2467" s="60"/>
      <c r="TOD2467" s="60"/>
      <c r="TOE2467" s="60"/>
      <c r="TOF2467" s="60"/>
      <c r="TOG2467" s="63"/>
      <c r="TOH2467" s="61"/>
      <c r="TOI2467" s="54"/>
      <c r="TOJ2467" s="54"/>
      <c r="TOK2467" s="60"/>
      <c r="TOL2467" s="60"/>
      <c r="TOM2467" s="60"/>
      <c r="TON2467" s="60"/>
      <c r="TOO2467" s="63"/>
      <c r="TOP2467" s="61"/>
      <c r="TOQ2467" s="54"/>
      <c r="TOR2467" s="54"/>
      <c r="TOS2467" s="60"/>
      <c r="TOT2467" s="60"/>
      <c r="TOU2467" s="60"/>
      <c r="TOV2467" s="60"/>
      <c r="TOW2467" s="63"/>
      <c r="TOX2467" s="61"/>
      <c r="TOY2467" s="54"/>
      <c r="TOZ2467" s="54"/>
      <c r="TPA2467" s="60"/>
      <c r="TPB2467" s="60"/>
      <c r="TPC2467" s="60"/>
      <c r="TPD2467" s="60"/>
      <c r="TPE2467" s="63"/>
      <c r="TPF2467" s="61"/>
      <c r="TPG2467" s="54"/>
      <c r="TPH2467" s="54"/>
      <c r="TPI2467" s="60"/>
      <c r="TPJ2467" s="60"/>
      <c r="TPK2467" s="60"/>
      <c r="TPL2467" s="60"/>
      <c r="TPM2467" s="63"/>
      <c r="TPN2467" s="61"/>
      <c r="TPO2467" s="54"/>
      <c r="TPP2467" s="54"/>
      <c r="TPQ2467" s="60"/>
      <c r="TPR2467" s="60"/>
      <c r="TPS2467" s="60"/>
      <c r="TPT2467" s="60"/>
      <c r="TPU2467" s="63"/>
      <c r="TPV2467" s="61"/>
      <c r="TPW2467" s="54"/>
      <c r="TPX2467" s="54"/>
      <c r="TPY2467" s="60"/>
      <c r="TPZ2467" s="60"/>
      <c r="TQA2467" s="60"/>
      <c r="TQB2467" s="60"/>
      <c r="TQC2467" s="63"/>
      <c r="TQD2467" s="61"/>
      <c r="TQE2467" s="54"/>
      <c r="TQF2467" s="54"/>
      <c r="TQG2467" s="60"/>
      <c r="TQH2467" s="60"/>
      <c r="TQI2467" s="60"/>
      <c r="TQJ2467" s="60"/>
      <c r="TQK2467" s="63"/>
      <c r="TQL2467" s="61"/>
      <c r="TQM2467" s="54"/>
      <c r="TQN2467" s="54"/>
      <c r="TQO2467" s="60"/>
      <c r="TQP2467" s="60"/>
      <c r="TQQ2467" s="60"/>
      <c r="TQR2467" s="60"/>
      <c r="TQS2467" s="63"/>
      <c r="TQT2467" s="61"/>
      <c r="TQU2467" s="54"/>
      <c r="TQV2467" s="54"/>
      <c r="TQW2467" s="60"/>
      <c r="TQX2467" s="60"/>
      <c r="TQY2467" s="60"/>
      <c r="TQZ2467" s="60"/>
      <c r="TRA2467" s="63"/>
      <c r="TRB2467" s="61"/>
      <c r="TRC2467" s="54"/>
      <c r="TRD2467" s="54"/>
      <c r="TRE2467" s="60"/>
      <c r="TRF2467" s="60"/>
      <c r="TRG2467" s="60"/>
      <c r="TRH2467" s="60"/>
      <c r="TRI2467" s="63"/>
      <c r="TRJ2467" s="61"/>
      <c r="TRK2467" s="54"/>
      <c r="TRL2467" s="54"/>
      <c r="TRM2467" s="60"/>
      <c r="TRN2467" s="60"/>
      <c r="TRO2467" s="60"/>
      <c r="TRP2467" s="60"/>
      <c r="TRQ2467" s="63"/>
      <c r="TRR2467" s="61"/>
      <c r="TRS2467" s="54"/>
      <c r="TRT2467" s="54"/>
      <c r="TRU2467" s="60"/>
      <c r="TRV2467" s="60"/>
      <c r="TRW2467" s="60"/>
      <c r="TRX2467" s="60"/>
      <c r="TRY2467" s="63"/>
      <c r="TRZ2467" s="61"/>
      <c r="TSA2467" s="54"/>
      <c r="TSB2467" s="54"/>
      <c r="TSC2467" s="60"/>
      <c r="TSD2467" s="60"/>
      <c r="TSE2467" s="60"/>
      <c r="TSF2467" s="60"/>
      <c r="TSG2467" s="63"/>
      <c r="TSH2467" s="61"/>
      <c r="TSI2467" s="54"/>
      <c r="TSJ2467" s="54"/>
      <c r="TSK2467" s="60"/>
      <c r="TSL2467" s="60"/>
      <c r="TSM2467" s="60"/>
      <c r="TSN2467" s="60"/>
      <c r="TSO2467" s="63"/>
      <c r="TSP2467" s="61"/>
      <c r="TSQ2467" s="54"/>
      <c r="TSR2467" s="54"/>
      <c r="TSS2467" s="60"/>
      <c r="TST2467" s="60"/>
      <c r="TSU2467" s="60"/>
      <c r="TSV2467" s="60"/>
      <c r="TSW2467" s="63"/>
      <c r="TSX2467" s="61"/>
      <c r="TSY2467" s="54"/>
      <c r="TSZ2467" s="54"/>
      <c r="TTA2467" s="60"/>
      <c r="TTB2467" s="60"/>
      <c r="TTC2467" s="60"/>
      <c r="TTD2467" s="60"/>
      <c r="TTE2467" s="63"/>
      <c r="TTF2467" s="61"/>
      <c r="TTG2467" s="54"/>
      <c r="TTH2467" s="54"/>
      <c r="TTI2467" s="60"/>
      <c r="TTJ2467" s="60"/>
      <c r="TTK2467" s="60"/>
      <c r="TTL2467" s="60"/>
      <c r="TTM2467" s="63"/>
      <c r="TTN2467" s="61"/>
      <c r="TTO2467" s="54"/>
      <c r="TTP2467" s="54"/>
      <c r="TTQ2467" s="60"/>
      <c r="TTR2467" s="60"/>
      <c r="TTS2467" s="60"/>
      <c r="TTT2467" s="60"/>
      <c r="TTU2467" s="63"/>
      <c r="TTV2467" s="61"/>
      <c r="TTW2467" s="54"/>
      <c r="TTX2467" s="54"/>
      <c r="TTY2467" s="60"/>
      <c r="TTZ2467" s="60"/>
      <c r="TUA2467" s="60"/>
      <c r="TUB2467" s="60"/>
      <c r="TUC2467" s="63"/>
      <c r="TUD2467" s="61"/>
      <c r="TUE2467" s="54"/>
      <c r="TUF2467" s="54"/>
      <c r="TUG2467" s="60"/>
      <c r="TUH2467" s="60"/>
      <c r="TUI2467" s="60"/>
      <c r="TUJ2467" s="60"/>
      <c r="TUK2467" s="63"/>
      <c r="TUL2467" s="61"/>
      <c r="TUM2467" s="54"/>
      <c r="TUN2467" s="54"/>
      <c r="TUO2467" s="60"/>
      <c r="TUP2467" s="60"/>
      <c r="TUQ2467" s="60"/>
      <c r="TUR2467" s="60"/>
      <c r="TUS2467" s="63"/>
      <c r="TUT2467" s="61"/>
      <c r="TUU2467" s="54"/>
      <c r="TUV2467" s="54"/>
      <c r="TUW2467" s="60"/>
      <c r="TUX2467" s="60"/>
      <c r="TUY2467" s="60"/>
      <c r="TUZ2467" s="60"/>
      <c r="TVA2467" s="63"/>
      <c r="TVB2467" s="61"/>
      <c r="TVC2467" s="54"/>
      <c r="TVD2467" s="54"/>
      <c r="TVE2467" s="60"/>
      <c r="TVF2467" s="60"/>
      <c r="TVG2467" s="60"/>
      <c r="TVH2467" s="60"/>
      <c r="TVI2467" s="63"/>
      <c r="TVJ2467" s="61"/>
      <c r="TVK2467" s="54"/>
      <c r="TVL2467" s="54"/>
      <c r="TVM2467" s="60"/>
      <c r="TVN2467" s="60"/>
      <c r="TVO2467" s="60"/>
      <c r="TVP2467" s="60"/>
      <c r="TVQ2467" s="63"/>
      <c r="TVR2467" s="61"/>
      <c r="TVS2467" s="54"/>
      <c r="TVT2467" s="54"/>
      <c r="TVU2467" s="60"/>
      <c r="TVV2467" s="60"/>
      <c r="TVW2467" s="60"/>
      <c r="TVX2467" s="60"/>
      <c r="TVY2467" s="63"/>
      <c r="TVZ2467" s="61"/>
      <c r="TWA2467" s="54"/>
      <c r="TWB2467" s="54"/>
      <c r="TWC2467" s="60"/>
      <c r="TWD2467" s="60"/>
      <c r="TWE2467" s="60"/>
      <c r="TWF2467" s="60"/>
      <c r="TWG2467" s="63"/>
      <c r="TWH2467" s="61"/>
      <c r="TWI2467" s="54"/>
      <c r="TWJ2467" s="54"/>
      <c r="TWK2467" s="60"/>
      <c r="TWL2467" s="60"/>
      <c r="TWM2467" s="60"/>
      <c r="TWN2467" s="60"/>
      <c r="TWO2467" s="63"/>
      <c r="TWP2467" s="61"/>
      <c r="TWQ2467" s="54"/>
      <c r="TWR2467" s="54"/>
      <c r="TWS2467" s="60"/>
      <c r="TWT2467" s="60"/>
      <c r="TWU2467" s="60"/>
      <c r="TWV2467" s="60"/>
      <c r="TWW2467" s="63"/>
      <c r="TWX2467" s="61"/>
      <c r="TWY2467" s="54"/>
      <c r="TWZ2467" s="54"/>
      <c r="TXA2467" s="60"/>
      <c r="TXB2467" s="60"/>
      <c r="TXC2467" s="60"/>
      <c r="TXD2467" s="60"/>
      <c r="TXE2467" s="63"/>
      <c r="TXF2467" s="61"/>
      <c r="TXG2467" s="54"/>
      <c r="TXH2467" s="54"/>
      <c r="TXI2467" s="60"/>
      <c r="TXJ2467" s="60"/>
      <c r="TXK2467" s="60"/>
      <c r="TXL2467" s="60"/>
      <c r="TXM2467" s="63"/>
      <c r="TXN2467" s="61"/>
      <c r="TXO2467" s="54"/>
      <c r="TXP2467" s="54"/>
      <c r="TXQ2467" s="60"/>
      <c r="TXR2467" s="60"/>
      <c r="TXS2467" s="60"/>
      <c r="TXT2467" s="60"/>
      <c r="TXU2467" s="63"/>
      <c r="TXV2467" s="61"/>
      <c r="TXW2467" s="54"/>
      <c r="TXX2467" s="54"/>
      <c r="TXY2467" s="60"/>
      <c r="TXZ2467" s="60"/>
      <c r="TYA2467" s="60"/>
      <c r="TYB2467" s="60"/>
      <c r="TYC2467" s="63"/>
      <c r="TYD2467" s="61"/>
      <c r="TYE2467" s="54"/>
      <c r="TYF2467" s="54"/>
      <c r="TYG2467" s="60"/>
      <c r="TYH2467" s="60"/>
      <c r="TYI2467" s="60"/>
      <c r="TYJ2467" s="60"/>
      <c r="TYK2467" s="63"/>
      <c r="TYL2467" s="61"/>
      <c r="TYM2467" s="54"/>
      <c r="TYN2467" s="54"/>
      <c r="TYO2467" s="60"/>
      <c r="TYP2467" s="60"/>
      <c r="TYQ2467" s="60"/>
      <c r="TYR2467" s="60"/>
      <c r="TYS2467" s="63"/>
      <c r="TYT2467" s="61"/>
      <c r="TYU2467" s="54"/>
      <c r="TYV2467" s="54"/>
      <c r="TYW2467" s="60"/>
      <c r="TYX2467" s="60"/>
      <c r="TYY2467" s="60"/>
      <c r="TYZ2467" s="60"/>
      <c r="TZA2467" s="63"/>
      <c r="TZB2467" s="61"/>
      <c r="TZC2467" s="54"/>
      <c r="TZD2467" s="54"/>
      <c r="TZE2467" s="60"/>
      <c r="TZF2467" s="60"/>
      <c r="TZG2467" s="60"/>
      <c r="TZH2467" s="60"/>
      <c r="TZI2467" s="63"/>
      <c r="TZJ2467" s="61"/>
      <c r="TZK2467" s="54"/>
      <c r="TZL2467" s="54"/>
      <c r="TZM2467" s="60"/>
      <c r="TZN2467" s="60"/>
      <c r="TZO2467" s="60"/>
      <c r="TZP2467" s="60"/>
      <c r="TZQ2467" s="63"/>
      <c r="TZR2467" s="61"/>
      <c r="TZS2467" s="54"/>
      <c r="TZT2467" s="54"/>
      <c r="TZU2467" s="60"/>
      <c r="TZV2467" s="60"/>
      <c r="TZW2467" s="60"/>
      <c r="TZX2467" s="60"/>
      <c r="TZY2467" s="63"/>
      <c r="TZZ2467" s="61"/>
      <c r="UAA2467" s="54"/>
      <c r="UAB2467" s="54"/>
      <c r="UAC2467" s="60"/>
      <c r="UAD2467" s="60"/>
      <c r="UAE2467" s="60"/>
      <c r="UAF2467" s="60"/>
      <c r="UAG2467" s="63"/>
      <c r="UAH2467" s="61"/>
      <c r="UAI2467" s="54"/>
      <c r="UAJ2467" s="54"/>
      <c r="UAK2467" s="60"/>
      <c r="UAL2467" s="60"/>
      <c r="UAM2467" s="60"/>
      <c r="UAN2467" s="60"/>
      <c r="UAO2467" s="63"/>
      <c r="UAP2467" s="61"/>
      <c r="UAQ2467" s="54"/>
      <c r="UAR2467" s="54"/>
      <c r="UAS2467" s="60"/>
      <c r="UAT2467" s="60"/>
      <c r="UAU2467" s="60"/>
      <c r="UAV2467" s="60"/>
      <c r="UAW2467" s="63"/>
      <c r="UAX2467" s="61"/>
      <c r="UAY2467" s="54"/>
      <c r="UAZ2467" s="54"/>
      <c r="UBA2467" s="60"/>
      <c r="UBB2467" s="60"/>
      <c r="UBC2467" s="60"/>
      <c r="UBD2467" s="60"/>
      <c r="UBE2467" s="63"/>
      <c r="UBF2467" s="61"/>
      <c r="UBG2467" s="54"/>
      <c r="UBH2467" s="54"/>
      <c r="UBI2467" s="60"/>
      <c r="UBJ2467" s="60"/>
      <c r="UBK2467" s="60"/>
      <c r="UBL2467" s="60"/>
      <c r="UBM2467" s="63"/>
      <c r="UBN2467" s="61"/>
      <c r="UBO2467" s="54"/>
      <c r="UBP2467" s="54"/>
      <c r="UBQ2467" s="60"/>
      <c r="UBR2467" s="60"/>
      <c r="UBS2467" s="60"/>
      <c r="UBT2467" s="60"/>
      <c r="UBU2467" s="63"/>
      <c r="UBV2467" s="61"/>
      <c r="UBW2467" s="54"/>
      <c r="UBX2467" s="54"/>
      <c r="UBY2467" s="60"/>
      <c r="UBZ2467" s="60"/>
      <c r="UCA2467" s="60"/>
      <c r="UCB2467" s="60"/>
      <c r="UCC2467" s="63"/>
      <c r="UCD2467" s="61"/>
      <c r="UCE2467" s="54"/>
      <c r="UCF2467" s="54"/>
      <c r="UCG2467" s="60"/>
      <c r="UCH2467" s="60"/>
      <c r="UCI2467" s="60"/>
      <c r="UCJ2467" s="60"/>
      <c r="UCK2467" s="63"/>
      <c r="UCL2467" s="61"/>
      <c r="UCM2467" s="54"/>
      <c r="UCN2467" s="54"/>
      <c r="UCO2467" s="60"/>
      <c r="UCP2467" s="60"/>
      <c r="UCQ2467" s="60"/>
      <c r="UCR2467" s="60"/>
      <c r="UCS2467" s="63"/>
      <c r="UCT2467" s="61"/>
      <c r="UCU2467" s="54"/>
      <c r="UCV2467" s="54"/>
      <c r="UCW2467" s="60"/>
      <c r="UCX2467" s="60"/>
      <c r="UCY2467" s="60"/>
      <c r="UCZ2467" s="60"/>
      <c r="UDA2467" s="63"/>
      <c r="UDB2467" s="61"/>
      <c r="UDC2467" s="54"/>
      <c r="UDD2467" s="54"/>
      <c r="UDE2467" s="60"/>
      <c r="UDF2467" s="60"/>
      <c r="UDG2467" s="60"/>
      <c r="UDH2467" s="60"/>
      <c r="UDI2467" s="63"/>
      <c r="UDJ2467" s="61"/>
      <c r="UDK2467" s="54"/>
      <c r="UDL2467" s="54"/>
      <c r="UDM2467" s="60"/>
      <c r="UDN2467" s="60"/>
      <c r="UDO2467" s="60"/>
      <c r="UDP2467" s="60"/>
      <c r="UDQ2467" s="63"/>
      <c r="UDR2467" s="61"/>
      <c r="UDS2467" s="54"/>
      <c r="UDT2467" s="54"/>
      <c r="UDU2467" s="60"/>
      <c r="UDV2467" s="60"/>
      <c r="UDW2467" s="60"/>
      <c r="UDX2467" s="60"/>
      <c r="UDY2467" s="63"/>
      <c r="UDZ2467" s="61"/>
      <c r="UEA2467" s="54"/>
      <c r="UEB2467" s="54"/>
      <c r="UEC2467" s="60"/>
      <c r="UED2467" s="60"/>
      <c r="UEE2467" s="60"/>
      <c r="UEF2467" s="60"/>
      <c r="UEG2467" s="63"/>
      <c r="UEH2467" s="61"/>
      <c r="UEI2467" s="54"/>
      <c r="UEJ2467" s="54"/>
      <c r="UEK2467" s="60"/>
      <c r="UEL2467" s="60"/>
      <c r="UEM2467" s="60"/>
      <c r="UEN2467" s="60"/>
      <c r="UEO2467" s="63"/>
      <c r="UEP2467" s="61"/>
      <c r="UEQ2467" s="54"/>
      <c r="UER2467" s="54"/>
      <c r="UES2467" s="60"/>
      <c r="UET2467" s="60"/>
      <c r="UEU2467" s="60"/>
      <c r="UEV2467" s="60"/>
      <c r="UEW2467" s="63"/>
      <c r="UEX2467" s="61"/>
      <c r="UEY2467" s="54"/>
      <c r="UEZ2467" s="54"/>
      <c r="UFA2467" s="60"/>
      <c r="UFB2467" s="60"/>
      <c r="UFC2467" s="60"/>
      <c r="UFD2467" s="60"/>
      <c r="UFE2467" s="63"/>
      <c r="UFF2467" s="61"/>
      <c r="UFG2467" s="54"/>
      <c r="UFH2467" s="54"/>
      <c r="UFI2467" s="60"/>
      <c r="UFJ2467" s="60"/>
      <c r="UFK2467" s="60"/>
      <c r="UFL2467" s="60"/>
      <c r="UFM2467" s="63"/>
      <c r="UFN2467" s="61"/>
      <c r="UFO2467" s="54"/>
      <c r="UFP2467" s="54"/>
      <c r="UFQ2467" s="60"/>
      <c r="UFR2467" s="60"/>
      <c r="UFS2467" s="60"/>
      <c r="UFT2467" s="60"/>
      <c r="UFU2467" s="63"/>
      <c r="UFV2467" s="61"/>
      <c r="UFW2467" s="54"/>
      <c r="UFX2467" s="54"/>
      <c r="UFY2467" s="60"/>
      <c r="UFZ2467" s="60"/>
      <c r="UGA2467" s="60"/>
      <c r="UGB2467" s="60"/>
      <c r="UGC2467" s="63"/>
      <c r="UGD2467" s="61"/>
      <c r="UGE2467" s="54"/>
      <c r="UGF2467" s="54"/>
      <c r="UGG2467" s="60"/>
      <c r="UGH2467" s="60"/>
      <c r="UGI2467" s="60"/>
      <c r="UGJ2467" s="60"/>
      <c r="UGK2467" s="63"/>
      <c r="UGL2467" s="61"/>
      <c r="UGM2467" s="54"/>
      <c r="UGN2467" s="54"/>
      <c r="UGO2467" s="60"/>
      <c r="UGP2467" s="60"/>
      <c r="UGQ2467" s="60"/>
      <c r="UGR2467" s="60"/>
      <c r="UGS2467" s="63"/>
      <c r="UGT2467" s="61"/>
      <c r="UGU2467" s="54"/>
      <c r="UGV2467" s="54"/>
      <c r="UGW2467" s="60"/>
      <c r="UGX2467" s="60"/>
      <c r="UGY2467" s="60"/>
      <c r="UGZ2467" s="60"/>
      <c r="UHA2467" s="63"/>
      <c r="UHB2467" s="61"/>
      <c r="UHC2467" s="54"/>
      <c r="UHD2467" s="54"/>
      <c r="UHE2467" s="60"/>
      <c r="UHF2467" s="60"/>
      <c r="UHG2467" s="60"/>
      <c r="UHH2467" s="60"/>
      <c r="UHI2467" s="63"/>
      <c r="UHJ2467" s="61"/>
      <c r="UHK2467" s="54"/>
      <c r="UHL2467" s="54"/>
      <c r="UHM2467" s="60"/>
      <c r="UHN2467" s="60"/>
      <c r="UHO2467" s="60"/>
      <c r="UHP2467" s="60"/>
      <c r="UHQ2467" s="63"/>
      <c r="UHR2467" s="61"/>
      <c r="UHS2467" s="54"/>
      <c r="UHT2467" s="54"/>
      <c r="UHU2467" s="60"/>
      <c r="UHV2467" s="60"/>
      <c r="UHW2467" s="60"/>
      <c r="UHX2467" s="60"/>
      <c r="UHY2467" s="63"/>
      <c r="UHZ2467" s="61"/>
      <c r="UIA2467" s="54"/>
      <c r="UIB2467" s="54"/>
      <c r="UIC2467" s="60"/>
      <c r="UID2467" s="60"/>
      <c r="UIE2467" s="60"/>
      <c r="UIF2467" s="60"/>
      <c r="UIG2467" s="63"/>
      <c r="UIH2467" s="61"/>
      <c r="UII2467" s="54"/>
      <c r="UIJ2467" s="54"/>
      <c r="UIK2467" s="60"/>
      <c r="UIL2467" s="60"/>
      <c r="UIM2467" s="60"/>
      <c r="UIN2467" s="60"/>
      <c r="UIO2467" s="63"/>
      <c r="UIP2467" s="61"/>
      <c r="UIQ2467" s="54"/>
      <c r="UIR2467" s="54"/>
      <c r="UIS2467" s="60"/>
      <c r="UIT2467" s="60"/>
      <c r="UIU2467" s="60"/>
      <c r="UIV2467" s="60"/>
      <c r="UIW2467" s="63"/>
      <c r="UIX2467" s="61"/>
      <c r="UIY2467" s="54"/>
      <c r="UIZ2467" s="54"/>
      <c r="UJA2467" s="60"/>
      <c r="UJB2467" s="60"/>
      <c r="UJC2467" s="60"/>
      <c r="UJD2467" s="60"/>
      <c r="UJE2467" s="63"/>
      <c r="UJF2467" s="61"/>
      <c r="UJG2467" s="54"/>
      <c r="UJH2467" s="54"/>
      <c r="UJI2467" s="60"/>
      <c r="UJJ2467" s="60"/>
      <c r="UJK2467" s="60"/>
      <c r="UJL2467" s="60"/>
      <c r="UJM2467" s="63"/>
      <c r="UJN2467" s="61"/>
      <c r="UJO2467" s="54"/>
      <c r="UJP2467" s="54"/>
      <c r="UJQ2467" s="60"/>
      <c r="UJR2467" s="60"/>
      <c r="UJS2467" s="60"/>
      <c r="UJT2467" s="60"/>
      <c r="UJU2467" s="63"/>
      <c r="UJV2467" s="61"/>
      <c r="UJW2467" s="54"/>
      <c r="UJX2467" s="54"/>
      <c r="UJY2467" s="60"/>
      <c r="UJZ2467" s="60"/>
      <c r="UKA2467" s="60"/>
      <c r="UKB2467" s="60"/>
      <c r="UKC2467" s="63"/>
      <c r="UKD2467" s="61"/>
      <c r="UKE2467" s="54"/>
      <c r="UKF2467" s="54"/>
      <c r="UKG2467" s="60"/>
      <c r="UKH2467" s="60"/>
      <c r="UKI2467" s="60"/>
      <c r="UKJ2467" s="60"/>
      <c r="UKK2467" s="63"/>
      <c r="UKL2467" s="61"/>
      <c r="UKM2467" s="54"/>
      <c r="UKN2467" s="54"/>
      <c r="UKO2467" s="60"/>
      <c r="UKP2467" s="60"/>
      <c r="UKQ2467" s="60"/>
      <c r="UKR2467" s="60"/>
      <c r="UKS2467" s="63"/>
      <c r="UKT2467" s="61"/>
      <c r="UKU2467" s="54"/>
      <c r="UKV2467" s="54"/>
      <c r="UKW2467" s="60"/>
      <c r="UKX2467" s="60"/>
      <c r="UKY2467" s="60"/>
      <c r="UKZ2467" s="60"/>
      <c r="ULA2467" s="63"/>
      <c r="ULB2467" s="61"/>
      <c r="ULC2467" s="54"/>
      <c r="ULD2467" s="54"/>
      <c r="ULE2467" s="60"/>
      <c r="ULF2467" s="60"/>
      <c r="ULG2467" s="60"/>
      <c r="ULH2467" s="60"/>
      <c r="ULI2467" s="63"/>
      <c r="ULJ2467" s="61"/>
      <c r="ULK2467" s="54"/>
      <c r="ULL2467" s="54"/>
      <c r="ULM2467" s="60"/>
      <c r="ULN2467" s="60"/>
      <c r="ULO2467" s="60"/>
      <c r="ULP2467" s="60"/>
      <c r="ULQ2467" s="63"/>
      <c r="ULR2467" s="61"/>
      <c r="ULS2467" s="54"/>
      <c r="ULT2467" s="54"/>
      <c r="ULU2467" s="60"/>
      <c r="ULV2467" s="60"/>
      <c r="ULW2467" s="60"/>
      <c r="ULX2467" s="60"/>
      <c r="ULY2467" s="63"/>
      <c r="ULZ2467" s="61"/>
      <c r="UMA2467" s="54"/>
      <c r="UMB2467" s="54"/>
      <c r="UMC2467" s="60"/>
      <c r="UMD2467" s="60"/>
      <c r="UME2467" s="60"/>
      <c r="UMF2467" s="60"/>
      <c r="UMG2467" s="63"/>
      <c r="UMH2467" s="61"/>
      <c r="UMI2467" s="54"/>
      <c r="UMJ2467" s="54"/>
      <c r="UMK2467" s="60"/>
      <c r="UML2467" s="60"/>
      <c r="UMM2467" s="60"/>
      <c r="UMN2467" s="60"/>
      <c r="UMO2467" s="63"/>
      <c r="UMP2467" s="61"/>
      <c r="UMQ2467" s="54"/>
      <c r="UMR2467" s="54"/>
      <c r="UMS2467" s="60"/>
      <c r="UMT2467" s="60"/>
      <c r="UMU2467" s="60"/>
      <c r="UMV2467" s="60"/>
      <c r="UMW2467" s="63"/>
      <c r="UMX2467" s="61"/>
      <c r="UMY2467" s="54"/>
      <c r="UMZ2467" s="54"/>
      <c r="UNA2467" s="60"/>
      <c r="UNB2467" s="60"/>
      <c r="UNC2467" s="60"/>
      <c r="UND2467" s="60"/>
      <c r="UNE2467" s="63"/>
      <c r="UNF2467" s="61"/>
      <c r="UNG2467" s="54"/>
      <c r="UNH2467" s="54"/>
      <c r="UNI2467" s="60"/>
      <c r="UNJ2467" s="60"/>
      <c r="UNK2467" s="60"/>
      <c r="UNL2467" s="60"/>
      <c r="UNM2467" s="63"/>
      <c r="UNN2467" s="61"/>
      <c r="UNO2467" s="54"/>
      <c r="UNP2467" s="54"/>
      <c r="UNQ2467" s="60"/>
      <c r="UNR2467" s="60"/>
      <c r="UNS2467" s="60"/>
      <c r="UNT2467" s="60"/>
      <c r="UNU2467" s="63"/>
      <c r="UNV2467" s="61"/>
      <c r="UNW2467" s="54"/>
      <c r="UNX2467" s="54"/>
      <c r="UNY2467" s="60"/>
      <c r="UNZ2467" s="60"/>
      <c r="UOA2467" s="60"/>
      <c r="UOB2467" s="60"/>
      <c r="UOC2467" s="63"/>
      <c r="UOD2467" s="61"/>
      <c r="UOE2467" s="54"/>
      <c r="UOF2467" s="54"/>
      <c r="UOG2467" s="60"/>
      <c r="UOH2467" s="60"/>
      <c r="UOI2467" s="60"/>
      <c r="UOJ2467" s="60"/>
      <c r="UOK2467" s="63"/>
      <c r="UOL2467" s="61"/>
      <c r="UOM2467" s="54"/>
      <c r="UON2467" s="54"/>
      <c r="UOO2467" s="60"/>
      <c r="UOP2467" s="60"/>
      <c r="UOQ2467" s="60"/>
      <c r="UOR2467" s="60"/>
      <c r="UOS2467" s="63"/>
      <c r="UOT2467" s="61"/>
      <c r="UOU2467" s="54"/>
      <c r="UOV2467" s="54"/>
      <c r="UOW2467" s="60"/>
      <c r="UOX2467" s="60"/>
      <c r="UOY2467" s="60"/>
      <c r="UOZ2467" s="60"/>
      <c r="UPA2467" s="63"/>
      <c r="UPB2467" s="61"/>
      <c r="UPC2467" s="54"/>
      <c r="UPD2467" s="54"/>
      <c r="UPE2467" s="60"/>
      <c r="UPF2467" s="60"/>
      <c r="UPG2467" s="60"/>
      <c r="UPH2467" s="60"/>
      <c r="UPI2467" s="63"/>
      <c r="UPJ2467" s="61"/>
      <c r="UPK2467" s="54"/>
      <c r="UPL2467" s="54"/>
      <c r="UPM2467" s="60"/>
      <c r="UPN2467" s="60"/>
      <c r="UPO2467" s="60"/>
      <c r="UPP2467" s="60"/>
      <c r="UPQ2467" s="63"/>
      <c r="UPR2467" s="61"/>
      <c r="UPS2467" s="54"/>
      <c r="UPT2467" s="54"/>
      <c r="UPU2467" s="60"/>
      <c r="UPV2467" s="60"/>
      <c r="UPW2467" s="60"/>
      <c r="UPX2467" s="60"/>
      <c r="UPY2467" s="63"/>
      <c r="UPZ2467" s="61"/>
      <c r="UQA2467" s="54"/>
      <c r="UQB2467" s="54"/>
      <c r="UQC2467" s="60"/>
      <c r="UQD2467" s="60"/>
      <c r="UQE2467" s="60"/>
      <c r="UQF2467" s="60"/>
      <c r="UQG2467" s="63"/>
      <c r="UQH2467" s="61"/>
      <c r="UQI2467" s="54"/>
      <c r="UQJ2467" s="54"/>
      <c r="UQK2467" s="60"/>
      <c r="UQL2467" s="60"/>
      <c r="UQM2467" s="60"/>
      <c r="UQN2467" s="60"/>
      <c r="UQO2467" s="63"/>
      <c r="UQP2467" s="61"/>
      <c r="UQQ2467" s="54"/>
      <c r="UQR2467" s="54"/>
      <c r="UQS2467" s="60"/>
      <c r="UQT2467" s="60"/>
      <c r="UQU2467" s="60"/>
      <c r="UQV2467" s="60"/>
      <c r="UQW2467" s="63"/>
      <c r="UQX2467" s="61"/>
      <c r="UQY2467" s="54"/>
      <c r="UQZ2467" s="54"/>
      <c r="URA2467" s="60"/>
      <c r="URB2467" s="60"/>
      <c r="URC2467" s="60"/>
      <c r="URD2467" s="60"/>
      <c r="URE2467" s="63"/>
      <c r="URF2467" s="61"/>
      <c r="URG2467" s="54"/>
      <c r="URH2467" s="54"/>
      <c r="URI2467" s="60"/>
      <c r="URJ2467" s="60"/>
      <c r="URK2467" s="60"/>
      <c r="URL2467" s="60"/>
      <c r="URM2467" s="63"/>
      <c r="URN2467" s="61"/>
      <c r="URO2467" s="54"/>
      <c r="URP2467" s="54"/>
      <c r="URQ2467" s="60"/>
      <c r="URR2467" s="60"/>
      <c r="URS2467" s="60"/>
      <c r="URT2467" s="60"/>
      <c r="URU2467" s="63"/>
      <c r="URV2467" s="61"/>
      <c r="URW2467" s="54"/>
      <c r="URX2467" s="54"/>
      <c r="URY2467" s="60"/>
      <c r="URZ2467" s="60"/>
      <c r="USA2467" s="60"/>
      <c r="USB2467" s="60"/>
      <c r="USC2467" s="63"/>
      <c r="USD2467" s="61"/>
      <c r="USE2467" s="54"/>
      <c r="USF2467" s="54"/>
      <c r="USG2467" s="60"/>
      <c r="USH2467" s="60"/>
      <c r="USI2467" s="60"/>
      <c r="USJ2467" s="60"/>
      <c r="USK2467" s="63"/>
      <c r="USL2467" s="61"/>
      <c r="USM2467" s="54"/>
      <c r="USN2467" s="54"/>
      <c r="USO2467" s="60"/>
      <c r="USP2467" s="60"/>
      <c r="USQ2467" s="60"/>
      <c r="USR2467" s="60"/>
      <c r="USS2467" s="63"/>
      <c r="UST2467" s="61"/>
      <c r="USU2467" s="54"/>
      <c r="USV2467" s="54"/>
      <c r="USW2467" s="60"/>
      <c r="USX2467" s="60"/>
      <c r="USY2467" s="60"/>
      <c r="USZ2467" s="60"/>
      <c r="UTA2467" s="63"/>
      <c r="UTB2467" s="61"/>
      <c r="UTC2467" s="54"/>
      <c r="UTD2467" s="54"/>
      <c r="UTE2467" s="60"/>
      <c r="UTF2467" s="60"/>
      <c r="UTG2467" s="60"/>
      <c r="UTH2467" s="60"/>
      <c r="UTI2467" s="63"/>
      <c r="UTJ2467" s="61"/>
      <c r="UTK2467" s="54"/>
      <c r="UTL2467" s="54"/>
      <c r="UTM2467" s="60"/>
      <c r="UTN2467" s="60"/>
      <c r="UTO2467" s="60"/>
      <c r="UTP2467" s="60"/>
      <c r="UTQ2467" s="63"/>
      <c r="UTR2467" s="61"/>
      <c r="UTS2467" s="54"/>
      <c r="UTT2467" s="54"/>
      <c r="UTU2467" s="60"/>
      <c r="UTV2467" s="60"/>
      <c r="UTW2467" s="60"/>
      <c r="UTX2467" s="60"/>
      <c r="UTY2467" s="63"/>
      <c r="UTZ2467" s="61"/>
      <c r="UUA2467" s="54"/>
      <c r="UUB2467" s="54"/>
      <c r="UUC2467" s="60"/>
      <c r="UUD2467" s="60"/>
      <c r="UUE2467" s="60"/>
      <c r="UUF2467" s="60"/>
      <c r="UUG2467" s="63"/>
      <c r="UUH2467" s="61"/>
      <c r="UUI2467" s="54"/>
      <c r="UUJ2467" s="54"/>
      <c r="UUK2467" s="60"/>
      <c r="UUL2467" s="60"/>
      <c r="UUM2467" s="60"/>
      <c r="UUN2467" s="60"/>
      <c r="UUO2467" s="63"/>
      <c r="UUP2467" s="61"/>
      <c r="UUQ2467" s="54"/>
      <c r="UUR2467" s="54"/>
      <c r="UUS2467" s="60"/>
      <c r="UUT2467" s="60"/>
      <c r="UUU2467" s="60"/>
      <c r="UUV2467" s="60"/>
      <c r="UUW2467" s="63"/>
      <c r="UUX2467" s="61"/>
      <c r="UUY2467" s="54"/>
      <c r="UUZ2467" s="54"/>
      <c r="UVA2467" s="60"/>
      <c r="UVB2467" s="60"/>
      <c r="UVC2467" s="60"/>
      <c r="UVD2467" s="60"/>
      <c r="UVE2467" s="63"/>
      <c r="UVF2467" s="61"/>
      <c r="UVG2467" s="54"/>
      <c r="UVH2467" s="54"/>
      <c r="UVI2467" s="60"/>
      <c r="UVJ2467" s="60"/>
      <c r="UVK2467" s="60"/>
      <c r="UVL2467" s="60"/>
      <c r="UVM2467" s="63"/>
      <c r="UVN2467" s="61"/>
      <c r="UVO2467" s="54"/>
      <c r="UVP2467" s="54"/>
      <c r="UVQ2467" s="60"/>
      <c r="UVR2467" s="60"/>
      <c r="UVS2467" s="60"/>
      <c r="UVT2467" s="60"/>
      <c r="UVU2467" s="63"/>
      <c r="UVV2467" s="61"/>
      <c r="UVW2467" s="54"/>
      <c r="UVX2467" s="54"/>
      <c r="UVY2467" s="60"/>
      <c r="UVZ2467" s="60"/>
      <c r="UWA2467" s="60"/>
      <c r="UWB2467" s="60"/>
      <c r="UWC2467" s="63"/>
      <c r="UWD2467" s="61"/>
      <c r="UWE2467" s="54"/>
      <c r="UWF2467" s="54"/>
      <c r="UWG2467" s="60"/>
      <c r="UWH2467" s="60"/>
      <c r="UWI2467" s="60"/>
      <c r="UWJ2467" s="60"/>
      <c r="UWK2467" s="63"/>
      <c r="UWL2467" s="61"/>
      <c r="UWM2467" s="54"/>
      <c r="UWN2467" s="54"/>
      <c r="UWO2467" s="60"/>
      <c r="UWP2467" s="60"/>
      <c r="UWQ2467" s="60"/>
      <c r="UWR2467" s="60"/>
      <c r="UWS2467" s="63"/>
      <c r="UWT2467" s="61"/>
      <c r="UWU2467" s="54"/>
      <c r="UWV2467" s="54"/>
      <c r="UWW2467" s="60"/>
      <c r="UWX2467" s="60"/>
      <c r="UWY2467" s="60"/>
      <c r="UWZ2467" s="60"/>
      <c r="UXA2467" s="63"/>
      <c r="UXB2467" s="61"/>
      <c r="UXC2467" s="54"/>
      <c r="UXD2467" s="54"/>
      <c r="UXE2467" s="60"/>
      <c r="UXF2467" s="60"/>
      <c r="UXG2467" s="60"/>
      <c r="UXH2467" s="60"/>
      <c r="UXI2467" s="63"/>
      <c r="UXJ2467" s="61"/>
      <c r="UXK2467" s="54"/>
      <c r="UXL2467" s="54"/>
      <c r="UXM2467" s="60"/>
      <c r="UXN2467" s="60"/>
      <c r="UXO2467" s="60"/>
      <c r="UXP2467" s="60"/>
      <c r="UXQ2467" s="63"/>
      <c r="UXR2467" s="61"/>
      <c r="UXS2467" s="54"/>
      <c r="UXT2467" s="54"/>
      <c r="UXU2467" s="60"/>
      <c r="UXV2467" s="60"/>
      <c r="UXW2467" s="60"/>
      <c r="UXX2467" s="60"/>
      <c r="UXY2467" s="63"/>
      <c r="UXZ2467" s="61"/>
      <c r="UYA2467" s="54"/>
      <c r="UYB2467" s="54"/>
      <c r="UYC2467" s="60"/>
      <c r="UYD2467" s="60"/>
      <c r="UYE2467" s="60"/>
      <c r="UYF2467" s="60"/>
      <c r="UYG2467" s="63"/>
      <c r="UYH2467" s="61"/>
      <c r="UYI2467" s="54"/>
      <c r="UYJ2467" s="54"/>
      <c r="UYK2467" s="60"/>
      <c r="UYL2467" s="60"/>
      <c r="UYM2467" s="60"/>
      <c r="UYN2467" s="60"/>
      <c r="UYO2467" s="63"/>
      <c r="UYP2467" s="61"/>
      <c r="UYQ2467" s="54"/>
      <c r="UYR2467" s="54"/>
      <c r="UYS2467" s="60"/>
      <c r="UYT2467" s="60"/>
      <c r="UYU2467" s="60"/>
      <c r="UYV2467" s="60"/>
      <c r="UYW2467" s="63"/>
      <c r="UYX2467" s="61"/>
      <c r="UYY2467" s="54"/>
      <c r="UYZ2467" s="54"/>
      <c r="UZA2467" s="60"/>
      <c r="UZB2467" s="60"/>
      <c r="UZC2467" s="60"/>
      <c r="UZD2467" s="60"/>
      <c r="UZE2467" s="63"/>
      <c r="UZF2467" s="61"/>
      <c r="UZG2467" s="54"/>
      <c r="UZH2467" s="54"/>
      <c r="UZI2467" s="60"/>
      <c r="UZJ2467" s="60"/>
      <c r="UZK2467" s="60"/>
      <c r="UZL2467" s="60"/>
      <c r="UZM2467" s="63"/>
      <c r="UZN2467" s="61"/>
      <c r="UZO2467" s="54"/>
      <c r="UZP2467" s="54"/>
      <c r="UZQ2467" s="60"/>
      <c r="UZR2467" s="60"/>
      <c r="UZS2467" s="60"/>
      <c r="UZT2467" s="60"/>
      <c r="UZU2467" s="63"/>
      <c r="UZV2467" s="61"/>
      <c r="UZW2467" s="54"/>
      <c r="UZX2467" s="54"/>
      <c r="UZY2467" s="60"/>
      <c r="UZZ2467" s="60"/>
      <c r="VAA2467" s="60"/>
      <c r="VAB2467" s="60"/>
      <c r="VAC2467" s="63"/>
      <c r="VAD2467" s="61"/>
      <c r="VAE2467" s="54"/>
      <c r="VAF2467" s="54"/>
      <c r="VAG2467" s="60"/>
      <c r="VAH2467" s="60"/>
      <c r="VAI2467" s="60"/>
      <c r="VAJ2467" s="60"/>
      <c r="VAK2467" s="63"/>
      <c r="VAL2467" s="61"/>
      <c r="VAM2467" s="54"/>
      <c r="VAN2467" s="54"/>
      <c r="VAO2467" s="60"/>
      <c r="VAP2467" s="60"/>
      <c r="VAQ2467" s="60"/>
      <c r="VAR2467" s="60"/>
      <c r="VAS2467" s="63"/>
      <c r="VAT2467" s="61"/>
      <c r="VAU2467" s="54"/>
      <c r="VAV2467" s="54"/>
      <c r="VAW2467" s="60"/>
      <c r="VAX2467" s="60"/>
      <c r="VAY2467" s="60"/>
      <c r="VAZ2467" s="60"/>
      <c r="VBA2467" s="63"/>
      <c r="VBB2467" s="61"/>
      <c r="VBC2467" s="54"/>
      <c r="VBD2467" s="54"/>
      <c r="VBE2467" s="60"/>
      <c r="VBF2467" s="60"/>
      <c r="VBG2467" s="60"/>
      <c r="VBH2467" s="60"/>
      <c r="VBI2467" s="63"/>
      <c r="VBJ2467" s="61"/>
      <c r="VBK2467" s="54"/>
      <c r="VBL2467" s="54"/>
      <c r="VBM2467" s="60"/>
      <c r="VBN2467" s="60"/>
      <c r="VBO2467" s="60"/>
      <c r="VBP2467" s="60"/>
      <c r="VBQ2467" s="63"/>
      <c r="VBR2467" s="61"/>
      <c r="VBS2467" s="54"/>
      <c r="VBT2467" s="54"/>
      <c r="VBU2467" s="60"/>
      <c r="VBV2467" s="60"/>
      <c r="VBW2467" s="60"/>
      <c r="VBX2467" s="60"/>
      <c r="VBY2467" s="63"/>
      <c r="VBZ2467" s="61"/>
      <c r="VCA2467" s="54"/>
      <c r="VCB2467" s="54"/>
      <c r="VCC2467" s="60"/>
      <c r="VCD2467" s="60"/>
      <c r="VCE2467" s="60"/>
      <c r="VCF2467" s="60"/>
      <c r="VCG2467" s="63"/>
      <c r="VCH2467" s="61"/>
      <c r="VCI2467" s="54"/>
      <c r="VCJ2467" s="54"/>
      <c r="VCK2467" s="60"/>
      <c r="VCL2467" s="60"/>
      <c r="VCM2467" s="60"/>
      <c r="VCN2467" s="60"/>
      <c r="VCO2467" s="63"/>
      <c r="VCP2467" s="61"/>
      <c r="VCQ2467" s="54"/>
      <c r="VCR2467" s="54"/>
      <c r="VCS2467" s="60"/>
      <c r="VCT2467" s="60"/>
      <c r="VCU2467" s="60"/>
      <c r="VCV2467" s="60"/>
      <c r="VCW2467" s="63"/>
      <c r="VCX2467" s="61"/>
      <c r="VCY2467" s="54"/>
      <c r="VCZ2467" s="54"/>
      <c r="VDA2467" s="60"/>
      <c r="VDB2467" s="60"/>
      <c r="VDC2467" s="60"/>
      <c r="VDD2467" s="60"/>
      <c r="VDE2467" s="63"/>
      <c r="VDF2467" s="61"/>
      <c r="VDG2467" s="54"/>
      <c r="VDH2467" s="54"/>
      <c r="VDI2467" s="60"/>
      <c r="VDJ2467" s="60"/>
      <c r="VDK2467" s="60"/>
      <c r="VDL2467" s="60"/>
      <c r="VDM2467" s="63"/>
      <c r="VDN2467" s="61"/>
      <c r="VDO2467" s="54"/>
      <c r="VDP2467" s="54"/>
      <c r="VDQ2467" s="60"/>
      <c r="VDR2467" s="60"/>
      <c r="VDS2467" s="60"/>
      <c r="VDT2467" s="60"/>
      <c r="VDU2467" s="63"/>
      <c r="VDV2467" s="61"/>
      <c r="VDW2467" s="54"/>
      <c r="VDX2467" s="54"/>
      <c r="VDY2467" s="60"/>
      <c r="VDZ2467" s="60"/>
      <c r="VEA2467" s="60"/>
      <c r="VEB2467" s="60"/>
      <c r="VEC2467" s="63"/>
      <c r="VED2467" s="61"/>
      <c r="VEE2467" s="54"/>
      <c r="VEF2467" s="54"/>
      <c r="VEG2467" s="60"/>
      <c r="VEH2467" s="60"/>
      <c r="VEI2467" s="60"/>
      <c r="VEJ2467" s="60"/>
      <c r="VEK2467" s="63"/>
      <c r="VEL2467" s="61"/>
      <c r="VEM2467" s="54"/>
      <c r="VEN2467" s="54"/>
      <c r="VEO2467" s="60"/>
      <c r="VEP2467" s="60"/>
      <c r="VEQ2467" s="60"/>
      <c r="VER2467" s="60"/>
      <c r="VES2467" s="63"/>
      <c r="VET2467" s="61"/>
      <c r="VEU2467" s="54"/>
      <c r="VEV2467" s="54"/>
      <c r="VEW2467" s="60"/>
      <c r="VEX2467" s="60"/>
      <c r="VEY2467" s="60"/>
      <c r="VEZ2467" s="60"/>
      <c r="VFA2467" s="63"/>
      <c r="VFB2467" s="61"/>
      <c r="VFC2467" s="54"/>
      <c r="VFD2467" s="54"/>
      <c r="VFE2467" s="60"/>
      <c r="VFF2467" s="60"/>
      <c r="VFG2467" s="60"/>
      <c r="VFH2467" s="60"/>
      <c r="VFI2467" s="63"/>
      <c r="VFJ2467" s="61"/>
      <c r="VFK2467" s="54"/>
      <c r="VFL2467" s="54"/>
      <c r="VFM2467" s="60"/>
      <c r="VFN2467" s="60"/>
      <c r="VFO2467" s="60"/>
      <c r="VFP2467" s="60"/>
      <c r="VFQ2467" s="63"/>
      <c r="VFR2467" s="61"/>
      <c r="VFS2467" s="54"/>
      <c r="VFT2467" s="54"/>
      <c r="VFU2467" s="60"/>
      <c r="VFV2467" s="60"/>
      <c r="VFW2467" s="60"/>
      <c r="VFX2467" s="60"/>
      <c r="VFY2467" s="63"/>
      <c r="VFZ2467" s="61"/>
      <c r="VGA2467" s="54"/>
      <c r="VGB2467" s="54"/>
      <c r="VGC2467" s="60"/>
      <c r="VGD2467" s="60"/>
      <c r="VGE2467" s="60"/>
      <c r="VGF2467" s="60"/>
      <c r="VGG2467" s="63"/>
      <c r="VGH2467" s="61"/>
      <c r="VGI2467" s="54"/>
      <c r="VGJ2467" s="54"/>
      <c r="VGK2467" s="60"/>
      <c r="VGL2467" s="60"/>
      <c r="VGM2467" s="60"/>
      <c r="VGN2467" s="60"/>
      <c r="VGO2467" s="63"/>
      <c r="VGP2467" s="61"/>
      <c r="VGQ2467" s="54"/>
      <c r="VGR2467" s="54"/>
      <c r="VGS2467" s="60"/>
      <c r="VGT2467" s="60"/>
      <c r="VGU2467" s="60"/>
      <c r="VGV2467" s="60"/>
      <c r="VGW2467" s="63"/>
      <c r="VGX2467" s="61"/>
      <c r="VGY2467" s="54"/>
      <c r="VGZ2467" s="54"/>
      <c r="VHA2467" s="60"/>
      <c r="VHB2467" s="60"/>
      <c r="VHC2467" s="60"/>
      <c r="VHD2467" s="60"/>
      <c r="VHE2467" s="63"/>
      <c r="VHF2467" s="61"/>
      <c r="VHG2467" s="54"/>
      <c r="VHH2467" s="54"/>
      <c r="VHI2467" s="60"/>
      <c r="VHJ2467" s="60"/>
      <c r="VHK2467" s="60"/>
      <c r="VHL2467" s="60"/>
      <c r="VHM2467" s="63"/>
      <c r="VHN2467" s="61"/>
      <c r="VHO2467" s="54"/>
      <c r="VHP2467" s="54"/>
      <c r="VHQ2467" s="60"/>
      <c r="VHR2467" s="60"/>
      <c r="VHS2467" s="60"/>
      <c r="VHT2467" s="60"/>
      <c r="VHU2467" s="63"/>
      <c r="VHV2467" s="61"/>
      <c r="VHW2467" s="54"/>
      <c r="VHX2467" s="54"/>
      <c r="VHY2467" s="60"/>
      <c r="VHZ2467" s="60"/>
      <c r="VIA2467" s="60"/>
      <c r="VIB2467" s="60"/>
      <c r="VIC2467" s="63"/>
      <c r="VID2467" s="61"/>
      <c r="VIE2467" s="54"/>
      <c r="VIF2467" s="54"/>
      <c r="VIG2467" s="60"/>
      <c r="VIH2467" s="60"/>
      <c r="VII2467" s="60"/>
      <c r="VIJ2467" s="60"/>
      <c r="VIK2467" s="63"/>
      <c r="VIL2467" s="61"/>
      <c r="VIM2467" s="54"/>
      <c r="VIN2467" s="54"/>
      <c r="VIO2467" s="60"/>
      <c r="VIP2467" s="60"/>
      <c r="VIQ2467" s="60"/>
      <c r="VIR2467" s="60"/>
      <c r="VIS2467" s="63"/>
      <c r="VIT2467" s="61"/>
      <c r="VIU2467" s="54"/>
      <c r="VIV2467" s="54"/>
      <c r="VIW2467" s="60"/>
      <c r="VIX2467" s="60"/>
      <c r="VIY2467" s="60"/>
      <c r="VIZ2467" s="60"/>
      <c r="VJA2467" s="63"/>
      <c r="VJB2467" s="61"/>
      <c r="VJC2467" s="54"/>
      <c r="VJD2467" s="54"/>
      <c r="VJE2467" s="60"/>
      <c r="VJF2467" s="60"/>
      <c r="VJG2467" s="60"/>
      <c r="VJH2467" s="60"/>
      <c r="VJI2467" s="63"/>
      <c r="VJJ2467" s="61"/>
      <c r="VJK2467" s="54"/>
      <c r="VJL2467" s="54"/>
      <c r="VJM2467" s="60"/>
      <c r="VJN2467" s="60"/>
      <c r="VJO2467" s="60"/>
      <c r="VJP2467" s="60"/>
      <c r="VJQ2467" s="63"/>
      <c r="VJR2467" s="61"/>
      <c r="VJS2467" s="54"/>
      <c r="VJT2467" s="54"/>
      <c r="VJU2467" s="60"/>
      <c r="VJV2467" s="60"/>
      <c r="VJW2467" s="60"/>
      <c r="VJX2467" s="60"/>
      <c r="VJY2467" s="63"/>
      <c r="VJZ2467" s="61"/>
      <c r="VKA2467" s="54"/>
      <c r="VKB2467" s="54"/>
      <c r="VKC2467" s="60"/>
      <c r="VKD2467" s="60"/>
      <c r="VKE2467" s="60"/>
      <c r="VKF2467" s="60"/>
      <c r="VKG2467" s="63"/>
      <c r="VKH2467" s="61"/>
      <c r="VKI2467" s="54"/>
      <c r="VKJ2467" s="54"/>
      <c r="VKK2467" s="60"/>
      <c r="VKL2467" s="60"/>
      <c r="VKM2467" s="60"/>
      <c r="VKN2467" s="60"/>
      <c r="VKO2467" s="63"/>
      <c r="VKP2467" s="61"/>
      <c r="VKQ2467" s="54"/>
      <c r="VKR2467" s="54"/>
      <c r="VKS2467" s="60"/>
      <c r="VKT2467" s="60"/>
      <c r="VKU2467" s="60"/>
      <c r="VKV2467" s="60"/>
      <c r="VKW2467" s="63"/>
      <c r="VKX2467" s="61"/>
      <c r="VKY2467" s="54"/>
      <c r="VKZ2467" s="54"/>
      <c r="VLA2467" s="60"/>
      <c r="VLB2467" s="60"/>
      <c r="VLC2467" s="60"/>
      <c r="VLD2467" s="60"/>
      <c r="VLE2467" s="63"/>
      <c r="VLF2467" s="61"/>
      <c r="VLG2467" s="54"/>
      <c r="VLH2467" s="54"/>
      <c r="VLI2467" s="60"/>
      <c r="VLJ2467" s="60"/>
      <c r="VLK2467" s="60"/>
      <c r="VLL2467" s="60"/>
      <c r="VLM2467" s="63"/>
      <c r="VLN2467" s="61"/>
      <c r="VLO2467" s="54"/>
      <c r="VLP2467" s="54"/>
      <c r="VLQ2467" s="60"/>
      <c r="VLR2467" s="60"/>
      <c r="VLS2467" s="60"/>
      <c r="VLT2467" s="60"/>
      <c r="VLU2467" s="63"/>
      <c r="VLV2467" s="61"/>
      <c r="VLW2467" s="54"/>
      <c r="VLX2467" s="54"/>
      <c r="VLY2467" s="60"/>
      <c r="VLZ2467" s="60"/>
      <c r="VMA2467" s="60"/>
      <c r="VMB2467" s="60"/>
      <c r="VMC2467" s="63"/>
      <c r="VMD2467" s="61"/>
      <c r="VME2467" s="54"/>
      <c r="VMF2467" s="54"/>
      <c r="VMG2467" s="60"/>
      <c r="VMH2467" s="60"/>
      <c r="VMI2467" s="60"/>
      <c r="VMJ2467" s="60"/>
      <c r="VMK2467" s="63"/>
      <c r="VML2467" s="61"/>
      <c r="VMM2467" s="54"/>
      <c r="VMN2467" s="54"/>
      <c r="VMO2467" s="60"/>
      <c r="VMP2467" s="60"/>
      <c r="VMQ2467" s="60"/>
      <c r="VMR2467" s="60"/>
      <c r="VMS2467" s="63"/>
      <c r="VMT2467" s="61"/>
      <c r="VMU2467" s="54"/>
      <c r="VMV2467" s="54"/>
      <c r="VMW2467" s="60"/>
      <c r="VMX2467" s="60"/>
      <c r="VMY2467" s="60"/>
      <c r="VMZ2467" s="60"/>
      <c r="VNA2467" s="63"/>
      <c r="VNB2467" s="61"/>
      <c r="VNC2467" s="54"/>
      <c r="VND2467" s="54"/>
      <c r="VNE2467" s="60"/>
      <c r="VNF2467" s="60"/>
      <c r="VNG2467" s="60"/>
      <c r="VNH2467" s="60"/>
      <c r="VNI2467" s="63"/>
      <c r="VNJ2467" s="61"/>
      <c r="VNK2467" s="54"/>
      <c r="VNL2467" s="54"/>
      <c r="VNM2467" s="60"/>
      <c r="VNN2467" s="60"/>
      <c r="VNO2467" s="60"/>
      <c r="VNP2467" s="60"/>
      <c r="VNQ2467" s="63"/>
      <c r="VNR2467" s="61"/>
      <c r="VNS2467" s="54"/>
      <c r="VNT2467" s="54"/>
      <c r="VNU2467" s="60"/>
      <c r="VNV2467" s="60"/>
      <c r="VNW2467" s="60"/>
      <c r="VNX2467" s="60"/>
      <c r="VNY2467" s="63"/>
      <c r="VNZ2467" s="61"/>
      <c r="VOA2467" s="54"/>
      <c r="VOB2467" s="54"/>
      <c r="VOC2467" s="60"/>
      <c r="VOD2467" s="60"/>
      <c r="VOE2467" s="60"/>
      <c r="VOF2467" s="60"/>
      <c r="VOG2467" s="63"/>
      <c r="VOH2467" s="61"/>
      <c r="VOI2467" s="54"/>
      <c r="VOJ2467" s="54"/>
      <c r="VOK2467" s="60"/>
      <c r="VOL2467" s="60"/>
      <c r="VOM2467" s="60"/>
      <c r="VON2467" s="60"/>
      <c r="VOO2467" s="63"/>
      <c r="VOP2467" s="61"/>
      <c r="VOQ2467" s="54"/>
      <c r="VOR2467" s="54"/>
      <c r="VOS2467" s="60"/>
      <c r="VOT2467" s="60"/>
      <c r="VOU2467" s="60"/>
      <c r="VOV2467" s="60"/>
      <c r="VOW2467" s="63"/>
      <c r="VOX2467" s="61"/>
      <c r="VOY2467" s="54"/>
      <c r="VOZ2467" s="54"/>
      <c r="VPA2467" s="60"/>
      <c r="VPB2467" s="60"/>
      <c r="VPC2467" s="60"/>
      <c r="VPD2467" s="60"/>
      <c r="VPE2467" s="63"/>
      <c r="VPF2467" s="61"/>
      <c r="VPG2467" s="54"/>
      <c r="VPH2467" s="54"/>
      <c r="VPI2467" s="60"/>
      <c r="VPJ2467" s="60"/>
      <c r="VPK2467" s="60"/>
      <c r="VPL2467" s="60"/>
      <c r="VPM2467" s="63"/>
      <c r="VPN2467" s="61"/>
      <c r="VPO2467" s="54"/>
      <c r="VPP2467" s="54"/>
      <c r="VPQ2467" s="60"/>
      <c r="VPR2467" s="60"/>
      <c r="VPS2467" s="60"/>
      <c r="VPT2467" s="60"/>
      <c r="VPU2467" s="63"/>
      <c r="VPV2467" s="61"/>
      <c r="VPW2467" s="54"/>
      <c r="VPX2467" s="54"/>
      <c r="VPY2467" s="60"/>
      <c r="VPZ2467" s="60"/>
      <c r="VQA2467" s="60"/>
      <c r="VQB2467" s="60"/>
      <c r="VQC2467" s="63"/>
      <c r="VQD2467" s="61"/>
      <c r="VQE2467" s="54"/>
      <c r="VQF2467" s="54"/>
      <c r="VQG2467" s="60"/>
      <c r="VQH2467" s="60"/>
      <c r="VQI2467" s="60"/>
      <c r="VQJ2467" s="60"/>
      <c r="VQK2467" s="63"/>
      <c r="VQL2467" s="61"/>
      <c r="VQM2467" s="54"/>
      <c r="VQN2467" s="54"/>
      <c r="VQO2467" s="60"/>
      <c r="VQP2467" s="60"/>
      <c r="VQQ2467" s="60"/>
      <c r="VQR2467" s="60"/>
      <c r="VQS2467" s="63"/>
      <c r="VQT2467" s="61"/>
      <c r="VQU2467" s="54"/>
      <c r="VQV2467" s="54"/>
      <c r="VQW2467" s="60"/>
      <c r="VQX2467" s="60"/>
      <c r="VQY2467" s="60"/>
      <c r="VQZ2467" s="60"/>
      <c r="VRA2467" s="63"/>
      <c r="VRB2467" s="61"/>
      <c r="VRC2467" s="54"/>
      <c r="VRD2467" s="54"/>
      <c r="VRE2467" s="60"/>
      <c r="VRF2467" s="60"/>
      <c r="VRG2467" s="60"/>
      <c r="VRH2467" s="60"/>
      <c r="VRI2467" s="63"/>
      <c r="VRJ2467" s="61"/>
      <c r="VRK2467" s="54"/>
      <c r="VRL2467" s="54"/>
      <c r="VRM2467" s="60"/>
      <c r="VRN2467" s="60"/>
      <c r="VRO2467" s="60"/>
      <c r="VRP2467" s="60"/>
      <c r="VRQ2467" s="63"/>
      <c r="VRR2467" s="61"/>
      <c r="VRS2467" s="54"/>
      <c r="VRT2467" s="54"/>
      <c r="VRU2467" s="60"/>
      <c r="VRV2467" s="60"/>
      <c r="VRW2467" s="60"/>
      <c r="VRX2467" s="60"/>
      <c r="VRY2467" s="63"/>
      <c r="VRZ2467" s="61"/>
      <c r="VSA2467" s="54"/>
      <c r="VSB2467" s="54"/>
      <c r="VSC2467" s="60"/>
      <c r="VSD2467" s="60"/>
      <c r="VSE2467" s="60"/>
      <c r="VSF2467" s="60"/>
      <c r="VSG2467" s="63"/>
      <c r="VSH2467" s="61"/>
      <c r="VSI2467" s="54"/>
      <c r="VSJ2467" s="54"/>
      <c r="VSK2467" s="60"/>
      <c r="VSL2467" s="60"/>
      <c r="VSM2467" s="60"/>
      <c r="VSN2467" s="60"/>
      <c r="VSO2467" s="63"/>
      <c r="VSP2467" s="61"/>
      <c r="VSQ2467" s="54"/>
      <c r="VSR2467" s="54"/>
      <c r="VSS2467" s="60"/>
      <c r="VST2467" s="60"/>
      <c r="VSU2467" s="60"/>
      <c r="VSV2467" s="60"/>
      <c r="VSW2467" s="63"/>
      <c r="VSX2467" s="61"/>
      <c r="VSY2467" s="54"/>
      <c r="VSZ2467" s="54"/>
      <c r="VTA2467" s="60"/>
      <c r="VTB2467" s="60"/>
      <c r="VTC2467" s="60"/>
      <c r="VTD2467" s="60"/>
      <c r="VTE2467" s="63"/>
      <c r="VTF2467" s="61"/>
      <c r="VTG2467" s="54"/>
      <c r="VTH2467" s="54"/>
      <c r="VTI2467" s="60"/>
      <c r="VTJ2467" s="60"/>
      <c r="VTK2467" s="60"/>
      <c r="VTL2467" s="60"/>
      <c r="VTM2467" s="63"/>
      <c r="VTN2467" s="61"/>
      <c r="VTO2467" s="54"/>
      <c r="VTP2467" s="54"/>
      <c r="VTQ2467" s="60"/>
      <c r="VTR2467" s="60"/>
      <c r="VTS2467" s="60"/>
      <c r="VTT2467" s="60"/>
      <c r="VTU2467" s="63"/>
      <c r="VTV2467" s="61"/>
      <c r="VTW2467" s="54"/>
      <c r="VTX2467" s="54"/>
      <c r="VTY2467" s="60"/>
      <c r="VTZ2467" s="60"/>
      <c r="VUA2467" s="60"/>
      <c r="VUB2467" s="60"/>
      <c r="VUC2467" s="63"/>
      <c r="VUD2467" s="61"/>
      <c r="VUE2467" s="54"/>
      <c r="VUF2467" s="54"/>
      <c r="VUG2467" s="60"/>
      <c r="VUH2467" s="60"/>
      <c r="VUI2467" s="60"/>
      <c r="VUJ2467" s="60"/>
      <c r="VUK2467" s="63"/>
      <c r="VUL2467" s="61"/>
      <c r="VUM2467" s="54"/>
      <c r="VUN2467" s="54"/>
      <c r="VUO2467" s="60"/>
      <c r="VUP2467" s="60"/>
      <c r="VUQ2467" s="60"/>
      <c r="VUR2467" s="60"/>
      <c r="VUS2467" s="63"/>
      <c r="VUT2467" s="61"/>
      <c r="VUU2467" s="54"/>
      <c r="VUV2467" s="54"/>
      <c r="VUW2467" s="60"/>
      <c r="VUX2467" s="60"/>
      <c r="VUY2467" s="60"/>
      <c r="VUZ2467" s="60"/>
      <c r="VVA2467" s="63"/>
      <c r="VVB2467" s="61"/>
      <c r="VVC2467" s="54"/>
      <c r="VVD2467" s="54"/>
      <c r="VVE2467" s="60"/>
      <c r="VVF2467" s="60"/>
      <c r="VVG2467" s="60"/>
      <c r="VVH2467" s="60"/>
      <c r="VVI2467" s="63"/>
      <c r="VVJ2467" s="61"/>
      <c r="VVK2467" s="54"/>
      <c r="VVL2467" s="54"/>
      <c r="VVM2467" s="60"/>
      <c r="VVN2467" s="60"/>
      <c r="VVO2467" s="60"/>
      <c r="VVP2467" s="60"/>
      <c r="VVQ2467" s="63"/>
      <c r="VVR2467" s="61"/>
      <c r="VVS2467" s="54"/>
      <c r="VVT2467" s="54"/>
      <c r="VVU2467" s="60"/>
      <c r="VVV2467" s="60"/>
      <c r="VVW2467" s="60"/>
      <c r="VVX2467" s="60"/>
      <c r="VVY2467" s="63"/>
      <c r="VVZ2467" s="61"/>
      <c r="VWA2467" s="54"/>
      <c r="VWB2467" s="54"/>
      <c r="VWC2467" s="60"/>
      <c r="VWD2467" s="60"/>
      <c r="VWE2467" s="60"/>
      <c r="VWF2467" s="60"/>
      <c r="VWG2467" s="63"/>
      <c r="VWH2467" s="61"/>
      <c r="VWI2467" s="54"/>
      <c r="VWJ2467" s="54"/>
      <c r="VWK2467" s="60"/>
      <c r="VWL2467" s="60"/>
      <c r="VWM2467" s="60"/>
      <c r="VWN2467" s="60"/>
      <c r="VWO2467" s="63"/>
      <c r="VWP2467" s="61"/>
      <c r="VWQ2467" s="54"/>
      <c r="VWR2467" s="54"/>
      <c r="VWS2467" s="60"/>
      <c r="VWT2467" s="60"/>
      <c r="VWU2467" s="60"/>
      <c r="VWV2467" s="60"/>
      <c r="VWW2467" s="63"/>
      <c r="VWX2467" s="61"/>
      <c r="VWY2467" s="54"/>
      <c r="VWZ2467" s="54"/>
      <c r="VXA2467" s="60"/>
      <c r="VXB2467" s="60"/>
      <c r="VXC2467" s="60"/>
      <c r="VXD2467" s="60"/>
      <c r="VXE2467" s="63"/>
      <c r="VXF2467" s="61"/>
      <c r="VXG2467" s="54"/>
      <c r="VXH2467" s="54"/>
      <c r="VXI2467" s="60"/>
      <c r="VXJ2467" s="60"/>
      <c r="VXK2467" s="60"/>
      <c r="VXL2467" s="60"/>
      <c r="VXM2467" s="63"/>
      <c r="VXN2467" s="61"/>
      <c r="VXO2467" s="54"/>
      <c r="VXP2467" s="54"/>
      <c r="VXQ2467" s="60"/>
      <c r="VXR2467" s="60"/>
      <c r="VXS2467" s="60"/>
      <c r="VXT2467" s="60"/>
      <c r="VXU2467" s="63"/>
      <c r="VXV2467" s="61"/>
      <c r="VXW2467" s="54"/>
      <c r="VXX2467" s="54"/>
      <c r="VXY2467" s="60"/>
      <c r="VXZ2467" s="60"/>
      <c r="VYA2467" s="60"/>
      <c r="VYB2467" s="60"/>
      <c r="VYC2467" s="63"/>
      <c r="VYD2467" s="61"/>
      <c r="VYE2467" s="54"/>
      <c r="VYF2467" s="54"/>
      <c r="VYG2467" s="60"/>
      <c r="VYH2467" s="60"/>
      <c r="VYI2467" s="60"/>
      <c r="VYJ2467" s="60"/>
      <c r="VYK2467" s="63"/>
      <c r="VYL2467" s="61"/>
      <c r="VYM2467" s="54"/>
      <c r="VYN2467" s="54"/>
      <c r="VYO2467" s="60"/>
      <c r="VYP2467" s="60"/>
      <c r="VYQ2467" s="60"/>
      <c r="VYR2467" s="60"/>
      <c r="VYS2467" s="63"/>
      <c r="VYT2467" s="61"/>
      <c r="VYU2467" s="54"/>
      <c r="VYV2467" s="54"/>
      <c r="VYW2467" s="60"/>
      <c r="VYX2467" s="60"/>
      <c r="VYY2467" s="60"/>
      <c r="VYZ2467" s="60"/>
      <c r="VZA2467" s="63"/>
      <c r="VZB2467" s="61"/>
      <c r="VZC2467" s="54"/>
      <c r="VZD2467" s="54"/>
      <c r="VZE2467" s="60"/>
      <c r="VZF2467" s="60"/>
      <c r="VZG2467" s="60"/>
      <c r="VZH2467" s="60"/>
      <c r="VZI2467" s="63"/>
      <c r="VZJ2467" s="61"/>
      <c r="VZK2467" s="54"/>
      <c r="VZL2467" s="54"/>
      <c r="VZM2467" s="60"/>
      <c r="VZN2467" s="60"/>
      <c r="VZO2467" s="60"/>
      <c r="VZP2467" s="60"/>
      <c r="VZQ2467" s="63"/>
      <c r="VZR2467" s="61"/>
      <c r="VZS2467" s="54"/>
      <c r="VZT2467" s="54"/>
      <c r="VZU2467" s="60"/>
      <c r="VZV2467" s="60"/>
      <c r="VZW2467" s="60"/>
      <c r="VZX2467" s="60"/>
      <c r="VZY2467" s="63"/>
      <c r="VZZ2467" s="61"/>
      <c r="WAA2467" s="54"/>
      <c r="WAB2467" s="54"/>
      <c r="WAC2467" s="60"/>
      <c r="WAD2467" s="60"/>
      <c r="WAE2467" s="60"/>
      <c r="WAF2467" s="60"/>
      <c r="WAG2467" s="63"/>
      <c r="WAH2467" s="61"/>
      <c r="WAI2467" s="54"/>
      <c r="WAJ2467" s="54"/>
      <c r="WAK2467" s="60"/>
      <c r="WAL2467" s="60"/>
      <c r="WAM2467" s="60"/>
      <c r="WAN2467" s="60"/>
      <c r="WAO2467" s="63"/>
      <c r="WAP2467" s="61"/>
      <c r="WAQ2467" s="54"/>
      <c r="WAR2467" s="54"/>
      <c r="WAS2467" s="60"/>
      <c r="WAT2467" s="60"/>
      <c r="WAU2467" s="60"/>
      <c r="WAV2467" s="60"/>
      <c r="WAW2467" s="63"/>
      <c r="WAX2467" s="61"/>
      <c r="WAY2467" s="54"/>
      <c r="WAZ2467" s="54"/>
      <c r="WBA2467" s="60"/>
      <c r="WBB2467" s="60"/>
      <c r="WBC2467" s="60"/>
      <c r="WBD2467" s="60"/>
      <c r="WBE2467" s="63"/>
      <c r="WBF2467" s="61"/>
      <c r="WBG2467" s="54"/>
      <c r="WBH2467" s="54"/>
      <c r="WBI2467" s="60"/>
      <c r="WBJ2467" s="60"/>
      <c r="WBK2467" s="60"/>
      <c r="WBL2467" s="60"/>
      <c r="WBM2467" s="63"/>
      <c r="WBN2467" s="61"/>
      <c r="WBO2467" s="54"/>
      <c r="WBP2467" s="54"/>
      <c r="WBQ2467" s="60"/>
      <c r="WBR2467" s="60"/>
      <c r="WBS2467" s="60"/>
      <c r="WBT2467" s="60"/>
      <c r="WBU2467" s="63"/>
      <c r="WBV2467" s="61"/>
      <c r="WBW2467" s="54"/>
      <c r="WBX2467" s="54"/>
      <c r="WBY2467" s="60"/>
      <c r="WBZ2467" s="60"/>
      <c r="WCA2467" s="60"/>
      <c r="WCB2467" s="60"/>
      <c r="WCC2467" s="63"/>
      <c r="WCD2467" s="61"/>
      <c r="WCE2467" s="54"/>
      <c r="WCF2467" s="54"/>
      <c r="WCG2467" s="60"/>
      <c r="WCH2467" s="60"/>
      <c r="WCI2467" s="60"/>
      <c r="WCJ2467" s="60"/>
      <c r="WCK2467" s="63"/>
      <c r="WCL2467" s="61"/>
      <c r="WCM2467" s="54"/>
      <c r="WCN2467" s="54"/>
      <c r="WCO2467" s="60"/>
      <c r="WCP2467" s="60"/>
      <c r="WCQ2467" s="60"/>
      <c r="WCR2467" s="60"/>
      <c r="WCS2467" s="63"/>
      <c r="WCT2467" s="61"/>
      <c r="WCU2467" s="54"/>
      <c r="WCV2467" s="54"/>
      <c r="WCW2467" s="60"/>
      <c r="WCX2467" s="60"/>
      <c r="WCY2467" s="60"/>
      <c r="WCZ2467" s="60"/>
      <c r="WDA2467" s="63"/>
      <c r="WDB2467" s="61"/>
      <c r="WDC2467" s="54"/>
      <c r="WDD2467" s="54"/>
      <c r="WDE2467" s="60"/>
      <c r="WDF2467" s="60"/>
      <c r="WDG2467" s="60"/>
      <c r="WDH2467" s="60"/>
      <c r="WDI2467" s="63"/>
      <c r="WDJ2467" s="61"/>
      <c r="WDK2467" s="54"/>
      <c r="WDL2467" s="54"/>
      <c r="WDM2467" s="60"/>
      <c r="WDN2467" s="60"/>
      <c r="WDO2467" s="60"/>
      <c r="WDP2467" s="60"/>
      <c r="WDQ2467" s="63"/>
      <c r="WDR2467" s="61"/>
      <c r="WDS2467" s="54"/>
      <c r="WDT2467" s="54"/>
      <c r="WDU2467" s="60"/>
      <c r="WDV2467" s="60"/>
      <c r="WDW2467" s="60"/>
      <c r="WDX2467" s="60"/>
      <c r="WDY2467" s="63"/>
      <c r="WDZ2467" s="61"/>
      <c r="WEA2467" s="54"/>
      <c r="WEB2467" s="54"/>
      <c r="WEC2467" s="60"/>
      <c r="WED2467" s="60"/>
      <c r="WEE2467" s="60"/>
      <c r="WEF2467" s="60"/>
      <c r="WEG2467" s="63"/>
      <c r="WEH2467" s="61"/>
      <c r="WEI2467" s="54"/>
      <c r="WEJ2467" s="54"/>
      <c r="WEK2467" s="60"/>
      <c r="WEL2467" s="60"/>
      <c r="WEM2467" s="60"/>
      <c r="WEN2467" s="60"/>
      <c r="WEO2467" s="63"/>
      <c r="WEP2467" s="61"/>
      <c r="WEQ2467" s="54"/>
      <c r="WER2467" s="54"/>
      <c r="WES2467" s="60"/>
      <c r="WET2467" s="60"/>
      <c r="WEU2467" s="60"/>
      <c r="WEV2467" s="60"/>
      <c r="WEW2467" s="63"/>
      <c r="WEX2467" s="61"/>
      <c r="WEY2467" s="54"/>
      <c r="WEZ2467" s="54"/>
      <c r="WFA2467" s="60"/>
      <c r="WFB2467" s="60"/>
      <c r="WFC2467" s="60"/>
      <c r="WFD2467" s="60"/>
      <c r="WFE2467" s="63"/>
      <c r="WFF2467" s="61"/>
      <c r="WFG2467" s="54"/>
      <c r="WFH2467" s="54"/>
      <c r="WFI2467" s="60"/>
      <c r="WFJ2467" s="60"/>
      <c r="WFK2467" s="60"/>
      <c r="WFL2467" s="60"/>
      <c r="WFM2467" s="63"/>
      <c r="WFN2467" s="61"/>
      <c r="WFO2467" s="54"/>
      <c r="WFP2467" s="54"/>
      <c r="WFQ2467" s="60"/>
      <c r="WFR2467" s="60"/>
      <c r="WFS2467" s="60"/>
      <c r="WFT2467" s="60"/>
      <c r="WFU2467" s="63"/>
      <c r="WFV2467" s="61"/>
      <c r="WFW2467" s="54"/>
      <c r="WFX2467" s="54"/>
      <c r="WFY2467" s="60"/>
      <c r="WFZ2467" s="60"/>
      <c r="WGA2467" s="60"/>
      <c r="WGB2467" s="60"/>
      <c r="WGC2467" s="63"/>
      <c r="WGD2467" s="61"/>
      <c r="WGE2467" s="54"/>
      <c r="WGF2467" s="54"/>
      <c r="WGG2467" s="60"/>
      <c r="WGH2467" s="60"/>
      <c r="WGI2467" s="60"/>
      <c r="WGJ2467" s="60"/>
      <c r="WGK2467" s="63"/>
      <c r="WGL2467" s="61"/>
      <c r="WGM2467" s="54"/>
      <c r="WGN2467" s="54"/>
      <c r="WGO2467" s="60"/>
      <c r="WGP2467" s="60"/>
      <c r="WGQ2467" s="60"/>
      <c r="WGR2467" s="60"/>
      <c r="WGS2467" s="63"/>
      <c r="WGT2467" s="61"/>
      <c r="WGU2467" s="54"/>
      <c r="WGV2467" s="54"/>
      <c r="WGW2467" s="60"/>
      <c r="WGX2467" s="60"/>
      <c r="WGY2467" s="60"/>
      <c r="WGZ2467" s="60"/>
      <c r="WHA2467" s="63"/>
      <c r="WHB2467" s="61"/>
      <c r="WHC2467" s="54"/>
      <c r="WHD2467" s="54"/>
      <c r="WHE2467" s="60"/>
      <c r="WHF2467" s="60"/>
      <c r="WHG2467" s="60"/>
      <c r="WHH2467" s="60"/>
      <c r="WHI2467" s="63"/>
      <c r="WHJ2467" s="61"/>
      <c r="WHK2467" s="54"/>
      <c r="WHL2467" s="54"/>
      <c r="WHM2467" s="60"/>
      <c r="WHN2467" s="60"/>
      <c r="WHO2467" s="60"/>
      <c r="WHP2467" s="60"/>
      <c r="WHQ2467" s="63"/>
      <c r="WHR2467" s="61"/>
      <c r="WHS2467" s="54"/>
      <c r="WHT2467" s="54"/>
      <c r="WHU2467" s="60"/>
      <c r="WHV2467" s="60"/>
      <c r="WHW2467" s="60"/>
      <c r="WHX2467" s="60"/>
      <c r="WHY2467" s="63"/>
      <c r="WHZ2467" s="61"/>
      <c r="WIA2467" s="54"/>
      <c r="WIB2467" s="54"/>
      <c r="WIC2467" s="60"/>
      <c r="WID2467" s="60"/>
      <c r="WIE2467" s="60"/>
      <c r="WIF2467" s="60"/>
      <c r="WIG2467" s="63"/>
      <c r="WIH2467" s="61"/>
      <c r="WII2467" s="54"/>
      <c r="WIJ2467" s="54"/>
      <c r="WIK2467" s="60"/>
      <c r="WIL2467" s="60"/>
      <c r="WIM2467" s="60"/>
      <c r="WIN2467" s="60"/>
      <c r="WIO2467" s="63"/>
      <c r="WIP2467" s="61"/>
      <c r="WIQ2467" s="54"/>
      <c r="WIR2467" s="54"/>
      <c r="WIS2467" s="60"/>
      <c r="WIT2467" s="60"/>
      <c r="WIU2467" s="60"/>
      <c r="WIV2467" s="60"/>
      <c r="WIW2467" s="63"/>
      <c r="WIX2467" s="61"/>
      <c r="WIY2467" s="54"/>
      <c r="WIZ2467" s="54"/>
      <c r="WJA2467" s="60"/>
      <c r="WJB2467" s="60"/>
      <c r="WJC2467" s="60"/>
      <c r="WJD2467" s="60"/>
      <c r="WJE2467" s="63"/>
      <c r="WJF2467" s="61"/>
      <c r="WJG2467" s="54"/>
      <c r="WJH2467" s="54"/>
      <c r="WJI2467" s="60"/>
      <c r="WJJ2467" s="60"/>
      <c r="WJK2467" s="60"/>
      <c r="WJL2467" s="60"/>
      <c r="WJM2467" s="63"/>
      <c r="WJN2467" s="61"/>
      <c r="WJO2467" s="54"/>
      <c r="WJP2467" s="54"/>
      <c r="WJQ2467" s="60"/>
      <c r="WJR2467" s="60"/>
      <c r="WJS2467" s="60"/>
      <c r="WJT2467" s="60"/>
      <c r="WJU2467" s="63"/>
      <c r="WJV2467" s="61"/>
      <c r="WJW2467" s="54"/>
      <c r="WJX2467" s="54"/>
      <c r="WJY2467" s="60"/>
      <c r="WJZ2467" s="60"/>
      <c r="WKA2467" s="60"/>
      <c r="WKB2467" s="60"/>
      <c r="WKC2467" s="63"/>
      <c r="WKD2467" s="61"/>
      <c r="WKE2467" s="54"/>
      <c r="WKF2467" s="54"/>
      <c r="WKG2467" s="60"/>
      <c r="WKH2467" s="60"/>
      <c r="WKI2467" s="60"/>
      <c r="WKJ2467" s="60"/>
      <c r="WKK2467" s="63"/>
      <c r="WKL2467" s="61"/>
      <c r="WKM2467" s="54"/>
      <c r="WKN2467" s="54"/>
      <c r="WKO2467" s="60"/>
      <c r="WKP2467" s="60"/>
      <c r="WKQ2467" s="60"/>
      <c r="WKR2467" s="60"/>
      <c r="WKS2467" s="63"/>
      <c r="WKT2467" s="61"/>
      <c r="WKU2467" s="54"/>
      <c r="WKV2467" s="54"/>
      <c r="WKW2467" s="60"/>
      <c r="WKX2467" s="60"/>
      <c r="WKY2467" s="60"/>
      <c r="WKZ2467" s="60"/>
      <c r="WLA2467" s="63"/>
      <c r="WLB2467" s="61"/>
      <c r="WLC2467" s="54"/>
      <c r="WLD2467" s="54"/>
      <c r="WLE2467" s="60"/>
      <c r="WLF2467" s="60"/>
      <c r="WLG2467" s="60"/>
      <c r="WLH2467" s="60"/>
      <c r="WLI2467" s="63"/>
      <c r="WLJ2467" s="61"/>
      <c r="WLK2467" s="54"/>
      <c r="WLL2467" s="54"/>
      <c r="WLM2467" s="60"/>
      <c r="WLN2467" s="60"/>
      <c r="WLO2467" s="60"/>
      <c r="WLP2467" s="60"/>
      <c r="WLQ2467" s="63"/>
      <c r="WLR2467" s="61"/>
      <c r="WLS2467" s="54"/>
      <c r="WLT2467" s="54"/>
      <c r="WLU2467" s="60"/>
      <c r="WLV2467" s="60"/>
      <c r="WLW2467" s="60"/>
      <c r="WLX2467" s="60"/>
      <c r="WLY2467" s="63"/>
      <c r="WLZ2467" s="61"/>
      <c r="WMA2467" s="54"/>
      <c r="WMB2467" s="54"/>
      <c r="WMC2467" s="60"/>
      <c r="WMD2467" s="60"/>
      <c r="WME2467" s="60"/>
      <c r="WMF2467" s="60"/>
      <c r="WMG2467" s="63"/>
      <c r="WMH2467" s="61"/>
      <c r="WMI2467" s="54"/>
      <c r="WMJ2467" s="54"/>
      <c r="WMK2467" s="60"/>
      <c r="WML2467" s="60"/>
      <c r="WMM2467" s="60"/>
      <c r="WMN2467" s="60"/>
      <c r="WMO2467" s="63"/>
      <c r="WMP2467" s="61"/>
      <c r="WMQ2467" s="54"/>
      <c r="WMR2467" s="54"/>
      <c r="WMS2467" s="60"/>
      <c r="WMT2467" s="60"/>
      <c r="WMU2467" s="60"/>
      <c r="WMV2467" s="60"/>
      <c r="WMW2467" s="63"/>
      <c r="WMX2467" s="61"/>
      <c r="WMY2467" s="54"/>
      <c r="WMZ2467" s="54"/>
      <c r="WNA2467" s="60"/>
      <c r="WNB2467" s="60"/>
      <c r="WNC2467" s="60"/>
      <c r="WND2467" s="60"/>
      <c r="WNE2467" s="63"/>
      <c r="WNF2467" s="61"/>
      <c r="WNG2467" s="54"/>
      <c r="WNH2467" s="54"/>
      <c r="WNI2467" s="60"/>
      <c r="WNJ2467" s="60"/>
      <c r="WNK2467" s="60"/>
      <c r="WNL2467" s="60"/>
      <c r="WNM2467" s="63"/>
      <c r="WNN2467" s="61"/>
      <c r="WNO2467" s="54"/>
      <c r="WNP2467" s="54"/>
      <c r="WNQ2467" s="60"/>
      <c r="WNR2467" s="60"/>
      <c r="WNS2467" s="60"/>
      <c r="WNT2467" s="60"/>
      <c r="WNU2467" s="63"/>
      <c r="WNV2467" s="61"/>
      <c r="WNW2467" s="54"/>
      <c r="WNX2467" s="54"/>
      <c r="WNY2467" s="60"/>
      <c r="WNZ2467" s="60"/>
      <c r="WOA2467" s="60"/>
      <c r="WOB2467" s="60"/>
      <c r="WOC2467" s="63"/>
      <c r="WOD2467" s="61"/>
      <c r="WOE2467" s="54"/>
      <c r="WOF2467" s="54"/>
      <c r="WOG2467" s="60"/>
      <c r="WOH2467" s="60"/>
      <c r="WOI2467" s="60"/>
      <c r="WOJ2467" s="60"/>
      <c r="WOK2467" s="63"/>
      <c r="WOL2467" s="61"/>
      <c r="WOM2467" s="54"/>
      <c r="WON2467" s="54"/>
      <c r="WOO2467" s="60"/>
      <c r="WOP2467" s="60"/>
      <c r="WOQ2467" s="60"/>
      <c r="WOR2467" s="60"/>
      <c r="WOS2467" s="63"/>
      <c r="WOT2467" s="61"/>
      <c r="WOU2467" s="54"/>
      <c r="WOV2467" s="54"/>
      <c r="WOW2467" s="60"/>
      <c r="WOX2467" s="60"/>
      <c r="WOY2467" s="60"/>
      <c r="WOZ2467" s="60"/>
      <c r="WPA2467" s="63"/>
      <c r="WPB2467" s="61"/>
      <c r="WPC2467" s="54"/>
      <c r="WPD2467" s="54"/>
      <c r="WPE2467" s="60"/>
      <c r="WPF2467" s="60"/>
      <c r="WPG2467" s="60"/>
      <c r="WPH2467" s="60"/>
      <c r="WPI2467" s="63"/>
      <c r="WPJ2467" s="61"/>
      <c r="WPK2467" s="54"/>
      <c r="WPL2467" s="54"/>
      <c r="WPM2467" s="60"/>
      <c r="WPN2467" s="60"/>
      <c r="WPO2467" s="60"/>
      <c r="WPP2467" s="60"/>
      <c r="WPQ2467" s="63"/>
      <c r="WPR2467" s="61"/>
      <c r="WPS2467" s="54"/>
      <c r="WPT2467" s="54"/>
      <c r="WPU2467" s="60"/>
      <c r="WPV2467" s="60"/>
      <c r="WPW2467" s="60"/>
      <c r="WPX2467" s="60"/>
      <c r="WPY2467" s="63"/>
      <c r="WPZ2467" s="61"/>
      <c r="WQA2467" s="54"/>
      <c r="WQB2467" s="54"/>
      <c r="WQC2467" s="60"/>
      <c r="WQD2467" s="60"/>
      <c r="WQE2467" s="60"/>
      <c r="WQF2467" s="60"/>
      <c r="WQG2467" s="63"/>
      <c r="WQH2467" s="61"/>
      <c r="WQI2467" s="54"/>
      <c r="WQJ2467" s="54"/>
      <c r="WQK2467" s="60"/>
      <c r="WQL2467" s="60"/>
      <c r="WQM2467" s="60"/>
      <c r="WQN2467" s="60"/>
      <c r="WQO2467" s="63"/>
      <c r="WQP2467" s="61"/>
      <c r="WQQ2467" s="54"/>
      <c r="WQR2467" s="54"/>
      <c r="WQS2467" s="60"/>
      <c r="WQT2467" s="60"/>
      <c r="WQU2467" s="60"/>
      <c r="WQV2467" s="60"/>
      <c r="WQW2467" s="63"/>
      <c r="WQX2467" s="61"/>
      <c r="WQY2467" s="54"/>
      <c r="WQZ2467" s="54"/>
      <c r="WRA2467" s="60"/>
      <c r="WRB2467" s="60"/>
      <c r="WRC2467" s="60"/>
      <c r="WRD2467" s="60"/>
      <c r="WRE2467" s="63"/>
      <c r="WRF2467" s="61"/>
      <c r="WRG2467" s="54"/>
      <c r="WRH2467" s="54"/>
      <c r="WRI2467" s="60"/>
      <c r="WRJ2467" s="60"/>
      <c r="WRK2467" s="60"/>
      <c r="WRL2467" s="60"/>
      <c r="WRM2467" s="63"/>
      <c r="WRN2467" s="61"/>
      <c r="WRO2467" s="54"/>
      <c r="WRP2467" s="54"/>
      <c r="WRQ2467" s="60"/>
      <c r="WRR2467" s="60"/>
      <c r="WRS2467" s="60"/>
      <c r="WRT2467" s="60"/>
      <c r="WRU2467" s="63"/>
      <c r="WRV2467" s="61"/>
      <c r="WRW2467" s="54"/>
      <c r="WRX2467" s="54"/>
      <c r="WRY2467" s="60"/>
      <c r="WRZ2467" s="60"/>
      <c r="WSA2467" s="60"/>
      <c r="WSB2467" s="60"/>
      <c r="WSC2467" s="63"/>
      <c r="WSD2467" s="61"/>
      <c r="WSE2467" s="54"/>
      <c r="WSF2467" s="54"/>
      <c r="WSG2467" s="60"/>
      <c r="WSH2467" s="60"/>
      <c r="WSI2467" s="60"/>
      <c r="WSJ2467" s="60"/>
      <c r="WSK2467" s="63"/>
      <c r="WSL2467" s="61"/>
      <c r="WSM2467" s="54"/>
      <c r="WSN2467" s="54"/>
      <c r="WSO2467" s="60"/>
      <c r="WSP2467" s="60"/>
      <c r="WSQ2467" s="60"/>
      <c r="WSR2467" s="60"/>
      <c r="WSS2467" s="63"/>
      <c r="WST2467" s="61"/>
      <c r="WSU2467" s="54"/>
      <c r="WSV2467" s="54"/>
      <c r="WSW2467" s="60"/>
      <c r="WSX2467" s="60"/>
      <c r="WSY2467" s="60"/>
      <c r="WSZ2467" s="60"/>
      <c r="WTA2467" s="63"/>
      <c r="WTB2467" s="61"/>
      <c r="WTC2467" s="54"/>
      <c r="WTD2467" s="54"/>
      <c r="WTE2467" s="60"/>
      <c r="WTF2467" s="60"/>
      <c r="WTG2467" s="60"/>
      <c r="WTH2467" s="60"/>
      <c r="WTI2467" s="63"/>
      <c r="WTJ2467" s="61"/>
      <c r="WTK2467" s="54"/>
      <c r="WTL2467" s="54"/>
      <c r="WTM2467" s="60"/>
      <c r="WTN2467" s="60"/>
      <c r="WTO2467" s="60"/>
      <c r="WTP2467" s="60"/>
      <c r="WTQ2467" s="63"/>
      <c r="WTR2467" s="61"/>
      <c r="WTS2467" s="54"/>
      <c r="WTT2467" s="54"/>
      <c r="WTU2467" s="60"/>
      <c r="WTV2467" s="60"/>
      <c r="WTW2467" s="60"/>
      <c r="WTX2467" s="60"/>
      <c r="WTY2467" s="63"/>
      <c r="WTZ2467" s="61"/>
      <c r="WUA2467" s="54"/>
      <c r="WUB2467" s="54"/>
      <c r="WUC2467" s="60"/>
      <c r="WUD2467" s="60"/>
      <c r="WUE2467" s="60"/>
      <c r="WUF2467" s="60"/>
      <c r="WUG2467" s="63"/>
      <c r="WUH2467" s="61"/>
      <c r="WUI2467" s="54"/>
      <c r="WUJ2467" s="54"/>
      <c r="WUK2467" s="60"/>
      <c r="WUL2467" s="60"/>
      <c r="WUM2467" s="60"/>
      <c r="WUN2467" s="60"/>
      <c r="WUO2467" s="63"/>
      <c r="WUP2467" s="61"/>
      <c r="WUQ2467" s="54"/>
      <c r="WUR2467" s="54"/>
      <c r="WUS2467" s="60"/>
      <c r="WUT2467" s="60"/>
      <c r="WUU2467" s="60"/>
      <c r="WUV2467" s="60"/>
      <c r="WUW2467" s="63"/>
      <c r="WUX2467" s="61"/>
      <c r="WUY2467" s="54"/>
      <c r="WUZ2467" s="54"/>
      <c r="WVA2467" s="60"/>
      <c r="WVB2467" s="60"/>
      <c r="WVC2467" s="60"/>
      <c r="WVD2467" s="60"/>
      <c r="WVE2467" s="63"/>
      <c r="WVF2467" s="61"/>
      <c r="WVG2467" s="54"/>
      <c r="WVH2467" s="54"/>
      <c r="WVI2467" s="60"/>
      <c r="WVJ2467" s="60"/>
      <c r="WVK2467" s="60"/>
      <c r="WVL2467" s="60"/>
      <c r="WVM2467" s="63"/>
      <c r="WVN2467" s="61"/>
      <c r="WVO2467" s="54"/>
      <c r="WVP2467" s="54"/>
      <c r="WVQ2467" s="60"/>
      <c r="WVR2467" s="60"/>
      <c r="WVS2467" s="60"/>
      <c r="WVT2467" s="60"/>
      <c r="WVU2467" s="63"/>
      <c r="WVV2467" s="61"/>
      <c r="WVW2467" s="54"/>
      <c r="WVX2467" s="54"/>
      <c r="WVY2467" s="60"/>
      <c r="WVZ2467" s="60"/>
      <c r="WWA2467" s="60"/>
      <c r="WWB2467" s="60"/>
      <c r="WWC2467" s="63"/>
      <c r="WWD2467" s="61"/>
      <c r="WWE2467" s="54"/>
      <c r="WWF2467" s="54"/>
      <c r="WWG2467" s="60"/>
      <c r="WWH2467" s="60"/>
      <c r="WWI2467" s="60"/>
      <c r="WWJ2467" s="60"/>
      <c r="WWK2467" s="63"/>
      <c r="WWL2467" s="61"/>
      <c r="WWM2467" s="54"/>
      <c r="WWN2467" s="54"/>
      <c r="WWO2467" s="60"/>
      <c r="WWP2467" s="60"/>
      <c r="WWQ2467" s="60"/>
      <c r="WWR2467" s="60"/>
      <c r="WWS2467" s="63"/>
      <c r="WWT2467" s="61"/>
      <c r="WWU2467" s="54"/>
      <c r="WWV2467" s="54"/>
      <c r="WWW2467" s="60"/>
      <c r="WWX2467" s="60"/>
      <c r="WWY2467" s="60"/>
      <c r="WWZ2467" s="60"/>
      <c r="WXA2467" s="63"/>
      <c r="WXB2467" s="61"/>
      <c r="WXC2467" s="54"/>
      <c r="WXD2467" s="54"/>
      <c r="WXE2467" s="60"/>
      <c r="WXF2467" s="60"/>
      <c r="WXG2467" s="60"/>
      <c r="WXH2467" s="60"/>
      <c r="WXI2467" s="63"/>
      <c r="WXJ2467" s="61"/>
      <c r="WXK2467" s="54"/>
      <c r="WXL2467" s="54"/>
      <c r="WXM2467" s="60"/>
      <c r="WXN2467" s="60"/>
      <c r="WXO2467" s="60"/>
      <c r="WXP2467" s="60"/>
      <c r="WXQ2467" s="63"/>
      <c r="WXR2467" s="61"/>
      <c r="WXS2467" s="54"/>
      <c r="WXT2467" s="54"/>
      <c r="WXU2467" s="60"/>
      <c r="WXV2467" s="60"/>
      <c r="WXW2467" s="60"/>
      <c r="WXX2467" s="60"/>
      <c r="WXY2467" s="63"/>
      <c r="WXZ2467" s="61"/>
      <c r="WYA2467" s="54"/>
      <c r="WYB2467" s="54"/>
      <c r="WYC2467" s="60"/>
      <c r="WYD2467" s="60"/>
      <c r="WYE2467" s="60"/>
      <c r="WYF2467" s="60"/>
      <c r="WYG2467" s="63"/>
      <c r="WYH2467" s="61"/>
      <c r="WYI2467" s="54"/>
      <c r="WYJ2467" s="54"/>
      <c r="WYK2467" s="60"/>
      <c r="WYL2467" s="60"/>
      <c r="WYM2467" s="60"/>
      <c r="WYN2467" s="60"/>
      <c r="WYO2467" s="63"/>
      <c r="WYP2467" s="61"/>
      <c r="WYQ2467" s="54"/>
      <c r="WYR2467" s="54"/>
      <c r="WYS2467" s="60"/>
      <c r="WYT2467" s="60"/>
      <c r="WYU2467" s="60"/>
      <c r="WYV2467" s="60"/>
      <c r="WYW2467" s="63"/>
      <c r="WYX2467" s="61"/>
      <c r="WYY2467" s="54"/>
      <c r="WYZ2467" s="54"/>
      <c r="WZA2467" s="60"/>
      <c r="WZB2467" s="60"/>
      <c r="WZC2467" s="60"/>
      <c r="WZD2467" s="60"/>
      <c r="WZE2467" s="63"/>
      <c r="WZF2467" s="61"/>
      <c r="WZG2467" s="54"/>
      <c r="WZH2467" s="54"/>
      <c r="WZI2467" s="60"/>
      <c r="WZJ2467" s="60"/>
      <c r="WZK2467" s="60"/>
      <c r="WZL2467" s="60"/>
      <c r="WZM2467" s="63"/>
      <c r="WZN2467" s="61"/>
      <c r="WZO2467" s="54"/>
      <c r="WZP2467" s="54"/>
      <c r="WZQ2467" s="60"/>
      <c r="WZR2467" s="60"/>
      <c r="WZS2467" s="60"/>
      <c r="WZT2467" s="60"/>
      <c r="WZU2467" s="63"/>
      <c r="WZV2467" s="61"/>
      <c r="WZW2467" s="54"/>
      <c r="WZX2467" s="54"/>
      <c r="WZY2467" s="60"/>
      <c r="WZZ2467" s="60"/>
      <c r="XAA2467" s="60"/>
      <c r="XAB2467" s="60"/>
      <c r="XAC2467" s="63"/>
      <c r="XAD2467" s="61"/>
      <c r="XAE2467" s="54"/>
      <c r="XAF2467" s="54"/>
      <c r="XAG2467" s="60"/>
      <c r="XAH2467" s="60"/>
      <c r="XAI2467" s="60"/>
      <c r="XAJ2467" s="60"/>
      <c r="XAK2467" s="63"/>
      <c r="XAL2467" s="61"/>
      <c r="XAM2467" s="54"/>
      <c r="XAN2467" s="54"/>
      <c r="XAO2467" s="60"/>
      <c r="XAP2467" s="60"/>
      <c r="XAQ2467" s="60"/>
      <c r="XAR2467" s="60"/>
      <c r="XAS2467" s="63"/>
      <c r="XAT2467" s="61"/>
      <c r="XAU2467" s="54"/>
      <c r="XAV2467" s="54"/>
      <c r="XAW2467" s="60"/>
      <c r="XAX2467" s="60"/>
      <c r="XAY2467" s="60"/>
      <c r="XAZ2467" s="60"/>
      <c r="XBA2467" s="63"/>
      <c r="XBB2467" s="61"/>
      <c r="XBC2467" s="54"/>
      <c r="XBD2467" s="54"/>
      <c r="XBE2467" s="60"/>
      <c r="XBF2467" s="60"/>
      <c r="XBG2467" s="60"/>
      <c r="XBH2467" s="60"/>
      <c r="XBI2467" s="63"/>
      <c r="XBJ2467" s="61"/>
      <c r="XBK2467" s="54"/>
      <c r="XBL2467" s="54"/>
      <c r="XBM2467" s="60"/>
      <c r="XBN2467" s="60"/>
      <c r="XBO2467" s="60"/>
      <c r="XBP2467" s="60"/>
      <c r="XBQ2467" s="63"/>
      <c r="XBR2467" s="61"/>
      <c r="XBS2467" s="54"/>
      <c r="XBT2467" s="54"/>
      <c r="XBU2467" s="60"/>
      <c r="XBV2467" s="60"/>
      <c r="XBW2467" s="60"/>
      <c r="XBX2467" s="60"/>
      <c r="XBY2467" s="63"/>
      <c r="XBZ2467" s="61"/>
      <c r="XCA2467" s="54"/>
      <c r="XCB2467" s="54"/>
      <c r="XCC2467" s="60"/>
      <c r="XCD2467" s="60"/>
      <c r="XCE2467" s="60"/>
      <c r="XCF2467" s="60"/>
      <c r="XCG2467" s="63"/>
      <c r="XCH2467" s="61"/>
      <c r="XCI2467" s="54"/>
      <c r="XCJ2467" s="54"/>
      <c r="XCK2467" s="60"/>
      <c r="XCL2467" s="60"/>
      <c r="XCM2467" s="60"/>
      <c r="XCN2467" s="60"/>
      <c r="XCO2467" s="63"/>
      <c r="XCP2467" s="61"/>
      <c r="XCQ2467" s="54"/>
      <c r="XCR2467" s="54"/>
      <c r="XCS2467" s="60"/>
      <c r="XCT2467" s="60"/>
      <c r="XCU2467" s="60"/>
      <c r="XCV2467" s="60"/>
      <c r="XCW2467" s="63"/>
      <c r="XCX2467" s="61"/>
      <c r="XCY2467" s="54"/>
      <c r="XCZ2467" s="54"/>
      <c r="XDA2467" s="60"/>
      <c r="XDB2467" s="60"/>
      <c r="XDC2467" s="60"/>
      <c r="XDD2467" s="60"/>
      <c r="XDE2467" s="63"/>
      <c r="XDF2467" s="61"/>
      <c r="XDG2467" s="54"/>
      <c r="XDH2467" s="54"/>
      <c r="XDI2467" s="60"/>
      <c r="XDJ2467" s="60"/>
      <c r="XDK2467" s="60"/>
      <c r="XDL2467" s="60"/>
      <c r="XDM2467" s="63"/>
      <c r="XDN2467" s="61"/>
      <c r="XDO2467" s="54"/>
      <c r="XDP2467" s="54"/>
      <c r="XDQ2467" s="60"/>
      <c r="XDR2467" s="60"/>
      <c r="XDS2467" s="60"/>
      <c r="XDT2467" s="60"/>
      <c r="XDU2467" s="63"/>
      <c r="XDV2467" s="61"/>
      <c r="XDW2467" s="54"/>
      <c r="XDX2467" s="54"/>
      <c r="XDY2467" s="60"/>
      <c r="XDZ2467" s="60"/>
      <c r="XEA2467" s="60"/>
      <c r="XEB2467" s="60"/>
      <c r="XEC2467" s="63"/>
      <c r="XED2467" s="61"/>
      <c r="XEE2467" s="54"/>
      <c r="XEF2467" s="54"/>
      <c r="XEG2467" s="60"/>
      <c r="XEH2467" s="60"/>
      <c r="XEI2467" s="60"/>
      <c r="XEJ2467" s="60"/>
      <c r="XEK2467" s="63"/>
      <c r="XEL2467" s="61"/>
      <c r="XEM2467" s="54"/>
      <c r="XEN2467" s="54"/>
      <c r="XEO2467" s="60"/>
      <c r="XEP2467" s="60"/>
      <c r="XEQ2467" s="60"/>
      <c r="XER2467" s="60"/>
      <c r="XES2467" s="63"/>
      <c r="XET2467" s="61"/>
      <c r="XEU2467" s="54"/>
      <c r="XEV2467" s="54"/>
      <c r="XEW2467" s="60"/>
    </row>
    <row r="2468" ht="18" customHeight="1" spans="1:16377">
      <c r="A2468" s="6" t="s">
        <v>8209</v>
      </c>
      <c r="B2468" s="6" t="s">
        <v>8540</v>
      </c>
      <c r="C2468" s="11" t="s">
        <v>16394</v>
      </c>
      <c r="D2468" s="5" t="s">
        <v>16382</v>
      </c>
      <c r="E2468" s="11" t="s">
        <v>16395</v>
      </c>
      <c r="F2468" s="7" t="s">
        <v>11535</v>
      </c>
      <c r="G2468" s="54"/>
      <c r="H2468" s="54"/>
      <c r="I2468" s="60"/>
      <c r="J2468" s="60"/>
      <c r="K2468" s="60"/>
      <c r="L2468" s="60"/>
      <c r="M2468" s="63"/>
      <c r="N2468" s="61"/>
      <c r="O2468" s="54"/>
      <c r="P2468" s="54"/>
      <c r="Q2468" s="60"/>
      <c r="R2468" s="60"/>
      <c r="S2468" s="60"/>
      <c r="T2468" s="60"/>
      <c r="U2468" s="63"/>
      <c r="V2468" s="61"/>
      <c r="W2468" s="54"/>
      <c r="X2468" s="54"/>
      <c r="Y2468" s="60"/>
      <c r="Z2468" s="60"/>
      <c r="AA2468" s="60"/>
      <c r="AB2468" s="60"/>
      <c r="AC2468" s="63"/>
      <c r="AD2468" s="61"/>
      <c r="AE2468" s="54"/>
      <c r="AF2468" s="54"/>
      <c r="AG2468" s="60"/>
      <c r="AH2468" s="60"/>
      <c r="AI2468" s="60"/>
      <c r="AJ2468" s="60"/>
      <c r="AK2468" s="63"/>
      <c r="AL2468" s="61"/>
      <c r="AM2468" s="54"/>
      <c r="AN2468" s="54"/>
      <c r="AO2468" s="60"/>
      <c r="AP2468" s="60"/>
      <c r="AQ2468" s="60"/>
      <c r="AR2468" s="60"/>
      <c r="AS2468" s="63"/>
      <c r="AT2468" s="61"/>
      <c r="AU2468" s="54"/>
      <c r="AV2468" s="54"/>
      <c r="AW2468" s="60"/>
      <c r="AX2468" s="60"/>
      <c r="AY2468" s="60"/>
      <c r="AZ2468" s="60"/>
      <c r="BA2468" s="63"/>
      <c r="BB2468" s="61"/>
      <c r="BC2468" s="54"/>
      <c r="BD2468" s="54"/>
      <c r="BE2468" s="60"/>
      <c r="BF2468" s="60"/>
      <c r="BG2468" s="60"/>
      <c r="BH2468" s="60"/>
      <c r="BI2468" s="63"/>
      <c r="BJ2468" s="61"/>
      <c r="BK2468" s="54"/>
      <c r="BL2468" s="54"/>
      <c r="BM2468" s="60"/>
      <c r="BN2468" s="60"/>
      <c r="BO2468" s="60"/>
      <c r="BP2468" s="60"/>
      <c r="BQ2468" s="63"/>
      <c r="BR2468" s="61"/>
      <c r="BS2468" s="54"/>
      <c r="BT2468" s="54"/>
      <c r="BU2468" s="60"/>
      <c r="BV2468" s="60"/>
      <c r="BW2468" s="60"/>
      <c r="BX2468" s="60"/>
      <c r="BY2468" s="63"/>
      <c r="BZ2468" s="61"/>
      <c r="CA2468" s="54"/>
      <c r="CB2468" s="54"/>
      <c r="CC2468" s="60"/>
      <c r="CD2468" s="60"/>
      <c r="CE2468" s="60"/>
      <c r="CF2468" s="60"/>
      <c r="CG2468" s="63"/>
      <c r="CH2468" s="61"/>
      <c r="CI2468" s="54"/>
      <c r="CJ2468" s="54"/>
      <c r="CK2468" s="60"/>
      <c r="CL2468" s="60"/>
      <c r="CM2468" s="60"/>
      <c r="CN2468" s="60"/>
      <c r="CO2468" s="63"/>
      <c r="CP2468" s="61"/>
      <c r="CQ2468" s="54"/>
      <c r="CR2468" s="54"/>
      <c r="CS2468" s="60"/>
      <c r="CT2468" s="60"/>
      <c r="CU2468" s="60"/>
      <c r="CV2468" s="60"/>
      <c r="CW2468" s="63"/>
      <c r="CX2468" s="61"/>
      <c r="CY2468" s="54"/>
      <c r="CZ2468" s="54"/>
      <c r="DA2468" s="60"/>
      <c r="DB2468" s="60"/>
      <c r="DC2468" s="60"/>
      <c r="DD2468" s="60"/>
      <c r="DE2468" s="63"/>
      <c r="DF2468" s="61"/>
      <c r="DG2468" s="54"/>
      <c r="DH2468" s="54"/>
      <c r="DI2468" s="60"/>
      <c r="DJ2468" s="60"/>
      <c r="DK2468" s="60"/>
      <c r="DL2468" s="60"/>
      <c r="DM2468" s="63"/>
      <c r="DN2468" s="61"/>
      <c r="DO2468" s="54"/>
      <c r="DP2468" s="54"/>
      <c r="DQ2468" s="60"/>
      <c r="DR2468" s="60"/>
      <c r="DS2468" s="60"/>
      <c r="DT2468" s="60"/>
      <c r="DU2468" s="63"/>
      <c r="DV2468" s="61"/>
      <c r="DW2468" s="54"/>
      <c r="DX2468" s="54"/>
      <c r="DY2468" s="60"/>
      <c r="DZ2468" s="60"/>
      <c r="EA2468" s="60"/>
      <c r="EB2468" s="60"/>
      <c r="EC2468" s="63"/>
      <c r="ED2468" s="61"/>
      <c r="EE2468" s="54"/>
      <c r="EF2468" s="54"/>
      <c r="EG2468" s="60"/>
      <c r="EH2468" s="60"/>
      <c r="EI2468" s="60"/>
      <c r="EJ2468" s="60"/>
      <c r="EK2468" s="63"/>
      <c r="EL2468" s="61"/>
      <c r="EM2468" s="54"/>
      <c r="EN2468" s="54"/>
      <c r="EO2468" s="60"/>
      <c r="EP2468" s="60"/>
      <c r="EQ2468" s="60"/>
      <c r="ER2468" s="60"/>
      <c r="ES2468" s="63"/>
      <c r="ET2468" s="61"/>
      <c r="EU2468" s="54"/>
      <c r="EV2468" s="54"/>
      <c r="EW2468" s="60"/>
      <c r="EX2468" s="60"/>
      <c r="EY2468" s="60"/>
      <c r="EZ2468" s="60"/>
      <c r="FA2468" s="63"/>
      <c r="FB2468" s="61"/>
      <c r="FC2468" s="54"/>
      <c r="FD2468" s="54"/>
      <c r="FE2468" s="60"/>
      <c r="FF2468" s="60"/>
      <c r="FG2468" s="60"/>
      <c r="FH2468" s="60"/>
      <c r="FI2468" s="63"/>
      <c r="FJ2468" s="61"/>
      <c r="FK2468" s="54"/>
      <c r="FL2468" s="54"/>
      <c r="FM2468" s="60"/>
      <c r="FN2468" s="60"/>
      <c r="FO2468" s="60"/>
      <c r="FP2468" s="60"/>
      <c r="FQ2468" s="63"/>
      <c r="FR2468" s="61"/>
      <c r="FS2468" s="54"/>
      <c r="FT2468" s="54"/>
      <c r="FU2468" s="60"/>
      <c r="FV2468" s="60"/>
      <c r="FW2468" s="60"/>
      <c r="FX2468" s="60"/>
      <c r="FY2468" s="63"/>
      <c r="FZ2468" s="61"/>
      <c r="GA2468" s="54"/>
      <c r="GB2468" s="54"/>
      <c r="GC2468" s="60"/>
      <c r="GD2468" s="60"/>
      <c r="GE2468" s="60"/>
      <c r="GF2468" s="60"/>
      <c r="GG2468" s="63"/>
      <c r="GH2468" s="61"/>
      <c r="GI2468" s="54"/>
      <c r="GJ2468" s="54"/>
      <c r="GK2468" s="60"/>
      <c r="GL2468" s="60"/>
      <c r="GM2468" s="60"/>
      <c r="GN2468" s="60"/>
      <c r="GO2468" s="63"/>
      <c r="GP2468" s="61"/>
      <c r="GQ2468" s="54"/>
      <c r="GR2468" s="54"/>
      <c r="GS2468" s="60"/>
      <c r="GT2468" s="60"/>
      <c r="GU2468" s="60"/>
      <c r="GV2468" s="60"/>
      <c r="GW2468" s="63"/>
      <c r="GX2468" s="61"/>
      <c r="GY2468" s="54"/>
      <c r="GZ2468" s="54"/>
      <c r="HA2468" s="60"/>
      <c r="HB2468" s="60"/>
      <c r="HC2468" s="60"/>
      <c r="HD2468" s="60"/>
      <c r="HE2468" s="63"/>
      <c r="HF2468" s="61"/>
      <c r="HG2468" s="54"/>
      <c r="HH2468" s="54"/>
      <c r="HI2468" s="60"/>
      <c r="HJ2468" s="60"/>
      <c r="HK2468" s="60"/>
      <c r="HL2468" s="60"/>
      <c r="HM2468" s="63"/>
      <c r="HN2468" s="61"/>
      <c r="HO2468" s="54"/>
      <c r="HP2468" s="54"/>
      <c r="HQ2468" s="60"/>
      <c r="HR2468" s="60"/>
      <c r="HS2468" s="60"/>
      <c r="HT2468" s="60"/>
      <c r="HU2468" s="63"/>
      <c r="HV2468" s="61"/>
      <c r="HW2468" s="54"/>
      <c r="HX2468" s="54"/>
      <c r="HY2468" s="60"/>
      <c r="HZ2468" s="60"/>
      <c r="IA2468" s="60"/>
      <c r="IB2468" s="60"/>
      <c r="IC2468" s="63"/>
      <c r="ID2468" s="61"/>
      <c r="IE2468" s="54"/>
      <c r="IF2468" s="54"/>
      <c r="IG2468" s="60"/>
      <c r="IH2468" s="60"/>
      <c r="II2468" s="60"/>
      <c r="IJ2468" s="60"/>
      <c r="IK2468" s="63"/>
      <c r="IL2468" s="61"/>
      <c r="IM2468" s="54"/>
      <c r="IN2468" s="54"/>
      <c r="IO2468" s="60"/>
      <c r="IP2468" s="60"/>
      <c r="IQ2468" s="60"/>
      <c r="IR2468" s="60"/>
      <c r="IS2468" s="63"/>
      <c r="IT2468" s="61"/>
      <c r="IU2468" s="54"/>
      <c r="IV2468" s="54"/>
      <c r="IW2468" s="60"/>
      <c r="IX2468" s="60"/>
      <c r="IY2468" s="60"/>
      <c r="IZ2468" s="60"/>
      <c r="JA2468" s="63"/>
      <c r="JB2468" s="61"/>
      <c r="JC2468" s="54"/>
      <c r="JD2468" s="54"/>
      <c r="JE2468" s="60"/>
      <c r="JF2468" s="60"/>
      <c r="JG2468" s="60"/>
      <c r="JH2468" s="60"/>
      <c r="JI2468" s="63"/>
      <c r="JJ2468" s="61"/>
      <c r="JK2468" s="54"/>
      <c r="JL2468" s="54"/>
      <c r="JM2468" s="60"/>
      <c r="JN2468" s="60"/>
      <c r="JO2468" s="60"/>
      <c r="JP2468" s="60"/>
      <c r="JQ2468" s="63"/>
      <c r="JR2468" s="61"/>
      <c r="JS2468" s="54"/>
      <c r="JT2468" s="54"/>
      <c r="JU2468" s="60"/>
      <c r="JV2468" s="60"/>
      <c r="JW2468" s="60"/>
      <c r="JX2468" s="60"/>
      <c r="JY2468" s="63"/>
      <c r="JZ2468" s="61"/>
      <c r="KA2468" s="54"/>
      <c r="KB2468" s="54"/>
      <c r="KC2468" s="60"/>
      <c r="KD2468" s="60"/>
      <c r="KE2468" s="60"/>
      <c r="KF2468" s="60"/>
      <c r="KG2468" s="63"/>
      <c r="KH2468" s="61"/>
      <c r="KI2468" s="54"/>
      <c r="KJ2468" s="54"/>
      <c r="KK2468" s="60"/>
      <c r="KL2468" s="60"/>
      <c r="KM2468" s="60"/>
      <c r="KN2468" s="60"/>
      <c r="KO2468" s="63"/>
      <c r="KP2468" s="61"/>
      <c r="KQ2468" s="54"/>
      <c r="KR2468" s="54"/>
      <c r="KS2468" s="60"/>
      <c r="KT2468" s="60"/>
      <c r="KU2468" s="60"/>
      <c r="KV2468" s="60"/>
      <c r="KW2468" s="63"/>
      <c r="KX2468" s="61"/>
      <c r="KY2468" s="54"/>
      <c r="KZ2468" s="54"/>
      <c r="LA2468" s="60"/>
      <c r="LB2468" s="60"/>
      <c r="LC2468" s="60"/>
      <c r="LD2468" s="60"/>
      <c r="LE2468" s="63"/>
      <c r="LF2468" s="61"/>
      <c r="LG2468" s="54"/>
      <c r="LH2468" s="54"/>
      <c r="LI2468" s="60"/>
      <c r="LJ2468" s="60"/>
      <c r="LK2468" s="60"/>
      <c r="LL2468" s="60"/>
      <c r="LM2468" s="63"/>
      <c r="LN2468" s="61"/>
      <c r="LO2468" s="54"/>
      <c r="LP2468" s="54"/>
      <c r="LQ2468" s="60"/>
      <c r="LR2468" s="60"/>
      <c r="LS2468" s="60"/>
      <c r="LT2468" s="60"/>
      <c r="LU2468" s="63"/>
      <c r="LV2468" s="61"/>
      <c r="LW2468" s="54"/>
      <c r="LX2468" s="54"/>
      <c r="LY2468" s="60"/>
      <c r="LZ2468" s="60"/>
      <c r="MA2468" s="60"/>
      <c r="MB2468" s="60"/>
      <c r="MC2468" s="63"/>
      <c r="MD2468" s="61"/>
      <c r="ME2468" s="54"/>
      <c r="MF2468" s="54"/>
      <c r="MG2468" s="60"/>
      <c r="MH2468" s="60"/>
      <c r="MI2468" s="60"/>
      <c r="MJ2468" s="60"/>
      <c r="MK2468" s="63"/>
      <c r="ML2468" s="61"/>
      <c r="MM2468" s="54"/>
      <c r="MN2468" s="54"/>
      <c r="MO2468" s="60"/>
      <c r="MP2468" s="60"/>
      <c r="MQ2468" s="60"/>
      <c r="MR2468" s="60"/>
      <c r="MS2468" s="63"/>
      <c r="MT2468" s="61"/>
      <c r="MU2468" s="54"/>
      <c r="MV2468" s="54"/>
      <c r="MW2468" s="60"/>
      <c r="MX2468" s="60"/>
      <c r="MY2468" s="60"/>
      <c r="MZ2468" s="60"/>
      <c r="NA2468" s="63"/>
      <c r="NB2468" s="61"/>
      <c r="NC2468" s="54"/>
      <c r="ND2468" s="54"/>
      <c r="NE2468" s="60"/>
      <c r="NF2468" s="60"/>
      <c r="NG2468" s="60"/>
      <c r="NH2468" s="60"/>
      <c r="NI2468" s="63"/>
      <c r="NJ2468" s="61"/>
      <c r="NK2468" s="54"/>
      <c r="NL2468" s="54"/>
      <c r="NM2468" s="60"/>
      <c r="NN2468" s="60"/>
      <c r="NO2468" s="60"/>
      <c r="NP2468" s="60"/>
      <c r="NQ2468" s="63"/>
      <c r="NR2468" s="61"/>
      <c r="NS2468" s="54"/>
      <c r="NT2468" s="54"/>
      <c r="NU2468" s="60"/>
      <c r="NV2468" s="60"/>
      <c r="NW2468" s="60"/>
      <c r="NX2468" s="60"/>
      <c r="NY2468" s="63"/>
      <c r="NZ2468" s="61"/>
      <c r="OA2468" s="54"/>
      <c r="OB2468" s="54"/>
      <c r="OC2468" s="60"/>
      <c r="OD2468" s="60"/>
      <c r="OE2468" s="60"/>
      <c r="OF2468" s="60"/>
      <c r="OG2468" s="63"/>
      <c r="OH2468" s="61"/>
      <c r="OI2468" s="54"/>
      <c r="OJ2468" s="54"/>
      <c r="OK2468" s="60"/>
      <c r="OL2468" s="60"/>
      <c r="OM2468" s="60"/>
      <c r="ON2468" s="60"/>
      <c r="OO2468" s="63"/>
      <c r="OP2468" s="61"/>
      <c r="OQ2468" s="54"/>
      <c r="OR2468" s="54"/>
      <c r="OS2468" s="60"/>
      <c r="OT2468" s="60"/>
      <c r="OU2468" s="60"/>
      <c r="OV2468" s="60"/>
      <c r="OW2468" s="63"/>
      <c r="OX2468" s="61"/>
      <c r="OY2468" s="54"/>
      <c r="OZ2468" s="54"/>
      <c r="PA2468" s="60"/>
      <c r="PB2468" s="60"/>
      <c r="PC2468" s="60"/>
      <c r="PD2468" s="60"/>
      <c r="PE2468" s="63"/>
      <c r="PF2468" s="61"/>
      <c r="PG2468" s="54"/>
      <c r="PH2468" s="54"/>
      <c r="PI2468" s="60"/>
      <c r="PJ2468" s="60"/>
      <c r="PK2468" s="60"/>
      <c r="PL2468" s="60"/>
      <c r="PM2468" s="63"/>
      <c r="PN2468" s="61"/>
      <c r="PO2468" s="54"/>
      <c r="PP2468" s="54"/>
      <c r="PQ2468" s="60"/>
      <c r="PR2468" s="60"/>
      <c r="PS2468" s="60"/>
      <c r="PT2468" s="60"/>
      <c r="PU2468" s="63"/>
      <c r="PV2468" s="61"/>
      <c r="PW2468" s="54"/>
      <c r="PX2468" s="54"/>
      <c r="PY2468" s="60"/>
      <c r="PZ2468" s="60"/>
      <c r="QA2468" s="60"/>
      <c r="QB2468" s="60"/>
      <c r="QC2468" s="63"/>
      <c r="QD2468" s="61"/>
      <c r="QE2468" s="54"/>
      <c r="QF2468" s="54"/>
      <c r="QG2468" s="60"/>
      <c r="QH2468" s="60"/>
      <c r="QI2468" s="60"/>
      <c r="QJ2468" s="60"/>
      <c r="QK2468" s="63"/>
      <c r="QL2468" s="61"/>
      <c r="QM2468" s="54"/>
      <c r="QN2468" s="54"/>
      <c r="QO2468" s="60"/>
      <c r="QP2468" s="60"/>
      <c r="QQ2468" s="60"/>
      <c r="QR2468" s="60"/>
      <c r="QS2468" s="63"/>
      <c r="QT2468" s="61"/>
      <c r="QU2468" s="54"/>
      <c r="QV2468" s="54"/>
      <c r="QW2468" s="60"/>
      <c r="QX2468" s="60"/>
      <c r="QY2468" s="60"/>
      <c r="QZ2468" s="60"/>
      <c r="RA2468" s="63"/>
      <c r="RB2468" s="61"/>
      <c r="RC2468" s="54"/>
      <c r="RD2468" s="54"/>
      <c r="RE2468" s="60"/>
      <c r="RF2468" s="60"/>
      <c r="RG2468" s="60"/>
      <c r="RH2468" s="60"/>
      <c r="RI2468" s="63"/>
      <c r="RJ2468" s="61"/>
      <c r="RK2468" s="54"/>
      <c r="RL2468" s="54"/>
      <c r="RM2468" s="60"/>
      <c r="RN2468" s="60"/>
      <c r="RO2468" s="60"/>
      <c r="RP2468" s="60"/>
      <c r="RQ2468" s="63"/>
      <c r="RR2468" s="61"/>
      <c r="RS2468" s="54"/>
      <c r="RT2468" s="54"/>
      <c r="RU2468" s="60"/>
      <c r="RV2468" s="60"/>
      <c r="RW2468" s="60"/>
      <c r="RX2468" s="60"/>
      <c r="RY2468" s="63"/>
      <c r="RZ2468" s="61"/>
      <c r="SA2468" s="54"/>
      <c r="SB2468" s="54"/>
      <c r="SC2468" s="60"/>
      <c r="SD2468" s="60"/>
      <c r="SE2468" s="60"/>
      <c r="SF2468" s="60"/>
      <c r="SG2468" s="63"/>
      <c r="SH2468" s="61"/>
      <c r="SI2468" s="54"/>
      <c r="SJ2468" s="54"/>
      <c r="SK2468" s="60"/>
      <c r="SL2468" s="60"/>
      <c r="SM2468" s="60"/>
      <c r="SN2468" s="60"/>
      <c r="SO2468" s="63"/>
      <c r="SP2468" s="61"/>
      <c r="SQ2468" s="54"/>
      <c r="SR2468" s="54"/>
      <c r="SS2468" s="60"/>
      <c r="ST2468" s="60"/>
      <c r="SU2468" s="60"/>
      <c r="SV2468" s="60"/>
      <c r="SW2468" s="63"/>
      <c r="SX2468" s="61"/>
      <c r="SY2468" s="54"/>
      <c r="SZ2468" s="54"/>
      <c r="TA2468" s="60"/>
      <c r="TB2468" s="60"/>
      <c r="TC2468" s="60"/>
      <c r="TD2468" s="60"/>
      <c r="TE2468" s="63"/>
      <c r="TF2468" s="61"/>
      <c r="TG2468" s="54"/>
      <c r="TH2468" s="54"/>
      <c r="TI2468" s="60"/>
      <c r="TJ2468" s="60"/>
      <c r="TK2468" s="60"/>
      <c r="TL2468" s="60"/>
      <c r="TM2468" s="63"/>
      <c r="TN2468" s="61"/>
      <c r="TO2468" s="54"/>
      <c r="TP2468" s="54"/>
      <c r="TQ2468" s="60"/>
      <c r="TR2468" s="60"/>
      <c r="TS2468" s="60"/>
      <c r="TT2468" s="60"/>
      <c r="TU2468" s="63"/>
      <c r="TV2468" s="61"/>
      <c r="TW2468" s="54"/>
      <c r="TX2468" s="54"/>
      <c r="TY2468" s="60"/>
      <c r="TZ2468" s="60"/>
      <c r="UA2468" s="60"/>
      <c r="UB2468" s="60"/>
      <c r="UC2468" s="63"/>
      <c r="UD2468" s="61"/>
      <c r="UE2468" s="54"/>
      <c r="UF2468" s="54"/>
      <c r="UG2468" s="60"/>
      <c r="UH2468" s="60"/>
      <c r="UI2468" s="60"/>
      <c r="UJ2468" s="60"/>
      <c r="UK2468" s="63"/>
      <c r="UL2468" s="61"/>
      <c r="UM2468" s="54"/>
      <c r="UN2468" s="54"/>
      <c r="UO2468" s="60"/>
      <c r="UP2468" s="60"/>
      <c r="UQ2468" s="60"/>
      <c r="UR2468" s="60"/>
      <c r="US2468" s="63"/>
      <c r="UT2468" s="61"/>
      <c r="UU2468" s="54"/>
      <c r="UV2468" s="54"/>
      <c r="UW2468" s="60"/>
      <c r="UX2468" s="60"/>
      <c r="UY2468" s="60"/>
      <c r="UZ2468" s="60"/>
      <c r="VA2468" s="63"/>
      <c r="VB2468" s="61"/>
      <c r="VC2468" s="54"/>
      <c r="VD2468" s="54"/>
      <c r="VE2468" s="60"/>
      <c r="VF2468" s="60"/>
      <c r="VG2468" s="60"/>
      <c r="VH2468" s="60"/>
      <c r="VI2468" s="63"/>
      <c r="VJ2468" s="61"/>
      <c r="VK2468" s="54"/>
      <c r="VL2468" s="54"/>
      <c r="VM2468" s="60"/>
      <c r="VN2468" s="60"/>
      <c r="VO2468" s="60"/>
      <c r="VP2468" s="60"/>
      <c r="VQ2468" s="63"/>
      <c r="VR2468" s="61"/>
      <c r="VS2468" s="54"/>
      <c r="VT2468" s="54"/>
      <c r="VU2468" s="60"/>
      <c r="VV2468" s="60"/>
      <c r="VW2468" s="60"/>
      <c r="VX2468" s="60"/>
      <c r="VY2468" s="63"/>
      <c r="VZ2468" s="61"/>
      <c r="WA2468" s="54"/>
      <c r="WB2468" s="54"/>
      <c r="WC2468" s="60"/>
      <c r="WD2468" s="60"/>
      <c r="WE2468" s="60"/>
      <c r="WF2468" s="60"/>
      <c r="WG2468" s="63"/>
      <c r="WH2468" s="61"/>
      <c r="WI2468" s="54"/>
      <c r="WJ2468" s="54"/>
      <c r="WK2468" s="60"/>
      <c r="WL2468" s="60"/>
      <c r="WM2468" s="60"/>
      <c r="WN2468" s="60"/>
      <c r="WO2468" s="63"/>
      <c r="WP2468" s="61"/>
      <c r="WQ2468" s="54"/>
      <c r="WR2468" s="54"/>
      <c r="WS2468" s="60"/>
      <c r="WT2468" s="60"/>
      <c r="WU2468" s="60"/>
      <c r="WV2468" s="60"/>
      <c r="WW2468" s="63"/>
      <c r="WX2468" s="61"/>
      <c r="WY2468" s="54"/>
      <c r="WZ2468" s="54"/>
      <c r="XA2468" s="60"/>
      <c r="XB2468" s="60"/>
      <c r="XC2468" s="60"/>
      <c r="XD2468" s="60"/>
      <c r="XE2468" s="63"/>
      <c r="XF2468" s="61"/>
      <c r="XG2468" s="54"/>
      <c r="XH2468" s="54"/>
      <c r="XI2468" s="60"/>
      <c r="XJ2468" s="60"/>
      <c r="XK2468" s="60"/>
      <c r="XL2468" s="60"/>
      <c r="XM2468" s="63"/>
      <c r="XN2468" s="61"/>
      <c r="XO2468" s="54"/>
      <c r="XP2468" s="54"/>
      <c r="XQ2468" s="60"/>
      <c r="XR2468" s="60"/>
      <c r="XS2468" s="60"/>
      <c r="XT2468" s="60"/>
      <c r="XU2468" s="63"/>
      <c r="XV2468" s="61"/>
      <c r="XW2468" s="54"/>
      <c r="XX2468" s="54"/>
      <c r="XY2468" s="60"/>
      <c r="XZ2468" s="60"/>
      <c r="YA2468" s="60"/>
      <c r="YB2468" s="60"/>
      <c r="YC2468" s="63"/>
      <c r="YD2468" s="61"/>
      <c r="YE2468" s="54"/>
      <c r="YF2468" s="54"/>
      <c r="YG2468" s="60"/>
      <c r="YH2468" s="60"/>
      <c r="YI2468" s="60"/>
      <c r="YJ2468" s="60"/>
      <c r="YK2468" s="63"/>
      <c r="YL2468" s="61"/>
      <c r="YM2468" s="54"/>
      <c r="YN2468" s="54"/>
      <c r="YO2468" s="60"/>
      <c r="YP2468" s="60"/>
      <c r="YQ2468" s="60"/>
      <c r="YR2468" s="60"/>
      <c r="YS2468" s="63"/>
      <c r="YT2468" s="61"/>
      <c r="YU2468" s="54"/>
      <c r="YV2468" s="54"/>
      <c r="YW2468" s="60"/>
      <c r="YX2468" s="60"/>
      <c r="YY2468" s="60"/>
      <c r="YZ2468" s="60"/>
      <c r="ZA2468" s="63"/>
      <c r="ZB2468" s="61"/>
      <c r="ZC2468" s="54"/>
      <c r="ZD2468" s="54"/>
      <c r="ZE2468" s="60"/>
      <c r="ZF2468" s="60"/>
      <c r="ZG2468" s="60"/>
      <c r="ZH2468" s="60"/>
      <c r="ZI2468" s="63"/>
      <c r="ZJ2468" s="61"/>
      <c r="ZK2468" s="54"/>
      <c r="ZL2468" s="54"/>
      <c r="ZM2468" s="60"/>
      <c r="ZN2468" s="60"/>
      <c r="ZO2468" s="60"/>
      <c r="ZP2468" s="60"/>
      <c r="ZQ2468" s="63"/>
      <c r="ZR2468" s="61"/>
      <c r="ZS2468" s="54"/>
      <c r="ZT2468" s="54"/>
      <c r="ZU2468" s="60"/>
      <c r="ZV2468" s="60"/>
      <c r="ZW2468" s="60"/>
      <c r="ZX2468" s="60"/>
      <c r="ZY2468" s="63"/>
      <c r="ZZ2468" s="61"/>
      <c r="AAA2468" s="54"/>
      <c r="AAB2468" s="54"/>
      <c r="AAC2468" s="60"/>
      <c r="AAD2468" s="60"/>
      <c r="AAE2468" s="60"/>
      <c r="AAF2468" s="60"/>
      <c r="AAG2468" s="63"/>
      <c r="AAH2468" s="61"/>
      <c r="AAI2468" s="54"/>
      <c r="AAJ2468" s="54"/>
      <c r="AAK2468" s="60"/>
      <c r="AAL2468" s="60"/>
      <c r="AAM2468" s="60"/>
      <c r="AAN2468" s="60"/>
      <c r="AAO2468" s="63"/>
      <c r="AAP2468" s="61"/>
      <c r="AAQ2468" s="54"/>
      <c r="AAR2468" s="54"/>
      <c r="AAS2468" s="60"/>
      <c r="AAT2468" s="60"/>
      <c r="AAU2468" s="60"/>
      <c r="AAV2468" s="60"/>
      <c r="AAW2468" s="63"/>
      <c r="AAX2468" s="61"/>
      <c r="AAY2468" s="54"/>
      <c r="AAZ2468" s="54"/>
      <c r="ABA2468" s="60"/>
      <c r="ABB2468" s="60"/>
      <c r="ABC2468" s="60"/>
      <c r="ABD2468" s="60"/>
      <c r="ABE2468" s="63"/>
      <c r="ABF2468" s="61"/>
      <c r="ABG2468" s="54"/>
      <c r="ABH2468" s="54"/>
      <c r="ABI2468" s="60"/>
      <c r="ABJ2468" s="60"/>
      <c r="ABK2468" s="60"/>
      <c r="ABL2468" s="60"/>
      <c r="ABM2468" s="63"/>
      <c r="ABN2468" s="61"/>
      <c r="ABO2468" s="54"/>
      <c r="ABP2468" s="54"/>
      <c r="ABQ2468" s="60"/>
      <c r="ABR2468" s="60"/>
      <c r="ABS2468" s="60"/>
      <c r="ABT2468" s="60"/>
      <c r="ABU2468" s="63"/>
      <c r="ABV2468" s="61"/>
      <c r="ABW2468" s="54"/>
      <c r="ABX2468" s="54"/>
      <c r="ABY2468" s="60"/>
      <c r="ABZ2468" s="60"/>
      <c r="ACA2468" s="60"/>
      <c r="ACB2468" s="60"/>
      <c r="ACC2468" s="63"/>
      <c r="ACD2468" s="61"/>
      <c r="ACE2468" s="54"/>
      <c r="ACF2468" s="54"/>
      <c r="ACG2468" s="60"/>
      <c r="ACH2468" s="60"/>
      <c r="ACI2468" s="60"/>
      <c r="ACJ2468" s="60"/>
      <c r="ACK2468" s="63"/>
      <c r="ACL2468" s="61"/>
      <c r="ACM2468" s="54"/>
      <c r="ACN2468" s="54"/>
      <c r="ACO2468" s="60"/>
      <c r="ACP2468" s="60"/>
      <c r="ACQ2468" s="60"/>
      <c r="ACR2468" s="60"/>
      <c r="ACS2468" s="63"/>
      <c r="ACT2468" s="61"/>
      <c r="ACU2468" s="54"/>
      <c r="ACV2468" s="54"/>
      <c r="ACW2468" s="60"/>
      <c r="ACX2468" s="60"/>
      <c r="ACY2468" s="60"/>
      <c r="ACZ2468" s="60"/>
      <c r="ADA2468" s="63"/>
      <c r="ADB2468" s="61"/>
      <c r="ADC2468" s="54"/>
      <c r="ADD2468" s="54"/>
      <c r="ADE2468" s="60"/>
      <c r="ADF2468" s="60"/>
      <c r="ADG2468" s="60"/>
      <c r="ADH2468" s="60"/>
      <c r="ADI2468" s="63"/>
      <c r="ADJ2468" s="61"/>
      <c r="ADK2468" s="54"/>
      <c r="ADL2468" s="54"/>
      <c r="ADM2468" s="60"/>
      <c r="ADN2468" s="60"/>
      <c r="ADO2468" s="60"/>
      <c r="ADP2468" s="60"/>
      <c r="ADQ2468" s="63"/>
      <c r="ADR2468" s="61"/>
      <c r="ADS2468" s="54"/>
      <c r="ADT2468" s="54"/>
      <c r="ADU2468" s="60"/>
      <c r="ADV2468" s="60"/>
      <c r="ADW2468" s="60"/>
      <c r="ADX2468" s="60"/>
      <c r="ADY2468" s="63"/>
      <c r="ADZ2468" s="61"/>
      <c r="AEA2468" s="54"/>
      <c r="AEB2468" s="54"/>
      <c r="AEC2468" s="60"/>
      <c r="AED2468" s="60"/>
      <c r="AEE2468" s="60"/>
      <c r="AEF2468" s="60"/>
      <c r="AEG2468" s="63"/>
      <c r="AEH2468" s="61"/>
      <c r="AEI2468" s="54"/>
      <c r="AEJ2468" s="54"/>
      <c r="AEK2468" s="60"/>
      <c r="AEL2468" s="60"/>
      <c r="AEM2468" s="60"/>
      <c r="AEN2468" s="60"/>
      <c r="AEO2468" s="63"/>
      <c r="AEP2468" s="61"/>
      <c r="AEQ2468" s="54"/>
      <c r="AER2468" s="54"/>
      <c r="AES2468" s="60"/>
      <c r="AET2468" s="60"/>
      <c r="AEU2468" s="60"/>
      <c r="AEV2468" s="60"/>
      <c r="AEW2468" s="63"/>
      <c r="AEX2468" s="61"/>
      <c r="AEY2468" s="54"/>
      <c r="AEZ2468" s="54"/>
      <c r="AFA2468" s="60"/>
      <c r="AFB2468" s="60"/>
      <c r="AFC2468" s="60"/>
      <c r="AFD2468" s="60"/>
      <c r="AFE2468" s="63"/>
      <c r="AFF2468" s="61"/>
      <c r="AFG2468" s="54"/>
      <c r="AFH2468" s="54"/>
      <c r="AFI2468" s="60"/>
      <c r="AFJ2468" s="60"/>
      <c r="AFK2468" s="60"/>
      <c r="AFL2468" s="60"/>
      <c r="AFM2468" s="63"/>
      <c r="AFN2468" s="61"/>
      <c r="AFO2468" s="54"/>
      <c r="AFP2468" s="54"/>
      <c r="AFQ2468" s="60"/>
      <c r="AFR2468" s="60"/>
      <c r="AFS2468" s="60"/>
      <c r="AFT2468" s="60"/>
      <c r="AFU2468" s="63"/>
      <c r="AFV2468" s="61"/>
      <c r="AFW2468" s="54"/>
      <c r="AFX2468" s="54"/>
      <c r="AFY2468" s="60"/>
      <c r="AFZ2468" s="60"/>
      <c r="AGA2468" s="60"/>
      <c r="AGB2468" s="60"/>
      <c r="AGC2468" s="63"/>
      <c r="AGD2468" s="61"/>
      <c r="AGE2468" s="54"/>
      <c r="AGF2468" s="54"/>
      <c r="AGG2468" s="60"/>
      <c r="AGH2468" s="60"/>
      <c r="AGI2468" s="60"/>
      <c r="AGJ2468" s="60"/>
      <c r="AGK2468" s="63"/>
      <c r="AGL2468" s="61"/>
      <c r="AGM2468" s="54"/>
      <c r="AGN2468" s="54"/>
      <c r="AGO2468" s="60"/>
      <c r="AGP2468" s="60"/>
      <c r="AGQ2468" s="60"/>
      <c r="AGR2468" s="60"/>
      <c r="AGS2468" s="63"/>
      <c r="AGT2468" s="61"/>
      <c r="AGU2468" s="54"/>
      <c r="AGV2468" s="54"/>
      <c r="AGW2468" s="60"/>
      <c r="AGX2468" s="60"/>
      <c r="AGY2468" s="60"/>
      <c r="AGZ2468" s="60"/>
      <c r="AHA2468" s="63"/>
      <c r="AHB2468" s="61"/>
      <c r="AHC2468" s="54"/>
      <c r="AHD2468" s="54"/>
      <c r="AHE2468" s="60"/>
      <c r="AHF2468" s="60"/>
      <c r="AHG2468" s="60"/>
      <c r="AHH2468" s="60"/>
      <c r="AHI2468" s="63"/>
      <c r="AHJ2468" s="61"/>
      <c r="AHK2468" s="54"/>
      <c r="AHL2468" s="54"/>
      <c r="AHM2468" s="60"/>
      <c r="AHN2468" s="60"/>
      <c r="AHO2468" s="60"/>
      <c r="AHP2468" s="60"/>
      <c r="AHQ2468" s="63"/>
      <c r="AHR2468" s="61"/>
      <c r="AHS2468" s="54"/>
      <c r="AHT2468" s="54"/>
      <c r="AHU2468" s="60"/>
      <c r="AHV2468" s="60"/>
      <c r="AHW2468" s="60"/>
      <c r="AHX2468" s="60"/>
      <c r="AHY2468" s="63"/>
      <c r="AHZ2468" s="61"/>
      <c r="AIA2468" s="54"/>
      <c r="AIB2468" s="54"/>
      <c r="AIC2468" s="60"/>
      <c r="AID2468" s="60"/>
      <c r="AIE2468" s="60"/>
      <c r="AIF2468" s="60"/>
      <c r="AIG2468" s="63"/>
      <c r="AIH2468" s="61"/>
      <c r="AII2468" s="54"/>
      <c r="AIJ2468" s="54"/>
      <c r="AIK2468" s="60"/>
      <c r="AIL2468" s="60"/>
      <c r="AIM2468" s="60"/>
      <c r="AIN2468" s="60"/>
      <c r="AIO2468" s="63"/>
      <c r="AIP2468" s="61"/>
      <c r="AIQ2468" s="54"/>
      <c r="AIR2468" s="54"/>
      <c r="AIS2468" s="60"/>
      <c r="AIT2468" s="60"/>
      <c r="AIU2468" s="60"/>
      <c r="AIV2468" s="60"/>
      <c r="AIW2468" s="63"/>
      <c r="AIX2468" s="61"/>
      <c r="AIY2468" s="54"/>
      <c r="AIZ2468" s="54"/>
      <c r="AJA2468" s="60"/>
      <c r="AJB2468" s="60"/>
      <c r="AJC2468" s="60"/>
      <c r="AJD2468" s="60"/>
      <c r="AJE2468" s="63"/>
      <c r="AJF2468" s="61"/>
      <c r="AJG2468" s="54"/>
      <c r="AJH2468" s="54"/>
      <c r="AJI2468" s="60"/>
      <c r="AJJ2468" s="60"/>
      <c r="AJK2468" s="60"/>
      <c r="AJL2468" s="60"/>
      <c r="AJM2468" s="63"/>
      <c r="AJN2468" s="61"/>
      <c r="AJO2468" s="54"/>
      <c r="AJP2468" s="54"/>
      <c r="AJQ2468" s="60"/>
      <c r="AJR2468" s="60"/>
      <c r="AJS2468" s="60"/>
      <c r="AJT2468" s="60"/>
      <c r="AJU2468" s="63"/>
      <c r="AJV2468" s="61"/>
      <c r="AJW2468" s="54"/>
      <c r="AJX2468" s="54"/>
      <c r="AJY2468" s="60"/>
      <c r="AJZ2468" s="60"/>
      <c r="AKA2468" s="60"/>
      <c r="AKB2468" s="60"/>
      <c r="AKC2468" s="63"/>
      <c r="AKD2468" s="61"/>
      <c r="AKE2468" s="54"/>
      <c r="AKF2468" s="54"/>
      <c r="AKG2468" s="60"/>
      <c r="AKH2468" s="60"/>
      <c r="AKI2468" s="60"/>
      <c r="AKJ2468" s="60"/>
      <c r="AKK2468" s="63"/>
      <c r="AKL2468" s="61"/>
      <c r="AKM2468" s="54"/>
      <c r="AKN2468" s="54"/>
      <c r="AKO2468" s="60"/>
      <c r="AKP2468" s="60"/>
      <c r="AKQ2468" s="60"/>
      <c r="AKR2468" s="60"/>
      <c r="AKS2468" s="63"/>
      <c r="AKT2468" s="61"/>
      <c r="AKU2468" s="54"/>
      <c r="AKV2468" s="54"/>
      <c r="AKW2468" s="60"/>
      <c r="AKX2468" s="60"/>
      <c r="AKY2468" s="60"/>
      <c r="AKZ2468" s="60"/>
      <c r="ALA2468" s="63"/>
      <c r="ALB2468" s="61"/>
      <c r="ALC2468" s="54"/>
      <c r="ALD2468" s="54"/>
      <c r="ALE2468" s="60"/>
      <c r="ALF2468" s="60"/>
      <c r="ALG2468" s="60"/>
      <c r="ALH2468" s="60"/>
      <c r="ALI2468" s="63"/>
      <c r="ALJ2468" s="61"/>
      <c r="ALK2468" s="54"/>
      <c r="ALL2468" s="54"/>
      <c r="ALM2468" s="60"/>
      <c r="ALN2468" s="60"/>
      <c r="ALO2468" s="60"/>
      <c r="ALP2468" s="60"/>
      <c r="ALQ2468" s="63"/>
      <c r="ALR2468" s="61"/>
      <c r="ALS2468" s="54"/>
      <c r="ALT2468" s="54"/>
      <c r="ALU2468" s="60"/>
      <c r="ALV2468" s="60"/>
      <c r="ALW2468" s="60"/>
      <c r="ALX2468" s="60"/>
      <c r="ALY2468" s="63"/>
      <c r="ALZ2468" s="61"/>
      <c r="AMA2468" s="54"/>
      <c r="AMB2468" s="54"/>
      <c r="AMC2468" s="60"/>
      <c r="AMD2468" s="60"/>
      <c r="AME2468" s="60"/>
      <c r="AMF2468" s="60"/>
      <c r="AMG2468" s="63"/>
      <c r="AMH2468" s="61"/>
      <c r="AMI2468" s="54"/>
      <c r="AMJ2468" s="54"/>
      <c r="AMK2468" s="60"/>
      <c r="AML2468" s="60"/>
      <c r="AMM2468" s="60"/>
      <c r="AMN2468" s="60"/>
      <c r="AMO2468" s="63"/>
      <c r="AMP2468" s="61"/>
      <c r="AMQ2468" s="54"/>
      <c r="AMR2468" s="54"/>
      <c r="AMS2468" s="60"/>
      <c r="AMT2468" s="60"/>
      <c r="AMU2468" s="60"/>
      <c r="AMV2468" s="60"/>
      <c r="AMW2468" s="63"/>
      <c r="AMX2468" s="61"/>
      <c r="AMY2468" s="54"/>
      <c r="AMZ2468" s="54"/>
      <c r="ANA2468" s="60"/>
      <c r="ANB2468" s="60"/>
      <c r="ANC2468" s="60"/>
      <c r="AND2468" s="60"/>
      <c r="ANE2468" s="63"/>
      <c r="ANF2468" s="61"/>
      <c r="ANG2468" s="54"/>
      <c r="ANH2468" s="54"/>
      <c r="ANI2468" s="60"/>
      <c r="ANJ2468" s="60"/>
      <c r="ANK2468" s="60"/>
      <c r="ANL2468" s="60"/>
      <c r="ANM2468" s="63"/>
      <c r="ANN2468" s="61"/>
      <c r="ANO2468" s="54"/>
      <c r="ANP2468" s="54"/>
      <c r="ANQ2468" s="60"/>
      <c r="ANR2468" s="60"/>
      <c r="ANS2468" s="60"/>
      <c r="ANT2468" s="60"/>
      <c r="ANU2468" s="63"/>
      <c r="ANV2468" s="61"/>
      <c r="ANW2468" s="54"/>
      <c r="ANX2468" s="54"/>
      <c r="ANY2468" s="60"/>
      <c r="ANZ2468" s="60"/>
      <c r="AOA2468" s="60"/>
      <c r="AOB2468" s="60"/>
      <c r="AOC2468" s="63"/>
      <c r="AOD2468" s="61"/>
      <c r="AOE2468" s="54"/>
      <c r="AOF2468" s="54"/>
      <c r="AOG2468" s="60"/>
      <c r="AOH2468" s="60"/>
      <c r="AOI2468" s="60"/>
      <c r="AOJ2468" s="60"/>
      <c r="AOK2468" s="63"/>
      <c r="AOL2468" s="61"/>
      <c r="AOM2468" s="54"/>
      <c r="AON2468" s="54"/>
      <c r="AOO2468" s="60"/>
      <c r="AOP2468" s="60"/>
      <c r="AOQ2468" s="60"/>
      <c r="AOR2468" s="60"/>
      <c r="AOS2468" s="63"/>
      <c r="AOT2468" s="61"/>
      <c r="AOU2468" s="54"/>
      <c r="AOV2468" s="54"/>
      <c r="AOW2468" s="60"/>
      <c r="AOX2468" s="60"/>
      <c r="AOY2468" s="60"/>
      <c r="AOZ2468" s="60"/>
      <c r="APA2468" s="63"/>
      <c r="APB2468" s="61"/>
      <c r="APC2468" s="54"/>
      <c r="APD2468" s="54"/>
      <c r="APE2468" s="60"/>
      <c r="APF2468" s="60"/>
      <c r="APG2468" s="60"/>
      <c r="APH2468" s="60"/>
      <c r="API2468" s="63"/>
      <c r="APJ2468" s="61"/>
      <c r="APK2468" s="54"/>
      <c r="APL2468" s="54"/>
      <c r="APM2468" s="60"/>
      <c r="APN2468" s="60"/>
      <c r="APO2468" s="60"/>
      <c r="APP2468" s="60"/>
      <c r="APQ2468" s="63"/>
      <c r="APR2468" s="61"/>
      <c r="APS2468" s="54"/>
      <c r="APT2468" s="54"/>
      <c r="APU2468" s="60"/>
      <c r="APV2468" s="60"/>
      <c r="APW2468" s="60"/>
      <c r="APX2468" s="60"/>
      <c r="APY2468" s="63"/>
      <c r="APZ2468" s="61"/>
      <c r="AQA2468" s="54"/>
      <c r="AQB2468" s="54"/>
      <c r="AQC2468" s="60"/>
      <c r="AQD2468" s="60"/>
      <c r="AQE2468" s="60"/>
      <c r="AQF2468" s="60"/>
      <c r="AQG2468" s="63"/>
      <c r="AQH2468" s="61"/>
      <c r="AQI2468" s="54"/>
      <c r="AQJ2468" s="54"/>
      <c r="AQK2468" s="60"/>
      <c r="AQL2468" s="60"/>
      <c r="AQM2468" s="60"/>
      <c r="AQN2468" s="60"/>
      <c r="AQO2468" s="63"/>
      <c r="AQP2468" s="61"/>
      <c r="AQQ2468" s="54"/>
      <c r="AQR2468" s="54"/>
      <c r="AQS2468" s="60"/>
      <c r="AQT2468" s="60"/>
      <c r="AQU2468" s="60"/>
      <c r="AQV2468" s="60"/>
      <c r="AQW2468" s="63"/>
      <c r="AQX2468" s="61"/>
      <c r="AQY2468" s="54"/>
      <c r="AQZ2468" s="54"/>
      <c r="ARA2468" s="60"/>
      <c r="ARB2468" s="60"/>
      <c r="ARC2468" s="60"/>
      <c r="ARD2468" s="60"/>
      <c r="ARE2468" s="63"/>
      <c r="ARF2468" s="61"/>
      <c r="ARG2468" s="54"/>
      <c r="ARH2468" s="54"/>
      <c r="ARI2468" s="60"/>
      <c r="ARJ2468" s="60"/>
      <c r="ARK2468" s="60"/>
      <c r="ARL2468" s="60"/>
      <c r="ARM2468" s="63"/>
      <c r="ARN2468" s="61"/>
      <c r="ARO2468" s="54"/>
      <c r="ARP2468" s="54"/>
      <c r="ARQ2468" s="60"/>
      <c r="ARR2468" s="60"/>
      <c r="ARS2468" s="60"/>
      <c r="ART2468" s="60"/>
      <c r="ARU2468" s="63"/>
      <c r="ARV2468" s="61"/>
      <c r="ARW2468" s="54"/>
      <c r="ARX2468" s="54"/>
      <c r="ARY2468" s="60"/>
      <c r="ARZ2468" s="60"/>
      <c r="ASA2468" s="60"/>
      <c r="ASB2468" s="60"/>
      <c r="ASC2468" s="63"/>
      <c r="ASD2468" s="61"/>
      <c r="ASE2468" s="54"/>
      <c r="ASF2468" s="54"/>
      <c r="ASG2468" s="60"/>
      <c r="ASH2468" s="60"/>
      <c r="ASI2468" s="60"/>
      <c r="ASJ2468" s="60"/>
      <c r="ASK2468" s="63"/>
      <c r="ASL2468" s="61"/>
      <c r="ASM2468" s="54"/>
      <c r="ASN2468" s="54"/>
      <c r="ASO2468" s="60"/>
      <c r="ASP2468" s="60"/>
      <c r="ASQ2468" s="60"/>
      <c r="ASR2468" s="60"/>
      <c r="ASS2468" s="63"/>
      <c r="AST2468" s="61"/>
      <c r="ASU2468" s="54"/>
      <c r="ASV2468" s="54"/>
      <c r="ASW2468" s="60"/>
      <c r="ASX2468" s="60"/>
      <c r="ASY2468" s="60"/>
      <c r="ASZ2468" s="60"/>
      <c r="ATA2468" s="63"/>
      <c r="ATB2468" s="61"/>
      <c r="ATC2468" s="54"/>
      <c r="ATD2468" s="54"/>
      <c r="ATE2468" s="60"/>
      <c r="ATF2468" s="60"/>
      <c r="ATG2468" s="60"/>
      <c r="ATH2468" s="60"/>
      <c r="ATI2468" s="63"/>
      <c r="ATJ2468" s="61"/>
      <c r="ATK2468" s="54"/>
      <c r="ATL2468" s="54"/>
      <c r="ATM2468" s="60"/>
      <c r="ATN2468" s="60"/>
      <c r="ATO2468" s="60"/>
      <c r="ATP2468" s="60"/>
      <c r="ATQ2468" s="63"/>
      <c r="ATR2468" s="61"/>
      <c r="ATS2468" s="54"/>
      <c r="ATT2468" s="54"/>
      <c r="ATU2468" s="60"/>
      <c r="ATV2468" s="60"/>
      <c r="ATW2468" s="60"/>
      <c r="ATX2468" s="60"/>
      <c r="ATY2468" s="63"/>
      <c r="ATZ2468" s="61"/>
      <c r="AUA2468" s="54"/>
      <c r="AUB2468" s="54"/>
      <c r="AUC2468" s="60"/>
      <c r="AUD2468" s="60"/>
      <c r="AUE2468" s="60"/>
      <c r="AUF2468" s="60"/>
      <c r="AUG2468" s="63"/>
      <c r="AUH2468" s="61"/>
      <c r="AUI2468" s="54"/>
      <c r="AUJ2468" s="54"/>
      <c r="AUK2468" s="60"/>
      <c r="AUL2468" s="60"/>
      <c r="AUM2468" s="60"/>
      <c r="AUN2468" s="60"/>
      <c r="AUO2468" s="63"/>
      <c r="AUP2468" s="61"/>
      <c r="AUQ2468" s="54"/>
      <c r="AUR2468" s="54"/>
      <c r="AUS2468" s="60"/>
      <c r="AUT2468" s="60"/>
      <c r="AUU2468" s="60"/>
      <c r="AUV2468" s="60"/>
      <c r="AUW2468" s="63"/>
      <c r="AUX2468" s="61"/>
      <c r="AUY2468" s="54"/>
      <c r="AUZ2468" s="54"/>
      <c r="AVA2468" s="60"/>
      <c r="AVB2468" s="60"/>
      <c r="AVC2468" s="60"/>
      <c r="AVD2468" s="60"/>
      <c r="AVE2468" s="63"/>
      <c r="AVF2468" s="61"/>
      <c r="AVG2468" s="54"/>
      <c r="AVH2468" s="54"/>
      <c r="AVI2468" s="60"/>
      <c r="AVJ2468" s="60"/>
      <c r="AVK2468" s="60"/>
      <c r="AVL2468" s="60"/>
      <c r="AVM2468" s="63"/>
      <c r="AVN2468" s="61"/>
      <c r="AVO2468" s="54"/>
      <c r="AVP2468" s="54"/>
      <c r="AVQ2468" s="60"/>
      <c r="AVR2468" s="60"/>
      <c r="AVS2468" s="60"/>
      <c r="AVT2468" s="60"/>
      <c r="AVU2468" s="63"/>
      <c r="AVV2468" s="61"/>
      <c r="AVW2468" s="54"/>
      <c r="AVX2468" s="54"/>
      <c r="AVY2468" s="60"/>
      <c r="AVZ2468" s="60"/>
      <c r="AWA2468" s="60"/>
      <c r="AWB2468" s="60"/>
      <c r="AWC2468" s="63"/>
      <c r="AWD2468" s="61"/>
      <c r="AWE2468" s="54"/>
      <c r="AWF2468" s="54"/>
      <c r="AWG2468" s="60"/>
      <c r="AWH2468" s="60"/>
      <c r="AWI2468" s="60"/>
      <c r="AWJ2468" s="60"/>
      <c r="AWK2468" s="63"/>
      <c r="AWL2468" s="61"/>
      <c r="AWM2468" s="54"/>
      <c r="AWN2468" s="54"/>
      <c r="AWO2468" s="60"/>
      <c r="AWP2468" s="60"/>
      <c r="AWQ2468" s="60"/>
      <c r="AWR2468" s="60"/>
      <c r="AWS2468" s="63"/>
      <c r="AWT2468" s="61"/>
      <c r="AWU2468" s="54"/>
      <c r="AWV2468" s="54"/>
      <c r="AWW2468" s="60"/>
      <c r="AWX2468" s="60"/>
      <c r="AWY2468" s="60"/>
      <c r="AWZ2468" s="60"/>
      <c r="AXA2468" s="63"/>
      <c r="AXB2468" s="61"/>
      <c r="AXC2468" s="54"/>
      <c r="AXD2468" s="54"/>
      <c r="AXE2468" s="60"/>
      <c r="AXF2468" s="60"/>
      <c r="AXG2468" s="60"/>
      <c r="AXH2468" s="60"/>
      <c r="AXI2468" s="63"/>
      <c r="AXJ2468" s="61"/>
      <c r="AXK2468" s="54"/>
      <c r="AXL2468" s="54"/>
      <c r="AXM2468" s="60"/>
      <c r="AXN2468" s="60"/>
      <c r="AXO2468" s="60"/>
      <c r="AXP2468" s="60"/>
      <c r="AXQ2468" s="63"/>
      <c r="AXR2468" s="61"/>
      <c r="AXS2468" s="54"/>
      <c r="AXT2468" s="54"/>
      <c r="AXU2468" s="60"/>
      <c r="AXV2468" s="60"/>
      <c r="AXW2468" s="60"/>
      <c r="AXX2468" s="60"/>
      <c r="AXY2468" s="63"/>
      <c r="AXZ2468" s="61"/>
      <c r="AYA2468" s="54"/>
      <c r="AYB2468" s="54"/>
      <c r="AYC2468" s="60"/>
      <c r="AYD2468" s="60"/>
      <c r="AYE2468" s="60"/>
      <c r="AYF2468" s="60"/>
      <c r="AYG2468" s="63"/>
      <c r="AYH2468" s="61"/>
      <c r="AYI2468" s="54"/>
      <c r="AYJ2468" s="54"/>
      <c r="AYK2468" s="60"/>
      <c r="AYL2468" s="60"/>
      <c r="AYM2468" s="60"/>
      <c r="AYN2468" s="60"/>
      <c r="AYO2468" s="63"/>
      <c r="AYP2468" s="61"/>
      <c r="AYQ2468" s="54"/>
      <c r="AYR2468" s="54"/>
      <c r="AYS2468" s="60"/>
      <c r="AYT2468" s="60"/>
      <c r="AYU2468" s="60"/>
      <c r="AYV2468" s="60"/>
      <c r="AYW2468" s="63"/>
      <c r="AYX2468" s="61"/>
      <c r="AYY2468" s="54"/>
      <c r="AYZ2468" s="54"/>
      <c r="AZA2468" s="60"/>
      <c r="AZB2468" s="60"/>
      <c r="AZC2468" s="60"/>
      <c r="AZD2468" s="60"/>
      <c r="AZE2468" s="63"/>
      <c r="AZF2468" s="61"/>
      <c r="AZG2468" s="54"/>
      <c r="AZH2468" s="54"/>
      <c r="AZI2468" s="60"/>
      <c r="AZJ2468" s="60"/>
      <c r="AZK2468" s="60"/>
      <c r="AZL2468" s="60"/>
      <c r="AZM2468" s="63"/>
      <c r="AZN2468" s="61"/>
      <c r="AZO2468" s="54"/>
      <c r="AZP2468" s="54"/>
      <c r="AZQ2468" s="60"/>
      <c r="AZR2468" s="60"/>
      <c r="AZS2468" s="60"/>
      <c r="AZT2468" s="60"/>
      <c r="AZU2468" s="63"/>
      <c r="AZV2468" s="61"/>
      <c r="AZW2468" s="54"/>
      <c r="AZX2468" s="54"/>
      <c r="AZY2468" s="60"/>
      <c r="AZZ2468" s="60"/>
      <c r="BAA2468" s="60"/>
      <c r="BAB2468" s="60"/>
      <c r="BAC2468" s="63"/>
      <c r="BAD2468" s="61"/>
      <c r="BAE2468" s="54"/>
      <c r="BAF2468" s="54"/>
      <c r="BAG2468" s="60"/>
      <c r="BAH2468" s="60"/>
      <c r="BAI2468" s="60"/>
      <c r="BAJ2468" s="60"/>
      <c r="BAK2468" s="63"/>
      <c r="BAL2468" s="61"/>
      <c r="BAM2468" s="54"/>
      <c r="BAN2468" s="54"/>
      <c r="BAO2468" s="60"/>
      <c r="BAP2468" s="60"/>
      <c r="BAQ2468" s="60"/>
      <c r="BAR2468" s="60"/>
      <c r="BAS2468" s="63"/>
      <c r="BAT2468" s="61"/>
      <c r="BAU2468" s="54"/>
      <c r="BAV2468" s="54"/>
      <c r="BAW2468" s="60"/>
      <c r="BAX2468" s="60"/>
      <c r="BAY2468" s="60"/>
      <c r="BAZ2468" s="60"/>
      <c r="BBA2468" s="63"/>
      <c r="BBB2468" s="61"/>
      <c r="BBC2468" s="54"/>
      <c r="BBD2468" s="54"/>
      <c r="BBE2468" s="60"/>
      <c r="BBF2468" s="60"/>
      <c r="BBG2468" s="60"/>
      <c r="BBH2468" s="60"/>
      <c r="BBI2468" s="63"/>
      <c r="BBJ2468" s="61"/>
      <c r="BBK2468" s="54"/>
      <c r="BBL2468" s="54"/>
      <c r="BBM2468" s="60"/>
      <c r="BBN2468" s="60"/>
      <c r="BBO2468" s="60"/>
      <c r="BBP2468" s="60"/>
      <c r="BBQ2468" s="63"/>
      <c r="BBR2468" s="61"/>
      <c r="BBS2468" s="54"/>
      <c r="BBT2468" s="54"/>
      <c r="BBU2468" s="60"/>
      <c r="BBV2468" s="60"/>
      <c r="BBW2468" s="60"/>
      <c r="BBX2468" s="60"/>
      <c r="BBY2468" s="63"/>
      <c r="BBZ2468" s="61"/>
      <c r="BCA2468" s="54"/>
      <c r="BCB2468" s="54"/>
      <c r="BCC2468" s="60"/>
      <c r="BCD2468" s="60"/>
      <c r="BCE2468" s="60"/>
      <c r="BCF2468" s="60"/>
      <c r="BCG2468" s="63"/>
      <c r="BCH2468" s="61"/>
      <c r="BCI2468" s="54"/>
      <c r="BCJ2468" s="54"/>
      <c r="BCK2468" s="60"/>
      <c r="BCL2468" s="60"/>
      <c r="BCM2468" s="60"/>
      <c r="BCN2468" s="60"/>
      <c r="BCO2468" s="63"/>
      <c r="BCP2468" s="61"/>
      <c r="BCQ2468" s="54"/>
      <c r="BCR2468" s="54"/>
      <c r="BCS2468" s="60"/>
      <c r="BCT2468" s="60"/>
      <c r="BCU2468" s="60"/>
      <c r="BCV2468" s="60"/>
      <c r="BCW2468" s="63"/>
      <c r="BCX2468" s="61"/>
      <c r="BCY2468" s="54"/>
      <c r="BCZ2468" s="54"/>
      <c r="BDA2468" s="60"/>
      <c r="BDB2468" s="60"/>
      <c r="BDC2468" s="60"/>
      <c r="BDD2468" s="60"/>
      <c r="BDE2468" s="63"/>
      <c r="BDF2468" s="61"/>
      <c r="BDG2468" s="54"/>
      <c r="BDH2468" s="54"/>
      <c r="BDI2468" s="60"/>
      <c r="BDJ2468" s="60"/>
      <c r="BDK2468" s="60"/>
      <c r="BDL2468" s="60"/>
      <c r="BDM2468" s="63"/>
      <c r="BDN2468" s="61"/>
      <c r="BDO2468" s="54"/>
      <c r="BDP2468" s="54"/>
      <c r="BDQ2468" s="60"/>
      <c r="BDR2468" s="60"/>
      <c r="BDS2468" s="60"/>
      <c r="BDT2468" s="60"/>
      <c r="BDU2468" s="63"/>
      <c r="BDV2468" s="61"/>
      <c r="BDW2468" s="54"/>
      <c r="BDX2468" s="54"/>
      <c r="BDY2468" s="60"/>
      <c r="BDZ2468" s="60"/>
      <c r="BEA2468" s="60"/>
      <c r="BEB2468" s="60"/>
      <c r="BEC2468" s="63"/>
      <c r="BED2468" s="61"/>
      <c r="BEE2468" s="54"/>
      <c r="BEF2468" s="54"/>
      <c r="BEG2468" s="60"/>
      <c r="BEH2468" s="60"/>
      <c r="BEI2468" s="60"/>
      <c r="BEJ2468" s="60"/>
      <c r="BEK2468" s="63"/>
      <c r="BEL2468" s="61"/>
      <c r="BEM2468" s="54"/>
      <c r="BEN2468" s="54"/>
      <c r="BEO2468" s="60"/>
      <c r="BEP2468" s="60"/>
      <c r="BEQ2468" s="60"/>
      <c r="BER2468" s="60"/>
      <c r="BES2468" s="63"/>
      <c r="BET2468" s="61"/>
      <c r="BEU2468" s="54"/>
      <c r="BEV2468" s="54"/>
      <c r="BEW2468" s="60"/>
      <c r="BEX2468" s="60"/>
      <c r="BEY2468" s="60"/>
      <c r="BEZ2468" s="60"/>
      <c r="BFA2468" s="63"/>
      <c r="BFB2468" s="61"/>
      <c r="BFC2468" s="54"/>
      <c r="BFD2468" s="54"/>
      <c r="BFE2468" s="60"/>
      <c r="BFF2468" s="60"/>
      <c r="BFG2468" s="60"/>
      <c r="BFH2468" s="60"/>
      <c r="BFI2468" s="63"/>
      <c r="BFJ2468" s="61"/>
      <c r="BFK2468" s="54"/>
      <c r="BFL2468" s="54"/>
      <c r="BFM2468" s="60"/>
      <c r="BFN2468" s="60"/>
      <c r="BFO2468" s="60"/>
      <c r="BFP2468" s="60"/>
      <c r="BFQ2468" s="63"/>
      <c r="BFR2468" s="61"/>
      <c r="BFS2468" s="54"/>
      <c r="BFT2468" s="54"/>
      <c r="BFU2468" s="60"/>
      <c r="BFV2468" s="60"/>
      <c r="BFW2468" s="60"/>
      <c r="BFX2468" s="60"/>
      <c r="BFY2468" s="63"/>
      <c r="BFZ2468" s="61"/>
      <c r="BGA2468" s="54"/>
      <c r="BGB2468" s="54"/>
      <c r="BGC2468" s="60"/>
      <c r="BGD2468" s="60"/>
      <c r="BGE2468" s="60"/>
      <c r="BGF2468" s="60"/>
      <c r="BGG2468" s="63"/>
      <c r="BGH2468" s="61"/>
      <c r="BGI2468" s="54"/>
      <c r="BGJ2468" s="54"/>
      <c r="BGK2468" s="60"/>
      <c r="BGL2468" s="60"/>
      <c r="BGM2468" s="60"/>
      <c r="BGN2468" s="60"/>
      <c r="BGO2468" s="63"/>
      <c r="BGP2468" s="61"/>
      <c r="BGQ2468" s="54"/>
      <c r="BGR2468" s="54"/>
      <c r="BGS2468" s="60"/>
      <c r="BGT2468" s="60"/>
      <c r="BGU2468" s="60"/>
      <c r="BGV2468" s="60"/>
      <c r="BGW2468" s="63"/>
      <c r="BGX2468" s="61"/>
      <c r="BGY2468" s="54"/>
      <c r="BGZ2468" s="54"/>
      <c r="BHA2468" s="60"/>
      <c r="BHB2468" s="60"/>
      <c r="BHC2468" s="60"/>
      <c r="BHD2468" s="60"/>
      <c r="BHE2468" s="63"/>
      <c r="BHF2468" s="61"/>
      <c r="BHG2468" s="54"/>
      <c r="BHH2468" s="54"/>
      <c r="BHI2468" s="60"/>
      <c r="BHJ2468" s="60"/>
      <c r="BHK2468" s="60"/>
      <c r="BHL2468" s="60"/>
      <c r="BHM2468" s="63"/>
      <c r="BHN2468" s="61"/>
      <c r="BHO2468" s="54"/>
      <c r="BHP2468" s="54"/>
      <c r="BHQ2468" s="60"/>
      <c r="BHR2468" s="60"/>
      <c r="BHS2468" s="60"/>
      <c r="BHT2468" s="60"/>
      <c r="BHU2468" s="63"/>
      <c r="BHV2468" s="61"/>
      <c r="BHW2468" s="54"/>
      <c r="BHX2468" s="54"/>
      <c r="BHY2468" s="60"/>
      <c r="BHZ2468" s="60"/>
      <c r="BIA2468" s="60"/>
      <c r="BIB2468" s="60"/>
      <c r="BIC2468" s="63"/>
      <c r="BID2468" s="61"/>
      <c r="BIE2468" s="54"/>
      <c r="BIF2468" s="54"/>
      <c r="BIG2468" s="60"/>
      <c r="BIH2468" s="60"/>
      <c r="BII2468" s="60"/>
      <c r="BIJ2468" s="60"/>
      <c r="BIK2468" s="63"/>
      <c r="BIL2468" s="61"/>
      <c r="BIM2468" s="54"/>
      <c r="BIN2468" s="54"/>
      <c r="BIO2468" s="60"/>
      <c r="BIP2468" s="60"/>
      <c r="BIQ2468" s="60"/>
      <c r="BIR2468" s="60"/>
      <c r="BIS2468" s="63"/>
      <c r="BIT2468" s="61"/>
      <c r="BIU2468" s="54"/>
      <c r="BIV2468" s="54"/>
      <c r="BIW2468" s="60"/>
      <c r="BIX2468" s="60"/>
      <c r="BIY2468" s="60"/>
      <c r="BIZ2468" s="60"/>
      <c r="BJA2468" s="63"/>
      <c r="BJB2468" s="61"/>
      <c r="BJC2468" s="54"/>
      <c r="BJD2468" s="54"/>
      <c r="BJE2468" s="60"/>
      <c r="BJF2468" s="60"/>
      <c r="BJG2468" s="60"/>
      <c r="BJH2468" s="60"/>
      <c r="BJI2468" s="63"/>
      <c r="BJJ2468" s="61"/>
      <c r="BJK2468" s="54"/>
      <c r="BJL2468" s="54"/>
      <c r="BJM2468" s="60"/>
      <c r="BJN2468" s="60"/>
      <c r="BJO2468" s="60"/>
      <c r="BJP2468" s="60"/>
      <c r="BJQ2468" s="63"/>
      <c r="BJR2468" s="61"/>
      <c r="BJS2468" s="54"/>
      <c r="BJT2468" s="54"/>
      <c r="BJU2468" s="60"/>
      <c r="BJV2468" s="60"/>
      <c r="BJW2468" s="60"/>
      <c r="BJX2468" s="60"/>
      <c r="BJY2468" s="63"/>
      <c r="BJZ2468" s="61"/>
      <c r="BKA2468" s="54"/>
      <c r="BKB2468" s="54"/>
      <c r="BKC2468" s="60"/>
      <c r="BKD2468" s="60"/>
      <c r="BKE2468" s="60"/>
      <c r="BKF2468" s="60"/>
      <c r="BKG2468" s="63"/>
      <c r="BKH2468" s="61"/>
      <c r="BKI2468" s="54"/>
      <c r="BKJ2468" s="54"/>
      <c r="BKK2468" s="60"/>
      <c r="BKL2468" s="60"/>
      <c r="BKM2468" s="60"/>
      <c r="BKN2468" s="60"/>
      <c r="BKO2468" s="63"/>
      <c r="BKP2468" s="61"/>
      <c r="BKQ2468" s="54"/>
      <c r="BKR2468" s="54"/>
      <c r="BKS2468" s="60"/>
      <c r="BKT2468" s="60"/>
      <c r="BKU2468" s="60"/>
      <c r="BKV2468" s="60"/>
      <c r="BKW2468" s="63"/>
      <c r="BKX2468" s="61"/>
      <c r="BKY2468" s="54"/>
      <c r="BKZ2468" s="54"/>
      <c r="BLA2468" s="60"/>
      <c r="BLB2468" s="60"/>
      <c r="BLC2468" s="60"/>
      <c r="BLD2468" s="60"/>
      <c r="BLE2468" s="63"/>
      <c r="BLF2468" s="61"/>
      <c r="BLG2468" s="54"/>
      <c r="BLH2468" s="54"/>
      <c r="BLI2468" s="60"/>
      <c r="BLJ2468" s="60"/>
      <c r="BLK2468" s="60"/>
      <c r="BLL2468" s="60"/>
      <c r="BLM2468" s="63"/>
      <c r="BLN2468" s="61"/>
      <c r="BLO2468" s="54"/>
      <c r="BLP2468" s="54"/>
      <c r="BLQ2468" s="60"/>
      <c r="BLR2468" s="60"/>
      <c r="BLS2468" s="60"/>
      <c r="BLT2468" s="60"/>
      <c r="BLU2468" s="63"/>
      <c r="BLV2468" s="61"/>
      <c r="BLW2468" s="54"/>
      <c r="BLX2468" s="54"/>
      <c r="BLY2468" s="60"/>
      <c r="BLZ2468" s="60"/>
      <c r="BMA2468" s="60"/>
      <c r="BMB2468" s="60"/>
      <c r="BMC2468" s="63"/>
      <c r="BMD2468" s="61"/>
      <c r="BME2468" s="54"/>
      <c r="BMF2468" s="54"/>
      <c r="BMG2468" s="60"/>
      <c r="BMH2468" s="60"/>
      <c r="BMI2468" s="60"/>
      <c r="BMJ2468" s="60"/>
      <c r="BMK2468" s="63"/>
      <c r="BML2468" s="61"/>
      <c r="BMM2468" s="54"/>
      <c r="BMN2468" s="54"/>
      <c r="BMO2468" s="60"/>
      <c r="BMP2468" s="60"/>
      <c r="BMQ2468" s="60"/>
      <c r="BMR2468" s="60"/>
      <c r="BMS2468" s="63"/>
      <c r="BMT2468" s="61"/>
      <c r="BMU2468" s="54"/>
      <c r="BMV2468" s="54"/>
      <c r="BMW2468" s="60"/>
      <c r="BMX2468" s="60"/>
      <c r="BMY2468" s="60"/>
      <c r="BMZ2468" s="60"/>
      <c r="BNA2468" s="63"/>
      <c r="BNB2468" s="61"/>
      <c r="BNC2468" s="54"/>
      <c r="BND2468" s="54"/>
      <c r="BNE2468" s="60"/>
      <c r="BNF2468" s="60"/>
      <c r="BNG2468" s="60"/>
      <c r="BNH2468" s="60"/>
      <c r="BNI2468" s="63"/>
      <c r="BNJ2468" s="61"/>
      <c r="BNK2468" s="54"/>
      <c r="BNL2468" s="54"/>
      <c r="BNM2468" s="60"/>
      <c r="BNN2468" s="60"/>
      <c r="BNO2468" s="60"/>
      <c r="BNP2468" s="60"/>
      <c r="BNQ2468" s="63"/>
      <c r="BNR2468" s="61"/>
      <c r="BNS2468" s="54"/>
      <c r="BNT2468" s="54"/>
      <c r="BNU2468" s="60"/>
      <c r="BNV2468" s="60"/>
      <c r="BNW2468" s="60"/>
      <c r="BNX2468" s="60"/>
      <c r="BNY2468" s="63"/>
      <c r="BNZ2468" s="61"/>
      <c r="BOA2468" s="54"/>
      <c r="BOB2468" s="54"/>
      <c r="BOC2468" s="60"/>
      <c r="BOD2468" s="60"/>
      <c r="BOE2468" s="60"/>
      <c r="BOF2468" s="60"/>
      <c r="BOG2468" s="63"/>
      <c r="BOH2468" s="61"/>
      <c r="BOI2468" s="54"/>
      <c r="BOJ2468" s="54"/>
      <c r="BOK2468" s="60"/>
      <c r="BOL2468" s="60"/>
      <c r="BOM2468" s="60"/>
      <c r="BON2468" s="60"/>
      <c r="BOO2468" s="63"/>
      <c r="BOP2468" s="61"/>
      <c r="BOQ2468" s="54"/>
      <c r="BOR2468" s="54"/>
      <c r="BOS2468" s="60"/>
      <c r="BOT2468" s="60"/>
      <c r="BOU2468" s="60"/>
      <c r="BOV2468" s="60"/>
      <c r="BOW2468" s="63"/>
      <c r="BOX2468" s="61"/>
      <c r="BOY2468" s="54"/>
      <c r="BOZ2468" s="54"/>
      <c r="BPA2468" s="60"/>
      <c r="BPB2468" s="60"/>
      <c r="BPC2468" s="60"/>
      <c r="BPD2468" s="60"/>
      <c r="BPE2468" s="63"/>
      <c r="BPF2468" s="61"/>
      <c r="BPG2468" s="54"/>
      <c r="BPH2468" s="54"/>
      <c r="BPI2468" s="60"/>
      <c r="BPJ2468" s="60"/>
      <c r="BPK2468" s="60"/>
      <c r="BPL2468" s="60"/>
      <c r="BPM2468" s="63"/>
      <c r="BPN2468" s="61"/>
      <c r="BPO2468" s="54"/>
      <c r="BPP2468" s="54"/>
      <c r="BPQ2468" s="60"/>
      <c r="BPR2468" s="60"/>
      <c r="BPS2468" s="60"/>
      <c r="BPT2468" s="60"/>
      <c r="BPU2468" s="63"/>
      <c r="BPV2468" s="61"/>
      <c r="BPW2468" s="54"/>
      <c r="BPX2468" s="54"/>
      <c r="BPY2468" s="60"/>
      <c r="BPZ2468" s="60"/>
      <c r="BQA2468" s="60"/>
      <c r="BQB2468" s="60"/>
      <c r="BQC2468" s="63"/>
      <c r="BQD2468" s="61"/>
      <c r="BQE2468" s="54"/>
      <c r="BQF2468" s="54"/>
      <c r="BQG2468" s="60"/>
      <c r="BQH2468" s="60"/>
      <c r="BQI2468" s="60"/>
      <c r="BQJ2468" s="60"/>
      <c r="BQK2468" s="63"/>
      <c r="BQL2468" s="61"/>
      <c r="BQM2468" s="54"/>
      <c r="BQN2468" s="54"/>
      <c r="BQO2468" s="60"/>
      <c r="BQP2468" s="60"/>
      <c r="BQQ2468" s="60"/>
      <c r="BQR2468" s="60"/>
      <c r="BQS2468" s="63"/>
      <c r="BQT2468" s="61"/>
      <c r="BQU2468" s="54"/>
      <c r="BQV2468" s="54"/>
      <c r="BQW2468" s="60"/>
      <c r="BQX2468" s="60"/>
      <c r="BQY2468" s="60"/>
      <c r="BQZ2468" s="60"/>
      <c r="BRA2468" s="63"/>
      <c r="BRB2468" s="61"/>
      <c r="BRC2468" s="54"/>
      <c r="BRD2468" s="54"/>
      <c r="BRE2468" s="60"/>
      <c r="BRF2468" s="60"/>
      <c r="BRG2468" s="60"/>
      <c r="BRH2468" s="60"/>
      <c r="BRI2468" s="63"/>
      <c r="BRJ2468" s="61"/>
      <c r="BRK2468" s="54"/>
      <c r="BRL2468" s="54"/>
      <c r="BRM2468" s="60"/>
      <c r="BRN2468" s="60"/>
      <c r="BRO2468" s="60"/>
      <c r="BRP2468" s="60"/>
      <c r="BRQ2468" s="63"/>
      <c r="BRR2468" s="61"/>
      <c r="BRS2468" s="54"/>
      <c r="BRT2468" s="54"/>
      <c r="BRU2468" s="60"/>
      <c r="BRV2468" s="60"/>
      <c r="BRW2468" s="60"/>
      <c r="BRX2468" s="60"/>
      <c r="BRY2468" s="63"/>
      <c r="BRZ2468" s="61"/>
      <c r="BSA2468" s="54"/>
      <c r="BSB2468" s="54"/>
      <c r="BSC2468" s="60"/>
      <c r="BSD2468" s="60"/>
      <c r="BSE2468" s="60"/>
      <c r="BSF2468" s="60"/>
      <c r="BSG2468" s="63"/>
      <c r="BSH2468" s="61"/>
      <c r="BSI2468" s="54"/>
      <c r="BSJ2468" s="54"/>
      <c r="BSK2468" s="60"/>
      <c r="BSL2468" s="60"/>
      <c r="BSM2468" s="60"/>
      <c r="BSN2468" s="60"/>
      <c r="BSO2468" s="63"/>
      <c r="BSP2468" s="61"/>
      <c r="BSQ2468" s="54"/>
      <c r="BSR2468" s="54"/>
      <c r="BSS2468" s="60"/>
      <c r="BST2468" s="60"/>
      <c r="BSU2468" s="60"/>
      <c r="BSV2468" s="60"/>
      <c r="BSW2468" s="63"/>
      <c r="BSX2468" s="61"/>
      <c r="BSY2468" s="54"/>
      <c r="BSZ2468" s="54"/>
      <c r="BTA2468" s="60"/>
      <c r="BTB2468" s="60"/>
      <c r="BTC2468" s="60"/>
      <c r="BTD2468" s="60"/>
      <c r="BTE2468" s="63"/>
      <c r="BTF2468" s="61"/>
      <c r="BTG2468" s="54"/>
      <c r="BTH2468" s="54"/>
      <c r="BTI2468" s="60"/>
      <c r="BTJ2468" s="60"/>
      <c r="BTK2468" s="60"/>
      <c r="BTL2468" s="60"/>
      <c r="BTM2468" s="63"/>
      <c r="BTN2468" s="61"/>
      <c r="BTO2468" s="54"/>
      <c r="BTP2468" s="54"/>
      <c r="BTQ2468" s="60"/>
      <c r="BTR2468" s="60"/>
      <c r="BTS2468" s="60"/>
      <c r="BTT2468" s="60"/>
      <c r="BTU2468" s="63"/>
      <c r="BTV2468" s="61"/>
      <c r="BTW2468" s="54"/>
      <c r="BTX2468" s="54"/>
      <c r="BTY2468" s="60"/>
      <c r="BTZ2468" s="60"/>
      <c r="BUA2468" s="60"/>
      <c r="BUB2468" s="60"/>
      <c r="BUC2468" s="63"/>
      <c r="BUD2468" s="61"/>
      <c r="BUE2468" s="54"/>
      <c r="BUF2468" s="54"/>
      <c r="BUG2468" s="60"/>
      <c r="BUH2468" s="60"/>
      <c r="BUI2468" s="60"/>
      <c r="BUJ2468" s="60"/>
      <c r="BUK2468" s="63"/>
      <c r="BUL2468" s="61"/>
      <c r="BUM2468" s="54"/>
      <c r="BUN2468" s="54"/>
      <c r="BUO2468" s="60"/>
      <c r="BUP2468" s="60"/>
      <c r="BUQ2468" s="60"/>
      <c r="BUR2468" s="60"/>
      <c r="BUS2468" s="63"/>
      <c r="BUT2468" s="61"/>
      <c r="BUU2468" s="54"/>
      <c r="BUV2468" s="54"/>
      <c r="BUW2468" s="60"/>
      <c r="BUX2468" s="60"/>
      <c r="BUY2468" s="60"/>
      <c r="BUZ2468" s="60"/>
      <c r="BVA2468" s="63"/>
      <c r="BVB2468" s="61"/>
      <c r="BVC2468" s="54"/>
      <c r="BVD2468" s="54"/>
      <c r="BVE2468" s="60"/>
      <c r="BVF2468" s="60"/>
      <c r="BVG2468" s="60"/>
      <c r="BVH2468" s="60"/>
      <c r="BVI2468" s="63"/>
      <c r="BVJ2468" s="61"/>
      <c r="BVK2468" s="54"/>
      <c r="BVL2468" s="54"/>
      <c r="BVM2468" s="60"/>
      <c r="BVN2468" s="60"/>
      <c r="BVO2468" s="60"/>
      <c r="BVP2468" s="60"/>
      <c r="BVQ2468" s="63"/>
      <c r="BVR2468" s="61"/>
      <c r="BVS2468" s="54"/>
      <c r="BVT2468" s="54"/>
      <c r="BVU2468" s="60"/>
      <c r="BVV2468" s="60"/>
      <c r="BVW2468" s="60"/>
      <c r="BVX2468" s="60"/>
      <c r="BVY2468" s="63"/>
      <c r="BVZ2468" s="61"/>
      <c r="BWA2468" s="54"/>
      <c r="BWB2468" s="54"/>
      <c r="BWC2468" s="60"/>
      <c r="BWD2468" s="60"/>
      <c r="BWE2468" s="60"/>
      <c r="BWF2468" s="60"/>
      <c r="BWG2468" s="63"/>
      <c r="BWH2468" s="61"/>
      <c r="BWI2468" s="54"/>
      <c r="BWJ2468" s="54"/>
      <c r="BWK2468" s="60"/>
      <c r="BWL2468" s="60"/>
      <c r="BWM2468" s="60"/>
      <c r="BWN2468" s="60"/>
      <c r="BWO2468" s="63"/>
      <c r="BWP2468" s="61"/>
      <c r="BWQ2468" s="54"/>
      <c r="BWR2468" s="54"/>
      <c r="BWS2468" s="60"/>
      <c r="BWT2468" s="60"/>
      <c r="BWU2468" s="60"/>
      <c r="BWV2468" s="60"/>
      <c r="BWW2468" s="63"/>
      <c r="BWX2468" s="61"/>
      <c r="BWY2468" s="54"/>
      <c r="BWZ2468" s="54"/>
      <c r="BXA2468" s="60"/>
      <c r="BXB2468" s="60"/>
      <c r="BXC2468" s="60"/>
      <c r="BXD2468" s="60"/>
      <c r="BXE2468" s="63"/>
      <c r="BXF2468" s="61"/>
      <c r="BXG2468" s="54"/>
      <c r="BXH2468" s="54"/>
      <c r="BXI2468" s="60"/>
      <c r="BXJ2468" s="60"/>
      <c r="BXK2468" s="60"/>
      <c r="BXL2468" s="60"/>
      <c r="BXM2468" s="63"/>
      <c r="BXN2468" s="61"/>
      <c r="BXO2468" s="54"/>
      <c r="BXP2468" s="54"/>
      <c r="BXQ2468" s="60"/>
      <c r="BXR2468" s="60"/>
      <c r="BXS2468" s="60"/>
      <c r="BXT2468" s="60"/>
      <c r="BXU2468" s="63"/>
      <c r="BXV2468" s="61"/>
      <c r="BXW2468" s="54"/>
      <c r="BXX2468" s="54"/>
      <c r="BXY2468" s="60"/>
      <c r="BXZ2468" s="60"/>
      <c r="BYA2468" s="60"/>
      <c r="BYB2468" s="60"/>
      <c r="BYC2468" s="63"/>
      <c r="BYD2468" s="61"/>
      <c r="BYE2468" s="54"/>
      <c r="BYF2468" s="54"/>
      <c r="BYG2468" s="60"/>
      <c r="BYH2468" s="60"/>
      <c r="BYI2468" s="60"/>
      <c r="BYJ2468" s="60"/>
      <c r="BYK2468" s="63"/>
      <c r="BYL2468" s="61"/>
      <c r="BYM2468" s="54"/>
      <c r="BYN2468" s="54"/>
      <c r="BYO2468" s="60"/>
      <c r="BYP2468" s="60"/>
      <c r="BYQ2468" s="60"/>
      <c r="BYR2468" s="60"/>
      <c r="BYS2468" s="63"/>
      <c r="BYT2468" s="61"/>
      <c r="BYU2468" s="54"/>
      <c r="BYV2468" s="54"/>
      <c r="BYW2468" s="60"/>
      <c r="BYX2468" s="60"/>
      <c r="BYY2468" s="60"/>
      <c r="BYZ2468" s="60"/>
      <c r="BZA2468" s="63"/>
      <c r="BZB2468" s="61"/>
      <c r="BZC2468" s="54"/>
      <c r="BZD2468" s="54"/>
      <c r="BZE2468" s="60"/>
      <c r="BZF2468" s="60"/>
      <c r="BZG2468" s="60"/>
      <c r="BZH2468" s="60"/>
      <c r="BZI2468" s="63"/>
      <c r="BZJ2468" s="61"/>
      <c r="BZK2468" s="54"/>
      <c r="BZL2468" s="54"/>
      <c r="BZM2468" s="60"/>
      <c r="BZN2468" s="60"/>
      <c r="BZO2468" s="60"/>
      <c r="BZP2468" s="60"/>
      <c r="BZQ2468" s="63"/>
      <c r="BZR2468" s="61"/>
      <c r="BZS2468" s="54"/>
      <c r="BZT2468" s="54"/>
      <c r="BZU2468" s="60"/>
      <c r="BZV2468" s="60"/>
      <c r="BZW2468" s="60"/>
      <c r="BZX2468" s="60"/>
      <c r="BZY2468" s="63"/>
      <c r="BZZ2468" s="61"/>
      <c r="CAA2468" s="54"/>
      <c r="CAB2468" s="54"/>
      <c r="CAC2468" s="60"/>
      <c r="CAD2468" s="60"/>
      <c r="CAE2468" s="60"/>
      <c r="CAF2468" s="60"/>
      <c r="CAG2468" s="63"/>
      <c r="CAH2468" s="61"/>
      <c r="CAI2468" s="54"/>
      <c r="CAJ2468" s="54"/>
      <c r="CAK2468" s="60"/>
      <c r="CAL2468" s="60"/>
      <c r="CAM2468" s="60"/>
      <c r="CAN2468" s="60"/>
      <c r="CAO2468" s="63"/>
      <c r="CAP2468" s="61"/>
      <c r="CAQ2468" s="54"/>
      <c r="CAR2468" s="54"/>
      <c r="CAS2468" s="60"/>
      <c r="CAT2468" s="60"/>
      <c r="CAU2468" s="60"/>
      <c r="CAV2468" s="60"/>
      <c r="CAW2468" s="63"/>
      <c r="CAX2468" s="61"/>
      <c r="CAY2468" s="54"/>
      <c r="CAZ2468" s="54"/>
      <c r="CBA2468" s="60"/>
      <c r="CBB2468" s="60"/>
      <c r="CBC2468" s="60"/>
      <c r="CBD2468" s="60"/>
      <c r="CBE2468" s="63"/>
      <c r="CBF2468" s="61"/>
      <c r="CBG2468" s="54"/>
      <c r="CBH2468" s="54"/>
      <c r="CBI2468" s="60"/>
      <c r="CBJ2468" s="60"/>
      <c r="CBK2468" s="60"/>
      <c r="CBL2468" s="60"/>
      <c r="CBM2468" s="63"/>
      <c r="CBN2468" s="61"/>
      <c r="CBO2468" s="54"/>
      <c r="CBP2468" s="54"/>
      <c r="CBQ2468" s="60"/>
      <c r="CBR2468" s="60"/>
      <c r="CBS2468" s="60"/>
      <c r="CBT2468" s="60"/>
      <c r="CBU2468" s="63"/>
      <c r="CBV2468" s="61"/>
      <c r="CBW2468" s="54"/>
      <c r="CBX2468" s="54"/>
      <c r="CBY2468" s="60"/>
      <c r="CBZ2468" s="60"/>
      <c r="CCA2468" s="60"/>
      <c r="CCB2468" s="60"/>
      <c r="CCC2468" s="63"/>
      <c r="CCD2468" s="61"/>
      <c r="CCE2468" s="54"/>
      <c r="CCF2468" s="54"/>
      <c r="CCG2468" s="60"/>
      <c r="CCH2468" s="60"/>
      <c r="CCI2468" s="60"/>
      <c r="CCJ2468" s="60"/>
      <c r="CCK2468" s="63"/>
      <c r="CCL2468" s="61"/>
      <c r="CCM2468" s="54"/>
      <c r="CCN2468" s="54"/>
      <c r="CCO2468" s="60"/>
      <c r="CCP2468" s="60"/>
      <c r="CCQ2468" s="60"/>
      <c r="CCR2468" s="60"/>
      <c r="CCS2468" s="63"/>
      <c r="CCT2468" s="61"/>
      <c r="CCU2468" s="54"/>
      <c r="CCV2468" s="54"/>
      <c r="CCW2468" s="60"/>
      <c r="CCX2468" s="60"/>
      <c r="CCY2468" s="60"/>
      <c r="CCZ2468" s="60"/>
      <c r="CDA2468" s="63"/>
      <c r="CDB2468" s="61"/>
      <c r="CDC2468" s="54"/>
      <c r="CDD2468" s="54"/>
      <c r="CDE2468" s="60"/>
      <c r="CDF2468" s="60"/>
      <c r="CDG2468" s="60"/>
      <c r="CDH2468" s="60"/>
      <c r="CDI2468" s="63"/>
      <c r="CDJ2468" s="61"/>
      <c r="CDK2468" s="54"/>
      <c r="CDL2468" s="54"/>
      <c r="CDM2468" s="60"/>
      <c r="CDN2468" s="60"/>
      <c r="CDO2468" s="60"/>
      <c r="CDP2468" s="60"/>
      <c r="CDQ2468" s="63"/>
      <c r="CDR2468" s="61"/>
      <c r="CDS2468" s="54"/>
      <c r="CDT2468" s="54"/>
      <c r="CDU2468" s="60"/>
      <c r="CDV2468" s="60"/>
      <c r="CDW2468" s="60"/>
      <c r="CDX2468" s="60"/>
      <c r="CDY2468" s="63"/>
      <c r="CDZ2468" s="61"/>
      <c r="CEA2468" s="54"/>
      <c r="CEB2468" s="54"/>
      <c r="CEC2468" s="60"/>
      <c r="CED2468" s="60"/>
      <c r="CEE2468" s="60"/>
      <c r="CEF2468" s="60"/>
      <c r="CEG2468" s="63"/>
      <c r="CEH2468" s="61"/>
      <c r="CEI2468" s="54"/>
      <c r="CEJ2468" s="54"/>
      <c r="CEK2468" s="60"/>
      <c r="CEL2468" s="60"/>
      <c r="CEM2468" s="60"/>
      <c r="CEN2468" s="60"/>
      <c r="CEO2468" s="63"/>
      <c r="CEP2468" s="61"/>
      <c r="CEQ2468" s="54"/>
      <c r="CER2468" s="54"/>
      <c r="CES2468" s="60"/>
      <c r="CET2468" s="60"/>
      <c r="CEU2468" s="60"/>
      <c r="CEV2468" s="60"/>
      <c r="CEW2468" s="63"/>
      <c r="CEX2468" s="61"/>
      <c r="CEY2468" s="54"/>
      <c r="CEZ2468" s="54"/>
      <c r="CFA2468" s="60"/>
      <c r="CFB2468" s="60"/>
      <c r="CFC2468" s="60"/>
      <c r="CFD2468" s="60"/>
      <c r="CFE2468" s="63"/>
      <c r="CFF2468" s="61"/>
      <c r="CFG2468" s="54"/>
      <c r="CFH2468" s="54"/>
      <c r="CFI2468" s="60"/>
      <c r="CFJ2468" s="60"/>
      <c r="CFK2468" s="60"/>
      <c r="CFL2468" s="60"/>
      <c r="CFM2468" s="63"/>
      <c r="CFN2468" s="61"/>
      <c r="CFO2468" s="54"/>
      <c r="CFP2468" s="54"/>
      <c r="CFQ2468" s="60"/>
      <c r="CFR2468" s="60"/>
      <c r="CFS2468" s="60"/>
      <c r="CFT2468" s="60"/>
      <c r="CFU2468" s="63"/>
      <c r="CFV2468" s="61"/>
      <c r="CFW2468" s="54"/>
      <c r="CFX2468" s="54"/>
      <c r="CFY2468" s="60"/>
      <c r="CFZ2468" s="60"/>
      <c r="CGA2468" s="60"/>
      <c r="CGB2468" s="60"/>
      <c r="CGC2468" s="63"/>
      <c r="CGD2468" s="61"/>
      <c r="CGE2468" s="54"/>
      <c r="CGF2468" s="54"/>
      <c r="CGG2468" s="60"/>
      <c r="CGH2468" s="60"/>
      <c r="CGI2468" s="60"/>
      <c r="CGJ2468" s="60"/>
      <c r="CGK2468" s="63"/>
      <c r="CGL2468" s="61"/>
      <c r="CGM2468" s="54"/>
      <c r="CGN2468" s="54"/>
      <c r="CGO2468" s="60"/>
      <c r="CGP2468" s="60"/>
      <c r="CGQ2468" s="60"/>
      <c r="CGR2468" s="60"/>
      <c r="CGS2468" s="63"/>
      <c r="CGT2468" s="61"/>
      <c r="CGU2468" s="54"/>
      <c r="CGV2468" s="54"/>
      <c r="CGW2468" s="60"/>
      <c r="CGX2468" s="60"/>
      <c r="CGY2468" s="60"/>
      <c r="CGZ2468" s="60"/>
      <c r="CHA2468" s="63"/>
      <c r="CHB2468" s="61"/>
      <c r="CHC2468" s="54"/>
      <c r="CHD2468" s="54"/>
      <c r="CHE2468" s="60"/>
      <c r="CHF2468" s="60"/>
      <c r="CHG2468" s="60"/>
      <c r="CHH2468" s="60"/>
      <c r="CHI2468" s="63"/>
      <c r="CHJ2468" s="61"/>
      <c r="CHK2468" s="54"/>
      <c r="CHL2468" s="54"/>
      <c r="CHM2468" s="60"/>
      <c r="CHN2468" s="60"/>
      <c r="CHO2468" s="60"/>
      <c r="CHP2468" s="60"/>
      <c r="CHQ2468" s="63"/>
      <c r="CHR2468" s="61"/>
      <c r="CHS2468" s="54"/>
      <c r="CHT2468" s="54"/>
      <c r="CHU2468" s="60"/>
      <c r="CHV2468" s="60"/>
      <c r="CHW2468" s="60"/>
      <c r="CHX2468" s="60"/>
      <c r="CHY2468" s="63"/>
      <c r="CHZ2468" s="61"/>
      <c r="CIA2468" s="54"/>
      <c r="CIB2468" s="54"/>
      <c r="CIC2468" s="60"/>
      <c r="CID2468" s="60"/>
      <c r="CIE2468" s="60"/>
      <c r="CIF2468" s="60"/>
      <c r="CIG2468" s="63"/>
      <c r="CIH2468" s="61"/>
      <c r="CII2468" s="54"/>
      <c r="CIJ2468" s="54"/>
      <c r="CIK2468" s="60"/>
      <c r="CIL2468" s="60"/>
      <c r="CIM2468" s="60"/>
      <c r="CIN2468" s="60"/>
      <c r="CIO2468" s="63"/>
      <c r="CIP2468" s="61"/>
      <c r="CIQ2468" s="54"/>
      <c r="CIR2468" s="54"/>
      <c r="CIS2468" s="60"/>
      <c r="CIT2468" s="60"/>
      <c r="CIU2468" s="60"/>
      <c r="CIV2468" s="60"/>
      <c r="CIW2468" s="63"/>
      <c r="CIX2468" s="61"/>
      <c r="CIY2468" s="54"/>
      <c r="CIZ2468" s="54"/>
      <c r="CJA2468" s="60"/>
      <c r="CJB2468" s="60"/>
      <c r="CJC2468" s="60"/>
      <c r="CJD2468" s="60"/>
      <c r="CJE2468" s="63"/>
      <c r="CJF2468" s="61"/>
      <c r="CJG2468" s="54"/>
      <c r="CJH2468" s="54"/>
      <c r="CJI2468" s="60"/>
      <c r="CJJ2468" s="60"/>
      <c r="CJK2468" s="60"/>
      <c r="CJL2468" s="60"/>
      <c r="CJM2468" s="63"/>
      <c r="CJN2468" s="61"/>
      <c r="CJO2468" s="54"/>
      <c r="CJP2468" s="54"/>
      <c r="CJQ2468" s="60"/>
      <c r="CJR2468" s="60"/>
      <c r="CJS2468" s="60"/>
      <c r="CJT2468" s="60"/>
      <c r="CJU2468" s="63"/>
      <c r="CJV2468" s="61"/>
      <c r="CJW2468" s="54"/>
      <c r="CJX2468" s="54"/>
      <c r="CJY2468" s="60"/>
      <c r="CJZ2468" s="60"/>
      <c r="CKA2468" s="60"/>
      <c r="CKB2468" s="60"/>
      <c r="CKC2468" s="63"/>
      <c r="CKD2468" s="61"/>
      <c r="CKE2468" s="54"/>
      <c r="CKF2468" s="54"/>
      <c r="CKG2468" s="60"/>
      <c r="CKH2468" s="60"/>
      <c r="CKI2468" s="60"/>
      <c r="CKJ2468" s="60"/>
      <c r="CKK2468" s="63"/>
      <c r="CKL2468" s="61"/>
      <c r="CKM2468" s="54"/>
      <c r="CKN2468" s="54"/>
      <c r="CKO2468" s="60"/>
      <c r="CKP2468" s="60"/>
      <c r="CKQ2468" s="60"/>
      <c r="CKR2468" s="60"/>
      <c r="CKS2468" s="63"/>
      <c r="CKT2468" s="61"/>
      <c r="CKU2468" s="54"/>
      <c r="CKV2468" s="54"/>
      <c r="CKW2468" s="60"/>
      <c r="CKX2468" s="60"/>
      <c r="CKY2468" s="60"/>
      <c r="CKZ2468" s="60"/>
      <c r="CLA2468" s="63"/>
      <c r="CLB2468" s="61"/>
      <c r="CLC2468" s="54"/>
      <c r="CLD2468" s="54"/>
      <c r="CLE2468" s="60"/>
      <c r="CLF2468" s="60"/>
      <c r="CLG2468" s="60"/>
      <c r="CLH2468" s="60"/>
      <c r="CLI2468" s="63"/>
      <c r="CLJ2468" s="61"/>
      <c r="CLK2468" s="54"/>
      <c r="CLL2468" s="54"/>
      <c r="CLM2468" s="60"/>
      <c r="CLN2468" s="60"/>
      <c r="CLO2468" s="60"/>
      <c r="CLP2468" s="60"/>
      <c r="CLQ2468" s="63"/>
      <c r="CLR2468" s="61"/>
      <c r="CLS2468" s="54"/>
      <c r="CLT2468" s="54"/>
      <c r="CLU2468" s="60"/>
      <c r="CLV2468" s="60"/>
      <c r="CLW2468" s="60"/>
      <c r="CLX2468" s="60"/>
      <c r="CLY2468" s="63"/>
      <c r="CLZ2468" s="61"/>
      <c r="CMA2468" s="54"/>
      <c r="CMB2468" s="54"/>
      <c r="CMC2468" s="60"/>
      <c r="CMD2468" s="60"/>
      <c r="CME2468" s="60"/>
      <c r="CMF2468" s="60"/>
      <c r="CMG2468" s="63"/>
      <c r="CMH2468" s="61"/>
      <c r="CMI2468" s="54"/>
      <c r="CMJ2468" s="54"/>
      <c r="CMK2468" s="60"/>
      <c r="CML2468" s="60"/>
      <c r="CMM2468" s="60"/>
      <c r="CMN2468" s="60"/>
      <c r="CMO2468" s="63"/>
      <c r="CMP2468" s="61"/>
      <c r="CMQ2468" s="54"/>
      <c r="CMR2468" s="54"/>
      <c r="CMS2468" s="60"/>
      <c r="CMT2468" s="60"/>
      <c r="CMU2468" s="60"/>
      <c r="CMV2468" s="60"/>
      <c r="CMW2468" s="63"/>
      <c r="CMX2468" s="61"/>
      <c r="CMY2468" s="54"/>
      <c r="CMZ2468" s="54"/>
      <c r="CNA2468" s="60"/>
      <c r="CNB2468" s="60"/>
      <c r="CNC2468" s="60"/>
      <c r="CND2468" s="60"/>
      <c r="CNE2468" s="63"/>
      <c r="CNF2468" s="61"/>
      <c r="CNG2468" s="54"/>
      <c r="CNH2468" s="54"/>
      <c r="CNI2468" s="60"/>
      <c r="CNJ2468" s="60"/>
      <c r="CNK2468" s="60"/>
      <c r="CNL2468" s="60"/>
      <c r="CNM2468" s="63"/>
      <c r="CNN2468" s="61"/>
      <c r="CNO2468" s="54"/>
      <c r="CNP2468" s="54"/>
      <c r="CNQ2468" s="60"/>
      <c r="CNR2468" s="60"/>
      <c r="CNS2468" s="60"/>
      <c r="CNT2468" s="60"/>
      <c r="CNU2468" s="63"/>
      <c r="CNV2468" s="61"/>
      <c r="CNW2468" s="54"/>
      <c r="CNX2468" s="54"/>
      <c r="CNY2468" s="60"/>
      <c r="CNZ2468" s="60"/>
      <c r="COA2468" s="60"/>
      <c r="COB2468" s="60"/>
      <c r="COC2468" s="63"/>
      <c r="COD2468" s="61"/>
      <c r="COE2468" s="54"/>
      <c r="COF2468" s="54"/>
      <c r="COG2468" s="60"/>
      <c r="COH2468" s="60"/>
      <c r="COI2468" s="60"/>
      <c r="COJ2468" s="60"/>
      <c r="COK2468" s="63"/>
      <c r="COL2468" s="61"/>
      <c r="COM2468" s="54"/>
      <c r="CON2468" s="54"/>
      <c r="COO2468" s="60"/>
      <c r="COP2468" s="60"/>
      <c r="COQ2468" s="60"/>
      <c r="COR2468" s="60"/>
      <c r="COS2468" s="63"/>
      <c r="COT2468" s="61"/>
      <c r="COU2468" s="54"/>
      <c r="COV2468" s="54"/>
      <c r="COW2468" s="60"/>
      <c r="COX2468" s="60"/>
      <c r="COY2468" s="60"/>
      <c r="COZ2468" s="60"/>
      <c r="CPA2468" s="63"/>
      <c r="CPB2468" s="61"/>
      <c r="CPC2468" s="54"/>
      <c r="CPD2468" s="54"/>
      <c r="CPE2468" s="60"/>
      <c r="CPF2468" s="60"/>
      <c r="CPG2468" s="60"/>
      <c r="CPH2468" s="60"/>
      <c r="CPI2468" s="63"/>
      <c r="CPJ2468" s="61"/>
      <c r="CPK2468" s="54"/>
      <c r="CPL2468" s="54"/>
      <c r="CPM2468" s="60"/>
      <c r="CPN2468" s="60"/>
      <c r="CPO2468" s="60"/>
      <c r="CPP2468" s="60"/>
      <c r="CPQ2468" s="63"/>
      <c r="CPR2468" s="61"/>
      <c r="CPS2468" s="54"/>
      <c r="CPT2468" s="54"/>
      <c r="CPU2468" s="60"/>
      <c r="CPV2468" s="60"/>
      <c r="CPW2468" s="60"/>
      <c r="CPX2468" s="60"/>
      <c r="CPY2468" s="63"/>
      <c r="CPZ2468" s="61"/>
      <c r="CQA2468" s="54"/>
      <c r="CQB2468" s="54"/>
      <c r="CQC2468" s="60"/>
      <c r="CQD2468" s="60"/>
      <c r="CQE2468" s="60"/>
      <c r="CQF2468" s="60"/>
      <c r="CQG2468" s="63"/>
      <c r="CQH2468" s="61"/>
      <c r="CQI2468" s="54"/>
      <c r="CQJ2468" s="54"/>
      <c r="CQK2468" s="60"/>
      <c r="CQL2468" s="60"/>
      <c r="CQM2468" s="60"/>
      <c r="CQN2468" s="60"/>
      <c r="CQO2468" s="63"/>
      <c r="CQP2468" s="61"/>
      <c r="CQQ2468" s="54"/>
      <c r="CQR2468" s="54"/>
      <c r="CQS2468" s="60"/>
      <c r="CQT2468" s="60"/>
      <c r="CQU2468" s="60"/>
      <c r="CQV2468" s="60"/>
      <c r="CQW2468" s="63"/>
      <c r="CQX2468" s="61"/>
      <c r="CQY2468" s="54"/>
      <c r="CQZ2468" s="54"/>
      <c r="CRA2468" s="60"/>
      <c r="CRB2468" s="60"/>
      <c r="CRC2468" s="60"/>
      <c r="CRD2468" s="60"/>
      <c r="CRE2468" s="63"/>
      <c r="CRF2468" s="61"/>
      <c r="CRG2468" s="54"/>
      <c r="CRH2468" s="54"/>
      <c r="CRI2468" s="60"/>
      <c r="CRJ2468" s="60"/>
      <c r="CRK2468" s="60"/>
      <c r="CRL2468" s="60"/>
      <c r="CRM2468" s="63"/>
      <c r="CRN2468" s="61"/>
      <c r="CRO2468" s="54"/>
      <c r="CRP2468" s="54"/>
      <c r="CRQ2468" s="60"/>
      <c r="CRR2468" s="60"/>
      <c r="CRS2468" s="60"/>
      <c r="CRT2468" s="60"/>
      <c r="CRU2468" s="63"/>
      <c r="CRV2468" s="61"/>
      <c r="CRW2468" s="54"/>
      <c r="CRX2468" s="54"/>
      <c r="CRY2468" s="60"/>
      <c r="CRZ2468" s="60"/>
      <c r="CSA2468" s="60"/>
      <c r="CSB2468" s="60"/>
      <c r="CSC2468" s="63"/>
      <c r="CSD2468" s="61"/>
      <c r="CSE2468" s="54"/>
      <c r="CSF2468" s="54"/>
      <c r="CSG2468" s="60"/>
      <c r="CSH2468" s="60"/>
      <c r="CSI2468" s="60"/>
      <c r="CSJ2468" s="60"/>
      <c r="CSK2468" s="63"/>
      <c r="CSL2468" s="61"/>
      <c r="CSM2468" s="54"/>
      <c r="CSN2468" s="54"/>
      <c r="CSO2468" s="60"/>
      <c r="CSP2468" s="60"/>
      <c r="CSQ2468" s="60"/>
      <c r="CSR2468" s="60"/>
      <c r="CSS2468" s="63"/>
      <c r="CST2468" s="61"/>
      <c r="CSU2468" s="54"/>
      <c r="CSV2468" s="54"/>
      <c r="CSW2468" s="60"/>
      <c r="CSX2468" s="60"/>
      <c r="CSY2468" s="60"/>
      <c r="CSZ2468" s="60"/>
      <c r="CTA2468" s="63"/>
      <c r="CTB2468" s="61"/>
      <c r="CTC2468" s="54"/>
      <c r="CTD2468" s="54"/>
      <c r="CTE2468" s="60"/>
      <c r="CTF2468" s="60"/>
      <c r="CTG2468" s="60"/>
      <c r="CTH2468" s="60"/>
      <c r="CTI2468" s="63"/>
      <c r="CTJ2468" s="61"/>
      <c r="CTK2468" s="54"/>
      <c r="CTL2468" s="54"/>
      <c r="CTM2468" s="60"/>
      <c r="CTN2468" s="60"/>
      <c r="CTO2468" s="60"/>
      <c r="CTP2468" s="60"/>
      <c r="CTQ2468" s="63"/>
      <c r="CTR2468" s="61"/>
      <c r="CTS2468" s="54"/>
      <c r="CTT2468" s="54"/>
      <c r="CTU2468" s="60"/>
      <c r="CTV2468" s="60"/>
      <c r="CTW2468" s="60"/>
      <c r="CTX2468" s="60"/>
      <c r="CTY2468" s="63"/>
      <c r="CTZ2468" s="61"/>
      <c r="CUA2468" s="54"/>
      <c r="CUB2468" s="54"/>
      <c r="CUC2468" s="60"/>
      <c r="CUD2468" s="60"/>
      <c r="CUE2468" s="60"/>
      <c r="CUF2468" s="60"/>
      <c r="CUG2468" s="63"/>
      <c r="CUH2468" s="61"/>
      <c r="CUI2468" s="54"/>
      <c r="CUJ2468" s="54"/>
      <c r="CUK2468" s="60"/>
      <c r="CUL2468" s="60"/>
      <c r="CUM2468" s="60"/>
      <c r="CUN2468" s="60"/>
      <c r="CUO2468" s="63"/>
      <c r="CUP2468" s="61"/>
      <c r="CUQ2468" s="54"/>
      <c r="CUR2468" s="54"/>
      <c r="CUS2468" s="60"/>
      <c r="CUT2468" s="60"/>
      <c r="CUU2468" s="60"/>
      <c r="CUV2468" s="60"/>
      <c r="CUW2468" s="63"/>
      <c r="CUX2468" s="61"/>
      <c r="CUY2468" s="54"/>
      <c r="CUZ2468" s="54"/>
      <c r="CVA2468" s="60"/>
      <c r="CVB2468" s="60"/>
      <c r="CVC2468" s="60"/>
      <c r="CVD2468" s="60"/>
      <c r="CVE2468" s="63"/>
      <c r="CVF2468" s="61"/>
      <c r="CVG2468" s="54"/>
      <c r="CVH2468" s="54"/>
      <c r="CVI2468" s="60"/>
      <c r="CVJ2468" s="60"/>
      <c r="CVK2468" s="60"/>
      <c r="CVL2468" s="60"/>
      <c r="CVM2468" s="63"/>
      <c r="CVN2468" s="61"/>
      <c r="CVO2468" s="54"/>
      <c r="CVP2468" s="54"/>
      <c r="CVQ2468" s="60"/>
      <c r="CVR2468" s="60"/>
      <c r="CVS2468" s="60"/>
      <c r="CVT2468" s="60"/>
      <c r="CVU2468" s="63"/>
      <c r="CVV2468" s="61"/>
      <c r="CVW2468" s="54"/>
      <c r="CVX2468" s="54"/>
      <c r="CVY2468" s="60"/>
      <c r="CVZ2468" s="60"/>
      <c r="CWA2468" s="60"/>
      <c r="CWB2468" s="60"/>
      <c r="CWC2468" s="63"/>
      <c r="CWD2468" s="61"/>
      <c r="CWE2468" s="54"/>
      <c r="CWF2468" s="54"/>
      <c r="CWG2468" s="60"/>
      <c r="CWH2468" s="60"/>
      <c r="CWI2468" s="60"/>
      <c r="CWJ2468" s="60"/>
      <c r="CWK2468" s="63"/>
      <c r="CWL2468" s="61"/>
      <c r="CWM2468" s="54"/>
      <c r="CWN2468" s="54"/>
      <c r="CWO2468" s="60"/>
      <c r="CWP2468" s="60"/>
      <c r="CWQ2468" s="60"/>
      <c r="CWR2468" s="60"/>
      <c r="CWS2468" s="63"/>
      <c r="CWT2468" s="61"/>
      <c r="CWU2468" s="54"/>
      <c r="CWV2468" s="54"/>
      <c r="CWW2468" s="60"/>
      <c r="CWX2468" s="60"/>
      <c r="CWY2468" s="60"/>
      <c r="CWZ2468" s="60"/>
      <c r="CXA2468" s="63"/>
      <c r="CXB2468" s="61"/>
      <c r="CXC2468" s="54"/>
      <c r="CXD2468" s="54"/>
      <c r="CXE2468" s="60"/>
      <c r="CXF2468" s="60"/>
      <c r="CXG2468" s="60"/>
      <c r="CXH2468" s="60"/>
      <c r="CXI2468" s="63"/>
      <c r="CXJ2468" s="61"/>
      <c r="CXK2468" s="54"/>
      <c r="CXL2468" s="54"/>
      <c r="CXM2468" s="60"/>
      <c r="CXN2468" s="60"/>
      <c r="CXO2468" s="60"/>
      <c r="CXP2468" s="60"/>
      <c r="CXQ2468" s="63"/>
      <c r="CXR2468" s="61"/>
      <c r="CXS2468" s="54"/>
      <c r="CXT2468" s="54"/>
      <c r="CXU2468" s="60"/>
      <c r="CXV2468" s="60"/>
      <c r="CXW2468" s="60"/>
      <c r="CXX2468" s="60"/>
      <c r="CXY2468" s="63"/>
      <c r="CXZ2468" s="61"/>
      <c r="CYA2468" s="54"/>
      <c r="CYB2468" s="54"/>
      <c r="CYC2468" s="60"/>
      <c r="CYD2468" s="60"/>
      <c r="CYE2468" s="60"/>
      <c r="CYF2468" s="60"/>
      <c r="CYG2468" s="63"/>
      <c r="CYH2468" s="61"/>
      <c r="CYI2468" s="54"/>
      <c r="CYJ2468" s="54"/>
      <c r="CYK2468" s="60"/>
      <c r="CYL2468" s="60"/>
      <c r="CYM2468" s="60"/>
      <c r="CYN2468" s="60"/>
      <c r="CYO2468" s="63"/>
      <c r="CYP2468" s="61"/>
      <c r="CYQ2468" s="54"/>
      <c r="CYR2468" s="54"/>
      <c r="CYS2468" s="60"/>
      <c r="CYT2468" s="60"/>
      <c r="CYU2468" s="60"/>
      <c r="CYV2468" s="60"/>
      <c r="CYW2468" s="63"/>
      <c r="CYX2468" s="61"/>
      <c r="CYY2468" s="54"/>
      <c r="CYZ2468" s="54"/>
      <c r="CZA2468" s="60"/>
      <c r="CZB2468" s="60"/>
      <c r="CZC2468" s="60"/>
      <c r="CZD2468" s="60"/>
      <c r="CZE2468" s="63"/>
      <c r="CZF2468" s="61"/>
      <c r="CZG2468" s="54"/>
      <c r="CZH2468" s="54"/>
      <c r="CZI2468" s="60"/>
      <c r="CZJ2468" s="60"/>
      <c r="CZK2468" s="60"/>
      <c r="CZL2468" s="60"/>
      <c r="CZM2468" s="63"/>
      <c r="CZN2468" s="61"/>
      <c r="CZO2468" s="54"/>
      <c r="CZP2468" s="54"/>
      <c r="CZQ2468" s="60"/>
      <c r="CZR2468" s="60"/>
      <c r="CZS2468" s="60"/>
      <c r="CZT2468" s="60"/>
      <c r="CZU2468" s="63"/>
      <c r="CZV2468" s="61"/>
      <c r="CZW2468" s="54"/>
      <c r="CZX2468" s="54"/>
      <c r="CZY2468" s="60"/>
      <c r="CZZ2468" s="60"/>
      <c r="DAA2468" s="60"/>
      <c r="DAB2468" s="60"/>
      <c r="DAC2468" s="63"/>
      <c r="DAD2468" s="61"/>
      <c r="DAE2468" s="54"/>
      <c r="DAF2468" s="54"/>
      <c r="DAG2468" s="60"/>
      <c r="DAH2468" s="60"/>
      <c r="DAI2468" s="60"/>
      <c r="DAJ2468" s="60"/>
      <c r="DAK2468" s="63"/>
      <c r="DAL2468" s="61"/>
      <c r="DAM2468" s="54"/>
      <c r="DAN2468" s="54"/>
      <c r="DAO2468" s="60"/>
      <c r="DAP2468" s="60"/>
      <c r="DAQ2468" s="60"/>
      <c r="DAR2468" s="60"/>
      <c r="DAS2468" s="63"/>
      <c r="DAT2468" s="61"/>
      <c r="DAU2468" s="54"/>
      <c r="DAV2468" s="54"/>
      <c r="DAW2468" s="60"/>
      <c r="DAX2468" s="60"/>
      <c r="DAY2468" s="60"/>
      <c r="DAZ2468" s="60"/>
      <c r="DBA2468" s="63"/>
      <c r="DBB2468" s="61"/>
      <c r="DBC2468" s="54"/>
      <c r="DBD2468" s="54"/>
      <c r="DBE2468" s="60"/>
      <c r="DBF2468" s="60"/>
      <c r="DBG2468" s="60"/>
      <c r="DBH2468" s="60"/>
      <c r="DBI2468" s="63"/>
      <c r="DBJ2468" s="61"/>
      <c r="DBK2468" s="54"/>
      <c r="DBL2468" s="54"/>
      <c r="DBM2468" s="60"/>
      <c r="DBN2468" s="60"/>
      <c r="DBO2468" s="60"/>
      <c r="DBP2468" s="60"/>
      <c r="DBQ2468" s="63"/>
      <c r="DBR2468" s="61"/>
      <c r="DBS2468" s="54"/>
      <c r="DBT2468" s="54"/>
      <c r="DBU2468" s="60"/>
      <c r="DBV2468" s="60"/>
      <c r="DBW2468" s="60"/>
      <c r="DBX2468" s="60"/>
      <c r="DBY2468" s="63"/>
      <c r="DBZ2468" s="61"/>
      <c r="DCA2468" s="54"/>
      <c r="DCB2468" s="54"/>
      <c r="DCC2468" s="60"/>
      <c r="DCD2468" s="60"/>
      <c r="DCE2468" s="60"/>
      <c r="DCF2468" s="60"/>
      <c r="DCG2468" s="63"/>
      <c r="DCH2468" s="61"/>
      <c r="DCI2468" s="54"/>
      <c r="DCJ2468" s="54"/>
      <c r="DCK2468" s="60"/>
      <c r="DCL2468" s="60"/>
      <c r="DCM2468" s="60"/>
      <c r="DCN2468" s="60"/>
      <c r="DCO2468" s="63"/>
      <c r="DCP2468" s="61"/>
      <c r="DCQ2468" s="54"/>
      <c r="DCR2468" s="54"/>
      <c r="DCS2468" s="60"/>
      <c r="DCT2468" s="60"/>
      <c r="DCU2468" s="60"/>
      <c r="DCV2468" s="60"/>
      <c r="DCW2468" s="63"/>
      <c r="DCX2468" s="61"/>
      <c r="DCY2468" s="54"/>
      <c r="DCZ2468" s="54"/>
      <c r="DDA2468" s="60"/>
      <c r="DDB2468" s="60"/>
      <c r="DDC2468" s="60"/>
      <c r="DDD2468" s="60"/>
      <c r="DDE2468" s="63"/>
      <c r="DDF2468" s="61"/>
      <c r="DDG2468" s="54"/>
      <c r="DDH2468" s="54"/>
      <c r="DDI2468" s="60"/>
      <c r="DDJ2468" s="60"/>
      <c r="DDK2468" s="60"/>
      <c r="DDL2468" s="60"/>
      <c r="DDM2468" s="63"/>
      <c r="DDN2468" s="61"/>
      <c r="DDO2468" s="54"/>
      <c r="DDP2468" s="54"/>
      <c r="DDQ2468" s="60"/>
      <c r="DDR2468" s="60"/>
      <c r="DDS2468" s="60"/>
      <c r="DDT2468" s="60"/>
      <c r="DDU2468" s="63"/>
      <c r="DDV2468" s="61"/>
      <c r="DDW2468" s="54"/>
      <c r="DDX2468" s="54"/>
      <c r="DDY2468" s="60"/>
      <c r="DDZ2468" s="60"/>
      <c r="DEA2468" s="60"/>
      <c r="DEB2468" s="60"/>
      <c r="DEC2468" s="63"/>
      <c r="DED2468" s="61"/>
      <c r="DEE2468" s="54"/>
      <c r="DEF2468" s="54"/>
      <c r="DEG2468" s="60"/>
      <c r="DEH2468" s="60"/>
      <c r="DEI2468" s="60"/>
      <c r="DEJ2468" s="60"/>
      <c r="DEK2468" s="63"/>
      <c r="DEL2468" s="61"/>
      <c r="DEM2468" s="54"/>
      <c r="DEN2468" s="54"/>
      <c r="DEO2468" s="60"/>
      <c r="DEP2468" s="60"/>
      <c r="DEQ2468" s="60"/>
      <c r="DER2468" s="60"/>
      <c r="DES2468" s="63"/>
      <c r="DET2468" s="61"/>
      <c r="DEU2468" s="54"/>
      <c r="DEV2468" s="54"/>
      <c r="DEW2468" s="60"/>
      <c r="DEX2468" s="60"/>
      <c r="DEY2468" s="60"/>
      <c r="DEZ2468" s="60"/>
      <c r="DFA2468" s="63"/>
      <c r="DFB2468" s="61"/>
      <c r="DFC2468" s="54"/>
      <c r="DFD2468" s="54"/>
      <c r="DFE2468" s="60"/>
      <c r="DFF2468" s="60"/>
      <c r="DFG2468" s="60"/>
      <c r="DFH2468" s="60"/>
      <c r="DFI2468" s="63"/>
      <c r="DFJ2468" s="61"/>
      <c r="DFK2468" s="54"/>
      <c r="DFL2468" s="54"/>
      <c r="DFM2468" s="60"/>
      <c r="DFN2468" s="60"/>
      <c r="DFO2468" s="60"/>
      <c r="DFP2468" s="60"/>
      <c r="DFQ2468" s="63"/>
      <c r="DFR2468" s="61"/>
      <c r="DFS2468" s="54"/>
      <c r="DFT2468" s="54"/>
      <c r="DFU2468" s="60"/>
      <c r="DFV2468" s="60"/>
      <c r="DFW2468" s="60"/>
      <c r="DFX2468" s="60"/>
      <c r="DFY2468" s="63"/>
      <c r="DFZ2468" s="61"/>
      <c r="DGA2468" s="54"/>
      <c r="DGB2468" s="54"/>
      <c r="DGC2468" s="60"/>
      <c r="DGD2468" s="60"/>
      <c r="DGE2468" s="60"/>
      <c r="DGF2468" s="60"/>
      <c r="DGG2468" s="63"/>
      <c r="DGH2468" s="61"/>
      <c r="DGI2468" s="54"/>
      <c r="DGJ2468" s="54"/>
      <c r="DGK2468" s="60"/>
      <c r="DGL2468" s="60"/>
      <c r="DGM2468" s="60"/>
      <c r="DGN2468" s="60"/>
      <c r="DGO2468" s="63"/>
      <c r="DGP2468" s="61"/>
      <c r="DGQ2468" s="54"/>
      <c r="DGR2468" s="54"/>
      <c r="DGS2468" s="60"/>
      <c r="DGT2468" s="60"/>
      <c r="DGU2468" s="60"/>
      <c r="DGV2468" s="60"/>
      <c r="DGW2468" s="63"/>
      <c r="DGX2468" s="61"/>
      <c r="DGY2468" s="54"/>
      <c r="DGZ2468" s="54"/>
      <c r="DHA2468" s="60"/>
      <c r="DHB2468" s="60"/>
      <c r="DHC2468" s="60"/>
      <c r="DHD2468" s="60"/>
      <c r="DHE2468" s="63"/>
      <c r="DHF2468" s="61"/>
      <c r="DHG2468" s="54"/>
      <c r="DHH2468" s="54"/>
      <c r="DHI2468" s="60"/>
      <c r="DHJ2468" s="60"/>
      <c r="DHK2468" s="60"/>
      <c r="DHL2468" s="60"/>
      <c r="DHM2468" s="63"/>
      <c r="DHN2468" s="61"/>
      <c r="DHO2468" s="54"/>
      <c r="DHP2468" s="54"/>
      <c r="DHQ2468" s="60"/>
      <c r="DHR2468" s="60"/>
      <c r="DHS2468" s="60"/>
      <c r="DHT2468" s="60"/>
      <c r="DHU2468" s="63"/>
      <c r="DHV2468" s="61"/>
      <c r="DHW2468" s="54"/>
      <c r="DHX2468" s="54"/>
      <c r="DHY2468" s="60"/>
      <c r="DHZ2468" s="60"/>
      <c r="DIA2468" s="60"/>
      <c r="DIB2468" s="60"/>
      <c r="DIC2468" s="63"/>
      <c r="DID2468" s="61"/>
      <c r="DIE2468" s="54"/>
      <c r="DIF2468" s="54"/>
      <c r="DIG2468" s="60"/>
      <c r="DIH2468" s="60"/>
      <c r="DII2468" s="60"/>
      <c r="DIJ2468" s="60"/>
      <c r="DIK2468" s="63"/>
      <c r="DIL2468" s="61"/>
      <c r="DIM2468" s="54"/>
      <c r="DIN2468" s="54"/>
      <c r="DIO2468" s="60"/>
      <c r="DIP2468" s="60"/>
      <c r="DIQ2468" s="60"/>
      <c r="DIR2468" s="60"/>
      <c r="DIS2468" s="63"/>
      <c r="DIT2468" s="61"/>
      <c r="DIU2468" s="54"/>
      <c r="DIV2468" s="54"/>
      <c r="DIW2468" s="60"/>
      <c r="DIX2468" s="60"/>
      <c r="DIY2468" s="60"/>
      <c r="DIZ2468" s="60"/>
      <c r="DJA2468" s="63"/>
      <c r="DJB2468" s="61"/>
      <c r="DJC2468" s="54"/>
      <c r="DJD2468" s="54"/>
      <c r="DJE2468" s="60"/>
      <c r="DJF2468" s="60"/>
      <c r="DJG2468" s="60"/>
      <c r="DJH2468" s="60"/>
      <c r="DJI2468" s="63"/>
      <c r="DJJ2468" s="61"/>
      <c r="DJK2468" s="54"/>
      <c r="DJL2468" s="54"/>
      <c r="DJM2468" s="60"/>
      <c r="DJN2468" s="60"/>
      <c r="DJO2468" s="60"/>
      <c r="DJP2468" s="60"/>
      <c r="DJQ2468" s="63"/>
      <c r="DJR2468" s="61"/>
      <c r="DJS2468" s="54"/>
      <c r="DJT2468" s="54"/>
      <c r="DJU2468" s="60"/>
      <c r="DJV2468" s="60"/>
      <c r="DJW2468" s="60"/>
      <c r="DJX2468" s="60"/>
      <c r="DJY2468" s="63"/>
      <c r="DJZ2468" s="61"/>
      <c r="DKA2468" s="54"/>
      <c r="DKB2468" s="54"/>
      <c r="DKC2468" s="60"/>
      <c r="DKD2468" s="60"/>
      <c r="DKE2468" s="60"/>
      <c r="DKF2468" s="60"/>
      <c r="DKG2468" s="63"/>
      <c r="DKH2468" s="61"/>
      <c r="DKI2468" s="54"/>
      <c r="DKJ2468" s="54"/>
      <c r="DKK2468" s="60"/>
      <c r="DKL2468" s="60"/>
      <c r="DKM2468" s="60"/>
      <c r="DKN2468" s="60"/>
      <c r="DKO2468" s="63"/>
      <c r="DKP2468" s="61"/>
      <c r="DKQ2468" s="54"/>
      <c r="DKR2468" s="54"/>
      <c r="DKS2468" s="60"/>
      <c r="DKT2468" s="60"/>
      <c r="DKU2468" s="60"/>
      <c r="DKV2468" s="60"/>
      <c r="DKW2468" s="63"/>
      <c r="DKX2468" s="61"/>
      <c r="DKY2468" s="54"/>
      <c r="DKZ2468" s="54"/>
      <c r="DLA2468" s="60"/>
      <c r="DLB2468" s="60"/>
      <c r="DLC2468" s="60"/>
      <c r="DLD2468" s="60"/>
      <c r="DLE2468" s="63"/>
      <c r="DLF2468" s="61"/>
      <c r="DLG2468" s="54"/>
      <c r="DLH2468" s="54"/>
      <c r="DLI2468" s="60"/>
      <c r="DLJ2468" s="60"/>
      <c r="DLK2468" s="60"/>
      <c r="DLL2468" s="60"/>
      <c r="DLM2468" s="63"/>
      <c r="DLN2468" s="61"/>
      <c r="DLO2468" s="54"/>
      <c r="DLP2468" s="54"/>
      <c r="DLQ2468" s="60"/>
      <c r="DLR2468" s="60"/>
      <c r="DLS2468" s="60"/>
      <c r="DLT2468" s="60"/>
      <c r="DLU2468" s="63"/>
      <c r="DLV2468" s="61"/>
      <c r="DLW2468" s="54"/>
      <c r="DLX2468" s="54"/>
      <c r="DLY2468" s="60"/>
      <c r="DLZ2468" s="60"/>
      <c r="DMA2468" s="60"/>
      <c r="DMB2468" s="60"/>
      <c r="DMC2468" s="63"/>
      <c r="DMD2468" s="61"/>
      <c r="DME2468" s="54"/>
      <c r="DMF2468" s="54"/>
      <c r="DMG2468" s="60"/>
      <c r="DMH2468" s="60"/>
      <c r="DMI2468" s="60"/>
      <c r="DMJ2468" s="60"/>
      <c r="DMK2468" s="63"/>
      <c r="DML2468" s="61"/>
      <c r="DMM2468" s="54"/>
      <c r="DMN2468" s="54"/>
      <c r="DMO2468" s="60"/>
      <c r="DMP2468" s="60"/>
      <c r="DMQ2468" s="60"/>
      <c r="DMR2468" s="60"/>
      <c r="DMS2468" s="63"/>
      <c r="DMT2468" s="61"/>
      <c r="DMU2468" s="54"/>
      <c r="DMV2468" s="54"/>
      <c r="DMW2468" s="60"/>
      <c r="DMX2468" s="60"/>
      <c r="DMY2468" s="60"/>
      <c r="DMZ2468" s="60"/>
      <c r="DNA2468" s="63"/>
      <c r="DNB2468" s="61"/>
      <c r="DNC2468" s="54"/>
      <c r="DND2468" s="54"/>
      <c r="DNE2468" s="60"/>
      <c r="DNF2468" s="60"/>
      <c r="DNG2468" s="60"/>
      <c r="DNH2468" s="60"/>
      <c r="DNI2468" s="63"/>
      <c r="DNJ2468" s="61"/>
      <c r="DNK2468" s="54"/>
      <c r="DNL2468" s="54"/>
      <c r="DNM2468" s="60"/>
      <c r="DNN2468" s="60"/>
      <c r="DNO2468" s="60"/>
      <c r="DNP2468" s="60"/>
      <c r="DNQ2468" s="63"/>
      <c r="DNR2468" s="61"/>
      <c r="DNS2468" s="54"/>
      <c r="DNT2468" s="54"/>
      <c r="DNU2468" s="60"/>
      <c r="DNV2468" s="60"/>
      <c r="DNW2468" s="60"/>
      <c r="DNX2468" s="60"/>
      <c r="DNY2468" s="63"/>
      <c r="DNZ2468" s="61"/>
      <c r="DOA2468" s="54"/>
      <c r="DOB2468" s="54"/>
      <c r="DOC2468" s="60"/>
      <c r="DOD2468" s="60"/>
      <c r="DOE2468" s="60"/>
      <c r="DOF2468" s="60"/>
      <c r="DOG2468" s="63"/>
      <c r="DOH2468" s="61"/>
      <c r="DOI2468" s="54"/>
      <c r="DOJ2468" s="54"/>
      <c r="DOK2468" s="60"/>
      <c r="DOL2468" s="60"/>
      <c r="DOM2468" s="60"/>
      <c r="DON2468" s="60"/>
      <c r="DOO2468" s="63"/>
      <c r="DOP2468" s="61"/>
      <c r="DOQ2468" s="54"/>
      <c r="DOR2468" s="54"/>
      <c r="DOS2468" s="60"/>
      <c r="DOT2468" s="60"/>
      <c r="DOU2468" s="60"/>
      <c r="DOV2468" s="60"/>
      <c r="DOW2468" s="63"/>
      <c r="DOX2468" s="61"/>
      <c r="DOY2468" s="54"/>
      <c r="DOZ2468" s="54"/>
      <c r="DPA2468" s="60"/>
      <c r="DPB2468" s="60"/>
      <c r="DPC2468" s="60"/>
      <c r="DPD2468" s="60"/>
      <c r="DPE2468" s="63"/>
      <c r="DPF2468" s="61"/>
      <c r="DPG2468" s="54"/>
      <c r="DPH2468" s="54"/>
      <c r="DPI2468" s="60"/>
      <c r="DPJ2468" s="60"/>
      <c r="DPK2468" s="60"/>
      <c r="DPL2468" s="60"/>
      <c r="DPM2468" s="63"/>
      <c r="DPN2468" s="61"/>
      <c r="DPO2468" s="54"/>
      <c r="DPP2468" s="54"/>
      <c r="DPQ2468" s="60"/>
      <c r="DPR2468" s="60"/>
      <c r="DPS2468" s="60"/>
      <c r="DPT2468" s="60"/>
      <c r="DPU2468" s="63"/>
      <c r="DPV2468" s="61"/>
      <c r="DPW2468" s="54"/>
      <c r="DPX2468" s="54"/>
      <c r="DPY2468" s="60"/>
      <c r="DPZ2468" s="60"/>
      <c r="DQA2468" s="60"/>
      <c r="DQB2468" s="60"/>
      <c r="DQC2468" s="63"/>
      <c r="DQD2468" s="61"/>
      <c r="DQE2468" s="54"/>
      <c r="DQF2468" s="54"/>
      <c r="DQG2468" s="60"/>
      <c r="DQH2468" s="60"/>
      <c r="DQI2468" s="60"/>
      <c r="DQJ2468" s="60"/>
      <c r="DQK2468" s="63"/>
      <c r="DQL2468" s="61"/>
      <c r="DQM2468" s="54"/>
      <c r="DQN2468" s="54"/>
      <c r="DQO2468" s="60"/>
      <c r="DQP2468" s="60"/>
      <c r="DQQ2468" s="60"/>
      <c r="DQR2468" s="60"/>
      <c r="DQS2468" s="63"/>
      <c r="DQT2468" s="61"/>
      <c r="DQU2468" s="54"/>
      <c r="DQV2468" s="54"/>
      <c r="DQW2468" s="60"/>
      <c r="DQX2468" s="60"/>
      <c r="DQY2468" s="60"/>
      <c r="DQZ2468" s="60"/>
      <c r="DRA2468" s="63"/>
      <c r="DRB2468" s="61"/>
      <c r="DRC2468" s="54"/>
      <c r="DRD2468" s="54"/>
      <c r="DRE2468" s="60"/>
      <c r="DRF2468" s="60"/>
      <c r="DRG2468" s="60"/>
      <c r="DRH2468" s="60"/>
      <c r="DRI2468" s="63"/>
      <c r="DRJ2468" s="61"/>
      <c r="DRK2468" s="54"/>
      <c r="DRL2468" s="54"/>
      <c r="DRM2468" s="60"/>
      <c r="DRN2468" s="60"/>
      <c r="DRO2468" s="60"/>
      <c r="DRP2468" s="60"/>
      <c r="DRQ2468" s="63"/>
      <c r="DRR2468" s="61"/>
      <c r="DRS2468" s="54"/>
      <c r="DRT2468" s="54"/>
      <c r="DRU2468" s="60"/>
      <c r="DRV2468" s="60"/>
      <c r="DRW2468" s="60"/>
      <c r="DRX2468" s="60"/>
      <c r="DRY2468" s="63"/>
      <c r="DRZ2468" s="61"/>
      <c r="DSA2468" s="54"/>
      <c r="DSB2468" s="54"/>
      <c r="DSC2468" s="60"/>
      <c r="DSD2468" s="60"/>
      <c r="DSE2468" s="60"/>
      <c r="DSF2468" s="60"/>
      <c r="DSG2468" s="63"/>
      <c r="DSH2468" s="61"/>
      <c r="DSI2468" s="54"/>
      <c r="DSJ2468" s="54"/>
      <c r="DSK2468" s="60"/>
      <c r="DSL2468" s="60"/>
      <c r="DSM2468" s="60"/>
      <c r="DSN2468" s="60"/>
      <c r="DSO2468" s="63"/>
      <c r="DSP2468" s="61"/>
      <c r="DSQ2468" s="54"/>
      <c r="DSR2468" s="54"/>
      <c r="DSS2468" s="60"/>
      <c r="DST2468" s="60"/>
      <c r="DSU2468" s="60"/>
      <c r="DSV2468" s="60"/>
      <c r="DSW2468" s="63"/>
      <c r="DSX2468" s="61"/>
      <c r="DSY2468" s="54"/>
      <c r="DSZ2468" s="54"/>
      <c r="DTA2468" s="60"/>
      <c r="DTB2468" s="60"/>
      <c r="DTC2468" s="60"/>
      <c r="DTD2468" s="60"/>
      <c r="DTE2468" s="63"/>
      <c r="DTF2468" s="61"/>
      <c r="DTG2468" s="54"/>
      <c r="DTH2468" s="54"/>
      <c r="DTI2468" s="60"/>
      <c r="DTJ2468" s="60"/>
      <c r="DTK2468" s="60"/>
      <c r="DTL2468" s="60"/>
      <c r="DTM2468" s="63"/>
      <c r="DTN2468" s="61"/>
      <c r="DTO2468" s="54"/>
      <c r="DTP2468" s="54"/>
      <c r="DTQ2468" s="60"/>
      <c r="DTR2468" s="60"/>
      <c r="DTS2468" s="60"/>
      <c r="DTT2468" s="60"/>
      <c r="DTU2468" s="63"/>
      <c r="DTV2468" s="61"/>
      <c r="DTW2468" s="54"/>
      <c r="DTX2468" s="54"/>
      <c r="DTY2468" s="60"/>
      <c r="DTZ2468" s="60"/>
      <c r="DUA2468" s="60"/>
      <c r="DUB2468" s="60"/>
      <c r="DUC2468" s="63"/>
      <c r="DUD2468" s="61"/>
      <c r="DUE2468" s="54"/>
      <c r="DUF2468" s="54"/>
      <c r="DUG2468" s="60"/>
      <c r="DUH2468" s="60"/>
      <c r="DUI2468" s="60"/>
      <c r="DUJ2468" s="60"/>
      <c r="DUK2468" s="63"/>
      <c r="DUL2468" s="61"/>
      <c r="DUM2468" s="54"/>
      <c r="DUN2468" s="54"/>
      <c r="DUO2468" s="60"/>
      <c r="DUP2468" s="60"/>
      <c r="DUQ2468" s="60"/>
      <c r="DUR2468" s="60"/>
      <c r="DUS2468" s="63"/>
      <c r="DUT2468" s="61"/>
      <c r="DUU2468" s="54"/>
      <c r="DUV2468" s="54"/>
      <c r="DUW2468" s="60"/>
      <c r="DUX2468" s="60"/>
      <c r="DUY2468" s="60"/>
      <c r="DUZ2468" s="60"/>
      <c r="DVA2468" s="63"/>
      <c r="DVB2468" s="61"/>
      <c r="DVC2468" s="54"/>
      <c r="DVD2468" s="54"/>
      <c r="DVE2468" s="60"/>
      <c r="DVF2468" s="60"/>
      <c r="DVG2468" s="60"/>
      <c r="DVH2468" s="60"/>
      <c r="DVI2468" s="63"/>
      <c r="DVJ2468" s="61"/>
      <c r="DVK2468" s="54"/>
      <c r="DVL2468" s="54"/>
      <c r="DVM2468" s="60"/>
      <c r="DVN2468" s="60"/>
      <c r="DVO2468" s="60"/>
      <c r="DVP2468" s="60"/>
      <c r="DVQ2468" s="63"/>
      <c r="DVR2468" s="61"/>
      <c r="DVS2468" s="54"/>
      <c r="DVT2468" s="54"/>
      <c r="DVU2468" s="60"/>
      <c r="DVV2468" s="60"/>
      <c r="DVW2468" s="60"/>
      <c r="DVX2468" s="60"/>
      <c r="DVY2468" s="63"/>
      <c r="DVZ2468" s="61"/>
      <c r="DWA2468" s="54"/>
      <c r="DWB2468" s="54"/>
      <c r="DWC2468" s="60"/>
      <c r="DWD2468" s="60"/>
      <c r="DWE2468" s="60"/>
      <c r="DWF2468" s="60"/>
      <c r="DWG2468" s="63"/>
      <c r="DWH2468" s="61"/>
      <c r="DWI2468" s="54"/>
      <c r="DWJ2468" s="54"/>
      <c r="DWK2468" s="60"/>
      <c r="DWL2468" s="60"/>
      <c r="DWM2468" s="60"/>
      <c r="DWN2468" s="60"/>
      <c r="DWO2468" s="63"/>
      <c r="DWP2468" s="61"/>
      <c r="DWQ2468" s="54"/>
      <c r="DWR2468" s="54"/>
      <c r="DWS2468" s="60"/>
      <c r="DWT2468" s="60"/>
      <c r="DWU2468" s="60"/>
      <c r="DWV2468" s="60"/>
      <c r="DWW2468" s="63"/>
      <c r="DWX2468" s="61"/>
      <c r="DWY2468" s="54"/>
      <c r="DWZ2468" s="54"/>
      <c r="DXA2468" s="60"/>
      <c r="DXB2468" s="60"/>
      <c r="DXC2468" s="60"/>
      <c r="DXD2468" s="60"/>
      <c r="DXE2468" s="63"/>
      <c r="DXF2468" s="61"/>
      <c r="DXG2468" s="54"/>
      <c r="DXH2468" s="54"/>
      <c r="DXI2468" s="60"/>
      <c r="DXJ2468" s="60"/>
      <c r="DXK2468" s="60"/>
      <c r="DXL2468" s="60"/>
      <c r="DXM2468" s="63"/>
      <c r="DXN2468" s="61"/>
      <c r="DXO2468" s="54"/>
      <c r="DXP2468" s="54"/>
      <c r="DXQ2468" s="60"/>
      <c r="DXR2468" s="60"/>
      <c r="DXS2468" s="60"/>
      <c r="DXT2468" s="60"/>
      <c r="DXU2468" s="63"/>
      <c r="DXV2468" s="61"/>
      <c r="DXW2468" s="54"/>
      <c r="DXX2468" s="54"/>
      <c r="DXY2468" s="60"/>
      <c r="DXZ2468" s="60"/>
      <c r="DYA2468" s="60"/>
      <c r="DYB2468" s="60"/>
      <c r="DYC2468" s="63"/>
      <c r="DYD2468" s="61"/>
      <c r="DYE2468" s="54"/>
      <c r="DYF2468" s="54"/>
      <c r="DYG2468" s="60"/>
      <c r="DYH2468" s="60"/>
      <c r="DYI2468" s="60"/>
      <c r="DYJ2468" s="60"/>
      <c r="DYK2468" s="63"/>
      <c r="DYL2468" s="61"/>
      <c r="DYM2468" s="54"/>
      <c r="DYN2468" s="54"/>
      <c r="DYO2468" s="60"/>
      <c r="DYP2468" s="60"/>
      <c r="DYQ2468" s="60"/>
      <c r="DYR2468" s="60"/>
      <c r="DYS2468" s="63"/>
      <c r="DYT2468" s="61"/>
      <c r="DYU2468" s="54"/>
      <c r="DYV2468" s="54"/>
      <c r="DYW2468" s="60"/>
      <c r="DYX2468" s="60"/>
      <c r="DYY2468" s="60"/>
      <c r="DYZ2468" s="60"/>
      <c r="DZA2468" s="63"/>
      <c r="DZB2468" s="61"/>
      <c r="DZC2468" s="54"/>
      <c r="DZD2468" s="54"/>
      <c r="DZE2468" s="60"/>
      <c r="DZF2468" s="60"/>
      <c r="DZG2468" s="60"/>
      <c r="DZH2468" s="60"/>
      <c r="DZI2468" s="63"/>
      <c r="DZJ2468" s="61"/>
      <c r="DZK2468" s="54"/>
      <c r="DZL2468" s="54"/>
      <c r="DZM2468" s="60"/>
      <c r="DZN2468" s="60"/>
      <c r="DZO2468" s="60"/>
      <c r="DZP2468" s="60"/>
      <c r="DZQ2468" s="63"/>
      <c r="DZR2468" s="61"/>
      <c r="DZS2468" s="54"/>
      <c r="DZT2468" s="54"/>
      <c r="DZU2468" s="60"/>
      <c r="DZV2468" s="60"/>
      <c r="DZW2468" s="60"/>
      <c r="DZX2468" s="60"/>
      <c r="DZY2468" s="63"/>
      <c r="DZZ2468" s="61"/>
      <c r="EAA2468" s="54"/>
      <c r="EAB2468" s="54"/>
      <c r="EAC2468" s="60"/>
      <c r="EAD2468" s="60"/>
      <c r="EAE2468" s="60"/>
      <c r="EAF2468" s="60"/>
      <c r="EAG2468" s="63"/>
      <c r="EAH2468" s="61"/>
      <c r="EAI2468" s="54"/>
      <c r="EAJ2468" s="54"/>
      <c r="EAK2468" s="60"/>
      <c r="EAL2468" s="60"/>
      <c r="EAM2468" s="60"/>
      <c r="EAN2468" s="60"/>
      <c r="EAO2468" s="63"/>
      <c r="EAP2468" s="61"/>
      <c r="EAQ2468" s="54"/>
      <c r="EAR2468" s="54"/>
      <c r="EAS2468" s="60"/>
      <c r="EAT2468" s="60"/>
      <c r="EAU2468" s="60"/>
      <c r="EAV2468" s="60"/>
      <c r="EAW2468" s="63"/>
      <c r="EAX2468" s="61"/>
      <c r="EAY2468" s="54"/>
      <c r="EAZ2468" s="54"/>
      <c r="EBA2468" s="60"/>
      <c r="EBB2468" s="60"/>
      <c r="EBC2468" s="60"/>
      <c r="EBD2468" s="60"/>
      <c r="EBE2468" s="63"/>
      <c r="EBF2468" s="61"/>
      <c r="EBG2468" s="54"/>
      <c r="EBH2468" s="54"/>
      <c r="EBI2468" s="60"/>
      <c r="EBJ2468" s="60"/>
      <c r="EBK2468" s="60"/>
      <c r="EBL2468" s="60"/>
      <c r="EBM2468" s="63"/>
      <c r="EBN2468" s="61"/>
      <c r="EBO2468" s="54"/>
      <c r="EBP2468" s="54"/>
      <c r="EBQ2468" s="60"/>
      <c r="EBR2468" s="60"/>
      <c r="EBS2468" s="60"/>
      <c r="EBT2468" s="60"/>
      <c r="EBU2468" s="63"/>
      <c r="EBV2468" s="61"/>
      <c r="EBW2468" s="54"/>
      <c r="EBX2468" s="54"/>
      <c r="EBY2468" s="60"/>
      <c r="EBZ2468" s="60"/>
      <c r="ECA2468" s="60"/>
      <c r="ECB2468" s="60"/>
      <c r="ECC2468" s="63"/>
      <c r="ECD2468" s="61"/>
      <c r="ECE2468" s="54"/>
      <c r="ECF2468" s="54"/>
      <c r="ECG2468" s="60"/>
      <c r="ECH2468" s="60"/>
      <c r="ECI2468" s="60"/>
      <c r="ECJ2468" s="60"/>
      <c r="ECK2468" s="63"/>
      <c r="ECL2468" s="61"/>
      <c r="ECM2468" s="54"/>
      <c r="ECN2468" s="54"/>
      <c r="ECO2468" s="60"/>
      <c r="ECP2468" s="60"/>
      <c r="ECQ2468" s="60"/>
      <c r="ECR2468" s="60"/>
      <c r="ECS2468" s="63"/>
      <c r="ECT2468" s="61"/>
      <c r="ECU2468" s="54"/>
      <c r="ECV2468" s="54"/>
      <c r="ECW2468" s="60"/>
      <c r="ECX2468" s="60"/>
      <c r="ECY2468" s="60"/>
      <c r="ECZ2468" s="60"/>
      <c r="EDA2468" s="63"/>
      <c r="EDB2468" s="61"/>
      <c r="EDC2468" s="54"/>
      <c r="EDD2468" s="54"/>
      <c r="EDE2468" s="60"/>
      <c r="EDF2468" s="60"/>
      <c r="EDG2468" s="60"/>
      <c r="EDH2468" s="60"/>
      <c r="EDI2468" s="63"/>
      <c r="EDJ2468" s="61"/>
      <c r="EDK2468" s="54"/>
      <c r="EDL2468" s="54"/>
      <c r="EDM2468" s="60"/>
      <c r="EDN2468" s="60"/>
      <c r="EDO2468" s="60"/>
      <c r="EDP2468" s="60"/>
      <c r="EDQ2468" s="63"/>
      <c r="EDR2468" s="61"/>
      <c r="EDS2468" s="54"/>
      <c r="EDT2468" s="54"/>
      <c r="EDU2468" s="60"/>
      <c r="EDV2468" s="60"/>
      <c r="EDW2468" s="60"/>
      <c r="EDX2468" s="60"/>
      <c r="EDY2468" s="63"/>
      <c r="EDZ2468" s="61"/>
      <c r="EEA2468" s="54"/>
      <c r="EEB2468" s="54"/>
      <c r="EEC2468" s="60"/>
      <c r="EED2468" s="60"/>
      <c r="EEE2468" s="60"/>
      <c r="EEF2468" s="60"/>
      <c r="EEG2468" s="63"/>
      <c r="EEH2468" s="61"/>
      <c r="EEI2468" s="54"/>
      <c r="EEJ2468" s="54"/>
      <c r="EEK2468" s="60"/>
      <c r="EEL2468" s="60"/>
      <c r="EEM2468" s="60"/>
      <c r="EEN2468" s="60"/>
      <c r="EEO2468" s="63"/>
      <c r="EEP2468" s="61"/>
      <c r="EEQ2468" s="54"/>
      <c r="EER2468" s="54"/>
      <c r="EES2468" s="60"/>
      <c r="EET2468" s="60"/>
      <c r="EEU2468" s="60"/>
      <c r="EEV2468" s="60"/>
      <c r="EEW2468" s="63"/>
      <c r="EEX2468" s="61"/>
      <c r="EEY2468" s="54"/>
      <c r="EEZ2468" s="54"/>
      <c r="EFA2468" s="60"/>
      <c r="EFB2468" s="60"/>
      <c r="EFC2468" s="60"/>
      <c r="EFD2468" s="60"/>
      <c r="EFE2468" s="63"/>
      <c r="EFF2468" s="61"/>
      <c r="EFG2468" s="54"/>
      <c r="EFH2468" s="54"/>
      <c r="EFI2468" s="60"/>
      <c r="EFJ2468" s="60"/>
      <c r="EFK2468" s="60"/>
      <c r="EFL2468" s="60"/>
      <c r="EFM2468" s="63"/>
      <c r="EFN2468" s="61"/>
      <c r="EFO2468" s="54"/>
      <c r="EFP2468" s="54"/>
      <c r="EFQ2468" s="60"/>
      <c r="EFR2468" s="60"/>
      <c r="EFS2468" s="60"/>
      <c r="EFT2468" s="60"/>
      <c r="EFU2468" s="63"/>
      <c r="EFV2468" s="61"/>
      <c r="EFW2468" s="54"/>
      <c r="EFX2468" s="54"/>
      <c r="EFY2468" s="60"/>
      <c r="EFZ2468" s="60"/>
      <c r="EGA2468" s="60"/>
      <c r="EGB2468" s="60"/>
      <c r="EGC2468" s="63"/>
      <c r="EGD2468" s="61"/>
      <c r="EGE2468" s="54"/>
      <c r="EGF2468" s="54"/>
      <c r="EGG2468" s="60"/>
      <c r="EGH2468" s="60"/>
      <c r="EGI2468" s="60"/>
      <c r="EGJ2468" s="60"/>
      <c r="EGK2468" s="63"/>
      <c r="EGL2468" s="61"/>
      <c r="EGM2468" s="54"/>
      <c r="EGN2468" s="54"/>
      <c r="EGO2468" s="60"/>
      <c r="EGP2468" s="60"/>
      <c r="EGQ2468" s="60"/>
      <c r="EGR2468" s="60"/>
      <c r="EGS2468" s="63"/>
      <c r="EGT2468" s="61"/>
      <c r="EGU2468" s="54"/>
      <c r="EGV2468" s="54"/>
      <c r="EGW2468" s="60"/>
      <c r="EGX2468" s="60"/>
      <c r="EGY2468" s="60"/>
      <c r="EGZ2468" s="60"/>
      <c r="EHA2468" s="63"/>
      <c r="EHB2468" s="61"/>
      <c r="EHC2468" s="54"/>
      <c r="EHD2468" s="54"/>
      <c r="EHE2468" s="60"/>
      <c r="EHF2468" s="60"/>
      <c r="EHG2468" s="60"/>
      <c r="EHH2468" s="60"/>
      <c r="EHI2468" s="63"/>
      <c r="EHJ2468" s="61"/>
      <c r="EHK2468" s="54"/>
      <c r="EHL2468" s="54"/>
      <c r="EHM2468" s="60"/>
      <c r="EHN2468" s="60"/>
      <c r="EHO2468" s="60"/>
      <c r="EHP2468" s="60"/>
      <c r="EHQ2468" s="63"/>
      <c r="EHR2468" s="61"/>
      <c r="EHS2468" s="54"/>
      <c r="EHT2468" s="54"/>
      <c r="EHU2468" s="60"/>
      <c r="EHV2468" s="60"/>
      <c r="EHW2468" s="60"/>
      <c r="EHX2468" s="60"/>
      <c r="EHY2468" s="63"/>
      <c r="EHZ2468" s="61"/>
      <c r="EIA2468" s="54"/>
      <c r="EIB2468" s="54"/>
      <c r="EIC2468" s="60"/>
      <c r="EID2468" s="60"/>
      <c r="EIE2468" s="60"/>
      <c r="EIF2468" s="60"/>
      <c r="EIG2468" s="63"/>
      <c r="EIH2468" s="61"/>
      <c r="EII2468" s="54"/>
      <c r="EIJ2468" s="54"/>
      <c r="EIK2468" s="60"/>
      <c r="EIL2468" s="60"/>
      <c r="EIM2468" s="60"/>
      <c r="EIN2468" s="60"/>
      <c r="EIO2468" s="63"/>
      <c r="EIP2468" s="61"/>
      <c r="EIQ2468" s="54"/>
      <c r="EIR2468" s="54"/>
      <c r="EIS2468" s="60"/>
      <c r="EIT2468" s="60"/>
      <c r="EIU2468" s="60"/>
      <c r="EIV2468" s="60"/>
      <c r="EIW2468" s="63"/>
      <c r="EIX2468" s="61"/>
      <c r="EIY2468" s="54"/>
      <c r="EIZ2468" s="54"/>
      <c r="EJA2468" s="60"/>
      <c r="EJB2468" s="60"/>
      <c r="EJC2468" s="60"/>
      <c r="EJD2468" s="60"/>
      <c r="EJE2468" s="63"/>
      <c r="EJF2468" s="61"/>
      <c r="EJG2468" s="54"/>
      <c r="EJH2468" s="54"/>
      <c r="EJI2468" s="60"/>
      <c r="EJJ2468" s="60"/>
      <c r="EJK2468" s="60"/>
      <c r="EJL2468" s="60"/>
      <c r="EJM2468" s="63"/>
      <c r="EJN2468" s="61"/>
      <c r="EJO2468" s="54"/>
      <c r="EJP2468" s="54"/>
      <c r="EJQ2468" s="60"/>
      <c r="EJR2468" s="60"/>
      <c r="EJS2468" s="60"/>
      <c r="EJT2468" s="60"/>
      <c r="EJU2468" s="63"/>
      <c r="EJV2468" s="61"/>
      <c r="EJW2468" s="54"/>
      <c r="EJX2468" s="54"/>
      <c r="EJY2468" s="60"/>
      <c r="EJZ2468" s="60"/>
      <c r="EKA2468" s="60"/>
      <c r="EKB2468" s="60"/>
      <c r="EKC2468" s="63"/>
      <c r="EKD2468" s="61"/>
      <c r="EKE2468" s="54"/>
      <c r="EKF2468" s="54"/>
      <c r="EKG2468" s="60"/>
      <c r="EKH2468" s="60"/>
      <c r="EKI2468" s="60"/>
      <c r="EKJ2468" s="60"/>
      <c r="EKK2468" s="63"/>
      <c r="EKL2468" s="61"/>
      <c r="EKM2468" s="54"/>
      <c r="EKN2468" s="54"/>
      <c r="EKO2468" s="60"/>
      <c r="EKP2468" s="60"/>
      <c r="EKQ2468" s="60"/>
      <c r="EKR2468" s="60"/>
      <c r="EKS2468" s="63"/>
      <c r="EKT2468" s="61"/>
      <c r="EKU2468" s="54"/>
      <c r="EKV2468" s="54"/>
      <c r="EKW2468" s="60"/>
      <c r="EKX2468" s="60"/>
      <c r="EKY2468" s="60"/>
      <c r="EKZ2468" s="60"/>
      <c r="ELA2468" s="63"/>
      <c r="ELB2468" s="61"/>
      <c r="ELC2468" s="54"/>
      <c r="ELD2468" s="54"/>
      <c r="ELE2468" s="60"/>
      <c r="ELF2468" s="60"/>
      <c r="ELG2468" s="60"/>
      <c r="ELH2468" s="60"/>
      <c r="ELI2468" s="63"/>
      <c r="ELJ2468" s="61"/>
      <c r="ELK2468" s="54"/>
      <c r="ELL2468" s="54"/>
      <c r="ELM2468" s="60"/>
      <c r="ELN2468" s="60"/>
      <c r="ELO2468" s="60"/>
      <c r="ELP2468" s="60"/>
      <c r="ELQ2468" s="63"/>
      <c r="ELR2468" s="61"/>
      <c r="ELS2468" s="54"/>
      <c r="ELT2468" s="54"/>
      <c r="ELU2468" s="60"/>
      <c r="ELV2468" s="60"/>
      <c r="ELW2468" s="60"/>
      <c r="ELX2468" s="60"/>
      <c r="ELY2468" s="63"/>
      <c r="ELZ2468" s="61"/>
      <c r="EMA2468" s="54"/>
      <c r="EMB2468" s="54"/>
      <c r="EMC2468" s="60"/>
      <c r="EMD2468" s="60"/>
      <c r="EME2468" s="60"/>
      <c r="EMF2468" s="60"/>
      <c r="EMG2468" s="63"/>
      <c r="EMH2468" s="61"/>
      <c r="EMI2468" s="54"/>
      <c r="EMJ2468" s="54"/>
      <c r="EMK2468" s="60"/>
      <c r="EML2468" s="60"/>
      <c r="EMM2468" s="60"/>
      <c r="EMN2468" s="60"/>
      <c r="EMO2468" s="63"/>
      <c r="EMP2468" s="61"/>
      <c r="EMQ2468" s="54"/>
      <c r="EMR2468" s="54"/>
      <c r="EMS2468" s="60"/>
      <c r="EMT2468" s="60"/>
      <c r="EMU2468" s="60"/>
      <c r="EMV2468" s="60"/>
      <c r="EMW2468" s="63"/>
      <c r="EMX2468" s="61"/>
      <c r="EMY2468" s="54"/>
      <c r="EMZ2468" s="54"/>
      <c r="ENA2468" s="60"/>
      <c r="ENB2468" s="60"/>
      <c r="ENC2468" s="60"/>
      <c r="END2468" s="60"/>
      <c r="ENE2468" s="63"/>
      <c r="ENF2468" s="61"/>
      <c r="ENG2468" s="54"/>
      <c r="ENH2468" s="54"/>
      <c r="ENI2468" s="60"/>
      <c r="ENJ2468" s="60"/>
      <c r="ENK2468" s="60"/>
      <c r="ENL2468" s="60"/>
      <c r="ENM2468" s="63"/>
      <c r="ENN2468" s="61"/>
      <c r="ENO2468" s="54"/>
      <c r="ENP2468" s="54"/>
      <c r="ENQ2468" s="60"/>
      <c r="ENR2468" s="60"/>
      <c r="ENS2468" s="60"/>
      <c r="ENT2468" s="60"/>
      <c r="ENU2468" s="63"/>
      <c r="ENV2468" s="61"/>
      <c r="ENW2468" s="54"/>
      <c r="ENX2468" s="54"/>
      <c r="ENY2468" s="60"/>
      <c r="ENZ2468" s="60"/>
      <c r="EOA2468" s="60"/>
      <c r="EOB2468" s="60"/>
      <c r="EOC2468" s="63"/>
      <c r="EOD2468" s="61"/>
      <c r="EOE2468" s="54"/>
      <c r="EOF2468" s="54"/>
      <c r="EOG2468" s="60"/>
      <c r="EOH2468" s="60"/>
      <c r="EOI2468" s="60"/>
      <c r="EOJ2468" s="60"/>
      <c r="EOK2468" s="63"/>
      <c r="EOL2468" s="61"/>
      <c r="EOM2468" s="54"/>
      <c r="EON2468" s="54"/>
      <c r="EOO2468" s="60"/>
      <c r="EOP2468" s="60"/>
      <c r="EOQ2468" s="60"/>
      <c r="EOR2468" s="60"/>
      <c r="EOS2468" s="63"/>
      <c r="EOT2468" s="61"/>
      <c r="EOU2468" s="54"/>
      <c r="EOV2468" s="54"/>
      <c r="EOW2468" s="60"/>
      <c r="EOX2468" s="60"/>
      <c r="EOY2468" s="60"/>
      <c r="EOZ2468" s="60"/>
      <c r="EPA2468" s="63"/>
      <c r="EPB2468" s="61"/>
      <c r="EPC2468" s="54"/>
      <c r="EPD2468" s="54"/>
      <c r="EPE2468" s="60"/>
      <c r="EPF2468" s="60"/>
      <c r="EPG2468" s="60"/>
      <c r="EPH2468" s="60"/>
      <c r="EPI2468" s="63"/>
      <c r="EPJ2468" s="61"/>
      <c r="EPK2468" s="54"/>
      <c r="EPL2468" s="54"/>
      <c r="EPM2468" s="60"/>
      <c r="EPN2468" s="60"/>
      <c r="EPO2468" s="60"/>
      <c r="EPP2468" s="60"/>
      <c r="EPQ2468" s="63"/>
      <c r="EPR2468" s="61"/>
      <c r="EPS2468" s="54"/>
      <c r="EPT2468" s="54"/>
      <c r="EPU2468" s="60"/>
      <c r="EPV2468" s="60"/>
      <c r="EPW2468" s="60"/>
      <c r="EPX2468" s="60"/>
      <c r="EPY2468" s="63"/>
      <c r="EPZ2468" s="61"/>
      <c r="EQA2468" s="54"/>
      <c r="EQB2468" s="54"/>
      <c r="EQC2468" s="60"/>
      <c r="EQD2468" s="60"/>
      <c r="EQE2468" s="60"/>
      <c r="EQF2468" s="60"/>
      <c r="EQG2468" s="63"/>
      <c r="EQH2468" s="61"/>
      <c r="EQI2468" s="54"/>
      <c r="EQJ2468" s="54"/>
      <c r="EQK2468" s="60"/>
      <c r="EQL2468" s="60"/>
      <c r="EQM2468" s="60"/>
      <c r="EQN2468" s="60"/>
      <c r="EQO2468" s="63"/>
      <c r="EQP2468" s="61"/>
      <c r="EQQ2468" s="54"/>
      <c r="EQR2468" s="54"/>
      <c r="EQS2468" s="60"/>
      <c r="EQT2468" s="60"/>
      <c r="EQU2468" s="60"/>
      <c r="EQV2468" s="60"/>
      <c r="EQW2468" s="63"/>
      <c r="EQX2468" s="61"/>
      <c r="EQY2468" s="54"/>
      <c r="EQZ2468" s="54"/>
      <c r="ERA2468" s="60"/>
      <c r="ERB2468" s="60"/>
      <c r="ERC2468" s="60"/>
      <c r="ERD2468" s="60"/>
      <c r="ERE2468" s="63"/>
      <c r="ERF2468" s="61"/>
      <c r="ERG2468" s="54"/>
      <c r="ERH2468" s="54"/>
      <c r="ERI2468" s="60"/>
      <c r="ERJ2468" s="60"/>
      <c r="ERK2468" s="60"/>
      <c r="ERL2468" s="60"/>
      <c r="ERM2468" s="63"/>
      <c r="ERN2468" s="61"/>
      <c r="ERO2468" s="54"/>
      <c r="ERP2468" s="54"/>
      <c r="ERQ2468" s="60"/>
      <c r="ERR2468" s="60"/>
      <c r="ERS2468" s="60"/>
      <c r="ERT2468" s="60"/>
      <c r="ERU2468" s="63"/>
      <c r="ERV2468" s="61"/>
      <c r="ERW2468" s="54"/>
      <c r="ERX2468" s="54"/>
      <c r="ERY2468" s="60"/>
      <c r="ERZ2468" s="60"/>
      <c r="ESA2468" s="60"/>
      <c r="ESB2468" s="60"/>
      <c r="ESC2468" s="63"/>
      <c r="ESD2468" s="61"/>
      <c r="ESE2468" s="54"/>
      <c r="ESF2468" s="54"/>
      <c r="ESG2468" s="60"/>
      <c r="ESH2468" s="60"/>
      <c r="ESI2468" s="60"/>
      <c r="ESJ2468" s="60"/>
      <c r="ESK2468" s="63"/>
      <c r="ESL2468" s="61"/>
      <c r="ESM2468" s="54"/>
      <c r="ESN2468" s="54"/>
      <c r="ESO2468" s="60"/>
      <c r="ESP2468" s="60"/>
      <c r="ESQ2468" s="60"/>
      <c r="ESR2468" s="60"/>
      <c r="ESS2468" s="63"/>
      <c r="EST2468" s="61"/>
      <c r="ESU2468" s="54"/>
      <c r="ESV2468" s="54"/>
      <c r="ESW2468" s="60"/>
      <c r="ESX2468" s="60"/>
      <c r="ESY2468" s="60"/>
      <c r="ESZ2468" s="60"/>
      <c r="ETA2468" s="63"/>
      <c r="ETB2468" s="61"/>
      <c r="ETC2468" s="54"/>
      <c r="ETD2468" s="54"/>
      <c r="ETE2468" s="60"/>
      <c r="ETF2468" s="60"/>
      <c r="ETG2468" s="60"/>
      <c r="ETH2468" s="60"/>
      <c r="ETI2468" s="63"/>
      <c r="ETJ2468" s="61"/>
      <c r="ETK2468" s="54"/>
      <c r="ETL2468" s="54"/>
      <c r="ETM2468" s="60"/>
      <c r="ETN2468" s="60"/>
      <c r="ETO2468" s="60"/>
      <c r="ETP2468" s="60"/>
      <c r="ETQ2468" s="63"/>
      <c r="ETR2468" s="61"/>
      <c r="ETS2468" s="54"/>
      <c r="ETT2468" s="54"/>
      <c r="ETU2468" s="60"/>
      <c r="ETV2468" s="60"/>
      <c r="ETW2468" s="60"/>
      <c r="ETX2468" s="60"/>
      <c r="ETY2468" s="63"/>
      <c r="ETZ2468" s="61"/>
      <c r="EUA2468" s="54"/>
      <c r="EUB2468" s="54"/>
      <c r="EUC2468" s="60"/>
      <c r="EUD2468" s="60"/>
      <c r="EUE2468" s="60"/>
      <c r="EUF2468" s="60"/>
      <c r="EUG2468" s="63"/>
      <c r="EUH2468" s="61"/>
      <c r="EUI2468" s="54"/>
      <c r="EUJ2468" s="54"/>
      <c r="EUK2468" s="60"/>
      <c r="EUL2468" s="60"/>
      <c r="EUM2468" s="60"/>
      <c r="EUN2468" s="60"/>
      <c r="EUO2468" s="63"/>
      <c r="EUP2468" s="61"/>
      <c r="EUQ2468" s="54"/>
      <c r="EUR2468" s="54"/>
      <c r="EUS2468" s="60"/>
      <c r="EUT2468" s="60"/>
      <c r="EUU2468" s="60"/>
      <c r="EUV2468" s="60"/>
      <c r="EUW2468" s="63"/>
      <c r="EUX2468" s="61"/>
      <c r="EUY2468" s="54"/>
      <c r="EUZ2468" s="54"/>
      <c r="EVA2468" s="60"/>
      <c r="EVB2468" s="60"/>
      <c r="EVC2468" s="60"/>
      <c r="EVD2468" s="60"/>
      <c r="EVE2468" s="63"/>
      <c r="EVF2468" s="61"/>
      <c r="EVG2468" s="54"/>
      <c r="EVH2468" s="54"/>
      <c r="EVI2468" s="60"/>
      <c r="EVJ2468" s="60"/>
      <c r="EVK2468" s="60"/>
      <c r="EVL2468" s="60"/>
      <c r="EVM2468" s="63"/>
      <c r="EVN2468" s="61"/>
      <c r="EVO2468" s="54"/>
      <c r="EVP2468" s="54"/>
      <c r="EVQ2468" s="60"/>
      <c r="EVR2468" s="60"/>
      <c r="EVS2468" s="60"/>
      <c r="EVT2468" s="60"/>
      <c r="EVU2468" s="63"/>
      <c r="EVV2468" s="61"/>
      <c r="EVW2468" s="54"/>
      <c r="EVX2468" s="54"/>
      <c r="EVY2468" s="60"/>
      <c r="EVZ2468" s="60"/>
      <c r="EWA2468" s="60"/>
      <c r="EWB2468" s="60"/>
      <c r="EWC2468" s="63"/>
      <c r="EWD2468" s="61"/>
      <c r="EWE2468" s="54"/>
      <c r="EWF2468" s="54"/>
      <c r="EWG2468" s="60"/>
      <c r="EWH2468" s="60"/>
      <c r="EWI2468" s="60"/>
      <c r="EWJ2468" s="60"/>
      <c r="EWK2468" s="63"/>
      <c r="EWL2468" s="61"/>
      <c r="EWM2468" s="54"/>
      <c r="EWN2468" s="54"/>
      <c r="EWO2468" s="60"/>
      <c r="EWP2468" s="60"/>
      <c r="EWQ2468" s="60"/>
      <c r="EWR2468" s="60"/>
      <c r="EWS2468" s="63"/>
      <c r="EWT2468" s="61"/>
      <c r="EWU2468" s="54"/>
      <c r="EWV2468" s="54"/>
      <c r="EWW2468" s="60"/>
      <c r="EWX2468" s="60"/>
      <c r="EWY2468" s="60"/>
      <c r="EWZ2468" s="60"/>
      <c r="EXA2468" s="63"/>
      <c r="EXB2468" s="61"/>
      <c r="EXC2468" s="54"/>
      <c r="EXD2468" s="54"/>
      <c r="EXE2468" s="60"/>
      <c r="EXF2468" s="60"/>
      <c r="EXG2468" s="60"/>
      <c r="EXH2468" s="60"/>
      <c r="EXI2468" s="63"/>
      <c r="EXJ2468" s="61"/>
      <c r="EXK2468" s="54"/>
      <c r="EXL2468" s="54"/>
      <c r="EXM2468" s="60"/>
      <c r="EXN2468" s="60"/>
      <c r="EXO2468" s="60"/>
      <c r="EXP2468" s="60"/>
      <c r="EXQ2468" s="63"/>
      <c r="EXR2468" s="61"/>
      <c r="EXS2468" s="54"/>
      <c r="EXT2468" s="54"/>
      <c r="EXU2468" s="60"/>
      <c r="EXV2468" s="60"/>
      <c r="EXW2468" s="60"/>
      <c r="EXX2468" s="60"/>
      <c r="EXY2468" s="63"/>
      <c r="EXZ2468" s="61"/>
      <c r="EYA2468" s="54"/>
      <c r="EYB2468" s="54"/>
      <c r="EYC2468" s="60"/>
      <c r="EYD2468" s="60"/>
      <c r="EYE2468" s="60"/>
      <c r="EYF2468" s="60"/>
      <c r="EYG2468" s="63"/>
      <c r="EYH2468" s="61"/>
      <c r="EYI2468" s="54"/>
      <c r="EYJ2468" s="54"/>
      <c r="EYK2468" s="60"/>
      <c r="EYL2468" s="60"/>
      <c r="EYM2468" s="60"/>
      <c r="EYN2468" s="60"/>
      <c r="EYO2468" s="63"/>
      <c r="EYP2468" s="61"/>
      <c r="EYQ2468" s="54"/>
      <c r="EYR2468" s="54"/>
      <c r="EYS2468" s="60"/>
      <c r="EYT2468" s="60"/>
      <c r="EYU2468" s="60"/>
      <c r="EYV2468" s="60"/>
      <c r="EYW2468" s="63"/>
      <c r="EYX2468" s="61"/>
      <c r="EYY2468" s="54"/>
      <c r="EYZ2468" s="54"/>
      <c r="EZA2468" s="60"/>
      <c r="EZB2468" s="60"/>
      <c r="EZC2468" s="60"/>
      <c r="EZD2468" s="60"/>
      <c r="EZE2468" s="63"/>
      <c r="EZF2468" s="61"/>
      <c r="EZG2468" s="54"/>
      <c r="EZH2468" s="54"/>
      <c r="EZI2468" s="60"/>
      <c r="EZJ2468" s="60"/>
      <c r="EZK2468" s="60"/>
      <c r="EZL2468" s="60"/>
      <c r="EZM2468" s="63"/>
      <c r="EZN2468" s="61"/>
      <c r="EZO2468" s="54"/>
      <c r="EZP2468" s="54"/>
      <c r="EZQ2468" s="60"/>
      <c r="EZR2468" s="60"/>
      <c r="EZS2468" s="60"/>
      <c r="EZT2468" s="60"/>
      <c r="EZU2468" s="63"/>
      <c r="EZV2468" s="61"/>
      <c r="EZW2468" s="54"/>
      <c r="EZX2468" s="54"/>
      <c r="EZY2468" s="60"/>
      <c r="EZZ2468" s="60"/>
      <c r="FAA2468" s="60"/>
      <c r="FAB2468" s="60"/>
      <c r="FAC2468" s="63"/>
      <c r="FAD2468" s="61"/>
      <c r="FAE2468" s="54"/>
      <c r="FAF2468" s="54"/>
      <c r="FAG2468" s="60"/>
      <c r="FAH2468" s="60"/>
      <c r="FAI2468" s="60"/>
      <c r="FAJ2468" s="60"/>
      <c r="FAK2468" s="63"/>
      <c r="FAL2468" s="61"/>
      <c r="FAM2468" s="54"/>
      <c r="FAN2468" s="54"/>
      <c r="FAO2468" s="60"/>
      <c r="FAP2468" s="60"/>
      <c r="FAQ2468" s="60"/>
      <c r="FAR2468" s="60"/>
      <c r="FAS2468" s="63"/>
      <c r="FAT2468" s="61"/>
      <c r="FAU2468" s="54"/>
      <c r="FAV2468" s="54"/>
      <c r="FAW2468" s="60"/>
      <c r="FAX2468" s="60"/>
      <c r="FAY2468" s="60"/>
      <c r="FAZ2468" s="60"/>
      <c r="FBA2468" s="63"/>
      <c r="FBB2468" s="61"/>
      <c r="FBC2468" s="54"/>
      <c r="FBD2468" s="54"/>
      <c r="FBE2468" s="60"/>
      <c r="FBF2468" s="60"/>
      <c r="FBG2468" s="60"/>
      <c r="FBH2468" s="60"/>
      <c r="FBI2468" s="63"/>
      <c r="FBJ2468" s="61"/>
      <c r="FBK2468" s="54"/>
      <c r="FBL2468" s="54"/>
      <c r="FBM2468" s="60"/>
      <c r="FBN2468" s="60"/>
      <c r="FBO2468" s="60"/>
      <c r="FBP2468" s="60"/>
      <c r="FBQ2468" s="63"/>
      <c r="FBR2468" s="61"/>
      <c r="FBS2468" s="54"/>
      <c r="FBT2468" s="54"/>
      <c r="FBU2468" s="60"/>
      <c r="FBV2468" s="60"/>
      <c r="FBW2468" s="60"/>
      <c r="FBX2468" s="60"/>
      <c r="FBY2468" s="63"/>
      <c r="FBZ2468" s="61"/>
      <c r="FCA2468" s="54"/>
      <c r="FCB2468" s="54"/>
      <c r="FCC2468" s="60"/>
      <c r="FCD2468" s="60"/>
      <c r="FCE2468" s="60"/>
      <c r="FCF2468" s="60"/>
      <c r="FCG2468" s="63"/>
      <c r="FCH2468" s="61"/>
      <c r="FCI2468" s="54"/>
      <c r="FCJ2468" s="54"/>
      <c r="FCK2468" s="60"/>
      <c r="FCL2468" s="60"/>
      <c r="FCM2468" s="60"/>
      <c r="FCN2468" s="60"/>
      <c r="FCO2468" s="63"/>
      <c r="FCP2468" s="61"/>
      <c r="FCQ2468" s="54"/>
      <c r="FCR2468" s="54"/>
      <c r="FCS2468" s="60"/>
      <c r="FCT2468" s="60"/>
      <c r="FCU2468" s="60"/>
      <c r="FCV2468" s="60"/>
      <c r="FCW2468" s="63"/>
      <c r="FCX2468" s="61"/>
      <c r="FCY2468" s="54"/>
      <c r="FCZ2468" s="54"/>
      <c r="FDA2468" s="60"/>
      <c r="FDB2468" s="60"/>
      <c r="FDC2468" s="60"/>
      <c r="FDD2468" s="60"/>
      <c r="FDE2468" s="63"/>
      <c r="FDF2468" s="61"/>
      <c r="FDG2468" s="54"/>
      <c r="FDH2468" s="54"/>
      <c r="FDI2468" s="60"/>
      <c r="FDJ2468" s="60"/>
      <c r="FDK2468" s="60"/>
      <c r="FDL2468" s="60"/>
      <c r="FDM2468" s="63"/>
      <c r="FDN2468" s="61"/>
      <c r="FDO2468" s="54"/>
      <c r="FDP2468" s="54"/>
      <c r="FDQ2468" s="60"/>
      <c r="FDR2468" s="60"/>
      <c r="FDS2468" s="60"/>
      <c r="FDT2468" s="60"/>
      <c r="FDU2468" s="63"/>
      <c r="FDV2468" s="61"/>
      <c r="FDW2468" s="54"/>
      <c r="FDX2468" s="54"/>
      <c r="FDY2468" s="60"/>
      <c r="FDZ2468" s="60"/>
      <c r="FEA2468" s="60"/>
      <c r="FEB2468" s="60"/>
      <c r="FEC2468" s="63"/>
      <c r="FED2468" s="61"/>
      <c r="FEE2468" s="54"/>
      <c r="FEF2468" s="54"/>
      <c r="FEG2468" s="60"/>
      <c r="FEH2468" s="60"/>
      <c r="FEI2468" s="60"/>
      <c r="FEJ2468" s="60"/>
      <c r="FEK2468" s="63"/>
      <c r="FEL2468" s="61"/>
      <c r="FEM2468" s="54"/>
      <c r="FEN2468" s="54"/>
      <c r="FEO2468" s="60"/>
      <c r="FEP2468" s="60"/>
      <c r="FEQ2468" s="60"/>
      <c r="FER2468" s="60"/>
      <c r="FES2468" s="63"/>
      <c r="FET2468" s="61"/>
      <c r="FEU2468" s="54"/>
      <c r="FEV2468" s="54"/>
      <c r="FEW2468" s="60"/>
      <c r="FEX2468" s="60"/>
      <c r="FEY2468" s="60"/>
      <c r="FEZ2468" s="60"/>
      <c r="FFA2468" s="63"/>
      <c r="FFB2468" s="61"/>
      <c r="FFC2468" s="54"/>
      <c r="FFD2468" s="54"/>
      <c r="FFE2468" s="60"/>
      <c r="FFF2468" s="60"/>
      <c r="FFG2468" s="60"/>
      <c r="FFH2468" s="60"/>
      <c r="FFI2468" s="63"/>
      <c r="FFJ2468" s="61"/>
      <c r="FFK2468" s="54"/>
      <c r="FFL2468" s="54"/>
      <c r="FFM2468" s="60"/>
      <c r="FFN2468" s="60"/>
      <c r="FFO2468" s="60"/>
      <c r="FFP2468" s="60"/>
      <c r="FFQ2468" s="63"/>
      <c r="FFR2468" s="61"/>
      <c r="FFS2468" s="54"/>
      <c r="FFT2468" s="54"/>
      <c r="FFU2468" s="60"/>
      <c r="FFV2468" s="60"/>
      <c r="FFW2468" s="60"/>
      <c r="FFX2468" s="60"/>
      <c r="FFY2468" s="63"/>
      <c r="FFZ2468" s="61"/>
      <c r="FGA2468" s="54"/>
      <c r="FGB2468" s="54"/>
      <c r="FGC2468" s="60"/>
      <c r="FGD2468" s="60"/>
      <c r="FGE2468" s="60"/>
      <c r="FGF2468" s="60"/>
      <c r="FGG2468" s="63"/>
      <c r="FGH2468" s="61"/>
      <c r="FGI2468" s="54"/>
      <c r="FGJ2468" s="54"/>
      <c r="FGK2468" s="60"/>
      <c r="FGL2468" s="60"/>
      <c r="FGM2468" s="60"/>
      <c r="FGN2468" s="60"/>
      <c r="FGO2468" s="63"/>
      <c r="FGP2468" s="61"/>
      <c r="FGQ2468" s="54"/>
      <c r="FGR2468" s="54"/>
      <c r="FGS2468" s="60"/>
      <c r="FGT2468" s="60"/>
      <c r="FGU2468" s="60"/>
      <c r="FGV2468" s="60"/>
      <c r="FGW2468" s="63"/>
      <c r="FGX2468" s="61"/>
      <c r="FGY2468" s="54"/>
      <c r="FGZ2468" s="54"/>
      <c r="FHA2468" s="60"/>
      <c r="FHB2468" s="60"/>
      <c r="FHC2468" s="60"/>
      <c r="FHD2468" s="60"/>
      <c r="FHE2468" s="63"/>
      <c r="FHF2468" s="61"/>
      <c r="FHG2468" s="54"/>
      <c r="FHH2468" s="54"/>
      <c r="FHI2468" s="60"/>
      <c r="FHJ2468" s="60"/>
      <c r="FHK2468" s="60"/>
      <c r="FHL2468" s="60"/>
      <c r="FHM2468" s="63"/>
      <c r="FHN2468" s="61"/>
      <c r="FHO2468" s="54"/>
      <c r="FHP2468" s="54"/>
      <c r="FHQ2468" s="60"/>
      <c r="FHR2468" s="60"/>
      <c r="FHS2468" s="60"/>
      <c r="FHT2468" s="60"/>
      <c r="FHU2468" s="63"/>
      <c r="FHV2468" s="61"/>
      <c r="FHW2468" s="54"/>
      <c r="FHX2468" s="54"/>
      <c r="FHY2468" s="60"/>
      <c r="FHZ2468" s="60"/>
      <c r="FIA2468" s="60"/>
      <c r="FIB2468" s="60"/>
      <c r="FIC2468" s="63"/>
      <c r="FID2468" s="61"/>
      <c r="FIE2468" s="54"/>
      <c r="FIF2468" s="54"/>
      <c r="FIG2468" s="60"/>
      <c r="FIH2468" s="60"/>
      <c r="FII2468" s="60"/>
      <c r="FIJ2468" s="60"/>
      <c r="FIK2468" s="63"/>
      <c r="FIL2468" s="61"/>
      <c r="FIM2468" s="54"/>
      <c r="FIN2468" s="54"/>
      <c r="FIO2468" s="60"/>
      <c r="FIP2468" s="60"/>
      <c r="FIQ2468" s="60"/>
      <c r="FIR2468" s="60"/>
      <c r="FIS2468" s="63"/>
      <c r="FIT2468" s="61"/>
      <c r="FIU2468" s="54"/>
      <c r="FIV2468" s="54"/>
      <c r="FIW2468" s="60"/>
      <c r="FIX2468" s="60"/>
      <c r="FIY2468" s="60"/>
      <c r="FIZ2468" s="60"/>
      <c r="FJA2468" s="63"/>
      <c r="FJB2468" s="61"/>
      <c r="FJC2468" s="54"/>
      <c r="FJD2468" s="54"/>
      <c r="FJE2468" s="60"/>
      <c r="FJF2468" s="60"/>
      <c r="FJG2468" s="60"/>
      <c r="FJH2468" s="60"/>
      <c r="FJI2468" s="63"/>
      <c r="FJJ2468" s="61"/>
      <c r="FJK2468" s="54"/>
      <c r="FJL2468" s="54"/>
      <c r="FJM2468" s="60"/>
      <c r="FJN2468" s="60"/>
      <c r="FJO2468" s="60"/>
      <c r="FJP2468" s="60"/>
      <c r="FJQ2468" s="63"/>
      <c r="FJR2468" s="61"/>
      <c r="FJS2468" s="54"/>
      <c r="FJT2468" s="54"/>
      <c r="FJU2468" s="60"/>
      <c r="FJV2468" s="60"/>
      <c r="FJW2468" s="60"/>
      <c r="FJX2468" s="60"/>
      <c r="FJY2468" s="63"/>
      <c r="FJZ2468" s="61"/>
      <c r="FKA2468" s="54"/>
      <c r="FKB2468" s="54"/>
      <c r="FKC2468" s="60"/>
      <c r="FKD2468" s="60"/>
      <c r="FKE2468" s="60"/>
      <c r="FKF2468" s="60"/>
      <c r="FKG2468" s="63"/>
      <c r="FKH2468" s="61"/>
      <c r="FKI2468" s="54"/>
      <c r="FKJ2468" s="54"/>
      <c r="FKK2468" s="60"/>
      <c r="FKL2468" s="60"/>
      <c r="FKM2468" s="60"/>
      <c r="FKN2468" s="60"/>
      <c r="FKO2468" s="63"/>
      <c r="FKP2468" s="61"/>
      <c r="FKQ2468" s="54"/>
      <c r="FKR2468" s="54"/>
      <c r="FKS2468" s="60"/>
      <c r="FKT2468" s="60"/>
      <c r="FKU2468" s="60"/>
      <c r="FKV2468" s="60"/>
      <c r="FKW2468" s="63"/>
      <c r="FKX2468" s="61"/>
      <c r="FKY2468" s="54"/>
      <c r="FKZ2468" s="54"/>
      <c r="FLA2468" s="60"/>
      <c r="FLB2468" s="60"/>
      <c r="FLC2468" s="60"/>
      <c r="FLD2468" s="60"/>
      <c r="FLE2468" s="63"/>
      <c r="FLF2468" s="61"/>
      <c r="FLG2468" s="54"/>
      <c r="FLH2468" s="54"/>
      <c r="FLI2468" s="60"/>
      <c r="FLJ2468" s="60"/>
      <c r="FLK2468" s="60"/>
      <c r="FLL2468" s="60"/>
      <c r="FLM2468" s="63"/>
      <c r="FLN2468" s="61"/>
      <c r="FLO2468" s="54"/>
      <c r="FLP2468" s="54"/>
      <c r="FLQ2468" s="60"/>
      <c r="FLR2468" s="60"/>
      <c r="FLS2468" s="60"/>
      <c r="FLT2468" s="60"/>
      <c r="FLU2468" s="63"/>
      <c r="FLV2468" s="61"/>
      <c r="FLW2468" s="54"/>
      <c r="FLX2468" s="54"/>
      <c r="FLY2468" s="60"/>
      <c r="FLZ2468" s="60"/>
      <c r="FMA2468" s="60"/>
      <c r="FMB2468" s="60"/>
      <c r="FMC2468" s="63"/>
      <c r="FMD2468" s="61"/>
      <c r="FME2468" s="54"/>
      <c r="FMF2468" s="54"/>
      <c r="FMG2468" s="60"/>
      <c r="FMH2468" s="60"/>
      <c r="FMI2468" s="60"/>
      <c r="FMJ2468" s="60"/>
      <c r="FMK2468" s="63"/>
      <c r="FML2468" s="61"/>
      <c r="FMM2468" s="54"/>
      <c r="FMN2468" s="54"/>
      <c r="FMO2468" s="60"/>
      <c r="FMP2468" s="60"/>
      <c r="FMQ2468" s="60"/>
      <c r="FMR2468" s="60"/>
      <c r="FMS2468" s="63"/>
      <c r="FMT2468" s="61"/>
      <c r="FMU2468" s="54"/>
      <c r="FMV2468" s="54"/>
      <c r="FMW2468" s="60"/>
      <c r="FMX2468" s="60"/>
      <c r="FMY2468" s="60"/>
      <c r="FMZ2468" s="60"/>
      <c r="FNA2468" s="63"/>
      <c r="FNB2468" s="61"/>
      <c r="FNC2468" s="54"/>
      <c r="FND2468" s="54"/>
      <c r="FNE2468" s="60"/>
      <c r="FNF2468" s="60"/>
      <c r="FNG2468" s="60"/>
      <c r="FNH2468" s="60"/>
      <c r="FNI2468" s="63"/>
      <c r="FNJ2468" s="61"/>
      <c r="FNK2468" s="54"/>
      <c r="FNL2468" s="54"/>
      <c r="FNM2468" s="60"/>
      <c r="FNN2468" s="60"/>
      <c r="FNO2468" s="60"/>
      <c r="FNP2468" s="60"/>
      <c r="FNQ2468" s="63"/>
      <c r="FNR2468" s="61"/>
      <c r="FNS2468" s="54"/>
      <c r="FNT2468" s="54"/>
      <c r="FNU2468" s="60"/>
      <c r="FNV2468" s="60"/>
      <c r="FNW2468" s="60"/>
      <c r="FNX2468" s="60"/>
      <c r="FNY2468" s="63"/>
      <c r="FNZ2468" s="61"/>
      <c r="FOA2468" s="54"/>
      <c r="FOB2468" s="54"/>
      <c r="FOC2468" s="60"/>
      <c r="FOD2468" s="60"/>
      <c r="FOE2468" s="60"/>
      <c r="FOF2468" s="60"/>
      <c r="FOG2468" s="63"/>
      <c r="FOH2468" s="61"/>
      <c r="FOI2468" s="54"/>
      <c r="FOJ2468" s="54"/>
      <c r="FOK2468" s="60"/>
      <c r="FOL2468" s="60"/>
      <c r="FOM2468" s="60"/>
      <c r="FON2468" s="60"/>
      <c r="FOO2468" s="63"/>
      <c r="FOP2468" s="61"/>
      <c r="FOQ2468" s="54"/>
      <c r="FOR2468" s="54"/>
      <c r="FOS2468" s="60"/>
      <c r="FOT2468" s="60"/>
      <c r="FOU2468" s="60"/>
      <c r="FOV2468" s="60"/>
      <c r="FOW2468" s="63"/>
      <c r="FOX2468" s="61"/>
      <c r="FOY2468" s="54"/>
      <c r="FOZ2468" s="54"/>
      <c r="FPA2468" s="60"/>
      <c r="FPB2468" s="60"/>
      <c r="FPC2468" s="60"/>
      <c r="FPD2468" s="60"/>
      <c r="FPE2468" s="63"/>
      <c r="FPF2468" s="61"/>
      <c r="FPG2468" s="54"/>
      <c r="FPH2468" s="54"/>
      <c r="FPI2468" s="60"/>
      <c r="FPJ2468" s="60"/>
      <c r="FPK2468" s="60"/>
      <c r="FPL2468" s="60"/>
      <c r="FPM2468" s="63"/>
      <c r="FPN2468" s="61"/>
      <c r="FPO2468" s="54"/>
      <c r="FPP2468" s="54"/>
      <c r="FPQ2468" s="60"/>
      <c r="FPR2468" s="60"/>
      <c r="FPS2468" s="60"/>
      <c r="FPT2468" s="60"/>
      <c r="FPU2468" s="63"/>
      <c r="FPV2468" s="61"/>
      <c r="FPW2468" s="54"/>
      <c r="FPX2468" s="54"/>
      <c r="FPY2468" s="60"/>
      <c r="FPZ2468" s="60"/>
      <c r="FQA2468" s="60"/>
      <c r="FQB2468" s="60"/>
      <c r="FQC2468" s="63"/>
      <c r="FQD2468" s="61"/>
      <c r="FQE2468" s="54"/>
      <c r="FQF2468" s="54"/>
      <c r="FQG2468" s="60"/>
      <c r="FQH2468" s="60"/>
      <c r="FQI2468" s="60"/>
      <c r="FQJ2468" s="60"/>
      <c r="FQK2468" s="63"/>
      <c r="FQL2468" s="61"/>
      <c r="FQM2468" s="54"/>
      <c r="FQN2468" s="54"/>
      <c r="FQO2468" s="60"/>
      <c r="FQP2468" s="60"/>
      <c r="FQQ2468" s="60"/>
      <c r="FQR2468" s="60"/>
      <c r="FQS2468" s="63"/>
      <c r="FQT2468" s="61"/>
      <c r="FQU2468" s="54"/>
      <c r="FQV2468" s="54"/>
      <c r="FQW2468" s="60"/>
      <c r="FQX2468" s="60"/>
      <c r="FQY2468" s="60"/>
      <c r="FQZ2468" s="60"/>
      <c r="FRA2468" s="63"/>
      <c r="FRB2468" s="61"/>
      <c r="FRC2468" s="54"/>
      <c r="FRD2468" s="54"/>
      <c r="FRE2468" s="60"/>
      <c r="FRF2468" s="60"/>
      <c r="FRG2468" s="60"/>
      <c r="FRH2468" s="60"/>
      <c r="FRI2468" s="63"/>
      <c r="FRJ2468" s="61"/>
      <c r="FRK2468" s="54"/>
      <c r="FRL2468" s="54"/>
      <c r="FRM2468" s="60"/>
      <c r="FRN2468" s="60"/>
      <c r="FRO2468" s="60"/>
      <c r="FRP2468" s="60"/>
      <c r="FRQ2468" s="63"/>
      <c r="FRR2468" s="61"/>
      <c r="FRS2468" s="54"/>
      <c r="FRT2468" s="54"/>
      <c r="FRU2468" s="60"/>
      <c r="FRV2468" s="60"/>
      <c r="FRW2468" s="60"/>
      <c r="FRX2468" s="60"/>
      <c r="FRY2468" s="63"/>
      <c r="FRZ2468" s="61"/>
      <c r="FSA2468" s="54"/>
      <c r="FSB2468" s="54"/>
      <c r="FSC2468" s="60"/>
      <c r="FSD2468" s="60"/>
      <c r="FSE2468" s="60"/>
      <c r="FSF2468" s="60"/>
      <c r="FSG2468" s="63"/>
      <c r="FSH2468" s="61"/>
      <c r="FSI2468" s="54"/>
      <c r="FSJ2468" s="54"/>
      <c r="FSK2468" s="60"/>
      <c r="FSL2468" s="60"/>
      <c r="FSM2468" s="60"/>
      <c r="FSN2468" s="60"/>
      <c r="FSO2468" s="63"/>
      <c r="FSP2468" s="61"/>
      <c r="FSQ2468" s="54"/>
      <c r="FSR2468" s="54"/>
      <c r="FSS2468" s="60"/>
      <c r="FST2468" s="60"/>
      <c r="FSU2468" s="60"/>
      <c r="FSV2468" s="60"/>
      <c r="FSW2468" s="63"/>
      <c r="FSX2468" s="61"/>
      <c r="FSY2468" s="54"/>
      <c r="FSZ2468" s="54"/>
      <c r="FTA2468" s="60"/>
      <c r="FTB2468" s="60"/>
      <c r="FTC2468" s="60"/>
      <c r="FTD2468" s="60"/>
      <c r="FTE2468" s="63"/>
      <c r="FTF2468" s="61"/>
      <c r="FTG2468" s="54"/>
      <c r="FTH2468" s="54"/>
      <c r="FTI2468" s="60"/>
      <c r="FTJ2468" s="60"/>
      <c r="FTK2468" s="60"/>
      <c r="FTL2468" s="60"/>
      <c r="FTM2468" s="63"/>
      <c r="FTN2468" s="61"/>
      <c r="FTO2468" s="54"/>
      <c r="FTP2468" s="54"/>
      <c r="FTQ2468" s="60"/>
      <c r="FTR2468" s="60"/>
      <c r="FTS2468" s="60"/>
      <c r="FTT2468" s="60"/>
      <c r="FTU2468" s="63"/>
      <c r="FTV2468" s="61"/>
      <c r="FTW2468" s="54"/>
      <c r="FTX2468" s="54"/>
      <c r="FTY2468" s="60"/>
      <c r="FTZ2468" s="60"/>
      <c r="FUA2468" s="60"/>
      <c r="FUB2468" s="60"/>
      <c r="FUC2468" s="63"/>
      <c r="FUD2468" s="61"/>
      <c r="FUE2468" s="54"/>
      <c r="FUF2468" s="54"/>
      <c r="FUG2468" s="60"/>
      <c r="FUH2468" s="60"/>
      <c r="FUI2468" s="60"/>
      <c r="FUJ2468" s="60"/>
      <c r="FUK2468" s="63"/>
      <c r="FUL2468" s="61"/>
      <c r="FUM2468" s="54"/>
      <c r="FUN2468" s="54"/>
      <c r="FUO2468" s="60"/>
      <c r="FUP2468" s="60"/>
      <c r="FUQ2468" s="60"/>
      <c r="FUR2468" s="60"/>
      <c r="FUS2468" s="63"/>
      <c r="FUT2468" s="61"/>
      <c r="FUU2468" s="54"/>
      <c r="FUV2468" s="54"/>
      <c r="FUW2468" s="60"/>
      <c r="FUX2468" s="60"/>
      <c r="FUY2468" s="60"/>
      <c r="FUZ2468" s="60"/>
      <c r="FVA2468" s="63"/>
      <c r="FVB2468" s="61"/>
      <c r="FVC2468" s="54"/>
      <c r="FVD2468" s="54"/>
      <c r="FVE2468" s="60"/>
      <c r="FVF2468" s="60"/>
      <c r="FVG2468" s="60"/>
      <c r="FVH2468" s="60"/>
      <c r="FVI2468" s="63"/>
      <c r="FVJ2468" s="61"/>
      <c r="FVK2468" s="54"/>
      <c r="FVL2468" s="54"/>
      <c r="FVM2468" s="60"/>
      <c r="FVN2468" s="60"/>
      <c r="FVO2468" s="60"/>
      <c r="FVP2468" s="60"/>
      <c r="FVQ2468" s="63"/>
      <c r="FVR2468" s="61"/>
      <c r="FVS2468" s="54"/>
      <c r="FVT2468" s="54"/>
      <c r="FVU2468" s="60"/>
      <c r="FVV2468" s="60"/>
      <c r="FVW2468" s="60"/>
      <c r="FVX2468" s="60"/>
      <c r="FVY2468" s="63"/>
      <c r="FVZ2468" s="61"/>
      <c r="FWA2468" s="54"/>
      <c r="FWB2468" s="54"/>
      <c r="FWC2468" s="60"/>
      <c r="FWD2468" s="60"/>
      <c r="FWE2468" s="60"/>
      <c r="FWF2468" s="60"/>
      <c r="FWG2468" s="63"/>
      <c r="FWH2468" s="61"/>
      <c r="FWI2468" s="54"/>
      <c r="FWJ2468" s="54"/>
      <c r="FWK2468" s="60"/>
      <c r="FWL2468" s="60"/>
      <c r="FWM2468" s="60"/>
      <c r="FWN2468" s="60"/>
      <c r="FWO2468" s="63"/>
      <c r="FWP2468" s="61"/>
      <c r="FWQ2468" s="54"/>
      <c r="FWR2468" s="54"/>
      <c r="FWS2468" s="60"/>
      <c r="FWT2468" s="60"/>
      <c r="FWU2468" s="60"/>
      <c r="FWV2468" s="60"/>
      <c r="FWW2468" s="63"/>
      <c r="FWX2468" s="61"/>
      <c r="FWY2468" s="54"/>
      <c r="FWZ2468" s="54"/>
      <c r="FXA2468" s="60"/>
      <c r="FXB2468" s="60"/>
      <c r="FXC2468" s="60"/>
      <c r="FXD2468" s="60"/>
      <c r="FXE2468" s="63"/>
      <c r="FXF2468" s="61"/>
      <c r="FXG2468" s="54"/>
      <c r="FXH2468" s="54"/>
      <c r="FXI2468" s="60"/>
      <c r="FXJ2468" s="60"/>
      <c r="FXK2468" s="60"/>
      <c r="FXL2468" s="60"/>
      <c r="FXM2468" s="63"/>
      <c r="FXN2468" s="61"/>
      <c r="FXO2468" s="54"/>
      <c r="FXP2468" s="54"/>
      <c r="FXQ2468" s="60"/>
      <c r="FXR2468" s="60"/>
      <c r="FXS2468" s="60"/>
      <c r="FXT2468" s="60"/>
      <c r="FXU2468" s="63"/>
      <c r="FXV2468" s="61"/>
      <c r="FXW2468" s="54"/>
      <c r="FXX2468" s="54"/>
      <c r="FXY2468" s="60"/>
      <c r="FXZ2468" s="60"/>
      <c r="FYA2468" s="60"/>
      <c r="FYB2468" s="60"/>
      <c r="FYC2468" s="63"/>
      <c r="FYD2468" s="61"/>
      <c r="FYE2468" s="54"/>
      <c r="FYF2468" s="54"/>
      <c r="FYG2468" s="60"/>
      <c r="FYH2468" s="60"/>
      <c r="FYI2468" s="60"/>
      <c r="FYJ2468" s="60"/>
      <c r="FYK2468" s="63"/>
      <c r="FYL2468" s="61"/>
      <c r="FYM2468" s="54"/>
      <c r="FYN2468" s="54"/>
      <c r="FYO2468" s="60"/>
      <c r="FYP2468" s="60"/>
      <c r="FYQ2468" s="60"/>
      <c r="FYR2468" s="60"/>
      <c r="FYS2468" s="63"/>
      <c r="FYT2468" s="61"/>
      <c r="FYU2468" s="54"/>
      <c r="FYV2468" s="54"/>
      <c r="FYW2468" s="60"/>
      <c r="FYX2468" s="60"/>
      <c r="FYY2468" s="60"/>
      <c r="FYZ2468" s="60"/>
      <c r="FZA2468" s="63"/>
      <c r="FZB2468" s="61"/>
      <c r="FZC2468" s="54"/>
      <c r="FZD2468" s="54"/>
      <c r="FZE2468" s="60"/>
      <c r="FZF2468" s="60"/>
      <c r="FZG2468" s="60"/>
      <c r="FZH2468" s="60"/>
      <c r="FZI2468" s="63"/>
      <c r="FZJ2468" s="61"/>
      <c r="FZK2468" s="54"/>
      <c r="FZL2468" s="54"/>
      <c r="FZM2468" s="60"/>
      <c r="FZN2468" s="60"/>
      <c r="FZO2468" s="60"/>
      <c r="FZP2468" s="60"/>
      <c r="FZQ2468" s="63"/>
      <c r="FZR2468" s="61"/>
      <c r="FZS2468" s="54"/>
      <c r="FZT2468" s="54"/>
      <c r="FZU2468" s="60"/>
      <c r="FZV2468" s="60"/>
      <c r="FZW2468" s="60"/>
      <c r="FZX2468" s="60"/>
      <c r="FZY2468" s="63"/>
      <c r="FZZ2468" s="61"/>
      <c r="GAA2468" s="54"/>
      <c r="GAB2468" s="54"/>
      <c r="GAC2468" s="60"/>
      <c r="GAD2468" s="60"/>
      <c r="GAE2468" s="60"/>
      <c r="GAF2468" s="60"/>
      <c r="GAG2468" s="63"/>
      <c r="GAH2468" s="61"/>
      <c r="GAI2468" s="54"/>
      <c r="GAJ2468" s="54"/>
      <c r="GAK2468" s="60"/>
      <c r="GAL2468" s="60"/>
      <c r="GAM2468" s="60"/>
      <c r="GAN2468" s="60"/>
      <c r="GAO2468" s="63"/>
      <c r="GAP2468" s="61"/>
      <c r="GAQ2468" s="54"/>
      <c r="GAR2468" s="54"/>
      <c r="GAS2468" s="60"/>
      <c r="GAT2468" s="60"/>
      <c r="GAU2468" s="60"/>
      <c r="GAV2468" s="60"/>
      <c r="GAW2468" s="63"/>
      <c r="GAX2468" s="61"/>
      <c r="GAY2468" s="54"/>
      <c r="GAZ2468" s="54"/>
      <c r="GBA2468" s="60"/>
      <c r="GBB2468" s="60"/>
      <c r="GBC2468" s="60"/>
      <c r="GBD2468" s="60"/>
      <c r="GBE2468" s="63"/>
      <c r="GBF2468" s="61"/>
      <c r="GBG2468" s="54"/>
      <c r="GBH2468" s="54"/>
      <c r="GBI2468" s="60"/>
      <c r="GBJ2468" s="60"/>
      <c r="GBK2468" s="60"/>
      <c r="GBL2468" s="60"/>
      <c r="GBM2468" s="63"/>
      <c r="GBN2468" s="61"/>
      <c r="GBO2468" s="54"/>
      <c r="GBP2468" s="54"/>
      <c r="GBQ2468" s="60"/>
      <c r="GBR2468" s="60"/>
      <c r="GBS2468" s="60"/>
      <c r="GBT2468" s="60"/>
      <c r="GBU2468" s="63"/>
      <c r="GBV2468" s="61"/>
      <c r="GBW2468" s="54"/>
      <c r="GBX2468" s="54"/>
      <c r="GBY2468" s="60"/>
      <c r="GBZ2468" s="60"/>
      <c r="GCA2468" s="60"/>
      <c r="GCB2468" s="60"/>
      <c r="GCC2468" s="63"/>
      <c r="GCD2468" s="61"/>
      <c r="GCE2468" s="54"/>
      <c r="GCF2468" s="54"/>
      <c r="GCG2468" s="60"/>
      <c r="GCH2468" s="60"/>
      <c r="GCI2468" s="60"/>
      <c r="GCJ2468" s="60"/>
      <c r="GCK2468" s="63"/>
      <c r="GCL2468" s="61"/>
      <c r="GCM2468" s="54"/>
      <c r="GCN2468" s="54"/>
      <c r="GCO2468" s="60"/>
      <c r="GCP2468" s="60"/>
      <c r="GCQ2468" s="60"/>
      <c r="GCR2468" s="60"/>
      <c r="GCS2468" s="63"/>
      <c r="GCT2468" s="61"/>
      <c r="GCU2468" s="54"/>
      <c r="GCV2468" s="54"/>
      <c r="GCW2468" s="60"/>
      <c r="GCX2468" s="60"/>
      <c r="GCY2468" s="60"/>
      <c r="GCZ2468" s="60"/>
      <c r="GDA2468" s="63"/>
      <c r="GDB2468" s="61"/>
      <c r="GDC2468" s="54"/>
      <c r="GDD2468" s="54"/>
      <c r="GDE2468" s="60"/>
      <c r="GDF2468" s="60"/>
      <c r="GDG2468" s="60"/>
      <c r="GDH2468" s="60"/>
      <c r="GDI2468" s="63"/>
      <c r="GDJ2468" s="61"/>
      <c r="GDK2468" s="54"/>
      <c r="GDL2468" s="54"/>
      <c r="GDM2468" s="60"/>
      <c r="GDN2468" s="60"/>
      <c r="GDO2468" s="60"/>
      <c r="GDP2468" s="60"/>
      <c r="GDQ2468" s="63"/>
      <c r="GDR2468" s="61"/>
      <c r="GDS2468" s="54"/>
      <c r="GDT2468" s="54"/>
      <c r="GDU2468" s="60"/>
      <c r="GDV2468" s="60"/>
      <c r="GDW2468" s="60"/>
      <c r="GDX2468" s="60"/>
      <c r="GDY2468" s="63"/>
      <c r="GDZ2468" s="61"/>
      <c r="GEA2468" s="54"/>
      <c r="GEB2468" s="54"/>
      <c r="GEC2468" s="60"/>
      <c r="GED2468" s="60"/>
      <c r="GEE2468" s="60"/>
      <c r="GEF2468" s="60"/>
      <c r="GEG2468" s="63"/>
      <c r="GEH2468" s="61"/>
      <c r="GEI2468" s="54"/>
      <c r="GEJ2468" s="54"/>
      <c r="GEK2468" s="60"/>
      <c r="GEL2468" s="60"/>
      <c r="GEM2468" s="60"/>
      <c r="GEN2468" s="60"/>
      <c r="GEO2468" s="63"/>
      <c r="GEP2468" s="61"/>
      <c r="GEQ2468" s="54"/>
      <c r="GER2468" s="54"/>
      <c r="GES2468" s="60"/>
      <c r="GET2468" s="60"/>
      <c r="GEU2468" s="60"/>
      <c r="GEV2468" s="60"/>
      <c r="GEW2468" s="63"/>
      <c r="GEX2468" s="61"/>
      <c r="GEY2468" s="54"/>
      <c r="GEZ2468" s="54"/>
      <c r="GFA2468" s="60"/>
      <c r="GFB2468" s="60"/>
      <c r="GFC2468" s="60"/>
      <c r="GFD2468" s="60"/>
      <c r="GFE2468" s="63"/>
      <c r="GFF2468" s="61"/>
      <c r="GFG2468" s="54"/>
      <c r="GFH2468" s="54"/>
      <c r="GFI2468" s="60"/>
      <c r="GFJ2468" s="60"/>
      <c r="GFK2468" s="60"/>
      <c r="GFL2468" s="60"/>
      <c r="GFM2468" s="63"/>
      <c r="GFN2468" s="61"/>
      <c r="GFO2468" s="54"/>
      <c r="GFP2468" s="54"/>
      <c r="GFQ2468" s="60"/>
      <c r="GFR2468" s="60"/>
      <c r="GFS2468" s="60"/>
      <c r="GFT2468" s="60"/>
      <c r="GFU2468" s="63"/>
      <c r="GFV2468" s="61"/>
      <c r="GFW2468" s="54"/>
      <c r="GFX2468" s="54"/>
      <c r="GFY2468" s="60"/>
      <c r="GFZ2468" s="60"/>
      <c r="GGA2468" s="60"/>
      <c r="GGB2468" s="60"/>
      <c r="GGC2468" s="63"/>
      <c r="GGD2468" s="61"/>
      <c r="GGE2468" s="54"/>
      <c r="GGF2468" s="54"/>
      <c r="GGG2468" s="60"/>
      <c r="GGH2468" s="60"/>
      <c r="GGI2468" s="60"/>
      <c r="GGJ2468" s="60"/>
      <c r="GGK2468" s="63"/>
      <c r="GGL2468" s="61"/>
      <c r="GGM2468" s="54"/>
      <c r="GGN2468" s="54"/>
      <c r="GGO2468" s="60"/>
      <c r="GGP2468" s="60"/>
      <c r="GGQ2468" s="60"/>
      <c r="GGR2468" s="60"/>
      <c r="GGS2468" s="63"/>
      <c r="GGT2468" s="61"/>
      <c r="GGU2468" s="54"/>
      <c r="GGV2468" s="54"/>
      <c r="GGW2468" s="60"/>
      <c r="GGX2468" s="60"/>
      <c r="GGY2468" s="60"/>
      <c r="GGZ2468" s="60"/>
      <c r="GHA2468" s="63"/>
      <c r="GHB2468" s="61"/>
      <c r="GHC2468" s="54"/>
      <c r="GHD2468" s="54"/>
      <c r="GHE2468" s="60"/>
      <c r="GHF2468" s="60"/>
      <c r="GHG2468" s="60"/>
      <c r="GHH2468" s="60"/>
      <c r="GHI2468" s="63"/>
      <c r="GHJ2468" s="61"/>
      <c r="GHK2468" s="54"/>
      <c r="GHL2468" s="54"/>
      <c r="GHM2468" s="60"/>
      <c r="GHN2468" s="60"/>
      <c r="GHO2468" s="60"/>
      <c r="GHP2468" s="60"/>
      <c r="GHQ2468" s="63"/>
      <c r="GHR2468" s="61"/>
      <c r="GHS2468" s="54"/>
      <c r="GHT2468" s="54"/>
      <c r="GHU2468" s="60"/>
      <c r="GHV2468" s="60"/>
      <c r="GHW2468" s="60"/>
      <c r="GHX2468" s="60"/>
      <c r="GHY2468" s="63"/>
      <c r="GHZ2468" s="61"/>
      <c r="GIA2468" s="54"/>
      <c r="GIB2468" s="54"/>
      <c r="GIC2468" s="60"/>
      <c r="GID2468" s="60"/>
      <c r="GIE2468" s="60"/>
      <c r="GIF2468" s="60"/>
      <c r="GIG2468" s="63"/>
      <c r="GIH2468" s="61"/>
      <c r="GII2468" s="54"/>
      <c r="GIJ2468" s="54"/>
      <c r="GIK2468" s="60"/>
      <c r="GIL2468" s="60"/>
      <c r="GIM2468" s="60"/>
      <c r="GIN2468" s="60"/>
      <c r="GIO2468" s="63"/>
      <c r="GIP2468" s="61"/>
      <c r="GIQ2468" s="54"/>
      <c r="GIR2468" s="54"/>
      <c r="GIS2468" s="60"/>
      <c r="GIT2468" s="60"/>
      <c r="GIU2468" s="60"/>
      <c r="GIV2468" s="60"/>
      <c r="GIW2468" s="63"/>
      <c r="GIX2468" s="61"/>
      <c r="GIY2468" s="54"/>
      <c r="GIZ2468" s="54"/>
      <c r="GJA2468" s="60"/>
      <c r="GJB2468" s="60"/>
      <c r="GJC2468" s="60"/>
      <c r="GJD2468" s="60"/>
      <c r="GJE2468" s="63"/>
      <c r="GJF2468" s="61"/>
      <c r="GJG2468" s="54"/>
      <c r="GJH2468" s="54"/>
      <c r="GJI2468" s="60"/>
      <c r="GJJ2468" s="60"/>
      <c r="GJK2468" s="60"/>
      <c r="GJL2468" s="60"/>
      <c r="GJM2468" s="63"/>
      <c r="GJN2468" s="61"/>
      <c r="GJO2468" s="54"/>
      <c r="GJP2468" s="54"/>
      <c r="GJQ2468" s="60"/>
      <c r="GJR2468" s="60"/>
      <c r="GJS2468" s="60"/>
      <c r="GJT2468" s="60"/>
      <c r="GJU2468" s="63"/>
      <c r="GJV2468" s="61"/>
      <c r="GJW2468" s="54"/>
      <c r="GJX2468" s="54"/>
      <c r="GJY2468" s="60"/>
      <c r="GJZ2468" s="60"/>
      <c r="GKA2468" s="60"/>
      <c r="GKB2468" s="60"/>
      <c r="GKC2468" s="63"/>
      <c r="GKD2468" s="61"/>
      <c r="GKE2468" s="54"/>
      <c r="GKF2468" s="54"/>
      <c r="GKG2468" s="60"/>
      <c r="GKH2468" s="60"/>
      <c r="GKI2468" s="60"/>
      <c r="GKJ2468" s="60"/>
      <c r="GKK2468" s="63"/>
      <c r="GKL2468" s="61"/>
      <c r="GKM2468" s="54"/>
      <c r="GKN2468" s="54"/>
      <c r="GKO2468" s="60"/>
      <c r="GKP2468" s="60"/>
      <c r="GKQ2468" s="60"/>
      <c r="GKR2468" s="60"/>
      <c r="GKS2468" s="63"/>
      <c r="GKT2468" s="61"/>
      <c r="GKU2468" s="54"/>
      <c r="GKV2468" s="54"/>
      <c r="GKW2468" s="60"/>
      <c r="GKX2468" s="60"/>
      <c r="GKY2468" s="60"/>
      <c r="GKZ2468" s="60"/>
      <c r="GLA2468" s="63"/>
      <c r="GLB2468" s="61"/>
      <c r="GLC2468" s="54"/>
      <c r="GLD2468" s="54"/>
      <c r="GLE2468" s="60"/>
      <c r="GLF2468" s="60"/>
      <c r="GLG2468" s="60"/>
      <c r="GLH2468" s="60"/>
      <c r="GLI2468" s="63"/>
      <c r="GLJ2468" s="61"/>
      <c r="GLK2468" s="54"/>
      <c r="GLL2468" s="54"/>
      <c r="GLM2468" s="60"/>
      <c r="GLN2468" s="60"/>
      <c r="GLO2468" s="60"/>
      <c r="GLP2468" s="60"/>
      <c r="GLQ2468" s="63"/>
      <c r="GLR2468" s="61"/>
      <c r="GLS2468" s="54"/>
      <c r="GLT2468" s="54"/>
      <c r="GLU2468" s="60"/>
      <c r="GLV2468" s="60"/>
      <c r="GLW2468" s="60"/>
      <c r="GLX2468" s="60"/>
      <c r="GLY2468" s="63"/>
      <c r="GLZ2468" s="61"/>
      <c r="GMA2468" s="54"/>
      <c r="GMB2468" s="54"/>
      <c r="GMC2468" s="60"/>
      <c r="GMD2468" s="60"/>
      <c r="GME2468" s="60"/>
      <c r="GMF2468" s="60"/>
      <c r="GMG2468" s="63"/>
      <c r="GMH2468" s="61"/>
      <c r="GMI2468" s="54"/>
      <c r="GMJ2468" s="54"/>
      <c r="GMK2468" s="60"/>
      <c r="GML2468" s="60"/>
      <c r="GMM2468" s="60"/>
      <c r="GMN2468" s="60"/>
      <c r="GMO2468" s="63"/>
      <c r="GMP2468" s="61"/>
      <c r="GMQ2468" s="54"/>
      <c r="GMR2468" s="54"/>
      <c r="GMS2468" s="60"/>
      <c r="GMT2468" s="60"/>
      <c r="GMU2468" s="60"/>
      <c r="GMV2468" s="60"/>
      <c r="GMW2468" s="63"/>
      <c r="GMX2468" s="61"/>
      <c r="GMY2468" s="54"/>
      <c r="GMZ2468" s="54"/>
      <c r="GNA2468" s="60"/>
      <c r="GNB2468" s="60"/>
      <c r="GNC2468" s="60"/>
      <c r="GND2468" s="60"/>
      <c r="GNE2468" s="63"/>
      <c r="GNF2468" s="61"/>
      <c r="GNG2468" s="54"/>
      <c r="GNH2468" s="54"/>
      <c r="GNI2468" s="60"/>
      <c r="GNJ2468" s="60"/>
      <c r="GNK2468" s="60"/>
      <c r="GNL2468" s="60"/>
      <c r="GNM2468" s="63"/>
      <c r="GNN2468" s="61"/>
      <c r="GNO2468" s="54"/>
      <c r="GNP2468" s="54"/>
      <c r="GNQ2468" s="60"/>
      <c r="GNR2468" s="60"/>
      <c r="GNS2468" s="60"/>
      <c r="GNT2468" s="60"/>
      <c r="GNU2468" s="63"/>
      <c r="GNV2468" s="61"/>
      <c r="GNW2468" s="54"/>
      <c r="GNX2468" s="54"/>
      <c r="GNY2468" s="60"/>
      <c r="GNZ2468" s="60"/>
      <c r="GOA2468" s="60"/>
      <c r="GOB2468" s="60"/>
      <c r="GOC2468" s="63"/>
      <c r="GOD2468" s="61"/>
      <c r="GOE2468" s="54"/>
      <c r="GOF2468" s="54"/>
      <c r="GOG2468" s="60"/>
      <c r="GOH2468" s="60"/>
      <c r="GOI2468" s="60"/>
      <c r="GOJ2468" s="60"/>
      <c r="GOK2468" s="63"/>
      <c r="GOL2468" s="61"/>
      <c r="GOM2468" s="54"/>
      <c r="GON2468" s="54"/>
      <c r="GOO2468" s="60"/>
      <c r="GOP2468" s="60"/>
      <c r="GOQ2468" s="60"/>
      <c r="GOR2468" s="60"/>
      <c r="GOS2468" s="63"/>
      <c r="GOT2468" s="61"/>
      <c r="GOU2468" s="54"/>
      <c r="GOV2468" s="54"/>
      <c r="GOW2468" s="60"/>
      <c r="GOX2468" s="60"/>
      <c r="GOY2468" s="60"/>
      <c r="GOZ2468" s="60"/>
      <c r="GPA2468" s="63"/>
      <c r="GPB2468" s="61"/>
      <c r="GPC2468" s="54"/>
      <c r="GPD2468" s="54"/>
      <c r="GPE2468" s="60"/>
      <c r="GPF2468" s="60"/>
      <c r="GPG2468" s="60"/>
      <c r="GPH2468" s="60"/>
      <c r="GPI2468" s="63"/>
      <c r="GPJ2468" s="61"/>
      <c r="GPK2468" s="54"/>
      <c r="GPL2468" s="54"/>
      <c r="GPM2468" s="60"/>
      <c r="GPN2468" s="60"/>
      <c r="GPO2468" s="60"/>
      <c r="GPP2468" s="60"/>
      <c r="GPQ2468" s="63"/>
      <c r="GPR2468" s="61"/>
      <c r="GPS2468" s="54"/>
      <c r="GPT2468" s="54"/>
      <c r="GPU2468" s="60"/>
      <c r="GPV2468" s="60"/>
      <c r="GPW2468" s="60"/>
      <c r="GPX2468" s="60"/>
      <c r="GPY2468" s="63"/>
      <c r="GPZ2468" s="61"/>
      <c r="GQA2468" s="54"/>
      <c r="GQB2468" s="54"/>
      <c r="GQC2468" s="60"/>
      <c r="GQD2468" s="60"/>
      <c r="GQE2468" s="60"/>
      <c r="GQF2468" s="60"/>
      <c r="GQG2468" s="63"/>
      <c r="GQH2468" s="61"/>
      <c r="GQI2468" s="54"/>
      <c r="GQJ2468" s="54"/>
      <c r="GQK2468" s="60"/>
      <c r="GQL2468" s="60"/>
      <c r="GQM2468" s="60"/>
      <c r="GQN2468" s="60"/>
      <c r="GQO2468" s="63"/>
      <c r="GQP2468" s="61"/>
      <c r="GQQ2468" s="54"/>
      <c r="GQR2468" s="54"/>
      <c r="GQS2468" s="60"/>
      <c r="GQT2468" s="60"/>
      <c r="GQU2468" s="60"/>
      <c r="GQV2468" s="60"/>
      <c r="GQW2468" s="63"/>
      <c r="GQX2468" s="61"/>
      <c r="GQY2468" s="54"/>
      <c r="GQZ2468" s="54"/>
      <c r="GRA2468" s="60"/>
      <c r="GRB2468" s="60"/>
      <c r="GRC2468" s="60"/>
      <c r="GRD2468" s="60"/>
      <c r="GRE2468" s="63"/>
      <c r="GRF2468" s="61"/>
      <c r="GRG2468" s="54"/>
      <c r="GRH2468" s="54"/>
      <c r="GRI2468" s="60"/>
      <c r="GRJ2468" s="60"/>
      <c r="GRK2468" s="60"/>
      <c r="GRL2468" s="60"/>
      <c r="GRM2468" s="63"/>
      <c r="GRN2468" s="61"/>
      <c r="GRO2468" s="54"/>
      <c r="GRP2468" s="54"/>
      <c r="GRQ2468" s="60"/>
      <c r="GRR2468" s="60"/>
      <c r="GRS2468" s="60"/>
      <c r="GRT2468" s="60"/>
      <c r="GRU2468" s="63"/>
      <c r="GRV2468" s="61"/>
      <c r="GRW2468" s="54"/>
      <c r="GRX2468" s="54"/>
      <c r="GRY2468" s="60"/>
      <c r="GRZ2468" s="60"/>
      <c r="GSA2468" s="60"/>
      <c r="GSB2468" s="60"/>
      <c r="GSC2468" s="63"/>
      <c r="GSD2468" s="61"/>
      <c r="GSE2468" s="54"/>
      <c r="GSF2468" s="54"/>
      <c r="GSG2468" s="60"/>
      <c r="GSH2468" s="60"/>
      <c r="GSI2468" s="60"/>
      <c r="GSJ2468" s="60"/>
      <c r="GSK2468" s="63"/>
      <c r="GSL2468" s="61"/>
      <c r="GSM2468" s="54"/>
      <c r="GSN2468" s="54"/>
      <c r="GSO2468" s="60"/>
      <c r="GSP2468" s="60"/>
      <c r="GSQ2468" s="60"/>
      <c r="GSR2468" s="60"/>
      <c r="GSS2468" s="63"/>
      <c r="GST2468" s="61"/>
      <c r="GSU2468" s="54"/>
      <c r="GSV2468" s="54"/>
      <c r="GSW2468" s="60"/>
      <c r="GSX2468" s="60"/>
      <c r="GSY2468" s="60"/>
      <c r="GSZ2468" s="60"/>
      <c r="GTA2468" s="63"/>
      <c r="GTB2468" s="61"/>
      <c r="GTC2468" s="54"/>
      <c r="GTD2468" s="54"/>
      <c r="GTE2468" s="60"/>
      <c r="GTF2468" s="60"/>
      <c r="GTG2468" s="60"/>
      <c r="GTH2468" s="60"/>
      <c r="GTI2468" s="63"/>
      <c r="GTJ2468" s="61"/>
      <c r="GTK2468" s="54"/>
      <c r="GTL2468" s="54"/>
      <c r="GTM2468" s="60"/>
      <c r="GTN2468" s="60"/>
      <c r="GTO2468" s="60"/>
      <c r="GTP2468" s="60"/>
      <c r="GTQ2468" s="63"/>
      <c r="GTR2468" s="61"/>
      <c r="GTS2468" s="54"/>
      <c r="GTT2468" s="54"/>
      <c r="GTU2468" s="60"/>
      <c r="GTV2468" s="60"/>
      <c r="GTW2468" s="60"/>
      <c r="GTX2468" s="60"/>
      <c r="GTY2468" s="63"/>
      <c r="GTZ2468" s="61"/>
      <c r="GUA2468" s="54"/>
      <c r="GUB2468" s="54"/>
      <c r="GUC2468" s="60"/>
      <c r="GUD2468" s="60"/>
      <c r="GUE2468" s="60"/>
      <c r="GUF2468" s="60"/>
      <c r="GUG2468" s="63"/>
      <c r="GUH2468" s="61"/>
      <c r="GUI2468" s="54"/>
      <c r="GUJ2468" s="54"/>
      <c r="GUK2468" s="60"/>
      <c r="GUL2468" s="60"/>
      <c r="GUM2468" s="60"/>
      <c r="GUN2468" s="60"/>
      <c r="GUO2468" s="63"/>
      <c r="GUP2468" s="61"/>
      <c r="GUQ2468" s="54"/>
      <c r="GUR2468" s="54"/>
      <c r="GUS2468" s="60"/>
      <c r="GUT2468" s="60"/>
      <c r="GUU2468" s="60"/>
      <c r="GUV2468" s="60"/>
      <c r="GUW2468" s="63"/>
      <c r="GUX2468" s="61"/>
      <c r="GUY2468" s="54"/>
      <c r="GUZ2468" s="54"/>
      <c r="GVA2468" s="60"/>
      <c r="GVB2468" s="60"/>
      <c r="GVC2468" s="60"/>
      <c r="GVD2468" s="60"/>
      <c r="GVE2468" s="63"/>
      <c r="GVF2468" s="61"/>
      <c r="GVG2468" s="54"/>
      <c r="GVH2468" s="54"/>
      <c r="GVI2468" s="60"/>
      <c r="GVJ2468" s="60"/>
      <c r="GVK2468" s="60"/>
      <c r="GVL2468" s="60"/>
      <c r="GVM2468" s="63"/>
      <c r="GVN2468" s="61"/>
      <c r="GVO2468" s="54"/>
      <c r="GVP2468" s="54"/>
      <c r="GVQ2468" s="60"/>
      <c r="GVR2468" s="60"/>
      <c r="GVS2468" s="60"/>
      <c r="GVT2468" s="60"/>
      <c r="GVU2468" s="63"/>
      <c r="GVV2468" s="61"/>
      <c r="GVW2468" s="54"/>
      <c r="GVX2468" s="54"/>
      <c r="GVY2468" s="60"/>
      <c r="GVZ2468" s="60"/>
      <c r="GWA2468" s="60"/>
      <c r="GWB2468" s="60"/>
      <c r="GWC2468" s="63"/>
      <c r="GWD2468" s="61"/>
      <c r="GWE2468" s="54"/>
      <c r="GWF2468" s="54"/>
      <c r="GWG2468" s="60"/>
      <c r="GWH2468" s="60"/>
      <c r="GWI2468" s="60"/>
      <c r="GWJ2468" s="60"/>
      <c r="GWK2468" s="63"/>
      <c r="GWL2468" s="61"/>
      <c r="GWM2468" s="54"/>
      <c r="GWN2468" s="54"/>
      <c r="GWO2468" s="60"/>
      <c r="GWP2468" s="60"/>
      <c r="GWQ2468" s="60"/>
      <c r="GWR2468" s="60"/>
      <c r="GWS2468" s="63"/>
      <c r="GWT2468" s="61"/>
      <c r="GWU2468" s="54"/>
      <c r="GWV2468" s="54"/>
      <c r="GWW2468" s="60"/>
      <c r="GWX2468" s="60"/>
      <c r="GWY2468" s="60"/>
      <c r="GWZ2468" s="60"/>
      <c r="GXA2468" s="63"/>
      <c r="GXB2468" s="61"/>
      <c r="GXC2468" s="54"/>
      <c r="GXD2468" s="54"/>
      <c r="GXE2468" s="60"/>
      <c r="GXF2468" s="60"/>
      <c r="GXG2468" s="60"/>
      <c r="GXH2468" s="60"/>
      <c r="GXI2468" s="63"/>
      <c r="GXJ2468" s="61"/>
      <c r="GXK2468" s="54"/>
      <c r="GXL2468" s="54"/>
      <c r="GXM2468" s="60"/>
      <c r="GXN2468" s="60"/>
      <c r="GXO2468" s="60"/>
      <c r="GXP2468" s="60"/>
      <c r="GXQ2468" s="63"/>
      <c r="GXR2468" s="61"/>
      <c r="GXS2468" s="54"/>
      <c r="GXT2468" s="54"/>
      <c r="GXU2468" s="60"/>
      <c r="GXV2468" s="60"/>
      <c r="GXW2468" s="60"/>
      <c r="GXX2468" s="60"/>
      <c r="GXY2468" s="63"/>
      <c r="GXZ2468" s="61"/>
      <c r="GYA2468" s="54"/>
      <c r="GYB2468" s="54"/>
      <c r="GYC2468" s="60"/>
      <c r="GYD2468" s="60"/>
      <c r="GYE2468" s="60"/>
      <c r="GYF2468" s="60"/>
      <c r="GYG2468" s="63"/>
      <c r="GYH2468" s="61"/>
      <c r="GYI2468" s="54"/>
      <c r="GYJ2468" s="54"/>
      <c r="GYK2468" s="60"/>
      <c r="GYL2468" s="60"/>
      <c r="GYM2468" s="60"/>
      <c r="GYN2468" s="60"/>
      <c r="GYO2468" s="63"/>
      <c r="GYP2468" s="61"/>
      <c r="GYQ2468" s="54"/>
      <c r="GYR2468" s="54"/>
      <c r="GYS2468" s="60"/>
      <c r="GYT2468" s="60"/>
      <c r="GYU2468" s="60"/>
      <c r="GYV2468" s="60"/>
      <c r="GYW2468" s="63"/>
      <c r="GYX2468" s="61"/>
      <c r="GYY2468" s="54"/>
      <c r="GYZ2468" s="54"/>
      <c r="GZA2468" s="60"/>
      <c r="GZB2468" s="60"/>
      <c r="GZC2468" s="60"/>
      <c r="GZD2468" s="60"/>
      <c r="GZE2468" s="63"/>
      <c r="GZF2468" s="61"/>
      <c r="GZG2468" s="54"/>
      <c r="GZH2468" s="54"/>
      <c r="GZI2468" s="60"/>
      <c r="GZJ2468" s="60"/>
      <c r="GZK2468" s="60"/>
      <c r="GZL2468" s="60"/>
      <c r="GZM2468" s="63"/>
      <c r="GZN2468" s="61"/>
      <c r="GZO2468" s="54"/>
      <c r="GZP2468" s="54"/>
      <c r="GZQ2468" s="60"/>
      <c r="GZR2468" s="60"/>
      <c r="GZS2468" s="60"/>
      <c r="GZT2468" s="60"/>
      <c r="GZU2468" s="63"/>
      <c r="GZV2468" s="61"/>
      <c r="GZW2468" s="54"/>
      <c r="GZX2468" s="54"/>
      <c r="GZY2468" s="60"/>
      <c r="GZZ2468" s="60"/>
      <c r="HAA2468" s="60"/>
      <c r="HAB2468" s="60"/>
      <c r="HAC2468" s="63"/>
      <c r="HAD2468" s="61"/>
      <c r="HAE2468" s="54"/>
      <c r="HAF2468" s="54"/>
      <c r="HAG2468" s="60"/>
      <c r="HAH2468" s="60"/>
      <c r="HAI2468" s="60"/>
      <c r="HAJ2468" s="60"/>
      <c r="HAK2468" s="63"/>
      <c r="HAL2468" s="61"/>
      <c r="HAM2468" s="54"/>
      <c r="HAN2468" s="54"/>
      <c r="HAO2468" s="60"/>
      <c r="HAP2468" s="60"/>
      <c r="HAQ2468" s="60"/>
      <c r="HAR2468" s="60"/>
      <c r="HAS2468" s="63"/>
      <c r="HAT2468" s="61"/>
      <c r="HAU2468" s="54"/>
      <c r="HAV2468" s="54"/>
      <c r="HAW2468" s="60"/>
      <c r="HAX2468" s="60"/>
      <c r="HAY2468" s="60"/>
      <c r="HAZ2468" s="60"/>
      <c r="HBA2468" s="63"/>
      <c r="HBB2468" s="61"/>
      <c r="HBC2468" s="54"/>
      <c r="HBD2468" s="54"/>
      <c r="HBE2468" s="60"/>
      <c r="HBF2468" s="60"/>
      <c r="HBG2468" s="60"/>
      <c r="HBH2468" s="60"/>
      <c r="HBI2468" s="63"/>
      <c r="HBJ2468" s="61"/>
      <c r="HBK2468" s="54"/>
      <c r="HBL2468" s="54"/>
      <c r="HBM2468" s="60"/>
      <c r="HBN2468" s="60"/>
      <c r="HBO2468" s="60"/>
      <c r="HBP2468" s="60"/>
      <c r="HBQ2468" s="63"/>
      <c r="HBR2468" s="61"/>
      <c r="HBS2468" s="54"/>
      <c r="HBT2468" s="54"/>
      <c r="HBU2468" s="60"/>
      <c r="HBV2468" s="60"/>
      <c r="HBW2468" s="60"/>
      <c r="HBX2468" s="60"/>
      <c r="HBY2468" s="63"/>
      <c r="HBZ2468" s="61"/>
      <c r="HCA2468" s="54"/>
      <c r="HCB2468" s="54"/>
      <c r="HCC2468" s="60"/>
      <c r="HCD2468" s="60"/>
      <c r="HCE2468" s="60"/>
      <c r="HCF2468" s="60"/>
      <c r="HCG2468" s="63"/>
      <c r="HCH2468" s="61"/>
      <c r="HCI2468" s="54"/>
      <c r="HCJ2468" s="54"/>
      <c r="HCK2468" s="60"/>
      <c r="HCL2468" s="60"/>
      <c r="HCM2468" s="60"/>
      <c r="HCN2468" s="60"/>
      <c r="HCO2468" s="63"/>
      <c r="HCP2468" s="61"/>
      <c r="HCQ2468" s="54"/>
      <c r="HCR2468" s="54"/>
      <c r="HCS2468" s="60"/>
      <c r="HCT2468" s="60"/>
      <c r="HCU2468" s="60"/>
      <c r="HCV2468" s="60"/>
      <c r="HCW2468" s="63"/>
      <c r="HCX2468" s="61"/>
      <c r="HCY2468" s="54"/>
      <c r="HCZ2468" s="54"/>
      <c r="HDA2468" s="60"/>
      <c r="HDB2468" s="60"/>
      <c r="HDC2468" s="60"/>
      <c r="HDD2468" s="60"/>
      <c r="HDE2468" s="63"/>
      <c r="HDF2468" s="61"/>
      <c r="HDG2468" s="54"/>
      <c r="HDH2468" s="54"/>
      <c r="HDI2468" s="60"/>
      <c r="HDJ2468" s="60"/>
      <c r="HDK2468" s="60"/>
      <c r="HDL2468" s="60"/>
      <c r="HDM2468" s="63"/>
      <c r="HDN2468" s="61"/>
      <c r="HDO2468" s="54"/>
      <c r="HDP2468" s="54"/>
      <c r="HDQ2468" s="60"/>
      <c r="HDR2468" s="60"/>
      <c r="HDS2468" s="60"/>
      <c r="HDT2468" s="60"/>
      <c r="HDU2468" s="63"/>
      <c r="HDV2468" s="61"/>
      <c r="HDW2468" s="54"/>
      <c r="HDX2468" s="54"/>
      <c r="HDY2468" s="60"/>
      <c r="HDZ2468" s="60"/>
      <c r="HEA2468" s="60"/>
      <c r="HEB2468" s="60"/>
      <c r="HEC2468" s="63"/>
      <c r="HED2468" s="61"/>
      <c r="HEE2468" s="54"/>
      <c r="HEF2468" s="54"/>
      <c r="HEG2468" s="60"/>
      <c r="HEH2468" s="60"/>
      <c r="HEI2468" s="60"/>
      <c r="HEJ2468" s="60"/>
      <c r="HEK2468" s="63"/>
      <c r="HEL2468" s="61"/>
      <c r="HEM2468" s="54"/>
      <c r="HEN2468" s="54"/>
      <c r="HEO2468" s="60"/>
      <c r="HEP2468" s="60"/>
      <c r="HEQ2468" s="60"/>
      <c r="HER2468" s="60"/>
      <c r="HES2468" s="63"/>
      <c r="HET2468" s="61"/>
      <c r="HEU2468" s="54"/>
      <c r="HEV2468" s="54"/>
      <c r="HEW2468" s="60"/>
      <c r="HEX2468" s="60"/>
      <c r="HEY2468" s="60"/>
      <c r="HEZ2468" s="60"/>
      <c r="HFA2468" s="63"/>
      <c r="HFB2468" s="61"/>
      <c r="HFC2468" s="54"/>
      <c r="HFD2468" s="54"/>
      <c r="HFE2468" s="60"/>
      <c r="HFF2468" s="60"/>
      <c r="HFG2468" s="60"/>
      <c r="HFH2468" s="60"/>
      <c r="HFI2468" s="63"/>
      <c r="HFJ2468" s="61"/>
      <c r="HFK2468" s="54"/>
      <c r="HFL2468" s="54"/>
      <c r="HFM2468" s="60"/>
      <c r="HFN2468" s="60"/>
      <c r="HFO2468" s="60"/>
      <c r="HFP2468" s="60"/>
      <c r="HFQ2468" s="63"/>
      <c r="HFR2468" s="61"/>
      <c r="HFS2468" s="54"/>
      <c r="HFT2468" s="54"/>
      <c r="HFU2468" s="60"/>
      <c r="HFV2468" s="60"/>
      <c r="HFW2468" s="60"/>
      <c r="HFX2468" s="60"/>
      <c r="HFY2468" s="63"/>
      <c r="HFZ2468" s="61"/>
      <c r="HGA2468" s="54"/>
      <c r="HGB2468" s="54"/>
      <c r="HGC2468" s="60"/>
      <c r="HGD2468" s="60"/>
      <c r="HGE2468" s="60"/>
      <c r="HGF2468" s="60"/>
      <c r="HGG2468" s="63"/>
      <c r="HGH2468" s="61"/>
      <c r="HGI2468" s="54"/>
      <c r="HGJ2468" s="54"/>
      <c r="HGK2468" s="60"/>
      <c r="HGL2468" s="60"/>
      <c r="HGM2468" s="60"/>
      <c r="HGN2468" s="60"/>
      <c r="HGO2468" s="63"/>
      <c r="HGP2468" s="61"/>
      <c r="HGQ2468" s="54"/>
      <c r="HGR2468" s="54"/>
      <c r="HGS2468" s="60"/>
      <c r="HGT2468" s="60"/>
      <c r="HGU2468" s="60"/>
      <c r="HGV2468" s="60"/>
      <c r="HGW2468" s="63"/>
      <c r="HGX2468" s="61"/>
      <c r="HGY2468" s="54"/>
      <c r="HGZ2468" s="54"/>
      <c r="HHA2468" s="60"/>
      <c r="HHB2468" s="60"/>
      <c r="HHC2468" s="60"/>
      <c r="HHD2468" s="60"/>
      <c r="HHE2468" s="63"/>
      <c r="HHF2468" s="61"/>
      <c r="HHG2468" s="54"/>
      <c r="HHH2468" s="54"/>
      <c r="HHI2468" s="60"/>
      <c r="HHJ2468" s="60"/>
      <c r="HHK2468" s="60"/>
      <c r="HHL2468" s="60"/>
      <c r="HHM2468" s="63"/>
      <c r="HHN2468" s="61"/>
      <c r="HHO2468" s="54"/>
      <c r="HHP2468" s="54"/>
      <c r="HHQ2468" s="60"/>
      <c r="HHR2468" s="60"/>
      <c r="HHS2468" s="60"/>
      <c r="HHT2468" s="60"/>
      <c r="HHU2468" s="63"/>
      <c r="HHV2468" s="61"/>
      <c r="HHW2468" s="54"/>
      <c r="HHX2468" s="54"/>
      <c r="HHY2468" s="60"/>
      <c r="HHZ2468" s="60"/>
      <c r="HIA2468" s="60"/>
      <c r="HIB2468" s="60"/>
      <c r="HIC2468" s="63"/>
      <c r="HID2468" s="61"/>
      <c r="HIE2468" s="54"/>
      <c r="HIF2468" s="54"/>
      <c r="HIG2468" s="60"/>
      <c r="HIH2468" s="60"/>
      <c r="HII2468" s="60"/>
      <c r="HIJ2468" s="60"/>
      <c r="HIK2468" s="63"/>
      <c r="HIL2468" s="61"/>
      <c r="HIM2468" s="54"/>
      <c r="HIN2468" s="54"/>
      <c r="HIO2468" s="60"/>
      <c r="HIP2468" s="60"/>
      <c r="HIQ2468" s="60"/>
      <c r="HIR2468" s="60"/>
      <c r="HIS2468" s="63"/>
      <c r="HIT2468" s="61"/>
      <c r="HIU2468" s="54"/>
      <c r="HIV2468" s="54"/>
      <c r="HIW2468" s="60"/>
      <c r="HIX2468" s="60"/>
      <c r="HIY2468" s="60"/>
      <c r="HIZ2468" s="60"/>
      <c r="HJA2468" s="63"/>
      <c r="HJB2468" s="61"/>
      <c r="HJC2468" s="54"/>
      <c r="HJD2468" s="54"/>
      <c r="HJE2468" s="60"/>
      <c r="HJF2468" s="60"/>
      <c r="HJG2468" s="60"/>
      <c r="HJH2468" s="60"/>
      <c r="HJI2468" s="63"/>
      <c r="HJJ2468" s="61"/>
      <c r="HJK2468" s="54"/>
      <c r="HJL2468" s="54"/>
      <c r="HJM2468" s="60"/>
      <c r="HJN2468" s="60"/>
      <c r="HJO2468" s="60"/>
      <c r="HJP2468" s="60"/>
      <c r="HJQ2468" s="63"/>
      <c r="HJR2468" s="61"/>
      <c r="HJS2468" s="54"/>
      <c r="HJT2468" s="54"/>
      <c r="HJU2468" s="60"/>
      <c r="HJV2468" s="60"/>
      <c r="HJW2468" s="60"/>
      <c r="HJX2468" s="60"/>
      <c r="HJY2468" s="63"/>
      <c r="HJZ2468" s="61"/>
      <c r="HKA2468" s="54"/>
      <c r="HKB2468" s="54"/>
      <c r="HKC2468" s="60"/>
      <c r="HKD2468" s="60"/>
      <c r="HKE2468" s="60"/>
      <c r="HKF2468" s="60"/>
      <c r="HKG2468" s="63"/>
      <c r="HKH2468" s="61"/>
      <c r="HKI2468" s="54"/>
      <c r="HKJ2468" s="54"/>
      <c r="HKK2468" s="60"/>
      <c r="HKL2468" s="60"/>
      <c r="HKM2468" s="60"/>
      <c r="HKN2468" s="60"/>
      <c r="HKO2468" s="63"/>
      <c r="HKP2468" s="61"/>
      <c r="HKQ2468" s="54"/>
      <c r="HKR2468" s="54"/>
      <c r="HKS2468" s="60"/>
      <c r="HKT2468" s="60"/>
      <c r="HKU2468" s="60"/>
      <c r="HKV2468" s="60"/>
      <c r="HKW2468" s="63"/>
      <c r="HKX2468" s="61"/>
      <c r="HKY2468" s="54"/>
      <c r="HKZ2468" s="54"/>
      <c r="HLA2468" s="60"/>
      <c r="HLB2468" s="60"/>
      <c r="HLC2468" s="60"/>
      <c r="HLD2468" s="60"/>
      <c r="HLE2468" s="63"/>
      <c r="HLF2468" s="61"/>
      <c r="HLG2468" s="54"/>
      <c r="HLH2468" s="54"/>
      <c r="HLI2468" s="60"/>
      <c r="HLJ2468" s="60"/>
      <c r="HLK2468" s="60"/>
      <c r="HLL2468" s="60"/>
      <c r="HLM2468" s="63"/>
      <c r="HLN2468" s="61"/>
      <c r="HLO2468" s="54"/>
      <c r="HLP2468" s="54"/>
      <c r="HLQ2468" s="60"/>
      <c r="HLR2468" s="60"/>
      <c r="HLS2468" s="60"/>
      <c r="HLT2468" s="60"/>
      <c r="HLU2468" s="63"/>
      <c r="HLV2468" s="61"/>
      <c r="HLW2468" s="54"/>
      <c r="HLX2468" s="54"/>
      <c r="HLY2468" s="60"/>
      <c r="HLZ2468" s="60"/>
      <c r="HMA2468" s="60"/>
      <c r="HMB2468" s="60"/>
      <c r="HMC2468" s="63"/>
      <c r="HMD2468" s="61"/>
      <c r="HME2468" s="54"/>
      <c r="HMF2468" s="54"/>
      <c r="HMG2468" s="60"/>
      <c r="HMH2468" s="60"/>
      <c r="HMI2468" s="60"/>
      <c r="HMJ2468" s="60"/>
      <c r="HMK2468" s="63"/>
      <c r="HML2468" s="61"/>
      <c r="HMM2468" s="54"/>
      <c r="HMN2468" s="54"/>
      <c r="HMO2468" s="60"/>
      <c r="HMP2468" s="60"/>
      <c r="HMQ2468" s="60"/>
      <c r="HMR2468" s="60"/>
      <c r="HMS2468" s="63"/>
      <c r="HMT2468" s="61"/>
      <c r="HMU2468" s="54"/>
      <c r="HMV2468" s="54"/>
      <c r="HMW2468" s="60"/>
      <c r="HMX2468" s="60"/>
      <c r="HMY2468" s="60"/>
      <c r="HMZ2468" s="60"/>
      <c r="HNA2468" s="63"/>
      <c r="HNB2468" s="61"/>
      <c r="HNC2468" s="54"/>
      <c r="HND2468" s="54"/>
      <c r="HNE2468" s="60"/>
      <c r="HNF2468" s="60"/>
      <c r="HNG2468" s="60"/>
      <c r="HNH2468" s="60"/>
      <c r="HNI2468" s="63"/>
      <c r="HNJ2468" s="61"/>
      <c r="HNK2468" s="54"/>
      <c r="HNL2468" s="54"/>
      <c r="HNM2468" s="60"/>
      <c r="HNN2468" s="60"/>
      <c r="HNO2468" s="60"/>
      <c r="HNP2468" s="60"/>
      <c r="HNQ2468" s="63"/>
      <c r="HNR2468" s="61"/>
      <c r="HNS2468" s="54"/>
      <c r="HNT2468" s="54"/>
      <c r="HNU2468" s="60"/>
      <c r="HNV2468" s="60"/>
      <c r="HNW2468" s="60"/>
      <c r="HNX2468" s="60"/>
      <c r="HNY2468" s="63"/>
      <c r="HNZ2468" s="61"/>
      <c r="HOA2468" s="54"/>
      <c r="HOB2468" s="54"/>
      <c r="HOC2468" s="60"/>
      <c r="HOD2468" s="60"/>
      <c r="HOE2468" s="60"/>
      <c r="HOF2468" s="60"/>
      <c r="HOG2468" s="63"/>
      <c r="HOH2468" s="61"/>
      <c r="HOI2468" s="54"/>
      <c r="HOJ2468" s="54"/>
      <c r="HOK2468" s="60"/>
      <c r="HOL2468" s="60"/>
      <c r="HOM2468" s="60"/>
      <c r="HON2468" s="60"/>
      <c r="HOO2468" s="63"/>
      <c r="HOP2468" s="61"/>
      <c r="HOQ2468" s="54"/>
      <c r="HOR2468" s="54"/>
      <c r="HOS2468" s="60"/>
      <c r="HOT2468" s="60"/>
      <c r="HOU2468" s="60"/>
      <c r="HOV2468" s="60"/>
      <c r="HOW2468" s="63"/>
      <c r="HOX2468" s="61"/>
      <c r="HOY2468" s="54"/>
      <c r="HOZ2468" s="54"/>
      <c r="HPA2468" s="60"/>
      <c r="HPB2468" s="60"/>
      <c r="HPC2468" s="60"/>
      <c r="HPD2468" s="60"/>
      <c r="HPE2468" s="63"/>
      <c r="HPF2468" s="61"/>
      <c r="HPG2468" s="54"/>
      <c r="HPH2468" s="54"/>
      <c r="HPI2468" s="60"/>
      <c r="HPJ2468" s="60"/>
      <c r="HPK2468" s="60"/>
      <c r="HPL2468" s="60"/>
      <c r="HPM2468" s="63"/>
      <c r="HPN2468" s="61"/>
      <c r="HPO2468" s="54"/>
      <c r="HPP2468" s="54"/>
      <c r="HPQ2468" s="60"/>
      <c r="HPR2468" s="60"/>
      <c r="HPS2468" s="60"/>
      <c r="HPT2468" s="60"/>
      <c r="HPU2468" s="63"/>
      <c r="HPV2468" s="61"/>
      <c r="HPW2468" s="54"/>
      <c r="HPX2468" s="54"/>
      <c r="HPY2468" s="60"/>
      <c r="HPZ2468" s="60"/>
      <c r="HQA2468" s="60"/>
      <c r="HQB2468" s="60"/>
      <c r="HQC2468" s="63"/>
      <c r="HQD2468" s="61"/>
      <c r="HQE2468" s="54"/>
      <c r="HQF2468" s="54"/>
      <c r="HQG2468" s="60"/>
      <c r="HQH2468" s="60"/>
      <c r="HQI2468" s="60"/>
      <c r="HQJ2468" s="60"/>
      <c r="HQK2468" s="63"/>
      <c r="HQL2468" s="61"/>
      <c r="HQM2468" s="54"/>
      <c r="HQN2468" s="54"/>
      <c r="HQO2468" s="60"/>
      <c r="HQP2468" s="60"/>
      <c r="HQQ2468" s="60"/>
      <c r="HQR2468" s="60"/>
      <c r="HQS2468" s="63"/>
      <c r="HQT2468" s="61"/>
      <c r="HQU2468" s="54"/>
      <c r="HQV2468" s="54"/>
      <c r="HQW2468" s="60"/>
      <c r="HQX2468" s="60"/>
      <c r="HQY2468" s="60"/>
      <c r="HQZ2468" s="60"/>
      <c r="HRA2468" s="63"/>
      <c r="HRB2468" s="61"/>
      <c r="HRC2468" s="54"/>
      <c r="HRD2468" s="54"/>
      <c r="HRE2468" s="60"/>
      <c r="HRF2468" s="60"/>
      <c r="HRG2468" s="60"/>
      <c r="HRH2468" s="60"/>
      <c r="HRI2468" s="63"/>
      <c r="HRJ2468" s="61"/>
      <c r="HRK2468" s="54"/>
      <c r="HRL2468" s="54"/>
      <c r="HRM2468" s="60"/>
      <c r="HRN2468" s="60"/>
      <c r="HRO2468" s="60"/>
      <c r="HRP2468" s="60"/>
      <c r="HRQ2468" s="63"/>
      <c r="HRR2468" s="61"/>
      <c r="HRS2468" s="54"/>
      <c r="HRT2468" s="54"/>
      <c r="HRU2468" s="60"/>
      <c r="HRV2468" s="60"/>
      <c r="HRW2468" s="60"/>
      <c r="HRX2468" s="60"/>
      <c r="HRY2468" s="63"/>
      <c r="HRZ2468" s="61"/>
      <c r="HSA2468" s="54"/>
      <c r="HSB2468" s="54"/>
      <c r="HSC2468" s="60"/>
      <c r="HSD2468" s="60"/>
      <c r="HSE2468" s="60"/>
      <c r="HSF2468" s="60"/>
      <c r="HSG2468" s="63"/>
      <c r="HSH2468" s="61"/>
      <c r="HSI2468" s="54"/>
      <c r="HSJ2468" s="54"/>
      <c r="HSK2468" s="60"/>
      <c r="HSL2468" s="60"/>
      <c r="HSM2468" s="60"/>
      <c r="HSN2468" s="60"/>
      <c r="HSO2468" s="63"/>
      <c r="HSP2468" s="61"/>
      <c r="HSQ2468" s="54"/>
      <c r="HSR2468" s="54"/>
      <c r="HSS2468" s="60"/>
      <c r="HST2468" s="60"/>
      <c r="HSU2468" s="60"/>
      <c r="HSV2468" s="60"/>
      <c r="HSW2468" s="63"/>
      <c r="HSX2468" s="61"/>
      <c r="HSY2468" s="54"/>
      <c r="HSZ2468" s="54"/>
      <c r="HTA2468" s="60"/>
      <c r="HTB2468" s="60"/>
      <c r="HTC2468" s="60"/>
      <c r="HTD2468" s="60"/>
      <c r="HTE2468" s="63"/>
      <c r="HTF2468" s="61"/>
      <c r="HTG2468" s="54"/>
      <c r="HTH2468" s="54"/>
      <c r="HTI2468" s="60"/>
      <c r="HTJ2468" s="60"/>
      <c r="HTK2468" s="60"/>
      <c r="HTL2468" s="60"/>
      <c r="HTM2468" s="63"/>
      <c r="HTN2468" s="61"/>
      <c r="HTO2468" s="54"/>
      <c r="HTP2468" s="54"/>
      <c r="HTQ2468" s="60"/>
      <c r="HTR2468" s="60"/>
      <c r="HTS2468" s="60"/>
      <c r="HTT2468" s="60"/>
      <c r="HTU2468" s="63"/>
      <c r="HTV2468" s="61"/>
      <c r="HTW2468" s="54"/>
      <c r="HTX2468" s="54"/>
      <c r="HTY2468" s="60"/>
      <c r="HTZ2468" s="60"/>
      <c r="HUA2468" s="60"/>
      <c r="HUB2468" s="60"/>
      <c r="HUC2468" s="63"/>
      <c r="HUD2468" s="61"/>
      <c r="HUE2468" s="54"/>
      <c r="HUF2468" s="54"/>
      <c r="HUG2468" s="60"/>
      <c r="HUH2468" s="60"/>
      <c r="HUI2468" s="60"/>
      <c r="HUJ2468" s="60"/>
      <c r="HUK2468" s="63"/>
      <c r="HUL2468" s="61"/>
      <c r="HUM2468" s="54"/>
      <c r="HUN2468" s="54"/>
      <c r="HUO2468" s="60"/>
      <c r="HUP2468" s="60"/>
      <c r="HUQ2468" s="60"/>
      <c r="HUR2468" s="60"/>
      <c r="HUS2468" s="63"/>
      <c r="HUT2468" s="61"/>
      <c r="HUU2468" s="54"/>
      <c r="HUV2468" s="54"/>
      <c r="HUW2468" s="60"/>
      <c r="HUX2468" s="60"/>
      <c r="HUY2468" s="60"/>
      <c r="HUZ2468" s="60"/>
      <c r="HVA2468" s="63"/>
      <c r="HVB2468" s="61"/>
      <c r="HVC2468" s="54"/>
      <c r="HVD2468" s="54"/>
      <c r="HVE2468" s="60"/>
      <c r="HVF2468" s="60"/>
      <c r="HVG2468" s="60"/>
      <c r="HVH2468" s="60"/>
      <c r="HVI2468" s="63"/>
      <c r="HVJ2468" s="61"/>
      <c r="HVK2468" s="54"/>
      <c r="HVL2468" s="54"/>
      <c r="HVM2468" s="60"/>
      <c r="HVN2468" s="60"/>
      <c r="HVO2468" s="60"/>
      <c r="HVP2468" s="60"/>
      <c r="HVQ2468" s="63"/>
      <c r="HVR2468" s="61"/>
      <c r="HVS2468" s="54"/>
      <c r="HVT2468" s="54"/>
      <c r="HVU2468" s="60"/>
      <c r="HVV2468" s="60"/>
      <c r="HVW2468" s="60"/>
      <c r="HVX2468" s="60"/>
      <c r="HVY2468" s="63"/>
      <c r="HVZ2468" s="61"/>
      <c r="HWA2468" s="54"/>
      <c r="HWB2468" s="54"/>
      <c r="HWC2468" s="60"/>
      <c r="HWD2468" s="60"/>
      <c r="HWE2468" s="60"/>
      <c r="HWF2468" s="60"/>
      <c r="HWG2468" s="63"/>
      <c r="HWH2468" s="61"/>
      <c r="HWI2468" s="54"/>
      <c r="HWJ2468" s="54"/>
      <c r="HWK2468" s="60"/>
      <c r="HWL2468" s="60"/>
      <c r="HWM2468" s="60"/>
      <c r="HWN2468" s="60"/>
      <c r="HWO2468" s="63"/>
      <c r="HWP2468" s="61"/>
      <c r="HWQ2468" s="54"/>
      <c r="HWR2468" s="54"/>
      <c r="HWS2468" s="60"/>
      <c r="HWT2468" s="60"/>
      <c r="HWU2468" s="60"/>
      <c r="HWV2468" s="60"/>
      <c r="HWW2468" s="63"/>
      <c r="HWX2468" s="61"/>
      <c r="HWY2468" s="54"/>
      <c r="HWZ2468" s="54"/>
      <c r="HXA2468" s="60"/>
      <c r="HXB2468" s="60"/>
      <c r="HXC2468" s="60"/>
      <c r="HXD2468" s="60"/>
      <c r="HXE2468" s="63"/>
      <c r="HXF2468" s="61"/>
      <c r="HXG2468" s="54"/>
      <c r="HXH2468" s="54"/>
      <c r="HXI2468" s="60"/>
      <c r="HXJ2468" s="60"/>
      <c r="HXK2468" s="60"/>
      <c r="HXL2468" s="60"/>
      <c r="HXM2468" s="63"/>
      <c r="HXN2468" s="61"/>
      <c r="HXO2468" s="54"/>
      <c r="HXP2468" s="54"/>
      <c r="HXQ2468" s="60"/>
      <c r="HXR2468" s="60"/>
      <c r="HXS2468" s="60"/>
      <c r="HXT2468" s="60"/>
      <c r="HXU2468" s="63"/>
      <c r="HXV2468" s="61"/>
      <c r="HXW2468" s="54"/>
      <c r="HXX2468" s="54"/>
      <c r="HXY2468" s="60"/>
      <c r="HXZ2468" s="60"/>
      <c r="HYA2468" s="60"/>
      <c r="HYB2468" s="60"/>
      <c r="HYC2468" s="63"/>
      <c r="HYD2468" s="61"/>
      <c r="HYE2468" s="54"/>
      <c r="HYF2468" s="54"/>
      <c r="HYG2468" s="60"/>
      <c r="HYH2468" s="60"/>
      <c r="HYI2468" s="60"/>
      <c r="HYJ2468" s="60"/>
      <c r="HYK2468" s="63"/>
      <c r="HYL2468" s="61"/>
      <c r="HYM2468" s="54"/>
      <c r="HYN2468" s="54"/>
      <c r="HYO2468" s="60"/>
      <c r="HYP2468" s="60"/>
      <c r="HYQ2468" s="60"/>
      <c r="HYR2468" s="60"/>
      <c r="HYS2468" s="63"/>
      <c r="HYT2468" s="61"/>
      <c r="HYU2468" s="54"/>
      <c r="HYV2468" s="54"/>
      <c r="HYW2468" s="60"/>
      <c r="HYX2468" s="60"/>
      <c r="HYY2468" s="60"/>
      <c r="HYZ2468" s="60"/>
      <c r="HZA2468" s="63"/>
      <c r="HZB2468" s="61"/>
      <c r="HZC2468" s="54"/>
      <c r="HZD2468" s="54"/>
      <c r="HZE2468" s="60"/>
      <c r="HZF2468" s="60"/>
      <c r="HZG2468" s="60"/>
      <c r="HZH2468" s="60"/>
      <c r="HZI2468" s="63"/>
      <c r="HZJ2468" s="61"/>
      <c r="HZK2468" s="54"/>
      <c r="HZL2468" s="54"/>
      <c r="HZM2468" s="60"/>
      <c r="HZN2468" s="60"/>
      <c r="HZO2468" s="60"/>
      <c r="HZP2468" s="60"/>
      <c r="HZQ2468" s="63"/>
      <c r="HZR2468" s="61"/>
      <c r="HZS2468" s="54"/>
      <c r="HZT2468" s="54"/>
      <c r="HZU2468" s="60"/>
      <c r="HZV2468" s="60"/>
      <c r="HZW2468" s="60"/>
      <c r="HZX2468" s="60"/>
      <c r="HZY2468" s="63"/>
      <c r="HZZ2468" s="61"/>
      <c r="IAA2468" s="54"/>
      <c r="IAB2468" s="54"/>
      <c r="IAC2468" s="60"/>
      <c r="IAD2468" s="60"/>
      <c r="IAE2468" s="60"/>
      <c r="IAF2468" s="60"/>
      <c r="IAG2468" s="63"/>
      <c r="IAH2468" s="61"/>
      <c r="IAI2468" s="54"/>
      <c r="IAJ2468" s="54"/>
      <c r="IAK2468" s="60"/>
      <c r="IAL2468" s="60"/>
      <c r="IAM2468" s="60"/>
      <c r="IAN2468" s="60"/>
      <c r="IAO2468" s="63"/>
      <c r="IAP2468" s="61"/>
      <c r="IAQ2468" s="54"/>
      <c r="IAR2468" s="54"/>
      <c r="IAS2468" s="60"/>
      <c r="IAT2468" s="60"/>
      <c r="IAU2468" s="60"/>
      <c r="IAV2468" s="60"/>
      <c r="IAW2468" s="63"/>
      <c r="IAX2468" s="61"/>
      <c r="IAY2468" s="54"/>
      <c r="IAZ2468" s="54"/>
      <c r="IBA2468" s="60"/>
      <c r="IBB2468" s="60"/>
      <c r="IBC2468" s="60"/>
      <c r="IBD2468" s="60"/>
      <c r="IBE2468" s="63"/>
      <c r="IBF2468" s="61"/>
      <c r="IBG2468" s="54"/>
      <c r="IBH2468" s="54"/>
      <c r="IBI2468" s="60"/>
      <c r="IBJ2468" s="60"/>
      <c r="IBK2468" s="60"/>
      <c r="IBL2468" s="60"/>
      <c r="IBM2468" s="63"/>
      <c r="IBN2468" s="61"/>
      <c r="IBO2468" s="54"/>
      <c r="IBP2468" s="54"/>
      <c r="IBQ2468" s="60"/>
      <c r="IBR2468" s="60"/>
      <c r="IBS2468" s="60"/>
      <c r="IBT2468" s="60"/>
      <c r="IBU2468" s="63"/>
      <c r="IBV2468" s="61"/>
      <c r="IBW2468" s="54"/>
      <c r="IBX2468" s="54"/>
      <c r="IBY2468" s="60"/>
      <c r="IBZ2468" s="60"/>
      <c r="ICA2468" s="60"/>
      <c r="ICB2468" s="60"/>
      <c r="ICC2468" s="63"/>
      <c r="ICD2468" s="61"/>
      <c r="ICE2468" s="54"/>
      <c r="ICF2468" s="54"/>
      <c r="ICG2468" s="60"/>
      <c r="ICH2468" s="60"/>
      <c r="ICI2468" s="60"/>
      <c r="ICJ2468" s="60"/>
      <c r="ICK2468" s="63"/>
      <c r="ICL2468" s="61"/>
      <c r="ICM2468" s="54"/>
      <c r="ICN2468" s="54"/>
      <c r="ICO2468" s="60"/>
      <c r="ICP2468" s="60"/>
      <c r="ICQ2468" s="60"/>
      <c r="ICR2468" s="60"/>
      <c r="ICS2468" s="63"/>
      <c r="ICT2468" s="61"/>
      <c r="ICU2468" s="54"/>
      <c r="ICV2468" s="54"/>
      <c r="ICW2468" s="60"/>
      <c r="ICX2468" s="60"/>
      <c r="ICY2468" s="60"/>
      <c r="ICZ2468" s="60"/>
      <c r="IDA2468" s="63"/>
      <c r="IDB2468" s="61"/>
      <c r="IDC2468" s="54"/>
      <c r="IDD2468" s="54"/>
      <c r="IDE2468" s="60"/>
      <c r="IDF2468" s="60"/>
      <c r="IDG2468" s="60"/>
      <c r="IDH2468" s="60"/>
      <c r="IDI2468" s="63"/>
      <c r="IDJ2468" s="61"/>
      <c r="IDK2468" s="54"/>
      <c r="IDL2468" s="54"/>
      <c r="IDM2468" s="60"/>
      <c r="IDN2468" s="60"/>
      <c r="IDO2468" s="60"/>
      <c r="IDP2468" s="60"/>
      <c r="IDQ2468" s="63"/>
      <c r="IDR2468" s="61"/>
      <c r="IDS2468" s="54"/>
      <c r="IDT2468" s="54"/>
      <c r="IDU2468" s="60"/>
      <c r="IDV2468" s="60"/>
      <c r="IDW2468" s="60"/>
      <c r="IDX2468" s="60"/>
      <c r="IDY2468" s="63"/>
      <c r="IDZ2468" s="61"/>
      <c r="IEA2468" s="54"/>
      <c r="IEB2468" s="54"/>
      <c r="IEC2468" s="60"/>
      <c r="IED2468" s="60"/>
      <c r="IEE2468" s="60"/>
      <c r="IEF2468" s="60"/>
      <c r="IEG2468" s="63"/>
      <c r="IEH2468" s="61"/>
      <c r="IEI2468" s="54"/>
      <c r="IEJ2468" s="54"/>
      <c r="IEK2468" s="60"/>
      <c r="IEL2468" s="60"/>
      <c r="IEM2468" s="60"/>
      <c r="IEN2468" s="60"/>
      <c r="IEO2468" s="63"/>
      <c r="IEP2468" s="61"/>
      <c r="IEQ2468" s="54"/>
      <c r="IER2468" s="54"/>
      <c r="IES2468" s="60"/>
      <c r="IET2468" s="60"/>
      <c r="IEU2468" s="60"/>
      <c r="IEV2468" s="60"/>
      <c r="IEW2468" s="63"/>
      <c r="IEX2468" s="61"/>
      <c r="IEY2468" s="54"/>
      <c r="IEZ2468" s="54"/>
      <c r="IFA2468" s="60"/>
      <c r="IFB2468" s="60"/>
      <c r="IFC2468" s="60"/>
      <c r="IFD2468" s="60"/>
      <c r="IFE2468" s="63"/>
      <c r="IFF2468" s="61"/>
      <c r="IFG2468" s="54"/>
      <c r="IFH2468" s="54"/>
      <c r="IFI2468" s="60"/>
      <c r="IFJ2468" s="60"/>
      <c r="IFK2468" s="60"/>
      <c r="IFL2468" s="60"/>
      <c r="IFM2468" s="63"/>
      <c r="IFN2468" s="61"/>
      <c r="IFO2468" s="54"/>
      <c r="IFP2468" s="54"/>
      <c r="IFQ2468" s="60"/>
      <c r="IFR2468" s="60"/>
      <c r="IFS2468" s="60"/>
      <c r="IFT2468" s="60"/>
      <c r="IFU2468" s="63"/>
      <c r="IFV2468" s="61"/>
      <c r="IFW2468" s="54"/>
      <c r="IFX2468" s="54"/>
      <c r="IFY2468" s="60"/>
      <c r="IFZ2468" s="60"/>
      <c r="IGA2468" s="60"/>
      <c r="IGB2468" s="60"/>
      <c r="IGC2468" s="63"/>
      <c r="IGD2468" s="61"/>
      <c r="IGE2468" s="54"/>
      <c r="IGF2468" s="54"/>
      <c r="IGG2468" s="60"/>
      <c r="IGH2468" s="60"/>
      <c r="IGI2468" s="60"/>
      <c r="IGJ2468" s="60"/>
      <c r="IGK2468" s="63"/>
      <c r="IGL2468" s="61"/>
      <c r="IGM2468" s="54"/>
      <c r="IGN2468" s="54"/>
      <c r="IGO2468" s="60"/>
      <c r="IGP2468" s="60"/>
      <c r="IGQ2468" s="60"/>
      <c r="IGR2468" s="60"/>
      <c r="IGS2468" s="63"/>
      <c r="IGT2468" s="61"/>
      <c r="IGU2468" s="54"/>
      <c r="IGV2468" s="54"/>
      <c r="IGW2468" s="60"/>
      <c r="IGX2468" s="60"/>
      <c r="IGY2468" s="60"/>
      <c r="IGZ2468" s="60"/>
      <c r="IHA2468" s="63"/>
      <c r="IHB2468" s="61"/>
      <c r="IHC2468" s="54"/>
      <c r="IHD2468" s="54"/>
      <c r="IHE2468" s="60"/>
      <c r="IHF2468" s="60"/>
      <c r="IHG2468" s="60"/>
      <c r="IHH2468" s="60"/>
      <c r="IHI2468" s="63"/>
      <c r="IHJ2468" s="61"/>
      <c r="IHK2468" s="54"/>
      <c r="IHL2468" s="54"/>
      <c r="IHM2468" s="60"/>
      <c r="IHN2468" s="60"/>
      <c r="IHO2468" s="60"/>
      <c r="IHP2468" s="60"/>
      <c r="IHQ2468" s="63"/>
      <c r="IHR2468" s="61"/>
      <c r="IHS2468" s="54"/>
      <c r="IHT2468" s="54"/>
      <c r="IHU2468" s="60"/>
      <c r="IHV2468" s="60"/>
      <c r="IHW2468" s="60"/>
      <c r="IHX2468" s="60"/>
      <c r="IHY2468" s="63"/>
      <c r="IHZ2468" s="61"/>
      <c r="IIA2468" s="54"/>
      <c r="IIB2468" s="54"/>
      <c r="IIC2468" s="60"/>
      <c r="IID2468" s="60"/>
      <c r="IIE2468" s="60"/>
      <c r="IIF2468" s="60"/>
      <c r="IIG2468" s="63"/>
      <c r="IIH2468" s="61"/>
      <c r="III2468" s="54"/>
      <c r="IIJ2468" s="54"/>
      <c r="IIK2468" s="60"/>
      <c r="IIL2468" s="60"/>
      <c r="IIM2468" s="60"/>
      <c r="IIN2468" s="60"/>
      <c r="IIO2468" s="63"/>
      <c r="IIP2468" s="61"/>
      <c r="IIQ2468" s="54"/>
      <c r="IIR2468" s="54"/>
      <c r="IIS2468" s="60"/>
      <c r="IIT2468" s="60"/>
      <c r="IIU2468" s="60"/>
      <c r="IIV2468" s="60"/>
      <c r="IIW2468" s="63"/>
      <c r="IIX2468" s="61"/>
      <c r="IIY2468" s="54"/>
      <c r="IIZ2468" s="54"/>
      <c r="IJA2468" s="60"/>
      <c r="IJB2468" s="60"/>
      <c r="IJC2468" s="60"/>
      <c r="IJD2468" s="60"/>
      <c r="IJE2468" s="63"/>
      <c r="IJF2468" s="61"/>
      <c r="IJG2468" s="54"/>
      <c r="IJH2468" s="54"/>
      <c r="IJI2468" s="60"/>
      <c r="IJJ2468" s="60"/>
      <c r="IJK2468" s="60"/>
      <c r="IJL2468" s="60"/>
      <c r="IJM2468" s="63"/>
      <c r="IJN2468" s="61"/>
      <c r="IJO2468" s="54"/>
      <c r="IJP2468" s="54"/>
      <c r="IJQ2468" s="60"/>
      <c r="IJR2468" s="60"/>
      <c r="IJS2468" s="60"/>
      <c r="IJT2468" s="60"/>
      <c r="IJU2468" s="63"/>
      <c r="IJV2468" s="61"/>
      <c r="IJW2468" s="54"/>
      <c r="IJX2468" s="54"/>
      <c r="IJY2468" s="60"/>
      <c r="IJZ2468" s="60"/>
      <c r="IKA2468" s="60"/>
      <c r="IKB2468" s="60"/>
      <c r="IKC2468" s="63"/>
      <c r="IKD2468" s="61"/>
      <c r="IKE2468" s="54"/>
      <c r="IKF2468" s="54"/>
      <c r="IKG2468" s="60"/>
      <c r="IKH2468" s="60"/>
      <c r="IKI2468" s="60"/>
      <c r="IKJ2468" s="60"/>
      <c r="IKK2468" s="63"/>
      <c r="IKL2468" s="61"/>
      <c r="IKM2468" s="54"/>
      <c r="IKN2468" s="54"/>
      <c r="IKO2468" s="60"/>
      <c r="IKP2468" s="60"/>
      <c r="IKQ2468" s="60"/>
      <c r="IKR2468" s="60"/>
      <c r="IKS2468" s="63"/>
      <c r="IKT2468" s="61"/>
      <c r="IKU2468" s="54"/>
      <c r="IKV2468" s="54"/>
      <c r="IKW2468" s="60"/>
      <c r="IKX2468" s="60"/>
      <c r="IKY2468" s="60"/>
      <c r="IKZ2468" s="60"/>
      <c r="ILA2468" s="63"/>
      <c r="ILB2468" s="61"/>
      <c r="ILC2468" s="54"/>
      <c r="ILD2468" s="54"/>
      <c r="ILE2468" s="60"/>
      <c r="ILF2468" s="60"/>
      <c r="ILG2468" s="60"/>
      <c r="ILH2468" s="60"/>
      <c r="ILI2468" s="63"/>
      <c r="ILJ2468" s="61"/>
      <c r="ILK2468" s="54"/>
      <c r="ILL2468" s="54"/>
      <c r="ILM2468" s="60"/>
      <c r="ILN2468" s="60"/>
      <c r="ILO2468" s="60"/>
      <c r="ILP2468" s="60"/>
      <c r="ILQ2468" s="63"/>
      <c r="ILR2468" s="61"/>
      <c r="ILS2468" s="54"/>
      <c r="ILT2468" s="54"/>
      <c r="ILU2468" s="60"/>
      <c r="ILV2468" s="60"/>
      <c r="ILW2468" s="60"/>
      <c r="ILX2468" s="60"/>
      <c r="ILY2468" s="63"/>
      <c r="ILZ2468" s="61"/>
      <c r="IMA2468" s="54"/>
      <c r="IMB2468" s="54"/>
      <c r="IMC2468" s="60"/>
      <c r="IMD2468" s="60"/>
      <c r="IME2468" s="60"/>
      <c r="IMF2468" s="60"/>
      <c r="IMG2468" s="63"/>
      <c r="IMH2468" s="61"/>
      <c r="IMI2468" s="54"/>
      <c r="IMJ2468" s="54"/>
      <c r="IMK2468" s="60"/>
      <c r="IML2468" s="60"/>
      <c r="IMM2468" s="60"/>
      <c r="IMN2468" s="60"/>
      <c r="IMO2468" s="63"/>
      <c r="IMP2468" s="61"/>
      <c r="IMQ2468" s="54"/>
      <c r="IMR2468" s="54"/>
      <c r="IMS2468" s="60"/>
      <c r="IMT2468" s="60"/>
      <c r="IMU2468" s="60"/>
      <c r="IMV2468" s="60"/>
      <c r="IMW2468" s="63"/>
      <c r="IMX2468" s="61"/>
      <c r="IMY2468" s="54"/>
      <c r="IMZ2468" s="54"/>
      <c r="INA2468" s="60"/>
      <c r="INB2468" s="60"/>
      <c r="INC2468" s="60"/>
      <c r="IND2468" s="60"/>
      <c r="INE2468" s="63"/>
      <c r="INF2468" s="61"/>
      <c r="ING2468" s="54"/>
      <c r="INH2468" s="54"/>
      <c r="INI2468" s="60"/>
      <c r="INJ2468" s="60"/>
      <c r="INK2468" s="60"/>
      <c r="INL2468" s="60"/>
      <c r="INM2468" s="63"/>
      <c r="INN2468" s="61"/>
      <c r="INO2468" s="54"/>
      <c r="INP2468" s="54"/>
      <c r="INQ2468" s="60"/>
      <c r="INR2468" s="60"/>
      <c r="INS2468" s="60"/>
      <c r="INT2468" s="60"/>
      <c r="INU2468" s="63"/>
      <c r="INV2468" s="61"/>
      <c r="INW2468" s="54"/>
      <c r="INX2468" s="54"/>
      <c r="INY2468" s="60"/>
      <c r="INZ2468" s="60"/>
      <c r="IOA2468" s="60"/>
      <c r="IOB2468" s="60"/>
      <c r="IOC2468" s="63"/>
      <c r="IOD2468" s="61"/>
      <c r="IOE2468" s="54"/>
      <c r="IOF2468" s="54"/>
      <c r="IOG2468" s="60"/>
      <c r="IOH2468" s="60"/>
      <c r="IOI2468" s="60"/>
      <c r="IOJ2468" s="60"/>
      <c r="IOK2468" s="63"/>
      <c r="IOL2468" s="61"/>
      <c r="IOM2468" s="54"/>
      <c r="ION2468" s="54"/>
      <c r="IOO2468" s="60"/>
      <c r="IOP2468" s="60"/>
      <c r="IOQ2468" s="60"/>
      <c r="IOR2468" s="60"/>
      <c r="IOS2468" s="63"/>
      <c r="IOT2468" s="61"/>
      <c r="IOU2468" s="54"/>
      <c r="IOV2468" s="54"/>
      <c r="IOW2468" s="60"/>
      <c r="IOX2468" s="60"/>
      <c r="IOY2468" s="60"/>
      <c r="IOZ2468" s="60"/>
      <c r="IPA2468" s="63"/>
      <c r="IPB2468" s="61"/>
      <c r="IPC2468" s="54"/>
      <c r="IPD2468" s="54"/>
      <c r="IPE2468" s="60"/>
      <c r="IPF2468" s="60"/>
      <c r="IPG2468" s="60"/>
      <c r="IPH2468" s="60"/>
      <c r="IPI2468" s="63"/>
      <c r="IPJ2468" s="61"/>
      <c r="IPK2468" s="54"/>
      <c r="IPL2468" s="54"/>
      <c r="IPM2468" s="60"/>
      <c r="IPN2468" s="60"/>
      <c r="IPO2468" s="60"/>
      <c r="IPP2468" s="60"/>
      <c r="IPQ2468" s="63"/>
      <c r="IPR2468" s="61"/>
      <c r="IPS2468" s="54"/>
      <c r="IPT2468" s="54"/>
      <c r="IPU2468" s="60"/>
      <c r="IPV2468" s="60"/>
      <c r="IPW2468" s="60"/>
      <c r="IPX2468" s="60"/>
      <c r="IPY2468" s="63"/>
      <c r="IPZ2468" s="61"/>
      <c r="IQA2468" s="54"/>
      <c r="IQB2468" s="54"/>
      <c r="IQC2468" s="60"/>
      <c r="IQD2468" s="60"/>
      <c r="IQE2468" s="60"/>
      <c r="IQF2468" s="60"/>
      <c r="IQG2468" s="63"/>
      <c r="IQH2468" s="61"/>
      <c r="IQI2468" s="54"/>
      <c r="IQJ2468" s="54"/>
      <c r="IQK2468" s="60"/>
      <c r="IQL2468" s="60"/>
      <c r="IQM2468" s="60"/>
      <c r="IQN2468" s="60"/>
      <c r="IQO2468" s="63"/>
      <c r="IQP2468" s="61"/>
      <c r="IQQ2468" s="54"/>
      <c r="IQR2468" s="54"/>
      <c r="IQS2468" s="60"/>
      <c r="IQT2468" s="60"/>
      <c r="IQU2468" s="60"/>
      <c r="IQV2468" s="60"/>
      <c r="IQW2468" s="63"/>
      <c r="IQX2468" s="61"/>
      <c r="IQY2468" s="54"/>
      <c r="IQZ2468" s="54"/>
      <c r="IRA2468" s="60"/>
      <c r="IRB2468" s="60"/>
      <c r="IRC2468" s="60"/>
      <c r="IRD2468" s="60"/>
      <c r="IRE2468" s="63"/>
      <c r="IRF2468" s="61"/>
      <c r="IRG2468" s="54"/>
      <c r="IRH2468" s="54"/>
      <c r="IRI2468" s="60"/>
      <c r="IRJ2468" s="60"/>
      <c r="IRK2468" s="60"/>
      <c r="IRL2468" s="60"/>
      <c r="IRM2468" s="63"/>
      <c r="IRN2468" s="61"/>
      <c r="IRO2468" s="54"/>
      <c r="IRP2468" s="54"/>
      <c r="IRQ2468" s="60"/>
      <c r="IRR2468" s="60"/>
      <c r="IRS2468" s="60"/>
      <c r="IRT2468" s="60"/>
      <c r="IRU2468" s="63"/>
      <c r="IRV2468" s="61"/>
      <c r="IRW2468" s="54"/>
      <c r="IRX2468" s="54"/>
      <c r="IRY2468" s="60"/>
      <c r="IRZ2468" s="60"/>
      <c r="ISA2468" s="60"/>
      <c r="ISB2468" s="60"/>
      <c r="ISC2468" s="63"/>
      <c r="ISD2468" s="61"/>
      <c r="ISE2468" s="54"/>
      <c r="ISF2468" s="54"/>
      <c r="ISG2468" s="60"/>
      <c r="ISH2468" s="60"/>
      <c r="ISI2468" s="60"/>
      <c r="ISJ2468" s="60"/>
      <c r="ISK2468" s="63"/>
      <c r="ISL2468" s="61"/>
      <c r="ISM2468" s="54"/>
      <c r="ISN2468" s="54"/>
      <c r="ISO2468" s="60"/>
      <c r="ISP2468" s="60"/>
      <c r="ISQ2468" s="60"/>
      <c r="ISR2468" s="60"/>
      <c r="ISS2468" s="63"/>
      <c r="IST2468" s="61"/>
      <c r="ISU2468" s="54"/>
      <c r="ISV2468" s="54"/>
      <c r="ISW2468" s="60"/>
      <c r="ISX2468" s="60"/>
      <c r="ISY2468" s="60"/>
      <c r="ISZ2468" s="60"/>
      <c r="ITA2468" s="63"/>
      <c r="ITB2468" s="61"/>
      <c r="ITC2468" s="54"/>
      <c r="ITD2468" s="54"/>
      <c r="ITE2468" s="60"/>
      <c r="ITF2468" s="60"/>
      <c r="ITG2468" s="60"/>
      <c r="ITH2468" s="60"/>
      <c r="ITI2468" s="63"/>
      <c r="ITJ2468" s="61"/>
      <c r="ITK2468" s="54"/>
      <c r="ITL2468" s="54"/>
      <c r="ITM2468" s="60"/>
      <c r="ITN2468" s="60"/>
      <c r="ITO2468" s="60"/>
      <c r="ITP2468" s="60"/>
      <c r="ITQ2468" s="63"/>
      <c r="ITR2468" s="61"/>
      <c r="ITS2468" s="54"/>
      <c r="ITT2468" s="54"/>
      <c r="ITU2468" s="60"/>
      <c r="ITV2468" s="60"/>
      <c r="ITW2468" s="60"/>
      <c r="ITX2468" s="60"/>
      <c r="ITY2468" s="63"/>
      <c r="ITZ2468" s="61"/>
      <c r="IUA2468" s="54"/>
      <c r="IUB2468" s="54"/>
      <c r="IUC2468" s="60"/>
      <c r="IUD2468" s="60"/>
      <c r="IUE2468" s="60"/>
      <c r="IUF2468" s="60"/>
      <c r="IUG2468" s="63"/>
      <c r="IUH2468" s="61"/>
      <c r="IUI2468" s="54"/>
      <c r="IUJ2468" s="54"/>
      <c r="IUK2468" s="60"/>
      <c r="IUL2468" s="60"/>
      <c r="IUM2468" s="60"/>
      <c r="IUN2468" s="60"/>
      <c r="IUO2468" s="63"/>
      <c r="IUP2468" s="61"/>
      <c r="IUQ2468" s="54"/>
      <c r="IUR2468" s="54"/>
      <c r="IUS2468" s="60"/>
      <c r="IUT2468" s="60"/>
      <c r="IUU2468" s="60"/>
      <c r="IUV2468" s="60"/>
      <c r="IUW2468" s="63"/>
      <c r="IUX2468" s="61"/>
      <c r="IUY2468" s="54"/>
      <c r="IUZ2468" s="54"/>
      <c r="IVA2468" s="60"/>
      <c r="IVB2468" s="60"/>
      <c r="IVC2468" s="60"/>
      <c r="IVD2468" s="60"/>
      <c r="IVE2468" s="63"/>
      <c r="IVF2468" s="61"/>
      <c r="IVG2468" s="54"/>
      <c r="IVH2468" s="54"/>
      <c r="IVI2468" s="60"/>
      <c r="IVJ2468" s="60"/>
      <c r="IVK2468" s="60"/>
      <c r="IVL2468" s="60"/>
      <c r="IVM2468" s="63"/>
      <c r="IVN2468" s="61"/>
      <c r="IVO2468" s="54"/>
      <c r="IVP2468" s="54"/>
      <c r="IVQ2468" s="60"/>
      <c r="IVR2468" s="60"/>
      <c r="IVS2468" s="60"/>
      <c r="IVT2468" s="60"/>
      <c r="IVU2468" s="63"/>
      <c r="IVV2468" s="61"/>
      <c r="IVW2468" s="54"/>
      <c r="IVX2468" s="54"/>
      <c r="IVY2468" s="60"/>
      <c r="IVZ2468" s="60"/>
      <c r="IWA2468" s="60"/>
      <c r="IWB2468" s="60"/>
      <c r="IWC2468" s="63"/>
      <c r="IWD2468" s="61"/>
      <c r="IWE2468" s="54"/>
      <c r="IWF2468" s="54"/>
      <c r="IWG2468" s="60"/>
      <c r="IWH2468" s="60"/>
      <c r="IWI2468" s="60"/>
      <c r="IWJ2468" s="60"/>
      <c r="IWK2468" s="63"/>
      <c r="IWL2468" s="61"/>
      <c r="IWM2468" s="54"/>
      <c r="IWN2468" s="54"/>
      <c r="IWO2468" s="60"/>
      <c r="IWP2468" s="60"/>
      <c r="IWQ2468" s="60"/>
      <c r="IWR2468" s="60"/>
      <c r="IWS2468" s="63"/>
      <c r="IWT2468" s="61"/>
      <c r="IWU2468" s="54"/>
      <c r="IWV2468" s="54"/>
      <c r="IWW2468" s="60"/>
      <c r="IWX2468" s="60"/>
      <c r="IWY2468" s="60"/>
      <c r="IWZ2468" s="60"/>
      <c r="IXA2468" s="63"/>
      <c r="IXB2468" s="61"/>
      <c r="IXC2468" s="54"/>
      <c r="IXD2468" s="54"/>
      <c r="IXE2468" s="60"/>
      <c r="IXF2468" s="60"/>
      <c r="IXG2468" s="60"/>
      <c r="IXH2468" s="60"/>
      <c r="IXI2468" s="63"/>
      <c r="IXJ2468" s="61"/>
      <c r="IXK2468" s="54"/>
      <c r="IXL2468" s="54"/>
      <c r="IXM2468" s="60"/>
      <c r="IXN2468" s="60"/>
      <c r="IXO2468" s="60"/>
      <c r="IXP2468" s="60"/>
      <c r="IXQ2468" s="63"/>
      <c r="IXR2468" s="61"/>
      <c r="IXS2468" s="54"/>
      <c r="IXT2468" s="54"/>
      <c r="IXU2468" s="60"/>
      <c r="IXV2468" s="60"/>
      <c r="IXW2468" s="60"/>
      <c r="IXX2468" s="60"/>
      <c r="IXY2468" s="63"/>
      <c r="IXZ2468" s="61"/>
      <c r="IYA2468" s="54"/>
      <c r="IYB2468" s="54"/>
      <c r="IYC2468" s="60"/>
      <c r="IYD2468" s="60"/>
      <c r="IYE2468" s="60"/>
      <c r="IYF2468" s="60"/>
      <c r="IYG2468" s="63"/>
      <c r="IYH2468" s="61"/>
      <c r="IYI2468" s="54"/>
      <c r="IYJ2468" s="54"/>
      <c r="IYK2468" s="60"/>
      <c r="IYL2468" s="60"/>
      <c r="IYM2468" s="60"/>
      <c r="IYN2468" s="60"/>
      <c r="IYO2468" s="63"/>
      <c r="IYP2468" s="61"/>
      <c r="IYQ2468" s="54"/>
      <c r="IYR2468" s="54"/>
      <c r="IYS2468" s="60"/>
      <c r="IYT2468" s="60"/>
      <c r="IYU2468" s="60"/>
      <c r="IYV2468" s="60"/>
      <c r="IYW2468" s="63"/>
      <c r="IYX2468" s="61"/>
      <c r="IYY2468" s="54"/>
      <c r="IYZ2468" s="54"/>
      <c r="IZA2468" s="60"/>
      <c r="IZB2468" s="60"/>
      <c r="IZC2468" s="60"/>
      <c r="IZD2468" s="60"/>
      <c r="IZE2468" s="63"/>
      <c r="IZF2468" s="61"/>
      <c r="IZG2468" s="54"/>
      <c r="IZH2468" s="54"/>
      <c r="IZI2468" s="60"/>
      <c r="IZJ2468" s="60"/>
      <c r="IZK2468" s="60"/>
      <c r="IZL2468" s="60"/>
      <c r="IZM2468" s="63"/>
      <c r="IZN2468" s="61"/>
      <c r="IZO2468" s="54"/>
      <c r="IZP2468" s="54"/>
      <c r="IZQ2468" s="60"/>
      <c r="IZR2468" s="60"/>
      <c r="IZS2468" s="60"/>
      <c r="IZT2468" s="60"/>
      <c r="IZU2468" s="63"/>
      <c r="IZV2468" s="61"/>
      <c r="IZW2468" s="54"/>
      <c r="IZX2468" s="54"/>
      <c r="IZY2468" s="60"/>
      <c r="IZZ2468" s="60"/>
      <c r="JAA2468" s="60"/>
      <c r="JAB2468" s="60"/>
      <c r="JAC2468" s="63"/>
      <c r="JAD2468" s="61"/>
      <c r="JAE2468" s="54"/>
      <c r="JAF2468" s="54"/>
      <c r="JAG2468" s="60"/>
      <c r="JAH2468" s="60"/>
      <c r="JAI2468" s="60"/>
      <c r="JAJ2468" s="60"/>
      <c r="JAK2468" s="63"/>
      <c r="JAL2468" s="61"/>
      <c r="JAM2468" s="54"/>
      <c r="JAN2468" s="54"/>
      <c r="JAO2468" s="60"/>
      <c r="JAP2468" s="60"/>
      <c r="JAQ2468" s="60"/>
      <c r="JAR2468" s="60"/>
      <c r="JAS2468" s="63"/>
      <c r="JAT2468" s="61"/>
      <c r="JAU2468" s="54"/>
      <c r="JAV2468" s="54"/>
      <c r="JAW2468" s="60"/>
      <c r="JAX2468" s="60"/>
      <c r="JAY2468" s="60"/>
      <c r="JAZ2468" s="60"/>
      <c r="JBA2468" s="63"/>
      <c r="JBB2468" s="61"/>
      <c r="JBC2468" s="54"/>
      <c r="JBD2468" s="54"/>
      <c r="JBE2468" s="60"/>
      <c r="JBF2468" s="60"/>
      <c r="JBG2468" s="60"/>
      <c r="JBH2468" s="60"/>
      <c r="JBI2468" s="63"/>
      <c r="JBJ2468" s="61"/>
      <c r="JBK2468" s="54"/>
      <c r="JBL2468" s="54"/>
      <c r="JBM2468" s="60"/>
      <c r="JBN2468" s="60"/>
      <c r="JBO2468" s="60"/>
      <c r="JBP2468" s="60"/>
      <c r="JBQ2468" s="63"/>
      <c r="JBR2468" s="61"/>
      <c r="JBS2468" s="54"/>
      <c r="JBT2468" s="54"/>
      <c r="JBU2468" s="60"/>
      <c r="JBV2468" s="60"/>
      <c r="JBW2468" s="60"/>
      <c r="JBX2468" s="60"/>
      <c r="JBY2468" s="63"/>
      <c r="JBZ2468" s="61"/>
      <c r="JCA2468" s="54"/>
      <c r="JCB2468" s="54"/>
      <c r="JCC2468" s="60"/>
      <c r="JCD2468" s="60"/>
      <c r="JCE2468" s="60"/>
      <c r="JCF2468" s="60"/>
      <c r="JCG2468" s="63"/>
      <c r="JCH2468" s="61"/>
      <c r="JCI2468" s="54"/>
      <c r="JCJ2468" s="54"/>
      <c r="JCK2468" s="60"/>
      <c r="JCL2468" s="60"/>
      <c r="JCM2468" s="60"/>
      <c r="JCN2468" s="60"/>
      <c r="JCO2468" s="63"/>
      <c r="JCP2468" s="61"/>
      <c r="JCQ2468" s="54"/>
      <c r="JCR2468" s="54"/>
      <c r="JCS2468" s="60"/>
      <c r="JCT2468" s="60"/>
      <c r="JCU2468" s="60"/>
      <c r="JCV2468" s="60"/>
      <c r="JCW2468" s="63"/>
      <c r="JCX2468" s="61"/>
      <c r="JCY2468" s="54"/>
      <c r="JCZ2468" s="54"/>
      <c r="JDA2468" s="60"/>
      <c r="JDB2468" s="60"/>
      <c r="JDC2468" s="60"/>
      <c r="JDD2468" s="60"/>
      <c r="JDE2468" s="63"/>
      <c r="JDF2468" s="61"/>
      <c r="JDG2468" s="54"/>
      <c r="JDH2468" s="54"/>
      <c r="JDI2468" s="60"/>
      <c r="JDJ2468" s="60"/>
      <c r="JDK2468" s="60"/>
      <c r="JDL2468" s="60"/>
      <c r="JDM2468" s="63"/>
      <c r="JDN2468" s="61"/>
      <c r="JDO2468" s="54"/>
      <c r="JDP2468" s="54"/>
      <c r="JDQ2468" s="60"/>
      <c r="JDR2468" s="60"/>
      <c r="JDS2468" s="60"/>
      <c r="JDT2468" s="60"/>
      <c r="JDU2468" s="63"/>
      <c r="JDV2468" s="61"/>
      <c r="JDW2468" s="54"/>
      <c r="JDX2468" s="54"/>
      <c r="JDY2468" s="60"/>
      <c r="JDZ2468" s="60"/>
      <c r="JEA2468" s="60"/>
      <c r="JEB2468" s="60"/>
      <c r="JEC2468" s="63"/>
      <c r="JED2468" s="61"/>
      <c r="JEE2468" s="54"/>
      <c r="JEF2468" s="54"/>
      <c r="JEG2468" s="60"/>
      <c r="JEH2468" s="60"/>
      <c r="JEI2468" s="60"/>
      <c r="JEJ2468" s="60"/>
      <c r="JEK2468" s="63"/>
      <c r="JEL2468" s="61"/>
      <c r="JEM2468" s="54"/>
      <c r="JEN2468" s="54"/>
      <c r="JEO2468" s="60"/>
      <c r="JEP2468" s="60"/>
      <c r="JEQ2468" s="60"/>
      <c r="JER2468" s="60"/>
      <c r="JES2468" s="63"/>
      <c r="JET2468" s="61"/>
      <c r="JEU2468" s="54"/>
      <c r="JEV2468" s="54"/>
      <c r="JEW2468" s="60"/>
      <c r="JEX2468" s="60"/>
      <c r="JEY2468" s="60"/>
      <c r="JEZ2468" s="60"/>
      <c r="JFA2468" s="63"/>
      <c r="JFB2468" s="61"/>
      <c r="JFC2468" s="54"/>
      <c r="JFD2468" s="54"/>
      <c r="JFE2468" s="60"/>
      <c r="JFF2468" s="60"/>
      <c r="JFG2468" s="60"/>
      <c r="JFH2468" s="60"/>
      <c r="JFI2468" s="63"/>
      <c r="JFJ2468" s="61"/>
      <c r="JFK2468" s="54"/>
      <c r="JFL2468" s="54"/>
      <c r="JFM2468" s="60"/>
      <c r="JFN2468" s="60"/>
      <c r="JFO2468" s="60"/>
      <c r="JFP2468" s="60"/>
      <c r="JFQ2468" s="63"/>
      <c r="JFR2468" s="61"/>
      <c r="JFS2468" s="54"/>
      <c r="JFT2468" s="54"/>
      <c r="JFU2468" s="60"/>
      <c r="JFV2468" s="60"/>
      <c r="JFW2468" s="60"/>
      <c r="JFX2468" s="60"/>
      <c r="JFY2468" s="63"/>
      <c r="JFZ2468" s="61"/>
      <c r="JGA2468" s="54"/>
      <c r="JGB2468" s="54"/>
      <c r="JGC2468" s="60"/>
      <c r="JGD2468" s="60"/>
      <c r="JGE2468" s="60"/>
      <c r="JGF2468" s="60"/>
      <c r="JGG2468" s="63"/>
      <c r="JGH2468" s="61"/>
      <c r="JGI2468" s="54"/>
      <c r="JGJ2468" s="54"/>
      <c r="JGK2468" s="60"/>
      <c r="JGL2468" s="60"/>
      <c r="JGM2468" s="60"/>
      <c r="JGN2468" s="60"/>
      <c r="JGO2468" s="63"/>
      <c r="JGP2468" s="61"/>
      <c r="JGQ2468" s="54"/>
      <c r="JGR2468" s="54"/>
      <c r="JGS2468" s="60"/>
      <c r="JGT2468" s="60"/>
      <c r="JGU2468" s="60"/>
      <c r="JGV2468" s="60"/>
      <c r="JGW2468" s="63"/>
      <c r="JGX2468" s="61"/>
      <c r="JGY2468" s="54"/>
      <c r="JGZ2468" s="54"/>
      <c r="JHA2468" s="60"/>
      <c r="JHB2468" s="60"/>
      <c r="JHC2468" s="60"/>
      <c r="JHD2468" s="60"/>
      <c r="JHE2468" s="63"/>
      <c r="JHF2468" s="61"/>
      <c r="JHG2468" s="54"/>
      <c r="JHH2468" s="54"/>
      <c r="JHI2468" s="60"/>
      <c r="JHJ2468" s="60"/>
      <c r="JHK2468" s="60"/>
      <c r="JHL2468" s="60"/>
      <c r="JHM2468" s="63"/>
      <c r="JHN2468" s="61"/>
      <c r="JHO2468" s="54"/>
      <c r="JHP2468" s="54"/>
      <c r="JHQ2468" s="60"/>
      <c r="JHR2468" s="60"/>
      <c r="JHS2468" s="60"/>
      <c r="JHT2468" s="60"/>
      <c r="JHU2468" s="63"/>
      <c r="JHV2468" s="61"/>
      <c r="JHW2468" s="54"/>
      <c r="JHX2468" s="54"/>
      <c r="JHY2468" s="60"/>
      <c r="JHZ2468" s="60"/>
      <c r="JIA2468" s="60"/>
      <c r="JIB2468" s="60"/>
      <c r="JIC2468" s="63"/>
      <c r="JID2468" s="61"/>
      <c r="JIE2468" s="54"/>
      <c r="JIF2468" s="54"/>
      <c r="JIG2468" s="60"/>
      <c r="JIH2468" s="60"/>
      <c r="JII2468" s="60"/>
      <c r="JIJ2468" s="60"/>
      <c r="JIK2468" s="63"/>
      <c r="JIL2468" s="61"/>
      <c r="JIM2468" s="54"/>
      <c r="JIN2468" s="54"/>
      <c r="JIO2468" s="60"/>
      <c r="JIP2468" s="60"/>
      <c r="JIQ2468" s="60"/>
      <c r="JIR2468" s="60"/>
      <c r="JIS2468" s="63"/>
      <c r="JIT2468" s="61"/>
      <c r="JIU2468" s="54"/>
      <c r="JIV2468" s="54"/>
      <c r="JIW2468" s="60"/>
      <c r="JIX2468" s="60"/>
      <c r="JIY2468" s="60"/>
      <c r="JIZ2468" s="60"/>
      <c r="JJA2468" s="63"/>
      <c r="JJB2468" s="61"/>
      <c r="JJC2468" s="54"/>
      <c r="JJD2468" s="54"/>
      <c r="JJE2468" s="60"/>
      <c r="JJF2468" s="60"/>
      <c r="JJG2468" s="60"/>
      <c r="JJH2468" s="60"/>
      <c r="JJI2468" s="63"/>
      <c r="JJJ2468" s="61"/>
      <c r="JJK2468" s="54"/>
      <c r="JJL2468" s="54"/>
      <c r="JJM2468" s="60"/>
      <c r="JJN2468" s="60"/>
      <c r="JJO2468" s="60"/>
      <c r="JJP2468" s="60"/>
      <c r="JJQ2468" s="63"/>
      <c r="JJR2468" s="61"/>
      <c r="JJS2468" s="54"/>
      <c r="JJT2468" s="54"/>
      <c r="JJU2468" s="60"/>
      <c r="JJV2468" s="60"/>
      <c r="JJW2468" s="60"/>
      <c r="JJX2468" s="60"/>
      <c r="JJY2468" s="63"/>
      <c r="JJZ2468" s="61"/>
      <c r="JKA2468" s="54"/>
      <c r="JKB2468" s="54"/>
      <c r="JKC2468" s="60"/>
      <c r="JKD2468" s="60"/>
      <c r="JKE2468" s="60"/>
      <c r="JKF2468" s="60"/>
      <c r="JKG2468" s="63"/>
      <c r="JKH2468" s="61"/>
      <c r="JKI2468" s="54"/>
      <c r="JKJ2468" s="54"/>
      <c r="JKK2468" s="60"/>
      <c r="JKL2468" s="60"/>
      <c r="JKM2468" s="60"/>
      <c r="JKN2468" s="60"/>
      <c r="JKO2468" s="63"/>
      <c r="JKP2468" s="61"/>
      <c r="JKQ2468" s="54"/>
      <c r="JKR2468" s="54"/>
      <c r="JKS2468" s="60"/>
      <c r="JKT2468" s="60"/>
      <c r="JKU2468" s="60"/>
      <c r="JKV2468" s="60"/>
      <c r="JKW2468" s="63"/>
      <c r="JKX2468" s="61"/>
      <c r="JKY2468" s="54"/>
      <c r="JKZ2468" s="54"/>
      <c r="JLA2468" s="60"/>
      <c r="JLB2468" s="60"/>
      <c r="JLC2468" s="60"/>
      <c r="JLD2468" s="60"/>
      <c r="JLE2468" s="63"/>
      <c r="JLF2468" s="61"/>
      <c r="JLG2468" s="54"/>
      <c r="JLH2468" s="54"/>
      <c r="JLI2468" s="60"/>
      <c r="JLJ2468" s="60"/>
      <c r="JLK2468" s="60"/>
      <c r="JLL2468" s="60"/>
      <c r="JLM2468" s="63"/>
      <c r="JLN2468" s="61"/>
      <c r="JLO2468" s="54"/>
      <c r="JLP2468" s="54"/>
      <c r="JLQ2468" s="60"/>
      <c r="JLR2468" s="60"/>
      <c r="JLS2468" s="60"/>
      <c r="JLT2468" s="60"/>
      <c r="JLU2468" s="63"/>
      <c r="JLV2468" s="61"/>
      <c r="JLW2468" s="54"/>
      <c r="JLX2468" s="54"/>
      <c r="JLY2468" s="60"/>
      <c r="JLZ2468" s="60"/>
      <c r="JMA2468" s="60"/>
      <c r="JMB2468" s="60"/>
      <c r="JMC2468" s="63"/>
      <c r="JMD2468" s="61"/>
      <c r="JME2468" s="54"/>
      <c r="JMF2468" s="54"/>
      <c r="JMG2468" s="60"/>
      <c r="JMH2468" s="60"/>
      <c r="JMI2468" s="60"/>
      <c r="JMJ2468" s="60"/>
      <c r="JMK2468" s="63"/>
      <c r="JML2468" s="61"/>
      <c r="JMM2468" s="54"/>
      <c r="JMN2468" s="54"/>
      <c r="JMO2468" s="60"/>
      <c r="JMP2468" s="60"/>
      <c r="JMQ2468" s="60"/>
      <c r="JMR2468" s="60"/>
      <c r="JMS2468" s="63"/>
      <c r="JMT2468" s="61"/>
      <c r="JMU2468" s="54"/>
      <c r="JMV2468" s="54"/>
      <c r="JMW2468" s="60"/>
      <c r="JMX2468" s="60"/>
      <c r="JMY2468" s="60"/>
      <c r="JMZ2468" s="60"/>
      <c r="JNA2468" s="63"/>
      <c r="JNB2468" s="61"/>
      <c r="JNC2468" s="54"/>
      <c r="JND2468" s="54"/>
      <c r="JNE2468" s="60"/>
      <c r="JNF2468" s="60"/>
      <c r="JNG2468" s="60"/>
      <c r="JNH2468" s="60"/>
      <c r="JNI2468" s="63"/>
      <c r="JNJ2468" s="61"/>
      <c r="JNK2468" s="54"/>
      <c r="JNL2468" s="54"/>
      <c r="JNM2468" s="60"/>
      <c r="JNN2468" s="60"/>
      <c r="JNO2468" s="60"/>
      <c r="JNP2468" s="60"/>
      <c r="JNQ2468" s="63"/>
      <c r="JNR2468" s="61"/>
      <c r="JNS2468" s="54"/>
      <c r="JNT2468" s="54"/>
      <c r="JNU2468" s="60"/>
      <c r="JNV2468" s="60"/>
      <c r="JNW2468" s="60"/>
      <c r="JNX2468" s="60"/>
      <c r="JNY2468" s="63"/>
      <c r="JNZ2468" s="61"/>
      <c r="JOA2468" s="54"/>
      <c r="JOB2468" s="54"/>
      <c r="JOC2468" s="60"/>
      <c r="JOD2468" s="60"/>
      <c r="JOE2468" s="60"/>
      <c r="JOF2468" s="60"/>
      <c r="JOG2468" s="63"/>
      <c r="JOH2468" s="61"/>
      <c r="JOI2468" s="54"/>
      <c r="JOJ2468" s="54"/>
      <c r="JOK2468" s="60"/>
      <c r="JOL2468" s="60"/>
      <c r="JOM2468" s="60"/>
      <c r="JON2468" s="60"/>
      <c r="JOO2468" s="63"/>
      <c r="JOP2468" s="61"/>
      <c r="JOQ2468" s="54"/>
      <c r="JOR2468" s="54"/>
      <c r="JOS2468" s="60"/>
      <c r="JOT2468" s="60"/>
      <c r="JOU2468" s="60"/>
      <c r="JOV2468" s="60"/>
      <c r="JOW2468" s="63"/>
      <c r="JOX2468" s="61"/>
      <c r="JOY2468" s="54"/>
      <c r="JOZ2468" s="54"/>
      <c r="JPA2468" s="60"/>
      <c r="JPB2468" s="60"/>
      <c r="JPC2468" s="60"/>
      <c r="JPD2468" s="60"/>
      <c r="JPE2468" s="63"/>
      <c r="JPF2468" s="61"/>
      <c r="JPG2468" s="54"/>
      <c r="JPH2468" s="54"/>
      <c r="JPI2468" s="60"/>
      <c r="JPJ2468" s="60"/>
      <c r="JPK2468" s="60"/>
      <c r="JPL2468" s="60"/>
      <c r="JPM2468" s="63"/>
      <c r="JPN2468" s="61"/>
      <c r="JPO2468" s="54"/>
      <c r="JPP2468" s="54"/>
      <c r="JPQ2468" s="60"/>
      <c r="JPR2468" s="60"/>
      <c r="JPS2468" s="60"/>
      <c r="JPT2468" s="60"/>
      <c r="JPU2468" s="63"/>
      <c r="JPV2468" s="61"/>
      <c r="JPW2468" s="54"/>
      <c r="JPX2468" s="54"/>
      <c r="JPY2468" s="60"/>
      <c r="JPZ2468" s="60"/>
      <c r="JQA2468" s="60"/>
      <c r="JQB2468" s="60"/>
      <c r="JQC2468" s="63"/>
      <c r="JQD2468" s="61"/>
      <c r="JQE2468" s="54"/>
      <c r="JQF2468" s="54"/>
      <c r="JQG2468" s="60"/>
      <c r="JQH2468" s="60"/>
      <c r="JQI2468" s="60"/>
      <c r="JQJ2468" s="60"/>
      <c r="JQK2468" s="63"/>
      <c r="JQL2468" s="61"/>
      <c r="JQM2468" s="54"/>
      <c r="JQN2468" s="54"/>
      <c r="JQO2468" s="60"/>
      <c r="JQP2468" s="60"/>
      <c r="JQQ2468" s="60"/>
      <c r="JQR2468" s="60"/>
      <c r="JQS2468" s="63"/>
      <c r="JQT2468" s="61"/>
      <c r="JQU2468" s="54"/>
      <c r="JQV2468" s="54"/>
      <c r="JQW2468" s="60"/>
      <c r="JQX2468" s="60"/>
      <c r="JQY2468" s="60"/>
      <c r="JQZ2468" s="60"/>
      <c r="JRA2468" s="63"/>
      <c r="JRB2468" s="61"/>
      <c r="JRC2468" s="54"/>
      <c r="JRD2468" s="54"/>
      <c r="JRE2468" s="60"/>
      <c r="JRF2468" s="60"/>
      <c r="JRG2468" s="60"/>
      <c r="JRH2468" s="60"/>
      <c r="JRI2468" s="63"/>
      <c r="JRJ2468" s="61"/>
      <c r="JRK2468" s="54"/>
      <c r="JRL2468" s="54"/>
      <c r="JRM2468" s="60"/>
      <c r="JRN2468" s="60"/>
      <c r="JRO2468" s="60"/>
      <c r="JRP2468" s="60"/>
      <c r="JRQ2468" s="63"/>
      <c r="JRR2468" s="61"/>
      <c r="JRS2468" s="54"/>
      <c r="JRT2468" s="54"/>
      <c r="JRU2468" s="60"/>
      <c r="JRV2468" s="60"/>
      <c r="JRW2468" s="60"/>
      <c r="JRX2468" s="60"/>
      <c r="JRY2468" s="63"/>
      <c r="JRZ2468" s="61"/>
      <c r="JSA2468" s="54"/>
      <c r="JSB2468" s="54"/>
      <c r="JSC2468" s="60"/>
      <c r="JSD2468" s="60"/>
      <c r="JSE2468" s="60"/>
      <c r="JSF2468" s="60"/>
      <c r="JSG2468" s="63"/>
      <c r="JSH2468" s="61"/>
      <c r="JSI2468" s="54"/>
      <c r="JSJ2468" s="54"/>
      <c r="JSK2468" s="60"/>
      <c r="JSL2468" s="60"/>
      <c r="JSM2468" s="60"/>
      <c r="JSN2468" s="60"/>
      <c r="JSO2468" s="63"/>
      <c r="JSP2468" s="61"/>
      <c r="JSQ2468" s="54"/>
      <c r="JSR2468" s="54"/>
      <c r="JSS2468" s="60"/>
      <c r="JST2468" s="60"/>
      <c r="JSU2468" s="60"/>
      <c r="JSV2468" s="60"/>
      <c r="JSW2468" s="63"/>
      <c r="JSX2468" s="61"/>
      <c r="JSY2468" s="54"/>
      <c r="JSZ2468" s="54"/>
      <c r="JTA2468" s="60"/>
      <c r="JTB2468" s="60"/>
      <c r="JTC2468" s="60"/>
      <c r="JTD2468" s="60"/>
      <c r="JTE2468" s="63"/>
      <c r="JTF2468" s="61"/>
      <c r="JTG2468" s="54"/>
      <c r="JTH2468" s="54"/>
      <c r="JTI2468" s="60"/>
      <c r="JTJ2468" s="60"/>
      <c r="JTK2468" s="60"/>
      <c r="JTL2468" s="60"/>
      <c r="JTM2468" s="63"/>
      <c r="JTN2468" s="61"/>
      <c r="JTO2468" s="54"/>
      <c r="JTP2468" s="54"/>
      <c r="JTQ2468" s="60"/>
      <c r="JTR2468" s="60"/>
      <c r="JTS2468" s="60"/>
      <c r="JTT2468" s="60"/>
      <c r="JTU2468" s="63"/>
      <c r="JTV2468" s="61"/>
      <c r="JTW2468" s="54"/>
      <c r="JTX2468" s="54"/>
      <c r="JTY2468" s="60"/>
      <c r="JTZ2468" s="60"/>
      <c r="JUA2468" s="60"/>
      <c r="JUB2468" s="60"/>
      <c r="JUC2468" s="63"/>
      <c r="JUD2468" s="61"/>
      <c r="JUE2468" s="54"/>
      <c r="JUF2468" s="54"/>
      <c r="JUG2468" s="60"/>
      <c r="JUH2468" s="60"/>
      <c r="JUI2468" s="60"/>
      <c r="JUJ2468" s="60"/>
      <c r="JUK2468" s="63"/>
      <c r="JUL2468" s="61"/>
      <c r="JUM2468" s="54"/>
      <c r="JUN2468" s="54"/>
      <c r="JUO2468" s="60"/>
      <c r="JUP2468" s="60"/>
      <c r="JUQ2468" s="60"/>
      <c r="JUR2468" s="60"/>
      <c r="JUS2468" s="63"/>
      <c r="JUT2468" s="61"/>
      <c r="JUU2468" s="54"/>
      <c r="JUV2468" s="54"/>
      <c r="JUW2468" s="60"/>
      <c r="JUX2468" s="60"/>
      <c r="JUY2468" s="60"/>
      <c r="JUZ2468" s="60"/>
      <c r="JVA2468" s="63"/>
      <c r="JVB2468" s="61"/>
      <c r="JVC2468" s="54"/>
      <c r="JVD2468" s="54"/>
      <c r="JVE2468" s="60"/>
      <c r="JVF2468" s="60"/>
      <c r="JVG2468" s="60"/>
      <c r="JVH2468" s="60"/>
      <c r="JVI2468" s="63"/>
      <c r="JVJ2468" s="61"/>
      <c r="JVK2468" s="54"/>
      <c r="JVL2468" s="54"/>
      <c r="JVM2468" s="60"/>
      <c r="JVN2468" s="60"/>
      <c r="JVO2468" s="60"/>
      <c r="JVP2468" s="60"/>
      <c r="JVQ2468" s="63"/>
      <c r="JVR2468" s="61"/>
      <c r="JVS2468" s="54"/>
      <c r="JVT2468" s="54"/>
      <c r="JVU2468" s="60"/>
      <c r="JVV2468" s="60"/>
      <c r="JVW2468" s="60"/>
      <c r="JVX2468" s="60"/>
      <c r="JVY2468" s="63"/>
      <c r="JVZ2468" s="61"/>
      <c r="JWA2468" s="54"/>
      <c r="JWB2468" s="54"/>
      <c r="JWC2468" s="60"/>
      <c r="JWD2468" s="60"/>
      <c r="JWE2468" s="60"/>
      <c r="JWF2468" s="60"/>
      <c r="JWG2468" s="63"/>
      <c r="JWH2468" s="61"/>
      <c r="JWI2468" s="54"/>
      <c r="JWJ2468" s="54"/>
      <c r="JWK2468" s="60"/>
      <c r="JWL2468" s="60"/>
      <c r="JWM2468" s="60"/>
      <c r="JWN2468" s="60"/>
      <c r="JWO2468" s="63"/>
      <c r="JWP2468" s="61"/>
      <c r="JWQ2468" s="54"/>
      <c r="JWR2468" s="54"/>
      <c r="JWS2468" s="60"/>
      <c r="JWT2468" s="60"/>
      <c r="JWU2468" s="60"/>
      <c r="JWV2468" s="60"/>
      <c r="JWW2468" s="63"/>
      <c r="JWX2468" s="61"/>
      <c r="JWY2468" s="54"/>
      <c r="JWZ2468" s="54"/>
      <c r="JXA2468" s="60"/>
      <c r="JXB2468" s="60"/>
      <c r="JXC2468" s="60"/>
      <c r="JXD2468" s="60"/>
      <c r="JXE2468" s="63"/>
      <c r="JXF2468" s="61"/>
      <c r="JXG2468" s="54"/>
      <c r="JXH2468" s="54"/>
      <c r="JXI2468" s="60"/>
      <c r="JXJ2468" s="60"/>
      <c r="JXK2468" s="60"/>
      <c r="JXL2468" s="60"/>
      <c r="JXM2468" s="63"/>
      <c r="JXN2468" s="61"/>
      <c r="JXO2468" s="54"/>
      <c r="JXP2468" s="54"/>
      <c r="JXQ2468" s="60"/>
      <c r="JXR2468" s="60"/>
      <c r="JXS2468" s="60"/>
      <c r="JXT2468" s="60"/>
      <c r="JXU2468" s="63"/>
      <c r="JXV2468" s="61"/>
      <c r="JXW2468" s="54"/>
      <c r="JXX2468" s="54"/>
      <c r="JXY2468" s="60"/>
      <c r="JXZ2468" s="60"/>
      <c r="JYA2468" s="60"/>
      <c r="JYB2468" s="60"/>
      <c r="JYC2468" s="63"/>
      <c r="JYD2468" s="61"/>
      <c r="JYE2468" s="54"/>
      <c r="JYF2468" s="54"/>
      <c r="JYG2468" s="60"/>
      <c r="JYH2468" s="60"/>
      <c r="JYI2468" s="60"/>
      <c r="JYJ2468" s="60"/>
      <c r="JYK2468" s="63"/>
      <c r="JYL2468" s="61"/>
      <c r="JYM2468" s="54"/>
      <c r="JYN2468" s="54"/>
      <c r="JYO2468" s="60"/>
      <c r="JYP2468" s="60"/>
      <c r="JYQ2468" s="60"/>
      <c r="JYR2468" s="60"/>
      <c r="JYS2468" s="63"/>
      <c r="JYT2468" s="61"/>
      <c r="JYU2468" s="54"/>
      <c r="JYV2468" s="54"/>
      <c r="JYW2468" s="60"/>
      <c r="JYX2468" s="60"/>
      <c r="JYY2468" s="60"/>
      <c r="JYZ2468" s="60"/>
      <c r="JZA2468" s="63"/>
      <c r="JZB2468" s="61"/>
      <c r="JZC2468" s="54"/>
      <c r="JZD2468" s="54"/>
      <c r="JZE2468" s="60"/>
      <c r="JZF2468" s="60"/>
      <c r="JZG2468" s="60"/>
      <c r="JZH2468" s="60"/>
      <c r="JZI2468" s="63"/>
      <c r="JZJ2468" s="61"/>
      <c r="JZK2468" s="54"/>
      <c r="JZL2468" s="54"/>
      <c r="JZM2468" s="60"/>
      <c r="JZN2468" s="60"/>
      <c r="JZO2468" s="60"/>
      <c r="JZP2468" s="60"/>
      <c r="JZQ2468" s="63"/>
      <c r="JZR2468" s="61"/>
      <c r="JZS2468" s="54"/>
      <c r="JZT2468" s="54"/>
      <c r="JZU2468" s="60"/>
      <c r="JZV2468" s="60"/>
      <c r="JZW2468" s="60"/>
      <c r="JZX2468" s="60"/>
      <c r="JZY2468" s="63"/>
      <c r="JZZ2468" s="61"/>
      <c r="KAA2468" s="54"/>
      <c r="KAB2468" s="54"/>
      <c r="KAC2468" s="60"/>
      <c r="KAD2468" s="60"/>
      <c r="KAE2468" s="60"/>
      <c r="KAF2468" s="60"/>
      <c r="KAG2468" s="63"/>
      <c r="KAH2468" s="61"/>
      <c r="KAI2468" s="54"/>
      <c r="KAJ2468" s="54"/>
      <c r="KAK2468" s="60"/>
      <c r="KAL2468" s="60"/>
      <c r="KAM2468" s="60"/>
      <c r="KAN2468" s="60"/>
      <c r="KAO2468" s="63"/>
      <c r="KAP2468" s="61"/>
      <c r="KAQ2468" s="54"/>
      <c r="KAR2468" s="54"/>
      <c r="KAS2468" s="60"/>
      <c r="KAT2468" s="60"/>
      <c r="KAU2468" s="60"/>
      <c r="KAV2468" s="60"/>
      <c r="KAW2468" s="63"/>
      <c r="KAX2468" s="61"/>
      <c r="KAY2468" s="54"/>
      <c r="KAZ2468" s="54"/>
      <c r="KBA2468" s="60"/>
      <c r="KBB2468" s="60"/>
      <c r="KBC2468" s="60"/>
      <c r="KBD2468" s="60"/>
      <c r="KBE2468" s="63"/>
      <c r="KBF2468" s="61"/>
      <c r="KBG2468" s="54"/>
      <c r="KBH2468" s="54"/>
      <c r="KBI2468" s="60"/>
      <c r="KBJ2468" s="60"/>
      <c r="KBK2468" s="60"/>
      <c r="KBL2468" s="60"/>
      <c r="KBM2468" s="63"/>
      <c r="KBN2468" s="61"/>
      <c r="KBO2468" s="54"/>
      <c r="KBP2468" s="54"/>
      <c r="KBQ2468" s="60"/>
      <c r="KBR2468" s="60"/>
      <c r="KBS2468" s="60"/>
      <c r="KBT2468" s="60"/>
      <c r="KBU2468" s="63"/>
      <c r="KBV2468" s="61"/>
      <c r="KBW2468" s="54"/>
      <c r="KBX2468" s="54"/>
      <c r="KBY2468" s="60"/>
      <c r="KBZ2468" s="60"/>
      <c r="KCA2468" s="60"/>
      <c r="KCB2468" s="60"/>
      <c r="KCC2468" s="63"/>
      <c r="KCD2468" s="61"/>
      <c r="KCE2468" s="54"/>
      <c r="KCF2468" s="54"/>
      <c r="KCG2468" s="60"/>
      <c r="KCH2468" s="60"/>
      <c r="KCI2468" s="60"/>
      <c r="KCJ2468" s="60"/>
      <c r="KCK2468" s="63"/>
      <c r="KCL2468" s="61"/>
      <c r="KCM2468" s="54"/>
      <c r="KCN2468" s="54"/>
      <c r="KCO2468" s="60"/>
      <c r="KCP2468" s="60"/>
      <c r="KCQ2468" s="60"/>
      <c r="KCR2468" s="60"/>
      <c r="KCS2468" s="63"/>
      <c r="KCT2468" s="61"/>
      <c r="KCU2468" s="54"/>
      <c r="KCV2468" s="54"/>
      <c r="KCW2468" s="60"/>
      <c r="KCX2468" s="60"/>
      <c r="KCY2468" s="60"/>
      <c r="KCZ2468" s="60"/>
      <c r="KDA2468" s="63"/>
      <c r="KDB2468" s="61"/>
      <c r="KDC2468" s="54"/>
      <c r="KDD2468" s="54"/>
      <c r="KDE2468" s="60"/>
      <c r="KDF2468" s="60"/>
      <c r="KDG2468" s="60"/>
      <c r="KDH2468" s="60"/>
      <c r="KDI2468" s="63"/>
      <c r="KDJ2468" s="61"/>
      <c r="KDK2468" s="54"/>
      <c r="KDL2468" s="54"/>
      <c r="KDM2468" s="60"/>
      <c r="KDN2468" s="60"/>
      <c r="KDO2468" s="60"/>
      <c r="KDP2468" s="60"/>
      <c r="KDQ2468" s="63"/>
      <c r="KDR2468" s="61"/>
      <c r="KDS2468" s="54"/>
      <c r="KDT2468" s="54"/>
      <c r="KDU2468" s="60"/>
      <c r="KDV2468" s="60"/>
      <c r="KDW2468" s="60"/>
      <c r="KDX2468" s="60"/>
      <c r="KDY2468" s="63"/>
      <c r="KDZ2468" s="61"/>
      <c r="KEA2468" s="54"/>
      <c r="KEB2468" s="54"/>
      <c r="KEC2468" s="60"/>
      <c r="KED2468" s="60"/>
      <c r="KEE2468" s="60"/>
      <c r="KEF2468" s="60"/>
      <c r="KEG2468" s="63"/>
      <c r="KEH2468" s="61"/>
      <c r="KEI2468" s="54"/>
      <c r="KEJ2468" s="54"/>
      <c r="KEK2468" s="60"/>
      <c r="KEL2468" s="60"/>
      <c r="KEM2468" s="60"/>
      <c r="KEN2468" s="60"/>
      <c r="KEO2468" s="63"/>
      <c r="KEP2468" s="61"/>
      <c r="KEQ2468" s="54"/>
      <c r="KER2468" s="54"/>
      <c r="KES2468" s="60"/>
      <c r="KET2468" s="60"/>
      <c r="KEU2468" s="60"/>
      <c r="KEV2468" s="60"/>
      <c r="KEW2468" s="63"/>
      <c r="KEX2468" s="61"/>
      <c r="KEY2468" s="54"/>
      <c r="KEZ2468" s="54"/>
      <c r="KFA2468" s="60"/>
      <c r="KFB2468" s="60"/>
      <c r="KFC2468" s="60"/>
      <c r="KFD2468" s="60"/>
      <c r="KFE2468" s="63"/>
      <c r="KFF2468" s="61"/>
      <c r="KFG2468" s="54"/>
      <c r="KFH2468" s="54"/>
      <c r="KFI2468" s="60"/>
      <c r="KFJ2468" s="60"/>
      <c r="KFK2468" s="60"/>
      <c r="KFL2468" s="60"/>
      <c r="KFM2468" s="63"/>
      <c r="KFN2468" s="61"/>
      <c r="KFO2468" s="54"/>
      <c r="KFP2468" s="54"/>
      <c r="KFQ2468" s="60"/>
      <c r="KFR2468" s="60"/>
      <c r="KFS2468" s="60"/>
      <c r="KFT2468" s="60"/>
      <c r="KFU2468" s="63"/>
      <c r="KFV2468" s="61"/>
      <c r="KFW2468" s="54"/>
      <c r="KFX2468" s="54"/>
      <c r="KFY2468" s="60"/>
      <c r="KFZ2468" s="60"/>
      <c r="KGA2468" s="60"/>
      <c r="KGB2468" s="60"/>
      <c r="KGC2468" s="63"/>
      <c r="KGD2468" s="61"/>
      <c r="KGE2468" s="54"/>
      <c r="KGF2468" s="54"/>
      <c r="KGG2468" s="60"/>
      <c r="KGH2468" s="60"/>
      <c r="KGI2468" s="60"/>
      <c r="KGJ2468" s="60"/>
      <c r="KGK2468" s="63"/>
      <c r="KGL2468" s="61"/>
      <c r="KGM2468" s="54"/>
      <c r="KGN2468" s="54"/>
      <c r="KGO2468" s="60"/>
      <c r="KGP2468" s="60"/>
      <c r="KGQ2468" s="60"/>
      <c r="KGR2468" s="60"/>
      <c r="KGS2468" s="63"/>
      <c r="KGT2468" s="61"/>
      <c r="KGU2468" s="54"/>
      <c r="KGV2468" s="54"/>
      <c r="KGW2468" s="60"/>
      <c r="KGX2468" s="60"/>
      <c r="KGY2468" s="60"/>
      <c r="KGZ2468" s="60"/>
      <c r="KHA2468" s="63"/>
      <c r="KHB2468" s="61"/>
      <c r="KHC2468" s="54"/>
      <c r="KHD2468" s="54"/>
      <c r="KHE2468" s="60"/>
      <c r="KHF2468" s="60"/>
      <c r="KHG2468" s="60"/>
      <c r="KHH2468" s="60"/>
      <c r="KHI2468" s="63"/>
      <c r="KHJ2468" s="61"/>
      <c r="KHK2468" s="54"/>
      <c r="KHL2468" s="54"/>
      <c r="KHM2468" s="60"/>
      <c r="KHN2468" s="60"/>
      <c r="KHO2468" s="60"/>
      <c r="KHP2468" s="60"/>
      <c r="KHQ2468" s="63"/>
      <c r="KHR2468" s="61"/>
      <c r="KHS2468" s="54"/>
      <c r="KHT2468" s="54"/>
      <c r="KHU2468" s="60"/>
      <c r="KHV2468" s="60"/>
      <c r="KHW2468" s="60"/>
      <c r="KHX2468" s="60"/>
      <c r="KHY2468" s="63"/>
      <c r="KHZ2468" s="61"/>
      <c r="KIA2468" s="54"/>
      <c r="KIB2468" s="54"/>
      <c r="KIC2468" s="60"/>
      <c r="KID2468" s="60"/>
      <c r="KIE2468" s="60"/>
      <c r="KIF2468" s="60"/>
      <c r="KIG2468" s="63"/>
      <c r="KIH2468" s="61"/>
      <c r="KII2468" s="54"/>
      <c r="KIJ2468" s="54"/>
      <c r="KIK2468" s="60"/>
      <c r="KIL2468" s="60"/>
      <c r="KIM2468" s="60"/>
      <c r="KIN2468" s="60"/>
      <c r="KIO2468" s="63"/>
      <c r="KIP2468" s="61"/>
      <c r="KIQ2468" s="54"/>
      <c r="KIR2468" s="54"/>
      <c r="KIS2468" s="60"/>
      <c r="KIT2468" s="60"/>
      <c r="KIU2468" s="60"/>
      <c r="KIV2468" s="60"/>
      <c r="KIW2468" s="63"/>
      <c r="KIX2468" s="61"/>
      <c r="KIY2468" s="54"/>
      <c r="KIZ2468" s="54"/>
      <c r="KJA2468" s="60"/>
      <c r="KJB2468" s="60"/>
      <c r="KJC2468" s="60"/>
      <c r="KJD2468" s="60"/>
      <c r="KJE2468" s="63"/>
      <c r="KJF2468" s="61"/>
      <c r="KJG2468" s="54"/>
      <c r="KJH2468" s="54"/>
      <c r="KJI2468" s="60"/>
      <c r="KJJ2468" s="60"/>
      <c r="KJK2468" s="60"/>
      <c r="KJL2468" s="60"/>
      <c r="KJM2468" s="63"/>
      <c r="KJN2468" s="61"/>
      <c r="KJO2468" s="54"/>
      <c r="KJP2468" s="54"/>
      <c r="KJQ2468" s="60"/>
      <c r="KJR2468" s="60"/>
      <c r="KJS2468" s="60"/>
      <c r="KJT2468" s="60"/>
      <c r="KJU2468" s="63"/>
      <c r="KJV2468" s="61"/>
      <c r="KJW2468" s="54"/>
      <c r="KJX2468" s="54"/>
      <c r="KJY2468" s="60"/>
      <c r="KJZ2468" s="60"/>
      <c r="KKA2468" s="60"/>
      <c r="KKB2468" s="60"/>
      <c r="KKC2468" s="63"/>
      <c r="KKD2468" s="61"/>
      <c r="KKE2468" s="54"/>
      <c r="KKF2468" s="54"/>
      <c r="KKG2468" s="60"/>
      <c r="KKH2468" s="60"/>
      <c r="KKI2468" s="60"/>
      <c r="KKJ2468" s="60"/>
      <c r="KKK2468" s="63"/>
      <c r="KKL2468" s="61"/>
      <c r="KKM2468" s="54"/>
      <c r="KKN2468" s="54"/>
      <c r="KKO2468" s="60"/>
      <c r="KKP2468" s="60"/>
      <c r="KKQ2468" s="60"/>
      <c r="KKR2468" s="60"/>
      <c r="KKS2468" s="63"/>
      <c r="KKT2468" s="61"/>
      <c r="KKU2468" s="54"/>
      <c r="KKV2468" s="54"/>
      <c r="KKW2468" s="60"/>
      <c r="KKX2468" s="60"/>
      <c r="KKY2468" s="60"/>
      <c r="KKZ2468" s="60"/>
      <c r="KLA2468" s="63"/>
      <c r="KLB2468" s="61"/>
      <c r="KLC2468" s="54"/>
      <c r="KLD2468" s="54"/>
      <c r="KLE2468" s="60"/>
      <c r="KLF2468" s="60"/>
      <c r="KLG2468" s="60"/>
      <c r="KLH2468" s="60"/>
      <c r="KLI2468" s="63"/>
      <c r="KLJ2468" s="61"/>
      <c r="KLK2468" s="54"/>
      <c r="KLL2468" s="54"/>
      <c r="KLM2468" s="60"/>
      <c r="KLN2468" s="60"/>
      <c r="KLO2468" s="60"/>
      <c r="KLP2468" s="60"/>
      <c r="KLQ2468" s="63"/>
      <c r="KLR2468" s="61"/>
      <c r="KLS2468" s="54"/>
      <c r="KLT2468" s="54"/>
      <c r="KLU2468" s="60"/>
      <c r="KLV2468" s="60"/>
      <c r="KLW2468" s="60"/>
      <c r="KLX2468" s="60"/>
      <c r="KLY2468" s="63"/>
      <c r="KLZ2468" s="61"/>
      <c r="KMA2468" s="54"/>
      <c r="KMB2468" s="54"/>
      <c r="KMC2468" s="60"/>
      <c r="KMD2468" s="60"/>
      <c r="KME2468" s="60"/>
      <c r="KMF2468" s="60"/>
      <c r="KMG2468" s="63"/>
      <c r="KMH2468" s="61"/>
      <c r="KMI2468" s="54"/>
      <c r="KMJ2468" s="54"/>
      <c r="KMK2468" s="60"/>
      <c r="KML2468" s="60"/>
      <c r="KMM2468" s="60"/>
      <c r="KMN2468" s="60"/>
      <c r="KMO2468" s="63"/>
      <c r="KMP2468" s="61"/>
      <c r="KMQ2468" s="54"/>
      <c r="KMR2468" s="54"/>
      <c r="KMS2468" s="60"/>
      <c r="KMT2468" s="60"/>
      <c r="KMU2468" s="60"/>
      <c r="KMV2468" s="60"/>
      <c r="KMW2468" s="63"/>
      <c r="KMX2468" s="61"/>
      <c r="KMY2468" s="54"/>
      <c r="KMZ2468" s="54"/>
      <c r="KNA2468" s="60"/>
      <c r="KNB2468" s="60"/>
      <c r="KNC2468" s="60"/>
      <c r="KND2468" s="60"/>
      <c r="KNE2468" s="63"/>
      <c r="KNF2468" s="61"/>
      <c r="KNG2468" s="54"/>
      <c r="KNH2468" s="54"/>
      <c r="KNI2468" s="60"/>
      <c r="KNJ2468" s="60"/>
      <c r="KNK2468" s="60"/>
      <c r="KNL2468" s="60"/>
      <c r="KNM2468" s="63"/>
      <c r="KNN2468" s="61"/>
      <c r="KNO2468" s="54"/>
      <c r="KNP2468" s="54"/>
      <c r="KNQ2468" s="60"/>
      <c r="KNR2468" s="60"/>
      <c r="KNS2468" s="60"/>
      <c r="KNT2468" s="60"/>
      <c r="KNU2468" s="63"/>
      <c r="KNV2468" s="61"/>
      <c r="KNW2468" s="54"/>
      <c r="KNX2468" s="54"/>
      <c r="KNY2468" s="60"/>
      <c r="KNZ2468" s="60"/>
      <c r="KOA2468" s="60"/>
      <c r="KOB2468" s="60"/>
      <c r="KOC2468" s="63"/>
      <c r="KOD2468" s="61"/>
      <c r="KOE2468" s="54"/>
      <c r="KOF2468" s="54"/>
      <c r="KOG2468" s="60"/>
      <c r="KOH2468" s="60"/>
      <c r="KOI2468" s="60"/>
      <c r="KOJ2468" s="60"/>
      <c r="KOK2468" s="63"/>
      <c r="KOL2468" s="61"/>
      <c r="KOM2468" s="54"/>
      <c r="KON2468" s="54"/>
      <c r="KOO2468" s="60"/>
      <c r="KOP2468" s="60"/>
      <c r="KOQ2468" s="60"/>
      <c r="KOR2468" s="60"/>
      <c r="KOS2468" s="63"/>
      <c r="KOT2468" s="61"/>
      <c r="KOU2468" s="54"/>
      <c r="KOV2468" s="54"/>
      <c r="KOW2468" s="60"/>
      <c r="KOX2468" s="60"/>
      <c r="KOY2468" s="60"/>
      <c r="KOZ2468" s="60"/>
      <c r="KPA2468" s="63"/>
      <c r="KPB2468" s="61"/>
      <c r="KPC2468" s="54"/>
      <c r="KPD2468" s="54"/>
      <c r="KPE2468" s="60"/>
      <c r="KPF2468" s="60"/>
      <c r="KPG2468" s="60"/>
      <c r="KPH2468" s="60"/>
      <c r="KPI2468" s="63"/>
      <c r="KPJ2468" s="61"/>
      <c r="KPK2468" s="54"/>
      <c r="KPL2468" s="54"/>
      <c r="KPM2468" s="60"/>
      <c r="KPN2468" s="60"/>
      <c r="KPO2468" s="60"/>
      <c r="KPP2468" s="60"/>
      <c r="KPQ2468" s="63"/>
      <c r="KPR2468" s="61"/>
      <c r="KPS2468" s="54"/>
      <c r="KPT2468" s="54"/>
      <c r="KPU2468" s="60"/>
      <c r="KPV2468" s="60"/>
      <c r="KPW2468" s="60"/>
      <c r="KPX2468" s="60"/>
      <c r="KPY2468" s="63"/>
      <c r="KPZ2468" s="61"/>
      <c r="KQA2468" s="54"/>
      <c r="KQB2468" s="54"/>
      <c r="KQC2468" s="60"/>
      <c r="KQD2468" s="60"/>
      <c r="KQE2468" s="60"/>
      <c r="KQF2468" s="60"/>
      <c r="KQG2468" s="63"/>
      <c r="KQH2468" s="61"/>
      <c r="KQI2468" s="54"/>
      <c r="KQJ2468" s="54"/>
      <c r="KQK2468" s="60"/>
      <c r="KQL2468" s="60"/>
      <c r="KQM2468" s="60"/>
      <c r="KQN2468" s="60"/>
      <c r="KQO2468" s="63"/>
      <c r="KQP2468" s="61"/>
      <c r="KQQ2468" s="54"/>
      <c r="KQR2468" s="54"/>
      <c r="KQS2468" s="60"/>
      <c r="KQT2468" s="60"/>
      <c r="KQU2468" s="60"/>
      <c r="KQV2468" s="60"/>
      <c r="KQW2468" s="63"/>
      <c r="KQX2468" s="61"/>
      <c r="KQY2468" s="54"/>
      <c r="KQZ2468" s="54"/>
      <c r="KRA2468" s="60"/>
      <c r="KRB2468" s="60"/>
      <c r="KRC2468" s="60"/>
      <c r="KRD2468" s="60"/>
      <c r="KRE2468" s="63"/>
      <c r="KRF2468" s="61"/>
      <c r="KRG2468" s="54"/>
      <c r="KRH2468" s="54"/>
      <c r="KRI2468" s="60"/>
      <c r="KRJ2468" s="60"/>
      <c r="KRK2468" s="60"/>
      <c r="KRL2468" s="60"/>
      <c r="KRM2468" s="63"/>
      <c r="KRN2468" s="61"/>
      <c r="KRO2468" s="54"/>
      <c r="KRP2468" s="54"/>
      <c r="KRQ2468" s="60"/>
      <c r="KRR2468" s="60"/>
      <c r="KRS2468" s="60"/>
      <c r="KRT2468" s="60"/>
      <c r="KRU2468" s="63"/>
      <c r="KRV2468" s="61"/>
      <c r="KRW2468" s="54"/>
      <c r="KRX2468" s="54"/>
      <c r="KRY2468" s="60"/>
      <c r="KRZ2468" s="60"/>
      <c r="KSA2468" s="60"/>
      <c r="KSB2468" s="60"/>
      <c r="KSC2468" s="63"/>
      <c r="KSD2468" s="61"/>
      <c r="KSE2468" s="54"/>
      <c r="KSF2468" s="54"/>
      <c r="KSG2468" s="60"/>
      <c r="KSH2468" s="60"/>
      <c r="KSI2468" s="60"/>
      <c r="KSJ2468" s="60"/>
      <c r="KSK2468" s="63"/>
      <c r="KSL2468" s="61"/>
      <c r="KSM2468" s="54"/>
      <c r="KSN2468" s="54"/>
      <c r="KSO2468" s="60"/>
      <c r="KSP2468" s="60"/>
      <c r="KSQ2468" s="60"/>
      <c r="KSR2468" s="60"/>
      <c r="KSS2468" s="63"/>
      <c r="KST2468" s="61"/>
      <c r="KSU2468" s="54"/>
      <c r="KSV2468" s="54"/>
      <c r="KSW2468" s="60"/>
      <c r="KSX2468" s="60"/>
      <c r="KSY2468" s="60"/>
      <c r="KSZ2468" s="60"/>
      <c r="KTA2468" s="63"/>
      <c r="KTB2468" s="61"/>
      <c r="KTC2468" s="54"/>
      <c r="KTD2468" s="54"/>
      <c r="KTE2468" s="60"/>
      <c r="KTF2468" s="60"/>
      <c r="KTG2468" s="60"/>
      <c r="KTH2468" s="60"/>
      <c r="KTI2468" s="63"/>
      <c r="KTJ2468" s="61"/>
      <c r="KTK2468" s="54"/>
      <c r="KTL2468" s="54"/>
      <c r="KTM2468" s="60"/>
      <c r="KTN2468" s="60"/>
      <c r="KTO2468" s="60"/>
      <c r="KTP2468" s="60"/>
      <c r="KTQ2468" s="63"/>
      <c r="KTR2468" s="61"/>
      <c r="KTS2468" s="54"/>
      <c r="KTT2468" s="54"/>
      <c r="KTU2468" s="60"/>
      <c r="KTV2468" s="60"/>
      <c r="KTW2468" s="60"/>
      <c r="KTX2468" s="60"/>
      <c r="KTY2468" s="63"/>
      <c r="KTZ2468" s="61"/>
      <c r="KUA2468" s="54"/>
      <c r="KUB2468" s="54"/>
      <c r="KUC2468" s="60"/>
      <c r="KUD2468" s="60"/>
      <c r="KUE2468" s="60"/>
      <c r="KUF2468" s="60"/>
      <c r="KUG2468" s="63"/>
      <c r="KUH2468" s="61"/>
      <c r="KUI2468" s="54"/>
      <c r="KUJ2468" s="54"/>
      <c r="KUK2468" s="60"/>
      <c r="KUL2468" s="60"/>
      <c r="KUM2468" s="60"/>
      <c r="KUN2468" s="60"/>
      <c r="KUO2468" s="63"/>
      <c r="KUP2468" s="61"/>
      <c r="KUQ2468" s="54"/>
      <c r="KUR2468" s="54"/>
      <c r="KUS2468" s="60"/>
      <c r="KUT2468" s="60"/>
      <c r="KUU2468" s="60"/>
      <c r="KUV2468" s="60"/>
      <c r="KUW2468" s="63"/>
      <c r="KUX2468" s="61"/>
      <c r="KUY2468" s="54"/>
      <c r="KUZ2468" s="54"/>
      <c r="KVA2468" s="60"/>
      <c r="KVB2468" s="60"/>
      <c r="KVC2468" s="60"/>
      <c r="KVD2468" s="60"/>
      <c r="KVE2468" s="63"/>
      <c r="KVF2468" s="61"/>
      <c r="KVG2468" s="54"/>
      <c r="KVH2468" s="54"/>
      <c r="KVI2468" s="60"/>
      <c r="KVJ2468" s="60"/>
      <c r="KVK2468" s="60"/>
      <c r="KVL2468" s="60"/>
      <c r="KVM2468" s="63"/>
      <c r="KVN2468" s="61"/>
      <c r="KVO2468" s="54"/>
      <c r="KVP2468" s="54"/>
      <c r="KVQ2468" s="60"/>
      <c r="KVR2468" s="60"/>
      <c r="KVS2468" s="60"/>
      <c r="KVT2468" s="60"/>
      <c r="KVU2468" s="63"/>
      <c r="KVV2468" s="61"/>
      <c r="KVW2468" s="54"/>
      <c r="KVX2468" s="54"/>
      <c r="KVY2468" s="60"/>
      <c r="KVZ2468" s="60"/>
      <c r="KWA2468" s="60"/>
      <c r="KWB2468" s="60"/>
      <c r="KWC2468" s="63"/>
      <c r="KWD2468" s="61"/>
      <c r="KWE2468" s="54"/>
      <c r="KWF2468" s="54"/>
      <c r="KWG2468" s="60"/>
      <c r="KWH2468" s="60"/>
      <c r="KWI2468" s="60"/>
      <c r="KWJ2468" s="60"/>
      <c r="KWK2468" s="63"/>
      <c r="KWL2468" s="61"/>
      <c r="KWM2468" s="54"/>
      <c r="KWN2468" s="54"/>
      <c r="KWO2468" s="60"/>
      <c r="KWP2468" s="60"/>
      <c r="KWQ2468" s="60"/>
      <c r="KWR2468" s="60"/>
      <c r="KWS2468" s="63"/>
      <c r="KWT2468" s="61"/>
      <c r="KWU2468" s="54"/>
      <c r="KWV2468" s="54"/>
      <c r="KWW2468" s="60"/>
      <c r="KWX2468" s="60"/>
      <c r="KWY2468" s="60"/>
      <c r="KWZ2468" s="60"/>
      <c r="KXA2468" s="63"/>
      <c r="KXB2468" s="61"/>
      <c r="KXC2468" s="54"/>
      <c r="KXD2468" s="54"/>
      <c r="KXE2468" s="60"/>
      <c r="KXF2468" s="60"/>
      <c r="KXG2468" s="60"/>
      <c r="KXH2468" s="60"/>
      <c r="KXI2468" s="63"/>
      <c r="KXJ2468" s="61"/>
      <c r="KXK2468" s="54"/>
      <c r="KXL2468" s="54"/>
      <c r="KXM2468" s="60"/>
      <c r="KXN2468" s="60"/>
      <c r="KXO2468" s="60"/>
      <c r="KXP2468" s="60"/>
      <c r="KXQ2468" s="63"/>
      <c r="KXR2468" s="61"/>
      <c r="KXS2468" s="54"/>
      <c r="KXT2468" s="54"/>
      <c r="KXU2468" s="60"/>
      <c r="KXV2468" s="60"/>
      <c r="KXW2468" s="60"/>
      <c r="KXX2468" s="60"/>
      <c r="KXY2468" s="63"/>
      <c r="KXZ2468" s="61"/>
      <c r="KYA2468" s="54"/>
      <c r="KYB2468" s="54"/>
      <c r="KYC2468" s="60"/>
      <c r="KYD2468" s="60"/>
      <c r="KYE2468" s="60"/>
      <c r="KYF2468" s="60"/>
      <c r="KYG2468" s="63"/>
      <c r="KYH2468" s="61"/>
      <c r="KYI2468" s="54"/>
      <c r="KYJ2468" s="54"/>
      <c r="KYK2468" s="60"/>
      <c r="KYL2468" s="60"/>
      <c r="KYM2468" s="60"/>
      <c r="KYN2468" s="60"/>
      <c r="KYO2468" s="63"/>
      <c r="KYP2468" s="61"/>
      <c r="KYQ2468" s="54"/>
      <c r="KYR2468" s="54"/>
      <c r="KYS2468" s="60"/>
      <c r="KYT2468" s="60"/>
      <c r="KYU2468" s="60"/>
      <c r="KYV2468" s="60"/>
      <c r="KYW2468" s="63"/>
      <c r="KYX2468" s="61"/>
      <c r="KYY2468" s="54"/>
      <c r="KYZ2468" s="54"/>
      <c r="KZA2468" s="60"/>
      <c r="KZB2468" s="60"/>
      <c r="KZC2468" s="60"/>
      <c r="KZD2468" s="60"/>
      <c r="KZE2468" s="63"/>
      <c r="KZF2468" s="61"/>
      <c r="KZG2468" s="54"/>
      <c r="KZH2468" s="54"/>
      <c r="KZI2468" s="60"/>
      <c r="KZJ2468" s="60"/>
      <c r="KZK2468" s="60"/>
      <c r="KZL2468" s="60"/>
      <c r="KZM2468" s="63"/>
      <c r="KZN2468" s="61"/>
      <c r="KZO2468" s="54"/>
      <c r="KZP2468" s="54"/>
      <c r="KZQ2468" s="60"/>
      <c r="KZR2468" s="60"/>
      <c r="KZS2468" s="60"/>
      <c r="KZT2468" s="60"/>
      <c r="KZU2468" s="63"/>
      <c r="KZV2468" s="61"/>
      <c r="KZW2468" s="54"/>
      <c r="KZX2468" s="54"/>
      <c r="KZY2468" s="60"/>
      <c r="KZZ2468" s="60"/>
      <c r="LAA2468" s="60"/>
      <c r="LAB2468" s="60"/>
      <c r="LAC2468" s="63"/>
      <c r="LAD2468" s="61"/>
      <c r="LAE2468" s="54"/>
      <c r="LAF2468" s="54"/>
      <c r="LAG2468" s="60"/>
      <c r="LAH2468" s="60"/>
      <c r="LAI2468" s="60"/>
      <c r="LAJ2468" s="60"/>
      <c r="LAK2468" s="63"/>
      <c r="LAL2468" s="61"/>
      <c r="LAM2468" s="54"/>
      <c r="LAN2468" s="54"/>
      <c r="LAO2468" s="60"/>
      <c r="LAP2468" s="60"/>
      <c r="LAQ2468" s="60"/>
      <c r="LAR2468" s="60"/>
      <c r="LAS2468" s="63"/>
      <c r="LAT2468" s="61"/>
      <c r="LAU2468" s="54"/>
      <c r="LAV2468" s="54"/>
      <c r="LAW2468" s="60"/>
      <c r="LAX2468" s="60"/>
      <c r="LAY2468" s="60"/>
      <c r="LAZ2468" s="60"/>
      <c r="LBA2468" s="63"/>
      <c r="LBB2468" s="61"/>
      <c r="LBC2468" s="54"/>
      <c r="LBD2468" s="54"/>
      <c r="LBE2468" s="60"/>
      <c r="LBF2468" s="60"/>
      <c r="LBG2468" s="60"/>
      <c r="LBH2468" s="60"/>
      <c r="LBI2468" s="63"/>
      <c r="LBJ2468" s="61"/>
      <c r="LBK2468" s="54"/>
      <c r="LBL2468" s="54"/>
      <c r="LBM2468" s="60"/>
      <c r="LBN2468" s="60"/>
      <c r="LBO2468" s="60"/>
      <c r="LBP2468" s="60"/>
      <c r="LBQ2468" s="63"/>
      <c r="LBR2468" s="61"/>
      <c r="LBS2468" s="54"/>
      <c r="LBT2468" s="54"/>
      <c r="LBU2468" s="60"/>
      <c r="LBV2468" s="60"/>
      <c r="LBW2468" s="60"/>
      <c r="LBX2468" s="60"/>
      <c r="LBY2468" s="63"/>
      <c r="LBZ2468" s="61"/>
      <c r="LCA2468" s="54"/>
      <c r="LCB2468" s="54"/>
      <c r="LCC2468" s="60"/>
      <c r="LCD2468" s="60"/>
      <c r="LCE2468" s="60"/>
      <c r="LCF2468" s="60"/>
      <c r="LCG2468" s="63"/>
      <c r="LCH2468" s="61"/>
      <c r="LCI2468" s="54"/>
      <c r="LCJ2468" s="54"/>
      <c r="LCK2468" s="60"/>
      <c r="LCL2468" s="60"/>
      <c r="LCM2468" s="60"/>
      <c r="LCN2468" s="60"/>
      <c r="LCO2468" s="63"/>
      <c r="LCP2468" s="61"/>
      <c r="LCQ2468" s="54"/>
      <c r="LCR2468" s="54"/>
      <c r="LCS2468" s="60"/>
      <c r="LCT2468" s="60"/>
      <c r="LCU2468" s="60"/>
      <c r="LCV2468" s="60"/>
      <c r="LCW2468" s="63"/>
      <c r="LCX2468" s="61"/>
      <c r="LCY2468" s="54"/>
      <c r="LCZ2468" s="54"/>
      <c r="LDA2468" s="60"/>
      <c r="LDB2468" s="60"/>
      <c r="LDC2468" s="60"/>
      <c r="LDD2468" s="60"/>
      <c r="LDE2468" s="63"/>
      <c r="LDF2468" s="61"/>
      <c r="LDG2468" s="54"/>
      <c r="LDH2468" s="54"/>
      <c r="LDI2468" s="60"/>
      <c r="LDJ2468" s="60"/>
      <c r="LDK2468" s="60"/>
      <c r="LDL2468" s="60"/>
      <c r="LDM2468" s="63"/>
      <c r="LDN2468" s="61"/>
      <c r="LDO2468" s="54"/>
      <c r="LDP2468" s="54"/>
      <c r="LDQ2468" s="60"/>
      <c r="LDR2468" s="60"/>
      <c r="LDS2468" s="60"/>
      <c r="LDT2468" s="60"/>
      <c r="LDU2468" s="63"/>
      <c r="LDV2468" s="61"/>
      <c r="LDW2468" s="54"/>
      <c r="LDX2468" s="54"/>
      <c r="LDY2468" s="60"/>
      <c r="LDZ2468" s="60"/>
      <c r="LEA2468" s="60"/>
      <c r="LEB2468" s="60"/>
      <c r="LEC2468" s="63"/>
      <c r="LED2468" s="61"/>
      <c r="LEE2468" s="54"/>
      <c r="LEF2468" s="54"/>
      <c r="LEG2468" s="60"/>
      <c r="LEH2468" s="60"/>
      <c r="LEI2468" s="60"/>
      <c r="LEJ2468" s="60"/>
      <c r="LEK2468" s="63"/>
      <c r="LEL2468" s="61"/>
      <c r="LEM2468" s="54"/>
      <c r="LEN2468" s="54"/>
      <c r="LEO2468" s="60"/>
      <c r="LEP2468" s="60"/>
      <c r="LEQ2468" s="60"/>
      <c r="LER2468" s="60"/>
      <c r="LES2468" s="63"/>
      <c r="LET2468" s="61"/>
      <c r="LEU2468" s="54"/>
      <c r="LEV2468" s="54"/>
      <c r="LEW2468" s="60"/>
      <c r="LEX2468" s="60"/>
      <c r="LEY2468" s="60"/>
      <c r="LEZ2468" s="60"/>
      <c r="LFA2468" s="63"/>
      <c r="LFB2468" s="61"/>
      <c r="LFC2468" s="54"/>
      <c r="LFD2468" s="54"/>
      <c r="LFE2468" s="60"/>
      <c r="LFF2468" s="60"/>
      <c r="LFG2468" s="60"/>
      <c r="LFH2468" s="60"/>
      <c r="LFI2468" s="63"/>
      <c r="LFJ2468" s="61"/>
      <c r="LFK2468" s="54"/>
      <c r="LFL2468" s="54"/>
      <c r="LFM2468" s="60"/>
      <c r="LFN2468" s="60"/>
      <c r="LFO2468" s="60"/>
      <c r="LFP2468" s="60"/>
      <c r="LFQ2468" s="63"/>
      <c r="LFR2468" s="61"/>
      <c r="LFS2468" s="54"/>
      <c r="LFT2468" s="54"/>
      <c r="LFU2468" s="60"/>
      <c r="LFV2468" s="60"/>
      <c r="LFW2468" s="60"/>
      <c r="LFX2468" s="60"/>
      <c r="LFY2468" s="63"/>
      <c r="LFZ2468" s="61"/>
      <c r="LGA2468" s="54"/>
      <c r="LGB2468" s="54"/>
      <c r="LGC2468" s="60"/>
      <c r="LGD2468" s="60"/>
      <c r="LGE2468" s="60"/>
      <c r="LGF2468" s="60"/>
      <c r="LGG2468" s="63"/>
      <c r="LGH2468" s="61"/>
      <c r="LGI2468" s="54"/>
      <c r="LGJ2468" s="54"/>
      <c r="LGK2468" s="60"/>
      <c r="LGL2468" s="60"/>
      <c r="LGM2468" s="60"/>
      <c r="LGN2468" s="60"/>
      <c r="LGO2468" s="63"/>
      <c r="LGP2468" s="61"/>
      <c r="LGQ2468" s="54"/>
      <c r="LGR2468" s="54"/>
      <c r="LGS2468" s="60"/>
      <c r="LGT2468" s="60"/>
      <c r="LGU2468" s="60"/>
      <c r="LGV2468" s="60"/>
      <c r="LGW2468" s="63"/>
      <c r="LGX2468" s="61"/>
      <c r="LGY2468" s="54"/>
      <c r="LGZ2468" s="54"/>
      <c r="LHA2468" s="60"/>
      <c r="LHB2468" s="60"/>
      <c r="LHC2468" s="60"/>
      <c r="LHD2468" s="60"/>
      <c r="LHE2468" s="63"/>
      <c r="LHF2468" s="61"/>
      <c r="LHG2468" s="54"/>
      <c r="LHH2468" s="54"/>
      <c r="LHI2468" s="60"/>
      <c r="LHJ2468" s="60"/>
      <c r="LHK2468" s="60"/>
      <c r="LHL2468" s="60"/>
      <c r="LHM2468" s="63"/>
      <c r="LHN2468" s="61"/>
      <c r="LHO2468" s="54"/>
      <c r="LHP2468" s="54"/>
      <c r="LHQ2468" s="60"/>
      <c r="LHR2468" s="60"/>
      <c r="LHS2468" s="60"/>
      <c r="LHT2468" s="60"/>
      <c r="LHU2468" s="63"/>
      <c r="LHV2468" s="61"/>
      <c r="LHW2468" s="54"/>
      <c r="LHX2468" s="54"/>
      <c r="LHY2468" s="60"/>
      <c r="LHZ2468" s="60"/>
      <c r="LIA2468" s="60"/>
      <c r="LIB2468" s="60"/>
      <c r="LIC2468" s="63"/>
      <c r="LID2468" s="61"/>
      <c r="LIE2468" s="54"/>
      <c r="LIF2468" s="54"/>
      <c r="LIG2468" s="60"/>
      <c r="LIH2468" s="60"/>
      <c r="LII2468" s="60"/>
      <c r="LIJ2468" s="60"/>
      <c r="LIK2468" s="63"/>
      <c r="LIL2468" s="61"/>
      <c r="LIM2468" s="54"/>
      <c r="LIN2468" s="54"/>
      <c r="LIO2468" s="60"/>
      <c r="LIP2468" s="60"/>
      <c r="LIQ2468" s="60"/>
      <c r="LIR2468" s="60"/>
      <c r="LIS2468" s="63"/>
      <c r="LIT2468" s="61"/>
      <c r="LIU2468" s="54"/>
      <c r="LIV2468" s="54"/>
      <c r="LIW2468" s="60"/>
      <c r="LIX2468" s="60"/>
      <c r="LIY2468" s="60"/>
      <c r="LIZ2468" s="60"/>
      <c r="LJA2468" s="63"/>
      <c r="LJB2468" s="61"/>
      <c r="LJC2468" s="54"/>
      <c r="LJD2468" s="54"/>
      <c r="LJE2468" s="60"/>
      <c r="LJF2468" s="60"/>
      <c r="LJG2468" s="60"/>
      <c r="LJH2468" s="60"/>
      <c r="LJI2468" s="63"/>
      <c r="LJJ2468" s="61"/>
      <c r="LJK2468" s="54"/>
      <c r="LJL2468" s="54"/>
      <c r="LJM2468" s="60"/>
      <c r="LJN2468" s="60"/>
      <c r="LJO2468" s="60"/>
      <c r="LJP2468" s="60"/>
      <c r="LJQ2468" s="63"/>
      <c r="LJR2468" s="61"/>
      <c r="LJS2468" s="54"/>
      <c r="LJT2468" s="54"/>
      <c r="LJU2468" s="60"/>
      <c r="LJV2468" s="60"/>
      <c r="LJW2468" s="60"/>
      <c r="LJX2468" s="60"/>
      <c r="LJY2468" s="63"/>
      <c r="LJZ2468" s="61"/>
      <c r="LKA2468" s="54"/>
      <c r="LKB2468" s="54"/>
      <c r="LKC2468" s="60"/>
      <c r="LKD2468" s="60"/>
      <c r="LKE2468" s="60"/>
      <c r="LKF2468" s="60"/>
      <c r="LKG2468" s="63"/>
      <c r="LKH2468" s="61"/>
      <c r="LKI2468" s="54"/>
      <c r="LKJ2468" s="54"/>
      <c r="LKK2468" s="60"/>
      <c r="LKL2468" s="60"/>
      <c r="LKM2468" s="60"/>
      <c r="LKN2468" s="60"/>
      <c r="LKO2468" s="63"/>
      <c r="LKP2468" s="61"/>
      <c r="LKQ2468" s="54"/>
      <c r="LKR2468" s="54"/>
      <c r="LKS2468" s="60"/>
      <c r="LKT2468" s="60"/>
      <c r="LKU2468" s="60"/>
      <c r="LKV2468" s="60"/>
      <c r="LKW2468" s="63"/>
      <c r="LKX2468" s="61"/>
      <c r="LKY2468" s="54"/>
      <c r="LKZ2468" s="54"/>
      <c r="LLA2468" s="60"/>
      <c r="LLB2468" s="60"/>
      <c r="LLC2468" s="60"/>
      <c r="LLD2468" s="60"/>
      <c r="LLE2468" s="63"/>
      <c r="LLF2468" s="61"/>
      <c r="LLG2468" s="54"/>
      <c r="LLH2468" s="54"/>
      <c r="LLI2468" s="60"/>
      <c r="LLJ2468" s="60"/>
      <c r="LLK2468" s="60"/>
      <c r="LLL2468" s="60"/>
      <c r="LLM2468" s="63"/>
      <c r="LLN2468" s="61"/>
      <c r="LLO2468" s="54"/>
      <c r="LLP2468" s="54"/>
      <c r="LLQ2468" s="60"/>
      <c r="LLR2468" s="60"/>
      <c r="LLS2468" s="60"/>
      <c r="LLT2468" s="60"/>
      <c r="LLU2468" s="63"/>
      <c r="LLV2468" s="61"/>
      <c r="LLW2468" s="54"/>
      <c r="LLX2468" s="54"/>
      <c r="LLY2468" s="60"/>
      <c r="LLZ2468" s="60"/>
      <c r="LMA2468" s="60"/>
      <c r="LMB2468" s="60"/>
      <c r="LMC2468" s="63"/>
      <c r="LMD2468" s="61"/>
      <c r="LME2468" s="54"/>
      <c r="LMF2468" s="54"/>
      <c r="LMG2468" s="60"/>
      <c r="LMH2468" s="60"/>
      <c r="LMI2468" s="60"/>
      <c r="LMJ2468" s="60"/>
      <c r="LMK2468" s="63"/>
      <c r="LML2468" s="61"/>
      <c r="LMM2468" s="54"/>
      <c r="LMN2468" s="54"/>
      <c r="LMO2468" s="60"/>
      <c r="LMP2468" s="60"/>
      <c r="LMQ2468" s="60"/>
      <c r="LMR2468" s="60"/>
      <c r="LMS2468" s="63"/>
      <c r="LMT2468" s="61"/>
      <c r="LMU2468" s="54"/>
      <c r="LMV2468" s="54"/>
      <c r="LMW2468" s="60"/>
      <c r="LMX2468" s="60"/>
      <c r="LMY2468" s="60"/>
      <c r="LMZ2468" s="60"/>
      <c r="LNA2468" s="63"/>
      <c r="LNB2468" s="61"/>
      <c r="LNC2468" s="54"/>
      <c r="LND2468" s="54"/>
      <c r="LNE2468" s="60"/>
      <c r="LNF2468" s="60"/>
      <c r="LNG2468" s="60"/>
      <c r="LNH2468" s="60"/>
      <c r="LNI2468" s="63"/>
      <c r="LNJ2468" s="61"/>
      <c r="LNK2468" s="54"/>
      <c r="LNL2468" s="54"/>
      <c r="LNM2468" s="60"/>
      <c r="LNN2468" s="60"/>
      <c r="LNO2468" s="60"/>
      <c r="LNP2468" s="60"/>
      <c r="LNQ2468" s="63"/>
      <c r="LNR2468" s="61"/>
      <c r="LNS2468" s="54"/>
      <c r="LNT2468" s="54"/>
      <c r="LNU2468" s="60"/>
      <c r="LNV2468" s="60"/>
      <c r="LNW2468" s="60"/>
      <c r="LNX2468" s="60"/>
      <c r="LNY2468" s="63"/>
      <c r="LNZ2468" s="61"/>
      <c r="LOA2468" s="54"/>
      <c r="LOB2468" s="54"/>
      <c r="LOC2468" s="60"/>
      <c r="LOD2468" s="60"/>
      <c r="LOE2468" s="60"/>
      <c r="LOF2468" s="60"/>
      <c r="LOG2468" s="63"/>
      <c r="LOH2468" s="61"/>
      <c r="LOI2468" s="54"/>
      <c r="LOJ2468" s="54"/>
      <c r="LOK2468" s="60"/>
      <c r="LOL2468" s="60"/>
      <c r="LOM2468" s="60"/>
      <c r="LON2468" s="60"/>
      <c r="LOO2468" s="63"/>
      <c r="LOP2468" s="61"/>
      <c r="LOQ2468" s="54"/>
      <c r="LOR2468" s="54"/>
      <c r="LOS2468" s="60"/>
      <c r="LOT2468" s="60"/>
      <c r="LOU2468" s="60"/>
      <c r="LOV2468" s="60"/>
      <c r="LOW2468" s="63"/>
      <c r="LOX2468" s="61"/>
      <c r="LOY2468" s="54"/>
      <c r="LOZ2468" s="54"/>
      <c r="LPA2468" s="60"/>
      <c r="LPB2468" s="60"/>
      <c r="LPC2468" s="60"/>
      <c r="LPD2468" s="60"/>
      <c r="LPE2468" s="63"/>
      <c r="LPF2468" s="61"/>
      <c r="LPG2468" s="54"/>
      <c r="LPH2468" s="54"/>
      <c r="LPI2468" s="60"/>
      <c r="LPJ2468" s="60"/>
      <c r="LPK2468" s="60"/>
      <c r="LPL2468" s="60"/>
      <c r="LPM2468" s="63"/>
      <c r="LPN2468" s="61"/>
      <c r="LPO2468" s="54"/>
      <c r="LPP2468" s="54"/>
      <c r="LPQ2468" s="60"/>
      <c r="LPR2468" s="60"/>
      <c r="LPS2468" s="60"/>
      <c r="LPT2468" s="60"/>
      <c r="LPU2468" s="63"/>
      <c r="LPV2468" s="61"/>
      <c r="LPW2468" s="54"/>
      <c r="LPX2468" s="54"/>
      <c r="LPY2468" s="60"/>
      <c r="LPZ2468" s="60"/>
      <c r="LQA2468" s="60"/>
      <c r="LQB2468" s="60"/>
      <c r="LQC2468" s="63"/>
      <c r="LQD2468" s="61"/>
      <c r="LQE2468" s="54"/>
      <c r="LQF2468" s="54"/>
      <c r="LQG2468" s="60"/>
      <c r="LQH2468" s="60"/>
      <c r="LQI2468" s="60"/>
      <c r="LQJ2468" s="60"/>
      <c r="LQK2468" s="63"/>
      <c r="LQL2468" s="61"/>
      <c r="LQM2468" s="54"/>
      <c r="LQN2468" s="54"/>
      <c r="LQO2468" s="60"/>
      <c r="LQP2468" s="60"/>
      <c r="LQQ2468" s="60"/>
      <c r="LQR2468" s="60"/>
      <c r="LQS2468" s="63"/>
      <c r="LQT2468" s="61"/>
      <c r="LQU2468" s="54"/>
      <c r="LQV2468" s="54"/>
      <c r="LQW2468" s="60"/>
      <c r="LQX2468" s="60"/>
      <c r="LQY2468" s="60"/>
      <c r="LQZ2468" s="60"/>
      <c r="LRA2468" s="63"/>
      <c r="LRB2468" s="61"/>
      <c r="LRC2468" s="54"/>
      <c r="LRD2468" s="54"/>
      <c r="LRE2468" s="60"/>
      <c r="LRF2468" s="60"/>
      <c r="LRG2468" s="60"/>
      <c r="LRH2468" s="60"/>
      <c r="LRI2468" s="63"/>
      <c r="LRJ2468" s="61"/>
      <c r="LRK2468" s="54"/>
      <c r="LRL2468" s="54"/>
      <c r="LRM2468" s="60"/>
      <c r="LRN2468" s="60"/>
      <c r="LRO2468" s="60"/>
      <c r="LRP2468" s="60"/>
      <c r="LRQ2468" s="63"/>
      <c r="LRR2468" s="61"/>
      <c r="LRS2468" s="54"/>
      <c r="LRT2468" s="54"/>
      <c r="LRU2468" s="60"/>
      <c r="LRV2468" s="60"/>
      <c r="LRW2468" s="60"/>
      <c r="LRX2468" s="60"/>
      <c r="LRY2468" s="63"/>
      <c r="LRZ2468" s="61"/>
      <c r="LSA2468" s="54"/>
      <c r="LSB2468" s="54"/>
      <c r="LSC2468" s="60"/>
      <c r="LSD2468" s="60"/>
      <c r="LSE2468" s="60"/>
      <c r="LSF2468" s="60"/>
      <c r="LSG2468" s="63"/>
      <c r="LSH2468" s="61"/>
      <c r="LSI2468" s="54"/>
      <c r="LSJ2468" s="54"/>
      <c r="LSK2468" s="60"/>
      <c r="LSL2468" s="60"/>
      <c r="LSM2468" s="60"/>
      <c r="LSN2468" s="60"/>
      <c r="LSO2468" s="63"/>
      <c r="LSP2468" s="61"/>
      <c r="LSQ2468" s="54"/>
      <c r="LSR2468" s="54"/>
      <c r="LSS2468" s="60"/>
      <c r="LST2468" s="60"/>
      <c r="LSU2468" s="60"/>
      <c r="LSV2468" s="60"/>
      <c r="LSW2468" s="63"/>
      <c r="LSX2468" s="61"/>
      <c r="LSY2468" s="54"/>
      <c r="LSZ2468" s="54"/>
      <c r="LTA2468" s="60"/>
      <c r="LTB2468" s="60"/>
      <c r="LTC2468" s="60"/>
      <c r="LTD2468" s="60"/>
      <c r="LTE2468" s="63"/>
      <c r="LTF2468" s="61"/>
      <c r="LTG2468" s="54"/>
      <c r="LTH2468" s="54"/>
      <c r="LTI2468" s="60"/>
      <c r="LTJ2468" s="60"/>
      <c r="LTK2468" s="60"/>
      <c r="LTL2468" s="60"/>
      <c r="LTM2468" s="63"/>
      <c r="LTN2468" s="61"/>
      <c r="LTO2468" s="54"/>
      <c r="LTP2468" s="54"/>
      <c r="LTQ2468" s="60"/>
      <c r="LTR2468" s="60"/>
      <c r="LTS2468" s="60"/>
      <c r="LTT2468" s="60"/>
      <c r="LTU2468" s="63"/>
      <c r="LTV2468" s="61"/>
      <c r="LTW2468" s="54"/>
      <c r="LTX2468" s="54"/>
      <c r="LTY2468" s="60"/>
      <c r="LTZ2468" s="60"/>
      <c r="LUA2468" s="60"/>
      <c r="LUB2468" s="60"/>
      <c r="LUC2468" s="63"/>
      <c r="LUD2468" s="61"/>
      <c r="LUE2468" s="54"/>
      <c r="LUF2468" s="54"/>
      <c r="LUG2468" s="60"/>
      <c r="LUH2468" s="60"/>
      <c r="LUI2468" s="60"/>
      <c r="LUJ2468" s="60"/>
      <c r="LUK2468" s="63"/>
      <c r="LUL2468" s="61"/>
      <c r="LUM2468" s="54"/>
      <c r="LUN2468" s="54"/>
      <c r="LUO2468" s="60"/>
      <c r="LUP2468" s="60"/>
      <c r="LUQ2468" s="60"/>
      <c r="LUR2468" s="60"/>
      <c r="LUS2468" s="63"/>
      <c r="LUT2468" s="61"/>
      <c r="LUU2468" s="54"/>
      <c r="LUV2468" s="54"/>
      <c r="LUW2468" s="60"/>
      <c r="LUX2468" s="60"/>
      <c r="LUY2468" s="60"/>
      <c r="LUZ2468" s="60"/>
      <c r="LVA2468" s="63"/>
      <c r="LVB2468" s="61"/>
      <c r="LVC2468" s="54"/>
      <c r="LVD2468" s="54"/>
      <c r="LVE2468" s="60"/>
      <c r="LVF2468" s="60"/>
      <c r="LVG2468" s="60"/>
      <c r="LVH2468" s="60"/>
      <c r="LVI2468" s="63"/>
      <c r="LVJ2468" s="61"/>
      <c r="LVK2468" s="54"/>
      <c r="LVL2468" s="54"/>
      <c r="LVM2468" s="60"/>
      <c r="LVN2468" s="60"/>
      <c r="LVO2468" s="60"/>
      <c r="LVP2468" s="60"/>
      <c r="LVQ2468" s="63"/>
      <c r="LVR2468" s="61"/>
      <c r="LVS2468" s="54"/>
      <c r="LVT2468" s="54"/>
      <c r="LVU2468" s="60"/>
      <c r="LVV2468" s="60"/>
      <c r="LVW2468" s="60"/>
      <c r="LVX2468" s="60"/>
      <c r="LVY2468" s="63"/>
      <c r="LVZ2468" s="61"/>
      <c r="LWA2468" s="54"/>
      <c r="LWB2468" s="54"/>
      <c r="LWC2468" s="60"/>
      <c r="LWD2468" s="60"/>
      <c r="LWE2468" s="60"/>
      <c r="LWF2468" s="60"/>
      <c r="LWG2468" s="63"/>
      <c r="LWH2468" s="61"/>
      <c r="LWI2468" s="54"/>
      <c r="LWJ2468" s="54"/>
      <c r="LWK2468" s="60"/>
      <c r="LWL2468" s="60"/>
      <c r="LWM2468" s="60"/>
      <c r="LWN2468" s="60"/>
      <c r="LWO2468" s="63"/>
      <c r="LWP2468" s="61"/>
      <c r="LWQ2468" s="54"/>
      <c r="LWR2468" s="54"/>
      <c r="LWS2468" s="60"/>
      <c r="LWT2468" s="60"/>
      <c r="LWU2468" s="60"/>
      <c r="LWV2468" s="60"/>
      <c r="LWW2468" s="63"/>
      <c r="LWX2468" s="61"/>
      <c r="LWY2468" s="54"/>
      <c r="LWZ2468" s="54"/>
      <c r="LXA2468" s="60"/>
      <c r="LXB2468" s="60"/>
      <c r="LXC2468" s="60"/>
      <c r="LXD2468" s="60"/>
      <c r="LXE2468" s="63"/>
      <c r="LXF2468" s="61"/>
      <c r="LXG2468" s="54"/>
      <c r="LXH2468" s="54"/>
      <c r="LXI2468" s="60"/>
      <c r="LXJ2468" s="60"/>
      <c r="LXK2468" s="60"/>
      <c r="LXL2468" s="60"/>
      <c r="LXM2468" s="63"/>
      <c r="LXN2468" s="61"/>
      <c r="LXO2468" s="54"/>
      <c r="LXP2468" s="54"/>
      <c r="LXQ2468" s="60"/>
      <c r="LXR2468" s="60"/>
      <c r="LXS2468" s="60"/>
      <c r="LXT2468" s="60"/>
      <c r="LXU2468" s="63"/>
      <c r="LXV2468" s="61"/>
      <c r="LXW2468" s="54"/>
      <c r="LXX2468" s="54"/>
      <c r="LXY2468" s="60"/>
      <c r="LXZ2468" s="60"/>
      <c r="LYA2468" s="60"/>
      <c r="LYB2468" s="60"/>
      <c r="LYC2468" s="63"/>
      <c r="LYD2468" s="61"/>
      <c r="LYE2468" s="54"/>
      <c r="LYF2468" s="54"/>
      <c r="LYG2468" s="60"/>
      <c r="LYH2468" s="60"/>
      <c r="LYI2468" s="60"/>
      <c r="LYJ2468" s="60"/>
      <c r="LYK2468" s="63"/>
      <c r="LYL2468" s="61"/>
      <c r="LYM2468" s="54"/>
      <c r="LYN2468" s="54"/>
      <c r="LYO2468" s="60"/>
      <c r="LYP2468" s="60"/>
      <c r="LYQ2468" s="60"/>
      <c r="LYR2468" s="60"/>
      <c r="LYS2468" s="63"/>
      <c r="LYT2468" s="61"/>
      <c r="LYU2468" s="54"/>
      <c r="LYV2468" s="54"/>
      <c r="LYW2468" s="60"/>
      <c r="LYX2468" s="60"/>
      <c r="LYY2468" s="60"/>
      <c r="LYZ2468" s="60"/>
      <c r="LZA2468" s="63"/>
      <c r="LZB2468" s="61"/>
      <c r="LZC2468" s="54"/>
      <c r="LZD2468" s="54"/>
      <c r="LZE2468" s="60"/>
      <c r="LZF2468" s="60"/>
      <c r="LZG2468" s="60"/>
      <c r="LZH2468" s="60"/>
      <c r="LZI2468" s="63"/>
      <c r="LZJ2468" s="61"/>
      <c r="LZK2468" s="54"/>
      <c r="LZL2468" s="54"/>
      <c r="LZM2468" s="60"/>
      <c r="LZN2468" s="60"/>
      <c r="LZO2468" s="60"/>
      <c r="LZP2468" s="60"/>
      <c r="LZQ2468" s="63"/>
      <c r="LZR2468" s="61"/>
      <c r="LZS2468" s="54"/>
      <c r="LZT2468" s="54"/>
      <c r="LZU2468" s="60"/>
      <c r="LZV2468" s="60"/>
      <c r="LZW2468" s="60"/>
      <c r="LZX2468" s="60"/>
      <c r="LZY2468" s="63"/>
      <c r="LZZ2468" s="61"/>
      <c r="MAA2468" s="54"/>
      <c r="MAB2468" s="54"/>
      <c r="MAC2468" s="60"/>
      <c r="MAD2468" s="60"/>
      <c r="MAE2468" s="60"/>
      <c r="MAF2468" s="60"/>
      <c r="MAG2468" s="63"/>
      <c r="MAH2468" s="61"/>
      <c r="MAI2468" s="54"/>
      <c r="MAJ2468" s="54"/>
      <c r="MAK2468" s="60"/>
      <c r="MAL2468" s="60"/>
      <c r="MAM2468" s="60"/>
      <c r="MAN2468" s="60"/>
      <c r="MAO2468" s="63"/>
      <c r="MAP2468" s="61"/>
      <c r="MAQ2468" s="54"/>
      <c r="MAR2468" s="54"/>
      <c r="MAS2468" s="60"/>
      <c r="MAT2468" s="60"/>
      <c r="MAU2468" s="60"/>
      <c r="MAV2468" s="60"/>
      <c r="MAW2468" s="63"/>
      <c r="MAX2468" s="61"/>
      <c r="MAY2468" s="54"/>
      <c r="MAZ2468" s="54"/>
      <c r="MBA2468" s="60"/>
      <c r="MBB2468" s="60"/>
      <c r="MBC2468" s="60"/>
      <c r="MBD2468" s="60"/>
      <c r="MBE2468" s="63"/>
      <c r="MBF2468" s="61"/>
      <c r="MBG2468" s="54"/>
      <c r="MBH2468" s="54"/>
      <c r="MBI2468" s="60"/>
      <c r="MBJ2468" s="60"/>
      <c r="MBK2468" s="60"/>
      <c r="MBL2468" s="60"/>
      <c r="MBM2468" s="63"/>
      <c r="MBN2468" s="61"/>
      <c r="MBO2468" s="54"/>
      <c r="MBP2468" s="54"/>
      <c r="MBQ2468" s="60"/>
      <c r="MBR2468" s="60"/>
      <c r="MBS2468" s="60"/>
      <c r="MBT2468" s="60"/>
      <c r="MBU2468" s="63"/>
      <c r="MBV2468" s="61"/>
      <c r="MBW2468" s="54"/>
      <c r="MBX2468" s="54"/>
      <c r="MBY2468" s="60"/>
      <c r="MBZ2468" s="60"/>
      <c r="MCA2468" s="60"/>
      <c r="MCB2468" s="60"/>
      <c r="MCC2468" s="63"/>
      <c r="MCD2468" s="61"/>
      <c r="MCE2468" s="54"/>
      <c r="MCF2468" s="54"/>
      <c r="MCG2468" s="60"/>
      <c r="MCH2468" s="60"/>
      <c r="MCI2468" s="60"/>
      <c r="MCJ2468" s="60"/>
      <c r="MCK2468" s="63"/>
      <c r="MCL2468" s="61"/>
      <c r="MCM2468" s="54"/>
      <c r="MCN2468" s="54"/>
      <c r="MCO2468" s="60"/>
      <c r="MCP2468" s="60"/>
      <c r="MCQ2468" s="60"/>
      <c r="MCR2468" s="60"/>
      <c r="MCS2468" s="63"/>
      <c r="MCT2468" s="61"/>
      <c r="MCU2468" s="54"/>
      <c r="MCV2468" s="54"/>
      <c r="MCW2468" s="60"/>
      <c r="MCX2468" s="60"/>
      <c r="MCY2468" s="60"/>
      <c r="MCZ2468" s="60"/>
      <c r="MDA2468" s="63"/>
      <c r="MDB2468" s="61"/>
      <c r="MDC2468" s="54"/>
      <c r="MDD2468" s="54"/>
      <c r="MDE2468" s="60"/>
      <c r="MDF2468" s="60"/>
      <c r="MDG2468" s="60"/>
      <c r="MDH2468" s="60"/>
      <c r="MDI2468" s="63"/>
      <c r="MDJ2468" s="61"/>
      <c r="MDK2468" s="54"/>
      <c r="MDL2468" s="54"/>
      <c r="MDM2468" s="60"/>
      <c r="MDN2468" s="60"/>
      <c r="MDO2468" s="60"/>
      <c r="MDP2468" s="60"/>
      <c r="MDQ2468" s="63"/>
      <c r="MDR2468" s="61"/>
      <c r="MDS2468" s="54"/>
      <c r="MDT2468" s="54"/>
      <c r="MDU2468" s="60"/>
      <c r="MDV2468" s="60"/>
      <c r="MDW2468" s="60"/>
      <c r="MDX2468" s="60"/>
      <c r="MDY2468" s="63"/>
      <c r="MDZ2468" s="61"/>
      <c r="MEA2468" s="54"/>
      <c r="MEB2468" s="54"/>
      <c r="MEC2468" s="60"/>
      <c r="MED2468" s="60"/>
      <c r="MEE2468" s="60"/>
      <c r="MEF2468" s="60"/>
      <c r="MEG2468" s="63"/>
      <c r="MEH2468" s="61"/>
      <c r="MEI2468" s="54"/>
      <c r="MEJ2468" s="54"/>
      <c r="MEK2468" s="60"/>
      <c r="MEL2468" s="60"/>
      <c r="MEM2468" s="60"/>
      <c r="MEN2468" s="60"/>
      <c r="MEO2468" s="63"/>
      <c r="MEP2468" s="61"/>
      <c r="MEQ2468" s="54"/>
      <c r="MER2468" s="54"/>
      <c r="MES2468" s="60"/>
      <c r="MET2468" s="60"/>
      <c r="MEU2468" s="60"/>
      <c r="MEV2468" s="60"/>
      <c r="MEW2468" s="63"/>
      <c r="MEX2468" s="61"/>
      <c r="MEY2468" s="54"/>
      <c r="MEZ2468" s="54"/>
      <c r="MFA2468" s="60"/>
      <c r="MFB2468" s="60"/>
      <c r="MFC2468" s="60"/>
      <c r="MFD2468" s="60"/>
      <c r="MFE2468" s="63"/>
      <c r="MFF2468" s="61"/>
      <c r="MFG2468" s="54"/>
      <c r="MFH2468" s="54"/>
      <c r="MFI2468" s="60"/>
      <c r="MFJ2468" s="60"/>
      <c r="MFK2468" s="60"/>
      <c r="MFL2468" s="60"/>
      <c r="MFM2468" s="63"/>
      <c r="MFN2468" s="61"/>
      <c r="MFO2468" s="54"/>
      <c r="MFP2468" s="54"/>
      <c r="MFQ2468" s="60"/>
      <c r="MFR2468" s="60"/>
      <c r="MFS2468" s="60"/>
      <c r="MFT2468" s="60"/>
      <c r="MFU2468" s="63"/>
      <c r="MFV2468" s="61"/>
      <c r="MFW2468" s="54"/>
      <c r="MFX2468" s="54"/>
      <c r="MFY2468" s="60"/>
      <c r="MFZ2468" s="60"/>
      <c r="MGA2468" s="60"/>
      <c r="MGB2468" s="60"/>
      <c r="MGC2468" s="63"/>
      <c r="MGD2468" s="61"/>
      <c r="MGE2468" s="54"/>
      <c r="MGF2468" s="54"/>
      <c r="MGG2468" s="60"/>
      <c r="MGH2468" s="60"/>
      <c r="MGI2468" s="60"/>
      <c r="MGJ2468" s="60"/>
      <c r="MGK2468" s="63"/>
      <c r="MGL2468" s="61"/>
      <c r="MGM2468" s="54"/>
      <c r="MGN2468" s="54"/>
      <c r="MGO2468" s="60"/>
      <c r="MGP2468" s="60"/>
      <c r="MGQ2468" s="60"/>
      <c r="MGR2468" s="60"/>
      <c r="MGS2468" s="63"/>
      <c r="MGT2468" s="61"/>
      <c r="MGU2468" s="54"/>
      <c r="MGV2468" s="54"/>
      <c r="MGW2468" s="60"/>
      <c r="MGX2468" s="60"/>
      <c r="MGY2468" s="60"/>
      <c r="MGZ2468" s="60"/>
      <c r="MHA2468" s="63"/>
      <c r="MHB2468" s="61"/>
      <c r="MHC2468" s="54"/>
      <c r="MHD2468" s="54"/>
      <c r="MHE2468" s="60"/>
      <c r="MHF2468" s="60"/>
      <c r="MHG2468" s="60"/>
      <c r="MHH2468" s="60"/>
      <c r="MHI2468" s="63"/>
      <c r="MHJ2468" s="61"/>
      <c r="MHK2468" s="54"/>
      <c r="MHL2468" s="54"/>
      <c r="MHM2468" s="60"/>
      <c r="MHN2468" s="60"/>
      <c r="MHO2468" s="60"/>
      <c r="MHP2468" s="60"/>
      <c r="MHQ2468" s="63"/>
      <c r="MHR2468" s="61"/>
      <c r="MHS2468" s="54"/>
      <c r="MHT2468" s="54"/>
      <c r="MHU2468" s="60"/>
      <c r="MHV2468" s="60"/>
      <c r="MHW2468" s="60"/>
      <c r="MHX2468" s="60"/>
      <c r="MHY2468" s="63"/>
      <c r="MHZ2468" s="61"/>
      <c r="MIA2468" s="54"/>
      <c r="MIB2468" s="54"/>
      <c r="MIC2468" s="60"/>
      <c r="MID2468" s="60"/>
      <c r="MIE2468" s="60"/>
      <c r="MIF2468" s="60"/>
      <c r="MIG2468" s="63"/>
      <c r="MIH2468" s="61"/>
      <c r="MII2468" s="54"/>
      <c r="MIJ2468" s="54"/>
      <c r="MIK2468" s="60"/>
      <c r="MIL2468" s="60"/>
      <c r="MIM2468" s="60"/>
      <c r="MIN2468" s="60"/>
      <c r="MIO2468" s="63"/>
      <c r="MIP2468" s="61"/>
      <c r="MIQ2468" s="54"/>
      <c r="MIR2468" s="54"/>
      <c r="MIS2468" s="60"/>
      <c r="MIT2468" s="60"/>
      <c r="MIU2468" s="60"/>
      <c r="MIV2468" s="60"/>
      <c r="MIW2468" s="63"/>
      <c r="MIX2468" s="61"/>
      <c r="MIY2468" s="54"/>
      <c r="MIZ2468" s="54"/>
      <c r="MJA2468" s="60"/>
      <c r="MJB2468" s="60"/>
      <c r="MJC2468" s="60"/>
      <c r="MJD2468" s="60"/>
      <c r="MJE2468" s="63"/>
      <c r="MJF2468" s="61"/>
      <c r="MJG2468" s="54"/>
      <c r="MJH2468" s="54"/>
      <c r="MJI2468" s="60"/>
      <c r="MJJ2468" s="60"/>
      <c r="MJK2468" s="60"/>
      <c r="MJL2468" s="60"/>
      <c r="MJM2468" s="63"/>
      <c r="MJN2468" s="61"/>
      <c r="MJO2468" s="54"/>
      <c r="MJP2468" s="54"/>
      <c r="MJQ2468" s="60"/>
      <c r="MJR2468" s="60"/>
      <c r="MJS2468" s="60"/>
      <c r="MJT2468" s="60"/>
      <c r="MJU2468" s="63"/>
      <c r="MJV2468" s="61"/>
      <c r="MJW2468" s="54"/>
      <c r="MJX2468" s="54"/>
      <c r="MJY2468" s="60"/>
      <c r="MJZ2468" s="60"/>
      <c r="MKA2468" s="60"/>
      <c r="MKB2468" s="60"/>
      <c r="MKC2468" s="63"/>
      <c r="MKD2468" s="61"/>
      <c r="MKE2468" s="54"/>
      <c r="MKF2468" s="54"/>
      <c r="MKG2468" s="60"/>
      <c r="MKH2468" s="60"/>
      <c r="MKI2468" s="60"/>
      <c r="MKJ2468" s="60"/>
      <c r="MKK2468" s="63"/>
      <c r="MKL2468" s="61"/>
      <c r="MKM2468" s="54"/>
      <c r="MKN2468" s="54"/>
      <c r="MKO2468" s="60"/>
      <c r="MKP2468" s="60"/>
      <c r="MKQ2468" s="60"/>
      <c r="MKR2468" s="60"/>
      <c r="MKS2468" s="63"/>
      <c r="MKT2468" s="61"/>
      <c r="MKU2468" s="54"/>
      <c r="MKV2468" s="54"/>
      <c r="MKW2468" s="60"/>
      <c r="MKX2468" s="60"/>
      <c r="MKY2468" s="60"/>
      <c r="MKZ2468" s="60"/>
      <c r="MLA2468" s="63"/>
      <c r="MLB2468" s="61"/>
      <c r="MLC2468" s="54"/>
      <c r="MLD2468" s="54"/>
      <c r="MLE2468" s="60"/>
      <c r="MLF2468" s="60"/>
      <c r="MLG2468" s="60"/>
      <c r="MLH2468" s="60"/>
      <c r="MLI2468" s="63"/>
      <c r="MLJ2468" s="61"/>
      <c r="MLK2468" s="54"/>
      <c r="MLL2468" s="54"/>
      <c r="MLM2468" s="60"/>
      <c r="MLN2468" s="60"/>
      <c r="MLO2468" s="60"/>
      <c r="MLP2468" s="60"/>
      <c r="MLQ2468" s="63"/>
      <c r="MLR2468" s="61"/>
      <c r="MLS2468" s="54"/>
      <c r="MLT2468" s="54"/>
      <c r="MLU2468" s="60"/>
      <c r="MLV2468" s="60"/>
      <c r="MLW2468" s="60"/>
      <c r="MLX2468" s="60"/>
      <c r="MLY2468" s="63"/>
      <c r="MLZ2468" s="61"/>
      <c r="MMA2468" s="54"/>
      <c r="MMB2468" s="54"/>
      <c r="MMC2468" s="60"/>
      <c r="MMD2468" s="60"/>
      <c r="MME2468" s="60"/>
      <c r="MMF2468" s="60"/>
      <c r="MMG2468" s="63"/>
      <c r="MMH2468" s="61"/>
      <c r="MMI2468" s="54"/>
      <c r="MMJ2468" s="54"/>
      <c r="MMK2468" s="60"/>
      <c r="MML2468" s="60"/>
      <c r="MMM2468" s="60"/>
      <c r="MMN2468" s="60"/>
      <c r="MMO2468" s="63"/>
      <c r="MMP2468" s="61"/>
      <c r="MMQ2468" s="54"/>
      <c r="MMR2468" s="54"/>
      <c r="MMS2468" s="60"/>
      <c r="MMT2468" s="60"/>
      <c r="MMU2468" s="60"/>
      <c r="MMV2468" s="60"/>
      <c r="MMW2468" s="63"/>
      <c r="MMX2468" s="61"/>
      <c r="MMY2468" s="54"/>
      <c r="MMZ2468" s="54"/>
      <c r="MNA2468" s="60"/>
      <c r="MNB2468" s="60"/>
      <c r="MNC2468" s="60"/>
      <c r="MND2468" s="60"/>
      <c r="MNE2468" s="63"/>
      <c r="MNF2468" s="61"/>
      <c r="MNG2468" s="54"/>
      <c r="MNH2468" s="54"/>
      <c r="MNI2468" s="60"/>
      <c r="MNJ2468" s="60"/>
      <c r="MNK2468" s="60"/>
      <c r="MNL2468" s="60"/>
      <c r="MNM2468" s="63"/>
      <c r="MNN2468" s="61"/>
      <c r="MNO2468" s="54"/>
      <c r="MNP2468" s="54"/>
      <c r="MNQ2468" s="60"/>
      <c r="MNR2468" s="60"/>
      <c r="MNS2468" s="60"/>
      <c r="MNT2468" s="60"/>
      <c r="MNU2468" s="63"/>
      <c r="MNV2468" s="61"/>
      <c r="MNW2468" s="54"/>
      <c r="MNX2468" s="54"/>
      <c r="MNY2468" s="60"/>
      <c r="MNZ2468" s="60"/>
      <c r="MOA2468" s="60"/>
      <c r="MOB2468" s="60"/>
      <c r="MOC2468" s="63"/>
      <c r="MOD2468" s="61"/>
      <c r="MOE2468" s="54"/>
      <c r="MOF2468" s="54"/>
      <c r="MOG2468" s="60"/>
      <c r="MOH2468" s="60"/>
      <c r="MOI2468" s="60"/>
      <c r="MOJ2468" s="60"/>
      <c r="MOK2468" s="63"/>
      <c r="MOL2468" s="61"/>
      <c r="MOM2468" s="54"/>
      <c r="MON2468" s="54"/>
      <c r="MOO2468" s="60"/>
      <c r="MOP2468" s="60"/>
      <c r="MOQ2468" s="60"/>
      <c r="MOR2468" s="60"/>
      <c r="MOS2468" s="63"/>
      <c r="MOT2468" s="61"/>
      <c r="MOU2468" s="54"/>
      <c r="MOV2468" s="54"/>
      <c r="MOW2468" s="60"/>
      <c r="MOX2468" s="60"/>
      <c r="MOY2468" s="60"/>
      <c r="MOZ2468" s="60"/>
      <c r="MPA2468" s="63"/>
      <c r="MPB2468" s="61"/>
      <c r="MPC2468" s="54"/>
      <c r="MPD2468" s="54"/>
      <c r="MPE2468" s="60"/>
      <c r="MPF2468" s="60"/>
      <c r="MPG2468" s="60"/>
      <c r="MPH2468" s="60"/>
      <c r="MPI2468" s="63"/>
      <c r="MPJ2468" s="61"/>
      <c r="MPK2468" s="54"/>
      <c r="MPL2468" s="54"/>
      <c r="MPM2468" s="60"/>
      <c r="MPN2468" s="60"/>
      <c r="MPO2468" s="60"/>
      <c r="MPP2468" s="60"/>
      <c r="MPQ2468" s="63"/>
      <c r="MPR2468" s="61"/>
      <c r="MPS2468" s="54"/>
      <c r="MPT2468" s="54"/>
      <c r="MPU2468" s="60"/>
      <c r="MPV2468" s="60"/>
      <c r="MPW2468" s="60"/>
      <c r="MPX2468" s="60"/>
      <c r="MPY2468" s="63"/>
      <c r="MPZ2468" s="61"/>
      <c r="MQA2468" s="54"/>
      <c r="MQB2468" s="54"/>
      <c r="MQC2468" s="60"/>
      <c r="MQD2468" s="60"/>
      <c r="MQE2468" s="60"/>
      <c r="MQF2468" s="60"/>
      <c r="MQG2468" s="63"/>
      <c r="MQH2468" s="61"/>
      <c r="MQI2468" s="54"/>
      <c r="MQJ2468" s="54"/>
      <c r="MQK2468" s="60"/>
      <c r="MQL2468" s="60"/>
      <c r="MQM2468" s="60"/>
      <c r="MQN2468" s="60"/>
      <c r="MQO2468" s="63"/>
      <c r="MQP2468" s="61"/>
      <c r="MQQ2468" s="54"/>
      <c r="MQR2468" s="54"/>
      <c r="MQS2468" s="60"/>
      <c r="MQT2468" s="60"/>
      <c r="MQU2468" s="60"/>
      <c r="MQV2468" s="60"/>
      <c r="MQW2468" s="63"/>
      <c r="MQX2468" s="61"/>
      <c r="MQY2468" s="54"/>
      <c r="MQZ2468" s="54"/>
      <c r="MRA2468" s="60"/>
      <c r="MRB2468" s="60"/>
      <c r="MRC2468" s="60"/>
      <c r="MRD2468" s="60"/>
      <c r="MRE2468" s="63"/>
      <c r="MRF2468" s="61"/>
      <c r="MRG2468" s="54"/>
      <c r="MRH2468" s="54"/>
      <c r="MRI2468" s="60"/>
      <c r="MRJ2468" s="60"/>
      <c r="MRK2468" s="60"/>
      <c r="MRL2468" s="60"/>
      <c r="MRM2468" s="63"/>
      <c r="MRN2468" s="61"/>
      <c r="MRO2468" s="54"/>
      <c r="MRP2468" s="54"/>
      <c r="MRQ2468" s="60"/>
      <c r="MRR2468" s="60"/>
      <c r="MRS2468" s="60"/>
      <c r="MRT2468" s="60"/>
      <c r="MRU2468" s="63"/>
      <c r="MRV2468" s="61"/>
      <c r="MRW2468" s="54"/>
      <c r="MRX2468" s="54"/>
      <c r="MRY2468" s="60"/>
      <c r="MRZ2468" s="60"/>
      <c r="MSA2468" s="60"/>
      <c r="MSB2468" s="60"/>
      <c r="MSC2468" s="63"/>
      <c r="MSD2468" s="61"/>
      <c r="MSE2468" s="54"/>
      <c r="MSF2468" s="54"/>
      <c r="MSG2468" s="60"/>
      <c r="MSH2468" s="60"/>
      <c r="MSI2468" s="60"/>
      <c r="MSJ2468" s="60"/>
      <c r="MSK2468" s="63"/>
      <c r="MSL2468" s="61"/>
      <c r="MSM2468" s="54"/>
      <c r="MSN2468" s="54"/>
      <c r="MSO2468" s="60"/>
      <c r="MSP2468" s="60"/>
      <c r="MSQ2468" s="60"/>
      <c r="MSR2468" s="60"/>
      <c r="MSS2468" s="63"/>
      <c r="MST2468" s="61"/>
      <c r="MSU2468" s="54"/>
      <c r="MSV2468" s="54"/>
      <c r="MSW2468" s="60"/>
      <c r="MSX2468" s="60"/>
      <c r="MSY2468" s="60"/>
      <c r="MSZ2468" s="60"/>
      <c r="MTA2468" s="63"/>
      <c r="MTB2468" s="61"/>
      <c r="MTC2468" s="54"/>
      <c r="MTD2468" s="54"/>
      <c r="MTE2468" s="60"/>
      <c r="MTF2468" s="60"/>
      <c r="MTG2468" s="60"/>
      <c r="MTH2468" s="60"/>
      <c r="MTI2468" s="63"/>
      <c r="MTJ2468" s="61"/>
      <c r="MTK2468" s="54"/>
      <c r="MTL2468" s="54"/>
      <c r="MTM2468" s="60"/>
      <c r="MTN2468" s="60"/>
      <c r="MTO2468" s="60"/>
      <c r="MTP2468" s="60"/>
      <c r="MTQ2468" s="63"/>
      <c r="MTR2468" s="61"/>
      <c r="MTS2468" s="54"/>
      <c r="MTT2468" s="54"/>
      <c r="MTU2468" s="60"/>
      <c r="MTV2468" s="60"/>
      <c r="MTW2468" s="60"/>
      <c r="MTX2468" s="60"/>
      <c r="MTY2468" s="63"/>
      <c r="MTZ2468" s="61"/>
      <c r="MUA2468" s="54"/>
      <c r="MUB2468" s="54"/>
      <c r="MUC2468" s="60"/>
      <c r="MUD2468" s="60"/>
      <c r="MUE2468" s="60"/>
      <c r="MUF2468" s="60"/>
      <c r="MUG2468" s="63"/>
      <c r="MUH2468" s="61"/>
      <c r="MUI2468" s="54"/>
      <c r="MUJ2468" s="54"/>
      <c r="MUK2468" s="60"/>
      <c r="MUL2468" s="60"/>
      <c r="MUM2468" s="60"/>
      <c r="MUN2468" s="60"/>
      <c r="MUO2468" s="63"/>
      <c r="MUP2468" s="61"/>
      <c r="MUQ2468" s="54"/>
      <c r="MUR2468" s="54"/>
      <c r="MUS2468" s="60"/>
      <c r="MUT2468" s="60"/>
      <c r="MUU2468" s="60"/>
      <c r="MUV2468" s="60"/>
      <c r="MUW2468" s="63"/>
      <c r="MUX2468" s="61"/>
      <c r="MUY2468" s="54"/>
      <c r="MUZ2468" s="54"/>
      <c r="MVA2468" s="60"/>
      <c r="MVB2468" s="60"/>
      <c r="MVC2468" s="60"/>
      <c r="MVD2468" s="60"/>
      <c r="MVE2468" s="63"/>
      <c r="MVF2468" s="61"/>
      <c r="MVG2468" s="54"/>
      <c r="MVH2468" s="54"/>
      <c r="MVI2468" s="60"/>
      <c r="MVJ2468" s="60"/>
      <c r="MVK2468" s="60"/>
      <c r="MVL2468" s="60"/>
      <c r="MVM2468" s="63"/>
      <c r="MVN2468" s="61"/>
      <c r="MVO2468" s="54"/>
      <c r="MVP2468" s="54"/>
      <c r="MVQ2468" s="60"/>
      <c r="MVR2468" s="60"/>
      <c r="MVS2468" s="60"/>
      <c r="MVT2468" s="60"/>
      <c r="MVU2468" s="63"/>
      <c r="MVV2468" s="61"/>
      <c r="MVW2468" s="54"/>
      <c r="MVX2468" s="54"/>
      <c r="MVY2468" s="60"/>
      <c r="MVZ2468" s="60"/>
      <c r="MWA2468" s="60"/>
      <c r="MWB2468" s="60"/>
      <c r="MWC2468" s="63"/>
      <c r="MWD2468" s="61"/>
      <c r="MWE2468" s="54"/>
      <c r="MWF2468" s="54"/>
      <c r="MWG2468" s="60"/>
      <c r="MWH2468" s="60"/>
      <c r="MWI2468" s="60"/>
      <c r="MWJ2468" s="60"/>
      <c r="MWK2468" s="63"/>
      <c r="MWL2468" s="61"/>
      <c r="MWM2468" s="54"/>
      <c r="MWN2468" s="54"/>
      <c r="MWO2468" s="60"/>
      <c r="MWP2468" s="60"/>
      <c r="MWQ2468" s="60"/>
      <c r="MWR2468" s="60"/>
      <c r="MWS2468" s="63"/>
      <c r="MWT2468" s="61"/>
      <c r="MWU2468" s="54"/>
      <c r="MWV2468" s="54"/>
      <c r="MWW2468" s="60"/>
      <c r="MWX2468" s="60"/>
      <c r="MWY2468" s="60"/>
      <c r="MWZ2468" s="60"/>
      <c r="MXA2468" s="63"/>
      <c r="MXB2468" s="61"/>
      <c r="MXC2468" s="54"/>
      <c r="MXD2468" s="54"/>
      <c r="MXE2468" s="60"/>
      <c r="MXF2468" s="60"/>
      <c r="MXG2468" s="60"/>
      <c r="MXH2468" s="60"/>
      <c r="MXI2468" s="63"/>
      <c r="MXJ2468" s="61"/>
      <c r="MXK2468" s="54"/>
      <c r="MXL2468" s="54"/>
      <c r="MXM2468" s="60"/>
      <c r="MXN2468" s="60"/>
      <c r="MXO2468" s="60"/>
      <c r="MXP2468" s="60"/>
      <c r="MXQ2468" s="63"/>
      <c r="MXR2468" s="61"/>
      <c r="MXS2468" s="54"/>
      <c r="MXT2468" s="54"/>
      <c r="MXU2468" s="60"/>
      <c r="MXV2468" s="60"/>
      <c r="MXW2468" s="60"/>
      <c r="MXX2468" s="60"/>
      <c r="MXY2468" s="63"/>
      <c r="MXZ2468" s="61"/>
      <c r="MYA2468" s="54"/>
      <c r="MYB2468" s="54"/>
      <c r="MYC2468" s="60"/>
      <c r="MYD2468" s="60"/>
      <c r="MYE2468" s="60"/>
      <c r="MYF2468" s="60"/>
      <c r="MYG2468" s="63"/>
      <c r="MYH2468" s="61"/>
      <c r="MYI2468" s="54"/>
      <c r="MYJ2468" s="54"/>
      <c r="MYK2468" s="60"/>
      <c r="MYL2468" s="60"/>
      <c r="MYM2468" s="60"/>
      <c r="MYN2468" s="60"/>
      <c r="MYO2468" s="63"/>
      <c r="MYP2468" s="61"/>
      <c r="MYQ2468" s="54"/>
      <c r="MYR2468" s="54"/>
      <c r="MYS2468" s="60"/>
      <c r="MYT2468" s="60"/>
      <c r="MYU2468" s="60"/>
      <c r="MYV2468" s="60"/>
      <c r="MYW2468" s="63"/>
      <c r="MYX2468" s="61"/>
      <c r="MYY2468" s="54"/>
      <c r="MYZ2468" s="54"/>
      <c r="MZA2468" s="60"/>
      <c r="MZB2468" s="60"/>
      <c r="MZC2468" s="60"/>
      <c r="MZD2468" s="60"/>
      <c r="MZE2468" s="63"/>
      <c r="MZF2468" s="61"/>
      <c r="MZG2468" s="54"/>
      <c r="MZH2468" s="54"/>
      <c r="MZI2468" s="60"/>
      <c r="MZJ2468" s="60"/>
      <c r="MZK2468" s="60"/>
      <c r="MZL2468" s="60"/>
      <c r="MZM2468" s="63"/>
      <c r="MZN2468" s="61"/>
      <c r="MZO2468" s="54"/>
      <c r="MZP2468" s="54"/>
      <c r="MZQ2468" s="60"/>
      <c r="MZR2468" s="60"/>
      <c r="MZS2468" s="60"/>
      <c r="MZT2468" s="60"/>
      <c r="MZU2468" s="63"/>
      <c r="MZV2468" s="61"/>
      <c r="MZW2468" s="54"/>
      <c r="MZX2468" s="54"/>
      <c r="MZY2468" s="60"/>
      <c r="MZZ2468" s="60"/>
      <c r="NAA2468" s="60"/>
      <c r="NAB2468" s="60"/>
      <c r="NAC2468" s="63"/>
      <c r="NAD2468" s="61"/>
      <c r="NAE2468" s="54"/>
      <c r="NAF2468" s="54"/>
      <c r="NAG2468" s="60"/>
      <c r="NAH2468" s="60"/>
      <c r="NAI2468" s="60"/>
      <c r="NAJ2468" s="60"/>
      <c r="NAK2468" s="63"/>
      <c r="NAL2468" s="61"/>
      <c r="NAM2468" s="54"/>
      <c r="NAN2468" s="54"/>
      <c r="NAO2468" s="60"/>
      <c r="NAP2468" s="60"/>
      <c r="NAQ2468" s="60"/>
      <c r="NAR2468" s="60"/>
      <c r="NAS2468" s="63"/>
      <c r="NAT2468" s="61"/>
      <c r="NAU2468" s="54"/>
      <c r="NAV2468" s="54"/>
      <c r="NAW2468" s="60"/>
      <c r="NAX2468" s="60"/>
      <c r="NAY2468" s="60"/>
      <c r="NAZ2468" s="60"/>
      <c r="NBA2468" s="63"/>
      <c r="NBB2468" s="61"/>
      <c r="NBC2468" s="54"/>
      <c r="NBD2468" s="54"/>
      <c r="NBE2468" s="60"/>
      <c r="NBF2468" s="60"/>
      <c r="NBG2468" s="60"/>
      <c r="NBH2468" s="60"/>
      <c r="NBI2468" s="63"/>
      <c r="NBJ2468" s="61"/>
      <c r="NBK2468" s="54"/>
      <c r="NBL2468" s="54"/>
      <c r="NBM2468" s="60"/>
      <c r="NBN2468" s="60"/>
      <c r="NBO2468" s="60"/>
      <c r="NBP2468" s="60"/>
      <c r="NBQ2468" s="63"/>
      <c r="NBR2468" s="61"/>
      <c r="NBS2468" s="54"/>
      <c r="NBT2468" s="54"/>
      <c r="NBU2468" s="60"/>
      <c r="NBV2468" s="60"/>
      <c r="NBW2468" s="60"/>
      <c r="NBX2468" s="60"/>
      <c r="NBY2468" s="63"/>
      <c r="NBZ2468" s="61"/>
      <c r="NCA2468" s="54"/>
      <c r="NCB2468" s="54"/>
      <c r="NCC2468" s="60"/>
      <c r="NCD2468" s="60"/>
      <c r="NCE2468" s="60"/>
      <c r="NCF2468" s="60"/>
      <c r="NCG2468" s="63"/>
      <c r="NCH2468" s="61"/>
      <c r="NCI2468" s="54"/>
      <c r="NCJ2468" s="54"/>
      <c r="NCK2468" s="60"/>
      <c r="NCL2468" s="60"/>
      <c r="NCM2468" s="60"/>
      <c r="NCN2468" s="60"/>
      <c r="NCO2468" s="63"/>
      <c r="NCP2468" s="61"/>
      <c r="NCQ2468" s="54"/>
      <c r="NCR2468" s="54"/>
      <c r="NCS2468" s="60"/>
      <c r="NCT2468" s="60"/>
      <c r="NCU2468" s="60"/>
      <c r="NCV2468" s="60"/>
      <c r="NCW2468" s="63"/>
      <c r="NCX2468" s="61"/>
      <c r="NCY2468" s="54"/>
      <c r="NCZ2468" s="54"/>
      <c r="NDA2468" s="60"/>
      <c r="NDB2468" s="60"/>
      <c r="NDC2468" s="60"/>
      <c r="NDD2468" s="60"/>
      <c r="NDE2468" s="63"/>
      <c r="NDF2468" s="61"/>
      <c r="NDG2468" s="54"/>
      <c r="NDH2468" s="54"/>
      <c r="NDI2468" s="60"/>
      <c r="NDJ2468" s="60"/>
      <c r="NDK2468" s="60"/>
      <c r="NDL2468" s="60"/>
      <c r="NDM2468" s="63"/>
      <c r="NDN2468" s="61"/>
      <c r="NDO2468" s="54"/>
      <c r="NDP2468" s="54"/>
      <c r="NDQ2468" s="60"/>
      <c r="NDR2468" s="60"/>
      <c r="NDS2468" s="60"/>
      <c r="NDT2468" s="60"/>
      <c r="NDU2468" s="63"/>
      <c r="NDV2468" s="61"/>
      <c r="NDW2468" s="54"/>
      <c r="NDX2468" s="54"/>
      <c r="NDY2468" s="60"/>
      <c r="NDZ2468" s="60"/>
      <c r="NEA2468" s="60"/>
      <c r="NEB2468" s="60"/>
      <c r="NEC2468" s="63"/>
      <c r="NED2468" s="61"/>
      <c r="NEE2468" s="54"/>
      <c r="NEF2468" s="54"/>
      <c r="NEG2468" s="60"/>
      <c r="NEH2468" s="60"/>
      <c r="NEI2468" s="60"/>
      <c r="NEJ2468" s="60"/>
      <c r="NEK2468" s="63"/>
      <c r="NEL2468" s="61"/>
      <c r="NEM2468" s="54"/>
      <c r="NEN2468" s="54"/>
      <c r="NEO2468" s="60"/>
      <c r="NEP2468" s="60"/>
      <c r="NEQ2468" s="60"/>
      <c r="NER2468" s="60"/>
      <c r="NES2468" s="63"/>
      <c r="NET2468" s="61"/>
      <c r="NEU2468" s="54"/>
      <c r="NEV2468" s="54"/>
      <c r="NEW2468" s="60"/>
      <c r="NEX2468" s="60"/>
      <c r="NEY2468" s="60"/>
      <c r="NEZ2468" s="60"/>
      <c r="NFA2468" s="63"/>
      <c r="NFB2468" s="61"/>
      <c r="NFC2468" s="54"/>
      <c r="NFD2468" s="54"/>
      <c r="NFE2468" s="60"/>
      <c r="NFF2468" s="60"/>
      <c r="NFG2468" s="60"/>
      <c r="NFH2468" s="60"/>
      <c r="NFI2468" s="63"/>
      <c r="NFJ2468" s="61"/>
      <c r="NFK2468" s="54"/>
      <c r="NFL2468" s="54"/>
      <c r="NFM2468" s="60"/>
      <c r="NFN2468" s="60"/>
      <c r="NFO2468" s="60"/>
      <c r="NFP2468" s="60"/>
      <c r="NFQ2468" s="63"/>
      <c r="NFR2468" s="61"/>
      <c r="NFS2468" s="54"/>
      <c r="NFT2468" s="54"/>
      <c r="NFU2468" s="60"/>
      <c r="NFV2468" s="60"/>
      <c r="NFW2468" s="60"/>
      <c r="NFX2468" s="60"/>
      <c r="NFY2468" s="63"/>
      <c r="NFZ2468" s="61"/>
      <c r="NGA2468" s="54"/>
      <c r="NGB2468" s="54"/>
      <c r="NGC2468" s="60"/>
      <c r="NGD2468" s="60"/>
      <c r="NGE2468" s="60"/>
      <c r="NGF2468" s="60"/>
      <c r="NGG2468" s="63"/>
      <c r="NGH2468" s="61"/>
      <c r="NGI2468" s="54"/>
      <c r="NGJ2468" s="54"/>
      <c r="NGK2468" s="60"/>
      <c r="NGL2468" s="60"/>
      <c r="NGM2468" s="60"/>
      <c r="NGN2468" s="60"/>
      <c r="NGO2468" s="63"/>
      <c r="NGP2468" s="61"/>
      <c r="NGQ2468" s="54"/>
      <c r="NGR2468" s="54"/>
      <c r="NGS2468" s="60"/>
      <c r="NGT2468" s="60"/>
      <c r="NGU2468" s="60"/>
      <c r="NGV2468" s="60"/>
      <c r="NGW2468" s="63"/>
      <c r="NGX2468" s="61"/>
      <c r="NGY2468" s="54"/>
      <c r="NGZ2468" s="54"/>
      <c r="NHA2468" s="60"/>
      <c r="NHB2468" s="60"/>
      <c r="NHC2468" s="60"/>
      <c r="NHD2468" s="60"/>
      <c r="NHE2468" s="63"/>
      <c r="NHF2468" s="61"/>
      <c r="NHG2468" s="54"/>
      <c r="NHH2468" s="54"/>
      <c r="NHI2468" s="60"/>
      <c r="NHJ2468" s="60"/>
      <c r="NHK2468" s="60"/>
      <c r="NHL2468" s="60"/>
      <c r="NHM2468" s="63"/>
      <c r="NHN2468" s="61"/>
      <c r="NHO2468" s="54"/>
      <c r="NHP2468" s="54"/>
      <c r="NHQ2468" s="60"/>
      <c r="NHR2468" s="60"/>
      <c r="NHS2468" s="60"/>
      <c r="NHT2468" s="60"/>
      <c r="NHU2468" s="63"/>
      <c r="NHV2468" s="61"/>
      <c r="NHW2468" s="54"/>
      <c r="NHX2468" s="54"/>
      <c r="NHY2468" s="60"/>
      <c r="NHZ2468" s="60"/>
      <c r="NIA2468" s="60"/>
      <c r="NIB2468" s="60"/>
      <c r="NIC2468" s="63"/>
      <c r="NID2468" s="61"/>
      <c r="NIE2468" s="54"/>
      <c r="NIF2468" s="54"/>
      <c r="NIG2468" s="60"/>
      <c r="NIH2468" s="60"/>
      <c r="NII2468" s="60"/>
      <c r="NIJ2468" s="60"/>
      <c r="NIK2468" s="63"/>
      <c r="NIL2468" s="61"/>
      <c r="NIM2468" s="54"/>
      <c r="NIN2468" s="54"/>
      <c r="NIO2468" s="60"/>
      <c r="NIP2468" s="60"/>
      <c r="NIQ2468" s="60"/>
      <c r="NIR2468" s="60"/>
      <c r="NIS2468" s="63"/>
      <c r="NIT2468" s="61"/>
      <c r="NIU2468" s="54"/>
      <c r="NIV2468" s="54"/>
      <c r="NIW2468" s="60"/>
      <c r="NIX2468" s="60"/>
      <c r="NIY2468" s="60"/>
      <c r="NIZ2468" s="60"/>
      <c r="NJA2468" s="63"/>
      <c r="NJB2468" s="61"/>
      <c r="NJC2468" s="54"/>
      <c r="NJD2468" s="54"/>
      <c r="NJE2468" s="60"/>
      <c r="NJF2468" s="60"/>
      <c r="NJG2468" s="60"/>
      <c r="NJH2468" s="60"/>
      <c r="NJI2468" s="63"/>
      <c r="NJJ2468" s="61"/>
      <c r="NJK2468" s="54"/>
      <c r="NJL2468" s="54"/>
      <c r="NJM2468" s="60"/>
      <c r="NJN2468" s="60"/>
      <c r="NJO2468" s="60"/>
      <c r="NJP2468" s="60"/>
      <c r="NJQ2468" s="63"/>
      <c r="NJR2468" s="61"/>
      <c r="NJS2468" s="54"/>
      <c r="NJT2468" s="54"/>
      <c r="NJU2468" s="60"/>
      <c r="NJV2468" s="60"/>
      <c r="NJW2468" s="60"/>
      <c r="NJX2468" s="60"/>
      <c r="NJY2468" s="63"/>
      <c r="NJZ2468" s="61"/>
      <c r="NKA2468" s="54"/>
      <c r="NKB2468" s="54"/>
      <c r="NKC2468" s="60"/>
      <c r="NKD2468" s="60"/>
      <c r="NKE2468" s="60"/>
      <c r="NKF2468" s="60"/>
      <c r="NKG2468" s="63"/>
      <c r="NKH2468" s="61"/>
      <c r="NKI2468" s="54"/>
      <c r="NKJ2468" s="54"/>
      <c r="NKK2468" s="60"/>
      <c r="NKL2468" s="60"/>
      <c r="NKM2468" s="60"/>
      <c r="NKN2468" s="60"/>
      <c r="NKO2468" s="63"/>
      <c r="NKP2468" s="61"/>
      <c r="NKQ2468" s="54"/>
      <c r="NKR2468" s="54"/>
      <c r="NKS2468" s="60"/>
      <c r="NKT2468" s="60"/>
      <c r="NKU2468" s="60"/>
      <c r="NKV2468" s="60"/>
      <c r="NKW2468" s="63"/>
      <c r="NKX2468" s="61"/>
      <c r="NKY2468" s="54"/>
      <c r="NKZ2468" s="54"/>
      <c r="NLA2468" s="60"/>
      <c r="NLB2468" s="60"/>
      <c r="NLC2468" s="60"/>
      <c r="NLD2468" s="60"/>
      <c r="NLE2468" s="63"/>
      <c r="NLF2468" s="61"/>
      <c r="NLG2468" s="54"/>
      <c r="NLH2468" s="54"/>
      <c r="NLI2468" s="60"/>
      <c r="NLJ2468" s="60"/>
      <c r="NLK2468" s="60"/>
      <c r="NLL2468" s="60"/>
      <c r="NLM2468" s="63"/>
      <c r="NLN2468" s="61"/>
      <c r="NLO2468" s="54"/>
      <c r="NLP2468" s="54"/>
      <c r="NLQ2468" s="60"/>
      <c r="NLR2468" s="60"/>
      <c r="NLS2468" s="60"/>
      <c r="NLT2468" s="60"/>
      <c r="NLU2468" s="63"/>
      <c r="NLV2468" s="61"/>
      <c r="NLW2468" s="54"/>
      <c r="NLX2468" s="54"/>
      <c r="NLY2468" s="60"/>
      <c r="NLZ2468" s="60"/>
      <c r="NMA2468" s="60"/>
      <c r="NMB2468" s="60"/>
      <c r="NMC2468" s="63"/>
      <c r="NMD2468" s="61"/>
      <c r="NME2468" s="54"/>
      <c r="NMF2468" s="54"/>
      <c r="NMG2468" s="60"/>
      <c r="NMH2468" s="60"/>
      <c r="NMI2468" s="60"/>
      <c r="NMJ2468" s="60"/>
      <c r="NMK2468" s="63"/>
      <c r="NML2468" s="61"/>
      <c r="NMM2468" s="54"/>
      <c r="NMN2468" s="54"/>
      <c r="NMO2468" s="60"/>
      <c r="NMP2468" s="60"/>
      <c r="NMQ2468" s="60"/>
      <c r="NMR2468" s="60"/>
      <c r="NMS2468" s="63"/>
      <c r="NMT2468" s="61"/>
      <c r="NMU2468" s="54"/>
      <c r="NMV2468" s="54"/>
      <c r="NMW2468" s="60"/>
      <c r="NMX2468" s="60"/>
      <c r="NMY2468" s="60"/>
      <c r="NMZ2468" s="60"/>
      <c r="NNA2468" s="63"/>
      <c r="NNB2468" s="61"/>
      <c r="NNC2468" s="54"/>
      <c r="NND2468" s="54"/>
      <c r="NNE2468" s="60"/>
      <c r="NNF2468" s="60"/>
      <c r="NNG2468" s="60"/>
      <c r="NNH2468" s="60"/>
      <c r="NNI2468" s="63"/>
      <c r="NNJ2468" s="61"/>
      <c r="NNK2468" s="54"/>
      <c r="NNL2468" s="54"/>
      <c r="NNM2468" s="60"/>
      <c r="NNN2468" s="60"/>
      <c r="NNO2468" s="60"/>
      <c r="NNP2468" s="60"/>
      <c r="NNQ2468" s="63"/>
      <c r="NNR2468" s="61"/>
      <c r="NNS2468" s="54"/>
      <c r="NNT2468" s="54"/>
      <c r="NNU2468" s="60"/>
      <c r="NNV2468" s="60"/>
      <c r="NNW2468" s="60"/>
      <c r="NNX2468" s="60"/>
      <c r="NNY2468" s="63"/>
      <c r="NNZ2468" s="61"/>
      <c r="NOA2468" s="54"/>
      <c r="NOB2468" s="54"/>
      <c r="NOC2468" s="60"/>
      <c r="NOD2468" s="60"/>
      <c r="NOE2468" s="60"/>
      <c r="NOF2468" s="60"/>
      <c r="NOG2468" s="63"/>
      <c r="NOH2468" s="61"/>
      <c r="NOI2468" s="54"/>
      <c r="NOJ2468" s="54"/>
      <c r="NOK2468" s="60"/>
      <c r="NOL2468" s="60"/>
      <c r="NOM2468" s="60"/>
      <c r="NON2468" s="60"/>
      <c r="NOO2468" s="63"/>
      <c r="NOP2468" s="61"/>
      <c r="NOQ2468" s="54"/>
      <c r="NOR2468" s="54"/>
      <c r="NOS2468" s="60"/>
      <c r="NOT2468" s="60"/>
      <c r="NOU2468" s="60"/>
      <c r="NOV2468" s="60"/>
      <c r="NOW2468" s="63"/>
      <c r="NOX2468" s="61"/>
      <c r="NOY2468" s="54"/>
      <c r="NOZ2468" s="54"/>
      <c r="NPA2468" s="60"/>
      <c r="NPB2468" s="60"/>
      <c r="NPC2468" s="60"/>
      <c r="NPD2468" s="60"/>
      <c r="NPE2468" s="63"/>
      <c r="NPF2468" s="61"/>
      <c r="NPG2468" s="54"/>
      <c r="NPH2468" s="54"/>
      <c r="NPI2468" s="60"/>
      <c r="NPJ2468" s="60"/>
      <c r="NPK2468" s="60"/>
      <c r="NPL2468" s="60"/>
      <c r="NPM2468" s="63"/>
      <c r="NPN2468" s="61"/>
      <c r="NPO2468" s="54"/>
      <c r="NPP2468" s="54"/>
      <c r="NPQ2468" s="60"/>
      <c r="NPR2468" s="60"/>
      <c r="NPS2468" s="60"/>
      <c r="NPT2468" s="60"/>
      <c r="NPU2468" s="63"/>
      <c r="NPV2468" s="61"/>
      <c r="NPW2468" s="54"/>
      <c r="NPX2468" s="54"/>
      <c r="NPY2468" s="60"/>
      <c r="NPZ2468" s="60"/>
      <c r="NQA2468" s="60"/>
      <c r="NQB2468" s="60"/>
      <c r="NQC2468" s="63"/>
      <c r="NQD2468" s="61"/>
      <c r="NQE2468" s="54"/>
      <c r="NQF2468" s="54"/>
      <c r="NQG2468" s="60"/>
      <c r="NQH2468" s="60"/>
      <c r="NQI2468" s="60"/>
      <c r="NQJ2468" s="60"/>
      <c r="NQK2468" s="63"/>
      <c r="NQL2468" s="61"/>
      <c r="NQM2468" s="54"/>
      <c r="NQN2468" s="54"/>
      <c r="NQO2468" s="60"/>
      <c r="NQP2468" s="60"/>
      <c r="NQQ2468" s="60"/>
      <c r="NQR2468" s="60"/>
      <c r="NQS2468" s="63"/>
      <c r="NQT2468" s="61"/>
      <c r="NQU2468" s="54"/>
      <c r="NQV2468" s="54"/>
      <c r="NQW2468" s="60"/>
      <c r="NQX2468" s="60"/>
      <c r="NQY2468" s="60"/>
      <c r="NQZ2468" s="60"/>
      <c r="NRA2468" s="63"/>
      <c r="NRB2468" s="61"/>
      <c r="NRC2468" s="54"/>
      <c r="NRD2468" s="54"/>
      <c r="NRE2468" s="60"/>
      <c r="NRF2468" s="60"/>
      <c r="NRG2468" s="60"/>
      <c r="NRH2468" s="60"/>
      <c r="NRI2468" s="63"/>
      <c r="NRJ2468" s="61"/>
      <c r="NRK2468" s="54"/>
      <c r="NRL2468" s="54"/>
      <c r="NRM2468" s="60"/>
      <c r="NRN2468" s="60"/>
      <c r="NRO2468" s="60"/>
      <c r="NRP2468" s="60"/>
      <c r="NRQ2468" s="63"/>
      <c r="NRR2468" s="61"/>
      <c r="NRS2468" s="54"/>
      <c r="NRT2468" s="54"/>
      <c r="NRU2468" s="60"/>
      <c r="NRV2468" s="60"/>
      <c r="NRW2468" s="60"/>
      <c r="NRX2468" s="60"/>
      <c r="NRY2468" s="63"/>
      <c r="NRZ2468" s="61"/>
      <c r="NSA2468" s="54"/>
      <c r="NSB2468" s="54"/>
      <c r="NSC2468" s="60"/>
      <c r="NSD2468" s="60"/>
      <c r="NSE2468" s="60"/>
      <c r="NSF2468" s="60"/>
      <c r="NSG2468" s="63"/>
      <c r="NSH2468" s="61"/>
      <c r="NSI2468" s="54"/>
      <c r="NSJ2468" s="54"/>
      <c r="NSK2468" s="60"/>
      <c r="NSL2468" s="60"/>
      <c r="NSM2468" s="60"/>
      <c r="NSN2468" s="60"/>
      <c r="NSO2468" s="63"/>
      <c r="NSP2468" s="61"/>
      <c r="NSQ2468" s="54"/>
      <c r="NSR2468" s="54"/>
      <c r="NSS2468" s="60"/>
      <c r="NST2468" s="60"/>
      <c r="NSU2468" s="60"/>
      <c r="NSV2468" s="60"/>
      <c r="NSW2468" s="63"/>
      <c r="NSX2468" s="61"/>
      <c r="NSY2468" s="54"/>
      <c r="NSZ2468" s="54"/>
      <c r="NTA2468" s="60"/>
      <c r="NTB2468" s="60"/>
      <c r="NTC2468" s="60"/>
      <c r="NTD2468" s="60"/>
      <c r="NTE2468" s="63"/>
      <c r="NTF2468" s="61"/>
      <c r="NTG2468" s="54"/>
      <c r="NTH2468" s="54"/>
      <c r="NTI2468" s="60"/>
      <c r="NTJ2468" s="60"/>
      <c r="NTK2468" s="60"/>
      <c r="NTL2468" s="60"/>
      <c r="NTM2468" s="63"/>
      <c r="NTN2468" s="61"/>
      <c r="NTO2468" s="54"/>
      <c r="NTP2468" s="54"/>
      <c r="NTQ2468" s="60"/>
      <c r="NTR2468" s="60"/>
      <c r="NTS2468" s="60"/>
      <c r="NTT2468" s="60"/>
      <c r="NTU2468" s="63"/>
      <c r="NTV2468" s="61"/>
      <c r="NTW2468" s="54"/>
      <c r="NTX2468" s="54"/>
      <c r="NTY2468" s="60"/>
      <c r="NTZ2468" s="60"/>
      <c r="NUA2468" s="60"/>
      <c r="NUB2468" s="60"/>
      <c r="NUC2468" s="63"/>
      <c r="NUD2468" s="61"/>
      <c r="NUE2468" s="54"/>
      <c r="NUF2468" s="54"/>
      <c r="NUG2468" s="60"/>
      <c r="NUH2468" s="60"/>
      <c r="NUI2468" s="60"/>
      <c r="NUJ2468" s="60"/>
      <c r="NUK2468" s="63"/>
      <c r="NUL2468" s="61"/>
      <c r="NUM2468" s="54"/>
      <c r="NUN2468" s="54"/>
      <c r="NUO2468" s="60"/>
      <c r="NUP2468" s="60"/>
      <c r="NUQ2468" s="60"/>
      <c r="NUR2468" s="60"/>
      <c r="NUS2468" s="63"/>
      <c r="NUT2468" s="61"/>
      <c r="NUU2468" s="54"/>
      <c r="NUV2468" s="54"/>
      <c r="NUW2468" s="60"/>
      <c r="NUX2468" s="60"/>
      <c r="NUY2468" s="60"/>
      <c r="NUZ2468" s="60"/>
      <c r="NVA2468" s="63"/>
      <c r="NVB2468" s="61"/>
      <c r="NVC2468" s="54"/>
      <c r="NVD2468" s="54"/>
      <c r="NVE2468" s="60"/>
      <c r="NVF2468" s="60"/>
      <c r="NVG2468" s="60"/>
      <c r="NVH2468" s="60"/>
      <c r="NVI2468" s="63"/>
      <c r="NVJ2468" s="61"/>
      <c r="NVK2468" s="54"/>
      <c r="NVL2468" s="54"/>
      <c r="NVM2468" s="60"/>
      <c r="NVN2468" s="60"/>
      <c r="NVO2468" s="60"/>
      <c r="NVP2468" s="60"/>
      <c r="NVQ2468" s="63"/>
      <c r="NVR2468" s="61"/>
      <c r="NVS2468" s="54"/>
      <c r="NVT2468" s="54"/>
      <c r="NVU2468" s="60"/>
      <c r="NVV2468" s="60"/>
      <c r="NVW2468" s="60"/>
      <c r="NVX2468" s="60"/>
      <c r="NVY2468" s="63"/>
      <c r="NVZ2468" s="61"/>
      <c r="NWA2468" s="54"/>
      <c r="NWB2468" s="54"/>
      <c r="NWC2468" s="60"/>
      <c r="NWD2468" s="60"/>
      <c r="NWE2468" s="60"/>
      <c r="NWF2468" s="60"/>
      <c r="NWG2468" s="63"/>
      <c r="NWH2468" s="61"/>
      <c r="NWI2468" s="54"/>
      <c r="NWJ2468" s="54"/>
      <c r="NWK2468" s="60"/>
      <c r="NWL2468" s="60"/>
      <c r="NWM2468" s="60"/>
      <c r="NWN2468" s="60"/>
      <c r="NWO2468" s="63"/>
      <c r="NWP2468" s="61"/>
      <c r="NWQ2468" s="54"/>
      <c r="NWR2468" s="54"/>
      <c r="NWS2468" s="60"/>
      <c r="NWT2468" s="60"/>
      <c r="NWU2468" s="60"/>
      <c r="NWV2468" s="60"/>
      <c r="NWW2468" s="63"/>
      <c r="NWX2468" s="61"/>
      <c r="NWY2468" s="54"/>
      <c r="NWZ2468" s="54"/>
      <c r="NXA2468" s="60"/>
      <c r="NXB2468" s="60"/>
      <c r="NXC2468" s="60"/>
      <c r="NXD2468" s="60"/>
      <c r="NXE2468" s="63"/>
      <c r="NXF2468" s="61"/>
      <c r="NXG2468" s="54"/>
      <c r="NXH2468" s="54"/>
      <c r="NXI2468" s="60"/>
      <c r="NXJ2468" s="60"/>
      <c r="NXK2468" s="60"/>
      <c r="NXL2468" s="60"/>
      <c r="NXM2468" s="63"/>
      <c r="NXN2468" s="61"/>
      <c r="NXO2468" s="54"/>
      <c r="NXP2468" s="54"/>
      <c r="NXQ2468" s="60"/>
      <c r="NXR2468" s="60"/>
      <c r="NXS2468" s="60"/>
      <c r="NXT2468" s="60"/>
      <c r="NXU2468" s="63"/>
      <c r="NXV2468" s="61"/>
      <c r="NXW2468" s="54"/>
      <c r="NXX2468" s="54"/>
      <c r="NXY2468" s="60"/>
      <c r="NXZ2468" s="60"/>
      <c r="NYA2468" s="60"/>
      <c r="NYB2468" s="60"/>
      <c r="NYC2468" s="63"/>
      <c r="NYD2468" s="61"/>
      <c r="NYE2468" s="54"/>
      <c r="NYF2468" s="54"/>
      <c r="NYG2468" s="60"/>
      <c r="NYH2468" s="60"/>
      <c r="NYI2468" s="60"/>
      <c r="NYJ2468" s="60"/>
      <c r="NYK2468" s="63"/>
      <c r="NYL2468" s="61"/>
      <c r="NYM2468" s="54"/>
      <c r="NYN2468" s="54"/>
      <c r="NYO2468" s="60"/>
      <c r="NYP2468" s="60"/>
      <c r="NYQ2468" s="60"/>
      <c r="NYR2468" s="60"/>
      <c r="NYS2468" s="63"/>
      <c r="NYT2468" s="61"/>
      <c r="NYU2468" s="54"/>
      <c r="NYV2468" s="54"/>
      <c r="NYW2468" s="60"/>
      <c r="NYX2468" s="60"/>
      <c r="NYY2468" s="60"/>
      <c r="NYZ2468" s="60"/>
      <c r="NZA2468" s="63"/>
      <c r="NZB2468" s="61"/>
      <c r="NZC2468" s="54"/>
      <c r="NZD2468" s="54"/>
      <c r="NZE2468" s="60"/>
      <c r="NZF2468" s="60"/>
      <c r="NZG2468" s="60"/>
      <c r="NZH2468" s="60"/>
      <c r="NZI2468" s="63"/>
      <c r="NZJ2468" s="61"/>
      <c r="NZK2468" s="54"/>
      <c r="NZL2468" s="54"/>
      <c r="NZM2468" s="60"/>
      <c r="NZN2468" s="60"/>
      <c r="NZO2468" s="60"/>
      <c r="NZP2468" s="60"/>
      <c r="NZQ2468" s="63"/>
      <c r="NZR2468" s="61"/>
      <c r="NZS2468" s="54"/>
      <c r="NZT2468" s="54"/>
      <c r="NZU2468" s="60"/>
      <c r="NZV2468" s="60"/>
      <c r="NZW2468" s="60"/>
      <c r="NZX2468" s="60"/>
      <c r="NZY2468" s="63"/>
      <c r="NZZ2468" s="61"/>
      <c r="OAA2468" s="54"/>
      <c r="OAB2468" s="54"/>
      <c r="OAC2468" s="60"/>
      <c r="OAD2468" s="60"/>
      <c r="OAE2468" s="60"/>
      <c r="OAF2468" s="60"/>
      <c r="OAG2468" s="63"/>
      <c r="OAH2468" s="61"/>
      <c r="OAI2468" s="54"/>
      <c r="OAJ2468" s="54"/>
      <c r="OAK2468" s="60"/>
      <c r="OAL2468" s="60"/>
      <c r="OAM2468" s="60"/>
      <c r="OAN2468" s="60"/>
      <c r="OAO2468" s="63"/>
      <c r="OAP2468" s="61"/>
      <c r="OAQ2468" s="54"/>
      <c r="OAR2468" s="54"/>
      <c r="OAS2468" s="60"/>
      <c r="OAT2468" s="60"/>
      <c r="OAU2468" s="60"/>
      <c r="OAV2468" s="60"/>
      <c r="OAW2468" s="63"/>
      <c r="OAX2468" s="61"/>
      <c r="OAY2468" s="54"/>
      <c r="OAZ2468" s="54"/>
      <c r="OBA2468" s="60"/>
      <c r="OBB2468" s="60"/>
      <c r="OBC2468" s="60"/>
      <c r="OBD2468" s="60"/>
      <c r="OBE2468" s="63"/>
      <c r="OBF2468" s="61"/>
      <c r="OBG2468" s="54"/>
      <c r="OBH2468" s="54"/>
      <c r="OBI2468" s="60"/>
      <c r="OBJ2468" s="60"/>
      <c r="OBK2468" s="60"/>
      <c r="OBL2468" s="60"/>
      <c r="OBM2468" s="63"/>
      <c r="OBN2468" s="61"/>
      <c r="OBO2468" s="54"/>
      <c r="OBP2468" s="54"/>
      <c r="OBQ2468" s="60"/>
      <c r="OBR2468" s="60"/>
      <c r="OBS2468" s="60"/>
      <c r="OBT2468" s="60"/>
      <c r="OBU2468" s="63"/>
      <c r="OBV2468" s="61"/>
      <c r="OBW2468" s="54"/>
      <c r="OBX2468" s="54"/>
      <c r="OBY2468" s="60"/>
      <c r="OBZ2468" s="60"/>
      <c r="OCA2468" s="60"/>
      <c r="OCB2468" s="60"/>
      <c r="OCC2468" s="63"/>
      <c r="OCD2468" s="61"/>
      <c r="OCE2468" s="54"/>
      <c r="OCF2468" s="54"/>
      <c r="OCG2468" s="60"/>
      <c r="OCH2468" s="60"/>
      <c r="OCI2468" s="60"/>
      <c r="OCJ2468" s="60"/>
      <c r="OCK2468" s="63"/>
      <c r="OCL2468" s="61"/>
      <c r="OCM2468" s="54"/>
      <c r="OCN2468" s="54"/>
      <c r="OCO2468" s="60"/>
      <c r="OCP2468" s="60"/>
      <c r="OCQ2468" s="60"/>
      <c r="OCR2468" s="60"/>
      <c r="OCS2468" s="63"/>
      <c r="OCT2468" s="61"/>
      <c r="OCU2468" s="54"/>
      <c r="OCV2468" s="54"/>
      <c r="OCW2468" s="60"/>
      <c r="OCX2468" s="60"/>
      <c r="OCY2468" s="60"/>
      <c r="OCZ2468" s="60"/>
      <c r="ODA2468" s="63"/>
      <c r="ODB2468" s="61"/>
      <c r="ODC2468" s="54"/>
      <c r="ODD2468" s="54"/>
      <c r="ODE2468" s="60"/>
      <c r="ODF2468" s="60"/>
      <c r="ODG2468" s="60"/>
      <c r="ODH2468" s="60"/>
      <c r="ODI2468" s="63"/>
      <c r="ODJ2468" s="61"/>
      <c r="ODK2468" s="54"/>
      <c r="ODL2468" s="54"/>
      <c r="ODM2468" s="60"/>
      <c r="ODN2468" s="60"/>
      <c r="ODO2468" s="60"/>
      <c r="ODP2468" s="60"/>
      <c r="ODQ2468" s="63"/>
      <c r="ODR2468" s="61"/>
      <c r="ODS2468" s="54"/>
      <c r="ODT2468" s="54"/>
      <c r="ODU2468" s="60"/>
      <c r="ODV2468" s="60"/>
      <c r="ODW2468" s="60"/>
      <c r="ODX2468" s="60"/>
      <c r="ODY2468" s="63"/>
      <c r="ODZ2468" s="61"/>
      <c r="OEA2468" s="54"/>
      <c r="OEB2468" s="54"/>
      <c r="OEC2468" s="60"/>
      <c r="OED2468" s="60"/>
      <c r="OEE2468" s="60"/>
      <c r="OEF2468" s="60"/>
      <c r="OEG2468" s="63"/>
      <c r="OEH2468" s="61"/>
      <c r="OEI2468" s="54"/>
      <c r="OEJ2468" s="54"/>
      <c r="OEK2468" s="60"/>
      <c r="OEL2468" s="60"/>
      <c r="OEM2468" s="60"/>
      <c r="OEN2468" s="60"/>
      <c r="OEO2468" s="63"/>
      <c r="OEP2468" s="61"/>
      <c r="OEQ2468" s="54"/>
      <c r="OER2468" s="54"/>
      <c r="OES2468" s="60"/>
      <c r="OET2468" s="60"/>
      <c r="OEU2468" s="60"/>
      <c r="OEV2468" s="60"/>
      <c r="OEW2468" s="63"/>
      <c r="OEX2468" s="61"/>
      <c r="OEY2468" s="54"/>
      <c r="OEZ2468" s="54"/>
      <c r="OFA2468" s="60"/>
      <c r="OFB2468" s="60"/>
      <c r="OFC2468" s="60"/>
      <c r="OFD2468" s="60"/>
      <c r="OFE2468" s="63"/>
      <c r="OFF2468" s="61"/>
      <c r="OFG2468" s="54"/>
      <c r="OFH2468" s="54"/>
      <c r="OFI2468" s="60"/>
      <c r="OFJ2468" s="60"/>
      <c r="OFK2468" s="60"/>
      <c r="OFL2468" s="60"/>
      <c r="OFM2468" s="63"/>
      <c r="OFN2468" s="61"/>
      <c r="OFO2468" s="54"/>
      <c r="OFP2468" s="54"/>
      <c r="OFQ2468" s="60"/>
      <c r="OFR2468" s="60"/>
      <c r="OFS2468" s="60"/>
      <c r="OFT2468" s="60"/>
      <c r="OFU2468" s="63"/>
      <c r="OFV2468" s="61"/>
      <c r="OFW2468" s="54"/>
      <c r="OFX2468" s="54"/>
      <c r="OFY2468" s="60"/>
      <c r="OFZ2468" s="60"/>
      <c r="OGA2468" s="60"/>
      <c r="OGB2468" s="60"/>
      <c r="OGC2468" s="63"/>
      <c r="OGD2468" s="61"/>
      <c r="OGE2468" s="54"/>
      <c r="OGF2468" s="54"/>
      <c r="OGG2468" s="60"/>
      <c r="OGH2468" s="60"/>
      <c r="OGI2468" s="60"/>
      <c r="OGJ2468" s="60"/>
      <c r="OGK2468" s="63"/>
      <c r="OGL2468" s="61"/>
      <c r="OGM2468" s="54"/>
      <c r="OGN2468" s="54"/>
      <c r="OGO2468" s="60"/>
      <c r="OGP2468" s="60"/>
      <c r="OGQ2468" s="60"/>
      <c r="OGR2468" s="60"/>
      <c r="OGS2468" s="63"/>
      <c r="OGT2468" s="61"/>
      <c r="OGU2468" s="54"/>
      <c r="OGV2468" s="54"/>
      <c r="OGW2468" s="60"/>
      <c r="OGX2468" s="60"/>
      <c r="OGY2468" s="60"/>
      <c r="OGZ2468" s="60"/>
      <c r="OHA2468" s="63"/>
      <c r="OHB2468" s="61"/>
      <c r="OHC2468" s="54"/>
      <c r="OHD2468" s="54"/>
      <c r="OHE2468" s="60"/>
      <c r="OHF2468" s="60"/>
      <c r="OHG2468" s="60"/>
      <c r="OHH2468" s="60"/>
      <c r="OHI2468" s="63"/>
      <c r="OHJ2468" s="61"/>
      <c r="OHK2468" s="54"/>
      <c r="OHL2468" s="54"/>
      <c r="OHM2468" s="60"/>
      <c r="OHN2468" s="60"/>
      <c r="OHO2468" s="60"/>
      <c r="OHP2468" s="60"/>
      <c r="OHQ2468" s="63"/>
      <c r="OHR2468" s="61"/>
      <c r="OHS2468" s="54"/>
      <c r="OHT2468" s="54"/>
      <c r="OHU2468" s="60"/>
      <c r="OHV2468" s="60"/>
      <c r="OHW2468" s="60"/>
      <c r="OHX2468" s="60"/>
      <c r="OHY2468" s="63"/>
      <c r="OHZ2468" s="61"/>
      <c r="OIA2468" s="54"/>
      <c r="OIB2468" s="54"/>
      <c r="OIC2468" s="60"/>
      <c r="OID2468" s="60"/>
      <c r="OIE2468" s="60"/>
      <c r="OIF2468" s="60"/>
      <c r="OIG2468" s="63"/>
      <c r="OIH2468" s="61"/>
      <c r="OII2468" s="54"/>
      <c r="OIJ2468" s="54"/>
      <c r="OIK2468" s="60"/>
      <c r="OIL2468" s="60"/>
      <c r="OIM2468" s="60"/>
      <c r="OIN2468" s="60"/>
      <c r="OIO2468" s="63"/>
      <c r="OIP2468" s="61"/>
      <c r="OIQ2468" s="54"/>
      <c r="OIR2468" s="54"/>
      <c r="OIS2468" s="60"/>
      <c r="OIT2468" s="60"/>
      <c r="OIU2468" s="60"/>
      <c r="OIV2468" s="60"/>
      <c r="OIW2468" s="63"/>
      <c r="OIX2468" s="61"/>
      <c r="OIY2468" s="54"/>
      <c r="OIZ2468" s="54"/>
      <c r="OJA2468" s="60"/>
      <c r="OJB2468" s="60"/>
      <c r="OJC2468" s="60"/>
      <c r="OJD2468" s="60"/>
      <c r="OJE2468" s="63"/>
      <c r="OJF2468" s="61"/>
      <c r="OJG2468" s="54"/>
      <c r="OJH2468" s="54"/>
      <c r="OJI2468" s="60"/>
      <c r="OJJ2468" s="60"/>
      <c r="OJK2468" s="60"/>
      <c r="OJL2468" s="60"/>
      <c r="OJM2468" s="63"/>
      <c r="OJN2468" s="61"/>
      <c r="OJO2468" s="54"/>
      <c r="OJP2468" s="54"/>
      <c r="OJQ2468" s="60"/>
      <c r="OJR2468" s="60"/>
      <c r="OJS2468" s="60"/>
      <c r="OJT2468" s="60"/>
      <c r="OJU2468" s="63"/>
      <c r="OJV2468" s="61"/>
      <c r="OJW2468" s="54"/>
      <c r="OJX2468" s="54"/>
      <c r="OJY2468" s="60"/>
      <c r="OJZ2468" s="60"/>
      <c r="OKA2468" s="60"/>
      <c r="OKB2468" s="60"/>
      <c r="OKC2468" s="63"/>
      <c r="OKD2468" s="61"/>
      <c r="OKE2468" s="54"/>
      <c r="OKF2468" s="54"/>
      <c r="OKG2468" s="60"/>
      <c r="OKH2468" s="60"/>
      <c r="OKI2468" s="60"/>
      <c r="OKJ2468" s="60"/>
      <c r="OKK2468" s="63"/>
      <c r="OKL2468" s="61"/>
      <c r="OKM2468" s="54"/>
      <c r="OKN2468" s="54"/>
      <c r="OKO2468" s="60"/>
      <c r="OKP2468" s="60"/>
      <c r="OKQ2468" s="60"/>
      <c r="OKR2468" s="60"/>
      <c r="OKS2468" s="63"/>
      <c r="OKT2468" s="61"/>
      <c r="OKU2468" s="54"/>
      <c r="OKV2468" s="54"/>
      <c r="OKW2468" s="60"/>
      <c r="OKX2468" s="60"/>
      <c r="OKY2468" s="60"/>
      <c r="OKZ2468" s="60"/>
      <c r="OLA2468" s="63"/>
      <c r="OLB2468" s="61"/>
      <c r="OLC2468" s="54"/>
      <c r="OLD2468" s="54"/>
      <c r="OLE2468" s="60"/>
      <c r="OLF2468" s="60"/>
      <c r="OLG2468" s="60"/>
      <c r="OLH2468" s="60"/>
      <c r="OLI2468" s="63"/>
      <c r="OLJ2468" s="61"/>
      <c r="OLK2468" s="54"/>
      <c r="OLL2468" s="54"/>
      <c r="OLM2468" s="60"/>
      <c r="OLN2468" s="60"/>
      <c r="OLO2468" s="60"/>
      <c r="OLP2468" s="60"/>
      <c r="OLQ2468" s="63"/>
      <c r="OLR2468" s="61"/>
      <c r="OLS2468" s="54"/>
      <c r="OLT2468" s="54"/>
      <c r="OLU2468" s="60"/>
      <c r="OLV2468" s="60"/>
      <c r="OLW2468" s="60"/>
      <c r="OLX2468" s="60"/>
      <c r="OLY2468" s="63"/>
      <c r="OLZ2468" s="61"/>
      <c r="OMA2468" s="54"/>
      <c r="OMB2468" s="54"/>
      <c r="OMC2468" s="60"/>
      <c r="OMD2468" s="60"/>
      <c r="OME2468" s="60"/>
      <c r="OMF2468" s="60"/>
      <c r="OMG2468" s="63"/>
      <c r="OMH2468" s="61"/>
      <c r="OMI2468" s="54"/>
      <c r="OMJ2468" s="54"/>
      <c r="OMK2468" s="60"/>
      <c r="OML2468" s="60"/>
      <c r="OMM2468" s="60"/>
      <c r="OMN2468" s="60"/>
      <c r="OMO2468" s="63"/>
      <c r="OMP2468" s="61"/>
      <c r="OMQ2468" s="54"/>
      <c r="OMR2468" s="54"/>
      <c r="OMS2468" s="60"/>
      <c r="OMT2468" s="60"/>
      <c r="OMU2468" s="60"/>
      <c r="OMV2468" s="60"/>
      <c r="OMW2468" s="63"/>
      <c r="OMX2468" s="61"/>
      <c r="OMY2468" s="54"/>
      <c r="OMZ2468" s="54"/>
      <c r="ONA2468" s="60"/>
      <c r="ONB2468" s="60"/>
      <c r="ONC2468" s="60"/>
      <c r="OND2468" s="60"/>
      <c r="ONE2468" s="63"/>
      <c r="ONF2468" s="61"/>
      <c r="ONG2468" s="54"/>
      <c r="ONH2468" s="54"/>
      <c r="ONI2468" s="60"/>
      <c r="ONJ2468" s="60"/>
      <c r="ONK2468" s="60"/>
      <c r="ONL2468" s="60"/>
      <c r="ONM2468" s="63"/>
      <c r="ONN2468" s="61"/>
      <c r="ONO2468" s="54"/>
      <c r="ONP2468" s="54"/>
      <c r="ONQ2468" s="60"/>
      <c r="ONR2468" s="60"/>
      <c r="ONS2468" s="60"/>
      <c r="ONT2468" s="60"/>
      <c r="ONU2468" s="63"/>
      <c r="ONV2468" s="61"/>
      <c r="ONW2468" s="54"/>
      <c r="ONX2468" s="54"/>
      <c r="ONY2468" s="60"/>
      <c r="ONZ2468" s="60"/>
      <c r="OOA2468" s="60"/>
      <c r="OOB2468" s="60"/>
      <c r="OOC2468" s="63"/>
      <c r="OOD2468" s="61"/>
      <c r="OOE2468" s="54"/>
      <c r="OOF2468" s="54"/>
      <c r="OOG2468" s="60"/>
      <c r="OOH2468" s="60"/>
      <c r="OOI2468" s="60"/>
      <c r="OOJ2468" s="60"/>
      <c r="OOK2468" s="63"/>
      <c r="OOL2468" s="61"/>
      <c r="OOM2468" s="54"/>
      <c r="OON2468" s="54"/>
      <c r="OOO2468" s="60"/>
      <c r="OOP2468" s="60"/>
      <c r="OOQ2468" s="60"/>
      <c r="OOR2468" s="60"/>
      <c r="OOS2468" s="63"/>
      <c r="OOT2468" s="61"/>
      <c r="OOU2468" s="54"/>
      <c r="OOV2468" s="54"/>
      <c r="OOW2468" s="60"/>
      <c r="OOX2468" s="60"/>
      <c r="OOY2468" s="60"/>
      <c r="OOZ2468" s="60"/>
      <c r="OPA2468" s="63"/>
      <c r="OPB2468" s="61"/>
      <c r="OPC2468" s="54"/>
      <c r="OPD2468" s="54"/>
      <c r="OPE2468" s="60"/>
      <c r="OPF2468" s="60"/>
      <c r="OPG2468" s="60"/>
      <c r="OPH2468" s="60"/>
      <c r="OPI2468" s="63"/>
      <c r="OPJ2468" s="61"/>
      <c r="OPK2468" s="54"/>
      <c r="OPL2468" s="54"/>
      <c r="OPM2468" s="60"/>
      <c r="OPN2468" s="60"/>
      <c r="OPO2468" s="60"/>
      <c r="OPP2468" s="60"/>
      <c r="OPQ2468" s="63"/>
      <c r="OPR2468" s="61"/>
      <c r="OPS2468" s="54"/>
      <c r="OPT2468" s="54"/>
      <c r="OPU2468" s="60"/>
      <c r="OPV2468" s="60"/>
      <c r="OPW2468" s="60"/>
      <c r="OPX2468" s="60"/>
      <c r="OPY2468" s="63"/>
      <c r="OPZ2468" s="61"/>
      <c r="OQA2468" s="54"/>
      <c r="OQB2468" s="54"/>
      <c r="OQC2468" s="60"/>
      <c r="OQD2468" s="60"/>
      <c r="OQE2468" s="60"/>
      <c r="OQF2468" s="60"/>
      <c r="OQG2468" s="63"/>
      <c r="OQH2468" s="61"/>
      <c r="OQI2468" s="54"/>
      <c r="OQJ2468" s="54"/>
      <c r="OQK2468" s="60"/>
      <c r="OQL2468" s="60"/>
      <c r="OQM2468" s="60"/>
      <c r="OQN2468" s="60"/>
      <c r="OQO2468" s="63"/>
      <c r="OQP2468" s="61"/>
      <c r="OQQ2468" s="54"/>
      <c r="OQR2468" s="54"/>
      <c r="OQS2468" s="60"/>
      <c r="OQT2468" s="60"/>
      <c r="OQU2468" s="60"/>
      <c r="OQV2468" s="60"/>
      <c r="OQW2468" s="63"/>
      <c r="OQX2468" s="61"/>
      <c r="OQY2468" s="54"/>
      <c r="OQZ2468" s="54"/>
      <c r="ORA2468" s="60"/>
      <c r="ORB2468" s="60"/>
      <c r="ORC2468" s="60"/>
      <c r="ORD2468" s="60"/>
      <c r="ORE2468" s="63"/>
      <c r="ORF2468" s="61"/>
      <c r="ORG2468" s="54"/>
      <c r="ORH2468" s="54"/>
      <c r="ORI2468" s="60"/>
      <c r="ORJ2468" s="60"/>
      <c r="ORK2468" s="60"/>
      <c r="ORL2468" s="60"/>
      <c r="ORM2468" s="63"/>
      <c r="ORN2468" s="61"/>
      <c r="ORO2468" s="54"/>
      <c r="ORP2468" s="54"/>
      <c r="ORQ2468" s="60"/>
      <c r="ORR2468" s="60"/>
      <c r="ORS2468" s="60"/>
      <c r="ORT2468" s="60"/>
      <c r="ORU2468" s="63"/>
      <c r="ORV2468" s="61"/>
      <c r="ORW2468" s="54"/>
      <c r="ORX2468" s="54"/>
      <c r="ORY2468" s="60"/>
      <c r="ORZ2468" s="60"/>
      <c r="OSA2468" s="60"/>
      <c r="OSB2468" s="60"/>
      <c r="OSC2468" s="63"/>
      <c r="OSD2468" s="61"/>
      <c r="OSE2468" s="54"/>
      <c r="OSF2468" s="54"/>
      <c r="OSG2468" s="60"/>
      <c r="OSH2468" s="60"/>
      <c r="OSI2468" s="60"/>
      <c r="OSJ2468" s="60"/>
      <c r="OSK2468" s="63"/>
      <c r="OSL2468" s="61"/>
      <c r="OSM2468" s="54"/>
      <c r="OSN2468" s="54"/>
      <c r="OSO2468" s="60"/>
      <c r="OSP2468" s="60"/>
      <c r="OSQ2468" s="60"/>
      <c r="OSR2468" s="60"/>
      <c r="OSS2468" s="63"/>
      <c r="OST2468" s="61"/>
      <c r="OSU2468" s="54"/>
      <c r="OSV2468" s="54"/>
      <c r="OSW2468" s="60"/>
      <c r="OSX2468" s="60"/>
      <c r="OSY2468" s="60"/>
      <c r="OSZ2468" s="60"/>
      <c r="OTA2468" s="63"/>
      <c r="OTB2468" s="61"/>
      <c r="OTC2468" s="54"/>
      <c r="OTD2468" s="54"/>
      <c r="OTE2468" s="60"/>
      <c r="OTF2468" s="60"/>
      <c r="OTG2468" s="60"/>
      <c r="OTH2468" s="60"/>
      <c r="OTI2468" s="63"/>
      <c r="OTJ2468" s="61"/>
      <c r="OTK2468" s="54"/>
      <c r="OTL2468" s="54"/>
      <c r="OTM2468" s="60"/>
      <c r="OTN2468" s="60"/>
      <c r="OTO2468" s="60"/>
      <c r="OTP2468" s="60"/>
      <c r="OTQ2468" s="63"/>
      <c r="OTR2468" s="61"/>
      <c r="OTS2468" s="54"/>
      <c r="OTT2468" s="54"/>
      <c r="OTU2468" s="60"/>
      <c r="OTV2468" s="60"/>
      <c r="OTW2468" s="60"/>
      <c r="OTX2468" s="60"/>
      <c r="OTY2468" s="63"/>
      <c r="OTZ2468" s="61"/>
      <c r="OUA2468" s="54"/>
      <c r="OUB2468" s="54"/>
      <c r="OUC2468" s="60"/>
      <c r="OUD2468" s="60"/>
      <c r="OUE2468" s="60"/>
      <c r="OUF2468" s="60"/>
      <c r="OUG2468" s="63"/>
      <c r="OUH2468" s="61"/>
      <c r="OUI2468" s="54"/>
      <c r="OUJ2468" s="54"/>
      <c r="OUK2468" s="60"/>
      <c r="OUL2468" s="60"/>
      <c r="OUM2468" s="60"/>
      <c r="OUN2468" s="60"/>
      <c r="OUO2468" s="63"/>
      <c r="OUP2468" s="61"/>
      <c r="OUQ2468" s="54"/>
      <c r="OUR2468" s="54"/>
      <c r="OUS2468" s="60"/>
      <c r="OUT2468" s="60"/>
      <c r="OUU2468" s="60"/>
      <c r="OUV2468" s="60"/>
      <c r="OUW2468" s="63"/>
      <c r="OUX2468" s="61"/>
      <c r="OUY2468" s="54"/>
      <c r="OUZ2468" s="54"/>
      <c r="OVA2468" s="60"/>
      <c r="OVB2468" s="60"/>
      <c r="OVC2468" s="60"/>
      <c r="OVD2468" s="60"/>
      <c r="OVE2468" s="63"/>
      <c r="OVF2468" s="61"/>
      <c r="OVG2468" s="54"/>
      <c r="OVH2468" s="54"/>
      <c r="OVI2468" s="60"/>
      <c r="OVJ2468" s="60"/>
      <c r="OVK2468" s="60"/>
      <c r="OVL2468" s="60"/>
      <c r="OVM2468" s="63"/>
      <c r="OVN2468" s="61"/>
      <c r="OVO2468" s="54"/>
      <c r="OVP2468" s="54"/>
      <c r="OVQ2468" s="60"/>
      <c r="OVR2468" s="60"/>
      <c r="OVS2468" s="60"/>
      <c r="OVT2468" s="60"/>
      <c r="OVU2468" s="63"/>
      <c r="OVV2468" s="61"/>
      <c r="OVW2468" s="54"/>
      <c r="OVX2468" s="54"/>
      <c r="OVY2468" s="60"/>
      <c r="OVZ2468" s="60"/>
      <c r="OWA2468" s="60"/>
      <c r="OWB2468" s="60"/>
      <c r="OWC2468" s="63"/>
      <c r="OWD2468" s="61"/>
      <c r="OWE2468" s="54"/>
      <c r="OWF2468" s="54"/>
      <c r="OWG2468" s="60"/>
      <c r="OWH2468" s="60"/>
      <c r="OWI2468" s="60"/>
      <c r="OWJ2468" s="60"/>
      <c r="OWK2468" s="63"/>
      <c r="OWL2468" s="61"/>
      <c r="OWM2468" s="54"/>
      <c r="OWN2468" s="54"/>
      <c r="OWO2468" s="60"/>
      <c r="OWP2468" s="60"/>
      <c r="OWQ2468" s="60"/>
      <c r="OWR2468" s="60"/>
      <c r="OWS2468" s="63"/>
      <c r="OWT2468" s="61"/>
      <c r="OWU2468" s="54"/>
      <c r="OWV2468" s="54"/>
      <c r="OWW2468" s="60"/>
      <c r="OWX2468" s="60"/>
      <c r="OWY2468" s="60"/>
      <c r="OWZ2468" s="60"/>
      <c r="OXA2468" s="63"/>
      <c r="OXB2468" s="61"/>
      <c r="OXC2468" s="54"/>
      <c r="OXD2468" s="54"/>
      <c r="OXE2468" s="60"/>
      <c r="OXF2468" s="60"/>
      <c r="OXG2468" s="60"/>
      <c r="OXH2468" s="60"/>
      <c r="OXI2468" s="63"/>
      <c r="OXJ2468" s="61"/>
      <c r="OXK2468" s="54"/>
      <c r="OXL2468" s="54"/>
      <c r="OXM2468" s="60"/>
      <c r="OXN2468" s="60"/>
      <c r="OXO2468" s="60"/>
      <c r="OXP2468" s="60"/>
      <c r="OXQ2468" s="63"/>
      <c r="OXR2468" s="61"/>
      <c r="OXS2468" s="54"/>
      <c r="OXT2468" s="54"/>
      <c r="OXU2468" s="60"/>
      <c r="OXV2468" s="60"/>
      <c r="OXW2468" s="60"/>
      <c r="OXX2468" s="60"/>
      <c r="OXY2468" s="63"/>
      <c r="OXZ2468" s="61"/>
      <c r="OYA2468" s="54"/>
      <c r="OYB2468" s="54"/>
      <c r="OYC2468" s="60"/>
      <c r="OYD2468" s="60"/>
      <c r="OYE2468" s="60"/>
      <c r="OYF2468" s="60"/>
      <c r="OYG2468" s="63"/>
      <c r="OYH2468" s="61"/>
      <c r="OYI2468" s="54"/>
      <c r="OYJ2468" s="54"/>
      <c r="OYK2468" s="60"/>
      <c r="OYL2468" s="60"/>
      <c r="OYM2468" s="60"/>
      <c r="OYN2468" s="60"/>
      <c r="OYO2468" s="63"/>
      <c r="OYP2468" s="61"/>
      <c r="OYQ2468" s="54"/>
      <c r="OYR2468" s="54"/>
      <c r="OYS2468" s="60"/>
      <c r="OYT2468" s="60"/>
      <c r="OYU2468" s="60"/>
      <c r="OYV2468" s="60"/>
      <c r="OYW2468" s="63"/>
      <c r="OYX2468" s="61"/>
      <c r="OYY2468" s="54"/>
      <c r="OYZ2468" s="54"/>
      <c r="OZA2468" s="60"/>
      <c r="OZB2468" s="60"/>
      <c r="OZC2468" s="60"/>
      <c r="OZD2468" s="60"/>
      <c r="OZE2468" s="63"/>
      <c r="OZF2468" s="61"/>
      <c r="OZG2468" s="54"/>
      <c r="OZH2468" s="54"/>
      <c r="OZI2468" s="60"/>
      <c r="OZJ2468" s="60"/>
      <c r="OZK2468" s="60"/>
      <c r="OZL2468" s="60"/>
      <c r="OZM2468" s="63"/>
      <c r="OZN2468" s="61"/>
      <c r="OZO2468" s="54"/>
      <c r="OZP2468" s="54"/>
      <c r="OZQ2468" s="60"/>
      <c r="OZR2468" s="60"/>
      <c r="OZS2468" s="60"/>
      <c r="OZT2468" s="60"/>
      <c r="OZU2468" s="63"/>
      <c r="OZV2468" s="61"/>
      <c r="OZW2468" s="54"/>
      <c r="OZX2468" s="54"/>
      <c r="OZY2468" s="60"/>
      <c r="OZZ2468" s="60"/>
      <c r="PAA2468" s="60"/>
      <c r="PAB2468" s="60"/>
      <c r="PAC2468" s="63"/>
      <c r="PAD2468" s="61"/>
      <c r="PAE2468" s="54"/>
      <c r="PAF2468" s="54"/>
      <c r="PAG2468" s="60"/>
      <c r="PAH2468" s="60"/>
      <c r="PAI2468" s="60"/>
      <c r="PAJ2468" s="60"/>
      <c r="PAK2468" s="63"/>
      <c r="PAL2468" s="61"/>
      <c r="PAM2468" s="54"/>
      <c r="PAN2468" s="54"/>
      <c r="PAO2468" s="60"/>
      <c r="PAP2468" s="60"/>
      <c r="PAQ2468" s="60"/>
      <c r="PAR2468" s="60"/>
      <c r="PAS2468" s="63"/>
      <c r="PAT2468" s="61"/>
      <c r="PAU2468" s="54"/>
      <c r="PAV2468" s="54"/>
      <c r="PAW2468" s="60"/>
      <c r="PAX2468" s="60"/>
      <c r="PAY2468" s="60"/>
      <c r="PAZ2468" s="60"/>
      <c r="PBA2468" s="63"/>
      <c r="PBB2468" s="61"/>
      <c r="PBC2468" s="54"/>
      <c r="PBD2468" s="54"/>
      <c r="PBE2468" s="60"/>
      <c r="PBF2468" s="60"/>
      <c r="PBG2468" s="60"/>
      <c r="PBH2468" s="60"/>
      <c r="PBI2468" s="63"/>
      <c r="PBJ2468" s="61"/>
      <c r="PBK2468" s="54"/>
      <c r="PBL2468" s="54"/>
      <c r="PBM2468" s="60"/>
      <c r="PBN2468" s="60"/>
      <c r="PBO2468" s="60"/>
      <c r="PBP2468" s="60"/>
      <c r="PBQ2468" s="63"/>
      <c r="PBR2468" s="61"/>
      <c r="PBS2468" s="54"/>
      <c r="PBT2468" s="54"/>
      <c r="PBU2468" s="60"/>
      <c r="PBV2468" s="60"/>
      <c r="PBW2468" s="60"/>
      <c r="PBX2468" s="60"/>
      <c r="PBY2468" s="63"/>
      <c r="PBZ2468" s="61"/>
      <c r="PCA2468" s="54"/>
      <c r="PCB2468" s="54"/>
      <c r="PCC2468" s="60"/>
      <c r="PCD2468" s="60"/>
      <c r="PCE2468" s="60"/>
      <c r="PCF2468" s="60"/>
      <c r="PCG2468" s="63"/>
      <c r="PCH2468" s="61"/>
      <c r="PCI2468" s="54"/>
      <c r="PCJ2468" s="54"/>
      <c r="PCK2468" s="60"/>
      <c r="PCL2468" s="60"/>
      <c r="PCM2468" s="60"/>
      <c r="PCN2468" s="60"/>
      <c r="PCO2468" s="63"/>
      <c r="PCP2468" s="61"/>
      <c r="PCQ2468" s="54"/>
      <c r="PCR2468" s="54"/>
      <c r="PCS2468" s="60"/>
      <c r="PCT2468" s="60"/>
      <c r="PCU2468" s="60"/>
      <c r="PCV2468" s="60"/>
      <c r="PCW2468" s="63"/>
      <c r="PCX2468" s="61"/>
      <c r="PCY2468" s="54"/>
      <c r="PCZ2468" s="54"/>
      <c r="PDA2468" s="60"/>
      <c r="PDB2468" s="60"/>
      <c r="PDC2468" s="60"/>
      <c r="PDD2468" s="60"/>
      <c r="PDE2468" s="63"/>
      <c r="PDF2468" s="61"/>
      <c r="PDG2468" s="54"/>
      <c r="PDH2468" s="54"/>
      <c r="PDI2468" s="60"/>
      <c r="PDJ2468" s="60"/>
      <c r="PDK2468" s="60"/>
      <c r="PDL2468" s="60"/>
      <c r="PDM2468" s="63"/>
      <c r="PDN2468" s="61"/>
      <c r="PDO2468" s="54"/>
      <c r="PDP2468" s="54"/>
      <c r="PDQ2468" s="60"/>
      <c r="PDR2468" s="60"/>
      <c r="PDS2468" s="60"/>
      <c r="PDT2468" s="60"/>
      <c r="PDU2468" s="63"/>
      <c r="PDV2468" s="61"/>
      <c r="PDW2468" s="54"/>
      <c r="PDX2468" s="54"/>
      <c r="PDY2468" s="60"/>
      <c r="PDZ2468" s="60"/>
      <c r="PEA2468" s="60"/>
      <c r="PEB2468" s="60"/>
      <c r="PEC2468" s="63"/>
      <c r="PED2468" s="61"/>
      <c r="PEE2468" s="54"/>
      <c r="PEF2468" s="54"/>
      <c r="PEG2468" s="60"/>
      <c r="PEH2468" s="60"/>
      <c r="PEI2468" s="60"/>
      <c r="PEJ2468" s="60"/>
      <c r="PEK2468" s="63"/>
      <c r="PEL2468" s="61"/>
      <c r="PEM2468" s="54"/>
      <c r="PEN2468" s="54"/>
      <c r="PEO2468" s="60"/>
      <c r="PEP2468" s="60"/>
      <c r="PEQ2468" s="60"/>
      <c r="PER2468" s="60"/>
      <c r="PES2468" s="63"/>
      <c r="PET2468" s="61"/>
      <c r="PEU2468" s="54"/>
      <c r="PEV2468" s="54"/>
      <c r="PEW2468" s="60"/>
      <c r="PEX2468" s="60"/>
      <c r="PEY2468" s="60"/>
      <c r="PEZ2468" s="60"/>
      <c r="PFA2468" s="63"/>
      <c r="PFB2468" s="61"/>
      <c r="PFC2468" s="54"/>
      <c r="PFD2468" s="54"/>
      <c r="PFE2468" s="60"/>
      <c r="PFF2468" s="60"/>
      <c r="PFG2468" s="60"/>
      <c r="PFH2468" s="60"/>
      <c r="PFI2468" s="63"/>
      <c r="PFJ2468" s="61"/>
      <c r="PFK2468" s="54"/>
      <c r="PFL2468" s="54"/>
      <c r="PFM2468" s="60"/>
      <c r="PFN2468" s="60"/>
      <c r="PFO2468" s="60"/>
      <c r="PFP2468" s="60"/>
      <c r="PFQ2468" s="63"/>
      <c r="PFR2468" s="61"/>
      <c r="PFS2468" s="54"/>
      <c r="PFT2468" s="54"/>
      <c r="PFU2468" s="60"/>
      <c r="PFV2468" s="60"/>
      <c r="PFW2468" s="60"/>
      <c r="PFX2468" s="60"/>
      <c r="PFY2468" s="63"/>
      <c r="PFZ2468" s="61"/>
      <c r="PGA2468" s="54"/>
      <c r="PGB2468" s="54"/>
      <c r="PGC2468" s="60"/>
      <c r="PGD2468" s="60"/>
      <c r="PGE2468" s="60"/>
      <c r="PGF2468" s="60"/>
      <c r="PGG2468" s="63"/>
      <c r="PGH2468" s="61"/>
      <c r="PGI2468" s="54"/>
      <c r="PGJ2468" s="54"/>
      <c r="PGK2468" s="60"/>
      <c r="PGL2468" s="60"/>
      <c r="PGM2468" s="60"/>
      <c r="PGN2468" s="60"/>
      <c r="PGO2468" s="63"/>
      <c r="PGP2468" s="61"/>
      <c r="PGQ2468" s="54"/>
      <c r="PGR2468" s="54"/>
      <c r="PGS2468" s="60"/>
      <c r="PGT2468" s="60"/>
      <c r="PGU2468" s="60"/>
      <c r="PGV2468" s="60"/>
      <c r="PGW2468" s="63"/>
      <c r="PGX2468" s="61"/>
      <c r="PGY2468" s="54"/>
      <c r="PGZ2468" s="54"/>
      <c r="PHA2468" s="60"/>
      <c r="PHB2468" s="60"/>
      <c r="PHC2468" s="60"/>
      <c r="PHD2468" s="60"/>
      <c r="PHE2468" s="63"/>
      <c r="PHF2468" s="61"/>
      <c r="PHG2468" s="54"/>
      <c r="PHH2468" s="54"/>
      <c r="PHI2468" s="60"/>
      <c r="PHJ2468" s="60"/>
      <c r="PHK2468" s="60"/>
      <c r="PHL2468" s="60"/>
      <c r="PHM2468" s="63"/>
      <c r="PHN2468" s="61"/>
      <c r="PHO2468" s="54"/>
      <c r="PHP2468" s="54"/>
      <c r="PHQ2468" s="60"/>
      <c r="PHR2468" s="60"/>
      <c r="PHS2468" s="60"/>
      <c r="PHT2468" s="60"/>
      <c r="PHU2468" s="63"/>
      <c r="PHV2468" s="61"/>
      <c r="PHW2468" s="54"/>
      <c r="PHX2468" s="54"/>
      <c r="PHY2468" s="60"/>
      <c r="PHZ2468" s="60"/>
      <c r="PIA2468" s="60"/>
      <c r="PIB2468" s="60"/>
      <c r="PIC2468" s="63"/>
      <c r="PID2468" s="61"/>
      <c r="PIE2468" s="54"/>
      <c r="PIF2468" s="54"/>
      <c r="PIG2468" s="60"/>
      <c r="PIH2468" s="60"/>
      <c r="PII2468" s="60"/>
      <c r="PIJ2468" s="60"/>
      <c r="PIK2468" s="63"/>
      <c r="PIL2468" s="61"/>
      <c r="PIM2468" s="54"/>
      <c r="PIN2468" s="54"/>
      <c r="PIO2468" s="60"/>
      <c r="PIP2468" s="60"/>
      <c r="PIQ2468" s="60"/>
      <c r="PIR2468" s="60"/>
      <c r="PIS2468" s="63"/>
      <c r="PIT2468" s="61"/>
      <c r="PIU2468" s="54"/>
      <c r="PIV2468" s="54"/>
      <c r="PIW2468" s="60"/>
      <c r="PIX2468" s="60"/>
      <c r="PIY2468" s="60"/>
      <c r="PIZ2468" s="60"/>
      <c r="PJA2468" s="63"/>
      <c r="PJB2468" s="61"/>
      <c r="PJC2468" s="54"/>
      <c r="PJD2468" s="54"/>
      <c r="PJE2468" s="60"/>
      <c r="PJF2468" s="60"/>
      <c r="PJG2468" s="60"/>
      <c r="PJH2468" s="60"/>
      <c r="PJI2468" s="63"/>
      <c r="PJJ2468" s="61"/>
      <c r="PJK2468" s="54"/>
      <c r="PJL2468" s="54"/>
      <c r="PJM2468" s="60"/>
      <c r="PJN2468" s="60"/>
      <c r="PJO2468" s="60"/>
      <c r="PJP2468" s="60"/>
      <c r="PJQ2468" s="63"/>
      <c r="PJR2468" s="61"/>
      <c r="PJS2468" s="54"/>
      <c r="PJT2468" s="54"/>
      <c r="PJU2468" s="60"/>
      <c r="PJV2468" s="60"/>
      <c r="PJW2468" s="60"/>
      <c r="PJX2468" s="60"/>
      <c r="PJY2468" s="63"/>
      <c r="PJZ2468" s="61"/>
      <c r="PKA2468" s="54"/>
      <c r="PKB2468" s="54"/>
      <c r="PKC2468" s="60"/>
      <c r="PKD2468" s="60"/>
      <c r="PKE2468" s="60"/>
      <c r="PKF2468" s="60"/>
      <c r="PKG2468" s="63"/>
      <c r="PKH2468" s="61"/>
      <c r="PKI2468" s="54"/>
      <c r="PKJ2468" s="54"/>
      <c r="PKK2468" s="60"/>
      <c r="PKL2468" s="60"/>
      <c r="PKM2468" s="60"/>
      <c r="PKN2468" s="60"/>
      <c r="PKO2468" s="63"/>
      <c r="PKP2468" s="61"/>
      <c r="PKQ2468" s="54"/>
      <c r="PKR2468" s="54"/>
      <c r="PKS2468" s="60"/>
      <c r="PKT2468" s="60"/>
      <c r="PKU2468" s="60"/>
      <c r="PKV2468" s="60"/>
      <c r="PKW2468" s="63"/>
      <c r="PKX2468" s="61"/>
      <c r="PKY2468" s="54"/>
      <c r="PKZ2468" s="54"/>
      <c r="PLA2468" s="60"/>
      <c r="PLB2468" s="60"/>
      <c r="PLC2468" s="60"/>
      <c r="PLD2468" s="60"/>
      <c r="PLE2468" s="63"/>
      <c r="PLF2468" s="61"/>
      <c r="PLG2468" s="54"/>
      <c r="PLH2468" s="54"/>
      <c r="PLI2468" s="60"/>
      <c r="PLJ2468" s="60"/>
      <c r="PLK2468" s="60"/>
      <c r="PLL2468" s="60"/>
      <c r="PLM2468" s="63"/>
      <c r="PLN2468" s="61"/>
      <c r="PLO2468" s="54"/>
      <c r="PLP2468" s="54"/>
      <c r="PLQ2468" s="60"/>
      <c r="PLR2468" s="60"/>
      <c r="PLS2468" s="60"/>
      <c r="PLT2468" s="60"/>
      <c r="PLU2468" s="63"/>
      <c r="PLV2468" s="61"/>
      <c r="PLW2468" s="54"/>
      <c r="PLX2468" s="54"/>
      <c r="PLY2468" s="60"/>
      <c r="PLZ2468" s="60"/>
      <c r="PMA2468" s="60"/>
      <c r="PMB2468" s="60"/>
      <c r="PMC2468" s="63"/>
      <c r="PMD2468" s="61"/>
      <c r="PME2468" s="54"/>
      <c r="PMF2468" s="54"/>
      <c r="PMG2468" s="60"/>
      <c r="PMH2468" s="60"/>
      <c r="PMI2468" s="60"/>
      <c r="PMJ2468" s="60"/>
      <c r="PMK2468" s="63"/>
      <c r="PML2468" s="61"/>
      <c r="PMM2468" s="54"/>
      <c r="PMN2468" s="54"/>
      <c r="PMO2468" s="60"/>
      <c r="PMP2468" s="60"/>
      <c r="PMQ2468" s="60"/>
      <c r="PMR2468" s="60"/>
      <c r="PMS2468" s="63"/>
      <c r="PMT2468" s="61"/>
      <c r="PMU2468" s="54"/>
      <c r="PMV2468" s="54"/>
      <c r="PMW2468" s="60"/>
      <c r="PMX2468" s="60"/>
      <c r="PMY2468" s="60"/>
      <c r="PMZ2468" s="60"/>
      <c r="PNA2468" s="63"/>
      <c r="PNB2468" s="61"/>
      <c r="PNC2468" s="54"/>
      <c r="PND2468" s="54"/>
      <c r="PNE2468" s="60"/>
      <c r="PNF2468" s="60"/>
      <c r="PNG2468" s="60"/>
      <c r="PNH2468" s="60"/>
      <c r="PNI2468" s="63"/>
      <c r="PNJ2468" s="61"/>
      <c r="PNK2468" s="54"/>
      <c r="PNL2468" s="54"/>
      <c r="PNM2468" s="60"/>
      <c r="PNN2468" s="60"/>
      <c r="PNO2468" s="60"/>
      <c r="PNP2468" s="60"/>
      <c r="PNQ2468" s="63"/>
      <c r="PNR2468" s="61"/>
      <c r="PNS2468" s="54"/>
      <c r="PNT2468" s="54"/>
      <c r="PNU2468" s="60"/>
      <c r="PNV2468" s="60"/>
      <c r="PNW2468" s="60"/>
      <c r="PNX2468" s="60"/>
      <c r="PNY2468" s="63"/>
      <c r="PNZ2468" s="61"/>
      <c r="POA2468" s="54"/>
      <c r="POB2468" s="54"/>
      <c r="POC2468" s="60"/>
      <c r="POD2468" s="60"/>
      <c r="POE2468" s="60"/>
      <c r="POF2468" s="60"/>
      <c r="POG2468" s="63"/>
      <c r="POH2468" s="61"/>
      <c r="POI2468" s="54"/>
      <c r="POJ2468" s="54"/>
      <c r="POK2468" s="60"/>
      <c r="POL2468" s="60"/>
      <c r="POM2468" s="60"/>
      <c r="PON2468" s="60"/>
      <c r="POO2468" s="63"/>
      <c r="POP2468" s="61"/>
      <c r="POQ2468" s="54"/>
      <c r="POR2468" s="54"/>
      <c r="POS2468" s="60"/>
      <c r="POT2468" s="60"/>
      <c r="POU2468" s="60"/>
      <c r="POV2468" s="60"/>
      <c r="POW2468" s="63"/>
      <c r="POX2468" s="61"/>
      <c r="POY2468" s="54"/>
      <c r="POZ2468" s="54"/>
      <c r="PPA2468" s="60"/>
      <c r="PPB2468" s="60"/>
      <c r="PPC2468" s="60"/>
      <c r="PPD2468" s="60"/>
      <c r="PPE2468" s="63"/>
      <c r="PPF2468" s="61"/>
      <c r="PPG2468" s="54"/>
      <c r="PPH2468" s="54"/>
      <c r="PPI2468" s="60"/>
      <c r="PPJ2468" s="60"/>
      <c r="PPK2468" s="60"/>
      <c r="PPL2468" s="60"/>
      <c r="PPM2468" s="63"/>
      <c r="PPN2468" s="61"/>
      <c r="PPO2468" s="54"/>
      <c r="PPP2468" s="54"/>
      <c r="PPQ2468" s="60"/>
      <c r="PPR2468" s="60"/>
      <c r="PPS2468" s="60"/>
      <c r="PPT2468" s="60"/>
      <c r="PPU2468" s="63"/>
      <c r="PPV2468" s="61"/>
      <c r="PPW2468" s="54"/>
      <c r="PPX2468" s="54"/>
      <c r="PPY2468" s="60"/>
      <c r="PPZ2468" s="60"/>
      <c r="PQA2468" s="60"/>
      <c r="PQB2468" s="60"/>
      <c r="PQC2468" s="63"/>
      <c r="PQD2468" s="61"/>
      <c r="PQE2468" s="54"/>
      <c r="PQF2468" s="54"/>
      <c r="PQG2468" s="60"/>
      <c r="PQH2468" s="60"/>
      <c r="PQI2468" s="60"/>
      <c r="PQJ2468" s="60"/>
      <c r="PQK2468" s="63"/>
      <c r="PQL2468" s="61"/>
      <c r="PQM2468" s="54"/>
      <c r="PQN2468" s="54"/>
      <c r="PQO2468" s="60"/>
      <c r="PQP2468" s="60"/>
      <c r="PQQ2468" s="60"/>
      <c r="PQR2468" s="60"/>
      <c r="PQS2468" s="63"/>
      <c r="PQT2468" s="61"/>
      <c r="PQU2468" s="54"/>
      <c r="PQV2468" s="54"/>
      <c r="PQW2468" s="60"/>
      <c r="PQX2468" s="60"/>
      <c r="PQY2468" s="60"/>
      <c r="PQZ2468" s="60"/>
      <c r="PRA2468" s="63"/>
      <c r="PRB2468" s="61"/>
      <c r="PRC2468" s="54"/>
      <c r="PRD2468" s="54"/>
      <c r="PRE2468" s="60"/>
      <c r="PRF2468" s="60"/>
      <c r="PRG2468" s="60"/>
      <c r="PRH2468" s="60"/>
      <c r="PRI2468" s="63"/>
      <c r="PRJ2468" s="61"/>
      <c r="PRK2468" s="54"/>
      <c r="PRL2468" s="54"/>
      <c r="PRM2468" s="60"/>
      <c r="PRN2468" s="60"/>
      <c r="PRO2468" s="60"/>
      <c r="PRP2468" s="60"/>
      <c r="PRQ2468" s="63"/>
      <c r="PRR2468" s="61"/>
      <c r="PRS2468" s="54"/>
      <c r="PRT2468" s="54"/>
      <c r="PRU2468" s="60"/>
      <c r="PRV2468" s="60"/>
      <c r="PRW2468" s="60"/>
      <c r="PRX2468" s="60"/>
      <c r="PRY2468" s="63"/>
      <c r="PRZ2468" s="61"/>
      <c r="PSA2468" s="54"/>
      <c r="PSB2468" s="54"/>
      <c r="PSC2468" s="60"/>
      <c r="PSD2468" s="60"/>
      <c r="PSE2468" s="60"/>
      <c r="PSF2468" s="60"/>
      <c r="PSG2468" s="63"/>
      <c r="PSH2468" s="61"/>
      <c r="PSI2468" s="54"/>
      <c r="PSJ2468" s="54"/>
      <c r="PSK2468" s="60"/>
      <c r="PSL2468" s="60"/>
      <c r="PSM2468" s="60"/>
      <c r="PSN2468" s="60"/>
      <c r="PSO2468" s="63"/>
      <c r="PSP2468" s="61"/>
      <c r="PSQ2468" s="54"/>
      <c r="PSR2468" s="54"/>
      <c r="PSS2468" s="60"/>
      <c r="PST2468" s="60"/>
      <c r="PSU2468" s="60"/>
      <c r="PSV2468" s="60"/>
      <c r="PSW2468" s="63"/>
      <c r="PSX2468" s="61"/>
      <c r="PSY2468" s="54"/>
      <c r="PSZ2468" s="54"/>
      <c r="PTA2468" s="60"/>
      <c r="PTB2468" s="60"/>
      <c r="PTC2468" s="60"/>
      <c r="PTD2468" s="60"/>
      <c r="PTE2468" s="63"/>
      <c r="PTF2468" s="61"/>
      <c r="PTG2468" s="54"/>
      <c r="PTH2468" s="54"/>
      <c r="PTI2468" s="60"/>
      <c r="PTJ2468" s="60"/>
      <c r="PTK2468" s="60"/>
      <c r="PTL2468" s="60"/>
      <c r="PTM2468" s="63"/>
      <c r="PTN2468" s="61"/>
      <c r="PTO2468" s="54"/>
      <c r="PTP2468" s="54"/>
      <c r="PTQ2468" s="60"/>
      <c r="PTR2468" s="60"/>
      <c r="PTS2468" s="60"/>
      <c r="PTT2468" s="60"/>
      <c r="PTU2468" s="63"/>
      <c r="PTV2468" s="61"/>
      <c r="PTW2468" s="54"/>
      <c r="PTX2468" s="54"/>
      <c r="PTY2468" s="60"/>
      <c r="PTZ2468" s="60"/>
      <c r="PUA2468" s="60"/>
      <c r="PUB2468" s="60"/>
      <c r="PUC2468" s="63"/>
      <c r="PUD2468" s="61"/>
      <c r="PUE2468" s="54"/>
      <c r="PUF2468" s="54"/>
      <c r="PUG2468" s="60"/>
      <c r="PUH2468" s="60"/>
      <c r="PUI2468" s="60"/>
      <c r="PUJ2468" s="60"/>
      <c r="PUK2468" s="63"/>
      <c r="PUL2468" s="61"/>
      <c r="PUM2468" s="54"/>
      <c r="PUN2468" s="54"/>
      <c r="PUO2468" s="60"/>
      <c r="PUP2468" s="60"/>
      <c r="PUQ2468" s="60"/>
      <c r="PUR2468" s="60"/>
      <c r="PUS2468" s="63"/>
      <c r="PUT2468" s="61"/>
      <c r="PUU2468" s="54"/>
      <c r="PUV2468" s="54"/>
      <c r="PUW2468" s="60"/>
      <c r="PUX2468" s="60"/>
      <c r="PUY2468" s="60"/>
      <c r="PUZ2468" s="60"/>
      <c r="PVA2468" s="63"/>
      <c r="PVB2468" s="61"/>
      <c r="PVC2468" s="54"/>
      <c r="PVD2468" s="54"/>
      <c r="PVE2468" s="60"/>
      <c r="PVF2468" s="60"/>
      <c r="PVG2468" s="60"/>
      <c r="PVH2468" s="60"/>
      <c r="PVI2468" s="63"/>
      <c r="PVJ2468" s="61"/>
      <c r="PVK2468" s="54"/>
      <c r="PVL2468" s="54"/>
      <c r="PVM2468" s="60"/>
      <c r="PVN2468" s="60"/>
      <c r="PVO2468" s="60"/>
      <c r="PVP2468" s="60"/>
      <c r="PVQ2468" s="63"/>
      <c r="PVR2468" s="61"/>
      <c r="PVS2468" s="54"/>
      <c r="PVT2468" s="54"/>
      <c r="PVU2468" s="60"/>
      <c r="PVV2468" s="60"/>
      <c r="PVW2468" s="60"/>
      <c r="PVX2468" s="60"/>
      <c r="PVY2468" s="63"/>
      <c r="PVZ2468" s="61"/>
      <c r="PWA2468" s="54"/>
      <c r="PWB2468" s="54"/>
      <c r="PWC2468" s="60"/>
      <c r="PWD2468" s="60"/>
      <c r="PWE2468" s="60"/>
      <c r="PWF2468" s="60"/>
      <c r="PWG2468" s="63"/>
      <c r="PWH2468" s="61"/>
      <c r="PWI2468" s="54"/>
      <c r="PWJ2468" s="54"/>
      <c r="PWK2468" s="60"/>
      <c r="PWL2468" s="60"/>
      <c r="PWM2468" s="60"/>
      <c r="PWN2468" s="60"/>
      <c r="PWO2468" s="63"/>
      <c r="PWP2468" s="61"/>
      <c r="PWQ2468" s="54"/>
      <c r="PWR2468" s="54"/>
      <c r="PWS2468" s="60"/>
      <c r="PWT2468" s="60"/>
      <c r="PWU2468" s="60"/>
      <c r="PWV2468" s="60"/>
      <c r="PWW2468" s="63"/>
      <c r="PWX2468" s="61"/>
      <c r="PWY2468" s="54"/>
      <c r="PWZ2468" s="54"/>
      <c r="PXA2468" s="60"/>
      <c r="PXB2468" s="60"/>
      <c r="PXC2468" s="60"/>
      <c r="PXD2468" s="60"/>
      <c r="PXE2468" s="63"/>
      <c r="PXF2468" s="61"/>
      <c r="PXG2468" s="54"/>
      <c r="PXH2468" s="54"/>
      <c r="PXI2468" s="60"/>
      <c r="PXJ2468" s="60"/>
      <c r="PXK2468" s="60"/>
      <c r="PXL2468" s="60"/>
      <c r="PXM2468" s="63"/>
      <c r="PXN2468" s="61"/>
      <c r="PXO2468" s="54"/>
      <c r="PXP2468" s="54"/>
      <c r="PXQ2468" s="60"/>
      <c r="PXR2468" s="60"/>
      <c r="PXS2468" s="60"/>
      <c r="PXT2468" s="60"/>
      <c r="PXU2468" s="63"/>
      <c r="PXV2468" s="61"/>
      <c r="PXW2468" s="54"/>
      <c r="PXX2468" s="54"/>
      <c r="PXY2468" s="60"/>
      <c r="PXZ2468" s="60"/>
      <c r="PYA2468" s="60"/>
      <c r="PYB2468" s="60"/>
      <c r="PYC2468" s="63"/>
      <c r="PYD2468" s="61"/>
      <c r="PYE2468" s="54"/>
      <c r="PYF2468" s="54"/>
      <c r="PYG2468" s="60"/>
      <c r="PYH2468" s="60"/>
      <c r="PYI2468" s="60"/>
      <c r="PYJ2468" s="60"/>
      <c r="PYK2468" s="63"/>
      <c r="PYL2468" s="61"/>
      <c r="PYM2468" s="54"/>
      <c r="PYN2468" s="54"/>
      <c r="PYO2468" s="60"/>
      <c r="PYP2468" s="60"/>
      <c r="PYQ2468" s="60"/>
      <c r="PYR2468" s="60"/>
      <c r="PYS2468" s="63"/>
      <c r="PYT2468" s="61"/>
      <c r="PYU2468" s="54"/>
      <c r="PYV2468" s="54"/>
      <c r="PYW2468" s="60"/>
      <c r="PYX2468" s="60"/>
      <c r="PYY2468" s="60"/>
      <c r="PYZ2468" s="60"/>
      <c r="PZA2468" s="63"/>
      <c r="PZB2468" s="61"/>
      <c r="PZC2468" s="54"/>
      <c r="PZD2468" s="54"/>
      <c r="PZE2468" s="60"/>
      <c r="PZF2468" s="60"/>
      <c r="PZG2468" s="60"/>
      <c r="PZH2468" s="60"/>
      <c r="PZI2468" s="63"/>
      <c r="PZJ2468" s="61"/>
      <c r="PZK2468" s="54"/>
      <c r="PZL2468" s="54"/>
      <c r="PZM2468" s="60"/>
      <c r="PZN2468" s="60"/>
      <c r="PZO2468" s="60"/>
      <c r="PZP2468" s="60"/>
      <c r="PZQ2468" s="63"/>
      <c r="PZR2468" s="61"/>
      <c r="PZS2468" s="54"/>
      <c r="PZT2468" s="54"/>
      <c r="PZU2468" s="60"/>
      <c r="PZV2468" s="60"/>
      <c r="PZW2468" s="60"/>
      <c r="PZX2468" s="60"/>
      <c r="PZY2468" s="63"/>
      <c r="PZZ2468" s="61"/>
      <c r="QAA2468" s="54"/>
      <c r="QAB2468" s="54"/>
      <c r="QAC2468" s="60"/>
      <c r="QAD2468" s="60"/>
      <c r="QAE2468" s="60"/>
      <c r="QAF2468" s="60"/>
      <c r="QAG2468" s="63"/>
      <c r="QAH2468" s="61"/>
      <c r="QAI2468" s="54"/>
      <c r="QAJ2468" s="54"/>
      <c r="QAK2468" s="60"/>
      <c r="QAL2468" s="60"/>
      <c r="QAM2468" s="60"/>
      <c r="QAN2468" s="60"/>
      <c r="QAO2468" s="63"/>
      <c r="QAP2468" s="61"/>
      <c r="QAQ2468" s="54"/>
      <c r="QAR2468" s="54"/>
      <c r="QAS2468" s="60"/>
      <c r="QAT2468" s="60"/>
      <c r="QAU2468" s="60"/>
      <c r="QAV2468" s="60"/>
      <c r="QAW2468" s="63"/>
      <c r="QAX2468" s="61"/>
      <c r="QAY2468" s="54"/>
      <c r="QAZ2468" s="54"/>
      <c r="QBA2468" s="60"/>
      <c r="QBB2468" s="60"/>
      <c r="QBC2468" s="60"/>
      <c r="QBD2468" s="60"/>
      <c r="QBE2468" s="63"/>
      <c r="QBF2468" s="61"/>
      <c r="QBG2468" s="54"/>
      <c r="QBH2468" s="54"/>
      <c r="QBI2468" s="60"/>
      <c r="QBJ2468" s="60"/>
      <c r="QBK2468" s="60"/>
      <c r="QBL2468" s="60"/>
      <c r="QBM2468" s="63"/>
      <c r="QBN2468" s="61"/>
      <c r="QBO2468" s="54"/>
      <c r="QBP2468" s="54"/>
      <c r="QBQ2468" s="60"/>
      <c r="QBR2468" s="60"/>
      <c r="QBS2468" s="60"/>
      <c r="QBT2468" s="60"/>
      <c r="QBU2468" s="63"/>
      <c r="QBV2468" s="61"/>
      <c r="QBW2468" s="54"/>
      <c r="QBX2468" s="54"/>
      <c r="QBY2468" s="60"/>
      <c r="QBZ2468" s="60"/>
      <c r="QCA2468" s="60"/>
      <c r="QCB2468" s="60"/>
      <c r="QCC2468" s="63"/>
      <c r="QCD2468" s="61"/>
      <c r="QCE2468" s="54"/>
      <c r="QCF2468" s="54"/>
      <c r="QCG2468" s="60"/>
      <c r="QCH2468" s="60"/>
      <c r="QCI2468" s="60"/>
      <c r="QCJ2468" s="60"/>
      <c r="QCK2468" s="63"/>
      <c r="QCL2468" s="61"/>
      <c r="QCM2468" s="54"/>
      <c r="QCN2468" s="54"/>
      <c r="QCO2468" s="60"/>
      <c r="QCP2468" s="60"/>
      <c r="QCQ2468" s="60"/>
      <c r="QCR2468" s="60"/>
      <c r="QCS2468" s="63"/>
      <c r="QCT2468" s="61"/>
      <c r="QCU2468" s="54"/>
      <c r="QCV2468" s="54"/>
      <c r="QCW2468" s="60"/>
      <c r="QCX2468" s="60"/>
      <c r="QCY2468" s="60"/>
      <c r="QCZ2468" s="60"/>
      <c r="QDA2468" s="63"/>
      <c r="QDB2468" s="61"/>
      <c r="QDC2468" s="54"/>
      <c r="QDD2468" s="54"/>
      <c r="QDE2468" s="60"/>
      <c r="QDF2468" s="60"/>
      <c r="QDG2468" s="60"/>
      <c r="QDH2468" s="60"/>
      <c r="QDI2468" s="63"/>
      <c r="QDJ2468" s="61"/>
      <c r="QDK2468" s="54"/>
      <c r="QDL2468" s="54"/>
      <c r="QDM2468" s="60"/>
      <c r="QDN2468" s="60"/>
      <c r="QDO2468" s="60"/>
      <c r="QDP2468" s="60"/>
      <c r="QDQ2468" s="63"/>
      <c r="QDR2468" s="61"/>
      <c r="QDS2468" s="54"/>
      <c r="QDT2468" s="54"/>
      <c r="QDU2468" s="60"/>
      <c r="QDV2468" s="60"/>
      <c r="QDW2468" s="60"/>
      <c r="QDX2468" s="60"/>
      <c r="QDY2468" s="63"/>
      <c r="QDZ2468" s="61"/>
      <c r="QEA2468" s="54"/>
      <c r="QEB2468" s="54"/>
      <c r="QEC2468" s="60"/>
      <c r="QED2468" s="60"/>
      <c r="QEE2468" s="60"/>
      <c r="QEF2468" s="60"/>
      <c r="QEG2468" s="63"/>
      <c r="QEH2468" s="61"/>
      <c r="QEI2468" s="54"/>
      <c r="QEJ2468" s="54"/>
      <c r="QEK2468" s="60"/>
      <c r="QEL2468" s="60"/>
      <c r="QEM2468" s="60"/>
      <c r="QEN2468" s="60"/>
      <c r="QEO2468" s="63"/>
      <c r="QEP2468" s="61"/>
      <c r="QEQ2468" s="54"/>
      <c r="QER2468" s="54"/>
      <c r="QES2468" s="60"/>
      <c r="QET2468" s="60"/>
      <c r="QEU2468" s="60"/>
      <c r="QEV2468" s="60"/>
      <c r="QEW2468" s="63"/>
      <c r="QEX2468" s="61"/>
      <c r="QEY2468" s="54"/>
      <c r="QEZ2468" s="54"/>
      <c r="QFA2468" s="60"/>
      <c r="QFB2468" s="60"/>
      <c r="QFC2468" s="60"/>
      <c r="QFD2468" s="60"/>
      <c r="QFE2468" s="63"/>
      <c r="QFF2468" s="61"/>
      <c r="QFG2468" s="54"/>
      <c r="QFH2468" s="54"/>
      <c r="QFI2468" s="60"/>
      <c r="QFJ2468" s="60"/>
      <c r="QFK2468" s="60"/>
      <c r="QFL2468" s="60"/>
      <c r="QFM2468" s="63"/>
      <c r="QFN2468" s="61"/>
      <c r="QFO2468" s="54"/>
      <c r="QFP2468" s="54"/>
      <c r="QFQ2468" s="60"/>
      <c r="QFR2468" s="60"/>
      <c r="QFS2468" s="60"/>
      <c r="QFT2468" s="60"/>
      <c r="QFU2468" s="63"/>
      <c r="QFV2468" s="61"/>
      <c r="QFW2468" s="54"/>
      <c r="QFX2468" s="54"/>
      <c r="QFY2468" s="60"/>
      <c r="QFZ2468" s="60"/>
      <c r="QGA2468" s="60"/>
      <c r="QGB2468" s="60"/>
      <c r="QGC2468" s="63"/>
      <c r="QGD2468" s="61"/>
      <c r="QGE2468" s="54"/>
      <c r="QGF2468" s="54"/>
      <c r="QGG2468" s="60"/>
      <c r="QGH2468" s="60"/>
      <c r="QGI2468" s="60"/>
      <c r="QGJ2468" s="60"/>
      <c r="QGK2468" s="63"/>
      <c r="QGL2468" s="61"/>
      <c r="QGM2468" s="54"/>
      <c r="QGN2468" s="54"/>
      <c r="QGO2468" s="60"/>
      <c r="QGP2468" s="60"/>
      <c r="QGQ2468" s="60"/>
      <c r="QGR2468" s="60"/>
      <c r="QGS2468" s="63"/>
      <c r="QGT2468" s="61"/>
      <c r="QGU2468" s="54"/>
      <c r="QGV2468" s="54"/>
      <c r="QGW2468" s="60"/>
      <c r="QGX2468" s="60"/>
      <c r="QGY2468" s="60"/>
      <c r="QGZ2468" s="60"/>
      <c r="QHA2468" s="63"/>
      <c r="QHB2468" s="61"/>
      <c r="QHC2468" s="54"/>
      <c r="QHD2468" s="54"/>
      <c r="QHE2468" s="60"/>
      <c r="QHF2468" s="60"/>
      <c r="QHG2468" s="60"/>
      <c r="QHH2468" s="60"/>
      <c r="QHI2468" s="63"/>
      <c r="QHJ2468" s="61"/>
      <c r="QHK2468" s="54"/>
      <c r="QHL2468" s="54"/>
      <c r="QHM2468" s="60"/>
      <c r="QHN2468" s="60"/>
      <c r="QHO2468" s="60"/>
      <c r="QHP2468" s="60"/>
      <c r="QHQ2468" s="63"/>
      <c r="QHR2468" s="61"/>
      <c r="QHS2468" s="54"/>
      <c r="QHT2468" s="54"/>
      <c r="QHU2468" s="60"/>
      <c r="QHV2468" s="60"/>
      <c r="QHW2468" s="60"/>
      <c r="QHX2468" s="60"/>
      <c r="QHY2468" s="63"/>
      <c r="QHZ2468" s="61"/>
      <c r="QIA2468" s="54"/>
      <c r="QIB2468" s="54"/>
      <c r="QIC2468" s="60"/>
      <c r="QID2468" s="60"/>
      <c r="QIE2468" s="60"/>
      <c r="QIF2468" s="60"/>
      <c r="QIG2468" s="63"/>
      <c r="QIH2468" s="61"/>
      <c r="QII2468" s="54"/>
      <c r="QIJ2468" s="54"/>
      <c r="QIK2468" s="60"/>
      <c r="QIL2468" s="60"/>
      <c r="QIM2468" s="60"/>
      <c r="QIN2468" s="60"/>
      <c r="QIO2468" s="63"/>
      <c r="QIP2468" s="61"/>
      <c r="QIQ2468" s="54"/>
      <c r="QIR2468" s="54"/>
      <c r="QIS2468" s="60"/>
      <c r="QIT2468" s="60"/>
      <c r="QIU2468" s="60"/>
      <c r="QIV2468" s="60"/>
      <c r="QIW2468" s="63"/>
      <c r="QIX2468" s="61"/>
      <c r="QIY2468" s="54"/>
      <c r="QIZ2468" s="54"/>
      <c r="QJA2468" s="60"/>
      <c r="QJB2468" s="60"/>
      <c r="QJC2468" s="60"/>
      <c r="QJD2468" s="60"/>
      <c r="QJE2468" s="63"/>
      <c r="QJF2468" s="61"/>
      <c r="QJG2468" s="54"/>
      <c r="QJH2468" s="54"/>
      <c r="QJI2468" s="60"/>
      <c r="QJJ2468" s="60"/>
      <c r="QJK2468" s="60"/>
      <c r="QJL2468" s="60"/>
      <c r="QJM2468" s="63"/>
      <c r="QJN2468" s="61"/>
      <c r="QJO2468" s="54"/>
      <c r="QJP2468" s="54"/>
      <c r="QJQ2468" s="60"/>
      <c r="QJR2468" s="60"/>
      <c r="QJS2468" s="60"/>
      <c r="QJT2468" s="60"/>
      <c r="QJU2468" s="63"/>
      <c r="QJV2468" s="61"/>
      <c r="QJW2468" s="54"/>
      <c r="QJX2468" s="54"/>
      <c r="QJY2468" s="60"/>
      <c r="QJZ2468" s="60"/>
      <c r="QKA2468" s="60"/>
      <c r="QKB2468" s="60"/>
      <c r="QKC2468" s="63"/>
      <c r="QKD2468" s="61"/>
      <c r="QKE2468" s="54"/>
      <c r="QKF2468" s="54"/>
      <c r="QKG2468" s="60"/>
      <c r="QKH2468" s="60"/>
      <c r="QKI2468" s="60"/>
      <c r="QKJ2468" s="60"/>
      <c r="QKK2468" s="63"/>
      <c r="QKL2468" s="61"/>
      <c r="QKM2468" s="54"/>
      <c r="QKN2468" s="54"/>
      <c r="QKO2468" s="60"/>
      <c r="QKP2468" s="60"/>
      <c r="QKQ2468" s="60"/>
      <c r="QKR2468" s="60"/>
      <c r="QKS2468" s="63"/>
      <c r="QKT2468" s="61"/>
      <c r="QKU2468" s="54"/>
      <c r="QKV2468" s="54"/>
      <c r="QKW2468" s="60"/>
      <c r="QKX2468" s="60"/>
      <c r="QKY2468" s="60"/>
      <c r="QKZ2468" s="60"/>
      <c r="QLA2468" s="63"/>
      <c r="QLB2468" s="61"/>
      <c r="QLC2468" s="54"/>
      <c r="QLD2468" s="54"/>
      <c r="QLE2468" s="60"/>
      <c r="QLF2468" s="60"/>
      <c r="QLG2468" s="60"/>
      <c r="QLH2468" s="60"/>
      <c r="QLI2468" s="63"/>
      <c r="QLJ2468" s="61"/>
      <c r="QLK2468" s="54"/>
      <c r="QLL2468" s="54"/>
      <c r="QLM2468" s="60"/>
      <c r="QLN2468" s="60"/>
      <c r="QLO2468" s="60"/>
      <c r="QLP2468" s="60"/>
      <c r="QLQ2468" s="63"/>
      <c r="QLR2468" s="61"/>
      <c r="QLS2468" s="54"/>
      <c r="QLT2468" s="54"/>
      <c r="QLU2468" s="60"/>
      <c r="QLV2468" s="60"/>
      <c r="QLW2468" s="60"/>
      <c r="QLX2468" s="60"/>
      <c r="QLY2468" s="63"/>
      <c r="QLZ2468" s="61"/>
      <c r="QMA2468" s="54"/>
      <c r="QMB2468" s="54"/>
      <c r="QMC2468" s="60"/>
      <c r="QMD2468" s="60"/>
      <c r="QME2468" s="60"/>
      <c r="QMF2468" s="60"/>
      <c r="QMG2468" s="63"/>
      <c r="QMH2468" s="61"/>
      <c r="QMI2468" s="54"/>
      <c r="QMJ2468" s="54"/>
      <c r="QMK2468" s="60"/>
      <c r="QML2468" s="60"/>
      <c r="QMM2468" s="60"/>
      <c r="QMN2468" s="60"/>
      <c r="QMO2468" s="63"/>
      <c r="QMP2468" s="61"/>
      <c r="QMQ2468" s="54"/>
      <c r="QMR2468" s="54"/>
      <c r="QMS2468" s="60"/>
      <c r="QMT2468" s="60"/>
      <c r="QMU2468" s="60"/>
      <c r="QMV2468" s="60"/>
      <c r="QMW2468" s="63"/>
      <c r="QMX2468" s="61"/>
      <c r="QMY2468" s="54"/>
      <c r="QMZ2468" s="54"/>
      <c r="QNA2468" s="60"/>
      <c r="QNB2468" s="60"/>
      <c r="QNC2468" s="60"/>
      <c r="QND2468" s="60"/>
      <c r="QNE2468" s="63"/>
      <c r="QNF2468" s="61"/>
      <c r="QNG2468" s="54"/>
      <c r="QNH2468" s="54"/>
      <c r="QNI2468" s="60"/>
      <c r="QNJ2468" s="60"/>
      <c r="QNK2468" s="60"/>
      <c r="QNL2468" s="60"/>
      <c r="QNM2468" s="63"/>
      <c r="QNN2468" s="61"/>
      <c r="QNO2468" s="54"/>
      <c r="QNP2468" s="54"/>
      <c r="QNQ2468" s="60"/>
      <c r="QNR2468" s="60"/>
      <c r="QNS2468" s="60"/>
      <c r="QNT2468" s="60"/>
      <c r="QNU2468" s="63"/>
      <c r="QNV2468" s="61"/>
      <c r="QNW2468" s="54"/>
      <c r="QNX2468" s="54"/>
      <c r="QNY2468" s="60"/>
      <c r="QNZ2468" s="60"/>
      <c r="QOA2468" s="60"/>
      <c r="QOB2468" s="60"/>
      <c r="QOC2468" s="63"/>
      <c r="QOD2468" s="61"/>
      <c r="QOE2468" s="54"/>
      <c r="QOF2468" s="54"/>
      <c r="QOG2468" s="60"/>
      <c r="QOH2468" s="60"/>
      <c r="QOI2468" s="60"/>
      <c r="QOJ2468" s="60"/>
      <c r="QOK2468" s="63"/>
      <c r="QOL2468" s="61"/>
      <c r="QOM2468" s="54"/>
      <c r="QON2468" s="54"/>
      <c r="QOO2468" s="60"/>
      <c r="QOP2468" s="60"/>
      <c r="QOQ2468" s="60"/>
      <c r="QOR2468" s="60"/>
      <c r="QOS2468" s="63"/>
      <c r="QOT2468" s="61"/>
      <c r="QOU2468" s="54"/>
      <c r="QOV2468" s="54"/>
      <c r="QOW2468" s="60"/>
      <c r="QOX2468" s="60"/>
      <c r="QOY2468" s="60"/>
      <c r="QOZ2468" s="60"/>
      <c r="QPA2468" s="63"/>
      <c r="QPB2468" s="61"/>
      <c r="QPC2468" s="54"/>
      <c r="QPD2468" s="54"/>
      <c r="QPE2468" s="60"/>
      <c r="QPF2468" s="60"/>
      <c r="QPG2468" s="60"/>
      <c r="QPH2468" s="60"/>
      <c r="QPI2468" s="63"/>
      <c r="QPJ2468" s="61"/>
      <c r="QPK2468" s="54"/>
      <c r="QPL2468" s="54"/>
      <c r="QPM2468" s="60"/>
      <c r="QPN2468" s="60"/>
      <c r="QPO2468" s="60"/>
      <c r="QPP2468" s="60"/>
      <c r="QPQ2468" s="63"/>
      <c r="QPR2468" s="61"/>
      <c r="QPS2468" s="54"/>
      <c r="QPT2468" s="54"/>
      <c r="QPU2468" s="60"/>
      <c r="QPV2468" s="60"/>
      <c r="QPW2468" s="60"/>
      <c r="QPX2468" s="60"/>
      <c r="QPY2468" s="63"/>
      <c r="QPZ2468" s="61"/>
      <c r="QQA2468" s="54"/>
      <c r="QQB2468" s="54"/>
      <c r="QQC2468" s="60"/>
      <c r="QQD2468" s="60"/>
      <c r="QQE2468" s="60"/>
      <c r="QQF2468" s="60"/>
      <c r="QQG2468" s="63"/>
      <c r="QQH2468" s="61"/>
      <c r="QQI2468" s="54"/>
      <c r="QQJ2468" s="54"/>
      <c r="QQK2468" s="60"/>
      <c r="QQL2468" s="60"/>
      <c r="QQM2468" s="60"/>
      <c r="QQN2468" s="60"/>
      <c r="QQO2468" s="63"/>
      <c r="QQP2468" s="61"/>
      <c r="QQQ2468" s="54"/>
      <c r="QQR2468" s="54"/>
      <c r="QQS2468" s="60"/>
      <c r="QQT2468" s="60"/>
      <c r="QQU2468" s="60"/>
      <c r="QQV2468" s="60"/>
      <c r="QQW2468" s="63"/>
      <c r="QQX2468" s="61"/>
      <c r="QQY2468" s="54"/>
      <c r="QQZ2468" s="54"/>
      <c r="QRA2468" s="60"/>
      <c r="QRB2468" s="60"/>
      <c r="QRC2468" s="60"/>
      <c r="QRD2468" s="60"/>
      <c r="QRE2468" s="63"/>
      <c r="QRF2468" s="61"/>
      <c r="QRG2468" s="54"/>
      <c r="QRH2468" s="54"/>
      <c r="QRI2468" s="60"/>
      <c r="QRJ2468" s="60"/>
      <c r="QRK2468" s="60"/>
      <c r="QRL2468" s="60"/>
      <c r="QRM2468" s="63"/>
      <c r="QRN2468" s="61"/>
      <c r="QRO2468" s="54"/>
      <c r="QRP2468" s="54"/>
      <c r="QRQ2468" s="60"/>
      <c r="QRR2468" s="60"/>
      <c r="QRS2468" s="60"/>
      <c r="QRT2468" s="60"/>
      <c r="QRU2468" s="63"/>
      <c r="QRV2468" s="61"/>
      <c r="QRW2468" s="54"/>
      <c r="QRX2468" s="54"/>
      <c r="QRY2468" s="60"/>
      <c r="QRZ2468" s="60"/>
      <c r="QSA2468" s="60"/>
      <c r="QSB2468" s="60"/>
      <c r="QSC2468" s="63"/>
      <c r="QSD2468" s="61"/>
      <c r="QSE2468" s="54"/>
      <c r="QSF2468" s="54"/>
      <c r="QSG2468" s="60"/>
      <c r="QSH2468" s="60"/>
      <c r="QSI2468" s="60"/>
      <c r="QSJ2468" s="60"/>
      <c r="QSK2468" s="63"/>
      <c r="QSL2468" s="61"/>
      <c r="QSM2468" s="54"/>
      <c r="QSN2468" s="54"/>
      <c r="QSO2468" s="60"/>
      <c r="QSP2468" s="60"/>
      <c r="QSQ2468" s="60"/>
      <c r="QSR2468" s="60"/>
      <c r="QSS2468" s="63"/>
      <c r="QST2468" s="61"/>
      <c r="QSU2468" s="54"/>
      <c r="QSV2468" s="54"/>
      <c r="QSW2468" s="60"/>
      <c r="QSX2468" s="60"/>
      <c r="QSY2468" s="60"/>
      <c r="QSZ2468" s="60"/>
      <c r="QTA2468" s="63"/>
      <c r="QTB2468" s="61"/>
      <c r="QTC2468" s="54"/>
      <c r="QTD2468" s="54"/>
      <c r="QTE2468" s="60"/>
      <c r="QTF2468" s="60"/>
      <c r="QTG2468" s="60"/>
      <c r="QTH2468" s="60"/>
      <c r="QTI2468" s="63"/>
      <c r="QTJ2468" s="61"/>
      <c r="QTK2468" s="54"/>
      <c r="QTL2468" s="54"/>
      <c r="QTM2468" s="60"/>
      <c r="QTN2468" s="60"/>
      <c r="QTO2468" s="60"/>
      <c r="QTP2468" s="60"/>
      <c r="QTQ2468" s="63"/>
      <c r="QTR2468" s="61"/>
      <c r="QTS2468" s="54"/>
      <c r="QTT2468" s="54"/>
      <c r="QTU2468" s="60"/>
      <c r="QTV2468" s="60"/>
      <c r="QTW2468" s="60"/>
      <c r="QTX2468" s="60"/>
      <c r="QTY2468" s="63"/>
      <c r="QTZ2468" s="61"/>
      <c r="QUA2468" s="54"/>
      <c r="QUB2468" s="54"/>
      <c r="QUC2468" s="60"/>
      <c r="QUD2468" s="60"/>
      <c r="QUE2468" s="60"/>
      <c r="QUF2468" s="60"/>
      <c r="QUG2468" s="63"/>
      <c r="QUH2468" s="61"/>
      <c r="QUI2468" s="54"/>
      <c r="QUJ2468" s="54"/>
      <c r="QUK2468" s="60"/>
      <c r="QUL2468" s="60"/>
      <c r="QUM2468" s="60"/>
      <c r="QUN2468" s="60"/>
      <c r="QUO2468" s="63"/>
      <c r="QUP2468" s="61"/>
      <c r="QUQ2468" s="54"/>
      <c r="QUR2468" s="54"/>
      <c r="QUS2468" s="60"/>
      <c r="QUT2468" s="60"/>
      <c r="QUU2468" s="60"/>
      <c r="QUV2468" s="60"/>
      <c r="QUW2468" s="63"/>
      <c r="QUX2468" s="61"/>
      <c r="QUY2468" s="54"/>
      <c r="QUZ2468" s="54"/>
      <c r="QVA2468" s="60"/>
      <c r="QVB2468" s="60"/>
      <c r="QVC2468" s="60"/>
      <c r="QVD2468" s="60"/>
      <c r="QVE2468" s="63"/>
      <c r="QVF2468" s="61"/>
      <c r="QVG2468" s="54"/>
      <c r="QVH2468" s="54"/>
      <c r="QVI2468" s="60"/>
      <c r="QVJ2468" s="60"/>
      <c r="QVK2468" s="60"/>
      <c r="QVL2468" s="60"/>
      <c r="QVM2468" s="63"/>
      <c r="QVN2468" s="61"/>
      <c r="QVO2468" s="54"/>
      <c r="QVP2468" s="54"/>
      <c r="QVQ2468" s="60"/>
      <c r="QVR2468" s="60"/>
      <c r="QVS2468" s="60"/>
      <c r="QVT2468" s="60"/>
      <c r="QVU2468" s="63"/>
      <c r="QVV2468" s="61"/>
      <c r="QVW2468" s="54"/>
      <c r="QVX2468" s="54"/>
      <c r="QVY2468" s="60"/>
      <c r="QVZ2468" s="60"/>
      <c r="QWA2468" s="60"/>
      <c r="QWB2468" s="60"/>
      <c r="QWC2468" s="63"/>
      <c r="QWD2468" s="61"/>
      <c r="QWE2468" s="54"/>
      <c r="QWF2468" s="54"/>
      <c r="QWG2468" s="60"/>
      <c r="QWH2468" s="60"/>
      <c r="QWI2468" s="60"/>
      <c r="QWJ2468" s="60"/>
      <c r="QWK2468" s="63"/>
      <c r="QWL2468" s="61"/>
      <c r="QWM2468" s="54"/>
      <c r="QWN2468" s="54"/>
      <c r="QWO2468" s="60"/>
      <c r="QWP2468" s="60"/>
      <c r="QWQ2468" s="60"/>
      <c r="QWR2468" s="60"/>
      <c r="QWS2468" s="63"/>
      <c r="QWT2468" s="61"/>
      <c r="QWU2468" s="54"/>
      <c r="QWV2468" s="54"/>
      <c r="QWW2468" s="60"/>
      <c r="QWX2468" s="60"/>
      <c r="QWY2468" s="60"/>
      <c r="QWZ2468" s="60"/>
      <c r="QXA2468" s="63"/>
      <c r="QXB2468" s="61"/>
      <c r="QXC2468" s="54"/>
      <c r="QXD2468" s="54"/>
      <c r="QXE2468" s="60"/>
      <c r="QXF2468" s="60"/>
      <c r="QXG2468" s="60"/>
      <c r="QXH2468" s="60"/>
      <c r="QXI2468" s="63"/>
      <c r="QXJ2468" s="61"/>
      <c r="QXK2468" s="54"/>
      <c r="QXL2468" s="54"/>
      <c r="QXM2468" s="60"/>
      <c r="QXN2468" s="60"/>
      <c r="QXO2468" s="60"/>
      <c r="QXP2468" s="60"/>
      <c r="QXQ2468" s="63"/>
      <c r="QXR2468" s="61"/>
      <c r="QXS2468" s="54"/>
      <c r="QXT2468" s="54"/>
      <c r="QXU2468" s="60"/>
      <c r="QXV2468" s="60"/>
      <c r="QXW2468" s="60"/>
      <c r="QXX2468" s="60"/>
      <c r="QXY2468" s="63"/>
      <c r="QXZ2468" s="61"/>
      <c r="QYA2468" s="54"/>
      <c r="QYB2468" s="54"/>
      <c r="QYC2468" s="60"/>
      <c r="QYD2468" s="60"/>
      <c r="QYE2468" s="60"/>
      <c r="QYF2468" s="60"/>
      <c r="QYG2468" s="63"/>
      <c r="QYH2468" s="61"/>
      <c r="QYI2468" s="54"/>
      <c r="QYJ2468" s="54"/>
      <c r="QYK2468" s="60"/>
      <c r="QYL2468" s="60"/>
      <c r="QYM2468" s="60"/>
      <c r="QYN2468" s="60"/>
      <c r="QYO2468" s="63"/>
      <c r="QYP2468" s="61"/>
      <c r="QYQ2468" s="54"/>
      <c r="QYR2468" s="54"/>
      <c r="QYS2468" s="60"/>
      <c r="QYT2468" s="60"/>
      <c r="QYU2468" s="60"/>
      <c r="QYV2468" s="60"/>
      <c r="QYW2468" s="63"/>
      <c r="QYX2468" s="61"/>
      <c r="QYY2468" s="54"/>
      <c r="QYZ2468" s="54"/>
      <c r="QZA2468" s="60"/>
      <c r="QZB2468" s="60"/>
      <c r="QZC2468" s="60"/>
      <c r="QZD2468" s="60"/>
      <c r="QZE2468" s="63"/>
      <c r="QZF2468" s="61"/>
      <c r="QZG2468" s="54"/>
      <c r="QZH2468" s="54"/>
      <c r="QZI2468" s="60"/>
      <c r="QZJ2468" s="60"/>
      <c r="QZK2468" s="60"/>
      <c r="QZL2468" s="60"/>
      <c r="QZM2468" s="63"/>
      <c r="QZN2468" s="61"/>
      <c r="QZO2468" s="54"/>
      <c r="QZP2468" s="54"/>
      <c r="QZQ2468" s="60"/>
      <c r="QZR2468" s="60"/>
      <c r="QZS2468" s="60"/>
      <c r="QZT2468" s="60"/>
      <c r="QZU2468" s="63"/>
      <c r="QZV2468" s="61"/>
      <c r="QZW2468" s="54"/>
      <c r="QZX2468" s="54"/>
      <c r="QZY2468" s="60"/>
      <c r="QZZ2468" s="60"/>
      <c r="RAA2468" s="60"/>
      <c r="RAB2468" s="60"/>
      <c r="RAC2468" s="63"/>
      <c r="RAD2468" s="61"/>
      <c r="RAE2468" s="54"/>
      <c r="RAF2468" s="54"/>
      <c r="RAG2468" s="60"/>
      <c r="RAH2468" s="60"/>
      <c r="RAI2468" s="60"/>
      <c r="RAJ2468" s="60"/>
      <c r="RAK2468" s="63"/>
      <c r="RAL2468" s="61"/>
      <c r="RAM2468" s="54"/>
      <c r="RAN2468" s="54"/>
      <c r="RAO2468" s="60"/>
      <c r="RAP2468" s="60"/>
      <c r="RAQ2468" s="60"/>
      <c r="RAR2468" s="60"/>
      <c r="RAS2468" s="63"/>
      <c r="RAT2468" s="61"/>
      <c r="RAU2468" s="54"/>
      <c r="RAV2468" s="54"/>
      <c r="RAW2468" s="60"/>
      <c r="RAX2468" s="60"/>
      <c r="RAY2468" s="60"/>
      <c r="RAZ2468" s="60"/>
      <c r="RBA2468" s="63"/>
      <c r="RBB2468" s="61"/>
      <c r="RBC2468" s="54"/>
      <c r="RBD2468" s="54"/>
      <c r="RBE2468" s="60"/>
      <c r="RBF2468" s="60"/>
      <c r="RBG2468" s="60"/>
      <c r="RBH2468" s="60"/>
      <c r="RBI2468" s="63"/>
      <c r="RBJ2468" s="61"/>
      <c r="RBK2468" s="54"/>
      <c r="RBL2468" s="54"/>
      <c r="RBM2468" s="60"/>
      <c r="RBN2468" s="60"/>
      <c r="RBO2468" s="60"/>
      <c r="RBP2468" s="60"/>
      <c r="RBQ2468" s="63"/>
      <c r="RBR2468" s="61"/>
      <c r="RBS2468" s="54"/>
      <c r="RBT2468" s="54"/>
      <c r="RBU2468" s="60"/>
      <c r="RBV2468" s="60"/>
      <c r="RBW2468" s="60"/>
      <c r="RBX2468" s="60"/>
      <c r="RBY2468" s="63"/>
      <c r="RBZ2468" s="61"/>
      <c r="RCA2468" s="54"/>
      <c r="RCB2468" s="54"/>
      <c r="RCC2468" s="60"/>
      <c r="RCD2468" s="60"/>
      <c r="RCE2468" s="60"/>
      <c r="RCF2468" s="60"/>
      <c r="RCG2468" s="63"/>
      <c r="RCH2468" s="61"/>
      <c r="RCI2468" s="54"/>
      <c r="RCJ2468" s="54"/>
      <c r="RCK2468" s="60"/>
      <c r="RCL2468" s="60"/>
      <c r="RCM2468" s="60"/>
      <c r="RCN2468" s="60"/>
      <c r="RCO2468" s="63"/>
      <c r="RCP2468" s="61"/>
      <c r="RCQ2468" s="54"/>
      <c r="RCR2468" s="54"/>
      <c r="RCS2468" s="60"/>
      <c r="RCT2468" s="60"/>
      <c r="RCU2468" s="60"/>
      <c r="RCV2468" s="60"/>
      <c r="RCW2468" s="63"/>
      <c r="RCX2468" s="61"/>
      <c r="RCY2468" s="54"/>
      <c r="RCZ2468" s="54"/>
      <c r="RDA2468" s="60"/>
      <c r="RDB2468" s="60"/>
      <c r="RDC2468" s="60"/>
      <c r="RDD2468" s="60"/>
      <c r="RDE2468" s="63"/>
      <c r="RDF2468" s="61"/>
      <c r="RDG2468" s="54"/>
      <c r="RDH2468" s="54"/>
      <c r="RDI2468" s="60"/>
      <c r="RDJ2468" s="60"/>
      <c r="RDK2468" s="60"/>
      <c r="RDL2468" s="60"/>
      <c r="RDM2468" s="63"/>
      <c r="RDN2468" s="61"/>
      <c r="RDO2468" s="54"/>
      <c r="RDP2468" s="54"/>
      <c r="RDQ2468" s="60"/>
      <c r="RDR2468" s="60"/>
      <c r="RDS2468" s="60"/>
      <c r="RDT2468" s="60"/>
      <c r="RDU2468" s="63"/>
      <c r="RDV2468" s="61"/>
      <c r="RDW2468" s="54"/>
      <c r="RDX2468" s="54"/>
      <c r="RDY2468" s="60"/>
      <c r="RDZ2468" s="60"/>
      <c r="REA2468" s="60"/>
      <c r="REB2468" s="60"/>
      <c r="REC2468" s="63"/>
      <c r="RED2468" s="61"/>
      <c r="REE2468" s="54"/>
      <c r="REF2468" s="54"/>
      <c r="REG2468" s="60"/>
      <c r="REH2468" s="60"/>
      <c r="REI2468" s="60"/>
      <c r="REJ2468" s="60"/>
      <c r="REK2468" s="63"/>
      <c r="REL2468" s="61"/>
      <c r="REM2468" s="54"/>
      <c r="REN2468" s="54"/>
      <c r="REO2468" s="60"/>
      <c r="REP2468" s="60"/>
      <c r="REQ2468" s="60"/>
      <c r="RER2468" s="60"/>
      <c r="RES2468" s="63"/>
      <c r="RET2468" s="61"/>
      <c r="REU2468" s="54"/>
      <c r="REV2468" s="54"/>
      <c r="REW2468" s="60"/>
      <c r="REX2468" s="60"/>
      <c r="REY2468" s="60"/>
      <c r="REZ2468" s="60"/>
      <c r="RFA2468" s="63"/>
      <c r="RFB2468" s="61"/>
      <c r="RFC2468" s="54"/>
      <c r="RFD2468" s="54"/>
      <c r="RFE2468" s="60"/>
      <c r="RFF2468" s="60"/>
      <c r="RFG2468" s="60"/>
      <c r="RFH2468" s="60"/>
      <c r="RFI2468" s="63"/>
      <c r="RFJ2468" s="61"/>
      <c r="RFK2468" s="54"/>
      <c r="RFL2468" s="54"/>
      <c r="RFM2468" s="60"/>
      <c r="RFN2468" s="60"/>
      <c r="RFO2468" s="60"/>
      <c r="RFP2468" s="60"/>
      <c r="RFQ2468" s="63"/>
      <c r="RFR2468" s="61"/>
      <c r="RFS2468" s="54"/>
      <c r="RFT2468" s="54"/>
      <c r="RFU2468" s="60"/>
      <c r="RFV2468" s="60"/>
      <c r="RFW2468" s="60"/>
      <c r="RFX2468" s="60"/>
      <c r="RFY2468" s="63"/>
      <c r="RFZ2468" s="61"/>
      <c r="RGA2468" s="54"/>
      <c r="RGB2468" s="54"/>
      <c r="RGC2468" s="60"/>
      <c r="RGD2468" s="60"/>
      <c r="RGE2468" s="60"/>
      <c r="RGF2468" s="60"/>
      <c r="RGG2468" s="63"/>
      <c r="RGH2468" s="61"/>
      <c r="RGI2468" s="54"/>
      <c r="RGJ2468" s="54"/>
      <c r="RGK2468" s="60"/>
      <c r="RGL2468" s="60"/>
      <c r="RGM2468" s="60"/>
      <c r="RGN2468" s="60"/>
      <c r="RGO2468" s="63"/>
      <c r="RGP2468" s="61"/>
      <c r="RGQ2468" s="54"/>
      <c r="RGR2468" s="54"/>
      <c r="RGS2468" s="60"/>
      <c r="RGT2468" s="60"/>
      <c r="RGU2468" s="60"/>
      <c r="RGV2468" s="60"/>
      <c r="RGW2468" s="63"/>
      <c r="RGX2468" s="61"/>
      <c r="RGY2468" s="54"/>
      <c r="RGZ2468" s="54"/>
      <c r="RHA2468" s="60"/>
      <c r="RHB2468" s="60"/>
      <c r="RHC2468" s="60"/>
      <c r="RHD2468" s="60"/>
      <c r="RHE2468" s="63"/>
      <c r="RHF2468" s="61"/>
      <c r="RHG2468" s="54"/>
      <c r="RHH2468" s="54"/>
      <c r="RHI2468" s="60"/>
      <c r="RHJ2468" s="60"/>
      <c r="RHK2468" s="60"/>
      <c r="RHL2468" s="60"/>
      <c r="RHM2468" s="63"/>
      <c r="RHN2468" s="61"/>
      <c r="RHO2468" s="54"/>
      <c r="RHP2468" s="54"/>
      <c r="RHQ2468" s="60"/>
      <c r="RHR2468" s="60"/>
      <c r="RHS2468" s="60"/>
      <c r="RHT2468" s="60"/>
      <c r="RHU2468" s="63"/>
      <c r="RHV2468" s="61"/>
      <c r="RHW2468" s="54"/>
      <c r="RHX2468" s="54"/>
      <c r="RHY2468" s="60"/>
      <c r="RHZ2468" s="60"/>
      <c r="RIA2468" s="60"/>
      <c r="RIB2468" s="60"/>
      <c r="RIC2468" s="63"/>
      <c r="RID2468" s="61"/>
      <c r="RIE2468" s="54"/>
      <c r="RIF2468" s="54"/>
      <c r="RIG2468" s="60"/>
      <c r="RIH2468" s="60"/>
      <c r="RII2468" s="60"/>
      <c r="RIJ2468" s="60"/>
      <c r="RIK2468" s="63"/>
      <c r="RIL2468" s="61"/>
      <c r="RIM2468" s="54"/>
      <c r="RIN2468" s="54"/>
      <c r="RIO2468" s="60"/>
      <c r="RIP2468" s="60"/>
      <c r="RIQ2468" s="60"/>
      <c r="RIR2468" s="60"/>
      <c r="RIS2468" s="63"/>
      <c r="RIT2468" s="61"/>
      <c r="RIU2468" s="54"/>
      <c r="RIV2468" s="54"/>
      <c r="RIW2468" s="60"/>
      <c r="RIX2468" s="60"/>
      <c r="RIY2468" s="60"/>
      <c r="RIZ2468" s="60"/>
      <c r="RJA2468" s="63"/>
      <c r="RJB2468" s="61"/>
      <c r="RJC2468" s="54"/>
      <c r="RJD2468" s="54"/>
      <c r="RJE2468" s="60"/>
      <c r="RJF2468" s="60"/>
      <c r="RJG2468" s="60"/>
      <c r="RJH2468" s="60"/>
      <c r="RJI2468" s="63"/>
      <c r="RJJ2468" s="61"/>
      <c r="RJK2468" s="54"/>
      <c r="RJL2468" s="54"/>
      <c r="RJM2468" s="60"/>
      <c r="RJN2468" s="60"/>
      <c r="RJO2468" s="60"/>
      <c r="RJP2468" s="60"/>
      <c r="RJQ2468" s="63"/>
      <c r="RJR2468" s="61"/>
      <c r="RJS2468" s="54"/>
      <c r="RJT2468" s="54"/>
      <c r="RJU2468" s="60"/>
      <c r="RJV2468" s="60"/>
      <c r="RJW2468" s="60"/>
      <c r="RJX2468" s="60"/>
      <c r="RJY2468" s="63"/>
      <c r="RJZ2468" s="61"/>
      <c r="RKA2468" s="54"/>
      <c r="RKB2468" s="54"/>
      <c r="RKC2468" s="60"/>
      <c r="RKD2468" s="60"/>
      <c r="RKE2468" s="60"/>
      <c r="RKF2468" s="60"/>
      <c r="RKG2468" s="63"/>
      <c r="RKH2468" s="61"/>
      <c r="RKI2468" s="54"/>
      <c r="RKJ2468" s="54"/>
      <c r="RKK2468" s="60"/>
      <c r="RKL2468" s="60"/>
      <c r="RKM2468" s="60"/>
      <c r="RKN2468" s="60"/>
      <c r="RKO2468" s="63"/>
      <c r="RKP2468" s="61"/>
      <c r="RKQ2468" s="54"/>
      <c r="RKR2468" s="54"/>
      <c r="RKS2468" s="60"/>
      <c r="RKT2468" s="60"/>
      <c r="RKU2468" s="60"/>
      <c r="RKV2468" s="60"/>
      <c r="RKW2468" s="63"/>
      <c r="RKX2468" s="61"/>
      <c r="RKY2468" s="54"/>
      <c r="RKZ2468" s="54"/>
      <c r="RLA2468" s="60"/>
      <c r="RLB2468" s="60"/>
      <c r="RLC2468" s="60"/>
      <c r="RLD2468" s="60"/>
      <c r="RLE2468" s="63"/>
      <c r="RLF2468" s="61"/>
      <c r="RLG2468" s="54"/>
      <c r="RLH2468" s="54"/>
      <c r="RLI2468" s="60"/>
      <c r="RLJ2468" s="60"/>
      <c r="RLK2468" s="60"/>
      <c r="RLL2468" s="60"/>
      <c r="RLM2468" s="63"/>
      <c r="RLN2468" s="61"/>
      <c r="RLO2468" s="54"/>
      <c r="RLP2468" s="54"/>
      <c r="RLQ2468" s="60"/>
      <c r="RLR2468" s="60"/>
      <c r="RLS2468" s="60"/>
      <c r="RLT2468" s="60"/>
      <c r="RLU2468" s="63"/>
      <c r="RLV2468" s="61"/>
      <c r="RLW2468" s="54"/>
      <c r="RLX2468" s="54"/>
      <c r="RLY2468" s="60"/>
      <c r="RLZ2468" s="60"/>
      <c r="RMA2468" s="60"/>
      <c r="RMB2468" s="60"/>
      <c r="RMC2468" s="63"/>
      <c r="RMD2468" s="61"/>
      <c r="RME2468" s="54"/>
      <c r="RMF2468" s="54"/>
      <c r="RMG2468" s="60"/>
      <c r="RMH2468" s="60"/>
      <c r="RMI2468" s="60"/>
      <c r="RMJ2468" s="60"/>
      <c r="RMK2468" s="63"/>
      <c r="RML2468" s="61"/>
      <c r="RMM2468" s="54"/>
      <c r="RMN2468" s="54"/>
      <c r="RMO2468" s="60"/>
      <c r="RMP2468" s="60"/>
      <c r="RMQ2468" s="60"/>
      <c r="RMR2468" s="60"/>
      <c r="RMS2468" s="63"/>
      <c r="RMT2468" s="61"/>
      <c r="RMU2468" s="54"/>
      <c r="RMV2468" s="54"/>
      <c r="RMW2468" s="60"/>
      <c r="RMX2468" s="60"/>
      <c r="RMY2468" s="60"/>
      <c r="RMZ2468" s="60"/>
      <c r="RNA2468" s="63"/>
      <c r="RNB2468" s="61"/>
      <c r="RNC2468" s="54"/>
      <c r="RND2468" s="54"/>
      <c r="RNE2468" s="60"/>
      <c r="RNF2468" s="60"/>
      <c r="RNG2468" s="60"/>
      <c r="RNH2468" s="60"/>
      <c r="RNI2468" s="63"/>
      <c r="RNJ2468" s="61"/>
      <c r="RNK2468" s="54"/>
      <c r="RNL2468" s="54"/>
      <c r="RNM2468" s="60"/>
      <c r="RNN2468" s="60"/>
      <c r="RNO2468" s="60"/>
      <c r="RNP2468" s="60"/>
      <c r="RNQ2468" s="63"/>
      <c r="RNR2468" s="61"/>
      <c r="RNS2468" s="54"/>
      <c r="RNT2468" s="54"/>
      <c r="RNU2468" s="60"/>
      <c r="RNV2468" s="60"/>
      <c r="RNW2468" s="60"/>
      <c r="RNX2468" s="60"/>
      <c r="RNY2468" s="63"/>
      <c r="RNZ2468" s="61"/>
      <c r="ROA2468" s="54"/>
      <c r="ROB2468" s="54"/>
      <c r="ROC2468" s="60"/>
      <c r="ROD2468" s="60"/>
      <c r="ROE2468" s="60"/>
      <c r="ROF2468" s="60"/>
      <c r="ROG2468" s="63"/>
      <c r="ROH2468" s="61"/>
      <c r="ROI2468" s="54"/>
      <c r="ROJ2468" s="54"/>
      <c r="ROK2468" s="60"/>
      <c r="ROL2468" s="60"/>
      <c r="ROM2468" s="60"/>
      <c r="RON2468" s="60"/>
      <c r="ROO2468" s="63"/>
      <c r="ROP2468" s="61"/>
      <c r="ROQ2468" s="54"/>
      <c r="ROR2468" s="54"/>
      <c r="ROS2468" s="60"/>
      <c r="ROT2468" s="60"/>
      <c r="ROU2468" s="60"/>
      <c r="ROV2468" s="60"/>
      <c r="ROW2468" s="63"/>
      <c r="ROX2468" s="61"/>
      <c r="ROY2468" s="54"/>
      <c r="ROZ2468" s="54"/>
      <c r="RPA2468" s="60"/>
      <c r="RPB2468" s="60"/>
      <c r="RPC2468" s="60"/>
      <c r="RPD2468" s="60"/>
      <c r="RPE2468" s="63"/>
      <c r="RPF2468" s="61"/>
      <c r="RPG2468" s="54"/>
      <c r="RPH2468" s="54"/>
      <c r="RPI2468" s="60"/>
      <c r="RPJ2468" s="60"/>
      <c r="RPK2468" s="60"/>
      <c r="RPL2468" s="60"/>
      <c r="RPM2468" s="63"/>
      <c r="RPN2468" s="61"/>
      <c r="RPO2468" s="54"/>
      <c r="RPP2468" s="54"/>
      <c r="RPQ2468" s="60"/>
      <c r="RPR2468" s="60"/>
      <c r="RPS2468" s="60"/>
      <c r="RPT2468" s="60"/>
      <c r="RPU2468" s="63"/>
      <c r="RPV2468" s="61"/>
      <c r="RPW2468" s="54"/>
      <c r="RPX2468" s="54"/>
      <c r="RPY2468" s="60"/>
      <c r="RPZ2468" s="60"/>
      <c r="RQA2468" s="60"/>
      <c r="RQB2468" s="60"/>
      <c r="RQC2468" s="63"/>
      <c r="RQD2468" s="61"/>
      <c r="RQE2468" s="54"/>
      <c r="RQF2468" s="54"/>
      <c r="RQG2468" s="60"/>
      <c r="RQH2468" s="60"/>
      <c r="RQI2468" s="60"/>
      <c r="RQJ2468" s="60"/>
      <c r="RQK2468" s="63"/>
      <c r="RQL2468" s="61"/>
      <c r="RQM2468" s="54"/>
      <c r="RQN2468" s="54"/>
      <c r="RQO2468" s="60"/>
      <c r="RQP2468" s="60"/>
      <c r="RQQ2468" s="60"/>
      <c r="RQR2468" s="60"/>
      <c r="RQS2468" s="63"/>
      <c r="RQT2468" s="61"/>
      <c r="RQU2468" s="54"/>
      <c r="RQV2468" s="54"/>
      <c r="RQW2468" s="60"/>
      <c r="RQX2468" s="60"/>
      <c r="RQY2468" s="60"/>
      <c r="RQZ2468" s="60"/>
      <c r="RRA2468" s="63"/>
      <c r="RRB2468" s="61"/>
      <c r="RRC2468" s="54"/>
      <c r="RRD2468" s="54"/>
      <c r="RRE2468" s="60"/>
      <c r="RRF2468" s="60"/>
      <c r="RRG2468" s="60"/>
      <c r="RRH2468" s="60"/>
      <c r="RRI2468" s="63"/>
      <c r="RRJ2468" s="61"/>
      <c r="RRK2468" s="54"/>
      <c r="RRL2468" s="54"/>
      <c r="RRM2468" s="60"/>
      <c r="RRN2468" s="60"/>
      <c r="RRO2468" s="60"/>
      <c r="RRP2468" s="60"/>
      <c r="RRQ2468" s="63"/>
      <c r="RRR2468" s="61"/>
      <c r="RRS2468" s="54"/>
      <c r="RRT2468" s="54"/>
      <c r="RRU2468" s="60"/>
      <c r="RRV2468" s="60"/>
      <c r="RRW2468" s="60"/>
      <c r="RRX2468" s="60"/>
      <c r="RRY2468" s="63"/>
      <c r="RRZ2468" s="61"/>
      <c r="RSA2468" s="54"/>
      <c r="RSB2468" s="54"/>
      <c r="RSC2468" s="60"/>
      <c r="RSD2468" s="60"/>
      <c r="RSE2468" s="60"/>
      <c r="RSF2468" s="60"/>
      <c r="RSG2468" s="63"/>
      <c r="RSH2468" s="61"/>
      <c r="RSI2468" s="54"/>
      <c r="RSJ2468" s="54"/>
      <c r="RSK2468" s="60"/>
      <c r="RSL2468" s="60"/>
      <c r="RSM2468" s="60"/>
      <c r="RSN2468" s="60"/>
      <c r="RSO2468" s="63"/>
      <c r="RSP2468" s="61"/>
      <c r="RSQ2468" s="54"/>
      <c r="RSR2468" s="54"/>
      <c r="RSS2468" s="60"/>
      <c r="RST2468" s="60"/>
      <c r="RSU2468" s="60"/>
      <c r="RSV2468" s="60"/>
      <c r="RSW2468" s="63"/>
      <c r="RSX2468" s="61"/>
      <c r="RSY2468" s="54"/>
      <c r="RSZ2468" s="54"/>
      <c r="RTA2468" s="60"/>
      <c r="RTB2468" s="60"/>
      <c r="RTC2468" s="60"/>
      <c r="RTD2468" s="60"/>
      <c r="RTE2468" s="63"/>
      <c r="RTF2468" s="61"/>
      <c r="RTG2468" s="54"/>
      <c r="RTH2468" s="54"/>
      <c r="RTI2468" s="60"/>
      <c r="RTJ2468" s="60"/>
      <c r="RTK2468" s="60"/>
      <c r="RTL2468" s="60"/>
      <c r="RTM2468" s="63"/>
      <c r="RTN2468" s="61"/>
      <c r="RTO2468" s="54"/>
      <c r="RTP2468" s="54"/>
      <c r="RTQ2468" s="60"/>
      <c r="RTR2468" s="60"/>
      <c r="RTS2468" s="60"/>
      <c r="RTT2468" s="60"/>
      <c r="RTU2468" s="63"/>
      <c r="RTV2468" s="61"/>
      <c r="RTW2468" s="54"/>
      <c r="RTX2468" s="54"/>
      <c r="RTY2468" s="60"/>
      <c r="RTZ2468" s="60"/>
      <c r="RUA2468" s="60"/>
      <c r="RUB2468" s="60"/>
      <c r="RUC2468" s="63"/>
      <c r="RUD2468" s="61"/>
      <c r="RUE2468" s="54"/>
      <c r="RUF2468" s="54"/>
      <c r="RUG2468" s="60"/>
      <c r="RUH2468" s="60"/>
      <c r="RUI2468" s="60"/>
      <c r="RUJ2468" s="60"/>
      <c r="RUK2468" s="63"/>
      <c r="RUL2468" s="61"/>
      <c r="RUM2468" s="54"/>
      <c r="RUN2468" s="54"/>
      <c r="RUO2468" s="60"/>
      <c r="RUP2468" s="60"/>
      <c r="RUQ2468" s="60"/>
      <c r="RUR2468" s="60"/>
      <c r="RUS2468" s="63"/>
      <c r="RUT2468" s="61"/>
      <c r="RUU2468" s="54"/>
      <c r="RUV2468" s="54"/>
      <c r="RUW2468" s="60"/>
      <c r="RUX2468" s="60"/>
      <c r="RUY2468" s="60"/>
      <c r="RUZ2468" s="60"/>
      <c r="RVA2468" s="63"/>
      <c r="RVB2468" s="61"/>
      <c r="RVC2468" s="54"/>
      <c r="RVD2468" s="54"/>
      <c r="RVE2468" s="60"/>
      <c r="RVF2468" s="60"/>
      <c r="RVG2468" s="60"/>
      <c r="RVH2468" s="60"/>
      <c r="RVI2468" s="63"/>
      <c r="RVJ2468" s="61"/>
      <c r="RVK2468" s="54"/>
      <c r="RVL2468" s="54"/>
      <c r="RVM2468" s="60"/>
      <c r="RVN2468" s="60"/>
      <c r="RVO2468" s="60"/>
      <c r="RVP2468" s="60"/>
      <c r="RVQ2468" s="63"/>
      <c r="RVR2468" s="61"/>
      <c r="RVS2468" s="54"/>
      <c r="RVT2468" s="54"/>
      <c r="RVU2468" s="60"/>
      <c r="RVV2468" s="60"/>
      <c r="RVW2468" s="60"/>
      <c r="RVX2468" s="60"/>
      <c r="RVY2468" s="63"/>
      <c r="RVZ2468" s="61"/>
      <c r="RWA2468" s="54"/>
      <c r="RWB2468" s="54"/>
      <c r="RWC2468" s="60"/>
      <c r="RWD2468" s="60"/>
      <c r="RWE2468" s="60"/>
      <c r="RWF2468" s="60"/>
      <c r="RWG2468" s="63"/>
      <c r="RWH2468" s="61"/>
      <c r="RWI2468" s="54"/>
      <c r="RWJ2468" s="54"/>
      <c r="RWK2468" s="60"/>
      <c r="RWL2468" s="60"/>
      <c r="RWM2468" s="60"/>
      <c r="RWN2468" s="60"/>
      <c r="RWO2468" s="63"/>
      <c r="RWP2468" s="61"/>
      <c r="RWQ2468" s="54"/>
      <c r="RWR2468" s="54"/>
      <c r="RWS2468" s="60"/>
      <c r="RWT2468" s="60"/>
      <c r="RWU2468" s="60"/>
      <c r="RWV2468" s="60"/>
      <c r="RWW2468" s="63"/>
      <c r="RWX2468" s="61"/>
      <c r="RWY2468" s="54"/>
      <c r="RWZ2468" s="54"/>
      <c r="RXA2468" s="60"/>
      <c r="RXB2468" s="60"/>
      <c r="RXC2468" s="60"/>
      <c r="RXD2468" s="60"/>
      <c r="RXE2468" s="63"/>
      <c r="RXF2468" s="61"/>
      <c r="RXG2468" s="54"/>
      <c r="RXH2468" s="54"/>
      <c r="RXI2468" s="60"/>
      <c r="RXJ2468" s="60"/>
      <c r="RXK2468" s="60"/>
      <c r="RXL2468" s="60"/>
      <c r="RXM2468" s="63"/>
      <c r="RXN2468" s="61"/>
      <c r="RXO2468" s="54"/>
      <c r="RXP2468" s="54"/>
      <c r="RXQ2468" s="60"/>
      <c r="RXR2468" s="60"/>
      <c r="RXS2468" s="60"/>
      <c r="RXT2468" s="60"/>
      <c r="RXU2468" s="63"/>
      <c r="RXV2468" s="61"/>
      <c r="RXW2468" s="54"/>
      <c r="RXX2468" s="54"/>
      <c r="RXY2468" s="60"/>
      <c r="RXZ2468" s="60"/>
      <c r="RYA2468" s="60"/>
      <c r="RYB2468" s="60"/>
      <c r="RYC2468" s="63"/>
      <c r="RYD2468" s="61"/>
      <c r="RYE2468" s="54"/>
      <c r="RYF2468" s="54"/>
      <c r="RYG2468" s="60"/>
      <c r="RYH2468" s="60"/>
      <c r="RYI2468" s="60"/>
      <c r="RYJ2468" s="60"/>
      <c r="RYK2468" s="63"/>
      <c r="RYL2468" s="61"/>
      <c r="RYM2468" s="54"/>
      <c r="RYN2468" s="54"/>
      <c r="RYO2468" s="60"/>
      <c r="RYP2468" s="60"/>
      <c r="RYQ2468" s="60"/>
      <c r="RYR2468" s="60"/>
      <c r="RYS2468" s="63"/>
      <c r="RYT2468" s="61"/>
      <c r="RYU2468" s="54"/>
      <c r="RYV2468" s="54"/>
      <c r="RYW2468" s="60"/>
      <c r="RYX2468" s="60"/>
      <c r="RYY2468" s="60"/>
      <c r="RYZ2468" s="60"/>
      <c r="RZA2468" s="63"/>
      <c r="RZB2468" s="61"/>
      <c r="RZC2468" s="54"/>
      <c r="RZD2468" s="54"/>
      <c r="RZE2468" s="60"/>
      <c r="RZF2468" s="60"/>
      <c r="RZG2468" s="60"/>
      <c r="RZH2468" s="60"/>
      <c r="RZI2468" s="63"/>
      <c r="RZJ2468" s="61"/>
      <c r="RZK2468" s="54"/>
      <c r="RZL2468" s="54"/>
      <c r="RZM2468" s="60"/>
      <c r="RZN2468" s="60"/>
      <c r="RZO2468" s="60"/>
      <c r="RZP2468" s="60"/>
      <c r="RZQ2468" s="63"/>
      <c r="RZR2468" s="61"/>
      <c r="RZS2468" s="54"/>
      <c r="RZT2468" s="54"/>
      <c r="RZU2468" s="60"/>
      <c r="RZV2468" s="60"/>
      <c r="RZW2468" s="60"/>
      <c r="RZX2468" s="60"/>
      <c r="RZY2468" s="63"/>
      <c r="RZZ2468" s="61"/>
      <c r="SAA2468" s="54"/>
      <c r="SAB2468" s="54"/>
      <c r="SAC2468" s="60"/>
      <c r="SAD2468" s="60"/>
      <c r="SAE2468" s="60"/>
      <c r="SAF2468" s="60"/>
      <c r="SAG2468" s="63"/>
      <c r="SAH2468" s="61"/>
      <c r="SAI2468" s="54"/>
      <c r="SAJ2468" s="54"/>
      <c r="SAK2468" s="60"/>
      <c r="SAL2468" s="60"/>
      <c r="SAM2468" s="60"/>
      <c r="SAN2468" s="60"/>
      <c r="SAO2468" s="63"/>
      <c r="SAP2468" s="61"/>
      <c r="SAQ2468" s="54"/>
      <c r="SAR2468" s="54"/>
      <c r="SAS2468" s="60"/>
      <c r="SAT2468" s="60"/>
      <c r="SAU2468" s="60"/>
      <c r="SAV2468" s="60"/>
      <c r="SAW2468" s="63"/>
      <c r="SAX2468" s="61"/>
      <c r="SAY2468" s="54"/>
      <c r="SAZ2468" s="54"/>
      <c r="SBA2468" s="60"/>
      <c r="SBB2468" s="60"/>
      <c r="SBC2468" s="60"/>
      <c r="SBD2468" s="60"/>
      <c r="SBE2468" s="63"/>
      <c r="SBF2468" s="61"/>
      <c r="SBG2468" s="54"/>
      <c r="SBH2468" s="54"/>
      <c r="SBI2468" s="60"/>
      <c r="SBJ2468" s="60"/>
      <c r="SBK2468" s="60"/>
      <c r="SBL2468" s="60"/>
      <c r="SBM2468" s="63"/>
      <c r="SBN2468" s="61"/>
      <c r="SBO2468" s="54"/>
      <c r="SBP2468" s="54"/>
      <c r="SBQ2468" s="60"/>
      <c r="SBR2468" s="60"/>
      <c r="SBS2468" s="60"/>
      <c r="SBT2468" s="60"/>
      <c r="SBU2468" s="63"/>
      <c r="SBV2468" s="61"/>
      <c r="SBW2468" s="54"/>
      <c r="SBX2468" s="54"/>
      <c r="SBY2468" s="60"/>
      <c r="SBZ2468" s="60"/>
      <c r="SCA2468" s="60"/>
      <c r="SCB2468" s="60"/>
      <c r="SCC2468" s="63"/>
      <c r="SCD2468" s="61"/>
      <c r="SCE2468" s="54"/>
      <c r="SCF2468" s="54"/>
      <c r="SCG2468" s="60"/>
      <c r="SCH2468" s="60"/>
      <c r="SCI2468" s="60"/>
      <c r="SCJ2468" s="60"/>
      <c r="SCK2468" s="63"/>
      <c r="SCL2468" s="61"/>
      <c r="SCM2468" s="54"/>
      <c r="SCN2468" s="54"/>
      <c r="SCO2468" s="60"/>
      <c r="SCP2468" s="60"/>
      <c r="SCQ2468" s="60"/>
      <c r="SCR2468" s="60"/>
      <c r="SCS2468" s="63"/>
      <c r="SCT2468" s="61"/>
      <c r="SCU2468" s="54"/>
      <c r="SCV2468" s="54"/>
      <c r="SCW2468" s="60"/>
      <c r="SCX2468" s="60"/>
      <c r="SCY2468" s="60"/>
      <c r="SCZ2468" s="60"/>
      <c r="SDA2468" s="63"/>
      <c r="SDB2468" s="61"/>
      <c r="SDC2468" s="54"/>
      <c r="SDD2468" s="54"/>
      <c r="SDE2468" s="60"/>
      <c r="SDF2468" s="60"/>
      <c r="SDG2468" s="60"/>
      <c r="SDH2468" s="60"/>
      <c r="SDI2468" s="63"/>
      <c r="SDJ2468" s="61"/>
      <c r="SDK2468" s="54"/>
      <c r="SDL2468" s="54"/>
      <c r="SDM2468" s="60"/>
      <c r="SDN2468" s="60"/>
      <c r="SDO2468" s="60"/>
      <c r="SDP2468" s="60"/>
      <c r="SDQ2468" s="63"/>
      <c r="SDR2468" s="61"/>
      <c r="SDS2468" s="54"/>
      <c r="SDT2468" s="54"/>
      <c r="SDU2468" s="60"/>
      <c r="SDV2468" s="60"/>
      <c r="SDW2468" s="60"/>
      <c r="SDX2468" s="60"/>
      <c r="SDY2468" s="63"/>
      <c r="SDZ2468" s="61"/>
      <c r="SEA2468" s="54"/>
      <c r="SEB2468" s="54"/>
      <c r="SEC2468" s="60"/>
      <c r="SED2468" s="60"/>
      <c r="SEE2468" s="60"/>
      <c r="SEF2468" s="60"/>
      <c r="SEG2468" s="63"/>
      <c r="SEH2468" s="61"/>
      <c r="SEI2468" s="54"/>
      <c r="SEJ2468" s="54"/>
      <c r="SEK2468" s="60"/>
      <c r="SEL2468" s="60"/>
      <c r="SEM2468" s="60"/>
      <c r="SEN2468" s="60"/>
      <c r="SEO2468" s="63"/>
      <c r="SEP2468" s="61"/>
      <c r="SEQ2468" s="54"/>
      <c r="SER2468" s="54"/>
      <c r="SES2468" s="60"/>
      <c r="SET2468" s="60"/>
      <c r="SEU2468" s="60"/>
      <c r="SEV2468" s="60"/>
      <c r="SEW2468" s="63"/>
      <c r="SEX2468" s="61"/>
      <c r="SEY2468" s="54"/>
      <c r="SEZ2468" s="54"/>
      <c r="SFA2468" s="60"/>
      <c r="SFB2468" s="60"/>
      <c r="SFC2468" s="60"/>
      <c r="SFD2468" s="60"/>
      <c r="SFE2468" s="63"/>
      <c r="SFF2468" s="61"/>
      <c r="SFG2468" s="54"/>
      <c r="SFH2468" s="54"/>
      <c r="SFI2468" s="60"/>
      <c r="SFJ2468" s="60"/>
      <c r="SFK2468" s="60"/>
      <c r="SFL2468" s="60"/>
      <c r="SFM2468" s="63"/>
      <c r="SFN2468" s="61"/>
      <c r="SFO2468" s="54"/>
      <c r="SFP2468" s="54"/>
      <c r="SFQ2468" s="60"/>
      <c r="SFR2468" s="60"/>
      <c r="SFS2468" s="60"/>
      <c r="SFT2468" s="60"/>
      <c r="SFU2468" s="63"/>
      <c r="SFV2468" s="61"/>
      <c r="SFW2468" s="54"/>
      <c r="SFX2468" s="54"/>
      <c r="SFY2468" s="60"/>
      <c r="SFZ2468" s="60"/>
      <c r="SGA2468" s="60"/>
      <c r="SGB2468" s="60"/>
      <c r="SGC2468" s="63"/>
      <c r="SGD2468" s="61"/>
      <c r="SGE2468" s="54"/>
      <c r="SGF2468" s="54"/>
      <c r="SGG2468" s="60"/>
      <c r="SGH2468" s="60"/>
      <c r="SGI2468" s="60"/>
      <c r="SGJ2468" s="60"/>
      <c r="SGK2468" s="63"/>
      <c r="SGL2468" s="61"/>
      <c r="SGM2468" s="54"/>
      <c r="SGN2468" s="54"/>
      <c r="SGO2468" s="60"/>
      <c r="SGP2468" s="60"/>
      <c r="SGQ2468" s="60"/>
      <c r="SGR2468" s="60"/>
      <c r="SGS2468" s="63"/>
      <c r="SGT2468" s="61"/>
      <c r="SGU2468" s="54"/>
      <c r="SGV2468" s="54"/>
      <c r="SGW2468" s="60"/>
      <c r="SGX2468" s="60"/>
      <c r="SGY2468" s="60"/>
      <c r="SGZ2468" s="60"/>
      <c r="SHA2468" s="63"/>
      <c r="SHB2468" s="61"/>
      <c r="SHC2468" s="54"/>
      <c r="SHD2468" s="54"/>
      <c r="SHE2468" s="60"/>
      <c r="SHF2468" s="60"/>
      <c r="SHG2468" s="60"/>
      <c r="SHH2468" s="60"/>
      <c r="SHI2468" s="63"/>
      <c r="SHJ2468" s="61"/>
      <c r="SHK2468" s="54"/>
      <c r="SHL2468" s="54"/>
      <c r="SHM2468" s="60"/>
      <c r="SHN2468" s="60"/>
      <c r="SHO2468" s="60"/>
      <c r="SHP2468" s="60"/>
      <c r="SHQ2468" s="63"/>
      <c r="SHR2468" s="61"/>
      <c r="SHS2468" s="54"/>
      <c r="SHT2468" s="54"/>
      <c r="SHU2468" s="60"/>
      <c r="SHV2468" s="60"/>
      <c r="SHW2468" s="60"/>
      <c r="SHX2468" s="60"/>
      <c r="SHY2468" s="63"/>
      <c r="SHZ2468" s="61"/>
      <c r="SIA2468" s="54"/>
      <c r="SIB2468" s="54"/>
      <c r="SIC2468" s="60"/>
      <c r="SID2468" s="60"/>
      <c r="SIE2468" s="60"/>
      <c r="SIF2468" s="60"/>
      <c r="SIG2468" s="63"/>
      <c r="SIH2468" s="61"/>
      <c r="SII2468" s="54"/>
      <c r="SIJ2468" s="54"/>
      <c r="SIK2468" s="60"/>
      <c r="SIL2468" s="60"/>
      <c r="SIM2468" s="60"/>
      <c r="SIN2468" s="60"/>
      <c r="SIO2468" s="63"/>
      <c r="SIP2468" s="61"/>
      <c r="SIQ2468" s="54"/>
      <c r="SIR2468" s="54"/>
      <c r="SIS2468" s="60"/>
      <c r="SIT2468" s="60"/>
      <c r="SIU2468" s="60"/>
      <c r="SIV2468" s="60"/>
      <c r="SIW2468" s="63"/>
      <c r="SIX2468" s="61"/>
      <c r="SIY2468" s="54"/>
      <c r="SIZ2468" s="54"/>
      <c r="SJA2468" s="60"/>
      <c r="SJB2468" s="60"/>
      <c r="SJC2468" s="60"/>
      <c r="SJD2468" s="60"/>
      <c r="SJE2468" s="63"/>
      <c r="SJF2468" s="61"/>
      <c r="SJG2468" s="54"/>
      <c r="SJH2468" s="54"/>
      <c r="SJI2468" s="60"/>
      <c r="SJJ2468" s="60"/>
      <c r="SJK2468" s="60"/>
      <c r="SJL2468" s="60"/>
      <c r="SJM2468" s="63"/>
      <c r="SJN2468" s="61"/>
      <c r="SJO2468" s="54"/>
      <c r="SJP2468" s="54"/>
      <c r="SJQ2468" s="60"/>
      <c r="SJR2468" s="60"/>
      <c r="SJS2468" s="60"/>
      <c r="SJT2468" s="60"/>
      <c r="SJU2468" s="63"/>
      <c r="SJV2468" s="61"/>
      <c r="SJW2468" s="54"/>
      <c r="SJX2468" s="54"/>
      <c r="SJY2468" s="60"/>
      <c r="SJZ2468" s="60"/>
      <c r="SKA2468" s="60"/>
      <c r="SKB2468" s="60"/>
      <c r="SKC2468" s="63"/>
      <c r="SKD2468" s="61"/>
      <c r="SKE2468" s="54"/>
      <c r="SKF2468" s="54"/>
      <c r="SKG2468" s="60"/>
      <c r="SKH2468" s="60"/>
      <c r="SKI2468" s="60"/>
      <c r="SKJ2468" s="60"/>
      <c r="SKK2468" s="63"/>
      <c r="SKL2468" s="61"/>
      <c r="SKM2468" s="54"/>
      <c r="SKN2468" s="54"/>
      <c r="SKO2468" s="60"/>
      <c r="SKP2468" s="60"/>
      <c r="SKQ2468" s="60"/>
      <c r="SKR2468" s="60"/>
      <c r="SKS2468" s="63"/>
      <c r="SKT2468" s="61"/>
      <c r="SKU2468" s="54"/>
      <c r="SKV2468" s="54"/>
      <c r="SKW2468" s="60"/>
      <c r="SKX2468" s="60"/>
      <c r="SKY2468" s="60"/>
      <c r="SKZ2468" s="60"/>
      <c r="SLA2468" s="63"/>
      <c r="SLB2468" s="61"/>
      <c r="SLC2468" s="54"/>
      <c r="SLD2468" s="54"/>
      <c r="SLE2468" s="60"/>
      <c r="SLF2468" s="60"/>
      <c r="SLG2468" s="60"/>
      <c r="SLH2468" s="60"/>
      <c r="SLI2468" s="63"/>
      <c r="SLJ2468" s="61"/>
      <c r="SLK2468" s="54"/>
      <c r="SLL2468" s="54"/>
      <c r="SLM2468" s="60"/>
      <c r="SLN2468" s="60"/>
      <c r="SLO2468" s="60"/>
      <c r="SLP2468" s="60"/>
      <c r="SLQ2468" s="63"/>
      <c r="SLR2468" s="61"/>
      <c r="SLS2468" s="54"/>
      <c r="SLT2468" s="54"/>
      <c r="SLU2468" s="60"/>
      <c r="SLV2468" s="60"/>
      <c r="SLW2468" s="60"/>
      <c r="SLX2468" s="60"/>
      <c r="SLY2468" s="63"/>
      <c r="SLZ2468" s="61"/>
      <c r="SMA2468" s="54"/>
      <c r="SMB2468" s="54"/>
      <c r="SMC2468" s="60"/>
      <c r="SMD2468" s="60"/>
      <c r="SME2468" s="60"/>
      <c r="SMF2468" s="60"/>
      <c r="SMG2468" s="63"/>
      <c r="SMH2468" s="61"/>
      <c r="SMI2468" s="54"/>
      <c r="SMJ2468" s="54"/>
      <c r="SMK2468" s="60"/>
      <c r="SML2468" s="60"/>
      <c r="SMM2468" s="60"/>
      <c r="SMN2468" s="60"/>
      <c r="SMO2468" s="63"/>
      <c r="SMP2468" s="61"/>
      <c r="SMQ2468" s="54"/>
      <c r="SMR2468" s="54"/>
      <c r="SMS2468" s="60"/>
      <c r="SMT2468" s="60"/>
      <c r="SMU2468" s="60"/>
      <c r="SMV2468" s="60"/>
      <c r="SMW2468" s="63"/>
      <c r="SMX2468" s="61"/>
      <c r="SMY2468" s="54"/>
      <c r="SMZ2468" s="54"/>
      <c r="SNA2468" s="60"/>
      <c r="SNB2468" s="60"/>
      <c r="SNC2468" s="60"/>
      <c r="SND2468" s="60"/>
      <c r="SNE2468" s="63"/>
      <c r="SNF2468" s="61"/>
      <c r="SNG2468" s="54"/>
      <c r="SNH2468" s="54"/>
      <c r="SNI2468" s="60"/>
      <c r="SNJ2468" s="60"/>
      <c r="SNK2468" s="60"/>
      <c r="SNL2468" s="60"/>
      <c r="SNM2468" s="63"/>
      <c r="SNN2468" s="61"/>
      <c r="SNO2468" s="54"/>
      <c r="SNP2468" s="54"/>
      <c r="SNQ2468" s="60"/>
      <c r="SNR2468" s="60"/>
      <c r="SNS2468" s="60"/>
      <c r="SNT2468" s="60"/>
      <c r="SNU2468" s="63"/>
      <c r="SNV2468" s="61"/>
      <c r="SNW2468" s="54"/>
      <c r="SNX2468" s="54"/>
      <c r="SNY2468" s="60"/>
      <c r="SNZ2468" s="60"/>
      <c r="SOA2468" s="60"/>
      <c r="SOB2468" s="60"/>
      <c r="SOC2468" s="63"/>
      <c r="SOD2468" s="61"/>
      <c r="SOE2468" s="54"/>
      <c r="SOF2468" s="54"/>
      <c r="SOG2468" s="60"/>
      <c r="SOH2468" s="60"/>
      <c r="SOI2468" s="60"/>
      <c r="SOJ2468" s="60"/>
      <c r="SOK2468" s="63"/>
      <c r="SOL2468" s="61"/>
      <c r="SOM2468" s="54"/>
      <c r="SON2468" s="54"/>
      <c r="SOO2468" s="60"/>
      <c r="SOP2468" s="60"/>
      <c r="SOQ2468" s="60"/>
      <c r="SOR2468" s="60"/>
      <c r="SOS2468" s="63"/>
      <c r="SOT2468" s="61"/>
      <c r="SOU2468" s="54"/>
      <c r="SOV2468" s="54"/>
      <c r="SOW2468" s="60"/>
      <c r="SOX2468" s="60"/>
      <c r="SOY2468" s="60"/>
      <c r="SOZ2468" s="60"/>
      <c r="SPA2468" s="63"/>
      <c r="SPB2468" s="61"/>
      <c r="SPC2468" s="54"/>
      <c r="SPD2468" s="54"/>
      <c r="SPE2468" s="60"/>
      <c r="SPF2468" s="60"/>
      <c r="SPG2468" s="60"/>
      <c r="SPH2468" s="60"/>
      <c r="SPI2468" s="63"/>
      <c r="SPJ2468" s="61"/>
      <c r="SPK2468" s="54"/>
      <c r="SPL2468" s="54"/>
      <c r="SPM2468" s="60"/>
      <c r="SPN2468" s="60"/>
      <c r="SPO2468" s="60"/>
      <c r="SPP2468" s="60"/>
      <c r="SPQ2468" s="63"/>
      <c r="SPR2468" s="61"/>
      <c r="SPS2468" s="54"/>
      <c r="SPT2468" s="54"/>
      <c r="SPU2468" s="60"/>
      <c r="SPV2468" s="60"/>
      <c r="SPW2468" s="60"/>
      <c r="SPX2468" s="60"/>
      <c r="SPY2468" s="63"/>
      <c r="SPZ2468" s="61"/>
      <c r="SQA2468" s="54"/>
      <c r="SQB2468" s="54"/>
      <c r="SQC2468" s="60"/>
      <c r="SQD2468" s="60"/>
      <c r="SQE2468" s="60"/>
      <c r="SQF2468" s="60"/>
      <c r="SQG2468" s="63"/>
      <c r="SQH2468" s="61"/>
      <c r="SQI2468" s="54"/>
      <c r="SQJ2468" s="54"/>
      <c r="SQK2468" s="60"/>
      <c r="SQL2468" s="60"/>
      <c r="SQM2468" s="60"/>
      <c r="SQN2468" s="60"/>
      <c r="SQO2468" s="63"/>
      <c r="SQP2468" s="61"/>
      <c r="SQQ2468" s="54"/>
      <c r="SQR2468" s="54"/>
      <c r="SQS2468" s="60"/>
      <c r="SQT2468" s="60"/>
      <c r="SQU2468" s="60"/>
      <c r="SQV2468" s="60"/>
      <c r="SQW2468" s="63"/>
      <c r="SQX2468" s="61"/>
      <c r="SQY2468" s="54"/>
      <c r="SQZ2468" s="54"/>
      <c r="SRA2468" s="60"/>
      <c r="SRB2468" s="60"/>
      <c r="SRC2468" s="60"/>
      <c r="SRD2468" s="60"/>
      <c r="SRE2468" s="63"/>
      <c r="SRF2468" s="61"/>
      <c r="SRG2468" s="54"/>
      <c r="SRH2468" s="54"/>
      <c r="SRI2468" s="60"/>
      <c r="SRJ2468" s="60"/>
      <c r="SRK2468" s="60"/>
      <c r="SRL2468" s="60"/>
      <c r="SRM2468" s="63"/>
      <c r="SRN2468" s="61"/>
      <c r="SRO2468" s="54"/>
      <c r="SRP2468" s="54"/>
      <c r="SRQ2468" s="60"/>
      <c r="SRR2468" s="60"/>
      <c r="SRS2468" s="60"/>
      <c r="SRT2468" s="60"/>
      <c r="SRU2468" s="63"/>
      <c r="SRV2468" s="61"/>
      <c r="SRW2468" s="54"/>
      <c r="SRX2468" s="54"/>
      <c r="SRY2468" s="60"/>
      <c r="SRZ2468" s="60"/>
      <c r="SSA2468" s="60"/>
      <c r="SSB2468" s="60"/>
      <c r="SSC2468" s="63"/>
      <c r="SSD2468" s="61"/>
      <c r="SSE2468" s="54"/>
      <c r="SSF2468" s="54"/>
      <c r="SSG2468" s="60"/>
      <c r="SSH2468" s="60"/>
      <c r="SSI2468" s="60"/>
      <c r="SSJ2468" s="60"/>
      <c r="SSK2468" s="63"/>
      <c r="SSL2468" s="61"/>
      <c r="SSM2468" s="54"/>
      <c r="SSN2468" s="54"/>
      <c r="SSO2468" s="60"/>
      <c r="SSP2468" s="60"/>
      <c r="SSQ2468" s="60"/>
      <c r="SSR2468" s="60"/>
      <c r="SSS2468" s="63"/>
      <c r="SST2468" s="61"/>
      <c r="SSU2468" s="54"/>
      <c r="SSV2468" s="54"/>
      <c r="SSW2468" s="60"/>
      <c r="SSX2468" s="60"/>
      <c r="SSY2468" s="60"/>
      <c r="SSZ2468" s="60"/>
      <c r="STA2468" s="63"/>
      <c r="STB2468" s="61"/>
      <c r="STC2468" s="54"/>
      <c r="STD2468" s="54"/>
      <c r="STE2468" s="60"/>
      <c r="STF2468" s="60"/>
      <c r="STG2468" s="60"/>
      <c r="STH2468" s="60"/>
      <c r="STI2468" s="63"/>
      <c r="STJ2468" s="61"/>
      <c r="STK2468" s="54"/>
      <c r="STL2468" s="54"/>
      <c r="STM2468" s="60"/>
      <c r="STN2468" s="60"/>
      <c r="STO2468" s="60"/>
      <c r="STP2468" s="60"/>
      <c r="STQ2468" s="63"/>
      <c r="STR2468" s="61"/>
      <c r="STS2468" s="54"/>
      <c r="STT2468" s="54"/>
      <c r="STU2468" s="60"/>
      <c r="STV2468" s="60"/>
      <c r="STW2468" s="60"/>
      <c r="STX2468" s="60"/>
      <c r="STY2468" s="63"/>
      <c r="STZ2468" s="61"/>
      <c r="SUA2468" s="54"/>
      <c r="SUB2468" s="54"/>
      <c r="SUC2468" s="60"/>
      <c r="SUD2468" s="60"/>
      <c r="SUE2468" s="60"/>
      <c r="SUF2468" s="60"/>
      <c r="SUG2468" s="63"/>
      <c r="SUH2468" s="61"/>
      <c r="SUI2468" s="54"/>
      <c r="SUJ2468" s="54"/>
      <c r="SUK2468" s="60"/>
      <c r="SUL2468" s="60"/>
      <c r="SUM2468" s="60"/>
      <c r="SUN2468" s="60"/>
      <c r="SUO2468" s="63"/>
      <c r="SUP2468" s="61"/>
      <c r="SUQ2468" s="54"/>
      <c r="SUR2468" s="54"/>
      <c r="SUS2468" s="60"/>
      <c r="SUT2468" s="60"/>
      <c r="SUU2468" s="60"/>
      <c r="SUV2468" s="60"/>
      <c r="SUW2468" s="63"/>
      <c r="SUX2468" s="61"/>
      <c r="SUY2468" s="54"/>
      <c r="SUZ2468" s="54"/>
      <c r="SVA2468" s="60"/>
      <c r="SVB2468" s="60"/>
      <c r="SVC2468" s="60"/>
      <c r="SVD2468" s="60"/>
      <c r="SVE2468" s="63"/>
      <c r="SVF2468" s="61"/>
      <c r="SVG2468" s="54"/>
      <c r="SVH2468" s="54"/>
      <c r="SVI2468" s="60"/>
      <c r="SVJ2468" s="60"/>
      <c r="SVK2468" s="60"/>
      <c r="SVL2468" s="60"/>
      <c r="SVM2468" s="63"/>
      <c r="SVN2468" s="61"/>
      <c r="SVO2468" s="54"/>
      <c r="SVP2468" s="54"/>
      <c r="SVQ2468" s="60"/>
      <c r="SVR2468" s="60"/>
      <c r="SVS2468" s="60"/>
      <c r="SVT2468" s="60"/>
      <c r="SVU2468" s="63"/>
      <c r="SVV2468" s="61"/>
      <c r="SVW2468" s="54"/>
      <c r="SVX2468" s="54"/>
      <c r="SVY2468" s="60"/>
      <c r="SVZ2468" s="60"/>
      <c r="SWA2468" s="60"/>
      <c r="SWB2468" s="60"/>
      <c r="SWC2468" s="63"/>
      <c r="SWD2468" s="61"/>
      <c r="SWE2468" s="54"/>
      <c r="SWF2468" s="54"/>
      <c r="SWG2468" s="60"/>
      <c r="SWH2468" s="60"/>
      <c r="SWI2468" s="60"/>
      <c r="SWJ2468" s="60"/>
      <c r="SWK2468" s="63"/>
      <c r="SWL2468" s="61"/>
      <c r="SWM2468" s="54"/>
      <c r="SWN2468" s="54"/>
      <c r="SWO2468" s="60"/>
      <c r="SWP2468" s="60"/>
      <c r="SWQ2468" s="60"/>
      <c r="SWR2468" s="60"/>
      <c r="SWS2468" s="63"/>
      <c r="SWT2468" s="61"/>
      <c r="SWU2468" s="54"/>
      <c r="SWV2468" s="54"/>
      <c r="SWW2468" s="60"/>
      <c r="SWX2468" s="60"/>
      <c r="SWY2468" s="60"/>
      <c r="SWZ2468" s="60"/>
      <c r="SXA2468" s="63"/>
      <c r="SXB2468" s="61"/>
      <c r="SXC2468" s="54"/>
      <c r="SXD2468" s="54"/>
      <c r="SXE2468" s="60"/>
      <c r="SXF2468" s="60"/>
      <c r="SXG2468" s="60"/>
      <c r="SXH2468" s="60"/>
      <c r="SXI2468" s="63"/>
      <c r="SXJ2468" s="61"/>
      <c r="SXK2468" s="54"/>
      <c r="SXL2468" s="54"/>
      <c r="SXM2468" s="60"/>
      <c r="SXN2468" s="60"/>
      <c r="SXO2468" s="60"/>
      <c r="SXP2468" s="60"/>
      <c r="SXQ2468" s="63"/>
      <c r="SXR2468" s="61"/>
      <c r="SXS2468" s="54"/>
      <c r="SXT2468" s="54"/>
      <c r="SXU2468" s="60"/>
      <c r="SXV2468" s="60"/>
      <c r="SXW2468" s="60"/>
      <c r="SXX2468" s="60"/>
      <c r="SXY2468" s="63"/>
      <c r="SXZ2468" s="61"/>
      <c r="SYA2468" s="54"/>
      <c r="SYB2468" s="54"/>
      <c r="SYC2468" s="60"/>
      <c r="SYD2468" s="60"/>
      <c r="SYE2468" s="60"/>
      <c r="SYF2468" s="60"/>
      <c r="SYG2468" s="63"/>
      <c r="SYH2468" s="61"/>
      <c r="SYI2468" s="54"/>
      <c r="SYJ2468" s="54"/>
      <c r="SYK2468" s="60"/>
      <c r="SYL2468" s="60"/>
      <c r="SYM2468" s="60"/>
      <c r="SYN2468" s="60"/>
      <c r="SYO2468" s="63"/>
      <c r="SYP2468" s="61"/>
      <c r="SYQ2468" s="54"/>
      <c r="SYR2468" s="54"/>
      <c r="SYS2468" s="60"/>
      <c r="SYT2468" s="60"/>
      <c r="SYU2468" s="60"/>
      <c r="SYV2468" s="60"/>
      <c r="SYW2468" s="63"/>
      <c r="SYX2468" s="61"/>
      <c r="SYY2468" s="54"/>
      <c r="SYZ2468" s="54"/>
      <c r="SZA2468" s="60"/>
      <c r="SZB2468" s="60"/>
      <c r="SZC2468" s="60"/>
      <c r="SZD2468" s="60"/>
      <c r="SZE2468" s="63"/>
      <c r="SZF2468" s="61"/>
      <c r="SZG2468" s="54"/>
      <c r="SZH2468" s="54"/>
      <c r="SZI2468" s="60"/>
      <c r="SZJ2468" s="60"/>
      <c r="SZK2468" s="60"/>
      <c r="SZL2468" s="60"/>
      <c r="SZM2468" s="63"/>
      <c r="SZN2468" s="61"/>
      <c r="SZO2468" s="54"/>
      <c r="SZP2468" s="54"/>
      <c r="SZQ2468" s="60"/>
      <c r="SZR2468" s="60"/>
      <c r="SZS2468" s="60"/>
      <c r="SZT2468" s="60"/>
      <c r="SZU2468" s="63"/>
      <c r="SZV2468" s="61"/>
      <c r="SZW2468" s="54"/>
      <c r="SZX2468" s="54"/>
      <c r="SZY2468" s="60"/>
      <c r="SZZ2468" s="60"/>
      <c r="TAA2468" s="60"/>
      <c r="TAB2468" s="60"/>
      <c r="TAC2468" s="63"/>
      <c r="TAD2468" s="61"/>
      <c r="TAE2468" s="54"/>
      <c r="TAF2468" s="54"/>
      <c r="TAG2468" s="60"/>
      <c r="TAH2468" s="60"/>
      <c r="TAI2468" s="60"/>
      <c r="TAJ2468" s="60"/>
      <c r="TAK2468" s="63"/>
      <c r="TAL2468" s="61"/>
      <c r="TAM2468" s="54"/>
      <c r="TAN2468" s="54"/>
      <c r="TAO2468" s="60"/>
      <c r="TAP2468" s="60"/>
      <c r="TAQ2468" s="60"/>
      <c r="TAR2468" s="60"/>
      <c r="TAS2468" s="63"/>
      <c r="TAT2468" s="61"/>
      <c r="TAU2468" s="54"/>
      <c r="TAV2468" s="54"/>
      <c r="TAW2468" s="60"/>
      <c r="TAX2468" s="60"/>
      <c r="TAY2468" s="60"/>
      <c r="TAZ2468" s="60"/>
      <c r="TBA2468" s="63"/>
      <c r="TBB2468" s="61"/>
      <c r="TBC2468" s="54"/>
      <c r="TBD2468" s="54"/>
      <c r="TBE2468" s="60"/>
      <c r="TBF2468" s="60"/>
      <c r="TBG2468" s="60"/>
      <c r="TBH2468" s="60"/>
      <c r="TBI2468" s="63"/>
      <c r="TBJ2468" s="61"/>
      <c r="TBK2468" s="54"/>
      <c r="TBL2468" s="54"/>
      <c r="TBM2468" s="60"/>
      <c r="TBN2468" s="60"/>
      <c r="TBO2468" s="60"/>
      <c r="TBP2468" s="60"/>
      <c r="TBQ2468" s="63"/>
      <c r="TBR2468" s="61"/>
      <c r="TBS2468" s="54"/>
      <c r="TBT2468" s="54"/>
      <c r="TBU2468" s="60"/>
      <c r="TBV2468" s="60"/>
      <c r="TBW2468" s="60"/>
      <c r="TBX2468" s="60"/>
      <c r="TBY2468" s="63"/>
      <c r="TBZ2468" s="61"/>
      <c r="TCA2468" s="54"/>
      <c r="TCB2468" s="54"/>
      <c r="TCC2468" s="60"/>
      <c r="TCD2468" s="60"/>
      <c r="TCE2468" s="60"/>
      <c r="TCF2468" s="60"/>
      <c r="TCG2468" s="63"/>
      <c r="TCH2468" s="61"/>
      <c r="TCI2468" s="54"/>
      <c r="TCJ2468" s="54"/>
      <c r="TCK2468" s="60"/>
      <c r="TCL2468" s="60"/>
      <c r="TCM2468" s="60"/>
      <c r="TCN2468" s="60"/>
      <c r="TCO2468" s="63"/>
      <c r="TCP2468" s="61"/>
      <c r="TCQ2468" s="54"/>
      <c r="TCR2468" s="54"/>
      <c r="TCS2468" s="60"/>
      <c r="TCT2468" s="60"/>
      <c r="TCU2468" s="60"/>
      <c r="TCV2468" s="60"/>
      <c r="TCW2468" s="63"/>
      <c r="TCX2468" s="61"/>
      <c r="TCY2468" s="54"/>
      <c r="TCZ2468" s="54"/>
      <c r="TDA2468" s="60"/>
      <c r="TDB2468" s="60"/>
      <c r="TDC2468" s="60"/>
      <c r="TDD2468" s="60"/>
      <c r="TDE2468" s="63"/>
      <c r="TDF2468" s="61"/>
      <c r="TDG2468" s="54"/>
      <c r="TDH2468" s="54"/>
      <c r="TDI2468" s="60"/>
      <c r="TDJ2468" s="60"/>
      <c r="TDK2468" s="60"/>
      <c r="TDL2468" s="60"/>
      <c r="TDM2468" s="63"/>
      <c r="TDN2468" s="61"/>
      <c r="TDO2468" s="54"/>
      <c r="TDP2468" s="54"/>
      <c r="TDQ2468" s="60"/>
      <c r="TDR2468" s="60"/>
      <c r="TDS2468" s="60"/>
      <c r="TDT2468" s="60"/>
      <c r="TDU2468" s="63"/>
      <c r="TDV2468" s="61"/>
      <c r="TDW2468" s="54"/>
      <c r="TDX2468" s="54"/>
      <c r="TDY2468" s="60"/>
      <c r="TDZ2468" s="60"/>
      <c r="TEA2468" s="60"/>
      <c r="TEB2468" s="60"/>
      <c r="TEC2468" s="63"/>
      <c r="TED2468" s="61"/>
      <c r="TEE2468" s="54"/>
      <c r="TEF2468" s="54"/>
      <c r="TEG2468" s="60"/>
      <c r="TEH2468" s="60"/>
      <c r="TEI2468" s="60"/>
      <c r="TEJ2468" s="60"/>
      <c r="TEK2468" s="63"/>
      <c r="TEL2468" s="61"/>
      <c r="TEM2468" s="54"/>
      <c r="TEN2468" s="54"/>
      <c r="TEO2468" s="60"/>
      <c r="TEP2468" s="60"/>
      <c r="TEQ2468" s="60"/>
      <c r="TER2468" s="60"/>
      <c r="TES2468" s="63"/>
      <c r="TET2468" s="61"/>
      <c r="TEU2468" s="54"/>
      <c r="TEV2468" s="54"/>
      <c r="TEW2468" s="60"/>
      <c r="TEX2468" s="60"/>
      <c r="TEY2468" s="60"/>
      <c r="TEZ2468" s="60"/>
      <c r="TFA2468" s="63"/>
      <c r="TFB2468" s="61"/>
      <c r="TFC2468" s="54"/>
      <c r="TFD2468" s="54"/>
      <c r="TFE2468" s="60"/>
      <c r="TFF2468" s="60"/>
      <c r="TFG2468" s="60"/>
      <c r="TFH2468" s="60"/>
      <c r="TFI2468" s="63"/>
      <c r="TFJ2468" s="61"/>
      <c r="TFK2468" s="54"/>
      <c r="TFL2468" s="54"/>
      <c r="TFM2468" s="60"/>
      <c r="TFN2468" s="60"/>
      <c r="TFO2468" s="60"/>
      <c r="TFP2468" s="60"/>
      <c r="TFQ2468" s="63"/>
      <c r="TFR2468" s="61"/>
      <c r="TFS2468" s="54"/>
      <c r="TFT2468" s="54"/>
      <c r="TFU2468" s="60"/>
      <c r="TFV2468" s="60"/>
      <c r="TFW2468" s="60"/>
      <c r="TFX2468" s="60"/>
      <c r="TFY2468" s="63"/>
      <c r="TFZ2468" s="61"/>
      <c r="TGA2468" s="54"/>
      <c r="TGB2468" s="54"/>
      <c r="TGC2468" s="60"/>
      <c r="TGD2468" s="60"/>
      <c r="TGE2468" s="60"/>
      <c r="TGF2468" s="60"/>
      <c r="TGG2468" s="63"/>
      <c r="TGH2468" s="61"/>
      <c r="TGI2468" s="54"/>
      <c r="TGJ2468" s="54"/>
      <c r="TGK2468" s="60"/>
      <c r="TGL2468" s="60"/>
      <c r="TGM2468" s="60"/>
      <c r="TGN2468" s="60"/>
      <c r="TGO2468" s="63"/>
      <c r="TGP2468" s="61"/>
      <c r="TGQ2468" s="54"/>
      <c r="TGR2468" s="54"/>
      <c r="TGS2468" s="60"/>
      <c r="TGT2468" s="60"/>
      <c r="TGU2468" s="60"/>
      <c r="TGV2468" s="60"/>
      <c r="TGW2468" s="63"/>
      <c r="TGX2468" s="61"/>
      <c r="TGY2468" s="54"/>
      <c r="TGZ2468" s="54"/>
      <c r="THA2468" s="60"/>
      <c r="THB2468" s="60"/>
      <c r="THC2468" s="60"/>
      <c r="THD2468" s="60"/>
      <c r="THE2468" s="63"/>
      <c r="THF2468" s="61"/>
      <c r="THG2468" s="54"/>
      <c r="THH2468" s="54"/>
      <c r="THI2468" s="60"/>
      <c r="THJ2468" s="60"/>
      <c r="THK2468" s="60"/>
      <c r="THL2468" s="60"/>
      <c r="THM2468" s="63"/>
      <c r="THN2468" s="61"/>
      <c r="THO2468" s="54"/>
      <c r="THP2468" s="54"/>
      <c r="THQ2468" s="60"/>
      <c r="THR2468" s="60"/>
      <c r="THS2468" s="60"/>
      <c r="THT2468" s="60"/>
      <c r="THU2468" s="63"/>
      <c r="THV2468" s="61"/>
      <c r="THW2468" s="54"/>
      <c r="THX2468" s="54"/>
      <c r="THY2468" s="60"/>
      <c r="THZ2468" s="60"/>
      <c r="TIA2468" s="60"/>
      <c r="TIB2468" s="60"/>
      <c r="TIC2468" s="63"/>
      <c r="TID2468" s="61"/>
      <c r="TIE2468" s="54"/>
      <c r="TIF2468" s="54"/>
      <c r="TIG2468" s="60"/>
      <c r="TIH2468" s="60"/>
      <c r="TII2468" s="60"/>
      <c r="TIJ2468" s="60"/>
      <c r="TIK2468" s="63"/>
      <c r="TIL2468" s="61"/>
      <c r="TIM2468" s="54"/>
      <c r="TIN2468" s="54"/>
      <c r="TIO2468" s="60"/>
      <c r="TIP2468" s="60"/>
      <c r="TIQ2468" s="60"/>
      <c r="TIR2468" s="60"/>
      <c r="TIS2468" s="63"/>
      <c r="TIT2468" s="61"/>
      <c r="TIU2468" s="54"/>
      <c r="TIV2468" s="54"/>
      <c r="TIW2468" s="60"/>
      <c r="TIX2468" s="60"/>
      <c r="TIY2468" s="60"/>
      <c r="TIZ2468" s="60"/>
      <c r="TJA2468" s="63"/>
      <c r="TJB2468" s="61"/>
      <c r="TJC2468" s="54"/>
      <c r="TJD2468" s="54"/>
      <c r="TJE2468" s="60"/>
      <c r="TJF2468" s="60"/>
      <c r="TJG2468" s="60"/>
      <c r="TJH2468" s="60"/>
      <c r="TJI2468" s="63"/>
      <c r="TJJ2468" s="61"/>
      <c r="TJK2468" s="54"/>
      <c r="TJL2468" s="54"/>
      <c r="TJM2468" s="60"/>
      <c r="TJN2468" s="60"/>
      <c r="TJO2468" s="60"/>
      <c r="TJP2468" s="60"/>
      <c r="TJQ2468" s="63"/>
      <c r="TJR2468" s="61"/>
      <c r="TJS2468" s="54"/>
      <c r="TJT2468" s="54"/>
      <c r="TJU2468" s="60"/>
      <c r="TJV2468" s="60"/>
      <c r="TJW2468" s="60"/>
      <c r="TJX2468" s="60"/>
      <c r="TJY2468" s="63"/>
      <c r="TJZ2468" s="61"/>
      <c r="TKA2468" s="54"/>
      <c r="TKB2468" s="54"/>
      <c r="TKC2468" s="60"/>
      <c r="TKD2468" s="60"/>
      <c r="TKE2468" s="60"/>
      <c r="TKF2468" s="60"/>
      <c r="TKG2468" s="63"/>
      <c r="TKH2468" s="61"/>
      <c r="TKI2468" s="54"/>
      <c r="TKJ2468" s="54"/>
      <c r="TKK2468" s="60"/>
      <c r="TKL2468" s="60"/>
      <c r="TKM2468" s="60"/>
      <c r="TKN2468" s="60"/>
      <c r="TKO2468" s="63"/>
      <c r="TKP2468" s="61"/>
      <c r="TKQ2468" s="54"/>
      <c r="TKR2468" s="54"/>
      <c r="TKS2468" s="60"/>
      <c r="TKT2468" s="60"/>
      <c r="TKU2468" s="60"/>
      <c r="TKV2468" s="60"/>
      <c r="TKW2468" s="63"/>
      <c r="TKX2468" s="61"/>
      <c r="TKY2468" s="54"/>
      <c r="TKZ2468" s="54"/>
      <c r="TLA2468" s="60"/>
      <c r="TLB2468" s="60"/>
      <c r="TLC2468" s="60"/>
      <c r="TLD2468" s="60"/>
      <c r="TLE2468" s="63"/>
      <c r="TLF2468" s="61"/>
      <c r="TLG2468" s="54"/>
      <c r="TLH2468" s="54"/>
      <c r="TLI2468" s="60"/>
      <c r="TLJ2468" s="60"/>
      <c r="TLK2468" s="60"/>
      <c r="TLL2468" s="60"/>
      <c r="TLM2468" s="63"/>
      <c r="TLN2468" s="61"/>
      <c r="TLO2468" s="54"/>
      <c r="TLP2468" s="54"/>
      <c r="TLQ2468" s="60"/>
      <c r="TLR2468" s="60"/>
      <c r="TLS2468" s="60"/>
      <c r="TLT2468" s="60"/>
      <c r="TLU2468" s="63"/>
      <c r="TLV2468" s="61"/>
      <c r="TLW2468" s="54"/>
      <c r="TLX2468" s="54"/>
      <c r="TLY2468" s="60"/>
      <c r="TLZ2468" s="60"/>
      <c r="TMA2468" s="60"/>
      <c r="TMB2468" s="60"/>
      <c r="TMC2468" s="63"/>
      <c r="TMD2468" s="61"/>
      <c r="TME2468" s="54"/>
      <c r="TMF2468" s="54"/>
      <c r="TMG2468" s="60"/>
      <c r="TMH2468" s="60"/>
      <c r="TMI2468" s="60"/>
      <c r="TMJ2468" s="60"/>
      <c r="TMK2468" s="63"/>
      <c r="TML2468" s="61"/>
      <c r="TMM2468" s="54"/>
      <c r="TMN2468" s="54"/>
      <c r="TMO2468" s="60"/>
      <c r="TMP2468" s="60"/>
      <c r="TMQ2468" s="60"/>
      <c r="TMR2468" s="60"/>
      <c r="TMS2468" s="63"/>
      <c r="TMT2468" s="61"/>
      <c r="TMU2468" s="54"/>
      <c r="TMV2468" s="54"/>
      <c r="TMW2468" s="60"/>
      <c r="TMX2468" s="60"/>
      <c r="TMY2468" s="60"/>
      <c r="TMZ2468" s="60"/>
      <c r="TNA2468" s="63"/>
      <c r="TNB2468" s="61"/>
      <c r="TNC2468" s="54"/>
      <c r="TND2468" s="54"/>
      <c r="TNE2468" s="60"/>
      <c r="TNF2468" s="60"/>
      <c r="TNG2468" s="60"/>
      <c r="TNH2468" s="60"/>
      <c r="TNI2468" s="63"/>
      <c r="TNJ2468" s="61"/>
      <c r="TNK2468" s="54"/>
      <c r="TNL2468" s="54"/>
      <c r="TNM2468" s="60"/>
      <c r="TNN2468" s="60"/>
      <c r="TNO2468" s="60"/>
      <c r="TNP2468" s="60"/>
      <c r="TNQ2468" s="63"/>
      <c r="TNR2468" s="61"/>
      <c r="TNS2468" s="54"/>
      <c r="TNT2468" s="54"/>
      <c r="TNU2468" s="60"/>
      <c r="TNV2468" s="60"/>
      <c r="TNW2468" s="60"/>
      <c r="TNX2468" s="60"/>
      <c r="TNY2468" s="63"/>
      <c r="TNZ2468" s="61"/>
      <c r="TOA2468" s="54"/>
      <c r="TOB2468" s="54"/>
      <c r="TOC2468" s="60"/>
      <c r="TOD2468" s="60"/>
      <c r="TOE2468" s="60"/>
      <c r="TOF2468" s="60"/>
      <c r="TOG2468" s="63"/>
      <c r="TOH2468" s="61"/>
      <c r="TOI2468" s="54"/>
      <c r="TOJ2468" s="54"/>
      <c r="TOK2468" s="60"/>
      <c r="TOL2468" s="60"/>
      <c r="TOM2468" s="60"/>
      <c r="TON2468" s="60"/>
      <c r="TOO2468" s="63"/>
      <c r="TOP2468" s="61"/>
      <c r="TOQ2468" s="54"/>
      <c r="TOR2468" s="54"/>
      <c r="TOS2468" s="60"/>
      <c r="TOT2468" s="60"/>
      <c r="TOU2468" s="60"/>
      <c r="TOV2468" s="60"/>
      <c r="TOW2468" s="63"/>
      <c r="TOX2468" s="61"/>
      <c r="TOY2468" s="54"/>
      <c r="TOZ2468" s="54"/>
      <c r="TPA2468" s="60"/>
      <c r="TPB2468" s="60"/>
      <c r="TPC2468" s="60"/>
      <c r="TPD2468" s="60"/>
      <c r="TPE2468" s="63"/>
      <c r="TPF2468" s="61"/>
      <c r="TPG2468" s="54"/>
      <c r="TPH2468" s="54"/>
      <c r="TPI2468" s="60"/>
      <c r="TPJ2468" s="60"/>
      <c r="TPK2468" s="60"/>
      <c r="TPL2468" s="60"/>
      <c r="TPM2468" s="63"/>
      <c r="TPN2468" s="61"/>
      <c r="TPO2468" s="54"/>
      <c r="TPP2468" s="54"/>
      <c r="TPQ2468" s="60"/>
      <c r="TPR2468" s="60"/>
      <c r="TPS2468" s="60"/>
      <c r="TPT2468" s="60"/>
      <c r="TPU2468" s="63"/>
      <c r="TPV2468" s="61"/>
      <c r="TPW2468" s="54"/>
      <c r="TPX2468" s="54"/>
      <c r="TPY2468" s="60"/>
      <c r="TPZ2468" s="60"/>
      <c r="TQA2468" s="60"/>
      <c r="TQB2468" s="60"/>
      <c r="TQC2468" s="63"/>
      <c r="TQD2468" s="61"/>
      <c r="TQE2468" s="54"/>
      <c r="TQF2468" s="54"/>
      <c r="TQG2468" s="60"/>
      <c r="TQH2468" s="60"/>
      <c r="TQI2468" s="60"/>
      <c r="TQJ2468" s="60"/>
      <c r="TQK2468" s="63"/>
      <c r="TQL2468" s="61"/>
      <c r="TQM2468" s="54"/>
      <c r="TQN2468" s="54"/>
      <c r="TQO2468" s="60"/>
      <c r="TQP2468" s="60"/>
      <c r="TQQ2468" s="60"/>
      <c r="TQR2468" s="60"/>
      <c r="TQS2468" s="63"/>
      <c r="TQT2468" s="61"/>
      <c r="TQU2468" s="54"/>
      <c r="TQV2468" s="54"/>
      <c r="TQW2468" s="60"/>
      <c r="TQX2468" s="60"/>
      <c r="TQY2468" s="60"/>
      <c r="TQZ2468" s="60"/>
      <c r="TRA2468" s="63"/>
      <c r="TRB2468" s="61"/>
      <c r="TRC2468" s="54"/>
      <c r="TRD2468" s="54"/>
      <c r="TRE2468" s="60"/>
      <c r="TRF2468" s="60"/>
      <c r="TRG2468" s="60"/>
      <c r="TRH2468" s="60"/>
      <c r="TRI2468" s="63"/>
      <c r="TRJ2468" s="61"/>
      <c r="TRK2468" s="54"/>
      <c r="TRL2468" s="54"/>
      <c r="TRM2468" s="60"/>
      <c r="TRN2468" s="60"/>
      <c r="TRO2468" s="60"/>
      <c r="TRP2468" s="60"/>
      <c r="TRQ2468" s="63"/>
      <c r="TRR2468" s="61"/>
      <c r="TRS2468" s="54"/>
      <c r="TRT2468" s="54"/>
      <c r="TRU2468" s="60"/>
      <c r="TRV2468" s="60"/>
      <c r="TRW2468" s="60"/>
      <c r="TRX2468" s="60"/>
      <c r="TRY2468" s="63"/>
      <c r="TRZ2468" s="61"/>
      <c r="TSA2468" s="54"/>
      <c r="TSB2468" s="54"/>
      <c r="TSC2468" s="60"/>
      <c r="TSD2468" s="60"/>
      <c r="TSE2468" s="60"/>
      <c r="TSF2468" s="60"/>
      <c r="TSG2468" s="63"/>
      <c r="TSH2468" s="61"/>
      <c r="TSI2468" s="54"/>
      <c r="TSJ2468" s="54"/>
      <c r="TSK2468" s="60"/>
      <c r="TSL2468" s="60"/>
      <c r="TSM2468" s="60"/>
      <c r="TSN2468" s="60"/>
      <c r="TSO2468" s="63"/>
      <c r="TSP2468" s="61"/>
      <c r="TSQ2468" s="54"/>
      <c r="TSR2468" s="54"/>
      <c r="TSS2468" s="60"/>
      <c r="TST2468" s="60"/>
      <c r="TSU2468" s="60"/>
      <c r="TSV2468" s="60"/>
      <c r="TSW2468" s="63"/>
      <c r="TSX2468" s="61"/>
      <c r="TSY2468" s="54"/>
      <c r="TSZ2468" s="54"/>
      <c r="TTA2468" s="60"/>
      <c r="TTB2468" s="60"/>
      <c r="TTC2468" s="60"/>
      <c r="TTD2468" s="60"/>
      <c r="TTE2468" s="63"/>
      <c r="TTF2468" s="61"/>
      <c r="TTG2468" s="54"/>
      <c r="TTH2468" s="54"/>
      <c r="TTI2468" s="60"/>
      <c r="TTJ2468" s="60"/>
      <c r="TTK2468" s="60"/>
      <c r="TTL2468" s="60"/>
      <c r="TTM2468" s="63"/>
      <c r="TTN2468" s="61"/>
      <c r="TTO2468" s="54"/>
      <c r="TTP2468" s="54"/>
      <c r="TTQ2468" s="60"/>
      <c r="TTR2468" s="60"/>
      <c r="TTS2468" s="60"/>
      <c r="TTT2468" s="60"/>
      <c r="TTU2468" s="63"/>
      <c r="TTV2468" s="61"/>
      <c r="TTW2468" s="54"/>
      <c r="TTX2468" s="54"/>
      <c r="TTY2468" s="60"/>
      <c r="TTZ2468" s="60"/>
      <c r="TUA2468" s="60"/>
      <c r="TUB2468" s="60"/>
      <c r="TUC2468" s="63"/>
      <c r="TUD2468" s="61"/>
      <c r="TUE2468" s="54"/>
      <c r="TUF2468" s="54"/>
      <c r="TUG2468" s="60"/>
      <c r="TUH2468" s="60"/>
      <c r="TUI2468" s="60"/>
      <c r="TUJ2468" s="60"/>
      <c r="TUK2468" s="63"/>
      <c r="TUL2468" s="61"/>
      <c r="TUM2468" s="54"/>
      <c r="TUN2468" s="54"/>
      <c r="TUO2468" s="60"/>
      <c r="TUP2468" s="60"/>
      <c r="TUQ2468" s="60"/>
      <c r="TUR2468" s="60"/>
      <c r="TUS2468" s="63"/>
      <c r="TUT2468" s="61"/>
      <c r="TUU2468" s="54"/>
      <c r="TUV2468" s="54"/>
      <c r="TUW2468" s="60"/>
      <c r="TUX2468" s="60"/>
      <c r="TUY2468" s="60"/>
      <c r="TUZ2468" s="60"/>
      <c r="TVA2468" s="63"/>
      <c r="TVB2468" s="61"/>
      <c r="TVC2468" s="54"/>
      <c r="TVD2468" s="54"/>
      <c r="TVE2468" s="60"/>
      <c r="TVF2468" s="60"/>
      <c r="TVG2468" s="60"/>
      <c r="TVH2468" s="60"/>
      <c r="TVI2468" s="63"/>
      <c r="TVJ2468" s="61"/>
      <c r="TVK2468" s="54"/>
      <c r="TVL2468" s="54"/>
      <c r="TVM2468" s="60"/>
      <c r="TVN2468" s="60"/>
      <c r="TVO2468" s="60"/>
      <c r="TVP2468" s="60"/>
      <c r="TVQ2468" s="63"/>
      <c r="TVR2468" s="61"/>
      <c r="TVS2468" s="54"/>
      <c r="TVT2468" s="54"/>
      <c r="TVU2468" s="60"/>
      <c r="TVV2468" s="60"/>
      <c r="TVW2468" s="60"/>
      <c r="TVX2468" s="60"/>
      <c r="TVY2468" s="63"/>
      <c r="TVZ2468" s="61"/>
      <c r="TWA2468" s="54"/>
      <c r="TWB2468" s="54"/>
      <c r="TWC2468" s="60"/>
      <c r="TWD2468" s="60"/>
      <c r="TWE2468" s="60"/>
      <c r="TWF2468" s="60"/>
      <c r="TWG2468" s="63"/>
      <c r="TWH2468" s="61"/>
      <c r="TWI2468" s="54"/>
      <c r="TWJ2468" s="54"/>
      <c r="TWK2468" s="60"/>
      <c r="TWL2468" s="60"/>
      <c r="TWM2468" s="60"/>
      <c r="TWN2468" s="60"/>
      <c r="TWO2468" s="63"/>
      <c r="TWP2468" s="61"/>
      <c r="TWQ2468" s="54"/>
      <c r="TWR2468" s="54"/>
      <c r="TWS2468" s="60"/>
      <c r="TWT2468" s="60"/>
      <c r="TWU2468" s="60"/>
      <c r="TWV2468" s="60"/>
      <c r="TWW2468" s="63"/>
      <c r="TWX2468" s="61"/>
      <c r="TWY2468" s="54"/>
      <c r="TWZ2468" s="54"/>
      <c r="TXA2468" s="60"/>
      <c r="TXB2468" s="60"/>
      <c r="TXC2468" s="60"/>
      <c r="TXD2468" s="60"/>
      <c r="TXE2468" s="63"/>
      <c r="TXF2468" s="61"/>
      <c r="TXG2468" s="54"/>
      <c r="TXH2468" s="54"/>
      <c r="TXI2468" s="60"/>
      <c r="TXJ2468" s="60"/>
      <c r="TXK2468" s="60"/>
      <c r="TXL2468" s="60"/>
      <c r="TXM2468" s="63"/>
      <c r="TXN2468" s="61"/>
      <c r="TXO2468" s="54"/>
      <c r="TXP2468" s="54"/>
      <c r="TXQ2468" s="60"/>
      <c r="TXR2468" s="60"/>
      <c r="TXS2468" s="60"/>
      <c r="TXT2468" s="60"/>
      <c r="TXU2468" s="63"/>
      <c r="TXV2468" s="61"/>
      <c r="TXW2468" s="54"/>
      <c r="TXX2468" s="54"/>
      <c r="TXY2468" s="60"/>
      <c r="TXZ2468" s="60"/>
      <c r="TYA2468" s="60"/>
      <c r="TYB2468" s="60"/>
      <c r="TYC2468" s="63"/>
      <c r="TYD2468" s="61"/>
      <c r="TYE2468" s="54"/>
      <c r="TYF2468" s="54"/>
      <c r="TYG2468" s="60"/>
      <c r="TYH2468" s="60"/>
      <c r="TYI2468" s="60"/>
      <c r="TYJ2468" s="60"/>
      <c r="TYK2468" s="63"/>
      <c r="TYL2468" s="61"/>
      <c r="TYM2468" s="54"/>
      <c r="TYN2468" s="54"/>
      <c r="TYO2468" s="60"/>
      <c r="TYP2468" s="60"/>
      <c r="TYQ2468" s="60"/>
      <c r="TYR2468" s="60"/>
      <c r="TYS2468" s="63"/>
      <c r="TYT2468" s="61"/>
      <c r="TYU2468" s="54"/>
      <c r="TYV2468" s="54"/>
      <c r="TYW2468" s="60"/>
      <c r="TYX2468" s="60"/>
      <c r="TYY2468" s="60"/>
      <c r="TYZ2468" s="60"/>
      <c r="TZA2468" s="63"/>
      <c r="TZB2468" s="61"/>
      <c r="TZC2468" s="54"/>
      <c r="TZD2468" s="54"/>
      <c r="TZE2468" s="60"/>
      <c r="TZF2468" s="60"/>
      <c r="TZG2468" s="60"/>
      <c r="TZH2468" s="60"/>
      <c r="TZI2468" s="63"/>
      <c r="TZJ2468" s="61"/>
      <c r="TZK2468" s="54"/>
      <c r="TZL2468" s="54"/>
      <c r="TZM2468" s="60"/>
      <c r="TZN2468" s="60"/>
      <c r="TZO2468" s="60"/>
      <c r="TZP2468" s="60"/>
      <c r="TZQ2468" s="63"/>
      <c r="TZR2468" s="61"/>
      <c r="TZS2468" s="54"/>
      <c r="TZT2468" s="54"/>
      <c r="TZU2468" s="60"/>
      <c r="TZV2468" s="60"/>
      <c r="TZW2468" s="60"/>
      <c r="TZX2468" s="60"/>
      <c r="TZY2468" s="63"/>
      <c r="TZZ2468" s="61"/>
      <c r="UAA2468" s="54"/>
      <c r="UAB2468" s="54"/>
      <c r="UAC2468" s="60"/>
      <c r="UAD2468" s="60"/>
      <c r="UAE2468" s="60"/>
      <c r="UAF2468" s="60"/>
      <c r="UAG2468" s="63"/>
      <c r="UAH2468" s="61"/>
      <c r="UAI2468" s="54"/>
      <c r="UAJ2468" s="54"/>
      <c r="UAK2468" s="60"/>
      <c r="UAL2468" s="60"/>
      <c r="UAM2468" s="60"/>
      <c r="UAN2468" s="60"/>
      <c r="UAO2468" s="63"/>
      <c r="UAP2468" s="61"/>
      <c r="UAQ2468" s="54"/>
      <c r="UAR2468" s="54"/>
      <c r="UAS2468" s="60"/>
      <c r="UAT2468" s="60"/>
      <c r="UAU2468" s="60"/>
      <c r="UAV2468" s="60"/>
      <c r="UAW2468" s="63"/>
      <c r="UAX2468" s="61"/>
      <c r="UAY2468" s="54"/>
      <c r="UAZ2468" s="54"/>
      <c r="UBA2468" s="60"/>
      <c r="UBB2468" s="60"/>
      <c r="UBC2468" s="60"/>
      <c r="UBD2468" s="60"/>
      <c r="UBE2468" s="63"/>
      <c r="UBF2468" s="61"/>
      <c r="UBG2468" s="54"/>
      <c r="UBH2468" s="54"/>
      <c r="UBI2468" s="60"/>
      <c r="UBJ2468" s="60"/>
      <c r="UBK2468" s="60"/>
      <c r="UBL2468" s="60"/>
      <c r="UBM2468" s="63"/>
      <c r="UBN2468" s="61"/>
      <c r="UBO2468" s="54"/>
      <c r="UBP2468" s="54"/>
      <c r="UBQ2468" s="60"/>
      <c r="UBR2468" s="60"/>
      <c r="UBS2468" s="60"/>
      <c r="UBT2468" s="60"/>
      <c r="UBU2468" s="63"/>
      <c r="UBV2468" s="61"/>
      <c r="UBW2468" s="54"/>
      <c r="UBX2468" s="54"/>
      <c r="UBY2468" s="60"/>
      <c r="UBZ2468" s="60"/>
      <c r="UCA2468" s="60"/>
      <c r="UCB2468" s="60"/>
      <c r="UCC2468" s="63"/>
      <c r="UCD2468" s="61"/>
      <c r="UCE2468" s="54"/>
      <c r="UCF2468" s="54"/>
      <c r="UCG2468" s="60"/>
      <c r="UCH2468" s="60"/>
      <c r="UCI2468" s="60"/>
      <c r="UCJ2468" s="60"/>
      <c r="UCK2468" s="63"/>
      <c r="UCL2468" s="61"/>
      <c r="UCM2468" s="54"/>
      <c r="UCN2468" s="54"/>
      <c r="UCO2468" s="60"/>
      <c r="UCP2468" s="60"/>
      <c r="UCQ2468" s="60"/>
      <c r="UCR2468" s="60"/>
      <c r="UCS2468" s="63"/>
      <c r="UCT2468" s="61"/>
      <c r="UCU2468" s="54"/>
      <c r="UCV2468" s="54"/>
      <c r="UCW2468" s="60"/>
      <c r="UCX2468" s="60"/>
      <c r="UCY2468" s="60"/>
      <c r="UCZ2468" s="60"/>
      <c r="UDA2468" s="63"/>
      <c r="UDB2468" s="61"/>
      <c r="UDC2468" s="54"/>
      <c r="UDD2468" s="54"/>
      <c r="UDE2468" s="60"/>
      <c r="UDF2468" s="60"/>
      <c r="UDG2468" s="60"/>
      <c r="UDH2468" s="60"/>
      <c r="UDI2468" s="63"/>
      <c r="UDJ2468" s="61"/>
      <c r="UDK2468" s="54"/>
      <c r="UDL2468" s="54"/>
      <c r="UDM2468" s="60"/>
      <c r="UDN2468" s="60"/>
      <c r="UDO2468" s="60"/>
      <c r="UDP2468" s="60"/>
      <c r="UDQ2468" s="63"/>
      <c r="UDR2468" s="61"/>
      <c r="UDS2468" s="54"/>
      <c r="UDT2468" s="54"/>
      <c r="UDU2468" s="60"/>
      <c r="UDV2468" s="60"/>
      <c r="UDW2468" s="60"/>
      <c r="UDX2468" s="60"/>
      <c r="UDY2468" s="63"/>
      <c r="UDZ2468" s="61"/>
      <c r="UEA2468" s="54"/>
      <c r="UEB2468" s="54"/>
      <c r="UEC2468" s="60"/>
      <c r="UED2468" s="60"/>
      <c r="UEE2468" s="60"/>
      <c r="UEF2468" s="60"/>
      <c r="UEG2468" s="63"/>
      <c r="UEH2468" s="61"/>
      <c r="UEI2468" s="54"/>
      <c r="UEJ2468" s="54"/>
      <c r="UEK2468" s="60"/>
      <c r="UEL2468" s="60"/>
      <c r="UEM2468" s="60"/>
      <c r="UEN2468" s="60"/>
      <c r="UEO2468" s="63"/>
      <c r="UEP2468" s="61"/>
      <c r="UEQ2468" s="54"/>
      <c r="UER2468" s="54"/>
      <c r="UES2468" s="60"/>
      <c r="UET2468" s="60"/>
      <c r="UEU2468" s="60"/>
      <c r="UEV2468" s="60"/>
      <c r="UEW2468" s="63"/>
      <c r="UEX2468" s="61"/>
      <c r="UEY2468" s="54"/>
      <c r="UEZ2468" s="54"/>
      <c r="UFA2468" s="60"/>
      <c r="UFB2468" s="60"/>
      <c r="UFC2468" s="60"/>
      <c r="UFD2468" s="60"/>
      <c r="UFE2468" s="63"/>
      <c r="UFF2468" s="61"/>
      <c r="UFG2468" s="54"/>
      <c r="UFH2468" s="54"/>
      <c r="UFI2468" s="60"/>
      <c r="UFJ2468" s="60"/>
      <c r="UFK2468" s="60"/>
      <c r="UFL2468" s="60"/>
      <c r="UFM2468" s="63"/>
      <c r="UFN2468" s="61"/>
      <c r="UFO2468" s="54"/>
      <c r="UFP2468" s="54"/>
      <c r="UFQ2468" s="60"/>
      <c r="UFR2468" s="60"/>
      <c r="UFS2468" s="60"/>
      <c r="UFT2468" s="60"/>
      <c r="UFU2468" s="63"/>
      <c r="UFV2468" s="61"/>
      <c r="UFW2468" s="54"/>
      <c r="UFX2468" s="54"/>
      <c r="UFY2468" s="60"/>
      <c r="UFZ2468" s="60"/>
      <c r="UGA2468" s="60"/>
      <c r="UGB2468" s="60"/>
      <c r="UGC2468" s="63"/>
      <c r="UGD2468" s="61"/>
      <c r="UGE2468" s="54"/>
      <c r="UGF2468" s="54"/>
      <c r="UGG2468" s="60"/>
      <c r="UGH2468" s="60"/>
      <c r="UGI2468" s="60"/>
      <c r="UGJ2468" s="60"/>
      <c r="UGK2468" s="63"/>
      <c r="UGL2468" s="61"/>
      <c r="UGM2468" s="54"/>
      <c r="UGN2468" s="54"/>
      <c r="UGO2468" s="60"/>
      <c r="UGP2468" s="60"/>
      <c r="UGQ2468" s="60"/>
      <c r="UGR2468" s="60"/>
      <c r="UGS2468" s="63"/>
      <c r="UGT2468" s="61"/>
      <c r="UGU2468" s="54"/>
      <c r="UGV2468" s="54"/>
      <c r="UGW2468" s="60"/>
      <c r="UGX2468" s="60"/>
      <c r="UGY2468" s="60"/>
      <c r="UGZ2468" s="60"/>
      <c r="UHA2468" s="63"/>
      <c r="UHB2468" s="61"/>
      <c r="UHC2468" s="54"/>
      <c r="UHD2468" s="54"/>
      <c r="UHE2468" s="60"/>
      <c r="UHF2468" s="60"/>
      <c r="UHG2468" s="60"/>
      <c r="UHH2468" s="60"/>
      <c r="UHI2468" s="63"/>
      <c r="UHJ2468" s="61"/>
      <c r="UHK2468" s="54"/>
      <c r="UHL2468" s="54"/>
      <c r="UHM2468" s="60"/>
      <c r="UHN2468" s="60"/>
      <c r="UHO2468" s="60"/>
      <c r="UHP2468" s="60"/>
      <c r="UHQ2468" s="63"/>
      <c r="UHR2468" s="61"/>
      <c r="UHS2468" s="54"/>
      <c r="UHT2468" s="54"/>
      <c r="UHU2468" s="60"/>
      <c r="UHV2468" s="60"/>
      <c r="UHW2468" s="60"/>
      <c r="UHX2468" s="60"/>
      <c r="UHY2468" s="63"/>
      <c r="UHZ2468" s="61"/>
      <c r="UIA2468" s="54"/>
      <c r="UIB2468" s="54"/>
      <c r="UIC2468" s="60"/>
      <c r="UID2468" s="60"/>
      <c r="UIE2468" s="60"/>
      <c r="UIF2468" s="60"/>
      <c r="UIG2468" s="63"/>
      <c r="UIH2468" s="61"/>
      <c r="UII2468" s="54"/>
      <c r="UIJ2468" s="54"/>
      <c r="UIK2468" s="60"/>
      <c r="UIL2468" s="60"/>
      <c r="UIM2468" s="60"/>
      <c r="UIN2468" s="60"/>
      <c r="UIO2468" s="63"/>
      <c r="UIP2468" s="61"/>
      <c r="UIQ2468" s="54"/>
      <c r="UIR2468" s="54"/>
      <c r="UIS2468" s="60"/>
      <c r="UIT2468" s="60"/>
      <c r="UIU2468" s="60"/>
      <c r="UIV2468" s="60"/>
      <c r="UIW2468" s="63"/>
      <c r="UIX2468" s="61"/>
      <c r="UIY2468" s="54"/>
      <c r="UIZ2468" s="54"/>
      <c r="UJA2468" s="60"/>
      <c r="UJB2468" s="60"/>
      <c r="UJC2468" s="60"/>
      <c r="UJD2468" s="60"/>
      <c r="UJE2468" s="63"/>
      <c r="UJF2468" s="61"/>
      <c r="UJG2468" s="54"/>
      <c r="UJH2468" s="54"/>
      <c r="UJI2468" s="60"/>
      <c r="UJJ2468" s="60"/>
      <c r="UJK2468" s="60"/>
      <c r="UJL2468" s="60"/>
      <c r="UJM2468" s="63"/>
      <c r="UJN2468" s="61"/>
      <c r="UJO2468" s="54"/>
      <c r="UJP2468" s="54"/>
      <c r="UJQ2468" s="60"/>
      <c r="UJR2468" s="60"/>
      <c r="UJS2468" s="60"/>
      <c r="UJT2468" s="60"/>
      <c r="UJU2468" s="63"/>
      <c r="UJV2468" s="61"/>
      <c r="UJW2468" s="54"/>
      <c r="UJX2468" s="54"/>
      <c r="UJY2468" s="60"/>
      <c r="UJZ2468" s="60"/>
      <c r="UKA2468" s="60"/>
      <c r="UKB2468" s="60"/>
      <c r="UKC2468" s="63"/>
      <c r="UKD2468" s="61"/>
      <c r="UKE2468" s="54"/>
      <c r="UKF2468" s="54"/>
      <c r="UKG2468" s="60"/>
      <c r="UKH2468" s="60"/>
      <c r="UKI2468" s="60"/>
      <c r="UKJ2468" s="60"/>
      <c r="UKK2468" s="63"/>
      <c r="UKL2468" s="61"/>
      <c r="UKM2468" s="54"/>
      <c r="UKN2468" s="54"/>
      <c r="UKO2468" s="60"/>
      <c r="UKP2468" s="60"/>
      <c r="UKQ2468" s="60"/>
      <c r="UKR2468" s="60"/>
      <c r="UKS2468" s="63"/>
      <c r="UKT2468" s="61"/>
      <c r="UKU2468" s="54"/>
      <c r="UKV2468" s="54"/>
      <c r="UKW2468" s="60"/>
      <c r="UKX2468" s="60"/>
      <c r="UKY2468" s="60"/>
      <c r="UKZ2468" s="60"/>
      <c r="ULA2468" s="63"/>
      <c r="ULB2468" s="61"/>
      <c r="ULC2468" s="54"/>
      <c r="ULD2468" s="54"/>
      <c r="ULE2468" s="60"/>
      <c r="ULF2468" s="60"/>
      <c r="ULG2468" s="60"/>
      <c r="ULH2468" s="60"/>
      <c r="ULI2468" s="63"/>
      <c r="ULJ2468" s="61"/>
      <c r="ULK2468" s="54"/>
      <c r="ULL2468" s="54"/>
      <c r="ULM2468" s="60"/>
      <c r="ULN2468" s="60"/>
      <c r="ULO2468" s="60"/>
      <c r="ULP2468" s="60"/>
      <c r="ULQ2468" s="63"/>
      <c r="ULR2468" s="61"/>
      <c r="ULS2468" s="54"/>
      <c r="ULT2468" s="54"/>
      <c r="ULU2468" s="60"/>
      <c r="ULV2468" s="60"/>
      <c r="ULW2468" s="60"/>
      <c r="ULX2468" s="60"/>
      <c r="ULY2468" s="63"/>
      <c r="ULZ2468" s="61"/>
      <c r="UMA2468" s="54"/>
      <c r="UMB2468" s="54"/>
      <c r="UMC2468" s="60"/>
      <c r="UMD2468" s="60"/>
      <c r="UME2468" s="60"/>
      <c r="UMF2468" s="60"/>
      <c r="UMG2468" s="63"/>
      <c r="UMH2468" s="61"/>
      <c r="UMI2468" s="54"/>
      <c r="UMJ2468" s="54"/>
      <c r="UMK2468" s="60"/>
      <c r="UML2468" s="60"/>
      <c r="UMM2468" s="60"/>
      <c r="UMN2468" s="60"/>
      <c r="UMO2468" s="63"/>
      <c r="UMP2468" s="61"/>
      <c r="UMQ2468" s="54"/>
      <c r="UMR2468" s="54"/>
      <c r="UMS2468" s="60"/>
      <c r="UMT2468" s="60"/>
      <c r="UMU2468" s="60"/>
      <c r="UMV2468" s="60"/>
      <c r="UMW2468" s="63"/>
      <c r="UMX2468" s="61"/>
      <c r="UMY2468" s="54"/>
      <c r="UMZ2468" s="54"/>
      <c r="UNA2468" s="60"/>
      <c r="UNB2468" s="60"/>
      <c r="UNC2468" s="60"/>
      <c r="UND2468" s="60"/>
      <c r="UNE2468" s="63"/>
      <c r="UNF2468" s="61"/>
      <c r="UNG2468" s="54"/>
      <c r="UNH2468" s="54"/>
      <c r="UNI2468" s="60"/>
      <c r="UNJ2468" s="60"/>
      <c r="UNK2468" s="60"/>
      <c r="UNL2468" s="60"/>
      <c r="UNM2468" s="63"/>
      <c r="UNN2468" s="61"/>
      <c r="UNO2468" s="54"/>
      <c r="UNP2468" s="54"/>
      <c r="UNQ2468" s="60"/>
      <c r="UNR2468" s="60"/>
      <c r="UNS2468" s="60"/>
      <c r="UNT2468" s="60"/>
      <c r="UNU2468" s="63"/>
      <c r="UNV2468" s="61"/>
      <c r="UNW2468" s="54"/>
      <c r="UNX2468" s="54"/>
      <c r="UNY2468" s="60"/>
      <c r="UNZ2468" s="60"/>
      <c r="UOA2468" s="60"/>
      <c r="UOB2468" s="60"/>
      <c r="UOC2468" s="63"/>
      <c r="UOD2468" s="61"/>
      <c r="UOE2468" s="54"/>
      <c r="UOF2468" s="54"/>
      <c r="UOG2468" s="60"/>
      <c r="UOH2468" s="60"/>
      <c r="UOI2468" s="60"/>
      <c r="UOJ2468" s="60"/>
      <c r="UOK2468" s="63"/>
      <c r="UOL2468" s="61"/>
      <c r="UOM2468" s="54"/>
      <c r="UON2468" s="54"/>
      <c r="UOO2468" s="60"/>
      <c r="UOP2468" s="60"/>
      <c r="UOQ2468" s="60"/>
      <c r="UOR2468" s="60"/>
      <c r="UOS2468" s="63"/>
      <c r="UOT2468" s="61"/>
      <c r="UOU2468" s="54"/>
      <c r="UOV2468" s="54"/>
      <c r="UOW2468" s="60"/>
      <c r="UOX2468" s="60"/>
      <c r="UOY2468" s="60"/>
      <c r="UOZ2468" s="60"/>
      <c r="UPA2468" s="63"/>
      <c r="UPB2468" s="61"/>
      <c r="UPC2468" s="54"/>
      <c r="UPD2468" s="54"/>
      <c r="UPE2468" s="60"/>
      <c r="UPF2468" s="60"/>
      <c r="UPG2468" s="60"/>
      <c r="UPH2468" s="60"/>
      <c r="UPI2468" s="63"/>
      <c r="UPJ2468" s="61"/>
      <c r="UPK2468" s="54"/>
      <c r="UPL2468" s="54"/>
      <c r="UPM2468" s="60"/>
      <c r="UPN2468" s="60"/>
      <c r="UPO2468" s="60"/>
      <c r="UPP2468" s="60"/>
      <c r="UPQ2468" s="63"/>
      <c r="UPR2468" s="61"/>
      <c r="UPS2468" s="54"/>
      <c r="UPT2468" s="54"/>
      <c r="UPU2468" s="60"/>
      <c r="UPV2468" s="60"/>
      <c r="UPW2468" s="60"/>
      <c r="UPX2468" s="60"/>
      <c r="UPY2468" s="63"/>
      <c r="UPZ2468" s="61"/>
      <c r="UQA2468" s="54"/>
      <c r="UQB2468" s="54"/>
      <c r="UQC2468" s="60"/>
      <c r="UQD2468" s="60"/>
      <c r="UQE2468" s="60"/>
      <c r="UQF2468" s="60"/>
      <c r="UQG2468" s="63"/>
      <c r="UQH2468" s="61"/>
      <c r="UQI2468" s="54"/>
      <c r="UQJ2468" s="54"/>
      <c r="UQK2468" s="60"/>
      <c r="UQL2468" s="60"/>
      <c r="UQM2468" s="60"/>
      <c r="UQN2468" s="60"/>
      <c r="UQO2468" s="63"/>
      <c r="UQP2468" s="61"/>
      <c r="UQQ2468" s="54"/>
      <c r="UQR2468" s="54"/>
      <c r="UQS2468" s="60"/>
      <c r="UQT2468" s="60"/>
      <c r="UQU2468" s="60"/>
      <c r="UQV2468" s="60"/>
      <c r="UQW2468" s="63"/>
      <c r="UQX2468" s="61"/>
      <c r="UQY2468" s="54"/>
      <c r="UQZ2468" s="54"/>
      <c r="URA2468" s="60"/>
      <c r="URB2468" s="60"/>
      <c r="URC2468" s="60"/>
      <c r="URD2468" s="60"/>
      <c r="URE2468" s="63"/>
      <c r="URF2468" s="61"/>
      <c r="URG2468" s="54"/>
      <c r="URH2468" s="54"/>
      <c r="URI2468" s="60"/>
      <c r="URJ2468" s="60"/>
      <c r="URK2468" s="60"/>
      <c r="URL2468" s="60"/>
      <c r="URM2468" s="63"/>
      <c r="URN2468" s="61"/>
      <c r="URO2468" s="54"/>
      <c r="URP2468" s="54"/>
      <c r="URQ2468" s="60"/>
      <c r="URR2468" s="60"/>
      <c r="URS2468" s="60"/>
      <c r="URT2468" s="60"/>
      <c r="URU2468" s="63"/>
      <c r="URV2468" s="61"/>
      <c r="URW2468" s="54"/>
      <c r="URX2468" s="54"/>
      <c r="URY2468" s="60"/>
      <c r="URZ2468" s="60"/>
      <c r="USA2468" s="60"/>
      <c r="USB2468" s="60"/>
      <c r="USC2468" s="63"/>
      <c r="USD2468" s="61"/>
      <c r="USE2468" s="54"/>
      <c r="USF2468" s="54"/>
      <c r="USG2468" s="60"/>
      <c r="USH2468" s="60"/>
      <c r="USI2468" s="60"/>
      <c r="USJ2468" s="60"/>
      <c r="USK2468" s="63"/>
      <c r="USL2468" s="61"/>
      <c r="USM2468" s="54"/>
      <c r="USN2468" s="54"/>
      <c r="USO2468" s="60"/>
      <c r="USP2468" s="60"/>
      <c r="USQ2468" s="60"/>
      <c r="USR2468" s="60"/>
      <c r="USS2468" s="63"/>
      <c r="UST2468" s="61"/>
      <c r="USU2468" s="54"/>
      <c r="USV2468" s="54"/>
      <c r="USW2468" s="60"/>
      <c r="USX2468" s="60"/>
      <c r="USY2468" s="60"/>
      <c r="USZ2468" s="60"/>
      <c r="UTA2468" s="63"/>
      <c r="UTB2468" s="61"/>
      <c r="UTC2468" s="54"/>
      <c r="UTD2468" s="54"/>
      <c r="UTE2468" s="60"/>
      <c r="UTF2468" s="60"/>
      <c r="UTG2468" s="60"/>
      <c r="UTH2468" s="60"/>
      <c r="UTI2468" s="63"/>
      <c r="UTJ2468" s="61"/>
      <c r="UTK2468" s="54"/>
      <c r="UTL2468" s="54"/>
      <c r="UTM2468" s="60"/>
      <c r="UTN2468" s="60"/>
      <c r="UTO2468" s="60"/>
      <c r="UTP2468" s="60"/>
      <c r="UTQ2468" s="63"/>
      <c r="UTR2468" s="61"/>
      <c r="UTS2468" s="54"/>
      <c r="UTT2468" s="54"/>
      <c r="UTU2468" s="60"/>
      <c r="UTV2468" s="60"/>
      <c r="UTW2468" s="60"/>
      <c r="UTX2468" s="60"/>
      <c r="UTY2468" s="63"/>
      <c r="UTZ2468" s="61"/>
      <c r="UUA2468" s="54"/>
      <c r="UUB2468" s="54"/>
      <c r="UUC2468" s="60"/>
      <c r="UUD2468" s="60"/>
      <c r="UUE2468" s="60"/>
      <c r="UUF2468" s="60"/>
      <c r="UUG2468" s="63"/>
      <c r="UUH2468" s="61"/>
      <c r="UUI2468" s="54"/>
      <c r="UUJ2468" s="54"/>
      <c r="UUK2468" s="60"/>
      <c r="UUL2468" s="60"/>
      <c r="UUM2468" s="60"/>
      <c r="UUN2468" s="60"/>
      <c r="UUO2468" s="63"/>
      <c r="UUP2468" s="61"/>
      <c r="UUQ2468" s="54"/>
      <c r="UUR2468" s="54"/>
      <c r="UUS2468" s="60"/>
      <c r="UUT2468" s="60"/>
      <c r="UUU2468" s="60"/>
      <c r="UUV2468" s="60"/>
      <c r="UUW2468" s="63"/>
      <c r="UUX2468" s="61"/>
      <c r="UUY2468" s="54"/>
      <c r="UUZ2468" s="54"/>
      <c r="UVA2468" s="60"/>
      <c r="UVB2468" s="60"/>
      <c r="UVC2468" s="60"/>
      <c r="UVD2468" s="60"/>
      <c r="UVE2468" s="63"/>
      <c r="UVF2468" s="61"/>
      <c r="UVG2468" s="54"/>
      <c r="UVH2468" s="54"/>
      <c r="UVI2468" s="60"/>
      <c r="UVJ2468" s="60"/>
      <c r="UVK2468" s="60"/>
      <c r="UVL2468" s="60"/>
      <c r="UVM2468" s="63"/>
      <c r="UVN2468" s="61"/>
      <c r="UVO2468" s="54"/>
      <c r="UVP2468" s="54"/>
      <c r="UVQ2468" s="60"/>
      <c r="UVR2468" s="60"/>
      <c r="UVS2468" s="60"/>
      <c r="UVT2468" s="60"/>
      <c r="UVU2468" s="63"/>
      <c r="UVV2468" s="61"/>
      <c r="UVW2468" s="54"/>
      <c r="UVX2468" s="54"/>
      <c r="UVY2468" s="60"/>
      <c r="UVZ2468" s="60"/>
      <c r="UWA2468" s="60"/>
      <c r="UWB2468" s="60"/>
      <c r="UWC2468" s="63"/>
      <c r="UWD2468" s="61"/>
      <c r="UWE2468" s="54"/>
      <c r="UWF2468" s="54"/>
      <c r="UWG2468" s="60"/>
      <c r="UWH2468" s="60"/>
      <c r="UWI2468" s="60"/>
      <c r="UWJ2468" s="60"/>
      <c r="UWK2468" s="63"/>
      <c r="UWL2468" s="61"/>
      <c r="UWM2468" s="54"/>
      <c r="UWN2468" s="54"/>
      <c r="UWO2468" s="60"/>
      <c r="UWP2468" s="60"/>
      <c r="UWQ2468" s="60"/>
      <c r="UWR2468" s="60"/>
      <c r="UWS2468" s="63"/>
      <c r="UWT2468" s="61"/>
      <c r="UWU2468" s="54"/>
      <c r="UWV2468" s="54"/>
      <c r="UWW2468" s="60"/>
      <c r="UWX2468" s="60"/>
      <c r="UWY2468" s="60"/>
      <c r="UWZ2468" s="60"/>
      <c r="UXA2468" s="63"/>
      <c r="UXB2468" s="61"/>
      <c r="UXC2468" s="54"/>
      <c r="UXD2468" s="54"/>
      <c r="UXE2468" s="60"/>
      <c r="UXF2468" s="60"/>
      <c r="UXG2468" s="60"/>
      <c r="UXH2468" s="60"/>
      <c r="UXI2468" s="63"/>
      <c r="UXJ2468" s="61"/>
      <c r="UXK2468" s="54"/>
      <c r="UXL2468" s="54"/>
      <c r="UXM2468" s="60"/>
      <c r="UXN2468" s="60"/>
      <c r="UXO2468" s="60"/>
      <c r="UXP2468" s="60"/>
      <c r="UXQ2468" s="63"/>
      <c r="UXR2468" s="61"/>
      <c r="UXS2468" s="54"/>
      <c r="UXT2468" s="54"/>
      <c r="UXU2468" s="60"/>
      <c r="UXV2468" s="60"/>
      <c r="UXW2468" s="60"/>
      <c r="UXX2468" s="60"/>
      <c r="UXY2468" s="63"/>
      <c r="UXZ2468" s="61"/>
      <c r="UYA2468" s="54"/>
      <c r="UYB2468" s="54"/>
      <c r="UYC2468" s="60"/>
      <c r="UYD2468" s="60"/>
      <c r="UYE2468" s="60"/>
      <c r="UYF2468" s="60"/>
      <c r="UYG2468" s="63"/>
      <c r="UYH2468" s="61"/>
      <c r="UYI2468" s="54"/>
      <c r="UYJ2468" s="54"/>
      <c r="UYK2468" s="60"/>
      <c r="UYL2468" s="60"/>
      <c r="UYM2468" s="60"/>
      <c r="UYN2468" s="60"/>
      <c r="UYO2468" s="63"/>
      <c r="UYP2468" s="61"/>
      <c r="UYQ2468" s="54"/>
      <c r="UYR2468" s="54"/>
      <c r="UYS2468" s="60"/>
      <c r="UYT2468" s="60"/>
      <c r="UYU2468" s="60"/>
      <c r="UYV2468" s="60"/>
      <c r="UYW2468" s="63"/>
      <c r="UYX2468" s="61"/>
      <c r="UYY2468" s="54"/>
      <c r="UYZ2468" s="54"/>
      <c r="UZA2468" s="60"/>
      <c r="UZB2468" s="60"/>
      <c r="UZC2468" s="60"/>
      <c r="UZD2468" s="60"/>
      <c r="UZE2468" s="63"/>
      <c r="UZF2468" s="61"/>
      <c r="UZG2468" s="54"/>
      <c r="UZH2468" s="54"/>
      <c r="UZI2468" s="60"/>
      <c r="UZJ2468" s="60"/>
      <c r="UZK2468" s="60"/>
      <c r="UZL2468" s="60"/>
      <c r="UZM2468" s="63"/>
      <c r="UZN2468" s="61"/>
      <c r="UZO2468" s="54"/>
      <c r="UZP2468" s="54"/>
      <c r="UZQ2468" s="60"/>
      <c r="UZR2468" s="60"/>
      <c r="UZS2468" s="60"/>
      <c r="UZT2468" s="60"/>
      <c r="UZU2468" s="63"/>
      <c r="UZV2468" s="61"/>
      <c r="UZW2468" s="54"/>
      <c r="UZX2468" s="54"/>
      <c r="UZY2468" s="60"/>
      <c r="UZZ2468" s="60"/>
      <c r="VAA2468" s="60"/>
      <c r="VAB2468" s="60"/>
      <c r="VAC2468" s="63"/>
      <c r="VAD2468" s="61"/>
      <c r="VAE2468" s="54"/>
      <c r="VAF2468" s="54"/>
      <c r="VAG2468" s="60"/>
      <c r="VAH2468" s="60"/>
      <c r="VAI2468" s="60"/>
      <c r="VAJ2468" s="60"/>
      <c r="VAK2468" s="63"/>
      <c r="VAL2468" s="61"/>
      <c r="VAM2468" s="54"/>
      <c r="VAN2468" s="54"/>
      <c r="VAO2468" s="60"/>
      <c r="VAP2468" s="60"/>
      <c r="VAQ2468" s="60"/>
      <c r="VAR2468" s="60"/>
      <c r="VAS2468" s="63"/>
      <c r="VAT2468" s="61"/>
      <c r="VAU2468" s="54"/>
      <c r="VAV2468" s="54"/>
      <c r="VAW2468" s="60"/>
      <c r="VAX2468" s="60"/>
      <c r="VAY2468" s="60"/>
      <c r="VAZ2468" s="60"/>
      <c r="VBA2468" s="63"/>
      <c r="VBB2468" s="61"/>
      <c r="VBC2468" s="54"/>
      <c r="VBD2468" s="54"/>
      <c r="VBE2468" s="60"/>
      <c r="VBF2468" s="60"/>
      <c r="VBG2468" s="60"/>
      <c r="VBH2468" s="60"/>
      <c r="VBI2468" s="63"/>
      <c r="VBJ2468" s="61"/>
      <c r="VBK2468" s="54"/>
      <c r="VBL2468" s="54"/>
      <c r="VBM2468" s="60"/>
      <c r="VBN2468" s="60"/>
      <c r="VBO2468" s="60"/>
      <c r="VBP2468" s="60"/>
      <c r="VBQ2468" s="63"/>
      <c r="VBR2468" s="61"/>
      <c r="VBS2468" s="54"/>
      <c r="VBT2468" s="54"/>
      <c r="VBU2468" s="60"/>
      <c r="VBV2468" s="60"/>
      <c r="VBW2468" s="60"/>
      <c r="VBX2468" s="60"/>
      <c r="VBY2468" s="63"/>
      <c r="VBZ2468" s="61"/>
      <c r="VCA2468" s="54"/>
      <c r="VCB2468" s="54"/>
      <c r="VCC2468" s="60"/>
      <c r="VCD2468" s="60"/>
      <c r="VCE2468" s="60"/>
      <c r="VCF2468" s="60"/>
      <c r="VCG2468" s="63"/>
      <c r="VCH2468" s="61"/>
      <c r="VCI2468" s="54"/>
      <c r="VCJ2468" s="54"/>
      <c r="VCK2468" s="60"/>
      <c r="VCL2468" s="60"/>
      <c r="VCM2468" s="60"/>
      <c r="VCN2468" s="60"/>
      <c r="VCO2468" s="63"/>
      <c r="VCP2468" s="61"/>
      <c r="VCQ2468" s="54"/>
      <c r="VCR2468" s="54"/>
      <c r="VCS2468" s="60"/>
      <c r="VCT2468" s="60"/>
      <c r="VCU2468" s="60"/>
      <c r="VCV2468" s="60"/>
      <c r="VCW2468" s="63"/>
      <c r="VCX2468" s="61"/>
      <c r="VCY2468" s="54"/>
      <c r="VCZ2468" s="54"/>
      <c r="VDA2468" s="60"/>
      <c r="VDB2468" s="60"/>
      <c r="VDC2468" s="60"/>
      <c r="VDD2468" s="60"/>
      <c r="VDE2468" s="63"/>
      <c r="VDF2468" s="61"/>
      <c r="VDG2468" s="54"/>
      <c r="VDH2468" s="54"/>
      <c r="VDI2468" s="60"/>
      <c r="VDJ2468" s="60"/>
      <c r="VDK2468" s="60"/>
      <c r="VDL2468" s="60"/>
      <c r="VDM2468" s="63"/>
      <c r="VDN2468" s="61"/>
      <c r="VDO2468" s="54"/>
      <c r="VDP2468" s="54"/>
      <c r="VDQ2468" s="60"/>
      <c r="VDR2468" s="60"/>
      <c r="VDS2468" s="60"/>
      <c r="VDT2468" s="60"/>
      <c r="VDU2468" s="63"/>
      <c r="VDV2468" s="61"/>
      <c r="VDW2468" s="54"/>
      <c r="VDX2468" s="54"/>
      <c r="VDY2468" s="60"/>
      <c r="VDZ2468" s="60"/>
      <c r="VEA2468" s="60"/>
      <c r="VEB2468" s="60"/>
      <c r="VEC2468" s="63"/>
      <c r="VED2468" s="61"/>
      <c r="VEE2468" s="54"/>
      <c r="VEF2468" s="54"/>
      <c r="VEG2468" s="60"/>
      <c r="VEH2468" s="60"/>
      <c r="VEI2468" s="60"/>
      <c r="VEJ2468" s="60"/>
      <c r="VEK2468" s="63"/>
      <c r="VEL2468" s="61"/>
      <c r="VEM2468" s="54"/>
      <c r="VEN2468" s="54"/>
      <c r="VEO2468" s="60"/>
      <c r="VEP2468" s="60"/>
      <c r="VEQ2468" s="60"/>
      <c r="VER2468" s="60"/>
      <c r="VES2468" s="63"/>
      <c r="VET2468" s="61"/>
      <c r="VEU2468" s="54"/>
      <c r="VEV2468" s="54"/>
      <c r="VEW2468" s="60"/>
      <c r="VEX2468" s="60"/>
      <c r="VEY2468" s="60"/>
      <c r="VEZ2468" s="60"/>
      <c r="VFA2468" s="63"/>
      <c r="VFB2468" s="61"/>
      <c r="VFC2468" s="54"/>
      <c r="VFD2468" s="54"/>
      <c r="VFE2468" s="60"/>
      <c r="VFF2468" s="60"/>
      <c r="VFG2468" s="60"/>
      <c r="VFH2468" s="60"/>
      <c r="VFI2468" s="63"/>
      <c r="VFJ2468" s="61"/>
      <c r="VFK2468" s="54"/>
      <c r="VFL2468" s="54"/>
      <c r="VFM2468" s="60"/>
      <c r="VFN2468" s="60"/>
      <c r="VFO2468" s="60"/>
      <c r="VFP2468" s="60"/>
      <c r="VFQ2468" s="63"/>
      <c r="VFR2468" s="61"/>
      <c r="VFS2468" s="54"/>
      <c r="VFT2468" s="54"/>
      <c r="VFU2468" s="60"/>
      <c r="VFV2468" s="60"/>
      <c r="VFW2468" s="60"/>
      <c r="VFX2468" s="60"/>
      <c r="VFY2468" s="63"/>
      <c r="VFZ2468" s="61"/>
      <c r="VGA2468" s="54"/>
      <c r="VGB2468" s="54"/>
      <c r="VGC2468" s="60"/>
      <c r="VGD2468" s="60"/>
      <c r="VGE2468" s="60"/>
      <c r="VGF2468" s="60"/>
      <c r="VGG2468" s="63"/>
      <c r="VGH2468" s="61"/>
      <c r="VGI2468" s="54"/>
      <c r="VGJ2468" s="54"/>
      <c r="VGK2468" s="60"/>
      <c r="VGL2468" s="60"/>
      <c r="VGM2468" s="60"/>
      <c r="VGN2468" s="60"/>
      <c r="VGO2468" s="63"/>
      <c r="VGP2468" s="61"/>
      <c r="VGQ2468" s="54"/>
      <c r="VGR2468" s="54"/>
      <c r="VGS2468" s="60"/>
      <c r="VGT2468" s="60"/>
      <c r="VGU2468" s="60"/>
      <c r="VGV2468" s="60"/>
      <c r="VGW2468" s="63"/>
      <c r="VGX2468" s="61"/>
      <c r="VGY2468" s="54"/>
      <c r="VGZ2468" s="54"/>
      <c r="VHA2468" s="60"/>
      <c r="VHB2468" s="60"/>
      <c r="VHC2468" s="60"/>
      <c r="VHD2468" s="60"/>
      <c r="VHE2468" s="63"/>
      <c r="VHF2468" s="61"/>
      <c r="VHG2468" s="54"/>
      <c r="VHH2468" s="54"/>
      <c r="VHI2468" s="60"/>
      <c r="VHJ2468" s="60"/>
      <c r="VHK2468" s="60"/>
      <c r="VHL2468" s="60"/>
      <c r="VHM2468" s="63"/>
      <c r="VHN2468" s="61"/>
      <c r="VHO2468" s="54"/>
      <c r="VHP2468" s="54"/>
      <c r="VHQ2468" s="60"/>
      <c r="VHR2468" s="60"/>
      <c r="VHS2468" s="60"/>
      <c r="VHT2468" s="60"/>
      <c r="VHU2468" s="63"/>
      <c r="VHV2468" s="61"/>
      <c r="VHW2468" s="54"/>
      <c r="VHX2468" s="54"/>
      <c r="VHY2468" s="60"/>
      <c r="VHZ2468" s="60"/>
      <c r="VIA2468" s="60"/>
      <c r="VIB2468" s="60"/>
      <c r="VIC2468" s="63"/>
      <c r="VID2468" s="61"/>
      <c r="VIE2468" s="54"/>
      <c r="VIF2468" s="54"/>
      <c r="VIG2468" s="60"/>
      <c r="VIH2468" s="60"/>
      <c r="VII2468" s="60"/>
      <c r="VIJ2468" s="60"/>
      <c r="VIK2468" s="63"/>
      <c r="VIL2468" s="61"/>
      <c r="VIM2468" s="54"/>
      <c r="VIN2468" s="54"/>
      <c r="VIO2468" s="60"/>
      <c r="VIP2468" s="60"/>
      <c r="VIQ2468" s="60"/>
      <c r="VIR2468" s="60"/>
      <c r="VIS2468" s="63"/>
      <c r="VIT2468" s="61"/>
      <c r="VIU2468" s="54"/>
      <c r="VIV2468" s="54"/>
      <c r="VIW2468" s="60"/>
      <c r="VIX2468" s="60"/>
      <c r="VIY2468" s="60"/>
      <c r="VIZ2468" s="60"/>
      <c r="VJA2468" s="63"/>
      <c r="VJB2468" s="61"/>
      <c r="VJC2468" s="54"/>
      <c r="VJD2468" s="54"/>
      <c r="VJE2468" s="60"/>
      <c r="VJF2468" s="60"/>
      <c r="VJG2468" s="60"/>
      <c r="VJH2468" s="60"/>
      <c r="VJI2468" s="63"/>
      <c r="VJJ2468" s="61"/>
      <c r="VJK2468" s="54"/>
      <c r="VJL2468" s="54"/>
      <c r="VJM2468" s="60"/>
      <c r="VJN2468" s="60"/>
      <c r="VJO2468" s="60"/>
      <c r="VJP2468" s="60"/>
      <c r="VJQ2468" s="63"/>
      <c r="VJR2468" s="61"/>
      <c r="VJS2468" s="54"/>
      <c r="VJT2468" s="54"/>
      <c r="VJU2468" s="60"/>
      <c r="VJV2468" s="60"/>
      <c r="VJW2468" s="60"/>
      <c r="VJX2468" s="60"/>
      <c r="VJY2468" s="63"/>
      <c r="VJZ2468" s="61"/>
      <c r="VKA2468" s="54"/>
      <c r="VKB2468" s="54"/>
      <c r="VKC2468" s="60"/>
      <c r="VKD2468" s="60"/>
      <c r="VKE2468" s="60"/>
      <c r="VKF2468" s="60"/>
      <c r="VKG2468" s="63"/>
      <c r="VKH2468" s="61"/>
      <c r="VKI2468" s="54"/>
      <c r="VKJ2468" s="54"/>
      <c r="VKK2468" s="60"/>
      <c r="VKL2468" s="60"/>
      <c r="VKM2468" s="60"/>
      <c r="VKN2468" s="60"/>
      <c r="VKO2468" s="63"/>
      <c r="VKP2468" s="61"/>
      <c r="VKQ2468" s="54"/>
      <c r="VKR2468" s="54"/>
      <c r="VKS2468" s="60"/>
      <c r="VKT2468" s="60"/>
      <c r="VKU2468" s="60"/>
      <c r="VKV2468" s="60"/>
      <c r="VKW2468" s="63"/>
      <c r="VKX2468" s="61"/>
      <c r="VKY2468" s="54"/>
      <c r="VKZ2468" s="54"/>
      <c r="VLA2468" s="60"/>
      <c r="VLB2468" s="60"/>
      <c r="VLC2468" s="60"/>
      <c r="VLD2468" s="60"/>
      <c r="VLE2468" s="63"/>
      <c r="VLF2468" s="61"/>
      <c r="VLG2468" s="54"/>
      <c r="VLH2468" s="54"/>
      <c r="VLI2468" s="60"/>
      <c r="VLJ2468" s="60"/>
      <c r="VLK2468" s="60"/>
      <c r="VLL2468" s="60"/>
      <c r="VLM2468" s="63"/>
      <c r="VLN2468" s="61"/>
      <c r="VLO2468" s="54"/>
      <c r="VLP2468" s="54"/>
      <c r="VLQ2468" s="60"/>
      <c r="VLR2468" s="60"/>
      <c r="VLS2468" s="60"/>
      <c r="VLT2468" s="60"/>
      <c r="VLU2468" s="63"/>
      <c r="VLV2468" s="61"/>
      <c r="VLW2468" s="54"/>
      <c r="VLX2468" s="54"/>
      <c r="VLY2468" s="60"/>
      <c r="VLZ2468" s="60"/>
      <c r="VMA2468" s="60"/>
      <c r="VMB2468" s="60"/>
      <c r="VMC2468" s="63"/>
      <c r="VMD2468" s="61"/>
      <c r="VME2468" s="54"/>
      <c r="VMF2468" s="54"/>
      <c r="VMG2468" s="60"/>
      <c r="VMH2468" s="60"/>
      <c r="VMI2468" s="60"/>
      <c r="VMJ2468" s="60"/>
      <c r="VMK2468" s="63"/>
      <c r="VML2468" s="61"/>
      <c r="VMM2468" s="54"/>
      <c r="VMN2468" s="54"/>
      <c r="VMO2468" s="60"/>
      <c r="VMP2468" s="60"/>
      <c r="VMQ2468" s="60"/>
      <c r="VMR2468" s="60"/>
      <c r="VMS2468" s="63"/>
      <c r="VMT2468" s="61"/>
      <c r="VMU2468" s="54"/>
      <c r="VMV2468" s="54"/>
      <c r="VMW2468" s="60"/>
      <c r="VMX2468" s="60"/>
      <c r="VMY2468" s="60"/>
      <c r="VMZ2468" s="60"/>
      <c r="VNA2468" s="63"/>
      <c r="VNB2468" s="61"/>
      <c r="VNC2468" s="54"/>
      <c r="VND2468" s="54"/>
      <c r="VNE2468" s="60"/>
      <c r="VNF2468" s="60"/>
      <c r="VNG2468" s="60"/>
      <c r="VNH2468" s="60"/>
      <c r="VNI2468" s="63"/>
      <c r="VNJ2468" s="61"/>
      <c r="VNK2468" s="54"/>
      <c r="VNL2468" s="54"/>
      <c r="VNM2468" s="60"/>
      <c r="VNN2468" s="60"/>
      <c r="VNO2468" s="60"/>
      <c r="VNP2468" s="60"/>
      <c r="VNQ2468" s="63"/>
      <c r="VNR2468" s="61"/>
      <c r="VNS2468" s="54"/>
      <c r="VNT2468" s="54"/>
      <c r="VNU2468" s="60"/>
      <c r="VNV2468" s="60"/>
      <c r="VNW2468" s="60"/>
      <c r="VNX2468" s="60"/>
      <c r="VNY2468" s="63"/>
      <c r="VNZ2468" s="61"/>
      <c r="VOA2468" s="54"/>
      <c r="VOB2468" s="54"/>
      <c r="VOC2468" s="60"/>
      <c r="VOD2468" s="60"/>
      <c r="VOE2468" s="60"/>
      <c r="VOF2468" s="60"/>
      <c r="VOG2468" s="63"/>
      <c r="VOH2468" s="61"/>
      <c r="VOI2468" s="54"/>
      <c r="VOJ2468" s="54"/>
      <c r="VOK2468" s="60"/>
      <c r="VOL2468" s="60"/>
      <c r="VOM2468" s="60"/>
      <c r="VON2468" s="60"/>
      <c r="VOO2468" s="63"/>
      <c r="VOP2468" s="61"/>
      <c r="VOQ2468" s="54"/>
      <c r="VOR2468" s="54"/>
      <c r="VOS2468" s="60"/>
      <c r="VOT2468" s="60"/>
      <c r="VOU2468" s="60"/>
      <c r="VOV2468" s="60"/>
      <c r="VOW2468" s="63"/>
      <c r="VOX2468" s="61"/>
      <c r="VOY2468" s="54"/>
      <c r="VOZ2468" s="54"/>
      <c r="VPA2468" s="60"/>
      <c r="VPB2468" s="60"/>
      <c r="VPC2468" s="60"/>
      <c r="VPD2468" s="60"/>
      <c r="VPE2468" s="63"/>
      <c r="VPF2468" s="61"/>
      <c r="VPG2468" s="54"/>
      <c r="VPH2468" s="54"/>
      <c r="VPI2468" s="60"/>
      <c r="VPJ2468" s="60"/>
      <c r="VPK2468" s="60"/>
      <c r="VPL2468" s="60"/>
      <c r="VPM2468" s="63"/>
      <c r="VPN2468" s="61"/>
      <c r="VPO2468" s="54"/>
      <c r="VPP2468" s="54"/>
      <c r="VPQ2468" s="60"/>
      <c r="VPR2468" s="60"/>
      <c r="VPS2468" s="60"/>
      <c r="VPT2468" s="60"/>
      <c r="VPU2468" s="63"/>
      <c r="VPV2468" s="61"/>
      <c r="VPW2468" s="54"/>
      <c r="VPX2468" s="54"/>
      <c r="VPY2468" s="60"/>
      <c r="VPZ2468" s="60"/>
      <c r="VQA2468" s="60"/>
      <c r="VQB2468" s="60"/>
      <c r="VQC2468" s="63"/>
      <c r="VQD2468" s="61"/>
      <c r="VQE2468" s="54"/>
      <c r="VQF2468" s="54"/>
      <c r="VQG2468" s="60"/>
      <c r="VQH2468" s="60"/>
      <c r="VQI2468" s="60"/>
      <c r="VQJ2468" s="60"/>
      <c r="VQK2468" s="63"/>
      <c r="VQL2468" s="61"/>
      <c r="VQM2468" s="54"/>
      <c r="VQN2468" s="54"/>
      <c r="VQO2468" s="60"/>
      <c r="VQP2468" s="60"/>
      <c r="VQQ2468" s="60"/>
      <c r="VQR2468" s="60"/>
      <c r="VQS2468" s="63"/>
      <c r="VQT2468" s="61"/>
      <c r="VQU2468" s="54"/>
      <c r="VQV2468" s="54"/>
      <c r="VQW2468" s="60"/>
      <c r="VQX2468" s="60"/>
      <c r="VQY2468" s="60"/>
      <c r="VQZ2468" s="60"/>
      <c r="VRA2468" s="63"/>
      <c r="VRB2468" s="61"/>
      <c r="VRC2468" s="54"/>
      <c r="VRD2468" s="54"/>
      <c r="VRE2468" s="60"/>
      <c r="VRF2468" s="60"/>
      <c r="VRG2468" s="60"/>
      <c r="VRH2468" s="60"/>
      <c r="VRI2468" s="63"/>
      <c r="VRJ2468" s="61"/>
      <c r="VRK2468" s="54"/>
      <c r="VRL2468" s="54"/>
      <c r="VRM2468" s="60"/>
      <c r="VRN2468" s="60"/>
      <c r="VRO2468" s="60"/>
      <c r="VRP2468" s="60"/>
      <c r="VRQ2468" s="63"/>
      <c r="VRR2468" s="61"/>
      <c r="VRS2468" s="54"/>
      <c r="VRT2468" s="54"/>
      <c r="VRU2468" s="60"/>
      <c r="VRV2468" s="60"/>
      <c r="VRW2468" s="60"/>
      <c r="VRX2468" s="60"/>
      <c r="VRY2468" s="63"/>
      <c r="VRZ2468" s="61"/>
      <c r="VSA2468" s="54"/>
      <c r="VSB2468" s="54"/>
      <c r="VSC2468" s="60"/>
      <c r="VSD2468" s="60"/>
      <c r="VSE2468" s="60"/>
      <c r="VSF2468" s="60"/>
      <c r="VSG2468" s="63"/>
      <c r="VSH2468" s="61"/>
      <c r="VSI2468" s="54"/>
      <c r="VSJ2468" s="54"/>
      <c r="VSK2468" s="60"/>
      <c r="VSL2468" s="60"/>
      <c r="VSM2468" s="60"/>
      <c r="VSN2468" s="60"/>
      <c r="VSO2468" s="63"/>
      <c r="VSP2468" s="61"/>
      <c r="VSQ2468" s="54"/>
      <c r="VSR2468" s="54"/>
      <c r="VSS2468" s="60"/>
      <c r="VST2468" s="60"/>
      <c r="VSU2468" s="60"/>
      <c r="VSV2468" s="60"/>
      <c r="VSW2468" s="63"/>
      <c r="VSX2468" s="61"/>
      <c r="VSY2468" s="54"/>
      <c r="VSZ2468" s="54"/>
      <c r="VTA2468" s="60"/>
      <c r="VTB2468" s="60"/>
      <c r="VTC2468" s="60"/>
      <c r="VTD2468" s="60"/>
      <c r="VTE2468" s="63"/>
      <c r="VTF2468" s="61"/>
      <c r="VTG2468" s="54"/>
      <c r="VTH2468" s="54"/>
      <c r="VTI2468" s="60"/>
      <c r="VTJ2468" s="60"/>
      <c r="VTK2468" s="60"/>
      <c r="VTL2468" s="60"/>
      <c r="VTM2468" s="63"/>
      <c r="VTN2468" s="61"/>
      <c r="VTO2468" s="54"/>
      <c r="VTP2468" s="54"/>
      <c r="VTQ2468" s="60"/>
      <c r="VTR2468" s="60"/>
      <c r="VTS2468" s="60"/>
      <c r="VTT2468" s="60"/>
      <c r="VTU2468" s="63"/>
      <c r="VTV2468" s="61"/>
      <c r="VTW2468" s="54"/>
      <c r="VTX2468" s="54"/>
      <c r="VTY2468" s="60"/>
      <c r="VTZ2468" s="60"/>
      <c r="VUA2468" s="60"/>
      <c r="VUB2468" s="60"/>
      <c r="VUC2468" s="63"/>
      <c r="VUD2468" s="61"/>
      <c r="VUE2468" s="54"/>
      <c r="VUF2468" s="54"/>
      <c r="VUG2468" s="60"/>
      <c r="VUH2468" s="60"/>
      <c r="VUI2468" s="60"/>
      <c r="VUJ2468" s="60"/>
      <c r="VUK2468" s="63"/>
      <c r="VUL2468" s="61"/>
      <c r="VUM2468" s="54"/>
      <c r="VUN2468" s="54"/>
      <c r="VUO2468" s="60"/>
      <c r="VUP2468" s="60"/>
      <c r="VUQ2468" s="60"/>
      <c r="VUR2468" s="60"/>
      <c r="VUS2468" s="63"/>
      <c r="VUT2468" s="61"/>
      <c r="VUU2468" s="54"/>
      <c r="VUV2468" s="54"/>
      <c r="VUW2468" s="60"/>
      <c r="VUX2468" s="60"/>
      <c r="VUY2468" s="60"/>
      <c r="VUZ2468" s="60"/>
      <c r="VVA2468" s="63"/>
      <c r="VVB2468" s="61"/>
      <c r="VVC2468" s="54"/>
      <c r="VVD2468" s="54"/>
      <c r="VVE2468" s="60"/>
      <c r="VVF2468" s="60"/>
      <c r="VVG2468" s="60"/>
      <c r="VVH2468" s="60"/>
      <c r="VVI2468" s="63"/>
      <c r="VVJ2468" s="61"/>
      <c r="VVK2468" s="54"/>
      <c r="VVL2468" s="54"/>
      <c r="VVM2468" s="60"/>
      <c r="VVN2468" s="60"/>
      <c r="VVO2468" s="60"/>
      <c r="VVP2468" s="60"/>
      <c r="VVQ2468" s="63"/>
      <c r="VVR2468" s="61"/>
      <c r="VVS2468" s="54"/>
      <c r="VVT2468" s="54"/>
      <c r="VVU2468" s="60"/>
      <c r="VVV2468" s="60"/>
      <c r="VVW2468" s="60"/>
      <c r="VVX2468" s="60"/>
      <c r="VVY2468" s="63"/>
      <c r="VVZ2468" s="61"/>
      <c r="VWA2468" s="54"/>
      <c r="VWB2468" s="54"/>
      <c r="VWC2468" s="60"/>
      <c r="VWD2468" s="60"/>
      <c r="VWE2468" s="60"/>
      <c r="VWF2468" s="60"/>
      <c r="VWG2468" s="63"/>
      <c r="VWH2468" s="61"/>
      <c r="VWI2468" s="54"/>
      <c r="VWJ2468" s="54"/>
      <c r="VWK2468" s="60"/>
      <c r="VWL2468" s="60"/>
      <c r="VWM2468" s="60"/>
      <c r="VWN2468" s="60"/>
      <c r="VWO2468" s="63"/>
      <c r="VWP2468" s="61"/>
      <c r="VWQ2468" s="54"/>
      <c r="VWR2468" s="54"/>
      <c r="VWS2468" s="60"/>
      <c r="VWT2468" s="60"/>
      <c r="VWU2468" s="60"/>
      <c r="VWV2468" s="60"/>
      <c r="VWW2468" s="63"/>
      <c r="VWX2468" s="61"/>
      <c r="VWY2468" s="54"/>
      <c r="VWZ2468" s="54"/>
      <c r="VXA2468" s="60"/>
      <c r="VXB2468" s="60"/>
      <c r="VXC2468" s="60"/>
      <c r="VXD2468" s="60"/>
      <c r="VXE2468" s="63"/>
      <c r="VXF2468" s="61"/>
      <c r="VXG2468" s="54"/>
      <c r="VXH2468" s="54"/>
      <c r="VXI2468" s="60"/>
      <c r="VXJ2468" s="60"/>
      <c r="VXK2468" s="60"/>
      <c r="VXL2468" s="60"/>
      <c r="VXM2468" s="63"/>
      <c r="VXN2468" s="61"/>
      <c r="VXO2468" s="54"/>
      <c r="VXP2468" s="54"/>
      <c r="VXQ2468" s="60"/>
      <c r="VXR2468" s="60"/>
      <c r="VXS2468" s="60"/>
      <c r="VXT2468" s="60"/>
      <c r="VXU2468" s="63"/>
      <c r="VXV2468" s="61"/>
      <c r="VXW2468" s="54"/>
      <c r="VXX2468" s="54"/>
      <c r="VXY2468" s="60"/>
      <c r="VXZ2468" s="60"/>
      <c r="VYA2468" s="60"/>
      <c r="VYB2468" s="60"/>
      <c r="VYC2468" s="63"/>
      <c r="VYD2468" s="61"/>
      <c r="VYE2468" s="54"/>
      <c r="VYF2468" s="54"/>
      <c r="VYG2468" s="60"/>
      <c r="VYH2468" s="60"/>
      <c r="VYI2468" s="60"/>
      <c r="VYJ2468" s="60"/>
      <c r="VYK2468" s="63"/>
      <c r="VYL2468" s="61"/>
      <c r="VYM2468" s="54"/>
      <c r="VYN2468" s="54"/>
      <c r="VYO2468" s="60"/>
      <c r="VYP2468" s="60"/>
      <c r="VYQ2468" s="60"/>
      <c r="VYR2468" s="60"/>
      <c r="VYS2468" s="63"/>
      <c r="VYT2468" s="61"/>
      <c r="VYU2468" s="54"/>
      <c r="VYV2468" s="54"/>
      <c r="VYW2468" s="60"/>
      <c r="VYX2468" s="60"/>
      <c r="VYY2468" s="60"/>
      <c r="VYZ2468" s="60"/>
      <c r="VZA2468" s="63"/>
      <c r="VZB2468" s="61"/>
      <c r="VZC2468" s="54"/>
      <c r="VZD2468" s="54"/>
      <c r="VZE2468" s="60"/>
      <c r="VZF2468" s="60"/>
      <c r="VZG2468" s="60"/>
      <c r="VZH2468" s="60"/>
      <c r="VZI2468" s="63"/>
      <c r="VZJ2468" s="61"/>
      <c r="VZK2468" s="54"/>
      <c r="VZL2468" s="54"/>
      <c r="VZM2468" s="60"/>
      <c r="VZN2468" s="60"/>
      <c r="VZO2468" s="60"/>
      <c r="VZP2468" s="60"/>
      <c r="VZQ2468" s="63"/>
      <c r="VZR2468" s="61"/>
      <c r="VZS2468" s="54"/>
      <c r="VZT2468" s="54"/>
      <c r="VZU2468" s="60"/>
      <c r="VZV2468" s="60"/>
      <c r="VZW2468" s="60"/>
      <c r="VZX2468" s="60"/>
      <c r="VZY2468" s="63"/>
      <c r="VZZ2468" s="61"/>
      <c r="WAA2468" s="54"/>
      <c r="WAB2468" s="54"/>
      <c r="WAC2468" s="60"/>
      <c r="WAD2468" s="60"/>
      <c r="WAE2468" s="60"/>
      <c r="WAF2468" s="60"/>
      <c r="WAG2468" s="63"/>
      <c r="WAH2468" s="61"/>
      <c r="WAI2468" s="54"/>
      <c r="WAJ2468" s="54"/>
      <c r="WAK2468" s="60"/>
      <c r="WAL2468" s="60"/>
      <c r="WAM2468" s="60"/>
      <c r="WAN2468" s="60"/>
      <c r="WAO2468" s="63"/>
      <c r="WAP2468" s="61"/>
      <c r="WAQ2468" s="54"/>
      <c r="WAR2468" s="54"/>
      <c r="WAS2468" s="60"/>
      <c r="WAT2468" s="60"/>
      <c r="WAU2468" s="60"/>
      <c r="WAV2468" s="60"/>
      <c r="WAW2468" s="63"/>
      <c r="WAX2468" s="61"/>
      <c r="WAY2468" s="54"/>
      <c r="WAZ2468" s="54"/>
      <c r="WBA2468" s="60"/>
      <c r="WBB2468" s="60"/>
      <c r="WBC2468" s="60"/>
      <c r="WBD2468" s="60"/>
      <c r="WBE2468" s="63"/>
      <c r="WBF2468" s="61"/>
      <c r="WBG2468" s="54"/>
      <c r="WBH2468" s="54"/>
      <c r="WBI2468" s="60"/>
      <c r="WBJ2468" s="60"/>
      <c r="WBK2468" s="60"/>
      <c r="WBL2468" s="60"/>
      <c r="WBM2468" s="63"/>
      <c r="WBN2468" s="61"/>
      <c r="WBO2468" s="54"/>
      <c r="WBP2468" s="54"/>
      <c r="WBQ2468" s="60"/>
      <c r="WBR2468" s="60"/>
      <c r="WBS2468" s="60"/>
      <c r="WBT2468" s="60"/>
      <c r="WBU2468" s="63"/>
      <c r="WBV2468" s="61"/>
      <c r="WBW2468" s="54"/>
      <c r="WBX2468" s="54"/>
      <c r="WBY2468" s="60"/>
      <c r="WBZ2468" s="60"/>
      <c r="WCA2468" s="60"/>
      <c r="WCB2468" s="60"/>
      <c r="WCC2468" s="63"/>
      <c r="WCD2468" s="61"/>
      <c r="WCE2468" s="54"/>
      <c r="WCF2468" s="54"/>
      <c r="WCG2468" s="60"/>
      <c r="WCH2468" s="60"/>
      <c r="WCI2468" s="60"/>
      <c r="WCJ2468" s="60"/>
      <c r="WCK2468" s="63"/>
      <c r="WCL2468" s="61"/>
      <c r="WCM2468" s="54"/>
      <c r="WCN2468" s="54"/>
      <c r="WCO2468" s="60"/>
      <c r="WCP2468" s="60"/>
      <c r="WCQ2468" s="60"/>
      <c r="WCR2468" s="60"/>
      <c r="WCS2468" s="63"/>
      <c r="WCT2468" s="61"/>
      <c r="WCU2468" s="54"/>
      <c r="WCV2468" s="54"/>
      <c r="WCW2468" s="60"/>
      <c r="WCX2468" s="60"/>
      <c r="WCY2468" s="60"/>
      <c r="WCZ2468" s="60"/>
      <c r="WDA2468" s="63"/>
      <c r="WDB2468" s="61"/>
      <c r="WDC2468" s="54"/>
      <c r="WDD2468" s="54"/>
      <c r="WDE2468" s="60"/>
      <c r="WDF2468" s="60"/>
      <c r="WDG2468" s="60"/>
      <c r="WDH2468" s="60"/>
      <c r="WDI2468" s="63"/>
      <c r="WDJ2468" s="61"/>
      <c r="WDK2468" s="54"/>
      <c r="WDL2468" s="54"/>
      <c r="WDM2468" s="60"/>
      <c r="WDN2468" s="60"/>
      <c r="WDO2468" s="60"/>
      <c r="WDP2468" s="60"/>
      <c r="WDQ2468" s="63"/>
      <c r="WDR2468" s="61"/>
      <c r="WDS2468" s="54"/>
      <c r="WDT2468" s="54"/>
      <c r="WDU2468" s="60"/>
      <c r="WDV2468" s="60"/>
      <c r="WDW2468" s="60"/>
      <c r="WDX2468" s="60"/>
      <c r="WDY2468" s="63"/>
      <c r="WDZ2468" s="61"/>
      <c r="WEA2468" s="54"/>
      <c r="WEB2468" s="54"/>
      <c r="WEC2468" s="60"/>
      <c r="WED2468" s="60"/>
      <c r="WEE2468" s="60"/>
      <c r="WEF2468" s="60"/>
      <c r="WEG2468" s="63"/>
      <c r="WEH2468" s="61"/>
      <c r="WEI2468" s="54"/>
      <c r="WEJ2468" s="54"/>
      <c r="WEK2468" s="60"/>
      <c r="WEL2468" s="60"/>
      <c r="WEM2468" s="60"/>
      <c r="WEN2468" s="60"/>
      <c r="WEO2468" s="63"/>
      <c r="WEP2468" s="61"/>
      <c r="WEQ2468" s="54"/>
      <c r="WER2468" s="54"/>
      <c r="WES2468" s="60"/>
      <c r="WET2468" s="60"/>
      <c r="WEU2468" s="60"/>
      <c r="WEV2468" s="60"/>
      <c r="WEW2468" s="63"/>
      <c r="WEX2468" s="61"/>
      <c r="WEY2468" s="54"/>
      <c r="WEZ2468" s="54"/>
      <c r="WFA2468" s="60"/>
      <c r="WFB2468" s="60"/>
      <c r="WFC2468" s="60"/>
      <c r="WFD2468" s="60"/>
      <c r="WFE2468" s="63"/>
      <c r="WFF2468" s="61"/>
      <c r="WFG2468" s="54"/>
      <c r="WFH2468" s="54"/>
      <c r="WFI2468" s="60"/>
      <c r="WFJ2468" s="60"/>
      <c r="WFK2468" s="60"/>
      <c r="WFL2468" s="60"/>
      <c r="WFM2468" s="63"/>
      <c r="WFN2468" s="61"/>
      <c r="WFO2468" s="54"/>
      <c r="WFP2468" s="54"/>
      <c r="WFQ2468" s="60"/>
      <c r="WFR2468" s="60"/>
      <c r="WFS2468" s="60"/>
      <c r="WFT2468" s="60"/>
      <c r="WFU2468" s="63"/>
      <c r="WFV2468" s="61"/>
      <c r="WFW2468" s="54"/>
      <c r="WFX2468" s="54"/>
      <c r="WFY2468" s="60"/>
      <c r="WFZ2468" s="60"/>
      <c r="WGA2468" s="60"/>
      <c r="WGB2468" s="60"/>
      <c r="WGC2468" s="63"/>
      <c r="WGD2468" s="61"/>
      <c r="WGE2468" s="54"/>
      <c r="WGF2468" s="54"/>
      <c r="WGG2468" s="60"/>
      <c r="WGH2468" s="60"/>
      <c r="WGI2468" s="60"/>
      <c r="WGJ2468" s="60"/>
      <c r="WGK2468" s="63"/>
      <c r="WGL2468" s="61"/>
      <c r="WGM2468" s="54"/>
      <c r="WGN2468" s="54"/>
      <c r="WGO2468" s="60"/>
      <c r="WGP2468" s="60"/>
      <c r="WGQ2468" s="60"/>
      <c r="WGR2468" s="60"/>
      <c r="WGS2468" s="63"/>
      <c r="WGT2468" s="61"/>
      <c r="WGU2468" s="54"/>
      <c r="WGV2468" s="54"/>
      <c r="WGW2468" s="60"/>
      <c r="WGX2468" s="60"/>
      <c r="WGY2468" s="60"/>
      <c r="WGZ2468" s="60"/>
      <c r="WHA2468" s="63"/>
      <c r="WHB2468" s="61"/>
      <c r="WHC2468" s="54"/>
      <c r="WHD2468" s="54"/>
      <c r="WHE2468" s="60"/>
      <c r="WHF2468" s="60"/>
      <c r="WHG2468" s="60"/>
      <c r="WHH2468" s="60"/>
      <c r="WHI2468" s="63"/>
      <c r="WHJ2468" s="61"/>
      <c r="WHK2468" s="54"/>
      <c r="WHL2468" s="54"/>
      <c r="WHM2468" s="60"/>
      <c r="WHN2468" s="60"/>
      <c r="WHO2468" s="60"/>
      <c r="WHP2468" s="60"/>
      <c r="WHQ2468" s="63"/>
      <c r="WHR2468" s="61"/>
      <c r="WHS2468" s="54"/>
      <c r="WHT2468" s="54"/>
      <c r="WHU2468" s="60"/>
      <c r="WHV2468" s="60"/>
      <c r="WHW2468" s="60"/>
      <c r="WHX2468" s="60"/>
      <c r="WHY2468" s="63"/>
      <c r="WHZ2468" s="61"/>
      <c r="WIA2468" s="54"/>
      <c r="WIB2468" s="54"/>
      <c r="WIC2468" s="60"/>
      <c r="WID2468" s="60"/>
      <c r="WIE2468" s="60"/>
      <c r="WIF2468" s="60"/>
      <c r="WIG2468" s="63"/>
      <c r="WIH2468" s="61"/>
      <c r="WII2468" s="54"/>
      <c r="WIJ2468" s="54"/>
      <c r="WIK2468" s="60"/>
      <c r="WIL2468" s="60"/>
      <c r="WIM2468" s="60"/>
      <c r="WIN2468" s="60"/>
      <c r="WIO2468" s="63"/>
      <c r="WIP2468" s="61"/>
      <c r="WIQ2468" s="54"/>
      <c r="WIR2468" s="54"/>
      <c r="WIS2468" s="60"/>
      <c r="WIT2468" s="60"/>
      <c r="WIU2468" s="60"/>
      <c r="WIV2468" s="60"/>
      <c r="WIW2468" s="63"/>
      <c r="WIX2468" s="61"/>
      <c r="WIY2468" s="54"/>
      <c r="WIZ2468" s="54"/>
      <c r="WJA2468" s="60"/>
      <c r="WJB2468" s="60"/>
      <c r="WJC2468" s="60"/>
      <c r="WJD2468" s="60"/>
      <c r="WJE2468" s="63"/>
      <c r="WJF2468" s="61"/>
      <c r="WJG2468" s="54"/>
      <c r="WJH2468" s="54"/>
      <c r="WJI2468" s="60"/>
      <c r="WJJ2468" s="60"/>
      <c r="WJK2468" s="60"/>
      <c r="WJL2468" s="60"/>
      <c r="WJM2468" s="63"/>
      <c r="WJN2468" s="61"/>
      <c r="WJO2468" s="54"/>
      <c r="WJP2468" s="54"/>
      <c r="WJQ2468" s="60"/>
      <c r="WJR2468" s="60"/>
      <c r="WJS2468" s="60"/>
      <c r="WJT2468" s="60"/>
      <c r="WJU2468" s="63"/>
      <c r="WJV2468" s="61"/>
      <c r="WJW2468" s="54"/>
      <c r="WJX2468" s="54"/>
      <c r="WJY2468" s="60"/>
      <c r="WJZ2468" s="60"/>
      <c r="WKA2468" s="60"/>
      <c r="WKB2468" s="60"/>
      <c r="WKC2468" s="63"/>
      <c r="WKD2468" s="61"/>
      <c r="WKE2468" s="54"/>
      <c r="WKF2468" s="54"/>
      <c r="WKG2468" s="60"/>
      <c r="WKH2468" s="60"/>
      <c r="WKI2468" s="60"/>
      <c r="WKJ2468" s="60"/>
      <c r="WKK2468" s="63"/>
      <c r="WKL2468" s="61"/>
      <c r="WKM2468" s="54"/>
      <c r="WKN2468" s="54"/>
      <c r="WKO2468" s="60"/>
      <c r="WKP2468" s="60"/>
      <c r="WKQ2468" s="60"/>
      <c r="WKR2468" s="60"/>
      <c r="WKS2468" s="63"/>
      <c r="WKT2468" s="61"/>
      <c r="WKU2468" s="54"/>
      <c r="WKV2468" s="54"/>
      <c r="WKW2468" s="60"/>
      <c r="WKX2468" s="60"/>
      <c r="WKY2468" s="60"/>
      <c r="WKZ2468" s="60"/>
      <c r="WLA2468" s="63"/>
      <c r="WLB2468" s="61"/>
      <c r="WLC2468" s="54"/>
      <c r="WLD2468" s="54"/>
      <c r="WLE2468" s="60"/>
      <c r="WLF2468" s="60"/>
      <c r="WLG2468" s="60"/>
      <c r="WLH2468" s="60"/>
      <c r="WLI2468" s="63"/>
      <c r="WLJ2468" s="61"/>
      <c r="WLK2468" s="54"/>
      <c r="WLL2468" s="54"/>
      <c r="WLM2468" s="60"/>
      <c r="WLN2468" s="60"/>
      <c r="WLO2468" s="60"/>
      <c r="WLP2468" s="60"/>
      <c r="WLQ2468" s="63"/>
      <c r="WLR2468" s="61"/>
      <c r="WLS2468" s="54"/>
      <c r="WLT2468" s="54"/>
      <c r="WLU2468" s="60"/>
      <c r="WLV2468" s="60"/>
      <c r="WLW2468" s="60"/>
      <c r="WLX2468" s="60"/>
      <c r="WLY2468" s="63"/>
      <c r="WLZ2468" s="61"/>
      <c r="WMA2468" s="54"/>
      <c r="WMB2468" s="54"/>
      <c r="WMC2468" s="60"/>
      <c r="WMD2468" s="60"/>
      <c r="WME2468" s="60"/>
      <c r="WMF2468" s="60"/>
      <c r="WMG2468" s="63"/>
      <c r="WMH2468" s="61"/>
      <c r="WMI2468" s="54"/>
      <c r="WMJ2468" s="54"/>
      <c r="WMK2468" s="60"/>
      <c r="WML2468" s="60"/>
      <c r="WMM2468" s="60"/>
      <c r="WMN2468" s="60"/>
      <c r="WMO2468" s="63"/>
      <c r="WMP2468" s="61"/>
      <c r="WMQ2468" s="54"/>
      <c r="WMR2468" s="54"/>
      <c r="WMS2468" s="60"/>
      <c r="WMT2468" s="60"/>
      <c r="WMU2468" s="60"/>
      <c r="WMV2468" s="60"/>
      <c r="WMW2468" s="63"/>
      <c r="WMX2468" s="61"/>
      <c r="WMY2468" s="54"/>
      <c r="WMZ2468" s="54"/>
      <c r="WNA2468" s="60"/>
      <c r="WNB2468" s="60"/>
      <c r="WNC2468" s="60"/>
      <c r="WND2468" s="60"/>
      <c r="WNE2468" s="63"/>
      <c r="WNF2468" s="61"/>
      <c r="WNG2468" s="54"/>
      <c r="WNH2468" s="54"/>
      <c r="WNI2468" s="60"/>
      <c r="WNJ2468" s="60"/>
      <c r="WNK2468" s="60"/>
      <c r="WNL2468" s="60"/>
      <c r="WNM2468" s="63"/>
      <c r="WNN2468" s="61"/>
      <c r="WNO2468" s="54"/>
      <c r="WNP2468" s="54"/>
      <c r="WNQ2468" s="60"/>
      <c r="WNR2468" s="60"/>
      <c r="WNS2468" s="60"/>
      <c r="WNT2468" s="60"/>
      <c r="WNU2468" s="63"/>
      <c r="WNV2468" s="61"/>
      <c r="WNW2468" s="54"/>
      <c r="WNX2468" s="54"/>
      <c r="WNY2468" s="60"/>
      <c r="WNZ2468" s="60"/>
      <c r="WOA2468" s="60"/>
      <c r="WOB2468" s="60"/>
      <c r="WOC2468" s="63"/>
      <c r="WOD2468" s="61"/>
      <c r="WOE2468" s="54"/>
      <c r="WOF2468" s="54"/>
      <c r="WOG2468" s="60"/>
      <c r="WOH2468" s="60"/>
      <c r="WOI2468" s="60"/>
      <c r="WOJ2468" s="60"/>
      <c r="WOK2468" s="63"/>
      <c r="WOL2468" s="61"/>
      <c r="WOM2468" s="54"/>
      <c r="WON2468" s="54"/>
      <c r="WOO2468" s="60"/>
      <c r="WOP2468" s="60"/>
      <c r="WOQ2468" s="60"/>
      <c r="WOR2468" s="60"/>
      <c r="WOS2468" s="63"/>
      <c r="WOT2468" s="61"/>
      <c r="WOU2468" s="54"/>
      <c r="WOV2468" s="54"/>
      <c r="WOW2468" s="60"/>
      <c r="WOX2468" s="60"/>
      <c r="WOY2468" s="60"/>
      <c r="WOZ2468" s="60"/>
      <c r="WPA2468" s="63"/>
      <c r="WPB2468" s="61"/>
      <c r="WPC2468" s="54"/>
      <c r="WPD2468" s="54"/>
      <c r="WPE2468" s="60"/>
      <c r="WPF2468" s="60"/>
      <c r="WPG2468" s="60"/>
      <c r="WPH2468" s="60"/>
      <c r="WPI2468" s="63"/>
      <c r="WPJ2468" s="61"/>
      <c r="WPK2468" s="54"/>
      <c r="WPL2468" s="54"/>
      <c r="WPM2468" s="60"/>
      <c r="WPN2468" s="60"/>
      <c r="WPO2468" s="60"/>
      <c r="WPP2468" s="60"/>
      <c r="WPQ2468" s="63"/>
      <c r="WPR2468" s="61"/>
      <c r="WPS2468" s="54"/>
      <c r="WPT2468" s="54"/>
      <c r="WPU2468" s="60"/>
      <c r="WPV2468" s="60"/>
      <c r="WPW2468" s="60"/>
      <c r="WPX2468" s="60"/>
      <c r="WPY2468" s="63"/>
      <c r="WPZ2468" s="61"/>
      <c r="WQA2468" s="54"/>
      <c r="WQB2468" s="54"/>
      <c r="WQC2468" s="60"/>
      <c r="WQD2468" s="60"/>
      <c r="WQE2468" s="60"/>
      <c r="WQF2468" s="60"/>
      <c r="WQG2468" s="63"/>
      <c r="WQH2468" s="61"/>
      <c r="WQI2468" s="54"/>
      <c r="WQJ2468" s="54"/>
      <c r="WQK2468" s="60"/>
      <c r="WQL2468" s="60"/>
      <c r="WQM2468" s="60"/>
      <c r="WQN2468" s="60"/>
      <c r="WQO2468" s="63"/>
      <c r="WQP2468" s="61"/>
      <c r="WQQ2468" s="54"/>
      <c r="WQR2468" s="54"/>
      <c r="WQS2468" s="60"/>
      <c r="WQT2468" s="60"/>
      <c r="WQU2468" s="60"/>
      <c r="WQV2468" s="60"/>
      <c r="WQW2468" s="63"/>
      <c r="WQX2468" s="61"/>
      <c r="WQY2468" s="54"/>
      <c r="WQZ2468" s="54"/>
      <c r="WRA2468" s="60"/>
      <c r="WRB2468" s="60"/>
      <c r="WRC2468" s="60"/>
      <c r="WRD2468" s="60"/>
      <c r="WRE2468" s="63"/>
      <c r="WRF2468" s="61"/>
      <c r="WRG2468" s="54"/>
      <c r="WRH2468" s="54"/>
      <c r="WRI2468" s="60"/>
      <c r="WRJ2468" s="60"/>
      <c r="WRK2468" s="60"/>
      <c r="WRL2468" s="60"/>
      <c r="WRM2468" s="63"/>
      <c r="WRN2468" s="61"/>
      <c r="WRO2468" s="54"/>
      <c r="WRP2468" s="54"/>
      <c r="WRQ2468" s="60"/>
      <c r="WRR2468" s="60"/>
      <c r="WRS2468" s="60"/>
      <c r="WRT2468" s="60"/>
      <c r="WRU2468" s="63"/>
      <c r="WRV2468" s="61"/>
      <c r="WRW2468" s="54"/>
      <c r="WRX2468" s="54"/>
      <c r="WRY2468" s="60"/>
      <c r="WRZ2468" s="60"/>
      <c r="WSA2468" s="60"/>
      <c r="WSB2468" s="60"/>
      <c r="WSC2468" s="63"/>
      <c r="WSD2468" s="61"/>
      <c r="WSE2468" s="54"/>
      <c r="WSF2468" s="54"/>
      <c r="WSG2468" s="60"/>
      <c r="WSH2468" s="60"/>
      <c r="WSI2468" s="60"/>
      <c r="WSJ2468" s="60"/>
      <c r="WSK2468" s="63"/>
      <c r="WSL2468" s="61"/>
      <c r="WSM2468" s="54"/>
      <c r="WSN2468" s="54"/>
      <c r="WSO2468" s="60"/>
      <c r="WSP2468" s="60"/>
      <c r="WSQ2468" s="60"/>
      <c r="WSR2468" s="60"/>
      <c r="WSS2468" s="63"/>
      <c r="WST2468" s="61"/>
      <c r="WSU2468" s="54"/>
      <c r="WSV2468" s="54"/>
      <c r="WSW2468" s="60"/>
      <c r="WSX2468" s="60"/>
      <c r="WSY2468" s="60"/>
      <c r="WSZ2468" s="60"/>
      <c r="WTA2468" s="63"/>
      <c r="WTB2468" s="61"/>
      <c r="WTC2468" s="54"/>
      <c r="WTD2468" s="54"/>
      <c r="WTE2468" s="60"/>
      <c r="WTF2468" s="60"/>
      <c r="WTG2468" s="60"/>
      <c r="WTH2468" s="60"/>
      <c r="WTI2468" s="63"/>
      <c r="WTJ2468" s="61"/>
      <c r="WTK2468" s="54"/>
      <c r="WTL2468" s="54"/>
      <c r="WTM2468" s="60"/>
      <c r="WTN2468" s="60"/>
      <c r="WTO2468" s="60"/>
      <c r="WTP2468" s="60"/>
      <c r="WTQ2468" s="63"/>
      <c r="WTR2468" s="61"/>
      <c r="WTS2468" s="54"/>
      <c r="WTT2468" s="54"/>
      <c r="WTU2468" s="60"/>
      <c r="WTV2468" s="60"/>
      <c r="WTW2468" s="60"/>
      <c r="WTX2468" s="60"/>
      <c r="WTY2468" s="63"/>
      <c r="WTZ2468" s="61"/>
      <c r="WUA2468" s="54"/>
      <c r="WUB2468" s="54"/>
      <c r="WUC2468" s="60"/>
      <c r="WUD2468" s="60"/>
      <c r="WUE2468" s="60"/>
      <c r="WUF2468" s="60"/>
      <c r="WUG2468" s="63"/>
      <c r="WUH2468" s="61"/>
      <c r="WUI2468" s="54"/>
      <c r="WUJ2468" s="54"/>
      <c r="WUK2468" s="60"/>
      <c r="WUL2468" s="60"/>
      <c r="WUM2468" s="60"/>
      <c r="WUN2468" s="60"/>
      <c r="WUO2468" s="63"/>
      <c r="WUP2468" s="61"/>
      <c r="WUQ2468" s="54"/>
      <c r="WUR2468" s="54"/>
      <c r="WUS2468" s="60"/>
      <c r="WUT2468" s="60"/>
      <c r="WUU2468" s="60"/>
      <c r="WUV2468" s="60"/>
      <c r="WUW2468" s="63"/>
      <c r="WUX2468" s="61"/>
      <c r="WUY2468" s="54"/>
      <c r="WUZ2468" s="54"/>
      <c r="WVA2468" s="60"/>
      <c r="WVB2468" s="60"/>
      <c r="WVC2468" s="60"/>
      <c r="WVD2468" s="60"/>
      <c r="WVE2468" s="63"/>
      <c r="WVF2468" s="61"/>
      <c r="WVG2468" s="54"/>
      <c r="WVH2468" s="54"/>
      <c r="WVI2468" s="60"/>
      <c r="WVJ2468" s="60"/>
      <c r="WVK2468" s="60"/>
      <c r="WVL2468" s="60"/>
      <c r="WVM2468" s="63"/>
      <c r="WVN2468" s="61"/>
      <c r="WVO2468" s="54"/>
      <c r="WVP2468" s="54"/>
      <c r="WVQ2468" s="60"/>
      <c r="WVR2468" s="60"/>
      <c r="WVS2468" s="60"/>
      <c r="WVT2468" s="60"/>
      <c r="WVU2468" s="63"/>
      <c r="WVV2468" s="61"/>
      <c r="WVW2468" s="54"/>
      <c r="WVX2468" s="54"/>
      <c r="WVY2468" s="60"/>
      <c r="WVZ2468" s="60"/>
      <c r="WWA2468" s="60"/>
      <c r="WWB2468" s="60"/>
      <c r="WWC2468" s="63"/>
      <c r="WWD2468" s="61"/>
      <c r="WWE2468" s="54"/>
      <c r="WWF2468" s="54"/>
      <c r="WWG2468" s="60"/>
      <c r="WWH2468" s="60"/>
      <c r="WWI2468" s="60"/>
      <c r="WWJ2468" s="60"/>
      <c r="WWK2468" s="63"/>
      <c r="WWL2468" s="61"/>
      <c r="WWM2468" s="54"/>
      <c r="WWN2468" s="54"/>
      <c r="WWO2468" s="60"/>
      <c r="WWP2468" s="60"/>
      <c r="WWQ2468" s="60"/>
      <c r="WWR2468" s="60"/>
      <c r="WWS2468" s="63"/>
      <c r="WWT2468" s="61"/>
      <c r="WWU2468" s="54"/>
      <c r="WWV2468" s="54"/>
      <c r="WWW2468" s="60"/>
      <c r="WWX2468" s="60"/>
      <c r="WWY2468" s="60"/>
      <c r="WWZ2468" s="60"/>
      <c r="WXA2468" s="63"/>
      <c r="WXB2468" s="61"/>
      <c r="WXC2468" s="54"/>
      <c r="WXD2468" s="54"/>
      <c r="WXE2468" s="60"/>
      <c r="WXF2468" s="60"/>
      <c r="WXG2468" s="60"/>
      <c r="WXH2468" s="60"/>
      <c r="WXI2468" s="63"/>
      <c r="WXJ2468" s="61"/>
      <c r="WXK2468" s="54"/>
      <c r="WXL2468" s="54"/>
      <c r="WXM2468" s="60"/>
      <c r="WXN2468" s="60"/>
      <c r="WXO2468" s="60"/>
      <c r="WXP2468" s="60"/>
      <c r="WXQ2468" s="63"/>
      <c r="WXR2468" s="61"/>
      <c r="WXS2468" s="54"/>
      <c r="WXT2468" s="54"/>
      <c r="WXU2468" s="60"/>
      <c r="WXV2468" s="60"/>
      <c r="WXW2468" s="60"/>
      <c r="WXX2468" s="60"/>
      <c r="WXY2468" s="63"/>
      <c r="WXZ2468" s="61"/>
      <c r="WYA2468" s="54"/>
      <c r="WYB2468" s="54"/>
      <c r="WYC2468" s="60"/>
      <c r="WYD2468" s="60"/>
      <c r="WYE2468" s="60"/>
      <c r="WYF2468" s="60"/>
      <c r="WYG2468" s="63"/>
      <c r="WYH2468" s="61"/>
      <c r="WYI2468" s="54"/>
      <c r="WYJ2468" s="54"/>
      <c r="WYK2468" s="60"/>
      <c r="WYL2468" s="60"/>
      <c r="WYM2468" s="60"/>
      <c r="WYN2468" s="60"/>
      <c r="WYO2468" s="63"/>
      <c r="WYP2468" s="61"/>
      <c r="WYQ2468" s="54"/>
      <c r="WYR2468" s="54"/>
      <c r="WYS2468" s="60"/>
      <c r="WYT2468" s="60"/>
      <c r="WYU2468" s="60"/>
      <c r="WYV2468" s="60"/>
      <c r="WYW2468" s="63"/>
      <c r="WYX2468" s="61"/>
      <c r="WYY2468" s="54"/>
      <c r="WYZ2468" s="54"/>
      <c r="WZA2468" s="60"/>
      <c r="WZB2468" s="60"/>
      <c r="WZC2468" s="60"/>
      <c r="WZD2468" s="60"/>
      <c r="WZE2468" s="63"/>
      <c r="WZF2468" s="61"/>
      <c r="WZG2468" s="54"/>
      <c r="WZH2468" s="54"/>
      <c r="WZI2468" s="60"/>
      <c r="WZJ2468" s="60"/>
      <c r="WZK2468" s="60"/>
      <c r="WZL2468" s="60"/>
      <c r="WZM2468" s="63"/>
      <c r="WZN2468" s="61"/>
      <c r="WZO2468" s="54"/>
      <c r="WZP2468" s="54"/>
      <c r="WZQ2468" s="60"/>
      <c r="WZR2468" s="60"/>
      <c r="WZS2468" s="60"/>
      <c r="WZT2468" s="60"/>
      <c r="WZU2468" s="63"/>
      <c r="WZV2468" s="61"/>
      <c r="WZW2468" s="54"/>
      <c r="WZX2468" s="54"/>
      <c r="WZY2468" s="60"/>
      <c r="WZZ2468" s="60"/>
      <c r="XAA2468" s="60"/>
      <c r="XAB2468" s="60"/>
      <c r="XAC2468" s="63"/>
      <c r="XAD2468" s="61"/>
      <c r="XAE2468" s="54"/>
      <c r="XAF2468" s="54"/>
      <c r="XAG2468" s="60"/>
      <c r="XAH2468" s="60"/>
      <c r="XAI2468" s="60"/>
      <c r="XAJ2468" s="60"/>
      <c r="XAK2468" s="63"/>
      <c r="XAL2468" s="61"/>
      <c r="XAM2468" s="54"/>
      <c r="XAN2468" s="54"/>
      <c r="XAO2468" s="60"/>
      <c r="XAP2468" s="60"/>
      <c r="XAQ2468" s="60"/>
      <c r="XAR2468" s="60"/>
      <c r="XAS2468" s="63"/>
      <c r="XAT2468" s="61"/>
      <c r="XAU2468" s="54"/>
      <c r="XAV2468" s="54"/>
      <c r="XAW2468" s="60"/>
      <c r="XAX2468" s="60"/>
      <c r="XAY2468" s="60"/>
      <c r="XAZ2468" s="60"/>
      <c r="XBA2468" s="63"/>
      <c r="XBB2468" s="61"/>
      <c r="XBC2468" s="54"/>
      <c r="XBD2468" s="54"/>
      <c r="XBE2468" s="60"/>
      <c r="XBF2468" s="60"/>
      <c r="XBG2468" s="60"/>
      <c r="XBH2468" s="60"/>
      <c r="XBI2468" s="63"/>
      <c r="XBJ2468" s="61"/>
      <c r="XBK2468" s="54"/>
      <c r="XBL2468" s="54"/>
      <c r="XBM2468" s="60"/>
      <c r="XBN2468" s="60"/>
      <c r="XBO2468" s="60"/>
      <c r="XBP2468" s="60"/>
      <c r="XBQ2468" s="63"/>
      <c r="XBR2468" s="61"/>
      <c r="XBS2468" s="54"/>
      <c r="XBT2468" s="54"/>
      <c r="XBU2468" s="60"/>
      <c r="XBV2468" s="60"/>
      <c r="XBW2468" s="60"/>
      <c r="XBX2468" s="60"/>
      <c r="XBY2468" s="63"/>
      <c r="XBZ2468" s="61"/>
      <c r="XCA2468" s="54"/>
      <c r="XCB2468" s="54"/>
      <c r="XCC2468" s="60"/>
      <c r="XCD2468" s="60"/>
      <c r="XCE2468" s="60"/>
      <c r="XCF2468" s="60"/>
      <c r="XCG2468" s="63"/>
      <c r="XCH2468" s="61"/>
      <c r="XCI2468" s="54"/>
      <c r="XCJ2468" s="54"/>
      <c r="XCK2468" s="60"/>
      <c r="XCL2468" s="60"/>
      <c r="XCM2468" s="60"/>
      <c r="XCN2468" s="60"/>
      <c r="XCO2468" s="63"/>
      <c r="XCP2468" s="61"/>
      <c r="XCQ2468" s="54"/>
      <c r="XCR2468" s="54"/>
      <c r="XCS2468" s="60"/>
      <c r="XCT2468" s="60"/>
      <c r="XCU2468" s="60"/>
      <c r="XCV2468" s="60"/>
      <c r="XCW2468" s="63"/>
      <c r="XCX2468" s="61"/>
      <c r="XCY2468" s="54"/>
      <c r="XCZ2468" s="54"/>
      <c r="XDA2468" s="60"/>
      <c r="XDB2468" s="60"/>
      <c r="XDC2468" s="60"/>
      <c r="XDD2468" s="60"/>
      <c r="XDE2468" s="63"/>
      <c r="XDF2468" s="61"/>
      <c r="XDG2468" s="54"/>
      <c r="XDH2468" s="54"/>
      <c r="XDI2468" s="60"/>
      <c r="XDJ2468" s="60"/>
      <c r="XDK2468" s="60"/>
      <c r="XDL2468" s="60"/>
      <c r="XDM2468" s="63"/>
      <c r="XDN2468" s="61"/>
      <c r="XDO2468" s="54"/>
      <c r="XDP2468" s="54"/>
      <c r="XDQ2468" s="60"/>
      <c r="XDR2468" s="60"/>
      <c r="XDS2468" s="60"/>
      <c r="XDT2468" s="60"/>
      <c r="XDU2468" s="63"/>
      <c r="XDV2468" s="61"/>
      <c r="XDW2468" s="54"/>
      <c r="XDX2468" s="54"/>
      <c r="XDY2468" s="60"/>
      <c r="XDZ2468" s="60"/>
      <c r="XEA2468" s="60"/>
      <c r="XEB2468" s="60"/>
      <c r="XEC2468" s="63"/>
      <c r="XED2468" s="61"/>
      <c r="XEE2468" s="54"/>
      <c r="XEF2468" s="54"/>
      <c r="XEG2468" s="60"/>
      <c r="XEH2468" s="60"/>
      <c r="XEI2468" s="60"/>
      <c r="XEJ2468" s="60"/>
      <c r="XEK2468" s="63"/>
      <c r="XEL2468" s="61"/>
      <c r="XEM2468" s="54"/>
      <c r="XEN2468" s="54"/>
      <c r="XEO2468" s="60"/>
      <c r="XEP2468" s="60"/>
      <c r="XEQ2468" s="60"/>
      <c r="XER2468" s="60"/>
      <c r="XES2468" s="63"/>
      <c r="XET2468" s="61"/>
      <c r="XEU2468" s="54"/>
      <c r="XEV2468" s="54"/>
      <c r="XEW2468" s="60"/>
    </row>
    <row r="2469" ht="18" customHeight="1" spans="1:16377">
      <c r="A2469" s="6" t="s">
        <v>8209</v>
      </c>
      <c r="B2469" s="6" t="s">
        <v>8540</v>
      </c>
      <c r="C2469" s="11" t="s">
        <v>8480</v>
      </c>
      <c r="D2469" s="5" t="s">
        <v>16374</v>
      </c>
      <c r="E2469" s="11" t="s">
        <v>16396</v>
      </c>
      <c r="F2469" s="7" t="s">
        <v>11535</v>
      </c>
      <c r="G2469" s="54"/>
      <c r="H2469" s="54"/>
      <c r="I2469" s="60"/>
      <c r="J2469" s="60"/>
      <c r="K2469" s="60"/>
      <c r="L2469" s="60"/>
      <c r="M2469" s="63"/>
      <c r="N2469" s="61"/>
      <c r="O2469" s="54"/>
      <c r="P2469" s="54"/>
      <c r="Q2469" s="60"/>
      <c r="R2469" s="60"/>
      <c r="S2469" s="60"/>
      <c r="T2469" s="60"/>
      <c r="U2469" s="63"/>
      <c r="V2469" s="61"/>
      <c r="W2469" s="54"/>
      <c r="X2469" s="54"/>
      <c r="Y2469" s="60"/>
      <c r="Z2469" s="60"/>
      <c r="AA2469" s="60"/>
      <c r="AB2469" s="60"/>
      <c r="AC2469" s="63"/>
      <c r="AD2469" s="61"/>
      <c r="AE2469" s="54"/>
      <c r="AF2469" s="54"/>
      <c r="AG2469" s="60"/>
      <c r="AH2469" s="60"/>
      <c r="AI2469" s="60"/>
      <c r="AJ2469" s="60"/>
      <c r="AK2469" s="63"/>
      <c r="AL2469" s="61"/>
      <c r="AM2469" s="54"/>
      <c r="AN2469" s="54"/>
      <c r="AO2469" s="60"/>
      <c r="AP2469" s="60"/>
      <c r="AQ2469" s="60"/>
      <c r="AR2469" s="60"/>
      <c r="AS2469" s="63"/>
      <c r="AT2469" s="61"/>
      <c r="AU2469" s="54"/>
      <c r="AV2469" s="54"/>
      <c r="AW2469" s="60"/>
      <c r="AX2469" s="60"/>
      <c r="AY2469" s="60"/>
      <c r="AZ2469" s="60"/>
      <c r="BA2469" s="63"/>
      <c r="BB2469" s="61"/>
      <c r="BC2469" s="54"/>
      <c r="BD2469" s="54"/>
      <c r="BE2469" s="60"/>
      <c r="BF2469" s="60"/>
      <c r="BG2469" s="60"/>
      <c r="BH2469" s="60"/>
      <c r="BI2469" s="63"/>
      <c r="BJ2469" s="61"/>
      <c r="BK2469" s="54"/>
      <c r="BL2469" s="54"/>
      <c r="BM2469" s="60"/>
      <c r="BN2469" s="60"/>
      <c r="BO2469" s="60"/>
      <c r="BP2469" s="60"/>
      <c r="BQ2469" s="63"/>
      <c r="BR2469" s="61"/>
      <c r="BS2469" s="54"/>
      <c r="BT2469" s="54"/>
      <c r="BU2469" s="60"/>
      <c r="BV2469" s="60"/>
      <c r="BW2469" s="60"/>
      <c r="BX2469" s="60"/>
      <c r="BY2469" s="63"/>
      <c r="BZ2469" s="61"/>
      <c r="CA2469" s="54"/>
      <c r="CB2469" s="54"/>
      <c r="CC2469" s="60"/>
      <c r="CD2469" s="60"/>
      <c r="CE2469" s="60"/>
      <c r="CF2469" s="60"/>
      <c r="CG2469" s="63"/>
      <c r="CH2469" s="61"/>
      <c r="CI2469" s="54"/>
      <c r="CJ2469" s="54"/>
      <c r="CK2469" s="60"/>
      <c r="CL2469" s="60"/>
      <c r="CM2469" s="60"/>
      <c r="CN2469" s="60"/>
      <c r="CO2469" s="63"/>
      <c r="CP2469" s="61"/>
      <c r="CQ2469" s="54"/>
      <c r="CR2469" s="54"/>
      <c r="CS2469" s="60"/>
      <c r="CT2469" s="60"/>
      <c r="CU2469" s="60"/>
      <c r="CV2469" s="60"/>
      <c r="CW2469" s="63"/>
      <c r="CX2469" s="61"/>
      <c r="CY2469" s="54"/>
      <c r="CZ2469" s="54"/>
      <c r="DA2469" s="60"/>
      <c r="DB2469" s="60"/>
      <c r="DC2469" s="60"/>
      <c r="DD2469" s="60"/>
      <c r="DE2469" s="63"/>
      <c r="DF2469" s="61"/>
      <c r="DG2469" s="54"/>
      <c r="DH2469" s="54"/>
      <c r="DI2469" s="60"/>
      <c r="DJ2469" s="60"/>
      <c r="DK2469" s="60"/>
      <c r="DL2469" s="60"/>
      <c r="DM2469" s="63"/>
      <c r="DN2469" s="61"/>
      <c r="DO2469" s="54"/>
      <c r="DP2469" s="54"/>
      <c r="DQ2469" s="60"/>
      <c r="DR2469" s="60"/>
      <c r="DS2469" s="60"/>
      <c r="DT2469" s="60"/>
      <c r="DU2469" s="63"/>
      <c r="DV2469" s="61"/>
      <c r="DW2469" s="54"/>
      <c r="DX2469" s="54"/>
      <c r="DY2469" s="60"/>
      <c r="DZ2469" s="60"/>
      <c r="EA2469" s="60"/>
      <c r="EB2469" s="60"/>
      <c r="EC2469" s="63"/>
      <c r="ED2469" s="61"/>
      <c r="EE2469" s="54"/>
      <c r="EF2469" s="54"/>
      <c r="EG2469" s="60"/>
      <c r="EH2469" s="60"/>
      <c r="EI2469" s="60"/>
      <c r="EJ2469" s="60"/>
      <c r="EK2469" s="63"/>
      <c r="EL2469" s="61"/>
      <c r="EM2469" s="54"/>
      <c r="EN2469" s="54"/>
      <c r="EO2469" s="60"/>
      <c r="EP2469" s="60"/>
      <c r="EQ2469" s="60"/>
      <c r="ER2469" s="60"/>
      <c r="ES2469" s="63"/>
      <c r="ET2469" s="61"/>
      <c r="EU2469" s="54"/>
      <c r="EV2469" s="54"/>
      <c r="EW2469" s="60"/>
      <c r="EX2469" s="60"/>
      <c r="EY2469" s="60"/>
      <c r="EZ2469" s="60"/>
      <c r="FA2469" s="63"/>
      <c r="FB2469" s="61"/>
      <c r="FC2469" s="54"/>
      <c r="FD2469" s="54"/>
      <c r="FE2469" s="60"/>
      <c r="FF2469" s="60"/>
      <c r="FG2469" s="60"/>
      <c r="FH2469" s="60"/>
      <c r="FI2469" s="63"/>
      <c r="FJ2469" s="61"/>
      <c r="FK2469" s="54"/>
      <c r="FL2469" s="54"/>
      <c r="FM2469" s="60"/>
      <c r="FN2469" s="60"/>
      <c r="FO2469" s="60"/>
      <c r="FP2469" s="60"/>
      <c r="FQ2469" s="63"/>
      <c r="FR2469" s="61"/>
      <c r="FS2469" s="54"/>
      <c r="FT2469" s="54"/>
      <c r="FU2469" s="60"/>
      <c r="FV2469" s="60"/>
      <c r="FW2469" s="60"/>
      <c r="FX2469" s="60"/>
      <c r="FY2469" s="63"/>
      <c r="FZ2469" s="61"/>
      <c r="GA2469" s="54"/>
      <c r="GB2469" s="54"/>
      <c r="GC2469" s="60"/>
      <c r="GD2469" s="60"/>
      <c r="GE2469" s="60"/>
      <c r="GF2469" s="60"/>
      <c r="GG2469" s="63"/>
      <c r="GH2469" s="61"/>
      <c r="GI2469" s="54"/>
      <c r="GJ2469" s="54"/>
      <c r="GK2469" s="60"/>
      <c r="GL2469" s="60"/>
      <c r="GM2469" s="60"/>
      <c r="GN2469" s="60"/>
      <c r="GO2469" s="63"/>
      <c r="GP2469" s="61"/>
      <c r="GQ2469" s="54"/>
      <c r="GR2469" s="54"/>
      <c r="GS2469" s="60"/>
      <c r="GT2469" s="60"/>
      <c r="GU2469" s="60"/>
      <c r="GV2469" s="60"/>
      <c r="GW2469" s="63"/>
      <c r="GX2469" s="61"/>
      <c r="GY2469" s="54"/>
      <c r="GZ2469" s="54"/>
      <c r="HA2469" s="60"/>
      <c r="HB2469" s="60"/>
      <c r="HC2469" s="60"/>
      <c r="HD2469" s="60"/>
      <c r="HE2469" s="63"/>
      <c r="HF2469" s="61"/>
      <c r="HG2469" s="54"/>
      <c r="HH2469" s="54"/>
      <c r="HI2469" s="60"/>
      <c r="HJ2469" s="60"/>
      <c r="HK2469" s="60"/>
      <c r="HL2469" s="60"/>
      <c r="HM2469" s="63"/>
      <c r="HN2469" s="61"/>
      <c r="HO2469" s="54"/>
      <c r="HP2469" s="54"/>
      <c r="HQ2469" s="60"/>
      <c r="HR2469" s="60"/>
      <c r="HS2469" s="60"/>
      <c r="HT2469" s="60"/>
      <c r="HU2469" s="63"/>
      <c r="HV2469" s="61"/>
      <c r="HW2469" s="54"/>
      <c r="HX2469" s="54"/>
      <c r="HY2469" s="60"/>
      <c r="HZ2469" s="60"/>
      <c r="IA2469" s="60"/>
      <c r="IB2469" s="60"/>
      <c r="IC2469" s="63"/>
      <c r="ID2469" s="61"/>
      <c r="IE2469" s="54"/>
      <c r="IF2469" s="54"/>
      <c r="IG2469" s="60"/>
      <c r="IH2469" s="60"/>
      <c r="II2469" s="60"/>
      <c r="IJ2469" s="60"/>
      <c r="IK2469" s="63"/>
      <c r="IL2469" s="61"/>
      <c r="IM2469" s="54"/>
      <c r="IN2469" s="54"/>
      <c r="IO2469" s="60"/>
      <c r="IP2469" s="60"/>
      <c r="IQ2469" s="60"/>
      <c r="IR2469" s="60"/>
      <c r="IS2469" s="63"/>
      <c r="IT2469" s="61"/>
      <c r="IU2469" s="54"/>
      <c r="IV2469" s="54"/>
      <c r="IW2469" s="60"/>
      <c r="IX2469" s="60"/>
      <c r="IY2469" s="60"/>
      <c r="IZ2469" s="60"/>
      <c r="JA2469" s="63"/>
      <c r="JB2469" s="61"/>
      <c r="JC2469" s="54"/>
      <c r="JD2469" s="54"/>
      <c r="JE2469" s="60"/>
      <c r="JF2469" s="60"/>
      <c r="JG2469" s="60"/>
      <c r="JH2469" s="60"/>
      <c r="JI2469" s="63"/>
      <c r="JJ2469" s="61"/>
      <c r="JK2469" s="54"/>
      <c r="JL2469" s="54"/>
      <c r="JM2469" s="60"/>
      <c r="JN2469" s="60"/>
      <c r="JO2469" s="60"/>
      <c r="JP2469" s="60"/>
      <c r="JQ2469" s="63"/>
      <c r="JR2469" s="61"/>
      <c r="JS2469" s="54"/>
      <c r="JT2469" s="54"/>
      <c r="JU2469" s="60"/>
      <c r="JV2469" s="60"/>
      <c r="JW2469" s="60"/>
      <c r="JX2469" s="60"/>
      <c r="JY2469" s="63"/>
      <c r="JZ2469" s="61"/>
      <c r="KA2469" s="54"/>
      <c r="KB2469" s="54"/>
      <c r="KC2469" s="60"/>
      <c r="KD2469" s="60"/>
      <c r="KE2469" s="60"/>
      <c r="KF2469" s="60"/>
      <c r="KG2469" s="63"/>
      <c r="KH2469" s="61"/>
      <c r="KI2469" s="54"/>
      <c r="KJ2469" s="54"/>
      <c r="KK2469" s="60"/>
      <c r="KL2469" s="60"/>
      <c r="KM2469" s="60"/>
      <c r="KN2469" s="60"/>
      <c r="KO2469" s="63"/>
      <c r="KP2469" s="61"/>
      <c r="KQ2469" s="54"/>
      <c r="KR2469" s="54"/>
      <c r="KS2469" s="60"/>
      <c r="KT2469" s="60"/>
      <c r="KU2469" s="60"/>
      <c r="KV2469" s="60"/>
      <c r="KW2469" s="63"/>
      <c r="KX2469" s="61"/>
      <c r="KY2469" s="54"/>
      <c r="KZ2469" s="54"/>
      <c r="LA2469" s="60"/>
      <c r="LB2469" s="60"/>
      <c r="LC2469" s="60"/>
      <c r="LD2469" s="60"/>
      <c r="LE2469" s="63"/>
      <c r="LF2469" s="61"/>
      <c r="LG2469" s="54"/>
      <c r="LH2469" s="54"/>
      <c r="LI2469" s="60"/>
      <c r="LJ2469" s="60"/>
      <c r="LK2469" s="60"/>
      <c r="LL2469" s="60"/>
      <c r="LM2469" s="63"/>
      <c r="LN2469" s="61"/>
      <c r="LO2469" s="54"/>
      <c r="LP2469" s="54"/>
      <c r="LQ2469" s="60"/>
      <c r="LR2469" s="60"/>
      <c r="LS2469" s="60"/>
      <c r="LT2469" s="60"/>
      <c r="LU2469" s="63"/>
      <c r="LV2469" s="61"/>
      <c r="LW2469" s="54"/>
      <c r="LX2469" s="54"/>
      <c r="LY2469" s="60"/>
      <c r="LZ2469" s="60"/>
      <c r="MA2469" s="60"/>
      <c r="MB2469" s="60"/>
      <c r="MC2469" s="63"/>
      <c r="MD2469" s="61"/>
      <c r="ME2469" s="54"/>
      <c r="MF2469" s="54"/>
      <c r="MG2469" s="60"/>
      <c r="MH2469" s="60"/>
      <c r="MI2469" s="60"/>
      <c r="MJ2469" s="60"/>
      <c r="MK2469" s="63"/>
      <c r="ML2469" s="61"/>
      <c r="MM2469" s="54"/>
      <c r="MN2469" s="54"/>
      <c r="MO2469" s="60"/>
      <c r="MP2469" s="60"/>
      <c r="MQ2469" s="60"/>
      <c r="MR2469" s="60"/>
      <c r="MS2469" s="63"/>
      <c r="MT2469" s="61"/>
      <c r="MU2469" s="54"/>
      <c r="MV2469" s="54"/>
      <c r="MW2469" s="60"/>
      <c r="MX2469" s="60"/>
      <c r="MY2469" s="60"/>
      <c r="MZ2469" s="60"/>
      <c r="NA2469" s="63"/>
      <c r="NB2469" s="61"/>
      <c r="NC2469" s="54"/>
      <c r="ND2469" s="54"/>
      <c r="NE2469" s="60"/>
      <c r="NF2469" s="60"/>
      <c r="NG2469" s="60"/>
      <c r="NH2469" s="60"/>
      <c r="NI2469" s="63"/>
      <c r="NJ2469" s="61"/>
      <c r="NK2469" s="54"/>
      <c r="NL2469" s="54"/>
      <c r="NM2469" s="60"/>
      <c r="NN2469" s="60"/>
      <c r="NO2469" s="60"/>
      <c r="NP2469" s="60"/>
      <c r="NQ2469" s="63"/>
      <c r="NR2469" s="61"/>
      <c r="NS2469" s="54"/>
      <c r="NT2469" s="54"/>
      <c r="NU2469" s="60"/>
      <c r="NV2469" s="60"/>
      <c r="NW2469" s="60"/>
      <c r="NX2469" s="60"/>
      <c r="NY2469" s="63"/>
      <c r="NZ2469" s="61"/>
      <c r="OA2469" s="54"/>
      <c r="OB2469" s="54"/>
      <c r="OC2469" s="60"/>
      <c r="OD2469" s="60"/>
      <c r="OE2469" s="60"/>
      <c r="OF2469" s="60"/>
      <c r="OG2469" s="63"/>
      <c r="OH2469" s="61"/>
      <c r="OI2469" s="54"/>
      <c r="OJ2469" s="54"/>
      <c r="OK2469" s="60"/>
      <c r="OL2469" s="60"/>
      <c r="OM2469" s="60"/>
      <c r="ON2469" s="60"/>
      <c r="OO2469" s="63"/>
      <c r="OP2469" s="61"/>
      <c r="OQ2469" s="54"/>
      <c r="OR2469" s="54"/>
      <c r="OS2469" s="60"/>
      <c r="OT2469" s="60"/>
      <c r="OU2469" s="60"/>
      <c r="OV2469" s="60"/>
      <c r="OW2469" s="63"/>
      <c r="OX2469" s="61"/>
      <c r="OY2469" s="54"/>
      <c r="OZ2469" s="54"/>
      <c r="PA2469" s="60"/>
      <c r="PB2469" s="60"/>
      <c r="PC2469" s="60"/>
      <c r="PD2469" s="60"/>
      <c r="PE2469" s="63"/>
      <c r="PF2469" s="61"/>
      <c r="PG2469" s="54"/>
      <c r="PH2469" s="54"/>
      <c r="PI2469" s="60"/>
      <c r="PJ2469" s="60"/>
      <c r="PK2469" s="60"/>
      <c r="PL2469" s="60"/>
      <c r="PM2469" s="63"/>
      <c r="PN2469" s="61"/>
      <c r="PO2469" s="54"/>
      <c r="PP2469" s="54"/>
      <c r="PQ2469" s="60"/>
      <c r="PR2469" s="60"/>
      <c r="PS2469" s="60"/>
      <c r="PT2469" s="60"/>
      <c r="PU2469" s="63"/>
      <c r="PV2469" s="61"/>
      <c r="PW2469" s="54"/>
      <c r="PX2469" s="54"/>
      <c r="PY2469" s="60"/>
      <c r="PZ2469" s="60"/>
      <c r="QA2469" s="60"/>
      <c r="QB2469" s="60"/>
      <c r="QC2469" s="63"/>
      <c r="QD2469" s="61"/>
      <c r="QE2469" s="54"/>
      <c r="QF2469" s="54"/>
      <c r="QG2469" s="60"/>
      <c r="QH2469" s="60"/>
      <c r="QI2469" s="60"/>
      <c r="QJ2469" s="60"/>
      <c r="QK2469" s="63"/>
      <c r="QL2469" s="61"/>
      <c r="QM2469" s="54"/>
      <c r="QN2469" s="54"/>
      <c r="QO2469" s="60"/>
      <c r="QP2469" s="60"/>
      <c r="QQ2469" s="60"/>
      <c r="QR2469" s="60"/>
      <c r="QS2469" s="63"/>
      <c r="QT2469" s="61"/>
      <c r="QU2469" s="54"/>
      <c r="QV2469" s="54"/>
      <c r="QW2469" s="60"/>
      <c r="QX2469" s="60"/>
      <c r="QY2469" s="60"/>
      <c r="QZ2469" s="60"/>
      <c r="RA2469" s="63"/>
      <c r="RB2469" s="61"/>
      <c r="RC2469" s="54"/>
      <c r="RD2469" s="54"/>
      <c r="RE2469" s="60"/>
      <c r="RF2469" s="60"/>
      <c r="RG2469" s="60"/>
      <c r="RH2469" s="60"/>
      <c r="RI2469" s="63"/>
      <c r="RJ2469" s="61"/>
      <c r="RK2469" s="54"/>
      <c r="RL2469" s="54"/>
      <c r="RM2469" s="60"/>
      <c r="RN2469" s="60"/>
      <c r="RO2469" s="60"/>
      <c r="RP2469" s="60"/>
      <c r="RQ2469" s="63"/>
      <c r="RR2469" s="61"/>
      <c r="RS2469" s="54"/>
      <c r="RT2469" s="54"/>
      <c r="RU2469" s="60"/>
      <c r="RV2469" s="60"/>
      <c r="RW2469" s="60"/>
      <c r="RX2469" s="60"/>
      <c r="RY2469" s="63"/>
      <c r="RZ2469" s="61"/>
      <c r="SA2469" s="54"/>
      <c r="SB2469" s="54"/>
      <c r="SC2469" s="60"/>
      <c r="SD2469" s="60"/>
      <c r="SE2469" s="60"/>
      <c r="SF2469" s="60"/>
      <c r="SG2469" s="63"/>
      <c r="SH2469" s="61"/>
      <c r="SI2469" s="54"/>
      <c r="SJ2469" s="54"/>
      <c r="SK2469" s="60"/>
      <c r="SL2469" s="60"/>
      <c r="SM2469" s="60"/>
      <c r="SN2469" s="60"/>
      <c r="SO2469" s="63"/>
      <c r="SP2469" s="61"/>
      <c r="SQ2469" s="54"/>
      <c r="SR2469" s="54"/>
      <c r="SS2469" s="60"/>
      <c r="ST2469" s="60"/>
      <c r="SU2469" s="60"/>
      <c r="SV2469" s="60"/>
      <c r="SW2469" s="63"/>
      <c r="SX2469" s="61"/>
      <c r="SY2469" s="54"/>
      <c r="SZ2469" s="54"/>
      <c r="TA2469" s="60"/>
      <c r="TB2469" s="60"/>
      <c r="TC2469" s="60"/>
      <c r="TD2469" s="60"/>
      <c r="TE2469" s="63"/>
      <c r="TF2469" s="61"/>
      <c r="TG2469" s="54"/>
      <c r="TH2469" s="54"/>
      <c r="TI2469" s="60"/>
      <c r="TJ2469" s="60"/>
      <c r="TK2469" s="60"/>
      <c r="TL2469" s="60"/>
      <c r="TM2469" s="63"/>
      <c r="TN2469" s="61"/>
      <c r="TO2469" s="54"/>
      <c r="TP2469" s="54"/>
      <c r="TQ2469" s="60"/>
      <c r="TR2469" s="60"/>
      <c r="TS2469" s="60"/>
      <c r="TT2469" s="60"/>
      <c r="TU2469" s="63"/>
      <c r="TV2469" s="61"/>
      <c r="TW2469" s="54"/>
      <c r="TX2469" s="54"/>
      <c r="TY2469" s="60"/>
      <c r="TZ2469" s="60"/>
      <c r="UA2469" s="60"/>
      <c r="UB2469" s="60"/>
      <c r="UC2469" s="63"/>
      <c r="UD2469" s="61"/>
      <c r="UE2469" s="54"/>
      <c r="UF2469" s="54"/>
      <c r="UG2469" s="60"/>
      <c r="UH2469" s="60"/>
      <c r="UI2469" s="60"/>
      <c r="UJ2469" s="60"/>
      <c r="UK2469" s="63"/>
      <c r="UL2469" s="61"/>
      <c r="UM2469" s="54"/>
      <c r="UN2469" s="54"/>
      <c r="UO2469" s="60"/>
      <c r="UP2469" s="60"/>
      <c r="UQ2469" s="60"/>
      <c r="UR2469" s="60"/>
      <c r="US2469" s="63"/>
      <c r="UT2469" s="61"/>
      <c r="UU2469" s="54"/>
      <c r="UV2469" s="54"/>
      <c r="UW2469" s="60"/>
      <c r="UX2469" s="60"/>
      <c r="UY2469" s="60"/>
      <c r="UZ2469" s="60"/>
      <c r="VA2469" s="63"/>
      <c r="VB2469" s="61"/>
      <c r="VC2469" s="54"/>
      <c r="VD2469" s="54"/>
      <c r="VE2469" s="60"/>
      <c r="VF2469" s="60"/>
      <c r="VG2469" s="60"/>
      <c r="VH2469" s="60"/>
      <c r="VI2469" s="63"/>
      <c r="VJ2469" s="61"/>
      <c r="VK2469" s="54"/>
      <c r="VL2469" s="54"/>
      <c r="VM2469" s="60"/>
      <c r="VN2469" s="60"/>
      <c r="VO2469" s="60"/>
      <c r="VP2469" s="60"/>
      <c r="VQ2469" s="63"/>
      <c r="VR2469" s="61"/>
      <c r="VS2469" s="54"/>
      <c r="VT2469" s="54"/>
      <c r="VU2469" s="60"/>
      <c r="VV2469" s="60"/>
      <c r="VW2469" s="60"/>
      <c r="VX2469" s="60"/>
      <c r="VY2469" s="63"/>
      <c r="VZ2469" s="61"/>
      <c r="WA2469" s="54"/>
      <c r="WB2469" s="54"/>
      <c r="WC2469" s="60"/>
      <c r="WD2469" s="60"/>
      <c r="WE2469" s="60"/>
      <c r="WF2469" s="60"/>
      <c r="WG2469" s="63"/>
      <c r="WH2469" s="61"/>
      <c r="WI2469" s="54"/>
      <c r="WJ2469" s="54"/>
      <c r="WK2469" s="60"/>
      <c r="WL2469" s="60"/>
      <c r="WM2469" s="60"/>
      <c r="WN2469" s="60"/>
      <c r="WO2469" s="63"/>
      <c r="WP2469" s="61"/>
      <c r="WQ2469" s="54"/>
      <c r="WR2469" s="54"/>
      <c r="WS2469" s="60"/>
      <c r="WT2469" s="60"/>
      <c r="WU2469" s="60"/>
      <c r="WV2469" s="60"/>
      <c r="WW2469" s="63"/>
      <c r="WX2469" s="61"/>
      <c r="WY2469" s="54"/>
      <c r="WZ2469" s="54"/>
      <c r="XA2469" s="60"/>
      <c r="XB2469" s="60"/>
      <c r="XC2469" s="60"/>
      <c r="XD2469" s="60"/>
      <c r="XE2469" s="63"/>
      <c r="XF2469" s="61"/>
      <c r="XG2469" s="54"/>
      <c r="XH2469" s="54"/>
      <c r="XI2469" s="60"/>
      <c r="XJ2469" s="60"/>
      <c r="XK2469" s="60"/>
      <c r="XL2469" s="60"/>
      <c r="XM2469" s="63"/>
      <c r="XN2469" s="61"/>
      <c r="XO2469" s="54"/>
      <c r="XP2469" s="54"/>
      <c r="XQ2469" s="60"/>
      <c r="XR2469" s="60"/>
      <c r="XS2469" s="60"/>
      <c r="XT2469" s="60"/>
      <c r="XU2469" s="63"/>
      <c r="XV2469" s="61"/>
      <c r="XW2469" s="54"/>
      <c r="XX2469" s="54"/>
      <c r="XY2469" s="60"/>
      <c r="XZ2469" s="60"/>
      <c r="YA2469" s="60"/>
      <c r="YB2469" s="60"/>
      <c r="YC2469" s="63"/>
      <c r="YD2469" s="61"/>
      <c r="YE2469" s="54"/>
      <c r="YF2469" s="54"/>
      <c r="YG2469" s="60"/>
      <c r="YH2469" s="60"/>
      <c r="YI2469" s="60"/>
      <c r="YJ2469" s="60"/>
      <c r="YK2469" s="63"/>
      <c r="YL2469" s="61"/>
      <c r="YM2469" s="54"/>
      <c r="YN2469" s="54"/>
      <c r="YO2469" s="60"/>
      <c r="YP2469" s="60"/>
      <c r="YQ2469" s="60"/>
      <c r="YR2469" s="60"/>
      <c r="YS2469" s="63"/>
      <c r="YT2469" s="61"/>
      <c r="YU2469" s="54"/>
      <c r="YV2469" s="54"/>
      <c r="YW2469" s="60"/>
      <c r="YX2469" s="60"/>
      <c r="YY2469" s="60"/>
      <c r="YZ2469" s="60"/>
      <c r="ZA2469" s="63"/>
      <c r="ZB2469" s="61"/>
      <c r="ZC2469" s="54"/>
      <c r="ZD2469" s="54"/>
      <c r="ZE2469" s="60"/>
      <c r="ZF2469" s="60"/>
      <c r="ZG2469" s="60"/>
      <c r="ZH2469" s="60"/>
      <c r="ZI2469" s="63"/>
      <c r="ZJ2469" s="61"/>
      <c r="ZK2469" s="54"/>
      <c r="ZL2469" s="54"/>
      <c r="ZM2469" s="60"/>
      <c r="ZN2469" s="60"/>
      <c r="ZO2469" s="60"/>
      <c r="ZP2469" s="60"/>
      <c r="ZQ2469" s="63"/>
      <c r="ZR2469" s="61"/>
      <c r="ZS2469" s="54"/>
      <c r="ZT2469" s="54"/>
      <c r="ZU2469" s="60"/>
      <c r="ZV2469" s="60"/>
      <c r="ZW2469" s="60"/>
      <c r="ZX2469" s="60"/>
      <c r="ZY2469" s="63"/>
      <c r="ZZ2469" s="61"/>
      <c r="AAA2469" s="54"/>
      <c r="AAB2469" s="54"/>
      <c r="AAC2469" s="60"/>
      <c r="AAD2469" s="60"/>
      <c r="AAE2469" s="60"/>
      <c r="AAF2469" s="60"/>
      <c r="AAG2469" s="63"/>
      <c r="AAH2469" s="61"/>
      <c r="AAI2469" s="54"/>
      <c r="AAJ2469" s="54"/>
      <c r="AAK2469" s="60"/>
      <c r="AAL2469" s="60"/>
      <c r="AAM2469" s="60"/>
      <c r="AAN2469" s="60"/>
      <c r="AAO2469" s="63"/>
      <c r="AAP2469" s="61"/>
      <c r="AAQ2469" s="54"/>
      <c r="AAR2469" s="54"/>
      <c r="AAS2469" s="60"/>
      <c r="AAT2469" s="60"/>
      <c r="AAU2469" s="60"/>
      <c r="AAV2469" s="60"/>
      <c r="AAW2469" s="63"/>
      <c r="AAX2469" s="61"/>
      <c r="AAY2469" s="54"/>
      <c r="AAZ2469" s="54"/>
      <c r="ABA2469" s="60"/>
      <c r="ABB2469" s="60"/>
      <c r="ABC2469" s="60"/>
      <c r="ABD2469" s="60"/>
      <c r="ABE2469" s="63"/>
      <c r="ABF2469" s="61"/>
      <c r="ABG2469" s="54"/>
      <c r="ABH2469" s="54"/>
      <c r="ABI2469" s="60"/>
      <c r="ABJ2469" s="60"/>
      <c r="ABK2469" s="60"/>
      <c r="ABL2469" s="60"/>
      <c r="ABM2469" s="63"/>
      <c r="ABN2469" s="61"/>
      <c r="ABO2469" s="54"/>
      <c r="ABP2469" s="54"/>
      <c r="ABQ2469" s="60"/>
      <c r="ABR2469" s="60"/>
      <c r="ABS2469" s="60"/>
      <c r="ABT2469" s="60"/>
      <c r="ABU2469" s="63"/>
      <c r="ABV2469" s="61"/>
      <c r="ABW2469" s="54"/>
      <c r="ABX2469" s="54"/>
      <c r="ABY2469" s="60"/>
      <c r="ABZ2469" s="60"/>
      <c r="ACA2469" s="60"/>
      <c r="ACB2469" s="60"/>
      <c r="ACC2469" s="63"/>
      <c r="ACD2469" s="61"/>
      <c r="ACE2469" s="54"/>
      <c r="ACF2469" s="54"/>
      <c r="ACG2469" s="60"/>
      <c r="ACH2469" s="60"/>
      <c r="ACI2469" s="60"/>
      <c r="ACJ2469" s="60"/>
      <c r="ACK2469" s="63"/>
      <c r="ACL2469" s="61"/>
      <c r="ACM2469" s="54"/>
      <c r="ACN2469" s="54"/>
      <c r="ACO2469" s="60"/>
      <c r="ACP2469" s="60"/>
      <c r="ACQ2469" s="60"/>
      <c r="ACR2469" s="60"/>
      <c r="ACS2469" s="63"/>
      <c r="ACT2469" s="61"/>
      <c r="ACU2469" s="54"/>
      <c r="ACV2469" s="54"/>
      <c r="ACW2469" s="60"/>
      <c r="ACX2469" s="60"/>
      <c r="ACY2469" s="60"/>
      <c r="ACZ2469" s="60"/>
      <c r="ADA2469" s="63"/>
      <c r="ADB2469" s="61"/>
      <c r="ADC2469" s="54"/>
      <c r="ADD2469" s="54"/>
      <c r="ADE2469" s="60"/>
      <c r="ADF2469" s="60"/>
      <c r="ADG2469" s="60"/>
      <c r="ADH2469" s="60"/>
      <c r="ADI2469" s="63"/>
      <c r="ADJ2469" s="61"/>
      <c r="ADK2469" s="54"/>
      <c r="ADL2469" s="54"/>
      <c r="ADM2469" s="60"/>
      <c r="ADN2469" s="60"/>
      <c r="ADO2469" s="60"/>
      <c r="ADP2469" s="60"/>
      <c r="ADQ2469" s="63"/>
      <c r="ADR2469" s="61"/>
      <c r="ADS2469" s="54"/>
      <c r="ADT2469" s="54"/>
      <c r="ADU2469" s="60"/>
      <c r="ADV2469" s="60"/>
      <c r="ADW2469" s="60"/>
      <c r="ADX2469" s="60"/>
      <c r="ADY2469" s="63"/>
      <c r="ADZ2469" s="61"/>
      <c r="AEA2469" s="54"/>
      <c r="AEB2469" s="54"/>
      <c r="AEC2469" s="60"/>
      <c r="AED2469" s="60"/>
      <c r="AEE2469" s="60"/>
      <c r="AEF2469" s="60"/>
      <c r="AEG2469" s="63"/>
      <c r="AEH2469" s="61"/>
      <c r="AEI2469" s="54"/>
      <c r="AEJ2469" s="54"/>
      <c r="AEK2469" s="60"/>
      <c r="AEL2469" s="60"/>
      <c r="AEM2469" s="60"/>
      <c r="AEN2469" s="60"/>
      <c r="AEO2469" s="63"/>
      <c r="AEP2469" s="61"/>
      <c r="AEQ2469" s="54"/>
      <c r="AER2469" s="54"/>
      <c r="AES2469" s="60"/>
      <c r="AET2469" s="60"/>
      <c r="AEU2469" s="60"/>
      <c r="AEV2469" s="60"/>
      <c r="AEW2469" s="63"/>
      <c r="AEX2469" s="61"/>
      <c r="AEY2469" s="54"/>
      <c r="AEZ2469" s="54"/>
      <c r="AFA2469" s="60"/>
      <c r="AFB2469" s="60"/>
      <c r="AFC2469" s="60"/>
      <c r="AFD2469" s="60"/>
      <c r="AFE2469" s="63"/>
      <c r="AFF2469" s="61"/>
      <c r="AFG2469" s="54"/>
      <c r="AFH2469" s="54"/>
      <c r="AFI2469" s="60"/>
      <c r="AFJ2469" s="60"/>
      <c r="AFK2469" s="60"/>
      <c r="AFL2469" s="60"/>
      <c r="AFM2469" s="63"/>
      <c r="AFN2469" s="61"/>
      <c r="AFO2469" s="54"/>
      <c r="AFP2469" s="54"/>
      <c r="AFQ2469" s="60"/>
      <c r="AFR2469" s="60"/>
      <c r="AFS2469" s="60"/>
      <c r="AFT2469" s="60"/>
      <c r="AFU2469" s="63"/>
      <c r="AFV2469" s="61"/>
      <c r="AFW2469" s="54"/>
      <c r="AFX2469" s="54"/>
      <c r="AFY2469" s="60"/>
      <c r="AFZ2469" s="60"/>
      <c r="AGA2469" s="60"/>
      <c r="AGB2469" s="60"/>
      <c r="AGC2469" s="63"/>
      <c r="AGD2469" s="61"/>
      <c r="AGE2469" s="54"/>
      <c r="AGF2469" s="54"/>
      <c r="AGG2469" s="60"/>
      <c r="AGH2469" s="60"/>
      <c r="AGI2469" s="60"/>
      <c r="AGJ2469" s="60"/>
      <c r="AGK2469" s="63"/>
      <c r="AGL2469" s="61"/>
      <c r="AGM2469" s="54"/>
      <c r="AGN2469" s="54"/>
      <c r="AGO2469" s="60"/>
      <c r="AGP2469" s="60"/>
      <c r="AGQ2469" s="60"/>
      <c r="AGR2469" s="60"/>
      <c r="AGS2469" s="63"/>
      <c r="AGT2469" s="61"/>
      <c r="AGU2469" s="54"/>
      <c r="AGV2469" s="54"/>
      <c r="AGW2469" s="60"/>
      <c r="AGX2469" s="60"/>
      <c r="AGY2469" s="60"/>
      <c r="AGZ2469" s="60"/>
      <c r="AHA2469" s="63"/>
      <c r="AHB2469" s="61"/>
      <c r="AHC2469" s="54"/>
      <c r="AHD2469" s="54"/>
      <c r="AHE2469" s="60"/>
      <c r="AHF2469" s="60"/>
      <c r="AHG2469" s="60"/>
      <c r="AHH2469" s="60"/>
      <c r="AHI2469" s="63"/>
      <c r="AHJ2469" s="61"/>
      <c r="AHK2469" s="54"/>
      <c r="AHL2469" s="54"/>
      <c r="AHM2469" s="60"/>
      <c r="AHN2469" s="60"/>
      <c r="AHO2469" s="60"/>
      <c r="AHP2469" s="60"/>
      <c r="AHQ2469" s="63"/>
      <c r="AHR2469" s="61"/>
      <c r="AHS2469" s="54"/>
      <c r="AHT2469" s="54"/>
      <c r="AHU2469" s="60"/>
      <c r="AHV2469" s="60"/>
      <c r="AHW2469" s="60"/>
      <c r="AHX2469" s="60"/>
      <c r="AHY2469" s="63"/>
      <c r="AHZ2469" s="61"/>
      <c r="AIA2469" s="54"/>
      <c r="AIB2469" s="54"/>
      <c r="AIC2469" s="60"/>
      <c r="AID2469" s="60"/>
      <c r="AIE2469" s="60"/>
      <c r="AIF2469" s="60"/>
      <c r="AIG2469" s="63"/>
      <c r="AIH2469" s="61"/>
      <c r="AII2469" s="54"/>
      <c r="AIJ2469" s="54"/>
      <c r="AIK2469" s="60"/>
      <c r="AIL2469" s="60"/>
      <c r="AIM2469" s="60"/>
      <c r="AIN2469" s="60"/>
      <c r="AIO2469" s="63"/>
      <c r="AIP2469" s="61"/>
      <c r="AIQ2469" s="54"/>
      <c r="AIR2469" s="54"/>
      <c r="AIS2469" s="60"/>
      <c r="AIT2469" s="60"/>
      <c r="AIU2469" s="60"/>
      <c r="AIV2469" s="60"/>
      <c r="AIW2469" s="63"/>
      <c r="AIX2469" s="61"/>
      <c r="AIY2469" s="54"/>
      <c r="AIZ2469" s="54"/>
      <c r="AJA2469" s="60"/>
      <c r="AJB2469" s="60"/>
      <c r="AJC2469" s="60"/>
      <c r="AJD2469" s="60"/>
      <c r="AJE2469" s="63"/>
      <c r="AJF2469" s="61"/>
      <c r="AJG2469" s="54"/>
      <c r="AJH2469" s="54"/>
      <c r="AJI2469" s="60"/>
      <c r="AJJ2469" s="60"/>
      <c r="AJK2469" s="60"/>
      <c r="AJL2469" s="60"/>
      <c r="AJM2469" s="63"/>
      <c r="AJN2469" s="61"/>
      <c r="AJO2469" s="54"/>
      <c r="AJP2469" s="54"/>
      <c r="AJQ2469" s="60"/>
      <c r="AJR2469" s="60"/>
      <c r="AJS2469" s="60"/>
      <c r="AJT2469" s="60"/>
      <c r="AJU2469" s="63"/>
      <c r="AJV2469" s="61"/>
      <c r="AJW2469" s="54"/>
      <c r="AJX2469" s="54"/>
      <c r="AJY2469" s="60"/>
      <c r="AJZ2469" s="60"/>
      <c r="AKA2469" s="60"/>
      <c r="AKB2469" s="60"/>
      <c r="AKC2469" s="63"/>
      <c r="AKD2469" s="61"/>
      <c r="AKE2469" s="54"/>
      <c r="AKF2469" s="54"/>
      <c r="AKG2469" s="60"/>
      <c r="AKH2469" s="60"/>
      <c r="AKI2469" s="60"/>
      <c r="AKJ2469" s="60"/>
      <c r="AKK2469" s="63"/>
      <c r="AKL2469" s="61"/>
      <c r="AKM2469" s="54"/>
      <c r="AKN2469" s="54"/>
      <c r="AKO2469" s="60"/>
      <c r="AKP2469" s="60"/>
      <c r="AKQ2469" s="60"/>
      <c r="AKR2469" s="60"/>
      <c r="AKS2469" s="63"/>
      <c r="AKT2469" s="61"/>
      <c r="AKU2469" s="54"/>
      <c r="AKV2469" s="54"/>
      <c r="AKW2469" s="60"/>
      <c r="AKX2469" s="60"/>
      <c r="AKY2469" s="60"/>
      <c r="AKZ2469" s="60"/>
      <c r="ALA2469" s="63"/>
      <c r="ALB2469" s="61"/>
      <c r="ALC2469" s="54"/>
      <c r="ALD2469" s="54"/>
      <c r="ALE2469" s="60"/>
      <c r="ALF2469" s="60"/>
      <c r="ALG2469" s="60"/>
      <c r="ALH2469" s="60"/>
      <c r="ALI2469" s="63"/>
      <c r="ALJ2469" s="61"/>
      <c r="ALK2469" s="54"/>
      <c r="ALL2469" s="54"/>
      <c r="ALM2469" s="60"/>
      <c r="ALN2469" s="60"/>
      <c r="ALO2469" s="60"/>
      <c r="ALP2469" s="60"/>
      <c r="ALQ2469" s="63"/>
      <c r="ALR2469" s="61"/>
      <c r="ALS2469" s="54"/>
      <c r="ALT2469" s="54"/>
      <c r="ALU2469" s="60"/>
      <c r="ALV2469" s="60"/>
      <c r="ALW2469" s="60"/>
      <c r="ALX2469" s="60"/>
      <c r="ALY2469" s="63"/>
      <c r="ALZ2469" s="61"/>
      <c r="AMA2469" s="54"/>
      <c r="AMB2469" s="54"/>
      <c r="AMC2469" s="60"/>
      <c r="AMD2469" s="60"/>
      <c r="AME2469" s="60"/>
      <c r="AMF2469" s="60"/>
      <c r="AMG2469" s="63"/>
      <c r="AMH2469" s="61"/>
      <c r="AMI2469" s="54"/>
      <c r="AMJ2469" s="54"/>
      <c r="AMK2469" s="60"/>
      <c r="AML2469" s="60"/>
      <c r="AMM2469" s="60"/>
      <c r="AMN2469" s="60"/>
      <c r="AMO2469" s="63"/>
      <c r="AMP2469" s="61"/>
      <c r="AMQ2469" s="54"/>
      <c r="AMR2469" s="54"/>
      <c r="AMS2469" s="60"/>
      <c r="AMT2469" s="60"/>
      <c r="AMU2469" s="60"/>
      <c r="AMV2469" s="60"/>
      <c r="AMW2469" s="63"/>
      <c r="AMX2469" s="61"/>
      <c r="AMY2469" s="54"/>
      <c r="AMZ2469" s="54"/>
      <c r="ANA2469" s="60"/>
      <c r="ANB2469" s="60"/>
      <c r="ANC2469" s="60"/>
      <c r="AND2469" s="60"/>
      <c r="ANE2469" s="63"/>
      <c r="ANF2469" s="61"/>
      <c r="ANG2469" s="54"/>
      <c r="ANH2469" s="54"/>
      <c r="ANI2469" s="60"/>
      <c r="ANJ2469" s="60"/>
      <c r="ANK2469" s="60"/>
      <c r="ANL2469" s="60"/>
      <c r="ANM2469" s="63"/>
      <c r="ANN2469" s="61"/>
      <c r="ANO2469" s="54"/>
      <c r="ANP2469" s="54"/>
      <c r="ANQ2469" s="60"/>
      <c r="ANR2469" s="60"/>
      <c r="ANS2469" s="60"/>
      <c r="ANT2469" s="60"/>
      <c r="ANU2469" s="63"/>
      <c r="ANV2469" s="61"/>
      <c r="ANW2469" s="54"/>
      <c r="ANX2469" s="54"/>
      <c r="ANY2469" s="60"/>
      <c r="ANZ2469" s="60"/>
      <c r="AOA2469" s="60"/>
      <c r="AOB2469" s="60"/>
      <c r="AOC2469" s="63"/>
      <c r="AOD2469" s="61"/>
      <c r="AOE2469" s="54"/>
      <c r="AOF2469" s="54"/>
      <c r="AOG2469" s="60"/>
      <c r="AOH2469" s="60"/>
      <c r="AOI2469" s="60"/>
      <c r="AOJ2469" s="60"/>
      <c r="AOK2469" s="63"/>
      <c r="AOL2469" s="61"/>
      <c r="AOM2469" s="54"/>
      <c r="AON2469" s="54"/>
      <c r="AOO2469" s="60"/>
      <c r="AOP2469" s="60"/>
      <c r="AOQ2469" s="60"/>
      <c r="AOR2469" s="60"/>
      <c r="AOS2469" s="63"/>
      <c r="AOT2469" s="61"/>
      <c r="AOU2469" s="54"/>
      <c r="AOV2469" s="54"/>
      <c r="AOW2469" s="60"/>
      <c r="AOX2469" s="60"/>
      <c r="AOY2469" s="60"/>
      <c r="AOZ2469" s="60"/>
      <c r="APA2469" s="63"/>
      <c r="APB2469" s="61"/>
      <c r="APC2469" s="54"/>
      <c r="APD2469" s="54"/>
      <c r="APE2469" s="60"/>
      <c r="APF2469" s="60"/>
      <c r="APG2469" s="60"/>
      <c r="APH2469" s="60"/>
      <c r="API2469" s="63"/>
      <c r="APJ2469" s="61"/>
      <c r="APK2469" s="54"/>
      <c r="APL2469" s="54"/>
      <c r="APM2469" s="60"/>
      <c r="APN2469" s="60"/>
      <c r="APO2469" s="60"/>
      <c r="APP2469" s="60"/>
      <c r="APQ2469" s="63"/>
      <c r="APR2469" s="61"/>
      <c r="APS2469" s="54"/>
      <c r="APT2469" s="54"/>
      <c r="APU2469" s="60"/>
      <c r="APV2469" s="60"/>
      <c r="APW2469" s="60"/>
      <c r="APX2469" s="60"/>
      <c r="APY2469" s="63"/>
      <c r="APZ2469" s="61"/>
      <c r="AQA2469" s="54"/>
      <c r="AQB2469" s="54"/>
      <c r="AQC2469" s="60"/>
      <c r="AQD2469" s="60"/>
      <c r="AQE2469" s="60"/>
      <c r="AQF2469" s="60"/>
      <c r="AQG2469" s="63"/>
      <c r="AQH2469" s="61"/>
      <c r="AQI2469" s="54"/>
      <c r="AQJ2469" s="54"/>
      <c r="AQK2469" s="60"/>
      <c r="AQL2469" s="60"/>
      <c r="AQM2469" s="60"/>
      <c r="AQN2469" s="60"/>
      <c r="AQO2469" s="63"/>
      <c r="AQP2469" s="61"/>
      <c r="AQQ2469" s="54"/>
      <c r="AQR2469" s="54"/>
      <c r="AQS2469" s="60"/>
      <c r="AQT2469" s="60"/>
      <c r="AQU2469" s="60"/>
      <c r="AQV2469" s="60"/>
      <c r="AQW2469" s="63"/>
      <c r="AQX2469" s="61"/>
      <c r="AQY2469" s="54"/>
      <c r="AQZ2469" s="54"/>
      <c r="ARA2469" s="60"/>
      <c r="ARB2469" s="60"/>
      <c r="ARC2469" s="60"/>
      <c r="ARD2469" s="60"/>
      <c r="ARE2469" s="63"/>
      <c r="ARF2469" s="61"/>
      <c r="ARG2469" s="54"/>
      <c r="ARH2469" s="54"/>
      <c r="ARI2469" s="60"/>
      <c r="ARJ2469" s="60"/>
      <c r="ARK2469" s="60"/>
      <c r="ARL2469" s="60"/>
      <c r="ARM2469" s="63"/>
      <c r="ARN2469" s="61"/>
      <c r="ARO2469" s="54"/>
      <c r="ARP2469" s="54"/>
      <c r="ARQ2469" s="60"/>
      <c r="ARR2469" s="60"/>
      <c r="ARS2469" s="60"/>
      <c r="ART2469" s="60"/>
      <c r="ARU2469" s="63"/>
      <c r="ARV2469" s="61"/>
      <c r="ARW2469" s="54"/>
      <c r="ARX2469" s="54"/>
      <c r="ARY2469" s="60"/>
      <c r="ARZ2469" s="60"/>
      <c r="ASA2469" s="60"/>
      <c r="ASB2469" s="60"/>
      <c r="ASC2469" s="63"/>
      <c r="ASD2469" s="61"/>
      <c r="ASE2469" s="54"/>
      <c r="ASF2469" s="54"/>
      <c r="ASG2469" s="60"/>
      <c r="ASH2469" s="60"/>
      <c r="ASI2469" s="60"/>
      <c r="ASJ2469" s="60"/>
      <c r="ASK2469" s="63"/>
      <c r="ASL2469" s="61"/>
      <c r="ASM2469" s="54"/>
      <c r="ASN2469" s="54"/>
      <c r="ASO2469" s="60"/>
      <c r="ASP2469" s="60"/>
      <c r="ASQ2469" s="60"/>
      <c r="ASR2469" s="60"/>
      <c r="ASS2469" s="63"/>
      <c r="AST2469" s="61"/>
      <c r="ASU2469" s="54"/>
      <c r="ASV2469" s="54"/>
      <c r="ASW2469" s="60"/>
      <c r="ASX2469" s="60"/>
      <c r="ASY2469" s="60"/>
      <c r="ASZ2469" s="60"/>
      <c r="ATA2469" s="63"/>
      <c r="ATB2469" s="61"/>
      <c r="ATC2469" s="54"/>
      <c r="ATD2469" s="54"/>
      <c r="ATE2469" s="60"/>
      <c r="ATF2469" s="60"/>
      <c r="ATG2469" s="60"/>
      <c r="ATH2469" s="60"/>
      <c r="ATI2469" s="63"/>
      <c r="ATJ2469" s="61"/>
      <c r="ATK2469" s="54"/>
      <c r="ATL2469" s="54"/>
      <c r="ATM2469" s="60"/>
      <c r="ATN2469" s="60"/>
      <c r="ATO2469" s="60"/>
      <c r="ATP2469" s="60"/>
      <c r="ATQ2469" s="63"/>
      <c r="ATR2469" s="61"/>
      <c r="ATS2469" s="54"/>
      <c r="ATT2469" s="54"/>
      <c r="ATU2469" s="60"/>
      <c r="ATV2469" s="60"/>
      <c r="ATW2469" s="60"/>
      <c r="ATX2469" s="60"/>
      <c r="ATY2469" s="63"/>
      <c r="ATZ2469" s="61"/>
      <c r="AUA2469" s="54"/>
      <c r="AUB2469" s="54"/>
      <c r="AUC2469" s="60"/>
      <c r="AUD2469" s="60"/>
      <c r="AUE2469" s="60"/>
      <c r="AUF2469" s="60"/>
      <c r="AUG2469" s="63"/>
      <c r="AUH2469" s="61"/>
      <c r="AUI2469" s="54"/>
      <c r="AUJ2469" s="54"/>
      <c r="AUK2469" s="60"/>
      <c r="AUL2469" s="60"/>
      <c r="AUM2469" s="60"/>
      <c r="AUN2469" s="60"/>
      <c r="AUO2469" s="63"/>
      <c r="AUP2469" s="61"/>
      <c r="AUQ2469" s="54"/>
      <c r="AUR2469" s="54"/>
      <c r="AUS2469" s="60"/>
      <c r="AUT2469" s="60"/>
      <c r="AUU2469" s="60"/>
      <c r="AUV2469" s="60"/>
      <c r="AUW2469" s="63"/>
      <c r="AUX2469" s="61"/>
      <c r="AUY2469" s="54"/>
      <c r="AUZ2469" s="54"/>
      <c r="AVA2469" s="60"/>
      <c r="AVB2469" s="60"/>
      <c r="AVC2469" s="60"/>
      <c r="AVD2469" s="60"/>
      <c r="AVE2469" s="63"/>
      <c r="AVF2469" s="61"/>
      <c r="AVG2469" s="54"/>
      <c r="AVH2469" s="54"/>
      <c r="AVI2469" s="60"/>
      <c r="AVJ2469" s="60"/>
      <c r="AVK2469" s="60"/>
      <c r="AVL2469" s="60"/>
      <c r="AVM2469" s="63"/>
      <c r="AVN2469" s="61"/>
      <c r="AVO2469" s="54"/>
      <c r="AVP2469" s="54"/>
      <c r="AVQ2469" s="60"/>
      <c r="AVR2469" s="60"/>
      <c r="AVS2469" s="60"/>
      <c r="AVT2469" s="60"/>
      <c r="AVU2469" s="63"/>
      <c r="AVV2469" s="61"/>
      <c r="AVW2469" s="54"/>
      <c r="AVX2469" s="54"/>
      <c r="AVY2469" s="60"/>
      <c r="AVZ2469" s="60"/>
      <c r="AWA2469" s="60"/>
      <c r="AWB2469" s="60"/>
      <c r="AWC2469" s="63"/>
      <c r="AWD2469" s="61"/>
      <c r="AWE2469" s="54"/>
      <c r="AWF2469" s="54"/>
      <c r="AWG2469" s="60"/>
      <c r="AWH2469" s="60"/>
      <c r="AWI2469" s="60"/>
      <c r="AWJ2469" s="60"/>
      <c r="AWK2469" s="63"/>
      <c r="AWL2469" s="61"/>
      <c r="AWM2469" s="54"/>
      <c r="AWN2469" s="54"/>
      <c r="AWO2469" s="60"/>
      <c r="AWP2469" s="60"/>
      <c r="AWQ2469" s="60"/>
      <c r="AWR2469" s="60"/>
      <c r="AWS2469" s="63"/>
      <c r="AWT2469" s="61"/>
      <c r="AWU2469" s="54"/>
      <c r="AWV2469" s="54"/>
      <c r="AWW2469" s="60"/>
      <c r="AWX2469" s="60"/>
      <c r="AWY2469" s="60"/>
      <c r="AWZ2469" s="60"/>
      <c r="AXA2469" s="63"/>
      <c r="AXB2469" s="61"/>
      <c r="AXC2469" s="54"/>
      <c r="AXD2469" s="54"/>
      <c r="AXE2469" s="60"/>
      <c r="AXF2469" s="60"/>
      <c r="AXG2469" s="60"/>
      <c r="AXH2469" s="60"/>
      <c r="AXI2469" s="63"/>
      <c r="AXJ2469" s="61"/>
      <c r="AXK2469" s="54"/>
      <c r="AXL2469" s="54"/>
      <c r="AXM2469" s="60"/>
      <c r="AXN2469" s="60"/>
      <c r="AXO2469" s="60"/>
      <c r="AXP2469" s="60"/>
      <c r="AXQ2469" s="63"/>
      <c r="AXR2469" s="61"/>
      <c r="AXS2469" s="54"/>
      <c r="AXT2469" s="54"/>
      <c r="AXU2469" s="60"/>
      <c r="AXV2469" s="60"/>
      <c r="AXW2469" s="60"/>
      <c r="AXX2469" s="60"/>
      <c r="AXY2469" s="63"/>
      <c r="AXZ2469" s="61"/>
      <c r="AYA2469" s="54"/>
      <c r="AYB2469" s="54"/>
      <c r="AYC2469" s="60"/>
      <c r="AYD2469" s="60"/>
      <c r="AYE2469" s="60"/>
      <c r="AYF2469" s="60"/>
      <c r="AYG2469" s="63"/>
      <c r="AYH2469" s="61"/>
      <c r="AYI2469" s="54"/>
      <c r="AYJ2469" s="54"/>
      <c r="AYK2469" s="60"/>
      <c r="AYL2469" s="60"/>
      <c r="AYM2469" s="60"/>
      <c r="AYN2469" s="60"/>
      <c r="AYO2469" s="63"/>
      <c r="AYP2469" s="61"/>
      <c r="AYQ2469" s="54"/>
      <c r="AYR2469" s="54"/>
      <c r="AYS2469" s="60"/>
      <c r="AYT2469" s="60"/>
      <c r="AYU2469" s="60"/>
      <c r="AYV2469" s="60"/>
      <c r="AYW2469" s="63"/>
      <c r="AYX2469" s="61"/>
      <c r="AYY2469" s="54"/>
      <c r="AYZ2469" s="54"/>
      <c r="AZA2469" s="60"/>
      <c r="AZB2469" s="60"/>
      <c r="AZC2469" s="60"/>
      <c r="AZD2469" s="60"/>
      <c r="AZE2469" s="63"/>
      <c r="AZF2469" s="61"/>
      <c r="AZG2469" s="54"/>
      <c r="AZH2469" s="54"/>
      <c r="AZI2469" s="60"/>
      <c r="AZJ2469" s="60"/>
      <c r="AZK2469" s="60"/>
      <c r="AZL2469" s="60"/>
      <c r="AZM2469" s="63"/>
      <c r="AZN2469" s="61"/>
      <c r="AZO2469" s="54"/>
      <c r="AZP2469" s="54"/>
      <c r="AZQ2469" s="60"/>
      <c r="AZR2469" s="60"/>
      <c r="AZS2469" s="60"/>
      <c r="AZT2469" s="60"/>
      <c r="AZU2469" s="63"/>
      <c r="AZV2469" s="61"/>
      <c r="AZW2469" s="54"/>
      <c r="AZX2469" s="54"/>
      <c r="AZY2469" s="60"/>
      <c r="AZZ2469" s="60"/>
      <c r="BAA2469" s="60"/>
      <c r="BAB2469" s="60"/>
      <c r="BAC2469" s="63"/>
      <c r="BAD2469" s="61"/>
      <c r="BAE2469" s="54"/>
      <c r="BAF2469" s="54"/>
      <c r="BAG2469" s="60"/>
      <c r="BAH2469" s="60"/>
      <c r="BAI2469" s="60"/>
      <c r="BAJ2469" s="60"/>
      <c r="BAK2469" s="63"/>
      <c r="BAL2469" s="61"/>
      <c r="BAM2469" s="54"/>
      <c r="BAN2469" s="54"/>
      <c r="BAO2469" s="60"/>
      <c r="BAP2469" s="60"/>
      <c r="BAQ2469" s="60"/>
      <c r="BAR2469" s="60"/>
      <c r="BAS2469" s="63"/>
      <c r="BAT2469" s="61"/>
      <c r="BAU2469" s="54"/>
      <c r="BAV2469" s="54"/>
      <c r="BAW2469" s="60"/>
      <c r="BAX2469" s="60"/>
      <c r="BAY2469" s="60"/>
      <c r="BAZ2469" s="60"/>
      <c r="BBA2469" s="63"/>
      <c r="BBB2469" s="61"/>
      <c r="BBC2469" s="54"/>
      <c r="BBD2469" s="54"/>
      <c r="BBE2469" s="60"/>
      <c r="BBF2469" s="60"/>
      <c r="BBG2469" s="60"/>
      <c r="BBH2469" s="60"/>
      <c r="BBI2469" s="63"/>
      <c r="BBJ2469" s="61"/>
      <c r="BBK2469" s="54"/>
      <c r="BBL2469" s="54"/>
      <c r="BBM2469" s="60"/>
      <c r="BBN2469" s="60"/>
      <c r="BBO2469" s="60"/>
      <c r="BBP2469" s="60"/>
      <c r="BBQ2469" s="63"/>
      <c r="BBR2469" s="61"/>
      <c r="BBS2469" s="54"/>
      <c r="BBT2469" s="54"/>
      <c r="BBU2469" s="60"/>
      <c r="BBV2469" s="60"/>
      <c r="BBW2469" s="60"/>
      <c r="BBX2469" s="60"/>
      <c r="BBY2469" s="63"/>
      <c r="BBZ2469" s="61"/>
      <c r="BCA2469" s="54"/>
      <c r="BCB2469" s="54"/>
      <c r="BCC2469" s="60"/>
      <c r="BCD2469" s="60"/>
      <c r="BCE2469" s="60"/>
      <c r="BCF2469" s="60"/>
      <c r="BCG2469" s="63"/>
      <c r="BCH2469" s="61"/>
      <c r="BCI2469" s="54"/>
      <c r="BCJ2469" s="54"/>
      <c r="BCK2469" s="60"/>
      <c r="BCL2469" s="60"/>
      <c r="BCM2469" s="60"/>
      <c r="BCN2469" s="60"/>
      <c r="BCO2469" s="63"/>
      <c r="BCP2469" s="61"/>
      <c r="BCQ2469" s="54"/>
      <c r="BCR2469" s="54"/>
      <c r="BCS2469" s="60"/>
      <c r="BCT2469" s="60"/>
      <c r="BCU2469" s="60"/>
      <c r="BCV2469" s="60"/>
      <c r="BCW2469" s="63"/>
      <c r="BCX2469" s="61"/>
      <c r="BCY2469" s="54"/>
      <c r="BCZ2469" s="54"/>
      <c r="BDA2469" s="60"/>
      <c r="BDB2469" s="60"/>
      <c r="BDC2469" s="60"/>
      <c r="BDD2469" s="60"/>
      <c r="BDE2469" s="63"/>
      <c r="BDF2469" s="61"/>
      <c r="BDG2469" s="54"/>
      <c r="BDH2469" s="54"/>
      <c r="BDI2469" s="60"/>
      <c r="BDJ2469" s="60"/>
      <c r="BDK2469" s="60"/>
      <c r="BDL2469" s="60"/>
      <c r="BDM2469" s="63"/>
      <c r="BDN2469" s="61"/>
      <c r="BDO2469" s="54"/>
      <c r="BDP2469" s="54"/>
      <c r="BDQ2469" s="60"/>
      <c r="BDR2469" s="60"/>
      <c r="BDS2469" s="60"/>
      <c r="BDT2469" s="60"/>
      <c r="BDU2469" s="63"/>
      <c r="BDV2469" s="61"/>
      <c r="BDW2469" s="54"/>
      <c r="BDX2469" s="54"/>
      <c r="BDY2469" s="60"/>
      <c r="BDZ2469" s="60"/>
      <c r="BEA2469" s="60"/>
      <c r="BEB2469" s="60"/>
      <c r="BEC2469" s="63"/>
      <c r="BED2469" s="61"/>
      <c r="BEE2469" s="54"/>
      <c r="BEF2469" s="54"/>
      <c r="BEG2469" s="60"/>
      <c r="BEH2469" s="60"/>
      <c r="BEI2469" s="60"/>
      <c r="BEJ2469" s="60"/>
      <c r="BEK2469" s="63"/>
      <c r="BEL2469" s="61"/>
      <c r="BEM2469" s="54"/>
      <c r="BEN2469" s="54"/>
      <c r="BEO2469" s="60"/>
      <c r="BEP2469" s="60"/>
      <c r="BEQ2469" s="60"/>
      <c r="BER2469" s="60"/>
      <c r="BES2469" s="63"/>
      <c r="BET2469" s="61"/>
      <c r="BEU2469" s="54"/>
      <c r="BEV2469" s="54"/>
      <c r="BEW2469" s="60"/>
      <c r="BEX2469" s="60"/>
      <c r="BEY2469" s="60"/>
      <c r="BEZ2469" s="60"/>
      <c r="BFA2469" s="63"/>
      <c r="BFB2469" s="61"/>
      <c r="BFC2469" s="54"/>
      <c r="BFD2469" s="54"/>
      <c r="BFE2469" s="60"/>
      <c r="BFF2469" s="60"/>
      <c r="BFG2469" s="60"/>
      <c r="BFH2469" s="60"/>
      <c r="BFI2469" s="63"/>
      <c r="BFJ2469" s="61"/>
      <c r="BFK2469" s="54"/>
      <c r="BFL2469" s="54"/>
      <c r="BFM2469" s="60"/>
      <c r="BFN2469" s="60"/>
      <c r="BFO2469" s="60"/>
      <c r="BFP2469" s="60"/>
      <c r="BFQ2469" s="63"/>
      <c r="BFR2469" s="61"/>
      <c r="BFS2469" s="54"/>
      <c r="BFT2469" s="54"/>
      <c r="BFU2469" s="60"/>
      <c r="BFV2469" s="60"/>
      <c r="BFW2469" s="60"/>
      <c r="BFX2469" s="60"/>
      <c r="BFY2469" s="63"/>
      <c r="BFZ2469" s="61"/>
      <c r="BGA2469" s="54"/>
      <c r="BGB2469" s="54"/>
      <c r="BGC2469" s="60"/>
      <c r="BGD2469" s="60"/>
      <c r="BGE2469" s="60"/>
      <c r="BGF2469" s="60"/>
      <c r="BGG2469" s="63"/>
      <c r="BGH2469" s="61"/>
      <c r="BGI2469" s="54"/>
      <c r="BGJ2469" s="54"/>
      <c r="BGK2469" s="60"/>
      <c r="BGL2469" s="60"/>
      <c r="BGM2469" s="60"/>
      <c r="BGN2469" s="60"/>
      <c r="BGO2469" s="63"/>
      <c r="BGP2469" s="61"/>
      <c r="BGQ2469" s="54"/>
      <c r="BGR2469" s="54"/>
      <c r="BGS2469" s="60"/>
      <c r="BGT2469" s="60"/>
      <c r="BGU2469" s="60"/>
      <c r="BGV2469" s="60"/>
      <c r="BGW2469" s="63"/>
      <c r="BGX2469" s="61"/>
      <c r="BGY2469" s="54"/>
      <c r="BGZ2469" s="54"/>
      <c r="BHA2469" s="60"/>
      <c r="BHB2469" s="60"/>
      <c r="BHC2469" s="60"/>
      <c r="BHD2469" s="60"/>
      <c r="BHE2469" s="63"/>
      <c r="BHF2469" s="61"/>
      <c r="BHG2469" s="54"/>
      <c r="BHH2469" s="54"/>
      <c r="BHI2469" s="60"/>
      <c r="BHJ2469" s="60"/>
      <c r="BHK2469" s="60"/>
      <c r="BHL2469" s="60"/>
      <c r="BHM2469" s="63"/>
      <c r="BHN2469" s="61"/>
      <c r="BHO2469" s="54"/>
      <c r="BHP2469" s="54"/>
      <c r="BHQ2469" s="60"/>
      <c r="BHR2469" s="60"/>
      <c r="BHS2469" s="60"/>
      <c r="BHT2469" s="60"/>
      <c r="BHU2469" s="63"/>
      <c r="BHV2469" s="61"/>
      <c r="BHW2469" s="54"/>
      <c r="BHX2469" s="54"/>
      <c r="BHY2469" s="60"/>
      <c r="BHZ2469" s="60"/>
      <c r="BIA2469" s="60"/>
      <c r="BIB2469" s="60"/>
      <c r="BIC2469" s="63"/>
      <c r="BID2469" s="61"/>
      <c r="BIE2469" s="54"/>
      <c r="BIF2469" s="54"/>
      <c r="BIG2469" s="60"/>
      <c r="BIH2469" s="60"/>
      <c r="BII2469" s="60"/>
      <c r="BIJ2469" s="60"/>
      <c r="BIK2469" s="63"/>
      <c r="BIL2469" s="61"/>
      <c r="BIM2469" s="54"/>
      <c r="BIN2469" s="54"/>
      <c r="BIO2469" s="60"/>
      <c r="BIP2469" s="60"/>
      <c r="BIQ2469" s="60"/>
      <c r="BIR2469" s="60"/>
      <c r="BIS2469" s="63"/>
      <c r="BIT2469" s="61"/>
      <c r="BIU2469" s="54"/>
      <c r="BIV2469" s="54"/>
      <c r="BIW2469" s="60"/>
      <c r="BIX2469" s="60"/>
      <c r="BIY2469" s="60"/>
      <c r="BIZ2469" s="60"/>
      <c r="BJA2469" s="63"/>
      <c r="BJB2469" s="61"/>
      <c r="BJC2469" s="54"/>
      <c r="BJD2469" s="54"/>
      <c r="BJE2469" s="60"/>
      <c r="BJF2469" s="60"/>
      <c r="BJG2469" s="60"/>
      <c r="BJH2469" s="60"/>
      <c r="BJI2469" s="63"/>
      <c r="BJJ2469" s="61"/>
      <c r="BJK2469" s="54"/>
      <c r="BJL2469" s="54"/>
      <c r="BJM2469" s="60"/>
      <c r="BJN2469" s="60"/>
      <c r="BJO2469" s="60"/>
      <c r="BJP2469" s="60"/>
      <c r="BJQ2469" s="63"/>
      <c r="BJR2469" s="61"/>
      <c r="BJS2469" s="54"/>
      <c r="BJT2469" s="54"/>
      <c r="BJU2469" s="60"/>
      <c r="BJV2469" s="60"/>
      <c r="BJW2469" s="60"/>
      <c r="BJX2469" s="60"/>
      <c r="BJY2469" s="63"/>
      <c r="BJZ2469" s="61"/>
      <c r="BKA2469" s="54"/>
      <c r="BKB2469" s="54"/>
      <c r="BKC2469" s="60"/>
      <c r="BKD2469" s="60"/>
      <c r="BKE2469" s="60"/>
      <c r="BKF2469" s="60"/>
      <c r="BKG2469" s="63"/>
      <c r="BKH2469" s="61"/>
      <c r="BKI2469" s="54"/>
      <c r="BKJ2469" s="54"/>
      <c r="BKK2469" s="60"/>
      <c r="BKL2469" s="60"/>
      <c r="BKM2469" s="60"/>
      <c r="BKN2469" s="60"/>
      <c r="BKO2469" s="63"/>
      <c r="BKP2469" s="61"/>
      <c r="BKQ2469" s="54"/>
      <c r="BKR2469" s="54"/>
      <c r="BKS2469" s="60"/>
      <c r="BKT2469" s="60"/>
      <c r="BKU2469" s="60"/>
      <c r="BKV2469" s="60"/>
      <c r="BKW2469" s="63"/>
      <c r="BKX2469" s="61"/>
      <c r="BKY2469" s="54"/>
      <c r="BKZ2469" s="54"/>
      <c r="BLA2469" s="60"/>
      <c r="BLB2469" s="60"/>
      <c r="BLC2469" s="60"/>
      <c r="BLD2469" s="60"/>
      <c r="BLE2469" s="63"/>
      <c r="BLF2469" s="61"/>
      <c r="BLG2469" s="54"/>
      <c r="BLH2469" s="54"/>
      <c r="BLI2469" s="60"/>
      <c r="BLJ2469" s="60"/>
      <c r="BLK2469" s="60"/>
      <c r="BLL2469" s="60"/>
      <c r="BLM2469" s="63"/>
      <c r="BLN2469" s="61"/>
      <c r="BLO2469" s="54"/>
      <c r="BLP2469" s="54"/>
      <c r="BLQ2469" s="60"/>
      <c r="BLR2469" s="60"/>
      <c r="BLS2469" s="60"/>
      <c r="BLT2469" s="60"/>
      <c r="BLU2469" s="63"/>
      <c r="BLV2469" s="61"/>
      <c r="BLW2469" s="54"/>
      <c r="BLX2469" s="54"/>
      <c r="BLY2469" s="60"/>
      <c r="BLZ2469" s="60"/>
      <c r="BMA2469" s="60"/>
      <c r="BMB2469" s="60"/>
      <c r="BMC2469" s="63"/>
      <c r="BMD2469" s="61"/>
      <c r="BME2469" s="54"/>
      <c r="BMF2469" s="54"/>
      <c r="BMG2469" s="60"/>
      <c r="BMH2469" s="60"/>
      <c r="BMI2469" s="60"/>
      <c r="BMJ2469" s="60"/>
      <c r="BMK2469" s="63"/>
      <c r="BML2469" s="61"/>
      <c r="BMM2469" s="54"/>
      <c r="BMN2469" s="54"/>
      <c r="BMO2469" s="60"/>
      <c r="BMP2469" s="60"/>
      <c r="BMQ2469" s="60"/>
      <c r="BMR2469" s="60"/>
      <c r="BMS2469" s="63"/>
      <c r="BMT2469" s="61"/>
      <c r="BMU2469" s="54"/>
      <c r="BMV2469" s="54"/>
      <c r="BMW2469" s="60"/>
      <c r="BMX2469" s="60"/>
      <c r="BMY2469" s="60"/>
      <c r="BMZ2469" s="60"/>
      <c r="BNA2469" s="63"/>
      <c r="BNB2469" s="61"/>
      <c r="BNC2469" s="54"/>
      <c r="BND2469" s="54"/>
      <c r="BNE2469" s="60"/>
      <c r="BNF2469" s="60"/>
      <c r="BNG2469" s="60"/>
      <c r="BNH2469" s="60"/>
      <c r="BNI2469" s="63"/>
      <c r="BNJ2469" s="61"/>
      <c r="BNK2469" s="54"/>
      <c r="BNL2469" s="54"/>
      <c r="BNM2469" s="60"/>
      <c r="BNN2469" s="60"/>
      <c r="BNO2469" s="60"/>
      <c r="BNP2469" s="60"/>
      <c r="BNQ2469" s="63"/>
      <c r="BNR2469" s="61"/>
      <c r="BNS2469" s="54"/>
      <c r="BNT2469" s="54"/>
      <c r="BNU2469" s="60"/>
      <c r="BNV2469" s="60"/>
      <c r="BNW2469" s="60"/>
      <c r="BNX2469" s="60"/>
      <c r="BNY2469" s="63"/>
      <c r="BNZ2469" s="61"/>
      <c r="BOA2469" s="54"/>
      <c r="BOB2469" s="54"/>
      <c r="BOC2469" s="60"/>
      <c r="BOD2469" s="60"/>
      <c r="BOE2469" s="60"/>
      <c r="BOF2469" s="60"/>
      <c r="BOG2469" s="63"/>
      <c r="BOH2469" s="61"/>
      <c r="BOI2469" s="54"/>
      <c r="BOJ2469" s="54"/>
      <c r="BOK2469" s="60"/>
      <c r="BOL2469" s="60"/>
      <c r="BOM2469" s="60"/>
      <c r="BON2469" s="60"/>
      <c r="BOO2469" s="63"/>
      <c r="BOP2469" s="61"/>
      <c r="BOQ2469" s="54"/>
      <c r="BOR2469" s="54"/>
      <c r="BOS2469" s="60"/>
      <c r="BOT2469" s="60"/>
      <c r="BOU2469" s="60"/>
      <c r="BOV2469" s="60"/>
      <c r="BOW2469" s="63"/>
      <c r="BOX2469" s="61"/>
      <c r="BOY2469" s="54"/>
      <c r="BOZ2469" s="54"/>
      <c r="BPA2469" s="60"/>
      <c r="BPB2469" s="60"/>
      <c r="BPC2469" s="60"/>
      <c r="BPD2469" s="60"/>
      <c r="BPE2469" s="63"/>
      <c r="BPF2469" s="61"/>
      <c r="BPG2469" s="54"/>
      <c r="BPH2469" s="54"/>
      <c r="BPI2469" s="60"/>
      <c r="BPJ2469" s="60"/>
      <c r="BPK2469" s="60"/>
      <c r="BPL2469" s="60"/>
      <c r="BPM2469" s="63"/>
      <c r="BPN2469" s="61"/>
      <c r="BPO2469" s="54"/>
      <c r="BPP2469" s="54"/>
      <c r="BPQ2469" s="60"/>
      <c r="BPR2469" s="60"/>
      <c r="BPS2469" s="60"/>
      <c r="BPT2469" s="60"/>
      <c r="BPU2469" s="63"/>
      <c r="BPV2469" s="61"/>
      <c r="BPW2469" s="54"/>
      <c r="BPX2469" s="54"/>
      <c r="BPY2469" s="60"/>
      <c r="BPZ2469" s="60"/>
      <c r="BQA2469" s="60"/>
      <c r="BQB2469" s="60"/>
      <c r="BQC2469" s="63"/>
      <c r="BQD2469" s="61"/>
      <c r="BQE2469" s="54"/>
      <c r="BQF2469" s="54"/>
      <c r="BQG2469" s="60"/>
      <c r="BQH2469" s="60"/>
      <c r="BQI2469" s="60"/>
      <c r="BQJ2469" s="60"/>
      <c r="BQK2469" s="63"/>
      <c r="BQL2469" s="61"/>
      <c r="BQM2469" s="54"/>
      <c r="BQN2469" s="54"/>
      <c r="BQO2469" s="60"/>
      <c r="BQP2469" s="60"/>
      <c r="BQQ2469" s="60"/>
      <c r="BQR2469" s="60"/>
      <c r="BQS2469" s="63"/>
      <c r="BQT2469" s="61"/>
      <c r="BQU2469" s="54"/>
      <c r="BQV2469" s="54"/>
      <c r="BQW2469" s="60"/>
      <c r="BQX2469" s="60"/>
      <c r="BQY2469" s="60"/>
      <c r="BQZ2469" s="60"/>
      <c r="BRA2469" s="63"/>
      <c r="BRB2469" s="61"/>
      <c r="BRC2469" s="54"/>
      <c r="BRD2469" s="54"/>
      <c r="BRE2469" s="60"/>
      <c r="BRF2469" s="60"/>
      <c r="BRG2469" s="60"/>
      <c r="BRH2469" s="60"/>
      <c r="BRI2469" s="63"/>
      <c r="BRJ2469" s="61"/>
      <c r="BRK2469" s="54"/>
      <c r="BRL2469" s="54"/>
      <c r="BRM2469" s="60"/>
      <c r="BRN2469" s="60"/>
      <c r="BRO2469" s="60"/>
      <c r="BRP2469" s="60"/>
      <c r="BRQ2469" s="63"/>
      <c r="BRR2469" s="61"/>
      <c r="BRS2469" s="54"/>
      <c r="BRT2469" s="54"/>
      <c r="BRU2469" s="60"/>
      <c r="BRV2469" s="60"/>
      <c r="BRW2469" s="60"/>
      <c r="BRX2469" s="60"/>
      <c r="BRY2469" s="63"/>
      <c r="BRZ2469" s="61"/>
      <c r="BSA2469" s="54"/>
      <c r="BSB2469" s="54"/>
      <c r="BSC2469" s="60"/>
      <c r="BSD2469" s="60"/>
      <c r="BSE2469" s="60"/>
      <c r="BSF2469" s="60"/>
      <c r="BSG2469" s="63"/>
      <c r="BSH2469" s="61"/>
      <c r="BSI2469" s="54"/>
      <c r="BSJ2469" s="54"/>
      <c r="BSK2469" s="60"/>
      <c r="BSL2469" s="60"/>
      <c r="BSM2469" s="60"/>
      <c r="BSN2469" s="60"/>
      <c r="BSO2469" s="63"/>
      <c r="BSP2469" s="61"/>
      <c r="BSQ2469" s="54"/>
      <c r="BSR2469" s="54"/>
      <c r="BSS2469" s="60"/>
      <c r="BST2469" s="60"/>
      <c r="BSU2469" s="60"/>
      <c r="BSV2469" s="60"/>
      <c r="BSW2469" s="63"/>
      <c r="BSX2469" s="61"/>
      <c r="BSY2469" s="54"/>
      <c r="BSZ2469" s="54"/>
      <c r="BTA2469" s="60"/>
      <c r="BTB2469" s="60"/>
      <c r="BTC2469" s="60"/>
      <c r="BTD2469" s="60"/>
      <c r="BTE2469" s="63"/>
      <c r="BTF2469" s="61"/>
      <c r="BTG2469" s="54"/>
      <c r="BTH2469" s="54"/>
      <c r="BTI2469" s="60"/>
      <c r="BTJ2469" s="60"/>
      <c r="BTK2469" s="60"/>
      <c r="BTL2469" s="60"/>
      <c r="BTM2469" s="63"/>
      <c r="BTN2469" s="61"/>
      <c r="BTO2469" s="54"/>
      <c r="BTP2469" s="54"/>
      <c r="BTQ2469" s="60"/>
      <c r="BTR2469" s="60"/>
      <c r="BTS2469" s="60"/>
      <c r="BTT2469" s="60"/>
      <c r="BTU2469" s="63"/>
      <c r="BTV2469" s="61"/>
      <c r="BTW2469" s="54"/>
      <c r="BTX2469" s="54"/>
      <c r="BTY2469" s="60"/>
      <c r="BTZ2469" s="60"/>
      <c r="BUA2469" s="60"/>
      <c r="BUB2469" s="60"/>
      <c r="BUC2469" s="63"/>
      <c r="BUD2469" s="61"/>
      <c r="BUE2469" s="54"/>
      <c r="BUF2469" s="54"/>
      <c r="BUG2469" s="60"/>
      <c r="BUH2469" s="60"/>
      <c r="BUI2469" s="60"/>
      <c r="BUJ2469" s="60"/>
      <c r="BUK2469" s="63"/>
      <c r="BUL2469" s="61"/>
      <c r="BUM2469" s="54"/>
      <c r="BUN2469" s="54"/>
      <c r="BUO2469" s="60"/>
      <c r="BUP2469" s="60"/>
      <c r="BUQ2469" s="60"/>
      <c r="BUR2469" s="60"/>
      <c r="BUS2469" s="63"/>
      <c r="BUT2469" s="61"/>
      <c r="BUU2469" s="54"/>
      <c r="BUV2469" s="54"/>
      <c r="BUW2469" s="60"/>
      <c r="BUX2469" s="60"/>
      <c r="BUY2469" s="60"/>
      <c r="BUZ2469" s="60"/>
      <c r="BVA2469" s="63"/>
      <c r="BVB2469" s="61"/>
      <c r="BVC2469" s="54"/>
      <c r="BVD2469" s="54"/>
      <c r="BVE2469" s="60"/>
      <c r="BVF2469" s="60"/>
      <c r="BVG2469" s="60"/>
      <c r="BVH2469" s="60"/>
      <c r="BVI2469" s="63"/>
      <c r="BVJ2469" s="61"/>
      <c r="BVK2469" s="54"/>
      <c r="BVL2469" s="54"/>
      <c r="BVM2469" s="60"/>
      <c r="BVN2469" s="60"/>
      <c r="BVO2469" s="60"/>
      <c r="BVP2469" s="60"/>
      <c r="BVQ2469" s="63"/>
      <c r="BVR2469" s="61"/>
      <c r="BVS2469" s="54"/>
      <c r="BVT2469" s="54"/>
      <c r="BVU2469" s="60"/>
      <c r="BVV2469" s="60"/>
      <c r="BVW2469" s="60"/>
      <c r="BVX2469" s="60"/>
      <c r="BVY2469" s="63"/>
      <c r="BVZ2469" s="61"/>
      <c r="BWA2469" s="54"/>
      <c r="BWB2469" s="54"/>
      <c r="BWC2469" s="60"/>
      <c r="BWD2469" s="60"/>
      <c r="BWE2469" s="60"/>
      <c r="BWF2469" s="60"/>
      <c r="BWG2469" s="63"/>
      <c r="BWH2469" s="61"/>
      <c r="BWI2469" s="54"/>
      <c r="BWJ2469" s="54"/>
      <c r="BWK2469" s="60"/>
      <c r="BWL2469" s="60"/>
      <c r="BWM2469" s="60"/>
      <c r="BWN2469" s="60"/>
      <c r="BWO2469" s="63"/>
      <c r="BWP2469" s="61"/>
      <c r="BWQ2469" s="54"/>
      <c r="BWR2469" s="54"/>
      <c r="BWS2469" s="60"/>
      <c r="BWT2469" s="60"/>
      <c r="BWU2469" s="60"/>
      <c r="BWV2469" s="60"/>
      <c r="BWW2469" s="63"/>
      <c r="BWX2469" s="61"/>
      <c r="BWY2469" s="54"/>
      <c r="BWZ2469" s="54"/>
      <c r="BXA2469" s="60"/>
      <c r="BXB2469" s="60"/>
      <c r="BXC2469" s="60"/>
      <c r="BXD2469" s="60"/>
      <c r="BXE2469" s="63"/>
      <c r="BXF2469" s="61"/>
      <c r="BXG2469" s="54"/>
      <c r="BXH2469" s="54"/>
      <c r="BXI2469" s="60"/>
      <c r="BXJ2469" s="60"/>
      <c r="BXK2469" s="60"/>
      <c r="BXL2469" s="60"/>
      <c r="BXM2469" s="63"/>
      <c r="BXN2469" s="61"/>
      <c r="BXO2469" s="54"/>
      <c r="BXP2469" s="54"/>
      <c r="BXQ2469" s="60"/>
      <c r="BXR2469" s="60"/>
      <c r="BXS2469" s="60"/>
      <c r="BXT2469" s="60"/>
      <c r="BXU2469" s="63"/>
      <c r="BXV2469" s="61"/>
      <c r="BXW2469" s="54"/>
      <c r="BXX2469" s="54"/>
      <c r="BXY2469" s="60"/>
      <c r="BXZ2469" s="60"/>
      <c r="BYA2469" s="60"/>
      <c r="BYB2469" s="60"/>
      <c r="BYC2469" s="63"/>
      <c r="BYD2469" s="61"/>
      <c r="BYE2469" s="54"/>
      <c r="BYF2469" s="54"/>
      <c r="BYG2469" s="60"/>
      <c r="BYH2469" s="60"/>
      <c r="BYI2469" s="60"/>
      <c r="BYJ2469" s="60"/>
      <c r="BYK2469" s="63"/>
      <c r="BYL2469" s="61"/>
      <c r="BYM2469" s="54"/>
      <c r="BYN2469" s="54"/>
      <c r="BYO2469" s="60"/>
      <c r="BYP2469" s="60"/>
      <c r="BYQ2469" s="60"/>
      <c r="BYR2469" s="60"/>
      <c r="BYS2469" s="63"/>
      <c r="BYT2469" s="61"/>
      <c r="BYU2469" s="54"/>
      <c r="BYV2469" s="54"/>
      <c r="BYW2469" s="60"/>
      <c r="BYX2469" s="60"/>
      <c r="BYY2469" s="60"/>
      <c r="BYZ2469" s="60"/>
      <c r="BZA2469" s="63"/>
      <c r="BZB2469" s="61"/>
      <c r="BZC2469" s="54"/>
      <c r="BZD2469" s="54"/>
      <c r="BZE2469" s="60"/>
      <c r="BZF2469" s="60"/>
      <c r="BZG2469" s="60"/>
      <c r="BZH2469" s="60"/>
      <c r="BZI2469" s="63"/>
      <c r="BZJ2469" s="61"/>
      <c r="BZK2469" s="54"/>
      <c r="BZL2469" s="54"/>
      <c r="BZM2469" s="60"/>
      <c r="BZN2469" s="60"/>
      <c r="BZO2469" s="60"/>
      <c r="BZP2469" s="60"/>
      <c r="BZQ2469" s="63"/>
      <c r="BZR2469" s="61"/>
      <c r="BZS2469" s="54"/>
      <c r="BZT2469" s="54"/>
      <c r="BZU2469" s="60"/>
      <c r="BZV2469" s="60"/>
      <c r="BZW2469" s="60"/>
      <c r="BZX2469" s="60"/>
      <c r="BZY2469" s="63"/>
      <c r="BZZ2469" s="61"/>
      <c r="CAA2469" s="54"/>
      <c r="CAB2469" s="54"/>
      <c r="CAC2469" s="60"/>
      <c r="CAD2469" s="60"/>
      <c r="CAE2469" s="60"/>
      <c r="CAF2469" s="60"/>
      <c r="CAG2469" s="63"/>
      <c r="CAH2469" s="61"/>
      <c r="CAI2469" s="54"/>
      <c r="CAJ2469" s="54"/>
      <c r="CAK2469" s="60"/>
      <c r="CAL2469" s="60"/>
      <c r="CAM2469" s="60"/>
      <c r="CAN2469" s="60"/>
      <c r="CAO2469" s="63"/>
      <c r="CAP2469" s="61"/>
      <c r="CAQ2469" s="54"/>
      <c r="CAR2469" s="54"/>
      <c r="CAS2469" s="60"/>
      <c r="CAT2469" s="60"/>
      <c r="CAU2469" s="60"/>
      <c r="CAV2469" s="60"/>
      <c r="CAW2469" s="63"/>
      <c r="CAX2469" s="61"/>
      <c r="CAY2469" s="54"/>
      <c r="CAZ2469" s="54"/>
      <c r="CBA2469" s="60"/>
      <c r="CBB2469" s="60"/>
      <c r="CBC2469" s="60"/>
      <c r="CBD2469" s="60"/>
      <c r="CBE2469" s="63"/>
      <c r="CBF2469" s="61"/>
      <c r="CBG2469" s="54"/>
      <c r="CBH2469" s="54"/>
      <c r="CBI2469" s="60"/>
      <c r="CBJ2469" s="60"/>
      <c r="CBK2469" s="60"/>
      <c r="CBL2469" s="60"/>
      <c r="CBM2469" s="63"/>
      <c r="CBN2469" s="61"/>
      <c r="CBO2469" s="54"/>
      <c r="CBP2469" s="54"/>
      <c r="CBQ2469" s="60"/>
      <c r="CBR2469" s="60"/>
      <c r="CBS2469" s="60"/>
      <c r="CBT2469" s="60"/>
      <c r="CBU2469" s="63"/>
      <c r="CBV2469" s="61"/>
      <c r="CBW2469" s="54"/>
      <c r="CBX2469" s="54"/>
      <c r="CBY2469" s="60"/>
      <c r="CBZ2469" s="60"/>
      <c r="CCA2469" s="60"/>
      <c r="CCB2469" s="60"/>
      <c r="CCC2469" s="63"/>
      <c r="CCD2469" s="61"/>
      <c r="CCE2469" s="54"/>
      <c r="CCF2469" s="54"/>
      <c r="CCG2469" s="60"/>
      <c r="CCH2469" s="60"/>
      <c r="CCI2469" s="60"/>
      <c r="CCJ2469" s="60"/>
      <c r="CCK2469" s="63"/>
      <c r="CCL2469" s="61"/>
      <c r="CCM2469" s="54"/>
      <c r="CCN2469" s="54"/>
      <c r="CCO2469" s="60"/>
      <c r="CCP2469" s="60"/>
      <c r="CCQ2469" s="60"/>
      <c r="CCR2469" s="60"/>
      <c r="CCS2469" s="63"/>
      <c r="CCT2469" s="61"/>
      <c r="CCU2469" s="54"/>
      <c r="CCV2469" s="54"/>
      <c r="CCW2469" s="60"/>
      <c r="CCX2469" s="60"/>
      <c r="CCY2469" s="60"/>
      <c r="CCZ2469" s="60"/>
      <c r="CDA2469" s="63"/>
      <c r="CDB2469" s="61"/>
      <c r="CDC2469" s="54"/>
      <c r="CDD2469" s="54"/>
      <c r="CDE2469" s="60"/>
      <c r="CDF2469" s="60"/>
      <c r="CDG2469" s="60"/>
      <c r="CDH2469" s="60"/>
      <c r="CDI2469" s="63"/>
      <c r="CDJ2469" s="61"/>
      <c r="CDK2469" s="54"/>
      <c r="CDL2469" s="54"/>
      <c r="CDM2469" s="60"/>
      <c r="CDN2469" s="60"/>
      <c r="CDO2469" s="60"/>
      <c r="CDP2469" s="60"/>
      <c r="CDQ2469" s="63"/>
      <c r="CDR2469" s="61"/>
      <c r="CDS2469" s="54"/>
      <c r="CDT2469" s="54"/>
      <c r="CDU2469" s="60"/>
      <c r="CDV2469" s="60"/>
      <c r="CDW2469" s="60"/>
      <c r="CDX2469" s="60"/>
      <c r="CDY2469" s="63"/>
      <c r="CDZ2469" s="61"/>
      <c r="CEA2469" s="54"/>
      <c r="CEB2469" s="54"/>
      <c r="CEC2469" s="60"/>
      <c r="CED2469" s="60"/>
      <c r="CEE2469" s="60"/>
      <c r="CEF2469" s="60"/>
      <c r="CEG2469" s="63"/>
      <c r="CEH2469" s="61"/>
      <c r="CEI2469" s="54"/>
      <c r="CEJ2469" s="54"/>
      <c r="CEK2469" s="60"/>
      <c r="CEL2469" s="60"/>
      <c r="CEM2469" s="60"/>
      <c r="CEN2469" s="60"/>
      <c r="CEO2469" s="63"/>
      <c r="CEP2469" s="61"/>
      <c r="CEQ2469" s="54"/>
      <c r="CER2469" s="54"/>
      <c r="CES2469" s="60"/>
      <c r="CET2469" s="60"/>
      <c r="CEU2469" s="60"/>
      <c r="CEV2469" s="60"/>
      <c r="CEW2469" s="63"/>
      <c r="CEX2469" s="61"/>
      <c r="CEY2469" s="54"/>
      <c r="CEZ2469" s="54"/>
      <c r="CFA2469" s="60"/>
      <c r="CFB2469" s="60"/>
      <c r="CFC2469" s="60"/>
      <c r="CFD2469" s="60"/>
      <c r="CFE2469" s="63"/>
      <c r="CFF2469" s="61"/>
      <c r="CFG2469" s="54"/>
      <c r="CFH2469" s="54"/>
      <c r="CFI2469" s="60"/>
      <c r="CFJ2469" s="60"/>
      <c r="CFK2469" s="60"/>
      <c r="CFL2469" s="60"/>
      <c r="CFM2469" s="63"/>
      <c r="CFN2469" s="61"/>
      <c r="CFO2469" s="54"/>
      <c r="CFP2469" s="54"/>
      <c r="CFQ2469" s="60"/>
      <c r="CFR2469" s="60"/>
      <c r="CFS2469" s="60"/>
      <c r="CFT2469" s="60"/>
      <c r="CFU2469" s="63"/>
      <c r="CFV2469" s="61"/>
      <c r="CFW2469" s="54"/>
      <c r="CFX2469" s="54"/>
      <c r="CFY2469" s="60"/>
      <c r="CFZ2469" s="60"/>
      <c r="CGA2469" s="60"/>
      <c r="CGB2469" s="60"/>
      <c r="CGC2469" s="63"/>
      <c r="CGD2469" s="61"/>
      <c r="CGE2469" s="54"/>
      <c r="CGF2469" s="54"/>
      <c r="CGG2469" s="60"/>
      <c r="CGH2469" s="60"/>
      <c r="CGI2469" s="60"/>
      <c r="CGJ2469" s="60"/>
      <c r="CGK2469" s="63"/>
      <c r="CGL2469" s="61"/>
      <c r="CGM2469" s="54"/>
      <c r="CGN2469" s="54"/>
      <c r="CGO2469" s="60"/>
      <c r="CGP2469" s="60"/>
      <c r="CGQ2469" s="60"/>
      <c r="CGR2469" s="60"/>
      <c r="CGS2469" s="63"/>
      <c r="CGT2469" s="61"/>
      <c r="CGU2469" s="54"/>
      <c r="CGV2469" s="54"/>
      <c r="CGW2469" s="60"/>
      <c r="CGX2469" s="60"/>
      <c r="CGY2469" s="60"/>
      <c r="CGZ2469" s="60"/>
      <c r="CHA2469" s="63"/>
      <c r="CHB2469" s="61"/>
      <c r="CHC2469" s="54"/>
      <c r="CHD2469" s="54"/>
      <c r="CHE2469" s="60"/>
      <c r="CHF2469" s="60"/>
      <c r="CHG2469" s="60"/>
      <c r="CHH2469" s="60"/>
      <c r="CHI2469" s="63"/>
      <c r="CHJ2469" s="61"/>
      <c r="CHK2469" s="54"/>
      <c r="CHL2469" s="54"/>
      <c r="CHM2469" s="60"/>
      <c r="CHN2469" s="60"/>
      <c r="CHO2469" s="60"/>
      <c r="CHP2469" s="60"/>
      <c r="CHQ2469" s="63"/>
      <c r="CHR2469" s="61"/>
      <c r="CHS2469" s="54"/>
      <c r="CHT2469" s="54"/>
      <c r="CHU2469" s="60"/>
      <c r="CHV2469" s="60"/>
      <c r="CHW2469" s="60"/>
      <c r="CHX2469" s="60"/>
      <c r="CHY2469" s="63"/>
      <c r="CHZ2469" s="61"/>
      <c r="CIA2469" s="54"/>
      <c r="CIB2469" s="54"/>
      <c r="CIC2469" s="60"/>
      <c r="CID2469" s="60"/>
      <c r="CIE2469" s="60"/>
      <c r="CIF2469" s="60"/>
      <c r="CIG2469" s="63"/>
      <c r="CIH2469" s="61"/>
      <c r="CII2469" s="54"/>
      <c r="CIJ2469" s="54"/>
      <c r="CIK2469" s="60"/>
      <c r="CIL2469" s="60"/>
      <c r="CIM2469" s="60"/>
      <c r="CIN2469" s="60"/>
      <c r="CIO2469" s="63"/>
      <c r="CIP2469" s="61"/>
      <c r="CIQ2469" s="54"/>
      <c r="CIR2469" s="54"/>
      <c r="CIS2469" s="60"/>
      <c r="CIT2469" s="60"/>
      <c r="CIU2469" s="60"/>
      <c r="CIV2469" s="60"/>
      <c r="CIW2469" s="63"/>
      <c r="CIX2469" s="61"/>
      <c r="CIY2469" s="54"/>
      <c r="CIZ2469" s="54"/>
      <c r="CJA2469" s="60"/>
      <c r="CJB2469" s="60"/>
      <c r="CJC2469" s="60"/>
      <c r="CJD2469" s="60"/>
      <c r="CJE2469" s="63"/>
      <c r="CJF2469" s="61"/>
      <c r="CJG2469" s="54"/>
      <c r="CJH2469" s="54"/>
      <c r="CJI2469" s="60"/>
      <c r="CJJ2469" s="60"/>
      <c r="CJK2469" s="60"/>
      <c r="CJL2469" s="60"/>
      <c r="CJM2469" s="63"/>
      <c r="CJN2469" s="61"/>
      <c r="CJO2469" s="54"/>
      <c r="CJP2469" s="54"/>
      <c r="CJQ2469" s="60"/>
      <c r="CJR2469" s="60"/>
      <c r="CJS2469" s="60"/>
      <c r="CJT2469" s="60"/>
      <c r="CJU2469" s="63"/>
      <c r="CJV2469" s="61"/>
      <c r="CJW2469" s="54"/>
      <c r="CJX2469" s="54"/>
      <c r="CJY2469" s="60"/>
      <c r="CJZ2469" s="60"/>
      <c r="CKA2469" s="60"/>
      <c r="CKB2469" s="60"/>
      <c r="CKC2469" s="63"/>
      <c r="CKD2469" s="61"/>
      <c r="CKE2469" s="54"/>
      <c r="CKF2469" s="54"/>
      <c r="CKG2469" s="60"/>
      <c r="CKH2469" s="60"/>
      <c r="CKI2469" s="60"/>
      <c r="CKJ2469" s="60"/>
      <c r="CKK2469" s="63"/>
      <c r="CKL2469" s="61"/>
      <c r="CKM2469" s="54"/>
      <c r="CKN2469" s="54"/>
      <c r="CKO2469" s="60"/>
      <c r="CKP2469" s="60"/>
      <c r="CKQ2469" s="60"/>
      <c r="CKR2469" s="60"/>
      <c r="CKS2469" s="63"/>
      <c r="CKT2469" s="61"/>
      <c r="CKU2469" s="54"/>
      <c r="CKV2469" s="54"/>
      <c r="CKW2469" s="60"/>
      <c r="CKX2469" s="60"/>
      <c r="CKY2469" s="60"/>
      <c r="CKZ2469" s="60"/>
      <c r="CLA2469" s="63"/>
      <c r="CLB2469" s="61"/>
      <c r="CLC2469" s="54"/>
      <c r="CLD2469" s="54"/>
      <c r="CLE2469" s="60"/>
      <c r="CLF2469" s="60"/>
      <c r="CLG2469" s="60"/>
      <c r="CLH2469" s="60"/>
      <c r="CLI2469" s="63"/>
      <c r="CLJ2469" s="61"/>
      <c r="CLK2469" s="54"/>
      <c r="CLL2469" s="54"/>
      <c r="CLM2469" s="60"/>
      <c r="CLN2469" s="60"/>
      <c r="CLO2469" s="60"/>
      <c r="CLP2469" s="60"/>
      <c r="CLQ2469" s="63"/>
      <c r="CLR2469" s="61"/>
      <c r="CLS2469" s="54"/>
      <c r="CLT2469" s="54"/>
      <c r="CLU2469" s="60"/>
      <c r="CLV2469" s="60"/>
      <c r="CLW2469" s="60"/>
      <c r="CLX2469" s="60"/>
      <c r="CLY2469" s="63"/>
      <c r="CLZ2469" s="61"/>
      <c r="CMA2469" s="54"/>
      <c r="CMB2469" s="54"/>
      <c r="CMC2469" s="60"/>
      <c r="CMD2469" s="60"/>
      <c r="CME2469" s="60"/>
      <c r="CMF2469" s="60"/>
      <c r="CMG2469" s="63"/>
      <c r="CMH2469" s="61"/>
      <c r="CMI2469" s="54"/>
      <c r="CMJ2469" s="54"/>
      <c r="CMK2469" s="60"/>
      <c r="CML2469" s="60"/>
      <c r="CMM2469" s="60"/>
      <c r="CMN2469" s="60"/>
      <c r="CMO2469" s="63"/>
      <c r="CMP2469" s="61"/>
      <c r="CMQ2469" s="54"/>
      <c r="CMR2469" s="54"/>
      <c r="CMS2469" s="60"/>
      <c r="CMT2469" s="60"/>
      <c r="CMU2469" s="60"/>
      <c r="CMV2469" s="60"/>
      <c r="CMW2469" s="63"/>
      <c r="CMX2469" s="61"/>
      <c r="CMY2469" s="54"/>
      <c r="CMZ2469" s="54"/>
      <c r="CNA2469" s="60"/>
      <c r="CNB2469" s="60"/>
      <c r="CNC2469" s="60"/>
      <c r="CND2469" s="60"/>
      <c r="CNE2469" s="63"/>
      <c r="CNF2469" s="61"/>
      <c r="CNG2469" s="54"/>
      <c r="CNH2469" s="54"/>
      <c r="CNI2469" s="60"/>
      <c r="CNJ2469" s="60"/>
      <c r="CNK2469" s="60"/>
      <c r="CNL2469" s="60"/>
      <c r="CNM2469" s="63"/>
      <c r="CNN2469" s="61"/>
      <c r="CNO2469" s="54"/>
      <c r="CNP2469" s="54"/>
      <c r="CNQ2469" s="60"/>
      <c r="CNR2469" s="60"/>
      <c r="CNS2469" s="60"/>
      <c r="CNT2469" s="60"/>
      <c r="CNU2469" s="63"/>
      <c r="CNV2469" s="61"/>
      <c r="CNW2469" s="54"/>
      <c r="CNX2469" s="54"/>
      <c r="CNY2469" s="60"/>
      <c r="CNZ2469" s="60"/>
      <c r="COA2469" s="60"/>
      <c r="COB2469" s="60"/>
      <c r="COC2469" s="63"/>
      <c r="COD2469" s="61"/>
      <c r="COE2469" s="54"/>
      <c r="COF2469" s="54"/>
      <c r="COG2469" s="60"/>
      <c r="COH2469" s="60"/>
      <c r="COI2469" s="60"/>
      <c r="COJ2469" s="60"/>
      <c r="COK2469" s="63"/>
      <c r="COL2469" s="61"/>
      <c r="COM2469" s="54"/>
      <c r="CON2469" s="54"/>
      <c r="COO2469" s="60"/>
      <c r="COP2469" s="60"/>
      <c r="COQ2469" s="60"/>
      <c r="COR2469" s="60"/>
      <c r="COS2469" s="63"/>
      <c r="COT2469" s="61"/>
      <c r="COU2469" s="54"/>
      <c r="COV2469" s="54"/>
      <c r="COW2469" s="60"/>
      <c r="COX2469" s="60"/>
      <c r="COY2469" s="60"/>
      <c r="COZ2469" s="60"/>
      <c r="CPA2469" s="63"/>
      <c r="CPB2469" s="61"/>
      <c r="CPC2469" s="54"/>
      <c r="CPD2469" s="54"/>
      <c r="CPE2469" s="60"/>
      <c r="CPF2469" s="60"/>
      <c r="CPG2469" s="60"/>
      <c r="CPH2469" s="60"/>
      <c r="CPI2469" s="63"/>
      <c r="CPJ2469" s="61"/>
      <c r="CPK2469" s="54"/>
      <c r="CPL2469" s="54"/>
      <c r="CPM2469" s="60"/>
      <c r="CPN2469" s="60"/>
      <c r="CPO2469" s="60"/>
      <c r="CPP2469" s="60"/>
      <c r="CPQ2469" s="63"/>
      <c r="CPR2469" s="61"/>
      <c r="CPS2469" s="54"/>
      <c r="CPT2469" s="54"/>
      <c r="CPU2469" s="60"/>
      <c r="CPV2469" s="60"/>
      <c r="CPW2469" s="60"/>
      <c r="CPX2469" s="60"/>
      <c r="CPY2469" s="63"/>
      <c r="CPZ2469" s="61"/>
      <c r="CQA2469" s="54"/>
      <c r="CQB2469" s="54"/>
      <c r="CQC2469" s="60"/>
      <c r="CQD2469" s="60"/>
      <c r="CQE2469" s="60"/>
      <c r="CQF2469" s="60"/>
      <c r="CQG2469" s="63"/>
      <c r="CQH2469" s="61"/>
      <c r="CQI2469" s="54"/>
      <c r="CQJ2469" s="54"/>
      <c r="CQK2469" s="60"/>
      <c r="CQL2469" s="60"/>
      <c r="CQM2469" s="60"/>
      <c r="CQN2469" s="60"/>
      <c r="CQO2469" s="63"/>
      <c r="CQP2469" s="61"/>
      <c r="CQQ2469" s="54"/>
      <c r="CQR2469" s="54"/>
      <c r="CQS2469" s="60"/>
      <c r="CQT2469" s="60"/>
      <c r="CQU2469" s="60"/>
      <c r="CQV2469" s="60"/>
      <c r="CQW2469" s="63"/>
      <c r="CQX2469" s="61"/>
      <c r="CQY2469" s="54"/>
      <c r="CQZ2469" s="54"/>
      <c r="CRA2469" s="60"/>
      <c r="CRB2469" s="60"/>
      <c r="CRC2469" s="60"/>
      <c r="CRD2469" s="60"/>
      <c r="CRE2469" s="63"/>
      <c r="CRF2469" s="61"/>
      <c r="CRG2469" s="54"/>
      <c r="CRH2469" s="54"/>
      <c r="CRI2469" s="60"/>
      <c r="CRJ2469" s="60"/>
      <c r="CRK2469" s="60"/>
      <c r="CRL2469" s="60"/>
      <c r="CRM2469" s="63"/>
      <c r="CRN2469" s="61"/>
      <c r="CRO2469" s="54"/>
      <c r="CRP2469" s="54"/>
      <c r="CRQ2469" s="60"/>
      <c r="CRR2469" s="60"/>
      <c r="CRS2469" s="60"/>
      <c r="CRT2469" s="60"/>
      <c r="CRU2469" s="63"/>
      <c r="CRV2469" s="61"/>
      <c r="CRW2469" s="54"/>
      <c r="CRX2469" s="54"/>
      <c r="CRY2469" s="60"/>
      <c r="CRZ2469" s="60"/>
      <c r="CSA2469" s="60"/>
      <c r="CSB2469" s="60"/>
      <c r="CSC2469" s="63"/>
      <c r="CSD2469" s="61"/>
      <c r="CSE2469" s="54"/>
      <c r="CSF2469" s="54"/>
      <c r="CSG2469" s="60"/>
      <c r="CSH2469" s="60"/>
      <c r="CSI2469" s="60"/>
      <c r="CSJ2469" s="60"/>
      <c r="CSK2469" s="63"/>
      <c r="CSL2469" s="61"/>
      <c r="CSM2469" s="54"/>
      <c r="CSN2469" s="54"/>
      <c r="CSO2469" s="60"/>
      <c r="CSP2469" s="60"/>
      <c r="CSQ2469" s="60"/>
      <c r="CSR2469" s="60"/>
      <c r="CSS2469" s="63"/>
      <c r="CST2469" s="61"/>
      <c r="CSU2469" s="54"/>
      <c r="CSV2469" s="54"/>
      <c r="CSW2469" s="60"/>
      <c r="CSX2469" s="60"/>
      <c r="CSY2469" s="60"/>
      <c r="CSZ2469" s="60"/>
      <c r="CTA2469" s="63"/>
      <c r="CTB2469" s="61"/>
      <c r="CTC2469" s="54"/>
      <c r="CTD2469" s="54"/>
      <c r="CTE2469" s="60"/>
      <c r="CTF2469" s="60"/>
      <c r="CTG2469" s="60"/>
      <c r="CTH2469" s="60"/>
      <c r="CTI2469" s="63"/>
      <c r="CTJ2469" s="61"/>
      <c r="CTK2469" s="54"/>
      <c r="CTL2469" s="54"/>
      <c r="CTM2469" s="60"/>
      <c r="CTN2469" s="60"/>
      <c r="CTO2469" s="60"/>
      <c r="CTP2469" s="60"/>
      <c r="CTQ2469" s="63"/>
      <c r="CTR2469" s="61"/>
      <c r="CTS2469" s="54"/>
      <c r="CTT2469" s="54"/>
      <c r="CTU2469" s="60"/>
      <c r="CTV2469" s="60"/>
      <c r="CTW2469" s="60"/>
      <c r="CTX2469" s="60"/>
      <c r="CTY2469" s="63"/>
      <c r="CTZ2469" s="61"/>
      <c r="CUA2469" s="54"/>
      <c r="CUB2469" s="54"/>
      <c r="CUC2469" s="60"/>
      <c r="CUD2469" s="60"/>
      <c r="CUE2469" s="60"/>
      <c r="CUF2469" s="60"/>
      <c r="CUG2469" s="63"/>
      <c r="CUH2469" s="61"/>
      <c r="CUI2469" s="54"/>
      <c r="CUJ2469" s="54"/>
      <c r="CUK2469" s="60"/>
      <c r="CUL2469" s="60"/>
      <c r="CUM2469" s="60"/>
      <c r="CUN2469" s="60"/>
      <c r="CUO2469" s="63"/>
      <c r="CUP2469" s="61"/>
      <c r="CUQ2469" s="54"/>
      <c r="CUR2469" s="54"/>
      <c r="CUS2469" s="60"/>
      <c r="CUT2469" s="60"/>
      <c r="CUU2469" s="60"/>
      <c r="CUV2469" s="60"/>
      <c r="CUW2469" s="63"/>
      <c r="CUX2469" s="61"/>
      <c r="CUY2469" s="54"/>
      <c r="CUZ2469" s="54"/>
      <c r="CVA2469" s="60"/>
      <c r="CVB2469" s="60"/>
      <c r="CVC2469" s="60"/>
      <c r="CVD2469" s="60"/>
      <c r="CVE2469" s="63"/>
      <c r="CVF2469" s="61"/>
      <c r="CVG2469" s="54"/>
      <c r="CVH2469" s="54"/>
      <c r="CVI2469" s="60"/>
      <c r="CVJ2469" s="60"/>
      <c r="CVK2469" s="60"/>
      <c r="CVL2469" s="60"/>
      <c r="CVM2469" s="63"/>
      <c r="CVN2469" s="61"/>
      <c r="CVO2469" s="54"/>
      <c r="CVP2469" s="54"/>
      <c r="CVQ2469" s="60"/>
      <c r="CVR2469" s="60"/>
      <c r="CVS2469" s="60"/>
      <c r="CVT2469" s="60"/>
      <c r="CVU2469" s="63"/>
      <c r="CVV2469" s="61"/>
      <c r="CVW2469" s="54"/>
      <c r="CVX2469" s="54"/>
      <c r="CVY2469" s="60"/>
      <c r="CVZ2469" s="60"/>
      <c r="CWA2469" s="60"/>
      <c r="CWB2469" s="60"/>
      <c r="CWC2469" s="63"/>
      <c r="CWD2469" s="61"/>
      <c r="CWE2469" s="54"/>
      <c r="CWF2469" s="54"/>
      <c r="CWG2469" s="60"/>
      <c r="CWH2469" s="60"/>
      <c r="CWI2469" s="60"/>
      <c r="CWJ2469" s="60"/>
      <c r="CWK2469" s="63"/>
      <c r="CWL2469" s="61"/>
      <c r="CWM2469" s="54"/>
      <c r="CWN2469" s="54"/>
      <c r="CWO2469" s="60"/>
      <c r="CWP2469" s="60"/>
      <c r="CWQ2469" s="60"/>
      <c r="CWR2469" s="60"/>
      <c r="CWS2469" s="63"/>
      <c r="CWT2469" s="61"/>
      <c r="CWU2469" s="54"/>
      <c r="CWV2469" s="54"/>
      <c r="CWW2469" s="60"/>
      <c r="CWX2469" s="60"/>
      <c r="CWY2469" s="60"/>
      <c r="CWZ2469" s="60"/>
      <c r="CXA2469" s="63"/>
      <c r="CXB2469" s="61"/>
      <c r="CXC2469" s="54"/>
      <c r="CXD2469" s="54"/>
      <c r="CXE2469" s="60"/>
      <c r="CXF2469" s="60"/>
      <c r="CXG2469" s="60"/>
      <c r="CXH2469" s="60"/>
      <c r="CXI2469" s="63"/>
      <c r="CXJ2469" s="61"/>
      <c r="CXK2469" s="54"/>
      <c r="CXL2469" s="54"/>
      <c r="CXM2469" s="60"/>
      <c r="CXN2469" s="60"/>
      <c r="CXO2469" s="60"/>
      <c r="CXP2469" s="60"/>
      <c r="CXQ2469" s="63"/>
      <c r="CXR2469" s="61"/>
      <c r="CXS2469" s="54"/>
      <c r="CXT2469" s="54"/>
      <c r="CXU2469" s="60"/>
      <c r="CXV2469" s="60"/>
      <c r="CXW2469" s="60"/>
      <c r="CXX2469" s="60"/>
      <c r="CXY2469" s="63"/>
      <c r="CXZ2469" s="61"/>
      <c r="CYA2469" s="54"/>
      <c r="CYB2469" s="54"/>
      <c r="CYC2469" s="60"/>
      <c r="CYD2469" s="60"/>
      <c r="CYE2469" s="60"/>
      <c r="CYF2469" s="60"/>
      <c r="CYG2469" s="63"/>
      <c r="CYH2469" s="61"/>
      <c r="CYI2469" s="54"/>
      <c r="CYJ2469" s="54"/>
      <c r="CYK2469" s="60"/>
      <c r="CYL2469" s="60"/>
      <c r="CYM2469" s="60"/>
      <c r="CYN2469" s="60"/>
      <c r="CYO2469" s="63"/>
      <c r="CYP2469" s="61"/>
      <c r="CYQ2469" s="54"/>
      <c r="CYR2469" s="54"/>
      <c r="CYS2469" s="60"/>
      <c r="CYT2469" s="60"/>
      <c r="CYU2469" s="60"/>
      <c r="CYV2469" s="60"/>
      <c r="CYW2469" s="63"/>
      <c r="CYX2469" s="61"/>
      <c r="CYY2469" s="54"/>
      <c r="CYZ2469" s="54"/>
      <c r="CZA2469" s="60"/>
      <c r="CZB2469" s="60"/>
      <c r="CZC2469" s="60"/>
      <c r="CZD2469" s="60"/>
      <c r="CZE2469" s="63"/>
      <c r="CZF2469" s="61"/>
      <c r="CZG2469" s="54"/>
      <c r="CZH2469" s="54"/>
      <c r="CZI2469" s="60"/>
      <c r="CZJ2469" s="60"/>
      <c r="CZK2469" s="60"/>
      <c r="CZL2469" s="60"/>
      <c r="CZM2469" s="63"/>
      <c r="CZN2469" s="61"/>
      <c r="CZO2469" s="54"/>
      <c r="CZP2469" s="54"/>
      <c r="CZQ2469" s="60"/>
      <c r="CZR2469" s="60"/>
      <c r="CZS2469" s="60"/>
      <c r="CZT2469" s="60"/>
      <c r="CZU2469" s="63"/>
      <c r="CZV2469" s="61"/>
      <c r="CZW2469" s="54"/>
      <c r="CZX2469" s="54"/>
      <c r="CZY2469" s="60"/>
      <c r="CZZ2469" s="60"/>
      <c r="DAA2469" s="60"/>
      <c r="DAB2469" s="60"/>
      <c r="DAC2469" s="63"/>
      <c r="DAD2469" s="61"/>
      <c r="DAE2469" s="54"/>
      <c r="DAF2469" s="54"/>
      <c r="DAG2469" s="60"/>
      <c r="DAH2469" s="60"/>
      <c r="DAI2469" s="60"/>
      <c r="DAJ2469" s="60"/>
      <c r="DAK2469" s="63"/>
      <c r="DAL2469" s="61"/>
      <c r="DAM2469" s="54"/>
      <c r="DAN2469" s="54"/>
      <c r="DAO2469" s="60"/>
      <c r="DAP2469" s="60"/>
      <c r="DAQ2469" s="60"/>
      <c r="DAR2469" s="60"/>
      <c r="DAS2469" s="63"/>
      <c r="DAT2469" s="61"/>
      <c r="DAU2469" s="54"/>
      <c r="DAV2469" s="54"/>
      <c r="DAW2469" s="60"/>
      <c r="DAX2469" s="60"/>
      <c r="DAY2469" s="60"/>
      <c r="DAZ2469" s="60"/>
      <c r="DBA2469" s="63"/>
      <c r="DBB2469" s="61"/>
      <c r="DBC2469" s="54"/>
      <c r="DBD2469" s="54"/>
      <c r="DBE2469" s="60"/>
      <c r="DBF2469" s="60"/>
      <c r="DBG2469" s="60"/>
      <c r="DBH2469" s="60"/>
      <c r="DBI2469" s="63"/>
      <c r="DBJ2469" s="61"/>
      <c r="DBK2469" s="54"/>
      <c r="DBL2469" s="54"/>
      <c r="DBM2469" s="60"/>
      <c r="DBN2469" s="60"/>
      <c r="DBO2469" s="60"/>
      <c r="DBP2469" s="60"/>
      <c r="DBQ2469" s="63"/>
      <c r="DBR2469" s="61"/>
      <c r="DBS2469" s="54"/>
      <c r="DBT2469" s="54"/>
      <c r="DBU2469" s="60"/>
      <c r="DBV2469" s="60"/>
      <c r="DBW2469" s="60"/>
      <c r="DBX2469" s="60"/>
      <c r="DBY2469" s="63"/>
      <c r="DBZ2469" s="61"/>
      <c r="DCA2469" s="54"/>
      <c r="DCB2469" s="54"/>
      <c r="DCC2469" s="60"/>
      <c r="DCD2469" s="60"/>
      <c r="DCE2469" s="60"/>
      <c r="DCF2469" s="60"/>
      <c r="DCG2469" s="63"/>
      <c r="DCH2469" s="61"/>
      <c r="DCI2469" s="54"/>
      <c r="DCJ2469" s="54"/>
      <c r="DCK2469" s="60"/>
      <c r="DCL2469" s="60"/>
      <c r="DCM2469" s="60"/>
      <c r="DCN2469" s="60"/>
      <c r="DCO2469" s="63"/>
      <c r="DCP2469" s="61"/>
      <c r="DCQ2469" s="54"/>
      <c r="DCR2469" s="54"/>
      <c r="DCS2469" s="60"/>
      <c r="DCT2469" s="60"/>
      <c r="DCU2469" s="60"/>
      <c r="DCV2469" s="60"/>
      <c r="DCW2469" s="63"/>
      <c r="DCX2469" s="61"/>
      <c r="DCY2469" s="54"/>
      <c r="DCZ2469" s="54"/>
      <c r="DDA2469" s="60"/>
      <c r="DDB2469" s="60"/>
      <c r="DDC2469" s="60"/>
      <c r="DDD2469" s="60"/>
      <c r="DDE2469" s="63"/>
      <c r="DDF2469" s="61"/>
      <c r="DDG2469" s="54"/>
      <c r="DDH2469" s="54"/>
      <c r="DDI2469" s="60"/>
      <c r="DDJ2469" s="60"/>
      <c r="DDK2469" s="60"/>
      <c r="DDL2469" s="60"/>
      <c r="DDM2469" s="63"/>
      <c r="DDN2469" s="61"/>
      <c r="DDO2469" s="54"/>
      <c r="DDP2469" s="54"/>
      <c r="DDQ2469" s="60"/>
      <c r="DDR2469" s="60"/>
      <c r="DDS2469" s="60"/>
      <c r="DDT2469" s="60"/>
      <c r="DDU2469" s="63"/>
      <c r="DDV2469" s="61"/>
      <c r="DDW2469" s="54"/>
      <c r="DDX2469" s="54"/>
      <c r="DDY2469" s="60"/>
      <c r="DDZ2469" s="60"/>
      <c r="DEA2469" s="60"/>
      <c r="DEB2469" s="60"/>
      <c r="DEC2469" s="63"/>
      <c r="DED2469" s="61"/>
      <c r="DEE2469" s="54"/>
      <c r="DEF2469" s="54"/>
      <c r="DEG2469" s="60"/>
      <c r="DEH2469" s="60"/>
      <c r="DEI2469" s="60"/>
      <c r="DEJ2469" s="60"/>
      <c r="DEK2469" s="63"/>
      <c r="DEL2469" s="61"/>
      <c r="DEM2469" s="54"/>
      <c r="DEN2469" s="54"/>
      <c r="DEO2469" s="60"/>
      <c r="DEP2469" s="60"/>
      <c r="DEQ2469" s="60"/>
      <c r="DER2469" s="60"/>
      <c r="DES2469" s="63"/>
      <c r="DET2469" s="61"/>
      <c r="DEU2469" s="54"/>
      <c r="DEV2469" s="54"/>
      <c r="DEW2469" s="60"/>
      <c r="DEX2469" s="60"/>
      <c r="DEY2469" s="60"/>
      <c r="DEZ2469" s="60"/>
      <c r="DFA2469" s="63"/>
      <c r="DFB2469" s="61"/>
      <c r="DFC2469" s="54"/>
      <c r="DFD2469" s="54"/>
      <c r="DFE2469" s="60"/>
      <c r="DFF2469" s="60"/>
      <c r="DFG2469" s="60"/>
      <c r="DFH2469" s="60"/>
      <c r="DFI2469" s="63"/>
      <c r="DFJ2469" s="61"/>
      <c r="DFK2469" s="54"/>
      <c r="DFL2469" s="54"/>
      <c r="DFM2469" s="60"/>
      <c r="DFN2469" s="60"/>
      <c r="DFO2469" s="60"/>
      <c r="DFP2469" s="60"/>
      <c r="DFQ2469" s="63"/>
      <c r="DFR2469" s="61"/>
      <c r="DFS2469" s="54"/>
      <c r="DFT2469" s="54"/>
      <c r="DFU2469" s="60"/>
      <c r="DFV2469" s="60"/>
      <c r="DFW2469" s="60"/>
      <c r="DFX2469" s="60"/>
      <c r="DFY2469" s="63"/>
      <c r="DFZ2469" s="61"/>
      <c r="DGA2469" s="54"/>
      <c r="DGB2469" s="54"/>
      <c r="DGC2469" s="60"/>
      <c r="DGD2469" s="60"/>
      <c r="DGE2469" s="60"/>
      <c r="DGF2469" s="60"/>
      <c r="DGG2469" s="63"/>
      <c r="DGH2469" s="61"/>
      <c r="DGI2469" s="54"/>
      <c r="DGJ2469" s="54"/>
      <c r="DGK2469" s="60"/>
      <c r="DGL2469" s="60"/>
      <c r="DGM2469" s="60"/>
      <c r="DGN2469" s="60"/>
      <c r="DGO2469" s="63"/>
      <c r="DGP2469" s="61"/>
      <c r="DGQ2469" s="54"/>
      <c r="DGR2469" s="54"/>
      <c r="DGS2469" s="60"/>
      <c r="DGT2469" s="60"/>
      <c r="DGU2469" s="60"/>
      <c r="DGV2469" s="60"/>
      <c r="DGW2469" s="63"/>
      <c r="DGX2469" s="61"/>
      <c r="DGY2469" s="54"/>
      <c r="DGZ2469" s="54"/>
      <c r="DHA2469" s="60"/>
      <c r="DHB2469" s="60"/>
      <c r="DHC2469" s="60"/>
      <c r="DHD2469" s="60"/>
      <c r="DHE2469" s="63"/>
      <c r="DHF2469" s="61"/>
      <c r="DHG2469" s="54"/>
      <c r="DHH2469" s="54"/>
      <c r="DHI2469" s="60"/>
      <c r="DHJ2469" s="60"/>
      <c r="DHK2469" s="60"/>
      <c r="DHL2469" s="60"/>
      <c r="DHM2469" s="63"/>
      <c r="DHN2469" s="61"/>
      <c r="DHO2469" s="54"/>
      <c r="DHP2469" s="54"/>
      <c r="DHQ2469" s="60"/>
      <c r="DHR2469" s="60"/>
      <c r="DHS2469" s="60"/>
      <c r="DHT2469" s="60"/>
      <c r="DHU2469" s="63"/>
      <c r="DHV2469" s="61"/>
      <c r="DHW2469" s="54"/>
      <c r="DHX2469" s="54"/>
      <c r="DHY2469" s="60"/>
      <c r="DHZ2469" s="60"/>
      <c r="DIA2469" s="60"/>
      <c r="DIB2469" s="60"/>
      <c r="DIC2469" s="63"/>
      <c r="DID2469" s="61"/>
      <c r="DIE2469" s="54"/>
      <c r="DIF2469" s="54"/>
      <c r="DIG2469" s="60"/>
      <c r="DIH2469" s="60"/>
      <c r="DII2469" s="60"/>
      <c r="DIJ2469" s="60"/>
      <c r="DIK2469" s="63"/>
      <c r="DIL2469" s="61"/>
      <c r="DIM2469" s="54"/>
      <c r="DIN2469" s="54"/>
      <c r="DIO2469" s="60"/>
      <c r="DIP2469" s="60"/>
      <c r="DIQ2469" s="60"/>
      <c r="DIR2469" s="60"/>
      <c r="DIS2469" s="63"/>
      <c r="DIT2469" s="61"/>
      <c r="DIU2469" s="54"/>
      <c r="DIV2469" s="54"/>
      <c r="DIW2469" s="60"/>
      <c r="DIX2469" s="60"/>
      <c r="DIY2469" s="60"/>
      <c r="DIZ2469" s="60"/>
      <c r="DJA2469" s="63"/>
      <c r="DJB2469" s="61"/>
      <c r="DJC2469" s="54"/>
      <c r="DJD2469" s="54"/>
      <c r="DJE2469" s="60"/>
      <c r="DJF2469" s="60"/>
      <c r="DJG2469" s="60"/>
      <c r="DJH2469" s="60"/>
      <c r="DJI2469" s="63"/>
      <c r="DJJ2469" s="61"/>
      <c r="DJK2469" s="54"/>
      <c r="DJL2469" s="54"/>
      <c r="DJM2469" s="60"/>
      <c r="DJN2469" s="60"/>
      <c r="DJO2469" s="60"/>
      <c r="DJP2469" s="60"/>
      <c r="DJQ2469" s="63"/>
      <c r="DJR2469" s="61"/>
      <c r="DJS2469" s="54"/>
      <c r="DJT2469" s="54"/>
      <c r="DJU2469" s="60"/>
      <c r="DJV2469" s="60"/>
      <c r="DJW2469" s="60"/>
      <c r="DJX2469" s="60"/>
      <c r="DJY2469" s="63"/>
      <c r="DJZ2469" s="61"/>
      <c r="DKA2469" s="54"/>
      <c r="DKB2469" s="54"/>
      <c r="DKC2469" s="60"/>
      <c r="DKD2469" s="60"/>
      <c r="DKE2469" s="60"/>
      <c r="DKF2469" s="60"/>
      <c r="DKG2469" s="63"/>
      <c r="DKH2469" s="61"/>
      <c r="DKI2469" s="54"/>
      <c r="DKJ2469" s="54"/>
      <c r="DKK2469" s="60"/>
      <c r="DKL2469" s="60"/>
      <c r="DKM2469" s="60"/>
      <c r="DKN2469" s="60"/>
      <c r="DKO2469" s="63"/>
      <c r="DKP2469" s="61"/>
      <c r="DKQ2469" s="54"/>
      <c r="DKR2469" s="54"/>
      <c r="DKS2469" s="60"/>
      <c r="DKT2469" s="60"/>
      <c r="DKU2469" s="60"/>
      <c r="DKV2469" s="60"/>
      <c r="DKW2469" s="63"/>
      <c r="DKX2469" s="61"/>
      <c r="DKY2469" s="54"/>
      <c r="DKZ2469" s="54"/>
      <c r="DLA2469" s="60"/>
      <c r="DLB2469" s="60"/>
      <c r="DLC2469" s="60"/>
      <c r="DLD2469" s="60"/>
      <c r="DLE2469" s="63"/>
      <c r="DLF2469" s="61"/>
      <c r="DLG2469" s="54"/>
      <c r="DLH2469" s="54"/>
      <c r="DLI2469" s="60"/>
      <c r="DLJ2469" s="60"/>
      <c r="DLK2469" s="60"/>
      <c r="DLL2469" s="60"/>
      <c r="DLM2469" s="63"/>
      <c r="DLN2469" s="61"/>
      <c r="DLO2469" s="54"/>
      <c r="DLP2469" s="54"/>
      <c r="DLQ2469" s="60"/>
      <c r="DLR2469" s="60"/>
      <c r="DLS2469" s="60"/>
      <c r="DLT2469" s="60"/>
      <c r="DLU2469" s="63"/>
      <c r="DLV2469" s="61"/>
      <c r="DLW2469" s="54"/>
      <c r="DLX2469" s="54"/>
      <c r="DLY2469" s="60"/>
      <c r="DLZ2469" s="60"/>
      <c r="DMA2469" s="60"/>
      <c r="DMB2469" s="60"/>
      <c r="DMC2469" s="63"/>
      <c r="DMD2469" s="61"/>
      <c r="DME2469" s="54"/>
      <c r="DMF2469" s="54"/>
      <c r="DMG2469" s="60"/>
      <c r="DMH2469" s="60"/>
      <c r="DMI2469" s="60"/>
      <c r="DMJ2469" s="60"/>
      <c r="DMK2469" s="63"/>
      <c r="DML2469" s="61"/>
      <c r="DMM2469" s="54"/>
      <c r="DMN2469" s="54"/>
      <c r="DMO2469" s="60"/>
      <c r="DMP2469" s="60"/>
      <c r="DMQ2469" s="60"/>
      <c r="DMR2469" s="60"/>
      <c r="DMS2469" s="63"/>
      <c r="DMT2469" s="61"/>
      <c r="DMU2469" s="54"/>
      <c r="DMV2469" s="54"/>
      <c r="DMW2469" s="60"/>
      <c r="DMX2469" s="60"/>
      <c r="DMY2469" s="60"/>
      <c r="DMZ2469" s="60"/>
      <c r="DNA2469" s="63"/>
      <c r="DNB2469" s="61"/>
      <c r="DNC2469" s="54"/>
      <c r="DND2469" s="54"/>
      <c r="DNE2469" s="60"/>
      <c r="DNF2469" s="60"/>
      <c r="DNG2469" s="60"/>
      <c r="DNH2469" s="60"/>
      <c r="DNI2469" s="63"/>
      <c r="DNJ2469" s="61"/>
      <c r="DNK2469" s="54"/>
      <c r="DNL2469" s="54"/>
      <c r="DNM2469" s="60"/>
      <c r="DNN2469" s="60"/>
      <c r="DNO2469" s="60"/>
      <c r="DNP2469" s="60"/>
      <c r="DNQ2469" s="63"/>
      <c r="DNR2469" s="61"/>
      <c r="DNS2469" s="54"/>
      <c r="DNT2469" s="54"/>
      <c r="DNU2469" s="60"/>
      <c r="DNV2469" s="60"/>
      <c r="DNW2469" s="60"/>
      <c r="DNX2469" s="60"/>
      <c r="DNY2469" s="63"/>
      <c r="DNZ2469" s="61"/>
      <c r="DOA2469" s="54"/>
      <c r="DOB2469" s="54"/>
      <c r="DOC2469" s="60"/>
      <c r="DOD2469" s="60"/>
      <c r="DOE2469" s="60"/>
      <c r="DOF2469" s="60"/>
      <c r="DOG2469" s="63"/>
      <c r="DOH2469" s="61"/>
      <c r="DOI2469" s="54"/>
      <c r="DOJ2469" s="54"/>
      <c r="DOK2469" s="60"/>
      <c r="DOL2469" s="60"/>
      <c r="DOM2469" s="60"/>
      <c r="DON2469" s="60"/>
      <c r="DOO2469" s="63"/>
      <c r="DOP2469" s="61"/>
      <c r="DOQ2469" s="54"/>
      <c r="DOR2469" s="54"/>
      <c r="DOS2469" s="60"/>
      <c r="DOT2469" s="60"/>
      <c r="DOU2469" s="60"/>
      <c r="DOV2469" s="60"/>
      <c r="DOW2469" s="63"/>
      <c r="DOX2469" s="61"/>
      <c r="DOY2469" s="54"/>
      <c r="DOZ2469" s="54"/>
      <c r="DPA2469" s="60"/>
      <c r="DPB2469" s="60"/>
      <c r="DPC2469" s="60"/>
      <c r="DPD2469" s="60"/>
      <c r="DPE2469" s="63"/>
      <c r="DPF2469" s="61"/>
      <c r="DPG2469" s="54"/>
      <c r="DPH2469" s="54"/>
      <c r="DPI2469" s="60"/>
      <c r="DPJ2469" s="60"/>
      <c r="DPK2469" s="60"/>
      <c r="DPL2469" s="60"/>
      <c r="DPM2469" s="63"/>
      <c r="DPN2469" s="61"/>
      <c r="DPO2469" s="54"/>
      <c r="DPP2469" s="54"/>
      <c r="DPQ2469" s="60"/>
      <c r="DPR2469" s="60"/>
      <c r="DPS2469" s="60"/>
      <c r="DPT2469" s="60"/>
      <c r="DPU2469" s="63"/>
      <c r="DPV2469" s="61"/>
      <c r="DPW2469" s="54"/>
      <c r="DPX2469" s="54"/>
      <c r="DPY2469" s="60"/>
      <c r="DPZ2469" s="60"/>
      <c r="DQA2469" s="60"/>
      <c r="DQB2469" s="60"/>
      <c r="DQC2469" s="63"/>
      <c r="DQD2469" s="61"/>
      <c r="DQE2469" s="54"/>
      <c r="DQF2469" s="54"/>
      <c r="DQG2469" s="60"/>
      <c r="DQH2469" s="60"/>
      <c r="DQI2469" s="60"/>
      <c r="DQJ2469" s="60"/>
      <c r="DQK2469" s="63"/>
      <c r="DQL2469" s="61"/>
      <c r="DQM2469" s="54"/>
      <c r="DQN2469" s="54"/>
      <c r="DQO2469" s="60"/>
      <c r="DQP2469" s="60"/>
      <c r="DQQ2469" s="60"/>
      <c r="DQR2469" s="60"/>
      <c r="DQS2469" s="63"/>
      <c r="DQT2469" s="61"/>
      <c r="DQU2469" s="54"/>
      <c r="DQV2469" s="54"/>
      <c r="DQW2469" s="60"/>
      <c r="DQX2469" s="60"/>
      <c r="DQY2469" s="60"/>
      <c r="DQZ2469" s="60"/>
      <c r="DRA2469" s="63"/>
      <c r="DRB2469" s="61"/>
      <c r="DRC2469" s="54"/>
      <c r="DRD2469" s="54"/>
      <c r="DRE2469" s="60"/>
      <c r="DRF2469" s="60"/>
      <c r="DRG2469" s="60"/>
      <c r="DRH2469" s="60"/>
      <c r="DRI2469" s="63"/>
      <c r="DRJ2469" s="61"/>
      <c r="DRK2469" s="54"/>
      <c r="DRL2469" s="54"/>
      <c r="DRM2469" s="60"/>
      <c r="DRN2469" s="60"/>
      <c r="DRO2469" s="60"/>
      <c r="DRP2469" s="60"/>
      <c r="DRQ2469" s="63"/>
      <c r="DRR2469" s="61"/>
      <c r="DRS2469" s="54"/>
      <c r="DRT2469" s="54"/>
      <c r="DRU2469" s="60"/>
      <c r="DRV2469" s="60"/>
      <c r="DRW2469" s="60"/>
      <c r="DRX2469" s="60"/>
      <c r="DRY2469" s="63"/>
      <c r="DRZ2469" s="61"/>
      <c r="DSA2469" s="54"/>
      <c r="DSB2469" s="54"/>
      <c r="DSC2469" s="60"/>
      <c r="DSD2469" s="60"/>
      <c r="DSE2469" s="60"/>
      <c r="DSF2469" s="60"/>
      <c r="DSG2469" s="63"/>
      <c r="DSH2469" s="61"/>
      <c r="DSI2469" s="54"/>
      <c r="DSJ2469" s="54"/>
      <c r="DSK2469" s="60"/>
      <c r="DSL2469" s="60"/>
      <c r="DSM2469" s="60"/>
      <c r="DSN2469" s="60"/>
      <c r="DSO2469" s="63"/>
      <c r="DSP2469" s="61"/>
      <c r="DSQ2469" s="54"/>
      <c r="DSR2469" s="54"/>
      <c r="DSS2469" s="60"/>
      <c r="DST2469" s="60"/>
      <c r="DSU2469" s="60"/>
      <c r="DSV2469" s="60"/>
      <c r="DSW2469" s="63"/>
      <c r="DSX2469" s="61"/>
      <c r="DSY2469" s="54"/>
      <c r="DSZ2469" s="54"/>
      <c r="DTA2469" s="60"/>
      <c r="DTB2469" s="60"/>
      <c r="DTC2469" s="60"/>
      <c r="DTD2469" s="60"/>
      <c r="DTE2469" s="63"/>
      <c r="DTF2469" s="61"/>
      <c r="DTG2469" s="54"/>
      <c r="DTH2469" s="54"/>
      <c r="DTI2469" s="60"/>
      <c r="DTJ2469" s="60"/>
      <c r="DTK2469" s="60"/>
      <c r="DTL2469" s="60"/>
      <c r="DTM2469" s="63"/>
      <c r="DTN2469" s="61"/>
      <c r="DTO2469" s="54"/>
      <c r="DTP2469" s="54"/>
      <c r="DTQ2469" s="60"/>
      <c r="DTR2469" s="60"/>
      <c r="DTS2469" s="60"/>
      <c r="DTT2469" s="60"/>
      <c r="DTU2469" s="63"/>
      <c r="DTV2469" s="61"/>
      <c r="DTW2469" s="54"/>
      <c r="DTX2469" s="54"/>
      <c r="DTY2469" s="60"/>
      <c r="DTZ2469" s="60"/>
      <c r="DUA2469" s="60"/>
      <c r="DUB2469" s="60"/>
      <c r="DUC2469" s="63"/>
      <c r="DUD2469" s="61"/>
      <c r="DUE2469" s="54"/>
      <c r="DUF2469" s="54"/>
      <c r="DUG2469" s="60"/>
      <c r="DUH2469" s="60"/>
      <c r="DUI2469" s="60"/>
      <c r="DUJ2469" s="60"/>
      <c r="DUK2469" s="63"/>
      <c r="DUL2469" s="61"/>
      <c r="DUM2469" s="54"/>
      <c r="DUN2469" s="54"/>
      <c r="DUO2469" s="60"/>
      <c r="DUP2469" s="60"/>
      <c r="DUQ2469" s="60"/>
      <c r="DUR2469" s="60"/>
      <c r="DUS2469" s="63"/>
      <c r="DUT2469" s="61"/>
      <c r="DUU2469" s="54"/>
      <c r="DUV2469" s="54"/>
      <c r="DUW2469" s="60"/>
      <c r="DUX2469" s="60"/>
      <c r="DUY2469" s="60"/>
      <c r="DUZ2469" s="60"/>
      <c r="DVA2469" s="63"/>
      <c r="DVB2469" s="61"/>
      <c r="DVC2469" s="54"/>
      <c r="DVD2469" s="54"/>
      <c r="DVE2469" s="60"/>
      <c r="DVF2469" s="60"/>
      <c r="DVG2469" s="60"/>
      <c r="DVH2469" s="60"/>
      <c r="DVI2469" s="63"/>
      <c r="DVJ2469" s="61"/>
      <c r="DVK2469" s="54"/>
      <c r="DVL2469" s="54"/>
      <c r="DVM2469" s="60"/>
      <c r="DVN2469" s="60"/>
      <c r="DVO2469" s="60"/>
      <c r="DVP2469" s="60"/>
      <c r="DVQ2469" s="63"/>
      <c r="DVR2469" s="61"/>
      <c r="DVS2469" s="54"/>
      <c r="DVT2469" s="54"/>
      <c r="DVU2469" s="60"/>
      <c r="DVV2469" s="60"/>
      <c r="DVW2469" s="60"/>
      <c r="DVX2469" s="60"/>
      <c r="DVY2469" s="63"/>
      <c r="DVZ2469" s="61"/>
      <c r="DWA2469" s="54"/>
      <c r="DWB2469" s="54"/>
      <c r="DWC2469" s="60"/>
      <c r="DWD2469" s="60"/>
      <c r="DWE2469" s="60"/>
      <c r="DWF2469" s="60"/>
      <c r="DWG2469" s="63"/>
      <c r="DWH2469" s="61"/>
      <c r="DWI2469" s="54"/>
      <c r="DWJ2469" s="54"/>
      <c r="DWK2469" s="60"/>
      <c r="DWL2469" s="60"/>
      <c r="DWM2469" s="60"/>
      <c r="DWN2469" s="60"/>
      <c r="DWO2469" s="63"/>
      <c r="DWP2469" s="61"/>
      <c r="DWQ2469" s="54"/>
      <c r="DWR2469" s="54"/>
      <c r="DWS2469" s="60"/>
      <c r="DWT2469" s="60"/>
      <c r="DWU2469" s="60"/>
      <c r="DWV2469" s="60"/>
      <c r="DWW2469" s="63"/>
      <c r="DWX2469" s="61"/>
      <c r="DWY2469" s="54"/>
      <c r="DWZ2469" s="54"/>
      <c r="DXA2469" s="60"/>
      <c r="DXB2469" s="60"/>
      <c r="DXC2469" s="60"/>
      <c r="DXD2469" s="60"/>
      <c r="DXE2469" s="63"/>
      <c r="DXF2469" s="61"/>
      <c r="DXG2469" s="54"/>
      <c r="DXH2469" s="54"/>
      <c r="DXI2469" s="60"/>
      <c r="DXJ2469" s="60"/>
      <c r="DXK2469" s="60"/>
      <c r="DXL2469" s="60"/>
      <c r="DXM2469" s="63"/>
      <c r="DXN2469" s="61"/>
      <c r="DXO2469" s="54"/>
      <c r="DXP2469" s="54"/>
      <c r="DXQ2469" s="60"/>
      <c r="DXR2469" s="60"/>
      <c r="DXS2469" s="60"/>
      <c r="DXT2469" s="60"/>
      <c r="DXU2469" s="63"/>
      <c r="DXV2469" s="61"/>
      <c r="DXW2469" s="54"/>
      <c r="DXX2469" s="54"/>
      <c r="DXY2469" s="60"/>
      <c r="DXZ2469" s="60"/>
      <c r="DYA2469" s="60"/>
      <c r="DYB2469" s="60"/>
      <c r="DYC2469" s="63"/>
      <c r="DYD2469" s="61"/>
      <c r="DYE2469" s="54"/>
      <c r="DYF2469" s="54"/>
      <c r="DYG2469" s="60"/>
      <c r="DYH2469" s="60"/>
      <c r="DYI2469" s="60"/>
      <c r="DYJ2469" s="60"/>
      <c r="DYK2469" s="63"/>
      <c r="DYL2469" s="61"/>
      <c r="DYM2469" s="54"/>
      <c r="DYN2469" s="54"/>
      <c r="DYO2469" s="60"/>
      <c r="DYP2469" s="60"/>
      <c r="DYQ2469" s="60"/>
      <c r="DYR2469" s="60"/>
      <c r="DYS2469" s="63"/>
      <c r="DYT2469" s="61"/>
      <c r="DYU2469" s="54"/>
      <c r="DYV2469" s="54"/>
      <c r="DYW2469" s="60"/>
      <c r="DYX2469" s="60"/>
      <c r="DYY2469" s="60"/>
      <c r="DYZ2469" s="60"/>
      <c r="DZA2469" s="63"/>
      <c r="DZB2469" s="61"/>
      <c r="DZC2469" s="54"/>
      <c r="DZD2469" s="54"/>
      <c r="DZE2469" s="60"/>
      <c r="DZF2469" s="60"/>
      <c r="DZG2469" s="60"/>
      <c r="DZH2469" s="60"/>
      <c r="DZI2469" s="63"/>
      <c r="DZJ2469" s="61"/>
      <c r="DZK2469" s="54"/>
      <c r="DZL2469" s="54"/>
      <c r="DZM2469" s="60"/>
      <c r="DZN2469" s="60"/>
      <c r="DZO2469" s="60"/>
      <c r="DZP2469" s="60"/>
      <c r="DZQ2469" s="63"/>
      <c r="DZR2469" s="61"/>
      <c r="DZS2469" s="54"/>
      <c r="DZT2469" s="54"/>
      <c r="DZU2469" s="60"/>
      <c r="DZV2469" s="60"/>
      <c r="DZW2469" s="60"/>
      <c r="DZX2469" s="60"/>
      <c r="DZY2469" s="63"/>
      <c r="DZZ2469" s="61"/>
      <c r="EAA2469" s="54"/>
      <c r="EAB2469" s="54"/>
      <c r="EAC2469" s="60"/>
      <c r="EAD2469" s="60"/>
      <c r="EAE2469" s="60"/>
      <c r="EAF2469" s="60"/>
      <c r="EAG2469" s="63"/>
      <c r="EAH2469" s="61"/>
      <c r="EAI2469" s="54"/>
      <c r="EAJ2469" s="54"/>
      <c r="EAK2469" s="60"/>
      <c r="EAL2469" s="60"/>
      <c r="EAM2469" s="60"/>
      <c r="EAN2469" s="60"/>
      <c r="EAO2469" s="63"/>
      <c r="EAP2469" s="61"/>
      <c r="EAQ2469" s="54"/>
      <c r="EAR2469" s="54"/>
      <c r="EAS2469" s="60"/>
      <c r="EAT2469" s="60"/>
      <c r="EAU2469" s="60"/>
      <c r="EAV2469" s="60"/>
      <c r="EAW2469" s="63"/>
      <c r="EAX2469" s="61"/>
      <c r="EAY2469" s="54"/>
      <c r="EAZ2469" s="54"/>
      <c r="EBA2469" s="60"/>
      <c r="EBB2469" s="60"/>
      <c r="EBC2469" s="60"/>
      <c r="EBD2469" s="60"/>
      <c r="EBE2469" s="63"/>
      <c r="EBF2469" s="61"/>
      <c r="EBG2469" s="54"/>
      <c r="EBH2469" s="54"/>
      <c r="EBI2469" s="60"/>
      <c r="EBJ2469" s="60"/>
      <c r="EBK2469" s="60"/>
      <c r="EBL2469" s="60"/>
      <c r="EBM2469" s="63"/>
      <c r="EBN2469" s="61"/>
      <c r="EBO2469" s="54"/>
      <c r="EBP2469" s="54"/>
      <c r="EBQ2469" s="60"/>
      <c r="EBR2469" s="60"/>
      <c r="EBS2469" s="60"/>
      <c r="EBT2469" s="60"/>
      <c r="EBU2469" s="63"/>
      <c r="EBV2469" s="61"/>
      <c r="EBW2469" s="54"/>
      <c r="EBX2469" s="54"/>
      <c r="EBY2469" s="60"/>
      <c r="EBZ2469" s="60"/>
      <c r="ECA2469" s="60"/>
      <c r="ECB2469" s="60"/>
      <c r="ECC2469" s="63"/>
      <c r="ECD2469" s="61"/>
      <c r="ECE2469" s="54"/>
      <c r="ECF2469" s="54"/>
      <c r="ECG2469" s="60"/>
      <c r="ECH2469" s="60"/>
      <c r="ECI2469" s="60"/>
      <c r="ECJ2469" s="60"/>
      <c r="ECK2469" s="63"/>
      <c r="ECL2469" s="61"/>
      <c r="ECM2469" s="54"/>
      <c r="ECN2469" s="54"/>
      <c r="ECO2469" s="60"/>
      <c r="ECP2469" s="60"/>
      <c r="ECQ2469" s="60"/>
      <c r="ECR2469" s="60"/>
      <c r="ECS2469" s="63"/>
      <c r="ECT2469" s="61"/>
      <c r="ECU2469" s="54"/>
      <c r="ECV2469" s="54"/>
      <c r="ECW2469" s="60"/>
      <c r="ECX2469" s="60"/>
      <c r="ECY2469" s="60"/>
      <c r="ECZ2469" s="60"/>
      <c r="EDA2469" s="63"/>
      <c r="EDB2469" s="61"/>
      <c r="EDC2469" s="54"/>
      <c r="EDD2469" s="54"/>
      <c r="EDE2469" s="60"/>
      <c r="EDF2469" s="60"/>
      <c r="EDG2469" s="60"/>
      <c r="EDH2469" s="60"/>
      <c r="EDI2469" s="63"/>
      <c r="EDJ2469" s="61"/>
      <c r="EDK2469" s="54"/>
      <c r="EDL2469" s="54"/>
      <c r="EDM2469" s="60"/>
      <c r="EDN2469" s="60"/>
      <c r="EDO2469" s="60"/>
      <c r="EDP2469" s="60"/>
      <c r="EDQ2469" s="63"/>
      <c r="EDR2469" s="61"/>
      <c r="EDS2469" s="54"/>
      <c r="EDT2469" s="54"/>
      <c r="EDU2469" s="60"/>
      <c r="EDV2469" s="60"/>
      <c r="EDW2469" s="60"/>
      <c r="EDX2469" s="60"/>
      <c r="EDY2469" s="63"/>
      <c r="EDZ2469" s="61"/>
      <c r="EEA2469" s="54"/>
      <c r="EEB2469" s="54"/>
      <c r="EEC2469" s="60"/>
      <c r="EED2469" s="60"/>
      <c r="EEE2469" s="60"/>
      <c r="EEF2469" s="60"/>
      <c r="EEG2469" s="63"/>
      <c r="EEH2469" s="61"/>
      <c r="EEI2469" s="54"/>
      <c r="EEJ2469" s="54"/>
      <c r="EEK2469" s="60"/>
      <c r="EEL2469" s="60"/>
      <c r="EEM2469" s="60"/>
      <c r="EEN2469" s="60"/>
      <c r="EEO2469" s="63"/>
      <c r="EEP2469" s="61"/>
      <c r="EEQ2469" s="54"/>
      <c r="EER2469" s="54"/>
      <c r="EES2469" s="60"/>
      <c r="EET2469" s="60"/>
      <c r="EEU2469" s="60"/>
      <c r="EEV2469" s="60"/>
      <c r="EEW2469" s="63"/>
      <c r="EEX2469" s="61"/>
      <c r="EEY2469" s="54"/>
      <c r="EEZ2469" s="54"/>
      <c r="EFA2469" s="60"/>
      <c r="EFB2469" s="60"/>
      <c r="EFC2469" s="60"/>
      <c r="EFD2469" s="60"/>
      <c r="EFE2469" s="63"/>
      <c r="EFF2469" s="61"/>
      <c r="EFG2469" s="54"/>
      <c r="EFH2469" s="54"/>
      <c r="EFI2469" s="60"/>
      <c r="EFJ2469" s="60"/>
      <c r="EFK2469" s="60"/>
      <c r="EFL2469" s="60"/>
      <c r="EFM2469" s="63"/>
      <c r="EFN2469" s="61"/>
      <c r="EFO2469" s="54"/>
      <c r="EFP2469" s="54"/>
      <c r="EFQ2469" s="60"/>
      <c r="EFR2469" s="60"/>
      <c r="EFS2469" s="60"/>
      <c r="EFT2469" s="60"/>
      <c r="EFU2469" s="63"/>
      <c r="EFV2469" s="61"/>
      <c r="EFW2469" s="54"/>
      <c r="EFX2469" s="54"/>
      <c r="EFY2469" s="60"/>
      <c r="EFZ2469" s="60"/>
      <c r="EGA2469" s="60"/>
      <c r="EGB2469" s="60"/>
      <c r="EGC2469" s="63"/>
      <c r="EGD2469" s="61"/>
      <c r="EGE2469" s="54"/>
      <c r="EGF2469" s="54"/>
      <c r="EGG2469" s="60"/>
      <c r="EGH2469" s="60"/>
      <c r="EGI2469" s="60"/>
      <c r="EGJ2469" s="60"/>
      <c r="EGK2469" s="63"/>
      <c r="EGL2469" s="61"/>
      <c r="EGM2469" s="54"/>
      <c r="EGN2469" s="54"/>
      <c r="EGO2469" s="60"/>
      <c r="EGP2469" s="60"/>
      <c r="EGQ2469" s="60"/>
      <c r="EGR2469" s="60"/>
      <c r="EGS2469" s="63"/>
      <c r="EGT2469" s="61"/>
      <c r="EGU2469" s="54"/>
      <c r="EGV2469" s="54"/>
      <c r="EGW2469" s="60"/>
      <c r="EGX2469" s="60"/>
      <c r="EGY2469" s="60"/>
      <c r="EGZ2469" s="60"/>
      <c r="EHA2469" s="63"/>
      <c r="EHB2469" s="61"/>
      <c r="EHC2469" s="54"/>
      <c r="EHD2469" s="54"/>
      <c r="EHE2469" s="60"/>
      <c r="EHF2469" s="60"/>
      <c r="EHG2469" s="60"/>
      <c r="EHH2469" s="60"/>
      <c r="EHI2469" s="63"/>
      <c r="EHJ2469" s="61"/>
      <c r="EHK2469" s="54"/>
      <c r="EHL2469" s="54"/>
      <c r="EHM2469" s="60"/>
      <c r="EHN2469" s="60"/>
      <c r="EHO2469" s="60"/>
      <c r="EHP2469" s="60"/>
      <c r="EHQ2469" s="63"/>
      <c r="EHR2469" s="61"/>
      <c r="EHS2469" s="54"/>
      <c r="EHT2469" s="54"/>
      <c r="EHU2469" s="60"/>
      <c r="EHV2469" s="60"/>
      <c r="EHW2469" s="60"/>
      <c r="EHX2469" s="60"/>
      <c r="EHY2469" s="63"/>
      <c r="EHZ2469" s="61"/>
      <c r="EIA2469" s="54"/>
      <c r="EIB2469" s="54"/>
      <c r="EIC2469" s="60"/>
      <c r="EID2469" s="60"/>
      <c r="EIE2469" s="60"/>
      <c r="EIF2469" s="60"/>
      <c r="EIG2469" s="63"/>
      <c r="EIH2469" s="61"/>
      <c r="EII2469" s="54"/>
      <c r="EIJ2469" s="54"/>
      <c r="EIK2469" s="60"/>
      <c r="EIL2469" s="60"/>
      <c r="EIM2469" s="60"/>
      <c r="EIN2469" s="60"/>
      <c r="EIO2469" s="63"/>
      <c r="EIP2469" s="61"/>
      <c r="EIQ2469" s="54"/>
      <c r="EIR2469" s="54"/>
      <c r="EIS2469" s="60"/>
      <c r="EIT2469" s="60"/>
      <c r="EIU2469" s="60"/>
      <c r="EIV2469" s="60"/>
      <c r="EIW2469" s="63"/>
      <c r="EIX2469" s="61"/>
      <c r="EIY2469" s="54"/>
      <c r="EIZ2469" s="54"/>
      <c r="EJA2469" s="60"/>
      <c r="EJB2469" s="60"/>
      <c r="EJC2469" s="60"/>
      <c r="EJD2469" s="60"/>
      <c r="EJE2469" s="63"/>
      <c r="EJF2469" s="61"/>
      <c r="EJG2469" s="54"/>
      <c r="EJH2469" s="54"/>
      <c r="EJI2469" s="60"/>
      <c r="EJJ2469" s="60"/>
      <c r="EJK2469" s="60"/>
      <c r="EJL2469" s="60"/>
      <c r="EJM2469" s="63"/>
      <c r="EJN2469" s="61"/>
      <c r="EJO2469" s="54"/>
      <c r="EJP2469" s="54"/>
      <c r="EJQ2469" s="60"/>
      <c r="EJR2469" s="60"/>
      <c r="EJS2469" s="60"/>
      <c r="EJT2469" s="60"/>
      <c r="EJU2469" s="63"/>
      <c r="EJV2469" s="61"/>
      <c r="EJW2469" s="54"/>
      <c r="EJX2469" s="54"/>
      <c r="EJY2469" s="60"/>
      <c r="EJZ2469" s="60"/>
      <c r="EKA2469" s="60"/>
      <c r="EKB2469" s="60"/>
      <c r="EKC2469" s="63"/>
      <c r="EKD2469" s="61"/>
      <c r="EKE2469" s="54"/>
      <c r="EKF2469" s="54"/>
      <c r="EKG2469" s="60"/>
      <c r="EKH2469" s="60"/>
      <c r="EKI2469" s="60"/>
      <c r="EKJ2469" s="60"/>
      <c r="EKK2469" s="63"/>
      <c r="EKL2469" s="61"/>
      <c r="EKM2469" s="54"/>
      <c r="EKN2469" s="54"/>
      <c r="EKO2469" s="60"/>
      <c r="EKP2469" s="60"/>
      <c r="EKQ2469" s="60"/>
      <c r="EKR2469" s="60"/>
      <c r="EKS2469" s="63"/>
      <c r="EKT2469" s="61"/>
      <c r="EKU2469" s="54"/>
      <c r="EKV2469" s="54"/>
      <c r="EKW2469" s="60"/>
      <c r="EKX2469" s="60"/>
      <c r="EKY2469" s="60"/>
      <c r="EKZ2469" s="60"/>
      <c r="ELA2469" s="63"/>
      <c r="ELB2469" s="61"/>
      <c r="ELC2469" s="54"/>
      <c r="ELD2469" s="54"/>
      <c r="ELE2469" s="60"/>
      <c r="ELF2469" s="60"/>
      <c r="ELG2469" s="60"/>
      <c r="ELH2469" s="60"/>
      <c r="ELI2469" s="63"/>
      <c r="ELJ2469" s="61"/>
      <c r="ELK2469" s="54"/>
      <c r="ELL2469" s="54"/>
      <c r="ELM2469" s="60"/>
      <c r="ELN2469" s="60"/>
      <c r="ELO2469" s="60"/>
      <c r="ELP2469" s="60"/>
      <c r="ELQ2469" s="63"/>
      <c r="ELR2469" s="61"/>
      <c r="ELS2469" s="54"/>
      <c r="ELT2469" s="54"/>
      <c r="ELU2469" s="60"/>
      <c r="ELV2469" s="60"/>
      <c r="ELW2469" s="60"/>
      <c r="ELX2469" s="60"/>
      <c r="ELY2469" s="63"/>
      <c r="ELZ2469" s="61"/>
      <c r="EMA2469" s="54"/>
      <c r="EMB2469" s="54"/>
      <c r="EMC2469" s="60"/>
      <c r="EMD2469" s="60"/>
      <c r="EME2469" s="60"/>
      <c r="EMF2469" s="60"/>
      <c r="EMG2469" s="63"/>
      <c r="EMH2469" s="61"/>
      <c r="EMI2469" s="54"/>
      <c r="EMJ2469" s="54"/>
      <c r="EMK2469" s="60"/>
      <c r="EML2469" s="60"/>
      <c r="EMM2469" s="60"/>
      <c r="EMN2469" s="60"/>
      <c r="EMO2469" s="63"/>
      <c r="EMP2469" s="61"/>
      <c r="EMQ2469" s="54"/>
      <c r="EMR2469" s="54"/>
      <c r="EMS2469" s="60"/>
      <c r="EMT2469" s="60"/>
      <c r="EMU2469" s="60"/>
      <c r="EMV2469" s="60"/>
      <c r="EMW2469" s="63"/>
      <c r="EMX2469" s="61"/>
      <c r="EMY2469" s="54"/>
      <c r="EMZ2469" s="54"/>
      <c r="ENA2469" s="60"/>
      <c r="ENB2469" s="60"/>
      <c r="ENC2469" s="60"/>
      <c r="END2469" s="60"/>
      <c r="ENE2469" s="63"/>
      <c r="ENF2469" s="61"/>
      <c r="ENG2469" s="54"/>
      <c r="ENH2469" s="54"/>
      <c r="ENI2469" s="60"/>
      <c r="ENJ2469" s="60"/>
      <c r="ENK2469" s="60"/>
      <c r="ENL2469" s="60"/>
      <c r="ENM2469" s="63"/>
      <c r="ENN2469" s="61"/>
      <c r="ENO2469" s="54"/>
      <c r="ENP2469" s="54"/>
      <c r="ENQ2469" s="60"/>
      <c r="ENR2469" s="60"/>
      <c r="ENS2469" s="60"/>
      <c r="ENT2469" s="60"/>
      <c r="ENU2469" s="63"/>
      <c r="ENV2469" s="61"/>
      <c r="ENW2469" s="54"/>
      <c r="ENX2469" s="54"/>
      <c r="ENY2469" s="60"/>
      <c r="ENZ2469" s="60"/>
      <c r="EOA2469" s="60"/>
      <c r="EOB2469" s="60"/>
      <c r="EOC2469" s="63"/>
      <c r="EOD2469" s="61"/>
      <c r="EOE2469" s="54"/>
      <c r="EOF2469" s="54"/>
      <c r="EOG2469" s="60"/>
      <c r="EOH2469" s="60"/>
      <c r="EOI2469" s="60"/>
      <c r="EOJ2469" s="60"/>
      <c r="EOK2469" s="63"/>
      <c r="EOL2469" s="61"/>
      <c r="EOM2469" s="54"/>
      <c r="EON2469" s="54"/>
      <c r="EOO2469" s="60"/>
      <c r="EOP2469" s="60"/>
      <c r="EOQ2469" s="60"/>
      <c r="EOR2469" s="60"/>
      <c r="EOS2469" s="63"/>
      <c r="EOT2469" s="61"/>
      <c r="EOU2469" s="54"/>
      <c r="EOV2469" s="54"/>
      <c r="EOW2469" s="60"/>
      <c r="EOX2469" s="60"/>
      <c r="EOY2469" s="60"/>
      <c r="EOZ2469" s="60"/>
      <c r="EPA2469" s="63"/>
      <c r="EPB2469" s="61"/>
      <c r="EPC2469" s="54"/>
      <c r="EPD2469" s="54"/>
      <c r="EPE2469" s="60"/>
      <c r="EPF2469" s="60"/>
      <c r="EPG2469" s="60"/>
      <c r="EPH2469" s="60"/>
      <c r="EPI2469" s="63"/>
      <c r="EPJ2469" s="61"/>
      <c r="EPK2469" s="54"/>
      <c r="EPL2469" s="54"/>
      <c r="EPM2469" s="60"/>
      <c r="EPN2469" s="60"/>
      <c r="EPO2469" s="60"/>
      <c r="EPP2469" s="60"/>
      <c r="EPQ2469" s="63"/>
      <c r="EPR2469" s="61"/>
      <c r="EPS2469" s="54"/>
      <c r="EPT2469" s="54"/>
      <c r="EPU2469" s="60"/>
      <c r="EPV2469" s="60"/>
      <c r="EPW2469" s="60"/>
      <c r="EPX2469" s="60"/>
      <c r="EPY2469" s="63"/>
      <c r="EPZ2469" s="61"/>
      <c r="EQA2469" s="54"/>
      <c r="EQB2469" s="54"/>
      <c r="EQC2469" s="60"/>
      <c r="EQD2469" s="60"/>
      <c r="EQE2469" s="60"/>
      <c r="EQF2469" s="60"/>
      <c r="EQG2469" s="63"/>
      <c r="EQH2469" s="61"/>
      <c r="EQI2469" s="54"/>
      <c r="EQJ2469" s="54"/>
      <c r="EQK2469" s="60"/>
      <c r="EQL2469" s="60"/>
      <c r="EQM2469" s="60"/>
      <c r="EQN2469" s="60"/>
      <c r="EQO2469" s="63"/>
      <c r="EQP2469" s="61"/>
      <c r="EQQ2469" s="54"/>
      <c r="EQR2469" s="54"/>
      <c r="EQS2469" s="60"/>
      <c r="EQT2469" s="60"/>
      <c r="EQU2469" s="60"/>
      <c r="EQV2469" s="60"/>
      <c r="EQW2469" s="63"/>
      <c r="EQX2469" s="61"/>
      <c r="EQY2469" s="54"/>
      <c r="EQZ2469" s="54"/>
      <c r="ERA2469" s="60"/>
      <c r="ERB2469" s="60"/>
      <c r="ERC2469" s="60"/>
      <c r="ERD2469" s="60"/>
      <c r="ERE2469" s="63"/>
      <c r="ERF2469" s="61"/>
      <c r="ERG2469" s="54"/>
      <c r="ERH2469" s="54"/>
      <c r="ERI2469" s="60"/>
      <c r="ERJ2469" s="60"/>
      <c r="ERK2469" s="60"/>
      <c r="ERL2469" s="60"/>
      <c r="ERM2469" s="63"/>
      <c r="ERN2469" s="61"/>
      <c r="ERO2469" s="54"/>
      <c r="ERP2469" s="54"/>
      <c r="ERQ2469" s="60"/>
      <c r="ERR2469" s="60"/>
      <c r="ERS2469" s="60"/>
      <c r="ERT2469" s="60"/>
      <c r="ERU2469" s="63"/>
      <c r="ERV2469" s="61"/>
      <c r="ERW2469" s="54"/>
      <c r="ERX2469" s="54"/>
      <c r="ERY2469" s="60"/>
      <c r="ERZ2469" s="60"/>
      <c r="ESA2469" s="60"/>
      <c r="ESB2469" s="60"/>
      <c r="ESC2469" s="63"/>
      <c r="ESD2469" s="61"/>
      <c r="ESE2469" s="54"/>
      <c r="ESF2469" s="54"/>
      <c r="ESG2469" s="60"/>
      <c r="ESH2469" s="60"/>
      <c r="ESI2469" s="60"/>
      <c r="ESJ2469" s="60"/>
      <c r="ESK2469" s="63"/>
      <c r="ESL2469" s="61"/>
      <c r="ESM2469" s="54"/>
      <c r="ESN2469" s="54"/>
      <c r="ESO2469" s="60"/>
      <c r="ESP2469" s="60"/>
      <c r="ESQ2469" s="60"/>
      <c r="ESR2469" s="60"/>
      <c r="ESS2469" s="63"/>
      <c r="EST2469" s="61"/>
      <c r="ESU2469" s="54"/>
      <c r="ESV2469" s="54"/>
      <c r="ESW2469" s="60"/>
      <c r="ESX2469" s="60"/>
      <c r="ESY2469" s="60"/>
      <c r="ESZ2469" s="60"/>
      <c r="ETA2469" s="63"/>
      <c r="ETB2469" s="61"/>
      <c r="ETC2469" s="54"/>
      <c r="ETD2469" s="54"/>
      <c r="ETE2469" s="60"/>
      <c r="ETF2469" s="60"/>
      <c r="ETG2469" s="60"/>
      <c r="ETH2469" s="60"/>
      <c r="ETI2469" s="63"/>
      <c r="ETJ2469" s="61"/>
      <c r="ETK2469" s="54"/>
      <c r="ETL2469" s="54"/>
      <c r="ETM2469" s="60"/>
      <c r="ETN2469" s="60"/>
      <c r="ETO2469" s="60"/>
      <c r="ETP2469" s="60"/>
      <c r="ETQ2469" s="63"/>
      <c r="ETR2469" s="61"/>
      <c r="ETS2469" s="54"/>
      <c r="ETT2469" s="54"/>
      <c r="ETU2469" s="60"/>
      <c r="ETV2469" s="60"/>
      <c r="ETW2469" s="60"/>
      <c r="ETX2469" s="60"/>
      <c r="ETY2469" s="63"/>
      <c r="ETZ2469" s="61"/>
      <c r="EUA2469" s="54"/>
      <c r="EUB2469" s="54"/>
      <c r="EUC2469" s="60"/>
      <c r="EUD2469" s="60"/>
      <c r="EUE2469" s="60"/>
      <c r="EUF2469" s="60"/>
      <c r="EUG2469" s="63"/>
      <c r="EUH2469" s="61"/>
      <c r="EUI2469" s="54"/>
      <c r="EUJ2469" s="54"/>
      <c r="EUK2469" s="60"/>
      <c r="EUL2469" s="60"/>
      <c r="EUM2469" s="60"/>
      <c r="EUN2469" s="60"/>
      <c r="EUO2469" s="63"/>
      <c r="EUP2469" s="61"/>
      <c r="EUQ2469" s="54"/>
      <c r="EUR2469" s="54"/>
      <c r="EUS2469" s="60"/>
      <c r="EUT2469" s="60"/>
      <c r="EUU2469" s="60"/>
      <c r="EUV2469" s="60"/>
      <c r="EUW2469" s="63"/>
      <c r="EUX2469" s="61"/>
      <c r="EUY2469" s="54"/>
      <c r="EUZ2469" s="54"/>
      <c r="EVA2469" s="60"/>
      <c r="EVB2469" s="60"/>
      <c r="EVC2469" s="60"/>
      <c r="EVD2469" s="60"/>
      <c r="EVE2469" s="63"/>
      <c r="EVF2469" s="61"/>
      <c r="EVG2469" s="54"/>
      <c r="EVH2469" s="54"/>
      <c r="EVI2469" s="60"/>
      <c r="EVJ2469" s="60"/>
      <c r="EVK2469" s="60"/>
      <c r="EVL2469" s="60"/>
      <c r="EVM2469" s="63"/>
      <c r="EVN2469" s="61"/>
      <c r="EVO2469" s="54"/>
      <c r="EVP2469" s="54"/>
      <c r="EVQ2469" s="60"/>
      <c r="EVR2469" s="60"/>
      <c r="EVS2469" s="60"/>
      <c r="EVT2469" s="60"/>
      <c r="EVU2469" s="63"/>
      <c r="EVV2469" s="61"/>
      <c r="EVW2469" s="54"/>
      <c r="EVX2469" s="54"/>
      <c r="EVY2469" s="60"/>
      <c r="EVZ2469" s="60"/>
      <c r="EWA2469" s="60"/>
      <c r="EWB2469" s="60"/>
      <c r="EWC2469" s="63"/>
      <c r="EWD2469" s="61"/>
      <c r="EWE2469" s="54"/>
      <c r="EWF2469" s="54"/>
      <c r="EWG2469" s="60"/>
      <c r="EWH2469" s="60"/>
      <c r="EWI2469" s="60"/>
      <c r="EWJ2469" s="60"/>
      <c r="EWK2469" s="63"/>
      <c r="EWL2469" s="61"/>
      <c r="EWM2469" s="54"/>
      <c r="EWN2469" s="54"/>
      <c r="EWO2469" s="60"/>
      <c r="EWP2469" s="60"/>
      <c r="EWQ2469" s="60"/>
      <c r="EWR2469" s="60"/>
      <c r="EWS2469" s="63"/>
      <c r="EWT2469" s="61"/>
      <c r="EWU2469" s="54"/>
      <c r="EWV2469" s="54"/>
      <c r="EWW2469" s="60"/>
      <c r="EWX2469" s="60"/>
      <c r="EWY2469" s="60"/>
      <c r="EWZ2469" s="60"/>
      <c r="EXA2469" s="63"/>
      <c r="EXB2469" s="61"/>
      <c r="EXC2469" s="54"/>
      <c r="EXD2469" s="54"/>
      <c r="EXE2469" s="60"/>
      <c r="EXF2469" s="60"/>
      <c r="EXG2469" s="60"/>
      <c r="EXH2469" s="60"/>
      <c r="EXI2469" s="63"/>
      <c r="EXJ2469" s="61"/>
      <c r="EXK2469" s="54"/>
      <c r="EXL2469" s="54"/>
      <c r="EXM2469" s="60"/>
      <c r="EXN2469" s="60"/>
      <c r="EXO2469" s="60"/>
      <c r="EXP2469" s="60"/>
      <c r="EXQ2469" s="63"/>
      <c r="EXR2469" s="61"/>
      <c r="EXS2469" s="54"/>
      <c r="EXT2469" s="54"/>
      <c r="EXU2469" s="60"/>
      <c r="EXV2469" s="60"/>
      <c r="EXW2469" s="60"/>
      <c r="EXX2469" s="60"/>
      <c r="EXY2469" s="63"/>
      <c r="EXZ2469" s="61"/>
      <c r="EYA2469" s="54"/>
      <c r="EYB2469" s="54"/>
      <c r="EYC2469" s="60"/>
      <c r="EYD2469" s="60"/>
      <c r="EYE2469" s="60"/>
      <c r="EYF2469" s="60"/>
      <c r="EYG2469" s="63"/>
      <c r="EYH2469" s="61"/>
      <c r="EYI2469" s="54"/>
      <c r="EYJ2469" s="54"/>
      <c r="EYK2469" s="60"/>
      <c r="EYL2469" s="60"/>
      <c r="EYM2469" s="60"/>
      <c r="EYN2469" s="60"/>
      <c r="EYO2469" s="63"/>
      <c r="EYP2469" s="61"/>
      <c r="EYQ2469" s="54"/>
      <c r="EYR2469" s="54"/>
      <c r="EYS2469" s="60"/>
      <c r="EYT2469" s="60"/>
      <c r="EYU2469" s="60"/>
      <c r="EYV2469" s="60"/>
      <c r="EYW2469" s="63"/>
      <c r="EYX2469" s="61"/>
      <c r="EYY2469" s="54"/>
      <c r="EYZ2469" s="54"/>
      <c r="EZA2469" s="60"/>
      <c r="EZB2469" s="60"/>
      <c r="EZC2469" s="60"/>
      <c r="EZD2469" s="60"/>
      <c r="EZE2469" s="63"/>
      <c r="EZF2469" s="61"/>
      <c r="EZG2469" s="54"/>
      <c r="EZH2469" s="54"/>
      <c r="EZI2469" s="60"/>
      <c r="EZJ2469" s="60"/>
      <c r="EZK2469" s="60"/>
      <c r="EZL2469" s="60"/>
      <c r="EZM2469" s="63"/>
      <c r="EZN2469" s="61"/>
      <c r="EZO2469" s="54"/>
      <c r="EZP2469" s="54"/>
      <c r="EZQ2469" s="60"/>
      <c r="EZR2469" s="60"/>
      <c r="EZS2469" s="60"/>
      <c r="EZT2469" s="60"/>
      <c r="EZU2469" s="63"/>
      <c r="EZV2469" s="61"/>
      <c r="EZW2469" s="54"/>
      <c r="EZX2469" s="54"/>
      <c r="EZY2469" s="60"/>
      <c r="EZZ2469" s="60"/>
      <c r="FAA2469" s="60"/>
      <c r="FAB2469" s="60"/>
      <c r="FAC2469" s="63"/>
      <c r="FAD2469" s="61"/>
      <c r="FAE2469" s="54"/>
      <c r="FAF2469" s="54"/>
      <c r="FAG2469" s="60"/>
      <c r="FAH2469" s="60"/>
      <c r="FAI2469" s="60"/>
      <c r="FAJ2469" s="60"/>
      <c r="FAK2469" s="63"/>
      <c r="FAL2469" s="61"/>
      <c r="FAM2469" s="54"/>
      <c r="FAN2469" s="54"/>
      <c r="FAO2469" s="60"/>
      <c r="FAP2469" s="60"/>
      <c r="FAQ2469" s="60"/>
      <c r="FAR2469" s="60"/>
      <c r="FAS2469" s="63"/>
      <c r="FAT2469" s="61"/>
      <c r="FAU2469" s="54"/>
      <c r="FAV2469" s="54"/>
      <c r="FAW2469" s="60"/>
      <c r="FAX2469" s="60"/>
      <c r="FAY2469" s="60"/>
      <c r="FAZ2469" s="60"/>
      <c r="FBA2469" s="63"/>
      <c r="FBB2469" s="61"/>
      <c r="FBC2469" s="54"/>
      <c r="FBD2469" s="54"/>
      <c r="FBE2469" s="60"/>
      <c r="FBF2469" s="60"/>
      <c r="FBG2469" s="60"/>
      <c r="FBH2469" s="60"/>
      <c r="FBI2469" s="63"/>
      <c r="FBJ2469" s="61"/>
      <c r="FBK2469" s="54"/>
      <c r="FBL2469" s="54"/>
      <c r="FBM2469" s="60"/>
      <c r="FBN2469" s="60"/>
      <c r="FBO2469" s="60"/>
      <c r="FBP2469" s="60"/>
      <c r="FBQ2469" s="63"/>
      <c r="FBR2469" s="61"/>
      <c r="FBS2469" s="54"/>
      <c r="FBT2469" s="54"/>
      <c r="FBU2469" s="60"/>
      <c r="FBV2469" s="60"/>
      <c r="FBW2469" s="60"/>
      <c r="FBX2469" s="60"/>
      <c r="FBY2469" s="63"/>
      <c r="FBZ2469" s="61"/>
      <c r="FCA2469" s="54"/>
      <c r="FCB2469" s="54"/>
      <c r="FCC2469" s="60"/>
      <c r="FCD2469" s="60"/>
      <c r="FCE2469" s="60"/>
      <c r="FCF2469" s="60"/>
      <c r="FCG2469" s="63"/>
      <c r="FCH2469" s="61"/>
      <c r="FCI2469" s="54"/>
      <c r="FCJ2469" s="54"/>
      <c r="FCK2469" s="60"/>
      <c r="FCL2469" s="60"/>
      <c r="FCM2469" s="60"/>
      <c r="FCN2469" s="60"/>
      <c r="FCO2469" s="63"/>
      <c r="FCP2469" s="61"/>
      <c r="FCQ2469" s="54"/>
      <c r="FCR2469" s="54"/>
      <c r="FCS2469" s="60"/>
      <c r="FCT2469" s="60"/>
      <c r="FCU2469" s="60"/>
      <c r="FCV2469" s="60"/>
      <c r="FCW2469" s="63"/>
      <c r="FCX2469" s="61"/>
      <c r="FCY2469" s="54"/>
      <c r="FCZ2469" s="54"/>
      <c r="FDA2469" s="60"/>
      <c r="FDB2469" s="60"/>
      <c r="FDC2469" s="60"/>
      <c r="FDD2469" s="60"/>
      <c r="FDE2469" s="63"/>
      <c r="FDF2469" s="61"/>
      <c r="FDG2469" s="54"/>
      <c r="FDH2469" s="54"/>
      <c r="FDI2469" s="60"/>
      <c r="FDJ2469" s="60"/>
      <c r="FDK2469" s="60"/>
      <c r="FDL2469" s="60"/>
      <c r="FDM2469" s="63"/>
      <c r="FDN2469" s="61"/>
      <c r="FDO2469" s="54"/>
      <c r="FDP2469" s="54"/>
      <c r="FDQ2469" s="60"/>
      <c r="FDR2469" s="60"/>
      <c r="FDS2469" s="60"/>
      <c r="FDT2469" s="60"/>
      <c r="FDU2469" s="63"/>
      <c r="FDV2469" s="61"/>
      <c r="FDW2469" s="54"/>
      <c r="FDX2469" s="54"/>
      <c r="FDY2469" s="60"/>
      <c r="FDZ2469" s="60"/>
      <c r="FEA2469" s="60"/>
      <c r="FEB2469" s="60"/>
      <c r="FEC2469" s="63"/>
      <c r="FED2469" s="61"/>
      <c r="FEE2469" s="54"/>
      <c r="FEF2469" s="54"/>
      <c r="FEG2469" s="60"/>
      <c r="FEH2469" s="60"/>
      <c r="FEI2469" s="60"/>
      <c r="FEJ2469" s="60"/>
      <c r="FEK2469" s="63"/>
      <c r="FEL2469" s="61"/>
      <c r="FEM2469" s="54"/>
      <c r="FEN2469" s="54"/>
      <c r="FEO2469" s="60"/>
      <c r="FEP2469" s="60"/>
      <c r="FEQ2469" s="60"/>
      <c r="FER2469" s="60"/>
      <c r="FES2469" s="63"/>
      <c r="FET2469" s="61"/>
      <c r="FEU2469" s="54"/>
      <c r="FEV2469" s="54"/>
      <c r="FEW2469" s="60"/>
      <c r="FEX2469" s="60"/>
      <c r="FEY2469" s="60"/>
      <c r="FEZ2469" s="60"/>
      <c r="FFA2469" s="63"/>
      <c r="FFB2469" s="61"/>
      <c r="FFC2469" s="54"/>
      <c r="FFD2469" s="54"/>
      <c r="FFE2469" s="60"/>
      <c r="FFF2469" s="60"/>
      <c r="FFG2469" s="60"/>
      <c r="FFH2469" s="60"/>
      <c r="FFI2469" s="63"/>
      <c r="FFJ2469" s="61"/>
      <c r="FFK2469" s="54"/>
      <c r="FFL2469" s="54"/>
      <c r="FFM2469" s="60"/>
      <c r="FFN2469" s="60"/>
      <c r="FFO2469" s="60"/>
      <c r="FFP2469" s="60"/>
      <c r="FFQ2469" s="63"/>
      <c r="FFR2469" s="61"/>
      <c r="FFS2469" s="54"/>
      <c r="FFT2469" s="54"/>
      <c r="FFU2469" s="60"/>
      <c r="FFV2469" s="60"/>
      <c r="FFW2469" s="60"/>
      <c r="FFX2469" s="60"/>
      <c r="FFY2469" s="63"/>
      <c r="FFZ2469" s="61"/>
      <c r="FGA2469" s="54"/>
      <c r="FGB2469" s="54"/>
      <c r="FGC2469" s="60"/>
      <c r="FGD2469" s="60"/>
      <c r="FGE2469" s="60"/>
      <c r="FGF2469" s="60"/>
      <c r="FGG2469" s="63"/>
      <c r="FGH2469" s="61"/>
      <c r="FGI2469" s="54"/>
      <c r="FGJ2469" s="54"/>
      <c r="FGK2469" s="60"/>
      <c r="FGL2469" s="60"/>
      <c r="FGM2469" s="60"/>
      <c r="FGN2469" s="60"/>
      <c r="FGO2469" s="63"/>
      <c r="FGP2469" s="61"/>
      <c r="FGQ2469" s="54"/>
      <c r="FGR2469" s="54"/>
      <c r="FGS2469" s="60"/>
      <c r="FGT2469" s="60"/>
      <c r="FGU2469" s="60"/>
      <c r="FGV2469" s="60"/>
      <c r="FGW2469" s="63"/>
      <c r="FGX2469" s="61"/>
      <c r="FGY2469" s="54"/>
      <c r="FGZ2469" s="54"/>
      <c r="FHA2469" s="60"/>
      <c r="FHB2469" s="60"/>
      <c r="FHC2469" s="60"/>
      <c r="FHD2469" s="60"/>
      <c r="FHE2469" s="63"/>
      <c r="FHF2469" s="61"/>
      <c r="FHG2469" s="54"/>
      <c r="FHH2469" s="54"/>
      <c r="FHI2469" s="60"/>
      <c r="FHJ2469" s="60"/>
      <c r="FHK2469" s="60"/>
      <c r="FHL2469" s="60"/>
      <c r="FHM2469" s="63"/>
      <c r="FHN2469" s="61"/>
      <c r="FHO2469" s="54"/>
      <c r="FHP2469" s="54"/>
      <c r="FHQ2469" s="60"/>
      <c r="FHR2469" s="60"/>
      <c r="FHS2469" s="60"/>
      <c r="FHT2469" s="60"/>
      <c r="FHU2469" s="63"/>
      <c r="FHV2469" s="61"/>
      <c r="FHW2469" s="54"/>
      <c r="FHX2469" s="54"/>
      <c r="FHY2469" s="60"/>
      <c r="FHZ2469" s="60"/>
      <c r="FIA2469" s="60"/>
      <c r="FIB2469" s="60"/>
      <c r="FIC2469" s="63"/>
      <c r="FID2469" s="61"/>
      <c r="FIE2469" s="54"/>
      <c r="FIF2469" s="54"/>
      <c r="FIG2469" s="60"/>
      <c r="FIH2469" s="60"/>
      <c r="FII2469" s="60"/>
      <c r="FIJ2469" s="60"/>
      <c r="FIK2469" s="63"/>
      <c r="FIL2469" s="61"/>
      <c r="FIM2469" s="54"/>
      <c r="FIN2469" s="54"/>
      <c r="FIO2469" s="60"/>
      <c r="FIP2469" s="60"/>
      <c r="FIQ2469" s="60"/>
      <c r="FIR2469" s="60"/>
      <c r="FIS2469" s="63"/>
      <c r="FIT2469" s="61"/>
      <c r="FIU2469" s="54"/>
      <c r="FIV2469" s="54"/>
      <c r="FIW2469" s="60"/>
      <c r="FIX2469" s="60"/>
      <c r="FIY2469" s="60"/>
      <c r="FIZ2469" s="60"/>
      <c r="FJA2469" s="63"/>
      <c r="FJB2469" s="61"/>
      <c r="FJC2469" s="54"/>
      <c r="FJD2469" s="54"/>
      <c r="FJE2469" s="60"/>
      <c r="FJF2469" s="60"/>
      <c r="FJG2469" s="60"/>
      <c r="FJH2469" s="60"/>
      <c r="FJI2469" s="63"/>
      <c r="FJJ2469" s="61"/>
      <c r="FJK2469" s="54"/>
      <c r="FJL2469" s="54"/>
      <c r="FJM2469" s="60"/>
      <c r="FJN2469" s="60"/>
      <c r="FJO2469" s="60"/>
      <c r="FJP2469" s="60"/>
      <c r="FJQ2469" s="63"/>
      <c r="FJR2469" s="61"/>
      <c r="FJS2469" s="54"/>
      <c r="FJT2469" s="54"/>
      <c r="FJU2469" s="60"/>
      <c r="FJV2469" s="60"/>
      <c r="FJW2469" s="60"/>
      <c r="FJX2469" s="60"/>
      <c r="FJY2469" s="63"/>
      <c r="FJZ2469" s="61"/>
      <c r="FKA2469" s="54"/>
      <c r="FKB2469" s="54"/>
      <c r="FKC2469" s="60"/>
      <c r="FKD2469" s="60"/>
      <c r="FKE2469" s="60"/>
      <c r="FKF2469" s="60"/>
      <c r="FKG2469" s="63"/>
      <c r="FKH2469" s="61"/>
      <c r="FKI2469" s="54"/>
      <c r="FKJ2469" s="54"/>
      <c r="FKK2469" s="60"/>
      <c r="FKL2469" s="60"/>
      <c r="FKM2469" s="60"/>
      <c r="FKN2469" s="60"/>
      <c r="FKO2469" s="63"/>
      <c r="FKP2469" s="61"/>
      <c r="FKQ2469" s="54"/>
      <c r="FKR2469" s="54"/>
      <c r="FKS2469" s="60"/>
      <c r="FKT2469" s="60"/>
      <c r="FKU2469" s="60"/>
      <c r="FKV2469" s="60"/>
      <c r="FKW2469" s="63"/>
      <c r="FKX2469" s="61"/>
      <c r="FKY2469" s="54"/>
      <c r="FKZ2469" s="54"/>
      <c r="FLA2469" s="60"/>
      <c r="FLB2469" s="60"/>
      <c r="FLC2469" s="60"/>
      <c r="FLD2469" s="60"/>
      <c r="FLE2469" s="63"/>
      <c r="FLF2469" s="61"/>
      <c r="FLG2469" s="54"/>
      <c r="FLH2469" s="54"/>
      <c r="FLI2469" s="60"/>
      <c r="FLJ2469" s="60"/>
      <c r="FLK2469" s="60"/>
      <c r="FLL2469" s="60"/>
      <c r="FLM2469" s="63"/>
      <c r="FLN2469" s="61"/>
      <c r="FLO2469" s="54"/>
      <c r="FLP2469" s="54"/>
      <c r="FLQ2469" s="60"/>
      <c r="FLR2469" s="60"/>
      <c r="FLS2469" s="60"/>
      <c r="FLT2469" s="60"/>
      <c r="FLU2469" s="63"/>
      <c r="FLV2469" s="61"/>
      <c r="FLW2469" s="54"/>
      <c r="FLX2469" s="54"/>
      <c r="FLY2469" s="60"/>
      <c r="FLZ2469" s="60"/>
      <c r="FMA2469" s="60"/>
      <c r="FMB2469" s="60"/>
      <c r="FMC2469" s="63"/>
      <c r="FMD2469" s="61"/>
      <c r="FME2469" s="54"/>
      <c r="FMF2469" s="54"/>
      <c r="FMG2469" s="60"/>
      <c r="FMH2469" s="60"/>
      <c r="FMI2469" s="60"/>
      <c r="FMJ2469" s="60"/>
      <c r="FMK2469" s="63"/>
      <c r="FML2469" s="61"/>
      <c r="FMM2469" s="54"/>
      <c r="FMN2469" s="54"/>
      <c r="FMO2469" s="60"/>
      <c r="FMP2469" s="60"/>
      <c r="FMQ2469" s="60"/>
      <c r="FMR2469" s="60"/>
      <c r="FMS2469" s="63"/>
      <c r="FMT2469" s="61"/>
      <c r="FMU2469" s="54"/>
      <c r="FMV2469" s="54"/>
      <c r="FMW2469" s="60"/>
      <c r="FMX2469" s="60"/>
      <c r="FMY2469" s="60"/>
      <c r="FMZ2469" s="60"/>
      <c r="FNA2469" s="63"/>
      <c r="FNB2469" s="61"/>
      <c r="FNC2469" s="54"/>
      <c r="FND2469" s="54"/>
      <c r="FNE2469" s="60"/>
      <c r="FNF2469" s="60"/>
      <c r="FNG2469" s="60"/>
      <c r="FNH2469" s="60"/>
      <c r="FNI2469" s="63"/>
      <c r="FNJ2469" s="61"/>
      <c r="FNK2469" s="54"/>
      <c r="FNL2469" s="54"/>
      <c r="FNM2469" s="60"/>
      <c r="FNN2469" s="60"/>
      <c r="FNO2469" s="60"/>
      <c r="FNP2469" s="60"/>
      <c r="FNQ2469" s="63"/>
      <c r="FNR2469" s="61"/>
      <c r="FNS2469" s="54"/>
      <c r="FNT2469" s="54"/>
      <c r="FNU2469" s="60"/>
      <c r="FNV2469" s="60"/>
      <c r="FNW2469" s="60"/>
      <c r="FNX2469" s="60"/>
      <c r="FNY2469" s="63"/>
      <c r="FNZ2469" s="61"/>
      <c r="FOA2469" s="54"/>
      <c r="FOB2469" s="54"/>
      <c r="FOC2469" s="60"/>
      <c r="FOD2469" s="60"/>
      <c r="FOE2469" s="60"/>
      <c r="FOF2469" s="60"/>
      <c r="FOG2469" s="63"/>
      <c r="FOH2469" s="61"/>
      <c r="FOI2469" s="54"/>
      <c r="FOJ2469" s="54"/>
      <c r="FOK2469" s="60"/>
      <c r="FOL2469" s="60"/>
      <c r="FOM2469" s="60"/>
      <c r="FON2469" s="60"/>
      <c r="FOO2469" s="63"/>
      <c r="FOP2469" s="61"/>
      <c r="FOQ2469" s="54"/>
      <c r="FOR2469" s="54"/>
      <c r="FOS2469" s="60"/>
      <c r="FOT2469" s="60"/>
      <c r="FOU2469" s="60"/>
      <c r="FOV2469" s="60"/>
      <c r="FOW2469" s="63"/>
      <c r="FOX2469" s="61"/>
      <c r="FOY2469" s="54"/>
      <c r="FOZ2469" s="54"/>
      <c r="FPA2469" s="60"/>
      <c r="FPB2469" s="60"/>
      <c r="FPC2469" s="60"/>
      <c r="FPD2469" s="60"/>
      <c r="FPE2469" s="63"/>
      <c r="FPF2469" s="61"/>
      <c r="FPG2469" s="54"/>
      <c r="FPH2469" s="54"/>
      <c r="FPI2469" s="60"/>
      <c r="FPJ2469" s="60"/>
      <c r="FPK2469" s="60"/>
      <c r="FPL2469" s="60"/>
      <c r="FPM2469" s="63"/>
      <c r="FPN2469" s="61"/>
      <c r="FPO2469" s="54"/>
      <c r="FPP2469" s="54"/>
      <c r="FPQ2469" s="60"/>
      <c r="FPR2469" s="60"/>
      <c r="FPS2469" s="60"/>
      <c r="FPT2469" s="60"/>
      <c r="FPU2469" s="63"/>
      <c r="FPV2469" s="61"/>
      <c r="FPW2469" s="54"/>
      <c r="FPX2469" s="54"/>
      <c r="FPY2469" s="60"/>
      <c r="FPZ2469" s="60"/>
      <c r="FQA2469" s="60"/>
      <c r="FQB2469" s="60"/>
      <c r="FQC2469" s="63"/>
      <c r="FQD2469" s="61"/>
      <c r="FQE2469" s="54"/>
      <c r="FQF2469" s="54"/>
      <c r="FQG2469" s="60"/>
      <c r="FQH2469" s="60"/>
      <c r="FQI2469" s="60"/>
      <c r="FQJ2469" s="60"/>
      <c r="FQK2469" s="63"/>
      <c r="FQL2469" s="61"/>
      <c r="FQM2469" s="54"/>
      <c r="FQN2469" s="54"/>
      <c r="FQO2469" s="60"/>
      <c r="FQP2469" s="60"/>
      <c r="FQQ2469" s="60"/>
      <c r="FQR2469" s="60"/>
      <c r="FQS2469" s="63"/>
      <c r="FQT2469" s="61"/>
      <c r="FQU2469" s="54"/>
      <c r="FQV2469" s="54"/>
      <c r="FQW2469" s="60"/>
      <c r="FQX2469" s="60"/>
      <c r="FQY2469" s="60"/>
      <c r="FQZ2469" s="60"/>
      <c r="FRA2469" s="63"/>
      <c r="FRB2469" s="61"/>
      <c r="FRC2469" s="54"/>
      <c r="FRD2469" s="54"/>
      <c r="FRE2469" s="60"/>
      <c r="FRF2469" s="60"/>
      <c r="FRG2469" s="60"/>
      <c r="FRH2469" s="60"/>
      <c r="FRI2469" s="63"/>
      <c r="FRJ2469" s="61"/>
      <c r="FRK2469" s="54"/>
      <c r="FRL2469" s="54"/>
      <c r="FRM2469" s="60"/>
      <c r="FRN2469" s="60"/>
      <c r="FRO2469" s="60"/>
      <c r="FRP2469" s="60"/>
      <c r="FRQ2469" s="63"/>
      <c r="FRR2469" s="61"/>
      <c r="FRS2469" s="54"/>
      <c r="FRT2469" s="54"/>
      <c r="FRU2469" s="60"/>
      <c r="FRV2469" s="60"/>
      <c r="FRW2469" s="60"/>
      <c r="FRX2469" s="60"/>
      <c r="FRY2469" s="63"/>
      <c r="FRZ2469" s="61"/>
      <c r="FSA2469" s="54"/>
      <c r="FSB2469" s="54"/>
      <c r="FSC2469" s="60"/>
      <c r="FSD2469" s="60"/>
      <c r="FSE2469" s="60"/>
      <c r="FSF2469" s="60"/>
      <c r="FSG2469" s="63"/>
      <c r="FSH2469" s="61"/>
      <c r="FSI2469" s="54"/>
      <c r="FSJ2469" s="54"/>
      <c r="FSK2469" s="60"/>
      <c r="FSL2469" s="60"/>
      <c r="FSM2469" s="60"/>
      <c r="FSN2469" s="60"/>
      <c r="FSO2469" s="63"/>
      <c r="FSP2469" s="61"/>
      <c r="FSQ2469" s="54"/>
      <c r="FSR2469" s="54"/>
      <c r="FSS2469" s="60"/>
      <c r="FST2469" s="60"/>
      <c r="FSU2469" s="60"/>
      <c r="FSV2469" s="60"/>
      <c r="FSW2469" s="63"/>
      <c r="FSX2469" s="61"/>
      <c r="FSY2469" s="54"/>
      <c r="FSZ2469" s="54"/>
      <c r="FTA2469" s="60"/>
      <c r="FTB2469" s="60"/>
      <c r="FTC2469" s="60"/>
      <c r="FTD2469" s="60"/>
      <c r="FTE2469" s="63"/>
      <c r="FTF2469" s="61"/>
      <c r="FTG2469" s="54"/>
      <c r="FTH2469" s="54"/>
      <c r="FTI2469" s="60"/>
      <c r="FTJ2469" s="60"/>
      <c r="FTK2469" s="60"/>
      <c r="FTL2469" s="60"/>
      <c r="FTM2469" s="63"/>
      <c r="FTN2469" s="61"/>
      <c r="FTO2469" s="54"/>
      <c r="FTP2469" s="54"/>
      <c r="FTQ2469" s="60"/>
      <c r="FTR2469" s="60"/>
      <c r="FTS2469" s="60"/>
      <c r="FTT2469" s="60"/>
      <c r="FTU2469" s="63"/>
      <c r="FTV2469" s="61"/>
      <c r="FTW2469" s="54"/>
      <c r="FTX2469" s="54"/>
      <c r="FTY2469" s="60"/>
      <c r="FTZ2469" s="60"/>
      <c r="FUA2469" s="60"/>
      <c r="FUB2469" s="60"/>
      <c r="FUC2469" s="63"/>
      <c r="FUD2469" s="61"/>
      <c r="FUE2469" s="54"/>
      <c r="FUF2469" s="54"/>
      <c r="FUG2469" s="60"/>
      <c r="FUH2469" s="60"/>
      <c r="FUI2469" s="60"/>
      <c r="FUJ2469" s="60"/>
      <c r="FUK2469" s="63"/>
      <c r="FUL2469" s="61"/>
      <c r="FUM2469" s="54"/>
      <c r="FUN2469" s="54"/>
      <c r="FUO2469" s="60"/>
      <c r="FUP2469" s="60"/>
      <c r="FUQ2469" s="60"/>
      <c r="FUR2469" s="60"/>
      <c r="FUS2469" s="63"/>
      <c r="FUT2469" s="61"/>
      <c r="FUU2469" s="54"/>
      <c r="FUV2469" s="54"/>
      <c r="FUW2469" s="60"/>
      <c r="FUX2469" s="60"/>
      <c r="FUY2469" s="60"/>
      <c r="FUZ2469" s="60"/>
      <c r="FVA2469" s="63"/>
      <c r="FVB2469" s="61"/>
      <c r="FVC2469" s="54"/>
      <c r="FVD2469" s="54"/>
      <c r="FVE2469" s="60"/>
      <c r="FVF2469" s="60"/>
      <c r="FVG2469" s="60"/>
      <c r="FVH2469" s="60"/>
      <c r="FVI2469" s="63"/>
      <c r="FVJ2469" s="61"/>
      <c r="FVK2469" s="54"/>
      <c r="FVL2469" s="54"/>
      <c r="FVM2469" s="60"/>
      <c r="FVN2469" s="60"/>
      <c r="FVO2469" s="60"/>
      <c r="FVP2469" s="60"/>
      <c r="FVQ2469" s="63"/>
      <c r="FVR2469" s="61"/>
      <c r="FVS2469" s="54"/>
      <c r="FVT2469" s="54"/>
      <c r="FVU2469" s="60"/>
      <c r="FVV2469" s="60"/>
      <c r="FVW2469" s="60"/>
      <c r="FVX2469" s="60"/>
      <c r="FVY2469" s="63"/>
      <c r="FVZ2469" s="61"/>
      <c r="FWA2469" s="54"/>
      <c r="FWB2469" s="54"/>
      <c r="FWC2469" s="60"/>
      <c r="FWD2469" s="60"/>
      <c r="FWE2469" s="60"/>
      <c r="FWF2469" s="60"/>
      <c r="FWG2469" s="63"/>
      <c r="FWH2469" s="61"/>
      <c r="FWI2469" s="54"/>
      <c r="FWJ2469" s="54"/>
      <c r="FWK2469" s="60"/>
      <c r="FWL2469" s="60"/>
      <c r="FWM2469" s="60"/>
      <c r="FWN2469" s="60"/>
      <c r="FWO2469" s="63"/>
      <c r="FWP2469" s="61"/>
      <c r="FWQ2469" s="54"/>
      <c r="FWR2469" s="54"/>
      <c r="FWS2469" s="60"/>
      <c r="FWT2469" s="60"/>
      <c r="FWU2469" s="60"/>
      <c r="FWV2469" s="60"/>
      <c r="FWW2469" s="63"/>
      <c r="FWX2469" s="61"/>
      <c r="FWY2469" s="54"/>
      <c r="FWZ2469" s="54"/>
      <c r="FXA2469" s="60"/>
      <c r="FXB2469" s="60"/>
      <c r="FXC2469" s="60"/>
      <c r="FXD2469" s="60"/>
      <c r="FXE2469" s="63"/>
      <c r="FXF2469" s="61"/>
      <c r="FXG2469" s="54"/>
      <c r="FXH2469" s="54"/>
      <c r="FXI2469" s="60"/>
      <c r="FXJ2469" s="60"/>
      <c r="FXK2469" s="60"/>
      <c r="FXL2469" s="60"/>
      <c r="FXM2469" s="63"/>
      <c r="FXN2469" s="61"/>
      <c r="FXO2469" s="54"/>
      <c r="FXP2469" s="54"/>
      <c r="FXQ2469" s="60"/>
      <c r="FXR2469" s="60"/>
      <c r="FXS2469" s="60"/>
      <c r="FXT2469" s="60"/>
      <c r="FXU2469" s="63"/>
      <c r="FXV2469" s="61"/>
      <c r="FXW2469" s="54"/>
      <c r="FXX2469" s="54"/>
      <c r="FXY2469" s="60"/>
      <c r="FXZ2469" s="60"/>
      <c r="FYA2469" s="60"/>
      <c r="FYB2469" s="60"/>
      <c r="FYC2469" s="63"/>
      <c r="FYD2469" s="61"/>
      <c r="FYE2469" s="54"/>
      <c r="FYF2469" s="54"/>
      <c r="FYG2469" s="60"/>
      <c r="FYH2469" s="60"/>
      <c r="FYI2469" s="60"/>
      <c r="FYJ2469" s="60"/>
      <c r="FYK2469" s="63"/>
      <c r="FYL2469" s="61"/>
      <c r="FYM2469" s="54"/>
      <c r="FYN2469" s="54"/>
      <c r="FYO2469" s="60"/>
      <c r="FYP2469" s="60"/>
      <c r="FYQ2469" s="60"/>
      <c r="FYR2469" s="60"/>
      <c r="FYS2469" s="63"/>
      <c r="FYT2469" s="61"/>
      <c r="FYU2469" s="54"/>
      <c r="FYV2469" s="54"/>
      <c r="FYW2469" s="60"/>
      <c r="FYX2469" s="60"/>
      <c r="FYY2469" s="60"/>
      <c r="FYZ2469" s="60"/>
      <c r="FZA2469" s="63"/>
      <c r="FZB2469" s="61"/>
      <c r="FZC2469" s="54"/>
      <c r="FZD2469" s="54"/>
      <c r="FZE2469" s="60"/>
      <c r="FZF2469" s="60"/>
      <c r="FZG2469" s="60"/>
      <c r="FZH2469" s="60"/>
      <c r="FZI2469" s="63"/>
      <c r="FZJ2469" s="61"/>
      <c r="FZK2469" s="54"/>
      <c r="FZL2469" s="54"/>
      <c r="FZM2469" s="60"/>
      <c r="FZN2469" s="60"/>
      <c r="FZO2469" s="60"/>
      <c r="FZP2469" s="60"/>
      <c r="FZQ2469" s="63"/>
      <c r="FZR2469" s="61"/>
      <c r="FZS2469" s="54"/>
      <c r="FZT2469" s="54"/>
      <c r="FZU2469" s="60"/>
      <c r="FZV2469" s="60"/>
      <c r="FZW2469" s="60"/>
      <c r="FZX2469" s="60"/>
      <c r="FZY2469" s="63"/>
      <c r="FZZ2469" s="61"/>
      <c r="GAA2469" s="54"/>
      <c r="GAB2469" s="54"/>
      <c r="GAC2469" s="60"/>
      <c r="GAD2469" s="60"/>
      <c r="GAE2469" s="60"/>
      <c r="GAF2469" s="60"/>
      <c r="GAG2469" s="63"/>
      <c r="GAH2469" s="61"/>
      <c r="GAI2469" s="54"/>
      <c r="GAJ2469" s="54"/>
      <c r="GAK2469" s="60"/>
      <c r="GAL2469" s="60"/>
      <c r="GAM2469" s="60"/>
      <c r="GAN2469" s="60"/>
      <c r="GAO2469" s="63"/>
      <c r="GAP2469" s="61"/>
      <c r="GAQ2469" s="54"/>
      <c r="GAR2469" s="54"/>
      <c r="GAS2469" s="60"/>
      <c r="GAT2469" s="60"/>
      <c r="GAU2469" s="60"/>
      <c r="GAV2469" s="60"/>
      <c r="GAW2469" s="63"/>
      <c r="GAX2469" s="61"/>
      <c r="GAY2469" s="54"/>
      <c r="GAZ2469" s="54"/>
      <c r="GBA2469" s="60"/>
      <c r="GBB2469" s="60"/>
      <c r="GBC2469" s="60"/>
      <c r="GBD2469" s="60"/>
      <c r="GBE2469" s="63"/>
      <c r="GBF2469" s="61"/>
      <c r="GBG2469" s="54"/>
      <c r="GBH2469" s="54"/>
      <c r="GBI2469" s="60"/>
      <c r="GBJ2469" s="60"/>
      <c r="GBK2469" s="60"/>
      <c r="GBL2469" s="60"/>
      <c r="GBM2469" s="63"/>
      <c r="GBN2469" s="61"/>
      <c r="GBO2469" s="54"/>
      <c r="GBP2469" s="54"/>
      <c r="GBQ2469" s="60"/>
      <c r="GBR2469" s="60"/>
      <c r="GBS2469" s="60"/>
      <c r="GBT2469" s="60"/>
      <c r="GBU2469" s="63"/>
      <c r="GBV2469" s="61"/>
      <c r="GBW2469" s="54"/>
      <c r="GBX2469" s="54"/>
      <c r="GBY2469" s="60"/>
      <c r="GBZ2469" s="60"/>
      <c r="GCA2469" s="60"/>
      <c r="GCB2469" s="60"/>
      <c r="GCC2469" s="63"/>
      <c r="GCD2469" s="61"/>
      <c r="GCE2469" s="54"/>
      <c r="GCF2469" s="54"/>
      <c r="GCG2469" s="60"/>
      <c r="GCH2469" s="60"/>
      <c r="GCI2469" s="60"/>
      <c r="GCJ2469" s="60"/>
      <c r="GCK2469" s="63"/>
      <c r="GCL2469" s="61"/>
      <c r="GCM2469" s="54"/>
      <c r="GCN2469" s="54"/>
      <c r="GCO2469" s="60"/>
      <c r="GCP2469" s="60"/>
      <c r="GCQ2469" s="60"/>
      <c r="GCR2469" s="60"/>
      <c r="GCS2469" s="63"/>
      <c r="GCT2469" s="61"/>
      <c r="GCU2469" s="54"/>
      <c r="GCV2469" s="54"/>
      <c r="GCW2469" s="60"/>
      <c r="GCX2469" s="60"/>
      <c r="GCY2469" s="60"/>
      <c r="GCZ2469" s="60"/>
      <c r="GDA2469" s="63"/>
      <c r="GDB2469" s="61"/>
      <c r="GDC2469" s="54"/>
      <c r="GDD2469" s="54"/>
      <c r="GDE2469" s="60"/>
      <c r="GDF2469" s="60"/>
      <c r="GDG2469" s="60"/>
      <c r="GDH2469" s="60"/>
      <c r="GDI2469" s="63"/>
      <c r="GDJ2469" s="61"/>
      <c r="GDK2469" s="54"/>
      <c r="GDL2469" s="54"/>
      <c r="GDM2469" s="60"/>
      <c r="GDN2469" s="60"/>
      <c r="GDO2469" s="60"/>
      <c r="GDP2469" s="60"/>
      <c r="GDQ2469" s="63"/>
      <c r="GDR2469" s="61"/>
      <c r="GDS2469" s="54"/>
      <c r="GDT2469" s="54"/>
      <c r="GDU2469" s="60"/>
      <c r="GDV2469" s="60"/>
      <c r="GDW2469" s="60"/>
      <c r="GDX2469" s="60"/>
      <c r="GDY2469" s="63"/>
      <c r="GDZ2469" s="61"/>
      <c r="GEA2469" s="54"/>
      <c r="GEB2469" s="54"/>
      <c r="GEC2469" s="60"/>
      <c r="GED2469" s="60"/>
      <c r="GEE2469" s="60"/>
      <c r="GEF2469" s="60"/>
      <c r="GEG2469" s="63"/>
      <c r="GEH2469" s="61"/>
      <c r="GEI2469" s="54"/>
      <c r="GEJ2469" s="54"/>
      <c r="GEK2469" s="60"/>
      <c r="GEL2469" s="60"/>
      <c r="GEM2469" s="60"/>
      <c r="GEN2469" s="60"/>
      <c r="GEO2469" s="63"/>
      <c r="GEP2469" s="61"/>
      <c r="GEQ2469" s="54"/>
      <c r="GER2469" s="54"/>
      <c r="GES2469" s="60"/>
      <c r="GET2469" s="60"/>
      <c r="GEU2469" s="60"/>
      <c r="GEV2469" s="60"/>
      <c r="GEW2469" s="63"/>
      <c r="GEX2469" s="61"/>
      <c r="GEY2469" s="54"/>
      <c r="GEZ2469" s="54"/>
      <c r="GFA2469" s="60"/>
      <c r="GFB2469" s="60"/>
      <c r="GFC2469" s="60"/>
      <c r="GFD2469" s="60"/>
      <c r="GFE2469" s="63"/>
      <c r="GFF2469" s="61"/>
      <c r="GFG2469" s="54"/>
      <c r="GFH2469" s="54"/>
      <c r="GFI2469" s="60"/>
      <c r="GFJ2469" s="60"/>
      <c r="GFK2469" s="60"/>
      <c r="GFL2469" s="60"/>
      <c r="GFM2469" s="63"/>
      <c r="GFN2469" s="61"/>
      <c r="GFO2469" s="54"/>
      <c r="GFP2469" s="54"/>
      <c r="GFQ2469" s="60"/>
      <c r="GFR2469" s="60"/>
      <c r="GFS2469" s="60"/>
      <c r="GFT2469" s="60"/>
      <c r="GFU2469" s="63"/>
      <c r="GFV2469" s="61"/>
      <c r="GFW2469" s="54"/>
      <c r="GFX2469" s="54"/>
      <c r="GFY2469" s="60"/>
      <c r="GFZ2469" s="60"/>
      <c r="GGA2469" s="60"/>
      <c r="GGB2469" s="60"/>
      <c r="GGC2469" s="63"/>
      <c r="GGD2469" s="61"/>
      <c r="GGE2469" s="54"/>
      <c r="GGF2469" s="54"/>
      <c r="GGG2469" s="60"/>
      <c r="GGH2469" s="60"/>
      <c r="GGI2469" s="60"/>
      <c r="GGJ2469" s="60"/>
      <c r="GGK2469" s="63"/>
      <c r="GGL2469" s="61"/>
      <c r="GGM2469" s="54"/>
      <c r="GGN2469" s="54"/>
      <c r="GGO2469" s="60"/>
      <c r="GGP2469" s="60"/>
      <c r="GGQ2469" s="60"/>
      <c r="GGR2469" s="60"/>
      <c r="GGS2469" s="63"/>
      <c r="GGT2469" s="61"/>
      <c r="GGU2469" s="54"/>
      <c r="GGV2469" s="54"/>
      <c r="GGW2469" s="60"/>
      <c r="GGX2469" s="60"/>
      <c r="GGY2469" s="60"/>
      <c r="GGZ2469" s="60"/>
      <c r="GHA2469" s="63"/>
      <c r="GHB2469" s="61"/>
      <c r="GHC2469" s="54"/>
      <c r="GHD2469" s="54"/>
      <c r="GHE2469" s="60"/>
      <c r="GHF2469" s="60"/>
      <c r="GHG2469" s="60"/>
      <c r="GHH2469" s="60"/>
      <c r="GHI2469" s="63"/>
      <c r="GHJ2469" s="61"/>
      <c r="GHK2469" s="54"/>
      <c r="GHL2469" s="54"/>
      <c r="GHM2469" s="60"/>
      <c r="GHN2469" s="60"/>
      <c r="GHO2469" s="60"/>
      <c r="GHP2469" s="60"/>
      <c r="GHQ2469" s="63"/>
      <c r="GHR2469" s="61"/>
      <c r="GHS2469" s="54"/>
      <c r="GHT2469" s="54"/>
      <c r="GHU2469" s="60"/>
      <c r="GHV2469" s="60"/>
      <c r="GHW2469" s="60"/>
      <c r="GHX2469" s="60"/>
      <c r="GHY2469" s="63"/>
      <c r="GHZ2469" s="61"/>
      <c r="GIA2469" s="54"/>
      <c r="GIB2469" s="54"/>
      <c r="GIC2469" s="60"/>
      <c r="GID2469" s="60"/>
      <c r="GIE2469" s="60"/>
      <c r="GIF2469" s="60"/>
      <c r="GIG2469" s="63"/>
      <c r="GIH2469" s="61"/>
      <c r="GII2469" s="54"/>
      <c r="GIJ2469" s="54"/>
      <c r="GIK2469" s="60"/>
      <c r="GIL2469" s="60"/>
      <c r="GIM2469" s="60"/>
      <c r="GIN2469" s="60"/>
      <c r="GIO2469" s="63"/>
      <c r="GIP2469" s="61"/>
      <c r="GIQ2469" s="54"/>
      <c r="GIR2469" s="54"/>
      <c r="GIS2469" s="60"/>
      <c r="GIT2469" s="60"/>
      <c r="GIU2469" s="60"/>
      <c r="GIV2469" s="60"/>
      <c r="GIW2469" s="63"/>
      <c r="GIX2469" s="61"/>
      <c r="GIY2469" s="54"/>
      <c r="GIZ2469" s="54"/>
      <c r="GJA2469" s="60"/>
      <c r="GJB2469" s="60"/>
      <c r="GJC2469" s="60"/>
      <c r="GJD2469" s="60"/>
      <c r="GJE2469" s="63"/>
      <c r="GJF2469" s="61"/>
      <c r="GJG2469" s="54"/>
      <c r="GJH2469" s="54"/>
      <c r="GJI2469" s="60"/>
      <c r="GJJ2469" s="60"/>
      <c r="GJK2469" s="60"/>
      <c r="GJL2469" s="60"/>
      <c r="GJM2469" s="63"/>
      <c r="GJN2469" s="61"/>
      <c r="GJO2469" s="54"/>
      <c r="GJP2469" s="54"/>
      <c r="GJQ2469" s="60"/>
      <c r="GJR2469" s="60"/>
      <c r="GJS2469" s="60"/>
      <c r="GJT2469" s="60"/>
      <c r="GJU2469" s="63"/>
      <c r="GJV2469" s="61"/>
      <c r="GJW2469" s="54"/>
      <c r="GJX2469" s="54"/>
      <c r="GJY2469" s="60"/>
      <c r="GJZ2469" s="60"/>
      <c r="GKA2469" s="60"/>
      <c r="GKB2469" s="60"/>
      <c r="GKC2469" s="63"/>
      <c r="GKD2469" s="61"/>
      <c r="GKE2469" s="54"/>
      <c r="GKF2469" s="54"/>
      <c r="GKG2469" s="60"/>
      <c r="GKH2469" s="60"/>
      <c r="GKI2469" s="60"/>
      <c r="GKJ2469" s="60"/>
      <c r="GKK2469" s="63"/>
      <c r="GKL2469" s="61"/>
      <c r="GKM2469" s="54"/>
      <c r="GKN2469" s="54"/>
      <c r="GKO2469" s="60"/>
      <c r="GKP2469" s="60"/>
      <c r="GKQ2469" s="60"/>
      <c r="GKR2469" s="60"/>
      <c r="GKS2469" s="63"/>
      <c r="GKT2469" s="61"/>
      <c r="GKU2469" s="54"/>
      <c r="GKV2469" s="54"/>
      <c r="GKW2469" s="60"/>
      <c r="GKX2469" s="60"/>
      <c r="GKY2469" s="60"/>
      <c r="GKZ2469" s="60"/>
      <c r="GLA2469" s="63"/>
      <c r="GLB2469" s="61"/>
      <c r="GLC2469" s="54"/>
      <c r="GLD2469" s="54"/>
      <c r="GLE2469" s="60"/>
      <c r="GLF2469" s="60"/>
      <c r="GLG2469" s="60"/>
      <c r="GLH2469" s="60"/>
      <c r="GLI2469" s="63"/>
      <c r="GLJ2469" s="61"/>
      <c r="GLK2469" s="54"/>
      <c r="GLL2469" s="54"/>
      <c r="GLM2469" s="60"/>
      <c r="GLN2469" s="60"/>
      <c r="GLO2469" s="60"/>
      <c r="GLP2469" s="60"/>
      <c r="GLQ2469" s="63"/>
      <c r="GLR2469" s="61"/>
      <c r="GLS2469" s="54"/>
      <c r="GLT2469" s="54"/>
      <c r="GLU2469" s="60"/>
      <c r="GLV2469" s="60"/>
      <c r="GLW2469" s="60"/>
      <c r="GLX2469" s="60"/>
      <c r="GLY2469" s="63"/>
      <c r="GLZ2469" s="61"/>
      <c r="GMA2469" s="54"/>
      <c r="GMB2469" s="54"/>
      <c r="GMC2469" s="60"/>
      <c r="GMD2469" s="60"/>
      <c r="GME2469" s="60"/>
      <c r="GMF2469" s="60"/>
      <c r="GMG2469" s="63"/>
      <c r="GMH2469" s="61"/>
      <c r="GMI2469" s="54"/>
      <c r="GMJ2469" s="54"/>
      <c r="GMK2469" s="60"/>
      <c r="GML2469" s="60"/>
      <c r="GMM2469" s="60"/>
      <c r="GMN2469" s="60"/>
      <c r="GMO2469" s="63"/>
      <c r="GMP2469" s="61"/>
      <c r="GMQ2469" s="54"/>
      <c r="GMR2469" s="54"/>
      <c r="GMS2469" s="60"/>
      <c r="GMT2469" s="60"/>
      <c r="GMU2469" s="60"/>
      <c r="GMV2469" s="60"/>
      <c r="GMW2469" s="63"/>
      <c r="GMX2469" s="61"/>
      <c r="GMY2469" s="54"/>
      <c r="GMZ2469" s="54"/>
      <c r="GNA2469" s="60"/>
      <c r="GNB2469" s="60"/>
      <c r="GNC2469" s="60"/>
      <c r="GND2469" s="60"/>
      <c r="GNE2469" s="63"/>
      <c r="GNF2469" s="61"/>
      <c r="GNG2469" s="54"/>
      <c r="GNH2469" s="54"/>
      <c r="GNI2469" s="60"/>
      <c r="GNJ2469" s="60"/>
      <c r="GNK2469" s="60"/>
      <c r="GNL2469" s="60"/>
      <c r="GNM2469" s="63"/>
      <c r="GNN2469" s="61"/>
      <c r="GNO2469" s="54"/>
      <c r="GNP2469" s="54"/>
      <c r="GNQ2469" s="60"/>
      <c r="GNR2469" s="60"/>
      <c r="GNS2469" s="60"/>
      <c r="GNT2469" s="60"/>
      <c r="GNU2469" s="63"/>
      <c r="GNV2469" s="61"/>
      <c r="GNW2469" s="54"/>
      <c r="GNX2469" s="54"/>
      <c r="GNY2469" s="60"/>
      <c r="GNZ2469" s="60"/>
      <c r="GOA2469" s="60"/>
      <c r="GOB2469" s="60"/>
      <c r="GOC2469" s="63"/>
      <c r="GOD2469" s="61"/>
      <c r="GOE2469" s="54"/>
      <c r="GOF2469" s="54"/>
      <c r="GOG2469" s="60"/>
      <c r="GOH2469" s="60"/>
      <c r="GOI2469" s="60"/>
      <c r="GOJ2469" s="60"/>
      <c r="GOK2469" s="63"/>
      <c r="GOL2469" s="61"/>
      <c r="GOM2469" s="54"/>
      <c r="GON2469" s="54"/>
      <c r="GOO2469" s="60"/>
      <c r="GOP2469" s="60"/>
      <c r="GOQ2469" s="60"/>
      <c r="GOR2469" s="60"/>
      <c r="GOS2469" s="63"/>
      <c r="GOT2469" s="61"/>
      <c r="GOU2469" s="54"/>
      <c r="GOV2469" s="54"/>
      <c r="GOW2469" s="60"/>
      <c r="GOX2469" s="60"/>
      <c r="GOY2469" s="60"/>
      <c r="GOZ2469" s="60"/>
      <c r="GPA2469" s="63"/>
      <c r="GPB2469" s="61"/>
      <c r="GPC2469" s="54"/>
      <c r="GPD2469" s="54"/>
      <c r="GPE2469" s="60"/>
      <c r="GPF2469" s="60"/>
      <c r="GPG2469" s="60"/>
      <c r="GPH2469" s="60"/>
      <c r="GPI2469" s="63"/>
      <c r="GPJ2469" s="61"/>
      <c r="GPK2469" s="54"/>
      <c r="GPL2469" s="54"/>
      <c r="GPM2469" s="60"/>
      <c r="GPN2469" s="60"/>
      <c r="GPO2469" s="60"/>
      <c r="GPP2469" s="60"/>
      <c r="GPQ2469" s="63"/>
      <c r="GPR2469" s="61"/>
      <c r="GPS2469" s="54"/>
      <c r="GPT2469" s="54"/>
      <c r="GPU2469" s="60"/>
      <c r="GPV2469" s="60"/>
      <c r="GPW2469" s="60"/>
      <c r="GPX2469" s="60"/>
      <c r="GPY2469" s="63"/>
      <c r="GPZ2469" s="61"/>
      <c r="GQA2469" s="54"/>
      <c r="GQB2469" s="54"/>
      <c r="GQC2469" s="60"/>
      <c r="GQD2469" s="60"/>
      <c r="GQE2469" s="60"/>
      <c r="GQF2469" s="60"/>
      <c r="GQG2469" s="63"/>
      <c r="GQH2469" s="61"/>
      <c r="GQI2469" s="54"/>
      <c r="GQJ2469" s="54"/>
      <c r="GQK2469" s="60"/>
      <c r="GQL2469" s="60"/>
      <c r="GQM2469" s="60"/>
      <c r="GQN2469" s="60"/>
      <c r="GQO2469" s="63"/>
      <c r="GQP2469" s="61"/>
      <c r="GQQ2469" s="54"/>
      <c r="GQR2469" s="54"/>
      <c r="GQS2469" s="60"/>
      <c r="GQT2469" s="60"/>
      <c r="GQU2469" s="60"/>
      <c r="GQV2469" s="60"/>
      <c r="GQW2469" s="63"/>
      <c r="GQX2469" s="61"/>
      <c r="GQY2469" s="54"/>
      <c r="GQZ2469" s="54"/>
      <c r="GRA2469" s="60"/>
      <c r="GRB2469" s="60"/>
      <c r="GRC2469" s="60"/>
      <c r="GRD2469" s="60"/>
      <c r="GRE2469" s="63"/>
      <c r="GRF2469" s="61"/>
      <c r="GRG2469" s="54"/>
      <c r="GRH2469" s="54"/>
      <c r="GRI2469" s="60"/>
      <c r="GRJ2469" s="60"/>
      <c r="GRK2469" s="60"/>
      <c r="GRL2469" s="60"/>
      <c r="GRM2469" s="63"/>
      <c r="GRN2469" s="61"/>
      <c r="GRO2469" s="54"/>
      <c r="GRP2469" s="54"/>
      <c r="GRQ2469" s="60"/>
      <c r="GRR2469" s="60"/>
      <c r="GRS2469" s="60"/>
      <c r="GRT2469" s="60"/>
      <c r="GRU2469" s="63"/>
      <c r="GRV2469" s="61"/>
      <c r="GRW2469" s="54"/>
      <c r="GRX2469" s="54"/>
      <c r="GRY2469" s="60"/>
      <c r="GRZ2469" s="60"/>
      <c r="GSA2469" s="60"/>
      <c r="GSB2469" s="60"/>
      <c r="GSC2469" s="63"/>
      <c r="GSD2469" s="61"/>
      <c r="GSE2469" s="54"/>
      <c r="GSF2469" s="54"/>
      <c r="GSG2469" s="60"/>
      <c r="GSH2469" s="60"/>
      <c r="GSI2469" s="60"/>
      <c r="GSJ2469" s="60"/>
      <c r="GSK2469" s="63"/>
      <c r="GSL2469" s="61"/>
      <c r="GSM2469" s="54"/>
      <c r="GSN2469" s="54"/>
      <c r="GSO2469" s="60"/>
      <c r="GSP2469" s="60"/>
      <c r="GSQ2469" s="60"/>
      <c r="GSR2469" s="60"/>
      <c r="GSS2469" s="63"/>
      <c r="GST2469" s="61"/>
      <c r="GSU2469" s="54"/>
      <c r="GSV2469" s="54"/>
      <c r="GSW2469" s="60"/>
      <c r="GSX2469" s="60"/>
      <c r="GSY2469" s="60"/>
      <c r="GSZ2469" s="60"/>
      <c r="GTA2469" s="63"/>
      <c r="GTB2469" s="61"/>
      <c r="GTC2469" s="54"/>
      <c r="GTD2469" s="54"/>
      <c r="GTE2469" s="60"/>
      <c r="GTF2469" s="60"/>
      <c r="GTG2469" s="60"/>
      <c r="GTH2469" s="60"/>
      <c r="GTI2469" s="63"/>
      <c r="GTJ2469" s="61"/>
      <c r="GTK2469" s="54"/>
      <c r="GTL2469" s="54"/>
      <c r="GTM2469" s="60"/>
      <c r="GTN2469" s="60"/>
      <c r="GTO2469" s="60"/>
      <c r="GTP2469" s="60"/>
      <c r="GTQ2469" s="63"/>
      <c r="GTR2469" s="61"/>
      <c r="GTS2469" s="54"/>
      <c r="GTT2469" s="54"/>
      <c r="GTU2469" s="60"/>
      <c r="GTV2469" s="60"/>
      <c r="GTW2469" s="60"/>
      <c r="GTX2469" s="60"/>
      <c r="GTY2469" s="63"/>
      <c r="GTZ2469" s="61"/>
      <c r="GUA2469" s="54"/>
      <c r="GUB2469" s="54"/>
      <c r="GUC2469" s="60"/>
      <c r="GUD2469" s="60"/>
      <c r="GUE2469" s="60"/>
      <c r="GUF2469" s="60"/>
      <c r="GUG2469" s="63"/>
      <c r="GUH2469" s="61"/>
      <c r="GUI2469" s="54"/>
      <c r="GUJ2469" s="54"/>
      <c r="GUK2469" s="60"/>
      <c r="GUL2469" s="60"/>
      <c r="GUM2469" s="60"/>
      <c r="GUN2469" s="60"/>
      <c r="GUO2469" s="63"/>
      <c r="GUP2469" s="61"/>
      <c r="GUQ2469" s="54"/>
      <c r="GUR2469" s="54"/>
      <c r="GUS2469" s="60"/>
      <c r="GUT2469" s="60"/>
      <c r="GUU2469" s="60"/>
      <c r="GUV2469" s="60"/>
      <c r="GUW2469" s="63"/>
      <c r="GUX2469" s="61"/>
      <c r="GUY2469" s="54"/>
      <c r="GUZ2469" s="54"/>
      <c r="GVA2469" s="60"/>
      <c r="GVB2469" s="60"/>
      <c r="GVC2469" s="60"/>
      <c r="GVD2469" s="60"/>
      <c r="GVE2469" s="63"/>
      <c r="GVF2469" s="61"/>
      <c r="GVG2469" s="54"/>
      <c r="GVH2469" s="54"/>
      <c r="GVI2469" s="60"/>
      <c r="GVJ2469" s="60"/>
      <c r="GVK2469" s="60"/>
      <c r="GVL2469" s="60"/>
      <c r="GVM2469" s="63"/>
      <c r="GVN2469" s="61"/>
      <c r="GVO2469" s="54"/>
      <c r="GVP2469" s="54"/>
      <c r="GVQ2469" s="60"/>
      <c r="GVR2469" s="60"/>
      <c r="GVS2469" s="60"/>
      <c r="GVT2469" s="60"/>
      <c r="GVU2469" s="63"/>
      <c r="GVV2469" s="61"/>
      <c r="GVW2469" s="54"/>
      <c r="GVX2469" s="54"/>
      <c r="GVY2469" s="60"/>
      <c r="GVZ2469" s="60"/>
      <c r="GWA2469" s="60"/>
      <c r="GWB2469" s="60"/>
      <c r="GWC2469" s="63"/>
      <c r="GWD2469" s="61"/>
      <c r="GWE2469" s="54"/>
      <c r="GWF2469" s="54"/>
      <c r="GWG2469" s="60"/>
      <c r="GWH2469" s="60"/>
      <c r="GWI2469" s="60"/>
      <c r="GWJ2469" s="60"/>
      <c r="GWK2469" s="63"/>
      <c r="GWL2469" s="61"/>
      <c r="GWM2469" s="54"/>
      <c r="GWN2469" s="54"/>
      <c r="GWO2469" s="60"/>
      <c r="GWP2469" s="60"/>
      <c r="GWQ2469" s="60"/>
      <c r="GWR2469" s="60"/>
      <c r="GWS2469" s="63"/>
      <c r="GWT2469" s="61"/>
      <c r="GWU2469" s="54"/>
      <c r="GWV2469" s="54"/>
      <c r="GWW2469" s="60"/>
      <c r="GWX2469" s="60"/>
      <c r="GWY2469" s="60"/>
      <c r="GWZ2469" s="60"/>
      <c r="GXA2469" s="63"/>
      <c r="GXB2469" s="61"/>
      <c r="GXC2469" s="54"/>
      <c r="GXD2469" s="54"/>
      <c r="GXE2469" s="60"/>
      <c r="GXF2469" s="60"/>
      <c r="GXG2469" s="60"/>
      <c r="GXH2469" s="60"/>
      <c r="GXI2469" s="63"/>
      <c r="GXJ2469" s="61"/>
      <c r="GXK2469" s="54"/>
      <c r="GXL2469" s="54"/>
      <c r="GXM2469" s="60"/>
      <c r="GXN2469" s="60"/>
      <c r="GXO2469" s="60"/>
      <c r="GXP2469" s="60"/>
      <c r="GXQ2469" s="63"/>
      <c r="GXR2469" s="61"/>
      <c r="GXS2469" s="54"/>
      <c r="GXT2469" s="54"/>
      <c r="GXU2469" s="60"/>
      <c r="GXV2469" s="60"/>
      <c r="GXW2469" s="60"/>
      <c r="GXX2469" s="60"/>
      <c r="GXY2469" s="63"/>
      <c r="GXZ2469" s="61"/>
      <c r="GYA2469" s="54"/>
      <c r="GYB2469" s="54"/>
      <c r="GYC2469" s="60"/>
      <c r="GYD2469" s="60"/>
      <c r="GYE2469" s="60"/>
      <c r="GYF2469" s="60"/>
      <c r="GYG2469" s="63"/>
      <c r="GYH2469" s="61"/>
      <c r="GYI2469" s="54"/>
      <c r="GYJ2469" s="54"/>
      <c r="GYK2469" s="60"/>
      <c r="GYL2469" s="60"/>
      <c r="GYM2469" s="60"/>
      <c r="GYN2469" s="60"/>
      <c r="GYO2469" s="63"/>
      <c r="GYP2469" s="61"/>
      <c r="GYQ2469" s="54"/>
      <c r="GYR2469" s="54"/>
      <c r="GYS2469" s="60"/>
      <c r="GYT2469" s="60"/>
      <c r="GYU2469" s="60"/>
      <c r="GYV2469" s="60"/>
      <c r="GYW2469" s="63"/>
      <c r="GYX2469" s="61"/>
      <c r="GYY2469" s="54"/>
      <c r="GYZ2469" s="54"/>
      <c r="GZA2469" s="60"/>
      <c r="GZB2469" s="60"/>
      <c r="GZC2469" s="60"/>
      <c r="GZD2469" s="60"/>
      <c r="GZE2469" s="63"/>
      <c r="GZF2469" s="61"/>
      <c r="GZG2469" s="54"/>
      <c r="GZH2469" s="54"/>
      <c r="GZI2469" s="60"/>
      <c r="GZJ2469" s="60"/>
      <c r="GZK2469" s="60"/>
      <c r="GZL2469" s="60"/>
      <c r="GZM2469" s="63"/>
      <c r="GZN2469" s="61"/>
      <c r="GZO2469" s="54"/>
      <c r="GZP2469" s="54"/>
      <c r="GZQ2469" s="60"/>
      <c r="GZR2469" s="60"/>
      <c r="GZS2469" s="60"/>
      <c r="GZT2469" s="60"/>
      <c r="GZU2469" s="63"/>
      <c r="GZV2469" s="61"/>
      <c r="GZW2469" s="54"/>
      <c r="GZX2469" s="54"/>
      <c r="GZY2469" s="60"/>
      <c r="GZZ2469" s="60"/>
      <c r="HAA2469" s="60"/>
      <c r="HAB2469" s="60"/>
      <c r="HAC2469" s="63"/>
      <c r="HAD2469" s="61"/>
      <c r="HAE2469" s="54"/>
      <c r="HAF2469" s="54"/>
      <c r="HAG2469" s="60"/>
      <c r="HAH2469" s="60"/>
      <c r="HAI2469" s="60"/>
      <c r="HAJ2469" s="60"/>
      <c r="HAK2469" s="63"/>
      <c r="HAL2469" s="61"/>
      <c r="HAM2469" s="54"/>
      <c r="HAN2469" s="54"/>
      <c r="HAO2469" s="60"/>
      <c r="HAP2469" s="60"/>
      <c r="HAQ2469" s="60"/>
      <c r="HAR2469" s="60"/>
      <c r="HAS2469" s="63"/>
      <c r="HAT2469" s="61"/>
      <c r="HAU2469" s="54"/>
      <c r="HAV2469" s="54"/>
      <c r="HAW2469" s="60"/>
      <c r="HAX2469" s="60"/>
      <c r="HAY2469" s="60"/>
      <c r="HAZ2469" s="60"/>
      <c r="HBA2469" s="63"/>
      <c r="HBB2469" s="61"/>
      <c r="HBC2469" s="54"/>
      <c r="HBD2469" s="54"/>
      <c r="HBE2469" s="60"/>
      <c r="HBF2469" s="60"/>
      <c r="HBG2469" s="60"/>
      <c r="HBH2469" s="60"/>
      <c r="HBI2469" s="63"/>
      <c r="HBJ2469" s="61"/>
      <c r="HBK2469" s="54"/>
      <c r="HBL2469" s="54"/>
      <c r="HBM2469" s="60"/>
      <c r="HBN2469" s="60"/>
      <c r="HBO2469" s="60"/>
      <c r="HBP2469" s="60"/>
      <c r="HBQ2469" s="63"/>
      <c r="HBR2469" s="61"/>
      <c r="HBS2469" s="54"/>
      <c r="HBT2469" s="54"/>
      <c r="HBU2469" s="60"/>
      <c r="HBV2469" s="60"/>
      <c r="HBW2469" s="60"/>
      <c r="HBX2469" s="60"/>
      <c r="HBY2469" s="63"/>
      <c r="HBZ2469" s="61"/>
      <c r="HCA2469" s="54"/>
      <c r="HCB2469" s="54"/>
      <c r="HCC2469" s="60"/>
      <c r="HCD2469" s="60"/>
      <c r="HCE2469" s="60"/>
      <c r="HCF2469" s="60"/>
      <c r="HCG2469" s="63"/>
      <c r="HCH2469" s="61"/>
      <c r="HCI2469" s="54"/>
      <c r="HCJ2469" s="54"/>
      <c r="HCK2469" s="60"/>
      <c r="HCL2469" s="60"/>
      <c r="HCM2469" s="60"/>
      <c r="HCN2469" s="60"/>
      <c r="HCO2469" s="63"/>
      <c r="HCP2469" s="61"/>
      <c r="HCQ2469" s="54"/>
      <c r="HCR2469" s="54"/>
      <c r="HCS2469" s="60"/>
      <c r="HCT2469" s="60"/>
      <c r="HCU2469" s="60"/>
      <c r="HCV2469" s="60"/>
      <c r="HCW2469" s="63"/>
      <c r="HCX2469" s="61"/>
      <c r="HCY2469" s="54"/>
      <c r="HCZ2469" s="54"/>
      <c r="HDA2469" s="60"/>
      <c r="HDB2469" s="60"/>
      <c r="HDC2469" s="60"/>
      <c r="HDD2469" s="60"/>
      <c r="HDE2469" s="63"/>
      <c r="HDF2469" s="61"/>
      <c r="HDG2469" s="54"/>
      <c r="HDH2469" s="54"/>
      <c r="HDI2469" s="60"/>
      <c r="HDJ2469" s="60"/>
      <c r="HDK2469" s="60"/>
      <c r="HDL2469" s="60"/>
      <c r="HDM2469" s="63"/>
      <c r="HDN2469" s="61"/>
      <c r="HDO2469" s="54"/>
      <c r="HDP2469" s="54"/>
      <c r="HDQ2469" s="60"/>
      <c r="HDR2469" s="60"/>
      <c r="HDS2469" s="60"/>
      <c r="HDT2469" s="60"/>
      <c r="HDU2469" s="63"/>
      <c r="HDV2469" s="61"/>
      <c r="HDW2469" s="54"/>
      <c r="HDX2469" s="54"/>
      <c r="HDY2469" s="60"/>
      <c r="HDZ2469" s="60"/>
      <c r="HEA2469" s="60"/>
      <c r="HEB2469" s="60"/>
      <c r="HEC2469" s="63"/>
      <c r="HED2469" s="61"/>
      <c r="HEE2469" s="54"/>
      <c r="HEF2469" s="54"/>
      <c r="HEG2469" s="60"/>
      <c r="HEH2469" s="60"/>
      <c r="HEI2469" s="60"/>
      <c r="HEJ2469" s="60"/>
      <c r="HEK2469" s="63"/>
      <c r="HEL2469" s="61"/>
      <c r="HEM2469" s="54"/>
      <c r="HEN2469" s="54"/>
      <c r="HEO2469" s="60"/>
      <c r="HEP2469" s="60"/>
      <c r="HEQ2469" s="60"/>
      <c r="HER2469" s="60"/>
      <c r="HES2469" s="63"/>
      <c r="HET2469" s="61"/>
      <c r="HEU2469" s="54"/>
      <c r="HEV2469" s="54"/>
      <c r="HEW2469" s="60"/>
      <c r="HEX2469" s="60"/>
      <c r="HEY2469" s="60"/>
      <c r="HEZ2469" s="60"/>
      <c r="HFA2469" s="63"/>
      <c r="HFB2469" s="61"/>
      <c r="HFC2469" s="54"/>
      <c r="HFD2469" s="54"/>
      <c r="HFE2469" s="60"/>
      <c r="HFF2469" s="60"/>
      <c r="HFG2469" s="60"/>
      <c r="HFH2469" s="60"/>
      <c r="HFI2469" s="63"/>
      <c r="HFJ2469" s="61"/>
      <c r="HFK2469" s="54"/>
      <c r="HFL2469" s="54"/>
      <c r="HFM2469" s="60"/>
      <c r="HFN2469" s="60"/>
      <c r="HFO2469" s="60"/>
      <c r="HFP2469" s="60"/>
      <c r="HFQ2469" s="63"/>
      <c r="HFR2469" s="61"/>
      <c r="HFS2469" s="54"/>
      <c r="HFT2469" s="54"/>
      <c r="HFU2469" s="60"/>
      <c r="HFV2469" s="60"/>
      <c r="HFW2469" s="60"/>
      <c r="HFX2469" s="60"/>
      <c r="HFY2469" s="63"/>
      <c r="HFZ2469" s="61"/>
      <c r="HGA2469" s="54"/>
      <c r="HGB2469" s="54"/>
      <c r="HGC2469" s="60"/>
      <c r="HGD2469" s="60"/>
      <c r="HGE2469" s="60"/>
      <c r="HGF2469" s="60"/>
      <c r="HGG2469" s="63"/>
      <c r="HGH2469" s="61"/>
      <c r="HGI2469" s="54"/>
      <c r="HGJ2469" s="54"/>
      <c r="HGK2469" s="60"/>
      <c r="HGL2469" s="60"/>
      <c r="HGM2469" s="60"/>
      <c r="HGN2469" s="60"/>
      <c r="HGO2469" s="63"/>
      <c r="HGP2469" s="61"/>
      <c r="HGQ2469" s="54"/>
      <c r="HGR2469" s="54"/>
      <c r="HGS2469" s="60"/>
      <c r="HGT2469" s="60"/>
      <c r="HGU2469" s="60"/>
      <c r="HGV2469" s="60"/>
      <c r="HGW2469" s="63"/>
      <c r="HGX2469" s="61"/>
      <c r="HGY2469" s="54"/>
      <c r="HGZ2469" s="54"/>
      <c r="HHA2469" s="60"/>
      <c r="HHB2469" s="60"/>
      <c r="HHC2469" s="60"/>
      <c r="HHD2469" s="60"/>
      <c r="HHE2469" s="63"/>
      <c r="HHF2469" s="61"/>
      <c r="HHG2469" s="54"/>
      <c r="HHH2469" s="54"/>
      <c r="HHI2469" s="60"/>
      <c r="HHJ2469" s="60"/>
      <c r="HHK2469" s="60"/>
      <c r="HHL2469" s="60"/>
      <c r="HHM2469" s="63"/>
      <c r="HHN2469" s="61"/>
      <c r="HHO2469" s="54"/>
      <c r="HHP2469" s="54"/>
      <c r="HHQ2469" s="60"/>
      <c r="HHR2469" s="60"/>
      <c r="HHS2469" s="60"/>
      <c r="HHT2469" s="60"/>
      <c r="HHU2469" s="63"/>
      <c r="HHV2469" s="61"/>
      <c r="HHW2469" s="54"/>
      <c r="HHX2469" s="54"/>
      <c r="HHY2469" s="60"/>
      <c r="HHZ2469" s="60"/>
      <c r="HIA2469" s="60"/>
      <c r="HIB2469" s="60"/>
      <c r="HIC2469" s="63"/>
      <c r="HID2469" s="61"/>
      <c r="HIE2469" s="54"/>
      <c r="HIF2469" s="54"/>
      <c r="HIG2469" s="60"/>
      <c r="HIH2469" s="60"/>
      <c r="HII2469" s="60"/>
      <c r="HIJ2469" s="60"/>
      <c r="HIK2469" s="63"/>
      <c r="HIL2469" s="61"/>
      <c r="HIM2469" s="54"/>
      <c r="HIN2469" s="54"/>
      <c r="HIO2469" s="60"/>
      <c r="HIP2469" s="60"/>
      <c r="HIQ2469" s="60"/>
      <c r="HIR2469" s="60"/>
      <c r="HIS2469" s="63"/>
      <c r="HIT2469" s="61"/>
      <c r="HIU2469" s="54"/>
      <c r="HIV2469" s="54"/>
      <c r="HIW2469" s="60"/>
      <c r="HIX2469" s="60"/>
      <c r="HIY2469" s="60"/>
      <c r="HIZ2469" s="60"/>
      <c r="HJA2469" s="63"/>
      <c r="HJB2469" s="61"/>
      <c r="HJC2469" s="54"/>
      <c r="HJD2469" s="54"/>
      <c r="HJE2469" s="60"/>
      <c r="HJF2469" s="60"/>
      <c r="HJG2469" s="60"/>
      <c r="HJH2469" s="60"/>
      <c r="HJI2469" s="63"/>
      <c r="HJJ2469" s="61"/>
      <c r="HJK2469" s="54"/>
      <c r="HJL2469" s="54"/>
      <c r="HJM2469" s="60"/>
      <c r="HJN2469" s="60"/>
      <c r="HJO2469" s="60"/>
      <c r="HJP2469" s="60"/>
      <c r="HJQ2469" s="63"/>
      <c r="HJR2469" s="61"/>
      <c r="HJS2469" s="54"/>
      <c r="HJT2469" s="54"/>
      <c r="HJU2469" s="60"/>
      <c r="HJV2469" s="60"/>
      <c r="HJW2469" s="60"/>
      <c r="HJX2469" s="60"/>
      <c r="HJY2469" s="63"/>
      <c r="HJZ2469" s="61"/>
      <c r="HKA2469" s="54"/>
      <c r="HKB2469" s="54"/>
      <c r="HKC2469" s="60"/>
      <c r="HKD2469" s="60"/>
      <c r="HKE2469" s="60"/>
      <c r="HKF2469" s="60"/>
      <c r="HKG2469" s="63"/>
      <c r="HKH2469" s="61"/>
      <c r="HKI2469" s="54"/>
      <c r="HKJ2469" s="54"/>
      <c r="HKK2469" s="60"/>
      <c r="HKL2469" s="60"/>
      <c r="HKM2469" s="60"/>
      <c r="HKN2469" s="60"/>
      <c r="HKO2469" s="63"/>
      <c r="HKP2469" s="61"/>
      <c r="HKQ2469" s="54"/>
      <c r="HKR2469" s="54"/>
      <c r="HKS2469" s="60"/>
      <c r="HKT2469" s="60"/>
      <c r="HKU2469" s="60"/>
      <c r="HKV2469" s="60"/>
      <c r="HKW2469" s="63"/>
      <c r="HKX2469" s="61"/>
      <c r="HKY2469" s="54"/>
      <c r="HKZ2469" s="54"/>
      <c r="HLA2469" s="60"/>
      <c r="HLB2469" s="60"/>
      <c r="HLC2469" s="60"/>
      <c r="HLD2469" s="60"/>
      <c r="HLE2469" s="63"/>
      <c r="HLF2469" s="61"/>
      <c r="HLG2469" s="54"/>
      <c r="HLH2469" s="54"/>
      <c r="HLI2469" s="60"/>
      <c r="HLJ2469" s="60"/>
      <c r="HLK2469" s="60"/>
      <c r="HLL2469" s="60"/>
      <c r="HLM2469" s="63"/>
      <c r="HLN2469" s="61"/>
      <c r="HLO2469" s="54"/>
      <c r="HLP2469" s="54"/>
      <c r="HLQ2469" s="60"/>
      <c r="HLR2469" s="60"/>
      <c r="HLS2469" s="60"/>
      <c r="HLT2469" s="60"/>
      <c r="HLU2469" s="63"/>
      <c r="HLV2469" s="61"/>
      <c r="HLW2469" s="54"/>
      <c r="HLX2469" s="54"/>
      <c r="HLY2469" s="60"/>
      <c r="HLZ2469" s="60"/>
      <c r="HMA2469" s="60"/>
      <c r="HMB2469" s="60"/>
      <c r="HMC2469" s="63"/>
      <c r="HMD2469" s="61"/>
      <c r="HME2469" s="54"/>
      <c r="HMF2469" s="54"/>
      <c r="HMG2469" s="60"/>
      <c r="HMH2469" s="60"/>
      <c r="HMI2469" s="60"/>
      <c r="HMJ2469" s="60"/>
      <c r="HMK2469" s="63"/>
      <c r="HML2469" s="61"/>
      <c r="HMM2469" s="54"/>
      <c r="HMN2469" s="54"/>
      <c r="HMO2469" s="60"/>
      <c r="HMP2469" s="60"/>
      <c r="HMQ2469" s="60"/>
      <c r="HMR2469" s="60"/>
      <c r="HMS2469" s="63"/>
      <c r="HMT2469" s="61"/>
      <c r="HMU2469" s="54"/>
      <c r="HMV2469" s="54"/>
      <c r="HMW2469" s="60"/>
      <c r="HMX2469" s="60"/>
      <c r="HMY2469" s="60"/>
      <c r="HMZ2469" s="60"/>
      <c r="HNA2469" s="63"/>
      <c r="HNB2469" s="61"/>
      <c r="HNC2469" s="54"/>
      <c r="HND2469" s="54"/>
      <c r="HNE2469" s="60"/>
      <c r="HNF2469" s="60"/>
      <c r="HNG2469" s="60"/>
      <c r="HNH2469" s="60"/>
      <c r="HNI2469" s="63"/>
      <c r="HNJ2469" s="61"/>
      <c r="HNK2469" s="54"/>
      <c r="HNL2469" s="54"/>
      <c r="HNM2469" s="60"/>
      <c r="HNN2469" s="60"/>
      <c r="HNO2469" s="60"/>
      <c r="HNP2469" s="60"/>
      <c r="HNQ2469" s="63"/>
      <c r="HNR2469" s="61"/>
      <c r="HNS2469" s="54"/>
      <c r="HNT2469" s="54"/>
      <c r="HNU2469" s="60"/>
      <c r="HNV2469" s="60"/>
      <c r="HNW2469" s="60"/>
      <c r="HNX2469" s="60"/>
      <c r="HNY2469" s="63"/>
      <c r="HNZ2469" s="61"/>
      <c r="HOA2469" s="54"/>
      <c r="HOB2469" s="54"/>
      <c r="HOC2469" s="60"/>
      <c r="HOD2469" s="60"/>
      <c r="HOE2469" s="60"/>
      <c r="HOF2469" s="60"/>
      <c r="HOG2469" s="63"/>
      <c r="HOH2469" s="61"/>
      <c r="HOI2469" s="54"/>
      <c r="HOJ2469" s="54"/>
      <c r="HOK2469" s="60"/>
      <c r="HOL2469" s="60"/>
      <c r="HOM2469" s="60"/>
      <c r="HON2469" s="60"/>
      <c r="HOO2469" s="63"/>
      <c r="HOP2469" s="61"/>
      <c r="HOQ2469" s="54"/>
      <c r="HOR2469" s="54"/>
      <c r="HOS2469" s="60"/>
      <c r="HOT2469" s="60"/>
      <c r="HOU2469" s="60"/>
      <c r="HOV2469" s="60"/>
      <c r="HOW2469" s="63"/>
      <c r="HOX2469" s="61"/>
      <c r="HOY2469" s="54"/>
      <c r="HOZ2469" s="54"/>
      <c r="HPA2469" s="60"/>
      <c r="HPB2469" s="60"/>
      <c r="HPC2469" s="60"/>
      <c r="HPD2469" s="60"/>
      <c r="HPE2469" s="63"/>
      <c r="HPF2469" s="61"/>
      <c r="HPG2469" s="54"/>
      <c r="HPH2469" s="54"/>
      <c r="HPI2469" s="60"/>
      <c r="HPJ2469" s="60"/>
      <c r="HPK2469" s="60"/>
      <c r="HPL2469" s="60"/>
      <c r="HPM2469" s="63"/>
      <c r="HPN2469" s="61"/>
      <c r="HPO2469" s="54"/>
      <c r="HPP2469" s="54"/>
      <c r="HPQ2469" s="60"/>
      <c r="HPR2469" s="60"/>
      <c r="HPS2469" s="60"/>
      <c r="HPT2469" s="60"/>
      <c r="HPU2469" s="63"/>
      <c r="HPV2469" s="61"/>
      <c r="HPW2469" s="54"/>
      <c r="HPX2469" s="54"/>
      <c r="HPY2469" s="60"/>
      <c r="HPZ2469" s="60"/>
      <c r="HQA2469" s="60"/>
      <c r="HQB2469" s="60"/>
      <c r="HQC2469" s="63"/>
      <c r="HQD2469" s="61"/>
      <c r="HQE2469" s="54"/>
      <c r="HQF2469" s="54"/>
      <c r="HQG2469" s="60"/>
      <c r="HQH2469" s="60"/>
      <c r="HQI2469" s="60"/>
      <c r="HQJ2469" s="60"/>
      <c r="HQK2469" s="63"/>
      <c r="HQL2469" s="61"/>
      <c r="HQM2469" s="54"/>
      <c r="HQN2469" s="54"/>
      <c r="HQO2469" s="60"/>
      <c r="HQP2469" s="60"/>
      <c r="HQQ2469" s="60"/>
      <c r="HQR2469" s="60"/>
      <c r="HQS2469" s="63"/>
      <c r="HQT2469" s="61"/>
      <c r="HQU2469" s="54"/>
      <c r="HQV2469" s="54"/>
      <c r="HQW2469" s="60"/>
      <c r="HQX2469" s="60"/>
      <c r="HQY2469" s="60"/>
      <c r="HQZ2469" s="60"/>
      <c r="HRA2469" s="63"/>
      <c r="HRB2469" s="61"/>
      <c r="HRC2469" s="54"/>
      <c r="HRD2469" s="54"/>
      <c r="HRE2469" s="60"/>
      <c r="HRF2469" s="60"/>
      <c r="HRG2469" s="60"/>
      <c r="HRH2469" s="60"/>
      <c r="HRI2469" s="63"/>
      <c r="HRJ2469" s="61"/>
      <c r="HRK2469" s="54"/>
      <c r="HRL2469" s="54"/>
      <c r="HRM2469" s="60"/>
      <c r="HRN2469" s="60"/>
      <c r="HRO2469" s="60"/>
      <c r="HRP2469" s="60"/>
      <c r="HRQ2469" s="63"/>
      <c r="HRR2469" s="61"/>
      <c r="HRS2469" s="54"/>
      <c r="HRT2469" s="54"/>
      <c r="HRU2469" s="60"/>
      <c r="HRV2469" s="60"/>
      <c r="HRW2469" s="60"/>
      <c r="HRX2469" s="60"/>
      <c r="HRY2469" s="63"/>
      <c r="HRZ2469" s="61"/>
      <c r="HSA2469" s="54"/>
      <c r="HSB2469" s="54"/>
      <c r="HSC2469" s="60"/>
      <c r="HSD2469" s="60"/>
      <c r="HSE2469" s="60"/>
      <c r="HSF2469" s="60"/>
      <c r="HSG2469" s="63"/>
      <c r="HSH2469" s="61"/>
      <c r="HSI2469" s="54"/>
      <c r="HSJ2469" s="54"/>
      <c r="HSK2469" s="60"/>
      <c r="HSL2469" s="60"/>
      <c r="HSM2469" s="60"/>
      <c r="HSN2469" s="60"/>
      <c r="HSO2469" s="63"/>
      <c r="HSP2469" s="61"/>
      <c r="HSQ2469" s="54"/>
      <c r="HSR2469" s="54"/>
      <c r="HSS2469" s="60"/>
      <c r="HST2469" s="60"/>
      <c r="HSU2469" s="60"/>
      <c r="HSV2469" s="60"/>
      <c r="HSW2469" s="63"/>
      <c r="HSX2469" s="61"/>
      <c r="HSY2469" s="54"/>
      <c r="HSZ2469" s="54"/>
      <c r="HTA2469" s="60"/>
      <c r="HTB2469" s="60"/>
      <c r="HTC2469" s="60"/>
      <c r="HTD2469" s="60"/>
      <c r="HTE2469" s="63"/>
      <c r="HTF2469" s="61"/>
      <c r="HTG2469" s="54"/>
      <c r="HTH2469" s="54"/>
      <c r="HTI2469" s="60"/>
      <c r="HTJ2469" s="60"/>
      <c r="HTK2469" s="60"/>
      <c r="HTL2469" s="60"/>
      <c r="HTM2469" s="63"/>
      <c r="HTN2469" s="61"/>
      <c r="HTO2469" s="54"/>
      <c r="HTP2469" s="54"/>
      <c r="HTQ2469" s="60"/>
      <c r="HTR2469" s="60"/>
      <c r="HTS2469" s="60"/>
      <c r="HTT2469" s="60"/>
      <c r="HTU2469" s="63"/>
      <c r="HTV2469" s="61"/>
      <c r="HTW2469" s="54"/>
      <c r="HTX2469" s="54"/>
      <c r="HTY2469" s="60"/>
      <c r="HTZ2469" s="60"/>
      <c r="HUA2469" s="60"/>
      <c r="HUB2469" s="60"/>
      <c r="HUC2469" s="63"/>
      <c r="HUD2469" s="61"/>
      <c r="HUE2469" s="54"/>
      <c r="HUF2469" s="54"/>
      <c r="HUG2469" s="60"/>
      <c r="HUH2469" s="60"/>
      <c r="HUI2469" s="60"/>
      <c r="HUJ2469" s="60"/>
      <c r="HUK2469" s="63"/>
      <c r="HUL2469" s="61"/>
      <c r="HUM2469" s="54"/>
      <c r="HUN2469" s="54"/>
      <c r="HUO2469" s="60"/>
      <c r="HUP2469" s="60"/>
      <c r="HUQ2469" s="60"/>
      <c r="HUR2469" s="60"/>
      <c r="HUS2469" s="63"/>
      <c r="HUT2469" s="61"/>
      <c r="HUU2469" s="54"/>
      <c r="HUV2469" s="54"/>
      <c r="HUW2469" s="60"/>
      <c r="HUX2469" s="60"/>
      <c r="HUY2469" s="60"/>
      <c r="HUZ2469" s="60"/>
      <c r="HVA2469" s="63"/>
      <c r="HVB2469" s="61"/>
      <c r="HVC2469" s="54"/>
      <c r="HVD2469" s="54"/>
      <c r="HVE2469" s="60"/>
      <c r="HVF2469" s="60"/>
      <c r="HVG2469" s="60"/>
      <c r="HVH2469" s="60"/>
      <c r="HVI2469" s="63"/>
      <c r="HVJ2469" s="61"/>
      <c r="HVK2469" s="54"/>
      <c r="HVL2469" s="54"/>
      <c r="HVM2469" s="60"/>
      <c r="HVN2469" s="60"/>
      <c r="HVO2469" s="60"/>
      <c r="HVP2469" s="60"/>
      <c r="HVQ2469" s="63"/>
      <c r="HVR2469" s="61"/>
      <c r="HVS2469" s="54"/>
      <c r="HVT2469" s="54"/>
      <c r="HVU2469" s="60"/>
      <c r="HVV2469" s="60"/>
      <c r="HVW2469" s="60"/>
      <c r="HVX2469" s="60"/>
      <c r="HVY2469" s="63"/>
      <c r="HVZ2469" s="61"/>
      <c r="HWA2469" s="54"/>
      <c r="HWB2469" s="54"/>
      <c r="HWC2469" s="60"/>
      <c r="HWD2469" s="60"/>
      <c r="HWE2469" s="60"/>
      <c r="HWF2469" s="60"/>
      <c r="HWG2469" s="63"/>
      <c r="HWH2469" s="61"/>
      <c r="HWI2469" s="54"/>
      <c r="HWJ2469" s="54"/>
      <c r="HWK2469" s="60"/>
      <c r="HWL2469" s="60"/>
      <c r="HWM2469" s="60"/>
      <c r="HWN2469" s="60"/>
      <c r="HWO2469" s="63"/>
      <c r="HWP2469" s="61"/>
      <c r="HWQ2469" s="54"/>
      <c r="HWR2469" s="54"/>
      <c r="HWS2469" s="60"/>
      <c r="HWT2469" s="60"/>
      <c r="HWU2469" s="60"/>
      <c r="HWV2469" s="60"/>
      <c r="HWW2469" s="63"/>
      <c r="HWX2469" s="61"/>
      <c r="HWY2469" s="54"/>
      <c r="HWZ2469" s="54"/>
      <c r="HXA2469" s="60"/>
      <c r="HXB2469" s="60"/>
      <c r="HXC2469" s="60"/>
      <c r="HXD2469" s="60"/>
      <c r="HXE2469" s="63"/>
      <c r="HXF2469" s="61"/>
      <c r="HXG2469" s="54"/>
      <c r="HXH2469" s="54"/>
      <c r="HXI2469" s="60"/>
      <c r="HXJ2469" s="60"/>
      <c r="HXK2469" s="60"/>
      <c r="HXL2469" s="60"/>
      <c r="HXM2469" s="63"/>
      <c r="HXN2469" s="61"/>
      <c r="HXO2469" s="54"/>
      <c r="HXP2469" s="54"/>
      <c r="HXQ2469" s="60"/>
      <c r="HXR2469" s="60"/>
      <c r="HXS2469" s="60"/>
      <c r="HXT2469" s="60"/>
      <c r="HXU2469" s="63"/>
      <c r="HXV2469" s="61"/>
      <c r="HXW2469" s="54"/>
      <c r="HXX2469" s="54"/>
      <c r="HXY2469" s="60"/>
      <c r="HXZ2469" s="60"/>
      <c r="HYA2469" s="60"/>
      <c r="HYB2469" s="60"/>
      <c r="HYC2469" s="63"/>
      <c r="HYD2469" s="61"/>
      <c r="HYE2469" s="54"/>
      <c r="HYF2469" s="54"/>
      <c r="HYG2469" s="60"/>
      <c r="HYH2469" s="60"/>
      <c r="HYI2469" s="60"/>
      <c r="HYJ2469" s="60"/>
      <c r="HYK2469" s="63"/>
      <c r="HYL2469" s="61"/>
      <c r="HYM2469" s="54"/>
      <c r="HYN2469" s="54"/>
      <c r="HYO2469" s="60"/>
      <c r="HYP2469" s="60"/>
      <c r="HYQ2469" s="60"/>
      <c r="HYR2469" s="60"/>
      <c r="HYS2469" s="63"/>
      <c r="HYT2469" s="61"/>
      <c r="HYU2469" s="54"/>
      <c r="HYV2469" s="54"/>
      <c r="HYW2469" s="60"/>
      <c r="HYX2469" s="60"/>
      <c r="HYY2469" s="60"/>
      <c r="HYZ2469" s="60"/>
      <c r="HZA2469" s="63"/>
      <c r="HZB2469" s="61"/>
      <c r="HZC2469" s="54"/>
      <c r="HZD2469" s="54"/>
      <c r="HZE2469" s="60"/>
      <c r="HZF2469" s="60"/>
      <c r="HZG2469" s="60"/>
      <c r="HZH2469" s="60"/>
      <c r="HZI2469" s="63"/>
      <c r="HZJ2469" s="61"/>
      <c r="HZK2469" s="54"/>
      <c r="HZL2469" s="54"/>
      <c r="HZM2469" s="60"/>
      <c r="HZN2469" s="60"/>
      <c r="HZO2469" s="60"/>
      <c r="HZP2469" s="60"/>
      <c r="HZQ2469" s="63"/>
      <c r="HZR2469" s="61"/>
      <c r="HZS2469" s="54"/>
      <c r="HZT2469" s="54"/>
      <c r="HZU2469" s="60"/>
      <c r="HZV2469" s="60"/>
      <c r="HZW2469" s="60"/>
      <c r="HZX2469" s="60"/>
      <c r="HZY2469" s="63"/>
      <c r="HZZ2469" s="61"/>
      <c r="IAA2469" s="54"/>
      <c r="IAB2469" s="54"/>
      <c r="IAC2469" s="60"/>
      <c r="IAD2469" s="60"/>
      <c r="IAE2469" s="60"/>
      <c r="IAF2469" s="60"/>
      <c r="IAG2469" s="63"/>
      <c r="IAH2469" s="61"/>
      <c r="IAI2469" s="54"/>
      <c r="IAJ2469" s="54"/>
      <c r="IAK2469" s="60"/>
      <c r="IAL2469" s="60"/>
      <c r="IAM2469" s="60"/>
      <c r="IAN2469" s="60"/>
      <c r="IAO2469" s="63"/>
      <c r="IAP2469" s="61"/>
      <c r="IAQ2469" s="54"/>
      <c r="IAR2469" s="54"/>
      <c r="IAS2469" s="60"/>
      <c r="IAT2469" s="60"/>
      <c r="IAU2469" s="60"/>
      <c r="IAV2469" s="60"/>
      <c r="IAW2469" s="63"/>
      <c r="IAX2469" s="61"/>
      <c r="IAY2469" s="54"/>
      <c r="IAZ2469" s="54"/>
      <c r="IBA2469" s="60"/>
      <c r="IBB2469" s="60"/>
      <c r="IBC2469" s="60"/>
      <c r="IBD2469" s="60"/>
      <c r="IBE2469" s="63"/>
      <c r="IBF2469" s="61"/>
      <c r="IBG2469" s="54"/>
      <c r="IBH2469" s="54"/>
      <c r="IBI2469" s="60"/>
      <c r="IBJ2469" s="60"/>
      <c r="IBK2469" s="60"/>
      <c r="IBL2469" s="60"/>
      <c r="IBM2469" s="63"/>
      <c r="IBN2469" s="61"/>
      <c r="IBO2469" s="54"/>
      <c r="IBP2469" s="54"/>
      <c r="IBQ2469" s="60"/>
      <c r="IBR2469" s="60"/>
      <c r="IBS2469" s="60"/>
      <c r="IBT2469" s="60"/>
      <c r="IBU2469" s="63"/>
      <c r="IBV2469" s="61"/>
      <c r="IBW2469" s="54"/>
      <c r="IBX2469" s="54"/>
      <c r="IBY2469" s="60"/>
      <c r="IBZ2469" s="60"/>
      <c r="ICA2469" s="60"/>
      <c r="ICB2469" s="60"/>
      <c r="ICC2469" s="63"/>
      <c r="ICD2469" s="61"/>
      <c r="ICE2469" s="54"/>
      <c r="ICF2469" s="54"/>
      <c r="ICG2469" s="60"/>
      <c r="ICH2469" s="60"/>
      <c r="ICI2469" s="60"/>
      <c r="ICJ2469" s="60"/>
      <c r="ICK2469" s="63"/>
      <c r="ICL2469" s="61"/>
      <c r="ICM2469" s="54"/>
      <c r="ICN2469" s="54"/>
      <c r="ICO2469" s="60"/>
      <c r="ICP2469" s="60"/>
      <c r="ICQ2469" s="60"/>
      <c r="ICR2469" s="60"/>
      <c r="ICS2469" s="63"/>
      <c r="ICT2469" s="61"/>
      <c r="ICU2469" s="54"/>
      <c r="ICV2469" s="54"/>
      <c r="ICW2469" s="60"/>
      <c r="ICX2469" s="60"/>
      <c r="ICY2469" s="60"/>
      <c r="ICZ2469" s="60"/>
      <c r="IDA2469" s="63"/>
      <c r="IDB2469" s="61"/>
      <c r="IDC2469" s="54"/>
      <c r="IDD2469" s="54"/>
      <c r="IDE2469" s="60"/>
      <c r="IDF2469" s="60"/>
      <c r="IDG2469" s="60"/>
      <c r="IDH2469" s="60"/>
      <c r="IDI2469" s="63"/>
      <c r="IDJ2469" s="61"/>
      <c r="IDK2469" s="54"/>
      <c r="IDL2469" s="54"/>
      <c r="IDM2469" s="60"/>
      <c r="IDN2469" s="60"/>
      <c r="IDO2469" s="60"/>
      <c r="IDP2469" s="60"/>
      <c r="IDQ2469" s="63"/>
      <c r="IDR2469" s="61"/>
      <c r="IDS2469" s="54"/>
      <c r="IDT2469" s="54"/>
      <c r="IDU2469" s="60"/>
      <c r="IDV2469" s="60"/>
      <c r="IDW2469" s="60"/>
      <c r="IDX2469" s="60"/>
      <c r="IDY2469" s="63"/>
      <c r="IDZ2469" s="61"/>
      <c r="IEA2469" s="54"/>
      <c r="IEB2469" s="54"/>
      <c r="IEC2469" s="60"/>
      <c r="IED2469" s="60"/>
      <c r="IEE2469" s="60"/>
      <c r="IEF2469" s="60"/>
      <c r="IEG2469" s="63"/>
      <c r="IEH2469" s="61"/>
      <c r="IEI2469" s="54"/>
      <c r="IEJ2469" s="54"/>
      <c r="IEK2469" s="60"/>
      <c r="IEL2469" s="60"/>
      <c r="IEM2469" s="60"/>
      <c r="IEN2469" s="60"/>
      <c r="IEO2469" s="63"/>
      <c r="IEP2469" s="61"/>
      <c r="IEQ2469" s="54"/>
      <c r="IER2469" s="54"/>
      <c r="IES2469" s="60"/>
      <c r="IET2469" s="60"/>
      <c r="IEU2469" s="60"/>
      <c r="IEV2469" s="60"/>
      <c r="IEW2469" s="63"/>
      <c r="IEX2469" s="61"/>
      <c r="IEY2469" s="54"/>
      <c r="IEZ2469" s="54"/>
      <c r="IFA2469" s="60"/>
      <c r="IFB2469" s="60"/>
      <c r="IFC2469" s="60"/>
      <c r="IFD2469" s="60"/>
      <c r="IFE2469" s="63"/>
      <c r="IFF2469" s="61"/>
      <c r="IFG2469" s="54"/>
      <c r="IFH2469" s="54"/>
      <c r="IFI2469" s="60"/>
      <c r="IFJ2469" s="60"/>
      <c r="IFK2469" s="60"/>
      <c r="IFL2469" s="60"/>
      <c r="IFM2469" s="63"/>
      <c r="IFN2469" s="61"/>
      <c r="IFO2469" s="54"/>
      <c r="IFP2469" s="54"/>
      <c r="IFQ2469" s="60"/>
      <c r="IFR2469" s="60"/>
      <c r="IFS2469" s="60"/>
      <c r="IFT2469" s="60"/>
      <c r="IFU2469" s="63"/>
      <c r="IFV2469" s="61"/>
      <c r="IFW2469" s="54"/>
      <c r="IFX2469" s="54"/>
      <c r="IFY2469" s="60"/>
      <c r="IFZ2469" s="60"/>
      <c r="IGA2469" s="60"/>
      <c r="IGB2469" s="60"/>
      <c r="IGC2469" s="63"/>
      <c r="IGD2469" s="61"/>
      <c r="IGE2469" s="54"/>
      <c r="IGF2469" s="54"/>
      <c r="IGG2469" s="60"/>
      <c r="IGH2469" s="60"/>
      <c r="IGI2469" s="60"/>
      <c r="IGJ2469" s="60"/>
      <c r="IGK2469" s="63"/>
      <c r="IGL2469" s="61"/>
      <c r="IGM2469" s="54"/>
      <c r="IGN2469" s="54"/>
      <c r="IGO2469" s="60"/>
      <c r="IGP2469" s="60"/>
      <c r="IGQ2469" s="60"/>
      <c r="IGR2469" s="60"/>
      <c r="IGS2469" s="63"/>
      <c r="IGT2469" s="61"/>
      <c r="IGU2469" s="54"/>
      <c r="IGV2469" s="54"/>
      <c r="IGW2469" s="60"/>
      <c r="IGX2469" s="60"/>
      <c r="IGY2469" s="60"/>
      <c r="IGZ2469" s="60"/>
      <c r="IHA2469" s="63"/>
      <c r="IHB2469" s="61"/>
      <c r="IHC2469" s="54"/>
      <c r="IHD2469" s="54"/>
      <c r="IHE2469" s="60"/>
      <c r="IHF2469" s="60"/>
      <c r="IHG2469" s="60"/>
      <c r="IHH2469" s="60"/>
      <c r="IHI2469" s="63"/>
      <c r="IHJ2469" s="61"/>
      <c r="IHK2469" s="54"/>
      <c r="IHL2469" s="54"/>
      <c r="IHM2469" s="60"/>
      <c r="IHN2469" s="60"/>
      <c r="IHO2469" s="60"/>
      <c r="IHP2469" s="60"/>
      <c r="IHQ2469" s="63"/>
      <c r="IHR2469" s="61"/>
      <c r="IHS2469" s="54"/>
      <c r="IHT2469" s="54"/>
      <c r="IHU2469" s="60"/>
      <c r="IHV2469" s="60"/>
      <c r="IHW2469" s="60"/>
      <c r="IHX2469" s="60"/>
      <c r="IHY2469" s="63"/>
      <c r="IHZ2469" s="61"/>
      <c r="IIA2469" s="54"/>
      <c r="IIB2469" s="54"/>
      <c r="IIC2469" s="60"/>
      <c r="IID2469" s="60"/>
      <c r="IIE2469" s="60"/>
      <c r="IIF2469" s="60"/>
      <c r="IIG2469" s="63"/>
      <c r="IIH2469" s="61"/>
      <c r="III2469" s="54"/>
      <c r="IIJ2469" s="54"/>
      <c r="IIK2469" s="60"/>
      <c r="IIL2469" s="60"/>
      <c r="IIM2469" s="60"/>
      <c r="IIN2469" s="60"/>
      <c r="IIO2469" s="63"/>
      <c r="IIP2469" s="61"/>
      <c r="IIQ2469" s="54"/>
      <c r="IIR2469" s="54"/>
      <c r="IIS2469" s="60"/>
      <c r="IIT2469" s="60"/>
      <c r="IIU2469" s="60"/>
      <c r="IIV2469" s="60"/>
      <c r="IIW2469" s="63"/>
      <c r="IIX2469" s="61"/>
      <c r="IIY2469" s="54"/>
      <c r="IIZ2469" s="54"/>
      <c r="IJA2469" s="60"/>
      <c r="IJB2469" s="60"/>
      <c r="IJC2469" s="60"/>
      <c r="IJD2469" s="60"/>
      <c r="IJE2469" s="63"/>
      <c r="IJF2469" s="61"/>
      <c r="IJG2469" s="54"/>
      <c r="IJH2469" s="54"/>
      <c r="IJI2469" s="60"/>
      <c r="IJJ2469" s="60"/>
      <c r="IJK2469" s="60"/>
      <c r="IJL2469" s="60"/>
      <c r="IJM2469" s="63"/>
      <c r="IJN2469" s="61"/>
      <c r="IJO2469" s="54"/>
      <c r="IJP2469" s="54"/>
      <c r="IJQ2469" s="60"/>
      <c r="IJR2469" s="60"/>
      <c r="IJS2469" s="60"/>
      <c r="IJT2469" s="60"/>
      <c r="IJU2469" s="63"/>
      <c r="IJV2469" s="61"/>
      <c r="IJW2469" s="54"/>
      <c r="IJX2469" s="54"/>
      <c r="IJY2469" s="60"/>
      <c r="IJZ2469" s="60"/>
      <c r="IKA2469" s="60"/>
      <c r="IKB2469" s="60"/>
      <c r="IKC2469" s="63"/>
      <c r="IKD2469" s="61"/>
      <c r="IKE2469" s="54"/>
      <c r="IKF2469" s="54"/>
      <c r="IKG2469" s="60"/>
      <c r="IKH2469" s="60"/>
      <c r="IKI2469" s="60"/>
      <c r="IKJ2469" s="60"/>
      <c r="IKK2469" s="63"/>
      <c r="IKL2469" s="61"/>
      <c r="IKM2469" s="54"/>
      <c r="IKN2469" s="54"/>
      <c r="IKO2469" s="60"/>
      <c r="IKP2469" s="60"/>
      <c r="IKQ2469" s="60"/>
      <c r="IKR2469" s="60"/>
      <c r="IKS2469" s="63"/>
      <c r="IKT2469" s="61"/>
      <c r="IKU2469" s="54"/>
      <c r="IKV2469" s="54"/>
      <c r="IKW2469" s="60"/>
      <c r="IKX2469" s="60"/>
      <c r="IKY2469" s="60"/>
      <c r="IKZ2469" s="60"/>
      <c r="ILA2469" s="63"/>
      <c r="ILB2469" s="61"/>
      <c r="ILC2469" s="54"/>
      <c r="ILD2469" s="54"/>
      <c r="ILE2469" s="60"/>
      <c r="ILF2469" s="60"/>
      <c r="ILG2469" s="60"/>
      <c r="ILH2469" s="60"/>
      <c r="ILI2469" s="63"/>
      <c r="ILJ2469" s="61"/>
      <c r="ILK2469" s="54"/>
      <c r="ILL2469" s="54"/>
      <c r="ILM2469" s="60"/>
      <c r="ILN2469" s="60"/>
      <c r="ILO2469" s="60"/>
      <c r="ILP2469" s="60"/>
      <c r="ILQ2469" s="63"/>
      <c r="ILR2469" s="61"/>
      <c r="ILS2469" s="54"/>
      <c r="ILT2469" s="54"/>
      <c r="ILU2469" s="60"/>
      <c r="ILV2469" s="60"/>
      <c r="ILW2469" s="60"/>
      <c r="ILX2469" s="60"/>
      <c r="ILY2469" s="63"/>
      <c r="ILZ2469" s="61"/>
      <c r="IMA2469" s="54"/>
      <c r="IMB2469" s="54"/>
      <c r="IMC2469" s="60"/>
      <c r="IMD2469" s="60"/>
      <c r="IME2469" s="60"/>
      <c r="IMF2469" s="60"/>
      <c r="IMG2469" s="63"/>
      <c r="IMH2469" s="61"/>
      <c r="IMI2469" s="54"/>
      <c r="IMJ2469" s="54"/>
      <c r="IMK2469" s="60"/>
      <c r="IML2469" s="60"/>
      <c r="IMM2469" s="60"/>
      <c r="IMN2469" s="60"/>
      <c r="IMO2469" s="63"/>
      <c r="IMP2469" s="61"/>
      <c r="IMQ2469" s="54"/>
      <c r="IMR2469" s="54"/>
      <c r="IMS2469" s="60"/>
      <c r="IMT2469" s="60"/>
      <c r="IMU2469" s="60"/>
      <c r="IMV2469" s="60"/>
      <c r="IMW2469" s="63"/>
      <c r="IMX2469" s="61"/>
      <c r="IMY2469" s="54"/>
      <c r="IMZ2469" s="54"/>
      <c r="INA2469" s="60"/>
      <c r="INB2469" s="60"/>
      <c r="INC2469" s="60"/>
      <c r="IND2469" s="60"/>
      <c r="INE2469" s="63"/>
      <c r="INF2469" s="61"/>
      <c r="ING2469" s="54"/>
      <c r="INH2469" s="54"/>
      <c r="INI2469" s="60"/>
      <c r="INJ2469" s="60"/>
      <c r="INK2469" s="60"/>
      <c r="INL2469" s="60"/>
      <c r="INM2469" s="63"/>
      <c r="INN2469" s="61"/>
      <c r="INO2469" s="54"/>
      <c r="INP2469" s="54"/>
      <c r="INQ2469" s="60"/>
      <c r="INR2469" s="60"/>
      <c r="INS2469" s="60"/>
      <c r="INT2469" s="60"/>
      <c r="INU2469" s="63"/>
      <c r="INV2469" s="61"/>
      <c r="INW2469" s="54"/>
      <c r="INX2469" s="54"/>
      <c r="INY2469" s="60"/>
      <c r="INZ2469" s="60"/>
      <c r="IOA2469" s="60"/>
      <c r="IOB2469" s="60"/>
      <c r="IOC2469" s="63"/>
      <c r="IOD2469" s="61"/>
      <c r="IOE2469" s="54"/>
      <c r="IOF2469" s="54"/>
      <c r="IOG2469" s="60"/>
      <c r="IOH2469" s="60"/>
      <c r="IOI2469" s="60"/>
      <c r="IOJ2469" s="60"/>
      <c r="IOK2469" s="63"/>
      <c r="IOL2469" s="61"/>
      <c r="IOM2469" s="54"/>
      <c r="ION2469" s="54"/>
      <c r="IOO2469" s="60"/>
      <c r="IOP2469" s="60"/>
      <c r="IOQ2469" s="60"/>
      <c r="IOR2469" s="60"/>
      <c r="IOS2469" s="63"/>
      <c r="IOT2469" s="61"/>
      <c r="IOU2469" s="54"/>
      <c r="IOV2469" s="54"/>
      <c r="IOW2469" s="60"/>
      <c r="IOX2469" s="60"/>
      <c r="IOY2469" s="60"/>
      <c r="IOZ2469" s="60"/>
      <c r="IPA2469" s="63"/>
      <c r="IPB2469" s="61"/>
      <c r="IPC2469" s="54"/>
      <c r="IPD2469" s="54"/>
      <c r="IPE2469" s="60"/>
      <c r="IPF2469" s="60"/>
      <c r="IPG2469" s="60"/>
      <c r="IPH2469" s="60"/>
      <c r="IPI2469" s="63"/>
      <c r="IPJ2469" s="61"/>
      <c r="IPK2469" s="54"/>
      <c r="IPL2469" s="54"/>
      <c r="IPM2469" s="60"/>
      <c r="IPN2469" s="60"/>
      <c r="IPO2469" s="60"/>
      <c r="IPP2469" s="60"/>
      <c r="IPQ2469" s="63"/>
      <c r="IPR2469" s="61"/>
      <c r="IPS2469" s="54"/>
      <c r="IPT2469" s="54"/>
      <c r="IPU2469" s="60"/>
      <c r="IPV2469" s="60"/>
      <c r="IPW2469" s="60"/>
      <c r="IPX2469" s="60"/>
      <c r="IPY2469" s="63"/>
      <c r="IPZ2469" s="61"/>
      <c r="IQA2469" s="54"/>
      <c r="IQB2469" s="54"/>
      <c r="IQC2469" s="60"/>
      <c r="IQD2469" s="60"/>
      <c r="IQE2469" s="60"/>
      <c r="IQF2469" s="60"/>
      <c r="IQG2469" s="63"/>
      <c r="IQH2469" s="61"/>
      <c r="IQI2469" s="54"/>
      <c r="IQJ2469" s="54"/>
      <c r="IQK2469" s="60"/>
      <c r="IQL2469" s="60"/>
      <c r="IQM2469" s="60"/>
      <c r="IQN2469" s="60"/>
      <c r="IQO2469" s="63"/>
      <c r="IQP2469" s="61"/>
      <c r="IQQ2469" s="54"/>
      <c r="IQR2469" s="54"/>
      <c r="IQS2469" s="60"/>
      <c r="IQT2469" s="60"/>
      <c r="IQU2469" s="60"/>
      <c r="IQV2469" s="60"/>
      <c r="IQW2469" s="63"/>
      <c r="IQX2469" s="61"/>
      <c r="IQY2469" s="54"/>
      <c r="IQZ2469" s="54"/>
      <c r="IRA2469" s="60"/>
      <c r="IRB2469" s="60"/>
      <c r="IRC2469" s="60"/>
      <c r="IRD2469" s="60"/>
      <c r="IRE2469" s="63"/>
      <c r="IRF2469" s="61"/>
      <c r="IRG2469" s="54"/>
      <c r="IRH2469" s="54"/>
      <c r="IRI2469" s="60"/>
      <c r="IRJ2469" s="60"/>
      <c r="IRK2469" s="60"/>
      <c r="IRL2469" s="60"/>
      <c r="IRM2469" s="63"/>
      <c r="IRN2469" s="61"/>
      <c r="IRO2469" s="54"/>
      <c r="IRP2469" s="54"/>
      <c r="IRQ2469" s="60"/>
      <c r="IRR2469" s="60"/>
      <c r="IRS2469" s="60"/>
      <c r="IRT2469" s="60"/>
      <c r="IRU2469" s="63"/>
      <c r="IRV2469" s="61"/>
      <c r="IRW2469" s="54"/>
      <c r="IRX2469" s="54"/>
      <c r="IRY2469" s="60"/>
      <c r="IRZ2469" s="60"/>
      <c r="ISA2469" s="60"/>
      <c r="ISB2469" s="60"/>
      <c r="ISC2469" s="63"/>
      <c r="ISD2469" s="61"/>
      <c r="ISE2469" s="54"/>
      <c r="ISF2469" s="54"/>
      <c r="ISG2469" s="60"/>
      <c r="ISH2469" s="60"/>
      <c r="ISI2469" s="60"/>
      <c r="ISJ2469" s="60"/>
      <c r="ISK2469" s="63"/>
      <c r="ISL2469" s="61"/>
      <c r="ISM2469" s="54"/>
      <c r="ISN2469" s="54"/>
      <c r="ISO2469" s="60"/>
      <c r="ISP2469" s="60"/>
      <c r="ISQ2469" s="60"/>
      <c r="ISR2469" s="60"/>
      <c r="ISS2469" s="63"/>
      <c r="IST2469" s="61"/>
      <c r="ISU2469" s="54"/>
      <c r="ISV2469" s="54"/>
      <c r="ISW2469" s="60"/>
      <c r="ISX2469" s="60"/>
      <c r="ISY2469" s="60"/>
      <c r="ISZ2469" s="60"/>
      <c r="ITA2469" s="63"/>
      <c r="ITB2469" s="61"/>
      <c r="ITC2469" s="54"/>
      <c r="ITD2469" s="54"/>
      <c r="ITE2469" s="60"/>
      <c r="ITF2469" s="60"/>
      <c r="ITG2469" s="60"/>
      <c r="ITH2469" s="60"/>
      <c r="ITI2469" s="63"/>
      <c r="ITJ2469" s="61"/>
      <c r="ITK2469" s="54"/>
      <c r="ITL2469" s="54"/>
      <c r="ITM2469" s="60"/>
      <c r="ITN2469" s="60"/>
      <c r="ITO2469" s="60"/>
      <c r="ITP2469" s="60"/>
      <c r="ITQ2469" s="63"/>
      <c r="ITR2469" s="61"/>
      <c r="ITS2469" s="54"/>
      <c r="ITT2469" s="54"/>
      <c r="ITU2469" s="60"/>
      <c r="ITV2469" s="60"/>
      <c r="ITW2469" s="60"/>
      <c r="ITX2469" s="60"/>
      <c r="ITY2469" s="63"/>
      <c r="ITZ2469" s="61"/>
      <c r="IUA2469" s="54"/>
      <c r="IUB2469" s="54"/>
      <c r="IUC2469" s="60"/>
      <c r="IUD2469" s="60"/>
      <c r="IUE2469" s="60"/>
      <c r="IUF2469" s="60"/>
      <c r="IUG2469" s="63"/>
      <c r="IUH2469" s="61"/>
      <c r="IUI2469" s="54"/>
      <c r="IUJ2469" s="54"/>
      <c r="IUK2469" s="60"/>
      <c r="IUL2469" s="60"/>
      <c r="IUM2469" s="60"/>
      <c r="IUN2469" s="60"/>
      <c r="IUO2469" s="63"/>
      <c r="IUP2469" s="61"/>
      <c r="IUQ2469" s="54"/>
      <c r="IUR2469" s="54"/>
      <c r="IUS2469" s="60"/>
      <c r="IUT2469" s="60"/>
      <c r="IUU2469" s="60"/>
      <c r="IUV2469" s="60"/>
      <c r="IUW2469" s="63"/>
      <c r="IUX2469" s="61"/>
      <c r="IUY2469" s="54"/>
      <c r="IUZ2469" s="54"/>
      <c r="IVA2469" s="60"/>
      <c r="IVB2469" s="60"/>
      <c r="IVC2469" s="60"/>
      <c r="IVD2469" s="60"/>
      <c r="IVE2469" s="63"/>
      <c r="IVF2469" s="61"/>
      <c r="IVG2469" s="54"/>
      <c r="IVH2469" s="54"/>
      <c r="IVI2469" s="60"/>
      <c r="IVJ2469" s="60"/>
      <c r="IVK2469" s="60"/>
      <c r="IVL2469" s="60"/>
      <c r="IVM2469" s="63"/>
      <c r="IVN2469" s="61"/>
      <c r="IVO2469" s="54"/>
      <c r="IVP2469" s="54"/>
      <c r="IVQ2469" s="60"/>
      <c r="IVR2469" s="60"/>
      <c r="IVS2469" s="60"/>
      <c r="IVT2469" s="60"/>
      <c r="IVU2469" s="63"/>
      <c r="IVV2469" s="61"/>
      <c r="IVW2469" s="54"/>
      <c r="IVX2469" s="54"/>
      <c r="IVY2469" s="60"/>
      <c r="IVZ2469" s="60"/>
      <c r="IWA2469" s="60"/>
      <c r="IWB2469" s="60"/>
      <c r="IWC2469" s="63"/>
      <c r="IWD2469" s="61"/>
      <c r="IWE2469" s="54"/>
      <c r="IWF2469" s="54"/>
      <c r="IWG2469" s="60"/>
      <c r="IWH2469" s="60"/>
      <c r="IWI2469" s="60"/>
      <c r="IWJ2469" s="60"/>
      <c r="IWK2469" s="63"/>
      <c r="IWL2469" s="61"/>
      <c r="IWM2469" s="54"/>
      <c r="IWN2469" s="54"/>
      <c r="IWO2469" s="60"/>
      <c r="IWP2469" s="60"/>
      <c r="IWQ2469" s="60"/>
      <c r="IWR2469" s="60"/>
      <c r="IWS2469" s="63"/>
      <c r="IWT2469" s="61"/>
      <c r="IWU2469" s="54"/>
      <c r="IWV2469" s="54"/>
      <c r="IWW2469" s="60"/>
      <c r="IWX2469" s="60"/>
      <c r="IWY2469" s="60"/>
      <c r="IWZ2469" s="60"/>
      <c r="IXA2469" s="63"/>
      <c r="IXB2469" s="61"/>
      <c r="IXC2469" s="54"/>
      <c r="IXD2469" s="54"/>
      <c r="IXE2469" s="60"/>
      <c r="IXF2469" s="60"/>
      <c r="IXG2469" s="60"/>
      <c r="IXH2469" s="60"/>
      <c r="IXI2469" s="63"/>
      <c r="IXJ2469" s="61"/>
      <c r="IXK2469" s="54"/>
      <c r="IXL2469" s="54"/>
      <c r="IXM2469" s="60"/>
      <c r="IXN2469" s="60"/>
      <c r="IXO2469" s="60"/>
      <c r="IXP2469" s="60"/>
      <c r="IXQ2469" s="63"/>
      <c r="IXR2469" s="61"/>
      <c r="IXS2469" s="54"/>
      <c r="IXT2469" s="54"/>
      <c r="IXU2469" s="60"/>
      <c r="IXV2469" s="60"/>
      <c r="IXW2469" s="60"/>
      <c r="IXX2469" s="60"/>
      <c r="IXY2469" s="63"/>
      <c r="IXZ2469" s="61"/>
      <c r="IYA2469" s="54"/>
      <c r="IYB2469" s="54"/>
      <c r="IYC2469" s="60"/>
      <c r="IYD2469" s="60"/>
      <c r="IYE2469" s="60"/>
      <c r="IYF2469" s="60"/>
      <c r="IYG2469" s="63"/>
      <c r="IYH2469" s="61"/>
      <c r="IYI2469" s="54"/>
      <c r="IYJ2469" s="54"/>
      <c r="IYK2469" s="60"/>
      <c r="IYL2469" s="60"/>
      <c r="IYM2469" s="60"/>
      <c r="IYN2469" s="60"/>
      <c r="IYO2469" s="63"/>
      <c r="IYP2469" s="61"/>
      <c r="IYQ2469" s="54"/>
      <c r="IYR2469" s="54"/>
      <c r="IYS2469" s="60"/>
      <c r="IYT2469" s="60"/>
      <c r="IYU2469" s="60"/>
      <c r="IYV2469" s="60"/>
      <c r="IYW2469" s="63"/>
      <c r="IYX2469" s="61"/>
      <c r="IYY2469" s="54"/>
      <c r="IYZ2469" s="54"/>
      <c r="IZA2469" s="60"/>
      <c r="IZB2469" s="60"/>
      <c r="IZC2469" s="60"/>
      <c r="IZD2469" s="60"/>
      <c r="IZE2469" s="63"/>
      <c r="IZF2469" s="61"/>
      <c r="IZG2469" s="54"/>
      <c r="IZH2469" s="54"/>
      <c r="IZI2469" s="60"/>
      <c r="IZJ2469" s="60"/>
      <c r="IZK2469" s="60"/>
      <c r="IZL2469" s="60"/>
      <c r="IZM2469" s="63"/>
      <c r="IZN2469" s="61"/>
      <c r="IZO2469" s="54"/>
      <c r="IZP2469" s="54"/>
      <c r="IZQ2469" s="60"/>
      <c r="IZR2469" s="60"/>
      <c r="IZS2469" s="60"/>
      <c r="IZT2469" s="60"/>
      <c r="IZU2469" s="63"/>
      <c r="IZV2469" s="61"/>
      <c r="IZW2469" s="54"/>
      <c r="IZX2469" s="54"/>
      <c r="IZY2469" s="60"/>
      <c r="IZZ2469" s="60"/>
      <c r="JAA2469" s="60"/>
      <c r="JAB2469" s="60"/>
      <c r="JAC2469" s="63"/>
      <c r="JAD2469" s="61"/>
      <c r="JAE2469" s="54"/>
      <c r="JAF2469" s="54"/>
      <c r="JAG2469" s="60"/>
      <c r="JAH2469" s="60"/>
      <c r="JAI2469" s="60"/>
      <c r="JAJ2469" s="60"/>
      <c r="JAK2469" s="63"/>
      <c r="JAL2469" s="61"/>
      <c r="JAM2469" s="54"/>
      <c r="JAN2469" s="54"/>
      <c r="JAO2469" s="60"/>
      <c r="JAP2469" s="60"/>
      <c r="JAQ2469" s="60"/>
      <c r="JAR2469" s="60"/>
      <c r="JAS2469" s="63"/>
      <c r="JAT2469" s="61"/>
      <c r="JAU2469" s="54"/>
      <c r="JAV2469" s="54"/>
      <c r="JAW2469" s="60"/>
      <c r="JAX2469" s="60"/>
      <c r="JAY2469" s="60"/>
      <c r="JAZ2469" s="60"/>
      <c r="JBA2469" s="63"/>
      <c r="JBB2469" s="61"/>
      <c r="JBC2469" s="54"/>
      <c r="JBD2469" s="54"/>
      <c r="JBE2469" s="60"/>
      <c r="JBF2469" s="60"/>
      <c r="JBG2469" s="60"/>
      <c r="JBH2469" s="60"/>
      <c r="JBI2469" s="63"/>
      <c r="JBJ2469" s="61"/>
      <c r="JBK2469" s="54"/>
      <c r="JBL2469" s="54"/>
      <c r="JBM2469" s="60"/>
      <c r="JBN2469" s="60"/>
      <c r="JBO2469" s="60"/>
      <c r="JBP2469" s="60"/>
      <c r="JBQ2469" s="63"/>
      <c r="JBR2469" s="61"/>
      <c r="JBS2469" s="54"/>
      <c r="JBT2469" s="54"/>
      <c r="JBU2469" s="60"/>
      <c r="JBV2469" s="60"/>
      <c r="JBW2469" s="60"/>
      <c r="JBX2469" s="60"/>
      <c r="JBY2469" s="63"/>
      <c r="JBZ2469" s="61"/>
      <c r="JCA2469" s="54"/>
      <c r="JCB2469" s="54"/>
      <c r="JCC2469" s="60"/>
      <c r="JCD2469" s="60"/>
      <c r="JCE2469" s="60"/>
      <c r="JCF2469" s="60"/>
      <c r="JCG2469" s="63"/>
      <c r="JCH2469" s="61"/>
      <c r="JCI2469" s="54"/>
      <c r="JCJ2469" s="54"/>
      <c r="JCK2469" s="60"/>
      <c r="JCL2469" s="60"/>
      <c r="JCM2469" s="60"/>
      <c r="JCN2469" s="60"/>
      <c r="JCO2469" s="63"/>
      <c r="JCP2469" s="61"/>
      <c r="JCQ2469" s="54"/>
      <c r="JCR2469" s="54"/>
      <c r="JCS2469" s="60"/>
      <c r="JCT2469" s="60"/>
      <c r="JCU2469" s="60"/>
      <c r="JCV2469" s="60"/>
      <c r="JCW2469" s="63"/>
      <c r="JCX2469" s="61"/>
      <c r="JCY2469" s="54"/>
      <c r="JCZ2469" s="54"/>
      <c r="JDA2469" s="60"/>
      <c r="JDB2469" s="60"/>
      <c r="JDC2469" s="60"/>
      <c r="JDD2469" s="60"/>
      <c r="JDE2469" s="63"/>
      <c r="JDF2469" s="61"/>
      <c r="JDG2469" s="54"/>
      <c r="JDH2469" s="54"/>
      <c r="JDI2469" s="60"/>
      <c r="JDJ2469" s="60"/>
      <c r="JDK2469" s="60"/>
      <c r="JDL2469" s="60"/>
      <c r="JDM2469" s="63"/>
      <c r="JDN2469" s="61"/>
      <c r="JDO2469" s="54"/>
      <c r="JDP2469" s="54"/>
      <c r="JDQ2469" s="60"/>
      <c r="JDR2469" s="60"/>
      <c r="JDS2469" s="60"/>
      <c r="JDT2469" s="60"/>
      <c r="JDU2469" s="63"/>
      <c r="JDV2469" s="61"/>
      <c r="JDW2469" s="54"/>
      <c r="JDX2469" s="54"/>
      <c r="JDY2469" s="60"/>
      <c r="JDZ2469" s="60"/>
      <c r="JEA2469" s="60"/>
      <c r="JEB2469" s="60"/>
      <c r="JEC2469" s="63"/>
      <c r="JED2469" s="61"/>
      <c r="JEE2469" s="54"/>
      <c r="JEF2469" s="54"/>
      <c r="JEG2469" s="60"/>
      <c r="JEH2469" s="60"/>
      <c r="JEI2469" s="60"/>
      <c r="JEJ2469" s="60"/>
      <c r="JEK2469" s="63"/>
      <c r="JEL2469" s="61"/>
      <c r="JEM2469" s="54"/>
      <c r="JEN2469" s="54"/>
      <c r="JEO2469" s="60"/>
      <c r="JEP2469" s="60"/>
      <c r="JEQ2469" s="60"/>
      <c r="JER2469" s="60"/>
      <c r="JES2469" s="63"/>
      <c r="JET2469" s="61"/>
      <c r="JEU2469" s="54"/>
      <c r="JEV2469" s="54"/>
      <c r="JEW2469" s="60"/>
      <c r="JEX2469" s="60"/>
      <c r="JEY2469" s="60"/>
      <c r="JEZ2469" s="60"/>
      <c r="JFA2469" s="63"/>
      <c r="JFB2469" s="61"/>
      <c r="JFC2469" s="54"/>
      <c r="JFD2469" s="54"/>
      <c r="JFE2469" s="60"/>
      <c r="JFF2469" s="60"/>
      <c r="JFG2469" s="60"/>
      <c r="JFH2469" s="60"/>
      <c r="JFI2469" s="63"/>
      <c r="JFJ2469" s="61"/>
      <c r="JFK2469" s="54"/>
      <c r="JFL2469" s="54"/>
      <c r="JFM2469" s="60"/>
      <c r="JFN2469" s="60"/>
      <c r="JFO2469" s="60"/>
      <c r="JFP2469" s="60"/>
      <c r="JFQ2469" s="63"/>
      <c r="JFR2469" s="61"/>
      <c r="JFS2469" s="54"/>
      <c r="JFT2469" s="54"/>
      <c r="JFU2469" s="60"/>
      <c r="JFV2469" s="60"/>
      <c r="JFW2469" s="60"/>
      <c r="JFX2469" s="60"/>
      <c r="JFY2469" s="63"/>
      <c r="JFZ2469" s="61"/>
      <c r="JGA2469" s="54"/>
      <c r="JGB2469" s="54"/>
      <c r="JGC2469" s="60"/>
      <c r="JGD2469" s="60"/>
      <c r="JGE2469" s="60"/>
      <c r="JGF2469" s="60"/>
      <c r="JGG2469" s="63"/>
      <c r="JGH2469" s="61"/>
      <c r="JGI2469" s="54"/>
      <c r="JGJ2469" s="54"/>
      <c r="JGK2469" s="60"/>
      <c r="JGL2469" s="60"/>
      <c r="JGM2469" s="60"/>
      <c r="JGN2469" s="60"/>
      <c r="JGO2469" s="63"/>
      <c r="JGP2469" s="61"/>
      <c r="JGQ2469" s="54"/>
      <c r="JGR2469" s="54"/>
      <c r="JGS2469" s="60"/>
      <c r="JGT2469" s="60"/>
      <c r="JGU2469" s="60"/>
      <c r="JGV2469" s="60"/>
      <c r="JGW2469" s="63"/>
      <c r="JGX2469" s="61"/>
      <c r="JGY2469" s="54"/>
      <c r="JGZ2469" s="54"/>
      <c r="JHA2469" s="60"/>
      <c r="JHB2469" s="60"/>
      <c r="JHC2469" s="60"/>
      <c r="JHD2469" s="60"/>
      <c r="JHE2469" s="63"/>
      <c r="JHF2469" s="61"/>
      <c r="JHG2469" s="54"/>
      <c r="JHH2469" s="54"/>
      <c r="JHI2469" s="60"/>
      <c r="JHJ2469" s="60"/>
      <c r="JHK2469" s="60"/>
      <c r="JHL2469" s="60"/>
      <c r="JHM2469" s="63"/>
      <c r="JHN2469" s="61"/>
      <c r="JHO2469" s="54"/>
      <c r="JHP2469" s="54"/>
      <c r="JHQ2469" s="60"/>
      <c r="JHR2469" s="60"/>
      <c r="JHS2469" s="60"/>
      <c r="JHT2469" s="60"/>
      <c r="JHU2469" s="63"/>
      <c r="JHV2469" s="61"/>
      <c r="JHW2469" s="54"/>
      <c r="JHX2469" s="54"/>
      <c r="JHY2469" s="60"/>
      <c r="JHZ2469" s="60"/>
      <c r="JIA2469" s="60"/>
      <c r="JIB2469" s="60"/>
      <c r="JIC2469" s="63"/>
      <c r="JID2469" s="61"/>
      <c r="JIE2469" s="54"/>
      <c r="JIF2469" s="54"/>
      <c r="JIG2469" s="60"/>
      <c r="JIH2469" s="60"/>
      <c r="JII2469" s="60"/>
      <c r="JIJ2469" s="60"/>
      <c r="JIK2469" s="63"/>
      <c r="JIL2469" s="61"/>
      <c r="JIM2469" s="54"/>
      <c r="JIN2469" s="54"/>
      <c r="JIO2469" s="60"/>
      <c r="JIP2469" s="60"/>
      <c r="JIQ2469" s="60"/>
      <c r="JIR2469" s="60"/>
      <c r="JIS2469" s="63"/>
      <c r="JIT2469" s="61"/>
      <c r="JIU2469" s="54"/>
      <c r="JIV2469" s="54"/>
      <c r="JIW2469" s="60"/>
      <c r="JIX2469" s="60"/>
      <c r="JIY2469" s="60"/>
      <c r="JIZ2469" s="60"/>
      <c r="JJA2469" s="63"/>
      <c r="JJB2469" s="61"/>
      <c r="JJC2469" s="54"/>
      <c r="JJD2469" s="54"/>
      <c r="JJE2469" s="60"/>
      <c r="JJF2469" s="60"/>
      <c r="JJG2469" s="60"/>
      <c r="JJH2469" s="60"/>
      <c r="JJI2469" s="63"/>
      <c r="JJJ2469" s="61"/>
      <c r="JJK2469" s="54"/>
      <c r="JJL2469" s="54"/>
      <c r="JJM2469" s="60"/>
      <c r="JJN2469" s="60"/>
      <c r="JJO2469" s="60"/>
      <c r="JJP2469" s="60"/>
      <c r="JJQ2469" s="63"/>
      <c r="JJR2469" s="61"/>
      <c r="JJS2469" s="54"/>
      <c r="JJT2469" s="54"/>
      <c r="JJU2469" s="60"/>
      <c r="JJV2469" s="60"/>
      <c r="JJW2469" s="60"/>
      <c r="JJX2469" s="60"/>
      <c r="JJY2469" s="63"/>
      <c r="JJZ2469" s="61"/>
      <c r="JKA2469" s="54"/>
      <c r="JKB2469" s="54"/>
      <c r="JKC2469" s="60"/>
      <c r="JKD2469" s="60"/>
      <c r="JKE2469" s="60"/>
      <c r="JKF2469" s="60"/>
      <c r="JKG2469" s="63"/>
      <c r="JKH2469" s="61"/>
      <c r="JKI2469" s="54"/>
      <c r="JKJ2469" s="54"/>
      <c r="JKK2469" s="60"/>
      <c r="JKL2469" s="60"/>
      <c r="JKM2469" s="60"/>
      <c r="JKN2469" s="60"/>
      <c r="JKO2469" s="63"/>
      <c r="JKP2469" s="61"/>
      <c r="JKQ2469" s="54"/>
      <c r="JKR2469" s="54"/>
      <c r="JKS2469" s="60"/>
      <c r="JKT2469" s="60"/>
      <c r="JKU2469" s="60"/>
      <c r="JKV2469" s="60"/>
      <c r="JKW2469" s="63"/>
      <c r="JKX2469" s="61"/>
      <c r="JKY2469" s="54"/>
      <c r="JKZ2469" s="54"/>
      <c r="JLA2469" s="60"/>
      <c r="JLB2469" s="60"/>
      <c r="JLC2469" s="60"/>
      <c r="JLD2469" s="60"/>
      <c r="JLE2469" s="63"/>
      <c r="JLF2469" s="61"/>
      <c r="JLG2469" s="54"/>
      <c r="JLH2469" s="54"/>
      <c r="JLI2469" s="60"/>
      <c r="JLJ2469" s="60"/>
      <c r="JLK2469" s="60"/>
      <c r="JLL2469" s="60"/>
      <c r="JLM2469" s="63"/>
      <c r="JLN2469" s="61"/>
      <c r="JLO2469" s="54"/>
      <c r="JLP2469" s="54"/>
      <c r="JLQ2469" s="60"/>
      <c r="JLR2469" s="60"/>
      <c r="JLS2469" s="60"/>
      <c r="JLT2469" s="60"/>
      <c r="JLU2469" s="63"/>
      <c r="JLV2469" s="61"/>
      <c r="JLW2469" s="54"/>
      <c r="JLX2469" s="54"/>
      <c r="JLY2469" s="60"/>
      <c r="JLZ2469" s="60"/>
      <c r="JMA2469" s="60"/>
      <c r="JMB2469" s="60"/>
      <c r="JMC2469" s="63"/>
      <c r="JMD2469" s="61"/>
      <c r="JME2469" s="54"/>
      <c r="JMF2469" s="54"/>
      <c r="JMG2469" s="60"/>
      <c r="JMH2469" s="60"/>
      <c r="JMI2469" s="60"/>
      <c r="JMJ2469" s="60"/>
      <c r="JMK2469" s="63"/>
      <c r="JML2469" s="61"/>
      <c r="JMM2469" s="54"/>
      <c r="JMN2469" s="54"/>
      <c r="JMO2469" s="60"/>
      <c r="JMP2469" s="60"/>
      <c r="JMQ2469" s="60"/>
      <c r="JMR2469" s="60"/>
      <c r="JMS2469" s="63"/>
      <c r="JMT2469" s="61"/>
      <c r="JMU2469" s="54"/>
      <c r="JMV2469" s="54"/>
      <c r="JMW2469" s="60"/>
      <c r="JMX2469" s="60"/>
      <c r="JMY2469" s="60"/>
      <c r="JMZ2469" s="60"/>
      <c r="JNA2469" s="63"/>
      <c r="JNB2469" s="61"/>
      <c r="JNC2469" s="54"/>
      <c r="JND2469" s="54"/>
      <c r="JNE2469" s="60"/>
      <c r="JNF2469" s="60"/>
      <c r="JNG2469" s="60"/>
      <c r="JNH2469" s="60"/>
      <c r="JNI2469" s="63"/>
      <c r="JNJ2469" s="61"/>
      <c r="JNK2469" s="54"/>
      <c r="JNL2469" s="54"/>
      <c r="JNM2469" s="60"/>
      <c r="JNN2469" s="60"/>
      <c r="JNO2469" s="60"/>
      <c r="JNP2469" s="60"/>
      <c r="JNQ2469" s="63"/>
      <c r="JNR2469" s="61"/>
      <c r="JNS2469" s="54"/>
      <c r="JNT2469" s="54"/>
      <c r="JNU2469" s="60"/>
      <c r="JNV2469" s="60"/>
      <c r="JNW2469" s="60"/>
      <c r="JNX2469" s="60"/>
      <c r="JNY2469" s="63"/>
      <c r="JNZ2469" s="61"/>
      <c r="JOA2469" s="54"/>
      <c r="JOB2469" s="54"/>
      <c r="JOC2469" s="60"/>
      <c r="JOD2469" s="60"/>
      <c r="JOE2469" s="60"/>
      <c r="JOF2469" s="60"/>
      <c r="JOG2469" s="63"/>
      <c r="JOH2469" s="61"/>
      <c r="JOI2469" s="54"/>
      <c r="JOJ2469" s="54"/>
      <c r="JOK2469" s="60"/>
      <c r="JOL2469" s="60"/>
      <c r="JOM2469" s="60"/>
      <c r="JON2469" s="60"/>
      <c r="JOO2469" s="63"/>
      <c r="JOP2469" s="61"/>
      <c r="JOQ2469" s="54"/>
      <c r="JOR2469" s="54"/>
      <c r="JOS2469" s="60"/>
      <c r="JOT2469" s="60"/>
      <c r="JOU2469" s="60"/>
      <c r="JOV2469" s="60"/>
      <c r="JOW2469" s="63"/>
      <c r="JOX2469" s="61"/>
      <c r="JOY2469" s="54"/>
      <c r="JOZ2469" s="54"/>
      <c r="JPA2469" s="60"/>
      <c r="JPB2469" s="60"/>
      <c r="JPC2469" s="60"/>
      <c r="JPD2469" s="60"/>
      <c r="JPE2469" s="63"/>
      <c r="JPF2469" s="61"/>
      <c r="JPG2469" s="54"/>
      <c r="JPH2469" s="54"/>
      <c r="JPI2469" s="60"/>
      <c r="JPJ2469" s="60"/>
      <c r="JPK2469" s="60"/>
      <c r="JPL2469" s="60"/>
      <c r="JPM2469" s="63"/>
      <c r="JPN2469" s="61"/>
      <c r="JPO2469" s="54"/>
      <c r="JPP2469" s="54"/>
      <c r="JPQ2469" s="60"/>
      <c r="JPR2469" s="60"/>
      <c r="JPS2469" s="60"/>
      <c r="JPT2469" s="60"/>
      <c r="JPU2469" s="63"/>
      <c r="JPV2469" s="61"/>
      <c r="JPW2469" s="54"/>
      <c r="JPX2469" s="54"/>
      <c r="JPY2469" s="60"/>
      <c r="JPZ2469" s="60"/>
      <c r="JQA2469" s="60"/>
      <c r="JQB2469" s="60"/>
      <c r="JQC2469" s="63"/>
      <c r="JQD2469" s="61"/>
      <c r="JQE2469" s="54"/>
      <c r="JQF2469" s="54"/>
      <c r="JQG2469" s="60"/>
      <c r="JQH2469" s="60"/>
      <c r="JQI2469" s="60"/>
      <c r="JQJ2469" s="60"/>
      <c r="JQK2469" s="63"/>
      <c r="JQL2469" s="61"/>
      <c r="JQM2469" s="54"/>
      <c r="JQN2469" s="54"/>
      <c r="JQO2469" s="60"/>
      <c r="JQP2469" s="60"/>
      <c r="JQQ2469" s="60"/>
      <c r="JQR2469" s="60"/>
      <c r="JQS2469" s="63"/>
      <c r="JQT2469" s="61"/>
      <c r="JQU2469" s="54"/>
      <c r="JQV2469" s="54"/>
      <c r="JQW2469" s="60"/>
      <c r="JQX2469" s="60"/>
      <c r="JQY2469" s="60"/>
      <c r="JQZ2469" s="60"/>
      <c r="JRA2469" s="63"/>
      <c r="JRB2469" s="61"/>
      <c r="JRC2469" s="54"/>
      <c r="JRD2469" s="54"/>
      <c r="JRE2469" s="60"/>
      <c r="JRF2469" s="60"/>
      <c r="JRG2469" s="60"/>
      <c r="JRH2469" s="60"/>
      <c r="JRI2469" s="63"/>
      <c r="JRJ2469" s="61"/>
      <c r="JRK2469" s="54"/>
      <c r="JRL2469" s="54"/>
      <c r="JRM2469" s="60"/>
      <c r="JRN2469" s="60"/>
      <c r="JRO2469" s="60"/>
      <c r="JRP2469" s="60"/>
      <c r="JRQ2469" s="63"/>
      <c r="JRR2469" s="61"/>
      <c r="JRS2469" s="54"/>
      <c r="JRT2469" s="54"/>
      <c r="JRU2469" s="60"/>
      <c r="JRV2469" s="60"/>
      <c r="JRW2469" s="60"/>
      <c r="JRX2469" s="60"/>
      <c r="JRY2469" s="63"/>
      <c r="JRZ2469" s="61"/>
      <c r="JSA2469" s="54"/>
      <c r="JSB2469" s="54"/>
      <c r="JSC2469" s="60"/>
      <c r="JSD2469" s="60"/>
      <c r="JSE2469" s="60"/>
      <c r="JSF2469" s="60"/>
      <c r="JSG2469" s="63"/>
      <c r="JSH2469" s="61"/>
      <c r="JSI2469" s="54"/>
      <c r="JSJ2469" s="54"/>
      <c r="JSK2469" s="60"/>
      <c r="JSL2469" s="60"/>
      <c r="JSM2469" s="60"/>
      <c r="JSN2469" s="60"/>
      <c r="JSO2469" s="63"/>
      <c r="JSP2469" s="61"/>
      <c r="JSQ2469" s="54"/>
      <c r="JSR2469" s="54"/>
      <c r="JSS2469" s="60"/>
      <c r="JST2469" s="60"/>
      <c r="JSU2469" s="60"/>
      <c r="JSV2469" s="60"/>
      <c r="JSW2469" s="63"/>
      <c r="JSX2469" s="61"/>
      <c r="JSY2469" s="54"/>
      <c r="JSZ2469" s="54"/>
      <c r="JTA2469" s="60"/>
      <c r="JTB2469" s="60"/>
      <c r="JTC2469" s="60"/>
      <c r="JTD2469" s="60"/>
      <c r="JTE2469" s="63"/>
      <c r="JTF2469" s="61"/>
      <c r="JTG2469" s="54"/>
      <c r="JTH2469" s="54"/>
      <c r="JTI2469" s="60"/>
      <c r="JTJ2469" s="60"/>
      <c r="JTK2469" s="60"/>
      <c r="JTL2469" s="60"/>
      <c r="JTM2469" s="63"/>
      <c r="JTN2469" s="61"/>
      <c r="JTO2469" s="54"/>
      <c r="JTP2469" s="54"/>
      <c r="JTQ2469" s="60"/>
      <c r="JTR2469" s="60"/>
      <c r="JTS2469" s="60"/>
      <c r="JTT2469" s="60"/>
      <c r="JTU2469" s="63"/>
      <c r="JTV2469" s="61"/>
      <c r="JTW2469" s="54"/>
      <c r="JTX2469" s="54"/>
      <c r="JTY2469" s="60"/>
      <c r="JTZ2469" s="60"/>
      <c r="JUA2469" s="60"/>
      <c r="JUB2469" s="60"/>
      <c r="JUC2469" s="63"/>
      <c r="JUD2469" s="61"/>
      <c r="JUE2469" s="54"/>
      <c r="JUF2469" s="54"/>
      <c r="JUG2469" s="60"/>
      <c r="JUH2469" s="60"/>
      <c r="JUI2469" s="60"/>
      <c r="JUJ2469" s="60"/>
      <c r="JUK2469" s="63"/>
      <c r="JUL2469" s="61"/>
      <c r="JUM2469" s="54"/>
      <c r="JUN2469" s="54"/>
      <c r="JUO2469" s="60"/>
      <c r="JUP2469" s="60"/>
      <c r="JUQ2469" s="60"/>
      <c r="JUR2469" s="60"/>
      <c r="JUS2469" s="63"/>
      <c r="JUT2469" s="61"/>
      <c r="JUU2469" s="54"/>
      <c r="JUV2469" s="54"/>
      <c r="JUW2469" s="60"/>
      <c r="JUX2469" s="60"/>
      <c r="JUY2469" s="60"/>
      <c r="JUZ2469" s="60"/>
      <c r="JVA2469" s="63"/>
      <c r="JVB2469" s="61"/>
      <c r="JVC2469" s="54"/>
      <c r="JVD2469" s="54"/>
      <c r="JVE2469" s="60"/>
      <c r="JVF2469" s="60"/>
      <c r="JVG2469" s="60"/>
      <c r="JVH2469" s="60"/>
      <c r="JVI2469" s="63"/>
      <c r="JVJ2469" s="61"/>
      <c r="JVK2469" s="54"/>
      <c r="JVL2469" s="54"/>
      <c r="JVM2469" s="60"/>
      <c r="JVN2469" s="60"/>
      <c r="JVO2469" s="60"/>
      <c r="JVP2469" s="60"/>
      <c r="JVQ2469" s="63"/>
      <c r="JVR2469" s="61"/>
      <c r="JVS2469" s="54"/>
      <c r="JVT2469" s="54"/>
      <c r="JVU2469" s="60"/>
      <c r="JVV2469" s="60"/>
      <c r="JVW2469" s="60"/>
      <c r="JVX2469" s="60"/>
      <c r="JVY2469" s="63"/>
      <c r="JVZ2469" s="61"/>
      <c r="JWA2469" s="54"/>
      <c r="JWB2469" s="54"/>
      <c r="JWC2469" s="60"/>
      <c r="JWD2469" s="60"/>
      <c r="JWE2469" s="60"/>
      <c r="JWF2469" s="60"/>
      <c r="JWG2469" s="63"/>
      <c r="JWH2469" s="61"/>
      <c r="JWI2469" s="54"/>
      <c r="JWJ2469" s="54"/>
      <c r="JWK2469" s="60"/>
      <c r="JWL2469" s="60"/>
      <c r="JWM2469" s="60"/>
      <c r="JWN2469" s="60"/>
      <c r="JWO2469" s="63"/>
      <c r="JWP2469" s="61"/>
      <c r="JWQ2469" s="54"/>
      <c r="JWR2469" s="54"/>
      <c r="JWS2469" s="60"/>
      <c r="JWT2469" s="60"/>
      <c r="JWU2469" s="60"/>
      <c r="JWV2469" s="60"/>
      <c r="JWW2469" s="63"/>
      <c r="JWX2469" s="61"/>
      <c r="JWY2469" s="54"/>
      <c r="JWZ2469" s="54"/>
      <c r="JXA2469" s="60"/>
      <c r="JXB2469" s="60"/>
      <c r="JXC2469" s="60"/>
      <c r="JXD2469" s="60"/>
      <c r="JXE2469" s="63"/>
      <c r="JXF2469" s="61"/>
      <c r="JXG2469" s="54"/>
      <c r="JXH2469" s="54"/>
      <c r="JXI2469" s="60"/>
      <c r="JXJ2469" s="60"/>
      <c r="JXK2469" s="60"/>
      <c r="JXL2469" s="60"/>
      <c r="JXM2469" s="63"/>
      <c r="JXN2469" s="61"/>
      <c r="JXO2469" s="54"/>
      <c r="JXP2469" s="54"/>
      <c r="JXQ2469" s="60"/>
      <c r="JXR2469" s="60"/>
      <c r="JXS2469" s="60"/>
      <c r="JXT2469" s="60"/>
      <c r="JXU2469" s="63"/>
      <c r="JXV2469" s="61"/>
      <c r="JXW2469" s="54"/>
      <c r="JXX2469" s="54"/>
      <c r="JXY2469" s="60"/>
      <c r="JXZ2469" s="60"/>
      <c r="JYA2469" s="60"/>
      <c r="JYB2469" s="60"/>
      <c r="JYC2469" s="63"/>
      <c r="JYD2469" s="61"/>
      <c r="JYE2469" s="54"/>
      <c r="JYF2469" s="54"/>
      <c r="JYG2469" s="60"/>
      <c r="JYH2469" s="60"/>
      <c r="JYI2469" s="60"/>
      <c r="JYJ2469" s="60"/>
      <c r="JYK2469" s="63"/>
      <c r="JYL2469" s="61"/>
      <c r="JYM2469" s="54"/>
      <c r="JYN2469" s="54"/>
      <c r="JYO2469" s="60"/>
      <c r="JYP2469" s="60"/>
      <c r="JYQ2469" s="60"/>
      <c r="JYR2469" s="60"/>
      <c r="JYS2469" s="63"/>
      <c r="JYT2469" s="61"/>
      <c r="JYU2469" s="54"/>
      <c r="JYV2469" s="54"/>
      <c r="JYW2469" s="60"/>
      <c r="JYX2469" s="60"/>
      <c r="JYY2469" s="60"/>
      <c r="JYZ2469" s="60"/>
      <c r="JZA2469" s="63"/>
      <c r="JZB2469" s="61"/>
      <c r="JZC2469" s="54"/>
      <c r="JZD2469" s="54"/>
      <c r="JZE2469" s="60"/>
      <c r="JZF2469" s="60"/>
      <c r="JZG2469" s="60"/>
      <c r="JZH2469" s="60"/>
      <c r="JZI2469" s="63"/>
      <c r="JZJ2469" s="61"/>
      <c r="JZK2469" s="54"/>
      <c r="JZL2469" s="54"/>
      <c r="JZM2469" s="60"/>
      <c r="JZN2469" s="60"/>
      <c r="JZO2469" s="60"/>
      <c r="JZP2469" s="60"/>
      <c r="JZQ2469" s="63"/>
      <c r="JZR2469" s="61"/>
      <c r="JZS2469" s="54"/>
      <c r="JZT2469" s="54"/>
      <c r="JZU2469" s="60"/>
      <c r="JZV2469" s="60"/>
      <c r="JZW2469" s="60"/>
      <c r="JZX2469" s="60"/>
      <c r="JZY2469" s="63"/>
      <c r="JZZ2469" s="61"/>
      <c r="KAA2469" s="54"/>
      <c r="KAB2469" s="54"/>
      <c r="KAC2469" s="60"/>
      <c r="KAD2469" s="60"/>
      <c r="KAE2469" s="60"/>
      <c r="KAF2469" s="60"/>
      <c r="KAG2469" s="63"/>
      <c r="KAH2469" s="61"/>
      <c r="KAI2469" s="54"/>
      <c r="KAJ2469" s="54"/>
      <c r="KAK2469" s="60"/>
      <c r="KAL2469" s="60"/>
      <c r="KAM2469" s="60"/>
      <c r="KAN2469" s="60"/>
      <c r="KAO2469" s="63"/>
      <c r="KAP2469" s="61"/>
      <c r="KAQ2469" s="54"/>
      <c r="KAR2469" s="54"/>
      <c r="KAS2469" s="60"/>
      <c r="KAT2469" s="60"/>
      <c r="KAU2469" s="60"/>
      <c r="KAV2469" s="60"/>
      <c r="KAW2469" s="63"/>
      <c r="KAX2469" s="61"/>
      <c r="KAY2469" s="54"/>
      <c r="KAZ2469" s="54"/>
      <c r="KBA2469" s="60"/>
      <c r="KBB2469" s="60"/>
      <c r="KBC2469" s="60"/>
      <c r="KBD2469" s="60"/>
      <c r="KBE2469" s="63"/>
      <c r="KBF2469" s="61"/>
      <c r="KBG2469" s="54"/>
      <c r="KBH2469" s="54"/>
      <c r="KBI2469" s="60"/>
      <c r="KBJ2469" s="60"/>
      <c r="KBK2469" s="60"/>
      <c r="KBL2469" s="60"/>
      <c r="KBM2469" s="63"/>
      <c r="KBN2469" s="61"/>
      <c r="KBO2469" s="54"/>
      <c r="KBP2469" s="54"/>
      <c r="KBQ2469" s="60"/>
      <c r="KBR2469" s="60"/>
      <c r="KBS2469" s="60"/>
      <c r="KBT2469" s="60"/>
      <c r="KBU2469" s="63"/>
      <c r="KBV2469" s="61"/>
      <c r="KBW2469" s="54"/>
      <c r="KBX2469" s="54"/>
      <c r="KBY2469" s="60"/>
      <c r="KBZ2469" s="60"/>
      <c r="KCA2469" s="60"/>
      <c r="KCB2469" s="60"/>
      <c r="KCC2469" s="63"/>
      <c r="KCD2469" s="61"/>
      <c r="KCE2469" s="54"/>
      <c r="KCF2469" s="54"/>
      <c r="KCG2469" s="60"/>
      <c r="KCH2469" s="60"/>
      <c r="KCI2469" s="60"/>
      <c r="KCJ2469" s="60"/>
      <c r="KCK2469" s="63"/>
      <c r="KCL2469" s="61"/>
      <c r="KCM2469" s="54"/>
      <c r="KCN2469" s="54"/>
      <c r="KCO2469" s="60"/>
      <c r="KCP2469" s="60"/>
      <c r="KCQ2469" s="60"/>
      <c r="KCR2469" s="60"/>
      <c r="KCS2469" s="63"/>
      <c r="KCT2469" s="61"/>
      <c r="KCU2469" s="54"/>
      <c r="KCV2469" s="54"/>
      <c r="KCW2469" s="60"/>
      <c r="KCX2469" s="60"/>
      <c r="KCY2469" s="60"/>
      <c r="KCZ2469" s="60"/>
      <c r="KDA2469" s="63"/>
      <c r="KDB2469" s="61"/>
      <c r="KDC2469" s="54"/>
      <c r="KDD2469" s="54"/>
      <c r="KDE2469" s="60"/>
      <c r="KDF2469" s="60"/>
      <c r="KDG2469" s="60"/>
      <c r="KDH2469" s="60"/>
      <c r="KDI2469" s="63"/>
      <c r="KDJ2469" s="61"/>
      <c r="KDK2469" s="54"/>
      <c r="KDL2469" s="54"/>
      <c r="KDM2469" s="60"/>
      <c r="KDN2469" s="60"/>
      <c r="KDO2469" s="60"/>
      <c r="KDP2469" s="60"/>
      <c r="KDQ2469" s="63"/>
      <c r="KDR2469" s="61"/>
      <c r="KDS2469" s="54"/>
      <c r="KDT2469" s="54"/>
      <c r="KDU2469" s="60"/>
      <c r="KDV2469" s="60"/>
      <c r="KDW2469" s="60"/>
      <c r="KDX2469" s="60"/>
      <c r="KDY2469" s="63"/>
      <c r="KDZ2469" s="61"/>
      <c r="KEA2469" s="54"/>
      <c r="KEB2469" s="54"/>
      <c r="KEC2469" s="60"/>
      <c r="KED2469" s="60"/>
      <c r="KEE2469" s="60"/>
      <c r="KEF2469" s="60"/>
      <c r="KEG2469" s="63"/>
      <c r="KEH2469" s="61"/>
      <c r="KEI2469" s="54"/>
      <c r="KEJ2469" s="54"/>
      <c r="KEK2469" s="60"/>
      <c r="KEL2469" s="60"/>
      <c r="KEM2469" s="60"/>
      <c r="KEN2469" s="60"/>
      <c r="KEO2469" s="63"/>
      <c r="KEP2469" s="61"/>
      <c r="KEQ2469" s="54"/>
      <c r="KER2469" s="54"/>
      <c r="KES2469" s="60"/>
      <c r="KET2469" s="60"/>
      <c r="KEU2469" s="60"/>
      <c r="KEV2469" s="60"/>
      <c r="KEW2469" s="63"/>
      <c r="KEX2469" s="61"/>
      <c r="KEY2469" s="54"/>
      <c r="KEZ2469" s="54"/>
      <c r="KFA2469" s="60"/>
      <c r="KFB2469" s="60"/>
      <c r="KFC2469" s="60"/>
      <c r="KFD2469" s="60"/>
      <c r="KFE2469" s="63"/>
      <c r="KFF2469" s="61"/>
      <c r="KFG2469" s="54"/>
      <c r="KFH2469" s="54"/>
      <c r="KFI2469" s="60"/>
      <c r="KFJ2469" s="60"/>
      <c r="KFK2469" s="60"/>
      <c r="KFL2469" s="60"/>
      <c r="KFM2469" s="63"/>
      <c r="KFN2469" s="61"/>
      <c r="KFO2469" s="54"/>
      <c r="KFP2469" s="54"/>
      <c r="KFQ2469" s="60"/>
      <c r="KFR2469" s="60"/>
      <c r="KFS2469" s="60"/>
      <c r="KFT2469" s="60"/>
      <c r="KFU2469" s="63"/>
      <c r="KFV2469" s="61"/>
      <c r="KFW2469" s="54"/>
      <c r="KFX2469" s="54"/>
      <c r="KFY2469" s="60"/>
      <c r="KFZ2469" s="60"/>
      <c r="KGA2469" s="60"/>
      <c r="KGB2469" s="60"/>
      <c r="KGC2469" s="63"/>
      <c r="KGD2469" s="61"/>
      <c r="KGE2469" s="54"/>
      <c r="KGF2469" s="54"/>
      <c r="KGG2469" s="60"/>
      <c r="KGH2469" s="60"/>
      <c r="KGI2469" s="60"/>
      <c r="KGJ2469" s="60"/>
      <c r="KGK2469" s="63"/>
      <c r="KGL2469" s="61"/>
      <c r="KGM2469" s="54"/>
      <c r="KGN2469" s="54"/>
      <c r="KGO2469" s="60"/>
      <c r="KGP2469" s="60"/>
      <c r="KGQ2469" s="60"/>
      <c r="KGR2469" s="60"/>
      <c r="KGS2469" s="63"/>
      <c r="KGT2469" s="61"/>
      <c r="KGU2469" s="54"/>
      <c r="KGV2469" s="54"/>
      <c r="KGW2469" s="60"/>
      <c r="KGX2469" s="60"/>
      <c r="KGY2469" s="60"/>
      <c r="KGZ2469" s="60"/>
      <c r="KHA2469" s="63"/>
      <c r="KHB2469" s="61"/>
      <c r="KHC2469" s="54"/>
      <c r="KHD2469" s="54"/>
      <c r="KHE2469" s="60"/>
      <c r="KHF2469" s="60"/>
      <c r="KHG2469" s="60"/>
      <c r="KHH2469" s="60"/>
      <c r="KHI2469" s="63"/>
      <c r="KHJ2469" s="61"/>
      <c r="KHK2469" s="54"/>
      <c r="KHL2469" s="54"/>
      <c r="KHM2469" s="60"/>
      <c r="KHN2469" s="60"/>
      <c r="KHO2469" s="60"/>
      <c r="KHP2469" s="60"/>
      <c r="KHQ2469" s="63"/>
      <c r="KHR2469" s="61"/>
      <c r="KHS2469" s="54"/>
      <c r="KHT2469" s="54"/>
      <c r="KHU2469" s="60"/>
      <c r="KHV2469" s="60"/>
      <c r="KHW2469" s="60"/>
      <c r="KHX2469" s="60"/>
      <c r="KHY2469" s="63"/>
      <c r="KHZ2469" s="61"/>
      <c r="KIA2469" s="54"/>
      <c r="KIB2469" s="54"/>
      <c r="KIC2469" s="60"/>
      <c r="KID2469" s="60"/>
      <c r="KIE2469" s="60"/>
      <c r="KIF2469" s="60"/>
      <c r="KIG2469" s="63"/>
      <c r="KIH2469" s="61"/>
      <c r="KII2469" s="54"/>
      <c r="KIJ2469" s="54"/>
      <c r="KIK2469" s="60"/>
      <c r="KIL2469" s="60"/>
      <c r="KIM2469" s="60"/>
      <c r="KIN2469" s="60"/>
      <c r="KIO2469" s="63"/>
      <c r="KIP2469" s="61"/>
      <c r="KIQ2469" s="54"/>
      <c r="KIR2469" s="54"/>
      <c r="KIS2469" s="60"/>
      <c r="KIT2469" s="60"/>
      <c r="KIU2469" s="60"/>
      <c r="KIV2469" s="60"/>
      <c r="KIW2469" s="63"/>
      <c r="KIX2469" s="61"/>
      <c r="KIY2469" s="54"/>
      <c r="KIZ2469" s="54"/>
      <c r="KJA2469" s="60"/>
      <c r="KJB2469" s="60"/>
      <c r="KJC2469" s="60"/>
      <c r="KJD2469" s="60"/>
      <c r="KJE2469" s="63"/>
      <c r="KJF2469" s="61"/>
      <c r="KJG2469" s="54"/>
      <c r="KJH2469" s="54"/>
      <c r="KJI2469" s="60"/>
      <c r="KJJ2469" s="60"/>
      <c r="KJK2469" s="60"/>
      <c r="KJL2469" s="60"/>
      <c r="KJM2469" s="63"/>
      <c r="KJN2469" s="61"/>
      <c r="KJO2469" s="54"/>
      <c r="KJP2469" s="54"/>
      <c r="KJQ2469" s="60"/>
      <c r="KJR2469" s="60"/>
      <c r="KJS2469" s="60"/>
      <c r="KJT2469" s="60"/>
      <c r="KJU2469" s="63"/>
      <c r="KJV2469" s="61"/>
      <c r="KJW2469" s="54"/>
      <c r="KJX2469" s="54"/>
      <c r="KJY2469" s="60"/>
      <c r="KJZ2469" s="60"/>
      <c r="KKA2469" s="60"/>
      <c r="KKB2469" s="60"/>
      <c r="KKC2469" s="63"/>
      <c r="KKD2469" s="61"/>
      <c r="KKE2469" s="54"/>
      <c r="KKF2469" s="54"/>
      <c r="KKG2469" s="60"/>
      <c r="KKH2469" s="60"/>
      <c r="KKI2469" s="60"/>
      <c r="KKJ2469" s="60"/>
      <c r="KKK2469" s="63"/>
      <c r="KKL2469" s="61"/>
      <c r="KKM2469" s="54"/>
      <c r="KKN2469" s="54"/>
      <c r="KKO2469" s="60"/>
      <c r="KKP2469" s="60"/>
      <c r="KKQ2469" s="60"/>
      <c r="KKR2469" s="60"/>
      <c r="KKS2469" s="63"/>
      <c r="KKT2469" s="61"/>
      <c r="KKU2469" s="54"/>
      <c r="KKV2469" s="54"/>
      <c r="KKW2469" s="60"/>
      <c r="KKX2469" s="60"/>
      <c r="KKY2469" s="60"/>
      <c r="KKZ2469" s="60"/>
      <c r="KLA2469" s="63"/>
      <c r="KLB2469" s="61"/>
      <c r="KLC2469" s="54"/>
      <c r="KLD2469" s="54"/>
      <c r="KLE2469" s="60"/>
      <c r="KLF2469" s="60"/>
      <c r="KLG2469" s="60"/>
      <c r="KLH2469" s="60"/>
      <c r="KLI2469" s="63"/>
      <c r="KLJ2469" s="61"/>
      <c r="KLK2469" s="54"/>
      <c r="KLL2469" s="54"/>
      <c r="KLM2469" s="60"/>
      <c r="KLN2469" s="60"/>
      <c r="KLO2469" s="60"/>
      <c r="KLP2469" s="60"/>
      <c r="KLQ2469" s="63"/>
      <c r="KLR2469" s="61"/>
      <c r="KLS2469" s="54"/>
      <c r="KLT2469" s="54"/>
      <c r="KLU2469" s="60"/>
      <c r="KLV2469" s="60"/>
      <c r="KLW2469" s="60"/>
      <c r="KLX2469" s="60"/>
      <c r="KLY2469" s="63"/>
      <c r="KLZ2469" s="61"/>
      <c r="KMA2469" s="54"/>
      <c r="KMB2469" s="54"/>
      <c r="KMC2469" s="60"/>
      <c r="KMD2469" s="60"/>
      <c r="KME2469" s="60"/>
      <c r="KMF2469" s="60"/>
      <c r="KMG2469" s="63"/>
      <c r="KMH2469" s="61"/>
      <c r="KMI2469" s="54"/>
      <c r="KMJ2469" s="54"/>
      <c r="KMK2469" s="60"/>
      <c r="KML2469" s="60"/>
      <c r="KMM2469" s="60"/>
      <c r="KMN2469" s="60"/>
      <c r="KMO2469" s="63"/>
      <c r="KMP2469" s="61"/>
      <c r="KMQ2469" s="54"/>
      <c r="KMR2469" s="54"/>
      <c r="KMS2469" s="60"/>
      <c r="KMT2469" s="60"/>
      <c r="KMU2469" s="60"/>
      <c r="KMV2469" s="60"/>
      <c r="KMW2469" s="63"/>
      <c r="KMX2469" s="61"/>
      <c r="KMY2469" s="54"/>
      <c r="KMZ2469" s="54"/>
      <c r="KNA2469" s="60"/>
      <c r="KNB2469" s="60"/>
      <c r="KNC2469" s="60"/>
      <c r="KND2469" s="60"/>
      <c r="KNE2469" s="63"/>
      <c r="KNF2469" s="61"/>
      <c r="KNG2469" s="54"/>
      <c r="KNH2469" s="54"/>
      <c r="KNI2469" s="60"/>
      <c r="KNJ2469" s="60"/>
      <c r="KNK2469" s="60"/>
      <c r="KNL2469" s="60"/>
      <c r="KNM2469" s="63"/>
      <c r="KNN2469" s="61"/>
      <c r="KNO2469" s="54"/>
      <c r="KNP2469" s="54"/>
      <c r="KNQ2469" s="60"/>
      <c r="KNR2469" s="60"/>
      <c r="KNS2469" s="60"/>
      <c r="KNT2469" s="60"/>
      <c r="KNU2469" s="63"/>
      <c r="KNV2469" s="61"/>
      <c r="KNW2469" s="54"/>
      <c r="KNX2469" s="54"/>
      <c r="KNY2469" s="60"/>
      <c r="KNZ2469" s="60"/>
      <c r="KOA2469" s="60"/>
      <c r="KOB2469" s="60"/>
      <c r="KOC2469" s="63"/>
      <c r="KOD2469" s="61"/>
      <c r="KOE2469" s="54"/>
      <c r="KOF2469" s="54"/>
      <c r="KOG2469" s="60"/>
      <c r="KOH2469" s="60"/>
      <c r="KOI2469" s="60"/>
      <c r="KOJ2469" s="60"/>
      <c r="KOK2469" s="63"/>
      <c r="KOL2469" s="61"/>
      <c r="KOM2469" s="54"/>
      <c r="KON2469" s="54"/>
      <c r="KOO2469" s="60"/>
      <c r="KOP2469" s="60"/>
      <c r="KOQ2469" s="60"/>
      <c r="KOR2469" s="60"/>
      <c r="KOS2469" s="63"/>
      <c r="KOT2469" s="61"/>
      <c r="KOU2469" s="54"/>
      <c r="KOV2469" s="54"/>
      <c r="KOW2469" s="60"/>
      <c r="KOX2469" s="60"/>
      <c r="KOY2469" s="60"/>
      <c r="KOZ2469" s="60"/>
      <c r="KPA2469" s="63"/>
      <c r="KPB2469" s="61"/>
      <c r="KPC2469" s="54"/>
      <c r="KPD2469" s="54"/>
      <c r="KPE2469" s="60"/>
      <c r="KPF2469" s="60"/>
      <c r="KPG2469" s="60"/>
      <c r="KPH2469" s="60"/>
      <c r="KPI2469" s="63"/>
      <c r="KPJ2469" s="61"/>
      <c r="KPK2469" s="54"/>
      <c r="KPL2469" s="54"/>
      <c r="KPM2469" s="60"/>
      <c r="KPN2469" s="60"/>
      <c r="KPO2469" s="60"/>
      <c r="KPP2469" s="60"/>
      <c r="KPQ2469" s="63"/>
      <c r="KPR2469" s="61"/>
      <c r="KPS2469" s="54"/>
      <c r="KPT2469" s="54"/>
      <c r="KPU2469" s="60"/>
      <c r="KPV2469" s="60"/>
      <c r="KPW2469" s="60"/>
      <c r="KPX2469" s="60"/>
      <c r="KPY2469" s="63"/>
      <c r="KPZ2469" s="61"/>
      <c r="KQA2469" s="54"/>
      <c r="KQB2469" s="54"/>
      <c r="KQC2469" s="60"/>
      <c r="KQD2469" s="60"/>
      <c r="KQE2469" s="60"/>
      <c r="KQF2469" s="60"/>
      <c r="KQG2469" s="63"/>
      <c r="KQH2469" s="61"/>
      <c r="KQI2469" s="54"/>
      <c r="KQJ2469" s="54"/>
      <c r="KQK2469" s="60"/>
      <c r="KQL2469" s="60"/>
      <c r="KQM2469" s="60"/>
      <c r="KQN2469" s="60"/>
      <c r="KQO2469" s="63"/>
      <c r="KQP2469" s="61"/>
      <c r="KQQ2469" s="54"/>
      <c r="KQR2469" s="54"/>
      <c r="KQS2469" s="60"/>
      <c r="KQT2469" s="60"/>
      <c r="KQU2469" s="60"/>
      <c r="KQV2469" s="60"/>
      <c r="KQW2469" s="63"/>
      <c r="KQX2469" s="61"/>
      <c r="KQY2469" s="54"/>
      <c r="KQZ2469" s="54"/>
      <c r="KRA2469" s="60"/>
      <c r="KRB2469" s="60"/>
      <c r="KRC2469" s="60"/>
      <c r="KRD2469" s="60"/>
      <c r="KRE2469" s="63"/>
      <c r="KRF2469" s="61"/>
      <c r="KRG2469" s="54"/>
      <c r="KRH2469" s="54"/>
      <c r="KRI2469" s="60"/>
      <c r="KRJ2469" s="60"/>
      <c r="KRK2469" s="60"/>
      <c r="KRL2469" s="60"/>
      <c r="KRM2469" s="63"/>
      <c r="KRN2469" s="61"/>
      <c r="KRO2469" s="54"/>
      <c r="KRP2469" s="54"/>
      <c r="KRQ2469" s="60"/>
      <c r="KRR2469" s="60"/>
      <c r="KRS2469" s="60"/>
      <c r="KRT2469" s="60"/>
      <c r="KRU2469" s="63"/>
      <c r="KRV2469" s="61"/>
      <c r="KRW2469" s="54"/>
      <c r="KRX2469" s="54"/>
      <c r="KRY2469" s="60"/>
      <c r="KRZ2469" s="60"/>
      <c r="KSA2469" s="60"/>
      <c r="KSB2469" s="60"/>
      <c r="KSC2469" s="63"/>
      <c r="KSD2469" s="61"/>
      <c r="KSE2469" s="54"/>
      <c r="KSF2469" s="54"/>
      <c r="KSG2469" s="60"/>
      <c r="KSH2469" s="60"/>
      <c r="KSI2469" s="60"/>
      <c r="KSJ2469" s="60"/>
      <c r="KSK2469" s="63"/>
      <c r="KSL2469" s="61"/>
      <c r="KSM2469" s="54"/>
      <c r="KSN2469" s="54"/>
      <c r="KSO2469" s="60"/>
      <c r="KSP2469" s="60"/>
      <c r="KSQ2469" s="60"/>
      <c r="KSR2469" s="60"/>
      <c r="KSS2469" s="63"/>
      <c r="KST2469" s="61"/>
      <c r="KSU2469" s="54"/>
      <c r="KSV2469" s="54"/>
      <c r="KSW2469" s="60"/>
      <c r="KSX2469" s="60"/>
      <c r="KSY2469" s="60"/>
      <c r="KSZ2469" s="60"/>
      <c r="KTA2469" s="63"/>
      <c r="KTB2469" s="61"/>
      <c r="KTC2469" s="54"/>
      <c r="KTD2469" s="54"/>
      <c r="KTE2469" s="60"/>
      <c r="KTF2469" s="60"/>
      <c r="KTG2469" s="60"/>
      <c r="KTH2469" s="60"/>
      <c r="KTI2469" s="63"/>
      <c r="KTJ2469" s="61"/>
      <c r="KTK2469" s="54"/>
      <c r="KTL2469" s="54"/>
      <c r="KTM2469" s="60"/>
      <c r="KTN2469" s="60"/>
      <c r="KTO2469" s="60"/>
      <c r="KTP2469" s="60"/>
      <c r="KTQ2469" s="63"/>
      <c r="KTR2469" s="61"/>
      <c r="KTS2469" s="54"/>
      <c r="KTT2469" s="54"/>
      <c r="KTU2469" s="60"/>
      <c r="KTV2469" s="60"/>
      <c r="KTW2469" s="60"/>
      <c r="KTX2469" s="60"/>
      <c r="KTY2469" s="63"/>
      <c r="KTZ2469" s="61"/>
      <c r="KUA2469" s="54"/>
      <c r="KUB2469" s="54"/>
      <c r="KUC2469" s="60"/>
      <c r="KUD2469" s="60"/>
      <c r="KUE2469" s="60"/>
      <c r="KUF2469" s="60"/>
      <c r="KUG2469" s="63"/>
      <c r="KUH2469" s="61"/>
      <c r="KUI2469" s="54"/>
      <c r="KUJ2469" s="54"/>
      <c r="KUK2469" s="60"/>
      <c r="KUL2469" s="60"/>
      <c r="KUM2469" s="60"/>
      <c r="KUN2469" s="60"/>
      <c r="KUO2469" s="63"/>
      <c r="KUP2469" s="61"/>
      <c r="KUQ2469" s="54"/>
      <c r="KUR2469" s="54"/>
      <c r="KUS2469" s="60"/>
      <c r="KUT2469" s="60"/>
      <c r="KUU2469" s="60"/>
      <c r="KUV2469" s="60"/>
      <c r="KUW2469" s="63"/>
      <c r="KUX2469" s="61"/>
      <c r="KUY2469" s="54"/>
      <c r="KUZ2469" s="54"/>
      <c r="KVA2469" s="60"/>
      <c r="KVB2469" s="60"/>
      <c r="KVC2469" s="60"/>
      <c r="KVD2469" s="60"/>
      <c r="KVE2469" s="63"/>
      <c r="KVF2469" s="61"/>
      <c r="KVG2469" s="54"/>
      <c r="KVH2469" s="54"/>
      <c r="KVI2469" s="60"/>
      <c r="KVJ2469" s="60"/>
      <c r="KVK2469" s="60"/>
      <c r="KVL2469" s="60"/>
      <c r="KVM2469" s="63"/>
      <c r="KVN2469" s="61"/>
      <c r="KVO2469" s="54"/>
      <c r="KVP2469" s="54"/>
      <c r="KVQ2469" s="60"/>
      <c r="KVR2469" s="60"/>
      <c r="KVS2469" s="60"/>
      <c r="KVT2469" s="60"/>
      <c r="KVU2469" s="63"/>
      <c r="KVV2469" s="61"/>
      <c r="KVW2469" s="54"/>
      <c r="KVX2469" s="54"/>
      <c r="KVY2469" s="60"/>
      <c r="KVZ2469" s="60"/>
      <c r="KWA2469" s="60"/>
      <c r="KWB2469" s="60"/>
      <c r="KWC2469" s="63"/>
      <c r="KWD2469" s="61"/>
      <c r="KWE2469" s="54"/>
      <c r="KWF2469" s="54"/>
      <c r="KWG2469" s="60"/>
      <c r="KWH2469" s="60"/>
      <c r="KWI2469" s="60"/>
      <c r="KWJ2469" s="60"/>
      <c r="KWK2469" s="63"/>
      <c r="KWL2469" s="61"/>
      <c r="KWM2469" s="54"/>
      <c r="KWN2469" s="54"/>
      <c r="KWO2469" s="60"/>
      <c r="KWP2469" s="60"/>
      <c r="KWQ2469" s="60"/>
      <c r="KWR2469" s="60"/>
      <c r="KWS2469" s="63"/>
      <c r="KWT2469" s="61"/>
      <c r="KWU2469" s="54"/>
      <c r="KWV2469" s="54"/>
      <c r="KWW2469" s="60"/>
      <c r="KWX2469" s="60"/>
      <c r="KWY2469" s="60"/>
      <c r="KWZ2469" s="60"/>
      <c r="KXA2469" s="63"/>
      <c r="KXB2469" s="61"/>
      <c r="KXC2469" s="54"/>
      <c r="KXD2469" s="54"/>
      <c r="KXE2469" s="60"/>
      <c r="KXF2469" s="60"/>
      <c r="KXG2469" s="60"/>
      <c r="KXH2469" s="60"/>
      <c r="KXI2469" s="63"/>
      <c r="KXJ2469" s="61"/>
      <c r="KXK2469" s="54"/>
      <c r="KXL2469" s="54"/>
      <c r="KXM2469" s="60"/>
      <c r="KXN2469" s="60"/>
      <c r="KXO2469" s="60"/>
      <c r="KXP2469" s="60"/>
      <c r="KXQ2469" s="63"/>
      <c r="KXR2469" s="61"/>
      <c r="KXS2469" s="54"/>
      <c r="KXT2469" s="54"/>
      <c r="KXU2469" s="60"/>
      <c r="KXV2469" s="60"/>
      <c r="KXW2469" s="60"/>
      <c r="KXX2469" s="60"/>
      <c r="KXY2469" s="63"/>
      <c r="KXZ2469" s="61"/>
      <c r="KYA2469" s="54"/>
      <c r="KYB2469" s="54"/>
      <c r="KYC2469" s="60"/>
      <c r="KYD2469" s="60"/>
      <c r="KYE2469" s="60"/>
      <c r="KYF2469" s="60"/>
      <c r="KYG2469" s="63"/>
      <c r="KYH2469" s="61"/>
      <c r="KYI2469" s="54"/>
      <c r="KYJ2469" s="54"/>
      <c r="KYK2469" s="60"/>
      <c r="KYL2469" s="60"/>
      <c r="KYM2469" s="60"/>
      <c r="KYN2469" s="60"/>
      <c r="KYO2469" s="63"/>
      <c r="KYP2469" s="61"/>
      <c r="KYQ2469" s="54"/>
      <c r="KYR2469" s="54"/>
      <c r="KYS2469" s="60"/>
      <c r="KYT2469" s="60"/>
      <c r="KYU2469" s="60"/>
      <c r="KYV2469" s="60"/>
      <c r="KYW2469" s="63"/>
      <c r="KYX2469" s="61"/>
      <c r="KYY2469" s="54"/>
      <c r="KYZ2469" s="54"/>
      <c r="KZA2469" s="60"/>
      <c r="KZB2469" s="60"/>
      <c r="KZC2469" s="60"/>
      <c r="KZD2469" s="60"/>
      <c r="KZE2469" s="63"/>
      <c r="KZF2469" s="61"/>
      <c r="KZG2469" s="54"/>
      <c r="KZH2469" s="54"/>
      <c r="KZI2469" s="60"/>
      <c r="KZJ2469" s="60"/>
      <c r="KZK2469" s="60"/>
      <c r="KZL2469" s="60"/>
      <c r="KZM2469" s="63"/>
      <c r="KZN2469" s="61"/>
      <c r="KZO2469" s="54"/>
      <c r="KZP2469" s="54"/>
      <c r="KZQ2469" s="60"/>
      <c r="KZR2469" s="60"/>
      <c r="KZS2469" s="60"/>
      <c r="KZT2469" s="60"/>
      <c r="KZU2469" s="63"/>
      <c r="KZV2469" s="61"/>
      <c r="KZW2469" s="54"/>
      <c r="KZX2469" s="54"/>
      <c r="KZY2469" s="60"/>
      <c r="KZZ2469" s="60"/>
      <c r="LAA2469" s="60"/>
      <c r="LAB2469" s="60"/>
      <c r="LAC2469" s="63"/>
      <c r="LAD2469" s="61"/>
      <c r="LAE2469" s="54"/>
      <c r="LAF2469" s="54"/>
      <c r="LAG2469" s="60"/>
      <c r="LAH2469" s="60"/>
      <c r="LAI2469" s="60"/>
      <c r="LAJ2469" s="60"/>
      <c r="LAK2469" s="63"/>
      <c r="LAL2469" s="61"/>
      <c r="LAM2469" s="54"/>
      <c r="LAN2469" s="54"/>
      <c r="LAO2469" s="60"/>
      <c r="LAP2469" s="60"/>
      <c r="LAQ2469" s="60"/>
      <c r="LAR2469" s="60"/>
      <c r="LAS2469" s="63"/>
      <c r="LAT2469" s="61"/>
      <c r="LAU2469" s="54"/>
      <c r="LAV2469" s="54"/>
      <c r="LAW2469" s="60"/>
      <c r="LAX2469" s="60"/>
      <c r="LAY2469" s="60"/>
      <c r="LAZ2469" s="60"/>
      <c r="LBA2469" s="63"/>
      <c r="LBB2469" s="61"/>
      <c r="LBC2469" s="54"/>
      <c r="LBD2469" s="54"/>
      <c r="LBE2469" s="60"/>
      <c r="LBF2469" s="60"/>
      <c r="LBG2469" s="60"/>
      <c r="LBH2469" s="60"/>
      <c r="LBI2469" s="63"/>
      <c r="LBJ2469" s="61"/>
      <c r="LBK2469" s="54"/>
      <c r="LBL2469" s="54"/>
      <c r="LBM2469" s="60"/>
      <c r="LBN2469" s="60"/>
      <c r="LBO2469" s="60"/>
      <c r="LBP2469" s="60"/>
      <c r="LBQ2469" s="63"/>
      <c r="LBR2469" s="61"/>
      <c r="LBS2469" s="54"/>
      <c r="LBT2469" s="54"/>
      <c r="LBU2469" s="60"/>
      <c r="LBV2469" s="60"/>
      <c r="LBW2469" s="60"/>
      <c r="LBX2469" s="60"/>
      <c r="LBY2469" s="63"/>
      <c r="LBZ2469" s="61"/>
      <c r="LCA2469" s="54"/>
      <c r="LCB2469" s="54"/>
      <c r="LCC2469" s="60"/>
      <c r="LCD2469" s="60"/>
      <c r="LCE2469" s="60"/>
      <c r="LCF2469" s="60"/>
      <c r="LCG2469" s="63"/>
      <c r="LCH2469" s="61"/>
      <c r="LCI2469" s="54"/>
      <c r="LCJ2469" s="54"/>
      <c r="LCK2469" s="60"/>
      <c r="LCL2469" s="60"/>
      <c r="LCM2469" s="60"/>
      <c r="LCN2469" s="60"/>
      <c r="LCO2469" s="63"/>
      <c r="LCP2469" s="61"/>
      <c r="LCQ2469" s="54"/>
      <c r="LCR2469" s="54"/>
      <c r="LCS2469" s="60"/>
      <c r="LCT2469" s="60"/>
      <c r="LCU2469" s="60"/>
      <c r="LCV2469" s="60"/>
      <c r="LCW2469" s="63"/>
      <c r="LCX2469" s="61"/>
      <c r="LCY2469" s="54"/>
      <c r="LCZ2469" s="54"/>
      <c r="LDA2469" s="60"/>
      <c r="LDB2469" s="60"/>
      <c r="LDC2469" s="60"/>
      <c r="LDD2469" s="60"/>
      <c r="LDE2469" s="63"/>
      <c r="LDF2469" s="61"/>
      <c r="LDG2469" s="54"/>
      <c r="LDH2469" s="54"/>
      <c r="LDI2469" s="60"/>
      <c r="LDJ2469" s="60"/>
      <c r="LDK2469" s="60"/>
      <c r="LDL2469" s="60"/>
      <c r="LDM2469" s="63"/>
      <c r="LDN2469" s="61"/>
      <c r="LDO2469" s="54"/>
      <c r="LDP2469" s="54"/>
      <c r="LDQ2469" s="60"/>
      <c r="LDR2469" s="60"/>
      <c r="LDS2469" s="60"/>
      <c r="LDT2469" s="60"/>
      <c r="LDU2469" s="63"/>
      <c r="LDV2469" s="61"/>
      <c r="LDW2469" s="54"/>
      <c r="LDX2469" s="54"/>
      <c r="LDY2469" s="60"/>
      <c r="LDZ2469" s="60"/>
      <c r="LEA2469" s="60"/>
      <c r="LEB2469" s="60"/>
      <c r="LEC2469" s="63"/>
      <c r="LED2469" s="61"/>
      <c r="LEE2469" s="54"/>
      <c r="LEF2469" s="54"/>
      <c r="LEG2469" s="60"/>
      <c r="LEH2469" s="60"/>
      <c r="LEI2469" s="60"/>
      <c r="LEJ2469" s="60"/>
      <c r="LEK2469" s="63"/>
      <c r="LEL2469" s="61"/>
      <c r="LEM2469" s="54"/>
      <c r="LEN2469" s="54"/>
      <c r="LEO2469" s="60"/>
      <c r="LEP2469" s="60"/>
      <c r="LEQ2469" s="60"/>
      <c r="LER2469" s="60"/>
      <c r="LES2469" s="63"/>
      <c r="LET2469" s="61"/>
      <c r="LEU2469" s="54"/>
      <c r="LEV2469" s="54"/>
      <c r="LEW2469" s="60"/>
      <c r="LEX2469" s="60"/>
      <c r="LEY2469" s="60"/>
      <c r="LEZ2469" s="60"/>
      <c r="LFA2469" s="63"/>
      <c r="LFB2469" s="61"/>
      <c r="LFC2469" s="54"/>
      <c r="LFD2469" s="54"/>
      <c r="LFE2469" s="60"/>
      <c r="LFF2469" s="60"/>
      <c r="LFG2469" s="60"/>
      <c r="LFH2469" s="60"/>
      <c r="LFI2469" s="63"/>
      <c r="LFJ2469" s="61"/>
      <c r="LFK2469" s="54"/>
      <c r="LFL2469" s="54"/>
      <c r="LFM2469" s="60"/>
      <c r="LFN2469" s="60"/>
      <c r="LFO2469" s="60"/>
      <c r="LFP2469" s="60"/>
      <c r="LFQ2469" s="63"/>
      <c r="LFR2469" s="61"/>
      <c r="LFS2469" s="54"/>
      <c r="LFT2469" s="54"/>
      <c r="LFU2469" s="60"/>
      <c r="LFV2469" s="60"/>
      <c r="LFW2469" s="60"/>
      <c r="LFX2469" s="60"/>
      <c r="LFY2469" s="63"/>
      <c r="LFZ2469" s="61"/>
      <c r="LGA2469" s="54"/>
      <c r="LGB2469" s="54"/>
      <c r="LGC2469" s="60"/>
      <c r="LGD2469" s="60"/>
      <c r="LGE2469" s="60"/>
      <c r="LGF2469" s="60"/>
      <c r="LGG2469" s="63"/>
      <c r="LGH2469" s="61"/>
      <c r="LGI2469" s="54"/>
      <c r="LGJ2469" s="54"/>
      <c r="LGK2469" s="60"/>
      <c r="LGL2469" s="60"/>
      <c r="LGM2469" s="60"/>
      <c r="LGN2469" s="60"/>
      <c r="LGO2469" s="63"/>
      <c r="LGP2469" s="61"/>
      <c r="LGQ2469" s="54"/>
      <c r="LGR2469" s="54"/>
      <c r="LGS2469" s="60"/>
      <c r="LGT2469" s="60"/>
      <c r="LGU2469" s="60"/>
      <c r="LGV2469" s="60"/>
      <c r="LGW2469" s="63"/>
      <c r="LGX2469" s="61"/>
      <c r="LGY2469" s="54"/>
      <c r="LGZ2469" s="54"/>
      <c r="LHA2469" s="60"/>
      <c r="LHB2469" s="60"/>
      <c r="LHC2469" s="60"/>
      <c r="LHD2469" s="60"/>
      <c r="LHE2469" s="63"/>
      <c r="LHF2469" s="61"/>
      <c r="LHG2469" s="54"/>
      <c r="LHH2469" s="54"/>
      <c r="LHI2469" s="60"/>
      <c r="LHJ2469" s="60"/>
      <c r="LHK2469" s="60"/>
      <c r="LHL2469" s="60"/>
      <c r="LHM2469" s="63"/>
      <c r="LHN2469" s="61"/>
      <c r="LHO2469" s="54"/>
      <c r="LHP2469" s="54"/>
      <c r="LHQ2469" s="60"/>
      <c r="LHR2469" s="60"/>
      <c r="LHS2469" s="60"/>
      <c r="LHT2469" s="60"/>
      <c r="LHU2469" s="63"/>
      <c r="LHV2469" s="61"/>
      <c r="LHW2469" s="54"/>
      <c r="LHX2469" s="54"/>
      <c r="LHY2469" s="60"/>
      <c r="LHZ2469" s="60"/>
      <c r="LIA2469" s="60"/>
      <c r="LIB2469" s="60"/>
      <c r="LIC2469" s="63"/>
      <c r="LID2469" s="61"/>
      <c r="LIE2469" s="54"/>
      <c r="LIF2469" s="54"/>
      <c r="LIG2469" s="60"/>
      <c r="LIH2469" s="60"/>
      <c r="LII2469" s="60"/>
      <c r="LIJ2469" s="60"/>
      <c r="LIK2469" s="63"/>
      <c r="LIL2469" s="61"/>
      <c r="LIM2469" s="54"/>
      <c r="LIN2469" s="54"/>
      <c r="LIO2469" s="60"/>
      <c r="LIP2469" s="60"/>
      <c r="LIQ2469" s="60"/>
      <c r="LIR2469" s="60"/>
      <c r="LIS2469" s="63"/>
      <c r="LIT2469" s="61"/>
      <c r="LIU2469" s="54"/>
      <c r="LIV2469" s="54"/>
      <c r="LIW2469" s="60"/>
      <c r="LIX2469" s="60"/>
      <c r="LIY2469" s="60"/>
      <c r="LIZ2469" s="60"/>
      <c r="LJA2469" s="63"/>
      <c r="LJB2469" s="61"/>
      <c r="LJC2469" s="54"/>
      <c r="LJD2469" s="54"/>
      <c r="LJE2469" s="60"/>
      <c r="LJF2469" s="60"/>
      <c r="LJG2469" s="60"/>
      <c r="LJH2469" s="60"/>
      <c r="LJI2469" s="63"/>
      <c r="LJJ2469" s="61"/>
      <c r="LJK2469" s="54"/>
      <c r="LJL2469" s="54"/>
      <c r="LJM2469" s="60"/>
      <c r="LJN2469" s="60"/>
      <c r="LJO2469" s="60"/>
      <c r="LJP2469" s="60"/>
      <c r="LJQ2469" s="63"/>
      <c r="LJR2469" s="61"/>
      <c r="LJS2469" s="54"/>
      <c r="LJT2469" s="54"/>
      <c r="LJU2469" s="60"/>
      <c r="LJV2469" s="60"/>
      <c r="LJW2469" s="60"/>
      <c r="LJX2469" s="60"/>
      <c r="LJY2469" s="63"/>
      <c r="LJZ2469" s="61"/>
      <c r="LKA2469" s="54"/>
      <c r="LKB2469" s="54"/>
      <c r="LKC2469" s="60"/>
      <c r="LKD2469" s="60"/>
      <c r="LKE2469" s="60"/>
      <c r="LKF2469" s="60"/>
      <c r="LKG2469" s="63"/>
      <c r="LKH2469" s="61"/>
      <c r="LKI2469" s="54"/>
      <c r="LKJ2469" s="54"/>
      <c r="LKK2469" s="60"/>
      <c r="LKL2469" s="60"/>
      <c r="LKM2469" s="60"/>
      <c r="LKN2469" s="60"/>
      <c r="LKO2469" s="63"/>
      <c r="LKP2469" s="61"/>
      <c r="LKQ2469" s="54"/>
      <c r="LKR2469" s="54"/>
      <c r="LKS2469" s="60"/>
      <c r="LKT2469" s="60"/>
      <c r="LKU2469" s="60"/>
      <c r="LKV2469" s="60"/>
      <c r="LKW2469" s="63"/>
      <c r="LKX2469" s="61"/>
      <c r="LKY2469" s="54"/>
      <c r="LKZ2469" s="54"/>
      <c r="LLA2469" s="60"/>
      <c r="LLB2469" s="60"/>
      <c r="LLC2469" s="60"/>
      <c r="LLD2469" s="60"/>
      <c r="LLE2469" s="63"/>
      <c r="LLF2469" s="61"/>
      <c r="LLG2469" s="54"/>
      <c r="LLH2469" s="54"/>
      <c r="LLI2469" s="60"/>
      <c r="LLJ2469" s="60"/>
      <c r="LLK2469" s="60"/>
      <c r="LLL2469" s="60"/>
      <c r="LLM2469" s="63"/>
      <c r="LLN2469" s="61"/>
      <c r="LLO2469" s="54"/>
      <c r="LLP2469" s="54"/>
      <c r="LLQ2469" s="60"/>
      <c r="LLR2469" s="60"/>
      <c r="LLS2469" s="60"/>
      <c r="LLT2469" s="60"/>
      <c r="LLU2469" s="63"/>
      <c r="LLV2469" s="61"/>
      <c r="LLW2469" s="54"/>
      <c r="LLX2469" s="54"/>
      <c r="LLY2469" s="60"/>
      <c r="LLZ2469" s="60"/>
      <c r="LMA2469" s="60"/>
      <c r="LMB2469" s="60"/>
      <c r="LMC2469" s="63"/>
      <c r="LMD2469" s="61"/>
      <c r="LME2469" s="54"/>
      <c r="LMF2469" s="54"/>
      <c r="LMG2469" s="60"/>
      <c r="LMH2469" s="60"/>
      <c r="LMI2469" s="60"/>
      <c r="LMJ2469" s="60"/>
      <c r="LMK2469" s="63"/>
      <c r="LML2469" s="61"/>
      <c r="LMM2469" s="54"/>
      <c r="LMN2469" s="54"/>
      <c r="LMO2469" s="60"/>
      <c r="LMP2469" s="60"/>
      <c r="LMQ2469" s="60"/>
      <c r="LMR2469" s="60"/>
      <c r="LMS2469" s="63"/>
      <c r="LMT2469" s="61"/>
      <c r="LMU2469" s="54"/>
      <c r="LMV2469" s="54"/>
      <c r="LMW2469" s="60"/>
      <c r="LMX2469" s="60"/>
      <c r="LMY2469" s="60"/>
      <c r="LMZ2469" s="60"/>
      <c r="LNA2469" s="63"/>
      <c r="LNB2469" s="61"/>
      <c r="LNC2469" s="54"/>
      <c r="LND2469" s="54"/>
      <c r="LNE2469" s="60"/>
      <c r="LNF2469" s="60"/>
      <c r="LNG2469" s="60"/>
      <c r="LNH2469" s="60"/>
      <c r="LNI2469" s="63"/>
      <c r="LNJ2469" s="61"/>
      <c r="LNK2469" s="54"/>
      <c r="LNL2469" s="54"/>
      <c r="LNM2469" s="60"/>
      <c r="LNN2469" s="60"/>
      <c r="LNO2469" s="60"/>
      <c r="LNP2469" s="60"/>
      <c r="LNQ2469" s="63"/>
      <c r="LNR2469" s="61"/>
      <c r="LNS2469" s="54"/>
      <c r="LNT2469" s="54"/>
      <c r="LNU2469" s="60"/>
      <c r="LNV2469" s="60"/>
      <c r="LNW2469" s="60"/>
      <c r="LNX2469" s="60"/>
      <c r="LNY2469" s="63"/>
      <c r="LNZ2469" s="61"/>
      <c r="LOA2469" s="54"/>
      <c r="LOB2469" s="54"/>
      <c r="LOC2469" s="60"/>
      <c r="LOD2469" s="60"/>
      <c r="LOE2469" s="60"/>
      <c r="LOF2469" s="60"/>
      <c r="LOG2469" s="63"/>
      <c r="LOH2469" s="61"/>
      <c r="LOI2469" s="54"/>
      <c r="LOJ2469" s="54"/>
      <c r="LOK2469" s="60"/>
      <c r="LOL2469" s="60"/>
      <c r="LOM2469" s="60"/>
      <c r="LON2469" s="60"/>
      <c r="LOO2469" s="63"/>
      <c r="LOP2469" s="61"/>
      <c r="LOQ2469" s="54"/>
      <c r="LOR2469" s="54"/>
      <c r="LOS2469" s="60"/>
      <c r="LOT2469" s="60"/>
      <c r="LOU2469" s="60"/>
      <c r="LOV2469" s="60"/>
      <c r="LOW2469" s="63"/>
      <c r="LOX2469" s="61"/>
      <c r="LOY2469" s="54"/>
      <c r="LOZ2469" s="54"/>
      <c r="LPA2469" s="60"/>
      <c r="LPB2469" s="60"/>
      <c r="LPC2469" s="60"/>
      <c r="LPD2469" s="60"/>
      <c r="LPE2469" s="63"/>
      <c r="LPF2469" s="61"/>
      <c r="LPG2469" s="54"/>
      <c r="LPH2469" s="54"/>
      <c r="LPI2469" s="60"/>
      <c r="LPJ2469" s="60"/>
      <c r="LPK2469" s="60"/>
      <c r="LPL2469" s="60"/>
      <c r="LPM2469" s="63"/>
      <c r="LPN2469" s="61"/>
      <c r="LPO2469" s="54"/>
      <c r="LPP2469" s="54"/>
      <c r="LPQ2469" s="60"/>
      <c r="LPR2469" s="60"/>
      <c r="LPS2469" s="60"/>
      <c r="LPT2469" s="60"/>
      <c r="LPU2469" s="63"/>
      <c r="LPV2469" s="61"/>
      <c r="LPW2469" s="54"/>
      <c r="LPX2469" s="54"/>
      <c r="LPY2469" s="60"/>
      <c r="LPZ2469" s="60"/>
      <c r="LQA2469" s="60"/>
      <c r="LQB2469" s="60"/>
      <c r="LQC2469" s="63"/>
      <c r="LQD2469" s="61"/>
      <c r="LQE2469" s="54"/>
      <c r="LQF2469" s="54"/>
      <c r="LQG2469" s="60"/>
      <c r="LQH2469" s="60"/>
      <c r="LQI2469" s="60"/>
      <c r="LQJ2469" s="60"/>
      <c r="LQK2469" s="63"/>
      <c r="LQL2469" s="61"/>
      <c r="LQM2469" s="54"/>
      <c r="LQN2469" s="54"/>
      <c r="LQO2469" s="60"/>
      <c r="LQP2469" s="60"/>
      <c r="LQQ2469" s="60"/>
      <c r="LQR2469" s="60"/>
      <c r="LQS2469" s="63"/>
      <c r="LQT2469" s="61"/>
      <c r="LQU2469" s="54"/>
      <c r="LQV2469" s="54"/>
      <c r="LQW2469" s="60"/>
      <c r="LQX2469" s="60"/>
      <c r="LQY2469" s="60"/>
      <c r="LQZ2469" s="60"/>
      <c r="LRA2469" s="63"/>
      <c r="LRB2469" s="61"/>
      <c r="LRC2469" s="54"/>
      <c r="LRD2469" s="54"/>
      <c r="LRE2469" s="60"/>
      <c r="LRF2469" s="60"/>
      <c r="LRG2469" s="60"/>
      <c r="LRH2469" s="60"/>
      <c r="LRI2469" s="63"/>
      <c r="LRJ2469" s="61"/>
      <c r="LRK2469" s="54"/>
      <c r="LRL2469" s="54"/>
      <c r="LRM2469" s="60"/>
      <c r="LRN2469" s="60"/>
      <c r="LRO2469" s="60"/>
      <c r="LRP2469" s="60"/>
      <c r="LRQ2469" s="63"/>
      <c r="LRR2469" s="61"/>
      <c r="LRS2469" s="54"/>
      <c r="LRT2469" s="54"/>
      <c r="LRU2469" s="60"/>
      <c r="LRV2469" s="60"/>
      <c r="LRW2469" s="60"/>
      <c r="LRX2469" s="60"/>
      <c r="LRY2469" s="63"/>
      <c r="LRZ2469" s="61"/>
      <c r="LSA2469" s="54"/>
      <c r="LSB2469" s="54"/>
      <c r="LSC2469" s="60"/>
      <c r="LSD2469" s="60"/>
      <c r="LSE2469" s="60"/>
      <c r="LSF2469" s="60"/>
      <c r="LSG2469" s="63"/>
      <c r="LSH2469" s="61"/>
      <c r="LSI2469" s="54"/>
      <c r="LSJ2469" s="54"/>
      <c r="LSK2469" s="60"/>
      <c r="LSL2469" s="60"/>
      <c r="LSM2469" s="60"/>
      <c r="LSN2469" s="60"/>
      <c r="LSO2469" s="63"/>
      <c r="LSP2469" s="61"/>
      <c r="LSQ2469" s="54"/>
      <c r="LSR2469" s="54"/>
      <c r="LSS2469" s="60"/>
      <c r="LST2469" s="60"/>
      <c r="LSU2469" s="60"/>
      <c r="LSV2469" s="60"/>
      <c r="LSW2469" s="63"/>
      <c r="LSX2469" s="61"/>
      <c r="LSY2469" s="54"/>
      <c r="LSZ2469" s="54"/>
      <c r="LTA2469" s="60"/>
      <c r="LTB2469" s="60"/>
      <c r="LTC2469" s="60"/>
      <c r="LTD2469" s="60"/>
      <c r="LTE2469" s="63"/>
      <c r="LTF2469" s="61"/>
      <c r="LTG2469" s="54"/>
      <c r="LTH2469" s="54"/>
      <c r="LTI2469" s="60"/>
      <c r="LTJ2469" s="60"/>
      <c r="LTK2469" s="60"/>
      <c r="LTL2469" s="60"/>
      <c r="LTM2469" s="63"/>
      <c r="LTN2469" s="61"/>
      <c r="LTO2469" s="54"/>
      <c r="LTP2469" s="54"/>
      <c r="LTQ2469" s="60"/>
      <c r="LTR2469" s="60"/>
      <c r="LTS2469" s="60"/>
      <c r="LTT2469" s="60"/>
      <c r="LTU2469" s="63"/>
      <c r="LTV2469" s="61"/>
      <c r="LTW2469" s="54"/>
      <c r="LTX2469" s="54"/>
      <c r="LTY2469" s="60"/>
      <c r="LTZ2469" s="60"/>
      <c r="LUA2469" s="60"/>
      <c r="LUB2469" s="60"/>
      <c r="LUC2469" s="63"/>
      <c r="LUD2469" s="61"/>
      <c r="LUE2469" s="54"/>
      <c r="LUF2469" s="54"/>
      <c r="LUG2469" s="60"/>
      <c r="LUH2469" s="60"/>
      <c r="LUI2469" s="60"/>
      <c r="LUJ2469" s="60"/>
      <c r="LUK2469" s="63"/>
      <c r="LUL2469" s="61"/>
      <c r="LUM2469" s="54"/>
      <c r="LUN2469" s="54"/>
      <c r="LUO2469" s="60"/>
      <c r="LUP2469" s="60"/>
      <c r="LUQ2469" s="60"/>
      <c r="LUR2469" s="60"/>
      <c r="LUS2469" s="63"/>
      <c r="LUT2469" s="61"/>
      <c r="LUU2469" s="54"/>
      <c r="LUV2469" s="54"/>
      <c r="LUW2469" s="60"/>
      <c r="LUX2469" s="60"/>
      <c r="LUY2469" s="60"/>
      <c r="LUZ2469" s="60"/>
      <c r="LVA2469" s="63"/>
      <c r="LVB2469" s="61"/>
      <c r="LVC2469" s="54"/>
      <c r="LVD2469" s="54"/>
      <c r="LVE2469" s="60"/>
      <c r="LVF2469" s="60"/>
      <c r="LVG2469" s="60"/>
      <c r="LVH2469" s="60"/>
      <c r="LVI2469" s="63"/>
      <c r="LVJ2469" s="61"/>
      <c r="LVK2469" s="54"/>
      <c r="LVL2469" s="54"/>
      <c r="LVM2469" s="60"/>
      <c r="LVN2469" s="60"/>
      <c r="LVO2469" s="60"/>
      <c r="LVP2469" s="60"/>
      <c r="LVQ2469" s="63"/>
      <c r="LVR2469" s="61"/>
      <c r="LVS2469" s="54"/>
      <c r="LVT2469" s="54"/>
      <c r="LVU2469" s="60"/>
      <c r="LVV2469" s="60"/>
      <c r="LVW2469" s="60"/>
      <c r="LVX2469" s="60"/>
      <c r="LVY2469" s="63"/>
      <c r="LVZ2469" s="61"/>
      <c r="LWA2469" s="54"/>
      <c r="LWB2469" s="54"/>
      <c r="LWC2469" s="60"/>
      <c r="LWD2469" s="60"/>
      <c r="LWE2469" s="60"/>
      <c r="LWF2469" s="60"/>
      <c r="LWG2469" s="63"/>
      <c r="LWH2469" s="61"/>
      <c r="LWI2469" s="54"/>
      <c r="LWJ2469" s="54"/>
      <c r="LWK2469" s="60"/>
      <c r="LWL2469" s="60"/>
      <c r="LWM2469" s="60"/>
      <c r="LWN2469" s="60"/>
      <c r="LWO2469" s="63"/>
      <c r="LWP2469" s="61"/>
      <c r="LWQ2469" s="54"/>
      <c r="LWR2469" s="54"/>
      <c r="LWS2469" s="60"/>
      <c r="LWT2469" s="60"/>
      <c r="LWU2469" s="60"/>
      <c r="LWV2469" s="60"/>
      <c r="LWW2469" s="63"/>
      <c r="LWX2469" s="61"/>
      <c r="LWY2469" s="54"/>
      <c r="LWZ2469" s="54"/>
      <c r="LXA2469" s="60"/>
      <c r="LXB2469" s="60"/>
      <c r="LXC2469" s="60"/>
      <c r="LXD2469" s="60"/>
      <c r="LXE2469" s="63"/>
      <c r="LXF2469" s="61"/>
      <c r="LXG2469" s="54"/>
      <c r="LXH2469" s="54"/>
      <c r="LXI2469" s="60"/>
      <c r="LXJ2469" s="60"/>
      <c r="LXK2469" s="60"/>
      <c r="LXL2469" s="60"/>
      <c r="LXM2469" s="63"/>
      <c r="LXN2469" s="61"/>
      <c r="LXO2469" s="54"/>
      <c r="LXP2469" s="54"/>
      <c r="LXQ2469" s="60"/>
      <c r="LXR2469" s="60"/>
      <c r="LXS2469" s="60"/>
      <c r="LXT2469" s="60"/>
      <c r="LXU2469" s="63"/>
      <c r="LXV2469" s="61"/>
      <c r="LXW2469" s="54"/>
      <c r="LXX2469" s="54"/>
      <c r="LXY2469" s="60"/>
      <c r="LXZ2469" s="60"/>
      <c r="LYA2469" s="60"/>
      <c r="LYB2469" s="60"/>
      <c r="LYC2469" s="63"/>
      <c r="LYD2469" s="61"/>
      <c r="LYE2469" s="54"/>
      <c r="LYF2469" s="54"/>
      <c r="LYG2469" s="60"/>
      <c r="LYH2469" s="60"/>
      <c r="LYI2469" s="60"/>
      <c r="LYJ2469" s="60"/>
      <c r="LYK2469" s="63"/>
      <c r="LYL2469" s="61"/>
      <c r="LYM2469" s="54"/>
      <c r="LYN2469" s="54"/>
      <c r="LYO2469" s="60"/>
      <c r="LYP2469" s="60"/>
      <c r="LYQ2469" s="60"/>
      <c r="LYR2469" s="60"/>
      <c r="LYS2469" s="63"/>
      <c r="LYT2469" s="61"/>
      <c r="LYU2469" s="54"/>
      <c r="LYV2469" s="54"/>
      <c r="LYW2469" s="60"/>
      <c r="LYX2469" s="60"/>
      <c r="LYY2469" s="60"/>
      <c r="LYZ2469" s="60"/>
      <c r="LZA2469" s="63"/>
      <c r="LZB2469" s="61"/>
      <c r="LZC2469" s="54"/>
      <c r="LZD2469" s="54"/>
      <c r="LZE2469" s="60"/>
      <c r="LZF2469" s="60"/>
      <c r="LZG2469" s="60"/>
      <c r="LZH2469" s="60"/>
      <c r="LZI2469" s="63"/>
      <c r="LZJ2469" s="61"/>
      <c r="LZK2469" s="54"/>
      <c r="LZL2469" s="54"/>
      <c r="LZM2469" s="60"/>
      <c r="LZN2469" s="60"/>
      <c r="LZO2469" s="60"/>
      <c r="LZP2469" s="60"/>
      <c r="LZQ2469" s="63"/>
      <c r="LZR2469" s="61"/>
      <c r="LZS2469" s="54"/>
      <c r="LZT2469" s="54"/>
      <c r="LZU2469" s="60"/>
      <c r="LZV2469" s="60"/>
      <c r="LZW2469" s="60"/>
      <c r="LZX2469" s="60"/>
      <c r="LZY2469" s="63"/>
      <c r="LZZ2469" s="61"/>
      <c r="MAA2469" s="54"/>
      <c r="MAB2469" s="54"/>
      <c r="MAC2469" s="60"/>
      <c r="MAD2469" s="60"/>
      <c r="MAE2469" s="60"/>
      <c r="MAF2469" s="60"/>
      <c r="MAG2469" s="63"/>
      <c r="MAH2469" s="61"/>
      <c r="MAI2469" s="54"/>
      <c r="MAJ2469" s="54"/>
      <c r="MAK2469" s="60"/>
      <c r="MAL2469" s="60"/>
      <c r="MAM2469" s="60"/>
      <c r="MAN2469" s="60"/>
      <c r="MAO2469" s="63"/>
      <c r="MAP2469" s="61"/>
      <c r="MAQ2469" s="54"/>
      <c r="MAR2469" s="54"/>
      <c r="MAS2469" s="60"/>
      <c r="MAT2469" s="60"/>
      <c r="MAU2469" s="60"/>
      <c r="MAV2469" s="60"/>
      <c r="MAW2469" s="63"/>
      <c r="MAX2469" s="61"/>
      <c r="MAY2469" s="54"/>
      <c r="MAZ2469" s="54"/>
      <c r="MBA2469" s="60"/>
      <c r="MBB2469" s="60"/>
      <c r="MBC2469" s="60"/>
      <c r="MBD2469" s="60"/>
      <c r="MBE2469" s="63"/>
      <c r="MBF2469" s="61"/>
      <c r="MBG2469" s="54"/>
      <c r="MBH2469" s="54"/>
      <c r="MBI2469" s="60"/>
      <c r="MBJ2469" s="60"/>
      <c r="MBK2469" s="60"/>
      <c r="MBL2469" s="60"/>
      <c r="MBM2469" s="63"/>
      <c r="MBN2469" s="61"/>
      <c r="MBO2469" s="54"/>
      <c r="MBP2469" s="54"/>
      <c r="MBQ2469" s="60"/>
      <c r="MBR2469" s="60"/>
      <c r="MBS2469" s="60"/>
      <c r="MBT2469" s="60"/>
      <c r="MBU2469" s="63"/>
      <c r="MBV2469" s="61"/>
      <c r="MBW2469" s="54"/>
      <c r="MBX2469" s="54"/>
      <c r="MBY2469" s="60"/>
      <c r="MBZ2469" s="60"/>
      <c r="MCA2469" s="60"/>
      <c r="MCB2469" s="60"/>
      <c r="MCC2469" s="63"/>
      <c r="MCD2469" s="61"/>
      <c r="MCE2469" s="54"/>
      <c r="MCF2469" s="54"/>
      <c r="MCG2469" s="60"/>
      <c r="MCH2469" s="60"/>
      <c r="MCI2469" s="60"/>
      <c r="MCJ2469" s="60"/>
      <c r="MCK2469" s="63"/>
      <c r="MCL2469" s="61"/>
      <c r="MCM2469" s="54"/>
      <c r="MCN2469" s="54"/>
      <c r="MCO2469" s="60"/>
      <c r="MCP2469" s="60"/>
      <c r="MCQ2469" s="60"/>
      <c r="MCR2469" s="60"/>
      <c r="MCS2469" s="63"/>
      <c r="MCT2469" s="61"/>
      <c r="MCU2469" s="54"/>
      <c r="MCV2469" s="54"/>
      <c r="MCW2469" s="60"/>
      <c r="MCX2469" s="60"/>
      <c r="MCY2469" s="60"/>
      <c r="MCZ2469" s="60"/>
      <c r="MDA2469" s="63"/>
      <c r="MDB2469" s="61"/>
      <c r="MDC2469" s="54"/>
      <c r="MDD2469" s="54"/>
      <c r="MDE2469" s="60"/>
      <c r="MDF2469" s="60"/>
      <c r="MDG2469" s="60"/>
      <c r="MDH2469" s="60"/>
      <c r="MDI2469" s="63"/>
      <c r="MDJ2469" s="61"/>
      <c r="MDK2469" s="54"/>
      <c r="MDL2469" s="54"/>
      <c r="MDM2469" s="60"/>
      <c r="MDN2469" s="60"/>
      <c r="MDO2469" s="60"/>
      <c r="MDP2469" s="60"/>
      <c r="MDQ2469" s="63"/>
      <c r="MDR2469" s="61"/>
      <c r="MDS2469" s="54"/>
      <c r="MDT2469" s="54"/>
      <c r="MDU2469" s="60"/>
      <c r="MDV2469" s="60"/>
      <c r="MDW2469" s="60"/>
      <c r="MDX2469" s="60"/>
      <c r="MDY2469" s="63"/>
      <c r="MDZ2469" s="61"/>
      <c r="MEA2469" s="54"/>
      <c r="MEB2469" s="54"/>
      <c r="MEC2469" s="60"/>
      <c r="MED2469" s="60"/>
      <c r="MEE2469" s="60"/>
      <c r="MEF2469" s="60"/>
      <c r="MEG2469" s="63"/>
      <c r="MEH2469" s="61"/>
      <c r="MEI2469" s="54"/>
      <c r="MEJ2469" s="54"/>
      <c r="MEK2469" s="60"/>
      <c r="MEL2469" s="60"/>
      <c r="MEM2469" s="60"/>
      <c r="MEN2469" s="60"/>
      <c r="MEO2469" s="63"/>
      <c r="MEP2469" s="61"/>
      <c r="MEQ2469" s="54"/>
      <c r="MER2469" s="54"/>
      <c r="MES2469" s="60"/>
      <c r="MET2469" s="60"/>
      <c r="MEU2469" s="60"/>
      <c r="MEV2469" s="60"/>
      <c r="MEW2469" s="63"/>
      <c r="MEX2469" s="61"/>
      <c r="MEY2469" s="54"/>
      <c r="MEZ2469" s="54"/>
      <c r="MFA2469" s="60"/>
      <c r="MFB2469" s="60"/>
      <c r="MFC2469" s="60"/>
      <c r="MFD2469" s="60"/>
      <c r="MFE2469" s="63"/>
      <c r="MFF2469" s="61"/>
      <c r="MFG2469" s="54"/>
      <c r="MFH2469" s="54"/>
      <c r="MFI2469" s="60"/>
      <c r="MFJ2469" s="60"/>
      <c r="MFK2469" s="60"/>
      <c r="MFL2469" s="60"/>
      <c r="MFM2469" s="63"/>
      <c r="MFN2469" s="61"/>
      <c r="MFO2469" s="54"/>
      <c r="MFP2469" s="54"/>
      <c r="MFQ2469" s="60"/>
      <c r="MFR2469" s="60"/>
      <c r="MFS2469" s="60"/>
      <c r="MFT2469" s="60"/>
      <c r="MFU2469" s="63"/>
      <c r="MFV2469" s="61"/>
      <c r="MFW2469" s="54"/>
      <c r="MFX2469" s="54"/>
      <c r="MFY2469" s="60"/>
      <c r="MFZ2469" s="60"/>
      <c r="MGA2469" s="60"/>
      <c r="MGB2469" s="60"/>
      <c r="MGC2469" s="63"/>
      <c r="MGD2469" s="61"/>
      <c r="MGE2469" s="54"/>
      <c r="MGF2469" s="54"/>
      <c r="MGG2469" s="60"/>
      <c r="MGH2469" s="60"/>
      <c r="MGI2469" s="60"/>
      <c r="MGJ2469" s="60"/>
      <c r="MGK2469" s="63"/>
      <c r="MGL2469" s="61"/>
      <c r="MGM2469" s="54"/>
      <c r="MGN2469" s="54"/>
      <c r="MGO2469" s="60"/>
      <c r="MGP2469" s="60"/>
      <c r="MGQ2469" s="60"/>
      <c r="MGR2469" s="60"/>
      <c r="MGS2469" s="63"/>
      <c r="MGT2469" s="61"/>
      <c r="MGU2469" s="54"/>
      <c r="MGV2469" s="54"/>
      <c r="MGW2469" s="60"/>
      <c r="MGX2469" s="60"/>
      <c r="MGY2469" s="60"/>
      <c r="MGZ2469" s="60"/>
      <c r="MHA2469" s="63"/>
      <c r="MHB2469" s="61"/>
      <c r="MHC2469" s="54"/>
      <c r="MHD2469" s="54"/>
      <c r="MHE2469" s="60"/>
      <c r="MHF2469" s="60"/>
      <c r="MHG2469" s="60"/>
      <c r="MHH2469" s="60"/>
      <c r="MHI2469" s="63"/>
      <c r="MHJ2469" s="61"/>
      <c r="MHK2469" s="54"/>
      <c r="MHL2469" s="54"/>
      <c r="MHM2469" s="60"/>
      <c r="MHN2469" s="60"/>
      <c r="MHO2469" s="60"/>
      <c r="MHP2469" s="60"/>
      <c r="MHQ2469" s="63"/>
      <c r="MHR2469" s="61"/>
      <c r="MHS2469" s="54"/>
      <c r="MHT2469" s="54"/>
      <c r="MHU2469" s="60"/>
      <c r="MHV2469" s="60"/>
      <c r="MHW2469" s="60"/>
      <c r="MHX2469" s="60"/>
      <c r="MHY2469" s="63"/>
      <c r="MHZ2469" s="61"/>
      <c r="MIA2469" s="54"/>
      <c r="MIB2469" s="54"/>
      <c r="MIC2469" s="60"/>
      <c r="MID2469" s="60"/>
      <c r="MIE2469" s="60"/>
      <c r="MIF2469" s="60"/>
      <c r="MIG2469" s="63"/>
      <c r="MIH2469" s="61"/>
      <c r="MII2469" s="54"/>
      <c r="MIJ2469" s="54"/>
      <c r="MIK2469" s="60"/>
      <c r="MIL2469" s="60"/>
      <c r="MIM2469" s="60"/>
      <c r="MIN2469" s="60"/>
      <c r="MIO2469" s="63"/>
      <c r="MIP2469" s="61"/>
      <c r="MIQ2469" s="54"/>
      <c r="MIR2469" s="54"/>
      <c r="MIS2469" s="60"/>
      <c r="MIT2469" s="60"/>
      <c r="MIU2469" s="60"/>
      <c r="MIV2469" s="60"/>
      <c r="MIW2469" s="63"/>
      <c r="MIX2469" s="61"/>
      <c r="MIY2469" s="54"/>
      <c r="MIZ2469" s="54"/>
      <c r="MJA2469" s="60"/>
      <c r="MJB2469" s="60"/>
      <c r="MJC2469" s="60"/>
      <c r="MJD2469" s="60"/>
      <c r="MJE2469" s="63"/>
      <c r="MJF2469" s="61"/>
      <c r="MJG2469" s="54"/>
      <c r="MJH2469" s="54"/>
      <c r="MJI2469" s="60"/>
      <c r="MJJ2469" s="60"/>
      <c r="MJK2469" s="60"/>
      <c r="MJL2469" s="60"/>
      <c r="MJM2469" s="63"/>
      <c r="MJN2469" s="61"/>
      <c r="MJO2469" s="54"/>
      <c r="MJP2469" s="54"/>
      <c r="MJQ2469" s="60"/>
      <c r="MJR2469" s="60"/>
      <c r="MJS2469" s="60"/>
      <c r="MJT2469" s="60"/>
      <c r="MJU2469" s="63"/>
      <c r="MJV2469" s="61"/>
      <c r="MJW2469" s="54"/>
      <c r="MJX2469" s="54"/>
      <c r="MJY2469" s="60"/>
      <c r="MJZ2469" s="60"/>
      <c r="MKA2469" s="60"/>
      <c r="MKB2469" s="60"/>
      <c r="MKC2469" s="63"/>
      <c r="MKD2469" s="61"/>
      <c r="MKE2469" s="54"/>
      <c r="MKF2469" s="54"/>
      <c r="MKG2469" s="60"/>
      <c r="MKH2469" s="60"/>
      <c r="MKI2469" s="60"/>
      <c r="MKJ2469" s="60"/>
      <c r="MKK2469" s="63"/>
      <c r="MKL2469" s="61"/>
      <c r="MKM2469" s="54"/>
      <c r="MKN2469" s="54"/>
      <c r="MKO2469" s="60"/>
      <c r="MKP2469" s="60"/>
      <c r="MKQ2469" s="60"/>
      <c r="MKR2469" s="60"/>
      <c r="MKS2469" s="63"/>
      <c r="MKT2469" s="61"/>
      <c r="MKU2469" s="54"/>
      <c r="MKV2469" s="54"/>
      <c r="MKW2469" s="60"/>
      <c r="MKX2469" s="60"/>
      <c r="MKY2469" s="60"/>
      <c r="MKZ2469" s="60"/>
      <c r="MLA2469" s="63"/>
      <c r="MLB2469" s="61"/>
      <c r="MLC2469" s="54"/>
      <c r="MLD2469" s="54"/>
      <c r="MLE2469" s="60"/>
      <c r="MLF2469" s="60"/>
      <c r="MLG2469" s="60"/>
      <c r="MLH2469" s="60"/>
      <c r="MLI2469" s="63"/>
      <c r="MLJ2469" s="61"/>
      <c r="MLK2469" s="54"/>
      <c r="MLL2469" s="54"/>
      <c r="MLM2469" s="60"/>
      <c r="MLN2469" s="60"/>
      <c r="MLO2469" s="60"/>
      <c r="MLP2469" s="60"/>
      <c r="MLQ2469" s="63"/>
      <c r="MLR2469" s="61"/>
      <c r="MLS2469" s="54"/>
      <c r="MLT2469" s="54"/>
      <c r="MLU2469" s="60"/>
      <c r="MLV2469" s="60"/>
      <c r="MLW2469" s="60"/>
      <c r="MLX2469" s="60"/>
      <c r="MLY2469" s="63"/>
      <c r="MLZ2469" s="61"/>
      <c r="MMA2469" s="54"/>
      <c r="MMB2469" s="54"/>
      <c r="MMC2469" s="60"/>
      <c r="MMD2469" s="60"/>
      <c r="MME2469" s="60"/>
      <c r="MMF2469" s="60"/>
      <c r="MMG2469" s="63"/>
      <c r="MMH2469" s="61"/>
      <c r="MMI2469" s="54"/>
      <c r="MMJ2469" s="54"/>
      <c r="MMK2469" s="60"/>
      <c r="MML2469" s="60"/>
      <c r="MMM2469" s="60"/>
      <c r="MMN2469" s="60"/>
      <c r="MMO2469" s="63"/>
      <c r="MMP2469" s="61"/>
      <c r="MMQ2469" s="54"/>
      <c r="MMR2469" s="54"/>
      <c r="MMS2469" s="60"/>
      <c r="MMT2469" s="60"/>
      <c r="MMU2469" s="60"/>
      <c r="MMV2469" s="60"/>
      <c r="MMW2469" s="63"/>
      <c r="MMX2469" s="61"/>
      <c r="MMY2469" s="54"/>
      <c r="MMZ2469" s="54"/>
      <c r="MNA2469" s="60"/>
      <c r="MNB2469" s="60"/>
      <c r="MNC2469" s="60"/>
      <c r="MND2469" s="60"/>
      <c r="MNE2469" s="63"/>
      <c r="MNF2469" s="61"/>
      <c r="MNG2469" s="54"/>
      <c r="MNH2469" s="54"/>
      <c r="MNI2469" s="60"/>
      <c r="MNJ2469" s="60"/>
      <c r="MNK2469" s="60"/>
      <c r="MNL2469" s="60"/>
      <c r="MNM2469" s="63"/>
      <c r="MNN2469" s="61"/>
      <c r="MNO2469" s="54"/>
      <c r="MNP2469" s="54"/>
      <c r="MNQ2469" s="60"/>
      <c r="MNR2469" s="60"/>
      <c r="MNS2469" s="60"/>
      <c r="MNT2469" s="60"/>
      <c r="MNU2469" s="63"/>
      <c r="MNV2469" s="61"/>
      <c r="MNW2469" s="54"/>
      <c r="MNX2469" s="54"/>
      <c r="MNY2469" s="60"/>
      <c r="MNZ2469" s="60"/>
      <c r="MOA2469" s="60"/>
      <c r="MOB2469" s="60"/>
      <c r="MOC2469" s="63"/>
      <c r="MOD2469" s="61"/>
      <c r="MOE2469" s="54"/>
      <c r="MOF2469" s="54"/>
      <c r="MOG2469" s="60"/>
      <c r="MOH2469" s="60"/>
      <c r="MOI2469" s="60"/>
      <c r="MOJ2469" s="60"/>
      <c r="MOK2469" s="63"/>
      <c r="MOL2469" s="61"/>
      <c r="MOM2469" s="54"/>
      <c r="MON2469" s="54"/>
      <c r="MOO2469" s="60"/>
      <c r="MOP2469" s="60"/>
      <c r="MOQ2469" s="60"/>
      <c r="MOR2469" s="60"/>
      <c r="MOS2469" s="63"/>
      <c r="MOT2469" s="61"/>
      <c r="MOU2469" s="54"/>
      <c r="MOV2469" s="54"/>
      <c r="MOW2469" s="60"/>
      <c r="MOX2469" s="60"/>
      <c r="MOY2469" s="60"/>
      <c r="MOZ2469" s="60"/>
      <c r="MPA2469" s="63"/>
      <c r="MPB2469" s="61"/>
      <c r="MPC2469" s="54"/>
      <c r="MPD2469" s="54"/>
      <c r="MPE2469" s="60"/>
      <c r="MPF2469" s="60"/>
      <c r="MPG2469" s="60"/>
      <c r="MPH2469" s="60"/>
      <c r="MPI2469" s="63"/>
      <c r="MPJ2469" s="61"/>
      <c r="MPK2469" s="54"/>
      <c r="MPL2469" s="54"/>
      <c r="MPM2469" s="60"/>
      <c r="MPN2469" s="60"/>
      <c r="MPO2469" s="60"/>
      <c r="MPP2469" s="60"/>
      <c r="MPQ2469" s="63"/>
      <c r="MPR2469" s="61"/>
      <c r="MPS2469" s="54"/>
      <c r="MPT2469" s="54"/>
      <c r="MPU2469" s="60"/>
      <c r="MPV2469" s="60"/>
      <c r="MPW2469" s="60"/>
      <c r="MPX2469" s="60"/>
      <c r="MPY2469" s="63"/>
      <c r="MPZ2469" s="61"/>
      <c r="MQA2469" s="54"/>
      <c r="MQB2469" s="54"/>
      <c r="MQC2469" s="60"/>
      <c r="MQD2469" s="60"/>
      <c r="MQE2469" s="60"/>
      <c r="MQF2469" s="60"/>
      <c r="MQG2469" s="63"/>
      <c r="MQH2469" s="61"/>
      <c r="MQI2469" s="54"/>
      <c r="MQJ2469" s="54"/>
      <c r="MQK2469" s="60"/>
      <c r="MQL2469" s="60"/>
      <c r="MQM2469" s="60"/>
      <c r="MQN2469" s="60"/>
      <c r="MQO2469" s="63"/>
      <c r="MQP2469" s="61"/>
      <c r="MQQ2469" s="54"/>
      <c r="MQR2469" s="54"/>
      <c r="MQS2469" s="60"/>
      <c r="MQT2469" s="60"/>
      <c r="MQU2469" s="60"/>
      <c r="MQV2469" s="60"/>
      <c r="MQW2469" s="63"/>
      <c r="MQX2469" s="61"/>
      <c r="MQY2469" s="54"/>
      <c r="MQZ2469" s="54"/>
      <c r="MRA2469" s="60"/>
      <c r="MRB2469" s="60"/>
      <c r="MRC2469" s="60"/>
      <c r="MRD2469" s="60"/>
      <c r="MRE2469" s="63"/>
      <c r="MRF2469" s="61"/>
      <c r="MRG2469" s="54"/>
      <c r="MRH2469" s="54"/>
      <c r="MRI2469" s="60"/>
      <c r="MRJ2469" s="60"/>
      <c r="MRK2469" s="60"/>
      <c r="MRL2469" s="60"/>
      <c r="MRM2469" s="63"/>
      <c r="MRN2469" s="61"/>
      <c r="MRO2469" s="54"/>
      <c r="MRP2469" s="54"/>
      <c r="MRQ2469" s="60"/>
      <c r="MRR2469" s="60"/>
      <c r="MRS2469" s="60"/>
      <c r="MRT2469" s="60"/>
      <c r="MRU2469" s="63"/>
      <c r="MRV2469" s="61"/>
      <c r="MRW2469" s="54"/>
      <c r="MRX2469" s="54"/>
      <c r="MRY2469" s="60"/>
      <c r="MRZ2469" s="60"/>
      <c r="MSA2469" s="60"/>
      <c r="MSB2469" s="60"/>
      <c r="MSC2469" s="63"/>
      <c r="MSD2469" s="61"/>
      <c r="MSE2469" s="54"/>
      <c r="MSF2469" s="54"/>
      <c r="MSG2469" s="60"/>
      <c r="MSH2469" s="60"/>
      <c r="MSI2469" s="60"/>
      <c r="MSJ2469" s="60"/>
      <c r="MSK2469" s="63"/>
      <c r="MSL2469" s="61"/>
      <c r="MSM2469" s="54"/>
      <c r="MSN2469" s="54"/>
      <c r="MSO2469" s="60"/>
      <c r="MSP2469" s="60"/>
      <c r="MSQ2469" s="60"/>
      <c r="MSR2469" s="60"/>
      <c r="MSS2469" s="63"/>
      <c r="MST2469" s="61"/>
      <c r="MSU2469" s="54"/>
      <c r="MSV2469" s="54"/>
      <c r="MSW2469" s="60"/>
      <c r="MSX2469" s="60"/>
      <c r="MSY2469" s="60"/>
      <c r="MSZ2469" s="60"/>
      <c r="MTA2469" s="63"/>
      <c r="MTB2469" s="61"/>
      <c r="MTC2469" s="54"/>
      <c r="MTD2469" s="54"/>
      <c r="MTE2469" s="60"/>
      <c r="MTF2469" s="60"/>
      <c r="MTG2469" s="60"/>
      <c r="MTH2469" s="60"/>
      <c r="MTI2469" s="63"/>
      <c r="MTJ2469" s="61"/>
      <c r="MTK2469" s="54"/>
      <c r="MTL2469" s="54"/>
      <c r="MTM2469" s="60"/>
      <c r="MTN2469" s="60"/>
      <c r="MTO2469" s="60"/>
      <c r="MTP2469" s="60"/>
      <c r="MTQ2469" s="63"/>
      <c r="MTR2469" s="61"/>
      <c r="MTS2469" s="54"/>
      <c r="MTT2469" s="54"/>
      <c r="MTU2469" s="60"/>
      <c r="MTV2469" s="60"/>
      <c r="MTW2469" s="60"/>
      <c r="MTX2469" s="60"/>
      <c r="MTY2469" s="63"/>
      <c r="MTZ2469" s="61"/>
      <c r="MUA2469" s="54"/>
      <c r="MUB2469" s="54"/>
      <c r="MUC2469" s="60"/>
      <c r="MUD2469" s="60"/>
      <c r="MUE2469" s="60"/>
      <c r="MUF2469" s="60"/>
      <c r="MUG2469" s="63"/>
      <c r="MUH2469" s="61"/>
      <c r="MUI2469" s="54"/>
      <c r="MUJ2469" s="54"/>
      <c r="MUK2469" s="60"/>
      <c r="MUL2469" s="60"/>
      <c r="MUM2469" s="60"/>
      <c r="MUN2469" s="60"/>
      <c r="MUO2469" s="63"/>
      <c r="MUP2469" s="61"/>
      <c r="MUQ2469" s="54"/>
      <c r="MUR2469" s="54"/>
      <c r="MUS2469" s="60"/>
      <c r="MUT2469" s="60"/>
      <c r="MUU2469" s="60"/>
      <c r="MUV2469" s="60"/>
      <c r="MUW2469" s="63"/>
      <c r="MUX2469" s="61"/>
      <c r="MUY2469" s="54"/>
      <c r="MUZ2469" s="54"/>
      <c r="MVA2469" s="60"/>
      <c r="MVB2469" s="60"/>
      <c r="MVC2469" s="60"/>
      <c r="MVD2469" s="60"/>
      <c r="MVE2469" s="63"/>
      <c r="MVF2469" s="61"/>
      <c r="MVG2469" s="54"/>
      <c r="MVH2469" s="54"/>
      <c r="MVI2469" s="60"/>
      <c r="MVJ2469" s="60"/>
      <c r="MVK2469" s="60"/>
      <c r="MVL2469" s="60"/>
      <c r="MVM2469" s="63"/>
      <c r="MVN2469" s="61"/>
      <c r="MVO2469" s="54"/>
      <c r="MVP2469" s="54"/>
      <c r="MVQ2469" s="60"/>
      <c r="MVR2469" s="60"/>
      <c r="MVS2469" s="60"/>
      <c r="MVT2469" s="60"/>
      <c r="MVU2469" s="63"/>
      <c r="MVV2469" s="61"/>
      <c r="MVW2469" s="54"/>
      <c r="MVX2469" s="54"/>
      <c r="MVY2469" s="60"/>
      <c r="MVZ2469" s="60"/>
      <c r="MWA2469" s="60"/>
      <c r="MWB2469" s="60"/>
      <c r="MWC2469" s="63"/>
      <c r="MWD2469" s="61"/>
      <c r="MWE2469" s="54"/>
      <c r="MWF2469" s="54"/>
      <c r="MWG2469" s="60"/>
      <c r="MWH2469" s="60"/>
      <c r="MWI2469" s="60"/>
      <c r="MWJ2469" s="60"/>
      <c r="MWK2469" s="63"/>
      <c r="MWL2469" s="61"/>
      <c r="MWM2469" s="54"/>
      <c r="MWN2469" s="54"/>
      <c r="MWO2469" s="60"/>
      <c r="MWP2469" s="60"/>
      <c r="MWQ2469" s="60"/>
      <c r="MWR2469" s="60"/>
      <c r="MWS2469" s="63"/>
      <c r="MWT2469" s="61"/>
      <c r="MWU2469" s="54"/>
      <c r="MWV2469" s="54"/>
      <c r="MWW2469" s="60"/>
      <c r="MWX2469" s="60"/>
      <c r="MWY2469" s="60"/>
      <c r="MWZ2469" s="60"/>
      <c r="MXA2469" s="63"/>
      <c r="MXB2469" s="61"/>
      <c r="MXC2469" s="54"/>
      <c r="MXD2469" s="54"/>
      <c r="MXE2469" s="60"/>
      <c r="MXF2469" s="60"/>
      <c r="MXG2469" s="60"/>
      <c r="MXH2469" s="60"/>
      <c r="MXI2469" s="63"/>
      <c r="MXJ2469" s="61"/>
      <c r="MXK2469" s="54"/>
      <c r="MXL2469" s="54"/>
      <c r="MXM2469" s="60"/>
      <c r="MXN2469" s="60"/>
      <c r="MXO2469" s="60"/>
      <c r="MXP2469" s="60"/>
      <c r="MXQ2469" s="63"/>
      <c r="MXR2469" s="61"/>
      <c r="MXS2469" s="54"/>
      <c r="MXT2469" s="54"/>
      <c r="MXU2469" s="60"/>
      <c r="MXV2469" s="60"/>
      <c r="MXW2469" s="60"/>
      <c r="MXX2469" s="60"/>
      <c r="MXY2469" s="63"/>
      <c r="MXZ2469" s="61"/>
      <c r="MYA2469" s="54"/>
      <c r="MYB2469" s="54"/>
      <c r="MYC2469" s="60"/>
      <c r="MYD2469" s="60"/>
      <c r="MYE2469" s="60"/>
      <c r="MYF2469" s="60"/>
      <c r="MYG2469" s="63"/>
      <c r="MYH2469" s="61"/>
      <c r="MYI2469" s="54"/>
      <c r="MYJ2469" s="54"/>
      <c r="MYK2469" s="60"/>
      <c r="MYL2469" s="60"/>
      <c r="MYM2469" s="60"/>
      <c r="MYN2469" s="60"/>
      <c r="MYO2469" s="63"/>
      <c r="MYP2469" s="61"/>
      <c r="MYQ2469" s="54"/>
      <c r="MYR2469" s="54"/>
      <c r="MYS2469" s="60"/>
      <c r="MYT2469" s="60"/>
      <c r="MYU2469" s="60"/>
      <c r="MYV2469" s="60"/>
      <c r="MYW2469" s="63"/>
      <c r="MYX2469" s="61"/>
      <c r="MYY2469" s="54"/>
      <c r="MYZ2469" s="54"/>
      <c r="MZA2469" s="60"/>
      <c r="MZB2469" s="60"/>
      <c r="MZC2469" s="60"/>
      <c r="MZD2469" s="60"/>
      <c r="MZE2469" s="63"/>
      <c r="MZF2469" s="61"/>
      <c r="MZG2469" s="54"/>
      <c r="MZH2469" s="54"/>
      <c r="MZI2469" s="60"/>
      <c r="MZJ2469" s="60"/>
      <c r="MZK2469" s="60"/>
      <c r="MZL2469" s="60"/>
      <c r="MZM2469" s="63"/>
      <c r="MZN2469" s="61"/>
      <c r="MZO2469" s="54"/>
      <c r="MZP2469" s="54"/>
      <c r="MZQ2469" s="60"/>
      <c r="MZR2469" s="60"/>
      <c r="MZS2469" s="60"/>
      <c r="MZT2469" s="60"/>
      <c r="MZU2469" s="63"/>
      <c r="MZV2469" s="61"/>
      <c r="MZW2469" s="54"/>
      <c r="MZX2469" s="54"/>
      <c r="MZY2469" s="60"/>
      <c r="MZZ2469" s="60"/>
      <c r="NAA2469" s="60"/>
      <c r="NAB2469" s="60"/>
      <c r="NAC2469" s="63"/>
      <c r="NAD2469" s="61"/>
      <c r="NAE2469" s="54"/>
      <c r="NAF2469" s="54"/>
      <c r="NAG2469" s="60"/>
      <c r="NAH2469" s="60"/>
      <c r="NAI2469" s="60"/>
      <c r="NAJ2469" s="60"/>
      <c r="NAK2469" s="63"/>
      <c r="NAL2469" s="61"/>
      <c r="NAM2469" s="54"/>
      <c r="NAN2469" s="54"/>
      <c r="NAO2469" s="60"/>
      <c r="NAP2469" s="60"/>
      <c r="NAQ2469" s="60"/>
      <c r="NAR2469" s="60"/>
      <c r="NAS2469" s="63"/>
      <c r="NAT2469" s="61"/>
      <c r="NAU2469" s="54"/>
      <c r="NAV2469" s="54"/>
      <c r="NAW2469" s="60"/>
      <c r="NAX2469" s="60"/>
      <c r="NAY2469" s="60"/>
      <c r="NAZ2469" s="60"/>
      <c r="NBA2469" s="63"/>
      <c r="NBB2469" s="61"/>
      <c r="NBC2469" s="54"/>
      <c r="NBD2469" s="54"/>
      <c r="NBE2469" s="60"/>
      <c r="NBF2469" s="60"/>
      <c r="NBG2469" s="60"/>
      <c r="NBH2469" s="60"/>
      <c r="NBI2469" s="63"/>
      <c r="NBJ2469" s="61"/>
      <c r="NBK2469" s="54"/>
      <c r="NBL2469" s="54"/>
      <c r="NBM2469" s="60"/>
      <c r="NBN2469" s="60"/>
      <c r="NBO2469" s="60"/>
      <c r="NBP2469" s="60"/>
      <c r="NBQ2469" s="63"/>
      <c r="NBR2469" s="61"/>
      <c r="NBS2469" s="54"/>
      <c r="NBT2469" s="54"/>
      <c r="NBU2469" s="60"/>
      <c r="NBV2469" s="60"/>
      <c r="NBW2469" s="60"/>
      <c r="NBX2469" s="60"/>
      <c r="NBY2469" s="63"/>
      <c r="NBZ2469" s="61"/>
      <c r="NCA2469" s="54"/>
      <c r="NCB2469" s="54"/>
      <c r="NCC2469" s="60"/>
      <c r="NCD2469" s="60"/>
      <c r="NCE2469" s="60"/>
      <c r="NCF2469" s="60"/>
      <c r="NCG2469" s="63"/>
      <c r="NCH2469" s="61"/>
      <c r="NCI2469" s="54"/>
      <c r="NCJ2469" s="54"/>
      <c r="NCK2469" s="60"/>
      <c r="NCL2469" s="60"/>
      <c r="NCM2469" s="60"/>
      <c r="NCN2469" s="60"/>
      <c r="NCO2469" s="63"/>
      <c r="NCP2469" s="61"/>
      <c r="NCQ2469" s="54"/>
      <c r="NCR2469" s="54"/>
      <c r="NCS2469" s="60"/>
      <c r="NCT2469" s="60"/>
      <c r="NCU2469" s="60"/>
      <c r="NCV2469" s="60"/>
      <c r="NCW2469" s="63"/>
      <c r="NCX2469" s="61"/>
      <c r="NCY2469" s="54"/>
      <c r="NCZ2469" s="54"/>
      <c r="NDA2469" s="60"/>
      <c r="NDB2469" s="60"/>
      <c r="NDC2469" s="60"/>
      <c r="NDD2469" s="60"/>
      <c r="NDE2469" s="63"/>
      <c r="NDF2469" s="61"/>
      <c r="NDG2469" s="54"/>
      <c r="NDH2469" s="54"/>
      <c r="NDI2469" s="60"/>
      <c r="NDJ2469" s="60"/>
      <c r="NDK2469" s="60"/>
      <c r="NDL2469" s="60"/>
      <c r="NDM2469" s="63"/>
      <c r="NDN2469" s="61"/>
      <c r="NDO2469" s="54"/>
      <c r="NDP2469" s="54"/>
      <c r="NDQ2469" s="60"/>
      <c r="NDR2469" s="60"/>
      <c r="NDS2469" s="60"/>
      <c r="NDT2469" s="60"/>
      <c r="NDU2469" s="63"/>
      <c r="NDV2469" s="61"/>
      <c r="NDW2469" s="54"/>
      <c r="NDX2469" s="54"/>
      <c r="NDY2469" s="60"/>
      <c r="NDZ2469" s="60"/>
      <c r="NEA2469" s="60"/>
      <c r="NEB2469" s="60"/>
      <c r="NEC2469" s="63"/>
      <c r="NED2469" s="61"/>
      <c r="NEE2469" s="54"/>
      <c r="NEF2469" s="54"/>
      <c r="NEG2469" s="60"/>
      <c r="NEH2469" s="60"/>
      <c r="NEI2469" s="60"/>
      <c r="NEJ2469" s="60"/>
      <c r="NEK2469" s="63"/>
      <c r="NEL2469" s="61"/>
      <c r="NEM2469" s="54"/>
      <c r="NEN2469" s="54"/>
      <c r="NEO2469" s="60"/>
      <c r="NEP2469" s="60"/>
      <c r="NEQ2469" s="60"/>
      <c r="NER2469" s="60"/>
      <c r="NES2469" s="63"/>
      <c r="NET2469" s="61"/>
      <c r="NEU2469" s="54"/>
      <c r="NEV2469" s="54"/>
      <c r="NEW2469" s="60"/>
      <c r="NEX2469" s="60"/>
      <c r="NEY2469" s="60"/>
      <c r="NEZ2469" s="60"/>
      <c r="NFA2469" s="63"/>
      <c r="NFB2469" s="61"/>
      <c r="NFC2469" s="54"/>
      <c r="NFD2469" s="54"/>
      <c r="NFE2469" s="60"/>
      <c r="NFF2469" s="60"/>
      <c r="NFG2469" s="60"/>
      <c r="NFH2469" s="60"/>
      <c r="NFI2469" s="63"/>
      <c r="NFJ2469" s="61"/>
      <c r="NFK2469" s="54"/>
      <c r="NFL2469" s="54"/>
      <c r="NFM2469" s="60"/>
      <c r="NFN2469" s="60"/>
      <c r="NFO2469" s="60"/>
      <c r="NFP2469" s="60"/>
      <c r="NFQ2469" s="63"/>
      <c r="NFR2469" s="61"/>
      <c r="NFS2469" s="54"/>
      <c r="NFT2469" s="54"/>
      <c r="NFU2469" s="60"/>
      <c r="NFV2469" s="60"/>
      <c r="NFW2469" s="60"/>
      <c r="NFX2469" s="60"/>
      <c r="NFY2469" s="63"/>
      <c r="NFZ2469" s="61"/>
      <c r="NGA2469" s="54"/>
      <c r="NGB2469" s="54"/>
      <c r="NGC2469" s="60"/>
      <c r="NGD2469" s="60"/>
      <c r="NGE2469" s="60"/>
      <c r="NGF2469" s="60"/>
      <c r="NGG2469" s="63"/>
      <c r="NGH2469" s="61"/>
      <c r="NGI2469" s="54"/>
      <c r="NGJ2469" s="54"/>
      <c r="NGK2469" s="60"/>
      <c r="NGL2469" s="60"/>
      <c r="NGM2469" s="60"/>
      <c r="NGN2469" s="60"/>
      <c r="NGO2469" s="63"/>
      <c r="NGP2469" s="61"/>
      <c r="NGQ2469" s="54"/>
      <c r="NGR2469" s="54"/>
      <c r="NGS2469" s="60"/>
      <c r="NGT2469" s="60"/>
      <c r="NGU2469" s="60"/>
      <c r="NGV2469" s="60"/>
      <c r="NGW2469" s="63"/>
      <c r="NGX2469" s="61"/>
      <c r="NGY2469" s="54"/>
      <c r="NGZ2469" s="54"/>
      <c r="NHA2469" s="60"/>
      <c r="NHB2469" s="60"/>
      <c r="NHC2469" s="60"/>
      <c r="NHD2469" s="60"/>
      <c r="NHE2469" s="63"/>
      <c r="NHF2469" s="61"/>
      <c r="NHG2469" s="54"/>
      <c r="NHH2469" s="54"/>
      <c r="NHI2469" s="60"/>
      <c r="NHJ2469" s="60"/>
      <c r="NHK2469" s="60"/>
      <c r="NHL2469" s="60"/>
      <c r="NHM2469" s="63"/>
      <c r="NHN2469" s="61"/>
      <c r="NHO2469" s="54"/>
      <c r="NHP2469" s="54"/>
      <c r="NHQ2469" s="60"/>
      <c r="NHR2469" s="60"/>
      <c r="NHS2469" s="60"/>
      <c r="NHT2469" s="60"/>
      <c r="NHU2469" s="63"/>
      <c r="NHV2469" s="61"/>
      <c r="NHW2469" s="54"/>
      <c r="NHX2469" s="54"/>
      <c r="NHY2469" s="60"/>
      <c r="NHZ2469" s="60"/>
      <c r="NIA2469" s="60"/>
      <c r="NIB2469" s="60"/>
      <c r="NIC2469" s="63"/>
      <c r="NID2469" s="61"/>
      <c r="NIE2469" s="54"/>
      <c r="NIF2469" s="54"/>
      <c r="NIG2469" s="60"/>
      <c r="NIH2469" s="60"/>
      <c r="NII2469" s="60"/>
      <c r="NIJ2469" s="60"/>
      <c r="NIK2469" s="63"/>
      <c r="NIL2469" s="61"/>
      <c r="NIM2469" s="54"/>
      <c r="NIN2469" s="54"/>
      <c r="NIO2469" s="60"/>
      <c r="NIP2469" s="60"/>
      <c r="NIQ2469" s="60"/>
      <c r="NIR2469" s="60"/>
      <c r="NIS2469" s="63"/>
      <c r="NIT2469" s="61"/>
      <c r="NIU2469" s="54"/>
      <c r="NIV2469" s="54"/>
      <c r="NIW2469" s="60"/>
      <c r="NIX2469" s="60"/>
      <c r="NIY2469" s="60"/>
      <c r="NIZ2469" s="60"/>
      <c r="NJA2469" s="63"/>
      <c r="NJB2469" s="61"/>
      <c r="NJC2469" s="54"/>
      <c r="NJD2469" s="54"/>
      <c r="NJE2469" s="60"/>
      <c r="NJF2469" s="60"/>
      <c r="NJG2469" s="60"/>
      <c r="NJH2469" s="60"/>
      <c r="NJI2469" s="63"/>
      <c r="NJJ2469" s="61"/>
      <c r="NJK2469" s="54"/>
      <c r="NJL2469" s="54"/>
      <c r="NJM2469" s="60"/>
      <c r="NJN2469" s="60"/>
      <c r="NJO2469" s="60"/>
      <c r="NJP2469" s="60"/>
      <c r="NJQ2469" s="63"/>
      <c r="NJR2469" s="61"/>
      <c r="NJS2469" s="54"/>
      <c r="NJT2469" s="54"/>
      <c r="NJU2469" s="60"/>
      <c r="NJV2469" s="60"/>
      <c r="NJW2469" s="60"/>
      <c r="NJX2469" s="60"/>
      <c r="NJY2469" s="63"/>
      <c r="NJZ2469" s="61"/>
      <c r="NKA2469" s="54"/>
      <c r="NKB2469" s="54"/>
      <c r="NKC2469" s="60"/>
      <c r="NKD2469" s="60"/>
      <c r="NKE2469" s="60"/>
      <c r="NKF2469" s="60"/>
      <c r="NKG2469" s="63"/>
      <c r="NKH2469" s="61"/>
      <c r="NKI2469" s="54"/>
      <c r="NKJ2469" s="54"/>
      <c r="NKK2469" s="60"/>
      <c r="NKL2469" s="60"/>
      <c r="NKM2469" s="60"/>
      <c r="NKN2469" s="60"/>
      <c r="NKO2469" s="63"/>
      <c r="NKP2469" s="61"/>
      <c r="NKQ2469" s="54"/>
      <c r="NKR2469" s="54"/>
      <c r="NKS2469" s="60"/>
      <c r="NKT2469" s="60"/>
      <c r="NKU2469" s="60"/>
      <c r="NKV2469" s="60"/>
      <c r="NKW2469" s="63"/>
      <c r="NKX2469" s="61"/>
      <c r="NKY2469" s="54"/>
      <c r="NKZ2469" s="54"/>
      <c r="NLA2469" s="60"/>
      <c r="NLB2469" s="60"/>
      <c r="NLC2469" s="60"/>
      <c r="NLD2469" s="60"/>
      <c r="NLE2469" s="63"/>
      <c r="NLF2469" s="61"/>
      <c r="NLG2469" s="54"/>
      <c r="NLH2469" s="54"/>
      <c r="NLI2469" s="60"/>
      <c r="NLJ2469" s="60"/>
      <c r="NLK2469" s="60"/>
      <c r="NLL2469" s="60"/>
      <c r="NLM2469" s="63"/>
      <c r="NLN2469" s="61"/>
      <c r="NLO2469" s="54"/>
      <c r="NLP2469" s="54"/>
      <c r="NLQ2469" s="60"/>
      <c r="NLR2469" s="60"/>
      <c r="NLS2469" s="60"/>
      <c r="NLT2469" s="60"/>
      <c r="NLU2469" s="63"/>
      <c r="NLV2469" s="61"/>
      <c r="NLW2469" s="54"/>
      <c r="NLX2469" s="54"/>
      <c r="NLY2469" s="60"/>
      <c r="NLZ2469" s="60"/>
      <c r="NMA2469" s="60"/>
      <c r="NMB2469" s="60"/>
      <c r="NMC2469" s="63"/>
      <c r="NMD2469" s="61"/>
      <c r="NME2469" s="54"/>
      <c r="NMF2469" s="54"/>
      <c r="NMG2469" s="60"/>
      <c r="NMH2469" s="60"/>
      <c r="NMI2469" s="60"/>
      <c r="NMJ2469" s="60"/>
      <c r="NMK2469" s="63"/>
      <c r="NML2469" s="61"/>
      <c r="NMM2469" s="54"/>
      <c r="NMN2469" s="54"/>
      <c r="NMO2469" s="60"/>
      <c r="NMP2469" s="60"/>
      <c r="NMQ2469" s="60"/>
      <c r="NMR2469" s="60"/>
      <c r="NMS2469" s="63"/>
      <c r="NMT2469" s="61"/>
      <c r="NMU2469" s="54"/>
      <c r="NMV2469" s="54"/>
      <c r="NMW2469" s="60"/>
      <c r="NMX2469" s="60"/>
      <c r="NMY2469" s="60"/>
      <c r="NMZ2469" s="60"/>
      <c r="NNA2469" s="63"/>
      <c r="NNB2469" s="61"/>
      <c r="NNC2469" s="54"/>
      <c r="NND2469" s="54"/>
      <c r="NNE2469" s="60"/>
      <c r="NNF2469" s="60"/>
      <c r="NNG2469" s="60"/>
      <c r="NNH2469" s="60"/>
      <c r="NNI2469" s="63"/>
      <c r="NNJ2469" s="61"/>
      <c r="NNK2469" s="54"/>
      <c r="NNL2469" s="54"/>
      <c r="NNM2469" s="60"/>
      <c r="NNN2469" s="60"/>
      <c r="NNO2469" s="60"/>
      <c r="NNP2469" s="60"/>
      <c r="NNQ2469" s="63"/>
      <c r="NNR2469" s="61"/>
      <c r="NNS2469" s="54"/>
      <c r="NNT2469" s="54"/>
      <c r="NNU2469" s="60"/>
      <c r="NNV2469" s="60"/>
      <c r="NNW2469" s="60"/>
      <c r="NNX2469" s="60"/>
      <c r="NNY2469" s="63"/>
      <c r="NNZ2469" s="61"/>
      <c r="NOA2469" s="54"/>
      <c r="NOB2469" s="54"/>
      <c r="NOC2469" s="60"/>
      <c r="NOD2469" s="60"/>
      <c r="NOE2469" s="60"/>
      <c r="NOF2469" s="60"/>
      <c r="NOG2469" s="63"/>
      <c r="NOH2469" s="61"/>
      <c r="NOI2469" s="54"/>
      <c r="NOJ2469" s="54"/>
      <c r="NOK2469" s="60"/>
      <c r="NOL2469" s="60"/>
      <c r="NOM2469" s="60"/>
      <c r="NON2469" s="60"/>
      <c r="NOO2469" s="63"/>
      <c r="NOP2469" s="61"/>
      <c r="NOQ2469" s="54"/>
      <c r="NOR2469" s="54"/>
      <c r="NOS2469" s="60"/>
      <c r="NOT2469" s="60"/>
      <c r="NOU2469" s="60"/>
      <c r="NOV2469" s="60"/>
      <c r="NOW2469" s="63"/>
      <c r="NOX2469" s="61"/>
      <c r="NOY2469" s="54"/>
      <c r="NOZ2469" s="54"/>
      <c r="NPA2469" s="60"/>
      <c r="NPB2469" s="60"/>
      <c r="NPC2469" s="60"/>
      <c r="NPD2469" s="60"/>
      <c r="NPE2469" s="63"/>
      <c r="NPF2469" s="61"/>
      <c r="NPG2469" s="54"/>
      <c r="NPH2469" s="54"/>
      <c r="NPI2469" s="60"/>
      <c r="NPJ2469" s="60"/>
      <c r="NPK2469" s="60"/>
      <c r="NPL2469" s="60"/>
      <c r="NPM2469" s="63"/>
      <c r="NPN2469" s="61"/>
      <c r="NPO2469" s="54"/>
      <c r="NPP2469" s="54"/>
      <c r="NPQ2469" s="60"/>
      <c r="NPR2469" s="60"/>
      <c r="NPS2469" s="60"/>
      <c r="NPT2469" s="60"/>
      <c r="NPU2469" s="63"/>
      <c r="NPV2469" s="61"/>
      <c r="NPW2469" s="54"/>
      <c r="NPX2469" s="54"/>
      <c r="NPY2469" s="60"/>
      <c r="NPZ2469" s="60"/>
      <c r="NQA2469" s="60"/>
      <c r="NQB2469" s="60"/>
      <c r="NQC2469" s="63"/>
      <c r="NQD2469" s="61"/>
      <c r="NQE2469" s="54"/>
      <c r="NQF2469" s="54"/>
      <c r="NQG2469" s="60"/>
      <c r="NQH2469" s="60"/>
      <c r="NQI2469" s="60"/>
      <c r="NQJ2469" s="60"/>
      <c r="NQK2469" s="63"/>
      <c r="NQL2469" s="61"/>
      <c r="NQM2469" s="54"/>
      <c r="NQN2469" s="54"/>
      <c r="NQO2469" s="60"/>
      <c r="NQP2469" s="60"/>
      <c r="NQQ2469" s="60"/>
      <c r="NQR2469" s="60"/>
      <c r="NQS2469" s="63"/>
      <c r="NQT2469" s="61"/>
      <c r="NQU2469" s="54"/>
      <c r="NQV2469" s="54"/>
      <c r="NQW2469" s="60"/>
      <c r="NQX2469" s="60"/>
      <c r="NQY2469" s="60"/>
      <c r="NQZ2469" s="60"/>
      <c r="NRA2469" s="63"/>
      <c r="NRB2469" s="61"/>
      <c r="NRC2469" s="54"/>
      <c r="NRD2469" s="54"/>
      <c r="NRE2469" s="60"/>
      <c r="NRF2469" s="60"/>
      <c r="NRG2469" s="60"/>
      <c r="NRH2469" s="60"/>
      <c r="NRI2469" s="63"/>
      <c r="NRJ2469" s="61"/>
      <c r="NRK2469" s="54"/>
      <c r="NRL2469" s="54"/>
      <c r="NRM2469" s="60"/>
      <c r="NRN2469" s="60"/>
      <c r="NRO2469" s="60"/>
      <c r="NRP2469" s="60"/>
      <c r="NRQ2469" s="63"/>
      <c r="NRR2469" s="61"/>
      <c r="NRS2469" s="54"/>
      <c r="NRT2469" s="54"/>
      <c r="NRU2469" s="60"/>
      <c r="NRV2469" s="60"/>
      <c r="NRW2469" s="60"/>
      <c r="NRX2469" s="60"/>
      <c r="NRY2469" s="63"/>
      <c r="NRZ2469" s="61"/>
      <c r="NSA2469" s="54"/>
      <c r="NSB2469" s="54"/>
      <c r="NSC2469" s="60"/>
      <c r="NSD2469" s="60"/>
      <c r="NSE2469" s="60"/>
      <c r="NSF2469" s="60"/>
      <c r="NSG2469" s="63"/>
      <c r="NSH2469" s="61"/>
      <c r="NSI2469" s="54"/>
      <c r="NSJ2469" s="54"/>
      <c r="NSK2469" s="60"/>
      <c r="NSL2469" s="60"/>
      <c r="NSM2469" s="60"/>
      <c r="NSN2469" s="60"/>
      <c r="NSO2469" s="63"/>
      <c r="NSP2469" s="61"/>
      <c r="NSQ2469" s="54"/>
      <c r="NSR2469" s="54"/>
      <c r="NSS2469" s="60"/>
      <c r="NST2469" s="60"/>
      <c r="NSU2469" s="60"/>
      <c r="NSV2469" s="60"/>
      <c r="NSW2469" s="63"/>
      <c r="NSX2469" s="61"/>
      <c r="NSY2469" s="54"/>
      <c r="NSZ2469" s="54"/>
      <c r="NTA2469" s="60"/>
      <c r="NTB2469" s="60"/>
      <c r="NTC2469" s="60"/>
      <c r="NTD2469" s="60"/>
      <c r="NTE2469" s="63"/>
      <c r="NTF2469" s="61"/>
      <c r="NTG2469" s="54"/>
      <c r="NTH2469" s="54"/>
      <c r="NTI2469" s="60"/>
      <c r="NTJ2469" s="60"/>
      <c r="NTK2469" s="60"/>
      <c r="NTL2469" s="60"/>
      <c r="NTM2469" s="63"/>
      <c r="NTN2469" s="61"/>
      <c r="NTO2469" s="54"/>
      <c r="NTP2469" s="54"/>
      <c r="NTQ2469" s="60"/>
      <c r="NTR2469" s="60"/>
      <c r="NTS2469" s="60"/>
      <c r="NTT2469" s="60"/>
      <c r="NTU2469" s="63"/>
      <c r="NTV2469" s="61"/>
      <c r="NTW2469" s="54"/>
      <c r="NTX2469" s="54"/>
      <c r="NTY2469" s="60"/>
      <c r="NTZ2469" s="60"/>
      <c r="NUA2469" s="60"/>
      <c r="NUB2469" s="60"/>
      <c r="NUC2469" s="63"/>
      <c r="NUD2469" s="61"/>
      <c r="NUE2469" s="54"/>
      <c r="NUF2469" s="54"/>
      <c r="NUG2469" s="60"/>
      <c r="NUH2469" s="60"/>
      <c r="NUI2469" s="60"/>
      <c r="NUJ2469" s="60"/>
      <c r="NUK2469" s="63"/>
      <c r="NUL2469" s="61"/>
      <c r="NUM2469" s="54"/>
      <c r="NUN2469" s="54"/>
      <c r="NUO2469" s="60"/>
      <c r="NUP2469" s="60"/>
      <c r="NUQ2469" s="60"/>
      <c r="NUR2469" s="60"/>
      <c r="NUS2469" s="63"/>
      <c r="NUT2469" s="61"/>
      <c r="NUU2469" s="54"/>
      <c r="NUV2469" s="54"/>
      <c r="NUW2469" s="60"/>
      <c r="NUX2469" s="60"/>
      <c r="NUY2469" s="60"/>
      <c r="NUZ2469" s="60"/>
      <c r="NVA2469" s="63"/>
      <c r="NVB2469" s="61"/>
      <c r="NVC2469" s="54"/>
      <c r="NVD2469" s="54"/>
      <c r="NVE2469" s="60"/>
      <c r="NVF2469" s="60"/>
      <c r="NVG2469" s="60"/>
      <c r="NVH2469" s="60"/>
      <c r="NVI2469" s="63"/>
      <c r="NVJ2469" s="61"/>
      <c r="NVK2469" s="54"/>
      <c r="NVL2469" s="54"/>
      <c r="NVM2469" s="60"/>
      <c r="NVN2469" s="60"/>
      <c r="NVO2469" s="60"/>
      <c r="NVP2469" s="60"/>
      <c r="NVQ2469" s="63"/>
      <c r="NVR2469" s="61"/>
      <c r="NVS2469" s="54"/>
      <c r="NVT2469" s="54"/>
      <c r="NVU2469" s="60"/>
      <c r="NVV2469" s="60"/>
      <c r="NVW2469" s="60"/>
      <c r="NVX2469" s="60"/>
      <c r="NVY2469" s="63"/>
      <c r="NVZ2469" s="61"/>
      <c r="NWA2469" s="54"/>
      <c r="NWB2469" s="54"/>
      <c r="NWC2469" s="60"/>
      <c r="NWD2469" s="60"/>
      <c r="NWE2469" s="60"/>
      <c r="NWF2469" s="60"/>
      <c r="NWG2469" s="63"/>
      <c r="NWH2469" s="61"/>
      <c r="NWI2469" s="54"/>
      <c r="NWJ2469" s="54"/>
      <c r="NWK2469" s="60"/>
      <c r="NWL2469" s="60"/>
      <c r="NWM2469" s="60"/>
      <c r="NWN2469" s="60"/>
      <c r="NWO2469" s="63"/>
      <c r="NWP2469" s="61"/>
      <c r="NWQ2469" s="54"/>
      <c r="NWR2469" s="54"/>
      <c r="NWS2469" s="60"/>
      <c r="NWT2469" s="60"/>
      <c r="NWU2469" s="60"/>
      <c r="NWV2469" s="60"/>
      <c r="NWW2469" s="63"/>
      <c r="NWX2469" s="61"/>
      <c r="NWY2469" s="54"/>
      <c r="NWZ2469" s="54"/>
      <c r="NXA2469" s="60"/>
      <c r="NXB2469" s="60"/>
      <c r="NXC2469" s="60"/>
      <c r="NXD2469" s="60"/>
      <c r="NXE2469" s="63"/>
      <c r="NXF2469" s="61"/>
      <c r="NXG2469" s="54"/>
      <c r="NXH2469" s="54"/>
      <c r="NXI2469" s="60"/>
      <c r="NXJ2469" s="60"/>
      <c r="NXK2469" s="60"/>
      <c r="NXL2469" s="60"/>
      <c r="NXM2469" s="63"/>
      <c r="NXN2469" s="61"/>
      <c r="NXO2469" s="54"/>
      <c r="NXP2469" s="54"/>
      <c r="NXQ2469" s="60"/>
      <c r="NXR2469" s="60"/>
      <c r="NXS2469" s="60"/>
      <c r="NXT2469" s="60"/>
      <c r="NXU2469" s="63"/>
      <c r="NXV2469" s="61"/>
      <c r="NXW2469" s="54"/>
      <c r="NXX2469" s="54"/>
      <c r="NXY2469" s="60"/>
      <c r="NXZ2469" s="60"/>
      <c r="NYA2469" s="60"/>
      <c r="NYB2469" s="60"/>
      <c r="NYC2469" s="63"/>
      <c r="NYD2469" s="61"/>
      <c r="NYE2469" s="54"/>
      <c r="NYF2469" s="54"/>
      <c r="NYG2469" s="60"/>
      <c r="NYH2469" s="60"/>
      <c r="NYI2469" s="60"/>
      <c r="NYJ2469" s="60"/>
      <c r="NYK2469" s="63"/>
      <c r="NYL2469" s="61"/>
      <c r="NYM2469" s="54"/>
      <c r="NYN2469" s="54"/>
      <c r="NYO2469" s="60"/>
      <c r="NYP2469" s="60"/>
      <c r="NYQ2469" s="60"/>
      <c r="NYR2469" s="60"/>
      <c r="NYS2469" s="63"/>
      <c r="NYT2469" s="61"/>
      <c r="NYU2469" s="54"/>
      <c r="NYV2469" s="54"/>
      <c r="NYW2469" s="60"/>
      <c r="NYX2469" s="60"/>
      <c r="NYY2469" s="60"/>
      <c r="NYZ2469" s="60"/>
      <c r="NZA2469" s="63"/>
      <c r="NZB2469" s="61"/>
      <c r="NZC2469" s="54"/>
      <c r="NZD2469" s="54"/>
      <c r="NZE2469" s="60"/>
      <c r="NZF2469" s="60"/>
      <c r="NZG2469" s="60"/>
      <c r="NZH2469" s="60"/>
      <c r="NZI2469" s="63"/>
      <c r="NZJ2469" s="61"/>
      <c r="NZK2469" s="54"/>
      <c r="NZL2469" s="54"/>
      <c r="NZM2469" s="60"/>
      <c r="NZN2469" s="60"/>
      <c r="NZO2469" s="60"/>
      <c r="NZP2469" s="60"/>
      <c r="NZQ2469" s="63"/>
      <c r="NZR2469" s="61"/>
      <c r="NZS2469" s="54"/>
      <c r="NZT2469" s="54"/>
      <c r="NZU2469" s="60"/>
      <c r="NZV2469" s="60"/>
      <c r="NZW2469" s="60"/>
      <c r="NZX2469" s="60"/>
      <c r="NZY2469" s="63"/>
      <c r="NZZ2469" s="61"/>
      <c r="OAA2469" s="54"/>
      <c r="OAB2469" s="54"/>
      <c r="OAC2469" s="60"/>
      <c r="OAD2469" s="60"/>
      <c r="OAE2469" s="60"/>
      <c r="OAF2469" s="60"/>
      <c r="OAG2469" s="63"/>
      <c r="OAH2469" s="61"/>
      <c r="OAI2469" s="54"/>
      <c r="OAJ2469" s="54"/>
      <c r="OAK2469" s="60"/>
      <c r="OAL2469" s="60"/>
      <c r="OAM2469" s="60"/>
      <c r="OAN2469" s="60"/>
      <c r="OAO2469" s="63"/>
      <c r="OAP2469" s="61"/>
      <c r="OAQ2469" s="54"/>
      <c r="OAR2469" s="54"/>
      <c r="OAS2469" s="60"/>
      <c r="OAT2469" s="60"/>
      <c r="OAU2469" s="60"/>
      <c r="OAV2469" s="60"/>
      <c r="OAW2469" s="63"/>
      <c r="OAX2469" s="61"/>
      <c r="OAY2469" s="54"/>
      <c r="OAZ2469" s="54"/>
      <c r="OBA2469" s="60"/>
      <c r="OBB2469" s="60"/>
      <c r="OBC2469" s="60"/>
      <c r="OBD2469" s="60"/>
      <c r="OBE2469" s="63"/>
      <c r="OBF2469" s="61"/>
      <c r="OBG2469" s="54"/>
      <c r="OBH2469" s="54"/>
      <c r="OBI2469" s="60"/>
      <c r="OBJ2469" s="60"/>
      <c r="OBK2469" s="60"/>
      <c r="OBL2469" s="60"/>
      <c r="OBM2469" s="63"/>
      <c r="OBN2469" s="61"/>
      <c r="OBO2469" s="54"/>
      <c r="OBP2469" s="54"/>
      <c r="OBQ2469" s="60"/>
      <c r="OBR2469" s="60"/>
      <c r="OBS2469" s="60"/>
      <c r="OBT2469" s="60"/>
      <c r="OBU2469" s="63"/>
      <c r="OBV2469" s="61"/>
      <c r="OBW2469" s="54"/>
      <c r="OBX2469" s="54"/>
      <c r="OBY2469" s="60"/>
      <c r="OBZ2469" s="60"/>
      <c r="OCA2469" s="60"/>
      <c r="OCB2469" s="60"/>
      <c r="OCC2469" s="63"/>
      <c r="OCD2469" s="61"/>
      <c r="OCE2469" s="54"/>
      <c r="OCF2469" s="54"/>
      <c r="OCG2469" s="60"/>
      <c r="OCH2469" s="60"/>
      <c r="OCI2469" s="60"/>
      <c r="OCJ2469" s="60"/>
      <c r="OCK2469" s="63"/>
      <c r="OCL2469" s="61"/>
      <c r="OCM2469" s="54"/>
      <c r="OCN2469" s="54"/>
      <c r="OCO2469" s="60"/>
      <c r="OCP2469" s="60"/>
      <c r="OCQ2469" s="60"/>
      <c r="OCR2469" s="60"/>
      <c r="OCS2469" s="63"/>
      <c r="OCT2469" s="61"/>
      <c r="OCU2469" s="54"/>
      <c r="OCV2469" s="54"/>
      <c r="OCW2469" s="60"/>
      <c r="OCX2469" s="60"/>
      <c r="OCY2469" s="60"/>
      <c r="OCZ2469" s="60"/>
      <c r="ODA2469" s="63"/>
      <c r="ODB2469" s="61"/>
      <c r="ODC2469" s="54"/>
      <c r="ODD2469" s="54"/>
      <c r="ODE2469" s="60"/>
      <c r="ODF2469" s="60"/>
      <c r="ODG2469" s="60"/>
      <c r="ODH2469" s="60"/>
      <c r="ODI2469" s="63"/>
      <c r="ODJ2469" s="61"/>
      <c r="ODK2469" s="54"/>
      <c r="ODL2469" s="54"/>
      <c r="ODM2469" s="60"/>
      <c r="ODN2469" s="60"/>
      <c r="ODO2469" s="60"/>
      <c r="ODP2469" s="60"/>
      <c r="ODQ2469" s="63"/>
      <c r="ODR2469" s="61"/>
      <c r="ODS2469" s="54"/>
      <c r="ODT2469" s="54"/>
      <c r="ODU2469" s="60"/>
      <c r="ODV2469" s="60"/>
      <c r="ODW2469" s="60"/>
      <c r="ODX2469" s="60"/>
      <c r="ODY2469" s="63"/>
      <c r="ODZ2469" s="61"/>
      <c r="OEA2469" s="54"/>
      <c r="OEB2469" s="54"/>
      <c r="OEC2469" s="60"/>
      <c r="OED2469" s="60"/>
      <c r="OEE2469" s="60"/>
      <c r="OEF2469" s="60"/>
      <c r="OEG2469" s="63"/>
      <c r="OEH2469" s="61"/>
      <c r="OEI2469" s="54"/>
      <c r="OEJ2469" s="54"/>
      <c r="OEK2469" s="60"/>
      <c r="OEL2469" s="60"/>
      <c r="OEM2469" s="60"/>
      <c r="OEN2469" s="60"/>
      <c r="OEO2469" s="63"/>
      <c r="OEP2469" s="61"/>
      <c r="OEQ2469" s="54"/>
      <c r="OER2469" s="54"/>
      <c r="OES2469" s="60"/>
      <c r="OET2469" s="60"/>
      <c r="OEU2469" s="60"/>
      <c r="OEV2469" s="60"/>
      <c r="OEW2469" s="63"/>
      <c r="OEX2469" s="61"/>
      <c r="OEY2469" s="54"/>
      <c r="OEZ2469" s="54"/>
      <c r="OFA2469" s="60"/>
      <c r="OFB2469" s="60"/>
      <c r="OFC2469" s="60"/>
      <c r="OFD2469" s="60"/>
      <c r="OFE2469" s="63"/>
      <c r="OFF2469" s="61"/>
      <c r="OFG2469" s="54"/>
      <c r="OFH2469" s="54"/>
      <c r="OFI2469" s="60"/>
      <c r="OFJ2469" s="60"/>
      <c r="OFK2469" s="60"/>
      <c r="OFL2469" s="60"/>
      <c r="OFM2469" s="63"/>
      <c r="OFN2469" s="61"/>
      <c r="OFO2469" s="54"/>
      <c r="OFP2469" s="54"/>
      <c r="OFQ2469" s="60"/>
      <c r="OFR2469" s="60"/>
      <c r="OFS2469" s="60"/>
      <c r="OFT2469" s="60"/>
      <c r="OFU2469" s="63"/>
      <c r="OFV2469" s="61"/>
      <c r="OFW2469" s="54"/>
      <c r="OFX2469" s="54"/>
      <c r="OFY2469" s="60"/>
      <c r="OFZ2469" s="60"/>
      <c r="OGA2469" s="60"/>
      <c r="OGB2469" s="60"/>
      <c r="OGC2469" s="63"/>
      <c r="OGD2469" s="61"/>
      <c r="OGE2469" s="54"/>
      <c r="OGF2469" s="54"/>
      <c r="OGG2469" s="60"/>
      <c r="OGH2469" s="60"/>
      <c r="OGI2469" s="60"/>
      <c r="OGJ2469" s="60"/>
      <c r="OGK2469" s="63"/>
      <c r="OGL2469" s="61"/>
      <c r="OGM2469" s="54"/>
      <c r="OGN2469" s="54"/>
      <c r="OGO2469" s="60"/>
      <c r="OGP2469" s="60"/>
      <c r="OGQ2469" s="60"/>
      <c r="OGR2469" s="60"/>
      <c r="OGS2469" s="63"/>
      <c r="OGT2469" s="61"/>
      <c r="OGU2469" s="54"/>
      <c r="OGV2469" s="54"/>
      <c r="OGW2469" s="60"/>
      <c r="OGX2469" s="60"/>
      <c r="OGY2469" s="60"/>
      <c r="OGZ2469" s="60"/>
      <c r="OHA2469" s="63"/>
      <c r="OHB2469" s="61"/>
      <c r="OHC2469" s="54"/>
      <c r="OHD2469" s="54"/>
      <c r="OHE2469" s="60"/>
      <c r="OHF2469" s="60"/>
      <c r="OHG2469" s="60"/>
      <c r="OHH2469" s="60"/>
      <c r="OHI2469" s="63"/>
      <c r="OHJ2469" s="61"/>
      <c r="OHK2469" s="54"/>
      <c r="OHL2469" s="54"/>
      <c r="OHM2469" s="60"/>
      <c r="OHN2469" s="60"/>
      <c r="OHO2469" s="60"/>
      <c r="OHP2469" s="60"/>
      <c r="OHQ2469" s="63"/>
      <c r="OHR2469" s="61"/>
      <c r="OHS2469" s="54"/>
      <c r="OHT2469" s="54"/>
      <c r="OHU2469" s="60"/>
      <c r="OHV2469" s="60"/>
      <c r="OHW2469" s="60"/>
      <c r="OHX2469" s="60"/>
      <c r="OHY2469" s="63"/>
      <c r="OHZ2469" s="61"/>
      <c r="OIA2469" s="54"/>
      <c r="OIB2469" s="54"/>
      <c r="OIC2469" s="60"/>
      <c r="OID2469" s="60"/>
      <c r="OIE2469" s="60"/>
      <c r="OIF2469" s="60"/>
      <c r="OIG2469" s="63"/>
      <c r="OIH2469" s="61"/>
      <c r="OII2469" s="54"/>
      <c r="OIJ2469" s="54"/>
      <c r="OIK2469" s="60"/>
      <c r="OIL2469" s="60"/>
      <c r="OIM2469" s="60"/>
      <c r="OIN2469" s="60"/>
      <c r="OIO2469" s="63"/>
      <c r="OIP2469" s="61"/>
      <c r="OIQ2469" s="54"/>
      <c r="OIR2469" s="54"/>
      <c r="OIS2469" s="60"/>
      <c r="OIT2469" s="60"/>
      <c r="OIU2469" s="60"/>
      <c r="OIV2469" s="60"/>
      <c r="OIW2469" s="63"/>
      <c r="OIX2469" s="61"/>
      <c r="OIY2469" s="54"/>
      <c r="OIZ2469" s="54"/>
      <c r="OJA2469" s="60"/>
      <c r="OJB2469" s="60"/>
      <c r="OJC2469" s="60"/>
      <c r="OJD2469" s="60"/>
      <c r="OJE2469" s="63"/>
      <c r="OJF2469" s="61"/>
      <c r="OJG2469" s="54"/>
      <c r="OJH2469" s="54"/>
      <c r="OJI2469" s="60"/>
      <c r="OJJ2469" s="60"/>
      <c r="OJK2469" s="60"/>
      <c r="OJL2469" s="60"/>
      <c r="OJM2469" s="63"/>
      <c r="OJN2469" s="61"/>
      <c r="OJO2469" s="54"/>
      <c r="OJP2469" s="54"/>
      <c r="OJQ2469" s="60"/>
      <c r="OJR2469" s="60"/>
      <c r="OJS2469" s="60"/>
      <c r="OJT2469" s="60"/>
      <c r="OJU2469" s="63"/>
      <c r="OJV2469" s="61"/>
      <c r="OJW2469" s="54"/>
      <c r="OJX2469" s="54"/>
      <c r="OJY2469" s="60"/>
      <c r="OJZ2469" s="60"/>
      <c r="OKA2469" s="60"/>
      <c r="OKB2469" s="60"/>
      <c r="OKC2469" s="63"/>
      <c r="OKD2469" s="61"/>
      <c r="OKE2469" s="54"/>
      <c r="OKF2469" s="54"/>
      <c r="OKG2469" s="60"/>
      <c r="OKH2469" s="60"/>
      <c r="OKI2469" s="60"/>
      <c r="OKJ2469" s="60"/>
      <c r="OKK2469" s="63"/>
      <c r="OKL2469" s="61"/>
      <c r="OKM2469" s="54"/>
      <c r="OKN2469" s="54"/>
      <c r="OKO2469" s="60"/>
      <c r="OKP2469" s="60"/>
      <c r="OKQ2469" s="60"/>
      <c r="OKR2469" s="60"/>
      <c r="OKS2469" s="63"/>
      <c r="OKT2469" s="61"/>
      <c r="OKU2469" s="54"/>
      <c r="OKV2469" s="54"/>
      <c r="OKW2469" s="60"/>
      <c r="OKX2469" s="60"/>
      <c r="OKY2469" s="60"/>
      <c r="OKZ2469" s="60"/>
      <c r="OLA2469" s="63"/>
      <c r="OLB2469" s="61"/>
      <c r="OLC2469" s="54"/>
      <c r="OLD2469" s="54"/>
      <c r="OLE2469" s="60"/>
      <c r="OLF2469" s="60"/>
      <c r="OLG2469" s="60"/>
      <c r="OLH2469" s="60"/>
      <c r="OLI2469" s="63"/>
      <c r="OLJ2469" s="61"/>
      <c r="OLK2469" s="54"/>
      <c r="OLL2469" s="54"/>
      <c r="OLM2469" s="60"/>
      <c r="OLN2469" s="60"/>
      <c r="OLO2469" s="60"/>
      <c r="OLP2469" s="60"/>
      <c r="OLQ2469" s="63"/>
      <c r="OLR2469" s="61"/>
      <c r="OLS2469" s="54"/>
      <c r="OLT2469" s="54"/>
      <c r="OLU2469" s="60"/>
      <c r="OLV2469" s="60"/>
      <c r="OLW2469" s="60"/>
      <c r="OLX2469" s="60"/>
      <c r="OLY2469" s="63"/>
      <c r="OLZ2469" s="61"/>
      <c r="OMA2469" s="54"/>
      <c r="OMB2469" s="54"/>
      <c r="OMC2469" s="60"/>
      <c r="OMD2469" s="60"/>
      <c r="OME2469" s="60"/>
      <c r="OMF2469" s="60"/>
      <c r="OMG2469" s="63"/>
      <c r="OMH2469" s="61"/>
      <c r="OMI2469" s="54"/>
      <c r="OMJ2469" s="54"/>
      <c r="OMK2469" s="60"/>
      <c r="OML2469" s="60"/>
      <c r="OMM2469" s="60"/>
      <c r="OMN2469" s="60"/>
      <c r="OMO2469" s="63"/>
      <c r="OMP2469" s="61"/>
      <c r="OMQ2469" s="54"/>
      <c r="OMR2469" s="54"/>
      <c r="OMS2469" s="60"/>
      <c r="OMT2469" s="60"/>
      <c r="OMU2469" s="60"/>
      <c r="OMV2469" s="60"/>
      <c r="OMW2469" s="63"/>
      <c r="OMX2469" s="61"/>
      <c r="OMY2469" s="54"/>
      <c r="OMZ2469" s="54"/>
      <c r="ONA2469" s="60"/>
      <c r="ONB2469" s="60"/>
      <c r="ONC2469" s="60"/>
      <c r="OND2469" s="60"/>
      <c r="ONE2469" s="63"/>
      <c r="ONF2469" s="61"/>
      <c r="ONG2469" s="54"/>
      <c r="ONH2469" s="54"/>
      <c r="ONI2469" s="60"/>
      <c r="ONJ2469" s="60"/>
      <c r="ONK2469" s="60"/>
      <c r="ONL2469" s="60"/>
      <c r="ONM2469" s="63"/>
      <c r="ONN2469" s="61"/>
      <c r="ONO2469" s="54"/>
      <c r="ONP2469" s="54"/>
      <c r="ONQ2469" s="60"/>
      <c r="ONR2469" s="60"/>
      <c r="ONS2469" s="60"/>
      <c r="ONT2469" s="60"/>
      <c r="ONU2469" s="63"/>
      <c r="ONV2469" s="61"/>
      <c r="ONW2469" s="54"/>
      <c r="ONX2469" s="54"/>
      <c r="ONY2469" s="60"/>
      <c r="ONZ2469" s="60"/>
      <c r="OOA2469" s="60"/>
      <c r="OOB2469" s="60"/>
      <c r="OOC2469" s="63"/>
      <c r="OOD2469" s="61"/>
      <c r="OOE2469" s="54"/>
      <c r="OOF2469" s="54"/>
      <c r="OOG2469" s="60"/>
      <c r="OOH2469" s="60"/>
      <c r="OOI2469" s="60"/>
      <c r="OOJ2469" s="60"/>
      <c r="OOK2469" s="63"/>
      <c r="OOL2469" s="61"/>
      <c r="OOM2469" s="54"/>
      <c r="OON2469" s="54"/>
      <c r="OOO2469" s="60"/>
      <c r="OOP2469" s="60"/>
      <c r="OOQ2469" s="60"/>
      <c r="OOR2469" s="60"/>
      <c r="OOS2469" s="63"/>
      <c r="OOT2469" s="61"/>
      <c r="OOU2469" s="54"/>
      <c r="OOV2469" s="54"/>
      <c r="OOW2469" s="60"/>
      <c r="OOX2469" s="60"/>
      <c r="OOY2469" s="60"/>
      <c r="OOZ2469" s="60"/>
      <c r="OPA2469" s="63"/>
      <c r="OPB2469" s="61"/>
      <c r="OPC2469" s="54"/>
      <c r="OPD2469" s="54"/>
      <c r="OPE2469" s="60"/>
      <c r="OPF2469" s="60"/>
      <c r="OPG2469" s="60"/>
      <c r="OPH2469" s="60"/>
      <c r="OPI2469" s="63"/>
      <c r="OPJ2469" s="61"/>
      <c r="OPK2469" s="54"/>
      <c r="OPL2469" s="54"/>
      <c r="OPM2469" s="60"/>
      <c r="OPN2469" s="60"/>
      <c r="OPO2469" s="60"/>
      <c r="OPP2469" s="60"/>
      <c r="OPQ2469" s="63"/>
      <c r="OPR2469" s="61"/>
      <c r="OPS2469" s="54"/>
      <c r="OPT2469" s="54"/>
      <c r="OPU2469" s="60"/>
      <c r="OPV2469" s="60"/>
      <c r="OPW2469" s="60"/>
      <c r="OPX2469" s="60"/>
      <c r="OPY2469" s="63"/>
      <c r="OPZ2469" s="61"/>
      <c r="OQA2469" s="54"/>
      <c r="OQB2469" s="54"/>
      <c r="OQC2469" s="60"/>
      <c r="OQD2469" s="60"/>
      <c r="OQE2469" s="60"/>
      <c r="OQF2469" s="60"/>
      <c r="OQG2469" s="63"/>
      <c r="OQH2469" s="61"/>
      <c r="OQI2469" s="54"/>
      <c r="OQJ2469" s="54"/>
      <c r="OQK2469" s="60"/>
      <c r="OQL2469" s="60"/>
      <c r="OQM2469" s="60"/>
      <c r="OQN2469" s="60"/>
      <c r="OQO2469" s="63"/>
      <c r="OQP2469" s="61"/>
      <c r="OQQ2469" s="54"/>
      <c r="OQR2469" s="54"/>
      <c r="OQS2469" s="60"/>
      <c r="OQT2469" s="60"/>
      <c r="OQU2469" s="60"/>
      <c r="OQV2469" s="60"/>
      <c r="OQW2469" s="63"/>
      <c r="OQX2469" s="61"/>
      <c r="OQY2469" s="54"/>
      <c r="OQZ2469" s="54"/>
      <c r="ORA2469" s="60"/>
      <c r="ORB2469" s="60"/>
      <c r="ORC2469" s="60"/>
      <c r="ORD2469" s="60"/>
      <c r="ORE2469" s="63"/>
      <c r="ORF2469" s="61"/>
      <c r="ORG2469" s="54"/>
      <c r="ORH2469" s="54"/>
      <c r="ORI2469" s="60"/>
      <c r="ORJ2469" s="60"/>
      <c r="ORK2469" s="60"/>
      <c r="ORL2469" s="60"/>
      <c r="ORM2469" s="63"/>
      <c r="ORN2469" s="61"/>
      <c r="ORO2469" s="54"/>
      <c r="ORP2469" s="54"/>
      <c r="ORQ2469" s="60"/>
      <c r="ORR2469" s="60"/>
      <c r="ORS2469" s="60"/>
      <c r="ORT2469" s="60"/>
      <c r="ORU2469" s="63"/>
      <c r="ORV2469" s="61"/>
      <c r="ORW2469" s="54"/>
      <c r="ORX2469" s="54"/>
      <c r="ORY2469" s="60"/>
      <c r="ORZ2469" s="60"/>
      <c r="OSA2469" s="60"/>
      <c r="OSB2469" s="60"/>
      <c r="OSC2469" s="63"/>
      <c r="OSD2469" s="61"/>
      <c r="OSE2469" s="54"/>
      <c r="OSF2469" s="54"/>
      <c r="OSG2469" s="60"/>
      <c r="OSH2469" s="60"/>
      <c r="OSI2469" s="60"/>
      <c r="OSJ2469" s="60"/>
      <c r="OSK2469" s="63"/>
      <c r="OSL2469" s="61"/>
      <c r="OSM2469" s="54"/>
      <c r="OSN2469" s="54"/>
      <c r="OSO2469" s="60"/>
      <c r="OSP2469" s="60"/>
      <c r="OSQ2469" s="60"/>
      <c r="OSR2469" s="60"/>
      <c r="OSS2469" s="63"/>
      <c r="OST2469" s="61"/>
      <c r="OSU2469" s="54"/>
      <c r="OSV2469" s="54"/>
      <c r="OSW2469" s="60"/>
      <c r="OSX2469" s="60"/>
      <c r="OSY2469" s="60"/>
      <c r="OSZ2469" s="60"/>
      <c r="OTA2469" s="63"/>
      <c r="OTB2469" s="61"/>
      <c r="OTC2469" s="54"/>
      <c r="OTD2469" s="54"/>
      <c r="OTE2469" s="60"/>
      <c r="OTF2469" s="60"/>
      <c r="OTG2469" s="60"/>
      <c r="OTH2469" s="60"/>
      <c r="OTI2469" s="63"/>
      <c r="OTJ2469" s="61"/>
      <c r="OTK2469" s="54"/>
      <c r="OTL2469" s="54"/>
      <c r="OTM2469" s="60"/>
      <c r="OTN2469" s="60"/>
      <c r="OTO2469" s="60"/>
      <c r="OTP2469" s="60"/>
      <c r="OTQ2469" s="63"/>
      <c r="OTR2469" s="61"/>
      <c r="OTS2469" s="54"/>
      <c r="OTT2469" s="54"/>
      <c r="OTU2469" s="60"/>
      <c r="OTV2469" s="60"/>
      <c r="OTW2469" s="60"/>
      <c r="OTX2469" s="60"/>
      <c r="OTY2469" s="63"/>
      <c r="OTZ2469" s="61"/>
      <c r="OUA2469" s="54"/>
      <c r="OUB2469" s="54"/>
      <c r="OUC2469" s="60"/>
      <c r="OUD2469" s="60"/>
      <c r="OUE2469" s="60"/>
      <c r="OUF2469" s="60"/>
      <c r="OUG2469" s="63"/>
      <c r="OUH2469" s="61"/>
      <c r="OUI2469" s="54"/>
      <c r="OUJ2469" s="54"/>
      <c r="OUK2469" s="60"/>
      <c r="OUL2469" s="60"/>
      <c r="OUM2469" s="60"/>
      <c r="OUN2469" s="60"/>
      <c r="OUO2469" s="63"/>
      <c r="OUP2469" s="61"/>
      <c r="OUQ2469" s="54"/>
      <c r="OUR2469" s="54"/>
      <c r="OUS2469" s="60"/>
      <c r="OUT2469" s="60"/>
      <c r="OUU2469" s="60"/>
      <c r="OUV2469" s="60"/>
      <c r="OUW2469" s="63"/>
      <c r="OUX2469" s="61"/>
      <c r="OUY2469" s="54"/>
      <c r="OUZ2469" s="54"/>
      <c r="OVA2469" s="60"/>
      <c r="OVB2469" s="60"/>
      <c r="OVC2469" s="60"/>
      <c r="OVD2469" s="60"/>
      <c r="OVE2469" s="63"/>
      <c r="OVF2469" s="61"/>
      <c r="OVG2469" s="54"/>
      <c r="OVH2469" s="54"/>
      <c r="OVI2469" s="60"/>
      <c r="OVJ2469" s="60"/>
      <c r="OVK2469" s="60"/>
      <c r="OVL2469" s="60"/>
      <c r="OVM2469" s="63"/>
      <c r="OVN2469" s="61"/>
      <c r="OVO2469" s="54"/>
      <c r="OVP2469" s="54"/>
      <c r="OVQ2469" s="60"/>
      <c r="OVR2469" s="60"/>
      <c r="OVS2469" s="60"/>
      <c r="OVT2469" s="60"/>
      <c r="OVU2469" s="63"/>
      <c r="OVV2469" s="61"/>
      <c r="OVW2469" s="54"/>
      <c r="OVX2469" s="54"/>
      <c r="OVY2469" s="60"/>
      <c r="OVZ2469" s="60"/>
      <c r="OWA2469" s="60"/>
      <c r="OWB2469" s="60"/>
      <c r="OWC2469" s="63"/>
      <c r="OWD2469" s="61"/>
      <c r="OWE2469" s="54"/>
      <c r="OWF2469" s="54"/>
      <c r="OWG2469" s="60"/>
      <c r="OWH2469" s="60"/>
      <c r="OWI2469" s="60"/>
      <c r="OWJ2469" s="60"/>
      <c r="OWK2469" s="63"/>
      <c r="OWL2469" s="61"/>
      <c r="OWM2469" s="54"/>
      <c r="OWN2469" s="54"/>
      <c r="OWO2469" s="60"/>
      <c r="OWP2469" s="60"/>
      <c r="OWQ2469" s="60"/>
      <c r="OWR2469" s="60"/>
      <c r="OWS2469" s="63"/>
      <c r="OWT2469" s="61"/>
      <c r="OWU2469" s="54"/>
      <c r="OWV2469" s="54"/>
      <c r="OWW2469" s="60"/>
      <c r="OWX2469" s="60"/>
      <c r="OWY2469" s="60"/>
      <c r="OWZ2469" s="60"/>
      <c r="OXA2469" s="63"/>
      <c r="OXB2469" s="61"/>
      <c r="OXC2469" s="54"/>
      <c r="OXD2469" s="54"/>
      <c r="OXE2469" s="60"/>
      <c r="OXF2469" s="60"/>
      <c r="OXG2469" s="60"/>
      <c r="OXH2469" s="60"/>
      <c r="OXI2469" s="63"/>
      <c r="OXJ2469" s="61"/>
      <c r="OXK2469" s="54"/>
      <c r="OXL2469" s="54"/>
      <c r="OXM2469" s="60"/>
      <c r="OXN2469" s="60"/>
      <c r="OXO2469" s="60"/>
      <c r="OXP2469" s="60"/>
      <c r="OXQ2469" s="63"/>
      <c r="OXR2469" s="61"/>
      <c r="OXS2469" s="54"/>
      <c r="OXT2469" s="54"/>
      <c r="OXU2469" s="60"/>
      <c r="OXV2469" s="60"/>
      <c r="OXW2469" s="60"/>
      <c r="OXX2469" s="60"/>
      <c r="OXY2469" s="63"/>
      <c r="OXZ2469" s="61"/>
      <c r="OYA2469" s="54"/>
      <c r="OYB2469" s="54"/>
      <c r="OYC2469" s="60"/>
      <c r="OYD2469" s="60"/>
      <c r="OYE2469" s="60"/>
      <c r="OYF2469" s="60"/>
      <c r="OYG2469" s="63"/>
      <c r="OYH2469" s="61"/>
      <c r="OYI2469" s="54"/>
      <c r="OYJ2469" s="54"/>
      <c r="OYK2469" s="60"/>
      <c r="OYL2469" s="60"/>
      <c r="OYM2469" s="60"/>
      <c r="OYN2469" s="60"/>
      <c r="OYO2469" s="63"/>
      <c r="OYP2469" s="61"/>
      <c r="OYQ2469" s="54"/>
      <c r="OYR2469" s="54"/>
      <c r="OYS2469" s="60"/>
      <c r="OYT2469" s="60"/>
      <c r="OYU2469" s="60"/>
      <c r="OYV2469" s="60"/>
      <c r="OYW2469" s="63"/>
      <c r="OYX2469" s="61"/>
      <c r="OYY2469" s="54"/>
      <c r="OYZ2469" s="54"/>
      <c r="OZA2469" s="60"/>
      <c r="OZB2469" s="60"/>
      <c r="OZC2469" s="60"/>
      <c r="OZD2469" s="60"/>
      <c r="OZE2469" s="63"/>
      <c r="OZF2469" s="61"/>
      <c r="OZG2469" s="54"/>
      <c r="OZH2469" s="54"/>
      <c r="OZI2469" s="60"/>
      <c r="OZJ2469" s="60"/>
      <c r="OZK2469" s="60"/>
      <c r="OZL2469" s="60"/>
      <c r="OZM2469" s="63"/>
      <c r="OZN2469" s="61"/>
      <c r="OZO2469" s="54"/>
      <c r="OZP2469" s="54"/>
      <c r="OZQ2469" s="60"/>
      <c r="OZR2469" s="60"/>
      <c r="OZS2469" s="60"/>
      <c r="OZT2469" s="60"/>
      <c r="OZU2469" s="63"/>
      <c r="OZV2469" s="61"/>
      <c r="OZW2469" s="54"/>
      <c r="OZX2469" s="54"/>
      <c r="OZY2469" s="60"/>
      <c r="OZZ2469" s="60"/>
      <c r="PAA2469" s="60"/>
      <c r="PAB2469" s="60"/>
      <c r="PAC2469" s="63"/>
      <c r="PAD2469" s="61"/>
      <c r="PAE2469" s="54"/>
      <c r="PAF2469" s="54"/>
      <c r="PAG2469" s="60"/>
      <c r="PAH2469" s="60"/>
      <c r="PAI2469" s="60"/>
      <c r="PAJ2469" s="60"/>
      <c r="PAK2469" s="63"/>
      <c r="PAL2469" s="61"/>
      <c r="PAM2469" s="54"/>
      <c r="PAN2469" s="54"/>
      <c r="PAO2469" s="60"/>
      <c r="PAP2469" s="60"/>
      <c r="PAQ2469" s="60"/>
      <c r="PAR2469" s="60"/>
      <c r="PAS2469" s="63"/>
      <c r="PAT2469" s="61"/>
      <c r="PAU2469" s="54"/>
      <c r="PAV2469" s="54"/>
      <c r="PAW2469" s="60"/>
      <c r="PAX2469" s="60"/>
      <c r="PAY2469" s="60"/>
      <c r="PAZ2469" s="60"/>
      <c r="PBA2469" s="63"/>
      <c r="PBB2469" s="61"/>
      <c r="PBC2469" s="54"/>
      <c r="PBD2469" s="54"/>
      <c r="PBE2469" s="60"/>
      <c r="PBF2469" s="60"/>
      <c r="PBG2469" s="60"/>
      <c r="PBH2469" s="60"/>
      <c r="PBI2469" s="63"/>
      <c r="PBJ2469" s="61"/>
      <c r="PBK2469" s="54"/>
      <c r="PBL2469" s="54"/>
      <c r="PBM2469" s="60"/>
      <c r="PBN2469" s="60"/>
      <c r="PBO2469" s="60"/>
      <c r="PBP2469" s="60"/>
      <c r="PBQ2469" s="63"/>
      <c r="PBR2469" s="61"/>
      <c r="PBS2469" s="54"/>
      <c r="PBT2469" s="54"/>
      <c r="PBU2469" s="60"/>
      <c r="PBV2469" s="60"/>
      <c r="PBW2469" s="60"/>
      <c r="PBX2469" s="60"/>
      <c r="PBY2469" s="63"/>
      <c r="PBZ2469" s="61"/>
      <c r="PCA2469" s="54"/>
      <c r="PCB2469" s="54"/>
      <c r="PCC2469" s="60"/>
      <c r="PCD2469" s="60"/>
      <c r="PCE2469" s="60"/>
      <c r="PCF2469" s="60"/>
      <c r="PCG2469" s="63"/>
      <c r="PCH2469" s="61"/>
      <c r="PCI2469" s="54"/>
      <c r="PCJ2469" s="54"/>
      <c r="PCK2469" s="60"/>
      <c r="PCL2469" s="60"/>
      <c r="PCM2469" s="60"/>
      <c r="PCN2469" s="60"/>
      <c r="PCO2469" s="63"/>
      <c r="PCP2469" s="61"/>
      <c r="PCQ2469" s="54"/>
      <c r="PCR2469" s="54"/>
      <c r="PCS2469" s="60"/>
      <c r="PCT2469" s="60"/>
      <c r="PCU2469" s="60"/>
      <c r="PCV2469" s="60"/>
      <c r="PCW2469" s="63"/>
      <c r="PCX2469" s="61"/>
      <c r="PCY2469" s="54"/>
      <c r="PCZ2469" s="54"/>
      <c r="PDA2469" s="60"/>
      <c r="PDB2469" s="60"/>
      <c r="PDC2469" s="60"/>
      <c r="PDD2469" s="60"/>
      <c r="PDE2469" s="63"/>
      <c r="PDF2469" s="61"/>
      <c r="PDG2469" s="54"/>
      <c r="PDH2469" s="54"/>
      <c r="PDI2469" s="60"/>
      <c r="PDJ2469" s="60"/>
      <c r="PDK2469" s="60"/>
      <c r="PDL2469" s="60"/>
      <c r="PDM2469" s="63"/>
      <c r="PDN2469" s="61"/>
      <c r="PDO2469" s="54"/>
      <c r="PDP2469" s="54"/>
      <c r="PDQ2469" s="60"/>
      <c r="PDR2469" s="60"/>
      <c r="PDS2469" s="60"/>
      <c r="PDT2469" s="60"/>
      <c r="PDU2469" s="63"/>
      <c r="PDV2469" s="61"/>
      <c r="PDW2469" s="54"/>
      <c r="PDX2469" s="54"/>
      <c r="PDY2469" s="60"/>
      <c r="PDZ2469" s="60"/>
      <c r="PEA2469" s="60"/>
      <c r="PEB2469" s="60"/>
      <c r="PEC2469" s="63"/>
      <c r="PED2469" s="61"/>
      <c r="PEE2469" s="54"/>
      <c r="PEF2469" s="54"/>
      <c r="PEG2469" s="60"/>
      <c r="PEH2469" s="60"/>
      <c r="PEI2469" s="60"/>
      <c r="PEJ2469" s="60"/>
      <c r="PEK2469" s="63"/>
      <c r="PEL2469" s="61"/>
      <c r="PEM2469" s="54"/>
      <c r="PEN2469" s="54"/>
      <c r="PEO2469" s="60"/>
      <c r="PEP2469" s="60"/>
      <c r="PEQ2469" s="60"/>
      <c r="PER2469" s="60"/>
      <c r="PES2469" s="63"/>
      <c r="PET2469" s="61"/>
      <c r="PEU2469" s="54"/>
      <c r="PEV2469" s="54"/>
      <c r="PEW2469" s="60"/>
      <c r="PEX2469" s="60"/>
      <c r="PEY2469" s="60"/>
      <c r="PEZ2469" s="60"/>
      <c r="PFA2469" s="63"/>
      <c r="PFB2469" s="61"/>
      <c r="PFC2469" s="54"/>
      <c r="PFD2469" s="54"/>
      <c r="PFE2469" s="60"/>
      <c r="PFF2469" s="60"/>
      <c r="PFG2469" s="60"/>
      <c r="PFH2469" s="60"/>
      <c r="PFI2469" s="63"/>
      <c r="PFJ2469" s="61"/>
      <c r="PFK2469" s="54"/>
      <c r="PFL2469" s="54"/>
      <c r="PFM2469" s="60"/>
      <c r="PFN2469" s="60"/>
      <c r="PFO2469" s="60"/>
      <c r="PFP2469" s="60"/>
      <c r="PFQ2469" s="63"/>
      <c r="PFR2469" s="61"/>
      <c r="PFS2469" s="54"/>
      <c r="PFT2469" s="54"/>
      <c r="PFU2469" s="60"/>
      <c r="PFV2469" s="60"/>
      <c r="PFW2469" s="60"/>
      <c r="PFX2469" s="60"/>
      <c r="PFY2469" s="63"/>
      <c r="PFZ2469" s="61"/>
      <c r="PGA2469" s="54"/>
      <c r="PGB2469" s="54"/>
      <c r="PGC2469" s="60"/>
      <c r="PGD2469" s="60"/>
      <c r="PGE2469" s="60"/>
      <c r="PGF2469" s="60"/>
      <c r="PGG2469" s="63"/>
      <c r="PGH2469" s="61"/>
      <c r="PGI2469" s="54"/>
      <c r="PGJ2469" s="54"/>
      <c r="PGK2469" s="60"/>
      <c r="PGL2469" s="60"/>
      <c r="PGM2469" s="60"/>
      <c r="PGN2469" s="60"/>
      <c r="PGO2469" s="63"/>
      <c r="PGP2469" s="61"/>
      <c r="PGQ2469" s="54"/>
      <c r="PGR2469" s="54"/>
      <c r="PGS2469" s="60"/>
      <c r="PGT2469" s="60"/>
      <c r="PGU2469" s="60"/>
      <c r="PGV2469" s="60"/>
      <c r="PGW2469" s="63"/>
      <c r="PGX2469" s="61"/>
      <c r="PGY2469" s="54"/>
      <c r="PGZ2469" s="54"/>
      <c r="PHA2469" s="60"/>
      <c r="PHB2469" s="60"/>
      <c r="PHC2469" s="60"/>
      <c r="PHD2469" s="60"/>
      <c r="PHE2469" s="63"/>
      <c r="PHF2469" s="61"/>
      <c r="PHG2469" s="54"/>
      <c r="PHH2469" s="54"/>
      <c r="PHI2469" s="60"/>
      <c r="PHJ2469" s="60"/>
      <c r="PHK2469" s="60"/>
      <c r="PHL2469" s="60"/>
      <c r="PHM2469" s="63"/>
      <c r="PHN2469" s="61"/>
      <c r="PHO2469" s="54"/>
      <c r="PHP2469" s="54"/>
      <c r="PHQ2469" s="60"/>
      <c r="PHR2469" s="60"/>
      <c r="PHS2469" s="60"/>
      <c r="PHT2469" s="60"/>
      <c r="PHU2469" s="63"/>
      <c r="PHV2469" s="61"/>
      <c r="PHW2469" s="54"/>
      <c r="PHX2469" s="54"/>
      <c r="PHY2469" s="60"/>
      <c r="PHZ2469" s="60"/>
      <c r="PIA2469" s="60"/>
      <c r="PIB2469" s="60"/>
      <c r="PIC2469" s="63"/>
      <c r="PID2469" s="61"/>
      <c r="PIE2469" s="54"/>
      <c r="PIF2469" s="54"/>
      <c r="PIG2469" s="60"/>
      <c r="PIH2469" s="60"/>
      <c r="PII2469" s="60"/>
      <c r="PIJ2469" s="60"/>
      <c r="PIK2469" s="63"/>
      <c r="PIL2469" s="61"/>
      <c r="PIM2469" s="54"/>
      <c r="PIN2469" s="54"/>
      <c r="PIO2469" s="60"/>
      <c r="PIP2469" s="60"/>
      <c r="PIQ2469" s="60"/>
      <c r="PIR2469" s="60"/>
      <c r="PIS2469" s="63"/>
      <c r="PIT2469" s="61"/>
      <c r="PIU2469" s="54"/>
      <c r="PIV2469" s="54"/>
      <c r="PIW2469" s="60"/>
      <c r="PIX2469" s="60"/>
      <c r="PIY2469" s="60"/>
      <c r="PIZ2469" s="60"/>
      <c r="PJA2469" s="63"/>
      <c r="PJB2469" s="61"/>
      <c r="PJC2469" s="54"/>
      <c r="PJD2469" s="54"/>
      <c r="PJE2469" s="60"/>
      <c r="PJF2469" s="60"/>
      <c r="PJG2469" s="60"/>
      <c r="PJH2469" s="60"/>
      <c r="PJI2469" s="63"/>
      <c r="PJJ2469" s="61"/>
      <c r="PJK2469" s="54"/>
      <c r="PJL2469" s="54"/>
      <c r="PJM2469" s="60"/>
      <c r="PJN2469" s="60"/>
      <c r="PJO2469" s="60"/>
      <c r="PJP2469" s="60"/>
      <c r="PJQ2469" s="63"/>
      <c r="PJR2469" s="61"/>
      <c r="PJS2469" s="54"/>
      <c r="PJT2469" s="54"/>
      <c r="PJU2469" s="60"/>
      <c r="PJV2469" s="60"/>
      <c r="PJW2469" s="60"/>
      <c r="PJX2469" s="60"/>
      <c r="PJY2469" s="63"/>
      <c r="PJZ2469" s="61"/>
      <c r="PKA2469" s="54"/>
      <c r="PKB2469" s="54"/>
      <c r="PKC2469" s="60"/>
      <c r="PKD2469" s="60"/>
      <c r="PKE2469" s="60"/>
      <c r="PKF2469" s="60"/>
      <c r="PKG2469" s="63"/>
      <c r="PKH2469" s="61"/>
      <c r="PKI2469" s="54"/>
      <c r="PKJ2469" s="54"/>
      <c r="PKK2469" s="60"/>
      <c r="PKL2469" s="60"/>
      <c r="PKM2469" s="60"/>
      <c r="PKN2469" s="60"/>
      <c r="PKO2469" s="63"/>
      <c r="PKP2469" s="61"/>
      <c r="PKQ2469" s="54"/>
      <c r="PKR2469" s="54"/>
      <c r="PKS2469" s="60"/>
      <c r="PKT2469" s="60"/>
      <c r="PKU2469" s="60"/>
      <c r="PKV2469" s="60"/>
      <c r="PKW2469" s="63"/>
      <c r="PKX2469" s="61"/>
      <c r="PKY2469" s="54"/>
      <c r="PKZ2469" s="54"/>
      <c r="PLA2469" s="60"/>
      <c r="PLB2469" s="60"/>
      <c r="PLC2469" s="60"/>
      <c r="PLD2469" s="60"/>
      <c r="PLE2469" s="63"/>
      <c r="PLF2469" s="61"/>
      <c r="PLG2469" s="54"/>
      <c r="PLH2469" s="54"/>
      <c r="PLI2469" s="60"/>
      <c r="PLJ2469" s="60"/>
      <c r="PLK2469" s="60"/>
      <c r="PLL2469" s="60"/>
      <c r="PLM2469" s="63"/>
      <c r="PLN2469" s="61"/>
      <c r="PLO2469" s="54"/>
      <c r="PLP2469" s="54"/>
      <c r="PLQ2469" s="60"/>
      <c r="PLR2469" s="60"/>
      <c r="PLS2469" s="60"/>
      <c r="PLT2469" s="60"/>
      <c r="PLU2469" s="63"/>
      <c r="PLV2469" s="61"/>
      <c r="PLW2469" s="54"/>
      <c r="PLX2469" s="54"/>
      <c r="PLY2469" s="60"/>
      <c r="PLZ2469" s="60"/>
      <c r="PMA2469" s="60"/>
      <c r="PMB2469" s="60"/>
      <c r="PMC2469" s="63"/>
      <c r="PMD2469" s="61"/>
      <c r="PME2469" s="54"/>
      <c r="PMF2469" s="54"/>
      <c r="PMG2469" s="60"/>
      <c r="PMH2469" s="60"/>
      <c r="PMI2469" s="60"/>
      <c r="PMJ2469" s="60"/>
      <c r="PMK2469" s="63"/>
      <c r="PML2469" s="61"/>
      <c r="PMM2469" s="54"/>
      <c r="PMN2469" s="54"/>
      <c r="PMO2469" s="60"/>
      <c r="PMP2469" s="60"/>
      <c r="PMQ2469" s="60"/>
      <c r="PMR2469" s="60"/>
      <c r="PMS2469" s="63"/>
      <c r="PMT2469" s="61"/>
      <c r="PMU2469" s="54"/>
      <c r="PMV2469" s="54"/>
      <c r="PMW2469" s="60"/>
      <c r="PMX2469" s="60"/>
      <c r="PMY2469" s="60"/>
      <c r="PMZ2469" s="60"/>
      <c r="PNA2469" s="63"/>
      <c r="PNB2469" s="61"/>
      <c r="PNC2469" s="54"/>
      <c r="PND2469" s="54"/>
      <c r="PNE2469" s="60"/>
      <c r="PNF2469" s="60"/>
      <c r="PNG2469" s="60"/>
      <c r="PNH2469" s="60"/>
      <c r="PNI2469" s="63"/>
      <c r="PNJ2469" s="61"/>
      <c r="PNK2469" s="54"/>
      <c r="PNL2469" s="54"/>
      <c r="PNM2469" s="60"/>
      <c r="PNN2469" s="60"/>
      <c r="PNO2469" s="60"/>
      <c r="PNP2469" s="60"/>
      <c r="PNQ2469" s="63"/>
      <c r="PNR2469" s="61"/>
      <c r="PNS2469" s="54"/>
      <c r="PNT2469" s="54"/>
      <c r="PNU2469" s="60"/>
      <c r="PNV2469" s="60"/>
      <c r="PNW2469" s="60"/>
      <c r="PNX2469" s="60"/>
      <c r="PNY2469" s="63"/>
      <c r="PNZ2469" s="61"/>
      <c r="POA2469" s="54"/>
      <c r="POB2469" s="54"/>
      <c r="POC2469" s="60"/>
      <c r="POD2469" s="60"/>
      <c r="POE2469" s="60"/>
      <c r="POF2469" s="60"/>
      <c r="POG2469" s="63"/>
      <c r="POH2469" s="61"/>
      <c r="POI2469" s="54"/>
      <c r="POJ2469" s="54"/>
      <c r="POK2469" s="60"/>
      <c r="POL2469" s="60"/>
      <c r="POM2469" s="60"/>
      <c r="PON2469" s="60"/>
      <c r="POO2469" s="63"/>
      <c r="POP2469" s="61"/>
      <c r="POQ2469" s="54"/>
      <c r="POR2469" s="54"/>
      <c r="POS2469" s="60"/>
      <c r="POT2469" s="60"/>
      <c r="POU2469" s="60"/>
      <c r="POV2469" s="60"/>
      <c r="POW2469" s="63"/>
      <c r="POX2469" s="61"/>
      <c r="POY2469" s="54"/>
      <c r="POZ2469" s="54"/>
      <c r="PPA2469" s="60"/>
      <c r="PPB2469" s="60"/>
      <c r="PPC2469" s="60"/>
      <c r="PPD2469" s="60"/>
      <c r="PPE2469" s="63"/>
      <c r="PPF2469" s="61"/>
      <c r="PPG2469" s="54"/>
      <c r="PPH2469" s="54"/>
      <c r="PPI2469" s="60"/>
      <c r="PPJ2469" s="60"/>
      <c r="PPK2469" s="60"/>
      <c r="PPL2469" s="60"/>
      <c r="PPM2469" s="63"/>
      <c r="PPN2469" s="61"/>
      <c r="PPO2469" s="54"/>
      <c r="PPP2469" s="54"/>
      <c r="PPQ2469" s="60"/>
      <c r="PPR2469" s="60"/>
      <c r="PPS2469" s="60"/>
      <c r="PPT2469" s="60"/>
      <c r="PPU2469" s="63"/>
      <c r="PPV2469" s="61"/>
      <c r="PPW2469" s="54"/>
      <c r="PPX2469" s="54"/>
      <c r="PPY2469" s="60"/>
      <c r="PPZ2469" s="60"/>
      <c r="PQA2469" s="60"/>
      <c r="PQB2469" s="60"/>
      <c r="PQC2469" s="63"/>
      <c r="PQD2469" s="61"/>
      <c r="PQE2469" s="54"/>
      <c r="PQF2469" s="54"/>
      <c r="PQG2469" s="60"/>
      <c r="PQH2469" s="60"/>
      <c r="PQI2469" s="60"/>
      <c r="PQJ2469" s="60"/>
      <c r="PQK2469" s="63"/>
      <c r="PQL2469" s="61"/>
      <c r="PQM2469" s="54"/>
      <c r="PQN2469" s="54"/>
      <c r="PQO2469" s="60"/>
      <c r="PQP2469" s="60"/>
      <c r="PQQ2469" s="60"/>
      <c r="PQR2469" s="60"/>
      <c r="PQS2469" s="63"/>
      <c r="PQT2469" s="61"/>
      <c r="PQU2469" s="54"/>
      <c r="PQV2469" s="54"/>
      <c r="PQW2469" s="60"/>
      <c r="PQX2469" s="60"/>
      <c r="PQY2469" s="60"/>
      <c r="PQZ2469" s="60"/>
      <c r="PRA2469" s="63"/>
      <c r="PRB2469" s="61"/>
      <c r="PRC2469" s="54"/>
      <c r="PRD2469" s="54"/>
      <c r="PRE2469" s="60"/>
      <c r="PRF2469" s="60"/>
      <c r="PRG2469" s="60"/>
      <c r="PRH2469" s="60"/>
      <c r="PRI2469" s="63"/>
      <c r="PRJ2469" s="61"/>
      <c r="PRK2469" s="54"/>
      <c r="PRL2469" s="54"/>
      <c r="PRM2469" s="60"/>
      <c r="PRN2469" s="60"/>
      <c r="PRO2469" s="60"/>
      <c r="PRP2469" s="60"/>
      <c r="PRQ2469" s="63"/>
      <c r="PRR2469" s="61"/>
      <c r="PRS2469" s="54"/>
      <c r="PRT2469" s="54"/>
      <c r="PRU2469" s="60"/>
      <c r="PRV2469" s="60"/>
      <c r="PRW2469" s="60"/>
      <c r="PRX2469" s="60"/>
      <c r="PRY2469" s="63"/>
      <c r="PRZ2469" s="61"/>
      <c r="PSA2469" s="54"/>
      <c r="PSB2469" s="54"/>
      <c r="PSC2469" s="60"/>
      <c r="PSD2469" s="60"/>
      <c r="PSE2469" s="60"/>
      <c r="PSF2469" s="60"/>
      <c r="PSG2469" s="63"/>
      <c r="PSH2469" s="61"/>
      <c r="PSI2469" s="54"/>
      <c r="PSJ2469" s="54"/>
      <c r="PSK2469" s="60"/>
      <c r="PSL2469" s="60"/>
      <c r="PSM2469" s="60"/>
      <c r="PSN2469" s="60"/>
      <c r="PSO2469" s="63"/>
      <c r="PSP2469" s="61"/>
      <c r="PSQ2469" s="54"/>
      <c r="PSR2469" s="54"/>
      <c r="PSS2469" s="60"/>
      <c r="PST2469" s="60"/>
      <c r="PSU2469" s="60"/>
      <c r="PSV2469" s="60"/>
      <c r="PSW2469" s="63"/>
      <c r="PSX2469" s="61"/>
      <c r="PSY2469" s="54"/>
      <c r="PSZ2469" s="54"/>
      <c r="PTA2469" s="60"/>
      <c r="PTB2469" s="60"/>
      <c r="PTC2469" s="60"/>
      <c r="PTD2469" s="60"/>
      <c r="PTE2469" s="63"/>
      <c r="PTF2469" s="61"/>
      <c r="PTG2469" s="54"/>
      <c r="PTH2469" s="54"/>
      <c r="PTI2469" s="60"/>
      <c r="PTJ2469" s="60"/>
      <c r="PTK2469" s="60"/>
      <c r="PTL2469" s="60"/>
      <c r="PTM2469" s="63"/>
      <c r="PTN2469" s="61"/>
      <c r="PTO2469" s="54"/>
      <c r="PTP2469" s="54"/>
      <c r="PTQ2469" s="60"/>
      <c r="PTR2469" s="60"/>
      <c r="PTS2469" s="60"/>
      <c r="PTT2469" s="60"/>
      <c r="PTU2469" s="63"/>
      <c r="PTV2469" s="61"/>
      <c r="PTW2469" s="54"/>
      <c r="PTX2469" s="54"/>
      <c r="PTY2469" s="60"/>
      <c r="PTZ2469" s="60"/>
      <c r="PUA2469" s="60"/>
      <c r="PUB2469" s="60"/>
      <c r="PUC2469" s="63"/>
      <c r="PUD2469" s="61"/>
      <c r="PUE2469" s="54"/>
      <c r="PUF2469" s="54"/>
      <c r="PUG2469" s="60"/>
      <c r="PUH2469" s="60"/>
      <c r="PUI2469" s="60"/>
      <c r="PUJ2469" s="60"/>
      <c r="PUK2469" s="63"/>
      <c r="PUL2469" s="61"/>
      <c r="PUM2469" s="54"/>
      <c r="PUN2469" s="54"/>
      <c r="PUO2469" s="60"/>
      <c r="PUP2469" s="60"/>
      <c r="PUQ2469" s="60"/>
      <c r="PUR2469" s="60"/>
      <c r="PUS2469" s="63"/>
      <c r="PUT2469" s="61"/>
      <c r="PUU2469" s="54"/>
      <c r="PUV2469" s="54"/>
      <c r="PUW2469" s="60"/>
      <c r="PUX2469" s="60"/>
      <c r="PUY2469" s="60"/>
      <c r="PUZ2469" s="60"/>
      <c r="PVA2469" s="63"/>
      <c r="PVB2469" s="61"/>
      <c r="PVC2469" s="54"/>
      <c r="PVD2469" s="54"/>
      <c r="PVE2469" s="60"/>
      <c r="PVF2469" s="60"/>
      <c r="PVG2469" s="60"/>
      <c r="PVH2469" s="60"/>
      <c r="PVI2469" s="63"/>
      <c r="PVJ2469" s="61"/>
      <c r="PVK2469" s="54"/>
      <c r="PVL2469" s="54"/>
      <c r="PVM2469" s="60"/>
      <c r="PVN2469" s="60"/>
      <c r="PVO2469" s="60"/>
      <c r="PVP2469" s="60"/>
      <c r="PVQ2469" s="63"/>
      <c r="PVR2469" s="61"/>
      <c r="PVS2469" s="54"/>
      <c r="PVT2469" s="54"/>
      <c r="PVU2469" s="60"/>
      <c r="PVV2469" s="60"/>
      <c r="PVW2469" s="60"/>
      <c r="PVX2469" s="60"/>
      <c r="PVY2469" s="63"/>
      <c r="PVZ2469" s="61"/>
      <c r="PWA2469" s="54"/>
      <c r="PWB2469" s="54"/>
      <c r="PWC2469" s="60"/>
      <c r="PWD2469" s="60"/>
      <c r="PWE2469" s="60"/>
      <c r="PWF2469" s="60"/>
      <c r="PWG2469" s="63"/>
      <c r="PWH2469" s="61"/>
      <c r="PWI2469" s="54"/>
      <c r="PWJ2469" s="54"/>
      <c r="PWK2469" s="60"/>
      <c r="PWL2469" s="60"/>
      <c r="PWM2469" s="60"/>
      <c r="PWN2469" s="60"/>
      <c r="PWO2469" s="63"/>
      <c r="PWP2469" s="61"/>
      <c r="PWQ2469" s="54"/>
      <c r="PWR2469" s="54"/>
      <c r="PWS2469" s="60"/>
      <c r="PWT2469" s="60"/>
      <c r="PWU2469" s="60"/>
      <c r="PWV2469" s="60"/>
      <c r="PWW2469" s="63"/>
      <c r="PWX2469" s="61"/>
      <c r="PWY2469" s="54"/>
      <c r="PWZ2469" s="54"/>
      <c r="PXA2469" s="60"/>
      <c r="PXB2469" s="60"/>
      <c r="PXC2469" s="60"/>
      <c r="PXD2469" s="60"/>
      <c r="PXE2469" s="63"/>
      <c r="PXF2469" s="61"/>
      <c r="PXG2469" s="54"/>
      <c r="PXH2469" s="54"/>
      <c r="PXI2469" s="60"/>
      <c r="PXJ2469" s="60"/>
      <c r="PXK2469" s="60"/>
      <c r="PXL2469" s="60"/>
      <c r="PXM2469" s="63"/>
      <c r="PXN2469" s="61"/>
      <c r="PXO2469" s="54"/>
      <c r="PXP2469" s="54"/>
      <c r="PXQ2469" s="60"/>
      <c r="PXR2469" s="60"/>
      <c r="PXS2469" s="60"/>
      <c r="PXT2469" s="60"/>
      <c r="PXU2469" s="63"/>
      <c r="PXV2469" s="61"/>
      <c r="PXW2469" s="54"/>
      <c r="PXX2469" s="54"/>
      <c r="PXY2469" s="60"/>
      <c r="PXZ2469" s="60"/>
      <c r="PYA2469" s="60"/>
      <c r="PYB2469" s="60"/>
      <c r="PYC2469" s="63"/>
      <c r="PYD2469" s="61"/>
      <c r="PYE2469" s="54"/>
      <c r="PYF2469" s="54"/>
      <c r="PYG2469" s="60"/>
      <c r="PYH2469" s="60"/>
      <c r="PYI2469" s="60"/>
      <c r="PYJ2469" s="60"/>
      <c r="PYK2469" s="63"/>
      <c r="PYL2469" s="61"/>
      <c r="PYM2469" s="54"/>
      <c r="PYN2469" s="54"/>
      <c r="PYO2469" s="60"/>
      <c r="PYP2469" s="60"/>
      <c r="PYQ2469" s="60"/>
      <c r="PYR2469" s="60"/>
      <c r="PYS2469" s="63"/>
      <c r="PYT2469" s="61"/>
      <c r="PYU2469" s="54"/>
      <c r="PYV2469" s="54"/>
      <c r="PYW2469" s="60"/>
      <c r="PYX2469" s="60"/>
      <c r="PYY2469" s="60"/>
      <c r="PYZ2469" s="60"/>
      <c r="PZA2469" s="63"/>
      <c r="PZB2469" s="61"/>
      <c r="PZC2469" s="54"/>
      <c r="PZD2469" s="54"/>
      <c r="PZE2469" s="60"/>
      <c r="PZF2469" s="60"/>
      <c r="PZG2469" s="60"/>
      <c r="PZH2469" s="60"/>
      <c r="PZI2469" s="63"/>
      <c r="PZJ2469" s="61"/>
      <c r="PZK2469" s="54"/>
      <c r="PZL2469" s="54"/>
      <c r="PZM2469" s="60"/>
      <c r="PZN2469" s="60"/>
      <c r="PZO2469" s="60"/>
      <c r="PZP2469" s="60"/>
      <c r="PZQ2469" s="63"/>
      <c r="PZR2469" s="61"/>
      <c r="PZS2469" s="54"/>
      <c r="PZT2469" s="54"/>
      <c r="PZU2469" s="60"/>
      <c r="PZV2469" s="60"/>
      <c r="PZW2469" s="60"/>
      <c r="PZX2469" s="60"/>
      <c r="PZY2469" s="63"/>
      <c r="PZZ2469" s="61"/>
      <c r="QAA2469" s="54"/>
      <c r="QAB2469" s="54"/>
      <c r="QAC2469" s="60"/>
      <c r="QAD2469" s="60"/>
      <c r="QAE2469" s="60"/>
      <c r="QAF2469" s="60"/>
      <c r="QAG2469" s="63"/>
      <c r="QAH2469" s="61"/>
      <c r="QAI2469" s="54"/>
      <c r="QAJ2469" s="54"/>
      <c r="QAK2469" s="60"/>
      <c r="QAL2469" s="60"/>
      <c r="QAM2469" s="60"/>
      <c r="QAN2469" s="60"/>
      <c r="QAO2469" s="63"/>
      <c r="QAP2469" s="61"/>
      <c r="QAQ2469" s="54"/>
      <c r="QAR2469" s="54"/>
      <c r="QAS2469" s="60"/>
      <c r="QAT2469" s="60"/>
      <c r="QAU2469" s="60"/>
      <c r="QAV2469" s="60"/>
      <c r="QAW2469" s="63"/>
      <c r="QAX2469" s="61"/>
      <c r="QAY2469" s="54"/>
      <c r="QAZ2469" s="54"/>
      <c r="QBA2469" s="60"/>
      <c r="QBB2469" s="60"/>
      <c r="QBC2469" s="60"/>
      <c r="QBD2469" s="60"/>
      <c r="QBE2469" s="63"/>
      <c r="QBF2469" s="61"/>
      <c r="QBG2469" s="54"/>
      <c r="QBH2469" s="54"/>
      <c r="QBI2469" s="60"/>
      <c r="QBJ2469" s="60"/>
      <c r="QBK2469" s="60"/>
      <c r="QBL2469" s="60"/>
      <c r="QBM2469" s="63"/>
      <c r="QBN2469" s="61"/>
      <c r="QBO2469" s="54"/>
      <c r="QBP2469" s="54"/>
      <c r="QBQ2469" s="60"/>
      <c r="QBR2469" s="60"/>
      <c r="QBS2469" s="60"/>
      <c r="QBT2469" s="60"/>
      <c r="QBU2469" s="63"/>
      <c r="QBV2469" s="61"/>
      <c r="QBW2469" s="54"/>
      <c r="QBX2469" s="54"/>
      <c r="QBY2469" s="60"/>
      <c r="QBZ2469" s="60"/>
      <c r="QCA2469" s="60"/>
      <c r="QCB2469" s="60"/>
      <c r="QCC2469" s="63"/>
      <c r="QCD2469" s="61"/>
      <c r="QCE2469" s="54"/>
      <c r="QCF2469" s="54"/>
      <c r="QCG2469" s="60"/>
      <c r="QCH2469" s="60"/>
      <c r="QCI2469" s="60"/>
      <c r="QCJ2469" s="60"/>
      <c r="QCK2469" s="63"/>
      <c r="QCL2469" s="61"/>
      <c r="QCM2469" s="54"/>
      <c r="QCN2469" s="54"/>
      <c r="QCO2469" s="60"/>
      <c r="QCP2469" s="60"/>
      <c r="QCQ2469" s="60"/>
      <c r="QCR2469" s="60"/>
      <c r="QCS2469" s="63"/>
      <c r="QCT2469" s="61"/>
      <c r="QCU2469" s="54"/>
      <c r="QCV2469" s="54"/>
      <c r="QCW2469" s="60"/>
      <c r="QCX2469" s="60"/>
      <c r="QCY2469" s="60"/>
      <c r="QCZ2469" s="60"/>
      <c r="QDA2469" s="63"/>
      <c r="QDB2469" s="61"/>
      <c r="QDC2469" s="54"/>
      <c r="QDD2469" s="54"/>
      <c r="QDE2469" s="60"/>
      <c r="QDF2469" s="60"/>
      <c r="QDG2469" s="60"/>
      <c r="QDH2469" s="60"/>
      <c r="QDI2469" s="63"/>
      <c r="QDJ2469" s="61"/>
      <c r="QDK2469" s="54"/>
      <c r="QDL2469" s="54"/>
      <c r="QDM2469" s="60"/>
      <c r="QDN2469" s="60"/>
      <c r="QDO2469" s="60"/>
      <c r="QDP2469" s="60"/>
      <c r="QDQ2469" s="63"/>
      <c r="QDR2469" s="61"/>
      <c r="QDS2469" s="54"/>
      <c r="QDT2469" s="54"/>
      <c r="QDU2469" s="60"/>
      <c r="QDV2469" s="60"/>
      <c r="QDW2469" s="60"/>
      <c r="QDX2469" s="60"/>
      <c r="QDY2469" s="63"/>
      <c r="QDZ2469" s="61"/>
      <c r="QEA2469" s="54"/>
      <c r="QEB2469" s="54"/>
      <c r="QEC2469" s="60"/>
      <c r="QED2469" s="60"/>
      <c r="QEE2469" s="60"/>
      <c r="QEF2469" s="60"/>
      <c r="QEG2469" s="63"/>
      <c r="QEH2469" s="61"/>
      <c r="QEI2469" s="54"/>
      <c r="QEJ2469" s="54"/>
      <c r="QEK2469" s="60"/>
      <c r="QEL2469" s="60"/>
      <c r="QEM2469" s="60"/>
      <c r="QEN2469" s="60"/>
      <c r="QEO2469" s="63"/>
      <c r="QEP2469" s="61"/>
      <c r="QEQ2469" s="54"/>
      <c r="QER2469" s="54"/>
      <c r="QES2469" s="60"/>
      <c r="QET2469" s="60"/>
      <c r="QEU2469" s="60"/>
      <c r="QEV2469" s="60"/>
      <c r="QEW2469" s="63"/>
      <c r="QEX2469" s="61"/>
      <c r="QEY2469" s="54"/>
      <c r="QEZ2469" s="54"/>
      <c r="QFA2469" s="60"/>
      <c r="QFB2469" s="60"/>
      <c r="QFC2469" s="60"/>
      <c r="QFD2469" s="60"/>
      <c r="QFE2469" s="63"/>
      <c r="QFF2469" s="61"/>
      <c r="QFG2469" s="54"/>
      <c r="QFH2469" s="54"/>
      <c r="QFI2469" s="60"/>
      <c r="QFJ2469" s="60"/>
      <c r="QFK2469" s="60"/>
      <c r="QFL2469" s="60"/>
      <c r="QFM2469" s="63"/>
      <c r="QFN2469" s="61"/>
      <c r="QFO2469" s="54"/>
      <c r="QFP2469" s="54"/>
      <c r="QFQ2469" s="60"/>
      <c r="QFR2469" s="60"/>
      <c r="QFS2469" s="60"/>
      <c r="QFT2469" s="60"/>
      <c r="QFU2469" s="63"/>
      <c r="QFV2469" s="61"/>
      <c r="QFW2469" s="54"/>
      <c r="QFX2469" s="54"/>
      <c r="QFY2469" s="60"/>
      <c r="QFZ2469" s="60"/>
      <c r="QGA2469" s="60"/>
      <c r="QGB2469" s="60"/>
      <c r="QGC2469" s="63"/>
      <c r="QGD2469" s="61"/>
      <c r="QGE2469" s="54"/>
      <c r="QGF2469" s="54"/>
      <c r="QGG2469" s="60"/>
      <c r="QGH2469" s="60"/>
      <c r="QGI2469" s="60"/>
      <c r="QGJ2469" s="60"/>
      <c r="QGK2469" s="63"/>
      <c r="QGL2469" s="61"/>
      <c r="QGM2469" s="54"/>
      <c r="QGN2469" s="54"/>
      <c r="QGO2469" s="60"/>
      <c r="QGP2469" s="60"/>
      <c r="QGQ2469" s="60"/>
      <c r="QGR2469" s="60"/>
      <c r="QGS2469" s="63"/>
      <c r="QGT2469" s="61"/>
      <c r="QGU2469" s="54"/>
      <c r="QGV2469" s="54"/>
      <c r="QGW2469" s="60"/>
      <c r="QGX2469" s="60"/>
      <c r="QGY2469" s="60"/>
      <c r="QGZ2469" s="60"/>
      <c r="QHA2469" s="63"/>
      <c r="QHB2469" s="61"/>
      <c r="QHC2469" s="54"/>
      <c r="QHD2469" s="54"/>
      <c r="QHE2469" s="60"/>
      <c r="QHF2469" s="60"/>
      <c r="QHG2469" s="60"/>
      <c r="QHH2469" s="60"/>
      <c r="QHI2469" s="63"/>
      <c r="QHJ2469" s="61"/>
      <c r="QHK2469" s="54"/>
      <c r="QHL2469" s="54"/>
      <c r="QHM2469" s="60"/>
      <c r="QHN2469" s="60"/>
      <c r="QHO2469" s="60"/>
      <c r="QHP2469" s="60"/>
      <c r="QHQ2469" s="63"/>
      <c r="QHR2469" s="61"/>
      <c r="QHS2469" s="54"/>
      <c r="QHT2469" s="54"/>
      <c r="QHU2469" s="60"/>
      <c r="QHV2469" s="60"/>
      <c r="QHW2469" s="60"/>
      <c r="QHX2469" s="60"/>
      <c r="QHY2469" s="63"/>
      <c r="QHZ2469" s="61"/>
      <c r="QIA2469" s="54"/>
      <c r="QIB2469" s="54"/>
      <c r="QIC2469" s="60"/>
      <c r="QID2469" s="60"/>
      <c r="QIE2469" s="60"/>
      <c r="QIF2469" s="60"/>
      <c r="QIG2469" s="63"/>
      <c r="QIH2469" s="61"/>
      <c r="QII2469" s="54"/>
      <c r="QIJ2469" s="54"/>
      <c r="QIK2469" s="60"/>
      <c r="QIL2469" s="60"/>
      <c r="QIM2469" s="60"/>
      <c r="QIN2469" s="60"/>
      <c r="QIO2469" s="63"/>
      <c r="QIP2469" s="61"/>
      <c r="QIQ2469" s="54"/>
      <c r="QIR2469" s="54"/>
      <c r="QIS2469" s="60"/>
      <c r="QIT2469" s="60"/>
      <c r="QIU2469" s="60"/>
      <c r="QIV2469" s="60"/>
      <c r="QIW2469" s="63"/>
      <c r="QIX2469" s="61"/>
      <c r="QIY2469" s="54"/>
      <c r="QIZ2469" s="54"/>
      <c r="QJA2469" s="60"/>
      <c r="QJB2469" s="60"/>
      <c r="QJC2469" s="60"/>
      <c r="QJD2469" s="60"/>
      <c r="QJE2469" s="63"/>
      <c r="QJF2469" s="61"/>
      <c r="QJG2469" s="54"/>
      <c r="QJH2469" s="54"/>
      <c r="QJI2469" s="60"/>
      <c r="QJJ2469" s="60"/>
      <c r="QJK2469" s="60"/>
      <c r="QJL2469" s="60"/>
      <c r="QJM2469" s="63"/>
      <c r="QJN2469" s="61"/>
      <c r="QJO2469" s="54"/>
      <c r="QJP2469" s="54"/>
      <c r="QJQ2469" s="60"/>
      <c r="QJR2469" s="60"/>
      <c r="QJS2469" s="60"/>
      <c r="QJT2469" s="60"/>
      <c r="QJU2469" s="63"/>
      <c r="QJV2469" s="61"/>
      <c r="QJW2469" s="54"/>
      <c r="QJX2469" s="54"/>
      <c r="QJY2469" s="60"/>
      <c r="QJZ2469" s="60"/>
      <c r="QKA2469" s="60"/>
      <c r="QKB2469" s="60"/>
      <c r="QKC2469" s="63"/>
      <c r="QKD2469" s="61"/>
      <c r="QKE2469" s="54"/>
      <c r="QKF2469" s="54"/>
      <c r="QKG2469" s="60"/>
      <c r="QKH2469" s="60"/>
      <c r="QKI2469" s="60"/>
      <c r="QKJ2469" s="60"/>
      <c r="QKK2469" s="63"/>
      <c r="QKL2469" s="61"/>
      <c r="QKM2469" s="54"/>
      <c r="QKN2469" s="54"/>
      <c r="QKO2469" s="60"/>
      <c r="QKP2469" s="60"/>
      <c r="QKQ2469" s="60"/>
      <c r="QKR2469" s="60"/>
      <c r="QKS2469" s="63"/>
      <c r="QKT2469" s="61"/>
      <c r="QKU2469" s="54"/>
      <c r="QKV2469" s="54"/>
      <c r="QKW2469" s="60"/>
      <c r="QKX2469" s="60"/>
      <c r="QKY2469" s="60"/>
      <c r="QKZ2469" s="60"/>
      <c r="QLA2469" s="63"/>
      <c r="QLB2469" s="61"/>
      <c r="QLC2469" s="54"/>
      <c r="QLD2469" s="54"/>
      <c r="QLE2469" s="60"/>
      <c r="QLF2469" s="60"/>
      <c r="QLG2469" s="60"/>
      <c r="QLH2469" s="60"/>
      <c r="QLI2469" s="63"/>
      <c r="QLJ2469" s="61"/>
      <c r="QLK2469" s="54"/>
      <c r="QLL2469" s="54"/>
      <c r="QLM2469" s="60"/>
      <c r="QLN2469" s="60"/>
      <c r="QLO2469" s="60"/>
      <c r="QLP2469" s="60"/>
      <c r="QLQ2469" s="63"/>
      <c r="QLR2469" s="61"/>
      <c r="QLS2469" s="54"/>
      <c r="QLT2469" s="54"/>
      <c r="QLU2469" s="60"/>
      <c r="QLV2469" s="60"/>
      <c r="QLW2469" s="60"/>
      <c r="QLX2469" s="60"/>
      <c r="QLY2469" s="63"/>
      <c r="QLZ2469" s="61"/>
      <c r="QMA2469" s="54"/>
      <c r="QMB2469" s="54"/>
      <c r="QMC2469" s="60"/>
      <c r="QMD2469" s="60"/>
      <c r="QME2469" s="60"/>
      <c r="QMF2469" s="60"/>
      <c r="QMG2469" s="63"/>
      <c r="QMH2469" s="61"/>
      <c r="QMI2469" s="54"/>
      <c r="QMJ2469" s="54"/>
      <c r="QMK2469" s="60"/>
      <c r="QML2469" s="60"/>
      <c r="QMM2469" s="60"/>
      <c r="QMN2469" s="60"/>
      <c r="QMO2469" s="63"/>
      <c r="QMP2469" s="61"/>
      <c r="QMQ2469" s="54"/>
      <c r="QMR2469" s="54"/>
      <c r="QMS2469" s="60"/>
      <c r="QMT2469" s="60"/>
      <c r="QMU2469" s="60"/>
      <c r="QMV2469" s="60"/>
      <c r="QMW2469" s="63"/>
      <c r="QMX2469" s="61"/>
      <c r="QMY2469" s="54"/>
      <c r="QMZ2469" s="54"/>
      <c r="QNA2469" s="60"/>
      <c r="QNB2469" s="60"/>
      <c r="QNC2469" s="60"/>
      <c r="QND2469" s="60"/>
      <c r="QNE2469" s="63"/>
      <c r="QNF2469" s="61"/>
      <c r="QNG2469" s="54"/>
      <c r="QNH2469" s="54"/>
      <c r="QNI2469" s="60"/>
      <c r="QNJ2469" s="60"/>
      <c r="QNK2469" s="60"/>
      <c r="QNL2469" s="60"/>
      <c r="QNM2469" s="63"/>
      <c r="QNN2469" s="61"/>
      <c r="QNO2469" s="54"/>
      <c r="QNP2469" s="54"/>
      <c r="QNQ2469" s="60"/>
      <c r="QNR2469" s="60"/>
      <c r="QNS2469" s="60"/>
      <c r="QNT2469" s="60"/>
      <c r="QNU2469" s="63"/>
      <c r="QNV2469" s="61"/>
      <c r="QNW2469" s="54"/>
      <c r="QNX2469" s="54"/>
      <c r="QNY2469" s="60"/>
      <c r="QNZ2469" s="60"/>
      <c r="QOA2469" s="60"/>
      <c r="QOB2469" s="60"/>
      <c r="QOC2469" s="63"/>
      <c r="QOD2469" s="61"/>
      <c r="QOE2469" s="54"/>
      <c r="QOF2469" s="54"/>
      <c r="QOG2469" s="60"/>
      <c r="QOH2469" s="60"/>
      <c r="QOI2469" s="60"/>
      <c r="QOJ2469" s="60"/>
      <c r="QOK2469" s="63"/>
      <c r="QOL2469" s="61"/>
      <c r="QOM2469" s="54"/>
      <c r="QON2469" s="54"/>
      <c r="QOO2469" s="60"/>
      <c r="QOP2469" s="60"/>
      <c r="QOQ2469" s="60"/>
      <c r="QOR2469" s="60"/>
      <c r="QOS2469" s="63"/>
      <c r="QOT2469" s="61"/>
      <c r="QOU2469" s="54"/>
      <c r="QOV2469" s="54"/>
      <c r="QOW2469" s="60"/>
      <c r="QOX2469" s="60"/>
      <c r="QOY2469" s="60"/>
      <c r="QOZ2469" s="60"/>
      <c r="QPA2469" s="63"/>
      <c r="QPB2469" s="61"/>
      <c r="QPC2469" s="54"/>
      <c r="QPD2469" s="54"/>
      <c r="QPE2469" s="60"/>
      <c r="QPF2469" s="60"/>
      <c r="QPG2469" s="60"/>
      <c r="QPH2469" s="60"/>
      <c r="QPI2469" s="63"/>
      <c r="QPJ2469" s="61"/>
      <c r="QPK2469" s="54"/>
      <c r="QPL2469" s="54"/>
      <c r="QPM2469" s="60"/>
      <c r="QPN2469" s="60"/>
      <c r="QPO2469" s="60"/>
      <c r="QPP2469" s="60"/>
      <c r="QPQ2469" s="63"/>
      <c r="QPR2469" s="61"/>
      <c r="QPS2469" s="54"/>
      <c r="QPT2469" s="54"/>
      <c r="QPU2469" s="60"/>
      <c r="QPV2469" s="60"/>
      <c r="QPW2469" s="60"/>
      <c r="QPX2469" s="60"/>
      <c r="QPY2469" s="63"/>
      <c r="QPZ2469" s="61"/>
      <c r="QQA2469" s="54"/>
      <c r="QQB2469" s="54"/>
      <c r="QQC2469" s="60"/>
      <c r="QQD2469" s="60"/>
      <c r="QQE2469" s="60"/>
      <c r="QQF2469" s="60"/>
      <c r="QQG2469" s="63"/>
      <c r="QQH2469" s="61"/>
      <c r="QQI2469" s="54"/>
      <c r="QQJ2469" s="54"/>
      <c r="QQK2469" s="60"/>
      <c r="QQL2469" s="60"/>
      <c r="QQM2469" s="60"/>
      <c r="QQN2469" s="60"/>
      <c r="QQO2469" s="63"/>
      <c r="QQP2469" s="61"/>
      <c r="QQQ2469" s="54"/>
      <c r="QQR2469" s="54"/>
      <c r="QQS2469" s="60"/>
      <c r="QQT2469" s="60"/>
      <c r="QQU2469" s="60"/>
      <c r="QQV2469" s="60"/>
      <c r="QQW2469" s="63"/>
      <c r="QQX2469" s="61"/>
      <c r="QQY2469" s="54"/>
      <c r="QQZ2469" s="54"/>
      <c r="QRA2469" s="60"/>
      <c r="QRB2469" s="60"/>
      <c r="QRC2469" s="60"/>
      <c r="QRD2469" s="60"/>
      <c r="QRE2469" s="63"/>
      <c r="QRF2469" s="61"/>
      <c r="QRG2469" s="54"/>
      <c r="QRH2469" s="54"/>
      <c r="QRI2469" s="60"/>
      <c r="QRJ2469" s="60"/>
      <c r="QRK2469" s="60"/>
      <c r="QRL2469" s="60"/>
      <c r="QRM2469" s="63"/>
      <c r="QRN2469" s="61"/>
      <c r="QRO2469" s="54"/>
      <c r="QRP2469" s="54"/>
      <c r="QRQ2469" s="60"/>
      <c r="QRR2469" s="60"/>
      <c r="QRS2469" s="60"/>
      <c r="QRT2469" s="60"/>
      <c r="QRU2469" s="63"/>
      <c r="QRV2469" s="61"/>
      <c r="QRW2469" s="54"/>
      <c r="QRX2469" s="54"/>
      <c r="QRY2469" s="60"/>
      <c r="QRZ2469" s="60"/>
      <c r="QSA2469" s="60"/>
      <c r="QSB2469" s="60"/>
      <c r="QSC2469" s="63"/>
      <c r="QSD2469" s="61"/>
      <c r="QSE2469" s="54"/>
      <c r="QSF2469" s="54"/>
      <c r="QSG2469" s="60"/>
      <c r="QSH2469" s="60"/>
      <c r="QSI2469" s="60"/>
      <c r="QSJ2469" s="60"/>
      <c r="QSK2469" s="63"/>
      <c r="QSL2469" s="61"/>
      <c r="QSM2469" s="54"/>
      <c r="QSN2469" s="54"/>
      <c r="QSO2469" s="60"/>
      <c r="QSP2469" s="60"/>
      <c r="QSQ2469" s="60"/>
      <c r="QSR2469" s="60"/>
      <c r="QSS2469" s="63"/>
      <c r="QST2469" s="61"/>
      <c r="QSU2469" s="54"/>
      <c r="QSV2469" s="54"/>
      <c r="QSW2469" s="60"/>
      <c r="QSX2469" s="60"/>
      <c r="QSY2469" s="60"/>
      <c r="QSZ2469" s="60"/>
      <c r="QTA2469" s="63"/>
      <c r="QTB2469" s="61"/>
      <c r="QTC2469" s="54"/>
      <c r="QTD2469" s="54"/>
      <c r="QTE2469" s="60"/>
      <c r="QTF2469" s="60"/>
      <c r="QTG2469" s="60"/>
      <c r="QTH2469" s="60"/>
      <c r="QTI2469" s="63"/>
      <c r="QTJ2469" s="61"/>
      <c r="QTK2469" s="54"/>
      <c r="QTL2469" s="54"/>
      <c r="QTM2469" s="60"/>
      <c r="QTN2469" s="60"/>
      <c r="QTO2469" s="60"/>
      <c r="QTP2469" s="60"/>
      <c r="QTQ2469" s="63"/>
      <c r="QTR2469" s="61"/>
      <c r="QTS2469" s="54"/>
      <c r="QTT2469" s="54"/>
      <c r="QTU2469" s="60"/>
      <c r="QTV2469" s="60"/>
      <c r="QTW2469" s="60"/>
      <c r="QTX2469" s="60"/>
      <c r="QTY2469" s="63"/>
      <c r="QTZ2469" s="61"/>
      <c r="QUA2469" s="54"/>
      <c r="QUB2469" s="54"/>
      <c r="QUC2469" s="60"/>
      <c r="QUD2469" s="60"/>
      <c r="QUE2469" s="60"/>
      <c r="QUF2469" s="60"/>
      <c r="QUG2469" s="63"/>
      <c r="QUH2469" s="61"/>
      <c r="QUI2469" s="54"/>
      <c r="QUJ2469" s="54"/>
      <c r="QUK2469" s="60"/>
      <c r="QUL2469" s="60"/>
      <c r="QUM2469" s="60"/>
      <c r="QUN2469" s="60"/>
      <c r="QUO2469" s="63"/>
      <c r="QUP2469" s="61"/>
      <c r="QUQ2469" s="54"/>
      <c r="QUR2469" s="54"/>
      <c r="QUS2469" s="60"/>
      <c r="QUT2469" s="60"/>
      <c r="QUU2469" s="60"/>
      <c r="QUV2469" s="60"/>
      <c r="QUW2469" s="63"/>
      <c r="QUX2469" s="61"/>
      <c r="QUY2469" s="54"/>
      <c r="QUZ2469" s="54"/>
      <c r="QVA2469" s="60"/>
      <c r="QVB2469" s="60"/>
      <c r="QVC2469" s="60"/>
      <c r="QVD2469" s="60"/>
      <c r="QVE2469" s="63"/>
      <c r="QVF2469" s="61"/>
      <c r="QVG2469" s="54"/>
      <c r="QVH2469" s="54"/>
      <c r="QVI2469" s="60"/>
      <c r="QVJ2469" s="60"/>
      <c r="QVK2469" s="60"/>
      <c r="QVL2469" s="60"/>
      <c r="QVM2469" s="63"/>
      <c r="QVN2469" s="61"/>
      <c r="QVO2469" s="54"/>
      <c r="QVP2469" s="54"/>
      <c r="QVQ2469" s="60"/>
      <c r="QVR2469" s="60"/>
      <c r="QVS2469" s="60"/>
      <c r="QVT2469" s="60"/>
      <c r="QVU2469" s="63"/>
      <c r="QVV2469" s="61"/>
      <c r="QVW2469" s="54"/>
      <c r="QVX2469" s="54"/>
      <c r="QVY2469" s="60"/>
      <c r="QVZ2469" s="60"/>
      <c r="QWA2469" s="60"/>
      <c r="QWB2469" s="60"/>
      <c r="QWC2469" s="63"/>
      <c r="QWD2469" s="61"/>
      <c r="QWE2469" s="54"/>
      <c r="QWF2469" s="54"/>
      <c r="QWG2469" s="60"/>
      <c r="QWH2469" s="60"/>
      <c r="QWI2469" s="60"/>
      <c r="QWJ2469" s="60"/>
      <c r="QWK2469" s="63"/>
      <c r="QWL2469" s="61"/>
      <c r="QWM2469" s="54"/>
      <c r="QWN2469" s="54"/>
      <c r="QWO2469" s="60"/>
      <c r="QWP2469" s="60"/>
      <c r="QWQ2469" s="60"/>
      <c r="QWR2469" s="60"/>
      <c r="QWS2469" s="63"/>
      <c r="QWT2469" s="61"/>
      <c r="QWU2469" s="54"/>
      <c r="QWV2469" s="54"/>
      <c r="QWW2469" s="60"/>
      <c r="QWX2469" s="60"/>
      <c r="QWY2469" s="60"/>
      <c r="QWZ2469" s="60"/>
      <c r="QXA2469" s="63"/>
      <c r="QXB2469" s="61"/>
      <c r="QXC2469" s="54"/>
      <c r="QXD2469" s="54"/>
      <c r="QXE2469" s="60"/>
      <c r="QXF2469" s="60"/>
      <c r="QXG2469" s="60"/>
      <c r="QXH2469" s="60"/>
      <c r="QXI2469" s="63"/>
      <c r="QXJ2469" s="61"/>
      <c r="QXK2469" s="54"/>
      <c r="QXL2469" s="54"/>
      <c r="QXM2469" s="60"/>
      <c r="QXN2469" s="60"/>
      <c r="QXO2469" s="60"/>
      <c r="QXP2469" s="60"/>
      <c r="QXQ2469" s="63"/>
      <c r="QXR2469" s="61"/>
      <c r="QXS2469" s="54"/>
      <c r="QXT2469" s="54"/>
      <c r="QXU2469" s="60"/>
      <c r="QXV2469" s="60"/>
      <c r="QXW2469" s="60"/>
      <c r="QXX2469" s="60"/>
      <c r="QXY2469" s="63"/>
      <c r="QXZ2469" s="61"/>
      <c r="QYA2469" s="54"/>
      <c r="QYB2469" s="54"/>
      <c r="QYC2469" s="60"/>
      <c r="QYD2469" s="60"/>
      <c r="QYE2469" s="60"/>
      <c r="QYF2469" s="60"/>
      <c r="QYG2469" s="63"/>
      <c r="QYH2469" s="61"/>
      <c r="QYI2469" s="54"/>
      <c r="QYJ2469" s="54"/>
      <c r="QYK2469" s="60"/>
      <c r="QYL2469" s="60"/>
      <c r="QYM2469" s="60"/>
      <c r="QYN2469" s="60"/>
      <c r="QYO2469" s="63"/>
      <c r="QYP2469" s="61"/>
      <c r="QYQ2469" s="54"/>
      <c r="QYR2469" s="54"/>
      <c r="QYS2469" s="60"/>
      <c r="QYT2469" s="60"/>
      <c r="QYU2469" s="60"/>
      <c r="QYV2469" s="60"/>
      <c r="QYW2469" s="63"/>
      <c r="QYX2469" s="61"/>
      <c r="QYY2469" s="54"/>
      <c r="QYZ2469" s="54"/>
      <c r="QZA2469" s="60"/>
      <c r="QZB2469" s="60"/>
      <c r="QZC2469" s="60"/>
      <c r="QZD2469" s="60"/>
      <c r="QZE2469" s="63"/>
      <c r="QZF2469" s="61"/>
      <c r="QZG2469" s="54"/>
      <c r="QZH2469" s="54"/>
      <c r="QZI2469" s="60"/>
      <c r="QZJ2469" s="60"/>
      <c r="QZK2469" s="60"/>
      <c r="QZL2469" s="60"/>
      <c r="QZM2469" s="63"/>
      <c r="QZN2469" s="61"/>
      <c r="QZO2469" s="54"/>
      <c r="QZP2469" s="54"/>
      <c r="QZQ2469" s="60"/>
      <c r="QZR2469" s="60"/>
      <c r="QZS2469" s="60"/>
      <c r="QZT2469" s="60"/>
      <c r="QZU2469" s="63"/>
      <c r="QZV2469" s="61"/>
      <c r="QZW2469" s="54"/>
      <c r="QZX2469" s="54"/>
      <c r="QZY2469" s="60"/>
      <c r="QZZ2469" s="60"/>
      <c r="RAA2469" s="60"/>
      <c r="RAB2469" s="60"/>
      <c r="RAC2469" s="63"/>
      <c r="RAD2469" s="61"/>
      <c r="RAE2469" s="54"/>
      <c r="RAF2469" s="54"/>
      <c r="RAG2469" s="60"/>
      <c r="RAH2469" s="60"/>
      <c r="RAI2469" s="60"/>
      <c r="RAJ2469" s="60"/>
      <c r="RAK2469" s="63"/>
      <c r="RAL2469" s="61"/>
      <c r="RAM2469" s="54"/>
      <c r="RAN2469" s="54"/>
      <c r="RAO2469" s="60"/>
      <c r="RAP2469" s="60"/>
      <c r="RAQ2469" s="60"/>
      <c r="RAR2469" s="60"/>
      <c r="RAS2469" s="63"/>
      <c r="RAT2469" s="61"/>
      <c r="RAU2469" s="54"/>
      <c r="RAV2469" s="54"/>
      <c r="RAW2469" s="60"/>
      <c r="RAX2469" s="60"/>
      <c r="RAY2469" s="60"/>
      <c r="RAZ2469" s="60"/>
      <c r="RBA2469" s="63"/>
      <c r="RBB2469" s="61"/>
      <c r="RBC2469" s="54"/>
      <c r="RBD2469" s="54"/>
      <c r="RBE2469" s="60"/>
      <c r="RBF2469" s="60"/>
      <c r="RBG2469" s="60"/>
      <c r="RBH2469" s="60"/>
      <c r="RBI2469" s="63"/>
      <c r="RBJ2469" s="61"/>
      <c r="RBK2469" s="54"/>
      <c r="RBL2469" s="54"/>
      <c r="RBM2469" s="60"/>
      <c r="RBN2469" s="60"/>
      <c r="RBO2469" s="60"/>
      <c r="RBP2469" s="60"/>
      <c r="RBQ2469" s="63"/>
      <c r="RBR2469" s="61"/>
      <c r="RBS2469" s="54"/>
      <c r="RBT2469" s="54"/>
      <c r="RBU2469" s="60"/>
      <c r="RBV2469" s="60"/>
      <c r="RBW2469" s="60"/>
      <c r="RBX2469" s="60"/>
      <c r="RBY2469" s="63"/>
      <c r="RBZ2469" s="61"/>
      <c r="RCA2469" s="54"/>
      <c r="RCB2469" s="54"/>
      <c r="RCC2469" s="60"/>
      <c r="RCD2469" s="60"/>
      <c r="RCE2469" s="60"/>
      <c r="RCF2469" s="60"/>
      <c r="RCG2469" s="63"/>
      <c r="RCH2469" s="61"/>
      <c r="RCI2469" s="54"/>
      <c r="RCJ2469" s="54"/>
      <c r="RCK2469" s="60"/>
      <c r="RCL2469" s="60"/>
      <c r="RCM2469" s="60"/>
      <c r="RCN2469" s="60"/>
      <c r="RCO2469" s="63"/>
      <c r="RCP2469" s="61"/>
      <c r="RCQ2469" s="54"/>
      <c r="RCR2469" s="54"/>
      <c r="RCS2469" s="60"/>
      <c r="RCT2469" s="60"/>
      <c r="RCU2469" s="60"/>
      <c r="RCV2469" s="60"/>
      <c r="RCW2469" s="63"/>
      <c r="RCX2469" s="61"/>
      <c r="RCY2469" s="54"/>
      <c r="RCZ2469" s="54"/>
      <c r="RDA2469" s="60"/>
      <c r="RDB2469" s="60"/>
      <c r="RDC2469" s="60"/>
      <c r="RDD2469" s="60"/>
      <c r="RDE2469" s="63"/>
      <c r="RDF2469" s="61"/>
      <c r="RDG2469" s="54"/>
      <c r="RDH2469" s="54"/>
      <c r="RDI2469" s="60"/>
      <c r="RDJ2469" s="60"/>
      <c r="RDK2469" s="60"/>
      <c r="RDL2469" s="60"/>
      <c r="RDM2469" s="63"/>
      <c r="RDN2469" s="61"/>
      <c r="RDO2469" s="54"/>
      <c r="RDP2469" s="54"/>
      <c r="RDQ2469" s="60"/>
      <c r="RDR2469" s="60"/>
      <c r="RDS2469" s="60"/>
      <c r="RDT2469" s="60"/>
      <c r="RDU2469" s="63"/>
      <c r="RDV2469" s="61"/>
      <c r="RDW2469" s="54"/>
      <c r="RDX2469" s="54"/>
      <c r="RDY2469" s="60"/>
      <c r="RDZ2469" s="60"/>
      <c r="REA2469" s="60"/>
      <c r="REB2469" s="60"/>
      <c r="REC2469" s="63"/>
      <c r="RED2469" s="61"/>
      <c r="REE2469" s="54"/>
      <c r="REF2469" s="54"/>
      <c r="REG2469" s="60"/>
      <c r="REH2469" s="60"/>
      <c r="REI2469" s="60"/>
      <c r="REJ2469" s="60"/>
      <c r="REK2469" s="63"/>
      <c r="REL2469" s="61"/>
      <c r="REM2469" s="54"/>
      <c r="REN2469" s="54"/>
      <c r="REO2469" s="60"/>
      <c r="REP2469" s="60"/>
      <c r="REQ2469" s="60"/>
      <c r="RER2469" s="60"/>
      <c r="RES2469" s="63"/>
      <c r="RET2469" s="61"/>
      <c r="REU2469" s="54"/>
      <c r="REV2469" s="54"/>
      <c r="REW2469" s="60"/>
      <c r="REX2469" s="60"/>
      <c r="REY2469" s="60"/>
      <c r="REZ2469" s="60"/>
      <c r="RFA2469" s="63"/>
      <c r="RFB2469" s="61"/>
      <c r="RFC2469" s="54"/>
      <c r="RFD2469" s="54"/>
      <c r="RFE2469" s="60"/>
      <c r="RFF2469" s="60"/>
      <c r="RFG2469" s="60"/>
      <c r="RFH2469" s="60"/>
      <c r="RFI2469" s="63"/>
      <c r="RFJ2469" s="61"/>
      <c r="RFK2469" s="54"/>
      <c r="RFL2469" s="54"/>
      <c r="RFM2469" s="60"/>
      <c r="RFN2469" s="60"/>
      <c r="RFO2469" s="60"/>
      <c r="RFP2469" s="60"/>
      <c r="RFQ2469" s="63"/>
      <c r="RFR2469" s="61"/>
      <c r="RFS2469" s="54"/>
      <c r="RFT2469" s="54"/>
      <c r="RFU2469" s="60"/>
      <c r="RFV2469" s="60"/>
      <c r="RFW2469" s="60"/>
      <c r="RFX2469" s="60"/>
      <c r="RFY2469" s="63"/>
      <c r="RFZ2469" s="61"/>
      <c r="RGA2469" s="54"/>
      <c r="RGB2469" s="54"/>
      <c r="RGC2469" s="60"/>
      <c r="RGD2469" s="60"/>
      <c r="RGE2469" s="60"/>
      <c r="RGF2469" s="60"/>
      <c r="RGG2469" s="63"/>
      <c r="RGH2469" s="61"/>
      <c r="RGI2469" s="54"/>
      <c r="RGJ2469" s="54"/>
      <c r="RGK2469" s="60"/>
      <c r="RGL2469" s="60"/>
      <c r="RGM2469" s="60"/>
      <c r="RGN2469" s="60"/>
      <c r="RGO2469" s="63"/>
      <c r="RGP2469" s="61"/>
      <c r="RGQ2469" s="54"/>
      <c r="RGR2469" s="54"/>
      <c r="RGS2469" s="60"/>
      <c r="RGT2469" s="60"/>
      <c r="RGU2469" s="60"/>
      <c r="RGV2469" s="60"/>
      <c r="RGW2469" s="63"/>
      <c r="RGX2469" s="61"/>
      <c r="RGY2469" s="54"/>
      <c r="RGZ2469" s="54"/>
      <c r="RHA2469" s="60"/>
      <c r="RHB2469" s="60"/>
      <c r="RHC2469" s="60"/>
      <c r="RHD2469" s="60"/>
      <c r="RHE2469" s="63"/>
      <c r="RHF2469" s="61"/>
      <c r="RHG2469" s="54"/>
      <c r="RHH2469" s="54"/>
      <c r="RHI2469" s="60"/>
      <c r="RHJ2469" s="60"/>
      <c r="RHK2469" s="60"/>
      <c r="RHL2469" s="60"/>
      <c r="RHM2469" s="63"/>
      <c r="RHN2469" s="61"/>
      <c r="RHO2469" s="54"/>
      <c r="RHP2469" s="54"/>
      <c r="RHQ2469" s="60"/>
      <c r="RHR2469" s="60"/>
      <c r="RHS2469" s="60"/>
      <c r="RHT2469" s="60"/>
      <c r="RHU2469" s="63"/>
      <c r="RHV2469" s="61"/>
      <c r="RHW2469" s="54"/>
      <c r="RHX2469" s="54"/>
      <c r="RHY2469" s="60"/>
      <c r="RHZ2469" s="60"/>
      <c r="RIA2469" s="60"/>
      <c r="RIB2469" s="60"/>
      <c r="RIC2469" s="63"/>
      <c r="RID2469" s="61"/>
      <c r="RIE2469" s="54"/>
      <c r="RIF2469" s="54"/>
      <c r="RIG2469" s="60"/>
      <c r="RIH2469" s="60"/>
      <c r="RII2469" s="60"/>
      <c r="RIJ2469" s="60"/>
      <c r="RIK2469" s="63"/>
      <c r="RIL2469" s="61"/>
      <c r="RIM2469" s="54"/>
      <c r="RIN2469" s="54"/>
      <c r="RIO2469" s="60"/>
      <c r="RIP2469" s="60"/>
      <c r="RIQ2469" s="60"/>
      <c r="RIR2469" s="60"/>
      <c r="RIS2469" s="63"/>
      <c r="RIT2469" s="61"/>
      <c r="RIU2469" s="54"/>
      <c r="RIV2469" s="54"/>
      <c r="RIW2469" s="60"/>
      <c r="RIX2469" s="60"/>
      <c r="RIY2469" s="60"/>
      <c r="RIZ2469" s="60"/>
      <c r="RJA2469" s="63"/>
      <c r="RJB2469" s="61"/>
      <c r="RJC2469" s="54"/>
      <c r="RJD2469" s="54"/>
      <c r="RJE2469" s="60"/>
      <c r="RJF2469" s="60"/>
      <c r="RJG2469" s="60"/>
      <c r="RJH2469" s="60"/>
      <c r="RJI2469" s="63"/>
      <c r="RJJ2469" s="61"/>
      <c r="RJK2469" s="54"/>
      <c r="RJL2469" s="54"/>
      <c r="RJM2469" s="60"/>
      <c r="RJN2469" s="60"/>
      <c r="RJO2469" s="60"/>
      <c r="RJP2469" s="60"/>
      <c r="RJQ2469" s="63"/>
      <c r="RJR2469" s="61"/>
      <c r="RJS2469" s="54"/>
      <c r="RJT2469" s="54"/>
      <c r="RJU2469" s="60"/>
      <c r="RJV2469" s="60"/>
      <c r="RJW2469" s="60"/>
      <c r="RJX2469" s="60"/>
      <c r="RJY2469" s="63"/>
      <c r="RJZ2469" s="61"/>
      <c r="RKA2469" s="54"/>
      <c r="RKB2469" s="54"/>
      <c r="RKC2469" s="60"/>
      <c r="RKD2469" s="60"/>
      <c r="RKE2469" s="60"/>
      <c r="RKF2469" s="60"/>
      <c r="RKG2469" s="63"/>
      <c r="RKH2469" s="61"/>
      <c r="RKI2469" s="54"/>
      <c r="RKJ2469" s="54"/>
      <c r="RKK2469" s="60"/>
      <c r="RKL2469" s="60"/>
      <c r="RKM2469" s="60"/>
      <c r="RKN2469" s="60"/>
      <c r="RKO2469" s="63"/>
      <c r="RKP2469" s="61"/>
      <c r="RKQ2469" s="54"/>
      <c r="RKR2469" s="54"/>
      <c r="RKS2469" s="60"/>
      <c r="RKT2469" s="60"/>
      <c r="RKU2469" s="60"/>
      <c r="RKV2469" s="60"/>
      <c r="RKW2469" s="63"/>
      <c r="RKX2469" s="61"/>
      <c r="RKY2469" s="54"/>
      <c r="RKZ2469" s="54"/>
      <c r="RLA2469" s="60"/>
      <c r="RLB2469" s="60"/>
      <c r="RLC2469" s="60"/>
      <c r="RLD2469" s="60"/>
      <c r="RLE2469" s="63"/>
      <c r="RLF2469" s="61"/>
      <c r="RLG2469" s="54"/>
      <c r="RLH2469" s="54"/>
      <c r="RLI2469" s="60"/>
      <c r="RLJ2469" s="60"/>
      <c r="RLK2469" s="60"/>
      <c r="RLL2469" s="60"/>
      <c r="RLM2469" s="63"/>
      <c r="RLN2469" s="61"/>
      <c r="RLO2469" s="54"/>
      <c r="RLP2469" s="54"/>
      <c r="RLQ2469" s="60"/>
      <c r="RLR2469" s="60"/>
      <c r="RLS2469" s="60"/>
      <c r="RLT2469" s="60"/>
      <c r="RLU2469" s="63"/>
      <c r="RLV2469" s="61"/>
      <c r="RLW2469" s="54"/>
      <c r="RLX2469" s="54"/>
      <c r="RLY2469" s="60"/>
      <c r="RLZ2469" s="60"/>
      <c r="RMA2469" s="60"/>
      <c r="RMB2469" s="60"/>
      <c r="RMC2469" s="63"/>
      <c r="RMD2469" s="61"/>
      <c r="RME2469" s="54"/>
      <c r="RMF2469" s="54"/>
      <c r="RMG2469" s="60"/>
      <c r="RMH2469" s="60"/>
      <c r="RMI2469" s="60"/>
      <c r="RMJ2469" s="60"/>
      <c r="RMK2469" s="63"/>
      <c r="RML2469" s="61"/>
      <c r="RMM2469" s="54"/>
      <c r="RMN2469" s="54"/>
      <c r="RMO2469" s="60"/>
      <c r="RMP2469" s="60"/>
      <c r="RMQ2469" s="60"/>
      <c r="RMR2469" s="60"/>
      <c r="RMS2469" s="63"/>
      <c r="RMT2469" s="61"/>
      <c r="RMU2469" s="54"/>
      <c r="RMV2469" s="54"/>
      <c r="RMW2469" s="60"/>
      <c r="RMX2469" s="60"/>
      <c r="RMY2469" s="60"/>
      <c r="RMZ2469" s="60"/>
      <c r="RNA2469" s="63"/>
      <c r="RNB2469" s="61"/>
      <c r="RNC2469" s="54"/>
      <c r="RND2469" s="54"/>
      <c r="RNE2469" s="60"/>
      <c r="RNF2469" s="60"/>
      <c r="RNG2469" s="60"/>
      <c r="RNH2469" s="60"/>
      <c r="RNI2469" s="63"/>
      <c r="RNJ2469" s="61"/>
      <c r="RNK2469" s="54"/>
      <c r="RNL2469" s="54"/>
      <c r="RNM2469" s="60"/>
      <c r="RNN2469" s="60"/>
      <c r="RNO2469" s="60"/>
      <c r="RNP2469" s="60"/>
      <c r="RNQ2469" s="63"/>
      <c r="RNR2469" s="61"/>
      <c r="RNS2469" s="54"/>
      <c r="RNT2469" s="54"/>
      <c r="RNU2469" s="60"/>
      <c r="RNV2469" s="60"/>
      <c r="RNW2469" s="60"/>
      <c r="RNX2469" s="60"/>
      <c r="RNY2469" s="63"/>
      <c r="RNZ2469" s="61"/>
      <c r="ROA2469" s="54"/>
      <c r="ROB2469" s="54"/>
      <c r="ROC2469" s="60"/>
      <c r="ROD2469" s="60"/>
      <c r="ROE2469" s="60"/>
      <c r="ROF2469" s="60"/>
      <c r="ROG2469" s="63"/>
      <c r="ROH2469" s="61"/>
      <c r="ROI2469" s="54"/>
      <c r="ROJ2469" s="54"/>
      <c r="ROK2469" s="60"/>
      <c r="ROL2469" s="60"/>
      <c r="ROM2469" s="60"/>
      <c r="RON2469" s="60"/>
      <c r="ROO2469" s="63"/>
      <c r="ROP2469" s="61"/>
      <c r="ROQ2469" s="54"/>
      <c r="ROR2469" s="54"/>
      <c r="ROS2469" s="60"/>
      <c r="ROT2469" s="60"/>
      <c r="ROU2469" s="60"/>
      <c r="ROV2469" s="60"/>
      <c r="ROW2469" s="63"/>
      <c r="ROX2469" s="61"/>
      <c r="ROY2469" s="54"/>
      <c r="ROZ2469" s="54"/>
      <c r="RPA2469" s="60"/>
      <c r="RPB2469" s="60"/>
      <c r="RPC2469" s="60"/>
      <c r="RPD2469" s="60"/>
      <c r="RPE2469" s="63"/>
      <c r="RPF2469" s="61"/>
      <c r="RPG2469" s="54"/>
      <c r="RPH2469" s="54"/>
      <c r="RPI2469" s="60"/>
      <c r="RPJ2469" s="60"/>
      <c r="RPK2469" s="60"/>
      <c r="RPL2469" s="60"/>
      <c r="RPM2469" s="63"/>
      <c r="RPN2469" s="61"/>
      <c r="RPO2469" s="54"/>
      <c r="RPP2469" s="54"/>
      <c r="RPQ2469" s="60"/>
      <c r="RPR2469" s="60"/>
      <c r="RPS2469" s="60"/>
      <c r="RPT2469" s="60"/>
      <c r="RPU2469" s="63"/>
      <c r="RPV2469" s="61"/>
      <c r="RPW2469" s="54"/>
      <c r="RPX2469" s="54"/>
      <c r="RPY2469" s="60"/>
      <c r="RPZ2469" s="60"/>
      <c r="RQA2469" s="60"/>
      <c r="RQB2469" s="60"/>
      <c r="RQC2469" s="63"/>
      <c r="RQD2469" s="61"/>
      <c r="RQE2469" s="54"/>
      <c r="RQF2469" s="54"/>
      <c r="RQG2469" s="60"/>
      <c r="RQH2469" s="60"/>
      <c r="RQI2469" s="60"/>
      <c r="RQJ2469" s="60"/>
      <c r="RQK2469" s="63"/>
      <c r="RQL2469" s="61"/>
      <c r="RQM2469" s="54"/>
      <c r="RQN2469" s="54"/>
      <c r="RQO2469" s="60"/>
      <c r="RQP2469" s="60"/>
      <c r="RQQ2469" s="60"/>
      <c r="RQR2469" s="60"/>
      <c r="RQS2469" s="63"/>
      <c r="RQT2469" s="61"/>
      <c r="RQU2469" s="54"/>
      <c r="RQV2469" s="54"/>
      <c r="RQW2469" s="60"/>
      <c r="RQX2469" s="60"/>
      <c r="RQY2469" s="60"/>
      <c r="RQZ2469" s="60"/>
      <c r="RRA2469" s="63"/>
      <c r="RRB2469" s="61"/>
      <c r="RRC2469" s="54"/>
      <c r="RRD2469" s="54"/>
      <c r="RRE2469" s="60"/>
      <c r="RRF2469" s="60"/>
      <c r="RRG2469" s="60"/>
      <c r="RRH2469" s="60"/>
      <c r="RRI2469" s="63"/>
      <c r="RRJ2469" s="61"/>
      <c r="RRK2469" s="54"/>
      <c r="RRL2469" s="54"/>
      <c r="RRM2469" s="60"/>
      <c r="RRN2469" s="60"/>
      <c r="RRO2469" s="60"/>
      <c r="RRP2469" s="60"/>
      <c r="RRQ2469" s="63"/>
      <c r="RRR2469" s="61"/>
      <c r="RRS2469" s="54"/>
      <c r="RRT2469" s="54"/>
      <c r="RRU2469" s="60"/>
      <c r="RRV2469" s="60"/>
      <c r="RRW2469" s="60"/>
      <c r="RRX2469" s="60"/>
      <c r="RRY2469" s="63"/>
      <c r="RRZ2469" s="61"/>
      <c r="RSA2469" s="54"/>
      <c r="RSB2469" s="54"/>
      <c r="RSC2469" s="60"/>
      <c r="RSD2469" s="60"/>
      <c r="RSE2469" s="60"/>
      <c r="RSF2469" s="60"/>
      <c r="RSG2469" s="63"/>
      <c r="RSH2469" s="61"/>
      <c r="RSI2469" s="54"/>
      <c r="RSJ2469" s="54"/>
      <c r="RSK2469" s="60"/>
      <c r="RSL2469" s="60"/>
      <c r="RSM2469" s="60"/>
      <c r="RSN2469" s="60"/>
      <c r="RSO2469" s="63"/>
      <c r="RSP2469" s="61"/>
      <c r="RSQ2469" s="54"/>
      <c r="RSR2469" s="54"/>
      <c r="RSS2469" s="60"/>
      <c r="RST2469" s="60"/>
      <c r="RSU2469" s="60"/>
      <c r="RSV2469" s="60"/>
      <c r="RSW2469" s="63"/>
      <c r="RSX2469" s="61"/>
      <c r="RSY2469" s="54"/>
      <c r="RSZ2469" s="54"/>
      <c r="RTA2469" s="60"/>
      <c r="RTB2469" s="60"/>
      <c r="RTC2469" s="60"/>
      <c r="RTD2469" s="60"/>
      <c r="RTE2469" s="63"/>
      <c r="RTF2469" s="61"/>
      <c r="RTG2469" s="54"/>
      <c r="RTH2469" s="54"/>
      <c r="RTI2469" s="60"/>
      <c r="RTJ2469" s="60"/>
      <c r="RTK2469" s="60"/>
      <c r="RTL2469" s="60"/>
      <c r="RTM2469" s="63"/>
      <c r="RTN2469" s="61"/>
      <c r="RTO2469" s="54"/>
      <c r="RTP2469" s="54"/>
      <c r="RTQ2469" s="60"/>
      <c r="RTR2469" s="60"/>
      <c r="RTS2469" s="60"/>
      <c r="RTT2469" s="60"/>
      <c r="RTU2469" s="63"/>
      <c r="RTV2469" s="61"/>
      <c r="RTW2469" s="54"/>
      <c r="RTX2469" s="54"/>
      <c r="RTY2469" s="60"/>
      <c r="RTZ2469" s="60"/>
      <c r="RUA2469" s="60"/>
      <c r="RUB2469" s="60"/>
      <c r="RUC2469" s="63"/>
      <c r="RUD2469" s="61"/>
      <c r="RUE2469" s="54"/>
      <c r="RUF2469" s="54"/>
      <c r="RUG2469" s="60"/>
      <c r="RUH2469" s="60"/>
      <c r="RUI2469" s="60"/>
      <c r="RUJ2469" s="60"/>
      <c r="RUK2469" s="63"/>
      <c r="RUL2469" s="61"/>
      <c r="RUM2469" s="54"/>
      <c r="RUN2469" s="54"/>
      <c r="RUO2469" s="60"/>
      <c r="RUP2469" s="60"/>
      <c r="RUQ2469" s="60"/>
      <c r="RUR2469" s="60"/>
      <c r="RUS2469" s="63"/>
      <c r="RUT2469" s="61"/>
      <c r="RUU2469" s="54"/>
      <c r="RUV2469" s="54"/>
      <c r="RUW2469" s="60"/>
      <c r="RUX2469" s="60"/>
      <c r="RUY2469" s="60"/>
      <c r="RUZ2469" s="60"/>
      <c r="RVA2469" s="63"/>
      <c r="RVB2469" s="61"/>
      <c r="RVC2469" s="54"/>
      <c r="RVD2469" s="54"/>
      <c r="RVE2469" s="60"/>
      <c r="RVF2469" s="60"/>
      <c r="RVG2469" s="60"/>
      <c r="RVH2469" s="60"/>
      <c r="RVI2469" s="63"/>
      <c r="RVJ2469" s="61"/>
      <c r="RVK2469" s="54"/>
      <c r="RVL2469" s="54"/>
      <c r="RVM2469" s="60"/>
      <c r="RVN2469" s="60"/>
      <c r="RVO2469" s="60"/>
      <c r="RVP2469" s="60"/>
      <c r="RVQ2469" s="63"/>
      <c r="RVR2469" s="61"/>
      <c r="RVS2469" s="54"/>
      <c r="RVT2469" s="54"/>
      <c r="RVU2469" s="60"/>
      <c r="RVV2469" s="60"/>
      <c r="RVW2469" s="60"/>
      <c r="RVX2469" s="60"/>
      <c r="RVY2469" s="63"/>
      <c r="RVZ2469" s="61"/>
      <c r="RWA2469" s="54"/>
      <c r="RWB2469" s="54"/>
      <c r="RWC2469" s="60"/>
      <c r="RWD2469" s="60"/>
      <c r="RWE2469" s="60"/>
      <c r="RWF2469" s="60"/>
      <c r="RWG2469" s="63"/>
      <c r="RWH2469" s="61"/>
      <c r="RWI2469" s="54"/>
      <c r="RWJ2469" s="54"/>
      <c r="RWK2469" s="60"/>
      <c r="RWL2469" s="60"/>
      <c r="RWM2469" s="60"/>
      <c r="RWN2469" s="60"/>
      <c r="RWO2469" s="63"/>
      <c r="RWP2469" s="61"/>
      <c r="RWQ2469" s="54"/>
      <c r="RWR2469" s="54"/>
      <c r="RWS2469" s="60"/>
      <c r="RWT2469" s="60"/>
      <c r="RWU2469" s="60"/>
      <c r="RWV2469" s="60"/>
      <c r="RWW2469" s="63"/>
      <c r="RWX2469" s="61"/>
      <c r="RWY2469" s="54"/>
      <c r="RWZ2469" s="54"/>
      <c r="RXA2469" s="60"/>
      <c r="RXB2469" s="60"/>
      <c r="RXC2469" s="60"/>
      <c r="RXD2469" s="60"/>
      <c r="RXE2469" s="63"/>
      <c r="RXF2469" s="61"/>
      <c r="RXG2469" s="54"/>
      <c r="RXH2469" s="54"/>
      <c r="RXI2469" s="60"/>
      <c r="RXJ2469" s="60"/>
      <c r="RXK2469" s="60"/>
      <c r="RXL2469" s="60"/>
      <c r="RXM2469" s="63"/>
      <c r="RXN2469" s="61"/>
      <c r="RXO2469" s="54"/>
      <c r="RXP2469" s="54"/>
      <c r="RXQ2469" s="60"/>
      <c r="RXR2469" s="60"/>
      <c r="RXS2469" s="60"/>
      <c r="RXT2469" s="60"/>
      <c r="RXU2469" s="63"/>
      <c r="RXV2469" s="61"/>
      <c r="RXW2469" s="54"/>
      <c r="RXX2469" s="54"/>
      <c r="RXY2469" s="60"/>
      <c r="RXZ2469" s="60"/>
      <c r="RYA2469" s="60"/>
      <c r="RYB2469" s="60"/>
      <c r="RYC2469" s="63"/>
      <c r="RYD2469" s="61"/>
      <c r="RYE2469" s="54"/>
      <c r="RYF2469" s="54"/>
      <c r="RYG2469" s="60"/>
      <c r="RYH2469" s="60"/>
      <c r="RYI2469" s="60"/>
      <c r="RYJ2469" s="60"/>
      <c r="RYK2469" s="63"/>
      <c r="RYL2469" s="61"/>
      <c r="RYM2469" s="54"/>
      <c r="RYN2469" s="54"/>
      <c r="RYO2469" s="60"/>
      <c r="RYP2469" s="60"/>
      <c r="RYQ2469" s="60"/>
      <c r="RYR2469" s="60"/>
      <c r="RYS2469" s="63"/>
      <c r="RYT2469" s="61"/>
      <c r="RYU2469" s="54"/>
      <c r="RYV2469" s="54"/>
      <c r="RYW2469" s="60"/>
      <c r="RYX2469" s="60"/>
      <c r="RYY2469" s="60"/>
      <c r="RYZ2469" s="60"/>
      <c r="RZA2469" s="63"/>
      <c r="RZB2469" s="61"/>
      <c r="RZC2469" s="54"/>
      <c r="RZD2469" s="54"/>
      <c r="RZE2469" s="60"/>
      <c r="RZF2469" s="60"/>
      <c r="RZG2469" s="60"/>
      <c r="RZH2469" s="60"/>
      <c r="RZI2469" s="63"/>
      <c r="RZJ2469" s="61"/>
      <c r="RZK2469" s="54"/>
      <c r="RZL2469" s="54"/>
      <c r="RZM2469" s="60"/>
      <c r="RZN2469" s="60"/>
      <c r="RZO2469" s="60"/>
      <c r="RZP2469" s="60"/>
      <c r="RZQ2469" s="63"/>
      <c r="RZR2469" s="61"/>
      <c r="RZS2469" s="54"/>
      <c r="RZT2469" s="54"/>
      <c r="RZU2469" s="60"/>
      <c r="RZV2469" s="60"/>
      <c r="RZW2469" s="60"/>
      <c r="RZX2469" s="60"/>
      <c r="RZY2469" s="63"/>
      <c r="RZZ2469" s="61"/>
      <c r="SAA2469" s="54"/>
      <c r="SAB2469" s="54"/>
      <c r="SAC2469" s="60"/>
      <c r="SAD2469" s="60"/>
      <c r="SAE2469" s="60"/>
      <c r="SAF2469" s="60"/>
      <c r="SAG2469" s="63"/>
      <c r="SAH2469" s="61"/>
      <c r="SAI2469" s="54"/>
      <c r="SAJ2469" s="54"/>
      <c r="SAK2469" s="60"/>
      <c r="SAL2469" s="60"/>
      <c r="SAM2469" s="60"/>
      <c r="SAN2469" s="60"/>
      <c r="SAO2469" s="63"/>
      <c r="SAP2469" s="61"/>
      <c r="SAQ2469" s="54"/>
      <c r="SAR2469" s="54"/>
      <c r="SAS2469" s="60"/>
      <c r="SAT2469" s="60"/>
      <c r="SAU2469" s="60"/>
      <c r="SAV2469" s="60"/>
      <c r="SAW2469" s="63"/>
      <c r="SAX2469" s="61"/>
      <c r="SAY2469" s="54"/>
      <c r="SAZ2469" s="54"/>
      <c r="SBA2469" s="60"/>
      <c r="SBB2469" s="60"/>
      <c r="SBC2469" s="60"/>
      <c r="SBD2469" s="60"/>
      <c r="SBE2469" s="63"/>
      <c r="SBF2469" s="61"/>
      <c r="SBG2469" s="54"/>
      <c r="SBH2469" s="54"/>
      <c r="SBI2469" s="60"/>
      <c r="SBJ2469" s="60"/>
      <c r="SBK2469" s="60"/>
      <c r="SBL2469" s="60"/>
      <c r="SBM2469" s="63"/>
      <c r="SBN2469" s="61"/>
      <c r="SBO2469" s="54"/>
      <c r="SBP2469" s="54"/>
      <c r="SBQ2469" s="60"/>
      <c r="SBR2469" s="60"/>
      <c r="SBS2469" s="60"/>
      <c r="SBT2469" s="60"/>
      <c r="SBU2469" s="63"/>
      <c r="SBV2469" s="61"/>
      <c r="SBW2469" s="54"/>
      <c r="SBX2469" s="54"/>
      <c r="SBY2469" s="60"/>
      <c r="SBZ2469" s="60"/>
      <c r="SCA2469" s="60"/>
      <c r="SCB2469" s="60"/>
      <c r="SCC2469" s="63"/>
      <c r="SCD2469" s="61"/>
      <c r="SCE2469" s="54"/>
      <c r="SCF2469" s="54"/>
      <c r="SCG2469" s="60"/>
      <c r="SCH2469" s="60"/>
      <c r="SCI2469" s="60"/>
      <c r="SCJ2469" s="60"/>
      <c r="SCK2469" s="63"/>
      <c r="SCL2469" s="61"/>
      <c r="SCM2469" s="54"/>
      <c r="SCN2469" s="54"/>
      <c r="SCO2469" s="60"/>
      <c r="SCP2469" s="60"/>
      <c r="SCQ2469" s="60"/>
      <c r="SCR2469" s="60"/>
      <c r="SCS2469" s="63"/>
      <c r="SCT2469" s="61"/>
      <c r="SCU2469" s="54"/>
      <c r="SCV2469" s="54"/>
      <c r="SCW2469" s="60"/>
      <c r="SCX2469" s="60"/>
      <c r="SCY2469" s="60"/>
      <c r="SCZ2469" s="60"/>
      <c r="SDA2469" s="63"/>
      <c r="SDB2469" s="61"/>
      <c r="SDC2469" s="54"/>
      <c r="SDD2469" s="54"/>
      <c r="SDE2469" s="60"/>
      <c r="SDF2469" s="60"/>
      <c r="SDG2469" s="60"/>
      <c r="SDH2469" s="60"/>
      <c r="SDI2469" s="63"/>
      <c r="SDJ2469" s="61"/>
      <c r="SDK2469" s="54"/>
      <c r="SDL2469" s="54"/>
      <c r="SDM2469" s="60"/>
      <c r="SDN2469" s="60"/>
      <c r="SDO2469" s="60"/>
      <c r="SDP2469" s="60"/>
      <c r="SDQ2469" s="63"/>
      <c r="SDR2469" s="61"/>
      <c r="SDS2469" s="54"/>
      <c r="SDT2469" s="54"/>
      <c r="SDU2469" s="60"/>
      <c r="SDV2469" s="60"/>
      <c r="SDW2469" s="60"/>
      <c r="SDX2469" s="60"/>
      <c r="SDY2469" s="63"/>
      <c r="SDZ2469" s="61"/>
      <c r="SEA2469" s="54"/>
      <c r="SEB2469" s="54"/>
      <c r="SEC2469" s="60"/>
      <c r="SED2469" s="60"/>
      <c r="SEE2469" s="60"/>
      <c r="SEF2469" s="60"/>
      <c r="SEG2469" s="63"/>
      <c r="SEH2469" s="61"/>
      <c r="SEI2469" s="54"/>
      <c r="SEJ2469" s="54"/>
      <c r="SEK2469" s="60"/>
      <c r="SEL2469" s="60"/>
      <c r="SEM2469" s="60"/>
      <c r="SEN2469" s="60"/>
      <c r="SEO2469" s="63"/>
      <c r="SEP2469" s="61"/>
      <c r="SEQ2469" s="54"/>
      <c r="SER2469" s="54"/>
      <c r="SES2469" s="60"/>
      <c r="SET2469" s="60"/>
      <c r="SEU2469" s="60"/>
      <c r="SEV2469" s="60"/>
      <c r="SEW2469" s="63"/>
      <c r="SEX2469" s="61"/>
      <c r="SEY2469" s="54"/>
      <c r="SEZ2469" s="54"/>
      <c r="SFA2469" s="60"/>
      <c r="SFB2469" s="60"/>
      <c r="SFC2469" s="60"/>
      <c r="SFD2469" s="60"/>
      <c r="SFE2469" s="63"/>
      <c r="SFF2469" s="61"/>
      <c r="SFG2469" s="54"/>
      <c r="SFH2469" s="54"/>
      <c r="SFI2469" s="60"/>
      <c r="SFJ2469" s="60"/>
      <c r="SFK2469" s="60"/>
      <c r="SFL2469" s="60"/>
      <c r="SFM2469" s="63"/>
      <c r="SFN2469" s="61"/>
      <c r="SFO2469" s="54"/>
      <c r="SFP2469" s="54"/>
      <c r="SFQ2469" s="60"/>
      <c r="SFR2469" s="60"/>
      <c r="SFS2469" s="60"/>
      <c r="SFT2469" s="60"/>
      <c r="SFU2469" s="63"/>
      <c r="SFV2469" s="61"/>
      <c r="SFW2469" s="54"/>
      <c r="SFX2469" s="54"/>
      <c r="SFY2469" s="60"/>
      <c r="SFZ2469" s="60"/>
      <c r="SGA2469" s="60"/>
      <c r="SGB2469" s="60"/>
      <c r="SGC2469" s="63"/>
      <c r="SGD2469" s="61"/>
      <c r="SGE2469" s="54"/>
      <c r="SGF2469" s="54"/>
      <c r="SGG2469" s="60"/>
      <c r="SGH2469" s="60"/>
      <c r="SGI2469" s="60"/>
      <c r="SGJ2469" s="60"/>
      <c r="SGK2469" s="63"/>
      <c r="SGL2469" s="61"/>
      <c r="SGM2469" s="54"/>
      <c r="SGN2469" s="54"/>
      <c r="SGO2469" s="60"/>
      <c r="SGP2469" s="60"/>
      <c r="SGQ2469" s="60"/>
      <c r="SGR2469" s="60"/>
      <c r="SGS2469" s="63"/>
      <c r="SGT2469" s="61"/>
      <c r="SGU2469" s="54"/>
      <c r="SGV2469" s="54"/>
      <c r="SGW2469" s="60"/>
      <c r="SGX2469" s="60"/>
      <c r="SGY2469" s="60"/>
      <c r="SGZ2469" s="60"/>
      <c r="SHA2469" s="63"/>
      <c r="SHB2469" s="61"/>
      <c r="SHC2469" s="54"/>
      <c r="SHD2469" s="54"/>
      <c r="SHE2469" s="60"/>
      <c r="SHF2469" s="60"/>
      <c r="SHG2469" s="60"/>
      <c r="SHH2469" s="60"/>
      <c r="SHI2469" s="63"/>
      <c r="SHJ2469" s="61"/>
      <c r="SHK2469" s="54"/>
      <c r="SHL2469" s="54"/>
      <c r="SHM2469" s="60"/>
      <c r="SHN2469" s="60"/>
      <c r="SHO2469" s="60"/>
      <c r="SHP2469" s="60"/>
      <c r="SHQ2469" s="63"/>
      <c r="SHR2469" s="61"/>
      <c r="SHS2469" s="54"/>
      <c r="SHT2469" s="54"/>
      <c r="SHU2469" s="60"/>
      <c r="SHV2469" s="60"/>
      <c r="SHW2469" s="60"/>
      <c r="SHX2469" s="60"/>
      <c r="SHY2469" s="63"/>
      <c r="SHZ2469" s="61"/>
      <c r="SIA2469" s="54"/>
      <c r="SIB2469" s="54"/>
      <c r="SIC2469" s="60"/>
      <c r="SID2469" s="60"/>
      <c r="SIE2469" s="60"/>
      <c r="SIF2469" s="60"/>
      <c r="SIG2469" s="63"/>
      <c r="SIH2469" s="61"/>
      <c r="SII2469" s="54"/>
      <c r="SIJ2469" s="54"/>
      <c r="SIK2469" s="60"/>
      <c r="SIL2469" s="60"/>
      <c r="SIM2469" s="60"/>
      <c r="SIN2469" s="60"/>
      <c r="SIO2469" s="63"/>
      <c r="SIP2469" s="61"/>
      <c r="SIQ2469" s="54"/>
      <c r="SIR2469" s="54"/>
      <c r="SIS2469" s="60"/>
      <c r="SIT2469" s="60"/>
      <c r="SIU2469" s="60"/>
      <c r="SIV2469" s="60"/>
      <c r="SIW2469" s="63"/>
      <c r="SIX2469" s="61"/>
      <c r="SIY2469" s="54"/>
      <c r="SIZ2469" s="54"/>
      <c r="SJA2469" s="60"/>
      <c r="SJB2469" s="60"/>
      <c r="SJC2469" s="60"/>
      <c r="SJD2469" s="60"/>
      <c r="SJE2469" s="63"/>
      <c r="SJF2469" s="61"/>
      <c r="SJG2469" s="54"/>
      <c r="SJH2469" s="54"/>
      <c r="SJI2469" s="60"/>
      <c r="SJJ2469" s="60"/>
      <c r="SJK2469" s="60"/>
      <c r="SJL2469" s="60"/>
      <c r="SJM2469" s="63"/>
      <c r="SJN2469" s="61"/>
      <c r="SJO2469" s="54"/>
      <c r="SJP2469" s="54"/>
      <c r="SJQ2469" s="60"/>
      <c r="SJR2469" s="60"/>
      <c r="SJS2469" s="60"/>
      <c r="SJT2469" s="60"/>
      <c r="SJU2469" s="63"/>
      <c r="SJV2469" s="61"/>
      <c r="SJW2469" s="54"/>
      <c r="SJX2469" s="54"/>
      <c r="SJY2469" s="60"/>
      <c r="SJZ2469" s="60"/>
      <c r="SKA2469" s="60"/>
      <c r="SKB2469" s="60"/>
      <c r="SKC2469" s="63"/>
      <c r="SKD2469" s="61"/>
      <c r="SKE2469" s="54"/>
      <c r="SKF2469" s="54"/>
      <c r="SKG2469" s="60"/>
      <c r="SKH2469" s="60"/>
      <c r="SKI2469" s="60"/>
      <c r="SKJ2469" s="60"/>
      <c r="SKK2469" s="63"/>
      <c r="SKL2469" s="61"/>
      <c r="SKM2469" s="54"/>
      <c r="SKN2469" s="54"/>
      <c r="SKO2469" s="60"/>
      <c r="SKP2469" s="60"/>
      <c r="SKQ2469" s="60"/>
      <c r="SKR2469" s="60"/>
      <c r="SKS2469" s="63"/>
      <c r="SKT2469" s="61"/>
      <c r="SKU2469" s="54"/>
      <c r="SKV2469" s="54"/>
      <c r="SKW2469" s="60"/>
      <c r="SKX2469" s="60"/>
      <c r="SKY2469" s="60"/>
      <c r="SKZ2469" s="60"/>
      <c r="SLA2469" s="63"/>
      <c r="SLB2469" s="61"/>
      <c r="SLC2469" s="54"/>
      <c r="SLD2469" s="54"/>
      <c r="SLE2469" s="60"/>
      <c r="SLF2469" s="60"/>
      <c r="SLG2469" s="60"/>
      <c r="SLH2469" s="60"/>
      <c r="SLI2469" s="63"/>
      <c r="SLJ2469" s="61"/>
      <c r="SLK2469" s="54"/>
      <c r="SLL2469" s="54"/>
      <c r="SLM2469" s="60"/>
      <c r="SLN2469" s="60"/>
      <c r="SLO2469" s="60"/>
      <c r="SLP2469" s="60"/>
      <c r="SLQ2469" s="63"/>
      <c r="SLR2469" s="61"/>
      <c r="SLS2469" s="54"/>
      <c r="SLT2469" s="54"/>
      <c r="SLU2469" s="60"/>
      <c r="SLV2469" s="60"/>
      <c r="SLW2469" s="60"/>
      <c r="SLX2469" s="60"/>
      <c r="SLY2469" s="63"/>
      <c r="SLZ2469" s="61"/>
      <c r="SMA2469" s="54"/>
      <c r="SMB2469" s="54"/>
      <c r="SMC2469" s="60"/>
      <c r="SMD2469" s="60"/>
      <c r="SME2469" s="60"/>
      <c r="SMF2469" s="60"/>
      <c r="SMG2469" s="63"/>
      <c r="SMH2469" s="61"/>
      <c r="SMI2469" s="54"/>
      <c r="SMJ2469" s="54"/>
      <c r="SMK2469" s="60"/>
      <c r="SML2469" s="60"/>
      <c r="SMM2469" s="60"/>
      <c r="SMN2469" s="60"/>
      <c r="SMO2469" s="63"/>
      <c r="SMP2469" s="61"/>
      <c r="SMQ2469" s="54"/>
      <c r="SMR2469" s="54"/>
      <c r="SMS2469" s="60"/>
      <c r="SMT2469" s="60"/>
      <c r="SMU2469" s="60"/>
      <c r="SMV2469" s="60"/>
      <c r="SMW2469" s="63"/>
      <c r="SMX2469" s="61"/>
      <c r="SMY2469" s="54"/>
      <c r="SMZ2469" s="54"/>
      <c r="SNA2469" s="60"/>
      <c r="SNB2469" s="60"/>
      <c r="SNC2469" s="60"/>
      <c r="SND2469" s="60"/>
      <c r="SNE2469" s="63"/>
      <c r="SNF2469" s="61"/>
      <c r="SNG2469" s="54"/>
      <c r="SNH2469" s="54"/>
      <c r="SNI2469" s="60"/>
      <c r="SNJ2469" s="60"/>
      <c r="SNK2469" s="60"/>
      <c r="SNL2469" s="60"/>
      <c r="SNM2469" s="63"/>
      <c r="SNN2469" s="61"/>
      <c r="SNO2469" s="54"/>
      <c r="SNP2469" s="54"/>
      <c r="SNQ2469" s="60"/>
      <c r="SNR2469" s="60"/>
      <c r="SNS2469" s="60"/>
      <c r="SNT2469" s="60"/>
      <c r="SNU2469" s="63"/>
      <c r="SNV2469" s="61"/>
      <c r="SNW2469" s="54"/>
      <c r="SNX2469" s="54"/>
      <c r="SNY2469" s="60"/>
      <c r="SNZ2469" s="60"/>
      <c r="SOA2469" s="60"/>
      <c r="SOB2469" s="60"/>
      <c r="SOC2469" s="63"/>
      <c r="SOD2469" s="61"/>
      <c r="SOE2469" s="54"/>
      <c r="SOF2469" s="54"/>
      <c r="SOG2469" s="60"/>
      <c r="SOH2469" s="60"/>
      <c r="SOI2469" s="60"/>
      <c r="SOJ2469" s="60"/>
      <c r="SOK2469" s="63"/>
      <c r="SOL2469" s="61"/>
      <c r="SOM2469" s="54"/>
      <c r="SON2469" s="54"/>
      <c r="SOO2469" s="60"/>
      <c r="SOP2469" s="60"/>
      <c r="SOQ2469" s="60"/>
      <c r="SOR2469" s="60"/>
      <c r="SOS2469" s="63"/>
      <c r="SOT2469" s="61"/>
      <c r="SOU2469" s="54"/>
      <c r="SOV2469" s="54"/>
      <c r="SOW2469" s="60"/>
      <c r="SOX2469" s="60"/>
      <c r="SOY2469" s="60"/>
      <c r="SOZ2469" s="60"/>
      <c r="SPA2469" s="63"/>
      <c r="SPB2469" s="61"/>
      <c r="SPC2469" s="54"/>
      <c r="SPD2469" s="54"/>
      <c r="SPE2469" s="60"/>
      <c r="SPF2469" s="60"/>
      <c r="SPG2469" s="60"/>
      <c r="SPH2469" s="60"/>
      <c r="SPI2469" s="63"/>
      <c r="SPJ2469" s="61"/>
      <c r="SPK2469" s="54"/>
      <c r="SPL2469" s="54"/>
      <c r="SPM2469" s="60"/>
      <c r="SPN2469" s="60"/>
      <c r="SPO2469" s="60"/>
      <c r="SPP2469" s="60"/>
      <c r="SPQ2469" s="63"/>
      <c r="SPR2469" s="61"/>
      <c r="SPS2469" s="54"/>
      <c r="SPT2469" s="54"/>
      <c r="SPU2469" s="60"/>
      <c r="SPV2469" s="60"/>
      <c r="SPW2469" s="60"/>
      <c r="SPX2469" s="60"/>
      <c r="SPY2469" s="63"/>
      <c r="SPZ2469" s="61"/>
      <c r="SQA2469" s="54"/>
      <c r="SQB2469" s="54"/>
      <c r="SQC2469" s="60"/>
      <c r="SQD2469" s="60"/>
      <c r="SQE2469" s="60"/>
      <c r="SQF2469" s="60"/>
      <c r="SQG2469" s="63"/>
      <c r="SQH2469" s="61"/>
      <c r="SQI2469" s="54"/>
      <c r="SQJ2469" s="54"/>
      <c r="SQK2469" s="60"/>
      <c r="SQL2469" s="60"/>
      <c r="SQM2469" s="60"/>
      <c r="SQN2469" s="60"/>
      <c r="SQO2469" s="63"/>
      <c r="SQP2469" s="61"/>
      <c r="SQQ2469" s="54"/>
      <c r="SQR2469" s="54"/>
      <c r="SQS2469" s="60"/>
      <c r="SQT2469" s="60"/>
      <c r="SQU2469" s="60"/>
      <c r="SQV2469" s="60"/>
      <c r="SQW2469" s="63"/>
      <c r="SQX2469" s="61"/>
      <c r="SQY2469" s="54"/>
      <c r="SQZ2469" s="54"/>
      <c r="SRA2469" s="60"/>
      <c r="SRB2469" s="60"/>
      <c r="SRC2469" s="60"/>
      <c r="SRD2469" s="60"/>
      <c r="SRE2469" s="63"/>
      <c r="SRF2469" s="61"/>
      <c r="SRG2469" s="54"/>
      <c r="SRH2469" s="54"/>
      <c r="SRI2469" s="60"/>
      <c r="SRJ2469" s="60"/>
      <c r="SRK2469" s="60"/>
      <c r="SRL2469" s="60"/>
      <c r="SRM2469" s="63"/>
      <c r="SRN2469" s="61"/>
      <c r="SRO2469" s="54"/>
      <c r="SRP2469" s="54"/>
      <c r="SRQ2469" s="60"/>
      <c r="SRR2469" s="60"/>
      <c r="SRS2469" s="60"/>
      <c r="SRT2469" s="60"/>
      <c r="SRU2469" s="63"/>
      <c r="SRV2469" s="61"/>
      <c r="SRW2469" s="54"/>
      <c r="SRX2469" s="54"/>
      <c r="SRY2469" s="60"/>
      <c r="SRZ2469" s="60"/>
      <c r="SSA2469" s="60"/>
      <c r="SSB2469" s="60"/>
      <c r="SSC2469" s="63"/>
      <c r="SSD2469" s="61"/>
      <c r="SSE2469" s="54"/>
      <c r="SSF2469" s="54"/>
      <c r="SSG2469" s="60"/>
      <c r="SSH2469" s="60"/>
      <c r="SSI2469" s="60"/>
      <c r="SSJ2469" s="60"/>
      <c r="SSK2469" s="63"/>
      <c r="SSL2469" s="61"/>
      <c r="SSM2469" s="54"/>
      <c r="SSN2469" s="54"/>
      <c r="SSO2469" s="60"/>
      <c r="SSP2469" s="60"/>
      <c r="SSQ2469" s="60"/>
      <c r="SSR2469" s="60"/>
      <c r="SSS2469" s="63"/>
      <c r="SST2469" s="61"/>
      <c r="SSU2469" s="54"/>
      <c r="SSV2469" s="54"/>
      <c r="SSW2469" s="60"/>
      <c r="SSX2469" s="60"/>
      <c r="SSY2469" s="60"/>
      <c r="SSZ2469" s="60"/>
      <c r="STA2469" s="63"/>
      <c r="STB2469" s="61"/>
      <c r="STC2469" s="54"/>
      <c r="STD2469" s="54"/>
      <c r="STE2469" s="60"/>
      <c r="STF2469" s="60"/>
      <c r="STG2469" s="60"/>
      <c r="STH2469" s="60"/>
      <c r="STI2469" s="63"/>
      <c r="STJ2469" s="61"/>
      <c r="STK2469" s="54"/>
      <c r="STL2469" s="54"/>
      <c r="STM2469" s="60"/>
      <c r="STN2469" s="60"/>
      <c r="STO2469" s="60"/>
      <c r="STP2469" s="60"/>
      <c r="STQ2469" s="63"/>
      <c r="STR2469" s="61"/>
      <c r="STS2469" s="54"/>
      <c r="STT2469" s="54"/>
      <c r="STU2469" s="60"/>
      <c r="STV2469" s="60"/>
      <c r="STW2469" s="60"/>
      <c r="STX2469" s="60"/>
      <c r="STY2469" s="63"/>
      <c r="STZ2469" s="61"/>
      <c r="SUA2469" s="54"/>
      <c r="SUB2469" s="54"/>
      <c r="SUC2469" s="60"/>
      <c r="SUD2469" s="60"/>
      <c r="SUE2469" s="60"/>
      <c r="SUF2469" s="60"/>
      <c r="SUG2469" s="63"/>
      <c r="SUH2469" s="61"/>
      <c r="SUI2469" s="54"/>
      <c r="SUJ2469" s="54"/>
      <c r="SUK2469" s="60"/>
      <c r="SUL2469" s="60"/>
      <c r="SUM2469" s="60"/>
      <c r="SUN2469" s="60"/>
      <c r="SUO2469" s="63"/>
      <c r="SUP2469" s="61"/>
      <c r="SUQ2469" s="54"/>
      <c r="SUR2469" s="54"/>
      <c r="SUS2469" s="60"/>
      <c r="SUT2469" s="60"/>
      <c r="SUU2469" s="60"/>
      <c r="SUV2469" s="60"/>
      <c r="SUW2469" s="63"/>
      <c r="SUX2469" s="61"/>
      <c r="SUY2469" s="54"/>
      <c r="SUZ2469" s="54"/>
      <c r="SVA2469" s="60"/>
      <c r="SVB2469" s="60"/>
      <c r="SVC2469" s="60"/>
      <c r="SVD2469" s="60"/>
      <c r="SVE2469" s="63"/>
      <c r="SVF2469" s="61"/>
      <c r="SVG2469" s="54"/>
      <c r="SVH2469" s="54"/>
      <c r="SVI2469" s="60"/>
      <c r="SVJ2469" s="60"/>
      <c r="SVK2469" s="60"/>
      <c r="SVL2469" s="60"/>
      <c r="SVM2469" s="63"/>
      <c r="SVN2469" s="61"/>
      <c r="SVO2469" s="54"/>
      <c r="SVP2469" s="54"/>
      <c r="SVQ2469" s="60"/>
      <c r="SVR2469" s="60"/>
      <c r="SVS2469" s="60"/>
      <c r="SVT2469" s="60"/>
      <c r="SVU2469" s="63"/>
      <c r="SVV2469" s="61"/>
      <c r="SVW2469" s="54"/>
      <c r="SVX2469" s="54"/>
      <c r="SVY2469" s="60"/>
      <c r="SVZ2469" s="60"/>
      <c r="SWA2469" s="60"/>
      <c r="SWB2469" s="60"/>
      <c r="SWC2469" s="63"/>
      <c r="SWD2469" s="61"/>
      <c r="SWE2469" s="54"/>
      <c r="SWF2469" s="54"/>
      <c r="SWG2469" s="60"/>
      <c r="SWH2469" s="60"/>
      <c r="SWI2469" s="60"/>
      <c r="SWJ2469" s="60"/>
      <c r="SWK2469" s="63"/>
      <c r="SWL2469" s="61"/>
      <c r="SWM2469" s="54"/>
      <c r="SWN2469" s="54"/>
      <c r="SWO2469" s="60"/>
      <c r="SWP2469" s="60"/>
      <c r="SWQ2469" s="60"/>
      <c r="SWR2469" s="60"/>
      <c r="SWS2469" s="63"/>
      <c r="SWT2469" s="61"/>
      <c r="SWU2469" s="54"/>
      <c r="SWV2469" s="54"/>
      <c r="SWW2469" s="60"/>
      <c r="SWX2469" s="60"/>
      <c r="SWY2469" s="60"/>
      <c r="SWZ2469" s="60"/>
      <c r="SXA2469" s="63"/>
      <c r="SXB2469" s="61"/>
      <c r="SXC2469" s="54"/>
      <c r="SXD2469" s="54"/>
      <c r="SXE2469" s="60"/>
      <c r="SXF2469" s="60"/>
      <c r="SXG2469" s="60"/>
      <c r="SXH2469" s="60"/>
      <c r="SXI2469" s="63"/>
      <c r="SXJ2469" s="61"/>
      <c r="SXK2469" s="54"/>
      <c r="SXL2469" s="54"/>
      <c r="SXM2469" s="60"/>
      <c r="SXN2469" s="60"/>
      <c r="SXO2469" s="60"/>
      <c r="SXP2469" s="60"/>
      <c r="SXQ2469" s="63"/>
      <c r="SXR2469" s="61"/>
      <c r="SXS2469" s="54"/>
      <c r="SXT2469" s="54"/>
      <c r="SXU2469" s="60"/>
      <c r="SXV2469" s="60"/>
      <c r="SXW2469" s="60"/>
      <c r="SXX2469" s="60"/>
      <c r="SXY2469" s="63"/>
      <c r="SXZ2469" s="61"/>
      <c r="SYA2469" s="54"/>
      <c r="SYB2469" s="54"/>
      <c r="SYC2469" s="60"/>
      <c r="SYD2469" s="60"/>
      <c r="SYE2469" s="60"/>
      <c r="SYF2469" s="60"/>
      <c r="SYG2469" s="63"/>
      <c r="SYH2469" s="61"/>
      <c r="SYI2469" s="54"/>
      <c r="SYJ2469" s="54"/>
      <c r="SYK2469" s="60"/>
      <c r="SYL2469" s="60"/>
      <c r="SYM2469" s="60"/>
      <c r="SYN2469" s="60"/>
      <c r="SYO2469" s="63"/>
      <c r="SYP2469" s="61"/>
      <c r="SYQ2469" s="54"/>
      <c r="SYR2469" s="54"/>
      <c r="SYS2469" s="60"/>
      <c r="SYT2469" s="60"/>
      <c r="SYU2469" s="60"/>
      <c r="SYV2469" s="60"/>
      <c r="SYW2469" s="63"/>
      <c r="SYX2469" s="61"/>
      <c r="SYY2469" s="54"/>
      <c r="SYZ2469" s="54"/>
      <c r="SZA2469" s="60"/>
      <c r="SZB2469" s="60"/>
      <c r="SZC2469" s="60"/>
      <c r="SZD2469" s="60"/>
      <c r="SZE2469" s="63"/>
      <c r="SZF2469" s="61"/>
      <c r="SZG2469" s="54"/>
      <c r="SZH2469" s="54"/>
      <c r="SZI2469" s="60"/>
      <c r="SZJ2469" s="60"/>
      <c r="SZK2469" s="60"/>
      <c r="SZL2469" s="60"/>
      <c r="SZM2469" s="63"/>
      <c r="SZN2469" s="61"/>
      <c r="SZO2469" s="54"/>
      <c r="SZP2469" s="54"/>
      <c r="SZQ2469" s="60"/>
      <c r="SZR2469" s="60"/>
      <c r="SZS2469" s="60"/>
      <c r="SZT2469" s="60"/>
      <c r="SZU2469" s="63"/>
      <c r="SZV2469" s="61"/>
      <c r="SZW2469" s="54"/>
      <c r="SZX2469" s="54"/>
      <c r="SZY2469" s="60"/>
      <c r="SZZ2469" s="60"/>
      <c r="TAA2469" s="60"/>
      <c r="TAB2469" s="60"/>
      <c r="TAC2469" s="63"/>
      <c r="TAD2469" s="61"/>
      <c r="TAE2469" s="54"/>
      <c r="TAF2469" s="54"/>
      <c r="TAG2469" s="60"/>
      <c r="TAH2469" s="60"/>
      <c r="TAI2469" s="60"/>
      <c r="TAJ2469" s="60"/>
      <c r="TAK2469" s="63"/>
      <c r="TAL2469" s="61"/>
      <c r="TAM2469" s="54"/>
      <c r="TAN2469" s="54"/>
      <c r="TAO2469" s="60"/>
      <c r="TAP2469" s="60"/>
      <c r="TAQ2469" s="60"/>
      <c r="TAR2469" s="60"/>
      <c r="TAS2469" s="63"/>
      <c r="TAT2469" s="61"/>
      <c r="TAU2469" s="54"/>
      <c r="TAV2469" s="54"/>
      <c r="TAW2469" s="60"/>
      <c r="TAX2469" s="60"/>
      <c r="TAY2469" s="60"/>
      <c r="TAZ2469" s="60"/>
      <c r="TBA2469" s="63"/>
      <c r="TBB2469" s="61"/>
      <c r="TBC2469" s="54"/>
      <c r="TBD2469" s="54"/>
      <c r="TBE2469" s="60"/>
      <c r="TBF2469" s="60"/>
      <c r="TBG2469" s="60"/>
      <c r="TBH2469" s="60"/>
      <c r="TBI2469" s="63"/>
      <c r="TBJ2469" s="61"/>
      <c r="TBK2469" s="54"/>
      <c r="TBL2469" s="54"/>
      <c r="TBM2469" s="60"/>
      <c r="TBN2469" s="60"/>
      <c r="TBO2469" s="60"/>
      <c r="TBP2469" s="60"/>
      <c r="TBQ2469" s="63"/>
      <c r="TBR2469" s="61"/>
      <c r="TBS2469" s="54"/>
      <c r="TBT2469" s="54"/>
      <c r="TBU2469" s="60"/>
      <c r="TBV2469" s="60"/>
      <c r="TBW2469" s="60"/>
      <c r="TBX2469" s="60"/>
      <c r="TBY2469" s="63"/>
      <c r="TBZ2469" s="61"/>
      <c r="TCA2469" s="54"/>
      <c r="TCB2469" s="54"/>
      <c r="TCC2469" s="60"/>
      <c r="TCD2469" s="60"/>
      <c r="TCE2469" s="60"/>
      <c r="TCF2469" s="60"/>
      <c r="TCG2469" s="63"/>
      <c r="TCH2469" s="61"/>
      <c r="TCI2469" s="54"/>
      <c r="TCJ2469" s="54"/>
      <c r="TCK2469" s="60"/>
      <c r="TCL2469" s="60"/>
      <c r="TCM2469" s="60"/>
      <c r="TCN2469" s="60"/>
      <c r="TCO2469" s="63"/>
      <c r="TCP2469" s="61"/>
      <c r="TCQ2469" s="54"/>
      <c r="TCR2469" s="54"/>
      <c r="TCS2469" s="60"/>
      <c r="TCT2469" s="60"/>
      <c r="TCU2469" s="60"/>
      <c r="TCV2469" s="60"/>
      <c r="TCW2469" s="63"/>
      <c r="TCX2469" s="61"/>
      <c r="TCY2469" s="54"/>
      <c r="TCZ2469" s="54"/>
      <c r="TDA2469" s="60"/>
      <c r="TDB2469" s="60"/>
      <c r="TDC2469" s="60"/>
      <c r="TDD2469" s="60"/>
      <c r="TDE2469" s="63"/>
      <c r="TDF2469" s="61"/>
      <c r="TDG2469" s="54"/>
      <c r="TDH2469" s="54"/>
      <c r="TDI2469" s="60"/>
      <c r="TDJ2469" s="60"/>
      <c r="TDK2469" s="60"/>
      <c r="TDL2469" s="60"/>
      <c r="TDM2469" s="63"/>
      <c r="TDN2469" s="61"/>
      <c r="TDO2469" s="54"/>
      <c r="TDP2469" s="54"/>
      <c r="TDQ2469" s="60"/>
      <c r="TDR2469" s="60"/>
      <c r="TDS2469" s="60"/>
      <c r="TDT2469" s="60"/>
      <c r="TDU2469" s="63"/>
      <c r="TDV2469" s="61"/>
      <c r="TDW2469" s="54"/>
      <c r="TDX2469" s="54"/>
      <c r="TDY2469" s="60"/>
      <c r="TDZ2469" s="60"/>
      <c r="TEA2469" s="60"/>
      <c r="TEB2469" s="60"/>
      <c r="TEC2469" s="63"/>
      <c r="TED2469" s="61"/>
      <c r="TEE2469" s="54"/>
      <c r="TEF2469" s="54"/>
      <c r="TEG2469" s="60"/>
      <c r="TEH2469" s="60"/>
      <c r="TEI2469" s="60"/>
      <c r="TEJ2469" s="60"/>
      <c r="TEK2469" s="63"/>
      <c r="TEL2469" s="61"/>
      <c r="TEM2469" s="54"/>
      <c r="TEN2469" s="54"/>
      <c r="TEO2469" s="60"/>
      <c r="TEP2469" s="60"/>
      <c r="TEQ2469" s="60"/>
      <c r="TER2469" s="60"/>
      <c r="TES2469" s="63"/>
      <c r="TET2469" s="61"/>
      <c r="TEU2469" s="54"/>
      <c r="TEV2469" s="54"/>
      <c r="TEW2469" s="60"/>
      <c r="TEX2469" s="60"/>
      <c r="TEY2469" s="60"/>
      <c r="TEZ2469" s="60"/>
      <c r="TFA2469" s="63"/>
      <c r="TFB2469" s="61"/>
      <c r="TFC2469" s="54"/>
      <c r="TFD2469" s="54"/>
      <c r="TFE2469" s="60"/>
      <c r="TFF2469" s="60"/>
      <c r="TFG2469" s="60"/>
      <c r="TFH2469" s="60"/>
      <c r="TFI2469" s="63"/>
      <c r="TFJ2469" s="61"/>
      <c r="TFK2469" s="54"/>
      <c r="TFL2469" s="54"/>
      <c r="TFM2469" s="60"/>
      <c r="TFN2469" s="60"/>
      <c r="TFO2469" s="60"/>
      <c r="TFP2469" s="60"/>
      <c r="TFQ2469" s="63"/>
      <c r="TFR2469" s="61"/>
      <c r="TFS2469" s="54"/>
      <c r="TFT2469" s="54"/>
      <c r="TFU2469" s="60"/>
      <c r="TFV2469" s="60"/>
      <c r="TFW2469" s="60"/>
      <c r="TFX2469" s="60"/>
      <c r="TFY2469" s="63"/>
      <c r="TFZ2469" s="61"/>
      <c r="TGA2469" s="54"/>
      <c r="TGB2469" s="54"/>
      <c r="TGC2469" s="60"/>
      <c r="TGD2469" s="60"/>
      <c r="TGE2469" s="60"/>
      <c r="TGF2469" s="60"/>
      <c r="TGG2469" s="63"/>
      <c r="TGH2469" s="61"/>
      <c r="TGI2469" s="54"/>
      <c r="TGJ2469" s="54"/>
      <c r="TGK2469" s="60"/>
      <c r="TGL2469" s="60"/>
      <c r="TGM2469" s="60"/>
      <c r="TGN2469" s="60"/>
      <c r="TGO2469" s="63"/>
      <c r="TGP2469" s="61"/>
      <c r="TGQ2469" s="54"/>
      <c r="TGR2469" s="54"/>
      <c r="TGS2469" s="60"/>
      <c r="TGT2469" s="60"/>
      <c r="TGU2469" s="60"/>
      <c r="TGV2469" s="60"/>
      <c r="TGW2469" s="63"/>
      <c r="TGX2469" s="61"/>
      <c r="TGY2469" s="54"/>
      <c r="TGZ2469" s="54"/>
      <c r="THA2469" s="60"/>
      <c r="THB2469" s="60"/>
      <c r="THC2469" s="60"/>
      <c r="THD2469" s="60"/>
      <c r="THE2469" s="63"/>
      <c r="THF2469" s="61"/>
      <c r="THG2469" s="54"/>
      <c r="THH2469" s="54"/>
      <c r="THI2469" s="60"/>
      <c r="THJ2469" s="60"/>
      <c r="THK2469" s="60"/>
      <c r="THL2469" s="60"/>
      <c r="THM2469" s="63"/>
      <c r="THN2469" s="61"/>
      <c r="THO2469" s="54"/>
      <c r="THP2469" s="54"/>
      <c r="THQ2469" s="60"/>
      <c r="THR2469" s="60"/>
      <c r="THS2469" s="60"/>
      <c r="THT2469" s="60"/>
      <c r="THU2469" s="63"/>
      <c r="THV2469" s="61"/>
      <c r="THW2469" s="54"/>
      <c r="THX2469" s="54"/>
      <c r="THY2469" s="60"/>
      <c r="THZ2469" s="60"/>
      <c r="TIA2469" s="60"/>
      <c r="TIB2469" s="60"/>
      <c r="TIC2469" s="63"/>
      <c r="TID2469" s="61"/>
      <c r="TIE2469" s="54"/>
      <c r="TIF2469" s="54"/>
      <c r="TIG2469" s="60"/>
      <c r="TIH2469" s="60"/>
      <c r="TII2469" s="60"/>
      <c r="TIJ2469" s="60"/>
      <c r="TIK2469" s="63"/>
      <c r="TIL2469" s="61"/>
      <c r="TIM2469" s="54"/>
      <c r="TIN2469" s="54"/>
      <c r="TIO2469" s="60"/>
      <c r="TIP2469" s="60"/>
      <c r="TIQ2469" s="60"/>
      <c r="TIR2469" s="60"/>
      <c r="TIS2469" s="63"/>
      <c r="TIT2469" s="61"/>
      <c r="TIU2469" s="54"/>
      <c r="TIV2469" s="54"/>
      <c r="TIW2469" s="60"/>
      <c r="TIX2469" s="60"/>
      <c r="TIY2469" s="60"/>
      <c r="TIZ2469" s="60"/>
      <c r="TJA2469" s="63"/>
      <c r="TJB2469" s="61"/>
      <c r="TJC2469" s="54"/>
      <c r="TJD2469" s="54"/>
      <c r="TJE2469" s="60"/>
      <c r="TJF2469" s="60"/>
      <c r="TJG2469" s="60"/>
      <c r="TJH2469" s="60"/>
      <c r="TJI2469" s="63"/>
      <c r="TJJ2469" s="61"/>
      <c r="TJK2469" s="54"/>
      <c r="TJL2469" s="54"/>
      <c r="TJM2469" s="60"/>
      <c r="TJN2469" s="60"/>
      <c r="TJO2469" s="60"/>
      <c r="TJP2469" s="60"/>
      <c r="TJQ2469" s="63"/>
      <c r="TJR2469" s="61"/>
      <c r="TJS2469" s="54"/>
      <c r="TJT2469" s="54"/>
      <c r="TJU2469" s="60"/>
      <c r="TJV2469" s="60"/>
      <c r="TJW2469" s="60"/>
      <c r="TJX2469" s="60"/>
      <c r="TJY2469" s="63"/>
      <c r="TJZ2469" s="61"/>
      <c r="TKA2469" s="54"/>
      <c r="TKB2469" s="54"/>
      <c r="TKC2469" s="60"/>
      <c r="TKD2469" s="60"/>
      <c r="TKE2469" s="60"/>
      <c r="TKF2469" s="60"/>
      <c r="TKG2469" s="63"/>
      <c r="TKH2469" s="61"/>
      <c r="TKI2469" s="54"/>
      <c r="TKJ2469" s="54"/>
      <c r="TKK2469" s="60"/>
      <c r="TKL2469" s="60"/>
      <c r="TKM2469" s="60"/>
      <c r="TKN2469" s="60"/>
      <c r="TKO2469" s="63"/>
      <c r="TKP2469" s="61"/>
      <c r="TKQ2469" s="54"/>
      <c r="TKR2469" s="54"/>
      <c r="TKS2469" s="60"/>
      <c r="TKT2469" s="60"/>
      <c r="TKU2469" s="60"/>
      <c r="TKV2469" s="60"/>
      <c r="TKW2469" s="63"/>
      <c r="TKX2469" s="61"/>
      <c r="TKY2469" s="54"/>
      <c r="TKZ2469" s="54"/>
      <c r="TLA2469" s="60"/>
      <c r="TLB2469" s="60"/>
      <c r="TLC2469" s="60"/>
      <c r="TLD2469" s="60"/>
      <c r="TLE2469" s="63"/>
      <c r="TLF2469" s="61"/>
      <c r="TLG2469" s="54"/>
      <c r="TLH2469" s="54"/>
      <c r="TLI2469" s="60"/>
      <c r="TLJ2469" s="60"/>
      <c r="TLK2469" s="60"/>
      <c r="TLL2469" s="60"/>
      <c r="TLM2469" s="63"/>
      <c r="TLN2469" s="61"/>
      <c r="TLO2469" s="54"/>
      <c r="TLP2469" s="54"/>
      <c r="TLQ2469" s="60"/>
      <c r="TLR2469" s="60"/>
      <c r="TLS2469" s="60"/>
      <c r="TLT2469" s="60"/>
      <c r="TLU2469" s="63"/>
      <c r="TLV2469" s="61"/>
      <c r="TLW2469" s="54"/>
      <c r="TLX2469" s="54"/>
      <c r="TLY2469" s="60"/>
      <c r="TLZ2469" s="60"/>
      <c r="TMA2469" s="60"/>
      <c r="TMB2469" s="60"/>
      <c r="TMC2469" s="63"/>
      <c r="TMD2469" s="61"/>
      <c r="TME2469" s="54"/>
      <c r="TMF2469" s="54"/>
      <c r="TMG2469" s="60"/>
      <c r="TMH2469" s="60"/>
      <c r="TMI2469" s="60"/>
      <c r="TMJ2469" s="60"/>
      <c r="TMK2469" s="63"/>
      <c r="TML2469" s="61"/>
      <c r="TMM2469" s="54"/>
      <c r="TMN2469" s="54"/>
      <c r="TMO2469" s="60"/>
      <c r="TMP2469" s="60"/>
      <c r="TMQ2469" s="60"/>
      <c r="TMR2469" s="60"/>
      <c r="TMS2469" s="63"/>
      <c r="TMT2469" s="61"/>
      <c r="TMU2469" s="54"/>
      <c r="TMV2469" s="54"/>
      <c r="TMW2469" s="60"/>
      <c r="TMX2469" s="60"/>
      <c r="TMY2469" s="60"/>
      <c r="TMZ2469" s="60"/>
      <c r="TNA2469" s="63"/>
      <c r="TNB2469" s="61"/>
      <c r="TNC2469" s="54"/>
      <c r="TND2469" s="54"/>
      <c r="TNE2469" s="60"/>
      <c r="TNF2469" s="60"/>
      <c r="TNG2469" s="60"/>
      <c r="TNH2469" s="60"/>
      <c r="TNI2469" s="63"/>
      <c r="TNJ2469" s="61"/>
      <c r="TNK2469" s="54"/>
      <c r="TNL2469" s="54"/>
      <c r="TNM2469" s="60"/>
      <c r="TNN2469" s="60"/>
      <c r="TNO2469" s="60"/>
      <c r="TNP2469" s="60"/>
      <c r="TNQ2469" s="63"/>
      <c r="TNR2469" s="61"/>
      <c r="TNS2469" s="54"/>
      <c r="TNT2469" s="54"/>
      <c r="TNU2469" s="60"/>
      <c r="TNV2469" s="60"/>
      <c r="TNW2469" s="60"/>
      <c r="TNX2469" s="60"/>
      <c r="TNY2469" s="63"/>
      <c r="TNZ2469" s="61"/>
      <c r="TOA2469" s="54"/>
      <c r="TOB2469" s="54"/>
      <c r="TOC2469" s="60"/>
      <c r="TOD2469" s="60"/>
      <c r="TOE2469" s="60"/>
      <c r="TOF2469" s="60"/>
      <c r="TOG2469" s="63"/>
      <c r="TOH2469" s="61"/>
      <c r="TOI2469" s="54"/>
      <c r="TOJ2469" s="54"/>
      <c r="TOK2469" s="60"/>
      <c r="TOL2469" s="60"/>
      <c r="TOM2469" s="60"/>
      <c r="TON2469" s="60"/>
      <c r="TOO2469" s="63"/>
      <c r="TOP2469" s="61"/>
      <c r="TOQ2469" s="54"/>
      <c r="TOR2469" s="54"/>
      <c r="TOS2469" s="60"/>
      <c r="TOT2469" s="60"/>
      <c r="TOU2469" s="60"/>
      <c r="TOV2469" s="60"/>
      <c r="TOW2469" s="63"/>
      <c r="TOX2469" s="61"/>
      <c r="TOY2469" s="54"/>
      <c r="TOZ2469" s="54"/>
      <c r="TPA2469" s="60"/>
      <c r="TPB2469" s="60"/>
      <c r="TPC2469" s="60"/>
      <c r="TPD2469" s="60"/>
      <c r="TPE2469" s="63"/>
      <c r="TPF2469" s="61"/>
      <c r="TPG2469" s="54"/>
      <c r="TPH2469" s="54"/>
      <c r="TPI2469" s="60"/>
      <c r="TPJ2469" s="60"/>
      <c r="TPK2469" s="60"/>
      <c r="TPL2469" s="60"/>
      <c r="TPM2469" s="63"/>
      <c r="TPN2469" s="61"/>
      <c r="TPO2469" s="54"/>
      <c r="TPP2469" s="54"/>
      <c r="TPQ2469" s="60"/>
      <c r="TPR2469" s="60"/>
      <c r="TPS2469" s="60"/>
      <c r="TPT2469" s="60"/>
      <c r="TPU2469" s="63"/>
      <c r="TPV2469" s="61"/>
      <c r="TPW2469" s="54"/>
      <c r="TPX2469" s="54"/>
      <c r="TPY2469" s="60"/>
      <c r="TPZ2469" s="60"/>
      <c r="TQA2469" s="60"/>
      <c r="TQB2469" s="60"/>
      <c r="TQC2469" s="63"/>
      <c r="TQD2469" s="61"/>
      <c r="TQE2469" s="54"/>
      <c r="TQF2469" s="54"/>
      <c r="TQG2469" s="60"/>
      <c r="TQH2469" s="60"/>
      <c r="TQI2469" s="60"/>
      <c r="TQJ2469" s="60"/>
      <c r="TQK2469" s="63"/>
      <c r="TQL2469" s="61"/>
      <c r="TQM2469" s="54"/>
      <c r="TQN2469" s="54"/>
      <c r="TQO2469" s="60"/>
      <c r="TQP2469" s="60"/>
      <c r="TQQ2469" s="60"/>
      <c r="TQR2469" s="60"/>
      <c r="TQS2469" s="63"/>
      <c r="TQT2469" s="61"/>
      <c r="TQU2469" s="54"/>
      <c r="TQV2469" s="54"/>
      <c r="TQW2469" s="60"/>
      <c r="TQX2469" s="60"/>
      <c r="TQY2469" s="60"/>
      <c r="TQZ2469" s="60"/>
      <c r="TRA2469" s="63"/>
      <c r="TRB2469" s="61"/>
      <c r="TRC2469" s="54"/>
      <c r="TRD2469" s="54"/>
      <c r="TRE2469" s="60"/>
      <c r="TRF2469" s="60"/>
      <c r="TRG2469" s="60"/>
      <c r="TRH2469" s="60"/>
      <c r="TRI2469" s="63"/>
      <c r="TRJ2469" s="61"/>
      <c r="TRK2469" s="54"/>
      <c r="TRL2469" s="54"/>
      <c r="TRM2469" s="60"/>
      <c r="TRN2469" s="60"/>
      <c r="TRO2469" s="60"/>
      <c r="TRP2469" s="60"/>
      <c r="TRQ2469" s="63"/>
      <c r="TRR2469" s="61"/>
      <c r="TRS2469" s="54"/>
      <c r="TRT2469" s="54"/>
      <c r="TRU2469" s="60"/>
      <c r="TRV2469" s="60"/>
      <c r="TRW2469" s="60"/>
      <c r="TRX2469" s="60"/>
      <c r="TRY2469" s="63"/>
      <c r="TRZ2469" s="61"/>
      <c r="TSA2469" s="54"/>
      <c r="TSB2469" s="54"/>
      <c r="TSC2469" s="60"/>
      <c r="TSD2469" s="60"/>
      <c r="TSE2469" s="60"/>
      <c r="TSF2469" s="60"/>
      <c r="TSG2469" s="63"/>
      <c r="TSH2469" s="61"/>
      <c r="TSI2469" s="54"/>
      <c r="TSJ2469" s="54"/>
      <c r="TSK2469" s="60"/>
      <c r="TSL2469" s="60"/>
      <c r="TSM2469" s="60"/>
      <c r="TSN2469" s="60"/>
      <c r="TSO2469" s="63"/>
      <c r="TSP2469" s="61"/>
      <c r="TSQ2469" s="54"/>
      <c r="TSR2469" s="54"/>
      <c r="TSS2469" s="60"/>
      <c r="TST2469" s="60"/>
      <c r="TSU2469" s="60"/>
      <c r="TSV2469" s="60"/>
      <c r="TSW2469" s="63"/>
      <c r="TSX2469" s="61"/>
      <c r="TSY2469" s="54"/>
      <c r="TSZ2469" s="54"/>
      <c r="TTA2469" s="60"/>
      <c r="TTB2469" s="60"/>
      <c r="TTC2469" s="60"/>
      <c r="TTD2469" s="60"/>
      <c r="TTE2469" s="63"/>
      <c r="TTF2469" s="61"/>
      <c r="TTG2469" s="54"/>
      <c r="TTH2469" s="54"/>
      <c r="TTI2469" s="60"/>
      <c r="TTJ2469" s="60"/>
      <c r="TTK2469" s="60"/>
      <c r="TTL2469" s="60"/>
      <c r="TTM2469" s="63"/>
      <c r="TTN2469" s="61"/>
      <c r="TTO2469" s="54"/>
      <c r="TTP2469" s="54"/>
      <c r="TTQ2469" s="60"/>
      <c r="TTR2469" s="60"/>
      <c r="TTS2469" s="60"/>
      <c r="TTT2469" s="60"/>
      <c r="TTU2469" s="63"/>
      <c r="TTV2469" s="61"/>
      <c r="TTW2469" s="54"/>
      <c r="TTX2469" s="54"/>
      <c r="TTY2469" s="60"/>
      <c r="TTZ2469" s="60"/>
      <c r="TUA2469" s="60"/>
      <c r="TUB2469" s="60"/>
      <c r="TUC2469" s="63"/>
      <c r="TUD2469" s="61"/>
      <c r="TUE2469" s="54"/>
      <c r="TUF2469" s="54"/>
      <c r="TUG2469" s="60"/>
      <c r="TUH2469" s="60"/>
      <c r="TUI2469" s="60"/>
      <c r="TUJ2469" s="60"/>
      <c r="TUK2469" s="63"/>
      <c r="TUL2469" s="61"/>
      <c r="TUM2469" s="54"/>
      <c r="TUN2469" s="54"/>
      <c r="TUO2469" s="60"/>
      <c r="TUP2469" s="60"/>
      <c r="TUQ2469" s="60"/>
      <c r="TUR2469" s="60"/>
      <c r="TUS2469" s="63"/>
      <c r="TUT2469" s="61"/>
      <c r="TUU2469" s="54"/>
      <c r="TUV2469" s="54"/>
      <c r="TUW2469" s="60"/>
      <c r="TUX2469" s="60"/>
      <c r="TUY2469" s="60"/>
      <c r="TUZ2469" s="60"/>
      <c r="TVA2469" s="63"/>
      <c r="TVB2469" s="61"/>
      <c r="TVC2469" s="54"/>
      <c r="TVD2469" s="54"/>
      <c r="TVE2469" s="60"/>
      <c r="TVF2469" s="60"/>
      <c r="TVG2469" s="60"/>
      <c r="TVH2469" s="60"/>
      <c r="TVI2469" s="63"/>
      <c r="TVJ2469" s="61"/>
      <c r="TVK2469" s="54"/>
      <c r="TVL2469" s="54"/>
      <c r="TVM2469" s="60"/>
      <c r="TVN2469" s="60"/>
      <c r="TVO2469" s="60"/>
      <c r="TVP2469" s="60"/>
      <c r="TVQ2469" s="63"/>
      <c r="TVR2469" s="61"/>
      <c r="TVS2469" s="54"/>
      <c r="TVT2469" s="54"/>
      <c r="TVU2469" s="60"/>
      <c r="TVV2469" s="60"/>
      <c r="TVW2469" s="60"/>
      <c r="TVX2469" s="60"/>
      <c r="TVY2469" s="63"/>
      <c r="TVZ2469" s="61"/>
      <c r="TWA2469" s="54"/>
      <c r="TWB2469" s="54"/>
      <c r="TWC2469" s="60"/>
      <c r="TWD2469" s="60"/>
      <c r="TWE2469" s="60"/>
      <c r="TWF2469" s="60"/>
      <c r="TWG2469" s="63"/>
      <c r="TWH2469" s="61"/>
      <c r="TWI2469" s="54"/>
      <c r="TWJ2469" s="54"/>
      <c r="TWK2469" s="60"/>
      <c r="TWL2469" s="60"/>
      <c r="TWM2469" s="60"/>
      <c r="TWN2469" s="60"/>
      <c r="TWO2469" s="63"/>
      <c r="TWP2469" s="61"/>
      <c r="TWQ2469" s="54"/>
      <c r="TWR2469" s="54"/>
      <c r="TWS2469" s="60"/>
      <c r="TWT2469" s="60"/>
      <c r="TWU2469" s="60"/>
      <c r="TWV2469" s="60"/>
      <c r="TWW2469" s="63"/>
      <c r="TWX2469" s="61"/>
      <c r="TWY2469" s="54"/>
      <c r="TWZ2469" s="54"/>
      <c r="TXA2469" s="60"/>
      <c r="TXB2469" s="60"/>
      <c r="TXC2469" s="60"/>
      <c r="TXD2469" s="60"/>
      <c r="TXE2469" s="63"/>
      <c r="TXF2469" s="61"/>
      <c r="TXG2469" s="54"/>
      <c r="TXH2469" s="54"/>
      <c r="TXI2469" s="60"/>
      <c r="TXJ2469" s="60"/>
      <c r="TXK2469" s="60"/>
      <c r="TXL2469" s="60"/>
      <c r="TXM2469" s="63"/>
      <c r="TXN2469" s="61"/>
      <c r="TXO2469" s="54"/>
      <c r="TXP2469" s="54"/>
      <c r="TXQ2469" s="60"/>
      <c r="TXR2469" s="60"/>
      <c r="TXS2469" s="60"/>
      <c r="TXT2469" s="60"/>
      <c r="TXU2469" s="63"/>
      <c r="TXV2469" s="61"/>
      <c r="TXW2469" s="54"/>
      <c r="TXX2469" s="54"/>
      <c r="TXY2469" s="60"/>
      <c r="TXZ2469" s="60"/>
      <c r="TYA2469" s="60"/>
      <c r="TYB2469" s="60"/>
      <c r="TYC2469" s="63"/>
      <c r="TYD2469" s="61"/>
      <c r="TYE2469" s="54"/>
      <c r="TYF2469" s="54"/>
      <c r="TYG2469" s="60"/>
      <c r="TYH2469" s="60"/>
      <c r="TYI2469" s="60"/>
      <c r="TYJ2469" s="60"/>
      <c r="TYK2469" s="63"/>
      <c r="TYL2469" s="61"/>
      <c r="TYM2469" s="54"/>
      <c r="TYN2469" s="54"/>
      <c r="TYO2469" s="60"/>
      <c r="TYP2469" s="60"/>
      <c r="TYQ2469" s="60"/>
      <c r="TYR2469" s="60"/>
      <c r="TYS2469" s="63"/>
      <c r="TYT2469" s="61"/>
      <c r="TYU2469" s="54"/>
      <c r="TYV2469" s="54"/>
      <c r="TYW2469" s="60"/>
      <c r="TYX2469" s="60"/>
      <c r="TYY2469" s="60"/>
      <c r="TYZ2469" s="60"/>
      <c r="TZA2469" s="63"/>
      <c r="TZB2469" s="61"/>
      <c r="TZC2469" s="54"/>
      <c r="TZD2469" s="54"/>
      <c r="TZE2469" s="60"/>
      <c r="TZF2469" s="60"/>
      <c r="TZG2469" s="60"/>
      <c r="TZH2469" s="60"/>
      <c r="TZI2469" s="63"/>
      <c r="TZJ2469" s="61"/>
      <c r="TZK2469" s="54"/>
      <c r="TZL2469" s="54"/>
      <c r="TZM2469" s="60"/>
      <c r="TZN2469" s="60"/>
      <c r="TZO2469" s="60"/>
      <c r="TZP2469" s="60"/>
      <c r="TZQ2469" s="63"/>
      <c r="TZR2469" s="61"/>
      <c r="TZS2469" s="54"/>
      <c r="TZT2469" s="54"/>
      <c r="TZU2469" s="60"/>
      <c r="TZV2469" s="60"/>
      <c r="TZW2469" s="60"/>
      <c r="TZX2469" s="60"/>
      <c r="TZY2469" s="63"/>
      <c r="TZZ2469" s="61"/>
      <c r="UAA2469" s="54"/>
      <c r="UAB2469" s="54"/>
      <c r="UAC2469" s="60"/>
      <c r="UAD2469" s="60"/>
      <c r="UAE2469" s="60"/>
      <c r="UAF2469" s="60"/>
      <c r="UAG2469" s="63"/>
      <c r="UAH2469" s="61"/>
      <c r="UAI2469" s="54"/>
      <c r="UAJ2469" s="54"/>
      <c r="UAK2469" s="60"/>
      <c r="UAL2469" s="60"/>
      <c r="UAM2469" s="60"/>
      <c r="UAN2469" s="60"/>
      <c r="UAO2469" s="63"/>
      <c r="UAP2469" s="61"/>
      <c r="UAQ2469" s="54"/>
      <c r="UAR2469" s="54"/>
      <c r="UAS2469" s="60"/>
      <c r="UAT2469" s="60"/>
      <c r="UAU2469" s="60"/>
      <c r="UAV2469" s="60"/>
      <c r="UAW2469" s="63"/>
      <c r="UAX2469" s="61"/>
      <c r="UAY2469" s="54"/>
      <c r="UAZ2469" s="54"/>
      <c r="UBA2469" s="60"/>
      <c r="UBB2469" s="60"/>
      <c r="UBC2469" s="60"/>
      <c r="UBD2469" s="60"/>
      <c r="UBE2469" s="63"/>
      <c r="UBF2469" s="61"/>
      <c r="UBG2469" s="54"/>
      <c r="UBH2469" s="54"/>
      <c r="UBI2469" s="60"/>
      <c r="UBJ2469" s="60"/>
      <c r="UBK2469" s="60"/>
      <c r="UBL2469" s="60"/>
      <c r="UBM2469" s="63"/>
      <c r="UBN2469" s="61"/>
      <c r="UBO2469" s="54"/>
      <c r="UBP2469" s="54"/>
      <c r="UBQ2469" s="60"/>
      <c r="UBR2469" s="60"/>
      <c r="UBS2469" s="60"/>
      <c r="UBT2469" s="60"/>
      <c r="UBU2469" s="63"/>
      <c r="UBV2469" s="61"/>
      <c r="UBW2469" s="54"/>
      <c r="UBX2469" s="54"/>
      <c r="UBY2469" s="60"/>
      <c r="UBZ2469" s="60"/>
      <c r="UCA2469" s="60"/>
      <c r="UCB2469" s="60"/>
      <c r="UCC2469" s="63"/>
      <c r="UCD2469" s="61"/>
      <c r="UCE2469" s="54"/>
      <c r="UCF2469" s="54"/>
      <c r="UCG2469" s="60"/>
      <c r="UCH2469" s="60"/>
      <c r="UCI2469" s="60"/>
      <c r="UCJ2469" s="60"/>
      <c r="UCK2469" s="63"/>
      <c r="UCL2469" s="61"/>
      <c r="UCM2469" s="54"/>
      <c r="UCN2469" s="54"/>
      <c r="UCO2469" s="60"/>
      <c r="UCP2469" s="60"/>
      <c r="UCQ2469" s="60"/>
      <c r="UCR2469" s="60"/>
      <c r="UCS2469" s="63"/>
      <c r="UCT2469" s="61"/>
      <c r="UCU2469" s="54"/>
      <c r="UCV2469" s="54"/>
      <c r="UCW2469" s="60"/>
      <c r="UCX2469" s="60"/>
      <c r="UCY2469" s="60"/>
      <c r="UCZ2469" s="60"/>
      <c r="UDA2469" s="63"/>
      <c r="UDB2469" s="61"/>
      <c r="UDC2469" s="54"/>
      <c r="UDD2469" s="54"/>
      <c r="UDE2469" s="60"/>
      <c r="UDF2469" s="60"/>
      <c r="UDG2469" s="60"/>
      <c r="UDH2469" s="60"/>
      <c r="UDI2469" s="63"/>
      <c r="UDJ2469" s="61"/>
      <c r="UDK2469" s="54"/>
      <c r="UDL2469" s="54"/>
      <c r="UDM2469" s="60"/>
      <c r="UDN2469" s="60"/>
      <c r="UDO2469" s="60"/>
      <c r="UDP2469" s="60"/>
      <c r="UDQ2469" s="63"/>
      <c r="UDR2469" s="61"/>
      <c r="UDS2469" s="54"/>
      <c r="UDT2469" s="54"/>
      <c r="UDU2469" s="60"/>
      <c r="UDV2469" s="60"/>
      <c r="UDW2469" s="60"/>
      <c r="UDX2469" s="60"/>
      <c r="UDY2469" s="63"/>
      <c r="UDZ2469" s="61"/>
      <c r="UEA2469" s="54"/>
      <c r="UEB2469" s="54"/>
      <c r="UEC2469" s="60"/>
      <c r="UED2469" s="60"/>
      <c r="UEE2469" s="60"/>
      <c r="UEF2469" s="60"/>
      <c r="UEG2469" s="63"/>
      <c r="UEH2469" s="61"/>
      <c r="UEI2469" s="54"/>
      <c r="UEJ2469" s="54"/>
      <c r="UEK2469" s="60"/>
      <c r="UEL2469" s="60"/>
      <c r="UEM2469" s="60"/>
      <c r="UEN2469" s="60"/>
      <c r="UEO2469" s="63"/>
      <c r="UEP2469" s="61"/>
      <c r="UEQ2469" s="54"/>
      <c r="UER2469" s="54"/>
      <c r="UES2469" s="60"/>
      <c r="UET2469" s="60"/>
      <c r="UEU2469" s="60"/>
      <c r="UEV2469" s="60"/>
      <c r="UEW2469" s="63"/>
      <c r="UEX2469" s="61"/>
      <c r="UEY2469" s="54"/>
      <c r="UEZ2469" s="54"/>
      <c r="UFA2469" s="60"/>
      <c r="UFB2469" s="60"/>
      <c r="UFC2469" s="60"/>
      <c r="UFD2469" s="60"/>
      <c r="UFE2469" s="63"/>
      <c r="UFF2469" s="61"/>
      <c r="UFG2469" s="54"/>
      <c r="UFH2469" s="54"/>
      <c r="UFI2469" s="60"/>
      <c r="UFJ2469" s="60"/>
      <c r="UFK2469" s="60"/>
      <c r="UFL2469" s="60"/>
      <c r="UFM2469" s="63"/>
      <c r="UFN2469" s="61"/>
      <c r="UFO2469" s="54"/>
      <c r="UFP2469" s="54"/>
      <c r="UFQ2469" s="60"/>
      <c r="UFR2469" s="60"/>
      <c r="UFS2469" s="60"/>
      <c r="UFT2469" s="60"/>
      <c r="UFU2469" s="63"/>
      <c r="UFV2469" s="61"/>
      <c r="UFW2469" s="54"/>
      <c r="UFX2469" s="54"/>
      <c r="UFY2469" s="60"/>
      <c r="UFZ2469" s="60"/>
      <c r="UGA2469" s="60"/>
      <c r="UGB2469" s="60"/>
      <c r="UGC2469" s="63"/>
      <c r="UGD2469" s="61"/>
      <c r="UGE2469" s="54"/>
      <c r="UGF2469" s="54"/>
      <c r="UGG2469" s="60"/>
      <c r="UGH2469" s="60"/>
      <c r="UGI2469" s="60"/>
      <c r="UGJ2469" s="60"/>
      <c r="UGK2469" s="63"/>
      <c r="UGL2469" s="61"/>
      <c r="UGM2469" s="54"/>
      <c r="UGN2469" s="54"/>
      <c r="UGO2469" s="60"/>
      <c r="UGP2469" s="60"/>
      <c r="UGQ2469" s="60"/>
      <c r="UGR2469" s="60"/>
      <c r="UGS2469" s="63"/>
      <c r="UGT2469" s="61"/>
      <c r="UGU2469" s="54"/>
      <c r="UGV2469" s="54"/>
      <c r="UGW2469" s="60"/>
      <c r="UGX2469" s="60"/>
      <c r="UGY2469" s="60"/>
      <c r="UGZ2469" s="60"/>
      <c r="UHA2469" s="63"/>
      <c r="UHB2469" s="61"/>
      <c r="UHC2469" s="54"/>
      <c r="UHD2469" s="54"/>
      <c r="UHE2469" s="60"/>
      <c r="UHF2469" s="60"/>
      <c r="UHG2469" s="60"/>
      <c r="UHH2469" s="60"/>
      <c r="UHI2469" s="63"/>
      <c r="UHJ2469" s="61"/>
      <c r="UHK2469" s="54"/>
      <c r="UHL2469" s="54"/>
      <c r="UHM2469" s="60"/>
      <c r="UHN2469" s="60"/>
      <c r="UHO2469" s="60"/>
      <c r="UHP2469" s="60"/>
      <c r="UHQ2469" s="63"/>
      <c r="UHR2469" s="61"/>
      <c r="UHS2469" s="54"/>
      <c r="UHT2469" s="54"/>
      <c r="UHU2469" s="60"/>
      <c r="UHV2469" s="60"/>
      <c r="UHW2469" s="60"/>
      <c r="UHX2469" s="60"/>
      <c r="UHY2469" s="63"/>
      <c r="UHZ2469" s="61"/>
      <c r="UIA2469" s="54"/>
      <c r="UIB2469" s="54"/>
      <c r="UIC2469" s="60"/>
      <c r="UID2469" s="60"/>
      <c r="UIE2469" s="60"/>
      <c r="UIF2469" s="60"/>
      <c r="UIG2469" s="63"/>
      <c r="UIH2469" s="61"/>
      <c r="UII2469" s="54"/>
      <c r="UIJ2469" s="54"/>
      <c r="UIK2469" s="60"/>
      <c r="UIL2469" s="60"/>
      <c r="UIM2469" s="60"/>
      <c r="UIN2469" s="60"/>
      <c r="UIO2469" s="63"/>
      <c r="UIP2469" s="61"/>
      <c r="UIQ2469" s="54"/>
      <c r="UIR2469" s="54"/>
      <c r="UIS2469" s="60"/>
      <c r="UIT2469" s="60"/>
      <c r="UIU2469" s="60"/>
      <c r="UIV2469" s="60"/>
      <c r="UIW2469" s="63"/>
      <c r="UIX2469" s="61"/>
      <c r="UIY2469" s="54"/>
      <c r="UIZ2469" s="54"/>
      <c r="UJA2469" s="60"/>
      <c r="UJB2469" s="60"/>
      <c r="UJC2469" s="60"/>
      <c r="UJD2469" s="60"/>
      <c r="UJE2469" s="63"/>
      <c r="UJF2469" s="61"/>
      <c r="UJG2469" s="54"/>
      <c r="UJH2469" s="54"/>
      <c r="UJI2469" s="60"/>
      <c r="UJJ2469" s="60"/>
      <c r="UJK2469" s="60"/>
      <c r="UJL2469" s="60"/>
      <c r="UJM2469" s="63"/>
      <c r="UJN2469" s="61"/>
      <c r="UJO2469" s="54"/>
      <c r="UJP2469" s="54"/>
      <c r="UJQ2469" s="60"/>
      <c r="UJR2469" s="60"/>
      <c r="UJS2469" s="60"/>
      <c r="UJT2469" s="60"/>
      <c r="UJU2469" s="63"/>
      <c r="UJV2469" s="61"/>
      <c r="UJW2469" s="54"/>
      <c r="UJX2469" s="54"/>
      <c r="UJY2469" s="60"/>
      <c r="UJZ2469" s="60"/>
      <c r="UKA2469" s="60"/>
      <c r="UKB2469" s="60"/>
      <c r="UKC2469" s="63"/>
      <c r="UKD2469" s="61"/>
      <c r="UKE2469" s="54"/>
      <c r="UKF2469" s="54"/>
      <c r="UKG2469" s="60"/>
      <c r="UKH2469" s="60"/>
      <c r="UKI2469" s="60"/>
      <c r="UKJ2469" s="60"/>
      <c r="UKK2469" s="63"/>
      <c r="UKL2469" s="61"/>
      <c r="UKM2469" s="54"/>
      <c r="UKN2469" s="54"/>
      <c r="UKO2469" s="60"/>
      <c r="UKP2469" s="60"/>
      <c r="UKQ2469" s="60"/>
      <c r="UKR2469" s="60"/>
      <c r="UKS2469" s="63"/>
      <c r="UKT2469" s="61"/>
      <c r="UKU2469" s="54"/>
      <c r="UKV2469" s="54"/>
      <c r="UKW2469" s="60"/>
      <c r="UKX2469" s="60"/>
      <c r="UKY2469" s="60"/>
      <c r="UKZ2469" s="60"/>
      <c r="ULA2469" s="63"/>
      <c r="ULB2469" s="61"/>
      <c r="ULC2469" s="54"/>
      <c r="ULD2469" s="54"/>
      <c r="ULE2469" s="60"/>
      <c r="ULF2469" s="60"/>
      <c r="ULG2469" s="60"/>
      <c r="ULH2469" s="60"/>
      <c r="ULI2469" s="63"/>
      <c r="ULJ2469" s="61"/>
      <c r="ULK2469" s="54"/>
      <c r="ULL2469" s="54"/>
      <c r="ULM2469" s="60"/>
      <c r="ULN2469" s="60"/>
      <c r="ULO2469" s="60"/>
      <c r="ULP2469" s="60"/>
      <c r="ULQ2469" s="63"/>
      <c r="ULR2469" s="61"/>
      <c r="ULS2469" s="54"/>
      <c r="ULT2469" s="54"/>
      <c r="ULU2469" s="60"/>
      <c r="ULV2469" s="60"/>
      <c r="ULW2469" s="60"/>
      <c r="ULX2469" s="60"/>
      <c r="ULY2469" s="63"/>
      <c r="ULZ2469" s="61"/>
      <c r="UMA2469" s="54"/>
      <c r="UMB2469" s="54"/>
      <c r="UMC2469" s="60"/>
      <c r="UMD2469" s="60"/>
      <c r="UME2469" s="60"/>
      <c r="UMF2469" s="60"/>
      <c r="UMG2469" s="63"/>
      <c r="UMH2469" s="61"/>
      <c r="UMI2469" s="54"/>
      <c r="UMJ2469" s="54"/>
      <c r="UMK2469" s="60"/>
      <c r="UML2469" s="60"/>
      <c r="UMM2469" s="60"/>
      <c r="UMN2469" s="60"/>
      <c r="UMO2469" s="63"/>
      <c r="UMP2469" s="61"/>
      <c r="UMQ2469" s="54"/>
      <c r="UMR2469" s="54"/>
      <c r="UMS2469" s="60"/>
      <c r="UMT2469" s="60"/>
      <c r="UMU2469" s="60"/>
      <c r="UMV2469" s="60"/>
      <c r="UMW2469" s="63"/>
      <c r="UMX2469" s="61"/>
      <c r="UMY2469" s="54"/>
      <c r="UMZ2469" s="54"/>
      <c r="UNA2469" s="60"/>
      <c r="UNB2469" s="60"/>
      <c r="UNC2469" s="60"/>
      <c r="UND2469" s="60"/>
      <c r="UNE2469" s="63"/>
      <c r="UNF2469" s="61"/>
      <c r="UNG2469" s="54"/>
      <c r="UNH2469" s="54"/>
      <c r="UNI2469" s="60"/>
      <c r="UNJ2469" s="60"/>
      <c r="UNK2469" s="60"/>
      <c r="UNL2469" s="60"/>
      <c r="UNM2469" s="63"/>
      <c r="UNN2469" s="61"/>
      <c r="UNO2469" s="54"/>
      <c r="UNP2469" s="54"/>
      <c r="UNQ2469" s="60"/>
      <c r="UNR2469" s="60"/>
      <c r="UNS2469" s="60"/>
      <c r="UNT2469" s="60"/>
      <c r="UNU2469" s="63"/>
      <c r="UNV2469" s="61"/>
      <c r="UNW2469" s="54"/>
      <c r="UNX2469" s="54"/>
      <c r="UNY2469" s="60"/>
      <c r="UNZ2469" s="60"/>
      <c r="UOA2469" s="60"/>
      <c r="UOB2469" s="60"/>
      <c r="UOC2469" s="63"/>
      <c r="UOD2469" s="61"/>
      <c r="UOE2469" s="54"/>
      <c r="UOF2469" s="54"/>
      <c r="UOG2469" s="60"/>
      <c r="UOH2469" s="60"/>
      <c r="UOI2469" s="60"/>
      <c r="UOJ2469" s="60"/>
      <c r="UOK2469" s="63"/>
      <c r="UOL2469" s="61"/>
      <c r="UOM2469" s="54"/>
      <c r="UON2469" s="54"/>
      <c r="UOO2469" s="60"/>
      <c r="UOP2469" s="60"/>
      <c r="UOQ2469" s="60"/>
      <c r="UOR2469" s="60"/>
      <c r="UOS2469" s="63"/>
      <c r="UOT2469" s="61"/>
      <c r="UOU2469" s="54"/>
      <c r="UOV2469" s="54"/>
      <c r="UOW2469" s="60"/>
      <c r="UOX2469" s="60"/>
      <c r="UOY2469" s="60"/>
      <c r="UOZ2469" s="60"/>
      <c r="UPA2469" s="63"/>
      <c r="UPB2469" s="61"/>
      <c r="UPC2469" s="54"/>
      <c r="UPD2469" s="54"/>
      <c r="UPE2469" s="60"/>
      <c r="UPF2469" s="60"/>
      <c r="UPG2469" s="60"/>
      <c r="UPH2469" s="60"/>
      <c r="UPI2469" s="63"/>
      <c r="UPJ2469" s="61"/>
      <c r="UPK2469" s="54"/>
      <c r="UPL2469" s="54"/>
      <c r="UPM2469" s="60"/>
      <c r="UPN2469" s="60"/>
      <c r="UPO2469" s="60"/>
      <c r="UPP2469" s="60"/>
      <c r="UPQ2469" s="63"/>
      <c r="UPR2469" s="61"/>
      <c r="UPS2469" s="54"/>
      <c r="UPT2469" s="54"/>
      <c r="UPU2469" s="60"/>
      <c r="UPV2469" s="60"/>
      <c r="UPW2469" s="60"/>
      <c r="UPX2469" s="60"/>
      <c r="UPY2469" s="63"/>
      <c r="UPZ2469" s="61"/>
      <c r="UQA2469" s="54"/>
      <c r="UQB2469" s="54"/>
      <c r="UQC2469" s="60"/>
      <c r="UQD2469" s="60"/>
      <c r="UQE2469" s="60"/>
      <c r="UQF2469" s="60"/>
      <c r="UQG2469" s="63"/>
      <c r="UQH2469" s="61"/>
      <c r="UQI2469" s="54"/>
      <c r="UQJ2469" s="54"/>
      <c r="UQK2469" s="60"/>
      <c r="UQL2469" s="60"/>
      <c r="UQM2469" s="60"/>
      <c r="UQN2469" s="60"/>
      <c r="UQO2469" s="63"/>
      <c r="UQP2469" s="61"/>
      <c r="UQQ2469" s="54"/>
      <c r="UQR2469" s="54"/>
      <c r="UQS2469" s="60"/>
      <c r="UQT2469" s="60"/>
      <c r="UQU2469" s="60"/>
      <c r="UQV2469" s="60"/>
      <c r="UQW2469" s="63"/>
      <c r="UQX2469" s="61"/>
      <c r="UQY2469" s="54"/>
      <c r="UQZ2469" s="54"/>
      <c r="URA2469" s="60"/>
      <c r="URB2469" s="60"/>
      <c r="URC2469" s="60"/>
      <c r="URD2469" s="60"/>
      <c r="URE2469" s="63"/>
      <c r="URF2469" s="61"/>
      <c r="URG2469" s="54"/>
      <c r="URH2469" s="54"/>
      <c r="URI2469" s="60"/>
      <c r="URJ2469" s="60"/>
      <c r="URK2469" s="60"/>
      <c r="URL2469" s="60"/>
      <c r="URM2469" s="63"/>
      <c r="URN2469" s="61"/>
      <c r="URO2469" s="54"/>
      <c r="URP2469" s="54"/>
      <c r="URQ2469" s="60"/>
      <c r="URR2469" s="60"/>
      <c r="URS2469" s="60"/>
      <c r="URT2469" s="60"/>
      <c r="URU2469" s="63"/>
      <c r="URV2469" s="61"/>
      <c r="URW2469" s="54"/>
      <c r="URX2469" s="54"/>
      <c r="URY2469" s="60"/>
      <c r="URZ2469" s="60"/>
      <c r="USA2469" s="60"/>
      <c r="USB2469" s="60"/>
      <c r="USC2469" s="63"/>
      <c r="USD2469" s="61"/>
      <c r="USE2469" s="54"/>
      <c r="USF2469" s="54"/>
      <c r="USG2469" s="60"/>
      <c r="USH2469" s="60"/>
      <c r="USI2469" s="60"/>
      <c r="USJ2469" s="60"/>
      <c r="USK2469" s="63"/>
      <c r="USL2469" s="61"/>
      <c r="USM2469" s="54"/>
      <c r="USN2469" s="54"/>
      <c r="USO2469" s="60"/>
      <c r="USP2469" s="60"/>
      <c r="USQ2469" s="60"/>
      <c r="USR2469" s="60"/>
      <c r="USS2469" s="63"/>
      <c r="UST2469" s="61"/>
      <c r="USU2469" s="54"/>
      <c r="USV2469" s="54"/>
      <c r="USW2469" s="60"/>
      <c r="USX2469" s="60"/>
      <c r="USY2469" s="60"/>
      <c r="USZ2469" s="60"/>
      <c r="UTA2469" s="63"/>
      <c r="UTB2469" s="61"/>
      <c r="UTC2469" s="54"/>
      <c r="UTD2469" s="54"/>
      <c r="UTE2469" s="60"/>
      <c r="UTF2469" s="60"/>
      <c r="UTG2469" s="60"/>
      <c r="UTH2469" s="60"/>
      <c r="UTI2469" s="63"/>
      <c r="UTJ2469" s="61"/>
      <c r="UTK2469" s="54"/>
      <c r="UTL2469" s="54"/>
      <c r="UTM2469" s="60"/>
      <c r="UTN2469" s="60"/>
      <c r="UTO2469" s="60"/>
      <c r="UTP2469" s="60"/>
      <c r="UTQ2469" s="63"/>
      <c r="UTR2469" s="61"/>
      <c r="UTS2469" s="54"/>
      <c r="UTT2469" s="54"/>
      <c r="UTU2469" s="60"/>
      <c r="UTV2469" s="60"/>
      <c r="UTW2469" s="60"/>
      <c r="UTX2469" s="60"/>
      <c r="UTY2469" s="63"/>
      <c r="UTZ2469" s="61"/>
      <c r="UUA2469" s="54"/>
      <c r="UUB2469" s="54"/>
      <c r="UUC2469" s="60"/>
      <c r="UUD2469" s="60"/>
      <c r="UUE2469" s="60"/>
      <c r="UUF2469" s="60"/>
      <c r="UUG2469" s="63"/>
      <c r="UUH2469" s="61"/>
      <c r="UUI2469" s="54"/>
      <c r="UUJ2469" s="54"/>
      <c r="UUK2469" s="60"/>
      <c r="UUL2469" s="60"/>
      <c r="UUM2469" s="60"/>
      <c r="UUN2469" s="60"/>
      <c r="UUO2469" s="63"/>
      <c r="UUP2469" s="61"/>
      <c r="UUQ2469" s="54"/>
      <c r="UUR2469" s="54"/>
      <c r="UUS2469" s="60"/>
      <c r="UUT2469" s="60"/>
      <c r="UUU2469" s="60"/>
      <c r="UUV2469" s="60"/>
      <c r="UUW2469" s="63"/>
      <c r="UUX2469" s="61"/>
      <c r="UUY2469" s="54"/>
      <c r="UUZ2469" s="54"/>
      <c r="UVA2469" s="60"/>
      <c r="UVB2469" s="60"/>
      <c r="UVC2469" s="60"/>
      <c r="UVD2469" s="60"/>
      <c r="UVE2469" s="63"/>
      <c r="UVF2469" s="61"/>
      <c r="UVG2469" s="54"/>
      <c r="UVH2469" s="54"/>
      <c r="UVI2469" s="60"/>
      <c r="UVJ2469" s="60"/>
      <c r="UVK2469" s="60"/>
      <c r="UVL2469" s="60"/>
      <c r="UVM2469" s="63"/>
      <c r="UVN2469" s="61"/>
      <c r="UVO2469" s="54"/>
      <c r="UVP2469" s="54"/>
      <c r="UVQ2469" s="60"/>
      <c r="UVR2469" s="60"/>
      <c r="UVS2469" s="60"/>
      <c r="UVT2469" s="60"/>
      <c r="UVU2469" s="63"/>
      <c r="UVV2469" s="61"/>
      <c r="UVW2469" s="54"/>
      <c r="UVX2469" s="54"/>
      <c r="UVY2469" s="60"/>
      <c r="UVZ2469" s="60"/>
      <c r="UWA2469" s="60"/>
      <c r="UWB2469" s="60"/>
      <c r="UWC2469" s="63"/>
      <c r="UWD2469" s="61"/>
      <c r="UWE2469" s="54"/>
      <c r="UWF2469" s="54"/>
      <c r="UWG2469" s="60"/>
      <c r="UWH2469" s="60"/>
      <c r="UWI2469" s="60"/>
      <c r="UWJ2469" s="60"/>
      <c r="UWK2469" s="63"/>
      <c r="UWL2469" s="61"/>
      <c r="UWM2469" s="54"/>
      <c r="UWN2469" s="54"/>
      <c r="UWO2469" s="60"/>
      <c r="UWP2469" s="60"/>
      <c r="UWQ2469" s="60"/>
      <c r="UWR2469" s="60"/>
      <c r="UWS2469" s="63"/>
      <c r="UWT2469" s="61"/>
      <c r="UWU2469" s="54"/>
      <c r="UWV2469" s="54"/>
      <c r="UWW2469" s="60"/>
      <c r="UWX2469" s="60"/>
      <c r="UWY2469" s="60"/>
      <c r="UWZ2469" s="60"/>
      <c r="UXA2469" s="63"/>
      <c r="UXB2469" s="61"/>
      <c r="UXC2469" s="54"/>
      <c r="UXD2469" s="54"/>
      <c r="UXE2469" s="60"/>
      <c r="UXF2469" s="60"/>
      <c r="UXG2469" s="60"/>
      <c r="UXH2469" s="60"/>
      <c r="UXI2469" s="63"/>
      <c r="UXJ2469" s="61"/>
      <c r="UXK2469" s="54"/>
      <c r="UXL2469" s="54"/>
      <c r="UXM2469" s="60"/>
      <c r="UXN2469" s="60"/>
      <c r="UXO2469" s="60"/>
      <c r="UXP2469" s="60"/>
      <c r="UXQ2469" s="63"/>
      <c r="UXR2469" s="61"/>
      <c r="UXS2469" s="54"/>
      <c r="UXT2469" s="54"/>
      <c r="UXU2469" s="60"/>
      <c r="UXV2469" s="60"/>
      <c r="UXW2469" s="60"/>
      <c r="UXX2469" s="60"/>
      <c r="UXY2469" s="63"/>
      <c r="UXZ2469" s="61"/>
      <c r="UYA2469" s="54"/>
      <c r="UYB2469" s="54"/>
      <c r="UYC2469" s="60"/>
      <c r="UYD2469" s="60"/>
      <c r="UYE2469" s="60"/>
      <c r="UYF2469" s="60"/>
      <c r="UYG2469" s="63"/>
      <c r="UYH2469" s="61"/>
      <c r="UYI2469" s="54"/>
      <c r="UYJ2469" s="54"/>
      <c r="UYK2469" s="60"/>
      <c r="UYL2469" s="60"/>
      <c r="UYM2469" s="60"/>
      <c r="UYN2469" s="60"/>
      <c r="UYO2469" s="63"/>
      <c r="UYP2469" s="61"/>
      <c r="UYQ2469" s="54"/>
      <c r="UYR2469" s="54"/>
      <c r="UYS2469" s="60"/>
      <c r="UYT2469" s="60"/>
      <c r="UYU2469" s="60"/>
      <c r="UYV2469" s="60"/>
      <c r="UYW2469" s="63"/>
      <c r="UYX2469" s="61"/>
      <c r="UYY2469" s="54"/>
      <c r="UYZ2469" s="54"/>
      <c r="UZA2469" s="60"/>
      <c r="UZB2469" s="60"/>
      <c r="UZC2469" s="60"/>
      <c r="UZD2469" s="60"/>
      <c r="UZE2469" s="63"/>
      <c r="UZF2469" s="61"/>
      <c r="UZG2469" s="54"/>
      <c r="UZH2469" s="54"/>
      <c r="UZI2469" s="60"/>
      <c r="UZJ2469" s="60"/>
      <c r="UZK2469" s="60"/>
      <c r="UZL2469" s="60"/>
      <c r="UZM2469" s="63"/>
      <c r="UZN2469" s="61"/>
      <c r="UZO2469" s="54"/>
      <c r="UZP2469" s="54"/>
      <c r="UZQ2469" s="60"/>
      <c r="UZR2469" s="60"/>
      <c r="UZS2469" s="60"/>
      <c r="UZT2469" s="60"/>
      <c r="UZU2469" s="63"/>
      <c r="UZV2469" s="61"/>
      <c r="UZW2469" s="54"/>
      <c r="UZX2469" s="54"/>
      <c r="UZY2469" s="60"/>
      <c r="UZZ2469" s="60"/>
      <c r="VAA2469" s="60"/>
      <c r="VAB2469" s="60"/>
      <c r="VAC2469" s="63"/>
      <c r="VAD2469" s="61"/>
      <c r="VAE2469" s="54"/>
      <c r="VAF2469" s="54"/>
      <c r="VAG2469" s="60"/>
      <c r="VAH2469" s="60"/>
      <c r="VAI2469" s="60"/>
      <c r="VAJ2469" s="60"/>
      <c r="VAK2469" s="63"/>
      <c r="VAL2469" s="61"/>
      <c r="VAM2469" s="54"/>
      <c r="VAN2469" s="54"/>
      <c r="VAO2469" s="60"/>
      <c r="VAP2469" s="60"/>
      <c r="VAQ2469" s="60"/>
      <c r="VAR2469" s="60"/>
      <c r="VAS2469" s="63"/>
      <c r="VAT2469" s="61"/>
      <c r="VAU2469" s="54"/>
      <c r="VAV2469" s="54"/>
      <c r="VAW2469" s="60"/>
      <c r="VAX2469" s="60"/>
      <c r="VAY2469" s="60"/>
      <c r="VAZ2469" s="60"/>
      <c r="VBA2469" s="63"/>
      <c r="VBB2469" s="61"/>
      <c r="VBC2469" s="54"/>
      <c r="VBD2469" s="54"/>
      <c r="VBE2469" s="60"/>
      <c r="VBF2469" s="60"/>
      <c r="VBG2469" s="60"/>
      <c r="VBH2469" s="60"/>
      <c r="VBI2469" s="63"/>
      <c r="VBJ2469" s="61"/>
      <c r="VBK2469" s="54"/>
      <c r="VBL2469" s="54"/>
      <c r="VBM2469" s="60"/>
      <c r="VBN2469" s="60"/>
      <c r="VBO2469" s="60"/>
      <c r="VBP2469" s="60"/>
      <c r="VBQ2469" s="63"/>
      <c r="VBR2469" s="61"/>
      <c r="VBS2469" s="54"/>
      <c r="VBT2469" s="54"/>
      <c r="VBU2469" s="60"/>
      <c r="VBV2469" s="60"/>
      <c r="VBW2469" s="60"/>
      <c r="VBX2469" s="60"/>
      <c r="VBY2469" s="63"/>
      <c r="VBZ2469" s="61"/>
      <c r="VCA2469" s="54"/>
      <c r="VCB2469" s="54"/>
      <c r="VCC2469" s="60"/>
      <c r="VCD2469" s="60"/>
      <c r="VCE2469" s="60"/>
      <c r="VCF2469" s="60"/>
      <c r="VCG2469" s="63"/>
      <c r="VCH2469" s="61"/>
      <c r="VCI2469" s="54"/>
      <c r="VCJ2469" s="54"/>
      <c r="VCK2469" s="60"/>
      <c r="VCL2469" s="60"/>
      <c r="VCM2469" s="60"/>
      <c r="VCN2469" s="60"/>
      <c r="VCO2469" s="63"/>
      <c r="VCP2469" s="61"/>
      <c r="VCQ2469" s="54"/>
      <c r="VCR2469" s="54"/>
      <c r="VCS2469" s="60"/>
      <c r="VCT2469" s="60"/>
      <c r="VCU2469" s="60"/>
      <c r="VCV2469" s="60"/>
      <c r="VCW2469" s="63"/>
      <c r="VCX2469" s="61"/>
      <c r="VCY2469" s="54"/>
      <c r="VCZ2469" s="54"/>
      <c r="VDA2469" s="60"/>
      <c r="VDB2469" s="60"/>
      <c r="VDC2469" s="60"/>
      <c r="VDD2469" s="60"/>
      <c r="VDE2469" s="63"/>
      <c r="VDF2469" s="61"/>
      <c r="VDG2469" s="54"/>
      <c r="VDH2469" s="54"/>
      <c r="VDI2469" s="60"/>
      <c r="VDJ2469" s="60"/>
      <c r="VDK2469" s="60"/>
      <c r="VDL2469" s="60"/>
      <c r="VDM2469" s="63"/>
      <c r="VDN2469" s="61"/>
      <c r="VDO2469" s="54"/>
      <c r="VDP2469" s="54"/>
      <c r="VDQ2469" s="60"/>
      <c r="VDR2469" s="60"/>
      <c r="VDS2469" s="60"/>
      <c r="VDT2469" s="60"/>
      <c r="VDU2469" s="63"/>
      <c r="VDV2469" s="61"/>
      <c r="VDW2469" s="54"/>
      <c r="VDX2469" s="54"/>
      <c r="VDY2469" s="60"/>
      <c r="VDZ2469" s="60"/>
      <c r="VEA2469" s="60"/>
      <c r="VEB2469" s="60"/>
      <c r="VEC2469" s="63"/>
      <c r="VED2469" s="61"/>
      <c r="VEE2469" s="54"/>
      <c r="VEF2469" s="54"/>
      <c r="VEG2469" s="60"/>
      <c r="VEH2469" s="60"/>
      <c r="VEI2469" s="60"/>
      <c r="VEJ2469" s="60"/>
      <c r="VEK2469" s="63"/>
      <c r="VEL2469" s="61"/>
      <c r="VEM2469" s="54"/>
      <c r="VEN2469" s="54"/>
      <c r="VEO2469" s="60"/>
      <c r="VEP2469" s="60"/>
      <c r="VEQ2469" s="60"/>
      <c r="VER2469" s="60"/>
      <c r="VES2469" s="63"/>
      <c r="VET2469" s="61"/>
      <c r="VEU2469" s="54"/>
      <c r="VEV2469" s="54"/>
      <c r="VEW2469" s="60"/>
      <c r="VEX2469" s="60"/>
      <c r="VEY2469" s="60"/>
      <c r="VEZ2469" s="60"/>
      <c r="VFA2469" s="63"/>
      <c r="VFB2469" s="61"/>
      <c r="VFC2469" s="54"/>
      <c r="VFD2469" s="54"/>
      <c r="VFE2469" s="60"/>
      <c r="VFF2469" s="60"/>
      <c r="VFG2469" s="60"/>
      <c r="VFH2469" s="60"/>
      <c r="VFI2469" s="63"/>
      <c r="VFJ2469" s="61"/>
      <c r="VFK2469" s="54"/>
      <c r="VFL2469" s="54"/>
      <c r="VFM2469" s="60"/>
      <c r="VFN2469" s="60"/>
      <c r="VFO2469" s="60"/>
      <c r="VFP2469" s="60"/>
      <c r="VFQ2469" s="63"/>
      <c r="VFR2469" s="61"/>
      <c r="VFS2469" s="54"/>
      <c r="VFT2469" s="54"/>
      <c r="VFU2469" s="60"/>
      <c r="VFV2469" s="60"/>
      <c r="VFW2469" s="60"/>
      <c r="VFX2469" s="60"/>
      <c r="VFY2469" s="63"/>
      <c r="VFZ2469" s="61"/>
      <c r="VGA2469" s="54"/>
      <c r="VGB2469" s="54"/>
      <c r="VGC2469" s="60"/>
      <c r="VGD2469" s="60"/>
      <c r="VGE2469" s="60"/>
      <c r="VGF2469" s="60"/>
      <c r="VGG2469" s="63"/>
      <c r="VGH2469" s="61"/>
      <c r="VGI2469" s="54"/>
      <c r="VGJ2469" s="54"/>
      <c r="VGK2469" s="60"/>
      <c r="VGL2469" s="60"/>
      <c r="VGM2469" s="60"/>
      <c r="VGN2469" s="60"/>
      <c r="VGO2469" s="63"/>
      <c r="VGP2469" s="61"/>
      <c r="VGQ2469" s="54"/>
      <c r="VGR2469" s="54"/>
      <c r="VGS2469" s="60"/>
      <c r="VGT2469" s="60"/>
      <c r="VGU2469" s="60"/>
      <c r="VGV2469" s="60"/>
      <c r="VGW2469" s="63"/>
      <c r="VGX2469" s="61"/>
      <c r="VGY2469" s="54"/>
      <c r="VGZ2469" s="54"/>
      <c r="VHA2469" s="60"/>
      <c r="VHB2469" s="60"/>
      <c r="VHC2469" s="60"/>
      <c r="VHD2469" s="60"/>
      <c r="VHE2469" s="63"/>
      <c r="VHF2469" s="61"/>
      <c r="VHG2469" s="54"/>
      <c r="VHH2469" s="54"/>
      <c r="VHI2469" s="60"/>
      <c r="VHJ2469" s="60"/>
      <c r="VHK2469" s="60"/>
      <c r="VHL2469" s="60"/>
      <c r="VHM2469" s="63"/>
      <c r="VHN2469" s="61"/>
      <c r="VHO2469" s="54"/>
      <c r="VHP2469" s="54"/>
      <c r="VHQ2469" s="60"/>
      <c r="VHR2469" s="60"/>
      <c r="VHS2469" s="60"/>
      <c r="VHT2469" s="60"/>
      <c r="VHU2469" s="63"/>
      <c r="VHV2469" s="61"/>
      <c r="VHW2469" s="54"/>
      <c r="VHX2469" s="54"/>
      <c r="VHY2469" s="60"/>
      <c r="VHZ2469" s="60"/>
      <c r="VIA2469" s="60"/>
      <c r="VIB2469" s="60"/>
      <c r="VIC2469" s="63"/>
      <c r="VID2469" s="61"/>
      <c r="VIE2469" s="54"/>
      <c r="VIF2469" s="54"/>
      <c r="VIG2469" s="60"/>
      <c r="VIH2469" s="60"/>
      <c r="VII2469" s="60"/>
      <c r="VIJ2469" s="60"/>
      <c r="VIK2469" s="63"/>
      <c r="VIL2469" s="61"/>
      <c r="VIM2469" s="54"/>
      <c r="VIN2469" s="54"/>
      <c r="VIO2469" s="60"/>
      <c r="VIP2469" s="60"/>
      <c r="VIQ2469" s="60"/>
      <c r="VIR2469" s="60"/>
      <c r="VIS2469" s="63"/>
      <c r="VIT2469" s="61"/>
      <c r="VIU2469" s="54"/>
      <c r="VIV2469" s="54"/>
      <c r="VIW2469" s="60"/>
      <c r="VIX2469" s="60"/>
      <c r="VIY2469" s="60"/>
      <c r="VIZ2469" s="60"/>
      <c r="VJA2469" s="63"/>
      <c r="VJB2469" s="61"/>
      <c r="VJC2469" s="54"/>
      <c r="VJD2469" s="54"/>
      <c r="VJE2469" s="60"/>
      <c r="VJF2469" s="60"/>
      <c r="VJG2469" s="60"/>
      <c r="VJH2469" s="60"/>
      <c r="VJI2469" s="63"/>
      <c r="VJJ2469" s="61"/>
      <c r="VJK2469" s="54"/>
      <c r="VJL2469" s="54"/>
      <c r="VJM2469" s="60"/>
      <c r="VJN2469" s="60"/>
      <c r="VJO2469" s="60"/>
      <c r="VJP2469" s="60"/>
      <c r="VJQ2469" s="63"/>
      <c r="VJR2469" s="61"/>
      <c r="VJS2469" s="54"/>
      <c r="VJT2469" s="54"/>
      <c r="VJU2469" s="60"/>
      <c r="VJV2469" s="60"/>
      <c r="VJW2469" s="60"/>
      <c r="VJX2469" s="60"/>
      <c r="VJY2469" s="63"/>
      <c r="VJZ2469" s="61"/>
      <c r="VKA2469" s="54"/>
      <c r="VKB2469" s="54"/>
      <c r="VKC2469" s="60"/>
      <c r="VKD2469" s="60"/>
      <c r="VKE2469" s="60"/>
      <c r="VKF2469" s="60"/>
      <c r="VKG2469" s="63"/>
      <c r="VKH2469" s="61"/>
      <c r="VKI2469" s="54"/>
      <c r="VKJ2469" s="54"/>
      <c r="VKK2469" s="60"/>
      <c r="VKL2469" s="60"/>
      <c r="VKM2469" s="60"/>
      <c r="VKN2469" s="60"/>
      <c r="VKO2469" s="63"/>
      <c r="VKP2469" s="61"/>
      <c r="VKQ2469" s="54"/>
      <c r="VKR2469" s="54"/>
      <c r="VKS2469" s="60"/>
      <c r="VKT2469" s="60"/>
      <c r="VKU2469" s="60"/>
      <c r="VKV2469" s="60"/>
      <c r="VKW2469" s="63"/>
      <c r="VKX2469" s="61"/>
      <c r="VKY2469" s="54"/>
      <c r="VKZ2469" s="54"/>
      <c r="VLA2469" s="60"/>
      <c r="VLB2469" s="60"/>
      <c r="VLC2469" s="60"/>
      <c r="VLD2469" s="60"/>
      <c r="VLE2469" s="63"/>
      <c r="VLF2469" s="61"/>
      <c r="VLG2469" s="54"/>
      <c r="VLH2469" s="54"/>
      <c r="VLI2469" s="60"/>
      <c r="VLJ2469" s="60"/>
      <c r="VLK2469" s="60"/>
      <c r="VLL2469" s="60"/>
      <c r="VLM2469" s="63"/>
      <c r="VLN2469" s="61"/>
      <c r="VLO2469" s="54"/>
      <c r="VLP2469" s="54"/>
      <c r="VLQ2469" s="60"/>
      <c r="VLR2469" s="60"/>
      <c r="VLS2469" s="60"/>
      <c r="VLT2469" s="60"/>
      <c r="VLU2469" s="63"/>
      <c r="VLV2469" s="61"/>
      <c r="VLW2469" s="54"/>
      <c r="VLX2469" s="54"/>
      <c r="VLY2469" s="60"/>
      <c r="VLZ2469" s="60"/>
      <c r="VMA2469" s="60"/>
      <c r="VMB2469" s="60"/>
      <c r="VMC2469" s="63"/>
      <c r="VMD2469" s="61"/>
      <c r="VME2469" s="54"/>
      <c r="VMF2469" s="54"/>
      <c r="VMG2469" s="60"/>
      <c r="VMH2469" s="60"/>
      <c r="VMI2469" s="60"/>
      <c r="VMJ2469" s="60"/>
      <c r="VMK2469" s="63"/>
      <c r="VML2469" s="61"/>
      <c r="VMM2469" s="54"/>
      <c r="VMN2469" s="54"/>
      <c r="VMO2469" s="60"/>
      <c r="VMP2469" s="60"/>
      <c r="VMQ2469" s="60"/>
      <c r="VMR2469" s="60"/>
      <c r="VMS2469" s="63"/>
      <c r="VMT2469" s="61"/>
      <c r="VMU2469" s="54"/>
      <c r="VMV2469" s="54"/>
      <c r="VMW2469" s="60"/>
      <c r="VMX2469" s="60"/>
      <c r="VMY2469" s="60"/>
      <c r="VMZ2469" s="60"/>
      <c r="VNA2469" s="63"/>
      <c r="VNB2469" s="61"/>
      <c r="VNC2469" s="54"/>
      <c r="VND2469" s="54"/>
      <c r="VNE2469" s="60"/>
      <c r="VNF2469" s="60"/>
      <c r="VNG2469" s="60"/>
      <c r="VNH2469" s="60"/>
      <c r="VNI2469" s="63"/>
      <c r="VNJ2469" s="61"/>
      <c r="VNK2469" s="54"/>
      <c r="VNL2469" s="54"/>
      <c r="VNM2469" s="60"/>
      <c r="VNN2469" s="60"/>
      <c r="VNO2469" s="60"/>
      <c r="VNP2469" s="60"/>
      <c r="VNQ2469" s="63"/>
      <c r="VNR2469" s="61"/>
      <c r="VNS2469" s="54"/>
      <c r="VNT2469" s="54"/>
      <c r="VNU2469" s="60"/>
      <c r="VNV2469" s="60"/>
      <c r="VNW2469" s="60"/>
      <c r="VNX2469" s="60"/>
      <c r="VNY2469" s="63"/>
      <c r="VNZ2469" s="61"/>
      <c r="VOA2469" s="54"/>
      <c r="VOB2469" s="54"/>
      <c r="VOC2469" s="60"/>
      <c r="VOD2469" s="60"/>
      <c r="VOE2469" s="60"/>
      <c r="VOF2469" s="60"/>
      <c r="VOG2469" s="63"/>
      <c r="VOH2469" s="61"/>
      <c r="VOI2469" s="54"/>
      <c r="VOJ2469" s="54"/>
      <c r="VOK2469" s="60"/>
      <c r="VOL2469" s="60"/>
      <c r="VOM2469" s="60"/>
      <c r="VON2469" s="60"/>
      <c r="VOO2469" s="63"/>
      <c r="VOP2469" s="61"/>
      <c r="VOQ2469" s="54"/>
      <c r="VOR2469" s="54"/>
      <c r="VOS2469" s="60"/>
      <c r="VOT2469" s="60"/>
      <c r="VOU2469" s="60"/>
      <c r="VOV2469" s="60"/>
      <c r="VOW2469" s="63"/>
      <c r="VOX2469" s="61"/>
      <c r="VOY2469" s="54"/>
      <c r="VOZ2469" s="54"/>
      <c r="VPA2469" s="60"/>
      <c r="VPB2469" s="60"/>
      <c r="VPC2469" s="60"/>
      <c r="VPD2469" s="60"/>
      <c r="VPE2469" s="63"/>
      <c r="VPF2469" s="61"/>
      <c r="VPG2469" s="54"/>
      <c r="VPH2469" s="54"/>
      <c r="VPI2469" s="60"/>
      <c r="VPJ2469" s="60"/>
      <c r="VPK2469" s="60"/>
      <c r="VPL2469" s="60"/>
      <c r="VPM2469" s="63"/>
      <c r="VPN2469" s="61"/>
      <c r="VPO2469" s="54"/>
      <c r="VPP2469" s="54"/>
      <c r="VPQ2469" s="60"/>
      <c r="VPR2469" s="60"/>
      <c r="VPS2469" s="60"/>
      <c r="VPT2469" s="60"/>
      <c r="VPU2469" s="63"/>
      <c r="VPV2469" s="61"/>
      <c r="VPW2469" s="54"/>
      <c r="VPX2469" s="54"/>
      <c r="VPY2469" s="60"/>
      <c r="VPZ2469" s="60"/>
      <c r="VQA2469" s="60"/>
      <c r="VQB2469" s="60"/>
      <c r="VQC2469" s="63"/>
      <c r="VQD2469" s="61"/>
      <c r="VQE2469" s="54"/>
      <c r="VQF2469" s="54"/>
      <c r="VQG2469" s="60"/>
      <c r="VQH2469" s="60"/>
      <c r="VQI2469" s="60"/>
      <c r="VQJ2469" s="60"/>
      <c r="VQK2469" s="63"/>
      <c r="VQL2469" s="61"/>
      <c r="VQM2469" s="54"/>
      <c r="VQN2469" s="54"/>
      <c r="VQO2469" s="60"/>
      <c r="VQP2469" s="60"/>
      <c r="VQQ2469" s="60"/>
      <c r="VQR2469" s="60"/>
      <c r="VQS2469" s="63"/>
      <c r="VQT2469" s="61"/>
      <c r="VQU2469" s="54"/>
      <c r="VQV2469" s="54"/>
      <c r="VQW2469" s="60"/>
      <c r="VQX2469" s="60"/>
      <c r="VQY2469" s="60"/>
      <c r="VQZ2469" s="60"/>
      <c r="VRA2469" s="63"/>
      <c r="VRB2469" s="61"/>
      <c r="VRC2469" s="54"/>
      <c r="VRD2469" s="54"/>
      <c r="VRE2469" s="60"/>
      <c r="VRF2469" s="60"/>
      <c r="VRG2469" s="60"/>
      <c r="VRH2469" s="60"/>
      <c r="VRI2469" s="63"/>
      <c r="VRJ2469" s="61"/>
      <c r="VRK2469" s="54"/>
      <c r="VRL2469" s="54"/>
      <c r="VRM2469" s="60"/>
      <c r="VRN2469" s="60"/>
      <c r="VRO2469" s="60"/>
      <c r="VRP2469" s="60"/>
      <c r="VRQ2469" s="63"/>
      <c r="VRR2469" s="61"/>
      <c r="VRS2469" s="54"/>
      <c r="VRT2469" s="54"/>
      <c r="VRU2469" s="60"/>
      <c r="VRV2469" s="60"/>
      <c r="VRW2469" s="60"/>
      <c r="VRX2469" s="60"/>
      <c r="VRY2469" s="63"/>
      <c r="VRZ2469" s="61"/>
      <c r="VSA2469" s="54"/>
      <c r="VSB2469" s="54"/>
      <c r="VSC2469" s="60"/>
      <c r="VSD2469" s="60"/>
      <c r="VSE2469" s="60"/>
      <c r="VSF2469" s="60"/>
      <c r="VSG2469" s="63"/>
      <c r="VSH2469" s="61"/>
      <c r="VSI2469" s="54"/>
      <c r="VSJ2469" s="54"/>
      <c r="VSK2469" s="60"/>
      <c r="VSL2469" s="60"/>
      <c r="VSM2469" s="60"/>
      <c r="VSN2469" s="60"/>
      <c r="VSO2469" s="63"/>
      <c r="VSP2469" s="61"/>
      <c r="VSQ2469" s="54"/>
      <c r="VSR2469" s="54"/>
      <c r="VSS2469" s="60"/>
      <c r="VST2469" s="60"/>
      <c r="VSU2469" s="60"/>
      <c r="VSV2469" s="60"/>
      <c r="VSW2469" s="63"/>
      <c r="VSX2469" s="61"/>
      <c r="VSY2469" s="54"/>
      <c r="VSZ2469" s="54"/>
      <c r="VTA2469" s="60"/>
      <c r="VTB2469" s="60"/>
      <c r="VTC2469" s="60"/>
      <c r="VTD2469" s="60"/>
      <c r="VTE2469" s="63"/>
      <c r="VTF2469" s="61"/>
      <c r="VTG2469" s="54"/>
      <c r="VTH2469" s="54"/>
      <c r="VTI2469" s="60"/>
      <c r="VTJ2469" s="60"/>
      <c r="VTK2469" s="60"/>
      <c r="VTL2469" s="60"/>
      <c r="VTM2469" s="63"/>
      <c r="VTN2469" s="61"/>
      <c r="VTO2469" s="54"/>
      <c r="VTP2469" s="54"/>
      <c r="VTQ2469" s="60"/>
      <c r="VTR2469" s="60"/>
      <c r="VTS2469" s="60"/>
      <c r="VTT2469" s="60"/>
      <c r="VTU2469" s="63"/>
      <c r="VTV2469" s="61"/>
      <c r="VTW2469" s="54"/>
      <c r="VTX2469" s="54"/>
      <c r="VTY2469" s="60"/>
      <c r="VTZ2469" s="60"/>
      <c r="VUA2469" s="60"/>
      <c r="VUB2469" s="60"/>
      <c r="VUC2469" s="63"/>
      <c r="VUD2469" s="61"/>
      <c r="VUE2469" s="54"/>
      <c r="VUF2469" s="54"/>
      <c r="VUG2469" s="60"/>
      <c r="VUH2469" s="60"/>
      <c r="VUI2469" s="60"/>
      <c r="VUJ2469" s="60"/>
      <c r="VUK2469" s="63"/>
      <c r="VUL2469" s="61"/>
      <c r="VUM2469" s="54"/>
      <c r="VUN2469" s="54"/>
      <c r="VUO2469" s="60"/>
      <c r="VUP2469" s="60"/>
      <c r="VUQ2469" s="60"/>
      <c r="VUR2469" s="60"/>
      <c r="VUS2469" s="63"/>
      <c r="VUT2469" s="61"/>
      <c r="VUU2469" s="54"/>
      <c r="VUV2469" s="54"/>
      <c r="VUW2469" s="60"/>
      <c r="VUX2469" s="60"/>
      <c r="VUY2469" s="60"/>
      <c r="VUZ2469" s="60"/>
      <c r="VVA2469" s="63"/>
      <c r="VVB2469" s="61"/>
      <c r="VVC2469" s="54"/>
      <c r="VVD2469" s="54"/>
      <c r="VVE2469" s="60"/>
      <c r="VVF2469" s="60"/>
      <c r="VVG2469" s="60"/>
      <c r="VVH2469" s="60"/>
      <c r="VVI2469" s="63"/>
      <c r="VVJ2469" s="61"/>
      <c r="VVK2469" s="54"/>
      <c r="VVL2469" s="54"/>
      <c r="VVM2469" s="60"/>
      <c r="VVN2469" s="60"/>
      <c r="VVO2469" s="60"/>
      <c r="VVP2469" s="60"/>
      <c r="VVQ2469" s="63"/>
      <c r="VVR2469" s="61"/>
      <c r="VVS2469" s="54"/>
      <c r="VVT2469" s="54"/>
      <c r="VVU2469" s="60"/>
      <c r="VVV2469" s="60"/>
      <c r="VVW2469" s="60"/>
      <c r="VVX2469" s="60"/>
      <c r="VVY2469" s="63"/>
      <c r="VVZ2469" s="61"/>
      <c r="VWA2469" s="54"/>
      <c r="VWB2469" s="54"/>
      <c r="VWC2469" s="60"/>
      <c r="VWD2469" s="60"/>
      <c r="VWE2469" s="60"/>
      <c r="VWF2469" s="60"/>
      <c r="VWG2469" s="63"/>
      <c r="VWH2469" s="61"/>
      <c r="VWI2469" s="54"/>
      <c r="VWJ2469" s="54"/>
      <c r="VWK2469" s="60"/>
      <c r="VWL2469" s="60"/>
      <c r="VWM2469" s="60"/>
      <c r="VWN2469" s="60"/>
      <c r="VWO2469" s="63"/>
      <c r="VWP2469" s="61"/>
      <c r="VWQ2469" s="54"/>
      <c r="VWR2469" s="54"/>
      <c r="VWS2469" s="60"/>
      <c r="VWT2469" s="60"/>
      <c r="VWU2469" s="60"/>
      <c r="VWV2469" s="60"/>
      <c r="VWW2469" s="63"/>
      <c r="VWX2469" s="61"/>
      <c r="VWY2469" s="54"/>
      <c r="VWZ2469" s="54"/>
      <c r="VXA2469" s="60"/>
      <c r="VXB2469" s="60"/>
      <c r="VXC2469" s="60"/>
      <c r="VXD2469" s="60"/>
      <c r="VXE2469" s="63"/>
      <c r="VXF2469" s="61"/>
      <c r="VXG2469" s="54"/>
      <c r="VXH2469" s="54"/>
      <c r="VXI2469" s="60"/>
      <c r="VXJ2469" s="60"/>
      <c r="VXK2469" s="60"/>
      <c r="VXL2469" s="60"/>
      <c r="VXM2469" s="63"/>
      <c r="VXN2469" s="61"/>
      <c r="VXO2469" s="54"/>
      <c r="VXP2469" s="54"/>
      <c r="VXQ2469" s="60"/>
      <c r="VXR2469" s="60"/>
      <c r="VXS2469" s="60"/>
      <c r="VXT2469" s="60"/>
      <c r="VXU2469" s="63"/>
      <c r="VXV2469" s="61"/>
      <c r="VXW2469" s="54"/>
      <c r="VXX2469" s="54"/>
      <c r="VXY2469" s="60"/>
      <c r="VXZ2469" s="60"/>
      <c r="VYA2469" s="60"/>
      <c r="VYB2469" s="60"/>
      <c r="VYC2469" s="63"/>
      <c r="VYD2469" s="61"/>
      <c r="VYE2469" s="54"/>
      <c r="VYF2469" s="54"/>
      <c r="VYG2469" s="60"/>
      <c r="VYH2469" s="60"/>
      <c r="VYI2469" s="60"/>
      <c r="VYJ2469" s="60"/>
      <c r="VYK2469" s="63"/>
      <c r="VYL2469" s="61"/>
      <c r="VYM2469" s="54"/>
      <c r="VYN2469" s="54"/>
      <c r="VYO2469" s="60"/>
      <c r="VYP2469" s="60"/>
      <c r="VYQ2469" s="60"/>
      <c r="VYR2469" s="60"/>
      <c r="VYS2469" s="63"/>
      <c r="VYT2469" s="61"/>
      <c r="VYU2469" s="54"/>
      <c r="VYV2469" s="54"/>
      <c r="VYW2469" s="60"/>
      <c r="VYX2469" s="60"/>
      <c r="VYY2469" s="60"/>
      <c r="VYZ2469" s="60"/>
      <c r="VZA2469" s="63"/>
      <c r="VZB2469" s="61"/>
      <c r="VZC2469" s="54"/>
      <c r="VZD2469" s="54"/>
      <c r="VZE2469" s="60"/>
      <c r="VZF2469" s="60"/>
      <c r="VZG2469" s="60"/>
      <c r="VZH2469" s="60"/>
      <c r="VZI2469" s="63"/>
      <c r="VZJ2469" s="61"/>
      <c r="VZK2469" s="54"/>
      <c r="VZL2469" s="54"/>
      <c r="VZM2469" s="60"/>
      <c r="VZN2469" s="60"/>
      <c r="VZO2469" s="60"/>
      <c r="VZP2469" s="60"/>
      <c r="VZQ2469" s="63"/>
      <c r="VZR2469" s="61"/>
      <c r="VZS2469" s="54"/>
      <c r="VZT2469" s="54"/>
      <c r="VZU2469" s="60"/>
      <c r="VZV2469" s="60"/>
      <c r="VZW2469" s="60"/>
      <c r="VZX2469" s="60"/>
      <c r="VZY2469" s="63"/>
      <c r="VZZ2469" s="61"/>
      <c r="WAA2469" s="54"/>
      <c r="WAB2469" s="54"/>
      <c r="WAC2469" s="60"/>
      <c r="WAD2469" s="60"/>
      <c r="WAE2469" s="60"/>
      <c r="WAF2469" s="60"/>
      <c r="WAG2469" s="63"/>
      <c r="WAH2469" s="61"/>
      <c r="WAI2469" s="54"/>
      <c r="WAJ2469" s="54"/>
      <c r="WAK2469" s="60"/>
      <c r="WAL2469" s="60"/>
      <c r="WAM2469" s="60"/>
      <c r="WAN2469" s="60"/>
      <c r="WAO2469" s="63"/>
      <c r="WAP2469" s="61"/>
      <c r="WAQ2469" s="54"/>
      <c r="WAR2469" s="54"/>
      <c r="WAS2469" s="60"/>
      <c r="WAT2469" s="60"/>
      <c r="WAU2469" s="60"/>
      <c r="WAV2469" s="60"/>
      <c r="WAW2469" s="63"/>
      <c r="WAX2469" s="61"/>
      <c r="WAY2469" s="54"/>
      <c r="WAZ2469" s="54"/>
      <c r="WBA2469" s="60"/>
      <c r="WBB2469" s="60"/>
      <c r="WBC2469" s="60"/>
      <c r="WBD2469" s="60"/>
      <c r="WBE2469" s="63"/>
      <c r="WBF2469" s="61"/>
      <c r="WBG2469" s="54"/>
      <c r="WBH2469" s="54"/>
      <c r="WBI2469" s="60"/>
      <c r="WBJ2469" s="60"/>
      <c r="WBK2469" s="60"/>
      <c r="WBL2469" s="60"/>
      <c r="WBM2469" s="63"/>
      <c r="WBN2469" s="61"/>
      <c r="WBO2469" s="54"/>
      <c r="WBP2469" s="54"/>
      <c r="WBQ2469" s="60"/>
      <c r="WBR2469" s="60"/>
      <c r="WBS2469" s="60"/>
      <c r="WBT2469" s="60"/>
      <c r="WBU2469" s="63"/>
      <c r="WBV2469" s="61"/>
      <c r="WBW2469" s="54"/>
      <c r="WBX2469" s="54"/>
      <c r="WBY2469" s="60"/>
      <c r="WBZ2469" s="60"/>
      <c r="WCA2469" s="60"/>
      <c r="WCB2469" s="60"/>
      <c r="WCC2469" s="63"/>
      <c r="WCD2469" s="61"/>
      <c r="WCE2469" s="54"/>
      <c r="WCF2469" s="54"/>
      <c r="WCG2469" s="60"/>
      <c r="WCH2469" s="60"/>
      <c r="WCI2469" s="60"/>
      <c r="WCJ2469" s="60"/>
      <c r="WCK2469" s="63"/>
      <c r="WCL2469" s="61"/>
      <c r="WCM2469" s="54"/>
      <c r="WCN2469" s="54"/>
      <c r="WCO2469" s="60"/>
      <c r="WCP2469" s="60"/>
      <c r="WCQ2469" s="60"/>
      <c r="WCR2469" s="60"/>
      <c r="WCS2469" s="63"/>
      <c r="WCT2469" s="61"/>
      <c r="WCU2469" s="54"/>
      <c r="WCV2469" s="54"/>
      <c r="WCW2469" s="60"/>
      <c r="WCX2469" s="60"/>
      <c r="WCY2469" s="60"/>
      <c r="WCZ2469" s="60"/>
      <c r="WDA2469" s="63"/>
      <c r="WDB2469" s="61"/>
      <c r="WDC2469" s="54"/>
      <c r="WDD2469" s="54"/>
      <c r="WDE2469" s="60"/>
      <c r="WDF2469" s="60"/>
      <c r="WDG2469" s="60"/>
      <c r="WDH2469" s="60"/>
      <c r="WDI2469" s="63"/>
      <c r="WDJ2469" s="61"/>
      <c r="WDK2469" s="54"/>
      <c r="WDL2469" s="54"/>
      <c r="WDM2469" s="60"/>
      <c r="WDN2469" s="60"/>
      <c r="WDO2469" s="60"/>
      <c r="WDP2469" s="60"/>
      <c r="WDQ2469" s="63"/>
      <c r="WDR2469" s="61"/>
      <c r="WDS2469" s="54"/>
      <c r="WDT2469" s="54"/>
      <c r="WDU2469" s="60"/>
      <c r="WDV2469" s="60"/>
      <c r="WDW2469" s="60"/>
      <c r="WDX2469" s="60"/>
      <c r="WDY2469" s="63"/>
      <c r="WDZ2469" s="61"/>
      <c r="WEA2469" s="54"/>
      <c r="WEB2469" s="54"/>
      <c r="WEC2469" s="60"/>
      <c r="WED2469" s="60"/>
      <c r="WEE2469" s="60"/>
      <c r="WEF2469" s="60"/>
      <c r="WEG2469" s="63"/>
      <c r="WEH2469" s="61"/>
      <c r="WEI2469" s="54"/>
      <c r="WEJ2469" s="54"/>
      <c r="WEK2469" s="60"/>
      <c r="WEL2469" s="60"/>
      <c r="WEM2469" s="60"/>
      <c r="WEN2469" s="60"/>
      <c r="WEO2469" s="63"/>
      <c r="WEP2469" s="61"/>
      <c r="WEQ2469" s="54"/>
      <c r="WER2469" s="54"/>
      <c r="WES2469" s="60"/>
      <c r="WET2469" s="60"/>
      <c r="WEU2469" s="60"/>
      <c r="WEV2469" s="60"/>
      <c r="WEW2469" s="63"/>
      <c r="WEX2469" s="61"/>
      <c r="WEY2469" s="54"/>
      <c r="WEZ2469" s="54"/>
      <c r="WFA2469" s="60"/>
      <c r="WFB2469" s="60"/>
      <c r="WFC2469" s="60"/>
      <c r="WFD2469" s="60"/>
      <c r="WFE2469" s="63"/>
      <c r="WFF2469" s="61"/>
      <c r="WFG2469" s="54"/>
      <c r="WFH2469" s="54"/>
      <c r="WFI2469" s="60"/>
      <c r="WFJ2469" s="60"/>
      <c r="WFK2469" s="60"/>
      <c r="WFL2469" s="60"/>
      <c r="WFM2469" s="63"/>
      <c r="WFN2469" s="61"/>
      <c r="WFO2469" s="54"/>
      <c r="WFP2469" s="54"/>
      <c r="WFQ2469" s="60"/>
      <c r="WFR2469" s="60"/>
      <c r="WFS2469" s="60"/>
      <c r="WFT2469" s="60"/>
      <c r="WFU2469" s="63"/>
      <c r="WFV2469" s="61"/>
      <c r="WFW2469" s="54"/>
      <c r="WFX2469" s="54"/>
      <c r="WFY2469" s="60"/>
      <c r="WFZ2469" s="60"/>
      <c r="WGA2469" s="60"/>
      <c r="WGB2469" s="60"/>
      <c r="WGC2469" s="63"/>
      <c r="WGD2469" s="61"/>
      <c r="WGE2469" s="54"/>
      <c r="WGF2469" s="54"/>
      <c r="WGG2469" s="60"/>
      <c r="WGH2469" s="60"/>
      <c r="WGI2469" s="60"/>
      <c r="WGJ2469" s="60"/>
      <c r="WGK2469" s="63"/>
      <c r="WGL2469" s="61"/>
      <c r="WGM2469" s="54"/>
      <c r="WGN2469" s="54"/>
      <c r="WGO2469" s="60"/>
      <c r="WGP2469" s="60"/>
      <c r="WGQ2469" s="60"/>
      <c r="WGR2469" s="60"/>
      <c r="WGS2469" s="63"/>
      <c r="WGT2469" s="61"/>
      <c r="WGU2469" s="54"/>
      <c r="WGV2469" s="54"/>
      <c r="WGW2469" s="60"/>
      <c r="WGX2469" s="60"/>
      <c r="WGY2469" s="60"/>
      <c r="WGZ2469" s="60"/>
      <c r="WHA2469" s="63"/>
      <c r="WHB2469" s="61"/>
      <c r="WHC2469" s="54"/>
      <c r="WHD2469" s="54"/>
      <c r="WHE2469" s="60"/>
      <c r="WHF2469" s="60"/>
      <c r="WHG2469" s="60"/>
      <c r="WHH2469" s="60"/>
      <c r="WHI2469" s="63"/>
      <c r="WHJ2469" s="61"/>
      <c r="WHK2469" s="54"/>
      <c r="WHL2469" s="54"/>
      <c r="WHM2469" s="60"/>
      <c r="WHN2469" s="60"/>
      <c r="WHO2469" s="60"/>
      <c r="WHP2469" s="60"/>
      <c r="WHQ2469" s="63"/>
      <c r="WHR2469" s="61"/>
      <c r="WHS2469" s="54"/>
      <c r="WHT2469" s="54"/>
      <c r="WHU2469" s="60"/>
      <c r="WHV2469" s="60"/>
      <c r="WHW2469" s="60"/>
      <c r="WHX2469" s="60"/>
      <c r="WHY2469" s="63"/>
      <c r="WHZ2469" s="61"/>
      <c r="WIA2469" s="54"/>
      <c r="WIB2469" s="54"/>
      <c r="WIC2469" s="60"/>
      <c r="WID2469" s="60"/>
      <c r="WIE2469" s="60"/>
      <c r="WIF2469" s="60"/>
      <c r="WIG2469" s="63"/>
      <c r="WIH2469" s="61"/>
      <c r="WII2469" s="54"/>
      <c r="WIJ2469" s="54"/>
      <c r="WIK2469" s="60"/>
      <c r="WIL2469" s="60"/>
      <c r="WIM2469" s="60"/>
      <c r="WIN2469" s="60"/>
      <c r="WIO2469" s="63"/>
      <c r="WIP2469" s="61"/>
      <c r="WIQ2469" s="54"/>
      <c r="WIR2469" s="54"/>
      <c r="WIS2469" s="60"/>
      <c r="WIT2469" s="60"/>
      <c r="WIU2469" s="60"/>
      <c r="WIV2469" s="60"/>
      <c r="WIW2469" s="63"/>
      <c r="WIX2469" s="61"/>
      <c r="WIY2469" s="54"/>
      <c r="WIZ2469" s="54"/>
      <c r="WJA2469" s="60"/>
      <c r="WJB2469" s="60"/>
      <c r="WJC2469" s="60"/>
      <c r="WJD2469" s="60"/>
      <c r="WJE2469" s="63"/>
      <c r="WJF2469" s="61"/>
      <c r="WJG2469" s="54"/>
      <c r="WJH2469" s="54"/>
      <c r="WJI2469" s="60"/>
      <c r="WJJ2469" s="60"/>
      <c r="WJK2469" s="60"/>
      <c r="WJL2469" s="60"/>
      <c r="WJM2469" s="63"/>
      <c r="WJN2469" s="61"/>
      <c r="WJO2469" s="54"/>
      <c r="WJP2469" s="54"/>
      <c r="WJQ2469" s="60"/>
      <c r="WJR2469" s="60"/>
      <c r="WJS2469" s="60"/>
      <c r="WJT2469" s="60"/>
      <c r="WJU2469" s="63"/>
      <c r="WJV2469" s="61"/>
      <c r="WJW2469" s="54"/>
      <c r="WJX2469" s="54"/>
      <c r="WJY2469" s="60"/>
      <c r="WJZ2469" s="60"/>
      <c r="WKA2469" s="60"/>
      <c r="WKB2469" s="60"/>
      <c r="WKC2469" s="63"/>
      <c r="WKD2469" s="61"/>
      <c r="WKE2469" s="54"/>
      <c r="WKF2469" s="54"/>
      <c r="WKG2469" s="60"/>
      <c r="WKH2469" s="60"/>
      <c r="WKI2469" s="60"/>
      <c r="WKJ2469" s="60"/>
      <c r="WKK2469" s="63"/>
      <c r="WKL2469" s="61"/>
      <c r="WKM2469" s="54"/>
      <c r="WKN2469" s="54"/>
      <c r="WKO2469" s="60"/>
      <c r="WKP2469" s="60"/>
      <c r="WKQ2469" s="60"/>
      <c r="WKR2469" s="60"/>
      <c r="WKS2469" s="63"/>
      <c r="WKT2469" s="61"/>
      <c r="WKU2469" s="54"/>
      <c r="WKV2469" s="54"/>
      <c r="WKW2469" s="60"/>
      <c r="WKX2469" s="60"/>
      <c r="WKY2469" s="60"/>
      <c r="WKZ2469" s="60"/>
      <c r="WLA2469" s="63"/>
      <c r="WLB2469" s="61"/>
      <c r="WLC2469" s="54"/>
      <c r="WLD2469" s="54"/>
      <c r="WLE2469" s="60"/>
      <c r="WLF2469" s="60"/>
      <c r="WLG2469" s="60"/>
      <c r="WLH2469" s="60"/>
      <c r="WLI2469" s="63"/>
      <c r="WLJ2469" s="61"/>
      <c r="WLK2469" s="54"/>
      <c r="WLL2469" s="54"/>
      <c r="WLM2469" s="60"/>
      <c r="WLN2469" s="60"/>
      <c r="WLO2469" s="60"/>
      <c r="WLP2469" s="60"/>
      <c r="WLQ2469" s="63"/>
      <c r="WLR2469" s="61"/>
      <c r="WLS2469" s="54"/>
      <c r="WLT2469" s="54"/>
      <c r="WLU2469" s="60"/>
      <c r="WLV2469" s="60"/>
      <c r="WLW2469" s="60"/>
      <c r="WLX2469" s="60"/>
      <c r="WLY2469" s="63"/>
      <c r="WLZ2469" s="61"/>
      <c r="WMA2469" s="54"/>
      <c r="WMB2469" s="54"/>
      <c r="WMC2469" s="60"/>
      <c r="WMD2469" s="60"/>
      <c r="WME2469" s="60"/>
      <c r="WMF2469" s="60"/>
      <c r="WMG2469" s="63"/>
      <c r="WMH2469" s="61"/>
      <c r="WMI2469" s="54"/>
      <c r="WMJ2469" s="54"/>
      <c r="WMK2469" s="60"/>
      <c r="WML2469" s="60"/>
      <c r="WMM2469" s="60"/>
      <c r="WMN2469" s="60"/>
      <c r="WMO2469" s="63"/>
      <c r="WMP2469" s="61"/>
      <c r="WMQ2469" s="54"/>
      <c r="WMR2469" s="54"/>
      <c r="WMS2469" s="60"/>
      <c r="WMT2469" s="60"/>
      <c r="WMU2469" s="60"/>
      <c r="WMV2469" s="60"/>
      <c r="WMW2469" s="63"/>
      <c r="WMX2469" s="61"/>
      <c r="WMY2469" s="54"/>
      <c r="WMZ2469" s="54"/>
      <c r="WNA2469" s="60"/>
      <c r="WNB2469" s="60"/>
      <c r="WNC2469" s="60"/>
      <c r="WND2469" s="60"/>
      <c r="WNE2469" s="63"/>
      <c r="WNF2469" s="61"/>
      <c r="WNG2469" s="54"/>
      <c r="WNH2469" s="54"/>
      <c r="WNI2469" s="60"/>
      <c r="WNJ2469" s="60"/>
      <c r="WNK2469" s="60"/>
      <c r="WNL2469" s="60"/>
      <c r="WNM2469" s="63"/>
      <c r="WNN2469" s="61"/>
      <c r="WNO2469" s="54"/>
      <c r="WNP2469" s="54"/>
      <c r="WNQ2469" s="60"/>
      <c r="WNR2469" s="60"/>
      <c r="WNS2469" s="60"/>
      <c r="WNT2469" s="60"/>
      <c r="WNU2469" s="63"/>
      <c r="WNV2469" s="61"/>
      <c r="WNW2469" s="54"/>
      <c r="WNX2469" s="54"/>
      <c r="WNY2469" s="60"/>
      <c r="WNZ2469" s="60"/>
      <c r="WOA2469" s="60"/>
      <c r="WOB2469" s="60"/>
      <c r="WOC2469" s="63"/>
      <c r="WOD2469" s="61"/>
      <c r="WOE2469" s="54"/>
      <c r="WOF2469" s="54"/>
      <c r="WOG2469" s="60"/>
      <c r="WOH2469" s="60"/>
      <c r="WOI2469" s="60"/>
      <c r="WOJ2469" s="60"/>
      <c r="WOK2469" s="63"/>
      <c r="WOL2469" s="61"/>
      <c r="WOM2469" s="54"/>
      <c r="WON2469" s="54"/>
      <c r="WOO2469" s="60"/>
      <c r="WOP2469" s="60"/>
      <c r="WOQ2469" s="60"/>
      <c r="WOR2469" s="60"/>
      <c r="WOS2469" s="63"/>
      <c r="WOT2469" s="61"/>
      <c r="WOU2469" s="54"/>
      <c r="WOV2469" s="54"/>
      <c r="WOW2469" s="60"/>
      <c r="WOX2469" s="60"/>
      <c r="WOY2469" s="60"/>
      <c r="WOZ2469" s="60"/>
      <c r="WPA2469" s="63"/>
      <c r="WPB2469" s="61"/>
      <c r="WPC2469" s="54"/>
      <c r="WPD2469" s="54"/>
      <c r="WPE2469" s="60"/>
      <c r="WPF2469" s="60"/>
      <c r="WPG2469" s="60"/>
      <c r="WPH2469" s="60"/>
      <c r="WPI2469" s="63"/>
      <c r="WPJ2469" s="61"/>
      <c r="WPK2469" s="54"/>
      <c r="WPL2469" s="54"/>
      <c r="WPM2469" s="60"/>
      <c r="WPN2469" s="60"/>
      <c r="WPO2469" s="60"/>
      <c r="WPP2469" s="60"/>
      <c r="WPQ2469" s="63"/>
      <c r="WPR2469" s="61"/>
      <c r="WPS2469" s="54"/>
      <c r="WPT2469" s="54"/>
      <c r="WPU2469" s="60"/>
      <c r="WPV2469" s="60"/>
      <c r="WPW2469" s="60"/>
      <c r="WPX2469" s="60"/>
      <c r="WPY2469" s="63"/>
      <c r="WPZ2469" s="61"/>
      <c r="WQA2469" s="54"/>
      <c r="WQB2469" s="54"/>
      <c r="WQC2469" s="60"/>
      <c r="WQD2469" s="60"/>
      <c r="WQE2469" s="60"/>
      <c r="WQF2469" s="60"/>
      <c r="WQG2469" s="63"/>
      <c r="WQH2469" s="61"/>
      <c r="WQI2469" s="54"/>
      <c r="WQJ2469" s="54"/>
      <c r="WQK2469" s="60"/>
      <c r="WQL2469" s="60"/>
      <c r="WQM2469" s="60"/>
      <c r="WQN2469" s="60"/>
      <c r="WQO2469" s="63"/>
      <c r="WQP2469" s="61"/>
      <c r="WQQ2469" s="54"/>
      <c r="WQR2469" s="54"/>
      <c r="WQS2469" s="60"/>
      <c r="WQT2469" s="60"/>
      <c r="WQU2469" s="60"/>
      <c r="WQV2469" s="60"/>
      <c r="WQW2469" s="63"/>
      <c r="WQX2469" s="61"/>
      <c r="WQY2469" s="54"/>
      <c r="WQZ2469" s="54"/>
      <c r="WRA2469" s="60"/>
      <c r="WRB2469" s="60"/>
      <c r="WRC2469" s="60"/>
      <c r="WRD2469" s="60"/>
      <c r="WRE2469" s="63"/>
      <c r="WRF2469" s="61"/>
      <c r="WRG2469" s="54"/>
      <c r="WRH2469" s="54"/>
      <c r="WRI2469" s="60"/>
      <c r="WRJ2469" s="60"/>
      <c r="WRK2469" s="60"/>
      <c r="WRL2469" s="60"/>
      <c r="WRM2469" s="63"/>
      <c r="WRN2469" s="61"/>
      <c r="WRO2469" s="54"/>
      <c r="WRP2469" s="54"/>
      <c r="WRQ2469" s="60"/>
      <c r="WRR2469" s="60"/>
      <c r="WRS2469" s="60"/>
      <c r="WRT2469" s="60"/>
      <c r="WRU2469" s="63"/>
      <c r="WRV2469" s="61"/>
      <c r="WRW2469" s="54"/>
      <c r="WRX2469" s="54"/>
      <c r="WRY2469" s="60"/>
      <c r="WRZ2469" s="60"/>
      <c r="WSA2469" s="60"/>
      <c r="WSB2469" s="60"/>
      <c r="WSC2469" s="63"/>
      <c r="WSD2469" s="61"/>
      <c r="WSE2469" s="54"/>
      <c r="WSF2469" s="54"/>
      <c r="WSG2469" s="60"/>
      <c r="WSH2469" s="60"/>
      <c r="WSI2469" s="60"/>
      <c r="WSJ2469" s="60"/>
      <c r="WSK2469" s="63"/>
      <c r="WSL2469" s="61"/>
      <c r="WSM2469" s="54"/>
      <c r="WSN2469" s="54"/>
      <c r="WSO2469" s="60"/>
      <c r="WSP2469" s="60"/>
      <c r="WSQ2469" s="60"/>
      <c r="WSR2469" s="60"/>
      <c r="WSS2469" s="63"/>
      <c r="WST2469" s="61"/>
      <c r="WSU2469" s="54"/>
      <c r="WSV2469" s="54"/>
      <c r="WSW2469" s="60"/>
      <c r="WSX2469" s="60"/>
      <c r="WSY2469" s="60"/>
      <c r="WSZ2469" s="60"/>
      <c r="WTA2469" s="63"/>
      <c r="WTB2469" s="61"/>
      <c r="WTC2469" s="54"/>
      <c r="WTD2469" s="54"/>
      <c r="WTE2469" s="60"/>
      <c r="WTF2469" s="60"/>
      <c r="WTG2469" s="60"/>
      <c r="WTH2469" s="60"/>
      <c r="WTI2469" s="63"/>
      <c r="WTJ2469" s="61"/>
      <c r="WTK2469" s="54"/>
      <c r="WTL2469" s="54"/>
      <c r="WTM2469" s="60"/>
      <c r="WTN2469" s="60"/>
      <c r="WTO2469" s="60"/>
      <c r="WTP2469" s="60"/>
      <c r="WTQ2469" s="63"/>
      <c r="WTR2469" s="61"/>
      <c r="WTS2469" s="54"/>
      <c r="WTT2469" s="54"/>
      <c r="WTU2469" s="60"/>
      <c r="WTV2469" s="60"/>
      <c r="WTW2469" s="60"/>
      <c r="WTX2469" s="60"/>
      <c r="WTY2469" s="63"/>
      <c r="WTZ2469" s="61"/>
      <c r="WUA2469" s="54"/>
      <c r="WUB2469" s="54"/>
      <c r="WUC2469" s="60"/>
      <c r="WUD2469" s="60"/>
      <c r="WUE2469" s="60"/>
      <c r="WUF2469" s="60"/>
      <c r="WUG2469" s="63"/>
      <c r="WUH2469" s="61"/>
      <c r="WUI2469" s="54"/>
      <c r="WUJ2469" s="54"/>
      <c r="WUK2469" s="60"/>
      <c r="WUL2469" s="60"/>
      <c r="WUM2469" s="60"/>
      <c r="WUN2469" s="60"/>
      <c r="WUO2469" s="63"/>
      <c r="WUP2469" s="61"/>
      <c r="WUQ2469" s="54"/>
      <c r="WUR2469" s="54"/>
      <c r="WUS2469" s="60"/>
      <c r="WUT2469" s="60"/>
      <c r="WUU2469" s="60"/>
      <c r="WUV2469" s="60"/>
      <c r="WUW2469" s="63"/>
      <c r="WUX2469" s="61"/>
      <c r="WUY2469" s="54"/>
      <c r="WUZ2469" s="54"/>
      <c r="WVA2469" s="60"/>
      <c r="WVB2469" s="60"/>
      <c r="WVC2469" s="60"/>
      <c r="WVD2469" s="60"/>
      <c r="WVE2469" s="63"/>
      <c r="WVF2469" s="61"/>
      <c r="WVG2469" s="54"/>
      <c r="WVH2469" s="54"/>
      <c r="WVI2469" s="60"/>
      <c r="WVJ2469" s="60"/>
      <c r="WVK2469" s="60"/>
      <c r="WVL2469" s="60"/>
      <c r="WVM2469" s="63"/>
      <c r="WVN2469" s="61"/>
      <c r="WVO2469" s="54"/>
      <c r="WVP2469" s="54"/>
      <c r="WVQ2469" s="60"/>
      <c r="WVR2469" s="60"/>
      <c r="WVS2469" s="60"/>
      <c r="WVT2469" s="60"/>
      <c r="WVU2469" s="63"/>
      <c r="WVV2469" s="61"/>
      <c r="WVW2469" s="54"/>
      <c r="WVX2469" s="54"/>
      <c r="WVY2469" s="60"/>
      <c r="WVZ2469" s="60"/>
      <c r="WWA2469" s="60"/>
      <c r="WWB2469" s="60"/>
      <c r="WWC2469" s="63"/>
      <c r="WWD2469" s="61"/>
      <c r="WWE2469" s="54"/>
      <c r="WWF2469" s="54"/>
      <c r="WWG2469" s="60"/>
      <c r="WWH2469" s="60"/>
      <c r="WWI2469" s="60"/>
      <c r="WWJ2469" s="60"/>
      <c r="WWK2469" s="63"/>
      <c r="WWL2469" s="61"/>
      <c r="WWM2469" s="54"/>
      <c r="WWN2469" s="54"/>
      <c r="WWO2469" s="60"/>
      <c r="WWP2469" s="60"/>
      <c r="WWQ2469" s="60"/>
      <c r="WWR2469" s="60"/>
      <c r="WWS2469" s="63"/>
      <c r="WWT2469" s="61"/>
      <c r="WWU2469" s="54"/>
      <c r="WWV2469" s="54"/>
      <c r="WWW2469" s="60"/>
      <c r="WWX2469" s="60"/>
      <c r="WWY2469" s="60"/>
      <c r="WWZ2469" s="60"/>
      <c r="WXA2469" s="63"/>
      <c r="WXB2469" s="61"/>
      <c r="WXC2469" s="54"/>
      <c r="WXD2469" s="54"/>
      <c r="WXE2469" s="60"/>
      <c r="WXF2469" s="60"/>
      <c r="WXG2469" s="60"/>
      <c r="WXH2469" s="60"/>
      <c r="WXI2469" s="63"/>
      <c r="WXJ2469" s="61"/>
      <c r="WXK2469" s="54"/>
      <c r="WXL2469" s="54"/>
      <c r="WXM2469" s="60"/>
      <c r="WXN2469" s="60"/>
      <c r="WXO2469" s="60"/>
      <c r="WXP2469" s="60"/>
      <c r="WXQ2469" s="63"/>
      <c r="WXR2469" s="61"/>
      <c r="WXS2469" s="54"/>
      <c r="WXT2469" s="54"/>
      <c r="WXU2469" s="60"/>
      <c r="WXV2469" s="60"/>
      <c r="WXW2469" s="60"/>
      <c r="WXX2469" s="60"/>
      <c r="WXY2469" s="63"/>
      <c r="WXZ2469" s="61"/>
      <c r="WYA2469" s="54"/>
      <c r="WYB2469" s="54"/>
      <c r="WYC2469" s="60"/>
      <c r="WYD2469" s="60"/>
      <c r="WYE2469" s="60"/>
      <c r="WYF2469" s="60"/>
      <c r="WYG2469" s="63"/>
      <c r="WYH2469" s="61"/>
      <c r="WYI2469" s="54"/>
      <c r="WYJ2469" s="54"/>
      <c r="WYK2469" s="60"/>
      <c r="WYL2469" s="60"/>
      <c r="WYM2469" s="60"/>
      <c r="WYN2469" s="60"/>
      <c r="WYO2469" s="63"/>
      <c r="WYP2469" s="61"/>
      <c r="WYQ2469" s="54"/>
      <c r="WYR2469" s="54"/>
      <c r="WYS2469" s="60"/>
      <c r="WYT2469" s="60"/>
      <c r="WYU2469" s="60"/>
      <c r="WYV2469" s="60"/>
      <c r="WYW2469" s="63"/>
      <c r="WYX2469" s="61"/>
      <c r="WYY2469" s="54"/>
      <c r="WYZ2469" s="54"/>
      <c r="WZA2469" s="60"/>
      <c r="WZB2469" s="60"/>
      <c r="WZC2469" s="60"/>
      <c r="WZD2469" s="60"/>
      <c r="WZE2469" s="63"/>
      <c r="WZF2469" s="61"/>
      <c r="WZG2469" s="54"/>
      <c r="WZH2469" s="54"/>
      <c r="WZI2469" s="60"/>
      <c r="WZJ2469" s="60"/>
      <c r="WZK2469" s="60"/>
      <c r="WZL2469" s="60"/>
      <c r="WZM2469" s="63"/>
      <c r="WZN2469" s="61"/>
      <c r="WZO2469" s="54"/>
      <c r="WZP2469" s="54"/>
      <c r="WZQ2469" s="60"/>
      <c r="WZR2469" s="60"/>
      <c r="WZS2469" s="60"/>
      <c r="WZT2469" s="60"/>
      <c r="WZU2469" s="63"/>
      <c r="WZV2469" s="61"/>
      <c r="WZW2469" s="54"/>
      <c r="WZX2469" s="54"/>
      <c r="WZY2469" s="60"/>
      <c r="WZZ2469" s="60"/>
      <c r="XAA2469" s="60"/>
      <c r="XAB2469" s="60"/>
      <c r="XAC2469" s="63"/>
      <c r="XAD2469" s="61"/>
      <c r="XAE2469" s="54"/>
      <c r="XAF2469" s="54"/>
      <c r="XAG2469" s="60"/>
      <c r="XAH2469" s="60"/>
      <c r="XAI2469" s="60"/>
      <c r="XAJ2469" s="60"/>
      <c r="XAK2469" s="63"/>
      <c r="XAL2469" s="61"/>
      <c r="XAM2469" s="54"/>
      <c r="XAN2469" s="54"/>
      <c r="XAO2469" s="60"/>
      <c r="XAP2469" s="60"/>
      <c r="XAQ2469" s="60"/>
      <c r="XAR2469" s="60"/>
      <c r="XAS2469" s="63"/>
      <c r="XAT2469" s="61"/>
      <c r="XAU2469" s="54"/>
      <c r="XAV2469" s="54"/>
      <c r="XAW2469" s="60"/>
      <c r="XAX2469" s="60"/>
      <c r="XAY2469" s="60"/>
      <c r="XAZ2469" s="60"/>
      <c r="XBA2469" s="63"/>
      <c r="XBB2469" s="61"/>
      <c r="XBC2469" s="54"/>
      <c r="XBD2469" s="54"/>
      <c r="XBE2469" s="60"/>
      <c r="XBF2469" s="60"/>
      <c r="XBG2469" s="60"/>
      <c r="XBH2469" s="60"/>
      <c r="XBI2469" s="63"/>
      <c r="XBJ2469" s="61"/>
      <c r="XBK2469" s="54"/>
      <c r="XBL2469" s="54"/>
      <c r="XBM2469" s="60"/>
      <c r="XBN2469" s="60"/>
      <c r="XBO2469" s="60"/>
      <c r="XBP2469" s="60"/>
      <c r="XBQ2469" s="63"/>
      <c r="XBR2469" s="61"/>
      <c r="XBS2469" s="54"/>
      <c r="XBT2469" s="54"/>
      <c r="XBU2469" s="60"/>
      <c r="XBV2469" s="60"/>
      <c r="XBW2469" s="60"/>
      <c r="XBX2469" s="60"/>
      <c r="XBY2469" s="63"/>
      <c r="XBZ2469" s="61"/>
      <c r="XCA2469" s="54"/>
      <c r="XCB2469" s="54"/>
      <c r="XCC2469" s="60"/>
      <c r="XCD2469" s="60"/>
      <c r="XCE2469" s="60"/>
      <c r="XCF2469" s="60"/>
      <c r="XCG2469" s="63"/>
      <c r="XCH2469" s="61"/>
      <c r="XCI2469" s="54"/>
      <c r="XCJ2469" s="54"/>
      <c r="XCK2469" s="60"/>
      <c r="XCL2469" s="60"/>
      <c r="XCM2469" s="60"/>
      <c r="XCN2469" s="60"/>
      <c r="XCO2469" s="63"/>
      <c r="XCP2469" s="61"/>
      <c r="XCQ2469" s="54"/>
      <c r="XCR2469" s="54"/>
      <c r="XCS2469" s="60"/>
      <c r="XCT2469" s="60"/>
      <c r="XCU2469" s="60"/>
      <c r="XCV2469" s="60"/>
      <c r="XCW2469" s="63"/>
      <c r="XCX2469" s="61"/>
      <c r="XCY2469" s="54"/>
      <c r="XCZ2469" s="54"/>
      <c r="XDA2469" s="60"/>
      <c r="XDB2469" s="60"/>
      <c r="XDC2469" s="60"/>
      <c r="XDD2469" s="60"/>
      <c r="XDE2469" s="63"/>
      <c r="XDF2469" s="61"/>
      <c r="XDG2469" s="54"/>
      <c r="XDH2469" s="54"/>
      <c r="XDI2469" s="60"/>
      <c r="XDJ2469" s="60"/>
      <c r="XDK2469" s="60"/>
      <c r="XDL2469" s="60"/>
      <c r="XDM2469" s="63"/>
      <c r="XDN2469" s="61"/>
      <c r="XDO2469" s="54"/>
      <c r="XDP2469" s="54"/>
      <c r="XDQ2469" s="60"/>
      <c r="XDR2469" s="60"/>
      <c r="XDS2469" s="60"/>
      <c r="XDT2469" s="60"/>
      <c r="XDU2469" s="63"/>
      <c r="XDV2469" s="61"/>
      <c r="XDW2469" s="54"/>
      <c r="XDX2469" s="54"/>
      <c r="XDY2469" s="60"/>
      <c r="XDZ2469" s="60"/>
      <c r="XEA2469" s="60"/>
      <c r="XEB2469" s="60"/>
      <c r="XEC2469" s="63"/>
      <c r="XED2469" s="61"/>
      <c r="XEE2469" s="54"/>
      <c r="XEF2469" s="54"/>
      <c r="XEG2469" s="60"/>
      <c r="XEH2469" s="60"/>
      <c r="XEI2469" s="60"/>
      <c r="XEJ2469" s="60"/>
      <c r="XEK2469" s="63"/>
      <c r="XEL2469" s="61"/>
      <c r="XEM2469" s="54"/>
      <c r="XEN2469" s="54"/>
      <c r="XEO2469" s="60"/>
      <c r="XEP2469" s="60"/>
      <c r="XEQ2469" s="60"/>
      <c r="XER2469" s="60"/>
      <c r="XES2469" s="63"/>
      <c r="XET2469" s="61"/>
      <c r="XEU2469" s="54"/>
      <c r="XEV2469" s="54"/>
      <c r="XEW2469" s="60"/>
    </row>
    <row r="2470" ht="18" customHeight="1" spans="1:16377">
      <c r="A2470" s="6" t="s">
        <v>8209</v>
      </c>
      <c r="B2470" s="6" t="s">
        <v>8540</v>
      </c>
      <c r="C2470" s="11" t="s">
        <v>16397</v>
      </c>
      <c r="D2470" s="5" t="s">
        <v>16390</v>
      </c>
      <c r="E2470" s="11" t="s">
        <v>16398</v>
      </c>
      <c r="F2470" s="7" t="s">
        <v>11535</v>
      </c>
      <c r="G2470" s="54"/>
      <c r="H2470" s="54"/>
      <c r="I2470" s="60"/>
      <c r="J2470" s="60"/>
      <c r="K2470" s="60"/>
      <c r="L2470" s="60"/>
      <c r="M2470" s="63"/>
      <c r="N2470" s="61"/>
      <c r="O2470" s="54"/>
      <c r="P2470" s="54"/>
      <c r="Q2470" s="60"/>
      <c r="R2470" s="60"/>
      <c r="S2470" s="60"/>
      <c r="T2470" s="60"/>
      <c r="U2470" s="63"/>
      <c r="V2470" s="61"/>
      <c r="W2470" s="54"/>
      <c r="X2470" s="54"/>
      <c r="Y2470" s="60"/>
      <c r="Z2470" s="60"/>
      <c r="AA2470" s="60"/>
      <c r="AB2470" s="60"/>
      <c r="AC2470" s="63"/>
      <c r="AD2470" s="61"/>
      <c r="AE2470" s="54"/>
      <c r="AF2470" s="54"/>
      <c r="AG2470" s="60"/>
      <c r="AH2470" s="60"/>
      <c r="AI2470" s="60"/>
      <c r="AJ2470" s="60"/>
      <c r="AK2470" s="63"/>
      <c r="AL2470" s="61"/>
      <c r="AM2470" s="54"/>
      <c r="AN2470" s="54"/>
      <c r="AO2470" s="60"/>
      <c r="AP2470" s="60"/>
      <c r="AQ2470" s="60"/>
      <c r="AR2470" s="60"/>
      <c r="AS2470" s="63"/>
      <c r="AT2470" s="61"/>
      <c r="AU2470" s="54"/>
      <c r="AV2470" s="54"/>
      <c r="AW2470" s="60"/>
      <c r="AX2470" s="60"/>
      <c r="AY2470" s="60"/>
      <c r="AZ2470" s="60"/>
      <c r="BA2470" s="63"/>
      <c r="BB2470" s="61"/>
      <c r="BC2470" s="54"/>
      <c r="BD2470" s="54"/>
      <c r="BE2470" s="60"/>
      <c r="BF2470" s="60"/>
      <c r="BG2470" s="60"/>
      <c r="BH2470" s="60"/>
      <c r="BI2470" s="63"/>
      <c r="BJ2470" s="61"/>
      <c r="BK2470" s="54"/>
      <c r="BL2470" s="54"/>
      <c r="BM2470" s="60"/>
      <c r="BN2470" s="60"/>
      <c r="BO2470" s="60"/>
      <c r="BP2470" s="60"/>
      <c r="BQ2470" s="63"/>
      <c r="BR2470" s="61"/>
      <c r="BS2470" s="54"/>
      <c r="BT2470" s="54"/>
      <c r="BU2470" s="60"/>
      <c r="BV2470" s="60"/>
      <c r="BW2470" s="60"/>
      <c r="BX2470" s="60"/>
      <c r="BY2470" s="63"/>
      <c r="BZ2470" s="61"/>
      <c r="CA2470" s="54"/>
      <c r="CB2470" s="54"/>
      <c r="CC2470" s="60"/>
      <c r="CD2470" s="60"/>
      <c r="CE2470" s="60"/>
      <c r="CF2470" s="60"/>
      <c r="CG2470" s="63"/>
      <c r="CH2470" s="61"/>
      <c r="CI2470" s="54"/>
      <c r="CJ2470" s="54"/>
      <c r="CK2470" s="60"/>
      <c r="CL2470" s="60"/>
      <c r="CM2470" s="60"/>
      <c r="CN2470" s="60"/>
      <c r="CO2470" s="63"/>
      <c r="CP2470" s="61"/>
      <c r="CQ2470" s="54"/>
      <c r="CR2470" s="54"/>
      <c r="CS2470" s="60"/>
      <c r="CT2470" s="60"/>
      <c r="CU2470" s="60"/>
      <c r="CV2470" s="60"/>
      <c r="CW2470" s="63"/>
      <c r="CX2470" s="61"/>
      <c r="CY2470" s="54"/>
      <c r="CZ2470" s="54"/>
      <c r="DA2470" s="60"/>
      <c r="DB2470" s="60"/>
      <c r="DC2470" s="60"/>
      <c r="DD2470" s="60"/>
      <c r="DE2470" s="63"/>
      <c r="DF2470" s="61"/>
      <c r="DG2470" s="54"/>
      <c r="DH2470" s="54"/>
      <c r="DI2470" s="60"/>
      <c r="DJ2470" s="60"/>
      <c r="DK2470" s="60"/>
      <c r="DL2470" s="60"/>
      <c r="DM2470" s="63"/>
      <c r="DN2470" s="61"/>
      <c r="DO2470" s="54"/>
      <c r="DP2470" s="54"/>
      <c r="DQ2470" s="60"/>
      <c r="DR2470" s="60"/>
      <c r="DS2470" s="60"/>
      <c r="DT2470" s="60"/>
      <c r="DU2470" s="63"/>
      <c r="DV2470" s="61"/>
      <c r="DW2470" s="54"/>
      <c r="DX2470" s="54"/>
      <c r="DY2470" s="60"/>
      <c r="DZ2470" s="60"/>
      <c r="EA2470" s="60"/>
      <c r="EB2470" s="60"/>
      <c r="EC2470" s="63"/>
      <c r="ED2470" s="61"/>
      <c r="EE2470" s="54"/>
      <c r="EF2470" s="54"/>
      <c r="EG2470" s="60"/>
      <c r="EH2470" s="60"/>
      <c r="EI2470" s="60"/>
      <c r="EJ2470" s="60"/>
      <c r="EK2470" s="63"/>
      <c r="EL2470" s="61"/>
      <c r="EM2470" s="54"/>
      <c r="EN2470" s="54"/>
      <c r="EO2470" s="60"/>
      <c r="EP2470" s="60"/>
      <c r="EQ2470" s="60"/>
      <c r="ER2470" s="60"/>
      <c r="ES2470" s="63"/>
      <c r="ET2470" s="61"/>
      <c r="EU2470" s="54"/>
      <c r="EV2470" s="54"/>
      <c r="EW2470" s="60"/>
      <c r="EX2470" s="60"/>
      <c r="EY2470" s="60"/>
      <c r="EZ2470" s="60"/>
      <c r="FA2470" s="63"/>
      <c r="FB2470" s="61"/>
      <c r="FC2470" s="54"/>
      <c r="FD2470" s="54"/>
      <c r="FE2470" s="60"/>
      <c r="FF2470" s="60"/>
      <c r="FG2470" s="60"/>
      <c r="FH2470" s="60"/>
      <c r="FI2470" s="63"/>
      <c r="FJ2470" s="61"/>
      <c r="FK2470" s="54"/>
      <c r="FL2470" s="54"/>
      <c r="FM2470" s="60"/>
      <c r="FN2470" s="60"/>
      <c r="FO2470" s="60"/>
      <c r="FP2470" s="60"/>
      <c r="FQ2470" s="63"/>
      <c r="FR2470" s="61"/>
      <c r="FS2470" s="54"/>
      <c r="FT2470" s="54"/>
      <c r="FU2470" s="60"/>
      <c r="FV2470" s="60"/>
      <c r="FW2470" s="60"/>
      <c r="FX2470" s="60"/>
      <c r="FY2470" s="63"/>
      <c r="FZ2470" s="61"/>
      <c r="GA2470" s="54"/>
      <c r="GB2470" s="54"/>
      <c r="GC2470" s="60"/>
      <c r="GD2470" s="60"/>
      <c r="GE2470" s="60"/>
      <c r="GF2470" s="60"/>
      <c r="GG2470" s="63"/>
      <c r="GH2470" s="61"/>
      <c r="GI2470" s="54"/>
      <c r="GJ2470" s="54"/>
      <c r="GK2470" s="60"/>
      <c r="GL2470" s="60"/>
      <c r="GM2470" s="60"/>
      <c r="GN2470" s="60"/>
      <c r="GO2470" s="63"/>
      <c r="GP2470" s="61"/>
      <c r="GQ2470" s="54"/>
      <c r="GR2470" s="54"/>
      <c r="GS2470" s="60"/>
      <c r="GT2470" s="60"/>
      <c r="GU2470" s="60"/>
      <c r="GV2470" s="60"/>
      <c r="GW2470" s="63"/>
      <c r="GX2470" s="61"/>
      <c r="GY2470" s="54"/>
      <c r="GZ2470" s="54"/>
      <c r="HA2470" s="60"/>
      <c r="HB2470" s="60"/>
      <c r="HC2470" s="60"/>
      <c r="HD2470" s="60"/>
      <c r="HE2470" s="63"/>
      <c r="HF2470" s="61"/>
      <c r="HG2470" s="54"/>
      <c r="HH2470" s="54"/>
      <c r="HI2470" s="60"/>
      <c r="HJ2470" s="60"/>
      <c r="HK2470" s="60"/>
      <c r="HL2470" s="60"/>
      <c r="HM2470" s="63"/>
      <c r="HN2470" s="61"/>
      <c r="HO2470" s="54"/>
      <c r="HP2470" s="54"/>
      <c r="HQ2470" s="60"/>
      <c r="HR2470" s="60"/>
      <c r="HS2470" s="60"/>
      <c r="HT2470" s="60"/>
      <c r="HU2470" s="63"/>
      <c r="HV2470" s="61"/>
      <c r="HW2470" s="54"/>
      <c r="HX2470" s="54"/>
      <c r="HY2470" s="60"/>
      <c r="HZ2470" s="60"/>
      <c r="IA2470" s="60"/>
      <c r="IB2470" s="60"/>
      <c r="IC2470" s="63"/>
      <c r="ID2470" s="61"/>
      <c r="IE2470" s="54"/>
      <c r="IF2470" s="54"/>
      <c r="IG2470" s="60"/>
      <c r="IH2470" s="60"/>
      <c r="II2470" s="60"/>
      <c r="IJ2470" s="60"/>
      <c r="IK2470" s="63"/>
      <c r="IL2470" s="61"/>
      <c r="IM2470" s="54"/>
      <c r="IN2470" s="54"/>
      <c r="IO2470" s="60"/>
      <c r="IP2470" s="60"/>
      <c r="IQ2470" s="60"/>
      <c r="IR2470" s="60"/>
      <c r="IS2470" s="63"/>
      <c r="IT2470" s="61"/>
      <c r="IU2470" s="54"/>
      <c r="IV2470" s="54"/>
      <c r="IW2470" s="60"/>
      <c r="IX2470" s="60"/>
      <c r="IY2470" s="60"/>
      <c r="IZ2470" s="60"/>
      <c r="JA2470" s="63"/>
      <c r="JB2470" s="61"/>
      <c r="JC2470" s="54"/>
      <c r="JD2470" s="54"/>
      <c r="JE2470" s="60"/>
      <c r="JF2470" s="60"/>
      <c r="JG2470" s="60"/>
      <c r="JH2470" s="60"/>
      <c r="JI2470" s="63"/>
      <c r="JJ2470" s="61"/>
      <c r="JK2470" s="54"/>
      <c r="JL2470" s="54"/>
      <c r="JM2470" s="60"/>
      <c r="JN2470" s="60"/>
      <c r="JO2470" s="60"/>
      <c r="JP2470" s="60"/>
      <c r="JQ2470" s="63"/>
      <c r="JR2470" s="61"/>
      <c r="JS2470" s="54"/>
      <c r="JT2470" s="54"/>
      <c r="JU2470" s="60"/>
      <c r="JV2470" s="60"/>
      <c r="JW2470" s="60"/>
      <c r="JX2470" s="60"/>
      <c r="JY2470" s="63"/>
      <c r="JZ2470" s="61"/>
      <c r="KA2470" s="54"/>
      <c r="KB2470" s="54"/>
      <c r="KC2470" s="60"/>
      <c r="KD2470" s="60"/>
      <c r="KE2470" s="60"/>
      <c r="KF2470" s="60"/>
      <c r="KG2470" s="63"/>
      <c r="KH2470" s="61"/>
      <c r="KI2470" s="54"/>
      <c r="KJ2470" s="54"/>
      <c r="KK2470" s="60"/>
      <c r="KL2470" s="60"/>
      <c r="KM2470" s="60"/>
      <c r="KN2470" s="60"/>
      <c r="KO2470" s="63"/>
      <c r="KP2470" s="61"/>
      <c r="KQ2470" s="54"/>
      <c r="KR2470" s="54"/>
      <c r="KS2470" s="60"/>
      <c r="KT2470" s="60"/>
      <c r="KU2470" s="60"/>
      <c r="KV2470" s="60"/>
      <c r="KW2470" s="63"/>
      <c r="KX2470" s="61"/>
      <c r="KY2470" s="54"/>
      <c r="KZ2470" s="54"/>
      <c r="LA2470" s="60"/>
      <c r="LB2470" s="60"/>
      <c r="LC2470" s="60"/>
      <c r="LD2470" s="60"/>
      <c r="LE2470" s="63"/>
      <c r="LF2470" s="61"/>
      <c r="LG2470" s="54"/>
      <c r="LH2470" s="54"/>
      <c r="LI2470" s="60"/>
      <c r="LJ2470" s="60"/>
      <c r="LK2470" s="60"/>
      <c r="LL2470" s="60"/>
      <c r="LM2470" s="63"/>
      <c r="LN2470" s="61"/>
      <c r="LO2470" s="54"/>
      <c r="LP2470" s="54"/>
      <c r="LQ2470" s="60"/>
      <c r="LR2470" s="60"/>
      <c r="LS2470" s="60"/>
      <c r="LT2470" s="60"/>
      <c r="LU2470" s="63"/>
      <c r="LV2470" s="61"/>
      <c r="LW2470" s="54"/>
      <c r="LX2470" s="54"/>
      <c r="LY2470" s="60"/>
      <c r="LZ2470" s="60"/>
      <c r="MA2470" s="60"/>
      <c r="MB2470" s="60"/>
      <c r="MC2470" s="63"/>
      <c r="MD2470" s="61"/>
      <c r="ME2470" s="54"/>
      <c r="MF2470" s="54"/>
      <c r="MG2470" s="60"/>
      <c r="MH2470" s="60"/>
      <c r="MI2470" s="60"/>
      <c r="MJ2470" s="60"/>
      <c r="MK2470" s="63"/>
      <c r="ML2470" s="61"/>
      <c r="MM2470" s="54"/>
      <c r="MN2470" s="54"/>
      <c r="MO2470" s="60"/>
      <c r="MP2470" s="60"/>
      <c r="MQ2470" s="60"/>
      <c r="MR2470" s="60"/>
      <c r="MS2470" s="63"/>
      <c r="MT2470" s="61"/>
      <c r="MU2470" s="54"/>
      <c r="MV2470" s="54"/>
      <c r="MW2470" s="60"/>
      <c r="MX2470" s="60"/>
      <c r="MY2470" s="60"/>
      <c r="MZ2470" s="60"/>
      <c r="NA2470" s="63"/>
      <c r="NB2470" s="61"/>
      <c r="NC2470" s="54"/>
      <c r="ND2470" s="54"/>
      <c r="NE2470" s="60"/>
      <c r="NF2470" s="60"/>
      <c r="NG2470" s="60"/>
      <c r="NH2470" s="60"/>
      <c r="NI2470" s="63"/>
      <c r="NJ2470" s="61"/>
      <c r="NK2470" s="54"/>
      <c r="NL2470" s="54"/>
      <c r="NM2470" s="60"/>
      <c r="NN2470" s="60"/>
      <c r="NO2470" s="60"/>
      <c r="NP2470" s="60"/>
      <c r="NQ2470" s="63"/>
      <c r="NR2470" s="61"/>
      <c r="NS2470" s="54"/>
      <c r="NT2470" s="54"/>
      <c r="NU2470" s="60"/>
      <c r="NV2470" s="60"/>
      <c r="NW2470" s="60"/>
      <c r="NX2470" s="60"/>
      <c r="NY2470" s="63"/>
      <c r="NZ2470" s="61"/>
      <c r="OA2470" s="54"/>
      <c r="OB2470" s="54"/>
      <c r="OC2470" s="60"/>
      <c r="OD2470" s="60"/>
      <c r="OE2470" s="60"/>
      <c r="OF2470" s="60"/>
      <c r="OG2470" s="63"/>
      <c r="OH2470" s="61"/>
      <c r="OI2470" s="54"/>
      <c r="OJ2470" s="54"/>
      <c r="OK2470" s="60"/>
      <c r="OL2470" s="60"/>
      <c r="OM2470" s="60"/>
      <c r="ON2470" s="60"/>
      <c r="OO2470" s="63"/>
      <c r="OP2470" s="61"/>
      <c r="OQ2470" s="54"/>
      <c r="OR2470" s="54"/>
      <c r="OS2470" s="60"/>
      <c r="OT2470" s="60"/>
      <c r="OU2470" s="60"/>
      <c r="OV2470" s="60"/>
      <c r="OW2470" s="63"/>
      <c r="OX2470" s="61"/>
      <c r="OY2470" s="54"/>
      <c r="OZ2470" s="54"/>
      <c r="PA2470" s="60"/>
      <c r="PB2470" s="60"/>
      <c r="PC2470" s="60"/>
      <c r="PD2470" s="60"/>
      <c r="PE2470" s="63"/>
      <c r="PF2470" s="61"/>
      <c r="PG2470" s="54"/>
      <c r="PH2470" s="54"/>
      <c r="PI2470" s="60"/>
      <c r="PJ2470" s="60"/>
      <c r="PK2470" s="60"/>
      <c r="PL2470" s="60"/>
      <c r="PM2470" s="63"/>
      <c r="PN2470" s="61"/>
      <c r="PO2470" s="54"/>
      <c r="PP2470" s="54"/>
      <c r="PQ2470" s="60"/>
      <c r="PR2470" s="60"/>
      <c r="PS2470" s="60"/>
      <c r="PT2470" s="60"/>
      <c r="PU2470" s="63"/>
      <c r="PV2470" s="61"/>
      <c r="PW2470" s="54"/>
      <c r="PX2470" s="54"/>
      <c r="PY2470" s="60"/>
      <c r="PZ2470" s="60"/>
      <c r="QA2470" s="60"/>
      <c r="QB2470" s="60"/>
      <c r="QC2470" s="63"/>
      <c r="QD2470" s="61"/>
      <c r="QE2470" s="54"/>
      <c r="QF2470" s="54"/>
      <c r="QG2470" s="60"/>
      <c r="QH2470" s="60"/>
      <c r="QI2470" s="60"/>
      <c r="QJ2470" s="60"/>
      <c r="QK2470" s="63"/>
      <c r="QL2470" s="61"/>
      <c r="QM2470" s="54"/>
      <c r="QN2470" s="54"/>
      <c r="QO2470" s="60"/>
      <c r="QP2470" s="60"/>
      <c r="QQ2470" s="60"/>
      <c r="QR2470" s="60"/>
      <c r="QS2470" s="63"/>
      <c r="QT2470" s="61"/>
      <c r="QU2470" s="54"/>
      <c r="QV2470" s="54"/>
      <c r="QW2470" s="60"/>
      <c r="QX2470" s="60"/>
      <c r="QY2470" s="60"/>
      <c r="QZ2470" s="60"/>
      <c r="RA2470" s="63"/>
      <c r="RB2470" s="61"/>
      <c r="RC2470" s="54"/>
      <c r="RD2470" s="54"/>
      <c r="RE2470" s="60"/>
      <c r="RF2470" s="60"/>
      <c r="RG2470" s="60"/>
      <c r="RH2470" s="60"/>
      <c r="RI2470" s="63"/>
      <c r="RJ2470" s="61"/>
      <c r="RK2470" s="54"/>
      <c r="RL2470" s="54"/>
      <c r="RM2470" s="60"/>
      <c r="RN2470" s="60"/>
      <c r="RO2470" s="60"/>
      <c r="RP2470" s="60"/>
      <c r="RQ2470" s="63"/>
      <c r="RR2470" s="61"/>
      <c r="RS2470" s="54"/>
      <c r="RT2470" s="54"/>
      <c r="RU2470" s="60"/>
      <c r="RV2470" s="60"/>
      <c r="RW2470" s="60"/>
      <c r="RX2470" s="60"/>
      <c r="RY2470" s="63"/>
      <c r="RZ2470" s="61"/>
      <c r="SA2470" s="54"/>
      <c r="SB2470" s="54"/>
      <c r="SC2470" s="60"/>
      <c r="SD2470" s="60"/>
      <c r="SE2470" s="60"/>
      <c r="SF2470" s="60"/>
      <c r="SG2470" s="63"/>
      <c r="SH2470" s="61"/>
      <c r="SI2470" s="54"/>
      <c r="SJ2470" s="54"/>
      <c r="SK2470" s="60"/>
      <c r="SL2470" s="60"/>
      <c r="SM2470" s="60"/>
      <c r="SN2470" s="60"/>
      <c r="SO2470" s="63"/>
      <c r="SP2470" s="61"/>
      <c r="SQ2470" s="54"/>
      <c r="SR2470" s="54"/>
      <c r="SS2470" s="60"/>
      <c r="ST2470" s="60"/>
      <c r="SU2470" s="60"/>
      <c r="SV2470" s="60"/>
      <c r="SW2470" s="63"/>
      <c r="SX2470" s="61"/>
      <c r="SY2470" s="54"/>
      <c r="SZ2470" s="54"/>
      <c r="TA2470" s="60"/>
      <c r="TB2470" s="60"/>
      <c r="TC2470" s="60"/>
      <c r="TD2470" s="60"/>
      <c r="TE2470" s="63"/>
      <c r="TF2470" s="61"/>
      <c r="TG2470" s="54"/>
      <c r="TH2470" s="54"/>
      <c r="TI2470" s="60"/>
      <c r="TJ2470" s="60"/>
      <c r="TK2470" s="60"/>
      <c r="TL2470" s="60"/>
      <c r="TM2470" s="63"/>
      <c r="TN2470" s="61"/>
      <c r="TO2470" s="54"/>
      <c r="TP2470" s="54"/>
      <c r="TQ2470" s="60"/>
      <c r="TR2470" s="60"/>
      <c r="TS2470" s="60"/>
      <c r="TT2470" s="60"/>
      <c r="TU2470" s="63"/>
      <c r="TV2470" s="61"/>
      <c r="TW2470" s="54"/>
      <c r="TX2470" s="54"/>
      <c r="TY2470" s="60"/>
      <c r="TZ2470" s="60"/>
      <c r="UA2470" s="60"/>
      <c r="UB2470" s="60"/>
      <c r="UC2470" s="63"/>
      <c r="UD2470" s="61"/>
      <c r="UE2470" s="54"/>
      <c r="UF2470" s="54"/>
      <c r="UG2470" s="60"/>
      <c r="UH2470" s="60"/>
      <c r="UI2470" s="60"/>
      <c r="UJ2470" s="60"/>
      <c r="UK2470" s="63"/>
      <c r="UL2470" s="61"/>
      <c r="UM2470" s="54"/>
      <c r="UN2470" s="54"/>
      <c r="UO2470" s="60"/>
      <c r="UP2470" s="60"/>
      <c r="UQ2470" s="60"/>
      <c r="UR2470" s="60"/>
      <c r="US2470" s="63"/>
      <c r="UT2470" s="61"/>
      <c r="UU2470" s="54"/>
      <c r="UV2470" s="54"/>
      <c r="UW2470" s="60"/>
      <c r="UX2470" s="60"/>
      <c r="UY2470" s="60"/>
      <c r="UZ2470" s="60"/>
      <c r="VA2470" s="63"/>
      <c r="VB2470" s="61"/>
      <c r="VC2470" s="54"/>
      <c r="VD2470" s="54"/>
      <c r="VE2470" s="60"/>
      <c r="VF2470" s="60"/>
      <c r="VG2470" s="60"/>
      <c r="VH2470" s="60"/>
      <c r="VI2470" s="63"/>
      <c r="VJ2470" s="61"/>
      <c r="VK2470" s="54"/>
      <c r="VL2470" s="54"/>
      <c r="VM2470" s="60"/>
      <c r="VN2470" s="60"/>
      <c r="VO2470" s="60"/>
      <c r="VP2470" s="60"/>
      <c r="VQ2470" s="63"/>
      <c r="VR2470" s="61"/>
      <c r="VS2470" s="54"/>
      <c r="VT2470" s="54"/>
      <c r="VU2470" s="60"/>
      <c r="VV2470" s="60"/>
      <c r="VW2470" s="60"/>
      <c r="VX2470" s="60"/>
      <c r="VY2470" s="63"/>
      <c r="VZ2470" s="61"/>
      <c r="WA2470" s="54"/>
      <c r="WB2470" s="54"/>
      <c r="WC2470" s="60"/>
      <c r="WD2470" s="60"/>
      <c r="WE2470" s="60"/>
      <c r="WF2470" s="60"/>
      <c r="WG2470" s="63"/>
      <c r="WH2470" s="61"/>
      <c r="WI2470" s="54"/>
      <c r="WJ2470" s="54"/>
      <c r="WK2470" s="60"/>
      <c r="WL2470" s="60"/>
      <c r="WM2470" s="60"/>
      <c r="WN2470" s="60"/>
      <c r="WO2470" s="63"/>
      <c r="WP2470" s="61"/>
      <c r="WQ2470" s="54"/>
      <c r="WR2470" s="54"/>
      <c r="WS2470" s="60"/>
      <c r="WT2470" s="60"/>
      <c r="WU2470" s="60"/>
      <c r="WV2470" s="60"/>
      <c r="WW2470" s="63"/>
      <c r="WX2470" s="61"/>
      <c r="WY2470" s="54"/>
      <c r="WZ2470" s="54"/>
      <c r="XA2470" s="60"/>
      <c r="XB2470" s="60"/>
      <c r="XC2470" s="60"/>
      <c r="XD2470" s="60"/>
      <c r="XE2470" s="63"/>
      <c r="XF2470" s="61"/>
      <c r="XG2470" s="54"/>
      <c r="XH2470" s="54"/>
      <c r="XI2470" s="60"/>
      <c r="XJ2470" s="60"/>
      <c r="XK2470" s="60"/>
      <c r="XL2470" s="60"/>
      <c r="XM2470" s="63"/>
      <c r="XN2470" s="61"/>
      <c r="XO2470" s="54"/>
      <c r="XP2470" s="54"/>
      <c r="XQ2470" s="60"/>
      <c r="XR2470" s="60"/>
      <c r="XS2470" s="60"/>
      <c r="XT2470" s="60"/>
      <c r="XU2470" s="63"/>
      <c r="XV2470" s="61"/>
      <c r="XW2470" s="54"/>
      <c r="XX2470" s="54"/>
      <c r="XY2470" s="60"/>
      <c r="XZ2470" s="60"/>
      <c r="YA2470" s="60"/>
      <c r="YB2470" s="60"/>
      <c r="YC2470" s="63"/>
      <c r="YD2470" s="61"/>
      <c r="YE2470" s="54"/>
      <c r="YF2470" s="54"/>
      <c r="YG2470" s="60"/>
      <c r="YH2470" s="60"/>
      <c r="YI2470" s="60"/>
      <c r="YJ2470" s="60"/>
      <c r="YK2470" s="63"/>
      <c r="YL2470" s="61"/>
      <c r="YM2470" s="54"/>
      <c r="YN2470" s="54"/>
      <c r="YO2470" s="60"/>
      <c r="YP2470" s="60"/>
      <c r="YQ2470" s="60"/>
      <c r="YR2470" s="60"/>
      <c r="YS2470" s="63"/>
      <c r="YT2470" s="61"/>
      <c r="YU2470" s="54"/>
      <c r="YV2470" s="54"/>
      <c r="YW2470" s="60"/>
      <c r="YX2470" s="60"/>
      <c r="YY2470" s="60"/>
      <c r="YZ2470" s="60"/>
      <c r="ZA2470" s="63"/>
      <c r="ZB2470" s="61"/>
      <c r="ZC2470" s="54"/>
      <c r="ZD2470" s="54"/>
      <c r="ZE2470" s="60"/>
      <c r="ZF2470" s="60"/>
      <c r="ZG2470" s="60"/>
      <c r="ZH2470" s="60"/>
      <c r="ZI2470" s="63"/>
      <c r="ZJ2470" s="61"/>
      <c r="ZK2470" s="54"/>
      <c r="ZL2470" s="54"/>
      <c r="ZM2470" s="60"/>
      <c r="ZN2470" s="60"/>
      <c r="ZO2470" s="60"/>
      <c r="ZP2470" s="60"/>
      <c r="ZQ2470" s="63"/>
      <c r="ZR2470" s="61"/>
      <c r="ZS2470" s="54"/>
      <c r="ZT2470" s="54"/>
      <c r="ZU2470" s="60"/>
      <c r="ZV2470" s="60"/>
      <c r="ZW2470" s="60"/>
      <c r="ZX2470" s="60"/>
      <c r="ZY2470" s="63"/>
      <c r="ZZ2470" s="61"/>
      <c r="AAA2470" s="54"/>
      <c r="AAB2470" s="54"/>
      <c r="AAC2470" s="60"/>
      <c r="AAD2470" s="60"/>
      <c r="AAE2470" s="60"/>
      <c r="AAF2470" s="60"/>
      <c r="AAG2470" s="63"/>
      <c r="AAH2470" s="61"/>
      <c r="AAI2470" s="54"/>
      <c r="AAJ2470" s="54"/>
      <c r="AAK2470" s="60"/>
      <c r="AAL2470" s="60"/>
      <c r="AAM2470" s="60"/>
      <c r="AAN2470" s="60"/>
      <c r="AAO2470" s="63"/>
      <c r="AAP2470" s="61"/>
      <c r="AAQ2470" s="54"/>
      <c r="AAR2470" s="54"/>
      <c r="AAS2470" s="60"/>
      <c r="AAT2470" s="60"/>
      <c r="AAU2470" s="60"/>
      <c r="AAV2470" s="60"/>
      <c r="AAW2470" s="63"/>
      <c r="AAX2470" s="61"/>
      <c r="AAY2470" s="54"/>
      <c r="AAZ2470" s="54"/>
      <c r="ABA2470" s="60"/>
      <c r="ABB2470" s="60"/>
      <c r="ABC2470" s="60"/>
      <c r="ABD2470" s="60"/>
      <c r="ABE2470" s="63"/>
      <c r="ABF2470" s="61"/>
      <c r="ABG2470" s="54"/>
      <c r="ABH2470" s="54"/>
      <c r="ABI2470" s="60"/>
      <c r="ABJ2470" s="60"/>
      <c r="ABK2470" s="60"/>
      <c r="ABL2470" s="60"/>
      <c r="ABM2470" s="63"/>
      <c r="ABN2470" s="61"/>
      <c r="ABO2470" s="54"/>
      <c r="ABP2470" s="54"/>
      <c r="ABQ2470" s="60"/>
      <c r="ABR2470" s="60"/>
      <c r="ABS2470" s="60"/>
      <c r="ABT2470" s="60"/>
      <c r="ABU2470" s="63"/>
      <c r="ABV2470" s="61"/>
      <c r="ABW2470" s="54"/>
      <c r="ABX2470" s="54"/>
      <c r="ABY2470" s="60"/>
      <c r="ABZ2470" s="60"/>
      <c r="ACA2470" s="60"/>
      <c r="ACB2470" s="60"/>
      <c r="ACC2470" s="63"/>
      <c r="ACD2470" s="61"/>
      <c r="ACE2470" s="54"/>
      <c r="ACF2470" s="54"/>
      <c r="ACG2470" s="60"/>
      <c r="ACH2470" s="60"/>
      <c r="ACI2470" s="60"/>
      <c r="ACJ2470" s="60"/>
      <c r="ACK2470" s="63"/>
      <c r="ACL2470" s="61"/>
      <c r="ACM2470" s="54"/>
      <c r="ACN2470" s="54"/>
      <c r="ACO2470" s="60"/>
      <c r="ACP2470" s="60"/>
      <c r="ACQ2470" s="60"/>
      <c r="ACR2470" s="60"/>
      <c r="ACS2470" s="63"/>
      <c r="ACT2470" s="61"/>
      <c r="ACU2470" s="54"/>
      <c r="ACV2470" s="54"/>
      <c r="ACW2470" s="60"/>
      <c r="ACX2470" s="60"/>
      <c r="ACY2470" s="60"/>
      <c r="ACZ2470" s="60"/>
      <c r="ADA2470" s="63"/>
      <c r="ADB2470" s="61"/>
      <c r="ADC2470" s="54"/>
      <c r="ADD2470" s="54"/>
      <c r="ADE2470" s="60"/>
      <c r="ADF2470" s="60"/>
      <c r="ADG2470" s="60"/>
      <c r="ADH2470" s="60"/>
      <c r="ADI2470" s="63"/>
      <c r="ADJ2470" s="61"/>
      <c r="ADK2470" s="54"/>
      <c r="ADL2470" s="54"/>
      <c r="ADM2470" s="60"/>
      <c r="ADN2470" s="60"/>
      <c r="ADO2470" s="60"/>
      <c r="ADP2470" s="60"/>
      <c r="ADQ2470" s="63"/>
      <c r="ADR2470" s="61"/>
      <c r="ADS2470" s="54"/>
      <c r="ADT2470" s="54"/>
      <c r="ADU2470" s="60"/>
      <c r="ADV2470" s="60"/>
      <c r="ADW2470" s="60"/>
      <c r="ADX2470" s="60"/>
      <c r="ADY2470" s="63"/>
      <c r="ADZ2470" s="61"/>
      <c r="AEA2470" s="54"/>
      <c r="AEB2470" s="54"/>
      <c r="AEC2470" s="60"/>
      <c r="AED2470" s="60"/>
      <c r="AEE2470" s="60"/>
      <c r="AEF2470" s="60"/>
      <c r="AEG2470" s="63"/>
      <c r="AEH2470" s="61"/>
      <c r="AEI2470" s="54"/>
      <c r="AEJ2470" s="54"/>
      <c r="AEK2470" s="60"/>
      <c r="AEL2470" s="60"/>
      <c r="AEM2470" s="60"/>
      <c r="AEN2470" s="60"/>
      <c r="AEO2470" s="63"/>
      <c r="AEP2470" s="61"/>
      <c r="AEQ2470" s="54"/>
      <c r="AER2470" s="54"/>
      <c r="AES2470" s="60"/>
      <c r="AET2470" s="60"/>
      <c r="AEU2470" s="60"/>
      <c r="AEV2470" s="60"/>
      <c r="AEW2470" s="63"/>
      <c r="AEX2470" s="61"/>
      <c r="AEY2470" s="54"/>
      <c r="AEZ2470" s="54"/>
      <c r="AFA2470" s="60"/>
      <c r="AFB2470" s="60"/>
      <c r="AFC2470" s="60"/>
      <c r="AFD2470" s="60"/>
      <c r="AFE2470" s="63"/>
      <c r="AFF2470" s="61"/>
      <c r="AFG2470" s="54"/>
      <c r="AFH2470" s="54"/>
      <c r="AFI2470" s="60"/>
      <c r="AFJ2470" s="60"/>
      <c r="AFK2470" s="60"/>
      <c r="AFL2470" s="60"/>
      <c r="AFM2470" s="63"/>
      <c r="AFN2470" s="61"/>
      <c r="AFO2470" s="54"/>
      <c r="AFP2470" s="54"/>
      <c r="AFQ2470" s="60"/>
      <c r="AFR2470" s="60"/>
      <c r="AFS2470" s="60"/>
      <c r="AFT2470" s="60"/>
      <c r="AFU2470" s="63"/>
      <c r="AFV2470" s="61"/>
      <c r="AFW2470" s="54"/>
      <c r="AFX2470" s="54"/>
      <c r="AFY2470" s="60"/>
      <c r="AFZ2470" s="60"/>
      <c r="AGA2470" s="60"/>
      <c r="AGB2470" s="60"/>
      <c r="AGC2470" s="63"/>
      <c r="AGD2470" s="61"/>
      <c r="AGE2470" s="54"/>
      <c r="AGF2470" s="54"/>
      <c r="AGG2470" s="60"/>
      <c r="AGH2470" s="60"/>
      <c r="AGI2470" s="60"/>
      <c r="AGJ2470" s="60"/>
      <c r="AGK2470" s="63"/>
      <c r="AGL2470" s="61"/>
      <c r="AGM2470" s="54"/>
      <c r="AGN2470" s="54"/>
      <c r="AGO2470" s="60"/>
      <c r="AGP2470" s="60"/>
      <c r="AGQ2470" s="60"/>
      <c r="AGR2470" s="60"/>
      <c r="AGS2470" s="63"/>
      <c r="AGT2470" s="61"/>
      <c r="AGU2470" s="54"/>
      <c r="AGV2470" s="54"/>
      <c r="AGW2470" s="60"/>
      <c r="AGX2470" s="60"/>
      <c r="AGY2470" s="60"/>
      <c r="AGZ2470" s="60"/>
      <c r="AHA2470" s="63"/>
      <c r="AHB2470" s="61"/>
      <c r="AHC2470" s="54"/>
      <c r="AHD2470" s="54"/>
      <c r="AHE2470" s="60"/>
      <c r="AHF2470" s="60"/>
      <c r="AHG2470" s="60"/>
      <c r="AHH2470" s="60"/>
      <c r="AHI2470" s="63"/>
      <c r="AHJ2470" s="61"/>
      <c r="AHK2470" s="54"/>
      <c r="AHL2470" s="54"/>
      <c r="AHM2470" s="60"/>
      <c r="AHN2470" s="60"/>
      <c r="AHO2470" s="60"/>
      <c r="AHP2470" s="60"/>
      <c r="AHQ2470" s="63"/>
      <c r="AHR2470" s="61"/>
      <c r="AHS2470" s="54"/>
      <c r="AHT2470" s="54"/>
      <c r="AHU2470" s="60"/>
      <c r="AHV2470" s="60"/>
      <c r="AHW2470" s="60"/>
      <c r="AHX2470" s="60"/>
      <c r="AHY2470" s="63"/>
      <c r="AHZ2470" s="61"/>
      <c r="AIA2470" s="54"/>
      <c r="AIB2470" s="54"/>
      <c r="AIC2470" s="60"/>
      <c r="AID2470" s="60"/>
      <c r="AIE2470" s="60"/>
      <c r="AIF2470" s="60"/>
      <c r="AIG2470" s="63"/>
      <c r="AIH2470" s="61"/>
      <c r="AII2470" s="54"/>
      <c r="AIJ2470" s="54"/>
      <c r="AIK2470" s="60"/>
      <c r="AIL2470" s="60"/>
      <c r="AIM2470" s="60"/>
      <c r="AIN2470" s="60"/>
      <c r="AIO2470" s="63"/>
      <c r="AIP2470" s="61"/>
      <c r="AIQ2470" s="54"/>
      <c r="AIR2470" s="54"/>
      <c r="AIS2470" s="60"/>
      <c r="AIT2470" s="60"/>
      <c r="AIU2470" s="60"/>
      <c r="AIV2470" s="60"/>
      <c r="AIW2470" s="63"/>
      <c r="AIX2470" s="61"/>
      <c r="AIY2470" s="54"/>
      <c r="AIZ2470" s="54"/>
      <c r="AJA2470" s="60"/>
      <c r="AJB2470" s="60"/>
      <c r="AJC2470" s="60"/>
      <c r="AJD2470" s="60"/>
      <c r="AJE2470" s="63"/>
      <c r="AJF2470" s="61"/>
      <c r="AJG2470" s="54"/>
      <c r="AJH2470" s="54"/>
      <c r="AJI2470" s="60"/>
      <c r="AJJ2470" s="60"/>
      <c r="AJK2470" s="60"/>
      <c r="AJL2470" s="60"/>
      <c r="AJM2470" s="63"/>
      <c r="AJN2470" s="61"/>
      <c r="AJO2470" s="54"/>
      <c r="AJP2470" s="54"/>
      <c r="AJQ2470" s="60"/>
      <c r="AJR2470" s="60"/>
      <c r="AJS2470" s="60"/>
      <c r="AJT2470" s="60"/>
      <c r="AJU2470" s="63"/>
      <c r="AJV2470" s="61"/>
      <c r="AJW2470" s="54"/>
      <c r="AJX2470" s="54"/>
      <c r="AJY2470" s="60"/>
      <c r="AJZ2470" s="60"/>
      <c r="AKA2470" s="60"/>
      <c r="AKB2470" s="60"/>
      <c r="AKC2470" s="63"/>
      <c r="AKD2470" s="61"/>
      <c r="AKE2470" s="54"/>
      <c r="AKF2470" s="54"/>
      <c r="AKG2470" s="60"/>
      <c r="AKH2470" s="60"/>
      <c r="AKI2470" s="60"/>
      <c r="AKJ2470" s="60"/>
      <c r="AKK2470" s="63"/>
      <c r="AKL2470" s="61"/>
      <c r="AKM2470" s="54"/>
      <c r="AKN2470" s="54"/>
      <c r="AKO2470" s="60"/>
      <c r="AKP2470" s="60"/>
      <c r="AKQ2470" s="60"/>
      <c r="AKR2470" s="60"/>
      <c r="AKS2470" s="63"/>
      <c r="AKT2470" s="61"/>
      <c r="AKU2470" s="54"/>
      <c r="AKV2470" s="54"/>
      <c r="AKW2470" s="60"/>
      <c r="AKX2470" s="60"/>
      <c r="AKY2470" s="60"/>
      <c r="AKZ2470" s="60"/>
      <c r="ALA2470" s="63"/>
      <c r="ALB2470" s="61"/>
      <c r="ALC2470" s="54"/>
      <c r="ALD2470" s="54"/>
      <c r="ALE2470" s="60"/>
      <c r="ALF2470" s="60"/>
      <c r="ALG2470" s="60"/>
      <c r="ALH2470" s="60"/>
      <c r="ALI2470" s="63"/>
      <c r="ALJ2470" s="61"/>
      <c r="ALK2470" s="54"/>
      <c r="ALL2470" s="54"/>
      <c r="ALM2470" s="60"/>
      <c r="ALN2470" s="60"/>
      <c r="ALO2470" s="60"/>
      <c r="ALP2470" s="60"/>
      <c r="ALQ2470" s="63"/>
      <c r="ALR2470" s="61"/>
      <c r="ALS2470" s="54"/>
      <c r="ALT2470" s="54"/>
      <c r="ALU2470" s="60"/>
      <c r="ALV2470" s="60"/>
      <c r="ALW2470" s="60"/>
      <c r="ALX2470" s="60"/>
      <c r="ALY2470" s="63"/>
      <c r="ALZ2470" s="61"/>
      <c r="AMA2470" s="54"/>
      <c r="AMB2470" s="54"/>
      <c r="AMC2470" s="60"/>
      <c r="AMD2470" s="60"/>
      <c r="AME2470" s="60"/>
      <c r="AMF2470" s="60"/>
      <c r="AMG2470" s="63"/>
      <c r="AMH2470" s="61"/>
      <c r="AMI2470" s="54"/>
      <c r="AMJ2470" s="54"/>
      <c r="AMK2470" s="60"/>
      <c r="AML2470" s="60"/>
      <c r="AMM2470" s="60"/>
      <c r="AMN2470" s="60"/>
      <c r="AMO2470" s="63"/>
      <c r="AMP2470" s="61"/>
      <c r="AMQ2470" s="54"/>
      <c r="AMR2470" s="54"/>
      <c r="AMS2470" s="60"/>
      <c r="AMT2470" s="60"/>
      <c r="AMU2470" s="60"/>
      <c r="AMV2470" s="60"/>
      <c r="AMW2470" s="63"/>
      <c r="AMX2470" s="61"/>
      <c r="AMY2470" s="54"/>
      <c r="AMZ2470" s="54"/>
      <c r="ANA2470" s="60"/>
      <c r="ANB2470" s="60"/>
      <c r="ANC2470" s="60"/>
      <c r="AND2470" s="60"/>
      <c r="ANE2470" s="63"/>
      <c r="ANF2470" s="61"/>
      <c r="ANG2470" s="54"/>
      <c r="ANH2470" s="54"/>
      <c r="ANI2470" s="60"/>
      <c r="ANJ2470" s="60"/>
      <c r="ANK2470" s="60"/>
      <c r="ANL2470" s="60"/>
      <c r="ANM2470" s="63"/>
      <c r="ANN2470" s="61"/>
      <c r="ANO2470" s="54"/>
      <c r="ANP2470" s="54"/>
      <c r="ANQ2470" s="60"/>
      <c r="ANR2470" s="60"/>
      <c r="ANS2470" s="60"/>
      <c r="ANT2470" s="60"/>
      <c r="ANU2470" s="63"/>
      <c r="ANV2470" s="61"/>
      <c r="ANW2470" s="54"/>
      <c r="ANX2470" s="54"/>
      <c r="ANY2470" s="60"/>
      <c r="ANZ2470" s="60"/>
      <c r="AOA2470" s="60"/>
      <c r="AOB2470" s="60"/>
      <c r="AOC2470" s="63"/>
      <c r="AOD2470" s="61"/>
      <c r="AOE2470" s="54"/>
      <c r="AOF2470" s="54"/>
      <c r="AOG2470" s="60"/>
      <c r="AOH2470" s="60"/>
      <c r="AOI2470" s="60"/>
      <c r="AOJ2470" s="60"/>
      <c r="AOK2470" s="63"/>
      <c r="AOL2470" s="61"/>
      <c r="AOM2470" s="54"/>
      <c r="AON2470" s="54"/>
      <c r="AOO2470" s="60"/>
      <c r="AOP2470" s="60"/>
      <c r="AOQ2470" s="60"/>
      <c r="AOR2470" s="60"/>
      <c r="AOS2470" s="63"/>
      <c r="AOT2470" s="61"/>
      <c r="AOU2470" s="54"/>
      <c r="AOV2470" s="54"/>
      <c r="AOW2470" s="60"/>
      <c r="AOX2470" s="60"/>
      <c r="AOY2470" s="60"/>
      <c r="AOZ2470" s="60"/>
      <c r="APA2470" s="63"/>
      <c r="APB2470" s="61"/>
      <c r="APC2470" s="54"/>
      <c r="APD2470" s="54"/>
      <c r="APE2470" s="60"/>
      <c r="APF2470" s="60"/>
      <c r="APG2470" s="60"/>
      <c r="APH2470" s="60"/>
      <c r="API2470" s="63"/>
      <c r="APJ2470" s="61"/>
      <c r="APK2470" s="54"/>
      <c r="APL2470" s="54"/>
      <c r="APM2470" s="60"/>
      <c r="APN2470" s="60"/>
      <c r="APO2470" s="60"/>
      <c r="APP2470" s="60"/>
      <c r="APQ2470" s="63"/>
      <c r="APR2470" s="61"/>
      <c r="APS2470" s="54"/>
      <c r="APT2470" s="54"/>
      <c r="APU2470" s="60"/>
      <c r="APV2470" s="60"/>
      <c r="APW2470" s="60"/>
      <c r="APX2470" s="60"/>
      <c r="APY2470" s="63"/>
      <c r="APZ2470" s="61"/>
      <c r="AQA2470" s="54"/>
      <c r="AQB2470" s="54"/>
      <c r="AQC2470" s="60"/>
      <c r="AQD2470" s="60"/>
      <c r="AQE2470" s="60"/>
      <c r="AQF2470" s="60"/>
      <c r="AQG2470" s="63"/>
      <c r="AQH2470" s="61"/>
      <c r="AQI2470" s="54"/>
      <c r="AQJ2470" s="54"/>
      <c r="AQK2470" s="60"/>
      <c r="AQL2470" s="60"/>
      <c r="AQM2470" s="60"/>
      <c r="AQN2470" s="60"/>
      <c r="AQO2470" s="63"/>
      <c r="AQP2470" s="61"/>
      <c r="AQQ2470" s="54"/>
      <c r="AQR2470" s="54"/>
      <c r="AQS2470" s="60"/>
      <c r="AQT2470" s="60"/>
      <c r="AQU2470" s="60"/>
      <c r="AQV2470" s="60"/>
      <c r="AQW2470" s="63"/>
      <c r="AQX2470" s="61"/>
      <c r="AQY2470" s="54"/>
      <c r="AQZ2470" s="54"/>
      <c r="ARA2470" s="60"/>
      <c r="ARB2470" s="60"/>
      <c r="ARC2470" s="60"/>
      <c r="ARD2470" s="60"/>
      <c r="ARE2470" s="63"/>
      <c r="ARF2470" s="61"/>
      <c r="ARG2470" s="54"/>
      <c r="ARH2470" s="54"/>
      <c r="ARI2470" s="60"/>
      <c r="ARJ2470" s="60"/>
      <c r="ARK2470" s="60"/>
      <c r="ARL2470" s="60"/>
      <c r="ARM2470" s="63"/>
      <c r="ARN2470" s="61"/>
      <c r="ARO2470" s="54"/>
      <c r="ARP2470" s="54"/>
      <c r="ARQ2470" s="60"/>
      <c r="ARR2470" s="60"/>
      <c r="ARS2470" s="60"/>
      <c r="ART2470" s="60"/>
      <c r="ARU2470" s="63"/>
      <c r="ARV2470" s="61"/>
      <c r="ARW2470" s="54"/>
      <c r="ARX2470" s="54"/>
      <c r="ARY2470" s="60"/>
      <c r="ARZ2470" s="60"/>
      <c r="ASA2470" s="60"/>
      <c r="ASB2470" s="60"/>
      <c r="ASC2470" s="63"/>
      <c r="ASD2470" s="61"/>
      <c r="ASE2470" s="54"/>
      <c r="ASF2470" s="54"/>
      <c r="ASG2470" s="60"/>
      <c r="ASH2470" s="60"/>
      <c r="ASI2470" s="60"/>
      <c r="ASJ2470" s="60"/>
      <c r="ASK2470" s="63"/>
      <c r="ASL2470" s="61"/>
      <c r="ASM2470" s="54"/>
      <c r="ASN2470" s="54"/>
      <c r="ASO2470" s="60"/>
      <c r="ASP2470" s="60"/>
      <c r="ASQ2470" s="60"/>
      <c r="ASR2470" s="60"/>
      <c r="ASS2470" s="63"/>
      <c r="AST2470" s="61"/>
      <c r="ASU2470" s="54"/>
      <c r="ASV2470" s="54"/>
      <c r="ASW2470" s="60"/>
      <c r="ASX2470" s="60"/>
      <c r="ASY2470" s="60"/>
      <c r="ASZ2470" s="60"/>
      <c r="ATA2470" s="63"/>
      <c r="ATB2470" s="61"/>
      <c r="ATC2470" s="54"/>
      <c r="ATD2470" s="54"/>
      <c r="ATE2470" s="60"/>
      <c r="ATF2470" s="60"/>
      <c r="ATG2470" s="60"/>
      <c r="ATH2470" s="60"/>
      <c r="ATI2470" s="63"/>
      <c r="ATJ2470" s="61"/>
      <c r="ATK2470" s="54"/>
      <c r="ATL2470" s="54"/>
      <c r="ATM2470" s="60"/>
      <c r="ATN2470" s="60"/>
      <c r="ATO2470" s="60"/>
      <c r="ATP2470" s="60"/>
      <c r="ATQ2470" s="63"/>
      <c r="ATR2470" s="61"/>
      <c r="ATS2470" s="54"/>
      <c r="ATT2470" s="54"/>
      <c r="ATU2470" s="60"/>
      <c r="ATV2470" s="60"/>
      <c r="ATW2470" s="60"/>
      <c r="ATX2470" s="60"/>
      <c r="ATY2470" s="63"/>
      <c r="ATZ2470" s="61"/>
      <c r="AUA2470" s="54"/>
      <c r="AUB2470" s="54"/>
      <c r="AUC2470" s="60"/>
      <c r="AUD2470" s="60"/>
      <c r="AUE2470" s="60"/>
      <c r="AUF2470" s="60"/>
      <c r="AUG2470" s="63"/>
      <c r="AUH2470" s="61"/>
      <c r="AUI2470" s="54"/>
      <c r="AUJ2470" s="54"/>
      <c r="AUK2470" s="60"/>
      <c r="AUL2470" s="60"/>
      <c r="AUM2470" s="60"/>
      <c r="AUN2470" s="60"/>
      <c r="AUO2470" s="63"/>
      <c r="AUP2470" s="61"/>
      <c r="AUQ2470" s="54"/>
      <c r="AUR2470" s="54"/>
      <c r="AUS2470" s="60"/>
      <c r="AUT2470" s="60"/>
      <c r="AUU2470" s="60"/>
      <c r="AUV2470" s="60"/>
      <c r="AUW2470" s="63"/>
      <c r="AUX2470" s="61"/>
      <c r="AUY2470" s="54"/>
      <c r="AUZ2470" s="54"/>
      <c r="AVA2470" s="60"/>
      <c r="AVB2470" s="60"/>
      <c r="AVC2470" s="60"/>
      <c r="AVD2470" s="60"/>
      <c r="AVE2470" s="63"/>
      <c r="AVF2470" s="61"/>
      <c r="AVG2470" s="54"/>
      <c r="AVH2470" s="54"/>
      <c r="AVI2470" s="60"/>
      <c r="AVJ2470" s="60"/>
      <c r="AVK2470" s="60"/>
      <c r="AVL2470" s="60"/>
      <c r="AVM2470" s="63"/>
      <c r="AVN2470" s="61"/>
      <c r="AVO2470" s="54"/>
      <c r="AVP2470" s="54"/>
      <c r="AVQ2470" s="60"/>
      <c r="AVR2470" s="60"/>
      <c r="AVS2470" s="60"/>
      <c r="AVT2470" s="60"/>
      <c r="AVU2470" s="63"/>
      <c r="AVV2470" s="61"/>
      <c r="AVW2470" s="54"/>
      <c r="AVX2470" s="54"/>
      <c r="AVY2470" s="60"/>
      <c r="AVZ2470" s="60"/>
      <c r="AWA2470" s="60"/>
      <c r="AWB2470" s="60"/>
      <c r="AWC2470" s="63"/>
      <c r="AWD2470" s="61"/>
      <c r="AWE2470" s="54"/>
      <c r="AWF2470" s="54"/>
      <c r="AWG2470" s="60"/>
      <c r="AWH2470" s="60"/>
      <c r="AWI2470" s="60"/>
      <c r="AWJ2470" s="60"/>
      <c r="AWK2470" s="63"/>
      <c r="AWL2470" s="61"/>
      <c r="AWM2470" s="54"/>
      <c r="AWN2470" s="54"/>
      <c r="AWO2470" s="60"/>
      <c r="AWP2470" s="60"/>
      <c r="AWQ2470" s="60"/>
      <c r="AWR2470" s="60"/>
      <c r="AWS2470" s="63"/>
      <c r="AWT2470" s="61"/>
      <c r="AWU2470" s="54"/>
      <c r="AWV2470" s="54"/>
      <c r="AWW2470" s="60"/>
      <c r="AWX2470" s="60"/>
      <c r="AWY2470" s="60"/>
      <c r="AWZ2470" s="60"/>
      <c r="AXA2470" s="63"/>
      <c r="AXB2470" s="61"/>
      <c r="AXC2470" s="54"/>
      <c r="AXD2470" s="54"/>
      <c r="AXE2470" s="60"/>
      <c r="AXF2470" s="60"/>
      <c r="AXG2470" s="60"/>
      <c r="AXH2470" s="60"/>
      <c r="AXI2470" s="63"/>
      <c r="AXJ2470" s="61"/>
      <c r="AXK2470" s="54"/>
      <c r="AXL2470" s="54"/>
      <c r="AXM2470" s="60"/>
      <c r="AXN2470" s="60"/>
      <c r="AXO2470" s="60"/>
      <c r="AXP2470" s="60"/>
      <c r="AXQ2470" s="63"/>
      <c r="AXR2470" s="61"/>
      <c r="AXS2470" s="54"/>
      <c r="AXT2470" s="54"/>
      <c r="AXU2470" s="60"/>
      <c r="AXV2470" s="60"/>
      <c r="AXW2470" s="60"/>
      <c r="AXX2470" s="60"/>
      <c r="AXY2470" s="63"/>
      <c r="AXZ2470" s="61"/>
      <c r="AYA2470" s="54"/>
      <c r="AYB2470" s="54"/>
      <c r="AYC2470" s="60"/>
      <c r="AYD2470" s="60"/>
      <c r="AYE2470" s="60"/>
      <c r="AYF2470" s="60"/>
      <c r="AYG2470" s="63"/>
      <c r="AYH2470" s="61"/>
      <c r="AYI2470" s="54"/>
      <c r="AYJ2470" s="54"/>
      <c r="AYK2470" s="60"/>
      <c r="AYL2470" s="60"/>
      <c r="AYM2470" s="60"/>
      <c r="AYN2470" s="60"/>
      <c r="AYO2470" s="63"/>
      <c r="AYP2470" s="61"/>
      <c r="AYQ2470" s="54"/>
      <c r="AYR2470" s="54"/>
      <c r="AYS2470" s="60"/>
      <c r="AYT2470" s="60"/>
      <c r="AYU2470" s="60"/>
      <c r="AYV2470" s="60"/>
      <c r="AYW2470" s="63"/>
      <c r="AYX2470" s="61"/>
      <c r="AYY2470" s="54"/>
      <c r="AYZ2470" s="54"/>
      <c r="AZA2470" s="60"/>
      <c r="AZB2470" s="60"/>
      <c r="AZC2470" s="60"/>
      <c r="AZD2470" s="60"/>
      <c r="AZE2470" s="63"/>
      <c r="AZF2470" s="61"/>
      <c r="AZG2470" s="54"/>
      <c r="AZH2470" s="54"/>
      <c r="AZI2470" s="60"/>
      <c r="AZJ2470" s="60"/>
      <c r="AZK2470" s="60"/>
      <c r="AZL2470" s="60"/>
      <c r="AZM2470" s="63"/>
      <c r="AZN2470" s="61"/>
      <c r="AZO2470" s="54"/>
      <c r="AZP2470" s="54"/>
      <c r="AZQ2470" s="60"/>
      <c r="AZR2470" s="60"/>
      <c r="AZS2470" s="60"/>
      <c r="AZT2470" s="60"/>
      <c r="AZU2470" s="63"/>
      <c r="AZV2470" s="61"/>
      <c r="AZW2470" s="54"/>
      <c r="AZX2470" s="54"/>
      <c r="AZY2470" s="60"/>
      <c r="AZZ2470" s="60"/>
      <c r="BAA2470" s="60"/>
      <c r="BAB2470" s="60"/>
      <c r="BAC2470" s="63"/>
      <c r="BAD2470" s="61"/>
      <c r="BAE2470" s="54"/>
      <c r="BAF2470" s="54"/>
      <c r="BAG2470" s="60"/>
      <c r="BAH2470" s="60"/>
      <c r="BAI2470" s="60"/>
      <c r="BAJ2470" s="60"/>
      <c r="BAK2470" s="63"/>
      <c r="BAL2470" s="61"/>
      <c r="BAM2470" s="54"/>
      <c r="BAN2470" s="54"/>
      <c r="BAO2470" s="60"/>
      <c r="BAP2470" s="60"/>
      <c r="BAQ2470" s="60"/>
      <c r="BAR2470" s="60"/>
      <c r="BAS2470" s="63"/>
      <c r="BAT2470" s="61"/>
      <c r="BAU2470" s="54"/>
      <c r="BAV2470" s="54"/>
      <c r="BAW2470" s="60"/>
      <c r="BAX2470" s="60"/>
      <c r="BAY2470" s="60"/>
      <c r="BAZ2470" s="60"/>
      <c r="BBA2470" s="63"/>
      <c r="BBB2470" s="61"/>
      <c r="BBC2470" s="54"/>
      <c r="BBD2470" s="54"/>
      <c r="BBE2470" s="60"/>
      <c r="BBF2470" s="60"/>
      <c r="BBG2470" s="60"/>
      <c r="BBH2470" s="60"/>
      <c r="BBI2470" s="63"/>
      <c r="BBJ2470" s="61"/>
      <c r="BBK2470" s="54"/>
      <c r="BBL2470" s="54"/>
      <c r="BBM2470" s="60"/>
      <c r="BBN2470" s="60"/>
      <c r="BBO2470" s="60"/>
      <c r="BBP2470" s="60"/>
      <c r="BBQ2470" s="63"/>
      <c r="BBR2470" s="61"/>
      <c r="BBS2470" s="54"/>
      <c r="BBT2470" s="54"/>
      <c r="BBU2470" s="60"/>
      <c r="BBV2470" s="60"/>
      <c r="BBW2470" s="60"/>
      <c r="BBX2470" s="60"/>
      <c r="BBY2470" s="63"/>
      <c r="BBZ2470" s="61"/>
      <c r="BCA2470" s="54"/>
      <c r="BCB2470" s="54"/>
      <c r="BCC2470" s="60"/>
      <c r="BCD2470" s="60"/>
      <c r="BCE2470" s="60"/>
      <c r="BCF2470" s="60"/>
      <c r="BCG2470" s="63"/>
      <c r="BCH2470" s="61"/>
      <c r="BCI2470" s="54"/>
      <c r="BCJ2470" s="54"/>
      <c r="BCK2470" s="60"/>
      <c r="BCL2470" s="60"/>
      <c r="BCM2470" s="60"/>
      <c r="BCN2470" s="60"/>
      <c r="BCO2470" s="63"/>
      <c r="BCP2470" s="61"/>
      <c r="BCQ2470" s="54"/>
      <c r="BCR2470" s="54"/>
      <c r="BCS2470" s="60"/>
      <c r="BCT2470" s="60"/>
      <c r="BCU2470" s="60"/>
      <c r="BCV2470" s="60"/>
      <c r="BCW2470" s="63"/>
      <c r="BCX2470" s="61"/>
      <c r="BCY2470" s="54"/>
      <c r="BCZ2470" s="54"/>
      <c r="BDA2470" s="60"/>
      <c r="BDB2470" s="60"/>
      <c r="BDC2470" s="60"/>
      <c r="BDD2470" s="60"/>
      <c r="BDE2470" s="63"/>
      <c r="BDF2470" s="61"/>
      <c r="BDG2470" s="54"/>
      <c r="BDH2470" s="54"/>
      <c r="BDI2470" s="60"/>
      <c r="BDJ2470" s="60"/>
      <c r="BDK2470" s="60"/>
      <c r="BDL2470" s="60"/>
      <c r="BDM2470" s="63"/>
      <c r="BDN2470" s="61"/>
      <c r="BDO2470" s="54"/>
      <c r="BDP2470" s="54"/>
      <c r="BDQ2470" s="60"/>
      <c r="BDR2470" s="60"/>
      <c r="BDS2470" s="60"/>
      <c r="BDT2470" s="60"/>
      <c r="BDU2470" s="63"/>
      <c r="BDV2470" s="61"/>
      <c r="BDW2470" s="54"/>
      <c r="BDX2470" s="54"/>
      <c r="BDY2470" s="60"/>
      <c r="BDZ2470" s="60"/>
      <c r="BEA2470" s="60"/>
      <c r="BEB2470" s="60"/>
      <c r="BEC2470" s="63"/>
      <c r="BED2470" s="61"/>
      <c r="BEE2470" s="54"/>
      <c r="BEF2470" s="54"/>
      <c r="BEG2470" s="60"/>
      <c r="BEH2470" s="60"/>
      <c r="BEI2470" s="60"/>
      <c r="BEJ2470" s="60"/>
      <c r="BEK2470" s="63"/>
      <c r="BEL2470" s="61"/>
      <c r="BEM2470" s="54"/>
      <c r="BEN2470" s="54"/>
      <c r="BEO2470" s="60"/>
      <c r="BEP2470" s="60"/>
      <c r="BEQ2470" s="60"/>
      <c r="BER2470" s="60"/>
      <c r="BES2470" s="63"/>
      <c r="BET2470" s="61"/>
      <c r="BEU2470" s="54"/>
      <c r="BEV2470" s="54"/>
      <c r="BEW2470" s="60"/>
      <c r="BEX2470" s="60"/>
      <c r="BEY2470" s="60"/>
      <c r="BEZ2470" s="60"/>
      <c r="BFA2470" s="63"/>
      <c r="BFB2470" s="61"/>
      <c r="BFC2470" s="54"/>
      <c r="BFD2470" s="54"/>
      <c r="BFE2470" s="60"/>
      <c r="BFF2470" s="60"/>
      <c r="BFG2470" s="60"/>
      <c r="BFH2470" s="60"/>
      <c r="BFI2470" s="63"/>
      <c r="BFJ2470" s="61"/>
      <c r="BFK2470" s="54"/>
      <c r="BFL2470" s="54"/>
      <c r="BFM2470" s="60"/>
      <c r="BFN2470" s="60"/>
      <c r="BFO2470" s="60"/>
      <c r="BFP2470" s="60"/>
      <c r="BFQ2470" s="63"/>
      <c r="BFR2470" s="61"/>
      <c r="BFS2470" s="54"/>
      <c r="BFT2470" s="54"/>
      <c r="BFU2470" s="60"/>
      <c r="BFV2470" s="60"/>
      <c r="BFW2470" s="60"/>
      <c r="BFX2470" s="60"/>
      <c r="BFY2470" s="63"/>
      <c r="BFZ2470" s="61"/>
      <c r="BGA2470" s="54"/>
      <c r="BGB2470" s="54"/>
      <c r="BGC2470" s="60"/>
      <c r="BGD2470" s="60"/>
      <c r="BGE2470" s="60"/>
      <c r="BGF2470" s="60"/>
      <c r="BGG2470" s="63"/>
      <c r="BGH2470" s="61"/>
      <c r="BGI2470" s="54"/>
      <c r="BGJ2470" s="54"/>
      <c r="BGK2470" s="60"/>
      <c r="BGL2470" s="60"/>
      <c r="BGM2470" s="60"/>
      <c r="BGN2470" s="60"/>
      <c r="BGO2470" s="63"/>
      <c r="BGP2470" s="61"/>
      <c r="BGQ2470" s="54"/>
      <c r="BGR2470" s="54"/>
      <c r="BGS2470" s="60"/>
      <c r="BGT2470" s="60"/>
      <c r="BGU2470" s="60"/>
      <c r="BGV2470" s="60"/>
      <c r="BGW2470" s="63"/>
      <c r="BGX2470" s="61"/>
      <c r="BGY2470" s="54"/>
      <c r="BGZ2470" s="54"/>
      <c r="BHA2470" s="60"/>
      <c r="BHB2470" s="60"/>
      <c r="BHC2470" s="60"/>
      <c r="BHD2470" s="60"/>
      <c r="BHE2470" s="63"/>
      <c r="BHF2470" s="61"/>
      <c r="BHG2470" s="54"/>
      <c r="BHH2470" s="54"/>
      <c r="BHI2470" s="60"/>
      <c r="BHJ2470" s="60"/>
      <c r="BHK2470" s="60"/>
      <c r="BHL2470" s="60"/>
      <c r="BHM2470" s="63"/>
      <c r="BHN2470" s="61"/>
      <c r="BHO2470" s="54"/>
      <c r="BHP2470" s="54"/>
      <c r="BHQ2470" s="60"/>
      <c r="BHR2470" s="60"/>
      <c r="BHS2470" s="60"/>
      <c r="BHT2470" s="60"/>
      <c r="BHU2470" s="63"/>
      <c r="BHV2470" s="61"/>
      <c r="BHW2470" s="54"/>
      <c r="BHX2470" s="54"/>
      <c r="BHY2470" s="60"/>
      <c r="BHZ2470" s="60"/>
      <c r="BIA2470" s="60"/>
      <c r="BIB2470" s="60"/>
      <c r="BIC2470" s="63"/>
      <c r="BID2470" s="61"/>
      <c r="BIE2470" s="54"/>
      <c r="BIF2470" s="54"/>
      <c r="BIG2470" s="60"/>
      <c r="BIH2470" s="60"/>
      <c r="BII2470" s="60"/>
      <c r="BIJ2470" s="60"/>
      <c r="BIK2470" s="63"/>
      <c r="BIL2470" s="61"/>
      <c r="BIM2470" s="54"/>
      <c r="BIN2470" s="54"/>
      <c r="BIO2470" s="60"/>
      <c r="BIP2470" s="60"/>
      <c r="BIQ2470" s="60"/>
      <c r="BIR2470" s="60"/>
      <c r="BIS2470" s="63"/>
      <c r="BIT2470" s="61"/>
      <c r="BIU2470" s="54"/>
      <c r="BIV2470" s="54"/>
      <c r="BIW2470" s="60"/>
      <c r="BIX2470" s="60"/>
      <c r="BIY2470" s="60"/>
      <c r="BIZ2470" s="60"/>
      <c r="BJA2470" s="63"/>
      <c r="BJB2470" s="61"/>
      <c r="BJC2470" s="54"/>
      <c r="BJD2470" s="54"/>
      <c r="BJE2470" s="60"/>
      <c r="BJF2470" s="60"/>
      <c r="BJG2470" s="60"/>
      <c r="BJH2470" s="60"/>
      <c r="BJI2470" s="63"/>
      <c r="BJJ2470" s="61"/>
      <c r="BJK2470" s="54"/>
      <c r="BJL2470" s="54"/>
      <c r="BJM2470" s="60"/>
      <c r="BJN2470" s="60"/>
      <c r="BJO2470" s="60"/>
      <c r="BJP2470" s="60"/>
      <c r="BJQ2470" s="63"/>
      <c r="BJR2470" s="61"/>
      <c r="BJS2470" s="54"/>
      <c r="BJT2470" s="54"/>
      <c r="BJU2470" s="60"/>
      <c r="BJV2470" s="60"/>
      <c r="BJW2470" s="60"/>
      <c r="BJX2470" s="60"/>
      <c r="BJY2470" s="63"/>
      <c r="BJZ2470" s="61"/>
      <c r="BKA2470" s="54"/>
      <c r="BKB2470" s="54"/>
      <c r="BKC2470" s="60"/>
      <c r="BKD2470" s="60"/>
      <c r="BKE2470" s="60"/>
      <c r="BKF2470" s="60"/>
      <c r="BKG2470" s="63"/>
      <c r="BKH2470" s="61"/>
      <c r="BKI2470" s="54"/>
      <c r="BKJ2470" s="54"/>
      <c r="BKK2470" s="60"/>
      <c r="BKL2470" s="60"/>
      <c r="BKM2470" s="60"/>
      <c r="BKN2470" s="60"/>
      <c r="BKO2470" s="63"/>
      <c r="BKP2470" s="61"/>
      <c r="BKQ2470" s="54"/>
      <c r="BKR2470" s="54"/>
      <c r="BKS2470" s="60"/>
      <c r="BKT2470" s="60"/>
      <c r="BKU2470" s="60"/>
      <c r="BKV2470" s="60"/>
      <c r="BKW2470" s="63"/>
      <c r="BKX2470" s="61"/>
      <c r="BKY2470" s="54"/>
      <c r="BKZ2470" s="54"/>
      <c r="BLA2470" s="60"/>
      <c r="BLB2470" s="60"/>
      <c r="BLC2470" s="60"/>
      <c r="BLD2470" s="60"/>
      <c r="BLE2470" s="63"/>
      <c r="BLF2470" s="61"/>
      <c r="BLG2470" s="54"/>
      <c r="BLH2470" s="54"/>
      <c r="BLI2470" s="60"/>
      <c r="BLJ2470" s="60"/>
      <c r="BLK2470" s="60"/>
      <c r="BLL2470" s="60"/>
      <c r="BLM2470" s="63"/>
      <c r="BLN2470" s="61"/>
      <c r="BLO2470" s="54"/>
      <c r="BLP2470" s="54"/>
      <c r="BLQ2470" s="60"/>
      <c r="BLR2470" s="60"/>
      <c r="BLS2470" s="60"/>
      <c r="BLT2470" s="60"/>
      <c r="BLU2470" s="63"/>
      <c r="BLV2470" s="61"/>
      <c r="BLW2470" s="54"/>
      <c r="BLX2470" s="54"/>
      <c r="BLY2470" s="60"/>
      <c r="BLZ2470" s="60"/>
      <c r="BMA2470" s="60"/>
      <c r="BMB2470" s="60"/>
      <c r="BMC2470" s="63"/>
      <c r="BMD2470" s="61"/>
      <c r="BME2470" s="54"/>
      <c r="BMF2470" s="54"/>
      <c r="BMG2470" s="60"/>
      <c r="BMH2470" s="60"/>
      <c r="BMI2470" s="60"/>
      <c r="BMJ2470" s="60"/>
      <c r="BMK2470" s="63"/>
      <c r="BML2470" s="61"/>
      <c r="BMM2470" s="54"/>
      <c r="BMN2470" s="54"/>
      <c r="BMO2470" s="60"/>
      <c r="BMP2470" s="60"/>
      <c r="BMQ2470" s="60"/>
      <c r="BMR2470" s="60"/>
      <c r="BMS2470" s="63"/>
      <c r="BMT2470" s="61"/>
      <c r="BMU2470" s="54"/>
      <c r="BMV2470" s="54"/>
      <c r="BMW2470" s="60"/>
      <c r="BMX2470" s="60"/>
      <c r="BMY2470" s="60"/>
      <c r="BMZ2470" s="60"/>
      <c r="BNA2470" s="63"/>
      <c r="BNB2470" s="61"/>
      <c r="BNC2470" s="54"/>
      <c r="BND2470" s="54"/>
      <c r="BNE2470" s="60"/>
      <c r="BNF2470" s="60"/>
      <c r="BNG2470" s="60"/>
      <c r="BNH2470" s="60"/>
      <c r="BNI2470" s="63"/>
      <c r="BNJ2470" s="61"/>
      <c r="BNK2470" s="54"/>
      <c r="BNL2470" s="54"/>
      <c r="BNM2470" s="60"/>
      <c r="BNN2470" s="60"/>
      <c r="BNO2470" s="60"/>
      <c r="BNP2470" s="60"/>
      <c r="BNQ2470" s="63"/>
      <c r="BNR2470" s="61"/>
      <c r="BNS2470" s="54"/>
      <c r="BNT2470" s="54"/>
      <c r="BNU2470" s="60"/>
      <c r="BNV2470" s="60"/>
      <c r="BNW2470" s="60"/>
      <c r="BNX2470" s="60"/>
      <c r="BNY2470" s="63"/>
      <c r="BNZ2470" s="61"/>
      <c r="BOA2470" s="54"/>
      <c r="BOB2470" s="54"/>
      <c r="BOC2470" s="60"/>
      <c r="BOD2470" s="60"/>
      <c r="BOE2470" s="60"/>
      <c r="BOF2470" s="60"/>
      <c r="BOG2470" s="63"/>
      <c r="BOH2470" s="61"/>
      <c r="BOI2470" s="54"/>
      <c r="BOJ2470" s="54"/>
      <c r="BOK2470" s="60"/>
      <c r="BOL2470" s="60"/>
      <c r="BOM2470" s="60"/>
      <c r="BON2470" s="60"/>
      <c r="BOO2470" s="63"/>
      <c r="BOP2470" s="61"/>
      <c r="BOQ2470" s="54"/>
      <c r="BOR2470" s="54"/>
      <c r="BOS2470" s="60"/>
      <c r="BOT2470" s="60"/>
      <c r="BOU2470" s="60"/>
      <c r="BOV2470" s="60"/>
      <c r="BOW2470" s="63"/>
      <c r="BOX2470" s="61"/>
      <c r="BOY2470" s="54"/>
      <c r="BOZ2470" s="54"/>
      <c r="BPA2470" s="60"/>
      <c r="BPB2470" s="60"/>
      <c r="BPC2470" s="60"/>
      <c r="BPD2470" s="60"/>
      <c r="BPE2470" s="63"/>
      <c r="BPF2470" s="61"/>
      <c r="BPG2470" s="54"/>
      <c r="BPH2470" s="54"/>
      <c r="BPI2470" s="60"/>
      <c r="BPJ2470" s="60"/>
      <c r="BPK2470" s="60"/>
      <c r="BPL2470" s="60"/>
      <c r="BPM2470" s="63"/>
      <c r="BPN2470" s="61"/>
      <c r="BPO2470" s="54"/>
      <c r="BPP2470" s="54"/>
      <c r="BPQ2470" s="60"/>
      <c r="BPR2470" s="60"/>
      <c r="BPS2470" s="60"/>
      <c r="BPT2470" s="60"/>
      <c r="BPU2470" s="63"/>
      <c r="BPV2470" s="61"/>
      <c r="BPW2470" s="54"/>
      <c r="BPX2470" s="54"/>
      <c r="BPY2470" s="60"/>
      <c r="BPZ2470" s="60"/>
      <c r="BQA2470" s="60"/>
      <c r="BQB2470" s="60"/>
      <c r="BQC2470" s="63"/>
      <c r="BQD2470" s="61"/>
      <c r="BQE2470" s="54"/>
      <c r="BQF2470" s="54"/>
      <c r="BQG2470" s="60"/>
      <c r="BQH2470" s="60"/>
      <c r="BQI2470" s="60"/>
      <c r="BQJ2470" s="60"/>
      <c r="BQK2470" s="63"/>
      <c r="BQL2470" s="61"/>
      <c r="BQM2470" s="54"/>
      <c r="BQN2470" s="54"/>
      <c r="BQO2470" s="60"/>
      <c r="BQP2470" s="60"/>
      <c r="BQQ2470" s="60"/>
      <c r="BQR2470" s="60"/>
      <c r="BQS2470" s="63"/>
      <c r="BQT2470" s="61"/>
      <c r="BQU2470" s="54"/>
      <c r="BQV2470" s="54"/>
      <c r="BQW2470" s="60"/>
      <c r="BQX2470" s="60"/>
      <c r="BQY2470" s="60"/>
      <c r="BQZ2470" s="60"/>
      <c r="BRA2470" s="63"/>
      <c r="BRB2470" s="61"/>
      <c r="BRC2470" s="54"/>
      <c r="BRD2470" s="54"/>
      <c r="BRE2470" s="60"/>
      <c r="BRF2470" s="60"/>
      <c r="BRG2470" s="60"/>
      <c r="BRH2470" s="60"/>
      <c r="BRI2470" s="63"/>
      <c r="BRJ2470" s="61"/>
      <c r="BRK2470" s="54"/>
      <c r="BRL2470" s="54"/>
      <c r="BRM2470" s="60"/>
      <c r="BRN2470" s="60"/>
      <c r="BRO2470" s="60"/>
      <c r="BRP2470" s="60"/>
      <c r="BRQ2470" s="63"/>
      <c r="BRR2470" s="61"/>
      <c r="BRS2470" s="54"/>
      <c r="BRT2470" s="54"/>
      <c r="BRU2470" s="60"/>
      <c r="BRV2470" s="60"/>
      <c r="BRW2470" s="60"/>
      <c r="BRX2470" s="60"/>
      <c r="BRY2470" s="63"/>
      <c r="BRZ2470" s="61"/>
      <c r="BSA2470" s="54"/>
      <c r="BSB2470" s="54"/>
      <c r="BSC2470" s="60"/>
      <c r="BSD2470" s="60"/>
      <c r="BSE2470" s="60"/>
      <c r="BSF2470" s="60"/>
      <c r="BSG2470" s="63"/>
      <c r="BSH2470" s="61"/>
      <c r="BSI2470" s="54"/>
      <c r="BSJ2470" s="54"/>
      <c r="BSK2470" s="60"/>
      <c r="BSL2470" s="60"/>
      <c r="BSM2470" s="60"/>
      <c r="BSN2470" s="60"/>
      <c r="BSO2470" s="63"/>
      <c r="BSP2470" s="61"/>
      <c r="BSQ2470" s="54"/>
      <c r="BSR2470" s="54"/>
      <c r="BSS2470" s="60"/>
      <c r="BST2470" s="60"/>
      <c r="BSU2470" s="60"/>
      <c r="BSV2470" s="60"/>
      <c r="BSW2470" s="63"/>
      <c r="BSX2470" s="61"/>
      <c r="BSY2470" s="54"/>
      <c r="BSZ2470" s="54"/>
      <c r="BTA2470" s="60"/>
      <c r="BTB2470" s="60"/>
      <c r="BTC2470" s="60"/>
      <c r="BTD2470" s="60"/>
      <c r="BTE2470" s="63"/>
      <c r="BTF2470" s="61"/>
      <c r="BTG2470" s="54"/>
      <c r="BTH2470" s="54"/>
      <c r="BTI2470" s="60"/>
      <c r="BTJ2470" s="60"/>
      <c r="BTK2470" s="60"/>
      <c r="BTL2470" s="60"/>
      <c r="BTM2470" s="63"/>
      <c r="BTN2470" s="61"/>
      <c r="BTO2470" s="54"/>
      <c r="BTP2470" s="54"/>
      <c r="BTQ2470" s="60"/>
      <c r="BTR2470" s="60"/>
      <c r="BTS2470" s="60"/>
      <c r="BTT2470" s="60"/>
      <c r="BTU2470" s="63"/>
      <c r="BTV2470" s="61"/>
      <c r="BTW2470" s="54"/>
      <c r="BTX2470" s="54"/>
      <c r="BTY2470" s="60"/>
      <c r="BTZ2470" s="60"/>
      <c r="BUA2470" s="60"/>
      <c r="BUB2470" s="60"/>
      <c r="BUC2470" s="63"/>
      <c r="BUD2470" s="61"/>
      <c r="BUE2470" s="54"/>
      <c r="BUF2470" s="54"/>
      <c r="BUG2470" s="60"/>
      <c r="BUH2470" s="60"/>
      <c r="BUI2470" s="60"/>
      <c r="BUJ2470" s="60"/>
      <c r="BUK2470" s="63"/>
      <c r="BUL2470" s="61"/>
      <c r="BUM2470" s="54"/>
      <c r="BUN2470" s="54"/>
      <c r="BUO2470" s="60"/>
      <c r="BUP2470" s="60"/>
      <c r="BUQ2470" s="60"/>
      <c r="BUR2470" s="60"/>
      <c r="BUS2470" s="63"/>
      <c r="BUT2470" s="61"/>
      <c r="BUU2470" s="54"/>
      <c r="BUV2470" s="54"/>
      <c r="BUW2470" s="60"/>
      <c r="BUX2470" s="60"/>
      <c r="BUY2470" s="60"/>
      <c r="BUZ2470" s="60"/>
      <c r="BVA2470" s="63"/>
      <c r="BVB2470" s="61"/>
      <c r="BVC2470" s="54"/>
      <c r="BVD2470" s="54"/>
      <c r="BVE2470" s="60"/>
      <c r="BVF2470" s="60"/>
      <c r="BVG2470" s="60"/>
      <c r="BVH2470" s="60"/>
      <c r="BVI2470" s="63"/>
      <c r="BVJ2470" s="61"/>
      <c r="BVK2470" s="54"/>
      <c r="BVL2470" s="54"/>
      <c r="BVM2470" s="60"/>
      <c r="BVN2470" s="60"/>
      <c r="BVO2470" s="60"/>
      <c r="BVP2470" s="60"/>
      <c r="BVQ2470" s="63"/>
      <c r="BVR2470" s="61"/>
      <c r="BVS2470" s="54"/>
      <c r="BVT2470" s="54"/>
      <c r="BVU2470" s="60"/>
      <c r="BVV2470" s="60"/>
      <c r="BVW2470" s="60"/>
      <c r="BVX2470" s="60"/>
      <c r="BVY2470" s="63"/>
      <c r="BVZ2470" s="61"/>
      <c r="BWA2470" s="54"/>
      <c r="BWB2470" s="54"/>
      <c r="BWC2470" s="60"/>
      <c r="BWD2470" s="60"/>
      <c r="BWE2470" s="60"/>
      <c r="BWF2470" s="60"/>
      <c r="BWG2470" s="63"/>
      <c r="BWH2470" s="61"/>
      <c r="BWI2470" s="54"/>
      <c r="BWJ2470" s="54"/>
      <c r="BWK2470" s="60"/>
      <c r="BWL2470" s="60"/>
      <c r="BWM2470" s="60"/>
      <c r="BWN2470" s="60"/>
      <c r="BWO2470" s="63"/>
      <c r="BWP2470" s="61"/>
      <c r="BWQ2470" s="54"/>
      <c r="BWR2470" s="54"/>
      <c r="BWS2470" s="60"/>
      <c r="BWT2470" s="60"/>
      <c r="BWU2470" s="60"/>
      <c r="BWV2470" s="60"/>
      <c r="BWW2470" s="63"/>
      <c r="BWX2470" s="61"/>
      <c r="BWY2470" s="54"/>
      <c r="BWZ2470" s="54"/>
      <c r="BXA2470" s="60"/>
      <c r="BXB2470" s="60"/>
      <c r="BXC2470" s="60"/>
      <c r="BXD2470" s="60"/>
      <c r="BXE2470" s="63"/>
      <c r="BXF2470" s="61"/>
      <c r="BXG2470" s="54"/>
      <c r="BXH2470" s="54"/>
      <c r="BXI2470" s="60"/>
      <c r="BXJ2470" s="60"/>
      <c r="BXK2470" s="60"/>
      <c r="BXL2470" s="60"/>
      <c r="BXM2470" s="63"/>
      <c r="BXN2470" s="61"/>
      <c r="BXO2470" s="54"/>
      <c r="BXP2470" s="54"/>
      <c r="BXQ2470" s="60"/>
      <c r="BXR2470" s="60"/>
      <c r="BXS2470" s="60"/>
      <c r="BXT2470" s="60"/>
      <c r="BXU2470" s="63"/>
      <c r="BXV2470" s="61"/>
      <c r="BXW2470" s="54"/>
      <c r="BXX2470" s="54"/>
      <c r="BXY2470" s="60"/>
      <c r="BXZ2470" s="60"/>
      <c r="BYA2470" s="60"/>
      <c r="BYB2470" s="60"/>
      <c r="BYC2470" s="63"/>
      <c r="BYD2470" s="61"/>
      <c r="BYE2470" s="54"/>
      <c r="BYF2470" s="54"/>
      <c r="BYG2470" s="60"/>
      <c r="BYH2470" s="60"/>
      <c r="BYI2470" s="60"/>
      <c r="BYJ2470" s="60"/>
      <c r="BYK2470" s="63"/>
      <c r="BYL2470" s="61"/>
      <c r="BYM2470" s="54"/>
      <c r="BYN2470" s="54"/>
      <c r="BYO2470" s="60"/>
      <c r="BYP2470" s="60"/>
      <c r="BYQ2470" s="60"/>
      <c r="BYR2470" s="60"/>
      <c r="BYS2470" s="63"/>
      <c r="BYT2470" s="61"/>
      <c r="BYU2470" s="54"/>
      <c r="BYV2470" s="54"/>
      <c r="BYW2470" s="60"/>
      <c r="BYX2470" s="60"/>
      <c r="BYY2470" s="60"/>
      <c r="BYZ2470" s="60"/>
      <c r="BZA2470" s="63"/>
      <c r="BZB2470" s="61"/>
      <c r="BZC2470" s="54"/>
      <c r="BZD2470" s="54"/>
      <c r="BZE2470" s="60"/>
      <c r="BZF2470" s="60"/>
      <c r="BZG2470" s="60"/>
      <c r="BZH2470" s="60"/>
      <c r="BZI2470" s="63"/>
      <c r="BZJ2470" s="61"/>
      <c r="BZK2470" s="54"/>
      <c r="BZL2470" s="54"/>
      <c r="BZM2470" s="60"/>
      <c r="BZN2470" s="60"/>
      <c r="BZO2470" s="60"/>
      <c r="BZP2470" s="60"/>
      <c r="BZQ2470" s="63"/>
      <c r="BZR2470" s="61"/>
      <c r="BZS2470" s="54"/>
      <c r="BZT2470" s="54"/>
      <c r="BZU2470" s="60"/>
      <c r="BZV2470" s="60"/>
      <c r="BZW2470" s="60"/>
      <c r="BZX2470" s="60"/>
      <c r="BZY2470" s="63"/>
      <c r="BZZ2470" s="61"/>
      <c r="CAA2470" s="54"/>
      <c r="CAB2470" s="54"/>
      <c r="CAC2470" s="60"/>
      <c r="CAD2470" s="60"/>
      <c r="CAE2470" s="60"/>
      <c r="CAF2470" s="60"/>
      <c r="CAG2470" s="63"/>
      <c r="CAH2470" s="61"/>
      <c r="CAI2470" s="54"/>
      <c r="CAJ2470" s="54"/>
      <c r="CAK2470" s="60"/>
      <c r="CAL2470" s="60"/>
      <c r="CAM2470" s="60"/>
      <c r="CAN2470" s="60"/>
      <c r="CAO2470" s="63"/>
      <c r="CAP2470" s="61"/>
      <c r="CAQ2470" s="54"/>
      <c r="CAR2470" s="54"/>
      <c r="CAS2470" s="60"/>
      <c r="CAT2470" s="60"/>
      <c r="CAU2470" s="60"/>
      <c r="CAV2470" s="60"/>
      <c r="CAW2470" s="63"/>
      <c r="CAX2470" s="61"/>
      <c r="CAY2470" s="54"/>
      <c r="CAZ2470" s="54"/>
      <c r="CBA2470" s="60"/>
      <c r="CBB2470" s="60"/>
      <c r="CBC2470" s="60"/>
      <c r="CBD2470" s="60"/>
      <c r="CBE2470" s="63"/>
      <c r="CBF2470" s="61"/>
      <c r="CBG2470" s="54"/>
      <c r="CBH2470" s="54"/>
      <c r="CBI2470" s="60"/>
      <c r="CBJ2470" s="60"/>
      <c r="CBK2470" s="60"/>
      <c r="CBL2470" s="60"/>
      <c r="CBM2470" s="63"/>
      <c r="CBN2470" s="61"/>
      <c r="CBO2470" s="54"/>
      <c r="CBP2470" s="54"/>
      <c r="CBQ2470" s="60"/>
      <c r="CBR2470" s="60"/>
      <c r="CBS2470" s="60"/>
      <c r="CBT2470" s="60"/>
      <c r="CBU2470" s="63"/>
      <c r="CBV2470" s="61"/>
      <c r="CBW2470" s="54"/>
      <c r="CBX2470" s="54"/>
      <c r="CBY2470" s="60"/>
      <c r="CBZ2470" s="60"/>
      <c r="CCA2470" s="60"/>
      <c r="CCB2470" s="60"/>
      <c r="CCC2470" s="63"/>
      <c r="CCD2470" s="61"/>
      <c r="CCE2470" s="54"/>
      <c r="CCF2470" s="54"/>
      <c r="CCG2470" s="60"/>
      <c r="CCH2470" s="60"/>
      <c r="CCI2470" s="60"/>
      <c r="CCJ2470" s="60"/>
      <c r="CCK2470" s="63"/>
      <c r="CCL2470" s="61"/>
      <c r="CCM2470" s="54"/>
      <c r="CCN2470" s="54"/>
      <c r="CCO2470" s="60"/>
      <c r="CCP2470" s="60"/>
      <c r="CCQ2470" s="60"/>
      <c r="CCR2470" s="60"/>
      <c r="CCS2470" s="63"/>
      <c r="CCT2470" s="61"/>
      <c r="CCU2470" s="54"/>
      <c r="CCV2470" s="54"/>
      <c r="CCW2470" s="60"/>
      <c r="CCX2470" s="60"/>
      <c r="CCY2470" s="60"/>
      <c r="CCZ2470" s="60"/>
      <c r="CDA2470" s="63"/>
      <c r="CDB2470" s="61"/>
      <c r="CDC2470" s="54"/>
      <c r="CDD2470" s="54"/>
      <c r="CDE2470" s="60"/>
      <c r="CDF2470" s="60"/>
      <c r="CDG2470" s="60"/>
      <c r="CDH2470" s="60"/>
      <c r="CDI2470" s="63"/>
      <c r="CDJ2470" s="61"/>
      <c r="CDK2470" s="54"/>
      <c r="CDL2470" s="54"/>
      <c r="CDM2470" s="60"/>
      <c r="CDN2470" s="60"/>
      <c r="CDO2470" s="60"/>
      <c r="CDP2470" s="60"/>
      <c r="CDQ2470" s="63"/>
      <c r="CDR2470" s="61"/>
      <c r="CDS2470" s="54"/>
      <c r="CDT2470" s="54"/>
      <c r="CDU2470" s="60"/>
      <c r="CDV2470" s="60"/>
      <c r="CDW2470" s="60"/>
      <c r="CDX2470" s="60"/>
      <c r="CDY2470" s="63"/>
      <c r="CDZ2470" s="61"/>
      <c r="CEA2470" s="54"/>
      <c r="CEB2470" s="54"/>
      <c r="CEC2470" s="60"/>
      <c r="CED2470" s="60"/>
      <c r="CEE2470" s="60"/>
      <c r="CEF2470" s="60"/>
      <c r="CEG2470" s="63"/>
      <c r="CEH2470" s="61"/>
      <c r="CEI2470" s="54"/>
      <c r="CEJ2470" s="54"/>
      <c r="CEK2470" s="60"/>
      <c r="CEL2470" s="60"/>
      <c r="CEM2470" s="60"/>
      <c r="CEN2470" s="60"/>
      <c r="CEO2470" s="63"/>
      <c r="CEP2470" s="61"/>
      <c r="CEQ2470" s="54"/>
      <c r="CER2470" s="54"/>
      <c r="CES2470" s="60"/>
      <c r="CET2470" s="60"/>
      <c r="CEU2470" s="60"/>
      <c r="CEV2470" s="60"/>
      <c r="CEW2470" s="63"/>
      <c r="CEX2470" s="61"/>
      <c r="CEY2470" s="54"/>
      <c r="CEZ2470" s="54"/>
      <c r="CFA2470" s="60"/>
      <c r="CFB2470" s="60"/>
      <c r="CFC2470" s="60"/>
      <c r="CFD2470" s="60"/>
      <c r="CFE2470" s="63"/>
      <c r="CFF2470" s="61"/>
      <c r="CFG2470" s="54"/>
      <c r="CFH2470" s="54"/>
      <c r="CFI2470" s="60"/>
      <c r="CFJ2470" s="60"/>
      <c r="CFK2470" s="60"/>
      <c r="CFL2470" s="60"/>
      <c r="CFM2470" s="63"/>
      <c r="CFN2470" s="61"/>
      <c r="CFO2470" s="54"/>
      <c r="CFP2470" s="54"/>
      <c r="CFQ2470" s="60"/>
      <c r="CFR2470" s="60"/>
      <c r="CFS2470" s="60"/>
      <c r="CFT2470" s="60"/>
      <c r="CFU2470" s="63"/>
      <c r="CFV2470" s="61"/>
      <c r="CFW2470" s="54"/>
      <c r="CFX2470" s="54"/>
      <c r="CFY2470" s="60"/>
      <c r="CFZ2470" s="60"/>
      <c r="CGA2470" s="60"/>
      <c r="CGB2470" s="60"/>
      <c r="CGC2470" s="63"/>
      <c r="CGD2470" s="61"/>
      <c r="CGE2470" s="54"/>
      <c r="CGF2470" s="54"/>
      <c r="CGG2470" s="60"/>
      <c r="CGH2470" s="60"/>
      <c r="CGI2470" s="60"/>
      <c r="CGJ2470" s="60"/>
      <c r="CGK2470" s="63"/>
      <c r="CGL2470" s="61"/>
      <c r="CGM2470" s="54"/>
      <c r="CGN2470" s="54"/>
      <c r="CGO2470" s="60"/>
      <c r="CGP2470" s="60"/>
      <c r="CGQ2470" s="60"/>
      <c r="CGR2470" s="60"/>
      <c r="CGS2470" s="63"/>
      <c r="CGT2470" s="61"/>
      <c r="CGU2470" s="54"/>
      <c r="CGV2470" s="54"/>
      <c r="CGW2470" s="60"/>
      <c r="CGX2470" s="60"/>
      <c r="CGY2470" s="60"/>
      <c r="CGZ2470" s="60"/>
      <c r="CHA2470" s="63"/>
      <c r="CHB2470" s="61"/>
      <c r="CHC2470" s="54"/>
      <c r="CHD2470" s="54"/>
      <c r="CHE2470" s="60"/>
      <c r="CHF2470" s="60"/>
      <c r="CHG2470" s="60"/>
      <c r="CHH2470" s="60"/>
      <c r="CHI2470" s="63"/>
      <c r="CHJ2470" s="61"/>
      <c r="CHK2470" s="54"/>
      <c r="CHL2470" s="54"/>
      <c r="CHM2470" s="60"/>
      <c r="CHN2470" s="60"/>
      <c r="CHO2470" s="60"/>
      <c r="CHP2470" s="60"/>
      <c r="CHQ2470" s="63"/>
      <c r="CHR2470" s="61"/>
      <c r="CHS2470" s="54"/>
      <c r="CHT2470" s="54"/>
      <c r="CHU2470" s="60"/>
      <c r="CHV2470" s="60"/>
      <c r="CHW2470" s="60"/>
      <c r="CHX2470" s="60"/>
      <c r="CHY2470" s="63"/>
      <c r="CHZ2470" s="61"/>
      <c r="CIA2470" s="54"/>
      <c r="CIB2470" s="54"/>
      <c r="CIC2470" s="60"/>
      <c r="CID2470" s="60"/>
      <c r="CIE2470" s="60"/>
      <c r="CIF2470" s="60"/>
      <c r="CIG2470" s="63"/>
      <c r="CIH2470" s="61"/>
      <c r="CII2470" s="54"/>
      <c r="CIJ2470" s="54"/>
      <c r="CIK2470" s="60"/>
      <c r="CIL2470" s="60"/>
      <c r="CIM2470" s="60"/>
      <c r="CIN2470" s="60"/>
      <c r="CIO2470" s="63"/>
      <c r="CIP2470" s="61"/>
      <c r="CIQ2470" s="54"/>
      <c r="CIR2470" s="54"/>
      <c r="CIS2470" s="60"/>
      <c r="CIT2470" s="60"/>
      <c r="CIU2470" s="60"/>
      <c r="CIV2470" s="60"/>
      <c r="CIW2470" s="63"/>
      <c r="CIX2470" s="61"/>
      <c r="CIY2470" s="54"/>
      <c r="CIZ2470" s="54"/>
      <c r="CJA2470" s="60"/>
      <c r="CJB2470" s="60"/>
      <c r="CJC2470" s="60"/>
      <c r="CJD2470" s="60"/>
      <c r="CJE2470" s="63"/>
      <c r="CJF2470" s="61"/>
      <c r="CJG2470" s="54"/>
      <c r="CJH2470" s="54"/>
      <c r="CJI2470" s="60"/>
      <c r="CJJ2470" s="60"/>
      <c r="CJK2470" s="60"/>
      <c r="CJL2470" s="60"/>
      <c r="CJM2470" s="63"/>
      <c r="CJN2470" s="61"/>
      <c r="CJO2470" s="54"/>
      <c r="CJP2470" s="54"/>
      <c r="CJQ2470" s="60"/>
      <c r="CJR2470" s="60"/>
      <c r="CJS2470" s="60"/>
      <c r="CJT2470" s="60"/>
      <c r="CJU2470" s="63"/>
      <c r="CJV2470" s="61"/>
      <c r="CJW2470" s="54"/>
      <c r="CJX2470" s="54"/>
      <c r="CJY2470" s="60"/>
      <c r="CJZ2470" s="60"/>
      <c r="CKA2470" s="60"/>
      <c r="CKB2470" s="60"/>
      <c r="CKC2470" s="63"/>
      <c r="CKD2470" s="61"/>
      <c r="CKE2470" s="54"/>
      <c r="CKF2470" s="54"/>
      <c r="CKG2470" s="60"/>
      <c r="CKH2470" s="60"/>
      <c r="CKI2470" s="60"/>
      <c r="CKJ2470" s="60"/>
      <c r="CKK2470" s="63"/>
      <c r="CKL2470" s="61"/>
      <c r="CKM2470" s="54"/>
      <c r="CKN2470" s="54"/>
      <c r="CKO2470" s="60"/>
      <c r="CKP2470" s="60"/>
      <c r="CKQ2470" s="60"/>
      <c r="CKR2470" s="60"/>
      <c r="CKS2470" s="63"/>
      <c r="CKT2470" s="61"/>
      <c r="CKU2470" s="54"/>
      <c r="CKV2470" s="54"/>
      <c r="CKW2470" s="60"/>
      <c r="CKX2470" s="60"/>
      <c r="CKY2470" s="60"/>
      <c r="CKZ2470" s="60"/>
      <c r="CLA2470" s="63"/>
      <c r="CLB2470" s="61"/>
      <c r="CLC2470" s="54"/>
      <c r="CLD2470" s="54"/>
      <c r="CLE2470" s="60"/>
      <c r="CLF2470" s="60"/>
      <c r="CLG2470" s="60"/>
      <c r="CLH2470" s="60"/>
      <c r="CLI2470" s="63"/>
      <c r="CLJ2470" s="61"/>
      <c r="CLK2470" s="54"/>
      <c r="CLL2470" s="54"/>
      <c r="CLM2470" s="60"/>
      <c r="CLN2470" s="60"/>
      <c r="CLO2470" s="60"/>
      <c r="CLP2470" s="60"/>
      <c r="CLQ2470" s="63"/>
      <c r="CLR2470" s="61"/>
      <c r="CLS2470" s="54"/>
      <c r="CLT2470" s="54"/>
      <c r="CLU2470" s="60"/>
      <c r="CLV2470" s="60"/>
      <c r="CLW2470" s="60"/>
      <c r="CLX2470" s="60"/>
      <c r="CLY2470" s="63"/>
      <c r="CLZ2470" s="61"/>
      <c r="CMA2470" s="54"/>
      <c r="CMB2470" s="54"/>
      <c r="CMC2470" s="60"/>
      <c r="CMD2470" s="60"/>
      <c r="CME2470" s="60"/>
      <c r="CMF2470" s="60"/>
      <c r="CMG2470" s="63"/>
      <c r="CMH2470" s="61"/>
      <c r="CMI2470" s="54"/>
      <c r="CMJ2470" s="54"/>
      <c r="CMK2470" s="60"/>
      <c r="CML2470" s="60"/>
      <c r="CMM2470" s="60"/>
      <c r="CMN2470" s="60"/>
      <c r="CMO2470" s="63"/>
      <c r="CMP2470" s="61"/>
      <c r="CMQ2470" s="54"/>
      <c r="CMR2470" s="54"/>
      <c r="CMS2470" s="60"/>
      <c r="CMT2470" s="60"/>
      <c r="CMU2470" s="60"/>
      <c r="CMV2470" s="60"/>
      <c r="CMW2470" s="63"/>
      <c r="CMX2470" s="61"/>
      <c r="CMY2470" s="54"/>
      <c r="CMZ2470" s="54"/>
      <c r="CNA2470" s="60"/>
      <c r="CNB2470" s="60"/>
      <c r="CNC2470" s="60"/>
      <c r="CND2470" s="60"/>
      <c r="CNE2470" s="63"/>
      <c r="CNF2470" s="61"/>
      <c r="CNG2470" s="54"/>
      <c r="CNH2470" s="54"/>
      <c r="CNI2470" s="60"/>
      <c r="CNJ2470" s="60"/>
      <c r="CNK2470" s="60"/>
      <c r="CNL2470" s="60"/>
      <c r="CNM2470" s="63"/>
      <c r="CNN2470" s="61"/>
      <c r="CNO2470" s="54"/>
      <c r="CNP2470" s="54"/>
      <c r="CNQ2470" s="60"/>
      <c r="CNR2470" s="60"/>
      <c r="CNS2470" s="60"/>
      <c r="CNT2470" s="60"/>
      <c r="CNU2470" s="63"/>
      <c r="CNV2470" s="61"/>
      <c r="CNW2470" s="54"/>
      <c r="CNX2470" s="54"/>
      <c r="CNY2470" s="60"/>
      <c r="CNZ2470" s="60"/>
      <c r="COA2470" s="60"/>
      <c r="COB2470" s="60"/>
      <c r="COC2470" s="63"/>
      <c r="COD2470" s="61"/>
      <c r="COE2470" s="54"/>
      <c r="COF2470" s="54"/>
      <c r="COG2470" s="60"/>
      <c r="COH2470" s="60"/>
      <c r="COI2470" s="60"/>
      <c r="COJ2470" s="60"/>
      <c r="COK2470" s="63"/>
      <c r="COL2470" s="61"/>
      <c r="COM2470" s="54"/>
      <c r="CON2470" s="54"/>
      <c r="COO2470" s="60"/>
      <c r="COP2470" s="60"/>
      <c r="COQ2470" s="60"/>
      <c r="COR2470" s="60"/>
      <c r="COS2470" s="63"/>
      <c r="COT2470" s="61"/>
      <c r="COU2470" s="54"/>
      <c r="COV2470" s="54"/>
      <c r="COW2470" s="60"/>
      <c r="COX2470" s="60"/>
      <c r="COY2470" s="60"/>
      <c r="COZ2470" s="60"/>
      <c r="CPA2470" s="63"/>
      <c r="CPB2470" s="61"/>
      <c r="CPC2470" s="54"/>
      <c r="CPD2470" s="54"/>
      <c r="CPE2470" s="60"/>
      <c r="CPF2470" s="60"/>
      <c r="CPG2470" s="60"/>
      <c r="CPH2470" s="60"/>
      <c r="CPI2470" s="63"/>
      <c r="CPJ2470" s="61"/>
      <c r="CPK2470" s="54"/>
      <c r="CPL2470" s="54"/>
      <c r="CPM2470" s="60"/>
      <c r="CPN2470" s="60"/>
      <c r="CPO2470" s="60"/>
      <c r="CPP2470" s="60"/>
      <c r="CPQ2470" s="63"/>
      <c r="CPR2470" s="61"/>
      <c r="CPS2470" s="54"/>
      <c r="CPT2470" s="54"/>
      <c r="CPU2470" s="60"/>
      <c r="CPV2470" s="60"/>
      <c r="CPW2470" s="60"/>
      <c r="CPX2470" s="60"/>
      <c r="CPY2470" s="63"/>
      <c r="CPZ2470" s="61"/>
      <c r="CQA2470" s="54"/>
      <c r="CQB2470" s="54"/>
      <c r="CQC2470" s="60"/>
      <c r="CQD2470" s="60"/>
      <c r="CQE2470" s="60"/>
      <c r="CQF2470" s="60"/>
      <c r="CQG2470" s="63"/>
      <c r="CQH2470" s="61"/>
      <c r="CQI2470" s="54"/>
      <c r="CQJ2470" s="54"/>
      <c r="CQK2470" s="60"/>
      <c r="CQL2470" s="60"/>
      <c r="CQM2470" s="60"/>
      <c r="CQN2470" s="60"/>
      <c r="CQO2470" s="63"/>
      <c r="CQP2470" s="61"/>
      <c r="CQQ2470" s="54"/>
      <c r="CQR2470" s="54"/>
      <c r="CQS2470" s="60"/>
      <c r="CQT2470" s="60"/>
      <c r="CQU2470" s="60"/>
      <c r="CQV2470" s="60"/>
      <c r="CQW2470" s="63"/>
      <c r="CQX2470" s="61"/>
      <c r="CQY2470" s="54"/>
      <c r="CQZ2470" s="54"/>
      <c r="CRA2470" s="60"/>
      <c r="CRB2470" s="60"/>
      <c r="CRC2470" s="60"/>
      <c r="CRD2470" s="60"/>
      <c r="CRE2470" s="63"/>
      <c r="CRF2470" s="61"/>
      <c r="CRG2470" s="54"/>
      <c r="CRH2470" s="54"/>
      <c r="CRI2470" s="60"/>
      <c r="CRJ2470" s="60"/>
      <c r="CRK2470" s="60"/>
      <c r="CRL2470" s="60"/>
      <c r="CRM2470" s="63"/>
      <c r="CRN2470" s="61"/>
      <c r="CRO2470" s="54"/>
      <c r="CRP2470" s="54"/>
      <c r="CRQ2470" s="60"/>
      <c r="CRR2470" s="60"/>
      <c r="CRS2470" s="60"/>
      <c r="CRT2470" s="60"/>
      <c r="CRU2470" s="63"/>
      <c r="CRV2470" s="61"/>
      <c r="CRW2470" s="54"/>
      <c r="CRX2470" s="54"/>
      <c r="CRY2470" s="60"/>
      <c r="CRZ2470" s="60"/>
      <c r="CSA2470" s="60"/>
      <c r="CSB2470" s="60"/>
      <c r="CSC2470" s="63"/>
      <c r="CSD2470" s="61"/>
      <c r="CSE2470" s="54"/>
      <c r="CSF2470" s="54"/>
      <c r="CSG2470" s="60"/>
      <c r="CSH2470" s="60"/>
      <c r="CSI2470" s="60"/>
      <c r="CSJ2470" s="60"/>
      <c r="CSK2470" s="63"/>
      <c r="CSL2470" s="61"/>
      <c r="CSM2470" s="54"/>
      <c r="CSN2470" s="54"/>
      <c r="CSO2470" s="60"/>
      <c r="CSP2470" s="60"/>
      <c r="CSQ2470" s="60"/>
      <c r="CSR2470" s="60"/>
      <c r="CSS2470" s="63"/>
      <c r="CST2470" s="61"/>
      <c r="CSU2470" s="54"/>
      <c r="CSV2470" s="54"/>
      <c r="CSW2470" s="60"/>
      <c r="CSX2470" s="60"/>
      <c r="CSY2470" s="60"/>
      <c r="CSZ2470" s="60"/>
      <c r="CTA2470" s="63"/>
      <c r="CTB2470" s="61"/>
      <c r="CTC2470" s="54"/>
      <c r="CTD2470" s="54"/>
      <c r="CTE2470" s="60"/>
      <c r="CTF2470" s="60"/>
      <c r="CTG2470" s="60"/>
      <c r="CTH2470" s="60"/>
      <c r="CTI2470" s="63"/>
      <c r="CTJ2470" s="61"/>
      <c r="CTK2470" s="54"/>
      <c r="CTL2470" s="54"/>
      <c r="CTM2470" s="60"/>
      <c r="CTN2470" s="60"/>
      <c r="CTO2470" s="60"/>
      <c r="CTP2470" s="60"/>
      <c r="CTQ2470" s="63"/>
      <c r="CTR2470" s="61"/>
      <c r="CTS2470" s="54"/>
      <c r="CTT2470" s="54"/>
      <c r="CTU2470" s="60"/>
      <c r="CTV2470" s="60"/>
      <c r="CTW2470" s="60"/>
      <c r="CTX2470" s="60"/>
      <c r="CTY2470" s="63"/>
      <c r="CTZ2470" s="61"/>
      <c r="CUA2470" s="54"/>
      <c r="CUB2470" s="54"/>
      <c r="CUC2470" s="60"/>
      <c r="CUD2470" s="60"/>
      <c r="CUE2470" s="60"/>
      <c r="CUF2470" s="60"/>
      <c r="CUG2470" s="63"/>
      <c r="CUH2470" s="61"/>
      <c r="CUI2470" s="54"/>
      <c r="CUJ2470" s="54"/>
      <c r="CUK2470" s="60"/>
      <c r="CUL2470" s="60"/>
      <c r="CUM2470" s="60"/>
      <c r="CUN2470" s="60"/>
      <c r="CUO2470" s="63"/>
      <c r="CUP2470" s="61"/>
      <c r="CUQ2470" s="54"/>
      <c r="CUR2470" s="54"/>
      <c r="CUS2470" s="60"/>
      <c r="CUT2470" s="60"/>
      <c r="CUU2470" s="60"/>
      <c r="CUV2470" s="60"/>
      <c r="CUW2470" s="63"/>
      <c r="CUX2470" s="61"/>
      <c r="CUY2470" s="54"/>
      <c r="CUZ2470" s="54"/>
      <c r="CVA2470" s="60"/>
      <c r="CVB2470" s="60"/>
      <c r="CVC2470" s="60"/>
      <c r="CVD2470" s="60"/>
      <c r="CVE2470" s="63"/>
      <c r="CVF2470" s="61"/>
      <c r="CVG2470" s="54"/>
      <c r="CVH2470" s="54"/>
      <c r="CVI2470" s="60"/>
      <c r="CVJ2470" s="60"/>
      <c r="CVK2470" s="60"/>
      <c r="CVL2470" s="60"/>
      <c r="CVM2470" s="63"/>
      <c r="CVN2470" s="61"/>
      <c r="CVO2470" s="54"/>
      <c r="CVP2470" s="54"/>
      <c r="CVQ2470" s="60"/>
      <c r="CVR2470" s="60"/>
      <c r="CVS2470" s="60"/>
      <c r="CVT2470" s="60"/>
      <c r="CVU2470" s="63"/>
      <c r="CVV2470" s="61"/>
      <c r="CVW2470" s="54"/>
      <c r="CVX2470" s="54"/>
      <c r="CVY2470" s="60"/>
      <c r="CVZ2470" s="60"/>
      <c r="CWA2470" s="60"/>
      <c r="CWB2470" s="60"/>
      <c r="CWC2470" s="63"/>
      <c r="CWD2470" s="61"/>
      <c r="CWE2470" s="54"/>
      <c r="CWF2470" s="54"/>
      <c r="CWG2470" s="60"/>
      <c r="CWH2470" s="60"/>
      <c r="CWI2470" s="60"/>
      <c r="CWJ2470" s="60"/>
      <c r="CWK2470" s="63"/>
      <c r="CWL2470" s="61"/>
      <c r="CWM2470" s="54"/>
      <c r="CWN2470" s="54"/>
      <c r="CWO2470" s="60"/>
      <c r="CWP2470" s="60"/>
      <c r="CWQ2470" s="60"/>
      <c r="CWR2470" s="60"/>
      <c r="CWS2470" s="63"/>
      <c r="CWT2470" s="61"/>
      <c r="CWU2470" s="54"/>
      <c r="CWV2470" s="54"/>
      <c r="CWW2470" s="60"/>
      <c r="CWX2470" s="60"/>
      <c r="CWY2470" s="60"/>
      <c r="CWZ2470" s="60"/>
      <c r="CXA2470" s="63"/>
      <c r="CXB2470" s="61"/>
      <c r="CXC2470" s="54"/>
      <c r="CXD2470" s="54"/>
      <c r="CXE2470" s="60"/>
      <c r="CXF2470" s="60"/>
      <c r="CXG2470" s="60"/>
      <c r="CXH2470" s="60"/>
      <c r="CXI2470" s="63"/>
      <c r="CXJ2470" s="61"/>
      <c r="CXK2470" s="54"/>
      <c r="CXL2470" s="54"/>
      <c r="CXM2470" s="60"/>
      <c r="CXN2470" s="60"/>
      <c r="CXO2470" s="60"/>
      <c r="CXP2470" s="60"/>
      <c r="CXQ2470" s="63"/>
      <c r="CXR2470" s="61"/>
      <c r="CXS2470" s="54"/>
      <c r="CXT2470" s="54"/>
      <c r="CXU2470" s="60"/>
      <c r="CXV2470" s="60"/>
      <c r="CXW2470" s="60"/>
      <c r="CXX2470" s="60"/>
      <c r="CXY2470" s="63"/>
      <c r="CXZ2470" s="61"/>
      <c r="CYA2470" s="54"/>
      <c r="CYB2470" s="54"/>
      <c r="CYC2470" s="60"/>
      <c r="CYD2470" s="60"/>
      <c r="CYE2470" s="60"/>
      <c r="CYF2470" s="60"/>
      <c r="CYG2470" s="63"/>
      <c r="CYH2470" s="61"/>
      <c r="CYI2470" s="54"/>
      <c r="CYJ2470" s="54"/>
      <c r="CYK2470" s="60"/>
      <c r="CYL2470" s="60"/>
      <c r="CYM2470" s="60"/>
      <c r="CYN2470" s="60"/>
      <c r="CYO2470" s="63"/>
      <c r="CYP2470" s="61"/>
      <c r="CYQ2470" s="54"/>
      <c r="CYR2470" s="54"/>
      <c r="CYS2470" s="60"/>
      <c r="CYT2470" s="60"/>
      <c r="CYU2470" s="60"/>
      <c r="CYV2470" s="60"/>
      <c r="CYW2470" s="63"/>
      <c r="CYX2470" s="61"/>
      <c r="CYY2470" s="54"/>
      <c r="CYZ2470" s="54"/>
      <c r="CZA2470" s="60"/>
      <c r="CZB2470" s="60"/>
      <c r="CZC2470" s="60"/>
      <c r="CZD2470" s="60"/>
      <c r="CZE2470" s="63"/>
      <c r="CZF2470" s="61"/>
      <c r="CZG2470" s="54"/>
      <c r="CZH2470" s="54"/>
      <c r="CZI2470" s="60"/>
      <c r="CZJ2470" s="60"/>
      <c r="CZK2470" s="60"/>
      <c r="CZL2470" s="60"/>
      <c r="CZM2470" s="63"/>
      <c r="CZN2470" s="61"/>
      <c r="CZO2470" s="54"/>
      <c r="CZP2470" s="54"/>
      <c r="CZQ2470" s="60"/>
      <c r="CZR2470" s="60"/>
      <c r="CZS2470" s="60"/>
      <c r="CZT2470" s="60"/>
      <c r="CZU2470" s="63"/>
      <c r="CZV2470" s="61"/>
      <c r="CZW2470" s="54"/>
      <c r="CZX2470" s="54"/>
      <c r="CZY2470" s="60"/>
      <c r="CZZ2470" s="60"/>
      <c r="DAA2470" s="60"/>
      <c r="DAB2470" s="60"/>
      <c r="DAC2470" s="63"/>
      <c r="DAD2470" s="61"/>
      <c r="DAE2470" s="54"/>
      <c r="DAF2470" s="54"/>
      <c r="DAG2470" s="60"/>
      <c r="DAH2470" s="60"/>
      <c r="DAI2470" s="60"/>
      <c r="DAJ2470" s="60"/>
      <c r="DAK2470" s="63"/>
      <c r="DAL2470" s="61"/>
      <c r="DAM2470" s="54"/>
      <c r="DAN2470" s="54"/>
      <c r="DAO2470" s="60"/>
      <c r="DAP2470" s="60"/>
      <c r="DAQ2470" s="60"/>
      <c r="DAR2470" s="60"/>
      <c r="DAS2470" s="63"/>
      <c r="DAT2470" s="61"/>
      <c r="DAU2470" s="54"/>
      <c r="DAV2470" s="54"/>
      <c r="DAW2470" s="60"/>
      <c r="DAX2470" s="60"/>
      <c r="DAY2470" s="60"/>
      <c r="DAZ2470" s="60"/>
      <c r="DBA2470" s="63"/>
      <c r="DBB2470" s="61"/>
      <c r="DBC2470" s="54"/>
      <c r="DBD2470" s="54"/>
      <c r="DBE2470" s="60"/>
      <c r="DBF2470" s="60"/>
      <c r="DBG2470" s="60"/>
      <c r="DBH2470" s="60"/>
      <c r="DBI2470" s="63"/>
      <c r="DBJ2470" s="61"/>
      <c r="DBK2470" s="54"/>
      <c r="DBL2470" s="54"/>
      <c r="DBM2470" s="60"/>
      <c r="DBN2470" s="60"/>
      <c r="DBO2470" s="60"/>
      <c r="DBP2470" s="60"/>
      <c r="DBQ2470" s="63"/>
      <c r="DBR2470" s="61"/>
      <c r="DBS2470" s="54"/>
      <c r="DBT2470" s="54"/>
      <c r="DBU2470" s="60"/>
      <c r="DBV2470" s="60"/>
      <c r="DBW2470" s="60"/>
      <c r="DBX2470" s="60"/>
      <c r="DBY2470" s="63"/>
      <c r="DBZ2470" s="61"/>
      <c r="DCA2470" s="54"/>
      <c r="DCB2470" s="54"/>
      <c r="DCC2470" s="60"/>
      <c r="DCD2470" s="60"/>
      <c r="DCE2470" s="60"/>
      <c r="DCF2470" s="60"/>
      <c r="DCG2470" s="63"/>
      <c r="DCH2470" s="61"/>
      <c r="DCI2470" s="54"/>
      <c r="DCJ2470" s="54"/>
      <c r="DCK2470" s="60"/>
      <c r="DCL2470" s="60"/>
      <c r="DCM2470" s="60"/>
      <c r="DCN2470" s="60"/>
      <c r="DCO2470" s="63"/>
      <c r="DCP2470" s="61"/>
      <c r="DCQ2470" s="54"/>
      <c r="DCR2470" s="54"/>
      <c r="DCS2470" s="60"/>
      <c r="DCT2470" s="60"/>
      <c r="DCU2470" s="60"/>
      <c r="DCV2470" s="60"/>
      <c r="DCW2470" s="63"/>
      <c r="DCX2470" s="61"/>
      <c r="DCY2470" s="54"/>
      <c r="DCZ2470" s="54"/>
      <c r="DDA2470" s="60"/>
      <c r="DDB2470" s="60"/>
      <c r="DDC2470" s="60"/>
      <c r="DDD2470" s="60"/>
      <c r="DDE2470" s="63"/>
      <c r="DDF2470" s="61"/>
      <c r="DDG2470" s="54"/>
      <c r="DDH2470" s="54"/>
      <c r="DDI2470" s="60"/>
      <c r="DDJ2470" s="60"/>
      <c r="DDK2470" s="60"/>
      <c r="DDL2470" s="60"/>
      <c r="DDM2470" s="63"/>
      <c r="DDN2470" s="61"/>
      <c r="DDO2470" s="54"/>
      <c r="DDP2470" s="54"/>
      <c r="DDQ2470" s="60"/>
      <c r="DDR2470" s="60"/>
      <c r="DDS2470" s="60"/>
      <c r="DDT2470" s="60"/>
      <c r="DDU2470" s="63"/>
      <c r="DDV2470" s="61"/>
      <c r="DDW2470" s="54"/>
      <c r="DDX2470" s="54"/>
      <c r="DDY2470" s="60"/>
      <c r="DDZ2470" s="60"/>
      <c r="DEA2470" s="60"/>
      <c r="DEB2470" s="60"/>
      <c r="DEC2470" s="63"/>
      <c r="DED2470" s="61"/>
      <c r="DEE2470" s="54"/>
      <c r="DEF2470" s="54"/>
      <c r="DEG2470" s="60"/>
      <c r="DEH2470" s="60"/>
      <c r="DEI2470" s="60"/>
      <c r="DEJ2470" s="60"/>
      <c r="DEK2470" s="63"/>
      <c r="DEL2470" s="61"/>
      <c r="DEM2470" s="54"/>
      <c r="DEN2470" s="54"/>
      <c r="DEO2470" s="60"/>
      <c r="DEP2470" s="60"/>
      <c r="DEQ2470" s="60"/>
      <c r="DER2470" s="60"/>
      <c r="DES2470" s="63"/>
      <c r="DET2470" s="61"/>
      <c r="DEU2470" s="54"/>
      <c r="DEV2470" s="54"/>
      <c r="DEW2470" s="60"/>
      <c r="DEX2470" s="60"/>
      <c r="DEY2470" s="60"/>
      <c r="DEZ2470" s="60"/>
      <c r="DFA2470" s="63"/>
      <c r="DFB2470" s="61"/>
      <c r="DFC2470" s="54"/>
      <c r="DFD2470" s="54"/>
      <c r="DFE2470" s="60"/>
      <c r="DFF2470" s="60"/>
      <c r="DFG2470" s="60"/>
      <c r="DFH2470" s="60"/>
      <c r="DFI2470" s="63"/>
      <c r="DFJ2470" s="61"/>
      <c r="DFK2470" s="54"/>
      <c r="DFL2470" s="54"/>
      <c r="DFM2470" s="60"/>
      <c r="DFN2470" s="60"/>
      <c r="DFO2470" s="60"/>
      <c r="DFP2470" s="60"/>
      <c r="DFQ2470" s="63"/>
      <c r="DFR2470" s="61"/>
      <c r="DFS2470" s="54"/>
      <c r="DFT2470" s="54"/>
      <c r="DFU2470" s="60"/>
      <c r="DFV2470" s="60"/>
      <c r="DFW2470" s="60"/>
      <c r="DFX2470" s="60"/>
      <c r="DFY2470" s="63"/>
      <c r="DFZ2470" s="61"/>
      <c r="DGA2470" s="54"/>
      <c r="DGB2470" s="54"/>
      <c r="DGC2470" s="60"/>
      <c r="DGD2470" s="60"/>
      <c r="DGE2470" s="60"/>
      <c r="DGF2470" s="60"/>
      <c r="DGG2470" s="63"/>
      <c r="DGH2470" s="61"/>
      <c r="DGI2470" s="54"/>
      <c r="DGJ2470" s="54"/>
      <c r="DGK2470" s="60"/>
      <c r="DGL2470" s="60"/>
      <c r="DGM2470" s="60"/>
      <c r="DGN2470" s="60"/>
      <c r="DGO2470" s="63"/>
      <c r="DGP2470" s="61"/>
      <c r="DGQ2470" s="54"/>
      <c r="DGR2470" s="54"/>
      <c r="DGS2470" s="60"/>
      <c r="DGT2470" s="60"/>
      <c r="DGU2470" s="60"/>
      <c r="DGV2470" s="60"/>
      <c r="DGW2470" s="63"/>
      <c r="DGX2470" s="61"/>
      <c r="DGY2470" s="54"/>
      <c r="DGZ2470" s="54"/>
      <c r="DHA2470" s="60"/>
      <c r="DHB2470" s="60"/>
      <c r="DHC2470" s="60"/>
      <c r="DHD2470" s="60"/>
      <c r="DHE2470" s="63"/>
      <c r="DHF2470" s="61"/>
      <c r="DHG2470" s="54"/>
      <c r="DHH2470" s="54"/>
      <c r="DHI2470" s="60"/>
      <c r="DHJ2470" s="60"/>
      <c r="DHK2470" s="60"/>
      <c r="DHL2470" s="60"/>
      <c r="DHM2470" s="63"/>
      <c r="DHN2470" s="61"/>
      <c r="DHO2470" s="54"/>
      <c r="DHP2470" s="54"/>
      <c r="DHQ2470" s="60"/>
      <c r="DHR2470" s="60"/>
      <c r="DHS2470" s="60"/>
      <c r="DHT2470" s="60"/>
      <c r="DHU2470" s="63"/>
      <c r="DHV2470" s="61"/>
      <c r="DHW2470" s="54"/>
      <c r="DHX2470" s="54"/>
      <c r="DHY2470" s="60"/>
      <c r="DHZ2470" s="60"/>
      <c r="DIA2470" s="60"/>
      <c r="DIB2470" s="60"/>
      <c r="DIC2470" s="63"/>
      <c r="DID2470" s="61"/>
      <c r="DIE2470" s="54"/>
      <c r="DIF2470" s="54"/>
      <c r="DIG2470" s="60"/>
      <c r="DIH2470" s="60"/>
      <c r="DII2470" s="60"/>
      <c r="DIJ2470" s="60"/>
      <c r="DIK2470" s="63"/>
      <c r="DIL2470" s="61"/>
      <c r="DIM2470" s="54"/>
      <c r="DIN2470" s="54"/>
      <c r="DIO2470" s="60"/>
      <c r="DIP2470" s="60"/>
      <c r="DIQ2470" s="60"/>
      <c r="DIR2470" s="60"/>
      <c r="DIS2470" s="63"/>
      <c r="DIT2470" s="61"/>
      <c r="DIU2470" s="54"/>
      <c r="DIV2470" s="54"/>
      <c r="DIW2470" s="60"/>
      <c r="DIX2470" s="60"/>
      <c r="DIY2470" s="60"/>
      <c r="DIZ2470" s="60"/>
      <c r="DJA2470" s="63"/>
      <c r="DJB2470" s="61"/>
      <c r="DJC2470" s="54"/>
      <c r="DJD2470" s="54"/>
      <c r="DJE2470" s="60"/>
      <c r="DJF2470" s="60"/>
      <c r="DJG2470" s="60"/>
      <c r="DJH2470" s="60"/>
      <c r="DJI2470" s="63"/>
      <c r="DJJ2470" s="61"/>
      <c r="DJK2470" s="54"/>
      <c r="DJL2470" s="54"/>
      <c r="DJM2470" s="60"/>
      <c r="DJN2470" s="60"/>
      <c r="DJO2470" s="60"/>
      <c r="DJP2470" s="60"/>
      <c r="DJQ2470" s="63"/>
      <c r="DJR2470" s="61"/>
      <c r="DJS2470" s="54"/>
      <c r="DJT2470" s="54"/>
      <c r="DJU2470" s="60"/>
      <c r="DJV2470" s="60"/>
      <c r="DJW2470" s="60"/>
      <c r="DJX2470" s="60"/>
      <c r="DJY2470" s="63"/>
      <c r="DJZ2470" s="61"/>
      <c r="DKA2470" s="54"/>
      <c r="DKB2470" s="54"/>
      <c r="DKC2470" s="60"/>
      <c r="DKD2470" s="60"/>
      <c r="DKE2470" s="60"/>
      <c r="DKF2470" s="60"/>
      <c r="DKG2470" s="63"/>
      <c r="DKH2470" s="61"/>
      <c r="DKI2470" s="54"/>
      <c r="DKJ2470" s="54"/>
      <c r="DKK2470" s="60"/>
      <c r="DKL2470" s="60"/>
      <c r="DKM2470" s="60"/>
      <c r="DKN2470" s="60"/>
      <c r="DKO2470" s="63"/>
      <c r="DKP2470" s="61"/>
      <c r="DKQ2470" s="54"/>
      <c r="DKR2470" s="54"/>
      <c r="DKS2470" s="60"/>
      <c r="DKT2470" s="60"/>
      <c r="DKU2470" s="60"/>
      <c r="DKV2470" s="60"/>
      <c r="DKW2470" s="63"/>
      <c r="DKX2470" s="61"/>
      <c r="DKY2470" s="54"/>
      <c r="DKZ2470" s="54"/>
      <c r="DLA2470" s="60"/>
      <c r="DLB2470" s="60"/>
      <c r="DLC2470" s="60"/>
      <c r="DLD2470" s="60"/>
      <c r="DLE2470" s="63"/>
      <c r="DLF2470" s="61"/>
      <c r="DLG2470" s="54"/>
      <c r="DLH2470" s="54"/>
      <c r="DLI2470" s="60"/>
      <c r="DLJ2470" s="60"/>
      <c r="DLK2470" s="60"/>
      <c r="DLL2470" s="60"/>
      <c r="DLM2470" s="63"/>
      <c r="DLN2470" s="61"/>
      <c r="DLO2470" s="54"/>
      <c r="DLP2470" s="54"/>
      <c r="DLQ2470" s="60"/>
      <c r="DLR2470" s="60"/>
      <c r="DLS2470" s="60"/>
      <c r="DLT2470" s="60"/>
      <c r="DLU2470" s="63"/>
      <c r="DLV2470" s="61"/>
      <c r="DLW2470" s="54"/>
      <c r="DLX2470" s="54"/>
      <c r="DLY2470" s="60"/>
      <c r="DLZ2470" s="60"/>
      <c r="DMA2470" s="60"/>
      <c r="DMB2470" s="60"/>
      <c r="DMC2470" s="63"/>
      <c r="DMD2470" s="61"/>
      <c r="DME2470" s="54"/>
      <c r="DMF2470" s="54"/>
      <c r="DMG2470" s="60"/>
      <c r="DMH2470" s="60"/>
      <c r="DMI2470" s="60"/>
      <c r="DMJ2470" s="60"/>
      <c r="DMK2470" s="63"/>
      <c r="DML2470" s="61"/>
      <c r="DMM2470" s="54"/>
      <c r="DMN2470" s="54"/>
      <c r="DMO2470" s="60"/>
      <c r="DMP2470" s="60"/>
      <c r="DMQ2470" s="60"/>
      <c r="DMR2470" s="60"/>
      <c r="DMS2470" s="63"/>
      <c r="DMT2470" s="61"/>
      <c r="DMU2470" s="54"/>
      <c r="DMV2470" s="54"/>
      <c r="DMW2470" s="60"/>
      <c r="DMX2470" s="60"/>
      <c r="DMY2470" s="60"/>
      <c r="DMZ2470" s="60"/>
      <c r="DNA2470" s="63"/>
      <c r="DNB2470" s="61"/>
      <c r="DNC2470" s="54"/>
      <c r="DND2470" s="54"/>
      <c r="DNE2470" s="60"/>
      <c r="DNF2470" s="60"/>
      <c r="DNG2470" s="60"/>
      <c r="DNH2470" s="60"/>
      <c r="DNI2470" s="63"/>
      <c r="DNJ2470" s="61"/>
      <c r="DNK2470" s="54"/>
      <c r="DNL2470" s="54"/>
      <c r="DNM2470" s="60"/>
      <c r="DNN2470" s="60"/>
      <c r="DNO2470" s="60"/>
      <c r="DNP2470" s="60"/>
      <c r="DNQ2470" s="63"/>
      <c r="DNR2470" s="61"/>
      <c r="DNS2470" s="54"/>
      <c r="DNT2470" s="54"/>
      <c r="DNU2470" s="60"/>
      <c r="DNV2470" s="60"/>
      <c r="DNW2470" s="60"/>
      <c r="DNX2470" s="60"/>
      <c r="DNY2470" s="63"/>
      <c r="DNZ2470" s="61"/>
      <c r="DOA2470" s="54"/>
      <c r="DOB2470" s="54"/>
      <c r="DOC2470" s="60"/>
      <c r="DOD2470" s="60"/>
      <c r="DOE2470" s="60"/>
      <c r="DOF2470" s="60"/>
      <c r="DOG2470" s="63"/>
      <c r="DOH2470" s="61"/>
      <c r="DOI2470" s="54"/>
      <c r="DOJ2470" s="54"/>
      <c r="DOK2470" s="60"/>
      <c r="DOL2470" s="60"/>
      <c r="DOM2470" s="60"/>
      <c r="DON2470" s="60"/>
      <c r="DOO2470" s="63"/>
      <c r="DOP2470" s="61"/>
      <c r="DOQ2470" s="54"/>
      <c r="DOR2470" s="54"/>
      <c r="DOS2470" s="60"/>
      <c r="DOT2470" s="60"/>
      <c r="DOU2470" s="60"/>
      <c r="DOV2470" s="60"/>
      <c r="DOW2470" s="63"/>
      <c r="DOX2470" s="61"/>
      <c r="DOY2470" s="54"/>
      <c r="DOZ2470" s="54"/>
      <c r="DPA2470" s="60"/>
      <c r="DPB2470" s="60"/>
      <c r="DPC2470" s="60"/>
      <c r="DPD2470" s="60"/>
      <c r="DPE2470" s="63"/>
      <c r="DPF2470" s="61"/>
      <c r="DPG2470" s="54"/>
      <c r="DPH2470" s="54"/>
      <c r="DPI2470" s="60"/>
      <c r="DPJ2470" s="60"/>
      <c r="DPK2470" s="60"/>
      <c r="DPL2470" s="60"/>
      <c r="DPM2470" s="63"/>
      <c r="DPN2470" s="61"/>
      <c r="DPO2470" s="54"/>
      <c r="DPP2470" s="54"/>
      <c r="DPQ2470" s="60"/>
      <c r="DPR2470" s="60"/>
      <c r="DPS2470" s="60"/>
      <c r="DPT2470" s="60"/>
      <c r="DPU2470" s="63"/>
      <c r="DPV2470" s="61"/>
      <c r="DPW2470" s="54"/>
      <c r="DPX2470" s="54"/>
      <c r="DPY2470" s="60"/>
      <c r="DPZ2470" s="60"/>
      <c r="DQA2470" s="60"/>
      <c r="DQB2470" s="60"/>
      <c r="DQC2470" s="63"/>
      <c r="DQD2470" s="61"/>
      <c r="DQE2470" s="54"/>
      <c r="DQF2470" s="54"/>
      <c r="DQG2470" s="60"/>
      <c r="DQH2470" s="60"/>
      <c r="DQI2470" s="60"/>
      <c r="DQJ2470" s="60"/>
      <c r="DQK2470" s="63"/>
      <c r="DQL2470" s="61"/>
      <c r="DQM2470" s="54"/>
      <c r="DQN2470" s="54"/>
      <c r="DQO2470" s="60"/>
      <c r="DQP2470" s="60"/>
      <c r="DQQ2470" s="60"/>
      <c r="DQR2470" s="60"/>
      <c r="DQS2470" s="63"/>
      <c r="DQT2470" s="61"/>
      <c r="DQU2470" s="54"/>
      <c r="DQV2470" s="54"/>
      <c r="DQW2470" s="60"/>
      <c r="DQX2470" s="60"/>
      <c r="DQY2470" s="60"/>
      <c r="DQZ2470" s="60"/>
      <c r="DRA2470" s="63"/>
      <c r="DRB2470" s="61"/>
      <c r="DRC2470" s="54"/>
      <c r="DRD2470" s="54"/>
      <c r="DRE2470" s="60"/>
      <c r="DRF2470" s="60"/>
      <c r="DRG2470" s="60"/>
      <c r="DRH2470" s="60"/>
      <c r="DRI2470" s="63"/>
      <c r="DRJ2470" s="61"/>
      <c r="DRK2470" s="54"/>
      <c r="DRL2470" s="54"/>
      <c r="DRM2470" s="60"/>
      <c r="DRN2470" s="60"/>
      <c r="DRO2470" s="60"/>
      <c r="DRP2470" s="60"/>
      <c r="DRQ2470" s="63"/>
      <c r="DRR2470" s="61"/>
      <c r="DRS2470" s="54"/>
      <c r="DRT2470" s="54"/>
      <c r="DRU2470" s="60"/>
      <c r="DRV2470" s="60"/>
      <c r="DRW2470" s="60"/>
      <c r="DRX2470" s="60"/>
      <c r="DRY2470" s="63"/>
      <c r="DRZ2470" s="61"/>
      <c r="DSA2470" s="54"/>
      <c r="DSB2470" s="54"/>
      <c r="DSC2470" s="60"/>
      <c r="DSD2470" s="60"/>
      <c r="DSE2470" s="60"/>
      <c r="DSF2470" s="60"/>
      <c r="DSG2470" s="63"/>
      <c r="DSH2470" s="61"/>
      <c r="DSI2470" s="54"/>
      <c r="DSJ2470" s="54"/>
      <c r="DSK2470" s="60"/>
      <c r="DSL2470" s="60"/>
      <c r="DSM2470" s="60"/>
      <c r="DSN2470" s="60"/>
      <c r="DSO2470" s="63"/>
      <c r="DSP2470" s="61"/>
      <c r="DSQ2470" s="54"/>
      <c r="DSR2470" s="54"/>
      <c r="DSS2470" s="60"/>
      <c r="DST2470" s="60"/>
      <c r="DSU2470" s="60"/>
      <c r="DSV2470" s="60"/>
      <c r="DSW2470" s="63"/>
      <c r="DSX2470" s="61"/>
      <c r="DSY2470" s="54"/>
      <c r="DSZ2470" s="54"/>
      <c r="DTA2470" s="60"/>
      <c r="DTB2470" s="60"/>
      <c r="DTC2470" s="60"/>
      <c r="DTD2470" s="60"/>
      <c r="DTE2470" s="63"/>
      <c r="DTF2470" s="61"/>
      <c r="DTG2470" s="54"/>
      <c r="DTH2470" s="54"/>
      <c r="DTI2470" s="60"/>
      <c r="DTJ2470" s="60"/>
      <c r="DTK2470" s="60"/>
      <c r="DTL2470" s="60"/>
      <c r="DTM2470" s="63"/>
      <c r="DTN2470" s="61"/>
      <c r="DTO2470" s="54"/>
      <c r="DTP2470" s="54"/>
      <c r="DTQ2470" s="60"/>
      <c r="DTR2470" s="60"/>
      <c r="DTS2470" s="60"/>
      <c r="DTT2470" s="60"/>
      <c r="DTU2470" s="63"/>
      <c r="DTV2470" s="61"/>
      <c r="DTW2470" s="54"/>
      <c r="DTX2470" s="54"/>
      <c r="DTY2470" s="60"/>
      <c r="DTZ2470" s="60"/>
      <c r="DUA2470" s="60"/>
      <c r="DUB2470" s="60"/>
      <c r="DUC2470" s="63"/>
      <c r="DUD2470" s="61"/>
      <c r="DUE2470" s="54"/>
      <c r="DUF2470" s="54"/>
      <c r="DUG2470" s="60"/>
      <c r="DUH2470" s="60"/>
      <c r="DUI2470" s="60"/>
      <c r="DUJ2470" s="60"/>
      <c r="DUK2470" s="63"/>
      <c r="DUL2470" s="61"/>
      <c r="DUM2470" s="54"/>
      <c r="DUN2470" s="54"/>
      <c r="DUO2470" s="60"/>
      <c r="DUP2470" s="60"/>
      <c r="DUQ2470" s="60"/>
      <c r="DUR2470" s="60"/>
      <c r="DUS2470" s="63"/>
      <c r="DUT2470" s="61"/>
      <c r="DUU2470" s="54"/>
      <c r="DUV2470" s="54"/>
      <c r="DUW2470" s="60"/>
      <c r="DUX2470" s="60"/>
      <c r="DUY2470" s="60"/>
      <c r="DUZ2470" s="60"/>
      <c r="DVA2470" s="63"/>
      <c r="DVB2470" s="61"/>
      <c r="DVC2470" s="54"/>
      <c r="DVD2470" s="54"/>
      <c r="DVE2470" s="60"/>
      <c r="DVF2470" s="60"/>
      <c r="DVG2470" s="60"/>
      <c r="DVH2470" s="60"/>
      <c r="DVI2470" s="63"/>
      <c r="DVJ2470" s="61"/>
      <c r="DVK2470" s="54"/>
      <c r="DVL2470" s="54"/>
      <c r="DVM2470" s="60"/>
      <c r="DVN2470" s="60"/>
      <c r="DVO2470" s="60"/>
      <c r="DVP2470" s="60"/>
      <c r="DVQ2470" s="63"/>
      <c r="DVR2470" s="61"/>
      <c r="DVS2470" s="54"/>
      <c r="DVT2470" s="54"/>
      <c r="DVU2470" s="60"/>
      <c r="DVV2470" s="60"/>
      <c r="DVW2470" s="60"/>
      <c r="DVX2470" s="60"/>
      <c r="DVY2470" s="63"/>
      <c r="DVZ2470" s="61"/>
      <c r="DWA2470" s="54"/>
      <c r="DWB2470" s="54"/>
      <c r="DWC2470" s="60"/>
      <c r="DWD2470" s="60"/>
      <c r="DWE2470" s="60"/>
      <c r="DWF2470" s="60"/>
      <c r="DWG2470" s="63"/>
      <c r="DWH2470" s="61"/>
      <c r="DWI2470" s="54"/>
      <c r="DWJ2470" s="54"/>
      <c r="DWK2470" s="60"/>
      <c r="DWL2470" s="60"/>
      <c r="DWM2470" s="60"/>
      <c r="DWN2470" s="60"/>
      <c r="DWO2470" s="63"/>
      <c r="DWP2470" s="61"/>
      <c r="DWQ2470" s="54"/>
      <c r="DWR2470" s="54"/>
      <c r="DWS2470" s="60"/>
      <c r="DWT2470" s="60"/>
      <c r="DWU2470" s="60"/>
      <c r="DWV2470" s="60"/>
      <c r="DWW2470" s="63"/>
      <c r="DWX2470" s="61"/>
      <c r="DWY2470" s="54"/>
      <c r="DWZ2470" s="54"/>
      <c r="DXA2470" s="60"/>
      <c r="DXB2470" s="60"/>
      <c r="DXC2470" s="60"/>
      <c r="DXD2470" s="60"/>
      <c r="DXE2470" s="63"/>
      <c r="DXF2470" s="61"/>
      <c r="DXG2470" s="54"/>
      <c r="DXH2470" s="54"/>
      <c r="DXI2470" s="60"/>
      <c r="DXJ2470" s="60"/>
      <c r="DXK2470" s="60"/>
      <c r="DXL2470" s="60"/>
      <c r="DXM2470" s="63"/>
      <c r="DXN2470" s="61"/>
      <c r="DXO2470" s="54"/>
      <c r="DXP2470" s="54"/>
      <c r="DXQ2470" s="60"/>
      <c r="DXR2470" s="60"/>
      <c r="DXS2470" s="60"/>
      <c r="DXT2470" s="60"/>
      <c r="DXU2470" s="63"/>
      <c r="DXV2470" s="61"/>
      <c r="DXW2470" s="54"/>
      <c r="DXX2470" s="54"/>
      <c r="DXY2470" s="60"/>
      <c r="DXZ2470" s="60"/>
      <c r="DYA2470" s="60"/>
      <c r="DYB2470" s="60"/>
      <c r="DYC2470" s="63"/>
      <c r="DYD2470" s="61"/>
      <c r="DYE2470" s="54"/>
      <c r="DYF2470" s="54"/>
      <c r="DYG2470" s="60"/>
      <c r="DYH2470" s="60"/>
      <c r="DYI2470" s="60"/>
      <c r="DYJ2470" s="60"/>
      <c r="DYK2470" s="63"/>
      <c r="DYL2470" s="61"/>
      <c r="DYM2470" s="54"/>
      <c r="DYN2470" s="54"/>
      <c r="DYO2470" s="60"/>
      <c r="DYP2470" s="60"/>
      <c r="DYQ2470" s="60"/>
      <c r="DYR2470" s="60"/>
      <c r="DYS2470" s="63"/>
      <c r="DYT2470" s="61"/>
      <c r="DYU2470" s="54"/>
      <c r="DYV2470" s="54"/>
      <c r="DYW2470" s="60"/>
      <c r="DYX2470" s="60"/>
      <c r="DYY2470" s="60"/>
      <c r="DYZ2470" s="60"/>
      <c r="DZA2470" s="63"/>
      <c r="DZB2470" s="61"/>
      <c r="DZC2470" s="54"/>
      <c r="DZD2470" s="54"/>
      <c r="DZE2470" s="60"/>
      <c r="DZF2470" s="60"/>
      <c r="DZG2470" s="60"/>
      <c r="DZH2470" s="60"/>
      <c r="DZI2470" s="63"/>
      <c r="DZJ2470" s="61"/>
      <c r="DZK2470" s="54"/>
      <c r="DZL2470" s="54"/>
      <c r="DZM2470" s="60"/>
      <c r="DZN2470" s="60"/>
      <c r="DZO2470" s="60"/>
      <c r="DZP2470" s="60"/>
      <c r="DZQ2470" s="63"/>
      <c r="DZR2470" s="61"/>
      <c r="DZS2470" s="54"/>
      <c r="DZT2470" s="54"/>
      <c r="DZU2470" s="60"/>
      <c r="DZV2470" s="60"/>
      <c r="DZW2470" s="60"/>
      <c r="DZX2470" s="60"/>
      <c r="DZY2470" s="63"/>
      <c r="DZZ2470" s="61"/>
      <c r="EAA2470" s="54"/>
      <c r="EAB2470" s="54"/>
      <c r="EAC2470" s="60"/>
      <c r="EAD2470" s="60"/>
      <c r="EAE2470" s="60"/>
      <c r="EAF2470" s="60"/>
      <c r="EAG2470" s="63"/>
      <c r="EAH2470" s="61"/>
      <c r="EAI2470" s="54"/>
      <c r="EAJ2470" s="54"/>
      <c r="EAK2470" s="60"/>
      <c r="EAL2470" s="60"/>
      <c r="EAM2470" s="60"/>
      <c r="EAN2470" s="60"/>
      <c r="EAO2470" s="63"/>
      <c r="EAP2470" s="61"/>
      <c r="EAQ2470" s="54"/>
      <c r="EAR2470" s="54"/>
      <c r="EAS2470" s="60"/>
      <c r="EAT2470" s="60"/>
      <c r="EAU2470" s="60"/>
      <c r="EAV2470" s="60"/>
      <c r="EAW2470" s="63"/>
      <c r="EAX2470" s="61"/>
      <c r="EAY2470" s="54"/>
      <c r="EAZ2470" s="54"/>
      <c r="EBA2470" s="60"/>
      <c r="EBB2470" s="60"/>
      <c r="EBC2470" s="60"/>
      <c r="EBD2470" s="60"/>
      <c r="EBE2470" s="63"/>
      <c r="EBF2470" s="61"/>
      <c r="EBG2470" s="54"/>
      <c r="EBH2470" s="54"/>
      <c r="EBI2470" s="60"/>
      <c r="EBJ2470" s="60"/>
      <c r="EBK2470" s="60"/>
      <c r="EBL2470" s="60"/>
      <c r="EBM2470" s="63"/>
      <c r="EBN2470" s="61"/>
      <c r="EBO2470" s="54"/>
      <c r="EBP2470" s="54"/>
      <c r="EBQ2470" s="60"/>
      <c r="EBR2470" s="60"/>
      <c r="EBS2470" s="60"/>
      <c r="EBT2470" s="60"/>
      <c r="EBU2470" s="63"/>
      <c r="EBV2470" s="61"/>
      <c r="EBW2470" s="54"/>
      <c r="EBX2470" s="54"/>
      <c r="EBY2470" s="60"/>
      <c r="EBZ2470" s="60"/>
      <c r="ECA2470" s="60"/>
      <c r="ECB2470" s="60"/>
      <c r="ECC2470" s="63"/>
      <c r="ECD2470" s="61"/>
      <c r="ECE2470" s="54"/>
      <c r="ECF2470" s="54"/>
      <c r="ECG2470" s="60"/>
      <c r="ECH2470" s="60"/>
      <c r="ECI2470" s="60"/>
      <c r="ECJ2470" s="60"/>
      <c r="ECK2470" s="63"/>
      <c r="ECL2470" s="61"/>
      <c r="ECM2470" s="54"/>
      <c r="ECN2470" s="54"/>
      <c r="ECO2470" s="60"/>
      <c r="ECP2470" s="60"/>
      <c r="ECQ2470" s="60"/>
      <c r="ECR2470" s="60"/>
      <c r="ECS2470" s="63"/>
      <c r="ECT2470" s="61"/>
      <c r="ECU2470" s="54"/>
      <c r="ECV2470" s="54"/>
      <c r="ECW2470" s="60"/>
      <c r="ECX2470" s="60"/>
      <c r="ECY2470" s="60"/>
      <c r="ECZ2470" s="60"/>
      <c r="EDA2470" s="63"/>
      <c r="EDB2470" s="61"/>
      <c r="EDC2470" s="54"/>
      <c r="EDD2470" s="54"/>
      <c r="EDE2470" s="60"/>
      <c r="EDF2470" s="60"/>
      <c r="EDG2470" s="60"/>
      <c r="EDH2470" s="60"/>
      <c r="EDI2470" s="63"/>
      <c r="EDJ2470" s="61"/>
      <c r="EDK2470" s="54"/>
      <c r="EDL2470" s="54"/>
      <c r="EDM2470" s="60"/>
      <c r="EDN2470" s="60"/>
      <c r="EDO2470" s="60"/>
      <c r="EDP2470" s="60"/>
      <c r="EDQ2470" s="63"/>
      <c r="EDR2470" s="61"/>
      <c r="EDS2470" s="54"/>
      <c r="EDT2470" s="54"/>
      <c r="EDU2470" s="60"/>
      <c r="EDV2470" s="60"/>
      <c r="EDW2470" s="60"/>
      <c r="EDX2470" s="60"/>
      <c r="EDY2470" s="63"/>
      <c r="EDZ2470" s="61"/>
      <c r="EEA2470" s="54"/>
      <c r="EEB2470" s="54"/>
      <c r="EEC2470" s="60"/>
      <c r="EED2470" s="60"/>
      <c r="EEE2470" s="60"/>
      <c r="EEF2470" s="60"/>
      <c r="EEG2470" s="63"/>
      <c r="EEH2470" s="61"/>
      <c r="EEI2470" s="54"/>
      <c r="EEJ2470" s="54"/>
      <c r="EEK2470" s="60"/>
      <c r="EEL2470" s="60"/>
      <c r="EEM2470" s="60"/>
      <c r="EEN2470" s="60"/>
      <c r="EEO2470" s="63"/>
      <c r="EEP2470" s="61"/>
      <c r="EEQ2470" s="54"/>
      <c r="EER2470" s="54"/>
      <c r="EES2470" s="60"/>
      <c r="EET2470" s="60"/>
      <c r="EEU2470" s="60"/>
      <c r="EEV2470" s="60"/>
      <c r="EEW2470" s="63"/>
      <c r="EEX2470" s="61"/>
      <c r="EEY2470" s="54"/>
      <c r="EEZ2470" s="54"/>
      <c r="EFA2470" s="60"/>
      <c r="EFB2470" s="60"/>
      <c r="EFC2470" s="60"/>
      <c r="EFD2470" s="60"/>
      <c r="EFE2470" s="63"/>
      <c r="EFF2470" s="61"/>
      <c r="EFG2470" s="54"/>
      <c r="EFH2470" s="54"/>
      <c r="EFI2470" s="60"/>
      <c r="EFJ2470" s="60"/>
      <c r="EFK2470" s="60"/>
      <c r="EFL2470" s="60"/>
      <c r="EFM2470" s="63"/>
      <c r="EFN2470" s="61"/>
      <c r="EFO2470" s="54"/>
      <c r="EFP2470" s="54"/>
      <c r="EFQ2470" s="60"/>
      <c r="EFR2470" s="60"/>
      <c r="EFS2470" s="60"/>
      <c r="EFT2470" s="60"/>
      <c r="EFU2470" s="63"/>
      <c r="EFV2470" s="61"/>
      <c r="EFW2470" s="54"/>
      <c r="EFX2470" s="54"/>
      <c r="EFY2470" s="60"/>
      <c r="EFZ2470" s="60"/>
      <c r="EGA2470" s="60"/>
      <c r="EGB2470" s="60"/>
      <c r="EGC2470" s="63"/>
      <c r="EGD2470" s="61"/>
      <c r="EGE2470" s="54"/>
      <c r="EGF2470" s="54"/>
      <c r="EGG2470" s="60"/>
      <c r="EGH2470" s="60"/>
      <c r="EGI2470" s="60"/>
      <c r="EGJ2470" s="60"/>
      <c r="EGK2470" s="63"/>
      <c r="EGL2470" s="61"/>
      <c r="EGM2470" s="54"/>
      <c r="EGN2470" s="54"/>
      <c r="EGO2470" s="60"/>
      <c r="EGP2470" s="60"/>
      <c r="EGQ2470" s="60"/>
      <c r="EGR2470" s="60"/>
      <c r="EGS2470" s="63"/>
      <c r="EGT2470" s="61"/>
      <c r="EGU2470" s="54"/>
      <c r="EGV2470" s="54"/>
      <c r="EGW2470" s="60"/>
      <c r="EGX2470" s="60"/>
      <c r="EGY2470" s="60"/>
      <c r="EGZ2470" s="60"/>
      <c r="EHA2470" s="63"/>
      <c r="EHB2470" s="61"/>
      <c r="EHC2470" s="54"/>
      <c r="EHD2470" s="54"/>
      <c r="EHE2470" s="60"/>
      <c r="EHF2470" s="60"/>
      <c r="EHG2470" s="60"/>
      <c r="EHH2470" s="60"/>
      <c r="EHI2470" s="63"/>
      <c r="EHJ2470" s="61"/>
      <c r="EHK2470" s="54"/>
      <c r="EHL2470" s="54"/>
      <c r="EHM2470" s="60"/>
      <c r="EHN2470" s="60"/>
      <c r="EHO2470" s="60"/>
      <c r="EHP2470" s="60"/>
      <c r="EHQ2470" s="63"/>
      <c r="EHR2470" s="61"/>
      <c r="EHS2470" s="54"/>
      <c r="EHT2470" s="54"/>
      <c r="EHU2470" s="60"/>
      <c r="EHV2470" s="60"/>
      <c r="EHW2470" s="60"/>
      <c r="EHX2470" s="60"/>
      <c r="EHY2470" s="63"/>
      <c r="EHZ2470" s="61"/>
      <c r="EIA2470" s="54"/>
      <c r="EIB2470" s="54"/>
      <c r="EIC2470" s="60"/>
      <c r="EID2470" s="60"/>
      <c r="EIE2470" s="60"/>
      <c r="EIF2470" s="60"/>
      <c r="EIG2470" s="63"/>
      <c r="EIH2470" s="61"/>
      <c r="EII2470" s="54"/>
      <c r="EIJ2470" s="54"/>
      <c r="EIK2470" s="60"/>
      <c r="EIL2470" s="60"/>
      <c r="EIM2470" s="60"/>
      <c r="EIN2470" s="60"/>
      <c r="EIO2470" s="63"/>
      <c r="EIP2470" s="61"/>
      <c r="EIQ2470" s="54"/>
      <c r="EIR2470" s="54"/>
      <c r="EIS2470" s="60"/>
      <c r="EIT2470" s="60"/>
      <c r="EIU2470" s="60"/>
      <c r="EIV2470" s="60"/>
      <c r="EIW2470" s="63"/>
      <c r="EIX2470" s="61"/>
      <c r="EIY2470" s="54"/>
      <c r="EIZ2470" s="54"/>
      <c r="EJA2470" s="60"/>
      <c r="EJB2470" s="60"/>
      <c r="EJC2470" s="60"/>
      <c r="EJD2470" s="60"/>
      <c r="EJE2470" s="63"/>
      <c r="EJF2470" s="61"/>
      <c r="EJG2470" s="54"/>
      <c r="EJH2470" s="54"/>
      <c r="EJI2470" s="60"/>
      <c r="EJJ2470" s="60"/>
      <c r="EJK2470" s="60"/>
      <c r="EJL2470" s="60"/>
      <c r="EJM2470" s="63"/>
      <c r="EJN2470" s="61"/>
      <c r="EJO2470" s="54"/>
      <c r="EJP2470" s="54"/>
      <c r="EJQ2470" s="60"/>
      <c r="EJR2470" s="60"/>
      <c r="EJS2470" s="60"/>
      <c r="EJT2470" s="60"/>
      <c r="EJU2470" s="63"/>
      <c r="EJV2470" s="61"/>
      <c r="EJW2470" s="54"/>
      <c r="EJX2470" s="54"/>
      <c r="EJY2470" s="60"/>
      <c r="EJZ2470" s="60"/>
      <c r="EKA2470" s="60"/>
      <c r="EKB2470" s="60"/>
      <c r="EKC2470" s="63"/>
      <c r="EKD2470" s="61"/>
      <c r="EKE2470" s="54"/>
      <c r="EKF2470" s="54"/>
      <c r="EKG2470" s="60"/>
      <c r="EKH2470" s="60"/>
      <c r="EKI2470" s="60"/>
      <c r="EKJ2470" s="60"/>
      <c r="EKK2470" s="63"/>
      <c r="EKL2470" s="61"/>
      <c r="EKM2470" s="54"/>
      <c r="EKN2470" s="54"/>
      <c r="EKO2470" s="60"/>
      <c r="EKP2470" s="60"/>
      <c r="EKQ2470" s="60"/>
      <c r="EKR2470" s="60"/>
      <c r="EKS2470" s="63"/>
      <c r="EKT2470" s="61"/>
      <c r="EKU2470" s="54"/>
      <c r="EKV2470" s="54"/>
      <c r="EKW2470" s="60"/>
      <c r="EKX2470" s="60"/>
      <c r="EKY2470" s="60"/>
      <c r="EKZ2470" s="60"/>
      <c r="ELA2470" s="63"/>
      <c r="ELB2470" s="61"/>
      <c r="ELC2470" s="54"/>
      <c r="ELD2470" s="54"/>
      <c r="ELE2470" s="60"/>
      <c r="ELF2470" s="60"/>
      <c r="ELG2470" s="60"/>
      <c r="ELH2470" s="60"/>
      <c r="ELI2470" s="63"/>
      <c r="ELJ2470" s="61"/>
      <c r="ELK2470" s="54"/>
      <c r="ELL2470" s="54"/>
      <c r="ELM2470" s="60"/>
      <c r="ELN2470" s="60"/>
      <c r="ELO2470" s="60"/>
      <c r="ELP2470" s="60"/>
      <c r="ELQ2470" s="63"/>
      <c r="ELR2470" s="61"/>
      <c r="ELS2470" s="54"/>
      <c r="ELT2470" s="54"/>
      <c r="ELU2470" s="60"/>
      <c r="ELV2470" s="60"/>
      <c r="ELW2470" s="60"/>
      <c r="ELX2470" s="60"/>
      <c r="ELY2470" s="63"/>
      <c r="ELZ2470" s="61"/>
      <c r="EMA2470" s="54"/>
      <c r="EMB2470" s="54"/>
      <c r="EMC2470" s="60"/>
      <c r="EMD2470" s="60"/>
      <c r="EME2470" s="60"/>
      <c r="EMF2470" s="60"/>
      <c r="EMG2470" s="63"/>
      <c r="EMH2470" s="61"/>
      <c r="EMI2470" s="54"/>
      <c r="EMJ2470" s="54"/>
      <c r="EMK2470" s="60"/>
      <c r="EML2470" s="60"/>
      <c r="EMM2470" s="60"/>
      <c r="EMN2470" s="60"/>
      <c r="EMO2470" s="63"/>
      <c r="EMP2470" s="61"/>
      <c r="EMQ2470" s="54"/>
      <c r="EMR2470" s="54"/>
      <c r="EMS2470" s="60"/>
      <c r="EMT2470" s="60"/>
      <c r="EMU2470" s="60"/>
      <c r="EMV2470" s="60"/>
      <c r="EMW2470" s="63"/>
      <c r="EMX2470" s="61"/>
      <c r="EMY2470" s="54"/>
      <c r="EMZ2470" s="54"/>
      <c r="ENA2470" s="60"/>
      <c r="ENB2470" s="60"/>
      <c r="ENC2470" s="60"/>
      <c r="END2470" s="60"/>
      <c r="ENE2470" s="63"/>
      <c r="ENF2470" s="61"/>
      <c r="ENG2470" s="54"/>
      <c r="ENH2470" s="54"/>
      <c r="ENI2470" s="60"/>
      <c r="ENJ2470" s="60"/>
      <c r="ENK2470" s="60"/>
      <c r="ENL2470" s="60"/>
      <c r="ENM2470" s="63"/>
      <c r="ENN2470" s="61"/>
      <c r="ENO2470" s="54"/>
      <c r="ENP2470" s="54"/>
      <c r="ENQ2470" s="60"/>
      <c r="ENR2470" s="60"/>
      <c r="ENS2470" s="60"/>
      <c r="ENT2470" s="60"/>
      <c r="ENU2470" s="63"/>
      <c r="ENV2470" s="61"/>
      <c r="ENW2470" s="54"/>
      <c r="ENX2470" s="54"/>
      <c r="ENY2470" s="60"/>
      <c r="ENZ2470" s="60"/>
      <c r="EOA2470" s="60"/>
      <c r="EOB2470" s="60"/>
      <c r="EOC2470" s="63"/>
      <c r="EOD2470" s="61"/>
      <c r="EOE2470" s="54"/>
      <c r="EOF2470" s="54"/>
      <c r="EOG2470" s="60"/>
      <c r="EOH2470" s="60"/>
      <c r="EOI2470" s="60"/>
      <c r="EOJ2470" s="60"/>
      <c r="EOK2470" s="63"/>
      <c r="EOL2470" s="61"/>
      <c r="EOM2470" s="54"/>
      <c r="EON2470" s="54"/>
      <c r="EOO2470" s="60"/>
      <c r="EOP2470" s="60"/>
      <c r="EOQ2470" s="60"/>
      <c r="EOR2470" s="60"/>
      <c r="EOS2470" s="63"/>
      <c r="EOT2470" s="61"/>
      <c r="EOU2470" s="54"/>
      <c r="EOV2470" s="54"/>
      <c r="EOW2470" s="60"/>
      <c r="EOX2470" s="60"/>
      <c r="EOY2470" s="60"/>
      <c r="EOZ2470" s="60"/>
      <c r="EPA2470" s="63"/>
      <c r="EPB2470" s="61"/>
      <c r="EPC2470" s="54"/>
      <c r="EPD2470" s="54"/>
      <c r="EPE2470" s="60"/>
      <c r="EPF2470" s="60"/>
      <c r="EPG2470" s="60"/>
      <c r="EPH2470" s="60"/>
      <c r="EPI2470" s="63"/>
      <c r="EPJ2470" s="61"/>
      <c r="EPK2470" s="54"/>
      <c r="EPL2470" s="54"/>
      <c r="EPM2470" s="60"/>
      <c r="EPN2470" s="60"/>
      <c r="EPO2470" s="60"/>
      <c r="EPP2470" s="60"/>
      <c r="EPQ2470" s="63"/>
      <c r="EPR2470" s="61"/>
      <c r="EPS2470" s="54"/>
      <c r="EPT2470" s="54"/>
      <c r="EPU2470" s="60"/>
      <c r="EPV2470" s="60"/>
      <c r="EPW2470" s="60"/>
      <c r="EPX2470" s="60"/>
      <c r="EPY2470" s="63"/>
      <c r="EPZ2470" s="61"/>
      <c r="EQA2470" s="54"/>
      <c r="EQB2470" s="54"/>
      <c r="EQC2470" s="60"/>
      <c r="EQD2470" s="60"/>
      <c r="EQE2470" s="60"/>
      <c r="EQF2470" s="60"/>
      <c r="EQG2470" s="63"/>
      <c r="EQH2470" s="61"/>
      <c r="EQI2470" s="54"/>
      <c r="EQJ2470" s="54"/>
      <c r="EQK2470" s="60"/>
      <c r="EQL2470" s="60"/>
      <c r="EQM2470" s="60"/>
      <c r="EQN2470" s="60"/>
      <c r="EQO2470" s="63"/>
      <c r="EQP2470" s="61"/>
      <c r="EQQ2470" s="54"/>
      <c r="EQR2470" s="54"/>
      <c r="EQS2470" s="60"/>
      <c r="EQT2470" s="60"/>
      <c r="EQU2470" s="60"/>
      <c r="EQV2470" s="60"/>
      <c r="EQW2470" s="63"/>
      <c r="EQX2470" s="61"/>
      <c r="EQY2470" s="54"/>
      <c r="EQZ2470" s="54"/>
      <c r="ERA2470" s="60"/>
      <c r="ERB2470" s="60"/>
      <c r="ERC2470" s="60"/>
      <c r="ERD2470" s="60"/>
      <c r="ERE2470" s="63"/>
      <c r="ERF2470" s="61"/>
      <c r="ERG2470" s="54"/>
      <c r="ERH2470" s="54"/>
      <c r="ERI2470" s="60"/>
      <c r="ERJ2470" s="60"/>
      <c r="ERK2470" s="60"/>
      <c r="ERL2470" s="60"/>
      <c r="ERM2470" s="63"/>
      <c r="ERN2470" s="61"/>
      <c r="ERO2470" s="54"/>
      <c r="ERP2470" s="54"/>
      <c r="ERQ2470" s="60"/>
      <c r="ERR2470" s="60"/>
      <c r="ERS2470" s="60"/>
      <c r="ERT2470" s="60"/>
      <c r="ERU2470" s="63"/>
      <c r="ERV2470" s="61"/>
      <c r="ERW2470" s="54"/>
      <c r="ERX2470" s="54"/>
      <c r="ERY2470" s="60"/>
      <c r="ERZ2470" s="60"/>
      <c r="ESA2470" s="60"/>
      <c r="ESB2470" s="60"/>
      <c r="ESC2470" s="63"/>
      <c r="ESD2470" s="61"/>
      <c r="ESE2470" s="54"/>
      <c r="ESF2470" s="54"/>
      <c r="ESG2470" s="60"/>
      <c r="ESH2470" s="60"/>
      <c r="ESI2470" s="60"/>
      <c r="ESJ2470" s="60"/>
      <c r="ESK2470" s="63"/>
      <c r="ESL2470" s="61"/>
      <c r="ESM2470" s="54"/>
      <c r="ESN2470" s="54"/>
      <c r="ESO2470" s="60"/>
      <c r="ESP2470" s="60"/>
      <c r="ESQ2470" s="60"/>
      <c r="ESR2470" s="60"/>
      <c r="ESS2470" s="63"/>
      <c r="EST2470" s="61"/>
      <c r="ESU2470" s="54"/>
      <c r="ESV2470" s="54"/>
      <c r="ESW2470" s="60"/>
      <c r="ESX2470" s="60"/>
      <c r="ESY2470" s="60"/>
      <c r="ESZ2470" s="60"/>
      <c r="ETA2470" s="63"/>
      <c r="ETB2470" s="61"/>
      <c r="ETC2470" s="54"/>
      <c r="ETD2470" s="54"/>
      <c r="ETE2470" s="60"/>
      <c r="ETF2470" s="60"/>
      <c r="ETG2470" s="60"/>
      <c r="ETH2470" s="60"/>
      <c r="ETI2470" s="63"/>
      <c r="ETJ2470" s="61"/>
      <c r="ETK2470" s="54"/>
      <c r="ETL2470" s="54"/>
      <c r="ETM2470" s="60"/>
      <c r="ETN2470" s="60"/>
      <c r="ETO2470" s="60"/>
      <c r="ETP2470" s="60"/>
      <c r="ETQ2470" s="63"/>
      <c r="ETR2470" s="61"/>
      <c r="ETS2470" s="54"/>
      <c r="ETT2470" s="54"/>
      <c r="ETU2470" s="60"/>
      <c r="ETV2470" s="60"/>
      <c r="ETW2470" s="60"/>
      <c r="ETX2470" s="60"/>
      <c r="ETY2470" s="63"/>
      <c r="ETZ2470" s="61"/>
      <c r="EUA2470" s="54"/>
      <c r="EUB2470" s="54"/>
      <c r="EUC2470" s="60"/>
      <c r="EUD2470" s="60"/>
      <c r="EUE2470" s="60"/>
      <c r="EUF2470" s="60"/>
      <c r="EUG2470" s="63"/>
      <c r="EUH2470" s="61"/>
      <c r="EUI2470" s="54"/>
      <c r="EUJ2470" s="54"/>
      <c r="EUK2470" s="60"/>
      <c r="EUL2470" s="60"/>
      <c r="EUM2470" s="60"/>
      <c r="EUN2470" s="60"/>
      <c r="EUO2470" s="63"/>
      <c r="EUP2470" s="61"/>
      <c r="EUQ2470" s="54"/>
      <c r="EUR2470" s="54"/>
      <c r="EUS2470" s="60"/>
      <c r="EUT2470" s="60"/>
      <c r="EUU2470" s="60"/>
      <c r="EUV2470" s="60"/>
      <c r="EUW2470" s="63"/>
      <c r="EUX2470" s="61"/>
      <c r="EUY2470" s="54"/>
      <c r="EUZ2470" s="54"/>
      <c r="EVA2470" s="60"/>
      <c r="EVB2470" s="60"/>
      <c r="EVC2470" s="60"/>
      <c r="EVD2470" s="60"/>
      <c r="EVE2470" s="63"/>
      <c r="EVF2470" s="61"/>
      <c r="EVG2470" s="54"/>
      <c r="EVH2470" s="54"/>
      <c r="EVI2470" s="60"/>
      <c r="EVJ2470" s="60"/>
      <c r="EVK2470" s="60"/>
      <c r="EVL2470" s="60"/>
      <c r="EVM2470" s="63"/>
      <c r="EVN2470" s="61"/>
      <c r="EVO2470" s="54"/>
      <c r="EVP2470" s="54"/>
      <c r="EVQ2470" s="60"/>
      <c r="EVR2470" s="60"/>
      <c r="EVS2470" s="60"/>
      <c r="EVT2470" s="60"/>
      <c r="EVU2470" s="63"/>
      <c r="EVV2470" s="61"/>
      <c r="EVW2470" s="54"/>
      <c r="EVX2470" s="54"/>
      <c r="EVY2470" s="60"/>
      <c r="EVZ2470" s="60"/>
      <c r="EWA2470" s="60"/>
      <c r="EWB2470" s="60"/>
      <c r="EWC2470" s="63"/>
      <c r="EWD2470" s="61"/>
      <c r="EWE2470" s="54"/>
      <c r="EWF2470" s="54"/>
      <c r="EWG2470" s="60"/>
      <c r="EWH2470" s="60"/>
      <c r="EWI2470" s="60"/>
      <c r="EWJ2470" s="60"/>
      <c r="EWK2470" s="63"/>
      <c r="EWL2470" s="61"/>
      <c r="EWM2470" s="54"/>
      <c r="EWN2470" s="54"/>
      <c r="EWO2470" s="60"/>
      <c r="EWP2470" s="60"/>
      <c r="EWQ2470" s="60"/>
      <c r="EWR2470" s="60"/>
      <c r="EWS2470" s="63"/>
      <c r="EWT2470" s="61"/>
      <c r="EWU2470" s="54"/>
      <c r="EWV2470" s="54"/>
      <c r="EWW2470" s="60"/>
      <c r="EWX2470" s="60"/>
      <c r="EWY2470" s="60"/>
      <c r="EWZ2470" s="60"/>
      <c r="EXA2470" s="63"/>
      <c r="EXB2470" s="61"/>
      <c r="EXC2470" s="54"/>
      <c r="EXD2470" s="54"/>
      <c r="EXE2470" s="60"/>
      <c r="EXF2470" s="60"/>
      <c r="EXG2470" s="60"/>
      <c r="EXH2470" s="60"/>
      <c r="EXI2470" s="63"/>
      <c r="EXJ2470" s="61"/>
      <c r="EXK2470" s="54"/>
      <c r="EXL2470" s="54"/>
      <c r="EXM2470" s="60"/>
      <c r="EXN2470" s="60"/>
      <c r="EXO2470" s="60"/>
      <c r="EXP2470" s="60"/>
      <c r="EXQ2470" s="63"/>
      <c r="EXR2470" s="61"/>
      <c r="EXS2470" s="54"/>
      <c r="EXT2470" s="54"/>
      <c r="EXU2470" s="60"/>
      <c r="EXV2470" s="60"/>
      <c r="EXW2470" s="60"/>
      <c r="EXX2470" s="60"/>
      <c r="EXY2470" s="63"/>
      <c r="EXZ2470" s="61"/>
      <c r="EYA2470" s="54"/>
      <c r="EYB2470" s="54"/>
      <c r="EYC2470" s="60"/>
      <c r="EYD2470" s="60"/>
      <c r="EYE2470" s="60"/>
      <c r="EYF2470" s="60"/>
      <c r="EYG2470" s="63"/>
      <c r="EYH2470" s="61"/>
      <c r="EYI2470" s="54"/>
      <c r="EYJ2470" s="54"/>
      <c r="EYK2470" s="60"/>
      <c r="EYL2470" s="60"/>
      <c r="EYM2470" s="60"/>
      <c r="EYN2470" s="60"/>
      <c r="EYO2470" s="63"/>
      <c r="EYP2470" s="61"/>
      <c r="EYQ2470" s="54"/>
      <c r="EYR2470" s="54"/>
      <c r="EYS2470" s="60"/>
      <c r="EYT2470" s="60"/>
      <c r="EYU2470" s="60"/>
      <c r="EYV2470" s="60"/>
      <c r="EYW2470" s="63"/>
      <c r="EYX2470" s="61"/>
      <c r="EYY2470" s="54"/>
      <c r="EYZ2470" s="54"/>
      <c r="EZA2470" s="60"/>
      <c r="EZB2470" s="60"/>
      <c r="EZC2470" s="60"/>
      <c r="EZD2470" s="60"/>
      <c r="EZE2470" s="63"/>
      <c r="EZF2470" s="61"/>
      <c r="EZG2470" s="54"/>
      <c r="EZH2470" s="54"/>
      <c r="EZI2470" s="60"/>
      <c r="EZJ2470" s="60"/>
      <c r="EZK2470" s="60"/>
      <c r="EZL2470" s="60"/>
      <c r="EZM2470" s="63"/>
      <c r="EZN2470" s="61"/>
      <c r="EZO2470" s="54"/>
      <c r="EZP2470" s="54"/>
      <c r="EZQ2470" s="60"/>
      <c r="EZR2470" s="60"/>
      <c r="EZS2470" s="60"/>
      <c r="EZT2470" s="60"/>
      <c r="EZU2470" s="63"/>
      <c r="EZV2470" s="61"/>
      <c r="EZW2470" s="54"/>
      <c r="EZX2470" s="54"/>
      <c r="EZY2470" s="60"/>
      <c r="EZZ2470" s="60"/>
      <c r="FAA2470" s="60"/>
      <c r="FAB2470" s="60"/>
      <c r="FAC2470" s="63"/>
      <c r="FAD2470" s="61"/>
      <c r="FAE2470" s="54"/>
      <c r="FAF2470" s="54"/>
      <c r="FAG2470" s="60"/>
      <c r="FAH2470" s="60"/>
      <c r="FAI2470" s="60"/>
      <c r="FAJ2470" s="60"/>
      <c r="FAK2470" s="63"/>
      <c r="FAL2470" s="61"/>
      <c r="FAM2470" s="54"/>
      <c r="FAN2470" s="54"/>
      <c r="FAO2470" s="60"/>
      <c r="FAP2470" s="60"/>
      <c r="FAQ2470" s="60"/>
      <c r="FAR2470" s="60"/>
      <c r="FAS2470" s="63"/>
      <c r="FAT2470" s="61"/>
      <c r="FAU2470" s="54"/>
      <c r="FAV2470" s="54"/>
      <c r="FAW2470" s="60"/>
      <c r="FAX2470" s="60"/>
      <c r="FAY2470" s="60"/>
      <c r="FAZ2470" s="60"/>
      <c r="FBA2470" s="63"/>
      <c r="FBB2470" s="61"/>
      <c r="FBC2470" s="54"/>
      <c r="FBD2470" s="54"/>
      <c r="FBE2470" s="60"/>
      <c r="FBF2470" s="60"/>
      <c r="FBG2470" s="60"/>
      <c r="FBH2470" s="60"/>
      <c r="FBI2470" s="63"/>
      <c r="FBJ2470" s="61"/>
      <c r="FBK2470" s="54"/>
      <c r="FBL2470" s="54"/>
      <c r="FBM2470" s="60"/>
      <c r="FBN2470" s="60"/>
      <c r="FBO2470" s="60"/>
      <c r="FBP2470" s="60"/>
      <c r="FBQ2470" s="63"/>
      <c r="FBR2470" s="61"/>
      <c r="FBS2470" s="54"/>
      <c r="FBT2470" s="54"/>
      <c r="FBU2470" s="60"/>
      <c r="FBV2470" s="60"/>
      <c r="FBW2470" s="60"/>
      <c r="FBX2470" s="60"/>
      <c r="FBY2470" s="63"/>
      <c r="FBZ2470" s="61"/>
      <c r="FCA2470" s="54"/>
      <c r="FCB2470" s="54"/>
      <c r="FCC2470" s="60"/>
      <c r="FCD2470" s="60"/>
      <c r="FCE2470" s="60"/>
      <c r="FCF2470" s="60"/>
      <c r="FCG2470" s="63"/>
      <c r="FCH2470" s="61"/>
      <c r="FCI2470" s="54"/>
      <c r="FCJ2470" s="54"/>
      <c r="FCK2470" s="60"/>
      <c r="FCL2470" s="60"/>
      <c r="FCM2470" s="60"/>
      <c r="FCN2470" s="60"/>
      <c r="FCO2470" s="63"/>
      <c r="FCP2470" s="61"/>
      <c r="FCQ2470" s="54"/>
      <c r="FCR2470" s="54"/>
      <c r="FCS2470" s="60"/>
      <c r="FCT2470" s="60"/>
      <c r="FCU2470" s="60"/>
      <c r="FCV2470" s="60"/>
      <c r="FCW2470" s="63"/>
      <c r="FCX2470" s="61"/>
      <c r="FCY2470" s="54"/>
      <c r="FCZ2470" s="54"/>
      <c r="FDA2470" s="60"/>
      <c r="FDB2470" s="60"/>
      <c r="FDC2470" s="60"/>
      <c r="FDD2470" s="60"/>
      <c r="FDE2470" s="63"/>
      <c r="FDF2470" s="61"/>
      <c r="FDG2470" s="54"/>
      <c r="FDH2470" s="54"/>
      <c r="FDI2470" s="60"/>
      <c r="FDJ2470" s="60"/>
      <c r="FDK2470" s="60"/>
      <c r="FDL2470" s="60"/>
      <c r="FDM2470" s="63"/>
      <c r="FDN2470" s="61"/>
      <c r="FDO2470" s="54"/>
      <c r="FDP2470" s="54"/>
      <c r="FDQ2470" s="60"/>
      <c r="FDR2470" s="60"/>
      <c r="FDS2470" s="60"/>
      <c r="FDT2470" s="60"/>
      <c r="FDU2470" s="63"/>
      <c r="FDV2470" s="61"/>
      <c r="FDW2470" s="54"/>
      <c r="FDX2470" s="54"/>
      <c r="FDY2470" s="60"/>
      <c r="FDZ2470" s="60"/>
      <c r="FEA2470" s="60"/>
      <c r="FEB2470" s="60"/>
      <c r="FEC2470" s="63"/>
      <c r="FED2470" s="61"/>
      <c r="FEE2470" s="54"/>
      <c r="FEF2470" s="54"/>
      <c r="FEG2470" s="60"/>
      <c r="FEH2470" s="60"/>
      <c r="FEI2470" s="60"/>
      <c r="FEJ2470" s="60"/>
      <c r="FEK2470" s="63"/>
      <c r="FEL2470" s="61"/>
      <c r="FEM2470" s="54"/>
      <c r="FEN2470" s="54"/>
      <c r="FEO2470" s="60"/>
      <c r="FEP2470" s="60"/>
      <c r="FEQ2470" s="60"/>
      <c r="FER2470" s="60"/>
      <c r="FES2470" s="63"/>
      <c r="FET2470" s="61"/>
      <c r="FEU2470" s="54"/>
      <c r="FEV2470" s="54"/>
      <c r="FEW2470" s="60"/>
      <c r="FEX2470" s="60"/>
      <c r="FEY2470" s="60"/>
      <c r="FEZ2470" s="60"/>
      <c r="FFA2470" s="63"/>
      <c r="FFB2470" s="61"/>
      <c r="FFC2470" s="54"/>
      <c r="FFD2470" s="54"/>
      <c r="FFE2470" s="60"/>
      <c r="FFF2470" s="60"/>
      <c r="FFG2470" s="60"/>
      <c r="FFH2470" s="60"/>
      <c r="FFI2470" s="63"/>
      <c r="FFJ2470" s="61"/>
      <c r="FFK2470" s="54"/>
      <c r="FFL2470" s="54"/>
      <c r="FFM2470" s="60"/>
      <c r="FFN2470" s="60"/>
      <c r="FFO2470" s="60"/>
      <c r="FFP2470" s="60"/>
      <c r="FFQ2470" s="63"/>
      <c r="FFR2470" s="61"/>
      <c r="FFS2470" s="54"/>
      <c r="FFT2470" s="54"/>
      <c r="FFU2470" s="60"/>
      <c r="FFV2470" s="60"/>
      <c r="FFW2470" s="60"/>
      <c r="FFX2470" s="60"/>
      <c r="FFY2470" s="63"/>
      <c r="FFZ2470" s="61"/>
      <c r="FGA2470" s="54"/>
      <c r="FGB2470" s="54"/>
      <c r="FGC2470" s="60"/>
      <c r="FGD2470" s="60"/>
      <c r="FGE2470" s="60"/>
      <c r="FGF2470" s="60"/>
      <c r="FGG2470" s="63"/>
      <c r="FGH2470" s="61"/>
      <c r="FGI2470" s="54"/>
      <c r="FGJ2470" s="54"/>
      <c r="FGK2470" s="60"/>
      <c r="FGL2470" s="60"/>
      <c r="FGM2470" s="60"/>
      <c r="FGN2470" s="60"/>
      <c r="FGO2470" s="63"/>
      <c r="FGP2470" s="61"/>
      <c r="FGQ2470" s="54"/>
      <c r="FGR2470" s="54"/>
      <c r="FGS2470" s="60"/>
      <c r="FGT2470" s="60"/>
      <c r="FGU2470" s="60"/>
      <c r="FGV2470" s="60"/>
      <c r="FGW2470" s="63"/>
      <c r="FGX2470" s="61"/>
      <c r="FGY2470" s="54"/>
      <c r="FGZ2470" s="54"/>
      <c r="FHA2470" s="60"/>
      <c r="FHB2470" s="60"/>
      <c r="FHC2470" s="60"/>
      <c r="FHD2470" s="60"/>
      <c r="FHE2470" s="63"/>
      <c r="FHF2470" s="61"/>
      <c r="FHG2470" s="54"/>
      <c r="FHH2470" s="54"/>
      <c r="FHI2470" s="60"/>
      <c r="FHJ2470" s="60"/>
      <c r="FHK2470" s="60"/>
      <c r="FHL2470" s="60"/>
      <c r="FHM2470" s="63"/>
      <c r="FHN2470" s="61"/>
      <c r="FHO2470" s="54"/>
      <c r="FHP2470" s="54"/>
      <c r="FHQ2470" s="60"/>
      <c r="FHR2470" s="60"/>
      <c r="FHS2470" s="60"/>
      <c r="FHT2470" s="60"/>
      <c r="FHU2470" s="63"/>
      <c r="FHV2470" s="61"/>
      <c r="FHW2470" s="54"/>
      <c r="FHX2470" s="54"/>
      <c r="FHY2470" s="60"/>
      <c r="FHZ2470" s="60"/>
      <c r="FIA2470" s="60"/>
      <c r="FIB2470" s="60"/>
      <c r="FIC2470" s="63"/>
      <c r="FID2470" s="61"/>
      <c r="FIE2470" s="54"/>
      <c r="FIF2470" s="54"/>
      <c r="FIG2470" s="60"/>
      <c r="FIH2470" s="60"/>
      <c r="FII2470" s="60"/>
      <c r="FIJ2470" s="60"/>
      <c r="FIK2470" s="63"/>
      <c r="FIL2470" s="61"/>
      <c r="FIM2470" s="54"/>
      <c r="FIN2470" s="54"/>
      <c r="FIO2470" s="60"/>
      <c r="FIP2470" s="60"/>
      <c r="FIQ2470" s="60"/>
      <c r="FIR2470" s="60"/>
      <c r="FIS2470" s="63"/>
      <c r="FIT2470" s="61"/>
      <c r="FIU2470" s="54"/>
      <c r="FIV2470" s="54"/>
      <c r="FIW2470" s="60"/>
      <c r="FIX2470" s="60"/>
      <c r="FIY2470" s="60"/>
      <c r="FIZ2470" s="60"/>
      <c r="FJA2470" s="63"/>
      <c r="FJB2470" s="61"/>
      <c r="FJC2470" s="54"/>
      <c r="FJD2470" s="54"/>
      <c r="FJE2470" s="60"/>
      <c r="FJF2470" s="60"/>
      <c r="FJG2470" s="60"/>
      <c r="FJH2470" s="60"/>
      <c r="FJI2470" s="63"/>
      <c r="FJJ2470" s="61"/>
      <c r="FJK2470" s="54"/>
      <c r="FJL2470" s="54"/>
      <c r="FJM2470" s="60"/>
      <c r="FJN2470" s="60"/>
      <c r="FJO2470" s="60"/>
      <c r="FJP2470" s="60"/>
      <c r="FJQ2470" s="63"/>
      <c r="FJR2470" s="61"/>
      <c r="FJS2470" s="54"/>
      <c r="FJT2470" s="54"/>
      <c r="FJU2470" s="60"/>
      <c r="FJV2470" s="60"/>
      <c r="FJW2470" s="60"/>
      <c r="FJX2470" s="60"/>
      <c r="FJY2470" s="63"/>
      <c r="FJZ2470" s="61"/>
      <c r="FKA2470" s="54"/>
      <c r="FKB2470" s="54"/>
      <c r="FKC2470" s="60"/>
      <c r="FKD2470" s="60"/>
      <c r="FKE2470" s="60"/>
      <c r="FKF2470" s="60"/>
      <c r="FKG2470" s="63"/>
      <c r="FKH2470" s="61"/>
      <c r="FKI2470" s="54"/>
      <c r="FKJ2470" s="54"/>
      <c r="FKK2470" s="60"/>
      <c r="FKL2470" s="60"/>
      <c r="FKM2470" s="60"/>
      <c r="FKN2470" s="60"/>
      <c r="FKO2470" s="63"/>
      <c r="FKP2470" s="61"/>
      <c r="FKQ2470" s="54"/>
      <c r="FKR2470" s="54"/>
      <c r="FKS2470" s="60"/>
      <c r="FKT2470" s="60"/>
      <c r="FKU2470" s="60"/>
      <c r="FKV2470" s="60"/>
      <c r="FKW2470" s="63"/>
      <c r="FKX2470" s="61"/>
      <c r="FKY2470" s="54"/>
      <c r="FKZ2470" s="54"/>
      <c r="FLA2470" s="60"/>
      <c r="FLB2470" s="60"/>
      <c r="FLC2470" s="60"/>
      <c r="FLD2470" s="60"/>
      <c r="FLE2470" s="63"/>
      <c r="FLF2470" s="61"/>
      <c r="FLG2470" s="54"/>
      <c r="FLH2470" s="54"/>
      <c r="FLI2470" s="60"/>
      <c r="FLJ2470" s="60"/>
      <c r="FLK2470" s="60"/>
      <c r="FLL2470" s="60"/>
      <c r="FLM2470" s="63"/>
      <c r="FLN2470" s="61"/>
      <c r="FLO2470" s="54"/>
      <c r="FLP2470" s="54"/>
      <c r="FLQ2470" s="60"/>
      <c r="FLR2470" s="60"/>
      <c r="FLS2470" s="60"/>
      <c r="FLT2470" s="60"/>
      <c r="FLU2470" s="63"/>
      <c r="FLV2470" s="61"/>
      <c r="FLW2470" s="54"/>
      <c r="FLX2470" s="54"/>
      <c r="FLY2470" s="60"/>
      <c r="FLZ2470" s="60"/>
      <c r="FMA2470" s="60"/>
      <c r="FMB2470" s="60"/>
      <c r="FMC2470" s="63"/>
      <c r="FMD2470" s="61"/>
      <c r="FME2470" s="54"/>
      <c r="FMF2470" s="54"/>
      <c r="FMG2470" s="60"/>
      <c r="FMH2470" s="60"/>
      <c r="FMI2470" s="60"/>
      <c r="FMJ2470" s="60"/>
      <c r="FMK2470" s="63"/>
      <c r="FML2470" s="61"/>
      <c r="FMM2470" s="54"/>
      <c r="FMN2470" s="54"/>
      <c r="FMO2470" s="60"/>
      <c r="FMP2470" s="60"/>
      <c r="FMQ2470" s="60"/>
      <c r="FMR2470" s="60"/>
      <c r="FMS2470" s="63"/>
      <c r="FMT2470" s="61"/>
      <c r="FMU2470" s="54"/>
      <c r="FMV2470" s="54"/>
      <c r="FMW2470" s="60"/>
      <c r="FMX2470" s="60"/>
      <c r="FMY2470" s="60"/>
      <c r="FMZ2470" s="60"/>
      <c r="FNA2470" s="63"/>
      <c r="FNB2470" s="61"/>
      <c r="FNC2470" s="54"/>
      <c r="FND2470" s="54"/>
      <c r="FNE2470" s="60"/>
      <c r="FNF2470" s="60"/>
      <c r="FNG2470" s="60"/>
      <c r="FNH2470" s="60"/>
      <c r="FNI2470" s="63"/>
      <c r="FNJ2470" s="61"/>
      <c r="FNK2470" s="54"/>
      <c r="FNL2470" s="54"/>
      <c r="FNM2470" s="60"/>
      <c r="FNN2470" s="60"/>
      <c r="FNO2470" s="60"/>
      <c r="FNP2470" s="60"/>
      <c r="FNQ2470" s="63"/>
      <c r="FNR2470" s="61"/>
      <c r="FNS2470" s="54"/>
      <c r="FNT2470" s="54"/>
      <c r="FNU2470" s="60"/>
      <c r="FNV2470" s="60"/>
      <c r="FNW2470" s="60"/>
      <c r="FNX2470" s="60"/>
      <c r="FNY2470" s="63"/>
      <c r="FNZ2470" s="61"/>
      <c r="FOA2470" s="54"/>
      <c r="FOB2470" s="54"/>
      <c r="FOC2470" s="60"/>
      <c r="FOD2470" s="60"/>
      <c r="FOE2470" s="60"/>
      <c r="FOF2470" s="60"/>
      <c r="FOG2470" s="63"/>
      <c r="FOH2470" s="61"/>
      <c r="FOI2470" s="54"/>
      <c r="FOJ2470" s="54"/>
      <c r="FOK2470" s="60"/>
      <c r="FOL2470" s="60"/>
      <c r="FOM2470" s="60"/>
      <c r="FON2470" s="60"/>
      <c r="FOO2470" s="63"/>
      <c r="FOP2470" s="61"/>
      <c r="FOQ2470" s="54"/>
      <c r="FOR2470" s="54"/>
      <c r="FOS2470" s="60"/>
      <c r="FOT2470" s="60"/>
      <c r="FOU2470" s="60"/>
      <c r="FOV2470" s="60"/>
      <c r="FOW2470" s="63"/>
      <c r="FOX2470" s="61"/>
      <c r="FOY2470" s="54"/>
      <c r="FOZ2470" s="54"/>
      <c r="FPA2470" s="60"/>
      <c r="FPB2470" s="60"/>
      <c r="FPC2470" s="60"/>
      <c r="FPD2470" s="60"/>
      <c r="FPE2470" s="63"/>
      <c r="FPF2470" s="61"/>
      <c r="FPG2470" s="54"/>
      <c r="FPH2470" s="54"/>
      <c r="FPI2470" s="60"/>
      <c r="FPJ2470" s="60"/>
      <c r="FPK2470" s="60"/>
      <c r="FPL2470" s="60"/>
      <c r="FPM2470" s="63"/>
      <c r="FPN2470" s="61"/>
      <c r="FPO2470" s="54"/>
      <c r="FPP2470" s="54"/>
      <c r="FPQ2470" s="60"/>
      <c r="FPR2470" s="60"/>
      <c r="FPS2470" s="60"/>
      <c r="FPT2470" s="60"/>
      <c r="FPU2470" s="63"/>
      <c r="FPV2470" s="61"/>
      <c r="FPW2470" s="54"/>
      <c r="FPX2470" s="54"/>
      <c r="FPY2470" s="60"/>
      <c r="FPZ2470" s="60"/>
      <c r="FQA2470" s="60"/>
      <c r="FQB2470" s="60"/>
      <c r="FQC2470" s="63"/>
      <c r="FQD2470" s="61"/>
      <c r="FQE2470" s="54"/>
      <c r="FQF2470" s="54"/>
      <c r="FQG2470" s="60"/>
      <c r="FQH2470" s="60"/>
      <c r="FQI2470" s="60"/>
      <c r="FQJ2470" s="60"/>
      <c r="FQK2470" s="63"/>
      <c r="FQL2470" s="61"/>
      <c r="FQM2470" s="54"/>
      <c r="FQN2470" s="54"/>
      <c r="FQO2470" s="60"/>
      <c r="FQP2470" s="60"/>
      <c r="FQQ2470" s="60"/>
      <c r="FQR2470" s="60"/>
      <c r="FQS2470" s="63"/>
      <c r="FQT2470" s="61"/>
      <c r="FQU2470" s="54"/>
      <c r="FQV2470" s="54"/>
      <c r="FQW2470" s="60"/>
      <c r="FQX2470" s="60"/>
      <c r="FQY2470" s="60"/>
      <c r="FQZ2470" s="60"/>
      <c r="FRA2470" s="63"/>
      <c r="FRB2470" s="61"/>
      <c r="FRC2470" s="54"/>
      <c r="FRD2470" s="54"/>
      <c r="FRE2470" s="60"/>
      <c r="FRF2470" s="60"/>
      <c r="FRG2470" s="60"/>
      <c r="FRH2470" s="60"/>
      <c r="FRI2470" s="63"/>
      <c r="FRJ2470" s="61"/>
      <c r="FRK2470" s="54"/>
      <c r="FRL2470" s="54"/>
      <c r="FRM2470" s="60"/>
      <c r="FRN2470" s="60"/>
      <c r="FRO2470" s="60"/>
      <c r="FRP2470" s="60"/>
      <c r="FRQ2470" s="63"/>
      <c r="FRR2470" s="61"/>
      <c r="FRS2470" s="54"/>
      <c r="FRT2470" s="54"/>
      <c r="FRU2470" s="60"/>
      <c r="FRV2470" s="60"/>
      <c r="FRW2470" s="60"/>
      <c r="FRX2470" s="60"/>
      <c r="FRY2470" s="63"/>
      <c r="FRZ2470" s="61"/>
      <c r="FSA2470" s="54"/>
      <c r="FSB2470" s="54"/>
      <c r="FSC2470" s="60"/>
      <c r="FSD2470" s="60"/>
      <c r="FSE2470" s="60"/>
      <c r="FSF2470" s="60"/>
      <c r="FSG2470" s="63"/>
      <c r="FSH2470" s="61"/>
      <c r="FSI2470" s="54"/>
      <c r="FSJ2470" s="54"/>
      <c r="FSK2470" s="60"/>
      <c r="FSL2470" s="60"/>
      <c r="FSM2470" s="60"/>
      <c r="FSN2470" s="60"/>
      <c r="FSO2470" s="63"/>
      <c r="FSP2470" s="61"/>
      <c r="FSQ2470" s="54"/>
      <c r="FSR2470" s="54"/>
      <c r="FSS2470" s="60"/>
      <c r="FST2470" s="60"/>
      <c r="FSU2470" s="60"/>
      <c r="FSV2470" s="60"/>
      <c r="FSW2470" s="63"/>
      <c r="FSX2470" s="61"/>
      <c r="FSY2470" s="54"/>
      <c r="FSZ2470" s="54"/>
      <c r="FTA2470" s="60"/>
      <c r="FTB2470" s="60"/>
      <c r="FTC2470" s="60"/>
      <c r="FTD2470" s="60"/>
      <c r="FTE2470" s="63"/>
      <c r="FTF2470" s="61"/>
      <c r="FTG2470" s="54"/>
      <c r="FTH2470" s="54"/>
      <c r="FTI2470" s="60"/>
      <c r="FTJ2470" s="60"/>
      <c r="FTK2470" s="60"/>
      <c r="FTL2470" s="60"/>
      <c r="FTM2470" s="63"/>
      <c r="FTN2470" s="61"/>
      <c r="FTO2470" s="54"/>
      <c r="FTP2470" s="54"/>
      <c r="FTQ2470" s="60"/>
      <c r="FTR2470" s="60"/>
      <c r="FTS2470" s="60"/>
      <c r="FTT2470" s="60"/>
      <c r="FTU2470" s="63"/>
      <c r="FTV2470" s="61"/>
      <c r="FTW2470" s="54"/>
      <c r="FTX2470" s="54"/>
      <c r="FTY2470" s="60"/>
      <c r="FTZ2470" s="60"/>
      <c r="FUA2470" s="60"/>
      <c r="FUB2470" s="60"/>
      <c r="FUC2470" s="63"/>
      <c r="FUD2470" s="61"/>
      <c r="FUE2470" s="54"/>
      <c r="FUF2470" s="54"/>
      <c r="FUG2470" s="60"/>
      <c r="FUH2470" s="60"/>
      <c r="FUI2470" s="60"/>
      <c r="FUJ2470" s="60"/>
      <c r="FUK2470" s="63"/>
      <c r="FUL2470" s="61"/>
      <c r="FUM2470" s="54"/>
      <c r="FUN2470" s="54"/>
      <c r="FUO2470" s="60"/>
      <c r="FUP2470" s="60"/>
      <c r="FUQ2470" s="60"/>
      <c r="FUR2470" s="60"/>
      <c r="FUS2470" s="63"/>
      <c r="FUT2470" s="61"/>
      <c r="FUU2470" s="54"/>
      <c r="FUV2470" s="54"/>
      <c r="FUW2470" s="60"/>
      <c r="FUX2470" s="60"/>
      <c r="FUY2470" s="60"/>
      <c r="FUZ2470" s="60"/>
      <c r="FVA2470" s="63"/>
      <c r="FVB2470" s="61"/>
      <c r="FVC2470" s="54"/>
      <c r="FVD2470" s="54"/>
      <c r="FVE2470" s="60"/>
      <c r="FVF2470" s="60"/>
      <c r="FVG2470" s="60"/>
      <c r="FVH2470" s="60"/>
      <c r="FVI2470" s="63"/>
      <c r="FVJ2470" s="61"/>
      <c r="FVK2470" s="54"/>
      <c r="FVL2470" s="54"/>
      <c r="FVM2470" s="60"/>
      <c r="FVN2470" s="60"/>
      <c r="FVO2470" s="60"/>
      <c r="FVP2470" s="60"/>
      <c r="FVQ2470" s="63"/>
      <c r="FVR2470" s="61"/>
      <c r="FVS2470" s="54"/>
      <c r="FVT2470" s="54"/>
      <c r="FVU2470" s="60"/>
      <c r="FVV2470" s="60"/>
      <c r="FVW2470" s="60"/>
      <c r="FVX2470" s="60"/>
      <c r="FVY2470" s="63"/>
      <c r="FVZ2470" s="61"/>
      <c r="FWA2470" s="54"/>
      <c r="FWB2470" s="54"/>
      <c r="FWC2470" s="60"/>
      <c r="FWD2470" s="60"/>
      <c r="FWE2470" s="60"/>
      <c r="FWF2470" s="60"/>
      <c r="FWG2470" s="63"/>
      <c r="FWH2470" s="61"/>
      <c r="FWI2470" s="54"/>
      <c r="FWJ2470" s="54"/>
      <c r="FWK2470" s="60"/>
      <c r="FWL2470" s="60"/>
      <c r="FWM2470" s="60"/>
      <c r="FWN2470" s="60"/>
      <c r="FWO2470" s="63"/>
      <c r="FWP2470" s="61"/>
      <c r="FWQ2470" s="54"/>
      <c r="FWR2470" s="54"/>
      <c r="FWS2470" s="60"/>
      <c r="FWT2470" s="60"/>
      <c r="FWU2470" s="60"/>
      <c r="FWV2470" s="60"/>
      <c r="FWW2470" s="63"/>
      <c r="FWX2470" s="61"/>
      <c r="FWY2470" s="54"/>
      <c r="FWZ2470" s="54"/>
      <c r="FXA2470" s="60"/>
      <c r="FXB2470" s="60"/>
      <c r="FXC2470" s="60"/>
      <c r="FXD2470" s="60"/>
      <c r="FXE2470" s="63"/>
      <c r="FXF2470" s="61"/>
      <c r="FXG2470" s="54"/>
      <c r="FXH2470" s="54"/>
      <c r="FXI2470" s="60"/>
      <c r="FXJ2470" s="60"/>
      <c r="FXK2470" s="60"/>
      <c r="FXL2470" s="60"/>
      <c r="FXM2470" s="63"/>
      <c r="FXN2470" s="61"/>
      <c r="FXO2470" s="54"/>
      <c r="FXP2470" s="54"/>
      <c r="FXQ2470" s="60"/>
      <c r="FXR2470" s="60"/>
      <c r="FXS2470" s="60"/>
      <c r="FXT2470" s="60"/>
      <c r="FXU2470" s="63"/>
      <c r="FXV2470" s="61"/>
      <c r="FXW2470" s="54"/>
      <c r="FXX2470" s="54"/>
      <c r="FXY2470" s="60"/>
      <c r="FXZ2470" s="60"/>
      <c r="FYA2470" s="60"/>
      <c r="FYB2470" s="60"/>
      <c r="FYC2470" s="63"/>
      <c r="FYD2470" s="61"/>
      <c r="FYE2470" s="54"/>
      <c r="FYF2470" s="54"/>
      <c r="FYG2470" s="60"/>
      <c r="FYH2470" s="60"/>
      <c r="FYI2470" s="60"/>
      <c r="FYJ2470" s="60"/>
      <c r="FYK2470" s="63"/>
      <c r="FYL2470" s="61"/>
      <c r="FYM2470" s="54"/>
      <c r="FYN2470" s="54"/>
      <c r="FYO2470" s="60"/>
      <c r="FYP2470" s="60"/>
      <c r="FYQ2470" s="60"/>
      <c r="FYR2470" s="60"/>
      <c r="FYS2470" s="63"/>
      <c r="FYT2470" s="61"/>
      <c r="FYU2470" s="54"/>
      <c r="FYV2470" s="54"/>
      <c r="FYW2470" s="60"/>
      <c r="FYX2470" s="60"/>
      <c r="FYY2470" s="60"/>
      <c r="FYZ2470" s="60"/>
      <c r="FZA2470" s="63"/>
      <c r="FZB2470" s="61"/>
      <c r="FZC2470" s="54"/>
      <c r="FZD2470" s="54"/>
      <c r="FZE2470" s="60"/>
      <c r="FZF2470" s="60"/>
      <c r="FZG2470" s="60"/>
      <c r="FZH2470" s="60"/>
      <c r="FZI2470" s="63"/>
      <c r="FZJ2470" s="61"/>
      <c r="FZK2470" s="54"/>
      <c r="FZL2470" s="54"/>
      <c r="FZM2470" s="60"/>
      <c r="FZN2470" s="60"/>
      <c r="FZO2470" s="60"/>
      <c r="FZP2470" s="60"/>
      <c r="FZQ2470" s="63"/>
      <c r="FZR2470" s="61"/>
      <c r="FZS2470" s="54"/>
      <c r="FZT2470" s="54"/>
      <c r="FZU2470" s="60"/>
      <c r="FZV2470" s="60"/>
      <c r="FZW2470" s="60"/>
      <c r="FZX2470" s="60"/>
      <c r="FZY2470" s="63"/>
      <c r="FZZ2470" s="61"/>
      <c r="GAA2470" s="54"/>
      <c r="GAB2470" s="54"/>
      <c r="GAC2470" s="60"/>
      <c r="GAD2470" s="60"/>
      <c r="GAE2470" s="60"/>
      <c r="GAF2470" s="60"/>
      <c r="GAG2470" s="63"/>
      <c r="GAH2470" s="61"/>
      <c r="GAI2470" s="54"/>
      <c r="GAJ2470" s="54"/>
      <c r="GAK2470" s="60"/>
      <c r="GAL2470" s="60"/>
      <c r="GAM2470" s="60"/>
      <c r="GAN2470" s="60"/>
      <c r="GAO2470" s="63"/>
      <c r="GAP2470" s="61"/>
      <c r="GAQ2470" s="54"/>
      <c r="GAR2470" s="54"/>
      <c r="GAS2470" s="60"/>
      <c r="GAT2470" s="60"/>
      <c r="GAU2470" s="60"/>
      <c r="GAV2470" s="60"/>
      <c r="GAW2470" s="63"/>
      <c r="GAX2470" s="61"/>
      <c r="GAY2470" s="54"/>
      <c r="GAZ2470" s="54"/>
      <c r="GBA2470" s="60"/>
      <c r="GBB2470" s="60"/>
      <c r="GBC2470" s="60"/>
      <c r="GBD2470" s="60"/>
      <c r="GBE2470" s="63"/>
      <c r="GBF2470" s="61"/>
      <c r="GBG2470" s="54"/>
      <c r="GBH2470" s="54"/>
      <c r="GBI2470" s="60"/>
      <c r="GBJ2470" s="60"/>
      <c r="GBK2470" s="60"/>
      <c r="GBL2470" s="60"/>
      <c r="GBM2470" s="63"/>
      <c r="GBN2470" s="61"/>
      <c r="GBO2470" s="54"/>
      <c r="GBP2470" s="54"/>
      <c r="GBQ2470" s="60"/>
      <c r="GBR2470" s="60"/>
      <c r="GBS2470" s="60"/>
      <c r="GBT2470" s="60"/>
      <c r="GBU2470" s="63"/>
      <c r="GBV2470" s="61"/>
      <c r="GBW2470" s="54"/>
      <c r="GBX2470" s="54"/>
      <c r="GBY2470" s="60"/>
      <c r="GBZ2470" s="60"/>
      <c r="GCA2470" s="60"/>
      <c r="GCB2470" s="60"/>
      <c r="GCC2470" s="63"/>
      <c r="GCD2470" s="61"/>
      <c r="GCE2470" s="54"/>
      <c r="GCF2470" s="54"/>
      <c r="GCG2470" s="60"/>
      <c r="GCH2470" s="60"/>
      <c r="GCI2470" s="60"/>
      <c r="GCJ2470" s="60"/>
      <c r="GCK2470" s="63"/>
      <c r="GCL2470" s="61"/>
      <c r="GCM2470" s="54"/>
      <c r="GCN2470" s="54"/>
      <c r="GCO2470" s="60"/>
      <c r="GCP2470" s="60"/>
      <c r="GCQ2470" s="60"/>
      <c r="GCR2470" s="60"/>
      <c r="GCS2470" s="63"/>
      <c r="GCT2470" s="61"/>
      <c r="GCU2470" s="54"/>
      <c r="GCV2470" s="54"/>
      <c r="GCW2470" s="60"/>
      <c r="GCX2470" s="60"/>
      <c r="GCY2470" s="60"/>
      <c r="GCZ2470" s="60"/>
      <c r="GDA2470" s="63"/>
      <c r="GDB2470" s="61"/>
      <c r="GDC2470" s="54"/>
      <c r="GDD2470" s="54"/>
      <c r="GDE2470" s="60"/>
      <c r="GDF2470" s="60"/>
      <c r="GDG2470" s="60"/>
      <c r="GDH2470" s="60"/>
      <c r="GDI2470" s="63"/>
      <c r="GDJ2470" s="61"/>
      <c r="GDK2470" s="54"/>
      <c r="GDL2470" s="54"/>
      <c r="GDM2470" s="60"/>
      <c r="GDN2470" s="60"/>
      <c r="GDO2470" s="60"/>
      <c r="GDP2470" s="60"/>
      <c r="GDQ2470" s="63"/>
      <c r="GDR2470" s="61"/>
      <c r="GDS2470" s="54"/>
      <c r="GDT2470" s="54"/>
      <c r="GDU2470" s="60"/>
      <c r="GDV2470" s="60"/>
      <c r="GDW2470" s="60"/>
      <c r="GDX2470" s="60"/>
      <c r="GDY2470" s="63"/>
      <c r="GDZ2470" s="61"/>
      <c r="GEA2470" s="54"/>
      <c r="GEB2470" s="54"/>
      <c r="GEC2470" s="60"/>
      <c r="GED2470" s="60"/>
      <c r="GEE2470" s="60"/>
      <c r="GEF2470" s="60"/>
      <c r="GEG2470" s="63"/>
      <c r="GEH2470" s="61"/>
      <c r="GEI2470" s="54"/>
      <c r="GEJ2470" s="54"/>
      <c r="GEK2470" s="60"/>
      <c r="GEL2470" s="60"/>
      <c r="GEM2470" s="60"/>
      <c r="GEN2470" s="60"/>
      <c r="GEO2470" s="63"/>
      <c r="GEP2470" s="61"/>
      <c r="GEQ2470" s="54"/>
      <c r="GER2470" s="54"/>
      <c r="GES2470" s="60"/>
      <c r="GET2470" s="60"/>
      <c r="GEU2470" s="60"/>
      <c r="GEV2470" s="60"/>
      <c r="GEW2470" s="63"/>
      <c r="GEX2470" s="61"/>
      <c r="GEY2470" s="54"/>
      <c r="GEZ2470" s="54"/>
      <c r="GFA2470" s="60"/>
      <c r="GFB2470" s="60"/>
      <c r="GFC2470" s="60"/>
      <c r="GFD2470" s="60"/>
      <c r="GFE2470" s="63"/>
      <c r="GFF2470" s="61"/>
      <c r="GFG2470" s="54"/>
      <c r="GFH2470" s="54"/>
      <c r="GFI2470" s="60"/>
      <c r="GFJ2470" s="60"/>
      <c r="GFK2470" s="60"/>
      <c r="GFL2470" s="60"/>
      <c r="GFM2470" s="63"/>
      <c r="GFN2470" s="61"/>
      <c r="GFO2470" s="54"/>
      <c r="GFP2470" s="54"/>
      <c r="GFQ2470" s="60"/>
      <c r="GFR2470" s="60"/>
      <c r="GFS2470" s="60"/>
      <c r="GFT2470" s="60"/>
      <c r="GFU2470" s="63"/>
      <c r="GFV2470" s="61"/>
      <c r="GFW2470" s="54"/>
      <c r="GFX2470" s="54"/>
      <c r="GFY2470" s="60"/>
      <c r="GFZ2470" s="60"/>
      <c r="GGA2470" s="60"/>
      <c r="GGB2470" s="60"/>
      <c r="GGC2470" s="63"/>
      <c r="GGD2470" s="61"/>
      <c r="GGE2470" s="54"/>
      <c r="GGF2470" s="54"/>
      <c r="GGG2470" s="60"/>
      <c r="GGH2470" s="60"/>
      <c r="GGI2470" s="60"/>
      <c r="GGJ2470" s="60"/>
      <c r="GGK2470" s="63"/>
      <c r="GGL2470" s="61"/>
      <c r="GGM2470" s="54"/>
      <c r="GGN2470" s="54"/>
      <c r="GGO2470" s="60"/>
      <c r="GGP2470" s="60"/>
      <c r="GGQ2470" s="60"/>
      <c r="GGR2470" s="60"/>
      <c r="GGS2470" s="63"/>
      <c r="GGT2470" s="61"/>
      <c r="GGU2470" s="54"/>
      <c r="GGV2470" s="54"/>
      <c r="GGW2470" s="60"/>
      <c r="GGX2470" s="60"/>
      <c r="GGY2470" s="60"/>
      <c r="GGZ2470" s="60"/>
      <c r="GHA2470" s="63"/>
      <c r="GHB2470" s="61"/>
      <c r="GHC2470" s="54"/>
      <c r="GHD2470" s="54"/>
      <c r="GHE2470" s="60"/>
      <c r="GHF2470" s="60"/>
      <c r="GHG2470" s="60"/>
      <c r="GHH2470" s="60"/>
      <c r="GHI2470" s="63"/>
      <c r="GHJ2470" s="61"/>
      <c r="GHK2470" s="54"/>
      <c r="GHL2470" s="54"/>
      <c r="GHM2470" s="60"/>
      <c r="GHN2470" s="60"/>
      <c r="GHO2470" s="60"/>
      <c r="GHP2470" s="60"/>
      <c r="GHQ2470" s="63"/>
      <c r="GHR2470" s="61"/>
      <c r="GHS2470" s="54"/>
      <c r="GHT2470" s="54"/>
      <c r="GHU2470" s="60"/>
      <c r="GHV2470" s="60"/>
      <c r="GHW2470" s="60"/>
      <c r="GHX2470" s="60"/>
      <c r="GHY2470" s="63"/>
      <c r="GHZ2470" s="61"/>
      <c r="GIA2470" s="54"/>
      <c r="GIB2470" s="54"/>
      <c r="GIC2470" s="60"/>
      <c r="GID2470" s="60"/>
      <c r="GIE2470" s="60"/>
      <c r="GIF2470" s="60"/>
      <c r="GIG2470" s="63"/>
      <c r="GIH2470" s="61"/>
      <c r="GII2470" s="54"/>
      <c r="GIJ2470" s="54"/>
      <c r="GIK2470" s="60"/>
      <c r="GIL2470" s="60"/>
      <c r="GIM2470" s="60"/>
      <c r="GIN2470" s="60"/>
      <c r="GIO2470" s="63"/>
      <c r="GIP2470" s="61"/>
      <c r="GIQ2470" s="54"/>
      <c r="GIR2470" s="54"/>
      <c r="GIS2470" s="60"/>
      <c r="GIT2470" s="60"/>
      <c r="GIU2470" s="60"/>
      <c r="GIV2470" s="60"/>
      <c r="GIW2470" s="63"/>
      <c r="GIX2470" s="61"/>
      <c r="GIY2470" s="54"/>
      <c r="GIZ2470" s="54"/>
      <c r="GJA2470" s="60"/>
      <c r="GJB2470" s="60"/>
      <c r="GJC2470" s="60"/>
      <c r="GJD2470" s="60"/>
      <c r="GJE2470" s="63"/>
      <c r="GJF2470" s="61"/>
      <c r="GJG2470" s="54"/>
      <c r="GJH2470" s="54"/>
      <c r="GJI2470" s="60"/>
      <c r="GJJ2470" s="60"/>
      <c r="GJK2470" s="60"/>
      <c r="GJL2470" s="60"/>
      <c r="GJM2470" s="63"/>
      <c r="GJN2470" s="61"/>
      <c r="GJO2470" s="54"/>
      <c r="GJP2470" s="54"/>
      <c r="GJQ2470" s="60"/>
      <c r="GJR2470" s="60"/>
      <c r="GJS2470" s="60"/>
      <c r="GJT2470" s="60"/>
      <c r="GJU2470" s="63"/>
      <c r="GJV2470" s="61"/>
      <c r="GJW2470" s="54"/>
      <c r="GJX2470" s="54"/>
      <c r="GJY2470" s="60"/>
      <c r="GJZ2470" s="60"/>
      <c r="GKA2470" s="60"/>
      <c r="GKB2470" s="60"/>
      <c r="GKC2470" s="63"/>
      <c r="GKD2470" s="61"/>
      <c r="GKE2470" s="54"/>
      <c r="GKF2470" s="54"/>
      <c r="GKG2470" s="60"/>
      <c r="GKH2470" s="60"/>
      <c r="GKI2470" s="60"/>
      <c r="GKJ2470" s="60"/>
      <c r="GKK2470" s="63"/>
      <c r="GKL2470" s="61"/>
      <c r="GKM2470" s="54"/>
      <c r="GKN2470" s="54"/>
      <c r="GKO2470" s="60"/>
      <c r="GKP2470" s="60"/>
      <c r="GKQ2470" s="60"/>
      <c r="GKR2470" s="60"/>
      <c r="GKS2470" s="63"/>
      <c r="GKT2470" s="61"/>
      <c r="GKU2470" s="54"/>
      <c r="GKV2470" s="54"/>
      <c r="GKW2470" s="60"/>
      <c r="GKX2470" s="60"/>
      <c r="GKY2470" s="60"/>
      <c r="GKZ2470" s="60"/>
      <c r="GLA2470" s="63"/>
      <c r="GLB2470" s="61"/>
      <c r="GLC2470" s="54"/>
      <c r="GLD2470" s="54"/>
      <c r="GLE2470" s="60"/>
      <c r="GLF2470" s="60"/>
      <c r="GLG2470" s="60"/>
      <c r="GLH2470" s="60"/>
      <c r="GLI2470" s="63"/>
      <c r="GLJ2470" s="61"/>
      <c r="GLK2470" s="54"/>
      <c r="GLL2470" s="54"/>
      <c r="GLM2470" s="60"/>
      <c r="GLN2470" s="60"/>
      <c r="GLO2470" s="60"/>
      <c r="GLP2470" s="60"/>
      <c r="GLQ2470" s="63"/>
      <c r="GLR2470" s="61"/>
      <c r="GLS2470" s="54"/>
      <c r="GLT2470" s="54"/>
      <c r="GLU2470" s="60"/>
      <c r="GLV2470" s="60"/>
      <c r="GLW2470" s="60"/>
      <c r="GLX2470" s="60"/>
      <c r="GLY2470" s="63"/>
      <c r="GLZ2470" s="61"/>
      <c r="GMA2470" s="54"/>
      <c r="GMB2470" s="54"/>
      <c r="GMC2470" s="60"/>
      <c r="GMD2470" s="60"/>
      <c r="GME2470" s="60"/>
      <c r="GMF2470" s="60"/>
      <c r="GMG2470" s="63"/>
      <c r="GMH2470" s="61"/>
      <c r="GMI2470" s="54"/>
      <c r="GMJ2470" s="54"/>
      <c r="GMK2470" s="60"/>
      <c r="GML2470" s="60"/>
      <c r="GMM2470" s="60"/>
      <c r="GMN2470" s="60"/>
      <c r="GMO2470" s="63"/>
      <c r="GMP2470" s="61"/>
      <c r="GMQ2470" s="54"/>
      <c r="GMR2470" s="54"/>
      <c r="GMS2470" s="60"/>
      <c r="GMT2470" s="60"/>
      <c r="GMU2470" s="60"/>
      <c r="GMV2470" s="60"/>
      <c r="GMW2470" s="63"/>
      <c r="GMX2470" s="61"/>
      <c r="GMY2470" s="54"/>
      <c r="GMZ2470" s="54"/>
      <c r="GNA2470" s="60"/>
      <c r="GNB2470" s="60"/>
      <c r="GNC2470" s="60"/>
      <c r="GND2470" s="60"/>
      <c r="GNE2470" s="63"/>
      <c r="GNF2470" s="61"/>
      <c r="GNG2470" s="54"/>
      <c r="GNH2470" s="54"/>
      <c r="GNI2470" s="60"/>
      <c r="GNJ2470" s="60"/>
      <c r="GNK2470" s="60"/>
      <c r="GNL2470" s="60"/>
      <c r="GNM2470" s="63"/>
      <c r="GNN2470" s="61"/>
      <c r="GNO2470" s="54"/>
      <c r="GNP2470" s="54"/>
      <c r="GNQ2470" s="60"/>
      <c r="GNR2470" s="60"/>
      <c r="GNS2470" s="60"/>
      <c r="GNT2470" s="60"/>
      <c r="GNU2470" s="63"/>
      <c r="GNV2470" s="61"/>
      <c r="GNW2470" s="54"/>
      <c r="GNX2470" s="54"/>
      <c r="GNY2470" s="60"/>
      <c r="GNZ2470" s="60"/>
      <c r="GOA2470" s="60"/>
      <c r="GOB2470" s="60"/>
      <c r="GOC2470" s="63"/>
      <c r="GOD2470" s="61"/>
      <c r="GOE2470" s="54"/>
      <c r="GOF2470" s="54"/>
      <c r="GOG2470" s="60"/>
      <c r="GOH2470" s="60"/>
      <c r="GOI2470" s="60"/>
      <c r="GOJ2470" s="60"/>
      <c r="GOK2470" s="63"/>
      <c r="GOL2470" s="61"/>
      <c r="GOM2470" s="54"/>
      <c r="GON2470" s="54"/>
      <c r="GOO2470" s="60"/>
      <c r="GOP2470" s="60"/>
      <c r="GOQ2470" s="60"/>
      <c r="GOR2470" s="60"/>
      <c r="GOS2470" s="63"/>
      <c r="GOT2470" s="61"/>
      <c r="GOU2470" s="54"/>
      <c r="GOV2470" s="54"/>
      <c r="GOW2470" s="60"/>
      <c r="GOX2470" s="60"/>
      <c r="GOY2470" s="60"/>
      <c r="GOZ2470" s="60"/>
      <c r="GPA2470" s="63"/>
      <c r="GPB2470" s="61"/>
      <c r="GPC2470" s="54"/>
      <c r="GPD2470" s="54"/>
      <c r="GPE2470" s="60"/>
      <c r="GPF2470" s="60"/>
      <c r="GPG2470" s="60"/>
      <c r="GPH2470" s="60"/>
      <c r="GPI2470" s="63"/>
      <c r="GPJ2470" s="61"/>
      <c r="GPK2470" s="54"/>
      <c r="GPL2470" s="54"/>
      <c r="GPM2470" s="60"/>
      <c r="GPN2470" s="60"/>
      <c r="GPO2470" s="60"/>
      <c r="GPP2470" s="60"/>
      <c r="GPQ2470" s="63"/>
      <c r="GPR2470" s="61"/>
      <c r="GPS2470" s="54"/>
      <c r="GPT2470" s="54"/>
      <c r="GPU2470" s="60"/>
      <c r="GPV2470" s="60"/>
      <c r="GPW2470" s="60"/>
      <c r="GPX2470" s="60"/>
      <c r="GPY2470" s="63"/>
      <c r="GPZ2470" s="61"/>
      <c r="GQA2470" s="54"/>
      <c r="GQB2470" s="54"/>
      <c r="GQC2470" s="60"/>
      <c r="GQD2470" s="60"/>
      <c r="GQE2470" s="60"/>
      <c r="GQF2470" s="60"/>
      <c r="GQG2470" s="63"/>
      <c r="GQH2470" s="61"/>
      <c r="GQI2470" s="54"/>
      <c r="GQJ2470" s="54"/>
      <c r="GQK2470" s="60"/>
      <c r="GQL2470" s="60"/>
      <c r="GQM2470" s="60"/>
      <c r="GQN2470" s="60"/>
      <c r="GQO2470" s="63"/>
      <c r="GQP2470" s="61"/>
      <c r="GQQ2470" s="54"/>
      <c r="GQR2470" s="54"/>
      <c r="GQS2470" s="60"/>
      <c r="GQT2470" s="60"/>
      <c r="GQU2470" s="60"/>
      <c r="GQV2470" s="60"/>
      <c r="GQW2470" s="63"/>
      <c r="GQX2470" s="61"/>
      <c r="GQY2470" s="54"/>
      <c r="GQZ2470" s="54"/>
      <c r="GRA2470" s="60"/>
      <c r="GRB2470" s="60"/>
      <c r="GRC2470" s="60"/>
      <c r="GRD2470" s="60"/>
      <c r="GRE2470" s="63"/>
      <c r="GRF2470" s="61"/>
      <c r="GRG2470" s="54"/>
      <c r="GRH2470" s="54"/>
      <c r="GRI2470" s="60"/>
      <c r="GRJ2470" s="60"/>
      <c r="GRK2470" s="60"/>
      <c r="GRL2470" s="60"/>
      <c r="GRM2470" s="63"/>
      <c r="GRN2470" s="61"/>
      <c r="GRO2470" s="54"/>
      <c r="GRP2470" s="54"/>
      <c r="GRQ2470" s="60"/>
      <c r="GRR2470" s="60"/>
      <c r="GRS2470" s="60"/>
      <c r="GRT2470" s="60"/>
      <c r="GRU2470" s="63"/>
      <c r="GRV2470" s="61"/>
      <c r="GRW2470" s="54"/>
      <c r="GRX2470" s="54"/>
      <c r="GRY2470" s="60"/>
      <c r="GRZ2470" s="60"/>
      <c r="GSA2470" s="60"/>
      <c r="GSB2470" s="60"/>
      <c r="GSC2470" s="63"/>
      <c r="GSD2470" s="61"/>
      <c r="GSE2470" s="54"/>
      <c r="GSF2470" s="54"/>
      <c r="GSG2470" s="60"/>
      <c r="GSH2470" s="60"/>
      <c r="GSI2470" s="60"/>
      <c r="GSJ2470" s="60"/>
      <c r="GSK2470" s="63"/>
      <c r="GSL2470" s="61"/>
      <c r="GSM2470" s="54"/>
      <c r="GSN2470" s="54"/>
      <c r="GSO2470" s="60"/>
      <c r="GSP2470" s="60"/>
      <c r="GSQ2470" s="60"/>
      <c r="GSR2470" s="60"/>
      <c r="GSS2470" s="63"/>
      <c r="GST2470" s="61"/>
      <c r="GSU2470" s="54"/>
      <c r="GSV2470" s="54"/>
      <c r="GSW2470" s="60"/>
      <c r="GSX2470" s="60"/>
      <c r="GSY2470" s="60"/>
      <c r="GSZ2470" s="60"/>
      <c r="GTA2470" s="63"/>
      <c r="GTB2470" s="61"/>
      <c r="GTC2470" s="54"/>
      <c r="GTD2470" s="54"/>
      <c r="GTE2470" s="60"/>
      <c r="GTF2470" s="60"/>
      <c r="GTG2470" s="60"/>
      <c r="GTH2470" s="60"/>
      <c r="GTI2470" s="63"/>
      <c r="GTJ2470" s="61"/>
      <c r="GTK2470" s="54"/>
      <c r="GTL2470" s="54"/>
      <c r="GTM2470" s="60"/>
      <c r="GTN2470" s="60"/>
      <c r="GTO2470" s="60"/>
      <c r="GTP2470" s="60"/>
      <c r="GTQ2470" s="63"/>
      <c r="GTR2470" s="61"/>
      <c r="GTS2470" s="54"/>
      <c r="GTT2470" s="54"/>
      <c r="GTU2470" s="60"/>
      <c r="GTV2470" s="60"/>
      <c r="GTW2470" s="60"/>
      <c r="GTX2470" s="60"/>
      <c r="GTY2470" s="63"/>
      <c r="GTZ2470" s="61"/>
      <c r="GUA2470" s="54"/>
      <c r="GUB2470" s="54"/>
      <c r="GUC2470" s="60"/>
      <c r="GUD2470" s="60"/>
      <c r="GUE2470" s="60"/>
      <c r="GUF2470" s="60"/>
      <c r="GUG2470" s="63"/>
      <c r="GUH2470" s="61"/>
      <c r="GUI2470" s="54"/>
      <c r="GUJ2470" s="54"/>
      <c r="GUK2470" s="60"/>
      <c r="GUL2470" s="60"/>
      <c r="GUM2470" s="60"/>
      <c r="GUN2470" s="60"/>
      <c r="GUO2470" s="63"/>
      <c r="GUP2470" s="61"/>
      <c r="GUQ2470" s="54"/>
      <c r="GUR2470" s="54"/>
      <c r="GUS2470" s="60"/>
      <c r="GUT2470" s="60"/>
      <c r="GUU2470" s="60"/>
      <c r="GUV2470" s="60"/>
      <c r="GUW2470" s="63"/>
      <c r="GUX2470" s="61"/>
      <c r="GUY2470" s="54"/>
      <c r="GUZ2470" s="54"/>
      <c r="GVA2470" s="60"/>
      <c r="GVB2470" s="60"/>
      <c r="GVC2470" s="60"/>
      <c r="GVD2470" s="60"/>
      <c r="GVE2470" s="63"/>
      <c r="GVF2470" s="61"/>
      <c r="GVG2470" s="54"/>
      <c r="GVH2470" s="54"/>
      <c r="GVI2470" s="60"/>
      <c r="GVJ2470" s="60"/>
      <c r="GVK2470" s="60"/>
      <c r="GVL2470" s="60"/>
      <c r="GVM2470" s="63"/>
      <c r="GVN2470" s="61"/>
      <c r="GVO2470" s="54"/>
      <c r="GVP2470" s="54"/>
      <c r="GVQ2470" s="60"/>
      <c r="GVR2470" s="60"/>
      <c r="GVS2470" s="60"/>
      <c r="GVT2470" s="60"/>
      <c r="GVU2470" s="63"/>
      <c r="GVV2470" s="61"/>
      <c r="GVW2470" s="54"/>
      <c r="GVX2470" s="54"/>
      <c r="GVY2470" s="60"/>
      <c r="GVZ2470" s="60"/>
      <c r="GWA2470" s="60"/>
      <c r="GWB2470" s="60"/>
      <c r="GWC2470" s="63"/>
      <c r="GWD2470" s="61"/>
      <c r="GWE2470" s="54"/>
      <c r="GWF2470" s="54"/>
      <c r="GWG2470" s="60"/>
      <c r="GWH2470" s="60"/>
      <c r="GWI2470" s="60"/>
      <c r="GWJ2470" s="60"/>
      <c r="GWK2470" s="63"/>
      <c r="GWL2470" s="61"/>
      <c r="GWM2470" s="54"/>
      <c r="GWN2470" s="54"/>
      <c r="GWO2470" s="60"/>
      <c r="GWP2470" s="60"/>
      <c r="GWQ2470" s="60"/>
      <c r="GWR2470" s="60"/>
      <c r="GWS2470" s="63"/>
      <c r="GWT2470" s="61"/>
      <c r="GWU2470" s="54"/>
      <c r="GWV2470" s="54"/>
      <c r="GWW2470" s="60"/>
      <c r="GWX2470" s="60"/>
      <c r="GWY2470" s="60"/>
      <c r="GWZ2470" s="60"/>
      <c r="GXA2470" s="63"/>
      <c r="GXB2470" s="61"/>
      <c r="GXC2470" s="54"/>
      <c r="GXD2470" s="54"/>
      <c r="GXE2470" s="60"/>
      <c r="GXF2470" s="60"/>
      <c r="GXG2470" s="60"/>
      <c r="GXH2470" s="60"/>
      <c r="GXI2470" s="63"/>
      <c r="GXJ2470" s="61"/>
      <c r="GXK2470" s="54"/>
      <c r="GXL2470" s="54"/>
      <c r="GXM2470" s="60"/>
      <c r="GXN2470" s="60"/>
      <c r="GXO2470" s="60"/>
      <c r="GXP2470" s="60"/>
      <c r="GXQ2470" s="63"/>
      <c r="GXR2470" s="61"/>
      <c r="GXS2470" s="54"/>
      <c r="GXT2470" s="54"/>
      <c r="GXU2470" s="60"/>
      <c r="GXV2470" s="60"/>
      <c r="GXW2470" s="60"/>
      <c r="GXX2470" s="60"/>
      <c r="GXY2470" s="63"/>
      <c r="GXZ2470" s="61"/>
      <c r="GYA2470" s="54"/>
      <c r="GYB2470" s="54"/>
      <c r="GYC2470" s="60"/>
      <c r="GYD2470" s="60"/>
      <c r="GYE2470" s="60"/>
      <c r="GYF2470" s="60"/>
      <c r="GYG2470" s="63"/>
      <c r="GYH2470" s="61"/>
      <c r="GYI2470" s="54"/>
      <c r="GYJ2470" s="54"/>
      <c r="GYK2470" s="60"/>
      <c r="GYL2470" s="60"/>
      <c r="GYM2470" s="60"/>
      <c r="GYN2470" s="60"/>
      <c r="GYO2470" s="63"/>
      <c r="GYP2470" s="61"/>
      <c r="GYQ2470" s="54"/>
      <c r="GYR2470" s="54"/>
      <c r="GYS2470" s="60"/>
      <c r="GYT2470" s="60"/>
      <c r="GYU2470" s="60"/>
      <c r="GYV2470" s="60"/>
      <c r="GYW2470" s="63"/>
      <c r="GYX2470" s="61"/>
      <c r="GYY2470" s="54"/>
      <c r="GYZ2470" s="54"/>
      <c r="GZA2470" s="60"/>
      <c r="GZB2470" s="60"/>
      <c r="GZC2470" s="60"/>
      <c r="GZD2470" s="60"/>
      <c r="GZE2470" s="63"/>
      <c r="GZF2470" s="61"/>
      <c r="GZG2470" s="54"/>
      <c r="GZH2470" s="54"/>
      <c r="GZI2470" s="60"/>
      <c r="GZJ2470" s="60"/>
      <c r="GZK2470" s="60"/>
      <c r="GZL2470" s="60"/>
      <c r="GZM2470" s="63"/>
      <c r="GZN2470" s="61"/>
      <c r="GZO2470" s="54"/>
      <c r="GZP2470" s="54"/>
      <c r="GZQ2470" s="60"/>
      <c r="GZR2470" s="60"/>
      <c r="GZS2470" s="60"/>
      <c r="GZT2470" s="60"/>
      <c r="GZU2470" s="63"/>
      <c r="GZV2470" s="61"/>
      <c r="GZW2470" s="54"/>
      <c r="GZX2470" s="54"/>
      <c r="GZY2470" s="60"/>
      <c r="GZZ2470" s="60"/>
      <c r="HAA2470" s="60"/>
      <c r="HAB2470" s="60"/>
      <c r="HAC2470" s="63"/>
      <c r="HAD2470" s="61"/>
      <c r="HAE2470" s="54"/>
      <c r="HAF2470" s="54"/>
      <c r="HAG2470" s="60"/>
      <c r="HAH2470" s="60"/>
      <c r="HAI2470" s="60"/>
      <c r="HAJ2470" s="60"/>
      <c r="HAK2470" s="63"/>
      <c r="HAL2470" s="61"/>
      <c r="HAM2470" s="54"/>
      <c r="HAN2470" s="54"/>
      <c r="HAO2470" s="60"/>
      <c r="HAP2470" s="60"/>
      <c r="HAQ2470" s="60"/>
      <c r="HAR2470" s="60"/>
      <c r="HAS2470" s="63"/>
      <c r="HAT2470" s="61"/>
      <c r="HAU2470" s="54"/>
      <c r="HAV2470" s="54"/>
      <c r="HAW2470" s="60"/>
      <c r="HAX2470" s="60"/>
      <c r="HAY2470" s="60"/>
      <c r="HAZ2470" s="60"/>
      <c r="HBA2470" s="63"/>
      <c r="HBB2470" s="61"/>
      <c r="HBC2470" s="54"/>
      <c r="HBD2470" s="54"/>
      <c r="HBE2470" s="60"/>
      <c r="HBF2470" s="60"/>
      <c r="HBG2470" s="60"/>
      <c r="HBH2470" s="60"/>
      <c r="HBI2470" s="63"/>
      <c r="HBJ2470" s="61"/>
      <c r="HBK2470" s="54"/>
      <c r="HBL2470" s="54"/>
      <c r="HBM2470" s="60"/>
      <c r="HBN2470" s="60"/>
      <c r="HBO2470" s="60"/>
      <c r="HBP2470" s="60"/>
      <c r="HBQ2470" s="63"/>
      <c r="HBR2470" s="61"/>
      <c r="HBS2470" s="54"/>
      <c r="HBT2470" s="54"/>
      <c r="HBU2470" s="60"/>
      <c r="HBV2470" s="60"/>
      <c r="HBW2470" s="60"/>
      <c r="HBX2470" s="60"/>
      <c r="HBY2470" s="63"/>
      <c r="HBZ2470" s="61"/>
      <c r="HCA2470" s="54"/>
      <c r="HCB2470" s="54"/>
      <c r="HCC2470" s="60"/>
      <c r="HCD2470" s="60"/>
      <c r="HCE2470" s="60"/>
      <c r="HCF2470" s="60"/>
      <c r="HCG2470" s="63"/>
      <c r="HCH2470" s="61"/>
      <c r="HCI2470" s="54"/>
      <c r="HCJ2470" s="54"/>
      <c r="HCK2470" s="60"/>
      <c r="HCL2470" s="60"/>
      <c r="HCM2470" s="60"/>
      <c r="HCN2470" s="60"/>
      <c r="HCO2470" s="63"/>
      <c r="HCP2470" s="61"/>
      <c r="HCQ2470" s="54"/>
      <c r="HCR2470" s="54"/>
      <c r="HCS2470" s="60"/>
      <c r="HCT2470" s="60"/>
      <c r="HCU2470" s="60"/>
      <c r="HCV2470" s="60"/>
      <c r="HCW2470" s="63"/>
      <c r="HCX2470" s="61"/>
      <c r="HCY2470" s="54"/>
      <c r="HCZ2470" s="54"/>
      <c r="HDA2470" s="60"/>
      <c r="HDB2470" s="60"/>
      <c r="HDC2470" s="60"/>
      <c r="HDD2470" s="60"/>
      <c r="HDE2470" s="63"/>
      <c r="HDF2470" s="61"/>
      <c r="HDG2470" s="54"/>
      <c r="HDH2470" s="54"/>
      <c r="HDI2470" s="60"/>
      <c r="HDJ2470" s="60"/>
      <c r="HDK2470" s="60"/>
      <c r="HDL2470" s="60"/>
      <c r="HDM2470" s="63"/>
      <c r="HDN2470" s="61"/>
      <c r="HDO2470" s="54"/>
      <c r="HDP2470" s="54"/>
      <c r="HDQ2470" s="60"/>
      <c r="HDR2470" s="60"/>
      <c r="HDS2470" s="60"/>
      <c r="HDT2470" s="60"/>
      <c r="HDU2470" s="63"/>
      <c r="HDV2470" s="61"/>
      <c r="HDW2470" s="54"/>
      <c r="HDX2470" s="54"/>
      <c r="HDY2470" s="60"/>
      <c r="HDZ2470" s="60"/>
      <c r="HEA2470" s="60"/>
      <c r="HEB2470" s="60"/>
      <c r="HEC2470" s="63"/>
      <c r="HED2470" s="61"/>
      <c r="HEE2470" s="54"/>
      <c r="HEF2470" s="54"/>
      <c r="HEG2470" s="60"/>
      <c r="HEH2470" s="60"/>
      <c r="HEI2470" s="60"/>
      <c r="HEJ2470" s="60"/>
      <c r="HEK2470" s="63"/>
      <c r="HEL2470" s="61"/>
      <c r="HEM2470" s="54"/>
      <c r="HEN2470" s="54"/>
      <c r="HEO2470" s="60"/>
      <c r="HEP2470" s="60"/>
      <c r="HEQ2470" s="60"/>
      <c r="HER2470" s="60"/>
      <c r="HES2470" s="63"/>
      <c r="HET2470" s="61"/>
      <c r="HEU2470" s="54"/>
      <c r="HEV2470" s="54"/>
      <c r="HEW2470" s="60"/>
      <c r="HEX2470" s="60"/>
      <c r="HEY2470" s="60"/>
      <c r="HEZ2470" s="60"/>
      <c r="HFA2470" s="63"/>
      <c r="HFB2470" s="61"/>
      <c r="HFC2470" s="54"/>
      <c r="HFD2470" s="54"/>
      <c r="HFE2470" s="60"/>
      <c r="HFF2470" s="60"/>
      <c r="HFG2470" s="60"/>
      <c r="HFH2470" s="60"/>
      <c r="HFI2470" s="63"/>
      <c r="HFJ2470" s="61"/>
      <c r="HFK2470" s="54"/>
      <c r="HFL2470" s="54"/>
      <c r="HFM2470" s="60"/>
      <c r="HFN2470" s="60"/>
      <c r="HFO2470" s="60"/>
      <c r="HFP2470" s="60"/>
      <c r="HFQ2470" s="63"/>
      <c r="HFR2470" s="61"/>
      <c r="HFS2470" s="54"/>
      <c r="HFT2470" s="54"/>
      <c r="HFU2470" s="60"/>
      <c r="HFV2470" s="60"/>
      <c r="HFW2470" s="60"/>
      <c r="HFX2470" s="60"/>
      <c r="HFY2470" s="63"/>
      <c r="HFZ2470" s="61"/>
      <c r="HGA2470" s="54"/>
      <c r="HGB2470" s="54"/>
      <c r="HGC2470" s="60"/>
      <c r="HGD2470" s="60"/>
      <c r="HGE2470" s="60"/>
      <c r="HGF2470" s="60"/>
      <c r="HGG2470" s="63"/>
      <c r="HGH2470" s="61"/>
      <c r="HGI2470" s="54"/>
      <c r="HGJ2470" s="54"/>
      <c r="HGK2470" s="60"/>
      <c r="HGL2470" s="60"/>
      <c r="HGM2470" s="60"/>
      <c r="HGN2470" s="60"/>
      <c r="HGO2470" s="63"/>
      <c r="HGP2470" s="61"/>
      <c r="HGQ2470" s="54"/>
      <c r="HGR2470" s="54"/>
      <c r="HGS2470" s="60"/>
      <c r="HGT2470" s="60"/>
      <c r="HGU2470" s="60"/>
      <c r="HGV2470" s="60"/>
      <c r="HGW2470" s="63"/>
      <c r="HGX2470" s="61"/>
      <c r="HGY2470" s="54"/>
      <c r="HGZ2470" s="54"/>
      <c r="HHA2470" s="60"/>
      <c r="HHB2470" s="60"/>
      <c r="HHC2470" s="60"/>
      <c r="HHD2470" s="60"/>
      <c r="HHE2470" s="63"/>
      <c r="HHF2470" s="61"/>
      <c r="HHG2470" s="54"/>
      <c r="HHH2470" s="54"/>
      <c r="HHI2470" s="60"/>
      <c r="HHJ2470" s="60"/>
      <c r="HHK2470" s="60"/>
      <c r="HHL2470" s="60"/>
      <c r="HHM2470" s="63"/>
      <c r="HHN2470" s="61"/>
      <c r="HHO2470" s="54"/>
      <c r="HHP2470" s="54"/>
      <c r="HHQ2470" s="60"/>
      <c r="HHR2470" s="60"/>
      <c r="HHS2470" s="60"/>
      <c r="HHT2470" s="60"/>
      <c r="HHU2470" s="63"/>
      <c r="HHV2470" s="61"/>
      <c r="HHW2470" s="54"/>
      <c r="HHX2470" s="54"/>
      <c r="HHY2470" s="60"/>
      <c r="HHZ2470" s="60"/>
      <c r="HIA2470" s="60"/>
      <c r="HIB2470" s="60"/>
      <c r="HIC2470" s="63"/>
      <c r="HID2470" s="61"/>
      <c r="HIE2470" s="54"/>
      <c r="HIF2470" s="54"/>
      <c r="HIG2470" s="60"/>
      <c r="HIH2470" s="60"/>
      <c r="HII2470" s="60"/>
      <c r="HIJ2470" s="60"/>
      <c r="HIK2470" s="63"/>
      <c r="HIL2470" s="61"/>
      <c r="HIM2470" s="54"/>
      <c r="HIN2470" s="54"/>
      <c r="HIO2470" s="60"/>
      <c r="HIP2470" s="60"/>
      <c r="HIQ2470" s="60"/>
      <c r="HIR2470" s="60"/>
      <c r="HIS2470" s="63"/>
      <c r="HIT2470" s="61"/>
      <c r="HIU2470" s="54"/>
      <c r="HIV2470" s="54"/>
      <c r="HIW2470" s="60"/>
      <c r="HIX2470" s="60"/>
      <c r="HIY2470" s="60"/>
      <c r="HIZ2470" s="60"/>
      <c r="HJA2470" s="63"/>
      <c r="HJB2470" s="61"/>
      <c r="HJC2470" s="54"/>
      <c r="HJD2470" s="54"/>
      <c r="HJE2470" s="60"/>
      <c r="HJF2470" s="60"/>
      <c r="HJG2470" s="60"/>
      <c r="HJH2470" s="60"/>
      <c r="HJI2470" s="63"/>
      <c r="HJJ2470" s="61"/>
      <c r="HJK2470" s="54"/>
      <c r="HJL2470" s="54"/>
      <c r="HJM2470" s="60"/>
      <c r="HJN2470" s="60"/>
      <c r="HJO2470" s="60"/>
      <c r="HJP2470" s="60"/>
      <c r="HJQ2470" s="63"/>
      <c r="HJR2470" s="61"/>
      <c r="HJS2470" s="54"/>
      <c r="HJT2470" s="54"/>
      <c r="HJU2470" s="60"/>
      <c r="HJV2470" s="60"/>
      <c r="HJW2470" s="60"/>
      <c r="HJX2470" s="60"/>
      <c r="HJY2470" s="63"/>
      <c r="HJZ2470" s="61"/>
      <c r="HKA2470" s="54"/>
      <c r="HKB2470" s="54"/>
      <c r="HKC2470" s="60"/>
      <c r="HKD2470" s="60"/>
      <c r="HKE2470" s="60"/>
      <c r="HKF2470" s="60"/>
      <c r="HKG2470" s="63"/>
      <c r="HKH2470" s="61"/>
      <c r="HKI2470" s="54"/>
      <c r="HKJ2470" s="54"/>
      <c r="HKK2470" s="60"/>
      <c r="HKL2470" s="60"/>
      <c r="HKM2470" s="60"/>
      <c r="HKN2470" s="60"/>
      <c r="HKO2470" s="63"/>
      <c r="HKP2470" s="61"/>
      <c r="HKQ2470" s="54"/>
      <c r="HKR2470" s="54"/>
      <c r="HKS2470" s="60"/>
      <c r="HKT2470" s="60"/>
      <c r="HKU2470" s="60"/>
      <c r="HKV2470" s="60"/>
      <c r="HKW2470" s="63"/>
      <c r="HKX2470" s="61"/>
      <c r="HKY2470" s="54"/>
      <c r="HKZ2470" s="54"/>
      <c r="HLA2470" s="60"/>
      <c r="HLB2470" s="60"/>
      <c r="HLC2470" s="60"/>
      <c r="HLD2470" s="60"/>
      <c r="HLE2470" s="63"/>
      <c r="HLF2470" s="61"/>
      <c r="HLG2470" s="54"/>
      <c r="HLH2470" s="54"/>
      <c r="HLI2470" s="60"/>
      <c r="HLJ2470" s="60"/>
      <c r="HLK2470" s="60"/>
      <c r="HLL2470" s="60"/>
      <c r="HLM2470" s="63"/>
      <c r="HLN2470" s="61"/>
      <c r="HLO2470" s="54"/>
      <c r="HLP2470" s="54"/>
      <c r="HLQ2470" s="60"/>
      <c r="HLR2470" s="60"/>
      <c r="HLS2470" s="60"/>
      <c r="HLT2470" s="60"/>
      <c r="HLU2470" s="63"/>
      <c r="HLV2470" s="61"/>
      <c r="HLW2470" s="54"/>
      <c r="HLX2470" s="54"/>
      <c r="HLY2470" s="60"/>
      <c r="HLZ2470" s="60"/>
      <c r="HMA2470" s="60"/>
      <c r="HMB2470" s="60"/>
      <c r="HMC2470" s="63"/>
      <c r="HMD2470" s="61"/>
      <c r="HME2470" s="54"/>
      <c r="HMF2470" s="54"/>
      <c r="HMG2470" s="60"/>
      <c r="HMH2470" s="60"/>
      <c r="HMI2470" s="60"/>
      <c r="HMJ2470" s="60"/>
      <c r="HMK2470" s="63"/>
      <c r="HML2470" s="61"/>
      <c r="HMM2470" s="54"/>
      <c r="HMN2470" s="54"/>
      <c r="HMO2470" s="60"/>
      <c r="HMP2470" s="60"/>
      <c r="HMQ2470" s="60"/>
      <c r="HMR2470" s="60"/>
      <c r="HMS2470" s="63"/>
      <c r="HMT2470" s="61"/>
      <c r="HMU2470" s="54"/>
      <c r="HMV2470" s="54"/>
      <c r="HMW2470" s="60"/>
      <c r="HMX2470" s="60"/>
      <c r="HMY2470" s="60"/>
      <c r="HMZ2470" s="60"/>
      <c r="HNA2470" s="63"/>
      <c r="HNB2470" s="61"/>
      <c r="HNC2470" s="54"/>
      <c r="HND2470" s="54"/>
      <c r="HNE2470" s="60"/>
      <c r="HNF2470" s="60"/>
      <c r="HNG2470" s="60"/>
      <c r="HNH2470" s="60"/>
      <c r="HNI2470" s="63"/>
      <c r="HNJ2470" s="61"/>
      <c r="HNK2470" s="54"/>
      <c r="HNL2470" s="54"/>
      <c r="HNM2470" s="60"/>
      <c r="HNN2470" s="60"/>
      <c r="HNO2470" s="60"/>
      <c r="HNP2470" s="60"/>
      <c r="HNQ2470" s="63"/>
      <c r="HNR2470" s="61"/>
      <c r="HNS2470" s="54"/>
      <c r="HNT2470" s="54"/>
      <c r="HNU2470" s="60"/>
      <c r="HNV2470" s="60"/>
      <c r="HNW2470" s="60"/>
      <c r="HNX2470" s="60"/>
      <c r="HNY2470" s="63"/>
      <c r="HNZ2470" s="61"/>
      <c r="HOA2470" s="54"/>
      <c r="HOB2470" s="54"/>
      <c r="HOC2470" s="60"/>
      <c r="HOD2470" s="60"/>
      <c r="HOE2470" s="60"/>
      <c r="HOF2470" s="60"/>
      <c r="HOG2470" s="63"/>
      <c r="HOH2470" s="61"/>
      <c r="HOI2470" s="54"/>
      <c r="HOJ2470" s="54"/>
      <c r="HOK2470" s="60"/>
      <c r="HOL2470" s="60"/>
      <c r="HOM2470" s="60"/>
      <c r="HON2470" s="60"/>
      <c r="HOO2470" s="63"/>
      <c r="HOP2470" s="61"/>
      <c r="HOQ2470" s="54"/>
      <c r="HOR2470" s="54"/>
      <c r="HOS2470" s="60"/>
      <c r="HOT2470" s="60"/>
      <c r="HOU2470" s="60"/>
      <c r="HOV2470" s="60"/>
      <c r="HOW2470" s="63"/>
      <c r="HOX2470" s="61"/>
      <c r="HOY2470" s="54"/>
      <c r="HOZ2470" s="54"/>
      <c r="HPA2470" s="60"/>
      <c r="HPB2470" s="60"/>
      <c r="HPC2470" s="60"/>
      <c r="HPD2470" s="60"/>
      <c r="HPE2470" s="63"/>
      <c r="HPF2470" s="61"/>
      <c r="HPG2470" s="54"/>
      <c r="HPH2470" s="54"/>
      <c r="HPI2470" s="60"/>
      <c r="HPJ2470" s="60"/>
      <c r="HPK2470" s="60"/>
      <c r="HPL2470" s="60"/>
      <c r="HPM2470" s="63"/>
      <c r="HPN2470" s="61"/>
      <c r="HPO2470" s="54"/>
      <c r="HPP2470" s="54"/>
      <c r="HPQ2470" s="60"/>
      <c r="HPR2470" s="60"/>
      <c r="HPS2470" s="60"/>
      <c r="HPT2470" s="60"/>
      <c r="HPU2470" s="63"/>
      <c r="HPV2470" s="61"/>
      <c r="HPW2470" s="54"/>
      <c r="HPX2470" s="54"/>
      <c r="HPY2470" s="60"/>
      <c r="HPZ2470" s="60"/>
      <c r="HQA2470" s="60"/>
      <c r="HQB2470" s="60"/>
      <c r="HQC2470" s="63"/>
      <c r="HQD2470" s="61"/>
      <c r="HQE2470" s="54"/>
      <c r="HQF2470" s="54"/>
      <c r="HQG2470" s="60"/>
      <c r="HQH2470" s="60"/>
      <c r="HQI2470" s="60"/>
      <c r="HQJ2470" s="60"/>
      <c r="HQK2470" s="63"/>
      <c r="HQL2470" s="61"/>
      <c r="HQM2470" s="54"/>
      <c r="HQN2470" s="54"/>
      <c r="HQO2470" s="60"/>
      <c r="HQP2470" s="60"/>
      <c r="HQQ2470" s="60"/>
      <c r="HQR2470" s="60"/>
      <c r="HQS2470" s="63"/>
      <c r="HQT2470" s="61"/>
      <c r="HQU2470" s="54"/>
      <c r="HQV2470" s="54"/>
      <c r="HQW2470" s="60"/>
      <c r="HQX2470" s="60"/>
      <c r="HQY2470" s="60"/>
      <c r="HQZ2470" s="60"/>
      <c r="HRA2470" s="63"/>
      <c r="HRB2470" s="61"/>
      <c r="HRC2470" s="54"/>
      <c r="HRD2470" s="54"/>
      <c r="HRE2470" s="60"/>
      <c r="HRF2470" s="60"/>
      <c r="HRG2470" s="60"/>
      <c r="HRH2470" s="60"/>
      <c r="HRI2470" s="63"/>
      <c r="HRJ2470" s="61"/>
      <c r="HRK2470" s="54"/>
      <c r="HRL2470" s="54"/>
      <c r="HRM2470" s="60"/>
      <c r="HRN2470" s="60"/>
      <c r="HRO2470" s="60"/>
      <c r="HRP2470" s="60"/>
      <c r="HRQ2470" s="63"/>
      <c r="HRR2470" s="61"/>
      <c r="HRS2470" s="54"/>
      <c r="HRT2470" s="54"/>
      <c r="HRU2470" s="60"/>
      <c r="HRV2470" s="60"/>
      <c r="HRW2470" s="60"/>
      <c r="HRX2470" s="60"/>
      <c r="HRY2470" s="63"/>
      <c r="HRZ2470" s="61"/>
      <c r="HSA2470" s="54"/>
      <c r="HSB2470" s="54"/>
      <c r="HSC2470" s="60"/>
      <c r="HSD2470" s="60"/>
      <c r="HSE2470" s="60"/>
      <c r="HSF2470" s="60"/>
      <c r="HSG2470" s="63"/>
      <c r="HSH2470" s="61"/>
      <c r="HSI2470" s="54"/>
      <c r="HSJ2470" s="54"/>
      <c r="HSK2470" s="60"/>
      <c r="HSL2470" s="60"/>
      <c r="HSM2470" s="60"/>
      <c r="HSN2470" s="60"/>
      <c r="HSO2470" s="63"/>
      <c r="HSP2470" s="61"/>
      <c r="HSQ2470" s="54"/>
      <c r="HSR2470" s="54"/>
      <c r="HSS2470" s="60"/>
      <c r="HST2470" s="60"/>
      <c r="HSU2470" s="60"/>
      <c r="HSV2470" s="60"/>
      <c r="HSW2470" s="63"/>
      <c r="HSX2470" s="61"/>
      <c r="HSY2470" s="54"/>
      <c r="HSZ2470" s="54"/>
      <c r="HTA2470" s="60"/>
      <c r="HTB2470" s="60"/>
      <c r="HTC2470" s="60"/>
      <c r="HTD2470" s="60"/>
      <c r="HTE2470" s="63"/>
      <c r="HTF2470" s="61"/>
      <c r="HTG2470" s="54"/>
      <c r="HTH2470" s="54"/>
      <c r="HTI2470" s="60"/>
      <c r="HTJ2470" s="60"/>
      <c r="HTK2470" s="60"/>
      <c r="HTL2470" s="60"/>
      <c r="HTM2470" s="63"/>
      <c r="HTN2470" s="61"/>
      <c r="HTO2470" s="54"/>
      <c r="HTP2470" s="54"/>
      <c r="HTQ2470" s="60"/>
      <c r="HTR2470" s="60"/>
      <c r="HTS2470" s="60"/>
      <c r="HTT2470" s="60"/>
      <c r="HTU2470" s="63"/>
      <c r="HTV2470" s="61"/>
      <c r="HTW2470" s="54"/>
      <c r="HTX2470" s="54"/>
      <c r="HTY2470" s="60"/>
      <c r="HTZ2470" s="60"/>
      <c r="HUA2470" s="60"/>
      <c r="HUB2470" s="60"/>
      <c r="HUC2470" s="63"/>
      <c r="HUD2470" s="61"/>
      <c r="HUE2470" s="54"/>
      <c r="HUF2470" s="54"/>
      <c r="HUG2470" s="60"/>
      <c r="HUH2470" s="60"/>
      <c r="HUI2470" s="60"/>
      <c r="HUJ2470" s="60"/>
      <c r="HUK2470" s="63"/>
      <c r="HUL2470" s="61"/>
      <c r="HUM2470" s="54"/>
      <c r="HUN2470" s="54"/>
      <c r="HUO2470" s="60"/>
      <c r="HUP2470" s="60"/>
      <c r="HUQ2470" s="60"/>
      <c r="HUR2470" s="60"/>
      <c r="HUS2470" s="63"/>
      <c r="HUT2470" s="61"/>
      <c r="HUU2470" s="54"/>
      <c r="HUV2470" s="54"/>
      <c r="HUW2470" s="60"/>
      <c r="HUX2470" s="60"/>
      <c r="HUY2470" s="60"/>
      <c r="HUZ2470" s="60"/>
      <c r="HVA2470" s="63"/>
      <c r="HVB2470" s="61"/>
      <c r="HVC2470" s="54"/>
      <c r="HVD2470" s="54"/>
      <c r="HVE2470" s="60"/>
      <c r="HVF2470" s="60"/>
      <c r="HVG2470" s="60"/>
      <c r="HVH2470" s="60"/>
      <c r="HVI2470" s="63"/>
      <c r="HVJ2470" s="61"/>
      <c r="HVK2470" s="54"/>
      <c r="HVL2470" s="54"/>
      <c r="HVM2470" s="60"/>
      <c r="HVN2470" s="60"/>
      <c r="HVO2470" s="60"/>
      <c r="HVP2470" s="60"/>
      <c r="HVQ2470" s="63"/>
      <c r="HVR2470" s="61"/>
      <c r="HVS2470" s="54"/>
      <c r="HVT2470" s="54"/>
      <c r="HVU2470" s="60"/>
      <c r="HVV2470" s="60"/>
      <c r="HVW2470" s="60"/>
      <c r="HVX2470" s="60"/>
      <c r="HVY2470" s="63"/>
      <c r="HVZ2470" s="61"/>
      <c r="HWA2470" s="54"/>
      <c r="HWB2470" s="54"/>
      <c r="HWC2470" s="60"/>
      <c r="HWD2470" s="60"/>
      <c r="HWE2470" s="60"/>
      <c r="HWF2470" s="60"/>
      <c r="HWG2470" s="63"/>
      <c r="HWH2470" s="61"/>
      <c r="HWI2470" s="54"/>
      <c r="HWJ2470" s="54"/>
      <c r="HWK2470" s="60"/>
      <c r="HWL2470" s="60"/>
      <c r="HWM2470" s="60"/>
      <c r="HWN2470" s="60"/>
      <c r="HWO2470" s="63"/>
      <c r="HWP2470" s="61"/>
      <c r="HWQ2470" s="54"/>
      <c r="HWR2470" s="54"/>
      <c r="HWS2470" s="60"/>
      <c r="HWT2470" s="60"/>
      <c r="HWU2470" s="60"/>
      <c r="HWV2470" s="60"/>
      <c r="HWW2470" s="63"/>
      <c r="HWX2470" s="61"/>
      <c r="HWY2470" s="54"/>
      <c r="HWZ2470" s="54"/>
      <c r="HXA2470" s="60"/>
      <c r="HXB2470" s="60"/>
      <c r="HXC2470" s="60"/>
      <c r="HXD2470" s="60"/>
      <c r="HXE2470" s="63"/>
      <c r="HXF2470" s="61"/>
      <c r="HXG2470" s="54"/>
      <c r="HXH2470" s="54"/>
      <c r="HXI2470" s="60"/>
      <c r="HXJ2470" s="60"/>
      <c r="HXK2470" s="60"/>
      <c r="HXL2470" s="60"/>
      <c r="HXM2470" s="63"/>
      <c r="HXN2470" s="61"/>
      <c r="HXO2470" s="54"/>
      <c r="HXP2470" s="54"/>
      <c r="HXQ2470" s="60"/>
      <c r="HXR2470" s="60"/>
      <c r="HXS2470" s="60"/>
      <c r="HXT2470" s="60"/>
      <c r="HXU2470" s="63"/>
      <c r="HXV2470" s="61"/>
      <c r="HXW2470" s="54"/>
      <c r="HXX2470" s="54"/>
      <c r="HXY2470" s="60"/>
      <c r="HXZ2470" s="60"/>
      <c r="HYA2470" s="60"/>
      <c r="HYB2470" s="60"/>
      <c r="HYC2470" s="63"/>
      <c r="HYD2470" s="61"/>
      <c r="HYE2470" s="54"/>
      <c r="HYF2470" s="54"/>
      <c r="HYG2470" s="60"/>
      <c r="HYH2470" s="60"/>
      <c r="HYI2470" s="60"/>
      <c r="HYJ2470" s="60"/>
      <c r="HYK2470" s="63"/>
      <c r="HYL2470" s="61"/>
      <c r="HYM2470" s="54"/>
      <c r="HYN2470" s="54"/>
      <c r="HYO2470" s="60"/>
      <c r="HYP2470" s="60"/>
      <c r="HYQ2470" s="60"/>
      <c r="HYR2470" s="60"/>
      <c r="HYS2470" s="63"/>
      <c r="HYT2470" s="61"/>
      <c r="HYU2470" s="54"/>
      <c r="HYV2470" s="54"/>
      <c r="HYW2470" s="60"/>
      <c r="HYX2470" s="60"/>
      <c r="HYY2470" s="60"/>
      <c r="HYZ2470" s="60"/>
      <c r="HZA2470" s="63"/>
      <c r="HZB2470" s="61"/>
      <c r="HZC2470" s="54"/>
      <c r="HZD2470" s="54"/>
      <c r="HZE2470" s="60"/>
      <c r="HZF2470" s="60"/>
      <c r="HZG2470" s="60"/>
      <c r="HZH2470" s="60"/>
      <c r="HZI2470" s="63"/>
      <c r="HZJ2470" s="61"/>
      <c r="HZK2470" s="54"/>
      <c r="HZL2470" s="54"/>
      <c r="HZM2470" s="60"/>
      <c r="HZN2470" s="60"/>
      <c r="HZO2470" s="60"/>
      <c r="HZP2470" s="60"/>
      <c r="HZQ2470" s="63"/>
      <c r="HZR2470" s="61"/>
      <c r="HZS2470" s="54"/>
      <c r="HZT2470" s="54"/>
      <c r="HZU2470" s="60"/>
      <c r="HZV2470" s="60"/>
      <c r="HZW2470" s="60"/>
      <c r="HZX2470" s="60"/>
      <c r="HZY2470" s="63"/>
      <c r="HZZ2470" s="61"/>
      <c r="IAA2470" s="54"/>
      <c r="IAB2470" s="54"/>
      <c r="IAC2470" s="60"/>
      <c r="IAD2470" s="60"/>
      <c r="IAE2470" s="60"/>
      <c r="IAF2470" s="60"/>
      <c r="IAG2470" s="63"/>
      <c r="IAH2470" s="61"/>
      <c r="IAI2470" s="54"/>
      <c r="IAJ2470" s="54"/>
      <c r="IAK2470" s="60"/>
      <c r="IAL2470" s="60"/>
      <c r="IAM2470" s="60"/>
      <c r="IAN2470" s="60"/>
      <c r="IAO2470" s="63"/>
      <c r="IAP2470" s="61"/>
      <c r="IAQ2470" s="54"/>
      <c r="IAR2470" s="54"/>
      <c r="IAS2470" s="60"/>
      <c r="IAT2470" s="60"/>
      <c r="IAU2470" s="60"/>
      <c r="IAV2470" s="60"/>
      <c r="IAW2470" s="63"/>
      <c r="IAX2470" s="61"/>
      <c r="IAY2470" s="54"/>
      <c r="IAZ2470" s="54"/>
      <c r="IBA2470" s="60"/>
      <c r="IBB2470" s="60"/>
      <c r="IBC2470" s="60"/>
      <c r="IBD2470" s="60"/>
      <c r="IBE2470" s="63"/>
      <c r="IBF2470" s="61"/>
      <c r="IBG2470" s="54"/>
      <c r="IBH2470" s="54"/>
      <c r="IBI2470" s="60"/>
      <c r="IBJ2470" s="60"/>
      <c r="IBK2470" s="60"/>
      <c r="IBL2470" s="60"/>
      <c r="IBM2470" s="63"/>
      <c r="IBN2470" s="61"/>
      <c r="IBO2470" s="54"/>
      <c r="IBP2470" s="54"/>
      <c r="IBQ2470" s="60"/>
      <c r="IBR2470" s="60"/>
      <c r="IBS2470" s="60"/>
      <c r="IBT2470" s="60"/>
      <c r="IBU2470" s="63"/>
      <c r="IBV2470" s="61"/>
      <c r="IBW2470" s="54"/>
      <c r="IBX2470" s="54"/>
      <c r="IBY2470" s="60"/>
      <c r="IBZ2470" s="60"/>
      <c r="ICA2470" s="60"/>
      <c r="ICB2470" s="60"/>
      <c r="ICC2470" s="63"/>
      <c r="ICD2470" s="61"/>
      <c r="ICE2470" s="54"/>
      <c r="ICF2470" s="54"/>
      <c r="ICG2470" s="60"/>
      <c r="ICH2470" s="60"/>
      <c r="ICI2470" s="60"/>
      <c r="ICJ2470" s="60"/>
      <c r="ICK2470" s="63"/>
      <c r="ICL2470" s="61"/>
      <c r="ICM2470" s="54"/>
      <c r="ICN2470" s="54"/>
      <c r="ICO2470" s="60"/>
      <c r="ICP2470" s="60"/>
      <c r="ICQ2470" s="60"/>
      <c r="ICR2470" s="60"/>
      <c r="ICS2470" s="63"/>
      <c r="ICT2470" s="61"/>
      <c r="ICU2470" s="54"/>
      <c r="ICV2470" s="54"/>
      <c r="ICW2470" s="60"/>
      <c r="ICX2470" s="60"/>
      <c r="ICY2470" s="60"/>
      <c r="ICZ2470" s="60"/>
      <c r="IDA2470" s="63"/>
      <c r="IDB2470" s="61"/>
      <c r="IDC2470" s="54"/>
      <c r="IDD2470" s="54"/>
      <c r="IDE2470" s="60"/>
      <c r="IDF2470" s="60"/>
      <c r="IDG2470" s="60"/>
      <c r="IDH2470" s="60"/>
      <c r="IDI2470" s="63"/>
      <c r="IDJ2470" s="61"/>
      <c r="IDK2470" s="54"/>
      <c r="IDL2470" s="54"/>
      <c r="IDM2470" s="60"/>
      <c r="IDN2470" s="60"/>
      <c r="IDO2470" s="60"/>
      <c r="IDP2470" s="60"/>
      <c r="IDQ2470" s="63"/>
      <c r="IDR2470" s="61"/>
      <c r="IDS2470" s="54"/>
      <c r="IDT2470" s="54"/>
      <c r="IDU2470" s="60"/>
      <c r="IDV2470" s="60"/>
      <c r="IDW2470" s="60"/>
      <c r="IDX2470" s="60"/>
      <c r="IDY2470" s="63"/>
      <c r="IDZ2470" s="61"/>
      <c r="IEA2470" s="54"/>
      <c r="IEB2470" s="54"/>
      <c r="IEC2470" s="60"/>
      <c r="IED2470" s="60"/>
      <c r="IEE2470" s="60"/>
      <c r="IEF2470" s="60"/>
      <c r="IEG2470" s="63"/>
      <c r="IEH2470" s="61"/>
      <c r="IEI2470" s="54"/>
      <c r="IEJ2470" s="54"/>
      <c r="IEK2470" s="60"/>
      <c r="IEL2470" s="60"/>
      <c r="IEM2470" s="60"/>
      <c r="IEN2470" s="60"/>
      <c r="IEO2470" s="63"/>
      <c r="IEP2470" s="61"/>
      <c r="IEQ2470" s="54"/>
      <c r="IER2470" s="54"/>
      <c r="IES2470" s="60"/>
      <c r="IET2470" s="60"/>
      <c r="IEU2470" s="60"/>
      <c r="IEV2470" s="60"/>
      <c r="IEW2470" s="63"/>
      <c r="IEX2470" s="61"/>
      <c r="IEY2470" s="54"/>
      <c r="IEZ2470" s="54"/>
      <c r="IFA2470" s="60"/>
      <c r="IFB2470" s="60"/>
      <c r="IFC2470" s="60"/>
      <c r="IFD2470" s="60"/>
      <c r="IFE2470" s="63"/>
      <c r="IFF2470" s="61"/>
      <c r="IFG2470" s="54"/>
      <c r="IFH2470" s="54"/>
      <c r="IFI2470" s="60"/>
      <c r="IFJ2470" s="60"/>
      <c r="IFK2470" s="60"/>
      <c r="IFL2470" s="60"/>
      <c r="IFM2470" s="63"/>
      <c r="IFN2470" s="61"/>
      <c r="IFO2470" s="54"/>
      <c r="IFP2470" s="54"/>
      <c r="IFQ2470" s="60"/>
      <c r="IFR2470" s="60"/>
      <c r="IFS2470" s="60"/>
      <c r="IFT2470" s="60"/>
      <c r="IFU2470" s="63"/>
      <c r="IFV2470" s="61"/>
      <c r="IFW2470" s="54"/>
      <c r="IFX2470" s="54"/>
      <c r="IFY2470" s="60"/>
      <c r="IFZ2470" s="60"/>
      <c r="IGA2470" s="60"/>
      <c r="IGB2470" s="60"/>
      <c r="IGC2470" s="63"/>
      <c r="IGD2470" s="61"/>
      <c r="IGE2470" s="54"/>
      <c r="IGF2470" s="54"/>
      <c r="IGG2470" s="60"/>
      <c r="IGH2470" s="60"/>
      <c r="IGI2470" s="60"/>
      <c r="IGJ2470" s="60"/>
      <c r="IGK2470" s="63"/>
      <c r="IGL2470" s="61"/>
      <c r="IGM2470" s="54"/>
      <c r="IGN2470" s="54"/>
      <c r="IGO2470" s="60"/>
      <c r="IGP2470" s="60"/>
      <c r="IGQ2470" s="60"/>
      <c r="IGR2470" s="60"/>
      <c r="IGS2470" s="63"/>
      <c r="IGT2470" s="61"/>
      <c r="IGU2470" s="54"/>
      <c r="IGV2470" s="54"/>
      <c r="IGW2470" s="60"/>
      <c r="IGX2470" s="60"/>
      <c r="IGY2470" s="60"/>
      <c r="IGZ2470" s="60"/>
      <c r="IHA2470" s="63"/>
      <c r="IHB2470" s="61"/>
      <c r="IHC2470" s="54"/>
      <c r="IHD2470" s="54"/>
      <c r="IHE2470" s="60"/>
      <c r="IHF2470" s="60"/>
      <c r="IHG2470" s="60"/>
      <c r="IHH2470" s="60"/>
      <c r="IHI2470" s="63"/>
      <c r="IHJ2470" s="61"/>
      <c r="IHK2470" s="54"/>
      <c r="IHL2470" s="54"/>
      <c r="IHM2470" s="60"/>
      <c r="IHN2470" s="60"/>
      <c r="IHO2470" s="60"/>
      <c r="IHP2470" s="60"/>
      <c r="IHQ2470" s="63"/>
      <c r="IHR2470" s="61"/>
      <c r="IHS2470" s="54"/>
      <c r="IHT2470" s="54"/>
      <c r="IHU2470" s="60"/>
      <c r="IHV2470" s="60"/>
      <c r="IHW2470" s="60"/>
      <c r="IHX2470" s="60"/>
      <c r="IHY2470" s="63"/>
      <c r="IHZ2470" s="61"/>
      <c r="IIA2470" s="54"/>
      <c r="IIB2470" s="54"/>
      <c r="IIC2470" s="60"/>
      <c r="IID2470" s="60"/>
      <c r="IIE2470" s="60"/>
      <c r="IIF2470" s="60"/>
      <c r="IIG2470" s="63"/>
      <c r="IIH2470" s="61"/>
      <c r="III2470" s="54"/>
      <c r="IIJ2470" s="54"/>
      <c r="IIK2470" s="60"/>
      <c r="IIL2470" s="60"/>
      <c r="IIM2470" s="60"/>
      <c r="IIN2470" s="60"/>
      <c r="IIO2470" s="63"/>
      <c r="IIP2470" s="61"/>
      <c r="IIQ2470" s="54"/>
      <c r="IIR2470" s="54"/>
      <c r="IIS2470" s="60"/>
      <c r="IIT2470" s="60"/>
      <c r="IIU2470" s="60"/>
      <c r="IIV2470" s="60"/>
      <c r="IIW2470" s="63"/>
      <c r="IIX2470" s="61"/>
      <c r="IIY2470" s="54"/>
      <c r="IIZ2470" s="54"/>
      <c r="IJA2470" s="60"/>
      <c r="IJB2470" s="60"/>
      <c r="IJC2470" s="60"/>
      <c r="IJD2470" s="60"/>
      <c r="IJE2470" s="63"/>
      <c r="IJF2470" s="61"/>
      <c r="IJG2470" s="54"/>
      <c r="IJH2470" s="54"/>
      <c r="IJI2470" s="60"/>
      <c r="IJJ2470" s="60"/>
      <c r="IJK2470" s="60"/>
      <c r="IJL2470" s="60"/>
      <c r="IJM2470" s="63"/>
      <c r="IJN2470" s="61"/>
      <c r="IJO2470" s="54"/>
      <c r="IJP2470" s="54"/>
      <c r="IJQ2470" s="60"/>
      <c r="IJR2470" s="60"/>
      <c r="IJS2470" s="60"/>
      <c r="IJT2470" s="60"/>
      <c r="IJU2470" s="63"/>
      <c r="IJV2470" s="61"/>
      <c r="IJW2470" s="54"/>
      <c r="IJX2470" s="54"/>
      <c r="IJY2470" s="60"/>
      <c r="IJZ2470" s="60"/>
      <c r="IKA2470" s="60"/>
      <c r="IKB2470" s="60"/>
      <c r="IKC2470" s="63"/>
      <c r="IKD2470" s="61"/>
      <c r="IKE2470" s="54"/>
      <c r="IKF2470" s="54"/>
      <c r="IKG2470" s="60"/>
      <c r="IKH2470" s="60"/>
      <c r="IKI2470" s="60"/>
      <c r="IKJ2470" s="60"/>
      <c r="IKK2470" s="63"/>
      <c r="IKL2470" s="61"/>
      <c r="IKM2470" s="54"/>
      <c r="IKN2470" s="54"/>
      <c r="IKO2470" s="60"/>
      <c r="IKP2470" s="60"/>
      <c r="IKQ2470" s="60"/>
      <c r="IKR2470" s="60"/>
      <c r="IKS2470" s="63"/>
      <c r="IKT2470" s="61"/>
      <c r="IKU2470" s="54"/>
      <c r="IKV2470" s="54"/>
      <c r="IKW2470" s="60"/>
      <c r="IKX2470" s="60"/>
      <c r="IKY2470" s="60"/>
      <c r="IKZ2470" s="60"/>
      <c r="ILA2470" s="63"/>
      <c r="ILB2470" s="61"/>
      <c r="ILC2470" s="54"/>
      <c r="ILD2470" s="54"/>
      <c r="ILE2470" s="60"/>
      <c r="ILF2470" s="60"/>
      <c r="ILG2470" s="60"/>
      <c r="ILH2470" s="60"/>
      <c r="ILI2470" s="63"/>
      <c r="ILJ2470" s="61"/>
      <c r="ILK2470" s="54"/>
      <c r="ILL2470" s="54"/>
      <c r="ILM2470" s="60"/>
      <c r="ILN2470" s="60"/>
      <c r="ILO2470" s="60"/>
      <c r="ILP2470" s="60"/>
      <c r="ILQ2470" s="63"/>
      <c r="ILR2470" s="61"/>
      <c r="ILS2470" s="54"/>
      <c r="ILT2470" s="54"/>
      <c r="ILU2470" s="60"/>
      <c r="ILV2470" s="60"/>
      <c r="ILW2470" s="60"/>
      <c r="ILX2470" s="60"/>
      <c r="ILY2470" s="63"/>
      <c r="ILZ2470" s="61"/>
      <c r="IMA2470" s="54"/>
      <c r="IMB2470" s="54"/>
      <c r="IMC2470" s="60"/>
      <c r="IMD2470" s="60"/>
      <c r="IME2470" s="60"/>
      <c r="IMF2470" s="60"/>
      <c r="IMG2470" s="63"/>
      <c r="IMH2470" s="61"/>
      <c r="IMI2470" s="54"/>
      <c r="IMJ2470" s="54"/>
      <c r="IMK2470" s="60"/>
      <c r="IML2470" s="60"/>
      <c r="IMM2470" s="60"/>
      <c r="IMN2470" s="60"/>
      <c r="IMO2470" s="63"/>
      <c r="IMP2470" s="61"/>
      <c r="IMQ2470" s="54"/>
      <c r="IMR2470" s="54"/>
      <c r="IMS2470" s="60"/>
      <c r="IMT2470" s="60"/>
      <c r="IMU2470" s="60"/>
      <c r="IMV2470" s="60"/>
      <c r="IMW2470" s="63"/>
      <c r="IMX2470" s="61"/>
      <c r="IMY2470" s="54"/>
      <c r="IMZ2470" s="54"/>
      <c r="INA2470" s="60"/>
      <c r="INB2470" s="60"/>
      <c r="INC2470" s="60"/>
      <c r="IND2470" s="60"/>
      <c r="INE2470" s="63"/>
      <c r="INF2470" s="61"/>
      <c r="ING2470" s="54"/>
      <c r="INH2470" s="54"/>
      <c r="INI2470" s="60"/>
      <c r="INJ2470" s="60"/>
      <c r="INK2470" s="60"/>
      <c r="INL2470" s="60"/>
      <c r="INM2470" s="63"/>
      <c r="INN2470" s="61"/>
      <c r="INO2470" s="54"/>
      <c r="INP2470" s="54"/>
      <c r="INQ2470" s="60"/>
      <c r="INR2470" s="60"/>
      <c r="INS2470" s="60"/>
      <c r="INT2470" s="60"/>
      <c r="INU2470" s="63"/>
      <c r="INV2470" s="61"/>
      <c r="INW2470" s="54"/>
      <c r="INX2470" s="54"/>
      <c r="INY2470" s="60"/>
      <c r="INZ2470" s="60"/>
      <c r="IOA2470" s="60"/>
      <c r="IOB2470" s="60"/>
      <c r="IOC2470" s="63"/>
      <c r="IOD2470" s="61"/>
      <c r="IOE2470" s="54"/>
      <c r="IOF2470" s="54"/>
      <c r="IOG2470" s="60"/>
      <c r="IOH2470" s="60"/>
      <c r="IOI2470" s="60"/>
      <c r="IOJ2470" s="60"/>
      <c r="IOK2470" s="63"/>
      <c r="IOL2470" s="61"/>
      <c r="IOM2470" s="54"/>
      <c r="ION2470" s="54"/>
      <c r="IOO2470" s="60"/>
      <c r="IOP2470" s="60"/>
      <c r="IOQ2470" s="60"/>
      <c r="IOR2470" s="60"/>
      <c r="IOS2470" s="63"/>
      <c r="IOT2470" s="61"/>
      <c r="IOU2470" s="54"/>
      <c r="IOV2470" s="54"/>
      <c r="IOW2470" s="60"/>
      <c r="IOX2470" s="60"/>
      <c r="IOY2470" s="60"/>
      <c r="IOZ2470" s="60"/>
      <c r="IPA2470" s="63"/>
      <c r="IPB2470" s="61"/>
      <c r="IPC2470" s="54"/>
      <c r="IPD2470" s="54"/>
      <c r="IPE2470" s="60"/>
      <c r="IPF2470" s="60"/>
      <c r="IPG2470" s="60"/>
      <c r="IPH2470" s="60"/>
      <c r="IPI2470" s="63"/>
      <c r="IPJ2470" s="61"/>
      <c r="IPK2470" s="54"/>
      <c r="IPL2470" s="54"/>
      <c r="IPM2470" s="60"/>
      <c r="IPN2470" s="60"/>
      <c r="IPO2470" s="60"/>
      <c r="IPP2470" s="60"/>
      <c r="IPQ2470" s="63"/>
      <c r="IPR2470" s="61"/>
      <c r="IPS2470" s="54"/>
      <c r="IPT2470" s="54"/>
      <c r="IPU2470" s="60"/>
      <c r="IPV2470" s="60"/>
      <c r="IPW2470" s="60"/>
      <c r="IPX2470" s="60"/>
      <c r="IPY2470" s="63"/>
      <c r="IPZ2470" s="61"/>
      <c r="IQA2470" s="54"/>
      <c r="IQB2470" s="54"/>
      <c r="IQC2470" s="60"/>
      <c r="IQD2470" s="60"/>
      <c r="IQE2470" s="60"/>
      <c r="IQF2470" s="60"/>
      <c r="IQG2470" s="63"/>
      <c r="IQH2470" s="61"/>
      <c r="IQI2470" s="54"/>
      <c r="IQJ2470" s="54"/>
      <c r="IQK2470" s="60"/>
      <c r="IQL2470" s="60"/>
      <c r="IQM2470" s="60"/>
      <c r="IQN2470" s="60"/>
      <c r="IQO2470" s="63"/>
      <c r="IQP2470" s="61"/>
      <c r="IQQ2470" s="54"/>
      <c r="IQR2470" s="54"/>
      <c r="IQS2470" s="60"/>
      <c r="IQT2470" s="60"/>
      <c r="IQU2470" s="60"/>
      <c r="IQV2470" s="60"/>
      <c r="IQW2470" s="63"/>
      <c r="IQX2470" s="61"/>
      <c r="IQY2470" s="54"/>
      <c r="IQZ2470" s="54"/>
      <c r="IRA2470" s="60"/>
      <c r="IRB2470" s="60"/>
      <c r="IRC2470" s="60"/>
      <c r="IRD2470" s="60"/>
      <c r="IRE2470" s="63"/>
      <c r="IRF2470" s="61"/>
      <c r="IRG2470" s="54"/>
      <c r="IRH2470" s="54"/>
      <c r="IRI2470" s="60"/>
      <c r="IRJ2470" s="60"/>
      <c r="IRK2470" s="60"/>
      <c r="IRL2470" s="60"/>
      <c r="IRM2470" s="63"/>
      <c r="IRN2470" s="61"/>
      <c r="IRO2470" s="54"/>
      <c r="IRP2470" s="54"/>
      <c r="IRQ2470" s="60"/>
      <c r="IRR2470" s="60"/>
      <c r="IRS2470" s="60"/>
      <c r="IRT2470" s="60"/>
      <c r="IRU2470" s="63"/>
      <c r="IRV2470" s="61"/>
      <c r="IRW2470" s="54"/>
      <c r="IRX2470" s="54"/>
      <c r="IRY2470" s="60"/>
      <c r="IRZ2470" s="60"/>
      <c r="ISA2470" s="60"/>
      <c r="ISB2470" s="60"/>
      <c r="ISC2470" s="63"/>
      <c r="ISD2470" s="61"/>
      <c r="ISE2470" s="54"/>
      <c r="ISF2470" s="54"/>
      <c r="ISG2470" s="60"/>
      <c r="ISH2470" s="60"/>
      <c r="ISI2470" s="60"/>
      <c r="ISJ2470" s="60"/>
      <c r="ISK2470" s="63"/>
      <c r="ISL2470" s="61"/>
      <c r="ISM2470" s="54"/>
      <c r="ISN2470" s="54"/>
      <c r="ISO2470" s="60"/>
      <c r="ISP2470" s="60"/>
      <c r="ISQ2470" s="60"/>
      <c r="ISR2470" s="60"/>
      <c r="ISS2470" s="63"/>
      <c r="IST2470" s="61"/>
      <c r="ISU2470" s="54"/>
      <c r="ISV2470" s="54"/>
      <c r="ISW2470" s="60"/>
      <c r="ISX2470" s="60"/>
      <c r="ISY2470" s="60"/>
      <c r="ISZ2470" s="60"/>
      <c r="ITA2470" s="63"/>
      <c r="ITB2470" s="61"/>
      <c r="ITC2470" s="54"/>
      <c r="ITD2470" s="54"/>
      <c r="ITE2470" s="60"/>
      <c r="ITF2470" s="60"/>
      <c r="ITG2470" s="60"/>
      <c r="ITH2470" s="60"/>
      <c r="ITI2470" s="63"/>
      <c r="ITJ2470" s="61"/>
      <c r="ITK2470" s="54"/>
      <c r="ITL2470" s="54"/>
      <c r="ITM2470" s="60"/>
      <c r="ITN2470" s="60"/>
      <c r="ITO2470" s="60"/>
      <c r="ITP2470" s="60"/>
      <c r="ITQ2470" s="63"/>
      <c r="ITR2470" s="61"/>
      <c r="ITS2470" s="54"/>
      <c r="ITT2470" s="54"/>
      <c r="ITU2470" s="60"/>
      <c r="ITV2470" s="60"/>
      <c r="ITW2470" s="60"/>
      <c r="ITX2470" s="60"/>
      <c r="ITY2470" s="63"/>
      <c r="ITZ2470" s="61"/>
      <c r="IUA2470" s="54"/>
      <c r="IUB2470" s="54"/>
      <c r="IUC2470" s="60"/>
      <c r="IUD2470" s="60"/>
      <c r="IUE2470" s="60"/>
      <c r="IUF2470" s="60"/>
      <c r="IUG2470" s="63"/>
      <c r="IUH2470" s="61"/>
      <c r="IUI2470" s="54"/>
      <c r="IUJ2470" s="54"/>
      <c r="IUK2470" s="60"/>
      <c r="IUL2470" s="60"/>
      <c r="IUM2470" s="60"/>
      <c r="IUN2470" s="60"/>
      <c r="IUO2470" s="63"/>
      <c r="IUP2470" s="61"/>
      <c r="IUQ2470" s="54"/>
      <c r="IUR2470" s="54"/>
      <c r="IUS2470" s="60"/>
      <c r="IUT2470" s="60"/>
      <c r="IUU2470" s="60"/>
      <c r="IUV2470" s="60"/>
      <c r="IUW2470" s="63"/>
      <c r="IUX2470" s="61"/>
      <c r="IUY2470" s="54"/>
      <c r="IUZ2470" s="54"/>
      <c r="IVA2470" s="60"/>
      <c r="IVB2470" s="60"/>
      <c r="IVC2470" s="60"/>
      <c r="IVD2470" s="60"/>
      <c r="IVE2470" s="63"/>
      <c r="IVF2470" s="61"/>
      <c r="IVG2470" s="54"/>
      <c r="IVH2470" s="54"/>
      <c r="IVI2470" s="60"/>
      <c r="IVJ2470" s="60"/>
      <c r="IVK2470" s="60"/>
      <c r="IVL2470" s="60"/>
      <c r="IVM2470" s="63"/>
      <c r="IVN2470" s="61"/>
      <c r="IVO2470" s="54"/>
      <c r="IVP2470" s="54"/>
      <c r="IVQ2470" s="60"/>
      <c r="IVR2470" s="60"/>
      <c r="IVS2470" s="60"/>
      <c r="IVT2470" s="60"/>
      <c r="IVU2470" s="63"/>
      <c r="IVV2470" s="61"/>
      <c r="IVW2470" s="54"/>
      <c r="IVX2470" s="54"/>
      <c r="IVY2470" s="60"/>
      <c r="IVZ2470" s="60"/>
      <c r="IWA2470" s="60"/>
      <c r="IWB2470" s="60"/>
      <c r="IWC2470" s="63"/>
      <c r="IWD2470" s="61"/>
      <c r="IWE2470" s="54"/>
      <c r="IWF2470" s="54"/>
      <c r="IWG2470" s="60"/>
      <c r="IWH2470" s="60"/>
      <c r="IWI2470" s="60"/>
      <c r="IWJ2470" s="60"/>
      <c r="IWK2470" s="63"/>
      <c r="IWL2470" s="61"/>
      <c r="IWM2470" s="54"/>
      <c r="IWN2470" s="54"/>
      <c r="IWO2470" s="60"/>
      <c r="IWP2470" s="60"/>
      <c r="IWQ2470" s="60"/>
      <c r="IWR2470" s="60"/>
      <c r="IWS2470" s="63"/>
      <c r="IWT2470" s="61"/>
      <c r="IWU2470" s="54"/>
      <c r="IWV2470" s="54"/>
      <c r="IWW2470" s="60"/>
      <c r="IWX2470" s="60"/>
      <c r="IWY2470" s="60"/>
      <c r="IWZ2470" s="60"/>
      <c r="IXA2470" s="63"/>
      <c r="IXB2470" s="61"/>
      <c r="IXC2470" s="54"/>
      <c r="IXD2470" s="54"/>
      <c r="IXE2470" s="60"/>
      <c r="IXF2470" s="60"/>
      <c r="IXG2470" s="60"/>
      <c r="IXH2470" s="60"/>
      <c r="IXI2470" s="63"/>
      <c r="IXJ2470" s="61"/>
      <c r="IXK2470" s="54"/>
      <c r="IXL2470" s="54"/>
      <c r="IXM2470" s="60"/>
      <c r="IXN2470" s="60"/>
      <c r="IXO2470" s="60"/>
      <c r="IXP2470" s="60"/>
      <c r="IXQ2470" s="63"/>
      <c r="IXR2470" s="61"/>
      <c r="IXS2470" s="54"/>
      <c r="IXT2470" s="54"/>
      <c r="IXU2470" s="60"/>
      <c r="IXV2470" s="60"/>
      <c r="IXW2470" s="60"/>
      <c r="IXX2470" s="60"/>
      <c r="IXY2470" s="63"/>
      <c r="IXZ2470" s="61"/>
      <c r="IYA2470" s="54"/>
      <c r="IYB2470" s="54"/>
      <c r="IYC2470" s="60"/>
      <c r="IYD2470" s="60"/>
      <c r="IYE2470" s="60"/>
      <c r="IYF2470" s="60"/>
      <c r="IYG2470" s="63"/>
      <c r="IYH2470" s="61"/>
      <c r="IYI2470" s="54"/>
      <c r="IYJ2470" s="54"/>
      <c r="IYK2470" s="60"/>
      <c r="IYL2470" s="60"/>
      <c r="IYM2470" s="60"/>
      <c r="IYN2470" s="60"/>
      <c r="IYO2470" s="63"/>
      <c r="IYP2470" s="61"/>
      <c r="IYQ2470" s="54"/>
      <c r="IYR2470" s="54"/>
      <c r="IYS2470" s="60"/>
      <c r="IYT2470" s="60"/>
      <c r="IYU2470" s="60"/>
      <c r="IYV2470" s="60"/>
      <c r="IYW2470" s="63"/>
      <c r="IYX2470" s="61"/>
      <c r="IYY2470" s="54"/>
      <c r="IYZ2470" s="54"/>
      <c r="IZA2470" s="60"/>
      <c r="IZB2470" s="60"/>
      <c r="IZC2470" s="60"/>
      <c r="IZD2470" s="60"/>
      <c r="IZE2470" s="63"/>
      <c r="IZF2470" s="61"/>
      <c r="IZG2470" s="54"/>
      <c r="IZH2470" s="54"/>
      <c r="IZI2470" s="60"/>
      <c r="IZJ2470" s="60"/>
      <c r="IZK2470" s="60"/>
      <c r="IZL2470" s="60"/>
      <c r="IZM2470" s="63"/>
      <c r="IZN2470" s="61"/>
      <c r="IZO2470" s="54"/>
      <c r="IZP2470" s="54"/>
      <c r="IZQ2470" s="60"/>
      <c r="IZR2470" s="60"/>
      <c r="IZS2470" s="60"/>
      <c r="IZT2470" s="60"/>
      <c r="IZU2470" s="63"/>
      <c r="IZV2470" s="61"/>
      <c r="IZW2470" s="54"/>
      <c r="IZX2470" s="54"/>
      <c r="IZY2470" s="60"/>
      <c r="IZZ2470" s="60"/>
      <c r="JAA2470" s="60"/>
      <c r="JAB2470" s="60"/>
      <c r="JAC2470" s="63"/>
      <c r="JAD2470" s="61"/>
      <c r="JAE2470" s="54"/>
      <c r="JAF2470" s="54"/>
      <c r="JAG2470" s="60"/>
      <c r="JAH2470" s="60"/>
      <c r="JAI2470" s="60"/>
      <c r="JAJ2470" s="60"/>
      <c r="JAK2470" s="63"/>
      <c r="JAL2470" s="61"/>
      <c r="JAM2470" s="54"/>
      <c r="JAN2470" s="54"/>
      <c r="JAO2470" s="60"/>
      <c r="JAP2470" s="60"/>
      <c r="JAQ2470" s="60"/>
      <c r="JAR2470" s="60"/>
      <c r="JAS2470" s="63"/>
      <c r="JAT2470" s="61"/>
      <c r="JAU2470" s="54"/>
      <c r="JAV2470" s="54"/>
      <c r="JAW2470" s="60"/>
      <c r="JAX2470" s="60"/>
      <c r="JAY2470" s="60"/>
      <c r="JAZ2470" s="60"/>
      <c r="JBA2470" s="63"/>
      <c r="JBB2470" s="61"/>
      <c r="JBC2470" s="54"/>
      <c r="JBD2470" s="54"/>
      <c r="JBE2470" s="60"/>
      <c r="JBF2470" s="60"/>
      <c r="JBG2470" s="60"/>
      <c r="JBH2470" s="60"/>
      <c r="JBI2470" s="63"/>
      <c r="JBJ2470" s="61"/>
      <c r="JBK2470" s="54"/>
      <c r="JBL2470" s="54"/>
      <c r="JBM2470" s="60"/>
      <c r="JBN2470" s="60"/>
      <c r="JBO2470" s="60"/>
      <c r="JBP2470" s="60"/>
      <c r="JBQ2470" s="63"/>
      <c r="JBR2470" s="61"/>
      <c r="JBS2470" s="54"/>
      <c r="JBT2470" s="54"/>
      <c r="JBU2470" s="60"/>
      <c r="JBV2470" s="60"/>
      <c r="JBW2470" s="60"/>
      <c r="JBX2470" s="60"/>
      <c r="JBY2470" s="63"/>
      <c r="JBZ2470" s="61"/>
      <c r="JCA2470" s="54"/>
      <c r="JCB2470" s="54"/>
      <c r="JCC2470" s="60"/>
      <c r="JCD2470" s="60"/>
      <c r="JCE2470" s="60"/>
      <c r="JCF2470" s="60"/>
      <c r="JCG2470" s="63"/>
      <c r="JCH2470" s="61"/>
      <c r="JCI2470" s="54"/>
      <c r="JCJ2470" s="54"/>
      <c r="JCK2470" s="60"/>
      <c r="JCL2470" s="60"/>
      <c r="JCM2470" s="60"/>
      <c r="JCN2470" s="60"/>
      <c r="JCO2470" s="63"/>
      <c r="JCP2470" s="61"/>
      <c r="JCQ2470" s="54"/>
      <c r="JCR2470" s="54"/>
      <c r="JCS2470" s="60"/>
      <c r="JCT2470" s="60"/>
      <c r="JCU2470" s="60"/>
      <c r="JCV2470" s="60"/>
      <c r="JCW2470" s="63"/>
      <c r="JCX2470" s="61"/>
      <c r="JCY2470" s="54"/>
      <c r="JCZ2470" s="54"/>
      <c r="JDA2470" s="60"/>
      <c r="JDB2470" s="60"/>
      <c r="JDC2470" s="60"/>
      <c r="JDD2470" s="60"/>
      <c r="JDE2470" s="63"/>
      <c r="JDF2470" s="61"/>
      <c r="JDG2470" s="54"/>
      <c r="JDH2470" s="54"/>
      <c r="JDI2470" s="60"/>
      <c r="JDJ2470" s="60"/>
      <c r="JDK2470" s="60"/>
      <c r="JDL2470" s="60"/>
      <c r="JDM2470" s="63"/>
      <c r="JDN2470" s="61"/>
      <c r="JDO2470" s="54"/>
      <c r="JDP2470" s="54"/>
      <c r="JDQ2470" s="60"/>
      <c r="JDR2470" s="60"/>
      <c r="JDS2470" s="60"/>
      <c r="JDT2470" s="60"/>
      <c r="JDU2470" s="63"/>
      <c r="JDV2470" s="61"/>
      <c r="JDW2470" s="54"/>
      <c r="JDX2470" s="54"/>
      <c r="JDY2470" s="60"/>
      <c r="JDZ2470" s="60"/>
      <c r="JEA2470" s="60"/>
      <c r="JEB2470" s="60"/>
      <c r="JEC2470" s="63"/>
      <c r="JED2470" s="61"/>
      <c r="JEE2470" s="54"/>
      <c r="JEF2470" s="54"/>
      <c r="JEG2470" s="60"/>
      <c r="JEH2470" s="60"/>
      <c r="JEI2470" s="60"/>
      <c r="JEJ2470" s="60"/>
      <c r="JEK2470" s="63"/>
      <c r="JEL2470" s="61"/>
      <c r="JEM2470" s="54"/>
      <c r="JEN2470" s="54"/>
      <c r="JEO2470" s="60"/>
      <c r="JEP2470" s="60"/>
      <c r="JEQ2470" s="60"/>
      <c r="JER2470" s="60"/>
      <c r="JES2470" s="63"/>
      <c r="JET2470" s="61"/>
      <c r="JEU2470" s="54"/>
      <c r="JEV2470" s="54"/>
      <c r="JEW2470" s="60"/>
      <c r="JEX2470" s="60"/>
      <c r="JEY2470" s="60"/>
      <c r="JEZ2470" s="60"/>
      <c r="JFA2470" s="63"/>
      <c r="JFB2470" s="61"/>
      <c r="JFC2470" s="54"/>
      <c r="JFD2470" s="54"/>
      <c r="JFE2470" s="60"/>
      <c r="JFF2470" s="60"/>
      <c r="JFG2470" s="60"/>
      <c r="JFH2470" s="60"/>
      <c r="JFI2470" s="63"/>
      <c r="JFJ2470" s="61"/>
      <c r="JFK2470" s="54"/>
      <c r="JFL2470" s="54"/>
      <c r="JFM2470" s="60"/>
      <c r="JFN2470" s="60"/>
      <c r="JFO2470" s="60"/>
      <c r="JFP2470" s="60"/>
      <c r="JFQ2470" s="63"/>
      <c r="JFR2470" s="61"/>
      <c r="JFS2470" s="54"/>
      <c r="JFT2470" s="54"/>
      <c r="JFU2470" s="60"/>
      <c r="JFV2470" s="60"/>
      <c r="JFW2470" s="60"/>
      <c r="JFX2470" s="60"/>
      <c r="JFY2470" s="63"/>
      <c r="JFZ2470" s="61"/>
      <c r="JGA2470" s="54"/>
      <c r="JGB2470" s="54"/>
      <c r="JGC2470" s="60"/>
      <c r="JGD2470" s="60"/>
      <c r="JGE2470" s="60"/>
      <c r="JGF2470" s="60"/>
      <c r="JGG2470" s="63"/>
      <c r="JGH2470" s="61"/>
      <c r="JGI2470" s="54"/>
      <c r="JGJ2470" s="54"/>
      <c r="JGK2470" s="60"/>
      <c r="JGL2470" s="60"/>
      <c r="JGM2470" s="60"/>
      <c r="JGN2470" s="60"/>
      <c r="JGO2470" s="63"/>
      <c r="JGP2470" s="61"/>
      <c r="JGQ2470" s="54"/>
      <c r="JGR2470" s="54"/>
      <c r="JGS2470" s="60"/>
      <c r="JGT2470" s="60"/>
      <c r="JGU2470" s="60"/>
      <c r="JGV2470" s="60"/>
      <c r="JGW2470" s="63"/>
      <c r="JGX2470" s="61"/>
      <c r="JGY2470" s="54"/>
      <c r="JGZ2470" s="54"/>
      <c r="JHA2470" s="60"/>
      <c r="JHB2470" s="60"/>
      <c r="JHC2470" s="60"/>
      <c r="JHD2470" s="60"/>
      <c r="JHE2470" s="63"/>
      <c r="JHF2470" s="61"/>
      <c r="JHG2470" s="54"/>
      <c r="JHH2470" s="54"/>
      <c r="JHI2470" s="60"/>
      <c r="JHJ2470" s="60"/>
      <c r="JHK2470" s="60"/>
      <c r="JHL2470" s="60"/>
      <c r="JHM2470" s="63"/>
      <c r="JHN2470" s="61"/>
      <c r="JHO2470" s="54"/>
      <c r="JHP2470" s="54"/>
      <c r="JHQ2470" s="60"/>
      <c r="JHR2470" s="60"/>
      <c r="JHS2470" s="60"/>
      <c r="JHT2470" s="60"/>
      <c r="JHU2470" s="63"/>
      <c r="JHV2470" s="61"/>
      <c r="JHW2470" s="54"/>
      <c r="JHX2470" s="54"/>
      <c r="JHY2470" s="60"/>
      <c r="JHZ2470" s="60"/>
      <c r="JIA2470" s="60"/>
      <c r="JIB2470" s="60"/>
      <c r="JIC2470" s="63"/>
      <c r="JID2470" s="61"/>
      <c r="JIE2470" s="54"/>
      <c r="JIF2470" s="54"/>
      <c r="JIG2470" s="60"/>
      <c r="JIH2470" s="60"/>
      <c r="JII2470" s="60"/>
      <c r="JIJ2470" s="60"/>
      <c r="JIK2470" s="63"/>
      <c r="JIL2470" s="61"/>
      <c r="JIM2470" s="54"/>
      <c r="JIN2470" s="54"/>
      <c r="JIO2470" s="60"/>
      <c r="JIP2470" s="60"/>
      <c r="JIQ2470" s="60"/>
      <c r="JIR2470" s="60"/>
      <c r="JIS2470" s="63"/>
      <c r="JIT2470" s="61"/>
      <c r="JIU2470" s="54"/>
      <c r="JIV2470" s="54"/>
      <c r="JIW2470" s="60"/>
      <c r="JIX2470" s="60"/>
      <c r="JIY2470" s="60"/>
      <c r="JIZ2470" s="60"/>
      <c r="JJA2470" s="63"/>
      <c r="JJB2470" s="61"/>
      <c r="JJC2470" s="54"/>
      <c r="JJD2470" s="54"/>
      <c r="JJE2470" s="60"/>
      <c r="JJF2470" s="60"/>
      <c r="JJG2470" s="60"/>
      <c r="JJH2470" s="60"/>
      <c r="JJI2470" s="63"/>
      <c r="JJJ2470" s="61"/>
      <c r="JJK2470" s="54"/>
      <c r="JJL2470" s="54"/>
      <c r="JJM2470" s="60"/>
      <c r="JJN2470" s="60"/>
      <c r="JJO2470" s="60"/>
      <c r="JJP2470" s="60"/>
      <c r="JJQ2470" s="63"/>
      <c r="JJR2470" s="61"/>
      <c r="JJS2470" s="54"/>
      <c r="JJT2470" s="54"/>
      <c r="JJU2470" s="60"/>
      <c r="JJV2470" s="60"/>
      <c r="JJW2470" s="60"/>
      <c r="JJX2470" s="60"/>
      <c r="JJY2470" s="63"/>
      <c r="JJZ2470" s="61"/>
      <c r="JKA2470" s="54"/>
      <c r="JKB2470" s="54"/>
      <c r="JKC2470" s="60"/>
      <c r="JKD2470" s="60"/>
      <c r="JKE2470" s="60"/>
      <c r="JKF2470" s="60"/>
      <c r="JKG2470" s="63"/>
      <c r="JKH2470" s="61"/>
      <c r="JKI2470" s="54"/>
      <c r="JKJ2470" s="54"/>
      <c r="JKK2470" s="60"/>
      <c r="JKL2470" s="60"/>
      <c r="JKM2470" s="60"/>
      <c r="JKN2470" s="60"/>
      <c r="JKO2470" s="63"/>
      <c r="JKP2470" s="61"/>
      <c r="JKQ2470" s="54"/>
      <c r="JKR2470" s="54"/>
      <c r="JKS2470" s="60"/>
      <c r="JKT2470" s="60"/>
      <c r="JKU2470" s="60"/>
      <c r="JKV2470" s="60"/>
      <c r="JKW2470" s="63"/>
      <c r="JKX2470" s="61"/>
      <c r="JKY2470" s="54"/>
      <c r="JKZ2470" s="54"/>
      <c r="JLA2470" s="60"/>
      <c r="JLB2470" s="60"/>
      <c r="JLC2470" s="60"/>
      <c r="JLD2470" s="60"/>
      <c r="JLE2470" s="63"/>
      <c r="JLF2470" s="61"/>
      <c r="JLG2470" s="54"/>
      <c r="JLH2470" s="54"/>
      <c r="JLI2470" s="60"/>
      <c r="JLJ2470" s="60"/>
      <c r="JLK2470" s="60"/>
      <c r="JLL2470" s="60"/>
      <c r="JLM2470" s="63"/>
      <c r="JLN2470" s="61"/>
      <c r="JLO2470" s="54"/>
      <c r="JLP2470" s="54"/>
      <c r="JLQ2470" s="60"/>
      <c r="JLR2470" s="60"/>
      <c r="JLS2470" s="60"/>
      <c r="JLT2470" s="60"/>
      <c r="JLU2470" s="63"/>
      <c r="JLV2470" s="61"/>
      <c r="JLW2470" s="54"/>
      <c r="JLX2470" s="54"/>
      <c r="JLY2470" s="60"/>
      <c r="JLZ2470" s="60"/>
      <c r="JMA2470" s="60"/>
      <c r="JMB2470" s="60"/>
      <c r="JMC2470" s="63"/>
      <c r="JMD2470" s="61"/>
      <c r="JME2470" s="54"/>
      <c r="JMF2470" s="54"/>
      <c r="JMG2470" s="60"/>
      <c r="JMH2470" s="60"/>
      <c r="JMI2470" s="60"/>
      <c r="JMJ2470" s="60"/>
      <c r="JMK2470" s="63"/>
      <c r="JML2470" s="61"/>
      <c r="JMM2470" s="54"/>
      <c r="JMN2470" s="54"/>
      <c r="JMO2470" s="60"/>
      <c r="JMP2470" s="60"/>
      <c r="JMQ2470" s="60"/>
      <c r="JMR2470" s="60"/>
      <c r="JMS2470" s="63"/>
      <c r="JMT2470" s="61"/>
      <c r="JMU2470" s="54"/>
      <c r="JMV2470" s="54"/>
      <c r="JMW2470" s="60"/>
      <c r="JMX2470" s="60"/>
      <c r="JMY2470" s="60"/>
      <c r="JMZ2470" s="60"/>
      <c r="JNA2470" s="63"/>
      <c r="JNB2470" s="61"/>
      <c r="JNC2470" s="54"/>
      <c r="JND2470" s="54"/>
      <c r="JNE2470" s="60"/>
      <c r="JNF2470" s="60"/>
      <c r="JNG2470" s="60"/>
      <c r="JNH2470" s="60"/>
      <c r="JNI2470" s="63"/>
      <c r="JNJ2470" s="61"/>
      <c r="JNK2470" s="54"/>
      <c r="JNL2470" s="54"/>
      <c r="JNM2470" s="60"/>
      <c r="JNN2470" s="60"/>
      <c r="JNO2470" s="60"/>
      <c r="JNP2470" s="60"/>
      <c r="JNQ2470" s="63"/>
      <c r="JNR2470" s="61"/>
      <c r="JNS2470" s="54"/>
      <c r="JNT2470" s="54"/>
      <c r="JNU2470" s="60"/>
      <c r="JNV2470" s="60"/>
      <c r="JNW2470" s="60"/>
      <c r="JNX2470" s="60"/>
      <c r="JNY2470" s="63"/>
      <c r="JNZ2470" s="61"/>
      <c r="JOA2470" s="54"/>
      <c r="JOB2470" s="54"/>
      <c r="JOC2470" s="60"/>
      <c r="JOD2470" s="60"/>
      <c r="JOE2470" s="60"/>
      <c r="JOF2470" s="60"/>
      <c r="JOG2470" s="63"/>
      <c r="JOH2470" s="61"/>
      <c r="JOI2470" s="54"/>
      <c r="JOJ2470" s="54"/>
      <c r="JOK2470" s="60"/>
      <c r="JOL2470" s="60"/>
      <c r="JOM2470" s="60"/>
      <c r="JON2470" s="60"/>
      <c r="JOO2470" s="63"/>
      <c r="JOP2470" s="61"/>
      <c r="JOQ2470" s="54"/>
      <c r="JOR2470" s="54"/>
      <c r="JOS2470" s="60"/>
      <c r="JOT2470" s="60"/>
      <c r="JOU2470" s="60"/>
      <c r="JOV2470" s="60"/>
      <c r="JOW2470" s="63"/>
      <c r="JOX2470" s="61"/>
      <c r="JOY2470" s="54"/>
      <c r="JOZ2470" s="54"/>
      <c r="JPA2470" s="60"/>
      <c r="JPB2470" s="60"/>
      <c r="JPC2470" s="60"/>
      <c r="JPD2470" s="60"/>
      <c r="JPE2470" s="63"/>
      <c r="JPF2470" s="61"/>
      <c r="JPG2470" s="54"/>
      <c r="JPH2470" s="54"/>
      <c r="JPI2470" s="60"/>
      <c r="JPJ2470" s="60"/>
      <c r="JPK2470" s="60"/>
      <c r="JPL2470" s="60"/>
      <c r="JPM2470" s="63"/>
      <c r="JPN2470" s="61"/>
      <c r="JPO2470" s="54"/>
      <c r="JPP2470" s="54"/>
      <c r="JPQ2470" s="60"/>
      <c r="JPR2470" s="60"/>
      <c r="JPS2470" s="60"/>
      <c r="JPT2470" s="60"/>
      <c r="JPU2470" s="63"/>
      <c r="JPV2470" s="61"/>
      <c r="JPW2470" s="54"/>
      <c r="JPX2470" s="54"/>
      <c r="JPY2470" s="60"/>
      <c r="JPZ2470" s="60"/>
      <c r="JQA2470" s="60"/>
      <c r="JQB2470" s="60"/>
      <c r="JQC2470" s="63"/>
      <c r="JQD2470" s="61"/>
      <c r="JQE2470" s="54"/>
      <c r="JQF2470" s="54"/>
      <c r="JQG2470" s="60"/>
      <c r="JQH2470" s="60"/>
      <c r="JQI2470" s="60"/>
      <c r="JQJ2470" s="60"/>
      <c r="JQK2470" s="63"/>
      <c r="JQL2470" s="61"/>
      <c r="JQM2470" s="54"/>
      <c r="JQN2470" s="54"/>
      <c r="JQO2470" s="60"/>
      <c r="JQP2470" s="60"/>
      <c r="JQQ2470" s="60"/>
      <c r="JQR2470" s="60"/>
      <c r="JQS2470" s="63"/>
      <c r="JQT2470" s="61"/>
      <c r="JQU2470" s="54"/>
      <c r="JQV2470" s="54"/>
      <c r="JQW2470" s="60"/>
      <c r="JQX2470" s="60"/>
      <c r="JQY2470" s="60"/>
      <c r="JQZ2470" s="60"/>
      <c r="JRA2470" s="63"/>
      <c r="JRB2470" s="61"/>
      <c r="JRC2470" s="54"/>
      <c r="JRD2470" s="54"/>
      <c r="JRE2470" s="60"/>
      <c r="JRF2470" s="60"/>
      <c r="JRG2470" s="60"/>
      <c r="JRH2470" s="60"/>
      <c r="JRI2470" s="63"/>
      <c r="JRJ2470" s="61"/>
      <c r="JRK2470" s="54"/>
      <c r="JRL2470" s="54"/>
      <c r="JRM2470" s="60"/>
      <c r="JRN2470" s="60"/>
      <c r="JRO2470" s="60"/>
      <c r="JRP2470" s="60"/>
      <c r="JRQ2470" s="63"/>
      <c r="JRR2470" s="61"/>
      <c r="JRS2470" s="54"/>
      <c r="JRT2470" s="54"/>
      <c r="JRU2470" s="60"/>
      <c r="JRV2470" s="60"/>
      <c r="JRW2470" s="60"/>
      <c r="JRX2470" s="60"/>
      <c r="JRY2470" s="63"/>
      <c r="JRZ2470" s="61"/>
      <c r="JSA2470" s="54"/>
      <c r="JSB2470" s="54"/>
      <c r="JSC2470" s="60"/>
      <c r="JSD2470" s="60"/>
      <c r="JSE2470" s="60"/>
      <c r="JSF2470" s="60"/>
      <c r="JSG2470" s="63"/>
      <c r="JSH2470" s="61"/>
      <c r="JSI2470" s="54"/>
      <c r="JSJ2470" s="54"/>
      <c r="JSK2470" s="60"/>
      <c r="JSL2470" s="60"/>
      <c r="JSM2470" s="60"/>
      <c r="JSN2470" s="60"/>
      <c r="JSO2470" s="63"/>
      <c r="JSP2470" s="61"/>
      <c r="JSQ2470" s="54"/>
      <c r="JSR2470" s="54"/>
      <c r="JSS2470" s="60"/>
      <c r="JST2470" s="60"/>
      <c r="JSU2470" s="60"/>
      <c r="JSV2470" s="60"/>
      <c r="JSW2470" s="63"/>
      <c r="JSX2470" s="61"/>
      <c r="JSY2470" s="54"/>
      <c r="JSZ2470" s="54"/>
      <c r="JTA2470" s="60"/>
      <c r="JTB2470" s="60"/>
      <c r="JTC2470" s="60"/>
      <c r="JTD2470" s="60"/>
      <c r="JTE2470" s="63"/>
      <c r="JTF2470" s="61"/>
      <c r="JTG2470" s="54"/>
      <c r="JTH2470" s="54"/>
      <c r="JTI2470" s="60"/>
      <c r="JTJ2470" s="60"/>
      <c r="JTK2470" s="60"/>
      <c r="JTL2470" s="60"/>
      <c r="JTM2470" s="63"/>
      <c r="JTN2470" s="61"/>
      <c r="JTO2470" s="54"/>
      <c r="JTP2470" s="54"/>
      <c r="JTQ2470" s="60"/>
      <c r="JTR2470" s="60"/>
      <c r="JTS2470" s="60"/>
      <c r="JTT2470" s="60"/>
      <c r="JTU2470" s="63"/>
      <c r="JTV2470" s="61"/>
      <c r="JTW2470" s="54"/>
      <c r="JTX2470" s="54"/>
      <c r="JTY2470" s="60"/>
      <c r="JTZ2470" s="60"/>
      <c r="JUA2470" s="60"/>
      <c r="JUB2470" s="60"/>
      <c r="JUC2470" s="63"/>
      <c r="JUD2470" s="61"/>
      <c r="JUE2470" s="54"/>
      <c r="JUF2470" s="54"/>
      <c r="JUG2470" s="60"/>
      <c r="JUH2470" s="60"/>
      <c r="JUI2470" s="60"/>
      <c r="JUJ2470" s="60"/>
      <c r="JUK2470" s="63"/>
      <c r="JUL2470" s="61"/>
      <c r="JUM2470" s="54"/>
      <c r="JUN2470" s="54"/>
      <c r="JUO2470" s="60"/>
      <c r="JUP2470" s="60"/>
      <c r="JUQ2470" s="60"/>
      <c r="JUR2470" s="60"/>
      <c r="JUS2470" s="63"/>
      <c r="JUT2470" s="61"/>
      <c r="JUU2470" s="54"/>
      <c r="JUV2470" s="54"/>
      <c r="JUW2470" s="60"/>
      <c r="JUX2470" s="60"/>
      <c r="JUY2470" s="60"/>
      <c r="JUZ2470" s="60"/>
      <c r="JVA2470" s="63"/>
      <c r="JVB2470" s="61"/>
      <c r="JVC2470" s="54"/>
      <c r="JVD2470" s="54"/>
      <c r="JVE2470" s="60"/>
      <c r="JVF2470" s="60"/>
      <c r="JVG2470" s="60"/>
      <c r="JVH2470" s="60"/>
      <c r="JVI2470" s="63"/>
      <c r="JVJ2470" s="61"/>
      <c r="JVK2470" s="54"/>
      <c r="JVL2470" s="54"/>
      <c r="JVM2470" s="60"/>
      <c r="JVN2470" s="60"/>
      <c r="JVO2470" s="60"/>
      <c r="JVP2470" s="60"/>
      <c r="JVQ2470" s="63"/>
      <c r="JVR2470" s="61"/>
      <c r="JVS2470" s="54"/>
      <c r="JVT2470" s="54"/>
      <c r="JVU2470" s="60"/>
      <c r="JVV2470" s="60"/>
      <c r="JVW2470" s="60"/>
      <c r="JVX2470" s="60"/>
      <c r="JVY2470" s="63"/>
      <c r="JVZ2470" s="61"/>
      <c r="JWA2470" s="54"/>
      <c r="JWB2470" s="54"/>
      <c r="JWC2470" s="60"/>
      <c r="JWD2470" s="60"/>
      <c r="JWE2470" s="60"/>
      <c r="JWF2470" s="60"/>
      <c r="JWG2470" s="63"/>
      <c r="JWH2470" s="61"/>
      <c r="JWI2470" s="54"/>
      <c r="JWJ2470" s="54"/>
      <c r="JWK2470" s="60"/>
      <c r="JWL2470" s="60"/>
      <c r="JWM2470" s="60"/>
      <c r="JWN2470" s="60"/>
      <c r="JWO2470" s="63"/>
      <c r="JWP2470" s="61"/>
      <c r="JWQ2470" s="54"/>
      <c r="JWR2470" s="54"/>
      <c r="JWS2470" s="60"/>
      <c r="JWT2470" s="60"/>
      <c r="JWU2470" s="60"/>
      <c r="JWV2470" s="60"/>
      <c r="JWW2470" s="63"/>
      <c r="JWX2470" s="61"/>
      <c r="JWY2470" s="54"/>
      <c r="JWZ2470" s="54"/>
      <c r="JXA2470" s="60"/>
      <c r="JXB2470" s="60"/>
      <c r="JXC2470" s="60"/>
      <c r="JXD2470" s="60"/>
      <c r="JXE2470" s="63"/>
      <c r="JXF2470" s="61"/>
      <c r="JXG2470" s="54"/>
      <c r="JXH2470" s="54"/>
      <c r="JXI2470" s="60"/>
      <c r="JXJ2470" s="60"/>
      <c r="JXK2470" s="60"/>
      <c r="JXL2470" s="60"/>
      <c r="JXM2470" s="63"/>
      <c r="JXN2470" s="61"/>
      <c r="JXO2470" s="54"/>
      <c r="JXP2470" s="54"/>
      <c r="JXQ2470" s="60"/>
      <c r="JXR2470" s="60"/>
      <c r="JXS2470" s="60"/>
      <c r="JXT2470" s="60"/>
      <c r="JXU2470" s="63"/>
      <c r="JXV2470" s="61"/>
      <c r="JXW2470" s="54"/>
      <c r="JXX2470" s="54"/>
      <c r="JXY2470" s="60"/>
      <c r="JXZ2470" s="60"/>
      <c r="JYA2470" s="60"/>
      <c r="JYB2470" s="60"/>
      <c r="JYC2470" s="63"/>
      <c r="JYD2470" s="61"/>
      <c r="JYE2470" s="54"/>
      <c r="JYF2470" s="54"/>
      <c r="JYG2470" s="60"/>
      <c r="JYH2470" s="60"/>
      <c r="JYI2470" s="60"/>
      <c r="JYJ2470" s="60"/>
      <c r="JYK2470" s="63"/>
      <c r="JYL2470" s="61"/>
      <c r="JYM2470" s="54"/>
      <c r="JYN2470" s="54"/>
      <c r="JYO2470" s="60"/>
      <c r="JYP2470" s="60"/>
      <c r="JYQ2470" s="60"/>
      <c r="JYR2470" s="60"/>
      <c r="JYS2470" s="63"/>
      <c r="JYT2470" s="61"/>
      <c r="JYU2470" s="54"/>
      <c r="JYV2470" s="54"/>
      <c r="JYW2470" s="60"/>
      <c r="JYX2470" s="60"/>
      <c r="JYY2470" s="60"/>
      <c r="JYZ2470" s="60"/>
      <c r="JZA2470" s="63"/>
      <c r="JZB2470" s="61"/>
      <c r="JZC2470" s="54"/>
      <c r="JZD2470" s="54"/>
      <c r="JZE2470" s="60"/>
      <c r="JZF2470" s="60"/>
      <c r="JZG2470" s="60"/>
      <c r="JZH2470" s="60"/>
      <c r="JZI2470" s="63"/>
      <c r="JZJ2470" s="61"/>
      <c r="JZK2470" s="54"/>
      <c r="JZL2470" s="54"/>
      <c r="JZM2470" s="60"/>
      <c r="JZN2470" s="60"/>
      <c r="JZO2470" s="60"/>
      <c r="JZP2470" s="60"/>
      <c r="JZQ2470" s="63"/>
      <c r="JZR2470" s="61"/>
      <c r="JZS2470" s="54"/>
      <c r="JZT2470" s="54"/>
      <c r="JZU2470" s="60"/>
      <c r="JZV2470" s="60"/>
      <c r="JZW2470" s="60"/>
      <c r="JZX2470" s="60"/>
      <c r="JZY2470" s="63"/>
      <c r="JZZ2470" s="61"/>
      <c r="KAA2470" s="54"/>
      <c r="KAB2470" s="54"/>
      <c r="KAC2470" s="60"/>
      <c r="KAD2470" s="60"/>
      <c r="KAE2470" s="60"/>
      <c r="KAF2470" s="60"/>
      <c r="KAG2470" s="63"/>
      <c r="KAH2470" s="61"/>
      <c r="KAI2470" s="54"/>
      <c r="KAJ2470" s="54"/>
      <c r="KAK2470" s="60"/>
      <c r="KAL2470" s="60"/>
      <c r="KAM2470" s="60"/>
      <c r="KAN2470" s="60"/>
      <c r="KAO2470" s="63"/>
      <c r="KAP2470" s="61"/>
      <c r="KAQ2470" s="54"/>
      <c r="KAR2470" s="54"/>
      <c r="KAS2470" s="60"/>
      <c r="KAT2470" s="60"/>
      <c r="KAU2470" s="60"/>
      <c r="KAV2470" s="60"/>
      <c r="KAW2470" s="63"/>
      <c r="KAX2470" s="61"/>
      <c r="KAY2470" s="54"/>
      <c r="KAZ2470" s="54"/>
      <c r="KBA2470" s="60"/>
      <c r="KBB2470" s="60"/>
      <c r="KBC2470" s="60"/>
      <c r="KBD2470" s="60"/>
      <c r="KBE2470" s="63"/>
      <c r="KBF2470" s="61"/>
      <c r="KBG2470" s="54"/>
      <c r="KBH2470" s="54"/>
      <c r="KBI2470" s="60"/>
      <c r="KBJ2470" s="60"/>
      <c r="KBK2470" s="60"/>
      <c r="KBL2470" s="60"/>
      <c r="KBM2470" s="63"/>
      <c r="KBN2470" s="61"/>
      <c r="KBO2470" s="54"/>
      <c r="KBP2470" s="54"/>
      <c r="KBQ2470" s="60"/>
      <c r="KBR2470" s="60"/>
      <c r="KBS2470" s="60"/>
      <c r="KBT2470" s="60"/>
      <c r="KBU2470" s="63"/>
      <c r="KBV2470" s="61"/>
      <c r="KBW2470" s="54"/>
      <c r="KBX2470" s="54"/>
      <c r="KBY2470" s="60"/>
      <c r="KBZ2470" s="60"/>
      <c r="KCA2470" s="60"/>
      <c r="KCB2470" s="60"/>
      <c r="KCC2470" s="63"/>
      <c r="KCD2470" s="61"/>
      <c r="KCE2470" s="54"/>
      <c r="KCF2470" s="54"/>
      <c r="KCG2470" s="60"/>
      <c r="KCH2470" s="60"/>
      <c r="KCI2470" s="60"/>
      <c r="KCJ2470" s="60"/>
      <c r="KCK2470" s="63"/>
      <c r="KCL2470" s="61"/>
      <c r="KCM2470" s="54"/>
      <c r="KCN2470" s="54"/>
      <c r="KCO2470" s="60"/>
      <c r="KCP2470" s="60"/>
      <c r="KCQ2470" s="60"/>
      <c r="KCR2470" s="60"/>
      <c r="KCS2470" s="63"/>
      <c r="KCT2470" s="61"/>
      <c r="KCU2470" s="54"/>
      <c r="KCV2470" s="54"/>
      <c r="KCW2470" s="60"/>
      <c r="KCX2470" s="60"/>
      <c r="KCY2470" s="60"/>
      <c r="KCZ2470" s="60"/>
      <c r="KDA2470" s="63"/>
      <c r="KDB2470" s="61"/>
      <c r="KDC2470" s="54"/>
      <c r="KDD2470" s="54"/>
      <c r="KDE2470" s="60"/>
      <c r="KDF2470" s="60"/>
      <c r="KDG2470" s="60"/>
      <c r="KDH2470" s="60"/>
      <c r="KDI2470" s="63"/>
      <c r="KDJ2470" s="61"/>
      <c r="KDK2470" s="54"/>
      <c r="KDL2470" s="54"/>
      <c r="KDM2470" s="60"/>
      <c r="KDN2470" s="60"/>
      <c r="KDO2470" s="60"/>
      <c r="KDP2470" s="60"/>
      <c r="KDQ2470" s="63"/>
      <c r="KDR2470" s="61"/>
      <c r="KDS2470" s="54"/>
      <c r="KDT2470" s="54"/>
      <c r="KDU2470" s="60"/>
      <c r="KDV2470" s="60"/>
      <c r="KDW2470" s="60"/>
      <c r="KDX2470" s="60"/>
      <c r="KDY2470" s="63"/>
      <c r="KDZ2470" s="61"/>
      <c r="KEA2470" s="54"/>
      <c r="KEB2470" s="54"/>
      <c r="KEC2470" s="60"/>
      <c r="KED2470" s="60"/>
      <c r="KEE2470" s="60"/>
      <c r="KEF2470" s="60"/>
      <c r="KEG2470" s="63"/>
      <c r="KEH2470" s="61"/>
      <c r="KEI2470" s="54"/>
      <c r="KEJ2470" s="54"/>
      <c r="KEK2470" s="60"/>
      <c r="KEL2470" s="60"/>
      <c r="KEM2470" s="60"/>
      <c r="KEN2470" s="60"/>
      <c r="KEO2470" s="63"/>
      <c r="KEP2470" s="61"/>
      <c r="KEQ2470" s="54"/>
      <c r="KER2470" s="54"/>
      <c r="KES2470" s="60"/>
      <c r="KET2470" s="60"/>
      <c r="KEU2470" s="60"/>
      <c r="KEV2470" s="60"/>
      <c r="KEW2470" s="63"/>
      <c r="KEX2470" s="61"/>
      <c r="KEY2470" s="54"/>
      <c r="KEZ2470" s="54"/>
      <c r="KFA2470" s="60"/>
      <c r="KFB2470" s="60"/>
      <c r="KFC2470" s="60"/>
      <c r="KFD2470" s="60"/>
      <c r="KFE2470" s="63"/>
      <c r="KFF2470" s="61"/>
      <c r="KFG2470" s="54"/>
      <c r="KFH2470" s="54"/>
      <c r="KFI2470" s="60"/>
      <c r="KFJ2470" s="60"/>
      <c r="KFK2470" s="60"/>
      <c r="KFL2470" s="60"/>
      <c r="KFM2470" s="63"/>
      <c r="KFN2470" s="61"/>
      <c r="KFO2470" s="54"/>
      <c r="KFP2470" s="54"/>
      <c r="KFQ2470" s="60"/>
      <c r="KFR2470" s="60"/>
      <c r="KFS2470" s="60"/>
      <c r="KFT2470" s="60"/>
      <c r="KFU2470" s="63"/>
      <c r="KFV2470" s="61"/>
      <c r="KFW2470" s="54"/>
      <c r="KFX2470" s="54"/>
      <c r="KFY2470" s="60"/>
      <c r="KFZ2470" s="60"/>
      <c r="KGA2470" s="60"/>
      <c r="KGB2470" s="60"/>
      <c r="KGC2470" s="63"/>
      <c r="KGD2470" s="61"/>
      <c r="KGE2470" s="54"/>
      <c r="KGF2470" s="54"/>
      <c r="KGG2470" s="60"/>
      <c r="KGH2470" s="60"/>
      <c r="KGI2470" s="60"/>
      <c r="KGJ2470" s="60"/>
      <c r="KGK2470" s="63"/>
      <c r="KGL2470" s="61"/>
      <c r="KGM2470" s="54"/>
      <c r="KGN2470" s="54"/>
      <c r="KGO2470" s="60"/>
      <c r="KGP2470" s="60"/>
      <c r="KGQ2470" s="60"/>
      <c r="KGR2470" s="60"/>
      <c r="KGS2470" s="63"/>
      <c r="KGT2470" s="61"/>
      <c r="KGU2470" s="54"/>
      <c r="KGV2470" s="54"/>
      <c r="KGW2470" s="60"/>
      <c r="KGX2470" s="60"/>
      <c r="KGY2470" s="60"/>
      <c r="KGZ2470" s="60"/>
      <c r="KHA2470" s="63"/>
      <c r="KHB2470" s="61"/>
      <c r="KHC2470" s="54"/>
      <c r="KHD2470" s="54"/>
      <c r="KHE2470" s="60"/>
      <c r="KHF2470" s="60"/>
      <c r="KHG2470" s="60"/>
      <c r="KHH2470" s="60"/>
      <c r="KHI2470" s="63"/>
      <c r="KHJ2470" s="61"/>
      <c r="KHK2470" s="54"/>
      <c r="KHL2470" s="54"/>
      <c r="KHM2470" s="60"/>
      <c r="KHN2470" s="60"/>
      <c r="KHO2470" s="60"/>
      <c r="KHP2470" s="60"/>
      <c r="KHQ2470" s="63"/>
      <c r="KHR2470" s="61"/>
      <c r="KHS2470" s="54"/>
      <c r="KHT2470" s="54"/>
      <c r="KHU2470" s="60"/>
      <c r="KHV2470" s="60"/>
      <c r="KHW2470" s="60"/>
      <c r="KHX2470" s="60"/>
      <c r="KHY2470" s="63"/>
      <c r="KHZ2470" s="61"/>
      <c r="KIA2470" s="54"/>
      <c r="KIB2470" s="54"/>
      <c r="KIC2470" s="60"/>
      <c r="KID2470" s="60"/>
      <c r="KIE2470" s="60"/>
      <c r="KIF2470" s="60"/>
      <c r="KIG2470" s="63"/>
      <c r="KIH2470" s="61"/>
      <c r="KII2470" s="54"/>
      <c r="KIJ2470" s="54"/>
      <c r="KIK2470" s="60"/>
      <c r="KIL2470" s="60"/>
      <c r="KIM2470" s="60"/>
      <c r="KIN2470" s="60"/>
      <c r="KIO2470" s="63"/>
      <c r="KIP2470" s="61"/>
      <c r="KIQ2470" s="54"/>
      <c r="KIR2470" s="54"/>
      <c r="KIS2470" s="60"/>
      <c r="KIT2470" s="60"/>
      <c r="KIU2470" s="60"/>
      <c r="KIV2470" s="60"/>
      <c r="KIW2470" s="63"/>
      <c r="KIX2470" s="61"/>
      <c r="KIY2470" s="54"/>
      <c r="KIZ2470" s="54"/>
      <c r="KJA2470" s="60"/>
      <c r="KJB2470" s="60"/>
      <c r="KJC2470" s="60"/>
      <c r="KJD2470" s="60"/>
      <c r="KJE2470" s="63"/>
      <c r="KJF2470" s="61"/>
      <c r="KJG2470" s="54"/>
      <c r="KJH2470" s="54"/>
      <c r="KJI2470" s="60"/>
      <c r="KJJ2470" s="60"/>
      <c r="KJK2470" s="60"/>
      <c r="KJL2470" s="60"/>
      <c r="KJM2470" s="63"/>
      <c r="KJN2470" s="61"/>
      <c r="KJO2470" s="54"/>
      <c r="KJP2470" s="54"/>
      <c r="KJQ2470" s="60"/>
      <c r="KJR2470" s="60"/>
      <c r="KJS2470" s="60"/>
      <c r="KJT2470" s="60"/>
      <c r="KJU2470" s="63"/>
      <c r="KJV2470" s="61"/>
      <c r="KJW2470" s="54"/>
      <c r="KJX2470" s="54"/>
      <c r="KJY2470" s="60"/>
      <c r="KJZ2470" s="60"/>
      <c r="KKA2470" s="60"/>
      <c r="KKB2470" s="60"/>
      <c r="KKC2470" s="63"/>
      <c r="KKD2470" s="61"/>
      <c r="KKE2470" s="54"/>
      <c r="KKF2470" s="54"/>
      <c r="KKG2470" s="60"/>
      <c r="KKH2470" s="60"/>
      <c r="KKI2470" s="60"/>
      <c r="KKJ2470" s="60"/>
      <c r="KKK2470" s="63"/>
      <c r="KKL2470" s="61"/>
      <c r="KKM2470" s="54"/>
      <c r="KKN2470" s="54"/>
      <c r="KKO2470" s="60"/>
      <c r="KKP2470" s="60"/>
      <c r="KKQ2470" s="60"/>
      <c r="KKR2470" s="60"/>
      <c r="KKS2470" s="63"/>
      <c r="KKT2470" s="61"/>
      <c r="KKU2470" s="54"/>
      <c r="KKV2470" s="54"/>
      <c r="KKW2470" s="60"/>
      <c r="KKX2470" s="60"/>
      <c r="KKY2470" s="60"/>
      <c r="KKZ2470" s="60"/>
      <c r="KLA2470" s="63"/>
      <c r="KLB2470" s="61"/>
      <c r="KLC2470" s="54"/>
      <c r="KLD2470" s="54"/>
      <c r="KLE2470" s="60"/>
      <c r="KLF2470" s="60"/>
      <c r="KLG2470" s="60"/>
      <c r="KLH2470" s="60"/>
      <c r="KLI2470" s="63"/>
      <c r="KLJ2470" s="61"/>
      <c r="KLK2470" s="54"/>
      <c r="KLL2470" s="54"/>
      <c r="KLM2470" s="60"/>
      <c r="KLN2470" s="60"/>
      <c r="KLO2470" s="60"/>
      <c r="KLP2470" s="60"/>
      <c r="KLQ2470" s="63"/>
      <c r="KLR2470" s="61"/>
      <c r="KLS2470" s="54"/>
      <c r="KLT2470" s="54"/>
      <c r="KLU2470" s="60"/>
      <c r="KLV2470" s="60"/>
      <c r="KLW2470" s="60"/>
      <c r="KLX2470" s="60"/>
      <c r="KLY2470" s="63"/>
      <c r="KLZ2470" s="61"/>
      <c r="KMA2470" s="54"/>
      <c r="KMB2470" s="54"/>
      <c r="KMC2470" s="60"/>
      <c r="KMD2470" s="60"/>
      <c r="KME2470" s="60"/>
      <c r="KMF2470" s="60"/>
      <c r="KMG2470" s="63"/>
      <c r="KMH2470" s="61"/>
      <c r="KMI2470" s="54"/>
      <c r="KMJ2470" s="54"/>
      <c r="KMK2470" s="60"/>
      <c r="KML2470" s="60"/>
      <c r="KMM2470" s="60"/>
      <c r="KMN2470" s="60"/>
      <c r="KMO2470" s="63"/>
      <c r="KMP2470" s="61"/>
      <c r="KMQ2470" s="54"/>
      <c r="KMR2470" s="54"/>
      <c r="KMS2470" s="60"/>
      <c r="KMT2470" s="60"/>
      <c r="KMU2470" s="60"/>
      <c r="KMV2470" s="60"/>
      <c r="KMW2470" s="63"/>
      <c r="KMX2470" s="61"/>
      <c r="KMY2470" s="54"/>
      <c r="KMZ2470" s="54"/>
      <c r="KNA2470" s="60"/>
      <c r="KNB2470" s="60"/>
      <c r="KNC2470" s="60"/>
      <c r="KND2470" s="60"/>
      <c r="KNE2470" s="63"/>
      <c r="KNF2470" s="61"/>
      <c r="KNG2470" s="54"/>
      <c r="KNH2470" s="54"/>
      <c r="KNI2470" s="60"/>
      <c r="KNJ2470" s="60"/>
      <c r="KNK2470" s="60"/>
      <c r="KNL2470" s="60"/>
      <c r="KNM2470" s="63"/>
      <c r="KNN2470" s="61"/>
      <c r="KNO2470" s="54"/>
      <c r="KNP2470" s="54"/>
      <c r="KNQ2470" s="60"/>
      <c r="KNR2470" s="60"/>
      <c r="KNS2470" s="60"/>
      <c r="KNT2470" s="60"/>
      <c r="KNU2470" s="63"/>
      <c r="KNV2470" s="61"/>
      <c r="KNW2470" s="54"/>
      <c r="KNX2470" s="54"/>
      <c r="KNY2470" s="60"/>
      <c r="KNZ2470" s="60"/>
      <c r="KOA2470" s="60"/>
      <c r="KOB2470" s="60"/>
      <c r="KOC2470" s="63"/>
      <c r="KOD2470" s="61"/>
      <c r="KOE2470" s="54"/>
      <c r="KOF2470" s="54"/>
      <c r="KOG2470" s="60"/>
      <c r="KOH2470" s="60"/>
      <c r="KOI2470" s="60"/>
      <c r="KOJ2470" s="60"/>
      <c r="KOK2470" s="63"/>
      <c r="KOL2470" s="61"/>
      <c r="KOM2470" s="54"/>
      <c r="KON2470" s="54"/>
      <c r="KOO2470" s="60"/>
      <c r="KOP2470" s="60"/>
      <c r="KOQ2470" s="60"/>
      <c r="KOR2470" s="60"/>
      <c r="KOS2470" s="63"/>
      <c r="KOT2470" s="61"/>
      <c r="KOU2470" s="54"/>
      <c r="KOV2470" s="54"/>
      <c r="KOW2470" s="60"/>
      <c r="KOX2470" s="60"/>
      <c r="KOY2470" s="60"/>
      <c r="KOZ2470" s="60"/>
      <c r="KPA2470" s="63"/>
      <c r="KPB2470" s="61"/>
      <c r="KPC2470" s="54"/>
      <c r="KPD2470" s="54"/>
      <c r="KPE2470" s="60"/>
      <c r="KPF2470" s="60"/>
      <c r="KPG2470" s="60"/>
      <c r="KPH2470" s="60"/>
      <c r="KPI2470" s="63"/>
      <c r="KPJ2470" s="61"/>
      <c r="KPK2470" s="54"/>
      <c r="KPL2470" s="54"/>
      <c r="KPM2470" s="60"/>
      <c r="KPN2470" s="60"/>
      <c r="KPO2470" s="60"/>
      <c r="KPP2470" s="60"/>
      <c r="KPQ2470" s="63"/>
      <c r="KPR2470" s="61"/>
      <c r="KPS2470" s="54"/>
      <c r="KPT2470" s="54"/>
      <c r="KPU2470" s="60"/>
      <c r="KPV2470" s="60"/>
      <c r="KPW2470" s="60"/>
      <c r="KPX2470" s="60"/>
      <c r="KPY2470" s="63"/>
      <c r="KPZ2470" s="61"/>
      <c r="KQA2470" s="54"/>
      <c r="KQB2470" s="54"/>
      <c r="KQC2470" s="60"/>
      <c r="KQD2470" s="60"/>
      <c r="KQE2470" s="60"/>
      <c r="KQF2470" s="60"/>
      <c r="KQG2470" s="63"/>
      <c r="KQH2470" s="61"/>
      <c r="KQI2470" s="54"/>
      <c r="KQJ2470" s="54"/>
      <c r="KQK2470" s="60"/>
      <c r="KQL2470" s="60"/>
      <c r="KQM2470" s="60"/>
      <c r="KQN2470" s="60"/>
      <c r="KQO2470" s="63"/>
      <c r="KQP2470" s="61"/>
      <c r="KQQ2470" s="54"/>
      <c r="KQR2470" s="54"/>
      <c r="KQS2470" s="60"/>
      <c r="KQT2470" s="60"/>
      <c r="KQU2470" s="60"/>
      <c r="KQV2470" s="60"/>
      <c r="KQW2470" s="63"/>
      <c r="KQX2470" s="61"/>
      <c r="KQY2470" s="54"/>
      <c r="KQZ2470" s="54"/>
      <c r="KRA2470" s="60"/>
      <c r="KRB2470" s="60"/>
      <c r="KRC2470" s="60"/>
      <c r="KRD2470" s="60"/>
      <c r="KRE2470" s="63"/>
      <c r="KRF2470" s="61"/>
      <c r="KRG2470" s="54"/>
      <c r="KRH2470" s="54"/>
      <c r="KRI2470" s="60"/>
      <c r="KRJ2470" s="60"/>
      <c r="KRK2470" s="60"/>
      <c r="KRL2470" s="60"/>
      <c r="KRM2470" s="63"/>
      <c r="KRN2470" s="61"/>
      <c r="KRO2470" s="54"/>
      <c r="KRP2470" s="54"/>
      <c r="KRQ2470" s="60"/>
      <c r="KRR2470" s="60"/>
      <c r="KRS2470" s="60"/>
      <c r="KRT2470" s="60"/>
      <c r="KRU2470" s="63"/>
      <c r="KRV2470" s="61"/>
      <c r="KRW2470" s="54"/>
      <c r="KRX2470" s="54"/>
      <c r="KRY2470" s="60"/>
      <c r="KRZ2470" s="60"/>
      <c r="KSA2470" s="60"/>
      <c r="KSB2470" s="60"/>
      <c r="KSC2470" s="63"/>
      <c r="KSD2470" s="61"/>
      <c r="KSE2470" s="54"/>
      <c r="KSF2470" s="54"/>
      <c r="KSG2470" s="60"/>
      <c r="KSH2470" s="60"/>
      <c r="KSI2470" s="60"/>
      <c r="KSJ2470" s="60"/>
      <c r="KSK2470" s="63"/>
      <c r="KSL2470" s="61"/>
      <c r="KSM2470" s="54"/>
      <c r="KSN2470" s="54"/>
      <c r="KSO2470" s="60"/>
      <c r="KSP2470" s="60"/>
      <c r="KSQ2470" s="60"/>
      <c r="KSR2470" s="60"/>
      <c r="KSS2470" s="63"/>
      <c r="KST2470" s="61"/>
      <c r="KSU2470" s="54"/>
      <c r="KSV2470" s="54"/>
      <c r="KSW2470" s="60"/>
      <c r="KSX2470" s="60"/>
      <c r="KSY2470" s="60"/>
      <c r="KSZ2470" s="60"/>
      <c r="KTA2470" s="63"/>
      <c r="KTB2470" s="61"/>
      <c r="KTC2470" s="54"/>
      <c r="KTD2470" s="54"/>
      <c r="KTE2470" s="60"/>
      <c r="KTF2470" s="60"/>
      <c r="KTG2470" s="60"/>
      <c r="KTH2470" s="60"/>
      <c r="KTI2470" s="63"/>
      <c r="KTJ2470" s="61"/>
      <c r="KTK2470" s="54"/>
      <c r="KTL2470" s="54"/>
      <c r="KTM2470" s="60"/>
      <c r="KTN2470" s="60"/>
      <c r="KTO2470" s="60"/>
      <c r="KTP2470" s="60"/>
      <c r="KTQ2470" s="63"/>
      <c r="KTR2470" s="61"/>
      <c r="KTS2470" s="54"/>
      <c r="KTT2470" s="54"/>
      <c r="KTU2470" s="60"/>
      <c r="KTV2470" s="60"/>
      <c r="KTW2470" s="60"/>
      <c r="KTX2470" s="60"/>
      <c r="KTY2470" s="63"/>
      <c r="KTZ2470" s="61"/>
      <c r="KUA2470" s="54"/>
      <c r="KUB2470" s="54"/>
      <c r="KUC2470" s="60"/>
      <c r="KUD2470" s="60"/>
      <c r="KUE2470" s="60"/>
      <c r="KUF2470" s="60"/>
      <c r="KUG2470" s="63"/>
      <c r="KUH2470" s="61"/>
      <c r="KUI2470" s="54"/>
      <c r="KUJ2470" s="54"/>
      <c r="KUK2470" s="60"/>
      <c r="KUL2470" s="60"/>
      <c r="KUM2470" s="60"/>
      <c r="KUN2470" s="60"/>
      <c r="KUO2470" s="63"/>
      <c r="KUP2470" s="61"/>
      <c r="KUQ2470" s="54"/>
      <c r="KUR2470" s="54"/>
      <c r="KUS2470" s="60"/>
      <c r="KUT2470" s="60"/>
      <c r="KUU2470" s="60"/>
      <c r="KUV2470" s="60"/>
      <c r="KUW2470" s="63"/>
      <c r="KUX2470" s="61"/>
      <c r="KUY2470" s="54"/>
      <c r="KUZ2470" s="54"/>
      <c r="KVA2470" s="60"/>
      <c r="KVB2470" s="60"/>
      <c r="KVC2470" s="60"/>
      <c r="KVD2470" s="60"/>
      <c r="KVE2470" s="63"/>
      <c r="KVF2470" s="61"/>
      <c r="KVG2470" s="54"/>
      <c r="KVH2470" s="54"/>
      <c r="KVI2470" s="60"/>
      <c r="KVJ2470" s="60"/>
      <c r="KVK2470" s="60"/>
      <c r="KVL2470" s="60"/>
      <c r="KVM2470" s="63"/>
      <c r="KVN2470" s="61"/>
      <c r="KVO2470" s="54"/>
      <c r="KVP2470" s="54"/>
      <c r="KVQ2470" s="60"/>
      <c r="KVR2470" s="60"/>
      <c r="KVS2470" s="60"/>
      <c r="KVT2470" s="60"/>
      <c r="KVU2470" s="63"/>
      <c r="KVV2470" s="61"/>
      <c r="KVW2470" s="54"/>
      <c r="KVX2470" s="54"/>
      <c r="KVY2470" s="60"/>
      <c r="KVZ2470" s="60"/>
      <c r="KWA2470" s="60"/>
      <c r="KWB2470" s="60"/>
      <c r="KWC2470" s="63"/>
      <c r="KWD2470" s="61"/>
      <c r="KWE2470" s="54"/>
      <c r="KWF2470" s="54"/>
      <c r="KWG2470" s="60"/>
      <c r="KWH2470" s="60"/>
      <c r="KWI2470" s="60"/>
      <c r="KWJ2470" s="60"/>
      <c r="KWK2470" s="63"/>
      <c r="KWL2470" s="61"/>
      <c r="KWM2470" s="54"/>
      <c r="KWN2470" s="54"/>
      <c r="KWO2470" s="60"/>
      <c r="KWP2470" s="60"/>
      <c r="KWQ2470" s="60"/>
      <c r="KWR2470" s="60"/>
      <c r="KWS2470" s="63"/>
      <c r="KWT2470" s="61"/>
      <c r="KWU2470" s="54"/>
      <c r="KWV2470" s="54"/>
      <c r="KWW2470" s="60"/>
      <c r="KWX2470" s="60"/>
      <c r="KWY2470" s="60"/>
      <c r="KWZ2470" s="60"/>
      <c r="KXA2470" s="63"/>
      <c r="KXB2470" s="61"/>
      <c r="KXC2470" s="54"/>
      <c r="KXD2470" s="54"/>
      <c r="KXE2470" s="60"/>
      <c r="KXF2470" s="60"/>
      <c r="KXG2470" s="60"/>
      <c r="KXH2470" s="60"/>
      <c r="KXI2470" s="63"/>
      <c r="KXJ2470" s="61"/>
      <c r="KXK2470" s="54"/>
      <c r="KXL2470" s="54"/>
      <c r="KXM2470" s="60"/>
      <c r="KXN2470" s="60"/>
      <c r="KXO2470" s="60"/>
      <c r="KXP2470" s="60"/>
      <c r="KXQ2470" s="63"/>
      <c r="KXR2470" s="61"/>
      <c r="KXS2470" s="54"/>
      <c r="KXT2470" s="54"/>
      <c r="KXU2470" s="60"/>
      <c r="KXV2470" s="60"/>
      <c r="KXW2470" s="60"/>
      <c r="KXX2470" s="60"/>
      <c r="KXY2470" s="63"/>
      <c r="KXZ2470" s="61"/>
      <c r="KYA2470" s="54"/>
      <c r="KYB2470" s="54"/>
      <c r="KYC2470" s="60"/>
      <c r="KYD2470" s="60"/>
      <c r="KYE2470" s="60"/>
      <c r="KYF2470" s="60"/>
      <c r="KYG2470" s="63"/>
      <c r="KYH2470" s="61"/>
      <c r="KYI2470" s="54"/>
      <c r="KYJ2470" s="54"/>
      <c r="KYK2470" s="60"/>
      <c r="KYL2470" s="60"/>
      <c r="KYM2470" s="60"/>
      <c r="KYN2470" s="60"/>
      <c r="KYO2470" s="63"/>
      <c r="KYP2470" s="61"/>
      <c r="KYQ2470" s="54"/>
      <c r="KYR2470" s="54"/>
      <c r="KYS2470" s="60"/>
      <c r="KYT2470" s="60"/>
      <c r="KYU2470" s="60"/>
      <c r="KYV2470" s="60"/>
      <c r="KYW2470" s="63"/>
      <c r="KYX2470" s="61"/>
      <c r="KYY2470" s="54"/>
      <c r="KYZ2470" s="54"/>
      <c r="KZA2470" s="60"/>
      <c r="KZB2470" s="60"/>
      <c r="KZC2470" s="60"/>
      <c r="KZD2470" s="60"/>
      <c r="KZE2470" s="63"/>
      <c r="KZF2470" s="61"/>
      <c r="KZG2470" s="54"/>
      <c r="KZH2470" s="54"/>
      <c r="KZI2470" s="60"/>
      <c r="KZJ2470" s="60"/>
      <c r="KZK2470" s="60"/>
      <c r="KZL2470" s="60"/>
      <c r="KZM2470" s="63"/>
      <c r="KZN2470" s="61"/>
      <c r="KZO2470" s="54"/>
      <c r="KZP2470" s="54"/>
      <c r="KZQ2470" s="60"/>
      <c r="KZR2470" s="60"/>
      <c r="KZS2470" s="60"/>
      <c r="KZT2470" s="60"/>
      <c r="KZU2470" s="63"/>
      <c r="KZV2470" s="61"/>
      <c r="KZW2470" s="54"/>
      <c r="KZX2470" s="54"/>
      <c r="KZY2470" s="60"/>
      <c r="KZZ2470" s="60"/>
      <c r="LAA2470" s="60"/>
      <c r="LAB2470" s="60"/>
      <c r="LAC2470" s="63"/>
      <c r="LAD2470" s="61"/>
      <c r="LAE2470" s="54"/>
      <c r="LAF2470" s="54"/>
      <c r="LAG2470" s="60"/>
      <c r="LAH2470" s="60"/>
      <c r="LAI2470" s="60"/>
      <c r="LAJ2470" s="60"/>
      <c r="LAK2470" s="63"/>
      <c r="LAL2470" s="61"/>
      <c r="LAM2470" s="54"/>
      <c r="LAN2470" s="54"/>
      <c r="LAO2470" s="60"/>
      <c r="LAP2470" s="60"/>
      <c r="LAQ2470" s="60"/>
      <c r="LAR2470" s="60"/>
      <c r="LAS2470" s="63"/>
      <c r="LAT2470" s="61"/>
      <c r="LAU2470" s="54"/>
      <c r="LAV2470" s="54"/>
      <c r="LAW2470" s="60"/>
      <c r="LAX2470" s="60"/>
      <c r="LAY2470" s="60"/>
      <c r="LAZ2470" s="60"/>
      <c r="LBA2470" s="63"/>
      <c r="LBB2470" s="61"/>
      <c r="LBC2470" s="54"/>
      <c r="LBD2470" s="54"/>
      <c r="LBE2470" s="60"/>
      <c r="LBF2470" s="60"/>
      <c r="LBG2470" s="60"/>
      <c r="LBH2470" s="60"/>
      <c r="LBI2470" s="63"/>
      <c r="LBJ2470" s="61"/>
      <c r="LBK2470" s="54"/>
      <c r="LBL2470" s="54"/>
      <c r="LBM2470" s="60"/>
      <c r="LBN2470" s="60"/>
      <c r="LBO2470" s="60"/>
      <c r="LBP2470" s="60"/>
      <c r="LBQ2470" s="63"/>
      <c r="LBR2470" s="61"/>
      <c r="LBS2470" s="54"/>
      <c r="LBT2470" s="54"/>
      <c r="LBU2470" s="60"/>
      <c r="LBV2470" s="60"/>
      <c r="LBW2470" s="60"/>
      <c r="LBX2470" s="60"/>
      <c r="LBY2470" s="63"/>
      <c r="LBZ2470" s="61"/>
      <c r="LCA2470" s="54"/>
      <c r="LCB2470" s="54"/>
      <c r="LCC2470" s="60"/>
      <c r="LCD2470" s="60"/>
      <c r="LCE2470" s="60"/>
      <c r="LCF2470" s="60"/>
      <c r="LCG2470" s="63"/>
      <c r="LCH2470" s="61"/>
      <c r="LCI2470" s="54"/>
      <c r="LCJ2470" s="54"/>
      <c r="LCK2470" s="60"/>
      <c r="LCL2470" s="60"/>
      <c r="LCM2470" s="60"/>
      <c r="LCN2470" s="60"/>
      <c r="LCO2470" s="63"/>
      <c r="LCP2470" s="61"/>
      <c r="LCQ2470" s="54"/>
      <c r="LCR2470" s="54"/>
      <c r="LCS2470" s="60"/>
      <c r="LCT2470" s="60"/>
      <c r="LCU2470" s="60"/>
      <c r="LCV2470" s="60"/>
      <c r="LCW2470" s="63"/>
      <c r="LCX2470" s="61"/>
      <c r="LCY2470" s="54"/>
      <c r="LCZ2470" s="54"/>
      <c r="LDA2470" s="60"/>
      <c r="LDB2470" s="60"/>
      <c r="LDC2470" s="60"/>
      <c r="LDD2470" s="60"/>
      <c r="LDE2470" s="63"/>
      <c r="LDF2470" s="61"/>
      <c r="LDG2470" s="54"/>
      <c r="LDH2470" s="54"/>
      <c r="LDI2470" s="60"/>
      <c r="LDJ2470" s="60"/>
      <c r="LDK2470" s="60"/>
      <c r="LDL2470" s="60"/>
      <c r="LDM2470" s="63"/>
      <c r="LDN2470" s="61"/>
      <c r="LDO2470" s="54"/>
      <c r="LDP2470" s="54"/>
      <c r="LDQ2470" s="60"/>
      <c r="LDR2470" s="60"/>
      <c r="LDS2470" s="60"/>
      <c r="LDT2470" s="60"/>
      <c r="LDU2470" s="63"/>
      <c r="LDV2470" s="61"/>
      <c r="LDW2470" s="54"/>
      <c r="LDX2470" s="54"/>
      <c r="LDY2470" s="60"/>
      <c r="LDZ2470" s="60"/>
      <c r="LEA2470" s="60"/>
      <c r="LEB2470" s="60"/>
      <c r="LEC2470" s="63"/>
      <c r="LED2470" s="61"/>
      <c r="LEE2470" s="54"/>
      <c r="LEF2470" s="54"/>
      <c r="LEG2470" s="60"/>
      <c r="LEH2470" s="60"/>
      <c r="LEI2470" s="60"/>
      <c r="LEJ2470" s="60"/>
      <c r="LEK2470" s="63"/>
      <c r="LEL2470" s="61"/>
      <c r="LEM2470" s="54"/>
      <c r="LEN2470" s="54"/>
      <c r="LEO2470" s="60"/>
      <c r="LEP2470" s="60"/>
      <c r="LEQ2470" s="60"/>
      <c r="LER2470" s="60"/>
      <c r="LES2470" s="63"/>
      <c r="LET2470" s="61"/>
      <c r="LEU2470" s="54"/>
      <c r="LEV2470" s="54"/>
      <c r="LEW2470" s="60"/>
      <c r="LEX2470" s="60"/>
      <c r="LEY2470" s="60"/>
      <c r="LEZ2470" s="60"/>
      <c r="LFA2470" s="63"/>
      <c r="LFB2470" s="61"/>
      <c r="LFC2470" s="54"/>
      <c r="LFD2470" s="54"/>
      <c r="LFE2470" s="60"/>
      <c r="LFF2470" s="60"/>
      <c r="LFG2470" s="60"/>
      <c r="LFH2470" s="60"/>
      <c r="LFI2470" s="63"/>
      <c r="LFJ2470" s="61"/>
      <c r="LFK2470" s="54"/>
      <c r="LFL2470" s="54"/>
      <c r="LFM2470" s="60"/>
      <c r="LFN2470" s="60"/>
      <c r="LFO2470" s="60"/>
      <c r="LFP2470" s="60"/>
      <c r="LFQ2470" s="63"/>
      <c r="LFR2470" s="61"/>
      <c r="LFS2470" s="54"/>
      <c r="LFT2470" s="54"/>
      <c r="LFU2470" s="60"/>
      <c r="LFV2470" s="60"/>
      <c r="LFW2470" s="60"/>
      <c r="LFX2470" s="60"/>
      <c r="LFY2470" s="63"/>
      <c r="LFZ2470" s="61"/>
      <c r="LGA2470" s="54"/>
      <c r="LGB2470" s="54"/>
      <c r="LGC2470" s="60"/>
      <c r="LGD2470" s="60"/>
      <c r="LGE2470" s="60"/>
      <c r="LGF2470" s="60"/>
      <c r="LGG2470" s="63"/>
      <c r="LGH2470" s="61"/>
      <c r="LGI2470" s="54"/>
      <c r="LGJ2470" s="54"/>
      <c r="LGK2470" s="60"/>
      <c r="LGL2470" s="60"/>
      <c r="LGM2470" s="60"/>
      <c r="LGN2470" s="60"/>
      <c r="LGO2470" s="63"/>
      <c r="LGP2470" s="61"/>
      <c r="LGQ2470" s="54"/>
      <c r="LGR2470" s="54"/>
      <c r="LGS2470" s="60"/>
      <c r="LGT2470" s="60"/>
      <c r="LGU2470" s="60"/>
      <c r="LGV2470" s="60"/>
      <c r="LGW2470" s="63"/>
      <c r="LGX2470" s="61"/>
      <c r="LGY2470" s="54"/>
      <c r="LGZ2470" s="54"/>
      <c r="LHA2470" s="60"/>
      <c r="LHB2470" s="60"/>
      <c r="LHC2470" s="60"/>
      <c r="LHD2470" s="60"/>
      <c r="LHE2470" s="63"/>
      <c r="LHF2470" s="61"/>
      <c r="LHG2470" s="54"/>
      <c r="LHH2470" s="54"/>
      <c r="LHI2470" s="60"/>
      <c r="LHJ2470" s="60"/>
      <c r="LHK2470" s="60"/>
      <c r="LHL2470" s="60"/>
      <c r="LHM2470" s="63"/>
      <c r="LHN2470" s="61"/>
      <c r="LHO2470" s="54"/>
      <c r="LHP2470" s="54"/>
      <c r="LHQ2470" s="60"/>
      <c r="LHR2470" s="60"/>
      <c r="LHS2470" s="60"/>
      <c r="LHT2470" s="60"/>
      <c r="LHU2470" s="63"/>
      <c r="LHV2470" s="61"/>
      <c r="LHW2470" s="54"/>
      <c r="LHX2470" s="54"/>
      <c r="LHY2470" s="60"/>
      <c r="LHZ2470" s="60"/>
      <c r="LIA2470" s="60"/>
      <c r="LIB2470" s="60"/>
      <c r="LIC2470" s="63"/>
      <c r="LID2470" s="61"/>
      <c r="LIE2470" s="54"/>
      <c r="LIF2470" s="54"/>
      <c r="LIG2470" s="60"/>
      <c r="LIH2470" s="60"/>
      <c r="LII2470" s="60"/>
      <c r="LIJ2470" s="60"/>
      <c r="LIK2470" s="63"/>
      <c r="LIL2470" s="61"/>
      <c r="LIM2470" s="54"/>
      <c r="LIN2470" s="54"/>
      <c r="LIO2470" s="60"/>
      <c r="LIP2470" s="60"/>
      <c r="LIQ2470" s="60"/>
      <c r="LIR2470" s="60"/>
      <c r="LIS2470" s="63"/>
      <c r="LIT2470" s="61"/>
      <c r="LIU2470" s="54"/>
      <c r="LIV2470" s="54"/>
      <c r="LIW2470" s="60"/>
      <c r="LIX2470" s="60"/>
      <c r="LIY2470" s="60"/>
      <c r="LIZ2470" s="60"/>
      <c r="LJA2470" s="63"/>
      <c r="LJB2470" s="61"/>
      <c r="LJC2470" s="54"/>
      <c r="LJD2470" s="54"/>
      <c r="LJE2470" s="60"/>
      <c r="LJF2470" s="60"/>
      <c r="LJG2470" s="60"/>
      <c r="LJH2470" s="60"/>
      <c r="LJI2470" s="63"/>
      <c r="LJJ2470" s="61"/>
      <c r="LJK2470" s="54"/>
      <c r="LJL2470" s="54"/>
      <c r="LJM2470" s="60"/>
      <c r="LJN2470" s="60"/>
      <c r="LJO2470" s="60"/>
      <c r="LJP2470" s="60"/>
      <c r="LJQ2470" s="63"/>
      <c r="LJR2470" s="61"/>
      <c r="LJS2470" s="54"/>
      <c r="LJT2470" s="54"/>
      <c r="LJU2470" s="60"/>
      <c r="LJV2470" s="60"/>
      <c r="LJW2470" s="60"/>
      <c r="LJX2470" s="60"/>
      <c r="LJY2470" s="63"/>
      <c r="LJZ2470" s="61"/>
      <c r="LKA2470" s="54"/>
      <c r="LKB2470" s="54"/>
      <c r="LKC2470" s="60"/>
      <c r="LKD2470" s="60"/>
      <c r="LKE2470" s="60"/>
      <c r="LKF2470" s="60"/>
      <c r="LKG2470" s="63"/>
      <c r="LKH2470" s="61"/>
      <c r="LKI2470" s="54"/>
      <c r="LKJ2470" s="54"/>
      <c r="LKK2470" s="60"/>
      <c r="LKL2470" s="60"/>
      <c r="LKM2470" s="60"/>
      <c r="LKN2470" s="60"/>
      <c r="LKO2470" s="63"/>
      <c r="LKP2470" s="61"/>
      <c r="LKQ2470" s="54"/>
      <c r="LKR2470" s="54"/>
      <c r="LKS2470" s="60"/>
      <c r="LKT2470" s="60"/>
      <c r="LKU2470" s="60"/>
      <c r="LKV2470" s="60"/>
      <c r="LKW2470" s="63"/>
      <c r="LKX2470" s="61"/>
      <c r="LKY2470" s="54"/>
      <c r="LKZ2470" s="54"/>
      <c r="LLA2470" s="60"/>
      <c r="LLB2470" s="60"/>
      <c r="LLC2470" s="60"/>
      <c r="LLD2470" s="60"/>
      <c r="LLE2470" s="63"/>
      <c r="LLF2470" s="61"/>
      <c r="LLG2470" s="54"/>
      <c r="LLH2470" s="54"/>
      <c r="LLI2470" s="60"/>
      <c r="LLJ2470" s="60"/>
      <c r="LLK2470" s="60"/>
      <c r="LLL2470" s="60"/>
      <c r="LLM2470" s="63"/>
      <c r="LLN2470" s="61"/>
      <c r="LLO2470" s="54"/>
      <c r="LLP2470" s="54"/>
      <c r="LLQ2470" s="60"/>
      <c r="LLR2470" s="60"/>
      <c r="LLS2470" s="60"/>
      <c r="LLT2470" s="60"/>
      <c r="LLU2470" s="63"/>
      <c r="LLV2470" s="61"/>
      <c r="LLW2470" s="54"/>
      <c r="LLX2470" s="54"/>
      <c r="LLY2470" s="60"/>
      <c r="LLZ2470" s="60"/>
      <c r="LMA2470" s="60"/>
      <c r="LMB2470" s="60"/>
      <c r="LMC2470" s="63"/>
      <c r="LMD2470" s="61"/>
      <c r="LME2470" s="54"/>
      <c r="LMF2470" s="54"/>
      <c r="LMG2470" s="60"/>
      <c r="LMH2470" s="60"/>
      <c r="LMI2470" s="60"/>
      <c r="LMJ2470" s="60"/>
      <c r="LMK2470" s="63"/>
      <c r="LML2470" s="61"/>
      <c r="LMM2470" s="54"/>
      <c r="LMN2470" s="54"/>
      <c r="LMO2470" s="60"/>
      <c r="LMP2470" s="60"/>
      <c r="LMQ2470" s="60"/>
      <c r="LMR2470" s="60"/>
      <c r="LMS2470" s="63"/>
      <c r="LMT2470" s="61"/>
      <c r="LMU2470" s="54"/>
      <c r="LMV2470" s="54"/>
      <c r="LMW2470" s="60"/>
      <c r="LMX2470" s="60"/>
      <c r="LMY2470" s="60"/>
      <c r="LMZ2470" s="60"/>
      <c r="LNA2470" s="63"/>
      <c r="LNB2470" s="61"/>
      <c r="LNC2470" s="54"/>
      <c r="LND2470" s="54"/>
      <c r="LNE2470" s="60"/>
      <c r="LNF2470" s="60"/>
      <c r="LNG2470" s="60"/>
      <c r="LNH2470" s="60"/>
      <c r="LNI2470" s="63"/>
      <c r="LNJ2470" s="61"/>
      <c r="LNK2470" s="54"/>
      <c r="LNL2470" s="54"/>
      <c r="LNM2470" s="60"/>
      <c r="LNN2470" s="60"/>
      <c r="LNO2470" s="60"/>
      <c r="LNP2470" s="60"/>
      <c r="LNQ2470" s="63"/>
      <c r="LNR2470" s="61"/>
      <c r="LNS2470" s="54"/>
      <c r="LNT2470" s="54"/>
      <c r="LNU2470" s="60"/>
      <c r="LNV2470" s="60"/>
      <c r="LNW2470" s="60"/>
      <c r="LNX2470" s="60"/>
      <c r="LNY2470" s="63"/>
      <c r="LNZ2470" s="61"/>
      <c r="LOA2470" s="54"/>
      <c r="LOB2470" s="54"/>
      <c r="LOC2470" s="60"/>
      <c r="LOD2470" s="60"/>
      <c r="LOE2470" s="60"/>
      <c r="LOF2470" s="60"/>
      <c r="LOG2470" s="63"/>
      <c r="LOH2470" s="61"/>
      <c r="LOI2470" s="54"/>
      <c r="LOJ2470" s="54"/>
      <c r="LOK2470" s="60"/>
      <c r="LOL2470" s="60"/>
      <c r="LOM2470" s="60"/>
      <c r="LON2470" s="60"/>
      <c r="LOO2470" s="63"/>
      <c r="LOP2470" s="61"/>
      <c r="LOQ2470" s="54"/>
      <c r="LOR2470" s="54"/>
      <c r="LOS2470" s="60"/>
      <c r="LOT2470" s="60"/>
      <c r="LOU2470" s="60"/>
      <c r="LOV2470" s="60"/>
      <c r="LOW2470" s="63"/>
      <c r="LOX2470" s="61"/>
      <c r="LOY2470" s="54"/>
      <c r="LOZ2470" s="54"/>
      <c r="LPA2470" s="60"/>
      <c r="LPB2470" s="60"/>
      <c r="LPC2470" s="60"/>
      <c r="LPD2470" s="60"/>
      <c r="LPE2470" s="63"/>
      <c r="LPF2470" s="61"/>
      <c r="LPG2470" s="54"/>
      <c r="LPH2470" s="54"/>
      <c r="LPI2470" s="60"/>
      <c r="LPJ2470" s="60"/>
      <c r="LPK2470" s="60"/>
      <c r="LPL2470" s="60"/>
      <c r="LPM2470" s="63"/>
      <c r="LPN2470" s="61"/>
      <c r="LPO2470" s="54"/>
      <c r="LPP2470" s="54"/>
      <c r="LPQ2470" s="60"/>
      <c r="LPR2470" s="60"/>
      <c r="LPS2470" s="60"/>
      <c r="LPT2470" s="60"/>
      <c r="LPU2470" s="63"/>
      <c r="LPV2470" s="61"/>
      <c r="LPW2470" s="54"/>
      <c r="LPX2470" s="54"/>
      <c r="LPY2470" s="60"/>
      <c r="LPZ2470" s="60"/>
      <c r="LQA2470" s="60"/>
      <c r="LQB2470" s="60"/>
      <c r="LQC2470" s="63"/>
      <c r="LQD2470" s="61"/>
      <c r="LQE2470" s="54"/>
      <c r="LQF2470" s="54"/>
      <c r="LQG2470" s="60"/>
      <c r="LQH2470" s="60"/>
      <c r="LQI2470" s="60"/>
      <c r="LQJ2470" s="60"/>
      <c r="LQK2470" s="63"/>
      <c r="LQL2470" s="61"/>
      <c r="LQM2470" s="54"/>
      <c r="LQN2470" s="54"/>
      <c r="LQO2470" s="60"/>
      <c r="LQP2470" s="60"/>
      <c r="LQQ2470" s="60"/>
      <c r="LQR2470" s="60"/>
      <c r="LQS2470" s="63"/>
      <c r="LQT2470" s="61"/>
      <c r="LQU2470" s="54"/>
      <c r="LQV2470" s="54"/>
      <c r="LQW2470" s="60"/>
      <c r="LQX2470" s="60"/>
      <c r="LQY2470" s="60"/>
      <c r="LQZ2470" s="60"/>
      <c r="LRA2470" s="63"/>
      <c r="LRB2470" s="61"/>
      <c r="LRC2470" s="54"/>
      <c r="LRD2470" s="54"/>
      <c r="LRE2470" s="60"/>
      <c r="LRF2470" s="60"/>
      <c r="LRG2470" s="60"/>
      <c r="LRH2470" s="60"/>
      <c r="LRI2470" s="63"/>
      <c r="LRJ2470" s="61"/>
      <c r="LRK2470" s="54"/>
      <c r="LRL2470" s="54"/>
      <c r="LRM2470" s="60"/>
      <c r="LRN2470" s="60"/>
      <c r="LRO2470" s="60"/>
      <c r="LRP2470" s="60"/>
      <c r="LRQ2470" s="63"/>
      <c r="LRR2470" s="61"/>
      <c r="LRS2470" s="54"/>
      <c r="LRT2470" s="54"/>
      <c r="LRU2470" s="60"/>
      <c r="LRV2470" s="60"/>
      <c r="LRW2470" s="60"/>
      <c r="LRX2470" s="60"/>
      <c r="LRY2470" s="63"/>
      <c r="LRZ2470" s="61"/>
      <c r="LSA2470" s="54"/>
      <c r="LSB2470" s="54"/>
      <c r="LSC2470" s="60"/>
      <c r="LSD2470" s="60"/>
      <c r="LSE2470" s="60"/>
      <c r="LSF2470" s="60"/>
      <c r="LSG2470" s="63"/>
      <c r="LSH2470" s="61"/>
      <c r="LSI2470" s="54"/>
      <c r="LSJ2470" s="54"/>
      <c r="LSK2470" s="60"/>
      <c r="LSL2470" s="60"/>
      <c r="LSM2470" s="60"/>
      <c r="LSN2470" s="60"/>
      <c r="LSO2470" s="63"/>
      <c r="LSP2470" s="61"/>
      <c r="LSQ2470" s="54"/>
      <c r="LSR2470" s="54"/>
      <c r="LSS2470" s="60"/>
      <c r="LST2470" s="60"/>
      <c r="LSU2470" s="60"/>
      <c r="LSV2470" s="60"/>
      <c r="LSW2470" s="63"/>
      <c r="LSX2470" s="61"/>
      <c r="LSY2470" s="54"/>
      <c r="LSZ2470" s="54"/>
      <c r="LTA2470" s="60"/>
      <c r="LTB2470" s="60"/>
      <c r="LTC2470" s="60"/>
      <c r="LTD2470" s="60"/>
      <c r="LTE2470" s="63"/>
      <c r="LTF2470" s="61"/>
      <c r="LTG2470" s="54"/>
      <c r="LTH2470" s="54"/>
      <c r="LTI2470" s="60"/>
      <c r="LTJ2470" s="60"/>
      <c r="LTK2470" s="60"/>
      <c r="LTL2470" s="60"/>
      <c r="LTM2470" s="63"/>
      <c r="LTN2470" s="61"/>
      <c r="LTO2470" s="54"/>
      <c r="LTP2470" s="54"/>
      <c r="LTQ2470" s="60"/>
      <c r="LTR2470" s="60"/>
      <c r="LTS2470" s="60"/>
      <c r="LTT2470" s="60"/>
      <c r="LTU2470" s="63"/>
      <c r="LTV2470" s="61"/>
      <c r="LTW2470" s="54"/>
      <c r="LTX2470" s="54"/>
      <c r="LTY2470" s="60"/>
      <c r="LTZ2470" s="60"/>
      <c r="LUA2470" s="60"/>
      <c r="LUB2470" s="60"/>
      <c r="LUC2470" s="63"/>
      <c r="LUD2470" s="61"/>
      <c r="LUE2470" s="54"/>
      <c r="LUF2470" s="54"/>
      <c r="LUG2470" s="60"/>
      <c r="LUH2470" s="60"/>
      <c r="LUI2470" s="60"/>
      <c r="LUJ2470" s="60"/>
      <c r="LUK2470" s="63"/>
      <c r="LUL2470" s="61"/>
      <c r="LUM2470" s="54"/>
      <c r="LUN2470" s="54"/>
      <c r="LUO2470" s="60"/>
      <c r="LUP2470" s="60"/>
      <c r="LUQ2470" s="60"/>
      <c r="LUR2470" s="60"/>
      <c r="LUS2470" s="63"/>
      <c r="LUT2470" s="61"/>
      <c r="LUU2470" s="54"/>
      <c r="LUV2470" s="54"/>
      <c r="LUW2470" s="60"/>
      <c r="LUX2470" s="60"/>
      <c r="LUY2470" s="60"/>
      <c r="LUZ2470" s="60"/>
      <c r="LVA2470" s="63"/>
      <c r="LVB2470" s="61"/>
      <c r="LVC2470" s="54"/>
      <c r="LVD2470" s="54"/>
      <c r="LVE2470" s="60"/>
      <c r="LVF2470" s="60"/>
      <c r="LVG2470" s="60"/>
      <c r="LVH2470" s="60"/>
      <c r="LVI2470" s="63"/>
      <c r="LVJ2470" s="61"/>
      <c r="LVK2470" s="54"/>
      <c r="LVL2470" s="54"/>
      <c r="LVM2470" s="60"/>
      <c r="LVN2470" s="60"/>
      <c r="LVO2470" s="60"/>
      <c r="LVP2470" s="60"/>
      <c r="LVQ2470" s="63"/>
      <c r="LVR2470" s="61"/>
      <c r="LVS2470" s="54"/>
      <c r="LVT2470" s="54"/>
      <c r="LVU2470" s="60"/>
      <c r="LVV2470" s="60"/>
      <c r="LVW2470" s="60"/>
      <c r="LVX2470" s="60"/>
      <c r="LVY2470" s="63"/>
      <c r="LVZ2470" s="61"/>
      <c r="LWA2470" s="54"/>
      <c r="LWB2470" s="54"/>
      <c r="LWC2470" s="60"/>
      <c r="LWD2470" s="60"/>
      <c r="LWE2470" s="60"/>
      <c r="LWF2470" s="60"/>
      <c r="LWG2470" s="63"/>
      <c r="LWH2470" s="61"/>
      <c r="LWI2470" s="54"/>
      <c r="LWJ2470" s="54"/>
      <c r="LWK2470" s="60"/>
      <c r="LWL2470" s="60"/>
      <c r="LWM2470" s="60"/>
      <c r="LWN2470" s="60"/>
      <c r="LWO2470" s="63"/>
      <c r="LWP2470" s="61"/>
      <c r="LWQ2470" s="54"/>
      <c r="LWR2470" s="54"/>
      <c r="LWS2470" s="60"/>
      <c r="LWT2470" s="60"/>
      <c r="LWU2470" s="60"/>
      <c r="LWV2470" s="60"/>
      <c r="LWW2470" s="63"/>
      <c r="LWX2470" s="61"/>
      <c r="LWY2470" s="54"/>
      <c r="LWZ2470" s="54"/>
      <c r="LXA2470" s="60"/>
      <c r="LXB2470" s="60"/>
      <c r="LXC2470" s="60"/>
      <c r="LXD2470" s="60"/>
      <c r="LXE2470" s="63"/>
      <c r="LXF2470" s="61"/>
      <c r="LXG2470" s="54"/>
      <c r="LXH2470" s="54"/>
      <c r="LXI2470" s="60"/>
      <c r="LXJ2470" s="60"/>
      <c r="LXK2470" s="60"/>
      <c r="LXL2470" s="60"/>
      <c r="LXM2470" s="63"/>
      <c r="LXN2470" s="61"/>
      <c r="LXO2470" s="54"/>
      <c r="LXP2470" s="54"/>
      <c r="LXQ2470" s="60"/>
      <c r="LXR2470" s="60"/>
      <c r="LXS2470" s="60"/>
      <c r="LXT2470" s="60"/>
      <c r="LXU2470" s="63"/>
      <c r="LXV2470" s="61"/>
      <c r="LXW2470" s="54"/>
      <c r="LXX2470" s="54"/>
      <c r="LXY2470" s="60"/>
      <c r="LXZ2470" s="60"/>
      <c r="LYA2470" s="60"/>
      <c r="LYB2470" s="60"/>
      <c r="LYC2470" s="63"/>
      <c r="LYD2470" s="61"/>
      <c r="LYE2470" s="54"/>
      <c r="LYF2470" s="54"/>
      <c r="LYG2470" s="60"/>
      <c r="LYH2470" s="60"/>
      <c r="LYI2470" s="60"/>
      <c r="LYJ2470" s="60"/>
      <c r="LYK2470" s="63"/>
      <c r="LYL2470" s="61"/>
      <c r="LYM2470" s="54"/>
      <c r="LYN2470" s="54"/>
      <c r="LYO2470" s="60"/>
      <c r="LYP2470" s="60"/>
      <c r="LYQ2470" s="60"/>
      <c r="LYR2470" s="60"/>
      <c r="LYS2470" s="63"/>
      <c r="LYT2470" s="61"/>
      <c r="LYU2470" s="54"/>
      <c r="LYV2470" s="54"/>
      <c r="LYW2470" s="60"/>
      <c r="LYX2470" s="60"/>
      <c r="LYY2470" s="60"/>
      <c r="LYZ2470" s="60"/>
      <c r="LZA2470" s="63"/>
      <c r="LZB2470" s="61"/>
      <c r="LZC2470" s="54"/>
      <c r="LZD2470" s="54"/>
      <c r="LZE2470" s="60"/>
      <c r="LZF2470" s="60"/>
      <c r="LZG2470" s="60"/>
      <c r="LZH2470" s="60"/>
      <c r="LZI2470" s="63"/>
      <c r="LZJ2470" s="61"/>
      <c r="LZK2470" s="54"/>
      <c r="LZL2470" s="54"/>
      <c r="LZM2470" s="60"/>
      <c r="LZN2470" s="60"/>
      <c r="LZO2470" s="60"/>
      <c r="LZP2470" s="60"/>
      <c r="LZQ2470" s="63"/>
      <c r="LZR2470" s="61"/>
      <c r="LZS2470" s="54"/>
      <c r="LZT2470" s="54"/>
      <c r="LZU2470" s="60"/>
      <c r="LZV2470" s="60"/>
      <c r="LZW2470" s="60"/>
      <c r="LZX2470" s="60"/>
      <c r="LZY2470" s="63"/>
      <c r="LZZ2470" s="61"/>
      <c r="MAA2470" s="54"/>
      <c r="MAB2470" s="54"/>
      <c r="MAC2470" s="60"/>
      <c r="MAD2470" s="60"/>
      <c r="MAE2470" s="60"/>
      <c r="MAF2470" s="60"/>
      <c r="MAG2470" s="63"/>
      <c r="MAH2470" s="61"/>
      <c r="MAI2470" s="54"/>
      <c r="MAJ2470" s="54"/>
      <c r="MAK2470" s="60"/>
      <c r="MAL2470" s="60"/>
      <c r="MAM2470" s="60"/>
      <c r="MAN2470" s="60"/>
      <c r="MAO2470" s="63"/>
      <c r="MAP2470" s="61"/>
      <c r="MAQ2470" s="54"/>
      <c r="MAR2470" s="54"/>
      <c r="MAS2470" s="60"/>
      <c r="MAT2470" s="60"/>
      <c r="MAU2470" s="60"/>
      <c r="MAV2470" s="60"/>
      <c r="MAW2470" s="63"/>
      <c r="MAX2470" s="61"/>
      <c r="MAY2470" s="54"/>
      <c r="MAZ2470" s="54"/>
      <c r="MBA2470" s="60"/>
      <c r="MBB2470" s="60"/>
      <c r="MBC2470" s="60"/>
      <c r="MBD2470" s="60"/>
      <c r="MBE2470" s="63"/>
      <c r="MBF2470" s="61"/>
      <c r="MBG2470" s="54"/>
      <c r="MBH2470" s="54"/>
      <c r="MBI2470" s="60"/>
      <c r="MBJ2470" s="60"/>
      <c r="MBK2470" s="60"/>
      <c r="MBL2470" s="60"/>
      <c r="MBM2470" s="63"/>
      <c r="MBN2470" s="61"/>
      <c r="MBO2470" s="54"/>
      <c r="MBP2470" s="54"/>
      <c r="MBQ2470" s="60"/>
      <c r="MBR2470" s="60"/>
      <c r="MBS2470" s="60"/>
      <c r="MBT2470" s="60"/>
      <c r="MBU2470" s="63"/>
      <c r="MBV2470" s="61"/>
      <c r="MBW2470" s="54"/>
      <c r="MBX2470" s="54"/>
      <c r="MBY2470" s="60"/>
      <c r="MBZ2470" s="60"/>
      <c r="MCA2470" s="60"/>
      <c r="MCB2470" s="60"/>
      <c r="MCC2470" s="63"/>
      <c r="MCD2470" s="61"/>
      <c r="MCE2470" s="54"/>
      <c r="MCF2470" s="54"/>
      <c r="MCG2470" s="60"/>
      <c r="MCH2470" s="60"/>
      <c r="MCI2470" s="60"/>
      <c r="MCJ2470" s="60"/>
      <c r="MCK2470" s="63"/>
      <c r="MCL2470" s="61"/>
      <c r="MCM2470" s="54"/>
      <c r="MCN2470" s="54"/>
      <c r="MCO2470" s="60"/>
      <c r="MCP2470" s="60"/>
      <c r="MCQ2470" s="60"/>
      <c r="MCR2470" s="60"/>
      <c r="MCS2470" s="63"/>
      <c r="MCT2470" s="61"/>
      <c r="MCU2470" s="54"/>
      <c r="MCV2470" s="54"/>
      <c r="MCW2470" s="60"/>
      <c r="MCX2470" s="60"/>
      <c r="MCY2470" s="60"/>
      <c r="MCZ2470" s="60"/>
      <c r="MDA2470" s="63"/>
      <c r="MDB2470" s="61"/>
      <c r="MDC2470" s="54"/>
      <c r="MDD2470" s="54"/>
      <c r="MDE2470" s="60"/>
      <c r="MDF2470" s="60"/>
      <c r="MDG2470" s="60"/>
      <c r="MDH2470" s="60"/>
      <c r="MDI2470" s="63"/>
      <c r="MDJ2470" s="61"/>
      <c r="MDK2470" s="54"/>
      <c r="MDL2470" s="54"/>
      <c r="MDM2470" s="60"/>
      <c r="MDN2470" s="60"/>
      <c r="MDO2470" s="60"/>
      <c r="MDP2470" s="60"/>
      <c r="MDQ2470" s="63"/>
      <c r="MDR2470" s="61"/>
      <c r="MDS2470" s="54"/>
      <c r="MDT2470" s="54"/>
      <c r="MDU2470" s="60"/>
      <c r="MDV2470" s="60"/>
      <c r="MDW2470" s="60"/>
      <c r="MDX2470" s="60"/>
      <c r="MDY2470" s="63"/>
      <c r="MDZ2470" s="61"/>
      <c r="MEA2470" s="54"/>
      <c r="MEB2470" s="54"/>
      <c r="MEC2470" s="60"/>
      <c r="MED2470" s="60"/>
      <c r="MEE2470" s="60"/>
      <c r="MEF2470" s="60"/>
      <c r="MEG2470" s="63"/>
      <c r="MEH2470" s="61"/>
      <c r="MEI2470" s="54"/>
      <c r="MEJ2470" s="54"/>
      <c r="MEK2470" s="60"/>
      <c r="MEL2470" s="60"/>
      <c r="MEM2470" s="60"/>
      <c r="MEN2470" s="60"/>
      <c r="MEO2470" s="63"/>
      <c r="MEP2470" s="61"/>
      <c r="MEQ2470" s="54"/>
      <c r="MER2470" s="54"/>
      <c r="MES2470" s="60"/>
      <c r="MET2470" s="60"/>
      <c r="MEU2470" s="60"/>
      <c r="MEV2470" s="60"/>
      <c r="MEW2470" s="63"/>
      <c r="MEX2470" s="61"/>
      <c r="MEY2470" s="54"/>
      <c r="MEZ2470" s="54"/>
      <c r="MFA2470" s="60"/>
      <c r="MFB2470" s="60"/>
      <c r="MFC2470" s="60"/>
      <c r="MFD2470" s="60"/>
      <c r="MFE2470" s="63"/>
      <c r="MFF2470" s="61"/>
      <c r="MFG2470" s="54"/>
      <c r="MFH2470" s="54"/>
      <c r="MFI2470" s="60"/>
      <c r="MFJ2470" s="60"/>
      <c r="MFK2470" s="60"/>
      <c r="MFL2470" s="60"/>
      <c r="MFM2470" s="63"/>
      <c r="MFN2470" s="61"/>
      <c r="MFO2470" s="54"/>
      <c r="MFP2470" s="54"/>
      <c r="MFQ2470" s="60"/>
      <c r="MFR2470" s="60"/>
      <c r="MFS2470" s="60"/>
      <c r="MFT2470" s="60"/>
      <c r="MFU2470" s="63"/>
      <c r="MFV2470" s="61"/>
      <c r="MFW2470" s="54"/>
      <c r="MFX2470" s="54"/>
      <c r="MFY2470" s="60"/>
      <c r="MFZ2470" s="60"/>
      <c r="MGA2470" s="60"/>
      <c r="MGB2470" s="60"/>
      <c r="MGC2470" s="63"/>
      <c r="MGD2470" s="61"/>
      <c r="MGE2470" s="54"/>
      <c r="MGF2470" s="54"/>
      <c r="MGG2470" s="60"/>
      <c r="MGH2470" s="60"/>
      <c r="MGI2470" s="60"/>
      <c r="MGJ2470" s="60"/>
      <c r="MGK2470" s="63"/>
      <c r="MGL2470" s="61"/>
      <c r="MGM2470" s="54"/>
      <c r="MGN2470" s="54"/>
      <c r="MGO2470" s="60"/>
      <c r="MGP2470" s="60"/>
      <c r="MGQ2470" s="60"/>
      <c r="MGR2470" s="60"/>
      <c r="MGS2470" s="63"/>
      <c r="MGT2470" s="61"/>
      <c r="MGU2470" s="54"/>
      <c r="MGV2470" s="54"/>
      <c r="MGW2470" s="60"/>
      <c r="MGX2470" s="60"/>
      <c r="MGY2470" s="60"/>
      <c r="MGZ2470" s="60"/>
      <c r="MHA2470" s="63"/>
      <c r="MHB2470" s="61"/>
      <c r="MHC2470" s="54"/>
      <c r="MHD2470" s="54"/>
      <c r="MHE2470" s="60"/>
      <c r="MHF2470" s="60"/>
      <c r="MHG2470" s="60"/>
      <c r="MHH2470" s="60"/>
      <c r="MHI2470" s="63"/>
      <c r="MHJ2470" s="61"/>
      <c r="MHK2470" s="54"/>
      <c r="MHL2470" s="54"/>
      <c r="MHM2470" s="60"/>
      <c r="MHN2470" s="60"/>
      <c r="MHO2470" s="60"/>
      <c r="MHP2470" s="60"/>
      <c r="MHQ2470" s="63"/>
      <c r="MHR2470" s="61"/>
      <c r="MHS2470" s="54"/>
      <c r="MHT2470" s="54"/>
      <c r="MHU2470" s="60"/>
      <c r="MHV2470" s="60"/>
      <c r="MHW2470" s="60"/>
      <c r="MHX2470" s="60"/>
      <c r="MHY2470" s="63"/>
      <c r="MHZ2470" s="61"/>
      <c r="MIA2470" s="54"/>
      <c r="MIB2470" s="54"/>
      <c r="MIC2470" s="60"/>
      <c r="MID2470" s="60"/>
      <c r="MIE2470" s="60"/>
      <c r="MIF2470" s="60"/>
      <c r="MIG2470" s="63"/>
      <c r="MIH2470" s="61"/>
      <c r="MII2470" s="54"/>
      <c r="MIJ2470" s="54"/>
      <c r="MIK2470" s="60"/>
      <c r="MIL2470" s="60"/>
      <c r="MIM2470" s="60"/>
      <c r="MIN2470" s="60"/>
      <c r="MIO2470" s="63"/>
      <c r="MIP2470" s="61"/>
      <c r="MIQ2470" s="54"/>
      <c r="MIR2470" s="54"/>
      <c r="MIS2470" s="60"/>
      <c r="MIT2470" s="60"/>
      <c r="MIU2470" s="60"/>
      <c r="MIV2470" s="60"/>
      <c r="MIW2470" s="63"/>
      <c r="MIX2470" s="61"/>
      <c r="MIY2470" s="54"/>
      <c r="MIZ2470" s="54"/>
      <c r="MJA2470" s="60"/>
      <c r="MJB2470" s="60"/>
      <c r="MJC2470" s="60"/>
      <c r="MJD2470" s="60"/>
      <c r="MJE2470" s="63"/>
      <c r="MJF2470" s="61"/>
      <c r="MJG2470" s="54"/>
      <c r="MJH2470" s="54"/>
      <c r="MJI2470" s="60"/>
      <c r="MJJ2470" s="60"/>
      <c r="MJK2470" s="60"/>
      <c r="MJL2470" s="60"/>
      <c r="MJM2470" s="63"/>
      <c r="MJN2470" s="61"/>
      <c r="MJO2470" s="54"/>
      <c r="MJP2470" s="54"/>
      <c r="MJQ2470" s="60"/>
      <c r="MJR2470" s="60"/>
      <c r="MJS2470" s="60"/>
      <c r="MJT2470" s="60"/>
      <c r="MJU2470" s="63"/>
      <c r="MJV2470" s="61"/>
      <c r="MJW2470" s="54"/>
      <c r="MJX2470" s="54"/>
      <c r="MJY2470" s="60"/>
      <c r="MJZ2470" s="60"/>
      <c r="MKA2470" s="60"/>
      <c r="MKB2470" s="60"/>
      <c r="MKC2470" s="63"/>
      <c r="MKD2470" s="61"/>
      <c r="MKE2470" s="54"/>
      <c r="MKF2470" s="54"/>
      <c r="MKG2470" s="60"/>
      <c r="MKH2470" s="60"/>
      <c r="MKI2470" s="60"/>
      <c r="MKJ2470" s="60"/>
      <c r="MKK2470" s="63"/>
      <c r="MKL2470" s="61"/>
      <c r="MKM2470" s="54"/>
      <c r="MKN2470" s="54"/>
      <c r="MKO2470" s="60"/>
      <c r="MKP2470" s="60"/>
      <c r="MKQ2470" s="60"/>
      <c r="MKR2470" s="60"/>
      <c r="MKS2470" s="63"/>
      <c r="MKT2470" s="61"/>
      <c r="MKU2470" s="54"/>
      <c r="MKV2470" s="54"/>
      <c r="MKW2470" s="60"/>
      <c r="MKX2470" s="60"/>
      <c r="MKY2470" s="60"/>
      <c r="MKZ2470" s="60"/>
      <c r="MLA2470" s="63"/>
      <c r="MLB2470" s="61"/>
      <c r="MLC2470" s="54"/>
      <c r="MLD2470" s="54"/>
      <c r="MLE2470" s="60"/>
      <c r="MLF2470" s="60"/>
      <c r="MLG2470" s="60"/>
      <c r="MLH2470" s="60"/>
      <c r="MLI2470" s="63"/>
      <c r="MLJ2470" s="61"/>
      <c r="MLK2470" s="54"/>
      <c r="MLL2470" s="54"/>
      <c r="MLM2470" s="60"/>
      <c r="MLN2470" s="60"/>
      <c r="MLO2470" s="60"/>
      <c r="MLP2470" s="60"/>
      <c r="MLQ2470" s="63"/>
      <c r="MLR2470" s="61"/>
      <c r="MLS2470" s="54"/>
      <c r="MLT2470" s="54"/>
      <c r="MLU2470" s="60"/>
      <c r="MLV2470" s="60"/>
      <c r="MLW2470" s="60"/>
      <c r="MLX2470" s="60"/>
      <c r="MLY2470" s="63"/>
      <c r="MLZ2470" s="61"/>
      <c r="MMA2470" s="54"/>
      <c r="MMB2470" s="54"/>
      <c r="MMC2470" s="60"/>
      <c r="MMD2470" s="60"/>
      <c r="MME2470" s="60"/>
      <c r="MMF2470" s="60"/>
      <c r="MMG2470" s="63"/>
      <c r="MMH2470" s="61"/>
      <c r="MMI2470" s="54"/>
      <c r="MMJ2470" s="54"/>
      <c r="MMK2470" s="60"/>
      <c r="MML2470" s="60"/>
      <c r="MMM2470" s="60"/>
      <c r="MMN2470" s="60"/>
      <c r="MMO2470" s="63"/>
      <c r="MMP2470" s="61"/>
      <c r="MMQ2470" s="54"/>
      <c r="MMR2470" s="54"/>
      <c r="MMS2470" s="60"/>
      <c r="MMT2470" s="60"/>
      <c r="MMU2470" s="60"/>
      <c r="MMV2470" s="60"/>
      <c r="MMW2470" s="63"/>
      <c r="MMX2470" s="61"/>
      <c r="MMY2470" s="54"/>
      <c r="MMZ2470" s="54"/>
      <c r="MNA2470" s="60"/>
      <c r="MNB2470" s="60"/>
      <c r="MNC2470" s="60"/>
      <c r="MND2470" s="60"/>
      <c r="MNE2470" s="63"/>
      <c r="MNF2470" s="61"/>
      <c r="MNG2470" s="54"/>
      <c r="MNH2470" s="54"/>
      <c r="MNI2470" s="60"/>
      <c r="MNJ2470" s="60"/>
      <c r="MNK2470" s="60"/>
      <c r="MNL2470" s="60"/>
      <c r="MNM2470" s="63"/>
      <c r="MNN2470" s="61"/>
      <c r="MNO2470" s="54"/>
      <c r="MNP2470" s="54"/>
      <c r="MNQ2470" s="60"/>
      <c r="MNR2470" s="60"/>
      <c r="MNS2470" s="60"/>
      <c r="MNT2470" s="60"/>
      <c r="MNU2470" s="63"/>
      <c r="MNV2470" s="61"/>
      <c r="MNW2470" s="54"/>
      <c r="MNX2470" s="54"/>
      <c r="MNY2470" s="60"/>
      <c r="MNZ2470" s="60"/>
      <c r="MOA2470" s="60"/>
      <c r="MOB2470" s="60"/>
      <c r="MOC2470" s="63"/>
      <c r="MOD2470" s="61"/>
      <c r="MOE2470" s="54"/>
      <c r="MOF2470" s="54"/>
      <c r="MOG2470" s="60"/>
      <c r="MOH2470" s="60"/>
      <c r="MOI2470" s="60"/>
      <c r="MOJ2470" s="60"/>
      <c r="MOK2470" s="63"/>
      <c r="MOL2470" s="61"/>
      <c r="MOM2470" s="54"/>
      <c r="MON2470" s="54"/>
      <c r="MOO2470" s="60"/>
      <c r="MOP2470" s="60"/>
      <c r="MOQ2470" s="60"/>
      <c r="MOR2470" s="60"/>
      <c r="MOS2470" s="63"/>
      <c r="MOT2470" s="61"/>
      <c r="MOU2470" s="54"/>
      <c r="MOV2470" s="54"/>
      <c r="MOW2470" s="60"/>
      <c r="MOX2470" s="60"/>
      <c r="MOY2470" s="60"/>
      <c r="MOZ2470" s="60"/>
      <c r="MPA2470" s="63"/>
      <c r="MPB2470" s="61"/>
      <c r="MPC2470" s="54"/>
      <c r="MPD2470" s="54"/>
      <c r="MPE2470" s="60"/>
      <c r="MPF2470" s="60"/>
      <c r="MPG2470" s="60"/>
      <c r="MPH2470" s="60"/>
      <c r="MPI2470" s="63"/>
      <c r="MPJ2470" s="61"/>
      <c r="MPK2470" s="54"/>
      <c r="MPL2470" s="54"/>
      <c r="MPM2470" s="60"/>
      <c r="MPN2470" s="60"/>
      <c r="MPO2470" s="60"/>
      <c r="MPP2470" s="60"/>
      <c r="MPQ2470" s="63"/>
      <c r="MPR2470" s="61"/>
      <c r="MPS2470" s="54"/>
      <c r="MPT2470" s="54"/>
      <c r="MPU2470" s="60"/>
      <c r="MPV2470" s="60"/>
      <c r="MPW2470" s="60"/>
      <c r="MPX2470" s="60"/>
      <c r="MPY2470" s="63"/>
      <c r="MPZ2470" s="61"/>
      <c r="MQA2470" s="54"/>
      <c r="MQB2470" s="54"/>
      <c r="MQC2470" s="60"/>
      <c r="MQD2470" s="60"/>
      <c r="MQE2470" s="60"/>
      <c r="MQF2470" s="60"/>
      <c r="MQG2470" s="63"/>
      <c r="MQH2470" s="61"/>
      <c r="MQI2470" s="54"/>
      <c r="MQJ2470" s="54"/>
      <c r="MQK2470" s="60"/>
      <c r="MQL2470" s="60"/>
      <c r="MQM2470" s="60"/>
      <c r="MQN2470" s="60"/>
      <c r="MQO2470" s="63"/>
      <c r="MQP2470" s="61"/>
      <c r="MQQ2470" s="54"/>
      <c r="MQR2470" s="54"/>
      <c r="MQS2470" s="60"/>
      <c r="MQT2470" s="60"/>
      <c r="MQU2470" s="60"/>
      <c r="MQV2470" s="60"/>
      <c r="MQW2470" s="63"/>
      <c r="MQX2470" s="61"/>
      <c r="MQY2470" s="54"/>
      <c r="MQZ2470" s="54"/>
      <c r="MRA2470" s="60"/>
      <c r="MRB2470" s="60"/>
      <c r="MRC2470" s="60"/>
      <c r="MRD2470" s="60"/>
      <c r="MRE2470" s="63"/>
      <c r="MRF2470" s="61"/>
      <c r="MRG2470" s="54"/>
      <c r="MRH2470" s="54"/>
      <c r="MRI2470" s="60"/>
      <c r="MRJ2470" s="60"/>
      <c r="MRK2470" s="60"/>
      <c r="MRL2470" s="60"/>
      <c r="MRM2470" s="63"/>
      <c r="MRN2470" s="61"/>
      <c r="MRO2470" s="54"/>
      <c r="MRP2470" s="54"/>
      <c r="MRQ2470" s="60"/>
      <c r="MRR2470" s="60"/>
      <c r="MRS2470" s="60"/>
      <c r="MRT2470" s="60"/>
      <c r="MRU2470" s="63"/>
      <c r="MRV2470" s="61"/>
      <c r="MRW2470" s="54"/>
      <c r="MRX2470" s="54"/>
      <c r="MRY2470" s="60"/>
      <c r="MRZ2470" s="60"/>
      <c r="MSA2470" s="60"/>
      <c r="MSB2470" s="60"/>
      <c r="MSC2470" s="63"/>
      <c r="MSD2470" s="61"/>
      <c r="MSE2470" s="54"/>
      <c r="MSF2470" s="54"/>
      <c r="MSG2470" s="60"/>
      <c r="MSH2470" s="60"/>
      <c r="MSI2470" s="60"/>
      <c r="MSJ2470" s="60"/>
      <c r="MSK2470" s="63"/>
      <c r="MSL2470" s="61"/>
      <c r="MSM2470" s="54"/>
      <c r="MSN2470" s="54"/>
      <c r="MSO2470" s="60"/>
      <c r="MSP2470" s="60"/>
      <c r="MSQ2470" s="60"/>
      <c r="MSR2470" s="60"/>
      <c r="MSS2470" s="63"/>
      <c r="MST2470" s="61"/>
      <c r="MSU2470" s="54"/>
      <c r="MSV2470" s="54"/>
      <c r="MSW2470" s="60"/>
      <c r="MSX2470" s="60"/>
      <c r="MSY2470" s="60"/>
      <c r="MSZ2470" s="60"/>
      <c r="MTA2470" s="63"/>
      <c r="MTB2470" s="61"/>
      <c r="MTC2470" s="54"/>
      <c r="MTD2470" s="54"/>
      <c r="MTE2470" s="60"/>
      <c r="MTF2470" s="60"/>
      <c r="MTG2470" s="60"/>
      <c r="MTH2470" s="60"/>
      <c r="MTI2470" s="63"/>
      <c r="MTJ2470" s="61"/>
      <c r="MTK2470" s="54"/>
      <c r="MTL2470" s="54"/>
      <c r="MTM2470" s="60"/>
      <c r="MTN2470" s="60"/>
      <c r="MTO2470" s="60"/>
      <c r="MTP2470" s="60"/>
      <c r="MTQ2470" s="63"/>
      <c r="MTR2470" s="61"/>
      <c r="MTS2470" s="54"/>
      <c r="MTT2470" s="54"/>
      <c r="MTU2470" s="60"/>
      <c r="MTV2470" s="60"/>
      <c r="MTW2470" s="60"/>
      <c r="MTX2470" s="60"/>
      <c r="MTY2470" s="63"/>
      <c r="MTZ2470" s="61"/>
      <c r="MUA2470" s="54"/>
      <c r="MUB2470" s="54"/>
      <c r="MUC2470" s="60"/>
      <c r="MUD2470" s="60"/>
      <c r="MUE2470" s="60"/>
      <c r="MUF2470" s="60"/>
      <c r="MUG2470" s="63"/>
      <c r="MUH2470" s="61"/>
      <c r="MUI2470" s="54"/>
      <c r="MUJ2470" s="54"/>
      <c r="MUK2470" s="60"/>
      <c r="MUL2470" s="60"/>
      <c r="MUM2470" s="60"/>
      <c r="MUN2470" s="60"/>
      <c r="MUO2470" s="63"/>
      <c r="MUP2470" s="61"/>
      <c r="MUQ2470" s="54"/>
      <c r="MUR2470" s="54"/>
      <c r="MUS2470" s="60"/>
      <c r="MUT2470" s="60"/>
      <c r="MUU2470" s="60"/>
      <c r="MUV2470" s="60"/>
      <c r="MUW2470" s="63"/>
      <c r="MUX2470" s="61"/>
      <c r="MUY2470" s="54"/>
      <c r="MUZ2470" s="54"/>
      <c r="MVA2470" s="60"/>
      <c r="MVB2470" s="60"/>
      <c r="MVC2470" s="60"/>
      <c r="MVD2470" s="60"/>
      <c r="MVE2470" s="63"/>
      <c r="MVF2470" s="61"/>
      <c r="MVG2470" s="54"/>
      <c r="MVH2470" s="54"/>
      <c r="MVI2470" s="60"/>
      <c r="MVJ2470" s="60"/>
      <c r="MVK2470" s="60"/>
      <c r="MVL2470" s="60"/>
      <c r="MVM2470" s="63"/>
      <c r="MVN2470" s="61"/>
      <c r="MVO2470" s="54"/>
      <c r="MVP2470" s="54"/>
      <c r="MVQ2470" s="60"/>
      <c r="MVR2470" s="60"/>
      <c r="MVS2470" s="60"/>
      <c r="MVT2470" s="60"/>
      <c r="MVU2470" s="63"/>
      <c r="MVV2470" s="61"/>
      <c r="MVW2470" s="54"/>
      <c r="MVX2470" s="54"/>
      <c r="MVY2470" s="60"/>
      <c r="MVZ2470" s="60"/>
      <c r="MWA2470" s="60"/>
      <c r="MWB2470" s="60"/>
      <c r="MWC2470" s="63"/>
      <c r="MWD2470" s="61"/>
      <c r="MWE2470" s="54"/>
      <c r="MWF2470" s="54"/>
      <c r="MWG2470" s="60"/>
      <c r="MWH2470" s="60"/>
      <c r="MWI2470" s="60"/>
      <c r="MWJ2470" s="60"/>
      <c r="MWK2470" s="63"/>
      <c r="MWL2470" s="61"/>
      <c r="MWM2470" s="54"/>
      <c r="MWN2470" s="54"/>
      <c r="MWO2470" s="60"/>
      <c r="MWP2470" s="60"/>
      <c r="MWQ2470" s="60"/>
      <c r="MWR2470" s="60"/>
      <c r="MWS2470" s="63"/>
      <c r="MWT2470" s="61"/>
      <c r="MWU2470" s="54"/>
      <c r="MWV2470" s="54"/>
      <c r="MWW2470" s="60"/>
      <c r="MWX2470" s="60"/>
      <c r="MWY2470" s="60"/>
      <c r="MWZ2470" s="60"/>
      <c r="MXA2470" s="63"/>
      <c r="MXB2470" s="61"/>
      <c r="MXC2470" s="54"/>
      <c r="MXD2470" s="54"/>
      <c r="MXE2470" s="60"/>
      <c r="MXF2470" s="60"/>
      <c r="MXG2470" s="60"/>
      <c r="MXH2470" s="60"/>
      <c r="MXI2470" s="63"/>
      <c r="MXJ2470" s="61"/>
      <c r="MXK2470" s="54"/>
      <c r="MXL2470" s="54"/>
      <c r="MXM2470" s="60"/>
      <c r="MXN2470" s="60"/>
      <c r="MXO2470" s="60"/>
      <c r="MXP2470" s="60"/>
      <c r="MXQ2470" s="63"/>
      <c r="MXR2470" s="61"/>
      <c r="MXS2470" s="54"/>
      <c r="MXT2470" s="54"/>
      <c r="MXU2470" s="60"/>
      <c r="MXV2470" s="60"/>
      <c r="MXW2470" s="60"/>
      <c r="MXX2470" s="60"/>
      <c r="MXY2470" s="63"/>
      <c r="MXZ2470" s="61"/>
      <c r="MYA2470" s="54"/>
      <c r="MYB2470" s="54"/>
      <c r="MYC2470" s="60"/>
      <c r="MYD2470" s="60"/>
      <c r="MYE2470" s="60"/>
      <c r="MYF2470" s="60"/>
      <c r="MYG2470" s="63"/>
      <c r="MYH2470" s="61"/>
      <c r="MYI2470" s="54"/>
      <c r="MYJ2470" s="54"/>
      <c r="MYK2470" s="60"/>
      <c r="MYL2470" s="60"/>
      <c r="MYM2470" s="60"/>
      <c r="MYN2470" s="60"/>
      <c r="MYO2470" s="63"/>
      <c r="MYP2470" s="61"/>
      <c r="MYQ2470" s="54"/>
      <c r="MYR2470" s="54"/>
      <c r="MYS2470" s="60"/>
      <c r="MYT2470" s="60"/>
      <c r="MYU2470" s="60"/>
      <c r="MYV2470" s="60"/>
      <c r="MYW2470" s="63"/>
      <c r="MYX2470" s="61"/>
      <c r="MYY2470" s="54"/>
      <c r="MYZ2470" s="54"/>
      <c r="MZA2470" s="60"/>
      <c r="MZB2470" s="60"/>
      <c r="MZC2470" s="60"/>
      <c r="MZD2470" s="60"/>
      <c r="MZE2470" s="63"/>
      <c r="MZF2470" s="61"/>
      <c r="MZG2470" s="54"/>
      <c r="MZH2470" s="54"/>
      <c r="MZI2470" s="60"/>
      <c r="MZJ2470" s="60"/>
      <c r="MZK2470" s="60"/>
      <c r="MZL2470" s="60"/>
      <c r="MZM2470" s="63"/>
      <c r="MZN2470" s="61"/>
      <c r="MZO2470" s="54"/>
      <c r="MZP2470" s="54"/>
      <c r="MZQ2470" s="60"/>
      <c r="MZR2470" s="60"/>
      <c r="MZS2470" s="60"/>
      <c r="MZT2470" s="60"/>
      <c r="MZU2470" s="63"/>
      <c r="MZV2470" s="61"/>
      <c r="MZW2470" s="54"/>
      <c r="MZX2470" s="54"/>
      <c r="MZY2470" s="60"/>
      <c r="MZZ2470" s="60"/>
      <c r="NAA2470" s="60"/>
      <c r="NAB2470" s="60"/>
      <c r="NAC2470" s="63"/>
      <c r="NAD2470" s="61"/>
      <c r="NAE2470" s="54"/>
      <c r="NAF2470" s="54"/>
      <c r="NAG2470" s="60"/>
      <c r="NAH2470" s="60"/>
      <c r="NAI2470" s="60"/>
      <c r="NAJ2470" s="60"/>
      <c r="NAK2470" s="63"/>
      <c r="NAL2470" s="61"/>
      <c r="NAM2470" s="54"/>
      <c r="NAN2470" s="54"/>
      <c r="NAO2470" s="60"/>
      <c r="NAP2470" s="60"/>
      <c r="NAQ2470" s="60"/>
      <c r="NAR2470" s="60"/>
      <c r="NAS2470" s="63"/>
      <c r="NAT2470" s="61"/>
      <c r="NAU2470" s="54"/>
      <c r="NAV2470" s="54"/>
      <c r="NAW2470" s="60"/>
      <c r="NAX2470" s="60"/>
      <c r="NAY2470" s="60"/>
      <c r="NAZ2470" s="60"/>
      <c r="NBA2470" s="63"/>
      <c r="NBB2470" s="61"/>
      <c r="NBC2470" s="54"/>
      <c r="NBD2470" s="54"/>
      <c r="NBE2470" s="60"/>
      <c r="NBF2470" s="60"/>
      <c r="NBG2470" s="60"/>
      <c r="NBH2470" s="60"/>
      <c r="NBI2470" s="63"/>
      <c r="NBJ2470" s="61"/>
      <c r="NBK2470" s="54"/>
      <c r="NBL2470" s="54"/>
      <c r="NBM2470" s="60"/>
      <c r="NBN2470" s="60"/>
      <c r="NBO2470" s="60"/>
      <c r="NBP2470" s="60"/>
      <c r="NBQ2470" s="63"/>
      <c r="NBR2470" s="61"/>
      <c r="NBS2470" s="54"/>
      <c r="NBT2470" s="54"/>
      <c r="NBU2470" s="60"/>
      <c r="NBV2470" s="60"/>
      <c r="NBW2470" s="60"/>
      <c r="NBX2470" s="60"/>
      <c r="NBY2470" s="63"/>
      <c r="NBZ2470" s="61"/>
      <c r="NCA2470" s="54"/>
      <c r="NCB2470" s="54"/>
      <c r="NCC2470" s="60"/>
      <c r="NCD2470" s="60"/>
      <c r="NCE2470" s="60"/>
      <c r="NCF2470" s="60"/>
      <c r="NCG2470" s="63"/>
      <c r="NCH2470" s="61"/>
      <c r="NCI2470" s="54"/>
      <c r="NCJ2470" s="54"/>
      <c r="NCK2470" s="60"/>
      <c r="NCL2470" s="60"/>
      <c r="NCM2470" s="60"/>
      <c r="NCN2470" s="60"/>
      <c r="NCO2470" s="63"/>
      <c r="NCP2470" s="61"/>
      <c r="NCQ2470" s="54"/>
      <c r="NCR2470" s="54"/>
      <c r="NCS2470" s="60"/>
      <c r="NCT2470" s="60"/>
      <c r="NCU2470" s="60"/>
      <c r="NCV2470" s="60"/>
      <c r="NCW2470" s="63"/>
      <c r="NCX2470" s="61"/>
      <c r="NCY2470" s="54"/>
      <c r="NCZ2470" s="54"/>
      <c r="NDA2470" s="60"/>
      <c r="NDB2470" s="60"/>
      <c r="NDC2470" s="60"/>
      <c r="NDD2470" s="60"/>
      <c r="NDE2470" s="63"/>
      <c r="NDF2470" s="61"/>
      <c r="NDG2470" s="54"/>
      <c r="NDH2470" s="54"/>
      <c r="NDI2470" s="60"/>
      <c r="NDJ2470" s="60"/>
      <c r="NDK2470" s="60"/>
      <c r="NDL2470" s="60"/>
      <c r="NDM2470" s="63"/>
      <c r="NDN2470" s="61"/>
      <c r="NDO2470" s="54"/>
      <c r="NDP2470" s="54"/>
      <c r="NDQ2470" s="60"/>
      <c r="NDR2470" s="60"/>
      <c r="NDS2470" s="60"/>
      <c r="NDT2470" s="60"/>
      <c r="NDU2470" s="63"/>
      <c r="NDV2470" s="61"/>
      <c r="NDW2470" s="54"/>
      <c r="NDX2470" s="54"/>
      <c r="NDY2470" s="60"/>
      <c r="NDZ2470" s="60"/>
      <c r="NEA2470" s="60"/>
      <c r="NEB2470" s="60"/>
      <c r="NEC2470" s="63"/>
      <c r="NED2470" s="61"/>
      <c r="NEE2470" s="54"/>
      <c r="NEF2470" s="54"/>
      <c r="NEG2470" s="60"/>
      <c r="NEH2470" s="60"/>
      <c r="NEI2470" s="60"/>
      <c r="NEJ2470" s="60"/>
      <c r="NEK2470" s="63"/>
      <c r="NEL2470" s="61"/>
      <c r="NEM2470" s="54"/>
      <c r="NEN2470" s="54"/>
      <c r="NEO2470" s="60"/>
      <c r="NEP2470" s="60"/>
      <c r="NEQ2470" s="60"/>
      <c r="NER2470" s="60"/>
      <c r="NES2470" s="63"/>
      <c r="NET2470" s="61"/>
      <c r="NEU2470" s="54"/>
      <c r="NEV2470" s="54"/>
      <c r="NEW2470" s="60"/>
      <c r="NEX2470" s="60"/>
      <c r="NEY2470" s="60"/>
      <c r="NEZ2470" s="60"/>
      <c r="NFA2470" s="63"/>
      <c r="NFB2470" s="61"/>
      <c r="NFC2470" s="54"/>
      <c r="NFD2470" s="54"/>
      <c r="NFE2470" s="60"/>
      <c r="NFF2470" s="60"/>
      <c r="NFG2470" s="60"/>
      <c r="NFH2470" s="60"/>
      <c r="NFI2470" s="63"/>
      <c r="NFJ2470" s="61"/>
      <c r="NFK2470" s="54"/>
      <c r="NFL2470" s="54"/>
      <c r="NFM2470" s="60"/>
      <c r="NFN2470" s="60"/>
      <c r="NFO2470" s="60"/>
      <c r="NFP2470" s="60"/>
      <c r="NFQ2470" s="63"/>
      <c r="NFR2470" s="61"/>
      <c r="NFS2470" s="54"/>
      <c r="NFT2470" s="54"/>
      <c r="NFU2470" s="60"/>
      <c r="NFV2470" s="60"/>
      <c r="NFW2470" s="60"/>
      <c r="NFX2470" s="60"/>
      <c r="NFY2470" s="63"/>
      <c r="NFZ2470" s="61"/>
      <c r="NGA2470" s="54"/>
      <c r="NGB2470" s="54"/>
      <c r="NGC2470" s="60"/>
      <c r="NGD2470" s="60"/>
      <c r="NGE2470" s="60"/>
      <c r="NGF2470" s="60"/>
      <c r="NGG2470" s="63"/>
      <c r="NGH2470" s="61"/>
      <c r="NGI2470" s="54"/>
      <c r="NGJ2470" s="54"/>
      <c r="NGK2470" s="60"/>
      <c r="NGL2470" s="60"/>
      <c r="NGM2470" s="60"/>
      <c r="NGN2470" s="60"/>
      <c r="NGO2470" s="63"/>
      <c r="NGP2470" s="61"/>
      <c r="NGQ2470" s="54"/>
      <c r="NGR2470" s="54"/>
      <c r="NGS2470" s="60"/>
      <c r="NGT2470" s="60"/>
      <c r="NGU2470" s="60"/>
      <c r="NGV2470" s="60"/>
      <c r="NGW2470" s="63"/>
      <c r="NGX2470" s="61"/>
      <c r="NGY2470" s="54"/>
      <c r="NGZ2470" s="54"/>
      <c r="NHA2470" s="60"/>
      <c r="NHB2470" s="60"/>
      <c r="NHC2470" s="60"/>
      <c r="NHD2470" s="60"/>
      <c r="NHE2470" s="63"/>
      <c r="NHF2470" s="61"/>
      <c r="NHG2470" s="54"/>
      <c r="NHH2470" s="54"/>
      <c r="NHI2470" s="60"/>
      <c r="NHJ2470" s="60"/>
      <c r="NHK2470" s="60"/>
      <c r="NHL2470" s="60"/>
      <c r="NHM2470" s="63"/>
      <c r="NHN2470" s="61"/>
      <c r="NHO2470" s="54"/>
      <c r="NHP2470" s="54"/>
      <c r="NHQ2470" s="60"/>
      <c r="NHR2470" s="60"/>
      <c r="NHS2470" s="60"/>
      <c r="NHT2470" s="60"/>
      <c r="NHU2470" s="63"/>
      <c r="NHV2470" s="61"/>
      <c r="NHW2470" s="54"/>
      <c r="NHX2470" s="54"/>
      <c r="NHY2470" s="60"/>
      <c r="NHZ2470" s="60"/>
      <c r="NIA2470" s="60"/>
      <c r="NIB2470" s="60"/>
      <c r="NIC2470" s="63"/>
      <c r="NID2470" s="61"/>
      <c r="NIE2470" s="54"/>
      <c r="NIF2470" s="54"/>
      <c r="NIG2470" s="60"/>
      <c r="NIH2470" s="60"/>
      <c r="NII2470" s="60"/>
      <c r="NIJ2470" s="60"/>
      <c r="NIK2470" s="63"/>
      <c r="NIL2470" s="61"/>
      <c r="NIM2470" s="54"/>
      <c r="NIN2470" s="54"/>
      <c r="NIO2470" s="60"/>
      <c r="NIP2470" s="60"/>
      <c r="NIQ2470" s="60"/>
      <c r="NIR2470" s="60"/>
      <c r="NIS2470" s="63"/>
      <c r="NIT2470" s="61"/>
      <c r="NIU2470" s="54"/>
      <c r="NIV2470" s="54"/>
      <c r="NIW2470" s="60"/>
      <c r="NIX2470" s="60"/>
      <c r="NIY2470" s="60"/>
      <c r="NIZ2470" s="60"/>
      <c r="NJA2470" s="63"/>
      <c r="NJB2470" s="61"/>
      <c r="NJC2470" s="54"/>
      <c r="NJD2470" s="54"/>
      <c r="NJE2470" s="60"/>
      <c r="NJF2470" s="60"/>
      <c r="NJG2470" s="60"/>
      <c r="NJH2470" s="60"/>
      <c r="NJI2470" s="63"/>
      <c r="NJJ2470" s="61"/>
      <c r="NJK2470" s="54"/>
      <c r="NJL2470" s="54"/>
      <c r="NJM2470" s="60"/>
      <c r="NJN2470" s="60"/>
      <c r="NJO2470" s="60"/>
      <c r="NJP2470" s="60"/>
      <c r="NJQ2470" s="63"/>
      <c r="NJR2470" s="61"/>
      <c r="NJS2470" s="54"/>
      <c r="NJT2470" s="54"/>
      <c r="NJU2470" s="60"/>
      <c r="NJV2470" s="60"/>
      <c r="NJW2470" s="60"/>
      <c r="NJX2470" s="60"/>
      <c r="NJY2470" s="63"/>
      <c r="NJZ2470" s="61"/>
      <c r="NKA2470" s="54"/>
      <c r="NKB2470" s="54"/>
      <c r="NKC2470" s="60"/>
      <c r="NKD2470" s="60"/>
      <c r="NKE2470" s="60"/>
      <c r="NKF2470" s="60"/>
      <c r="NKG2470" s="63"/>
      <c r="NKH2470" s="61"/>
      <c r="NKI2470" s="54"/>
      <c r="NKJ2470" s="54"/>
      <c r="NKK2470" s="60"/>
      <c r="NKL2470" s="60"/>
      <c r="NKM2470" s="60"/>
      <c r="NKN2470" s="60"/>
      <c r="NKO2470" s="63"/>
      <c r="NKP2470" s="61"/>
      <c r="NKQ2470" s="54"/>
      <c r="NKR2470" s="54"/>
      <c r="NKS2470" s="60"/>
      <c r="NKT2470" s="60"/>
      <c r="NKU2470" s="60"/>
      <c r="NKV2470" s="60"/>
      <c r="NKW2470" s="63"/>
      <c r="NKX2470" s="61"/>
      <c r="NKY2470" s="54"/>
      <c r="NKZ2470" s="54"/>
      <c r="NLA2470" s="60"/>
      <c r="NLB2470" s="60"/>
      <c r="NLC2470" s="60"/>
      <c r="NLD2470" s="60"/>
      <c r="NLE2470" s="63"/>
      <c r="NLF2470" s="61"/>
      <c r="NLG2470" s="54"/>
      <c r="NLH2470" s="54"/>
      <c r="NLI2470" s="60"/>
      <c r="NLJ2470" s="60"/>
      <c r="NLK2470" s="60"/>
      <c r="NLL2470" s="60"/>
      <c r="NLM2470" s="63"/>
      <c r="NLN2470" s="61"/>
      <c r="NLO2470" s="54"/>
      <c r="NLP2470" s="54"/>
      <c r="NLQ2470" s="60"/>
      <c r="NLR2470" s="60"/>
      <c r="NLS2470" s="60"/>
      <c r="NLT2470" s="60"/>
      <c r="NLU2470" s="63"/>
      <c r="NLV2470" s="61"/>
      <c r="NLW2470" s="54"/>
      <c r="NLX2470" s="54"/>
      <c r="NLY2470" s="60"/>
      <c r="NLZ2470" s="60"/>
      <c r="NMA2470" s="60"/>
      <c r="NMB2470" s="60"/>
      <c r="NMC2470" s="63"/>
      <c r="NMD2470" s="61"/>
      <c r="NME2470" s="54"/>
      <c r="NMF2470" s="54"/>
      <c r="NMG2470" s="60"/>
      <c r="NMH2470" s="60"/>
      <c r="NMI2470" s="60"/>
      <c r="NMJ2470" s="60"/>
      <c r="NMK2470" s="63"/>
      <c r="NML2470" s="61"/>
      <c r="NMM2470" s="54"/>
      <c r="NMN2470" s="54"/>
      <c r="NMO2470" s="60"/>
      <c r="NMP2470" s="60"/>
      <c r="NMQ2470" s="60"/>
      <c r="NMR2470" s="60"/>
      <c r="NMS2470" s="63"/>
      <c r="NMT2470" s="61"/>
      <c r="NMU2470" s="54"/>
      <c r="NMV2470" s="54"/>
      <c r="NMW2470" s="60"/>
      <c r="NMX2470" s="60"/>
      <c r="NMY2470" s="60"/>
      <c r="NMZ2470" s="60"/>
      <c r="NNA2470" s="63"/>
      <c r="NNB2470" s="61"/>
      <c r="NNC2470" s="54"/>
      <c r="NND2470" s="54"/>
      <c r="NNE2470" s="60"/>
      <c r="NNF2470" s="60"/>
      <c r="NNG2470" s="60"/>
      <c r="NNH2470" s="60"/>
      <c r="NNI2470" s="63"/>
      <c r="NNJ2470" s="61"/>
      <c r="NNK2470" s="54"/>
      <c r="NNL2470" s="54"/>
      <c r="NNM2470" s="60"/>
      <c r="NNN2470" s="60"/>
      <c r="NNO2470" s="60"/>
      <c r="NNP2470" s="60"/>
      <c r="NNQ2470" s="63"/>
      <c r="NNR2470" s="61"/>
      <c r="NNS2470" s="54"/>
      <c r="NNT2470" s="54"/>
      <c r="NNU2470" s="60"/>
      <c r="NNV2470" s="60"/>
      <c r="NNW2470" s="60"/>
      <c r="NNX2470" s="60"/>
      <c r="NNY2470" s="63"/>
      <c r="NNZ2470" s="61"/>
      <c r="NOA2470" s="54"/>
      <c r="NOB2470" s="54"/>
      <c r="NOC2470" s="60"/>
      <c r="NOD2470" s="60"/>
      <c r="NOE2470" s="60"/>
      <c r="NOF2470" s="60"/>
      <c r="NOG2470" s="63"/>
      <c r="NOH2470" s="61"/>
      <c r="NOI2470" s="54"/>
      <c r="NOJ2470" s="54"/>
      <c r="NOK2470" s="60"/>
      <c r="NOL2470" s="60"/>
      <c r="NOM2470" s="60"/>
      <c r="NON2470" s="60"/>
      <c r="NOO2470" s="63"/>
      <c r="NOP2470" s="61"/>
      <c r="NOQ2470" s="54"/>
      <c r="NOR2470" s="54"/>
      <c r="NOS2470" s="60"/>
      <c r="NOT2470" s="60"/>
      <c r="NOU2470" s="60"/>
      <c r="NOV2470" s="60"/>
      <c r="NOW2470" s="63"/>
      <c r="NOX2470" s="61"/>
      <c r="NOY2470" s="54"/>
      <c r="NOZ2470" s="54"/>
      <c r="NPA2470" s="60"/>
      <c r="NPB2470" s="60"/>
      <c r="NPC2470" s="60"/>
      <c r="NPD2470" s="60"/>
      <c r="NPE2470" s="63"/>
      <c r="NPF2470" s="61"/>
      <c r="NPG2470" s="54"/>
      <c r="NPH2470" s="54"/>
      <c r="NPI2470" s="60"/>
      <c r="NPJ2470" s="60"/>
      <c r="NPK2470" s="60"/>
      <c r="NPL2470" s="60"/>
      <c r="NPM2470" s="63"/>
      <c r="NPN2470" s="61"/>
      <c r="NPO2470" s="54"/>
      <c r="NPP2470" s="54"/>
      <c r="NPQ2470" s="60"/>
      <c r="NPR2470" s="60"/>
      <c r="NPS2470" s="60"/>
      <c r="NPT2470" s="60"/>
      <c r="NPU2470" s="63"/>
      <c r="NPV2470" s="61"/>
      <c r="NPW2470" s="54"/>
      <c r="NPX2470" s="54"/>
      <c r="NPY2470" s="60"/>
      <c r="NPZ2470" s="60"/>
      <c r="NQA2470" s="60"/>
      <c r="NQB2470" s="60"/>
      <c r="NQC2470" s="63"/>
      <c r="NQD2470" s="61"/>
      <c r="NQE2470" s="54"/>
      <c r="NQF2470" s="54"/>
      <c r="NQG2470" s="60"/>
      <c r="NQH2470" s="60"/>
      <c r="NQI2470" s="60"/>
      <c r="NQJ2470" s="60"/>
      <c r="NQK2470" s="63"/>
      <c r="NQL2470" s="61"/>
      <c r="NQM2470" s="54"/>
      <c r="NQN2470" s="54"/>
      <c r="NQO2470" s="60"/>
      <c r="NQP2470" s="60"/>
      <c r="NQQ2470" s="60"/>
      <c r="NQR2470" s="60"/>
      <c r="NQS2470" s="63"/>
      <c r="NQT2470" s="61"/>
      <c r="NQU2470" s="54"/>
      <c r="NQV2470" s="54"/>
      <c r="NQW2470" s="60"/>
      <c r="NQX2470" s="60"/>
      <c r="NQY2470" s="60"/>
      <c r="NQZ2470" s="60"/>
      <c r="NRA2470" s="63"/>
      <c r="NRB2470" s="61"/>
      <c r="NRC2470" s="54"/>
      <c r="NRD2470" s="54"/>
      <c r="NRE2470" s="60"/>
      <c r="NRF2470" s="60"/>
      <c r="NRG2470" s="60"/>
      <c r="NRH2470" s="60"/>
      <c r="NRI2470" s="63"/>
      <c r="NRJ2470" s="61"/>
      <c r="NRK2470" s="54"/>
      <c r="NRL2470" s="54"/>
      <c r="NRM2470" s="60"/>
      <c r="NRN2470" s="60"/>
      <c r="NRO2470" s="60"/>
      <c r="NRP2470" s="60"/>
      <c r="NRQ2470" s="63"/>
      <c r="NRR2470" s="61"/>
      <c r="NRS2470" s="54"/>
      <c r="NRT2470" s="54"/>
      <c r="NRU2470" s="60"/>
      <c r="NRV2470" s="60"/>
      <c r="NRW2470" s="60"/>
      <c r="NRX2470" s="60"/>
      <c r="NRY2470" s="63"/>
      <c r="NRZ2470" s="61"/>
      <c r="NSA2470" s="54"/>
      <c r="NSB2470" s="54"/>
      <c r="NSC2470" s="60"/>
      <c r="NSD2470" s="60"/>
      <c r="NSE2470" s="60"/>
      <c r="NSF2470" s="60"/>
      <c r="NSG2470" s="63"/>
      <c r="NSH2470" s="61"/>
      <c r="NSI2470" s="54"/>
      <c r="NSJ2470" s="54"/>
      <c r="NSK2470" s="60"/>
      <c r="NSL2470" s="60"/>
      <c r="NSM2470" s="60"/>
      <c r="NSN2470" s="60"/>
      <c r="NSO2470" s="63"/>
      <c r="NSP2470" s="61"/>
      <c r="NSQ2470" s="54"/>
      <c r="NSR2470" s="54"/>
      <c r="NSS2470" s="60"/>
      <c r="NST2470" s="60"/>
      <c r="NSU2470" s="60"/>
      <c r="NSV2470" s="60"/>
      <c r="NSW2470" s="63"/>
      <c r="NSX2470" s="61"/>
      <c r="NSY2470" s="54"/>
      <c r="NSZ2470" s="54"/>
      <c r="NTA2470" s="60"/>
      <c r="NTB2470" s="60"/>
      <c r="NTC2470" s="60"/>
      <c r="NTD2470" s="60"/>
      <c r="NTE2470" s="63"/>
      <c r="NTF2470" s="61"/>
      <c r="NTG2470" s="54"/>
      <c r="NTH2470" s="54"/>
      <c r="NTI2470" s="60"/>
      <c r="NTJ2470" s="60"/>
      <c r="NTK2470" s="60"/>
      <c r="NTL2470" s="60"/>
      <c r="NTM2470" s="63"/>
      <c r="NTN2470" s="61"/>
      <c r="NTO2470" s="54"/>
      <c r="NTP2470" s="54"/>
      <c r="NTQ2470" s="60"/>
      <c r="NTR2470" s="60"/>
      <c r="NTS2470" s="60"/>
      <c r="NTT2470" s="60"/>
      <c r="NTU2470" s="63"/>
      <c r="NTV2470" s="61"/>
      <c r="NTW2470" s="54"/>
      <c r="NTX2470" s="54"/>
      <c r="NTY2470" s="60"/>
      <c r="NTZ2470" s="60"/>
      <c r="NUA2470" s="60"/>
      <c r="NUB2470" s="60"/>
      <c r="NUC2470" s="63"/>
      <c r="NUD2470" s="61"/>
      <c r="NUE2470" s="54"/>
      <c r="NUF2470" s="54"/>
      <c r="NUG2470" s="60"/>
      <c r="NUH2470" s="60"/>
      <c r="NUI2470" s="60"/>
      <c r="NUJ2470" s="60"/>
      <c r="NUK2470" s="63"/>
      <c r="NUL2470" s="61"/>
      <c r="NUM2470" s="54"/>
      <c r="NUN2470" s="54"/>
      <c r="NUO2470" s="60"/>
      <c r="NUP2470" s="60"/>
      <c r="NUQ2470" s="60"/>
      <c r="NUR2470" s="60"/>
      <c r="NUS2470" s="63"/>
      <c r="NUT2470" s="61"/>
      <c r="NUU2470" s="54"/>
      <c r="NUV2470" s="54"/>
      <c r="NUW2470" s="60"/>
      <c r="NUX2470" s="60"/>
      <c r="NUY2470" s="60"/>
      <c r="NUZ2470" s="60"/>
      <c r="NVA2470" s="63"/>
      <c r="NVB2470" s="61"/>
      <c r="NVC2470" s="54"/>
      <c r="NVD2470" s="54"/>
      <c r="NVE2470" s="60"/>
      <c r="NVF2470" s="60"/>
      <c r="NVG2470" s="60"/>
      <c r="NVH2470" s="60"/>
      <c r="NVI2470" s="63"/>
      <c r="NVJ2470" s="61"/>
      <c r="NVK2470" s="54"/>
      <c r="NVL2470" s="54"/>
      <c r="NVM2470" s="60"/>
      <c r="NVN2470" s="60"/>
      <c r="NVO2470" s="60"/>
      <c r="NVP2470" s="60"/>
      <c r="NVQ2470" s="63"/>
      <c r="NVR2470" s="61"/>
      <c r="NVS2470" s="54"/>
      <c r="NVT2470" s="54"/>
      <c r="NVU2470" s="60"/>
      <c r="NVV2470" s="60"/>
      <c r="NVW2470" s="60"/>
      <c r="NVX2470" s="60"/>
      <c r="NVY2470" s="63"/>
      <c r="NVZ2470" s="61"/>
      <c r="NWA2470" s="54"/>
      <c r="NWB2470" s="54"/>
      <c r="NWC2470" s="60"/>
      <c r="NWD2470" s="60"/>
      <c r="NWE2470" s="60"/>
      <c r="NWF2470" s="60"/>
      <c r="NWG2470" s="63"/>
      <c r="NWH2470" s="61"/>
      <c r="NWI2470" s="54"/>
      <c r="NWJ2470" s="54"/>
      <c r="NWK2470" s="60"/>
      <c r="NWL2470" s="60"/>
      <c r="NWM2470" s="60"/>
      <c r="NWN2470" s="60"/>
      <c r="NWO2470" s="63"/>
      <c r="NWP2470" s="61"/>
      <c r="NWQ2470" s="54"/>
      <c r="NWR2470" s="54"/>
      <c r="NWS2470" s="60"/>
      <c r="NWT2470" s="60"/>
      <c r="NWU2470" s="60"/>
      <c r="NWV2470" s="60"/>
      <c r="NWW2470" s="63"/>
      <c r="NWX2470" s="61"/>
      <c r="NWY2470" s="54"/>
      <c r="NWZ2470" s="54"/>
      <c r="NXA2470" s="60"/>
      <c r="NXB2470" s="60"/>
      <c r="NXC2470" s="60"/>
      <c r="NXD2470" s="60"/>
      <c r="NXE2470" s="63"/>
      <c r="NXF2470" s="61"/>
      <c r="NXG2470" s="54"/>
      <c r="NXH2470" s="54"/>
      <c r="NXI2470" s="60"/>
      <c r="NXJ2470" s="60"/>
      <c r="NXK2470" s="60"/>
      <c r="NXL2470" s="60"/>
      <c r="NXM2470" s="63"/>
      <c r="NXN2470" s="61"/>
      <c r="NXO2470" s="54"/>
      <c r="NXP2470" s="54"/>
      <c r="NXQ2470" s="60"/>
      <c r="NXR2470" s="60"/>
      <c r="NXS2470" s="60"/>
      <c r="NXT2470" s="60"/>
      <c r="NXU2470" s="63"/>
      <c r="NXV2470" s="61"/>
      <c r="NXW2470" s="54"/>
      <c r="NXX2470" s="54"/>
      <c r="NXY2470" s="60"/>
      <c r="NXZ2470" s="60"/>
      <c r="NYA2470" s="60"/>
      <c r="NYB2470" s="60"/>
      <c r="NYC2470" s="63"/>
      <c r="NYD2470" s="61"/>
      <c r="NYE2470" s="54"/>
      <c r="NYF2470" s="54"/>
      <c r="NYG2470" s="60"/>
      <c r="NYH2470" s="60"/>
      <c r="NYI2470" s="60"/>
      <c r="NYJ2470" s="60"/>
      <c r="NYK2470" s="63"/>
      <c r="NYL2470" s="61"/>
      <c r="NYM2470" s="54"/>
      <c r="NYN2470" s="54"/>
      <c r="NYO2470" s="60"/>
      <c r="NYP2470" s="60"/>
      <c r="NYQ2470" s="60"/>
      <c r="NYR2470" s="60"/>
      <c r="NYS2470" s="63"/>
      <c r="NYT2470" s="61"/>
      <c r="NYU2470" s="54"/>
      <c r="NYV2470" s="54"/>
      <c r="NYW2470" s="60"/>
      <c r="NYX2470" s="60"/>
      <c r="NYY2470" s="60"/>
      <c r="NYZ2470" s="60"/>
      <c r="NZA2470" s="63"/>
      <c r="NZB2470" s="61"/>
      <c r="NZC2470" s="54"/>
      <c r="NZD2470" s="54"/>
      <c r="NZE2470" s="60"/>
      <c r="NZF2470" s="60"/>
      <c r="NZG2470" s="60"/>
      <c r="NZH2470" s="60"/>
      <c r="NZI2470" s="63"/>
      <c r="NZJ2470" s="61"/>
      <c r="NZK2470" s="54"/>
      <c r="NZL2470" s="54"/>
      <c r="NZM2470" s="60"/>
      <c r="NZN2470" s="60"/>
      <c r="NZO2470" s="60"/>
      <c r="NZP2470" s="60"/>
      <c r="NZQ2470" s="63"/>
      <c r="NZR2470" s="61"/>
      <c r="NZS2470" s="54"/>
      <c r="NZT2470" s="54"/>
      <c r="NZU2470" s="60"/>
      <c r="NZV2470" s="60"/>
      <c r="NZW2470" s="60"/>
      <c r="NZX2470" s="60"/>
      <c r="NZY2470" s="63"/>
      <c r="NZZ2470" s="61"/>
      <c r="OAA2470" s="54"/>
      <c r="OAB2470" s="54"/>
      <c r="OAC2470" s="60"/>
      <c r="OAD2470" s="60"/>
      <c r="OAE2470" s="60"/>
      <c r="OAF2470" s="60"/>
      <c r="OAG2470" s="63"/>
      <c r="OAH2470" s="61"/>
      <c r="OAI2470" s="54"/>
      <c r="OAJ2470" s="54"/>
      <c r="OAK2470" s="60"/>
      <c r="OAL2470" s="60"/>
      <c r="OAM2470" s="60"/>
      <c r="OAN2470" s="60"/>
      <c r="OAO2470" s="63"/>
      <c r="OAP2470" s="61"/>
      <c r="OAQ2470" s="54"/>
      <c r="OAR2470" s="54"/>
      <c r="OAS2470" s="60"/>
      <c r="OAT2470" s="60"/>
      <c r="OAU2470" s="60"/>
      <c r="OAV2470" s="60"/>
      <c r="OAW2470" s="63"/>
      <c r="OAX2470" s="61"/>
      <c r="OAY2470" s="54"/>
      <c r="OAZ2470" s="54"/>
      <c r="OBA2470" s="60"/>
      <c r="OBB2470" s="60"/>
      <c r="OBC2470" s="60"/>
      <c r="OBD2470" s="60"/>
      <c r="OBE2470" s="63"/>
      <c r="OBF2470" s="61"/>
      <c r="OBG2470" s="54"/>
      <c r="OBH2470" s="54"/>
      <c r="OBI2470" s="60"/>
      <c r="OBJ2470" s="60"/>
      <c r="OBK2470" s="60"/>
      <c r="OBL2470" s="60"/>
      <c r="OBM2470" s="63"/>
      <c r="OBN2470" s="61"/>
      <c r="OBO2470" s="54"/>
      <c r="OBP2470" s="54"/>
      <c r="OBQ2470" s="60"/>
      <c r="OBR2470" s="60"/>
      <c r="OBS2470" s="60"/>
      <c r="OBT2470" s="60"/>
      <c r="OBU2470" s="63"/>
      <c r="OBV2470" s="61"/>
      <c r="OBW2470" s="54"/>
      <c r="OBX2470" s="54"/>
      <c r="OBY2470" s="60"/>
      <c r="OBZ2470" s="60"/>
      <c r="OCA2470" s="60"/>
      <c r="OCB2470" s="60"/>
      <c r="OCC2470" s="63"/>
      <c r="OCD2470" s="61"/>
      <c r="OCE2470" s="54"/>
      <c r="OCF2470" s="54"/>
      <c r="OCG2470" s="60"/>
      <c r="OCH2470" s="60"/>
      <c r="OCI2470" s="60"/>
      <c r="OCJ2470" s="60"/>
      <c r="OCK2470" s="63"/>
      <c r="OCL2470" s="61"/>
      <c r="OCM2470" s="54"/>
      <c r="OCN2470" s="54"/>
      <c r="OCO2470" s="60"/>
      <c r="OCP2470" s="60"/>
      <c r="OCQ2470" s="60"/>
      <c r="OCR2470" s="60"/>
      <c r="OCS2470" s="63"/>
      <c r="OCT2470" s="61"/>
      <c r="OCU2470" s="54"/>
      <c r="OCV2470" s="54"/>
      <c r="OCW2470" s="60"/>
      <c r="OCX2470" s="60"/>
      <c r="OCY2470" s="60"/>
      <c r="OCZ2470" s="60"/>
      <c r="ODA2470" s="63"/>
      <c r="ODB2470" s="61"/>
      <c r="ODC2470" s="54"/>
      <c r="ODD2470" s="54"/>
      <c r="ODE2470" s="60"/>
      <c r="ODF2470" s="60"/>
      <c r="ODG2470" s="60"/>
      <c r="ODH2470" s="60"/>
      <c r="ODI2470" s="63"/>
      <c r="ODJ2470" s="61"/>
      <c r="ODK2470" s="54"/>
      <c r="ODL2470" s="54"/>
      <c r="ODM2470" s="60"/>
      <c r="ODN2470" s="60"/>
      <c r="ODO2470" s="60"/>
      <c r="ODP2470" s="60"/>
      <c r="ODQ2470" s="63"/>
      <c r="ODR2470" s="61"/>
      <c r="ODS2470" s="54"/>
      <c r="ODT2470" s="54"/>
      <c r="ODU2470" s="60"/>
      <c r="ODV2470" s="60"/>
      <c r="ODW2470" s="60"/>
      <c r="ODX2470" s="60"/>
      <c r="ODY2470" s="63"/>
      <c r="ODZ2470" s="61"/>
      <c r="OEA2470" s="54"/>
      <c r="OEB2470" s="54"/>
      <c r="OEC2470" s="60"/>
      <c r="OED2470" s="60"/>
      <c r="OEE2470" s="60"/>
      <c r="OEF2470" s="60"/>
      <c r="OEG2470" s="63"/>
      <c r="OEH2470" s="61"/>
      <c r="OEI2470" s="54"/>
      <c r="OEJ2470" s="54"/>
      <c r="OEK2470" s="60"/>
      <c r="OEL2470" s="60"/>
      <c r="OEM2470" s="60"/>
      <c r="OEN2470" s="60"/>
      <c r="OEO2470" s="63"/>
      <c r="OEP2470" s="61"/>
      <c r="OEQ2470" s="54"/>
      <c r="OER2470" s="54"/>
      <c r="OES2470" s="60"/>
      <c r="OET2470" s="60"/>
      <c r="OEU2470" s="60"/>
      <c r="OEV2470" s="60"/>
      <c r="OEW2470" s="63"/>
      <c r="OEX2470" s="61"/>
      <c r="OEY2470" s="54"/>
      <c r="OEZ2470" s="54"/>
      <c r="OFA2470" s="60"/>
      <c r="OFB2470" s="60"/>
      <c r="OFC2470" s="60"/>
      <c r="OFD2470" s="60"/>
      <c r="OFE2470" s="63"/>
      <c r="OFF2470" s="61"/>
      <c r="OFG2470" s="54"/>
      <c r="OFH2470" s="54"/>
      <c r="OFI2470" s="60"/>
      <c r="OFJ2470" s="60"/>
      <c r="OFK2470" s="60"/>
      <c r="OFL2470" s="60"/>
      <c r="OFM2470" s="63"/>
      <c r="OFN2470" s="61"/>
      <c r="OFO2470" s="54"/>
      <c r="OFP2470" s="54"/>
      <c r="OFQ2470" s="60"/>
      <c r="OFR2470" s="60"/>
      <c r="OFS2470" s="60"/>
      <c r="OFT2470" s="60"/>
      <c r="OFU2470" s="63"/>
      <c r="OFV2470" s="61"/>
      <c r="OFW2470" s="54"/>
      <c r="OFX2470" s="54"/>
      <c r="OFY2470" s="60"/>
      <c r="OFZ2470" s="60"/>
      <c r="OGA2470" s="60"/>
      <c r="OGB2470" s="60"/>
      <c r="OGC2470" s="63"/>
      <c r="OGD2470" s="61"/>
      <c r="OGE2470" s="54"/>
      <c r="OGF2470" s="54"/>
      <c r="OGG2470" s="60"/>
      <c r="OGH2470" s="60"/>
      <c r="OGI2470" s="60"/>
      <c r="OGJ2470" s="60"/>
      <c r="OGK2470" s="63"/>
      <c r="OGL2470" s="61"/>
      <c r="OGM2470" s="54"/>
      <c r="OGN2470" s="54"/>
      <c r="OGO2470" s="60"/>
      <c r="OGP2470" s="60"/>
      <c r="OGQ2470" s="60"/>
      <c r="OGR2470" s="60"/>
      <c r="OGS2470" s="63"/>
      <c r="OGT2470" s="61"/>
      <c r="OGU2470" s="54"/>
      <c r="OGV2470" s="54"/>
      <c r="OGW2470" s="60"/>
      <c r="OGX2470" s="60"/>
      <c r="OGY2470" s="60"/>
      <c r="OGZ2470" s="60"/>
      <c r="OHA2470" s="63"/>
      <c r="OHB2470" s="61"/>
      <c r="OHC2470" s="54"/>
      <c r="OHD2470" s="54"/>
      <c r="OHE2470" s="60"/>
      <c r="OHF2470" s="60"/>
      <c r="OHG2470" s="60"/>
      <c r="OHH2470" s="60"/>
      <c r="OHI2470" s="63"/>
      <c r="OHJ2470" s="61"/>
      <c r="OHK2470" s="54"/>
      <c r="OHL2470" s="54"/>
      <c r="OHM2470" s="60"/>
      <c r="OHN2470" s="60"/>
      <c r="OHO2470" s="60"/>
      <c r="OHP2470" s="60"/>
      <c r="OHQ2470" s="63"/>
      <c r="OHR2470" s="61"/>
      <c r="OHS2470" s="54"/>
      <c r="OHT2470" s="54"/>
      <c r="OHU2470" s="60"/>
      <c r="OHV2470" s="60"/>
      <c r="OHW2470" s="60"/>
      <c r="OHX2470" s="60"/>
      <c r="OHY2470" s="63"/>
      <c r="OHZ2470" s="61"/>
      <c r="OIA2470" s="54"/>
      <c r="OIB2470" s="54"/>
      <c r="OIC2470" s="60"/>
      <c r="OID2470" s="60"/>
      <c r="OIE2470" s="60"/>
      <c r="OIF2470" s="60"/>
      <c r="OIG2470" s="63"/>
      <c r="OIH2470" s="61"/>
      <c r="OII2470" s="54"/>
      <c r="OIJ2470" s="54"/>
      <c r="OIK2470" s="60"/>
      <c r="OIL2470" s="60"/>
      <c r="OIM2470" s="60"/>
      <c r="OIN2470" s="60"/>
      <c r="OIO2470" s="63"/>
      <c r="OIP2470" s="61"/>
      <c r="OIQ2470" s="54"/>
      <c r="OIR2470" s="54"/>
      <c r="OIS2470" s="60"/>
      <c r="OIT2470" s="60"/>
      <c r="OIU2470" s="60"/>
      <c r="OIV2470" s="60"/>
      <c r="OIW2470" s="63"/>
      <c r="OIX2470" s="61"/>
      <c r="OIY2470" s="54"/>
      <c r="OIZ2470" s="54"/>
      <c r="OJA2470" s="60"/>
      <c r="OJB2470" s="60"/>
      <c r="OJC2470" s="60"/>
      <c r="OJD2470" s="60"/>
      <c r="OJE2470" s="63"/>
      <c r="OJF2470" s="61"/>
      <c r="OJG2470" s="54"/>
      <c r="OJH2470" s="54"/>
      <c r="OJI2470" s="60"/>
      <c r="OJJ2470" s="60"/>
      <c r="OJK2470" s="60"/>
      <c r="OJL2470" s="60"/>
      <c r="OJM2470" s="63"/>
      <c r="OJN2470" s="61"/>
      <c r="OJO2470" s="54"/>
      <c r="OJP2470" s="54"/>
      <c r="OJQ2470" s="60"/>
      <c r="OJR2470" s="60"/>
      <c r="OJS2470" s="60"/>
      <c r="OJT2470" s="60"/>
      <c r="OJU2470" s="63"/>
      <c r="OJV2470" s="61"/>
      <c r="OJW2470" s="54"/>
      <c r="OJX2470" s="54"/>
      <c r="OJY2470" s="60"/>
      <c r="OJZ2470" s="60"/>
      <c r="OKA2470" s="60"/>
      <c r="OKB2470" s="60"/>
      <c r="OKC2470" s="63"/>
      <c r="OKD2470" s="61"/>
      <c r="OKE2470" s="54"/>
      <c r="OKF2470" s="54"/>
      <c r="OKG2470" s="60"/>
      <c r="OKH2470" s="60"/>
      <c r="OKI2470" s="60"/>
      <c r="OKJ2470" s="60"/>
      <c r="OKK2470" s="63"/>
      <c r="OKL2470" s="61"/>
      <c r="OKM2470" s="54"/>
      <c r="OKN2470" s="54"/>
      <c r="OKO2470" s="60"/>
      <c r="OKP2470" s="60"/>
      <c r="OKQ2470" s="60"/>
      <c r="OKR2470" s="60"/>
      <c r="OKS2470" s="63"/>
      <c r="OKT2470" s="61"/>
      <c r="OKU2470" s="54"/>
      <c r="OKV2470" s="54"/>
      <c r="OKW2470" s="60"/>
      <c r="OKX2470" s="60"/>
      <c r="OKY2470" s="60"/>
      <c r="OKZ2470" s="60"/>
      <c r="OLA2470" s="63"/>
      <c r="OLB2470" s="61"/>
      <c r="OLC2470" s="54"/>
      <c r="OLD2470" s="54"/>
      <c r="OLE2470" s="60"/>
      <c r="OLF2470" s="60"/>
      <c r="OLG2470" s="60"/>
      <c r="OLH2470" s="60"/>
      <c r="OLI2470" s="63"/>
      <c r="OLJ2470" s="61"/>
      <c r="OLK2470" s="54"/>
      <c r="OLL2470" s="54"/>
      <c r="OLM2470" s="60"/>
      <c r="OLN2470" s="60"/>
      <c r="OLO2470" s="60"/>
      <c r="OLP2470" s="60"/>
      <c r="OLQ2470" s="63"/>
      <c r="OLR2470" s="61"/>
      <c r="OLS2470" s="54"/>
      <c r="OLT2470" s="54"/>
      <c r="OLU2470" s="60"/>
      <c r="OLV2470" s="60"/>
      <c r="OLW2470" s="60"/>
      <c r="OLX2470" s="60"/>
      <c r="OLY2470" s="63"/>
      <c r="OLZ2470" s="61"/>
      <c r="OMA2470" s="54"/>
      <c r="OMB2470" s="54"/>
      <c r="OMC2470" s="60"/>
      <c r="OMD2470" s="60"/>
      <c r="OME2470" s="60"/>
      <c r="OMF2470" s="60"/>
      <c r="OMG2470" s="63"/>
      <c r="OMH2470" s="61"/>
      <c r="OMI2470" s="54"/>
      <c r="OMJ2470" s="54"/>
      <c r="OMK2470" s="60"/>
      <c r="OML2470" s="60"/>
      <c r="OMM2470" s="60"/>
      <c r="OMN2470" s="60"/>
      <c r="OMO2470" s="63"/>
      <c r="OMP2470" s="61"/>
      <c r="OMQ2470" s="54"/>
      <c r="OMR2470" s="54"/>
      <c r="OMS2470" s="60"/>
      <c r="OMT2470" s="60"/>
      <c r="OMU2470" s="60"/>
      <c r="OMV2470" s="60"/>
      <c r="OMW2470" s="63"/>
      <c r="OMX2470" s="61"/>
      <c r="OMY2470" s="54"/>
      <c r="OMZ2470" s="54"/>
      <c r="ONA2470" s="60"/>
      <c r="ONB2470" s="60"/>
      <c r="ONC2470" s="60"/>
      <c r="OND2470" s="60"/>
      <c r="ONE2470" s="63"/>
      <c r="ONF2470" s="61"/>
      <c r="ONG2470" s="54"/>
      <c r="ONH2470" s="54"/>
      <c r="ONI2470" s="60"/>
      <c r="ONJ2470" s="60"/>
      <c r="ONK2470" s="60"/>
      <c r="ONL2470" s="60"/>
      <c r="ONM2470" s="63"/>
      <c r="ONN2470" s="61"/>
      <c r="ONO2470" s="54"/>
      <c r="ONP2470" s="54"/>
      <c r="ONQ2470" s="60"/>
      <c r="ONR2470" s="60"/>
      <c r="ONS2470" s="60"/>
      <c r="ONT2470" s="60"/>
      <c r="ONU2470" s="63"/>
      <c r="ONV2470" s="61"/>
      <c r="ONW2470" s="54"/>
      <c r="ONX2470" s="54"/>
      <c r="ONY2470" s="60"/>
      <c r="ONZ2470" s="60"/>
      <c r="OOA2470" s="60"/>
      <c r="OOB2470" s="60"/>
      <c r="OOC2470" s="63"/>
      <c r="OOD2470" s="61"/>
      <c r="OOE2470" s="54"/>
      <c r="OOF2470" s="54"/>
      <c r="OOG2470" s="60"/>
      <c r="OOH2470" s="60"/>
      <c r="OOI2470" s="60"/>
      <c r="OOJ2470" s="60"/>
      <c r="OOK2470" s="63"/>
      <c r="OOL2470" s="61"/>
      <c r="OOM2470" s="54"/>
      <c r="OON2470" s="54"/>
      <c r="OOO2470" s="60"/>
      <c r="OOP2470" s="60"/>
      <c r="OOQ2470" s="60"/>
      <c r="OOR2470" s="60"/>
      <c r="OOS2470" s="63"/>
      <c r="OOT2470" s="61"/>
      <c r="OOU2470" s="54"/>
      <c r="OOV2470" s="54"/>
      <c r="OOW2470" s="60"/>
      <c r="OOX2470" s="60"/>
      <c r="OOY2470" s="60"/>
      <c r="OOZ2470" s="60"/>
      <c r="OPA2470" s="63"/>
      <c r="OPB2470" s="61"/>
      <c r="OPC2470" s="54"/>
      <c r="OPD2470" s="54"/>
      <c r="OPE2470" s="60"/>
      <c r="OPF2470" s="60"/>
      <c r="OPG2470" s="60"/>
      <c r="OPH2470" s="60"/>
      <c r="OPI2470" s="63"/>
      <c r="OPJ2470" s="61"/>
      <c r="OPK2470" s="54"/>
      <c r="OPL2470" s="54"/>
      <c r="OPM2470" s="60"/>
      <c r="OPN2470" s="60"/>
      <c r="OPO2470" s="60"/>
      <c r="OPP2470" s="60"/>
      <c r="OPQ2470" s="63"/>
      <c r="OPR2470" s="61"/>
      <c r="OPS2470" s="54"/>
      <c r="OPT2470" s="54"/>
      <c r="OPU2470" s="60"/>
      <c r="OPV2470" s="60"/>
      <c r="OPW2470" s="60"/>
      <c r="OPX2470" s="60"/>
      <c r="OPY2470" s="63"/>
      <c r="OPZ2470" s="61"/>
      <c r="OQA2470" s="54"/>
      <c r="OQB2470" s="54"/>
      <c r="OQC2470" s="60"/>
      <c r="OQD2470" s="60"/>
      <c r="OQE2470" s="60"/>
      <c r="OQF2470" s="60"/>
      <c r="OQG2470" s="63"/>
      <c r="OQH2470" s="61"/>
      <c r="OQI2470" s="54"/>
      <c r="OQJ2470" s="54"/>
      <c r="OQK2470" s="60"/>
      <c r="OQL2470" s="60"/>
      <c r="OQM2470" s="60"/>
      <c r="OQN2470" s="60"/>
      <c r="OQO2470" s="63"/>
      <c r="OQP2470" s="61"/>
      <c r="OQQ2470" s="54"/>
      <c r="OQR2470" s="54"/>
      <c r="OQS2470" s="60"/>
      <c r="OQT2470" s="60"/>
      <c r="OQU2470" s="60"/>
      <c r="OQV2470" s="60"/>
      <c r="OQW2470" s="63"/>
      <c r="OQX2470" s="61"/>
      <c r="OQY2470" s="54"/>
      <c r="OQZ2470" s="54"/>
      <c r="ORA2470" s="60"/>
      <c r="ORB2470" s="60"/>
      <c r="ORC2470" s="60"/>
      <c r="ORD2470" s="60"/>
      <c r="ORE2470" s="63"/>
      <c r="ORF2470" s="61"/>
      <c r="ORG2470" s="54"/>
      <c r="ORH2470" s="54"/>
      <c r="ORI2470" s="60"/>
      <c r="ORJ2470" s="60"/>
      <c r="ORK2470" s="60"/>
      <c r="ORL2470" s="60"/>
      <c r="ORM2470" s="63"/>
      <c r="ORN2470" s="61"/>
      <c r="ORO2470" s="54"/>
      <c r="ORP2470" s="54"/>
      <c r="ORQ2470" s="60"/>
      <c r="ORR2470" s="60"/>
      <c r="ORS2470" s="60"/>
      <c r="ORT2470" s="60"/>
      <c r="ORU2470" s="63"/>
      <c r="ORV2470" s="61"/>
      <c r="ORW2470" s="54"/>
      <c r="ORX2470" s="54"/>
      <c r="ORY2470" s="60"/>
      <c r="ORZ2470" s="60"/>
      <c r="OSA2470" s="60"/>
      <c r="OSB2470" s="60"/>
      <c r="OSC2470" s="63"/>
      <c r="OSD2470" s="61"/>
      <c r="OSE2470" s="54"/>
      <c r="OSF2470" s="54"/>
      <c r="OSG2470" s="60"/>
      <c r="OSH2470" s="60"/>
      <c r="OSI2470" s="60"/>
      <c r="OSJ2470" s="60"/>
      <c r="OSK2470" s="63"/>
      <c r="OSL2470" s="61"/>
      <c r="OSM2470" s="54"/>
      <c r="OSN2470" s="54"/>
      <c r="OSO2470" s="60"/>
      <c r="OSP2470" s="60"/>
      <c r="OSQ2470" s="60"/>
      <c r="OSR2470" s="60"/>
      <c r="OSS2470" s="63"/>
      <c r="OST2470" s="61"/>
      <c r="OSU2470" s="54"/>
      <c r="OSV2470" s="54"/>
      <c r="OSW2470" s="60"/>
      <c r="OSX2470" s="60"/>
      <c r="OSY2470" s="60"/>
      <c r="OSZ2470" s="60"/>
      <c r="OTA2470" s="63"/>
      <c r="OTB2470" s="61"/>
      <c r="OTC2470" s="54"/>
      <c r="OTD2470" s="54"/>
      <c r="OTE2470" s="60"/>
      <c r="OTF2470" s="60"/>
      <c r="OTG2470" s="60"/>
      <c r="OTH2470" s="60"/>
      <c r="OTI2470" s="63"/>
      <c r="OTJ2470" s="61"/>
      <c r="OTK2470" s="54"/>
      <c r="OTL2470" s="54"/>
      <c r="OTM2470" s="60"/>
      <c r="OTN2470" s="60"/>
      <c r="OTO2470" s="60"/>
      <c r="OTP2470" s="60"/>
      <c r="OTQ2470" s="63"/>
      <c r="OTR2470" s="61"/>
      <c r="OTS2470" s="54"/>
      <c r="OTT2470" s="54"/>
      <c r="OTU2470" s="60"/>
      <c r="OTV2470" s="60"/>
      <c r="OTW2470" s="60"/>
      <c r="OTX2470" s="60"/>
      <c r="OTY2470" s="63"/>
      <c r="OTZ2470" s="61"/>
      <c r="OUA2470" s="54"/>
      <c r="OUB2470" s="54"/>
      <c r="OUC2470" s="60"/>
      <c r="OUD2470" s="60"/>
      <c r="OUE2470" s="60"/>
      <c r="OUF2470" s="60"/>
      <c r="OUG2470" s="63"/>
      <c r="OUH2470" s="61"/>
      <c r="OUI2470" s="54"/>
      <c r="OUJ2470" s="54"/>
      <c r="OUK2470" s="60"/>
      <c r="OUL2470" s="60"/>
      <c r="OUM2470" s="60"/>
      <c r="OUN2470" s="60"/>
      <c r="OUO2470" s="63"/>
      <c r="OUP2470" s="61"/>
      <c r="OUQ2470" s="54"/>
      <c r="OUR2470" s="54"/>
      <c r="OUS2470" s="60"/>
      <c r="OUT2470" s="60"/>
      <c r="OUU2470" s="60"/>
      <c r="OUV2470" s="60"/>
      <c r="OUW2470" s="63"/>
      <c r="OUX2470" s="61"/>
      <c r="OUY2470" s="54"/>
      <c r="OUZ2470" s="54"/>
      <c r="OVA2470" s="60"/>
      <c r="OVB2470" s="60"/>
      <c r="OVC2470" s="60"/>
      <c r="OVD2470" s="60"/>
      <c r="OVE2470" s="63"/>
      <c r="OVF2470" s="61"/>
      <c r="OVG2470" s="54"/>
      <c r="OVH2470" s="54"/>
      <c r="OVI2470" s="60"/>
      <c r="OVJ2470" s="60"/>
      <c r="OVK2470" s="60"/>
      <c r="OVL2470" s="60"/>
      <c r="OVM2470" s="63"/>
      <c r="OVN2470" s="61"/>
      <c r="OVO2470" s="54"/>
      <c r="OVP2470" s="54"/>
      <c r="OVQ2470" s="60"/>
      <c r="OVR2470" s="60"/>
      <c r="OVS2470" s="60"/>
      <c r="OVT2470" s="60"/>
      <c r="OVU2470" s="63"/>
      <c r="OVV2470" s="61"/>
      <c r="OVW2470" s="54"/>
      <c r="OVX2470" s="54"/>
      <c r="OVY2470" s="60"/>
      <c r="OVZ2470" s="60"/>
      <c r="OWA2470" s="60"/>
      <c r="OWB2470" s="60"/>
      <c r="OWC2470" s="63"/>
      <c r="OWD2470" s="61"/>
      <c r="OWE2470" s="54"/>
      <c r="OWF2470" s="54"/>
      <c r="OWG2470" s="60"/>
      <c r="OWH2470" s="60"/>
      <c r="OWI2470" s="60"/>
      <c r="OWJ2470" s="60"/>
      <c r="OWK2470" s="63"/>
      <c r="OWL2470" s="61"/>
      <c r="OWM2470" s="54"/>
      <c r="OWN2470" s="54"/>
      <c r="OWO2470" s="60"/>
      <c r="OWP2470" s="60"/>
      <c r="OWQ2470" s="60"/>
      <c r="OWR2470" s="60"/>
      <c r="OWS2470" s="63"/>
      <c r="OWT2470" s="61"/>
      <c r="OWU2470" s="54"/>
      <c r="OWV2470" s="54"/>
      <c r="OWW2470" s="60"/>
      <c r="OWX2470" s="60"/>
      <c r="OWY2470" s="60"/>
      <c r="OWZ2470" s="60"/>
      <c r="OXA2470" s="63"/>
      <c r="OXB2470" s="61"/>
      <c r="OXC2470" s="54"/>
      <c r="OXD2470" s="54"/>
      <c r="OXE2470" s="60"/>
      <c r="OXF2470" s="60"/>
      <c r="OXG2470" s="60"/>
      <c r="OXH2470" s="60"/>
      <c r="OXI2470" s="63"/>
      <c r="OXJ2470" s="61"/>
      <c r="OXK2470" s="54"/>
      <c r="OXL2470" s="54"/>
      <c r="OXM2470" s="60"/>
      <c r="OXN2470" s="60"/>
      <c r="OXO2470" s="60"/>
      <c r="OXP2470" s="60"/>
      <c r="OXQ2470" s="63"/>
      <c r="OXR2470" s="61"/>
      <c r="OXS2470" s="54"/>
      <c r="OXT2470" s="54"/>
      <c r="OXU2470" s="60"/>
      <c r="OXV2470" s="60"/>
      <c r="OXW2470" s="60"/>
      <c r="OXX2470" s="60"/>
      <c r="OXY2470" s="63"/>
      <c r="OXZ2470" s="61"/>
      <c r="OYA2470" s="54"/>
      <c r="OYB2470" s="54"/>
      <c r="OYC2470" s="60"/>
      <c r="OYD2470" s="60"/>
      <c r="OYE2470" s="60"/>
      <c r="OYF2470" s="60"/>
      <c r="OYG2470" s="63"/>
      <c r="OYH2470" s="61"/>
      <c r="OYI2470" s="54"/>
      <c r="OYJ2470" s="54"/>
      <c r="OYK2470" s="60"/>
      <c r="OYL2470" s="60"/>
      <c r="OYM2470" s="60"/>
      <c r="OYN2470" s="60"/>
      <c r="OYO2470" s="63"/>
      <c r="OYP2470" s="61"/>
      <c r="OYQ2470" s="54"/>
      <c r="OYR2470" s="54"/>
      <c r="OYS2470" s="60"/>
      <c r="OYT2470" s="60"/>
      <c r="OYU2470" s="60"/>
      <c r="OYV2470" s="60"/>
      <c r="OYW2470" s="63"/>
      <c r="OYX2470" s="61"/>
      <c r="OYY2470" s="54"/>
      <c r="OYZ2470" s="54"/>
      <c r="OZA2470" s="60"/>
      <c r="OZB2470" s="60"/>
      <c r="OZC2470" s="60"/>
      <c r="OZD2470" s="60"/>
      <c r="OZE2470" s="63"/>
      <c r="OZF2470" s="61"/>
      <c r="OZG2470" s="54"/>
      <c r="OZH2470" s="54"/>
      <c r="OZI2470" s="60"/>
      <c r="OZJ2470" s="60"/>
      <c r="OZK2470" s="60"/>
      <c r="OZL2470" s="60"/>
      <c r="OZM2470" s="63"/>
      <c r="OZN2470" s="61"/>
      <c r="OZO2470" s="54"/>
      <c r="OZP2470" s="54"/>
      <c r="OZQ2470" s="60"/>
      <c r="OZR2470" s="60"/>
      <c r="OZS2470" s="60"/>
      <c r="OZT2470" s="60"/>
      <c r="OZU2470" s="63"/>
      <c r="OZV2470" s="61"/>
      <c r="OZW2470" s="54"/>
      <c r="OZX2470" s="54"/>
      <c r="OZY2470" s="60"/>
      <c r="OZZ2470" s="60"/>
      <c r="PAA2470" s="60"/>
      <c r="PAB2470" s="60"/>
      <c r="PAC2470" s="63"/>
      <c r="PAD2470" s="61"/>
      <c r="PAE2470" s="54"/>
      <c r="PAF2470" s="54"/>
      <c r="PAG2470" s="60"/>
      <c r="PAH2470" s="60"/>
      <c r="PAI2470" s="60"/>
      <c r="PAJ2470" s="60"/>
      <c r="PAK2470" s="63"/>
      <c r="PAL2470" s="61"/>
      <c r="PAM2470" s="54"/>
      <c r="PAN2470" s="54"/>
      <c r="PAO2470" s="60"/>
      <c r="PAP2470" s="60"/>
      <c r="PAQ2470" s="60"/>
      <c r="PAR2470" s="60"/>
      <c r="PAS2470" s="63"/>
      <c r="PAT2470" s="61"/>
      <c r="PAU2470" s="54"/>
      <c r="PAV2470" s="54"/>
      <c r="PAW2470" s="60"/>
      <c r="PAX2470" s="60"/>
      <c r="PAY2470" s="60"/>
      <c r="PAZ2470" s="60"/>
      <c r="PBA2470" s="63"/>
      <c r="PBB2470" s="61"/>
      <c r="PBC2470" s="54"/>
      <c r="PBD2470" s="54"/>
      <c r="PBE2470" s="60"/>
      <c r="PBF2470" s="60"/>
      <c r="PBG2470" s="60"/>
      <c r="PBH2470" s="60"/>
      <c r="PBI2470" s="63"/>
      <c r="PBJ2470" s="61"/>
      <c r="PBK2470" s="54"/>
      <c r="PBL2470" s="54"/>
      <c r="PBM2470" s="60"/>
      <c r="PBN2470" s="60"/>
      <c r="PBO2470" s="60"/>
      <c r="PBP2470" s="60"/>
      <c r="PBQ2470" s="63"/>
      <c r="PBR2470" s="61"/>
      <c r="PBS2470" s="54"/>
      <c r="PBT2470" s="54"/>
      <c r="PBU2470" s="60"/>
      <c r="PBV2470" s="60"/>
      <c r="PBW2470" s="60"/>
      <c r="PBX2470" s="60"/>
      <c r="PBY2470" s="63"/>
      <c r="PBZ2470" s="61"/>
      <c r="PCA2470" s="54"/>
      <c r="PCB2470" s="54"/>
      <c r="PCC2470" s="60"/>
      <c r="PCD2470" s="60"/>
      <c r="PCE2470" s="60"/>
      <c r="PCF2470" s="60"/>
      <c r="PCG2470" s="63"/>
      <c r="PCH2470" s="61"/>
      <c r="PCI2470" s="54"/>
      <c r="PCJ2470" s="54"/>
      <c r="PCK2470" s="60"/>
      <c r="PCL2470" s="60"/>
      <c r="PCM2470" s="60"/>
      <c r="PCN2470" s="60"/>
      <c r="PCO2470" s="63"/>
      <c r="PCP2470" s="61"/>
      <c r="PCQ2470" s="54"/>
      <c r="PCR2470" s="54"/>
      <c r="PCS2470" s="60"/>
      <c r="PCT2470" s="60"/>
      <c r="PCU2470" s="60"/>
      <c r="PCV2470" s="60"/>
      <c r="PCW2470" s="63"/>
      <c r="PCX2470" s="61"/>
      <c r="PCY2470" s="54"/>
      <c r="PCZ2470" s="54"/>
      <c r="PDA2470" s="60"/>
      <c r="PDB2470" s="60"/>
      <c r="PDC2470" s="60"/>
      <c r="PDD2470" s="60"/>
      <c r="PDE2470" s="63"/>
      <c r="PDF2470" s="61"/>
      <c r="PDG2470" s="54"/>
      <c r="PDH2470" s="54"/>
      <c r="PDI2470" s="60"/>
      <c r="PDJ2470" s="60"/>
      <c r="PDK2470" s="60"/>
      <c r="PDL2470" s="60"/>
      <c r="PDM2470" s="63"/>
      <c r="PDN2470" s="61"/>
      <c r="PDO2470" s="54"/>
      <c r="PDP2470" s="54"/>
      <c r="PDQ2470" s="60"/>
      <c r="PDR2470" s="60"/>
      <c r="PDS2470" s="60"/>
      <c r="PDT2470" s="60"/>
      <c r="PDU2470" s="63"/>
      <c r="PDV2470" s="61"/>
      <c r="PDW2470" s="54"/>
      <c r="PDX2470" s="54"/>
      <c r="PDY2470" s="60"/>
      <c r="PDZ2470" s="60"/>
      <c r="PEA2470" s="60"/>
      <c r="PEB2470" s="60"/>
      <c r="PEC2470" s="63"/>
      <c r="PED2470" s="61"/>
      <c r="PEE2470" s="54"/>
      <c r="PEF2470" s="54"/>
      <c r="PEG2470" s="60"/>
      <c r="PEH2470" s="60"/>
      <c r="PEI2470" s="60"/>
      <c r="PEJ2470" s="60"/>
      <c r="PEK2470" s="63"/>
      <c r="PEL2470" s="61"/>
      <c r="PEM2470" s="54"/>
      <c r="PEN2470" s="54"/>
      <c r="PEO2470" s="60"/>
      <c r="PEP2470" s="60"/>
      <c r="PEQ2470" s="60"/>
      <c r="PER2470" s="60"/>
      <c r="PES2470" s="63"/>
      <c r="PET2470" s="61"/>
      <c r="PEU2470" s="54"/>
      <c r="PEV2470" s="54"/>
      <c r="PEW2470" s="60"/>
      <c r="PEX2470" s="60"/>
      <c r="PEY2470" s="60"/>
      <c r="PEZ2470" s="60"/>
      <c r="PFA2470" s="63"/>
      <c r="PFB2470" s="61"/>
      <c r="PFC2470" s="54"/>
      <c r="PFD2470" s="54"/>
      <c r="PFE2470" s="60"/>
      <c r="PFF2470" s="60"/>
      <c r="PFG2470" s="60"/>
      <c r="PFH2470" s="60"/>
      <c r="PFI2470" s="63"/>
      <c r="PFJ2470" s="61"/>
      <c r="PFK2470" s="54"/>
      <c r="PFL2470" s="54"/>
      <c r="PFM2470" s="60"/>
      <c r="PFN2470" s="60"/>
      <c r="PFO2470" s="60"/>
      <c r="PFP2470" s="60"/>
      <c r="PFQ2470" s="63"/>
      <c r="PFR2470" s="61"/>
      <c r="PFS2470" s="54"/>
      <c r="PFT2470" s="54"/>
      <c r="PFU2470" s="60"/>
      <c r="PFV2470" s="60"/>
      <c r="PFW2470" s="60"/>
      <c r="PFX2470" s="60"/>
      <c r="PFY2470" s="63"/>
      <c r="PFZ2470" s="61"/>
      <c r="PGA2470" s="54"/>
      <c r="PGB2470" s="54"/>
      <c r="PGC2470" s="60"/>
      <c r="PGD2470" s="60"/>
      <c r="PGE2470" s="60"/>
      <c r="PGF2470" s="60"/>
      <c r="PGG2470" s="63"/>
      <c r="PGH2470" s="61"/>
      <c r="PGI2470" s="54"/>
      <c r="PGJ2470" s="54"/>
      <c r="PGK2470" s="60"/>
      <c r="PGL2470" s="60"/>
      <c r="PGM2470" s="60"/>
      <c r="PGN2470" s="60"/>
      <c r="PGO2470" s="63"/>
      <c r="PGP2470" s="61"/>
      <c r="PGQ2470" s="54"/>
      <c r="PGR2470" s="54"/>
      <c r="PGS2470" s="60"/>
      <c r="PGT2470" s="60"/>
      <c r="PGU2470" s="60"/>
      <c r="PGV2470" s="60"/>
      <c r="PGW2470" s="63"/>
      <c r="PGX2470" s="61"/>
      <c r="PGY2470" s="54"/>
      <c r="PGZ2470" s="54"/>
      <c r="PHA2470" s="60"/>
      <c r="PHB2470" s="60"/>
      <c r="PHC2470" s="60"/>
      <c r="PHD2470" s="60"/>
      <c r="PHE2470" s="63"/>
      <c r="PHF2470" s="61"/>
      <c r="PHG2470" s="54"/>
      <c r="PHH2470" s="54"/>
      <c r="PHI2470" s="60"/>
      <c r="PHJ2470" s="60"/>
      <c r="PHK2470" s="60"/>
      <c r="PHL2470" s="60"/>
      <c r="PHM2470" s="63"/>
      <c r="PHN2470" s="61"/>
      <c r="PHO2470" s="54"/>
      <c r="PHP2470" s="54"/>
      <c r="PHQ2470" s="60"/>
      <c r="PHR2470" s="60"/>
      <c r="PHS2470" s="60"/>
      <c r="PHT2470" s="60"/>
      <c r="PHU2470" s="63"/>
      <c r="PHV2470" s="61"/>
      <c r="PHW2470" s="54"/>
      <c r="PHX2470" s="54"/>
      <c r="PHY2470" s="60"/>
      <c r="PHZ2470" s="60"/>
      <c r="PIA2470" s="60"/>
      <c r="PIB2470" s="60"/>
      <c r="PIC2470" s="63"/>
      <c r="PID2470" s="61"/>
      <c r="PIE2470" s="54"/>
      <c r="PIF2470" s="54"/>
      <c r="PIG2470" s="60"/>
      <c r="PIH2470" s="60"/>
      <c r="PII2470" s="60"/>
      <c r="PIJ2470" s="60"/>
      <c r="PIK2470" s="63"/>
      <c r="PIL2470" s="61"/>
      <c r="PIM2470" s="54"/>
      <c r="PIN2470" s="54"/>
      <c r="PIO2470" s="60"/>
      <c r="PIP2470" s="60"/>
      <c r="PIQ2470" s="60"/>
      <c r="PIR2470" s="60"/>
      <c r="PIS2470" s="63"/>
      <c r="PIT2470" s="61"/>
      <c r="PIU2470" s="54"/>
      <c r="PIV2470" s="54"/>
      <c r="PIW2470" s="60"/>
      <c r="PIX2470" s="60"/>
      <c r="PIY2470" s="60"/>
      <c r="PIZ2470" s="60"/>
      <c r="PJA2470" s="63"/>
      <c r="PJB2470" s="61"/>
      <c r="PJC2470" s="54"/>
      <c r="PJD2470" s="54"/>
      <c r="PJE2470" s="60"/>
      <c r="PJF2470" s="60"/>
      <c r="PJG2470" s="60"/>
      <c r="PJH2470" s="60"/>
      <c r="PJI2470" s="63"/>
      <c r="PJJ2470" s="61"/>
      <c r="PJK2470" s="54"/>
      <c r="PJL2470" s="54"/>
      <c r="PJM2470" s="60"/>
      <c r="PJN2470" s="60"/>
      <c r="PJO2470" s="60"/>
      <c r="PJP2470" s="60"/>
      <c r="PJQ2470" s="63"/>
      <c r="PJR2470" s="61"/>
      <c r="PJS2470" s="54"/>
      <c r="PJT2470" s="54"/>
      <c r="PJU2470" s="60"/>
      <c r="PJV2470" s="60"/>
      <c r="PJW2470" s="60"/>
      <c r="PJX2470" s="60"/>
      <c r="PJY2470" s="63"/>
      <c r="PJZ2470" s="61"/>
      <c r="PKA2470" s="54"/>
      <c r="PKB2470" s="54"/>
      <c r="PKC2470" s="60"/>
      <c r="PKD2470" s="60"/>
      <c r="PKE2470" s="60"/>
      <c r="PKF2470" s="60"/>
      <c r="PKG2470" s="63"/>
      <c r="PKH2470" s="61"/>
      <c r="PKI2470" s="54"/>
      <c r="PKJ2470" s="54"/>
      <c r="PKK2470" s="60"/>
      <c r="PKL2470" s="60"/>
      <c r="PKM2470" s="60"/>
      <c r="PKN2470" s="60"/>
      <c r="PKO2470" s="63"/>
      <c r="PKP2470" s="61"/>
      <c r="PKQ2470" s="54"/>
      <c r="PKR2470" s="54"/>
      <c r="PKS2470" s="60"/>
      <c r="PKT2470" s="60"/>
      <c r="PKU2470" s="60"/>
      <c r="PKV2470" s="60"/>
      <c r="PKW2470" s="63"/>
      <c r="PKX2470" s="61"/>
      <c r="PKY2470" s="54"/>
      <c r="PKZ2470" s="54"/>
      <c r="PLA2470" s="60"/>
      <c r="PLB2470" s="60"/>
      <c r="PLC2470" s="60"/>
      <c r="PLD2470" s="60"/>
      <c r="PLE2470" s="63"/>
      <c r="PLF2470" s="61"/>
      <c r="PLG2470" s="54"/>
      <c r="PLH2470" s="54"/>
      <c r="PLI2470" s="60"/>
      <c r="PLJ2470" s="60"/>
      <c r="PLK2470" s="60"/>
      <c r="PLL2470" s="60"/>
      <c r="PLM2470" s="63"/>
      <c r="PLN2470" s="61"/>
      <c r="PLO2470" s="54"/>
      <c r="PLP2470" s="54"/>
      <c r="PLQ2470" s="60"/>
      <c r="PLR2470" s="60"/>
      <c r="PLS2470" s="60"/>
      <c r="PLT2470" s="60"/>
      <c r="PLU2470" s="63"/>
      <c r="PLV2470" s="61"/>
      <c r="PLW2470" s="54"/>
      <c r="PLX2470" s="54"/>
      <c r="PLY2470" s="60"/>
      <c r="PLZ2470" s="60"/>
      <c r="PMA2470" s="60"/>
      <c r="PMB2470" s="60"/>
      <c r="PMC2470" s="63"/>
      <c r="PMD2470" s="61"/>
      <c r="PME2470" s="54"/>
      <c r="PMF2470" s="54"/>
      <c r="PMG2470" s="60"/>
      <c r="PMH2470" s="60"/>
      <c r="PMI2470" s="60"/>
      <c r="PMJ2470" s="60"/>
      <c r="PMK2470" s="63"/>
      <c r="PML2470" s="61"/>
      <c r="PMM2470" s="54"/>
      <c r="PMN2470" s="54"/>
      <c r="PMO2470" s="60"/>
      <c r="PMP2470" s="60"/>
      <c r="PMQ2470" s="60"/>
      <c r="PMR2470" s="60"/>
      <c r="PMS2470" s="63"/>
      <c r="PMT2470" s="61"/>
      <c r="PMU2470" s="54"/>
      <c r="PMV2470" s="54"/>
      <c r="PMW2470" s="60"/>
      <c r="PMX2470" s="60"/>
      <c r="PMY2470" s="60"/>
      <c r="PMZ2470" s="60"/>
      <c r="PNA2470" s="63"/>
      <c r="PNB2470" s="61"/>
      <c r="PNC2470" s="54"/>
      <c r="PND2470" s="54"/>
      <c r="PNE2470" s="60"/>
      <c r="PNF2470" s="60"/>
      <c r="PNG2470" s="60"/>
      <c r="PNH2470" s="60"/>
      <c r="PNI2470" s="63"/>
      <c r="PNJ2470" s="61"/>
      <c r="PNK2470" s="54"/>
      <c r="PNL2470" s="54"/>
      <c r="PNM2470" s="60"/>
      <c r="PNN2470" s="60"/>
      <c r="PNO2470" s="60"/>
      <c r="PNP2470" s="60"/>
      <c r="PNQ2470" s="63"/>
      <c r="PNR2470" s="61"/>
      <c r="PNS2470" s="54"/>
      <c r="PNT2470" s="54"/>
      <c r="PNU2470" s="60"/>
      <c r="PNV2470" s="60"/>
      <c r="PNW2470" s="60"/>
      <c r="PNX2470" s="60"/>
      <c r="PNY2470" s="63"/>
      <c r="PNZ2470" s="61"/>
      <c r="POA2470" s="54"/>
      <c r="POB2470" s="54"/>
      <c r="POC2470" s="60"/>
      <c r="POD2470" s="60"/>
      <c r="POE2470" s="60"/>
      <c r="POF2470" s="60"/>
      <c r="POG2470" s="63"/>
      <c r="POH2470" s="61"/>
      <c r="POI2470" s="54"/>
      <c r="POJ2470" s="54"/>
      <c r="POK2470" s="60"/>
      <c r="POL2470" s="60"/>
      <c r="POM2470" s="60"/>
      <c r="PON2470" s="60"/>
      <c r="POO2470" s="63"/>
      <c r="POP2470" s="61"/>
      <c r="POQ2470" s="54"/>
      <c r="POR2470" s="54"/>
      <c r="POS2470" s="60"/>
      <c r="POT2470" s="60"/>
      <c r="POU2470" s="60"/>
      <c r="POV2470" s="60"/>
      <c r="POW2470" s="63"/>
      <c r="POX2470" s="61"/>
      <c r="POY2470" s="54"/>
      <c r="POZ2470" s="54"/>
      <c r="PPA2470" s="60"/>
      <c r="PPB2470" s="60"/>
      <c r="PPC2470" s="60"/>
      <c r="PPD2470" s="60"/>
      <c r="PPE2470" s="63"/>
      <c r="PPF2470" s="61"/>
      <c r="PPG2470" s="54"/>
      <c r="PPH2470" s="54"/>
      <c r="PPI2470" s="60"/>
      <c r="PPJ2470" s="60"/>
      <c r="PPK2470" s="60"/>
      <c r="PPL2470" s="60"/>
      <c r="PPM2470" s="63"/>
      <c r="PPN2470" s="61"/>
      <c r="PPO2470" s="54"/>
      <c r="PPP2470" s="54"/>
      <c r="PPQ2470" s="60"/>
      <c r="PPR2470" s="60"/>
      <c r="PPS2470" s="60"/>
      <c r="PPT2470" s="60"/>
      <c r="PPU2470" s="63"/>
      <c r="PPV2470" s="61"/>
      <c r="PPW2470" s="54"/>
      <c r="PPX2470" s="54"/>
      <c r="PPY2470" s="60"/>
      <c r="PPZ2470" s="60"/>
      <c r="PQA2470" s="60"/>
      <c r="PQB2470" s="60"/>
      <c r="PQC2470" s="63"/>
      <c r="PQD2470" s="61"/>
      <c r="PQE2470" s="54"/>
      <c r="PQF2470" s="54"/>
      <c r="PQG2470" s="60"/>
      <c r="PQH2470" s="60"/>
      <c r="PQI2470" s="60"/>
      <c r="PQJ2470" s="60"/>
      <c r="PQK2470" s="63"/>
      <c r="PQL2470" s="61"/>
      <c r="PQM2470" s="54"/>
      <c r="PQN2470" s="54"/>
      <c r="PQO2470" s="60"/>
      <c r="PQP2470" s="60"/>
      <c r="PQQ2470" s="60"/>
      <c r="PQR2470" s="60"/>
      <c r="PQS2470" s="63"/>
      <c r="PQT2470" s="61"/>
      <c r="PQU2470" s="54"/>
      <c r="PQV2470" s="54"/>
      <c r="PQW2470" s="60"/>
      <c r="PQX2470" s="60"/>
      <c r="PQY2470" s="60"/>
      <c r="PQZ2470" s="60"/>
      <c r="PRA2470" s="63"/>
      <c r="PRB2470" s="61"/>
      <c r="PRC2470" s="54"/>
      <c r="PRD2470" s="54"/>
      <c r="PRE2470" s="60"/>
      <c r="PRF2470" s="60"/>
      <c r="PRG2470" s="60"/>
      <c r="PRH2470" s="60"/>
      <c r="PRI2470" s="63"/>
      <c r="PRJ2470" s="61"/>
      <c r="PRK2470" s="54"/>
      <c r="PRL2470" s="54"/>
      <c r="PRM2470" s="60"/>
      <c r="PRN2470" s="60"/>
      <c r="PRO2470" s="60"/>
      <c r="PRP2470" s="60"/>
      <c r="PRQ2470" s="63"/>
      <c r="PRR2470" s="61"/>
      <c r="PRS2470" s="54"/>
      <c r="PRT2470" s="54"/>
      <c r="PRU2470" s="60"/>
      <c r="PRV2470" s="60"/>
      <c r="PRW2470" s="60"/>
      <c r="PRX2470" s="60"/>
      <c r="PRY2470" s="63"/>
      <c r="PRZ2470" s="61"/>
      <c r="PSA2470" s="54"/>
      <c r="PSB2470" s="54"/>
      <c r="PSC2470" s="60"/>
      <c r="PSD2470" s="60"/>
      <c r="PSE2470" s="60"/>
      <c r="PSF2470" s="60"/>
      <c r="PSG2470" s="63"/>
      <c r="PSH2470" s="61"/>
      <c r="PSI2470" s="54"/>
      <c r="PSJ2470" s="54"/>
      <c r="PSK2470" s="60"/>
      <c r="PSL2470" s="60"/>
      <c r="PSM2470" s="60"/>
      <c r="PSN2470" s="60"/>
      <c r="PSO2470" s="63"/>
      <c r="PSP2470" s="61"/>
      <c r="PSQ2470" s="54"/>
      <c r="PSR2470" s="54"/>
      <c r="PSS2470" s="60"/>
      <c r="PST2470" s="60"/>
      <c r="PSU2470" s="60"/>
      <c r="PSV2470" s="60"/>
      <c r="PSW2470" s="63"/>
      <c r="PSX2470" s="61"/>
      <c r="PSY2470" s="54"/>
      <c r="PSZ2470" s="54"/>
      <c r="PTA2470" s="60"/>
      <c r="PTB2470" s="60"/>
      <c r="PTC2470" s="60"/>
      <c r="PTD2470" s="60"/>
      <c r="PTE2470" s="63"/>
      <c r="PTF2470" s="61"/>
      <c r="PTG2470" s="54"/>
      <c r="PTH2470" s="54"/>
      <c r="PTI2470" s="60"/>
      <c r="PTJ2470" s="60"/>
      <c r="PTK2470" s="60"/>
      <c r="PTL2470" s="60"/>
      <c r="PTM2470" s="63"/>
      <c r="PTN2470" s="61"/>
      <c r="PTO2470" s="54"/>
      <c r="PTP2470" s="54"/>
      <c r="PTQ2470" s="60"/>
      <c r="PTR2470" s="60"/>
      <c r="PTS2470" s="60"/>
      <c r="PTT2470" s="60"/>
      <c r="PTU2470" s="63"/>
      <c r="PTV2470" s="61"/>
      <c r="PTW2470" s="54"/>
      <c r="PTX2470" s="54"/>
      <c r="PTY2470" s="60"/>
      <c r="PTZ2470" s="60"/>
      <c r="PUA2470" s="60"/>
      <c r="PUB2470" s="60"/>
      <c r="PUC2470" s="63"/>
      <c r="PUD2470" s="61"/>
      <c r="PUE2470" s="54"/>
      <c r="PUF2470" s="54"/>
      <c r="PUG2470" s="60"/>
      <c r="PUH2470" s="60"/>
      <c r="PUI2470" s="60"/>
      <c r="PUJ2470" s="60"/>
      <c r="PUK2470" s="63"/>
      <c r="PUL2470" s="61"/>
      <c r="PUM2470" s="54"/>
      <c r="PUN2470" s="54"/>
      <c r="PUO2470" s="60"/>
      <c r="PUP2470" s="60"/>
      <c r="PUQ2470" s="60"/>
      <c r="PUR2470" s="60"/>
      <c r="PUS2470" s="63"/>
      <c r="PUT2470" s="61"/>
      <c r="PUU2470" s="54"/>
      <c r="PUV2470" s="54"/>
      <c r="PUW2470" s="60"/>
      <c r="PUX2470" s="60"/>
      <c r="PUY2470" s="60"/>
      <c r="PUZ2470" s="60"/>
      <c r="PVA2470" s="63"/>
      <c r="PVB2470" s="61"/>
      <c r="PVC2470" s="54"/>
      <c r="PVD2470" s="54"/>
      <c r="PVE2470" s="60"/>
      <c r="PVF2470" s="60"/>
      <c r="PVG2470" s="60"/>
      <c r="PVH2470" s="60"/>
      <c r="PVI2470" s="63"/>
      <c r="PVJ2470" s="61"/>
      <c r="PVK2470" s="54"/>
      <c r="PVL2470" s="54"/>
      <c r="PVM2470" s="60"/>
      <c r="PVN2470" s="60"/>
      <c r="PVO2470" s="60"/>
      <c r="PVP2470" s="60"/>
      <c r="PVQ2470" s="63"/>
      <c r="PVR2470" s="61"/>
      <c r="PVS2470" s="54"/>
      <c r="PVT2470" s="54"/>
      <c r="PVU2470" s="60"/>
      <c r="PVV2470" s="60"/>
      <c r="PVW2470" s="60"/>
      <c r="PVX2470" s="60"/>
      <c r="PVY2470" s="63"/>
      <c r="PVZ2470" s="61"/>
      <c r="PWA2470" s="54"/>
      <c r="PWB2470" s="54"/>
      <c r="PWC2470" s="60"/>
      <c r="PWD2470" s="60"/>
      <c r="PWE2470" s="60"/>
      <c r="PWF2470" s="60"/>
      <c r="PWG2470" s="63"/>
      <c r="PWH2470" s="61"/>
      <c r="PWI2470" s="54"/>
      <c r="PWJ2470" s="54"/>
      <c r="PWK2470" s="60"/>
      <c r="PWL2470" s="60"/>
      <c r="PWM2470" s="60"/>
      <c r="PWN2470" s="60"/>
      <c r="PWO2470" s="63"/>
      <c r="PWP2470" s="61"/>
      <c r="PWQ2470" s="54"/>
      <c r="PWR2470" s="54"/>
      <c r="PWS2470" s="60"/>
      <c r="PWT2470" s="60"/>
      <c r="PWU2470" s="60"/>
      <c r="PWV2470" s="60"/>
      <c r="PWW2470" s="63"/>
      <c r="PWX2470" s="61"/>
      <c r="PWY2470" s="54"/>
      <c r="PWZ2470" s="54"/>
      <c r="PXA2470" s="60"/>
      <c r="PXB2470" s="60"/>
      <c r="PXC2470" s="60"/>
      <c r="PXD2470" s="60"/>
      <c r="PXE2470" s="63"/>
      <c r="PXF2470" s="61"/>
      <c r="PXG2470" s="54"/>
      <c r="PXH2470" s="54"/>
      <c r="PXI2470" s="60"/>
      <c r="PXJ2470" s="60"/>
      <c r="PXK2470" s="60"/>
      <c r="PXL2470" s="60"/>
      <c r="PXM2470" s="63"/>
      <c r="PXN2470" s="61"/>
      <c r="PXO2470" s="54"/>
      <c r="PXP2470" s="54"/>
      <c r="PXQ2470" s="60"/>
      <c r="PXR2470" s="60"/>
      <c r="PXS2470" s="60"/>
      <c r="PXT2470" s="60"/>
      <c r="PXU2470" s="63"/>
      <c r="PXV2470" s="61"/>
      <c r="PXW2470" s="54"/>
      <c r="PXX2470" s="54"/>
      <c r="PXY2470" s="60"/>
      <c r="PXZ2470" s="60"/>
      <c r="PYA2470" s="60"/>
      <c r="PYB2470" s="60"/>
      <c r="PYC2470" s="63"/>
      <c r="PYD2470" s="61"/>
      <c r="PYE2470" s="54"/>
      <c r="PYF2470" s="54"/>
      <c r="PYG2470" s="60"/>
      <c r="PYH2470" s="60"/>
      <c r="PYI2470" s="60"/>
      <c r="PYJ2470" s="60"/>
      <c r="PYK2470" s="63"/>
      <c r="PYL2470" s="61"/>
      <c r="PYM2470" s="54"/>
      <c r="PYN2470" s="54"/>
      <c r="PYO2470" s="60"/>
      <c r="PYP2470" s="60"/>
      <c r="PYQ2470" s="60"/>
      <c r="PYR2470" s="60"/>
      <c r="PYS2470" s="63"/>
      <c r="PYT2470" s="61"/>
      <c r="PYU2470" s="54"/>
      <c r="PYV2470" s="54"/>
      <c r="PYW2470" s="60"/>
      <c r="PYX2470" s="60"/>
      <c r="PYY2470" s="60"/>
      <c r="PYZ2470" s="60"/>
      <c r="PZA2470" s="63"/>
      <c r="PZB2470" s="61"/>
      <c r="PZC2470" s="54"/>
      <c r="PZD2470" s="54"/>
      <c r="PZE2470" s="60"/>
      <c r="PZF2470" s="60"/>
      <c r="PZG2470" s="60"/>
      <c r="PZH2470" s="60"/>
      <c r="PZI2470" s="63"/>
      <c r="PZJ2470" s="61"/>
      <c r="PZK2470" s="54"/>
      <c r="PZL2470" s="54"/>
      <c r="PZM2470" s="60"/>
      <c r="PZN2470" s="60"/>
      <c r="PZO2470" s="60"/>
      <c r="PZP2470" s="60"/>
      <c r="PZQ2470" s="63"/>
      <c r="PZR2470" s="61"/>
      <c r="PZS2470" s="54"/>
      <c r="PZT2470" s="54"/>
      <c r="PZU2470" s="60"/>
      <c r="PZV2470" s="60"/>
      <c r="PZW2470" s="60"/>
      <c r="PZX2470" s="60"/>
      <c r="PZY2470" s="63"/>
      <c r="PZZ2470" s="61"/>
      <c r="QAA2470" s="54"/>
      <c r="QAB2470" s="54"/>
      <c r="QAC2470" s="60"/>
      <c r="QAD2470" s="60"/>
      <c r="QAE2470" s="60"/>
      <c r="QAF2470" s="60"/>
      <c r="QAG2470" s="63"/>
      <c r="QAH2470" s="61"/>
      <c r="QAI2470" s="54"/>
      <c r="QAJ2470" s="54"/>
      <c r="QAK2470" s="60"/>
      <c r="QAL2470" s="60"/>
      <c r="QAM2470" s="60"/>
      <c r="QAN2470" s="60"/>
      <c r="QAO2470" s="63"/>
      <c r="QAP2470" s="61"/>
      <c r="QAQ2470" s="54"/>
      <c r="QAR2470" s="54"/>
      <c r="QAS2470" s="60"/>
      <c r="QAT2470" s="60"/>
      <c r="QAU2470" s="60"/>
      <c r="QAV2470" s="60"/>
      <c r="QAW2470" s="63"/>
      <c r="QAX2470" s="61"/>
      <c r="QAY2470" s="54"/>
      <c r="QAZ2470" s="54"/>
      <c r="QBA2470" s="60"/>
      <c r="QBB2470" s="60"/>
      <c r="QBC2470" s="60"/>
      <c r="QBD2470" s="60"/>
      <c r="QBE2470" s="63"/>
      <c r="QBF2470" s="61"/>
      <c r="QBG2470" s="54"/>
      <c r="QBH2470" s="54"/>
      <c r="QBI2470" s="60"/>
      <c r="QBJ2470" s="60"/>
      <c r="QBK2470" s="60"/>
      <c r="QBL2470" s="60"/>
      <c r="QBM2470" s="63"/>
      <c r="QBN2470" s="61"/>
      <c r="QBO2470" s="54"/>
      <c r="QBP2470" s="54"/>
      <c r="QBQ2470" s="60"/>
      <c r="QBR2470" s="60"/>
      <c r="QBS2470" s="60"/>
      <c r="QBT2470" s="60"/>
      <c r="QBU2470" s="63"/>
      <c r="QBV2470" s="61"/>
      <c r="QBW2470" s="54"/>
      <c r="QBX2470" s="54"/>
      <c r="QBY2470" s="60"/>
      <c r="QBZ2470" s="60"/>
      <c r="QCA2470" s="60"/>
      <c r="QCB2470" s="60"/>
      <c r="QCC2470" s="63"/>
      <c r="QCD2470" s="61"/>
      <c r="QCE2470" s="54"/>
      <c r="QCF2470" s="54"/>
      <c r="QCG2470" s="60"/>
      <c r="QCH2470" s="60"/>
      <c r="QCI2470" s="60"/>
      <c r="QCJ2470" s="60"/>
      <c r="QCK2470" s="63"/>
      <c r="QCL2470" s="61"/>
      <c r="QCM2470" s="54"/>
      <c r="QCN2470" s="54"/>
      <c r="QCO2470" s="60"/>
      <c r="QCP2470" s="60"/>
      <c r="QCQ2470" s="60"/>
      <c r="QCR2470" s="60"/>
      <c r="QCS2470" s="63"/>
      <c r="QCT2470" s="61"/>
      <c r="QCU2470" s="54"/>
      <c r="QCV2470" s="54"/>
      <c r="QCW2470" s="60"/>
      <c r="QCX2470" s="60"/>
      <c r="QCY2470" s="60"/>
      <c r="QCZ2470" s="60"/>
      <c r="QDA2470" s="63"/>
      <c r="QDB2470" s="61"/>
      <c r="QDC2470" s="54"/>
      <c r="QDD2470" s="54"/>
      <c r="QDE2470" s="60"/>
      <c r="QDF2470" s="60"/>
      <c r="QDG2470" s="60"/>
      <c r="QDH2470" s="60"/>
      <c r="QDI2470" s="63"/>
      <c r="QDJ2470" s="61"/>
      <c r="QDK2470" s="54"/>
      <c r="QDL2470" s="54"/>
      <c r="QDM2470" s="60"/>
      <c r="QDN2470" s="60"/>
      <c r="QDO2470" s="60"/>
      <c r="QDP2470" s="60"/>
      <c r="QDQ2470" s="63"/>
      <c r="QDR2470" s="61"/>
      <c r="QDS2470" s="54"/>
      <c r="QDT2470" s="54"/>
      <c r="QDU2470" s="60"/>
      <c r="QDV2470" s="60"/>
      <c r="QDW2470" s="60"/>
      <c r="QDX2470" s="60"/>
      <c r="QDY2470" s="63"/>
      <c r="QDZ2470" s="61"/>
      <c r="QEA2470" s="54"/>
      <c r="QEB2470" s="54"/>
      <c r="QEC2470" s="60"/>
      <c r="QED2470" s="60"/>
      <c r="QEE2470" s="60"/>
      <c r="QEF2470" s="60"/>
      <c r="QEG2470" s="63"/>
      <c r="QEH2470" s="61"/>
      <c r="QEI2470" s="54"/>
      <c r="QEJ2470" s="54"/>
      <c r="QEK2470" s="60"/>
      <c r="QEL2470" s="60"/>
      <c r="QEM2470" s="60"/>
      <c r="QEN2470" s="60"/>
      <c r="QEO2470" s="63"/>
      <c r="QEP2470" s="61"/>
      <c r="QEQ2470" s="54"/>
      <c r="QER2470" s="54"/>
      <c r="QES2470" s="60"/>
      <c r="QET2470" s="60"/>
      <c r="QEU2470" s="60"/>
      <c r="QEV2470" s="60"/>
      <c r="QEW2470" s="63"/>
      <c r="QEX2470" s="61"/>
      <c r="QEY2470" s="54"/>
      <c r="QEZ2470" s="54"/>
      <c r="QFA2470" s="60"/>
      <c r="QFB2470" s="60"/>
      <c r="QFC2470" s="60"/>
      <c r="QFD2470" s="60"/>
      <c r="QFE2470" s="63"/>
      <c r="QFF2470" s="61"/>
      <c r="QFG2470" s="54"/>
      <c r="QFH2470" s="54"/>
      <c r="QFI2470" s="60"/>
      <c r="QFJ2470" s="60"/>
      <c r="QFK2470" s="60"/>
      <c r="QFL2470" s="60"/>
      <c r="QFM2470" s="63"/>
      <c r="QFN2470" s="61"/>
      <c r="QFO2470" s="54"/>
      <c r="QFP2470" s="54"/>
      <c r="QFQ2470" s="60"/>
      <c r="QFR2470" s="60"/>
      <c r="QFS2470" s="60"/>
      <c r="QFT2470" s="60"/>
      <c r="QFU2470" s="63"/>
      <c r="QFV2470" s="61"/>
      <c r="QFW2470" s="54"/>
      <c r="QFX2470" s="54"/>
      <c r="QFY2470" s="60"/>
      <c r="QFZ2470" s="60"/>
      <c r="QGA2470" s="60"/>
      <c r="QGB2470" s="60"/>
      <c r="QGC2470" s="63"/>
      <c r="QGD2470" s="61"/>
      <c r="QGE2470" s="54"/>
      <c r="QGF2470" s="54"/>
      <c r="QGG2470" s="60"/>
      <c r="QGH2470" s="60"/>
      <c r="QGI2470" s="60"/>
      <c r="QGJ2470" s="60"/>
      <c r="QGK2470" s="63"/>
      <c r="QGL2470" s="61"/>
      <c r="QGM2470" s="54"/>
      <c r="QGN2470" s="54"/>
      <c r="QGO2470" s="60"/>
      <c r="QGP2470" s="60"/>
      <c r="QGQ2470" s="60"/>
      <c r="QGR2470" s="60"/>
      <c r="QGS2470" s="63"/>
      <c r="QGT2470" s="61"/>
      <c r="QGU2470" s="54"/>
      <c r="QGV2470" s="54"/>
      <c r="QGW2470" s="60"/>
      <c r="QGX2470" s="60"/>
      <c r="QGY2470" s="60"/>
      <c r="QGZ2470" s="60"/>
      <c r="QHA2470" s="63"/>
      <c r="QHB2470" s="61"/>
      <c r="QHC2470" s="54"/>
      <c r="QHD2470" s="54"/>
      <c r="QHE2470" s="60"/>
      <c r="QHF2470" s="60"/>
      <c r="QHG2470" s="60"/>
      <c r="QHH2470" s="60"/>
      <c r="QHI2470" s="63"/>
      <c r="QHJ2470" s="61"/>
      <c r="QHK2470" s="54"/>
      <c r="QHL2470" s="54"/>
      <c r="QHM2470" s="60"/>
      <c r="QHN2470" s="60"/>
      <c r="QHO2470" s="60"/>
      <c r="QHP2470" s="60"/>
      <c r="QHQ2470" s="63"/>
      <c r="QHR2470" s="61"/>
      <c r="QHS2470" s="54"/>
      <c r="QHT2470" s="54"/>
      <c r="QHU2470" s="60"/>
      <c r="QHV2470" s="60"/>
      <c r="QHW2470" s="60"/>
      <c r="QHX2470" s="60"/>
      <c r="QHY2470" s="63"/>
      <c r="QHZ2470" s="61"/>
      <c r="QIA2470" s="54"/>
      <c r="QIB2470" s="54"/>
      <c r="QIC2470" s="60"/>
      <c r="QID2470" s="60"/>
      <c r="QIE2470" s="60"/>
      <c r="QIF2470" s="60"/>
      <c r="QIG2470" s="63"/>
      <c r="QIH2470" s="61"/>
      <c r="QII2470" s="54"/>
      <c r="QIJ2470" s="54"/>
      <c r="QIK2470" s="60"/>
      <c r="QIL2470" s="60"/>
      <c r="QIM2470" s="60"/>
      <c r="QIN2470" s="60"/>
      <c r="QIO2470" s="63"/>
      <c r="QIP2470" s="61"/>
      <c r="QIQ2470" s="54"/>
      <c r="QIR2470" s="54"/>
      <c r="QIS2470" s="60"/>
      <c r="QIT2470" s="60"/>
      <c r="QIU2470" s="60"/>
      <c r="QIV2470" s="60"/>
      <c r="QIW2470" s="63"/>
      <c r="QIX2470" s="61"/>
      <c r="QIY2470" s="54"/>
      <c r="QIZ2470" s="54"/>
      <c r="QJA2470" s="60"/>
      <c r="QJB2470" s="60"/>
      <c r="QJC2470" s="60"/>
      <c r="QJD2470" s="60"/>
      <c r="QJE2470" s="63"/>
      <c r="QJF2470" s="61"/>
      <c r="QJG2470" s="54"/>
      <c r="QJH2470" s="54"/>
      <c r="QJI2470" s="60"/>
      <c r="QJJ2470" s="60"/>
      <c r="QJK2470" s="60"/>
      <c r="QJL2470" s="60"/>
      <c r="QJM2470" s="63"/>
      <c r="QJN2470" s="61"/>
      <c r="QJO2470" s="54"/>
      <c r="QJP2470" s="54"/>
      <c r="QJQ2470" s="60"/>
      <c r="QJR2470" s="60"/>
      <c r="QJS2470" s="60"/>
      <c r="QJT2470" s="60"/>
      <c r="QJU2470" s="63"/>
      <c r="QJV2470" s="61"/>
      <c r="QJW2470" s="54"/>
      <c r="QJX2470" s="54"/>
      <c r="QJY2470" s="60"/>
      <c r="QJZ2470" s="60"/>
      <c r="QKA2470" s="60"/>
      <c r="QKB2470" s="60"/>
      <c r="QKC2470" s="63"/>
      <c r="QKD2470" s="61"/>
      <c r="QKE2470" s="54"/>
      <c r="QKF2470" s="54"/>
      <c r="QKG2470" s="60"/>
      <c r="QKH2470" s="60"/>
      <c r="QKI2470" s="60"/>
      <c r="QKJ2470" s="60"/>
      <c r="QKK2470" s="63"/>
      <c r="QKL2470" s="61"/>
      <c r="QKM2470" s="54"/>
      <c r="QKN2470" s="54"/>
      <c r="QKO2470" s="60"/>
      <c r="QKP2470" s="60"/>
      <c r="QKQ2470" s="60"/>
      <c r="QKR2470" s="60"/>
      <c r="QKS2470" s="63"/>
      <c r="QKT2470" s="61"/>
      <c r="QKU2470" s="54"/>
      <c r="QKV2470" s="54"/>
      <c r="QKW2470" s="60"/>
      <c r="QKX2470" s="60"/>
      <c r="QKY2470" s="60"/>
      <c r="QKZ2470" s="60"/>
      <c r="QLA2470" s="63"/>
      <c r="QLB2470" s="61"/>
      <c r="QLC2470" s="54"/>
      <c r="QLD2470" s="54"/>
      <c r="QLE2470" s="60"/>
      <c r="QLF2470" s="60"/>
      <c r="QLG2470" s="60"/>
      <c r="QLH2470" s="60"/>
      <c r="QLI2470" s="63"/>
      <c r="QLJ2470" s="61"/>
      <c r="QLK2470" s="54"/>
      <c r="QLL2470" s="54"/>
      <c r="QLM2470" s="60"/>
      <c r="QLN2470" s="60"/>
      <c r="QLO2470" s="60"/>
      <c r="QLP2470" s="60"/>
      <c r="QLQ2470" s="63"/>
      <c r="QLR2470" s="61"/>
      <c r="QLS2470" s="54"/>
      <c r="QLT2470" s="54"/>
      <c r="QLU2470" s="60"/>
      <c r="QLV2470" s="60"/>
      <c r="QLW2470" s="60"/>
      <c r="QLX2470" s="60"/>
      <c r="QLY2470" s="63"/>
      <c r="QLZ2470" s="61"/>
      <c r="QMA2470" s="54"/>
      <c r="QMB2470" s="54"/>
      <c r="QMC2470" s="60"/>
      <c r="QMD2470" s="60"/>
      <c r="QME2470" s="60"/>
      <c r="QMF2470" s="60"/>
      <c r="QMG2470" s="63"/>
      <c r="QMH2470" s="61"/>
      <c r="QMI2470" s="54"/>
      <c r="QMJ2470" s="54"/>
      <c r="QMK2470" s="60"/>
      <c r="QML2470" s="60"/>
      <c r="QMM2470" s="60"/>
      <c r="QMN2470" s="60"/>
      <c r="QMO2470" s="63"/>
      <c r="QMP2470" s="61"/>
      <c r="QMQ2470" s="54"/>
      <c r="QMR2470" s="54"/>
      <c r="QMS2470" s="60"/>
      <c r="QMT2470" s="60"/>
      <c r="QMU2470" s="60"/>
      <c r="QMV2470" s="60"/>
      <c r="QMW2470" s="63"/>
      <c r="QMX2470" s="61"/>
      <c r="QMY2470" s="54"/>
      <c r="QMZ2470" s="54"/>
      <c r="QNA2470" s="60"/>
      <c r="QNB2470" s="60"/>
      <c r="QNC2470" s="60"/>
      <c r="QND2470" s="60"/>
      <c r="QNE2470" s="63"/>
      <c r="QNF2470" s="61"/>
      <c r="QNG2470" s="54"/>
      <c r="QNH2470" s="54"/>
      <c r="QNI2470" s="60"/>
      <c r="QNJ2470" s="60"/>
      <c r="QNK2470" s="60"/>
      <c r="QNL2470" s="60"/>
      <c r="QNM2470" s="63"/>
      <c r="QNN2470" s="61"/>
      <c r="QNO2470" s="54"/>
      <c r="QNP2470" s="54"/>
      <c r="QNQ2470" s="60"/>
      <c r="QNR2470" s="60"/>
      <c r="QNS2470" s="60"/>
      <c r="QNT2470" s="60"/>
      <c r="QNU2470" s="63"/>
      <c r="QNV2470" s="61"/>
      <c r="QNW2470" s="54"/>
      <c r="QNX2470" s="54"/>
      <c r="QNY2470" s="60"/>
      <c r="QNZ2470" s="60"/>
      <c r="QOA2470" s="60"/>
      <c r="QOB2470" s="60"/>
      <c r="QOC2470" s="63"/>
      <c r="QOD2470" s="61"/>
      <c r="QOE2470" s="54"/>
      <c r="QOF2470" s="54"/>
      <c r="QOG2470" s="60"/>
      <c r="QOH2470" s="60"/>
      <c r="QOI2470" s="60"/>
      <c r="QOJ2470" s="60"/>
      <c r="QOK2470" s="63"/>
      <c r="QOL2470" s="61"/>
      <c r="QOM2470" s="54"/>
      <c r="QON2470" s="54"/>
      <c r="QOO2470" s="60"/>
      <c r="QOP2470" s="60"/>
      <c r="QOQ2470" s="60"/>
      <c r="QOR2470" s="60"/>
      <c r="QOS2470" s="63"/>
      <c r="QOT2470" s="61"/>
      <c r="QOU2470" s="54"/>
      <c r="QOV2470" s="54"/>
      <c r="QOW2470" s="60"/>
      <c r="QOX2470" s="60"/>
      <c r="QOY2470" s="60"/>
      <c r="QOZ2470" s="60"/>
      <c r="QPA2470" s="63"/>
      <c r="QPB2470" s="61"/>
      <c r="QPC2470" s="54"/>
      <c r="QPD2470" s="54"/>
      <c r="QPE2470" s="60"/>
      <c r="QPF2470" s="60"/>
      <c r="QPG2470" s="60"/>
      <c r="QPH2470" s="60"/>
      <c r="QPI2470" s="63"/>
      <c r="QPJ2470" s="61"/>
      <c r="QPK2470" s="54"/>
      <c r="QPL2470" s="54"/>
      <c r="QPM2470" s="60"/>
      <c r="QPN2470" s="60"/>
      <c r="QPO2470" s="60"/>
      <c r="QPP2470" s="60"/>
      <c r="QPQ2470" s="63"/>
      <c r="QPR2470" s="61"/>
      <c r="QPS2470" s="54"/>
      <c r="QPT2470" s="54"/>
      <c r="QPU2470" s="60"/>
      <c r="QPV2470" s="60"/>
      <c r="QPW2470" s="60"/>
      <c r="QPX2470" s="60"/>
      <c r="QPY2470" s="63"/>
      <c r="QPZ2470" s="61"/>
      <c r="QQA2470" s="54"/>
      <c r="QQB2470" s="54"/>
      <c r="QQC2470" s="60"/>
      <c r="QQD2470" s="60"/>
      <c r="QQE2470" s="60"/>
      <c r="QQF2470" s="60"/>
      <c r="QQG2470" s="63"/>
      <c r="QQH2470" s="61"/>
      <c r="QQI2470" s="54"/>
      <c r="QQJ2470" s="54"/>
      <c r="QQK2470" s="60"/>
      <c r="QQL2470" s="60"/>
      <c r="QQM2470" s="60"/>
      <c r="QQN2470" s="60"/>
      <c r="QQO2470" s="63"/>
      <c r="QQP2470" s="61"/>
      <c r="QQQ2470" s="54"/>
      <c r="QQR2470" s="54"/>
      <c r="QQS2470" s="60"/>
      <c r="QQT2470" s="60"/>
      <c r="QQU2470" s="60"/>
      <c r="QQV2470" s="60"/>
      <c r="QQW2470" s="63"/>
      <c r="QQX2470" s="61"/>
      <c r="QQY2470" s="54"/>
      <c r="QQZ2470" s="54"/>
      <c r="QRA2470" s="60"/>
      <c r="QRB2470" s="60"/>
      <c r="QRC2470" s="60"/>
      <c r="QRD2470" s="60"/>
      <c r="QRE2470" s="63"/>
      <c r="QRF2470" s="61"/>
      <c r="QRG2470" s="54"/>
      <c r="QRH2470" s="54"/>
      <c r="QRI2470" s="60"/>
      <c r="QRJ2470" s="60"/>
      <c r="QRK2470" s="60"/>
      <c r="QRL2470" s="60"/>
      <c r="QRM2470" s="63"/>
      <c r="QRN2470" s="61"/>
      <c r="QRO2470" s="54"/>
      <c r="QRP2470" s="54"/>
      <c r="QRQ2470" s="60"/>
      <c r="QRR2470" s="60"/>
      <c r="QRS2470" s="60"/>
      <c r="QRT2470" s="60"/>
      <c r="QRU2470" s="63"/>
      <c r="QRV2470" s="61"/>
      <c r="QRW2470" s="54"/>
      <c r="QRX2470" s="54"/>
      <c r="QRY2470" s="60"/>
      <c r="QRZ2470" s="60"/>
      <c r="QSA2470" s="60"/>
      <c r="QSB2470" s="60"/>
      <c r="QSC2470" s="63"/>
      <c r="QSD2470" s="61"/>
      <c r="QSE2470" s="54"/>
      <c r="QSF2470" s="54"/>
      <c r="QSG2470" s="60"/>
      <c r="QSH2470" s="60"/>
      <c r="QSI2470" s="60"/>
      <c r="QSJ2470" s="60"/>
      <c r="QSK2470" s="63"/>
      <c r="QSL2470" s="61"/>
      <c r="QSM2470" s="54"/>
      <c r="QSN2470" s="54"/>
      <c r="QSO2470" s="60"/>
      <c r="QSP2470" s="60"/>
      <c r="QSQ2470" s="60"/>
      <c r="QSR2470" s="60"/>
      <c r="QSS2470" s="63"/>
      <c r="QST2470" s="61"/>
      <c r="QSU2470" s="54"/>
      <c r="QSV2470" s="54"/>
      <c r="QSW2470" s="60"/>
      <c r="QSX2470" s="60"/>
      <c r="QSY2470" s="60"/>
      <c r="QSZ2470" s="60"/>
      <c r="QTA2470" s="63"/>
      <c r="QTB2470" s="61"/>
      <c r="QTC2470" s="54"/>
      <c r="QTD2470" s="54"/>
      <c r="QTE2470" s="60"/>
      <c r="QTF2470" s="60"/>
      <c r="QTG2470" s="60"/>
      <c r="QTH2470" s="60"/>
      <c r="QTI2470" s="63"/>
      <c r="QTJ2470" s="61"/>
      <c r="QTK2470" s="54"/>
      <c r="QTL2470" s="54"/>
      <c r="QTM2470" s="60"/>
      <c r="QTN2470" s="60"/>
      <c r="QTO2470" s="60"/>
      <c r="QTP2470" s="60"/>
      <c r="QTQ2470" s="63"/>
      <c r="QTR2470" s="61"/>
      <c r="QTS2470" s="54"/>
      <c r="QTT2470" s="54"/>
      <c r="QTU2470" s="60"/>
      <c r="QTV2470" s="60"/>
      <c r="QTW2470" s="60"/>
      <c r="QTX2470" s="60"/>
      <c r="QTY2470" s="63"/>
      <c r="QTZ2470" s="61"/>
      <c r="QUA2470" s="54"/>
      <c r="QUB2470" s="54"/>
      <c r="QUC2470" s="60"/>
      <c r="QUD2470" s="60"/>
      <c r="QUE2470" s="60"/>
      <c r="QUF2470" s="60"/>
      <c r="QUG2470" s="63"/>
      <c r="QUH2470" s="61"/>
      <c r="QUI2470" s="54"/>
      <c r="QUJ2470" s="54"/>
      <c r="QUK2470" s="60"/>
      <c r="QUL2470" s="60"/>
      <c r="QUM2470" s="60"/>
      <c r="QUN2470" s="60"/>
      <c r="QUO2470" s="63"/>
      <c r="QUP2470" s="61"/>
      <c r="QUQ2470" s="54"/>
      <c r="QUR2470" s="54"/>
      <c r="QUS2470" s="60"/>
      <c r="QUT2470" s="60"/>
      <c r="QUU2470" s="60"/>
      <c r="QUV2470" s="60"/>
      <c r="QUW2470" s="63"/>
      <c r="QUX2470" s="61"/>
      <c r="QUY2470" s="54"/>
      <c r="QUZ2470" s="54"/>
      <c r="QVA2470" s="60"/>
      <c r="QVB2470" s="60"/>
      <c r="QVC2470" s="60"/>
      <c r="QVD2470" s="60"/>
      <c r="QVE2470" s="63"/>
      <c r="QVF2470" s="61"/>
      <c r="QVG2470" s="54"/>
      <c r="QVH2470" s="54"/>
      <c r="QVI2470" s="60"/>
      <c r="QVJ2470" s="60"/>
      <c r="QVK2470" s="60"/>
      <c r="QVL2470" s="60"/>
      <c r="QVM2470" s="63"/>
      <c r="QVN2470" s="61"/>
      <c r="QVO2470" s="54"/>
      <c r="QVP2470" s="54"/>
      <c r="QVQ2470" s="60"/>
      <c r="QVR2470" s="60"/>
      <c r="QVS2470" s="60"/>
      <c r="QVT2470" s="60"/>
      <c r="QVU2470" s="63"/>
      <c r="QVV2470" s="61"/>
      <c r="QVW2470" s="54"/>
      <c r="QVX2470" s="54"/>
      <c r="QVY2470" s="60"/>
      <c r="QVZ2470" s="60"/>
      <c r="QWA2470" s="60"/>
      <c r="QWB2470" s="60"/>
      <c r="QWC2470" s="63"/>
      <c r="QWD2470" s="61"/>
      <c r="QWE2470" s="54"/>
      <c r="QWF2470" s="54"/>
      <c r="QWG2470" s="60"/>
      <c r="QWH2470" s="60"/>
      <c r="QWI2470" s="60"/>
      <c r="QWJ2470" s="60"/>
      <c r="QWK2470" s="63"/>
      <c r="QWL2470" s="61"/>
      <c r="QWM2470" s="54"/>
      <c r="QWN2470" s="54"/>
      <c r="QWO2470" s="60"/>
      <c r="QWP2470" s="60"/>
      <c r="QWQ2470" s="60"/>
      <c r="QWR2470" s="60"/>
      <c r="QWS2470" s="63"/>
      <c r="QWT2470" s="61"/>
      <c r="QWU2470" s="54"/>
      <c r="QWV2470" s="54"/>
      <c r="QWW2470" s="60"/>
      <c r="QWX2470" s="60"/>
      <c r="QWY2470" s="60"/>
      <c r="QWZ2470" s="60"/>
      <c r="QXA2470" s="63"/>
      <c r="QXB2470" s="61"/>
      <c r="QXC2470" s="54"/>
      <c r="QXD2470" s="54"/>
      <c r="QXE2470" s="60"/>
      <c r="QXF2470" s="60"/>
      <c r="QXG2470" s="60"/>
      <c r="QXH2470" s="60"/>
      <c r="QXI2470" s="63"/>
      <c r="QXJ2470" s="61"/>
      <c r="QXK2470" s="54"/>
      <c r="QXL2470" s="54"/>
      <c r="QXM2470" s="60"/>
      <c r="QXN2470" s="60"/>
      <c r="QXO2470" s="60"/>
      <c r="QXP2470" s="60"/>
      <c r="QXQ2470" s="63"/>
      <c r="QXR2470" s="61"/>
      <c r="QXS2470" s="54"/>
      <c r="QXT2470" s="54"/>
      <c r="QXU2470" s="60"/>
      <c r="QXV2470" s="60"/>
      <c r="QXW2470" s="60"/>
      <c r="QXX2470" s="60"/>
      <c r="QXY2470" s="63"/>
      <c r="QXZ2470" s="61"/>
      <c r="QYA2470" s="54"/>
      <c r="QYB2470" s="54"/>
      <c r="QYC2470" s="60"/>
      <c r="QYD2470" s="60"/>
      <c r="QYE2470" s="60"/>
      <c r="QYF2470" s="60"/>
      <c r="QYG2470" s="63"/>
      <c r="QYH2470" s="61"/>
      <c r="QYI2470" s="54"/>
      <c r="QYJ2470" s="54"/>
      <c r="QYK2470" s="60"/>
      <c r="QYL2470" s="60"/>
      <c r="QYM2470" s="60"/>
      <c r="QYN2470" s="60"/>
      <c r="QYO2470" s="63"/>
      <c r="QYP2470" s="61"/>
      <c r="QYQ2470" s="54"/>
      <c r="QYR2470" s="54"/>
      <c r="QYS2470" s="60"/>
      <c r="QYT2470" s="60"/>
      <c r="QYU2470" s="60"/>
      <c r="QYV2470" s="60"/>
      <c r="QYW2470" s="63"/>
      <c r="QYX2470" s="61"/>
      <c r="QYY2470" s="54"/>
      <c r="QYZ2470" s="54"/>
      <c r="QZA2470" s="60"/>
      <c r="QZB2470" s="60"/>
      <c r="QZC2470" s="60"/>
      <c r="QZD2470" s="60"/>
      <c r="QZE2470" s="63"/>
      <c r="QZF2470" s="61"/>
      <c r="QZG2470" s="54"/>
      <c r="QZH2470" s="54"/>
      <c r="QZI2470" s="60"/>
      <c r="QZJ2470" s="60"/>
      <c r="QZK2470" s="60"/>
      <c r="QZL2470" s="60"/>
      <c r="QZM2470" s="63"/>
      <c r="QZN2470" s="61"/>
      <c r="QZO2470" s="54"/>
      <c r="QZP2470" s="54"/>
      <c r="QZQ2470" s="60"/>
      <c r="QZR2470" s="60"/>
      <c r="QZS2470" s="60"/>
      <c r="QZT2470" s="60"/>
      <c r="QZU2470" s="63"/>
      <c r="QZV2470" s="61"/>
      <c r="QZW2470" s="54"/>
      <c r="QZX2470" s="54"/>
      <c r="QZY2470" s="60"/>
      <c r="QZZ2470" s="60"/>
      <c r="RAA2470" s="60"/>
      <c r="RAB2470" s="60"/>
      <c r="RAC2470" s="63"/>
      <c r="RAD2470" s="61"/>
      <c r="RAE2470" s="54"/>
      <c r="RAF2470" s="54"/>
      <c r="RAG2470" s="60"/>
      <c r="RAH2470" s="60"/>
      <c r="RAI2470" s="60"/>
      <c r="RAJ2470" s="60"/>
      <c r="RAK2470" s="63"/>
      <c r="RAL2470" s="61"/>
      <c r="RAM2470" s="54"/>
      <c r="RAN2470" s="54"/>
      <c r="RAO2470" s="60"/>
      <c r="RAP2470" s="60"/>
      <c r="RAQ2470" s="60"/>
      <c r="RAR2470" s="60"/>
      <c r="RAS2470" s="63"/>
      <c r="RAT2470" s="61"/>
      <c r="RAU2470" s="54"/>
      <c r="RAV2470" s="54"/>
      <c r="RAW2470" s="60"/>
      <c r="RAX2470" s="60"/>
      <c r="RAY2470" s="60"/>
      <c r="RAZ2470" s="60"/>
      <c r="RBA2470" s="63"/>
      <c r="RBB2470" s="61"/>
      <c r="RBC2470" s="54"/>
      <c r="RBD2470" s="54"/>
      <c r="RBE2470" s="60"/>
      <c r="RBF2470" s="60"/>
      <c r="RBG2470" s="60"/>
      <c r="RBH2470" s="60"/>
      <c r="RBI2470" s="63"/>
      <c r="RBJ2470" s="61"/>
      <c r="RBK2470" s="54"/>
      <c r="RBL2470" s="54"/>
      <c r="RBM2470" s="60"/>
      <c r="RBN2470" s="60"/>
      <c r="RBO2470" s="60"/>
      <c r="RBP2470" s="60"/>
      <c r="RBQ2470" s="63"/>
      <c r="RBR2470" s="61"/>
      <c r="RBS2470" s="54"/>
      <c r="RBT2470" s="54"/>
      <c r="RBU2470" s="60"/>
      <c r="RBV2470" s="60"/>
      <c r="RBW2470" s="60"/>
      <c r="RBX2470" s="60"/>
      <c r="RBY2470" s="63"/>
      <c r="RBZ2470" s="61"/>
      <c r="RCA2470" s="54"/>
      <c r="RCB2470" s="54"/>
      <c r="RCC2470" s="60"/>
      <c r="RCD2470" s="60"/>
      <c r="RCE2470" s="60"/>
      <c r="RCF2470" s="60"/>
      <c r="RCG2470" s="63"/>
      <c r="RCH2470" s="61"/>
      <c r="RCI2470" s="54"/>
      <c r="RCJ2470" s="54"/>
      <c r="RCK2470" s="60"/>
      <c r="RCL2470" s="60"/>
      <c r="RCM2470" s="60"/>
      <c r="RCN2470" s="60"/>
      <c r="RCO2470" s="63"/>
      <c r="RCP2470" s="61"/>
      <c r="RCQ2470" s="54"/>
      <c r="RCR2470" s="54"/>
      <c r="RCS2470" s="60"/>
      <c r="RCT2470" s="60"/>
      <c r="RCU2470" s="60"/>
      <c r="RCV2470" s="60"/>
      <c r="RCW2470" s="63"/>
      <c r="RCX2470" s="61"/>
      <c r="RCY2470" s="54"/>
      <c r="RCZ2470" s="54"/>
      <c r="RDA2470" s="60"/>
      <c r="RDB2470" s="60"/>
      <c r="RDC2470" s="60"/>
      <c r="RDD2470" s="60"/>
      <c r="RDE2470" s="63"/>
      <c r="RDF2470" s="61"/>
      <c r="RDG2470" s="54"/>
      <c r="RDH2470" s="54"/>
      <c r="RDI2470" s="60"/>
      <c r="RDJ2470" s="60"/>
      <c r="RDK2470" s="60"/>
      <c r="RDL2470" s="60"/>
      <c r="RDM2470" s="63"/>
      <c r="RDN2470" s="61"/>
      <c r="RDO2470" s="54"/>
      <c r="RDP2470" s="54"/>
      <c r="RDQ2470" s="60"/>
      <c r="RDR2470" s="60"/>
      <c r="RDS2470" s="60"/>
      <c r="RDT2470" s="60"/>
      <c r="RDU2470" s="63"/>
      <c r="RDV2470" s="61"/>
      <c r="RDW2470" s="54"/>
      <c r="RDX2470" s="54"/>
      <c r="RDY2470" s="60"/>
      <c r="RDZ2470" s="60"/>
      <c r="REA2470" s="60"/>
      <c r="REB2470" s="60"/>
      <c r="REC2470" s="63"/>
      <c r="RED2470" s="61"/>
      <c r="REE2470" s="54"/>
      <c r="REF2470" s="54"/>
      <c r="REG2470" s="60"/>
      <c r="REH2470" s="60"/>
      <c r="REI2470" s="60"/>
      <c r="REJ2470" s="60"/>
      <c r="REK2470" s="63"/>
      <c r="REL2470" s="61"/>
      <c r="REM2470" s="54"/>
      <c r="REN2470" s="54"/>
      <c r="REO2470" s="60"/>
      <c r="REP2470" s="60"/>
      <c r="REQ2470" s="60"/>
      <c r="RER2470" s="60"/>
      <c r="RES2470" s="63"/>
      <c r="RET2470" s="61"/>
      <c r="REU2470" s="54"/>
      <c r="REV2470" s="54"/>
      <c r="REW2470" s="60"/>
      <c r="REX2470" s="60"/>
      <c r="REY2470" s="60"/>
      <c r="REZ2470" s="60"/>
      <c r="RFA2470" s="63"/>
      <c r="RFB2470" s="61"/>
      <c r="RFC2470" s="54"/>
      <c r="RFD2470" s="54"/>
      <c r="RFE2470" s="60"/>
      <c r="RFF2470" s="60"/>
      <c r="RFG2470" s="60"/>
      <c r="RFH2470" s="60"/>
      <c r="RFI2470" s="63"/>
      <c r="RFJ2470" s="61"/>
      <c r="RFK2470" s="54"/>
      <c r="RFL2470" s="54"/>
      <c r="RFM2470" s="60"/>
      <c r="RFN2470" s="60"/>
      <c r="RFO2470" s="60"/>
      <c r="RFP2470" s="60"/>
      <c r="RFQ2470" s="63"/>
      <c r="RFR2470" s="61"/>
      <c r="RFS2470" s="54"/>
      <c r="RFT2470" s="54"/>
      <c r="RFU2470" s="60"/>
      <c r="RFV2470" s="60"/>
      <c r="RFW2470" s="60"/>
      <c r="RFX2470" s="60"/>
      <c r="RFY2470" s="63"/>
      <c r="RFZ2470" s="61"/>
      <c r="RGA2470" s="54"/>
      <c r="RGB2470" s="54"/>
      <c r="RGC2470" s="60"/>
      <c r="RGD2470" s="60"/>
      <c r="RGE2470" s="60"/>
      <c r="RGF2470" s="60"/>
      <c r="RGG2470" s="63"/>
      <c r="RGH2470" s="61"/>
      <c r="RGI2470" s="54"/>
      <c r="RGJ2470" s="54"/>
      <c r="RGK2470" s="60"/>
      <c r="RGL2470" s="60"/>
      <c r="RGM2470" s="60"/>
      <c r="RGN2470" s="60"/>
      <c r="RGO2470" s="63"/>
      <c r="RGP2470" s="61"/>
      <c r="RGQ2470" s="54"/>
      <c r="RGR2470" s="54"/>
      <c r="RGS2470" s="60"/>
      <c r="RGT2470" s="60"/>
      <c r="RGU2470" s="60"/>
      <c r="RGV2470" s="60"/>
      <c r="RGW2470" s="63"/>
      <c r="RGX2470" s="61"/>
      <c r="RGY2470" s="54"/>
      <c r="RGZ2470" s="54"/>
      <c r="RHA2470" s="60"/>
      <c r="RHB2470" s="60"/>
      <c r="RHC2470" s="60"/>
      <c r="RHD2470" s="60"/>
      <c r="RHE2470" s="63"/>
      <c r="RHF2470" s="61"/>
      <c r="RHG2470" s="54"/>
      <c r="RHH2470" s="54"/>
      <c r="RHI2470" s="60"/>
      <c r="RHJ2470" s="60"/>
      <c r="RHK2470" s="60"/>
      <c r="RHL2470" s="60"/>
      <c r="RHM2470" s="63"/>
      <c r="RHN2470" s="61"/>
      <c r="RHO2470" s="54"/>
      <c r="RHP2470" s="54"/>
      <c r="RHQ2470" s="60"/>
      <c r="RHR2470" s="60"/>
      <c r="RHS2470" s="60"/>
      <c r="RHT2470" s="60"/>
      <c r="RHU2470" s="63"/>
      <c r="RHV2470" s="61"/>
      <c r="RHW2470" s="54"/>
      <c r="RHX2470" s="54"/>
      <c r="RHY2470" s="60"/>
      <c r="RHZ2470" s="60"/>
      <c r="RIA2470" s="60"/>
      <c r="RIB2470" s="60"/>
      <c r="RIC2470" s="63"/>
      <c r="RID2470" s="61"/>
      <c r="RIE2470" s="54"/>
      <c r="RIF2470" s="54"/>
      <c r="RIG2470" s="60"/>
      <c r="RIH2470" s="60"/>
      <c r="RII2470" s="60"/>
      <c r="RIJ2470" s="60"/>
      <c r="RIK2470" s="63"/>
      <c r="RIL2470" s="61"/>
      <c r="RIM2470" s="54"/>
      <c r="RIN2470" s="54"/>
      <c r="RIO2470" s="60"/>
      <c r="RIP2470" s="60"/>
      <c r="RIQ2470" s="60"/>
      <c r="RIR2470" s="60"/>
      <c r="RIS2470" s="63"/>
      <c r="RIT2470" s="61"/>
      <c r="RIU2470" s="54"/>
      <c r="RIV2470" s="54"/>
      <c r="RIW2470" s="60"/>
      <c r="RIX2470" s="60"/>
      <c r="RIY2470" s="60"/>
      <c r="RIZ2470" s="60"/>
      <c r="RJA2470" s="63"/>
      <c r="RJB2470" s="61"/>
      <c r="RJC2470" s="54"/>
      <c r="RJD2470" s="54"/>
      <c r="RJE2470" s="60"/>
      <c r="RJF2470" s="60"/>
      <c r="RJG2470" s="60"/>
      <c r="RJH2470" s="60"/>
      <c r="RJI2470" s="63"/>
      <c r="RJJ2470" s="61"/>
      <c r="RJK2470" s="54"/>
      <c r="RJL2470" s="54"/>
      <c r="RJM2470" s="60"/>
      <c r="RJN2470" s="60"/>
      <c r="RJO2470" s="60"/>
      <c r="RJP2470" s="60"/>
      <c r="RJQ2470" s="63"/>
      <c r="RJR2470" s="61"/>
      <c r="RJS2470" s="54"/>
      <c r="RJT2470" s="54"/>
      <c r="RJU2470" s="60"/>
      <c r="RJV2470" s="60"/>
      <c r="RJW2470" s="60"/>
      <c r="RJX2470" s="60"/>
      <c r="RJY2470" s="63"/>
      <c r="RJZ2470" s="61"/>
      <c r="RKA2470" s="54"/>
      <c r="RKB2470" s="54"/>
      <c r="RKC2470" s="60"/>
      <c r="RKD2470" s="60"/>
      <c r="RKE2470" s="60"/>
      <c r="RKF2470" s="60"/>
      <c r="RKG2470" s="63"/>
      <c r="RKH2470" s="61"/>
      <c r="RKI2470" s="54"/>
      <c r="RKJ2470" s="54"/>
      <c r="RKK2470" s="60"/>
      <c r="RKL2470" s="60"/>
      <c r="RKM2470" s="60"/>
      <c r="RKN2470" s="60"/>
      <c r="RKO2470" s="63"/>
      <c r="RKP2470" s="61"/>
      <c r="RKQ2470" s="54"/>
      <c r="RKR2470" s="54"/>
      <c r="RKS2470" s="60"/>
      <c r="RKT2470" s="60"/>
      <c r="RKU2470" s="60"/>
      <c r="RKV2470" s="60"/>
      <c r="RKW2470" s="63"/>
      <c r="RKX2470" s="61"/>
      <c r="RKY2470" s="54"/>
      <c r="RKZ2470" s="54"/>
      <c r="RLA2470" s="60"/>
      <c r="RLB2470" s="60"/>
      <c r="RLC2470" s="60"/>
      <c r="RLD2470" s="60"/>
      <c r="RLE2470" s="63"/>
      <c r="RLF2470" s="61"/>
      <c r="RLG2470" s="54"/>
      <c r="RLH2470" s="54"/>
      <c r="RLI2470" s="60"/>
      <c r="RLJ2470" s="60"/>
      <c r="RLK2470" s="60"/>
      <c r="RLL2470" s="60"/>
      <c r="RLM2470" s="63"/>
      <c r="RLN2470" s="61"/>
      <c r="RLO2470" s="54"/>
      <c r="RLP2470" s="54"/>
      <c r="RLQ2470" s="60"/>
      <c r="RLR2470" s="60"/>
      <c r="RLS2470" s="60"/>
      <c r="RLT2470" s="60"/>
      <c r="RLU2470" s="63"/>
      <c r="RLV2470" s="61"/>
      <c r="RLW2470" s="54"/>
      <c r="RLX2470" s="54"/>
      <c r="RLY2470" s="60"/>
      <c r="RLZ2470" s="60"/>
      <c r="RMA2470" s="60"/>
      <c r="RMB2470" s="60"/>
      <c r="RMC2470" s="63"/>
      <c r="RMD2470" s="61"/>
      <c r="RME2470" s="54"/>
      <c r="RMF2470" s="54"/>
      <c r="RMG2470" s="60"/>
      <c r="RMH2470" s="60"/>
      <c r="RMI2470" s="60"/>
      <c r="RMJ2470" s="60"/>
      <c r="RMK2470" s="63"/>
      <c r="RML2470" s="61"/>
      <c r="RMM2470" s="54"/>
      <c r="RMN2470" s="54"/>
      <c r="RMO2470" s="60"/>
      <c r="RMP2470" s="60"/>
      <c r="RMQ2470" s="60"/>
      <c r="RMR2470" s="60"/>
      <c r="RMS2470" s="63"/>
      <c r="RMT2470" s="61"/>
      <c r="RMU2470" s="54"/>
      <c r="RMV2470" s="54"/>
      <c r="RMW2470" s="60"/>
      <c r="RMX2470" s="60"/>
      <c r="RMY2470" s="60"/>
      <c r="RMZ2470" s="60"/>
      <c r="RNA2470" s="63"/>
      <c r="RNB2470" s="61"/>
      <c r="RNC2470" s="54"/>
      <c r="RND2470" s="54"/>
      <c r="RNE2470" s="60"/>
      <c r="RNF2470" s="60"/>
      <c r="RNG2470" s="60"/>
      <c r="RNH2470" s="60"/>
      <c r="RNI2470" s="63"/>
      <c r="RNJ2470" s="61"/>
      <c r="RNK2470" s="54"/>
      <c r="RNL2470" s="54"/>
      <c r="RNM2470" s="60"/>
      <c r="RNN2470" s="60"/>
      <c r="RNO2470" s="60"/>
      <c r="RNP2470" s="60"/>
      <c r="RNQ2470" s="63"/>
      <c r="RNR2470" s="61"/>
      <c r="RNS2470" s="54"/>
      <c r="RNT2470" s="54"/>
      <c r="RNU2470" s="60"/>
      <c r="RNV2470" s="60"/>
      <c r="RNW2470" s="60"/>
      <c r="RNX2470" s="60"/>
      <c r="RNY2470" s="63"/>
      <c r="RNZ2470" s="61"/>
      <c r="ROA2470" s="54"/>
      <c r="ROB2470" s="54"/>
      <c r="ROC2470" s="60"/>
      <c r="ROD2470" s="60"/>
      <c r="ROE2470" s="60"/>
      <c r="ROF2470" s="60"/>
      <c r="ROG2470" s="63"/>
      <c r="ROH2470" s="61"/>
      <c r="ROI2470" s="54"/>
      <c r="ROJ2470" s="54"/>
      <c r="ROK2470" s="60"/>
      <c r="ROL2470" s="60"/>
      <c r="ROM2470" s="60"/>
      <c r="RON2470" s="60"/>
      <c r="ROO2470" s="63"/>
      <c r="ROP2470" s="61"/>
      <c r="ROQ2470" s="54"/>
      <c r="ROR2470" s="54"/>
      <c r="ROS2470" s="60"/>
      <c r="ROT2470" s="60"/>
      <c r="ROU2470" s="60"/>
      <c r="ROV2470" s="60"/>
      <c r="ROW2470" s="63"/>
      <c r="ROX2470" s="61"/>
      <c r="ROY2470" s="54"/>
      <c r="ROZ2470" s="54"/>
      <c r="RPA2470" s="60"/>
      <c r="RPB2470" s="60"/>
      <c r="RPC2470" s="60"/>
      <c r="RPD2470" s="60"/>
      <c r="RPE2470" s="63"/>
      <c r="RPF2470" s="61"/>
      <c r="RPG2470" s="54"/>
      <c r="RPH2470" s="54"/>
      <c r="RPI2470" s="60"/>
      <c r="RPJ2470" s="60"/>
      <c r="RPK2470" s="60"/>
      <c r="RPL2470" s="60"/>
      <c r="RPM2470" s="63"/>
      <c r="RPN2470" s="61"/>
      <c r="RPO2470" s="54"/>
      <c r="RPP2470" s="54"/>
      <c r="RPQ2470" s="60"/>
      <c r="RPR2470" s="60"/>
      <c r="RPS2470" s="60"/>
      <c r="RPT2470" s="60"/>
      <c r="RPU2470" s="63"/>
      <c r="RPV2470" s="61"/>
      <c r="RPW2470" s="54"/>
      <c r="RPX2470" s="54"/>
      <c r="RPY2470" s="60"/>
      <c r="RPZ2470" s="60"/>
      <c r="RQA2470" s="60"/>
      <c r="RQB2470" s="60"/>
      <c r="RQC2470" s="63"/>
      <c r="RQD2470" s="61"/>
      <c r="RQE2470" s="54"/>
      <c r="RQF2470" s="54"/>
      <c r="RQG2470" s="60"/>
      <c r="RQH2470" s="60"/>
      <c r="RQI2470" s="60"/>
      <c r="RQJ2470" s="60"/>
      <c r="RQK2470" s="63"/>
      <c r="RQL2470" s="61"/>
      <c r="RQM2470" s="54"/>
      <c r="RQN2470" s="54"/>
      <c r="RQO2470" s="60"/>
      <c r="RQP2470" s="60"/>
      <c r="RQQ2470" s="60"/>
      <c r="RQR2470" s="60"/>
      <c r="RQS2470" s="63"/>
      <c r="RQT2470" s="61"/>
      <c r="RQU2470" s="54"/>
      <c r="RQV2470" s="54"/>
      <c r="RQW2470" s="60"/>
      <c r="RQX2470" s="60"/>
      <c r="RQY2470" s="60"/>
      <c r="RQZ2470" s="60"/>
      <c r="RRA2470" s="63"/>
      <c r="RRB2470" s="61"/>
      <c r="RRC2470" s="54"/>
      <c r="RRD2470" s="54"/>
      <c r="RRE2470" s="60"/>
      <c r="RRF2470" s="60"/>
      <c r="RRG2470" s="60"/>
      <c r="RRH2470" s="60"/>
      <c r="RRI2470" s="63"/>
      <c r="RRJ2470" s="61"/>
      <c r="RRK2470" s="54"/>
      <c r="RRL2470" s="54"/>
      <c r="RRM2470" s="60"/>
      <c r="RRN2470" s="60"/>
      <c r="RRO2470" s="60"/>
      <c r="RRP2470" s="60"/>
      <c r="RRQ2470" s="63"/>
      <c r="RRR2470" s="61"/>
      <c r="RRS2470" s="54"/>
      <c r="RRT2470" s="54"/>
      <c r="RRU2470" s="60"/>
      <c r="RRV2470" s="60"/>
      <c r="RRW2470" s="60"/>
      <c r="RRX2470" s="60"/>
      <c r="RRY2470" s="63"/>
      <c r="RRZ2470" s="61"/>
      <c r="RSA2470" s="54"/>
      <c r="RSB2470" s="54"/>
      <c r="RSC2470" s="60"/>
      <c r="RSD2470" s="60"/>
      <c r="RSE2470" s="60"/>
      <c r="RSF2470" s="60"/>
      <c r="RSG2470" s="63"/>
      <c r="RSH2470" s="61"/>
      <c r="RSI2470" s="54"/>
      <c r="RSJ2470" s="54"/>
      <c r="RSK2470" s="60"/>
      <c r="RSL2470" s="60"/>
      <c r="RSM2470" s="60"/>
      <c r="RSN2470" s="60"/>
      <c r="RSO2470" s="63"/>
      <c r="RSP2470" s="61"/>
      <c r="RSQ2470" s="54"/>
      <c r="RSR2470" s="54"/>
      <c r="RSS2470" s="60"/>
      <c r="RST2470" s="60"/>
      <c r="RSU2470" s="60"/>
      <c r="RSV2470" s="60"/>
      <c r="RSW2470" s="63"/>
      <c r="RSX2470" s="61"/>
      <c r="RSY2470" s="54"/>
      <c r="RSZ2470" s="54"/>
      <c r="RTA2470" s="60"/>
      <c r="RTB2470" s="60"/>
      <c r="RTC2470" s="60"/>
      <c r="RTD2470" s="60"/>
      <c r="RTE2470" s="63"/>
      <c r="RTF2470" s="61"/>
      <c r="RTG2470" s="54"/>
      <c r="RTH2470" s="54"/>
      <c r="RTI2470" s="60"/>
      <c r="RTJ2470" s="60"/>
      <c r="RTK2470" s="60"/>
      <c r="RTL2470" s="60"/>
      <c r="RTM2470" s="63"/>
      <c r="RTN2470" s="61"/>
      <c r="RTO2470" s="54"/>
      <c r="RTP2470" s="54"/>
      <c r="RTQ2470" s="60"/>
      <c r="RTR2470" s="60"/>
      <c r="RTS2470" s="60"/>
      <c r="RTT2470" s="60"/>
      <c r="RTU2470" s="63"/>
      <c r="RTV2470" s="61"/>
      <c r="RTW2470" s="54"/>
      <c r="RTX2470" s="54"/>
      <c r="RTY2470" s="60"/>
      <c r="RTZ2470" s="60"/>
      <c r="RUA2470" s="60"/>
      <c r="RUB2470" s="60"/>
      <c r="RUC2470" s="63"/>
      <c r="RUD2470" s="61"/>
      <c r="RUE2470" s="54"/>
      <c r="RUF2470" s="54"/>
      <c r="RUG2470" s="60"/>
      <c r="RUH2470" s="60"/>
      <c r="RUI2470" s="60"/>
      <c r="RUJ2470" s="60"/>
      <c r="RUK2470" s="63"/>
      <c r="RUL2470" s="61"/>
      <c r="RUM2470" s="54"/>
      <c r="RUN2470" s="54"/>
      <c r="RUO2470" s="60"/>
      <c r="RUP2470" s="60"/>
      <c r="RUQ2470" s="60"/>
      <c r="RUR2470" s="60"/>
      <c r="RUS2470" s="63"/>
      <c r="RUT2470" s="61"/>
      <c r="RUU2470" s="54"/>
      <c r="RUV2470" s="54"/>
      <c r="RUW2470" s="60"/>
      <c r="RUX2470" s="60"/>
      <c r="RUY2470" s="60"/>
      <c r="RUZ2470" s="60"/>
      <c r="RVA2470" s="63"/>
      <c r="RVB2470" s="61"/>
      <c r="RVC2470" s="54"/>
      <c r="RVD2470" s="54"/>
      <c r="RVE2470" s="60"/>
      <c r="RVF2470" s="60"/>
      <c r="RVG2470" s="60"/>
      <c r="RVH2470" s="60"/>
      <c r="RVI2470" s="63"/>
      <c r="RVJ2470" s="61"/>
      <c r="RVK2470" s="54"/>
      <c r="RVL2470" s="54"/>
      <c r="RVM2470" s="60"/>
      <c r="RVN2470" s="60"/>
      <c r="RVO2470" s="60"/>
      <c r="RVP2470" s="60"/>
      <c r="RVQ2470" s="63"/>
      <c r="RVR2470" s="61"/>
      <c r="RVS2470" s="54"/>
      <c r="RVT2470" s="54"/>
      <c r="RVU2470" s="60"/>
      <c r="RVV2470" s="60"/>
      <c r="RVW2470" s="60"/>
      <c r="RVX2470" s="60"/>
      <c r="RVY2470" s="63"/>
      <c r="RVZ2470" s="61"/>
      <c r="RWA2470" s="54"/>
      <c r="RWB2470" s="54"/>
      <c r="RWC2470" s="60"/>
      <c r="RWD2470" s="60"/>
      <c r="RWE2470" s="60"/>
      <c r="RWF2470" s="60"/>
      <c r="RWG2470" s="63"/>
      <c r="RWH2470" s="61"/>
      <c r="RWI2470" s="54"/>
      <c r="RWJ2470" s="54"/>
      <c r="RWK2470" s="60"/>
      <c r="RWL2470" s="60"/>
      <c r="RWM2470" s="60"/>
      <c r="RWN2470" s="60"/>
      <c r="RWO2470" s="63"/>
      <c r="RWP2470" s="61"/>
      <c r="RWQ2470" s="54"/>
      <c r="RWR2470" s="54"/>
      <c r="RWS2470" s="60"/>
      <c r="RWT2470" s="60"/>
      <c r="RWU2470" s="60"/>
      <c r="RWV2470" s="60"/>
      <c r="RWW2470" s="63"/>
      <c r="RWX2470" s="61"/>
      <c r="RWY2470" s="54"/>
      <c r="RWZ2470" s="54"/>
      <c r="RXA2470" s="60"/>
      <c r="RXB2470" s="60"/>
      <c r="RXC2470" s="60"/>
      <c r="RXD2470" s="60"/>
      <c r="RXE2470" s="63"/>
      <c r="RXF2470" s="61"/>
      <c r="RXG2470" s="54"/>
      <c r="RXH2470" s="54"/>
      <c r="RXI2470" s="60"/>
      <c r="RXJ2470" s="60"/>
      <c r="RXK2470" s="60"/>
      <c r="RXL2470" s="60"/>
      <c r="RXM2470" s="63"/>
      <c r="RXN2470" s="61"/>
      <c r="RXO2470" s="54"/>
      <c r="RXP2470" s="54"/>
      <c r="RXQ2470" s="60"/>
      <c r="RXR2470" s="60"/>
      <c r="RXS2470" s="60"/>
      <c r="RXT2470" s="60"/>
      <c r="RXU2470" s="63"/>
      <c r="RXV2470" s="61"/>
      <c r="RXW2470" s="54"/>
      <c r="RXX2470" s="54"/>
      <c r="RXY2470" s="60"/>
      <c r="RXZ2470" s="60"/>
      <c r="RYA2470" s="60"/>
      <c r="RYB2470" s="60"/>
      <c r="RYC2470" s="63"/>
      <c r="RYD2470" s="61"/>
      <c r="RYE2470" s="54"/>
      <c r="RYF2470" s="54"/>
      <c r="RYG2470" s="60"/>
      <c r="RYH2470" s="60"/>
      <c r="RYI2470" s="60"/>
      <c r="RYJ2470" s="60"/>
      <c r="RYK2470" s="63"/>
      <c r="RYL2470" s="61"/>
      <c r="RYM2470" s="54"/>
      <c r="RYN2470" s="54"/>
      <c r="RYO2470" s="60"/>
      <c r="RYP2470" s="60"/>
      <c r="RYQ2470" s="60"/>
      <c r="RYR2470" s="60"/>
      <c r="RYS2470" s="63"/>
      <c r="RYT2470" s="61"/>
      <c r="RYU2470" s="54"/>
      <c r="RYV2470" s="54"/>
      <c r="RYW2470" s="60"/>
      <c r="RYX2470" s="60"/>
      <c r="RYY2470" s="60"/>
      <c r="RYZ2470" s="60"/>
      <c r="RZA2470" s="63"/>
      <c r="RZB2470" s="61"/>
      <c r="RZC2470" s="54"/>
      <c r="RZD2470" s="54"/>
      <c r="RZE2470" s="60"/>
      <c r="RZF2470" s="60"/>
      <c r="RZG2470" s="60"/>
      <c r="RZH2470" s="60"/>
      <c r="RZI2470" s="63"/>
      <c r="RZJ2470" s="61"/>
      <c r="RZK2470" s="54"/>
      <c r="RZL2470" s="54"/>
      <c r="RZM2470" s="60"/>
      <c r="RZN2470" s="60"/>
      <c r="RZO2470" s="60"/>
      <c r="RZP2470" s="60"/>
      <c r="RZQ2470" s="63"/>
      <c r="RZR2470" s="61"/>
      <c r="RZS2470" s="54"/>
      <c r="RZT2470" s="54"/>
      <c r="RZU2470" s="60"/>
      <c r="RZV2470" s="60"/>
      <c r="RZW2470" s="60"/>
      <c r="RZX2470" s="60"/>
      <c r="RZY2470" s="63"/>
      <c r="RZZ2470" s="61"/>
      <c r="SAA2470" s="54"/>
      <c r="SAB2470" s="54"/>
      <c r="SAC2470" s="60"/>
      <c r="SAD2470" s="60"/>
      <c r="SAE2470" s="60"/>
      <c r="SAF2470" s="60"/>
      <c r="SAG2470" s="63"/>
      <c r="SAH2470" s="61"/>
      <c r="SAI2470" s="54"/>
      <c r="SAJ2470" s="54"/>
      <c r="SAK2470" s="60"/>
      <c r="SAL2470" s="60"/>
      <c r="SAM2470" s="60"/>
      <c r="SAN2470" s="60"/>
      <c r="SAO2470" s="63"/>
      <c r="SAP2470" s="61"/>
      <c r="SAQ2470" s="54"/>
      <c r="SAR2470" s="54"/>
      <c r="SAS2470" s="60"/>
      <c r="SAT2470" s="60"/>
      <c r="SAU2470" s="60"/>
      <c r="SAV2470" s="60"/>
      <c r="SAW2470" s="63"/>
      <c r="SAX2470" s="61"/>
      <c r="SAY2470" s="54"/>
      <c r="SAZ2470" s="54"/>
      <c r="SBA2470" s="60"/>
      <c r="SBB2470" s="60"/>
      <c r="SBC2470" s="60"/>
      <c r="SBD2470" s="60"/>
      <c r="SBE2470" s="63"/>
      <c r="SBF2470" s="61"/>
      <c r="SBG2470" s="54"/>
      <c r="SBH2470" s="54"/>
      <c r="SBI2470" s="60"/>
      <c r="SBJ2470" s="60"/>
      <c r="SBK2470" s="60"/>
      <c r="SBL2470" s="60"/>
      <c r="SBM2470" s="63"/>
      <c r="SBN2470" s="61"/>
      <c r="SBO2470" s="54"/>
      <c r="SBP2470" s="54"/>
      <c r="SBQ2470" s="60"/>
      <c r="SBR2470" s="60"/>
      <c r="SBS2470" s="60"/>
      <c r="SBT2470" s="60"/>
      <c r="SBU2470" s="63"/>
      <c r="SBV2470" s="61"/>
      <c r="SBW2470" s="54"/>
      <c r="SBX2470" s="54"/>
      <c r="SBY2470" s="60"/>
      <c r="SBZ2470" s="60"/>
      <c r="SCA2470" s="60"/>
      <c r="SCB2470" s="60"/>
      <c r="SCC2470" s="63"/>
      <c r="SCD2470" s="61"/>
      <c r="SCE2470" s="54"/>
      <c r="SCF2470" s="54"/>
      <c r="SCG2470" s="60"/>
      <c r="SCH2470" s="60"/>
      <c r="SCI2470" s="60"/>
      <c r="SCJ2470" s="60"/>
      <c r="SCK2470" s="63"/>
      <c r="SCL2470" s="61"/>
      <c r="SCM2470" s="54"/>
      <c r="SCN2470" s="54"/>
      <c r="SCO2470" s="60"/>
      <c r="SCP2470" s="60"/>
      <c r="SCQ2470" s="60"/>
      <c r="SCR2470" s="60"/>
      <c r="SCS2470" s="63"/>
      <c r="SCT2470" s="61"/>
      <c r="SCU2470" s="54"/>
      <c r="SCV2470" s="54"/>
      <c r="SCW2470" s="60"/>
      <c r="SCX2470" s="60"/>
      <c r="SCY2470" s="60"/>
      <c r="SCZ2470" s="60"/>
      <c r="SDA2470" s="63"/>
      <c r="SDB2470" s="61"/>
      <c r="SDC2470" s="54"/>
      <c r="SDD2470" s="54"/>
      <c r="SDE2470" s="60"/>
      <c r="SDF2470" s="60"/>
      <c r="SDG2470" s="60"/>
      <c r="SDH2470" s="60"/>
      <c r="SDI2470" s="63"/>
      <c r="SDJ2470" s="61"/>
      <c r="SDK2470" s="54"/>
      <c r="SDL2470" s="54"/>
      <c r="SDM2470" s="60"/>
      <c r="SDN2470" s="60"/>
      <c r="SDO2470" s="60"/>
      <c r="SDP2470" s="60"/>
      <c r="SDQ2470" s="63"/>
      <c r="SDR2470" s="61"/>
      <c r="SDS2470" s="54"/>
      <c r="SDT2470" s="54"/>
      <c r="SDU2470" s="60"/>
      <c r="SDV2470" s="60"/>
      <c r="SDW2470" s="60"/>
      <c r="SDX2470" s="60"/>
      <c r="SDY2470" s="63"/>
      <c r="SDZ2470" s="61"/>
      <c r="SEA2470" s="54"/>
      <c r="SEB2470" s="54"/>
      <c r="SEC2470" s="60"/>
      <c r="SED2470" s="60"/>
      <c r="SEE2470" s="60"/>
      <c r="SEF2470" s="60"/>
      <c r="SEG2470" s="63"/>
      <c r="SEH2470" s="61"/>
      <c r="SEI2470" s="54"/>
      <c r="SEJ2470" s="54"/>
      <c r="SEK2470" s="60"/>
      <c r="SEL2470" s="60"/>
      <c r="SEM2470" s="60"/>
      <c r="SEN2470" s="60"/>
      <c r="SEO2470" s="63"/>
      <c r="SEP2470" s="61"/>
      <c r="SEQ2470" s="54"/>
      <c r="SER2470" s="54"/>
      <c r="SES2470" s="60"/>
      <c r="SET2470" s="60"/>
      <c r="SEU2470" s="60"/>
      <c r="SEV2470" s="60"/>
      <c r="SEW2470" s="63"/>
      <c r="SEX2470" s="61"/>
      <c r="SEY2470" s="54"/>
      <c r="SEZ2470" s="54"/>
      <c r="SFA2470" s="60"/>
      <c r="SFB2470" s="60"/>
      <c r="SFC2470" s="60"/>
      <c r="SFD2470" s="60"/>
      <c r="SFE2470" s="63"/>
      <c r="SFF2470" s="61"/>
      <c r="SFG2470" s="54"/>
      <c r="SFH2470" s="54"/>
      <c r="SFI2470" s="60"/>
      <c r="SFJ2470" s="60"/>
      <c r="SFK2470" s="60"/>
      <c r="SFL2470" s="60"/>
      <c r="SFM2470" s="63"/>
      <c r="SFN2470" s="61"/>
      <c r="SFO2470" s="54"/>
      <c r="SFP2470" s="54"/>
      <c r="SFQ2470" s="60"/>
      <c r="SFR2470" s="60"/>
      <c r="SFS2470" s="60"/>
      <c r="SFT2470" s="60"/>
      <c r="SFU2470" s="63"/>
      <c r="SFV2470" s="61"/>
      <c r="SFW2470" s="54"/>
      <c r="SFX2470" s="54"/>
      <c r="SFY2470" s="60"/>
      <c r="SFZ2470" s="60"/>
      <c r="SGA2470" s="60"/>
      <c r="SGB2470" s="60"/>
      <c r="SGC2470" s="63"/>
      <c r="SGD2470" s="61"/>
      <c r="SGE2470" s="54"/>
      <c r="SGF2470" s="54"/>
      <c r="SGG2470" s="60"/>
      <c r="SGH2470" s="60"/>
      <c r="SGI2470" s="60"/>
      <c r="SGJ2470" s="60"/>
      <c r="SGK2470" s="63"/>
      <c r="SGL2470" s="61"/>
      <c r="SGM2470" s="54"/>
      <c r="SGN2470" s="54"/>
      <c r="SGO2470" s="60"/>
      <c r="SGP2470" s="60"/>
      <c r="SGQ2470" s="60"/>
      <c r="SGR2470" s="60"/>
      <c r="SGS2470" s="63"/>
      <c r="SGT2470" s="61"/>
      <c r="SGU2470" s="54"/>
      <c r="SGV2470" s="54"/>
      <c r="SGW2470" s="60"/>
      <c r="SGX2470" s="60"/>
      <c r="SGY2470" s="60"/>
      <c r="SGZ2470" s="60"/>
      <c r="SHA2470" s="63"/>
      <c r="SHB2470" s="61"/>
      <c r="SHC2470" s="54"/>
      <c r="SHD2470" s="54"/>
      <c r="SHE2470" s="60"/>
      <c r="SHF2470" s="60"/>
      <c r="SHG2470" s="60"/>
      <c r="SHH2470" s="60"/>
      <c r="SHI2470" s="63"/>
      <c r="SHJ2470" s="61"/>
      <c r="SHK2470" s="54"/>
      <c r="SHL2470" s="54"/>
      <c r="SHM2470" s="60"/>
      <c r="SHN2470" s="60"/>
      <c r="SHO2470" s="60"/>
      <c r="SHP2470" s="60"/>
      <c r="SHQ2470" s="63"/>
      <c r="SHR2470" s="61"/>
      <c r="SHS2470" s="54"/>
      <c r="SHT2470" s="54"/>
      <c r="SHU2470" s="60"/>
      <c r="SHV2470" s="60"/>
      <c r="SHW2470" s="60"/>
      <c r="SHX2470" s="60"/>
      <c r="SHY2470" s="63"/>
      <c r="SHZ2470" s="61"/>
      <c r="SIA2470" s="54"/>
      <c r="SIB2470" s="54"/>
      <c r="SIC2470" s="60"/>
      <c r="SID2470" s="60"/>
      <c r="SIE2470" s="60"/>
      <c r="SIF2470" s="60"/>
      <c r="SIG2470" s="63"/>
      <c r="SIH2470" s="61"/>
      <c r="SII2470" s="54"/>
      <c r="SIJ2470" s="54"/>
      <c r="SIK2470" s="60"/>
      <c r="SIL2470" s="60"/>
      <c r="SIM2470" s="60"/>
      <c r="SIN2470" s="60"/>
      <c r="SIO2470" s="63"/>
      <c r="SIP2470" s="61"/>
      <c r="SIQ2470" s="54"/>
      <c r="SIR2470" s="54"/>
      <c r="SIS2470" s="60"/>
      <c r="SIT2470" s="60"/>
      <c r="SIU2470" s="60"/>
      <c r="SIV2470" s="60"/>
      <c r="SIW2470" s="63"/>
      <c r="SIX2470" s="61"/>
      <c r="SIY2470" s="54"/>
      <c r="SIZ2470" s="54"/>
      <c r="SJA2470" s="60"/>
      <c r="SJB2470" s="60"/>
      <c r="SJC2470" s="60"/>
      <c r="SJD2470" s="60"/>
      <c r="SJE2470" s="63"/>
      <c r="SJF2470" s="61"/>
      <c r="SJG2470" s="54"/>
      <c r="SJH2470" s="54"/>
      <c r="SJI2470" s="60"/>
      <c r="SJJ2470" s="60"/>
      <c r="SJK2470" s="60"/>
      <c r="SJL2470" s="60"/>
      <c r="SJM2470" s="63"/>
      <c r="SJN2470" s="61"/>
      <c r="SJO2470" s="54"/>
      <c r="SJP2470" s="54"/>
      <c r="SJQ2470" s="60"/>
      <c r="SJR2470" s="60"/>
      <c r="SJS2470" s="60"/>
      <c r="SJT2470" s="60"/>
      <c r="SJU2470" s="63"/>
      <c r="SJV2470" s="61"/>
      <c r="SJW2470" s="54"/>
      <c r="SJX2470" s="54"/>
      <c r="SJY2470" s="60"/>
      <c r="SJZ2470" s="60"/>
      <c r="SKA2470" s="60"/>
      <c r="SKB2470" s="60"/>
      <c r="SKC2470" s="63"/>
      <c r="SKD2470" s="61"/>
      <c r="SKE2470" s="54"/>
      <c r="SKF2470" s="54"/>
      <c r="SKG2470" s="60"/>
      <c r="SKH2470" s="60"/>
      <c r="SKI2470" s="60"/>
      <c r="SKJ2470" s="60"/>
      <c r="SKK2470" s="63"/>
      <c r="SKL2470" s="61"/>
      <c r="SKM2470" s="54"/>
      <c r="SKN2470" s="54"/>
      <c r="SKO2470" s="60"/>
      <c r="SKP2470" s="60"/>
      <c r="SKQ2470" s="60"/>
      <c r="SKR2470" s="60"/>
      <c r="SKS2470" s="63"/>
      <c r="SKT2470" s="61"/>
      <c r="SKU2470" s="54"/>
      <c r="SKV2470" s="54"/>
      <c r="SKW2470" s="60"/>
      <c r="SKX2470" s="60"/>
      <c r="SKY2470" s="60"/>
      <c r="SKZ2470" s="60"/>
      <c r="SLA2470" s="63"/>
      <c r="SLB2470" s="61"/>
      <c r="SLC2470" s="54"/>
      <c r="SLD2470" s="54"/>
      <c r="SLE2470" s="60"/>
      <c r="SLF2470" s="60"/>
      <c r="SLG2470" s="60"/>
      <c r="SLH2470" s="60"/>
      <c r="SLI2470" s="63"/>
      <c r="SLJ2470" s="61"/>
      <c r="SLK2470" s="54"/>
      <c r="SLL2470" s="54"/>
      <c r="SLM2470" s="60"/>
      <c r="SLN2470" s="60"/>
      <c r="SLO2470" s="60"/>
      <c r="SLP2470" s="60"/>
      <c r="SLQ2470" s="63"/>
      <c r="SLR2470" s="61"/>
      <c r="SLS2470" s="54"/>
      <c r="SLT2470" s="54"/>
      <c r="SLU2470" s="60"/>
      <c r="SLV2470" s="60"/>
      <c r="SLW2470" s="60"/>
      <c r="SLX2470" s="60"/>
      <c r="SLY2470" s="63"/>
      <c r="SLZ2470" s="61"/>
      <c r="SMA2470" s="54"/>
      <c r="SMB2470" s="54"/>
      <c r="SMC2470" s="60"/>
      <c r="SMD2470" s="60"/>
      <c r="SME2470" s="60"/>
      <c r="SMF2470" s="60"/>
      <c r="SMG2470" s="63"/>
      <c r="SMH2470" s="61"/>
      <c r="SMI2470" s="54"/>
      <c r="SMJ2470" s="54"/>
      <c r="SMK2470" s="60"/>
      <c r="SML2470" s="60"/>
      <c r="SMM2470" s="60"/>
      <c r="SMN2470" s="60"/>
      <c r="SMO2470" s="63"/>
      <c r="SMP2470" s="61"/>
      <c r="SMQ2470" s="54"/>
      <c r="SMR2470" s="54"/>
      <c r="SMS2470" s="60"/>
      <c r="SMT2470" s="60"/>
      <c r="SMU2470" s="60"/>
      <c r="SMV2470" s="60"/>
      <c r="SMW2470" s="63"/>
      <c r="SMX2470" s="61"/>
      <c r="SMY2470" s="54"/>
      <c r="SMZ2470" s="54"/>
      <c r="SNA2470" s="60"/>
      <c r="SNB2470" s="60"/>
      <c r="SNC2470" s="60"/>
      <c r="SND2470" s="60"/>
      <c r="SNE2470" s="63"/>
      <c r="SNF2470" s="61"/>
      <c r="SNG2470" s="54"/>
      <c r="SNH2470" s="54"/>
      <c r="SNI2470" s="60"/>
      <c r="SNJ2470" s="60"/>
      <c r="SNK2470" s="60"/>
      <c r="SNL2470" s="60"/>
      <c r="SNM2470" s="63"/>
      <c r="SNN2470" s="61"/>
      <c r="SNO2470" s="54"/>
      <c r="SNP2470" s="54"/>
      <c r="SNQ2470" s="60"/>
      <c r="SNR2470" s="60"/>
      <c r="SNS2470" s="60"/>
      <c r="SNT2470" s="60"/>
      <c r="SNU2470" s="63"/>
      <c r="SNV2470" s="61"/>
      <c r="SNW2470" s="54"/>
      <c r="SNX2470" s="54"/>
      <c r="SNY2470" s="60"/>
      <c r="SNZ2470" s="60"/>
      <c r="SOA2470" s="60"/>
      <c r="SOB2470" s="60"/>
      <c r="SOC2470" s="63"/>
      <c r="SOD2470" s="61"/>
      <c r="SOE2470" s="54"/>
      <c r="SOF2470" s="54"/>
      <c r="SOG2470" s="60"/>
      <c r="SOH2470" s="60"/>
      <c r="SOI2470" s="60"/>
      <c r="SOJ2470" s="60"/>
      <c r="SOK2470" s="63"/>
      <c r="SOL2470" s="61"/>
      <c r="SOM2470" s="54"/>
      <c r="SON2470" s="54"/>
      <c r="SOO2470" s="60"/>
      <c r="SOP2470" s="60"/>
      <c r="SOQ2470" s="60"/>
      <c r="SOR2470" s="60"/>
      <c r="SOS2470" s="63"/>
      <c r="SOT2470" s="61"/>
      <c r="SOU2470" s="54"/>
      <c r="SOV2470" s="54"/>
      <c r="SOW2470" s="60"/>
      <c r="SOX2470" s="60"/>
      <c r="SOY2470" s="60"/>
      <c r="SOZ2470" s="60"/>
      <c r="SPA2470" s="63"/>
      <c r="SPB2470" s="61"/>
      <c r="SPC2470" s="54"/>
      <c r="SPD2470" s="54"/>
      <c r="SPE2470" s="60"/>
      <c r="SPF2470" s="60"/>
      <c r="SPG2470" s="60"/>
      <c r="SPH2470" s="60"/>
      <c r="SPI2470" s="63"/>
      <c r="SPJ2470" s="61"/>
      <c r="SPK2470" s="54"/>
      <c r="SPL2470" s="54"/>
      <c r="SPM2470" s="60"/>
      <c r="SPN2470" s="60"/>
      <c r="SPO2470" s="60"/>
      <c r="SPP2470" s="60"/>
      <c r="SPQ2470" s="63"/>
      <c r="SPR2470" s="61"/>
      <c r="SPS2470" s="54"/>
      <c r="SPT2470" s="54"/>
      <c r="SPU2470" s="60"/>
      <c r="SPV2470" s="60"/>
      <c r="SPW2470" s="60"/>
      <c r="SPX2470" s="60"/>
      <c r="SPY2470" s="63"/>
      <c r="SPZ2470" s="61"/>
      <c r="SQA2470" s="54"/>
      <c r="SQB2470" s="54"/>
      <c r="SQC2470" s="60"/>
      <c r="SQD2470" s="60"/>
      <c r="SQE2470" s="60"/>
      <c r="SQF2470" s="60"/>
      <c r="SQG2470" s="63"/>
      <c r="SQH2470" s="61"/>
      <c r="SQI2470" s="54"/>
      <c r="SQJ2470" s="54"/>
      <c r="SQK2470" s="60"/>
      <c r="SQL2470" s="60"/>
      <c r="SQM2470" s="60"/>
      <c r="SQN2470" s="60"/>
      <c r="SQO2470" s="63"/>
      <c r="SQP2470" s="61"/>
      <c r="SQQ2470" s="54"/>
      <c r="SQR2470" s="54"/>
      <c r="SQS2470" s="60"/>
      <c r="SQT2470" s="60"/>
      <c r="SQU2470" s="60"/>
      <c r="SQV2470" s="60"/>
      <c r="SQW2470" s="63"/>
      <c r="SQX2470" s="61"/>
      <c r="SQY2470" s="54"/>
      <c r="SQZ2470" s="54"/>
      <c r="SRA2470" s="60"/>
      <c r="SRB2470" s="60"/>
      <c r="SRC2470" s="60"/>
      <c r="SRD2470" s="60"/>
      <c r="SRE2470" s="63"/>
      <c r="SRF2470" s="61"/>
      <c r="SRG2470" s="54"/>
      <c r="SRH2470" s="54"/>
      <c r="SRI2470" s="60"/>
      <c r="SRJ2470" s="60"/>
      <c r="SRK2470" s="60"/>
      <c r="SRL2470" s="60"/>
      <c r="SRM2470" s="63"/>
      <c r="SRN2470" s="61"/>
      <c r="SRO2470" s="54"/>
      <c r="SRP2470" s="54"/>
      <c r="SRQ2470" s="60"/>
      <c r="SRR2470" s="60"/>
      <c r="SRS2470" s="60"/>
      <c r="SRT2470" s="60"/>
      <c r="SRU2470" s="63"/>
      <c r="SRV2470" s="61"/>
      <c r="SRW2470" s="54"/>
      <c r="SRX2470" s="54"/>
      <c r="SRY2470" s="60"/>
      <c r="SRZ2470" s="60"/>
      <c r="SSA2470" s="60"/>
      <c r="SSB2470" s="60"/>
      <c r="SSC2470" s="63"/>
      <c r="SSD2470" s="61"/>
      <c r="SSE2470" s="54"/>
      <c r="SSF2470" s="54"/>
      <c r="SSG2470" s="60"/>
      <c r="SSH2470" s="60"/>
      <c r="SSI2470" s="60"/>
      <c r="SSJ2470" s="60"/>
      <c r="SSK2470" s="63"/>
      <c r="SSL2470" s="61"/>
      <c r="SSM2470" s="54"/>
      <c r="SSN2470" s="54"/>
      <c r="SSO2470" s="60"/>
      <c r="SSP2470" s="60"/>
      <c r="SSQ2470" s="60"/>
      <c r="SSR2470" s="60"/>
      <c r="SSS2470" s="63"/>
      <c r="SST2470" s="61"/>
      <c r="SSU2470" s="54"/>
      <c r="SSV2470" s="54"/>
      <c r="SSW2470" s="60"/>
      <c r="SSX2470" s="60"/>
      <c r="SSY2470" s="60"/>
      <c r="SSZ2470" s="60"/>
      <c r="STA2470" s="63"/>
      <c r="STB2470" s="61"/>
      <c r="STC2470" s="54"/>
      <c r="STD2470" s="54"/>
      <c r="STE2470" s="60"/>
      <c r="STF2470" s="60"/>
      <c r="STG2470" s="60"/>
      <c r="STH2470" s="60"/>
      <c r="STI2470" s="63"/>
      <c r="STJ2470" s="61"/>
      <c r="STK2470" s="54"/>
      <c r="STL2470" s="54"/>
      <c r="STM2470" s="60"/>
      <c r="STN2470" s="60"/>
      <c r="STO2470" s="60"/>
      <c r="STP2470" s="60"/>
      <c r="STQ2470" s="63"/>
      <c r="STR2470" s="61"/>
      <c r="STS2470" s="54"/>
      <c r="STT2470" s="54"/>
      <c r="STU2470" s="60"/>
      <c r="STV2470" s="60"/>
      <c r="STW2470" s="60"/>
      <c r="STX2470" s="60"/>
      <c r="STY2470" s="63"/>
      <c r="STZ2470" s="61"/>
      <c r="SUA2470" s="54"/>
      <c r="SUB2470" s="54"/>
      <c r="SUC2470" s="60"/>
      <c r="SUD2470" s="60"/>
      <c r="SUE2470" s="60"/>
      <c r="SUF2470" s="60"/>
      <c r="SUG2470" s="63"/>
      <c r="SUH2470" s="61"/>
      <c r="SUI2470" s="54"/>
      <c r="SUJ2470" s="54"/>
      <c r="SUK2470" s="60"/>
      <c r="SUL2470" s="60"/>
      <c r="SUM2470" s="60"/>
      <c r="SUN2470" s="60"/>
      <c r="SUO2470" s="63"/>
      <c r="SUP2470" s="61"/>
      <c r="SUQ2470" s="54"/>
      <c r="SUR2470" s="54"/>
      <c r="SUS2470" s="60"/>
      <c r="SUT2470" s="60"/>
      <c r="SUU2470" s="60"/>
      <c r="SUV2470" s="60"/>
      <c r="SUW2470" s="63"/>
      <c r="SUX2470" s="61"/>
      <c r="SUY2470" s="54"/>
      <c r="SUZ2470" s="54"/>
      <c r="SVA2470" s="60"/>
      <c r="SVB2470" s="60"/>
      <c r="SVC2470" s="60"/>
      <c r="SVD2470" s="60"/>
      <c r="SVE2470" s="63"/>
      <c r="SVF2470" s="61"/>
      <c r="SVG2470" s="54"/>
      <c r="SVH2470" s="54"/>
      <c r="SVI2470" s="60"/>
      <c r="SVJ2470" s="60"/>
      <c r="SVK2470" s="60"/>
      <c r="SVL2470" s="60"/>
      <c r="SVM2470" s="63"/>
      <c r="SVN2470" s="61"/>
      <c r="SVO2470" s="54"/>
      <c r="SVP2470" s="54"/>
      <c r="SVQ2470" s="60"/>
      <c r="SVR2470" s="60"/>
      <c r="SVS2470" s="60"/>
      <c r="SVT2470" s="60"/>
      <c r="SVU2470" s="63"/>
      <c r="SVV2470" s="61"/>
      <c r="SVW2470" s="54"/>
      <c r="SVX2470" s="54"/>
      <c r="SVY2470" s="60"/>
      <c r="SVZ2470" s="60"/>
      <c r="SWA2470" s="60"/>
      <c r="SWB2470" s="60"/>
      <c r="SWC2470" s="63"/>
      <c r="SWD2470" s="61"/>
      <c r="SWE2470" s="54"/>
      <c r="SWF2470" s="54"/>
      <c r="SWG2470" s="60"/>
      <c r="SWH2470" s="60"/>
      <c r="SWI2470" s="60"/>
      <c r="SWJ2470" s="60"/>
      <c r="SWK2470" s="63"/>
      <c r="SWL2470" s="61"/>
      <c r="SWM2470" s="54"/>
      <c r="SWN2470" s="54"/>
      <c r="SWO2470" s="60"/>
      <c r="SWP2470" s="60"/>
      <c r="SWQ2470" s="60"/>
      <c r="SWR2470" s="60"/>
      <c r="SWS2470" s="63"/>
      <c r="SWT2470" s="61"/>
      <c r="SWU2470" s="54"/>
      <c r="SWV2470" s="54"/>
      <c r="SWW2470" s="60"/>
      <c r="SWX2470" s="60"/>
      <c r="SWY2470" s="60"/>
      <c r="SWZ2470" s="60"/>
      <c r="SXA2470" s="63"/>
      <c r="SXB2470" s="61"/>
      <c r="SXC2470" s="54"/>
      <c r="SXD2470" s="54"/>
      <c r="SXE2470" s="60"/>
      <c r="SXF2470" s="60"/>
      <c r="SXG2470" s="60"/>
      <c r="SXH2470" s="60"/>
      <c r="SXI2470" s="63"/>
      <c r="SXJ2470" s="61"/>
      <c r="SXK2470" s="54"/>
      <c r="SXL2470" s="54"/>
      <c r="SXM2470" s="60"/>
      <c r="SXN2470" s="60"/>
      <c r="SXO2470" s="60"/>
      <c r="SXP2470" s="60"/>
      <c r="SXQ2470" s="63"/>
      <c r="SXR2470" s="61"/>
      <c r="SXS2470" s="54"/>
      <c r="SXT2470" s="54"/>
      <c r="SXU2470" s="60"/>
      <c r="SXV2470" s="60"/>
      <c r="SXW2470" s="60"/>
      <c r="SXX2470" s="60"/>
      <c r="SXY2470" s="63"/>
      <c r="SXZ2470" s="61"/>
      <c r="SYA2470" s="54"/>
      <c r="SYB2470" s="54"/>
      <c r="SYC2470" s="60"/>
      <c r="SYD2470" s="60"/>
      <c r="SYE2470" s="60"/>
      <c r="SYF2470" s="60"/>
      <c r="SYG2470" s="63"/>
      <c r="SYH2470" s="61"/>
      <c r="SYI2470" s="54"/>
      <c r="SYJ2470" s="54"/>
      <c r="SYK2470" s="60"/>
      <c r="SYL2470" s="60"/>
      <c r="SYM2470" s="60"/>
      <c r="SYN2470" s="60"/>
      <c r="SYO2470" s="63"/>
      <c r="SYP2470" s="61"/>
      <c r="SYQ2470" s="54"/>
      <c r="SYR2470" s="54"/>
      <c r="SYS2470" s="60"/>
      <c r="SYT2470" s="60"/>
      <c r="SYU2470" s="60"/>
      <c r="SYV2470" s="60"/>
      <c r="SYW2470" s="63"/>
      <c r="SYX2470" s="61"/>
      <c r="SYY2470" s="54"/>
      <c r="SYZ2470" s="54"/>
      <c r="SZA2470" s="60"/>
      <c r="SZB2470" s="60"/>
      <c r="SZC2470" s="60"/>
      <c r="SZD2470" s="60"/>
      <c r="SZE2470" s="63"/>
      <c r="SZF2470" s="61"/>
      <c r="SZG2470" s="54"/>
      <c r="SZH2470" s="54"/>
      <c r="SZI2470" s="60"/>
      <c r="SZJ2470" s="60"/>
      <c r="SZK2470" s="60"/>
      <c r="SZL2470" s="60"/>
      <c r="SZM2470" s="63"/>
      <c r="SZN2470" s="61"/>
      <c r="SZO2470" s="54"/>
      <c r="SZP2470" s="54"/>
      <c r="SZQ2470" s="60"/>
      <c r="SZR2470" s="60"/>
      <c r="SZS2470" s="60"/>
      <c r="SZT2470" s="60"/>
      <c r="SZU2470" s="63"/>
      <c r="SZV2470" s="61"/>
      <c r="SZW2470" s="54"/>
      <c r="SZX2470" s="54"/>
      <c r="SZY2470" s="60"/>
      <c r="SZZ2470" s="60"/>
      <c r="TAA2470" s="60"/>
      <c r="TAB2470" s="60"/>
      <c r="TAC2470" s="63"/>
      <c r="TAD2470" s="61"/>
      <c r="TAE2470" s="54"/>
      <c r="TAF2470" s="54"/>
      <c r="TAG2470" s="60"/>
      <c r="TAH2470" s="60"/>
      <c r="TAI2470" s="60"/>
      <c r="TAJ2470" s="60"/>
      <c r="TAK2470" s="63"/>
      <c r="TAL2470" s="61"/>
      <c r="TAM2470" s="54"/>
      <c r="TAN2470" s="54"/>
      <c r="TAO2470" s="60"/>
      <c r="TAP2470" s="60"/>
      <c r="TAQ2470" s="60"/>
      <c r="TAR2470" s="60"/>
      <c r="TAS2470" s="63"/>
      <c r="TAT2470" s="61"/>
      <c r="TAU2470" s="54"/>
      <c r="TAV2470" s="54"/>
      <c r="TAW2470" s="60"/>
      <c r="TAX2470" s="60"/>
      <c r="TAY2470" s="60"/>
      <c r="TAZ2470" s="60"/>
      <c r="TBA2470" s="63"/>
      <c r="TBB2470" s="61"/>
      <c r="TBC2470" s="54"/>
      <c r="TBD2470" s="54"/>
      <c r="TBE2470" s="60"/>
      <c r="TBF2470" s="60"/>
      <c r="TBG2470" s="60"/>
      <c r="TBH2470" s="60"/>
      <c r="TBI2470" s="63"/>
      <c r="TBJ2470" s="61"/>
      <c r="TBK2470" s="54"/>
      <c r="TBL2470" s="54"/>
      <c r="TBM2470" s="60"/>
      <c r="TBN2470" s="60"/>
      <c r="TBO2470" s="60"/>
      <c r="TBP2470" s="60"/>
      <c r="TBQ2470" s="63"/>
      <c r="TBR2470" s="61"/>
      <c r="TBS2470" s="54"/>
      <c r="TBT2470" s="54"/>
      <c r="TBU2470" s="60"/>
      <c r="TBV2470" s="60"/>
      <c r="TBW2470" s="60"/>
      <c r="TBX2470" s="60"/>
      <c r="TBY2470" s="63"/>
      <c r="TBZ2470" s="61"/>
      <c r="TCA2470" s="54"/>
      <c r="TCB2470" s="54"/>
      <c r="TCC2470" s="60"/>
      <c r="TCD2470" s="60"/>
      <c r="TCE2470" s="60"/>
      <c r="TCF2470" s="60"/>
      <c r="TCG2470" s="63"/>
      <c r="TCH2470" s="61"/>
      <c r="TCI2470" s="54"/>
      <c r="TCJ2470" s="54"/>
      <c r="TCK2470" s="60"/>
      <c r="TCL2470" s="60"/>
      <c r="TCM2470" s="60"/>
      <c r="TCN2470" s="60"/>
      <c r="TCO2470" s="63"/>
      <c r="TCP2470" s="61"/>
      <c r="TCQ2470" s="54"/>
      <c r="TCR2470" s="54"/>
      <c r="TCS2470" s="60"/>
      <c r="TCT2470" s="60"/>
      <c r="TCU2470" s="60"/>
      <c r="TCV2470" s="60"/>
      <c r="TCW2470" s="63"/>
      <c r="TCX2470" s="61"/>
      <c r="TCY2470" s="54"/>
      <c r="TCZ2470" s="54"/>
      <c r="TDA2470" s="60"/>
      <c r="TDB2470" s="60"/>
      <c r="TDC2470" s="60"/>
      <c r="TDD2470" s="60"/>
      <c r="TDE2470" s="63"/>
      <c r="TDF2470" s="61"/>
      <c r="TDG2470" s="54"/>
      <c r="TDH2470" s="54"/>
      <c r="TDI2470" s="60"/>
      <c r="TDJ2470" s="60"/>
      <c r="TDK2470" s="60"/>
      <c r="TDL2470" s="60"/>
      <c r="TDM2470" s="63"/>
      <c r="TDN2470" s="61"/>
      <c r="TDO2470" s="54"/>
      <c r="TDP2470" s="54"/>
      <c r="TDQ2470" s="60"/>
      <c r="TDR2470" s="60"/>
      <c r="TDS2470" s="60"/>
      <c r="TDT2470" s="60"/>
      <c r="TDU2470" s="63"/>
      <c r="TDV2470" s="61"/>
      <c r="TDW2470" s="54"/>
      <c r="TDX2470" s="54"/>
      <c r="TDY2470" s="60"/>
      <c r="TDZ2470" s="60"/>
      <c r="TEA2470" s="60"/>
      <c r="TEB2470" s="60"/>
      <c r="TEC2470" s="63"/>
      <c r="TED2470" s="61"/>
      <c r="TEE2470" s="54"/>
      <c r="TEF2470" s="54"/>
      <c r="TEG2470" s="60"/>
      <c r="TEH2470" s="60"/>
      <c r="TEI2470" s="60"/>
      <c r="TEJ2470" s="60"/>
      <c r="TEK2470" s="63"/>
      <c r="TEL2470" s="61"/>
      <c r="TEM2470" s="54"/>
      <c r="TEN2470" s="54"/>
      <c r="TEO2470" s="60"/>
      <c r="TEP2470" s="60"/>
      <c r="TEQ2470" s="60"/>
      <c r="TER2470" s="60"/>
      <c r="TES2470" s="63"/>
      <c r="TET2470" s="61"/>
      <c r="TEU2470" s="54"/>
      <c r="TEV2470" s="54"/>
      <c r="TEW2470" s="60"/>
      <c r="TEX2470" s="60"/>
      <c r="TEY2470" s="60"/>
      <c r="TEZ2470" s="60"/>
      <c r="TFA2470" s="63"/>
      <c r="TFB2470" s="61"/>
      <c r="TFC2470" s="54"/>
      <c r="TFD2470" s="54"/>
      <c r="TFE2470" s="60"/>
      <c r="TFF2470" s="60"/>
      <c r="TFG2470" s="60"/>
      <c r="TFH2470" s="60"/>
      <c r="TFI2470" s="63"/>
      <c r="TFJ2470" s="61"/>
      <c r="TFK2470" s="54"/>
      <c r="TFL2470" s="54"/>
      <c r="TFM2470" s="60"/>
      <c r="TFN2470" s="60"/>
      <c r="TFO2470" s="60"/>
      <c r="TFP2470" s="60"/>
      <c r="TFQ2470" s="63"/>
      <c r="TFR2470" s="61"/>
      <c r="TFS2470" s="54"/>
      <c r="TFT2470" s="54"/>
      <c r="TFU2470" s="60"/>
      <c r="TFV2470" s="60"/>
      <c r="TFW2470" s="60"/>
      <c r="TFX2470" s="60"/>
      <c r="TFY2470" s="63"/>
      <c r="TFZ2470" s="61"/>
      <c r="TGA2470" s="54"/>
      <c r="TGB2470" s="54"/>
      <c r="TGC2470" s="60"/>
      <c r="TGD2470" s="60"/>
      <c r="TGE2470" s="60"/>
      <c r="TGF2470" s="60"/>
      <c r="TGG2470" s="63"/>
      <c r="TGH2470" s="61"/>
      <c r="TGI2470" s="54"/>
      <c r="TGJ2470" s="54"/>
      <c r="TGK2470" s="60"/>
      <c r="TGL2470" s="60"/>
      <c r="TGM2470" s="60"/>
      <c r="TGN2470" s="60"/>
      <c r="TGO2470" s="63"/>
      <c r="TGP2470" s="61"/>
      <c r="TGQ2470" s="54"/>
      <c r="TGR2470" s="54"/>
      <c r="TGS2470" s="60"/>
      <c r="TGT2470" s="60"/>
      <c r="TGU2470" s="60"/>
      <c r="TGV2470" s="60"/>
      <c r="TGW2470" s="63"/>
      <c r="TGX2470" s="61"/>
      <c r="TGY2470" s="54"/>
      <c r="TGZ2470" s="54"/>
      <c r="THA2470" s="60"/>
      <c r="THB2470" s="60"/>
      <c r="THC2470" s="60"/>
      <c r="THD2470" s="60"/>
      <c r="THE2470" s="63"/>
      <c r="THF2470" s="61"/>
      <c r="THG2470" s="54"/>
      <c r="THH2470" s="54"/>
      <c r="THI2470" s="60"/>
      <c r="THJ2470" s="60"/>
      <c r="THK2470" s="60"/>
      <c r="THL2470" s="60"/>
      <c r="THM2470" s="63"/>
      <c r="THN2470" s="61"/>
      <c r="THO2470" s="54"/>
      <c r="THP2470" s="54"/>
      <c r="THQ2470" s="60"/>
      <c r="THR2470" s="60"/>
      <c r="THS2470" s="60"/>
      <c r="THT2470" s="60"/>
      <c r="THU2470" s="63"/>
      <c r="THV2470" s="61"/>
      <c r="THW2470" s="54"/>
      <c r="THX2470" s="54"/>
      <c r="THY2470" s="60"/>
      <c r="THZ2470" s="60"/>
      <c r="TIA2470" s="60"/>
      <c r="TIB2470" s="60"/>
      <c r="TIC2470" s="63"/>
      <c r="TID2470" s="61"/>
      <c r="TIE2470" s="54"/>
      <c r="TIF2470" s="54"/>
      <c r="TIG2470" s="60"/>
      <c r="TIH2470" s="60"/>
      <c r="TII2470" s="60"/>
      <c r="TIJ2470" s="60"/>
      <c r="TIK2470" s="63"/>
      <c r="TIL2470" s="61"/>
      <c r="TIM2470" s="54"/>
      <c r="TIN2470" s="54"/>
      <c r="TIO2470" s="60"/>
      <c r="TIP2470" s="60"/>
      <c r="TIQ2470" s="60"/>
      <c r="TIR2470" s="60"/>
      <c r="TIS2470" s="63"/>
      <c r="TIT2470" s="61"/>
      <c r="TIU2470" s="54"/>
      <c r="TIV2470" s="54"/>
      <c r="TIW2470" s="60"/>
      <c r="TIX2470" s="60"/>
      <c r="TIY2470" s="60"/>
      <c r="TIZ2470" s="60"/>
      <c r="TJA2470" s="63"/>
      <c r="TJB2470" s="61"/>
      <c r="TJC2470" s="54"/>
      <c r="TJD2470" s="54"/>
      <c r="TJE2470" s="60"/>
      <c r="TJF2470" s="60"/>
      <c r="TJG2470" s="60"/>
      <c r="TJH2470" s="60"/>
      <c r="TJI2470" s="63"/>
      <c r="TJJ2470" s="61"/>
      <c r="TJK2470" s="54"/>
      <c r="TJL2470" s="54"/>
      <c r="TJM2470" s="60"/>
      <c r="TJN2470" s="60"/>
      <c r="TJO2470" s="60"/>
      <c r="TJP2470" s="60"/>
      <c r="TJQ2470" s="63"/>
      <c r="TJR2470" s="61"/>
      <c r="TJS2470" s="54"/>
      <c r="TJT2470" s="54"/>
      <c r="TJU2470" s="60"/>
      <c r="TJV2470" s="60"/>
      <c r="TJW2470" s="60"/>
      <c r="TJX2470" s="60"/>
      <c r="TJY2470" s="63"/>
      <c r="TJZ2470" s="61"/>
      <c r="TKA2470" s="54"/>
      <c r="TKB2470" s="54"/>
      <c r="TKC2470" s="60"/>
      <c r="TKD2470" s="60"/>
      <c r="TKE2470" s="60"/>
      <c r="TKF2470" s="60"/>
      <c r="TKG2470" s="63"/>
      <c r="TKH2470" s="61"/>
      <c r="TKI2470" s="54"/>
      <c r="TKJ2470" s="54"/>
      <c r="TKK2470" s="60"/>
      <c r="TKL2470" s="60"/>
      <c r="TKM2470" s="60"/>
      <c r="TKN2470" s="60"/>
      <c r="TKO2470" s="63"/>
      <c r="TKP2470" s="61"/>
      <c r="TKQ2470" s="54"/>
      <c r="TKR2470" s="54"/>
      <c r="TKS2470" s="60"/>
      <c r="TKT2470" s="60"/>
      <c r="TKU2470" s="60"/>
      <c r="TKV2470" s="60"/>
      <c r="TKW2470" s="63"/>
      <c r="TKX2470" s="61"/>
      <c r="TKY2470" s="54"/>
      <c r="TKZ2470" s="54"/>
      <c r="TLA2470" s="60"/>
      <c r="TLB2470" s="60"/>
      <c r="TLC2470" s="60"/>
      <c r="TLD2470" s="60"/>
      <c r="TLE2470" s="63"/>
      <c r="TLF2470" s="61"/>
      <c r="TLG2470" s="54"/>
      <c r="TLH2470" s="54"/>
      <c r="TLI2470" s="60"/>
      <c r="TLJ2470" s="60"/>
      <c r="TLK2470" s="60"/>
      <c r="TLL2470" s="60"/>
      <c r="TLM2470" s="63"/>
      <c r="TLN2470" s="61"/>
      <c r="TLO2470" s="54"/>
      <c r="TLP2470" s="54"/>
      <c r="TLQ2470" s="60"/>
      <c r="TLR2470" s="60"/>
      <c r="TLS2470" s="60"/>
      <c r="TLT2470" s="60"/>
      <c r="TLU2470" s="63"/>
      <c r="TLV2470" s="61"/>
      <c r="TLW2470" s="54"/>
      <c r="TLX2470" s="54"/>
      <c r="TLY2470" s="60"/>
      <c r="TLZ2470" s="60"/>
      <c r="TMA2470" s="60"/>
      <c r="TMB2470" s="60"/>
      <c r="TMC2470" s="63"/>
      <c r="TMD2470" s="61"/>
      <c r="TME2470" s="54"/>
      <c r="TMF2470" s="54"/>
      <c r="TMG2470" s="60"/>
      <c r="TMH2470" s="60"/>
      <c r="TMI2470" s="60"/>
      <c r="TMJ2470" s="60"/>
      <c r="TMK2470" s="63"/>
      <c r="TML2470" s="61"/>
      <c r="TMM2470" s="54"/>
      <c r="TMN2470" s="54"/>
      <c r="TMO2470" s="60"/>
      <c r="TMP2470" s="60"/>
      <c r="TMQ2470" s="60"/>
      <c r="TMR2470" s="60"/>
      <c r="TMS2470" s="63"/>
      <c r="TMT2470" s="61"/>
      <c r="TMU2470" s="54"/>
      <c r="TMV2470" s="54"/>
      <c r="TMW2470" s="60"/>
      <c r="TMX2470" s="60"/>
      <c r="TMY2470" s="60"/>
      <c r="TMZ2470" s="60"/>
      <c r="TNA2470" s="63"/>
      <c r="TNB2470" s="61"/>
      <c r="TNC2470" s="54"/>
      <c r="TND2470" s="54"/>
      <c r="TNE2470" s="60"/>
      <c r="TNF2470" s="60"/>
      <c r="TNG2470" s="60"/>
      <c r="TNH2470" s="60"/>
      <c r="TNI2470" s="63"/>
      <c r="TNJ2470" s="61"/>
      <c r="TNK2470" s="54"/>
      <c r="TNL2470" s="54"/>
      <c r="TNM2470" s="60"/>
      <c r="TNN2470" s="60"/>
      <c r="TNO2470" s="60"/>
      <c r="TNP2470" s="60"/>
      <c r="TNQ2470" s="63"/>
      <c r="TNR2470" s="61"/>
      <c r="TNS2470" s="54"/>
      <c r="TNT2470" s="54"/>
      <c r="TNU2470" s="60"/>
      <c r="TNV2470" s="60"/>
      <c r="TNW2470" s="60"/>
      <c r="TNX2470" s="60"/>
      <c r="TNY2470" s="63"/>
      <c r="TNZ2470" s="61"/>
      <c r="TOA2470" s="54"/>
      <c r="TOB2470" s="54"/>
      <c r="TOC2470" s="60"/>
      <c r="TOD2470" s="60"/>
      <c r="TOE2470" s="60"/>
      <c r="TOF2470" s="60"/>
      <c r="TOG2470" s="63"/>
      <c r="TOH2470" s="61"/>
      <c r="TOI2470" s="54"/>
      <c r="TOJ2470" s="54"/>
      <c r="TOK2470" s="60"/>
      <c r="TOL2470" s="60"/>
      <c r="TOM2470" s="60"/>
      <c r="TON2470" s="60"/>
      <c r="TOO2470" s="63"/>
      <c r="TOP2470" s="61"/>
      <c r="TOQ2470" s="54"/>
      <c r="TOR2470" s="54"/>
      <c r="TOS2470" s="60"/>
      <c r="TOT2470" s="60"/>
      <c r="TOU2470" s="60"/>
      <c r="TOV2470" s="60"/>
      <c r="TOW2470" s="63"/>
      <c r="TOX2470" s="61"/>
      <c r="TOY2470" s="54"/>
      <c r="TOZ2470" s="54"/>
      <c r="TPA2470" s="60"/>
      <c r="TPB2470" s="60"/>
      <c r="TPC2470" s="60"/>
      <c r="TPD2470" s="60"/>
      <c r="TPE2470" s="63"/>
      <c r="TPF2470" s="61"/>
      <c r="TPG2470" s="54"/>
      <c r="TPH2470" s="54"/>
      <c r="TPI2470" s="60"/>
      <c r="TPJ2470" s="60"/>
      <c r="TPK2470" s="60"/>
      <c r="TPL2470" s="60"/>
      <c r="TPM2470" s="63"/>
      <c r="TPN2470" s="61"/>
      <c r="TPO2470" s="54"/>
      <c r="TPP2470" s="54"/>
      <c r="TPQ2470" s="60"/>
      <c r="TPR2470" s="60"/>
      <c r="TPS2470" s="60"/>
      <c r="TPT2470" s="60"/>
      <c r="TPU2470" s="63"/>
      <c r="TPV2470" s="61"/>
      <c r="TPW2470" s="54"/>
      <c r="TPX2470" s="54"/>
      <c r="TPY2470" s="60"/>
      <c r="TPZ2470" s="60"/>
      <c r="TQA2470" s="60"/>
      <c r="TQB2470" s="60"/>
      <c r="TQC2470" s="63"/>
      <c r="TQD2470" s="61"/>
      <c r="TQE2470" s="54"/>
      <c r="TQF2470" s="54"/>
      <c r="TQG2470" s="60"/>
      <c r="TQH2470" s="60"/>
      <c r="TQI2470" s="60"/>
      <c r="TQJ2470" s="60"/>
      <c r="TQK2470" s="63"/>
      <c r="TQL2470" s="61"/>
      <c r="TQM2470" s="54"/>
      <c r="TQN2470" s="54"/>
      <c r="TQO2470" s="60"/>
      <c r="TQP2470" s="60"/>
      <c r="TQQ2470" s="60"/>
      <c r="TQR2470" s="60"/>
      <c r="TQS2470" s="63"/>
      <c r="TQT2470" s="61"/>
      <c r="TQU2470" s="54"/>
      <c r="TQV2470" s="54"/>
      <c r="TQW2470" s="60"/>
      <c r="TQX2470" s="60"/>
      <c r="TQY2470" s="60"/>
      <c r="TQZ2470" s="60"/>
      <c r="TRA2470" s="63"/>
      <c r="TRB2470" s="61"/>
      <c r="TRC2470" s="54"/>
      <c r="TRD2470" s="54"/>
      <c r="TRE2470" s="60"/>
      <c r="TRF2470" s="60"/>
      <c r="TRG2470" s="60"/>
      <c r="TRH2470" s="60"/>
      <c r="TRI2470" s="63"/>
      <c r="TRJ2470" s="61"/>
      <c r="TRK2470" s="54"/>
      <c r="TRL2470" s="54"/>
      <c r="TRM2470" s="60"/>
      <c r="TRN2470" s="60"/>
      <c r="TRO2470" s="60"/>
      <c r="TRP2470" s="60"/>
      <c r="TRQ2470" s="63"/>
      <c r="TRR2470" s="61"/>
      <c r="TRS2470" s="54"/>
      <c r="TRT2470" s="54"/>
      <c r="TRU2470" s="60"/>
      <c r="TRV2470" s="60"/>
      <c r="TRW2470" s="60"/>
      <c r="TRX2470" s="60"/>
      <c r="TRY2470" s="63"/>
      <c r="TRZ2470" s="61"/>
      <c r="TSA2470" s="54"/>
      <c r="TSB2470" s="54"/>
      <c r="TSC2470" s="60"/>
      <c r="TSD2470" s="60"/>
      <c r="TSE2470" s="60"/>
      <c r="TSF2470" s="60"/>
      <c r="TSG2470" s="63"/>
      <c r="TSH2470" s="61"/>
      <c r="TSI2470" s="54"/>
      <c r="TSJ2470" s="54"/>
      <c r="TSK2470" s="60"/>
      <c r="TSL2470" s="60"/>
      <c r="TSM2470" s="60"/>
      <c r="TSN2470" s="60"/>
      <c r="TSO2470" s="63"/>
      <c r="TSP2470" s="61"/>
      <c r="TSQ2470" s="54"/>
      <c r="TSR2470" s="54"/>
      <c r="TSS2470" s="60"/>
      <c r="TST2470" s="60"/>
      <c r="TSU2470" s="60"/>
      <c r="TSV2470" s="60"/>
      <c r="TSW2470" s="63"/>
      <c r="TSX2470" s="61"/>
      <c r="TSY2470" s="54"/>
      <c r="TSZ2470" s="54"/>
      <c r="TTA2470" s="60"/>
      <c r="TTB2470" s="60"/>
      <c r="TTC2470" s="60"/>
      <c r="TTD2470" s="60"/>
      <c r="TTE2470" s="63"/>
      <c r="TTF2470" s="61"/>
      <c r="TTG2470" s="54"/>
      <c r="TTH2470" s="54"/>
      <c r="TTI2470" s="60"/>
      <c r="TTJ2470" s="60"/>
      <c r="TTK2470" s="60"/>
      <c r="TTL2470" s="60"/>
      <c r="TTM2470" s="63"/>
      <c r="TTN2470" s="61"/>
      <c r="TTO2470" s="54"/>
      <c r="TTP2470" s="54"/>
      <c r="TTQ2470" s="60"/>
      <c r="TTR2470" s="60"/>
      <c r="TTS2470" s="60"/>
      <c r="TTT2470" s="60"/>
      <c r="TTU2470" s="63"/>
      <c r="TTV2470" s="61"/>
      <c r="TTW2470" s="54"/>
      <c r="TTX2470" s="54"/>
      <c r="TTY2470" s="60"/>
      <c r="TTZ2470" s="60"/>
      <c r="TUA2470" s="60"/>
      <c r="TUB2470" s="60"/>
      <c r="TUC2470" s="63"/>
      <c r="TUD2470" s="61"/>
      <c r="TUE2470" s="54"/>
      <c r="TUF2470" s="54"/>
      <c r="TUG2470" s="60"/>
      <c r="TUH2470" s="60"/>
      <c r="TUI2470" s="60"/>
      <c r="TUJ2470" s="60"/>
      <c r="TUK2470" s="63"/>
      <c r="TUL2470" s="61"/>
      <c r="TUM2470" s="54"/>
      <c r="TUN2470" s="54"/>
      <c r="TUO2470" s="60"/>
      <c r="TUP2470" s="60"/>
      <c r="TUQ2470" s="60"/>
      <c r="TUR2470" s="60"/>
      <c r="TUS2470" s="63"/>
      <c r="TUT2470" s="61"/>
      <c r="TUU2470" s="54"/>
      <c r="TUV2470" s="54"/>
      <c r="TUW2470" s="60"/>
      <c r="TUX2470" s="60"/>
      <c r="TUY2470" s="60"/>
      <c r="TUZ2470" s="60"/>
      <c r="TVA2470" s="63"/>
      <c r="TVB2470" s="61"/>
      <c r="TVC2470" s="54"/>
      <c r="TVD2470" s="54"/>
      <c r="TVE2470" s="60"/>
      <c r="TVF2470" s="60"/>
      <c r="TVG2470" s="60"/>
      <c r="TVH2470" s="60"/>
      <c r="TVI2470" s="63"/>
      <c r="TVJ2470" s="61"/>
      <c r="TVK2470" s="54"/>
      <c r="TVL2470" s="54"/>
      <c r="TVM2470" s="60"/>
      <c r="TVN2470" s="60"/>
      <c r="TVO2470" s="60"/>
      <c r="TVP2470" s="60"/>
      <c r="TVQ2470" s="63"/>
      <c r="TVR2470" s="61"/>
      <c r="TVS2470" s="54"/>
      <c r="TVT2470" s="54"/>
      <c r="TVU2470" s="60"/>
      <c r="TVV2470" s="60"/>
      <c r="TVW2470" s="60"/>
      <c r="TVX2470" s="60"/>
      <c r="TVY2470" s="63"/>
      <c r="TVZ2470" s="61"/>
      <c r="TWA2470" s="54"/>
      <c r="TWB2470" s="54"/>
      <c r="TWC2470" s="60"/>
      <c r="TWD2470" s="60"/>
      <c r="TWE2470" s="60"/>
      <c r="TWF2470" s="60"/>
      <c r="TWG2470" s="63"/>
      <c r="TWH2470" s="61"/>
      <c r="TWI2470" s="54"/>
      <c r="TWJ2470" s="54"/>
      <c r="TWK2470" s="60"/>
      <c r="TWL2470" s="60"/>
      <c r="TWM2470" s="60"/>
      <c r="TWN2470" s="60"/>
      <c r="TWO2470" s="63"/>
      <c r="TWP2470" s="61"/>
      <c r="TWQ2470" s="54"/>
      <c r="TWR2470" s="54"/>
      <c r="TWS2470" s="60"/>
      <c r="TWT2470" s="60"/>
      <c r="TWU2470" s="60"/>
      <c r="TWV2470" s="60"/>
      <c r="TWW2470" s="63"/>
      <c r="TWX2470" s="61"/>
      <c r="TWY2470" s="54"/>
      <c r="TWZ2470" s="54"/>
      <c r="TXA2470" s="60"/>
      <c r="TXB2470" s="60"/>
      <c r="TXC2470" s="60"/>
      <c r="TXD2470" s="60"/>
      <c r="TXE2470" s="63"/>
      <c r="TXF2470" s="61"/>
      <c r="TXG2470" s="54"/>
      <c r="TXH2470" s="54"/>
      <c r="TXI2470" s="60"/>
      <c r="TXJ2470" s="60"/>
      <c r="TXK2470" s="60"/>
      <c r="TXL2470" s="60"/>
      <c r="TXM2470" s="63"/>
      <c r="TXN2470" s="61"/>
      <c r="TXO2470" s="54"/>
      <c r="TXP2470" s="54"/>
      <c r="TXQ2470" s="60"/>
      <c r="TXR2470" s="60"/>
      <c r="TXS2470" s="60"/>
      <c r="TXT2470" s="60"/>
      <c r="TXU2470" s="63"/>
      <c r="TXV2470" s="61"/>
      <c r="TXW2470" s="54"/>
      <c r="TXX2470" s="54"/>
      <c r="TXY2470" s="60"/>
      <c r="TXZ2470" s="60"/>
      <c r="TYA2470" s="60"/>
      <c r="TYB2470" s="60"/>
      <c r="TYC2470" s="63"/>
      <c r="TYD2470" s="61"/>
      <c r="TYE2470" s="54"/>
      <c r="TYF2470" s="54"/>
      <c r="TYG2470" s="60"/>
      <c r="TYH2470" s="60"/>
      <c r="TYI2470" s="60"/>
      <c r="TYJ2470" s="60"/>
      <c r="TYK2470" s="63"/>
      <c r="TYL2470" s="61"/>
      <c r="TYM2470" s="54"/>
      <c r="TYN2470" s="54"/>
      <c r="TYO2470" s="60"/>
      <c r="TYP2470" s="60"/>
      <c r="TYQ2470" s="60"/>
      <c r="TYR2470" s="60"/>
      <c r="TYS2470" s="63"/>
      <c r="TYT2470" s="61"/>
      <c r="TYU2470" s="54"/>
      <c r="TYV2470" s="54"/>
      <c r="TYW2470" s="60"/>
      <c r="TYX2470" s="60"/>
      <c r="TYY2470" s="60"/>
      <c r="TYZ2470" s="60"/>
      <c r="TZA2470" s="63"/>
      <c r="TZB2470" s="61"/>
      <c r="TZC2470" s="54"/>
      <c r="TZD2470" s="54"/>
      <c r="TZE2470" s="60"/>
      <c r="TZF2470" s="60"/>
      <c r="TZG2470" s="60"/>
      <c r="TZH2470" s="60"/>
      <c r="TZI2470" s="63"/>
      <c r="TZJ2470" s="61"/>
      <c r="TZK2470" s="54"/>
      <c r="TZL2470" s="54"/>
      <c r="TZM2470" s="60"/>
      <c r="TZN2470" s="60"/>
      <c r="TZO2470" s="60"/>
      <c r="TZP2470" s="60"/>
      <c r="TZQ2470" s="63"/>
      <c r="TZR2470" s="61"/>
      <c r="TZS2470" s="54"/>
      <c r="TZT2470" s="54"/>
      <c r="TZU2470" s="60"/>
      <c r="TZV2470" s="60"/>
      <c r="TZW2470" s="60"/>
      <c r="TZX2470" s="60"/>
      <c r="TZY2470" s="63"/>
      <c r="TZZ2470" s="61"/>
      <c r="UAA2470" s="54"/>
      <c r="UAB2470" s="54"/>
      <c r="UAC2470" s="60"/>
      <c r="UAD2470" s="60"/>
      <c r="UAE2470" s="60"/>
      <c r="UAF2470" s="60"/>
      <c r="UAG2470" s="63"/>
      <c r="UAH2470" s="61"/>
      <c r="UAI2470" s="54"/>
      <c r="UAJ2470" s="54"/>
      <c r="UAK2470" s="60"/>
      <c r="UAL2470" s="60"/>
      <c r="UAM2470" s="60"/>
      <c r="UAN2470" s="60"/>
      <c r="UAO2470" s="63"/>
      <c r="UAP2470" s="61"/>
      <c r="UAQ2470" s="54"/>
      <c r="UAR2470" s="54"/>
      <c r="UAS2470" s="60"/>
      <c r="UAT2470" s="60"/>
      <c r="UAU2470" s="60"/>
      <c r="UAV2470" s="60"/>
      <c r="UAW2470" s="63"/>
      <c r="UAX2470" s="61"/>
      <c r="UAY2470" s="54"/>
      <c r="UAZ2470" s="54"/>
      <c r="UBA2470" s="60"/>
      <c r="UBB2470" s="60"/>
      <c r="UBC2470" s="60"/>
      <c r="UBD2470" s="60"/>
      <c r="UBE2470" s="63"/>
      <c r="UBF2470" s="61"/>
      <c r="UBG2470" s="54"/>
      <c r="UBH2470" s="54"/>
      <c r="UBI2470" s="60"/>
      <c r="UBJ2470" s="60"/>
      <c r="UBK2470" s="60"/>
      <c r="UBL2470" s="60"/>
      <c r="UBM2470" s="63"/>
      <c r="UBN2470" s="61"/>
      <c r="UBO2470" s="54"/>
      <c r="UBP2470" s="54"/>
      <c r="UBQ2470" s="60"/>
      <c r="UBR2470" s="60"/>
      <c r="UBS2470" s="60"/>
      <c r="UBT2470" s="60"/>
      <c r="UBU2470" s="63"/>
      <c r="UBV2470" s="61"/>
      <c r="UBW2470" s="54"/>
      <c r="UBX2470" s="54"/>
      <c r="UBY2470" s="60"/>
      <c r="UBZ2470" s="60"/>
      <c r="UCA2470" s="60"/>
      <c r="UCB2470" s="60"/>
      <c r="UCC2470" s="63"/>
      <c r="UCD2470" s="61"/>
      <c r="UCE2470" s="54"/>
      <c r="UCF2470" s="54"/>
      <c r="UCG2470" s="60"/>
      <c r="UCH2470" s="60"/>
      <c r="UCI2470" s="60"/>
      <c r="UCJ2470" s="60"/>
      <c r="UCK2470" s="63"/>
      <c r="UCL2470" s="61"/>
      <c r="UCM2470" s="54"/>
      <c r="UCN2470" s="54"/>
      <c r="UCO2470" s="60"/>
      <c r="UCP2470" s="60"/>
      <c r="UCQ2470" s="60"/>
      <c r="UCR2470" s="60"/>
      <c r="UCS2470" s="63"/>
      <c r="UCT2470" s="61"/>
      <c r="UCU2470" s="54"/>
      <c r="UCV2470" s="54"/>
      <c r="UCW2470" s="60"/>
      <c r="UCX2470" s="60"/>
      <c r="UCY2470" s="60"/>
      <c r="UCZ2470" s="60"/>
      <c r="UDA2470" s="63"/>
      <c r="UDB2470" s="61"/>
      <c r="UDC2470" s="54"/>
      <c r="UDD2470" s="54"/>
      <c r="UDE2470" s="60"/>
      <c r="UDF2470" s="60"/>
      <c r="UDG2470" s="60"/>
      <c r="UDH2470" s="60"/>
      <c r="UDI2470" s="63"/>
      <c r="UDJ2470" s="61"/>
      <c r="UDK2470" s="54"/>
      <c r="UDL2470" s="54"/>
      <c r="UDM2470" s="60"/>
      <c r="UDN2470" s="60"/>
      <c r="UDO2470" s="60"/>
      <c r="UDP2470" s="60"/>
      <c r="UDQ2470" s="63"/>
      <c r="UDR2470" s="61"/>
      <c r="UDS2470" s="54"/>
      <c r="UDT2470" s="54"/>
      <c r="UDU2470" s="60"/>
      <c r="UDV2470" s="60"/>
      <c r="UDW2470" s="60"/>
      <c r="UDX2470" s="60"/>
      <c r="UDY2470" s="63"/>
      <c r="UDZ2470" s="61"/>
      <c r="UEA2470" s="54"/>
      <c r="UEB2470" s="54"/>
      <c r="UEC2470" s="60"/>
      <c r="UED2470" s="60"/>
      <c r="UEE2470" s="60"/>
      <c r="UEF2470" s="60"/>
      <c r="UEG2470" s="63"/>
      <c r="UEH2470" s="61"/>
      <c r="UEI2470" s="54"/>
      <c r="UEJ2470" s="54"/>
      <c r="UEK2470" s="60"/>
      <c r="UEL2470" s="60"/>
      <c r="UEM2470" s="60"/>
      <c r="UEN2470" s="60"/>
      <c r="UEO2470" s="63"/>
      <c r="UEP2470" s="61"/>
      <c r="UEQ2470" s="54"/>
      <c r="UER2470" s="54"/>
      <c r="UES2470" s="60"/>
      <c r="UET2470" s="60"/>
      <c r="UEU2470" s="60"/>
      <c r="UEV2470" s="60"/>
      <c r="UEW2470" s="63"/>
      <c r="UEX2470" s="61"/>
      <c r="UEY2470" s="54"/>
      <c r="UEZ2470" s="54"/>
      <c r="UFA2470" s="60"/>
      <c r="UFB2470" s="60"/>
      <c r="UFC2470" s="60"/>
      <c r="UFD2470" s="60"/>
      <c r="UFE2470" s="63"/>
      <c r="UFF2470" s="61"/>
      <c r="UFG2470" s="54"/>
      <c r="UFH2470" s="54"/>
      <c r="UFI2470" s="60"/>
      <c r="UFJ2470" s="60"/>
      <c r="UFK2470" s="60"/>
      <c r="UFL2470" s="60"/>
      <c r="UFM2470" s="63"/>
      <c r="UFN2470" s="61"/>
      <c r="UFO2470" s="54"/>
      <c r="UFP2470" s="54"/>
      <c r="UFQ2470" s="60"/>
      <c r="UFR2470" s="60"/>
      <c r="UFS2470" s="60"/>
      <c r="UFT2470" s="60"/>
      <c r="UFU2470" s="63"/>
      <c r="UFV2470" s="61"/>
      <c r="UFW2470" s="54"/>
      <c r="UFX2470" s="54"/>
      <c r="UFY2470" s="60"/>
      <c r="UFZ2470" s="60"/>
      <c r="UGA2470" s="60"/>
      <c r="UGB2470" s="60"/>
      <c r="UGC2470" s="63"/>
      <c r="UGD2470" s="61"/>
      <c r="UGE2470" s="54"/>
      <c r="UGF2470" s="54"/>
      <c r="UGG2470" s="60"/>
      <c r="UGH2470" s="60"/>
      <c r="UGI2470" s="60"/>
      <c r="UGJ2470" s="60"/>
      <c r="UGK2470" s="63"/>
      <c r="UGL2470" s="61"/>
      <c r="UGM2470" s="54"/>
      <c r="UGN2470" s="54"/>
      <c r="UGO2470" s="60"/>
      <c r="UGP2470" s="60"/>
      <c r="UGQ2470" s="60"/>
      <c r="UGR2470" s="60"/>
      <c r="UGS2470" s="63"/>
      <c r="UGT2470" s="61"/>
      <c r="UGU2470" s="54"/>
      <c r="UGV2470" s="54"/>
      <c r="UGW2470" s="60"/>
      <c r="UGX2470" s="60"/>
      <c r="UGY2470" s="60"/>
      <c r="UGZ2470" s="60"/>
      <c r="UHA2470" s="63"/>
      <c r="UHB2470" s="61"/>
      <c r="UHC2470" s="54"/>
      <c r="UHD2470" s="54"/>
      <c r="UHE2470" s="60"/>
      <c r="UHF2470" s="60"/>
      <c r="UHG2470" s="60"/>
      <c r="UHH2470" s="60"/>
      <c r="UHI2470" s="63"/>
      <c r="UHJ2470" s="61"/>
      <c r="UHK2470" s="54"/>
      <c r="UHL2470" s="54"/>
      <c r="UHM2470" s="60"/>
      <c r="UHN2470" s="60"/>
      <c r="UHO2470" s="60"/>
      <c r="UHP2470" s="60"/>
      <c r="UHQ2470" s="63"/>
      <c r="UHR2470" s="61"/>
      <c r="UHS2470" s="54"/>
      <c r="UHT2470" s="54"/>
      <c r="UHU2470" s="60"/>
      <c r="UHV2470" s="60"/>
      <c r="UHW2470" s="60"/>
      <c r="UHX2470" s="60"/>
      <c r="UHY2470" s="63"/>
      <c r="UHZ2470" s="61"/>
      <c r="UIA2470" s="54"/>
      <c r="UIB2470" s="54"/>
      <c r="UIC2470" s="60"/>
      <c r="UID2470" s="60"/>
      <c r="UIE2470" s="60"/>
      <c r="UIF2470" s="60"/>
      <c r="UIG2470" s="63"/>
      <c r="UIH2470" s="61"/>
      <c r="UII2470" s="54"/>
      <c r="UIJ2470" s="54"/>
      <c r="UIK2470" s="60"/>
      <c r="UIL2470" s="60"/>
      <c r="UIM2470" s="60"/>
      <c r="UIN2470" s="60"/>
      <c r="UIO2470" s="63"/>
      <c r="UIP2470" s="61"/>
      <c r="UIQ2470" s="54"/>
      <c r="UIR2470" s="54"/>
      <c r="UIS2470" s="60"/>
      <c r="UIT2470" s="60"/>
      <c r="UIU2470" s="60"/>
      <c r="UIV2470" s="60"/>
      <c r="UIW2470" s="63"/>
      <c r="UIX2470" s="61"/>
      <c r="UIY2470" s="54"/>
      <c r="UIZ2470" s="54"/>
      <c r="UJA2470" s="60"/>
      <c r="UJB2470" s="60"/>
      <c r="UJC2470" s="60"/>
      <c r="UJD2470" s="60"/>
      <c r="UJE2470" s="63"/>
      <c r="UJF2470" s="61"/>
      <c r="UJG2470" s="54"/>
      <c r="UJH2470" s="54"/>
      <c r="UJI2470" s="60"/>
      <c r="UJJ2470" s="60"/>
      <c r="UJK2470" s="60"/>
      <c r="UJL2470" s="60"/>
      <c r="UJM2470" s="63"/>
      <c r="UJN2470" s="61"/>
      <c r="UJO2470" s="54"/>
      <c r="UJP2470" s="54"/>
      <c r="UJQ2470" s="60"/>
      <c r="UJR2470" s="60"/>
      <c r="UJS2470" s="60"/>
      <c r="UJT2470" s="60"/>
      <c r="UJU2470" s="63"/>
      <c r="UJV2470" s="61"/>
      <c r="UJW2470" s="54"/>
      <c r="UJX2470" s="54"/>
      <c r="UJY2470" s="60"/>
      <c r="UJZ2470" s="60"/>
      <c r="UKA2470" s="60"/>
      <c r="UKB2470" s="60"/>
      <c r="UKC2470" s="63"/>
      <c r="UKD2470" s="61"/>
      <c r="UKE2470" s="54"/>
      <c r="UKF2470" s="54"/>
      <c r="UKG2470" s="60"/>
      <c r="UKH2470" s="60"/>
      <c r="UKI2470" s="60"/>
      <c r="UKJ2470" s="60"/>
      <c r="UKK2470" s="63"/>
      <c r="UKL2470" s="61"/>
      <c r="UKM2470" s="54"/>
      <c r="UKN2470" s="54"/>
      <c r="UKO2470" s="60"/>
      <c r="UKP2470" s="60"/>
      <c r="UKQ2470" s="60"/>
      <c r="UKR2470" s="60"/>
      <c r="UKS2470" s="63"/>
      <c r="UKT2470" s="61"/>
      <c r="UKU2470" s="54"/>
      <c r="UKV2470" s="54"/>
      <c r="UKW2470" s="60"/>
      <c r="UKX2470" s="60"/>
      <c r="UKY2470" s="60"/>
      <c r="UKZ2470" s="60"/>
      <c r="ULA2470" s="63"/>
      <c r="ULB2470" s="61"/>
      <c r="ULC2470" s="54"/>
      <c r="ULD2470" s="54"/>
      <c r="ULE2470" s="60"/>
      <c r="ULF2470" s="60"/>
      <c r="ULG2470" s="60"/>
      <c r="ULH2470" s="60"/>
      <c r="ULI2470" s="63"/>
      <c r="ULJ2470" s="61"/>
      <c r="ULK2470" s="54"/>
      <c r="ULL2470" s="54"/>
      <c r="ULM2470" s="60"/>
      <c r="ULN2470" s="60"/>
      <c r="ULO2470" s="60"/>
      <c r="ULP2470" s="60"/>
      <c r="ULQ2470" s="63"/>
      <c r="ULR2470" s="61"/>
      <c r="ULS2470" s="54"/>
      <c r="ULT2470" s="54"/>
      <c r="ULU2470" s="60"/>
      <c r="ULV2470" s="60"/>
      <c r="ULW2470" s="60"/>
      <c r="ULX2470" s="60"/>
      <c r="ULY2470" s="63"/>
      <c r="ULZ2470" s="61"/>
      <c r="UMA2470" s="54"/>
      <c r="UMB2470" s="54"/>
      <c r="UMC2470" s="60"/>
      <c r="UMD2470" s="60"/>
      <c r="UME2470" s="60"/>
      <c r="UMF2470" s="60"/>
      <c r="UMG2470" s="63"/>
      <c r="UMH2470" s="61"/>
      <c r="UMI2470" s="54"/>
      <c r="UMJ2470" s="54"/>
      <c r="UMK2470" s="60"/>
      <c r="UML2470" s="60"/>
      <c r="UMM2470" s="60"/>
      <c r="UMN2470" s="60"/>
      <c r="UMO2470" s="63"/>
      <c r="UMP2470" s="61"/>
      <c r="UMQ2470" s="54"/>
      <c r="UMR2470" s="54"/>
      <c r="UMS2470" s="60"/>
      <c r="UMT2470" s="60"/>
      <c r="UMU2470" s="60"/>
      <c r="UMV2470" s="60"/>
      <c r="UMW2470" s="63"/>
      <c r="UMX2470" s="61"/>
      <c r="UMY2470" s="54"/>
      <c r="UMZ2470" s="54"/>
      <c r="UNA2470" s="60"/>
      <c r="UNB2470" s="60"/>
      <c r="UNC2470" s="60"/>
      <c r="UND2470" s="60"/>
      <c r="UNE2470" s="63"/>
      <c r="UNF2470" s="61"/>
      <c r="UNG2470" s="54"/>
      <c r="UNH2470" s="54"/>
      <c r="UNI2470" s="60"/>
      <c r="UNJ2470" s="60"/>
      <c r="UNK2470" s="60"/>
      <c r="UNL2470" s="60"/>
      <c r="UNM2470" s="63"/>
      <c r="UNN2470" s="61"/>
      <c r="UNO2470" s="54"/>
      <c r="UNP2470" s="54"/>
      <c r="UNQ2470" s="60"/>
      <c r="UNR2470" s="60"/>
      <c r="UNS2470" s="60"/>
      <c r="UNT2470" s="60"/>
      <c r="UNU2470" s="63"/>
      <c r="UNV2470" s="61"/>
      <c r="UNW2470" s="54"/>
      <c r="UNX2470" s="54"/>
      <c r="UNY2470" s="60"/>
      <c r="UNZ2470" s="60"/>
      <c r="UOA2470" s="60"/>
      <c r="UOB2470" s="60"/>
      <c r="UOC2470" s="63"/>
      <c r="UOD2470" s="61"/>
      <c r="UOE2470" s="54"/>
      <c r="UOF2470" s="54"/>
      <c r="UOG2470" s="60"/>
      <c r="UOH2470" s="60"/>
      <c r="UOI2470" s="60"/>
      <c r="UOJ2470" s="60"/>
      <c r="UOK2470" s="63"/>
      <c r="UOL2470" s="61"/>
      <c r="UOM2470" s="54"/>
      <c r="UON2470" s="54"/>
      <c r="UOO2470" s="60"/>
      <c r="UOP2470" s="60"/>
      <c r="UOQ2470" s="60"/>
      <c r="UOR2470" s="60"/>
      <c r="UOS2470" s="63"/>
      <c r="UOT2470" s="61"/>
      <c r="UOU2470" s="54"/>
      <c r="UOV2470" s="54"/>
      <c r="UOW2470" s="60"/>
      <c r="UOX2470" s="60"/>
      <c r="UOY2470" s="60"/>
      <c r="UOZ2470" s="60"/>
      <c r="UPA2470" s="63"/>
      <c r="UPB2470" s="61"/>
      <c r="UPC2470" s="54"/>
      <c r="UPD2470" s="54"/>
      <c r="UPE2470" s="60"/>
      <c r="UPF2470" s="60"/>
      <c r="UPG2470" s="60"/>
      <c r="UPH2470" s="60"/>
      <c r="UPI2470" s="63"/>
      <c r="UPJ2470" s="61"/>
      <c r="UPK2470" s="54"/>
      <c r="UPL2470" s="54"/>
      <c r="UPM2470" s="60"/>
      <c r="UPN2470" s="60"/>
      <c r="UPO2470" s="60"/>
      <c r="UPP2470" s="60"/>
      <c r="UPQ2470" s="63"/>
      <c r="UPR2470" s="61"/>
      <c r="UPS2470" s="54"/>
      <c r="UPT2470" s="54"/>
      <c r="UPU2470" s="60"/>
      <c r="UPV2470" s="60"/>
      <c r="UPW2470" s="60"/>
      <c r="UPX2470" s="60"/>
      <c r="UPY2470" s="63"/>
      <c r="UPZ2470" s="61"/>
      <c r="UQA2470" s="54"/>
      <c r="UQB2470" s="54"/>
      <c r="UQC2470" s="60"/>
      <c r="UQD2470" s="60"/>
      <c r="UQE2470" s="60"/>
      <c r="UQF2470" s="60"/>
      <c r="UQG2470" s="63"/>
      <c r="UQH2470" s="61"/>
      <c r="UQI2470" s="54"/>
      <c r="UQJ2470" s="54"/>
      <c r="UQK2470" s="60"/>
      <c r="UQL2470" s="60"/>
      <c r="UQM2470" s="60"/>
      <c r="UQN2470" s="60"/>
      <c r="UQO2470" s="63"/>
      <c r="UQP2470" s="61"/>
      <c r="UQQ2470" s="54"/>
      <c r="UQR2470" s="54"/>
      <c r="UQS2470" s="60"/>
      <c r="UQT2470" s="60"/>
      <c r="UQU2470" s="60"/>
      <c r="UQV2470" s="60"/>
      <c r="UQW2470" s="63"/>
      <c r="UQX2470" s="61"/>
      <c r="UQY2470" s="54"/>
      <c r="UQZ2470" s="54"/>
      <c r="URA2470" s="60"/>
      <c r="URB2470" s="60"/>
      <c r="URC2470" s="60"/>
      <c r="URD2470" s="60"/>
      <c r="URE2470" s="63"/>
      <c r="URF2470" s="61"/>
      <c r="URG2470" s="54"/>
      <c r="URH2470" s="54"/>
      <c r="URI2470" s="60"/>
      <c r="URJ2470" s="60"/>
      <c r="URK2470" s="60"/>
      <c r="URL2470" s="60"/>
      <c r="URM2470" s="63"/>
      <c r="URN2470" s="61"/>
      <c r="URO2470" s="54"/>
      <c r="URP2470" s="54"/>
      <c r="URQ2470" s="60"/>
      <c r="URR2470" s="60"/>
      <c r="URS2470" s="60"/>
      <c r="URT2470" s="60"/>
      <c r="URU2470" s="63"/>
      <c r="URV2470" s="61"/>
      <c r="URW2470" s="54"/>
      <c r="URX2470" s="54"/>
      <c r="URY2470" s="60"/>
      <c r="URZ2470" s="60"/>
      <c r="USA2470" s="60"/>
      <c r="USB2470" s="60"/>
      <c r="USC2470" s="63"/>
      <c r="USD2470" s="61"/>
      <c r="USE2470" s="54"/>
      <c r="USF2470" s="54"/>
      <c r="USG2470" s="60"/>
      <c r="USH2470" s="60"/>
      <c r="USI2470" s="60"/>
      <c r="USJ2470" s="60"/>
      <c r="USK2470" s="63"/>
      <c r="USL2470" s="61"/>
      <c r="USM2470" s="54"/>
      <c r="USN2470" s="54"/>
      <c r="USO2470" s="60"/>
      <c r="USP2470" s="60"/>
      <c r="USQ2470" s="60"/>
      <c r="USR2470" s="60"/>
      <c r="USS2470" s="63"/>
      <c r="UST2470" s="61"/>
      <c r="USU2470" s="54"/>
      <c r="USV2470" s="54"/>
      <c r="USW2470" s="60"/>
      <c r="USX2470" s="60"/>
      <c r="USY2470" s="60"/>
      <c r="USZ2470" s="60"/>
      <c r="UTA2470" s="63"/>
      <c r="UTB2470" s="61"/>
      <c r="UTC2470" s="54"/>
      <c r="UTD2470" s="54"/>
      <c r="UTE2470" s="60"/>
      <c r="UTF2470" s="60"/>
      <c r="UTG2470" s="60"/>
      <c r="UTH2470" s="60"/>
      <c r="UTI2470" s="63"/>
      <c r="UTJ2470" s="61"/>
      <c r="UTK2470" s="54"/>
      <c r="UTL2470" s="54"/>
      <c r="UTM2470" s="60"/>
      <c r="UTN2470" s="60"/>
      <c r="UTO2470" s="60"/>
      <c r="UTP2470" s="60"/>
      <c r="UTQ2470" s="63"/>
      <c r="UTR2470" s="61"/>
      <c r="UTS2470" s="54"/>
      <c r="UTT2470" s="54"/>
      <c r="UTU2470" s="60"/>
      <c r="UTV2470" s="60"/>
      <c r="UTW2470" s="60"/>
      <c r="UTX2470" s="60"/>
      <c r="UTY2470" s="63"/>
      <c r="UTZ2470" s="61"/>
      <c r="UUA2470" s="54"/>
      <c r="UUB2470" s="54"/>
      <c r="UUC2470" s="60"/>
      <c r="UUD2470" s="60"/>
      <c r="UUE2470" s="60"/>
      <c r="UUF2470" s="60"/>
      <c r="UUG2470" s="63"/>
      <c r="UUH2470" s="61"/>
      <c r="UUI2470" s="54"/>
      <c r="UUJ2470" s="54"/>
      <c r="UUK2470" s="60"/>
      <c r="UUL2470" s="60"/>
      <c r="UUM2470" s="60"/>
      <c r="UUN2470" s="60"/>
      <c r="UUO2470" s="63"/>
      <c r="UUP2470" s="61"/>
      <c r="UUQ2470" s="54"/>
      <c r="UUR2470" s="54"/>
      <c r="UUS2470" s="60"/>
      <c r="UUT2470" s="60"/>
      <c r="UUU2470" s="60"/>
      <c r="UUV2470" s="60"/>
      <c r="UUW2470" s="63"/>
      <c r="UUX2470" s="61"/>
      <c r="UUY2470" s="54"/>
      <c r="UUZ2470" s="54"/>
      <c r="UVA2470" s="60"/>
      <c r="UVB2470" s="60"/>
      <c r="UVC2470" s="60"/>
      <c r="UVD2470" s="60"/>
      <c r="UVE2470" s="63"/>
      <c r="UVF2470" s="61"/>
      <c r="UVG2470" s="54"/>
      <c r="UVH2470" s="54"/>
      <c r="UVI2470" s="60"/>
      <c r="UVJ2470" s="60"/>
      <c r="UVK2470" s="60"/>
      <c r="UVL2470" s="60"/>
      <c r="UVM2470" s="63"/>
      <c r="UVN2470" s="61"/>
      <c r="UVO2470" s="54"/>
      <c r="UVP2470" s="54"/>
      <c r="UVQ2470" s="60"/>
      <c r="UVR2470" s="60"/>
      <c r="UVS2470" s="60"/>
      <c r="UVT2470" s="60"/>
      <c r="UVU2470" s="63"/>
      <c r="UVV2470" s="61"/>
      <c r="UVW2470" s="54"/>
      <c r="UVX2470" s="54"/>
      <c r="UVY2470" s="60"/>
      <c r="UVZ2470" s="60"/>
      <c r="UWA2470" s="60"/>
      <c r="UWB2470" s="60"/>
      <c r="UWC2470" s="63"/>
      <c r="UWD2470" s="61"/>
      <c r="UWE2470" s="54"/>
      <c r="UWF2470" s="54"/>
      <c r="UWG2470" s="60"/>
      <c r="UWH2470" s="60"/>
      <c r="UWI2470" s="60"/>
      <c r="UWJ2470" s="60"/>
      <c r="UWK2470" s="63"/>
      <c r="UWL2470" s="61"/>
      <c r="UWM2470" s="54"/>
      <c r="UWN2470" s="54"/>
      <c r="UWO2470" s="60"/>
      <c r="UWP2470" s="60"/>
      <c r="UWQ2470" s="60"/>
      <c r="UWR2470" s="60"/>
      <c r="UWS2470" s="63"/>
      <c r="UWT2470" s="61"/>
      <c r="UWU2470" s="54"/>
      <c r="UWV2470" s="54"/>
      <c r="UWW2470" s="60"/>
      <c r="UWX2470" s="60"/>
      <c r="UWY2470" s="60"/>
      <c r="UWZ2470" s="60"/>
      <c r="UXA2470" s="63"/>
      <c r="UXB2470" s="61"/>
      <c r="UXC2470" s="54"/>
      <c r="UXD2470" s="54"/>
      <c r="UXE2470" s="60"/>
      <c r="UXF2470" s="60"/>
      <c r="UXG2470" s="60"/>
      <c r="UXH2470" s="60"/>
      <c r="UXI2470" s="63"/>
      <c r="UXJ2470" s="61"/>
      <c r="UXK2470" s="54"/>
      <c r="UXL2470" s="54"/>
      <c r="UXM2470" s="60"/>
      <c r="UXN2470" s="60"/>
      <c r="UXO2470" s="60"/>
      <c r="UXP2470" s="60"/>
      <c r="UXQ2470" s="63"/>
      <c r="UXR2470" s="61"/>
      <c r="UXS2470" s="54"/>
      <c r="UXT2470" s="54"/>
      <c r="UXU2470" s="60"/>
      <c r="UXV2470" s="60"/>
      <c r="UXW2470" s="60"/>
      <c r="UXX2470" s="60"/>
      <c r="UXY2470" s="63"/>
      <c r="UXZ2470" s="61"/>
      <c r="UYA2470" s="54"/>
      <c r="UYB2470" s="54"/>
      <c r="UYC2470" s="60"/>
      <c r="UYD2470" s="60"/>
      <c r="UYE2470" s="60"/>
      <c r="UYF2470" s="60"/>
      <c r="UYG2470" s="63"/>
      <c r="UYH2470" s="61"/>
      <c r="UYI2470" s="54"/>
      <c r="UYJ2470" s="54"/>
      <c r="UYK2470" s="60"/>
      <c r="UYL2470" s="60"/>
      <c r="UYM2470" s="60"/>
      <c r="UYN2470" s="60"/>
      <c r="UYO2470" s="63"/>
      <c r="UYP2470" s="61"/>
      <c r="UYQ2470" s="54"/>
      <c r="UYR2470" s="54"/>
      <c r="UYS2470" s="60"/>
      <c r="UYT2470" s="60"/>
      <c r="UYU2470" s="60"/>
      <c r="UYV2470" s="60"/>
      <c r="UYW2470" s="63"/>
      <c r="UYX2470" s="61"/>
      <c r="UYY2470" s="54"/>
      <c r="UYZ2470" s="54"/>
      <c r="UZA2470" s="60"/>
      <c r="UZB2470" s="60"/>
      <c r="UZC2470" s="60"/>
      <c r="UZD2470" s="60"/>
      <c r="UZE2470" s="63"/>
      <c r="UZF2470" s="61"/>
      <c r="UZG2470" s="54"/>
      <c r="UZH2470" s="54"/>
      <c r="UZI2470" s="60"/>
      <c r="UZJ2470" s="60"/>
      <c r="UZK2470" s="60"/>
      <c r="UZL2470" s="60"/>
      <c r="UZM2470" s="63"/>
      <c r="UZN2470" s="61"/>
      <c r="UZO2470" s="54"/>
      <c r="UZP2470" s="54"/>
      <c r="UZQ2470" s="60"/>
      <c r="UZR2470" s="60"/>
      <c r="UZS2470" s="60"/>
      <c r="UZT2470" s="60"/>
      <c r="UZU2470" s="63"/>
      <c r="UZV2470" s="61"/>
      <c r="UZW2470" s="54"/>
      <c r="UZX2470" s="54"/>
      <c r="UZY2470" s="60"/>
      <c r="UZZ2470" s="60"/>
      <c r="VAA2470" s="60"/>
      <c r="VAB2470" s="60"/>
      <c r="VAC2470" s="63"/>
      <c r="VAD2470" s="61"/>
      <c r="VAE2470" s="54"/>
      <c r="VAF2470" s="54"/>
      <c r="VAG2470" s="60"/>
      <c r="VAH2470" s="60"/>
      <c r="VAI2470" s="60"/>
      <c r="VAJ2470" s="60"/>
      <c r="VAK2470" s="63"/>
      <c r="VAL2470" s="61"/>
      <c r="VAM2470" s="54"/>
      <c r="VAN2470" s="54"/>
      <c r="VAO2470" s="60"/>
      <c r="VAP2470" s="60"/>
      <c r="VAQ2470" s="60"/>
      <c r="VAR2470" s="60"/>
      <c r="VAS2470" s="63"/>
      <c r="VAT2470" s="61"/>
      <c r="VAU2470" s="54"/>
      <c r="VAV2470" s="54"/>
      <c r="VAW2470" s="60"/>
      <c r="VAX2470" s="60"/>
      <c r="VAY2470" s="60"/>
      <c r="VAZ2470" s="60"/>
      <c r="VBA2470" s="63"/>
      <c r="VBB2470" s="61"/>
      <c r="VBC2470" s="54"/>
      <c r="VBD2470" s="54"/>
      <c r="VBE2470" s="60"/>
      <c r="VBF2470" s="60"/>
      <c r="VBG2470" s="60"/>
      <c r="VBH2470" s="60"/>
      <c r="VBI2470" s="63"/>
      <c r="VBJ2470" s="61"/>
      <c r="VBK2470" s="54"/>
      <c r="VBL2470" s="54"/>
      <c r="VBM2470" s="60"/>
      <c r="VBN2470" s="60"/>
      <c r="VBO2470" s="60"/>
      <c r="VBP2470" s="60"/>
      <c r="VBQ2470" s="63"/>
      <c r="VBR2470" s="61"/>
      <c r="VBS2470" s="54"/>
      <c r="VBT2470" s="54"/>
      <c r="VBU2470" s="60"/>
      <c r="VBV2470" s="60"/>
      <c r="VBW2470" s="60"/>
      <c r="VBX2470" s="60"/>
      <c r="VBY2470" s="63"/>
      <c r="VBZ2470" s="61"/>
      <c r="VCA2470" s="54"/>
      <c r="VCB2470" s="54"/>
      <c r="VCC2470" s="60"/>
      <c r="VCD2470" s="60"/>
      <c r="VCE2470" s="60"/>
      <c r="VCF2470" s="60"/>
      <c r="VCG2470" s="63"/>
      <c r="VCH2470" s="61"/>
      <c r="VCI2470" s="54"/>
      <c r="VCJ2470" s="54"/>
      <c r="VCK2470" s="60"/>
      <c r="VCL2470" s="60"/>
      <c r="VCM2470" s="60"/>
      <c r="VCN2470" s="60"/>
      <c r="VCO2470" s="63"/>
      <c r="VCP2470" s="61"/>
      <c r="VCQ2470" s="54"/>
      <c r="VCR2470" s="54"/>
      <c r="VCS2470" s="60"/>
      <c r="VCT2470" s="60"/>
      <c r="VCU2470" s="60"/>
      <c r="VCV2470" s="60"/>
      <c r="VCW2470" s="63"/>
      <c r="VCX2470" s="61"/>
      <c r="VCY2470" s="54"/>
      <c r="VCZ2470" s="54"/>
      <c r="VDA2470" s="60"/>
      <c r="VDB2470" s="60"/>
      <c r="VDC2470" s="60"/>
      <c r="VDD2470" s="60"/>
      <c r="VDE2470" s="63"/>
      <c r="VDF2470" s="61"/>
      <c r="VDG2470" s="54"/>
      <c r="VDH2470" s="54"/>
      <c r="VDI2470" s="60"/>
      <c r="VDJ2470" s="60"/>
      <c r="VDK2470" s="60"/>
      <c r="VDL2470" s="60"/>
      <c r="VDM2470" s="63"/>
      <c r="VDN2470" s="61"/>
      <c r="VDO2470" s="54"/>
      <c r="VDP2470" s="54"/>
      <c r="VDQ2470" s="60"/>
      <c r="VDR2470" s="60"/>
      <c r="VDS2470" s="60"/>
      <c r="VDT2470" s="60"/>
      <c r="VDU2470" s="63"/>
      <c r="VDV2470" s="61"/>
      <c r="VDW2470" s="54"/>
      <c r="VDX2470" s="54"/>
      <c r="VDY2470" s="60"/>
      <c r="VDZ2470" s="60"/>
      <c r="VEA2470" s="60"/>
      <c r="VEB2470" s="60"/>
      <c r="VEC2470" s="63"/>
      <c r="VED2470" s="61"/>
      <c r="VEE2470" s="54"/>
      <c r="VEF2470" s="54"/>
      <c r="VEG2470" s="60"/>
      <c r="VEH2470" s="60"/>
      <c r="VEI2470" s="60"/>
      <c r="VEJ2470" s="60"/>
      <c r="VEK2470" s="63"/>
      <c r="VEL2470" s="61"/>
      <c r="VEM2470" s="54"/>
      <c r="VEN2470" s="54"/>
      <c r="VEO2470" s="60"/>
      <c r="VEP2470" s="60"/>
      <c r="VEQ2470" s="60"/>
      <c r="VER2470" s="60"/>
      <c r="VES2470" s="63"/>
      <c r="VET2470" s="61"/>
      <c r="VEU2470" s="54"/>
      <c r="VEV2470" s="54"/>
      <c r="VEW2470" s="60"/>
      <c r="VEX2470" s="60"/>
      <c r="VEY2470" s="60"/>
      <c r="VEZ2470" s="60"/>
      <c r="VFA2470" s="63"/>
      <c r="VFB2470" s="61"/>
      <c r="VFC2470" s="54"/>
      <c r="VFD2470" s="54"/>
      <c r="VFE2470" s="60"/>
      <c r="VFF2470" s="60"/>
      <c r="VFG2470" s="60"/>
      <c r="VFH2470" s="60"/>
      <c r="VFI2470" s="63"/>
      <c r="VFJ2470" s="61"/>
      <c r="VFK2470" s="54"/>
      <c r="VFL2470" s="54"/>
      <c r="VFM2470" s="60"/>
      <c r="VFN2470" s="60"/>
      <c r="VFO2470" s="60"/>
      <c r="VFP2470" s="60"/>
      <c r="VFQ2470" s="63"/>
      <c r="VFR2470" s="61"/>
      <c r="VFS2470" s="54"/>
      <c r="VFT2470" s="54"/>
      <c r="VFU2470" s="60"/>
      <c r="VFV2470" s="60"/>
      <c r="VFW2470" s="60"/>
      <c r="VFX2470" s="60"/>
      <c r="VFY2470" s="63"/>
      <c r="VFZ2470" s="61"/>
      <c r="VGA2470" s="54"/>
      <c r="VGB2470" s="54"/>
      <c r="VGC2470" s="60"/>
      <c r="VGD2470" s="60"/>
      <c r="VGE2470" s="60"/>
      <c r="VGF2470" s="60"/>
      <c r="VGG2470" s="63"/>
      <c r="VGH2470" s="61"/>
      <c r="VGI2470" s="54"/>
      <c r="VGJ2470" s="54"/>
      <c r="VGK2470" s="60"/>
      <c r="VGL2470" s="60"/>
      <c r="VGM2470" s="60"/>
      <c r="VGN2470" s="60"/>
      <c r="VGO2470" s="63"/>
      <c r="VGP2470" s="61"/>
      <c r="VGQ2470" s="54"/>
      <c r="VGR2470" s="54"/>
      <c r="VGS2470" s="60"/>
      <c r="VGT2470" s="60"/>
      <c r="VGU2470" s="60"/>
      <c r="VGV2470" s="60"/>
      <c r="VGW2470" s="63"/>
      <c r="VGX2470" s="61"/>
      <c r="VGY2470" s="54"/>
      <c r="VGZ2470" s="54"/>
      <c r="VHA2470" s="60"/>
      <c r="VHB2470" s="60"/>
      <c r="VHC2470" s="60"/>
      <c r="VHD2470" s="60"/>
      <c r="VHE2470" s="63"/>
      <c r="VHF2470" s="61"/>
      <c r="VHG2470" s="54"/>
      <c r="VHH2470" s="54"/>
      <c r="VHI2470" s="60"/>
      <c r="VHJ2470" s="60"/>
      <c r="VHK2470" s="60"/>
      <c r="VHL2470" s="60"/>
      <c r="VHM2470" s="63"/>
      <c r="VHN2470" s="61"/>
      <c r="VHO2470" s="54"/>
      <c r="VHP2470" s="54"/>
      <c r="VHQ2470" s="60"/>
      <c r="VHR2470" s="60"/>
      <c r="VHS2470" s="60"/>
      <c r="VHT2470" s="60"/>
      <c r="VHU2470" s="63"/>
      <c r="VHV2470" s="61"/>
      <c r="VHW2470" s="54"/>
      <c r="VHX2470" s="54"/>
      <c r="VHY2470" s="60"/>
      <c r="VHZ2470" s="60"/>
      <c r="VIA2470" s="60"/>
      <c r="VIB2470" s="60"/>
      <c r="VIC2470" s="63"/>
      <c r="VID2470" s="61"/>
      <c r="VIE2470" s="54"/>
      <c r="VIF2470" s="54"/>
      <c r="VIG2470" s="60"/>
      <c r="VIH2470" s="60"/>
      <c r="VII2470" s="60"/>
      <c r="VIJ2470" s="60"/>
      <c r="VIK2470" s="63"/>
      <c r="VIL2470" s="61"/>
      <c r="VIM2470" s="54"/>
      <c r="VIN2470" s="54"/>
      <c r="VIO2470" s="60"/>
      <c r="VIP2470" s="60"/>
      <c r="VIQ2470" s="60"/>
      <c r="VIR2470" s="60"/>
      <c r="VIS2470" s="63"/>
      <c r="VIT2470" s="61"/>
      <c r="VIU2470" s="54"/>
      <c r="VIV2470" s="54"/>
      <c r="VIW2470" s="60"/>
      <c r="VIX2470" s="60"/>
      <c r="VIY2470" s="60"/>
      <c r="VIZ2470" s="60"/>
      <c r="VJA2470" s="63"/>
      <c r="VJB2470" s="61"/>
      <c r="VJC2470" s="54"/>
      <c r="VJD2470" s="54"/>
      <c r="VJE2470" s="60"/>
      <c r="VJF2470" s="60"/>
      <c r="VJG2470" s="60"/>
      <c r="VJH2470" s="60"/>
      <c r="VJI2470" s="63"/>
      <c r="VJJ2470" s="61"/>
      <c r="VJK2470" s="54"/>
      <c r="VJL2470" s="54"/>
      <c r="VJM2470" s="60"/>
      <c r="VJN2470" s="60"/>
      <c r="VJO2470" s="60"/>
      <c r="VJP2470" s="60"/>
      <c r="VJQ2470" s="63"/>
      <c r="VJR2470" s="61"/>
      <c r="VJS2470" s="54"/>
      <c r="VJT2470" s="54"/>
      <c r="VJU2470" s="60"/>
      <c r="VJV2470" s="60"/>
      <c r="VJW2470" s="60"/>
      <c r="VJX2470" s="60"/>
      <c r="VJY2470" s="63"/>
      <c r="VJZ2470" s="61"/>
      <c r="VKA2470" s="54"/>
      <c r="VKB2470" s="54"/>
      <c r="VKC2470" s="60"/>
      <c r="VKD2470" s="60"/>
      <c r="VKE2470" s="60"/>
      <c r="VKF2470" s="60"/>
      <c r="VKG2470" s="63"/>
      <c r="VKH2470" s="61"/>
      <c r="VKI2470" s="54"/>
      <c r="VKJ2470" s="54"/>
      <c r="VKK2470" s="60"/>
      <c r="VKL2470" s="60"/>
      <c r="VKM2470" s="60"/>
      <c r="VKN2470" s="60"/>
      <c r="VKO2470" s="63"/>
      <c r="VKP2470" s="61"/>
      <c r="VKQ2470" s="54"/>
      <c r="VKR2470" s="54"/>
      <c r="VKS2470" s="60"/>
      <c r="VKT2470" s="60"/>
      <c r="VKU2470" s="60"/>
      <c r="VKV2470" s="60"/>
      <c r="VKW2470" s="63"/>
      <c r="VKX2470" s="61"/>
      <c r="VKY2470" s="54"/>
      <c r="VKZ2470" s="54"/>
      <c r="VLA2470" s="60"/>
      <c r="VLB2470" s="60"/>
      <c r="VLC2470" s="60"/>
      <c r="VLD2470" s="60"/>
      <c r="VLE2470" s="63"/>
      <c r="VLF2470" s="61"/>
      <c r="VLG2470" s="54"/>
      <c r="VLH2470" s="54"/>
      <c r="VLI2470" s="60"/>
      <c r="VLJ2470" s="60"/>
      <c r="VLK2470" s="60"/>
      <c r="VLL2470" s="60"/>
      <c r="VLM2470" s="63"/>
      <c r="VLN2470" s="61"/>
      <c r="VLO2470" s="54"/>
      <c r="VLP2470" s="54"/>
      <c r="VLQ2470" s="60"/>
      <c r="VLR2470" s="60"/>
      <c r="VLS2470" s="60"/>
      <c r="VLT2470" s="60"/>
      <c r="VLU2470" s="63"/>
      <c r="VLV2470" s="61"/>
      <c r="VLW2470" s="54"/>
      <c r="VLX2470" s="54"/>
      <c r="VLY2470" s="60"/>
      <c r="VLZ2470" s="60"/>
      <c r="VMA2470" s="60"/>
      <c r="VMB2470" s="60"/>
      <c r="VMC2470" s="63"/>
      <c r="VMD2470" s="61"/>
      <c r="VME2470" s="54"/>
      <c r="VMF2470" s="54"/>
      <c r="VMG2470" s="60"/>
      <c r="VMH2470" s="60"/>
      <c r="VMI2470" s="60"/>
      <c r="VMJ2470" s="60"/>
      <c r="VMK2470" s="63"/>
      <c r="VML2470" s="61"/>
      <c r="VMM2470" s="54"/>
      <c r="VMN2470" s="54"/>
      <c r="VMO2470" s="60"/>
      <c r="VMP2470" s="60"/>
      <c r="VMQ2470" s="60"/>
      <c r="VMR2470" s="60"/>
      <c r="VMS2470" s="63"/>
      <c r="VMT2470" s="61"/>
      <c r="VMU2470" s="54"/>
      <c r="VMV2470" s="54"/>
      <c r="VMW2470" s="60"/>
      <c r="VMX2470" s="60"/>
      <c r="VMY2470" s="60"/>
      <c r="VMZ2470" s="60"/>
      <c r="VNA2470" s="63"/>
      <c r="VNB2470" s="61"/>
      <c r="VNC2470" s="54"/>
      <c r="VND2470" s="54"/>
      <c r="VNE2470" s="60"/>
      <c r="VNF2470" s="60"/>
      <c r="VNG2470" s="60"/>
      <c r="VNH2470" s="60"/>
      <c r="VNI2470" s="63"/>
      <c r="VNJ2470" s="61"/>
      <c r="VNK2470" s="54"/>
      <c r="VNL2470" s="54"/>
      <c r="VNM2470" s="60"/>
      <c r="VNN2470" s="60"/>
      <c r="VNO2470" s="60"/>
      <c r="VNP2470" s="60"/>
      <c r="VNQ2470" s="63"/>
      <c r="VNR2470" s="61"/>
      <c r="VNS2470" s="54"/>
      <c r="VNT2470" s="54"/>
      <c r="VNU2470" s="60"/>
      <c r="VNV2470" s="60"/>
      <c r="VNW2470" s="60"/>
      <c r="VNX2470" s="60"/>
      <c r="VNY2470" s="63"/>
      <c r="VNZ2470" s="61"/>
      <c r="VOA2470" s="54"/>
      <c r="VOB2470" s="54"/>
      <c r="VOC2470" s="60"/>
      <c r="VOD2470" s="60"/>
      <c r="VOE2470" s="60"/>
      <c r="VOF2470" s="60"/>
      <c r="VOG2470" s="63"/>
      <c r="VOH2470" s="61"/>
      <c r="VOI2470" s="54"/>
      <c r="VOJ2470" s="54"/>
      <c r="VOK2470" s="60"/>
      <c r="VOL2470" s="60"/>
      <c r="VOM2470" s="60"/>
      <c r="VON2470" s="60"/>
      <c r="VOO2470" s="63"/>
      <c r="VOP2470" s="61"/>
      <c r="VOQ2470" s="54"/>
      <c r="VOR2470" s="54"/>
      <c r="VOS2470" s="60"/>
      <c r="VOT2470" s="60"/>
      <c r="VOU2470" s="60"/>
      <c r="VOV2470" s="60"/>
      <c r="VOW2470" s="63"/>
      <c r="VOX2470" s="61"/>
      <c r="VOY2470" s="54"/>
      <c r="VOZ2470" s="54"/>
      <c r="VPA2470" s="60"/>
      <c r="VPB2470" s="60"/>
      <c r="VPC2470" s="60"/>
      <c r="VPD2470" s="60"/>
      <c r="VPE2470" s="63"/>
      <c r="VPF2470" s="61"/>
      <c r="VPG2470" s="54"/>
      <c r="VPH2470" s="54"/>
      <c r="VPI2470" s="60"/>
      <c r="VPJ2470" s="60"/>
      <c r="VPK2470" s="60"/>
      <c r="VPL2470" s="60"/>
      <c r="VPM2470" s="63"/>
      <c r="VPN2470" s="61"/>
      <c r="VPO2470" s="54"/>
      <c r="VPP2470" s="54"/>
      <c r="VPQ2470" s="60"/>
      <c r="VPR2470" s="60"/>
      <c r="VPS2470" s="60"/>
      <c r="VPT2470" s="60"/>
      <c r="VPU2470" s="63"/>
      <c r="VPV2470" s="61"/>
      <c r="VPW2470" s="54"/>
      <c r="VPX2470" s="54"/>
      <c r="VPY2470" s="60"/>
      <c r="VPZ2470" s="60"/>
      <c r="VQA2470" s="60"/>
      <c r="VQB2470" s="60"/>
      <c r="VQC2470" s="63"/>
      <c r="VQD2470" s="61"/>
      <c r="VQE2470" s="54"/>
      <c r="VQF2470" s="54"/>
      <c r="VQG2470" s="60"/>
      <c r="VQH2470" s="60"/>
      <c r="VQI2470" s="60"/>
      <c r="VQJ2470" s="60"/>
      <c r="VQK2470" s="63"/>
      <c r="VQL2470" s="61"/>
      <c r="VQM2470" s="54"/>
      <c r="VQN2470" s="54"/>
      <c r="VQO2470" s="60"/>
      <c r="VQP2470" s="60"/>
      <c r="VQQ2470" s="60"/>
      <c r="VQR2470" s="60"/>
      <c r="VQS2470" s="63"/>
      <c r="VQT2470" s="61"/>
      <c r="VQU2470" s="54"/>
      <c r="VQV2470" s="54"/>
      <c r="VQW2470" s="60"/>
      <c r="VQX2470" s="60"/>
      <c r="VQY2470" s="60"/>
      <c r="VQZ2470" s="60"/>
      <c r="VRA2470" s="63"/>
      <c r="VRB2470" s="61"/>
      <c r="VRC2470" s="54"/>
      <c r="VRD2470" s="54"/>
      <c r="VRE2470" s="60"/>
      <c r="VRF2470" s="60"/>
      <c r="VRG2470" s="60"/>
      <c r="VRH2470" s="60"/>
      <c r="VRI2470" s="63"/>
      <c r="VRJ2470" s="61"/>
      <c r="VRK2470" s="54"/>
      <c r="VRL2470" s="54"/>
      <c r="VRM2470" s="60"/>
      <c r="VRN2470" s="60"/>
      <c r="VRO2470" s="60"/>
      <c r="VRP2470" s="60"/>
      <c r="VRQ2470" s="63"/>
      <c r="VRR2470" s="61"/>
      <c r="VRS2470" s="54"/>
      <c r="VRT2470" s="54"/>
      <c r="VRU2470" s="60"/>
      <c r="VRV2470" s="60"/>
      <c r="VRW2470" s="60"/>
      <c r="VRX2470" s="60"/>
      <c r="VRY2470" s="63"/>
      <c r="VRZ2470" s="61"/>
      <c r="VSA2470" s="54"/>
      <c r="VSB2470" s="54"/>
      <c r="VSC2470" s="60"/>
      <c r="VSD2470" s="60"/>
      <c r="VSE2470" s="60"/>
      <c r="VSF2470" s="60"/>
      <c r="VSG2470" s="63"/>
      <c r="VSH2470" s="61"/>
      <c r="VSI2470" s="54"/>
      <c r="VSJ2470" s="54"/>
      <c r="VSK2470" s="60"/>
      <c r="VSL2470" s="60"/>
      <c r="VSM2470" s="60"/>
      <c r="VSN2470" s="60"/>
      <c r="VSO2470" s="63"/>
      <c r="VSP2470" s="61"/>
      <c r="VSQ2470" s="54"/>
      <c r="VSR2470" s="54"/>
      <c r="VSS2470" s="60"/>
      <c r="VST2470" s="60"/>
      <c r="VSU2470" s="60"/>
      <c r="VSV2470" s="60"/>
      <c r="VSW2470" s="63"/>
      <c r="VSX2470" s="61"/>
      <c r="VSY2470" s="54"/>
      <c r="VSZ2470" s="54"/>
      <c r="VTA2470" s="60"/>
      <c r="VTB2470" s="60"/>
      <c r="VTC2470" s="60"/>
      <c r="VTD2470" s="60"/>
      <c r="VTE2470" s="63"/>
      <c r="VTF2470" s="61"/>
      <c r="VTG2470" s="54"/>
      <c r="VTH2470" s="54"/>
      <c r="VTI2470" s="60"/>
      <c r="VTJ2470" s="60"/>
      <c r="VTK2470" s="60"/>
      <c r="VTL2470" s="60"/>
      <c r="VTM2470" s="63"/>
      <c r="VTN2470" s="61"/>
      <c r="VTO2470" s="54"/>
      <c r="VTP2470" s="54"/>
      <c r="VTQ2470" s="60"/>
      <c r="VTR2470" s="60"/>
      <c r="VTS2470" s="60"/>
      <c r="VTT2470" s="60"/>
      <c r="VTU2470" s="63"/>
      <c r="VTV2470" s="61"/>
      <c r="VTW2470" s="54"/>
      <c r="VTX2470" s="54"/>
      <c r="VTY2470" s="60"/>
      <c r="VTZ2470" s="60"/>
      <c r="VUA2470" s="60"/>
      <c r="VUB2470" s="60"/>
      <c r="VUC2470" s="63"/>
      <c r="VUD2470" s="61"/>
      <c r="VUE2470" s="54"/>
      <c r="VUF2470" s="54"/>
      <c r="VUG2470" s="60"/>
      <c r="VUH2470" s="60"/>
      <c r="VUI2470" s="60"/>
      <c r="VUJ2470" s="60"/>
      <c r="VUK2470" s="63"/>
      <c r="VUL2470" s="61"/>
      <c r="VUM2470" s="54"/>
      <c r="VUN2470" s="54"/>
      <c r="VUO2470" s="60"/>
      <c r="VUP2470" s="60"/>
      <c r="VUQ2470" s="60"/>
      <c r="VUR2470" s="60"/>
      <c r="VUS2470" s="63"/>
      <c r="VUT2470" s="61"/>
      <c r="VUU2470" s="54"/>
      <c r="VUV2470" s="54"/>
      <c r="VUW2470" s="60"/>
      <c r="VUX2470" s="60"/>
      <c r="VUY2470" s="60"/>
      <c r="VUZ2470" s="60"/>
      <c r="VVA2470" s="63"/>
      <c r="VVB2470" s="61"/>
      <c r="VVC2470" s="54"/>
      <c r="VVD2470" s="54"/>
      <c r="VVE2470" s="60"/>
      <c r="VVF2470" s="60"/>
      <c r="VVG2470" s="60"/>
      <c r="VVH2470" s="60"/>
      <c r="VVI2470" s="63"/>
      <c r="VVJ2470" s="61"/>
      <c r="VVK2470" s="54"/>
      <c r="VVL2470" s="54"/>
      <c r="VVM2470" s="60"/>
      <c r="VVN2470" s="60"/>
      <c r="VVO2470" s="60"/>
      <c r="VVP2470" s="60"/>
      <c r="VVQ2470" s="63"/>
      <c r="VVR2470" s="61"/>
      <c r="VVS2470" s="54"/>
      <c r="VVT2470" s="54"/>
      <c r="VVU2470" s="60"/>
      <c r="VVV2470" s="60"/>
      <c r="VVW2470" s="60"/>
      <c r="VVX2470" s="60"/>
      <c r="VVY2470" s="63"/>
      <c r="VVZ2470" s="61"/>
      <c r="VWA2470" s="54"/>
      <c r="VWB2470" s="54"/>
      <c r="VWC2470" s="60"/>
      <c r="VWD2470" s="60"/>
      <c r="VWE2470" s="60"/>
      <c r="VWF2470" s="60"/>
      <c r="VWG2470" s="63"/>
      <c r="VWH2470" s="61"/>
      <c r="VWI2470" s="54"/>
      <c r="VWJ2470" s="54"/>
      <c r="VWK2470" s="60"/>
      <c r="VWL2470" s="60"/>
      <c r="VWM2470" s="60"/>
      <c r="VWN2470" s="60"/>
      <c r="VWO2470" s="63"/>
      <c r="VWP2470" s="61"/>
      <c r="VWQ2470" s="54"/>
      <c r="VWR2470" s="54"/>
      <c r="VWS2470" s="60"/>
      <c r="VWT2470" s="60"/>
      <c r="VWU2470" s="60"/>
      <c r="VWV2470" s="60"/>
      <c r="VWW2470" s="63"/>
      <c r="VWX2470" s="61"/>
      <c r="VWY2470" s="54"/>
      <c r="VWZ2470" s="54"/>
      <c r="VXA2470" s="60"/>
      <c r="VXB2470" s="60"/>
      <c r="VXC2470" s="60"/>
      <c r="VXD2470" s="60"/>
      <c r="VXE2470" s="63"/>
      <c r="VXF2470" s="61"/>
      <c r="VXG2470" s="54"/>
      <c r="VXH2470" s="54"/>
      <c r="VXI2470" s="60"/>
      <c r="VXJ2470" s="60"/>
      <c r="VXK2470" s="60"/>
      <c r="VXL2470" s="60"/>
      <c r="VXM2470" s="63"/>
      <c r="VXN2470" s="61"/>
      <c r="VXO2470" s="54"/>
      <c r="VXP2470" s="54"/>
      <c r="VXQ2470" s="60"/>
      <c r="VXR2470" s="60"/>
      <c r="VXS2470" s="60"/>
      <c r="VXT2470" s="60"/>
      <c r="VXU2470" s="63"/>
      <c r="VXV2470" s="61"/>
      <c r="VXW2470" s="54"/>
      <c r="VXX2470" s="54"/>
      <c r="VXY2470" s="60"/>
      <c r="VXZ2470" s="60"/>
      <c r="VYA2470" s="60"/>
      <c r="VYB2470" s="60"/>
      <c r="VYC2470" s="63"/>
      <c r="VYD2470" s="61"/>
      <c r="VYE2470" s="54"/>
      <c r="VYF2470" s="54"/>
      <c r="VYG2470" s="60"/>
      <c r="VYH2470" s="60"/>
      <c r="VYI2470" s="60"/>
      <c r="VYJ2470" s="60"/>
      <c r="VYK2470" s="63"/>
      <c r="VYL2470" s="61"/>
      <c r="VYM2470" s="54"/>
      <c r="VYN2470" s="54"/>
      <c r="VYO2470" s="60"/>
      <c r="VYP2470" s="60"/>
      <c r="VYQ2470" s="60"/>
      <c r="VYR2470" s="60"/>
      <c r="VYS2470" s="63"/>
      <c r="VYT2470" s="61"/>
      <c r="VYU2470" s="54"/>
      <c r="VYV2470" s="54"/>
      <c r="VYW2470" s="60"/>
      <c r="VYX2470" s="60"/>
      <c r="VYY2470" s="60"/>
      <c r="VYZ2470" s="60"/>
      <c r="VZA2470" s="63"/>
      <c r="VZB2470" s="61"/>
      <c r="VZC2470" s="54"/>
      <c r="VZD2470" s="54"/>
      <c r="VZE2470" s="60"/>
      <c r="VZF2470" s="60"/>
      <c r="VZG2470" s="60"/>
      <c r="VZH2470" s="60"/>
      <c r="VZI2470" s="63"/>
      <c r="VZJ2470" s="61"/>
      <c r="VZK2470" s="54"/>
      <c r="VZL2470" s="54"/>
      <c r="VZM2470" s="60"/>
      <c r="VZN2470" s="60"/>
      <c r="VZO2470" s="60"/>
      <c r="VZP2470" s="60"/>
      <c r="VZQ2470" s="63"/>
      <c r="VZR2470" s="61"/>
      <c r="VZS2470" s="54"/>
      <c r="VZT2470" s="54"/>
      <c r="VZU2470" s="60"/>
      <c r="VZV2470" s="60"/>
      <c r="VZW2470" s="60"/>
      <c r="VZX2470" s="60"/>
      <c r="VZY2470" s="63"/>
      <c r="VZZ2470" s="61"/>
      <c r="WAA2470" s="54"/>
      <c r="WAB2470" s="54"/>
      <c r="WAC2470" s="60"/>
      <c r="WAD2470" s="60"/>
      <c r="WAE2470" s="60"/>
      <c r="WAF2470" s="60"/>
      <c r="WAG2470" s="63"/>
      <c r="WAH2470" s="61"/>
      <c r="WAI2470" s="54"/>
      <c r="WAJ2470" s="54"/>
      <c r="WAK2470" s="60"/>
      <c r="WAL2470" s="60"/>
      <c r="WAM2470" s="60"/>
      <c r="WAN2470" s="60"/>
      <c r="WAO2470" s="63"/>
      <c r="WAP2470" s="61"/>
      <c r="WAQ2470" s="54"/>
      <c r="WAR2470" s="54"/>
      <c r="WAS2470" s="60"/>
      <c r="WAT2470" s="60"/>
      <c r="WAU2470" s="60"/>
      <c r="WAV2470" s="60"/>
      <c r="WAW2470" s="63"/>
      <c r="WAX2470" s="61"/>
      <c r="WAY2470" s="54"/>
      <c r="WAZ2470" s="54"/>
      <c r="WBA2470" s="60"/>
      <c r="WBB2470" s="60"/>
      <c r="WBC2470" s="60"/>
      <c r="WBD2470" s="60"/>
      <c r="WBE2470" s="63"/>
      <c r="WBF2470" s="61"/>
      <c r="WBG2470" s="54"/>
      <c r="WBH2470" s="54"/>
      <c r="WBI2470" s="60"/>
      <c r="WBJ2470" s="60"/>
      <c r="WBK2470" s="60"/>
      <c r="WBL2470" s="60"/>
      <c r="WBM2470" s="63"/>
      <c r="WBN2470" s="61"/>
      <c r="WBO2470" s="54"/>
      <c r="WBP2470" s="54"/>
      <c r="WBQ2470" s="60"/>
      <c r="WBR2470" s="60"/>
      <c r="WBS2470" s="60"/>
      <c r="WBT2470" s="60"/>
      <c r="WBU2470" s="63"/>
      <c r="WBV2470" s="61"/>
      <c r="WBW2470" s="54"/>
      <c r="WBX2470" s="54"/>
      <c r="WBY2470" s="60"/>
      <c r="WBZ2470" s="60"/>
      <c r="WCA2470" s="60"/>
      <c r="WCB2470" s="60"/>
      <c r="WCC2470" s="63"/>
      <c r="WCD2470" s="61"/>
      <c r="WCE2470" s="54"/>
      <c r="WCF2470" s="54"/>
      <c r="WCG2470" s="60"/>
      <c r="WCH2470" s="60"/>
      <c r="WCI2470" s="60"/>
      <c r="WCJ2470" s="60"/>
      <c r="WCK2470" s="63"/>
      <c r="WCL2470" s="61"/>
      <c r="WCM2470" s="54"/>
      <c r="WCN2470" s="54"/>
      <c r="WCO2470" s="60"/>
      <c r="WCP2470" s="60"/>
      <c r="WCQ2470" s="60"/>
      <c r="WCR2470" s="60"/>
      <c r="WCS2470" s="63"/>
      <c r="WCT2470" s="61"/>
      <c r="WCU2470" s="54"/>
      <c r="WCV2470" s="54"/>
      <c r="WCW2470" s="60"/>
      <c r="WCX2470" s="60"/>
      <c r="WCY2470" s="60"/>
      <c r="WCZ2470" s="60"/>
      <c r="WDA2470" s="63"/>
      <c r="WDB2470" s="61"/>
      <c r="WDC2470" s="54"/>
      <c r="WDD2470" s="54"/>
      <c r="WDE2470" s="60"/>
      <c r="WDF2470" s="60"/>
      <c r="WDG2470" s="60"/>
      <c r="WDH2470" s="60"/>
      <c r="WDI2470" s="63"/>
      <c r="WDJ2470" s="61"/>
      <c r="WDK2470" s="54"/>
      <c r="WDL2470" s="54"/>
      <c r="WDM2470" s="60"/>
      <c r="WDN2470" s="60"/>
      <c r="WDO2470" s="60"/>
      <c r="WDP2470" s="60"/>
      <c r="WDQ2470" s="63"/>
      <c r="WDR2470" s="61"/>
      <c r="WDS2470" s="54"/>
      <c r="WDT2470" s="54"/>
      <c r="WDU2470" s="60"/>
      <c r="WDV2470" s="60"/>
      <c r="WDW2470" s="60"/>
      <c r="WDX2470" s="60"/>
      <c r="WDY2470" s="63"/>
      <c r="WDZ2470" s="61"/>
      <c r="WEA2470" s="54"/>
      <c r="WEB2470" s="54"/>
      <c r="WEC2470" s="60"/>
      <c r="WED2470" s="60"/>
      <c r="WEE2470" s="60"/>
      <c r="WEF2470" s="60"/>
      <c r="WEG2470" s="63"/>
      <c r="WEH2470" s="61"/>
      <c r="WEI2470" s="54"/>
      <c r="WEJ2470" s="54"/>
      <c r="WEK2470" s="60"/>
      <c r="WEL2470" s="60"/>
      <c r="WEM2470" s="60"/>
      <c r="WEN2470" s="60"/>
      <c r="WEO2470" s="63"/>
      <c r="WEP2470" s="61"/>
      <c r="WEQ2470" s="54"/>
      <c r="WER2470" s="54"/>
      <c r="WES2470" s="60"/>
      <c r="WET2470" s="60"/>
      <c r="WEU2470" s="60"/>
      <c r="WEV2470" s="60"/>
      <c r="WEW2470" s="63"/>
      <c r="WEX2470" s="61"/>
      <c r="WEY2470" s="54"/>
      <c r="WEZ2470" s="54"/>
      <c r="WFA2470" s="60"/>
      <c r="WFB2470" s="60"/>
      <c r="WFC2470" s="60"/>
      <c r="WFD2470" s="60"/>
      <c r="WFE2470" s="63"/>
      <c r="WFF2470" s="61"/>
      <c r="WFG2470" s="54"/>
      <c r="WFH2470" s="54"/>
      <c r="WFI2470" s="60"/>
      <c r="WFJ2470" s="60"/>
      <c r="WFK2470" s="60"/>
      <c r="WFL2470" s="60"/>
      <c r="WFM2470" s="63"/>
      <c r="WFN2470" s="61"/>
      <c r="WFO2470" s="54"/>
      <c r="WFP2470" s="54"/>
      <c r="WFQ2470" s="60"/>
      <c r="WFR2470" s="60"/>
      <c r="WFS2470" s="60"/>
      <c r="WFT2470" s="60"/>
      <c r="WFU2470" s="63"/>
      <c r="WFV2470" s="61"/>
      <c r="WFW2470" s="54"/>
      <c r="WFX2470" s="54"/>
      <c r="WFY2470" s="60"/>
      <c r="WFZ2470" s="60"/>
      <c r="WGA2470" s="60"/>
      <c r="WGB2470" s="60"/>
      <c r="WGC2470" s="63"/>
      <c r="WGD2470" s="61"/>
      <c r="WGE2470" s="54"/>
      <c r="WGF2470" s="54"/>
      <c r="WGG2470" s="60"/>
      <c r="WGH2470" s="60"/>
      <c r="WGI2470" s="60"/>
      <c r="WGJ2470" s="60"/>
      <c r="WGK2470" s="63"/>
      <c r="WGL2470" s="61"/>
      <c r="WGM2470" s="54"/>
      <c r="WGN2470" s="54"/>
      <c r="WGO2470" s="60"/>
      <c r="WGP2470" s="60"/>
      <c r="WGQ2470" s="60"/>
      <c r="WGR2470" s="60"/>
      <c r="WGS2470" s="63"/>
      <c r="WGT2470" s="61"/>
      <c r="WGU2470" s="54"/>
      <c r="WGV2470" s="54"/>
      <c r="WGW2470" s="60"/>
      <c r="WGX2470" s="60"/>
      <c r="WGY2470" s="60"/>
      <c r="WGZ2470" s="60"/>
      <c r="WHA2470" s="63"/>
      <c r="WHB2470" s="61"/>
      <c r="WHC2470" s="54"/>
      <c r="WHD2470" s="54"/>
      <c r="WHE2470" s="60"/>
      <c r="WHF2470" s="60"/>
      <c r="WHG2470" s="60"/>
      <c r="WHH2470" s="60"/>
      <c r="WHI2470" s="63"/>
      <c r="WHJ2470" s="61"/>
      <c r="WHK2470" s="54"/>
      <c r="WHL2470" s="54"/>
      <c r="WHM2470" s="60"/>
      <c r="WHN2470" s="60"/>
      <c r="WHO2470" s="60"/>
      <c r="WHP2470" s="60"/>
      <c r="WHQ2470" s="63"/>
      <c r="WHR2470" s="61"/>
      <c r="WHS2470" s="54"/>
      <c r="WHT2470" s="54"/>
      <c r="WHU2470" s="60"/>
      <c r="WHV2470" s="60"/>
      <c r="WHW2470" s="60"/>
      <c r="WHX2470" s="60"/>
      <c r="WHY2470" s="63"/>
      <c r="WHZ2470" s="61"/>
      <c r="WIA2470" s="54"/>
      <c r="WIB2470" s="54"/>
      <c r="WIC2470" s="60"/>
      <c r="WID2470" s="60"/>
      <c r="WIE2470" s="60"/>
      <c r="WIF2470" s="60"/>
      <c r="WIG2470" s="63"/>
      <c r="WIH2470" s="61"/>
      <c r="WII2470" s="54"/>
      <c r="WIJ2470" s="54"/>
      <c r="WIK2470" s="60"/>
      <c r="WIL2470" s="60"/>
      <c r="WIM2470" s="60"/>
      <c r="WIN2470" s="60"/>
      <c r="WIO2470" s="63"/>
      <c r="WIP2470" s="61"/>
      <c r="WIQ2470" s="54"/>
      <c r="WIR2470" s="54"/>
      <c r="WIS2470" s="60"/>
      <c r="WIT2470" s="60"/>
      <c r="WIU2470" s="60"/>
      <c r="WIV2470" s="60"/>
      <c r="WIW2470" s="63"/>
      <c r="WIX2470" s="61"/>
      <c r="WIY2470" s="54"/>
      <c r="WIZ2470" s="54"/>
      <c r="WJA2470" s="60"/>
      <c r="WJB2470" s="60"/>
      <c r="WJC2470" s="60"/>
      <c r="WJD2470" s="60"/>
      <c r="WJE2470" s="63"/>
      <c r="WJF2470" s="61"/>
      <c r="WJG2470" s="54"/>
      <c r="WJH2470" s="54"/>
      <c r="WJI2470" s="60"/>
      <c r="WJJ2470" s="60"/>
      <c r="WJK2470" s="60"/>
      <c r="WJL2470" s="60"/>
      <c r="WJM2470" s="63"/>
      <c r="WJN2470" s="61"/>
      <c r="WJO2470" s="54"/>
      <c r="WJP2470" s="54"/>
      <c r="WJQ2470" s="60"/>
      <c r="WJR2470" s="60"/>
      <c r="WJS2470" s="60"/>
      <c r="WJT2470" s="60"/>
      <c r="WJU2470" s="63"/>
      <c r="WJV2470" s="61"/>
      <c r="WJW2470" s="54"/>
      <c r="WJX2470" s="54"/>
      <c r="WJY2470" s="60"/>
      <c r="WJZ2470" s="60"/>
      <c r="WKA2470" s="60"/>
      <c r="WKB2470" s="60"/>
      <c r="WKC2470" s="63"/>
      <c r="WKD2470" s="61"/>
      <c r="WKE2470" s="54"/>
      <c r="WKF2470" s="54"/>
      <c r="WKG2470" s="60"/>
      <c r="WKH2470" s="60"/>
      <c r="WKI2470" s="60"/>
      <c r="WKJ2470" s="60"/>
      <c r="WKK2470" s="63"/>
      <c r="WKL2470" s="61"/>
      <c r="WKM2470" s="54"/>
      <c r="WKN2470" s="54"/>
      <c r="WKO2470" s="60"/>
      <c r="WKP2470" s="60"/>
      <c r="WKQ2470" s="60"/>
      <c r="WKR2470" s="60"/>
      <c r="WKS2470" s="63"/>
      <c r="WKT2470" s="61"/>
      <c r="WKU2470" s="54"/>
      <c r="WKV2470" s="54"/>
      <c r="WKW2470" s="60"/>
      <c r="WKX2470" s="60"/>
      <c r="WKY2470" s="60"/>
      <c r="WKZ2470" s="60"/>
      <c r="WLA2470" s="63"/>
      <c r="WLB2470" s="61"/>
      <c r="WLC2470" s="54"/>
      <c r="WLD2470" s="54"/>
      <c r="WLE2470" s="60"/>
      <c r="WLF2470" s="60"/>
      <c r="WLG2470" s="60"/>
      <c r="WLH2470" s="60"/>
      <c r="WLI2470" s="63"/>
      <c r="WLJ2470" s="61"/>
      <c r="WLK2470" s="54"/>
      <c r="WLL2470" s="54"/>
      <c r="WLM2470" s="60"/>
      <c r="WLN2470" s="60"/>
      <c r="WLO2470" s="60"/>
      <c r="WLP2470" s="60"/>
      <c r="WLQ2470" s="63"/>
      <c r="WLR2470" s="61"/>
      <c r="WLS2470" s="54"/>
      <c r="WLT2470" s="54"/>
      <c r="WLU2470" s="60"/>
      <c r="WLV2470" s="60"/>
      <c r="WLW2470" s="60"/>
      <c r="WLX2470" s="60"/>
      <c r="WLY2470" s="63"/>
      <c r="WLZ2470" s="61"/>
      <c r="WMA2470" s="54"/>
      <c r="WMB2470" s="54"/>
      <c r="WMC2470" s="60"/>
      <c r="WMD2470" s="60"/>
      <c r="WME2470" s="60"/>
      <c r="WMF2470" s="60"/>
      <c r="WMG2470" s="63"/>
      <c r="WMH2470" s="61"/>
      <c r="WMI2470" s="54"/>
      <c r="WMJ2470" s="54"/>
      <c r="WMK2470" s="60"/>
      <c r="WML2470" s="60"/>
      <c r="WMM2470" s="60"/>
      <c r="WMN2470" s="60"/>
      <c r="WMO2470" s="63"/>
      <c r="WMP2470" s="61"/>
      <c r="WMQ2470" s="54"/>
      <c r="WMR2470" s="54"/>
      <c r="WMS2470" s="60"/>
      <c r="WMT2470" s="60"/>
      <c r="WMU2470" s="60"/>
      <c r="WMV2470" s="60"/>
      <c r="WMW2470" s="63"/>
      <c r="WMX2470" s="61"/>
      <c r="WMY2470" s="54"/>
      <c r="WMZ2470" s="54"/>
      <c r="WNA2470" s="60"/>
      <c r="WNB2470" s="60"/>
      <c r="WNC2470" s="60"/>
      <c r="WND2470" s="60"/>
      <c r="WNE2470" s="63"/>
      <c r="WNF2470" s="61"/>
      <c r="WNG2470" s="54"/>
      <c r="WNH2470" s="54"/>
      <c r="WNI2470" s="60"/>
      <c r="WNJ2470" s="60"/>
      <c r="WNK2470" s="60"/>
      <c r="WNL2470" s="60"/>
      <c r="WNM2470" s="63"/>
      <c r="WNN2470" s="61"/>
      <c r="WNO2470" s="54"/>
      <c r="WNP2470" s="54"/>
      <c r="WNQ2470" s="60"/>
      <c r="WNR2470" s="60"/>
      <c r="WNS2470" s="60"/>
      <c r="WNT2470" s="60"/>
      <c r="WNU2470" s="63"/>
      <c r="WNV2470" s="61"/>
      <c r="WNW2470" s="54"/>
      <c r="WNX2470" s="54"/>
      <c r="WNY2470" s="60"/>
      <c r="WNZ2470" s="60"/>
      <c r="WOA2470" s="60"/>
      <c r="WOB2470" s="60"/>
      <c r="WOC2470" s="63"/>
      <c r="WOD2470" s="61"/>
      <c r="WOE2470" s="54"/>
      <c r="WOF2470" s="54"/>
      <c r="WOG2470" s="60"/>
      <c r="WOH2470" s="60"/>
      <c r="WOI2470" s="60"/>
      <c r="WOJ2470" s="60"/>
      <c r="WOK2470" s="63"/>
      <c r="WOL2470" s="61"/>
      <c r="WOM2470" s="54"/>
      <c r="WON2470" s="54"/>
      <c r="WOO2470" s="60"/>
      <c r="WOP2470" s="60"/>
      <c r="WOQ2470" s="60"/>
      <c r="WOR2470" s="60"/>
      <c r="WOS2470" s="63"/>
      <c r="WOT2470" s="61"/>
      <c r="WOU2470" s="54"/>
      <c r="WOV2470" s="54"/>
      <c r="WOW2470" s="60"/>
      <c r="WOX2470" s="60"/>
      <c r="WOY2470" s="60"/>
      <c r="WOZ2470" s="60"/>
      <c r="WPA2470" s="63"/>
      <c r="WPB2470" s="61"/>
      <c r="WPC2470" s="54"/>
      <c r="WPD2470" s="54"/>
      <c r="WPE2470" s="60"/>
      <c r="WPF2470" s="60"/>
      <c r="WPG2470" s="60"/>
      <c r="WPH2470" s="60"/>
      <c r="WPI2470" s="63"/>
      <c r="WPJ2470" s="61"/>
      <c r="WPK2470" s="54"/>
      <c r="WPL2470" s="54"/>
      <c r="WPM2470" s="60"/>
      <c r="WPN2470" s="60"/>
      <c r="WPO2470" s="60"/>
      <c r="WPP2470" s="60"/>
      <c r="WPQ2470" s="63"/>
      <c r="WPR2470" s="61"/>
      <c r="WPS2470" s="54"/>
      <c r="WPT2470" s="54"/>
      <c r="WPU2470" s="60"/>
      <c r="WPV2470" s="60"/>
      <c r="WPW2470" s="60"/>
      <c r="WPX2470" s="60"/>
      <c r="WPY2470" s="63"/>
      <c r="WPZ2470" s="61"/>
      <c r="WQA2470" s="54"/>
      <c r="WQB2470" s="54"/>
      <c r="WQC2470" s="60"/>
      <c r="WQD2470" s="60"/>
      <c r="WQE2470" s="60"/>
      <c r="WQF2470" s="60"/>
      <c r="WQG2470" s="63"/>
      <c r="WQH2470" s="61"/>
      <c r="WQI2470" s="54"/>
      <c r="WQJ2470" s="54"/>
      <c r="WQK2470" s="60"/>
      <c r="WQL2470" s="60"/>
      <c r="WQM2470" s="60"/>
      <c r="WQN2470" s="60"/>
      <c r="WQO2470" s="63"/>
      <c r="WQP2470" s="61"/>
      <c r="WQQ2470" s="54"/>
      <c r="WQR2470" s="54"/>
      <c r="WQS2470" s="60"/>
      <c r="WQT2470" s="60"/>
      <c r="WQU2470" s="60"/>
      <c r="WQV2470" s="60"/>
      <c r="WQW2470" s="63"/>
      <c r="WQX2470" s="61"/>
      <c r="WQY2470" s="54"/>
      <c r="WQZ2470" s="54"/>
      <c r="WRA2470" s="60"/>
      <c r="WRB2470" s="60"/>
      <c r="WRC2470" s="60"/>
      <c r="WRD2470" s="60"/>
      <c r="WRE2470" s="63"/>
      <c r="WRF2470" s="61"/>
      <c r="WRG2470" s="54"/>
      <c r="WRH2470" s="54"/>
      <c r="WRI2470" s="60"/>
      <c r="WRJ2470" s="60"/>
      <c r="WRK2470" s="60"/>
      <c r="WRL2470" s="60"/>
      <c r="WRM2470" s="63"/>
      <c r="WRN2470" s="61"/>
      <c r="WRO2470" s="54"/>
      <c r="WRP2470" s="54"/>
      <c r="WRQ2470" s="60"/>
      <c r="WRR2470" s="60"/>
      <c r="WRS2470" s="60"/>
      <c r="WRT2470" s="60"/>
      <c r="WRU2470" s="63"/>
      <c r="WRV2470" s="61"/>
      <c r="WRW2470" s="54"/>
      <c r="WRX2470" s="54"/>
      <c r="WRY2470" s="60"/>
      <c r="WRZ2470" s="60"/>
      <c r="WSA2470" s="60"/>
      <c r="WSB2470" s="60"/>
      <c r="WSC2470" s="63"/>
      <c r="WSD2470" s="61"/>
      <c r="WSE2470" s="54"/>
      <c r="WSF2470" s="54"/>
      <c r="WSG2470" s="60"/>
      <c r="WSH2470" s="60"/>
      <c r="WSI2470" s="60"/>
      <c r="WSJ2470" s="60"/>
      <c r="WSK2470" s="63"/>
      <c r="WSL2470" s="61"/>
      <c r="WSM2470" s="54"/>
      <c r="WSN2470" s="54"/>
      <c r="WSO2470" s="60"/>
      <c r="WSP2470" s="60"/>
      <c r="WSQ2470" s="60"/>
      <c r="WSR2470" s="60"/>
      <c r="WSS2470" s="63"/>
      <c r="WST2470" s="61"/>
      <c r="WSU2470" s="54"/>
      <c r="WSV2470" s="54"/>
      <c r="WSW2470" s="60"/>
      <c r="WSX2470" s="60"/>
      <c r="WSY2470" s="60"/>
      <c r="WSZ2470" s="60"/>
      <c r="WTA2470" s="63"/>
      <c r="WTB2470" s="61"/>
      <c r="WTC2470" s="54"/>
      <c r="WTD2470" s="54"/>
      <c r="WTE2470" s="60"/>
      <c r="WTF2470" s="60"/>
      <c r="WTG2470" s="60"/>
      <c r="WTH2470" s="60"/>
      <c r="WTI2470" s="63"/>
      <c r="WTJ2470" s="61"/>
      <c r="WTK2470" s="54"/>
      <c r="WTL2470" s="54"/>
      <c r="WTM2470" s="60"/>
      <c r="WTN2470" s="60"/>
      <c r="WTO2470" s="60"/>
      <c r="WTP2470" s="60"/>
      <c r="WTQ2470" s="63"/>
      <c r="WTR2470" s="61"/>
      <c r="WTS2470" s="54"/>
      <c r="WTT2470" s="54"/>
      <c r="WTU2470" s="60"/>
      <c r="WTV2470" s="60"/>
      <c r="WTW2470" s="60"/>
      <c r="WTX2470" s="60"/>
      <c r="WTY2470" s="63"/>
      <c r="WTZ2470" s="61"/>
      <c r="WUA2470" s="54"/>
      <c r="WUB2470" s="54"/>
      <c r="WUC2470" s="60"/>
      <c r="WUD2470" s="60"/>
      <c r="WUE2470" s="60"/>
      <c r="WUF2470" s="60"/>
      <c r="WUG2470" s="63"/>
      <c r="WUH2470" s="61"/>
      <c r="WUI2470" s="54"/>
      <c r="WUJ2470" s="54"/>
      <c r="WUK2470" s="60"/>
      <c r="WUL2470" s="60"/>
      <c r="WUM2470" s="60"/>
      <c r="WUN2470" s="60"/>
      <c r="WUO2470" s="63"/>
      <c r="WUP2470" s="61"/>
      <c r="WUQ2470" s="54"/>
      <c r="WUR2470" s="54"/>
      <c r="WUS2470" s="60"/>
      <c r="WUT2470" s="60"/>
      <c r="WUU2470" s="60"/>
      <c r="WUV2470" s="60"/>
      <c r="WUW2470" s="63"/>
      <c r="WUX2470" s="61"/>
      <c r="WUY2470" s="54"/>
      <c r="WUZ2470" s="54"/>
      <c r="WVA2470" s="60"/>
      <c r="WVB2470" s="60"/>
      <c r="WVC2470" s="60"/>
      <c r="WVD2470" s="60"/>
      <c r="WVE2470" s="63"/>
      <c r="WVF2470" s="61"/>
      <c r="WVG2470" s="54"/>
      <c r="WVH2470" s="54"/>
      <c r="WVI2470" s="60"/>
      <c r="WVJ2470" s="60"/>
      <c r="WVK2470" s="60"/>
      <c r="WVL2470" s="60"/>
      <c r="WVM2470" s="63"/>
      <c r="WVN2470" s="61"/>
      <c r="WVO2470" s="54"/>
      <c r="WVP2470" s="54"/>
      <c r="WVQ2470" s="60"/>
      <c r="WVR2470" s="60"/>
      <c r="WVS2470" s="60"/>
      <c r="WVT2470" s="60"/>
      <c r="WVU2470" s="63"/>
      <c r="WVV2470" s="61"/>
      <c r="WVW2470" s="54"/>
      <c r="WVX2470" s="54"/>
      <c r="WVY2470" s="60"/>
      <c r="WVZ2470" s="60"/>
      <c r="WWA2470" s="60"/>
      <c r="WWB2470" s="60"/>
      <c r="WWC2470" s="63"/>
      <c r="WWD2470" s="61"/>
      <c r="WWE2470" s="54"/>
      <c r="WWF2470" s="54"/>
      <c r="WWG2470" s="60"/>
      <c r="WWH2470" s="60"/>
      <c r="WWI2470" s="60"/>
      <c r="WWJ2470" s="60"/>
      <c r="WWK2470" s="63"/>
      <c r="WWL2470" s="61"/>
      <c r="WWM2470" s="54"/>
      <c r="WWN2470" s="54"/>
      <c r="WWO2470" s="60"/>
      <c r="WWP2470" s="60"/>
      <c r="WWQ2470" s="60"/>
      <c r="WWR2470" s="60"/>
      <c r="WWS2470" s="63"/>
      <c r="WWT2470" s="61"/>
      <c r="WWU2470" s="54"/>
      <c r="WWV2470" s="54"/>
      <c r="WWW2470" s="60"/>
      <c r="WWX2470" s="60"/>
      <c r="WWY2470" s="60"/>
      <c r="WWZ2470" s="60"/>
      <c r="WXA2470" s="63"/>
      <c r="WXB2470" s="61"/>
      <c r="WXC2470" s="54"/>
      <c r="WXD2470" s="54"/>
      <c r="WXE2470" s="60"/>
      <c r="WXF2470" s="60"/>
      <c r="WXG2470" s="60"/>
      <c r="WXH2470" s="60"/>
      <c r="WXI2470" s="63"/>
      <c r="WXJ2470" s="61"/>
      <c r="WXK2470" s="54"/>
      <c r="WXL2470" s="54"/>
      <c r="WXM2470" s="60"/>
      <c r="WXN2470" s="60"/>
      <c r="WXO2470" s="60"/>
      <c r="WXP2470" s="60"/>
      <c r="WXQ2470" s="63"/>
      <c r="WXR2470" s="61"/>
      <c r="WXS2470" s="54"/>
      <c r="WXT2470" s="54"/>
      <c r="WXU2470" s="60"/>
      <c r="WXV2470" s="60"/>
      <c r="WXW2470" s="60"/>
      <c r="WXX2470" s="60"/>
      <c r="WXY2470" s="63"/>
      <c r="WXZ2470" s="61"/>
      <c r="WYA2470" s="54"/>
      <c r="WYB2470" s="54"/>
      <c r="WYC2470" s="60"/>
      <c r="WYD2470" s="60"/>
      <c r="WYE2470" s="60"/>
      <c r="WYF2470" s="60"/>
      <c r="WYG2470" s="63"/>
      <c r="WYH2470" s="61"/>
      <c r="WYI2470" s="54"/>
      <c r="WYJ2470" s="54"/>
      <c r="WYK2470" s="60"/>
      <c r="WYL2470" s="60"/>
      <c r="WYM2470" s="60"/>
      <c r="WYN2470" s="60"/>
      <c r="WYO2470" s="63"/>
      <c r="WYP2470" s="61"/>
      <c r="WYQ2470" s="54"/>
      <c r="WYR2470" s="54"/>
      <c r="WYS2470" s="60"/>
      <c r="WYT2470" s="60"/>
      <c r="WYU2470" s="60"/>
      <c r="WYV2470" s="60"/>
      <c r="WYW2470" s="63"/>
      <c r="WYX2470" s="61"/>
      <c r="WYY2470" s="54"/>
      <c r="WYZ2470" s="54"/>
      <c r="WZA2470" s="60"/>
      <c r="WZB2470" s="60"/>
      <c r="WZC2470" s="60"/>
      <c r="WZD2470" s="60"/>
      <c r="WZE2470" s="63"/>
      <c r="WZF2470" s="61"/>
      <c r="WZG2470" s="54"/>
      <c r="WZH2470" s="54"/>
      <c r="WZI2470" s="60"/>
      <c r="WZJ2470" s="60"/>
      <c r="WZK2470" s="60"/>
      <c r="WZL2470" s="60"/>
      <c r="WZM2470" s="63"/>
      <c r="WZN2470" s="61"/>
      <c r="WZO2470" s="54"/>
      <c r="WZP2470" s="54"/>
      <c r="WZQ2470" s="60"/>
      <c r="WZR2470" s="60"/>
      <c r="WZS2470" s="60"/>
      <c r="WZT2470" s="60"/>
      <c r="WZU2470" s="63"/>
      <c r="WZV2470" s="61"/>
      <c r="WZW2470" s="54"/>
      <c r="WZX2470" s="54"/>
      <c r="WZY2470" s="60"/>
      <c r="WZZ2470" s="60"/>
      <c r="XAA2470" s="60"/>
      <c r="XAB2470" s="60"/>
      <c r="XAC2470" s="63"/>
      <c r="XAD2470" s="61"/>
      <c r="XAE2470" s="54"/>
      <c r="XAF2470" s="54"/>
      <c r="XAG2470" s="60"/>
      <c r="XAH2470" s="60"/>
      <c r="XAI2470" s="60"/>
      <c r="XAJ2470" s="60"/>
      <c r="XAK2470" s="63"/>
      <c r="XAL2470" s="61"/>
      <c r="XAM2470" s="54"/>
      <c r="XAN2470" s="54"/>
      <c r="XAO2470" s="60"/>
      <c r="XAP2470" s="60"/>
      <c r="XAQ2470" s="60"/>
      <c r="XAR2470" s="60"/>
      <c r="XAS2470" s="63"/>
      <c r="XAT2470" s="61"/>
      <c r="XAU2470" s="54"/>
      <c r="XAV2470" s="54"/>
      <c r="XAW2470" s="60"/>
      <c r="XAX2470" s="60"/>
      <c r="XAY2470" s="60"/>
      <c r="XAZ2470" s="60"/>
      <c r="XBA2470" s="63"/>
      <c r="XBB2470" s="61"/>
      <c r="XBC2470" s="54"/>
      <c r="XBD2470" s="54"/>
      <c r="XBE2470" s="60"/>
      <c r="XBF2470" s="60"/>
      <c r="XBG2470" s="60"/>
      <c r="XBH2470" s="60"/>
      <c r="XBI2470" s="63"/>
      <c r="XBJ2470" s="61"/>
      <c r="XBK2470" s="54"/>
      <c r="XBL2470" s="54"/>
      <c r="XBM2470" s="60"/>
      <c r="XBN2470" s="60"/>
      <c r="XBO2470" s="60"/>
      <c r="XBP2470" s="60"/>
      <c r="XBQ2470" s="63"/>
      <c r="XBR2470" s="61"/>
      <c r="XBS2470" s="54"/>
      <c r="XBT2470" s="54"/>
      <c r="XBU2470" s="60"/>
      <c r="XBV2470" s="60"/>
      <c r="XBW2470" s="60"/>
      <c r="XBX2470" s="60"/>
      <c r="XBY2470" s="63"/>
      <c r="XBZ2470" s="61"/>
      <c r="XCA2470" s="54"/>
      <c r="XCB2470" s="54"/>
      <c r="XCC2470" s="60"/>
      <c r="XCD2470" s="60"/>
      <c r="XCE2470" s="60"/>
      <c r="XCF2470" s="60"/>
      <c r="XCG2470" s="63"/>
      <c r="XCH2470" s="61"/>
      <c r="XCI2470" s="54"/>
      <c r="XCJ2470" s="54"/>
      <c r="XCK2470" s="60"/>
      <c r="XCL2470" s="60"/>
      <c r="XCM2470" s="60"/>
      <c r="XCN2470" s="60"/>
      <c r="XCO2470" s="63"/>
      <c r="XCP2470" s="61"/>
      <c r="XCQ2470" s="54"/>
      <c r="XCR2470" s="54"/>
      <c r="XCS2470" s="60"/>
      <c r="XCT2470" s="60"/>
      <c r="XCU2470" s="60"/>
      <c r="XCV2470" s="60"/>
      <c r="XCW2470" s="63"/>
      <c r="XCX2470" s="61"/>
      <c r="XCY2470" s="54"/>
      <c r="XCZ2470" s="54"/>
      <c r="XDA2470" s="60"/>
      <c r="XDB2470" s="60"/>
      <c r="XDC2470" s="60"/>
      <c r="XDD2470" s="60"/>
      <c r="XDE2470" s="63"/>
      <c r="XDF2470" s="61"/>
      <c r="XDG2470" s="54"/>
      <c r="XDH2470" s="54"/>
      <c r="XDI2470" s="60"/>
      <c r="XDJ2470" s="60"/>
      <c r="XDK2470" s="60"/>
      <c r="XDL2470" s="60"/>
      <c r="XDM2470" s="63"/>
      <c r="XDN2470" s="61"/>
      <c r="XDO2470" s="54"/>
      <c r="XDP2470" s="54"/>
      <c r="XDQ2470" s="60"/>
      <c r="XDR2470" s="60"/>
      <c r="XDS2470" s="60"/>
      <c r="XDT2470" s="60"/>
      <c r="XDU2470" s="63"/>
      <c r="XDV2470" s="61"/>
      <c r="XDW2470" s="54"/>
      <c r="XDX2470" s="54"/>
      <c r="XDY2470" s="60"/>
      <c r="XDZ2470" s="60"/>
      <c r="XEA2470" s="60"/>
      <c r="XEB2470" s="60"/>
      <c r="XEC2470" s="63"/>
      <c r="XED2470" s="61"/>
      <c r="XEE2470" s="54"/>
      <c r="XEF2470" s="54"/>
      <c r="XEG2470" s="60"/>
      <c r="XEH2470" s="60"/>
      <c r="XEI2470" s="60"/>
      <c r="XEJ2470" s="60"/>
      <c r="XEK2470" s="63"/>
      <c r="XEL2470" s="61"/>
      <c r="XEM2470" s="54"/>
      <c r="XEN2470" s="54"/>
      <c r="XEO2470" s="60"/>
      <c r="XEP2470" s="60"/>
      <c r="XEQ2470" s="60"/>
      <c r="XER2470" s="60"/>
      <c r="XES2470" s="63"/>
      <c r="XET2470" s="61"/>
      <c r="XEU2470" s="54"/>
      <c r="XEV2470" s="54"/>
      <c r="XEW2470" s="60"/>
    </row>
    <row r="2471" ht="18" customHeight="1" spans="1:16377">
      <c r="A2471" s="6" t="s">
        <v>8209</v>
      </c>
      <c r="B2471" s="6" t="s">
        <v>8540</v>
      </c>
      <c r="C2471" s="11" t="s">
        <v>8562</v>
      </c>
      <c r="D2471" s="5" t="s">
        <v>16374</v>
      </c>
      <c r="E2471" s="11" t="s">
        <v>8563</v>
      </c>
      <c r="F2471" s="7" t="s">
        <v>11535</v>
      </c>
      <c r="G2471" s="54"/>
      <c r="H2471" s="54"/>
      <c r="I2471" s="63"/>
      <c r="J2471" s="60"/>
      <c r="K2471" s="60"/>
      <c r="L2471" s="60"/>
      <c r="M2471" s="63"/>
      <c r="N2471" s="61"/>
      <c r="O2471" s="54"/>
      <c r="P2471" s="54"/>
      <c r="Q2471" s="63"/>
      <c r="R2471" s="60"/>
      <c r="S2471" s="60"/>
      <c r="T2471" s="60"/>
      <c r="U2471" s="63"/>
      <c r="V2471" s="61"/>
      <c r="W2471" s="54"/>
      <c r="X2471" s="54"/>
      <c r="Y2471" s="63"/>
      <c r="Z2471" s="60"/>
      <c r="AA2471" s="60"/>
      <c r="AB2471" s="60"/>
      <c r="AC2471" s="63"/>
      <c r="AD2471" s="61"/>
      <c r="AE2471" s="54"/>
      <c r="AF2471" s="54"/>
      <c r="AG2471" s="63"/>
      <c r="AH2471" s="60"/>
      <c r="AI2471" s="60"/>
      <c r="AJ2471" s="60"/>
      <c r="AK2471" s="63"/>
      <c r="AL2471" s="61"/>
      <c r="AM2471" s="54"/>
      <c r="AN2471" s="54"/>
      <c r="AO2471" s="63"/>
      <c r="AP2471" s="60"/>
      <c r="AQ2471" s="60"/>
      <c r="AR2471" s="60"/>
      <c r="AS2471" s="63"/>
      <c r="AT2471" s="61"/>
      <c r="AU2471" s="54"/>
      <c r="AV2471" s="54"/>
      <c r="AW2471" s="63"/>
      <c r="AX2471" s="60"/>
      <c r="AY2471" s="60"/>
      <c r="AZ2471" s="60"/>
      <c r="BA2471" s="63"/>
      <c r="BB2471" s="61"/>
      <c r="BC2471" s="54"/>
      <c r="BD2471" s="54"/>
      <c r="BE2471" s="63"/>
      <c r="BF2471" s="60"/>
      <c r="BG2471" s="60"/>
      <c r="BH2471" s="60"/>
      <c r="BI2471" s="63"/>
      <c r="BJ2471" s="61"/>
      <c r="BK2471" s="54"/>
      <c r="BL2471" s="54"/>
      <c r="BM2471" s="63"/>
      <c r="BN2471" s="60"/>
      <c r="BO2471" s="60"/>
      <c r="BP2471" s="60"/>
      <c r="BQ2471" s="63"/>
      <c r="BR2471" s="61"/>
      <c r="BS2471" s="54"/>
      <c r="BT2471" s="54"/>
      <c r="BU2471" s="63"/>
      <c r="BV2471" s="60"/>
      <c r="BW2471" s="60"/>
      <c r="BX2471" s="60"/>
      <c r="BY2471" s="63"/>
      <c r="BZ2471" s="61"/>
      <c r="CA2471" s="54"/>
      <c r="CB2471" s="54"/>
      <c r="CC2471" s="63"/>
      <c r="CD2471" s="60"/>
      <c r="CE2471" s="60"/>
      <c r="CF2471" s="60"/>
      <c r="CG2471" s="63"/>
      <c r="CH2471" s="61"/>
      <c r="CI2471" s="54"/>
      <c r="CJ2471" s="54"/>
      <c r="CK2471" s="63"/>
      <c r="CL2471" s="60"/>
      <c r="CM2471" s="60"/>
      <c r="CN2471" s="60"/>
      <c r="CO2471" s="63"/>
      <c r="CP2471" s="61"/>
      <c r="CQ2471" s="54"/>
      <c r="CR2471" s="54"/>
      <c r="CS2471" s="63"/>
      <c r="CT2471" s="60"/>
      <c r="CU2471" s="60"/>
      <c r="CV2471" s="60"/>
      <c r="CW2471" s="63"/>
      <c r="CX2471" s="61"/>
      <c r="CY2471" s="54"/>
      <c r="CZ2471" s="54"/>
      <c r="DA2471" s="63"/>
      <c r="DB2471" s="60"/>
      <c r="DC2471" s="60"/>
      <c r="DD2471" s="60"/>
      <c r="DE2471" s="63"/>
      <c r="DF2471" s="61"/>
      <c r="DG2471" s="54"/>
      <c r="DH2471" s="54"/>
      <c r="DI2471" s="63"/>
      <c r="DJ2471" s="60"/>
      <c r="DK2471" s="60"/>
      <c r="DL2471" s="60"/>
      <c r="DM2471" s="63"/>
      <c r="DN2471" s="61"/>
      <c r="DO2471" s="54"/>
      <c r="DP2471" s="54"/>
      <c r="DQ2471" s="63"/>
      <c r="DR2471" s="60"/>
      <c r="DS2471" s="60"/>
      <c r="DT2471" s="60"/>
      <c r="DU2471" s="63"/>
      <c r="DV2471" s="61"/>
      <c r="DW2471" s="54"/>
      <c r="DX2471" s="54"/>
      <c r="DY2471" s="63"/>
      <c r="DZ2471" s="60"/>
      <c r="EA2471" s="60"/>
      <c r="EB2471" s="60"/>
      <c r="EC2471" s="63"/>
      <c r="ED2471" s="61"/>
      <c r="EE2471" s="54"/>
      <c r="EF2471" s="54"/>
      <c r="EG2471" s="63"/>
      <c r="EH2471" s="60"/>
      <c r="EI2471" s="60"/>
      <c r="EJ2471" s="60"/>
      <c r="EK2471" s="63"/>
      <c r="EL2471" s="61"/>
      <c r="EM2471" s="54"/>
      <c r="EN2471" s="54"/>
      <c r="EO2471" s="63"/>
      <c r="EP2471" s="60"/>
      <c r="EQ2471" s="60"/>
      <c r="ER2471" s="60"/>
      <c r="ES2471" s="63"/>
      <c r="ET2471" s="61"/>
      <c r="EU2471" s="54"/>
      <c r="EV2471" s="54"/>
      <c r="EW2471" s="63"/>
      <c r="EX2471" s="60"/>
      <c r="EY2471" s="60"/>
      <c r="EZ2471" s="60"/>
      <c r="FA2471" s="63"/>
      <c r="FB2471" s="61"/>
      <c r="FC2471" s="54"/>
      <c r="FD2471" s="54"/>
      <c r="FE2471" s="63"/>
      <c r="FF2471" s="60"/>
      <c r="FG2471" s="60"/>
      <c r="FH2471" s="60"/>
      <c r="FI2471" s="63"/>
      <c r="FJ2471" s="61"/>
      <c r="FK2471" s="54"/>
      <c r="FL2471" s="54"/>
      <c r="FM2471" s="63"/>
      <c r="FN2471" s="60"/>
      <c r="FO2471" s="60"/>
      <c r="FP2471" s="60"/>
      <c r="FQ2471" s="63"/>
      <c r="FR2471" s="61"/>
      <c r="FS2471" s="54"/>
      <c r="FT2471" s="54"/>
      <c r="FU2471" s="63"/>
      <c r="FV2471" s="60"/>
      <c r="FW2471" s="60"/>
      <c r="FX2471" s="60"/>
      <c r="FY2471" s="63"/>
      <c r="FZ2471" s="61"/>
      <c r="GA2471" s="54"/>
      <c r="GB2471" s="54"/>
      <c r="GC2471" s="63"/>
      <c r="GD2471" s="60"/>
      <c r="GE2471" s="60"/>
      <c r="GF2471" s="60"/>
      <c r="GG2471" s="63"/>
      <c r="GH2471" s="61"/>
      <c r="GI2471" s="54"/>
      <c r="GJ2471" s="54"/>
      <c r="GK2471" s="63"/>
      <c r="GL2471" s="60"/>
      <c r="GM2471" s="60"/>
      <c r="GN2471" s="60"/>
      <c r="GO2471" s="63"/>
      <c r="GP2471" s="61"/>
      <c r="GQ2471" s="54"/>
      <c r="GR2471" s="54"/>
      <c r="GS2471" s="63"/>
      <c r="GT2471" s="60"/>
      <c r="GU2471" s="60"/>
      <c r="GV2471" s="60"/>
      <c r="GW2471" s="63"/>
      <c r="GX2471" s="61"/>
      <c r="GY2471" s="54"/>
      <c r="GZ2471" s="54"/>
      <c r="HA2471" s="63"/>
      <c r="HB2471" s="60"/>
      <c r="HC2471" s="60"/>
      <c r="HD2471" s="60"/>
      <c r="HE2471" s="63"/>
      <c r="HF2471" s="61"/>
      <c r="HG2471" s="54"/>
      <c r="HH2471" s="54"/>
      <c r="HI2471" s="63"/>
      <c r="HJ2471" s="60"/>
      <c r="HK2471" s="60"/>
      <c r="HL2471" s="60"/>
      <c r="HM2471" s="63"/>
      <c r="HN2471" s="61"/>
      <c r="HO2471" s="54"/>
      <c r="HP2471" s="54"/>
      <c r="HQ2471" s="63"/>
      <c r="HR2471" s="60"/>
      <c r="HS2471" s="60"/>
      <c r="HT2471" s="60"/>
      <c r="HU2471" s="63"/>
      <c r="HV2471" s="61"/>
      <c r="HW2471" s="54"/>
      <c r="HX2471" s="54"/>
      <c r="HY2471" s="63"/>
      <c r="HZ2471" s="60"/>
      <c r="IA2471" s="60"/>
      <c r="IB2471" s="60"/>
      <c r="IC2471" s="63"/>
      <c r="ID2471" s="61"/>
      <c r="IE2471" s="54"/>
      <c r="IF2471" s="54"/>
      <c r="IG2471" s="63"/>
      <c r="IH2471" s="60"/>
      <c r="II2471" s="60"/>
      <c r="IJ2471" s="60"/>
      <c r="IK2471" s="63"/>
      <c r="IL2471" s="61"/>
      <c r="IM2471" s="54"/>
      <c r="IN2471" s="54"/>
      <c r="IO2471" s="63"/>
      <c r="IP2471" s="60"/>
      <c r="IQ2471" s="60"/>
      <c r="IR2471" s="60"/>
      <c r="IS2471" s="63"/>
      <c r="IT2471" s="61"/>
      <c r="IU2471" s="54"/>
      <c r="IV2471" s="54"/>
      <c r="IW2471" s="63"/>
      <c r="IX2471" s="60"/>
      <c r="IY2471" s="60"/>
      <c r="IZ2471" s="60"/>
      <c r="JA2471" s="63"/>
      <c r="JB2471" s="61"/>
      <c r="JC2471" s="54"/>
      <c r="JD2471" s="54"/>
      <c r="JE2471" s="63"/>
      <c r="JF2471" s="60"/>
      <c r="JG2471" s="60"/>
      <c r="JH2471" s="60"/>
      <c r="JI2471" s="63"/>
      <c r="JJ2471" s="61"/>
      <c r="JK2471" s="54"/>
      <c r="JL2471" s="54"/>
      <c r="JM2471" s="63"/>
      <c r="JN2471" s="60"/>
      <c r="JO2471" s="60"/>
      <c r="JP2471" s="60"/>
      <c r="JQ2471" s="63"/>
      <c r="JR2471" s="61"/>
      <c r="JS2471" s="54"/>
      <c r="JT2471" s="54"/>
      <c r="JU2471" s="63"/>
      <c r="JV2471" s="60"/>
      <c r="JW2471" s="60"/>
      <c r="JX2471" s="60"/>
      <c r="JY2471" s="63"/>
      <c r="JZ2471" s="61"/>
      <c r="KA2471" s="54"/>
      <c r="KB2471" s="54"/>
      <c r="KC2471" s="63"/>
      <c r="KD2471" s="60"/>
      <c r="KE2471" s="60"/>
      <c r="KF2471" s="60"/>
      <c r="KG2471" s="63"/>
      <c r="KH2471" s="61"/>
      <c r="KI2471" s="54"/>
      <c r="KJ2471" s="54"/>
      <c r="KK2471" s="63"/>
      <c r="KL2471" s="60"/>
      <c r="KM2471" s="60"/>
      <c r="KN2471" s="60"/>
      <c r="KO2471" s="63"/>
      <c r="KP2471" s="61"/>
      <c r="KQ2471" s="54"/>
      <c r="KR2471" s="54"/>
      <c r="KS2471" s="63"/>
      <c r="KT2471" s="60"/>
      <c r="KU2471" s="60"/>
      <c r="KV2471" s="60"/>
      <c r="KW2471" s="63"/>
      <c r="KX2471" s="61"/>
      <c r="KY2471" s="54"/>
      <c r="KZ2471" s="54"/>
      <c r="LA2471" s="63"/>
      <c r="LB2471" s="60"/>
      <c r="LC2471" s="60"/>
      <c r="LD2471" s="60"/>
      <c r="LE2471" s="63"/>
      <c r="LF2471" s="61"/>
      <c r="LG2471" s="54"/>
      <c r="LH2471" s="54"/>
      <c r="LI2471" s="63"/>
      <c r="LJ2471" s="60"/>
      <c r="LK2471" s="60"/>
      <c r="LL2471" s="60"/>
      <c r="LM2471" s="63"/>
      <c r="LN2471" s="61"/>
      <c r="LO2471" s="54"/>
      <c r="LP2471" s="54"/>
      <c r="LQ2471" s="63"/>
      <c r="LR2471" s="60"/>
      <c r="LS2471" s="60"/>
      <c r="LT2471" s="60"/>
      <c r="LU2471" s="63"/>
      <c r="LV2471" s="61"/>
      <c r="LW2471" s="54"/>
      <c r="LX2471" s="54"/>
      <c r="LY2471" s="63"/>
      <c r="LZ2471" s="60"/>
      <c r="MA2471" s="60"/>
      <c r="MB2471" s="60"/>
      <c r="MC2471" s="63"/>
      <c r="MD2471" s="61"/>
      <c r="ME2471" s="54"/>
      <c r="MF2471" s="54"/>
      <c r="MG2471" s="63"/>
      <c r="MH2471" s="60"/>
      <c r="MI2471" s="60"/>
      <c r="MJ2471" s="60"/>
      <c r="MK2471" s="63"/>
      <c r="ML2471" s="61"/>
      <c r="MM2471" s="54"/>
      <c r="MN2471" s="54"/>
      <c r="MO2471" s="63"/>
      <c r="MP2471" s="60"/>
      <c r="MQ2471" s="60"/>
      <c r="MR2471" s="60"/>
      <c r="MS2471" s="63"/>
      <c r="MT2471" s="61"/>
      <c r="MU2471" s="54"/>
      <c r="MV2471" s="54"/>
      <c r="MW2471" s="63"/>
      <c r="MX2471" s="60"/>
      <c r="MY2471" s="60"/>
      <c r="MZ2471" s="60"/>
      <c r="NA2471" s="63"/>
      <c r="NB2471" s="61"/>
      <c r="NC2471" s="54"/>
      <c r="ND2471" s="54"/>
      <c r="NE2471" s="63"/>
      <c r="NF2471" s="60"/>
      <c r="NG2471" s="60"/>
      <c r="NH2471" s="60"/>
      <c r="NI2471" s="63"/>
      <c r="NJ2471" s="61"/>
      <c r="NK2471" s="54"/>
      <c r="NL2471" s="54"/>
      <c r="NM2471" s="63"/>
      <c r="NN2471" s="60"/>
      <c r="NO2471" s="60"/>
      <c r="NP2471" s="60"/>
      <c r="NQ2471" s="63"/>
      <c r="NR2471" s="61"/>
      <c r="NS2471" s="54"/>
      <c r="NT2471" s="54"/>
      <c r="NU2471" s="63"/>
      <c r="NV2471" s="60"/>
      <c r="NW2471" s="60"/>
      <c r="NX2471" s="60"/>
      <c r="NY2471" s="63"/>
      <c r="NZ2471" s="61"/>
      <c r="OA2471" s="54"/>
      <c r="OB2471" s="54"/>
      <c r="OC2471" s="63"/>
      <c r="OD2471" s="60"/>
      <c r="OE2471" s="60"/>
      <c r="OF2471" s="60"/>
      <c r="OG2471" s="63"/>
      <c r="OH2471" s="61"/>
      <c r="OI2471" s="54"/>
      <c r="OJ2471" s="54"/>
      <c r="OK2471" s="63"/>
      <c r="OL2471" s="60"/>
      <c r="OM2471" s="60"/>
      <c r="ON2471" s="60"/>
      <c r="OO2471" s="63"/>
      <c r="OP2471" s="61"/>
      <c r="OQ2471" s="54"/>
      <c r="OR2471" s="54"/>
      <c r="OS2471" s="63"/>
      <c r="OT2471" s="60"/>
      <c r="OU2471" s="60"/>
      <c r="OV2471" s="60"/>
      <c r="OW2471" s="63"/>
      <c r="OX2471" s="61"/>
      <c r="OY2471" s="54"/>
      <c r="OZ2471" s="54"/>
      <c r="PA2471" s="63"/>
      <c r="PB2471" s="60"/>
      <c r="PC2471" s="60"/>
      <c r="PD2471" s="60"/>
      <c r="PE2471" s="63"/>
      <c r="PF2471" s="61"/>
      <c r="PG2471" s="54"/>
      <c r="PH2471" s="54"/>
      <c r="PI2471" s="63"/>
      <c r="PJ2471" s="60"/>
      <c r="PK2471" s="60"/>
      <c r="PL2471" s="60"/>
      <c r="PM2471" s="63"/>
      <c r="PN2471" s="61"/>
      <c r="PO2471" s="54"/>
      <c r="PP2471" s="54"/>
      <c r="PQ2471" s="63"/>
      <c r="PR2471" s="60"/>
      <c r="PS2471" s="60"/>
      <c r="PT2471" s="60"/>
      <c r="PU2471" s="63"/>
      <c r="PV2471" s="61"/>
      <c r="PW2471" s="54"/>
      <c r="PX2471" s="54"/>
      <c r="PY2471" s="63"/>
      <c r="PZ2471" s="60"/>
      <c r="QA2471" s="60"/>
      <c r="QB2471" s="60"/>
      <c r="QC2471" s="63"/>
      <c r="QD2471" s="61"/>
      <c r="QE2471" s="54"/>
      <c r="QF2471" s="54"/>
      <c r="QG2471" s="63"/>
      <c r="QH2471" s="60"/>
      <c r="QI2471" s="60"/>
      <c r="QJ2471" s="60"/>
      <c r="QK2471" s="63"/>
      <c r="QL2471" s="61"/>
      <c r="QM2471" s="54"/>
      <c r="QN2471" s="54"/>
      <c r="QO2471" s="63"/>
      <c r="QP2471" s="60"/>
      <c r="QQ2471" s="60"/>
      <c r="QR2471" s="60"/>
      <c r="QS2471" s="63"/>
      <c r="QT2471" s="61"/>
      <c r="QU2471" s="54"/>
      <c r="QV2471" s="54"/>
      <c r="QW2471" s="63"/>
      <c r="QX2471" s="60"/>
      <c r="QY2471" s="60"/>
      <c r="QZ2471" s="60"/>
      <c r="RA2471" s="63"/>
      <c r="RB2471" s="61"/>
      <c r="RC2471" s="54"/>
      <c r="RD2471" s="54"/>
      <c r="RE2471" s="63"/>
      <c r="RF2471" s="60"/>
      <c r="RG2471" s="60"/>
      <c r="RH2471" s="60"/>
      <c r="RI2471" s="63"/>
      <c r="RJ2471" s="61"/>
      <c r="RK2471" s="54"/>
      <c r="RL2471" s="54"/>
      <c r="RM2471" s="63"/>
      <c r="RN2471" s="60"/>
      <c r="RO2471" s="60"/>
      <c r="RP2471" s="60"/>
      <c r="RQ2471" s="63"/>
      <c r="RR2471" s="61"/>
      <c r="RS2471" s="54"/>
      <c r="RT2471" s="54"/>
      <c r="RU2471" s="63"/>
      <c r="RV2471" s="60"/>
      <c r="RW2471" s="60"/>
      <c r="RX2471" s="60"/>
      <c r="RY2471" s="63"/>
      <c r="RZ2471" s="61"/>
      <c r="SA2471" s="54"/>
      <c r="SB2471" s="54"/>
      <c r="SC2471" s="63"/>
      <c r="SD2471" s="60"/>
      <c r="SE2471" s="60"/>
      <c r="SF2471" s="60"/>
      <c r="SG2471" s="63"/>
      <c r="SH2471" s="61"/>
      <c r="SI2471" s="54"/>
      <c r="SJ2471" s="54"/>
      <c r="SK2471" s="63"/>
      <c r="SL2471" s="60"/>
      <c r="SM2471" s="60"/>
      <c r="SN2471" s="60"/>
      <c r="SO2471" s="63"/>
      <c r="SP2471" s="61"/>
      <c r="SQ2471" s="54"/>
      <c r="SR2471" s="54"/>
      <c r="SS2471" s="63"/>
      <c r="ST2471" s="60"/>
      <c r="SU2471" s="60"/>
      <c r="SV2471" s="60"/>
      <c r="SW2471" s="63"/>
      <c r="SX2471" s="61"/>
      <c r="SY2471" s="54"/>
      <c r="SZ2471" s="54"/>
      <c r="TA2471" s="63"/>
      <c r="TB2471" s="60"/>
      <c r="TC2471" s="60"/>
      <c r="TD2471" s="60"/>
      <c r="TE2471" s="63"/>
      <c r="TF2471" s="61"/>
      <c r="TG2471" s="54"/>
      <c r="TH2471" s="54"/>
      <c r="TI2471" s="63"/>
      <c r="TJ2471" s="60"/>
      <c r="TK2471" s="60"/>
      <c r="TL2471" s="60"/>
      <c r="TM2471" s="63"/>
      <c r="TN2471" s="61"/>
      <c r="TO2471" s="54"/>
      <c r="TP2471" s="54"/>
      <c r="TQ2471" s="63"/>
      <c r="TR2471" s="60"/>
      <c r="TS2471" s="60"/>
      <c r="TT2471" s="60"/>
      <c r="TU2471" s="63"/>
      <c r="TV2471" s="61"/>
      <c r="TW2471" s="54"/>
      <c r="TX2471" s="54"/>
      <c r="TY2471" s="63"/>
      <c r="TZ2471" s="60"/>
      <c r="UA2471" s="60"/>
      <c r="UB2471" s="60"/>
      <c r="UC2471" s="63"/>
      <c r="UD2471" s="61"/>
      <c r="UE2471" s="54"/>
      <c r="UF2471" s="54"/>
      <c r="UG2471" s="63"/>
      <c r="UH2471" s="60"/>
      <c r="UI2471" s="60"/>
      <c r="UJ2471" s="60"/>
      <c r="UK2471" s="63"/>
      <c r="UL2471" s="61"/>
      <c r="UM2471" s="54"/>
      <c r="UN2471" s="54"/>
      <c r="UO2471" s="63"/>
      <c r="UP2471" s="60"/>
      <c r="UQ2471" s="60"/>
      <c r="UR2471" s="60"/>
      <c r="US2471" s="63"/>
      <c r="UT2471" s="61"/>
      <c r="UU2471" s="54"/>
      <c r="UV2471" s="54"/>
      <c r="UW2471" s="63"/>
      <c r="UX2471" s="60"/>
      <c r="UY2471" s="60"/>
      <c r="UZ2471" s="60"/>
      <c r="VA2471" s="63"/>
      <c r="VB2471" s="61"/>
      <c r="VC2471" s="54"/>
      <c r="VD2471" s="54"/>
      <c r="VE2471" s="63"/>
      <c r="VF2471" s="60"/>
      <c r="VG2471" s="60"/>
      <c r="VH2471" s="60"/>
      <c r="VI2471" s="63"/>
      <c r="VJ2471" s="61"/>
      <c r="VK2471" s="54"/>
      <c r="VL2471" s="54"/>
      <c r="VM2471" s="63"/>
      <c r="VN2471" s="60"/>
      <c r="VO2471" s="60"/>
      <c r="VP2471" s="60"/>
      <c r="VQ2471" s="63"/>
      <c r="VR2471" s="61"/>
      <c r="VS2471" s="54"/>
      <c r="VT2471" s="54"/>
      <c r="VU2471" s="63"/>
      <c r="VV2471" s="60"/>
      <c r="VW2471" s="60"/>
      <c r="VX2471" s="60"/>
      <c r="VY2471" s="63"/>
      <c r="VZ2471" s="61"/>
      <c r="WA2471" s="54"/>
      <c r="WB2471" s="54"/>
      <c r="WC2471" s="63"/>
      <c r="WD2471" s="60"/>
      <c r="WE2471" s="60"/>
      <c r="WF2471" s="60"/>
      <c r="WG2471" s="63"/>
      <c r="WH2471" s="61"/>
      <c r="WI2471" s="54"/>
      <c r="WJ2471" s="54"/>
      <c r="WK2471" s="63"/>
      <c r="WL2471" s="60"/>
      <c r="WM2471" s="60"/>
      <c r="WN2471" s="60"/>
      <c r="WO2471" s="63"/>
      <c r="WP2471" s="61"/>
      <c r="WQ2471" s="54"/>
      <c r="WR2471" s="54"/>
      <c r="WS2471" s="63"/>
      <c r="WT2471" s="60"/>
      <c r="WU2471" s="60"/>
      <c r="WV2471" s="60"/>
      <c r="WW2471" s="63"/>
      <c r="WX2471" s="61"/>
      <c r="WY2471" s="54"/>
      <c r="WZ2471" s="54"/>
      <c r="XA2471" s="63"/>
      <c r="XB2471" s="60"/>
      <c r="XC2471" s="60"/>
      <c r="XD2471" s="60"/>
      <c r="XE2471" s="63"/>
      <c r="XF2471" s="61"/>
      <c r="XG2471" s="54"/>
      <c r="XH2471" s="54"/>
      <c r="XI2471" s="63"/>
      <c r="XJ2471" s="60"/>
      <c r="XK2471" s="60"/>
      <c r="XL2471" s="60"/>
      <c r="XM2471" s="63"/>
      <c r="XN2471" s="61"/>
      <c r="XO2471" s="54"/>
      <c r="XP2471" s="54"/>
      <c r="XQ2471" s="63"/>
      <c r="XR2471" s="60"/>
      <c r="XS2471" s="60"/>
      <c r="XT2471" s="60"/>
      <c r="XU2471" s="63"/>
      <c r="XV2471" s="61"/>
      <c r="XW2471" s="54"/>
      <c r="XX2471" s="54"/>
      <c r="XY2471" s="63"/>
      <c r="XZ2471" s="60"/>
      <c r="YA2471" s="60"/>
      <c r="YB2471" s="60"/>
      <c r="YC2471" s="63"/>
      <c r="YD2471" s="61"/>
      <c r="YE2471" s="54"/>
      <c r="YF2471" s="54"/>
      <c r="YG2471" s="63"/>
      <c r="YH2471" s="60"/>
      <c r="YI2471" s="60"/>
      <c r="YJ2471" s="60"/>
      <c r="YK2471" s="63"/>
      <c r="YL2471" s="61"/>
      <c r="YM2471" s="54"/>
      <c r="YN2471" s="54"/>
      <c r="YO2471" s="63"/>
      <c r="YP2471" s="60"/>
      <c r="YQ2471" s="60"/>
      <c r="YR2471" s="60"/>
      <c r="YS2471" s="63"/>
      <c r="YT2471" s="61"/>
      <c r="YU2471" s="54"/>
      <c r="YV2471" s="54"/>
      <c r="YW2471" s="63"/>
      <c r="YX2471" s="60"/>
      <c r="YY2471" s="60"/>
      <c r="YZ2471" s="60"/>
      <c r="ZA2471" s="63"/>
      <c r="ZB2471" s="61"/>
      <c r="ZC2471" s="54"/>
      <c r="ZD2471" s="54"/>
      <c r="ZE2471" s="63"/>
      <c r="ZF2471" s="60"/>
      <c r="ZG2471" s="60"/>
      <c r="ZH2471" s="60"/>
      <c r="ZI2471" s="63"/>
      <c r="ZJ2471" s="61"/>
      <c r="ZK2471" s="54"/>
      <c r="ZL2471" s="54"/>
      <c r="ZM2471" s="63"/>
      <c r="ZN2471" s="60"/>
      <c r="ZO2471" s="60"/>
      <c r="ZP2471" s="60"/>
      <c r="ZQ2471" s="63"/>
      <c r="ZR2471" s="61"/>
      <c r="ZS2471" s="54"/>
      <c r="ZT2471" s="54"/>
      <c r="ZU2471" s="63"/>
      <c r="ZV2471" s="60"/>
      <c r="ZW2471" s="60"/>
      <c r="ZX2471" s="60"/>
      <c r="ZY2471" s="63"/>
      <c r="ZZ2471" s="61"/>
      <c r="AAA2471" s="54"/>
      <c r="AAB2471" s="54"/>
      <c r="AAC2471" s="63"/>
      <c r="AAD2471" s="60"/>
      <c r="AAE2471" s="60"/>
      <c r="AAF2471" s="60"/>
      <c r="AAG2471" s="63"/>
      <c r="AAH2471" s="61"/>
      <c r="AAI2471" s="54"/>
      <c r="AAJ2471" s="54"/>
      <c r="AAK2471" s="63"/>
      <c r="AAL2471" s="60"/>
      <c r="AAM2471" s="60"/>
      <c r="AAN2471" s="60"/>
      <c r="AAO2471" s="63"/>
      <c r="AAP2471" s="61"/>
      <c r="AAQ2471" s="54"/>
      <c r="AAR2471" s="54"/>
      <c r="AAS2471" s="63"/>
      <c r="AAT2471" s="60"/>
      <c r="AAU2471" s="60"/>
      <c r="AAV2471" s="60"/>
      <c r="AAW2471" s="63"/>
      <c r="AAX2471" s="61"/>
      <c r="AAY2471" s="54"/>
      <c r="AAZ2471" s="54"/>
      <c r="ABA2471" s="63"/>
      <c r="ABB2471" s="60"/>
      <c r="ABC2471" s="60"/>
      <c r="ABD2471" s="60"/>
      <c r="ABE2471" s="63"/>
      <c r="ABF2471" s="61"/>
      <c r="ABG2471" s="54"/>
      <c r="ABH2471" s="54"/>
      <c r="ABI2471" s="63"/>
      <c r="ABJ2471" s="60"/>
      <c r="ABK2471" s="60"/>
      <c r="ABL2471" s="60"/>
      <c r="ABM2471" s="63"/>
      <c r="ABN2471" s="61"/>
      <c r="ABO2471" s="54"/>
      <c r="ABP2471" s="54"/>
      <c r="ABQ2471" s="63"/>
      <c r="ABR2471" s="60"/>
      <c r="ABS2471" s="60"/>
      <c r="ABT2471" s="60"/>
      <c r="ABU2471" s="63"/>
      <c r="ABV2471" s="61"/>
      <c r="ABW2471" s="54"/>
      <c r="ABX2471" s="54"/>
      <c r="ABY2471" s="63"/>
      <c r="ABZ2471" s="60"/>
      <c r="ACA2471" s="60"/>
      <c r="ACB2471" s="60"/>
      <c r="ACC2471" s="63"/>
      <c r="ACD2471" s="61"/>
      <c r="ACE2471" s="54"/>
      <c r="ACF2471" s="54"/>
      <c r="ACG2471" s="63"/>
      <c r="ACH2471" s="60"/>
      <c r="ACI2471" s="60"/>
      <c r="ACJ2471" s="60"/>
      <c r="ACK2471" s="63"/>
      <c r="ACL2471" s="61"/>
      <c r="ACM2471" s="54"/>
      <c r="ACN2471" s="54"/>
      <c r="ACO2471" s="63"/>
      <c r="ACP2471" s="60"/>
      <c r="ACQ2471" s="60"/>
      <c r="ACR2471" s="60"/>
      <c r="ACS2471" s="63"/>
      <c r="ACT2471" s="61"/>
      <c r="ACU2471" s="54"/>
      <c r="ACV2471" s="54"/>
      <c r="ACW2471" s="63"/>
      <c r="ACX2471" s="60"/>
      <c r="ACY2471" s="60"/>
      <c r="ACZ2471" s="60"/>
      <c r="ADA2471" s="63"/>
      <c r="ADB2471" s="61"/>
      <c r="ADC2471" s="54"/>
      <c r="ADD2471" s="54"/>
      <c r="ADE2471" s="63"/>
      <c r="ADF2471" s="60"/>
      <c r="ADG2471" s="60"/>
      <c r="ADH2471" s="60"/>
      <c r="ADI2471" s="63"/>
      <c r="ADJ2471" s="61"/>
      <c r="ADK2471" s="54"/>
      <c r="ADL2471" s="54"/>
      <c r="ADM2471" s="63"/>
      <c r="ADN2471" s="60"/>
      <c r="ADO2471" s="60"/>
      <c r="ADP2471" s="60"/>
      <c r="ADQ2471" s="63"/>
      <c r="ADR2471" s="61"/>
      <c r="ADS2471" s="54"/>
      <c r="ADT2471" s="54"/>
      <c r="ADU2471" s="63"/>
      <c r="ADV2471" s="60"/>
      <c r="ADW2471" s="60"/>
      <c r="ADX2471" s="60"/>
      <c r="ADY2471" s="63"/>
      <c r="ADZ2471" s="61"/>
      <c r="AEA2471" s="54"/>
      <c r="AEB2471" s="54"/>
      <c r="AEC2471" s="63"/>
      <c r="AED2471" s="60"/>
      <c r="AEE2471" s="60"/>
      <c r="AEF2471" s="60"/>
      <c r="AEG2471" s="63"/>
      <c r="AEH2471" s="61"/>
      <c r="AEI2471" s="54"/>
      <c r="AEJ2471" s="54"/>
      <c r="AEK2471" s="63"/>
      <c r="AEL2471" s="60"/>
      <c r="AEM2471" s="60"/>
      <c r="AEN2471" s="60"/>
      <c r="AEO2471" s="63"/>
      <c r="AEP2471" s="61"/>
      <c r="AEQ2471" s="54"/>
      <c r="AER2471" s="54"/>
      <c r="AES2471" s="63"/>
      <c r="AET2471" s="60"/>
      <c r="AEU2471" s="60"/>
      <c r="AEV2471" s="60"/>
      <c r="AEW2471" s="63"/>
      <c r="AEX2471" s="61"/>
      <c r="AEY2471" s="54"/>
      <c r="AEZ2471" s="54"/>
      <c r="AFA2471" s="63"/>
      <c r="AFB2471" s="60"/>
      <c r="AFC2471" s="60"/>
      <c r="AFD2471" s="60"/>
      <c r="AFE2471" s="63"/>
      <c r="AFF2471" s="61"/>
      <c r="AFG2471" s="54"/>
      <c r="AFH2471" s="54"/>
      <c r="AFI2471" s="63"/>
      <c r="AFJ2471" s="60"/>
      <c r="AFK2471" s="60"/>
      <c r="AFL2471" s="60"/>
      <c r="AFM2471" s="63"/>
      <c r="AFN2471" s="61"/>
      <c r="AFO2471" s="54"/>
      <c r="AFP2471" s="54"/>
      <c r="AFQ2471" s="63"/>
      <c r="AFR2471" s="60"/>
      <c r="AFS2471" s="60"/>
      <c r="AFT2471" s="60"/>
      <c r="AFU2471" s="63"/>
      <c r="AFV2471" s="61"/>
      <c r="AFW2471" s="54"/>
      <c r="AFX2471" s="54"/>
      <c r="AFY2471" s="63"/>
      <c r="AFZ2471" s="60"/>
      <c r="AGA2471" s="60"/>
      <c r="AGB2471" s="60"/>
      <c r="AGC2471" s="63"/>
      <c r="AGD2471" s="61"/>
      <c r="AGE2471" s="54"/>
      <c r="AGF2471" s="54"/>
      <c r="AGG2471" s="63"/>
      <c r="AGH2471" s="60"/>
      <c r="AGI2471" s="60"/>
      <c r="AGJ2471" s="60"/>
      <c r="AGK2471" s="63"/>
      <c r="AGL2471" s="61"/>
      <c r="AGM2471" s="54"/>
      <c r="AGN2471" s="54"/>
      <c r="AGO2471" s="63"/>
      <c r="AGP2471" s="60"/>
      <c r="AGQ2471" s="60"/>
      <c r="AGR2471" s="60"/>
      <c r="AGS2471" s="63"/>
      <c r="AGT2471" s="61"/>
      <c r="AGU2471" s="54"/>
      <c r="AGV2471" s="54"/>
      <c r="AGW2471" s="63"/>
      <c r="AGX2471" s="60"/>
      <c r="AGY2471" s="60"/>
      <c r="AGZ2471" s="60"/>
      <c r="AHA2471" s="63"/>
      <c r="AHB2471" s="61"/>
      <c r="AHC2471" s="54"/>
      <c r="AHD2471" s="54"/>
      <c r="AHE2471" s="63"/>
      <c r="AHF2471" s="60"/>
      <c r="AHG2471" s="60"/>
      <c r="AHH2471" s="60"/>
      <c r="AHI2471" s="63"/>
      <c r="AHJ2471" s="61"/>
      <c r="AHK2471" s="54"/>
      <c r="AHL2471" s="54"/>
      <c r="AHM2471" s="63"/>
      <c r="AHN2471" s="60"/>
      <c r="AHO2471" s="60"/>
      <c r="AHP2471" s="60"/>
      <c r="AHQ2471" s="63"/>
      <c r="AHR2471" s="61"/>
      <c r="AHS2471" s="54"/>
      <c r="AHT2471" s="54"/>
      <c r="AHU2471" s="63"/>
      <c r="AHV2471" s="60"/>
      <c r="AHW2471" s="60"/>
      <c r="AHX2471" s="60"/>
      <c r="AHY2471" s="63"/>
      <c r="AHZ2471" s="61"/>
      <c r="AIA2471" s="54"/>
      <c r="AIB2471" s="54"/>
      <c r="AIC2471" s="63"/>
      <c r="AID2471" s="60"/>
      <c r="AIE2471" s="60"/>
      <c r="AIF2471" s="60"/>
      <c r="AIG2471" s="63"/>
      <c r="AIH2471" s="61"/>
      <c r="AII2471" s="54"/>
      <c r="AIJ2471" s="54"/>
      <c r="AIK2471" s="63"/>
      <c r="AIL2471" s="60"/>
      <c r="AIM2471" s="60"/>
      <c r="AIN2471" s="60"/>
      <c r="AIO2471" s="63"/>
      <c r="AIP2471" s="61"/>
      <c r="AIQ2471" s="54"/>
      <c r="AIR2471" s="54"/>
      <c r="AIS2471" s="63"/>
      <c r="AIT2471" s="60"/>
      <c r="AIU2471" s="60"/>
      <c r="AIV2471" s="60"/>
      <c r="AIW2471" s="63"/>
      <c r="AIX2471" s="61"/>
      <c r="AIY2471" s="54"/>
      <c r="AIZ2471" s="54"/>
      <c r="AJA2471" s="63"/>
      <c r="AJB2471" s="60"/>
      <c r="AJC2471" s="60"/>
      <c r="AJD2471" s="60"/>
      <c r="AJE2471" s="63"/>
      <c r="AJF2471" s="61"/>
      <c r="AJG2471" s="54"/>
      <c r="AJH2471" s="54"/>
      <c r="AJI2471" s="63"/>
      <c r="AJJ2471" s="60"/>
      <c r="AJK2471" s="60"/>
      <c r="AJL2471" s="60"/>
      <c r="AJM2471" s="63"/>
      <c r="AJN2471" s="61"/>
      <c r="AJO2471" s="54"/>
      <c r="AJP2471" s="54"/>
      <c r="AJQ2471" s="63"/>
      <c r="AJR2471" s="60"/>
      <c r="AJS2471" s="60"/>
      <c r="AJT2471" s="60"/>
      <c r="AJU2471" s="63"/>
      <c r="AJV2471" s="61"/>
      <c r="AJW2471" s="54"/>
      <c r="AJX2471" s="54"/>
      <c r="AJY2471" s="63"/>
      <c r="AJZ2471" s="60"/>
      <c r="AKA2471" s="60"/>
      <c r="AKB2471" s="60"/>
      <c r="AKC2471" s="63"/>
      <c r="AKD2471" s="61"/>
      <c r="AKE2471" s="54"/>
      <c r="AKF2471" s="54"/>
      <c r="AKG2471" s="63"/>
      <c r="AKH2471" s="60"/>
      <c r="AKI2471" s="60"/>
      <c r="AKJ2471" s="60"/>
      <c r="AKK2471" s="63"/>
      <c r="AKL2471" s="61"/>
      <c r="AKM2471" s="54"/>
      <c r="AKN2471" s="54"/>
      <c r="AKO2471" s="63"/>
      <c r="AKP2471" s="60"/>
      <c r="AKQ2471" s="60"/>
      <c r="AKR2471" s="60"/>
      <c r="AKS2471" s="63"/>
      <c r="AKT2471" s="61"/>
      <c r="AKU2471" s="54"/>
      <c r="AKV2471" s="54"/>
      <c r="AKW2471" s="63"/>
      <c r="AKX2471" s="60"/>
      <c r="AKY2471" s="60"/>
      <c r="AKZ2471" s="60"/>
      <c r="ALA2471" s="63"/>
      <c r="ALB2471" s="61"/>
      <c r="ALC2471" s="54"/>
      <c r="ALD2471" s="54"/>
      <c r="ALE2471" s="63"/>
      <c r="ALF2471" s="60"/>
      <c r="ALG2471" s="60"/>
      <c r="ALH2471" s="60"/>
      <c r="ALI2471" s="63"/>
      <c r="ALJ2471" s="61"/>
      <c r="ALK2471" s="54"/>
      <c r="ALL2471" s="54"/>
      <c r="ALM2471" s="63"/>
      <c r="ALN2471" s="60"/>
      <c r="ALO2471" s="60"/>
      <c r="ALP2471" s="60"/>
      <c r="ALQ2471" s="63"/>
      <c r="ALR2471" s="61"/>
      <c r="ALS2471" s="54"/>
      <c r="ALT2471" s="54"/>
      <c r="ALU2471" s="63"/>
      <c r="ALV2471" s="60"/>
      <c r="ALW2471" s="60"/>
      <c r="ALX2471" s="60"/>
      <c r="ALY2471" s="63"/>
      <c r="ALZ2471" s="61"/>
      <c r="AMA2471" s="54"/>
      <c r="AMB2471" s="54"/>
      <c r="AMC2471" s="63"/>
      <c r="AMD2471" s="60"/>
      <c r="AME2471" s="60"/>
      <c r="AMF2471" s="60"/>
      <c r="AMG2471" s="63"/>
      <c r="AMH2471" s="61"/>
      <c r="AMI2471" s="54"/>
      <c r="AMJ2471" s="54"/>
      <c r="AMK2471" s="63"/>
      <c r="AML2471" s="60"/>
      <c r="AMM2471" s="60"/>
      <c r="AMN2471" s="60"/>
      <c r="AMO2471" s="63"/>
      <c r="AMP2471" s="61"/>
      <c r="AMQ2471" s="54"/>
      <c r="AMR2471" s="54"/>
      <c r="AMS2471" s="63"/>
      <c r="AMT2471" s="60"/>
      <c r="AMU2471" s="60"/>
      <c r="AMV2471" s="60"/>
      <c r="AMW2471" s="63"/>
      <c r="AMX2471" s="61"/>
      <c r="AMY2471" s="54"/>
      <c r="AMZ2471" s="54"/>
      <c r="ANA2471" s="63"/>
      <c r="ANB2471" s="60"/>
      <c r="ANC2471" s="60"/>
      <c r="AND2471" s="60"/>
      <c r="ANE2471" s="63"/>
      <c r="ANF2471" s="61"/>
      <c r="ANG2471" s="54"/>
      <c r="ANH2471" s="54"/>
      <c r="ANI2471" s="63"/>
      <c r="ANJ2471" s="60"/>
      <c r="ANK2471" s="60"/>
      <c r="ANL2471" s="60"/>
      <c r="ANM2471" s="63"/>
      <c r="ANN2471" s="61"/>
      <c r="ANO2471" s="54"/>
      <c r="ANP2471" s="54"/>
      <c r="ANQ2471" s="63"/>
      <c r="ANR2471" s="60"/>
      <c r="ANS2471" s="60"/>
      <c r="ANT2471" s="60"/>
      <c r="ANU2471" s="63"/>
      <c r="ANV2471" s="61"/>
      <c r="ANW2471" s="54"/>
      <c r="ANX2471" s="54"/>
      <c r="ANY2471" s="63"/>
      <c r="ANZ2471" s="60"/>
      <c r="AOA2471" s="60"/>
      <c r="AOB2471" s="60"/>
      <c r="AOC2471" s="63"/>
      <c r="AOD2471" s="61"/>
      <c r="AOE2471" s="54"/>
      <c r="AOF2471" s="54"/>
      <c r="AOG2471" s="63"/>
      <c r="AOH2471" s="60"/>
      <c r="AOI2471" s="60"/>
      <c r="AOJ2471" s="60"/>
      <c r="AOK2471" s="63"/>
      <c r="AOL2471" s="61"/>
      <c r="AOM2471" s="54"/>
      <c r="AON2471" s="54"/>
      <c r="AOO2471" s="63"/>
      <c r="AOP2471" s="60"/>
      <c r="AOQ2471" s="60"/>
      <c r="AOR2471" s="60"/>
      <c r="AOS2471" s="63"/>
      <c r="AOT2471" s="61"/>
      <c r="AOU2471" s="54"/>
      <c r="AOV2471" s="54"/>
      <c r="AOW2471" s="63"/>
      <c r="AOX2471" s="60"/>
      <c r="AOY2471" s="60"/>
      <c r="AOZ2471" s="60"/>
      <c r="APA2471" s="63"/>
      <c r="APB2471" s="61"/>
      <c r="APC2471" s="54"/>
      <c r="APD2471" s="54"/>
      <c r="APE2471" s="63"/>
      <c r="APF2471" s="60"/>
      <c r="APG2471" s="60"/>
      <c r="APH2471" s="60"/>
      <c r="API2471" s="63"/>
      <c r="APJ2471" s="61"/>
      <c r="APK2471" s="54"/>
      <c r="APL2471" s="54"/>
      <c r="APM2471" s="63"/>
      <c r="APN2471" s="60"/>
      <c r="APO2471" s="60"/>
      <c r="APP2471" s="60"/>
      <c r="APQ2471" s="63"/>
      <c r="APR2471" s="61"/>
      <c r="APS2471" s="54"/>
      <c r="APT2471" s="54"/>
      <c r="APU2471" s="63"/>
      <c r="APV2471" s="60"/>
      <c r="APW2471" s="60"/>
      <c r="APX2471" s="60"/>
      <c r="APY2471" s="63"/>
      <c r="APZ2471" s="61"/>
      <c r="AQA2471" s="54"/>
      <c r="AQB2471" s="54"/>
      <c r="AQC2471" s="63"/>
      <c r="AQD2471" s="60"/>
      <c r="AQE2471" s="60"/>
      <c r="AQF2471" s="60"/>
      <c r="AQG2471" s="63"/>
      <c r="AQH2471" s="61"/>
      <c r="AQI2471" s="54"/>
      <c r="AQJ2471" s="54"/>
      <c r="AQK2471" s="63"/>
      <c r="AQL2471" s="60"/>
      <c r="AQM2471" s="60"/>
      <c r="AQN2471" s="60"/>
      <c r="AQO2471" s="63"/>
      <c r="AQP2471" s="61"/>
      <c r="AQQ2471" s="54"/>
      <c r="AQR2471" s="54"/>
      <c r="AQS2471" s="63"/>
      <c r="AQT2471" s="60"/>
      <c r="AQU2471" s="60"/>
      <c r="AQV2471" s="60"/>
      <c r="AQW2471" s="63"/>
      <c r="AQX2471" s="61"/>
      <c r="AQY2471" s="54"/>
      <c r="AQZ2471" s="54"/>
      <c r="ARA2471" s="63"/>
      <c r="ARB2471" s="60"/>
      <c r="ARC2471" s="60"/>
      <c r="ARD2471" s="60"/>
      <c r="ARE2471" s="63"/>
      <c r="ARF2471" s="61"/>
      <c r="ARG2471" s="54"/>
      <c r="ARH2471" s="54"/>
      <c r="ARI2471" s="63"/>
      <c r="ARJ2471" s="60"/>
      <c r="ARK2471" s="60"/>
      <c r="ARL2471" s="60"/>
      <c r="ARM2471" s="63"/>
      <c r="ARN2471" s="61"/>
      <c r="ARO2471" s="54"/>
      <c r="ARP2471" s="54"/>
      <c r="ARQ2471" s="63"/>
      <c r="ARR2471" s="60"/>
      <c r="ARS2471" s="60"/>
      <c r="ART2471" s="60"/>
      <c r="ARU2471" s="63"/>
      <c r="ARV2471" s="61"/>
      <c r="ARW2471" s="54"/>
      <c r="ARX2471" s="54"/>
      <c r="ARY2471" s="63"/>
      <c r="ARZ2471" s="60"/>
      <c r="ASA2471" s="60"/>
      <c r="ASB2471" s="60"/>
      <c r="ASC2471" s="63"/>
      <c r="ASD2471" s="61"/>
      <c r="ASE2471" s="54"/>
      <c r="ASF2471" s="54"/>
      <c r="ASG2471" s="63"/>
      <c r="ASH2471" s="60"/>
      <c r="ASI2471" s="60"/>
      <c r="ASJ2471" s="60"/>
      <c r="ASK2471" s="63"/>
      <c r="ASL2471" s="61"/>
      <c r="ASM2471" s="54"/>
      <c r="ASN2471" s="54"/>
      <c r="ASO2471" s="63"/>
      <c r="ASP2471" s="60"/>
      <c r="ASQ2471" s="60"/>
      <c r="ASR2471" s="60"/>
      <c r="ASS2471" s="63"/>
      <c r="AST2471" s="61"/>
      <c r="ASU2471" s="54"/>
      <c r="ASV2471" s="54"/>
      <c r="ASW2471" s="63"/>
      <c r="ASX2471" s="60"/>
      <c r="ASY2471" s="60"/>
      <c r="ASZ2471" s="60"/>
      <c r="ATA2471" s="63"/>
      <c r="ATB2471" s="61"/>
      <c r="ATC2471" s="54"/>
      <c r="ATD2471" s="54"/>
      <c r="ATE2471" s="63"/>
      <c r="ATF2471" s="60"/>
      <c r="ATG2471" s="60"/>
      <c r="ATH2471" s="60"/>
      <c r="ATI2471" s="63"/>
      <c r="ATJ2471" s="61"/>
      <c r="ATK2471" s="54"/>
      <c r="ATL2471" s="54"/>
      <c r="ATM2471" s="63"/>
      <c r="ATN2471" s="60"/>
      <c r="ATO2471" s="60"/>
      <c r="ATP2471" s="60"/>
      <c r="ATQ2471" s="63"/>
      <c r="ATR2471" s="61"/>
      <c r="ATS2471" s="54"/>
      <c r="ATT2471" s="54"/>
      <c r="ATU2471" s="63"/>
      <c r="ATV2471" s="60"/>
      <c r="ATW2471" s="60"/>
      <c r="ATX2471" s="60"/>
      <c r="ATY2471" s="63"/>
      <c r="ATZ2471" s="61"/>
      <c r="AUA2471" s="54"/>
      <c r="AUB2471" s="54"/>
      <c r="AUC2471" s="63"/>
      <c r="AUD2471" s="60"/>
      <c r="AUE2471" s="60"/>
      <c r="AUF2471" s="60"/>
      <c r="AUG2471" s="63"/>
      <c r="AUH2471" s="61"/>
      <c r="AUI2471" s="54"/>
      <c r="AUJ2471" s="54"/>
      <c r="AUK2471" s="63"/>
      <c r="AUL2471" s="60"/>
      <c r="AUM2471" s="60"/>
      <c r="AUN2471" s="60"/>
      <c r="AUO2471" s="63"/>
      <c r="AUP2471" s="61"/>
      <c r="AUQ2471" s="54"/>
      <c r="AUR2471" s="54"/>
      <c r="AUS2471" s="63"/>
      <c r="AUT2471" s="60"/>
      <c r="AUU2471" s="60"/>
      <c r="AUV2471" s="60"/>
      <c r="AUW2471" s="63"/>
      <c r="AUX2471" s="61"/>
      <c r="AUY2471" s="54"/>
      <c r="AUZ2471" s="54"/>
      <c r="AVA2471" s="63"/>
      <c r="AVB2471" s="60"/>
      <c r="AVC2471" s="60"/>
      <c r="AVD2471" s="60"/>
      <c r="AVE2471" s="63"/>
      <c r="AVF2471" s="61"/>
      <c r="AVG2471" s="54"/>
      <c r="AVH2471" s="54"/>
      <c r="AVI2471" s="63"/>
      <c r="AVJ2471" s="60"/>
      <c r="AVK2471" s="60"/>
      <c r="AVL2471" s="60"/>
      <c r="AVM2471" s="63"/>
      <c r="AVN2471" s="61"/>
      <c r="AVO2471" s="54"/>
      <c r="AVP2471" s="54"/>
      <c r="AVQ2471" s="63"/>
      <c r="AVR2471" s="60"/>
      <c r="AVS2471" s="60"/>
      <c r="AVT2471" s="60"/>
      <c r="AVU2471" s="63"/>
      <c r="AVV2471" s="61"/>
      <c r="AVW2471" s="54"/>
      <c r="AVX2471" s="54"/>
      <c r="AVY2471" s="63"/>
      <c r="AVZ2471" s="60"/>
      <c r="AWA2471" s="60"/>
      <c r="AWB2471" s="60"/>
      <c r="AWC2471" s="63"/>
      <c r="AWD2471" s="61"/>
      <c r="AWE2471" s="54"/>
      <c r="AWF2471" s="54"/>
      <c r="AWG2471" s="63"/>
      <c r="AWH2471" s="60"/>
      <c r="AWI2471" s="60"/>
      <c r="AWJ2471" s="60"/>
      <c r="AWK2471" s="63"/>
      <c r="AWL2471" s="61"/>
      <c r="AWM2471" s="54"/>
      <c r="AWN2471" s="54"/>
      <c r="AWO2471" s="63"/>
      <c r="AWP2471" s="60"/>
      <c r="AWQ2471" s="60"/>
      <c r="AWR2471" s="60"/>
      <c r="AWS2471" s="63"/>
      <c r="AWT2471" s="61"/>
      <c r="AWU2471" s="54"/>
      <c r="AWV2471" s="54"/>
      <c r="AWW2471" s="63"/>
      <c r="AWX2471" s="60"/>
      <c r="AWY2471" s="60"/>
      <c r="AWZ2471" s="60"/>
      <c r="AXA2471" s="63"/>
      <c r="AXB2471" s="61"/>
      <c r="AXC2471" s="54"/>
      <c r="AXD2471" s="54"/>
      <c r="AXE2471" s="63"/>
      <c r="AXF2471" s="60"/>
      <c r="AXG2471" s="60"/>
      <c r="AXH2471" s="60"/>
      <c r="AXI2471" s="63"/>
      <c r="AXJ2471" s="61"/>
      <c r="AXK2471" s="54"/>
      <c r="AXL2471" s="54"/>
      <c r="AXM2471" s="63"/>
      <c r="AXN2471" s="60"/>
      <c r="AXO2471" s="60"/>
      <c r="AXP2471" s="60"/>
      <c r="AXQ2471" s="63"/>
      <c r="AXR2471" s="61"/>
      <c r="AXS2471" s="54"/>
      <c r="AXT2471" s="54"/>
      <c r="AXU2471" s="63"/>
      <c r="AXV2471" s="60"/>
      <c r="AXW2471" s="60"/>
      <c r="AXX2471" s="60"/>
      <c r="AXY2471" s="63"/>
      <c r="AXZ2471" s="61"/>
      <c r="AYA2471" s="54"/>
      <c r="AYB2471" s="54"/>
      <c r="AYC2471" s="63"/>
      <c r="AYD2471" s="60"/>
      <c r="AYE2471" s="60"/>
      <c r="AYF2471" s="60"/>
      <c r="AYG2471" s="63"/>
      <c r="AYH2471" s="61"/>
      <c r="AYI2471" s="54"/>
      <c r="AYJ2471" s="54"/>
      <c r="AYK2471" s="63"/>
      <c r="AYL2471" s="60"/>
      <c r="AYM2471" s="60"/>
      <c r="AYN2471" s="60"/>
      <c r="AYO2471" s="63"/>
      <c r="AYP2471" s="61"/>
      <c r="AYQ2471" s="54"/>
      <c r="AYR2471" s="54"/>
      <c r="AYS2471" s="63"/>
      <c r="AYT2471" s="60"/>
      <c r="AYU2471" s="60"/>
      <c r="AYV2471" s="60"/>
      <c r="AYW2471" s="63"/>
      <c r="AYX2471" s="61"/>
      <c r="AYY2471" s="54"/>
      <c r="AYZ2471" s="54"/>
      <c r="AZA2471" s="63"/>
      <c r="AZB2471" s="60"/>
      <c r="AZC2471" s="60"/>
      <c r="AZD2471" s="60"/>
      <c r="AZE2471" s="63"/>
      <c r="AZF2471" s="61"/>
      <c r="AZG2471" s="54"/>
      <c r="AZH2471" s="54"/>
      <c r="AZI2471" s="63"/>
      <c r="AZJ2471" s="60"/>
      <c r="AZK2471" s="60"/>
      <c r="AZL2471" s="60"/>
      <c r="AZM2471" s="63"/>
      <c r="AZN2471" s="61"/>
      <c r="AZO2471" s="54"/>
      <c r="AZP2471" s="54"/>
      <c r="AZQ2471" s="63"/>
      <c r="AZR2471" s="60"/>
      <c r="AZS2471" s="60"/>
      <c r="AZT2471" s="60"/>
      <c r="AZU2471" s="63"/>
      <c r="AZV2471" s="61"/>
      <c r="AZW2471" s="54"/>
      <c r="AZX2471" s="54"/>
      <c r="AZY2471" s="63"/>
      <c r="AZZ2471" s="60"/>
      <c r="BAA2471" s="60"/>
      <c r="BAB2471" s="60"/>
      <c r="BAC2471" s="63"/>
      <c r="BAD2471" s="61"/>
      <c r="BAE2471" s="54"/>
      <c r="BAF2471" s="54"/>
      <c r="BAG2471" s="63"/>
      <c r="BAH2471" s="60"/>
      <c r="BAI2471" s="60"/>
      <c r="BAJ2471" s="60"/>
      <c r="BAK2471" s="63"/>
      <c r="BAL2471" s="61"/>
      <c r="BAM2471" s="54"/>
      <c r="BAN2471" s="54"/>
      <c r="BAO2471" s="63"/>
      <c r="BAP2471" s="60"/>
      <c r="BAQ2471" s="60"/>
      <c r="BAR2471" s="60"/>
      <c r="BAS2471" s="63"/>
      <c r="BAT2471" s="61"/>
      <c r="BAU2471" s="54"/>
      <c r="BAV2471" s="54"/>
      <c r="BAW2471" s="63"/>
      <c r="BAX2471" s="60"/>
      <c r="BAY2471" s="60"/>
      <c r="BAZ2471" s="60"/>
      <c r="BBA2471" s="63"/>
      <c r="BBB2471" s="61"/>
      <c r="BBC2471" s="54"/>
      <c r="BBD2471" s="54"/>
      <c r="BBE2471" s="63"/>
      <c r="BBF2471" s="60"/>
      <c r="BBG2471" s="60"/>
      <c r="BBH2471" s="60"/>
      <c r="BBI2471" s="63"/>
      <c r="BBJ2471" s="61"/>
      <c r="BBK2471" s="54"/>
      <c r="BBL2471" s="54"/>
      <c r="BBM2471" s="63"/>
      <c r="BBN2471" s="60"/>
      <c r="BBO2471" s="60"/>
      <c r="BBP2471" s="60"/>
      <c r="BBQ2471" s="63"/>
      <c r="BBR2471" s="61"/>
      <c r="BBS2471" s="54"/>
      <c r="BBT2471" s="54"/>
      <c r="BBU2471" s="63"/>
      <c r="BBV2471" s="60"/>
      <c r="BBW2471" s="60"/>
      <c r="BBX2471" s="60"/>
      <c r="BBY2471" s="63"/>
      <c r="BBZ2471" s="61"/>
      <c r="BCA2471" s="54"/>
      <c r="BCB2471" s="54"/>
      <c r="BCC2471" s="63"/>
      <c r="BCD2471" s="60"/>
      <c r="BCE2471" s="60"/>
      <c r="BCF2471" s="60"/>
      <c r="BCG2471" s="63"/>
      <c r="BCH2471" s="61"/>
      <c r="BCI2471" s="54"/>
      <c r="BCJ2471" s="54"/>
      <c r="BCK2471" s="63"/>
      <c r="BCL2471" s="60"/>
      <c r="BCM2471" s="60"/>
      <c r="BCN2471" s="60"/>
      <c r="BCO2471" s="63"/>
      <c r="BCP2471" s="61"/>
      <c r="BCQ2471" s="54"/>
      <c r="BCR2471" s="54"/>
      <c r="BCS2471" s="63"/>
      <c r="BCT2471" s="60"/>
      <c r="BCU2471" s="60"/>
      <c r="BCV2471" s="60"/>
      <c r="BCW2471" s="63"/>
      <c r="BCX2471" s="61"/>
      <c r="BCY2471" s="54"/>
      <c r="BCZ2471" s="54"/>
      <c r="BDA2471" s="63"/>
      <c r="BDB2471" s="60"/>
      <c r="BDC2471" s="60"/>
      <c r="BDD2471" s="60"/>
      <c r="BDE2471" s="63"/>
      <c r="BDF2471" s="61"/>
      <c r="BDG2471" s="54"/>
      <c r="BDH2471" s="54"/>
      <c r="BDI2471" s="63"/>
      <c r="BDJ2471" s="60"/>
      <c r="BDK2471" s="60"/>
      <c r="BDL2471" s="60"/>
      <c r="BDM2471" s="63"/>
      <c r="BDN2471" s="61"/>
      <c r="BDO2471" s="54"/>
      <c r="BDP2471" s="54"/>
      <c r="BDQ2471" s="63"/>
      <c r="BDR2471" s="60"/>
      <c r="BDS2471" s="60"/>
      <c r="BDT2471" s="60"/>
      <c r="BDU2471" s="63"/>
      <c r="BDV2471" s="61"/>
      <c r="BDW2471" s="54"/>
      <c r="BDX2471" s="54"/>
      <c r="BDY2471" s="63"/>
      <c r="BDZ2471" s="60"/>
      <c r="BEA2471" s="60"/>
      <c r="BEB2471" s="60"/>
      <c r="BEC2471" s="63"/>
      <c r="BED2471" s="61"/>
      <c r="BEE2471" s="54"/>
      <c r="BEF2471" s="54"/>
      <c r="BEG2471" s="63"/>
      <c r="BEH2471" s="60"/>
      <c r="BEI2471" s="60"/>
      <c r="BEJ2471" s="60"/>
      <c r="BEK2471" s="63"/>
      <c r="BEL2471" s="61"/>
      <c r="BEM2471" s="54"/>
      <c r="BEN2471" s="54"/>
      <c r="BEO2471" s="63"/>
      <c r="BEP2471" s="60"/>
      <c r="BEQ2471" s="60"/>
      <c r="BER2471" s="60"/>
      <c r="BES2471" s="63"/>
      <c r="BET2471" s="61"/>
      <c r="BEU2471" s="54"/>
      <c r="BEV2471" s="54"/>
      <c r="BEW2471" s="63"/>
      <c r="BEX2471" s="60"/>
      <c r="BEY2471" s="60"/>
      <c r="BEZ2471" s="60"/>
      <c r="BFA2471" s="63"/>
      <c r="BFB2471" s="61"/>
      <c r="BFC2471" s="54"/>
      <c r="BFD2471" s="54"/>
      <c r="BFE2471" s="63"/>
      <c r="BFF2471" s="60"/>
      <c r="BFG2471" s="60"/>
      <c r="BFH2471" s="60"/>
      <c r="BFI2471" s="63"/>
      <c r="BFJ2471" s="61"/>
      <c r="BFK2471" s="54"/>
      <c r="BFL2471" s="54"/>
      <c r="BFM2471" s="63"/>
      <c r="BFN2471" s="60"/>
      <c r="BFO2471" s="60"/>
      <c r="BFP2471" s="60"/>
      <c r="BFQ2471" s="63"/>
      <c r="BFR2471" s="61"/>
      <c r="BFS2471" s="54"/>
      <c r="BFT2471" s="54"/>
      <c r="BFU2471" s="63"/>
      <c r="BFV2471" s="60"/>
      <c r="BFW2471" s="60"/>
      <c r="BFX2471" s="60"/>
      <c r="BFY2471" s="63"/>
      <c r="BFZ2471" s="61"/>
      <c r="BGA2471" s="54"/>
      <c r="BGB2471" s="54"/>
      <c r="BGC2471" s="63"/>
      <c r="BGD2471" s="60"/>
      <c r="BGE2471" s="60"/>
      <c r="BGF2471" s="60"/>
      <c r="BGG2471" s="63"/>
      <c r="BGH2471" s="61"/>
      <c r="BGI2471" s="54"/>
      <c r="BGJ2471" s="54"/>
      <c r="BGK2471" s="63"/>
      <c r="BGL2471" s="60"/>
      <c r="BGM2471" s="60"/>
      <c r="BGN2471" s="60"/>
      <c r="BGO2471" s="63"/>
      <c r="BGP2471" s="61"/>
      <c r="BGQ2471" s="54"/>
      <c r="BGR2471" s="54"/>
      <c r="BGS2471" s="63"/>
      <c r="BGT2471" s="60"/>
      <c r="BGU2471" s="60"/>
      <c r="BGV2471" s="60"/>
      <c r="BGW2471" s="63"/>
      <c r="BGX2471" s="61"/>
      <c r="BGY2471" s="54"/>
      <c r="BGZ2471" s="54"/>
      <c r="BHA2471" s="63"/>
      <c r="BHB2471" s="60"/>
      <c r="BHC2471" s="60"/>
      <c r="BHD2471" s="60"/>
      <c r="BHE2471" s="63"/>
      <c r="BHF2471" s="61"/>
      <c r="BHG2471" s="54"/>
      <c r="BHH2471" s="54"/>
      <c r="BHI2471" s="63"/>
      <c r="BHJ2471" s="60"/>
      <c r="BHK2471" s="60"/>
      <c r="BHL2471" s="60"/>
      <c r="BHM2471" s="63"/>
      <c r="BHN2471" s="61"/>
      <c r="BHO2471" s="54"/>
      <c r="BHP2471" s="54"/>
      <c r="BHQ2471" s="63"/>
      <c r="BHR2471" s="60"/>
      <c r="BHS2471" s="60"/>
      <c r="BHT2471" s="60"/>
      <c r="BHU2471" s="63"/>
      <c r="BHV2471" s="61"/>
      <c r="BHW2471" s="54"/>
      <c r="BHX2471" s="54"/>
      <c r="BHY2471" s="63"/>
      <c r="BHZ2471" s="60"/>
      <c r="BIA2471" s="60"/>
      <c r="BIB2471" s="60"/>
      <c r="BIC2471" s="63"/>
      <c r="BID2471" s="61"/>
      <c r="BIE2471" s="54"/>
      <c r="BIF2471" s="54"/>
      <c r="BIG2471" s="63"/>
      <c r="BIH2471" s="60"/>
      <c r="BII2471" s="60"/>
      <c r="BIJ2471" s="60"/>
      <c r="BIK2471" s="63"/>
      <c r="BIL2471" s="61"/>
      <c r="BIM2471" s="54"/>
      <c r="BIN2471" s="54"/>
      <c r="BIO2471" s="63"/>
      <c r="BIP2471" s="60"/>
      <c r="BIQ2471" s="60"/>
      <c r="BIR2471" s="60"/>
      <c r="BIS2471" s="63"/>
      <c r="BIT2471" s="61"/>
      <c r="BIU2471" s="54"/>
      <c r="BIV2471" s="54"/>
      <c r="BIW2471" s="63"/>
      <c r="BIX2471" s="60"/>
      <c r="BIY2471" s="60"/>
      <c r="BIZ2471" s="60"/>
      <c r="BJA2471" s="63"/>
      <c r="BJB2471" s="61"/>
      <c r="BJC2471" s="54"/>
      <c r="BJD2471" s="54"/>
      <c r="BJE2471" s="63"/>
      <c r="BJF2471" s="60"/>
      <c r="BJG2471" s="60"/>
      <c r="BJH2471" s="60"/>
      <c r="BJI2471" s="63"/>
      <c r="BJJ2471" s="61"/>
      <c r="BJK2471" s="54"/>
      <c r="BJL2471" s="54"/>
      <c r="BJM2471" s="63"/>
      <c r="BJN2471" s="60"/>
      <c r="BJO2471" s="60"/>
      <c r="BJP2471" s="60"/>
      <c r="BJQ2471" s="63"/>
      <c r="BJR2471" s="61"/>
      <c r="BJS2471" s="54"/>
      <c r="BJT2471" s="54"/>
      <c r="BJU2471" s="63"/>
      <c r="BJV2471" s="60"/>
      <c r="BJW2471" s="60"/>
      <c r="BJX2471" s="60"/>
      <c r="BJY2471" s="63"/>
      <c r="BJZ2471" s="61"/>
      <c r="BKA2471" s="54"/>
      <c r="BKB2471" s="54"/>
      <c r="BKC2471" s="63"/>
      <c r="BKD2471" s="60"/>
      <c r="BKE2471" s="60"/>
      <c r="BKF2471" s="60"/>
      <c r="BKG2471" s="63"/>
      <c r="BKH2471" s="61"/>
      <c r="BKI2471" s="54"/>
      <c r="BKJ2471" s="54"/>
      <c r="BKK2471" s="63"/>
      <c r="BKL2471" s="60"/>
      <c r="BKM2471" s="60"/>
      <c r="BKN2471" s="60"/>
      <c r="BKO2471" s="63"/>
      <c r="BKP2471" s="61"/>
      <c r="BKQ2471" s="54"/>
      <c r="BKR2471" s="54"/>
      <c r="BKS2471" s="63"/>
      <c r="BKT2471" s="60"/>
      <c r="BKU2471" s="60"/>
      <c r="BKV2471" s="60"/>
      <c r="BKW2471" s="63"/>
      <c r="BKX2471" s="61"/>
      <c r="BKY2471" s="54"/>
      <c r="BKZ2471" s="54"/>
      <c r="BLA2471" s="63"/>
      <c r="BLB2471" s="60"/>
      <c r="BLC2471" s="60"/>
      <c r="BLD2471" s="60"/>
      <c r="BLE2471" s="63"/>
      <c r="BLF2471" s="61"/>
      <c r="BLG2471" s="54"/>
      <c r="BLH2471" s="54"/>
      <c r="BLI2471" s="63"/>
      <c r="BLJ2471" s="60"/>
      <c r="BLK2471" s="60"/>
      <c r="BLL2471" s="60"/>
      <c r="BLM2471" s="63"/>
      <c r="BLN2471" s="61"/>
      <c r="BLO2471" s="54"/>
      <c r="BLP2471" s="54"/>
      <c r="BLQ2471" s="63"/>
      <c r="BLR2471" s="60"/>
      <c r="BLS2471" s="60"/>
      <c r="BLT2471" s="60"/>
      <c r="BLU2471" s="63"/>
      <c r="BLV2471" s="61"/>
      <c r="BLW2471" s="54"/>
      <c r="BLX2471" s="54"/>
      <c r="BLY2471" s="63"/>
      <c r="BLZ2471" s="60"/>
      <c r="BMA2471" s="60"/>
      <c r="BMB2471" s="60"/>
      <c r="BMC2471" s="63"/>
      <c r="BMD2471" s="61"/>
      <c r="BME2471" s="54"/>
      <c r="BMF2471" s="54"/>
      <c r="BMG2471" s="63"/>
      <c r="BMH2471" s="60"/>
      <c r="BMI2471" s="60"/>
      <c r="BMJ2471" s="60"/>
      <c r="BMK2471" s="63"/>
      <c r="BML2471" s="61"/>
      <c r="BMM2471" s="54"/>
      <c r="BMN2471" s="54"/>
      <c r="BMO2471" s="63"/>
      <c r="BMP2471" s="60"/>
      <c r="BMQ2471" s="60"/>
      <c r="BMR2471" s="60"/>
      <c r="BMS2471" s="63"/>
      <c r="BMT2471" s="61"/>
      <c r="BMU2471" s="54"/>
      <c r="BMV2471" s="54"/>
      <c r="BMW2471" s="63"/>
      <c r="BMX2471" s="60"/>
      <c r="BMY2471" s="60"/>
      <c r="BMZ2471" s="60"/>
      <c r="BNA2471" s="63"/>
      <c r="BNB2471" s="61"/>
      <c r="BNC2471" s="54"/>
      <c r="BND2471" s="54"/>
      <c r="BNE2471" s="63"/>
      <c r="BNF2471" s="60"/>
      <c r="BNG2471" s="60"/>
      <c r="BNH2471" s="60"/>
      <c r="BNI2471" s="63"/>
      <c r="BNJ2471" s="61"/>
      <c r="BNK2471" s="54"/>
      <c r="BNL2471" s="54"/>
      <c r="BNM2471" s="63"/>
      <c r="BNN2471" s="60"/>
      <c r="BNO2471" s="60"/>
      <c r="BNP2471" s="60"/>
      <c r="BNQ2471" s="63"/>
      <c r="BNR2471" s="61"/>
      <c r="BNS2471" s="54"/>
      <c r="BNT2471" s="54"/>
      <c r="BNU2471" s="63"/>
      <c r="BNV2471" s="60"/>
      <c r="BNW2471" s="60"/>
      <c r="BNX2471" s="60"/>
      <c r="BNY2471" s="63"/>
      <c r="BNZ2471" s="61"/>
      <c r="BOA2471" s="54"/>
      <c r="BOB2471" s="54"/>
      <c r="BOC2471" s="63"/>
      <c r="BOD2471" s="60"/>
      <c r="BOE2471" s="60"/>
      <c r="BOF2471" s="60"/>
      <c r="BOG2471" s="63"/>
      <c r="BOH2471" s="61"/>
      <c r="BOI2471" s="54"/>
      <c r="BOJ2471" s="54"/>
      <c r="BOK2471" s="63"/>
      <c r="BOL2471" s="60"/>
      <c r="BOM2471" s="60"/>
      <c r="BON2471" s="60"/>
      <c r="BOO2471" s="63"/>
      <c r="BOP2471" s="61"/>
      <c r="BOQ2471" s="54"/>
      <c r="BOR2471" s="54"/>
      <c r="BOS2471" s="63"/>
      <c r="BOT2471" s="60"/>
      <c r="BOU2471" s="60"/>
      <c r="BOV2471" s="60"/>
      <c r="BOW2471" s="63"/>
      <c r="BOX2471" s="61"/>
      <c r="BOY2471" s="54"/>
      <c r="BOZ2471" s="54"/>
      <c r="BPA2471" s="63"/>
      <c r="BPB2471" s="60"/>
      <c r="BPC2471" s="60"/>
      <c r="BPD2471" s="60"/>
      <c r="BPE2471" s="63"/>
      <c r="BPF2471" s="61"/>
      <c r="BPG2471" s="54"/>
      <c r="BPH2471" s="54"/>
      <c r="BPI2471" s="63"/>
      <c r="BPJ2471" s="60"/>
      <c r="BPK2471" s="60"/>
      <c r="BPL2471" s="60"/>
      <c r="BPM2471" s="63"/>
      <c r="BPN2471" s="61"/>
      <c r="BPO2471" s="54"/>
      <c r="BPP2471" s="54"/>
      <c r="BPQ2471" s="63"/>
      <c r="BPR2471" s="60"/>
      <c r="BPS2471" s="60"/>
      <c r="BPT2471" s="60"/>
      <c r="BPU2471" s="63"/>
      <c r="BPV2471" s="61"/>
      <c r="BPW2471" s="54"/>
      <c r="BPX2471" s="54"/>
      <c r="BPY2471" s="63"/>
      <c r="BPZ2471" s="60"/>
      <c r="BQA2471" s="60"/>
      <c r="BQB2471" s="60"/>
      <c r="BQC2471" s="63"/>
      <c r="BQD2471" s="61"/>
      <c r="BQE2471" s="54"/>
      <c r="BQF2471" s="54"/>
      <c r="BQG2471" s="63"/>
      <c r="BQH2471" s="60"/>
      <c r="BQI2471" s="60"/>
      <c r="BQJ2471" s="60"/>
      <c r="BQK2471" s="63"/>
      <c r="BQL2471" s="61"/>
      <c r="BQM2471" s="54"/>
      <c r="BQN2471" s="54"/>
      <c r="BQO2471" s="63"/>
      <c r="BQP2471" s="60"/>
      <c r="BQQ2471" s="60"/>
      <c r="BQR2471" s="60"/>
      <c r="BQS2471" s="63"/>
      <c r="BQT2471" s="61"/>
      <c r="BQU2471" s="54"/>
      <c r="BQV2471" s="54"/>
      <c r="BQW2471" s="63"/>
      <c r="BQX2471" s="60"/>
      <c r="BQY2471" s="60"/>
      <c r="BQZ2471" s="60"/>
      <c r="BRA2471" s="63"/>
      <c r="BRB2471" s="61"/>
      <c r="BRC2471" s="54"/>
      <c r="BRD2471" s="54"/>
      <c r="BRE2471" s="63"/>
      <c r="BRF2471" s="60"/>
      <c r="BRG2471" s="60"/>
      <c r="BRH2471" s="60"/>
      <c r="BRI2471" s="63"/>
      <c r="BRJ2471" s="61"/>
      <c r="BRK2471" s="54"/>
      <c r="BRL2471" s="54"/>
      <c r="BRM2471" s="63"/>
      <c r="BRN2471" s="60"/>
      <c r="BRO2471" s="60"/>
      <c r="BRP2471" s="60"/>
      <c r="BRQ2471" s="63"/>
      <c r="BRR2471" s="61"/>
      <c r="BRS2471" s="54"/>
      <c r="BRT2471" s="54"/>
      <c r="BRU2471" s="63"/>
      <c r="BRV2471" s="60"/>
      <c r="BRW2471" s="60"/>
      <c r="BRX2471" s="60"/>
      <c r="BRY2471" s="63"/>
      <c r="BRZ2471" s="61"/>
      <c r="BSA2471" s="54"/>
      <c r="BSB2471" s="54"/>
      <c r="BSC2471" s="63"/>
      <c r="BSD2471" s="60"/>
      <c r="BSE2471" s="60"/>
      <c r="BSF2471" s="60"/>
      <c r="BSG2471" s="63"/>
      <c r="BSH2471" s="61"/>
      <c r="BSI2471" s="54"/>
      <c r="BSJ2471" s="54"/>
      <c r="BSK2471" s="63"/>
      <c r="BSL2471" s="60"/>
      <c r="BSM2471" s="60"/>
      <c r="BSN2471" s="60"/>
      <c r="BSO2471" s="63"/>
      <c r="BSP2471" s="61"/>
      <c r="BSQ2471" s="54"/>
      <c r="BSR2471" s="54"/>
      <c r="BSS2471" s="63"/>
      <c r="BST2471" s="60"/>
      <c r="BSU2471" s="60"/>
      <c r="BSV2471" s="60"/>
      <c r="BSW2471" s="63"/>
      <c r="BSX2471" s="61"/>
      <c r="BSY2471" s="54"/>
      <c r="BSZ2471" s="54"/>
      <c r="BTA2471" s="63"/>
      <c r="BTB2471" s="60"/>
      <c r="BTC2471" s="60"/>
      <c r="BTD2471" s="60"/>
      <c r="BTE2471" s="63"/>
      <c r="BTF2471" s="61"/>
      <c r="BTG2471" s="54"/>
      <c r="BTH2471" s="54"/>
      <c r="BTI2471" s="63"/>
      <c r="BTJ2471" s="60"/>
      <c r="BTK2471" s="60"/>
      <c r="BTL2471" s="60"/>
      <c r="BTM2471" s="63"/>
      <c r="BTN2471" s="61"/>
      <c r="BTO2471" s="54"/>
      <c r="BTP2471" s="54"/>
      <c r="BTQ2471" s="63"/>
      <c r="BTR2471" s="60"/>
      <c r="BTS2471" s="60"/>
      <c r="BTT2471" s="60"/>
      <c r="BTU2471" s="63"/>
      <c r="BTV2471" s="61"/>
      <c r="BTW2471" s="54"/>
      <c r="BTX2471" s="54"/>
      <c r="BTY2471" s="63"/>
      <c r="BTZ2471" s="60"/>
      <c r="BUA2471" s="60"/>
      <c r="BUB2471" s="60"/>
      <c r="BUC2471" s="63"/>
      <c r="BUD2471" s="61"/>
      <c r="BUE2471" s="54"/>
      <c r="BUF2471" s="54"/>
      <c r="BUG2471" s="63"/>
      <c r="BUH2471" s="60"/>
      <c r="BUI2471" s="60"/>
      <c r="BUJ2471" s="60"/>
      <c r="BUK2471" s="63"/>
      <c r="BUL2471" s="61"/>
      <c r="BUM2471" s="54"/>
      <c r="BUN2471" s="54"/>
      <c r="BUO2471" s="63"/>
      <c r="BUP2471" s="60"/>
      <c r="BUQ2471" s="60"/>
      <c r="BUR2471" s="60"/>
      <c r="BUS2471" s="63"/>
      <c r="BUT2471" s="61"/>
      <c r="BUU2471" s="54"/>
      <c r="BUV2471" s="54"/>
      <c r="BUW2471" s="63"/>
      <c r="BUX2471" s="60"/>
      <c r="BUY2471" s="60"/>
      <c r="BUZ2471" s="60"/>
      <c r="BVA2471" s="63"/>
      <c r="BVB2471" s="61"/>
      <c r="BVC2471" s="54"/>
      <c r="BVD2471" s="54"/>
      <c r="BVE2471" s="63"/>
      <c r="BVF2471" s="60"/>
      <c r="BVG2471" s="60"/>
      <c r="BVH2471" s="60"/>
      <c r="BVI2471" s="63"/>
      <c r="BVJ2471" s="61"/>
      <c r="BVK2471" s="54"/>
      <c r="BVL2471" s="54"/>
      <c r="BVM2471" s="63"/>
      <c r="BVN2471" s="60"/>
      <c r="BVO2471" s="60"/>
      <c r="BVP2471" s="60"/>
      <c r="BVQ2471" s="63"/>
      <c r="BVR2471" s="61"/>
      <c r="BVS2471" s="54"/>
      <c r="BVT2471" s="54"/>
      <c r="BVU2471" s="63"/>
      <c r="BVV2471" s="60"/>
      <c r="BVW2471" s="60"/>
      <c r="BVX2471" s="60"/>
      <c r="BVY2471" s="63"/>
      <c r="BVZ2471" s="61"/>
      <c r="BWA2471" s="54"/>
      <c r="BWB2471" s="54"/>
      <c r="BWC2471" s="63"/>
      <c r="BWD2471" s="60"/>
      <c r="BWE2471" s="60"/>
      <c r="BWF2471" s="60"/>
      <c r="BWG2471" s="63"/>
      <c r="BWH2471" s="61"/>
      <c r="BWI2471" s="54"/>
      <c r="BWJ2471" s="54"/>
      <c r="BWK2471" s="63"/>
      <c r="BWL2471" s="60"/>
      <c r="BWM2471" s="60"/>
      <c r="BWN2471" s="60"/>
      <c r="BWO2471" s="63"/>
      <c r="BWP2471" s="61"/>
      <c r="BWQ2471" s="54"/>
      <c r="BWR2471" s="54"/>
      <c r="BWS2471" s="63"/>
      <c r="BWT2471" s="60"/>
      <c r="BWU2471" s="60"/>
      <c r="BWV2471" s="60"/>
      <c r="BWW2471" s="63"/>
      <c r="BWX2471" s="61"/>
      <c r="BWY2471" s="54"/>
      <c r="BWZ2471" s="54"/>
      <c r="BXA2471" s="63"/>
      <c r="BXB2471" s="60"/>
      <c r="BXC2471" s="60"/>
      <c r="BXD2471" s="60"/>
      <c r="BXE2471" s="63"/>
      <c r="BXF2471" s="61"/>
      <c r="BXG2471" s="54"/>
      <c r="BXH2471" s="54"/>
      <c r="BXI2471" s="63"/>
      <c r="BXJ2471" s="60"/>
      <c r="BXK2471" s="60"/>
      <c r="BXL2471" s="60"/>
      <c r="BXM2471" s="63"/>
      <c r="BXN2471" s="61"/>
      <c r="BXO2471" s="54"/>
      <c r="BXP2471" s="54"/>
      <c r="BXQ2471" s="63"/>
      <c r="BXR2471" s="60"/>
      <c r="BXS2471" s="60"/>
      <c r="BXT2471" s="60"/>
      <c r="BXU2471" s="63"/>
      <c r="BXV2471" s="61"/>
      <c r="BXW2471" s="54"/>
      <c r="BXX2471" s="54"/>
      <c r="BXY2471" s="63"/>
      <c r="BXZ2471" s="60"/>
      <c r="BYA2471" s="60"/>
      <c r="BYB2471" s="60"/>
      <c r="BYC2471" s="63"/>
      <c r="BYD2471" s="61"/>
      <c r="BYE2471" s="54"/>
      <c r="BYF2471" s="54"/>
      <c r="BYG2471" s="63"/>
      <c r="BYH2471" s="60"/>
      <c r="BYI2471" s="60"/>
      <c r="BYJ2471" s="60"/>
      <c r="BYK2471" s="63"/>
      <c r="BYL2471" s="61"/>
      <c r="BYM2471" s="54"/>
      <c r="BYN2471" s="54"/>
      <c r="BYO2471" s="63"/>
      <c r="BYP2471" s="60"/>
      <c r="BYQ2471" s="60"/>
      <c r="BYR2471" s="60"/>
      <c r="BYS2471" s="63"/>
      <c r="BYT2471" s="61"/>
      <c r="BYU2471" s="54"/>
      <c r="BYV2471" s="54"/>
      <c r="BYW2471" s="63"/>
      <c r="BYX2471" s="60"/>
      <c r="BYY2471" s="60"/>
      <c r="BYZ2471" s="60"/>
      <c r="BZA2471" s="63"/>
      <c r="BZB2471" s="61"/>
      <c r="BZC2471" s="54"/>
      <c r="BZD2471" s="54"/>
      <c r="BZE2471" s="63"/>
      <c r="BZF2471" s="60"/>
      <c r="BZG2471" s="60"/>
      <c r="BZH2471" s="60"/>
      <c r="BZI2471" s="63"/>
      <c r="BZJ2471" s="61"/>
      <c r="BZK2471" s="54"/>
      <c r="BZL2471" s="54"/>
      <c r="BZM2471" s="63"/>
      <c r="BZN2471" s="60"/>
      <c r="BZO2471" s="60"/>
      <c r="BZP2471" s="60"/>
      <c r="BZQ2471" s="63"/>
      <c r="BZR2471" s="61"/>
      <c r="BZS2471" s="54"/>
      <c r="BZT2471" s="54"/>
      <c r="BZU2471" s="63"/>
      <c r="BZV2471" s="60"/>
      <c r="BZW2471" s="60"/>
      <c r="BZX2471" s="60"/>
      <c r="BZY2471" s="63"/>
      <c r="BZZ2471" s="61"/>
      <c r="CAA2471" s="54"/>
      <c r="CAB2471" s="54"/>
      <c r="CAC2471" s="63"/>
      <c r="CAD2471" s="60"/>
      <c r="CAE2471" s="60"/>
      <c r="CAF2471" s="60"/>
      <c r="CAG2471" s="63"/>
      <c r="CAH2471" s="61"/>
      <c r="CAI2471" s="54"/>
      <c r="CAJ2471" s="54"/>
      <c r="CAK2471" s="63"/>
      <c r="CAL2471" s="60"/>
      <c r="CAM2471" s="60"/>
      <c r="CAN2471" s="60"/>
      <c r="CAO2471" s="63"/>
      <c r="CAP2471" s="61"/>
      <c r="CAQ2471" s="54"/>
      <c r="CAR2471" s="54"/>
      <c r="CAS2471" s="63"/>
      <c r="CAT2471" s="60"/>
      <c r="CAU2471" s="60"/>
      <c r="CAV2471" s="60"/>
      <c r="CAW2471" s="63"/>
      <c r="CAX2471" s="61"/>
      <c r="CAY2471" s="54"/>
      <c r="CAZ2471" s="54"/>
      <c r="CBA2471" s="63"/>
      <c r="CBB2471" s="60"/>
      <c r="CBC2471" s="60"/>
      <c r="CBD2471" s="60"/>
      <c r="CBE2471" s="63"/>
      <c r="CBF2471" s="61"/>
      <c r="CBG2471" s="54"/>
      <c r="CBH2471" s="54"/>
      <c r="CBI2471" s="63"/>
      <c r="CBJ2471" s="60"/>
      <c r="CBK2471" s="60"/>
      <c r="CBL2471" s="60"/>
      <c r="CBM2471" s="63"/>
      <c r="CBN2471" s="61"/>
      <c r="CBO2471" s="54"/>
      <c r="CBP2471" s="54"/>
      <c r="CBQ2471" s="63"/>
      <c r="CBR2471" s="60"/>
      <c r="CBS2471" s="60"/>
      <c r="CBT2471" s="60"/>
      <c r="CBU2471" s="63"/>
      <c r="CBV2471" s="61"/>
      <c r="CBW2471" s="54"/>
      <c r="CBX2471" s="54"/>
      <c r="CBY2471" s="63"/>
      <c r="CBZ2471" s="60"/>
      <c r="CCA2471" s="60"/>
      <c r="CCB2471" s="60"/>
      <c r="CCC2471" s="63"/>
      <c r="CCD2471" s="61"/>
      <c r="CCE2471" s="54"/>
      <c r="CCF2471" s="54"/>
      <c r="CCG2471" s="63"/>
      <c r="CCH2471" s="60"/>
      <c r="CCI2471" s="60"/>
      <c r="CCJ2471" s="60"/>
      <c r="CCK2471" s="63"/>
      <c r="CCL2471" s="61"/>
      <c r="CCM2471" s="54"/>
      <c r="CCN2471" s="54"/>
      <c r="CCO2471" s="63"/>
      <c r="CCP2471" s="60"/>
      <c r="CCQ2471" s="60"/>
      <c r="CCR2471" s="60"/>
      <c r="CCS2471" s="63"/>
      <c r="CCT2471" s="61"/>
      <c r="CCU2471" s="54"/>
      <c r="CCV2471" s="54"/>
      <c r="CCW2471" s="63"/>
      <c r="CCX2471" s="60"/>
      <c r="CCY2471" s="60"/>
      <c r="CCZ2471" s="60"/>
      <c r="CDA2471" s="63"/>
      <c r="CDB2471" s="61"/>
      <c r="CDC2471" s="54"/>
      <c r="CDD2471" s="54"/>
      <c r="CDE2471" s="63"/>
      <c r="CDF2471" s="60"/>
      <c r="CDG2471" s="60"/>
      <c r="CDH2471" s="60"/>
      <c r="CDI2471" s="63"/>
      <c r="CDJ2471" s="61"/>
      <c r="CDK2471" s="54"/>
      <c r="CDL2471" s="54"/>
      <c r="CDM2471" s="63"/>
      <c r="CDN2471" s="60"/>
      <c r="CDO2471" s="60"/>
      <c r="CDP2471" s="60"/>
      <c r="CDQ2471" s="63"/>
      <c r="CDR2471" s="61"/>
      <c r="CDS2471" s="54"/>
      <c r="CDT2471" s="54"/>
      <c r="CDU2471" s="63"/>
      <c r="CDV2471" s="60"/>
      <c r="CDW2471" s="60"/>
      <c r="CDX2471" s="60"/>
      <c r="CDY2471" s="63"/>
      <c r="CDZ2471" s="61"/>
      <c r="CEA2471" s="54"/>
      <c r="CEB2471" s="54"/>
      <c r="CEC2471" s="63"/>
      <c r="CED2471" s="60"/>
      <c r="CEE2471" s="60"/>
      <c r="CEF2471" s="60"/>
      <c r="CEG2471" s="63"/>
      <c r="CEH2471" s="61"/>
      <c r="CEI2471" s="54"/>
      <c r="CEJ2471" s="54"/>
      <c r="CEK2471" s="63"/>
      <c r="CEL2471" s="60"/>
      <c r="CEM2471" s="60"/>
      <c r="CEN2471" s="60"/>
      <c r="CEO2471" s="63"/>
      <c r="CEP2471" s="61"/>
      <c r="CEQ2471" s="54"/>
      <c r="CER2471" s="54"/>
      <c r="CES2471" s="63"/>
      <c r="CET2471" s="60"/>
      <c r="CEU2471" s="60"/>
      <c r="CEV2471" s="60"/>
      <c r="CEW2471" s="63"/>
      <c r="CEX2471" s="61"/>
      <c r="CEY2471" s="54"/>
      <c r="CEZ2471" s="54"/>
      <c r="CFA2471" s="63"/>
      <c r="CFB2471" s="60"/>
      <c r="CFC2471" s="60"/>
      <c r="CFD2471" s="60"/>
      <c r="CFE2471" s="63"/>
      <c r="CFF2471" s="61"/>
      <c r="CFG2471" s="54"/>
      <c r="CFH2471" s="54"/>
      <c r="CFI2471" s="63"/>
      <c r="CFJ2471" s="60"/>
      <c r="CFK2471" s="60"/>
      <c r="CFL2471" s="60"/>
      <c r="CFM2471" s="63"/>
      <c r="CFN2471" s="61"/>
      <c r="CFO2471" s="54"/>
      <c r="CFP2471" s="54"/>
      <c r="CFQ2471" s="63"/>
      <c r="CFR2471" s="60"/>
      <c r="CFS2471" s="60"/>
      <c r="CFT2471" s="60"/>
      <c r="CFU2471" s="63"/>
      <c r="CFV2471" s="61"/>
      <c r="CFW2471" s="54"/>
      <c r="CFX2471" s="54"/>
      <c r="CFY2471" s="63"/>
      <c r="CFZ2471" s="60"/>
      <c r="CGA2471" s="60"/>
      <c r="CGB2471" s="60"/>
      <c r="CGC2471" s="63"/>
      <c r="CGD2471" s="61"/>
      <c r="CGE2471" s="54"/>
      <c r="CGF2471" s="54"/>
      <c r="CGG2471" s="63"/>
      <c r="CGH2471" s="60"/>
      <c r="CGI2471" s="60"/>
      <c r="CGJ2471" s="60"/>
      <c r="CGK2471" s="63"/>
      <c r="CGL2471" s="61"/>
      <c r="CGM2471" s="54"/>
      <c r="CGN2471" s="54"/>
      <c r="CGO2471" s="63"/>
      <c r="CGP2471" s="60"/>
      <c r="CGQ2471" s="60"/>
      <c r="CGR2471" s="60"/>
      <c r="CGS2471" s="63"/>
      <c r="CGT2471" s="61"/>
      <c r="CGU2471" s="54"/>
      <c r="CGV2471" s="54"/>
      <c r="CGW2471" s="63"/>
      <c r="CGX2471" s="60"/>
      <c r="CGY2471" s="60"/>
      <c r="CGZ2471" s="60"/>
      <c r="CHA2471" s="63"/>
      <c r="CHB2471" s="61"/>
      <c r="CHC2471" s="54"/>
      <c r="CHD2471" s="54"/>
      <c r="CHE2471" s="63"/>
      <c r="CHF2471" s="60"/>
      <c r="CHG2471" s="60"/>
      <c r="CHH2471" s="60"/>
      <c r="CHI2471" s="63"/>
      <c r="CHJ2471" s="61"/>
      <c r="CHK2471" s="54"/>
      <c r="CHL2471" s="54"/>
      <c r="CHM2471" s="63"/>
      <c r="CHN2471" s="60"/>
      <c r="CHO2471" s="60"/>
      <c r="CHP2471" s="60"/>
      <c r="CHQ2471" s="63"/>
      <c r="CHR2471" s="61"/>
      <c r="CHS2471" s="54"/>
      <c r="CHT2471" s="54"/>
      <c r="CHU2471" s="63"/>
      <c r="CHV2471" s="60"/>
      <c r="CHW2471" s="60"/>
      <c r="CHX2471" s="60"/>
      <c r="CHY2471" s="63"/>
      <c r="CHZ2471" s="61"/>
      <c r="CIA2471" s="54"/>
      <c r="CIB2471" s="54"/>
      <c r="CIC2471" s="63"/>
      <c r="CID2471" s="60"/>
      <c r="CIE2471" s="60"/>
      <c r="CIF2471" s="60"/>
      <c r="CIG2471" s="63"/>
      <c r="CIH2471" s="61"/>
      <c r="CII2471" s="54"/>
      <c r="CIJ2471" s="54"/>
      <c r="CIK2471" s="63"/>
      <c r="CIL2471" s="60"/>
      <c r="CIM2471" s="60"/>
      <c r="CIN2471" s="60"/>
      <c r="CIO2471" s="63"/>
      <c r="CIP2471" s="61"/>
      <c r="CIQ2471" s="54"/>
      <c r="CIR2471" s="54"/>
      <c r="CIS2471" s="63"/>
      <c r="CIT2471" s="60"/>
      <c r="CIU2471" s="60"/>
      <c r="CIV2471" s="60"/>
      <c r="CIW2471" s="63"/>
      <c r="CIX2471" s="61"/>
      <c r="CIY2471" s="54"/>
      <c r="CIZ2471" s="54"/>
      <c r="CJA2471" s="63"/>
      <c r="CJB2471" s="60"/>
      <c r="CJC2471" s="60"/>
      <c r="CJD2471" s="60"/>
      <c r="CJE2471" s="63"/>
      <c r="CJF2471" s="61"/>
      <c r="CJG2471" s="54"/>
      <c r="CJH2471" s="54"/>
      <c r="CJI2471" s="63"/>
      <c r="CJJ2471" s="60"/>
      <c r="CJK2471" s="60"/>
      <c r="CJL2471" s="60"/>
      <c r="CJM2471" s="63"/>
      <c r="CJN2471" s="61"/>
      <c r="CJO2471" s="54"/>
      <c r="CJP2471" s="54"/>
      <c r="CJQ2471" s="63"/>
      <c r="CJR2471" s="60"/>
      <c r="CJS2471" s="60"/>
      <c r="CJT2471" s="60"/>
      <c r="CJU2471" s="63"/>
      <c r="CJV2471" s="61"/>
      <c r="CJW2471" s="54"/>
      <c r="CJX2471" s="54"/>
      <c r="CJY2471" s="63"/>
      <c r="CJZ2471" s="60"/>
      <c r="CKA2471" s="60"/>
      <c r="CKB2471" s="60"/>
      <c r="CKC2471" s="63"/>
      <c r="CKD2471" s="61"/>
      <c r="CKE2471" s="54"/>
      <c r="CKF2471" s="54"/>
      <c r="CKG2471" s="63"/>
      <c r="CKH2471" s="60"/>
      <c r="CKI2471" s="60"/>
      <c r="CKJ2471" s="60"/>
      <c r="CKK2471" s="63"/>
      <c r="CKL2471" s="61"/>
      <c r="CKM2471" s="54"/>
      <c r="CKN2471" s="54"/>
      <c r="CKO2471" s="63"/>
      <c r="CKP2471" s="60"/>
      <c r="CKQ2471" s="60"/>
      <c r="CKR2471" s="60"/>
      <c r="CKS2471" s="63"/>
      <c r="CKT2471" s="61"/>
      <c r="CKU2471" s="54"/>
      <c r="CKV2471" s="54"/>
      <c r="CKW2471" s="63"/>
      <c r="CKX2471" s="60"/>
      <c r="CKY2471" s="60"/>
      <c r="CKZ2471" s="60"/>
      <c r="CLA2471" s="63"/>
      <c r="CLB2471" s="61"/>
      <c r="CLC2471" s="54"/>
      <c r="CLD2471" s="54"/>
      <c r="CLE2471" s="63"/>
      <c r="CLF2471" s="60"/>
      <c r="CLG2471" s="60"/>
      <c r="CLH2471" s="60"/>
      <c r="CLI2471" s="63"/>
      <c r="CLJ2471" s="61"/>
      <c r="CLK2471" s="54"/>
      <c r="CLL2471" s="54"/>
      <c r="CLM2471" s="63"/>
      <c r="CLN2471" s="60"/>
      <c r="CLO2471" s="60"/>
      <c r="CLP2471" s="60"/>
      <c r="CLQ2471" s="63"/>
      <c r="CLR2471" s="61"/>
      <c r="CLS2471" s="54"/>
      <c r="CLT2471" s="54"/>
      <c r="CLU2471" s="63"/>
      <c r="CLV2471" s="60"/>
      <c r="CLW2471" s="60"/>
      <c r="CLX2471" s="60"/>
      <c r="CLY2471" s="63"/>
      <c r="CLZ2471" s="61"/>
      <c r="CMA2471" s="54"/>
      <c r="CMB2471" s="54"/>
      <c r="CMC2471" s="63"/>
      <c r="CMD2471" s="60"/>
      <c r="CME2471" s="60"/>
      <c r="CMF2471" s="60"/>
      <c r="CMG2471" s="63"/>
      <c r="CMH2471" s="61"/>
      <c r="CMI2471" s="54"/>
      <c r="CMJ2471" s="54"/>
      <c r="CMK2471" s="63"/>
      <c r="CML2471" s="60"/>
      <c r="CMM2471" s="60"/>
      <c r="CMN2471" s="60"/>
      <c r="CMO2471" s="63"/>
      <c r="CMP2471" s="61"/>
      <c r="CMQ2471" s="54"/>
      <c r="CMR2471" s="54"/>
      <c r="CMS2471" s="63"/>
      <c r="CMT2471" s="60"/>
      <c r="CMU2471" s="60"/>
      <c r="CMV2471" s="60"/>
      <c r="CMW2471" s="63"/>
      <c r="CMX2471" s="61"/>
      <c r="CMY2471" s="54"/>
      <c r="CMZ2471" s="54"/>
      <c r="CNA2471" s="63"/>
      <c r="CNB2471" s="60"/>
      <c r="CNC2471" s="60"/>
      <c r="CND2471" s="60"/>
      <c r="CNE2471" s="63"/>
      <c r="CNF2471" s="61"/>
      <c r="CNG2471" s="54"/>
      <c r="CNH2471" s="54"/>
      <c r="CNI2471" s="63"/>
      <c r="CNJ2471" s="60"/>
      <c r="CNK2471" s="60"/>
      <c r="CNL2471" s="60"/>
      <c r="CNM2471" s="63"/>
      <c r="CNN2471" s="61"/>
      <c r="CNO2471" s="54"/>
      <c r="CNP2471" s="54"/>
      <c r="CNQ2471" s="63"/>
      <c r="CNR2471" s="60"/>
      <c r="CNS2471" s="60"/>
      <c r="CNT2471" s="60"/>
      <c r="CNU2471" s="63"/>
      <c r="CNV2471" s="61"/>
      <c r="CNW2471" s="54"/>
      <c r="CNX2471" s="54"/>
      <c r="CNY2471" s="63"/>
      <c r="CNZ2471" s="60"/>
      <c r="COA2471" s="60"/>
      <c r="COB2471" s="60"/>
      <c r="COC2471" s="63"/>
      <c r="COD2471" s="61"/>
      <c r="COE2471" s="54"/>
      <c r="COF2471" s="54"/>
      <c r="COG2471" s="63"/>
      <c r="COH2471" s="60"/>
      <c r="COI2471" s="60"/>
      <c r="COJ2471" s="60"/>
      <c r="COK2471" s="63"/>
      <c r="COL2471" s="61"/>
      <c r="COM2471" s="54"/>
      <c r="CON2471" s="54"/>
      <c r="COO2471" s="63"/>
      <c r="COP2471" s="60"/>
      <c r="COQ2471" s="60"/>
      <c r="COR2471" s="60"/>
      <c r="COS2471" s="63"/>
      <c r="COT2471" s="61"/>
      <c r="COU2471" s="54"/>
      <c r="COV2471" s="54"/>
      <c r="COW2471" s="63"/>
      <c r="COX2471" s="60"/>
      <c r="COY2471" s="60"/>
      <c r="COZ2471" s="60"/>
      <c r="CPA2471" s="63"/>
      <c r="CPB2471" s="61"/>
      <c r="CPC2471" s="54"/>
      <c r="CPD2471" s="54"/>
      <c r="CPE2471" s="63"/>
      <c r="CPF2471" s="60"/>
      <c r="CPG2471" s="60"/>
      <c r="CPH2471" s="60"/>
      <c r="CPI2471" s="63"/>
      <c r="CPJ2471" s="61"/>
      <c r="CPK2471" s="54"/>
      <c r="CPL2471" s="54"/>
      <c r="CPM2471" s="63"/>
      <c r="CPN2471" s="60"/>
      <c r="CPO2471" s="60"/>
      <c r="CPP2471" s="60"/>
      <c r="CPQ2471" s="63"/>
      <c r="CPR2471" s="61"/>
      <c r="CPS2471" s="54"/>
      <c r="CPT2471" s="54"/>
      <c r="CPU2471" s="63"/>
      <c r="CPV2471" s="60"/>
      <c r="CPW2471" s="60"/>
      <c r="CPX2471" s="60"/>
      <c r="CPY2471" s="63"/>
      <c r="CPZ2471" s="61"/>
      <c r="CQA2471" s="54"/>
      <c r="CQB2471" s="54"/>
      <c r="CQC2471" s="63"/>
      <c r="CQD2471" s="60"/>
      <c r="CQE2471" s="60"/>
      <c r="CQF2471" s="60"/>
      <c r="CQG2471" s="63"/>
      <c r="CQH2471" s="61"/>
      <c r="CQI2471" s="54"/>
      <c r="CQJ2471" s="54"/>
      <c r="CQK2471" s="63"/>
      <c r="CQL2471" s="60"/>
      <c r="CQM2471" s="60"/>
      <c r="CQN2471" s="60"/>
      <c r="CQO2471" s="63"/>
      <c r="CQP2471" s="61"/>
      <c r="CQQ2471" s="54"/>
      <c r="CQR2471" s="54"/>
      <c r="CQS2471" s="63"/>
      <c r="CQT2471" s="60"/>
      <c r="CQU2471" s="60"/>
      <c r="CQV2471" s="60"/>
      <c r="CQW2471" s="63"/>
      <c r="CQX2471" s="61"/>
      <c r="CQY2471" s="54"/>
      <c r="CQZ2471" s="54"/>
      <c r="CRA2471" s="63"/>
      <c r="CRB2471" s="60"/>
      <c r="CRC2471" s="60"/>
      <c r="CRD2471" s="60"/>
      <c r="CRE2471" s="63"/>
      <c r="CRF2471" s="61"/>
      <c r="CRG2471" s="54"/>
      <c r="CRH2471" s="54"/>
      <c r="CRI2471" s="63"/>
      <c r="CRJ2471" s="60"/>
      <c r="CRK2471" s="60"/>
      <c r="CRL2471" s="60"/>
      <c r="CRM2471" s="63"/>
      <c r="CRN2471" s="61"/>
      <c r="CRO2471" s="54"/>
      <c r="CRP2471" s="54"/>
      <c r="CRQ2471" s="63"/>
      <c r="CRR2471" s="60"/>
      <c r="CRS2471" s="60"/>
      <c r="CRT2471" s="60"/>
      <c r="CRU2471" s="63"/>
      <c r="CRV2471" s="61"/>
      <c r="CRW2471" s="54"/>
      <c r="CRX2471" s="54"/>
      <c r="CRY2471" s="63"/>
      <c r="CRZ2471" s="60"/>
      <c r="CSA2471" s="60"/>
      <c r="CSB2471" s="60"/>
      <c r="CSC2471" s="63"/>
      <c r="CSD2471" s="61"/>
      <c r="CSE2471" s="54"/>
      <c r="CSF2471" s="54"/>
      <c r="CSG2471" s="63"/>
      <c r="CSH2471" s="60"/>
      <c r="CSI2471" s="60"/>
      <c r="CSJ2471" s="60"/>
      <c r="CSK2471" s="63"/>
      <c r="CSL2471" s="61"/>
      <c r="CSM2471" s="54"/>
      <c r="CSN2471" s="54"/>
      <c r="CSO2471" s="63"/>
      <c r="CSP2471" s="60"/>
      <c r="CSQ2471" s="60"/>
      <c r="CSR2471" s="60"/>
      <c r="CSS2471" s="63"/>
      <c r="CST2471" s="61"/>
      <c r="CSU2471" s="54"/>
      <c r="CSV2471" s="54"/>
      <c r="CSW2471" s="63"/>
      <c r="CSX2471" s="60"/>
      <c r="CSY2471" s="60"/>
      <c r="CSZ2471" s="60"/>
      <c r="CTA2471" s="63"/>
      <c r="CTB2471" s="61"/>
      <c r="CTC2471" s="54"/>
      <c r="CTD2471" s="54"/>
      <c r="CTE2471" s="63"/>
      <c r="CTF2471" s="60"/>
      <c r="CTG2471" s="60"/>
      <c r="CTH2471" s="60"/>
      <c r="CTI2471" s="63"/>
      <c r="CTJ2471" s="61"/>
      <c r="CTK2471" s="54"/>
      <c r="CTL2471" s="54"/>
      <c r="CTM2471" s="63"/>
      <c r="CTN2471" s="60"/>
      <c r="CTO2471" s="60"/>
      <c r="CTP2471" s="60"/>
      <c r="CTQ2471" s="63"/>
      <c r="CTR2471" s="61"/>
      <c r="CTS2471" s="54"/>
      <c r="CTT2471" s="54"/>
      <c r="CTU2471" s="63"/>
      <c r="CTV2471" s="60"/>
      <c r="CTW2471" s="60"/>
      <c r="CTX2471" s="60"/>
      <c r="CTY2471" s="63"/>
      <c r="CTZ2471" s="61"/>
      <c r="CUA2471" s="54"/>
      <c r="CUB2471" s="54"/>
      <c r="CUC2471" s="63"/>
      <c r="CUD2471" s="60"/>
      <c r="CUE2471" s="60"/>
      <c r="CUF2471" s="60"/>
      <c r="CUG2471" s="63"/>
      <c r="CUH2471" s="61"/>
      <c r="CUI2471" s="54"/>
      <c r="CUJ2471" s="54"/>
      <c r="CUK2471" s="63"/>
      <c r="CUL2471" s="60"/>
      <c r="CUM2471" s="60"/>
      <c r="CUN2471" s="60"/>
      <c r="CUO2471" s="63"/>
      <c r="CUP2471" s="61"/>
      <c r="CUQ2471" s="54"/>
      <c r="CUR2471" s="54"/>
      <c r="CUS2471" s="63"/>
      <c r="CUT2471" s="60"/>
      <c r="CUU2471" s="60"/>
      <c r="CUV2471" s="60"/>
      <c r="CUW2471" s="63"/>
      <c r="CUX2471" s="61"/>
      <c r="CUY2471" s="54"/>
      <c r="CUZ2471" s="54"/>
      <c r="CVA2471" s="63"/>
      <c r="CVB2471" s="60"/>
      <c r="CVC2471" s="60"/>
      <c r="CVD2471" s="60"/>
      <c r="CVE2471" s="63"/>
      <c r="CVF2471" s="61"/>
      <c r="CVG2471" s="54"/>
      <c r="CVH2471" s="54"/>
      <c r="CVI2471" s="63"/>
      <c r="CVJ2471" s="60"/>
      <c r="CVK2471" s="60"/>
      <c r="CVL2471" s="60"/>
      <c r="CVM2471" s="63"/>
      <c r="CVN2471" s="61"/>
      <c r="CVO2471" s="54"/>
      <c r="CVP2471" s="54"/>
      <c r="CVQ2471" s="63"/>
      <c r="CVR2471" s="60"/>
      <c r="CVS2471" s="60"/>
      <c r="CVT2471" s="60"/>
      <c r="CVU2471" s="63"/>
      <c r="CVV2471" s="61"/>
      <c r="CVW2471" s="54"/>
      <c r="CVX2471" s="54"/>
      <c r="CVY2471" s="63"/>
      <c r="CVZ2471" s="60"/>
      <c r="CWA2471" s="60"/>
      <c r="CWB2471" s="60"/>
      <c r="CWC2471" s="63"/>
      <c r="CWD2471" s="61"/>
      <c r="CWE2471" s="54"/>
      <c r="CWF2471" s="54"/>
      <c r="CWG2471" s="63"/>
      <c r="CWH2471" s="60"/>
      <c r="CWI2471" s="60"/>
      <c r="CWJ2471" s="60"/>
      <c r="CWK2471" s="63"/>
      <c r="CWL2471" s="61"/>
      <c r="CWM2471" s="54"/>
      <c r="CWN2471" s="54"/>
      <c r="CWO2471" s="63"/>
      <c r="CWP2471" s="60"/>
      <c r="CWQ2471" s="60"/>
      <c r="CWR2471" s="60"/>
      <c r="CWS2471" s="63"/>
      <c r="CWT2471" s="61"/>
      <c r="CWU2471" s="54"/>
      <c r="CWV2471" s="54"/>
      <c r="CWW2471" s="63"/>
      <c r="CWX2471" s="60"/>
      <c r="CWY2471" s="60"/>
      <c r="CWZ2471" s="60"/>
      <c r="CXA2471" s="63"/>
      <c r="CXB2471" s="61"/>
      <c r="CXC2471" s="54"/>
      <c r="CXD2471" s="54"/>
      <c r="CXE2471" s="63"/>
      <c r="CXF2471" s="60"/>
      <c r="CXG2471" s="60"/>
      <c r="CXH2471" s="60"/>
      <c r="CXI2471" s="63"/>
      <c r="CXJ2471" s="61"/>
      <c r="CXK2471" s="54"/>
      <c r="CXL2471" s="54"/>
      <c r="CXM2471" s="63"/>
      <c r="CXN2471" s="60"/>
      <c r="CXO2471" s="60"/>
      <c r="CXP2471" s="60"/>
      <c r="CXQ2471" s="63"/>
      <c r="CXR2471" s="61"/>
      <c r="CXS2471" s="54"/>
      <c r="CXT2471" s="54"/>
      <c r="CXU2471" s="63"/>
      <c r="CXV2471" s="60"/>
      <c r="CXW2471" s="60"/>
      <c r="CXX2471" s="60"/>
      <c r="CXY2471" s="63"/>
      <c r="CXZ2471" s="61"/>
      <c r="CYA2471" s="54"/>
      <c r="CYB2471" s="54"/>
      <c r="CYC2471" s="63"/>
      <c r="CYD2471" s="60"/>
      <c r="CYE2471" s="60"/>
      <c r="CYF2471" s="60"/>
      <c r="CYG2471" s="63"/>
      <c r="CYH2471" s="61"/>
      <c r="CYI2471" s="54"/>
      <c r="CYJ2471" s="54"/>
      <c r="CYK2471" s="63"/>
      <c r="CYL2471" s="60"/>
      <c r="CYM2471" s="60"/>
      <c r="CYN2471" s="60"/>
      <c r="CYO2471" s="63"/>
      <c r="CYP2471" s="61"/>
      <c r="CYQ2471" s="54"/>
      <c r="CYR2471" s="54"/>
      <c r="CYS2471" s="63"/>
      <c r="CYT2471" s="60"/>
      <c r="CYU2471" s="60"/>
      <c r="CYV2471" s="60"/>
      <c r="CYW2471" s="63"/>
      <c r="CYX2471" s="61"/>
      <c r="CYY2471" s="54"/>
      <c r="CYZ2471" s="54"/>
      <c r="CZA2471" s="63"/>
      <c r="CZB2471" s="60"/>
      <c r="CZC2471" s="60"/>
      <c r="CZD2471" s="60"/>
      <c r="CZE2471" s="63"/>
      <c r="CZF2471" s="61"/>
      <c r="CZG2471" s="54"/>
      <c r="CZH2471" s="54"/>
      <c r="CZI2471" s="63"/>
      <c r="CZJ2471" s="60"/>
      <c r="CZK2471" s="60"/>
      <c r="CZL2471" s="60"/>
      <c r="CZM2471" s="63"/>
      <c r="CZN2471" s="61"/>
      <c r="CZO2471" s="54"/>
      <c r="CZP2471" s="54"/>
      <c r="CZQ2471" s="63"/>
      <c r="CZR2471" s="60"/>
      <c r="CZS2471" s="60"/>
      <c r="CZT2471" s="60"/>
      <c r="CZU2471" s="63"/>
      <c r="CZV2471" s="61"/>
      <c r="CZW2471" s="54"/>
      <c r="CZX2471" s="54"/>
      <c r="CZY2471" s="63"/>
      <c r="CZZ2471" s="60"/>
      <c r="DAA2471" s="60"/>
      <c r="DAB2471" s="60"/>
      <c r="DAC2471" s="63"/>
      <c r="DAD2471" s="61"/>
      <c r="DAE2471" s="54"/>
      <c r="DAF2471" s="54"/>
      <c r="DAG2471" s="63"/>
      <c r="DAH2471" s="60"/>
      <c r="DAI2471" s="60"/>
      <c r="DAJ2471" s="60"/>
      <c r="DAK2471" s="63"/>
      <c r="DAL2471" s="61"/>
      <c r="DAM2471" s="54"/>
      <c r="DAN2471" s="54"/>
      <c r="DAO2471" s="63"/>
      <c r="DAP2471" s="60"/>
      <c r="DAQ2471" s="60"/>
      <c r="DAR2471" s="60"/>
      <c r="DAS2471" s="63"/>
      <c r="DAT2471" s="61"/>
      <c r="DAU2471" s="54"/>
      <c r="DAV2471" s="54"/>
      <c r="DAW2471" s="63"/>
      <c r="DAX2471" s="60"/>
      <c r="DAY2471" s="60"/>
      <c r="DAZ2471" s="60"/>
      <c r="DBA2471" s="63"/>
      <c r="DBB2471" s="61"/>
      <c r="DBC2471" s="54"/>
      <c r="DBD2471" s="54"/>
      <c r="DBE2471" s="63"/>
      <c r="DBF2471" s="60"/>
      <c r="DBG2471" s="60"/>
      <c r="DBH2471" s="60"/>
      <c r="DBI2471" s="63"/>
      <c r="DBJ2471" s="61"/>
      <c r="DBK2471" s="54"/>
      <c r="DBL2471" s="54"/>
      <c r="DBM2471" s="63"/>
      <c r="DBN2471" s="60"/>
      <c r="DBO2471" s="60"/>
      <c r="DBP2471" s="60"/>
      <c r="DBQ2471" s="63"/>
      <c r="DBR2471" s="61"/>
      <c r="DBS2471" s="54"/>
      <c r="DBT2471" s="54"/>
      <c r="DBU2471" s="63"/>
      <c r="DBV2471" s="60"/>
      <c r="DBW2471" s="60"/>
      <c r="DBX2471" s="60"/>
      <c r="DBY2471" s="63"/>
      <c r="DBZ2471" s="61"/>
      <c r="DCA2471" s="54"/>
      <c r="DCB2471" s="54"/>
      <c r="DCC2471" s="63"/>
      <c r="DCD2471" s="60"/>
      <c r="DCE2471" s="60"/>
      <c r="DCF2471" s="60"/>
      <c r="DCG2471" s="63"/>
      <c r="DCH2471" s="61"/>
      <c r="DCI2471" s="54"/>
      <c r="DCJ2471" s="54"/>
      <c r="DCK2471" s="63"/>
      <c r="DCL2471" s="60"/>
      <c r="DCM2471" s="60"/>
      <c r="DCN2471" s="60"/>
      <c r="DCO2471" s="63"/>
      <c r="DCP2471" s="61"/>
      <c r="DCQ2471" s="54"/>
      <c r="DCR2471" s="54"/>
      <c r="DCS2471" s="63"/>
      <c r="DCT2471" s="60"/>
      <c r="DCU2471" s="60"/>
      <c r="DCV2471" s="60"/>
      <c r="DCW2471" s="63"/>
      <c r="DCX2471" s="61"/>
      <c r="DCY2471" s="54"/>
      <c r="DCZ2471" s="54"/>
      <c r="DDA2471" s="63"/>
      <c r="DDB2471" s="60"/>
      <c r="DDC2471" s="60"/>
      <c r="DDD2471" s="60"/>
      <c r="DDE2471" s="63"/>
      <c r="DDF2471" s="61"/>
      <c r="DDG2471" s="54"/>
      <c r="DDH2471" s="54"/>
      <c r="DDI2471" s="63"/>
      <c r="DDJ2471" s="60"/>
      <c r="DDK2471" s="60"/>
      <c r="DDL2471" s="60"/>
      <c r="DDM2471" s="63"/>
      <c r="DDN2471" s="61"/>
      <c r="DDO2471" s="54"/>
      <c r="DDP2471" s="54"/>
      <c r="DDQ2471" s="63"/>
      <c r="DDR2471" s="60"/>
      <c r="DDS2471" s="60"/>
      <c r="DDT2471" s="60"/>
      <c r="DDU2471" s="63"/>
      <c r="DDV2471" s="61"/>
      <c r="DDW2471" s="54"/>
      <c r="DDX2471" s="54"/>
      <c r="DDY2471" s="63"/>
      <c r="DDZ2471" s="60"/>
      <c r="DEA2471" s="60"/>
      <c r="DEB2471" s="60"/>
      <c r="DEC2471" s="63"/>
      <c r="DED2471" s="61"/>
      <c r="DEE2471" s="54"/>
      <c r="DEF2471" s="54"/>
      <c r="DEG2471" s="63"/>
      <c r="DEH2471" s="60"/>
      <c r="DEI2471" s="60"/>
      <c r="DEJ2471" s="60"/>
      <c r="DEK2471" s="63"/>
      <c r="DEL2471" s="61"/>
      <c r="DEM2471" s="54"/>
      <c r="DEN2471" s="54"/>
      <c r="DEO2471" s="63"/>
      <c r="DEP2471" s="60"/>
      <c r="DEQ2471" s="60"/>
      <c r="DER2471" s="60"/>
      <c r="DES2471" s="63"/>
      <c r="DET2471" s="61"/>
      <c r="DEU2471" s="54"/>
      <c r="DEV2471" s="54"/>
      <c r="DEW2471" s="63"/>
      <c r="DEX2471" s="60"/>
      <c r="DEY2471" s="60"/>
      <c r="DEZ2471" s="60"/>
      <c r="DFA2471" s="63"/>
      <c r="DFB2471" s="61"/>
      <c r="DFC2471" s="54"/>
      <c r="DFD2471" s="54"/>
      <c r="DFE2471" s="63"/>
      <c r="DFF2471" s="60"/>
      <c r="DFG2471" s="60"/>
      <c r="DFH2471" s="60"/>
      <c r="DFI2471" s="63"/>
      <c r="DFJ2471" s="61"/>
      <c r="DFK2471" s="54"/>
      <c r="DFL2471" s="54"/>
      <c r="DFM2471" s="63"/>
      <c r="DFN2471" s="60"/>
      <c r="DFO2471" s="60"/>
      <c r="DFP2471" s="60"/>
      <c r="DFQ2471" s="63"/>
      <c r="DFR2471" s="61"/>
      <c r="DFS2471" s="54"/>
      <c r="DFT2471" s="54"/>
      <c r="DFU2471" s="63"/>
      <c r="DFV2471" s="60"/>
      <c r="DFW2471" s="60"/>
      <c r="DFX2471" s="60"/>
      <c r="DFY2471" s="63"/>
      <c r="DFZ2471" s="61"/>
      <c r="DGA2471" s="54"/>
      <c r="DGB2471" s="54"/>
      <c r="DGC2471" s="63"/>
      <c r="DGD2471" s="60"/>
      <c r="DGE2471" s="60"/>
      <c r="DGF2471" s="60"/>
      <c r="DGG2471" s="63"/>
      <c r="DGH2471" s="61"/>
      <c r="DGI2471" s="54"/>
      <c r="DGJ2471" s="54"/>
      <c r="DGK2471" s="63"/>
      <c r="DGL2471" s="60"/>
      <c r="DGM2471" s="60"/>
      <c r="DGN2471" s="60"/>
      <c r="DGO2471" s="63"/>
      <c r="DGP2471" s="61"/>
      <c r="DGQ2471" s="54"/>
      <c r="DGR2471" s="54"/>
      <c r="DGS2471" s="63"/>
      <c r="DGT2471" s="60"/>
      <c r="DGU2471" s="60"/>
      <c r="DGV2471" s="60"/>
      <c r="DGW2471" s="63"/>
      <c r="DGX2471" s="61"/>
      <c r="DGY2471" s="54"/>
      <c r="DGZ2471" s="54"/>
      <c r="DHA2471" s="63"/>
      <c r="DHB2471" s="60"/>
      <c r="DHC2471" s="60"/>
      <c r="DHD2471" s="60"/>
      <c r="DHE2471" s="63"/>
      <c r="DHF2471" s="61"/>
      <c r="DHG2471" s="54"/>
      <c r="DHH2471" s="54"/>
      <c r="DHI2471" s="63"/>
      <c r="DHJ2471" s="60"/>
      <c r="DHK2471" s="60"/>
      <c r="DHL2471" s="60"/>
      <c r="DHM2471" s="63"/>
      <c r="DHN2471" s="61"/>
      <c r="DHO2471" s="54"/>
      <c r="DHP2471" s="54"/>
      <c r="DHQ2471" s="63"/>
      <c r="DHR2471" s="60"/>
      <c r="DHS2471" s="60"/>
      <c r="DHT2471" s="60"/>
      <c r="DHU2471" s="63"/>
      <c r="DHV2471" s="61"/>
      <c r="DHW2471" s="54"/>
      <c r="DHX2471" s="54"/>
      <c r="DHY2471" s="63"/>
      <c r="DHZ2471" s="60"/>
      <c r="DIA2471" s="60"/>
      <c r="DIB2471" s="60"/>
      <c r="DIC2471" s="63"/>
      <c r="DID2471" s="61"/>
      <c r="DIE2471" s="54"/>
      <c r="DIF2471" s="54"/>
      <c r="DIG2471" s="63"/>
      <c r="DIH2471" s="60"/>
      <c r="DII2471" s="60"/>
      <c r="DIJ2471" s="60"/>
      <c r="DIK2471" s="63"/>
      <c r="DIL2471" s="61"/>
      <c r="DIM2471" s="54"/>
      <c r="DIN2471" s="54"/>
      <c r="DIO2471" s="63"/>
      <c r="DIP2471" s="60"/>
      <c r="DIQ2471" s="60"/>
      <c r="DIR2471" s="60"/>
      <c r="DIS2471" s="63"/>
      <c r="DIT2471" s="61"/>
      <c r="DIU2471" s="54"/>
      <c r="DIV2471" s="54"/>
      <c r="DIW2471" s="63"/>
      <c r="DIX2471" s="60"/>
      <c r="DIY2471" s="60"/>
      <c r="DIZ2471" s="60"/>
      <c r="DJA2471" s="63"/>
      <c r="DJB2471" s="61"/>
      <c r="DJC2471" s="54"/>
      <c r="DJD2471" s="54"/>
      <c r="DJE2471" s="63"/>
      <c r="DJF2471" s="60"/>
      <c r="DJG2471" s="60"/>
      <c r="DJH2471" s="60"/>
      <c r="DJI2471" s="63"/>
      <c r="DJJ2471" s="61"/>
      <c r="DJK2471" s="54"/>
      <c r="DJL2471" s="54"/>
      <c r="DJM2471" s="63"/>
      <c r="DJN2471" s="60"/>
      <c r="DJO2471" s="60"/>
      <c r="DJP2471" s="60"/>
      <c r="DJQ2471" s="63"/>
      <c r="DJR2471" s="61"/>
      <c r="DJS2471" s="54"/>
      <c r="DJT2471" s="54"/>
      <c r="DJU2471" s="63"/>
      <c r="DJV2471" s="60"/>
      <c r="DJW2471" s="60"/>
      <c r="DJX2471" s="60"/>
      <c r="DJY2471" s="63"/>
      <c r="DJZ2471" s="61"/>
      <c r="DKA2471" s="54"/>
      <c r="DKB2471" s="54"/>
      <c r="DKC2471" s="63"/>
      <c r="DKD2471" s="60"/>
      <c r="DKE2471" s="60"/>
      <c r="DKF2471" s="60"/>
      <c r="DKG2471" s="63"/>
      <c r="DKH2471" s="61"/>
      <c r="DKI2471" s="54"/>
      <c r="DKJ2471" s="54"/>
      <c r="DKK2471" s="63"/>
      <c r="DKL2471" s="60"/>
      <c r="DKM2471" s="60"/>
      <c r="DKN2471" s="60"/>
      <c r="DKO2471" s="63"/>
      <c r="DKP2471" s="61"/>
      <c r="DKQ2471" s="54"/>
      <c r="DKR2471" s="54"/>
      <c r="DKS2471" s="63"/>
      <c r="DKT2471" s="60"/>
      <c r="DKU2471" s="60"/>
      <c r="DKV2471" s="60"/>
      <c r="DKW2471" s="63"/>
      <c r="DKX2471" s="61"/>
      <c r="DKY2471" s="54"/>
      <c r="DKZ2471" s="54"/>
      <c r="DLA2471" s="63"/>
      <c r="DLB2471" s="60"/>
      <c r="DLC2471" s="60"/>
      <c r="DLD2471" s="60"/>
      <c r="DLE2471" s="63"/>
      <c r="DLF2471" s="61"/>
      <c r="DLG2471" s="54"/>
      <c r="DLH2471" s="54"/>
      <c r="DLI2471" s="63"/>
      <c r="DLJ2471" s="60"/>
      <c r="DLK2471" s="60"/>
      <c r="DLL2471" s="60"/>
      <c r="DLM2471" s="63"/>
      <c r="DLN2471" s="61"/>
      <c r="DLO2471" s="54"/>
      <c r="DLP2471" s="54"/>
      <c r="DLQ2471" s="63"/>
      <c r="DLR2471" s="60"/>
      <c r="DLS2471" s="60"/>
      <c r="DLT2471" s="60"/>
      <c r="DLU2471" s="63"/>
      <c r="DLV2471" s="61"/>
      <c r="DLW2471" s="54"/>
      <c r="DLX2471" s="54"/>
      <c r="DLY2471" s="63"/>
      <c r="DLZ2471" s="60"/>
      <c r="DMA2471" s="60"/>
      <c r="DMB2471" s="60"/>
      <c r="DMC2471" s="63"/>
      <c r="DMD2471" s="61"/>
      <c r="DME2471" s="54"/>
      <c r="DMF2471" s="54"/>
      <c r="DMG2471" s="63"/>
      <c r="DMH2471" s="60"/>
      <c r="DMI2471" s="60"/>
      <c r="DMJ2471" s="60"/>
      <c r="DMK2471" s="63"/>
      <c r="DML2471" s="61"/>
      <c r="DMM2471" s="54"/>
      <c r="DMN2471" s="54"/>
      <c r="DMO2471" s="63"/>
      <c r="DMP2471" s="60"/>
      <c r="DMQ2471" s="60"/>
      <c r="DMR2471" s="60"/>
      <c r="DMS2471" s="63"/>
      <c r="DMT2471" s="61"/>
      <c r="DMU2471" s="54"/>
      <c r="DMV2471" s="54"/>
      <c r="DMW2471" s="63"/>
      <c r="DMX2471" s="60"/>
      <c r="DMY2471" s="60"/>
      <c r="DMZ2471" s="60"/>
      <c r="DNA2471" s="63"/>
      <c r="DNB2471" s="61"/>
      <c r="DNC2471" s="54"/>
      <c r="DND2471" s="54"/>
      <c r="DNE2471" s="63"/>
      <c r="DNF2471" s="60"/>
      <c r="DNG2471" s="60"/>
      <c r="DNH2471" s="60"/>
      <c r="DNI2471" s="63"/>
      <c r="DNJ2471" s="61"/>
      <c r="DNK2471" s="54"/>
      <c r="DNL2471" s="54"/>
      <c r="DNM2471" s="63"/>
      <c r="DNN2471" s="60"/>
      <c r="DNO2471" s="60"/>
      <c r="DNP2471" s="60"/>
      <c r="DNQ2471" s="63"/>
      <c r="DNR2471" s="61"/>
      <c r="DNS2471" s="54"/>
      <c r="DNT2471" s="54"/>
      <c r="DNU2471" s="63"/>
      <c r="DNV2471" s="60"/>
      <c r="DNW2471" s="60"/>
      <c r="DNX2471" s="60"/>
      <c r="DNY2471" s="63"/>
      <c r="DNZ2471" s="61"/>
      <c r="DOA2471" s="54"/>
      <c r="DOB2471" s="54"/>
      <c r="DOC2471" s="63"/>
      <c r="DOD2471" s="60"/>
      <c r="DOE2471" s="60"/>
      <c r="DOF2471" s="60"/>
      <c r="DOG2471" s="63"/>
      <c r="DOH2471" s="61"/>
      <c r="DOI2471" s="54"/>
      <c r="DOJ2471" s="54"/>
      <c r="DOK2471" s="63"/>
      <c r="DOL2471" s="60"/>
      <c r="DOM2471" s="60"/>
      <c r="DON2471" s="60"/>
      <c r="DOO2471" s="63"/>
      <c r="DOP2471" s="61"/>
      <c r="DOQ2471" s="54"/>
      <c r="DOR2471" s="54"/>
      <c r="DOS2471" s="63"/>
      <c r="DOT2471" s="60"/>
      <c r="DOU2471" s="60"/>
      <c r="DOV2471" s="60"/>
      <c r="DOW2471" s="63"/>
      <c r="DOX2471" s="61"/>
      <c r="DOY2471" s="54"/>
      <c r="DOZ2471" s="54"/>
      <c r="DPA2471" s="63"/>
      <c r="DPB2471" s="60"/>
      <c r="DPC2471" s="60"/>
      <c r="DPD2471" s="60"/>
      <c r="DPE2471" s="63"/>
      <c r="DPF2471" s="61"/>
      <c r="DPG2471" s="54"/>
      <c r="DPH2471" s="54"/>
      <c r="DPI2471" s="63"/>
      <c r="DPJ2471" s="60"/>
      <c r="DPK2471" s="60"/>
      <c r="DPL2471" s="60"/>
      <c r="DPM2471" s="63"/>
      <c r="DPN2471" s="61"/>
      <c r="DPO2471" s="54"/>
      <c r="DPP2471" s="54"/>
      <c r="DPQ2471" s="63"/>
      <c r="DPR2471" s="60"/>
      <c r="DPS2471" s="60"/>
      <c r="DPT2471" s="60"/>
      <c r="DPU2471" s="63"/>
      <c r="DPV2471" s="61"/>
      <c r="DPW2471" s="54"/>
      <c r="DPX2471" s="54"/>
      <c r="DPY2471" s="63"/>
      <c r="DPZ2471" s="60"/>
      <c r="DQA2471" s="60"/>
      <c r="DQB2471" s="60"/>
      <c r="DQC2471" s="63"/>
      <c r="DQD2471" s="61"/>
      <c r="DQE2471" s="54"/>
      <c r="DQF2471" s="54"/>
      <c r="DQG2471" s="63"/>
      <c r="DQH2471" s="60"/>
      <c r="DQI2471" s="60"/>
      <c r="DQJ2471" s="60"/>
      <c r="DQK2471" s="63"/>
      <c r="DQL2471" s="61"/>
      <c r="DQM2471" s="54"/>
      <c r="DQN2471" s="54"/>
      <c r="DQO2471" s="63"/>
      <c r="DQP2471" s="60"/>
      <c r="DQQ2471" s="60"/>
      <c r="DQR2471" s="60"/>
      <c r="DQS2471" s="63"/>
      <c r="DQT2471" s="61"/>
      <c r="DQU2471" s="54"/>
      <c r="DQV2471" s="54"/>
      <c r="DQW2471" s="63"/>
      <c r="DQX2471" s="60"/>
      <c r="DQY2471" s="60"/>
      <c r="DQZ2471" s="60"/>
      <c r="DRA2471" s="63"/>
      <c r="DRB2471" s="61"/>
      <c r="DRC2471" s="54"/>
      <c r="DRD2471" s="54"/>
      <c r="DRE2471" s="63"/>
      <c r="DRF2471" s="60"/>
      <c r="DRG2471" s="60"/>
      <c r="DRH2471" s="60"/>
      <c r="DRI2471" s="63"/>
      <c r="DRJ2471" s="61"/>
      <c r="DRK2471" s="54"/>
      <c r="DRL2471" s="54"/>
      <c r="DRM2471" s="63"/>
      <c r="DRN2471" s="60"/>
      <c r="DRO2471" s="60"/>
      <c r="DRP2471" s="60"/>
      <c r="DRQ2471" s="63"/>
      <c r="DRR2471" s="61"/>
      <c r="DRS2471" s="54"/>
      <c r="DRT2471" s="54"/>
      <c r="DRU2471" s="63"/>
      <c r="DRV2471" s="60"/>
      <c r="DRW2471" s="60"/>
      <c r="DRX2471" s="60"/>
      <c r="DRY2471" s="63"/>
      <c r="DRZ2471" s="61"/>
      <c r="DSA2471" s="54"/>
      <c r="DSB2471" s="54"/>
      <c r="DSC2471" s="63"/>
      <c r="DSD2471" s="60"/>
      <c r="DSE2471" s="60"/>
      <c r="DSF2471" s="60"/>
      <c r="DSG2471" s="63"/>
      <c r="DSH2471" s="61"/>
      <c r="DSI2471" s="54"/>
      <c r="DSJ2471" s="54"/>
      <c r="DSK2471" s="63"/>
      <c r="DSL2471" s="60"/>
      <c r="DSM2471" s="60"/>
      <c r="DSN2471" s="60"/>
      <c r="DSO2471" s="63"/>
      <c r="DSP2471" s="61"/>
      <c r="DSQ2471" s="54"/>
      <c r="DSR2471" s="54"/>
      <c r="DSS2471" s="63"/>
      <c r="DST2471" s="60"/>
      <c r="DSU2471" s="60"/>
      <c r="DSV2471" s="60"/>
      <c r="DSW2471" s="63"/>
      <c r="DSX2471" s="61"/>
      <c r="DSY2471" s="54"/>
      <c r="DSZ2471" s="54"/>
      <c r="DTA2471" s="63"/>
      <c r="DTB2471" s="60"/>
      <c r="DTC2471" s="60"/>
      <c r="DTD2471" s="60"/>
      <c r="DTE2471" s="63"/>
      <c r="DTF2471" s="61"/>
      <c r="DTG2471" s="54"/>
      <c r="DTH2471" s="54"/>
      <c r="DTI2471" s="63"/>
      <c r="DTJ2471" s="60"/>
      <c r="DTK2471" s="60"/>
      <c r="DTL2471" s="60"/>
      <c r="DTM2471" s="63"/>
      <c r="DTN2471" s="61"/>
      <c r="DTO2471" s="54"/>
      <c r="DTP2471" s="54"/>
      <c r="DTQ2471" s="63"/>
      <c r="DTR2471" s="60"/>
      <c r="DTS2471" s="60"/>
      <c r="DTT2471" s="60"/>
      <c r="DTU2471" s="63"/>
      <c r="DTV2471" s="61"/>
      <c r="DTW2471" s="54"/>
      <c r="DTX2471" s="54"/>
      <c r="DTY2471" s="63"/>
      <c r="DTZ2471" s="60"/>
      <c r="DUA2471" s="60"/>
      <c r="DUB2471" s="60"/>
      <c r="DUC2471" s="63"/>
      <c r="DUD2471" s="61"/>
      <c r="DUE2471" s="54"/>
      <c r="DUF2471" s="54"/>
      <c r="DUG2471" s="63"/>
      <c r="DUH2471" s="60"/>
      <c r="DUI2471" s="60"/>
      <c r="DUJ2471" s="60"/>
      <c r="DUK2471" s="63"/>
      <c r="DUL2471" s="61"/>
      <c r="DUM2471" s="54"/>
      <c r="DUN2471" s="54"/>
      <c r="DUO2471" s="63"/>
      <c r="DUP2471" s="60"/>
      <c r="DUQ2471" s="60"/>
      <c r="DUR2471" s="60"/>
      <c r="DUS2471" s="63"/>
      <c r="DUT2471" s="61"/>
      <c r="DUU2471" s="54"/>
      <c r="DUV2471" s="54"/>
      <c r="DUW2471" s="63"/>
      <c r="DUX2471" s="60"/>
      <c r="DUY2471" s="60"/>
      <c r="DUZ2471" s="60"/>
      <c r="DVA2471" s="63"/>
      <c r="DVB2471" s="61"/>
      <c r="DVC2471" s="54"/>
      <c r="DVD2471" s="54"/>
      <c r="DVE2471" s="63"/>
      <c r="DVF2471" s="60"/>
      <c r="DVG2471" s="60"/>
      <c r="DVH2471" s="60"/>
      <c r="DVI2471" s="63"/>
      <c r="DVJ2471" s="61"/>
      <c r="DVK2471" s="54"/>
      <c r="DVL2471" s="54"/>
      <c r="DVM2471" s="63"/>
      <c r="DVN2471" s="60"/>
      <c r="DVO2471" s="60"/>
      <c r="DVP2471" s="60"/>
      <c r="DVQ2471" s="63"/>
      <c r="DVR2471" s="61"/>
      <c r="DVS2471" s="54"/>
      <c r="DVT2471" s="54"/>
      <c r="DVU2471" s="63"/>
      <c r="DVV2471" s="60"/>
      <c r="DVW2471" s="60"/>
      <c r="DVX2471" s="60"/>
      <c r="DVY2471" s="63"/>
      <c r="DVZ2471" s="61"/>
      <c r="DWA2471" s="54"/>
      <c r="DWB2471" s="54"/>
      <c r="DWC2471" s="63"/>
      <c r="DWD2471" s="60"/>
      <c r="DWE2471" s="60"/>
      <c r="DWF2471" s="60"/>
      <c r="DWG2471" s="63"/>
      <c r="DWH2471" s="61"/>
      <c r="DWI2471" s="54"/>
      <c r="DWJ2471" s="54"/>
      <c r="DWK2471" s="63"/>
      <c r="DWL2471" s="60"/>
      <c r="DWM2471" s="60"/>
      <c r="DWN2471" s="60"/>
      <c r="DWO2471" s="63"/>
      <c r="DWP2471" s="61"/>
      <c r="DWQ2471" s="54"/>
      <c r="DWR2471" s="54"/>
      <c r="DWS2471" s="63"/>
      <c r="DWT2471" s="60"/>
      <c r="DWU2471" s="60"/>
      <c r="DWV2471" s="60"/>
      <c r="DWW2471" s="63"/>
      <c r="DWX2471" s="61"/>
      <c r="DWY2471" s="54"/>
      <c r="DWZ2471" s="54"/>
      <c r="DXA2471" s="63"/>
      <c r="DXB2471" s="60"/>
      <c r="DXC2471" s="60"/>
      <c r="DXD2471" s="60"/>
      <c r="DXE2471" s="63"/>
      <c r="DXF2471" s="61"/>
      <c r="DXG2471" s="54"/>
      <c r="DXH2471" s="54"/>
      <c r="DXI2471" s="63"/>
      <c r="DXJ2471" s="60"/>
      <c r="DXK2471" s="60"/>
      <c r="DXL2471" s="60"/>
      <c r="DXM2471" s="63"/>
      <c r="DXN2471" s="61"/>
      <c r="DXO2471" s="54"/>
      <c r="DXP2471" s="54"/>
      <c r="DXQ2471" s="63"/>
      <c r="DXR2471" s="60"/>
      <c r="DXS2471" s="60"/>
      <c r="DXT2471" s="60"/>
      <c r="DXU2471" s="63"/>
      <c r="DXV2471" s="61"/>
      <c r="DXW2471" s="54"/>
      <c r="DXX2471" s="54"/>
      <c r="DXY2471" s="63"/>
      <c r="DXZ2471" s="60"/>
      <c r="DYA2471" s="60"/>
      <c r="DYB2471" s="60"/>
      <c r="DYC2471" s="63"/>
      <c r="DYD2471" s="61"/>
      <c r="DYE2471" s="54"/>
      <c r="DYF2471" s="54"/>
      <c r="DYG2471" s="63"/>
      <c r="DYH2471" s="60"/>
      <c r="DYI2471" s="60"/>
      <c r="DYJ2471" s="60"/>
      <c r="DYK2471" s="63"/>
      <c r="DYL2471" s="61"/>
      <c r="DYM2471" s="54"/>
      <c r="DYN2471" s="54"/>
      <c r="DYO2471" s="63"/>
      <c r="DYP2471" s="60"/>
      <c r="DYQ2471" s="60"/>
      <c r="DYR2471" s="60"/>
      <c r="DYS2471" s="63"/>
      <c r="DYT2471" s="61"/>
      <c r="DYU2471" s="54"/>
      <c r="DYV2471" s="54"/>
      <c r="DYW2471" s="63"/>
      <c r="DYX2471" s="60"/>
      <c r="DYY2471" s="60"/>
      <c r="DYZ2471" s="60"/>
      <c r="DZA2471" s="63"/>
      <c r="DZB2471" s="61"/>
      <c r="DZC2471" s="54"/>
      <c r="DZD2471" s="54"/>
      <c r="DZE2471" s="63"/>
      <c r="DZF2471" s="60"/>
      <c r="DZG2471" s="60"/>
      <c r="DZH2471" s="60"/>
      <c r="DZI2471" s="63"/>
      <c r="DZJ2471" s="61"/>
      <c r="DZK2471" s="54"/>
      <c r="DZL2471" s="54"/>
      <c r="DZM2471" s="63"/>
      <c r="DZN2471" s="60"/>
      <c r="DZO2471" s="60"/>
      <c r="DZP2471" s="60"/>
      <c r="DZQ2471" s="63"/>
      <c r="DZR2471" s="61"/>
      <c r="DZS2471" s="54"/>
      <c r="DZT2471" s="54"/>
      <c r="DZU2471" s="63"/>
      <c r="DZV2471" s="60"/>
      <c r="DZW2471" s="60"/>
      <c r="DZX2471" s="60"/>
      <c r="DZY2471" s="63"/>
      <c r="DZZ2471" s="61"/>
      <c r="EAA2471" s="54"/>
      <c r="EAB2471" s="54"/>
      <c r="EAC2471" s="63"/>
      <c r="EAD2471" s="60"/>
      <c r="EAE2471" s="60"/>
      <c r="EAF2471" s="60"/>
      <c r="EAG2471" s="63"/>
      <c r="EAH2471" s="61"/>
      <c r="EAI2471" s="54"/>
      <c r="EAJ2471" s="54"/>
      <c r="EAK2471" s="63"/>
      <c r="EAL2471" s="60"/>
      <c r="EAM2471" s="60"/>
      <c r="EAN2471" s="60"/>
      <c r="EAO2471" s="63"/>
      <c r="EAP2471" s="61"/>
      <c r="EAQ2471" s="54"/>
      <c r="EAR2471" s="54"/>
      <c r="EAS2471" s="63"/>
      <c r="EAT2471" s="60"/>
      <c r="EAU2471" s="60"/>
      <c r="EAV2471" s="60"/>
      <c r="EAW2471" s="63"/>
      <c r="EAX2471" s="61"/>
      <c r="EAY2471" s="54"/>
      <c r="EAZ2471" s="54"/>
      <c r="EBA2471" s="63"/>
      <c r="EBB2471" s="60"/>
      <c r="EBC2471" s="60"/>
      <c r="EBD2471" s="60"/>
      <c r="EBE2471" s="63"/>
      <c r="EBF2471" s="61"/>
      <c r="EBG2471" s="54"/>
      <c r="EBH2471" s="54"/>
      <c r="EBI2471" s="63"/>
      <c r="EBJ2471" s="60"/>
      <c r="EBK2471" s="60"/>
      <c r="EBL2471" s="60"/>
      <c r="EBM2471" s="63"/>
      <c r="EBN2471" s="61"/>
      <c r="EBO2471" s="54"/>
      <c r="EBP2471" s="54"/>
      <c r="EBQ2471" s="63"/>
      <c r="EBR2471" s="60"/>
      <c r="EBS2471" s="60"/>
      <c r="EBT2471" s="60"/>
      <c r="EBU2471" s="63"/>
      <c r="EBV2471" s="61"/>
      <c r="EBW2471" s="54"/>
      <c r="EBX2471" s="54"/>
      <c r="EBY2471" s="63"/>
      <c r="EBZ2471" s="60"/>
      <c r="ECA2471" s="60"/>
      <c r="ECB2471" s="60"/>
      <c r="ECC2471" s="63"/>
      <c r="ECD2471" s="61"/>
      <c r="ECE2471" s="54"/>
      <c r="ECF2471" s="54"/>
      <c r="ECG2471" s="63"/>
      <c r="ECH2471" s="60"/>
      <c r="ECI2471" s="60"/>
      <c r="ECJ2471" s="60"/>
      <c r="ECK2471" s="63"/>
      <c r="ECL2471" s="61"/>
      <c r="ECM2471" s="54"/>
      <c r="ECN2471" s="54"/>
      <c r="ECO2471" s="63"/>
      <c r="ECP2471" s="60"/>
      <c r="ECQ2471" s="60"/>
      <c r="ECR2471" s="60"/>
      <c r="ECS2471" s="63"/>
      <c r="ECT2471" s="61"/>
      <c r="ECU2471" s="54"/>
      <c r="ECV2471" s="54"/>
      <c r="ECW2471" s="63"/>
      <c r="ECX2471" s="60"/>
      <c r="ECY2471" s="60"/>
      <c r="ECZ2471" s="60"/>
      <c r="EDA2471" s="63"/>
      <c r="EDB2471" s="61"/>
      <c r="EDC2471" s="54"/>
      <c r="EDD2471" s="54"/>
      <c r="EDE2471" s="63"/>
      <c r="EDF2471" s="60"/>
      <c r="EDG2471" s="60"/>
      <c r="EDH2471" s="60"/>
      <c r="EDI2471" s="63"/>
      <c r="EDJ2471" s="61"/>
      <c r="EDK2471" s="54"/>
      <c r="EDL2471" s="54"/>
      <c r="EDM2471" s="63"/>
      <c r="EDN2471" s="60"/>
      <c r="EDO2471" s="60"/>
      <c r="EDP2471" s="60"/>
      <c r="EDQ2471" s="63"/>
      <c r="EDR2471" s="61"/>
      <c r="EDS2471" s="54"/>
      <c r="EDT2471" s="54"/>
      <c r="EDU2471" s="63"/>
      <c r="EDV2471" s="60"/>
      <c r="EDW2471" s="60"/>
      <c r="EDX2471" s="60"/>
      <c r="EDY2471" s="63"/>
      <c r="EDZ2471" s="61"/>
      <c r="EEA2471" s="54"/>
      <c r="EEB2471" s="54"/>
      <c r="EEC2471" s="63"/>
      <c r="EED2471" s="60"/>
      <c r="EEE2471" s="60"/>
      <c r="EEF2471" s="60"/>
      <c r="EEG2471" s="63"/>
      <c r="EEH2471" s="61"/>
      <c r="EEI2471" s="54"/>
      <c r="EEJ2471" s="54"/>
      <c r="EEK2471" s="63"/>
      <c r="EEL2471" s="60"/>
      <c r="EEM2471" s="60"/>
      <c r="EEN2471" s="60"/>
      <c r="EEO2471" s="63"/>
      <c r="EEP2471" s="61"/>
      <c r="EEQ2471" s="54"/>
      <c r="EER2471" s="54"/>
      <c r="EES2471" s="63"/>
      <c r="EET2471" s="60"/>
      <c r="EEU2471" s="60"/>
      <c r="EEV2471" s="60"/>
      <c r="EEW2471" s="63"/>
      <c r="EEX2471" s="61"/>
      <c r="EEY2471" s="54"/>
      <c r="EEZ2471" s="54"/>
      <c r="EFA2471" s="63"/>
      <c r="EFB2471" s="60"/>
      <c r="EFC2471" s="60"/>
      <c r="EFD2471" s="60"/>
      <c r="EFE2471" s="63"/>
      <c r="EFF2471" s="61"/>
      <c r="EFG2471" s="54"/>
      <c r="EFH2471" s="54"/>
      <c r="EFI2471" s="63"/>
      <c r="EFJ2471" s="60"/>
      <c r="EFK2471" s="60"/>
      <c r="EFL2471" s="60"/>
      <c r="EFM2471" s="63"/>
      <c r="EFN2471" s="61"/>
      <c r="EFO2471" s="54"/>
      <c r="EFP2471" s="54"/>
      <c r="EFQ2471" s="63"/>
      <c r="EFR2471" s="60"/>
      <c r="EFS2471" s="60"/>
      <c r="EFT2471" s="60"/>
      <c r="EFU2471" s="63"/>
      <c r="EFV2471" s="61"/>
      <c r="EFW2471" s="54"/>
      <c r="EFX2471" s="54"/>
      <c r="EFY2471" s="63"/>
      <c r="EFZ2471" s="60"/>
      <c r="EGA2471" s="60"/>
      <c r="EGB2471" s="60"/>
      <c r="EGC2471" s="63"/>
      <c r="EGD2471" s="61"/>
      <c r="EGE2471" s="54"/>
      <c r="EGF2471" s="54"/>
      <c r="EGG2471" s="63"/>
      <c r="EGH2471" s="60"/>
      <c r="EGI2471" s="60"/>
      <c r="EGJ2471" s="60"/>
      <c r="EGK2471" s="63"/>
      <c r="EGL2471" s="61"/>
      <c r="EGM2471" s="54"/>
      <c r="EGN2471" s="54"/>
      <c r="EGO2471" s="63"/>
      <c r="EGP2471" s="60"/>
      <c r="EGQ2471" s="60"/>
      <c r="EGR2471" s="60"/>
      <c r="EGS2471" s="63"/>
      <c r="EGT2471" s="61"/>
      <c r="EGU2471" s="54"/>
      <c r="EGV2471" s="54"/>
      <c r="EGW2471" s="63"/>
      <c r="EGX2471" s="60"/>
      <c r="EGY2471" s="60"/>
      <c r="EGZ2471" s="60"/>
      <c r="EHA2471" s="63"/>
      <c r="EHB2471" s="61"/>
      <c r="EHC2471" s="54"/>
      <c r="EHD2471" s="54"/>
      <c r="EHE2471" s="63"/>
      <c r="EHF2471" s="60"/>
      <c r="EHG2471" s="60"/>
      <c r="EHH2471" s="60"/>
      <c r="EHI2471" s="63"/>
      <c r="EHJ2471" s="61"/>
      <c r="EHK2471" s="54"/>
      <c r="EHL2471" s="54"/>
      <c r="EHM2471" s="63"/>
      <c r="EHN2471" s="60"/>
      <c r="EHO2471" s="60"/>
      <c r="EHP2471" s="60"/>
      <c r="EHQ2471" s="63"/>
      <c r="EHR2471" s="61"/>
      <c r="EHS2471" s="54"/>
      <c r="EHT2471" s="54"/>
      <c r="EHU2471" s="63"/>
      <c r="EHV2471" s="60"/>
      <c r="EHW2471" s="60"/>
      <c r="EHX2471" s="60"/>
      <c r="EHY2471" s="63"/>
      <c r="EHZ2471" s="61"/>
      <c r="EIA2471" s="54"/>
      <c r="EIB2471" s="54"/>
      <c r="EIC2471" s="63"/>
      <c r="EID2471" s="60"/>
      <c r="EIE2471" s="60"/>
      <c r="EIF2471" s="60"/>
      <c r="EIG2471" s="63"/>
      <c r="EIH2471" s="61"/>
      <c r="EII2471" s="54"/>
      <c r="EIJ2471" s="54"/>
      <c r="EIK2471" s="63"/>
      <c r="EIL2471" s="60"/>
      <c r="EIM2471" s="60"/>
      <c r="EIN2471" s="60"/>
      <c r="EIO2471" s="63"/>
      <c r="EIP2471" s="61"/>
      <c r="EIQ2471" s="54"/>
      <c r="EIR2471" s="54"/>
      <c r="EIS2471" s="63"/>
      <c r="EIT2471" s="60"/>
      <c r="EIU2471" s="60"/>
      <c r="EIV2471" s="60"/>
      <c r="EIW2471" s="63"/>
      <c r="EIX2471" s="61"/>
      <c r="EIY2471" s="54"/>
      <c r="EIZ2471" s="54"/>
      <c r="EJA2471" s="63"/>
      <c r="EJB2471" s="60"/>
      <c r="EJC2471" s="60"/>
      <c r="EJD2471" s="60"/>
      <c r="EJE2471" s="63"/>
      <c r="EJF2471" s="61"/>
      <c r="EJG2471" s="54"/>
      <c r="EJH2471" s="54"/>
      <c r="EJI2471" s="63"/>
      <c r="EJJ2471" s="60"/>
      <c r="EJK2471" s="60"/>
      <c r="EJL2471" s="60"/>
      <c r="EJM2471" s="63"/>
      <c r="EJN2471" s="61"/>
      <c r="EJO2471" s="54"/>
      <c r="EJP2471" s="54"/>
      <c r="EJQ2471" s="63"/>
      <c r="EJR2471" s="60"/>
      <c r="EJS2471" s="60"/>
      <c r="EJT2471" s="60"/>
      <c r="EJU2471" s="63"/>
      <c r="EJV2471" s="61"/>
      <c r="EJW2471" s="54"/>
      <c r="EJX2471" s="54"/>
      <c r="EJY2471" s="63"/>
      <c r="EJZ2471" s="60"/>
      <c r="EKA2471" s="60"/>
      <c r="EKB2471" s="60"/>
      <c r="EKC2471" s="63"/>
      <c r="EKD2471" s="61"/>
      <c r="EKE2471" s="54"/>
      <c r="EKF2471" s="54"/>
      <c r="EKG2471" s="63"/>
      <c r="EKH2471" s="60"/>
      <c r="EKI2471" s="60"/>
      <c r="EKJ2471" s="60"/>
      <c r="EKK2471" s="63"/>
      <c r="EKL2471" s="61"/>
      <c r="EKM2471" s="54"/>
      <c r="EKN2471" s="54"/>
      <c r="EKO2471" s="63"/>
      <c r="EKP2471" s="60"/>
      <c r="EKQ2471" s="60"/>
      <c r="EKR2471" s="60"/>
      <c r="EKS2471" s="63"/>
      <c r="EKT2471" s="61"/>
      <c r="EKU2471" s="54"/>
      <c r="EKV2471" s="54"/>
      <c r="EKW2471" s="63"/>
      <c r="EKX2471" s="60"/>
      <c r="EKY2471" s="60"/>
      <c r="EKZ2471" s="60"/>
      <c r="ELA2471" s="63"/>
      <c r="ELB2471" s="61"/>
      <c r="ELC2471" s="54"/>
      <c r="ELD2471" s="54"/>
      <c r="ELE2471" s="63"/>
      <c r="ELF2471" s="60"/>
      <c r="ELG2471" s="60"/>
      <c r="ELH2471" s="60"/>
      <c r="ELI2471" s="63"/>
      <c r="ELJ2471" s="61"/>
      <c r="ELK2471" s="54"/>
      <c r="ELL2471" s="54"/>
      <c r="ELM2471" s="63"/>
      <c r="ELN2471" s="60"/>
      <c r="ELO2471" s="60"/>
      <c r="ELP2471" s="60"/>
      <c r="ELQ2471" s="63"/>
      <c r="ELR2471" s="61"/>
      <c r="ELS2471" s="54"/>
      <c r="ELT2471" s="54"/>
      <c r="ELU2471" s="63"/>
      <c r="ELV2471" s="60"/>
      <c r="ELW2471" s="60"/>
      <c r="ELX2471" s="60"/>
      <c r="ELY2471" s="63"/>
      <c r="ELZ2471" s="61"/>
      <c r="EMA2471" s="54"/>
      <c r="EMB2471" s="54"/>
      <c r="EMC2471" s="63"/>
      <c r="EMD2471" s="60"/>
      <c r="EME2471" s="60"/>
      <c r="EMF2471" s="60"/>
      <c r="EMG2471" s="63"/>
      <c r="EMH2471" s="61"/>
      <c r="EMI2471" s="54"/>
      <c r="EMJ2471" s="54"/>
      <c r="EMK2471" s="63"/>
      <c r="EML2471" s="60"/>
      <c r="EMM2471" s="60"/>
      <c r="EMN2471" s="60"/>
      <c r="EMO2471" s="63"/>
      <c r="EMP2471" s="61"/>
      <c r="EMQ2471" s="54"/>
      <c r="EMR2471" s="54"/>
      <c r="EMS2471" s="63"/>
      <c r="EMT2471" s="60"/>
      <c r="EMU2471" s="60"/>
      <c r="EMV2471" s="60"/>
      <c r="EMW2471" s="63"/>
      <c r="EMX2471" s="61"/>
      <c r="EMY2471" s="54"/>
      <c r="EMZ2471" s="54"/>
      <c r="ENA2471" s="63"/>
      <c r="ENB2471" s="60"/>
      <c r="ENC2471" s="60"/>
      <c r="END2471" s="60"/>
      <c r="ENE2471" s="63"/>
      <c r="ENF2471" s="61"/>
      <c r="ENG2471" s="54"/>
      <c r="ENH2471" s="54"/>
      <c r="ENI2471" s="63"/>
      <c r="ENJ2471" s="60"/>
      <c r="ENK2471" s="60"/>
      <c r="ENL2471" s="60"/>
      <c r="ENM2471" s="63"/>
      <c r="ENN2471" s="61"/>
      <c r="ENO2471" s="54"/>
      <c r="ENP2471" s="54"/>
      <c r="ENQ2471" s="63"/>
      <c r="ENR2471" s="60"/>
      <c r="ENS2471" s="60"/>
      <c r="ENT2471" s="60"/>
      <c r="ENU2471" s="63"/>
      <c r="ENV2471" s="61"/>
      <c r="ENW2471" s="54"/>
      <c r="ENX2471" s="54"/>
      <c r="ENY2471" s="63"/>
      <c r="ENZ2471" s="60"/>
      <c r="EOA2471" s="60"/>
      <c r="EOB2471" s="60"/>
      <c r="EOC2471" s="63"/>
      <c r="EOD2471" s="61"/>
      <c r="EOE2471" s="54"/>
      <c r="EOF2471" s="54"/>
      <c r="EOG2471" s="63"/>
      <c r="EOH2471" s="60"/>
      <c r="EOI2471" s="60"/>
      <c r="EOJ2471" s="60"/>
      <c r="EOK2471" s="63"/>
      <c r="EOL2471" s="61"/>
      <c r="EOM2471" s="54"/>
      <c r="EON2471" s="54"/>
      <c r="EOO2471" s="63"/>
      <c r="EOP2471" s="60"/>
      <c r="EOQ2471" s="60"/>
      <c r="EOR2471" s="60"/>
      <c r="EOS2471" s="63"/>
      <c r="EOT2471" s="61"/>
      <c r="EOU2471" s="54"/>
      <c r="EOV2471" s="54"/>
      <c r="EOW2471" s="63"/>
      <c r="EOX2471" s="60"/>
      <c r="EOY2471" s="60"/>
      <c r="EOZ2471" s="60"/>
      <c r="EPA2471" s="63"/>
      <c r="EPB2471" s="61"/>
      <c r="EPC2471" s="54"/>
      <c r="EPD2471" s="54"/>
      <c r="EPE2471" s="63"/>
      <c r="EPF2471" s="60"/>
      <c r="EPG2471" s="60"/>
      <c r="EPH2471" s="60"/>
      <c r="EPI2471" s="63"/>
      <c r="EPJ2471" s="61"/>
      <c r="EPK2471" s="54"/>
      <c r="EPL2471" s="54"/>
      <c r="EPM2471" s="63"/>
      <c r="EPN2471" s="60"/>
      <c r="EPO2471" s="60"/>
      <c r="EPP2471" s="60"/>
      <c r="EPQ2471" s="63"/>
      <c r="EPR2471" s="61"/>
      <c r="EPS2471" s="54"/>
      <c r="EPT2471" s="54"/>
      <c r="EPU2471" s="63"/>
      <c r="EPV2471" s="60"/>
      <c r="EPW2471" s="60"/>
      <c r="EPX2471" s="60"/>
      <c r="EPY2471" s="63"/>
      <c r="EPZ2471" s="61"/>
      <c r="EQA2471" s="54"/>
      <c r="EQB2471" s="54"/>
      <c r="EQC2471" s="63"/>
      <c r="EQD2471" s="60"/>
      <c r="EQE2471" s="60"/>
      <c r="EQF2471" s="60"/>
      <c r="EQG2471" s="63"/>
      <c r="EQH2471" s="61"/>
      <c r="EQI2471" s="54"/>
      <c r="EQJ2471" s="54"/>
      <c r="EQK2471" s="63"/>
      <c r="EQL2471" s="60"/>
      <c r="EQM2471" s="60"/>
      <c r="EQN2471" s="60"/>
      <c r="EQO2471" s="63"/>
      <c r="EQP2471" s="61"/>
      <c r="EQQ2471" s="54"/>
      <c r="EQR2471" s="54"/>
      <c r="EQS2471" s="63"/>
      <c r="EQT2471" s="60"/>
      <c r="EQU2471" s="60"/>
      <c r="EQV2471" s="60"/>
      <c r="EQW2471" s="63"/>
      <c r="EQX2471" s="61"/>
      <c r="EQY2471" s="54"/>
      <c r="EQZ2471" s="54"/>
      <c r="ERA2471" s="63"/>
      <c r="ERB2471" s="60"/>
      <c r="ERC2471" s="60"/>
      <c r="ERD2471" s="60"/>
      <c r="ERE2471" s="63"/>
      <c r="ERF2471" s="61"/>
      <c r="ERG2471" s="54"/>
      <c r="ERH2471" s="54"/>
      <c r="ERI2471" s="63"/>
      <c r="ERJ2471" s="60"/>
      <c r="ERK2471" s="60"/>
      <c r="ERL2471" s="60"/>
      <c r="ERM2471" s="63"/>
      <c r="ERN2471" s="61"/>
      <c r="ERO2471" s="54"/>
      <c r="ERP2471" s="54"/>
      <c r="ERQ2471" s="63"/>
      <c r="ERR2471" s="60"/>
      <c r="ERS2471" s="60"/>
      <c r="ERT2471" s="60"/>
      <c r="ERU2471" s="63"/>
      <c r="ERV2471" s="61"/>
      <c r="ERW2471" s="54"/>
      <c r="ERX2471" s="54"/>
      <c r="ERY2471" s="63"/>
      <c r="ERZ2471" s="60"/>
      <c r="ESA2471" s="60"/>
      <c r="ESB2471" s="60"/>
      <c r="ESC2471" s="63"/>
      <c r="ESD2471" s="61"/>
      <c r="ESE2471" s="54"/>
      <c r="ESF2471" s="54"/>
      <c r="ESG2471" s="63"/>
      <c r="ESH2471" s="60"/>
      <c r="ESI2471" s="60"/>
      <c r="ESJ2471" s="60"/>
      <c r="ESK2471" s="63"/>
      <c r="ESL2471" s="61"/>
      <c r="ESM2471" s="54"/>
      <c r="ESN2471" s="54"/>
      <c r="ESO2471" s="63"/>
      <c r="ESP2471" s="60"/>
      <c r="ESQ2471" s="60"/>
      <c r="ESR2471" s="60"/>
      <c r="ESS2471" s="63"/>
      <c r="EST2471" s="61"/>
      <c r="ESU2471" s="54"/>
      <c r="ESV2471" s="54"/>
      <c r="ESW2471" s="63"/>
      <c r="ESX2471" s="60"/>
      <c r="ESY2471" s="60"/>
      <c r="ESZ2471" s="60"/>
      <c r="ETA2471" s="63"/>
      <c r="ETB2471" s="61"/>
      <c r="ETC2471" s="54"/>
      <c r="ETD2471" s="54"/>
      <c r="ETE2471" s="63"/>
      <c r="ETF2471" s="60"/>
      <c r="ETG2471" s="60"/>
      <c r="ETH2471" s="60"/>
      <c r="ETI2471" s="63"/>
      <c r="ETJ2471" s="61"/>
      <c r="ETK2471" s="54"/>
      <c r="ETL2471" s="54"/>
      <c r="ETM2471" s="63"/>
      <c r="ETN2471" s="60"/>
      <c r="ETO2471" s="60"/>
      <c r="ETP2471" s="60"/>
      <c r="ETQ2471" s="63"/>
      <c r="ETR2471" s="61"/>
      <c r="ETS2471" s="54"/>
      <c r="ETT2471" s="54"/>
      <c r="ETU2471" s="63"/>
      <c r="ETV2471" s="60"/>
      <c r="ETW2471" s="60"/>
      <c r="ETX2471" s="60"/>
      <c r="ETY2471" s="63"/>
      <c r="ETZ2471" s="61"/>
      <c r="EUA2471" s="54"/>
      <c r="EUB2471" s="54"/>
      <c r="EUC2471" s="63"/>
      <c r="EUD2471" s="60"/>
      <c r="EUE2471" s="60"/>
      <c r="EUF2471" s="60"/>
      <c r="EUG2471" s="63"/>
      <c r="EUH2471" s="61"/>
      <c r="EUI2471" s="54"/>
      <c r="EUJ2471" s="54"/>
      <c r="EUK2471" s="63"/>
      <c r="EUL2471" s="60"/>
      <c r="EUM2471" s="60"/>
      <c r="EUN2471" s="60"/>
      <c r="EUO2471" s="63"/>
      <c r="EUP2471" s="61"/>
      <c r="EUQ2471" s="54"/>
      <c r="EUR2471" s="54"/>
      <c r="EUS2471" s="63"/>
      <c r="EUT2471" s="60"/>
      <c r="EUU2471" s="60"/>
      <c r="EUV2471" s="60"/>
      <c r="EUW2471" s="63"/>
      <c r="EUX2471" s="61"/>
      <c r="EUY2471" s="54"/>
      <c r="EUZ2471" s="54"/>
      <c r="EVA2471" s="63"/>
      <c r="EVB2471" s="60"/>
      <c r="EVC2471" s="60"/>
      <c r="EVD2471" s="60"/>
      <c r="EVE2471" s="63"/>
      <c r="EVF2471" s="61"/>
      <c r="EVG2471" s="54"/>
      <c r="EVH2471" s="54"/>
      <c r="EVI2471" s="63"/>
      <c r="EVJ2471" s="60"/>
      <c r="EVK2471" s="60"/>
      <c r="EVL2471" s="60"/>
      <c r="EVM2471" s="63"/>
      <c r="EVN2471" s="61"/>
      <c r="EVO2471" s="54"/>
      <c r="EVP2471" s="54"/>
      <c r="EVQ2471" s="63"/>
      <c r="EVR2471" s="60"/>
      <c r="EVS2471" s="60"/>
      <c r="EVT2471" s="60"/>
      <c r="EVU2471" s="63"/>
      <c r="EVV2471" s="61"/>
      <c r="EVW2471" s="54"/>
      <c r="EVX2471" s="54"/>
      <c r="EVY2471" s="63"/>
      <c r="EVZ2471" s="60"/>
      <c r="EWA2471" s="60"/>
      <c r="EWB2471" s="60"/>
      <c r="EWC2471" s="63"/>
      <c r="EWD2471" s="61"/>
      <c r="EWE2471" s="54"/>
      <c r="EWF2471" s="54"/>
      <c r="EWG2471" s="63"/>
      <c r="EWH2471" s="60"/>
      <c r="EWI2471" s="60"/>
      <c r="EWJ2471" s="60"/>
      <c r="EWK2471" s="63"/>
      <c r="EWL2471" s="61"/>
      <c r="EWM2471" s="54"/>
      <c r="EWN2471" s="54"/>
      <c r="EWO2471" s="63"/>
      <c r="EWP2471" s="60"/>
      <c r="EWQ2471" s="60"/>
      <c r="EWR2471" s="60"/>
      <c r="EWS2471" s="63"/>
      <c r="EWT2471" s="61"/>
      <c r="EWU2471" s="54"/>
      <c r="EWV2471" s="54"/>
      <c r="EWW2471" s="63"/>
      <c r="EWX2471" s="60"/>
      <c r="EWY2471" s="60"/>
      <c r="EWZ2471" s="60"/>
      <c r="EXA2471" s="63"/>
      <c r="EXB2471" s="61"/>
      <c r="EXC2471" s="54"/>
      <c r="EXD2471" s="54"/>
      <c r="EXE2471" s="63"/>
      <c r="EXF2471" s="60"/>
      <c r="EXG2471" s="60"/>
      <c r="EXH2471" s="60"/>
      <c r="EXI2471" s="63"/>
      <c r="EXJ2471" s="61"/>
      <c r="EXK2471" s="54"/>
      <c r="EXL2471" s="54"/>
      <c r="EXM2471" s="63"/>
      <c r="EXN2471" s="60"/>
      <c r="EXO2471" s="60"/>
      <c r="EXP2471" s="60"/>
      <c r="EXQ2471" s="63"/>
      <c r="EXR2471" s="61"/>
      <c r="EXS2471" s="54"/>
      <c r="EXT2471" s="54"/>
      <c r="EXU2471" s="63"/>
      <c r="EXV2471" s="60"/>
      <c r="EXW2471" s="60"/>
      <c r="EXX2471" s="60"/>
      <c r="EXY2471" s="63"/>
      <c r="EXZ2471" s="61"/>
      <c r="EYA2471" s="54"/>
      <c r="EYB2471" s="54"/>
      <c r="EYC2471" s="63"/>
      <c r="EYD2471" s="60"/>
      <c r="EYE2471" s="60"/>
      <c r="EYF2471" s="60"/>
      <c r="EYG2471" s="63"/>
      <c r="EYH2471" s="61"/>
      <c r="EYI2471" s="54"/>
      <c r="EYJ2471" s="54"/>
      <c r="EYK2471" s="63"/>
      <c r="EYL2471" s="60"/>
      <c r="EYM2471" s="60"/>
      <c r="EYN2471" s="60"/>
      <c r="EYO2471" s="63"/>
      <c r="EYP2471" s="61"/>
      <c r="EYQ2471" s="54"/>
      <c r="EYR2471" s="54"/>
      <c r="EYS2471" s="63"/>
      <c r="EYT2471" s="60"/>
      <c r="EYU2471" s="60"/>
      <c r="EYV2471" s="60"/>
      <c r="EYW2471" s="63"/>
      <c r="EYX2471" s="61"/>
      <c r="EYY2471" s="54"/>
      <c r="EYZ2471" s="54"/>
      <c r="EZA2471" s="63"/>
      <c r="EZB2471" s="60"/>
      <c r="EZC2471" s="60"/>
      <c r="EZD2471" s="60"/>
      <c r="EZE2471" s="63"/>
      <c r="EZF2471" s="61"/>
      <c r="EZG2471" s="54"/>
      <c r="EZH2471" s="54"/>
      <c r="EZI2471" s="63"/>
      <c r="EZJ2471" s="60"/>
      <c r="EZK2471" s="60"/>
      <c r="EZL2471" s="60"/>
      <c r="EZM2471" s="63"/>
      <c r="EZN2471" s="61"/>
      <c r="EZO2471" s="54"/>
      <c r="EZP2471" s="54"/>
      <c r="EZQ2471" s="63"/>
      <c r="EZR2471" s="60"/>
      <c r="EZS2471" s="60"/>
      <c r="EZT2471" s="60"/>
      <c r="EZU2471" s="63"/>
      <c r="EZV2471" s="61"/>
      <c r="EZW2471" s="54"/>
      <c r="EZX2471" s="54"/>
      <c r="EZY2471" s="63"/>
      <c r="EZZ2471" s="60"/>
      <c r="FAA2471" s="60"/>
      <c r="FAB2471" s="60"/>
      <c r="FAC2471" s="63"/>
      <c r="FAD2471" s="61"/>
      <c r="FAE2471" s="54"/>
      <c r="FAF2471" s="54"/>
      <c r="FAG2471" s="63"/>
      <c r="FAH2471" s="60"/>
      <c r="FAI2471" s="60"/>
      <c r="FAJ2471" s="60"/>
      <c r="FAK2471" s="63"/>
      <c r="FAL2471" s="61"/>
      <c r="FAM2471" s="54"/>
      <c r="FAN2471" s="54"/>
      <c r="FAO2471" s="63"/>
      <c r="FAP2471" s="60"/>
      <c r="FAQ2471" s="60"/>
      <c r="FAR2471" s="60"/>
      <c r="FAS2471" s="63"/>
      <c r="FAT2471" s="61"/>
      <c r="FAU2471" s="54"/>
      <c r="FAV2471" s="54"/>
      <c r="FAW2471" s="63"/>
      <c r="FAX2471" s="60"/>
      <c r="FAY2471" s="60"/>
      <c r="FAZ2471" s="60"/>
      <c r="FBA2471" s="63"/>
      <c r="FBB2471" s="61"/>
      <c r="FBC2471" s="54"/>
      <c r="FBD2471" s="54"/>
      <c r="FBE2471" s="63"/>
      <c r="FBF2471" s="60"/>
      <c r="FBG2471" s="60"/>
      <c r="FBH2471" s="60"/>
      <c r="FBI2471" s="63"/>
      <c r="FBJ2471" s="61"/>
      <c r="FBK2471" s="54"/>
      <c r="FBL2471" s="54"/>
      <c r="FBM2471" s="63"/>
      <c r="FBN2471" s="60"/>
      <c r="FBO2471" s="60"/>
      <c r="FBP2471" s="60"/>
      <c r="FBQ2471" s="63"/>
      <c r="FBR2471" s="61"/>
      <c r="FBS2471" s="54"/>
      <c r="FBT2471" s="54"/>
      <c r="FBU2471" s="63"/>
      <c r="FBV2471" s="60"/>
      <c r="FBW2471" s="60"/>
      <c r="FBX2471" s="60"/>
      <c r="FBY2471" s="63"/>
      <c r="FBZ2471" s="61"/>
      <c r="FCA2471" s="54"/>
      <c r="FCB2471" s="54"/>
      <c r="FCC2471" s="63"/>
      <c r="FCD2471" s="60"/>
      <c r="FCE2471" s="60"/>
      <c r="FCF2471" s="60"/>
      <c r="FCG2471" s="63"/>
      <c r="FCH2471" s="61"/>
      <c r="FCI2471" s="54"/>
      <c r="FCJ2471" s="54"/>
      <c r="FCK2471" s="63"/>
      <c r="FCL2471" s="60"/>
      <c r="FCM2471" s="60"/>
      <c r="FCN2471" s="60"/>
      <c r="FCO2471" s="63"/>
      <c r="FCP2471" s="61"/>
      <c r="FCQ2471" s="54"/>
      <c r="FCR2471" s="54"/>
      <c r="FCS2471" s="63"/>
      <c r="FCT2471" s="60"/>
      <c r="FCU2471" s="60"/>
      <c r="FCV2471" s="60"/>
      <c r="FCW2471" s="63"/>
      <c r="FCX2471" s="61"/>
      <c r="FCY2471" s="54"/>
      <c r="FCZ2471" s="54"/>
      <c r="FDA2471" s="63"/>
      <c r="FDB2471" s="60"/>
      <c r="FDC2471" s="60"/>
      <c r="FDD2471" s="60"/>
      <c r="FDE2471" s="63"/>
      <c r="FDF2471" s="61"/>
      <c r="FDG2471" s="54"/>
      <c r="FDH2471" s="54"/>
      <c r="FDI2471" s="63"/>
      <c r="FDJ2471" s="60"/>
      <c r="FDK2471" s="60"/>
      <c r="FDL2471" s="60"/>
      <c r="FDM2471" s="63"/>
      <c r="FDN2471" s="61"/>
      <c r="FDO2471" s="54"/>
      <c r="FDP2471" s="54"/>
      <c r="FDQ2471" s="63"/>
      <c r="FDR2471" s="60"/>
      <c r="FDS2471" s="60"/>
      <c r="FDT2471" s="60"/>
      <c r="FDU2471" s="63"/>
      <c r="FDV2471" s="61"/>
      <c r="FDW2471" s="54"/>
      <c r="FDX2471" s="54"/>
      <c r="FDY2471" s="63"/>
      <c r="FDZ2471" s="60"/>
      <c r="FEA2471" s="60"/>
      <c r="FEB2471" s="60"/>
      <c r="FEC2471" s="63"/>
      <c r="FED2471" s="61"/>
      <c r="FEE2471" s="54"/>
      <c r="FEF2471" s="54"/>
      <c r="FEG2471" s="63"/>
      <c r="FEH2471" s="60"/>
      <c r="FEI2471" s="60"/>
      <c r="FEJ2471" s="60"/>
      <c r="FEK2471" s="63"/>
      <c r="FEL2471" s="61"/>
      <c r="FEM2471" s="54"/>
      <c r="FEN2471" s="54"/>
      <c r="FEO2471" s="63"/>
      <c r="FEP2471" s="60"/>
      <c r="FEQ2471" s="60"/>
      <c r="FER2471" s="60"/>
      <c r="FES2471" s="63"/>
      <c r="FET2471" s="61"/>
      <c r="FEU2471" s="54"/>
      <c r="FEV2471" s="54"/>
      <c r="FEW2471" s="63"/>
      <c r="FEX2471" s="60"/>
      <c r="FEY2471" s="60"/>
      <c r="FEZ2471" s="60"/>
      <c r="FFA2471" s="63"/>
      <c r="FFB2471" s="61"/>
      <c r="FFC2471" s="54"/>
      <c r="FFD2471" s="54"/>
      <c r="FFE2471" s="63"/>
      <c r="FFF2471" s="60"/>
      <c r="FFG2471" s="60"/>
      <c r="FFH2471" s="60"/>
      <c r="FFI2471" s="63"/>
      <c r="FFJ2471" s="61"/>
      <c r="FFK2471" s="54"/>
      <c r="FFL2471" s="54"/>
      <c r="FFM2471" s="63"/>
      <c r="FFN2471" s="60"/>
      <c r="FFO2471" s="60"/>
      <c r="FFP2471" s="60"/>
      <c r="FFQ2471" s="63"/>
      <c r="FFR2471" s="61"/>
      <c r="FFS2471" s="54"/>
      <c r="FFT2471" s="54"/>
      <c r="FFU2471" s="63"/>
      <c r="FFV2471" s="60"/>
      <c r="FFW2471" s="60"/>
      <c r="FFX2471" s="60"/>
      <c r="FFY2471" s="63"/>
      <c r="FFZ2471" s="61"/>
      <c r="FGA2471" s="54"/>
      <c r="FGB2471" s="54"/>
      <c r="FGC2471" s="63"/>
      <c r="FGD2471" s="60"/>
      <c r="FGE2471" s="60"/>
      <c r="FGF2471" s="60"/>
      <c r="FGG2471" s="63"/>
      <c r="FGH2471" s="61"/>
      <c r="FGI2471" s="54"/>
      <c r="FGJ2471" s="54"/>
      <c r="FGK2471" s="63"/>
      <c r="FGL2471" s="60"/>
      <c r="FGM2471" s="60"/>
      <c r="FGN2471" s="60"/>
      <c r="FGO2471" s="63"/>
      <c r="FGP2471" s="61"/>
      <c r="FGQ2471" s="54"/>
      <c r="FGR2471" s="54"/>
      <c r="FGS2471" s="63"/>
      <c r="FGT2471" s="60"/>
      <c r="FGU2471" s="60"/>
      <c r="FGV2471" s="60"/>
      <c r="FGW2471" s="63"/>
      <c r="FGX2471" s="61"/>
      <c r="FGY2471" s="54"/>
      <c r="FGZ2471" s="54"/>
      <c r="FHA2471" s="63"/>
      <c r="FHB2471" s="60"/>
      <c r="FHC2471" s="60"/>
      <c r="FHD2471" s="60"/>
      <c r="FHE2471" s="63"/>
      <c r="FHF2471" s="61"/>
      <c r="FHG2471" s="54"/>
      <c r="FHH2471" s="54"/>
      <c r="FHI2471" s="63"/>
      <c r="FHJ2471" s="60"/>
      <c r="FHK2471" s="60"/>
      <c r="FHL2471" s="60"/>
      <c r="FHM2471" s="63"/>
      <c r="FHN2471" s="61"/>
      <c r="FHO2471" s="54"/>
      <c r="FHP2471" s="54"/>
      <c r="FHQ2471" s="63"/>
      <c r="FHR2471" s="60"/>
      <c r="FHS2471" s="60"/>
      <c r="FHT2471" s="60"/>
      <c r="FHU2471" s="63"/>
      <c r="FHV2471" s="61"/>
      <c r="FHW2471" s="54"/>
      <c r="FHX2471" s="54"/>
      <c r="FHY2471" s="63"/>
      <c r="FHZ2471" s="60"/>
      <c r="FIA2471" s="60"/>
      <c r="FIB2471" s="60"/>
      <c r="FIC2471" s="63"/>
      <c r="FID2471" s="61"/>
      <c r="FIE2471" s="54"/>
      <c r="FIF2471" s="54"/>
      <c r="FIG2471" s="63"/>
      <c r="FIH2471" s="60"/>
      <c r="FII2471" s="60"/>
      <c r="FIJ2471" s="60"/>
      <c r="FIK2471" s="63"/>
      <c r="FIL2471" s="61"/>
      <c r="FIM2471" s="54"/>
      <c r="FIN2471" s="54"/>
      <c r="FIO2471" s="63"/>
      <c r="FIP2471" s="60"/>
      <c r="FIQ2471" s="60"/>
      <c r="FIR2471" s="60"/>
      <c r="FIS2471" s="63"/>
      <c r="FIT2471" s="61"/>
      <c r="FIU2471" s="54"/>
      <c r="FIV2471" s="54"/>
      <c r="FIW2471" s="63"/>
      <c r="FIX2471" s="60"/>
      <c r="FIY2471" s="60"/>
      <c r="FIZ2471" s="60"/>
      <c r="FJA2471" s="63"/>
      <c r="FJB2471" s="61"/>
      <c r="FJC2471" s="54"/>
      <c r="FJD2471" s="54"/>
      <c r="FJE2471" s="63"/>
      <c r="FJF2471" s="60"/>
      <c r="FJG2471" s="60"/>
      <c r="FJH2471" s="60"/>
      <c r="FJI2471" s="63"/>
      <c r="FJJ2471" s="61"/>
      <c r="FJK2471" s="54"/>
      <c r="FJL2471" s="54"/>
      <c r="FJM2471" s="63"/>
      <c r="FJN2471" s="60"/>
      <c r="FJO2471" s="60"/>
      <c r="FJP2471" s="60"/>
      <c r="FJQ2471" s="63"/>
      <c r="FJR2471" s="61"/>
      <c r="FJS2471" s="54"/>
      <c r="FJT2471" s="54"/>
      <c r="FJU2471" s="63"/>
      <c r="FJV2471" s="60"/>
      <c r="FJW2471" s="60"/>
      <c r="FJX2471" s="60"/>
      <c r="FJY2471" s="63"/>
      <c r="FJZ2471" s="61"/>
      <c r="FKA2471" s="54"/>
      <c r="FKB2471" s="54"/>
      <c r="FKC2471" s="63"/>
      <c r="FKD2471" s="60"/>
      <c r="FKE2471" s="60"/>
      <c r="FKF2471" s="60"/>
      <c r="FKG2471" s="63"/>
      <c r="FKH2471" s="61"/>
      <c r="FKI2471" s="54"/>
      <c r="FKJ2471" s="54"/>
      <c r="FKK2471" s="63"/>
      <c r="FKL2471" s="60"/>
      <c r="FKM2471" s="60"/>
      <c r="FKN2471" s="60"/>
      <c r="FKO2471" s="63"/>
      <c r="FKP2471" s="61"/>
      <c r="FKQ2471" s="54"/>
      <c r="FKR2471" s="54"/>
      <c r="FKS2471" s="63"/>
      <c r="FKT2471" s="60"/>
      <c r="FKU2471" s="60"/>
      <c r="FKV2471" s="60"/>
      <c r="FKW2471" s="63"/>
      <c r="FKX2471" s="61"/>
      <c r="FKY2471" s="54"/>
      <c r="FKZ2471" s="54"/>
      <c r="FLA2471" s="63"/>
      <c r="FLB2471" s="60"/>
      <c r="FLC2471" s="60"/>
      <c r="FLD2471" s="60"/>
      <c r="FLE2471" s="63"/>
      <c r="FLF2471" s="61"/>
      <c r="FLG2471" s="54"/>
      <c r="FLH2471" s="54"/>
      <c r="FLI2471" s="63"/>
      <c r="FLJ2471" s="60"/>
      <c r="FLK2471" s="60"/>
      <c r="FLL2471" s="60"/>
      <c r="FLM2471" s="63"/>
      <c r="FLN2471" s="61"/>
      <c r="FLO2471" s="54"/>
      <c r="FLP2471" s="54"/>
      <c r="FLQ2471" s="63"/>
      <c r="FLR2471" s="60"/>
      <c r="FLS2471" s="60"/>
      <c r="FLT2471" s="60"/>
      <c r="FLU2471" s="63"/>
      <c r="FLV2471" s="61"/>
      <c r="FLW2471" s="54"/>
      <c r="FLX2471" s="54"/>
      <c r="FLY2471" s="63"/>
      <c r="FLZ2471" s="60"/>
      <c r="FMA2471" s="60"/>
      <c r="FMB2471" s="60"/>
      <c r="FMC2471" s="63"/>
      <c r="FMD2471" s="61"/>
      <c r="FME2471" s="54"/>
      <c r="FMF2471" s="54"/>
      <c r="FMG2471" s="63"/>
      <c r="FMH2471" s="60"/>
      <c r="FMI2471" s="60"/>
      <c r="FMJ2471" s="60"/>
      <c r="FMK2471" s="63"/>
      <c r="FML2471" s="61"/>
      <c r="FMM2471" s="54"/>
      <c r="FMN2471" s="54"/>
      <c r="FMO2471" s="63"/>
      <c r="FMP2471" s="60"/>
      <c r="FMQ2471" s="60"/>
      <c r="FMR2471" s="60"/>
      <c r="FMS2471" s="63"/>
      <c r="FMT2471" s="61"/>
      <c r="FMU2471" s="54"/>
      <c r="FMV2471" s="54"/>
      <c r="FMW2471" s="63"/>
      <c r="FMX2471" s="60"/>
      <c r="FMY2471" s="60"/>
      <c r="FMZ2471" s="60"/>
      <c r="FNA2471" s="63"/>
      <c r="FNB2471" s="61"/>
      <c r="FNC2471" s="54"/>
      <c r="FND2471" s="54"/>
      <c r="FNE2471" s="63"/>
      <c r="FNF2471" s="60"/>
      <c r="FNG2471" s="60"/>
      <c r="FNH2471" s="60"/>
      <c r="FNI2471" s="63"/>
      <c r="FNJ2471" s="61"/>
      <c r="FNK2471" s="54"/>
      <c r="FNL2471" s="54"/>
      <c r="FNM2471" s="63"/>
      <c r="FNN2471" s="60"/>
      <c r="FNO2471" s="60"/>
      <c r="FNP2471" s="60"/>
      <c r="FNQ2471" s="63"/>
      <c r="FNR2471" s="61"/>
      <c r="FNS2471" s="54"/>
      <c r="FNT2471" s="54"/>
      <c r="FNU2471" s="63"/>
      <c r="FNV2471" s="60"/>
      <c r="FNW2471" s="60"/>
      <c r="FNX2471" s="60"/>
      <c r="FNY2471" s="63"/>
      <c r="FNZ2471" s="61"/>
      <c r="FOA2471" s="54"/>
      <c r="FOB2471" s="54"/>
      <c r="FOC2471" s="63"/>
      <c r="FOD2471" s="60"/>
      <c r="FOE2471" s="60"/>
      <c r="FOF2471" s="60"/>
      <c r="FOG2471" s="63"/>
      <c r="FOH2471" s="61"/>
      <c r="FOI2471" s="54"/>
      <c r="FOJ2471" s="54"/>
      <c r="FOK2471" s="63"/>
      <c r="FOL2471" s="60"/>
      <c r="FOM2471" s="60"/>
      <c r="FON2471" s="60"/>
      <c r="FOO2471" s="63"/>
      <c r="FOP2471" s="61"/>
      <c r="FOQ2471" s="54"/>
      <c r="FOR2471" s="54"/>
      <c r="FOS2471" s="63"/>
      <c r="FOT2471" s="60"/>
      <c r="FOU2471" s="60"/>
      <c r="FOV2471" s="60"/>
      <c r="FOW2471" s="63"/>
      <c r="FOX2471" s="61"/>
      <c r="FOY2471" s="54"/>
      <c r="FOZ2471" s="54"/>
      <c r="FPA2471" s="63"/>
      <c r="FPB2471" s="60"/>
      <c r="FPC2471" s="60"/>
      <c r="FPD2471" s="60"/>
      <c r="FPE2471" s="63"/>
      <c r="FPF2471" s="61"/>
      <c r="FPG2471" s="54"/>
      <c r="FPH2471" s="54"/>
      <c r="FPI2471" s="63"/>
      <c r="FPJ2471" s="60"/>
      <c r="FPK2471" s="60"/>
      <c r="FPL2471" s="60"/>
      <c r="FPM2471" s="63"/>
      <c r="FPN2471" s="61"/>
      <c r="FPO2471" s="54"/>
      <c r="FPP2471" s="54"/>
      <c r="FPQ2471" s="63"/>
      <c r="FPR2471" s="60"/>
      <c r="FPS2471" s="60"/>
      <c r="FPT2471" s="60"/>
      <c r="FPU2471" s="63"/>
      <c r="FPV2471" s="61"/>
      <c r="FPW2471" s="54"/>
      <c r="FPX2471" s="54"/>
      <c r="FPY2471" s="63"/>
      <c r="FPZ2471" s="60"/>
      <c r="FQA2471" s="60"/>
      <c r="FQB2471" s="60"/>
      <c r="FQC2471" s="63"/>
      <c r="FQD2471" s="61"/>
      <c r="FQE2471" s="54"/>
      <c r="FQF2471" s="54"/>
      <c r="FQG2471" s="63"/>
      <c r="FQH2471" s="60"/>
      <c r="FQI2471" s="60"/>
      <c r="FQJ2471" s="60"/>
      <c r="FQK2471" s="63"/>
      <c r="FQL2471" s="61"/>
      <c r="FQM2471" s="54"/>
      <c r="FQN2471" s="54"/>
      <c r="FQO2471" s="63"/>
      <c r="FQP2471" s="60"/>
      <c r="FQQ2471" s="60"/>
      <c r="FQR2471" s="60"/>
      <c r="FQS2471" s="63"/>
      <c r="FQT2471" s="61"/>
      <c r="FQU2471" s="54"/>
      <c r="FQV2471" s="54"/>
      <c r="FQW2471" s="63"/>
      <c r="FQX2471" s="60"/>
      <c r="FQY2471" s="60"/>
      <c r="FQZ2471" s="60"/>
      <c r="FRA2471" s="63"/>
      <c r="FRB2471" s="61"/>
      <c r="FRC2471" s="54"/>
      <c r="FRD2471" s="54"/>
      <c r="FRE2471" s="63"/>
      <c r="FRF2471" s="60"/>
      <c r="FRG2471" s="60"/>
      <c r="FRH2471" s="60"/>
      <c r="FRI2471" s="63"/>
      <c r="FRJ2471" s="61"/>
      <c r="FRK2471" s="54"/>
      <c r="FRL2471" s="54"/>
      <c r="FRM2471" s="63"/>
      <c r="FRN2471" s="60"/>
      <c r="FRO2471" s="60"/>
      <c r="FRP2471" s="60"/>
      <c r="FRQ2471" s="63"/>
      <c r="FRR2471" s="61"/>
      <c r="FRS2471" s="54"/>
      <c r="FRT2471" s="54"/>
      <c r="FRU2471" s="63"/>
      <c r="FRV2471" s="60"/>
      <c r="FRW2471" s="60"/>
      <c r="FRX2471" s="60"/>
      <c r="FRY2471" s="63"/>
      <c r="FRZ2471" s="61"/>
      <c r="FSA2471" s="54"/>
      <c r="FSB2471" s="54"/>
      <c r="FSC2471" s="63"/>
      <c r="FSD2471" s="60"/>
      <c r="FSE2471" s="60"/>
      <c r="FSF2471" s="60"/>
      <c r="FSG2471" s="63"/>
      <c r="FSH2471" s="61"/>
      <c r="FSI2471" s="54"/>
      <c r="FSJ2471" s="54"/>
      <c r="FSK2471" s="63"/>
      <c r="FSL2471" s="60"/>
      <c r="FSM2471" s="60"/>
      <c r="FSN2471" s="60"/>
      <c r="FSO2471" s="63"/>
      <c r="FSP2471" s="61"/>
      <c r="FSQ2471" s="54"/>
      <c r="FSR2471" s="54"/>
      <c r="FSS2471" s="63"/>
      <c r="FST2471" s="60"/>
      <c r="FSU2471" s="60"/>
      <c r="FSV2471" s="60"/>
      <c r="FSW2471" s="63"/>
      <c r="FSX2471" s="61"/>
      <c r="FSY2471" s="54"/>
      <c r="FSZ2471" s="54"/>
      <c r="FTA2471" s="63"/>
      <c r="FTB2471" s="60"/>
      <c r="FTC2471" s="60"/>
      <c r="FTD2471" s="60"/>
      <c r="FTE2471" s="63"/>
      <c r="FTF2471" s="61"/>
      <c r="FTG2471" s="54"/>
      <c r="FTH2471" s="54"/>
      <c r="FTI2471" s="63"/>
      <c r="FTJ2471" s="60"/>
      <c r="FTK2471" s="60"/>
      <c r="FTL2471" s="60"/>
      <c r="FTM2471" s="63"/>
      <c r="FTN2471" s="61"/>
      <c r="FTO2471" s="54"/>
      <c r="FTP2471" s="54"/>
      <c r="FTQ2471" s="63"/>
      <c r="FTR2471" s="60"/>
      <c r="FTS2471" s="60"/>
      <c r="FTT2471" s="60"/>
      <c r="FTU2471" s="63"/>
      <c r="FTV2471" s="61"/>
      <c r="FTW2471" s="54"/>
      <c r="FTX2471" s="54"/>
      <c r="FTY2471" s="63"/>
      <c r="FTZ2471" s="60"/>
      <c r="FUA2471" s="60"/>
      <c r="FUB2471" s="60"/>
      <c r="FUC2471" s="63"/>
      <c r="FUD2471" s="61"/>
      <c r="FUE2471" s="54"/>
      <c r="FUF2471" s="54"/>
      <c r="FUG2471" s="63"/>
      <c r="FUH2471" s="60"/>
      <c r="FUI2471" s="60"/>
      <c r="FUJ2471" s="60"/>
      <c r="FUK2471" s="63"/>
      <c r="FUL2471" s="61"/>
      <c r="FUM2471" s="54"/>
      <c r="FUN2471" s="54"/>
      <c r="FUO2471" s="63"/>
      <c r="FUP2471" s="60"/>
      <c r="FUQ2471" s="60"/>
      <c r="FUR2471" s="60"/>
      <c r="FUS2471" s="63"/>
      <c r="FUT2471" s="61"/>
      <c r="FUU2471" s="54"/>
      <c r="FUV2471" s="54"/>
      <c r="FUW2471" s="63"/>
      <c r="FUX2471" s="60"/>
      <c r="FUY2471" s="60"/>
      <c r="FUZ2471" s="60"/>
      <c r="FVA2471" s="63"/>
      <c r="FVB2471" s="61"/>
      <c r="FVC2471" s="54"/>
      <c r="FVD2471" s="54"/>
      <c r="FVE2471" s="63"/>
      <c r="FVF2471" s="60"/>
      <c r="FVG2471" s="60"/>
      <c r="FVH2471" s="60"/>
      <c r="FVI2471" s="63"/>
      <c r="FVJ2471" s="61"/>
      <c r="FVK2471" s="54"/>
      <c r="FVL2471" s="54"/>
      <c r="FVM2471" s="63"/>
      <c r="FVN2471" s="60"/>
      <c r="FVO2471" s="60"/>
      <c r="FVP2471" s="60"/>
      <c r="FVQ2471" s="63"/>
      <c r="FVR2471" s="61"/>
      <c r="FVS2471" s="54"/>
      <c r="FVT2471" s="54"/>
      <c r="FVU2471" s="63"/>
      <c r="FVV2471" s="60"/>
      <c r="FVW2471" s="60"/>
      <c r="FVX2471" s="60"/>
      <c r="FVY2471" s="63"/>
      <c r="FVZ2471" s="61"/>
      <c r="FWA2471" s="54"/>
      <c r="FWB2471" s="54"/>
      <c r="FWC2471" s="63"/>
      <c r="FWD2471" s="60"/>
      <c r="FWE2471" s="60"/>
      <c r="FWF2471" s="60"/>
      <c r="FWG2471" s="63"/>
      <c r="FWH2471" s="61"/>
      <c r="FWI2471" s="54"/>
      <c r="FWJ2471" s="54"/>
      <c r="FWK2471" s="63"/>
      <c r="FWL2471" s="60"/>
      <c r="FWM2471" s="60"/>
      <c r="FWN2471" s="60"/>
      <c r="FWO2471" s="63"/>
      <c r="FWP2471" s="61"/>
      <c r="FWQ2471" s="54"/>
      <c r="FWR2471" s="54"/>
      <c r="FWS2471" s="63"/>
      <c r="FWT2471" s="60"/>
      <c r="FWU2471" s="60"/>
      <c r="FWV2471" s="60"/>
      <c r="FWW2471" s="63"/>
      <c r="FWX2471" s="61"/>
      <c r="FWY2471" s="54"/>
      <c r="FWZ2471" s="54"/>
      <c r="FXA2471" s="63"/>
      <c r="FXB2471" s="60"/>
      <c r="FXC2471" s="60"/>
      <c r="FXD2471" s="60"/>
      <c r="FXE2471" s="63"/>
      <c r="FXF2471" s="61"/>
      <c r="FXG2471" s="54"/>
      <c r="FXH2471" s="54"/>
      <c r="FXI2471" s="63"/>
      <c r="FXJ2471" s="60"/>
      <c r="FXK2471" s="60"/>
      <c r="FXL2471" s="60"/>
      <c r="FXM2471" s="63"/>
      <c r="FXN2471" s="61"/>
      <c r="FXO2471" s="54"/>
      <c r="FXP2471" s="54"/>
      <c r="FXQ2471" s="63"/>
      <c r="FXR2471" s="60"/>
      <c r="FXS2471" s="60"/>
      <c r="FXT2471" s="60"/>
      <c r="FXU2471" s="63"/>
      <c r="FXV2471" s="61"/>
      <c r="FXW2471" s="54"/>
      <c r="FXX2471" s="54"/>
      <c r="FXY2471" s="63"/>
      <c r="FXZ2471" s="60"/>
      <c r="FYA2471" s="60"/>
      <c r="FYB2471" s="60"/>
      <c r="FYC2471" s="63"/>
      <c r="FYD2471" s="61"/>
      <c r="FYE2471" s="54"/>
      <c r="FYF2471" s="54"/>
      <c r="FYG2471" s="63"/>
      <c r="FYH2471" s="60"/>
      <c r="FYI2471" s="60"/>
      <c r="FYJ2471" s="60"/>
      <c r="FYK2471" s="63"/>
      <c r="FYL2471" s="61"/>
      <c r="FYM2471" s="54"/>
      <c r="FYN2471" s="54"/>
      <c r="FYO2471" s="63"/>
      <c r="FYP2471" s="60"/>
      <c r="FYQ2471" s="60"/>
      <c r="FYR2471" s="60"/>
      <c r="FYS2471" s="63"/>
      <c r="FYT2471" s="61"/>
      <c r="FYU2471" s="54"/>
      <c r="FYV2471" s="54"/>
      <c r="FYW2471" s="63"/>
      <c r="FYX2471" s="60"/>
      <c r="FYY2471" s="60"/>
      <c r="FYZ2471" s="60"/>
      <c r="FZA2471" s="63"/>
      <c r="FZB2471" s="61"/>
      <c r="FZC2471" s="54"/>
      <c r="FZD2471" s="54"/>
      <c r="FZE2471" s="63"/>
      <c r="FZF2471" s="60"/>
      <c r="FZG2471" s="60"/>
      <c r="FZH2471" s="60"/>
      <c r="FZI2471" s="63"/>
      <c r="FZJ2471" s="61"/>
      <c r="FZK2471" s="54"/>
      <c r="FZL2471" s="54"/>
      <c r="FZM2471" s="63"/>
      <c r="FZN2471" s="60"/>
      <c r="FZO2471" s="60"/>
      <c r="FZP2471" s="60"/>
      <c r="FZQ2471" s="63"/>
      <c r="FZR2471" s="61"/>
      <c r="FZS2471" s="54"/>
      <c r="FZT2471" s="54"/>
      <c r="FZU2471" s="63"/>
      <c r="FZV2471" s="60"/>
      <c r="FZW2471" s="60"/>
      <c r="FZX2471" s="60"/>
      <c r="FZY2471" s="63"/>
      <c r="FZZ2471" s="61"/>
      <c r="GAA2471" s="54"/>
      <c r="GAB2471" s="54"/>
      <c r="GAC2471" s="63"/>
      <c r="GAD2471" s="60"/>
      <c r="GAE2471" s="60"/>
      <c r="GAF2471" s="60"/>
      <c r="GAG2471" s="63"/>
      <c r="GAH2471" s="61"/>
      <c r="GAI2471" s="54"/>
      <c r="GAJ2471" s="54"/>
      <c r="GAK2471" s="63"/>
      <c r="GAL2471" s="60"/>
      <c r="GAM2471" s="60"/>
      <c r="GAN2471" s="60"/>
      <c r="GAO2471" s="63"/>
      <c r="GAP2471" s="61"/>
      <c r="GAQ2471" s="54"/>
      <c r="GAR2471" s="54"/>
      <c r="GAS2471" s="63"/>
      <c r="GAT2471" s="60"/>
      <c r="GAU2471" s="60"/>
      <c r="GAV2471" s="60"/>
      <c r="GAW2471" s="63"/>
      <c r="GAX2471" s="61"/>
      <c r="GAY2471" s="54"/>
      <c r="GAZ2471" s="54"/>
      <c r="GBA2471" s="63"/>
      <c r="GBB2471" s="60"/>
      <c r="GBC2471" s="60"/>
      <c r="GBD2471" s="60"/>
      <c r="GBE2471" s="63"/>
      <c r="GBF2471" s="61"/>
      <c r="GBG2471" s="54"/>
      <c r="GBH2471" s="54"/>
      <c r="GBI2471" s="63"/>
      <c r="GBJ2471" s="60"/>
      <c r="GBK2471" s="60"/>
      <c r="GBL2471" s="60"/>
      <c r="GBM2471" s="63"/>
      <c r="GBN2471" s="61"/>
      <c r="GBO2471" s="54"/>
      <c r="GBP2471" s="54"/>
      <c r="GBQ2471" s="63"/>
      <c r="GBR2471" s="60"/>
      <c r="GBS2471" s="60"/>
      <c r="GBT2471" s="60"/>
      <c r="GBU2471" s="63"/>
      <c r="GBV2471" s="61"/>
      <c r="GBW2471" s="54"/>
      <c r="GBX2471" s="54"/>
      <c r="GBY2471" s="63"/>
      <c r="GBZ2471" s="60"/>
      <c r="GCA2471" s="60"/>
      <c r="GCB2471" s="60"/>
      <c r="GCC2471" s="63"/>
      <c r="GCD2471" s="61"/>
      <c r="GCE2471" s="54"/>
      <c r="GCF2471" s="54"/>
      <c r="GCG2471" s="63"/>
      <c r="GCH2471" s="60"/>
      <c r="GCI2471" s="60"/>
      <c r="GCJ2471" s="60"/>
      <c r="GCK2471" s="63"/>
      <c r="GCL2471" s="61"/>
      <c r="GCM2471" s="54"/>
      <c r="GCN2471" s="54"/>
      <c r="GCO2471" s="63"/>
      <c r="GCP2471" s="60"/>
      <c r="GCQ2471" s="60"/>
      <c r="GCR2471" s="60"/>
      <c r="GCS2471" s="63"/>
      <c r="GCT2471" s="61"/>
      <c r="GCU2471" s="54"/>
      <c r="GCV2471" s="54"/>
      <c r="GCW2471" s="63"/>
      <c r="GCX2471" s="60"/>
      <c r="GCY2471" s="60"/>
      <c r="GCZ2471" s="60"/>
      <c r="GDA2471" s="63"/>
      <c r="GDB2471" s="61"/>
      <c r="GDC2471" s="54"/>
      <c r="GDD2471" s="54"/>
      <c r="GDE2471" s="63"/>
      <c r="GDF2471" s="60"/>
      <c r="GDG2471" s="60"/>
      <c r="GDH2471" s="60"/>
      <c r="GDI2471" s="63"/>
      <c r="GDJ2471" s="61"/>
      <c r="GDK2471" s="54"/>
      <c r="GDL2471" s="54"/>
      <c r="GDM2471" s="63"/>
      <c r="GDN2471" s="60"/>
      <c r="GDO2471" s="60"/>
      <c r="GDP2471" s="60"/>
      <c r="GDQ2471" s="63"/>
      <c r="GDR2471" s="61"/>
      <c r="GDS2471" s="54"/>
      <c r="GDT2471" s="54"/>
      <c r="GDU2471" s="63"/>
      <c r="GDV2471" s="60"/>
      <c r="GDW2471" s="60"/>
      <c r="GDX2471" s="60"/>
      <c r="GDY2471" s="63"/>
      <c r="GDZ2471" s="61"/>
      <c r="GEA2471" s="54"/>
      <c r="GEB2471" s="54"/>
      <c r="GEC2471" s="63"/>
      <c r="GED2471" s="60"/>
      <c r="GEE2471" s="60"/>
      <c r="GEF2471" s="60"/>
      <c r="GEG2471" s="63"/>
      <c r="GEH2471" s="61"/>
      <c r="GEI2471" s="54"/>
      <c r="GEJ2471" s="54"/>
      <c r="GEK2471" s="63"/>
      <c r="GEL2471" s="60"/>
      <c r="GEM2471" s="60"/>
      <c r="GEN2471" s="60"/>
      <c r="GEO2471" s="63"/>
      <c r="GEP2471" s="61"/>
      <c r="GEQ2471" s="54"/>
      <c r="GER2471" s="54"/>
      <c r="GES2471" s="63"/>
      <c r="GET2471" s="60"/>
      <c r="GEU2471" s="60"/>
      <c r="GEV2471" s="60"/>
      <c r="GEW2471" s="63"/>
      <c r="GEX2471" s="61"/>
      <c r="GEY2471" s="54"/>
      <c r="GEZ2471" s="54"/>
      <c r="GFA2471" s="63"/>
      <c r="GFB2471" s="60"/>
      <c r="GFC2471" s="60"/>
      <c r="GFD2471" s="60"/>
      <c r="GFE2471" s="63"/>
      <c r="GFF2471" s="61"/>
      <c r="GFG2471" s="54"/>
      <c r="GFH2471" s="54"/>
      <c r="GFI2471" s="63"/>
      <c r="GFJ2471" s="60"/>
      <c r="GFK2471" s="60"/>
      <c r="GFL2471" s="60"/>
      <c r="GFM2471" s="63"/>
      <c r="GFN2471" s="61"/>
      <c r="GFO2471" s="54"/>
      <c r="GFP2471" s="54"/>
      <c r="GFQ2471" s="63"/>
      <c r="GFR2471" s="60"/>
      <c r="GFS2471" s="60"/>
      <c r="GFT2471" s="60"/>
      <c r="GFU2471" s="63"/>
      <c r="GFV2471" s="61"/>
      <c r="GFW2471" s="54"/>
      <c r="GFX2471" s="54"/>
      <c r="GFY2471" s="63"/>
      <c r="GFZ2471" s="60"/>
      <c r="GGA2471" s="60"/>
      <c r="GGB2471" s="60"/>
      <c r="GGC2471" s="63"/>
      <c r="GGD2471" s="61"/>
      <c r="GGE2471" s="54"/>
      <c r="GGF2471" s="54"/>
      <c r="GGG2471" s="63"/>
      <c r="GGH2471" s="60"/>
      <c r="GGI2471" s="60"/>
      <c r="GGJ2471" s="60"/>
      <c r="GGK2471" s="63"/>
      <c r="GGL2471" s="61"/>
      <c r="GGM2471" s="54"/>
      <c r="GGN2471" s="54"/>
      <c r="GGO2471" s="63"/>
      <c r="GGP2471" s="60"/>
      <c r="GGQ2471" s="60"/>
      <c r="GGR2471" s="60"/>
      <c r="GGS2471" s="63"/>
      <c r="GGT2471" s="61"/>
      <c r="GGU2471" s="54"/>
      <c r="GGV2471" s="54"/>
      <c r="GGW2471" s="63"/>
      <c r="GGX2471" s="60"/>
      <c r="GGY2471" s="60"/>
      <c r="GGZ2471" s="60"/>
      <c r="GHA2471" s="63"/>
      <c r="GHB2471" s="61"/>
      <c r="GHC2471" s="54"/>
      <c r="GHD2471" s="54"/>
      <c r="GHE2471" s="63"/>
      <c r="GHF2471" s="60"/>
      <c r="GHG2471" s="60"/>
      <c r="GHH2471" s="60"/>
      <c r="GHI2471" s="63"/>
      <c r="GHJ2471" s="61"/>
      <c r="GHK2471" s="54"/>
      <c r="GHL2471" s="54"/>
      <c r="GHM2471" s="63"/>
      <c r="GHN2471" s="60"/>
      <c r="GHO2471" s="60"/>
      <c r="GHP2471" s="60"/>
      <c r="GHQ2471" s="63"/>
      <c r="GHR2471" s="61"/>
      <c r="GHS2471" s="54"/>
      <c r="GHT2471" s="54"/>
      <c r="GHU2471" s="63"/>
      <c r="GHV2471" s="60"/>
      <c r="GHW2471" s="60"/>
      <c r="GHX2471" s="60"/>
      <c r="GHY2471" s="63"/>
      <c r="GHZ2471" s="61"/>
      <c r="GIA2471" s="54"/>
      <c r="GIB2471" s="54"/>
      <c r="GIC2471" s="63"/>
      <c r="GID2471" s="60"/>
      <c r="GIE2471" s="60"/>
      <c r="GIF2471" s="60"/>
      <c r="GIG2471" s="63"/>
      <c r="GIH2471" s="61"/>
      <c r="GII2471" s="54"/>
      <c r="GIJ2471" s="54"/>
      <c r="GIK2471" s="63"/>
      <c r="GIL2471" s="60"/>
      <c r="GIM2471" s="60"/>
      <c r="GIN2471" s="60"/>
      <c r="GIO2471" s="63"/>
      <c r="GIP2471" s="61"/>
      <c r="GIQ2471" s="54"/>
      <c r="GIR2471" s="54"/>
      <c r="GIS2471" s="63"/>
      <c r="GIT2471" s="60"/>
      <c r="GIU2471" s="60"/>
      <c r="GIV2471" s="60"/>
      <c r="GIW2471" s="63"/>
      <c r="GIX2471" s="61"/>
      <c r="GIY2471" s="54"/>
      <c r="GIZ2471" s="54"/>
      <c r="GJA2471" s="63"/>
      <c r="GJB2471" s="60"/>
      <c r="GJC2471" s="60"/>
      <c r="GJD2471" s="60"/>
      <c r="GJE2471" s="63"/>
      <c r="GJF2471" s="61"/>
      <c r="GJG2471" s="54"/>
      <c r="GJH2471" s="54"/>
      <c r="GJI2471" s="63"/>
      <c r="GJJ2471" s="60"/>
      <c r="GJK2471" s="60"/>
      <c r="GJL2471" s="60"/>
      <c r="GJM2471" s="63"/>
      <c r="GJN2471" s="61"/>
      <c r="GJO2471" s="54"/>
      <c r="GJP2471" s="54"/>
      <c r="GJQ2471" s="63"/>
      <c r="GJR2471" s="60"/>
      <c r="GJS2471" s="60"/>
      <c r="GJT2471" s="60"/>
      <c r="GJU2471" s="63"/>
      <c r="GJV2471" s="61"/>
      <c r="GJW2471" s="54"/>
      <c r="GJX2471" s="54"/>
      <c r="GJY2471" s="63"/>
      <c r="GJZ2471" s="60"/>
      <c r="GKA2471" s="60"/>
      <c r="GKB2471" s="60"/>
      <c r="GKC2471" s="63"/>
      <c r="GKD2471" s="61"/>
      <c r="GKE2471" s="54"/>
      <c r="GKF2471" s="54"/>
      <c r="GKG2471" s="63"/>
      <c r="GKH2471" s="60"/>
      <c r="GKI2471" s="60"/>
      <c r="GKJ2471" s="60"/>
      <c r="GKK2471" s="63"/>
      <c r="GKL2471" s="61"/>
      <c r="GKM2471" s="54"/>
      <c r="GKN2471" s="54"/>
      <c r="GKO2471" s="63"/>
      <c r="GKP2471" s="60"/>
      <c r="GKQ2471" s="60"/>
      <c r="GKR2471" s="60"/>
      <c r="GKS2471" s="63"/>
      <c r="GKT2471" s="61"/>
      <c r="GKU2471" s="54"/>
      <c r="GKV2471" s="54"/>
      <c r="GKW2471" s="63"/>
      <c r="GKX2471" s="60"/>
      <c r="GKY2471" s="60"/>
      <c r="GKZ2471" s="60"/>
      <c r="GLA2471" s="63"/>
      <c r="GLB2471" s="61"/>
      <c r="GLC2471" s="54"/>
      <c r="GLD2471" s="54"/>
      <c r="GLE2471" s="63"/>
      <c r="GLF2471" s="60"/>
      <c r="GLG2471" s="60"/>
      <c r="GLH2471" s="60"/>
      <c r="GLI2471" s="63"/>
      <c r="GLJ2471" s="61"/>
      <c r="GLK2471" s="54"/>
      <c r="GLL2471" s="54"/>
      <c r="GLM2471" s="63"/>
      <c r="GLN2471" s="60"/>
      <c r="GLO2471" s="60"/>
      <c r="GLP2471" s="60"/>
      <c r="GLQ2471" s="63"/>
      <c r="GLR2471" s="61"/>
      <c r="GLS2471" s="54"/>
      <c r="GLT2471" s="54"/>
      <c r="GLU2471" s="63"/>
      <c r="GLV2471" s="60"/>
      <c r="GLW2471" s="60"/>
      <c r="GLX2471" s="60"/>
      <c r="GLY2471" s="63"/>
      <c r="GLZ2471" s="61"/>
      <c r="GMA2471" s="54"/>
      <c r="GMB2471" s="54"/>
      <c r="GMC2471" s="63"/>
      <c r="GMD2471" s="60"/>
      <c r="GME2471" s="60"/>
      <c r="GMF2471" s="60"/>
      <c r="GMG2471" s="63"/>
      <c r="GMH2471" s="61"/>
      <c r="GMI2471" s="54"/>
      <c r="GMJ2471" s="54"/>
      <c r="GMK2471" s="63"/>
      <c r="GML2471" s="60"/>
      <c r="GMM2471" s="60"/>
      <c r="GMN2471" s="60"/>
      <c r="GMO2471" s="63"/>
      <c r="GMP2471" s="61"/>
      <c r="GMQ2471" s="54"/>
      <c r="GMR2471" s="54"/>
      <c r="GMS2471" s="63"/>
      <c r="GMT2471" s="60"/>
      <c r="GMU2471" s="60"/>
      <c r="GMV2471" s="60"/>
      <c r="GMW2471" s="63"/>
      <c r="GMX2471" s="61"/>
      <c r="GMY2471" s="54"/>
      <c r="GMZ2471" s="54"/>
      <c r="GNA2471" s="63"/>
      <c r="GNB2471" s="60"/>
      <c r="GNC2471" s="60"/>
      <c r="GND2471" s="60"/>
      <c r="GNE2471" s="63"/>
      <c r="GNF2471" s="61"/>
      <c r="GNG2471" s="54"/>
      <c r="GNH2471" s="54"/>
      <c r="GNI2471" s="63"/>
      <c r="GNJ2471" s="60"/>
      <c r="GNK2471" s="60"/>
      <c r="GNL2471" s="60"/>
      <c r="GNM2471" s="63"/>
      <c r="GNN2471" s="61"/>
      <c r="GNO2471" s="54"/>
      <c r="GNP2471" s="54"/>
      <c r="GNQ2471" s="63"/>
      <c r="GNR2471" s="60"/>
      <c r="GNS2471" s="60"/>
      <c r="GNT2471" s="60"/>
      <c r="GNU2471" s="63"/>
      <c r="GNV2471" s="61"/>
      <c r="GNW2471" s="54"/>
      <c r="GNX2471" s="54"/>
      <c r="GNY2471" s="63"/>
      <c r="GNZ2471" s="60"/>
      <c r="GOA2471" s="60"/>
      <c r="GOB2471" s="60"/>
      <c r="GOC2471" s="63"/>
      <c r="GOD2471" s="61"/>
      <c r="GOE2471" s="54"/>
      <c r="GOF2471" s="54"/>
      <c r="GOG2471" s="63"/>
      <c r="GOH2471" s="60"/>
      <c r="GOI2471" s="60"/>
      <c r="GOJ2471" s="60"/>
      <c r="GOK2471" s="63"/>
      <c r="GOL2471" s="61"/>
      <c r="GOM2471" s="54"/>
      <c r="GON2471" s="54"/>
      <c r="GOO2471" s="63"/>
      <c r="GOP2471" s="60"/>
      <c r="GOQ2471" s="60"/>
      <c r="GOR2471" s="60"/>
      <c r="GOS2471" s="63"/>
      <c r="GOT2471" s="61"/>
      <c r="GOU2471" s="54"/>
      <c r="GOV2471" s="54"/>
      <c r="GOW2471" s="63"/>
      <c r="GOX2471" s="60"/>
      <c r="GOY2471" s="60"/>
      <c r="GOZ2471" s="60"/>
      <c r="GPA2471" s="63"/>
      <c r="GPB2471" s="61"/>
      <c r="GPC2471" s="54"/>
      <c r="GPD2471" s="54"/>
      <c r="GPE2471" s="63"/>
      <c r="GPF2471" s="60"/>
      <c r="GPG2471" s="60"/>
      <c r="GPH2471" s="60"/>
      <c r="GPI2471" s="63"/>
      <c r="GPJ2471" s="61"/>
      <c r="GPK2471" s="54"/>
      <c r="GPL2471" s="54"/>
      <c r="GPM2471" s="63"/>
      <c r="GPN2471" s="60"/>
      <c r="GPO2471" s="60"/>
      <c r="GPP2471" s="60"/>
      <c r="GPQ2471" s="63"/>
      <c r="GPR2471" s="61"/>
      <c r="GPS2471" s="54"/>
      <c r="GPT2471" s="54"/>
      <c r="GPU2471" s="63"/>
      <c r="GPV2471" s="60"/>
      <c r="GPW2471" s="60"/>
      <c r="GPX2471" s="60"/>
      <c r="GPY2471" s="63"/>
      <c r="GPZ2471" s="61"/>
      <c r="GQA2471" s="54"/>
      <c r="GQB2471" s="54"/>
      <c r="GQC2471" s="63"/>
      <c r="GQD2471" s="60"/>
      <c r="GQE2471" s="60"/>
      <c r="GQF2471" s="60"/>
      <c r="GQG2471" s="63"/>
      <c r="GQH2471" s="61"/>
      <c r="GQI2471" s="54"/>
      <c r="GQJ2471" s="54"/>
      <c r="GQK2471" s="63"/>
      <c r="GQL2471" s="60"/>
      <c r="GQM2471" s="60"/>
      <c r="GQN2471" s="60"/>
      <c r="GQO2471" s="63"/>
      <c r="GQP2471" s="61"/>
      <c r="GQQ2471" s="54"/>
      <c r="GQR2471" s="54"/>
      <c r="GQS2471" s="63"/>
      <c r="GQT2471" s="60"/>
      <c r="GQU2471" s="60"/>
      <c r="GQV2471" s="60"/>
      <c r="GQW2471" s="63"/>
      <c r="GQX2471" s="61"/>
      <c r="GQY2471" s="54"/>
      <c r="GQZ2471" s="54"/>
      <c r="GRA2471" s="63"/>
      <c r="GRB2471" s="60"/>
      <c r="GRC2471" s="60"/>
      <c r="GRD2471" s="60"/>
      <c r="GRE2471" s="63"/>
      <c r="GRF2471" s="61"/>
      <c r="GRG2471" s="54"/>
      <c r="GRH2471" s="54"/>
      <c r="GRI2471" s="63"/>
      <c r="GRJ2471" s="60"/>
      <c r="GRK2471" s="60"/>
      <c r="GRL2471" s="60"/>
      <c r="GRM2471" s="63"/>
      <c r="GRN2471" s="61"/>
      <c r="GRO2471" s="54"/>
      <c r="GRP2471" s="54"/>
      <c r="GRQ2471" s="63"/>
      <c r="GRR2471" s="60"/>
      <c r="GRS2471" s="60"/>
      <c r="GRT2471" s="60"/>
      <c r="GRU2471" s="63"/>
      <c r="GRV2471" s="61"/>
      <c r="GRW2471" s="54"/>
      <c r="GRX2471" s="54"/>
      <c r="GRY2471" s="63"/>
      <c r="GRZ2471" s="60"/>
      <c r="GSA2471" s="60"/>
      <c r="GSB2471" s="60"/>
      <c r="GSC2471" s="63"/>
      <c r="GSD2471" s="61"/>
      <c r="GSE2471" s="54"/>
      <c r="GSF2471" s="54"/>
      <c r="GSG2471" s="63"/>
      <c r="GSH2471" s="60"/>
      <c r="GSI2471" s="60"/>
      <c r="GSJ2471" s="60"/>
      <c r="GSK2471" s="63"/>
      <c r="GSL2471" s="61"/>
      <c r="GSM2471" s="54"/>
      <c r="GSN2471" s="54"/>
      <c r="GSO2471" s="63"/>
      <c r="GSP2471" s="60"/>
      <c r="GSQ2471" s="60"/>
      <c r="GSR2471" s="60"/>
      <c r="GSS2471" s="63"/>
      <c r="GST2471" s="61"/>
      <c r="GSU2471" s="54"/>
      <c r="GSV2471" s="54"/>
      <c r="GSW2471" s="63"/>
      <c r="GSX2471" s="60"/>
      <c r="GSY2471" s="60"/>
      <c r="GSZ2471" s="60"/>
      <c r="GTA2471" s="63"/>
      <c r="GTB2471" s="61"/>
      <c r="GTC2471" s="54"/>
      <c r="GTD2471" s="54"/>
      <c r="GTE2471" s="63"/>
      <c r="GTF2471" s="60"/>
      <c r="GTG2471" s="60"/>
      <c r="GTH2471" s="60"/>
      <c r="GTI2471" s="63"/>
      <c r="GTJ2471" s="61"/>
      <c r="GTK2471" s="54"/>
      <c r="GTL2471" s="54"/>
      <c r="GTM2471" s="63"/>
      <c r="GTN2471" s="60"/>
      <c r="GTO2471" s="60"/>
      <c r="GTP2471" s="60"/>
      <c r="GTQ2471" s="63"/>
      <c r="GTR2471" s="61"/>
      <c r="GTS2471" s="54"/>
      <c r="GTT2471" s="54"/>
      <c r="GTU2471" s="63"/>
      <c r="GTV2471" s="60"/>
      <c r="GTW2471" s="60"/>
      <c r="GTX2471" s="60"/>
      <c r="GTY2471" s="63"/>
      <c r="GTZ2471" s="61"/>
      <c r="GUA2471" s="54"/>
      <c r="GUB2471" s="54"/>
      <c r="GUC2471" s="63"/>
      <c r="GUD2471" s="60"/>
      <c r="GUE2471" s="60"/>
      <c r="GUF2471" s="60"/>
      <c r="GUG2471" s="63"/>
      <c r="GUH2471" s="61"/>
      <c r="GUI2471" s="54"/>
      <c r="GUJ2471" s="54"/>
      <c r="GUK2471" s="63"/>
      <c r="GUL2471" s="60"/>
      <c r="GUM2471" s="60"/>
      <c r="GUN2471" s="60"/>
      <c r="GUO2471" s="63"/>
      <c r="GUP2471" s="61"/>
      <c r="GUQ2471" s="54"/>
      <c r="GUR2471" s="54"/>
      <c r="GUS2471" s="63"/>
      <c r="GUT2471" s="60"/>
      <c r="GUU2471" s="60"/>
      <c r="GUV2471" s="60"/>
      <c r="GUW2471" s="63"/>
      <c r="GUX2471" s="61"/>
      <c r="GUY2471" s="54"/>
      <c r="GUZ2471" s="54"/>
      <c r="GVA2471" s="63"/>
      <c r="GVB2471" s="60"/>
      <c r="GVC2471" s="60"/>
      <c r="GVD2471" s="60"/>
      <c r="GVE2471" s="63"/>
      <c r="GVF2471" s="61"/>
      <c r="GVG2471" s="54"/>
      <c r="GVH2471" s="54"/>
      <c r="GVI2471" s="63"/>
      <c r="GVJ2471" s="60"/>
      <c r="GVK2471" s="60"/>
      <c r="GVL2471" s="60"/>
      <c r="GVM2471" s="63"/>
      <c r="GVN2471" s="61"/>
      <c r="GVO2471" s="54"/>
      <c r="GVP2471" s="54"/>
      <c r="GVQ2471" s="63"/>
      <c r="GVR2471" s="60"/>
      <c r="GVS2471" s="60"/>
      <c r="GVT2471" s="60"/>
      <c r="GVU2471" s="63"/>
      <c r="GVV2471" s="61"/>
      <c r="GVW2471" s="54"/>
      <c r="GVX2471" s="54"/>
      <c r="GVY2471" s="63"/>
      <c r="GVZ2471" s="60"/>
      <c r="GWA2471" s="60"/>
      <c r="GWB2471" s="60"/>
      <c r="GWC2471" s="63"/>
      <c r="GWD2471" s="61"/>
      <c r="GWE2471" s="54"/>
      <c r="GWF2471" s="54"/>
      <c r="GWG2471" s="63"/>
      <c r="GWH2471" s="60"/>
      <c r="GWI2471" s="60"/>
      <c r="GWJ2471" s="60"/>
      <c r="GWK2471" s="63"/>
      <c r="GWL2471" s="61"/>
      <c r="GWM2471" s="54"/>
      <c r="GWN2471" s="54"/>
      <c r="GWO2471" s="63"/>
      <c r="GWP2471" s="60"/>
      <c r="GWQ2471" s="60"/>
      <c r="GWR2471" s="60"/>
      <c r="GWS2471" s="63"/>
      <c r="GWT2471" s="61"/>
      <c r="GWU2471" s="54"/>
      <c r="GWV2471" s="54"/>
      <c r="GWW2471" s="63"/>
      <c r="GWX2471" s="60"/>
      <c r="GWY2471" s="60"/>
      <c r="GWZ2471" s="60"/>
      <c r="GXA2471" s="63"/>
      <c r="GXB2471" s="61"/>
      <c r="GXC2471" s="54"/>
      <c r="GXD2471" s="54"/>
      <c r="GXE2471" s="63"/>
      <c r="GXF2471" s="60"/>
      <c r="GXG2471" s="60"/>
      <c r="GXH2471" s="60"/>
      <c r="GXI2471" s="63"/>
      <c r="GXJ2471" s="61"/>
      <c r="GXK2471" s="54"/>
      <c r="GXL2471" s="54"/>
      <c r="GXM2471" s="63"/>
      <c r="GXN2471" s="60"/>
      <c r="GXO2471" s="60"/>
      <c r="GXP2471" s="60"/>
      <c r="GXQ2471" s="63"/>
      <c r="GXR2471" s="61"/>
      <c r="GXS2471" s="54"/>
      <c r="GXT2471" s="54"/>
      <c r="GXU2471" s="63"/>
      <c r="GXV2471" s="60"/>
      <c r="GXW2471" s="60"/>
      <c r="GXX2471" s="60"/>
      <c r="GXY2471" s="63"/>
      <c r="GXZ2471" s="61"/>
      <c r="GYA2471" s="54"/>
      <c r="GYB2471" s="54"/>
      <c r="GYC2471" s="63"/>
      <c r="GYD2471" s="60"/>
      <c r="GYE2471" s="60"/>
      <c r="GYF2471" s="60"/>
      <c r="GYG2471" s="63"/>
      <c r="GYH2471" s="61"/>
      <c r="GYI2471" s="54"/>
      <c r="GYJ2471" s="54"/>
      <c r="GYK2471" s="63"/>
      <c r="GYL2471" s="60"/>
      <c r="GYM2471" s="60"/>
      <c r="GYN2471" s="60"/>
      <c r="GYO2471" s="63"/>
      <c r="GYP2471" s="61"/>
      <c r="GYQ2471" s="54"/>
      <c r="GYR2471" s="54"/>
      <c r="GYS2471" s="63"/>
      <c r="GYT2471" s="60"/>
      <c r="GYU2471" s="60"/>
      <c r="GYV2471" s="60"/>
      <c r="GYW2471" s="63"/>
      <c r="GYX2471" s="61"/>
      <c r="GYY2471" s="54"/>
      <c r="GYZ2471" s="54"/>
      <c r="GZA2471" s="63"/>
      <c r="GZB2471" s="60"/>
      <c r="GZC2471" s="60"/>
      <c r="GZD2471" s="60"/>
      <c r="GZE2471" s="63"/>
      <c r="GZF2471" s="61"/>
      <c r="GZG2471" s="54"/>
      <c r="GZH2471" s="54"/>
      <c r="GZI2471" s="63"/>
      <c r="GZJ2471" s="60"/>
      <c r="GZK2471" s="60"/>
      <c r="GZL2471" s="60"/>
      <c r="GZM2471" s="63"/>
      <c r="GZN2471" s="61"/>
      <c r="GZO2471" s="54"/>
      <c r="GZP2471" s="54"/>
      <c r="GZQ2471" s="63"/>
      <c r="GZR2471" s="60"/>
      <c r="GZS2471" s="60"/>
      <c r="GZT2471" s="60"/>
      <c r="GZU2471" s="63"/>
      <c r="GZV2471" s="61"/>
      <c r="GZW2471" s="54"/>
      <c r="GZX2471" s="54"/>
      <c r="GZY2471" s="63"/>
      <c r="GZZ2471" s="60"/>
      <c r="HAA2471" s="60"/>
      <c r="HAB2471" s="60"/>
      <c r="HAC2471" s="63"/>
      <c r="HAD2471" s="61"/>
      <c r="HAE2471" s="54"/>
      <c r="HAF2471" s="54"/>
      <c r="HAG2471" s="63"/>
      <c r="HAH2471" s="60"/>
      <c r="HAI2471" s="60"/>
      <c r="HAJ2471" s="60"/>
      <c r="HAK2471" s="63"/>
      <c r="HAL2471" s="61"/>
      <c r="HAM2471" s="54"/>
      <c r="HAN2471" s="54"/>
      <c r="HAO2471" s="63"/>
      <c r="HAP2471" s="60"/>
      <c r="HAQ2471" s="60"/>
      <c r="HAR2471" s="60"/>
      <c r="HAS2471" s="63"/>
      <c r="HAT2471" s="61"/>
      <c r="HAU2471" s="54"/>
      <c r="HAV2471" s="54"/>
      <c r="HAW2471" s="63"/>
      <c r="HAX2471" s="60"/>
      <c r="HAY2471" s="60"/>
      <c r="HAZ2471" s="60"/>
      <c r="HBA2471" s="63"/>
      <c r="HBB2471" s="61"/>
      <c r="HBC2471" s="54"/>
      <c r="HBD2471" s="54"/>
      <c r="HBE2471" s="63"/>
      <c r="HBF2471" s="60"/>
      <c r="HBG2471" s="60"/>
      <c r="HBH2471" s="60"/>
      <c r="HBI2471" s="63"/>
      <c r="HBJ2471" s="61"/>
      <c r="HBK2471" s="54"/>
      <c r="HBL2471" s="54"/>
      <c r="HBM2471" s="63"/>
      <c r="HBN2471" s="60"/>
      <c r="HBO2471" s="60"/>
      <c r="HBP2471" s="60"/>
      <c r="HBQ2471" s="63"/>
      <c r="HBR2471" s="61"/>
      <c r="HBS2471" s="54"/>
      <c r="HBT2471" s="54"/>
      <c r="HBU2471" s="63"/>
      <c r="HBV2471" s="60"/>
      <c r="HBW2471" s="60"/>
      <c r="HBX2471" s="60"/>
      <c r="HBY2471" s="63"/>
      <c r="HBZ2471" s="61"/>
      <c r="HCA2471" s="54"/>
      <c r="HCB2471" s="54"/>
      <c r="HCC2471" s="63"/>
      <c r="HCD2471" s="60"/>
      <c r="HCE2471" s="60"/>
      <c r="HCF2471" s="60"/>
      <c r="HCG2471" s="63"/>
      <c r="HCH2471" s="61"/>
      <c r="HCI2471" s="54"/>
      <c r="HCJ2471" s="54"/>
      <c r="HCK2471" s="63"/>
      <c r="HCL2471" s="60"/>
      <c r="HCM2471" s="60"/>
      <c r="HCN2471" s="60"/>
      <c r="HCO2471" s="63"/>
      <c r="HCP2471" s="61"/>
      <c r="HCQ2471" s="54"/>
      <c r="HCR2471" s="54"/>
      <c r="HCS2471" s="63"/>
      <c r="HCT2471" s="60"/>
      <c r="HCU2471" s="60"/>
      <c r="HCV2471" s="60"/>
      <c r="HCW2471" s="63"/>
      <c r="HCX2471" s="61"/>
      <c r="HCY2471" s="54"/>
      <c r="HCZ2471" s="54"/>
      <c r="HDA2471" s="63"/>
      <c r="HDB2471" s="60"/>
      <c r="HDC2471" s="60"/>
      <c r="HDD2471" s="60"/>
      <c r="HDE2471" s="63"/>
      <c r="HDF2471" s="61"/>
      <c r="HDG2471" s="54"/>
      <c r="HDH2471" s="54"/>
      <c r="HDI2471" s="63"/>
      <c r="HDJ2471" s="60"/>
      <c r="HDK2471" s="60"/>
      <c r="HDL2471" s="60"/>
      <c r="HDM2471" s="63"/>
      <c r="HDN2471" s="61"/>
      <c r="HDO2471" s="54"/>
      <c r="HDP2471" s="54"/>
      <c r="HDQ2471" s="63"/>
      <c r="HDR2471" s="60"/>
      <c r="HDS2471" s="60"/>
      <c r="HDT2471" s="60"/>
      <c r="HDU2471" s="63"/>
      <c r="HDV2471" s="61"/>
      <c r="HDW2471" s="54"/>
      <c r="HDX2471" s="54"/>
      <c r="HDY2471" s="63"/>
      <c r="HDZ2471" s="60"/>
      <c r="HEA2471" s="60"/>
      <c r="HEB2471" s="60"/>
      <c r="HEC2471" s="63"/>
      <c r="HED2471" s="61"/>
      <c r="HEE2471" s="54"/>
      <c r="HEF2471" s="54"/>
      <c r="HEG2471" s="63"/>
      <c r="HEH2471" s="60"/>
      <c r="HEI2471" s="60"/>
      <c r="HEJ2471" s="60"/>
      <c r="HEK2471" s="63"/>
      <c r="HEL2471" s="61"/>
      <c r="HEM2471" s="54"/>
      <c r="HEN2471" s="54"/>
      <c r="HEO2471" s="63"/>
      <c r="HEP2471" s="60"/>
      <c r="HEQ2471" s="60"/>
      <c r="HER2471" s="60"/>
      <c r="HES2471" s="63"/>
      <c r="HET2471" s="61"/>
      <c r="HEU2471" s="54"/>
      <c r="HEV2471" s="54"/>
      <c r="HEW2471" s="63"/>
      <c r="HEX2471" s="60"/>
      <c r="HEY2471" s="60"/>
      <c r="HEZ2471" s="60"/>
      <c r="HFA2471" s="63"/>
      <c r="HFB2471" s="61"/>
      <c r="HFC2471" s="54"/>
      <c r="HFD2471" s="54"/>
      <c r="HFE2471" s="63"/>
      <c r="HFF2471" s="60"/>
      <c r="HFG2471" s="60"/>
      <c r="HFH2471" s="60"/>
      <c r="HFI2471" s="63"/>
      <c r="HFJ2471" s="61"/>
      <c r="HFK2471" s="54"/>
      <c r="HFL2471" s="54"/>
      <c r="HFM2471" s="63"/>
      <c r="HFN2471" s="60"/>
      <c r="HFO2471" s="60"/>
      <c r="HFP2471" s="60"/>
      <c r="HFQ2471" s="63"/>
      <c r="HFR2471" s="61"/>
      <c r="HFS2471" s="54"/>
      <c r="HFT2471" s="54"/>
      <c r="HFU2471" s="63"/>
      <c r="HFV2471" s="60"/>
      <c r="HFW2471" s="60"/>
      <c r="HFX2471" s="60"/>
      <c r="HFY2471" s="63"/>
      <c r="HFZ2471" s="61"/>
      <c r="HGA2471" s="54"/>
      <c r="HGB2471" s="54"/>
      <c r="HGC2471" s="63"/>
      <c r="HGD2471" s="60"/>
      <c r="HGE2471" s="60"/>
      <c r="HGF2471" s="60"/>
      <c r="HGG2471" s="63"/>
      <c r="HGH2471" s="61"/>
      <c r="HGI2471" s="54"/>
      <c r="HGJ2471" s="54"/>
      <c r="HGK2471" s="63"/>
      <c r="HGL2471" s="60"/>
      <c r="HGM2471" s="60"/>
      <c r="HGN2471" s="60"/>
      <c r="HGO2471" s="63"/>
      <c r="HGP2471" s="61"/>
      <c r="HGQ2471" s="54"/>
      <c r="HGR2471" s="54"/>
      <c r="HGS2471" s="63"/>
      <c r="HGT2471" s="60"/>
      <c r="HGU2471" s="60"/>
      <c r="HGV2471" s="60"/>
      <c r="HGW2471" s="63"/>
      <c r="HGX2471" s="61"/>
      <c r="HGY2471" s="54"/>
      <c r="HGZ2471" s="54"/>
      <c r="HHA2471" s="63"/>
      <c r="HHB2471" s="60"/>
      <c r="HHC2471" s="60"/>
      <c r="HHD2471" s="60"/>
      <c r="HHE2471" s="63"/>
      <c r="HHF2471" s="61"/>
      <c r="HHG2471" s="54"/>
      <c r="HHH2471" s="54"/>
      <c r="HHI2471" s="63"/>
      <c r="HHJ2471" s="60"/>
      <c r="HHK2471" s="60"/>
      <c r="HHL2471" s="60"/>
      <c r="HHM2471" s="63"/>
      <c r="HHN2471" s="61"/>
      <c r="HHO2471" s="54"/>
      <c r="HHP2471" s="54"/>
      <c r="HHQ2471" s="63"/>
      <c r="HHR2471" s="60"/>
      <c r="HHS2471" s="60"/>
      <c r="HHT2471" s="60"/>
      <c r="HHU2471" s="63"/>
      <c r="HHV2471" s="61"/>
      <c r="HHW2471" s="54"/>
      <c r="HHX2471" s="54"/>
      <c r="HHY2471" s="63"/>
      <c r="HHZ2471" s="60"/>
      <c r="HIA2471" s="60"/>
      <c r="HIB2471" s="60"/>
      <c r="HIC2471" s="63"/>
      <c r="HID2471" s="61"/>
      <c r="HIE2471" s="54"/>
      <c r="HIF2471" s="54"/>
      <c r="HIG2471" s="63"/>
      <c r="HIH2471" s="60"/>
      <c r="HII2471" s="60"/>
      <c r="HIJ2471" s="60"/>
      <c r="HIK2471" s="63"/>
      <c r="HIL2471" s="61"/>
      <c r="HIM2471" s="54"/>
      <c r="HIN2471" s="54"/>
      <c r="HIO2471" s="63"/>
      <c r="HIP2471" s="60"/>
      <c r="HIQ2471" s="60"/>
      <c r="HIR2471" s="60"/>
      <c r="HIS2471" s="63"/>
      <c r="HIT2471" s="61"/>
      <c r="HIU2471" s="54"/>
      <c r="HIV2471" s="54"/>
      <c r="HIW2471" s="63"/>
      <c r="HIX2471" s="60"/>
      <c r="HIY2471" s="60"/>
      <c r="HIZ2471" s="60"/>
      <c r="HJA2471" s="63"/>
      <c r="HJB2471" s="61"/>
      <c r="HJC2471" s="54"/>
      <c r="HJD2471" s="54"/>
      <c r="HJE2471" s="63"/>
      <c r="HJF2471" s="60"/>
      <c r="HJG2471" s="60"/>
      <c r="HJH2471" s="60"/>
      <c r="HJI2471" s="63"/>
      <c r="HJJ2471" s="61"/>
      <c r="HJK2471" s="54"/>
      <c r="HJL2471" s="54"/>
      <c r="HJM2471" s="63"/>
      <c r="HJN2471" s="60"/>
      <c r="HJO2471" s="60"/>
      <c r="HJP2471" s="60"/>
      <c r="HJQ2471" s="63"/>
      <c r="HJR2471" s="61"/>
      <c r="HJS2471" s="54"/>
      <c r="HJT2471" s="54"/>
      <c r="HJU2471" s="63"/>
      <c r="HJV2471" s="60"/>
      <c r="HJW2471" s="60"/>
      <c r="HJX2471" s="60"/>
      <c r="HJY2471" s="63"/>
      <c r="HJZ2471" s="61"/>
      <c r="HKA2471" s="54"/>
      <c r="HKB2471" s="54"/>
      <c r="HKC2471" s="63"/>
      <c r="HKD2471" s="60"/>
      <c r="HKE2471" s="60"/>
      <c r="HKF2471" s="60"/>
      <c r="HKG2471" s="63"/>
      <c r="HKH2471" s="61"/>
      <c r="HKI2471" s="54"/>
      <c r="HKJ2471" s="54"/>
      <c r="HKK2471" s="63"/>
      <c r="HKL2471" s="60"/>
      <c r="HKM2471" s="60"/>
      <c r="HKN2471" s="60"/>
      <c r="HKO2471" s="63"/>
      <c r="HKP2471" s="61"/>
      <c r="HKQ2471" s="54"/>
      <c r="HKR2471" s="54"/>
      <c r="HKS2471" s="63"/>
      <c r="HKT2471" s="60"/>
      <c r="HKU2471" s="60"/>
      <c r="HKV2471" s="60"/>
      <c r="HKW2471" s="63"/>
      <c r="HKX2471" s="61"/>
      <c r="HKY2471" s="54"/>
      <c r="HKZ2471" s="54"/>
      <c r="HLA2471" s="63"/>
      <c r="HLB2471" s="60"/>
      <c r="HLC2471" s="60"/>
      <c r="HLD2471" s="60"/>
      <c r="HLE2471" s="63"/>
      <c r="HLF2471" s="61"/>
      <c r="HLG2471" s="54"/>
      <c r="HLH2471" s="54"/>
      <c r="HLI2471" s="63"/>
      <c r="HLJ2471" s="60"/>
      <c r="HLK2471" s="60"/>
      <c r="HLL2471" s="60"/>
      <c r="HLM2471" s="63"/>
      <c r="HLN2471" s="61"/>
      <c r="HLO2471" s="54"/>
      <c r="HLP2471" s="54"/>
      <c r="HLQ2471" s="63"/>
      <c r="HLR2471" s="60"/>
      <c r="HLS2471" s="60"/>
      <c r="HLT2471" s="60"/>
      <c r="HLU2471" s="63"/>
      <c r="HLV2471" s="61"/>
      <c r="HLW2471" s="54"/>
      <c r="HLX2471" s="54"/>
      <c r="HLY2471" s="63"/>
      <c r="HLZ2471" s="60"/>
      <c r="HMA2471" s="60"/>
      <c r="HMB2471" s="60"/>
      <c r="HMC2471" s="63"/>
      <c r="HMD2471" s="61"/>
      <c r="HME2471" s="54"/>
      <c r="HMF2471" s="54"/>
      <c r="HMG2471" s="63"/>
      <c r="HMH2471" s="60"/>
      <c r="HMI2471" s="60"/>
      <c r="HMJ2471" s="60"/>
      <c r="HMK2471" s="63"/>
      <c r="HML2471" s="61"/>
      <c r="HMM2471" s="54"/>
      <c r="HMN2471" s="54"/>
      <c r="HMO2471" s="63"/>
      <c r="HMP2471" s="60"/>
      <c r="HMQ2471" s="60"/>
      <c r="HMR2471" s="60"/>
      <c r="HMS2471" s="63"/>
      <c r="HMT2471" s="61"/>
      <c r="HMU2471" s="54"/>
      <c r="HMV2471" s="54"/>
      <c r="HMW2471" s="63"/>
      <c r="HMX2471" s="60"/>
      <c r="HMY2471" s="60"/>
      <c r="HMZ2471" s="60"/>
      <c r="HNA2471" s="63"/>
      <c r="HNB2471" s="61"/>
      <c r="HNC2471" s="54"/>
      <c r="HND2471" s="54"/>
      <c r="HNE2471" s="63"/>
      <c r="HNF2471" s="60"/>
      <c r="HNG2471" s="60"/>
      <c r="HNH2471" s="60"/>
      <c r="HNI2471" s="63"/>
      <c r="HNJ2471" s="61"/>
      <c r="HNK2471" s="54"/>
      <c r="HNL2471" s="54"/>
      <c r="HNM2471" s="63"/>
      <c r="HNN2471" s="60"/>
      <c r="HNO2471" s="60"/>
      <c r="HNP2471" s="60"/>
      <c r="HNQ2471" s="63"/>
      <c r="HNR2471" s="61"/>
      <c r="HNS2471" s="54"/>
      <c r="HNT2471" s="54"/>
      <c r="HNU2471" s="63"/>
      <c r="HNV2471" s="60"/>
      <c r="HNW2471" s="60"/>
      <c r="HNX2471" s="60"/>
      <c r="HNY2471" s="63"/>
      <c r="HNZ2471" s="61"/>
      <c r="HOA2471" s="54"/>
      <c r="HOB2471" s="54"/>
      <c r="HOC2471" s="63"/>
      <c r="HOD2471" s="60"/>
      <c r="HOE2471" s="60"/>
      <c r="HOF2471" s="60"/>
      <c r="HOG2471" s="63"/>
      <c r="HOH2471" s="61"/>
      <c r="HOI2471" s="54"/>
      <c r="HOJ2471" s="54"/>
      <c r="HOK2471" s="63"/>
      <c r="HOL2471" s="60"/>
      <c r="HOM2471" s="60"/>
      <c r="HON2471" s="60"/>
      <c r="HOO2471" s="63"/>
      <c r="HOP2471" s="61"/>
      <c r="HOQ2471" s="54"/>
      <c r="HOR2471" s="54"/>
      <c r="HOS2471" s="63"/>
      <c r="HOT2471" s="60"/>
      <c r="HOU2471" s="60"/>
      <c r="HOV2471" s="60"/>
      <c r="HOW2471" s="63"/>
      <c r="HOX2471" s="61"/>
      <c r="HOY2471" s="54"/>
      <c r="HOZ2471" s="54"/>
      <c r="HPA2471" s="63"/>
      <c r="HPB2471" s="60"/>
      <c r="HPC2471" s="60"/>
      <c r="HPD2471" s="60"/>
      <c r="HPE2471" s="63"/>
      <c r="HPF2471" s="61"/>
      <c r="HPG2471" s="54"/>
      <c r="HPH2471" s="54"/>
      <c r="HPI2471" s="63"/>
      <c r="HPJ2471" s="60"/>
      <c r="HPK2471" s="60"/>
      <c r="HPL2471" s="60"/>
      <c r="HPM2471" s="63"/>
      <c r="HPN2471" s="61"/>
      <c r="HPO2471" s="54"/>
      <c r="HPP2471" s="54"/>
      <c r="HPQ2471" s="63"/>
      <c r="HPR2471" s="60"/>
      <c r="HPS2471" s="60"/>
      <c r="HPT2471" s="60"/>
      <c r="HPU2471" s="63"/>
      <c r="HPV2471" s="61"/>
      <c r="HPW2471" s="54"/>
      <c r="HPX2471" s="54"/>
      <c r="HPY2471" s="63"/>
      <c r="HPZ2471" s="60"/>
      <c r="HQA2471" s="60"/>
      <c r="HQB2471" s="60"/>
      <c r="HQC2471" s="63"/>
      <c r="HQD2471" s="61"/>
      <c r="HQE2471" s="54"/>
      <c r="HQF2471" s="54"/>
      <c r="HQG2471" s="63"/>
      <c r="HQH2471" s="60"/>
      <c r="HQI2471" s="60"/>
      <c r="HQJ2471" s="60"/>
      <c r="HQK2471" s="63"/>
      <c r="HQL2471" s="61"/>
      <c r="HQM2471" s="54"/>
      <c r="HQN2471" s="54"/>
      <c r="HQO2471" s="63"/>
      <c r="HQP2471" s="60"/>
      <c r="HQQ2471" s="60"/>
      <c r="HQR2471" s="60"/>
      <c r="HQS2471" s="63"/>
      <c r="HQT2471" s="61"/>
      <c r="HQU2471" s="54"/>
      <c r="HQV2471" s="54"/>
      <c r="HQW2471" s="63"/>
      <c r="HQX2471" s="60"/>
      <c r="HQY2471" s="60"/>
      <c r="HQZ2471" s="60"/>
      <c r="HRA2471" s="63"/>
      <c r="HRB2471" s="61"/>
      <c r="HRC2471" s="54"/>
      <c r="HRD2471" s="54"/>
      <c r="HRE2471" s="63"/>
      <c r="HRF2471" s="60"/>
      <c r="HRG2471" s="60"/>
      <c r="HRH2471" s="60"/>
      <c r="HRI2471" s="63"/>
      <c r="HRJ2471" s="61"/>
      <c r="HRK2471" s="54"/>
      <c r="HRL2471" s="54"/>
      <c r="HRM2471" s="63"/>
      <c r="HRN2471" s="60"/>
      <c r="HRO2471" s="60"/>
      <c r="HRP2471" s="60"/>
      <c r="HRQ2471" s="63"/>
      <c r="HRR2471" s="61"/>
      <c r="HRS2471" s="54"/>
      <c r="HRT2471" s="54"/>
      <c r="HRU2471" s="63"/>
      <c r="HRV2471" s="60"/>
      <c r="HRW2471" s="60"/>
      <c r="HRX2471" s="60"/>
      <c r="HRY2471" s="63"/>
      <c r="HRZ2471" s="61"/>
      <c r="HSA2471" s="54"/>
      <c r="HSB2471" s="54"/>
      <c r="HSC2471" s="63"/>
      <c r="HSD2471" s="60"/>
      <c r="HSE2471" s="60"/>
      <c r="HSF2471" s="60"/>
      <c r="HSG2471" s="63"/>
      <c r="HSH2471" s="61"/>
      <c r="HSI2471" s="54"/>
      <c r="HSJ2471" s="54"/>
      <c r="HSK2471" s="63"/>
      <c r="HSL2471" s="60"/>
      <c r="HSM2471" s="60"/>
      <c r="HSN2471" s="60"/>
      <c r="HSO2471" s="63"/>
      <c r="HSP2471" s="61"/>
      <c r="HSQ2471" s="54"/>
      <c r="HSR2471" s="54"/>
      <c r="HSS2471" s="63"/>
      <c r="HST2471" s="60"/>
      <c r="HSU2471" s="60"/>
      <c r="HSV2471" s="60"/>
      <c r="HSW2471" s="63"/>
      <c r="HSX2471" s="61"/>
      <c r="HSY2471" s="54"/>
      <c r="HSZ2471" s="54"/>
      <c r="HTA2471" s="63"/>
      <c r="HTB2471" s="60"/>
      <c r="HTC2471" s="60"/>
      <c r="HTD2471" s="60"/>
      <c r="HTE2471" s="63"/>
      <c r="HTF2471" s="61"/>
      <c r="HTG2471" s="54"/>
      <c r="HTH2471" s="54"/>
      <c r="HTI2471" s="63"/>
      <c r="HTJ2471" s="60"/>
      <c r="HTK2471" s="60"/>
      <c r="HTL2471" s="60"/>
      <c r="HTM2471" s="63"/>
      <c r="HTN2471" s="61"/>
      <c r="HTO2471" s="54"/>
      <c r="HTP2471" s="54"/>
      <c r="HTQ2471" s="63"/>
      <c r="HTR2471" s="60"/>
      <c r="HTS2471" s="60"/>
      <c r="HTT2471" s="60"/>
      <c r="HTU2471" s="63"/>
      <c r="HTV2471" s="61"/>
      <c r="HTW2471" s="54"/>
      <c r="HTX2471" s="54"/>
      <c r="HTY2471" s="63"/>
      <c r="HTZ2471" s="60"/>
      <c r="HUA2471" s="60"/>
      <c r="HUB2471" s="60"/>
      <c r="HUC2471" s="63"/>
      <c r="HUD2471" s="61"/>
      <c r="HUE2471" s="54"/>
      <c r="HUF2471" s="54"/>
      <c r="HUG2471" s="63"/>
      <c r="HUH2471" s="60"/>
      <c r="HUI2471" s="60"/>
      <c r="HUJ2471" s="60"/>
      <c r="HUK2471" s="63"/>
      <c r="HUL2471" s="61"/>
      <c r="HUM2471" s="54"/>
      <c r="HUN2471" s="54"/>
      <c r="HUO2471" s="63"/>
      <c r="HUP2471" s="60"/>
      <c r="HUQ2471" s="60"/>
      <c r="HUR2471" s="60"/>
      <c r="HUS2471" s="63"/>
      <c r="HUT2471" s="61"/>
      <c r="HUU2471" s="54"/>
      <c r="HUV2471" s="54"/>
      <c r="HUW2471" s="63"/>
      <c r="HUX2471" s="60"/>
      <c r="HUY2471" s="60"/>
      <c r="HUZ2471" s="60"/>
      <c r="HVA2471" s="63"/>
      <c r="HVB2471" s="61"/>
      <c r="HVC2471" s="54"/>
      <c r="HVD2471" s="54"/>
      <c r="HVE2471" s="63"/>
      <c r="HVF2471" s="60"/>
      <c r="HVG2471" s="60"/>
      <c r="HVH2471" s="60"/>
      <c r="HVI2471" s="63"/>
      <c r="HVJ2471" s="61"/>
      <c r="HVK2471" s="54"/>
      <c r="HVL2471" s="54"/>
      <c r="HVM2471" s="63"/>
      <c r="HVN2471" s="60"/>
      <c r="HVO2471" s="60"/>
      <c r="HVP2471" s="60"/>
      <c r="HVQ2471" s="63"/>
      <c r="HVR2471" s="61"/>
      <c r="HVS2471" s="54"/>
      <c r="HVT2471" s="54"/>
      <c r="HVU2471" s="63"/>
      <c r="HVV2471" s="60"/>
      <c r="HVW2471" s="60"/>
      <c r="HVX2471" s="60"/>
      <c r="HVY2471" s="63"/>
      <c r="HVZ2471" s="61"/>
      <c r="HWA2471" s="54"/>
      <c r="HWB2471" s="54"/>
      <c r="HWC2471" s="63"/>
      <c r="HWD2471" s="60"/>
      <c r="HWE2471" s="60"/>
      <c r="HWF2471" s="60"/>
      <c r="HWG2471" s="63"/>
      <c r="HWH2471" s="61"/>
      <c r="HWI2471" s="54"/>
      <c r="HWJ2471" s="54"/>
      <c r="HWK2471" s="63"/>
      <c r="HWL2471" s="60"/>
      <c r="HWM2471" s="60"/>
      <c r="HWN2471" s="60"/>
      <c r="HWO2471" s="63"/>
      <c r="HWP2471" s="61"/>
      <c r="HWQ2471" s="54"/>
      <c r="HWR2471" s="54"/>
      <c r="HWS2471" s="63"/>
      <c r="HWT2471" s="60"/>
      <c r="HWU2471" s="60"/>
      <c r="HWV2471" s="60"/>
      <c r="HWW2471" s="63"/>
      <c r="HWX2471" s="61"/>
      <c r="HWY2471" s="54"/>
      <c r="HWZ2471" s="54"/>
      <c r="HXA2471" s="63"/>
      <c r="HXB2471" s="60"/>
      <c r="HXC2471" s="60"/>
      <c r="HXD2471" s="60"/>
      <c r="HXE2471" s="63"/>
      <c r="HXF2471" s="61"/>
      <c r="HXG2471" s="54"/>
      <c r="HXH2471" s="54"/>
      <c r="HXI2471" s="63"/>
      <c r="HXJ2471" s="60"/>
      <c r="HXK2471" s="60"/>
      <c r="HXL2471" s="60"/>
      <c r="HXM2471" s="63"/>
      <c r="HXN2471" s="61"/>
      <c r="HXO2471" s="54"/>
      <c r="HXP2471" s="54"/>
      <c r="HXQ2471" s="63"/>
      <c r="HXR2471" s="60"/>
      <c r="HXS2471" s="60"/>
      <c r="HXT2471" s="60"/>
      <c r="HXU2471" s="63"/>
      <c r="HXV2471" s="61"/>
      <c r="HXW2471" s="54"/>
      <c r="HXX2471" s="54"/>
      <c r="HXY2471" s="63"/>
      <c r="HXZ2471" s="60"/>
      <c r="HYA2471" s="60"/>
      <c r="HYB2471" s="60"/>
      <c r="HYC2471" s="63"/>
      <c r="HYD2471" s="61"/>
      <c r="HYE2471" s="54"/>
      <c r="HYF2471" s="54"/>
      <c r="HYG2471" s="63"/>
      <c r="HYH2471" s="60"/>
      <c r="HYI2471" s="60"/>
      <c r="HYJ2471" s="60"/>
      <c r="HYK2471" s="63"/>
      <c r="HYL2471" s="61"/>
      <c r="HYM2471" s="54"/>
      <c r="HYN2471" s="54"/>
      <c r="HYO2471" s="63"/>
      <c r="HYP2471" s="60"/>
      <c r="HYQ2471" s="60"/>
      <c r="HYR2471" s="60"/>
      <c r="HYS2471" s="63"/>
      <c r="HYT2471" s="61"/>
      <c r="HYU2471" s="54"/>
      <c r="HYV2471" s="54"/>
      <c r="HYW2471" s="63"/>
      <c r="HYX2471" s="60"/>
      <c r="HYY2471" s="60"/>
      <c r="HYZ2471" s="60"/>
      <c r="HZA2471" s="63"/>
      <c r="HZB2471" s="61"/>
      <c r="HZC2471" s="54"/>
      <c r="HZD2471" s="54"/>
      <c r="HZE2471" s="63"/>
      <c r="HZF2471" s="60"/>
      <c r="HZG2471" s="60"/>
      <c r="HZH2471" s="60"/>
      <c r="HZI2471" s="63"/>
      <c r="HZJ2471" s="61"/>
      <c r="HZK2471" s="54"/>
      <c r="HZL2471" s="54"/>
      <c r="HZM2471" s="63"/>
      <c r="HZN2471" s="60"/>
      <c r="HZO2471" s="60"/>
      <c r="HZP2471" s="60"/>
      <c r="HZQ2471" s="63"/>
      <c r="HZR2471" s="61"/>
      <c r="HZS2471" s="54"/>
      <c r="HZT2471" s="54"/>
      <c r="HZU2471" s="63"/>
      <c r="HZV2471" s="60"/>
      <c r="HZW2471" s="60"/>
      <c r="HZX2471" s="60"/>
      <c r="HZY2471" s="63"/>
      <c r="HZZ2471" s="61"/>
      <c r="IAA2471" s="54"/>
      <c r="IAB2471" s="54"/>
      <c r="IAC2471" s="63"/>
      <c r="IAD2471" s="60"/>
      <c r="IAE2471" s="60"/>
      <c r="IAF2471" s="60"/>
      <c r="IAG2471" s="63"/>
      <c r="IAH2471" s="61"/>
      <c r="IAI2471" s="54"/>
      <c r="IAJ2471" s="54"/>
      <c r="IAK2471" s="63"/>
      <c r="IAL2471" s="60"/>
      <c r="IAM2471" s="60"/>
      <c r="IAN2471" s="60"/>
      <c r="IAO2471" s="63"/>
      <c r="IAP2471" s="61"/>
      <c r="IAQ2471" s="54"/>
      <c r="IAR2471" s="54"/>
      <c r="IAS2471" s="63"/>
      <c r="IAT2471" s="60"/>
      <c r="IAU2471" s="60"/>
      <c r="IAV2471" s="60"/>
      <c r="IAW2471" s="63"/>
      <c r="IAX2471" s="61"/>
      <c r="IAY2471" s="54"/>
      <c r="IAZ2471" s="54"/>
      <c r="IBA2471" s="63"/>
      <c r="IBB2471" s="60"/>
      <c r="IBC2471" s="60"/>
      <c r="IBD2471" s="60"/>
      <c r="IBE2471" s="63"/>
      <c r="IBF2471" s="61"/>
      <c r="IBG2471" s="54"/>
      <c r="IBH2471" s="54"/>
      <c r="IBI2471" s="63"/>
      <c r="IBJ2471" s="60"/>
      <c r="IBK2471" s="60"/>
      <c r="IBL2471" s="60"/>
      <c r="IBM2471" s="63"/>
      <c r="IBN2471" s="61"/>
      <c r="IBO2471" s="54"/>
      <c r="IBP2471" s="54"/>
      <c r="IBQ2471" s="63"/>
      <c r="IBR2471" s="60"/>
      <c r="IBS2471" s="60"/>
      <c r="IBT2471" s="60"/>
      <c r="IBU2471" s="63"/>
      <c r="IBV2471" s="61"/>
      <c r="IBW2471" s="54"/>
      <c r="IBX2471" s="54"/>
      <c r="IBY2471" s="63"/>
      <c r="IBZ2471" s="60"/>
      <c r="ICA2471" s="60"/>
      <c r="ICB2471" s="60"/>
      <c r="ICC2471" s="63"/>
      <c r="ICD2471" s="61"/>
      <c r="ICE2471" s="54"/>
      <c r="ICF2471" s="54"/>
      <c r="ICG2471" s="63"/>
      <c r="ICH2471" s="60"/>
      <c r="ICI2471" s="60"/>
      <c r="ICJ2471" s="60"/>
      <c r="ICK2471" s="63"/>
      <c r="ICL2471" s="61"/>
      <c r="ICM2471" s="54"/>
      <c r="ICN2471" s="54"/>
      <c r="ICO2471" s="63"/>
      <c r="ICP2471" s="60"/>
      <c r="ICQ2471" s="60"/>
      <c r="ICR2471" s="60"/>
      <c r="ICS2471" s="63"/>
      <c r="ICT2471" s="61"/>
      <c r="ICU2471" s="54"/>
      <c r="ICV2471" s="54"/>
      <c r="ICW2471" s="63"/>
      <c r="ICX2471" s="60"/>
      <c r="ICY2471" s="60"/>
      <c r="ICZ2471" s="60"/>
      <c r="IDA2471" s="63"/>
      <c r="IDB2471" s="61"/>
      <c r="IDC2471" s="54"/>
      <c r="IDD2471" s="54"/>
      <c r="IDE2471" s="63"/>
      <c r="IDF2471" s="60"/>
      <c r="IDG2471" s="60"/>
      <c r="IDH2471" s="60"/>
      <c r="IDI2471" s="63"/>
      <c r="IDJ2471" s="61"/>
      <c r="IDK2471" s="54"/>
      <c r="IDL2471" s="54"/>
      <c r="IDM2471" s="63"/>
      <c r="IDN2471" s="60"/>
      <c r="IDO2471" s="60"/>
      <c r="IDP2471" s="60"/>
      <c r="IDQ2471" s="63"/>
      <c r="IDR2471" s="61"/>
      <c r="IDS2471" s="54"/>
      <c r="IDT2471" s="54"/>
      <c r="IDU2471" s="63"/>
      <c r="IDV2471" s="60"/>
      <c r="IDW2471" s="60"/>
      <c r="IDX2471" s="60"/>
      <c r="IDY2471" s="63"/>
      <c r="IDZ2471" s="61"/>
      <c r="IEA2471" s="54"/>
      <c r="IEB2471" s="54"/>
      <c r="IEC2471" s="63"/>
      <c r="IED2471" s="60"/>
      <c r="IEE2471" s="60"/>
      <c r="IEF2471" s="60"/>
      <c r="IEG2471" s="63"/>
      <c r="IEH2471" s="61"/>
      <c r="IEI2471" s="54"/>
      <c r="IEJ2471" s="54"/>
      <c r="IEK2471" s="63"/>
      <c r="IEL2471" s="60"/>
      <c r="IEM2471" s="60"/>
      <c r="IEN2471" s="60"/>
      <c r="IEO2471" s="63"/>
      <c r="IEP2471" s="61"/>
      <c r="IEQ2471" s="54"/>
      <c r="IER2471" s="54"/>
      <c r="IES2471" s="63"/>
      <c r="IET2471" s="60"/>
      <c r="IEU2471" s="60"/>
      <c r="IEV2471" s="60"/>
      <c r="IEW2471" s="63"/>
      <c r="IEX2471" s="61"/>
      <c r="IEY2471" s="54"/>
      <c r="IEZ2471" s="54"/>
      <c r="IFA2471" s="63"/>
      <c r="IFB2471" s="60"/>
      <c r="IFC2471" s="60"/>
      <c r="IFD2471" s="60"/>
      <c r="IFE2471" s="63"/>
      <c r="IFF2471" s="61"/>
      <c r="IFG2471" s="54"/>
      <c r="IFH2471" s="54"/>
      <c r="IFI2471" s="63"/>
      <c r="IFJ2471" s="60"/>
      <c r="IFK2471" s="60"/>
      <c r="IFL2471" s="60"/>
      <c r="IFM2471" s="63"/>
      <c r="IFN2471" s="61"/>
      <c r="IFO2471" s="54"/>
      <c r="IFP2471" s="54"/>
      <c r="IFQ2471" s="63"/>
      <c r="IFR2471" s="60"/>
      <c r="IFS2471" s="60"/>
      <c r="IFT2471" s="60"/>
      <c r="IFU2471" s="63"/>
      <c r="IFV2471" s="61"/>
      <c r="IFW2471" s="54"/>
      <c r="IFX2471" s="54"/>
      <c r="IFY2471" s="63"/>
      <c r="IFZ2471" s="60"/>
      <c r="IGA2471" s="60"/>
      <c r="IGB2471" s="60"/>
      <c r="IGC2471" s="63"/>
      <c r="IGD2471" s="61"/>
      <c r="IGE2471" s="54"/>
      <c r="IGF2471" s="54"/>
      <c r="IGG2471" s="63"/>
      <c r="IGH2471" s="60"/>
      <c r="IGI2471" s="60"/>
      <c r="IGJ2471" s="60"/>
      <c r="IGK2471" s="63"/>
      <c r="IGL2471" s="61"/>
      <c r="IGM2471" s="54"/>
      <c r="IGN2471" s="54"/>
      <c r="IGO2471" s="63"/>
      <c r="IGP2471" s="60"/>
      <c r="IGQ2471" s="60"/>
      <c r="IGR2471" s="60"/>
      <c r="IGS2471" s="63"/>
      <c r="IGT2471" s="61"/>
      <c r="IGU2471" s="54"/>
      <c r="IGV2471" s="54"/>
      <c r="IGW2471" s="63"/>
      <c r="IGX2471" s="60"/>
      <c r="IGY2471" s="60"/>
      <c r="IGZ2471" s="60"/>
      <c r="IHA2471" s="63"/>
      <c r="IHB2471" s="61"/>
      <c r="IHC2471" s="54"/>
      <c r="IHD2471" s="54"/>
      <c r="IHE2471" s="63"/>
      <c r="IHF2471" s="60"/>
      <c r="IHG2471" s="60"/>
      <c r="IHH2471" s="60"/>
      <c r="IHI2471" s="63"/>
      <c r="IHJ2471" s="61"/>
      <c r="IHK2471" s="54"/>
      <c r="IHL2471" s="54"/>
      <c r="IHM2471" s="63"/>
      <c r="IHN2471" s="60"/>
      <c r="IHO2471" s="60"/>
      <c r="IHP2471" s="60"/>
      <c r="IHQ2471" s="63"/>
      <c r="IHR2471" s="61"/>
      <c r="IHS2471" s="54"/>
      <c r="IHT2471" s="54"/>
      <c r="IHU2471" s="63"/>
      <c r="IHV2471" s="60"/>
      <c r="IHW2471" s="60"/>
      <c r="IHX2471" s="60"/>
      <c r="IHY2471" s="63"/>
      <c r="IHZ2471" s="61"/>
      <c r="IIA2471" s="54"/>
      <c r="IIB2471" s="54"/>
      <c r="IIC2471" s="63"/>
      <c r="IID2471" s="60"/>
      <c r="IIE2471" s="60"/>
      <c r="IIF2471" s="60"/>
      <c r="IIG2471" s="63"/>
      <c r="IIH2471" s="61"/>
      <c r="III2471" s="54"/>
      <c r="IIJ2471" s="54"/>
      <c r="IIK2471" s="63"/>
      <c r="IIL2471" s="60"/>
      <c r="IIM2471" s="60"/>
      <c r="IIN2471" s="60"/>
      <c r="IIO2471" s="63"/>
      <c r="IIP2471" s="61"/>
      <c r="IIQ2471" s="54"/>
      <c r="IIR2471" s="54"/>
      <c r="IIS2471" s="63"/>
      <c r="IIT2471" s="60"/>
      <c r="IIU2471" s="60"/>
      <c r="IIV2471" s="60"/>
      <c r="IIW2471" s="63"/>
      <c r="IIX2471" s="61"/>
      <c r="IIY2471" s="54"/>
      <c r="IIZ2471" s="54"/>
      <c r="IJA2471" s="63"/>
      <c r="IJB2471" s="60"/>
      <c r="IJC2471" s="60"/>
      <c r="IJD2471" s="60"/>
      <c r="IJE2471" s="63"/>
      <c r="IJF2471" s="61"/>
      <c r="IJG2471" s="54"/>
      <c r="IJH2471" s="54"/>
      <c r="IJI2471" s="63"/>
      <c r="IJJ2471" s="60"/>
      <c r="IJK2471" s="60"/>
      <c r="IJL2471" s="60"/>
      <c r="IJM2471" s="63"/>
      <c r="IJN2471" s="61"/>
      <c r="IJO2471" s="54"/>
      <c r="IJP2471" s="54"/>
      <c r="IJQ2471" s="63"/>
      <c r="IJR2471" s="60"/>
      <c r="IJS2471" s="60"/>
      <c r="IJT2471" s="60"/>
      <c r="IJU2471" s="63"/>
      <c r="IJV2471" s="61"/>
      <c r="IJW2471" s="54"/>
      <c r="IJX2471" s="54"/>
      <c r="IJY2471" s="63"/>
      <c r="IJZ2471" s="60"/>
      <c r="IKA2471" s="60"/>
      <c r="IKB2471" s="60"/>
      <c r="IKC2471" s="63"/>
      <c r="IKD2471" s="61"/>
      <c r="IKE2471" s="54"/>
      <c r="IKF2471" s="54"/>
      <c r="IKG2471" s="63"/>
      <c r="IKH2471" s="60"/>
      <c r="IKI2471" s="60"/>
      <c r="IKJ2471" s="60"/>
      <c r="IKK2471" s="63"/>
      <c r="IKL2471" s="61"/>
      <c r="IKM2471" s="54"/>
      <c r="IKN2471" s="54"/>
      <c r="IKO2471" s="63"/>
      <c r="IKP2471" s="60"/>
      <c r="IKQ2471" s="60"/>
      <c r="IKR2471" s="60"/>
      <c r="IKS2471" s="63"/>
      <c r="IKT2471" s="61"/>
      <c r="IKU2471" s="54"/>
      <c r="IKV2471" s="54"/>
      <c r="IKW2471" s="63"/>
      <c r="IKX2471" s="60"/>
      <c r="IKY2471" s="60"/>
      <c r="IKZ2471" s="60"/>
      <c r="ILA2471" s="63"/>
      <c r="ILB2471" s="61"/>
      <c r="ILC2471" s="54"/>
      <c r="ILD2471" s="54"/>
      <c r="ILE2471" s="63"/>
      <c r="ILF2471" s="60"/>
      <c r="ILG2471" s="60"/>
      <c r="ILH2471" s="60"/>
      <c r="ILI2471" s="63"/>
      <c r="ILJ2471" s="61"/>
      <c r="ILK2471" s="54"/>
      <c r="ILL2471" s="54"/>
      <c r="ILM2471" s="63"/>
      <c r="ILN2471" s="60"/>
      <c r="ILO2471" s="60"/>
      <c r="ILP2471" s="60"/>
      <c r="ILQ2471" s="63"/>
      <c r="ILR2471" s="61"/>
      <c r="ILS2471" s="54"/>
      <c r="ILT2471" s="54"/>
      <c r="ILU2471" s="63"/>
      <c r="ILV2471" s="60"/>
      <c r="ILW2471" s="60"/>
      <c r="ILX2471" s="60"/>
      <c r="ILY2471" s="63"/>
      <c r="ILZ2471" s="61"/>
      <c r="IMA2471" s="54"/>
      <c r="IMB2471" s="54"/>
      <c r="IMC2471" s="63"/>
      <c r="IMD2471" s="60"/>
      <c r="IME2471" s="60"/>
      <c r="IMF2471" s="60"/>
      <c r="IMG2471" s="63"/>
      <c r="IMH2471" s="61"/>
      <c r="IMI2471" s="54"/>
      <c r="IMJ2471" s="54"/>
      <c r="IMK2471" s="63"/>
      <c r="IML2471" s="60"/>
      <c r="IMM2471" s="60"/>
      <c r="IMN2471" s="60"/>
      <c r="IMO2471" s="63"/>
      <c r="IMP2471" s="61"/>
      <c r="IMQ2471" s="54"/>
      <c r="IMR2471" s="54"/>
      <c r="IMS2471" s="63"/>
      <c r="IMT2471" s="60"/>
      <c r="IMU2471" s="60"/>
      <c r="IMV2471" s="60"/>
      <c r="IMW2471" s="63"/>
      <c r="IMX2471" s="61"/>
      <c r="IMY2471" s="54"/>
      <c r="IMZ2471" s="54"/>
      <c r="INA2471" s="63"/>
      <c r="INB2471" s="60"/>
      <c r="INC2471" s="60"/>
      <c r="IND2471" s="60"/>
      <c r="INE2471" s="63"/>
      <c r="INF2471" s="61"/>
      <c r="ING2471" s="54"/>
      <c r="INH2471" s="54"/>
      <c r="INI2471" s="63"/>
      <c r="INJ2471" s="60"/>
      <c r="INK2471" s="60"/>
      <c r="INL2471" s="60"/>
      <c r="INM2471" s="63"/>
      <c r="INN2471" s="61"/>
      <c r="INO2471" s="54"/>
      <c r="INP2471" s="54"/>
      <c r="INQ2471" s="63"/>
      <c r="INR2471" s="60"/>
      <c r="INS2471" s="60"/>
      <c r="INT2471" s="60"/>
      <c r="INU2471" s="63"/>
      <c r="INV2471" s="61"/>
      <c r="INW2471" s="54"/>
      <c r="INX2471" s="54"/>
      <c r="INY2471" s="63"/>
      <c r="INZ2471" s="60"/>
      <c r="IOA2471" s="60"/>
      <c r="IOB2471" s="60"/>
      <c r="IOC2471" s="63"/>
      <c r="IOD2471" s="61"/>
      <c r="IOE2471" s="54"/>
      <c r="IOF2471" s="54"/>
      <c r="IOG2471" s="63"/>
      <c r="IOH2471" s="60"/>
      <c r="IOI2471" s="60"/>
      <c r="IOJ2471" s="60"/>
      <c r="IOK2471" s="63"/>
      <c r="IOL2471" s="61"/>
      <c r="IOM2471" s="54"/>
      <c r="ION2471" s="54"/>
      <c r="IOO2471" s="63"/>
      <c r="IOP2471" s="60"/>
      <c r="IOQ2471" s="60"/>
      <c r="IOR2471" s="60"/>
      <c r="IOS2471" s="63"/>
      <c r="IOT2471" s="61"/>
      <c r="IOU2471" s="54"/>
      <c r="IOV2471" s="54"/>
      <c r="IOW2471" s="63"/>
      <c r="IOX2471" s="60"/>
      <c r="IOY2471" s="60"/>
      <c r="IOZ2471" s="60"/>
      <c r="IPA2471" s="63"/>
      <c r="IPB2471" s="61"/>
      <c r="IPC2471" s="54"/>
      <c r="IPD2471" s="54"/>
      <c r="IPE2471" s="63"/>
      <c r="IPF2471" s="60"/>
      <c r="IPG2471" s="60"/>
      <c r="IPH2471" s="60"/>
      <c r="IPI2471" s="63"/>
      <c r="IPJ2471" s="61"/>
      <c r="IPK2471" s="54"/>
      <c r="IPL2471" s="54"/>
      <c r="IPM2471" s="63"/>
      <c r="IPN2471" s="60"/>
      <c r="IPO2471" s="60"/>
      <c r="IPP2471" s="60"/>
      <c r="IPQ2471" s="63"/>
      <c r="IPR2471" s="61"/>
      <c r="IPS2471" s="54"/>
      <c r="IPT2471" s="54"/>
      <c r="IPU2471" s="63"/>
      <c r="IPV2471" s="60"/>
      <c r="IPW2471" s="60"/>
      <c r="IPX2471" s="60"/>
      <c r="IPY2471" s="63"/>
      <c r="IPZ2471" s="61"/>
      <c r="IQA2471" s="54"/>
      <c r="IQB2471" s="54"/>
      <c r="IQC2471" s="63"/>
      <c r="IQD2471" s="60"/>
      <c r="IQE2471" s="60"/>
      <c r="IQF2471" s="60"/>
      <c r="IQG2471" s="63"/>
      <c r="IQH2471" s="61"/>
      <c r="IQI2471" s="54"/>
      <c r="IQJ2471" s="54"/>
      <c r="IQK2471" s="63"/>
      <c r="IQL2471" s="60"/>
      <c r="IQM2471" s="60"/>
      <c r="IQN2471" s="60"/>
      <c r="IQO2471" s="63"/>
      <c r="IQP2471" s="61"/>
      <c r="IQQ2471" s="54"/>
      <c r="IQR2471" s="54"/>
      <c r="IQS2471" s="63"/>
      <c r="IQT2471" s="60"/>
      <c r="IQU2471" s="60"/>
      <c r="IQV2471" s="60"/>
      <c r="IQW2471" s="63"/>
      <c r="IQX2471" s="61"/>
      <c r="IQY2471" s="54"/>
      <c r="IQZ2471" s="54"/>
      <c r="IRA2471" s="63"/>
      <c r="IRB2471" s="60"/>
      <c r="IRC2471" s="60"/>
      <c r="IRD2471" s="60"/>
      <c r="IRE2471" s="63"/>
      <c r="IRF2471" s="61"/>
      <c r="IRG2471" s="54"/>
      <c r="IRH2471" s="54"/>
      <c r="IRI2471" s="63"/>
      <c r="IRJ2471" s="60"/>
      <c r="IRK2471" s="60"/>
      <c r="IRL2471" s="60"/>
      <c r="IRM2471" s="63"/>
      <c r="IRN2471" s="61"/>
      <c r="IRO2471" s="54"/>
      <c r="IRP2471" s="54"/>
      <c r="IRQ2471" s="63"/>
      <c r="IRR2471" s="60"/>
      <c r="IRS2471" s="60"/>
      <c r="IRT2471" s="60"/>
      <c r="IRU2471" s="63"/>
      <c r="IRV2471" s="61"/>
      <c r="IRW2471" s="54"/>
      <c r="IRX2471" s="54"/>
      <c r="IRY2471" s="63"/>
      <c r="IRZ2471" s="60"/>
      <c r="ISA2471" s="60"/>
      <c r="ISB2471" s="60"/>
      <c r="ISC2471" s="63"/>
      <c r="ISD2471" s="61"/>
      <c r="ISE2471" s="54"/>
      <c r="ISF2471" s="54"/>
      <c r="ISG2471" s="63"/>
      <c r="ISH2471" s="60"/>
      <c r="ISI2471" s="60"/>
      <c r="ISJ2471" s="60"/>
      <c r="ISK2471" s="63"/>
      <c r="ISL2471" s="61"/>
      <c r="ISM2471" s="54"/>
      <c r="ISN2471" s="54"/>
      <c r="ISO2471" s="63"/>
      <c r="ISP2471" s="60"/>
      <c r="ISQ2471" s="60"/>
      <c r="ISR2471" s="60"/>
      <c r="ISS2471" s="63"/>
      <c r="IST2471" s="61"/>
      <c r="ISU2471" s="54"/>
      <c r="ISV2471" s="54"/>
      <c r="ISW2471" s="63"/>
      <c r="ISX2471" s="60"/>
      <c r="ISY2471" s="60"/>
      <c r="ISZ2471" s="60"/>
      <c r="ITA2471" s="63"/>
      <c r="ITB2471" s="61"/>
      <c r="ITC2471" s="54"/>
      <c r="ITD2471" s="54"/>
      <c r="ITE2471" s="63"/>
      <c r="ITF2471" s="60"/>
      <c r="ITG2471" s="60"/>
      <c r="ITH2471" s="60"/>
      <c r="ITI2471" s="63"/>
      <c r="ITJ2471" s="61"/>
      <c r="ITK2471" s="54"/>
      <c r="ITL2471" s="54"/>
      <c r="ITM2471" s="63"/>
      <c r="ITN2471" s="60"/>
      <c r="ITO2471" s="60"/>
      <c r="ITP2471" s="60"/>
      <c r="ITQ2471" s="63"/>
      <c r="ITR2471" s="61"/>
      <c r="ITS2471" s="54"/>
      <c r="ITT2471" s="54"/>
      <c r="ITU2471" s="63"/>
      <c r="ITV2471" s="60"/>
      <c r="ITW2471" s="60"/>
      <c r="ITX2471" s="60"/>
      <c r="ITY2471" s="63"/>
      <c r="ITZ2471" s="61"/>
      <c r="IUA2471" s="54"/>
      <c r="IUB2471" s="54"/>
      <c r="IUC2471" s="63"/>
      <c r="IUD2471" s="60"/>
      <c r="IUE2471" s="60"/>
      <c r="IUF2471" s="60"/>
      <c r="IUG2471" s="63"/>
      <c r="IUH2471" s="61"/>
      <c r="IUI2471" s="54"/>
      <c r="IUJ2471" s="54"/>
      <c r="IUK2471" s="63"/>
      <c r="IUL2471" s="60"/>
      <c r="IUM2471" s="60"/>
      <c r="IUN2471" s="60"/>
      <c r="IUO2471" s="63"/>
      <c r="IUP2471" s="61"/>
      <c r="IUQ2471" s="54"/>
      <c r="IUR2471" s="54"/>
      <c r="IUS2471" s="63"/>
      <c r="IUT2471" s="60"/>
      <c r="IUU2471" s="60"/>
      <c r="IUV2471" s="60"/>
      <c r="IUW2471" s="63"/>
      <c r="IUX2471" s="61"/>
      <c r="IUY2471" s="54"/>
      <c r="IUZ2471" s="54"/>
      <c r="IVA2471" s="63"/>
      <c r="IVB2471" s="60"/>
      <c r="IVC2471" s="60"/>
      <c r="IVD2471" s="60"/>
      <c r="IVE2471" s="63"/>
      <c r="IVF2471" s="61"/>
      <c r="IVG2471" s="54"/>
      <c r="IVH2471" s="54"/>
      <c r="IVI2471" s="63"/>
      <c r="IVJ2471" s="60"/>
      <c r="IVK2471" s="60"/>
      <c r="IVL2471" s="60"/>
      <c r="IVM2471" s="63"/>
      <c r="IVN2471" s="61"/>
      <c r="IVO2471" s="54"/>
      <c r="IVP2471" s="54"/>
      <c r="IVQ2471" s="63"/>
      <c r="IVR2471" s="60"/>
      <c r="IVS2471" s="60"/>
      <c r="IVT2471" s="60"/>
      <c r="IVU2471" s="63"/>
      <c r="IVV2471" s="61"/>
      <c r="IVW2471" s="54"/>
      <c r="IVX2471" s="54"/>
      <c r="IVY2471" s="63"/>
      <c r="IVZ2471" s="60"/>
      <c r="IWA2471" s="60"/>
      <c r="IWB2471" s="60"/>
      <c r="IWC2471" s="63"/>
      <c r="IWD2471" s="61"/>
      <c r="IWE2471" s="54"/>
      <c r="IWF2471" s="54"/>
      <c r="IWG2471" s="63"/>
      <c r="IWH2471" s="60"/>
      <c r="IWI2471" s="60"/>
      <c r="IWJ2471" s="60"/>
      <c r="IWK2471" s="63"/>
      <c r="IWL2471" s="61"/>
      <c r="IWM2471" s="54"/>
      <c r="IWN2471" s="54"/>
      <c r="IWO2471" s="63"/>
      <c r="IWP2471" s="60"/>
      <c r="IWQ2471" s="60"/>
      <c r="IWR2471" s="60"/>
      <c r="IWS2471" s="63"/>
      <c r="IWT2471" s="61"/>
      <c r="IWU2471" s="54"/>
      <c r="IWV2471" s="54"/>
      <c r="IWW2471" s="63"/>
      <c r="IWX2471" s="60"/>
      <c r="IWY2471" s="60"/>
      <c r="IWZ2471" s="60"/>
      <c r="IXA2471" s="63"/>
      <c r="IXB2471" s="61"/>
      <c r="IXC2471" s="54"/>
      <c r="IXD2471" s="54"/>
      <c r="IXE2471" s="63"/>
      <c r="IXF2471" s="60"/>
      <c r="IXG2471" s="60"/>
      <c r="IXH2471" s="60"/>
      <c r="IXI2471" s="63"/>
      <c r="IXJ2471" s="61"/>
      <c r="IXK2471" s="54"/>
      <c r="IXL2471" s="54"/>
      <c r="IXM2471" s="63"/>
      <c r="IXN2471" s="60"/>
      <c r="IXO2471" s="60"/>
      <c r="IXP2471" s="60"/>
      <c r="IXQ2471" s="63"/>
      <c r="IXR2471" s="61"/>
      <c r="IXS2471" s="54"/>
      <c r="IXT2471" s="54"/>
      <c r="IXU2471" s="63"/>
      <c r="IXV2471" s="60"/>
      <c r="IXW2471" s="60"/>
      <c r="IXX2471" s="60"/>
      <c r="IXY2471" s="63"/>
      <c r="IXZ2471" s="61"/>
      <c r="IYA2471" s="54"/>
      <c r="IYB2471" s="54"/>
      <c r="IYC2471" s="63"/>
      <c r="IYD2471" s="60"/>
      <c r="IYE2471" s="60"/>
      <c r="IYF2471" s="60"/>
      <c r="IYG2471" s="63"/>
      <c r="IYH2471" s="61"/>
      <c r="IYI2471" s="54"/>
      <c r="IYJ2471" s="54"/>
      <c r="IYK2471" s="63"/>
      <c r="IYL2471" s="60"/>
      <c r="IYM2471" s="60"/>
      <c r="IYN2471" s="60"/>
      <c r="IYO2471" s="63"/>
      <c r="IYP2471" s="61"/>
      <c r="IYQ2471" s="54"/>
      <c r="IYR2471" s="54"/>
      <c r="IYS2471" s="63"/>
      <c r="IYT2471" s="60"/>
      <c r="IYU2471" s="60"/>
      <c r="IYV2471" s="60"/>
      <c r="IYW2471" s="63"/>
      <c r="IYX2471" s="61"/>
      <c r="IYY2471" s="54"/>
      <c r="IYZ2471" s="54"/>
      <c r="IZA2471" s="63"/>
      <c r="IZB2471" s="60"/>
      <c r="IZC2471" s="60"/>
      <c r="IZD2471" s="60"/>
      <c r="IZE2471" s="63"/>
      <c r="IZF2471" s="61"/>
      <c r="IZG2471" s="54"/>
      <c r="IZH2471" s="54"/>
      <c r="IZI2471" s="63"/>
      <c r="IZJ2471" s="60"/>
      <c r="IZK2471" s="60"/>
      <c r="IZL2471" s="60"/>
      <c r="IZM2471" s="63"/>
      <c r="IZN2471" s="61"/>
      <c r="IZO2471" s="54"/>
      <c r="IZP2471" s="54"/>
      <c r="IZQ2471" s="63"/>
      <c r="IZR2471" s="60"/>
      <c r="IZS2471" s="60"/>
      <c r="IZT2471" s="60"/>
      <c r="IZU2471" s="63"/>
      <c r="IZV2471" s="61"/>
      <c r="IZW2471" s="54"/>
      <c r="IZX2471" s="54"/>
      <c r="IZY2471" s="63"/>
      <c r="IZZ2471" s="60"/>
      <c r="JAA2471" s="60"/>
      <c r="JAB2471" s="60"/>
      <c r="JAC2471" s="63"/>
      <c r="JAD2471" s="61"/>
      <c r="JAE2471" s="54"/>
      <c r="JAF2471" s="54"/>
      <c r="JAG2471" s="63"/>
      <c r="JAH2471" s="60"/>
      <c r="JAI2471" s="60"/>
      <c r="JAJ2471" s="60"/>
      <c r="JAK2471" s="63"/>
      <c r="JAL2471" s="61"/>
      <c r="JAM2471" s="54"/>
      <c r="JAN2471" s="54"/>
      <c r="JAO2471" s="63"/>
      <c r="JAP2471" s="60"/>
      <c r="JAQ2471" s="60"/>
      <c r="JAR2471" s="60"/>
      <c r="JAS2471" s="63"/>
      <c r="JAT2471" s="61"/>
      <c r="JAU2471" s="54"/>
      <c r="JAV2471" s="54"/>
      <c r="JAW2471" s="63"/>
      <c r="JAX2471" s="60"/>
      <c r="JAY2471" s="60"/>
      <c r="JAZ2471" s="60"/>
      <c r="JBA2471" s="63"/>
      <c r="JBB2471" s="61"/>
      <c r="JBC2471" s="54"/>
      <c r="JBD2471" s="54"/>
      <c r="JBE2471" s="63"/>
      <c r="JBF2471" s="60"/>
      <c r="JBG2471" s="60"/>
      <c r="JBH2471" s="60"/>
      <c r="JBI2471" s="63"/>
      <c r="JBJ2471" s="61"/>
      <c r="JBK2471" s="54"/>
      <c r="JBL2471" s="54"/>
      <c r="JBM2471" s="63"/>
      <c r="JBN2471" s="60"/>
      <c r="JBO2471" s="60"/>
      <c r="JBP2471" s="60"/>
      <c r="JBQ2471" s="63"/>
      <c r="JBR2471" s="61"/>
      <c r="JBS2471" s="54"/>
      <c r="JBT2471" s="54"/>
      <c r="JBU2471" s="63"/>
      <c r="JBV2471" s="60"/>
      <c r="JBW2471" s="60"/>
      <c r="JBX2471" s="60"/>
      <c r="JBY2471" s="63"/>
      <c r="JBZ2471" s="61"/>
      <c r="JCA2471" s="54"/>
      <c r="JCB2471" s="54"/>
      <c r="JCC2471" s="63"/>
      <c r="JCD2471" s="60"/>
      <c r="JCE2471" s="60"/>
      <c r="JCF2471" s="60"/>
      <c r="JCG2471" s="63"/>
      <c r="JCH2471" s="61"/>
      <c r="JCI2471" s="54"/>
      <c r="JCJ2471" s="54"/>
      <c r="JCK2471" s="63"/>
      <c r="JCL2471" s="60"/>
      <c r="JCM2471" s="60"/>
      <c r="JCN2471" s="60"/>
      <c r="JCO2471" s="63"/>
      <c r="JCP2471" s="61"/>
      <c r="JCQ2471" s="54"/>
      <c r="JCR2471" s="54"/>
      <c r="JCS2471" s="63"/>
      <c r="JCT2471" s="60"/>
      <c r="JCU2471" s="60"/>
      <c r="JCV2471" s="60"/>
      <c r="JCW2471" s="63"/>
      <c r="JCX2471" s="61"/>
      <c r="JCY2471" s="54"/>
      <c r="JCZ2471" s="54"/>
      <c r="JDA2471" s="63"/>
      <c r="JDB2471" s="60"/>
      <c r="JDC2471" s="60"/>
      <c r="JDD2471" s="60"/>
      <c r="JDE2471" s="63"/>
      <c r="JDF2471" s="61"/>
      <c r="JDG2471" s="54"/>
      <c r="JDH2471" s="54"/>
      <c r="JDI2471" s="63"/>
      <c r="JDJ2471" s="60"/>
      <c r="JDK2471" s="60"/>
      <c r="JDL2471" s="60"/>
      <c r="JDM2471" s="63"/>
      <c r="JDN2471" s="61"/>
      <c r="JDO2471" s="54"/>
      <c r="JDP2471" s="54"/>
      <c r="JDQ2471" s="63"/>
      <c r="JDR2471" s="60"/>
      <c r="JDS2471" s="60"/>
      <c r="JDT2471" s="60"/>
      <c r="JDU2471" s="63"/>
      <c r="JDV2471" s="61"/>
      <c r="JDW2471" s="54"/>
      <c r="JDX2471" s="54"/>
      <c r="JDY2471" s="63"/>
      <c r="JDZ2471" s="60"/>
      <c r="JEA2471" s="60"/>
      <c r="JEB2471" s="60"/>
      <c r="JEC2471" s="63"/>
      <c r="JED2471" s="61"/>
      <c r="JEE2471" s="54"/>
      <c r="JEF2471" s="54"/>
      <c r="JEG2471" s="63"/>
      <c r="JEH2471" s="60"/>
      <c r="JEI2471" s="60"/>
      <c r="JEJ2471" s="60"/>
      <c r="JEK2471" s="63"/>
      <c r="JEL2471" s="61"/>
      <c r="JEM2471" s="54"/>
      <c r="JEN2471" s="54"/>
      <c r="JEO2471" s="63"/>
      <c r="JEP2471" s="60"/>
      <c r="JEQ2471" s="60"/>
      <c r="JER2471" s="60"/>
      <c r="JES2471" s="63"/>
      <c r="JET2471" s="61"/>
      <c r="JEU2471" s="54"/>
      <c r="JEV2471" s="54"/>
      <c r="JEW2471" s="63"/>
      <c r="JEX2471" s="60"/>
      <c r="JEY2471" s="60"/>
      <c r="JEZ2471" s="60"/>
      <c r="JFA2471" s="63"/>
      <c r="JFB2471" s="61"/>
      <c r="JFC2471" s="54"/>
      <c r="JFD2471" s="54"/>
      <c r="JFE2471" s="63"/>
      <c r="JFF2471" s="60"/>
      <c r="JFG2471" s="60"/>
      <c r="JFH2471" s="60"/>
      <c r="JFI2471" s="63"/>
      <c r="JFJ2471" s="61"/>
      <c r="JFK2471" s="54"/>
      <c r="JFL2471" s="54"/>
      <c r="JFM2471" s="63"/>
      <c r="JFN2471" s="60"/>
      <c r="JFO2471" s="60"/>
      <c r="JFP2471" s="60"/>
      <c r="JFQ2471" s="63"/>
      <c r="JFR2471" s="61"/>
      <c r="JFS2471" s="54"/>
      <c r="JFT2471" s="54"/>
      <c r="JFU2471" s="63"/>
      <c r="JFV2471" s="60"/>
      <c r="JFW2471" s="60"/>
      <c r="JFX2471" s="60"/>
      <c r="JFY2471" s="63"/>
      <c r="JFZ2471" s="61"/>
      <c r="JGA2471" s="54"/>
      <c r="JGB2471" s="54"/>
      <c r="JGC2471" s="63"/>
      <c r="JGD2471" s="60"/>
      <c r="JGE2471" s="60"/>
      <c r="JGF2471" s="60"/>
      <c r="JGG2471" s="63"/>
      <c r="JGH2471" s="61"/>
      <c r="JGI2471" s="54"/>
      <c r="JGJ2471" s="54"/>
      <c r="JGK2471" s="63"/>
      <c r="JGL2471" s="60"/>
      <c r="JGM2471" s="60"/>
      <c r="JGN2471" s="60"/>
      <c r="JGO2471" s="63"/>
      <c r="JGP2471" s="61"/>
      <c r="JGQ2471" s="54"/>
      <c r="JGR2471" s="54"/>
      <c r="JGS2471" s="63"/>
      <c r="JGT2471" s="60"/>
      <c r="JGU2471" s="60"/>
      <c r="JGV2471" s="60"/>
      <c r="JGW2471" s="63"/>
      <c r="JGX2471" s="61"/>
      <c r="JGY2471" s="54"/>
      <c r="JGZ2471" s="54"/>
      <c r="JHA2471" s="63"/>
      <c r="JHB2471" s="60"/>
      <c r="JHC2471" s="60"/>
      <c r="JHD2471" s="60"/>
      <c r="JHE2471" s="63"/>
      <c r="JHF2471" s="61"/>
      <c r="JHG2471" s="54"/>
      <c r="JHH2471" s="54"/>
      <c r="JHI2471" s="63"/>
      <c r="JHJ2471" s="60"/>
      <c r="JHK2471" s="60"/>
      <c r="JHL2471" s="60"/>
      <c r="JHM2471" s="63"/>
      <c r="JHN2471" s="61"/>
      <c r="JHO2471" s="54"/>
      <c r="JHP2471" s="54"/>
      <c r="JHQ2471" s="63"/>
      <c r="JHR2471" s="60"/>
      <c r="JHS2471" s="60"/>
      <c r="JHT2471" s="60"/>
      <c r="JHU2471" s="63"/>
      <c r="JHV2471" s="61"/>
      <c r="JHW2471" s="54"/>
      <c r="JHX2471" s="54"/>
      <c r="JHY2471" s="63"/>
      <c r="JHZ2471" s="60"/>
      <c r="JIA2471" s="60"/>
      <c r="JIB2471" s="60"/>
      <c r="JIC2471" s="63"/>
      <c r="JID2471" s="61"/>
      <c r="JIE2471" s="54"/>
      <c r="JIF2471" s="54"/>
      <c r="JIG2471" s="63"/>
      <c r="JIH2471" s="60"/>
      <c r="JII2471" s="60"/>
      <c r="JIJ2471" s="60"/>
      <c r="JIK2471" s="63"/>
      <c r="JIL2471" s="61"/>
      <c r="JIM2471" s="54"/>
      <c r="JIN2471" s="54"/>
      <c r="JIO2471" s="63"/>
      <c r="JIP2471" s="60"/>
      <c r="JIQ2471" s="60"/>
      <c r="JIR2471" s="60"/>
      <c r="JIS2471" s="63"/>
      <c r="JIT2471" s="61"/>
      <c r="JIU2471" s="54"/>
      <c r="JIV2471" s="54"/>
      <c r="JIW2471" s="63"/>
      <c r="JIX2471" s="60"/>
      <c r="JIY2471" s="60"/>
      <c r="JIZ2471" s="60"/>
      <c r="JJA2471" s="63"/>
      <c r="JJB2471" s="61"/>
      <c r="JJC2471" s="54"/>
      <c r="JJD2471" s="54"/>
      <c r="JJE2471" s="63"/>
      <c r="JJF2471" s="60"/>
      <c r="JJG2471" s="60"/>
      <c r="JJH2471" s="60"/>
      <c r="JJI2471" s="63"/>
      <c r="JJJ2471" s="61"/>
      <c r="JJK2471" s="54"/>
      <c r="JJL2471" s="54"/>
      <c r="JJM2471" s="63"/>
      <c r="JJN2471" s="60"/>
      <c r="JJO2471" s="60"/>
      <c r="JJP2471" s="60"/>
      <c r="JJQ2471" s="63"/>
      <c r="JJR2471" s="61"/>
      <c r="JJS2471" s="54"/>
      <c r="JJT2471" s="54"/>
      <c r="JJU2471" s="63"/>
      <c r="JJV2471" s="60"/>
      <c r="JJW2471" s="60"/>
      <c r="JJX2471" s="60"/>
      <c r="JJY2471" s="63"/>
      <c r="JJZ2471" s="61"/>
      <c r="JKA2471" s="54"/>
      <c r="JKB2471" s="54"/>
      <c r="JKC2471" s="63"/>
      <c r="JKD2471" s="60"/>
      <c r="JKE2471" s="60"/>
      <c r="JKF2471" s="60"/>
      <c r="JKG2471" s="63"/>
      <c r="JKH2471" s="61"/>
      <c r="JKI2471" s="54"/>
      <c r="JKJ2471" s="54"/>
      <c r="JKK2471" s="63"/>
      <c r="JKL2471" s="60"/>
      <c r="JKM2471" s="60"/>
      <c r="JKN2471" s="60"/>
      <c r="JKO2471" s="63"/>
      <c r="JKP2471" s="61"/>
      <c r="JKQ2471" s="54"/>
      <c r="JKR2471" s="54"/>
      <c r="JKS2471" s="63"/>
      <c r="JKT2471" s="60"/>
      <c r="JKU2471" s="60"/>
      <c r="JKV2471" s="60"/>
      <c r="JKW2471" s="63"/>
      <c r="JKX2471" s="61"/>
      <c r="JKY2471" s="54"/>
      <c r="JKZ2471" s="54"/>
      <c r="JLA2471" s="63"/>
      <c r="JLB2471" s="60"/>
      <c r="JLC2471" s="60"/>
      <c r="JLD2471" s="60"/>
      <c r="JLE2471" s="63"/>
      <c r="JLF2471" s="61"/>
      <c r="JLG2471" s="54"/>
      <c r="JLH2471" s="54"/>
      <c r="JLI2471" s="63"/>
      <c r="JLJ2471" s="60"/>
      <c r="JLK2471" s="60"/>
      <c r="JLL2471" s="60"/>
      <c r="JLM2471" s="63"/>
      <c r="JLN2471" s="61"/>
      <c r="JLO2471" s="54"/>
      <c r="JLP2471" s="54"/>
      <c r="JLQ2471" s="63"/>
      <c r="JLR2471" s="60"/>
      <c r="JLS2471" s="60"/>
      <c r="JLT2471" s="60"/>
      <c r="JLU2471" s="63"/>
      <c r="JLV2471" s="61"/>
      <c r="JLW2471" s="54"/>
      <c r="JLX2471" s="54"/>
      <c r="JLY2471" s="63"/>
      <c r="JLZ2471" s="60"/>
      <c r="JMA2471" s="60"/>
      <c r="JMB2471" s="60"/>
      <c r="JMC2471" s="63"/>
      <c r="JMD2471" s="61"/>
      <c r="JME2471" s="54"/>
      <c r="JMF2471" s="54"/>
      <c r="JMG2471" s="63"/>
      <c r="JMH2471" s="60"/>
      <c r="JMI2471" s="60"/>
      <c r="JMJ2471" s="60"/>
      <c r="JMK2471" s="63"/>
      <c r="JML2471" s="61"/>
      <c r="JMM2471" s="54"/>
      <c r="JMN2471" s="54"/>
      <c r="JMO2471" s="63"/>
      <c r="JMP2471" s="60"/>
      <c r="JMQ2471" s="60"/>
      <c r="JMR2471" s="60"/>
      <c r="JMS2471" s="63"/>
      <c r="JMT2471" s="61"/>
      <c r="JMU2471" s="54"/>
      <c r="JMV2471" s="54"/>
      <c r="JMW2471" s="63"/>
      <c r="JMX2471" s="60"/>
      <c r="JMY2471" s="60"/>
      <c r="JMZ2471" s="60"/>
      <c r="JNA2471" s="63"/>
      <c r="JNB2471" s="61"/>
      <c r="JNC2471" s="54"/>
      <c r="JND2471" s="54"/>
      <c r="JNE2471" s="63"/>
      <c r="JNF2471" s="60"/>
      <c r="JNG2471" s="60"/>
      <c r="JNH2471" s="60"/>
      <c r="JNI2471" s="63"/>
      <c r="JNJ2471" s="61"/>
      <c r="JNK2471" s="54"/>
      <c r="JNL2471" s="54"/>
      <c r="JNM2471" s="63"/>
      <c r="JNN2471" s="60"/>
      <c r="JNO2471" s="60"/>
      <c r="JNP2471" s="60"/>
      <c r="JNQ2471" s="63"/>
      <c r="JNR2471" s="61"/>
      <c r="JNS2471" s="54"/>
      <c r="JNT2471" s="54"/>
      <c r="JNU2471" s="63"/>
      <c r="JNV2471" s="60"/>
      <c r="JNW2471" s="60"/>
      <c r="JNX2471" s="60"/>
      <c r="JNY2471" s="63"/>
      <c r="JNZ2471" s="61"/>
      <c r="JOA2471" s="54"/>
      <c r="JOB2471" s="54"/>
      <c r="JOC2471" s="63"/>
      <c r="JOD2471" s="60"/>
      <c r="JOE2471" s="60"/>
      <c r="JOF2471" s="60"/>
      <c r="JOG2471" s="63"/>
      <c r="JOH2471" s="61"/>
      <c r="JOI2471" s="54"/>
      <c r="JOJ2471" s="54"/>
      <c r="JOK2471" s="63"/>
      <c r="JOL2471" s="60"/>
      <c r="JOM2471" s="60"/>
      <c r="JON2471" s="60"/>
      <c r="JOO2471" s="63"/>
      <c r="JOP2471" s="61"/>
      <c r="JOQ2471" s="54"/>
      <c r="JOR2471" s="54"/>
      <c r="JOS2471" s="63"/>
      <c r="JOT2471" s="60"/>
      <c r="JOU2471" s="60"/>
      <c r="JOV2471" s="60"/>
      <c r="JOW2471" s="63"/>
      <c r="JOX2471" s="61"/>
      <c r="JOY2471" s="54"/>
      <c r="JOZ2471" s="54"/>
      <c r="JPA2471" s="63"/>
      <c r="JPB2471" s="60"/>
      <c r="JPC2471" s="60"/>
      <c r="JPD2471" s="60"/>
      <c r="JPE2471" s="63"/>
      <c r="JPF2471" s="61"/>
      <c r="JPG2471" s="54"/>
      <c r="JPH2471" s="54"/>
      <c r="JPI2471" s="63"/>
      <c r="JPJ2471" s="60"/>
      <c r="JPK2471" s="60"/>
      <c r="JPL2471" s="60"/>
      <c r="JPM2471" s="63"/>
      <c r="JPN2471" s="61"/>
      <c r="JPO2471" s="54"/>
      <c r="JPP2471" s="54"/>
      <c r="JPQ2471" s="63"/>
      <c r="JPR2471" s="60"/>
      <c r="JPS2471" s="60"/>
      <c r="JPT2471" s="60"/>
      <c r="JPU2471" s="63"/>
      <c r="JPV2471" s="61"/>
      <c r="JPW2471" s="54"/>
      <c r="JPX2471" s="54"/>
      <c r="JPY2471" s="63"/>
      <c r="JPZ2471" s="60"/>
      <c r="JQA2471" s="60"/>
      <c r="JQB2471" s="60"/>
      <c r="JQC2471" s="63"/>
      <c r="JQD2471" s="61"/>
      <c r="JQE2471" s="54"/>
      <c r="JQF2471" s="54"/>
      <c r="JQG2471" s="63"/>
      <c r="JQH2471" s="60"/>
      <c r="JQI2471" s="60"/>
      <c r="JQJ2471" s="60"/>
      <c r="JQK2471" s="63"/>
      <c r="JQL2471" s="61"/>
      <c r="JQM2471" s="54"/>
      <c r="JQN2471" s="54"/>
      <c r="JQO2471" s="63"/>
      <c r="JQP2471" s="60"/>
      <c r="JQQ2471" s="60"/>
      <c r="JQR2471" s="60"/>
      <c r="JQS2471" s="63"/>
      <c r="JQT2471" s="61"/>
      <c r="JQU2471" s="54"/>
      <c r="JQV2471" s="54"/>
      <c r="JQW2471" s="63"/>
      <c r="JQX2471" s="60"/>
      <c r="JQY2471" s="60"/>
      <c r="JQZ2471" s="60"/>
      <c r="JRA2471" s="63"/>
      <c r="JRB2471" s="61"/>
      <c r="JRC2471" s="54"/>
      <c r="JRD2471" s="54"/>
      <c r="JRE2471" s="63"/>
      <c r="JRF2471" s="60"/>
      <c r="JRG2471" s="60"/>
      <c r="JRH2471" s="60"/>
      <c r="JRI2471" s="63"/>
      <c r="JRJ2471" s="61"/>
      <c r="JRK2471" s="54"/>
      <c r="JRL2471" s="54"/>
      <c r="JRM2471" s="63"/>
      <c r="JRN2471" s="60"/>
      <c r="JRO2471" s="60"/>
      <c r="JRP2471" s="60"/>
      <c r="JRQ2471" s="63"/>
      <c r="JRR2471" s="61"/>
      <c r="JRS2471" s="54"/>
      <c r="JRT2471" s="54"/>
      <c r="JRU2471" s="63"/>
      <c r="JRV2471" s="60"/>
      <c r="JRW2471" s="60"/>
      <c r="JRX2471" s="60"/>
      <c r="JRY2471" s="63"/>
      <c r="JRZ2471" s="61"/>
      <c r="JSA2471" s="54"/>
      <c r="JSB2471" s="54"/>
      <c r="JSC2471" s="63"/>
      <c r="JSD2471" s="60"/>
      <c r="JSE2471" s="60"/>
      <c r="JSF2471" s="60"/>
      <c r="JSG2471" s="63"/>
      <c r="JSH2471" s="61"/>
      <c r="JSI2471" s="54"/>
      <c r="JSJ2471" s="54"/>
      <c r="JSK2471" s="63"/>
      <c r="JSL2471" s="60"/>
      <c r="JSM2471" s="60"/>
      <c r="JSN2471" s="60"/>
      <c r="JSO2471" s="63"/>
      <c r="JSP2471" s="61"/>
      <c r="JSQ2471" s="54"/>
      <c r="JSR2471" s="54"/>
      <c r="JSS2471" s="63"/>
      <c r="JST2471" s="60"/>
      <c r="JSU2471" s="60"/>
      <c r="JSV2471" s="60"/>
      <c r="JSW2471" s="63"/>
      <c r="JSX2471" s="61"/>
      <c r="JSY2471" s="54"/>
      <c r="JSZ2471" s="54"/>
      <c r="JTA2471" s="63"/>
      <c r="JTB2471" s="60"/>
      <c r="JTC2471" s="60"/>
      <c r="JTD2471" s="60"/>
      <c r="JTE2471" s="63"/>
      <c r="JTF2471" s="61"/>
      <c r="JTG2471" s="54"/>
      <c r="JTH2471" s="54"/>
      <c r="JTI2471" s="63"/>
      <c r="JTJ2471" s="60"/>
      <c r="JTK2471" s="60"/>
      <c r="JTL2471" s="60"/>
      <c r="JTM2471" s="63"/>
      <c r="JTN2471" s="61"/>
      <c r="JTO2471" s="54"/>
      <c r="JTP2471" s="54"/>
      <c r="JTQ2471" s="63"/>
      <c r="JTR2471" s="60"/>
      <c r="JTS2471" s="60"/>
      <c r="JTT2471" s="60"/>
      <c r="JTU2471" s="63"/>
      <c r="JTV2471" s="61"/>
      <c r="JTW2471" s="54"/>
      <c r="JTX2471" s="54"/>
      <c r="JTY2471" s="63"/>
      <c r="JTZ2471" s="60"/>
      <c r="JUA2471" s="60"/>
      <c r="JUB2471" s="60"/>
      <c r="JUC2471" s="63"/>
      <c r="JUD2471" s="61"/>
      <c r="JUE2471" s="54"/>
      <c r="JUF2471" s="54"/>
      <c r="JUG2471" s="63"/>
      <c r="JUH2471" s="60"/>
      <c r="JUI2471" s="60"/>
      <c r="JUJ2471" s="60"/>
      <c r="JUK2471" s="63"/>
      <c r="JUL2471" s="61"/>
      <c r="JUM2471" s="54"/>
      <c r="JUN2471" s="54"/>
      <c r="JUO2471" s="63"/>
      <c r="JUP2471" s="60"/>
      <c r="JUQ2471" s="60"/>
      <c r="JUR2471" s="60"/>
      <c r="JUS2471" s="63"/>
      <c r="JUT2471" s="61"/>
      <c r="JUU2471" s="54"/>
      <c r="JUV2471" s="54"/>
      <c r="JUW2471" s="63"/>
      <c r="JUX2471" s="60"/>
      <c r="JUY2471" s="60"/>
      <c r="JUZ2471" s="60"/>
      <c r="JVA2471" s="63"/>
      <c r="JVB2471" s="61"/>
      <c r="JVC2471" s="54"/>
      <c r="JVD2471" s="54"/>
      <c r="JVE2471" s="63"/>
      <c r="JVF2471" s="60"/>
      <c r="JVG2471" s="60"/>
      <c r="JVH2471" s="60"/>
      <c r="JVI2471" s="63"/>
      <c r="JVJ2471" s="61"/>
      <c r="JVK2471" s="54"/>
      <c r="JVL2471" s="54"/>
      <c r="JVM2471" s="63"/>
      <c r="JVN2471" s="60"/>
      <c r="JVO2471" s="60"/>
      <c r="JVP2471" s="60"/>
      <c r="JVQ2471" s="63"/>
      <c r="JVR2471" s="61"/>
      <c r="JVS2471" s="54"/>
      <c r="JVT2471" s="54"/>
      <c r="JVU2471" s="63"/>
      <c r="JVV2471" s="60"/>
      <c r="JVW2471" s="60"/>
      <c r="JVX2471" s="60"/>
      <c r="JVY2471" s="63"/>
      <c r="JVZ2471" s="61"/>
      <c r="JWA2471" s="54"/>
      <c r="JWB2471" s="54"/>
      <c r="JWC2471" s="63"/>
      <c r="JWD2471" s="60"/>
      <c r="JWE2471" s="60"/>
      <c r="JWF2471" s="60"/>
      <c r="JWG2471" s="63"/>
      <c r="JWH2471" s="61"/>
      <c r="JWI2471" s="54"/>
      <c r="JWJ2471" s="54"/>
      <c r="JWK2471" s="63"/>
      <c r="JWL2471" s="60"/>
      <c r="JWM2471" s="60"/>
      <c r="JWN2471" s="60"/>
      <c r="JWO2471" s="63"/>
      <c r="JWP2471" s="61"/>
      <c r="JWQ2471" s="54"/>
      <c r="JWR2471" s="54"/>
      <c r="JWS2471" s="63"/>
      <c r="JWT2471" s="60"/>
      <c r="JWU2471" s="60"/>
      <c r="JWV2471" s="60"/>
      <c r="JWW2471" s="63"/>
      <c r="JWX2471" s="61"/>
      <c r="JWY2471" s="54"/>
      <c r="JWZ2471" s="54"/>
      <c r="JXA2471" s="63"/>
      <c r="JXB2471" s="60"/>
      <c r="JXC2471" s="60"/>
      <c r="JXD2471" s="60"/>
      <c r="JXE2471" s="63"/>
      <c r="JXF2471" s="61"/>
      <c r="JXG2471" s="54"/>
      <c r="JXH2471" s="54"/>
      <c r="JXI2471" s="63"/>
      <c r="JXJ2471" s="60"/>
      <c r="JXK2471" s="60"/>
      <c r="JXL2471" s="60"/>
      <c r="JXM2471" s="63"/>
      <c r="JXN2471" s="61"/>
      <c r="JXO2471" s="54"/>
      <c r="JXP2471" s="54"/>
      <c r="JXQ2471" s="63"/>
      <c r="JXR2471" s="60"/>
      <c r="JXS2471" s="60"/>
      <c r="JXT2471" s="60"/>
      <c r="JXU2471" s="63"/>
      <c r="JXV2471" s="61"/>
      <c r="JXW2471" s="54"/>
      <c r="JXX2471" s="54"/>
      <c r="JXY2471" s="63"/>
      <c r="JXZ2471" s="60"/>
      <c r="JYA2471" s="60"/>
      <c r="JYB2471" s="60"/>
      <c r="JYC2471" s="63"/>
      <c r="JYD2471" s="61"/>
      <c r="JYE2471" s="54"/>
      <c r="JYF2471" s="54"/>
      <c r="JYG2471" s="63"/>
      <c r="JYH2471" s="60"/>
      <c r="JYI2471" s="60"/>
      <c r="JYJ2471" s="60"/>
      <c r="JYK2471" s="63"/>
      <c r="JYL2471" s="61"/>
      <c r="JYM2471" s="54"/>
      <c r="JYN2471" s="54"/>
      <c r="JYO2471" s="63"/>
      <c r="JYP2471" s="60"/>
      <c r="JYQ2471" s="60"/>
      <c r="JYR2471" s="60"/>
      <c r="JYS2471" s="63"/>
      <c r="JYT2471" s="61"/>
      <c r="JYU2471" s="54"/>
      <c r="JYV2471" s="54"/>
      <c r="JYW2471" s="63"/>
      <c r="JYX2471" s="60"/>
      <c r="JYY2471" s="60"/>
      <c r="JYZ2471" s="60"/>
      <c r="JZA2471" s="63"/>
      <c r="JZB2471" s="61"/>
      <c r="JZC2471" s="54"/>
      <c r="JZD2471" s="54"/>
      <c r="JZE2471" s="63"/>
      <c r="JZF2471" s="60"/>
      <c r="JZG2471" s="60"/>
      <c r="JZH2471" s="60"/>
      <c r="JZI2471" s="63"/>
      <c r="JZJ2471" s="61"/>
      <c r="JZK2471" s="54"/>
      <c r="JZL2471" s="54"/>
      <c r="JZM2471" s="63"/>
      <c r="JZN2471" s="60"/>
      <c r="JZO2471" s="60"/>
      <c r="JZP2471" s="60"/>
      <c r="JZQ2471" s="63"/>
      <c r="JZR2471" s="61"/>
      <c r="JZS2471" s="54"/>
      <c r="JZT2471" s="54"/>
      <c r="JZU2471" s="63"/>
      <c r="JZV2471" s="60"/>
      <c r="JZW2471" s="60"/>
      <c r="JZX2471" s="60"/>
      <c r="JZY2471" s="63"/>
      <c r="JZZ2471" s="61"/>
      <c r="KAA2471" s="54"/>
      <c r="KAB2471" s="54"/>
      <c r="KAC2471" s="63"/>
      <c r="KAD2471" s="60"/>
      <c r="KAE2471" s="60"/>
      <c r="KAF2471" s="60"/>
      <c r="KAG2471" s="63"/>
      <c r="KAH2471" s="61"/>
      <c r="KAI2471" s="54"/>
      <c r="KAJ2471" s="54"/>
      <c r="KAK2471" s="63"/>
      <c r="KAL2471" s="60"/>
      <c r="KAM2471" s="60"/>
      <c r="KAN2471" s="60"/>
      <c r="KAO2471" s="63"/>
      <c r="KAP2471" s="61"/>
      <c r="KAQ2471" s="54"/>
      <c r="KAR2471" s="54"/>
      <c r="KAS2471" s="63"/>
      <c r="KAT2471" s="60"/>
      <c r="KAU2471" s="60"/>
      <c r="KAV2471" s="60"/>
      <c r="KAW2471" s="63"/>
      <c r="KAX2471" s="61"/>
      <c r="KAY2471" s="54"/>
      <c r="KAZ2471" s="54"/>
      <c r="KBA2471" s="63"/>
      <c r="KBB2471" s="60"/>
      <c r="KBC2471" s="60"/>
      <c r="KBD2471" s="60"/>
      <c r="KBE2471" s="63"/>
      <c r="KBF2471" s="61"/>
      <c r="KBG2471" s="54"/>
      <c r="KBH2471" s="54"/>
      <c r="KBI2471" s="63"/>
      <c r="KBJ2471" s="60"/>
      <c r="KBK2471" s="60"/>
      <c r="KBL2471" s="60"/>
      <c r="KBM2471" s="63"/>
      <c r="KBN2471" s="61"/>
      <c r="KBO2471" s="54"/>
      <c r="KBP2471" s="54"/>
      <c r="KBQ2471" s="63"/>
      <c r="KBR2471" s="60"/>
      <c r="KBS2471" s="60"/>
      <c r="KBT2471" s="60"/>
      <c r="KBU2471" s="63"/>
      <c r="KBV2471" s="61"/>
      <c r="KBW2471" s="54"/>
      <c r="KBX2471" s="54"/>
      <c r="KBY2471" s="63"/>
      <c r="KBZ2471" s="60"/>
      <c r="KCA2471" s="60"/>
      <c r="KCB2471" s="60"/>
      <c r="KCC2471" s="63"/>
      <c r="KCD2471" s="61"/>
      <c r="KCE2471" s="54"/>
      <c r="KCF2471" s="54"/>
      <c r="KCG2471" s="63"/>
      <c r="KCH2471" s="60"/>
      <c r="KCI2471" s="60"/>
      <c r="KCJ2471" s="60"/>
      <c r="KCK2471" s="63"/>
      <c r="KCL2471" s="61"/>
      <c r="KCM2471" s="54"/>
      <c r="KCN2471" s="54"/>
      <c r="KCO2471" s="63"/>
      <c r="KCP2471" s="60"/>
      <c r="KCQ2471" s="60"/>
      <c r="KCR2471" s="60"/>
      <c r="KCS2471" s="63"/>
      <c r="KCT2471" s="61"/>
      <c r="KCU2471" s="54"/>
      <c r="KCV2471" s="54"/>
      <c r="KCW2471" s="63"/>
      <c r="KCX2471" s="60"/>
      <c r="KCY2471" s="60"/>
      <c r="KCZ2471" s="60"/>
      <c r="KDA2471" s="63"/>
      <c r="KDB2471" s="61"/>
      <c r="KDC2471" s="54"/>
      <c r="KDD2471" s="54"/>
      <c r="KDE2471" s="63"/>
      <c r="KDF2471" s="60"/>
      <c r="KDG2471" s="60"/>
      <c r="KDH2471" s="60"/>
      <c r="KDI2471" s="63"/>
      <c r="KDJ2471" s="61"/>
      <c r="KDK2471" s="54"/>
      <c r="KDL2471" s="54"/>
      <c r="KDM2471" s="63"/>
      <c r="KDN2471" s="60"/>
      <c r="KDO2471" s="60"/>
      <c r="KDP2471" s="60"/>
      <c r="KDQ2471" s="63"/>
      <c r="KDR2471" s="61"/>
      <c r="KDS2471" s="54"/>
      <c r="KDT2471" s="54"/>
      <c r="KDU2471" s="63"/>
      <c r="KDV2471" s="60"/>
      <c r="KDW2471" s="60"/>
      <c r="KDX2471" s="60"/>
      <c r="KDY2471" s="63"/>
      <c r="KDZ2471" s="61"/>
      <c r="KEA2471" s="54"/>
      <c r="KEB2471" s="54"/>
      <c r="KEC2471" s="63"/>
      <c r="KED2471" s="60"/>
      <c r="KEE2471" s="60"/>
      <c r="KEF2471" s="60"/>
      <c r="KEG2471" s="63"/>
      <c r="KEH2471" s="61"/>
      <c r="KEI2471" s="54"/>
      <c r="KEJ2471" s="54"/>
      <c r="KEK2471" s="63"/>
      <c r="KEL2471" s="60"/>
      <c r="KEM2471" s="60"/>
      <c r="KEN2471" s="60"/>
      <c r="KEO2471" s="63"/>
      <c r="KEP2471" s="61"/>
      <c r="KEQ2471" s="54"/>
      <c r="KER2471" s="54"/>
      <c r="KES2471" s="63"/>
      <c r="KET2471" s="60"/>
      <c r="KEU2471" s="60"/>
      <c r="KEV2471" s="60"/>
      <c r="KEW2471" s="63"/>
      <c r="KEX2471" s="61"/>
      <c r="KEY2471" s="54"/>
      <c r="KEZ2471" s="54"/>
      <c r="KFA2471" s="63"/>
      <c r="KFB2471" s="60"/>
      <c r="KFC2471" s="60"/>
      <c r="KFD2471" s="60"/>
      <c r="KFE2471" s="63"/>
      <c r="KFF2471" s="61"/>
      <c r="KFG2471" s="54"/>
      <c r="KFH2471" s="54"/>
      <c r="KFI2471" s="63"/>
      <c r="KFJ2471" s="60"/>
      <c r="KFK2471" s="60"/>
      <c r="KFL2471" s="60"/>
      <c r="KFM2471" s="63"/>
      <c r="KFN2471" s="61"/>
      <c r="KFO2471" s="54"/>
      <c r="KFP2471" s="54"/>
      <c r="KFQ2471" s="63"/>
      <c r="KFR2471" s="60"/>
      <c r="KFS2471" s="60"/>
      <c r="KFT2471" s="60"/>
      <c r="KFU2471" s="63"/>
      <c r="KFV2471" s="61"/>
      <c r="KFW2471" s="54"/>
      <c r="KFX2471" s="54"/>
      <c r="KFY2471" s="63"/>
      <c r="KFZ2471" s="60"/>
      <c r="KGA2471" s="60"/>
      <c r="KGB2471" s="60"/>
      <c r="KGC2471" s="63"/>
      <c r="KGD2471" s="61"/>
      <c r="KGE2471" s="54"/>
      <c r="KGF2471" s="54"/>
      <c r="KGG2471" s="63"/>
      <c r="KGH2471" s="60"/>
      <c r="KGI2471" s="60"/>
      <c r="KGJ2471" s="60"/>
      <c r="KGK2471" s="63"/>
      <c r="KGL2471" s="61"/>
      <c r="KGM2471" s="54"/>
      <c r="KGN2471" s="54"/>
      <c r="KGO2471" s="63"/>
      <c r="KGP2471" s="60"/>
      <c r="KGQ2471" s="60"/>
      <c r="KGR2471" s="60"/>
      <c r="KGS2471" s="63"/>
      <c r="KGT2471" s="61"/>
      <c r="KGU2471" s="54"/>
      <c r="KGV2471" s="54"/>
      <c r="KGW2471" s="63"/>
      <c r="KGX2471" s="60"/>
      <c r="KGY2471" s="60"/>
      <c r="KGZ2471" s="60"/>
      <c r="KHA2471" s="63"/>
      <c r="KHB2471" s="61"/>
      <c r="KHC2471" s="54"/>
      <c r="KHD2471" s="54"/>
      <c r="KHE2471" s="63"/>
      <c r="KHF2471" s="60"/>
      <c r="KHG2471" s="60"/>
      <c r="KHH2471" s="60"/>
      <c r="KHI2471" s="63"/>
      <c r="KHJ2471" s="61"/>
      <c r="KHK2471" s="54"/>
      <c r="KHL2471" s="54"/>
      <c r="KHM2471" s="63"/>
      <c r="KHN2471" s="60"/>
      <c r="KHO2471" s="60"/>
      <c r="KHP2471" s="60"/>
      <c r="KHQ2471" s="63"/>
      <c r="KHR2471" s="61"/>
      <c r="KHS2471" s="54"/>
      <c r="KHT2471" s="54"/>
      <c r="KHU2471" s="63"/>
      <c r="KHV2471" s="60"/>
      <c r="KHW2471" s="60"/>
      <c r="KHX2471" s="60"/>
      <c r="KHY2471" s="63"/>
      <c r="KHZ2471" s="61"/>
      <c r="KIA2471" s="54"/>
      <c r="KIB2471" s="54"/>
      <c r="KIC2471" s="63"/>
      <c r="KID2471" s="60"/>
      <c r="KIE2471" s="60"/>
      <c r="KIF2471" s="60"/>
      <c r="KIG2471" s="63"/>
      <c r="KIH2471" s="61"/>
      <c r="KII2471" s="54"/>
      <c r="KIJ2471" s="54"/>
      <c r="KIK2471" s="63"/>
      <c r="KIL2471" s="60"/>
      <c r="KIM2471" s="60"/>
      <c r="KIN2471" s="60"/>
      <c r="KIO2471" s="63"/>
      <c r="KIP2471" s="61"/>
      <c r="KIQ2471" s="54"/>
      <c r="KIR2471" s="54"/>
      <c r="KIS2471" s="63"/>
      <c r="KIT2471" s="60"/>
      <c r="KIU2471" s="60"/>
      <c r="KIV2471" s="60"/>
      <c r="KIW2471" s="63"/>
      <c r="KIX2471" s="61"/>
      <c r="KIY2471" s="54"/>
      <c r="KIZ2471" s="54"/>
      <c r="KJA2471" s="63"/>
      <c r="KJB2471" s="60"/>
      <c r="KJC2471" s="60"/>
      <c r="KJD2471" s="60"/>
      <c r="KJE2471" s="63"/>
      <c r="KJF2471" s="61"/>
      <c r="KJG2471" s="54"/>
      <c r="KJH2471" s="54"/>
      <c r="KJI2471" s="63"/>
      <c r="KJJ2471" s="60"/>
      <c r="KJK2471" s="60"/>
      <c r="KJL2471" s="60"/>
      <c r="KJM2471" s="63"/>
      <c r="KJN2471" s="61"/>
      <c r="KJO2471" s="54"/>
      <c r="KJP2471" s="54"/>
      <c r="KJQ2471" s="63"/>
      <c r="KJR2471" s="60"/>
      <c r="KJS2471" s="60"/>
      <c r="KJT2471" s="60"/>
      <c r="KJU2471" s="63"/>
      <c r="KJV2471" s="61"/>
      <c r="KJW2471" s="54"/>
      <c r="KJX2471" s="54"/>
      <c r="KJY2471" s="63"/>
      <c r="KJZ2471" s="60"/>
      <c r="KKA2471" s="60"/>
      <c r="KKB2471" s="60"/>
      <c r="KKC2471" s="63"/>
      <c r="KKD2471" s="61"/>
      <c r="KKE2471" s="54"/>
      <c r="KKF2471" s="54"/>
      <c r="KKG2471" s="63"/>
      <c r="KKH2471" s="60"/>
      <c r="KKI2471" s="60"/>
      <c r="KKJ2471" s="60"/>
      <c r="KKK2471" s="63"/>
      <c r="KKL2471" s="61"/>
      <c r="KKM2471" s="54"/>
      <c r="KKN2471" s="54"/>
      <c r="KKO2471" s="63"/>
      <c r="KKP2471" s="60"/>
      <c r="KKQ2471" s="60"/>
      <c r="KKR2471" s="60"/>
      <c r="KKS2471" s="63"/>
      <c r="KKT2471" s="61"/>
      <c r="KKU2471" s="54"/>
      <c r="KKV2471" s="54"/>
      <c r="KKW2471" s="63"/>
      <c r="KKX2471" s="60"/>
      <c r="KKY2471" s="60"/>
      <c r="KKZ2471" s="60"/>
      <c r="KLA2471" s="63"/>
      <c r="KLB2471" s="61"/>
      <c r="KLC2471" s="54"/>
      <c r="KLD2471" s="54"/>
      <c r="KLE2471" s="63"/>
      <c r="KLF2471" s="60"/>
      <c r="KLG2471" s="60"/>
      <c r="KLH2471" s="60"/>
      <c r="KLI2471" s="63"/>
      <c r="KLJ2471" s="61"/>
      <c r="KLK2471" s="54"/>
      <c r="KLL2471" s="54"/>
      <c r="KLM2471" s="63"/>
      <c r="KLN2471" s="60"/>
      <c r="KLO2471" s="60"/>
      <c r="KLP2471" s="60"/>
      <c r="KLQ2471" s="63"/>
      <c r="KLR2471" s="61"/>
      <c r="KLS2471" s="54"/>
      <c r="KLT2471" s="54"/>
      <c r="KLU2471" s="63"/>
      <c r="KLV2471" s="60"/>
      <c r="KLW2471" s="60"/>
      <c r="KLX2471" s="60"/>
      <c r="KLY2471" s="63"/>
      <c r="KLZ2471" s="61"/>
      <c r="KMA2471" s="54"/>
      <c r="KMB2471" s="54"/>
      <c r="KMC2471" s="63"/>
      <c r="KMD2471" s="60"/>
      <c r="KME2471" s="60"/>
      <c r="KMF2471" s="60"/>
      <c r="KMG2471" s="63"/>
      <c r="KMH2471" s="61"/>
      <c r="KMI2471" s="54"/>
      <c r="KMJ2471" s="54"/>
      <c r="KMK2471" s="63"/>
      <c r="KML2471" s="60"/>
      <c r="KMM2471" s="60"/>
      <c r="KMN2471" s="60"/>
      <c r="KMO2471" s="63"/>
      <c r="KMP2471" s="61"/>
      <c r="KMQ2471" s="54"/>
      <c r="KMR2471" s="54"/>
      <c r="KMS2471" s="63"/>
      <c r="KMT2471" s="60"/>
      <c r="KMU2471" s="60"/>
      <c r="KMV2471" s="60"/>
      <c r="KMW2471" s="63"/>
      <c r="KMX2471" s="61"/>
      <c r="KMY2471" s="54"/>
      <c r="KMZ2471" s="54"/>
      <c r="KNA2471" s="63"/>
      <c r="KNB2471" s="60"/>
      <c r="KNC2471" s="60"/>
      <c r="KND2471" s="60"/>
      <c r="KNE2471" s="63"/>
      <c r="KNF2471" s="61"/>
      <c r="KNG2471" s="54"/>
      <c r="KNH2471" s="54"/>
      <c r="KNI2471" s="63"/>
      <c r="KNJ2471" s="60"/>
      <c r="KNK2471" s="60"/>
      <c r="KNL2471" s="60"/>
      <c r="KNM2471" s="63"/>
      <c r="KNN2471" s="61"/>
      <c r="KNO2471" s="54"/>
      <c r="KNP2471" s="54"/>
      <c r="KNQ2471" s="63"/>
      <c r="KNR2471" s="60"/>
      <c r="KNS2471" s="60"/>
      <c r="KNT2471" s="60"/>
      <c r="KNU2471" s="63"/>
      <c r="KNV2471" s="61"/>
      <c r="KNW2471" s="54"/>
      <c r="KNX2471" s="54"/>
      <c r="KNY2471" s="63"/>
      <c r="KNZ2471" s="60"/>
      <c r="KOA2471" s="60"/>
      <c r="KOB2471" s="60"/>
      <c r="KOC2471" s="63"/>
      <c r="KOD2471" s="61"/>
      <c r="KOE2471" s="54"/>
      <c r="KOF2471" s="54"/>
      <c r="KOG2471" s="63"/>
      <c r="KOH2471" s="60"/>
      <c r="KOI2471" s="60"/>
      <c r="KOJ2471" s="60"/>
      <c r="KOK2471" s="63"/>
      <c r="KOL2471" s="61"/>
      <c r="KOM2471" s="54"/>
      <c r="KON2471" s="54"/>
      <c r="KOO2471" s="63"/>
      <c r="KOP2471" s="60"/>
      <c r="KOQ2471" s="60"/>
      <c r="KOR2471" s="60"/>
      <c r="KOS2471" s="63"/>
      <c r="KOT2471" s="61"/>
      <c r="KOU2471" s="54"/>
      <c r="KOV2471" s="54"/>
      <c r="KOW2471" s="63"/>
      <c r="KOX2471" s="60"/>
      <c r="KOY2471" s="60"/>
      <c r="KOZ2471" s="60"/>
      <c r="KPA2471" s="63"/>
      <c r="KPB2471" s="61"/>
      <c r="KPC2471" s="54"/>
      <c r="KPD2471" s="54"/>
      <c r="KPE2471" s="63"/>
      <c r="KPF2471" s="60"/>
      <c r="KPG2471" s="60"/>
      <c r="KPH2471" s="60"/>
      <c r="KPI2471" s="63"/>
      <c r="KPJ2471" s="61"/>
      <c r="KPK2471" s="54"/>
      <c r="KPL2471" s="54"/>
      <c r="KPM2471" s="63"/>
      <c r="KPN2471" s="60"/>
      <c r="KPO2471" s="60"/>
      <c r="KPP2471" s="60"/>
      <c r="KPQ2471" s="63"/>
      <c r="KPR2471" s="61"/>
      <c r="KPS2471" s="54"/>
      <c r="KPT2471" s="54"/>
      <c r="KPU2471" s="63"/>
      <c r="KPV2471" s="60"/>
      <c r="KPW2471" s="60"/>
      <c r="KPX2471" s="60"/>
      <c r="KPY2471" s="63"/>
      <c r="KPZ2471" s="61"/>
      <c r="KQA2471" s="54"/>
      <c r="KQB2471" s="54"/>
      <c r="KQC2471" s="63"/>
      <c r="KQD2471" s="60"/>
      <c r="KQE2471" s="60"/>
      <c r="KQF2471" s="60"/>
      <c r="KQG2471" s="63"/>
      <c r="KQH2471" s="61"/>
      <c r="KQI2471" s="54"/>
      <c r="KQJ2471" s="54"/>
      <c r="KQK2471" s="63"/>
      <c r="KQL2471" s="60"/>
      <c r="KQM2471" s="60"/>
      <c r="KQN2471" s="60"/>
      <c r="KQO2471" s="63"/>
      <c r="KQP2471" s="61"/>
      <c r="KQQ2471" s="54"/>
      <c r="KQR2471" s="54"/>
      <c r="KQS2471" s="63"/>
      <c r="KQT2471" s="60"/>
      <c r="KQU2471" s="60"/>
      <c r="KQV2471" s="60"/>
      <c r="KQW2471" s="63"/>
      <c r="KQX2471" s="61"/>
      <c r="KQY2471" s="54"/>
      <c r="KQZ2471" s="54"/>
      <c r="KRA2471" s="63"/>
      <c r="KRB2471" s="60"/>
      <c r="KRC2471" s="60"/>
      <c r="KRD2471" s="60"/>
      <c r="KRE2471" s="63"/>
      <c r="KRF2471" s="61"/>
      <c r="KRG2471" s="54"/>
      <c r="KRH2471" s="54"/>
      <c r="KRI2471" s="63"/>
      <c r="KRJ2471" s="60"/>
      <c r="KRK2471" s="60"/>
      <c r="KRL2471" s="60"/>
      <c r="KRM2471" s="63"/>
      <c r="KRN2471" s="61"/>
      <c r="KRO2471" s="54"/>
      <c r="KRP2471" s="54"/>
      <c r="KRQ2471" s="63"/>
      <c r="KRR2471" s="60"/>
      <c r="KRS2471" s="60"/>
      <c r="KRT2471" s="60"/>
      <c r="KRU2471" s="63"/>
      <c r="KRV2471" s="61"/>
      <c r="KRW2471" s="54"/>
      <c r="KRX2471" s="54"/>
      <c r="KRY2471" s="63"/>
      <c r="KRZ2471" s="60"/>
      <c r="KSA2471" s="60"/>
      <c r="KSB2471" s="60"/>
      <c r="KSC2471" s="63"/>
      <c r="KSD2471" s="61"/>
      <c r="KSE2471" s="54"/>
      <c r="KSF2471" s="54"/>
      <c r="KSG2471" s="63"/>
      <c r="KSH2471" s="60"/>
      <c r="KSI2471" s="60"/>
      <c r="KSJ2471" s="60"/>
      <c r="KSK2471" s="63"/>
      <c r="KSL2471" s="61"/>
      <c r="KSM2471" s="54"/>
      <c r="KSN2471" s="54"/>
      <c r="KSO2471" s="63"/>
      <c r="KSP2471" s="60"/>
      <c r="KSQ2471" s="60"/>
      <c r="KSR2471" s="60"/>
      <c r="KSS2471" s="63"/>
      <c r="KST2471" s="61"/>
      <c r="KSU2471" s="54"/>
      <c r="KSV2471" s="54"/>
      <c r="KSW2471" s="63"/>
      <c r="KSX2471" s="60"/>
      <c r="KSY2471" s="60"/>
      <c r="KSZ2471" s="60"/>
      <c r="KTA2471" s="63"/>
      <c r="KTB2471" s="61"/>
      <c r="KTC2471" s="54"/>
      <c r="KTD2471" s="54"/>
      <c r="KTE2471" s="63"/>
      <c r="KTF2471" s="60"/>
      <c r="KTG2471" s="60"/>
      <c r="KTH2471" s="60"/>
      <c r="KTI2471" s="63"/>
      <c r="KTJ2471" s="61"/>
      <c r="KTK2471" s="54"/>
      <c r="KTL2471" s="54"/>
      <c r="KTM2471" s="63"/>
      <c r="KTN2471" s="60"/>
      <c r="KTO2471" s="60"/>
      <c r="KTP2471" s="60"/>
      <c r="KTQ2471" s="63"/>
      <c r="KTR2471" s="61"/>
      <c r="KTS2471" s="54"/>
      <c r="KTT2471" s="54"/>
      <c r="KTU2471" s="63"/>
      <c r="KTV2471" s="60"/>
      <c r="KTW2471" s="60"/>
      <c r="KTX2471" s="60"/>
      <c r="KTY2471" s="63"/>
      <c r="KTZ2471" s="61"/>
      <c r="KUA2471" s="54"/>
      <c r="KUB2471" s="54"/>
      <c r="KUC2471" s="63"/>
      <c r="KUD2471" s="60"/>
      <c r="KUE2471" s="60"/>
      <c r="KUF2471" s="60"/>
      <c r="KUG2471" s="63"/>
      <c r="KUH2471" s="61"/>
      <c r="KUI2471" s="54"/>
      <c r="KUJ2471" s="54"/>
      <c r="KUK2471" s="63"/>
      <c r="KUL2471" s="60"/>
      <c r="KUM2471" s="60"/>
      <c r="KUN2471" s="60"/>
      <c r="KUO2471" s="63"/>
      <c r="KUP2471" s="61"/>
      <c r="KUQ2471" s="54"/>
      <c r="KUR2471" s="54"/>
      <c r="KUS2471" s="63"/>
      <c r="KUT2471" s="60"/>
      <c r="KUU2471" s="60"/>
      <c r="KUV2471" s="60"/>
      <c r="KUW2471" s="63"/>
      <c r="KUX2471" s="61"/>
      <c r="KUY2471" s="54"/>
      <c r="KUZ2471" s="54"/>
      <c r="KVA2471" s="63"/>
      <c r="KVB2471" s="60"/>
      <c r="KVC2471" s="60"/>
      <c r="KVD2471" s="60"/>
      <c r="KVE2471" s="63"/>
      <c r="KVF2471" s="61"/>
      <c r="KVG2471" s="54"/>
      <c r="KVH2471" s="54"/>
      <c r="KVI2471" s="63"/>
      <c r="KVJ2471" s="60"/>
      <c r="KVK2471" s="60"/>
      <c r="KVL2471" s="60"/>
      <c r="KVM2471" s="63"/>
      <c r="KVN2471" s="61"/>
      <c r="KVO2471" s="54"/>
      <c r="KVP2471" s="54"/>
      <c r="KVQ2471" s="63"/>
      <c r="KVR2471" s="60"/>
      <c r="KVS2471" s="60"/>
      <c r="KVT2471" s="60"/>
      <c r="KVU2471" s="63"/>
      <c r="KVV2471" s="61"/>
      <c r="KVW2471" s="54"/>
      <c r="KVX2471" s="54"/>
      <c r="KVY2471" s="63"/>
      <c r="KVZ2471" s="60"/>
      <c r="KWA2471" s="60"/>
      <c r="KWB2471" s="60"/>
      <c r="KWC2471" s="63"/>
      <c r="KWD2471" s="61"/>
      <c r="KWE2471" s="54"/>
      <c r="KWF2471" s="54"/>
      <c r="KWG2471" s="63"/>
      <c r="KWH2471" s="60"/>
      <c r="KWI2471" s="60"/>
      <c r="KWJ2471" s="60"/>
      <c r="KWK2471" s="63"/>
      <c r="KWL2471" s="61"/>
      <c r="KWM2471" s="54"/>
      <c r="KWN2471" s="54"/>
      <c r="KWO2471" s="63"/>
      <c r="KWP2471" s="60"/>
      <c r="KWQ2471" s="60"/>
      <c r="KWR2471" s="60"/>
      <c r="KWS2471" s="63"/>
      <c r="KWT2471" s="61"/>
      <c r="KWU2471" s="54"/>
      <c r="KWV2471" s="54"/>
      <c r="KWW2471" s="63"/>
      <c r="KWX2471" s="60"/>
      <c r="KWY2471" s="60"/>
      <c r="KWZ2471" s="60"/>
      <c r="KXA2471" s="63"/>
      <c r="KXB2471" s="61"/>
      <c r="KXC2471" s="54"/>
      <c r="KXD2471" s="54"/>
      <c r="KXE2471" s="63"/>
      <c r="KXF2471" s="60"/>
      <c r="KXG2471" s="60"/>
      <c r="KXH2471" s="60"/>
      <c r="KXI2471" s="63"/>
      <c r="KXJ2471" s="61"/>
      <c r="KXK2471" s="54"/>
      <c r="KXL2471" s="54"/>
      <c r="KXM2471" s="63"/>
      <c r="KXN2471" s="60"/>
      <c r="KXO2471" s="60"/>
      <c r="KXP2471" s="60"/>
      <c r="KXQ2471" s="63"/>
      <c r="KXR2471" s="61"/>
      <c r="KXS2471" s="54"/>
      <c r="KXT2471" s="54"/>
      <c r="KXU2471" s="63"/>
      <c r="KXV2471" s="60"/>
      <c r="KXW2471" s="60"/>
      <c r="KXX2471" s="60"/>
      <c r="KXY2471" s="63"/>
      <c r="KXZ2471" s="61"/>
      <c r="KYA2471" s="54"/>
      <c r="KYB2471" s="54"/>
      <c r="KYC2471" s="63"/>
      <c r="KYD2471" s="60"/>
      <c r="KYE2471" s="60"/>
      <c r="KYF2471" s="60"/>
      <c r="KYG2471" s="63"/>
      <c r="KYH2471" s="61"/>
      <c r="KYI2471" s="54"/>
      <c r="KYJ2471" s="54"/>
      <c r="KYK2471" s="63"/>
      <c r="KYL2471" s="60"/>
      <c r="KYM2471" s="60"/>
      <c r="KYN2471" s="60"/>
      <c r="KYO2471" s="63"/>
      <c r="KYP2471" s="61"/>
      <c r="KYQ2471" s="54"/>
      <c r="KYR2471" s="54"/>
      <c r="KYS2471" s="63"/>
      <c r="KYT2471" s="60"/>
      <c r="KYU2471" s="60"/>
      <c r="KYV2471" s="60"/>
      <c r="KYW2471" s="63"/>
      <c r="KYX2471" s="61"/>
      <c r="KYY2471" s="54"/>
      <c r="KYZ2471" s="54"/>
      <c r="KZA2471" s="63"/>
      <c r="KZB2471" s="60"/>
      <c r="KZC2471" s="60"/>
      <c r="KZD2471" s="60"/>
      <c r="KZE2471" s="63"/>
      <c r="KZF2471" s="61"/>
      <c r="KZG2471" s="54"/>
      <c r="KZH2471" s="54"/>
      <c r="KZI2471" s="63"/>
      <c r="KZJ2471" s="60"/>
      <c r="KZK2471" s="60"/>
      <c r="KZL2471" s="60"/>
      <c r="KZM2471" s="63"/>
      <c r="KZN2471" s="61"/>
      <c r="KZO2471" s="54"/>
      <c r="KZP2471" s="54"/>
      <c r="KZQ2471" s="63"/>
      <c r="KZR2471" s="60"/>
      <c r="KZS2471" s="60"/>
      <c r="KZT2471" s="60"/>
      <c r="KZU2471" s="63"/>
      <c r="KZV2471" s="61"/>
      <c r="KZW2471" s="54"/>
      <c r="KZX2471" s="54"/>
      <c r="KZY2471" s="63"/>
      <c r="KZZ2471" s="60"/>
      <c r="LAA2471" s="60"/>
      <c r="LAB2471" s="60"/>
      <c r="LAC2471" s="63"/>
      <c r="LAD2471" s="61"/>
      <c r="LAE2471" s="54"/>
      <c r="LAF2471" s="54"/>
      <c r="LAG2471" s="63"/>
      <c r="LAH2471" s="60"/>
      <c r="LAI2471" s="60"/>
      <c r="LAJ2471" s="60"/>
      <c r="LAK2471" s="63"/>
      <c r="LAL2471" s="61"/>
      <c r="LAM2471" s="54"/>
      <c r="LAN2471" s="54"/>
      <c r="LAO2471" s="63"/>
      <c r="LAP2471" s="60"/>
      <c r="LAQ2471" s="60"/>
      <c r="LAR2471" s="60"/>
      <c r="LAS2471" s="63"/>
      <c r="LAT2471" s="61"/>
      <c r="LAU2471" s="54"/>
      <c r="LAV2471" s="54"/>
      <c r="LAW2471" s="63"/>
      <c r="LAX2471" s="60"/>
      <c r="LAY2471" s="60"/>
      <c r="LAZ2471" s="60"/>
      <c r="LBA2471" s="63"/>
      <c r="LBB2471" s="61"/>
      <c r="LBC2471" s="54"/>
      <c r="LBD2471" s="54"/>
      <c r="LBE2471" s="63"/>
      <c r="LBF2471" s="60"/>
      <c r="LBG2471" s="60"/>
      <c r="LBH2471" s="60"/>
      <c r="LBI2471" s="63"/>
      <c r="LBJ2471" s="61"/>
      <c r="LBK2471" s="54"/>
      <c r="LBL2471" s="54"/>
      <c r="LBM2471" s="63"/>
      <c r="LBN2471" s="60"/>
      <c r="LBO2471" s="60"/>
      <c r="LBP2471" s="60"/>
      <c r="LBQ2471" s="63"/>
      <c r="LBR2471" s="61"/>
      <c r="LBS2471" s="54"/>
      <c r="LBT2471" s="54"/>
      <c r="LBU2471" s="63"/>
      <c r="LBV2471" s="60"/>
      <c r="LBW2471" s="60"/>
      <c r="LBX2471" s="60"/>
      <c r="LBY2471" s="63"/>
      <c r="LBZ2471" s="61"/>
      <c r="LCA2471" s="54"/>
      <c r="LCB2471" s="54"/>
      <c r="LCC2471" s="63"/>
      <c r="LCD2471" s="60"/>
      <c r="LCE2471" s="60"/>
      <c r="LCF2471" s="60"/>
      <c r="LCG2471" s="63"/>
      <c r="LCH2471" s="61"/>
      <c r="LCI2471" s="54"/>
      <c r="LCJ2471" s="54"/>
      <c r="LCK2471" s="63"/>
      <c r="LCL2471" s="60"/>
      <c r="LCM2471" s="60"/>
      <c r="LCN2471" s="60"/>
      <c r="LCO2471" s="63"/>
      <c r="LCP2471" s="61"/>
      <c r="LCQ2471" s="54"/>
      <c r="LCR2471" s="54"/>
      <c r="LCS2471" s="63"/>
      <c r="LCT2471" s="60"/>
      <c r="LCU2471" s="60"/>
      <c r="LCV2471" s="60"/>
      <c r="LCW2471" s="63"/>
      <c r="LCX2471" s="61"/>
      <c r="LCY2471" s="54"/>
      <c r="LCZ2471" s="54"/>
      <c r="LDA2471" s="63"/>
      <c r="LDB2471" s="60"/>
      <c r="LDC2471" s="60"/>
      <c r="LDD2471" s="60"/>
      <c r="LDE2471" s="63"/>
      <c r="LDF2471" s="61"/>
      <c r="LDG2471" s="54"/>
      <c r="LDH2471" s="54"/>
      <c r="LDI2471" s="63"/>
      <c r="LDJ2471" s="60"/>
      <c r="LDK2471" s="60"/>
      <c r="LDL2471" s="60"/>
      <c r="LDM2471" s="63"/>
      <c r="LDN2471" s="61"/>
      <c r="LDO2471" s="54"/>
      <c r="LDP2471" s="54"/>
      <c r="LDQ2471" s="63"/>
      <c r="LDR2471" s="60"/>
      <c r="LDS2471" s="60"/>
      <c r="LDT2471" s="60"/>
      <c r="LDU2471" s="63"/>
      <c r="LDV2471" s="61"/>
      <c r="LDW2471" s="54"/>
      <c r="LDX2471" s="54"/>
      <c r="LDY2471" s="63"/>
      <c r="LDZ2471" s="60"/>
      <c r="LEA2471" s="60"/>
      <c r="LEB2471" s="60"/>
      <c r="LEC2471" s="63"/>
      <c r="LED2471" s="61"/>
      <c r="LEE2471" s="54"/>
      <c r="LEF2471" s="54"/>
      <c r="LEG2471" s="63"/>
      <c r="LEH2471" s="60"/>
      <c r="LEI2471" s="60"/>
      <c r="LEJ2471" s="60"/>
      <c r="LEK2471" s="63"/>
      <c r="LEL2471" s="61"/>
      <c r="LEM2471" s="54"/>
      <c r="LEN2471" s="54"/>
      <c r="LEO2471" s="63"/>
      <c r="LEP2471" s="60"/>
      <c r="LEQ2471" s="60"/>
      <c r="LER2471" s="60"/>
      <c r="LES2471" s="63"/>
      <c r="LET2471" s="61"/>
      <c r="LEU2471" s="54"/>
      <c r="LEV2471" s="54"/>
      <c r="LEW2471" s="63"/>
      <c r="LEX2471" s="60"/>
      <c r="LEY2471" s="60"/>
      <c r="LEZ2471" s="60"/>
      <c r="LFA2471" s="63"/>
      <c r="LFB2471" s="61"/>
      <c r="LFC2471" s="54"/>
      <c r="LFD2471" s="54"/>
      <c r="LFE2471" s="63"/>
      <c r="LFF2471" s="60"/>
      <c r="LFG2471" s="60"/>
      <c r="LFH2471" s="60"/>
      <c r="LFI2471" s="63"/>
      <c r="LFJ2471" s="61"/>
      <c r="LFK2471" s="54"/>
      <c r="LFL2471" s="54"/>
      <c r="LFM2471" s="63"/>
      <c r="LFN2471" s="60"/>
      <c r="LFO2471" s="60"/>
      <c r="LFP2471" s="60"/>
      <c r="LFQ2471" s="63"/>
      <c r="LFR2471" s="61"/>
      <c r="LFS2471" s="54"/>
      <c r="LFT2471" s="54"/>
      <c r="LFU2471" s="63"/>
      <c r="LFV2471" s="60"/>
      <c r="LFW2471" s="60"/>
      <c r="LFX2471" s="60"/>
      <c r="LFY2471" s="63"/>
      <c r="LFZ2471" s="61"/>
      <c r="LGA2471" s="54"/>
      <c r="LGB2471" s="54"/>
      <c r="LGC2471" s="63"/>
      <c r="LGD2471" s="60"/>
      <c r="LGE2471" s="60"/>
      <c r="LGF2471" s="60"/>
      <c r="LGG2471" s="63"/>
      <c r="LGH2471" s="61"/>
      <c r="LGI2471" s="54"/>
      <c r="LGJ2471" s="54"/>
      <c r="LGK2471" s="63"/>
      <c r="LGL2471" s="60"/>
      <c r="LGM2471" s="60"/>
      <c r="LGN2471" s="60"/>
      <c r="LGO2471" s="63"/>
      <c r="LGP2471" s="61"/>
      <c r="LGQ2471" s="54"/>
      <c r="LGR2471" s="54"/>
      <c r="LGS2471" s="63"/>
      <c r="LGT2471" s="60"/>
      <c r="LGU2471" s="60"/>
      <c r="LGV2471" s="60"/>
      <c r="LGW2471" s="63"/>
      <c r="LGX2471" s="61"/>
      <c r="LGY2471" s="54"/>
      <c r="LGZ2471" s="54"/>
      <c r="LHA2471" s="63"/>
      <c r="LHB2471" s="60"/>
      <c r="LHC2471" s="60"/>
      <c r="LHD2471" s="60"/>
      <c r="LHE2471" s="63"/>
      <c r="LHF2471" s="61"/>
      <c r="LHG2471" s="54"/>
      <c r="LHH2471" s="54"/>
      <c r="LHI2471" s="63"/>
      <c r="LHJ2471" s="60"/>
      <c r="LHK2471" s="60"/>
      <c r="LHL2471" s="60"/>
      <c r="LHM2471" s="63"/>
      <c r="LHN2471" s="61"/>
      <c r="LHO2471" s="54"/>
      <c r="LHP2471" s="54"/>
      <c r="LHQ2471" s="63"/>
      <c r="LHR2471" s="60"/>
      <c r="LHS2471" s="60"/>
      <c r="LHT2471" s="60"/>
      <c r="LHU2471" s="63"/>
      <c r="LHV2471" s="61"/>
      <c r="LHW2471" s="54"/>
      <c r="LHX2471" s="54"/>
      <c r="LHY2471" s="63"/>
      <c r="LHZ2471" s="60"/>
      <c r="LIA2471" s="60"/>
      <c r="LIB2471" s="60"/>
      <c r="LIC2471" s="63"/>
      <c r="LID2471" s="61"/>
      <c r="LIE2471" s="54"/>
      <c r="LIF2471" s="54"/>
      <c r="LIG2471" s="63"/>
      <c r="LIH2471" s="60"/>
      <c r="LII2471" s="60"/>
      <c r="LIJ2471" s="60"/>
      <c r="LIK2471" s="63"/>
      <c r="LIL2471" s="61"/>
      <c r="LIM2471" s="54"/>
      <c r="LIN2471" s="54"/>
      <c r="LIO2471" s="63"/>
      <c r="LIP2471" s="60"/>
      <c r="LIQ2471" s="60"/>
      <c r="LIR2471" s="60"/>
      <c r="LIS2471" s="63"/>
      <c r="LIT2471" s="61"/>
      <c r="LIU2471" s="54"/>
      <c r="LIV2471" s="54"/>
      <c r="LIW2471" s="63"/>
      <c r="LIX2471" s="60"/>
      <c r="LIY2471" s="60"/>
      <c r="LIZ2471" s="60"/>
      <c r="LJA2471" s="63"/>
      <c r="LJB2471" s="61"/>
      <c r="LJC2471" s="54"/>
      <c r="LJD2471" s="54"/>
      <c r="LJE2471" s="63"/>
      <c r="LJF2471" s="60"/>
      <c r="LJG2471" s="60"/>
      <c r="LJH2471" s="60"/>
      <c r="LJI2471" s="63"/>
      <c r="LJJ2471" s="61"/>
      <c r="LJK2471" s="54"/>
      <c r="LJL2471" s="54"/>
      <c r="LJM2471" s="63"/>
      <c r="LJN2471" s="60"/>
      <c r="LJO2471" s="60"/>
      <c r="LJP2471" s="60"/>
      <c r="LJQ2471" s="63"/>
      <c r="LJR2471" s="61"/>
      <c r="LJS2471" s="54"/>
      <c r="LJT2471" s="54"/>
      <c r="LJU2471" s="63"/>
      <c r="LJV2471" s="60"/>
      <c r="LJW2471" s="60"/>
      <c r="LJX2471" s="60"/>
      <c r="LJY2471" s="63"/>
      <c r="LJZ2471" s="61"/>
      <c r="LKA2471" s="54"/>
      <c r="LKB2471" s="54"/>
      <c r="LKC2471" s="63"/>
      <c r="LKD2471" s="60"/>
      <c r="LKE2471" s="60"/>
      <c r="LKF2471" s="60"/>
      <c r="LKG2471" s="63"/>
      <c r="LKH2471" s="61"/>
      <c r="LKI2471" s="54"/>
      <c r="LKJ2471" s="54"/>
      <c r="LKK2471" s="63"/>
      <c r="LKL2471" s="60"/>
      <c r="LKM2471" s="60"/>
      <c r="LKN2471" s="60"/>
      <c r="LKO2471" s="63"/>
      <c r="LKP2471" s="61"/>
      <c r="LKQ2471" s="54"/>
      <c r="LKR2471" s="54"/>
      <c r="LKS2471" s="63"/>
      <c r="LKT2471" s="60"/>
      <c r="LKU2471" s="60"/>
      <c r="LKV2471" s="60"/>
      <c r="LKW2471" s="63"/>
      <c r="LKX2471" s="61"/>
      <c r="LKY2471" s="54"/>
      <c r="LKZ2471" s="54"/>
      <c r="LLA2471" s="63"/>
      <c r="LLB2471" s="60"/>
      <c r="LLC2471" s="60"/>
      <c r="LLD2471" s="60"/>
      <c r="LLE2471" s="63"/>
      <c r="LLF2471" s="61"/>
      <c r="LLG2471" s="54"/>
      <c r="LLH2471" s="54"/>
      <c r="LLI2471" s="63"/>
      <c r="LLJ2471" s="60"/>
      <c r="LLK2471" s="60"/>
      <c r="LLL2471" s="60"/>
      <c r="LLM2471" s="63"/>
      <c r="LLN2471" s="61"/>
      <c r="LLO2471" s="54"/>
      <c r="LLP2471" s="54"/>
      <c r="LLQ2471" s="63"/>
      <c r="LLR2471" s="60"/>
      <c r="LLS2471" s="60"/>
      <c r="LLT2471" s="60"/>
      <c r="LLU2471" s="63"/>
      <c r="LLV2471" s="61"/>
      <c r="LLW2471" s="54"/>
      <c r="LLX2471" s="54"/>
      <c r="LLY2471" s="63"/>
      <c r="LLZ2471" s="60"/>
      <c r="LMA2471" s="60"/>
      <c r="LMB2471" s="60"/>
      <c r="LMC2471" s="63"/>
      <c r="LMD2471" s="61"/>
      <c r="LME2471" s="54"/>
      <c r="LMF2471" s="54"/>
      <c r="LMG2471" s="63"/>
      <c r="LMH2471" s="60"/>
      <c r="LMI2471" s="60"/>
      <c r="LMJ2471" s="60"/>
      <c r="LMK2471" s="63"/>
      <c r="LML2471" s="61"/>
      <c r="LMM2471" s="54"/>
      <c r="LMN2471" s="54"/>
      <c r="LMO2471" s="63"/>
      <c r="LMP2471" s="60"/>
      <c r="LMQ2471" s="60"/>
      <c r="LMR2471" s="60"/>
      <c r="LMS2471" s="63"/>
      <c r="LMT2471" s="61"/>
      <c r="LMU2471" s="54"/>
      <c r="LMV2471" s="54"/>
      <c r="LMW2471" s="63"/>
      <c r="LMX2471" s="60"/>
      <c r="LMY2471" s="60"/>
      <c r="LMZ2471" s="60"/>
      <c r="LNA2471" s="63"/>
      <c r="LNB2471" s="61"/>
      <c r="LNC2471" s="54"/>
      <c r="LND2471" s="54"/>
      <c r="LNE2471" s="63"/>
      <c r="LNF2471" s="60"/>
      <c r="LNG2471" s="60"/>
      <c r="LNH2471" s="60"/>
      <c r="LNI2471" s="63"/>
      <c r="LNJ2471" s="61"/>
      <c r="LNK2471" s="54"/>
      <c r="LNL2471" s="54"/>
      <c r="LNM2471" s="63"/>
      <c r="LNN2471" s="60"/>
      <c r="LNO2471" s="60"/>
      <c r="LNP2471" s="60"/>
      <c r="LNQ2471" s="63"/>
      <c r="LNR2471" s="61"/>
      <c r="LNS2471" s="54"/>
      <c r="LNT2471" s="54"/>
      <c r="LNU2471" s="63"/>
      <c r="LNV2471" s="60"/>
      <c r="LNW2471" s="60"/>
      <c r="LNX2471" s="60"/>
      <c r="LNY2471" s="63"/>
      <c r="LNZ2471" s="61"/>
      <c r="LOA2471" s="54"/>
      <c r="LOB2471" s="54"/>
      <c r="LOC2471" s="63"/>
      <c r="LOD2471" s="60"/>
      <c r="LOE2471" s="60"/>
      <c r="LOF2471" s="60"/>
      <c r="LOG2471" s="63"/>
      <c r="LOH2471" s="61"/>
      <c r="LOI2471" s="54"/>
      <c r="LOJ2471" s="54"/>
      <c r="LOK2471" s="63"/>
      <c r="LOL2471" s="60"/>
      <c r="LOM2471" s="60"/>
      <c r="LON2471" s="60"/>
      <c r="LOO2471" s="63"/>
      <c r="LOP2471" s="61"/>
      <c r="LOQ2471" s="54"/>
      <c r="LOR2471" s="54"/>
      <c r="LOS2471" s="63"/>
      <c r="LOT2471" s="60"/>
      <c r="LOU2471" s="60"/>
      <c r="LOV2471" s="60"/>
      <c r="LOW2471" s="63"/>
      <c r="LOX2471" s="61"/>
      <c r="LOY2471" s="54"/>
      <c r="LOZ2471" s="54"/>
      <c r="LPA2471" s="63"/>
      <c r="LPB2471" s="60"/>
      <c r="LPC2471" s="60"/>
      <c r="LPD2471" s="60"/>
      <c r="LPE2471" s="63"/>
      <c r="LPF2471" s="61"/>
      <c r="LPG2471" s="54"/>
      <c r="LPH2471" s="54"/>
      <c r="LPI2471" s="63"/>
      <c r="LPJ2471" s="60"/>
      <c r="LPK2471" s="60"/>
      <c r="LPL2471" s="60"/>
      <c r="LPM2471" s="63"/>
      <c r="LPN2471" s="61"/>
      <c r="LPO2471" s="54"/>
      <c r="LPP2471" s="54"/>
      <c r="LPQ2471" s="63"/>
      <c r="LPR2471" s="60"/>
      <c r="LPS2471" s="60"/>
      <c r="LPT2471" s="60"/>
      <c r="LPU2471" s="63"/>
      <c r="LPV2471" s="61"/>
      <c r="LPW2471" s="54"/>
      <c r="LPX2471" s="54"/>
      <c r="LPY2471" s="63"/>
      <c r="LPZ2471" s="60"/>
      <c r="LQA2471" s="60"/>
      <c r="LQB2471" s="60"/>
      <c r="LQC2471" s="63"/>
      <c r="LQD2471" s="61"/>
      <c r="LQE2471" s="54"/>
      <c r="LQF2471" s="54"/>
      <c r="LQG2471" s="63"/>
      <c r="LQH2471" s="60"/>
      <c r="LQI2471" s="60"/>
      <c r="LQJ2471" s="60"/>
      <c r="LQK2471" s="63"/>
      <c r="LQL2471" s="61"/>
      <c r="LQM2471" s="54"/>
      <c r="LQN2471" s="54"/>
      <c r="LQO2471" s="63"/>
      <c r="LQP2471" s="60"/>
      <c r="LQQ2471" s="60"/>
      <c r="LQR2471" s="60"/>
      <c r="LQS2471" s="63"/>
      <c r="LQT2471" s="61"/>
      <c r="LQU2471" s="54"/>
      <c r="LQV2471" s="54"/>
      <c r="LQW2471" s="63"/>
      <c r="LQX2471" s="60"/>
      <c r="LQY2471" s="60"/>
      <c r="LQZ2471" s="60"/>
      <c r="LRA2471" s="63"/>
      <c r="LRB2471" s="61"/>
      <c r="LRC2471" s="54"/>
      <c r="LRD2471" s="54"/>
      <c r="LRE2471" s="63"/>
      <c r="LRF2471" s="60"/>
      <c r="LRG2471" s="60"/>
      <c r="LRH2471" s="60"/>
      <c r="LRI2471" s="63"/>
      <c r="LRJ2471" s="61"/>
      <c r="LRK2471" s="54"/>
      <c r="LRL2471" s="54"/>
      <c r="LRM2471" s="63"/>
      <c r="LRN2471" s="60"/>
      <c r="LRO2471" s="60"/>
      <c r="LRP2471" s="60"/>
      <c r="LRQ2471" s="63"/>
      <c r="LRR2471" s="61"/>
      <c r="LRS2471" s="54"/>
      <c r="LRT2471" s="54"/>
      <c r="LRU2471" s="63"/>
      <c r="LRV2471" s="60"/>
      <c r="LRW2471" s="60"/>
      <c r="LRX2471" s="60"/>
      <c r="LRY2471" s="63"/>
      <c r="LRZ2471" s="61"/>
      <c r="LSA2471" s="54"/>
      <c r="LSB2471" s="54"/>
      <c r="LSC2471" s="63"/>
      <c r="LSD2471" s="60"/>
      <c r="LSE2471" s="60"/>
      <c r="LSF2471" s="60"/>
      <c r="LSG2471" s="63"/>
      <c r="LSH2471" s="61"/>
      <c r="LSI2471" s="54"/>
      <c r="LSJ2471" s="54"/>
      <c r="LSK2471" s="63"/>
      <c r="LSL2471" s="60"/>
      <c r="LSM2471" s="60"/>
      <c r="LSN2471" s="60"/>
      <c r="LSO2471" s="63"/>
      <c r="LSP2471" s="61"/>
      <c r="LSQ2471" s="54"/>
      <c r="LSR2471" s="54"/>
      <c r="LSS2471" s="63"/>
      <c r="LST2471" s="60"/>
      <c r="LSU2471" s="60"/>
      <c r="LSV2471" s="60"/>
      <c r="LSW2471" s="63"/>
      <c r="LSX2471" s="61"/>
      <c r="LSY2471" s="54"/>
      <c r="LSZ2471" s="54"/>
      <c r="LTA2471" s="63"/>
      <c r="LTB2471" s="60"/>
      <c r="LTC2471" s="60"/>
      <c r="LTD2471" s="60"/>
      <c r="LTE2471" s="63"/>
      <c r="LTF2471" s="61"/>
      <c r="LTG2471" s="54"/>
      <c r="LTH2471" s="54"/>
      <c r="LTI2471" s="63"/>
      <c r="LTJ2471" s="60"/>
      <c r="LTK2471" s="60"/>
      <c r="LTL2471" s="60"/>
      <c r="LTM2471" s="63"/>
      <c r="LTN2471" s="61"/>
      <c r="LTO2471" s="54"/>
      <c r="LTP2471" s="54"/>
      <c r="LTQ2471" s="63"/>
      <c r="LTR2471" s="60"/>
      <c r="LTS2471" s="60"/>
      <c r="LTT2471" s="60"/>
      <c r="LTU2471" s="63"/>
      <c r="LTV2471" s="61"/>
      <c r="LTW2471" s="54"/>
      <c r="LTX2471" s="54"/>
      <c r="LTY2471" s="63"/>
      <c r="LTZ2471" s="60"/>
      <c r="LUA2471" s="60"/>
      <c r="LUB2471" s="60"/>
      <c r="LUC2471" s="63"/>
      <c r="LUD2471" s="61"/>
      <c r="LUE2471" s="54"/>
      <c r="LUF2471" s="54"/>
      <c r="LUG2471" s="63"/>
      <c r="LUH2471" s="60"/>
      <c r="LUI2471" s="60"/>
      <c r="LUJ2471" s="60"/>
      <c r="LUK2471" s="63"/>
      <c r="LUL2471" s="61"/>
      <c r="LUM2471" s="54"/>
      <c r="LUN2471" s="54"/>
      <c r="LUO2471" s="63"/>
      <c r="LUP2471" s="60"/>
      <c r="LUQ2471" s="60"/>
      <c r="LUR2471" s="60"/>
      <c r="LUS2471" s="63"/>
      <c r="LUT2471" s="61"/>
      <c r="LUU2471" s="54"/>
      <c r="LUV2471" s="54"/>
      <c r="LUW2471" s="63"/>
      <c r="LUX2471" s="60"/>
      <c r="LUY2471" s="60"/>
      <c r="LUZ2471" s="60"/>
      <c r="LVA2471" s="63"/>
      <c r="LVB2471" s="61"/>
      <c r="LVC2471" s="54"/>
      <c r="LVD2471" s="54"/>
      <c r="LVE2471" s="63"/>
      <c r="LVF2471" s="60"/>
      <c r="LVG2471" s="60"/>
      <c r="LVH2471" s="60"/>
      <c r="LVI2471" s="63"/>
      <c r="LVJ2471" s="61"/>
      <c r="LVK2471" s="54"/>
      <c r="LVL2471" s="54"/>
      <c r="LVM2471" s="63"/>
      <c r="LVN2471" s="60"/>
      <c r="LVO2471" s="60"/>
      <c r="LVP2471" s="60"/>
      <c r="LVQ2471" s="63"/>
      <c r="LVR2471" s="61"/>
      <c r="LVS2471" s="54"/>
      <c r="LVT2471" s="54"/>
      <c r="LVU2471" s="63"/>
      <c r="LVV2471" s="60"/>
      <c r="LVW2471" s="60"/>
      <c r="LVX2471" s="60"/>
      <c r="LVY2471" s="63"/>
      <c r="LVZ2471" s="61"/>
      <c r="LWA2471" s="54"/>
      <c r="LWB2471" s="54"/>
      <c r="LWC2471" s="63"/>
      <c r="LWD2471" s="60"/>
      <c r="LWE2471" s="60"/>
      <c r="LWF2471" s="60"/>
      <c r="LWG2471" s="63"/>
      <c r="LWH2471" s="61"/>
      <c r="LWI2471" s="54"/>
      <c r="LWJ2471" s="54"/>
      <c r="LWK2471" s="63"/>
      <c r="LWL2471" s="60"/>
      <c r="LWM2471" s="60"/>
      <c r="LWN2471" s="60"/>
      <c r="LWO2471" s="63"/>
      <c r="LWP2471" s="61"/>
      <c r="LWQ2471" s="54"/>
      <c r="LWR2471" s="54"/>
      <c r="LWS2471" s="63"/>
      <c r="LWT2471" s="60"/>
      <c r="LWU2471" s="60"/>
      <c r="LWV2471" s="60"/>
      <c r="LWW2471" s="63"/>
      <c r="LWX2471" s="61"/>
      <c r="LWY2471" s="54"/>
      <c r="LWZ2471" s="54"/>
      <c r="LXA2471" s="63"/>
      <c r="LXB2471" s="60"/>
      <c r="LXC2471" s="60"/>
      <c r="LXD2471" s="60"/>
      <c r="LXE2471" s="63"/>
      <c r="LXF2471" s="61"/>
      <c r="LXG2471" s="54"/>
      <c r="LXH2471" s="54"/>
      <c r="LXI2471" s="63"/>
      <c r="LXJ2471" s="60"/>
      <c r="LXK2471" s="60"/>
      <c r="LXL2471" s="60"/>
      <c r="LXM2471" s="63"/>
      <c r="LXN2471" s="61"/>
      <c r="LXO2471" s="54"/>
      <c r="LXP2471" s="54"/>
      <c r="LXQ2471" s="63"/>
      <c r="LXR2471" s="60"/>
      <c r="LXS2471" s="60"/>
      <c r="LXT2471" s="60"/>
      <c r="LXU2471" s="63"/>
      <c r="LXV2471" s="61"/>
      <c r="LXW2471" s="54"/>
      <c r="LXX2471" s="54"/>
      <c r="LXY2471" s="63"/>
      <c r="LXZ2471" s="60"/>
      <c r="LYA2471" s="60"/>
      <c r="LYB2471" s="60"/>
      <c r="LYC2471" s="63"/>
      <c r="LYD2471" s="61"/>
      <c r="LYE2471" s="54"/>
      <c r="LYF2471" s="54"/>
      <c r="LYG2471" s="63"/>
      <c r="LYH2471" s="60"/>
      <c r="LYI2471" s="60"/>
      <c r="LYJ2471" s="60"/>
      <c r="LYK2471" s="63"/>
      <c r="LYL2471" s="61"/>
      <c r="LYM2471" s="54"/>
      <c r="LYN2471" s="54"/>
      <c r="LYO2471" s="63"/>
      <c r="LYP2471" s="60"/>
      <c r="LYQ2471" s="60"/>
      <c r="LYR2471" s="60"/>
      <c r="LYS2471" s="63"/>
      <c r="LYT2471" s="61"/>
      <c r="LYU2471" s="54"/>
      <c r="LYV2471" s="54"/>
      <c r="LYW2471" s="63"/>
      <c r="LYX2471" s="60"/>
      <c r="LYY2471" s="60"/>
      <c r="LYZ2471" s="60"/>
      <c r="LZA2471" s="63"/>
      <c r="LZB2471" s="61"/>
      <c r="LZC2471" s="54"/>
      <c r="LZD2471" s="54"/>
      <c r="LZE2471" s="63"/>
      <c r="LZF2471" s="60"/>
      <c r="LZG2471" s="60"/>
      <c r="LZH2471" s="60"/>
      <c r="LZI2471" s="63"/>
      <c r="LZJ2471" s="61"/>
      <c r="LZK2471" s="54"/>
      <c r="LZL2471" s="54"/>
      <c r="LZM2471" s="63"/>
      <c r="LZN2471" s="60"/>
      <c r="LZO2471" s="60"/>
      <c r="LZP2471" s="60"/>
      <c r="LZQ2471" s="63"/>
      <c r="LZR2471" s="61"/>
      <c r="LZS2471" s="54"/>
      <c r="LZT2471" s="54"/>
      <c r="LZU2471" s="63"/>
      <c r="LZV2471" s="60"/>
      <c r="LZW2471" s="60"/>
      <c r="LZX2471" s="60"/>
      <c r="LZY2471" s="63"/>
      <c r="LZZ2471" s="61"/>
      <c r="MAA2471" s="54"/>
      <c r="MAB2471" s="54"/>
      <c r="MAC2471" s="63"/>
      <c r="MAD2471" s="60"/>
      <c r="MAE2471" s="60"/>
      <c r="MAF2471" s="60"/>
      <c r="MAG2471" s="63"/>
      <c r="MAH2471" s="61"/>
      <c r="MAI2471" s="54"/>
      <c r="MAJ2471" s="54"/>
      <c r="MAK2471" s="63"/>
      <c r="MAL2471" s="60"/>
      <c r="MAM2471" s="60"/>
      <c r="MAN2471" s="60"/>
      <c r="MAO2471" s="63"/>
      <c r="MAP2471" s="61"/>
      <c r="MAQ2471" s="54"/>
      <c r="MAR2471" s="54"/>
      <c r="MAS2471" s="63"/>
      <c r="MAT2471" s="60"/>
      <c r="MAU2471" s="60"/>
      <c r="MAV2471" s="60"/>
      <c r="MAW2471" s="63"/>
      <c r="MAX2471" s="61"/>
      <c r="MAY2471" s="54"/>
      <c r="MAZ2471" s="54"/>
      <c r="MBA2471" s="63"/>
      <c r="MBB2471" s="60"/>
      <c r="MBC2471" s="60"/>
      <c r="MBD2471" s="60"/>
      <c r="MBE2471" s="63"/>
      <c r="MBF2471" s="61"/>
      <c r="MBG2471" s="54"/>
      <c r="MBH2471" s="54"/>
      <c r="MBI2471" s="63"/>
      <c r="MBJ2471" s="60"/>
      <c r="MBK2471" s="60"/>
      <c r="MBL2471" s="60"/>
      <c r="MBM2471" s="63"/>
      <c r="MBN2471" s="61"/>
      <c r="MBO2471" s="54"/>
      <c r="MBP2471" s="54"/>
      <c r="MBQ2471" s="63"/>
      <c r="MBR2471" s="60"/>
      <c r="MBS2471" s="60"/>
      <c r="MBT2471" s="60"/>
      <c r="MBU2471" s="63"/>
      <c r="MBV2471" s="61"/>
      <c r="MBW2471" s="54"/>
      <c r="MBX2471" s="54"/>
      <c r="MBY2471" s="63"/>
      <c r="MBZ2471" s="60"/>
      <c r="MCA2471" s="60"/>
      <c r="MCB2471" s="60"/>
      <c r="MCC2471" s="63"/>
      <c r="MCD2471" s="61"/>
      <c r="MCE2471" s="54"/>
      <c r="MCF2471" s="54"/>
      <c r="MCG2471" s="63"/>
      <c r="MCH2471" s="60"/>
      <c r="MCI2471" s="60"/>
      <c r="MCJ2471" s="60"/>
      <c r="MCK2471" s="63"/>
      <c r="MCL2471" s="61"/>
      <c r="MCM2471" s="54"/>
      <c r="MCN2471" s="54"/>
      <c r="MCO2471" s="63"/>
      <c r="MCP2471" s="60"/>
      <c r="MCQ2471" s="60"/>
      <c r="MCR2471" s="60"/>
      <c r="MCS2471" s="63"/>
      <c r="MCT2471" s="61"/>
      <c r="MCU2471" s="54"/>
      <c r="MCV2471" s="54"/>
      <c r="MCW2471" s="63"/>
      <c r="MCX2471" s="60"/>
      <c r="MCY2471" s="60"/>
      <c r="MCZ2471" s="60"/>
      <c r="MDA2471" s="63"/>
      <c r="MDB2471" s="61"/>
      <c r="MDC2471" s="54"/>
      <c r="MDD2471" s="54"/>
      <c r="MDE2471" s="63"/>
      <c r="MDF2471" s="60"/>
      <c r="MDG2471" s="60"/>
      <c r="MDH2471" s="60"/>
      <c r="MDI2471" s="63"/>
      <c r="MDJ2471" s="61"/>
      <c r="MDK2471" s="54"/>
      <c r="MDL2471" s="54"/>
      <c r="MDM2471" s="63"/>
      <c r="MDN2471" s="60"/>
      <c r="MDO2471" s="60"/>
      <c r="MDP2471" s="60"/>
      <c r="MDQ2471" s="63"/>
      <c r="MDR2471" s="61"/>
      <c r="MDS2471" s="54"/>
      <c r="MDT2471" s="54"/>
      <c r="MDU2471" s="63"/>
      <c r="MDV2471" s="60"/>
      <c r="MDW2471" s="60"/>
      <c r="MDX2471" s="60"/>
      <c r="MDY2471" s="63"/>
      <c r="MDZ2471" s="61"/>
      <c r="MEA2471" s="54"/>
      <c r="MEB2471" s="54"/>
      <c r="MEC2471" s="63"/>
      <c r="MED2471" s="60"/>
      <c r="MEE2471" s="60"/>
      <c r="MEF2471" s="60"/>
      <c r="MEG2471" s="63"/>
      <c r="MEH2471" s="61"/>
      <c r="MEI2471" s="54"/>
      <c r="MEJ2471" s="54"/>
      <c r="MEK2471" s="63"/>
      <c r="MEL2471" s="60"/>
      <c r="MEM2471" s="60"/>
      <c r="MEN2471" s="60"/>
      <c r="MEO2471" s="63"/>
      <c r="MEP2471" s="61"/>
      <c r="MEQ2471" s="54"/>
      <c r="MER2471" s="54"/>
      <c r="MES2471" s="63"/>
      <c r="MET2471" s="60"/>
      <c r="MEU2471" s="60"/>
      <c r="MEV2471" s="60"/>
      <c r="MEW2471" s="63"/>
      <c r="MEX2471" s="61"/>
      <c r="MEY2471" s="54"/>
      <c r="MEZ2471" s="54"/>
      <c r="MFA2471" s="63"/>
      <c r="MFB2471" s="60"/>
      <c r="MFC2471" s="60"/>
      <c r="MFD2471" s="60"/>
      <c r="MFE2471" s="63"/>
      <c r="MFF2471" s="61"/>
      <c r="MFG2471" s="54"/>
      <c r="MFH2471" s="54"/>
      <c r="MFI2471" s="63"/>
      <c r="MFJ2471" s="60"/>
      <c r="MFK2471" s="60"/>
      <c r="MFL2471" s="60"/>
      <c r="MFM2471" s="63"/>
      <c r="MFN2471" s="61"/>
      <c r="MFO2471" s="54"/>
      <c r="MFP2471" s="54"/>
      <c r="MFQ2471" s="63"/>
      <c r="MFR2471" s="60"/>
      <c r="MFS2471" s="60"/>
      <c r="MFT2471" s="60"/>
      <c r="MFU2471" s="63"/>
      <c r="MFV2471" s="61"/>
      <c r="MFW2471" s="54"/>
      <c r="MFX2471" s="54"/>
      <c r="MFY2471" s="63"/>
      <c r="MFZ2471" s="60"/>
      <c r="MGA2471" s="60"/>
      <c r="MGB2471" s="60"/>
      <c r="MGC2471" s="63"/>
      <c r="MGD2471" s="61"/>
      <c r="MGE2471" s="54"/>
      <c r="MGF2471" s="54"/>
      <c r="MGG2471" s="63"/>
      <c r="MGH2471" s="60"/>
      <c r="MGI2471" s="60"/>
      <c r="MGJ2471" s="60"/>
      <c r="MGK2471" s="63"/>
      <c r="MGL2471" s="61"/>
      <c r="MGM2471" s="54"/>
      <c r="MGN2471" s="54"/>
      <c r="MGO2471" s="63"/>
      <c r="MGP2471" s="60"/>
      <c r="MGQ2471" s="60"/>
      <c r="MGR2471" s="60"/>
      <c r="MGS2471" s="63"/>
      <c r="MGT2471" s="61"/>
      <c r="MGU2471" s="54"/>
      <c r="MGV2471" s="54"/>
      <c r="MGW2471" s="63"/>
      <c r="MGX2471" s="60"/>
      <c r="MGY2471" s="60"/>
      <c r="MGZ2471" s="60"/>
      <c r="MHA2471" s="63"/>
      <c r="MHB2471" s="61"/>
      <c r="MHC2471" s="54"/>
      <c r="MHD2471" s="54"/>
      <c r="MHE2471" s="63"/>
      <c r="MHF2471" s="60"/>
      <c r="MHG2471" s="60"/>
      <c r="MHH2471" s="60"/>
      <c r="MHI2471" s="63"/>
      <c r="MHJ2471" s="61"/>
      <c r="MHK2471" s="54"/>
      <c r="MHL2471" s="54"/>
      <c r="MHM2471" s="63"/>
      <c r="MHN2471" s="60"/>
      <c r="MHO2471" s="60"/>
      <c r="MHP2471" s="60"/>
      <c r="MHQ2471" s="63"/>
      <c r="MHR2471" s="61"/>
      <c r="MHS2471" s="54"/>
      <c r="MHT2471" s="54"/>
      <c r="MHU2471" s="63"/>
      <c r="MHV2471" s="60"/>
      <c r="MHW2471" s="60"/>
      <c r="MHX2471" s="60"/>
      <c r="MHY2471" s="63"/>
      <c r="MHZ2471" s="61"/>
      <c r="MIA2471" s="54"/>
      <c r="MIB2471" s="54"/>
      <c r="MIC2471" s="63"/>
      <c r="MID2471" s="60"/>
      <c r="MIE2471" s="60"/>
      <c r="MIF2471" s="60"/>
      <c r="MIG2471" s="63"/>
      <c r="MIH2471" s="61"/>
      <c r="MII2471" s="54"/>
      <c r="MIJ2471" s="54"/>
      <c r="MIK2471" s="63"/>
      <c r="MIL2471" s="60"/>
      <c r="MIM2471" s="60"/>
      <c r="MIN2471" s="60"/>
      <c r="MIO2471" s="63"/>
      <c r="MIP2471" s="61"/>
      <c r="MIQ2471" s="54"/>
      <c r="MIR2471" s="54"/>
      <c r="MIS2471" s="63"/>
      <c r="MIT2471" s="60"/>
      <c r="MIU2471" s="60"/>
      <c r="MIV2471" s="60"/>
      <c r="MIW2471" s="63"/>
      <c r="MIX2471" s="61"/>
      <c r="MIY2471" s="54"/>
      <c r="MIZ2471" s="54"/>
      <c r="MJA2471" s="63"/>
      <c r="MJB2471" s="60"/>
      <c r="MJC2471" s="60"/>
      <c r="MJD2471" s="60"/>
      <c r="MJE2471" s="63"/>
      <c r="MJF2471" s="61"/>
      <c r="MJG2471" s="54"/>
      <c r="MJH2471" s="54"/>
      <c r="MJI2471" s="63"/>
      <c r="MJJ2471" s="60"/>
      <c r="MJK2471" s="60"/>
      <c r="MJL2471" s="60"/>
      <c r="MJM2471" s="63"/>
      <c r="MJN2471" s="61"/>
      <c r="MJO2471" s="54"/>
      <c r="MJP2471" s="54"/>
      <c r="MJQ2471" s="63"/>
      <c r="MJR2471" s="60"/>
      <c r="MJS2471" s="60"/>
      <c r="MJT2471" s="60"/>
      <c r="MJU2471" s="63"/>
      <c r="MJV2471" s="61"/>
      <c r="MJW2471" s="54"/>
      <c r="MJX2471" s="54"/>
      <c r="MJY2471" s="63"/>
      <c r="MJZ2471" s="60"/>
      <c r="MKA2471" s="60"/>
      <c r="MKB2471" s="60"/>
      <c r="MKC2471" s="63"/>
      <c r="MKD2471" s="61"/>
      <c r="MKE2471" s="54"/>
      <c r="MKF2471" s="54"/>
      <c r="MKG2471" s="63"/>
      <c r="MKH2471" s="60"/>
      <c r="MKI2471" s="60"/>
      <c r="MKJ2471" s="60"/>
      <c r="MKK2471" s="63"/>
      <c r="MKL2471" s="61"/>
      <c r="MKM2471" s="54"/>
      <c r="MKN2471" s="54"/>
      <c r="MKO2471" s="63"/>
      <c r="MKP2471" s="60"/>
      <c r="MKQ2471" s="60"/>
      <c r="MKR2471" s="60"/>
      <c r="MKS2471" s="63"/>
      <c r="MKT2471" s="61"/>
      <c r="MKU2471" s="54"/>
      <c r="MKV2471" s="54"/>
      <c r="MKW2471" s="63"/>
      <c r="MKX2471" s="60"/>
      <c r="MKY2471" s="60"/>
      <c r="MKZ2471" s="60"/>
      <c r="MLA2471" s="63"/>
      <c r="MLB2471" s="61"/>
      <c r="MLC2471" s="54"/>
      <c r="MLD2471" s="54"/>
      <c r="MLE2471" s="63"/>
      <c r="MLF2471" s="60"/>
      <c r="MLG2471" s="60"/>
      <c r="MLH2471" s="60"/>
      <c r="MLI2471" s="63"/>
      <c r="MLJ2471" s="61"/>
      <c r="MLK2471" s="54"/>
      <c r="MLL2471" s="54"/>
      <c r="MLM2471" s="63"/>
      <c r="MLN2471" s="60"/>
      <c r="MLO2471" s="60"/>
      <c r="MLP2471" s="60"/>
      <c r="MLQ2471" s="63"/>
      <c r="MLR2471" s="61"/>
      <c r="MLS2471" s="54"/>
      <c r="MLT2471" s="54"/>
      <c r="MLU2471" s="63"/>
      <c r="MLV2471" s="60"/>
      <c r="MLW2471" s="60"/>
      <c r="MLX2471" s="60"/>
      <c r="MLY2471" s="63"/>
      <c r="MLZ2471" s="61"/>
      <c r="MMA2471" s="54"/>
      <c r="MMB2471" s="54"/>
      <c r="MMC2471" s="63"/>
      <c r="MMD2471" s="60"/>
      <c r="MME2471" s="60"/>
      <c r="MMF2471" s="60"/>
      <c r="MMG2471" s="63"/>
      <c r="MMH2471" s="61"/>
      <c r="MMI2471" s="54"/>
      <c r="MMJ2471" s="54"/>
      <c r="MMK2471" s="63"/>
      <c r="MML2471" s="60"/>
      <c r="MMM2471" s="60"/>
      <c r="MMN2471" s="60"/>
      <c r="MMO2471" s="63"/>
      <c r="MMP2471" s="61"/>
      <c r="MMQ2471" s="54"/>
      <c r="MMR2471" s="54"/>
      <c r="MMS2471" s="63"/>
      <c r="MMT2471" s="60"/>
      <c r="MMU2471" s="60"/>
      <c r="MMV2471" s="60"/>
      <c r="MMW2471" s="63"/>
      <c r="MMX2471" s="61"/>
      <c r="MMY2471" s="54"/>
      <c r="MMZ2471" s="54"/>
      <c r="MNA2471" s="63"/>
      <c r="MNB2471" s="60"/>
      <c r="MNC2471" s="60"/>
      <c r="MND2471" s="60"/>
      <c r="MNE2471" s="63"/>
      <c r="MNF2471" s="61"/>
      <c r="MNG2471" s="54"/>
      <c r="MNH2471" s="54"/>
      <c r="MNI2471" s="63"/>
      <c r="MNJ2471" s="60"/>
      <c r="MNK2471" s="60"/>
      <c r="MNL2471" s="60"/>
      <c r="MNM2471" s="63"/>
      <c r="MNN2471" s="61"/>
      <c r="MNO2471" s="54"/>
      <c r="MNP2471" s="54"/>
      <c r="MNQ2471" s="63"/>
      <c r="MNR2471" s="60"/>
      <c r="MNS2471" s="60"/>
      <c r="MNT2471" s="60"/>
      <c r="MNU2471" s="63"/>
      <c r="MNV2471" s="61"/>
      <c r="MNW2471" s="54"/>
      <c r="MNX2471" s="54"/>
      <c r="MNY2471" s="63"/>
      <c r="MNZ2471" s="60"/>
      <c r="MOA2471" s="60"/>
      <c r="MOB2471" s="60"/>
      <c r="MOC2471" s="63"/>
      <c r="MOD2471" s="61"/>
      <c r="MOE2471" s="54"/>
      <c r="MOF2471" s="54"/>
      <c r="MOG2471" s="63"/>
      <c r="MOH2471" s="60"/>
      <c r="MOI2471" s="60"/>
      <c r="MOJ2471" s="60"/>
      <c r="MOK2471" s="63"/>
      <c r="MOL2471" s="61"/>
      <c r="MOM2471" s="54"/>
      <c r="MON2471" s="54"/>
      <c r="MOO2471" s="63"/>
      <c r="MOP2471" s="60"/>
      <c r="MOQ2471" s="60"/>
      <c r="MOR2471" s="60"/>
      <c r="MOS2471" s="63"/>
      <c r="MOT2471" s="61"/>
      <c r="MOU2471" s="54"/>
      <c r="MOV2471" s="54"/>
      <c r="MOW2471" s="63"/>
      <c r="MOX2471" s="60"/>
      <c r="MOY2471" s="60"/>
      <c r="MOZ2471" s="60"/>
      <c r="MPA2471" s="63"/>
      <c r="MPB2471" s="61"/>
      <c r="MPC2471" s="54"/>
      <c r="MPD2471" s="54"/>
      <c r="MPE2471" s="63"/>
      <c r="MPF2471" s="60"/>
      <c r="MPG2471" s="60"/>
      <c r="MPH2471" s="60"/>
      <c r="MPI2471" s="63"/>
      <c r="MPJ2471" s="61"/>
      <c r="MPK2471" s="54"/>
      <c r="MPL2471" s="54"/>
      <c r="MPM2471" s="63"/>
      <c r="MPN2471" s="60"/>
      <c r="MPO2471" s="60"/>
      <c r="MPP2471" s="60"/>
      <c r="MPQ2471" s="63"/>
      <c r="MPR2471" s="61"/>
      <c r="MPS2471" s="54"/>
      <c r="MPT2471" s="54"/>
      <c r="MPU2471" s="63"/>
      <c r="MPV2471" s="60"/>
      <c r="MPW2471" s="60"/>
      <c r="MPX2471" s="60"/>
      <c r="MPY2471" s="63"/>
      <c r="MPZ2471" s="61"/>
      <c r="MQA2471" s="54"/>
      <c r="MQB2471" s="54"/>
      <c r="MQC2471" s="63"/>
      <c r="MQD2471" s="60"/>
      <c r="MQE2471" s="60"/>
      <c r="MQF2471" s="60"/>
      <c r="MQG2471" s="63"/>
      <c r="MQH2471" s="61"/>
      <c r="MQI2471" s="54"/>
      <c r="MQJ2471" s="54"/>
      <c r="MQK2471" s="63"/>
      <c r="MQL2471" s="60"/>
      <c r="MQM2471" s="60"/>
      <c r="MQN2471" s="60"/>
      <c r="MQO2471" s="63"/>
      <c r="MQP2471" s="61"/>
      <c r="MQQ2471" s="54"/>
      <c r="MQR2471" s="54"/>
      <c r="MQS2471" s="63"/>
      <c r="MQT2471" s="60"/>
      <c r="MQU2471" s="60"/>
      <c r="MQV2471" s="60"/>
      <c r="MQW2471" s="63"/>
      <c r="MQX2471" s="61"/>
      <c r="MQY2471" s="54"/>
      <c r="MQZ2471" s="54"/>
      <c r="MRA2471" s="63"/>
      <c r="MRB2471" s="60"/>
      <c r="MRC2471" s="60"/>
      <c r="MRD2471" s="60"/>
      <c r="MRE2471" s="63"/>
      <c r="MRF2471" s="61"/>
      <c r="MRG2471" s="54"/>
      <c r="MRH2471" s="54"/>
      <c r="MRI2471" s="63"/>
      <c r="MRJ2471" s="60"/>
      <c r="MRK2471" s="60"/>
      <c r="MRL2471" s="60"/>
      <c r="MRM2471" s="63"/>
      <c r="MRN2471" s="61"/>
      <c r="MRO2471" s="54"/>
      <c r="MRP2471" s="54"/>
      <c r="MRQ2471" s="63"/>
      <c r="MRR2471" s="60"/>
      <c r="MRS2471" s="60"/>
      <c r="MRT2471" s="60"/>
      <c r="MRU2471" s="63"/>
      <c r="MRV2471" s="61"/>
      <c r="MRW2471" s="54"/>
      <c r="MRX2471" s="54"/>
      <c r="MRY2471" s="63"/>
      <c r="MRZ2471" s="60"/>
      <c r="MSA2471" s="60"/>
      <c r="MSB2471" s="60"/>
      <c r="MSC2471" s="63"/>
      <c r="MSD2471" s="61"/>
      <c r="MSE2471" s="54"/>
      <c r="MSF2471" s="54"/>
      <c r="MSG2471" s="63"/>
      <c r="MSH2471" s="60"/>
      <c r="MSI2471" s="60"/>
      <c r="MSJ2471" s="60"/>
      <c r="MSK2471" s="63"/>
      <c r="MSL2471" s="61"/>
      <c r="MSM2471" s="54"/>
      <c r="MSN2471" s="54"/>
      <c r="MSO2471" s="63"/>
      <c r="MSP2471" s="60"/>
      <c r="MSQ2471" s="60"/>
      <c r="MSR2471" s="60"/>
      <c r="MSS2471" s="63"/>
      <c r="MST2471" s="61"/>
      <c r="MSU2471" s="54"/>
      <c r="MSV2471" s="54"/>
      <c r="MSW2471" s="63"/>
      <c r="MSX2471" s="60"/>
      <c r="MSY2471" s="60"/>
      <c r="MSZ2471" s="60"/>
      <c r="MTA2471" s="63"/>
      <c r="MTB2471" s="61"/>
      <c r="MTC2471" s="54"/>
      <c r="MTD2471" s="54"/>
      <c r="MTE2471" s="63"/>
      <c r="MTF2471" s="60"/>
      <c r="MTG2471" s="60"/>
      <c r="MTH2471" s="60"/>
      <c r="MTI2471" s="63"/>
      <c r="MTJ2471" s="61"/>
      <c r="MTK2471" s="54"/>
      <c r="MTL2471" s="54"/>
      <c r="MTM2471" s="63"/>
      <c r="MTN2471" s="60"/>
      <c r="MTO2471" s="60"/>
      <c r="MTP2471" s="60"/>
      <c r="MTQ2471" s="63"/>
      <c r="MTR2471" s="61"/>
      <c r="MTS2471" s="54"/>
      <c r="MTT2471" s="54"/>
      <c r="MTU2471" s="63"/>
      <c r="MTV2471" s="60"/>
      <c r="MTW2471" s="60"/>
      <c r="MTX2471" s="60"/>
      <c r="MTY2471" s="63"/>
      <c r="MTZ2471" s="61"/>
      <c r="MUA2471" s="54"/>
      <c r="MUB2471" s="54"/>
      <c r="MUC2471" s="63"/>
      <c r="MUD2471" s="60"/>
      <c r="MUE2471" s="60"/>
      <c r="MUF2471" s="60"/>
      <c r="MUG2471" s="63"/>
      <c r="MUH2471" s="61"/>
      <c r="MUI2471" s="54"/>
      <c r="MUJ2471" s="54"/>
      <c r="MUK2471" s="63"/>
      <c r="MUL2471" s="60"/>
      <c r="MUM2471" s="60"/>
      <c r="MUN2471" s="60"/>
      <c r="MUO2471" s="63"/>
      <c r="MUP2471" s="61"/>
      <c r="MUQ2471" s="54"/>
      <c r="MUR2471" s="54"/>
      <c r="MUS2471" s="63"/>
      <c r="MUT2471" s="60"/>
      <c r="MUU2471" s="60"/>
      <c r="MUV2471" s="60"/>
      <c r="MUW2471" s="63"/>
      <c r="MUX2471" s="61"/>
      <c r="MUY2471" s="54"/>
      <c r="MUZ2471" s="54"/>
      <c r="MVA2471" s="63"/>
      <c r="MVB2471" s="60"/>
      <c r="MVC2471" s="60"/>
      <c r="MVD2471" s="60"/>
      <c r="MVE2471" s="63"/>
      <c r="MVF2471" s="61"/>
      <c r="MVG2471" s="54"/>
      <c r="MVH2471" s="54"/>
      <c r="MVI2471" s="63"/>
      <c r="MVJ2471" s="60"/>
      <c r="MVK2471" s="60"/>
      <c r="MVL2471" s="60"/>
      <c r="MVM2471" s="63"/>
      <c r="MVN2471" s="61"/>
      <c r="MVO2471" s="54"/>
      <c r="MVP2471" s="54"/>
      <c r="MVQ2471" s="63"/>
      <c r="MVR2471" s="60"/>
      <c r="MVS2471" s="60"/>
      <c r="MVT2471" s="60"/>
      <c r="MVU2471" s="63"/>
      <c r="MVV2471" s="61"/>
      <c r="MVW2471" s="54"/>
      <c r="MVX2471" s="54"/>
      <c r="MVY2471" s="63"/>
      <c r="MVZ2471" s="60"/>
      <c r="MWA2471" s="60"/>
      <c r="MWB2471" s="60"/>
      <c r="MWC2471" s="63"/>
      <c r="MWD2471" s="61"/>
      <c r="MWE2471" s="54"/>
      <c r="MWF2471" s="54"/>
      <c r="MWG2471" s="63"/>
      <c r="MWH2471" s="60"/>
      <c r="MWI2471" s="60"/>
      <c r="MWJ2471" s="60"/>
      <c r="MWK2471" s="63"/>
      <c r="MWL2471" s="61"/>
      <c r="MWM2471" s="54"/>
      <c r="MWN2471" s="54"/>
      <c r="MWO2471" s="63"/>
      <c r="MWP2471" s="60"/>
      <c r="MWQ2471" s="60"/>
      <c r="MWR2471" s="60"/>
      <c r="MWS2471" s="63"/>
      <c r="MWT2471" s="61"/>
      <c r="MWU2471" s="54"/>
      <c r="MWV2471" s="54"/>
      <c r="MWW2471" s="63"/>
      <c r="MWX2471" s="60"/>
      <c r="MWY2471" s="60"/>
      <c r="MWZ2471" s="60"/>
      <c r="MXA2471" s="63"/>
      <c r="MXB2471" s="61"/>
      <c r="MXC2471" s="54"/>
      <c r="MXD2471" s="54"/>
      <c r="MXE2471" s="63"/>
      <c r="MXF2471" s="60"/>
      <c r="MXG2471" s="60"/>
      <c r="MXH2471" s="60"/>
      <c r="MXI2471" s="63"/>
      <c r="MXJ2471" s="61"/>
      <c r="MXK2471" s="54"/>
      <c r="MXL2471" s="54"/>
      <c r="MXM2471" s="63"/>
      <c r="MXN2471" s="60"/>
      <c r="MXO2471" s="60"/>
      <c r="MXP2471" s="60"/>
      <c r="MXQ2471" s="63"/>
      <c r="MXR2471" s="61"/>
      <c r="MXS2471" s="54"/>
      <c r="MXT2471" s="54"/>
      <c r="MXU2471" s="63"/>
      <c r="MXV2471" s="60"/>
      <c r="MXW2471" s="60"/>
      <c r="MXX2471" s="60"/>
      <c r="MXY2471" s="63"/>
      <c r="MXZ2471" s="61"/>
      <c r="MYA2471" s="54"/>
      <c r="MYB2471" s="54"/>
      <c r="MYC2471" s="63"/>
      <c r="MYD2471" s="60"/>
      <c r="MYE2471" s="60"/>
      <c r="MYF2471" s="60"/>
      <c r="MYG2471" s="63"/>
      <c r="MYH2471" s="61"/>
      <c r="MYI2471" s="54"/>
      <c r="MYJ2471" s="54"/>
      <c r="MYK2471" s="63"/>
      <c r="MYL2471" s="60"/>
      <c r="MYM2471" s="60"/>
      <c r="MYN2471" s="60"/>
      <c r="MYO2471" s="63"/>
      <c r="MYP2471" s="61"/>
      <c r="MYQ2471" s="54"/>
      <c r="MYR2471" s="54"/>
      <c r="MYS2471" s="63"/>
      <c r="MYT2471" s="60"/>
      <c r="MYU2471" s="60"/>
      <c r="MYV2471" s="60"/>
      <c r="MYW2471" s="63"/>
      <c r="MYX2471" s="61"/>
      <c r="MYY2471" s="54"/>
      <c r="MYZ2471" s="54"/>
      <c r="MZA2471" s="63"/>
      <c r="MZB2471" s="60"/>
      <c r="MZC2471" s="60"/>
      <c r="MZD2471" s="60"/>
      <c r="MZE2471" s="63"/>
      <c r="MZF2471" s="61"/>
      <c r="MZG2471" s="54"/>
      <c r="MZH2471" s="54"/>
      <c r="MZI2471" s="63"/>
      <c r="MZJ2471" s="60"/>
      <c r="MZK2471" s="60"/>
      <c r="MZL2471" s="60"/>
      <c r="MZM2471" s="63"/>
      <c r="MZN2471" s="61"/>
      <c r="MZO2471" s="54"/>
      <c r="MZP2471" s="54"/>
      <c r="MZQ2471" s="63"/>
      <c r="MZR2471" s="60"/>
      <c r="MZS2471" s="60"/>
      <c r="MZT2471" s="60"/>
      <c r="MZU2471" s="63"/>
      <c r="MZV2471" s="61"/>
      <c r="MZW2471" s="54"/>
      <c r="MZX2471" s="54"/>
      <c r="MZY2471" s="63"/>
      <c r="MZZ2471" s="60"/>
      <c r="NAA2471" s="60"/>
      <c r="NAB2471" s="60"/>
      <c r="NAC2471" s="63"/>
      <c r="NAD2471" s="61"/>
      <c r="NAE2471" s="54"/>
      <c r="NAF2471" s="54"/>
      <c r="NAG2471" s="63"/>
      <c r="NAH2471" s="60"/>
      <c r="NAI2471" s="60"/>
      <c r="NAJ2471" s="60"/>
      <c r="NAK2471" s="63"/>
      <c r="NAL2471" s="61"/>
      <c r="NAM2471" s="54"/>
      <c r="NAN2471" s="54"/>
      <c r="NAO2471" s="63"/>
      <c r="NAP2471" s="60"/>
      <c r="NAQ2471" s="60"/>
      <c r="NAR2471" s="60"/>
      <c r="NAS2471" s="63"/>
      <c r="NAT2471" s="61"/>
      <c r="NAU2471" s="54"/>
      <c r="NAV2471" s="54"/>
      <c r="NAW2471" s="63"/>
      <c r="NAX2471" s="60"/>
      <c r="NAY2471" s="60"/>
      <c r="NAZ2471" s="60"/>
      <c r="NBA2471" s="63"/>
      <c r="NBB2471" s="61"/>
      <c r="NBC2471" s="54"/>
      <c r="NBD2471" s="54"/>
      <c r="NBE2471" s="63"/>
      <c r="NBF2471" s="60"/>
      <c r="NBG2471" s="60"/>
      <c r="NBH2471" s="60"/>
      <c r="NBI2471" s="63"/>
      <c r="NBJ2471" s="61"/>
      <c r="NBK2471" s="54"/>
      <c r="NBL2471" s="54"/>
      <c r="NBM2471" s="63"/>
      <c r="NBN2471" s="60"/>
      <c r="NBO2471" s="60"/>
      <c r="NBP2471" s="60"/>
      <c r="NBQ2471" s="63"/>
      <c r="NBR2471" s="61"/>
      <c r="NBS2471" s="54"/>
      <c r="NBT2471" s="54"/>
      <c r="NBU2471" s="63"/>
      <c r="NBV2471" s="60"/>
      <c r="NBW2471" s="60"/>
      <c r="NBX2471" s="60"/>
      <c r="NBY2471" s="63"/>
      <c r="NBZ2471" s="61"/>
      <c r="NCA2471" s="54"/>
      <c r="NCB2471" s="54"/>
      <c r="NCC2471" s="63"/>
      <c r="NCD2471" s="60"/>
      <c r="NCE2471" s="60"/>
      <c r="NCF2471" s="60"/>
      <c r="NCG2471" s="63"/>
      <c r="NCH2471" s="61"/>
      <c r="NCI2471" s="54"/>
      <c r="NCJ2471" s="54"/>
      <c r="NCK2471" s="63"/>
      <c r="NCL2471" s="60"/>
      <c r="NCM2471" s="60"/>
      <c r="NCN2471" s="60"/>
      <c r="NCO2471" s="63"/>
      <c r="NCP2471" s="61"/>
      <c r="NCQ2471" s="54"/>
      <c r="NCR2471" s="54"/>
      <c r="NCS2471" s="63"/>
      <c r="NCT2471" s="60"/>
      <c r="NCU2471" s="60"/>
      <c r="NCV2471" s="60"/>
      <c r="NCW2471" s="63"/>
      <c r="NCX2471" s="61"/>
      <c r="NCY2471" s="54"/>
      <c r="NCZ2471" s="54"/>
      <c r="NDA2471" s="63"/>
      <c r="NDB2471" s="60"/>
      <c r="NDC2471" s="60"/>
      <c r="NDD2471" s="60"/>
      <c r="NDE2471" s="63"/>
      <c r="NDF2471" s="61"/>
      <c r="NDG2471" s="54"/>
      <c r="NDH2471" s="54"/>
      <c r="NDI2471" s="63"/>
      <c r="NDJ2471" s="60"/>
      <c r="NDK2471" s="60"/>
      <c r="NDL2471" s="60"/>
      <c r="NDM2471" s="63"/>
      <c r="NDN2471" s="61"/>
      <c r="NDO2471" s="54"/>
      <c r="NDP2471" s="54"/>
      <c r="NDQ2471" s="63"/>
      <c r="NDR2471" s="60"/>
      <c r="NDS2471" s="60"/>
      <c r="NDT2471" s="60"/>
      <c r="NDU2471" s="63"/>
      <c r="NDV2471" s="61"/>
      <c r="NDW2471" s="54"/>
      <c r="NDX2471" s="54"/>
      <c r="NDY2471" s="63"/>
      <c r="NDZ2471" s="60"/>
      <c r="NEA2471" s="60"/>
      <c r="NEB2471" s="60"/>
      <c r="NEC2471" s="63"/>
      <c r="NED2471" s="61"/>
      <c r="NEE2471" s="54"/>
      <c r="NEF2471" s="54"/>
      <c r="NEG2471" s="63"/>
      <c r="NEH2471" s="60"/>
      <c r="NEI2471" s="60"/>
      <c r="NEJ2471" s="60"/>
      <c r="NEK2471" s="63"/>
      <c r="NEL2471" s="61"/>
      <c r="NEM2471" s="54"/>
      <c r="NEN2471" s="54"/>
      <c r="NEO2471" s="63"/>
      <c r="NEP2471" s="60"/>
      <c r="NEQ2471" s="60"/>
      <c r="NER2471" s="60"/>
      <c r="NES2471" s="63"/>
      <c r="NET2471" s="61"/>
      <c r="NEU2471" s="54"/>
      <c r="NEV2471" s="54"/>
      <c r="NEW2471" s="63"/>
      <c r="NEX2471" s="60"/>
      <c r="NEY2471" s="60"/>
      <c r="NEZ2471" s="60"/>
      <c r="NFA2471" s="63"/>
      <c r="NFB2471" s="61"/>
      <c r="NFC2471" s="54"/>
      <c r="NFD2471" s="54"/>
      <c r="NFE2471" s="63"/>
      <c r="NFF2471" s="60"/>
      <c r="NFG2471" s="60"/>
      <c r="NFH2471" s="60"/>
      <c r="NFI2471" s="63"/>
      <c r="NFJ2471" s="61"/>
      <c r="NFK2471" s="54"/>
      <c r="NFL2471" s="54"/>
      <c r="NFM2471" s="63"/>
      <c r="NFN2471" s="60"/>
      <c r="NFO2471" s="60"/>
      <c r="NFP2471" s="60"/>
      <c r="NFQ2471" s="63"/>
      <c r="NFR2471" s="61"/>
      <c r="NFS2471" s="54"/>
      <c r="NFT2471" s="54"/>
      <c r="NFU2471" s="63"/>
      <c r="NFV2471" s="60"/>
      <c r="NFW2471" s="60"/>
      <c r="NFX2471" s="60"/>
      <c r="NFY2471" s="63"/>
      <c r="NFZ2471" s="61"/>
      <c r="NGA2471" s="54"/>
      <c r="NGB2471" s="54"/>
      <c r="NGC2471" s="63"/>
      <c r="NGD2471" s="60"/>
      <c r="NGE2471" s="60"/>
      <c r="NGF2471" s="60"/>
      <c r="NGG2471" s="63"/>
      <c r="NGH2471" s="61"/>
      <c r="NGI2471" s="54"/>
      <c r="NGJ2471" s="54"/>
      <c r="NGK2471" s="63"/>
      <c r="NGL2471" s="60"/>
      <c r="NGM2471" s="60"/>
      <c r="NGN2471" s="60"/>
      <c r="NGO2471" s="63"/>
      <c r="NGP2471" s="61"/>
      <c r="NGQ2471" s="54"/>
      <c r="NGR2471" s="54"/>
      <c r="NGS2471" s="63"/>
      <c r="NGT2471" s="60"/>
      <c r="NGU2471" s="60"/>
      <c r="NGV2471" s="60"/>
      <c r="NGW2471" s="63"/>
      <c r="NGX2471" s="61"/>
      <c r="NGY2471" s="54"/>
      <c r="NGZ2471" s="54"/>
      <c r="NHA2471" s="63"/>
      <c r="NHB2471" s="60"/>
      <c r="NHC2471" s="60"/>
      <c r="NHD2471" s="60"/>
      <c r="NHE2471" s="63"/>
      <c r="NHF2471" s="61"/>
      <c r="NHG2471" s="54"/>
      <c r="NHH2471" s="54"/>
      <c r="NHI2471" s="63"/>
      <c r="NHJ2471" s="60"/>
      <c r="NHK2471" s="60"/>
      <c r="NHL2471" s="60"/>
      <c r="NHM2471" s="63"/>
      <c r="NHN2471" s="61"/>
      <c r="NHO2471" s="54"/>
      <c r="NHP2471" s="54"/>
      <c r="NHQ2471" s="63"/>
      <c r="NHR2471" s="60"/>
      <c r="NHS2471" s="60"/>
      <c r="NHT2471" s="60"/>
      <c r="NHU2471" s="63"/>
      <c r="NHV2471" s="61"/>
      <c r="NHW2471" s="54"/>
      <c r="NHX2471" s="54"/>
      <c r="NHY2471" s="63"/>
      <c r="NHZ2471" s="60"/>
      <c r="NIA2471" s="60"/>
      <c r="NIB2471" s="60"/>
      <c r="NIC2471" s="63"/>
      <c r="NID2471" s="61"/>
      <c r="NIE2471" s="54"/>
      <c r="NIF2471" s="54"/>
      <c r="NIG2471" s="63"/>
      <c r="NIH2471" s="60"/>
      <c r="NII2471" s="60"/>
      <c r="NIJ2471" s="60"/>
      <c r="NIK2471" s="63"/>
      <c r="NIL2471" s="61"/>
      <c r="NIM2471" s="54"/>
      <c r="NIN2471" s="54"/>
      <c r="NIO2471" s="63"/>
      <c r="NIP2471" s="60"/>
      <c r="NIQ2471" s="60"/>
      <c r="NIR2471" s="60"/>
      <c r="NIS2471" s="63"/>
      <c r="NIT2471" s="61"/>
      <c r="NIU2471" s="54"/>
      <c r="NIV2471" s="54"/>
      <c r="NIW2471" s="63"/>
      <c r="NIX2471" s="60"/>
      <c r="NIY2471" s="60"/>
      <c r="NIZ2471" s="60"/>
      <c r="NJA2471" s="63"/>
      <c r="NJB2471" s="61"/>
      <c r="NJC2471" s="54"/>
      <c r="NJD2471" s="54"/>
      <c r="NJE2471" s="63"/>
      <c r="NJF2471" s="60"/>
      <c r="NJG2471" s="60"/>
      <c r="NJH2471" s="60"/>
      <c r="NJI2471" s="63"/>
      <c r="NJJ2471" s="61"/>
      <c r="NJK2471" s="54"/>
      <c r="NJL2471" s="54"/>
      <c r="NJM2471" s="63"/>
      <c r="NJN2471" s="60"/>
      <c r="NJO2471" s="60"/>
      <c r="NJP2471" s="60"/>
      <c r="NJQ2471" s="63"/>
      <c r="NJR2471" s="61"/>
      <c r="NJS2471" s="54"/>
      <c r="NJT2471" s="54"/>
      <c r="NJU2471" s="63"/>
      <c r="NJV2471" s="60"/>
      <c r="NJW2471" s="60"/>
      <c r="NJX2471" s="60"/>
      <c r="NJY2471" s="63"/>
      <c r="NJZ2471" s="61"/>
      <c r="NKA2471" s="54"/>
      <c r="NKB2471" s="54"/>
      <c r="NKC2471" s="63"/>
      <c r="NKD2471" s="60"/>
      <c r="NKE2471" s="60"/>
      <c r="NKF2471" s="60"/>
      <c r="NKG2471" s="63"/>
      <c r="NKH2471" s="61"/>
      <c r="NKI2471" s="54"/>
      <c r="NKJ2471" s="54"/>
      <c r="NKK2471" s="63"/>
      <c r="NKL2471" s="60"/>
      <c r="NKM2471" s="60"/>
      <c r="NKN2471" s="60"/>
      <c r="NKO2471" s="63"/>
      <c r="NKP2471" s="61"/>
      <c r="NKQ2471" s="54"/>
      <c r="NKR2471" s="54"/>
      <c r="NKS2471" s="63"/>
      <c r="NKT2471" s="60"/>
      <c r="NKU2471" s="60"/>
      <c r="NKV2471" s="60"/>
      <c r="NKW2471" s="63"/>
      <c r="NKX2471" s="61"/>
      <c r="NKY2471" s="54"/>
      <c r="NKZ2471" s="54"/>
      <c r="NLA2471" s="63"/>
      <c r="NLB2471" s="60"/>
      <c r="NLC2471" s="60"/>
      <c r="NLD2471" s="60"/>
      <c r="NLE2471" s="63"/>
      <c r="NLF2471" s="61"/>
      <c r="NLG2471" s="54"/>
      <c r="NLH2471" s="54"/>
      <c r="NLI2471" s="63"/>
      <c r="NLJ2471" s="60"/>
      <c r="NLK2471" s="60"/>
      <c r="NLL2471" s="60"/>
      <c r="NLM2471" s="63"/>
      <c r="NLN2471" s="61"/>
      <c r="NLO2471" s="54"/>
      <c r="NLP2471" s="54"/>
      <c r="NLQ2471" s="63"/>
      <c r="NLR2471" s="60"/>
      <c r="NLS2471" s="60"/>
      <c r="NLT2471" s="60"/>
      <c r="NLU2471" s="63"/>
      <c r="NLV2471" s="61"/>
      <c r="NLW2471" s="54"/>
      <c r="NLX2471" s="54"/>
      <c r="NLY2471" s="63"/>
      <c r="NLZ2471" s="60"/>
      <c r="NMA2471" s="60"/>
      <c r="NMB2471" s="60"/>
      <c r="NMC2471" s="63"/>
      <c r="NMD2471" s="61"/>
      <c r="NME2471" s="54"/>
      <c r="NMF2471" s="54"/>
      <c r="NMG2471" s="63"/>
      <c r="NMH2471" s="60"/>
      <c r="NMI2471" s="60"/>
      <c r="NMJ2471" s="60"/>
      <c r="NMK2471" s="63"/>
      <c r="NML2471" s="61"/>
      <c r="NMM2471" s="54"/>
      <c r="NMN2471" s="54"/>
      <c r="NMO2471" s="63"/>
      <c r="NMP2471" s="60"/>
      <c r="NMQ2471" s="60"/>
      <c r="NMR2471" s="60"/>
      <c r="NMS2471" s="63"/>
      <c r="NMT2471" s="61"/>
      <c r="NMU2471" s="54"/>
      <c r="NMV2471" s="54"/>
      <c r="NMW2471" s="63"/>
      <c r="NMX2471" s="60"/>
      <c r="NMY2471" s="60"/>
      <c r="NMZ2471" s="60"/>
      <c r="NNA2471" s="63"/>
      <c r="NNB2471" s="61"/>
      <c r="NNC2471" s="54"/>
      <c r="NND2471" s="54"/>
      <c r="NNE2471" s="63"/>
      <c r="NNF2471" s="60"/>
      <c r="NNG2471" s="60"/>
      <c r="NNH2471" s="60"/>
      <c r="NNI2471" s="63"/>
      <c r="NNJ2471" s="61"/>
      <c r="NNK2471" s="54"/>
      <c r="NNL2471" s="54"/>
      <c r="NNM2471" s="63"/>
      <c r="NNN2471" s="60"/>
      <c r="NNO2471" s="60"/>
      <c r="NNP2471" s="60"/>
      <c r="NNQ2471" s="63"/>
      <c r="NNR2471" s="61"/>
      <c r="NNS2471" s="54"/>
      <c r="NNT2471" s="54"/>
      <c r="NNU2471" s="63"/>
      <c r="NNV2471" s="60"/>
      <c r="NNW2471" s="60"/>
      <c r="NNX2471" s="60"/>
      <c r="NNY2471" s="63"/>
      <c r="NNZ2471" s="61"/>
      <c r="NOA2471" s="54"/>
      <c r="NOB2471" s="54"/>
      <c r="NOC2471" s="63"/>
      <c r="NOD2471" s="60"/>
      <c r="NOE2471" s="60"/>
      <c r="NOF2471" s="60"/>
      <c r="NOG2471" s="63"/>
      <c r="NOH2471" s="61"/>
      <c r="NOI2471" s="54"/>
      <c r="NOJ2471" s="54"/>
      <c r="NOK2471" s="63"/>
      <c r="NOL2471" s="60"/>
      <c r="NOM2471" s="60"/>
      <c r="NON2471" s="60"/>
      <c r="NOO2471" s="63"/>
      <c r="NOP2471" s="61"/>
      <c r="NOQ2471" s="54"/>
      <c r="NOR2471" s="54"/>
      <c r="NOS2471" s="63"/>
      <c r="NOT2471" s="60"/>
      <c r="NOU2471" s="60"/>
      <c r="NOV2471" s="60"/>
      <c r="NOW2471" s="63"/>
      <c r="NOX2471" s="61"/>
      <c r="NOY2471" s="54"/>
      <c r="NOZ2471" s="54"/>
      <c r="NPA2471" s="63"/>
      <c r="NPB2471" s="60"/>
      <c r="NPC2471" s="60"/>
      <c r="NPD2471" s="60"/>
      <c r="NPE2471" s="63"/>
      <c r="NPF2471" s="61"/>
      <c r="NPG2471" s="54"/>
      <c r="NPH2471" s="54"/>
      <c r="NPI2471" s="63"/>
      <c r="NPJ2471" s="60"/>
      <c r="NPK2471" s="60"/>
      <c r="NPL2471" s="60"/>
      <c r="NPM2471" s="63"/>
      <c r="NPN2471" s="61"/>
      <c r="NPO2471" s="54"/>
      <c r="NPP2471" s="54"/>
      <c r="NPQ2471" s="63"/>
      <c r="NPR2471" s="60"/>
      <c r="NPS2471" s="60"/>
      <c r="NPT2471" s="60"/>
      <c r="NPU2471" s="63"/>
      <c r="NPV2471" s="61"/>
      <c r="NPW2471" s="54"/>
      <c r="NPX2471" s="54"/>
      <c r="NPY2471" s="63"/>
      <c r="NPZ2471" s="60"/>
      <c r="NQA2471" s="60"/>
      <c r="NQB2471" s="60"/>
      <c r="NQC2471" s="63"/>
      <c r="NQD2471" s="61"/>
      <c r="NQE2471" s="54"/>
      <c r="NQF2471" s="54"/>
      <c r="NQG2471" s="63"/>
      <c r="NQH2471" s="60"/>
      <c r="NQI2471" s="60"/>
      <c r="NQJ2471" s="60"/>
      <c r="NQK2471" s="63"/>
      <c r="NQL2471" s="61"/>
      <c r="NQM2471" s="54"/>
      <c r="NQN2471" s="54"/>
      <c r="NQO2471" s="63"/>
      <c r="NQP2471" s="60"/>
      <c r="NQQ2471" s="60"/>
      <c r="NQR2471" s="60"/>
      <c r="NQS2471" s="63"/>
      <c r="NQT2471" s="61"/>
      <c r="NQU2471" s="54"/>
      <c r="NQV2471" s="54"/>
      <c r="NQW2471" s="63"/>
      <c r="NQX2471" s="60"/>
      <c r="NQY2471" s="60"/>
      <c r="NQZ2471" s="60"/>
      <c r="NRA2471" s="63"/>
      <c r="NRB2471" s="61"/>
      <c r="NRC2471" s="54"/>
      <c r="NRD2471" s="54"/>
      <c r="NRE2471" s="63"/>
      <c r="NRF2471" s="60"/>
      <c r="NRG2471" s="60"/>
      <c r="NRH2471" s="60"/>
      <c r="NRI2471" s="63"/>
      <c r="NRJ2471" s="61"/>
      <c r="NRK2471" s="54"/>
      <c r="NRL2471" s="54"/>
      <c r="NRM2471" s="63"/>
      <c r="NRN2471" s="60"/>
      <c r="NRO2471" s="60"/>
      <c r="NRP2471" s="60"/>
      <c r="NRQ2471" s="63"/>
      <c r="NRR2471" s="61"/>
      <c r="NRS2471" s="54"/>
      <c r="NRT2471" s="54"/>
      <c r="NRU2471" s="63"/>
      <c r="NRV2471" s="60"/>
      <c r="NRW2471" s="60"/>
      <c r="NRX2471" s="60"/>
      <c r="NRY2471" s="63"/>
      <c r="NRZ2471" s="61"/>
      <c r="NSA2471" s="54"/>
      <c r="NSB2471" s="54"/>
      <c r="NSC2471" s="63"/>
      <c r="NSD2471" s="60"/>
      <c r="NSE2471" s="60"/>
      <c r="NSF2471" s="60"/>
      <c r="NSG2471" s="63"/>
      <c r="NSH2471" s="61"/>
      <c r="NSI2471" s="54"/>
      <c r="NSJ2471" s="54"/>
      <c r="NSK2471" s="63"/>
      <c r="NSL2471" s="60"/>
      <c r="NSM2471" s="60"/>
      <c r="NSN2471" s="60"/>
      <c r="NSO2471" s="63"/>
      <c r="NSP2471" s="61"/>
      <c r="NSQ2471" s="54"/>
      <c r="NSR2471" s="54"/>
      <c r="NSS2471" s="63"/>
      <c r="NST2471" s="60"/>
      <c r="NSU2471" s="60"/>
      <c r="NSV2471" s="60"/>
      <c r="NSW2471" s="63"/>
      <c r="NSX2471" s="61"/>
      <c r="NSY2471" s="54"/>
      <c r="NSZ2471" s="54"/>
      <c r="NTA2471" s="63"/>
      <c r="NTB2471" s="60"/>
      <c r="NTC2471" s="60"/>
      <c r="NTD2471" s="60"/>
      <c r="NTE2471" s="63"/>
      <c r="NTF2471" s="61"/>
      <c r="NTG2471" s="54"/>
      <c r="NTH2471" s="54"/>
      <c r="NTI2471" s="63"/>
      <c r="NTJ2471" s="60"/>
      <c r="NTK2471" s="60"/>
      <c r="NTL2471" s="60"/>
      <c r="NTM2471" s="63"/>
      <c r="NTN2471" s="61"/>
      <c r="NTO2471" s="54"/>
      <c r="NTP2471" s="54"/>
      <c r="NTQ2471" s="63"/>
      <c r="NTR2471" s="60"/>
      <c r="NTS2471" s="60"/>
      <c r="NTT2471" s="60"/>
      <c r="NTU2471" s="63"/>
      <c r="NTV2471" s="61"/>
      <c r="NTW2471" s="54"/>
      <c r="NTX2471" s="54"/>
      <c r="NTY2471" s="63"/>
      <c r="NTZ2471" s="60"/>
      <c r="NUA2471" s="60"/>
      <c r="NUB2471" s="60"/>
      <c r="NUC2471" s="63"/>
      <c r="NUD2471" s="61"/>
      <c r="NUE2471" s="54"/>
      <c r="NUF2471" s="54"/>
      <c r="NUG2471" s="63"/>
      <c r="NUH2471" s="60"/>
      <c r="NUI2471" s="60"/>
      <c r="NUJ2471" s="60"/>
      <c r="NUK2471" s="63"/>
      <c r="NUL2471" s="61"/>
      <c r="NUM2471" s="54"/>
      <c r="NUN2471" s="54"/>
      <c r="NUO2471" s="63"/>
      <c r="NUP2471" s="60"/>
      <c r="NUQ2471" s="60"/>
      <c r="NUR2471" s="60"/>
      <c r="NUS2471" s="63"/>
      <c r="NUT2471" s="61"/>
      <c r="NUU2471" s="54"/>
      <c r="NUV2471" s="54"/>
      <c r="NUW2471" s="63"/>
      <c r="NUX2471" s="60"/>
      <c r="NUY2471" s="60"/>
      <c r="NUZ2471" s="60"/>
      <c r="NVA2471" s="63"/>
      <c r="NVB2471" s="61"/>
      <c r="NVC2471" s="54"/>
      <c r="NVD2471" s="54"/>
      <c r="NVE2471" s="63"/>
      <c r="NVF2471" s="60"/>
      <c r="NVG2471" s="60"/>
      <c r="NVH2471" s="60"/>
      <c r="NVI2471" s="63"/>
      <c r="NVJ2471" s="61"/>
      <c r="NVK2471" s="54"/>
      <c r="NVL2471" s="54"/>
      <c r="NVM2471" s="63"/>
      <c r="NVN2471" s="60"/>
      <c r="NVO2471" s="60"/>
      <c r="NVP2471" s="60"/>
      <c r="NVQ2471" s="63"/>
      <c r="NVR2471" s="61"/>
      <c r="NVS2471" s="54"/>
      <c r="NVT2471" s="54"/>
      <c r="NVU2471" s="63"/>
      <c r="NVV2471" s="60"/>
      <c r="NVW2471" s="60"/>
      <c r="NVX2471" s="60"/>
      <c r="NVY2471" s="63"/>
      <c r="NVZ2471" s="61"/>
      <c r="NWA2471" s="54"/>
      <c r="NWB2471" s="54"/>
      <c r="NWC2471" s="63"/>
      <c r="NWD2471" s="60"/>
      <c r="NWE2471" s="60"/>
      <c r="NWF2471" s="60"/>
      <c r="NWG2471" s="63"/>
      <c r="NWH2471" s="61"/>
      <c r="NWI2471" s="54"/>
      <c r="NWJ2471" s="54"/>
      <c r="NWK2471" s="63"/>
      <c r="NWL2471" s="60"/>
      <c r="NWM2471" s="60"/>
      <c r="NWN2471" s="60"/>
      <c r="NWO2471" s="63"/>
      <c r="NWP2471" s="61"/>
      <c r="NWQ2471" s="54"/>
      <c r="NWR2471" s="54"/>
      <c r="NWS2471" s="63"/>
      <c r="NWT2471" s="60"/>
      <c r="NWU2471" s="60"/>
      <c r="NWV2471" s="60"/>
      <c r="NWW2471" s="63"/>
      <c r="NWX2471" s="61"/>
      <c r="NWY2471" s="54"/>
      <c r="NWZ2471" s="54"/>
      <c r="NXA2471" s="63"/>
      <c r="NXB2471" s="60"/>
      <c r="NXC2471" s="60"/>
      <c r="NXD2471" s="60"/>
      <c r="NXE2471" s="63"/>
      <c r="NXF2471" s="61"/>
      <c r="NXG2471" s="54"/>
      <c r="NXH2471" s="54"/>
      <c r="NXI2471" s="63"/>
      <c r="NXJ2471" s="60"/>
      <c r="NXK2471" s="60"/>
      <c r="NXL2471" s="60"/>
      <c r="NXM2471" s="63"/>
      <c r="NXN2471" s="61"/>
      <c r="NXO2471" s="54"/>
      <c r="NXP2471" s="54"/>
      <c r="NXQ2471" s="63"/>
      <c r="NXR2471" s="60"/>
      <c r="NXS2471" s="60"/>
      <c r="NXT2471" s="60"/>
      <c r="NXU2471" s="63"/>
      <c r="NXV2471" s="61"/>
      <c r="NXW2471" s="54"/>
      <c r="NXX2471" s="54"/>
      <c r="NXY2471" s="63"/>
      <c r="NXZ2471" s="60"/>
      <c r="NYA2471" s="60"/>
      <c r="NYB2471" s="60"/>
      <c r="NYC2471" s="63"/>
      <c r="NYD2471" s="61"/>
      <c r="NYE2471" s="54"/>
      <c r="NYF2471" s="54"/>
      <c r="NYG2471" s="63"/>
      <c r="NYH2471" s="60"/>
      <c r="NYI2471" s="60"/>
      <c r="NYJ2471" s="60"/>
      <c r="NYK2471" s="63"/>
      <c r="NYL2471" s="61"/>
      <c r="NYM2471" s="54"/>
      <c r="NYN2471" s="54"/>
      <c r="NYO2471" s="63"/>
      <c r="NYP2471" s="60"/>
      <c r="NYQ2471" s="60"/>
      <c r="NYR2471" s="60"/>
      <c r="NYS2471" s="63"/>
      <c r="NYT2471" s="61"/>
      <c r="NYU2471" s="54"/>
      <c r="NYV2471" s="54"/>
      <c r="NYW2471" s="63"/>
      <c r="NYX2471" s="60"/>
      <c r="NYY2471" s="60"/>
      <c r="NYZ2471" s="60"/>
      <c r="NZA2471" s="63"/>
      <c r="NZB2471" s="61"/>
      <c r="NZC2471" s="54"/>
      <c r="NZD2471" s="54"/>
      <c r="NZE2471" s="63"/>
      <c r="NZF2471" s="60"/>
      <c r="NZG2471" s="60"/>
      <c r="NZH2471" s="60"/>
      <c r="NZI2471" s="63"/>
      <c r="NZJ2471" s="61"/>
      <c r="NZK2471" s="54"/>
      <c r="NZL2471" s="54"/>
      <c r="NZM2471" s="63"/>
      <c r="NZN2471" s="60"/>
      <c r="NZO2471" s="60"/>
      <c r="NZP2471" s="60"/>
      <c r="NZQ2471" s="63"/>
      <c r="NZR2471" s="61"/>
      <c r="NZS2471" s="54"/>
      <c r="NZT2471" s="54"/>
      <c r="NZU2471" s="63"/>
      <c r="NZV2471" s="60"/>
      <c r="NZW2471" s="60"/>
      <c r="NZX2471" s="60"/>
      <c r="NZY2471" s="63"/>
      <c r="NZZ2471" s="61"/>
      <c r="OAA2471" s="54"/>
      <c r="OAB2471" s="54"/>
      <c r="OAC2471" s="63"/>
      <c r="OAD2471" s="60"/>
      <c r="OAE2471" s="60"/>
      <c r="OAF2471" s="60"/>
      <c r="OAG2471" s="63"/>
      <c r="OAH2471" s="61"/>
      <c r="OAI2471" s="54"/>
      <c r="OAJ2471" s="54"/>
      <c r="OAK2471" s="63"/>
      <c r="OAL2471" s="60"/>
      <c r="OAM2471" s="60"/>
      <c r="OAN2471" s="60"/>
      <c r="OAO2471" s="63"/>
      <c r="OAP2471" s="61"/>
      <c r="OAQ2471" s="54"/>
      <c r="OAR2471" s="54"/>
      <c r="OAS2471" s="63"/>
      <c r="OAT2471" s="60"/>
      <c r="OAU2471" s="60"/>
      <c r="OAV2471" s="60"/>
      <c r="OAW2471" s="63"/>
      <c r="OAX2471" s="61"/>
      <c r="OAY2471" s="54"/>
      <c r="OAZ2471" s="54"/>
      <c r="OBA2471" s="63"/>
      <c r="OBB2471" s="60"/>
      <c r="OBC2471" s="60"/>
      <c r="OBD2471" s="60"/>
      <c r="OBE2471" s="63"/>
      <c r="OBF2471" s="61"/>
      <c r="OBG2471" s="54"/>
      <c r="OBH2471" s="54"/>
      <c r="OBI2471" s="63"/>
      <c r="OBJ2471" s="60"/>
      <c r="OBK2471" s="60"/>
      <c r="OBL2471" s="60"/>
      <c r="OBM2471" s="63"/>
      <c r="OBN2471" s="61"/>
      <c r="OBO2471" s="54"/>
      <c r="OBP2471" s="54"/>
      <c r="OBQ2471" s="63"/>
      <c r="OBR2471" s="60"/>
      <c r="OBS2471" s="60"/>
      <c r="OBT2471" s="60"/>
      <c r="OBU2471" s="63"/>
      <c r="OBV2471" s="61"/>
      <c r="OBW2471" s="54"/>
      <c r="OBX2471" s="54"/>
      <c r="OBY2471" s="63"/>
      <c r="OBZ2471" s="60"/>
      <c r="OCA2471" s="60"/>
      <c r="OCB2471" s="60"/>
      <c r="OCC2471" s="63"/>
      <c r="OCD2471" s="61"/>
      <c r="OCE2471" s="54"/>
      <c r="OCF2471" s="54"/>
      <c r="OCG2471" s="63"/>
      <c r="OCH2471" s="60"/>
      <c r="OCI2471" s="60"/>
      <c r="OCJ2471" s="60"/>
      <c r="OCK2471" s="63"/>
      <c r="OCL2471" s="61"/>
      <c r="OCM2471" s="54"/>
      <c r="OCN2471" s="54"/>
      <c r="OCO2471" s="63"/>
      <c r="OCP2471" s="60"/>
      <c r="OCQ2471" s="60"/>
      <c r="OCR2471" s="60"/>
      <c r="OCS2471" s="63"/>
      <c r="OCT2471" s="61"/>
      <c r="OCU2471" s="54"/>
      <c r="OCV2471" s="54"/>
      <c r="OCW2471" s="63"/>
      <c r="OCX2471" s="60"/>
      <c r="OCY2471" s="60"/>
      <c r="OCZ2471" s="60"/>
      <c r="ODA2471" s="63"/>
      <c r="ODB2471" s="61"/>
      <c r="ODC2471" s="54"/>
      <c r="ODD2471" s="54"/>
      <c r="ODE2471" s="63"/>
      <c r="ODF2471" s="60"/>
      <c r="ODG2471" s="60"/>
      <c r="ODH2471" s="60"/>
      <c r="ODI2471" s="63"/>
      <c r="ODJ2471" s="61"/>
      <c r="ODK2471" s="54"/>
      <c r="ODL2471" s="54"/>
      <c r="ODM2471" s="63"/>
      <c r="ODN2471" s="60"/>
      <c r="ODO2471" s="60"/>
      <c r="ODP2471" s="60"/>
      <c r="ODQ2471" s="63"/>
      <c r="ODR2471" s="61"/>
      <c r="ODS2471" s="54"/>
      <c r="ODT2471" s="54"/>
      <c r="ODU2471" s="63"/>
      <c r="ODV2471" s="60"/>
      <c r="ODW2471" s="60"/>
      <c r="ODX2471" s="60"/>
      <c r="ODY2471" s="63"/>
      <c r="ODZ2471" s="61"/>
      <c r="OEA2471" s="54"/>
      <c r="OEB2471" s="54"/>
      <c r="OEC2471" s="63"/>
      <c r="OED2471" s="60"/>
      <c r="OEE2471" s="60"/>
      <c r="OEF2471" s="60"/>
      <c r="OEG2471" s="63"/>
      <c r="OEH2471" s="61"/>
      <c r="OEI2471" s="54"/>
      <c r="OEJ2471" s="54"/>
      <c r="OEK2471" s="63"/>
      <c r="OEL2471" s="60"/>
      <c r="OEM2471" s="60"/>
      <c r="OEN2471" s="60"/>
      <c r="OEO2471" s="63"/>
      <c r="OEP2471" s="61"/>
      <c r="OEQ2471" s="54"/>
      <c r="OER2471" s="54"/>
      <c r="OES2471" s="63"/>
      <c r="OET2471" s="60"/>
      <c r="OEU2471" s="60"/>
      <c r="OEV2471" s="60"/>
      <c r="OEW2471" s="63"/>
      <c r="OEX2471" s="61"/>
      <c r="OEY2471" s="54"/>
      <c r="OEZ2471" s="54"/>
      <c r="OFA2471" s="63"/>
      <c r="OFB2471" s="60"/>
      <c r="OFC2471" s="60"/>
      <c r="OFD2471" s="60"/>
      <c r="OFE2471" s="63"/>
      <c r="OFF2471" s="61"/>
      <c r="OFG2471" s="54"/>
      <c r="OFH2471" s="54"/>
      <c r="OFI2471" s="63"/>
      <c r="OFJ2471" s="60"/>
      <c r="OFK2471" s="60"/>
      <c r="OFL2471" s="60"/>
      <c r="OFM2471" s="63"/>
      <c r="OFN2471" s="61"/>
      <c r="OFO2471" s="54"/>
      <c r="OFP2471" s="54"/>
      <c r="OFQ2471" s="63"/>
      <c r="OFR2471" s="60"/>
      <c r="OFS2471" s="60"/>
      <c r="OFT2471" s="60"/>
      <c r="OFU2471" s="63"/>
      <c r="OFV2471" s="61"/>
      <c r="OFW2471" s="54"/>
      <c r="OFX2471" s="54"/>
      <c r="OFY2471" s="63"/>
      <c r="OFZ2471" s="60"/>
      <c r="OGA2471" s="60"/>
      <c r="OGB2471" s="60"/>
      <c r="OGC2471" s="63"/>
      <c r="OGD2471" s="61"/>
      <c r="OGE2471" s="54"/>
      <c r="OGF2471" s="54"/>
      <c r="OGG2471" s="63"/>
      <c r="OGH2471" s="60"/>
      <c r="OGI2471" s="60"/>
      <c r="OGJ2471" s="60"/>
      <c r="OGK2471" s="63"/>
      <c r="OGL2471" s="61"/>
      <c r="OGM2471" s="54"/>
      <c r="OGN2471" s="54"/>
      <c r="OGO2471" s="63"/>
      <c r="OGP2471" s="60"/>
      <c r="OGQ2471" s="60"/>
      <c r="OGR2471" s="60"/>
      <c r="OGS2471" s="63"/>
      <c r="OGT2471" s="61"/>
      <c r="OGU2471" s="54"/>
      <c r="OGV2471" s="54"/>
      <c r="OGW2471" s="63"/>
      <c r="OGX2471" s="60"/>
      <c r="OGY2471" s="60"/>
      <c r="OGZ2471" s="60"/>
      <c r="OHA2471" s="63"/>
      <c r="OHB2471" s="61"/>
      <c r="OHC2471" s="54"/>
      <c r="OHD2471" s="54"/>
      <c r="OHE2471" s="63"/>
      <c r="OHF2471" s="60"/>
      <c r="OHG2471" s="60"/>
      <c r="OHH2471" s="60"/>
      <c r="OHI2471" s="63"/>
      <c r="OHJ2471" s="61"/>
      <c r="OHK2471" s="54"/>
      <c r="OHL2471" s="54"/>
      <c r="OHM2471" s="63"/>
      <c r="OHN2471" s="60"/>
      <c r="OHO2471" s="60"/>
      <c r="OHP2471" s="60"/>
      <c r="OHQ2471" s="63"/>
      <c r="OHR2471" s="61"/>
      <c r="OHS2471" s="54"/>
      <c r="OHT2471" s="54"/>
      <c r="OHU2471" s="63"/>
      <c r="OHV2471" s="60"/>
      <c r="OHW2471" s="60"/>
      <c r="OHX2471" s="60"/>
      <c r="OHY2471" s="63"/>
      <c r="OHZ2471" s="61"/>
      <c r="OIA2471" s="54"/>
      <c r="OIB2471" s="54"/>
      <c r="OIC2471" s="63"/>
      <c r="OID2471" s="60"/>
      <c r="OIE2471" s="60"/>
      <c r="OIF2471" s="60"/>
      <c r="OIG2471" s="63"/>
      <c r="OIH2471" s="61"/>
      <c r="OII2471" s="54"/>
      <c r="OIJ2471" s="54"/>
      <c r="OIK2471" s="63"/>
      <c r="OIL2471" s="60"/>
      <c r="OIM2471" s="60"/>
      <c r="OIN2471" s="60"/>
      <c r="OIO2471" s="63"/>
      <c r="OIP2471" s="61"/>
      <c r="OIQ2471" s="54"/>
      <c r="OIR2471" s="54"/>
      <c r="OIS2471" s="63"/>
      <c r="OIT2471" s="60"/>
      <c r="OIU2471" s="60"/>
      <c r="OIV2471" s="60"/>
      <c r="OIW2471" s="63"/>
      <c r="OIX2471" s="61"/>
      <c r="OIY2471" s="54"/>
      <c r="OIZ2471" s="54"/>
      <c r="OJA2471" s="63"/>
      <c r="OJB2471" s="60"/>
      <c r="OJC2471" s="60"/>
      <c r="OJD2471" s="60"/>
      <c r="OJE2471" s="63"/>
      <c r="OJF2471" s="61"/>
      <c r="OJG2471" s="54"/>
      <c r="OJH2471" s="54"/>
      <c r="OJI2471" s="63"/>
      <c r="OJJ2471" s="60"/>
      <c r="OJK2471" s="60"/>
      <c r="OJL2471" s="60"/>
      <c r="OJM2471" s="63"/>
      <c r="OJN2471" s="61"/>
      <c r="OJO2471" s="54"/>
      <c r="OJP2471" s="54"/>
      <c r="OJQ2471" s="63"/>
      <c r="OJR2471" s="60"/>
      <c r="OJS2471" s="60"/>
      <c r="OJT2471" s="60"/>
      <c r="OJU2471" s="63"/>
      <c r="OJV2471" s="61"/>
      <c r="OJW2471" s="54"/>
      <c r="OJX2471" s="54"/>
      <c r="OJY2471" s="63"/>
      <c r="OJZ2471" s="60"/>
      <c r="OKA2471" s="60"/>
      <c r="OKB2471" s="60"/>
      <c r="OKC2471" s="63"/>
      <c r="OKD2471" s="61"/>
      <c r="OKE2471" s="54"/>
      <c r="OKF2471" s="54"/>
      <c r="OKG2471" s="63"/>
      <c r="OKH2471" s="60"/>
      <c r="OKI2471" s="60"/>
      <c r="OKJ2471" s="60"/>
      <c r="OKK2471" s="63"/>
      <c r="OKL2471" s="61"/>
      <c r="OKM2471" s="54"/>
      <c r="OKN2471" s="54"/>
      <c r="OKO2471" s="63"/>
      <c r="OKP2471" s="60"/>
      <c r="OKQ2471" s="60"/>
      <c r="OKR2471" s="60"/>
      <c r="OKS2471" s="63"/>
      <c r="OKT2471" s="61"/>
      <c r="OKU2471" s="54"/>
      <c r="OKV2471" s="54"/>
      <c r="OKW2471" s="63"/>
      <c r="OKX2471" s="60"/>
      <c r="OKY2471" s="60"/>
      <c r="OKZ2471" s="60"/>
      <c r="OLA2471" s="63"/>
      <c r="OLB2471" s="61"/>
      <c r="OLC2471" s="54"/>
      <c r="OLD2471" s="54"/>
      <c r="OLE2471" s="63"/>
      <c r="OLF2471" s="60"/>
      <c r="OLG2471" s="60"/>
      <c r="OLH2471" s="60"/>
      <c r="OLI2471" s="63"/>
      <c r="OLJ2471" s="61"/>
      <c r="OLK2471" s="54"/>
      <c r="OLL2471" s="54"/>
      <c r="OLM2471" s="63"/>
      <c r="OLN2471" s="60"/>
      <c r="OLO2471" s="60"/>
      <c r="OLP2471" s="60"/>
      <c r="OLQ2471" s="63"/>
      <c r="OLR2471" s="61"/>
      <c r="OLS2471" s="54"/>
      <c r="OLT2471" s="54"/>
      <c r="OLU2471" s="63"/>
      <c r="OLV2471" s="60"/>
      <c r="OLW2471" s="60"/>
      <c r="OLX2471" s="60"/>
      <c r="OLY2471" s="63"/>
      <c r="OLZ2471" s="61"/>
      <c r="OMA2471" s="54"/>
      <c r="OMB2471" s="54"/>
      <c r="OMC2471" s="63"/>
      <c r="OMD2471" s="60"/>
      <c r="OME2471" s="60"/>
      <c r="OMF2471" s="60"/>
      <c r="OMG2471" s="63"/>
      <c r="OMH2471" s="61"/>
      <c r="OMI2471" s="54"/>
      <c r="OMJ2471" s="54"/>
      <c r="OMK2471" s="63"/>
      <c r="OML2471" s="60"/>
      <c r="OMM2471" s="60"/>
      <c r="OMN2471" s="60"/>
      <c r="OMO2471" s="63"/>
      <c r="OMP2471" s="61"/>
      <c r="OMQ2471" s="54"/>
      <c r="OMR2471" s="54"/>
      <c r="OMS2471" s="63"/>
      <c r="OMT2471" s="60"/>
      <c r="OMU2471" s="60"/>
      <c r="OMV2471" s="60"/>
      <c r="OMW2471" s="63"/>
      <c r="OMX2471" s="61"/>
      <c r="OMY2471" s="54"/>
      <c r="OMZ2471" s="54"/>
      <c r="ONA2471" s="63"/>
      <c r="ONB2471" s="60"/>
      <c r="ONC2471" s="60"/>
      <c r="OND2471" s="60"/>
      <c r="ONE2471" s="63"/>
      <c r="ONF2471" s="61"/>
      <c r="ONG2471" s="54"/>
      <c r="ONH2471" s="54"/>
      <c r="ONI2471" s="63"/>
      <c r="ONJ2471" s="60"/>
      <c r="ONK2471" s="60"/>
      <c r="ONL2471" s="60"/>
      <c r="ONM2471" s="63"/>
      <c r="ONN2471" s="61"/>
      <c r="ONO2471" s="54"/>
      <c r="ONP2471" s="54"/>
      <c r="ONQ2471" s="63"/>
      <c r="ONR2471" s="60"/>
      <c r="ONS2471" s="60"/>
      <c r="ONT2471" s="60"/>
      <c r="ONU2471" s="63"/>
      <c r="ONV2471" s="61"/>
      <c r="ONW2471" s="54"/>
      <c r="ONX2471" s="54"/>
      <c r="ONY2471" s="63"/>
      <c r="ONZ2471" s="60"/>
      <c r="OOA2471" s="60"/>
      <c r="OOB2471" s="60"/>
      <c r="OOC2471" s="63"/>
      <c r="OOD2471" s="61"/>
      <c r="OOE2471" s="54"/>
      <c r="OOF2471" s="54"/>
      <c r="OOG2471" s="63"/>
      <c r="OOH2471" s="60"/>
      <c r="OOI2471" s="60"/>
      <c r="OOJ2471" s="60"/>
      <c r="OOK2471" s="63"/>
      <c r="OOL2471" s="61"/>
      <c r="OOM2471" s="54"/>
      <c r="OON2471" s="54"/>
      <c r="OOO2471" s="63"/>
      <c r="OOP2471" s="60"/>
      <c r="OOQ2471" s="60"/>
      <c r="OOR2471" s="60"/>
      <c r="OOS2471" s="63"/>
      <c r="OOT2471" s="61"/>
      <c r="OOU2471" s="54"/>
      <c r="OOV2471" s="54"/>
      <c r="OOW2471" s="63"/>
      <c r="OOX2471" s="60"/>
      <c r="OOY2471" s="60"/>
      <c r="OOZ2471" s="60"/>
      <c r="OPA2471" s="63"/>
      <c r="OPB2471" s="61"/>
      <c r="OPC2471" s="54"/>
      <c r="OPD2471" s="54"/>
      <c r="OPE2471" s="63"/>
      <c r="OPF2471" s="60"/>
      <c r="OPG2471" s="60"/>
      <c r="OPH2471" s="60"/>
      <c r="OPI2471" s="63"/>
      <c r="OPJ2471" s="61"/>
      <c r="OPK2471" s="54"/>
      <c r="OPL2471" s="54"/>
      <c r="OPM2471" s="63"/>
      <c r="OPN2471" s="60"/>
      <c r="OPO2471" s="60"/>
      <c r="OPP2471" s="60"/>
      <c r="OPQ2471" s="63"/>
      <c r="OPR2471" s="61"/>
      <c r="OPS2471" s="54"/>
      <c r="OPT2471" s="54"/>
      <c r="OPU2471" s="63"/>
      <c r="OPV2471" s="60"/>
      <c r="OPW2471" s="60"/>
      <c r="OPX2471" s="60"/>
      <c r="OPY2471" s="63"/>
      <c r="OPZ2471" s="61"/>
      <c r="OQA2471" s="54"/>
      <c r="OQB2471" s="54"/>
      <c r="OQC2471" s="63"/>
      <c r="OQD2471" s="60"/>
      <c r="OQE2471" s="60"/>
      <c r="OQF2471" s="60"/>
      <c r="OQG2471" s="63"/>
      <c r="OQH2471" s="61"/>
      <c r="OQI2471" s="54"/>
      <c r="OQJ2471" s="54"/>
      <c r="OQK2471" s="63"/>
      <c r="OQL2471" s="60"/>
      <c r="OQM2471" s="60"/>
      <c r="OQN2471" s="60"/>
      <c r="OQO2471" s="63"/>
      <c r="OQP2471" s="61"/>
      <c r="OQQ2471" s="54"/>
      <c r="OQR2471" s="54"/>
      <c r="OQS2471" s="63"/>
      <c r="OQT2471" s="60"/>
      <c r="OQU2471" s="60"/>
      <c r="OQV2471" s="60"/>
      <c r="OQW2471" s="63"/>
      <c r="OQX2471" s="61"/>
      <c r="OQY2471" s="54"/>
      <c r="OQZ2471" s="54"/>
      <c r="ORA2471" s="63"/>
      <c r="ORB2471" s="60"/>
      <c r="ORC2471" s="60"/>
      <c r="ORD2471" s="60"/>
      <c r="ORE2471" s="63"/>
      <c r="ORF2471" s="61"/>
      <c r="ORG2471" s="54"/>
      <c r="ORH2471" s="54"/>
      <c r="ORI2471" s="63"/>
      <c r="ORJ2471" s="60"/>
      <c r="ORK2471" s="60"/>
      <c r="ORL2471" s="60"/>
      <c r="ORM2471" s="63"/>
      <c r="ORN2471" s="61"/>
      <c r="ORO2471" s="54"/>
      <c r="ORP2471" s="54"/>
      <c r="ORQ2471" s="63"/>
      <c r="ORR2471" s="60"/>
      <c r="ORS2471" s="60"/>
      <c r="ORT2471" s="60"/>
      <c r="ORU2471" s="63"/>
      <c r="ORV2471" s="61"/>
      <c r="ORW2471" s="54"/>
      <c r="ORX2471" s="54"/>
      <c r="ORY2471" s="63"/>
      <c r="ORZ2471" s="60"/>
      <c r="OSA2471" s="60"/>
      <c r="OSB2471" s="60"/>
      <c r="OSC2471" s="63"/>
      <c r="OSD2471" s="61"/>
      <c r="OSE2471" s="54"/>
      <c r="OSF2471" s="54"/>
      <c r="OSG2471" s="63"/>
      <c r="OSH2471" s="60"/>
      <c r="OSI2471" s="60"/>
      <c r="OSJ2471" s="60"/>
      <c r="OSK2471" s="63"/>
      <c r="OSL2471" s="61"/>
      <c r="OSM2471" s="54"/>
      <c r="OSN2471" s="54"/>
      <c r="OSO2471" s="63"/>
      <c r="OSP2471" s="60"/>
      <c r="OSQ2471" s="60"/>
      <c r="OSR2471" s="60"/>
      <c r="OSS2471" s="63"/>
      <c r="OST2471" s="61"/>
      <c r="OSU2471" s="54"/>
      <c r="OSV2471" s="54"/>
      <c r="OSW2471" s="63"/>
      <c r="OSX2471" s="60"/>
      <c r="OSY2471" s="60"/>
      <c r="OSZ2471" s="60"/>
      <c r="OTA2471" s="63"/>
      <c r="OTB2471" s="61"/>
      <c r="OTC2471" s="54"/>
      <c r="OTD2471" s="54"/>
      <c r="OTE2471" s="63"/>
      <c r="OTF2471" s="60"/>
      <c r="OTG2471" s="60"/>
      <c r="OTH2471" s="60"/>
      <c r="OTI2471" s="63"/>
      <c r="OTJ2471" s="61"/>
      <c r="OTK2471" s="54"/>
      <c r="OTL2471" s="54"/>
      <c r="OTM2471" s="63"/>
      <c r="OTN2471" s="60"/>
      <c r="OTO2471" s="60"/>
      <c r="OTP2471" s="60"/>
      <c r="OTQ2471" s="63"/>
      <c r="OTR2471" s="61"/>
      <c r="OTS2471" s="54"/>
      <c r="OTT2471" s="54"/>
      <c r="OTU2471" s="63"/>
      <c r="OTV2471" s="60"/>
      <c r="OTW2471" s="60"/>
      <c r="OTX2471" s="60"/>
      <c r="OTY2471" s="63"/>
      <c r="OTZ2471" s="61"/>
      <c r="OUA2471" s="54"/>
      <c r="OUB2471" s="54"/>
      <c r="OUC2471" s="63"/>
      <c r="OUD2471" s="60"/>
      <c r="OUE2471" s="60"/>
      <c r="OUF2471" s="60"/>
      <c r="OUG2471" s="63"/>
      <c r="OUH2471" s="61"/>
      <c r="OUI2471" s="54"/>
      <c r="OUJ2471" s="54"/>
      <c r="OUK2471" s="63"/>
      <c r="OUL2471" s="60"/>
      <c r="OUM2471" s="60"/>
      <c r="OUN2471" s="60"/>
      <c r="OUO2471" s="63"/>
      <c r="OUP2471" s="61"/>
      <c r="OUQ2471" s="54"/>
      <c r="OUR2471" s="54"/>
      <c r="OUS2471" s="63"/>
      <c r="OUT2471" s="60"/>
      <c r="OUU2471" s="60"/>
      <c r="OUV2471" s="60"/>
      <c r="OUW2471" s="63"/>
      <c r="OUX2471" s="61"/>
      <c r="OUY2471" s="54"/>
      <c r="OUZ2471" s="54"/>
      <c r="OVA2471" s="63"/>
      <c r="OVB2471" s="60"/>
      <c r="OVC2471" s="60"/>
      <c r="OVD2471" s="60"/>
      <c r="OVE2471" s="63"/>
      <c r="OVF2471" s="61"/>
      <c r="OVG2471" s="54"/>
      <c r="OVH2471" s="54"/>
      <c r="OVI2471" s="63"/>
      <c r="OVJ2471" s="60"/>
      <c r="OVK2471" s="60"/>
      <c r="OVL2471" s="60"/>
      <c r="OVM2471" s="63"/>
      <c r="OVN2471" s="61"/>
      <c r="OVO2471" s="54"/>
      <c r="OVP2471" s="54"/>
      <c r="OVQ2471" s="63"/>
      <c r="OVR2471" s="60"/>
      <c r="OVS2471" s="60"/>
      <c r="OVT2471" s="60"/>
      <c r="OVU2471" s="63"/>
      <c r="OVV2471" s="61"/>
      <c r="OVW2471" s="54"/>
      <c r="OVX2471" s="54"/>
      <c r="OVY2471" s="63"/>
      <c r="OVZ2471" s="60"/>
      <c r="OWA2471" s="60"/>
      <c r="OWB2471" s="60"/>
      <c r="OWC2471" s="63"/>
      <c r="OWD2471" s="61"/>
      <c r="OWE2471" s="54"/>
      <c r="OWF2471" s="54"/>
      <c r="OWG2471" s="63"/>
      <c r="OWH2471" s="60"/>
      <c r="OWI2471" s="60"/>
      <c r="OWJ2471" s="60"/>
      <c r="OWK2471" s="63"/>
      <c r="OWL2471" s="61"/>
      <c r="OWM2471" s="54"/>
      <c r="OWN2471" s="54"/>
      <c r="OWO2471" s="63"/>
      <c r="OWP2471" s="60"/>
      <c r="OWQ2471" s="60"/>
      <c r="OWR2471" s="60"/>
      <c r="OWS2471" s="63"/>
      <c r="OWT2471" s="61"/>
      <c r="OWU2471" s="54"/>
      <c r="OWV2471" s="54"/>
      <c r="OWW2471" s="63"/>
      <c r="OWX2471" s="60"/>
      <c r="OWY2471" s="60"/>
      <c r="OWZ2471" s="60"/>
      <c r="OXA2471" s="63"/>
      <c r="OXB2471" s="61"/>
      <c r="OXC2471" s="54"/>
      <c r="OXD2471" s="54"/>
      <c r="OXE2471" s="63"/>
      <c r="OXF2471" s="60"/>
      <c r="OXG2471" s="60"/>
      <c r="OXH2471" s="60"/>
      <c r="OXI2471" s="63"/>
      <c r="OXJ2471" s="61"/>
      <c r="OXK2471" s="54"/>
      <c r="OXL2471" s="54"/>
      <c r="OXM2471" s="63"/>
      <c r="OXN2471" s="60"/>
      <c r="OXO2471" s="60"/>
      <c r="OXP2471" s="60"/>
      <c r="OXQ2471" s="63"/>
      <c r="OXR2471" s="61"/>
      <c r="OXS2471" s="54"/>
      <c r="OXT2471" s="54"/>
      <c r="OXU2471" s="63"/>
      <c r="OXV2471" s="60"/>
      <c r="OXW2471" s="60"/>
      <c r="OXX2471" s="60"/>
      <c r="OXY2471" s="63"/>
      <c r="OXZ2471" s="61"/>
      <c r="OYA2471" s="54"/>
      <c r="OYB2471" s="54"/>
      <c r="OYC2471" s="63"/>
      <c r="OYD2471" s="60"/>
      <c r="OYE2471" s="60"/>
      <c r="OYF2471" s="60"/>
      <c r="OYG2471" s="63"/>
      <c r="OYH2471" s="61"/>
      <c r="OYI2471" s="54"/>
      <c r="OYJ2471" s="54"/>
      <c r="OYK2471" s="63"/>
      <c r="OYL2471" s="60"/>
      <c r="OYM2471" s="60"/>
      <c r="OYN2471" s="60"/>
      <c r="OYO2471" s="63"/>
      <c r="OYP2471" s="61"/>
      <c r="OYQ2471" s="54"/>
      <c r="OYR2471" s="54"/>
      <c r="OYS2471" s="63"/>
      <c r="OYT2471" s="60"/>
      <c r="OYU2471" s="60"/>
      <c r="OYV2471" s="60"/>
      <c r="OYW2471" s="63"/>
      <c r="OYX2471" s="61"/>
      <c r="OYY2471" s="54"/>
      <c r="OYZ2471" s="54"/>
      <c r="OZA2471" s="63"/>
      <c r="OZB2471" s="60"/>
      <c r="OZC2471" s="60"/>
      <c r="OZD2471" s="60"/>
      <c r="OZE2471" s="63"/>
      <c r="OZF2471" s="61"/>
      <c r="OZG2471" s="54"/>
      <c r="OZH2471" s="54"/>
      <c r="OZI2471" s="63"/>
      <c r="OZJ2471" s="60"/>
      <c r="OZK2471" s="60"/>
      <c r="OZL2471" s="60"/>
      <c r="OZM2471" s="63"/>
      <c r="OZN2471" s="61"/>
      <c r="OZO2471" s="54"/>
      <c r="OZP2471" s="54"/>
      <c r="OZQ2471" s="63"/>
      <c r="OZR2471" s="60"/>
      <c r="OZS2471" s="60"/>
      <c r="OZT2471" s="60"/>
      <c r="OZU2471" s="63"/>
      <c r="OZV2471" s="61"/>
      <c r="OZW2471" s="54"/>
      <c r="OZX2471" s="54"/>
      <c r="OZY2471" s="63"/>
      <c r="OZZ2471" s="60"/>
      <c r="PAA2471" s="60"/>
      <c r="PAB2471" s="60"/>
      <c r="PAC2471" s="63"/>
      <c r="PAD2471" s="61"/>
      <c r="PAE2471" s="54"/>
      <c r="PAF2471" s="54"/>
      <c r="PAG2471" s="63"/>
      <c r="PAH2471" s="60"/>
      <c r="PAI2471" s="60"/>
      <c r="PAJ2471" s="60"/>
      <c r="PAK2471" s="63"/>
      <c r="PAL2471" s="61"/>
      <c r="PAM2471" s="54"/>
      <c r="PAN2471" s="54"/>
      <c r="PAO2471" s="63"/>
      <c r="PAP2471" s="60"/>
      <c r="PAQ2471" s="60"/>
      <c r="PAR2471" s="60"/>
      <c r="PAS2471" s="63"/>
      <c r="PAT2471" s="61"/>
      <c r="PAU2471" s="54"/>
      <c r="PAV2471" s="54"/>
      <c r="PAW2471" s="63"/>
      <c r="PAX2471" s="60"/>
      <c r="PAY2471" s="60"/>
      <c r="PAZ2471" s="60"/>
      <c r="PBA2471" s="63"/>
      <c r="PBB2471" s="61"/>
      <c r="PBC2471" s="54"/>
      <c r="PBD2471" s="54"/>
      <c r="PBE2471" s="63"/>
      <c r="PBF2471" s="60"/>
      <c r="PBG2471" s="60"/>
      <c r="PBH2471" s="60"/>
      <c r="PBI2471" s="63"/>
      <c r="PBJ2471" s="61"/>
      <c r="PBK2471" s="54"/>
      <c r="PBL2471" s="54"/>
      <c r="PBM2471" s="63"/>
      <c r="PBN2471" s="60"/>
      <c r="PBO2471" s="60"/>
      <c r="PBP2471" s="60"/>
      <c r="PBQ2471" s="63"/>
      <c r="PBR2471" s="61"/>
      <c r="PBS2471" s="54"/>
      <c r="PBT2471" s="54"/>
      <c r="PBU2471" s="63"/>
      <c r="PBV2471" s="60"/>
      <c r="PBW2471" s="60"/>
      <c r="PBX2471" s="60"/>
      <c r="PBY2471" s="63"/>
      <c r="PBZ2471" s="61"/>
      <c r="PCA2471" s="54"/>
      <c r="PCB2471" s="54"/>
      <c r="PCC2471" s="63"/>
      <c r="PCD2471" s="60"/>
      <c r="PCE2471" s="60"/>
      <c r="PCF2471" s="60"/>
      <c r="PCG2471" s="63"/>
      <c r="PCH2471" s="61"/>
      <c r="PCI2471" s="54"/>
      <c r="PCJ2471" s="54"/>
      <c r="PCK2471" s="63"/>
      <c r="PCL2471" s="60"/>
      <c r="PCM2471" s="60"/>
      <c r="PCN2471" s="60"/>
      <c r="PCO2471" s="63"/>
      <c r="PCP2471" s="61"/>
      <c r="PCQ2471" s="54"/>
      <c r="PCR2471" s="54"/>
      <c r="PCS2471" s="63"/>
      <c r="PCT2471" s="60"/>
      <c r="PCU2471" s="60"/>
      <c r="PCV2471" s="60"/>
      <c r="PCW2471" s="63"/>
      <c r="PCX2471" s="61"/>
      <c r="PCY2471" s="54"/>
      <c r="PCZ2471" s="54"/>
      <c r="PDA2471" s="63"/>
      <c r="PDB2471" s="60"/>
      <c r="PDC2471" s="60"/>
      <c r="PDD2471" s="60"/>
      <c r="PDE2471" s="63"/>
      <c r="PDF2471" s="61"/>
      <c r="PDG2471" s="54"/>
      <c r="PDH2471" s="54"/>
      <c r="PDI2471" s="63"/>
      <c r="PDJ2471" s="60"/>
      <c r="PDK2471" s="60"/>
      <c r="PDL2471" s="60"/>
      <c r="PDM2471" s="63"/>
      <c r="PDN2471" s="61"/>
      <c r="PDO2471" s="54"/>
      <c r="PDP2471" s="54"/>
      <c r="PDQ2471" s="63"/>
      <c r="PDR2471" s="60"/>
      <c r="PDS2471" s="60"/>
      <c r="PDT2471" s="60"/>
      <c r="PDU2471" s="63"/>
      <c r="PDV2471" s="61"/>
      <c r="PDW2471" s="54"/>
      <c r="PDX2471" s="54"/>
      <c r="PDY2471" s="63"/>
      <c r="PDZ2471" s="60"/>
      <c r="PEA2471" s="60"/>
      <c r="PEB2471" s="60"/>
      <c r="PEC2471" s="63"/>
      <c r="PED2471" s="61"/>
      <c r="PEE2471" s="54"/>
      <c r="PEF2471" s="54"/>
      <c r="PEG2471" s="63"/>
      <c r="PEH2471" s="60"/>
      <c r="PEI2471" s="60"/>
      <c r="PEJ2471" s="60"/>
      <c r="PEK2471" s="63"/>
      <c r="PEL2471" s="61"/>
      <c r="PEM2471" s="54"/>
      <c r="PEN2471" s="54"/>
      <c r="PEO2471" s="63"/>
      <c r="PEP2471" s="60"/>
      <c r="PEQ2471" s="60"/>
      <c r="PER2471" s="60"/>
      <c r="PES2471" s="63"/>
      <c r="PET2471" s="61"/>
      <c r="PEU2471" s="54"/>
      <c r="PEV2471" s="54"/>
      <c r="PEW2471" s="63"/>
      <c r="PEX2471" s="60"/>
      <c r="PEY2471" s="60"/>
      <c r="PEZ2471" s="60"/>
      <c r="PFA2471" s="63"/>
      <c r="PFB2471" s="61"/>
      <c r="PFC2471" s="54"/>
      <c r="PFD2471" s="54"/>
      <c r="PFE2471" s="63"/>
      <c r="PFF2471" s="60"/>
      <c r="PFG2471" s="60"/>
      <c r="PFH2471" s="60"/>
      <c r="PFI2471" s="63"/>
      <c r="PFJ2471" s="61"/>
      <c r="PFK2471" s="54"/>
      <c r="PFL2471" s="54"/>
      <c r="PFM2471" s="63"/>
      <c r="PFN2471" s="60"/>
      <c r="PFO2471" s="60"/>
      <c r="PFP2471" s="60"/>
      <c r="PFQ2471" s="63"/>
      <c r="PFR2471" s="61"/>
      <c r="PFS2471" s="54"/>
      <c r="PFT2471" s="54"/>
      <c r="PFU2471" s="63"/>
      <c r="PFV2471" s="60"/>
      <c r="PFW2471" s="60"/>
      <c r="PFX2471" s="60"/>
      <c r="PFY2471" s="63"/>
      <c r="PFZ2471" s="61"/>
      <c r="PGA2471" s="54"/>
      <c r="PGB2471" s="54"/>
      <c r="PGC2471" s="63"/>
      <c r="PGD2471" s="60"/>
      <c r="PGE2471" s="60"/>
      <c r="PGF2471" s="60"/>
      <c r="PGG2471" s="63"/>
      <c r="PGH2471" s="61"/>
      <c r="PGI2471" s="54"/>
      <c r="PGJ2471" s="54"/>
      <c r="PGK2471" s="63"/>
      <c r="PGL2471" s="60"/>
      <c r="PGM2471" s="60"/>
      <c r="PGN2471" s="60"/>
      <c r="PGO2471" s="63"/>
      <c r="PGP2471" s="61"/>
      <c r="PGQ2471" s="54"/>
      <c r="PGR2471" s="54"/>
      <c r="PGS2471" s="63"/>
      <c r="PGT2471" s="60"/>
      <c r="PGU2471" s="60"/>
      <c r="PGV2471" s="60"/>
      <c r="PGW2471" s="63"/>
      <c r="PGX2471" s="61"/>
      <c r="PGY2471" s="54"/>
      <c r="PGZ2471" s="54"/>
      <c r="PHA2471" s="63"/>
      <c r="PHB2471" s="60"/>
      <c r="PHC2471" s="60"/>
      <c r="PHD2471" s="60"/>
      <c r="PHE2471" s="63"/>
      <c r="PHF2471" s="61"/>
      <c r="PHG2471" s="54"/>
      <c r="PHH2471" s="54"/>
      <c r="PHI2471" s="63"/>
      <c r="PHJ2471" s="60"/>
      <c r="PHK2471" s="60"/>
      <c r="PHL2471" s="60"/>
      <c r="PHM2471" s="63"/>
      <c r="PHN2471" s="61"/>
      <c r="PHO2471" s="54"/>
      <c r="PHP2471" s="54"/>
      <c r="PHQ2471" s="63"/>
      <c r="PHR2471" s="60"/>
      <c r="PHS2471" s="60"/>
      <c r="PHT2471" s="60"/>
      <c r="PHU2471" s="63"/>
      <c r="PHV2471" s="61"/>
      <c r="PHW2471" s="54"/>
      <c r="PHX2471" s="54"/>
      <c r="PHY2471" s="63"/>
      <c r="PHZ2471" s="60"/>
      <c r="PIA2471" s="60"/>
      <c r="PIB2471" s="60"/>
      <c r="PIC2471" s="63"/>
      <c r="PID2471" s="61"/>
      <c r="PIE2471" s="54"/>
      <c r="PIF2471" s="54"/>
      <c r="PIG2471" s="63"/>
      <c r="PIH2471" s="60"/>
      <c r="PII2471" s="60"/>
      <c r="PIJ2471" s="60"/>
      <c r="PIK2471" s="63"/>
      <c r="PIL2471" s="61"/>
      <c r="PIM2471" s="54"/>
      <c r="PIN2471" s="54"/>
      <c r="PIO2471" s="63"/>
      <c r="PIP2471" s="60"/>
      <c r="PIQ2471" s="60"/>
      <c r="PIR2471" s="60"/>
      <c r="PIS2471" s="63"/>
      <c r="PIT2471" s="61"/>
      <c r="PIU2471" s="54"/>
      <c r="PIV2471" s="54"/>
      <c r="PIW2471" s="63"/>
      <c r="PIX2471" s="60"/>
      <c r="PIY2471" s="60"/>
      <c r="PIZ2471" s="60"/>
      <c r="PJA2471" s="63"/>
      <c r="PJB2471" s="61"/>
      <c r="PJC2471" s="54"/>
      <c r="PJD2471" s="54"/>
      <c r="PJE2471" s="63"/>
      <c r="PJF2471" s="60"/>
      <c r="PJG2471" s="60"/>
      <c r="PJH2471" s="60"/>
      <c r="PJI2471" s="63"/>
      <c r="PJJ2471" s="61"/>
      <c r="PJK2471" s="54"/>
      <c r="PJL2471" s="54"/>
      <c r="PJM2471" s="63"/>
      <c r="PJN2471" s="60"/>
      <c r="PJO2471" s="60"/>
      <c r="PJP2471" s="60"/>
      <c r="PJQ2471" s="63"/>
      <c r="PJR2471" s="61"/>
      <c r="PJS2471" s="54"/>
      <c r="PJT2471" s="54"/>
      <c r="PJU2471" s="63"/>
      <c r="PJV2471" s="60"/>
      <c r="PJW2471" s="60"/>
      <c r="PJX2471" s="60"/>
      <c r="PJY2471" s="63"/>
      <c r="PJZ2471" s="61"/>
      <c r="PKA2471" s="54"/>
      <c r="PKB2471" s="54"/>
      <c r="PKC2471" s="63"/>
      <c r="PKD2471" s="60"/>
      <c r="PKE2471" s="60"/>
      <c r="PKF2471" s="60"/>
      <c r="PKG2471" s="63"/>
      <c r="PKH2471" s="61"/>
      <c r="PKI2471" s="54"/>
      <c r="PKJ2471" s="54"/>
      <c r="PKK2471" s="63"/>
      <c r="PKL2471" s="60"/>
      <c r="PKM2471" s="60"/>
      <c r="PKN2471" s="60"/>
      <c r="PKO2471" s="63"/>
      <c r="PKP2471" s="61"/>
      <c r="PKQ2471" s="54"/>
      <c r="PKR2471" s="54"/>
      <c r="PKS2471" s="63"/>
      <c r="PKT2471" s="60"/>
      <c r="PKU2471" s="60"/>
      <c r="PKV2471" s="60"/>
      <c r="PKW2471" s="63"/>
      <c r="PKX2471" s="61"/>
      <c r="PKY2471" s="54"/>
      <c r="PKZ2471" s="54"/>
      <c r="PLA2471" s="63"/>
      <c r="PLB2471" s="60"/>
      <c r="PLC2471" s="60"/>
      <c r="PLD2471" s="60"/>
      <c r="PLE2471" s="63"/>
      <c r="PLF2471" s="61"/>
      <c r="PLG2471" s="54"/>
      <c r="PLH2471" s="54"/>
      <c r="PLI2471" s="63"/>
      <c r="PLJ2471" s="60"/>
      <c r="PLK2471" s="60"/>
      <c r="PLL2471" s="60"/>
      <c r="PLM2471" s="63"/>
      <c r="PLN2471" s="61"/>
      <c r="PLO2471" s="54"/>
      <c r="PLP2471" s="54"/>
      <c r="PLQ2471" s="63"/>
      <c r="PLR2471" s="60"/>
      <c r="PLS2471" s="60"/>
      <c r="PLT2471" s="60"/>
      <c r="PLU2471" s="63"/>
      <c r="PLV2471" s="61"/>
      <c r="PLW2471" s="54"/>
      <c r="PLX2471" s="54"/>
      <c r="PLY2471" s="63"/>
      <c r="PLZ2471" s="60"/>
      <c r="PMA2471" s="60"/>
      <c r="PMB2471" s="60"/>
      <c r="PMC2471" s="63"/>
      <c r="PMD2471" s="61"/>
      <c r="PME2471" s="54"/>
      <c r="PMF2471" s="54"/>
      <c r="PMG2471" s="63"/>
      <c r="PMH2471" s="60"/>
      <c r="PMI2471" s="60"/>
      <c r="PMJ2471" s="60"/>
      <c r="PMK2471" s="63"/>
      <c r="PML2471" s="61"/>
      <c r="PMM2471" s="54"/>
      <c r="PMN2471" s="54"/>
      <c r="PMO2471" s="63"/>
      <c r="PMP2471" s="60"/>
      <c r="PMQ2471" s="60"/>
      <c r="PMR2471" s="60"/>
      <c r="PMS2471" s="63"/>
      <c r="PMT2471" s="61"/>
      <c r="PMU2471" s="54"/>
      <c r="PMV2471" s="54"/>
      <c r="PMW2471" s="63"/>
      <c r="PMX2471" s="60"/>
      <c r="PMY2471" s="60"/>
      <c r="PMZ2471" s="60"/>
      <c r="PNA2471" s="63"/>
      <c r="PNB2471" s="61"/>
      <c r="PNC2471" s="54"/>
      <c r="PND2471" s="54"/>
      <c r="PNE2471" s="63"/>
      <c r="PNF2471" s="60"/>
      <c r="PNG2471" s="60"/>
      <c r="PNH2471" s="60"/>
      <c r="PNI2471" s="63"/>
      <c r="PNJ2471" s="61"/>
      <c r="PNK2471" s="54"/>
      <c r="PNL2471" s="54"/>
      <c r="PNM2471" s="63"/>
      <c r="PNN2471" s="60"/>
      <c r="PNO2471" s="60"/>
      <c r="PNP2471" s="60"/>
      <c r="PNQ2471" s="63"/>
      <c r="PNR2471" s="61"/>
      <c r="PNS2471" s="54"/>
      <c r="PNT2471" s="54"/>
      <c r="PNU2471" s="63"/>
      <c r="PNV2471" s="60"/>
      <c r="PNW2471" s="60"/>
      <c r="PNX2471" s="60"/>
      <c r="PNY2471" s="63"/>
      <c r="PNZ2471" s="61"/>
      <c r="POA2471" s="54"/>
      <c r="POB2471" s="54"/>
      <c r="POC2471" s="63"/>
      <c r="POD2471" s="60"/>
      <c r="POE2471" s="60"/>
      <c r="POF2471" s="60"/>
      <c r="POG2471" s="63"/>
      <c r="POH2471" s="61"/>
      <c r="POI2471" s="54"/>
      <c r="POJ2471" s="54"/>
      <c r="POK2471" s="63"/>
      <c r="POL2471" s="60"/>
      <c r="POM2471" s="60"/>
      <c r="PON2471" s="60"/>
      <c r="POO2471" s="63"/>
      <c r="POP2471" s="61"/>
      <c r="POQ2471" s="54"/>
      <c r="POR2471" s="54"/>
      <c r="POS2471" s="63"/>
      <c r="POT2471" s="60"/>
      <c r="POU2471" s="60"/>
      <c r="POV2471" s="60"/>
      <c r="POW2471" s="63"/>
      <c r="POX2471" s="61"/>
      <c r="POY2471" s="54"/>
      <c r="POZ2471" s="54"/>
      <c r="PPA2471" s="63"/>
      <c r="PPB2471" s="60"/>
      <c r="PPC2471" s="60"/>
      <c r="PPD2471" s="60"/>
      <c r="PPE2471" s="63"/>
      <c r="PPF2471" s="61"/>
      <c r="PPG2471" s="54"/>
      <c r="PPH2471" s="54"/>
      <c r="PPI2471" s="63"/>
      <c r="PPJ2471" s="60"/>
      <c r="PPK2471" s="60"/>
      <c r="PPL2471" s="60"/>
      <c r="PPM2471" s="63"/>
      <c r="PPN2471" s="61"/>
      <c r="PPO2471" s="54"/>
      <c r="PPP2471" s="54"/>
      <c r="PPQ2471" s="63"/>
      <c r="PPR2471" s="60"/>
      <c r="PPS2471" s="60"/>
      <c r="PPT2471" s="60"/>
      <c r="PPU2471" s="63"/>
      <c r="PPV2471" s="61"/>
      <c r="PPW2471" s="54"/>
      <c r="PPX2471" s="54"/>
      <c r="PPY2471" s="63"/>
      <c r="PPZ2471" s="60"/>
      <c r="PQA2471" s="60"/>
      <c r="PQB2471" s="60"/>
      <c r="PQC2471" s="63"/>
      <c r="PQD2471" s="61"/>
      <c r="PQE2471" s="54"/>
      <c r="PQF2471" s="54"/>
      <c r="PQG2471" s="63"/>
      <c r="PQH2471" s="60"/>
      <c r="PQI2471" s="60"/>
      <c r="PQJ2471" s="60"/>
      <c r="PQK2471" s="63"/>
      <c r="PQL2471" s="61"/>
      <c r="PQM2471" s="54"/>
      <c r="PQN2471" s="54"/>
      <c r="PQO2471" s="63"/>
      <c r="PQP2471" s="60"/>
      <c r="PQQ2471" s="60"/>
      <c r="PQR2471" s="60"/>
      <c r="PQS2471" s="63"/>
      <c r="PQT2471" s="61"/>
      <c r="PQU2471" s="54"/>
      <c r="PQV2471" s="54"/>
      <c r="PQW2471" s="63"/>
      <c r="PQX2471" s="60"/>
      <c r="PQY2471" s="60"/>
      <c r="PQZ2471" s="60"/>
      <c r="PRA2471" s="63"/>
      <c r="PRB2471" s="61"/>
      <c r="PRC2471" s="54"/>
      <c r="PRD2471" s="54"/>
      <c r="PRE2471" s="63"/>
      <c r="PRF2471" s="60"/>
      <c r="PRG2471" s="60"/>
      <c r="PRH2471" s="60"/>
      <c r="PRI2471" s="63"/>
      <c r="PRJ2471" s="61"/>
      <c r="PRK2471" s="54"/>
      <c r="PRL2471" s="54"/>
      <c r="PRM2471" s="63"/>
      <c r="PRN2471" s="60"/>
      <c r="PRO2471" s="60"/>
      <c r="PRP2471" s="60"/>
      <c r="PRQ2471" s="63"/>
      <c r="PRR2471" s="61"/>
      <c r="PRS2471" s="54"/>
      <c r="PRT2471" s="54"/>
      <c r="PRU2471" s="63"/>
      <c r="PRV2471" s="60"/>
      <c r="PRW2471" s="60"/>
      <c r="PRX2471" s="60"/>
      <c r="PRY2471" s="63"/>
      <c r="PRZ2471" s="61"/>
      <c r="PSA2471" s="54"/>
      <c r="PSB2471" s="54"/>
      <c r="PSC2471" s="63"/>
      <c r="PSD2471" s="60"/>
      <c r="PSE2471" s="60"/>
      <c r="PSF2471" s="60"/>
      <c r="PSG2471" s="63"/>
      <c r="PSH2471" s="61"/>
      <c r="PSI2471" s="54"/>
      <c r="PSJ2471" s="54"/>
      <c r="PSK2471" s="63"/>
      <c r="PSL2471" s="60"/>
      <c r="PSM2471" s="60"/>
      <c r="PSN2471" s="60"/>
      <c r="PSO2471" s="63"/>
      <c r="PSP2471" s="61"/>
      <c r="PSQ2471" s="54"/>
      <c r="PSR2471" s="54"/>
      <c r="PSS2471" s="63"/>
      <c r="PST2471" s="60"/>
      <c r="PSU2471" s="60"/>
      <c r="PSV2471" s="60"/>
      <c r="PSW2471" s="63"/>
      <c r="PSX2471" s="61"/>
      <c r="PSY2471" s="54"/>
      <c r="PSZ2471" s="54"/>
      <c r="PTA2471" s="63"/>
      <c r="PTB2471" s="60"/>
      <c r="PTC2471" s="60"/>
      <c r="PTD2471" s="60"/>
      <c r="PTE2471" s="63"/>
      <c r="PTF2471" s="61"/>
      <c r="PTG2471" s="54"/>
      <c r="PTH2471" s="54"/>
      <c r="PTI2471" s="63"/>
      <c r="PTJ2471" s="60"/>
      <c r="PTK2471" s="60"/>
      <c r="PTL2471" s="60"/>
      <c r="PTM2471" s="63"/>
      <c r="PTN2471" s="61"/>
      <c r="PTO2471" s="54"/>
      <c r="PTP2471" s="54"/>
      <c r="PTQ2471" s="63"/>
      <c r="PTR2471" s="60"/>
      <c r="PTS2471" s="60"/>
      <c r="PTT2471" s="60"/>
      <c r="PTU2471" s="63"/>
      <c r="PTV2471" s="61"/>
      <c r="PTW2471" s="54"/>
      <c r="PTX2471" s="54"/>
      <c r="PTY2471" s="63"/>
      <c r="PTZ2471" s="60"/>
      <c r="PUA2471" s="60"/>
      <c r="PUB2471" s="60"/>
      <c r="PUC2471" s="63"/>
      <c r="PUD2471" s="61"/>
      <c r="PUE2471" s="54"/>
      <c r="PUF2471" s="54"/>
      <c r="PUG2471" s="63"/>
      <c r="PUH2471" s="60"/>
      <c r="PUI2471" s="60"/>
      <c r="PUJ2471" s="60"/>
      <c r="PUK2471" s="63"/>
      <c r="PUL2471" s="61"/>
      <c r="PUM2471" s="54"/>
      <c r="PUN2471" s="54"/>
      <c r="PUO2471" s="63"/>
      <c r="PUP2471" s="60"/>
      <c r="PUQ2471" s="60"/>
      <c r="PUR2471" s="60"/>
      <c r="PUS2471" s="63"/>
      <c r="PUT2471" s="61"/>
      <c r="PUU2471" s="54"/>
      <c r="PUV2471" s="54"/>
      <c r="PUW2471" s="63"/>
      <c r="PUX2471" s="60"/>
      <c r="PUY2471" s="60"/>
      <c r="PUZ2471" s="60"/>
      <c r="PVA2471" s="63"/>
      <c r="PVB2471" s="61"/>
      <c r="PVC2471" s="54"/>
      <c r="PVD2471" s="54"/>
      <c r="PVE2471" s="63"/>
      <c r="PVF2471" s="60"/>
      <c r="PVG2471" s="60"/>
      <c r="PVH2471" s="60"/>
      <c r="PVI2471" s="63"/>
      <c r="PVJ2471" s="61"/>
      <c r="PVK2471" s="54"/>
      <c r="PVL2471" s="54"/>
      <c r="PVM2471" s="63"/>
      <c r="PVN2471" s="60"/>
      <c r="PVO2471" s="60"/>
      <c r="PVP2471" s="60"/>
      <c r="PVQ2471" s="63"/>
      <c r="PVR2471" s="61"/>
      <c r="PVS2471" s="54"/>
      <c r="PVT2471" s="54"/>
      <c r="PVU2471" s="63"/>
      <c r="PVV2471" s="60"/>
      <c r="PVW2471" s="60"/>
      <c r="PVX2471" s="60"/>
      <c r="PVY2471" s="63"/>
      <c r="PVZ2471" s="61"/>
      <c r="PWA2471" s="54"/>
      <c r="PWB2471" s="54"/>
      <c r="PWC2471" s="63"/>
      <c r="PWD2471" s="60"/>
      <c r="PWE2471" s="60"/>
      <c r="PWF2471" s="60"/>
      <c r="PWG2471" s="63"/>
      <c r="PWH2471" s="61"/>
      <c r="PWI2471" s="54"/>
      <c r="PWJ2471" s="54"/>
      <c r="PWK2471" s="63"/>
      <c r="PWL2471" s="60"/>
      <c r="PWM2471" s="60"/>
      <c r="PWN2471" s="60"/>
      <c r="PWO2471" s="63"/>
      <c r="PWP2471" s="61"/>
      <c r="PWQ2471" s="54"/>
      <c r="PWR2471" s="54"/>
      <c r="PWS2471" s="63"/>
      <c r="PWT2471" s="60"/>
      <c r="PWU2471" s="60"/>
      <c r="PWV2471" s="60"/>
      <c r="PWW2471" s="63"/>
      <c r="PWX2471" s="61"/>
      <c r="PWY2471" s="54"/>
      <c r="PWZ2471" s="54"/>
      <c r="PXA2471" s="63"/>
      <c r="PXB2471" s="60"/>
      <c r="PXC2471" s="60"/>
      <c r="PXD2471" s="60"/>
      <c r="PXE2471" s="63"/>
      <c r="PXF2471" s="61"/>
      <c r="PXG2471" s="54"/>
      <c r="PXH2471" s="54"/>
      <c r="PXI2471" s="63"/>
      <c r="PXJ2471" s="60"/>
      <c r="PXK2471" s="60"/>
      <c r="PXL2471" s="60"/>
      <c r="PXM2471" s="63"/>
      <c r="PXN2471" s="61"/>
      <c r="PXO2471" s="54"/>
      <c r="PXP2471" s="54"/>
      <c r="PXQ2471" s="63"/>
      <c r="PXR2471" s="60"/>
      <c r="PXS2471" s="60"/>
      <c r="PXT2471" s="60"/>
      <c r="PXU2471" s="63"/>
      <c r="PXV2471" s="61"/>
      <c r="PXW2471" s="54"/>
      <c r="PXX2471" s="54"/>
      <c r="PXY2471" s="63"/>
      <c r="PXZ2471" s="60"/>
      <c r="PYA2471" s="60"/>
      <c r="PYB2471" s="60"/>
      <c r="PYC2471" s="63"/>
      <c r="PYD2471" s="61"/>
      <c r="PYE2471" s="54"/>
      <c r="PYF2471" s="54"/>
      <c r="PYG2471" s="63"/>
      <c r="PYH2471" s="60"/>
      <c r="PYI2471" s="60"/>
      <c r="PYJ2471" s="60"/>
      <c r="PYK2471" s="63"/>
      <c r="PYL2471" s="61"/>
      <c r="PYM2471" s="54"/>
      <c r="PYN2471" s="54"/>
      <c r="PYO2471" s="63"/>
      <c r="PYP2471" s="60"/>
      <c r="PYQ2471" s="60"/>
      <c r="PYR2471" s="60"/>
      <c r="PYS2471" s="63"/>
      <c r="PYT2471" s="61"/>
      <c r="PYU2471" s="54"/>
      <c r="PYV2471" s="54"/>
      <c r="PYW2471" s="63"/>
      <c r="PYX2471" s="60"/>
      <c r="PYY2471" s="60"/>
      <c r="PYZ2471" s="60"/>
      <c r="PZA2471" s="63"/>
      <c r="PZB2471" s="61"/>
      <c r="PZC2471" s="54"/>
      <c r="PZD2471" s="54"/>
      <c r="PZE2471" s="63"/>
      <c r="PZF2471" s="60"/>
      <c r="PZG2471" s="60"/>
      <c r="PZH2471" s="60"/>
      <c r="PZI2471" s="63"/>
      <c r="PZJ2471" s="61"/>
      <c r="PZK2471" s="54"/>
      <c r="PZL2471" s="54"/>
      <c r="PZM2471" s="63"/>
      <c r="PZN2471" s="60"/>
      <c r="PZO2471" s="60"/>
      <c r="PZP2471" s="60"/>
      <c r="PZQ2471" s="63"/>
      <c r="PZR2471" s="61"/>
      <c r="PZS2471" s="54"/>
      <c r="PZT2471" s="54"/>
      <c r="PZU2471" s="63"/>
      <c r="PZV2471" s="60"/>
      <c r="PZW2471" s="60"/>
      <c r="PZX2471" s="60"/>
      <c r="PZY2471" s="63"/>
      <c r="PZZ2471" s="61"/>
      <c r="QAA2471" s="54"/>
      <c r="QAB2471" s="54"/>
      <c r="QAC2471" s="63"/>
      <c r="QAD2471" s="60"/>
      <c r="QAE2471" s="60"/>
      <c r="QAF2471" s="60"/>
      <c r="QAG2471" s="63"/>
      <c r="QAH2471" s="61"/>
      <c r="QAI2471" s="54"/>
      <c r="QAJ2471" s="54"/>
      <c r="QAK2471" s="63"/>
      <c r="QAL2471" s="60"/>
      <c r="QAM2471" s="60"/>
      <c r="QAN2471" s="60"/>
      <c r="QAO2471" s="63"/>
      <c r="QAP2471" s="61"/>
      <c r="QAQ2471" s="54"/>
      <c r="QAR2471" s="54"/>
      <c r="QAS2471" s="63"/>
      <c r="QAT2471" s="60"/>
      <c r="QAU2471" s="60"/>
      <c r="QAV2471" s="60"/>
      <c r="QAW2471" s="63"/>
      <c r="QAX2471" s="61"/>
      <c r="QAY2471" s="54"/>
      <c r="QAZ2471" s="54"/>
      <c r="QBA2471" s="63"/>
      <c r="QBB2471" s="60"/>
      <c r="QBC2471" s="60"/>
      <c r="QBD2471" s="60"/>
      <c r="QBE2471" s="63"/>
      <c r="QBF2471" s="61"/>
      <c r="QBG2471" s="54"/>
      <c r="QBH2471" s="54"/>
      <c r="QBI2471" s="63"/>
      <c r="QBJ2471" s="60"/>
      <c r="QBK2471" s="60"/>
      <c r="QBL2471" s="60"/>
      <c r="QBM2471" s="63"/>
      <c r="QBN2471" s="61"/>
      <c r="QBO2471" s="54"/>
      <c r="QBP2471" s="54"/>
      <c r="QBQ2471" s="63"/>
      <c r="QBR2471" s="60"/>
      <c r="QBS2471" s="60"/>
      <c r="QBT2471" s="60"/>
      <c r="QBU2471" s="63"/>
      <c r="QBV2471" s="61"/>
      <c r="QBW2471" s="54"/>
      <c r="QBX2471" s="54"/>
      <c r="QBY2471" s="63"/>
      <c r="QBZ2471" s="60"/>
      <c r="QCA2471" s="60"/>
      <c r="QCB2471" s="60"/>
      <c r="QCC2471" s="63"/>
      <c r="QCD2471" s="61"/>
      <c r="QCE2471" s="54"/>
      <c r="QCF2471" s="54"/>
      <c r="QCG2471" s="63"/>
      <c r="QCH2471" s="60"/>
      <c r="QCI2471" s="60"/>
      <c r="QCJ2471" s="60"/>
      <c r="QCK2471" s="63"/>
      <c r="QCL2471" s="61"/>
      <c r="QCM2471" s="54"/>
      <c r="QCN2471" s="54"/>
      <c r="QCO2471" s="63"/>
      <c r="QCP2471" s="60"/>
      <c r="QCQ2471" s="60"/>
      <c r="QCR2471" s="60"/>
      <c r="QCS2471" s="63"/>
      <c r="QCT2471" s="61"/>
      <c r="QCU2471" s="54"/>
      <c r="QCV2471" s="54"/>
      <c r="QCW2471" s="63"/>
      <c r="QCX2471" s="60"/>
      <c r="QCY2471" s="60"/>
      <c r="QCZ2471" s="60"/>
      <c r="QDA2471" s="63"/>
      <c r="QDB2471" s="61"/>
      <c r="QDC2471" s="54"/>
      <c r="QDD2471" s="54"/>
      <c r="QDE2471" s="63"/>
      <c r="QDF2471" s="60"/>
      <c r="QDG2471" s="60"/>
      <c r="QDH2471" s="60"/>
      <c r="QDI2471" s="63"/>
      <c r="QDJ2471" s="61"/>
      <c r="QDK2471" s="54"/>
      <c r="QDL2471" s="54"/>
      <c r="QDM2471" s="63"/>
      <c r="QDN2471" s="60"/>
      <c r="QDO2471" s="60"/>
      <c r="QDP2471" s="60"/>
      <c r="QDQ2471" s="63"/>
      <c r="QDR2471" s="61"/>
      <c r="QDS2471" s="54"/>
      <c r="QDT2471" s="54"/>
      <c r="QDU2471" s="63"/>
      <c r="QDV2471" s="60"/>
      <c r="QDW2471" s="60"/>
      <c r="QDX2471" s="60"/>
      <c r="QDY2471" s="63"/>
      <c r="QDZ2471" s="61"/>
      <c r="QEA2471" s="54"/>
      <c r="QEB2471" s="54"/>
      <c r="QEC2471" s="63"/>
      <c r="QED2471" s="60"/>
      <c r="QEE2471" s="60"/>
      <c r="QEF2471" s="60"/>
      <c r="QEG2471" s="63"/>
      <c r="QEH2471" s="61"/>
      <c r="QEI2471" s="54"/>
      <c r="QEJ2471" s="54"/>
      <c r="QEK2471" s="63"/>
      <c r="QEL2471" s="60"/>
      <c r="QEM2471" s="60"/>
      <c r="QEN2471" s="60"/>
      <c r="QEO2471" s="63"/>
      <c r="QEP2471" s="61"/>
      <c r="QEQ2471" s="54"/>
      <c r="QER2471" s="54"/>
      <c r="QES2471" s="63"/>
      <c r="QET2471" s="60"/>
      <c r="QEU2471" s="60"/>
      <c r="QEV2471" s="60"/>
      <c r="QEW2471" s="63"/>
      <c r="QEX2471" s="61"/>
      <c r="QEY2471" s="54"/>
      <c r="QEZ2471" s="54"/>
      <c r="QFA2471" s="63"/>
      <c r="QFB2471" s="60"/>
      <c r="QFC2471" s="60"/>
      <c r="QFD2471" s="60"/>
      <c r="QFE2471" s="63"/>
      <c r="QFF2471" s="61"/>
      <c r="QFG2471" s="54"/>
      <c r="QFH2471" s="54"/>
      <c r="QFI2471" s="63"/>
      <c r="QFJ2471" s="60"/>
      <c r="QFK2471" s="60"/>
      <c r="QFL2471" s="60"/>
      <c r="QFM2471" s="63"/>
      <c r="QFN2471" s="61"/>
      <c r="QFO2471" s="54"/>
      <c r="QFP2471" s="54"/>
      <c r="QFQ2471" s="63"/>
      <c r="QFR2471" s="60"/>
      <c r="QFS2471" s="60"/>
      <c r="QFT2471" s="60"/>
      <c r="QFU2471" s="63"/>
      <c r="QFV2471" s="61"/>
      <c r="QFW2471" s="54"/>
      <c r="QFX2471" s="54"/>
      <c r="QFY2471" s="63"/>
      <c r="QFZ2471" s="60"/>
      <c r="QGA2471" s="60"/>
      <c r="QGB2471" s="60"/>
      <c r="QGC2471" s="63"/>
      <c r="QGD2471" s="61"/>
      <c r="QGE2471" s="54"/>
      <c r="QGF2471" s="54"/>
      <c r="QGG2471" s="63"/>
      <c r="QGH2471" s="60"/>
      <c r="QGI2471" s="60"/>
      <c r="QGJ2471" s="60"/>
      <c r="QGK2471" s="63"/>
      <c r="QGL2471" s="61"/>
      <c r="QGM2471" s="54"/>
      <c r="QGN2471" s="54"/>
      <c r="QGO2471" s="63"/>
      <c r="QGP2471" s="60"/>
      <c r="QGQ2471" s="60"/>
      <c r="QGR2471" s="60"/>
      <c r="QGS2471" s="63"/>
      <c r="QGT2471" s="61"/>
      <c r="QGU2471" s="54"/>
      <c r="QGV2471" s="54"/>
      <c r="QGW2471" s="63"/>
      <c r="QGX2471" s="60"/>
      <c r="QGY2471" s="60"/>
      <c r="QGZ2471" s="60"/>
      <c r="QHA2471" s="63"/>
      <c r="QHB2471" s="61"/>
      <c r="QHC2471" s="54"/>
      <c r="QHD2471" s="54"/>
      <c r="QHE2471" s="63"/>
      <c r="QHF2471" s="60"/>
      <c r="QHG2471" s="60"/>
      <c r="QHH2471" s="60"/>
      <c r="QHI2471" s="63"/>
      <c r="QHJ2471" s="61"/>
      <c r="QHK2471" s="54"/>
      <c r="QHL2471" s="54"/>
      <c r="QHM2471" s="63"/>
      <c r="QHN2471" s="60"/>
      <c r="QHO2471" s="60"/>
      <c r="QHP2471" s="60"/>
      <c r="QHQ2471" s="63"/>
      <c r="QHR2471" s="61"/>
      <c r="QHS2471" s="54"/>
      <c r="QHT2471" s="54"/>
      <c r="QHU2471" s="63"/>
      <c r="QHV2471" s="60"/>
      <c r="QHW2471" s="60"/>
      <c r="QHX2471" s="60"/>
      <c r="QHY2471" s="63"/>
      <c r="QHZ2471" s="61"/>
      <c r="QIA2471" s="54"/>
      <c r="QIB2471" s="54"/>
      <c r="QIC2471" s="63"/>
      <c r="QID2471" s="60"/>
      <c r="QIE2471" s="60"/>
      <c r="QIF2471" s="60"/>
      <c r="QIG2471" s="63"/>
      <c r="QIH2471" s="61"/>
      <c r="QII2471" s="54"/>
      <c r="QIJ2471" s="54"/>
      <c r="QIK2471" s="63"/>
      <c r="QIL2471" s="60"/>
      <c r="QIM2471" s="60"/>
      <c r="QIN2471" s="60"/>
      <c r="QIO2471" s="63"/>
      <c r="QIP2471" s="61"/>
      <c r="QIQ2471" s="54"/>
      <c r="QIR2471" s="54"/>
      <c r="QIS2471" s="63"/>
      <c r="QIT2471" s="60"/>
      <c r="QIU2471" s="60"/>
      <c r="QIV2471" s="60"/>
      <c r="QIW2471" s="63"/>
      <c r="QIX2471" s="61"/>
      <c r="QIY2471" s="54"/>
      <c r="QIZ2471" s="54"/>
      <c r="QJA2471" s="63"/>
      <c r="QJB2471" s="60"/>
      <c r="QJC2471" s="60"/>
      <c r="QJD2471" s="60"/>
      <c r="QJE2471" s="63"/>
      <c r="QJF2471" s="61"/>
      <c r="QJG2471" s="54"/>
      <c r="QJH2471" s="54"/>
      <c r="QJI2471" s="63"/>
      <c r="QJJ2471" s="60"/>
      <c r="QJK2471" s="60"/>
      <c r="QJL2471" s="60"/>
      <c r="QJM2471" s="63"/>
      <c r="QJN2471" s="61"/>
      <c r="QJO2471" s="54"/>
      <c r="QJP2471" s="54"/>
      <c r="QJQ2471" s="63"/>
      <c r="QJR2471" s="60"/>
      <c r="QJS2471" s="60"/>
      <c r="QJT2471" s="60"/>
      <c r="QJU2471" s="63"/>
      <c r="QJV2471" s="61"/>
      <c r="QJW2471" s="54"/>
      <c r="QJX2471" s="54"/>
      <c r="QJY2471" s="63"/>
      <c r="QJZ2471" s="60"/>
      <c r="QKA2471" s="60"/>
      <c r="QKB2471" s="60"/>
      <c r="QKC2471" s="63"/>
      <c r="QKD2471" s="61"/>
      <c r="QKE2471" s="54"/>
      <c r="QKF2471" s="54"/>
      <c r="QKG2471" s="63"/>
      <c r="QKH2471" s="60"/>
      <c r="QKI2471" s="60"/>
      <c r="QKJ2471" s="60"/>
      <c r="QKK2471" s="63"/>
      <c r="QKL2471" s="61"/>
      <c r="QKM2471" s="54"/>
      <c r="QKN2471" s="54"/>
      <c r="QKO2471" s="63"/>
      <c r="QKP2471" s="60"/>
      <c r="QKQ2471" s="60"/>
      <c r="QKR2471" s="60"/>
      <c r="QKS2471" s="63"/>
      <c r="QKT2471" s="61"/>
      <c r="QKU2471" s="54"/>
      <c r="QKV2471" s="54"/>
      <c r="QKW2471" s="63"/>
      <c r="QKX2471" s="60"/>
      <c r="QKY2471" s="60"/>
      <c r="QKZ2471" s="60"/>
      <c r="QLA2471" s="63"/>
      <c r="QLB2471" s="61"/>
      <c r="QLC2471" s="54"/>
      <c r="QLD2471" s="54"/>
      <c r="QLE2471" s="63"/>
      <c r="QLF2471" s="60"/>
      <c r="QLG2471" s="60"/>
      <c r="QLH2471" s="60"/>
      <c r="QLI2471" s="63"/>
      <c r="QLJ2471" s="61"/>
      <c r="QLK2471" s="54"/>
      <c r="QLL2471" s="54"/>
      <c r="QLM2471" s="63"/>
      <c r="QLN2471" s="60"/>
      <c r="QLO2471" s="60"/>
      <c r="QLP2471" s="60"/>
      <c r="QLQ2471" s="63"/>
      <c r="QLR2471" s="61"/>
      <c r="QLS2471" s="54"/>
      <c r="QLT2471" s="54"/>
      <c r="QLU2471" s="63"/>
      <c r="QLV2471" s="60"/>
      <c r="QLW2471" s="60"/>
      <c r="QLX2471" s="60"/>
      <c r="QLY2471" s="63"/>
      <c r="QLZ2471" s="61"/>
      <c r="QMA2471" s="54"/>
      <c r="QMB2471" s="54"/>
      <c r="QMC2471" s="63"/>
      <c r="QMD2471" s="60"/>
      <c r="QME2471" s="60"/>
      <c r="QMF2471" s="60"/>
      <c r="QMG2471" s="63"/>
      <c r="QMH2471" s="61"/>
      <c r="QMI2471" s="54"/>
      <c r="QMJ2471" s="54"/>
      <c r="QMK2471" s="63"/>
      <c r="QML2471" s="60"/>
      <c r="QMM2471" s="60"/>
      <c r="QMN2471" s="60"/>
      <c r="QMO2471" s="63"/>
      <c r="QMP2471" s="61"/>
      <c r="QMQ2471" s="54"/>
      <c r="QMR2471" s="54"/>
      <c r="QMS2471" s="63"/>
      <c r="QMT2471" s="60"/>
      <c r="QMU2471" s="60"/>
      <c r="QMV2471" s="60"/>
      <c r="QMW2471" s="63"/>
      <c r="QMX2471" s="61"/>
      <c r="QMY2471" s="54"/>
      <c r="QMZ2471" s="54"/>
      <c r="QNA2471" s="63"/>
      <c r="QNB2471" s="60"/>
      <c r="QNC2471" s="60"/>
      <c r="QND2471" s="60"/>
      <c r="QNE2471" s="63"/>
      <c r="QNF2471" s="61"/>
      <c r="QNG2471" s="54"/>
      <c r="QNH2471" s="54"/>
      <c r="QNI2471" s="63"/>
      <c r="QNJ2471" s="60"/>
      <c r="QNK2471" s="60"/>
      <c r="QNL2471" s="60"/>
      <c r="QNM2471" s="63"/>
      <c r="QNN2471" s="61"/>
      <c r="QNO2471" s="54"/>
      <c r="QNP2471" s="54"/>
      <c r="QNQ2471" s="63"/>
      <c r="QNR2471" s="60"/>
      <c r="QNS2471" s="60"/>
      <c r="QNT2471" s="60"/>
      <c r="QNU2471" s="63"/>
      <c r="QNV2471" s="61"/>
      <c r="QNW2471" s="54"/>
      <c r="QNX2471" s="54"/>
      <c r="QNY2471" s="63"/>
      <c r="QNZ2471" s="60"/>
      <c r="QOA2471" s="60"/>
      <c r="QOB2471" s="60"/>
      <c r="QOC2471" s="63"/>
      <c r="QOD2471" s="61"/>
      <c r="QOE2471" s="54"/>
      <c r="QOF2471" s="54"/>
      <c r="QOG2471" s="63"/>
      <c r="QOH2471" s="60"/>
      <c r="QOI2471" s="60"/>
      <c r="QOJ2471" s="60"/>
      <c r="QOK2471" s="63"/>
      <c r="QOL2471" s="61"/>
      <c r="QOM2471" s="54"/>
      <c r="QON2471" s="54"/>
      <c r="QOO2471" s="63"/>
      <c r="QOP2471" s="60"/>
      <c r="QOQ2471" s="60"/>
      <c r="QOR2471" s="60"/>
      <c r="QOS2471" s="63"/>
      <c r="QOT2471" s="61"/>
      <c r="QOU2471" s="54"/>
      <c r="QOV2471" s="54"/>
      <c r="QOW2471" s="63"/>
      <c r="QOX2471" s="60"/>
      <c r="QOY2471" s="60"/>
      <c r="QOZ2471" s="60"/>
      <c r="QPA2471" s="63"/>
      <c r="QPB2471" s="61"/>
      <c r="QPC2471" s="54"/>
      <c r="QPD2471" s="54"/>
      <c r="QPE2471" s="63"/>
      <c r="QPF2471" s="60"/>
      <c r="QPG2471" s="60"/>
      <c r="QPH2471" s="60"/>
      <c r="QPI2471" s="63"/>
      <c r="QPJ2471" s="61"/>
      <c r="QPK2471" s="54"/>
      <c r="QPL2471" s="54"/>
      <c r="QPM2471" s="63"/>
      <c r="QPN2471" s="60"/>
      <c r="QPO2471" s="60"/>
      <c r="QPP2471" s="60"/>
      <c r="QPQ2471" s="63"/>
      <c r="QPR2471" s="61"/>
      <c r="QPS2471" s="54"/>
      <c r="QPT2471" s="54"/>
      <c r="QPU2471" s="63"/>
      <c r="QPV2471" s="60"/>
      <c r="QPW2471" s="60"/>
      <c r="QPX2471" s="60"/>
      <c r="QPY2471" s="63"/>
      <c r="QPZ2471" s="61"/>
      <c r="QQA2471" s="54"/>
      <c r="QQB2471" s="54"/>
      <c r="QQC2471" s="63"/>
      <c r="QQD2471" s="60"/>
      <c r="QQE2471" s="60"/>
      <c r="QQF2471" s="60"/>
      <c r="QQG2471" s="63"/>
      <c r="QQH2471" s="61"/>
      <c r="QQI2471" s="54"/>
      <c r="QQJ2471" s="54"/>
      <c r="QQK2471" s="63"/>
      <c r="QQL2471" s="60"/>
      <c r="QQM2471" s="60"/>
      <c r="QQN2471" s="60"/>
      <c r="QQO2471" s="63"/>
      <c r="QQP2471" s="61"/>
      <c r="QQQ2471" s="54"/>
      <c r="QQR2471" s="54"/>
      <c r="QQS2471" s="63"/>
      <c r="QQT2471" s="60"/>
      <c r="QQU2471" s="60"/>
      <c r="QQV2471" s="60"/>
      <c r="QQW2471" s="63"/>
      <c r="QQX2471" s="61"/>
      <c r="QQY2471" s="54"/>
      <c r="QQZ2471" s="54"/>
      <c r="QRA2471" s="63"/>
      <c r="QRB2471" s="60"/>
      <c r="QRC2471" s="60"/>
      <c r="QRD2471" s="60"/>
      <c r="QRE2471" s="63"/>
      <c r="QRF2471" s="61"/>
      <c r="QRG2471" s="54"/>
      <c r="QRH2471" s="54"/>
      <c r="QRI2471" s="63"/>
      <c r="QRJ2471" s="60"/>
      <c r="QRK2471" s="60"/>
      <c r="QRL2471" s="60"/>
      <c r="QRM2471" s="63"/>
      <c r="QRN2471" s="61"/>
      <c r="QRO2471" s="54"/>
      <c r="QRP2471" s="54"/>
      <c r="QRQ2471" s="63"/>
      <c r="QRR2471" s="60"/>
      <c r="QRS2471" s="60"/>
      <c r="QRT2471" s="60"/>
      <c r="QRU2471" s="63"/>
      <c r="QRV2471" s="61"/>
      <c r="QRW2471" s="54"/>
      <c r="QRX2471" s="54"/>
      <c r="QRY2471" s="63"/>
      <c r="QRZ2471" s="60"/>
      <c r="QSA2471" s="60"/>
      <c r="QSB2471" s="60"/>
      <c r="QSC2471" s="63"/>
      <c r="QSD2471" s="61"/>
      <c r="QSE2471" s="54"/>
      <c r="QSF2471" s="54"/>
      <c r="QSG2471" s="63"/>
      <c r="QSH2471" s="60"/>
      <c r="QSI2471" s="60"/>
      <c r="QSJ2471" s="60"/>
      <c r="QSK2471" s="63"/>
      <c r="QSL2471" s="61"/>
      <c r="QSM2471" s="54"/>
      <c r="QSN2471" s="54"/>
      <c r="QSO2471" s="63"/>
      <c r="QSP2471" s="60"/>
      <c r="QSQ2471" s="60"/>
      <c r="QSR2471" s="60"/>
      <c r="QSS2471" s="63"/>
      <c r="QST2471" s="61"/>
      <c r="QSU2471" s="54"/>
      <c r="QSV2471" s="54"/>
      <c r="QSW2471" s="63"/>
      <c r="QSX2471" s="60"/>
      <c r="QSY2471" s="60"/>
      <c r="QSZ2471" s="60"/>
      <c r="QTA2471" s="63"/>
      <c r="QTB2471" s="61"/>
      <c r="QTC2471" s="54"/>
      <c r="QTD2471" s="54"/>
      <c r="QTE2471" s="63"/>
      <c r="QTF2471" s="60"/>
      <c r="QTG2471" s="60"/>
      <c r="QTH2471" s="60"/>
      <c r="QTI2471" s="63"/>
      <c r="QTJ2471" s="61"/>
      <c r="QTK2471" s="54"/>
      <c r="QTL2471" s="54"/>
      <c r="QTM2471" s="63"/>
      <c r="QTN2471" s="60"/>
      <c r="QTO2471" s="60"/>
      <c r="QTP2471" s="60"/>
      <c r="QTQ2471" s="63"/>
      <c r="QTR2471" s="61"/>
      <c r="QTS2471" s="54"/>
      <c r="QTT2471" s="54"/>
      <c r="QTU2471" s="63"/>
      <c r="QTV2471" s="60"/>
      <c r="QTW2471" s="60"/>
      <c r="QTX2471" s="60"/>
      <c r="QTY2471" s="63"/>
      <c r="QTZ2471" s="61"/>
      <c r="QUA2471" s="54"/>
      <c r="QUB2471" s="54"/>
      <c r="QUC2471" s="63"/>
      <c r="QUD2471" s="60"/>
      <c r="QUE2471" s="60"/>
      <c r="QUF2471" s="60"/>
      <c r="QUG2471" s="63"/>
      <c r="QUH2471" s="61"/>
      <c r="QUI2471" s="54"/>
      <c r="QUJ2471" s="54"/>
      <c r="QUK2471" s="63"/>
      <c r="QUL2471" s="60"/>
      <c r="QUM2471" s="60"/>
      <c r="QUN2471" s="60"/>
      <c r="QUO2471" s="63"/>
      <c r="QUP2471" s="61"/>
      <c r="QUQ2471" s="54"/>
      <c r="QUR2471" s="54"/>
      <c r="QUS2471" s="63"/>
      <c r="QUT2471" s="60"/>
      <c r="QUU2471" s="60"/>
      <c r="QUV2471" s="60"/>
      <c r="QUW2471" s="63"/>
      <c r="QUX2471" s="61"/>
      <c r="QUY2471" s="54"/>
      <c r="QUZ2471" s="54"/>
      <c r="QVA2471" s="63"/>
      <c r="QVB2471" s="60"/>
      <c r="QVC2471" s="60"/>
      <c r="QVD2471" s="60"/>
      <c r="QVE2471" s="63"/>
      <c r="QVF2471" s="61"/>
      <c r="QVG2471" s="54"/>
      <c r="QVH2471" s="54"/>
      <c r="QVI2471" s="63"/>
      <c r="QVJ2471" s="60"/>
      <c r="QVK2471" s="60"/>
      <c r="QVL2471" s="60"/>
      <c r="QVM2471" s="63"/>
      <c r="QVN2471" s="61"/>
      <c r="QVO2471" s="54"/>
      <c r="QVP2471" s="54"/>
      <c r="QVQ2471" s="63"/>
      <c r="QVR2471" s="60"/>
      <c r="QVS2471" s="60"/>
      <c r="QVT2471" s="60"/>
      <c r="QVU2471" s="63"/>
      <c r="QVV2471" s="61"/>
      <c r="QVW2471" s="54"/>
      <c r="QVX2471" s="54"/>
      <c r="QVY2471" s="63"/>
      <c r="QVZ2471" s="60"/>
      <c r="QWA2471" s="60"/>
      <c r="QWB2471" s="60"/>
      <c r="QWC2471" s="63"/>
      <c r="QWD2471" s="61"/>
      <c r="QWE2471" s="54"/>
      <c r="QWF2471" s="54"/>
      <c r="QWG2471" s="63"/>
      <c r="QWH2471" s="60"/>
      <c r="QWI2471" s="60"/>
      <c r="QWJ2471" s="60"/>
      <c r="QWK2471" s="63"/>
      <c r="QWL2471" s="61"/>
      <c r="QWM2471" s="54"/>
      <c r="QWN2471" s="54"/>
      <c r="QWO2471" s="63"/>
      <c r="QWP2471" s="60"/>
      <c r="QWQ2471" s="60"/>
      <c r="QWR2471" s="60"/>
      <c r="QWS2471" s="63"/>
      <c r="QWT2471" s="61"/>
      <c r="QWU2471" s="54"/>
      <c r="QWV2471" s="54"/>
      <c r="QWW2471" s="63"/>
      <c r="QWX2471" s="60"/>
      <c r="QWY2471" s="60"/>
      <c r="QWZ2471" s="60"/>
      <c r="QXA2471" s="63"/>
      <c r="QXB2471" s="61"/>
      <c r="QXC2471" s="54"/>
      <c r="QXD2471" s="54"/>
      <c r="QXE2471" s="63"/>
      <c r="QXF2471" s="60"/>
      <c r="QXG2471" s="60"/>
      <c r="QXH2471" s="60"/>
      <c r="QXI2471" s="63"/>
      <c r="QXJ2471" s="61"/>
      <c r="QXK2471" s="54"/>
      <c r="QXL2471" s="54"/>
      <c r="QXM2471" s="63"/>
      <c r="QXN2471" s="60"/>
      <c r="QXO2471" s="60"/>
      <c r="QXP2471" s="60"/>
      <c r="QXQ2471" s="63"/>
      <c r="QXR2471" s="61"/>
      <c r="QXS2471" s="54"/>
      <c r="QXT2471" s="54"/>
      <c r="QXU2471" s="63"/>
      <c r="QXV2471" s="60"/>
      <c r="QXW2471" s="60"/>
      <c r="QXX2471" s="60"/>
      <c r="QXY2471" s="63"/>
      <c r="QXZ2471" s="61"/>
      <c r="QYA2471" s="54"/>
      <c r="QYB2471" s="54"/>
      <c r="QYC2471" s="63"/>
      <c r="QYD2471" s="60"/>
      <c r="QYE2471" s="60"/>
      <c r="QYF2471" s="60"/>
      <c r="QYG2471" s="63"/>
      <c r="QYH2471" s="61"/>
      <c r="QYI2471" s="54"/>
      <c r="QYJ2471" s="54"/>
      <c r="QYK2471" s="63"/>
      <c r="QYL2471" s="60"/>
      <c r="QYM2471" s="60"/>
      <c r="QYN2471" s="60"/>
      <c r="QYO2471" s="63"/>
      <c r="QYP2471" s="61"/>
      <c r="QYQ2471" s="54"/>
      <c r="QYR2471" s="54"/>
      <c r="QYS2471" s="63"/>
      <c r="QYT2471" s="60"/>
      <c r="QYU2471" s="60"/>
      <c r="QYV2471" s="60"/>
      <c r="QYW2471" s="63"/>
      <c r="QYX2471" s="61"/>
      <c r="QYY2471" s="54"/>
      <c r="QYZ2471" s="54"/>
      <c r="QZA2471" s="63"/>
      <c r="QZB2471" s="60"/>
      <c r="QZC2471" s="60"/>
      <c r="QZD2471" s="60"/>
      <c r="QZE2471" s="63"/>
      <c r="QZF2471" s="61"/>
      <c r="QZG2471" s="54"/>
      <c r="QZH2471" s="54"/>
      <c r="QZI2471" s="63"/>
      <c r="QZJ2471" s="60"/>
      <c r="QZK2471" s="60"/>
      <c r="QZL2471" s="60"/>
      <c r="QZM2471" s="63"/>
      <c r="QZN2471" s="61"/>
      <c r="QZO2471" s="54"/>
      <c r="QZP2471" s="54"/>
      <c r="QZQ2471" s="63"/>
      <c r="QZR2471" s="60"/>
      <c r="QZS2471" s="60"/>
      <c r="QZT2471" s="60"/>
      <c r="QZU2471" s="63"/>
      <c r="QZV2471" s="61"/>
      <c r="QZW2471" s="54"/>
      <c r="QZX2471" s="54"/>
      <c r="QZY2471" s="63"/>
      <c r="QZZ2471" s="60"/>
      <c r="RAA2471" s="60"/>
      <c r="RAB2471" s="60"/>
      <c r="RAC2471" s="63"/>
      <c r="RAD2471" s="61"/>
      <c r="RAE2471" s="54"/>
      <c r="RAF2471" s="54"/>
      <c r="RAG2471" s="63"/>
      <c r="RAH2471" s="60"/>
      <c r="RAI2471" s="60"/>
      <c r="RAJ2471" s="60"/>
      <c r="RAK2471" s="63"/>
      <c r="RAL2471" s="61"/>
      <c r="RAM2471" s="54"/>
      <c r="RAN2471" s="54"/>
      <c r="RAO2471" s="63"/>
      <c r="RAP2471" s="60"/>
      <c r="RAQ2471" s="60"/>
      <c r="RAR2471" s="60"/>
      <c r="RAS2471" s="63"/>
      <c r="RAT2471" s="61"/>
      <c r="RAU2471" s="54"/>
      <c r="RAV2471" s="54"/>
      <c r="RAW2471" s="63"/>
      <c r="RAX2471" s="60"/>
      <c r="RAY2471" s="60"/>
      <c r="RAZ2471" s="60"/>
      <c r="RBA2471" s="63"/>
      <c r="RBB2471" s="61"/>
      <c r="RBC2471" s="54"/>
      <c r="RBD2471" s="54"/>
      <c r="RBE2471" s="63"/>
      <c r="RBF2471" s="60"/>
      <c r="RBG2471" s="60"/>
      <c r="RBH2471" s="60"/>
      <c r="RBI2471" s="63"/>
      <c r="RBJ2471" s="61"/>
      <c r="RBK2471" s="54"/>
      <c r="RBL2471" s="54"/>
      <c r="RBM2471" s="63"/>
      <c r="RBN2471" s="60"/>
      <c r="RBO2471" s="60"/>
      <c r="RBP2471" s="60"/>
      <c r="RBQ2471" s="63"/>
      <c r="RBR2471" s="61"/>
      <c r="RBS2471" s="54"/>
      <c r="RBT2471" s="54"/>
      <c r="RBU2471" s="63"/>
      <c r="RBV2471" s="60"/>
      <c r="RBW2471" s="60"/>
      <c r="RBX2471" s="60"/>
      <c r="RBY2471" s="63"/>
      <c r="RBZ2471" s="61"/>
      <c r="RCA2471" s="54"/>
      <c r="RCB2471" s="54"/>
      <c r="RCC2471" s="63"/>
      <c r="RCD2471" s="60"/>
      <c r="RCE2471" s="60"/>
      <c r="RCF2471" s="60"/>
      <c r="RCG2471" s="63"/>
      <c r="RCH2471" s="61"/>
      <c r="RCI2471" s="54"/>
      <c r="RCJ2471" s="54"/>
      <c r="RCK2471" s="63"/>
      <c r="RCL2471" s="60"/>
      <c r="RCM2471" s="60"/>
      <c r="RCN2471" s="60"/>
      <c r="RCO2471" s="63"/>
      <c r="RCP2471" s="61"/>
      <c r="RCQ2471" s="54"/>
      <c r="RCR2471" s="54"/>
      <c r="RCS2471" s="63"/>
      <c r="RCT2471" s="60"/>
      <c r="RCU2471" s="60"/>
      <c r="RCV2471" s="60"/>
      <c r="RCW2471" s="63"/>
      <c r="RCX2471" s="61"/>
      <c r="RCY2471" s="54"/>
      <c r="RCZ2471" s="54"/>
      <c r="RDA2471" s="63"/>
      <c r="RDB2471" s="60"/>
      <c r="RDC2471" s="60"/>
      <c r="RDD2471" s="60"/>
      <c r="RDE2471" s="63"/>
      <c r="RDF2471" s="61"/>
      <c r="RDG2471" s="54"/>
      <c r="RDH2471" s="54"/>
      <c r="RDI2471" s="63"/>
      <c r="RDJ2471" s="60"/>
      <c r="RDK2471" s="60"/>
      <c r="RDL2471" s="60"/>
      <c r="RDM2471" s="63"/>
      <c r="RDN2471" s="61"/>
      <c r="RDO2471" s="54"/>
      <c r="RDP2471" s="54"/>
      <c r="RDQ2471" s="63"/>
      <c r="RDR2471" s="60"/>
      <c r="RDS2471" s="60"/>
      <c r="RDT2471" s="60"/>
      <c r="RDU2471" s="63"/>
      <c r="RDV2471" s="61"/>
      <c r="RDW2471" s="54"/>
      <c r="RDX2471" s="54"/>
      <c r="RDY2471" s="63"/>
      <c r="RDZ2471" s="60"/>
      <c r="REA2471" s="60"/>
      <c r="REB2471" s="60"/>
      <c r="REC2471" s="63"/>
      <c r="RED2471" s="61"/>
      <c r="REE2471" s="54"/>
      <c r="REF2471" s="54"/>
      <c r="REG2471" s="63"/>
      <c r="REH2471" s="60"/>
      <c r="REI2471" s="60"/>
      <c r="REJ2471" s="60"/>
      <c r="REK2471" s="63"/>
      <c r="REL2471" s="61"/>
      <c r="REM2471" s="54"/>
      <c r="REN2471" s="54"/>
      <c r="REO2471" s="63"/>
      <c r="REP2471" s="60"/>
      <c r="REQ2471" s="60"/>
      <c r="RER2471" s="60"/>
      <c r="RES2471" s="63"/>
      <c r="RET2471" s="61"/>
      <c r="REU2471" s="54"/>
      <c r="REV2471" s="54"/>
      <c r="REW2471" s="63"/>
      <c r="REX2471" s="60"/>
      <c r="REY2471" s="60"/>
      <c r="REZ2471" s="60"/>
      <c r="RFA2471" s="63"/>
      <c r="RFB2471" s="61"/>
      <c r="RFC2471" s="54"/>
      <c r="RFD2471" s="54"/>
      <c r="RFE2471" s="63"/>
      <c r="RFF2471" s="60"/>
      <c r="RFG2471" s="60"/>
      <c r="RFH2471" s="60"/>
      <c r="RFI2471" s="63"/>
      <c r="RFJ2471" s="61"/>
      <c r="RFK2471" s="54"/>
      <c r="RFL2471" s="54"/>
      <c r="RFM2471" s="63"/>
      <c r="RFN2471" s="60"/>
      <c r="RFO2471" s="60"/>
      <c r="RFP2471" s="60"/>
      <c r="RFQ2471" s="63"/>
      <c r="RFR2471" s="61"/>
      <c r="RFS2471" s="54"/>
      <c r="RFT2471" s="54"/>
      <c r="RFU2471" s="63"/>
      <c r="RFV2471" s="60"/>
      <c r="RFW2471" s="60"/>
      <c r="RFX2471" s="60"/>
      <c r="RFY2471" s="63"/>
      <c r="RFZ2471" s="61"/>
      <c r="RGA2471" s="54"/>
      <c r="RGB2471" s="54"/>
      <c r="RGC2471" s="63"/>
      <c r="RGD2471" s="60"/>
      <c r="RGE2471" s="60"/>
      <c r="RGF2471" s="60"/>
      <c r="RGG2471" s="63"/>
      <c r="RGH2471" s="61"/>
      <c r="RGI2471" s="54"/>
      <c r="RGJ2471" s="54"/>
      <c r="RGK2471" s="63"/>
      <c r="RGL2471" s="60"/>
      <c r="RGM2471" s="60"/>
      <c r="RGN2471" s="60"/>
      <c r="RGO2471" s="63"/>
      <c r="RGP2471" s="61"/>
      <c r="RGQ2471" s="54"/>
      <c r="RGR2471" s="54"/>
      <c r="RGS2471" s="63"/>
      <c r="RGT2471" s="60"/>
      <c r="RGU2471" s="60"/>
      <c r="RGV2471" s="60"/>
      <c r="RGW2471" s="63"/>
      <c r="RGX2471" s="61"/>
      <c r="RGY2471" s="54"/>
      <c r="RGZ2471" s="54"/>
      <c r="RHA2471" s="63"/>
      <c r="RHB2471" s="60"/>
      <c r="RHC2471" s="60"/>
      <c r="RHD2471" s="60"/>
      <c r="RHE2471" s="63"/>
      <c r="RHF2471" s="61"/>
      <c r="RHG2471" s="54"/>
      <c r="RHH2471" s="54"/>
      <c r="RHI2471" s="63"/>
      <c r="RHJ2471" s="60"/>
      <c r="RHK2471" s="60"/>
      <c r="RHL2471" s="60"/>
      <c r="RHM2471" s="63"/>
      <c r="RHN2471" s="61"/>
      <c r="RHO2471" s="54"/>
      <c r="RHP2471" s="54"/>
      <c r="RHQ2471" s="63"/>
      <c r="RHR2471" s="60"/>
      <c r="RHS2471" s="60"/>
      <c r="RHT2471" s="60"/>
      <c r="RHU2471" s="63"/>
      <c r="RHV2471" s="61"/>
      <c r="RHW2471" s="54"/>
      <c r="RHX2471" s="54"/>
      <c r="RHY2471" s="63"/>
      <c r="RHZ2471" s="60"/>
      <c r="RIA2471" s="60"/>
      <c r="RIB2471" s="60"/>
      <c r="RIC2471" s="63"/>
      <c r="RID2471" s="61"/>
      <c r="RIE2471" s="54"/>
      <c r="RIF2471" s="54"/>
      <c r="RIG2471" s="63"/>
      <c r="RIH2471" s="60"/>
      <c r="RII2471" s="60"/>
      <c r="RIJ2471" s="60"/>
      <c r="RIK2471" s="63"/>
      <c r="RIL2471" s="61"/>
      <c r="RIM2471" s="54"/>
      <c r="RIN2471" s="54"/>
      <c r="RIO2471" s="63"/>
      <c r="RIP2471" s="60"/>
      <c r="RIQ2471" s="60"/>
      <c r="RIR2471" s="60"/>
      <c r="RIS2471" s="63"/>
      <c r="RIT2471" s="61"/>
      <c r="RIU2471" s="54"/>
      <c r="RIV2471" s="54"/>
      <c r="RIW2471" s="63"/>
      <c r="RIX2471" s="60"/>
      <c r="RIY2471" s="60"/>
      <c r="RIZ2471" s="60"/>
      <c r="RJA2471" s="63"/>
      <c r="RJB2471" s="61"/>
      <c r="RJC2471" s="54"/>
      <c r="RJD2471" s="54"/>
      <c r="RJE2471" s="63"/>
      <c r="RJF2471" s="60"/>
      <c r="RJG2471" s="60"/>
      <c r="RJH2471" s="60"/>
      <c r="RJI2471" s="63"/>
      <c r="RJJ2471" s="61"/>
      <c r="RJK2471" s="54"/>
      <c r="RJL2471" s="54"/>
      <c r="RJM2471" s="63"/>
      <c r="RJN2471" s="60"/>
      <c r="RJO2471" s="60"/>
      <c r="RJP2471" s="60"/>
      <c r="RJQ2471" s="63"/>
      <c r="RJR2471" s="61"/>
      <c r="RJS2471" s="54"/>
      <c r="RJT2471" s="54"/>
      <c r="RJU2471" s="63"/>
      <c r="RJV2471" s="60"/>
      <c r="RJW2471" s="60"/>
      <c r="RJX2471" s="60"/>
      <c r="RJY2471" s="63"/>
      <c r="RJZ2471" s="61"/>
      <c r="RKA2471" s="54"/>
      <c r="RKB2471" s="54"/>
      <c r="RKC2471" s="63"/>
      <c r="RKD2471" s="60"/>
      <c r="RKE2471" s="60"/>
      <c r="RKF2471" s="60"/>
      <c r="RKG2471" s="63"/>
      <c r="RKH2471" s="61"/>
      <c r="RKI2471" s="54"/>
      <c r="RKJ2471" s="54"/>
      <c r="RKK2471" s="63"/>
      <c r="RKL2471" s="60"/>
      <c r="RKM2471" s="60"/>
      <c r="RKN2471" s="60"/>
      <c r="RKO2471" s="63"/>
      <c r="RKP2471" s="61"/>
      <c r="RKQ2471" s="54"/>
      <c r="RKR2471" s="54"/>
      <c r="RKS2471" s="63"/>
      <c r="RKT2471" s="60"/>
      <c r="RKU2471" s="60"/>
      <c r="RKV2471" s="60"/>
      <c r="RKW2471" s="63"/>
      <c r="RKX2471" s="61"/>
      <c r="RKY2471" s="54"/>
      <c r="RKZ2471" s="54"/>
      <c r="RLA2471" s="63"/>
      <c r="RLB2471" s="60"/>
      <c r="RLC2471" s="60"/>
      <c r="RLD2471" s="60"/>
      <c r="RLE2471" s="63"/>
      <c r="RLF2471" s="61"/>
      <c r="RLG2471" s="54"/>
      <c r="RLH2471" s="54"/>
      <c r="RLI2471" s="63"/>
      <c r="RLJ2471" s="60"/>
      <c r="RLK2471" s="60"/>
      <c r="RLL2471" s="60"/>
      <c r="RLM2471" s="63"/>
      <c r="RLN2471" s="61"/>
      <c r="RLO2471" s="54"/>
      <c r="RLP2471" s="54"/>
      <c r="RLQ2471" s="63"/>
      <c r="RLR2471" s="60"/>
      <c r="RLS2471" s="60"/>
      <c r="RLT2471" s="60"/>
      <c r="RLU2471" s="63"/>
      <c r="RLV2471" s="61"/>
      <c r="RLW2471" s="54"/>
      <c r="RLX2471" s="54"/>
      <c r="RLY2471" s="63"/>
      <c r="RLZ2471" s="60"/>
      <c r="RMA2471" s="60"/>
      <c r="RMB2471" s="60"/>
      <c r="RMC2471" s="63"/>
      <c r="RMD2471" s="61"/>
      <c r="RME2471" s="54"/>
      <c r="RMF2471" s="54"/>
      <c r="RMG2471" s="63"/>
      <c r="RMH2471" s="60"/>
      <c r="RMI2471" s="60"/>
      <c r="RMJ2471" s="60"/>
      <c r="RMK2471" s="63"/>
      <c r="RML2471" s="61"/>
      <c r="RMM2471" s="54"/>
      <c r="RMN2471" s="54"/>
      <c r="RMO2471" s="63"/>
      <c r="RMP2471" s="60"/>
      <c r="RMQ2471" s="60"/>
      <c r="RMR2471" s="60"/>
      <c r="RMS2471" s="63"/>
      <c r="RMT2471" s="61"/>
      <c r="RMU2471" s="54"/>
      <c r="RMV2471" s="54"/>
      <c r="RMW2471" s="63"/>
      <c r="RMX2471" s="60"/>
      <c r="RMY2471" s="60"/>
      <c r="RMZ2471" s="60"/>
      <c r="RNA2471" s="63"/>
      <c r="RNB2471" s="61"/>
      <c r="RNC2471" s="54"/>
      <c r="RND2471" s="54"/>
      <c r="RNE2471" s="63"/>
      <c r="RNF2471" s="60"/>
      <c r="RNG2471" s="60"/>
      <c r="RNH2471" s="60"/>
      <c r="RNI2471" s="63"/>
      <c r="RNJ2471" s="61"/>
      <c r="RNK2471" s="54"/>
      <c r="RNL2471" s="54"/>
      <c r="RNM2471" s="63"/>
      <c r="RNN2471" s="60"/>
      <c r="RNO2471" s="60"/>
      <c r="RNP2471" s="60"/>
      <c r="RNQ2471" s="63"/>
      <c r="RNR2471" s="61"/>
      <c r="RNS2471" s="54"/>
      <c r="RNT2471" s="54"/>
      <c r="RNU2471" s="63"/>
      <c r="RNV2471" s="60"/>
      <c r="RNW2471" s="60"/>
      <c r="RNX2471" s="60"/>
      <c r="RNY2471" s="63"/>
      <c r="RNZ2471" s="61"/>
      <c r="ROA2471" s="54"/>
      <c r="ROB2471" s="54"/>
      <c r="ROC2471" s="63"/>
      <c r="ROD2471" s="60"/>
      <c r="ROE2471" s="60"/>
      <c r="ROF2471" s="60"/>
      <c r="ROG2471" s="63"/>
      <c r="ROH2471" s="61"/>
      <c r="ROI2471" s="54"/>
      <c r="ROJ2471" s="54"/>
      <c r="ROK2471" s="63"/>
      <c r="ROL2471" s="60"/>
      <c r="ROM2471" s="60"/>
      <c r="RON2471" s="60"/>
      <c r="ROO2471" s="63"/>
      <c r="ROP2471" s="61"/>
      <c r="ROQ2471" s="54"/>
      <c r="ROR2471" s="54"/>
      <c r="ROS2471" s="63"/>
      <c r="ROT2471" s="60"/>
      <c r="ROU2471" s="60"/>
      <c r="ROV2471" s="60"/>
      <c r="ROW2471" s="63"/>
      <c r="ROX2471" s="61"/>
      <c r="ROY2471" s="54"/>
      <c r="ROZ2471" s="54"/>
      <c r="RPA2471" s="63"/>
      <c r="RPB2471" s="60"/>
      <c r="RPC2471" s="60"/>
      <c r="RPD2471" s="60"/>
      <c r="RPE2471" s="63"/>
      <c r="RPF2471" s="61"/>
      <c r="RPG2471" s="54"/>
      <c r="RPH2471" s="54"/>
      <c r="RPI2471" s="63"/>
      <c r="RPJ2471" s="60"/>
      <c r="RPK2471" s="60"/>
      <c r="RPL2471" s="60"/>
      <c r="RPM2471" s="63"/>
      <c r="RPN2471" s="61"/>
      <c r="RPO2471" s="54"/>
      <c r="RPP2471" s="54"/>
      <c r="RPQ2471" s="63"/>
      <c r="RPR2471" s="60"/>
      <c r="RPS2471" s="60"/>
      <c r="RPT2471" s="60"/>
      <c r="RPU2471" s="63"/>
      <c r="RPV2471" s="61"/>
      <c r="RPW2471" s="54"/>
      <c r="RPX2471" s="54"/>
      <c r="RPY2471" s="63"/>
      <c r="RPZ2471" s="60"/>
      <c r="RQA2471" s="60"/>
      <c r="RQB2471" s="60"/>
      <c r="RQC2471" s="63"/>
      <c r="RQD2471" s="61"/>
      <c r="RQE2471" s="54"/>
      <c r="RQF2471" s="54"/>
      <c r="RQG2471" s="63"/>
      <c r="RQH2471" s="60"/>
      <c r="RQI2471" s="60"/>
      <c r="RQJ2471" s="60"/>
      <c r="RQK2471" s="63"/>
      <c r="RQL2471" s="61"/>
      <c r="RQM2471" s="54"/>
      <c r="RQN2471" s="54"/>
      <c r="RQO2471" s="63"/>
      <c r="RQP2471" s="60"/>
      <c r="RQQ2471" s="60"/>
      <c r="RQR2471" s="60"/>
      <c r="RQS2471" s="63"/>
      <c r="RQT2471" s="61"/>
      <c r="RQU2471" s="54"/>
      <c r="RQV2471" s="54"/>
      <c r="RQW2471" s="63"/>
      <c r="RQX2471" s="60"/>
      <c r="RQY2471" s="60"/>
      <c r="RQZ2471" s="60"/>
      <c r="RRA2471" s="63"/>
      <c r="RRB2471" s="61"/>
      <c r="RRC2471" s="54"/>
      <c r="RRD2471" s="54"/>
      <c r="RRE2471" s="63"/>
      <c r="RRF2471" s="60"/>
      <c r="RRG2471" s="60"/>
      <c r="RRH2471" s="60"/>
      <c r="RRI2471" s="63"/>
      <c r="RRJ2471" s="61"/>
      <c r="RRK2471" s="54"/>
      <c r="RRL2471" s="54"/>
      <c r="RRM2471" s="63"/>
      <c r="RRN2471" s="60"/>
      <c r="RRO2471" s="60"/>
      <c r="RRP2471" s="60"/>
      <c r="RRQ2471" s="63"/>
      <c r="RRR2471" s="61"/>
      <c r="RRS2471" s="54"/>
      <c r="RRT2471" s="54"/>
      <c r="RRU2471" s="63"/>
      <c r="RRV2471" s="60"/>
      <c r="RRW2471" s="60"/>
      <c r="RRX2471" s="60"/>
      <c r="RRY2471" s="63"/>
      <c r="RRZ2471" s="61"/>
      <c r="RSA2471" s="54"/>
      <c r="RSB2471" s="54"/>
      <c r="RSC2471" s="63"/>
      <c r="RSD2471" s="60"/>
      <c r="RSE2471" s="60"/>
      <c r="RSF2471" s="60"/>
      <c r="RSG2471" s="63"/>
      <c r="RSH2471" s="61"/>
      <c r="RSI2471" s="54"/>
      <c r="RSJ2471" s="54"/>
      <c r="RSK2471" s="63"/>
      <c r="RSL2471" s="60"/>
      <c r="RSM2471" s="60"/>
      <c r="RSN2471" s="60"/>
      <c r="RSO2471" s="63"/>
      <c r="RSP2471" s="61"/>
      <c r="RSQ2471" s="54"/>
      <c r="RSR2471" s="54"/>
      <c r="RSS2471" s="63"/>
      <c r="RST2471" s="60"/>
      <c r="RSU2471" s="60"/>
      <c r="RSV2471" s="60"/>
      <c r="RSW2471" s="63"/>
      <c r="RSX2471" s="61"/>
      <c r="RSY2471" s="54"/>
      <c r="RSZ2471" s="54"/>
      <c r="RTA2471" s="63"/>
      <c r="RTB2471" s="60"/>
      <c r="RTC2471" s="60"/>
      <c r="RTD2471" s="60"/>
      <c r="RTE2471" s="63"/>
      <c r="RTF2471" s="61"/>
      <c r="RTG2471" s="54"/>
      <c r="RTH2471" s="54"/>
      <c r="RTI2471" s="63"/>
      <c r="RTJ2471" s="60"/>
      <c r="RTK2471" s="60"/>
      <c r="RTL2471" s="60"/>
      <c r="RTM2471" s="63"/>
      <c r="RTN2471" s="61"/>
      <c r="RTO2471" s="54"/>
      <c r="RTP2471" s="54"/>
      <c r="RTQ2471" s="63"/>
      <c r="RTR2471" s="60"/>
      <c r="RTS2471" s="60"/>
      <c r="RTT2471" s="60"/>
      <c r="RTU2471" s="63"/>
      <c r="RTV2471" s="61"/>
      <c r="RTW2471" s="54"/>
      <c r="RTX2471" s="54"/>
      <c r="RTY2471" s="63"/>
      <c r="RTZ2471" s="60"/>
      <c r="RUA2471" s="60"/>
      <c r="RUB2471" s="60"/>
      <c r="RUC2471" s="63"/>
      <c r="RUD2471" s="61"/>
      <c r="RUE2471" s="54"/>
      <c r="RUF2471" s="54"/>
      <c r="RUG2471" s="63"/>
      <c r="RUH2471" s="60"/>
      <c r="RUI2471" s="60"/>
      <c r="RUJ2471" s="60"/>
      <c r="RUK2471" s="63"/>
      <c r="RUL2471" s="61"/>
      <c r="RUM2471" s="54"/>
      <c r="RUN2471" s="54"/>
      <c r="RUO2471" s="63"/>
      <c r="RUP2471" s="60"/>
      <c r="RUQ2471" s="60"/>
      <c r="RUR2471" s="60"/>
      <c r="RUS2471" s="63"/>
      <c r="RUT2471" s="61"/>
      <c r="RUU2471" s="54"/>
      <c r="RUV2471" s="54"/>
      <c r="RUW2471" s="63"/>
      <c r="RUX2471" s="60"/>
      <c r="RUY2471" s="60"/>
      <c r="RUZ2471" s="60"/>
      <c r="RVA2471" s="63"/>
      <c r="RVB2471" s="61"/>
      <c r="RVC2471" s="54"/>
      <c r="RVD2471" s="54"/>
      <c r="RVE2471" s="63"/>
      <c r="RVF2471" s="60"/>
      <c r="RVG2471" s="60"/>
      <c r="RVH2471" s="60"/>
      <c r="RVI2471" s="63"/>
      <c r="RVJ2471" s="61"/>
      <c r="RVK2471" s="54"/>
      <c r="RVL2471" s="54"/>
      <c r="RVM2471" s="63"/>
      <c r="RVN2471" s="60"/>
      <c r="RVO2471" s="60"/>
      <c r="RVP2471" s="60"/>
      <c r="RVQ2471" s="63"/>
      <c r="RVR2471" s="61"/>
      <c r="RVS2471" s="54"/>
      <c r="RVT2471" s="54"/>
      <c r="RVU2471" s="63"/>
      <c r="RVV2471" s="60"/>
      <c r="RVW2471" s="60"/>
      <c r="RVX2471" s="60"/>
      <c r="RVY2471" s="63"/>
      <c r="RVZ2471" s="61"/>
      <c r="RWA2471" s="54"/>
      <c r="RWB2471" s="54"/>
      <c r="RWC2471" s="63"/>
      <c r="RWD2471" s="60"/>
      <c r="RWE2471" s="60"/>
      <c r="RWF2471" s="60"/>
      <c r="RWG2471" s="63"/>
      <c r="RWH2471" s="61"/>
      <c r="RWI2471" s="54"/>
      <c r="RWJ2471" s="54"/>
      <c r="RWK2471" s="63"/>
      <c r="RWL2471" s="60"/>
      <c r="RWM2471" s="60"/>
      <c r="RWN2471" s="60"/>
      <c r="RWO2471" s="63"/>
      <c r="RWP2471" s="61"/>
      <c r="RWQ2471" s="54"/>
      <c r="RWR2471" s="54"/>
      <c r="RWS2471" s="63"/>
      <c r="RWT2471" s="60"/>
      <c r="RWU2471" s="60"/>
      <c r="RWV2471" s="60"/>
      <c r="RWW2471" s="63"/>
      <c r="RWX2471" s="61"/>
      <c r="RWY2471" s="54"/>
      <c r="RWZ2471" s="54"/>
      <c r="RXA2471" s="63"/>
      <c r="RXB2471" s="60"/>
      <c r="RXC2471" s="60"/>
      <c r="RXD2471" s="60"/>
      <c r="RXE2471" s="63"/>
      <c r="RXF2471" s="61"/>
      <c r="RXG2471" s="54"/>
      <c r="RXH2471" s="54"/>
      <c r="RXI2471" s="63"/>
      <c r="RXJ2471" s="60"/>
      <c r="RXK2471" s="60"/>
      <c r="RXL2471" s="60"/>
      <c r="RXM2471" s="63"/>
      <c r="RXN2471" s="61"/>
      <c r="RXO2471" s="54"/>
      <c r="RXP2471" s="54"/>
      <c r="RXQ2471" s="63"/>
      <c r="RXR2471" s="60"/>
      <c r="RXS2471" s="60"/>
      <c r="RXT2471" s="60"/>
      <c r="RXU2471" s="63"/>
      <c r="RXV2471" s="61"/>
      <c r="RXW2471" s="54"/>
      <c r="RXX2471" s="54"/>
      <c r="RXY2471" s="63"/>
      <c r="RXZ2471" s="60"/>
      <c r="RYA2471" s="60"/>
      <c r="RYB2471" s="60"/>
      <c r="RYC2471" s="63"/>
      <c r="RYD2471" s="61"/>
      <c r="RYE2471" s="54"/>
      <c r="RYF2471" s="54"/>
      <c r="RYG2471" s="63"/>
      <c r="RYH2471" s="60"/>
      <c r="RYI2471" s="60"/>
      <c r="RYJ2471" s="60"/>
      <c r="RYK2471" s="63"/>
      <c r="RYL2471" s="61"/>
      <c r="RYM2471" s="54"/>
      <c r="RYN2471" s="54"/>
      <c r="RYO2471" s="63"/>
      <c r="RYP2471" s="60"/>
      <c r="RYQ2471" s="60"/>
      <c r="RYR2471" s="60"/>
      <c r="RYS2471" s="63"/>
      <c r="RYT2471" s="61"/>
      <c r="RYU2471" s="54"/>
      <c r="RYV2471" s="54"/>
      <c r="RYW2471" s="63"/>
      <c r="RYX2471" s="60"/>
      <c r="RYY2471" s="60"/>
      <c r="RYZ2471" s="60"/>
      <c r="RZA2471" s="63"/>
      <c r="RZB2471" s="61"/>
      <c r="RZC2471" s="54"/>
      <c r="RZD2471" s="54"/>
      <c r="RZE2471" s="63"/>
      <c r="RZF2471" s="60"/>
      <c r="RZG2471" s="60"/>
      <c r="RZH2471" s="60"/>
      <c r="RZI2471" s="63"/>
      <c r="RZJ2471" s="61"/>
      <c r="RZK2471" s="54"/>
      <c r="RZL2471" s="54"/>
      <c r="RZM2471" s="63"/>
      <c r="RZN2471" s="60"/>
      <c r="RZO2471" s="60"/>
      <c r="RZP2471" s="60"/>
      <c r="RZQ2471" s="63"/>
      <c r="RZR2471" s="61"/>
      <c r="RZS2471" s="54"/>
      <c r="RZT2471" s="54"/>
      <c r="RZU2471" s="63"/>
      <c r="RZV2471" s="60"/>
      <c r="RZW2471" s="60"/>
      <c r="RZX2471" s="60"/>
      <c r="RZY2471" s="63"/>
      <c r="RZZ2471" s="61"/>
      <c r="SAA2471" s="54"/>
      <c r="SAB2471" s="54"/>
      <c r="SAC2471" s="63"/>
      <c r="SAD2471" s="60"/>
      <c r="SAE2471" s="60"/>
      <c r="SAF2471" s="60"/>
      <c r="SAG2471" s="63"/>
      <c r="SAH2471" s="61"/>
      <c r="SAI2471" s="54"/>
      <c r="SAJ2471" s="54"/>
      <c r="SAK2471" s="63"/>
      <c r="SAL2471" s="60"/>
      <c r="SAM2471" s="60"/>
      <c r="SAN2471" s="60"/>
      <c r="SAO2471" s="63"/>
      <c r="SAP2471" s="61"/>
      <c r="SAQ2471" s="54"/>
      <c r="SAR2471" s="54"/>
      <c r="SAS2471" s="63"/>
      <c r="SAT2471" s="60"/>
      <c r="SAU2471" s="60"/>
      <c r="SAV2471" s="60"/>
      <c r="SAW2471" s="63"/>
      <c r="SAX2471" s="61"/>
      <c r="SAY2471" s="54"/>
      <c r="SAZ2471" s="54"/>
      <c r="SBA2471" s="63"/>
      <c r="SBB2471" s="60"/>
      <c r="SBC2471" s="60"/>
      <c r="SBD2471" s="60"/>
      <c r="SBE2471" s="63"/>
      <c r="SBF2471" s="61"/>
      <c r="SBG2471" s="54"/>
      <c r="SBH2471" s="54"/>
      <c r="SBI2471" s="63"/>
      <c r="SBJ2471" s="60"/>
      <c r="SBK2471" s="60"/>
      <c r="SBL2471" s="60"/>
      <c r="SBM2471" s="63"/>
      <c r="SBN2471" s="61"/>
      <c r="SBO2471" s="54"/>
      <c r="SBP2471" s="54"/>
      <c r="SBQ2471" s="63"/>
      <c r="SBR2471" s="60"/>
      <c r="SBS2471" s="60"/>
      <c r="SBT2471" s="60"/>
      <c r="SBU2471" s="63"/>
      <c r="SBV2471" s="61"/>
      <c r="SBW2471" s="54"/>
      <c r="SBX2471" s="54"/>
      <c r="SBY2471" s="63"/>
      <c r="SBZ2471" s="60"/>
      <c r="SCA2471" s="60"/>
      <c r="SCB2471" s="60"/>
      <c r="SCC2471" s="63"/>
      <c r="SCD2471" s="61"/>
      <c r="SCE2471" s="54"/>
      <c r="SCF2471" s="54"/>
      <c r="SCG2471" s="63"/>
      <c r="SCH2471" s="60"/>
      <c r="SCI2471" s="60"/>
      <c r="SCJ2471" s="60"/>
      <c r="SCK2471" s="63"/>
      <c r="SCL2471" s="61"/>
      <c r="SCM2471" s="54"/>
      <c r="SCN2471" s="54"/>
      <c r="SCO2471" s="63"/>
      <c r="SCP2471" s="60"/>
      <c r="SCQ2471" s="60"/>
      <c r="SCR2471" s="60"/>
      <c r="SCS2471" s="63"/>
      <c r="SCT2471" s="61"/>
      <c r="SCU2471" s="54"/>
      <c r="SCV2471" s="54"/>
      <c r="SCW2471" s="63"/>
      <c r="SCX2471" s="60"/>
      <c r="SCY2471" s="60"/>
      <c r="SCZ2471" s="60"/>
      <c r="SDA2471" s="63"/>
      <c r="SDB2471" s="61"/>
      <c r="SDC2471" s="54"/>
      <c r="SDD2471" s="54"/>
      <c r="SDE2471" s="63"/>
      <c r="SDF2471" s="60"/>
      <c r="SDG2471" s="60"/>
      <c r="SDH2471" s="60"/>
      <c r="SDI2471" s="63"/>
      <c r="SDJ2471" s="61"/>
      <c r="SDK2471" s="54"/>
      <c r="SDL2471" s="54"/>
      <c r="SDM2471" s="63"/>
      <c r="SDN2471" s="60"/>
      <c r="SDO2471" s="60"/>
      <c r="SDP2471" s="60"/>
      <c r="SDQ2471" s="63"/>
      <c r="SDR2471" s="61"/>
      <c r="SDS2471" s="54"/>
      <c r="SDT2471" s="54"/>
      <c r="SDU2471" s="63"/>
      <c r="SDV2471" s="60"/>
      <c r="SDW2471" s="60"/>
      <c r="SDX2471" s="60"/>
      <c r="SDY2471" s="63"/>
      <c r="SDZ2471" s="61"/>
      <c r="SEA2471" s="54"/>
      <c r="SEB2471" s="54"/>
      <c r="SEC2471" s="63"/>
      <c r="SED2471" s="60"/>
      <c r="SEE2471" s="60"/>
      <c r="SEF2471" s="60"/>
      <c r="SEG2471" s="63"/>
      <c r="SEH2471" s="61"/>
      <c r="SEI2471" s="54"/>
      <c r="SEJ2471" s="54"/>
      <c r="SEK2471" s="63"/>
      <c r="SEL2471" s="60"/>
      <c r="SEM2471" s="60"/>
      <c r="SEN2471" s="60"/>
      <c r="SEO2471" s="63"/>
      <c r="SEP2471" s="61"/>
      <c r="SEQ2471" s="54"/>
      <c r="SER2471" s="54"/>
      <c r="SES2471" s="63"/>
      <c r="SET2471" s="60"/>
      <c r="SEU2471" s="60"/>
      <c r="SEV2471" s="60"/>
      <c r="SEW2471" s="63"/>
      <c r="SEX2471" s="61"/>
      <c r="SEY2471" s="54"/>
      <c r="SEZ2471" s="54"/>
      <c r="SFA2471" s="63"/>
      <c r="SFB2471" s="60"/>
      <c r="SFC2471" s="60"/>
      <c r="SFD2471" s="60"/>
      <c r="SFE2471" s="63"/>
      <c r="SFF2471" s="61"/>
      <c r="SFG2471" s="54"/>
      <c r="SFH2471" s="54"/>
      <c r="SFI2471" s="63"/>
      <c r="SFJ2471" s="60"/>
      <c r="SFK2471" s="60"/>
      <c r="SFL2471" s="60"/>
      <c r="SFM2471" s="63"/>
      <c r="SFN2471" s="61"/>
      <c r="SFO2471" s="54"/>
      <c r="SFP2471" s="54"/>
      <c r="SFQ2471" s="63"/>
      <c r="SFR2471" s="60"/>
      <c r="SFS2471" s="60"/>
      <c r="SFT2471" s="60"/>
      <c r="SFU2471" s="63"/>
      <c r="SFV2471" s="61"/>
      <c r="SFW2471" s="54"/>
      <c r="SFX2471" s="54"/>
      <c r="SFY2471" s="63"/>
      <c r="SFZ2471" s="60"/>
      <c r="SGA2471" s="60"/>
      <c r="SGB2471" s="60"/>
      <c r="SGC2471" s="63"/>
      <c r="SGD2471" s="61"/>
      <c r="SGE2471" s="54"/>
      <c r="SGF2471" s="54"/>
      <c r="SGG2471" s="63"/>
      <c r="SGH2471" s="60"/>
      <c r="SGI2471" s="60"/>
      <c r="SGJ2471" s="60"/>
      <c r="SGK2471" s="63"/>
      <c r="SGL2471" s="61"/>
      <c r="SGM2471" s="54"/>
      <c r="SGN2471" s="54"/>
      <c r="SGO2471" s="63"/>
      <c r="SGP2471" s="60"/>
      <c r="SGQ2471" s="60"/>
      <c r="SGR2471" s="60"/>
      <c r="SGS2471" s="63"/>
      <c r="SGT2471" s="61"/>
      <c r="SGU2471" s="54"/>
      <c r="SGV2471" s="54"/>
      <c r="SGW2471" s="63"/>
      <c r="SGX2471" s="60"/>
      <c r="SGY2471" s="60"/>
      <c r="SGZ2471" s="60"/>
      <c r="SHA2471" s="63"/>
      <c r="SHB2471" s="61"/>
      <c r="SHC2471" s="54"/>
      <c r="SHD2471" s="54"/>
      <c r="SHE2471" s="63"/>
      <c r="SHF2471" s="60"/>
      <c r="SHG2471" s="60"/>
      <c r="SHH2471" s="60"/>
      <c r="SHI2471" s="63"/>
      <c r="SHJ2471" s="61"/>
      <c r="SHK2471" s="54"/>
      <c r="SHL2471" s="54"/>
      <c r="SHM2471" s="63"/>
      <c r="SHN2471" s="60"/>
      <c r="SHO2471" s="60"/>
      <c r="SHP2471" s="60"/>
      <c r="SHQ2471" s="63"/>
      <c r="SHR2471" s="61"/>
      <c r="SHS2471" s="54"/>
      <c r="SHT2471" s="54"/>
      <c r="SHU2471" s="63"/>
      <c r="SHV2471" s="60"/>
      <c r="SHW2471" s="60"/>
      <c r="SHX2471" s="60"/>
      <c r="SHY2471" s="63"/>
      <c r="SHZ2471" s="61"/>
      <c r="SIA2471" s="54"/>
      <c r="SIB2471" s="54"/>
      <c r="SIC2471" s="63"/>
      <c r="SID2471" s="60"/>
      <c r="SIE2471" s="60"/>
      <c r="SIF2471" s="60"/>
      <c r="SIG2471" s="63"/>
      <c r="SIH2471" s="61"/>
      <c r="SII2471" s="54"/>
      <c r="SIJ2471" s="54"/>
      <c r="SIK2471" s="63"/>
      <c r="SIL2471" s="60"/>
      <c r="SIM2471" s="60"/>
      <c r="SIN2471" s="60"/>
      <c r="SIO2471" s="63"/>
      <c r="SIP2471" s="61"/>
      <c r="SIQ2471" s="54"/>
      <c r="SIR2471" s="54"/>
      <c r="SIS2471" s="63"/>
      <c r="SIT2471" s="60"/>
      <c r="SIU2471" s="60"/>
      <c r="SIV2471" s="60"/>
      <c r="SIW2471" s="63"/>
      <c r="SIX2471" s="61"/>
      <c r="SIY2471" s="54"/>
      <c r="SIZ2471" s="54"/>
      <c r="SJA2471" s="63"/>
      <c r="SJB2471" s="60"/>
      <c r="SJC2471" s="60"/>
      <c r="SJD2471" s="60"/>
      <c r="SJE2471" s="63"/>
      <c r="SJF2471" s="61"/>
      <c r="SJG2471" s="54"/>
      <c r="SJH2471" s="54"/>
      <c r="SJI2471" s="63"/>
      <c r="SJJ2471" s="60"/>
      <c r="SJK2471" s="60"/>
      <c r="SJL2471" s="60"/>
      <c r="SJM2471" s="63"/>
      <c r="SJN2471" s="61"/>
      <c r="SJO2471" s="54"/>
      <c r="SJP2471" s="54"/>
      <c r="SJQ2471" s="63"/>
      <c r="SJR2471" s="60"/>
      <c r="SJS2471" s="60"/>
      <c r="SJT2471" s="60"/>
      <c r="SJU2471" s="63"/>
      <c r="SJV2471" s="61"/>
      <c r="SJW2471" s="54"/>
      <c r="SJX2471" s="54"/>
      <c r="SJY2471" s="63"/>
      <c r="SJZ2471" s="60"/>
      <c r="SKA2471" s="60"/>
      <c r="SKB2471" s="60"/>
      <c r="SKC2471" s="63"/>
      <c r="SKD2471" s="61"/>
      <c r="SKE2471" s="54"/>
      <c r="SKF2471" s="54"/>
      <c r="SKG2471" s="63"/>
      <c r="SKH2471" s="60"/>
      <c r="SKI2471" s="60"/>
      <c r="SKJ2471" s="60"/>
      <c r="SKK2471" s="63"/>
      <c r="SKL2471" s="61"/>
      <c r="SKM2471" s="54"/>
      <c r="SKN2471" s="54"/>
      <c r="SKO2471" s="63"/>
      <c r="SKP2471" s="60"/>
      <c r="SKQ2471" s="60"/>
      <c r="SKR2471" s="60"/>
      <c r="SKS2471" s="63"/>
      <c r="SKT2471" s="61"/>
      <c r="SKU2471" s="54"/>
      <c r="SKV2471" s="54"/>
      <c r="SKW2471" s="63"/>
      <c r="SKX2471" s="60"/>
      <c r="SKY2471" s="60"/>
      <c r="SKZ2471" s="60"/>
      <c r="SLA2471" s="63"/>
      <c r="SLB2471" s="61"/>
      <c r="SLC2471" s="54"/>
      <c r="SLD2471" s="54"/>
      <c r="SLE2471" s="63"/>
      <c r="SLF2471" s="60"/>
      <c r="SLG2471" s="60"/>
      <c r="SLH2471" s="60"/>
      <c r="SLI2471" s="63"/>
      <c r="SLJ2471" s="61"/>
      <c r="SLK2471" s="54"/>
      <c r="SLL2471" s="54"/>
      <c r="SLM2471" s="63"/>
      <c r="SLN2471" s="60"/>
      <c r="SLO2471" s="60"/>
      <c r="SLP2471" s="60"/>
      <c r="SLQ2471" s="63"/>
      <c r="SLR2471" s="61"/>
      <c r="SLS2471" s="54"/>
      <c r="SLT2471" s="54"/>
      <c r="SLU2471" s="63"/>
      <c r="SLV2471" s="60"/>
      <c r="SLW2471" s="60"/>
      <c r="SLX2471" s="60"/>
      <c r="SLY2471" s="63"/>
      <c r="SLZ2471" s="61"/>
      <c r="SMA2471" s="54"/>
      <c r="SMB2471" s="54"/>
      <c r="SMC2471" s="63"/>
      <c r="SMD2471" s="60"/>
      <c r="SME2471" s="60"/>
      <c r="SMF2471" s="60"/>
      <c r="SMG2471" s="63"/>
      <c r="SMH2471" s="61"/>
      <c r="SMI2471" s="54"/>
      <c r="SMJ2471" s="54"/>
      <c r="SMK2471" s="63"/>
      <c r="SML2471" s="60"/>
      <c r="SMM2471" s="60"/>
      <c r="SMN2471" s="60"/>
      <c r="SMO2471" s="63"/>
      <c r="SMP2471" s="61"/>
      <c r="SMQ2471" s="54"/>
      <c r="SMR2471" s="54"/>
      <c r="SMS2471" s="63"/>
      <c r="SMT2471" s="60"/>
      <c r="SMU2471" s="60"/>
      <c r="SMV2471" s="60"/>
      <c r="SMW2471" s="63"/>
      <c r="SMX2471" s="61"/>
      <c r="SMY2471" s="54"/>
      <c r="SMZ2471" s="54"/>
      <c r="SNA2471" s="63"/>
      <c r="SNB2471" s="60"/>
      <c r="SNC2471" s="60"/>
      <c r="SND2471" s="60"/>
      <c r="SNE2471" s="63"/>
      <c r="SNF2471" s="61"/>
      <c r="SNG2471" s="54"/>
      <c r="SNH2471" s="54"/>
      <c r="SNI2471" s="63"/>
      <c r="SNJ2471" s="60"/>
      <c r="SNK2471" s="60"/>
      <c r="SNL2471" s="60"/>
      <c r="SNM2471" s="63"/>
      <c r="SNN2471" s="61"/>
      <c r="SNO2471" s="54"/>
      <c r="SNP2471" s="54"/>
      <c r="SNQ2471" s="63"/>
      <c r="SNR2471" s="60"/>
      <c r="SNS2471" s="60"/>
      <c r="SNT2471" s="60"/>
      <c r="SNU2471" s="63"/>
      <c r="SNV2471" s="61"/>
      <c r="SNW2471" s="54"/>
      <c r="SNX2471" s="54"/>
      <c r="SNY2471" s="63"/>
      <c r="SNZ2471" s="60"/>
      <c r="SOA2471" s="60"/>
      <c r="SOB2471" s="60"/>
      <c r="SOC2471" s="63"/>
      <c r="SOD2471" s="61"/>
      <c r="SOE2471" s="54"/>
      <c r="SOF2471" s="54"/>
      <c r="SOG2471" s="63"/>
      <c r="SOH2471" s="60"/>
      <c r="SOI2471" s="60"/>
      <c r="SOJ2471" s="60"/>
      <c r="SOK2471" s="63"/>
      <c r="SOL2471" s="61"/>
      <c r="SOM2471" s="54"/>
      <c r="SON2471" s="54"/>
      <c r="SOO2471" s="63"/>
      <c r="SOP2471" s="60"/>
      <c r="SOQ2471" s="60"/>
      <c r="SOR2471" s="60"/>
      <c r="SOS2471" s="63"/>
      <c r="SOT2471" s="61"/>
      <c r="SOU2471" s="54"/>
      <c r="SOV2471" s="54"/>
      <c r="SOW2471" s="63"/>
      <c r="SOX2471" s="60"/>
      <c r="SOY2471" s="60"/>
      <c r="SOZ2471" s="60"/>
      <c r="SPA2471" s="63"/>
      <c r="SPB2471" s="61"/>
      <c r="SPC2471" s="54"/>
      <c r="SPD2471" s="54"/>
      <c r="SPE2471" s="63"/>
      <c r="SPF2471" s="60"/>
      <c r="SPG2471" s="60"/>
      <c r="SPH2471" s="60"/>
      <c r="SPI2471" s="63"/>
      <c r="SPJ2471" s="61"/>
      <c r="SPK2471" s="54"/>
      <c r="SPL2471" s="54"/>
      <c r="SPM2471" s="63"/>
      <c r="SPN2471" s="60"/>
      <c r="SPO2471" s="60"/>
      <c r="SPP2471" s="60"/>
      <c r="SPQ2471" s="63"/>
      <c r="SPR2471" s="61"/>
      <c r="SPS2471" s="54"/>
      <c r="SPT2471" s="54"/>
      <c r="SPU2471" s="63"/>
      <c r="SPV2471" s="60"/>
      <c r="SPW2471" s="60"/>
      <c r="SPX2471" s="60"/>
      <c r="SPY2471" s="63"/>
      <c r="SPZ2471" s="61"/>
      <c r="SQA2471" s="54"/>
      <c r="SQB2471" s="54"/>
      <c r="SQC2471" s="63"/>
      <c r="SQD2471" s="60"/>
      <c r="SQE2471" s="60"/>
      <c r="SQF2471" s="60"/>
      <c r="SQG2471" s="63"/>
      <c r="SQH2471" s="61"/>
      <c r="SQI2471" s="54"/>
      <c r="SQJ2471" s="54"/>
      <c r="SQK2471" s="63"/>
      <c r="SQL2471" s="60"/>
      <c r="SQM2471" s="60"/>
      <c r="SQN2471" s="60"/>
      <c r="SQO2471" s="63"/>
      <c r="SQP2471" s="61"/>
      <c r="SQQ2471" s="54"/>
      <c r="SQR2471" s="54"/>
      <c r="SQS2471" s="63"/>
      <c r="SQT2471" s="60"/>
      <c r="SQU2471" s="60"/>
      <c r="SQV2471" s="60"/>
      <c r="SQW2471" s="63"/>
      <c r="SQX2471" s="61"/>
      <c r="SQY2471" s="54"/>
      <c r="SQZ2471" s="54"/>
      <c r="SRA2471" s="63"/>
      <c r="SRB2471" s="60"/>
      <c r="SRC2471" s="60"/>
      <c r="SRD2471" s="60"/>
      <c r="SRE2471" s="63"/>
      <c r="SRF2471" s="61"/>
      <c r="SRG2471" s="54"/>
      <c r="SRH2471" s="54"/>
      <c r="SRI2471" s="63"/>
      <c r="SRJ2471" s="60"/>
      <c r="SRK2471" s="60"/>
      <c r="SRL2471" s="60"/>
      <c r="SRM2471" s="63"/>
      <c r="SRN2471" s="61"/>
      <c r="SRO2471" s="54"/>
      <c r="SRP2471" s="54"/>
      <c r="SRQ2471" s="63"/>
      <c r="SRR2471" s="60"/>
      <c r="SRS2471" s="60"/>
      <c r="SRT2471" s="60"/>
      <c r="SRU2471" s="63"/>
      <c r="SRV2471" s="61"/>
      <c r="SRW2471" s="54"/>
      <c r="SRX2471" s="54"/>
      <c r="SRY2471" s="63"/>
      <c r="SRZ2471" s="60"/>
      <c r="SSA2471" s="60"/>
      <c r="SSB2471" s="60"/>
      <c r="SSC2471" s="63"/>
      <c r="SSD2471" s="61"/>
      <c r="SSE2471" s="54"/>
      <c r="SSF2471" s="54"/>
      <c r="SSG2471" s="63"/>
      <c r="SSH2471" s="60"/>
      <c r="SSI2471" s="60"/>
      <c r="SSJ2471" s="60"/>
      <c r="SSK2471" s="63"/>
      <c r="SSL2471" s="61"/>
      <c r="SSM2471" s="54"/>
      <c r="SSN2471" s="54"/>
      <c r="SSO2471" s="63"/>
      <c r="SSP2471" s="60"/>
      <c r="SSQ2471" s="60"/>
      <c r="SSR2471" s="60"/>
      <c r="SSS2471" s="63"/>
      <c r="SST2471" s="61"/>
      <c r="SSU2471" s="54"/>
      <c r="SSV2471" s="54"/>
      <c r="SSW2471" s="63"/>
      <c r="SSX2471" s="60"/>
      <c r="SSY2471" s="60"/>
      <c r="SSZ2471" s="60"/>
      <c r="STA2471" s="63"/>
      <c r="STB2471" s="61"/>
      <c r="STC2471" s="54"/>
      <c r="STD2471" s="54"/>
      <c r="STE2471" s="63"/>
      <c r="STF2471" s="60"/>
      <c r="STG2471" s="60"/>
      <c r="STH2471" s="60"/>
      <c r="STI2471" s="63"/>
      <c r="STJ2471" s="61"/>
      <c r="STK2471" s="54"/>
      <c r="STL2471" s="54"/>
      <c r="STM2471" s="63"/>
      <c r="STN2471" s="60"/>
      <c r="STO2471" s="60"/>
      <c r="STP2471" s="60"/>
      <c r="STQ2471" s="63"/>
      <c r="STR2471" s="61"/>
      <c r="STS2471" s="54"/>
      <c r="STT2471" s="54"/>
      <c r="STU2471" s="63"/>
      <c r="STV2471" s="60"/>
      <c r="STW2471" s="60"/>
      <c r="STX2471" s="60"/>
      <c r="STY2471" s="63"/>
      <c r="STZ2471" s="61"/>
      <c r="SUA2471" s="54"/>
      <c r="SUB2471" s="54"/>
      <c r="SUC2471" s="63"/>
      <c r="SUD2471" s="60"/>
      <c r="SUE2471" s="60"/>
      <c r="SUF2471" s="60"/>
      <c r="SUG2471" s="63"/>
      <c r="SUH2471" s="61"/>
      <c r="SUI2471" s="54"/>
      <c r="SUJ2471" s="54"/>
      <c r="SUK2471" s="63"/>
      <c r="SUL2471" s="60"/>
      <c r="SUM2471" s="60"/>
      <c r="SUN2471" s="60"/>
      <c r="SUO2471" s="63"/>
      <c r="SUP2471" s="61"/>
      <c r="SUQ2471" s="54"/>
      <c r="SUR2471" s="54"/>
      <c r="SUS2471" s="63"/>
      <c r="SUT2471" s="60"/>
      <c r="SUU2471" s="60"/>
      <c r="SUV2471" s="60"/>
      <c r="SUW2471" s="63"/>
      <c r="SUX2471" s="61"/>
      <c r="SUY2471" s="54"/>
      <c r="SUZ2471" s="54"/>
      <c r="SVA2471" s="63"/>
      <c r="SVB2471" s="60"/>
      <c r="SVC2471" s="60"/>
      <c r="SVD2471" s="60"/>
      <c r="SVE2471" s="63"/>
      <c r="SVF2471" s="61"/>
      <c r="SVG2471" s="54"/>
      <c r="SVH2471" s="54"/>
      <c r="SVI2471" s="63"/>
      <c r="SVJ2471" s="60"/>
      <c r="SVK2471" s="60"/>
      <c r="SVL2471" s="60"/>
      <c r="SVM2471" s="63"/>
      <c r="SVN2471" s="61"/>
      <c r="SVO2471" s="54"/>
      <c r="SVP2471" s="54"/>
      <c r="SVQ2471" s="63"/>
      <c r="SVR2471" s="60"/>
      <c r="SVS2471" s="60"/>
      <c r="SVT2471" s="60"/>
      <c r="SVU2471" s="63"/>
      <c r="SVV2471" s="61"/>
      <c r="SVW2471" s="54"/>
      <c r="SVX2471" s="54"/>
      <c r="SVY2471" s="63"/>
      <c r="SVZ2471" s="60"/>
      <c r="SWA2471" s="60"/>
      <c r="SWB2471" s="60"/>
      <c r="SWC2471" s="63"/>
      <c r="SWD2471" s="61"/>
      <c r="SWE2471" s="54"/>
      <c r="SWF2471" s="54"/>
      <c r="SWG2471" s="63"/>
      <c r="SWH2471" s="60"/>
      <c r="SWI2471" s="60"/>
      <c r="SWJ2471" s="60"/>
      <c r="SWK2471" s="63"/>
      <c r="SWL2471" s="61"/>
      <c r="SWM2471" s="54"/>
      <c r="SWN2471" s="54"/>
      <c r="SWO2471" s="63"/>
      <c r="SWP2471" s="60"/>
      <c r="SWQ2471" s="60"/>
      <c r="SWR2471" s="60"/>
      <c r="SWS2471" s="63"/>
      <c r="SWT2471" s="61"/>
      <c r="SWU2471" s="54"/>
      <c r="SWV2471" s="54"/>
      <c r="SWW2471" s="63"/>
      <c r="SWX2471" s="60"/>
      <c r="SWY2471" s="60"/>
      <c r="SWZ2471" s="60"/>
      <c r="SXA2471" s="63"/>
      <c r="SXB2471" s="61"/>
      <c r="SXC2471" s="54"/>
      <c r="SXD2471" s="54"/>
      <c r="SXE2471" s="63"/>
      <c r="SXF2471" s="60"/>
      <c r="SXG2471" s="60"/>
      <c r="SXH2471" s="60"/>
      <c r="SXI2471" s="63"/>
      <c r="SXJ2471" s="61"/>
      <c r="SXK2471" s="54"/>
      <c r="SXL2471" s="54"/>
      <c r="SXM2471" s="63"/>
      <c r="SXN2471" s="60"/>
      <c r="SXO2471" s="60"/>
      <c r="SXP2471" s="60"/>
      <c r="SXQ2471" s="63"/>
      <c r="SXR2471" s="61"/>
      <c r="SXS2471" s="54"/>
      <c r="SXT2471" s="54"/>
      <c r="SXU2471" s="63"/>
      <c r="SXV2471" s="60"/>
      <c r="SXW2471" s="60"/>
      <c r="SXX2471" s="60"/>
      <c r="SXY2471" s="63"/>
      <c r="SXZ2471" s="61"/>
      <c r="SYA2471" s="54"/>
      <c r="SYB2471" s="54"/>
      <c r="SYC2471" s="63"/>
      <c r="SYD2471" s="60"/>
      <c r="SYE2471" s="60"/>
      <c r="SYF2471" s="60"/>
      <c r="SYG2471" s="63"/>
      <c r="SYH2471" s="61"/>
      <c r="SYI2471" s="54"/>
      <c r="SYJ2471" s="54"/>
      <c r="SYK2471" s="63"/>
      <c r="SYL2471" s="60"/>
      <c r="SYM2471" s="60"/>
      <c r="SYN2471" s="60"/>
      <c r="SYO2471" s="63"/>
      <c r="SYP2471" s="61"/>
      <c r="SYQ2471" s="54"/>
      <c r="SYR2471" s="54"/>
      <c r="SYS2471" s="63"/>
      <c r="SYT2471" s="60"/>
      <c r="SYU2471" s="60"/>
      <c r="SYV2471" s="60"/>
      <c r="SYW2471" s="63"/>
      <c r="SYX2471" s="61"/>
      <c r="SYY2471" s="54"/>
      <c r="SYZ2471" s="54"/>
      <c r="SZA2471" s="63"/>
      <c r="SZB2471" s="60"/>
      <c r="SZC2471" s="60"/>
      <c r="SZD2471" s="60"/>
      <c r="SZE2471" s="63"/>
      <c r="SZF2471" s="61"/>
      <c r="SZG2471" s="54"/>
      <c r="SZH2471" s="54"/>
      <c r="SZI2471" s="63"/>
      <c r="SZJ2471" s="60"/>
      <c r="SZK2471" s="60"/>
      <c r="SZL2471" s="60"/>
      <c r="SZM2471" s="63"/>
      <c r="SZN2471" s="61"/>
      <c r="SZO2471" s="54"/>
      <c r="SZP2471" s="54"/>
      <c r="SZQ2471" s="63"/>
      <c r="SZR2471" s="60"/>
      <c r="SZS2471" s="60"/>
      <c r="SZT2471" s="60"/>
      <c r="SZU2471" s="63"/>
      <c r="SZV2471" s="61"/>
      <c r="SZW2471" s="54"/>
      <c r="SZX2471" s="54"/>
      <c r="SZY2471" s="63"/>
      <c r="SZZ2471" s="60"/>
      <c r="TAA2471" s="60"/>
      <c r="TAB2471" s="60"/>
      <c r="TAC2471" s="63"/>
      <c r="TAD2471" s="61"/>
      <c r="TAE2471" s="54"/>
      <c r="TAF2471" s="54"/>
      <c r="TAG2471" s="63"/>
      <c r="TAH2471" s="60"/>
      <c r="TAI2471" s="60"/>
      <c r="TAJ2471" s="60"/>
      <c r="TAK2471" s="63"/>
      <c r="TAL2471" s="61"/>
      <c r="TAM2471" s="54"/>
      <c r="TAN2471" s="54"/>
      <c r="TAO2471" s="63"/>
      <c r="TAP2471" s="60"/>
      <c r="TAQ2471" s="60"/>
      <c r="TAR2471" s="60"/>
      <c r="TAS2471" s="63"/>
      <c r="TAT2471" s="61"/>
      <c r="TAU2471" s="54"/>
      <c r="TAV2471" s="54"/>
      <c r="TAW2471" s="63"/>
      <c r="TAX2471" s="60"/>
      <c r="TAY2471" s="60"/>
      <c r="TAZ2471" s="60"/>
      <c r="TBA2471" s="63"/>
      <c r="TBB2471" s="61"/>
      <c r="TBC2471" s="54"/>
      <c r="TBD2471" s="54"/>
      <c r="TBE2471" s="63"/>
      <c r="TBF2471" s="60"/>
      <c r="TBG2471" s="60"/>
      <c r="TBH2471" s="60"/>
      <c r="TBI2471" s="63"/>
      <c r="TBJ2471" s="61"/>
      <c r="TBK2471" s="54"/>
      <c r="TBL2471" s="54"/>
      <c r="TBM2471" s="63"/>
      <c r="TBN2471" s="60"/>
      <c r="TBO2471" s="60"/>
      <c r="TBP2471" s="60"/>
      <c r="TBQ2471" s="63"/>
      <c r="TBR2471" s="61"/>
      <c r="TBS2471" s="54"/>
      <c r="TBT2471" s="54"/>
      <c r="TBU2471" s="63"/>
      <c r="TBV2471" s="60"/>
      <c r="TBW2471" s="60"/>
      <c r="TBX2471" s="60"/>
      <c r="TBY2471" s="63"/>
      <c r="TBZ2471" s="61"/>
      <c r="TCA2471" s="54"/>
      <c r="TCB2471" s="54"/>
      <c r="TCC2471" s="63"/>
      <c r="TCD2471" s="60"/>
      <c r="TCE2471" s="60"/>
      <c r="TCF2471" s="60"/>
      <c r="TCG2471" s="63"/>
      <c r="TCH2471" s="61"/>
      <c r="TCI2471" s="54"/>
      <c r="TCJ2471" s="54"/>
      <c r="TCK2471" s="63"/>
      <c r="TCL2471" s="60"/>
      <c r="TCM2471" s="60"/>
      <c r="TCN2471" s="60"/>
      <c r="TCO2471" s="63"/>
      <c r="TCP2471" s="61"/>
      <c r="TCQ2471" s="54"/>
      <c r="TCR2471" s="54"/>
      <c r="TCS2471" s="63"/>
      <c r="TCT2471" s="60"/>
      <c r="TCU2471" s="60"/>
      <c r="TCV2471" s="60"/>
      <c r="TCW2471" s="63"/>
      <c r="TCX2471" s="61"/>
      <c r="TCY2471" s="54"/>
      <c r="TCZ2471" s="54"/>
      <c r="TDA2471" s="63"/>
      <c r="TDB2471" s="60"/>
      <c r="TDC2471" s="60"/>
      <c r="TDD2471" s="60"/>
      <c r="TDE2471" s="63"/>
      <c r="TDF2471" s="61"/>
      <c r="TDG2471" s="54"/>
      <c r="TDH2471" s="54"/>
      <c r="TDI2471" s="63"/>
      <c r="TDJ2471" s="60"/>
      <c r="TDK2471" s="60"/>
      <c r="TDL2471" s="60"/>
      <c r="TDM2471" s="63"/>
      <c r="TDN2471" s="61"/>
      <c r="TDO2471" s="54"/>
      <c r="TDP2471" s="54"/>
      <c r="TDQ2471" s="63"/>
      <c r="TDR2471" s="60"/>
      <c r="TDS2471" s="60"/>
      <c r="TDT2471" s="60"/>
      <c r="TDU2471" s="63"/>
      <c r="TDV2471" s="61"/>
      <c r="TDW2471" s="54"/>
      <c r="TDX2471" s="54"/>
      <c r="TDY2471" s="63"/>
      <c r="TDZ2471" s="60"/>
      <c r="TEA2471" s="60"/>
      <c r="TEB2471" s="60"/>
      <c r="TEC2471" s="63"/>
      <c r="TED2471" s="61"/>
      <c r="TEE2471" s="54"/>
      <c r="TEF2471" s="54"/>
      <c r="TEG2471" s="63"/>
      <c r="TEH2471" s="60"/>
      <c r="TEI2471" s="60"/>
      <c r="TEJ2471" s="60"/>
      <c r="TEK2471" s="63"/>
      <c r="TEL2471" s="61"/>
      <c r="TEM2471" s="54"/>
      <c r="TEN2471" s="54"/>
      <c r="TEO2471" s="63"/>
      <c r="TEP2471" s="60"/>
      <c r="TEQ2471" s="60"/>
      <c r="TER2471" s="60"/>
      <c r="TES2471" s="63"/>
      <c r="TET2471" s="61"/>
      <c r="TEU2471" s="54"/>
      <c r="TEV2471" s="54"/>
      <c r="TEW2471" s="63"/>
      <c r="TEX2471" s="60"/>
      <c r="TEY2471" s="60"/>
      <c r="TEZ2471" s="60"/>
      <c r="TFA2471" s="63"/>
      <c r="TFB2471" s="61"/>
      <c r="TFC2471" s="54"/>
      <c r="TFD2471" s="54"/>
      <c r="TFE2471" s="63"/>
      <c r="TFF2471" s="60"/>
      <c r="TFG2471" s="60"/>
      <c r="TFH2471" s="60"/>
      <c r="TFI2471" s="63"/>
      <c r="TFJ2471" s="61"/>
      <c r="TFK2471" s="54"/>
      <c r="TFL2471" s="54"/>
      <c r="TFM2471" s="63"/>
      <c r="TFN2471" s="60"/>
      <c r="TFO2471" s="60"/>
      <c r="TFP2471" s="60"/>
      <c r="TFQ2471" s="63"/>
      <c r="TFR2471" s="61"/>
      <c r="TFS2471" s="54"/>
      <c r="TFT2471" s="54"/>
      <c r="TFU2471" s="63"/>
      <c r="TFV2471" s="60"/>
      <c r="TFW2471" s="60"/>
      <c r="TFX2471" s="60"/>
      <c r="TFY2471" s="63"/>
      <c r="TFZ2471" s="61"/>
      <c r="TGA2471" s="54"/>
      <c r="TGB2471" s="54"/>
      <c r="TGC2471" s="63"/>
      <c r="TGD2471" s="60"/>
      <c r="TGE2471" s="60"/>
      <c r="TGF2471" s="60"/>
      <c r="TGG2471" s="63"/>
      <c r="TGH2471" s="61"/>
      <c r="TGI2471" s="54"/>
      <c r="TGJ2471" s="54"/>
      <c r="TGK2471" s="63"/>
      <c r="TGL2471" s="60"/>
      <c r="TGM2471" s="60"/>
      <c r="TGN2471" s="60"/>
      <c r="TGO2471" s="63"/>
      <c r="TGP2471" s="61"/>
      <c r="TGQ2471" s="54"/>
      <c r="TGR2471" s="54"/>
      <c r="TGS2471" s="63"/>
      <c r="TGT2471" s="60"/>
      <c r="TGU2471" s="60"/>
      <c r="TGV2471" s="60"/>
      <c r="TGW2471" s="63"/>
      <c r="TGX2471" s="61"/>
      <c r="TGY2471" s="54"/>
      <c r="TGZ2471" s="54"/>
      <c r="THA2471" s="63"/>
      <c r="THB2471" s="60"/>
      <c r="THC2471" s="60"/>
      <c r="THD2471" s="60"/>
      <c r="THE2471" s="63"/>
      <c r="THF2471" s="61"/>
      <c r="THG2471" s="54"/>
      <c r="THH2471" s="54"/>
      <c r="THI2471" s="63"/>
      <c r="THJ2471" s="60"/>
      <c r="THK2471" s="60"/>
      <c r="THL2471" s="60"/>
      <c r="THM2471" s="63"/>
      <c r="THN2471" s="61"/>
      <c r="THO2471" s="54"/>
      <c r="THP2471" s="54"/>
      <c r="THQ2471" s="63"/>
      <c r="THR2471" s="60"/>
      <c r="THS2471" s="60"/>
      <c r="THT2471" s="60"/>
      <c r="THU2471" s="63"/>
      <c r="THV2471" s="61"/>
      <c r="THW2471" s="54"/>
      <c r="THX2471" s="54"/>
      <c r="THY2471" s="63"/>
      <c r="THZ2471" s="60"/>
      <c r="TIA2471" s="60"/>
      <c r="TIB2471" s="60"/>
      <c r="TIC2471" s="63"/>
      <c r="TID2471" s="61"/>
      <c r="TIE2471" s="54"/>
      <c r="TIF2471" s="54"/>
      <c r="TIG2471" s="63"/>
      <c r="TIH2471" s="60"/>
      <c r="TII2471" s="60"/>
      <c r="TIJ2471" s="60"/>
      <c r="TIK2471" s="63"/>
      <c r="TIL2471" s="61"/>
      <c r="TIM2471" s="54"/>
      <c r="TIN2471" s="54"/>
      <c r="TIO2471" s="63"/>
      <c r="TIP2471" s="60"/>
      <c r="TIQ2471" s="60"/>
      <c r="TIR2471" s="60"/>
      <c r="TIS2471" s="63"/>
      <c r="TIT2471" s="61"/>
      <c r="TIU2471" s="54"/>
      <c r="TIV2471" s="54"/>
      <c r="TIW2471" s="63"/>
      <c r="TIX2471" s="60"/>
      <c r="TIY2471" s="60"/>
      <c r="TIZ2471" s="60"/>
      <c r="TJA2471" s="63"/>
      <c r="TJB2471" s="61"/>
      <c r="TJC2471" s="54"/>
      <c r="TJD2471" s="54"/>
      <c r="TJE2471" s="63"/>
      <c r="TJF2471" s="60"/>
      <c r="TJG2471" s="60"/>
      <c r="TJH2471" s="60"/>
      <c r="TJI2471" s="63"/>
      <c r="TJJ2471" s="61"/>
      <c r="TJK2471" s="54"/>
      <c r="TJL2471" s="54"/>
      <c r="TJM2471" s="63"/>
      <c r="TJN2471" s="60"/>
      <c r="TJO2471" s="60"/>
      <c r="TJP2471" s="60"/>
      <c r="TJQ2471" s="63"/>
      <c r="TJR2471" s="61"/>
      <c r="TJS2471" s="54"/>
      <c r="TJT2471" s="54"/>
      <c r="TJU2471" s="63"/>
      <c r="TJV2471" s="60"/>
      <c r="TJW2471" s="60"/>
      <c r="TJX2471" s="60"/>
      <c r="TJY2471" s="63"/>
      <c r="TJZ2471" s="61"/>
      <c r="TKA2471" s="54"/>
      <c r="TKB2471" s="54"/>
      <c r="TKC2471" s="63"/>
      <c r="TKD2471" s="60"/>
      <c r="TKE2471" s="60"/>
      <c r="TKF2471" s="60"/>
      <c r="TKG2471" s="63"/>
      <c r="TKH2471" s="61"/>
      <c r="TKI2471" s="54"/>
      <c r="TKJ2471" s="54"/>
      <c r="TKK2471" s="63"/>
      <c r="TKL2471" s="60"/>
      <c r="TKM2471" s="60"/>
      <c r="TKN2471" s="60"/>
      <c r="TKO2471" s="63"/>
      <c r="TKP2471" s="61"/>
      <c r="TKQ2471" s="54"/>
      <c r="TKR2471" s="54"/>
      <c r="TKS2471" s="63"/>
      <c r="TKT2471" s="60"/>
      <c r="TKU2471" s="60"/>
      <c r="TKV2471" s="60"/>
      <c r="TKW2471" s="63"/>
      <c r="TKX2471" s="61"/>
      <c r="TKY2471" s="54"/>
      <c r="TKZ2471" s="54"/>
      <c r="TLA2471" s="63"/>
      <c r="TLB2471" s="60"/>
      <c r="TLC2471" s="60"/>
      <c r="TLD2471" s="60"/>
      <c r="TLE2471" s="63"/>
      <c r="TLF2471" s="61"/>
      <c r="TLG2471" s="54"/>
      <c r="TLH2471" s="54"/>
      <c r="TLI2471" s="63"/>
      <c r="TLJ2471" s="60"/>
      <c r="TLK2471" s="60"/>
      <c r="TLL2471" s="60"/>
      <c r="TLM2471" s="63"/>
      <c r="TLN2471" s="61"/>
      <c r="TLO2471" s="54"/>
      <c r="TLP2471" s="54"/>
      <c r="TLQ2471" s="63"/>
      <c r="TLR2471" s="60"/>
      <c r="TLS2471" s="60"/>
      <c r="TLT2471" s="60"/>
      <c r="TLU2471" s="63"/>
      <c r="TLV2471" s="61"/>
      <c r="TLW2471" s="54"/>
      <c r="TLX2471" s="54"/>
      <c r="TLY2471" s="63"/>
      <c r="TLZ2471" s="60"/>
      <c r="TMA2471" s="60"/>
      <c r="TMB2471" s="60"/>
      <c r="TMC2471" s="63"/>
      <c r="TMD2471" s="61"/>
      <c r="TME2471" s="54"/>
      <c r="TMF2471" s="54"/>
      <c r="TMG2471" s="63"/>
      <c r="TMH2471" s="60"/>
      <c r="TMI2471" s="60"/>
      <c r="TMJ2471" s="60"/>
      <c r="TMK2471" s="63"/>
      <c r="TML2471" s="61"/>
      <c r="TMM2471" s="54"/>
      <c r="TMN2471" s="54"/>
      <c r="TMO2471" s="63"/>
      <c r="TMP2471" s="60"/>
      <c r="TMQ2471" s="60"/>
      <c r="TMR2471" s="60"/>
      <c r="TMS2471" s="63"/>
      <c r="TMT2471" s="61"/>
      <c r="TMU2471" s="54"/>
      <c r="TMV2471" s="54"/>
      <c r="TMW2471" s="63"/>
      <c r="TMX2471" s="60"/>
      <c r="TMY2471" s="60"/>
      <c r="TMZ2471" s="60"/>
      <c r="TNA2471" s="63"/>
      <c r="TNB2471" s="61"/>
      <c r="TNC2471" s="54"/>
      <c r="TND2471" s="54"/>
      <c r="TNE2471" s="63"/>
      <c r="TNF2471" s="60"/>
      <c r="TNG2471" s="60"/>
      <c r="TNH2471" s="60"/>
      <c r="TNI2471" s="63"/>
      <c r="TNJ2471" s="61"/>
      <c r="TNK2471" s="54"/>
      <c r="TNL2471" s="54"/>
      <c r="TNM2471" s="63"/>
      <c r="TNN2471" s="60"/>
      <c r="TNO2471" s="60"/>
      <c r="TNP2471" s="60"/>
      <c r="TNQ2471" s="63"/>
      <c r="TNR2471" s="61"/>
      <c r="TNS2471" s="54"/>
      <c r="TNT2471" s="54"/>
      <c r="TNU2471" s="63"/>
      <c r="TNV2471" s="60"/>
      <c r="TNW2471" s="60"/>
      <c r="TNX2471" s="60"/>
      <c r="TNY2471" s="63"/>
      <c r="TNZ2471" s="61"/>
      <c r="TOA2471" s="54"/>
      <c r="TOB2471" s="54"/>
      <c r="TOC2471" s="63"/>
      <c r="TOD2471" s="60"/>
      <c r="TOE2471" s="60"/>
      <c r="TOF2471" s="60"/>
      <c r="TOG2471" s="63"/>
      <c r="TOH2471" s="61"/>
      <c r="TOI2471" s="54"/>
      <c r="TOJ2471" s="54"/>
      <c r="TOK2471" s="63"/>
      <c r="TOL2471" s="60"/>
      <c r="TOM2471" s="60"/>
      <c r="TON2471" s="60"/>
      <c r="TOO2471" s="63"/>
      <c r="TOP2471" s="61"/>
      <c r="TOQ2471" s="54"/>
      <c r="TOR2471" s="54"/>
      <c r="TOS2471" s="63"/>
      <c r="TOT2471" s="60"/>
      <c r="TOU2471" s="60"/>
      <c r="TOV2471" s="60"/>
      <c r="TOW2471" s="63"/>
      <c r="TOX2471" s="61"/>
      <c r="TOY2471" s="54"/>
      <c r="TOZ2471" s="54"/>
      <c r="TPA2471" s="63"/>
      <c r="TPB2471" s="60"/>
      <c r="TPC2471" s="60"/>
      <c r="TPD2471" s="60"/>
      <c r="TPE2471" s="63"/>
      <c r="TPF2471" s="61"/>
      <c r="TPG2471" s="54"/>
      <c r="TPH2471" s="54"/>
      <c r="TPI2471" s="63"/>
      <c r="TPJ2471" s="60"/>
      <c r="TPK2471" s="60"/>
      <c r="TPL2471" s="60"/>
      <c r="TPM2471" s="63"/>
      <c r="TPN2471" s="61"/>
      <c r="TPO2471" s="54"/>
      <c r="TPP2471" s="54"/>
      <c r="TPQ2471" s="63"/>
      <c r="TPR2471" s="60"/>
      <c r="TPS2471" s="60"/>
      <c r="TPT2471" s="60"/>
      <c r="TPU2471" s="63"/>
      <c r="TPV2471" s="61"/>
      <c r="TPW2471" s="54"/>
      <c r="TPX2471" s="54"/>
      <c r="TPY2471" s="63"/>
      <c r="TPZ2471" s="60"/>
      <c r="TQA2471" s="60"/>
      <c r="TQB2471" s="60"/>
      <c r="TQC2471" s="63"/>
      <c r="TQD2471" s="61"/>
      <c r="TQE2471" s="54"/>
      <c r="TQF2471" s="54"/>
      <c r="TQG2471" s="63"/>
      <c r="TQH2471" s="60"/>
      <c r="TQI2471" s="60"/>
      <c r="TQJ2471" s="60"/>
      <c r="TQK2471" s="63"/>
      <c r="TQL2471" s="61"/>
      <c r="TQM2471" s="54"/>
      <c r="TQN2471" s="54"/>
      <c r="TQO2471" s="63"/>
      <c r="TQP2471" s="60"/>
      <c r="TQQ2471" s="60"/>
      <c r="TQR2471" s="60"/>
      <c r="TQS2471" s="63"/>
      <c r="TQT2471" s="61"/>
      <c r="TQU2471" s="54"/>
      <c r="TQV2471" s="54"/>
      <c r="TQW2471" s="63"/>
      <c r="TQX2471" s="60"/>
      <c r="TQY2471" s="60"/>
      <c r="TQZ2471" s="60"/>
      <c r="TRA2471" s="63"/>
      <c r="TRB2471" s="61"/>
      <c r="TRC2471" s="54"/>
      <c r="TRD2471" s="54"/>
      <c r="TRE2471" s="63"/>
      <c r="TRF2471" s="60"/>
      <c r="TRG2471" s="60"/>
      <c r="TRH2471" s="60"/>
      <c r="TRI2471" s="63"/>
      <c r="TRJ2471" s="61"/>
      <c r="TRK2471" s="54"/>
      <c r="TRL2471" s="54"/>
      <c r="TRM2471" s="63"/>
      <c r="TRN2471" s="60"/>
      <c r="TRO2471" s="60"/>
      <c r="TRP2471" s="60"/>
      <c r="TRQ2471" s="63"/>
      <c r="TRR2471" s="61"/>
      <c r="TRS2471" s="54"/>
      <c r="TRT2471" s="54"/>
      <c r="TRU2471" s="63"/>
      <c r="TRV2471" s="60"/>
      <c r="TRW2471" s="60"/>
      <c r="TRX2471" s="60"/>
      <c r="TRY2471" s="63"/>
      <c r="TRZ2471" s="61"/>
      <c r="TSA2471" s="54"/>
      <c r="TSB2471" s="54"/>
      <c r="TSC2471" s="63"/>
      <c r="TSD2471" s="60"/>
      <c r="TSE2471" s="60"/>
      <c r="TSF2471" s="60"/>
      <c r="TSG2471" s="63"/>
      <c r="TSH2471" s="61"/>
      <c r="TSI2471" s="54"/>
      <c r="TSJ2471" s="54"/>
      <c r="TSK2471" s="63"/>
      <c r="TSL2471" s="60"/>
      <c r="TSM2471" s="60"/>
      <c r="TSN2471" s="60"/>
      <c r="TSO2471" s="63"/>
      <c r="TSP2471" s="61"/>
      <c r="TSQ2471" s="54"/>
      <c r="TSR2471" s="54"/>
      <c r="TSS2471" s="63"/>
      <c r="TST2471" s="60"/>
      <c r="TSU2471" s="60"/>
      <c r="TSV2471" s="60"/>
      <c r="TSW2471" s="63"/>
      <c r="TSX2471" s="61"/>
      <c r="TSY2471" s="54"/>
      <c r="TSZ2471" s="54"/>
      <c r="TTA2471" s="63"/>
      <c r="TTB2471" s="60"/>
      <c r="TTC2471" s="60"/>
      <c r="TTD2471" s="60"/>
      <c r="TTE2471" s="63"/>
      <c r="TTF2471" s="61"/>
      <c r="TTG2471" s="54"/>
      <c r="TTH2471" s="54"/>
      <c r="TTI2471" s="63"/>
      <c r="TTJ2471" s="60"/>
      <c r="TTK2471" s="60"/>
      <c r="TTL2471" s="60"/>
      <c r="TTM2471" s="63"/>
      <c r="TTN2471" s="61"/>
      <c r="TTO2471" s="54"/>
      <c r="TTP2471" s="54"/>
      <c r="TTQ2471" s="63"/>
      <c r="TTR2471" s="60"/>
      <c r="TTS2471" s="60"/>
      <c r="TTT2471" s="60"/>
      <c r="TTU2471" s="63"/>
      <c r="TTV2471" s="61"/>
      <c r="TTW2471" s="54"/>
      <c r="TTX2471" s="54"/>
      <c r="TTY2471" s="63"/>
      <c r="TTZ2471" s="60"/>
      <c r="TUA2471" s="60"/>
      <c r="TUB2471" s="60"/>
      <c r="TUC2471" s="63"/>
      <c r="TUD2471" s="61"/>
      <c r="TUE2471" s="54"/>
      <c r="TUF2471" s="54"/>
      <c r="TUG2471" s="63"/>
      <c r="TUH2471" s="60"/>
      <c r="TUI2471" s="60"/>
      <c r="TUJ2471" s="60"/>
      <c r="TUK2471" s="63"/>
      <c r="TUL2471" s="61"/>
      <c r="TUM2471" s="54"/>
      <c r="TUN2471" s="54"/>
      <c r="TUO2471" s="63"/>
      <c r="TUP2471" s="60"/>
      <c r="TUQ2471" s="60"/>
      <c r="TUR2471" s="60"/>
      <c r="TUS2471" s="63"/>
      <c r="TUT2471" s="61"/>
      <c r="TUU2471" s="54"/>
      <c r="TUV2471" s="54"/>
      <c r="TUW2471" s="63"/>
      <c r="TUX2471" s="60"/>
      <c r="TUY2471" s="60"/>
      <c r="TUZ2471" s="60"/>
      <c r="TVA2471" s="63"/>
      <c r="TVB2471" s="61"/>
      <c r="TVC2471" s="54"/>
      <c r="TVD2471" s="54"/>
      <c r="TVE2471" s="63"/>
      <c r="TVF2471" s="60"/>
      <c r="TVG2471" s="60"/>
      <c r="TVH2471" s="60"/>
      <c r="TVI2471" s="63"/>
      <c r="TVJ2471" s="61"/>
      <c r="TVK2471" s="54"/>
      <c r="TVL2471" s="54"/>
      <c r="TVM2471" s="63"/>
      <c r="TVN2471" s="60"/>
      <c r="TVO2471" s="60"/>
      <c r="TVP2471" s="60"/>
      <c r="TVQ2471" s="63"/>
      <c r="TVR2471" s="61"/>
      <c r="TVS2471" s="54"/>
      <c r="TVT2471" s="54"/>
      <c r="TVU2471" s="63"/>
      <c r="TVV2471" s="60"/>
      <c r="TVW2471" s="60"/>
      <c r="TVX2471" s="60"/>
      <c r="TVY2471" s="63"/>
      <c r="TVZ2471" s="61"/>
      <c r="TWA2471" s="54"/>
      <c r="TWB2471" s="54"/>
      <c r="TWC2471" s="63"/>
      <c r="TWD2471" s="60"/>
      <c r="TWE2471" s="60"/>
      <c r="TWF2471" s="60"/>
      <c r="TWG2471" s="63"/>
      <c r="TWH2471" s="61"/>
      <c r="TWI2471" s="54"/>
      <c r="TWJ2471" s="54"/>
      <c r="TWK2471" s="63"/>
      <c r="TWL2471" s="60"/>
      <c r="TWM2471" s="60"/>
      <c r="TWN2471" s="60"/>
      <c r="TWO2471" s="63"/>
      <c r="TWP2471" s="61"/>
      <c r="TWQ2471" s="54"/>
      <c r="TWR2471" s="54"/>
      <c r="TWS2471" s="63"/>
      <c r="TWT2471" s="60"/>
      <c r="TWU2471" s="60"/>
      <c r="TWV2471" s="60"/>
      <c r="TWW2471" s="63"/>
      <c r="TWX2471" s="61"/>
      <c r="TWY2471" s="54"/>
      <c r="TWZ2471" s="54"/>
      <c r="TXA2471" s="63"/>
      <c r="TXB2471" s="60"/>
      <c r="TXC2471" s="60"/>
      <c r="TXD2471" s="60"/>
      <c r="TXE2471" s="63"/>
      <c r="TXF2471" s="61"/>
      <c r="TXG2471" s="54"/>
      <c r="TXH2471" s="54"/>
      <c r="TXI2471" s="63"/>
      <c r="TXJ2471" s="60"/>
      <c r="TXK2471" s="60"/>
      <c r="TXL2471" s="60"/>
      <c r="TXM2471" s="63"/>
      <c r="TXN2471" s="61"/>
      <c r="TXO2471" s="54"/>
      <c r="TXP2471" s="54"/>
      <c r="TXQ2471" s="63"/>
      <c r="TXR2471" s="60"/>
      <c r="TXS2471" s="60"/>
      <c r="TXT2471" s="60"/>
      <c r="TXU2471" s="63"/>
      <c r="TXV2471" s="61"/>
      <c r="TXW2471" s="54"/>
      <c r="TXX2471" s="54"/>
      <c r="TXY2471" s="63"/>
      <c r="TXZ2471" s="60"/>
      <c r="TYA2471" s="60"/>
      <c r="TYB2471" s="60"/>
      <c r="TYC2471" s="63"/>
      <c r="TYD2471" s="61"/>
      <c r="TYE2471" s="54"/>
      <c r="TYF2471" s="54"/>
      <c r="TYG2471" s="63"/>
      <c r="TYH2471" s="60"/>
      <c r="TYI2471" s="60"/>
      <c r="TYJ2471" s="60"/>
      <c r="TYK2471" s="63"/>
      <c r="TYL2471" s="61"/>
      <c r="TYM2471" s="54"/>
      <c r="TYN2471" s="54"/>
      <c r="TYO2471" s="63"/>
      <c r="TYP2471" s="60"/>
      <c r="TYQ2471" s="60"/>
      <c r="TYR2471" s="60"/>
      <c r="TYS2471" s="63"/>
      <c r="TYT2471" s="61"/>
      <c r="TYU2471" s="54"/>
      <c r="TYV2471" s="54"/>
      <c r="TYW2471" s="63"/>
      <c r="TYX2471" s="60"/>
      <c r="TYY2471" s="60"/>
      <c r="TYZ2471" s="60"/>
      <c r="TZA2471" s="63"/>
      <c r="TZB2471" s="61"/>
      <c r="TZC2471" s="54"/>
      <c r="TZD2471" s="54"/>
      <c r="TZE2471" s="63"/>
      <c r="TZF2471" s="60"/>
      <c r="TZG2471" s="60"/>
      <c r="TZH2471" s="60"/>
      <c r="TZI2471" s="63"/>
      <c r="TZJ2471" s="61"/>
      <c r="TZK2471" s="54"/>
      <c r="TZL2471" s="54"/>
      <c r="TZM2471" s="63"/>
      <c r="TZN2471" s="60"/>
      <c r="TZO2471" s="60"/>
      <c r="TZP2471" s="60"/>
      <c r="TZQ2471" s="63"/>
      <c r="TZR2471" s="61"/>
      <c r="TZS2471" s="54"/>
      <c r="TZT2471" s="54"/>
      <c r="TZU2471" s="63"/>
      <c r="TZV2471" s="60"/>
      <c r="TZW2471" s="60"/>
      <c r="TZX2471" s="60"/>
      <c r="TZY2471" s="63"/>
      <c r="TZZ2471" s="61"/>
      <c r="UAA2471" s="54"/>
      <c r="UAB2471" s="54"/>
      <c r="UAC2471" s="63"/>
      <c r="UAD2471" s="60"/>
      <c r="UAE2471" s="60"/>
      <c r="UAF2471" s="60"/>
      <c r="UAG2471" s="63"/>
      <c r="UAH2471" s="61"/>
      <c r="UAI2471" s="54"/>
      <c r="UAJ2471" s="54"/>
      <c r="UAK2471" s="63"/>
      <c r="UAL2471" s="60"/>
      <c r="UAM2471" s="60"/>
      <c r="UAN2471" s="60"/>
      <c r="UAO2471" s="63"/>
      <c r="UAP2471" s="61"/>
      <c r="UAQ2471" s="54"/>
      <c r="UAR2471" s="54"/>
      <c r="UAS2471" s="63"/>
      <c r="UAT2471" s="60"/>
      <c r="UAU2471" s="60"/>
      <c r="UAV2471" s="60"/>
      <c r="UAW2471" s="63"/>
      <c r="UAX2471" s="61"/>
      <c r="UAY2471" s="54"/>
      <c r="UAZ2471" s="54"/>
      <c r="UBA2471" s="63"/>
      <c r="UBB2471" s="60"/>
      <c r="UBC2471" s="60"/>
      <c r="UBD2471" s="60"/>
      <c r="UBE2471" s="63"/>
      <c r="UBF2471" s="61"/>
      <c r="UBG2471" s="54"/>
      <c r="UBH2471" s="54"/>
      <c r="UBI2471" s="63"/>
      <c r="UBJ2471" s="60"/>
      <c r="UBK2471" s="60"/>
      <c r="UBL2471" s="60"/>
      <c r="UBM2471" s="63"/>
      <c r="UBN2471" s="61"/>
      <c r="UBO2471" s="54"/>
      <c r="UBP2471" s="54"/>
      <c r="UBQ2471" s="63"/>
      <c r="UBR2471" s="60"/>
      <c r="UBS2471" s="60"/>
      <c r="UBT2471" s="60"/>
      <c r="UBU2471" s="63"/>
      <c r="UBV2471" s="61"/>
      <c r="UBW2471" s="54"/>
      <c r="UBX2471" s="54"/>
      <c r="UBY2471" s="63"/>
      <c r="UBZ2471" s="60"/>
      <c r="UCA2471" s="60"/>
      <c r="UCB2471" s="60"/>
      <c r="UCC2471" s="63"/>
      <c r="UCD2471" s="61"/>
      <c r="UCE2471" s="54"/>
      <c r="UCF2471" s="54"/>
      <c r="UCG2471" s="63"/>
      <c r="UCH2471" s="60"/>
      <c r="UCI2471" s="60"/>
      <c r="UCJ2471" s="60"/>
      <c r="UCK2471" s="63"/>
      <c r="UCL2471" s="61"/>
      <c r="UCM2471" s="54"/>
      <c r="UCN2471" s="54"/>
      <c r="UCO2471" s="63"/>
      <c r="UCP2471" s="60"/>
      <c r="UCQ2471" s="60"/>
      <c r="UCR2471" s="60"/>
      <c r="UCS2471" s="63"/>
      <c r="UCT2471" s="61"/>
      <c r="UCU2471" s="54"/>
      <c r="UCV2471" s="54"/>
      <c r="UCW2471" s="63"/>
      <c r="UCX2471" s="60"/>
      <c r="UCY2471" s="60"/>
      <c r="UCZ2471" s="60"/>
      <c r="UDA2471" s="63"/>
      <c r="UDB2471" s="61"/>
      <c r="UDC2471" s="54"/>
      <c r="UDD2471" s="54"/>
      <c r="UDE2471" s="63"/>
      <c r="UDF2471" s="60"/>
      <c r="UDG2471" s="60"/>
      <c r="UDH2471" s="60"/>
      <c r="UDI2471" s="63"/>
      <c r="UDJ2471" s="61"/>
      <c r="UDK2471" s="54"/>
      <c r="UDL2471" s="54"/>
      <c r="UDM2471" s="63"/>
      <c r="UDN2471" s="60"/>
      <c r="UDO2471" s="60"/>
      <c r="UDP2471" s="60"/>
      <c r="UDQ2471" s="63"/>
      <c r="UDR2471" s="61"/>
      <c r="UDS2471" s="54"/>
      <c r="UDT2471" s="54"/>
      <c r="UDU2471" s="63"/>
      <c r="UDV2471" s="60"/>
      <c r="UDW2471" s="60"/>
      <c r="UDX2471" s="60"/>
      <c r="UDY2471" s="63"/>
      <c r="UDZ2471" s="61"/>
      <c r="UEA2471" s="54"/>
      <c r="UEB2471" s="54"/>
      <c r="UEC2471" s="63"/>
      <c r="UED2471" s="60"/>
      <c r="UEE2471" s="60"/>
      <c r="UEF2471" s="60"/>
      <c r="UEG2471" s="63"/>
      <c r="UEH2471" s="61"/>
      <c r="UEI2471" s="54"/>
      <c r="UEJ2471" s="54"/>
      <c r="UEK2471" s="63"/>
      <c r="UEL2471" s="60"/>
      <c r="UEM2471" s="60"/>
      <c r="UEN2471" s="60"/>
      <c r="UEO2471" s="63"/>
      <c r="UEP2471" s="61"/>
      <c r="UEQ2471" s="54"/>
      <c r="UER2471" s="54"/>
      <c r="UES2471" s="63"/>
      <c r="UET2471" s="60"/>
      <c r="UEU2471" s="60"/>
      <c r="UEV2471" s="60"/>
      <c r="UEW2471" s="63"/>
      <c r="UEX2471" s="61"/>
      <c r="UEY2471" s="54"/>
      <c r="UEZ2471" s="54"/>
      <c r="UFA2471" s="63"/>
      <c r="UFB2471" s="60"/>
      <c r="UFC2471" s="60"/>
      <c r="UFD2471" s="60"/>
      <c r="UFE2471" s="63"/>
      <c r="UFF2471" s="61"/>
      <c r="UFG2471" s="54"/>
      <c r="UFH2471" s="54"/>
      <c r="UFI2471" s="63"/>
      <c r="UFJ2471" s="60"/>
      <c r="UFK2471" s="60"/>
      <c r="UFL2471" s="60"/>
      <c r="UFM2471" s="63"/>
      <c r="UFN2471" s="61"/>
      <c r="UFO2471" s="54"/>
      <c r="UFP2471" s="54"/>
      <c r="UFQ2471" s="63"/>
      <c r="UFR2471" s="60"/>
      <c r="UFS2471" s="60"/>
      <c r="UFT2471" s="60"/>
      <c r="UFU2471" s="63"/>
      <c r="UFV2471" s="61"/>
      <c r="UFW2471" s="54"/>
      <c r="UFX2471" s="54"/>
      <c r="UFY2471" s="63"/>
      <c r="UFZ2471" s="60"/>
      <c r="UGA2471" s="60"/>
      <c r="UGB2471" s="60"/>
      <c r="UGC2471" s="63"/>
      <c r="UGD2471" s="61"/>
      <c r="UGE2471" s="54"/>
      <c r="UGF2471" s="54"/>
      <c r="UGG2471" s="63"/>
      <c r="UGH2471" s="60"/>
      <c r="UGI2471" s="60"/>
      <c r="UGJ2471" s="60"/>
      <c r="UGK2471" s="63"/>
      <c r="UGL2471" s="61"/>
      <c r="UGM2471" s="54"/>
      <c r="UGN2471" s="54"/>
      <c r="UGO2471" s="63"/>
      <c r="UGP2471" s="60"/>
      <c r="UGQ2471" s="60"/>
      <c r="UGR2471" s="60"/>
      <c r="UGS2471" s="63"/>
      <c r="UGT2471" s="61"/>
      <c r="UGU2471" s="54"/>
      <c r="UGV2471" s="54"/>
      <c r="UGW2471" s="63"/>
      <c r="UGX2471" s="60"/>
      <c r="UGY2471" s="60"/>
      <c r="UGZ2471" s="60"/>
      <c r="UHA2471" s="63"/>
      <c r="UHB2471" s="61"/>
      <c r="UHC2471" s="54"/>
      <c r="UHD2471" s="54"/>
      <c r="UHE2471" s="63"/>
      <c r="UHF2471" s="60"/>
      <c r="UHG2471" s="60"/>
      <c r="UHH2471" s="60"/>
      <c r="UHI2471" s="63"/>
      <c r="UHJ2471" s="61"/>
      <c r="UHK2471" s="54"/>
      <c r="UHL2471" s="54"/>
      <c r="UHM2471" s="63"/>
      <c r="UHN2471" s="60"/>
      <c r="UHO2471" s="60"/>
      <c r="UHP2471" s="60"/>
      <c r="UHQ2471" s="63"/>
      <c r="UHR2471" s="61"/>
      <c r="UHS2471" s="54"/>
      <c r="UHT2471" s="54"/>
      <c r="UHU2471" s="63"/>
      <c r="UHV2471" s="60"/>
      <c r="UHW2471" s="60"/>
      <c r="UHX2471" s="60"/>
      <c r="UHY2471" s="63"/>
      <c r="UHZ2471" s="61"/>
      <c r="UIA2471" s="54"/>
      <c r="UIB2471" s="54"/>
      <c r="UIC2471" s="63"/>
      <c r="UID2471" s="60"/>
      <c r="UIE2471" s="60"/>
      <c r="UIF2471" s="60"/>
      <c r="UIG2471" s="63"/>
      <c r="UIH2471" s="61"/>
      <c r="UII2471" s="54"/>
      <c r="UIJ2471" s="54"/>
      <c r="UIK2471" s="63"/>
      <c r="UIL2471" s="60"/>
      <c r="UIM2471" s="60"/>
      <c r="UIN2471" s="60"/>
      <c r="UIO2471" s="63"/>
      <c r="UIP2471" s="61"/>
      <c r="UIQ2471" s="54"/>
      <c r="UIR2471" s="54"/>
      <c r="UIS2471" s="63"/>
      <c r="UIT2471" s="60"/>
      <c r="UIU2471" s="60"/>
      <c r="UIV2471" s="60"/>
      <c r="UIW2471" s="63"/>
      <c r="UIX2471" s="61"/>
      <c r="UIY2471" s="54"/>
      <c r="UIZ2471" s="54"/>
      <c r="UJA2471" s="63"/>
      <c r="UJB2471" s="60"/>
      <c r="UJC2471" s="60"/>
      <c r="UJD2471" s="60"/>
      <c r="UJE2471" s="63"/>
      <c r="UJF2471" s="61"/>
      <c r="UJG2471" s="54"/>
      <c r="UJH2471" s="54"/>
      <c r="UJI2471" s="63"/>
      <c r="UJJ2471" s="60"/>
      <c r="UJK2471" s="60"/>
      <c r="UJL2471" s="60"/>
      <c r="UJM2471" s="63"/>
      <c r="UJN2471" s="61"/>
      <c r="UJO2471" s="54"/>
      <c r="UJP2471" s="54"/>
      <c r="UJQ2471" s="63"/>
      <c r="UJR2471" s="60"/>
      <c r="UJS2471" s="60"/>
      <c r="UJT2471" s="60"/>
      <c r="UJU2471" s="63"/>
      <c r="UJV2471" s="61"/>
      <c r="UJW2471" s="54"/>
      <c r="UJX2471" s="54"/>
      <c r="UJY2471" s="63"/>
      <c r="UJZ2471" s="60"/>
      <c r="UKA2471" s="60"/>
      <c r="UKB2471" s="60"/>
      <c r="UKC2471" s="63"/>
      <c r="UKD2471" s="61"/>
      <c r="UKE2471" s="54"/>
      <c r="UKF2471" s="54"/>
      <c r="UKG2471" s="63"/>
      <c r="UKH2471" s="60"/>
      <c r="UKI2471" s="60"/>
      <c r="UKJ2471" s="60"/>
      <c r="UKK2471" s="63"/>
      <c r="UKL2471" s="61"/>
      <c r="UKM2471" s="54"/>
      <c r="UKN2471" s="54"/>
      <c r="UKO2471" s="63"/>
      <c r="UKP2471" s="60"/>
      <c r="UKQ2471" s="60"/>
      <c r="UKR2471" s="60"/>
      <c r="UKS2471" s="63"/>
      <c r="UKT2471" s="61"/>
      <c r="UKU2471" s="54"/>
      <c r="UKV2471" s="54"/>
      <c r="UKW2471" s="63"/>
      <c r="UKX2471" s="60"/>
      <c r="UKY2471" s="60"/>
      <c r="UKZ2471" s="60"/>
      <c r="ULA2471" s="63"/>
      <c r="ULB2471" s="61"/>
      <c r="ULC2471" s="54"/>
      <c r="ULD2471" s="54"/>
      <c r="ULE2471" s="63"/>
      <c r="ULF2471" s="60"/>
      <c r="ULG2471" s="60"/>
      <c r="ULH2471" s="60"/>
      <c r="ULI2471" s="63"/>
      <c r="ULJ2471" s="61"/>
      <c r="ULK2471" s="54"/>
      <c r="ULL2471" s="54"/>
      <c r="ULM2471" s="63"/>
      <c r="ULN2471" s="60"/>
      <c r="ULO2471" s="60"/>
      <c r="ULP2471" s="60"/>
      <c r="ULQ2471" s="63"/>
      <c r="ULR2471" s="61"/>
      <c r="ULS2471" s="54"/>
      <c r="ULT2471" s="54"/>
      <c r="ULU2471" s="63"/>
      <c r="ULV2471" s="60"/>
      <c r="ULW2471" s="60"/>
      <c r="ULX2471" s="60"/>
      <c r="ULY2471" s="63"/>
      <c r="ULZ2471" s="61"/>
      <c r="UMA2471" s="54"/>
      <c r="UMB2471" s="54"/>
      <c r="UMC2471" s="63"/>
      <c r="UMD2471" s="60"/>
      <c r="UME2471" s="60"/>
      <c r="UMF2471" s="60"/>
      <c r="UMG2471" s="63"/>
      <c r="UMH2471" s="61"/>
      <c r="UMI2471" s="54"/>
      <c r="UMJ2471" s="54"/>
      <c r="UMK2471" s="63"/>
      <c r="UML2471" s="60"/>
      <c r="UMM2471" s="60"/>
      <c r="UMN2471" s="60"/>
      <c r="UMO2471" s="63"/>
      <c r="UMP2471" s="61"/>
      <c r="UMQ2471" s="54"/>
      <c r="UMR2471" s="54"/>
      <c r="UMS2471" s="63"/>
      <c r="UMT2471" s="60"/>
      <c r="UMU2471" s="60"/>
      <c r="UMV2471" s="60"/>
      <c r="UMW2471" s="63"/>
      <c r="UMX2471" s="61"/>
      <c r="UMY2471" s="54"/>
      <c r="UMZ2471" s="54"/>
      <c r="UNA2471" s="63"/>
      <c r="UNB2471" s="60"/>
      <c r="UNC2471" s="60"/>
      <c r="UND2471" s="60"/>
      <c r="UNE2471" s="63"/>
      <c r="UNF2471" s="61"/>
      <c r="UNG2471" s="54"/>
      <c r="UNH2471" s="54"/>
      <c r="UNI2471" s="63"/>
      <c r="UNJ2471" s="60"/>
      <c r="UNK2471" s="60"/>
      <c r="UNL2471" s="60"/>
      <c r="UNM2471" s="63"/>
      <c r="UNN2471" s="61"/>
      <c r="UNO2471" s="54"/>
      <c r="UNP2471" s="54"/>
      <c r="UNQ2471" s="63"/>
      <c r="UNR2471" s="60"/>
      <c r="UNS2471" s="60"/>
      <c r="UNT2471" s="60"/>
      <c r="UNU2471" s="63"/>
      <c r="UNV2471" s="61"/>
      <c r="UNW2471" s="54"/>
      <c r="UNX2471" s="54"/>
      <c r="UNY2471" s="63"/>
      <c r="UNZ2471" s="60"/>
      <c r="UOA2471" s="60"/>
      <c r="UOB2471" s="60"/>
      <c r="UOC2471" s="63"/>
      <c r="UOD2471" s="61"/>
      <c r="UOE2471" s="54"/>
      <c r="UOF2471" s="54"/>
      <c r="UOG2471" s="63"/>
      <c r="UOH2471" s="60"/>
      <c r="UOI2471" s="60"/>
      <c r="UOJ2471" s="60"/>
      <c r="UOK2471" s="63"/>
      <c r="UOL2471" s="61"/>
      <c r="UOM2471" s="54"/>
      <c r="UON2471" s="54"/>
      <c r="UOO2471" s="63"/>
      <c r="UOP2471" s="60"/>
      <c r="UOQ2471" s="60"/>
      <c r="UOR2471" s="60"/>
      <c r="UOS2471" s="63"/>
      <c r="UOT2471" s="61"/>
      <c r="UOU2471" s="54"/>
      <c r="UOV2471" s="54"/>
      <c r="UOW2471" s="63"/>
      <c r="UOX2471" s="60"/>
      <c r="UOY2471" s="60"/>
      <c r="UOZ2471" s="60"/>
      <c r="UPA2471" s="63"/>
      <c r="UPB2471" s="61"/>
      <c r="UPC2471" s="54"/>
      <c r="UPD2471" s="54"/>
      <c r="UPE2471" s="63"/>
      <c r="UPF2471" s="60"/>
      <c r="UPG2471" s="60"/>
      <c r="UPH2471" s="60"/>
      <c r="UPI2471" s="63"/>
      <c r="UPJ2471" s="61"/>
      <c r="UPK2471" s="54"/>
      <c r="UPL2471" s="54"/>
      <c r="UPM2471" s="63"/>
      <c r="UPN2471" s="60"/>
      <c r="UPO2471" s="60"/>
      <c r="UPP2471" s="60"/>
      <c r="UPQ2471" s="63"/>
      <c r="UPR2471" s="61"/>
      <c r="UPS2471" s="54"/>
      <c r="UPT2471" s="54"/>
      <c r="UPU2471" s="63"/>
      <c r="UPV2471" s="60"/>
      <c r="UPW2471" s="60"/>
      <c r="UPX2471" s="60"/>
      <c r="UPY2471" s="63"/>
      <c r="UPZ2471" s="61"/>
      <c r="UQA2471" s="54"/>
      <c r="UQB2471" s="54"/>
      <c r="UQC2471" s="63"/>
      <c r="UQD2471" s="60"/>
      <c r="UQE2471" s="60"/>
      <c r="UQF2471" s="60"/>
      <c r="UQG2471" s="63"/>
      <c r="UQH2471" s="61"/>
      <c r="UQI2471" s="54"/>
      <c r="UQJ2471" s="54"/>
      <c r="UQK2471" s="63"/>
      <c r="UQL2471" s="60"/>
      <c r="UQM2471" s="60"/>
      <c r="UQN2471" s="60"/>
      <c r="UQO2471" s="63"/>
      <c r="UQP2471" s="61"/>
      <c r="UQQ2471" s="54"/>
      <c r="UQR2471" s="54"/>
      <c r="UQS2471" s="63"/>
      <c r="UQT2471" s="60"/>
      <c r="UQU2471" s="60"/>
      <c r="UQV2471" s="60"/>
      <c r="UQW2471" s="63"/>
      <c r="UQX2471" s="61"/>
      <c r="UQY2471" s="54"/>
      <c r="UQZ2471" s="54"/>
      <c r="URA2471" s="63"/>
      <c r="URB2471" s="60"/>
      <c r="URC2471" s="60"/>
      <c r="URD2471" s="60"/>
      <c r="URE2471" s="63"/>
      <c r="URF2471" s="61"/>
      <c r="URG2471" s="54"/>
      <c r="URH2471" s="54"/>
      <c r="URI2471" s="63"/>
      <c r="URJ2471" s="60"/>
      <c r="URK2471" s="60"/>
      <c r="URL2471" s="60"/>
      <c r="URM2471" s="63"/>
      <c r="URN2471" s="61"/>
      <c r="URO2471" s="54"/>
      <c r="URP2471" s="54"/>
      <c r="URQ2471" s="63"/>
      <c r="URR2471" s="60"/>
      <c r="URS2471" s="60"/>
      <c r="URT2471" s="60"/>
      <c r="URU2471" s="63"/>
      <c r="URV2471" s="61"/>
      <c r="URW2471" s="54"/>
      <c r="URX2471" s="54"/>
      <c r="URY2471" s="63"/>
      <c r="URZ2471" s="60"/>
      <c r="USA2471" s="60"/>
      <c r="USB2471" s="60"/>
      <c r="USC2471" s="63"/>
      <c r="USD2471" s="61"/>
      <c r="USE2471" s="54"/>
      <c r="USF2471" s="54"/>
      <c r="USG2471" s="63"/>
      <c r="USH2471" s="60"/>
      <c r="USI2471" s="60"/>
      <c r="USJ2471" s="60"/>
      <c r="USK2471" s="63"/>
      <c r="USL2471" s="61"/>
      <c r="USM2471" s="54"/>
      <c r="USN2471" s="54"/>
      <c r="USO2471" s="63"/>
      <c r="USP2471" s="60"/>
      <c r="USQ2471" s="60"/>
      <c r="USR2471" s="60"/>
      <c r="USS2471" s="63"/>
      <c r="UST2471" s="61"/>
      <c r="USU2471" s="54"/>
      <c r="USV2471" s="54"/>
      <c r="USW2471" s="63"/>
      <c r="USX2471" s="60"/>
      <c r="USY2471" s="60"/>
      <c r="USZ2471" s="60"/>
      <c r="UTA2471" s="63"/>
      <c r="UTB2471" s="61"/>
      <c r="UTC2471" s="54"/>
      <c r="UTD2471" s="54"/>
      <c r="UTE2471" s="63"/>
      <c r="UTF2471" s="60"/>
      <c r="UTG2471" s="60"/>
      <c r="UTH2471" s="60"/>
      <c r="UTI2471" s="63"/>
      <c r="UTJ2471" s="61"/>
      <c r="UTK2471" s="54"/>
      <c r="UTL2471" s="54"/>
      <c r="UTM2471" s="63"/>
      <c r="UTN2471" s="60"/>
      <c r="UTO2471" s="60"/>
      <c r="UTP2471" s="60"/>
      <c r="UTQ2471" s="63"/>
      <c r="UTR2471" s="61"/>
      <c r="UTS2471" s="54"/>
      <c r="UTT2471" s="54"/>
      <c r="UTU2471" s="63"/>
      <c r="UTV2471" s="60"/>
      <c r="UTW2471" s="60"/>
      <c r="UTX2471" s="60"/>
      <c r="UTY2471" s="63"/>
      <c r="UTZ2471" s="61"/>
      <c r="UUA2471" s="54"/>
      <c r="UUB2471" s="54"/>
      <c r="UUC2471" s="63"/>
      <c r="UUD2471" s="60"/>
      <c r="UUE2471" s="60"/>
      <c r="UUF2471" s="60"/>
      <c r="UUG2471" s="63"/>
      <c r="UUH2471" s="61"/>
      <c r="UUI2471" s="54"/>
      <c r="UUJ2471" s="54"/>
      <c r="UUK2471" s="63"/>
      <c r="UUL2471" s="60"/>
      <c r="UUM2471" s="60"/>
      <c r="UUN2471" s="60"/>
      <c r="UUO2471" s="63"/>
      <c r="UUP2471" s="61"/>
      <c r="UUQ2471" s="54"/>
      <c r="UUR2471" s="54"/>
      <c r="UUS2471" s="63"/>
      <c r="UUT2471" s="60"/>
      <c r="UUU2471" s="60"/>
      <c r="UUV2471" s="60"/>
      <c r="UUW2471" s="63"/>
      <c r="UUX2471" s="61"/>
      <c r="UUY2471" s="54"/>
      <c r="UUZ2471" s="54"/>
      <c r="UVA2471" s="63"/>
      <c r="UVB2471" s="60"/>
      <c r="UVC2471" s="60"/>
      <c r="UVD2471" s="60"/>
      <c r="UVE2471" s="63"/>
      <c r="UVF2471" s="61"/>
      <c r="UVG2471" s="54"/>
      <c r="UVH2471" s="54"/>
      <c r="UVI2471" s="63"/>
      <c r="UVJ2471" s="60"/>
      <c r="UVK2471" s="60"/>
      <c r="UVL2471" s="60"/>
      <c r="UVM2471" s="63"/>
      <c r="UVN2471" s="61"/>
      <c r="UVO2471" s="54"/>
      <c r="UVP2471" s="54"/>
      <c r="UVQ2471" s="63"/>
      <c r="UVR2471" s="60"/>
      <c r="UVS2471" s="60"/>
      <c r="UVT2471" s="60"/>
      <c r="UVU2471" s="63"/>
      <c r="UVV2471" s="61"/>
      <c r="UVW2471" s="54"/>
      <c r="UVX2471" s="54"/>
      <c r="UVY2471" s="63"/>
      <c r="UVZ2471" s="60"/>
      <c r="UWA2471" s="60"/>
      <c r="UWB2471" s="60"/>
      <c r="UWC2471" s="63"/>
      <c r="UWD2471" s="61"/>
      <c r="UWE2471" s="54"/>
      <c r="UWF2471" s="54"/>
      <c r="UWG2471" s="63"/>
      <c r="UWH2471" s="60"/>
      <c r="UWI2471" s="60"/>
      <c r="UWJ2471" s="60"/>
      <c r="UWK2471" s="63"/>
      <c r="UWL2471" s="61"/>
      <c r="UWM2471" s="54"/>
      <c r="UWN2471" s="54"/>
      <c r="UWO2471" s="63"/>
      <c r="UWP2471" s="60"/>
      <c r="UWQ2471" s="60"/>
      <c r="UWR2471" s="60"/>
      <c r="UWS2471" s="63"/>
      <c r="UWT2471" s="61"/>
      <c r="UWU2471" s="54"/>
      <c r="UWV2471" s="54"/>
      <c r="UWW2471" s="63"/>
      <c r="UWX2471" s="60"/>
      <c r="UWY2471" s="60"/>
      <c r="UWZ2471" s="60"/>
      <c r="UXA2471" s="63"/>
      <c r="UXB2471" s="61"/>
      <c r="UXC2471" s="54"/>
      <c r="UXD2471" s="54"/>
      <c r="UXE2471" s="63"/>
      <c r="UXF2471" s="60"/>
      <c r="UXG2471" s="60"/>
      <c r="UXH2471" s="60"/>
      <c r="UXI2471" s="63"/>
      <c r="UXJ2471" s="61"/>
      <c r="UXK2471" s="54"/>
      <c r="UXL2471" s="54"/>
      <c r="UXM2471" s="63"/>
      <c r="UXN2471" s="60"/>
      <c r="UXO2471" s="60"/>
      <c r="UXP2471" s="60"/>
      <c r="UXQ2471" s="63"/>
      <c r="UXR2471" s="61"/>
      <c r="UXS2471" s="54"/>
      <c r="UXT2471" s="54"/>
      <c r="UXU2471" s="63"/>
      <c r="UXV2471" s="60"/>
      <c r="UXW2471" s="60"/>
      <c r="UXX2471" s="60"/>
      <c r="UXY2471" s="63"/>
      <c r="UXZ2471" s="61"/>
      <c r="UYA2471" s="54"/>
      <c r="UYB2471" s="54"/>
      <c r="UYC2471" s="63"/>
      <c r="UYD2471" s="60"/>
      <c r="UYE2471" s="60"/>
      <c r="UYF2471" s="60"/>
      <c r="UYG2471" s="63"/>
      <c r="UYH2471" s="61"/>
      <c r="UYI2471" s="54"/>
      <c r="UYJ2471" s="54"/>
      <c r="UYK2471" s="63"/>
      <c r="UYL2471" s="60"/>
      <c r="UYM2471" s="60"/>
      <c r="UYN2471" s="60"/>
      <c r="UYO2471" s="63"/>
      <c r="UYP2471" s="61"/>
      <c r="UYQ2471" s="54"/>
      <c r="UYR2471" s="54"/>
      <c r="UYS2471" s="63"/>
      <c r="UYT2471" s="60"/>
      <c r="UYU2471" s="60"/>
      <c r="UYV2471" s="60"/>
      <c r="UYW2471" s="63"/>
      <c r="UYX2471" s="61"/>
      <c r="UYY2471" s="54"/>
      <c r="UYZ2471" s="54"/>
      <c r="UZA2471" s="63"/>
      <c r="UZB2471" s="60"/>
      <c r="UZC2471" s="60"/>
      <c r="UZD2471" s="60"/>
      <c r="UZE2471" s="63"/>
      <c r="UZF2471" s="61"/>
      <c r="UZG2471" s="54"/>
      <c r="UZH2471" s="54"/>
      <c r="UZI2471" s="63"/>
      <c r="UZJ2471" s="60"/>
      <c r="UZK2471" s="60"/>
      <c r="UZL2471" s="60"/>
      <c r="UZM2471" s="63"/>
      <c r="UZN2471" s="61"/>
      <c r="UZO2471" s="54"/>
      <c r="UZP2471" s="54"/>
      <c r="UZQ2471" s="63"/>
      <c r="UZR2471" s="60"/>
      <c r="UZS2471" s="60"/>
      <c r="UZT2471" s="60"/>
      <c r="UZU2471" s="63"/>
      <c r="UZV2471" s="61"/>
      <c r="UZW2471" s="54"/>
      <c r="UZX2471" s="54"/>
      <c r="UZY2471" s="63"/>
      <c r="UZZ2471" s="60"/>
      <c r="VAA2471" s="60"/>
      <c r="VAB2471" s="60"/>
      <c r="VAC2471" s="63"/>
      <c r="VAD2471" s="61"/>
      <c r="VAE2471" s="54"/>
      <c r="VAF2471" s="54"/>
      <c r="VAG2471" s="63"/>
      <c r="VAH2471" s="60"/>
      <c r="VAI2471" s="60"/>
      <c r="VAJ2471" s="60"/>
      <c r="VAK2471" s="63"/>
      <c r="VAL2471" s="61"/>
      <c r="VAM2471" s="54"/>
      <c r="VAN2471" s="54"/>
      <c r="VAO2471" s="63"/>
      <c r="VAP2471" s="60"/>
      <c r="VAQ2471" s="60"/>
      <c r="VAR2471" s="60"/>
      <c r="VAS2471" s="63"/>
      <c r="VAT2471" s="61"/>
      <c r="VAU2471" s="54"/>
      <c r="VAV2471" s="54"/>
      <c r="VAW2471" s="63"/>
      <c r="VAX2471" s="60"/>
      <c r="VAY2471" s="60"/>
      <c r="VAZ2471" s="60"/>
      <c r="VBA2471" s="63"/>
      <c r="VBB2471" s="61"/>
      <c r="VBC2471" s="54"/>
      <c r="VBD2471" s="54"/>
      <c r="VBE2471" s="63"/>
      <c r="VBF2471" s="60"/>
      <c r="VBG2471" s="60"/>
      <c r="VBH2471" s="60"/>
      <c r="VBI2471" s="63"/>
      <c r="VBJ2471" s="61"/>
      <c r="VBK2471" s="54"/>
      <c r="VBL2471" s="54"/>
      <c r="VBM2471" s="63"/>
      <c r="VBN2471" s="60"/>
      <c r="VBO2471" s="60"/>
      <c r="VBP2471" s="60"/>
      <c r="VBQ2471" s="63"/>
      <c r="VBR2471" s="61"/>
      <c r="VBS2471" s="54"/>
      <c r="VBT2471" s="54"/>
      <c r="VBU2471" s="63"/>
      <c r="VBV2471" s="60"/>
      <c r="VBW2471" s="60"/>
      <c r="VBX2471" s="60"/>
      <c r="VBY2471" s="63"/>
      <c r="VBZ2471" s="61"/>
      <c r="VCA2471" s="54"/>
      <c r="VCB2471" s="54"/>
      <c r="VCC2471" s="63"/>
      <c r="VCD2471" s="60"/>
      <c r="VCE2471" s="60"/>
      <c r="VCF2471" s="60"/>
      <c r="VCG2471" s="63"/>
      <c r="VCH2471" s="61"/>
      <c r="VCI2471" s="54"/>
      <c r="VCJ2471" s="54"/>
      <c r="VCK2471" s="63"/>
      <c r="VCL2471" s="60"/>
      <c r="VCM2471" s="60"/>
      <c r="VCN2471" s="60"/>
      <c r="VCO2471" s="63"/>
      <c r="VCP2471" s="61"/>
      <c r="VCQ2471" s="54"/>
      <c r="VCR2471" s="54"/>
      <c r="VCS2471" s="63"/>
      <c r="VCT2471" s="60"/>
      <c r="VCU2471" s="60"/>
      <c r="VCV2471" s="60"/>
      <c r="VCW2471" s="63"/>
      <c r="VCX2471" s="61"/>
      <c r="VCY2471" s="54"/>
      <c r="VCZ2471" s="54"/>
      <c r="VDA2471" s="63"/>
      <c r="VDB2471" s="60"/>
      <c r="VDC2471" s="60"/>
      <c r="VDD2471" s="60"/>
      <c r="VDE2471" s="63"/>
      <c r="VDF2471" s="61"/>
      <c r="VDG2471" s="54"/>
      <c r="VDH2471" s="54"/>
      <c r="VDI2471" s="63"/>
      <c r="VDJ2471" s="60"/>
      <c r="VDK2471" s="60"/>
      <c r="VDL2471" s="60"/>
      <c r="VDM2471" s="63"/>
      <c r="VDN2471" s="61"/>
      <c r="VDO2471" s="54"/>
      <c r="VDP2471" s="54"/>
      <c r="VDQ2471" s="63"/>
      <c r="VDR2471" s="60"/>
      <c r="VDS2471" s="60"/>
      <c r="VDT2471" s="60"/>
      <c r="VDU2471" s="63"/>
      <c r="VDV2471" s="61"/>
      <c r="VDW2471" s="54"/>
      <c r="VDX2471" s="54"/>
      <c r="VDY2471" s="63"/>
      <c r="VDZ2471" s="60"/>
      <c r="VEA2471" s="60"/>
      <c r="VEB2471" s="60"/>
      <c r="VEC2471" s="63"/>
      <c r="VED2471" s="61"/>
      <c r="VEE2471" s="54"/>
      <c r="VEF2471" s="54"/>
      <c r="VEG2471" s="63"/>
      <c r="VEH2471" s="60"/>
      <c r="VEI2471" s="60"/>
      <c r="VEJ2471" s="60"/>
      <c r="VEK2471" s="63"/>
      <c r="VEL2471" s="61"/>
      <c r="VEM2471" s="54"/>
      <c r="VEN2471" s="54"/>
      <c r="VEO2471" s="63"/>
      <c r="VEP2471" s="60"/>
      <c r="VEQ2471" s="60"/>
      <c r="VER2471" s="60"/>
      <c r="VES2471" s="63"/>
      <c r="VET2471" s="61"/>
      <c r="VEU2471" s="54"/>
      <c r="VEV2471" s="54"/>
      <c r="VEW2471" s="63"/>
      <c r="VEX2471" s="60"/>
      <c r="VEY2471" s="60"/>
      <c r="VEZ2471" s="60"/>
      <c r="VFA2471" s="63"/>
      <c r="VFB2471" s="61"/>
      <c r="VFC2471" s="54"/>
      <c r="VFD2471" s="54"/>
      <c r="VFE2471" s="63"/>
      <c r="VFF2471" s="60"/>
      <c r="VFG2471" s="60"/>
      <c r="VFH2471" s="60"/>
      <c r="VFI2471" s="63"/>
      <c r="VFJ2471" s="61"/>
      <c r="VFK2471" s="54"/>
      <c r="VFL2471" s="54"/>
      <c r="VFM2471" s="63"/>
      <c r="VFN2471" s="60"/>
      <c r="VFO2471" s="60"/>
      <c r="VFP2471" s="60"/>
      <c r="VFQ2471" s="63"/>
      <c r="VFR2471" s="61"/>
      <c r="VFS2471" s="54"/>
      <c r="VFT2471" s="54"/>
      <c r="VFU2471" s="63"/>
      <c r="VFV2471" s="60"/>
      <c r="VFW2471" s="60"/>
      <c r="VFX2471" s="60"/>
      <c r="VFY2471" s="63"/>
      <c r="VFZ2471" s="61"/>
      <c r="VGA2471" s="54"/>
      <c r="VGB2471" s="54"/>
      <c r="VGC2471" s="63"/>
      <c r="VGD2471" s="60"/>
      <c r="VGE2471" s="60"/>
      <c r="VGF2471" s="60"/>
      <c r="VGG2471" s="63"/>
      <c r="VGH2471" s="61"/>
      <c r="VGI2471" s="54"/>
      <c r="VGJ2471" s="54"/>
      <c r="VGK2471" s="63"/>
      <c r="VGL2471" s="60"/>
      <c r="VGM2471" s="60"/>
      <c r="VGN2471" s="60"/>
      <c r="VGO2471" s="63"/>
      <c r="VGP2471" s="61"/>
      <c r="VGQ2471" s="54"/>
      <c r="VGR2471" s="54"/>
      <c r="VGS2471" s="63"/>
      <c r="VGT2471" s="60"/>
      <c r="VGU2471" s="60"/>
      <c r="VGV2471" s="60"/>
      <c r="VGW2471" s="63"/>
      <c r="VGX2471" s="61"/>
      <c r="VGY2471" s="54"/>
      <c r="VGZ2471" s="54"/>
      <c r="VHA2471" s="63"/>
      <c r="VHB2471" s="60"/>
      <c r="VHC2471" s="60"/>
      <c r="VHD2471" s="60"/>
      <c r="VHE2471" s="63"/>
      <c r="VHF2471" s="61"/>
      <c r="VHG2471" s="54"/>
      <c r="VHH2471" s="54"/>
      <c r="VHI2471" s="63"/>
      <c r="VHJ2471" s="60"/>
      <c r="VHK2471" s="60"/>
      <c r="VHL2471" s="60"/>
      <c r="VHM2471" s="63"/>
      <c r="VHN2471" s="61"/>
      <c r="VHO2471" s="54"/>
      <c r="VHP2471" s="54"/>
      <c r="VHQ2471" s="63"/>
      <c r="VHR2471" s="60"/>
      <c r="VHS2471" s="60"/>
      <c r="VHT2471" s="60"/>
      <c r="VHU2471" s="63"/>
      <c r="VHV2471" s="61"/>
      <c r="VHW2471" s="54"/>
      <c r="VHX2471" s="54"/>
      <c r="VHY2471" s="63"/>
      <c r="VHZ2471" s="60"/>
      <c r="VIA2471" s="60"/>
      <c r="VIB2471" s="60"/>
      <c r="VIC2471" s="63"/>
      <c r="VID2471" s="61"/>
      <c r="VIE2471" s="54"/>
      <c r="VIF2471" s="54"/>
      <c r="VIG2471" s="63"/>
      <c r="VIH2471" s="60"/>
      <c r="VII2471" s="60"/>
      <c r="VIJ2471" s="60"/>
      <c r="VIK2471" s="63"/>
      <c r="VIL2471" s="61"/>
      <c r="VIM2471" s="54"/>
      <c r="VIN2471" s="54"/>
      <c r="VIO2471" s="63"/>
      <c r="VIP2471" s="60"/>
      <c r="VIQ2471" s="60"/>
      <c r="VIR2471" s="60"/>
      <c r="VIS2471" s="63"/>
      <c r="VIT2471" s="61"/>
      <c r="VIU2471" s="54"/>
      <c r="VIV2471" s="54"/>
      <c r="VIW2471" s="63"/>
      <c r="VIX2471" s="60"/>
      <c r="VIY2471" s="60"/>
      <c r="VIZ2471" s="60"/>
      <c r="VJA2471" s="63"/>
      <c r="VJB2471" s="61"/>
      <c r="VJC2471" s="54"/>
      <c r="VJD2471" s="54"/>
      <c r="VJE2471" s="63"/>
      <c r="VJF2471" s="60"/>
      <c r="VJG2471" s="60"/>
      <c r="VJH2471" s="60"/>
      <c r="VJI2471" s="63"/>
      <c r="VJJ2471" s="61"/>
      <c r="VJK2471" s="54"/>
      <c r="VJL2471" s="54"/>
      <c r="VJM2471" s="63"/>
      <c r="VJN2471" s="60"/>
      <c r="VJO2471" s="60"/>
      <c r="VJP2471" s="60"/>
      <c r="VJQ2471" s="63"/>
      <c r="VJR2471" s="61"/>
      <c r="VJS2471" s="54"/>
      <c r="VJT2471" s="54"/>
      <c r="VJU2471" s="63"/>
      <c r="VJV2471" s="60"/>
      <c r="VJW2471" s="60"/>
      <c r="VJX2471" s="60"/>
      <c r="VJY2471" s="63"/>
      <c r="VJZ2471" s="61"/>
      <c r="VKA2471" s="54"/>
      <c r="VKB2471" s="54"/>
      <c r="VKC2471" s="63"/>
      <c r="VKD2471" s="60"/>
      <c r="VKE2471" s="60"/>
      <c r="VKF2471" s="60"/>
      <c r="VKG2471" s="63"/>
      <c r="VKH2471" s="61"/>
      <c r="VKI2471" s="54"/>
      <c r="VKJ2471" s="54"/>
      <c r="VKK2471" s="63"/>
      <c r="VKL2471" s="60"/>
      <c r="VKM2471" s="60"/>
      <c r="VKN2471" s="60"/>
      <c r="VKO2471" s="63"/>
      <c r="VKP2471" s="61"/>
      <c r="VKQ2471" s="54"/>
      <c r="VKR2471" s="54"/>
      <c r="VKS2471" s="63"/>
      <c r="VKT2471" s="60"/>
      <c r="VKU2471" s="60"/>
      <c r="VKV2471" s="60"/>
      <c r="VKW2471" s="63"/>
      <c r="VKX2471" s="61"/>
      <c r="VKY2471" s="54"/>
      <c r="VKZ2471" s="54"/>
      <c r="VLA2471" s="63"/>
      <c r="VLB2471" s="60"/>
      <c r="VLC2471" s="60"/>
      <c r="VLD2471" s="60"/>
      <c r="VLE2471" s="63"/>
      <c r="VLF2471" s="61"/>
      <c r="VLG2471" s="54"/>
      <c r="VLH2471" s="54"/>
      <c r="VLI2471" s="63"/>
      <c r="VLJ2471" s="60"/>
      <c r="VLK2471" s="60"/>
      <c r="VLL2471" s="60"/>
      <c r="VLM2471" s="63"/>
      <c r="VLN2471" s="61"/>
      <c r="VLO2471" s="54"/>
      <c r="VLP2471" s="54"/>
      <c r="VLQ2471" s="63"/>
      <c r="VLR2471" s="60"/>
      <c r="VLS2471" s="60"/>
      <c r="VLT2471" s="60"/>
      <c r="VLU2471" s="63"/>
      <c r="VLV2471" s="61"/>
      <c r="VLW2471" s="54"/>
      <c r="VLX2471" s="54"/>
      <c r="VLY2471" s="63"/>
      <c r="VLZ2471" s="60"/>
      <c r="VMA2471" s="60"/>
      <c r="VMB2471" s="60"/>
      <c r="VMC2471" s="63"/>
      <c r="VMD2471" s="61"/>
      <c r="VME2471" s="54"/>
      <c r="VMF2471" s="54"/>
      <c r="VMG2471" s="63"/>
      <c r="VMH2471" s="60"/>
      <c r="VMI2471" s="60"/>
      <c r="VMJ2471" s="60"/>
      <c r="VMK2471" s="63"/>
      <c r="VML2471" s="61"/>
      <c r="VMM2471" s="54"/>
      <c r="VMN2471" s="54"/>
      <c r="VMO2471" s="63"/>
      <c r="VMP2471" s="60"/>
      <c r="VMQ2471" s="60"/>
      <c r="VMR2471" s="60"/>
      <c r="VMS2471" s="63"/>
      <c r="VMT2471" s="61"/>
      <c r="VMU2471" s="54"/>
      <c r="VMV2471" s="54"/>
      <c r="VMW2471" s="63"/>
      <c r="VMX2471" s="60"/>
      <c r="VMY2471" s="60"/>
      <c r="VMZ2471" s="60"/>
      <c r="VNA2471" s="63"/>
      <c r="VNB2471" s="61"/>
      <c r="VNC2471" s="54"/>
      <c r="VND2471" s="54"/>
      <c r="VNE2471" s="63"/>
      <c r="VNF2471" s="60"/>
      <c r="VNG2471" s="60"/>
      <c r="VNH2471" s="60"/>
      <c r="VNI2471" s="63"/>
      <c r="VNJ2471" s="61"/>
      <c r="VNK2471" s="54"/>
      <c r="VNL2471" s="54"/>
      <c r="VNM2471" s="63"/>
      <c r="VNN2471" s="60"/>
      <c r="VNO2471" s="60"/>
      <c r="VNP2471" s="60"/>
      <c r="VNQ2471" s="63"/>
      <c r="VNR2471" s="61"/>
      <c r="VNS2471" s="54"/>
      <c r="VNT2471" s="54"/>
      <c r="VNU2471" s="63"/>
      <c r="VNV2471" s="60"/>
      <c r="VNW2471" s="60"/>
      <c r="VNX2471" s="60"/>
      <c r="VNY2471" s="63"/>
      <c r="VNZ2471" s="61"/>
      <c r="VOA2471" s="54"/>
      <c r="VOB2471" s="54"/>
      <c r="VOC2471" s="63"/>
      <c r="VOD2471" s="60"/>
      <c r="VOE2471" s="60"/>
      <c r="VOF2471" s="60"/>
      <c r="VOG2471" s="63"/>
      <c r="VOH2471" s="61"/>
      <c r="VOI2471" s="54"/>
      <c r="VOJ2471" s="54"/>
      <c r="VOK2471" s="63"/>
      <c r="VOL2471" s="60"/>
      <c r="VOM2471" s="60"/>
      <c r="VON2471" s="60"/>
      <c r="VOO2471" s="63"/>
      <c r="VOP2471" s="61"/>
      <c r="VOQ2471" s="54"/>
      <c r="VOR2471" s="54"/>
      <c r="VOS2471" s="63"/>
      <c r="VOT2471" s="60"/>
      <c r="VOU2471" s="60"/>
      <c r="VOV2471" s="60"/>
      <c r="VOW2471" s="63"/>
      <c r="VOX2471" s="61"/>
      <c r="VOY2471" s="54"/>
      <c r="VOZ2471" s="54"/>
      <c r="VPA2471" s="63"/>
      <c r="VPB2471" s="60"/>
      <c r="VPC2471" s="60"/>
      <c r="VPD2471" s="60"/>
      <c r="VPE2471" s="63"/>
      <c r="VPF2471" s="61"/>
      <c r="VPG2471" s="54"/>
      <c r="VPH2471" s="54"/>
      <c r="VPI2471" s="63"/>
      <c r="VPJ2471" s="60"/>
      <c r="VPK2471" s="60"/>
      <c r="VPL2471" s="60"/>
      <c r="VPM2471" s="63"/>
      <c r="VPN2471" s="61"/>
      <c r="VPO2471" s="54"/>
      <c r="VPP2471" s="54"/>
      <c r="VPQ2471" s="63"/>
      <c r="VPR2471" s="60"/>
      <c r="VPS2471" s="60"/>
      <c r="VPT2471" s="60"/>
      <c r="VPU2471" s="63"/>
      <c r="VPV2471" s="61"/>
      <c r="VPW2471" s="54"/>
      <c r="VPX2471" s="54"/>
      <c r="VPY2471" s="63"/>
      <c r="VPZ2471" s="60"/>
      <c r="VQA2471" s="60"/>
      <c r="VQB2471" s="60"/>
      <c r="VQC2471" s="63"/>
      <c r="VQD2471" s="61"/>
      <c r="VQE2471" s="54"/>
      <c r="VQF2471" s="54"/>
      <c r="VQG2471" s="63"/>
      <c r="VQH2471" s="60"/>
      <c r="VQI2471" s="60"/>
      <c r="VQJ2471" s="60"/>
      <c r="VQK2471" s="63"/>
      <c r="VQL2471" s="61"/>
      <c r="VQM2471" s="54"/>
      <c r="VQN2471" s="54"/>
      <c r="VQO2471" s="63"/>
      <c r="VQP2471" s="60"/>
      <c r="VQQ2471" s="60"/>
      <c r="VQR2471" s="60"/>
      <c r="VQS2471" s="63"/>
      <c r="VQT2471" s="61"/>
      <c r="VQU2471" s="54"/>
      <c r="VQV2471" s="54"/>
      <c r="VQW2471" s="63"/>
      <c r="VQX2471" s="60"/>
      <c r="VQY2471" s="60"/>
      <c r="VQZ2471" s="60"/>
      <c r="VRA2471" s="63"/>
      <c r="VRB2471" s="61"/>
      <c r="VRC2471" s="54"/>
      <c r="VRD2471" s="54"/>
      <c r="VRE2471" s="63"/>
      <c r="VRF2471" s="60"/>
      <c r="VRG2471" s="60"/>
      <c r="VRH2471" s="60"/>
      <c r="VRI2471" s="63"/>
      <c r="VRJ2471" s="61"/>
      <c r="VRK2471" s="54"/>
      <c r="VRL2471" s="54"/>
      <c r="VRM2471" s="63"/>
      <c r="VRN2471" s="60"/>
      <c r="VRO2471" s="60"/>
      <c r="VRP2471" s="60"/>
      <c r="VRQ2471" s="63"/>
      <c r="VRR2471" s="61"/>
      <c r="VRS2471" s="54"/>
      <c r="VRT2471" s="54"/>
      <c r="VRU2471" s="63"/>
      <c r="VRV2471" s="60"/>
      <c r="VRW2471" s="60"/>
      <c r="VRX2471" s="60"/>
      <c r="VRY2471" s="63"/>
      <c r="VRZ2471" s="61"/>
      <c r="VSA2471" s="54"/>
      <c r="VSB2471" s="54"/>
      <c r="VSC2471" s="63"/>
      <c r="VSD2471" s="60"/>
      <c r="VSE2471" s="60"/>
      <c r="VSF2471" s="60"/>
      <c r="VSG2471" s="63"/>
      <c r="VSH2471" s="61"/>
      <c r="VSI2471" s="54"/>
      <c r="VSJ2471" s="54"/>
      <c r="VSK2471" s="63"/>
      <c r="VSL2471" s="60"/>
      <c r="VSM2471" s="60"/>
      <c r="VSN2471" s="60"/>
      <c r="VSO2471" s="63"/>
      <c r="VSP2471" s="61"/>
      <c r="VSQ2471" s="54"/>
      <c r="VSR2471" s="54"/>
      <c r="VSS2471" s="63"/>
      <c r="VST2471" s="60"/>
      <c r="VSU2471" s="60"/>
      <c r="VSV2471" s="60"/>
      <c r="VSW2471" s="63"/>
      <c r="VSX2471" s="61"/>
      <c r="VSY2471" s="54"/>
      <c r="VSZ2471" s="54"/>
      <c r="VTA2471" s="63"/>
      <c r="VTB2471" s="60"/>
      <c r="VTC2471" s="60"/>
      <c r="VTD2471" s="60"/>
      <c r="VTE2471" s="63"/>
      <c r="VTF2471" s="61"/>
      <c r="VTG2471" s="54"/>
      <c r="VTH2471" s="54"/>
      <c r="VTI2471" s="63"/>
      <c r="VTJ2471" s="60"/>
      <c r="VTK2471" s="60"/>
      <c r="VTL2471" s="60"/>
      <c r="VTM2471" s="63"/>
      <c r="VTN2471" s="61"/>
      <c r="VTO2471" s="54"/>
      <c r="VTP2471" s="54"/>
      <c r="VTQ2471" s="63"/>
      <c r="VTR2471" s="60"/>
      <c r="VTS2471" s="60"/>
      <c r="VTT2471" s="60"/>
      <c r="VTU2471" s="63"/>
      <c r="VTV2471" s="61"/>
      <c r="VTW2471" s="54"/>
      <c r="VTX2471" s="54"/>
      <c r="VTY2471" s="63"/>
      <c r="VTZ2471" s="60"/>
      <c r="VUA2471" s="60"/>
      <c r="VUB2471" s="60"/>
      <c r="VUC2471" s="63"/>
      <c r="VUD2471" s="61"/>
      <c r="VUE2471" s="54"/>
      <c r="VUF2471" s="54"/>
      <c r="VUG2471" s="63"/>
      <c r="VUH2471" s="60"/>
      <c r="VUI2471" s="60"/>
      <c r="VUJ2471" s="60"/>
      <c r="VUK2471" s="63"/>
      <c r="VUL2471" s="61"/>
      <c r="VUM2471" s="54"/>
      <c r="VUN2471" s="54"/>
      <c r="VUO2471" s="63"/>
      <c r="VUP2471" s="60"/>
      <c r="VUQ2471" s="60"/>
      <c r="VUR2471" s="60"/>
      <c r="VUS2471" s="63"/>
      <c r="VUT2471" s="61"/>
      <c r="VUU2471" s="54"/>
      <c r="VUV2471" s="54"/>
      <c r="VUW2471" s="63"/>
      <c r="VUX2471" s="60"/>
      <c r="VUY2471" s="60"/>
      <c r="VUZ2471" s="60"/>
      <c r="VVA2471" s="63"/>
      <c r="VVB2471" s="61"/>
      <c r="VVC2471" s="54"/>
      <c r="VVD2471" s="54"/>
      <c r="VVE2471" s="63"/>
      <c r="VVF2471" s="60"/>
      <c r="VVG2471" s="60"/>
      <c r="VVH2471" s="60"/>
      <c r="VVI2471" s="63"/>
      <c r="VVJ2471" s="61"/>
      <c r="VVK2471" s="54"/>
      <c r="VVL2471" s="54"/>
      <c r="VVM2471" s="63"/>
      <c r="VVN2471" s="60"/>
      <c r="VVO2471" s="60"/>
      <c r="VVP2471" s="60"/>
      <c r="VVQ2471" s="63"/>
      <c r="VVR2471" s="61"/>
      <c r="VVS2471" s="54"/>
      <c r="VVT2471" s="54"/>
      <c r="VVU2471" s="63"/>
      <c r="VVV2471" s="60"/>
      <c r="VVW2471" s="60"/>
      <c r="VVX2471" s="60"/>
      <c r="VVY2471" s="63"/>
      <c r="VVZ2471" s="61"/>
      <c r="VWA2471" s="54"/>
      <c r="VWB2471" s="54"/>
      <c r="VWC2471" s="63"/>
      <c r="VWD2471" s="60"/>
      <c r="VWE2471" s="60"/>
      <c r="VWF2471" s="60"/>
      <c r="VWG2471" s="63"/>
      <c r="VWH2471" s="61"/>
      <c r="VWI2471" s="54"/>
      <c r="VWJ2471" s="54"/>
      <c r="VWK2471" s="63"/>
      <c r="VWL2471" s="60"/>
      <c r="VWM2471" s="60"/>
      <c r="VWN2471" s="60"/>
      <c r="VWO2471" s="63"/>
      <c r="VWP2471" s="61"/>
      <c r="VWQ2471" s="54"/>
      <c r="VWR2471" s="54"/>
      <c r="VWS2471" s="63"/>
      <c r="VWT2471" s="60"/>
      <c r="VWU2471" s="60"/>
      <c r="VWV2471" s="60"/>
      <c r="VWW2471" s="63"/>
      <c r="VWX2471" s="61"/>
      <c r="VWY2471" s="54"/>
      <c r="VWZ2471" s="54"/>
      <c r="VXA2471" s="63"/>
      <c r="VXB2471" s="60"/>
      <c r="VXC2471" s="60"/>
      <c r="VXD2471" s="60"/>
      <c r="VXE2471" s="63"/>
      <c r="VXF2471" s="61"/>
      <c r="VXG2471" s="54"/>
      <c r="VXH2471" s="54"/>
      <c r="VXI2471" s="63"/>
      <c r="VXJ2471" s="60"/>
      <c r="VXK2471" s="60"/>
      <c r="VXL2471" s="60"/>
      <c r="VXM2471" s="63"/>
      <c r="VXN2471" s="61"/>
      <c r="VXO2471" s="54"/>
      <c r="VXP2471" s="54"/>
      <c r="VXQ2471" s="63"/>
      <c r="VXR2471" s="60"/>
      <c r="VXS2471" s="60"/>
      <c r="VXT2471" s="60"/>
      <c r="VXU2471" s="63"/>
      <c r="VXV2471" s="61"/>
      <c r="VXW2471" s="54"/>
      <c r="VXX2471" s="54"/>
      <c r="VXY2471" s="63"/>
      <c r="VXZ2471" s="60"/>
      <c r="VYA2471" s="60"/>
      <c r="VYB2471" s="60"/>
      <c r="VYC2471" s="63"/>
      <c r="VYD2471" s="61"/>
      <c r="VYE2471" s="54"/>
      <c r="VYF2471" s="54"/>
      <c r="VYG2471" s="63"/>
      <c r="VYH2471" s="60"/>
      <c r="VYI2471" s="60"/>
      <c r="VYJ2471" s="60"/>
      <c r="VYK2471" s="63"/>
      <c r="VYL2471" s="61"/>
      <c r="VYM2471" s="54"/>
      <c r="VYN2471" s="54"/>
      <c r="VYO2471" s="63"/>
      <c r="VYP2471" s="60"/>
      <c r="VYQ2471" s="60"/>
      <c r="VYR2471" s="60"/>
      <c r="VYS2471" s="63"/>
      <c r="VYT2471" s="61"/>
      <c r="VYU2471" s="54"/>
      <c r="VYV2471" s="54"/>
      <c r="VYW2471" s="63"/>
      <c r="VYX2471" s="60"/>
      <c r="VYY2471" s="60"/>
      <c r="VYZ2471" s="60"/>
      <c r="VZA2471" s="63"/>
      <c r="VZB2471" s="61"/>
      <c r="VZC2471" s="54"/>
      <c r="VZD2471" s="54"/>
      <c r="VZE2471" s="63"/>
      <c r="VZF2471" s="60"/>
      <c r="VZG2471" s="60"/>
      <c r="VZH2471" s="60"/>
      <c r="VZI2471" s="63"/>
      <c r="VZJ2471" s="61"/>
      <c r="VZK2471" s="54"/>
      <c r="VZL2471" s="54"/>
      <c r="VZM2471" s="63"/>
      <c r="VZN2471" s="60"/>
      <c r="VZO2471" s="60"/>
      <c r="VZP2471" s="60"/>
      <c r="VZQ2471" s="63"/>
      <c r="VZR2471" s="61"/>
      <c r="VZS2471" s="54"/>
      <c r="VZT2471" s="54"/>
      <c r="VZU2471" s="63"/>
      <c r="VZV2471" s="60"/>
      <c r="VZW2471" s="60"/>
      <c r="VZX2471" s="60"/>
      <c r="VZY2471" s="63"/>
      <c r="VZZ2471" s="61"/>
      <c r="WAA2471" s="54"/>
      <c r="WAB2471" s="54"/>
      <c r="WAC2471" s="63"/>
      <c r="WAD2471" s="60"/>
      <c r="WAE2471" s="60"/>
      <c r="WAF2471" s="60"/>
      <c r="WAG2471" s="63"/>
      <c r="WAH2471" s="61"/>
      <c r="WAI2471" s="54"/>
      <c r="WAJ2471" s="54"/>
      <c r="WAK2471" s="63"/>
      <c r="WAL2471" s="60"/>
      <c r="WAM2471" s="60"/>
      <c r="WAN2471" s="60"/>
      <c r="WAO2471" s="63"/>
      <c r="WAP2471" s="61"/>
      <c r="WAQ2471" s="54"/>
      <c r="WAR2471" s="54"/>
      <c r="WAS2471" s="63"/>
      <c r="WAT2471" s="60"/>
      <c r="WAU2471" s="60"/>
      <c r="WAV2471" s="60"/>
      <c r="WAW2471" s="63"/>
      <c r="WAX2471" s="61"/>
      <c r="WAY2471" s="54"/>
      <c r="WAZ2471" s="54"/>
      <c r="WBA2471" s="63"/>
      <c r="WBB2471" s="60"/>
      <c r="WBC2471" s="60"/>
      <c r="WBD2471" s="60"/>
      <c r="WBE2471" s="63"/>
      <c r="WBF2471" s="61"/>
      <c r="WBG2471" s="54"/>
      <c r="WBH2471" s="54"/>
      <c r="WBI2471" s="63"/>
      <c r="WBJ2471" s="60"/>
      <c r="WBK2471" s="60"/>
      <c r="WBL2471" s="60"/>
      <c r="WBM2471" s="63"/>
      <c r="WBN2471" s="61"/>
      <c r="WBO2471" s="54"/>
      <c r="WBP2471" s="54"/>
      <c r="WBQ2471" s="63"/>
      <c r="WBR2471" s="60"/>
      <c r="WBS2471" s="60"/>
      <c r="WBT2471" s="60"/>
      <c r="WBU2471" s="63"/>
      <c r="WBV2471" s="61"/>
      <c r="WBW2471" s="54"/>
      <c r="WBX2471" s="54"/>
      <c r="WBY2471" s="63"/>
      <c r="WBZ2471" s="60"/>
      <c r="WCA2471" s="60"/>
      <c r="WCB2471" s="60"/>
      <c r="WCC2471" s="63"/>
      <c r="WCD2471" s="61"/>
      <c r="WCE2471" s="54"/>
      <c r="WCF2471" s="54"/>
      <c r="WCG2471" s="63"/>
      <c r="WCH2471" s="60"/>
      <c r="WCI2471" s="60"/>
      <c r="WCJ2471" s="60"/>
      <c r="WCK2471" s="63"/>
      <c r="WCL2471" s="61"/>
      <c r="WCM2471" s="54"/>
      <c r="WCN2471" s="54"/>
      <c r="WCO2471" s="63"/>
      <c r="WCP2471" s="60"/>
      <c r="WCQ2471" s="60"/>
      <c r="WCR2471" s="60"/>
      <c r="WCS2471" s="63"/>
      <c r="WCT2471" s="61"/>
      <c r="WCU2471" s="54"/>
      <c r="WCV2471" s="54"/>
      <c r="WCW2471" s="63"/>
      <c r="WCX2471" s="60"/>
      <c r="WCY2471" s="60"/>
      <c r="WCZ2471" s="60"/>
      <c r="WDA2471" s="63"/>
      <c r="WDB2471" s="61"/>
      <c r="WDC2471" s="54"/>
      <c r="WDD2471" s="54"/>
      <c r="WDE2471" s="63"/>
      <c r="WDF2471" s="60"/>
      <c r="WDG2471" s="60"/>
      <c r="WDH2471" s="60"/>
      <c r="WDI2471" s="63"/>
      <c r="WDJ2471" s="61"/>
      <c r="WDK2471" s="54"/>
      <c r="WDL2471" s="54"/>
      <c r="WDM2471" s="63"/>
      <c r="WDN2471" s="60"/>
      <c r="WDO2471" s="60"/>
      <c r="WDP2471" s="60"/>
      <c r="WDQ2471" s="63"/>
      <c r="WDR2471" s="61"/>
      <c r="WDS2471" s="54"/>
      <c r="WDT2471" s="54"/>
      <c r="WDU2471" s="63"/>
      <c r="WDV2471" s="60"/>
      <c r="WDW2471" s="60"/>
      <c r="WDX2471" s="60"/>
      <c r="WDY2471" s="63"/>
      <c r="WDZ2471" s="61"/>
      <c r="WEA2471" s="54"/>
      <c r="WEB2471" s="54"/>
      <c r="WEC2471" s="63"/>
      <c r="WED2471" s="60"/>
      <c r="WEE2471" s="60"/>
      <c r="WEF2471" s="60"/>
      <c r="WEG2471" s="63"/>
      <c r="WEH2471" s="61"/>
      <c r="WEI2471" s="54"/>
      <c r="WEJ2471" s="54"/>
      <c r="WEK2471" s="63"/>
      <c r="WEL2471" s="60"/>
      <c r="WEM2471" s="60"/>
      <c r="WEN2471" s="60"/>
      <c r="WEO2471" s="63"/>
      <c r="WEP2471" s="61"/>
      <c r="WEQ2471" s="54"/>
      <c r="WER2471" s="54"/>
      <c r="WES2471" s="63"/>
      <c r="WET2471" s="60"/>
      <c r="WEU2471" s="60"/>
      <c r="WEV2471" s="60"/>
      <c r="WEW2471" s="63"/>
      <c r="WEX2471" s="61"/>
      <c r="WEY2471" s="54"/>
      <c r="WEZ2471" s="54"/>
      <c r="WFA2471" s="63"/>
      <c r="WFB2471" s="60"/>
      <c r="WFC2471" s="60"/>
      <c r="WFD2471" s="60"/>
      <c r="WFE2471" s="63"/>
      <c r="WFF2471" s="61"/>
      <c r="WFG2471" s="54"/>
      <c r="WFH2471" s="54"/>
      <c r="WFI2471" s="63"/>
      <c r="WFJ2471" s="60"/>
      <c r="WFK2471" s="60"/>
      <c r="WFL2471" s="60"/>
      <c r="WFM2471" s="63"/>
      <c r="WFN2471" s="61"/>
      <c r="WFO2471" s="54"/>
      <c r="WFP2471" s="54"/>
      <c r="WFQ2471" s="63"/>
      <c r="WFR2471" s="60"/>
      <c r="WFS2471" s="60"/>
      <c r="WFT2471" s="60"/>
      <c r="WFU2471" s="63"/>
      <c r="WFV2471" s="61"/>
      <c r="WFW2471" s="54"/>
      <c r="WFX2471" s="54"/>
      <c r="WFY2471" s="63"/>
      <c r="WFZ2471" s="60"/>
      <c r="WGA2471" s="60"/>
      <c r="WGB2471" s="60"/>
      <c r="WGC2471" s="63"/>
      <c r="WGD2471" s="61"/>
      <c r="WGE2471" s="54"/>
      <c r="WGF2471" s="54"/>
      <c r="WGG2471" s="63"/>
      <c r="WGH2471" s="60"/>
      <c r="WGI2471" s="60"/>
      <c r="WGJ2471" s="60"/>
      <c r="WGK2471" s="63"/>
      <c r="WGL2471" s="61"/>
      <c r="WGM2471" s="54"/>
      <c r="WGN2471" s="54"/>
      <c r="WGO2471" s="63"/>
      <c r="WGP2471" s="60"/>
      <c r="WGQ2471" s="60"/>
      <c r="WGR2471" s="60"/>
      <c r="WGS2471" s="63"/>
      <c r="WGT2471" s="61"/>
      <c r="WGU2471" s="54"/>
      <c r="WGV2471" s="54"/>
      <c r="WGW2471" s="63"/>
      <c r="WGX2471" s="60"/>
      <c r="WGY2471" s="60"/>
      <c r="WGZ2471" s="60"/>
      <c r="WHA2471" s="63"/>
      <c r="WHB2471" s="61"/>
      <c r="WHC2471" s="54"/>
      <c r="WHD2471" s="54"/>
      <c r="WHE2471" s="63"/>
      <c r="WHF2471" s="60"/>
      <c r="WHG2471" s="60"/>
      <c r="WHH2471" s="60"/>
      <c r="WHI2471" s="63"/>
      <c r="WHJ2471" s="61"/>
      <c r="WHK2471" s="54"/>
      <c r="WHL2471" s="54"/>
      <c r="WHM2471" s="63"/>
      <c r="WHN2471" s="60"/>
      <c r="WHO2471" s="60"/>
      <c r="WHP2471" s="60"/>
      <c r="WHQ2471" s="63"/>
      <c r="WHR2471" s="61"/>
      <c r="WHS2471" s="54"/>
      <c r="WHT2471" s="54"/>
      <c r="WHU2471" s="63"/>
      <c r="WHV2471" s="60"/>
      <c r="WHW2471" s="60"/>
      <c r="WHX2471" s="60"/>
      <c r="WHY2471" s="63"/>
      <c r="WHZ2471" s="61"/>
      <c r="WIA2471" s="54"/>
      <c r="WIB2471" s="54"/>
      <c r="WIC2471" s="63"/>
      <c r="WID2471" s="60"/>
      <c r="WIE2471" s="60"/>
      <c r="WIF2471" s="60"/>
      <c r="WIG2471" s="63"/>
      <c r="WIH2471" s="61"/>
      <c r="WII2471" s="54"/>
      <c r="WIJ2471" s="54"/>
      <c r="WIK2471" s="63"/>
      <c r="WIL2471" s="60"/>
      <c r="WIM2471" s="60"/>
      <c r="WIN2471" s="60"/>
      <c r="WIO2471" s="63"/>
      <c r="WIP2471" s="61"/>
      <c r="WIQ2471" s="54"/>
      <c r="WIR2471" s="54"/>
      <c r="WIS2471" s="63"/>
      <c r="WIT2471" s="60"/>
      <c r="WIU2471" s="60"/>
      <c r="WIV2471" s="60"/>
      <c r="WIW2471" s="63"/>
      <c r="WIX2471" s="61"/>
      <c r="WIY2471" s="54"/>
      <c r="WIZ2471" s="54"/>
      <c r="WJA2471" s="63"/>
      <c r="WJB2471" s="60"/>
      <c r="WJC2471" s="60"/>
      <c r="WJD2471" s="60"/>
      <c r="WJE2471" s="63"/>
      <c r="WJF2471" s="61"/>
      <c r="WJG2471" s="54"/>
      <c r="WJH2471" s="54"/>
      <c r="WJI2471" s="63"/>
      <c r="WJJ2471" s="60"/>
      <c r="WJK2471" s="60"/>
      <c r="WJL2471" s="60"/>
      <c r="WJM2471" s="63"/>
      <c r="WJN2471" s="61"/>
      <c r="WJO2471" s="54"/>
      <c r="WJP2471" s="54"/>
      <c r="WJQ2471" s="63"/>
      <c r="WJR2471" s="60"/>
      <c r="WJS2471" s="60"/>
      <c r="WJT2471" s="60"/>
      <c r="WJU2471" s="63"/>
      <c r="WJV2471" s="61"/>
      <c r="WJW2471" s="54"/>
      <c r="WJX2471" s="54"/>
      <c r="WJY2471" s="63"/>
      <c r="WJZ2471" s="60"/>
      <c r="WKA2471" s="60"/>
      <c r="WKB2471" s="60"/>
      <c r="WKC2471" s="63"/>
      <c r="WKD2471" s="61"/>
      <c r="WKE2471" s="54"/>
      <c r="WKF2471" s="54"/>
      <c r="WKG2471" s="63"/>
      <c r="WKH2471" s="60"/>
      <c r="WKI2471" s="60"/>
      <c r="WKJ2471" s="60"/>
      <c r="WKK2471" s="63"/>
      <c r="WKL2471" s="61"/>
      <c r="WKM2471" s="54"/>
      <c r="WKN2471" s="54"/>
      <c r="WKO2471" s="63"/>
      <c r="WKP2471" s="60"/>
      <c r="WKQ2471" s="60"/>
      <c r="WKR2471" s="60"/>
      <c r="WKS2471" s="63"/>
      <c r="WKT2471" s="61"/>
      <c r="WKU2471" s="54"/>
      <c r="WKV2471" s="54"/>
      <c r="WKW2471" s="63"/>
      <c r="WKX2471" s="60"/>
      <c r="WKY2471" s="60"/>
      <c r="WKZ2471" s="60"/>
      <c r="WLA2471" s="63"/>
      <c r="WLB2471" s="61"/>
      <c r="WLC2471" s="54"/>
      <c r="WLD2471" s="54"/>
      <c r="WLE2471" s="63"/>
      <c r="WLF2471" s="60"/>
      <c r="WLG2471" s="60"/>
      <c r="WLH2471" s="60"/>
      <c r="WLI2471" s="63"/>
      <c r="WLJ2471" s="61"/>
      <c r="WLK2471" s="54"/>
      <c r="WLL2471" s="54"/>
      <c r="WLM2471" s="63"/>
      <c r="WLN2471" s="60"/>
      <c r="WLO2471" s="60"/>
      <c r="WLP2471" s="60"/>
      <c r="WLQ2471" s="63"/>
      <c r="WLR2471" s="61"/>
      <c r="WLS2471" s="54"/>
      <c r="WLT2471" s="54"/>
      <c r="WLU2471" s="63"/>
      <c r="WLV2471" s="60"/>
      <c r="WLW2471" s="60"/>
      <c r="WLX2471" s="60"/>
      <c r="WLY2471" s="63"/>
      <c r="WLZ2471" s="61"/>
      <c r="WMA2471" s="54"/>
      <c r="WMB2471" s="54"/>
      <c r="WMC2471" s="63"/>
      <c r="WMD2471" s="60"/>
      <c r="WME2471" s="60"/>
      <c r="WMF2471" s="60"/>
      <c r="WMG2471" s="63"/>
      <c r="WMH2471" s="61"/>
      <c r="WMI2471" s="54"/>
      <c r="WMJ2471" s="54"/>
      <c r="WMK2471" s="63"/>
      <c r="WML2471" s="60"/>
      <c r="WMM2471" s="60"/>
      <c r="WMN2471" s="60"/>
      <c r="WMO2471" s="63"/>
      <c r="WMP2471" s="61"/>
      <c r="WMQ2471" s="54"/>
      <c r="WMR2471" s="54"/>
      <c r="WMS2471" s="63"/>
      <c r="WMT2471" s="60"/>
      <c r="WMU2471" s="60"/>
      <c r="WMV2471" s="60"/>
      <c r="WMW2471" s="63"/>
      <c r="WMX2471" s="61"/>
      <c r="WMY2471" s="54"/>
      <c r="WMZ2471" s="54"/>
      <c r="WNA2471" s="63"/>
      <c r="WNB2471" s="60"/>
      <c r="WNC2471" s="60"/>
      <c r="WND2471" s="60"/>
      <c r="WNE2471" s="63"/>
      <c r="WNF2471" s="61"/>
      <c r="WNG2471" s="54"/>
      <c r="WNH2471" s="54"/>
      <c r="WNI2471" s="63"/>
      <c r="WNJ2471" s="60"/>
      <c r="WNK2471" s="60"/>
      <c r="WNL2471" s="60"/>
      <c r="WNM2471" s="63"/>
      <c r="WNN2471" s="61"/>
      <c r="WNO2471" s="54"/>
      <c r="WNP2471" s="54"/>
      <c r="WNQ2471" s="63"/>
      <c r="WNR2471" s="60"/>
      <c r="WNS2471" s="60"/>
      <c r="WNT2471" s="60"/>
      <c r="WNU2471" s="63"/>
      <c r="WNV2471" s="61"/>
      <c r="WNW2471" s="54"/>
      <c r="WNX2471" s="54"/>
      <c r="WNY2471" s="63"/>
      <c r="WNZ2471" s="60"/>
      <c r="WOA2471" s="60"/>
      <c r="WOB2471" s="60"/>
      <c r="WOC2471" s="63"/>
      <c r="WOD2471" s="61"/>
      <c r="WOE2471" s="54"/>
      <c r="WOF2471" s="54"/>
      <c r="WOG2471" s="63"/>
      <c r="WOH2471" s="60"/>
      <c r="WOI2471" s="60"/>
      <c r="WOJ2471" s="60"/>
      <c r="WOK2471" s="63"/>
      <c r="WOL2471" s="61"/>
      <c r="WOM2471" s="54"/>
      <c r="WON2471" s="54"/>
      <c r="WOO2471" s="63"/>
      <c r="WOP2471" s="60"/>
      <c r="WOQ2471" s="60"/>
      <c r="WOR2471" s="60"/>
      <c r="WOS2471" s="63"/>
      <c r="WOT2471" s="61"/>
      <c r="WOU2471" s="54"/>
      <c r="WOV2471" s="54"/>
      <c r="WOW2471" s="63"/>
      <c r="WOX2471" s="60"/>
      <c r="WOY2471" s="60"/>
      <c r="WOZ2471" s="60"/>
      <c r="WPA2471" s="63"/>
      <c r="WPB2471" s="61"/>
      <c r="WPC2471" s="54"/>
      <c r="WPD2471" s="54"/>
      <c r="WPE2471" s="63"/>
      <c r="WPF2471" s="60"/>
      <c r="WPG2471" s="60"/>
      <c r="WPH2471" s="60"/>
      <c r="WPI2471" s="63"/>
      <c r="WPJ2471" s="61"/>
      <c r="WPK2471" s="54"/>
      <c r="WPL2471" s="54"/>
      <c r="WPM2471" s="63"/>
      <c r="WPN2471" s="60"/>
      <c r="WPO2471" s="60"/>
      <c r="WPP2471" s="60"/>
      <c r="WPQ2471" s="63"/>
      <c r="WPR2471" s="61"/>
      <c r="WPS2471" s="54"/>
      <c r="WPT2471" s="54"/>
      <c r="WPU2471" s="63"/>
      <c r="WPV2471" s="60"/>
      <c r="WPW2471" s="60"/>
      <c r="WPX2471" s="60"/>
      <c r="WPY2471" s="63"/>
      <c r="WPZ2471" s="61"/>
      <c r="WQA2471" s="54"/>
      <c r="WQB2471" s="54"/>
      <c r="WQC2471" s="63"/>
      <c r="WQD2471" s="60"/>
      <c r="WQE2471" s="60"/>
      <c r="WQF2471" s="60"/>
      <c r="WQG2471" s="63"/>
      <c r="WQH2471" s="61"/>
      <c r="WQI2471" s="54"/>
      <c r="WQJ2471" s="54"/>
      <c r="WQK2471" s="63"/>
      <c r="WQL2471" s="60"/>
      <c r="WQM2471" s="60"/>
      <c r="WQN2471" s="60"/>
      <c r="WQO2471" s="63"/>
      <c r="WQP2471" s="61"/>
      <c r="WQQ2471" s="54"/>
      <c r="WQR2471" s="54"/>
      <c r="WQS2471" s="63"/>
      <c r="WQT2471" s="60"/>
      <c r="WQU2471" s="60"/>
      <c r="WQV2471" s="60"/>
      <c r="WQW2471" s="63"/>
      <c r="WQX2471" s="61"/>
      <c r="WQY2471" s="54"/>
      <c r="WQZ2471" s="54"/>
      <c r="WRA2471" s="63"/>
      <c r="WRB2471" s="60"/>
      <c r="WRC2471" s="60"/>
      <c r="WRD2471" s="60"/>
      <c r="WRE2471" s="63"/>
      <c r="WRF2471" s="61"/>
      <c r="WRG2471" s="54"/>
      <c r="WRH2471" s="54"/>
      <c r="WRI2471" s="63"/>
      <c r="WRJ2471" s="60"/>
      <c r="WRK2471" s="60"/>
      <c r="WRL2471" s="60"/>
      <c r="WRM2471" s="63"/>
      <c r="WRN2471" s="61"/>
      <c r="WRO2471" s="54"/>
      <c r="WRP2471" s="54"/>
      <c r="WRQ2471" s="63"/>
      <c r="WRR2471" s="60"/>
      <c r="WRS2471" s="60"/>
      <c r="WRT2471" s="60"/>
      <c r="WRU2471" s="63"/>
      <c r="WRV2471" s="61"/>
      <c r="WRW2471" s="54"/>
      <c r="WRX2471" s="54"/>
      <c r="WRY2471" s="63"/>
      <c r="WRZ2471" s="60"/>
      <c r="WSA2471" s="60"/>
      <c r="WSB2471" s="60"/>
      <c r="WSC2471" s="63"/>
      <c r="WSD2471" s="61"/>
      <c r="WSE2471" s="54"/>
      <c r="WSF2471" s="54"/>
      <c r="WSG2471" s="63"/>
      <c r="WSH2471" s="60"/>
      <c r="WSI2471" s="60"/>
      <c r="WSJ2471" s="60"/>
      <c r="WSK2471" s="63"/>
      <c r="WSL2471" s="61"/>
      <c r="WSM2471" s="54"/>
      <c r="WSN2471" s="54"/>
      <c r="WSO2471" s="63"/>
      <c r="WSP2471" s="60"/>
      <c r="WSQ2471" s="60"/>
      <c r="WSR2471" s="60"/>
      <c r="WSS2471" s="63"/>
      <c r="WST2471" s="61"/>
      <c r="WSU2471" s="54"/>
      <c r="WSV2471" s="54"/>
      <c r="WSW2471" s="63"/>
      <c r="WSX2471" s="60"/>
      <c r="WSY2471" s="60"/>
      <c r="WSZ2471" s="60"/>
      <c r="WTA2471" s="63"/>
      <c r="WTB2471" s="61"/>
      <c r="WTC2471" s="54"/>
      <c r="WTD2471" s="54"/>
      <c r="WTE2471" s="63"/>
      <c r="WTF2471" s="60"/>
      <c r="WTG2471" s="60"/>
      <c r="WTH2471" s="60"/>
      <c r="WTI2471" s="63"/>
      <c r="WTJ2471" s="61"/>
      <c r="WTK2471" s="54"/>
      <c r="WTL2471" s="54"/>
      <c r="WTM2471" s="63"/>
      <c r="WTN2471" s="60"/>
      <c r="WTO2471" s="60"/>
      <c r="WTP2471" s="60"/>
      <c r="WTQ2471" s="63"/>
      <c r="WTR2471" s="61"/>
      <c r="WTS2471" s="54"/>
      <c r="WTT2471" s="54"/>
      <c r="WTU2471" s="63"/>
      <c r="WTV2471" s="60"/>
      <c r="WTW2471" s="60"/>
      <c r="WTX2471" s="60"/>
      <c r="WTY2471" s="63"/>
      <c r="WTZ2471" s="61"/>
      <c r="WUA2471" s="54"/>
      <c r="WUB2471" s="54"/>
      <c r="WUC2471" s="63"/>
      <c r="WUD2471" s="60"/>
      <c r="WUE2471" s="60"/>
      <c r="WUF2471" s="60"/>
      <c r="WUG2471" s="63"/>
      <c r="WUH2471" s="61"/>
      <c r="WUI2471" s="54"/>
      <c r="WUJ2471" s="54"/>
      <c r="WUK2471" s="63"/>
      <c r="WUL2471" s="60"/>
      <c r="WUM2471" s="60"/>
      <c r="WUN2471" s="60"/>
      <c r="WUO2471" s="63"/>
      <c r="WUP2471" s="61"/>
      <c r="WUQ2471" s="54"/>
      <c r="WUR2471" s="54"/>
      <c r="WUS2471" s="63"/>
      <c r="WUT2471" s="60"/>
      <c r="WUU2471" s="60"/>
      <c r="WUV2471" s="60"/>
      <c r="WUW2471" s="63"/>
      <c r="WUX2471" s="61"/>
      <c r="WUY2471" s="54"/>
      <c r="WUZ2471" s="54"/>
      <c r="WVA2471" s="63"/>
      <c r="WVB2471" s="60"/>
      <c r="WVC2471" s="60"/>
      <c r="WVD2471" s="60"/>
      <c r="WVE2471" s="63"/>
      <c r="WVF2471" s="61"/>
      <c r="WVG2471" s="54"/>
      <c r="WVH2471" s="54"/>
      <c r="WVI2471" s="63"/>
      <c r="WVJ2471" s="60"/>
      <c r="WVK2471" s="60"/>
      <c r="WVL2471" s="60"/>
      <c r="WVM2471" s="63"/>
      <c r="WVN2471" s="61"/>
      <c r="WVO2471" s="54"/>
      <c r="WVP2471" s="54"/>
      <c r="WVQ2471" s="63"/>
      <c r="WVR2471" s="60"/>
      <c r="WVS2471" s="60"/>
      <c r="WVT2471" s="60"/>
      <c r="WVU2471" s="63"/>
      <c r="WVV2471" s="61"/>
      <c r="WVW2471" s="54"/>
      <c r="WVX2471" s="54"/>
      <c r="WVY2471" s="63"/>
      <c r="WVZ2471" s="60"/>
      <c r="WWA2471" s="60"/>
      <c r="WWB2471" s="60"/>
      <c r="WWC2471" s="63"/>
      <c r="WWD2471" s="61"/>
      <c r="WWE2471" s="54"/>
      <c r="WWF2471" s="54"/>
      <c r="WWG2471" s="63"/>
      <c r="WWH2471" s="60"/>
      <c r="WWI2471" s="60"/>
      <c r="WWJ2471" s="60"/>
      <c r="WWK2471" s="63"/>
      <c r="WWL2471" s="61"/>
      <c r="WWM2471" s="54"/>
      <c r="WWN2471" s="54"/>
      <c r="WWO2471" s="63"/>
      <c r="WWP2471" s="60"/>
      <c r="WWQ2471" s="60"/>
      <c r="WWR2471" s="60"/>
      <c r="WWS2471" s="63"/>
      <c r="WWT2471" s="61"/>
      <c r="WWU2471" s="54"/>
      <c r="WWV2471" s="54"/>
      <c r="WWW2471" s="63"/>
      <c r="WWX2471" s="60"/>
      <c r="WWY2471" s="60"/>
      <c r="WWZ2471" s="60"/>
      <c r="WXA2471" s="63"/>
      <c r="WXB2471" s="61"/>
      <c r="WXC2471" s="54"/>
      <c r="WXD2471" s="54"/>
      <c r="WXE2471" s="63"/>
      <c r="WXF2471" s="60"/>
      <c r="WXG2471" s="60"/>
      <c r="WXH2471" s="60"/>
      <c r="WXI2471" s="63"/>
      <c r="WXJ2471" s="61"/>
      <c r="WXK2471" s="54"/>
      <c r="WXL2471" s="54"/>
      <c r="WXM2471" s="63"/>
      <c r="WXN2471" s="60"/>
      <c r="WXO2471" s="60"/>
      <c r="WXP2471" s="60"/>
      <c r="WXQ2471" s="63"/>
      <c r="WXR2471" s="61"/>
      <c r="WXS2471" s="54"/>
      <c r="WXT2471" s="54"/>
      <c r="WXU2471" s="63"/>
      <c r="WXV2471" s="60"/>
      <c r="WXW2471" s="60"/>
      <c r="WXX2471" s="60"/>
      <c r="WXY2471" s="63"/>
      <c r="WXZ2471" s="61"/>
      <c r="WYA2471" s="54"/>
      <c r="WYB2471" s="54"/>
      <c r="WYC2471" s="63"/>
      <c r="WYD2471" s="60"/>
      <c r="WYE2471" s="60"/>
      <c r="WYF2471" s="60"/>
      <c r="WYG2471" s="63"/>
      <c r="WYH2471" s="61"/>
      <c r="WYI2471" s="54"/>
      <c r="WYJ2471" s="54"/>
      <c r="WYK2471" s="63"/>
      <c r="WYL2471" s="60"/>
      <c r="WYM2471" s="60"/>
      <c r="WYN2471" s="60"/>
      <c r="WYO2471" s="63"/>
      <c r="WYP2471" s="61"/>
      <c r="WYQ2471" s="54"/>
      <c r="WYR2471" s="54"/>
      <c r="WYS2471" s="63"/>
      <c r="WYT2471" s="60"/>
      <c r="WYU2471" s="60"/>
      <c r="WYV2471" s="60"/>
      <c r="WYW2471" s="63"/>
      <c r="WYX2471" s="61"/>
      <c r="WYY2471" s="54"/>
      <c r="WYZ2471" s="54"/>
      <c r="WZA2471" s="63"/>
      <c r="WZB2471" s="60"/>
      <c r="WZC2471" s="60"/>
      <c r="WZD2471" s="60"/>
      <c r="WZE2471" s="63"/>
      <c r="WZF2471" s="61"/>
      <c r="WZG2471" s="54"/>
      <c r="WZH2471" s="54"/>
      <c r="WZI2471" s="63"/>
      <c r="WZJ2471" s="60"/>
      <c r="WZK2471" s="60"/>
      <c r="WZL2471" s="60"/>
      <c r="WZM2471" s="63"/>
      <c r="WZN2471" s="61"/>
      <c r="WZO2471" s="54"/>
      <c r="WZP2471" s="54"/>
      <c r="WZQ2471" s="63"/>
      <c r="WZR2471" s="60"/>
      <c r="WZS2471" s="60"/>
      <c r="WZT2471" s="60"/>
      <c r="WZU2471" s="63"/>
      <c r="WZV2471" s="61"/>
      <c r="WZW2471" s="54"/>
      <c r="WZX2471" s="54"/>
      <c r="WZY2471" s="63"/>
      <c r="WZZ2471" s="60"/>
      <c r="XAA2471" s="60"/>
      <c r="XAB2471" s="60"/>
      <c r="XAC2471" s="63"/>
      <c r="XAD2471" s="61"/>
      <c r="XAE2471" s="54"/>
      <c r="XAF2471" s="54"/>
      <c r="XAG2471" s="63"/>
      <c r="XAH2471" s="60"/>
      <c r="XAI2471" s="60"/>
      <c r="XAJ2471" s="60"/>
      <c r="XAK2471" s="63"/>
      <c r="XAL2471" s="61"/>
      <c r="XAM2471" s="54"/>
      <c r="XAN2471" s="54"/>
      <c r="XAO2471" s="63"/>
      <c r="XAP2471" s="60"/>
      <c r="XAQ2471" s="60"/>
      <c r="XAR2471" s="60"/>
      <c r="XAS2471" s="63"/>
      <c r="XAT2471" s="61"/>
      <c r="XAU2471" s="54"/>
      <c r="XAV2471" s="54"/>
      <c r="XAW2471" s="63"/>
      <c r="XAX2471" s="60"/>
      <c r="XAY2471" s="60"/>
      <c r="XAZ2471" s="60"/>
      <c r="XBA2471" s="63"/>
      <c r="XBB2471" s="61"/>
      <c r="XBC2471" s="54"/>
      <c r="XBD2471" s="54"/>
      <c r="XBE2471" s="63"/>
      <c r="XBF2471" s="60"/>
      <c r="XBG2471" s="60"/>
      <c r="XBH2471" s="60"/>
      <c r="XBI2471" s="63"/>
      <c r="XBJ2471" s="61"/>
      <c r="XBK2471" s="54"/>
      <c r="XBL2471" s="54"/>
      <c r="XBM2471" s="63"/>
      <c r="XBN2471" s="60"/>
      <c r="XBO2471" s="60"/>
      <c r="XBP2471" s="60"/>
      <c r="XBQ2471" s="63"/>
      <c r="XBR2471" s="61"/>
      <c r="XBS2471" s="54"/>
      <c r="XBT2471" s="54"/>
      <c r="XBU2471" s="63"/>
      <c r="XBV2471" s="60"/>
      <c r="XBW2471" s="60"/>
      <c r="XBX2471" s="60"/>
      <c r="XBY2471" s="63"/>
      <c r="XBZ2471" s="61"/>
      <c r="XCA2471" s="54"/>
      <c r="XCB2471" s="54"/>
      <c r="XCC2471" s="63"/>
      <c r="XCD2471" s="60"/>
      <c r="XCE2471" s="60"/>
      <c r="XCF2471" s="60"/>
      <c r="XCG2471" s="63"/>
      <c r="XCH2471" s="61"/>
      <c r="XCI2471" s="54"/>
      <c r="XCJ2471" s="54"/>
      <c r="XCK2471" s="63"/>
      <c r="XCL2471" s="60"/>
      <c r="XCM2471" s="60"/>
      <c r="XCN2471" s="60"/>
      <c r="XCO2471" s="63"/>
      <c r="XCP2471" s="61"/>
      <c r="XCQ2471" s="54"/>
      <c r="XCR2471" s="54"/>
      <c r="XCS2471" s="63"/>
      <c r="XCT2471" s="60"/>
      <c r="XCU2471" s="60"/>
      <c r="XCV2471" s="60"/>
      <c r="XCW2471" s="63"/>
      <c r="XCX2471" s="61"/>
      <c r="XCY2471" s="54"/>
      <c r="XCZ2471" s="54"/>
      <c r="XDA2471" s="63"/>
      <c r="XDB2471" s="60"/>
      <c r="XDC2471" s="60"/>
      <c r="XDD2471" s="60"/>
      <c r="XDE2471" s="63"/>
      <c r="XDF2471" s="61"/>
      <c r="XDG2471" s="54"/>
      <c r="XDH2471" s="54"/>
      <c r="XDI2471" s="63"/>
      <c r="XDJ2471" s="60"/>
      <c r="XDK2471" s="60"/>
      <c r="XDL2471" s="60"/>
      <c r="XDM2471" s="63"/>
      <c r="XDN2471" s="61"/>
      <c r="XDO2471" s="54"/>
      <c r="XDP2471" s="54"/>
      <c r="XDQ2471" s="63"/>
      <c r="XDR2471" s="60"/>
      <c r="XDS2471" s="60"/>
      <c r="XDT2471" s="60"/>
      <c r="XDU2471" s="63"/>
      <c r="XDV2471" s="61"/>
      <c r="XDW2471" s="54"/>
      <c r="XDX2471" s="54"/>
      <c r="XDY2471" s="63"/>
      <c r="XDZ2471" s="60"/>
      <c r="XEA2471" s="60"/>
      <c r="XEB2471" s="60"/>
      <c r="XEC2471" s="63"/>
      <c r="XED2471" s="61"/>
      <c r="XEE2471" s="54"/>
      <c r="XEF2471" s="54"/>
      <c r="XEG2471" s="63"/>
      <c r="XEH2471" s="60"/>
      <c r="XEI2471" s="60"/>
      <c r="XEJ2471" s="60"/>
      <c r="XEK2471" s="63"/>
      <c r="XEL2471" s="61"/>
      <c r="XEM2471" s="54"/>
      <c r="XEN2471" s="54"/>
      <c r="XEO2471" s="63"/>
      <c r="XEP2471" s="60"/>
      <c r="XEQ2471" s="60"/>
      <c r="XER2471" s="60"/>
      <c r="XES2471" s="63"/>
      <c r="XET2471" s="61"/>
      <c r="XEU2471" s="54"/>
      <c r="XEV2471" s="54"/>
      <c r="XEW2471" s="63"/>
    </row>
    <row r="2472" ht="18" customHeight="1" spans="1:16377">
      <c r="A2472" s="6" t="s">
        <v>8209</v>
      </c>
      <c r="B2472" s="6" t="s">
        <v>8540</v>
      </c>
      <c r="C2472" s="11" t="s">
        <v>16399</v>
      </c>
      <c r="D2472" s="5" t="s">
        <v>16374</v>
      </c>
      <c r="E2472" s="11" t="s">
        <v>16400</v>
      </c>
      <c r="F2472" s="7" t="s">
        <v>11535</v>
      </c>
      <c r="G2472" s="54"/>
      <c r="H2472" s="54"/>
      <c r="I2472" s="63"/>
      <c r="J2472" s="60"/>
      <c r="K2472" s="60"/>
      <c r="L2472" s="60"/>
      <c r="M2472" s="63"/>
      <c r="N2472" s="61"/>
      <c r="O2472" s="54"/>
      <c r="P2472" s="54"/>
      <c r="Q2472" s="63"/>
      <c r="R2472" s="60"/>
      <c r="S2472" s="60"/>
      <c r="T2472" s="60"/>
      <c r="U2472" s="63"/>
      <c r="V2472" s="61"/>
      <c r="W2472" s="54"/>
      <c r="X2472" s="54"/>
      <c r="Y2472" s="63"/>
      <c r="Z2472" s="60"/>
      <c r="AA2472" s="60"/>
      <c r="AB2472" s="60"/>
      <c r="AC2472" s="63"/>
      <c r="AD2472" s="61"/>
      <c r="AE2472" s="54"/>
      <c r="AF2472" s="54"/>
      <c r="AG2472" s="63"/>
      <c r="AH2472" s="60"/>
      <c r="AI2472" s="60"/>
      <c r="AJ2472" s="60"/>
      <c r="AK2472" s="63"/>
      <c r="AL2472" s="61"/>
      <c r="AM2472" s="54"/>
      <c r="AN2472" s="54"/>
      <c r="AO2472" s="63"/>
      <c r="AP2472" s="60"/>
      <c r="AQ2472" s="60"/>
      <c r="AR2472" s="60"/>
      <c r="AS2472" s="63"/>
      <c r="AT2472" s="61"/>
      <c r="AU2472" s="54"/>
      <c r="AV2472" s="54"/>
      <c r="AW2472" s="63"/>
      <c r="AX2472" s="60"/>
      <c r="AY2472" s="60"/>
      <c r="AZ2472" s="60"/>
      <c r="BA2472" s="63"/>
      <c r="BB2472" s="61"/>
      <c r="BC2472" s="54"/>
      <c r="BD2472" s="54"/>
      <c r="BE2472" s="63"/>
      <c r="BF2472" s="60"/>
      <c r="BG2472" s="60"/>
      <c r="BH2472" s="60"/>
      <c r="BI2472" s="63"/>
      <c r="BJ2472" s="61"/>
      <c r="BK2472" s="54"/>
      <c r="BL2472" s="54"/>
      <c r="BM2472" s="63"/>
      <c r="BN2472" s="60"/>
      <c r="BO2472" s="60"/>
      <c r="BP2472" s="60"/>
      <c r="BQ2472" s="63"/>
      <c r="BR2472" s="61"/>
      <c r="BS2472" s="54"/>
      <c r="BT2472" s="54"/>
      <c r="BU2472" s="63"/>
      <c r="BV2472" s="60"/>
      <c r="BW2472" s="60"/>
      <c r="BX2472" s="60"/>
      <c r="BY2472" s="63"/>
      <c r="BZ2472" s="61"/>
      <c r="CA2472" s="54"/>
      <c r="CB2472" s="54"/>
      <c r="CC2472" s="63"/>
      <c r="CD2472" s="60"/>
      <c r="CE2472" s="60"/>
      <c r="CF2472" s="60"/>
      <c r="CG2472" s="63"/>
      <c r="CH2472" s="61"/>
      <c r="CI2472" s="54"/>
      <c r="CJ2472" s="54"/>
      <c r="CK2472" s="63"/>
      <c r="CL2472" s="60"/>
      <c r="CM2472" s="60"/>
      <c r="CN2472" s="60"/>
      <c r="CO2472" s="63"/>
      <c r="CP2472" s="61"/>
      <c r="CQ2472" s="54"/>
      <c r="CR2472" s="54"/>
      <c r="CS2472" s="63"/>
      <c r="CT2472" s="60"/>
      <c r="CU2472" s="60"/>
      <c r="CV2472" s="60"/>
      <c r="CW2472" s="63"/>
      <c r="CX2472" s="61"/>
      <c r="CY2472" s="54"/>
      <c r="CZ2472" s="54"/>
      <c r="DA2472" s="63"/>
      <c r="DB2472" s="60"/>
      <c r="DC2472" s="60"/>
      <c r="DD2472" s="60"/>
      <c r="DE2472" s="63"/>
      <c r="DF2472" s="61"/>
      <c r="DG2472" s="54"/>
      <c r="DH2472" s="54"/>
      <c r="DI2472" s="63"/>
      <c r="DJ2472" s="60"/>
      <c r="DK2472" s="60"/>
      <c r="DL2472" s="60"/>
      <c r="DM2472" s="63"/>
      <c r="DN2472" s="61"/>
      <c r="DO2472" s="54"/>
      <c r="DP2472" s="54"/>
      <c r="DQ2472" s="63"/>
      <c r="DR2472" s="60"/>
      <c r="DS2472" s="60"/>
      <c r="DT2472" s="60"/>
      <c r="DU2472" s="63"/>
      <c r="DV2472" s="61"/>
      <c r="DW2472" s="54"/>
      <c r="DX2472" s="54"/>
      <c r="DY2472" s="63"/>
      <c r="DZ2472" s="60"/>
      <c r="EA2472" s="60"/>
      <c r="EB2472" s="60"/>
      <c r="EC2472" s="63"/>
      <c r="ED2472" s="61"/>
      <c r="EE2472" s="54"/>
      <c r="EF2472" s="54"/>
      <c r="EG2472" s="63"/>
      <c r="EH2472" s="60"/>
      <c r="EI2472" s="60"/>
      <c r="EJ2472" s="60"/>
      <c r="EK2472" s="63"/>
      <c r="EL2472" s="61"/>
      <c r="EM2472" s="54"/>
      <c r="EN2472" s="54"/>
      <c r="EO2472" s="63"/>
      <c r="EP2472" s="60"/>
      <c r="EQ2472" s="60"/>
      <c r="ER2472" s="60"/>
      <c r="ES2472" s="63"/>
      <c r="ET2472" s="61"/>
      <c r="EU2472" s="54"/>
      <c r="EV2472" s="54"/>
      <c r="EW2472" s="63"/>
      <c r="EX2472" s="60"/>
      <c r="EY2472" s="60"/>
      <c r="EZ2472" s="60"/>
      <c r="FA2472" s="63"/>
      <c r="FB2472" s="61"/>
      <c r="FC2472" s="54"/>
      <c r="FD2472" s="54"/>
      <c r="FE2472" s="63"/>
      <c r="FF2472" s="60"/>
      <c r="FG2472" s="60"/>
      <c r="FH2472" s="60"/>
      <c r="FI2472" s="63"/>
      <c r="FJ2472" s="61"/>
      <c r="FK2472" s="54"/>
      <c r="FL2472" s="54"/>
      <c r="FM2472" s="63"/>
      <c r="FN2472" s="60"/>
      <c r="FO2472" s="60"/>
      <c r="FP2472" s="60"/>
      <c r="FQ2472" s="63"/>
      <c r="FR2472" s="61"/>
      <c r="FS2472" s="54"/>
      <c r="FT2472" s="54"/>
      <c r="FU2472" s="63"/>
      <c r="FV2472" s="60"/>
      <c r="FW2472" s="60"/>
      <c r="FX2472" s="60"/>
      <c r="FY2472" s="63"/>
      <c r="FZ2472" s="61"/>
      <c r="GA2472" s="54"/>
      <c r="GB2472" s="54"/>
      <c r="GC2472" s="63"/>
      <c r="GD2472" s="60"/>
      <c r="GE2472" s="60"/>
      <c r="GF2472" s="60"/>
      <c r="GG2472" s="63"/>
      <c r="GH2472" s="61"/>
      <c r="GI2472" s="54"/>
      <c r="GJ2472" s="54"/>
      <c r="GK2472" s="63"/>
      <c r="GL2472" s="60"/>
      <c r="GM2472" s="60"/>
      <c r="GN2472" s="60"/>
      <c r="GO2472" s="63"/>
      <c r="GP2472" s="61"/>
      <c r="GQ2472" s="54"/>
      <c r="GR2472" s="54"/>
      <c r="GS2472" s="63"/>
      <c r="GT2472" s="60"/>
      <c r="GU2472" s="60"/>
      <c r="GV2472" s="60"/>
      <c r="GW2472" s="63"/>
      <c r="GX2472" s="61"/>
      <c r="GY2472" s="54"/>
      <c r="GZ2472" s="54"/>
      <c r="HA2472" s="63"/>
      <c r="HB2472" s="60"/>
      <c r="HC2472" s="60"/>
      <c r="HD2472" s="60"/>
      <c r="HE2472" s="63"/>
      <c r="HF2472" s="61"/>
      <c r="HG2472" s="54"/>
      <c r="HH2472" s="54"/>
      <c r="HI2472" s="63"/>
      <c r="HJ2472" s="60"/>
      <c r="HK2472" s="60"/>
      <c r="HL2472" s="60"/>
      <c r="HM2472" s="63"/>
      <c r="HN2472" s="61"/>
      <c r="HO2472" s="54"/>
      <c r="HP2472" s="54"/>
      <c r="HQ2472" s="63"/>
      <c r="HR2472" s="60"/>
      <c r="HS2472" s="60"/>
      <c r="HT2472" s="60"/>
      <c r="HU2472" s="63"/>
      <c r="HV2472" s="61"/>
      <c r="HW2472" s="54"/>
      <c r="HX2472" s="54"/>
      <c r="HY2472" s="63"/>
      <c r="HZ2472" s="60"/>
      <c r="IA2472" s="60"/>
      <c r="IB2472" s="60"/>
      <c r="IC2472" s="63"/>
      <c r="ID2472" s="61"/>
      <c r="IE2472" s="54"/>
      <c r="IF2472" s="54"/>
      <c r="IG2472" s="63"/>
      <c r="IH2472" s="60"/>
      <c r="II2472" s="60"/>
      <c r="IJ2472" s="60"/>
      <c r="IK2472" s="63"/>
      <c r="IL2472" s="61"/>
      <c r="IM2472" s="54"/>
      <c r="IN2472" s="54"/>
      <c r="IO2472" s="63"/>
      <c r="IP2472" s="60"/>
      <c r="IQ2472" s="60"/>
      <c r="IR2472" s="60"/>
      <c r="IS2472" s="63"/>
      <c r="IT2472" s="61"/>
      <c r="IU2472" s="54"/>
      <c r="IV2472" s="54"/>
      <c r="IW2472" s="63"/>
      <c r="IX2472" s="60"/>
      <c r="IY2472" s="60"/>
      <c r="IZ2472" s="60"/>
      <c r="JA2472" s="63"/>
      <c r="JB2472" s="61"/>
      <c r="JC2472" s="54"/>
      <c r="JD2472" s="54"/>
      <c r="JE2472" s="63"/>
      <c r="JF2472" s="60"/>
      <c r="JG2472" s="60"/>
      <c r="JH2472" s="60"/>
      <c r="JI2472" s="63"/>
      <c r="JJ2472" s="61"/>
      <c r="JK2472" s="54"/>
      <c r="JL2472" s="54"/>
      <c r="JM2472" s="63"/>
      <c r="JN2472" s="60"/>
      <c r="JO2472" s="60"/>
      <c r="JP2472" s="60"/>
      <c r="JQ2472" s="63"/>
      <c r="JR2472" s="61"/>
      <c r="JS2472" s="54"/>
      <c r="JT2472" s="54"/>
      <c r="JU2472" s="63"/>
      <c r="JV2472" s="60"/>
      <c r="JW2472" s="60"/>
      <c r="JX2472" s="60"/>
      <c r="JY2472" s="63"/>
      <c r="JZ2472" s="61"/>
      <c r="KA2472" s="54"/>
      <c r="KB2472" s="54"/>
      <c r="KC2472" s="63"/>
      <c r="KD2472" s="60"/>
      <c r="KE2472" s="60"/>
      <c r="KF2472" s="60"/>
      <c r="KG2472" s="63"/>
      <c r="KH2472" s="61"/>
      <c r="KI2472" s="54"/>
      <c r="KJ2472" s="54"/>
      <c r="KK2472" s="63"/>
      <c r="KL2472" s="60"/>
      <c r="KM2472" s="60"/>
      <c r="KN2472" s="60"/>
      <c r="KO2472" s="63"/>
      <c r="KP2472" s="61"/>
      <c r="KQ2472" s="54"/>
      <c r="KR2472" s="54"/>
      <c r="KS2472" s="63"/>
      <c r="KT2472" s="60"/>
      <c r="KU2472" s="60"/>
      <c r="KV2472" s="60"/>
      <c r="KW2472" s="63"/>
      <c r="KX2472" s="61"/>
      <c r="KY2472" s="54"/>
      <c r="KZ2472" s="54"/>
      <c r="LA2472" s="63"/>
      <c r="LB2472" s="60"/>
      <c r="LC2472" s="60"/>
      <c r="LD2472" s="60"/>
      <c r="LE2472" s="63"/>
      <c r="LF2472" s="61"/>
      <c r="LG2472" s="54"/>
      <c r="LH2472" s="54"/>
      <c r="LI2472" s="63"/>
      <c r="LJ2472" s="60"/>
      <c r="LK2472" s="60"/>
      <c r="LL2472" s="60"/>
      <c r="LM2472" s="63"/>
      <c r="LN2472" s="61"/>
      <c r="LO2472" s="54"/>
      <c r="LP2472" s="54"/>
      <c r="LQ2472" s="63"/>
      <c r="LR2472" s="60"/>
      <c r="LS2472" s="60"/>
      <c r="LT2472" s="60"/>
      <c r="LU2472" s="63"/>
      <c r="LV2472" s="61"/>
      <c r="LW2472" s="54"/>
      <c r="LX2472" s="54"/>
      <c r="LY2472" s="63"/>
      <c r="LZ2472" s="60"/>
      <c r="MA2472" s="60"/>
      <c r="MB2472" s="60"/>
      <c r="MC2472" s="63"/>
      <c r="MD2472" s="61"/>
      <c r="ME2472" s="54"/>
      <c r="MF2472" s="54"/>
      <c r="MG2472" s="63"/>
      <c r="MH2472" s="60"/>
      <c r="MI2472" s="60"/>
      <c r="MJ2472" s="60"/>
      <c r="MK2472" s="63"/>
      <c r="ML2472" s="61"/>
      <c r="MM2472" s="54"/>
      <c r="MN2472" s="54"/>
      <c r="MO2472" s="63"/>
      <c r="MP2472" s="60"/>
      <c r="MQ2472" s="60"/>
      <c r="MR2472" s="60"/>
      <c r="MS2472" s="63"/>
      <c r="MT2472" s="61"/>
      <c r="MU2472" s="54"/>
      <c r="MV2472" s="54"/>
      <c r="MW2472" s="63"/>
      <c r="MX2472" s="60"/>
      <c r="MY2472" s="60"/>
      <c r="MZ2472" s="60"/>
      <c r="NA2472" s="63"/>
      <c r="NB2472" s="61"/>
      <c r="NC2472" s="54"/>
      <c r="ND2472" s="54"/>
      <c r="NE2472" s="63"/>
      <c r="NF2472" s="60"/>
      <c r="NG2472" s="60"/>
      <c r="NH2472" s="60"/>
      <c r="NI2472" s="63"/>
      <c r="NJ2472" s="61"/>
      <c r="NK2472" s="54"/>
      <c r="NL2472" s="54"/>
      <c r="NM2472" s="63"/>
      <c r="NN2472" s="60"/>
      <c r="NO2472" s="60"/>
      <c r="NP2472" s="60"/>
      <c r="NQ2472" s="63"/>
      <c r="NR2472" s="61"/>
      <c r="NS2472" s="54"/>
      <c r="NT2472" s="54"/>
      <c r="NU2472" s="63"/>
      <c r="NV2472" s="60"/>
      <c r="NW2472" s="60"/>
      <c r="NX2472" s="60"/>
      <c r="NY2472" s="63"/>
      <c r="NZ2472" s="61"/>
      <c r="OA2472" s="54"/>
      <c r="OB2472" s="54"/>
      <c r="OC2472" s="63"/>
      <c r="OD2472" s="60"/>
      <c r="OE2472" s="60"/>
      <c r="OF2472" s="60"/>
      <c r="OG2472" s="63"/>
      <c r="OH2472" s="61"/>
      <c r="OI2472" s="54"/>
      <c r="OJ2472" s="54"/>
      <c r="OK2472" s="63"/>
      <c r="OL2472" s="60"/>
      <c r="OM2472" s="60"/>
      <c r="ON2472" s="60"/>
      <c r="OO2472" s="63"/>
      <c r="OP2472" s="61"/>
      <c r="OQ2472" s="54"/>
      <c r="OR2472" s="54"/>
      <c r="OS2472" s="63"/>
      <c r="OT2472" s="60"/>
      <c r="OU2472" s="60"/>
      <c r="OV2472" s="60"/>
      <c r="OW2472" s="63"/>
      <c r="OX2472" s="61"/>
      <c r="OY2472" s="54"/>
      <c r="OZ2472" s="54"/>
      <c r="PA2472" s="63"/>
      <c r="PB2472" s="60"/>
      <c r="PC2472" s="60"/>
      <c r="PD2472" s="60"/>
      <c r="PE2472" s="63"/>
      <c r="PF2472" s="61"/>
      <c r="PG2472" s="54"/>
      <c r="PH2472" s="54"/>
      <c r="PI2472" s="63"/>
      <c r="PJ2472" s="60"/>
      <c r="PK2472" s="60"/>
      <c r="PL2472" s="60"/>
      <c r="PM2472" s="63"/>
      <c r="PN2472" s="61"/>
      <c r="PO2472" s="54"/>
      <c r="PP2472" s="54"/>
      <c r="PQ2472" s="63"/>
      <c r="PR2472" s="60"/>
      <c r="PS2472" s="60"/>
      <c r="PT2472" s="60"/>
      <c r="PU2472" s="63"/>
      <c r="PV2472" s="61"/>
      <c r="PW2472" s="54"/>
      <c r="PX2472" s="54"/>
      <c r="PY2472" s="63"/>
      <c r="PZ2472" s="60"/>
      <c r="QA2472" s="60"/>
      <c r="QB2472" s="60"/>
      <c r="QC2472" s="63"/>
      <c r="QD2472" s="61"/>
      <c r="QE2472" s="54"/>
      <c r="QF2472" s="54"/>
      <c r="QG2472" s="63"/>
      <c r="QH2472" s="60"/>
      <c r="QI2472" s="60"/>
      <c r="QJ2472" s="60"/>
      <c r="QK2472" s="63"/>
      <c r="QL2472" s="61"/>
      <c r="QM2472" s="54"/>
      <c r="QN2472" s="54"/>
      <c r="QO2472" s="63"/>
      <c r="QP2472" s="60"/>
      <c r="QQ2472" s="60"/>
      <c r="QR2472" s="60"/>
      <c r="QS2472" s="63"/>
      <c r="QT2472" s="61"/>
      <c r="QU2472" s="54"/>
      <c r="QV2472" s="54"/>
      <c r="QW2472" s="63"/>
      <c r="QX2472" s="60"/>
      <c r="QY2472" s="60"/>
      <c r="QZ2472" s="60"/>
      <c r="RA2472" s="63"/>
      <c r="RB2472" s="61"/>
      <c r="RC2472" s="54"/>
      <c r="RD2472" s="54"/>
      <c r="RE2472" s="63"/>
      <c r="RF2472" s="60"/>
      <c r="RG2472" s="60"/>
      <c r="RH2472" s="60"/>
      <c r="RI2472" s="63"/>
      <c r="RJ2472" s="61"/>
      <c r="RK2472" s="54"/>
      <c r="RL2472" s="54"/>
      <c r="RM2472" s="63"/>
      <c r="RN2472" s="60"/>
      <c r="RO2472" s="60"/>
      <c r="RP2472" s="60"/>
      <c r="RQ2472" s="63"/>
      <c r="RR2472" s="61"/>
      <c r="RS2472" s="54"/>
      <c r="RT2472" s="54"/>
      <c r="RU2472" s="63"/>
      <c r="RV2472" s="60"/>
      <c r="RW2472" s="60"/>
      <c r="RX2472" s="60"/>
      <c r="RY2472" s="63"/>
      <c r="RZ2472" s="61"/>
      <c r="SA2472" s="54"/>
      <c r="SB2472" s="54"/>
      <c r="SC2472" s="63"/>
      <c r="SD2472" s="60"/>
      <c r="SE2472" s="60"/>
      <c r="SF2472" s="60"/>
      <c r="SG2472" s="63"/>
      <c r="SH2472" s="61"/>
      <c r="SI2472" s="54"/>
      <c r="SJ2472" s="54"/>
      <c r="SK2472" s="63"/>
      <c r="SL2472" s="60"/>
      <c r="SM2472" s="60"/>
      <c r="SN2472" s="60"/>
      <c r="SO2472" s="63"/>
      <c r="SP2472" s="61"/>
      <c r="SQ2472" s="54"/>
      <c r="SR2472" s="54"/>
      <c r="SS2472" s="63"/>
      <c r="ST2472" s="60"/>
      <c r="SU2472" s="60"/>
      <c r="SV2472" s="60"/>
      <c r="SW2472" s="63"/>
      <c r="SX2472" s="61"/>
      <c r="SY2472" s="54"/>
      <c r="SZ2472" s="54"/>
      <c r="TA2472" s="63"/>
      <c r="TB2472" s="60"/>
      <c r="TC2472" s="60"/>
      <c r="TD2472" s="60"/>
      <c r="TE2472" s="63"/>
      <c r="TF2472" s="61"/>
      <c r="TG2472" s="54"/>
      <c r="TH2472" s="54"/>
      <c r="TI2472" s="63"/>
      <c r="TJ2472" s="60"/>
      <c r="TK2472" s="60"/>
      <c r="TL2472" s="60"/>
      <c r="TM2472" s="63"/>
      <c r="TN2472" s="61"/>
      <c r="TO2472" s="54"/>
      <c r="TP2472" s="54"/>
      <c r="TQ2472" s="63"/>
      <c r="TR2472" s="60"/>
      <c r="TS2472" s="60"/>
      <c r="TT2472" s="60"/>
      <c r="TU2472" s="63"/>
      <c r="TV2472" s="61"/>
      <c r="TW2472" s="54"/>
      <c r="TX2472" s="54"/>
      <c r="TY2472" s="63"/>
      <c r="TZ2472" s="60"/>
      <c r="UA2472" s="60"/>
      <c r="UB2472" s="60"/>
      <c r="UC2472" s="63"/>
      <c r="UD2472" s="61"/>
      <c r="UE2472" s="54"/>
      <c r="UF2472" s="54"/>
      <c r="UG2472" s="63"/>
      <c r="UH2472" s="60"/>
      <c r="UI2472" s="60"/>
      <c r="UJ2472" s="60"/>
      <c r="UK2472" s="63"/>
      <c r="UL2472" s="61"/>
      <c r="UM2472" s="54"/>
      <c r="UN2472" s="54"/>
      <c r="UO2472" s="63"/>
      <c r="UP2472" s="60"/>
      <c r="UQ2472" s="60"/>
      <c r="UR2472" s="60"/>
      <c r="US2472" s="63"/>
      <c r="UT2472" s="61"/>
      <c r="UU2472" s="54"/>
      <c r="UV2472" s="54"/>
      <c r="UW2472" s="63"/>
      <c r="UX2472" s="60"/>
      <c r="UY2472" s="60"/>
      <c r="UZ2472" s="60"/>
      <c r="VA2472" s="63"/>
      <c r="VB2472" s="61"/>
      <c r="VC2472" s="54"/>
      <c r="VD2472" s="54"/>
      <c r="VE2472" s="63"/>
      <c r="VF2472" s="60"/>
      <c r="VG2472" s="60"/>
      <c r="VH2472" s="60"/>
      <c r="VI2472" s="63"/>
      <c r="VJ2472" s="61"/>
      <c r="VK2472" s="54"/>
      <c r="VL2472" s="54"/>
      <c r="VM2472" s="63"/>
      <c r="VN2472" s="60"/>
      <c r="VO2472" s="60"/>
      <c r="VP2472" s="60"/>
      <c r="VQ2472" s="63"/>
      <c r="VR2472" s="61"/>
      <c r="VS2472" s="54"/>
      <c r="VT2472" s="54"/>
      <c r="VU2472" s="63"/>
      <c r="VV2472" s="60"/>
      <c r="VW2472" s="60"/>
      <c r="VX2472" s="60"/>
      <c r="VY2472" s="63"/>
      <c r="VZ2472" s="61"/>
      <c r="WA2472" s="54"/>
      <c r="WB2472" s="54"/>
      <c r="WC2472" s="63"/>
      <c r="WD2472" s="60"/>
      <c r="WE2472" s="60"/>
      <c r="WF2472" s="60"/>
      <c r="WG2472" s="63"/>
      <c r="WH2472" s="61"/>
      <c r="WI2472" s="54"/>
      <c r="WJ2472" s="54"/>
      <c r="WK2472" s="63"/>
      <c r="WL2472" s="60"/>
      <c r="WM2472" s="60"/>
      <c r="WN2472" s="60"/>
      <c r="WO2472" s="63"/>
      <c r="WP2472" s="61"/>
      <c r="WQ2472" s="54"/>
      <c r="WR2472" s="54"/>
      <c r="WS2472" s="63"/>
      <c r="WT2472" s="60"/>
      <c r="WU2472" s="60"/>
      <c r="WV2472" s="60"/>
      <c r="WW2472" s="63"/>
      <c r="WX2472" s="61"/>
      <c r="WY2472" s="54"/>
      <c r="WZ2472" s="54"/>
      <c r="XA2472" s="63"/>
      <c r="XB2472" s="60"/>
      <c r="XC2472" s="60"/>
      <c r="XD2472" s="60"/>
      <c r="XE2472" s="63"/>
      <c r="XF2472" s="61"/>
      <c r="XG2472" s="54"/>
      <c r="XH2472" s="54"/>
      <c r="XI2472" s="63"/>
      <c r="XJ2472" s="60"/>
      <c r="XK2472" s="60"/>
      <c r="XL2472" s="60"/>
      <c r="XM2472" s="63"/>
      <c r="XN2472" s="61"/>
      <c r="XO2472" s="54"/>
      <c r="XP2472" s="54"/>
      <c r="XQ2472" s="63"/>
      <c r="XR2472" s="60"/>
      <c r="XS2472" s="60"/>
      <c r="XT2472" s="60"/>
      <c r="XU2472" s="63"/>
      <c r="XV2472" s="61"/>
      <c r="XW2472" s="54"/>
      <c r="XX2472" s="54"/>
      <c r="XY2472" s="63"/>
      <c r="XZ2472" s="60"/>
      <c r="YA2472" s="60"/>
      <c r="YB2472" s="60"/>
      <c r="YC2472" s="63"/>
      <c r="YD2472" s="61"/>
      <c r="YE2472" s="54"/>
      <c r="YF2472" s="54"/>
      <c r="YG2472" s="63"/>
      <c r="YH2472" s="60"/>
      <c r="YI2472" s="60"/>
      <c r="YJ2472" s="60"/>
      <c r="YK2472" s="63"/>
      <c r="YL2472" s="61"/>
      <c r="YM2472" s="54"/>
      <c r="YN2472" s="54"/>
      <c r="YO2472" s="63"/>
      <c r="YP2472" s="60"/>
      <c r="YQ2472" s="60"/>
      <c r="YR2472" s="60"/>
      <c r="YS2472" s="63"/>
      <c r="YT2472" s="61"/>
      <c r="YU2472" s="54"/>
      <c r="YV2472" s="54"/>
      <c r="YW2472" s="63"/>
      <c r="YX2472" s="60"/>
      <c r="YY2472" s="60"/>
      <c r="YZ2472" s="60"/>
      <c r="ZA2472" s="63"/>
      <c r="ZB2472" s="61"/>
      <c r="ZC2472" s="54"/>
      <c r="ZD2472" s="54"/>
      <c r="ZE2472" s="63"/>
      <c r="ZF2472" s="60"/>
      <c r="ZG2472" s="60"/>
      <c r="ZH2472" s="60"/>
      <c r="ZI2472" s="63"/>
      <c r="ZJ2472" s="61"/>
      <c r="ZK2472" s="54"/>
      <c r="ZL2472" s="54"/>
      <c r="ZM2472" s="63"/>
      <c r="ZN2472" s="60"/>
      <c r="ZO2472" s="60"/>
      <c r="ZP2472" s="60"/>
      <c r="ZQ2472" s="63"/>
      <c r="ZR2472" s="61"/>
      <c r="ZS2472" s="54"/>
      <c r="ZT2472" s="54"/>
      <c r="ZU2472" s="63"/>
      <c r="ZV2472" s="60"/>
      <c r="ZW2472" s="60"/>
      <c r="ZX2472" s="60"/>
      <c r="ZY2472" s="63"/>
      <c r="ZZ2472" s="61"/>
      <c r="AAA2472" s="54"/>
      <c r="AAB2472" s="54"/>
      <c r="AAC2472" s="63"/>
      <c r="AAD2472" s="60"/>
      <c r="AAE2472" s="60"/>
      <c r="AAF2472" s="60"/>
      <c r="AAG2472" s="63"/>
      <c r="AAH2472" s="61"/>
      <c r="AAI2472" s="54"/>
      <c r="AAJ2472" s="54"/>
      <c r="AAK2472" s="63"/>
      <c r="AAL2472" s="60"/>
      <c r="AAM2472" s="60"/>
      <c r="AAN2472" s="60"/>
      <c r="AAO2472" s="63"/>
      <c r="AAP2472" s="61"/>
      <c r="AAQ2472" s="54"/>
      <c r="AAR2472" s="54"/>
      <c r="AAS2472" s="63"/>
      <c r="AAT2472" s="60"/>
      <c r="AAU2472" s="60"/>
      <c r="AAV2472" s="60"/>
      <c r="AAW2472" s="63"/>
      <c r="AAX2472" s="61"/>
      <c r="AAY2472" s="54"/>
      <c r="AAZ2472" s="54"/>
      <c r="ABA2472" s="63"/>
      <c r="ABB2472" s="60"/>
      <c r="ABC2472" s="60"/>
      <c r="ABD2472" s="60"/>
      <c r="ABE2472" s="63"/>
      <c r="ABF2472" s="61"/>
      <c r="ABG2472" s="54"/>
      <c r="ABH2472" s="54"/>
      <c r="ABI2472" s="63"/>
      <c r="ABJ2472" s="60"/>
      <c r="ABK2472" s="60"/>
      <c r="ABL2472" s="60"/>
      <c r="ABM2472" s="63"/>
      <c r="ABN2472" s="61"/>
      <c r="ABO2472" s="54"/>
      <c r="ABP2472" s="54"/>
      <c r="ABQ2472" s="63"/>
      <c r="ABR2472" s="60"/>
      <c r="ABS2472" s="60"/>
      <c r="ABT2472" s="60"/>
      <c r="ABU2472" s="63"/>
      <c r="ABV2472" s="61"/>
      <c r="ABW2472" s="54"/>
      <c r="ABX2472" s="54"/>
      <c r="ABY2472" s="63"/>
      <c r="ABZ2472" s="60"/>
      <c r="ACA2472" s="60"/>
      <c r="ACB2472" s="60"/>
      <c r="ACC2472" s="63"/>
      <c r="ACD2472" s="61"/>
      <c r="ACE2472" s="54"/>
      <c r="ACF2472" s="54"/>
      <c r="ACG2472" s="63"/>
      <c r="ACH2472" s="60"/>
      <c r="ACI2472" s="60"/>
      <c r="ACJ2472" s="60"/>
      <c r="ACK2472" s="63"/>
      <c r="ACL2472" s="61"/>
      <c r="ACM2472" s="54"/>
      <c r="ACN2472" s="54"/>
      <c r="ACO2472" s="63"/>
      <c r="ACP2472" s="60"/>
      <c r="ACQ2472" s="60"/>
      <c r="ACR2472" s="60"/>
      <c r="ACS2472" s="63"/>
      <c r="ACT2472" s="61"/>
      <c r="ACU2472" s="54"/>
      <c r="ACV2472" s="54"/>
      <c r="ACW2472" s="63"/>
      <c r="ACX2472" s="60"/>
      <c r="ACY2472" s="60"/>
      <c r="ACZ2472" s="60"/>
      <c r="ADA2472" s="63"/>
      <c r="ADB2472" s="61"/>
      <c r="ADC2472" s="54"/>
      <c r="ADD2472" s="54"/>
      <c r="ADE2472" s="63"/>
      <c r="ADF2472" s="60"/>
      <c r="ADG2472" s="60"/>
      <c r="ADH2472" s="60"/>
      <c r="ADI2472" s="63"/>
      <c r="ADJ2472" s="61"/>
      <c r="ADK2472" s="54"/>
      <c r="ADL2472" s="54"/>
      <c r="ADM2472" s="63"/>
      <c r="ADN2472" s="60"/>
      <c r="ADO2472" s="60"/>
      <c r="ADP2472" s="60"/>
      <c r="ADQ2472" s="63"/>
      <c r="ADR2472" s="61"/>
      <c r="ADS2472" s="54"/>
      <c r="ADT2472" s="54"/>
      <c r="ADU2472" s="63"/>
      <c r="ADV2472" s="60"/>
      <c r="ADW2472" s="60"/>
      <c r="ADX2472" s="60"/>
      <c r="ADY2472" s="63"/>
      <c r="ADZ2472" s="61"/>
      <c r="AEA2472" s="54"/>
      <c r="AEB2472" s="54"/>
      <c r="AEC2472" s="63"/>
      <c r="AED2472" s="60"/>
      <c r="AEE2472" s="60"/>
      <c r="AEF2472" s="60"/>
      <c r="AEG2472" s="63"/>
      <c r="AEH2472" s="61"/>
      <c r="AEI2472" s="54"/>
      <c r="AEJ2472" s="54"/>
      <c r="AEK2472" s="63"/>
      <c r="AEL2472" s="60"/>
      <c r="AEM2472" s="60"/>
      <c r="AEN2472" s="60"/>
      <c r="AEO2472" s="63"/>
      <c r="AEP2472" s="61"/>
      <c r="AEQ2472" s="54"/>
      <c r="AER2472" s="54"/>
      <c r="AES2472" s="63"/>
      <c r="AET2472" s="60"/>
      <c r="AEU2472" s="60"/>
      <c r="AEV2472" s="60"/>
      <c r="AEW2472" s="63"/>
      <c r="AEX2472" s="61"/>
      <c r="AEY2472" s="54"/>
      <c r="AEZ2472" s="54"/>
      <c r="AFA2472" s="63"/>
      <c r="AFB2472" s="60"/>
      <c r="AFC2472" s="60"/>
      <c r="AFD2472" s="60"/>
      <c r="AFE2472" s="63"/>
      <c r="AFF2472" s="61"/>
      <c r="AFG2472" s="54"/>
      <c r="AFH2472" s="54"/>
      <c r="AFI2472" s="63"/>
      <c r="AFJ2472" s="60"/>
      <c r="AFK2472" s="60"/>
      <c r="AFL2472" s="60"/>
      <c r="AFM2472" s="63"/>
      <c r="AFN2472" s="61"/>
      <c r="AFO2472" s="54"/>
      <c r="AFP2472" s="54"/>
      <c r="AFQ2472" s="63"/>
      <c r="AFR2472" s="60"/>
      <c r="AFS2472" s="60"/>
      <c r="AFT2472" s="60"/>
      <c r="AFU2472" s="63"/>
      <c r="AFV2472" s="61"/>
      <c r="AFW2472" s="54"/>
      <c r="AFX2472" s="54"/>
      <c r="AFY2472" s="63"/>
      <c r="AFZ2472" s="60"/>
      <c r="AGA2472" s="60"/>
      <c r="AGB2472" s="60"/>
      <c r="AGC2472" s="63"/>
      <c r="AGD2472" s="61"/>
      <c r="AGE2472" s="54"/>
      <c r="AGF2472" s="54"/>
      <c r="AGG2472" s="63"/>
      <c r="AGH2472" s="60"/>
      <c r="AGI2472" s="60"/>
      <c r="AGJ2472" s="60"/>
      <c r="AGK2472" s="63"/>
      <c r="AGL2472" s="61"/>
      <c r="AGM2472" s="54"/>
      <c r="AGN2472" s="54"/>
      <c r="AGO2472" s="63"/>
      <c r="AGP2472" s="60"/>
      <c r="AGQ2472" s="60"/>
      <c r="AGR2472" s="60"/>
      <c r="AGS2472" s="63"/>
      <c r="AGT2472" s="61"/>
      <c r="AGU2472" s="54"/>
      <c r="AGV2472" s="54"/>
      <c r="AGW2472" s="63"/>
      <c r="AGX2472" s="60"/>
      <c r="AGY2472" s="60"/>
      <c r="AGZ2472" s="60"/>
      <c r="AHA2472" s="63"/>
      <c r="AHB2472" s="61"/>
      <c r="AHC2472" s="54"/>
      <c r="AHD2472" s="54"/>
      <c r="AHE2472" s="63"/>
      <c r="AHF2472" s="60"/>
      <c r="AHG2472" s="60"/>
      <c r="AHH2472" s="60"/>
      <c r="AHI2472" s="63"/>
      <c r="AHJ2472" s="61"/>
      <c r="AHK2472" s="54"/>
      <c r="AHL2472" s="54"/>
      <c r="AHM2472" s="63"/>
      <c r="AHN2472" s="60"/>
      <c r="AHO2472" s="60"/>
      <c r="AHP2472" s="60"/>
      <c r="AHQ2472" s="63"/>
      <c r="AHR2472" s="61"/>
      <c r="AHS2472" s="54"/>
      <c r="AHT2472" s="54"/>
      <c r="AHU2472" s="63"/>
      <c r="AHV2472" s="60"/>
      <c r="AHW2472" s="60"/>
      <c r="AHX2472" s="60"/>
      <c r="AHY2472" s="63"/>
      <c r="AHZ2472" s="61"/>
      <c r="AIA2472" s="54"/>
      <c r="AIB2472" s="54"/>
      <c r="AIC2472" s="63"/>
      <c r="AID2472" s="60"/>
      <c r="AIE2472" s="60"/>
      <c r="AIF2472" s="60"/>
      <c r="AIG2472" s="63"/>
      <c r="AIH2472" s="61"/>
      <c r="AII2472" s="54"/>
      <c r="AIJ2472" s="54"/>
      <c r="AIK2472" s="63"/>
      <c r="AIL2472" s="60"/>
      <c r="AIM2472" s="60"/>
      <c r="AIN2472" s="60"/>
      <c r="AIO2472" s="63"/>
      <c r="AIP2472" s="61"/>
      <c r="AIQ2472" s="54"/>
      <c r="AIR2472" s="54"/>
      <c r="AIS2472" s="63"/>
      <c r="AIT2472" s="60"/>
      <c r="AIU2472" s="60"/>
      <c r="AIV2472" s="60"/>
      <c r="AIW2472" s="63"/>
      <c r="AIX2472" s="61"/>
      <c r="AIY2472" s="54"/>
      <c r="AIZ2472" s="54"/>
      <c r="AJA2472" s="63"/>
      <c r="AJB2472" s="60"/>
      <c r="AJC2472" s="60"/>
      <c r="AJD2472" s="60"/>
      <c r="AJE2472" s="63"/>
      <c r="AJF2472" s="61"/>
      <c r="AJG2472" s="54"/>
      <c r="AJH2472" s="54"/>
      <c r="AJI2472" s="63"/>
      <c r="AJJ2472" s="60"/>
      <c r="AJK2472" s="60"/>
      <c r="AJL2472" s="60"/>
      <c r="AJM2472" s="63"/>
      <c r="AJN2472" s="61"/>
      <c r="AJO2472" s="54"/>
      <c r="AJP2472" s="54"/>
      <c r="AJQ2472" s="63"/>
      <c r="AJR2472" s="60"/>
      <c r="AJS2472" s="60"/>
      <c r="AJT2472" s="60"/>
      <c r="AJU2472" s="63"/>
      <c r="AJV2472" s="61"/>
      <c r="AJW2472" s="54"/>
      <c r="AJX2472" s="54"/>
      <c r="AJY2472" s="63"/>
      <c r="AJZ2472" s="60"/>
      <c r="AKA2472" s="60"/>
      <c r="AKB2472" s="60"/>
      <c r="AKC2472" s="63"/>
      <c r="AKD2472" s="61"/>
      <c r="AKE2472" s="54"/>
      <c r="AKF2472" s="54"/>
      <c r="AKG2472" s="63"/>
      <c r="AKH2472" s="60"/>
      <c r="AKI2472" s="60"/>
      <c r="AKJ2472" s="60"/>
      <c r="AKK2472" s="63"/>
      <c r="AKL2472" s="61"/>
      <c r="AKM2472" s="54"/>
      <c r="AKN2472" s="54"/>
      <c r="AKO2472" s="63"/>
      <c r="AKP2472" s="60"/>
      <c r="AKQ2472" s="60"/>
      <c r="AKR2472" s="60"/>
      <c r="AKS2472" s="63"/>
      <c r="AKT2472" s="61"/>
      <c r="AKU2472" s="54"/>
      <c r="AKV2472" s="54"/>
      <c r="AKW2472" s="63"/>
      <c r="AKX2472" s="60"/>
      <c r="AKY2472" s="60"/>
      <c r="AKZ2472" s="60"/>
      <c r="ALA2472" s="63"/>
      <c r="ALB2472" s="61"/>
      <c r="ALC2472" s="54"/>
      <c r="ALD2472" s="54"/>
      <c r="ALE2472" s="63"/>
      <c r="ALF2472" s="60"/>
      <c r="ALG2472" s="60"/>
      <c r="ALH2472" s="60"/>
      <c r="ALI2472" s="63"/>
      <c r="ALJ2472" s="61"/>
      <c r="ALK2472" s="54"/>
      <c r="ALL2472" s="54"/>
      <c r="ALM2472" s="63"/>
      <c r="ALN2472" s="60"/>
      <c r="ALO2472" s="60"/>
      <c r="ALP2472" s="60"/>
      <c r="ALQ2472" s="63"/>
      <c r="ALR2472" s="61"/>
      <c r="ALS2472" s="54"/>
      <c r="ALT2472" s="54"/>
      <c r="ALU2472" s="63"/>
      <c r="ALV2472" s="60"/>
      <c r="ALW2472" s="60"/>
      <c r="ALX2472" s="60"/>
      <c r="ALY2472" s="63"/>
      <c r="ALZ2472" s="61"/>
      <c r="AMA2472" s="54"/>
      <c r="AMB2472" s="54"/>
      <c r="AMC2472" s="63"/>
      <c r="AMD2472" s="60"/>
      <c r="AME2472" s="60"/>
      <c r="AMF2472" s="60"/>
      <c r="AMG2472" s="63"/>
      <c r="AMH2472" s="61"/>
      <c r="AMI2472" s="54"/>
      <c r="AMJ2472" s="54"/>
      <c r="AMK2472" s="63"/>
      <c r="AML2472" s="60"/>
      <c r="AMM2472" s="60"/>
      <c r="AMN2472" s="60"/>
      <c r="AMO2472" s="63"/>
      <c r="AMP2472" s="61"/>
      <c r="AMQ2472" s="54"/>
      <c r="AMR2472" s="54"/>
      <c r="AMS2472" s="63"/>
      <c r="AMT2472" s="60"/>
      <c r="AMU2472" s="60"/>
      <c r="AMV2472" s="60"/>
      <c r="AMW2472" s="63"/>
      <c r="AMX2472" s="61"/>
      <c r="AMY2472" s="54"/>
      <c r="AMZ2472" s="54"/>
      <c r="ANA2472" s="63"/>
      <c r="ANB2472" s="60"/>
      <c r="ANC2472" s="60"/>
      <c r="AND2472" s="60"/>
      <c r="ANE2472" s="63"/>
      <c r="ANF2472" s="61"/>
      <c r="ANG2472" s="54"/>
      <c r="ANH2472" s="54"/>
      <c r="ANI2472" s="63"/>
      <c r="ANJ2472" s="60"/>
      <c r="ANK2472" s="60"/>
      <c r="ANL2472" s="60"/>
      <c r="ANM2472" s="63"/>
      <c r="ANN2472" s="61"/>
      <c r="ANO2472" s="54"/>
      <c r="ANP2472" s="54"/>
      <c r="ANQ2472" s="63"/>
      <c r="ANR2472" s="60"/>
      <c r="ANS2472" s="60"/>
      <c r="ANT2472" s="60"/>
      <c r="ANU2472" s="63"/>
      <c r="ANV2472" s="61"/>
      <c r="ANW2472" s="54"/>
      <c r="ANX2472" s="54"/>
      <c r="ANY2472" s="63"/>
      <c r="ANZ2472" s="60"/>
      <c r="AOA2472" s="60"/>
      <c r="AOB2472" s="60"/>
      <c r="AOC2472" s="63"/>
      <c r="AOD2472" s="61"/>
      <c r="AOE2472" s="54"/>
      <c r="AOF2472" s="54"/>
      <c r="AOG2472" s="63"/>
      <c r="AOH2472" s="60"/>
      <c r="AOI2472" s="60"/>
      <c r="AOJ2472" s="60"/>
      <c r="AOK2472" s="63"/>
      <c r="AOL2472" s="61"/>
      <c r="AOM2472" s="54"/>
      <c r="AON2472" s="54"/>
      <c r="AOO2472" s="63"/>
      <c r="AOP2472" s="60"/>
      <c r="AOQ2472" s="60"/>
      <c r="AOR2472" s="60"/>
      <c r="AOS2472" s="63"/>
      <c r="AOT2472" s="61"/>
      <c r="AOU2472" s="54"/>
      <c r="AOV2472" s="54"/>
      <c r="AOW2472" s="63"/>
      <c r="AOX2472" s="60"/>
      <c r="AOY2472" s="60"/>
      <c r="AOZ2472" s="60"/>
      <c r="APA2472" s="63"/>
      <c r="APB2472" s="61"/>
      <c r="APC2472" s="54"/>
      <c r="APD2472" s="54"/>
      <c r="APE2472" s="63"/>
      <c r="APF2472" s="60"/>
      <c r="APG2472" s="60"/>
      <c r="APH2472" s="60"/>
      <c r="API2472" s="63"/>
      <c r="APJ2472" s="61"/>
      <c r="APK2472" s="54"/>
      <c r="APL2472" s="54"/>
      <c r="APM2472" s="63"/>
      <c r="APN2472" s="60"/>
      <c r="APO2472" s="60"/>
      <c r="APP2472" s="60"/>
      <c r="APQ2472" s="63"/>
      <c r="APR2472" s="61"/>
      <c r="APS2472" s="54"/>
      <c r="APT2472" s="54"/>
      <c r="APU2472" s="63"/>
      <c r="APV2472" s="60"/>
      <c r="APW2472" s="60"/>
      <c r="APX2472" s="60"/>
      <c r="APY2472" s="63"/>
      <c r="APZ2472" s="61"/>
      <c r="AQA2472" s="54"/>
      <c r="AQB2472" s="54"/>
      <c r="AQC2472" s="63"/>
      <c r="AQD2472" s="60"/>
      <c r="AQE2472" s="60"/>
      <c r="AQF2472" s="60"/>
      <c r="AQG2472" s="63"/>
      <c r="AQH2472" s="61"/>
      <c r="AQI2472" s="54"/>
      <c r="AQJ2472" s="54"/>
      <c r="AQK2472" s="63"/>
      <c r="AQL2472" s="60"/>
      <c r="AQM2472" s="60"/>
      <c r="AQN2472" s="60"/>
      <c r="AQO2472" s="63"/>
      <c r="AQP2472" s="61"/>
      <c r="AQQ2472" s="54"/>
      <c r="AQR2472" s="54"/>
      <c r="AQS2472" s="63"/>
      <c r="AQT2472" s="60"/>
      <c r="AQU2472" s="60"/>
      <c r="AQV2472" s="60"/>
      <c r="AQW2472" s="63"/>
      <c r="AQX2472" s="61"/>
      <c r="AQY2472" s="54"/>
      <c r="AQZ2472" s="54"/>
      <c r="ARA2472" s="63"/>
      <c r="ARB2472" s="60"/>
      <c r="ARC2472" s="60"/>
      <c r="ARD2472" s="60"/>
      <c r="ARE2472" s="63"/>
      <c r="ARF2472" s="61"/>
      <c r="ARG2472" s="54"/>
      <c r="ARH2472" s="54"/>
      <c r="ARI2472" s="63"/>
      <c r="ARJ2472" s="60"/>
      <c r="ARK2472" s="60"/>
      <c r="ARL2472" s="60"/>
      <c r="ARM2472" s="63"/>
      <c r="ARN2472" s="61"/>
      <c r="ARO2472" s="54"/>
      <c r="ARP2472" s="54"/>
      <c r="ARQ2472" s="63"/>
      <c r="ARR2472" s="60"/>
      <c r="ARS2472" s="60"/>
      <c r="ART2472" s="60"/>
      <c r="ARU2472" s="63"/>
      <c r="ARV2472" s="61"/>
      <c r="ARW2472" s="54"/>
      <c r="ARX2472" s="54"/>
      <c r="ARY2472" s="63"/>
      <c r="ARZ2472" s="60"/>
      <c r="ASA2472" s="60"/>
      <c r="ASB2472" s="60"/>
      <c r="ASC2472" s="63"/>
      <c r="ASD2472" s="61"/>
      <c r="ASE2472" s="54"/>
      <c r="ASF2472" s="54"/>
      <c r="ASG2472" s="63"/>
      <c r="ASH2472" s="60"/>
      <c r="ASI2472" s="60"/>
      <c r="ASJ2472" s="60"/>
      <c r="ASK2472" s="63"/>
      <c r="ASL2472" s="61"/>
      <c r="ASM2472" s="54"/>
      <c r="ASN2472" s="54"/>
      <c r="ASO2472" s="63"/>
      <c r="ASP2472" s="60"/>
      <c r="ASQ2472" s="60"/>
      <c r="ASR2472" s="60"/>
      <c r="ASS2472" s="63"/>
      <c r="AST2472" s="61"/>
      <c r="ASU2472" s="54"/>
      <c r="ASV2472" s="54"/>
      <c r="ASW2472" s="63"/>
      <c r="ASX2472" s="60"/>
      <c r="ASY2472" s="60"/>
      <c r="ASZ2472" s="60"/>
      <c r="ATA2472" s="63"/>
      <c r="ATB2472" s="61"/>
      <c r="ATC2472" s="54"/>
      <c r="ATD2472" s="54"/>
      <c r="ATE2472" s="63"/>
      <c r="ATF2472" s="60"/>
      <c r="ATG2472" s="60"/>
      <c r="ATH2472" s="60"/>
      <c r="ATI2472" s="63"/>
      <c r="ATJ2472" s="61"/>
      <c r="ATK2472" s="54"/>
      <c r="ATL2472" s="54"/>
      <c r="ATM2472" s="63"/>
      <c r="ATN2472" s="60"/>
      <c r="ATO2472" s="60"/>
      <c r="ATP2472" s="60"/>
      <c r="ATQ2472" s="63"/>
      <c r="ATR2472" s="61"/>
      <c r="ATS2472" s="54"/>
      <c r="ATT2472" s="54"/>
      <c r="ATU2472" s="63"/>
      <c r="ATV2472" s="60"/>
      <c r="ATW2472" s="60"/>
      <c r="ATX2472" s="60"/>
      <c r="ATY2472" s="63"/>
      <c r="ATZ2472" s="61"/>
      <c r="AUA2472" s="54"/>
      <c r="AUB2472" s="54"/>
      <c r="AUC2472" s="63"/>
      <c r="AUD2472" s="60"/>
      <c r="AUE2472" s="60"/>
      <c r="AUF2472" s="60"/>
      <c r="AUG2472" s="63"/>
      <c r="AUH2472" s="61"/>
      <c r="AUI2472" s="54"/>
      <c r="AUJ2472" s="54"/>
      <c r="AUK2472" s="63"/>
      <c r="AUL2472" s="60"/>
      <c r="AUM2472" s="60"/>
      <c r="AUN2472" s="60"/>
      <c r="AUO2472" s="63"/>
      <c r="AUP2472" s="61"/>
      <c r="AUQ2472" s="54"/>
      <c r="AUR2472" s="54"/>
      <c r="AUS2472" s="63"/>
      <c r="AUT2472" s="60"/>
      <c r="AUU2472" s="60"/>
      <c r="AUV2472" s="60"/>
      <c r="AUW2472" s="63"/>
      <c r="AUX2472" s="61"/>
      <c r="AUY2472" s="54"/>
      <c r="AUZ2472" s="54"/>
      <c r="AVA2472" s="63"/>
      <c r="AVB2472" s="60"/>
      <c r="AVC2472" s="60"/>
      <c r="AVD2472" s="60"/>
      <c r="AVE2472" s="63"/>
      <c r="AVF2472" s="61"/>
      <c r="AVG2472" s="54"/>
      <c r="AVH2472" s="54"/>
      <c r="AVI2472" s="63"/>
      <c r="AVJ2472" s="60"/>
      <c r="AVK2472" s="60"/>
      <c r="AVL2472" s="60"/>
      <c r="AVM2472" s="63"/>
      <c r="AVN2472" s="61"/>
      <c r="AVO2472" s="54"/>
      <c r="AVP2472" s="54"/>
      <c r="AVQ2472" s="63"/>
      <c r="AVR2472" s="60"/>
      <c r="AVS2472" s="60"/>
      <c r="AVT2472" s="60"/>
      <c r="AVU2472" s="63"/>
      <c r="AVV2472" s="61"/>
      <c r="AVW2472" s="54"/>
      <c r="AVX2472" s="54"/>
      <c r="AVY2472" s="63"/>
      <c r="AVZ2472" s="60"/>
      <c r="AWA2472" s="60"/>
      <c r="AWB2472" s="60"/>
      <c r="AWC2472" s="63"/>
      <c r="AWD2472" s="61"/>
      <c r="AWE2472" s="54"/>
      <c r="AWF2472" s="54"/>
      <c r="AWG2472" s="63"/>
      <c r="AWH2472" s="60"/>
      <c r="AWI2472" s="60"/>
      <c r="AWJ2472" s="60"/>
      <c r="AWK2472" s="63"/>
      <c r="AWL2472" s="61"/>
      <c r="AWM2472" s="54"/>
      <c r="AWN2472" s="54"/>
      <c r="AWO2472" s="63"/>
      <c r="AWP2472" s="60"/>
      <c r="AWQ2472" s="60"/>
      <c r="AWR2472" s="60"/>
      <c r="AWS2472" s="63"/>
      <c r="AWT2472" s="61"/>
      <c r="AWU2472" s="54"/>
      <c r="AWV2472" s="54"/>
      <c r="AWW2472" s="63"/>
      <c r="AWX2472" s="60"/>
      <c r="AWY2472" s="60"/>
      <c r="AWZ2472" s="60"/>
      <c r="AXA2472" s="63"/>
      <c r="AXB2472" s="61"/>
      <c r="AXC2472" s="54"/>
      <c r="AXD2472" s="54"/>
      <c r="AXE2472" s="63"/>
      <c r="AXF2472" s="60"/>
      <c r="AXG2472" s="60"/>
      <c r="AXH2472" s="60"/>
      <c r="AXI2472" s="63"/>
      <c r="AXJ2472" s="61"/>
      <c r="AXK2472" s="54"/>
      <c r="AXL2472" s="54"/>
      <c r="AXM2472" s="63"/>
      <c r="AXN2472" s="60"/>
      <c r="AXO2472" s="60"/>
      <c r="AXP2472" s="60"/>
      <c r="AXQ2472" s="63"/>
      <c r="AXR2472" s="61"/>
      <c r="AXS2472" s="54"/>
      <c r="AXT2472" s="54"/>
      <c r="AXU2472" s="63"/>
      <c r="AXV2472" s="60"/>
      <c r="AXW2472" s="60"/>
      <c r="AXX2472" s="60"/>
      <c r="AXY2472" s="63"/>
      <c r="AXZ2472" s="61"/>
      <c r="AYA2472" s="54"/>
      <c r="AYB2472" s="54"/>
      <c r="AYC2472" s="63"/>
      <c r="AYD2472" s="60"/>
      <c r="AYE2472" s="60"/>
      <c r="AYF2472" s="60"/>
      <c r="AYG2472" s="63"/>
      <c r="AYH2472" s="61"/>
      <c r="AYI2472" s="54"/>
      <c r="AYJ2472" s="54"/>
      <c r="AYK2472" s="63"/>
      <c r="AYL2472" s="60"/>
      <c r="AYM2472" s="60"/>
      <c r="AYN2472" s="60"/>
      <c r="AYO2472" s="63"/>
      <c r="AYP2472" s="61"/>
      <c r="AYQ2472" s="54"/>
      <c r="AYR2472" s="54"/>
      <c r="AYS2472" s="63"/>
      <c r="AYT2472" s="60"/>
      <c r="AYU2472" s="60"/>
      <c r="AYV2472" s="60"/>
      <c r="AYW2472" s="63"/>
      <c r="AYX2472" s="61"/>
      <c r="AYY2472" s="54"/>
      <c r="AYZ2472" s="54"/>
      <c r="AZA2472" s="63"/>
      <c r="AZB2472" s="60"/>
      <c r="AZC2472" s="60"/>
      <c r="AZD2472" s="60"/>
      <c r="AZE2472" s="63"/>
      <c r="AZF2472" s="61"/>
      <c r="AZG2472" s="54"/>
      <c r="AZH2472" s="54"/>
      <c r="AZI2472" s="63"/>
      <c r="AZJ2472" s="60"/>
      <c r="AZK2472" s="60"/>
      <c r="AZL2472" s="60"/>
      <c r="AZM2472" s="63"/>
      <c r="AZN2472" s="61"/>
      <c r="AZO2472" s="54"/>
      <c r="AZP2472" s="54"/>
      <c r="AZQ2472" s="63"/>
      <c r="AZR2472" s="60"/>
      <c r="AZS2472" s="60"/>
      <c r="AZT2472" s="60"/>
      <c r="AZU2472" s="63"/>
      <c r="AZV2472" s="61"/>
      <c r="AZW2472" s="54"/>
      <c r="AZX2472" s="54"/>
      <c r="AZY2472" s="63"/>
      <c r="AZZ2472" s="60"/>
      <c r="BAA2472" s="60"/>
      <c r="BAB2472" s="60"/>
      <c r="BAC2472" s="63"/>
      <c r="BAD2472" s="61"/>
      <c r="BAE2472" s="54"/>
      <c r="BAF2472" s="54"/>
      <c r="BAG2472" s="63"/>
      <c r="BAH2472" s="60"/>
      <c r="BAI2472" s="60"/>
      <c r="BAJ2472" s="60"/>
      <c r="BAK2472" s="63"/>
      <c r="BAL2472" s="61"/>
      <c r="BAM2472" s="54"/>
      <c r="BAN2472" s="54"/>
      <c r="BAO2472" s="63"/>
      <c r="BAP2472" s="60"/>
      <c r="BAQ2472" s="60"/>
      <c r="BAR2472" s="60"/>
      <c r="BAS2472" s="63"/>
      <c r="BAT2472" s="61"/>
      <c r="BAU2472" s="54"/>
      <c r="BAV2472" s="54"/>
      <c r="BAW2472" s="63"/>
      <c r="BAX2472" s="60"/>
      <c r="BAY2472" s="60"/>
      <c r="BAZ2472" s="60"/>
      <c r="BBA2472" s="63"/>
      <c r="BBB2472" s="61"/>
      <c r="BBC2472" s="54"/>
      <c r="BBD2472" s="54"/>
      <c r="BBE2472" s="63"/>
      <c r="BBF2472" s="60"/>
      <c r="BBG2472" s="60"/>
      <c r="BBH2472" s="60"/>
      <c r="BBI2472" s="63"/>
      <c r="BBJ2472" s="61"/>
      <c r="BBK2472" s="54"/>
      <c r="BBL2472" s="54"/>
      <c r="BBM2472" s="63"/>
      <c r="BBN2472" s="60"/>
      <c r="BBO2472" s="60"/>
      <c r="BBP2472" s="60"/>
      <c r="BBQ2472" s="63"/>
      <c r="BBR2472" s="61"/>
      <c r="BBS2472" s="54"/>
      <c r="BBT2472" s="54"/>
      <c r="BBU2472" s="63"/>
      <c r="BBV2472" s="60"/>
      <c r="BBW2472" s="60"/>
      <c r="BBX2472" s="60"/>
      <c r="BBY2472" s="63"/>
      <c r="BBZ2472" s="61"/>
      <c r="BCA2472" s="54"/>
      <c r="BCB2472" s="54"/>
      <c r="BCC2472" s="63"/>
      <c r="BCD2472" s="60"/>
      <c r="BCE2472" s="60"/>
      <c r="BCF2472" s="60"/>
      <c r="BCG2472" s="63"/>
      <c r="BCH2472" s="61"/>
      <c r="BCI2472" s="54"/>
      <c r="BCJ2472" s="54"/>
      <c r="BCK2472" s="63"/>
      <c r="BCL2472" s="60"/>
      <c r="BCM2472" s="60"/>
      <c r="BCN2472" s="60"/>
      <c r="BCO2472" s="63"/>
      <c r="BCP2472" s="61"/>
      <c r="BCQ2472" s="54"/>
      <c r="BCR2472" s="54"/>
      <c r="BCS2472" s="63"/>
      <c r="BCT2472" s="60"/>
      <c r="BCU2472" s="60"/>
      <c r="BCV2472" s="60"/>
      <c r="BCW2472" s="63"/>
      <c r="BCX2472" s="61"/>
      <c r="BCY2472" s="54"/>
      <c r="BCZ2472" s="54"/>
      <c r="BDA2472" s="63"/>
      <c r="BDB2472" s="60"/>
      <c r="BDC2472" s="60"/>
      <c r="BDD2472" s="60"/>
      <c r="BDE2472" s="63"/>
      <c r="BDF2472" s="61"/>
      <c r="BDG2472" s="54"/>
      <c r="BDH2472" s="54"/>
      <c r="BDI2472" s="63"/>
      <c r="BDJ2472" s="60"/>
      <c r="BDK2472" s="60"/>
      <c r="BDL2472" s="60"/>
      <c r="BDM2472" s="63"/>
      <c r="BDN2472" s="61"/>
      <c r="BDO2472" s="54"/>
      <c r="BDP2472" s="54"/>
      <c r="BDQ2472" s="63"/>
      <c r="BDR2472" s="60"/>
      <c r="BDS2472" s="60"/>
      <c r="BDT2472" s="60"/>
      <c r="BDU2472" s="63"/>
      <c r="BDV2472" s="61"/>
      <c r="BDW2472" s="54"/>
      <c r="BDX2472" s="54"/>
      <c r="BDY2472" s="63"/>
      <c r="BDZ2472" s="60"/>
      <c r="BEA2472" s="60"/>
      <c r="BEB2472" s="60"/>
      <c r="BEC2472" s="63"/>
      <c r="BED2472" s="61"/>
      <c r="BEE2472" s="54"/>
      <c r="BEF2472" s="54"/>
      <c r="BEG2472" s="63"/>
      <c r="BEH2472" s="60"/>
      <c r="BEI2472" s="60"/>
      <c r="BEJ2472" s="60"/>
      <c r="BEK2472" s="63"/>
      <c r="BEL2472" s="61"/>
      <c r="BEM2472" s="54"/>
      <c r="BEN2472" s="54"/>
      <c r="BEO2472" s="63"/>
      <c r="BEP2472" s="60"/>
      <c r="BEQ2472" s="60"/>
      <c r="BER2472" s="60"/>
      <c r="BES2472" s="63"/>
      <c r="BET2472" s="61"/>
      <c r="BEU2472" s="54"/>
      <c r="BEV2472" s="54"/>
      <c r="BEW2472" s="63"/>
      <c r="BEX2472" s="60"/>
      <c r="BEY2472" s="60"/>
      <c r="BEZ2472" s="60"/>
      <c r="BFA2472" s="63"/>
      <c r="BFB2472" s="61"/>
      <c r="BFC2472" s="54"/>
      <c r="BFD2472" s="54"/>
      <c r="BFE2472" s="63"/>
      <c r="BFF2472" s="60"/>
      <c r="BFG2472" s="60"/>
      <c r="BFH2472" s="60"/>
      <c r="BFI2472" s="63"/>
      <c r="BFJ2472" s="61"/>
      <c r="BFK2472" s="54"/>
      <c r="BFL2472" s="54"/>
      <c r="BFM2472" s="63"/>
      <c r="BFN2472" s="60"/>
      <c r="BFO2472" s="60"/>
      <c r="BFP2472" s="60"/>
      <c r="BFQ2472" s="63"/>
      <c r="BFR2472" s="61"/>
      <c r="BFS2472" s="54"/>
      <c r="BFT2472" s="54"/>
      <c r="BFU2472" s="63"/>
      <c r="BFV2472" s="60"/>
      <c r="BFW2472" s="60"/>
      <c r="BFX2472" s="60"/>
      <c r="BFY2472" s="63"/>
      <c r="BFZ2472" s="61"/>
      <c r="BGA2472" s="54"/>
      <c r="BGB2472" s="54"/>
      <c r="BGC2472" s="63"/>
      <c r="BGD2472" s="60"/>
      <c r="BGE2472" s="60"/>
      <c r="BGF2472" s="60"/>
      <c r="BGG2472" s="63"/>
      <c r="BGH2472" s="61"/>
      <c r="BGI2472" s="54"/>
      <c r="BGJ2472" s="54"/>
      <c r="BGK2472" s="63"/>
      <c r="BGL2472" s="60"/>
      <c r="BGM2472" s="60"/>
      <c r="BGN2472" s="60"/>
      <c r="BGO2472" s="63"/>
      <c r="BGP2472" s="61"/>
      <c r="BGQ2472" s="54"/>
      <c r="BGR2472" s="54"/>
      <c r="BGS2472" s="63"/>
      <c r="BGT2472" s="60"/>
      <c r="BGU2472" s="60"/>
      <c r="BGV2472" s="60"/>
      <c r="BGW2472" s="63"/>
      <c r="BGX2472" s="61"/>
      <c r="BGY2472" s="54"/>
      <c r="BGZ2472" s="54"/>
      <c r="BHA2472" s="63"/>
      <c r="BHB2472" s="60"/>
      <c r="BHC2472" s="60"/>
      <c r="BHD2472" s="60"/>
      <c r="BHE2472" s="63"/>
      <c r="BHF2472" s="61"/>
      <c r="BHG2472" s="54"/>
      <c r="BHH2472" s="54"/>
      <c r="BHI2472" s="63"/>
      <c r="BHJ2472" s="60"/>
      <c r="BHK2472" s="60"/>
      <c r="BHL2472" s="60"/>
      <c r="BHM2472" s="63"/>
      <c r="BHN2472" s="61"/>
      <c r="BHO2472" s="54"/>
      <c r="BHP2472" s="54"/>
      <c r="BHQ2472" s="63"/>
      <c r="BHR2472" s="60"/>
      <c r="BHS2472" s="60"/>
      <c r="BHT2472" s="60"/>
      <c r="BHU2472" s="63"/>
      <c r="BHV2472" s="61"/>
      <c r="BHW2472" s="54"/>
      <c r="BHX2472" s="54"/>
      <c r="BHY2472" s="63"/>
      <c r="BHZ2472" s="60"/>
      <c r="BIA2472" s="60"/>
      <c r="BIB2472" s="60"/>
      <c r="BIC2472" s="63"/>
      <c r="BID2472" s="61"/>
      <c r="BIE2472" s="54"/>
      <c r="BIF2472" s="54"/>
      <c r="BIG2472" s="63"/>
      <c r="BIH2472" s="60"/>
      <c r="BII2472" s="60"/>
      <c r="BIJ2472" s="60"/>
      <c r="BIK2472" s="63"/>
      <c r="BIL2472" s="61"/>
      <c r="BIM2472" s="54"/>
      <c r="BIN2472" s="54"/>
      <c r="BIO2472" s="63"/>
      <c r="BIP2472" s="60"/>
      <c r="BIQ2472" s="60"/>
      <c r="BIR2472" s="60"/>
      <c r="BIS2472" s="63"/>
      <c r="BIT2472" s="61"/>
      <c r="BIU2472" s="54"/>
      <c r="BIV2472" s="54"/>
      <c r="BIW2472" s="63"/>
      <c r="BIX2472" s="60"/>
      <c r="BIY2472" s="60"/>
      <c r="BIZ2472" s="60"/>
      <c r="BJA2472" s="63"/>
      <c r="BJB2472" s="61"/>
      <c r="BJC2472" s="54"/>
      <c r="BJD2472" s="54"/>
      <c r="BJE2472" s="63"/>
      <c r="BJF2472" s="60"/>
      <c r="BJG2472" s="60"/>
      <c r="BJH2472" s="60"/>
      <c r="BJI2472" s="63"/>
      <c r="BJJ2472" s="61"/>
      <c r="BJK2472" s="54"/>
      <c r="BJL2472" s="54"/>
      <c r="BJM2472" s="63"/>
      <c r="BJN2472" s="60"/>
      <c r="BJO2472" s="60"/>
      <c r="BJP2472" s="60"/>
      <c r="BJQ2472" s="63"/>
      <c r="BJR2472" s="61"/>
      <c r="BJS2472" s="54"/>
      <c r="BJT2472" s="54"/>
      <c r="BJU2472" s="63"/>
      <c r="BJV2472" s="60"/>
      <c r="BJW2472" s="60"/>
      <c r="BJX2472" s="60"/>
      <c r="BJY2472" s="63"/>
      <c r="BJZ2472" s="61"/>
      <c r="BKA2472" s="54"/>
      <c r="BKB2472" s="54"/>
      <c r="BKC2472" s="63"/>
      <c r="BKD2472" s="60"/>
      <c r="BKE2472" s="60"/>
      <c r="BKF2472" s="60"/>
      <c r="BKG2472" s="63"/>
      <c r="BKH2472" s="61"/>
      <c r="BKI2472" s="54"/>
      <c r="BKJ2472" s="54"/>
      <c r="BKK2472" s="63"/>
      <c r="BKL2472" s="60"/>
      <c r="BKM2472" s="60"/>
      <c r="BKN2472" s="60"/>
      <c r="BKO2472" s="63"/>
      <c r="BKP2472" s="61"/>
      <c r="BKQ2472" s="54"/>
      <c r="BKR2472" s="54"/>
      <c r="BKS2472" s="63"/>
      <c r="BKT2472" s="60"/>
      <c r="BKU2472" s="60"/>
      <c r="BKV2472" s="60"/>
      <c r="BKW2472" s="63"/>
      <c r="BKX2472" s="61"/>
      <c r="BKY2472" s="54"/>
      <c r="BKZ2472" s="54"/>
      <c r="BLA2472" s="63"/>
      <c r="BLB2472" s="60"/>
      <c r="BLC2472" s="60"/>
      <c r="BLD2472" s="60"/>
      <c r="BLE2472" s="63"/>
      <c r="BLF2472" s="61"/>
      <c r="BLG2472" s="54"/>
      <c r="BLH2472" s="54"/>
      <c r="BLI2472" s="63"/>
      <c r="BLJ2472" s="60"/>
      <c r="BLK2472" s="60"/>
      <c r="BLL2472" s="60"/>
      <c r="BLM2472" s="63"/>
      <c r="BLN2472" s="61"/>
      <c r="BLO2472" s="54"/>
      <c r="BLP2472" s="54"/>
      <c r="BLQ2472" s="63"/>
      <c r="BLR2472" s="60"/>
      <c r="BLS2472" s="60"/>
      <c r="BLT2472" s="60"/>
      <c r="BLU2472" s="63"/>
      <c r="BLV2472" s="61"/>
      <c r="BLW2472" s="54"/>
      <c r="BLX2472" s="54"/>
      <c r="BLY2472" s="63"/>
      <c r="BLZ2472" s="60"/>
      <c r="BMA2472" s="60"/>
      <c r="BMB2472" s="60"/>
      <c r="BMC2472" s="63"/>
      <c r="BMD2472" s="61"/>
      <c r="BME2472" s="54"/>
      <c r="BMF2472" s="54"/>
      <c r="BMG2472" s="63"/>
      <c r="BMH2472" s="60"/>
      <c r="BMI2472" s="60"/>
      <c r="BMJ2472" s="60"/>
      <c r="BMK2472" s="63"/>
      <c r="BML2472" s="61"/>
      <c r="BMM2472" s="54"/>
      <c r="BMN2472" s="54"/>
      <c r="BMO2472" s="63"/>
      <c r="BMP2472" s="60"/>
      <c r="BMQ2472" s="60"/>
      <c r="BMR2472" s="60"/>
      <c r="BMS2472" s="63"/>
      <c r="BMT2472" s="61"/>
      <c r="BMU2472" s="54"/>
      <c r="BMV2472" s="54"/>
      <c r="BMW2472" s="63"/>
      <c r="BMX2472" s="60"/>
      <c r="BMY2472" s="60"/>
      <c r="BMZ2472" s="60"/>
      <c r="BNA2472" s="63"/>
      <c r="BNB2472" s="61"/>
      <c r="BNC2472" s="54"/>
      <c r="BND2472" s="54"/>
      <c r="BNE2472" s="63"/>
      <c r="BNF2472" s="60"/>
      <c r="BNG2472" s="60"/>
      <c r="BNH2472" s="60"/>
      <c r="BNI2472" s="63"/>
      <c r="BNJ2472" s="61"/>
      <c r="BNK2472" s="54"/>
      <c r="BNL2472" s="54"/>
      <c r="BNM2472" s="63"/>
      <c r="BNN2472" s="60"/>
      <c r="BNO2472" s="60"/>
      <c r="BNP2472" s="60"/>
      <c r="BNQ2472" s="63"/>
      <c r="BNR2472" s="61"/>
      <c r="BNS2472" s="54"/>
      <c r="BNT2472" s="54"/>
      <c r="BNU2472" s="63"/>
      <c r="BNV2472" s="60"/>
      <c r="BNW2472" s="60"/>
      <c r="BNX2472" s="60"/>
      <c r="BNY2472" s="63"/>
      <c r="BNZ2472" s="61"/>
      <c r="BOA2472" s="54"/>
      <c r="BOB2472" s="54"/>
      <c r="BOC2472" s="63"/>
      <c r="BOD2472" s="60"/>
      <c r="BOE2472" s="60"/>
      <c r="BOF2472" s="60"/>
      <c r="BOG2472" s="63"/>
      <c r="BOH2472" s="61"/>
      <c r="BOI2472" s="54"/>
      <c r="BOJ2472" s="54"/>
      <c r="BOK2472" s="63"/>
      <c r="BOL2472" s="60"/>
      <c r="BOM2472" s="60"/>
      <c r="BON2472" s="60"/>
      <c r="BOO2472" s="63"/>
      <c r="BOP2472" s="61"/>
      <c r="BOQ2472" s="54"/>
      <c r="BOR2472" s="54"/>
      <c r="BOS2472" s="63"/>
      <c r="BOT2472" s="60"/>
      <c r="BOU2472" s="60"/>
      <c r="BOV2472" s="60"/>
      <c r="BOW2472" s="63"/>
      <c r="BOX2472" s="61"/>
      <c r="BOY2472" s="54"/>
      <c r="BOZ2472" s="54"/>
      <c r="BPA2472" s="63"/>
      <c r="BPB2472" s="60"/>
      <c r="BPC2472" s="60"/>
      <c r="BPD2472" s="60"/>
      <c r="BPE2472" s="63"/>
      <c r="BPF2472" s="61"/>
      <c r="BPG2472" s="54"/>
      <c r="BPH2472" s="54"/>
      <c r="BPI2472" s="63"/>
      <c r="BPJ2472" s="60"/>
      <c r="BPK2472" s="60"/>
      <c r="BPL2472" s="60"/>
      <c r="BPM2472" s="63"/>
      <c r="BPN2472" s="61"/>
      <c r="BPO2472" s="54"/>
      <c r="BPP2472" s="54"/>
      <c r="BPQ2472" s="63"/>
      <c r="BPR2472" s="60"/>
      <c r="BPS2472" s="60"/>
      <c r="BPT2472" s="60"/>
      <c r="BPU2472" s="63"/>
      <c r="BPV2472" s="61"/>
      <c r="BPW2472" s="54"/>
      <c r="BPX2472" s="54"/>
      <c r="BPY2472" s="63"/>
      <c r="BPZ2472" s="60"/>
      <c r="BQA2472" s="60"/>
      <c r="BQB2472" s="60"/>
      <c r="BQC2472" s="63"/>
      <c r="BQD2472" s="61"/>
      <c r="BQE2472" s="54"/>
      <c r="BQF2472" s="54"/>
      <c r="BQG2472" s="63"/>
      <c r="BQH2472" s="60"/>
      <c r="BQI2472" s="60"/>
      <c r="BQJ2472" s="60"/>
      <c r="BQK2472" s="63"/>
      <c r="BQL2472" s="61"/>
      <c r="BQM2472" s="54"/>
      <c r="BQN2472" s="54"/>
      <c r="BQO2472" s="63"/>
      <c r="BQP2472" s="60"/>
      <c r="BQQ2472" s="60"/>
      <c r="BQR2472" s="60"/>
      <c r="BQS2472" s="63"/>
      <c r="BQT2472" s="61"/>
      <c r="BQU2472" s="54"/>
      <c r="BQV2472" s="54"/>
      <c r="BQW2472" s="63"/>
      <c r="BQX2472" s="60"/>
      <c r="BQY2472" s="60"/>
      <c r="BQZ2472" s="60"/>
      <c r="BRA2472" s="63"/>
      <c r="BRB2472" s="61"/>
      <c r="BRC2472" s="54"/>
      <c r="BRD2472" s="54"/>
      <c r="BRE2472" s="63"/>
      <c r="BRF2472" s="60"/>
      <c r="BRG2472" s="60"/>
      <c r="BRH2472" s="60"/>
      <c r="BRI2472" s="63"/>
      <c r="BRJ2472" s="61"/>
      <c r="BRK2472" s="54"/>
      <c r="BRL2472" s="54"/>
      <c r="BRM2472" s="63"/>
      <c r="BRN2472" s="60"/>
      <c r="BRO2472" s="60"/>
      <c r="BRP2472" s="60"/>
      <c r="BRQ2472" s="63"/>
      <c r="BRR2472" s="61"/>
      <c r="BRS2472" s="54"/>
      <c r="BRT2472" s="54"/>
      <c r="BRU2472" s="63"/>
      <c r="BRV2472" s="60"/>
      <c r="BRW2472" s="60"/>
      <c r="BRX2472" s="60"/>
      <c r="BRY2472" s="63"/>
      <c r="BRZ2472" s="61"/>
      <c r="BSA2472" s="54"/>
      <c r="BSB2472" s="54"/>
      <c r="BSC2472" s="63"/>
      <c r="BSD2472" s="60"/>
      <c r="BSE2472" s="60"/>
      <c r="BSF2472" s="60"/>
      <c r="BSG2472" s="63"/>
      <c r="BSH2472" s="61"/>
      <c r="BSI2472" s="54"/>
      <c r="BSJ2472" s="54"/>
      <c r="BSK2472" s="63"/>
      <c r="BSL2472" s="60"/>
      <c r="BSM2472" s="60"/>
      <c r="BSN2472" s="60"/>
      <c r="BSO2472" s="63"/>
      <c r="BSP2472" s="61"/>
      <c r="BSQ2472" s="54"/>
      <c r="BSR2472" s="54"/>
      <c r="BSS2472" s="63"/>
      <c r="BST2472" s="60"/>
      <c r="BSU2472" s="60"/>
      <c r="BSV2472" s="60"/>
      <c r="BSW2472" s="63"/>
      <c r="BSX2472" s="61"/>
      <c r="BSY2472" s="54"/>
      <c r="BSZ2472" s="54"/>
      <c r="BTA2472" s="63"/>
      <c r="BTB2472" s="60"/>
      <c r="BTC2472" s="60"/>
      <c r="BTD2472" s="60"/>
      <c r="BTE2472" s="63"/>
      <c r="BTF2472" s="61"/>
      <c r="BTG2472" s="54"/>
      <c r="BTH2472" s="54"/>
      <c r="BTI2472" s="63"/>
      <c r="BTJ2472" s="60"/>
      <c r="BTK2472" s="60"/>
      <c r="BTL2472" s="60"/>
      <c r="BTM2472" s="63"/>
      <c r="BTN2472" s="61"/>
      <c r="BTO2472" s="54"/>
      <c r="BTP2472" s="54"/>
      <c r="BTQ2472" s="63"/>
      <c r="BTR2472" s="60"/>
      <c r="BTS2472" s="60"/>
      <c r="BTT2472" s="60"/>
      <c r="BTU2472" s="63"/>
      <c r="BTV2472" s="61"/>
      <c r="BTW2472" s="54"/>
      <c r="BTX2472" s="54"/>
      <c r="BTY2472" s="63"/>
      <c r="BTZ2472" s="60"/>
      <c r="BUA2472" s="60"/>
      <c r="BUB2472" s="60"/>
      <c r="BUC2472" s="63"/>
      <c r="BUD2472" s="61"/>
      <c r="BUE2472" s="54"/>
      <c r="BUF2472" s="54"/>
      <c r="BUG2472" s="63"/>
      <c r="BUH2472" s="60"/>
      <c r="BUI2472" s="60"/>
      <c r="BUJ2472" s="60"/>
      <c r="BUK2472" s="63"/>
      <c r="BUL2472" s="61"/>
      <c r="BUM2472" s="54"/>
      <c r="BUN2472" s="54"/>
      <c r="BUO2472" s="63"/>
      <c r="BUP2472" s="60"/>
      <c r="BUQ2472" s="60"/>
      <c r="BUR2472" s="60"/>
      <c r="BUS2472" s="63"/>
      <c r="BUT2472" s="61"/>
      <c r="BUU2472" s="54"/>
      <c r="BUV2472" s="54"/>
      <c r="BUW2472" s="63"/>
      <c r="BUX2472" s="60"/>
      <c r="BUY2472" s="60"/>
      <c r="BUZ2472" s="60"/>
      <c r="BVA2472" s="63"/>
      <c r="BVB2472" s="61"/>
      <c r="BVC2472" s="54"/>
      <c r="BVD2472" s="54"/>
      <c r="BVE2472" s="63"/>
      <c r="BVF2472" s="60"/>
      <c r="BVG2472" s="60"/>
      <c r="BVH2472" s="60"/>
      <c r="BVI2472" s="63"/>
      <c r="BVJ2472" s="61"/>
      <c r="BVK2472" s="54"/>
      <c r="BVL2472" s="54"/>
      <c r="BVM2472" s="63"/>
      <c r="BVN2472" s="60"/>
      <c r="BVO2472" s="60"/>
      <c r="BVP2472" s="60"/>
      <c r="BVQ2472" s="63"/>
      <c r="BVR2472" s="61"/>
      <c r="BVS2472" s="54"/>
      <c r="BVT2472" s="54"/>
      <c r="BVU2472" s="63"/>
      <c r="BVV2472" s="60"/>
      <c r="BVW2472" s="60"/>
      <c r="BVX2472" s="60"/>
      <c r="BVY2472" s="63"/>
      <c r="BVZ2472" s="61"/>
      <c r="BWA2472" s="54"/>
      <c r="BWB2472" s="54"/>
      <c r="BWC2472" s="63"/>
      <c r="BWD2472" s="60"/>
      <c r="BWE2472" s="60"/>
      <c r="BWF2472" s="60"/>
      <c r="BWG2472" s="63"/>
      <c r="BWH2472" s="61"/>
      <c r="BWI2472" s="54"/>
      <c r="BWJ2472" s="54"/>
      <c r="BWK2472" s="63"/>
      <c r="BWL2472" s="60"/>
      <c r="BWM2472" s="60"/>
      <c r="BWN2472" s="60"/>
      <c r="BWO2472" s="63"/>
      <c r="BWP2472" s="61"/>
      <c r="BWQ2472" s="54"/>
      <c r="BWR2472" s="54"/>
      <c r="BWS2472" s="63"/>
      <c r="BWT2472" s="60"/>
      <c r="BWU2472" s="60"/>
      <c r="BWV2472" s="60"/>
      <c r="BWW2472" s="63"/>
      <c r="BWX2472" s="61"/>
      <c r="BWY2472" s="54"/>
      <c r="BWZ2472" s="54"/>
      <c r="BXA2472" s="63"/>
      <c r="BXB2472" s="60"/>
      <c r="BXC2472" s="60"/>
      <c r="BXD2472" s="60"/>
      <c r="BXE2472" s="63"/>
      <c r="BXF2472" s="61"/>
      <c r="BXG2472" s="54"/>
      <c r="BXH2472" s="54"/>
      <c r="BXI2472" s="63"/>
      <c r="BXJ2472" s="60"/>
      <c r="BXK2472" s="60"/>
      <c r="BXL2472" s="60"/>
      <c r="BXM2472" s="63"/>
      <c r="BXN2472" s="61"/>
      <c r="BXO2472" s="54"/>
      <c r="BXP2472" s="54"/>
      <c r="BXQ2472" s="63"/>
      <c r="BXR2472" s="60"/>
      <c r="BXS2472" s="60"/>
      <c r="BXT2472" s="60"/>
      <c r="BXU2472" s="63"/>
      <c r="BXV2472" s="61"/>
      <c r="BXW2472" s="54"/>
      <c r="BXX2472" s="54"/>
      <c r="BXY2472" s="63"/>
      <c r="BXZ2472" s="60"/>
      <c r="BYA2472" s="60"/>
      <c r="BYB2472" s="60"/>
      <c r="BYC2472" s="63"/>
      <c r="BYD2472" s="61"/>
      <c r="BYE2472" s="54"/>
      <c r="BYF2472" s="54"/>
      <c r="BYG2472" s="63"/>
      <c r="BYH2472" s="60"/>
      <c r="BYI2472" s="60"/>
      <c r="BYJ2472" s="60"/>
      <c r="BYK2472" s="63"/>
      <c r="BYL2472" s="61"/>
      <c r="BYM2472" s="54"/>
      <c r="BYN2472" s="54"/>
      <c r="BYO2472" s="63"/>
      <c r="BYP2472" s="60"/>
      <c r="BYQ2472" s="60"/>
      <c r="BYR2472" s="60"/>
      <c r="BYS2472" s="63"/>
      <c r="BYT2472" s="61"/>
      <c r="BYU2472" s="54"/>
      <c r="BYV2472" s="54"/>
      <c r="BYW2472" s="63"/>
      <c r="BYX2472" s="60"/>
      <c r="BYY2472" s="60"/>
      <c r="BYZ2472" s="60"/>
      <c r="BZA2472" s="63"/>
      <c r="BZB2472" s="61"/>
      <c r="BZC2472" s="54"/>
      <c r="BZD2472" s="54"/>
      <c r="BZE2472" s="63"/>
      <c r="BZF2472" s="60"/>
      <c r="BZG2472" s="60"/>
      <c r="BZH2472" s="60"/>
      <c r="BZI2472" s="63"/>
      <c r="BZJ2472" s="61"/>
      <c r="BZK2472" s="54"/>
      <c r="BZL2472" s="54"/>
      <c r="BZM2472" s="63"/>
      <c r="BZN2472" s="60"/>
      <c r="BZO2472" s="60"/>
      <c r="BZP2472" s="60"/>
      <c r="BZQ2472" s="63"/>
      <c r="BZR2472" s="61"/>
      <c r="BZS2472" s="54"/>
      <c r="BZT2472" s="54"/>
      <c r="BZU2472" s="63"/>
      <c r="BZV2472" s="60"/>
      <c r="BZW2472" s="60"/>
      <c r="BZX2472" s="60"/>
      <c r="BZY2472" s="63"/>
      <c r="BZZ2472" s="61"/>
      <c r="CAA2472" s="54"/>
      <c r="CAB2472" s="54"/>
      <c r="CAC2472" s="63"/>
      <c r="CAD2472" s="60"/>
      <c r="CAE2472" s="60"/>
      <c r="CAF2472" s="60"/>
      <c r="CAG2472" s="63"/>
      <c r="CAH2472" s="61"/>
      <c r="CAI2472" s="54"/>
      <c r="CAJ2472" s="54"/>
      <c r="CAK2472" s="63"/>
      <c r="CAL2472" s="60"/>
      <c r="CAM2472" s="60"/>
      <c r="CAN2472" s="60"/>
      <c r="CAO2472" s="63"/>
      <c r="CAP2472" s="61"/>
      <c r="CAQ2472" s="54"/>
      <c r="CAR2472" s="54"/>
      <c r="CAS2472" s="63"/>
      <c r="CAT2472" s="60"/>
      <c r="CAU2472" s="60"/>
      <c r="CAV2472" s="60"/>
      <c r="CAW2472" s="63"/>
      <c r="CAX2472" s="61"/>
      <c r="CAY2472" s="54"/>
      <c r="CAZ2472" s="54"/>
      <c r="CBA2472" s="63"/>
      <c r="CBB2472" s="60"/>
      <c r="CBC2472" s="60"/>
      <c r="CBD2472" s="60"/>
      <c r="CBE2472" s="63"/>
      <c r="CBF2472" s="61"/>
      <c r="CBG2472" s="54"/>
      <c r="CBH2472" s="54"/>
      <c r="CBI2472" s="63"/>
      <c r="CBJ2472" s="60"/>
      <c r="CBK2472" s="60"/>
      <c r="CBL2472" s="60"/>
      <c r="CBM2472" s="63"/>
      <c r="CBN2472" s="61"/>
      <c r="CBO2472" s="54"/>
      <c r="CBP2472" s="54"/>
      <c r="CBQ2472" s="63"/>
      <c r="CBR2472" s="60"/>
      <c r="CBS2472" s="60"/>
      <c r="CBT2472" s="60"/>
      <c r="CBU2472" s="63"/>
      <c r="CBV2472" s="61"/>
      <c r="CBW2472" s="54"/>
      <c r="CBX2472" s="54"/>
      <c r="CBY2472" s="63"/>
      <c r="CBZ2472" s="60"/>
      <c r="CCA2472" s="60"/>
      <c r="CCB2472" s="60"/>
      <c r="CCC2472" s="63"/>
      <c r="CCD2472" s="61"/>
      <c r="CCE2472" s="54"/>
      <c r="CCF2472" s="54"/>
      <c r="CCG2472" s="63"/>
      <c r="CCH2472" s="60"/>
      <c r="CCI2472" s="60"/>
      <c r="CCJ2472" s="60"/>
      <c r="CCK2472" s="63"/>
      <c r="CCL2472" s="61"/>
      <c r="CCM2472" s="54"/>
      <c r="CCN2472" s="54"/>
      <c r="CCO2472" s="63"/>
      <c r="CCP2472" s="60"/>
      <c r="CCQ2472" s="60"/>
      <c r="CCR2472" s="60"/>
      <c r="CCS2472" s="63"/>
      <c r="CCT2472" s="61"/>
      <c r="CCU2472" s="54"/>
      <c r="CCV2472" s="54"/>
      <c r="CCW2472" s="63"/>
      <c r="CCX2472" s="60"/>
      <c r="CCY2472" s="60"/>
      <c r="CCZ2472" s="60"/>
      <c r="CDA2472" s="63"/>
      <c r="CDB2472" s="61"/>
      <c r="CDC2472" s="54"/>
      <c r="CDD2472" s="54"/>
      <c r="CDE2472" s="63"/>
      <c r="CDF2472" s="60"/>
      <c r="CDG2472" s="60"/>
      <c r="CDH2472" s="60"/>
      <c r="CDI2472" s="63"/>
      <c r="CDJ2472" s="61"/>
      <c r="CDK2472" s="54"/>
      <c r="CDL2472" s="54"/>
      <c r="CDM2472" s="63"/>
      <c r="CDN2472" s="60"/>
      <c r="CDO2472" s="60"/>
      <c r="CDP2472" s="60"/>
      <c r="CDQ2472" s="63"/>
      <c r="CDR2472" s="61"/>
      <c r="CDS2472" s="54"/>
      <c r="CDT2472" s="54"/>
      <c r="CDU2472" s="63"/>
      <c r="CDV2472" s="60"/>
      <c r="CDW2472" s="60"/>
      <c r="CDX2472" s="60"/>
      <c r="CDY2472" s="63"/>
      <c r="CDZ2472" s="61"/>
      <c r="CEA2472" s="54"/>
      <c r="CEB2472" s="54"/>
      <c r="CEC2472" s="63"/>
      <c r="CED2472" s="60"/>
      <c r="CEE2472" s="60"/>
      <c r="CEF2472" s="60"/>
      <c r="CEG2472" s="63"/>
      <c r="CEH2472" s="61"/>
      <c r="CEI2472" s="54"/>
      <c r="CEJ2472" s="54"/>
      <c r="CEK2472" s="63"/>
      <c r="CEL2472" s="60"/>
      <c r="CEM2472" s="60"/>
      <c r="CEN2472" s="60"/>
      <c r="CEO2472" s="63"/>
      <c r="CEP2472" s="61"/>
      <c r="CEQ2472" s="54"/>
      <c r="CER2472" s="54"/>
      <c r="CES2472" s="63"/>
      <c r="CET2472" s="60"/>
      <c r="CEU2472" s="60"/>
      <c r="CEV2472" s="60"/>
      <c r="CEW2472" s="63"/>
      <c r="CEX2472" s="61"/>
      <c r="CEY2472" s="54"/>
      <c r="CEZ2472" s="54"/>
      <c r="CFA2472" s="63"/>
      <c r="CFB2472" s="60"/>
      <c r="CFC2472" s="60"/>
      <c r="CFD2472" s="60"/>
      <c r="CFE2472" s="63"/>
      <c r="CFF2472" s="61"/>
      <c r="CFG2472" s="54"/>
      <c r="CFH2472" s="54"/>
      <c r="CFI2472" s="63"/>
      <c r="CFJ2472" s="60"/>
      <c r="CFK2472" s="60"/>
      <c r="CFL2472" s="60"/>
      <c r="CFM2472" s="63"/>
      <c r="CFN2472" s="61"/>
      <c r="CFO2472" s="54"/>
      <c r="CFP2472" s="54"/>
      <c r="CFQ2472" s="63"/>
      <c r="CFR2472" s="60"/>
      <c r="CFS2472" s="60"/>
      <c r="CFT2472" s="60"/>
      <c r="CFU2472" s="63"/>
      <c r="CFV2472" s="61"/>
      <c r="CFW2472" s="54"/>
      <c r="CFX2472" s="54"/>
      <c r="CFY2472" s="63"/>
      <c r="CFZ2472" s="60"/>
      <c r="CGA2472" s="60"/>
      <c r="CGB2472" s="60"/>
      <c r="CGC2472" s="63"/>
      <c r="CGD2472" s="61"/>
      <c r="CGE2472" s="54"/>
      <c r="CGF2472" s="54"/>
      <c r="CGG2472" s="63"/>
      <c r="CGH2472" s="60"/>
      <c r="CGI2472" s="60"/>
      <c r="CGJ2472" s="60"/>
      <c r="CGK2472" s="63"/>
      <c r="CGL2472" s="61"/>
      <c r="CGM2472" s="54"/>
      <c r="CGN2472" s="54"/>
      <c r="CGO2472" s="63"/>
      <c r="CGP2472" s="60"/>
      <c r="CGQ2472" s="60"/>
      <c r="CGR2472" s="60"/>
      <c r="CGS2472" s="63"/>
      <c r="CGT2472" s="61"/>
      <c r="CGU2472" s="54"/>
      <c r="CGV2472" s="54"/>
      <c r="CGW2472" s="63"/>
      <c r="CGX2472" s="60"/>
      <c r="CGY2472" s="60"/>
      <c r="CGZ2472" s="60"/>
      <c r="CHA2472" s="63"/>
      <c r="CHB2472" s="61"/>
      <c r="CHC2472" s="54"/>
      <c r="CHD2472" s="54"/>
      <c r="CHE2472" s="63"/>
      <c r="CHF2472" s="60"/>
      <c r="CHG2472" s="60"/>
      <c r="CHH2472" s="60"/>
      <c r="CHI2472" s="63"/>
      <c r="CHJ2472" s="61"/>
      <c r="CHK2472" s="54"/>
      <c r="CHL2472" s="54"/>
      <c r="CHM2472" s="63"/>
      <c r="CHN2472" s="60"/>
      <c r="CHO2472" s="60"/>
      <c r="CHP2472" s="60"/>
      <c r="CHQ2472" s="63"/>
      <c r="CHR2472" s="61"/>
      <c r="CHS2472" s="54"/>
      <c r="CHT2472" s="54"/>
      <c r="CHU2472" s="63"/>
      <c r="CHV2472" s="60"/>
      <c r="CHW2472" s="60"/>
      <c r="CHX2472" s="60"/>
      <c r="CHY2472" s="63"/>
      <c r="CHZ2472" s="61"/>
      <c r="CIA2472" s="54"/>
      <c r="CIB2472" s="54"/>
      <c r="CIC2472" s="63"/>
      <c r="CID2472" s="60"/>
      <c r="CIE2472" s="60"/>
      <c r="CIF2472" s="60"/>
      <c r="CIG2472" s="63"/>
      <c r="CIH2472" s="61"/>
      <c r="CII2472" s="54"/>
      <c r="CIJ2472" s="54"/>
      <c r="CIK2472" s="63"/>
      <c r="CIL2472" s="60"/>
      <c r="CIM2472" s="60"/>
      <c r="CIN2472" s="60"/>
      <c r="CIO2472" s="63"/>
      <c r="CIP2472" s="61"/>
      <c r="CIQ2472" s="54"/>
      <c r="CIR2472" s="54"/>
      <c r="CIS2472" s="63"/>
      <c r="CIT2472" s="60"/>
      <c r="CIU2472" s="60"/>
      <c r="CIV2472" s="60"/>
      <c r="CIW2472" s="63"/>
      <c r="CIX2472" s="61"/>
      <c r="CIY2472" s="54"/>
      <c r="CIZ2472" s="54"/>
      <c r="CJA2472" s="63"/>
      <c r="CJB2472" s="60"/>
      <c r="CJC2472" s="60"/>
      <c r="CJD2472" s="60"/>
      <c r="CJE2472" s="63"/>
      <c r="CJF2472" s="61"/>
      <c r="CJG2472" s="54"/>
      <c r="CJH2472" s="54"/>
      <c r="CJI2472" s="63"/>
      <c r="CJJ2472" s="60"/>
      <c r="CJK2472" s="60"/>
      <c r="CJL2472" s="60"/>
      <c r="CJM2472" s="63"/>
      <c r="CJN2472" s="61"/>
      <c r="CJO2472" s="54"/>
      <c r="CJP2472" s="54"/>
      <c r="CJQ2472" s="63"/>
      <c r="CJR2472" s="60"/>
      <c r="CJS2472" s="60"/>
      <c r="CJT2472" s="60"/>
      <c r="CJU2472" s="63"/>
      <c r="CJV2472" s="61"/>
      <c r="CJW2472" s="54"/>
      <c r="CJX2472" s="54"/>
      <c r="CJY2472" s="63"/>
      <c r="CJZ2472" s="60"/>
      <c r="CKA2472" s="60"/>
      <c r="CKB2472" s="60"/>
      <c r="CKC2472" s="63"/>
      <c r="CKD2472" s="61"/>
      <c r="CKE2472" s="54"/>
      <c r="CKF2472" s="54"/>
      <c r="CKG2472" s="63"/>
      <c r="CKH2472" s="60"/>
      <c r="CKI2472" s="60"/>
      <c r="CKJ2472" s="60"/>
      <c r="CKK2472" s="63"/>
      <c r="CKL2472" s="61"/>
      <c r="CKM2472" s="54"/>
      <c r="CKN2472" s="54"/>
      <c r="CKO2472" s="63"/>
      <c r="CKP2472" s="60"/>
      <c r="CKQ2472" s="60"/>
      <c r="CKR2472" s="60"/>
      <c r="CKS2472" s="63"/>
      <c r="CKT2472" s="61"/>
      <c r="CKU2472" s="54"/>
      <c r="CKV2472" s="54"/>
      <c r="CKW2472" s="63"/>
      <c r="CKX2472" s="60"/>
      <c r="CKY2472" s="60"/>
      <c r="CKZ2472" s="60"/>
      <c r="CLA2472" s="63"/>
      <c r="CLB2472" s="61"/>
      <c r="CLC2472" s="54"/>
      <c r="CLD2472" s="54"/>
      <c r="CLE2472" s="63"/>
      <c r="CLF2472" s="60"/>
      <c r="CLG2472" s="60"/>
      <c r="CLH2472" s="60"/>
      <c r="CLI2472" s="63"/>
      <c r="CLJ2472" s="61"/>
      <c r="CLK2472" s="54"/>
      <c r="CLL2472" s="54"/>
      <c r="CLM2472" s="63"/>
      <c r="CLN2472" s="60"/>
      <c r="CLO2472" s="60"/>
      <c r="CLP2472" s="60"/>
      <c r="CLQ2472" s="63"/>
      <c r="CLR2472" s="61"/>
      <c r="CLS2472" s="54"/>
      <c r="CLT2472" s="54"/>
      <c r="CLU2472" s="63"/>
      <c r="CLV2472" s="60"/>
      <c r="CLW2472" s="60"/>
      <c r="CLX2472" s="60"/>
      <c r="CLY2472" s="63"/>
      <c r="CLZ2472" s="61"/>
      <c r="CMA2472" s="54"/>
      <c r="CMB2472" s="54"/>
      <c r="CMC2472" s="63"/>
      <c r="CMD2472" s="60"/>
      <c r="CME2472" s="60"/>
      <c r="CMF2472" s="60"/>
      <c r="CMG2472" s="63"/>
      <c r="CMH2472" s="61"/>
      <c r="CMI2472" s="54"/>
      <c r="CMJ2472" s="54"/>
      <c r="CMK2472" s="63"/>
      <c r="CML2472" s="60"/>
      <c r="CMM2472" s="60"/>
      <c r="CMN2472" s="60"/>
      <c r="CMO2472" s="63"/>
      <c r="CMP2472" s="61"/>
      <c r="CMQ2472" s="54"/>
      <c r="CMR2472" s="54"/>
      <c r="CMS2472" s="63"/>
      <c r="CMT2472" s="60"/>
      <c r="CMU2472" s="60"/>
      <c r="CMV2472" s="60"/>
      <c r="CMW2472" s="63"/>
      <c r="CMX2472" s="61"/>
      <c r="CMY2472" s="54"/>
      <c r="CMZ2472" s="54"/>
      <c r="CNA2472" s="63"/>
      <c r="CNB2472" s="60"/>
      <c r="CNC2472" s="60"/>
      <c r="CND2472" s="60"/>
      <c r="CNE2472" s="63"/>
      <c r="CNF2472" s="61"/>
      <c r="CNG2472" s="54"/>
      <c r="CNH2472" s="54"/>
      <c r="CNI2472" s="63"/>
      <c r="CNJ2472" s="60"/>
      <c r="CNK2472" s="60"/>
      <c r="CNL2472" s="60"/>
      <c r="CNM2472" s="63"/>
      <c r="CNN2472" s="61"/>
      <c r="CNO2472" s="54"/>
      <c r="CNP2472" s="54"/>
      <c r="CNQ2472" s="63"/>
      <c r="CNR2472" s="60"/>
      <c r="CNS2472" s="60"/>
      <c r="CNT2472" s="60"/>
      <c r="CNU2472" s="63"/>
      <c r="CNV2472" s="61"/>
      <c r="CNW2472" s="54"/>
      <c r="CNX2472" s="54"/>
      <c r="CNY2472" s="63"/>
      <c r="CNZ2472" s="60"/>
      <c r="COA2472" s="60"/>
      <c r="COB2472" s="60"/>
      <c r="COC2472" s="63"/>
      <c r="COD2472" s="61"/>
      <c r="COE2472" s="54"/>
      <c r="COF2472" s="54"/>
      <c r="COG2472" s="63"/>
      <c r="COH2472" s="60"/>
      <c r="COI2472" s="60"/>
      <c r="COJ2472" s="60"/>
      <c r="COK2472" s="63"/>
      <c r="COL2472" s="61"/>
      <c r="COM2472" s="54"/>
      <c r="CON2472" s="54"/>
      <c r="COO2472" s="63"/>
      <c r="COP2472" s="60"/>
      <c r="COQ2472" s="60"/>
      <c r="COR2472" s="60"/>
      <c r="COS2472" s="63"/>
      <c r="COT2472" s="61"/>
      <c r="COU2472" s="54"/>
      <c r="COV2472" s="54"/>
      <c r="COW2472" s="63"/>
      <c r="COX2472" s="60"/>
      <c r="COY2472" s="60"/>
      <c r="COZ2472" s="60"/>
      <c r="CPA2472" s="63"/>
      <c r="CPB2472" s="61"/>
      <c r="CPC2472" s="54"/>
      <c r="CPD2472" s="54"/>
      <c r="CPE2472" s="63"/>
      <c r="CPF2472" s="60"/>
      <c r="CPG2472" s="60"/>
      <c r="CPH2472" s="60"/>
      <c r="CPI2472" s="63"/>
      <c r="CPJ2472" s="61"/>
      <c r="CPK2472" s="54"/>
      <c r="CPL2472" s="54"/>
      <c r="CPM2472" s="63"/>
      <c r="CPN2472" s="60"/>
      <c r="CPO2472" s="60"/>
      <c r="CPP2472" s="60"/>
      <c r="CPQ2472" s="63"/>
      <c r="CPR2472" s="61"/>
      <c r="CPS2472" s="54"/>
      <c r="CPT2472" s="54"/>
      <c r="CPU2472" s="63"/>
      <c r="CPV2472" s="60"/>
      <c r="CPW2472" s="60"/>
      <c r="CPX2472" s="60"/>
      <c r="CPY2472" s="63"/>
      <c r="CPZ2472" s="61"/>
      <c r="CQA2472" s="54"/>
      <c r="CQB2472" s="54"/>
      <c r="CQC2472" s="63"/>
      <c r="CQD2472" s="60"/>
      <c r="CQE2472" s="60"/>
      <c r="CQF2472" s="60"/>
      <c r="CQG2472" s="63"/>
      <c r="CQH2472" s="61"/>
      <c r="CQI2472" s="54"/>
      <c r="CQJ2472" s="54"/>
      <c r="CQK2472" s="63"/>
      <c r="CQL2472" s="60"/>
      <c r="CQM2472" s="60"/>
      <c r="CQN2472" s="60"/>
      <c r="CQO2472" s="63"/>
      <c r="CQP2472" s="61"/>
      <c r="CQQ2472" s="54"/>
      <c r="CQR2472" s="54"/>
      <c r="CQS2472" s="63"/>
      <c r="CQT2472" s="60"/>
      <c r="CQU2472" s="60"/>
      <c r="CQV2472" s="60"/>
      <c r="CQW2472" s="63"/>
      <c r="CQX2472" s="61"/>
      <c r="CQY2472" s="54"/>
      <c r="CQZ2472" s="54"/>
      <c r="CRA2472" s="63"/>
      <c r="CRB2472" s="60"/>
      <c r="CRC2472" s="60"/>
      <c r="CRD2472" s="60"/>
      <c r="CRE2472" s="63"/>
      <c r="CRF2472" s="61"/>
      <c r="CRG2472" s="54"/>
      <c r="CRH2472" s="54"/>
      <c r="CRI2472" s="63"/>
      <c r="CRJ2472" s="60"/>
      <c r="CRK2472" s="60"/>
      <c r="CRL2472" s="60"/>
      <c r="CRM2472" s="63"/>
      <c r="CRN2472" s="61"/>
      <c r="CRO2472" s="54"/>
      <c r="CRP2472" s="54"/>
      <c r="CRQ2472" s="63"/>
      <c r="CRR2472" s="60"/>
      <c r="CRS2472" s="60"/>
      <c r="CRT2472" s="60"/>
      <c r="CRU2472" s="63"/>
      <c r="CRV2472" s="61"/>
      <c r="CRW2472" s="54"/>
      <c r="CRX2472" s="54"/>
      <c r="CRY2472" s="63"/>
      <c r="CRZ2472" s="60"/>
      <c r="CSA2472" s="60"/>
      <c r="CSB2472" s="60"/>
      <c r="CSC2472" s="63"/>
      <c r="CSD2472" s="61"/>
      <c r="CSE2472" s="54"/>
      <c r="CSF2472" s="54"/>
      <c r="CSG2472" s="63"/>
      <c r="CSH2472" s="60"/>
      <c r="CSI2472" s="60"/>
      <c r="CSJ2472" s="60"/>
      <c r="CSK2472" s="63"/>
      <c r="CSL2472" s="61"/>
      <c r="CSM2472" s="54"/>
      <c r="CSN2472" s="54"/>
      <c r="CSO2472" s="63"/>
      <c r="CSP2472" s="60"/>
      <c r="CSQ2472" s="60"/>
      <c r="CSR2472" s="60"/>
      <c r="CSS2472" s="63"/>
      <c r="CST2472" s="61"/>
      <c r="CSU2472" s="54"/>
      <c r="CSV2472" s="54"/>
      <c r="CSW2472" s="63"/>
      <c r="CSX2472" s="60"/>
      <c r="CSY2472" s="60"/>
      <c r="CSZ2472" s="60"/>
      <c r="CTA2472" s="63"/>
      <c r="CTB2472" s="61"/>
      <c r="CTC2472" s="54"/>
      <c r="CTD2472" s="54"/>
      <c r="CTE2472" s="63"/>
      <c r="CTF2472" s="60"/>
      <c r="CTG2472" s="60"/>
      <c r="CTH2472" s="60"/>
      <c r="CTI2472" s="63"/>
      <c r="CTJ2472" s="61"/>
      <c r="CTK2472" s="54"/>
      <c r="CTL2472" s="54"/>
      <c r="CTM2472" s="63"/>
      <c r="CTN2472" s="60"/>
      <c r="CTO2472" s="60"/>
      <c r="CTP2472" s="60"/>
      <c r="CTQ2472" s="63"/>
      <c r="CTR2472" s="61"/>
      <c r="CTS2472" s="54"/>
      <c r="CTT2472" s="54"/>
      <c r="CTU2472" s="63"/>
      <c r="CTV2472" s="60"/>
      <c r="CTW2472" s="60"/>
      <c r="CTX2472" s="60"/>
      <c r="CTY2472" s="63"/>
      <c r="CTZ2472" s="61"/>
      <c r="CUA2472" s="54"/>
      <c r="CUB2472" s="54"/>
      <c r="CUC2472" s="63"/>
      <c r="CUD2472" s="60"/>
      <c r="CUE2472" s="60"/>
      <c r="CUF2472" s="60"/>
      <c r="CUG2472" s="63"/>
      <c r="CUH2472" s="61"/>
      <c r="CUI2472" s="54"/>
      <c r="CUJ2472" s="54"/>
      <c r="CUK2472" s="63"/>
      <c r="CUL2472" s="60"/>
      <c r="CUM2472" s="60"/>
      <c r="CUN2472" s="60"/>
      <c r="CUO2472" s="63"/>
      <c r="CUP2472" s="61"/>
      <c r="CUQ2472" s="54"/>
      <c r="CUR2472" s="54"/>
      <c r="CUS2472" s="63"/>
      <c r="CUT2472" s="60"/>
      <c r="CUU2472" s="60"/>
      <c r="CUV2472" s="60"/>
      <c r="CUW2472" s="63"/>
      <c r="CUX2472" s="61"/>
      <c r="CUY2472" s="54"/>
      <c r="CUZ2472" s="54"/>
      <c r="CVA2472" s="63"/>
      <c r="CVB2472" s="60"/>
      <c r="CVC2472" s="60"/>
      <c r="CVD2472" s="60"/>
      <c r="CVE2472" s="63"/>
      <c r="CVF2472" s="61"/>
      <c r="CVG2472" s="54"/>
      <c r="CVH2472" s="54"/>
      <c r="CVI2472" s="63"/>
      <c r="CVJ2472" s="60"/>
      <c r="CVK2472" s="60"/>
      <c r="CVL2472" s="60"/>
      <c r="CVM2472" s="63"/>
      <c r="CVN2472" s="61"/>
      <c r="CVO2472" s="54"/>
      <c r="CVP2472" s="54"/>
      <c r="CVQ2472" s="63"/>
      <c r="CVR2472" s="60"/>
      <c r="CVS2472" s="60"/>
      <c r="CVT2472" s="60"/>
      <c r="CVU2472" s="63"/>
      <c r="CVV2472" s="61"/>
      <c r="CVW2472" s="54"/>
      <c r="CVX2472" s="54"/>
      <c r="CVY2472" s="63"/>
      <c r="CVZ2472" s="60"/>
      <c r="CWA2472" s="60"/>
      <c r="CWB2472" s="60"/>
      <c r="CWC2472" s="63"/>
      <c r="CWD2472" s="61"/>
      <c r="CWE2472" s="54"/>
      <c r="CWF2472" s="54"/>
      <c r="CWG2472" s="63"/>
      <c r="CWH2472" s="60"/>
      <c r="CWI2472" s="60"/>
      <c r="CWJ2472" s="60"/>
      <c r="CWK2472" s="63"/>
      <c r="CWL2472" s="61"/>
      <c r="CWM2472" s="54"/>
      <c r="CWN2472" s="54"/>
      <c r="CWO2472" s="63"/>
      <c r="CWP2472" s="60"/>
      <c r="CWQ2472" s="60"/>
      <c r="CWR2472" s="60"/>
      <c r="CWS2472" s="63"/>
      <c r="CWT2472" s="61"/>
      <c r="CWU2472" s="54"/>
      <c r="CWV2472" s="54"/>
      <c r="CWW2472" s="63"/>
      <c r="CWX2472" s="60"/>
      <c r="CWY2472" s="60"/>
      <c r="CWZ2472" s="60"/>
      <c r="CXA2472" s="63"/>
      <c r="CXB2472" s="61"/>
      <c r="CXC2472" s="54"/>
      <c r="CXD2472" s="54"/>
      <c r="CXE2472" s="63"/>
      <c r="CXF2472" s="60"/>
      <c r="CXG2472" s="60"/>
      <c r="CXH2472" s="60"/>
      <c r="CXI2472" s="63"/>
      <c r="CXJ2472" s="61"/>
      <c r="CXK2472" s="54"/>
      <c r="CXL2472" s="54"/>
      <c r="CXM2472" s="63"/>
      <c r="CXN2472" s="60"/>
      <c r="CXO2472" s="60"/>
      <c r="CXP2472" s="60"/>
      <c r="CXQ2472" s="63"/>
      <c r="CXR2472" s="61"/>
      <c r="CXS2472" s="54"/>
      <c r="CXT2472" s="54"/>
      <c r="CXU2472" s="63"/>
      <c r="CXV2472" s="60"/>
      <c r="CXW2472" s="60"/>
      <c r="CXX2472" s="60"/>
      <c r="CXY2472" s="63"/>
      <c r="CXZ2472" s="61"/>
      <c r="CYA2472" s="54"/>
      <c r="CYB2472" s="54"/>
      <c r="CYC2472" s="63"/>
      <c r="CYD2472" s="60"/>
      <c r="CYE2472" s="60"/>
      <c r="CYF2472" s="60"/>
      <c r="CYG2472" s="63"/>
      <c r="CYH2472" s="61"/>
      <c r="CYI2472" s="54"/>
      <c r="CYJ2472" s="54"/>
      <c r="CYK2472" s="63"/>
      <c r="CYL2472" s="60"/>
      <c r="CYM2472" s="60"/>
      <c r="CYN2472" s="60"/>
      <c r="CYO2472" s="63"/>
      <c r="CYP2472" s="61"/>
      <c r="CYQ2472" s="54"/>
      <c r="CYR2472" s="54"/>
      <c r="CYS2472" s="63"/>
      <c r="CYT2472" s="60"/>
      <c r="CYU2472" s="60"/>
      <c r="CYV2472" s="60"/>
      <c r="CYW2472" s="63"/>
      <c r="CYX2472" s="61"/>
      <c r="CYY2472" s="54"/>
      <c r="CYZ2472" s="54"/>
      <c r="CZA2472" s="63"/>
      <c r="CZB2472" s="60"/>
      <c r="CZC2472" s="60"/>
      <c r="CZD2472" s="60"/>
      <c r="CZE2472" s="63"/>
      <c r="CZF2472" s="61"/>
      <c r="CZG2472" s="54"/>
      <c r="CZH2472" s="54"/>
      <c r="CZI2472" s="63"/>
      <c r="CZJ2472" s="60"/>
      <c r="CZK2472" s="60"/>
      <c r="CZL2472" s="60"/>
      <c r="CZM2472" s="63"/>
      <c r="CZN2472" s="61"/>
      <c r="CZO2472" s="54"/>
      <c r="CZP2472" s="54"/>
      <c r="CZQ2472" s="63"/>
      <c r="CZR2472" s="60"/>
      <c r="CZS2472" s="60"/>
      <c r="CZT2472" s="60"/>
      <c r="CZU2472" s="63"/>
      <c r="CZV2472" s="61"/>
      <c r="CZW2472" s="54"/>
      <c r="CZX2472" s="54"/>
      <c r="CZY2472" s="63"/>
      <c r="CZZ2472" s="60"/>
      <c r="DAA2472" s="60"/>
      <c r="DAB2472" s="60"/>
      <c r="DAC2472" s="63"/>
      <c r="DAD2472" s="61"/>
      <c r="DAE2472" s="54"/>
      <c r="DAF2472" s="54"/>
      <c r="DAG2472" s="63"/>
      <c r="DAH2472" s="60"/>
      <c r="DAI2472" s="60"/>
      <c r="DAJ2472" s="60"/>
      <c r="DAK2472" s="63"/>
      <c r="DAL2472" s="61"/>
      <c r="DAM2472" s="54"/>
      <c r="DAN2472" s="54"/>
      <c r="DAO2472" s="63"/>
      <c r="DAP2472" s="60"/>
      <c r="DAQ2472" s="60"/>
      <c r="DAR2472" s="60"/>
      <c r="DAS2472" s="63"/>
      <c r="DAT2472" s="61"/>
      <c r="DAU2472" s="54"/>
      <c r="DAV2472" s="54"/>
      <c r="DAW2472" s="63"/>
      <c r="DAX2472" s="60"/>
      <c r="DAY2472" s="60"/>
      <c r="DAZ2472" s="60"/>
      <c r="DBA2472" s="63"/>
      <c r="DBB2472" s="61"/>
      <c r="DBC2472" s="54"/>
      <c r="DBD2472" s="54"/>
      <c r="DBE2472" s="63"/>
      <c r="DBF2472" s="60"/>
      <c r="DBG2472" s="60"/>
      <c r="DBH2472" s="60"/>
      <c r="DBI2472" s="63"/>
      <c r="DBJ2472" s="61"/>
      <c r="DBK2472" s="54"/>
      <c r="DBL2472" s="54"/>
      <c r="DBM2472" s="63"/>
      <c r="DBN2472" s="60"/>
      <c r="DBO2472" s="60"/>
      <c r="DBP2472" s="60"/>
      <c r="DBQ2472" s="63"/>
      <c r="DBR2472" s="61"/>
      <c r="DBS2472" s="54"/>
      <c r="DBT2472" s="54"/>
      <c r="DBU2472" s="63"/>
      <c r="DBV2472" s="60"/>
      <c r="DBW2472" s="60"/>
      <c r="DBX2472" s="60"/>
      <c r="DBY2472" s="63"/>
      <c r="DBZ2472" s="61"/>
      <c r="DCA2472" s="54"/>
      <c r="DCB2472" s="54"/>
      <c r="DCC2472" s="63"/>
      <c r="DCD2472" s="60"/>
      <c r="DCE2472" s="60"/>
      <c r="DCF2472" s="60"/>
      <c r="DCG2472" s="63"/>
      <c r="DCH2472" s="61"/>
      <c r="DCI2472" s="54"/>
      <c r="DCJ2472" s="54"/>
      <c r="DCK2472" s="63"/>
      <c r="DCL2472" s="60"/>
      <c r="DCM2472" s="60"/>
      <c r="DCN2472" s="60"/>
      <c r="DCO2472" s="63"/>
      <c r="DCP2472" s="61"/>
      <c r="DCQ2472" s="54"/>
      <c r="DCR2472" s="54"/>
      <c r="DCS2472" s="63"/>
      <c r="DCT2472" s="60"/>
      <c r="DCU2472" s="60"/>
      <c r="DCV2472" s="60"/>
      <c r="DCW2472" s="63"/>
      <c r="DCX2472" s="61"/>
      <c r="DCY2472" s="54"/>
      <c r="DCZ2472" s="54"/>
      <c r="DDA2472" s="63"/>
      <c r="DDB2472" s="60"/>
      <c r="DDC2472" s="60"/>
      <c r="DDD2472" s="60"/>
      <c r="DDE2472" s="63"/>
      <c r="DDF2472" s="61"/>
      <c r="DDG2472" s="54"/>
      <c r="DDH2472" s="54"/>
      <c r="DDI2472" s="63"/>
      <c r="DDJ2472" s="60"/>
      <c r="DDK2472" s="60"/>
      <c r="DDL2472" s="60"/>
      <c r="DDM2472" s="63"/>
      <c r="DDN2472" s="61"/>
      <c r="DDO2472" s="54"/>
      <c r="DDP2472" s="54"/>
      <c r="DDQ2472" s="63"/>
      <c r="DDR2472" s="60"/>
      <c r="DDS2472" s="60"/>
      <c r="DDT2472" s="60"/>
      <c r="DDU2472" s="63"/>
      <c r="DDV2472" s="61"/>
      <c r="DDW2472" s="54"/>
      <c r="DDX2472" s="54"/>
      <c r="DDY2472" s="63"/>
      <c r="DDZ2472" s="60"/>
      <c r="DEA2472" s="60"/>
      <c r="DEB2472" s="60"/>
      <c r="DEC2472" s="63"/>
      <c r="DED2472" s="61"/>
      <c r="DEE2472" s="54"/>
      <c r="DEF2472" s="54"/>
      <c r="DEG2472" s="63"/>
      <c r="DEH2472" s="60"/>
      <c r="DEI2472" s="60"/>
      <c r="DEJ2472" s="60"/>
      <c r="DEK2472" s="63"/>
      <c r="DEL2472" s="61"/>
      <c r="DEM2472" s="54"/>
      <c r="DEN2472" s="54"/>
      <c r="DEO2472" s="63"/>
      <c r="DEP2472" s="60"/>
      <c r="DEQ2472" s="60"/>
      <c r="DER2472" s="60"/>
      <c r="DES2472" s="63"/>
      <c r="DET2472" s="61"/>
      <c r="DEU2472" s="54"/>
      <c r="DEV2472" s="54"/>
      <c r="DEW2472" s="63"/>
      <c r="DEX2472" s="60"/>
      <c r="DEY2472" s="60"/>
      <c r="DEZ2472" s="60"/>
      <c r="DFA2472" s="63"/>
      <c r="DFB2472" s="61"/>
      <c r="DFC2472" s="54"/>
      <c r="DFD2472" s="54"/>
      <c r="DFE2472" s="63"/>
      <c r="DFF2472" s="60"/>
      <c r="DFG2472" s="60"/>
      <c r="DFH2472" s="60"/>
      <c r="DFI2472" s="63"/>
      <c r="DFJ2472" s="61"/>
      <c r="DFK2472" s="54"/>
      <c r="DFL2472" s="54"/>
      <c r="DFM2472" s="63"/>
      <c r="DFN2472" s="60"/>
      <c r="DFO2472" s="60"/>
      <c r="DFP2472" s="60"/>
      <c r="DFQ2472" s="63"/>
      <c r="DFR2472" s="61"/>
      <c r="DFS2472" s="54"/>
      <c r="DFT2472" s="54"/>
      <c r="DFU2472" s="63"/>
      <c r="DFV2472" s="60"/>
      <c r="DFW2472" s="60"/>
      <c r="DFX2472" s="60"/>
      <c r="DFY2472" s="63"/>
      <c r="DFZ2472" s="61"/>
      <c r="DGA2472" s="54"/>
      <c r="DGB2472" s="54"/>
      <c r="DGC2472" s="63"/>
      <c r="DGD2472" s="60"/>
      <c r="DGE2472" s="60"/>
      <c r="DGF2472" s="60"/>
      <c r="DGG2472" s="63"/>
      <c r="DGH2472" s="61"/>
      <c r="DGI2472" s="54"/>
      <c r="DGJ2472" s="54"/>
      <c r="DGK2472" s="63"/>
      <c r="DGL2472" s="60"/>
      <c r="DGM2472" s="60"/>
      <c r="DGN2472" s="60"/>
      <c r="DGO2472" s="63"/>
      <c r="DGP2472" s="61"/>
      <c r="DGQ2472" s="54"/>
      <c r="DGR2472" s="54"/>
      <c r="DGS2472" s="63"/>
      <c r="DGT2472" s="60"/>
      <c r="DGU2472" s="60"/>
      <c r="DGV2472" s="60"/>
      <c r="DGW2472" s="63"/>
      <c r="DGX2472" s="61"/>
      <c r="DGY2472" s="54"/>
      <c r="DGZ2472" s="54"/>
      <c r="DHA2472" s="63"/>
      <c r="DHB2472" s="60"/>
      <c r="DHC2472" s="60"/>
      <c r="DHD2472" s="60"/>
      <c r="DHE2472" s="63"/>
      <c r="DHF2472" s="61"/>
      <c r="DHG2472" s="54"/>
      <c r="DHH2472" s="54"/>
      <c r="DHI2472" s="63"/>
      <c r="DHJ2472" s="60"/>
      <c r="DHK2472" s="60"/>
      <c r="DHL2472" s="60"/>
      <c r="DHM2472" s="63"/>
      <c r="DHN2472" s="61"/>
      <c r="DHO2472" s="54"/>
      <c r="DHP2472" s="54"/>
      <c r="DHQ2472" s="63"/>
      <c r="DHR2472" s="60"/>
      <c r="DHS2472" s="60"/>
      <c r="DHT2472" s="60"/>
      <c r="DHU2472" s="63"/>
      <c r="DHV2472" s="61"/>
      <c r="DHW2472" s="54"/>
      <c r="DHX2472" s="54"/>
      <c r="DHY2472" s="63"/>
      <c r="DHZ2472" s="60"/>
      <c r="DIA2472" s="60"/>
      <c r="DIB2472" s="60"/>
      <c r="DIC2472" s="63"/>
      <c r="DID2472" s="61"/>
      <c r="DIE2472" s="54"/>
      <c r="DIF2472" s="54"/>
      <c r="DIG2472" s="63"/>
      <c r="DIH2472" s="60"/>
      <c r="DII2472" s="60"/>
      <c r="DIJ2472" s="60"/>
      <c r="DIK2472" s="63"/>
      <c r="DIL2472" s="61"/>
      <c r="DIM2472" s="54"/>
      <c r="DIN2472" s="54"/>
      <c r="DIO2472" s="63"/>
      <c r="DIP2472" s="60"/>
      <c r="DIQ2472" s="60"/>
      <c r="DIR2472" s="60"/>
      <c r="DIS2472" s="63"/>
      <c r="DIT2472" s="61"/>
      <c r="DIU2472" s="54"/>
      <c r="DIV2472" s="54"/>
      <c r="DIW2472" s="63"/>
      <c r="DIX2472" s="60"/>
      <c r="DIY2472" s="60"/>
      <c r="DIZ2472" s="60"/>
      <c r="DJA2472" s="63"/>
      <c r="DJB2472" s="61"/>
      <c r="DJC2472" s="54"/>
      <c r="DJD2472" s="54"/>
      <c r="DJE2472" s="63"/>
      <c r="DJF2472" s="60"/>
      <c r="DJG2472" s="60"/>
      <c r="DJH2472" s="60"/>
      <c r="DJI2472" s="63"/>
      <c r="DJJ2472" s="61"/>
      <c r="DJK2472" s="54"/>
      <c r="DJL2472" s="54"/>
      <c r="DJM2472" s="63"/>
      <c r="DJN2472" s="60"/>
      <c r="DJO2472" s="60"/>
      <c r="DJP2472" s="60"/>
      <c r="DJQ2472" s="63"/>
      <c r="DJR2472" s="61"/>
      <c r="DJS2472" s="54"/>
      <c r="DJT2472" s="54"/>
      <c r="DJU2472" s="63"/>
      <c r="DJV2472" s="60"/>
      <c r="DJW2472" s="60"/>
      <c r="DJX2472" s="60"/>
      <c r="DJY2472" s="63"/>
      <c r="DJZ2472" s="61"/>
      <c r="DKA2472" s="54"/>
      <c r="DKB2472" s="54"/>
      <c r="DKC2472" s="63"/>
      <c r="DKD2472" s="60"/>
      <c r="DKE2472" s="60"/>
      <c r="DKF2472" s="60"/>
      <c r="DKG2472" s="63"/>
      <c r="DKH2472" s="61"/>
      <c r="DKI2472" s="54"/>
      <c r="DKJ2472" s="54"/>
      <c r="DKK2472" s="63"/>
      <c r="DKL2472" s="60"/>
      <c r="DKM2472" s="60"/>
      <c r="DKN2472" s="60"/>
      <c r="DKO2472" s="63"/>
      <c r="DKP2472" s="61"/>
      <c r="DKQ2472" s="54"/>
      <c r="DKR2472" s="54"/>
      <c r="DKS2472" s="63"/>
      <c r="DKT2472" s="60"/>
      <c r="DKU2472" s="60"/>
      <c r="DKV2472" s="60"/>
      <c r="DKW2472" s="63"/>
      <c r="DKX2472" s="61"/>
      <c r="DKY2472" s="54"/>
      <c r="DKZ2472" s="54"/>
      <c r="DLA2472" s="63"/>
      <c r="DLB2472" s="60"/>
      <c r="DLC2472" s="60"/>
      <c r="DLD2472" s="60"/>
      <c r="DLE2472" s="63"/>
      <c r="DLF2472" s="61"/>
      <c r="DLG2472" s="54"/>
      <c r="DLH2472" s="54"/>
      <c r="DLI2472" s="63"/>
      <c r="DLJ2472" s="60"/>
      <c r="DLK2472" s="60"/>
      <c r="DLL2472" s="60"/>
      <c r="DLM2472" s="63"/>
      <c r="DLN2472" s="61"/>
      <c r="DLO2472" s="54"/>
      <c r="DLP2472" s="54"/>
      <c r="DLQ2472" s="63"/>
      <c r="DLR2472" s="60"/>
      <c r="DLS2472" s="60"/>
      <c r="DLT2472" s="60"/>
      <c r="DLU2472" s="63"/>
      <c r="DLV2472" s="61"/>
      <c r="DLW2472" s="54"/>
      <c r="DLX2472" s="54"/>
      <c r="DLY2472" s="63"/>
      <c r="DLZ2472" s="60"/>
      <c r="DMA2472" s="60"/>
      <c r="DMB2472" s="60"/>
      <c r="DMC2472" s="63"/>
      <c r="DMD2472" s="61"/>
      <c r="DME2472" s="54"/>
      <c r="DMF2472" s="54"/>
      <c r="DMG2472" s="63"/>
      <c r="DMH2472" s="60"/>
      <c r="DMI2472" s="60"/>
      <c r="DMJ2472" s="60"/>
      <c r="DMK2472" s="63"/>
      <c r="DML2472" s="61"/>
      <c r="DMM2472" s="54"/>
      <c r="DMN2472" s="54"/>
      <c r="DMO2472" s="63"/>
      <c r="DMP2472" s="60"/>
      <c r="DMQ2472" s="60"/>
      <c r="DMR2472" s="60"/>
      <c r="DMS2472" s="63"/>
      <c r="DMT2472" s="61"/>
      <c r="DMU2472" s="54"/>
      <c r="DMV2472" s="54"/>
      <c r="DMW2472" s="63"/>
      <c r="DMX2472" s="60"/>
      <c r="DMY2472" s="60"/>
      <c r="DMZ2472" s="60"/>
      <c r="DNA2472" s="63"/>
      <c r="DNB2472" s="61"/>
      <c r="DNC2472" s="54"/>
      <c r="DND2472" s="54"/>
      <c r="DNE2472" s="63"/>
      <c r="DNF2472" s="60"/>
      <c r="DNG2472" s="60"/>
      <c r="DNH2472" s="60"/>
      <c r="DNI2472" s="63"/>
      <c r="DNJ2472" s="61"/>
      <c r="DNK2472" s="54"/>
      <c r="DNL2472" s="54"/>
      <c r="DNM2472" s="63"/>
      <c r="DNN2472" s="60"/>
      <c r="DNO2472" s="60"/>
      <c r="DNP2472" s="60"/>
      <c r="DNQ2472" s="63"/>
      <c r="DNR2472" s="61"/>
      <c r="DNS2472" s="54"/>
      <c r="DNT2472" s="54"/>
      <c r="DNU2472" s="63"/>
      <c r="DNV2472" s="60"/>
      <c r="DNW2472" s="60"/>
      <c r="DNX2472" s="60"/>
      <c r="DNY2472" s="63"/>
      <c r="DNZ2472" s="61"/>
      <c r="DOA2472" s="54"/>
      <c r="DOB2472" s="54"/>
      <c r="DOC2472" s="63"/>
      <c r="DOD2472" s="60"/>
      <c r="DOE2472" s="60"/>
      <c r="DOF2472" s="60"/>
      <c r="DOG2472" s="63"/>
      <c r="DOH2472" s="61"/>
      <c r="DOI2472" s="54"/>
      <c r="DOJ2472" s="54"/>
      <c r="DOK2472" s="63"/>
      <c r="DOL2472" s="60"/>
      <c r="DOM2472" s="60"/>
      <c r="DON2472" s="60"/>
      <c r="DOO2472" s="63"/>
      <c r="DOP2472" s="61"/>
      <c r="DOQ2472" s="54"/>
      <c r="DOR2472" s="54"/>
      <c r="DOS2472" s="63"/>
      <c r="DOT2472" s="60"/>
      <c r="DOU2472" s="60"/>
      <c r="DOV2472" s="60"/>
      <c r="DOW2472" s="63"/>
      <c r="DOX2472" s="61"/>
      <c r="DOY2472" s="54"/>
      <c r="DOZ2472" s="54"/>
      <c r="DPA2472" s="63"/>
      <c r="DPB2472" s="60"/>
      <c r="DPC2472" s="60"/>
      <c r="DPD2472" s="60"/>
      <c r="DPE2472" s="63"/>
      <c r="DPF2472" s="61"/>
      <c r="DPG2472" s="54"/>
      <c r="DPH2472" s="54"/>
      <c r="DPI2472" s="63"/>
      <c r="DPJ2472" s="60"/>
      <c r="DPK2472" s="60"/>
      <c r="DPL2472" s="60"/>
      <c r="DPM2472" s="63"/>
      <c r="DPN2472" s="61"/>
      <c r="DPO2472" s="54"/>
      <c r="DPP2472" s="54"/>
      <c r="DPQ2472" s="63"/>
      <c r="DPR2472" s="60"/>
      <c r="DPS2472" s="60"/>
      <c r="DPT2472" s="60"/>
      <c r="DPU2472" s="63"/>
      <c r="DPV2472" s="61"/>
      <c r="DPW2472" s="54"/>
      <c r="DPX2472" s="54"/>
      <c r="DPY2472" s="63"/>
      <c r="DPZ2472" s="60"/>
      <c r="DQA2472" s="60"/>
      <c r="DQB2472" s="60"/>
      <c r="DQC2472" s="63"/>
      <c r="DQD2472" s="61"/>
      <c r="DQE2472" s="54"/>
      <c r="DQF2472" s="54"/>
      <c r="DQG2472" s="63"/>
      <c r="DQH2472" s="60"/>
      <c r="DQI2472" s="60"/>
      <c r="DQJ2472" s="60"/>
      <c r="DQK2472" s="63"/>
      <c r="DQL2472" s="61"/>
      <c r="DQM2472" s="54"/>
      <c r="DQN2472" s="54"/>
      <c r="DQO2472" s="63"/>
      <c r="DQP2472" s="60"/>
      <c r="DQQ2472" s="60"/>
      <c r="DQR2472" s="60"/>
      <c r="DQS2472" s="63"/>
      <c r="DQT2472" s="61"/>
      <c r="DQU2472" s="54"/>
      <c r="DQV2472" s="54"/>
      <c r="DQW2472" s="63"/>
      <c r="DQX2472" s="60"/>
      <c r="DQY2472" s="60"/>
      <c r="DQZ2472" s="60"/>
      <c r="DRA2472" s="63"/>
      <c r="DRB2472" s="61"/>
      <c r="DRC2472" s="54"/>
      <c r="DRD2472" s="54"/>
      <c r="DRE2472" s="63"/>
      <c r="DRF2472" s="60"/>
      <c r="DRG2472" s="60"/>
      <c r="DRH2472" s="60"/>
      <c r="DRI2472" s="63"/>
      <c r="DRJ2472" s="61"/>
      <c r="DRK2472" s="54"/>
      <c r="DRL2472" s="54"/>
      <c r="DRM2472" s="63"/>
      <c r="DRN2472" s="60"/>
      <c r="DRO2472" s="60"/>
      <c r="DRP2472" s="60"/>
      <c r="DRQ2472" s="63"/>
      <c r="DRR2472" s="61"/>
      <c r="DRS2472" s="54"/>
      <c r="DRT2472" s="54"/>
      <c r="DRU2472" s="63"/>
      <c r="DRV2472" s="60"/>
      <c r="DRW2472" s="60"/>
      <c r="DRX2472" s="60"/>
      <c r="DRY2472" s="63"/>
      <c r="DRZ2472" s="61"/>
      <c r="DSA2472" s="54"/>
      <c r="DSB2472" s="54"/>
      <c r="DSC2472" s="63"/>
      <c r="DSD2472" s="60"/>
      <c r="DSE2472" s="60"/>
      <c r="DSF2472" s="60"/>
      <c r="DSG2472" s="63"/>
      <c r="DSH2472" s="61"/>
      <c r="DSI2472" s="54"/>
      <c r="DSJ2472" s="54"/>
      <c r="DSK2472" s="63"/>
      <c r="DSL2472" s="60"/>
      <c r="DSM2472" s="60"/>
      <c r="DSN2472" s="60"/>
      <c r="DSO2472" s="63"/>
      <c r="DSP2472" s="61"/>
      <c r="DSQ2472" s="54"/>
      <c r="DSR2472" s="54"/>
      <c r="DSS2472" s="63"/>
      <c r="DST2472" s="60"/>
      <c r="DSU2472" s="60"/>
      <c r="DSV2472" s="60"/>
      <c r="DSW2472" s="63"/>
      <c r="DSX2472" s="61"/>
      <c r="DSY2472" s="54"/>
      <c r="DSZ2472" s="54"/>
      <c r="DTA2472" s="63"/>
      <c r="DTB2472" s="60"/>
      <c r="DTC2472" s="60"/>
      <c r="DTD2472" s="60"/>
      <c r="DTE2472" s="63"/>
      <c r="DTF2472" s="61"/>
      <c r="DTG2472" s="54"/>
      <c r="DTH2472" s="54"/>
      <c r="DTI2472" s="63"/>
      <c r="DTJ2472" s="60"/>
      <c r="DTK2472" s="60"/>
      <c r="DTL2472" s="60"/>
      <c r="DTM2472" s="63"/>
      <c r="DTN2472" s="61"/>
      <c r="DTO2472" s="54"/>
      <c r="DTP2472" s="54"/>
      <c r="DTQ2472" s="63"/>
      <c r="DTR2472" s="60"/>
      <c r="DTS2472" s="60"/>
      <c r="DTT2472" s="60"/>
      <c r="DTU2472" s="63"/>
      <c r="DTV2472" s="61"/>
      <c r="DTW2472" s="54"/>
      <c r="DTX2472" s="54"/>
      <c r="DTY2472" s="63"/>
      <c r="DTZ2472" s="60"/>
      <c r="DUA2472" s="60"/>
      <c r="DUB2472" s="60"/>
      <c r="DUC2472" s="63"/>
      <c r="DUD2472" s="61"/>
      <c r="DUE2472" s="54"/>
      <c r="DUF2472" s="54"/>
      <c r="DUG2472" s="63"/>
      <c r="DUH2472" s="60"/>
      <c r="DUI2472" s="60"/>
      <c r="DUJ2472" s="60"/>
      <c r="DUK2472" s="63"/>
      <c r="DUL2472" s="61"/>
      <c r="DUM2472" s="54"/>
      <c r="DUN2472" s="54"/>
      <c r="DUO2472" s="63"/>
      <c r="DUP2472" s="60"/>
      <c r="DUQ2472" s="60"/>
      <c r="DUR2472" s="60"/>
      <c r="DUS2472" s="63"/>
      <c r="DUT2472" s="61"/>
      <c r="DUU2472" s="54"/>
      <c r="DUV2472" s="54"/>
      <c r="DUW2472" s="63"/>
      <c r="DUX2472" s="60"/>
      <c r="DUY2472" s="60"/>
      <c r="DUZ2472" s="60"/>
      <c r="DVA2472" s="63"/>
      <c r="DVB2472" s="61"/>
      <c r="DVC2472" s="54"/>
      <c r="DVD2472" s="54"/>
      <c r="DVE2472" s="63"/>
      <c r="DVF2472" s="60"/>
      <c r="DVG2472" s="60"/>
      <c r="DVH2472" s="60"/>
      <c r="DVI2472" s="63"/>
      <c r="DVJ2472" s="61"/>
      <c r="DVK2472" s="54"/>
      <c r="DVL2472" s="54"/>
      <c r="DVM2472" s="63"/>
      <c r="DVN2472" s="60"/>
      <c r="DVO2472" s="60"/>
      <c r="DVP2472" s="60"/>
      <c r="DVQ2472" s="63"/>
      <c r="DVR2472" s="61"/>
      <c r="DVS2472" s="54"/>
      <c r="DVT2472" s="54"/>
      <c r="DVU2472" s="63"/>
      <c r="DVV2472" s="60"/>
      <c r="DVW2472" s="60"/>
      <c r="DVX2472" s="60"/>
      <c r="DVY2472" s="63"/>
      <c r="DVZ2472" s="61"/>
      <c r="DWA2472" s="54"/>
      <c r="DWB2472" s="54"/>
      <c r="DWC2472" s="63"/>
      <c r="DWD2472" s="60"/>
      <c r="DWE2472" s="60"/>
      <c r="DWF2472" s="60"/>
      <c r="DWG2472" s="63"/>
      <c r="DWH2472" s="61"/>
      <c r="DWI2472" s="54"/>
      <c r="DWJ2472" s="54"/>
      <c r="DWK2472" s="63"/>
      <c r="DWL2472" s="60"/>
      <c r="DWM2472" s="60"/>
      <c r="DWN2472" s="60"/>
      <c r="DWO2472" s="63"/>
      <c r="DWP2472" s="61"/>
      <c r="DWQ2472" s="54"/>
      <c r="DWR2472" s="54"/>
      <c r="DWS2472" s="63"/>
      <c r="DWT2472" s="60"/>
      <c r="DWU2472" s="60"/>
      <c r="DWV2472" s="60"/>
      <c r="DWW2472" s="63"/>
      <c r="DWX2472" s="61"/>
      <c r="DWY2472" s="54"/>
      <c r="DWZ2472" s="54"/>
      <c r="DXA2472" s="63"/>
      <c r="DXB2472" s="60"/>
      <c r="DXC2472" s="60"/>
      <c r="DXD2472" s="60"/>
      <c r="DXE2472" s="63"/>
      <c r="DXF2472" s="61"/>
      <c r="DXG2472" s="54"/>
      <c r="DXH2472" s="54"/>
      <c r="DXI2472" s="63"/>
      <c r="DXJ2472" s="60"/>
      <c r="DXK2472" s="60"/>
      <c r="DXL2472" s="60"/>
      <c r="DXM2472" s="63"/>
      <c r="DXN2472" s="61"/>
      <c r="DXO2472" s="54"/>
      <c r="DXP2472" s="54"/>
      <c r="DXQ2472" s="63"/>
      <c r="DXR2472" s="60"/>
      <c r="DXS2472" s="60"/>
      <c r="DXT2472" s="60"/>
      <c r="DXU2472" s="63"/>
      <c r="DXV2472" s="61"/>
      <c r="DXW2472" s="54"/>
      <c r="DXX2472" s="54"/>
      <c r="DXY2472" s="63"/>
      <c r="DXZ2472" s="60"/>
      <c r="DYA2472" s="60"/>
      <c r="DYB2472" s="60"/>
      <c r="DYC2472" s="63"/>
      <c r="DYD2472" s="61"/>
      <c r="DYE2472" s="54"/>
      <c r="DYF2472" s="54"/>
      <c r="DYG2472" s="63"/>
      <c r="DYH2472" s="60"/>
      <c r="DYI2472" s="60"/>
      <c r="DYJ2472" s="60"/>
      <c r="DYK2472" s="63"/>
      <c r="DYL2472" s="61"/>
      <c r="DYM2472" s="54"/>
      <c r="DYN2472" s="54"/>
      <c r="DYO2472" s="63"/>
      <c r="DYP2472" s="60"/>
      <c r="DYQ2472" s="60"/>
      <c r="DYR2472" s="60"/>
      <c r="DYS2472" s="63"/>
      <c r="DYT2472" s="61"/>
      <c r="DYU2472" s="54"/>
      <c r="DYV2472" s="54"/>
      <c r="DYW2472" s="63"/>
      <c r="DYX2472" s="60"/>
      <c r="DYY2472" s="60"/>
      <c r="DYZ2472" s="60"/>
      <c r="DZA2472" s="63"/>
      <c r="DZB2472" s="61"/>
      <c r="DZC2472" s="54"/>
      <c r="DZD2472" s="54"/>
      <c r="DZE2472" s="63"/>
      <c r="DZF2472" s="60"/>
      <c r="DZG2472" s="60"/>
      <c r="DZH2472" s="60"/>
      <c r="DZI2472" s="63"/>
      <c r="DZJ2472" s="61"/>
      <c r="DZK2472" s="54"/>
      <c r="DZL2472" s="54"/>
      <c r="DZM2472" s="63"/>
      <c r="DZN2472" s="60"/>
      <c r="DZO2472" s="60"/>
      <c r="DZP2472" s="60"/>
      <c r="DZQ2472" s="63"/>
      <c r="DZR2472" s="61"/>
      <c r="DZS2472" s="54"/>
      <c r="DZT2472" s="54"/>
      <c r="DZU2472" s="63"/>
      <c r="DZV2472" s="60"/>
      <c r="DZW2472" s="60"/>
      <c r="DZX2472" s="60"/>
      <c r="DZY2472" s="63"/>
      <c r="DZZ2472" s="61"/>
      <c r="EAA2472" s="54"/>
      <c r="EAB2472" s="54"/>
      <c r="EAC2472" s="63"/>
      <c r="EAD2472" s="60"/>
      <c r="EAE2472" s="60"/>
      <c r="EAF2472" s="60"/>
      <c r="EAG2472" s="63"/>
      <c r="EAH2472" s="61"/>
      <c r="EAI2472" s="54"/>
      <c r="EAJ2472" s="54"/>
      <c r="EAK2472" s="63"/>
      <c r="EAL2472" s="60"/>
      <c r="EAM2472" s="60"/>
      <c r="EAN2472" s="60"/>
      <c r="EAO2472" s="63"/>
      <c r="EAP2472" s="61"/>
      <c r="EAQ2472" s="54"/>
      <c r="EAR2472" s="54"/>
      <c r="EAS2472" s="63"/>
      <c r="EAT2472" s="60"/>
      <c r="EAU2472" s="60"/>
      <c r="EAV2472" s="60"/>
      <c r="EAW2472" s="63"/>
      <c r="EAX2472" s="61"/>
      <c r="EAY2472" s="54"/>
      <c r="EAZ2472" s="54"/>
      <c r="EBA2472" s="63"/>
      <c r="EBB2472" s="60"/>
      <c r="EBC2472" s="60"/>
      <c r="EBD2472" s="60"/>
      <c r="EBE2472" s="63"/>
      <c r="EBF2472" s="61"/>
      <c r="EBG2472" s="54"/>
      <c r="EBH2472" s="54"/>
      <c r="EBI2472" s="63"/>
      <c r="EBJ2472" s="60"/>
      <c r="EBK2472" s="60"/>
      <c r="EBL2472" s="60"/>
      <c r="EBM2472" s="63"/>
      <c r="EBN2472" s="61"/>
      <c r="EBO2472" s="54"/>
      <c r="EBP2472" s="54"/>
      <c r="EBQ2472" s="63"/>
      <c r="EBR2472" s="60"/>
      <c r="EBS2472" s="60"/>
      <c r="EBT2472" s="60"/>
      <c r="EBU2472" s="63"/>
      <c r="EBV2472" s="61"/>
      <c r="EBW2472" s="54"/>
      <c r="EBX2472" s="54"/>
      <c r="EBY2472" s="63"/>
      <c r="EBZ2472" s="60"/>
      <c r="ECA2472" s="60"/>
      <c r="ECB2472" s="60"/>
      <c r="ECC2472" s="63"/>
      <c r="ECD2472" s="61"/>
      <c r="ECE2472" s="54"/>
      <c r="ECF2472" s="54"/>
      <c r="ECG2472" s="63"/>
      <c r="ECH2472" s="60"/>
      <c r="ECI2472" s="60"/>
      <c r="ECJ2472" s="60"/>
      <c r="ECK2472" s="63"/>
      <c r="ECL2472" s="61"/>
      <c r="ECM2472" s="54"/>
      <c r="ECN2472" s="54"/>
      <c r="ECO2472" s="63"/>
      <c r="ECP2472" s="60"/>
      <c r="ECQ2472" s="60"/>
      <c r="ECR2472" s="60"/>
      <c r="ECS2472" s="63"/>
      <c r="ECT2472" s="61"/>
      <c r="ECU2472" s="54"/>
      <c r="ECV2472" s="54"/>
      <c r="ECW2472" s="63"/>
      <c r="ECX2472" s="60"/>
      <c r="ECY2472" s="60"/>
      <c r="ECZ2472" s="60"/>
      <c r="EDA2472" s="63"/>
      <c r="EDB2472" s="61"/>
      <c r="EDC2472" s="54"/>
      <c r="EDD2472" s="54"/>
      <c r="EDE2472" s="63"/>
      <c r="EDF2472" s="60"/>
      <c r="EDG2472" s="60"/>
      <c r="EDH2472" s="60"/>
      <c r="EDI2472" s="63"/>
      <c r="EDJ2472" s="61"/>
      <c r="EDK2472" s="54"/>
      <c r="EDL2472" s="54"/>
      <c r="EDM2472" s="63"/>
      <c r="EDN2472" s="60"/>
      <c r="EDO2472" s="60"/>
      <c r="EDP2472" s="60"/>
      <c r="EDQ2472" s="63"/>
      <c r="EDR2472" s="61"/>
      <c r="EDS2472" s="54"/>
      <c r="EDT2472" s="54"/>
      <c r="EDU2472" s="63"/>
      <c r="EDV2472" s="60"/>
      <c r="EDW2472" s="60"/>
      <c r="EDX2472" s="60"/>
      <c r="EDY2472" s="63"/>
      <c r="EDZ2472" s="61"/>
      <c r="EEA2472" s="54"/>
      <c r="EEB2472" s="54"/>
      <c r="EEC2472" s="63"/>
      <c r="EED2472" s="60"/>
      <c r="EEE2472" s="60"/>
      <c r="EEF2472" s="60"/>
      <c r="EEG2472" s="63"/>
      <c r="EEH2472" s="61"/>
      <c r="EEI2472" s="54"/>
      <c r="EEJ2472" s="54"/>
      <c r="EEK2472" s="63"/>
      <c r="EEL2472" s="60"/>
      <c r="EEM2472" s="60"/>
      <c r="EEN2472" s="60"/>
      <c r="EEO2472" s="63"/>
      <c r="EEP2472" s="61"/>
      <c r="EEQ2472" s="54"/>
      <c r="EER2472" s="54"/>
      <c r="EES2472" s="63"/>
      <c r="EET2472" s="60"/>
      <c r="EEU2472" s="60"/>
      <c r="EEV2472" s="60"/>
      <c r="EEW2472" s="63"/>
      <c r="EEX2472" s="61"/>
      <c r="EEY2472" s="54"/>
      <c r="EEZ2472" s="54"/>
      <c r="EFA2472" s="63"/>
      <c r="EFB2472" s="60"/>
      <c r="EFC2472" s="60"/>
      <c r="EFD2472" s="60"/>
      <c r="EFE2472" s="63"/>
      <c r="EFF2472" s="61"/>
      <c r="EFG2472" s="54"/>
      <c r="EFH2472" s="54"/>
      <c r="EFI2472" s="63"/>
      <c r="EFJ2472" s="60"/>
      <c r="EFK2472" s="60"/>
      <c r="EFL2472" s="60"/>
      <c r="EFM2472" s="63"/>
      <c r="EFN2472" s="61"/>
      <c r="EFO2472" s="54"/>
      <c r="EFP2472" s="54"/>
      <c r="EFQ2472" s="63"/>
      <c r="EFR2472" s="60"/>
      <c r="EFS2472" s="60"/>
      <c r="EFT2472" s="60"/>
      <c r="EFU2472" s="63"/>
      <c r="EFV2472" s="61"/>
      <c r="EFW2472" s="54"/>
      <c r="EFX2472" s="54"/>
      <c r="EFY2472" s="63"/>
      <c r="EFZ2472" s="60"/>
      <c r="EGA2472" s="60"/>
      <c r="EGB2472" s="60"/>
      <c r="EGC2472" s="63"/>
      <c r="EGD2472" s="61"/>
      <c r="EGE2472" s="54"/>
      <c r="EGF2472" s="54"/>
      <c r="EGG2472" s="63"/>
      <c r="EGH2472" s="60"/>
      <c r="EGI2472" s="60"/>
      <c r="EGJ2472" s="60"/>
      <c r="EGK2472" s="63"/>
      <c r="EGL2472" s="61"/>
      <c r="EGM2472" s="54"/>
      <c r="EGN2472" s="54"/>
      <c r="EGO2472" s="63"/>
      <c r="EGP2472" s="60"/>
      <c r="EGQ2472" s="60"/>
      <c r="EGR2472" s="60"/>
      <c r="EGS2472" s="63"/>
      <c r="EGT2472" s="61"/>
      <c r="EGU2472" s="54"/>
      <c r="EGV2472" s="54"/>
      <c r="EGW2472" s="63"/>
      <c r="EGX2472" s="60"/>
      <c r="EGY2472" s="60"/>
      <c r="EGZ2472" s="60"/>
      <c r="EHA2472" s="63"/>
      <c r="EHB2472" s="61"/>
      <c r="EHC2472" s="54"/>
      <c r="EHD2472" s="54"/>
      <c r="EHE2472" s="63"/>
      <c r="EHF2472" s="60"/>
      <c r="EHG2472" s="60"/>
      <c r="EHH2472" s="60"/>
      <c r="EHI2472" s="63"/>
      <c r="EHJ2472" s="61"/>
      <c r="EHK2472" s="54"/>
      <c r="EHL2472" s="54"/>
      <c r="EHM2472" s="63"/>
      <c r="EHN2472" s="60"/>
      <c r="EHO2472" s="60"/>
      <c r="EHP2472" s="60"/>
      <c r="EHQ2472" s="63"/>
      <c r="EHR2472" s="61"/>
      <c r="EHS2472" s="54"/>
      <c r="EHT2472" s="54"/>
      <c r="EHU2472" s="63"/>
      <c r="EHV2472" s="60"/>
      <c r="EHW2472" s="60"/>
      <c r="EHX2472" s="60"/>
      <c r="EHY2472" s="63"/>
      <c r="EHZ2472" s="61"/>
      <c r="EIA2472" s="54"/>
      <c r="EIB2472" s="54"/>
      <c r="EIC2472" s="63"/>
      <c r="EID2472" s="60"/>
      <c r="EIE2472" s="60"/>
      <c r="EIF2472" s="60"/>
      <c r="EIG2472" s="63"/>
      <c r="EIH2472" s="61"/>
      <c r="EII2472" s="54"/>
      <c r="EIJ2472" s="54"/>
      <c r="EIK2472" s="63"/>
      <c r="EIL2472" s="60"/>
      <c r="EIM2472" s="60"/>
      <c r="EIN2472" s="60"/>
      <c r="EIO2472" s="63"/>
      <c r="EIP2472" s="61"/>
      <c r="EIQ2472" s="54"/>
      <c r="EIR2472" s="54"/>
      <c r="EIS2472" s="63"/>
      <c r="EIT2472" s="60"/>
      <c r="EIU2472" s="60"/>
      <c r="EIV2472" s="60"/>
      <c r="EIW2472" s="63"/>
      <c r="EIX2472" s="61"/>
      <c r="EIY2472" s="54"/>
      <c r="EIZ2472" s="54"/>
      <c r="EJA2472" s="63"/>
      <c r="EJB2472" s="60"/>
      <c r="EJC2472" s="60"/>
      <c r="EJD2472" s="60"/>
      <c r="EJE2472" s="63"/>
      <c r="EJF2472" s="61"/>
      <c r="EJG2472" s="54"/>
      <c r="EJH2472" s="54"/>
      <c r="EJI2472" s="63"/>
      <c r="EJJ2472" s="60"/>
      <c r="EJK2472" s="60"/>
      <c r="EJL2472" s="60"/>
      <c r="EJM2472" s="63"/>
      <c r="EJN2472" s="61"/>
      <c r="EJO2472" s="54"/>
      <c r="EJP2472" s="54"/>
      <c r="EJQ2472" s="63"/>
      <c r="EJR2472" s="60"/>
      <c r="EJS2472" s="60"/>
      <c r="EJT2472" s="60"/>
      <c r="EJU2472" s="63"/>
      <c r="EJV2472" s="61"/>
      <c r="EJW2472" s="54"/>
      <c r="EJX2472" s="54"/>
      <c r="EJY2472" s="63"/>
      <c r="EJZ2472" s="60"/>
      <c r="EKA2472" s="60"/>
      <c r="EKB2472" s="60"/>
      <c r="EKC2472" s="63"/>
      <c r="EKD2472" s="61"/>
      <c r="EKE2472" s="54"/>
      <c r="EKF2472" s="54"/>
      <c r="EKG2472" s="63"/>
      <c r="EKH2472" s="60"/>
      <c r="EKI2472" s="60"/>
      <c r="EKJ2472" s="60"/>
      <c r="EKK2472" s="63"/>
      <c r="EKL2472" s="61"/>
      <c r="EKM2472" s="54"/>
      <c r="EKN2472" s="54"/>
      <c r="EKO2472" s="63"/>
      <c r="EKP2472" s="60"/>
      <c r="EKQ2472" s="60"/>
      <c r="EKR2472" s="60"/>
      <c r="EKS2472" s="63"/>
      <c r="EKT2472" s="61"/>
      <c r="EKU2472" s="54"/>
      <c r="EKV2472" s="54"/>
      <c r="EKW2472" s="63"/>
      <c r="EKX2472" s="60"/>
      <c r="EKY2472" s="60"/>
      <c r="EKZ2472" s="60"/>
      <c r="ELA2472" s="63"/>
      <c r="ELB2472" s="61"/>
      <c r="ELC2472" s="54"/>
      <c r="ELD2472" s="54"/>
      <c r="ELE2472" s="63"/>
      <c r="ELF2472" s="60"/>
      <c r="ELG2472" s="60"/>
      <c r="ELH2472" s="60"/>
      <c r="ELI2472" s="63"/>
      <c r="ELJ2472" s="61"/>
      <c r="ELK2472" s="54"/>
      <c r="ELL2472" s="54"/>
      <c r="ELM2472" s="63"/>
      <c r="ELN2472" s="60"/>
      <c r="ELO2472" s="60"/>
      <c r="ELP2472" s="60"/>
      <c r="ELQ2472" s="63"/>
      <c r="ELR2472" s="61"/>
      <c r="ELS2472" s="54"/>
      <c r="ELT2472" s="54"/>
      <c r="ELU2472" s="63"/>
      <c r="ELV2472" s="60"/>
      <c r="ELW2472" s="60"/>
      <c r="ELX2472" s="60"/>
      <c r="ELY2472" s="63"/>
      <c r="ELZ2472" s="61"/>
      <c r="EMA2472" s="54"/>
      <c r="EMB2472" s="54"/>
      <c r="EMC2472" s="63"/>
      <c r="EMD2472" s="60"/>
      <c r="EME2472" s="60"/>
      <c r="EMF2472" s="60"/>
      <c r="EMG2472" s="63"/>
      <c r="EMH2472" s="61"/>
      <c r="EMI2472" s="54"/>
      <c r="EMJ2472" s="54"/>
      <c r="EMK2472" s="63"/>
      <c r="EML2472" s="60"/>
      <c r="EMM2472" s="60"/>
      <c r="EMN2472" s="60"/>
      <c r="EMO2472" s="63"/>
      <c r="EMP2472" s="61"/>
      <c r="EMQ2472" s="54"/>
      <c r="EMR2472" s="54"/>
      <c r="EMS2472" s="63"/>
      <c r="EMT2472" s="60"/>
      <c r="EMU2472" s="60"/>
      <c r="EMV2472" s="60"/>
      <c r="EMW2472" s="63"/>
      <c r="EMX2472" s="61"/>
      <c r="EMY2472" s="54"/>
      <c r="EMZ2472" s="54"/>
      <c r="ENA2472" s="63"/>
      <c r="ENB2472" s="60"/>
      <c r="ENC2472" s="60"/>
      <c r="END2472" s="60"/>
      <c r="ENE2472" s="63"/>
      <c r="ENF2472" s="61"/>
      <c r="ENG2472" s="54"/>
      <c r="ENH2472" s="54"/>
      <c r="ENI2472" s="63"/>
      <c r="ENJ2472" s="60"/>
      <c r="ENK2472" s="60"/>
      <c r="ENL2472" s="60"/>
      <c r="ENM2472" s="63"/>
      <c r="ENN2472" s="61"/>
      <c r="ENO2472" s="54"/>
      <c r="ENP2472" s="54"/>
      <c r="ENQ2472" s="63"/>
      <c r="ENR2472" s="60"/>
      <c r="ENS2472" s="60"/>
      <c r="ENT2472" s="60"/>
      <c r="ENU2472" s="63"/>
      <c r="ENV2472" s="61"/>
      <c r="ENW2472" s="54"/>
      <c r="ENX2472" s="54"/>
      <c r="ENY2472" s="63"/>
      <c r="ENZ2472" s="60"/>
      <c r="EOA2472" s="60"/>
      <c r="EOB2472" s="60"/>
      <c r="EOC2472" s="63"/>
      <c r="EOD2472" s="61"/>
      <c r="EOE2472" s="54"/>
      <c r="EOF2472" s="54"/>
      <c r="EOG2472" s="63"/>
      <c r="EOH2472" s="60"/>
      <c r="EOI2472" s="60"/>
      <c r="EOJ2472" s="60"/>
      <c r="EOK2472" s="63"/>
      <c r="EOL2472" s="61"/>
      <c r="EOM2472" s="54"/>
      <c r="EON2472" s="54"/>
      <c r="EOO2472" s="63"/>
      <c r="EOP2472" s="60"/>
      <c r="EOQ2472" s="60"/>
      <c r="EOR2472" s="60"/>
      <c r="EOS2472" s="63"/>
      <c r="EOT2472" s="61"/>
      <c r="EOU2472" s="54"/>
      <c r="EOV2472" s="54"/>
      <c r="EOW2472" s="63"/>
      <c r="EOX2472" s="60"/>
      <c r="EOY2472" s="60"/>
      <c r="EOZ2472" s="60"/>
      <c r="EPA2472" s="63"/>
      <c r="EPB2472" s="61"/>
      <c r="EPC2472" s="54"/>
      <c r="EPD2472" s="54"/>
      <c r="EPE2472" s="63"/>
      <c r="EPF2472" s="60"/>
      <c r="EPG2472" s="60"/>
      <c r="EPH2472" s="60"/>
      <c r="EPI2472" s="63"/>
      <c r="EPJ2472" s="61"/>
      <c r="EPK2472" s="54"/>
      <c r="EPL2472" s="54"/>
      <c r="EPM2472" s="63"/>
      <c r="EPN2472" s="60"/>
      <c r="EPO2472" s="60"/>
      <c r="EPP2472" s="60"/>
      <c r="EPQ2472" s="63"/>
      <c r="EPR2472" s="61"/>
      <c r="EPS2472" s="54"/>
      <c r="EPT2472" s="54"/>
      <c r="EPU2472" s="63"/>
      <c r="EPV2472" s="60"/>
      <c r="EPW2472" s="60"/>
      <c r="EPX2472" s="60"/>
      <c r="EPY2472" s="63"/>
      <c r="EPZ2472" s="61"/>
      <c r="EQA2472" s="54"/>
      <c r="EQB2472" s="54"/>
      <c r="EQC2472" s="63"/>
      <c r="EQD2472" s="60"/>
      <c r="EQE2472" s="60"/>
      <c r="EQF2472" s="60"/>
      <c r="EQG2472" s="63"/>
      <c r="EQH2472" s="61"/>
      <c r="EQI2472" s="54"/>
      <c r="EQJ2472" s="54"/>
      <c r="EQK2472" s="63"/>
      <c r="EQL2472" s="60"/>
      <c r="EQM2472" s="60"/>
      <c r="EQN2472" s="60"/>
      <c r="EQO2472" s="63"/>
      <c r="EQP2472" s="61"/>
      <c r="EQQ2472" s="54"/>
      <c r="EQR2472" s="54"/>
      <c r="EQS2472" s="63"/>
      <c r="EQT2472" s="60"/>
      <c r="EQU2472" s="60"/>
      <c r="EQV2472" s="60"/>
      <c r="EQW2472" s="63"/>
      <c r="EQX2472" s="61"/>
      <c r="EQY2472" s="54"/>
      <c r="EQZ2472" s="54"/>
      <c r="ERA2472" s="63"/>
      <c r="ERB2472" s="60"/>
      <c r="ERC2472" s="60"/>
      <c r="ERD2472" s="60"/>
      <c r="ERE2472" s="63"/>
      <c r="ERF2472" s="61"/>
      <c r="ERG2472" s="54"/>
      <c r="ERH2472" s="54"/>
      <c r="ERI2472" s="63"/>
      <c r="ERJ2472" s="60"/>
      <c r="ERK2472" s="60"/>
      <c r="ERL2472" s="60"/>
      <c r="ERM2472" s="63"/>
      <c r="ERN2472" s="61"/>
      <c r="ERO2472" s="54"/>
      <c r="ERP2472" s="54"/>
      <c r="ERQ2472" s="63"/>
      <c r="ERR2472" s="60"/>
      <c r="ERS2472" s="60"/>
      <c r="ERT2472" s="60"/>
      <c r="ERU2472" s="63"/>
      <c r="ERV2472" s="61"/>
      <c r="ERW2472" s="54"/>
      <c r="ERX2472" s="54"/>
      <c r="ERY2472" s="63"/>
      <c r="ERZ2472" s="60"/>
      <c r="ESA2472" s="60"/>
      <c r="ESB2472" s="60"/>
      <c r="ESC2472" s="63"/>
      <c r="ESD2472" s="61"/>
      <c r="ESE2472" s="54"/>
      <c r="ESF2472" s="54"/>
      <c r="ESG2472" s="63"/>
      <c r="ESH2472" s="60"/>
      <c r="ESI2472" s="60"/>
      <c r="ESJ2472" s="60"/>
      <c r="ESK2472" s="63"/>
      <c r="ESL2472" s="61"/>
      <c r="ESM2472" s="54"/>
      <c r="ESN2472" s="54"/>
      <c r="ESO2472" s="63"/>
      <c r="ESP2472" s="60"/>
      <c r="ESQ2472" s="60"/>
      <c r="ESR2472" s="60"/>
      <c r="ESS2472" s="63"/>
      <c r="EST2472" s="61"/>
      <c r="ESU2472" s="54"/>
      <c r="ESV2472" s="54"/>
      <c r="ESW2472" s="63"/>
      <c r="ESX2472" s="60"/>
      <c r="ESY2472" s="60"/>
      <c r="ESZ2472" s="60"/>
      <c r="ETA2472" s="63"/>
      <c r="ETB2472" s="61"/>
      <c r="ETC2472" s="54"/>
      <c r="ETD2472" s="54"/>
      <c r="ETE2472" s="63"/>
      <c r="ETF2472" s="60"/>
      <c r="ETG2472" s="60"/>
      <c r="ETH2472" s="60"/>
      <c r="ETI2472" s="63"/>
      <c r="ETJ2472" s="61"/>
      <c r="ETK2472" s="54"/>
      <c r="ETL2472" s="54"/>
      <c r="ETM2472" s="63"/>
      <c r="ETN2472" s="60"/>
      <c r="ETO2472" s="60"/>
      <c r="ETP2472" s="60"/>
      <c r="ETQ2472" s="63"/>
      <c r="ETR2472" s="61"/>
      <c r="ETS2472" s="54"/>
      <c r="ETT2472" s="54"/>
      <c r="ETU2472" s="63"/>
      <c r="ETV2472" s="60"/>
      <c r="ETW2472" s="60"/>
      <c r="ETX2472" s="60"/>
      <c r="ETY2472" s="63"/>
      <c r="ETZ2472" s="61"/>
      <c r="EUA2472" s="54"/>
      <c r="EUB2472" s="54"/>
      <c r="EUC2472" s="63"/>
      <c r="EUD2472" s="60"/>
      <c r="EUE2472" s="60"/>
      <c r="EUF2472" s="60"/>
      <c r="EUG2472" s="63"/>
      <c r="EUH2472" s="61"/>
      <c r="EUI2472" s="54"/>
      <c r="EUJ2472" s="54"/>
      <c r="EUK2472" s="63"/>
      <c r="EUL2472" s="60"/>
      <c r="EUM2472" s="60"/>
      <c r="EUN2472" s="60"/>
      <c r="EUO2472" s="63"/>
      <c r="EUP2472" s="61"/>
      <c r="EUQ2472" s="54"/>
      <c r="EUR2472" s="54"/>
      <c r="EUS2472" s="63"/>
      <c r="EUT2472" s="60"/>
      <c r="EUU2472" s="60"/>
      <c r="EUV2472" s="60"/>
      <c r="EUW2472" s="63"/>
      <c r="EUX2472" s="61"/>
      <c r="EUY2472" s="54"/>
      <c r="EUZ2472" s="54"/>
      <c r="EVA2472" s="63"/>
      <c r="EVB2472" s="60"/>
      <c r="EVC2472" s="60"/>
      <c r="EVD2472" s="60"/>
      <c r="EVE2472" s="63"/>
      <c r="EVF2472" s="61"/>
      <c r="EVG2472" s="54"/>
      <c r="EVH2472" s="54"/>
      <c r="EVI2472" s="63"/>
      <c r="EVJ2472" s="60"/>
      <c r="EVK2472" s="60"/>
      <c r="EVL2472" s="60"/>
      <c r="EVM2472" s="63"/>
      <c r="EVN2472" s="61"/>
      <c r="EVO2472" s="54"/>
      <c r="EVP2472" s="54"/>
      <c r="EVQ2472" s="63"/>
      <c r="EVR2472" s="60"/>
      <c r="EVS2472" s="60"/>
      <c r="EVT2472" s="60"/>
      <c r="EVU2472" s="63"/>
      <c r="EVV2472" s="61"/>
      <c r="EVW2472" s="54"/>
      <c r="EVX2472" s="54"/>
      <c r="EVY2472" s="63"/>
      <c r="EVZ2472" s="60"/>
      <c r="EWA2472" s="60"/>
      <c r="EWB2472" s="60"/>
      <c r="EWC2472" s="63"/>
      <c r="EWD2472" s="61"/>
      <c r="EWE2472" s="54"/>
      <c r="EWF2472" s="54"/>
      <c r="EWG2472" s="63"/>
      <c r="EWH2472" s="60"/>
      <c r="EWI2472" s="60"/>
      <c r="EWJ2472" s="60"/>
      <c r="EWK2472" s="63"/>
      <c r="EWL2472" s="61"/>
      <c r="EWM2472" s="54"/>
      <c r="EWN2472" s="54"/>
      <c r="EWO2472" s="63"/>
      <c r="EWP2472" s="60"/>
      <c r="EWQ2472" s="60"/>
      <c r="EWR2472" s="60"/>
      <c r="EWS2472" s="63"/>
      <c r="EWT2472" s="61"/>
      <c r="EWU2472" s="54"/>
      <c r="EWV2472" s="54"/>
      <c r="EWW2472" s="63"/>
      <c r="EWX2472" s="60"/>
      <c r="EWY2472" s="60"/>
      <c r="EWZ2472" s="60"/>
      <c r="EXA2472" s="63"/>
      <c r="EXB2472" s="61"/>
      <c r="EXC2472" s="54"/>
      <c r="EXD2472" s="54"/>
      <c r="EXE2472" s="63"/>
      <c r="EXF2472" s="60"/>
      <c r="EXG2472" s="60"/>
      <c r="EXH2472" s="60"/>
      <c r="EXI2472" s="63"/>
      <c r="EXJ2472" s="61"/>
      <c r="EXK2472" s="54"/>
      <c r="EXL2472" s="54"/>
      <c r="EXM2472" s="63"/>
      <c r="EXN2472" s="60"/>
      <c r="EXO2472" s="60"/>
      <c r="EXP2472" s="60"/>
      <c r="EXQ2472" s="63"/>
      <c r="EXR2472" s="61"/>
      <c r="EXS2472" s="54"/>
      <c r="EXT2472" s="54"/>
      <c r="EXU2472" s="63"/>
      <c r="EXV2472" s="60"/>
      <c r="EXW2472" s="60"/>
      <c r="EXX2472" s="60"/>
      <c r="EXY2472" s="63"/>
      <c r="EXZ2472" s="61"/>
      <c r="EYA2472" s="54"/>
      <c r="EYB2472" s="54"/>
      <c r="EYC2472" s="63"/>
      <c r="EYD2472" s="60"/>
      <c r="EYE2472" s="60"/>
      <c r="EYF2472" s="60"/>
      <c r="EYG2472" s="63"/>
      <c r="EYH2472" s="61"/>
      <c r="EYI2472" s="54"/>
      <c r="EYJ2472" s="54"/>
      <c r="EYK2472" s="63"/>
      <c r="EYL2472" s="60"/>
      <c r="EYM2472" s="60"/>
      <c r="EYN2472" s="60"/>
      <c r="EYO2472" s="63"/>
      <c r="EYP2472" s="61"/>
      <c r="EYQ2472" s="54"/>
      <c r="EYR2472" s="54"/>
      <c r="EYS2472" s="63"/>
      <c r="EYT2472" s="60"/>
      <c r="EYU2472" s="60"/>
      <c r="EYV2472" s="60"/>
      <c r="EYW2472" s="63"/>
      <c r="EYX2472" s="61"/>
      <c r="EYY2472" s="54"/>
      <c r="EYZ2472" s="54"/>
      <c r="EZA2472" s="63"/>
      <c r="EZB2472" s="60"/>
      <c r="EZC2472" s="60"/>
      <c r="EZD2472" s="60"/>
      <c r="EZE2472" s="63"/>
      <c r="EZF2472" s="61"/>
      <c r="EZG2472" s="54"/>
      <c r="EZH2472" s="54"/>
      <c r="EZI2472" s="63"/>
      <c r="EZJ2472" s="60"/>
      <c r="EZK2472" s="60"/>
      <c r="EZL2472" s="60"/>
      <c r="EZM2472" s="63"/>
      <c r="EZN2472" s="61"/>
      <c r="EZO2472" s="54"/>
      <c r="EZP2472" s="54"/>
      <c r="EZQ2472" s="63"/>
      <c r="EZR2472" s="60"/>
      <c r="EZS2472" s="60"/>
      <c r="EZT2472" s="60"/>
      <c r="EZU2472" s="63"/>
      <c r="EZV2472" s="61"/>
      <c r="EZW2472" s="54"/>
      <c r="EZX2472" s="54"/>
      <c r="EZY2472" s="63"/>
      <c r="EZZ2472" s="60"/>
      <c r="FAA2472" s="60"/>
      <c r="FAB2472" s="60"/>
      <c r="FAC2472" s="63"/>
      <c r="FAD2472" s="61"/>
      <c r="FAE2472" s="54"/>
      <c r="FAF2472" s="54"/>
      <c r="FAG2472" s="63"/>
      <c r="FAH2472" s="60"/>
      <c r="FAI2472" s="60"/>
      <c r="FAJ2472" s="60"/>
      <c r="FAK2472" s="63"/>
      <c r="FAL2472" s="61"/>
      <c r="FAM2472" s="54"/>
      <c r="FAN2472" s="54"/>
      <c r="FAO2472" s="63"/>
      <c r="FAP2472" s="60"/>
      <c r="FAQ2472" s="60"/>
      <c r="FAR2472" s="60"/>
      <c r="FAS2472" s="63"/>
      <c r="FAT2472" s="61"/>
      <c r="FAU2472" s="54"/>
      <c r="FAV2472" s="54"/>
      <c r="FAW2472" s="63"/>
      <c r="FAX2472" s="60"/>
      <c r="FAY2472" s="60"/>
      <c r="FAZ2472" s="60"/>
      <c r="FBA2472" s="63"/>
      <c r="FBB2472" s="61"/>
      <c r="FBC2472" s="54"/>
      <c r="FBD2472" s="54"/>
      <c r="FBE2472" s="63"/>
      <c r="FBF2472" s="60"/>
      <c r="FBG2472" s="60"/>
      <c r="FBH2472" s="60"/>
      <c r="FBI2472" s="63"/>
      <c r="FBJ2472" s="61"/>
      <c r="FBK2472" s="54"/>
      <c r="FBL2472" s="54"/>
      <c r="FBM2472" s="63"/>
      <c r="FBN2472" s="60"/>
      <c r="FBO2472" s="60"/>
      <c r="FBP2472" s="60"/>
      <c r="FBQ2472" s="63"/>
      <c r="FBR2472" s="61"/>
      <c r="FBS2472" s="54"/>
      <c r="FBT2472" s="54"/>
      <c r="FBU2472" s="63"/>
      <c r="FBV2472" s="60"/>
      <c r="FBW2472" s="60"/>
      <c r="FBX2472" s="60"/>
      <c r="FBY2472" s="63"/>
      <c r="FBZ2472" s="61"/>
      <c r="FCA2472" s="54"/>
      <c r="FCB2472" s="54"/>
      <c r="FCC2472" s="63"/>
      <c r="FCD2472" s="60"/>
      <c r="FCE2472" s="60"/>
      <c r="FCF2472" s="60"/>
      <c r="FCG2472" s="63"/>
      <c r="FCH2472" s="61"/>
      <c r="FCI2472" s="54"/>
      <c r="FCJ2472" s="54"/>
      <c r="FCK2472" s="63"/>
      <c r="FCL2472" s="60"/>
      <c r="FCM2472" s="60"/>
      <c r="FCN2472" s="60"/>
      <c r="FCO2472" s="63"/>
      <c r="FCP2472" s="61"/>
      <c r="FCQ2472" s="54"/>
      <c r="FCR2472" s="54"/>
      <c r="FCS2472" s="63"/>
      <c r="FCT2472" s="60"/>
      <c r="FCU2472" s="60"/>
      <c r="FCV2472" s="60"/>
      <c r="FCW2472" s="63"/>
      <c r="FCX2472" s="61"/>
      <c r="FCY2472" s="54"/>
      <c r="FCZ2472" s="54"/>
      <c r="FDA2472" s="63"/>
      <c r="FDB2472" s="60"/>
      <c r="FDC2472" s="60"/>
      <c r="FDD2472" s="60"/>
      <c r="FDE2472" s="63"/>
      <c r="FDF2472" s="61"/>
      <c r="FDG2472" s="54"/>
      <c r="FDH2472" s="54"/>
      <c r="FDI2472" s="63"/>
      <c r="FDJ2472" s="60"/>
      <c r="FDK2472" s="60"/>
      <c r="FDL2472" s="60"/>
      <c r="FDM2472" s="63"/>
      <c r="FDN2472" s="61"/>
      <c r="FDO2472" s="54"/>
      <c r="FDP2472" s="54"/>
      <c r="FDQ2472" s="63"/>
      <c r="FDR2472" s="60"/>
      <c r="FDS2472" s="60"/>
      <c r="FDT2472" s="60"/>
      <c r="FDU2472" s="63"/>
      <c r="FDV2472" s="61"/>
      <c r="FDW2472" s="54"/>
      <c r="FDX2472" s="54"/>
      <c r="FDY2472" s="63"/>
      <c r="FDZ2472" s="60"/>
      <c r="FEA2472" s="60"/>
      <c r="FEB2472" s="60"/>
      <c r="FEC2472" s="63"/>
      <c r="FED2472" s="61"/>
      <c r="FEE2472" s="54"/>
      <c r="FEF2472" s="54"/>
      <c r="FEG2472" s="63"/>
      <c r="FEH2472" s="60"/>
      <c r="FEI2472" s="60"/>
      <c r="FEJ2472" s="60"/>
      <c r="FEK2472" s="63"/>
      <c r="FEL2472" s="61"/>
      <c r="FEM2472" s="54"/>
      <c r="FEN2472" s="54"/>
      <c r="FEO2472" s="63"/>
      <c r="FEP2472" s="60"/>
      <c r="FEQ2472" s="60"/>
      <c r="FER2472" s="60"/>
      <c r="FES2472" s="63"/>
      <c r="FET2472" s="61"/>
      <c r="FEU2472" s="54"/>
      <c r="FEV2472" s="54"/>
      <c r="FEW2472" s="63"/>
      <c r="FEX2472" s="60"/>
      <c r="FEY2472" s="60"/>
      <c r="FEZ2472" s="60"/>
      <c r="FFA2472" s="63"/>
      <c r="FFB2472" s="61"/>
      <c r="FFC2472" s="54"/>
      <c r="FFD2472" s="54"/>
      <c r="FFE2472" s="63"/>
      <c r="FFF2472" s="60"/>
      <c r="FFG2472" s="60"/>
      <c r="FFH2472" s="60"/>
      <c r="FFI2472" s="63"/>
      <c r="FFJ2472" s="61"/>
      <c r="FFK2472" s="54"/>
      <c r="FFL2472" s="54"/>
      <c r="FFM2472" s="63"/>
      <c r="FFN2472" s="60"/>
      <c r="FFO2472" s="60"/>
      <c r="FFP2472" s="60"/>
      <c r="FFQ2472" s="63"/>
      <c r="FFR2472" s="61"/>
      <c r="FFS2472" s="54"/>
      <c r="FFT2472" s="54"/>
      <c r="FFU2472" s="63"/>
      <c r="FFV2472" s="60"/>
      <c r="FFW2472" s="60"/>
      <c r="FFX2472" s="60"/>
      <c r="FFY2472" s="63"/>
      <c r="FFZ2472" s="61"/>
      <c r="FGA2472" s="54"/>
      <c r="FGB2472" s="54"/>
      <c r="FGC2472" s="63"/>
      <c r="FGD2472" s="60"/>
      <c r="FGE2472" s="60"/>
      <c r="FGF2472" s="60"/>
      <c r="FGG2472" s="63"/>
      <c r="FGH2472" s="61"/>
      <c r="FGI2472" s="54"/>
      <c r="FGJ2472" s="54"/>
      <c r="FGK2472" s="63"/>
      <c r="FGL2472" s="60"/>
      <c r="FGM2472" s="60"/>
      <c r="FGN2472" s="60"/>
      <c r="FGO2472" s="63"/>
      <c r="FGP2472" s="61"/>
      <c r="FGQ2472" s="54"/>
      <c r="FGR2472" s="54"/>
      <c r="FGS2472" s="63"/>
      <c r="FGT2472" s="60"/>
      <c r="FGU2472" s="60"/>
      <c r="FGV2472" s="60"/>
      <c r="FGW2472" s="63"/>
      <c r="FGX2472" s="61"/>
      <c r="FGY2472" s="54"/>
      <c r="FGZ2472" s="54"/>
      <c r="FHA2472" s="63"/>
      <c r="FHB2472" s="60"/>
      <c r="FHC2472" s="60"/>
      <c r="FHD2472" s="60"/>
      <c r="FHE2472" s="63"/>
      <c r="FHF2472" s="61"/>
      <c r="FHG2472" s="54"/>
      <c r="FHH2472" s="54"/>
      <c r="FHI2472" s="63"/>
      <c r="FHJ2472" s="60"/>
      <c r="FHK2472" s="60"/>
      <c r="FHL2472" s="60"/>
      <c r="FHM2472" s="63"/>
      <c r="FHN2472" s="61"/>
      <c r="FHO2472" s="54"/>
      <c r="FHP2472" s="54"/>
      <c r="FHQ2472" s="63"/>
      <c r="FHR2472" s="60"/>
      <c r="FHS2472" s="60"/>
      <c r="FHT2472" s="60"/>
      <c r="FHU2472" s="63"/>
      <c r="FHV2472" s="61"/>
      <c r="FHW2472" s="54"/>
      <c r="FHX2472" s="54"/>
      <c r="FHY2472" s="63"/>
      <c r="FHZ2472" s="60"/>
      <c r="FIA2472" s="60"/>
      <c r="FIB2472" s="60"/>
      <c r="FIC2472" s="63"/>
      <c r="FID2472" s="61"/>
      <c r="FIE2472" s="54"/>
      <c r="FIF2472" s="54"/>
      <c r="FIG2472" s="63"/>
      <c r="FIH2472" s="60"/>
      <c r="FII2472" s="60"/>
      <c r="FIJ2472" s="60"/>
      <c r="FIK2472" s="63"/>
      <c r="FIL2472" s="61"/>
      <c r="FIM2472" s="54"/>
      <c r="FIN2472" s="54"/>
      <c r="FIO2472" s="63"/>
      <c r="FIP2472" s="60"/>
      <c r="FIQ2472" s="60"/>
      <c r="FIR2472" s="60"/>
      <c r="FIS2472" s="63"/>
      <c r="FIT2472" s="61"/>
      <c r="FIU2472" s="54"/>
      <c r="FIV2472" s="54"/>
      <c r="FIW2472" s="63"/>
      <c r="FIX2472" s="60"/>
      <c r="FIY2472" s="60"/>
      <c r="FIZ2472" s="60"/>
      <c r="FJA2472" s="63"/>
      <c r="FJB2472" s="61"/>
      <c r="FJC2472" s="54"/>
      <c r="FJD2472" s="54"/>
      <c r="FJE2472" s="63"/>
      <c r="FJF2472" s="60"/>
      <c r="FJG2472" s="60"/>
      <c r="FJH2472" s="60"/>
      <c r="FJI2472" s="63"/>
      <c r="FJJ2472" s="61"/>
      <c r="FJK2472" s="54"/>
      <c r="FJL2472" s="54"/>
      <c r="FJM2472" s="63"/>
      <c r="FJN2472" s="60"/>
      <c r="FJO2472" s="60"/>
      <c r="FJP2472" s="60"/>
      <c r="FJQ2472" s="63"/>
      <c r="FJR2472" s="61"/>
      <c r="FJS2472" s="54"/>
      <c r="FJT2472" s="54"/>
      <c r="FJU2472" s="63"/>
      <c r="FJV2472" s="60"/>
      <c r="FJW2472" s="60"/>
      <c r="FJX2472" s="60"/>
      <c r="FJY2472" s="63"/>
      <c r="FJZ2472" s="61"/>
      <c r="FKA2472" s="54"/>
      <c r="FKB2472" s="54"/>
      <c r="FKC2472" s="63"/>
      <c r="FKD2472" s="60"/>
      <c r="FKE2472" s="60"/>
      <c r="FKF2472" s="60"/>
      <c r="FKG2472" s="63"/>
      <c r="FKH2472" s="61"/>
      <c r="FKI2472" s="54"/>
      <c r="FKJ2472" s="54"/>
      <c r="FKK2472" s="63"/>
      <c r="FKL2472" s="60"/>
      <c r="FKM2472" s="60"/>
      <c r="FKN2472" s="60"/>
      <c r="FKO2472" s="63"/>
      <c r="FKP2472" s="61"/>
      <c r="FKQ2472" s="54"/>
      <c r="FKR2472" s="54"/>
      <c r="FKS2472" s="63"/>
      <c r="FKT2472" s="60"/>
      <c r="FKU2472" s="60"/>
      <c r="FKV2472" s="60"/>
      <c r="FKW2472" s="63"/>
      <c r="FKX2472" s="61"/>
      <c r="FKY2472" s="54"/>
      <c r="FKZ2472" s="54"/>
      <c r="FLA2472" s="63"/>
      <c r="FLB2472" s="60"/>
      <c r="FLC2472" s="60"/>
      <c r="FLD2472" s="60"/>
      <c r="FLE2472" s="63"/>
      <c r="FLF2472" s="61"/>
      <c r="FLG2472" s="54"/>
      <c r="FLH2472" s="54"/>
      <c r="FLI2472" s="63"/>
      <c r="FLJ2472" s="60"/>
      <c r="FLK2472" s="60"/>
      <c r="FLL2472" s="60"/>
      <c r="FLM2472" s="63"/>
      <c r="FLN2472" s="61"/>
      <c r="FLO2472" s="54"/>
      <c r="FLP2472" s="54"/>
      <c r="FLQ2472" s="63"/>
      <c r="FLR2472" s="60"/>
      <c r="FLS2472" s="60"/>
      <c r="FLT2472" s="60"/>
      <c r="FLU2472" s="63"/>
      <c r="FLV2472" s="61"/>
      <c r="FLW2472" s="54"/>
      <c r="FLX2472" s="54"/>
      <c r="FLY2472" s="63"/>
      <c r="FLZ2472" s="60"/>
      <c r="FMA2472" s="60"/>
      <c r="FMB2472" s="60"/>
      <c r="FMC2472" s="63"/>
      <c r="FMD2472" s="61"/>
      <c r="FME2472" s="54"/>
      <c r="FMF2472" s="54"/>
      <c r="FMG2472" s="63"/>
      <c r="FMH2472" s="60"/>
      <c r="FMI2472" s="60"/>
      <c r="FMJ2472" s="60"/>
      <c r="FMK2472" s="63"/>
      <c r="FML2472" s="61"/>
      <c r="FMM2472" s="54"/>
      <c r="FMN2472" s="54"/>
      <c r="FMO2472" s="63"/>
      <c r="FMP2472" s="60"/>
      <c r="FMQ2472" s="60"/>
      <c r="FMR2472" s="60"/>
      <c r="FMS2472" s="63"/>
      <c r="FMT2472" s="61"/>
      <c r="FMU2472" s="54"/>
      <c r="FMV2472" s="54"/>
      <c r="FMW2472" s="63"/>
      <c r="FMX2472" s="60"/>
      <c r="FMY2472" s="60"/>
      <c r="FMZ2472" s="60"/>
      <c r="FNA2472" s="63"/>
      <c r="FNB2472" s="61"/>
      <c r="FNC2472" s="54"/>
      <c r="FND2472" s="54"/>
      <c r="FNE2472" s="63"/>
      <c r="FNF2472" s="60"/>
      <c r="FNG2472" s="60"/>
      <c r="FNH2472" s="60"/>
      <c r="FNI2472" s="63"/>
      <c r="FNJ2472" s="61"/>
      <c r="FNK2472" s="54"/>
      <c r="FNL2472" s="54"/>
      <c r="FNM2472" s="63"/>
      <c r="FNN2472" s="60"/>
      <c r="FNO2472" s="60"/>
      <c r="FNP2472" s="60"/>
      <c r="FNQ2472" s="63"/>
      <c r="FNR2472" s="61"/>
      <c r="FNS2472" s="54"/>
      <c r="FNT2472" s="54"/>
      <c r="FNU2472" s="63"/>
      <c r="FNV2472" s="60"/>
      <c r="FNW2472" s="60"/>
      <c r="FNX2472" s="60"/>
      <c r="FNY2472" s="63"/>
      <c r="FNZ2472" s="61"/>
      <c r="FOA2472" s="54"/>
      <c r="FOB2472" s="54"/>
      <c r="FOC2472" s="63"/>
      <c r="FOD2472" s="60"/>
      <c r="FOE2472" s="60"/>
      <c r="FOF2472" s="60"/>
      <c r="FOG2472" s="63"/>
      <c r="FOH2472" s="61"/>
      <c r="FOI2472" s="54"/>
      <c r="FOJ2472" s="54"/>
      <c r="FOK2472" s="63"/>
      <c r="FOL2472" s="60"/>
      <c r="FOM2472" s="60"/>
      <c r="FON2472" s="60"/>
      <c r="FOO2472" s="63"/>
      <c r="FOP2472" s="61"/>
      <c r="FOQ2472" s="54"/>
      <c r="FOR2472" s="54"/>
      <c r="FOS2472" s="63"/>
      <c r="FOT2472" s="60"/>
      <c r="FOU2472" s="60"/>
      <c r="FOV2472" s="60"/>
      <c r="FOW2472" s="63"/>
      <c r="FOX2472" s="61"/>
      <c r="FOY2472" s="54"/>
      <c r="FOZ2472" s="54"/>
      <c r="FPA2472" s="63"/>
      <c r="FPB2472" s="60"/>
      <c r="FPC2472" s="60"/>
      <c r="FPD2472" s="60"/>
      <c r="FPE2472" s="63"/>
      <c r="FPF2472" s="61"/>
      <c r="FPG2472" s="54"/>
      <c r="FPH2472" s="54"/>
      <c r="FPI2472" s="63"/>
      <c r="FPJ2472" s="60"/>
      <c r="FPK2472" s="60"/>
      <c r="FPL2472" s="60"/>
      <c r="FPM2472" s="63"/>
      <c r="FPN2472" s="61"/>
      <c r="FPO2472" s="54"/>
      <c r="FPP2472" s="54"/>
      <c r="FPQ2472" s="63"/>
      <c r="FPR2472" s="60"/>
      <c r="FPS2472" s="60"/>
      <c r="FPT2472" s="60"/>
      <c r="FPU2472" s="63"/>
      <c r="FPV2472" s="61"/>
      <c r="FPW2472" s="54"/>
      <c r="FPX2472" s="54"/>
      <c r="FPY2472" s="63"/>
      <c r="FPZ2472" s="60"/>
      <c r="FQA2472" s="60"/>
      <c r="FQB2472" s="60"/>
      <c r="FQC2472" s="63"/>
      <c r="FQD2472" s="61"/>
      <c r="FQE2472" s="54"/>
      <c r="FQF2472" s="54"/>
      <c r="FQG2472" s="63"/>
      <c r="FQH2472" s="60"/>
      <c r="FQI2472" s="60"/>
      <c r="FQJ2472" s="60"/>
      <c r="FQK2472" s="63"/>
      <c r="FQL2472" s="61"/>
      <c r="FQM2472" s="54"/>
      <c r="FQN2472" s="54"/>
      <c r="FQO2472" s="63"/>
      <c r="FQP2472" s="60"/>
      <c r="FQQ2472" s="60"/>
      <c r="FQR2472" s="60"/>
      <c r="FQS2472" s="63"/>
      <c r="FQT2472" s="61"/>
      <c r="FQU2472" s="54"/>
      <c r="FQV2472" s="54"/>
      <c r="FQW2472" s="63"/>
      <c r="FQX2472" s="60"/>
      <c r="FQY2472" s="60"/>
      <c r="FQZ2472" s="60"/>
      <c r="FRA2472" s="63"/>
      <c r="FRB2472" s="61"/>
      <c r="FRC2472" s="54"/>
      <c r="FRD2472" s="54"/>
      <c r="FRE2472" s="63"/>
      <c r="FRF2472" s="60"/>
      <c r="FRG2472" s="60"/>
      <c r="FRH2472" s="60"/>
      <c r="FRI2472" s="63"/>
      <c r="FRJ2472" s="61"/>
      <c r="FRK2472" s="54"/>
      <c r="FRL2472" s="54"/>
      <c r="FRM2472" s="63"/>
      <c r="FRN2472" s="60"/>
      <c r="FRO2472" s="60"/>
      <c r="FRP2472" s="60"/>
      <c r="FRQ2472" s="63"/>
      <c r="FRR2472" s="61"/>
      <c r="FRS2472" s="54"/>
      <c r="FRT2472" s="54"/>
      <c r="FRU2472" s="63"/>
      <c r="FRV2472" s="60"/>
      <c r="FRW2472" s="60"/>
      <c r="FRX2472" s="60"/>
      <c r="FRY2472" s="63"/>
      <c r="FRZ2472" s="61"/>
      <c r="FSA2472" s="54"/>
      <c r="FSB2472" s="54"/>
      <c r="FSC2472" s="63"/>
      <c r="FSD2472" s="60"/>
      <c r="FSE2472" s="60"/>
      <c r="FSF2472" s="60"/>
      <c r="FSG2472" s="63"/>
      <c r="FSH2472" s="61"/>
      <c r="FSI2472" s="54"/>
      <c r="FSJ2472" s="54"/>
      <c r="FSK2472" s="63"/>
      <c r="FSL2472" s="60"/>
      <c r="FSM2472" s="60"/>
      <c r="FSN2472" s="60"/>
      <c r="FSO2472" s="63"/>
      <c r="FSP2472" s="61"/>
      <c r="FSQ2472" s="54"/>
      <c r="FSR2472" s="54"/>
      <c r="FSS2472" s="63"/>
      <c r="FST2472" s="60"/>
      <c r="FSU2472" s="60"/>
      <c r="FSV2472" s="60"/>
      <c r="FSW2472" s="63"/>
      <c r="FSX2472" s="61"/>
      <c r="FSY2472" s="54"/>
      <c r="FSZ2472" s="54"/>
      <c r="FTA2472" s="63"/>
      <c r="FTB2472" s="60"/>
      <c r="FTC2472" s="60"/>
      <c r="FTD2472" s="60"/>
      <c r="FTE2472" s="63"/>
      <c r="FTF2472" s="61"/>
      <c r="FTG2472" s="54"/>
      <c r="FTH2472" s="54"/>
      <c r="FTI2472" s="63"/>
      <c r="FTJ2472" s="60"/>
      <c r="FTK2472" s="60"/>
      <c r="FTL2472" s="60"/>
      <c r="FTM2472" s="63"/>
      <c r="FTN2472" s="61"/>
      <c r="FTO2472" s="54"/>
      <c r="FTP2472" s="54"/>
      <c r="FTQ2472" s="63"/>
      <c r="FTR2472" s="60"/>
      <c r="FTS2472" s="60"/>
      <c r="FTT2472" s="60"/>
      <c r="FTU2472" s="63"/>
      <c r="FTV2472" s="61"/>
      <c r="FTW2472" s="54"/>
      <c r="FTX2472" s="54"/>
      <c r="FTY2472" s="63"/>
      <c r="FTZ2472" s="60"/>
      <c r="FUA2472" s="60"/>
      <c r="FUB2472" s="60"/>
      <c r="FUC2472" s="63"/>
      <c r="FUD2472" s="61"/>
      <c r="FUE2472" s="54"/>
      <c r="FUF2472" s="54"/>
      <c r="FUG2472" s="63"/>
      <c r="FUH2472" s="60"/>
      <c r="FUI2472" s="60"/>
      <c r="FUJ2472" s="60"/>
      <c r="FUK2472" s="63"/>
      <c r="FUL2472" s="61"/>
      <c r="FUM2472" s="54"/>
      <c r="FUN2472" s="54"/>
      <c r="FUO2472" s="63"/>
      <c r="FUP2472" s="60"/>
      <c r="FUQ2472" s="60"/>
      <c r="FUR2472" s="60"/>
      <c r="FUS2472" s="63"/>
      <c r="FUT2472" s="61"/>
      <c r="FUU2472" s="54"/>
      <c r="FUV2472" s="54"/>
      <c r="FUW2472" s="63"/>
      <c r="FUX2472" s="60"/>
      <c r="FUY2472" s="60"/>
      <c r="FUZ2472" s="60"/>
      <c r="FVA2472" s="63"/>
      <c r="FVB2472" s="61"/>
      <c r="FVC2472" s="54"/>
      <c r="FVD2472" s="54"/>
      <c r="FVE2472" s="63"/>
      <c r="FVF2472" s="60"/>
      <c r="FVG2472" s="60"/>
      <c r="FVH2472" s="60"/>
      <c r="FVI2472" s="63"/>
      <c r="FVJ2472" s="61"/>
      <c r="FVK2472" s="54"/>
      <c r="FVL2472" s="54"/>
      <c r="FVM2472" s="63"/>
      <c r="FVN2472" s="60"/>
      <c r="FVO2472" s="60"/>
      <c r="FVP2472" s="60"/>
      <c r="FVQ2472" s="63"/>
      <c r="FVR2472" s="61"/>
      <c r="FVS2472" s="54"/>
      <c r="FVT2472" s="54"/>
      <c r="FVU2472" s="63"/>
      <c r="FVV2472" s="60"/>
      <c r="FVW2472" s="60"/>
      <c r="FVX2472" s="60"/>
      <c r="FVY2472" s="63"/>
      <c r="FVZ2472" s="61"/>
      <c r="FWA2472" s="54"/>
      <c r="FWB2472" s="54"/>
      <c r="FWC2472" s="63"/>
      <c r="FWD2472" s="60"/>
      <c r="FWE2472" s="60"/>
      <c r="FWF2472" s="60"/>
      <c r="FWG2472" s="63"/>
      <c r="FWH2472" s="61"/>
      <c r="FWI2472" s="54"/>
      <c r="FWJ2472" s="54"/>
      <c r="FWK2472" s="63"/>
      <c r="FWL2472" s="60"/>
      <c r="FWM2472" s="60"/>
      <c r="FWN2472" s="60"/>
      <c r="FWO2472" s="63"/>
      <c r="FWP2472" s="61"/>
      <c r="FWQ2472" s="54"/>
      <c r="FWR2472" s="54"/>
      <c r="FWS2472" s="63"/>
      <c r="FWT2472" s="60"/>
      <c r="FWU2472" s="60"/>
      <c r="FWV2472" s="60"/>
      <c r="FWW2472" s="63"/>
      <c r="FWX2472" s="61"/>
      <c r="FWY2472" s="54"/>
      <c r="FWZ2472" s="54"/>
      <c r="FXA2472" s="63"/>
      <c r="FXB2472" s="60"/>
      <c r="FXC2472" s="60"/>
      <c r="FXD2472" s="60"/>
      <c r="FXE2472" s="63"/>
      <c r="FXF2472" s="61"/>
      <c r="FXG2472" s="54"/>
      <c r="FXH2472" s="54"/>
      <c r="FXI2472" s="63"/>
      <c r="FXJ2472" s="60"/>
      <c r="FXK2472" s="60"/>
      <c r="FXL2472" s="60"/>
      <c r="FXM2472" s="63"/>
      <c r="FXN2472" s="61"/>
      <c r="FXO2472" s="54"/>
      <c r="FXP2472" s="54"/>
      <c r="FXQ2472" s="63"/>
      <c r="FXR2472" s="60"/>
      <c r="FXS2472" s="60"/>
      <c r="FXT2472" s="60"/>
      <c r="FXU2472" s="63"/>
      <c r="FXV2472" s="61"/>
      <c r="FXW2472" s="54"/>
      <c r="FXX2472" s="54"/>
      <c r="FXY2472" s="63"/>
      <c r="FXZ2472" s="60"/>
      <c r="FYA2472" s="60"/>
      <c r="FYB2472" s="60"/>
      <c r="FYC2472" s="63"/>
      <c r="FYD2472" s="61"/>
      <c r="FYE2472" s="54"/>
      <c r="FYF2472" s="54"/>
      <c r="FYG2472" s="63"/>
      <c r="FYH2472" s="60"/>
      <c r="FYI2472" s="60"/>
      <c r="FYJ2472" s="60"/>
      <c r="FYK2472" s="63"/>
      <c r="FYL2472" s="61"/>
      <c r="FYM2472" s="54"/>
      <c r="FYN2472" s="54"/>
      <c r="FYO2472" s="63"/>
      <c r="FYP2472" s="60"/>
      <c r="FYQ2472" s="60"/>
      <c r="FYR2472" s="60"/>
      <c r="FYS2472" s="63"/>
      <c r="FYT2472" s="61"/>
      <c r="FYU2472" s="54"/>
      <c r="FYV2472" s="54"/>
      <c r="FYW2472" s="63"/>
      <c r="FYX2472" s="60"/>
      <c r="FYY2472" s="60"/>
      <c r="FYZ2472" s="60"/>
      <c r="FZA2472" s="63"/>
      <c r="FZB2472" s="61"/>
      <c r="FZC2472" s="54"/>
      <c r="FZD2472" s="54"/>
      <c r="FZE2472" s="63"/>
      <c r="FZF2472" s="60"/>
      <c r="FZG2472" s="60"/>
      <c r="FZH2472" s="60"/>
      <c r="FZI2472" s="63"/>
      <c r="FZJ2472" s="61"/>
      <c r="FZK2472" s="54"/>
      <c r="FZL2472" s="54"/>
      <c r="FZM2472" s="63"/>
      <c r="FZN2472" s="60"/>
      <c r="FZO2472" s="60"/>
      <c r="FZP2472" s="60"/>
      <c r="FZQ2472" s="63"/>
      <c r="FZR2472" s="61"/>
      <c r="FZS2472" s="54"/>
      <c r="FZT2472" s="54"/>
      <c r="FZU2472" s="63"/>
      <c r="FZV2472" s="60"/>
      <c r="FZW2472" s="60"/>
      <c r="FZX2472" s="60"/>
      <c r="FZY2472" s="63"/>
      <c r="FZZ2472" s="61"/>
      <c r="GAA2472" s="54"/>
      <c r="GAB2472" s="54"/>
      <c r="GAC2472" s="63"/>
      <c r="GAD2472" s="60"/>
      <c r="GAE2472" s="60"/>
      <c r="GAF2472" s="60"/>
      <c r="GAG2472" s="63"/>
      <c r="GAH2472" s="61"/>
      <c r="GAI2472" s="54"/>
      <c r="GAJ2472" s="54"/>
      <c r="GAK2472" s="63"/>
      <c r="GAL2472" s="60"/>
      <c r="GAM2472" s="60"/>
      <c r="GAN2472" s="60"/>
      <c r="GAO2472" s="63"/>
      <c r="GAP2472" s="61"/>
      <c r="GAQ2472" s="54"/>
      <c r="GAR2472" s="54"/>
      <c r="GAS2472" s="63"/>
      <c r="GAT2472" s="60"/>
      <c r="GAU2472" s="60"/>
      <c r="GAV2472" s="60"/>
      <c r="GAW2472" s="63"/>
      <c r="GAX2472" s="61"/>
      <c r="GAY2472" s="54"/>
      <c r="GAZ2472" s="54"/>
      <c r="GBA2472" s="63"/>
      <c r="GBB2472" s="60"/>
      <c r="GBC2472" s="60"/>
      <c r="GBD2472" s="60"/>
      <c r="GBE2472" s="63"/>
      <c r="GBF2472" s="61"/>
      <c r="GBG2472" s="54"/>
      <c r="GBH2472" s="54"/>
      <c r="GBI2472" s="63"/>
      <c r="GBJ2472" s="60"/>
      <c r="GBK2472" s="60"/>
      <c r="GBL2472" s="60"/>
      <c r="GBM2472" s="63"/>
      <c r="GBN2472" s="61"/>
      <c r="GBO2472" s="54"/>
      <c r="GBP2472" s="54"/>
      <c r="GBQ2472" s="63"/>
      <c r="GBR2472" s="60"/>
      <c r="GBS2472" s="60"/>
      <c r="GBT2472" s="60"/>
      <c r="GBU2472" s="63"/>
      <c r="GBV2472" s="61"/>
      <c r="GBW2472" s="54"/>
      <c r="GBX2472" s="54"/>
      <c r="GBY2472" s="63"/>
      <c r="GBZ2472" s="60"/>
      <c r="GCA2472" s="60"/>
      <c r="GCB2472" s="60"/>
      <c r="GCC2472" s="63"/>
      <c r="GCD2472" s="61"/>
      <c r="GCE2472" s="54"/>
      <c r="GCF2472" s="54"/>
      <c r="GCG2472" s="63"/>
      <c r="GCH2472" s="60"/>
      <c r="GCI2472" s="60"/>
      <c r="GCJ2472" s="60"/>
      <c r="GCK2472" s="63"/>
      <c r="GCL2472" s="61"/>
      <c r="GCM2472" s="54"/>
      <c r="GCN2472" s="54"/>
      <c r="GCO2472" s="63"/>
      <c r="GCP2472" s="60"/>
      <c r="GCQ2472" s="60"/>
      <c r="GCR2472" s="60"/>
      <c r="GCS2472" s="63"/>
      <c r="GCT2472" s="61"/>
      <c r="GCU2472" s="54"/>
      <c r="GCV2472" s="54"/>
      <c r="GCW2472" s="63"/>
      <c r="GCX2472" s="60"/>
      <c r="GCY2472" s="60"/>
      <c r="GCZ2472" s="60"/>
      <c r="GDA2472" s="63"/>
      <c r="GDB2472" s="61"/>
      <c r="GDC2472" s="54"/>
      <c r="GDD2472" s="54"/>
      <c r="GDE2472" s="63"/>
      <c r="GDF2472" s="60"/>
      <c r="GDG2472" s="60"/>
      <c r="GDH2472" s="60"/>
      <c r="GDI2472" s="63"/>
      <c r="GDJ2472" s="61"/>
      <c r="GDK2472" s="54"/>
      <c r="GDL2472" s="54"/>
      <c r="GDM2472" s="63"/>
      <c r="GDN2472" s="60"/>
      <c r="GDO2472" s="60"/>
      <c r="GDP2472" s="60"/>
      <c r="GDQ2472" s="63"/>
      <c r="GDR2472" s="61"/>
      <c r="GDS2472" s="54"/>
      <c r="GDT2472" s="54"/>
      <c r="GDU2472" s="63"/>
      <c r="GDV2472" s="60"/>
      <c r="GDW2472" s="60"/>
      <c r="GDX2472" s="60"/>
      <c r="GDY2472" s="63"/>
      <c r="GDZ2472" s="61"/>
      <c r="GEA2472" s="54"/>
      <c r="GEB2472" s="54"/>
      <c r="GEC2472" s="63"/>
      <c r="GED2472" s="60"/>
      <c r="GEE2472" s="60"/>
      <c r="GEF2472" s="60"/>
      <c r="GEG2472" s="63"/>
      <c r="GEH2472" s="61"/>
      <c r="GEI2472" s="54"/>
      <c r="GEJ2472" s="54"/>
      <c r="GEK2472" s="63"/>
      <c r="GEL2472" s="60"/>
      <c r="GEM2472" s="60"/>
      <c r="GEN2472" s="60"/>
      <c r="GEO2472" s="63"/>
      <c r="GEP2472" s="61"/>
      <c r="GEQ2472" s="54"/>
      <c r="GER2472" s="54"/>
      <c r="GES2472" s="63"/>
      <c r="GET2472" s="60"/>
      <c r="GEU2472" s="60"/>
      <c r="GEV2472" s="60"/>
      <c r="GEW2472" s="63"/>
      <c r="GEX2472" s="61"/>
      <c r="GEY2472" s="54"/>
      <c r="GEZ2472" s="54"/>
      <c r="GFA2472" s="63"/>
      <c r="GFB2472" s="60"/>
      <c r="GFC2472" s="60"/>
      <c r="GFD2472" s="60"/>
      <c r="GFE2472" s="63"/>
      <c r="GFF2472" s="61"/>
      <c r="GFG2472" s="54"/>
      <c r="GFH2472" s="54"/>
      <c r="GFI2472" s="63"/>
      <c r="GFJ2472" s="60"/>
      <c r="GFK2472" s="60"/>
      <c r="GFL2472" s="60"/>
      <c r="GFM2472" s="63"/>
      <c r="GFN2472" s="61"/>
      <c r="GFO2472" s="54"/>
      <c r="GFP2472" s="54"/>
      <c r="GFQ2472" s="63"/>
      <c r="GFR2472" s="60"/>
      <c r="GFS2472" s="60"/>
      <c r="GFT2472" s="60"/>
      <c r="GFU2472" s="63"/>
      <c r="GFV2472" s="61"/>
      <c r="GFW2472" s="54"/>
      <c r="GFX2472" s="54"/>
      <c r="GFY2472" s="63"/>
      <c r="GFZ2472" s="60"/>
      <c r="GGA2472" s="60"/>
      <c r="GGB2472" s="60"/>
      <c r="GGC2472" s="63"/>
      <c r="GGD2472" s="61"/>
      <c r="GGE2472" s="54"/>
      <c r="GGF2472" s="54"/>
      <c r="GGG2472" s="63"/>
      <c r="GGH2472" s="60"/>
      <c r="GGI2472" s="60"/>
      <c r="GGJ2472" s="60"/>
      <c r="GGK2472" s="63"/>
      <c r="GGL2472" s="61"/>
      <c r="GGM2472" s="54"/>
      <c r="GGN2472" s="54"/>
      <c r="GGO2472" s="63"/>
      <c r="GGP2472" s="60"/>
      <c r="GGQ2472" s="60"/>
      <c r="GGR2472" s="60"/>
      <c r="GGS2472" s="63"/>
      <c r="GGT2472" s="61"/>
      <c r="GGU2472" s="54"/>
      <c r="GGV2472" s="54"/>
      <c r="GGW2472" s="63"/>
      <c r="GGX2472" s="60"/>
      <c r="GGY2472" s="60"/>
      <c r="GGZ2472" s="60"/>
      <c r="GHA2472" s="63"/>
      <c r="GHB2472" s="61"/>
      <c r="GHC2472" s="54"/>
      <c r="GHD2472" s="54"/>
      <c r="GHE2472" s="63"/>
      <c r="GHF2472" s="60"/>
      <c r="GHG2472" s="60"/>
      <c r="GHH2472" s="60"/>
      <c r="GHI2472" s="63"/>
      <c r="GHJ2472" s="61"/>
      <c r="GHK2472" s="54"/>
      <c r="GHL2472" s="54"/>
      <c r="GHM2472" s="63"/>
      <c r="GHN2472" s="60"/>
      <c r="GHO2472" s="60"/>
      <c r="GHP2472" s="60"/>
      <c r="GHQ2472" s="63"/>
      <c r="GHR2472" s="61"/>
      <c r="GHS2472" s="54"/>
      <c r="GHT2472" s="54"/>
      <c r="GHU2472" s="63"/>
      <c r="GHV2472" s="60"/>
      <c r="GHW2472" s="60"/>
      <c r="GHX2472" s="60"/>
      <c r="GHY2472" s="63"/>
      <c r="GHZ2472" s="61"/>
      <c r="GIA2472" s="54"/>
      <c r="GIB2472" s="54"/>
      <c r="GIC2472" s="63"/>
      <c r="GID2472" s="60"/>
      <c r="GIE2472" s="60"/>
      <c r="GIF2472" s="60"/>
      <c r="GIG2472" s="63"/>
      <c r="GIH2472" s="61"/>
      <c r="GII2472" s="54"/>
      <c r="GIJ2472" s="54"/>
      <c r="GIK2472" s="63"/>
      <c r="GIL2472" s="60"/>
      <c r="GIM2472" s="60"/>
      <c r="GIN2472" s="60"/>
      <c r="GIO2472" s="63"/>
      <c r="GIP2472" s="61"/>
      <c r="GIQ2472" s="54"/>
      <c r="GIR2472" s="54"/>
      <c r="GIS2472" s="63"/>
      <c r="GIT2472" s="60"/>
      <c r="GIU2472" s="60"/>
      <c r="GIV2472" s="60"/>
      <c r="GIW2472" s="63"/>
      <c r="GIX2472" s="61"/>
      <c r="GIY2472" s="54"/>
      <c r="GIZ2472" s="54"/>
      <c r="GJA2472" s="63"/>
      <c r="GJB2472" s="60"/>
      <c r="GJC2472" s="60"/>
      <c r="GJD2472" s="60"/>
      <c r="GJE2472" s="63"/>
      <c r="GJF2472" s="61"/>
      <c r="GJG2472" s="54"/>
      <c r="GJH2472" s="54"/>
      <c r="GJI2472" s="63"/>
      <c r="GJJ2472" s="60"/>
      <c r="GJK2472" s="60"/>
      <c r="GJL2472" s="60"/>
      <c r="GJM2472" s="63"/>
      <c r="GJN2472" s="61"/>
      <c r="GJO2472" s="54"/>
      <c r="GJP2472" s="54"/>
      <c r="GJQ2472" s="63"/>
      <c r="GJR2472" s="60"/>
      <c r="GJS2472" s="60"/>
      <c r="GJT2472" s="60"/>
      <c r="GJU2472" s="63"/>
      <c r="GJV2472" s="61"/>
      <c r="GJW2472" s="54"/>
      <c r="GJX2472" s="54"/>
      <c r="GJY2472" s="63"/>
      <c r="GJZ2472" s="60"/>
      <c r="GKA2472" s="60"/>
      <c r="GKB2472" s="60"/>
      <c r="GKC2472" s="63"/>
      <c r="GKD2472" s="61"/>
      <c r="GKE2472" s="54"/>
      <c r="GKF2472" s="54"/>
      <c r="GKG2472" s="63"/>
      <c r="GKH2472" s="60"/>
      <c r="GKI2472" s="60"/>
      <c r="GKJ2472" s="60"/>
      <c r="GKK2472" s="63"/>
      <c r="GKL2472" s="61"/>
      <c r="GKM2472" s="54"/>
      <c r="GKN2472" s="54"/>
      <c r="GKO2472" s="63"/>
      <c r="GKP2472" s="60"/>
      <c r="GKQ2472" s="60"/>
      <c r="GKR2472" s="60"/>
      <c r="GKS2472" s="63"/>
      <c r="GKT2472" s="61"/>
      <c r="GKU2472" s="54"/>
      <c r="GKV2472" s="54"/>
      <c r="GKW2472" s="63"/>
      <c r="GKX2472" s="60"/>
      <c r="GKY2472" s="60"/>
      <c r="GKZ2472" s="60"/>
      <c r="GLA2472" s="63"/>
      <c r="GLB2472" s="61"/>
      <c r="GLC2472" s="54"/>
      <c r="GLD2472" s="54"/>
      <c r="GLE2472" s="63"/>
      <c r="GLF2472" s="60"/>
      <c r="GLG2472" s="60"/>
      <c r="GLH2472" s="60"/>
      <c r="GLI2472" s="63"/>
      <c r="GLJ2472" s="61"/>
      <c r="GLK2472" s="54"/>
      <c r="GLL2472" s="54"/>
      <c r="GLM2472" s="63"/>
      <c r="GLN2472" s="60"/>
      <c r="GLO2472" s="60"/>
      <c r="GLP2472" s="60"/>
      <c r="GLQ2472" s="63"/>
      <c r="GLR2472" s="61"/>
      <c r="GLS2472" s="54"/>
      <c r="GLT2472" s="54"/>
      <c r="GLU2472" s="63"/>
      <c r="GLV2472" s="60"/>
      <c r="GLW2472" s="60"/>
      <c r="GLX2472" s="60"/>
      <c r="GLY2472" s="63"/>
      <c r="GLZ2472" s="61"/>
      <c r="GMA2472" s="54"/>
      <c r="GMB2472" s="54"/>
      <c r="GMC2472" s="63"/>
      <c r="GMD2472" s="60"/>
      <c r="GME2472" s="60"/>
      <c r="GMF2472" s="60"/>
      <c r="GMG2472" s="63"/>
      <c r="GMH2472" s="61"/>
      <c r="GMI2472" s="54"/>
      <c r="GMJ2472" s="54"/>
      <c r="GMK2472" s="63"/>
      <c r="GML2472" s="60"/>
      <c r="GMM2472" s="60"/>
      <c r="GMN2472" s="60"/>
      <c r="GMO2472" s="63"/>
      <c r="GMP2472" s="61"/>
      <c r="GMQ2472" s="54"/>
      <c r="GMR2472" s="54"/>
      <c r="GMS2472" s="63"/>
      <c r="GMT2472" s="60"/>
      <c r="GMU2472" s="60"/>
      <c r="GMV2472" s="60"/>
      <c r="GMW2472" s="63"/>
      <c r="GMX2472" s="61"/>
      <c r="GMY2472" s="54"/>
      <c r="GMZ2472" s="54"/>
      <c r="GNA2472" s="63"/>
      <c r="GNB2472" s="60"/>
      <c r="GNC2472" s="60"/>
      <c r="GND2472" s="60"/>
      <c r="GNE2472" s="63"/>
      <c r="GNF2472" s="61"/>
      <c r="GNG2472" s="54"/>
      <c r="GNH2472" s="54"/>
      <c r="GNI2472" s="63"/>
      <c r="GNJ2472" s="60"/>
      <c r="GNK2472" s="60"/>
      <c r="GNL2472" s="60"/>
      <c r="GNM2472" s="63"/>
      <c r="GNN2472" s="61"/>
      <c r="GNO2472" s="54"/>
      <c r="GNP2472" s="54"/>
      <c r="GNQ2472" s="63"/>
      <c r="GNR2472" s="60"/>
      <c r="GNS2472" s="60"/>
      <c r="GNT2472" s="60"/>
      <c r="GNU2472" s="63"/>
      <c r="GNV2472" s="61"/>
      <c r="GNW2472" s="54"/>
      <c r="GNX2472" s="54"/>
      <c r="GNY2472" s="63"/>
      <c r="GNZ2472" s="60"/>
      <c r="GOA2472" s="60"/>
      <c r="GOB2472" s="60"/>
      <c r="GOC2472" s="63"/>
      <c r="GOD2472" s="61"/>
      <c r="GOE2472" s="54"/>
      <c r="GOF2472" s="54"/>
      <c r="GOG2472" s="63"/>
      <c r="GOH2472" s="60"/>
      <c r="GOI2472" s="60"/>
      <c r="GOJ2472" s="60"/>
      <c r="GOK2472" s="63"/>
      <c r="GOL2472" s="61"/>
      <c r="GOM2472" s="54"/>
      <c r="GON2472" s="54"/>
      <c r="GOO2472" s="63"/>
      <c r="GOP2472" s="60"/>
      <c r="GOQ2472" s="60"/>
      <c r="GOR2472" s="60"/>
      <c r="GOS2472" s="63"/>
      <c r="GOT2472" s="61"/>
      <c r="GOU2472" s="54"/>
      <c r="GOV2472" s="54"/>
      <c r="GOW2472" s="63"/>
      <c r="GOX2472" s="60"/>
      <c r="GOY2472" s="60"/>
      <c r="GOZ2472" s="60"/>
      <c r="GPA2472" s="63"/>
      <c r="GPB2472" s="61"/>
      <c r="GPC2472" s="54"/>
      <c r="GPD2472" s="54"/>
      <c r="GPE2472" s="63"/>
      <c r="GPF2472" s="60"/>
      <c r="GPG2472" s="60"/>
      <c r="GPH2472" s="60"/>
      <c r="GPI2472" s="63"/>
      <c r="GPJ2472" s="61"/>
      <c r="GPK2472" s="54"/>
      <c r="GPL2472" s="54"/>
      <c r="GPM2472" s="63"/>
      <c r="GPN2472" s="60"/>
      <c r="GPO2472" s="60"/>
      <c r="GPP2472" s="60"/>
      <c r="GPQ2472" s="63"/>
      <c r="GPR2472" s="61"/>
      <c r="GPS2472" s="54"/>
      <c r="GPT2472" s="54"/>
      <c r="GPU2472" s="63"/>
      <c r="GPV2472" s="60"/>
      <c r="GPW2472" s="60"/>
      <c r="GPX2472" s="60"/>
      <c r="GPY2472" s="63"/>
      <c r="GPZ2472" s="61"/>
      <c r="GQA2472" s="54"/>
      <c r="GQB2472" s="54"/>
      <c r="GQC2472" s="63"/>
      <c r="GQD2472" s="60"/>
      <c r="GQE2472" s="60"/>
      <c r="GQF2472" s="60"/>
      <c r="GQG2472" s="63"/>
      <c r="GQH2472" s="61"/>
      <c r="GQI2472" s="54"/>
      <c r="GQJ2472" s="54"/>
      <c r="GQK2472" s="63"/>
      <c r="GQL2472" s="60"/>
      <c r="GQM2472" s="60"/>
      <c r="GQN2472" s="60"/>
      <c r="GQO2472" s="63"/>
      <c r="GQP2472" s="61"/>
      <c r="GQQ2472" s="54"/>
      <c r="GQR2472" s="54"/>
      <c r="GQS2472" s="63"/>
      <c r="GQT2472" s="60"/>
      <c r="GQU2472" s="60"/>
      <c r="GQV2472" s="60"/>
      <c r="GQW2472" s="63"/>
      <c r="GQX2472" s="61"/>
      <c r="GQY2472" s="54"/>
      <c r="GQZ2472" s="54"/>
      <c r="GRA2472" s="63"/>
      <c r="GRB2472" s="60"/>
      <c r="GRC2472" s="60"/>
      <c r="GRD2472" s="60"/>
      <c r="GRE2472" s="63"/>
      <c r="GRF2472" s="61"/>
      <c r="GRG2472" s="54"/>
      <c r="GRH2472" s="54"/>
      <c r="GRI2472" s="63"/>
      <c r="GRJ2472" s="60"/>
      <c r="GRK2472" s="60"/>
      <c r="GRL2472" s="60"/>
      <c r="GRM2472" s="63"/>
      <c r="GRN2472" s="61"/>
      <c r="GRO2472" s="54"/>
      <c r="GRP2472" s="54"/>
      <c r="GRQ2472" s="63"/>
      <c r="GRR2472" s="60"/>
      <c r="GRS2472" s="60"/>
      <c r="GRT2472" s="60"/>
      <c r="GRU2472" s="63"/>
      <c r="GRV2472" s="61"/>
      <c r="GRW2472" s="54"/>
      <c r="GRX2472" s="54"/>
      <c r="GRY2472" s="63"/>
      <c r="GRZ2472" s="60"/>
      <c r="GSA2472" s="60"/>
      <c r="GSB2472" s="60"/>
      <c r="GSC2472" s="63"/>
      <c r="GSD2472" s="61"/>
      <c r="GSE2472" s="54"/>
      <c r="GSF2472" s="54"/>
      <c r="GSG2472" s="63"/>
      <c r="GSH2472" s="60"/>
      <c r="GSI2472" s="60"/>
      <c r="GSJ2472" s="60"/>
      <c r="GSK2472" s="63"/>
      <c r="GSL2472" s="61"/>
      <c r="GSM2472" s="54"/>
      <c r="GSN2472" s="54"/>
      <c r="GSO2472" s="63"/>
      <c r="GSP2472" s="60"/>
      <c r="GSQ2472" s="60"/>
      <c r="GSR2472" s="60"/>
      <c r="GSS2472" s="63"/>
      <c r="GST2472" s="61"/>
      <c r="GSU2472" s="54"/>
      <c r="GSV2472" s="54"/>
      <c r="GSW2472" s="63"/>
      <c r="GSX2472" s="60"/>
      <c r="GSY2472" s="60"/>
      <c r="GSZ2472" s="60"/>
      <c r="GTA2472" s="63"/>
      <c r="GTB2472" s="61"/>
      <c r="GTC2472" s="54"/>
      <c r="GTD2472" s="54"/>
      <c r="GTE2472" s="63"/>
      <c r="GTF2472" s="60"/>
      <c r="GTG2472" s="60"/>
      <c r="GTH2472" s="60"/>
      <c r="GTI2472" s="63"/>
      <c r="GTJ2472" s="61"/>
      <c r="GTK2472" s="54"/>
      <c r="GTL2472" s="54"/>
      <c r="GTM2472" s="63"/>
      <c r="GTN2472" s="60"/>
      <c r="GTO2472" s="60"/>
      <c r="GTP2472" s="60"/>
      <c r="GTQ2472" s="63"/>
      <c r="GTR2472" s="61"/>
      <c r="GTS2472" s="54"/>
      <c r="GTT2472" s="54"/>
      <c r="GTU2472" s="63"/>
      <c r="GTV2472" s="60"/>
      <c r="GTW2472" s="60"/>
      <c r="GTX2472" s="60"/>
      <c r="GTY2472" s="63"/>
      <c r="GTZ2472" s="61"/>
      <c r="GUA2472" s="54"/>
      <c r="GUB2472" s="54"/>
      <c r="GUC2472" s="63"/>
      <c r="GUD2472" s="60"/>
      <c r="GUE2472" s="60"/>
      <c r="GUF2472" s="60"/>
      <c r="GUG2472" s="63"/>
      <c r="GUH2472" s="61"/>
      <c r="GUI2472" s="54"/>
      <c r="GUJ2472" s="54"/>
      <c r="GUK2472" s="63"/>
      <c r="GUL2472" s="60"/>
      <c r="GUM2472" s="60"/>
      <c r="GUN2472" s="60"/>
      <c r="GUO2472" s="63"/>
      <c r="GUP2472" s="61"/>
      <c r="GUQ2472" s="54"/>
      <c r="GUR2472" s="54"/>
      <c r="GUS2472" s="63"/>
      <c r="GUT2472" s="60"/>
      <c r="GUU2472" s="60"/>
      <c r="GUV2472" s="60"/>
      <c r="GUW2472" s="63"/>
      <c r="GUX2472" s="61"/>
      <c r="GUY2472" s="54"/>
      <c r="GUZ2472" s="54"/>
      <c r="GVA2472" s="63"/>
      <c r="GVB2472" s="60"/>
      <c r="GVC2472" s="60"/>
      <c r="GVD2472" s="60"/>
      <c r="GVE2472" s="63"/>
      <c r="GVF2472" s="61"/>
      <c r="GVG2472" s="54"/>
      <c r="GVH2472" s="54"/>
      <c r="GVI2472" s="63"/>
      <c r="GVJ2472" s="60"/>
      <c r="GVK2472" s="60"/>
      <c r="GVL2472" s="60"/>
      <c r="GVM2472" s="63"/>
      <c r="GVN2472" s="61"/>
      <c r="GVO2472" s="54"/>
      <c r="GVP2472" s="54"/>
      <c r="GVQ2472" s="63"/>
      <c r="GVR2472" s="60"/>
      <c r="GVS2472" s="60"/>
      <c r="GVT2472" s="60"/>
      <c r="GVU2472" s="63"/>
      <c r="GVV2472" s="61"/>
      <c r="GVW2472" s="54"/>
      <c r="GVX2472" s="54"/>
      <c r="GVY2472" s="63"/>
      <c r="GVZ2472" s="60"/>
      <c r="GWA2472" s="60"/>
      <c r="GWB2472" s="60"/>
      <c r="GWC2472" s="63"/>
      <c r="GWD2472" s="61"/>
      <c r="GWE2472" s="54"/>
      <c r="GWF2472" s="54"/>
      <c r="GWG2472" s="63"/>
      <c r="GWH2472" s="60"/>
      <c r="GWI2472" s="60"/>
      <c r="GWJ2472" s="60"/>
      <c r="GWK2472" s="63"/>
      <c r="GWL2472" s="61"/>
      <c r="GWM2472" s="54"/>
      <c r="GWN2472" s="54"/>
      <c r="GWO2472" s="63"/>
      <c r="GWP2472" s="60"/>
      <c r="GWQ2472" s="60"/>
      <c r="GWR2472" s="60"/>
      <c r="GWS2472" s="63"/>
      <c r="GWT2472" s="61"/>
      <c r="GWU2472" s="54"/>
      <c r="GWV2472" s="54"/>
      <c r="GWW2472" s="63"/>
      <c r="GWX2472" s="60"/>
      <c r="GWY2472" s="60"/>
      <c r="GWZ2472" s="60"/>
      <c r="GXA2472" s="63"/>
      <c r="GXB2472" s="61"/>
      <c r="GXC2472" s="54"/>
      <c r="GXD2472" s="54"/>
      <c r="GXE2472" s="63"/>
      <c r="GXF2472" s="60"/>
      <c r="GXG2472" s="60"/>
      <c r="GXH2472" s="60"/>
      <c r="GXI2472" s="63"/>
      <c r="GXJ2472" s="61"/>
      <c r="GXK2472" s="54"/>
      <c r="GXL2472" s="54"/>
      <c r="GXM2472" s="63"/>
      <c r="GXN2472" s="60"/>
      <c r="GXO2472" s="60"/>
      <c r="GXP2472" s="60"/>
      <c r="GXQ2472" s="63"/>
      <c r="GXR2472" s="61"/>
      <c r="GXS2472" s="54"/>
      <c r="GXT2472" s="54"/>
      <c r="GXU2472" s="63"/>
      <c r="GXV2472" s="60"/>
      <c r="GXW2472" s="60"/>
      <c r="GXX2472" s="60"/>
      <c r="GXY2472" s="63"/>
      <c r="GXZ2472" s="61"/>
      <c r="GYA2472" s="54"/>
      <c r="GYB2472" s="54"/>
      <c r="GYC2472" s="63"/>
      <c r="GYD2472" s="60"/>
      <c r="GYE2472" s="60"/>
      <c r="GYF2472" s="60"/>
      <c r="GYG2472" s="63"/>
      <c r="GYH2472" s="61"/>
      <c r="GYI2472" s="54"/>
      <c r="GYJ2472" s="54"/>
      <c r="GYK2472" s="63"/>
      <c r="GYL2472" s="60"/>
      <c r="GYM2472" s="60"/>
      <c r="GYN2472" s="60"/>
      <c r="GYO2472" s="63"/>
      <c r="GYP2472" s="61"/>
      <c r="GYQ2472" s="54"/>
      <c r="GYR2472" s="54"/>
      <c r="GYS2472" s="63"/>
      <c r="GYT2472" s="60"/>
      <c r="GYU2472" s="60"/>
      <c r="GYV2472" s="60"/>
      <c r="GYW2472" s="63"/>
      <c r="GYX2472" s="61"/>
      <c r="GYY2472" s="54"/>
      <c r="GYZ2472" s="54"/>
      <c r="GZA2472" s="63"/>
      <c r="GZB2472" s="60"/>
      <c r="GZC2472" s="60"/>
      <c r="GZD2472" s="60"/>
      <c r="GZE2472" s="63"/>
      <c r="GZF2472" s="61"/>
      <c r="GZG2472" s="54"/>
      <c r="GZH2472" s="54"/>
      <c r="GZI2472" s="63"/>
      <c r="GZJ2472" s="60"/>
      <c r="GZK2472" s="60"/>
      <c r="GZL2472" s="60"/>
      <c r="GZM2472" s="63"/>
      <c r="GZN2472" s="61"/>
      <c r="GZO2472" s="54"/>
      <c r="GZP2472" s="54"/>
      <c r="GZQ2472" s="63"/>
      <c r="GZR2472" s="60"/>
      <c r="GZS2472" s="60"/>
      <c r="GZT2472" s="60"/>
      <c r="GZU2472" s="63"/>
      <c r="GZV2472" s="61"/>
      <c r="GZW2472" s="54"/>
      <c r="GZX2472" s="54"/>
      <c r="GZY2472" s="63"/>
      <c r="GZZ2472" s="60"/>
      <c r="HAA2472" s="60"/>
      <c r="HAB2472" s="60"/>
      <c r="HAC2472" s="63"/>
      <c r="HAD2472" s="61"/>
      <c r="HAE2472" s="54"/>
      <c r="HAF2472" s="54"/>
      <c r="HAG2472" s="63"/>
      <c r="HAH2472" s="60"/>
      <c r="HAI2472" s="60"/>
      <c r="HAJ2472" s="60"/>
      <c r="HAK2472" s="63"/>
      <c r="HAL2472" s="61"/>
      <c r="HAM2472" s="54"/>
      <c r="HAN2472" s="54"/>
      <c r="HAO2472" s="63"/>
      <c r="HAP2472" s="60"/>
      <c r="HAQ2472" s="60"/>
      <c r="HAR2472" s="60"/>
      <c r="HAS2472" s="63"/>
      <c r="HAT2472" s="61"/>
      <c r="HAU2472" s="54"/>
      <c r="HAV2472" s="54"/>
      <c r="HAW2472" s="63"/>
      <c r="HAX2472" s="60"/>
      <c r="HAY2472" s="60"/>
      <c r="HAZ2472" s="60"/>
      <c r="HBA2472" s="63"/>
      <c r="HBB2472" s="61"/>
      <c r="HBC2472" s="54"/>
      <c r="HBD2472" s="54"/>
      <c r="HBE2472" s="63"/>
      <c r="HBF2472" s="60"/>
      <c r="HBG2472" s="60"/>
      <c r="HBH2472" s="60"/>
      <c r="HBI2472" s="63"/>
      <c r="HBJ2472" s="61"/>
      <c r="HBK2472" s="54"/>
      <c r="HBL2472" s="54"/>
      <c r="HBM2472" s="63"/>
      <c r="HBN2472" s="60"/>
      <c r="HBO2472" s="60"/>
      <c r="HBP2472" s="60"/>
      <c r="HBQ2472" s="63"/>
      <c r="HBR2472" s="61"/>
      <c r="HBS2472" s="54"/>
      <c r="HBT2472" s="54"/>
      <c r="HBU2472" s="63"/>
      <c r="HBV2472" s="60"/>
      <c r="HBW2472" s="60"/>
      <c r="HBX2472" s="60"/>
      <c r="HBY2472" s="63"/>
      <c r="HBZ2472" s="61"/>
      <c r="HCA2472" s="54"/>
      <c r="HCB2472" s="54"/>
      <c r="HCC2472" s="63"/>
      <c r="HCD2472" s="60"/>
      <c r="HCE2472" s="60"/>
      <c r="HCF2472" s="60"/>
      <c r="HCG2472" s="63"/>
      <c r="HCH2472" s="61"/>
      <c r="HCI2472" s="54"/>
      <c r="HCJ2472" s="54"/>
      <c r="HCK2472" s="63"/>
      <c r="HCL2472" s="60"/>
      <c r="HCM2472" s="60"/>
      <c r="HCN2472" s="60"/>
      <c r="HCO2472" s="63"/>
      <c r="HCP2472" s="61"/>
      <c r="HCQ2472" s="54"/>
      <c r="HCR2472" s="54"/>
      <c r="HCS2472" s="63"/>
      <c r="HCT2472" s="60"/>
      <c r="HCU2472" s="60"/>
      <c r="HCV2472" s="60"/>
      <c r="HCW2472" s="63"/>
      <c r="HCX2472" s="61"/>
      <c r="HCY2472" s="54"/>
      <c r="HCZ2472" s="54"/>
      <c r="HDA2472" s="63"/>
      <c r="HDB2472" s="60"/>
      <c r="HDC2472" s="60"/>
      <c r="HDD2472" s="60"/>
      <c r="HDE2472" s="63"/>
      <c r="HDF2472" s="61"/>
      <c r="HDG2472" s="54"/>
      <c r="HDH2472" s="54"/>
      <c r="HDI2472" s="63"/>
      <c r="HDJ2472" s="60"/>
      <c r="HDK2472" s="60"/>
      <c r="HDL2472" s="60"/>
      <c r="HDM2472" s="63"/>
      <c r="HDN2472" s="61"/>
      <c r="HDO2472" s="54"/>
      <c r="HDP2472" s="54"/>
      <c r="HDQ2472" s="63"/>
      <c r="HDR2472" s="60"/>
      <c r="HDS2472" s="60"/>
      <c r="HDT2472" s="60"/>
      <c r="HDU2472" s="63"/>
      <c r="HDV2472" s="61"/>
      <c r="HDW2472" s="54"/>
      <c r="HDX2472" s="54"/>
      <c r="HDY2472" s="63"/>
      <c r="HDZ2472" s="60"/>
      <c r="HEA2472" s="60"/>
      <c r="HEB2472" s="60"/>
      <c r="HEC2472" s="63"/>
      <c r="HED2472" s="61"/>
      <c r="HEE2472" s="54"/>
      <c r="HEF2472" s="54"/>
      <c r="HEG2472" s="63"/>
      <c r="HEH2472" s="60"/>
      <c r="HEI2472" s="60"/>
      <c r="HEJ2472" s="60"/>
      <c r="HEK2472" s="63"/>
      <c r="HEL2472" s="61"/>
      <c r="HEM2472" s="54"/>
      <c r="HEN2472" s="54"/>
      <c r="HEO2472" s="63"/>
      <c r="HEP2472" s="60"/>
      <c r="HEQ2472" s="60"/>
      <c r="HER2472" s="60"/>
      <c r="HES2472" s="63"/>
      <c r="HET2472" s="61"/>
      <c r="HEU2472" s="54"/>
      <c r="HEV2472" s="54"/>
      <c r="HEW2472" s="63"/>
      <c r="HEX2472" s="60"/>
      <c r="HEY2472" s="60"/>
      <c r="HEZ2472" s="60"/>
      <c r="HFA2472" s="63"/>
      <c r="HFB2472" s="61"/>
      <c r="HFC2472" s="54"/>
      <c r="HFD2472" s="54"/>
      <c r="HFE2472" s="63"/>
      <c r="HFF2472" s="60"/>
      <c r="HFG2472" s="60"/>
      <c r="HFH2472" s="60"/>
      <c r="HFI2472" s="63"/>
      <c r="HFJ2472" s="61"/>
      <c r="HFK2472" s="54"/>
      <c r="HFL2472" s="54"/>
      <c r="HFM2472" s="63"/>
      <c r="HFN2472" s="60"/>
      <c r="HFO2472" s="60"/>
      <c r="HFP2472" s="60"/>
      <c r="HFQ2472" s="63"/>
      <c r="HFR2472" s="61"/>
      <c r="HFS2472" s="54"/>
      <c r="HFT2472" s="54"/>
      <c r="HFU2472" s="63"/>
      <c r="HFV2472" s="60"/>
      <c r="HFW2472" s="60"/>
      <c r="HFX2472" s="60"/>
      <c r="HFY2472" s="63"/>
      <c r="HFZ2472" s="61"/>
      <c r="HGA2472" s="54"/>
      <c r="HGB2472" s="54"/>
      <c r="HGC2472" s="63"/>
      <c r="HGD2472" s="60"/>
      <c r="HGE2472" s="60"/>
      <c r="HGF2472" s="60"/>
      <c r="HGG2472" s="63"/>
      <c r="HGH2472" s="61"/>
      <c r="HGI2472" s="54"/>
      <c r="HGJ2472" s="54"/>
      <c r="HGK2472" s="63"/>
      <c r="HGL2472" s="60"/>
      <c r="HGM2472" s="60"/>
      <c r="HGN2472" s="60"/>
      <c r="HGO2472" s="63"/>
      <c r="HGP2472" s="61"/>
      <c r="HGQ2472" s="54"/>
      <c r="HGR2472" s="54"/>
      <c r="HGS2472" s="63"/>
      <c r="HGT2472" s="60"/>
      <c r="HGU2472" s="60"/>
      <c r="HGV2472" s="60"/>
      <c r="HGW2472" s="63"/>
      <c r="HGX2472" s="61"/>
      <c r="HGY2472" s="54"/>
      <c r="HGZ2472" s="54"/>
      <c r="HHA2472" s="63"/>
      <c r="HHB2472" s="60"/>
      <c r="HHC2472" s="60"/>
      <c r="HHD2472" s="60"/>
      <c r="HHE2472" s="63"/>
      <c r="HHF2472" s="61"/>
      <c r="HHG2472" s="54"/>
      <c r="HHH2472" s="54"/>
      <c r="HHI2472" s="63"/>
      <c r="HHJ2472" s="60"/>
      <c r="HHK2472" s="60"/>
      <c r="HHL2472" s="60"/>
      <c r="HHM2472" s="63"/>
      <c r="HHN2472" s="61"/>
      <c r="HHO2472" s="54"/>
      <c r="HHP2472" s="54"/>
      <c r="HHQ2472" s="63"/>
      <c r="HHR2472" s="60"/>
      <c r="HHS2472" s="60"/>
      <c r="HHT2472" s="60"/>
      <c r="HHU2472" s="63"/>
      <c r="HHV2472" s="61"/>
      <c r="HHW2472" s="54"/>
      <c r="HHX2472" s="54"/>
      <c r="HHY2472" s="63"/>
      <c r="HHZ2472" s="60"/>
      <c r="HIA2472" s="60"/>
      <c r="HIB2472" s="60"/>
      <c r="HIC2472" s="63"/>
      <c r="HID2472" s="61"/>
      <c r="HIE2472" s="54"/>
      <c r="HIF2472" s="54"/>
      <c r="HIG2472" s="63"/>
      <c r="HIH2472" s="60"/>
      <c r="HII2472" s="60"/>
      <c r="HIJ2472" s="60"/>
      <c r="HIK2472" s="63"/>
      <c r="HIL2472" s="61"/>
      <c r="HIM2472" s="54"/>
      <c r="HIN2472" s="54"/>
      <c r="HIO2472" s="63"/>
      <c r="HIP2472" s="60"/>
      <c r="HIQ2472" s="60"/>
      <c r="HIR2472" s="60"/>
      <c r="HIS2472" s="63"/>
      <c r="HIT2472" s="61"/>
      <c r="HIU2472" s="54"/>
      <c r="HIV2472" s="54"/>
      <c r="HIW2472" s="63"/>
      <c r="HIX2472" s="60"/>
      <c r="HIY2472" s="60"/>
      <c r="HIZ2472" s="60"/>
      <c r="HJA2472" s="63"/>
      <c r="HJB2472" s="61"/>
      <c r="HJC2472" s="54"/>
      <c r="HJD2472" s="54"/>
      <c r="HJE2472" s="63"/>
      <c r="HJF2472" s="60"/>
      <c r="HJG2472" s="60"/>
      <c r="HJH2472" s="60"/>
      <c r="HJI2472" s="63"/>
      <c r="HJJ2472" s="61"/>
      <c r="HJK2472" s="54"/>
      <c r="HJL2472" s="54"/>
      <c r="HJM2472" s="63"/>
      <c r="HJN2472" s="60"/>
      <c r="HJO2472" s="60"/>
      <c r="HJP2472" s="60"/>
      <c r="HJQ2472" s="63"/>
      <c r="HJR2472" s="61"/>
      <c r="HJS2472" s="54"/>
      <c r="HJT2472" s="54"/>
      <c r="HJU2472" s="63"/>
      <c r="HJV2472" s="60"/>
      <c r="HJW2472" s="60"/>
      <c r="HJX2472" s="60"/>
      <c r="HJY2472" s="63"/>
      <c r="HJZ2472" s="61"/>
      <c r="HKA2472" s="54"/>
      <c r="HKB2472" s="54"/>
      <c r="HKC2472" s="63"/>
      <c r="HKD2472" s="60"/>
      <c r="HKE2472" s="60"/>
      <c r="HKF2472" s="60"/>
      <c r="HKG2472" s="63"/>
      <c r="HKH2472" s="61"/>
      <c r="HKI2472" s="54"/>
      <c r="HKJ2472" s="54"/>
      <c r="HKK2472" s="63"/>
      <c r="HKL2472" s="60"/>
      <c r="HKM2472" s="60"/>
      <c r="HKN2472" s="60"/>
      <c r="HKO2472" s="63"/>
      <c r="HKP2472" s="61"/>
      <c r="HKQ2472" s="54"/>
      <c r="HKR2472" s="54"/>
      <c r="HKS2472" s="63"/>
      <c r="HKT2472" s="60"/>
      <c r="HKU2472" s="60"/>
      <c r="HKV2472" s="60"/>
      <c r="HKW2472" s="63"/>
      <c r="HKX2472" s="61"/>
      <c r="HKY2472" s="54"/>
      <c r="HKZ2472" s="54"/>
      <c r="HLA2472" s="63"/>
      <c r="HLB2472" s="60"/>
      <c r="HLC2472" s="60"/>
      <c r="HLD2472" s="60"/>
      <c r="HLE2472" s="63"/>
      <c r="HLF2472" s="61"/>
      <c r="HLG2472" s="54"/>
      <c r="HLH2472" s="54"/>
      <c r="HLI2472" s="63"/>
      <c r="HLJ2472" s="60"/>
      <c r="HLK2472" s="60"/>
      <c r="HLL2472" s="60"/>
      <c r="HLM2472" s="63"/>
      <c r="HLN2472" s="61"/>
      <c r="HLO2472" s="54"/>
      <c r="HLP2472" s="54"/>
      <c r="HLQ2472" s="63"/>
      <c r="HLR2472" s="60"/>
      <c r="HLS2472" s="60"/>
      <c r="HLT2472" s="60"/>
      <c r="HLU2472" s="63"/>
      <c r="HLV2472" s="61"/>
      <c r="HLW2472" s="54"/>
      <c r="HLX2472" s="54"/>
      <c r="HLY2472" s="63"/>
      <c r="HLZ2472" s="60"/>
      <c r="HMA2472" s="60"/>
      <c r="HMB2472" s="60"/>
      <c r="HMC2472" s="63"/>
      <c r="HMD2472" s="61"/>
      <c r="HME2472" s="54"/>
      <c r="HMF2472" s="54"/>
      <c r="HMG2472" s="63"/>
      <c r="HMH2472" s="60"/>
      <c r="HMI2472" s="60"/>
      <c r="HMJ2472" s="60"/>
      <c r="HMK2472" s="63"/>
      <c r="HML2472" s="61"/>
      <c r="HMM2472" s="54"/>
      <c r="HMN2472" s="54"/>
      <c r="HMO2472" s="63"/>
      <c r="HMP2472" s="60"/>
      <c r="HMQ2472" s="60"/>
      <c r="HMR2472" s="60"/>
      <c r="HMS2472" s="63"/>
      <c r="HMT2472" s="61"/>
      <c r="HMU2472" s="54"/>
      <c r="HMV2472" s="54"/>
      <c r="HMW2472" s="63"/>
      <c r="HMX2472" s="60"/>
      <c r="HMY2472" s="60"/>
      <c r="HMZ2472" s="60"/>
      <c r="HNA2472" s="63"/>
      <c r="HNB2472" s="61"/>
      <c r="HNC2472" s="54"/>
      <c r="HND2472" s="54"/>
      <c r="HNE2472" s="63"/>
      <c r="HNF2472" s="60"/>
      <c r="HNG2472" s="60"/>
      <c r="HNH2472" s="60"/>
      <c r="HNI2472" s="63"/>
      <c r="HNJ2472" s="61"/>
      <c r="HNK2472" s="54"/>
      <c r="HNL2472" s="54"/>
      <c r="HNM2472" s="63"/>
      <c r="HNN2472" s="60"/>
      <c r="HNO2472" s="60"/>
      <c r="HNP2472" s="60"/>
      <c r="HNQ2472" s="63"/>
      <c r="HNR2472" s="61"/>
      <c r="HNS2472" s="54"/>
      <c r="HNT2472" s="54"/>
      <c r="HNU2472" s="63"/>
      <c r="HNV2472" s="60"/>
      <c r="HNW2472" s="60"/>
      <c r="HNX2472" s="60"/>
      <c r="HNY2472" s="63"/>
      <c r="HNZ2472" s="61"/>
      <c r="HOA2472" s="54"/>
      <c r="HOB2472" s="54"/>
      <c r="HOC2472" s="63"/>
      <c r="HOD2472" s="60"/>
      <c r="HOE2472" s="60"/>
      <c r="HOF2472" s="60"/>
      <c r="HOG2472" s="63"/>
      <c r="HOH2472" s="61"/>
      <c r="HOI2472" s="54"/>
      <c r="HOJ2472" s="54"/>
      <c r="HOK2472" s="63"/>
      <c r="HOL2472" s="60"/>
      <c r="HOM2472" s="60"/>
      <c r="HON2472" s="60"/>
      <c r="HOO2472" s="63"/>
      <c r="HOP2472" s="61"/>
      <c r="HOQ2472" s="54"/>
      <c r="HOR2472" s="54"/>
      <c r="HOS2472" s="63"/>
      <c r="HOT2472" s="60"/>
      <c r="HOU2472" s="60"/>
      <c r="HOV2472" s="60"/>
      <c r="HOW2472" s="63"/>
      <c r="HOX2472" s="61"/>
      <c r="HOY2472" s="54"/>
      <c r="HOZ2472" s="54"/>
      <c r="HPA2472" s="63"/>
      <c r="HPB2472" s="60"/>
      <c r="HPC2472" s="60"/>
      <c r="HPD2472" s="60"/>
      <c r="HPE2472" s="63"/>
      <c r="HPF2472" s="61"/>
      <c r="HPG2472" s="54"/>
      <c r="HPH2472" s="54"/>
      <c r="HPI2472" s="63"/>
      <c r="HPJ2472" s="60"/>
      <c r="HPK2472" s="60"/>
      <c r="HPL2472" s="60"/>
      <c r="HPM2472" s="63"/>
      <c r="HPN2472" s="61"/>
      <c r="HPO2472" s="54"/>
      <c r="HPP2472" s="54"/>
      <c r="HPQ2472" s="63"/>
      <c r="HPR2472" s="60"/>
      <c r="HPS2472" s="60"/>
      <c r="HPT2472" s="60"/>
      <c r="HPU2472" s="63"/>
      <c r="HPV2472" s="61"/>
      <c r="HPW2472" s="54"/>
      <c r="HPX2472" s="54"/>
      <c r="HPY2472" s="63"/>
      <c r="HPZ2472" s="60"/>
      <c r="HQA2472" s="60"/>
      <c r="HQB2472" s="60"/>
      <c r="HQC2472" s="63"/>
      <c r="HQD2472" s="61"/>
      <c r="HQE2472" s="54"/>
      <c r="HQF2472" s="54"/>
      <c r="HQG2472" s="63"/>
      <c r="HQH2472" s="60"/>
      <c r="HQI2472" s="60"/>
      <c r="HQJ2472" s="60"/>
      <c r="HQK2472" s="63"/>
      <c r="HQL2472" s="61"/>
      <c r="HQM2472" s="54"/>
      <c r="HQN2472" s="54"/>
      <c r="HQO2472" s="63"/>
      <c r="HQP2472" s="60"/>
      <c r="HQQ2472" s="60"/>
      <c r="HQR2472" s="60"/>
      <c r="HQS2472" s="63"/>
      <c r="HQT2472" s="61"/>
      <c r="HQU2472" s="54"/>
      <c r="HQV2472" s="54"/>
      <c r="HQW2472" s="63"/>
      <c r="HQX2472" s="60"/>
      <c r="HQY2472" s="60"/>
      <c r="HQZ2472" s="60"/>
      <c r="HRA2472" s="63"/>
      <c r="HRB2472" s="61"/>
      <c r="HRC2472" s="54"/>
      <c r="HRD2472" s="54"/>
      <c r="HRE2472" s="63"/>
      <c r="HRF2472" s="60"/>
      <c r="HRG2472" s="60"/>
      <c r="HRH2472" s="60"/>
      <c r="HRI2472" s="63"/>
      <c r="HRJ2472" s="61"/>
      <c r="HRK2472" s="54"/>
      <c r="HRL2472" s="54"/>
      <c r="HRM2472" s="63"/>
      <c r="HRN2472" s="60"/>
      <c r="HRO2472" s="60"/>
      <c r="HRP2472" s="60"/>
      <c r="HRQ2472" s="63"/>
      <c r="HRR2472" s="61"/>
      <c r="HRS2472" s="54"/>
      <c r="HRT2472" s="54"/>
      <c r="HRU2472" s="63"/>
      <c r="HRV2472" s="60"/>
      <c r="HRW2472" s="60"/>
      <c r="HRX2472" s="60"/>
      <c r="HRY2472" s="63"/>
      <c r="HRZ2472" s="61"/>
      <c r="HSA2472" s="54"/>
      <c r="HSB2472" s="54"/>
      <c r="HSC2472" s="63"/>
      <c r="HSD2472" s="60"/>
      <c r="HSE2472" s="60"/>
      <c r="HSF2472" s="60"/>
      <c r="HSG2472" s="63"/>
      <c r="HSH2472" s="61"/>
      <c r="HSI2472" s="54"/>
      <c r="HSJ2472" s="54"/>
      <c r="HSK2472" s="63"/>
      <c r="HSL2472" s="60"/>
      <c r="HSM2472" s="60"/>
      <c r="HSN2472" s="60"/>
      <c r="HSO2472" s="63"/>
      <c r="HSP2472" s="61"/>
      <c r="HSQ2472" s="54"/>
      <c r="HSR2472" s="54"/>
      <c r="HSS2472" s="63"/>
      <c r="HST2472" s="60"/>
      <c r="HSU2472" s="60"/>
      <c r="HSV2472" s="60"/>
      <c r="HSW2472" s="63"/>
      <c r="HSX2472" s="61"/>
      <c r="HSY2472" s="54"/>
      <c r="HSZ2472" s="54"/>
      <c r="HTA2472" s="63"/>
      <c r="HTB2472" s="60"/>
      <c r="HTC2472" s="60"/>
      <c r="HTD2472" s="60"/>
      <c r="HTE2472" s="63"/>
      <c r="HTF2472" s="61"/>
      <c r="HTG2472" s="54"/>
      <c r="HTH2472" s="54"/>
      <c r="HTI2472" s="63"/>
      <c r="HTJ2472" s="60"/>
      <c r="HTK2472" s="60"/>
      <c r="HTL2472" s="60"/>
      <c r="HTM2472" s="63"/>
      <c r="HTN2472" s="61"/>
      <c r="HTO2472" s="54"/>
      <c r="HTP2472" s="54"/>
      <c r="HTQ2472" s="63"/>
      <c r="HTR2472" s="60"/>
      <c r="HTS2472" s="60"/>
      <c r="HTT2472" s="60"/>
      <c r="HTU2472" s="63"/>
      <c r="HTV2472" s="61"/>
      <c r="HTW2472" s="54"/>
      <c r="HTX2472" s="54"/>
      <c r="HTY2472" s="63"/>
      <c r="HTZ2472" s="60"/>
      <c r="HUA2472" s="60"/>
      <c r="HUB2472" s="60"/>
      <c r="HUC2472" s="63"/>
      <c r="HUD2472" s="61"/>
      <c r="HUE2472" s="54"/>
      <c r="HUF2472" s="54"/>
      <c r="HUG2472" s="63"/>
      <c r="HUH2472" s="60"/>
      <c r="HUI2472" s="60"/>
      <c r="HUJ2472" s="60"/>
      <c r="HUK2472" s="63"/>
      <c r="HUL2472" s="61"/>
      <c r="HUM2472" s="54"/>
      <c r="HUN2472" s="54"/>
      <c r="HUO2472" s="63"/>
      <c r="HUP2472" s="60"/>
      <c r="HUQ2472" s="60"/>
      <c r="HUR2472" s="60"/>
      <c r="HUS2472" s="63"/>
      <c r="HUT2472" s="61"/>
      <c r="HUU2472" s="54"/>
      <c r="HUV2472" s="54"/>
      <c r="HUW2472" s="63"/>
      <c r="HUX2472" s="60"/>
      <c r="HUY2472" s="60"/>
      <c r="HUZ2472" s="60"/>
      <c r="HVA2472" s="63"/>
      <c r="HVB2472" s="61"/>
      <c r="HVC2472" s="54"/>
      <c r="HVD2472" s="54"/>
      <c r="HVE2472" s="63"/>
      <c r="HVF2472" s="60"/>
      <c r="HVG2472" s="60"/>
      <c r="HVH2472" s="60"/>
      <c r="HVI2472" s="63"/>
      <c r="HVJ2472" s="61"/>
      <c r="HVK2472" s="54"/>
      <c r="HVL2472" s="54"/>
      <c r="HVM2472" s="63"/>
      <c r="HVN2472" s="60"/>
      <c r="HVO2472" s="60"/>
      <c r="HVP2472" s="60"/>
      <c r="HVQ2472" s="63"/>
      <c r="HVR2472" s="61"/>
      <c r="HVS2472" s="54"/>
      <c r="HVT2472" s="54"/>
      <c r="HVU2472" s="63"/>
      <c r="HVV2472" s="60"/>
      <c r="HVW2472" s="60"/>
      <c r="HVX2472" s="60"/>
      <c r="HVY2472" s="63"/>
      <c r="HVZ2472" s="61"/>
      <c r="HWA2472" s="54"/>
      <c r="HWB2472" s="54"/>
      <c r="HWC2472" s="63"/>
      <c r="HWD2472" s="60"/>
      <c r="HWE2472" s="60"/>
      <c r="HWF2472" s="60"/>
      <c r="HWG2472" s="63"/>
      <c r="HWH2472" s="61"/>
      <c r="HWI2472" s="54"/>
      <c r="HWJ2472" s="54"/>
      <c r="HWK2472" s="63"/>
      <c r="HWL2472" s="60"/>
      <c r="HWM2472" s="60"/>
      <c r="HWN2472" s="60"/>
      <c r="HWO2472" s="63"/>
      <c r="HWP2472" s="61"/>
      <c r="HWQ2472" s="54"/>
      <c r="HWR2472" s="54"/>
      <c r="HWS2472" s="63"/>
      <c r="HWT2472" s="60"/>
      <c r="HWU2472" s="60"/>
      <c r="HWV2472" s="60"/>
      <c r="HWW2472" s="63"/>
      <c r="HWX2472" s="61"/>
      <c r="HWY2472" s="54"/>
      <c r="HWZ2472" s="54"/>
      <c r="HXA2472" s="63"/>
      <c r="HXB2472" s="60"/>
      <c r="HXC2472" s="60"/>
      <c r="HXD2472" s="60"/>
      <c r="HXE2472" s="63"/>
      <c r="HXF2472" s="61"/>
      <c r="HXG2472" s="54"/>
      <c r="HXH2472" s="54"/>
      <c r="HXI2472" s="63"/>
      <c r="HXJ2472" s="60"/>
      <c r="HXK2472" s="60"/>
      <c r="HXL2472" s="60"/>
      <c r="HXM2472" s="63"/>
      <c r="HXN2472" s="61"/>
      <c r="HXO2472" s="54"/>
      <c r="HXP2472" s="54"/>
      <c r="HXQ2472" s="63"/>
      <c r="HXR2472" s="60"/>
      <c r="HXS2472" s="60"/>
      <c r="HXT2472" s="60"/>
      <c r="HXU2472" s="63"/>
      <c r="HXV2472" s="61"/>
      <c r="HXW2472" s="54"/>
      <c r="HXX2472" s="54"/>
      <c r="HXY2472" s="63"/>
      <c r="HXZ2472" s="60"/>
      <c r="HYA2472" s="60"/>
      <c r="HYB2472" s="60"/>
      <c r="HYC2472" s="63"/>
      <c r="HYD2472" s="61"/>
      <c r="HYE2472" s="54"/>
      <c r="HYF2472" s="54"/>
      <c r="HYG2472" s="63"/>
      <c r="HYH2472" s="60"/>
      <c r="HYI2472" s="60"/>
      <c r="HYJ2472" s="60"/>
      <c r="HYK2472" s="63"/>
      <c r="HYL2472" s="61"/>
      <c r="HYM2472" s="54"/>
      <c r="HYN2472" s="54"/>
      <c r="HYO2472" s="63"/>
      <c r="HYP2472" s="60"/>
      <c r="HYQ2472" s="60"/>
      <c r="HYR2472" s="60"/>
      <c r="HYS2472" s="63"/>
      <c r="HYT2472" s="61"/>
      <c r="HYU2472" s="54"/>
      <c r="HYV2472" s="54"/>
      <c r="HYW2472" s="63"/>
      <c r="HYX2472" s="60"/>
      <c r="HYY2472" s="60"/>
      <c r="HYZ2472" s="60"/>
      <c r="HZA2472" s="63"/>
      <c r="HZB2472" s="61"/>
      <c r="HZC2472" s="54"/>
      <c r="HZD2472" s="54"/>
      <c r="HZE2472" s="63"/>
      <c r="HZF2472" s="60"/>
      <c r="HZG2472" s="60"/>
      <c r="HZH2472" s="60"/>
      <c r="HZI2472" s="63"/>
      <c r="HZJ2472" s="61"/>
      <c r="HZK2472" s="54"/>
      <c r="HZL2472" s="54"/>
      <c r="HZM2472" s="63"/>
      <c r="HZN2472" s="60"/>
      <c r="HZO2472" s="60"/>
      <c r="HZP2472" s="60"/>
      <c r="HZQ2472" s="63"/>
      <c r="HZR2472" s="61"/>
      <c r="HZS2472" s="54"/>
      <c r="HZT2472" s="54"/>
      <c r="HZU2472" s="63"/>
      <c r="HZV2472" s="60"/>
      <c r="HZW2472" s="60"/>
      <c r="HZX2472" s="60"/>
      <c r="HZY2472" s="63"/>
      <c r="HZZ2472" s="61"/>
      <c r="IAA2472" s="54"/>
      <c r="IAB2472" s="54"/>
      <c r="IAC2472" s="63"/>
      <c r="IAD2472" s="60"/>
      <c r="IAE2472" s="60"/>
      <c r="IAF2472" s="60"/>
      <c r="IAG2472" s="63"/>
      <c r="IAH2472" s="61"/>
      <c r="IAI2472" s="54"/>
      <c r="IAJ2472" s="54"/>
      <c r="IAK2472" s="63"/>
      <c r="IAL2472" s="60"/>
      <c r="IAM2472" s="60"/>
      <c r="IAN2472" s="60"/>
      <c r="IAO2472" s="63"/>
      <c r="IAP2472" s="61"/>
      <c r="IAQ2472" s="54"/>
      <c r="IAR2472" s="54"/>
      <c r="IAS2472" s="63"/>
      <c r="IAT2472" s="60"/>
      <c r="IAU2472" s="60"/>
      <c r="IAV2472" s="60"/>
      <c r="IAW2472" s="63"/>
      <c r="IAX2472" s="61"/>
      <c r="IAY2472" s="54"/>
      <c r="IAZ2472" s="54"/>
      <c r="IBA2472" s="63"/>
      <c r="IBB2472" s="60"/>
      <c r="IBC2472" s="60"/>
      <c r="IBD2472" s="60"/>
      <c r="IBE2472" s="63"/>
      <c r="IBF2472" s="61"/>
      <c r="IBG2472" s="54"/>
      <c r="IBH2472" s="54"/>
      <c r="IBI2472" s="63"/>
      <c r="IBJ2472" s="60"/>
      <c r="IBK2472" s="60"/>
      <c r="IBL2472" s="60"/>
      <c r="IBM2472" s="63"/>
      <c r="IBN2472" s="61"/>
      <c r="IBO2472" s="54"/>
      <c r="IBP2472" s="54"/>
      <c r="IBQ2472" s="63"/>
      <c r="IBR2472" s="60"/>
      <c r="IBS2472" s="60"/>
      <c r="IBT2472" s="60"/>
      <c r="IBU2472" s="63"/>
      <c r="IBV2472" s="61"/>
      <c r="IBW2472" s="54"/>
      <c r="IBX2472" s="54"/>
      <c r="IBY2472" s="63"/>
      <c r="IBZ2472" s="60"/>
      <c r="ICA2472" s="60"/>
      <c r="ICB2472" s="60"/>
      <c r="ICC2472" s="63"/>
      <c r="ICD2472" s="61"/>
      <c r="ICE2472" s="54"/>
      <c r="ICF2472" s="54"/>
      <c r="ICG2472" s="63"/>
      <c r="ICH2472" s="60"/>
      <c r="ICI2472" s="60"/>
      <c r="ICJ2472" s="60"/>
      <c r="ICK2472" s="63"/>
      <c r="ICL2472" s="61"/>
      <c r="ICM2472" s="54"/>
      <c r="ICN2472" s="54"/>
      <c r="ICO2472" s="63"/>
      <c r="ICP2472" s="60"/>
      <c r="ICQ2472" s="60"/>
      <c r="ICR2472" s="60"/>
      <c r="ICS2472" s="63"/>
      <c r="ICT2472" s="61"/>
      <c r="ICU2472" s="54"/>
      <c r="ICV2472" s="54"/>
      <c r="ICW2472" s="63"/>
      <c r="ICX2472" s="60"/>
      <c r="ICY2472" s="60"/>
      <c r="ICZ2472" s="60"/>
      <c r="IDA2472" s="63"/>
      <c r="IDB2472" s="61"/>
      <c r="IDC2472" s="54"/>
      <c r="IDD2472" s="54"/>
      <c r="IDE2472" s="63"/>
      <c r="IDF2472" s="60"/>
      <c r="IDG2472" s="60"/>
      <c r="IDH2472" s="60"/>
      <c r="IDI2472" s="63"/>
      <c r="IDJ2472" s="61"/>
      <c r="IDK2472" s="54"/>
      <c r="IDL2472" s="54"/>
      <c r="IDM2472" s="63"/>
      <c r="IDN2472" s="60"/>
      <c r="IDO2472" s="60"/>
      <c r="IDP2472" s="60"/>
      <c r="IDQ2472" s="63"/>
      <c r="IDR2472" s="61"/>
      <c r="IDS2472" s="54"/>
      <c r="IDT2472" s="54"/>
      <c r="IDU2472" s="63"/>
      <c r="IDV2472" s="60"/>
      <c r="IDW2472" s="60"/>
      <c r="IDX2472" s="60"/>
      <c r="IDY2472" s="63"/>
      <c r="IDZ2472" s="61"/>
      <c r="IEA2472" s="54"/>
      <c r="IEB2472" s="54"/>
      <c r="IEC2472" s="63"/>
      <c r="IED2472" s="60"/>
      <c r="IEE2472" s="60"/>
      <c r="IEF2472" s="60"/>
      <c r="IEG2472" s="63"/>
      <c r="IEH2472" s="61"/>
      <c r="IEI2472" s="54"/>
      <c r="IEJ2472" s="54"/>
      <c r="IEK2472" s="63"/>
      <c r="IEL2472" s="60"/>
      <c r="IEM2472" s="60"/>
      <c r="IEN2472" s="60"/>
      <c r="IEO2472" s="63"/>
      <c r="IEP2472" s="61"/>
      <c r="IEQ2472" s="54"/>
      <c r="IER2472" s="54"/>
      <c r="IES2472" s="63"/>
      <c r="IET2472" s="60"/>
      <c r="IEU2472" s="60"/>
      <c r="IEV2472" s="60"/>
      <c r="IEW2472" s="63"/>
      <c r="IEX2472" s="61"/>
      <c r="IEY2472" s="54"/>
      <c r="IEZ2472" s="54"/>
      <c r="IFA2472" s="63"/>
      <c r="IFB2472" s="60"/>
      <c r="IFC2472" s="60"/>
      <c r="IFD2472" s="60"/>
      <c r="IFE2472" s="63"/>
      <c r="IFF2472" s="61"/>
      <c r="IFG2472" s="54"/>
      <c r="IFH2472" s="54"/>
      <c r="IFI2472" s="63"/>
      <c r="IFJ2472" s="60"/>
      <c r="IFK2472" s="60"/>
      <c r="IFL2472" s="60"/>
      <c r="IFM2472" s="63"/>
      <c r="IFN2472" s="61"/>
      <c r="IFO2472" s="54"/>
      <c r="IFP2472" s="54"/>
      <c r="IFQ2472" s="63"/>
      <c r="IFR2472" s="60"/>
      <c r="IFS2472" s="60"/>
      <c r="IFT2472" s="60"/>
      <c r="IFU2472" s="63"/>
      <c r="IFV2472" s="61"/>
      <c r="IFW2472" s="54"/>
      <c r="IFX2472" s="54"/>
      <c r="IFY2472" s="63"/>
      <c r="IFZ2472" s="60"/>
      <c r="IGA2472" s="60"/>
      <c r="IGB2472" s="60"/>
      <c r="IGC2472" s="63"/>
      <c r="IGD2472" s="61"/>
      <c r="IGE2472" s="54"/>
      <c r="IGF2472" s="54"/>
      <c r="IGG2472" s="63"/>
      <c r="IGH2472" s="60"/>
      <c r="IGI2472" s="60"/>
      <c r="IGJ2472" s="60"/>
      <c r="IGK2472" s="63"/>
      <c r="IGL2472" s="61"/>
      <c r="IGM2472" s="54"/>
      <c r="IGN2472" s="54"/>
      <c r="IGO2472" s="63"/>
      <c r="IGP2472" s="60"/>
      <c r="IGQ2472" s="60"/>
      <c r="IGR2472" s="60"/>
      <c r="IGS2472" s="63"/>
      <c r="IGT2472" s="61"/>
      <c r="IGU2472" s="54"/>
      <c r="IGV2472" s="54"/>
      <c r="IGW2472" s="63"/>
      <c r="IGX2472" s="60"/>
      <c r="IGY2472" s="60"/>
      <c r="IGZ2472" s="60"/>
      <c r="IHA2472" s="63"/>
      <c r="IHB2472" s="61"/>
      <c r="IHC2472" s="54"/>
      <c r="IHD2472" s="54"/>
      <c r="IHE2472" s="63"/>
      <c r="IHF2472" s="60"/>
      <c r="IHG2472" s="60"/>
      <c r="IHH2472" s="60"/>
      <c r="IHI2472" s="63"/>
      <c r="IHJ2472" s="61"/>
      <c r="IHK2472" s="54"/>
      <c r="IHL2472" s="54"/>
      <c r="IHM2472" s="63"/>
      <c r="IHN2472" s="60"/>
      <c r="IHO2472" s="60"/>
      <c r="IHP2472" s="60"/>
      <c r="IHQ2472" s="63"/>
      <c r="IHR2472" s="61"/>
      <c r="IHS2472" s="54"/>
      <c r="IHT2472" s="54"/>
      <c r="IHU2472" s="63"/>
      <c r="IHV2472" s="60"/>
      <c r="IHW2472" s="60"/>
      <c r="IHX2472" s="60"/>
      <c r="IHY2472" s="63"/>
      <c r="IHZ2472" s="61"/>
      <c r="IIA2472" s="54"/>
      <c r="IIB2472" s="54"/>
      <c r="IIC2472" s="63"/>
      <c r="IID2472" s="60"/>
      <c r="IIE2472" s="60"/>
      <c r="IIF2472" s="60"/>
      <c r="IIG2472" s="63"/>
      <c r="IIH2472" s="61"/>
      <c r="III2472" s="54"/>
      <c r="IIJ2472" s="54"/>
      <c r="IIK2472" s="63"/>
      <c r="IIL2472" s="60"/>
      <c r="IIM2472" s="60"/>
      <c r="IIN2472" s="60"/>
      <c r="IIO2472" s="63"/>
      <c r="IIP2472" s="61"/>
      <c r="IIQ2472" s="54"/>
      <c r="IIR2472" s="54"/>
      <c r="IIS2472" s="63"/>
      <c r="IIT2472" s="60"/>
      <c r="IIU2472" s="60"/>
      <c r="IIV2472" s="60"/>
      <c r="IIW2472" s="63"/>
      <c r="IIX2472" s="61"/>
      <c r="IIY2472" s="54"/>
      <c r="IIZ2472" s="54"/>
      <c r="IJA2472" s="63"/>
      <c r="IJB2472" s="60"/>
      <c r="IJC2472" s="60"/>
      <c r="IJD2472" s="60"/>
      <c r="IJE2472" s="63"/>
      <c r="IJF2472" s="61"/>
      <c r="IJG2472" s="54"/>
      <c r="IJH2472" s="54"/>
      <c r="IJI2472" s="63"/>
      <c r="IJJ2472" s="60"/>
      <c r="IJK2472" s="60"/>
      <c r="IJL2472" s="60"/>
      <c r="IJM2472" s="63"/>
      <c r="IJN2472" s="61"/>
      <c r="IJO2472" s="54"/>
      <c r="IJP2472" s="54"/>
      <c r="IJQ2472" s="63"/>
      <c r="IJR2472" s="60"/>
      <c r="IJS2472" s="60"/>
      <c r="IJT2472" s="60"/>
      <c r="IJU2472" s="63"/>
      <c r="IJV2472" s="61"/>
      <c r="IJW2472" s="54"/>
      <c r="IJX2472" s="54"/>
      <c r="IJY2472" s="63"/>
      <c r="IJZ2472" s="60"/>
      <c r="IKA2472" s="60"/>
      <c r="IKB2472" s="60"/>
      <c r="IKC2472" s="63"/>
      <c r="IKD2472" s="61"/>
      <c r="IKE2472" s="54"/>
      <c r="IKF2472" s="54"/>
      <c r="IKG2472" s="63"/>
      <c r="IKH2472" s="60"/>
      <c r="IKI2472" s="60"/>
      <c r="IKJ2472" s="60"/>
      <c r="IKK2472" s="63"/>
      <c r="IKL2472" s="61"/>
      <c r="IKM2472" s="54"/>
      <c r="IKN2472" s="54"/>
      <c r="IKO2472" s="63"/>
      <c r="IKP2472" s="60"/>
      <c r="IKQ2472" s="60"/>
      <c r="IKR2472" s="60"/>
      <c r="IKS2472" s="63"/>
      <c r="IKT2472" s="61"/>
      <c r="IKU2472" s="54"/>
      <c r="IKV2472" s="54"/>
      <c r="IKW2472" s="63"/>
      <c r="IKX2472" s="60"/>
      <c r="IKY2472" s="60"/>
      <c r="IKZ2472" s="60"/>
      <c r="ILA2472" s="63"/>
      <c r="ILB2472" s="61"/>
      <c r="ILC2472" s="54"/>
      <c r="ILD2472" s="54"/>
      <c r="ILE2472" s="63"/>
      <c r="ILF2472" s="60"/>
      <c r="ILG2472" s="60"/>
      <c r="ILH2472" s="60"/>
      <c r="ILI2472" s="63"/>
      <c r="ILJ2472" s="61"/>
      <c r="ILK2472" s="54"/>
      <c r="ILL2472" s="54"/>
      <c r="ILM2472" s="63"/>
      <c r="ILN2472" s="60"/>
      <c r="ILO2472" s="60"/>
      <c r="ILP2472" s="60"/>
      <c r="ILQ2472" s="63"/>
      <c r="ILR2472" s="61"/>
      <c r="ILS2472" s="54"/>
      <c r="ILT2472" s="54"/>
      <c r="ILU2472" s="63"/>
      <c r="ILV2472" s="60"/>
      <c r="ILW2472" s="60"/>
      <c r="ILX2472" s="60"/>
      <c r="ILY2472" s="63"/>
      <c r="ILZ2472" s="61"/>
      <c r="IMA2472" s="54"/>
      <c r="IMB2472" s="54"/>
      <c r="IMC2472" s="63"/>
      <c r="IMD2472" s="60"/>
      <c r="IME2472" s="60"/>
      <c r="IMF2472" s="60"/>
      <c r="IMG2472" s="63"/>
      <c r="IMH2472" s="61"/>
      <c r="IMI2472" s="54"/>
      <c r="IMJ2472" s="54"/>
      <c r="IMK2472" s="63"/>
      <c r="IML2472" s="60"/>
      <c r="IMM2472" s="60"/>
      <c r="IMN2472" s="60"/>
      <c r="IMO2472" s="63"/>
      <c r="IMP2472" s="61"/>
      <c r="IMQ2472" s="54"/>
      <c r="IMR2472" s="54"/>
      <c r="IMS2472" s="63"/>
      <c r="IMT2472" s="60"/>
      <c r="IMU2472" s="60"/>
      <c r="IMV2472" s="60"/>
      <c r="IMW2472" s="63"/>
      <c r="IMX2472" s="61"/>
      <c r="IMY2472" s="54"/>
      <c r="IMZ2472" s="54"/>
      <c r="INA2472" s="63"/>
      <c r="INB2472" s="60"/>
      <c r="INC2472" s="60"/>
      <c r="IND2472" s="60"/>
      <c r="INE2472" s="63"/>
      <c r="INF2472" s="61"/>
      <c r="ING2472" s="54"/>
      <c r="INH2472" s="54"/>
      <c r="INI2472" s="63"/>
      <c r="INJ2472" s="60"/>
      <c r="INK2472" s="60"/>
      <c r="INL2472" s="60"/>
      <c r="INM2472" s="63"/>
      <c r="INN2472" s="61"/>
      <c r="INO2472" s="54"/>
      <c r="INP2472" s="54"/>
      <c r="INQ2472" s="63"/>
      <c r="INR2472" s="60"/>
      <c r="INS2472" s="60"/>
      <c r="INT2472" s="60"/>
      <c r="INU2472" s="63"/>
      <c r="INV2472" s="61"/>
      <c r="INW2472" s="54"/>
      <c r="INX2472" s="54"/>
      <c r="INY2472" s="63"/>
      <c r="INZ2472" s="60"/>
      <c r="IOA2472" s="60"/>
      <c r="IOB2472" s="60"/>
      <c r="IOC2472" s="63"/>
      <c r="IOD2472" s="61"/>
      <c r="IOE2472" s="54"/>
      <c r="IOF2472" s="54"/>
      <c r="IOG2472" s="63"/>
      <c r="IOH2472" s="60"/>
      <c r="IOI2472" s="60"/>
      <c r="IOJ2472" s="60"/>
      <c r="IOK2472" s="63"/>
      <c r="IOL2472" s="61"/>
      <c r="IOM2472" s="54"/>
      <c r="ION2472" s="54"/>
      <c r="IOO2472" s="63"/>
      <c r="IOP2472" s="60"/>
      <c r="IOQ2472" s="60"/>
      <c r="IOR2472" s="60"/>
      <c r="IOS2472" s="63"/>
      <c r="IOT2472" s="61"/>
      <c r="IOU2472" s="54"/>
      <c r="IOV2472" s="54"/>
      <c r="IOW2472" s="63"/>
      <c r="IOX2472" s="60"/>
      <c r="IOY2472" s="60"/>
      <c r="IOZ2472" s="60"/>
      <c r="IPA2472" s="63"/>
      <c r="IPB2472" s="61"/>
      <c r="IPC2472" s="54"/>
      <c r="IPD2472" s="54"/>
      <c r="IPE2472" s="63"/>
      <c r="IPF2472" s="60"/>
      <c r="IPG2472" s="60"/>
      <c r="IPH2472" s="60"/>
      <c r="IPI2472" s="63"/>
      <c r="IPJ2472" s="61"/>
      <c r="IPK2472" s="54"/>
      <c r="IPL2472" s="54"/>
      <c r="IPM2472" s="63"/>
      <c r="IPN2472" s="60"/>
      <c r="IPO2472" s="60"/>
      <c r="IPP2472" s="60"/>
      <c r="IPQ2472" s="63"/>
      <c r="IPR2472" s="61"/>
      <c r="IPS2472" s="54"/>
      <c r="IPT2472" s="54"/>
      <c r="IPU2472" s="63"/>
      <c r="IPV2472" s="60"/>
      <c r="IPW2472" s="60"/>
      <c r="IPX2472" s="60"/>
      <c r="IPY2472" s="63"/>
      <c r="IPZ2472" s="61"/>
      <c r="IQA2472" s="54"/>
      <c r="IQB2472" s="54"/>
      <c r="IQC2472" s="63"/>
      <c r="IQD2472" s="60"/>
      <c r="IQE2472" s="60"/>
      <c r="IQF2472" s="60"/>
      <c r="IQG2472" s="63"/>
      <c r="IQH2472" s="61"/>
      <c r="IQI2472" s="54"/>
      <c r="IQJ2472" s="54"/>
      <c r="IQK2472" s="63"/>
      <c r="IQL2472" s="60"/>
      <c r="IQM2472" s="60"/>
      <c r="IQN2472" s="60"/>
      <c r="IQO2472" s="63"/>
      <c r="IQP2472" s="61"/>
      <c r="IQQ2472" s="54"/>
      <c r="IQR2472" s="54"/>
      <c r="IQS2472" s="63"/>
      <c r="IQT2472" s="60"/>
      <c r="IQU2472" s="60"/>
      <c r="IQV2472" s="60"/>
      <c r="IQW2472" s="63"/>
      <c r="IQX2472" s="61"/>
      <c r="IQY2472" s="54"/>
      <c r="IQZ2472" s="54"/>
      <c r="IRA2472" s="63"/>
      <c r="IRB2472" s="60"/>
      <c r="IRC2472" s="60"/>
      <c r="IRD2472" s="60"/>
      <c r="IRE2472" s="63"/>
      <c r="IRF2472" s="61"/>
      <c r="IRG2472" s="54"/>
      <c r="IRH2472" s="54"/>
      <c r="IRI2472" s="63"/>
      <c r="IRJ2472" s="60"/>
      <c r="IRK2472" s="60"/>
      <c r="IRL2472" s="60"/>
      <c r="IRM2472" s="63"/>
      <c r="IRN2472" s="61"/>
      <c r="IRO2472" s="54"/>
      <c r="IRP2472" s="54"/>
      <c r="IRQ2472" s="63"/>
      <c r="IRR2472" s="60"/>
      <c r="IRS2472" s="60"/>
      <c r="IRT2472" s="60"/>
      <c r="IRU2472" s="63"/>
      <c r="IRV2472" s="61"/>
      <c r="IRW2472" s="54"/>
      <c r="IRX2472" s="54"/>
      <c r="IRY2472" s="63"/>
      <c r="IRZ2472" s="60"/>
      <c r="ISA2472" s="60"/>
      <c r="ISB2472" s="60"/>
      <c r="ISC2472" s="63"/>
      <c r="ISD2472" s="61"/>
      <c r="ISE2472" s="54"/>
      <c r="ISF2472" s="54"/>
      <c r="ISG2472" s="63"/>
      <c r="ISH2472" s="60"/>
      <c r="ISI2472" s="60"/>
      <c r="ISJ2472" s="60"/>
      <c r="ISK2472" s="63"/>
      <c r="ISL2472" s="61"/>
      <c r="ISM2472" s="54"/>
      <c r="ISN2472" s="54"/>
      <c r="ISO2472" s="63"/>
      <c r="ISP2472" s="60"/>
      <c r="ISQ2472" s="60"/>
      <c r="ISR2472" s="60"/>
      <c r="ISS2472" s="63"/>
      <c r="IST2472" s="61"/>
      <c r="ISU2472" s="54"/>
      <c r="ISV2472" s="54"/>
      <c r="ISW2472" s="63"/>
      <c r="ISX2472" s="60"/>
      <c r="ISY2472" s="60"/>
      <c r="ISZ2472" s="60"/>
      <c r="ITA2472" s="63"/>
      <c r="ITB2472" s="61"/>
      <c r="ITC2472" s="54"/>
      <c r="ITD2472" s="54"/>
      <c r="ITE2472" s="63"/>
      <c r="ITF2472" s="60"/>
      <c r="ITG2472" s="60"/>
      <c r="ITH2472" s="60"/>
      <c r="ITI2472" s="63"/>
      <c r="ITJ2472" s="61"/>
      <c r="ITK2472" s="54"/>
      <c r="ITL2472" s="54"/>
      <c r="ITM2472" s="63"/>
      <c r="ITN2472" s="60"/>
      <c r="ITO2472" s="60"/>
      <c r="ITP2472" s="60"/>
      <c r="ITQ2472" s="63"/>
      <c r="ITR2472" s="61"/>
      <c r="ITS2472" s="54"/>
      <c r="ITT2472" s="54"/>
      <c r="ITU2472" s="63"/>
      <c r="ITV2472" s="60"/>
      <c r="ITW2472" s="60"/>
      <c r="ITX2472" s="60"/>
      <c r="ITY2472" s="63"/>
      <c r="ITZ2472" s="61"/>
      <c r="IUA2472" s="54"/>
      <c r="IUB2472" s="54"/>
      <c r="IUC2472" s="63"/>
      <c r="IUD2472" s="60"/>
      <c r="IUE2472" s="60"/>
      <c r="IUF2472" s="60"/>
      <c r="IUG2472" s="63"/>
      <c r="IUH2472" s="61"/>
      <c r="IUI2472" s="54"/>
      <c r="IUJ2472" s="54"/>
      <c r="IUK2472" s="63"/>
      <c r="IUL2472" s="60"/>
      <c r="IUM2472" s="60"/>
      <c r="IUN2472" s="60"/>
      <c r="IUO2472" s="63"/>
      <c r="IUP2472" s="61"/>
      <c r="IUQ2472" s="54"/>
      <c r="IUR2472" s="54"/>
      <c r="IUS2472" s="63"/>
      <c r="IUT2472" s="60"/>
      <c r="IUU2472" s="60"/>
      <c r="IUV2472" s="60"/>
      <c r="IUW2472" s="63"/>
      <c r="IUX2472" s="61"/>
      <c r="IUY2472" s="54"/>
      <c r="IUZ2472" s="54"/>
      <c r="IVA2472" s="63"/>
      <c r="IVB2472" s="60"/>
      <c r="IVC2472" s="60"/>
      <c r="IVD2472" s="60"/>
      <c r="IVE2472" s="63"/>
      <c r="IVF2472" s="61"/>
      <c r="IVG2472" s="54"/>
      <c r="IVH2472" s="54"/>
      <c r="IVI2472" s="63"/>
      <c r="IVJ2472" s="60"/>
      <c r="IVK2472" s="60"/>
      <c r="IVL2472" s="60"/>
      <c r="IVM2472" s="63"/>
      <c r="IVN2472" s="61"/>
      <c r="IVO2472" s="54"/>
      <c r="IVP2472" s="54"/>
      <c r="IVQ2472" s="63"/>
      <c r="IVR2472" s="60"/>
      <c r="IVS2472" s="60"/>
      <c r="IVT2472" s="60"/>
      <c r="IVU2472" s="63"/>
      <c r="IVV2472" s="61"/>
      <c r="IVW2472" s="54"/>
      <c r="IVX2472" s="54"/>
      <c r="IVY2472" s="63"/>
      <c r="IVZ2472" s="60"/>
      <c r="IWA2472" s="60"/>
      <c r="IWB2472" s="60"/>
      <c r="IWC2472" s="63"/>
      <c r="IWD2472" s="61"/>
      <c r="IWE2472" s="54"/>
      <c r="IWF2472" s="54"/>
      <c r="IWG2472" s="63"/>
      <c r="IWH2472" s="60"/>
      <c r="IWI2472" s="60"/>
      <c r="IWJ2472" s="60"/>
      <c r="IWK2472" s="63"/>
      <c r="IWL2472" s="61"/>
      <c r="IWM2472" s="54"/>
      <c r="IWN2472" s="54"/>
      <c r="IWO2472" s="63"/>
      <c r="IWP2472" s="60"/>
      <c r="IWQ2472" s="60"/>
      <c r="IWR2472" s="60"/>
      <c r="IWS2472" s="63"/>
      <c r="IWT2472" s="61"/>
      <c r="IWU2472" s="54"/>
      <c r="IWV2472" s="54"/>
      <c r="IWW2472" s="63"/>
      <c r="IWX2472" s="60"/>
      <c r="IWY2472" s="60"/>
      <c r="IWZ2472" s="60"/>
      <c r="IXA2472" s="63"/>
      <c r="IXB2472" s="61"/>
      <c r="IXC2472" s="54"/>
      <c r="IXD2472" s="54"/>
      <c r="IXE2472" s="63"/>
      <c r="IXF2472" s="60"/>
      <c r="IXG2472" s="60"/>
      <c r="IXH2472" s="60"/>
      <c r="IXI2472" s="63"/>
      <c r="IXJ2472" s="61"/>
      <c r="IXK2472" s="54"/>
      <c r="IXL2472" s="54"/>
      <c r="IXM2472" s="63"/>
      <c r="IXN2472" s="60"/>
      <c r="IXO2472" s="60"/>
      <c r="IXP2472" s="60"/>
      <c r="IXQ2472" s="63"/>
      <c r="IXR2472" s="61"/>
      <c r="IXS2472" s="54"/>
      <c r="IXT2472" s="54"/>
      <c r="IXU2472" s="63"/>
      <c r="IXV2472" s="60"/>
      <c r="IXW2472" s="60"/>
      <c r="IXX2472" s="60"/>
      <c r="IXY2472" s="63"/>
      <c r="IXZ2472" s="61"/>
      <c r="IYA2472" s="54"/>
      <c r="IYB2472" s="54"/>
      <c r="IYC2472" s="63"/>
      <c r="IYD2472" s="60"/>
      <c r="IYE2472" s="60"/>
      <c r="IYF2472" s="60"/>
      <c r="IYG2472" s="63"/>
      <c r="IYH2472" s="61"/>
      <c r="IYI2472" s="54"/>
      <c r="IYJ2472" s="54"/>
      <c r="IYK2472" s="63"/>
      <c r="IYL2472" s="60"/>
      <c r="IYM2472" s="60"/>
      <c r="IYN2472" s="60"/>
      <c r="IYO2472" s="63"/>
      <c r="IYP2472" s="61"/>
      <c r="IYQ2472" s="54"/>
      <c r="IYR2472" s="54"/>
      <c r="IYS2472" s="63"/>
      <c r="IYT2472" s="60"/>
      <c r="IYU2472" s="60"/>
      <c r="IYV2472" s="60"/>
      <c r="IYW2472" s="63"/>
      <c r="IYX2472" s="61"/>
      <c r="IYY2472" s="54"/>
      <c r="IYZ2472" s="54"/>
      <c r="IZA2472" s="63"/>
      <c r="IZB2472" s="60"/>
      <c r="IZC2472" s="60"/>
      <c r="IZD2472" s="60"/>
      <c r="IZE2472" s="63"/>
      <c r="IZF2472" s="61"/>
      <c r="IZG2472" s="54"/>
      <c r="IZH2472" s="54"/>
      <c r="IZI2472" s="63"/>
      <c r="IZJ2472" s="60"/>
      <c r="IZK2472" s="60"/>
      <c r="IZL2472" s="60"/>
      <c r="IZM2472" s="63"/>
      <c r="IZN2472" s="61"/>
      <c r="IZO2472" s="54"/>
      <c r="IZP2472" s="54"/>
      <c r="IZQ2472" s="63"/>
      <c r="IZR2472" s="60"/>
      <c r="IZS2472" s="60"/>
      <c r="IZT2472" s="60"/>
      <c r="IZU2472" s="63"/>
      <c r="IZV2472" s="61"/>
      <c r="IZW2472" s="54"/>
      <c r="IZX2472" s="54"/>
      <c r="IZY2472" s="63"/>
      <c r="IZZ2472" s="60"/>
      <c r="JAA2472" s="60"/>
      <c r="JAB2472" s="60"/>
      <c r="JAC2472" s="63"/>
      <c r="JAD2472" s="61"/>
      <c r="JAE2472" s="54"/>
      <c r="JAF2472" s="54"/>
      <c r="JAG2472" s="63"/>
      <c r="JAH2472" s="60"/>
      <c r="JAI2472" s="60"/>
      <c r="JAJ2472" s="60"/>
      <c r="JAK2472" s="63"/>
      <c r="JAL2472" s="61"/>
      <c r="JAM2472" s="54"/>
      <c r="JAN2472" s="54"/>
      <c r="JAO2472" s="63"/>
      <c r="JAP2472" s="60"/>
      <c r="JAQ2472" s="60"/>
      <c r="JAR2472" s="60"/>
      <c r="JAS2472" s="63"/>
      <c r="JAT2472" s="61"/>
      <c r="JAU2472" s="54"/>
      <c r="JAV2472" s="54"/>
      <c r="JAW2472" s="63"/>
      <c r="JAX2472" s="60"/>
      <c r="JAY2472" s="60"/>
      <c r="JAZ2472" s="60"/>
      <c r="JBA2472" s="63"/>
      <c r="JBB2472" s="61"/>
      <c r="JBC2472" s="54"/>
      <c r="JBD2472" s="54"/>
      <c r="JBE2472" s="63"/>
      <c r="JBF2472" s="60"/>
      <c r="JBG2472" s="60"/>
      <c r="JBH2472" s="60"/>
      <c r="JBI2472" s="63"/>
      <c r="JBJ2472" s="61"/>
      <c r="JBK2472" s="54"/>
      <c r="JBL2472" s="54"/>
      <c r="JBM2472" s="63"/>
      <c r="JBN2472" s="60"/>
      <c r="JBO2472" s="60"/>
      <c r="JBP2472" s="60"/>
      <c r="JBQ2472" s="63"/>
      <c r="JBR2472" s="61"/>
      <c r="JBS2472" s="54"/>
      <c r="JBT2472" s="54"/>
      <c r="JBU2472" s="63"/>
      <c r="JBV2472" s="60"/>
      <c r="JBW2472" s="60"/>
      <c r="JBX2472" s="60"/>
      <c r="JBY2472" s="63"/>
      <c r="JBZ2472" s="61"/>
      <c r="JCA2472" s="54"/>
      <c r="JCB2472" s="54"/>
      <c r="JCC2472" s="63"/>
      <c r="JCD2472" s="60"/>
      <c r="JCE2472" s="60"/>
      <c r="JCF2472" s="60"/>
      <c r="JCG2472" s="63"/>
      <c r="JCH2472" s="61"/>
      <c r="JCI2472" s="54"/>
      <c r="JCJ2472" s="54"/>
      <c r="JCK2472" s="63"/>
      <c r="JCL2472" s="60"/>
      <c r="JCM2472" s="60"/>
      <c r="JCN2472" s="60"/>
      <c r="JCO2472" s="63"/>
      <c r="JCP2472" s="61"/>
      <c r="JCQ2472" s="54"/>
      <c r="JCR2472" s="54"/>
      <c r="JCS2472" s="63"/>
      <c r="JCT2472" s="60"/>
      <c r="JCU2472" s="60"/>
      <c r="JCV2472" s="60"/>
      <c r="JCW2472" s="63"/>
      <c r="JCX2472" s="61"/>
      <c r="JCY2472" s="54"/>
      <c r="JCZ2472" s="54"/>
      <c r="JDA2472" s="63"/>
      <c r="JDB2472" s="60"/>
      <c r="JDC2472" s="60"/>
      <c r="JDD2472" s="60"/>
      <c r="JDE2472" s="63"/>
      <c r="JDF2472" s="61"/>
      <c r="JDG2472" s="54"/>
      <c r="JDH2472" s="54"/>
      <c r="JDI2472" s="63"/>
      <c r="JDJ2472" s="60"/>
      <c r="JDK2472" s="60"/>
      <c r="JDL2472" s="60"/>
      <c r="JDM2472" s="63"/>
      <c r="JDN2472" s="61"/>
      <c r="JDO2472" s="54"/>
      <c r="JDP2472" s="54"/>
      <c r="JDQ2472" s="63"/>
      <c r="JDR2472" s="60"/>
      <c r="JDS2472" s="60"/>
      <c r="JDT2472" s="60"/>
      <c r="JDU2472" s="63"/>
      <c r="JDV2472" s="61"/>
      <c r="JDW2472" s="54"/>
      <c r="JDX2472" s="54"/>
      <c r="JDY2472" s="63"/>
      <c r="JDZ2472" s="60"/>
      <c r="JEA2472" s="60"/>
      <c r="JEB2472" s="60"/>
      <c r="JEC2472" s="63"/>
      <c r="JED2472" s="61"/>
      <c r="JEE2472" s="54"/>
      <c r="JEF2472" s="54"/>
      <c r="JEG2472" s="63"/>
      <c r="JEH2472" s="60"/>
      <c r="JEI2472" s="60"/>
      <c r="JEJ2472" s="60"/>
      <c r="JEK2472" s="63"/>
      <c r="JEL2472" s="61"/>
      <c r="JEM2472" s="54"/>
      <c r="JEN2472" s="54"/>
      <c r="JEO2472" s="63"/>
      <c r="JEP2472" s="60"/>
      <c r="JEQ2472" s="60"/>
      <c r="JER2472" s="60"/>
      <c r="JES2472" s="63"/>
      <c r="JET2472" s="61"/>
      <c r="JEU2472" s="54"/>
      <c r="JEV2472" s="54"/>
      <c r="JEW2472" s="63"/>
      <c r="JEX2472" s="60"/>
      <c r="JEY2472" s="60"/>
      <c r="JEZ2472" s="60"/>
      <c r="JFA2472" s="63"/>
      <c r="JFB2472" s="61"/>
      <c r="JFC2472" s="54"/>
      <c r="JFD2472" s="54"/>
      <c r="JFE2472" s="63"/>
      <c r="JFF2472" s="60"/>
      <c r="JFG2472" s="60"/>
      <c r="JFH2472" s="60"/>
      <c r="JFI2472" s="63"/>
      <c r="JFJ2472" s="61"/>
      <c r="JFK2472" s="54"/>
      <c r="JFL2472" s="54"/>
      <c r="JFM2472" s="63"/>
      <c r="JFN2472" s="60"/>
      <c r="JFO2472" s="60"/>
      <c r="JFP2472" s="60"/>
      <c r="JFQ2472" s="63"/>
      <c r="JFR2472" s="61"/>
      <c r="JFS2472" s="54"/>
      <c r="JFT2472" s="54"/>
      <c r="JFU2472" s="63"/>
      <c r="JFV2472" s="60"/>
      <c r="JFW2472" s="60"/>
      <c r="JFX2472" s="60"/>
      <c r="JFY2472" s="63"/>
      <c r="JFZ2472" s="61"/>
      <c r="JGA2472" s="54"/>
      <c r="JGB2472" s="54"/>
      <c r="JGC2472" s="63"/>
      <c r="JGD2472" s="60"/>
      <c r="JGE2472" s="60"/>
      <c r="JGF2472" s="60"/>
      <c r="JGG2472" s="63"/>
      <c r="JGH2472" s="61"/>
      <c r="JGI2472" s="54"/>
      <c r="JGJ2472" s="54"/>
      <c r="JGK2472" s="63"/>
      <c r="JGL2472" s="60"/>
      <c r="JGM2472" s="60"/>
      <c r="JGN2472" s="60"/>
      <c r="JGO2472" s="63"/>
      <c r="JGP2472" s="61"/>
      <c r="JGQ2472" s="54"/>
      <c r="JGR2472" s="54"/>
      <c r="JGS2472" s="63"/>
      <c r="JGT2472" s="60"/>
      <c r="JGU2472" s="60"/>
      <c r="JGV2472" s="60"/>
      <c r="JGW2472" s="63"/>
      <c r="JGX2472" s="61"/>
      <c r="JGY2472" s="54"/>
      <c r="JGZ2472" s="54"/>
      <c r="JHA2472" s="63"/>
      <c r="JHB2472" s="60"/>
      <c r="JHC2472" s="60"/>
      <c r="JHD2472" s="60"/>
      <c r="JHE2472" s="63"/>
      <c r="JHF2472" s="61"/>
      <c r="JHG2472" s="54"/>
      <c r="JHH2472" s="54"/>
      <c r="JHI2472" s="63"/>
      <c r="JHJ2472" s="60"/>
      <c r="JHK2472" s="60"/>
      <c r="JHL2472" s="60"/>
      <c r="JHM2472" s="63"/>
      <c r="JHN2472" s="61"/>
      <c r="JHO2472" s="54"/>
      <c r="JHP2472" s="54"/>
      <c r="JHQ2472" s="63"/>
      <c r="JHR2472" s="60"/>
      <c r="JHS2472" s="60"/>
      <c r="JHT2472" s="60"/>
      <c r="JHU2472" s="63"/>
      <c r="JHV2472" s="61"/>
      <c r="JHW2472" s="54"/>
      <c r="JHX2472" s="54"/>
      <c r="JHY2472" s="63"/>
      <c r="JHZ2472" s="60"/>
      <c r="JIA2472" s="60"/>
      <c r="JIB2472" s="60"/>
      <c r="JIC2472" s="63"/>
      <c r="JID2472" s="61"/>
      <c r="JIE2472" s="54"/>
      <c r="JIF2472" s="54"/>
      <c r="JIG2472" s="63"/>
      <c r="JIH2472" s="60"/>
      <c r="JII2472" s="60"/>
      <c r="JIJ2472" s="60"/>
      <c r="JIK2472" s="63"/>
      <c r="JIL2472" s="61"/>
      <c r="JIM2472" s="54"/>
      <c r="JIN2472" s="54"/>
      <c r="JIO2472" s="63"/>
      <c r="JIP2472" s="60"/>
      <c r="JIQ2472" s="60"/>
      <c r="JIR2472" s="60"/>
      <c r="JIS2472" s="63"/>
      <c r="JIT2472" s="61"/>
      <c r="JIU2472" s="54"/>
      <c r="JIV2472" s="54"/>
      <c r="JIW2472" s="63"/>
      <c r="JIX2472" s="60"/>
      <c r="JIY2472" s="60"/>
      <c r="JIZ2472" s="60"/>
      <c r="JJA2472" s="63"/>
      <c r="JJB2472" s="61"/>
      <c r="JJC2472" s="54"/>
      <c r="JJD2472" s="54"/>
      <c r="JJE2472" s="63"/>
      <c r="JJF2472" s="60"/>
      <c r="JJG2472" s="60"/>
      <c r="JJH2472" s="60"/>
      <c r="JJI2472" s="63"/>
      <c r="JJJ2472" s="61"/>
      <c r="JJK2472" s="54"/>
      <c r="JJL2472" s="54"/>
      <c r="JJM2472" s="63"/>
      <c r="JJN2472" s="60"/>
      <c r="JJO2472" s="60"/>
      <c r="JJP2472" s="60"/>
      <c r="JJQ2472" s="63"/>
      <c r="JJR2472" s="61"/>
      <c r="JJS2472" s="54"/>
      <c r="JJT2472" s="54"/>
      <c r="JJU2472" s="63"/>
      <c r="JJV2472" s="60"/>
      <c r="JJW2472" s="60"/>
      <c r="JJX2472" s="60"/>
      <c r="JJY2472" s="63"/>
      <c r="JJZ2472" s="61"/>
      <c r="JKA2472" s="54"/>
      <c r="JKB2472" s="54"/>
      <c r="JKC2472" s="63"/>
      <c r="JKD2472" s="60"/>
      <c r="JKE2472" s="60"/>
      <c r="JKF2472" s="60"/>
      <c r="JKG2472" s="63"/>
      <c r="JKH2472" s="61"/>
      <c r="JKI2472" s="54"/>
      <c r="JKJ2472" s="54"/>
      <c r="JKK2472" s="63"/>
      <c r="JKL2472" s="60"/>
      <c r="JKM2472" s="60"/>
      <c r="JKN2472" s="60"/>
      <c r="JKO2472" s="63"/>
      <c r="JKP2472" s="61"/>
      <c r="JKQ2472" s="54"/>
      <c r="JKR2472" s="54"/>
      <c r="JKS2472" s="63"/>
      <c r="JKT2472" s="60"/>
      <c r="JKU2472" s="60"/>
      <c r="JKV2472" s="60"/>
      <c r="JKW2472" s="63"/>
      <c r="JKX2472" s="61"/>
      <c r="JKY2472" s="54"/>
      <c r="JKZ2472" s="54"/>
      <c r="JLA2472" s="63"/>
      <c r="JLB2472" s="60"/>
      <c r="JLC2472" s="60"/>
      <c r="JLD2472" s="60"/>
      <c r="JLE2472" s="63"/>
      <c r="JLF2472" s="61"/>
      <c r="JLG2472" s="54"/>
      <c r="JLH2472" s="54"/>
      <c r="JLI2472" s="63"/>
      <c r="JLJ2472" s="60"/>
      <c r="JLK2472" s="60"/>
      <c r="JLL2472" s="60"/>
      <c r="JLM2472" s="63"/>
      <c r="JLN2472" s="61"/>
      <c r="JLO2472" s="54"/>
      <c r="JLP2472" s="54"/>
      <c r="JLQ2472" s="63"/>
      <c r="JLR2472" s="60"/>
      <c r="JLS2472" s="60"/>
      <c r="JLT2472" s="60"/>
      <c r="JLU2472" s="63"/>
      <c r="JLV2472" s="61"/>
      <c r="JLW2472" s="54"/>
      <c r="JLX2472" s="54"/>
      <c r="JLY2472" s="63"/>
      <c r="JLZ2472" s="60"/>
      <c r="JMA2472" s="60"/>
      <c r="JMB2472" s="60"/>
      <c r="JMC2472" s="63"/>
      <c r="JMD2472" s="61"/>
      <c r="JME2472" s="54"/>
      <c r="JMF2472" s="54"/>
      <c r="JMG2472" s="63"/>
      <c r="JMH2472" s="60"/>
      <c r="JMI2472" s="60"/>
      <c r="JMJ2472" s="60"/>
      <c r="JMK2472" s="63"/>
      <c r="JML2472" s="61"/>
      <c r="JMM2472" s="54"/>
      <c r="JMN2472" s="54"/>
      <c r="JMO2472" s="63"/>
      <c r="JMP2472" s="60"/>
      <c r="JMQ2472" s="60"/>
      <c r="JMR2472" s="60"/>
      <c r="JMS2472" s="63"/>
      <c r="JMT2472" s="61"/>
      <c r="JMU2472" s="54"/>
      <c r="JMV2472" s="54"/>
      <c r="JMW2472" s="63"/>
      <c r="JMX2472" s="60"/>
      <c r="JMY2472" s="60"/>
      <c r="JMZ2472" s="60"/>
      <c r="JNA2472" s="63"/>
      <c r="JNB2472" s="61"/>
      <c r="JNC2472" s="54"/>
      <c r="JND2472" s="54"/>
      <c r="JNE2472" s="63"/>
      <c r="JNF2472" s="60"/>
      <c r="JNG2472" s="60"/>
      <c r="JNH2472" s="60"/>
      <c r="JNI2472" s="63"/>
      <c r="JNJ2472" s="61"/>
      <c r="JNK2472" s="54"/>
      <c r="JNL2472" s="54"/>
      <c r="JNM2472" s="63"/>
      <c r="JNN2472" s="60"/>
      <c r="JNO2472" s="60"/>
      <c r="JNP2472" s="60"/>
      <c r="JNQ2472" s="63"/>
      <c r="JNR2472" s="61"/>
      <c r="JNS2472" s="54"/>
      <c r="JNT2472" s="54"/>
      <c r="JNU2472" s="63"/>
      <c r="JNV2472" s="60"/>
      <c r="JNW2472" s="60"/>
      <c r="JNX2472" s="60"/>
      <c r="JNY2472" s="63"/>
      <c r="JNZ2472" s="61"/>
      <c r="JOA2472" s="54"/>
      <c r="JOB2472" s="54"/>
      <c r="JOC2472" s="63"/>
      <c r="JOD2472" s="60"/>
      <c r="JOE2472" s="60"/>
      <c r="JOF2472" s="60"/>
      <c r="JOG2472" s="63"/>
      <c r="JOH2472" s="61"/>
      <c r="JOI2472" s="54"/>
      <c r="JOJ2472" s="54"/>
      <c r="JOK2472" s="63"/>
      <c r="JOL2472" s="60"/>
      <c r="JOM2472" s="60"/>
      <c r="JON2472" s="60"/>
      <c r="JOO2472" s="63"/>
      <c r="JOP2472" s="61"/>
      <c r="JOQ2472" s="54"/>
      <c r="JOR2472" s="54"/>
      <c r="JOS2472" s="63"/>
      <c r="JOT2472" s="60"/>
      <c r="JOU2472" s="60"/>
      <c r="JOV2472" s="60"/>
      <c r="JOW2472" s="63"/>
      <c r="JOX2472" s="61"/>
      <c r="JOY2472" s="54"/>
      <c r="JOZ2472" s="54"/>
      <c r="JPA2472" s="63"/>
      <c r="JPB2472" s="60"/>
      <c r="JPC2472" s="60"/>
      <c r="JPD2472" s="60"/>
      <c r="JPE2472" s="63"/>
      <c r="JPF2472" s="61"/>
      <c r="JPG2472" s="54"/>
      <c r="JPH2472" s="54"/>
      <c r="JPI2472" s="63"/>
      <c r="JPJ2472" s="60"/>
      <c r="JPK2472" s="60"/>
      <c r="JPL2472" s="60"/>
      <c r="JPM2472" s="63"/>
      <c r="JPN2472" s="61"/>
      <c r="JPO2472" s="54"/>
      <c r="JPP2472" s="54"/>
      <c r="JPQ2472" s="63"/>
      <c r="JPR2472" s="60"/>
      <c r="JPS2472" s="60"/>
      <c r="JPT2472" s="60"/>
      <c r="JPU2472" s="63"/>
      <c r="JPV2472" s="61"/>
      <c r="JPW2472" s="54"/>
      <c r="JPX2472" s="54"/>
      <c r="JPY2472" s="63"/>
      <c r="JPZ2472" s="60"/>
      <c r="JQA2472" s="60"/>
      <c r="JQB2472" s="60"/>
      <c r="JQC2472" s="63"/>
      <c r="JQD2472" s="61"/>
      <c r="JQE2472" s="54"/>
      <c r="JQF2472" s="54"/>
      <c r="JQG2472" s="63"/>
      <c r="JQH2472" s="60"/>
      <c r="JQI2472" s="60"/>
      <c r="JQJ2472" s="60"/>
      <c r="JQK2472" s="63"/>
      <c r="JQL2472" s="61"/>
      <c r="JQM2472" s="54"/>
      <c r="JQN2472" s="54"/>
      <c r="JQO2472" s="63"/>
      <c r="JQP2472" s="60"/>
      <c r="JQQ2472" s="60"/>
      <c r="JQR2472" s="60"/>
      <c r="JQS2472" s="63"/>
      <c r="JQT2472" s="61"/>
      <c r="JQU2472" s="54"/>
      <c r="JQV2472" s="54"/>
      <c r="JQW2472" s="63"/>
      <c r="JQX2472" s="60"/>
      <c r="JQY2472" s="60"/>
      <c r="JQZ2472" s="60"/>
      <c r="JRA2472" s="63"/>
      <c r="JRB2472" s="61"/>
      <c r="JRC2472" s="54"/>
      <c r="JRD2472" s="54"/>
      <c r="JRE2472" s="63"/>
      <c r="JRF2472" s="60"/>
      <c r="JRG2472" s="60"/>
      <c r="JRH2472" s="60"/>
      <c r="JRI2472" s="63"/>
      <c r="JRJ2472" s="61"/>
      <c r="JRK2472" s="54"/>
      <c r="JRL2472" s="54"/>
      <c r="JRM2472" s="63"/>
      <c r="JRN2472" s="60"/>
      <c r="JRO2472" s="60"/>
      <c r="JRP2472" s="60"/>
      <c r="JRQ2472" s="63"/>
      <c r="JRR2472" s="61"/>
      <c r="JRS2472" s="54"/>
      <c r="JRT2472" s="54"/>
      <c r="JRU2472" s="63"/>
      <c r="JRV2472" s="60"/>
      <c r="JRW2472" s="60"/>
      <c r="JRX2472" s="60"/>
      <c r="JRY2472" s="63"/>
      <c r="JRZ2472" s="61"/>
      <c r="JSA2472" s="54"/>
      <c r="JSB2472" s="54"/>
      <c r="JSC2472" s="63"/>
      <c r="JSD2472" s="60"/>
      <c r="JSE2472" s="60"/>
      <c r="JSF2472" s="60"/>
      <c r="JSG2472" s="63"/>
      <c r="JSH2472" s="61"/>
      <c r="JSI2472" s="54"/>
      <c r="JSJ2472" s="54"/>
      <c r="JSK2472" s="63"/>
      <c r="JSL2472" s="60"/>
      <c r="JSM2472" s="60"/>
      <c r="JSN2472" s="60"/>
      <c r="JSO2472" s="63"/>
      <c r="JSP2472" s="61"/>
      <c r="JSQ2472" s="54"/>
      <c r="JSR2472" s="54"/>
      <c r="JSS2472" s="63"/>
      <c r="JST2472" s="60"/>
      <c r="JSU2472" s="60"/>
      <c r="JSV2472" s="60"/>
      <c r="JSW2472" s="63"/>
      <c r="JSX2472" s="61"/>
      <c r="JSY2472" s="54"/>
      <c r="JSZ2472" s="54"/>
      <c r="JTA2472" s="63"/>
      <c r="JTB2472" s="60"/>
      <c r="JTC2472" s="60"/>
      <c r="JTD2472" s="60"/>
      <c r="JTE2472" s="63"/>
      <c r="JTF2472" s="61"/>
      <c r="JTG2472" s="54"/>
      <c r="JTH2472" s="54"/>
      <c r="JTI2472" s="63"/>
      <c r="JTJ2472" s="60"/>
      <c r="JTK2472" s="60"/>
      <c r="JTL2472" s="60"/>
      <c r="JTM2472" s="63"/>
      <c r="JTN2472" s="61"/>
      <c r="JTO2472" s="54"/>
      <c r="JTP2472" s="54"/>
      <c r="JTQ2472" s="63"/>
      <c r="JTR2472" s="60"/>
      <c r="JTS2472" s="60"/>
      <c r="JTT2472" s="60"/>
      <c r="JTU2472" s="63"/>
      <c r="JTV2472" s="61"/>
      <c r="JTW2472" s="54"/>
      <c r="JTX2472" s="54"/>
      <c r="JTY2472" s="63"/>
      <c r="JTZ2472" s="60"/>
      <c r="JUA2472" s="60"/>
      <c r="JUB2472" s="60"/>
      <c r="JUC2472" s="63"/>
      <c r="JUD2472" s="61"/>
      <c r="JUE2472" s="54"/>
      <c r="JUF2472" s="54"/>
      <c r="JUG2472" s="63"/>
      <c r="JUH2472" s="60"/>
      <c r="JUI2472" s="60"/>
      <c r="JUJ2472" s="60"/>
      <c r="JUK2472" s="63"/>
      <c r="JUL2472" s="61"/>
      <c r="JUM2472" s="54"/>
      <c r="JUN2472" s="54"/>
      <c r="JUO2472" s="63"/>
      <c r="JUP2472" s="60"/>
      <c r="JUQ2472" s="60"/>
      <c r="JUR2472" s="60"/>
      <c r="JUS2472" s="63"/>
      <c r="JUT2472" s="61"/>
      <c r="JUU2472" s="54"/>
      <c r="JUV2472" s="54"/>
      <c r="JUW2472" s="63"/>
      <c r="JUX2472" s="60"/>
      <c r="JUY2472" s="60"/>
      <c r="JUZ2472" s="60"/>
      <c r="JVA2472" s="63"/>
      <c r="JVB2472" s="61"/>
      <c r="JVC2472" s="54"/>
      <c r="JVD2472" s="54"/>
      <c r="JVE2472" s="63"/>
      <c r="JVF2472" s="60"/>
      <c r="JVG2472" s="60"/>
      <c r="JVH2472" s="60"/>
      <c r="JVI2472" s="63"/>
      <c r="JVJ2472" s="61"/>
      <c r="JVK2472" s="54"/>
      <c r="JVL2472" s="54"/>
      <c r="JVM2472" s="63"/>
      <c r="JVN2472" s="60"/>
      <c r="JVO2472" s="60"/>
      <c r="JVP2472" s="60"/>
      <c r="JVQ2472" s="63"/>
      <c r="JVR2472" s="61"/>
      <c r="JVS2472" s="54"/>
      <c r="JVT2472" s="54"/>
      <c r="JVU2472" s="63"/>
      <c r="JVV2472" s="60"/>
      <c r="JVW2472" s="60"/>
      <c r="JVX2472" s="60"/>
      <c r="JVY2472" s="63"/>
      <c r="JVZ2472" s="61"/>
      <c r="JWA2472" s="54"/>
      <c r="JWB2472" s="54"/>
      <c r="JWC2472" s="63"/>
      <c r="JWD2472" s="60"/>
      <c r="JWE2472" s="60"/>
      <c r="JWF2472" s="60"/>
      <c r="JWG2472" s="63"/>
      <c r="JWH2472" s="61"/>
      <c r="JWI2472" s="54"/>
      <c r="JWJ2472" s="54"/>
      <c r="JWK2472" s="63"/>
      <c r="JWL2472" s="60"/>
      <c r="JWM2472" s="60"/>
      <c r="JWN2472" s="60"/>
      <c r="JWO2472" s="63"/>
      <c r="JWP2472" s="61"/>
      <c r="JWQ2472" s="54"/>
      <c r="JWR2472" s="54"/>
      <c r="JWS2472" s="63"/>
      <c r="JWT2472" s="60"/>
      <c r="JWU2472" s="60"/>
      <c r="JWV2472" s="60"/>
      <c r="JWW2472" s="63"/>
      <c r="JWX2472" s="61"/>
      <c r="JWY2472" s="54"/>
      <c r="JWZ2472" s="54"/>
      <c r="JXA2472" s="63"/>
      <c r="JXB2472" s="60"/>
      <c r="JXC2472" s="60"/>
      <c r="JXD2472" s="60"/>
      <c r="JXE2472" s="63"/>
      <c r="JXF2472" s="61"/>
      <c r="JXG2472" s="54"/>
      <c r="JXH2472" s="54"/>
      <c r="JXI2472" s="63"/>
      <c r="JXJ2472" s="60"/>
      <c r="JXK2472" s="60"/>
      <c r="JXL2472" s="60"/>
      <c r="JXM2472" s="63"/>
      <c r="JXN2472" s="61"/>
      <c r="JXO2472" s="54"/>
      <c r="JXP2472" s="54"/>
      <c r="JXQ2472" s="63"/>
      <c r="JXR2472" s="60"/>
      <c r="JXS2472" s="60"/>
      <c r="JXT2472" s="60"/>
      <c r="JXU2472" s="63"/>
      <c r="JXV2472" s="61"/>
      <c r="JXW2472" s="54"/>
      <c r="JXX2472" s="54"/>
      <c r="JXY2472" s="63"/>
      <c r="JXZ2472" s="60"/>
      <c r="JYA2472" s="60"/>
      <c r="JYB2472" s="60"/>
      <c r="JYC2472" s="63"/>
      <c r="JYD2472" s="61"/>
      <c r="JYE2472" s="54"/>
      <c r="JYF2472" s="54"/>
      <c r="JYG2472" s="63"/>
      <c r="JYH2472" s="60"/>
      <c r="JYI2472" s="60"/>
      <c r="JYJ2472" s="60"/>
      <c r="JYK2472" s="63"/>
      <c r="JYL2472" s="61"/>
      <c r="JYM2472" s="54"/>
      <c r="JYN2472" s="54"/>
      <c r="JYO2472" s="63"/>
      <c r="JYP2472" s="60"/>
      <c r="JYQ2472" s="60"/>
      <c r="JYR2472" s="60"/>
      <c r="JYS2472" s="63"/>
      <c r="JYT2472" s="61"/>
      <c r="JYU2472" s="54"/>
      <c r="JYV2472" s="54"/>
      <c r="JYW2472" s="63"/>
      <c r="JYX2472" s="60"/>
      <c r="JYY2472" s="60"/>
      <c r="JYZ2472" s="60"/>
      <c r="JZA2472" s="63"/>
      <c r="JZB2472" s="61"/>
      <c r="JZC2472" s="54"/>
      <c r="JZD2472" s="54"/>
      <c r="JZE2472" s="63"/>
      <c r="JZF2472" s="60"/>
      <c r="JZG2472" s="60"/>
      <c r="JZH2472" s="60"/>
      <c r="JZI2472" s="63"/>
      <c r="JZJ2472" s="61"/>
      <c r="JZK2472" s="54"/>
      <c r="JZL2472" s="54"/>
      <c r="JZM2472" s="63"/>
      <c r="JZN2472" s="60"/>
      <c r="JZO2472" s="60"/>
      <c r="JZP2472" s="60"/>
      <c r="JZQ2472" s="63"/>
      <c r="JZR2472" s="61"/>
      <c r="JZS2472" s="54"/>
      <c r="JZT2472" s="54"/>
      <c r="JZU2472" s="63"/>
      <c r="JZV2472" s="60"/>
      <c r="JZW2472" s="60"/>
      <c r="JZX2472" s="60"/>
      <c r="JZY2472" s="63"/>
      <c r="JZZ2472" s="61"/>
      <c r="KAA2472" s="54"/>
      <c r="KAB2472" s="54"/>
      <c r="KAC2472" s="63"/>
      <c r="KAD2472" s="60"/>
      <c r="KAE2472" s="60"/>
      <c r="KAF2472" s="60"/>
      <c r="KAG2472" s="63"/>
      <c r="KAH2472" s="61"/>
      <c r="KAI2472" s="54"/>
      <c r="KAJ2472" s="54"/>
      <c r="KAK2472" s="63"/>
      <c r="KAL2472" s="60"/>
      <c r="KAM2472" s="60"/>
      <c r="KAN2472" s="60"/>
      <c r="KAO2472" s="63"/>
      <c r="KAP2472" s="61"/>
      <c r="KAQ2472" s="54"/>
      <c r="KAR2472" s="54"/>
      <c r="KAS2472" s="63"/>
      <c r="KAT2472" s="60"/>
      <c r="KAU2472" s="60"/>
      <c r="KAV2472" s="60"/>
      <c r="KAW2472" s="63"/>
      <c r="KAX2472" s="61"/>
      <c r="KAY2472" s="54"/>
      <c r="KAZ2472" s="54"/>
      <c r="KBA2472" s="63"/>
      <c r="KBB2472" s="60"/>
      <c r="KBC2472" s="60"/>
      <c r="KBD2472" s="60"/>
      <c r="KBE2472" s="63"/>
      <c r="KBF2472" s="61"/>
      <c r="KBG2472" s="54"/>
      <c r="KBH2472" s="54"/>
      <c r="KBI2472" s="63"/>
      <c r="KBJ2472" s="60"/>
      <c r="KBK2472" s="60"/>
      <c r="KBL2472" s="60"/>
      <c r="KBM2472" s="63"/>
      <c r="KBN2472" s="61"/>
      <c r="KBO2472" s="54"/>
      <c r="KBP2472" s="54"/>
      <c r="KBQ2472" s="63"/>
      <c r="KBR2472" s="60"/>
      <c r="KBS2472" s="60"/>
      <c r="KBT2472" s="60"/>
      <c r="KBU2472" s="63"/>
      <c r="KBV2472" s="61"/>
      <c r="KBW2472" s="54"/>
      <c r="KBX2472" s="54"/>
      <c r="KBY2472" s="63"/>
      <c r="KBZ2472" s="60"/>
      <c r="KCA2472" s="60"/>
      <c r="KCB2472" s="60"/>
      <c r="KCC2472" s="63"/>
      <c r="KCD2472" s="61"/>
      <c r="KCE2472" s="54"/>
      <c r="KCF2472" s="54"/>
      <c r="KCG2472" s="63"/>
      <c r="KCH2472" s="60"/>
      <c r="KCI2472" s="60"/>
      <c r="KCJ2472" s="60"/>
      <c r="KCK2472" s="63"/>
      <c r="KCL2472" s="61"/>
      <c r="KCM2472" s="54"/>
      <c r="KCN2472" s="54"/>
      <c r="KCO2472" s="63"/>
      <c r="KCP2472" s="60"/>
      <c r="KCQ2472" s="60"/>
      <c r="KCR2472" s="60"/>
      <c r="KCS2472" s="63"/>
      <c r="KCT2472" s="61"/>
      <c r="KCU2472" s="54"/>
      <c r="KCV2472" s="54"/>
      <c r="KCW2472" s="63"/>
      <c r="KCX2472" s="60"/>
      <c r="KCY2472" s="60"/>
      <c r="KCZ2472" s="60"/>
      <c r="KDA2472" s="63"/>
      <c r="KDB2472" s="61"/>
      <c r="KDC2472" s="54"/>
      <c r="KDD2472" s="54"/>
      <c r="KDE2472" s="63"/>
      <c r="KDF2472" s="60"/>
      <c r="KDG2472" s="60"/>
      <c r="KDH2472" s="60"/>
      <c r="KDI2472" s="63"/>
      <c r="KDJ2472" s="61"/>
      <c r="KDK2472" s="54"/>
      <c r="KDL2472" s="54"/>
      <c r="KDM2472" s="63"/>
      <c r="KDN2472" s="60"/>
      <c r="KDO2472" s="60"/>
      <c r="KDP2472" s="60"/>
      <c r="KDQ2472" s="63"/>
      <c r="KDR2472" s="61"/>
      <c r="KDS2472" s="54"/>
      <c r="KDT2472" s="54"/>
      <c r="KDU2472" s="63"/>
      <c r="KDV2472" s="60"/>
      <c r="KDW2472" s="60"/>
      <c r="KDX2472" s="60"/>
      <c r="KDY2472" s="63"/>
      <c r="KDZ2472" s="61"/>
      <c r="KEA2472" s="54"/>
      <c r="KEB2472" s="54"/>
      <c r="KEC2472" s="63"/>
      <c r="KED2472" s="60"/>
      <c r="KEE2472" s="60"/>
      <c r="KEF2472" s="60"/>
      <c r="KEG2472" s="63"/>
      <c r="KEH2472" s="61"/>
      <c r="KEI2472" s="54"/>
      <c r="KEJ2472" s="54"/>
      <c r="KEK2472" s="63"/>
      <c r="KEL2472" s="60"/>
      <c r="KEM2472" s="60"/>
      <c r="KEN2472" s="60"/>
      <c r="KEO2472" s="63"/>
      <c r="KEP2472" s="61"/>
      <c r="KEQ2472" s="54"/>
      <c r="KER2472" s="54"/>
      <c r="KES2472" s="63"/>
      <c r="KET2472" s="60"/>
      <c r="KEU2472" s="60"/>
      <c r="KEV2472" s="60"/>
      <c r="KEW2472" s="63"/>
      <c r="KEX2472" s="61"/>
      <c r="KEY2472" s="54"/>
      <c r="KEZ2472" s="54"/>
      <c r="KFA2472" s="63"/>
      <c r="KFB2472" s="60"/>
      <c r="KFC2472" s="60"/>
      <c r="KFD2472" s="60"/>
      <c r="KFE2472" s="63"/>
      <c r="KFF2472" s="61"/>
      <c r="KFG2472" s="54"/>
      <c r="KFH2472" s="54"/>
      <c r="KFI2472" s="63"/>
      <c r="KFJ2472" s="60"/>
      <c r="KFK2472" s="60"/>
      <c r="KFL2472" s="60"/>
      <c r="KFM2472" s="63"/>
      <c r="KFN2472" s="61"/>
      <c r="KFO2472" s="54"/>
      <c r="KFP2472" s="54"/>
      <c r="KFQ2472" s="63"/>
      <c r="KFR2472" s="60"/>
      <c r="KFS2472" s="60"/>
      <c r="KFT2472" s="60"/>
      <c r="KFU2472" s="63"/>
      <c r="KFV2472" s="61"/>
      <c r="KFW2472" s="54"/>
      <c r="KFX2472" s="54"/>
      <c r="KFY2472" s="63"/>
      <c r="KFZ2472" s="60"/>
      <c r="KGA2472" s="60"/>
      <c r="KGB2472" s="60"/>
      <c r="KGC2472" s="63"/>
      <c r="KGD2472" s="61"/>
      <c r="KGE2472" s="54"/>
      <c r="KGF2472" s="54"/>
      <c r="KGG2472" s="63"/>
      <c r="KGH2472" s="60"/>
      <c r="KGI2472" s="60"/>
      <c r="KGJ2472" s="60"/>
      <c r="KGK2472" s="63"/>
      <c r="KGL2472" s="61"/>
      <c r="KGM2472" s="54"/>
      <c r="KGN2472" s="54"/>
      <c r="KGO2472" s="63"/>
      <c r="KGP2472" s="60"/>
      <c r="KGQ2472" s="60"/>
      <c r="KGR2472" s="60"/>
      <c r="KGS2472" s="63"/>
      <c r="KGT2472" s="61"/>
      <c r="KGU2472" s="54"/>
      <c r="KGV2472" s="54"/>
      <c r="KGW2472" s="63"/>
      <c r="KGX2472" s="60"/>
      <c r="KGY2472" s="60"/>
      <c r="KGZ2472" s="60"/>
      <c r="KHA2472" s="63"/>
      <c r="KHB2472" s="61"/>
      <c r="KHC2472" s="54"/>
      <c r="KHD2472" s="54"/>
      <c r="KHE2472" s="63"/>
      <c r="KHF2472" s="60"/>
      <c r="KHG2472" s="60"/>
      <c r="KHH2472" s="60"/>
      <c r="KHI2472" s="63"/>
      <c r="KHJ2472" s="61"/>
      <c r="KHK2472" s="54"/>
      <c r="KHL2472" s="54"/>
      <c r="KHM2472" s="63"/>
      <c r="KHN2472" s="60"/>
      <c r="KHO2472" s="60"/>
      <c r="KHP2472" s="60"/>
      <c r="KHQ2472" s="63"/>
      <c r="KHR2472" s="61"/>
      <c r="KHS2472" s="54"/>
      <c r="KHT2472" s="54"/>
      <c r="KHU2472" s="63"/>
      <c r="KHV2472" s="60"/>
      <c r="KHW2472" s="60"/>
      <c r="KHX2472" s="60"/>
      <c r="KHY2472" s="63"/>
      <c r="KHZ2472" s="61"/>
      <c r="KIA2472" s="54"/>
      <c r="KIB2472" s="54"/>
      <c r="KIC2472" s="63"/>
      <c r="KID2472" s="60"/>
      <c r="KIE2472" s="60"/>
      <c r="KIF2472" s="60"/>
      <c r="KIG2472" s="63"/>
      <c r="KIH2472" s="61"/>
      <c r="KII2472" s="54"/>
      <c r="KIJ2472" s="54"/>
      <c r="KIK2472" s="63"/>
      <c r="KIL2472" s="60"/>
      <c r="KIM2472" s="60"/>
      <c r="KIN2472" s="60"/>
      <c r="KIO2472" s="63"/>
      <c r="KIP2472" s="61"/>
      <c r="KIQ2472" s="54"/>
      <c r="KIR2472" s="54"/>
      <c r="KIS2472" s="63"/>
      <c r="KIT2472" s="60"/>
      <c r="KIU2472" s="60"/>
      <c r="KIV2472" s="60"/>
      <c r="KIW2472" s="63"/>
      <c r="KIX2472" s="61"/>
      <c r="KIY2472" s="54"/>
      <c r="KIZ2472" s="54"/>
      <c r="KJA2472" s="63"/>
      <c r="KJB2472" s="60"/>
      <c r="KJC2472" s="60"/>
      <c r="KJD2472" s="60"/>
      <c r="KJE2472" s="63"/>
      <c r="KJF2472" s="61"/>
      <c r="KJG2472" s="54"/>
      <c r="KJH2472" s="54"/>
      <c r="KJI2472" s="63"/>
      <c r="KJJ2472" s="60"/>
      <c r="KJK2472" s="60"/>
      <c r="KJL2472" s="60"/>
      <c r="KJM2472" s="63"/>
      <c r="KJN2472" s="61"/>
      <c r="KJO2472" s="54"/>
      <c r="KJP2472" s="54"/>
      <c r="KJQ2472" s="63"/>
      <c r="KJR2472" s="60"/>
      <c r="KJS2472" s="60"/>
      <c r="KJT2472" s="60"/>
      <c r="KJU2472" s="63"/>
      <c r="KJV2472" s="61"/>
      <c r="KJW2472" s="54"/>
      <c r="KJX2472" s="54"/>
      <c r="KJY2472" s="63"/>
      <c r="KJZ2472" s="60"/>
      <c r="KKA2472" s="60"/>
      <c r="KKB2472" s="60"/>
      <c r="KKC2472" s="63"/>
      <c r="KKD2472" s="61"/>
      <c r="KKE2472" s="54"/>
      <c r="KKF2472" s="54"/>
      <c r="KKG2472" s="63"/>
      <c r="KKH2472" s="60"/>
      <c r="KKI2472" s="60"/>
      <c r="KKJ2472" s="60"/>
      <c r="KKK2472" s="63"/>
      <c r="KKL2472" s="61"/>
      <c r="KKM2472" s="54"/>
      <c r="KKN2472" s="54"/>
      <c r="KKO2472" s="63"/>
      <c r="KKP2472" s="60"/>
      <c r="KKQ2472" s="60"/>
      <c r="KKR2472" s="60"/>
      <c r="KKS2472" s="63"/>
      <c r="KKT2472" s="61"/>
      <c r="KKU2472" s="54"/>
      <c r="KKV2472" s="54"/>
      <c r="KKW2472" s="63"/>
      <c r="KKX2472" s="60"/>
      <c r="KKY2472" s="60"/>
      <c r="KKZ2472" s="60"/>
      <c r="KLA2472" s="63"/>
      <c r="KLB2472" s="61"/>
      <c r="KLC2472" s="54"/>
      <c r="KLD2472" s="54"/>
      <c r="KLE2472" s="63"/>
      <c r="KLF2472" s="60"/>
      <c r="KLG2472" s="60"/>
      <c r="KLH2472" s="60"/>
      <c r="KLI2472" s="63"/>
      <c r="KLJ2472" s="61"/>
      <c r="KLK2472" s="54"/>
      <c r="KLL2472" s="54"/>
      <c r="KLM2472" s="63"/>
      <c r="KLN2472" s="60"/>
      <c r="KLO2472" s="60"/>
      <c r="KLP2472" s="60"/>
      <c r="KLQ2472" s="63"/>
      <c r="KLR2472" s="61"/>
      <c r="KLS2472" s="54"/>
      <c r="KLT2472" s="54"/>
      <c r="KLU2472" s="63"/>
      <c r="KLV2472" s="60"/>
      <c r="KLW2472" s="60"/>
      <c r="KLX2472" s="60"/>
      <c r="KLY2472" s="63"/>
      <c r="KLZ2472" s="61"/>
      <c r="KMA2472" s="54"/>
      <c r="KMB2472" s="54"/>
      <c r="KMC2472" s="63"/>
      <c r="KMD2472" s="60"/>
      <c r="KME2472" s="60"/>
      <c r="KMF2472" s="60"/>
      <c r="KMG2472" s="63"/>
      <c r="KMH2472" s="61"/>
      <c r="KMI2472" s="54"/>
      <c r="KMJ2472" s="54"/>
      <c r="KMK2472" s="63"/>
      <c r="KML2472" s="60"/>
      <c r="KMM2472" s="60"/>
      <c r="KMN2472" s="60"/>
      <c r="KMO2472" s="63"/>
      <c r="KMP2472" s="61"/>
      <c r="KMQ2472" s="54"/>
      <c r="KMR2472" s="54"/>
      <c r="KMS2472" s="63"/>
      <c r="KMT2472" s="60"/>
      <c r="KMU2472" s="60"/>
      <c r="KMV2472" s="60"/>
      <c r="KMW2472" s="63"/>
      <c r="KMX2472" s="61"/>
      <c r="KMY2472" s="54"/>
      <c r="KMZ2472" s="54"/>
      <c r="KNA2472" s="63"/>
      <c r="KNB2472" s="60"/>
      <c r="KNC2472" s="60"/>
      <c r="KND2472" s="60"/>
      <c r="KNE2472" s="63"/>
      <c r="KNF2472" s="61"/>
      <c r="KNG2472" s="54"/>
      <c r="KNH2472" s="54"/>
      <c r="KNI2472" s="63"/>
      <c r="KNJ2472" s="60"/>
      <c r="KNK2472" s="60"/>
      <c r="KNL2472" s="60"/>
      <c r="KNM2472" s="63"/>
      <c r="KNN2472" s="61"/>
      <c r="KNO2472" s="54"/>
      <c r="KNP2472" s="54"/>
      <c r="KNQ2472" s="63"/>
      <c r="KNR2472" s="60"/>
      <c r="KNS2472" s="60"/>
      <c r="KNT2472" s="60"/>
      <c r="KNU2472" s="63"/>
      <c r="KNV2472" s="61"/>
      <c r="KNW2472" s="54"/>
      <c r="KNX2472" s="54"/>
      <c r="KNY2472" s="63"/>
      <c r="KNZ2472" s="60"/>
      <c r="KOA2472" s="60"/>
      <c r="KOB2472" s="60"/>
      <c r="KOC2472" s="63"/>
      <c r="KOD2472" s="61"/>
      <c r="KOE2472" s="54"/>
      <c r="KOF2472" s="54"/>
      <c r="KOG2472" s="63"/>
      <c r="KOH2472" s="60"/>
      <c r="KOI2472" s="60"/>
      <c r="KOJ2472" s="60"/>
      <c r="KOK2472" s="63"/>
      <c r="KOL2472" s="61"/>
      <c r="KOM2472" s="54"/>
      <c r="KON2472" s="54"/>
      <c r="KOO2472" s="63"/>
      <c r="KOP2472" s="60"/>
      <c r="KOQ2472" s="60"/>
      <c r="KOR2472" s="60"/>
      <c r="KOS2472" s="63"/>
      <c r="KOT2472" s="61"/>
      <c r="KOU2472" s="54"/>
      <c r="KOV2472" s="54"/>
      <c r="KOW2472" s="63"/>
      <c r="KOX2472" s="60"/>
      <c r="KOY2472" s="60"/>
      <c r="KOZ2472" s="60"/>
      <c r="KPA2472" s="63"/>
      <c r="KPB2472" s="61"/>
      <c r="KPC2472" s="54"/>
      <c r="KPD2472" s="54"/>
      <c r="KPE2472" s="63"/>
      <c r="KPF2472" s="60"/>
      <c r="KPG2472" s="60"/>
      <c r="KPH2472" s="60"/>
      <c r="KPI2472" s="63"/>
      <c r="KPJ2472" s="61"/>
      <c r="KPK2472" s="54"/>
      <c r="KPL2472" s="54"/>
      <c r="KPM2472" s="63"/>
      <c r="KPN2472" s="60"/>
      <c r="KPO2472" s="60"/>
      <c r="KPP2472" s="60"/>
      <c r="KPQ2472" s="63"/>
      <c r="KPR2472" s="61"/>
      <c r="KPS2472" s="54"/>
      <c r="KPT2472" s="54"/>
      <c r="KPU2472" s="63"/>
      <c r="KPV2472" s="60"/>
      <c r="KPW2472" s="60"/>
      <c r="KPX2472" s="60"/>
      <c r="KPY2472" s="63"/>
      <c r="KPZ2472" s="61"/>
      <c r="KQA2472" s="54"/>
      <c r="KQB2472" s="54"/>
      <c r="KQC2472" s="63"/>
      <c r="KQD2472" s="60"/>
      <c r="KQE2472" s="60"/>
      <c r="KQF2472" s="60"/>
      <c r="KQG2472" s="63"/>
      <c r="KQH2472" s="61"/>
      <c r="KQI2472" s="54"/>
      <c r="KQJ2472" s="54"/>
      <c r="KQK2472" s="63"/>
      <c r="KQL2472" s="60"/>
      <c r="KQM2472" s="60"/>
      <c r="KQN2472" s="60"/>
      <c r="KQO2472" s="63"/>
      <c r="KQP2472" s="61"/>
      <c r="KQQ2472" s="54"/>
      <c r="KQR2472" s="54"/>
      <c r="KQS2472" s="63"/>
      <c r="KQT2472" s="60"/>
      <c r="KQU2472" s="60"/>
      <c r="KQV2472" s="60"/>
      <c r="KQW2472" s="63"/>
      <c r="KQX2472" s="61"/>
      <c r="KQY2472" s="54"/>
      <c r="KQZ2472" s="54"/>
      <c r="KRA2472" s="63"/>
      <c r="KRB2472" s="60"/>
      <c r="KRC2472" s="60"/>
      <c r="KRD2472" s="60"/>
      <c r="KRE2472" s="63"/>
      <c r="KRF2472" s="61"/>
      <c r="KRG2472" s="54"/>
      <c r="KRH2472" s="54"/>
      <c r="KRI2472" s="63"/>
      <c r="KRJ2472" s="60"/>
      <c r="KRK2472" s="60"/>
      <c r="KRL2472" s="60"/>
      <c r="KRM2472" s="63"/>
      <c r="KRN2472" s="61"/>
      <c r="KRO2472" s="54"/>
      <c r="KRP2472" s="54"/>
      <c r="KRQ2472" s="63"/>
      <c r="KRR2472" s="60"/>
      <c r="KRS2472" s="60"/>
      <c r="KRT2472" s="60"/>
      <c r="KRU2472" s="63"/>
      <c r="KRV2472" s="61"/>
      <c r="KRW2472" s="54"/>
      <c r="KRX2472" s="54"/>
      <c r="KRY2472" s="63"/>
      <c r="KRZ2472" s="60"/>
      <c r="KSA2472" s="60"/>
      <c r="KSB2472" s="60"/>
      <c r="KSC2472" s="63"/>
      <c r="KSD2472" s="61"/>
      <c r="KSE2472" s="54"/>
      <c r="KSF2472" s="54"/>
      <c r="KSG2472" s="63"/>
      <c r="KSH2472" s="60"/>
      <c r="KSI2472" s="60"/>
      <c r="KSJ2472" s="60"/>
      <c r="KSK2472" s="63"/>
      <c r="KSL2472" s="61"/>
      <c r="KSM2472" s="54"/>
      <c r="KSN2472" s="54"/>
      <c r="KSO2472" s="63"/>
      <c r="KSP2472" s="60"/>
      <c r="KSQ2472" s="60"/>
      <c r="KSR2472" s="60"/>
      <c r="KSS2472" s="63"/>
      <c r="KST2472" s="61"/>
      <c r="KSU2472" s="54"/>
      <c r="KSV2472" s="54"/>
      <c r="KSW2472" s="63"/>
      <c r="KSX2472" s="60"/>
      <c r="KSY2472" s="60"/>
      <c r="KSZ2472" s="60"/>
      <c r="KTA2472" s="63"/>
      <c r="KTB2472" s="61"/>
      <c r="KTC2472" s="54"/>
      <c r="KTD2472" s="54"/>
      <c r="KTE2472" s="63"/>
      <c r="KTF2472" s="60"/>
      <c r="KTG2472" s="60"/>
      <c r="KTH2472" s="60"/>
      <c r="KTI2472" s="63"/>
      <c r="KTJ2472" s="61"/>
      <c r="KTK2472" s="54"/>
      <c r="KTL2472" s="54"/>
      <c r="KTM2472" s="63"/>
      <c r="KTN2472" s="60"/>
      <c r="KTO2472" s="60"/>
      <c r="KTP2472" s="60"/>
      <c r="KTQ2472" s="63"/>
      <c r="KTR2472" s="61"/>
      <c r="KTS2472" s="54"/>
      <c r="KTT2472" s="54"/>
      <c r="KTU2472" s="63"/>
      <c r="KTV2472" s="60"/>
      <c r="KTW2472" s="60"/>
      <c r="KTX2472" s="60"/>
      <c r="KTY2472" s="63"/>
      <c r="KTZ2472" s="61"/>
      <c r="KUA2472" s="54"/>
      <c r="KUB2472" s="54"/>
      <c r="KUC2472" s="63"/>
      <c r="KUD2472" s="60"/>
      <c r="KUE2472" s="60"/>
      <c r="KUF2472" s="60"/>
      <c r="KUG2472" s="63"/>
      <c r="KUH2472" s="61"/>
      <c r="KUI2472" s="54"/>
      <c r="KUJ2472" s="54"/>
      <c r="KUK2472" s="63"/>
      <c r="KUL2472" s="60"/>
      <c r="KUM2472" s="60"/>
      <c r="KUN2472" s="60"/>
      <c r="KUO2472" s="63"/>
      <c r="KUP2472" s="61"/>
      <c r="KUQ2472" s="54"/>
      <c r="KUR2472" s="54"/>
      <c r="KUS2472" s="63"/>
      <c r="KUT2472" s="60"/>
      <c r="KUU2472" s="60"/>
      <c r="KUV2472" s="60"/>
      <c r="KUW2472" s="63"/>
      <c r="KUX2472" s="61"/>
      <c r="KUY2472" s="54"/>
      <c r="KUZ2472" s="54"/>
      <c r="KVA2472" s="63"/>
      <c r="KVB2472" s="60"/>
      <c r="KVC2472" s="60"/>
      <c r="KVD2472" s="60"/>
      <c r="KVE2472" s="63"/>
      <c r="KVF2472" s="61"/>
      <c r="KVG2472" s="54"/>
      <c r="KVH2472" s="54"/>
      <c r="KVI2472" s="63"/>
      <c r="KVJ2472" s="60"/>
      <c r="KVK2472" s="60"/>
      <c r="KVL2472" s="60"/>
      <c r="KVM2472" s="63"/>
      <c r="KVN2472" s="61"/>
      <c r="KVO2472" s="54"/>
      <c r="KVP2472" s="54"/>
      <c r="KVQ2472" s="63"/>
      <c r="KVR2472" s="60"/>
      <c r="KVS2472" s="60"/>
      <c r="KVT2472" s="60"/>
      <c r="KVU2472" s="63"/>
      <c r="KVV2472" s="61"/>
      <c r="KVW2472" s="54"/>
      <c r="KVX2472" s="54"/>
      <c r="KVY2472" s="63"/>
      <c r="KVZ2472" s="60"/>
      <c r="KWA2472" s="60"/>
      <c r="KWB2472" s="60"/>
      <c r="KWC2472" s="63"/>
      <c r="KWD2472" s="61"/>
      <c r="KWE2472" s="54"/>
      <c r="KWF2472" s="54"/>
      <c r="KWG2472" s="63"/>
      <c r="KWH2472" s="60"/>
      <c r="KWI2472" s="60"/>
      <c r="KWJ2472" s="60"/>
      <c r="KWK2472" s="63"/>
      <c r="KWL2472" s="61"/>
      <c r="KWM2472" s="54"/>
      <c r="KWN2472" s="54"/>
      <c r="KWO2472" s="63"/>
      <c r="KWP2472" s="60"/>
      <c r="KWQ2472" s="60"/>
      <c r="KWR2472" s="60"/>
      <c r="KWS2472" s="63"/>
      <c r="KWT2472" s="61"/>
      <c r="KWU2472" s="54"/>
      <c r="KWV2472" s="54"/>
      <c r="KWW2472" s="63"/>
      <c r="KWX2472" s="60"/>
      <c r="KWY2472" s="60"/>
      <c r="KWZ2472" s="60"/>
      <c r="KXA2472" s="63"/>
      <c r="KXB2472" s="61"/>
      <c r="KXC2472" s="54"/>
      <c r="KXD2472" s="54"/>
      <c r="KXE2472" s="63"/>
      <c r="KXF2472" s="60"/>
      <c r="KXG2472" s="60"/>
      <c r="KXH2472" s="60"/>
      <c r="KXI2472" s="63"/>
      <c r="KXJ2472" s="61"/>
      <c r="KXK2472" s="54"/>
      <c r="KXL2472" s="54"/>
      <c r="KXM2472" s="63"/>
      <c r="KXN2472" s="60"/>
      <c r="KXO2472" s="60"/>
      <c r="KXP2472" s="60"/>
      <c r="KXQ2472" s="63"/>
      <c r="KXR2472" s="61"/>
      <c r="KXS2472" s="54"/>
      <c r="KXT2472" s="54"/>
      <c r="KXU2472" s="63"/>
      <c r="KXV2472" s="60"/>
      <c r="KXW2472" s="60"/>
      <c r="KXX2472" s="60"/>
      <c r="KXY2472" s="63"/>
      <c r="KXZ2472" s="61"/>
      <c r="KYA2472" s="54"/>
      <c r="KYB2472" s="54"/>
      <c r="KYC2472" s="63"/>
      <c r="KYD2472" s="60"/>
      <c r="KYE2472" s="60"/>
      <c r="KYF2472" s="60"/>
      <c r="KYG2472" s="63"/>
      <c r="KYH2472" s="61"/>
      <c r="KYI2472" s="54"/>
      <c r="KYJ2472" s="54"/>
      <c r="KYK2472" s="63"/>
      <c r="KYL2472" s="60"/>
      <c r="KYM2472" s="60"/>
      <c r="KYN2472" s="60"/>
      <c r="KYO2472" s="63"/>
      <c r="KYP2472" s="61"/>
      <c r="KYQ2472" s="54"/>
      <c r="KYR2472" s="54"/>
      <c r="KYS2472" s="63"/>
      <c r="KYT2472" s="60"/>
      <c r="KYU2472" s="60"/>
      <c r="KYV2472" s="60"/>
      <c r="KYW2472" s="63"/>
      <c r="KYX2472" s="61"/>
      <c r="KYY2472" s="54"/>
      <c r="KYZ2472" s="54"/>
      <c r="KZA2472" s="63"/>
      <c r="KZB2472" s="60"/>
      <c r="KZC2472" s="60"/>
      <c r="KZD2472" s="60"/>
      <c r="KZE2472" s="63"/>
      <c r="KZF2472" s="61"/>
      <c r="KZG2472" s="54"/>
      <c r="KZH2472" s="54"/>
      <c r="KZI2472" s="63"/>
      <c r="KZJ2472" s="60"/>
      <c r="KZK2472" s="60"/>
      <c r="KZL2472" s="60"/>
      <c r="KZM2472" s="63"/>
      <c r="KZN2472" s="61"/>
      <c r="KZO2472" s="54"/>
      <c r="KZP2472" s="54"/>
      <c r="KZQ2472" s="63"/>
      <c r="KZR2472" s="60"/>
      <c r="KZS2472" s="60"/>
      <c r="KZT2472" s="60"/>
      <c r="KZU2472" s="63"/>
      <c r="KZV2472" s="61"/>
      <c r="KZW2472" s="54"/>
      <c r="KZX2472" s="54"/>
      <c r="KZY2472" s="63"/>
      <c r="KZZ2472" s="60"/>
      <c r="LAA2472" s="60"/>
      <c r="LAB2472" s="60"/>
      <c r="LAC2472" s="63"/>
      <c r="LAD2472" s="61"/>
      <c r="LAE2472" s="54"/>
      <c r="LAF2472" s="54"/>
      <c r="LAG2472" s="63"/>
      <c r="LAH2472" s="60"/>
      <c r="LAI2472" s="60"/>
      <c r="LAJ2472" s="60"/>
      <c r="LAK2472" s="63"/>
      <c r="LAL2472" s="61"/>
      <c r="LAM2472" s="54"/>
      <c r="LAN2472" s="54"/>
      <c r="LAO2472" s="63"/>
      <c r="LAP2472" s="60"/>
      <c r="LAQ2472" s="60"/>
      <c r="LAR2472" s="60"/>
      <c r="LAS2472" s="63"/>
      <c r="LAT2472" s="61"/>
      <c r="LAU2472" s="54"/>
      <c r="LAV2472" s="54"/>
      <c r="LAW2472" s="63"/>
      <c r="LAX2472" s="60"/>
      <c r="LAY2472" s="60"/>
      <c r="LAZ2472" s="60"/>
      <c r="LBA2472" s="63"/>
      <c r="LBB2472" s="61"/>
      <c r="LBC2472" s="54"/>
      <c r="LBD2472" s="54"/>
      <c r="LBE2472" s="63"/>
      <c r="LBF2472" s="60"/>
      <c r="LBG2472" s="60"/>
      <c r="LBH2472" s="60"/>
      <c r="LBI2472" s="63"/>
      <c r="LBJ2472" s="61"/>
      <c r="LBK2472" s="54"/>
      <c r="LBL2472" s="54"/>
      <c r="LBM2472" s="63"/>
      <c r="LBN2472" s="60"/>
      <c r="LBO2472" s="60"/>
      <c r="LBP2472" s="60"/>
      <c r="LBQ2472" s="63"/>
      <c r="LBR2472" s="61"/>
      <c r="LBS2472" s="54"/>
      <c r="LBT2472" s="54"/>
      <c r="LBU2472" s="63"/>
      <c r="LBV2472" s="60"/>
      <c r="LBW2472" s="60"/>
      <c r="LBX2472" s="60"/>
      <c r="LBY2472" s="63"/>
      <c r="LBZ2472" s="61"/>
      <c r="LCA2472" s="54"/>
      <c r="LCB2472" s="54"/>
      <c r="LCC2472" s="63"/>
      <c r="LCD2472" s="60"/>
      <c r="LCE2472" s="60"/>
      <c r="LCF2472" s="60"/>
      <c r="LCG2472" s="63"/>
      <c r="LCH2472" s="61"/>
      <c r="LCI2472" s="54"/>
      <c r="LCJ2472" s="54"/>
      <c r="LCK2472" s="63"/>
      <c r="LCL2472" s="60"/>
      <c r="LCM2472" s="60"/>
      <c r="LCN2472" s="60"/>
      <c r="LCO2472" s="63"/>
      <c r="LCP2472" s="61"/>
      <c r="LCQ2472" s="54"/>
      <c r="LCR2472" s="54"/>
      <c r="LCS2472" s="63"/>
      <c r="LCT2472" s="60"/>
      <c r="LCU2472" s="60"/>
      <c r="LCV2472" s="60"/>
      <c r="LCW2472" s="63"/>
      <c r="LCX2472" s="61"/>
      <c r="LCY2472" s="54"/>
      <c r="LCZ2472" s="54"/>
      <c r="LDA2472" s="63"/>
      <c r="LDB2472" s="60"/>
      <c r="LDC2472" s="60"/>
      <c r="LDD2472" s="60"/>
      <c r="LDE2472" s="63"/>
      <c r="LDF2472" s="61"/>
      <c r="LDG2472" s="54"/>
      <c r="LDH2472" s="54"/>
      <c r="LDI2472" s="63"/>
      <c r="LDJ2472" s="60"/>
      <c r="LDK2472" s="60"/>
      <c r="LDL2472" s="60"/>
      <c r="LDM2472" s="63"/>
      <c r="LDN2472" s="61"/>
      <c r="LDO2472" s="54"/>
      <c r="LDP2472" s="54"/>
      <c r="LDQ2472" s="63"/>
      <c r="LDR2472" s="60"/>
      <c r="LDS2472" s="60"/>
      <c r="LDT2472" s="60"/>
      <c r="LDU2472" s="63"/>
      <c r="LDV2472" s="61"/>
      <c r="LDW2472" s="54"/>
      <c r="LDX2472" s="54"/>
      <c r="LDY2472" s="63"/>
      <c r="LDZ2472" s="60"/>
      <c r="LEA2472" s="60"/>
      <c r="LEB2472" s="60"/>
      <c r="LEC2472" s="63"/>
      <c r="LED2472" s="61"/>
      <c r="LEE2472" s="54"/>
      <c r="LEF2472" s="54"/>
      <c r="LEG2472" s="63"/>
      <c r="LEH2472" s="60"/>
      <c r="LEI2472" s="60"/>
      <c r="LEJ2472" s="60"/>
      <c r="LEK2472" s="63"/>
      <c r="LEL2472" s="61"/>
      <c r="LEM2472" s="54"/>
      <c r="LEN2472" s="54"/>
      <c r="LEO2472" s="63"/>
      <c r="LEP2472" s="60"/>
      <c r="LEQ2472" s="60"/>
      <c r="LER2472" s="60"/>
      <c r="LES2472" s="63"/>
      <c r="LET2472" s="61"/>
      <c r="LEU2472" s="54"/>
      <c r="LEV2472" s="54"/>
      <c r="LEW2472" s="63"/>
      <c r="LEX2472" s="60"/>
      <c r="LEY2472" s="60"/>
      <c r="LEZ2472" s="60"/>
      <c r="LFA2472" s="63"/>
      <c r="LFB2472" s="61"/>
      <c r="LFC2472" s="54"/>
      <c r="LFD2472" s="54"/>
      <c r="LFE2472" s="63"/>
      <c r="LFF2472" s="60"/>
      <c r="LFG2472" s="60"/>
      <c r="LFH2472" s="60"/>
      <c r="LFI2472" s="63"/>
      <c r="LFJ2472" s="61"/>
      <c r="LFK2472" s="54"/>
      <c r="LFL2472" s="54"/>
      <c r="LFM2472" s="63"/>
      <c r="LFN2472" s="60"/>
      <c r="LFO2472" s="60"/>
      <c r="LFP2472" s="60"/>
      <c r="LFQ2472" s="63"/>
      <c r="LFR2472" s="61"/>
      <c r="LFS2472" s="54"/>
      <c r="LFT2472" s="54"/>
      <c r="LFU2472" s="63"/>
      <c r="LFV2472" s="60"/>
      <c r="LFW2472" s="60"/>
      <c r="LFX2472" s="60"/>
      <c r="LFY2472" s="63"/>
      <c r="LFZ2472" s="61"/>
      <c r="LGA2472" s="54"/>
      <c r="LGB2472" s="54"/>
      <c r="LGC2472" s="63"/>
      <c r="LGD2472" s="60"/>
      <c r="LGE2472" s="60"/>
      <c r="LGF2472" s="60"/>
      <c r="LGG2472" s="63"/>
      <c r="LGH2472" s="61"/>
      <c r="LGI2472" s="54"/>
      <c r="LGJ2472" s="54"/>
      <c r="LGK2472" s="63"/>
      <c r="LGL2472" s="60"/>
      <c r="LGM2472" s="60"/>
      <c r="LGN2472" s="60"/>
      <c r="LGO2472" s="63"/>
      <c r="LGP2472" s="61"/>
      <c r="LGQ2472" s="54"/>
      <c r="LGR2472" s="54"/>
      <c r="LGS2472" s="63"/>
      <c r="LGT2472" s="60"/>
      <c r="LGU2472" s="60"/>
      <c r="LGV2472" s="60"/>
      <c r="LGW2472" s="63"/>
      <c r="LGX2472" s="61"/>
      <c r="LGY2472" s="54"/>
      <c r="LGZ2472" s="54"/>
      <c r="LHA2472" s="63"/>
      <c r="LHB2472" s="60"/>
      <c r="LHC2472" s="60"/>
      <c r="LHD2472" s="60"/>
      <c r="LHE2472" s="63"/>
      <c r="LHF2472" s="61"/>
      <c r="LHG2472" s="54"/>
      <c r="LHH2472" s="54"/>
      <c r="LHI2472" s="63"/>
      <c r="LHJ2472" s="60"/>
      <c r="LHK2472" s="60"/>
      <c r="LHL2472" s="60"/>
      <c r="LHM2472" s="63"/>
      <c r="LHN2472" s="61"/>
      <c r="LHO2472" s="54"/>
      <c r="LHP2472" s="54"/>
      <c r="LHQ2472" s="63"/>
      <c r="LHR2472" s="60"/>
      <c r="LHS2472" s="60"/>
      <c r="LHT2472" s="60"/>
      <c r="LHU2472" s="63"/>
      <c r="LHV2472" s="61"/>
      <c r="LHW2472" s="54"/>
      <c r="LHX2472" s="54"/>
      <c r="LHY2472" s="63"/>
      <c r="LHZ2472" s="60"/>
      <c r="LIA2472" s="60"/>
      <c r="LIB2472" s="60"/>
      <c r="LIC2472" s="63"/>
      <c r="LID2472" s="61"/>
      <c r="LIE2472" s="54"/>
      <c r="LIF2472" s="54"/>
      <c r="LIG2472" s="63"/>
      <c r="LIH2472" s="60"/>
      <c r="LII2472" s="60"/>
      <c r="LIJ2472" s="60"/>
      <c r="LIK2472" s="63"/>
      <c r="LIL2472" s="61"/>
      <c r="LIM2472" s="54"/>
      <c r="LIN2472" s="54"/>
      <c r="LIO2472" s="63"/>
      <c r="LIP2472" s="60"/>
      <c r="LIQ2472" s="60"/>
      <c r="LIR2472" s="60"/>
      <c r="LIS2472" s="63"/>
      <c r="LIT2472" s="61"/>
      <c r="LIU2472" s="54"/>
      <c r="LIV2472" s="54"/>
      <c r="LIW2472" s="63"/>
      <c r="LIX2472" s="60"/>
      <c r="LIY2472" s="60"/>
      <c r="LIZ2472" s="60"/>
      <c r="LJA2472" s="63"/>
      <c r="LJB2472" s="61"/>
      <c r="LJC2472" s="54"/>
      <c r="LJD2472" s="54"/>
      <c r="LJE2472" s="63"/>
      <c r="LJF2472" s="60"/>
      <c r="LJG2472" s="60"/>
      <c r="LJH2472" s="60"/>
      <c r="LJI2472" s="63"/>
      <c r="LJJ2472" s="61"/>
      <c r="LJK2472" s="54"/>
      <c r="LJL2472" s="54"/>
      <c r="LJM2472" s="63"/>
      <c r="LJN2472" s="60"/>
      <c r="LJO2472" s="60"/>
      <c r="LJP2472" s="60"/>
      <c r="LJQ2472" s="63"/>
      <c r="LJR2472" s="61"/>
      <c r="LJS2472" s="54"/>
      <c r="LJT2472" s="54"/>
      <c r="LJU2472" s="63"/>
      <c r="LJV2472" s="60"/>
      <c r="LJW2472" s="60"/>
      <c r="LJX2472" s="60"/>
      <c r="LJY2472" s="63"/>
      <c r="LJZ2472" s="61"/>
      <c r="LKA2472" s="54"/>
      <c r="LKB2472" s="54"/>
      <c r="LKC2472" s="63"/>
      <c r="LKD2472" s="60"/>
      <c r="LKE2472" s="60"/>
      <c r="LKF2472" s="60"/>
      <c r="LKG2472" s="63"/>
      <c r="LKH2472" s="61"/>
      <c r="LKI2472" s="54"/>
      <c r="LKJ2472" s="54"/>
      <c r="LKK2472" s="63"/>
      <c r="LKL2472" s="60"/>
      <c r="LKM2472" s="60"/>
      <c r="LKN2472" s="60"/>
      <c r="LKO2472" s="63"/>
      <c r="LKP2472" s="61"/>
      <c r="LKQ2472" s="54"/>
      <c r="LKR2472" s="54"/>
      <c r="LKS2472" s="63"/>
      <c r="LKT2472" s="60"/>
      <c r="LKU2472" s="60"/>
      <c r="LKV2472" s="60"/>
      <c r="LKW2472" s="63"/>
      <c r="LKX2472" s="61"/>
      <c r="LKY2472" s="54"/>
      <c r="LKZ2472" s="54"/>
      <c r="LLA2472" s="63"/>
      <c r="LLB2472" s="60"/>
      <c r="LLC2472" s="60"/>
      <c r="LLD2472" s="60"/>
      <c r="LLE2472" s="63"/>
      <c r="LLF2472" s="61"/>
      <c r="LLG2472" s="54"/>
      <c r="LLH2472" s="54"/>
      <c r="LLI2472" s="63"/>
      <c r="LLJ2472" s="60"/>
      <c r="LLK2472" s="60"/>
      <c r="LLL2472" s="60"/>
      <c r="LLM2472" s="63"/>
      <c r="LLN2472" s="61"/>
      <c r="LLO2472" s="54"/>
      <c r="LLP2472" s="54"/>
      <c r="LLQ2472" s="63"/>
      <c r="LLR2472" s="60"/>
      <c r="LLS2472" s="60"/>
      <c r="LLT2472" s="60"/>
      <c r="LLU2472" s="63"/>
      <c r="LLV2472" s="61"/>
      <c r="LLW2472" s="54"/>
      <c r="LLX2472" s="54"/>
      <c r="LLY2472" s="63"/>
      <c r="LLZ2472" s="60"/>
      <c r="LMA2472" s="60"/>
      <c r="LMB2472" s="60"/>
      <c r="LMC2472" s="63"/>
      <c r="LMD2472" s="61"/>
      <c r="LME2472" s="54"/>
      <c r="LMF2472" s="54"/>
      <c r="LMG2472" s="63"/>
      <c r="LMH2472" s="60"/>
      <c r="LMI2472" s="60"/>
      <c r="LMJ2472" s="60"/>
      <c r="LMK2472" s="63"/>
      <c r="LML2472" s="61"/>
      <c r="LMM2472" s="54"/>
      <c r="LMN2472" s="54"/>
      <c r="LMO2472" s="63"/>
      <c r="LMP2472" s="60"/>
      <c r="LMQ2472" s="60"/>
      <c r="LMR2472" s="60"/>
      <c r="LMS2472" s="63"/>
      <c r="LMT2472" s="61"/>
      <c r="LMU2472" s="54"/>
      <c r="LMV2472" s="54"/>
      <c r="LMW2472" s="63"/>
      <c r="LMX2472" s="60"/>
      <c r="LMY2472" s="60"/>
      <c r="LMZ2472" s="60"/>
      <c r="LNA2472" s="63"/>
      <c r="LNB2472" s="61"/>
      <c r="LNC2472" s="54"/>
      <c r="LND2472" s="54"/>
      <c r="LNE2472" s="63"/>
      <c r="LNF2472" s="60"/>
      <c r="LNG2472" s="60"/>
      <c r="LNH2472" s="60"/>
      <c r="LNI2472" s="63"/>
      <c r="LNJ2472" s="61"/>
      <c r="LNK2472" s="54"/>
      <c r="LNL2472" s="54"/>
      <c r="LNM2472" s="63"/>
      <c r="LNN2472" s="60"/>
      <c r="LNO2472" s="60"/>
      <c r="LNP2472" s="60"/>
      <c r="LNQ2472" s="63"/>
      <c r="LNR2472" s="61"/>
      <c r="LNS2472" s="54"/>
      <c r="LNT2472" s="54"/>
      <c r="LNU2472" s="63"/>
      <c r="LNV2472" s="60"/>
      <c r="LNW2472" s="60"/>
      <c r="LNX2472" s="60"/>
      <c r="LNY2472" s="63"/>
      <c r="LNZ2472" s="61"/>
      <c r="LOA2472" s="54"/>
      <c r="LOB2472" s="54"/>
      <c r="LOC2472" s="63"/>
      <c r="LOD2472" s="60"/>
      <c r="LOE2472" s="60"/>
      <c r="LOF2472" s="60"/>
      <c r="LOG2472" s="63"/>
      <c r="LOH2472" s="61"/>
      <c r="LOI2472" s="54"/>
      <c r="LOJ2472" s="54"/>
      <c r="LOK2472" s="63"/>
      <c r="LOL2472" s="60"/>
      <c r="LOM2472" s="60"/>
      <c r="LON2472" s="60"/>
      <c r="LOO2472" s="63"/>
      <c r="LOP2472" s="61"/>
      <c r="LOQ2472" s="54"/>
      <c r="LOR2472" s="54"/>
      <c r="LOS2472" s="63"/>
      <c r="LOT2472" s="60"/>
      <c r="LOU2472" s="60"/>
      <c r="LOV2472" s="60"/>
      <c r="LOW2472" s="63"/>
      <c r="LOX2472" s="61"/>
      <c r="LOY2472" s="54"/>
      <c r="LOZ2472" s="54"/>
      <c r="LPA2472" s="63"/>
      <c r="LPB2472" s="60"/>
      <c r="LPC2472" s="60"/>
      <c r="LPD2472" s="60"/>
      <c r="LPE2472" s="63"/>
      <c r="LPF2472" s="61"/>
      <c r="LPG2472" s="54"/>
      <c r="LPH2472" s="54"/>
      <c r="LPI2472" s="63"/>
      <c r="LPJ2472" s="60"/>
      <c r="LPK2472" s="60"/>
      <c r="LPL2472" s="60"/>
      <c r="LPM2472" s="63"/>
      <c r="LPN2472" s="61"/>
      <c r="LPO2472" s="54"/>
      <c r="LPP2472" s="54"/>
      <c r="LPQ2472" s="63"/>
      <c r="LPR2472" s="60"/>
      <c r="LPS2472" s="60"/>
      <c r="LPT2472" s="60"/>
      <c r="LPU2472" s="63"/>
      <c r="LPV2472" s="61"/>
      <c r="LPW2472" s="54"/>
      <c r="LPX2472" s="54"/>
      <c r="LPY2472" s="63"/>
      <c r="LPZ2472" s="60"/>
      <c r="LQA2472" s="60"/>
      <c r="LQB2472" s="60"/>
      <c r="LQC2472" s="63"/>
      <c r="LQD2472" s="61"/>
      <c r="LQE2472" s="54"/>
      <c r="LQF2472" s="54"/>
      <c r="LQG2472" s="63"/>
      <c r="LQH2472" s="60"/>
      <c r="LQI2472" s="60"/>
      <c r="LQJ2472" s="60"/>
      <c r="LQK2472" s="63"/>
      <c r="LQL2472" s="61"/>
      <c r="LQM2472" s="54"/>
      <c r="LQN2472" s="54"/>
      <c r="LQO2472" s="63"/>
      <c r="LQP2472" s="60"/>
      <c r="LQQ2472" s="60"/>
      <c r="LQR2472" s="60"/>
      <c r="LQS2472" s="63"/>
      <c r="LQT2472" s="61"/>
      <c r="LQU2472" s="54"/>
      <c r="LQV2472" s="54"/>
      <c r="LQW2472" s="63"/>
      <c r="LQX2472" s="60"/>
      <c r="LQY2472" s="60"/>
      <c r="LQZ2472" s="60"/>
      <c r="LRA2472" s="63"/>
      <c r="LRB2472" s="61"/>
      <c r="LRC2472" s="54"/>
      <c r="LRD2472" s="54"/>
      <c r="LRE2472" s="63"/>
      <c r="LRF2472" s="60"/>
      <c r="LRG2472" s="60"/>
      <c r="LRH2472" s="60"/>
      <c r="LRI2472" s="63"/>
      <c r="LRJ2472" s="61"/>
      <c r="LRK2472" s="54"/>
      <c r="LRL2472" s="54"/>
      <c r="LRM2472" s="63"/>
      <c r="LRN2472" s="60"/>
      <c r="LRO2472" s="60"/>
      <c r="LRP2472" s="60"/>
      <c r="LRQ2472" s="63"/>
      <c r="LRR2472" s="61"/>
      <c r="LRS2472" s="54"/>
      <c r="LRT2472" s="54"/>
      <c r="LRU2472" s="63"/>
      <c r="LRV2472" s="60"/>
      <c r="LRW2472" s="60"/>
      <c r="LRX2472" s="60"/>
      <c r="LRY2472" s="63"/>
      <c r="LRZ2472" s="61"/>
      <c r="LSA2472" s="54"/>
      <c r="LSB2472" s="54"/>
      <c r="LSC2472" s="63"/>
      <c r="LSD2472" s="60"/>
      <c r="LSE2472" s="60"/>
      <c r="LSF2472" s="60"/>
      <c r="LSG2472" s="63"/>
      <c r="LSH2472" s="61"/>
      <c r="LSI2472" s="54"/>
      <c r="LSJ2472" s="54"/>
      <c r="LSK2472" s="63"/>
      <c r="LSL2472" s="60"/>
      <c r="LSM2472" s="60"/>
      <c r="LSN2472" s="60"/>
      <c r="LSO2472" s="63"/>
      <c r="LSP2472" s="61"/>
      <c r="LSQ2472" s="54"/>
      <c r="LSR2472" s="54"/>
      <c r="LSS2472" s="63"/>
      <c r="LST2472" s="60"/>
      <c r="LSU2472" s="60"/>
      <c r="LSV2472" s="60"/>
      <c r="LSW2472" s="63"/>
      <c r="LSX2472" s="61"/>
      <c r="LSY2472" s="54"/>
      <c r="LSZ2472" s="54"/>
      <c r="LTA2472" s="63"/>
      <c r="LTB2472" s="60"/>
      <c r="LTC2472" s="60"/>
      <c r="LTD2472" s="60"/>
      <c r="LTE2472" s="63"/>
      <c r="LTF2472" s="61"/>
      <c r="LTG2472" s="54"/>
      <c r="LTH2472" s="54"/>
      <c r="LTI2472" s="63"/>
      <c r="LTJ2472" s="60"/>
      <c r="LTK2472" s="60"/>
      <c r="LTL2472" s="60"/>
      <c r="LTM2472" s="63"/>
      <c r="LTN2472" s="61"/>
      <c r="LTO2472" s="54"/>
      <c r="LTP2472" s="54"/>
      <c r="LTQ2472" s="63"/>
      <c r="LTR2472" s="60"/>
      <c r="LTS2472" s="60"/>
      <c r="LTT2472" s="60"/>
      <c r="LTU2472" s="63"/>
      <c r="LTV2472" s="61"/>
      <c r="LTW2472" s="54"/>
      <c r="LTX2472" s="54"/>
      <c r="LTY2472" s="63"/>
      <c r="LTZ2472" s="60"/>
      <c r="LUA2472" s="60"/>
      <c r="LUB2472" s="60"/>
      <c r="LUC2472" s="63"/>
      <c r="LUD2472" s="61"/>
      <c r="LUE2472" s="54"/>
      <c r="LUF2472" s="54"/>
      <c r="LUG2472" s="63"/>
      <c r="LUH2472" s="60"/>
      <c r="LUI2472" s="60"/>
      <c r="LUJ2472" s="60"/>
      <c r="LUK2472" s="63"/>
      <c r="LUL2472" s="61"/>
      <c r="LUM2472" s="54"/>
      <c r="LUN2472" s="54"/>
      <c r="LUO2472" s="63"/>
      <c r="LUP2472" s="60"/>
      <c r="LUQ2472" s="60"/>
      <c r="LUR2472" s="60"/>
      <c r="LUS2472" s="63"/>
      <c r="LUT2472" s="61"/>
      <c r="LUU2472" s="54"/>
      <c r="LUV2472" s="54"/>
      <c r="LUW2472" s="63"/>
      <c r="LUX2472" s="60"/>
      <c r="LUY2472" s="60"/>
      <c r="LUZ2472" s="60"/>
      <c r="LVA2472" s="63"/>
      <c r="LVB2472" s="61"/>
      <c r="LVC2472" s="54"/>
      <c r="LVD2472" s="54"/>
      <c r="LVE2472" s="63"/>
      <c r="LVF2472" s="60"/>
      <c r="LVG2472" s="60"/>
      <c r="LVH2472" s="60"/>
      <c r="LVI2472" s="63"/>
      <c r="LVJ2472" s="61"/>
      <c r="LVK2472" s="54"/>
      <c r="LVL2472" s="54"/>
      <c r="LVM2472" s="63"/>
      <c r="LVN2472" s="60"/>
      <c r="LVO2472" s="60"/>
      <c r="LVP2472" s="60"/>
      <c r="LVQ2472" s="63"/>
      <c r="LVR2472" s="61"/>
      <c r="LVS2472" s="54"/>
      <c r="LVT2472" s="54"/>
      <c r="LVU2472" s="63"/>
      <c r="LVV2472" s="60"/>
      <c r="LVW2472" s="60"/>
      <c r="LVX2472" s="60"/>
      <c r="LVY2472" s="63"/>
      <c r="LVZ2472" s="61"/>
      <c r="LWA2472" s="54"/>
      <c r="LWB2472" s="54"/>
      <c r="LWC2472" s="63"/>
      <c r="LWD2472" s="60"/>
      <c r="LWE2472" s="60"/>
      <c r="LWF2472" s="60"/>
      <c r="LWG2472" s="63"/>
      <c r="LWH2472" s="61"/>
      <c r="LWI2472" s="54"/>
      <c r="LWJ2472" s="54"/>
      <c r="LWK2472" s="63"/>
      <c r="LWL2472" s="60"/>
      <c r="LWM2472" s="60"/>
      <c r="LWN2472" s="60"/>
      <c r="LWO2472" s="63"/>
      <c r="LWP2472" s="61"/>
      <c r="LWQ2472" s="54"/>
      <c r="LWR2472" s="54"/>
      <c r="LWS2472" s="63"/>
      <c r="LWT2472" s="60"/>
      <c r="LWU2472" s="60"/>
      <c r="LWV2472" s="60"/>
      <c r="LWW2472" s="63"/>
      <c r="LWX2472" s="61"/>
      <c r="LWY2472" s="54"/>
      <c r="LWZ2472" s="54"/>
      <c r="LXA2472" s="63"/>
      <c r="LXB2472" s="60"/>
      <c r="LXC2472" s="60"/>
      <c r="LXD2472" s="60"/>
      <c r="LXE2472" s="63"/>
      <c r="LXF2472" s="61"/>
      <c r="LXG2472" s="54"/>
      <c r="LXH2472" s="54"/>
      <c r="LXI2472" s="63"/>
      <c r="LXJ2472" s="60"/>
      <c r="LXK2472" s="60"/>
      <c r="LXL2472" s="60"/>
      <c r="LXM2472" s="63"/>
      <c r="LXN2472" s="61"/>
      <c r="LXO2472" s="54"/>
      <c r="LXP2472" s="54"/>
      <c r="LXQ2472" s="63"/>
      <c r="LXR2472" s="60"/>
      <c r="LXS2472" s="60"/>
      <c r="LXT2472" s="60"/>
      <c r="LXU2472" s="63"/>
      <c r="LXV2472" s="61"/>
      <c r="LXW2472" s="54"/>
      <c r="LXX2472" s="54"/>
      <c r="LXY2472" s="63"/>
      <c r="LXZ2472" s="60"/>
      <c r="LYA2472" s="60"/>
      <c r="LYB2472" s="60"/>
      <c r="LYC2472" s="63"/>
      <c r="LYD2472" s="61"/>
      <c r="LYE2472" s="54"/>
      <c r="LYF2472" s="54"/>
      <c r="LYG2472" s="63"/>
      <c r="LYH2472" s="60"/>
      <c r="LYI2472" s="60"/>
      <c r="LYJ2472" s="60"/>
      <c r="LYK2472" s="63"/>
      <c r="LYL2472" s="61"/>
      <c r="LYM2472" s="54"/>
      <c r="LYN2472" s="54"/>
      <c r="LYO2472" s="63"/>
      <c r="LYP2472" s="60"/>
      <c r="LYQ2472" s="60"/>
      <c r="LYR2472" s="60"/>
      <c r="LYS2472" s="63"/>
      <c r="LYT2472" s="61"/>
      <c r="LYU2472" s="54"/>
      <c r="LYV2472" s="54"/>
      <c r="LYW2472" s="63"/>
      <c r="LYX2472" s="60"/>
      <c r="LYY2472" s="60"/>
      <c r="LYZ2472" s="60"/>
      <c r="LZA2472" s="63"/>
      <c r="LZB2472" s="61"/>
      <c r="LZC2472" s="54"/>
      <c r="LZD2472" s="54"/>
      <c r="LZE2472" s="63"/>
      <c r="LZF2472" s="60"/>
      <c r="LZG2472" s="60"/>
      <c r="LZH2472" s="60"/>
      <c r="LZI2472" s="63"/>
      <c r="LZJ2472" s="61"/>
      <c r="LZK2472" s="54"/>
      <c r="LZL2472" s="54"/>
      <c r="LZM2472" s="63"/>
      <c r="LZN2472" s="60"/>
      <c r="LZO2472" s="60"/>
      <c r="LZP2472" s="60"/>
      <c r="LZQ2472" s="63"/>
      <c r="LZR2472" s="61"/>
      <c r="LZS2472" s="54"/>
      <c r="LZT2472" s="54"/>
      <c r="LZU2472" s="63"/>
      <c r="LZV2472" s="60"/>
      <c r="LZW2472" s="60"/>
      <c r="LZX2472" s="60"/>
      <c r="LZY2472" s="63"/>
      <c r="LZZ2472" s="61"/>
      <c r="MAA2472" s="54"/>
      <c r="MAB2472" s="54"/>
      <c r="MAC2472" s="63"/>
      <c r="MAD2472" s="60"/>
      <c r="MAE2472" s="60"/>
      <c r="MAF2472" s="60"/>
      <c r="MAG2472" s="63"/>
      <c r="MAH2472" s="61"/>
      <c r="MAI2472" s="54"/>
      <c r="MAJ2472" s="54"/>
      <c r="MAK2472" s="63"/>
      <c r="MAL2472" s="60"/>
      <c r="MAM2472" s="60"/>
      <c r="MAN2472" s="60"/>
      <c r="MAO2472" s="63"/>
      <c r="MAP2472" s="61"/>
      <c r="MAQ2472" s="54"/>
      <c r="MAR2472" s="54"/>
      <c r="MAS2472" s="63"/>
      <c r="MAT2472" s="60"/>
      <c r="MAU2472" s="60"/>
      <c r="MAV2472" s="60"/>
      <c r="MAW2472" s="63"/>
      <c r="MAX2472" s="61"/>
      <c r="MAY2472" s="54"/>
      <c r="MAZ2472" s="54"/>
      <c r="MBA2472" s="63"/>
      <c r="MBB2472" s="60"/>
      <c r="MBC2472" s="60"/>
      <c r="MBD2472" s="60"/>
      <c r="MBE2472" s="63"/>
      <c r="MBF2472" s="61"/>
      <c r="MBG2472" s="54"/>
      <c r="MBH2472" s="54"/>
      <c r="MBI2472" s="63"/>
      <c r="MBJ2472" s="60"/>
      <c r="MBK2472" s="60"/>
      <c r="MBL2472" s="60"/>
      <c r="MBM2472" s="63"/>
      <c r="MBN2472" s="61"/>
      <c r="MBO2472" s="54"/>
      <c r="MBP2472" s="54"/>
      <c r="MBQ2472" s="63"/>
      <c r="MBR2472" s="60"/>
      <c r="MBS2472" s="60"/>
      <c r="MBT2472" s="60"/>
      <c r="MBU2472" s="63"/>
      <c r="MBV2472" s="61"/>
      <c r="MBW2472" s="54"/>
      <c r="MBX2472" s="54"/>
      <c r="MBY2472" s="63"/>
      <c r="MBZ2472" s="60"/>
      <c r="MCA2472" s="60"/>
      <c r="MCB2472" s="60"/>
      <c r="MCC2472" s="63"/>
      <c r="MCD2472" s="61"/>
      <c r="MCE2472" s="54"/>
      <c r="MCF2472" s="54"/>
      <c r="MCG2472" s="63"/>
      <c r="MCH2472" s="60"/>
      <c r="MCI2472" s="60"/>
      <c r="MCJ2472" s="60"/>
      <c r="MCK2472" s="63"/>
      <c r="MCL2472" s="61"/>
      <c r="MCM2472" s="54"/>
      <c r="MCN2472" s="54"/>
      <c r="MCO2472" s="63"/>
      <c r="MCP2472" s="60"/>
      <c r="MCQ2472" s="60"/>
      <c r="MCR2472" s="60"/>
      <c r="MCS2472" s="63"/>
      <c r="MCT2472" s="61"/>
      <c r="MCU2472" s="54"/>
      <c r="MCV2472" s="54"/>
      <c r="MCW2472" s="63"/>
      <c r="MCX2472" s="60"/>
      <c r="MCY2472" s="60"/>
      <c r="MCZ2472" s="60"/>
      <c r="MDA2472" s="63"/>
      <c r="MDB2472" s="61"/>
      <c r="MDC2472" s="54"/>
      <c r="MDD2472" s="54"/>
      <c r="MDE2472" s="63"/>
      <c r="MDF2472" s="60"/>
      <c r="MDG2472" s="60"/>
      <c r="MDH2472" s="60"/>
      <c r="MDI2472" s="63"/>
      <c r="MDJ2472" s="61"/>
      <c r="MDK2472" s="54"/>
      <c r="MDL2472" s="54"/>
      <c r="MDM2472" s="63"/>
      <c r="MDN2472" s="60"/>
      <c r="MDO2472" s="60"/>
      <c r="MDP2472" s="60"/>
      <c r="MDQ2472" s="63"/>
      <c r="MDR2472" s="61"/>
      <c r="MDS2472" s="54"/>
      <c r="MDT2472" s="54"/>
      <c r="MDU2472" s="63"/>
      <c r="MDV2472" s="60"/>
      <c r="MDW2472" s="60"/>
      <c r="MDX2472" s="60"/>
      <c r="MDY2472" s="63"/>
      <c r="MDZ2472" s="61"/>
      <c r="MEA2472" s="54"/>
      <c r="MEB2472" s="54"/>
      <c r="MEC2472" s="63"/>
      <c r="MED2472" s="60"/>
      <c r="MEE2472" s="60"/>
      <c r="MEF2472" s="60"/>
      <c r="MEG2472" s="63"/>
      <c r="MEH2472" s="61"/>
      <c r="MEI2472" s="54"/>
      <c r="MEJ2472" s="54"/>
      <c r="MEK2472" s="63"/>
      <c r="MEL2472" s="60"/>
      <c r="MEM2472" s="60"/>
      <c r="MEN2472" s="60"/>
      <c r="MEO2472" s="63"/>
      <c r="MEP2472" s="61"/>
      <c r="MEQ2472" s="54"/>
      <c r="MER2472" s="54"/>
      <c r="MES2472" s="63"/>
      <c r="MET2472" s="60"/>
      <c r="MEU2472" s="60"/>
      <c r="MEV2472" s="60"/>
      <c r="MEW2472" s="63"/>
      <c r="MEX2472" s="61"/>
      <c r="MEY2472" s="54"/>
      <c r="MEZ2472" s="54"/>
      <c r="MFA2472" s="63"/>
      <c r="MFB2472" s="60"/>
      <c r="MFC2472" s="60"/>
      <c r="MFD2472" s="60"/>
      <c r="MFE2472" s="63"/>
      <c r="MFF2472" s="61"/>
      <c r="MFG2472" s="54"/>
      <c r="MFH2472" s="54"/>
      <c r="MFI2472" s="63"/>
      <c r="MFJ2472" s="60"/>
      <c r="MFK2472" s="60"/>
      <c r="MFL2472" s="60"/>
      <c r="MFM2472" s="63"/>
      <c r="MFN2472" s="61"/>
      <c r="MFO2472" s="54"/>
      <c r="MFP2472" s="54"/>
      <c r="MFQ2472" s="63"/>
      <c r="MFR2472" s="60"/>
      <c r="MFS2472" s="60"/>
      <c r="MFT2472" s="60"/>
      <c r="MFU2472" s="63"/>
      <c r="MFV2472" s="61"/>
      <c r="MFW2472" s="54"/>
      <c r="MFX2472" s="54"/>
      <c r="MFY2472" s="63"/>
      <c r="MFZ2472" s="60"/>
      <c r="MGA2472" s="60"/>
      <c r="MGB2472" s="60"/>
      <c r="MGC2472" s="63"/>
      <c r="MGD2472" s="61"/>
      <c r="MGE2472" s="54"/>
      <c r="MGF2472" s="54"/>
      <c r="MGG2472" s="63"/>
      <c r="MGH2472" s="60"/>
      <c r="MGI2472" s="60"/>
      <c r="MGJ2472" s="60"/>
      <c r="MGK2472" s="63"/>
      <c r="MGL2472" s="61"/>
      <c r="MGM2472" s="54"/>
      <c r="MGN2472" s="54"/>
      <c r="MGO2472" s="63"/>
      <c r="MGP2472" s="60"/>
      <c r="MGQ2472" s="60"/>
      <c r="MGR2472" s="60"/>
      <c r="MGS2472" s="63"/>
      <c r="MGT2472" s="61"/>
      <c r="MGU2472" s="54"/>
      <c r="MGV2472" s="54"/>
      <c r="MGW2472" s="63"/>
      <c r="MGX2472" s="60"/>
      <c r="MGY2472" s="60"/>
      <c r="MGZ2472" s="60"/>
      <c r="MHA2472" s="63"/>
      <c r="MHB2472" s="61"/>
      <c r="MHC2472" s="54"/>
      <c r="MHD2472" s="54"/>
      <c r="MHE2472" s="63"/>
      <c r="MHF2472" s="60"/>
      <c r="MHG2472" s="60"/>
      <c r="MHH2472" s="60"/>
      <c r="MHI2472" s="63"/>
      <c r="MHJ2472" s="61"/>
      <c r="MHK2472" s="54"/>
      <c r="MHL2472" s="54"/>
      <c r="MHM2472" s="63"/>
      <c r="MHN2472" s="60"/>
      <c r="MHO2472" s="60"/>
      <c r="MHP2472" s="60"/>
      <c r="MHQ2472" s="63"/>
      <c r="MHR2472" s="61"/>
      <c r="MHS2472" s="54"/>
      <c r="MHT2472" s="54"/>
      <c r="MHU2472" s="63"/>
      <c r="MHV2472" s="60"/>
      <c r="MHW2472" s="60"/>
      <c r="MHX2472" s="60"/>
      <c r="MHY2472" s="63"/>
      <c r="MHZ2472" s="61"/>
      <c r="MIA2472" s="54"/>
      <c r="MIB2472" s="54"/>
      <c r="MIC2472" s="63"/>
      <c r="MID2472" s="60"/>
      <c r="MIE2472" s="60"/>
      <c r="MIF2472" s="60"/>
      <c r="MIG2472" s="63"/>
      <c r="MIH2472" s="61"/>
      <c r="MII2472" s="54"/>
      <c r="MIJ2472" s="54"/>
      <c r="MIK2472" s="63"/>
      <c r="MIL2472" s="60"/>
      <c r="MIM2472" s="60"/>
      <c r="MIN2472" s="60"/>
      <c r="MIO2472" s="63"/>
      <c r="MIP2472" s="61"/>
      <c r="MIQ2472" s="54"/>
      <c r="MIR2472" s="54"/>
      <c r="MIS2472" s="63"/>
      <c r="MIT2472" s="60"/>
      <c r="MIU2472" s="60"/>
      <c r="MIV2472" s="60"/>
      <c r="MIW2472" s="63"/>
      <c r="MIX2472" s="61"/>
      <c r="MIY2472" s="54"/>
      <c r="MIZ2472" s="54"/>
      <c r="MJA2472" s="63"/>
      <c r="MJB2472" s="60"/>
      <c r="MJC2472" s="60"/>
      <c r="MJD2472" s="60"/>
      <c r="MJE2472" s="63"/>
      <c r="MJF2472" s="61"/>
      <c r="MJG2472" s="54"/>
      <c r="MJH2472" s="54"/>
      <c r="MJI2472" s="63"/>
      <c r="MJJ2472" s="60"/>
      <c r="MJK2472" s="60"/>
      <c r="MJL2472" s="60"/>
      <c r="MJM2472" s="63"/>
      <c r="MJN2472" s="61"/>
      <c r="MJO2472" s="54"/>
      <c r="MJP2472" s="54"/>
      <c r="MJQ2472" s="63"/>
      <c r="MJR2472" s="60"/>
      <c r="MJS2472" s="60"/>
      <c r="MJT2472" s="60"/>
      <c r="MJU2472" s="63"/>
      <c r="MJV2472" s="61"/>
      <c r="MJW2472" s="54"/>
      <c r="MJX2472" s="54"/>
      <c r="MJY2472" s="63"/>
      <c r="MJZ2472" s="60"/>
      <c r="MKA2472" s="60"/>
      <c r="MKB2472" s="60"/>
      <c r="MKC2472" s="63"/>
      <c r="MKD2472" s="61"/>
      <c r="MKE2472" s="54"/>
      <c r="MKF2472" s="54"/>
      <c r="MKG2472" s="63"/>
      <c r="MKH2472" s="60"/>
      <c r="MKI2472" s="60"/>
      <c r="MKJ2472" s="60"/>
      <c r="MKK2472" s="63"/>
      <c r="MKL2472" s="61"/>
      <c r="MKM2472" s="54"/>
      <c r="MKN2472" s="54"/>
      <c r="MKO2472" s="63"/>
      <c r="MKP2472" s="60"/>
      <c r="MKQ2472" s="60"/>
      <c r="MKR2472" s="60"/>
      <c r="MKS2472" s="63"/>
      <c r="MKT2472" s="61"/>
      <c r="MKU2472" s="54"/>
      <c r="MKV2472" s="54"/>
      <c r="MKW2472" s="63"/>
      <c r="MKX2472" s="60"/>
      <c r="MKY2472" s="60"/>
      <c r="MKZ2472" s="60"/>
      <c r="MLA2472" s="63"/>
      <c r="MLB2472" s="61"/>
      <c r="MLC2472" s="54"/>
      <c r="MLD2472" s="54"/>
      <c r="MLE2472" s="63"/>
      <c r="MLF2472" s="60"/>
      <c r="MLG2472" s="60"/>
      <c r="MLH2472" s="60"/>
      <c r="MLI2472" s="63"/>
      <c r="MLJ2472" s="61"/>
      <c r="MLK2472" s="54"/>
      <c r="MLL2472" s="54"/>
      <c r="MLM2472" s="63"/>
      <c r="MLN2472" s="60"/>
      <c r="MLO2472" s="60"/>
      <c r="MLP2472" s="60"/>
      <c r="MLQ2472" s="63"/>
      <c r="MLR2472" s="61"/>
      <c r="MLS2472" s="54"/>
      <c r="MLT2472" s="54"/>
      <c r="MLU2472" s="63"/>
      <c r="MLV2472" s="60"/>
      <c r="MLW2472" s="60"/>
      <c r="MLX2472" s="60"/>
      <c r="MLY2472" s="63"/>
      <c r="MLZ2472" s="61"/>
      <c r="MMA2472" s="54"/>
      <c r="MMB2472" s="54"/>
      <c r="MMC2472" s="63"/>
      <c r="MMD2472" s="60"/>
      <c r="MME2472" s="60"/>
      <c r="MMF2472" s="60"/>
      <c r="MMG2472" s="63"/>
      <c r="MMH2472" s="61"/>
      <c r="MMI2472" s="54"/>
      <c r="MMJ2472" s="54"/>
      <c r="MMK2472" s="63"/>
      <c r="MML2472" s="60"/>
      <c r="MMM2472" s="60"/>
      <c r="MMN2472" s="60"/>
      <c r="MMO2472" s="63"/>
      <c r="MMP2472" s="61"/>
      <c r="MMQ2472" s="54"/>
      <c r="MMR2472" s="54"/>
      <c r="MMS2472" s="63"/>
      <c r="MMT2472" s="60"/>
      <c r="MMU2472" s="60"/>
      <c r="MMV2472" s="60"/>
      <c r="MMW2472" s="63"/>
      <c r="MMX2472" s="61"/>
      <c r="MMY2472" s="54"/>
      <c r="MMZ2472" s="54"/>
      <c r="MNA2472" s="63"/>
      <c r="MNB2472" s="60"/>
      <c r="MNC2472" s="60"/>
      <c r="MND2472" s="60"/>
      <c r="MNE2472" s="63"/>
      <c r="MNF2472" s="61"/>
      <c r="MNG2472" s="54"/>
      <c r="MNH2472" s="54"/>
      <c r="MNI2472" s="63"/>
      <c r="MNJ2472" s="60"/>
      <c r="MNK2472" s="60"/>
      <c r="MNL2472" s="60"/>
      <c r="MNM2472" s="63"/>
      <c r="MNN2472" s="61"/>
      <c r="MNO2472" s="54"/>
      <c r="MNP2472" s="54"/>
      <c r="MNQ2472" s="63"/>
      <c r="MNR2472" s="60"/>
      <c r="MNS2472" s="60"/>
      <c r="MNT2472" s="60"/>
      <c r="MNU2472" s="63"/>
      <c r="MNV2472" s="61"/>
      <c r="MNW2472" s="54"/>
      <c r="MNX2472" s="54"/>
      <c r="MNY2472" s="63"/>
      <c r="MNZ2472" s="60"/>
      <c r="MOA2472" s="60"/>
      <c r="MOB2472" s="60"/>
      <c r="MOC2472" s="63"/>
      <c r="MOD2472" s="61"/>
      <c r="MOE2472" s="54"/>
      <c r="MOF2472" s="54"/>
      <c r="MOG2472" s="63"/>
      <c r="MOH2472" s="60"/>
      <c r="MOI2472" s="60"/>
      <c r="MOJ2472" s="60"/>
      <c r="MOK2472" s="63"/>
      <c r="MOL2472" s="61"/>
      <c r="MOM2472" s="54"/>
      <c r="MON2472" s="54"/>
      <c r="MOO2472" s="63"/>
      <c r="MOP2472" s="60"/>
      <c r="MOQ2472" s="60"/>
      <c r="MOR2472" s="60"/>
      <c r="MOS2472" s="63"/>
      <c r="MOT2472" s="61"/>
      <c r="MOU2472" s="54"/>
      <c r="MOV2472" s="54"/>
      <c r="MOW2472" s="63"/>
      <c r="MOX2472" s="60"/>
      <c r="MOY2472" s="60"/>
      <c r="MOZ2472" s="60"/>
      <c r="MPA2472" s="63"/>
      <c r="MPB2472" s="61"/>
      <c r="MPC2472" s="54"/>
      <c r="MPD2472" s="54"/>
      <c r="MPE2472" s="63"/>
      <c r="MPF2472" s="60"/>
      <c r="MPG2472" s="60"/>
      <c r="MPH2472" s="60"/>
      <c r="MPI2472" s="63"/>
      <c r="MPJ2472" s="61"/>
      <c r="MPK2472" s="54"/>
      <c r="MPL2472" s="54"/>
      <c r="MPM2472" s="63"/>
      <c r="MPN2472" s="60"/>
      <c r="MPO2472" s="60"/>
      <c r="MPP2472" s="60"/>
      <c r="MPQ2472" s="63"/>
      <c r="MPR2472" s="61"/>
      <c r="MPS2472" s="54"/>
      <c r="MPT2472" s="54"/>
      <c r="MPU2472" s="63"/>
      <c r="MPV2472" s="60"/>
      <c r="MPW2472" s="60"/>
      <c r="MPX2472" s="60"/>
      <c r="MPY2472" s="63"/>
      <c r="MPZ2472" s="61"/>
      <c r="MQA2472" s="54"/>
      <c r="MQB2472" s="54"/>
      <c r="MQC2472" s="63"/>
      <c r="MQD2472" s="60"/>
      <c r="MQE2472" s="60"/>
      <c r="MQF2472" s="60"/>
      <c r="MQG2472" s="63"/>
      <c r="MQH2472" s="61"/>
      <c r="MQI2472" s="54"/>
      <c r="MQJ2472" s="54"/>
      <c r="MQK2472" s="63"/>
      <c r="MQL2472" s="60"/>
      <c r="MQM2472" s="60"/>
      <c r="MQN2472" s="60"/>
      <c r="MQO2472" s="63"/>
      <c r="MQP2472" s="61"/>
      <c r="MQQ2472" s="54"/>
      <c r="MQR2472" s="54"/>
      <c r="MQS2472" s="63"/>
      <c r="MQT2472" s="60"/>
      <c r="MQU2472" s="60"/>
      <c r="MQV2472" s="60"/>
      <c r="MQW2472" s="63"/>
      <c r="MQX2472" s="61"/>
      <c r="MQY2472" s="54"/>
      <c r="MQZ2472" s="54"/>
      <c r="MRA2472" s="63"/>
      <c r="MRB2472" s="60"/>
      <c r="MRC2472" s="60"/>
      <c r="MRD2472" s="60"/>
      <c r="MRE2472" s="63"/>
      <c r="MRF2472" s="61"/>
      <c r="MRG2472" s="54"/>
      <c r="MRH2472" s="54"/>
      <c r="MRI2472" s="63"/>
      <c r="MRJ2472" s="60"/>
      <c r="MRK2472" s="60"/>
      <c r="MRL2472" s="60"/>
      <c r="MRM2472" s="63"/>
      <c r="MRN2472" s="61"/>
      <c r="MRO2472" s="54"/>
      <c r="MRP2472" s="54"/>
      <c r="MRQ2472" s="63"/>
      <c r="MRR2472" s="60"/>
      <c r="MRS2472" s="60"/>
      <c r="MRT2472" s="60"/>
      <c r="MRU2472" s="63"/>
      <c r="MRV2472" s="61"/>
      <c r="MRW2472" s="54"/>
      <c r="MRX2472" s="54"/>
      <c r="MRY2472" s="63"/>
      <c r="MRZ2472" s="60"/>
      <c r="MSA2472" s="60"/>
      <c r="MSB2472" s="60"/>
      <c r="MSC2472" s="63"/>
      <c r="MSD2472" s="61"/>
      <c r="MSE2472" s="54"/>
      <c r="MSF2472" s="54"/>
      <c r="MSG2472" s="63"/>
      <c r="MSH2472" s="60"/>
      <c r="MSI2472" s="60"/>
      <c r="MSJ2472" s="60"/>
      <c r="MSK2472" s="63"/>
      <c r="MSL2472" s="61"/>
      <c r="MSM2472" s="54"/>
      <c r="MSN2472" s="54"/>
      <c r="MSO2472" s="63"/>
      <c r="MSP2472" s="60"/>
      <c r="MSQ2472" s="60"/>
      <c r="MSR2472" s="60"/>
      <c r="MSS2472" s="63"/>
      <c r="MST2472" s="61"/>
      <c r="MSU2472" s="54"/>
      <c r="MSV2472" s="54"/>
      <c r="MSW2472" s="63"/>
      <c r="MSX2472" s="60"/>
      <c r="MSY2472" s="60"/>
      <c r="MSZ2472" s="60"/>
      <c r="MTA2472" s="63"/>
      <c r="MTB2472" s="61"/>
      <c r="MTC2472" s="54"/>
      <c r="MTD2472" s="54"/>
      <c r="MTE2472" s="63"/>
      <c r="MTF2472" s="60"/>
      <c r="MTG2472" s="60"/>
      <c r="MTH2472" s="60"/>
      <c r="MTI2472" s="63"/>
      <c r="MTJ2472" s="61"/>
      <c r="MTK2472" s="54"/>
      <c r="MTL2472" s="54"/>
      <c r="MTM2472" s="63"/>
      <c r="MTN2472" s="60"/>
      <c r="MTO2472" s="60"/>
      <c r="MTP2472" s="60"/>
      <c r="MTQ2472" s="63"/>
      <c r="MTR2472" s="61"/>
      <c r="MTS2472" s="54"/>
      <c r="MTT2472" s="54"/>
      <c r="MTU2472" s="63"/>
      <c r="MTV2472" s="60"/>
      <c r="MTW2472" s="60"/>
      <c r="MTX2472" s="60"/>
      <c r="MTY2472" s="63"/>
      <c r="MTZ2472" s="61"/>
      <c r="MUA2472" s="54"/>
      <c r="MUB2472" s="54"/>
      <c r="MUC2472" s="63"/>
      <c r="MUD2472" s="60"/>
      <c r="MUE2472" s="60"/>
      <c r="MUF2472" s="60"/>
      <c r="MUG2472" s="63"/>
      <c r="MUH2472" s="61"/>
      <c r="MUI2472" s="54"/>
      <c r="MUJ2472" s="54"/>
      <c r="MUK2472" s="63"/>
      <c r="MUL2472" s="60"/>
      <c r="MUM2472" s="60"/>
      <c r="MUN2472" s="60"/>
      <c r="MUO2472" s="63"/>
      <c r="MUP2472" s="61"/>
      <c r="MUQ2472" s="54"/>
      <c r="MUR2472" s="54"/>
      <c r="MUS2472" s="63"/>
      <c r="MUT2472" s="60"/>
      <c r="MUU2472" s="60"/>
      <c r="MUV2472" s="60"/>
      <c r="MUW2472" s="63"/>
      <c r="MUX2472" s="61"/>
      <c r="MUY2472" s="54"/>
      <c r="MUZ2472" s="54"/>
      <c r="MVA2472" s="63"/>
      <c r="MVB2472" s="60"/>
      <c r="MVC2472" s="60"/>
      <c r="MVD2472" s="60"/>
      <c r="MVE2472" s="63"/>
      <c r="MVF2472" s="61"/>
      <c r="MVG2472" s="54"/>
      <c r="MVH2472" s="54"/>
      <c r="MVI2472" s="63"/>
      <c r="MVJ2472" s="60"/>
      <c r="MVK2472" s="60"/>
      <c r="MVL2472" s="60"/>
      <c r="MVM2472" s="63"/>
      <c r="MVN2472" s="61"/>
      <c r="MVO2472" s="54"/>
      <c r="MVP2472" s="54"/>
      <c r="MVQ2472" s="63"/>
      <c r="MVR2472" s="60"/>
      <c r="MVS2472" s="60"/>
      <c r="MVT2472" s="60"/>
      <c r="MVU2472" s="63"/>
      <c r="MVV2472" s="61"/>
      <c r="MVW2472" s="54"/>
      <c r="MVX2472" s="54"/>
      <c r="MVY2472" s="63"/>
      <c r="MVZ2472" s="60"/>
      <c r="MWA2472" s="60"/>
      <c r="MWB2472" s="60"/>
      <c r="MWC2472" s="63"/>
      <c r="MWD2472" s="61"/>
      <c r="MWE2472" s="54"/>
      <c r="MWF2472" s="54"/>
      <c r="MWG2472" s="63"/>
      <c r="MWH2472" s="60"/>
      <c r="MWI2472" s="60"/>
      <c r="MWJ2472" s="60"/>
      <c r="MWK2472" s="63"/>
      <c r="MWL2472" s="61"/>
      <c r="MWM2472" s="54"/>
      <c r="MWN2472" s="54"/>
      <c r="MWO2472" s="63"/>
      <c r="MWP2472" s="60"/>
      <c r="MWQ2472" s="60"/>
      <c r="MWR2472" s="60"/>
      <c r="MWS2472" s="63"/>
      <c r="MWT2472" s="61"/>
      <c r="MWU2472" s="54"/>
      <c r="MWV2472" s="54"/>
      <c r="MWW2472" s="63"/>
      <c r="MWX2472" s="60"/>
      <c r="MWY2472" s="60"/>
      <c r="MWZ2472" s="60"/>
      <c r="MXA2472" s="63"/>
      <c r="MXB2472" s="61"/>
      <c r="MXC2472" s="54"/>
      <c r="MXD2472" s="54"/>
      <c r="MXE2472" s="63"/>
      <c r="MXF2472" s="60"/>
      <c r="MXG2472" s="60"/>
      <c r="MXH2472" s="60"/>
      <c r="MXI2472" s="63"/>
      <c r="MXJ2472" s="61"/>
      <c r="MXK2472" s="54"/>
      <c r="MXL2472" s="54"/>
      <c r="MXM2472" s="63"/>
      <c r="MXN2472" s="60"/>
      <c r="MXO2472" s="60"/>
      <c r="MXP2472" s="60"/>
      <c r="MXQ2472" s="63"/>
      <c r="MXR2472" s="61"/>
      <c r="MXS2472" s="54"/>
      <c r="MXT2472" s="54"/>
      <c r="MXU2472" s="63"/>
      <c r="MXV2472" s="60"/>
      <c r="MXW2472" s="60"/>
      <c r="MXX2472" s="60"/>
      <c r="MXY2472" s="63"/>
      <c r="MXZ2472" s="61"/>
      <c r="MYA2472" s="54"/>
      <c r="MYB2472" s="54"/>
      <c r="MYC2472" s="63"/>
      <c r="MYD2472" s="60"/>
      <c r="MYE2472" s="60"/>
      <c r="MYF2472" s="60"/>
      <c r="MYG2472" s="63"/>
      <c r="MYH2472" s="61"/>
      <c r="MYI2472" s="54"/>
      <c r="MYJ2472" s="54"/>
      <c r="MYK2472" s="63"/>
      <c r="MYL2472" s="60"/>
      <c r="MYM2472" s="60"/>
      <c r="MYN2472" s="60"/>
      <c r="MYO2472" s="63"/>
      <c r="MYP2472" s="61"/>
      <c r="MYQ2472" s="54"/>
      <c r="MYR2472" s="54"/>
      <c r="MYS2472" s="63"/>
      <c r="MYT2472" s="60"/>
      <c r="MYU2472" s="60"/>
      <c r="MYV2472" s="60"/>
      <c r="MYW2472" s="63"/>
      <c r="MYX2472" s="61"/>
      <c r="MYY2472" s="54"/>
      <c r="MYZ2472" s="54"/>
      <c r="MZA2472" s="63"/>
      <c r="MZB2472" s="60"/>
      <c r="MZC2472" s="60"/>
      <c r="MZD2472" s="60"/>
      <c r="MZE2472" s="63"/>
      <c r="MZF2472" s="61"/>
      <c r="MZG2472" s="54"/>
      <c r="MZH2472" s="54"/>
      <c r="MZI2472" s="63"/>
      <c r="MZJ2472" s="60"/>
      <c r="MZK2472" s="60"/>
      <c r="MZL2472" s="60"/>
      <c r="MZM2472" s="63"/>
      <c r="MZN2472" s="61"/>
      <c r="MZO2472" s="54"/>
      <c r="MZP2472" s="54"/>
      <c r="MZQ2472" s="63"/>
      <c r="MZR2472" s="60"/>
      <c r="MZS2472" s="60"/>
      <c r="MZT2472" s="60"/>
      <c r="MZU2472" s="63"/>
      <c r="MZV2472" s="61"/>
      <c r="MZW2472" s="54"/>
      <c r="MZX2472" s="54"/>
      <c r="MZY2472" s="63"/>
      <c r="MZZ2472" s="60"/>
      <c r="NAA2472" s="60"/>
      <c r="NAB2472" s="60"/>
      <c r="NAC2472" s="63"/>
      <c r="NAD2472" s="61"/>
      <c r="NAE2472" s="54"/>
      <c r="NAF2472" s="54"/>
      <c r="NAG2472" s="63"/>
      <c r="NAH2472" s="60"/>
      <c r="NAI2472" s="60"/>
      <c r="NAJ2472" s="60"/>
      <c r="NAK2472" s="63"/>
      <c r="NAL2472" s="61"/>
      <c r="NAM2472" s="54"/>
      <c r="NAN2472" s="54"/>
      <c r="NAO2472" s="63"/>
      <c r="NAP2472" s="60"/>
      <c r="NAQ2472" s="60"/>
      <c r="NAR2472" s="60"/>
      <c r="NAS2472" s="63"/>
      <c r="NAT2472" s="61"/>
      <c r="NAU2472" s="54"/>
      <c r="NAV2472" s="54"/>
      <c r="NAW2472" s="63"/>
      <c r="NAX2472" s="60"/>
      <c r="NAY2472" s="60"/>
      <c r="NAZ2472" s="60"/>
      <c r="NBA2472" s="63"/>
      <c r="NBB2472" s="61"/>
      <c r="NBC2472" s="54"/>
      <c r="NBD2472" s="54"/>
      <c r="NBE2472" s="63"/>
      <c r="NBF2472" s="60"/>
      <c r="NBG2472" s="60"/>
      <c r="NBH2472" s="60"/>
      <c r="NBI2472" s="63"/>
      <c r="NBJ2472" s="61"/>
      <c r="NBK2472" s="54"/>
      <c r="NBL2472" s="54"/>
      <c r="NBM2472" s="63"/>
      <c r="NBN2472" s="60"/>
      <c r="NBO2472" s="60"/>
      <c r="NBP2472" s="60"/>
      <c r="NBQ2472" s="63"/>
      <c r="NBR2472" s="61"/>
      <c r="NBS2472" s="54"/>
      <c r="NBT2472" s="54"/>
      <c r="NBU2472" s="63"/>
      <c r="NBV2472" s="60"/>
      <c r="NBW2472" s="60"/>
      <c r="NBX2472" s="60"/>
      <c r="NBY2472" s="63"/>
      <c r="NBZ2472" s="61"/>
      <c r="NCA2472" s="54"/>
      <c r="NCB2472" s="54"/>
      <c r="NCC2472" s="63"/>
      <c r="NCD2472" s="60"/>
      <c r="NCE2472" s="60"/>
      <c r="NCF2472" s="60"/>
      <c r="NCG2472" s="63"/>
      <c r="NCH2472" s="61"/>
      <c r="NCI2472" s="54"/>
      <c r="NCJ2472" s="54"/>
      <c r="NCK2472" s="63"/>
      <c r="NCL2472" s="60"/>
      <c r="NCM2472" s="60"/>
      <c r="NCN2472" s="60"/>
      <c r="NCO2472" s="63"/>
      <c r="NCP2472" s="61"/>
      <c r="NCQ2472" s="54"/>
      <c r="NCR2472" s="54"/>
      <c r="NCS2472" s="63"/>
      <c r="NCT2472" s="60"/>
      <c r="NCU2472" s="60"/>
      <c r="NCV2472" s="60"/>
      <c r="NCW2472" s="63"/>
      <c r="NCX2472" s="61"/>
      <c r="NCY2472" s="54"/>
      <c r="NCZ2472" s="54"/>
      <c r="NDA2472" s="63"/>
      <c r="NDB2472" s="60"/>
      <c r="NDC2472" s="60"/>
      <c r="NDD2472" s="60"/>
      <c r="NDE2472" s="63"/>
      <c r="NDF2472" s="61"/>
      <c r="NDG2472" s="54"/>
      <c r="NDH2472" s="54"/>
      <c r="NDI2472" s="63"/>
      <c r="NDJ2472" s="60"/>
      <c r="NDK2472" s="60"/>
      <c r="NDL2472" s="60"/>
      <c r="NDM2472" s="63"/>
      <c r="NDN2472" s="61"/>
      <c r="NDO2472" s="54"/>
      <c r="NDP2472" s="54"/>
      <c r="NDQ2472" s="63"/>
      <c r="NDR2472" s="60"/>
      <c r="NDS2472" s="60"/>
      <c r="NDT2472" s="60"/>
      <c r="NDU2472" s="63"/>
      <c r="NDV2472" s="61"/>
      <c r="NDW2472" s="54"/>
      <c r="NDX2472" s="54"/>
      <c r="NDY2472" s="63"/>
      <c r="NDZ2472" s="60"/>
      <c r="NEA2472" s="60"/>
      <c r="NEB2472" s="60"/>
      <c r="NEC2472" s="63"/>
      <c r="NED2472" s="61"/>
      <c r="NEE2472" s="54"/>
      <c r="NEF2472" s="54"/>
      <c r="NEG2472" s="63"/>
      <c r="NEH2472" s="60"/>
      <c r="NEI2472" s="60"/>
      <c r="NEJ2472" s="60"/>
      <c r="NEK2472" s="63"/>
      <c r="NEL2472" s="61"/>
      <c r="NEM2472" s="54"/>
      <c r="NEN2472" s="54"/>
      <c r="NEO2472" s="63"/>
      <c r="NEP2472" s="60"/>
      <c r="NEQ2472" s="60"/>
      <c r="NER2472" s="60"/>
      <c r="NES2472" s="63"/>
      <c r="NET2472" s="61"/>
      <c r="NEU2472" s="54"/>
      <c r="NEV2472" s="54"/>
      <c r="NEW2472" s="63"/>
      <c r="NEX2472" s="60"/>
      <c r="NEY2472" s="60"/>
      <c r="NEZ2472" s="60"/>
      <c r="NFA2472" s="63"/>
      <c r="NFB2472" s="61"/>
      <c r="NFC2472" s="54"/>
      <c r="NFD2472" s="54"/>
      <c r="NFE2472" s="63"/>
      <c r="NFF2472" s="60"/>
      <c r="NFG2472" s="60"/>
      <c r="NFH2472" s="60"/>
      <c r="NFI2472" s="63"/>
      <c r="NFJ2472" s="61"/>
      <c r="NFK2472" s="54"/>
      <c r="NFL2472" s="54"/>
      <c r="NFM2472" s="63"/>
      <c r="NFN2472" s="60"/>
      <c r="NFO2472" s="60"/>
      <c r="NFP2472" s="60"/>
      <c r="NFQ2472" s="63"/>
      <c r="NFR2472" s="61"/>
      <c r="NFS2472" s="54"/>
      <c r="NFT2472" s="54"/>
      <c r="NFU2472" s="63"/>
      <c r="NFV2472" s="60"/>
      <c r="NFW2472" s="60"/>
      <c r="NFX2472" s="60"/>
      <c r="NFY2472" s="63"/>
      <c r="NFZ2472" s="61"/>
      <c r="NGA2472" s="54"/>
      <c r="NGB2472" s="54"/>
      <c r="NGC2472" s="63"/>
      <c r="NGD2472" s="60"/>
      <c r="NGE2472" s="60"/>
      <c r="NGF2472" s="60"/>
      <c r="NGG2472" s="63"/>
      <c r="NGH2472" s="61"/>
      <c r="NGI2472" s="54"/>
      <c r="NGJ2472" s="54"/>
      <c r="NGK2472" s="63"/>
      <c r="NGL2472" s="60"/>
      <c r="NGM2472" s="60"/>
      <c r="NGN2472" s="60"/>
      <c r="NGO2472" s="63"/>
      <c r="NGP2472" s="61"/>
      <c r="NGQ2472" s="54"/>
      <c r="NGR2472" s="54"/>
      <c r="NGS2472" s="63"/>
      <c r="NGT2472" s="60"/>
      <c r="NGU2472" s="60"/>
      <c r="NGV2472" s="60"/>
      <c r="NGW2472" s="63"/>
      <c r="NGX2472" s="61"/>
      <c r="NGY2472" s="54"/>
      <c r="NGZ2472" s="54"/>
      <c r="NHA2472" s="63"/>
      <c r="NHB2472" s="60"/>
      <c r="NHC2472" s="60"/>
      <c r="NHD2472" s="60"/>
      <c r="NHE2472" s="63"/>
      <c r="NHF2472" s="61"/>
      <c r="NHG2472" s="54"/>
      <c r="NHH2472" s="54"/>
      <c r="NHI2472" s="63"/>
      <c r="NHJ2472" s="60"/>
      <c r="NHK2472" s="60"/>
      <c r="NHL2472" s="60"/>
      <c r="NHM2472" s="63"/>
      <c r="NHN2472" s="61"/>
      <c r="NHO2472" s="54"/>
      <c r="NHP2472" s="54"/>
      <c r="NHQ2472" s="63"/>
      <c r="NHR2472" s="60"/>
      <c r="NHS2472" s="60"/>
      <c r="NHT2472" s="60"/>
      <c r="NHU2472" s="63"/>
      <c r="NHV2472" s="61"/>
      <c r="NHW2472" s="54"/>
      <c r="NHX2472" s="54"/>
      <c r="NHY2472" s="63"/>
      <c r="NHZ2472" s="60"/>
      <c r="NIA2472" s="60"/>
      <c r="NIB2472" s="60"/>
      <c r="NIC2472" s="63"/>
      <c r="NID2472" s="61"/>
      <c r="NIE2472" s="54"/>
      <c r="NIF2472" s="54"/>
      <c r="NIG2472" s="63"/>
      <c r="NIH2472" s="60"/>
      <c r="NII2472" s="60"/>
      <c r="NIJ2472" s="60"/>
      <c r="NIK2472" s="63"/>
      <c r="NIL2472" s="61"/>
      <c r="NIM2472" s="54"/>
      <c r="NIN2472" s="54"/>
      <c r="NIO2472" s="63"/>
      <c r="NIP2472" s="60"/>
      <c r="NIQ2472" s="60"/>
      <c r="NIR2472" s="60"/>
      <c r="NIS2472" s="63"/>
      <c r="NIT2472" s="61"/>
      <c r="NIU2472" s="54"/>
      <c r="NIV2472" s="54"/>
      <c r="NIW2472" s="63"/>
      <c r="NIX2472" s="60"/>
      <c r="NIY2472" s="60"/>
      <c r="NIZ2472" s="60"/>
      <c r="NJA2472" s="63"/>
      <c r="NJB2472" s="61"/>
      <c r="NJC2472" s="54"/>
      <c r="NJD2472" s="54"/>
      <c r="NJE2472" s="63"/>
      <c r="NJF2472" s="60"/>
      <c r="NJG2472" s="60"/>
      <c r="NJH2472" s="60"/>
      <c r="NJI2472" s="63"/>
      <c r="NJJ2472" s="61"/>
      <c r="NJK2472" s="54"/>
      <c r="NJL2472" s="54"/>
      <c r="NJM2472" s="63"/>
      <c r="NJN2472" s="60"/>
      <c r="NJO2472" s="60"/>
      <c r="NJP2472" s="60"/>
      <c r="NJQ2472" s="63"/>
      <c r="NJR2472" s="61"/>
      <c r="NJS2472" s="54"/>
      <c r="NJT2472" s="54"/>
      <c r="NJU2472" s="63"/>
      <c r="NJV2472" s="60"/>
      <c r="NJW2472" s="60"/>
      <c r="NJX2472" s="60"/>
      <c r="NJY2472" s="63"/>
      <c r="NJZ2472" s="61"/>
      <c r="NKA2472" s="54"/>
      <c r="NKB2472" s="54"/>
      <c r="NKC2472" s="63"/>
      <c r="NKD2472" s="60"/>
      <c r="NKE2472" s="60"/>
      <c r="NKF2472" s="60"/>
      <c r="NKG2472" s="63"/>
      <c r="NKH2472" s="61"/>
      <c r="NKI2472" s="54"/>
      <c r="NKJ2472" s="54"/>
      <c r="NKK2472" s="63"/>
      <c r="NKL2472" s="60"/>
      <c r="NKM2472" s="60"/>
      <c r="NKN2472" s="60"/>
      <c r="NKO2472" s="63"/>
      <c r="NKP2472" s="61"/>
      <c r="NKQ2472" s="54"/>
      <c r="NKR2472" s="54"/>
      <c r="NKS2472" s="63"/>
      <c r="NKT2472" s="60"/>
      <c r="NKU2472" s="60"/>
      <c r="NKV2472" s="60"/>
      <c r="NKW2472" s="63"/>
      <c r="NKX2472" s="61"/>
      <c r="NKY2472" s="54"/>
      <c r="NKZ2472" s="54"/>
      <c r="NLA2472" s="63"/>
      <c r="NLB2472" s="60"/>
      <c r="NLC2472" s="60"/>
      <c r="NLD2472" s="60"/>
      <c r="NLE2472" s="63"/>
      <c r="NLF2472" s="61"/>
      <c r="NLG2472" s="54"/>
      <c r="NLH2472" s="54"/>
      <c r="NLI2472" s="63"/>
      <c r="NLJ2472" s="60"/>
      <c r="NLK2472" s="60"/>
      <c r="NLL2472" s="60"/>
      <c r="NLM2472" s="63"/>
      <c r="NLN2472" s="61"/>
      <c r="NLO2472" s="54"/>
      <c r="NLP2472" s="54"/>
      <c r="NLQ2472" s="63"/>
      <c r="NLR2472" s="60"/>
      <c r="NLS2472" s="60"/>
      <c r="NLT2472" s="60"/>
      <c r="NLU2472" s="63"/>
      <c r="NLV2472" s="61"/>
      <c r="NLW2472" s="54"/>
      <c r="NLX2472" s="54"/>
      <c r="NLY2472" s="63"/>
      <c r="NLZ2472" s="60"/>
      <c r="NMA2472" s="60"/>
      <c r="NMB2472" s="60"/>
      <c r="NMC2472" s="63"/>
      <c r="NMD2472" s="61"/>
      <c r="NME2472" s="54"/>
      <c r="NMF2472" s="54"/>
      <c r="NMG2472" s="63"/>
      <c r="NMH2472" s="60"/>
      <c r="NMI2472" s="60"/>
      <c r="NMJ2472" s="60"/>
      <c r="NMK2472" s="63"/>
      <c r="NML2472" s="61"/>
      <c r="NMM2472" s="54"/>
      <c r="NMN2472" s="54"/>
      <c r="NMO2472" s="63"/>
      <c r="NMP2472" s="60"/>
      <c r="NMQ2472" s="60"/>
      <c r="NMR2472" s="60"/>
      <c r="NMS2472" s="63"/>
      <c r="NMT2472" s="61"/>
      <c r="NMU2472" s="54"/>
      <c r="NMV2472" s="54"/>
      <c r="NMW2472" s="63"/>
      <c r="NMX2472" s="60"/>
      <c r="NMY2472" s="60"/>
      <c r="NMZ2472" s="60"/>
      <c r="NNA2472" s="63"/>
      <c r="NNB2472" s="61"/>
      <c r="NNC2472" s="54"/>
      <c r="NND2472" s="54"/>
      <c r="NNE2472" s="63"/>
      <c r="NNF2472" s="60"/>
      <c r="NNG2472" s="60"/>
      <c r="NNH2472" s="60"/>
      <c r="NNI2472" s="63"/>
      <c r="NNJ2472" s="61"/>
      <c r="NNK2472" s="54"/>
      <c r="NNL2472" s="54"/>
      <c r="NNM2472" s="63"/>
      <c r="NNN2472" s="60"/>
      <c r="NNO2472" s="60"/>
      <c r="NNP2472" s="60"/>
      <c r="NNQ2472" s="63"/>
      <c r="NNR2472" s="61"/>
      <c r="NNS2472" s="54"/>
      <c r="NNT2472" s="54"/>
      <c r="NNU2472" s="63"/>
      <c r="NNV2472" s="60"/>
      <c r="NNW2472" s="60"/>
      <c r="NNX2472" s="60"/>
      <c r="NNY2472" s="63"/>
      <c r="NNZ2472" s="61"/>
      <c r="NOA2472" s="54"/>
      <c r="NOB2472" s="54"/>
      <c r="NOC2472" s="63"/>
      <c r="NOD2472" s="60"/>
      <c r="NOE2472" s="60"/>
      <c r="NOF2472" s="60"/>
      <c r="NOG2472" s="63"/>
      <c r="NOH2472" s="61"/>
      <c r="NOI2472" s="54"/>
      <c r="NOJ2472" s="54"/>
      <c r="NOK2472" s="63"/>
      <c r="NOL2472" s="60"/>
      <c r="NOM2472" s="60"/>
      <c r="NON2472" s="60"/>
      <c r="NOO2472" s="63"/>
      <c r="NOP2472" s="61"/>
      <c r="NOQ2472" s="54"/>
      <c r="NOR2472" s="54"/>
      <c r="NOS2472" s="63"/>
      <c r="NOT2472" s="60"/>
      <c r="NOU2472" s="60"/>
      <c r="NOV2472" s="60"/>
      <c r="NOW2472" s="63"/>
      <c r="NOX2472" s="61"/>
      <c r="NOY2472" s="54"/>
      <c r="NOZ2472" s="54"/>
      <c r="NPA2472" s="63"/>
      <c r="NPB2472" s="60"/>
      <c r="NPC2472" s="60"/>
      <c r="NPD2472" s="60"/>
      <c r="NPE2472" s="63"/>
      <c r="NPF2472" s="61"/>
      <c r="NPG2472" s="54"/>
      <c r="NPH2472" s="54"/>
      <c r="NPI2472" s="63"/>
      <c r="NPJ2472" s="60"/>
      <c r="NPK2472" s="60"/>
      <c r="NPL2472" s="60"/>
      <c r="NPM2472" s="63"/>
      <c r="NPN2472" s="61"/>
      <c r="NPO2472" s="54"/>
      <c r="NPP2472" s="54"/>
      <c r="NPQ2472" s="63"/>
      <c r="NPR2472" s="60"/>
      <c r="NPS2472" s="60"/>
      <c r="NPT2472" s="60"/>
      <c r="NPU2472" s="63"/>
      <c r="NPV2472" s="61"/>
      <c r="NPW2472" s="54"/>
      <c r="NPX2472" s="54"/>
      <c r="NPY2472" s="63"/>
      <c r="NPZ2472" s="60"/>
      <c r="NQA2472" s="60"/>
      <c r="NQB2472" s="60"/>
      <c r="NQC2472" s="63"/>
      <c r="NQD2472" s="61"/>
      <c r="NQE2472" s="54"/>
      <c r="NQF2472" s="54"/>
      <c r="NQG2472" s="63"/>
      <c r="NQH2472" s="60"/>
      <c r="NQI2472" s="60"/>
      <c r="NQJ2472" s="60"/>
      <c r="NQK2472" s="63"/>
      <c r="NQL2472" s="61"/>
      <c r="NQM2472" s="54"/>
      <c r="NQN2472" s="54"/>
      <c r="NQO2472" s="63"/>
      <c r="NQP2472" s="60"/>
      <c r="NQQ2472" s="60"/>
      <c r="NQR2472" s="60"/>
      <c r="NQS2472" s="63"/>
      <c r="NQT2472" s="61"/>
      <c r="NQU2472" s="54"/>
      <c r="NQV2472" s="54"/>
      <c r="NQW2472" s="63"/>
      <c r="NQX2472" s="60"/>
      <c r="NQY2472" s="60"/>
      <c r="NQZ2472" s="60"/>
      <c r="NRA2472" s="63"/>
      <c r="NRB2472" s="61"/>
      <c r="NRC2472" s="54"/>
      <c r="NRD2472" s="54"/>
      <c r="NRE2472" s="63"/>
      <c r="NRF2472" s="60"/>
      <c r="NRG2472" s="60"/>
      <c r="NRH2472" s="60"/>
      <c r="NRI2472" s="63"/>
      <c r="NRJ2472" s="61"/>
      <c r="NRK2472" s="54"/>
      <c r="NRL2472" s="54"/>
      <c r="NRM2472" s="63"/>
      <c r="NRN2472" s="60"/>
      <c r="NRO2472" s="60"/>
      <c r="NRP2472" s="60"/>
      <c r="NRQ2472" s="63"/>
      <c r="NRR2472" s="61"/>
      <c r="NRS2472" s="54"/>
      <c r="NRT2472" s="54"/>
      <c r="NRU2472" s="63"/>
      <c r="NRV2472" s="60"/>
      <c r="NRW2472" s="60"/>
      <c r="NRX2472" s="60"/>
      <c r="NRY2472" s="63"/>
      <c r="NRZ2472" s="61"/>
      <c r="NSA2472" s="54"/>
      <c r="NSB2472" s="54"/>
      <c r="NSC2472" s="63"/>
      <c r="NSD2472" s="60"/>
      <c r="NSE2472" s="60"/>
      <c r="NSF2472" s="60"/>
      <c r="NSG2472" s="63"/>
      <c r="NSH2472" s="61"/>
      <c r="NSI2472" s="54"/>
      <c r="NSJ2472" s="54"/>
      <c r="NSK2472" s="63"/>
      <c r="NSL2472" s="60"/>
      <c r="NSM2472" s="60"/>
      <c r="NSN2472" s="60"/>
      <c r="NSO2472" s="63"/>
      <c r="NSP2472" s="61"/>
      <c r="NSQ2472" s="54"/>
      <c r="NSR2472" s="54"/>
      <c r="NSS2472" s="63"/>
      <c r="NST2472" s="60"/>
      <c r="NSU2472" s="60"/>
      <c r="NSV2472" s="60"/>
      <c r="NSW2472" s="63"/>
      <c r="NSX2472" s="61"/>
      <c r="NSY2472" s="54"/>
      <c r="NSZ2472" s="54"/>
      <c r="NTA2472" s="63"/>
      <c r="NTB2472" s="60"/>
      <c r="NTC2472" s="60"/>
      <c r="NTD2472" s="60"/>
      <c r="NTE2472" s="63"/>
      <c r="NTF2472" s="61"/>
      <c r="NTG2472" s="54"/>
      <c r="NTH2472" s="54"/>
      <c r="NTI2472" s="63"/>
      <c r="NTJ2472" s="60"/>
      <c r="NTK2472" s="60"/>
      <c r="NTL2472" s="60"/>
      <c r="NTM2472" s="63"/>
      <c r="NTN2472" s="61"/>
      <c r="NTO2472" s="54"/>
      <c r="NTP2472" s="54"/>
      <c r="NTQ2472" s="63"/>
      <c r="NTR2472" s="60"/>
      <c r="NTS2472" s="60"/>
      <c r="NTT2472" s="60"/>
      <c r="NTU2472" s="63"/>
      <c r="NTV2472" s="61"/>
      <c r="NTW2472" s="54"/>
      <c r="NTX2472" s="54"/>
      <c r="NTY2472" s="63"/>
      <c r="NTZ2472" s="60"/>
      <c r="NUA2472" s="60"/>
      <c r="NUB2472" s="60"/>
      <c r="NUC2472" s="63"/>
      <c r="NUD2472" s="61"/>
      <c r="NUE2472" s="54"/>
      <c r="NUF2472" s="54"/>
      <c r="NUG2472" s="63"/>
      <c r="NUH2472" s="60"/>
      <c r="NUI2472" s="60"/>
      <c r="NUJ2472" s="60"/>
      <c r="NUK2472" s="63"/>
      <c r="NUL2472" s="61"/>
      <c r="NUM2472" s="54"/>
      <c r="NUN2472" s="54"/>
      <c r="NUO2472" s="63"/>
      <c r="NUP2472" s="60"/>
      <c r="NUQ2472" s="60"/>
      <c r="NUR2472" s="60"/>
      <c r="NUS2472" s="63"/>
      <c r="NUT2472" s="61"/>
      <c r="NUU2472" s="54"/>
      <c r="NUV2472" s="54"/>
      <c r="NUW2472" s="63"/>
      <c r="NUX2472" s="60"/>
      <c r="NUY2472" s="60"/>
      <c r="NUZ2472" s="60"/>
      <c r="NVA2472" s="63"/>
      <c r="NVB2472" s="61"/>
      <c r="NVC2472" s="54"/>
      <c r="NVD2472" s="54"/>
      <c r="NVE2472" s="63"/>
      <c r="NVF2472" s="60"/>
      <c r="NVG2472" s="60"/>
      <c r="NVH2472" s="60"/>
      <c r="NVI2472" s="63"/>
      <c r="NVJ2472" s="61"/>
      <c r="NVK2472" s="54"/>
      <c r="NVL2472" s="54"/>
      <c r="NVM2472" s="63"/>
      <c r="NVN2472" s="60"/>
      <c r="NVO2472" s="60"/>
      <c r="NVP2472" s="60"/>
      <c r="NVQ2472" s="63"/>
      <c r="NVR2472" s="61"/>
      <c r="NVS2472" s="54"/>
      <c r="NVT2472" s="54"/>
      <c r="NVU2472" s="63"/>
      <c r="NVV2472" s="60"/>
      <c r="NVW2472" s="60"/>
      <c r="NVX2472" s="60"/>
      <c r="NVY2472" s="63"/>
      <c r="NVZ2472" s="61"/>
      <c r="NWA2472" s="54"/>
      <c r="NWB2472" s="54"/>
      <c r="NWC2472" s="63"/>
      <c r="NWD2472" s="60"/>
      <c r="NWE2472" s="60"/>
      <c r="NWF2472" s="60"/>
      <c r="NWG2472" s="63"/>
      <c r="NWH2472" s="61"/>
      <c r="NWI2472" s="54"/>
      <c r="NWJ2472" s="54"/>
      <c r="NWK2472" s="63"/>
      <c r="NWL2472" s="60"/>
      <c r="NWM2472" s="60"/>
      <c r="NWN2472" s="60"/>
      <c r="NWO2472" s="63"/>
      <c r="NWP2472" s="61"/>
      <c r="NWQ2472" s="54"/>
      <c r="NWR2472" s="54"/>
      <c r="NWS2472" s="63"/>
      <c r="NWT2472" s="60"/>
      <c r="NWU2472" s="60"/>
      <c r="NWV2472" s="60"/>
      <c r="NWW2472" s="63"/>
      <c r="NWX2472" s="61"/>
      <c r="NWY2472" s="54"/>
      <c r="NWZ2472" s="54"/>
      <c r="NXA2472" s="63"/>
      <c r="NXB2472" s="60"/>
      <c r="NXC2472" s="60"/>
      <c r="NXD2472" s="60"/>
      <c r="NXE2472" s="63"/>
      <c r="NXF2472" s="61"/>
      <c r="NXG2472" s="54"/>
      <c r="NXH2472" s="54"/>
      <c r="NXI2472" s="63"/>
      <c r="NXJ2472" s="60"/>
      <c r="NXK2472" s="60"/>
      <c r="NXL2472" s="60"/>
      <c r="NXM2472" s="63"/>
      <c r="NXN2472" s="61"/>
      <c r="NXO2472" s="54"/>
      <c r="NXP2472" s="54"/>
      <c r="NXQ2472" s="63"/>
      <c r="NXR2472" s="60"/>
      <c r="NXS2472" s="60"/>
      <c r="NXT2472" s="60"/>
      <c r="NXU2472" s="63"/>
      <c r="NXV2472" s="61"/>
      <c r="NXW2472" s="54"/>
      <c r="NXX2472" s="54"/>
      <c r="NXY2472" s="63"/>
      <c r="NXZ2472" s="60"/>
      <c r="NYA2472" s="60"/>
      <c r="NYB2472" s="60"/>
      <c r="NYC2472" s="63"/>
      <c r="NYD2472" s="61"/>
      <c r="NYE2472" s="54"/>
      <c r="NYF2472" s="54"/>
      <c r="NYG2472" s="63"/>
      <c r="NYH2472" s="60"/>
      <c r="NYI2472" s="60"/>
      <c r="NYJ2472" s="60"/>
      <c r="NYK2472" s="63"/>
      <c r="NYL2472" s="61"/>
      <c r="NYM2472" s="54"/>
      <c r="NYN2472" s="54"/>
      <c r="NYO2472" s="63"/>
      <c r="NYP2472" s="60"/>
      <c r="NYQ2472" s="60"/>
      <c r="NYR2472" s="60"/>
      <c r="NYS2472" s="63"/>
      <c r="NYT2472" s="61"/>
      <c r="NYU2472" s="54"/>
      <c r="NYV2472" s="54"/>
      <c r="NYW2472" s="63"/>
      <c r="NYX2472" s="60"/>
      <c r="NYY2472" s="60"/>
      <c r="NYZ2472" s="60"/>
      <c r="NZA2472" s="63"/>
      <c r="NZB2472" s="61"/>
      <c r="NZC2472" s="54"/>
      <c r="NZD2472" s="54"/>
      <c r="NZE2472" s="63"/>
      <c r="NZF2472" s="60"/>
      <c r="NZG2472" s="60"/>
      <c r="NZH2472" s="60"/>
      <c r="NZI2472" s="63"/>
      <c r="NZJ2472" s="61"/>
      <c r="NZK2472" s="54"/>
      <c r="NZL2472" s="54"/>
      <c r="NZM2472" s="63"/>
      <c r="NZN2472" s="60"/>
      <c r="NZO2472" s="60"/>
      <c r="NZP2472" s="60"/>
      <c r="NZQ2472" s="63"/>
      <c r="NZR2472" s="61"/>
      <c r="NZS2472" s="54"/>
      <c r="NZT2472" s="54"/>
      <c r="NZU2472" s="63"/>
      <c r="NZV2472" s="60"/>
      <c r="NZW2472" s="60"/>
      <c r="NZX2472" s="60"/>
      <c r="NZY2472" s="63"/>
      <c r="NZZ2472" s="61"/>
      <c r="OAA2472" s="54"/>
      <c r="OAB2472" s="54"/>
      <c r="OAC2472" s="63"/>
      <c r="OAD2472" s="60"/>
      <c r="OAE2472" s="60"/>
      <c r="OAF2472" s="60"/>
      <c r="OAG2472" s="63"/>
      <c r="OAH2472" s="61"/>
      <c r="OAI2472" s="54"/>
      <c r="OAJ2472" s="54"/>
      <c r="OAK2472" s="63"/>
      <c r="OAL2472" s="60"/>
      <c r="OAM2472" s="60"/>
      <c r="OAN2472" s="60"/>
      <c r="OAO2472" s="63"/>
      <c r="OAP2472" s="61"/>
      <c r="OAQ2472" s="54"/>
      <c r="OAR2472" s="54"/>
      <c r="OAS2472" s="63"/>
      <c r="OAT2472" s="60"/>
      <c r="OAU2472" s="60"/>
      <c r="OAV2472" s="60"/>
      <c r="OAW2472" s="63"/>
      <c r="OAX2472" s="61"/>
      <c r="OAY2472" s="54"/>
      <c r="OAZ2472" s="54"/>
      <c r="OBA2472" s="63"/>
      <c r="OBB2472" s="60"/>
      <c r="OBC2472" s="60"/>
      <c r="OBD2472" s="60"/>
      <c r="OBE2472" s="63"/>
      <c r="OBF2472" s="61"/>
      <c r="OBG2472" s="54"/>
      <c r="OBH2472" s="54"/>
      <c r="OBI2472" s="63"/>
      <c r="OBJ2472" s="60"/>
      <c r="OBK2472" s="60"/>
      <c r="OBL2472" s="60"/>
      <c r="OBM2472" s="63"/>
      <c r="OBN2472" s="61"/>
      <c r="OBO2472" s="54"/>
      <c r="OBP2472" s="54"/>
      <c r="OBQ2472" s="63"/>
      <c r="OBR2472" s="60"/>
      <c r="OBS2472" s="60"/>
      <c r="OBT2472" s="60"/>
      <c r="OBU2472" s="63"/>
      <c r="OBV2472" s="61"/>
      <c r="OBW2472" s="54"/>
      <c r="OBX2472" s="54"/>
      <c r="OBY2472" s="63"/>
      <c r="OBZ2472" s="60"/>
      <c r="OCA2472" s="60"/>
      <c r="OCB2472" s="60"/>
      <c r="OCC2472" s="63"/>
      <c r="OCD2472" s="61"/>
      <c r="OCE2472" s="54"/>
      <c r="OCF2472" s="54"/>
      <c r="OCG2472" s="63"/>
      <c r="OCH2472" s="60"/>
      <c r="OCI2472" s="60"/>
      <c r="OCJ2472" s="60"/>
      <c r="OCK2472" s="63"/>
      <c r="OCL2472" s="61"/>
      <c r="OCM2472" s="54"/>
      <c r="OCN2472" s="54"/>
      <c r="OCO2472" s="63"/>
      <c r="OCP2472" s="60"/>
      <c r="OCQ2472" s="60"/>
      <c r="OCR2472" s="60"/>
      <c r="OCS2472" s="63"/>
      <c r="OCT2472" s="61"/>
      <c r="OCU2472" s="54"/>
      <c r="OCV2472" s="54"/>
      <c r="OCW2472" s="63"/>
      <c r="OCX2472" s="60"/>
      <c r="OCY2472" s="60"/>
      <c r="OCZ2472" s="60"/>
      <c r="ODA2472" s="63"/>
      <c r="ODB2472" s="61"/>
      <c r="ODC2472" s="54"/>
      <c r="ODD2472" s="54"/>
      <c r="ODE2472" s="63"/>
      <c r="ODF2472" s="60"/>
      <c r="ODG2472" s="60"/>
      <c r="ODH2472" s="60"/>
      <c r="ODI2472" s="63"/>
      <c r="ODJ2472" s="61"/>
      <c r="ODK2472" s="54"/>
      <c r="ODL2472" s="54"/>
      <c r="ODM2472" s="63"/>
      <c r="ODN2472" s="60"/>
      <c r="ODO2472" s="60"/>
      <c r="ODP2472" s="60"/>
      <c r="ODQ2472" s="63"/>
      <c r="ODR2472" s="61"/>
      <c r="ODS2472" s="54"/>
      <c r="ODT2472" s="54"/>
      <c r="ODU2472" s="63"/>
      <c r="ODV2472" s="60"/>
      <c r="ODW2472" s="60"/>
      <c r="ODX2472" s="60"/>
      <c r="ODY2472" s="63"/>
      <c r="ODZ2472" s="61"/>
      <c r="OEA2472" s="54"/>
      <c r="OEB2472" s="54"/>
      <c r="OEC2472" s="63"/>
      <c r="OED2472" s="60"/>
      <c r="OEE2472" s="60"/>
      <c r="OEF2472" s="60"/>
      <c r="OEG2472" s="63"/>
      <c r="OEH2472" s="61"/>
      <c r="OEI2472" s="54"/>
      <c r="OEJ2472" s="54"/>
      <c r="OEK2472" s="63"/>
      <c r="OEL2472" s="60"/>
      <c r="OEM2472" s="60"/>
      <c r="OEN2472" s="60"/>
      <c r="OEO2472" s="63"/>
      <c r="OEP2472" s="61"/>
      <c r="OEQ2472" s="54"/>
      <c r="OER2472" s="54"/>
      <c r="OES2472" s="63"/>
      <c r="OET2472" s="60"/>
      <c r="OEU2472" s="60"/>
      <c r="OEV2472" s="60"/>
      <c r="OEW2472" s="63"/>
      <c r="OEX2472" s="61"/>
      <c r="OEY2472" s="54"/>
      <c r="OEZ2472" s="54"/>
      <c r="OFA2472" s="63"/>
      <c r="OFB2472" s="60"/>
      <c r="OFC2472" s="60"/>
      <c r="OFD2472" s="60"/>
      <c r="OFE2472" s="63"/>
      <c r="OFF2472" s="61"/>
      <c r="OFG2472" s="54"/>
      <c r="OFH2472" s="54"/>
      <c r="OFI2472" s="63"/>
      <c r="OFJ2472" s="60"/>
      <c r="OFK2472" s="60"/>
      <c r="OFL2472" s="60"/>
      <c r="OFM2472" s="63"/>
      <c r="OFN2472" s="61"/>
      <c r="OFO2472" s="54"/>
      <c r="OFP2472" s="54"/>
      <c r="OFQ2472" s="63"/>
      <c r="OFR2472" s="60"/>
      <c r="OFS2472" s="60"/>
      <c r="OFT2472" s="60"/>
      <c r="OFU2472" s="63"/>
      <c r="OFV2472" s="61"/>
      <c r="OFW2472" s="54"/>
      <c r="OFX2472" s="54"/>
      <c r="OFY2472" s="63"/>
      <c r="OFZ2472" s="60"/>
      <c r="OGA2472" s="60"/>
      <c r="OGB2472" s="60"/>
      <c r="OGC2472" s="63"/>
      <c r="OGD2472" s="61"/>
      <c r="OGE2472" s="54"/>
      <c r="OGF2472" s="54"/>
      <c r="OGG2472" s="63"/>
      <c r="OGH2472" s="60"/>
      <c r="OGI2472" s="60"/>
      <c r="OGJ2472" s="60"/>
      <c r="OGK2472" s="63"/>
      <c r="OGL2472" s="61"/>
      <c r="OGM2472" s="54"/>
      <c r="OGN2472" s="54"/>
      <c r="OGO2472" s="63"/>
      <c r="OGP2472" s="60"/>
      <c r="OGQ2472" s="60"/>
      <c r="OGR2472" s="60"/>
      <c r="OGS2472" s="63"/>
      <c r="OGT2472" s="61"/>
      <c r="OGU2472" s="54"/>
      <c r="OGV2472" s="54"/>
      <c r="OGW2472" s="63"/>
      <c r="OGX2472" s="60"/>
      <c r="OGY2472" s="60"/>
      <c r="OGZ2472" s="60"/>
      <c r="OHA2472" s="63"/>
      <c r="OHB2472" s="61"/>
      <c r="OHC2472" s="54"/>
      <c r="OHD2472" s="54"/>
      <c r="OHE2472" s="63"/>
      <c r="OHF2472" s="60"/>
      <c r="OHG2472" s="60"/>
      <c r="OHH2472" s="60"/>
      <c r="OHI2472" s="63"/>
      <c r="OHJ2472" s="61"/>
      <c r="OHK2472" s="54"/>
      <c r="OHL2472" s="54"/>
      <c r="OHM2472" s="63"/>
      <c r="OHN2472" s="60"/>
      <c r="OHO2472" s="60"/>
      <c r="OHP2472" s="60"/>
      <c r="OHQ2472" s="63"/>
      <c r="OHR2472" s="61"/>
      <c r="OHS2472" s="54"/>
      <c r="OHT2472" s="54"/>
      <c r="OHU2472" s="63"/>
      <c r="OHV2472" s="60"/>
      <c r="OHW2472" s="60"/>
      <c r="OHX2472" s="60"/>
      <c r="OHY2472" s="63"/>
      <c r="OHZ2472" s="61"/>
      <c r="OIA2472" s="54"/>
      <c r="OIB2472" s="54"/>
      <c r="OIC2472" s="63"/>
      <c r="OID2472" s="60"/>
      <c r="OIE2472" s="60"/>
      <c r="OIF2472" s="60"/>
      <c r="OIG2472" s="63"/>
      <c r="OIH2472" s="61"/>
      <c r="OII2472" s="54"/>
      <c r="OIJ2472" s="54"/>
      <c r="OIK2472" s="63"/>
      <c r="OIL2472" s="60"/>
      <c r="OIM2472" s="60"/>
      <c r="OIN2472" s="60"/>
      <c r="OIO2472" s="63"/>
      <c r="OIP2472" s="61"/>
      <c r="OIQ2472" s="54"/>
      <c r="OIR2472" s="54"/>
      <c r="OIS2472" s="63"/>
      <c r="OIT2472" s="60"/>
      <c r="OIU2472" s="60"/>
      <c r="OIV2472" s="60"/>
      <c r="OIW2472" s="63"/>
      <c r="OIX2472" s="61"/>
      <c r="OIY2472" s="54"/>
      <c r="OIZ2472" s="54"/>
      <c r="OJA2472" s="63"/>
      <c r="OJB2472" s="60"/>
      <c r="OJC2472" s="60"/>
      <c r="OJD2472" s="60"/>
      <c r="OJE2472" s="63"/>
      <c r="OJF2472" s="61"/>
      <c r="OJG2472" s="54"/>
      <c r="OJH2472" s="54"/>
      <c r="OJI2472" s="63"/>
      <c r="OJJ2472" s="60"/>
      <c r="OJK2472" s="60"/>
      <c r="OJL2472" s="60"/>
      <c r="OJM2472" s="63"/>
      <c r="OJN2472" s="61"/>
      <c r="OJO2472" s="54"/>
      <c r="OJP2472" s="54"/>
      <c r="OJQ2472" s="63"/>
      <c r="OJR2472" s="60"/>
      <c r="OJS2472" s="60"/>
      <c r="OJT2472" s="60"/>
      <c r="OJU2472" s="63"/>
      <c r="OJV2472" s="61"/>
      <c r="OJW2472" s="54"/>
      <c r="OJX2472" s="54"/>
      <c r="OJY2472" s="63"/>
      <c r="OJZ2472" s="60"/>
      <c r="OKA2472" s="60"/>
      <c r="OKB2472" s="60"/>
      <c r="OKC2472" s="63"/>
      <c r="OKD2472" s="61"/>
      <c r="OKE2472" s="54"/>
      <c r="OKF2472" s="54"/>
      <c r="OKG2472" s="63"/>
      <c r="OKH2472" s="60"/>
      <c r="OKI2472" s="60"/>
      <c r="OKJ2472" s="60"/>
      <c r="OKK2472" s="63"/>
      <c r="OKL2472" s="61"/>
      <c r="OKM2472" s="54"/>
      <c r="OKN2472" s="54"/>
      <c r="OKO2472" s="63"/>
      <c r="OKP2472" s="60"/>
      <c r="OKQ2472" s="60"/>
      <c r="OKR2472" s="60"/>
      <c r="OKS2472" s="63"/>
      <c r="OKT2472" s="61"/>
      <c r="OKU2472" s="54"/>
      <c r="OKV2472" s="54"/>
      <c r="OKW2472" s="63"/>
      <c r="OKX2472" s="60"/>
      <c r="OKY2472" s="60"/>
      <c r="OKZ2472" s="60"/>
      <c r="OLA2472" s="63"/>
      <c r="OLB2472" s="61"/>
      <c r="OLC2472" s="54"/>
      <c r="OLD2472" s="54"/>
      <c r="OLE2472" s="63"/>
      <c r="OLF2472" s="60"/>
      <c r="OLG2472" s="60"/>
      <c r="OLH2472" s="60"/>
      <c r="OLI2472" s="63"/>
      <c r="OLJ2472" s="61"/>
      <c r="OLK2472" s="54"/>
      <c r="OLL2472" s="54"/>
      <c r="OLM2472" s="63"/>
      <c r="OLN2472" s="60"/>
      <c r="OLO2472" s="60"/>
      <c r="OLP2472" s="60"/>
      <c r="OLQ2472" s="63"/>
      <c r="OLR2472" s="61"/>
      <c r="OLS2472" s="54"/>
      <c r="OLT2472" s="54"/>
      <c r="OLU2472" s="63"/>
      <c r="OLV2472" s="60"/>
      <c r="OLW2472" s="60"/>
      <c r="OLX2472" s="60"/>
      <c r="OLY2472" s="63"/>
      <c r="OLZ2472" s="61"/>
      <c r="OMA2472" s="54"/>
      <c r="OMB2472" s="54"/>
      <c r="OMC2472" s="63"/>
      <c r="OMD2472" s="60"/>
      <c r="OME2472" s="60"/>
      <c r="OMF2472" s="60"/>
      <c r="OMG2472" s="63"/>
      <c r="OMH2472" s="61"/>
      <c r="OMI2472" s="54"/>
      <c r="OMJ2472" s="54"/>
      <c r="OMK2472" s="63"/>
      <c r="OML2472" s="60"/>
      <c r="OMM2472" s="60"/>
      <c r="OMN2472" s="60"/>
      <c r="OMO2472" s="63"/>
      <c r="OMP2472" s="61"/>
      <c r="OMQ2472" s="54"/>
      <c r="OMR2472" s="54"/>
      <c r="OMS2472" s="63"/>
      <c r="OMT2472" s="60"/>
      <c r="OMU2472" s="60"/>
      <c r="OMV2472" s="60"/>
      <c r="OMW2472" s="63"/>
      <c r="OMX2472" s="61"/>
      <c r="OMY2472" s="54"/>
      <c r="OMZ2472" s="54"/>
      <c r="ONA2472" s="63"/>
      <c r="ONB2472" s="60"/>
      <c r="ONC2472" s="60"/>
      <c r="OND2472" s="60"/>
      <c r="ONE2472" s="63"/>
      <c r="ONF2472" s="61"/>
      <c r="ONG2472" s="54"/>
      <c r="ONH2472" s="54"/>
      <c r="ONI2472" s="63"/>
      <c r="ONJ2472" s="60"/>
      <c r="ONK2472" s="60"/>
      <c r="ONL2472" s="60"/>
      <c r="ONM2472" s="63"/>
      <c r="ONN2472" s="61"/>
      <c r="ONO2472" s="54"/>
      <c r="ONP2472" s="54"/>
      <c r="ONQ2472" s="63"/>
      <c r="ONR2472" s="60"/>
      <c r="ONS2472" s="60"/>
      <c r="ONT2472" s="60"/>
      <c r="ONU2472" s="63"/>
      <c r="ONV2472" s="61"/>
      <c r="ONW2472" s="54"/>
      <c r="ONX2472" s="54"/>
      <c r="ONY2472" s="63"/>
      <c r="ONZ2472" s="60"/>
      <c r="OOA2472" s="60"/>
      <c r="OOB2472" s="60"/>
      <c r="OOC2472" s="63"/>
      <c r="OOD2472" s="61"/>
      <c r="OOE2472" s="54"/>
      <c r="OOF2472" s="54"/>
      <c r="OOG2472" s="63"/>
      <c r="OOH2472" s="60"/>
      <c r="OOI2472" s="60"/>
      <c r="OOJ2472" s="60"/>
      <c r="OOK2472" s="63"/>
      <c r="OOL2472" s="61"/>
      <c r="OOM2472" s="54"/>
      <c r="OON2472" s="54"/>
      <c r="OOO2472" s="63"/>
      <c r="OOP2472" s="60"/>
      <c r="OOQ2472" s="60"/>
      <c r="OOR2472" s="60"/>
      <c r="OOS2472" s="63"/>
      <c r="OOT2472" s="61"/>
      <c r="OOU2472" s="54"/>
      <c r="OOV2472" s="54"/>
      <c r="OOW2472" s="63"/>
      <c r="OOX2472" s="60"/>
      <c r="OOY2472" s="60"/>
      <c r="OOZ2472" s="60"/>
      <c r="OPA2472" s="63"/>
      <c r="OPB2472" s="61"/>
      <c r="OPC2472" s="54"/>
      <c r="OPD2472" s="54"/>
      <c r="OPE2472" s="63"/>
      <c r="OPF2472" s="60"/>
      <c r="OPG2472" s="60"/>
      <c r="OPH2472" s="60"/>
      <c r="OPI2472" s="63"/>
      <c r="OPJ2472" s="61"/>
      <c r="OPK2472" s="54"/>
      <c r="OPL2472" s="54"/>
      <c r="OPM2472" s="63"/>
      <c r="OPN2472" s="60"/>
      <c r="OPO2472" s="60"/>
      <c r="OPP2472" s="60"/>
      <c r="OPQ2472" s="63"/>
      <c r="OPR2472" s="61"/>
      <c r="OPS2472" s="54"/>
      <c r="OPT2472" s="54"/>
      <c r="OPU2472" s="63"/>
      <c r="OPV2472" s="60"/>
      <c r="OPW2472" s="60"/>
      <c r="OPX2472" s="60"/>
      <c r="OPY2472" s="63"/>
      <c r="OPZ2472" s="61"/>
      <c r="OQA2472" s="54"/>
      <c r="OQB2472" s="54"/>
      <c r="OQC2472" s="63"/>
      <c r="OQD2472" s="60"/>
      <c r="OQE2472" s="60"/>
      <c r="OQF2472" s="60"/>
      <c r="OQG2472" s="63"/>
      <c r="OQH2472" s="61"/>
      <c r="OQI2472" s="54"/>
      <c r="OQJ2472" s="54"/>
      <c r="OQK2472" s="63"/>
      <c r="OQL2472" s="60"/>
      <c r="OQM2472" s="60"/>
      <c r="OQN2472" s="60"/>
      <c r="OQO2472" s="63"/>
      <c r="OQP2472" s="61"/>
      <c r="OQQ2472" s="54"/>
      <c r="OQR2472" s="54"/>
      <c r="OQS2472" s="63"/>
      <c r="OQT2472" s="60"/>
      <c r="OQU2472" s="60"/>
      <c r="OQV2472" s="60"/>
      <c r="OQW2472" s="63"/>
      <c r="OQX2472" s="61"/>
      <c r="OQY2472" s="54"/>
      <c r="OQZ2472" s="54"/>
      <c r="ORA2472" s="63"/>
      <c r="ORB2472" s="60"/>
      <c r="ORC2472" s="60"/>
      <c r="ORD2472" s="60"/>
      <c r="ORE2472" s="63"/>
      <c r="ORF2472" s="61"/>
      <c r="ORG2472" s="54"/>
      <c r="ORH2472" s="54"/>
      <c r="ORI2472" s="63"/>
      <c r="ORJ2472" s="60"/>
      <c r="ORK2472" s="60"/>
      <c r="ORL2472" s="60"/>
      <c r="ORM2472" s="63"/>
      <c r="ORN2472" s="61"/>
      <c r="ORO2472" s="54"/>
      <c r="ORP2472" s="54"/>
      <c r="ORQ2472" s="63"/>
      <c r="ORR2472" s="60"/>
      <c r="ORS2472" s="60"/>
      <c r="ORT2472" s="60"/>
      <c r="ORU2472" s="63"/>
      <c r="ORV2472" s="61"/>
      <c r="ORW2472" s="54"/>
      <c r="ORX2472" s="54"/>
      <c r="ORY2472" s="63"/>
      <c r="ORZ2472" s="60"/>
      <c r="OSA2472" s="60"/>
      <c r="OSB2472" s="60"/>
      <c r="OSC2472" s="63"/>
      <c r="OSD2472" s="61"/>
      <c r="OSE2472" s="54"/>
      <c r="OSF2472" s="54"/>
      <c r="OSG2472" s="63"/>
      <c r="OSH2472" s="60"/>
      <c r="OSI2472" s="60"/>
      <c r="OSJ2472" s="60"/>
      <c r="OSK2472" s="63"/>
      <c r="OSL2472" s="61"/>
      <c r="OSM2472" s="54"/>
      <c r="OSN2472" s="54"/>
      <c r="OSO2472" s="63"/>
      <c r="OSP2472" s="60"/>
      <c r="OSQ2472" s="60"/>
      <c r="OSR2472" s="60"/>
      <c r="OSS2472" s="63"/>
      <c r="OST2472" s="61"/>
      <c r="OSU2472" s="54"/>
      <c r="OSV2472" s="54"/>
      <c r="OSW2472" s="63"/>
      <c r="OSX2472" s="60"/>
      <c r="OSY2472" s="60"/>
      <c r="OSZ2472" s="60"/>
      <c r="OTA2472" s="63"/>
      <c r="OTB2472" s="61"/>
      <c r="OTC2472" s="54"/>
      <c r="OTD2472" s="54"/>
      <c r="OTE2472" s="63"/>
      <c r="OTF2472" s="60"/>
      <c r="OTG2472" s="60"/>
      <c r="OTH2472" s="60"/>
      <c r="OTI2472" s="63"/>
      <c r="OTJ2472" s="61"/>
      <c r="OTK2472" s="54"/>
      <c r="OTL2472" s="54"/>
      <c r="OTM2472" s="63"/>
      <c r="OTN2472" s="60"/>
      <c r="OTO2472" s="60"/>
      <c r="OTP2472" s="60"/>
      <c r="OTQ2472" s="63"/>
      <c r="OTR2472" s="61"/>
      <c r="OTS2472" s="54"/>
      <c r="OTT2472" s="54"/>
      <c r="OTU2472" s="63"/>
      <c r="OTV2472" s="60"/>
      <c r="OTW2472" s="60"/>
      <c r="OTX2472" s="60"/>
      <c r="OTY2472" s="63"/>
      <c r="OTZ2472" s="61"/>
      <c r="OUA2472" s="54"/>
      <c r="OUB2472" s="54"/>
      <c r="OUC2472" s="63"/>
      <c r="OUD2472" s="60"/>
      <c r="OUE2472" s="60"/>
      <c r="OUF2472" s="60"/>
      <c r="OUG2472" s="63"/>
      <c r="OUH2472" s="61"/>
      <c r="OUI2472" s="54"/>
      <c r="OUJ2472" s="54"/>
      <c r="OUK2472" s="63"/>
      <c r="OUL2472" s="60"/>
      <c r="OUM2472" s="60"/>
      <c r="OUN2472" s="60"/>
      <c r="OUO2472" s="63"/>
      <c r="OUP2472" s="61"/>
      <c r="OUQ2472" s="54"/>
      <c r="OUR2472" s="54"/>
      <c r="OUS2472" s="63"/>
      <c r="OUT2472" s="60"/>
      <c r="OUU2472" s="60"/>
      <c r="OUV2472" s="60"/>
      <c r="OUW2472" s="63"/>
      <c r="OUX2472" s="61"/>
      <c r="OUY2472" s="54"/>
      <c r="OUZ2472" s="54"/>
      <c r="OVA2472" s="63"/>
      <c r="OVB2472" s="60"/>
      <c r="OVC2472" s="60"/>
      <c r="OVD2472" s="60"/>
      <c r="OVE2472" s="63"/>
      <c r="OVF2472" s="61"/>
      <c r="OVG2472" s="54"/>
      <c r="OVH2472" s="54"/>
      <c r="OVI2472" s="63"/>
      <c r="OVJ2472" s="60"/>
      <c r="OVK2472" s="60"/>
      <c r="OVL2472" s="60"/>
      <c r="OVM2472" s="63"/>
      <c r="OVN2472" s="61"/>
      <c r="OVO2472" s="54"/>
      <c r="OVP2472" s="54"/>
      <c r="OVQ2472" s="63"/>
      <c r="OVR2472" s="60"/>
      <c r="OVS2472" s="60"/>
      <c r="OVT2472" s="60"/>
      <c r="OVU2472" s="63"/>
      <c r="OVV2472" s="61"/>
      <c r="OVW2472" s="54"/>
      <c r="OVX2472" s="54"/>
      <c r="OVY2472" s="63"/>
      <c r="OVZ2472" s="60"/>
      <c r="OWA2472" s="60"/>
      <c r="OWB2472" s="60"/>
      <c r="OWC2472" s="63"/>
      <c r="OWD2472" s="61"/>
      <c r="OWE2472" s="54"/>
      <c r="OWF2472" s="54"/>
      <c r="OWG2472" s="63"/>
      <c r="OWH2472" s="60"/>
      <c r="OWI2472" s="60"/>
      <c r="OWJ2472" s="60"/>
      <c r="OWK2472" s="63"/>
      <c r="OWL2472" s="61"/>
      <c r="OWM2472" s="54"/>
      <c r="OWN2472" s="54"/>
      <c r="OWO2472" s="63"/>
      <c r="OWP2472" s="60"/>
      <c r="OWQ2472" s="60"/>
      <c r="OWR2472" s="60"/>
      <c r="OWS2472" s="63"/>
      <c r="OWT2472" s="61"/>
      <c r="OWU2472" s="54"/>
      <c r="OWV2472" s="54"/>
      <c r="OWW2472" s="63"/>
      <c r="OWX2472" s="60"/>
      <c r="OWY2472" s="60"/>
      <c r="OWZ2472" s="60"/>
      <c r="OXA2472" s="63"/>
      <c r="OXB2472" s="61"/>
      <c r="OXC2472" s="54"/>
      <c r="OXD2472" s="54"/>
      <c r="OXE2472" s="63"/>
      <c r="OXF2472" s="60"/>
      <c r="OXG2472" s="60"/>
      <c r="OXH2472" s="60"/>
      <c r="OXI2472" s="63"/>
      <c r="OXJ2472" s="61"/>
      <c r="OXK2472" s="54"/>
      <c r="OXL2472" s="54"/>
      <c r="OXM2472" s="63"/>
      <c r="OXN2472" s="60"/>
      <c r="OXO2472" s="60"/>
      <c r="OXP2472" s="60"/>
      <c r="OXQ2472" s="63"/>
      <c r="OXR2472" s="61"/>
      <c r="OXS2472" s="54"/>
      <c r="OXT2472" s="54"/>
      <c r="OXU2472" s="63"/>
      <c r="OXV2472" s="60"/>
      <c r="OXW2472" s="60"/>
      <c r="OXX2472" s="60"/>
      <c r="OXY2472" s="63"/>
      <c r="OXZ2472" s="61"/>
      <c r="OYA2472" s="54"/>
      <c r="OYB2472" s="54"/>
      <c r="OYC2472" s="63"/>
      <c r="OYD2472" s="60"/>
      <c r="OYE2472" s="60"/>
      <c r="OYF2472" s="60"/>
      <c r="OYG2472" s="63"/>
      <c r="OYH2472" s="61"/>
      <c r="OYI2472" s="54"/>
      <c r="OYJ2472" s="54"/>
      <c r="OYK2472" s="63"/>
      <c r="OYL2472" s="60"/>
      <c r="OYM2472" s="60"/>
      <c r="OYN2472" s="60"/>
      <c r="OYO2472" s="63"/>
      <c r="OYP2472" s="61"/>
      <c r="OYQ2472" s="54"/>
      <c r="OYR2472" s="54"/>
      <c r="OYS2472" s="63"/>
      <c r="OYT2472" s="60"/>
      <c r="OYU2472" s="60"/>
      <c r="OYV2472" s="60"/>
      <c r="OYW2472" s="63"/>
      <c r="OYX2472" s="61"/>
      <c r="OYY2472" s="54"/>
      <c r="OYZ2472" s="54"/>
      <c r="OZA2472" s="63"/>
      <c r="OZB2472" s="60"/>
      <c r="OZC2472" s="60"/>
      <c r="OZD2472" s="60"/>
      <c r="OZE2472" s="63"/>
      <c r="OZF2472" s="61"/>
      <c r="OZG2472" s="54"/>
      <c r="OZH2472" s="54"/>
      <c r="OZI2472" s="63"/>
      <c r="OZJ2472" s="60"/>
      <c r="OZK2472" s="60"/>
      <c r="OZL2472" s="60"/>
      <c r="OZM2472" s="63"/>
      <c r="OZN2472" s="61"/>
      <c r="OZO2472" s="54"/>
      <c r="OZP2472" s="54"/>
      <c r="OZQ2472" s="63"/>
      <c r="OZR2472" s="60"/>
      <c r="OZS2472" s="60"/>
      <c r="OZT2472" s="60"/>
      <c r="OZU2472" s="63"/>
      <c r="OZV2472" s="61"/>
      <c r="OZW2472" s="54"/>
      <c r="OZX2472" s="54"/>
      <c r="OZY2472" s="63"/>
      <c r="OZZ2472" s="60"/>
      <c r="PAA2472" s="60"/>
      <c r="PAB2472" s="60"/>
      <c r="PAC2472" s="63"/>
      <c r="PAD2472" s="61"/>
      <c r="PAE2472" s="54"/>
      <c r="PAF2472" s="54"/>
      <c r="PAG2472" s="63"/>
      <c r="PAH2472" s="60"/>
      <c r="PAI2472" s="60"/>
      <c r="PAJ2472" s="60"/>
      <c r="PAK2472" s="63"/>
      <c r="PAL2472" s="61"/>
      <c r="PAM2472" s="54"/>
      <c r="PAN2472" s="54"/>
      <c r="PAO2472" s="63"/>
      <c r="PAP2472" s="60"/>
      <c r="PAQ2472" s="60"/>
      <c r="PAR2472" s="60"/>
      <c r="PAS2472" s="63"/>
      <c r="PAT2472" s="61"/>
      <c r="PAU2472" s="54"/>
      <c r="PAV2472" s="54"/>
      <c r="PAW2472" s="63"/>
      <c r="PAX2472" s="60"/>
      <c r="PAY2472" s="60"/>
      <c r="PAZ2472" s="60"/>
      <c r="PBA2472" s="63"/>
      <c r="PBB2472" s="61"/>
      <c r="PBC2472" s="54"/>
      <c r="PBD2472" s="54"/>
      <c r="PBE2472" s="63"/>
      <c r="PBF2472" s="60"/>
      <c r="PBG2472" s="60"/>
      <c r="PBH2472" s="60"/>
      <c r="PBI2472" s="63"/>
      <c r="PBJ2472" s="61"/>
      <c r="PBK2472" s="54"/>
      <c r="PBL2472" s="54"/>
      <c r="PBM2472" s="63"/>
      <c r="PBN2472" s="60"/>
      <c r="PBO2472" s="60"/>
      <c r="PBP2472" s="60"/>
      <c r="PBQ2472" s="63"/>
      <c r="PBR2472" s="61"/>
      <c r="PBS2472" s="54"/>
      <c r="PBT2472" s="54"/>
      <c r="PBU2472" s="63"/>
      <c r="PBV2472" s="60"/>
      <c r="PBW2472" s="60"/>
      <c r="PBX2472" s="60"/>
      <c r="PBY2472" s="63"/>
      <c r="PBZ2472" s="61"/>
      <c r="PCA2472" s="54"/>
      <c r="PCB2472" s="54"/>
      <c r="PCC2472" s="63"/>
      <c r="PCD2472" s="60"/>
      <c r="PCE2472" s="60"/>
      <c r="PCF2472" s="60"/>
      <c r="PCG2472" s="63"/>
      <c r="PCH2472" s="61"/>
      <c r="PCI2472" s="54"/>
      <c r="PCJ2472" s="54"/>
      <c r="PCK2472" s="63"/>
      <c r="PCL2472" s="60"/>
      <c r="PCM2472" s="60"/>
      <c r="PCN2472" s="60"/>
      <c r="PCO2472" s="63"/>
      <c r="PCP2472" s="61"/>
      <c r="PCQ2472" s="54"/>
      <c r="PCR2472" s="54"/>
      <c r="PCS2472" s="63"/>
      <c r="PCT2472" s="60"/>
      <c r="PCU2472" s="60"/>
      <c r="PCV2472" s="60"/>
      <c r="PCW2472" s="63"/>
      <c r="PCX2472" s="61"/>
      <c r="PCY2472" s="54"/>
      <c r="PCZ2472" s="54"/>
      <c r="PDA2472" s="63"/>
      <c r="PDB2472" s="60"/>
      <c r="PDC2472" s="60"/>
      <c r="PDD2472" s="60"/>
      <c r="PDE2472" s="63"/>
      <c r="PDF2472" s="61"/>
      <c r="PDG2472" s="54"/>
      <c r="PDH2472" s="54"/>
      <c r="PDI2472" s="63"/>
      <c r="PDJ2472" s="60"/>
      <c r="PDK2472" s="60"/>
      <c r="PDL2472" s="60"/>
      <c r="PDM2472" s="63"/>
      <c r="PDN2472" s="61"/>
      <c r="PDO2472" s="54"/>
      <c r="PDP2472" s="54"/>
      <c r="PDQ2472" s="63"/>
      <c r="PDR2472" s="60"/>
      <c r="PDS2472" s="60"/>
      <c r="PDT2472" s="60"/>
      <c r="PDU2472" s="63"/>
      <c r="PDV2472" s="61"/>
      <c r="PDW2472" s="54"/>
      <c r="PDX2472" s="54"/>
      <c r="PDY2472" s="63"/>
      <c r="PDZ2472" s="60"/>
      <c r="PEA2472" s="60"/>
      <c r="PEB2472" s="60"/>
      <c r="PEC2472" s="63"/>
      <c r="PED2472" s="61"/>
      <c r="PEE2472" s="54"/>
      <c r="PEF2472" s="54"/>
      <c r="PEG2472" s="63"/>
      <c r="PEH2472" s="60"/>
      <c r="PEI2472" s="60"/>
      <c r="PEJ2472" s="60"/>
      <c r="PEK2472" s="63"/>
      <c r="PEL2472" s="61"/>
      <c r="PEM2472" s="54"/>
      <c r="PEN2472" s="54"/>
      <c r="PEO2472" s="63"/>
      <c r="PEP2472" s="60"/>
      <c r="PEQ2472" s="60"/>
      <c r="PER2472" s="60"/>
      <c r="PES2472" s="63"/>
      <c r="PET2472" s="61"/>
      <c r="PEU2472" s="54"/>
      <c r="PEV2472" s="54"/>
      <c r="PEW2472" s="63"/>
      <c r="PEX2472" s="60"/>
      <c r="PEY2472" s="60"/>
      <c r="PEZ2472" s="60"/>
      <c r="PFA2472" s="63"/>
      <c r="PFB2472" s="61"/>
      <c r="PFC2472" s="54"/>
      <c r="PFD2472" s="54"/>
      <c r="PFE2472" s="63"/>
      <c r="PFF2472" s="60"/>
      <c r="PFG2472" s="60"/>
      <c r="PFH2472" s="60"/>
      <c r="PFI2472" s="63"/>
      <c r="PFJ2472" s="61"/>
      <c r="PFK2472" s="54"/>
      <c r="PFL2472" s="54"/>
      <c r="PFM2472" s="63"/>
      <c r="PFN2472" s="60"/>
      <c r="PFO2472" s="60"/>
      <c r="PFP2472" s="60"/>
      <c r="PFQ2472" s="63"/>
      <c r="PFR2472" s="61"/>
      <c r="PFS2472" s="54"/>
      <c r="PFT2472" s="54"/>
      <c r="PFU2472" s="63"/>
      <c r="PFV2472" s="60"/>
      <c r="PFW2472" s="60"/>
      <c r="PFX2472" s="60"/>
      <c r="PFY2472" s="63"/>
      <c r="PFZ2472" s="61"/>
      <c r="PGA2472" s="54"/>
      <c r="PGB2472" s="54"/>
      <c r="PGC2472" s="63"/>
      <c r="PGD2472" s="60"/>
      <c r="PGE2472" s="60"/>
      <c r="PGF2472" s="60"/>
      <c r="PGG2472" s="63"/>
      <c r="PGH2472" s="61"/>
      <c r="PGI2472" s="54"/>
      <c r="PGJ2472" s="54"/>
      <c r="PGK2472" s="63"/>
      <c r="PGL2472" s="60"/>
      <c r="PGM2472" s="60"/>
      <c r="PGN2472" s="60"/>
      <c r="PGO2472" s="63"/>
      <c r="PGP2472" s="61"/>
      <c r="PGQ2472" s="54"/>
      <c r="PGR2472" s="54"/>
      <c r="PGS2472" s="63"/>
      <c r="PGT2472" s="60"/>
      <c r="PGU2472" s="60"/>
      <c r="PGV2472" s="60"/>
      <c r="PGW2472" s="63"/>
      <c r="PGX2472" s="61"/>
      <c r="PGY2472" s="54"/>
      <c r="PGZ2472" s="54"/>
      <c r="PHA2472" s="63"/>
      <c r="PHB2472" s="60"/>
      <c r="PHC2472" s="60"/>
      <c r="PHD2472" s="60"/>
      <c r="PHE2472" s="63"/>
      <c r="PHF2472" s="61"/>
      <c r="PHG2472" s="54"/>
      <c r="PHH2472" s="54"/>
      <c r="PHI2472" s="63"/>
      <c r="PHJ2472" s="60"/>
      <c r="PHK2472" s="60"/>
      <c r="PHL2472" s="60"/>
      <c r="PHM2472" s="63"/>
      <c r="PHN2472" s="61"/>
      <c r="PHO2472" s="54"/>
      <c r="PHP2472" s="54"/>
      <c r="PHQ2472" s="63"/>
      <c r="PHR2472" s="60"/>
      <c r="PHS2472" s="60"/>
      <c r="PHT2472" s="60"/>
      <c r="PHU2472" s="63"/>
      <c r="PHV2472" s="61"/>
      <c r="PHW2472" s="54"/>
      <c r="PHX2472" s="54"/>
      <c r="PHY2472" s="63"/>
      <c r="PHZ2472" s="60"/>
      <c r="PIA2472" s="60"/>
      <c r="PIB2472" s="60"/>
      <c r="PIC2472" s="63"/>
      <c r="PID2472" s="61"/>
      <c r="PIE2472" s="54"/>
      <c r="PIF2472" s="54"/>
      <c r="PIG2472" s="63"/>
      <c r="PIH2472" s="60"/>
      <c r="PII2472" s="60"/>
      <c r="PIJ2472" s="60"/>
      <c r="PIK2472" s="63"/>
      <c r="PIL2472" s="61"/>
      <c r="PIM2472" s="54"/>
      <c r="PIN2472" s="54"/>
      <c r="PIO2472" s="63"/>
      <c r="PIP2472" s="60"/>
      <c r="PIQ2472" s="60"/>
      <c r="PIR2472" s="60"/>
      <c r="PIS2472" s="63"/>
      <c r="PIT2472" s="61"/>
      <c r="PIU2472" s="54"/>
      <c r="PIV2472" s="54"/>
      <c r="PIW2472" s="63"/>
      <c r="PIX2472" s="60"/>
      <c r="PIY2472" s="60"/>
      <c r="PIZ2472" s="60"/>
      <c r="PJA2472" s="63"/>
      <c r="PJB2472" s="61"/>
      <c r="PJC2472" s="54"/>
      <c r="PJD2472" s="54"/>
      <c r="PJE2472" s="63"/>
      <c r="PJF2472" s="60"/>
      <c r="PJG2472" s="60"/>
      <c r="PJH2472" s="60"/>
      <c r="PJI2472" s="63"/>
      <c r="PJJ2472" s="61"/>
      <c r="PJK2472" s="54"/>
      <c r="PJL2472" s="54"/>
      <c r="PJM2472" s="63"/>
      <c r="PJN2472" s="60"/>
      <c r="PJO2472" s="60"/>
      <c r="PJP2472" s="60"/>
      <c r="PJQ2472" s="63"/>
      <c r="PJR2472" s="61"/>
      <c r="PJS2472" s="54"/>
      <c r="PJT2472" s="54"/>
      <c r="PJU2472" s="63"/>
      <c r="PJV2472" s="60"/>
      <c r="PJW2472" s="60"/>
      <c r="PJX2472" s="60"/>
      <c r="PJY2472" s="63"/>
      <c r="PJZ2472" s="61"/>
      <c r="PKA2472" s="54"/>
      <c r="PKB2472" s="54"/>
      <c r="PKC2472" s="63"/>
      <c r="PKD2472" s="60"/>
      <c r="PKE2472" s="60"/>
      <c r="PKF2472" s="60"/>
      <c r="PKG2472" s="63"/>
      <c r="PKH2472" s="61"/>
      <c r="PKI2472" s="54"/>
      <c r="PKJ2472" s="54"/>
      <c r="PKK2472" s="63"/>
      <c r="PKL2472" s="60"/>
      <c r="PKM2472" s="60"/>
      <c r="PKN2472" s="60"/>
      <c r="PKO2472" s="63"/>
      <c r="PKP2472" s="61"/>
      <c r="PKQ2472" s="54"/>
      <c r="PKR2472" s="54"/>
      <c r="PKS2472" s="63"/>
      <c r="PKT2472" s="60"/>
      <c r="PKU2472" s="60"/>
      <c r="PKV2472" s="60"/>
      <c r="PKW2472" s="63"/>
      <c r="PKX2472" s="61"/>
      <c r="PKY2472" s="54"/>
      <c r="PKZ2472" s="54"/>
      <c r="PLA2472" s="63"/>
      <c r="PLB2472" s="60"/>
      <c r="PLC2472" s="60"/>
      <c r="PLD2472" s="60"/>
      <c r="PLE2472" s="63"/>
      <c r="PLF2472" s="61"/>
      <c r="PLG2472" s="54"/>
      <c r="PLH2472" s="54"/>
      <c r="PLI2472" s="63"/>
      <c r="PLJ2472" s="60"/>
      <c r="PLK2472" s="60"/>
      <c r="PLL2472" s="60"/>
      <c r="PLM2472" s="63"/>
      <c r="PLN2472" s="61"/>
      <c r="PLO2472" s="54"/>
      <c r="PLP2472" s="54"/>
      <c r="PLQ2472" s="63"/>
      <c r="PLR2472" s="60"/>
      <c r="PLS2472" s="60"/>
      <c r="PLT2472" s="60"/>
      <c r="PLU2472" s="63"/>
      <c r="PLV2472" s="61"/>
      <c r="PLW2472" s="54"/>
      <c r="PLX2472" s="54"/>
      <c r="PLY2472" s="63"/>
      <c r="PLZ2472" s="60"/>
      <c r="PMA2472" s="60"/>
      <c r="PMB2472" s="60"/>
      <c r="PMC2472" s="63"/>
      <c r="PMD2472" s="61"/>
      <c r="PME2472" s="54"/>
      <c r="PMF2472" s="54"/>
      <c r="PMG2472" s="63"/>
      <c r="PMH2472" s="60"/>
      <c r="PMI2472" s="60"/>
      <c r="PMJ2472" s="60"/>
      <c r="PMK2472" s="63"/>
      <c r="PML2472" s="61"/>
      <c r="PMM2472" s="54"/>
      <c r="PMN2472" s="54"/>
      <c r="PMO2472" s="63"/>
      <c r="PMP2472" s="60"/>
      <c r="PMQ2472" s="60"/>
      <c r="PMR2472" s="60"/>
      <c r="PMS2472" s="63"/>
      <c r="PMT2472" s="61"/>
      <c r="PMU2472" s="54"/>
      <c r="PMV2472" s="54"/>
      <c r="PMW2472" s="63"/>
      <c r="PMX2472" s="60"/>
      <c r="PMY2472" s="60"/>
      <c r="PMZ2472" s="60"/>
      <c r="PNA2472" s="63"/>
      <c r="PNB2472" s="61"/>
      <c r="PNC2472" s="54"/>
      <c r="PND2472" s="54"/>
      <c r="PNE2472" s="63"/>
      <c r="PNF2472" s="60"/>
      <c r="PNG2472" s="60"/>
      <c r="PNH2472" s="60"/>
      <c r="PNI2472" s="63"/>
      <c r="PNJ2472" s="61"/>
      <c r="PNK2472" s="54"/>
      <c r="PNL2472" s="54"/>
      <c r="PNM2472" s="63"/>
      <c r="PNN2472" s="60"/>
      <c r="PNO2472" s="60"/>
      <c r="PNP2472" s="60"/>
      <c r="PNQ2472" s="63"/>
      <c r="PNR2472" s="61"/>
      <c r="PNS2472" s="54"/>
      <c r="PNT2472" s="54"/>
      <c r="PNU2472" s="63"/>
      <c r="PNV2472" s="60"/>
      <c r="PNW2472" s="60"/>
      <c r="PNX2472" s="60"/>
      <c r="PNY2472" s="63"/>
      <c r="PNZ2472" s="61"/>
      <c r="POA2472" s="54"/>
      <c r="POB2472" s="54"/>
      <c r="POC2472" s="63"/>
      <c r="POD2472" s="60"/>
      <c r="POE2472" s="60"/>
      <c r="POF2472" s="60"/>
      <c r="POG2472" s="63"/>
      <c r="POH2472" s="61"/>
      <c r="POI2472" s="54"/>
      <c r="POJ2472" s="54"/>
      <c r="POK2472" s="63"/>
      <c r="POL2472" s="60"/>
      <c r="POM2472" s="60"/>
      <c r="PON2472" s="60"/>
      <c r="POO2472" s="63"/>
      <c r="POP2472" s="61"/>
      <c r="POQ2472" s="54"/>
      <c r="POR2472" s="54"/>
      <c r="POS2472" s="63"/>
      <c r="POT2472" s="60"/>
      <c r="POU2472" s="60"/>
      <c r="POV2472" s="60"/>
      <c r="POW2472" s="63"/>
      <c r="POX2472" s="61"/>
      <c r="POY2472" s="54"/>
      <c r="POZ2472" s="54"/>
      <c r="PPA2472" s="63"/>
      <c r="PPB2472" s="60"/>
      <c r="PPC2472" s="60"/>
      <c r="PPD2472" s="60"/>
      <c r="PPE2472" s="63"/>
      <c r="PPF2472" s="61"/>
      <c r="PPG2472" s="54"/>
      <c r="PPH2472" s="54"/>
      <c r="PPI2472" s="63"/>
      <c r="PPJ2472" s="60"/>
      <c r="PPK2472" s="60"/>
      <c r="PPL2472" s="60"/>
      <c r="PPM2472" s="63"/>
      <c r="PPN2472" s="61"/>
      <c r="PPO2472" s="54"/>
      <c r="PPP2472" s="54"/>
      <c r="PPQ2472" s="63"/>
      <c r="PPR2472" s="60"/>
      <c r="PPS2472" s="60"/>
      <c r="PPT2472" s="60"/>
      <c r="PPU2472" s="63"/>
      <c r="PPV2472" s="61"/>
      <c r="PPW2472" s="54"/>
      <c r="PPX2472" s="54"/>
      <c r="PPY2472" s="63"/>
      <c r="PPZ2472" s="60"/>
      <c r="PQA2472" s="60"/>
      <c r="PQB2472" s="60"/>
      <c r="PQC2472" s="63"/>
      <c r="PQD2472" s="61"/>
      <c r="PQE2472" s="54"/>
      <c r="PQF2472" s="54"/>
      <c r="PQG2472" s="63"/>
      <c r="PQH2472" s="60"/>
      <c r="PQI2472" s="60"/>
      <c r="PQJ2472" s="60"/>
      <c r="PQK2472" s="63"/>
      <c r="PQL2472" s="61"/>
      <c r="PQM2472" s="54"/>
      <c r="PQN2472" s="54"/>
      <c r="PQO2472" s="63"/>
      <c r="PQP2472" s="60"/>
      <c r="PQQ2472" s="60"/>
      <c r="PQR2472" s="60"/>
      <c r="PQS2472" s="63"/>
      <c r="PQT2472" s="61"/>
      <c r="PQU2472" s="54"/>
      <c r="PQV2472" s="54"/>
      <c r="PQW2472" s="63"/>
      <c r="PQX2472" s="60"/>
      <c r="PQY2472" s="60"/>
      <c r="PQZ2472" s="60"/>
      <c r="PRA2472" s="63"/>
      <c r="PRB2472" s="61"/>
      <c r="PRC2472" s="54"/>
      <c r="PRD2472" s="54"/>
      <c r="PRE2472" s="63"/>
      <c r="PRF2472" s="60"/>
      <c r="PRG2472" s="60"/>
      <c r="PRH2472" s="60"/>
      <c r="PRI2472" s="63"/>
      <c r="PRJ2472" s="61"/>
      <c r="PRK2472" s="54"/>
      <c r="PRL2472" s="54"/>
      <c r="PRM2472" s="63"/>
      <c r="PRN2472" s="60"/>
      <c r="PRO2472" s="60"/>
      <c r="PRP2472" s="60"/>
      <c r="PRQ2472" s="63"/>
      <c r="PRR2472" s="61"/>
      <c r="PRS2472" s="54"/>
      <c r="PRT2472" s="54"/>
      <c r="PRU2472" s="63"/>
      <c r="PRV2472" s="60"/>
      <c r="PRW2472" s="60"/>
      <c r="PRX2472" s="60"/>
      <c r="PRY2472" s="63"/>
      <c r="PRZ2472" s="61"/>
      <c r="PSA2472" s="54"/>
      <c r="PSB2472" s="54"/>
      <c r="PSC2472" s="63"/>
      <c r="PSD2472" s="60"/>
      <c r="PSE2472" s="60"/>
      <c r="PSF2472" s="60"/>
      <c r="PSG2472" s="63"/>
      <c r="PSH2472" s="61"/>
      <c r="PSI2472" s="54"/>
      <c r="PSJ2472" s="54"/>
      <c r="PSK2472" s="63"/>
      <c r="PSL2472" s="60"/>
      <c r="PSM2472" s="60"/>
      <c r="PSN2472" s="60"/>
      <c r="PSO2472" s="63"/>
      <c r="PSP2472" s="61"/>
      <c r="PSQ2472" s="54"/>
      <c r="PSR2472" s="54"/>
      <c r="PSS2472" s="63"/>
      <c r="PST2472" s="60"/>
      <c r="PSU2472" s="60"/>
      <c r="PSV2472" s="60"/>
      <c r="PSW2472" s="63"/>
      <c r="PSX2472" s="61"/>
      <c r="PSY2472" s="54"/>
      <c r="PSZ2472" s="54"/>
      <c r="PTA2472" s="63"/>
      <c r="PTB2472" s="60"/>
      <c r="PTC2472" s="60"/>
      <c r="PTD2472" s="60"/>
      <c r="PTE2472" s="63"/>
      <c r="PTF2472" s="61"/>
      <c r="PTG2472" s="54"/>
      <c r="PTH2472" s="54"/>
      <c r="PTI2472" s="63"/>
      <c r="PTJ2472" s="60"/>
      <c r="PTK2472" s="60"/>
      <c r="PTL2472" s="60"/>
      <c r="PTM2472" s="63"/>
      <c r="PTN2472" s="61"/>
      <c r="PTO2472" s="54"/>
      <c r="PTP2472" s="54"/>
      <c r="PTQ2472" s="63"/>
      <c r="PTR2472" s="60"/>
      <c r="PTS2472" s="60"/>
      <c r="PTT2472" s="60"/>
      <c r="PTU2472" s="63"/>
      <c r="PTV2472" s="61"/>
      <c r="PTW2472" s="54"/>
      <c r="PTX2472" s="54"/>
      <c r="PTY2472" s="63"/>
      <c r="PTZ2472" s="60"/>
      <c r="PUA2472" s="60"/>
      <c r="PUB2472" s="60"/>
      <c r="PUC2472" s="63"/>
      <c r="PUD2472" s="61"/>
      <c r="PUE2472" s="54"/>
      <c r="PUF2472" s="54"/>
      <c r="PUG2472" s="63"/>
      <c r="PUH2472" s="60"/>
      <c r="PUI2472" s="60"/>
      <c r="PUJ2472" s="60"/>
      <c r="PUK2472" s="63"/>
      <c r="PUL2472" s="61"/>
      <c r="PUM2472" s="54"/>
      <c r="PUN2472" s="54"/>
      <c r="PUO2472" s="63"/>
      <c r="PUP2472" s="60"/>
      <c r="PUQ2472" s="60"/>
      <c r="PUR2472" s="60"/>
      <c r="PUS2472" s="63"/>
      <c r="PUT2472" s="61"/>
      <c r="PUU2472" s="54"/>
      <c r="PUV2472" s="54"/>
      <c r="PUW2472" s="63"/>
      <c r="PUX2472" s="60"/>
      <c r="PUY2472" s="60"/>
      <c r="PUZ2472" s="60"/>
      <c r="PVA2472" s="63"/>
      <c r="PVB2472" s="61"/>
      <c r="PVC2472" s="54"/>
      <c r="PVD2472" s="54"/>
      <c r="PVE2472" s="63"/>
      <c r="PVF2472" s="60"/>
      <c r="PVG2472" s="60"/>
      <c r="PVH2472" s="60"/>
      <c r="PVI2472" s="63"/>
      <c r="PVJ2472" s="61"/>
      <c r="PVK2472" s="54"/>
      <c r="PVL2472" s="54"/>
      <c r="PVM2472" s="63"/>
      <c r="PVN2472" s="60"/>
      <c r="PVO2472" s="60"/>
      <c r="PVP2472" s="60"/>
      <c r="PVQ2472" s="63"/>
      <c r="PVR2472" s="61"/>
      <c r="PVS2472" s="54"/>
      <c r="PVT2472" s="54"/>
      <c r="PVU2472" s="63"/>
      <c r="PVV2472" s="60"/>
      <c r="PVW2472" s="60"/>
      <c r="PVX2472" s="60"/>
      <c r="PVY2472" s="63"/>
      <c r="PVZ2472" s="61"/>
      <c r="PWA2472" s="54"/>
      <c r="PWB2472" s="54"/>
      <c r="PWC2472" s="63"/>
      <c r="PWD2472" s="60"/>
      <c r="PWE2472" s="60"/>
      <c r="PWF2472" s="60"/>
      <c r="PWG2472" s="63"/>
      <c r="PWH2472" s="61"/>
      <c r="PWI2472" s="54"/>
      <c r="PWJ2472" s="54"/>
      <c r="PWK2472" s="63"/>
      <c r="PWL2472" s="60"/>
      <c r="PWM2472" s="60"/>
      <c r="PWN2472" s="60"/>
      <c r="PWO2472" s="63"/>
      <c r="PWP2472" s="61"/>
      <c r="PWQ2472" s="54"/>
      <c r="PWR2472" s="54"/>
      <c r="PWS2472" s="63"/>
      <c r="PWT2472" s="60"/>
      <c r="PWU2472" s="60"/>
      <c r="PWV2472" s="60"/>
      <c r="PWW2472" s="63"/>
      <c r="PWX2472" s="61"/>
      <c r="PWY2472" s="54"/>
      <c r="PWZ2472" s="54"/>
      <c r="PXA2472" s="63"/>
      <c r="PXB2472" s="60"/>
      <c r="PXC2472" s="60"/>
      <c r="PXD2472" s="60"/>
      <c r="PXE2472" s="63"/>
      <c r="PXF2472" s="61"/>
      <c r="PXG2472" s="54"/>
      <c r="PXH2472" s="54"/>
      <c r="PXI2472" s="63"/>
      <c r="PXJ2472" s="60"/>
      <c r="PXK2472" s="60"/>
      <c r="PXL2472" s="60"/>
      <c r="PXM2472" s="63"/>
      <c r="PXN2472" s="61"/>
      <c r="PXO2472" s="54"/>
      <c r="PXP2472" s="54"/>
      <c r="PXQ2472" s="63"/>
      <c r="PXR2472" s="60"/>
      <c r="PXS2472" s="60"/>
      <c r="PXT2472" s="60"/>
      <c r="PXU2472" s="63"/>
      <c r="PXV2472" s="61"/>
      <c r="PXW2472" s="54"/>
      <c r="PXX2472" s="54"/>
      <c r="PXY2472" s="63"/>
      <c r="PXZ2472" s="60"/>
      <c r="PYA2472" s="60"/>
      <c r="PYB2472" s="60"/>
      <c r="PYC2472" s="63"/>
      <c r="PYD2472" s="61"/>
      <c r="PYE2472" s="54"/>
      <c r="PYF2472" s="54"/>
      <c r="PYG2472" s="63"/>
      <c r="PYH2472" s="60"/>
      <c r="PYI2472" s="60"/>
      <c r="PYJ2472" s="60"/>
      <c r="PYK2472" s="63"/>
      <c r="PYL2472" s="61"/>
      <c r="PYM2472" s="54"/>
      <c r="PYN2472" s="54"/>
      <c r="PYO2472" s="63"/>
      <c r="PYP2472" s="60"/>
      <c r="PYQ2472" s="60"/>
      <c r="PYR2472" s="60"/>
      <c r="PYS2472" s="63"/>
      <c r="PYT2472" s="61"/>
      <c r="PYU2472" s="54"/>
      <c r="PYV2472" s="54"/>
      <c r="PYW2472" s="63"/>
      <c r="PYX2472" s="60"/>
      <c r="PYY2472" s="60"/>
      <c r="PYZ2472" s="60"/>
      <c r="PZA2472" s="63"/>
      <c r="PZB2472" s="61"/>
      <c r="PZC2472" s="54"/>
      <c r="PZD2472" s="54"/>
      <c r="PZE2472" s="63"/>
      <c r="PZF2472" s="60"/>
      <c r="PZG2472" s="60"/>
      <c r="PZH2472" s="60"/>
      <c r="PZI2472" s="63"/>
      <c r="PZJ2472" s="61"/>
      <c r="PZK2472" s="54"/>
      <c r="PZL2472" s="54"/>
      <c r="PZM2472" s="63"/>
      <c r="PZN2472" s="60"/>
      <c r="PZO2472" s="60"/>
      <c r="PZP2472" s="60"/>
      <c r="PZQ2472" s="63"/>
      <c r="PZR2472" s="61"/>
      <c r="PZS2472" s="54"/>
      <c r="PZT2472" s="54"/>
      <c r="PZU2472" s="63"/>
      <c r="PZV2472" s="60"/>
      <c r="PZW2472" s="60"/>
      <c r="PZX2472" s="60"/>
      <c r="PZY2472" s="63"/>
      <c r="PZZ2472" s="61"/>
      <c r="QAA2472" s="54"/>
      <c r="QAB2472" s="54"/>
      <c r="QAC2472" s="63"/>
      <c r="QAD2472" s="60"/>
      <c r="QAE2472" s="60"/>
      <c r="QAF2472" s="60"/>
      <c r="QAG2472" s="63"/>
      <c r="QAH2472" s="61"/>
      <c r="QAI2472" s="54"/>
      <c r="QAJ2472" s="54"/>
      <c r="QAK2472" s="63"/>
      <c r="QAL2472" s="60"/>
      <c r="QAM2472" s="60"/>
      <c r="QAN2472" s="60"/>
      <c r="QAO2472" s="63"/>
      <c r="QAP2472" s="61"/>
      <c r="QAQ2472" s="54"/>
      <c r="QAR2472" s="54"/>
      <c r="QAS2472" s="63"/>
      <c r="QAT2472" s="60"/>
      <c r="QAU2472" s="60"/>
      <c r="QAV2472" s="60"/>
      <c r="QAW2472" s="63"/>
      <c r="QAX2472" s="61"/>
      <c r="QAY2472" s="54"/>
      <c r="QAZ2472" s="54"/>
      <c r="QBA2472" s="63"/>
      <c r="QBB2472" s="60"/>
      <c r="QBC2472" s="60"/>
      <c r="QBD2472" s="60"/>
      <c r="QBE2472" s="63"/>
      <c r="QBF2472" s="61"/>
      <c r="QBG2472" s="54"/>
      <c r="QBH2472" s="54"/>
      <c r="QBI2472" s="63"/>
      <c r="QBJ2472" s="60"/>
      <c r="QBK2472" s="60"/>
      <c r="QBL2472" s="60"/>
      <c r="QBM2472" s="63"/>
      <c r="QBN2472" s="61"/>
      <c r="QBO2472" s="54"/>
      <c r="QBP2472" s="54"/>
      <c r="QBQ2472" s="63"/>
      <c r="QBR2472" s="60"/>
      <c r="QBS2472" s="60"/>
      <c r="QBT2472" s="60"/>
      <c r="QBU2472" s="63"/>
      <c r="QBV2472" s="61"/>
      <c r="QBW2472" s="54"/>
      <c r="QBX2472" s="54"/>
      <c r="QBY2472" s="63"/>
      <c r="QBZ2472" s="60"/>
      <c r="QCA2472" s="60"/>
      <c r="QCB2472" s="60"/>
      <c r="QCC2472" s="63"/>
      <c r="QCD2472" s="61"/>
      <c r="QCE2472" s="54"/>
      <c r="QCF2472" s="54"/>
      <c r="QCG2472" s="63"/>
      <c r="QCH2472" s="60"/>
      <c r="QCI2472" s="60"/>
      <c r="QCJ2472" s="60"/>
      <c r="QCK2472" s="63"/>
      <c r="QCL2472" s="61"/>
      <c r="QCM2472" s="54"/>
      <c r="QCN2472" s="54"/>
      <c r="QCO2472" s="63"/>
      <c r="QCP2472" s="60"/>
      <c r="QCQ2472" s="60"/>
      <c r="QCR2472" s="60"/>
      <c r="QCS2472" s="63"/>
      <c r="QCT2472" s="61"/>
      <c r="QCU2472" s="54"/>
      <c r="QCV2472" s="54"/>
      <c r="QCW2472" s="63"/>
      <c r="QCX2472" s="60"/>
      <c r="QCY2472" s="60"/>
      <c r="QCZ2472" s="60"/>
      <c r="QDA2472" s="63"/>
      <c r="QDB2472" s="61"/>
      <c r="QDC2472" s="54"/>
      <c r="QDD2472" s="54"/>
      <c r="QDE2472" s="63"/>
      <c r="QDF2472" s="60"/>
      <c r="QDG2472" s="60"/>
      <c r="QDH2472" s="60"/>
      <c r="QDI2472" s="63"/>
      <c r="QDJ2472" s="61"/>
      <c r="QDK2472" s="54"/>
      <c r="QDL2472" s="54"/>
      <c r="QDM2472" s="63"/>
      <c r="QDN2472" s="60"/>
      <c r="QDO2472" s="60"/>
      <c r="QDP2472" s="60"/>
      <c r="QDQ2472" s="63"/>
      <c r="QDR2472" s="61"/>
      <c r="QDS2472" s="54"/>
      <c r="QDT2472" s="54"/>
      <c r="QDU2472" s="63"/>
      <c r="QDV2472" s="60"/>
      <c r="QDW2472" s="60"/>
      <c r="QDX2472" s="60"/>
      <c r="QDY2472" s="63"/>
      <c r="QDZ2472" s="61"/>
      <c r="QEA2472" s="54"/>
      <c r="QEB2472" s="54"/>
      <c r="QEC2472" s="63"/>
      <c r="QED2472" s="60"/>
      <c r="QEE2472" s="60"/>
      <c r="QEF2472" s="60"/>
      <c r="QEG2472" s="63"/>
      <c r="QEH2472" s="61"/>
      <c r="QEI2472" s="54"/>
      <c r="QEJ2472" s="54"/>
      <c r="QEK2472" s="63"/>
      <c r="QEL2472" s="60"/>
      <c r="QEM2472" s="60"/>
      <c r="QEN2472" s="60"/>
      <c r="QEO2472" s="63"/>
      <c r="QEP2472" s="61"/>
      <c r="QEQ2472" s="54"/>
      <c r="QER2472" s="54"/>
      <c r="QES2472" s="63"/>
      <c r="QET2472" s="60"/>
      <c r="QEU2472" s="60"/>
      <c r="QEV2472" s="60"/>
      <c r="QEW2472" s="63"/>
      <c r="QEX2472" s="61"/>
      <c r="QEY2472" s="54"/>
      <c r="QEZ2472" s="54"/>
      <c r="QFA2472" s="63"/>
      <c r="QFB2472" s="60"/>
      <c r="QFC2472" s="60"/>
      <c r="QFD2472" s="60"/>
      <c r="QFE2472" s="63"/>
      <c r="QFF2472" s="61"/>
      <c r="QFG2472" s="54"/>
      <c r="QFH2472" s="54"/>
      <c r="QFI2472" s="63"/>
      <c r="QFJ2472" s="60"/>
      <c r="QFK2472" s="60"/>
      <c r="QFL2472" s="60"/>
      <c r="QFM2472" s="63"/>
      <c r="QFN2472" s="61"/>
      <c r="QFO2472" s="54"/>
      <c r="QFP2472" s="54"/>
      <c r="QFQ2472" s="63"/>
      <c r="QFR2472" s="60"/>
      <c r="QFS2472" s="60"/>
      <c r="QFT2472" s="60"/>
      <c r="QFU2472" s="63"/>
      <c r="QFV2472" s="61"/>
      <c r="QFW2472" s="54"/>
      <c r="QFX2472" s="54"/>
      <c r="QFY2472" s="63"/>
      <c r="QFZ2472" s="60"/>
      <c r="QGA2472" s="60"/>
      <c r="QGB2472" s="60"/>
      <c r="QGC2472" s="63"/>
      <c r="QGD2472" s="61"/>
      <c r="QGE2472" s="54"/>
      <c r="QGF2472" s="54"/>
      <c r="QGG2472" s="63"/>
      <c r="QGH2472" s="60"/>
      <c r="QGI2472" s="60"/>
      <c r="QGJ2472" s="60"/>
      <c r="QGK2472" s="63"/>
      <c r="QGL2472" s="61"/>
      <c r="QGM2472" s="54"/>
      <c r="QGN2472" s="54"/>
      <c r="QGO2472" s="63"/>
      <c r="QGP2472" s="60"/>
      <c r="QGQ2472" s="60"/>
      <c r="QGR2472" s="60"/>
      <c r="QGS2472" s="63"/>
      <c r="QGT2472" s="61"/>
      <c r="QGU2472" s="54"/>
      <c r="QGV2472" s="54"/>
      <c r="QGW2472" s="63"/>
      <c r="QGX2472" s="60"/>
      <c r="QGY2472" s="60"/>
      <c r="QGZ2472" s="60"/>
      <c r="QHA2472" s="63"/>
      <c r="QHB2472" s="61"/>
      <c r="QHC2472" s="54"/>
      <c r="QHD2472" s="54"/>
      <c r="QHE2472" s="63"/>
      <c r="QHF2472" s="60"/>
      <c r="QHG2472" s="60"/>
      <c r="QHH2472" s="60"/>
      <c r="QHI2472" s="63"/>
      <c r="QHJ2472" s="61"/>
      <c r="QHK2472" s="54"/>
      <c r="QHL2472" s="54"/>
      <c r="QHM2472" s="63"/>
      <c r="QHN2472" s="60"/>
      <c r="QHO2472" s="60"/>
      <c r="QHP2472" s="60"/>
      <c r="QHQ2472" s="63"/>
      <c r="QHR2472" s="61"/>
      <c r="QHS2472" s="54"/>
      <c r="QHT2472" s="54"/>
      <c r="QHU2472" s="63"/>
      <c r="QHV2472" s="60"/>
      <c r="QHW2472" s="60"/>
      <c r="QHX2472" s="60"/>
      <c r="QHY2472" s="63"/>
      <c r="QHZ2472" s="61"/>
      <c r="QIA2472" s="54"/>
      <c r="QIB2472" s="54"/>
      <c r="QIC2472" s="63"/>
      <c r="QID2472" s="60"/>
      <c r="QIE2472" s="60"/>
      <c r="QIF2472" s="60"/>
      <c r="QIG2472" s="63"/>
      <c r="QIH2472" s="61"/>
      <c r="QII2472" s="54"/>
      <c r="QIJ2472" s="54"/>
      <c r="QIK2472" s="63"/>
      <c r="QIL2472" s="60"/>
      <c r="QIM2472" s="60"/>
      <c r="QIN2472" s="60"/>
      <c r="QIO2472" s="63"/>
      <c r="QIP2472" s="61"/>
      <c r="QIQ2472" s="54"/>
      <c r="QIR2472" s="54"/>
      <c r="QIS2472" s="63"/>
      <c r="QIT2472" s="60"/>
      <c r="QIU2472" s="60"/>
      <c r="QIV2472" s="60"/>
      <c r="QIW2472" s="63"/>
      <c r="QIX2472" s="61"/>
      <c r="QIY2472" s="54"/>
      <c r="QIZ2472" s="54"/>
      <c r="QJA2472" s="63"/>
      <c r="QJB2472" s="60"/>
      <c r="QJC2472" s="60"/>
      <c r="QJD2472" s="60"/>
      <c r="QJE2472" s="63"/>
      <c r="QJF2472" s="61"/>
      <c r="QJG2472" s="54"/>
      <c r="QJH2472" s="54"/>
      <c r="QJI2472" s="63"/>
      <c r="QJJ2472" s="60"/>
      <c r="QJK2472" s="60"/>
      <c r="QJL2472" s="60"/>
      <c r="QJM2472" s="63"/>
      <c r="QJN2472" s="61"/>
      <c r="QJO2472" s="54"/>
      <c r="QJP2472" s="54"/>
      <c r="QJQ2472" s="63"/>
      <c r="QJR2472" s="60"/>
      <c r="QJS2472" s="60"/>
      <c r="QJT2472" s="60"/>
      <c r="QJU2472" s="63"/>
      <c r="QJV2472" s="61"/>
      <c r="QJW2472" s="54"/>
      <c r="QJX2472" s="54"/>
      <c r="QJY2472" s="63"/>
      <c r="QJZ2472" s="60"/>
      <c r="QKA2472" s="60"/>
      <c r="QKB2472" s="60"/>
      <c r="QKC2472" s="63"/>
      <c r="QKD2472" s="61"/>
      <c r="QKE2472" s="54"/>
      <c r="QKF2472" s="54"/>
      <c r="QKG2472" s="63"/>
      <c r="QKH2472" s="60"/>
      <c r="QKI2472" s="60"/>
      <c r="QKJ2472" s="60"/>
      <c r="QKK2472" s="63"/>
      <c r="QKL2472" s="61"/>
      <c r="QKM2472" s="54"/>
      <c r="QKN2472" s="54"/>
      <c r="QKO2472" s="63"/>
      <c r="QKP2472" s="60"/>
      <c r="QKQ2472" s="60"/>
      <c r="QKR2472" s="60"/>
      <c r="QKS2472" s="63"/>
      <c r="QKT2472" s="61"/>
      <c r="QKU2472" s="54"/>
      <c r="QKV2472" s="54"/>
      <c r="QKW2472" s="63"/>
      <c r="QKX2472" s="60"/>
      <c r="QKY2472" s="60"/>
      <c r="QKZ2472" s="60"/>
      <c r="QLA2472" s="63"/>
      <c r="QLB2472" s="61"/>
      <c r="QLC2472" s="54"/>
      <c r="QLD2472" s="54"/>
      <c r="QLE2472" s="63"/>
      <c r="QLF2472" s="60"/>
      <c r="QLG2472" s="60"/>
      <c r="QLH2472" s="60"/>
      <c r="QLI2472" s="63"/>
      <c r="QLJ2472" s="61"/>
      <c r="QLK2472" s="54"/>
      <c r="QLL2472" s="54"/>
      <c r="QLM2472" s="63"/>
      <c r="QLN2472" s="60"/>
      <c r="QLO2472" s="60"/>
      <c r="QLP2472" s="60"/>
      <c r="QLQ2472" s="63"/>
      <c r="QLR2472" s="61"/>
      <c r="QLS2472" s="54"/>
      <c r="QLT2472" s="54"/>
      <c r="QLU2472" s="63"/>
      <c r="QLV2472" s="60"/>
      <c r="QLW2472" s="60"/>
      <c r="QLX2472" s="60"/>
      <c r="QLY2472" s="63"/>
      <c r="QLZ2472" s="61"/>
      <c r="QMA2472" s="54"/>
      <c r="QMB2472" s="54"/>
      <c r="QMC2472" s="63"/>
      <c r="QMD2472" s="60"/>
      <c r="QME2472" s="60"/>
      <c r="QMF2472" s="60"/>
      <c r="QMG2472" s="63"/>
      <c r="QMH2472" s="61"/>
      <c r="QMI2472" s="54"/>
      <c r="QMJ2472" s="54"/>
      <c r="QMK2472" s="63"/>
      <c r="QML2472" s="60"/>
      <c r="QMM2472" s="60"/>
      <c r="QMN2472" s="60"/>
      <c r="QMO2472" s="63"/>
      <c r="QMP2472" s="61"/>
      <c r="QMQ2472" s="54"/>
      <c r="QMR2472" s="54"/>
      <c r="QMS2472" s="63"/>
      <c r="QMT2472" s="60"/>
      <c r="QMU2472" s="60"/>
      <c r="QMV2472" s="60"/>
      <c r="QMW2472" s="63"/>
      <c r="QMX2472" s="61"/>
      <c r="QMY2472" s="54"/>
      <c r="QMZ2472" s="54"/>
      <c r="QNA2472" s="63"/>
      <c r="QNB2472" s="60"/>
      <c r="QNC2472" s="60"/>
      <c r="QND2472" s="60"/>
      <c r="QNE2472" s="63"/>
      <c r="QNF2472" s="61"/>
      <c r="QNG2472" s="54"/>
      <c r="QNH2472" s="54"/>
      <c r="QNI2472" s="63"/>
      <c r="QNJ2472" s="60"/>
      <c r="QNK2472" s="60"/>
      <c r="QNL2472" s="60"/>
      <c r="QNM2472" s="63"/>
      <c r="QNN2472" s="61"/>
      <c r="QNO2472" s="54"/>
      <c r="QNP2472" s="54"/>
      <c r="QNQ2472" s="63"/>
      <c r="QNR2472" s="60"/>
      <c r="QNS2472" s="60"/>
      <c r="QNT2472" s="60"/>
      <c r="QNU2472" s="63"/>
      <c r="QNV2472" s="61"/>
      <c r="QNW2472" s="54"/>
      <c r="QNX2472" s="54"/>
      <c r="QNY2472" s="63"/>
      <c r="QNZ2472" s="60"/>
      <c r="QOA2472" s="60"/>
      <c r="QOB2472" s="60"/>
      <c r="QOC2472" s="63"/>
      <c r="QOD2472" s="61"/>
      <c r="QOE2472" s="54"/>
      <c r="QOF2472" s="54"/>
      <c r="QOG2472" s="63"/>
      <c r="QOH2472" s="60"/>
      <c r="QOI2472" s="60"/>
      <c r="QOJ2472" s="60"/>
      <c r="QOK2472" s="63"/>
      <c r="QOL2472" s="61"/>
      <c r="QOM2472" s="54"/>
      <c r="QON2472" s="54"/>
      <c r="QOO2472" s="63"/>
      <c r="QOP2472" s="60"/>
      <c r="QOQ2472" s="60"/>
      <c r="QOR2472" s="60"/>
      <c r="QOS2472" s="63"/>
      <c r="QOT2472" s="61"/>
      <c r="QOU2472" s="54"/>
      <c r="QOV2472" s="54"/>
      <c r="QOW2472" s="63"/>
      <c r="QOX2472" s="60"/>
      <c r="QOY2472" s="60"/>
      <c r="QOZ2472" s="60"/>
      <c r="QPA2472" s="63"/>
      <c r="QPB2472" s="61"/>
      <c r="QPC2472" s="54"/>
      <c r="QPD2472" s="54"/>
      <c r="QPE2472" s="63"/>
      <c r="QPF2472" s="60"/>
      <c r="QPG2472" s="60"/>
      <c r="QPH2472" s="60"/>
      <c r="QPI2472" s="63"/>
      <c r="QPJ2472" s="61"/>
      <c r="QPK2472" s="54"/>
      <c r="QPL2472" s="54"/>
      <c r="QPM2472" s="63"/>
      <c r="QPN2472" s="60"/>
      <c r="QPO2472" s="60"/>
      <c r="QPP2472" s="60"/>
      <c r="QPQ2472" s="63"/>
      <c r="QPR2472" s="61"/>
      <c r="QPS2472" s="54"/>
      <c r="QPT2472" s="54"/>
      <c r="QPU2472" s="63"/>
      <c r="QPV2472" s="60"/>
      <c r="QPW2472" s="60"/>
      <c r="QPX2472" s="60"/>
      <c r="QPY2472" s="63"/>
      <c r="QPZ2472" s="61"/>
      <c r="QQA2472" s="54"/>
      <c r="QQB2472" s="54"/>
      <c r="QQC2472" s="63"/>
      <c r="QQD2472" s="60"/>
      <c r="QQE2472" s="60"/>
      <c r="QQF2472" s="60"/>
      <c r="QQG2472" s="63"/>
      <c r="QQH2472" s="61"/>
      <c r="QQI2472" s="54"/>
      <c r="QQJ2472" s="54"/>
      <c r="QQK2472" s="63"/>
      <c r="QQL2472" s="60"/>
      <c r="QQM2472" s="60"/>
      <c r="QQN2472" s="60"/>
      <c r="QQO2472" s="63"/>
      <c r="QQP2472" s="61"/>
      <c r="QQQ2472" s="54"/>
      <c r="QQR2472" s="54"/>
      <c r="QQS2472" s="63"/>
      <c r="QQT2472" s="60"/>
      <c r="QQU2472" s="60"/>
      <c r="QQV2472" s="60"/>
      <c r="QQW2472" s="63"/>
      <c r="QQX2472" s="61"/>
      <c r="QQY2472" s="54"/>
      <c r="QQZ2472" s="54"/>
      <c r="QRA2472" s="63"/>
      <c r="QRB2472" s="60"/>
      <c r="QRC2472" s="60"/>
      <c r="QRD2472" s="60"/>
      <c r="QRE2472" s="63"/>
      <c r="QRF2472" s="61"/>
      <c r="QRG2472" s="54"/>
      <c r="QRH2472" s="54"/>
      <c r="QRI2472" s="63"/>
      <c r="QRJ2472" s="60"/>
      <c r="QRK2472" s="60"/>
      <c r="QRL2472" s="60"/>
      <c r="QRM2472" s="63"/>
      <c r="QRN2472" s="61"/>
      <c r="QRO2472" s="54"/>
      <c r="QRP2472" s="54"/>
      <c r="QRQ2472" s="63"/>
      <c r="QRR2472" s="60"/>
      <c r="QRS2472" s="60"/>
      <c r="QRT2472" s="60"/>
      <c r="QRU2472" s="63"/>
      <c r="QRV2472" s="61"/>
      <c r="QRW2472" s="54"/>
      <c r="QRX2472" s="54"/>
      <c r="QRY2472" s="63"/>
      <c r="QRZ2472" s="60"/>
      <c r="QSA2472" s="60"/>
      <c r="QSB2472" s="60"/>
      <c r="QSC2472" s="63"/>
      <c r="QSD2472" s="61"/>
      <c r="QSE2472" s="54"/>
      <c r="QSF2472" s="54"/>
      <c r="QSG2472" s="63"/>
      <c r="QSH2472" s="60"/>
      <c r="QSI2472" s="60"/>
      <c r="QSJ2472" s="60"/>
      <c r="QSK2472" s="63"/>
      <c r="QSL2472" s="61"/>
      <c r="QSM2472" s="54"/>
      <c r="QSN2472" s="54"/>
      <c r="QSO2472" s="63"/>
      <c r="QSP2472" s="60"/>
      <c r="QSQ2472" s="60"/>
      <c r="QSR2472" s="60"/>
      <c r="QSS2472" s="63"/>
      <c r="QST2472" s="61"/>
      <c r="QSU2472" s="54"/>
      <c r="QSV2472" s="54"/>
      <c r="QSW2472" s="63"/>
      <c r="QSX2472" s="60"/>
      <c r="QSY2472" s="60"/>
      <c r="QSZ2472" s="60"/>
      <c r="QTA2472" s="63"/>
      <c r="QTB2472" s="61"/>
      <c r="QTC2472" s="54"/>
      <c r="QTD2472" s="54"/>
      <c r="QTE2472" s="63"/>
      <c r="QTF2472" s="60"/>
      <c r="QTG2472" s="60"/>
      <c r="QTH2472" s="60"/>
      <c r="QTI2472" s="63"/>
      <c r="QTJ2472" s="61"/>
      <c r="QTK2472" s="54"/>
      <c r="QTL2472" s="54"/>
      <c r="QTM2472" s="63"/>
      <c r="QTN2472" s="60"/>
      <c r="QTO2472" s="60"/>
      <c r="QTP2472" s="60"/>
      <c r="QTQ2472" s="63"/>
      <c r="QTR2472" s="61"/>
      <c r="QTS2472" s="54"/>
      <c r="QTT2472" s="54"/>
      <c r="QTU2472" s="63"/>
      <c r="QTV2472" s="60"/>
      <c r="QTW2472" s="60"/>
      <c r="QTX2472" s="60"/>
      <c r="QTY2472" s="63"/>
      <c r="QTZ2472" s="61"/>
      <c r="QUA2472" s="54"/>
      <c r="QUB2472" s="54"/>
      <c r="QUC2472" s="63"/>
      <c r="QUD2472" s="60"/>
      <c r="QUE2472" s="60"/>
      <c r="QUF2472" s="60"/>
      <c r="QUG2472" s="63"/>
      <c r="QUH2472" s="61"/>
      <c r="QUI2472" s="54"/>
      <c r="QUJ2472" s="54"/>
      <c r="QUK2472" s="63"/>
      <c r="QUL2472" s="60"/>
      <c r="QUM2472" s="60"/>
      <c r="QUN2472" s="60"/>
      <c r="QUO2472" s="63"/>
      <c r="QUP2472" s="61"/>
      <c r="QUQ2472" s="54"/>
      <c r="QUR2472" s="54"/>
      <c r="QUS2472" s="63"/>
      <c r="QUT2472" s="60"/>
      <c r="QUU2472" s="60"/>
      <c r="QUV2472" s="60"/>
      <c r="QUW2472" s="63"/>
      <c r="QUX2472" s="61"/>
      <c r="QUY2472" s="54"/>
      <c r="QUZ2472" s="54"/>
      <c r="QVA2472" s="63"/>
      <c r="QVB2472" s="60"/>
      <c r="QVC2472" s="60"/>
      <c r="QVD2472" s="60"/>
      <c r="QVE2472" s="63"/>
      <c r="QVF2472" s="61"/>
      <c r="QVG2472" s="54"/>
      <c r="QVH2472" s="54"/>
      <c r="QVI2472" s="63"/>
      <c r="QVJ2472" s="60"/>
      <c r="QVK2472" s="60"/>
      <c r="QVL2472" s="60"/>
      <c r="QVM2472" s="63"/>
      <c r="QVN2472" s="61"/>
      <c r="QVO2472" s="54"/>
      <c r="QVP2472" s="54"/>
      <c r="QVQ2472" s="63"/>
      <c r="QVR2472" s="60"/>
      <c r="QVS2472" s="60"/>
      <c r="QVT2472" s="60"/>
      <c r="QVU2472" s="63"/>
      <c r="QVV2472" s="61"/>
      <c r="QVW2472" s="54"/>
      <c r="QVX2472" s="54"/>
      <c r="QVY2472" s="63"/>
      <c r="QVZ2472" s="60"/>
      <c r="QWA2472" s="60"/>
      <c r="QWB2472" s="60"/>
      <c r="QWC2472" s="63"/>
      <c r="QWD2472" s="61"/>
      <c r="QWE2472" s="54"/>
      <c r="QWF2472" s="54"/>
      <c r="QWG2472" s="63"/>
      <c r="QWH2472" s="60"/>
      <c r="QWI2472" s="60"/>
      <c r="QWJ2472" s="60"/>
      <c r="QWK2472" s="63"/>
      <c r="QWL2472" s="61"/>
      <c r="QWM2472" s="54"/>
      <c r="QWN2472" s="54"/>
      <c r="QWO2472" s="63"/>
      <c r="QWP2472" s="60"/>
      <c r="QWQ2472" s="60"/>
      <c r="QWR2472" s="60"/>
      <c r="QWS2472" s="63"/>
      <c r="QWT2472" s="61"/>
      <c r="QWU2472" s="54"/>
      <c r="QWV2472" s="54"/>
      <c r="QWW2472" s="63"/>
      <c r="QWX2472" s="60"/>
      <c r="QWY2472" s="60"/>
      <c r="QWZ2472" s="60"/>
      <c r="QXA2472" s="63"/>
      <c r="QXB2472" s="61"/>
      <c r="QXC2472" s="54"/>
      <c r="QXD2472" s="54"/>
      <c r="QXE2472" s="63"/>
      <c r="QXF2472" s="60"/>
      <c r="QXG2472" s="60"/>
      <c r="QXH2472" s="60"/>
      <c r="QXI2472" s="63"/>
      <c r="QXJ2472" s="61"/>
      <c r="QXK2472" s="54"/>
      <c r="QXL2472" s="54"/>
      <c r="QXM2472" s="63"/>
      <c r="QXN2472" s="60"/>
      <c r="QXO2472" s="60"/>
      <c r="QXP2472" s="60"/>
      <c r="QXQ2472" s="63"/>
      <c r="QXR2472" s="61"/>
      <c r="QXS2472" s="54"/>
      <c r="QXT2472" s="54"/>
      <c r="QXU2472" s="63"/>
      <c r="QXV2472" s="60"/>
      <c r="QXW2472" s="60"/>
      <c r="QXX2472" s="60"/>
      <c r="QXY2472" s="63"/>
      <c r="QXZ2472" s="61"/>
      <c r="QYA2472" s="54"/>
      <c r="QYB2472" s="54"/>
      <c r="QYC2472" s="63"/>
      <c r="QYD2472" s="60"/>
      <c r="QYE2472" s="60"/>
      <c r="QYF2472" s="60"/>
      <c r="QYG2472" s="63"/>
      <c r="QYH2472" s="61"/>
      <c r="QYI2472" s="54"/>
      <c r="QYJ2472" s="54"/>
      <c r="QYK2472" s="63"/>
      <c r="QYL2472" s="60"/>
      <c r="QYM2472" s="60"/>
      <c r="QYN2472" s="60"/>
      <c r="QYO2472" s="63"/>
      <c r="QYP2472" s="61"/>
      <c r="QYQ2472" s="54"/>
      <c r="QYR2472" s="54"/>
      <c r="QYS2472" s="63"/>
      <c r="QYT2472" s="60"/>
      <c r="QYU2472" s="60"/>
      <c r="QYV2472" s="60"/>
      <c r="QYW2472" s="63"/>
      <c r="QYX2472" s="61"/>
      <c r="QYY2472" s="54"/>
      <c r="QYZ2472" s="54"/>
      <c r="QZA2472" s="63"/>
      <c r="QZB2472" s="60"/>
      <c r="QZC2472" s="60"/>
      <c r="QZD2472" s="60"/>
      <c r="QZE2472" s="63"/>
      <c r="QZF2472" s="61"/>
      <c r="QZG2472" s="54"/>
      <c r="QZH2472" s="54"/>
      <c r="QZI2472" s="63"/>
      <c r="QZJ2472" s="60"/>
      <c r="QZK2472" s="60"/>
      <c r="QZL2472" s="60"/>
      <c r="QZM2472" s="63"/>
      <c r="QZN2472" s="61"/>
      <c r="QZO2472" s="54"/>
      <c r="QZP2472" s="54"/>
      <c r="QZQ2472" s="63"/>
      <c r="QZR2472" s="60"/>
      <c r="QZS2472" s="60"/>
      <c r="QZT2472" s="60"/>
      <c r="QZU2472" s="63"/>
      <c r="QZV2472" s="61"/>
      <c r="QZW2472" s="54"/>
      <c r="QZX2472" s="54"/>
      <c r="QZY2472" s="63"/>
      <c r="QZZ2472" s="60"/>
      <c r="RAA2472" s="60"/>
      <c r="RAB2472" s="60"/>
      <c r="RAC2472" s="63"/>
      <c r="RAD2472" s="61"/>
      <c r="RAE2472" s="54"/>
      <c r="RAF2472" s="54"/>
      <c r="RAG2472" s="63"/>
      <c r="RAH2472" s="60"/>
      <c r="RAI2472" s="60"/>
      <c r="RAJ2472" s="60"/>
      <c r="RAK2472" s="63"/>
      <c r="RAL2472" s="61"/>
      <c r="RAM2472" s="54"/>
      <c r="RAN2472" s="54"/>
      <c r="RAO2472" s="63"/>
      <c r="RAP2472" s="60"/>
      <c r="RAQ2472" s="60"/>
      <c r="RAR2472" s="60"/>
      <c r="RAS2472" s="63"/>
      <c r="RAT2472" s="61"/>
      <c r="RAU2472" s="54"/>
      <c r="RAV2472" s="54"/>
      <c r="RAW2472" s="63"/>
      <c r="RAX2472" s="60"/>
      <c r="RAY2472" s="60"/>
      <c r="RAZ2472" s="60"/>
      <c r="RBA2472" s="63"/>
      <c r="RBB2472" s="61"/>
      <c r="RBC2472" s="54"/>
      <c r="RBD2472" s="54"/>
      <c r="RBE2472" s="63"/>
      <c r="RBF2472" s="60"/>
      <c r="RBG2472" s="60"/>
      <c r="RBH2472" s="60"/>
      <c r="RBI2472" s="63"/>
      <c r="RBJ2472" s="61"/>
      <c r="RBK2472" s="54"/>
      <c r="RBL2472" s="54"/>
      <c r="RBM2472" s="63"/>
      <c r="RBN2472" s="60"/>
      <c r="RBO2472" s="60"/>
      <c r="RBP2472" s="60"/>
      <c r="RBQ2472" s="63"/>
      <c r="RBR2472" s="61"/>
      <c r="RBS2472" s="54"/>
      <c r="RBT2472" s="54"/>
      <c r="RBU2472" s="63"/>
      <c r="RBV2472" s="60"/>
      <c r="RBW2472" s="60"/>
      <c r="RBX2472" s="60"/>
      <c r="RBY2472" s="63"/>
      <c r="RBZ2472" s="61"/>
      <c r="RCA2472" s="54"/>
      <c r="RCB2472" s="54"/>
      <c r="RCC2472" s="63"/>
      <c r="RCD2472" s="60"/>
      <c r="RCE2472" s="60"/>
      <c r="RCF2472" s="60"/>
      <c r="RCG2472" s="63"/>
      <c r="RCH2472" s="61"/>
      <c r="RCI2472" s="54"/>
      <c r="RCJ2472" s="54"/>
      <c r="RCK2472" s="63"/>
      <c r="RCL2472" s="60"/>
      <c r="RCM2472" s="60"/>
      <c r="RCN2472" s="60"/>
      <c r="RCO2472" s="63"/>
      <c r="RCP2472" s="61"/>
      <c r="RCQ2472" s="54"/>
      <c r="RCR2472" s="54"/>
      <c r="RCS2472" s="63"/>
      <c r="RCT2472" s="60"/>
      <c r="RCU2472" s="60"/>
      <c r="RCV2472" s="60"/>
      <c r="RCW2472" s="63"/>
      <c r="RCX2472" s="61"/>
      <c r="RCY2472" s="54"/>
      <c r="RCZ2472" s="54"/>
      <c r="RDA2472" s="63"/>
      <c r="RDB2472" s="60"/>
      <c r="RDC2472" s="60"/>
      <c r="RDD2472" s="60"/>
      <c r="RDE2472" s="63"/>
      <c r="RDF2472" s="61"/>
      <c r="RDG2472" s="54"/>
      <c r="RDH2472" s="54"/>
      <c r="RDI2472" s="63"/>
      <c r="RDJ2472" s="60"/>
      <c r="RDK2472" s="60"/>
      <c r="RDL2472" s="60"/>
      <c r="RDM2472" s="63"/>
      <c r="RDN2472" s="61"/>
      <c r="RDO2472" s="54"/>
      <c r="RDP2472" s="54"/>
      <c r="RDQ2472" s="63"/>
      <c r="RDR2472" s="60"/>
      <c r="RDS2472" s="60"/>
      <c r="RDT2472" s="60"/>
      <c r="RDU2472" s="63"/>
      <c r="RDV2472" s="61"/>
      <c r="RDW2472" s="54"/>
      <c r="RDX2472" s="54"/>
      <c r="RDY2472" s="63"/>
      <c r="RDZ2472" s="60"/>
      <c r="REA2472" s="60"/>
      <c r="REB2472" s="60"/>
      <c r="REC2472" s="63"/>
      <c r="RED2472" s="61"/>
      <c r="REE2472" s="54"/>
      <c r="REF2472" s="54"/>
      <c r="REG2472" s="63"/>
      <c r="REH2472" s="60"/>
      <c r="REI2472" s="60"/>
      <c r="REJ2472" s="60"/>
      <c r="REK2472" s="63"/>
      <c r="REL2472" s="61"/>
      <c r="REM2472" s="54"/>
      <c r="REN2472" s="54"/>
      <c r="REO2472" s="63"/>
      <c r="REP2472" s="60"/>
      <c r="REQ2472" s="60"/>
      <c r="RER2472" s="60"/>
      <c r="RES2472" s="63"/>
      <c r="RET2472" s="61"/>
      <c r="REU2472" s="54"/>
      <c r="REV2472" s="54"/>
      <c r="REW2472" s="63"/>
      <c r="REX2472" s="60"/>
      <c r="REY2472" s="60"/>
      <c r="REZ2472" s="60"/>
      <c r="RFA2472" s="63"/>
      <c r="RFB2472" s="61"/>
      <c r="RFC2472" s="54"/>
      <c r="RFD2472" s="54"/>
      <c r="RFE2472" s="63"/>
      <c r="RFF2472" s="60"/>
      <c r="RFG2472" s="60"/>
      <c r="RFH2472" s="60"/>
      <c r="RFI2472" s="63"/>
      <c r="RFJ2472" s="61"/>
      <c r="RFK2472" s="54"/>
      <c r="RFL2472" s="54"/>
      <c r="RFM2472" s="63"/>
      <c r="RFN2472" s="60"/>
      <c r="RFO2472" s="60"/>
      <c r="RFP2472" s="60"/>
      <c r="RFQ2472" s="63"/>
      <c r="RFR2472" s="61"/>
      <c r="RFS2472" s="54"/>
      <c r="RFT2472" s="54"/>
      <c r="RFU2472" s="63"/>
      <c r="RFV2472" s="60"/>
      <c r="RFW2472" s="60"/>
      <c r="RFX2472" s="60"/>
      <c r="RFY2472" s="63"/>
      <c r="RFZ2472" s="61"/>
      <c r="RGA2472" s="54"/>
      <c r="RGB2472" s="54"/>
      <c r="RGC2472" s="63"/>
      <c r="RGD2472" s="60"/>
      <c r="RGE2472" s="60"/>
      <c r="RGF2472" s="60"/>
      <c r="RGG2472" s="63"/>
      <c r="RGH2472" s="61"/>
      <c r="RGI2472" s="54"/>
      <c r="RGJ2472" s="54"/>
      <c r="RGK2472" s="63"/>
      <c r="RGL2472" s="60"/>
      <c r="RGM2472" s="60"/>
      <c r="RGN2472" s="60"/>
      <c r="RGO2472" s="63"/>
      <c r="RGP2472" s="61"/>
      <c r="RGQ2472" s="54"/>
      <c r="RGR2472" s="54"/>
      <c r="RGS2472" s="63"/>
      <c r="RGT2472" s="60"/>
      <c r="RGU2472" s="60"/>
      <c r="RGV2472" s="60"/>
      <c r="RGW2472" s="63"/>
      <c r="RGX2472" s="61"/>
      <c r="RGY2472" s="54"/>
      <c r="RGZ2472" s="54"/>
      <c r="RHA2472" s="63"/>
      <c r="RHB2472" s="60"/>
      <c r="RHC2472" s="60"/>
      <c r="RHD2472" s="60"/>
      <c r="RHE2472" s="63"/>
      <c r="RHF2472" s="61"/>
      <c r="RHG2472" s="54"/>
      <c r="RHH2472" s="54"/>
      <c r="RHI2472" s="63"/>
      <c r="RHJ2472" s="60"/>
      <c r="RHK2472" s="60"/>
      <c r="RHL2472" s="60"/>
      <c r="RHM2472" s="63"/>
      <c r="RHN2472" s="61"/>
      <c r="RHO2472" s="54"/>
      <c r="RHP2472" s="54"/>
      <c r="RHQ2472" s="63"/>
      <c r="RHR2472" s="60"/>
      <c r="RHS2472" s="60"/>
      <c r="RHT2472" s="60"/>
      <c r="RHU2472" s="63"/>
      <c r="RHV2472" s="61"/>
      <c r="RHW2472" s="54"/>
      <c r="RHX2472" s="54"/>
      <c r="RHY2472" s="63"/>
      <c r="RHZ2472" s="60"/>
      <c r="RIA2472" s="60"/>
      <c r="RIB2472" s="60"/>
      <c r="RIC2472" s="63"/>
      <c r="RID2472" s="61"/>
      <c r="RIE2472" s="54"/>
      <c r="RIF2472" s="54"/>
      <c r="RIG2472" s="63"/>
      <c r="RIH2472" s="60"/>
      <c r="RII2472" s="60"/>
      <c r="RIJ2472" s="60"/>
      <c r="RIK2472" s="63"/>
      <c r="RIL2472" s="61"/>
      <c r="RIM2472" s="54"/>
      <c r="RIN2472" s="54"/>
      <c r="RIO2472" s="63"/>
      <c r="RIP2472" s="60"/>
      <c r="RIQ2472" s="60"/>
      <c r="RIR2472" s="60"/>
      <c r="RIS2472" s="63"/>
      <c r="RIT2472" s="61"/>
      <c r="RIU2472" s="54"/>
      <c r="RIV2472" s="54"/>
      <c r="RIW2472" s="63"/>
      <c r="RIX2472" s="60"/>
      <c r="RIY2472" s="60"/>
      <c r="RIZ2472" s="60"/>
      <c r="RJA2472" s="63"/>
      <c r="RJB2472" s="61"/>
      <c r="RJC2472" s="54"/>
      <c r="RJD2472" s="54"/>
      <c r="RJE2472" s="63"/>
      <c r="RJF2472" s="60"/>
      <c r="RJG2472" s="60"/>
      <c r="RJH2472" s="60"/>
      <c r="RJI2472" s="63"/>
      <c r="RJJ2472" s="61"/>
      <c r="RJK2472" s="54"/>
      <c r="RJL2472" s="54"/>
      <c r="RJM2472" s="63"/>
      <c r="RJN2472" s="60"/>
      <c r="RJO2472" s="60"/>
      <c r="RJP2472" s="60"/>
      <c r="RJQ2472" s="63"/>
      <c r="RJR2472" s="61"/>
      <c r="RJS2472" s="54"/>
      <c r="RJT2472" s="54"/>
      <c r="RJU2472" s="63"/>
      <c r="RJV2472" s="60"/>
      <c r="RJW2472" s="60"/>
      <c r="RJX2472" s="60"/>
      <c r="RJY2472" s="63"/>
      <c r="RJZ2472" s="61"/>
      <c r="RKA2472" s="54"/>
      <c r="RKB2472" s="54"/>
      <c r="RKC2472" s="63"/>
      <c r="RKD2472" s="60"/>
      <c r="RKE2472" s="60"/>
      <c r="RKF2472" s="60"/>
      <c r="RKG2472" s="63"/>
      <c r="RKH2472" s="61"/>
      <c r="RKI2472" s="54"/>
      <c r="RKJ2472" s="54"/>
      <c r="RKK2472" s="63"/>
      <c r="RKL2472" s="60"/>
      <c r="RKM2472" s="60"/>
      <c r="RKN2472" s="60"/>
      <c r="RKO2472" s="63"/>
      <c r="RKP2472" s="61"/>
      <c r="RKQ2472" s="54"/>
      <c r="RKR2472" s="54"/>
      <c r="RKS2472" s="63"/>
      <c r="RKT2472" s="60"/>
      <c r="RKU2472" s="60"/>
      <c r="RKV2472" s="60"/>
      <c r="RKW2472" s="63"/>
      <c r="RKX2472" s="61"/>
      <c r="RKY2472" s="54"/>
      <c r="RKZ2472" s="54"/>
      <c r="RLA2472" s="63"/>
      <c r="RLB2472" s="60"/>
      <c r="RLC2472" s="60"/>
      <c r="RLD2472" s="60"/>
      <c r="RLE2472" s="63"/>
      <c r="RLF2472" s="61"/>
      <c r="RLG2472" s="54"/>
      <c r="RLH2472" s="54"/>
      <c r="RLI2472" s="63"/>
      <c r="RLJ2472" s="60"/>
      <c r="RLK2472" s="60"/>
      <c r="RLL2472" s="60"/>
      <c r="RLM2472" s="63"/>
      <c r="RLN2472" s="61"/>
      <c r="RLO2472" s="54"/>
      <c r="RLP2472" s="54"/>
      <c r="RLQ2472" s="63"/>
      <c r="RLR2472" s="60"/>
      <c r="RLS2472" s="60"/>
      <c r="RLT2472" s="60"/>
      <c r="RLU2472" s="63"/>
      <c r="RLV2472" s="61"/>
      <c r="RLW2472" s="54"/>
      <c r="RLX2472" s="54"/>
      <c r="RLY2472" s="63"/>
      <c r="RLZ2472" s="60"/>
      <c r="RMA2472" s="60"/>
      <c r="RMB2472" s="60"/>
      <c r="RMC2472" s="63"/>
      <c r="RMD2472" s="61"/>
      <c r="RME2472" s="54"/>
      <c r="RMF2472" s="54"/>
      <c r="RMG2472" s="63"/>
      <c r="RMH2472" s="60"/>
      <c r="RMI2472" s="60"/>
      <c r="RMJ2472" s="60"/>
      <c r="RMK2472" s="63"/>
      <c r="RML2472" s="61"/>
      <c r="RMM2472" s="54"/>
      <c r="RMN2472" s="54"/>
      <c r="RMO2472" s="63"/>
      <c r="RMP2472" s="60"/>
      <c r="RMQ2472" s="60"/>
      <c r="RMR2472" s="60"/>
      <c r="RMS2472" s="63"/>
      <c r="RMT2472" s="61"/>
      <c r="RMU2472" s="54"/>
      <c r="RMV2472" s="54"/>
      <c r="RMW2472" s="63"/>
      <c r="RMX2472" s="60"/>
      <c r="RMY2472" s="60"/>
      <c r="RMZ2472" s="60"/>
      <c r="RNA2472" s="63"/>
      <c r="RNB2472" s="61"/>
      <c r="RNC2472" s="54"/>
      <c r="RND2472" s="54"/>
      <c r="RNE2472" s="63"/>
      <c r="RNF2472" s="60"/>
      <c r="RNG2472" s="60"/>
      <c r="RNH2472" s="60"/>
      <c r="RNI2472" s="63"/>
      <c r="RNJ2472" s="61"/>
      <c r="RNK2472" s="54"/>
      <c r="RNL2472" s="54"/>
      <c r="RNM2472" s="63"/>
      <c r="RNN2472" s="60"/>
      <c r="RNO2472" s="60"/>
      <c r="RNP2472" s="60"/>
      <c r="RNQ2472" s="63"/>
      <c r="RNR2472" s="61"/>
      <c r="RNS2472" s="54"/>
      <c r="RNT2472" s="54"/>
      <c r="RNU2472" s="63"/>
      <c r="RNV2472" s="60"/>
      <c r="RNW2472" s="60"/>
      <c r="RNX2472" s="60"/>
      <c r="RNY2472" s="63"/>
      <c r="RNZ2472" s="61"/>
      <c r="ROA2472" s="54"/>
      <c r="ROB2472" s="54"/>
      <c r="ROC2472" s="63"/>
      <c r="ROD2472" s="60"/>
      <c r="ROE2472" s="60"/>
      <c r="ROF2472" s="60"/>
      <c r="ROG2472" s="63"/>
      <c r="ROH2472" s="61"/>
      <c r="ROI2472" s="54"/>
      <c r="ROJ2472" s="54"/>
      <c r="ROK2472" s="63"/>
      <c r="ROL2472" s="60"/>
      <c r="ROM2472" s="60"/>
      <c r="RON2472" s="60"/>
      <c r="ROO2472" s="63"/>
      <c r="ROP2472" s="61"/>
      <c r="ROQ2472" s="54"/>
      <c r="ROR2472" s="54"/>
      <c r="ROS2472" s="63"/>
      <c r="ROT2472" s="60"/>
      <c r="ROU2472" s="60"/>
      <c r="ROV2472" s="60"/>
      <c r="ROW2472" s="63"/>
      <c r="ROX2472" s="61"/>
      <c r="ROY2472" s="54"/>
      <c r="ROZ2472" s="54"/>
      <c r="RPA2472" s="63"/>
      <c r="RPB2472" s="60"/>
      <c r="RPC2472" s="60"/>
      <c r="RPD2472" s="60"/>
      <c r="RPE2472" s="63"/>
      <c r="RPF2472" s="61"/>
      <c r="RPG2472" s="54"/>
      <c r="RPH2472" s="54"/>
      <c r="RPI2472" s="63"/>
      <c r="RPJ2472" s="60"/>
      <c r="RPK2472" s="60"/>
      <c r="RPL2472" s="60"/>
      <c r="RPM2472" s="63"/>
      <c r="RPN2472" s="61"/>
      <c r="RPO2472" s="54"/>
      <c r="RPP2472" s="54"/>
      <c r="RPQ2472" s="63"/>
      <c r="RPR2472" s="60"/>
      <c r="RPS2472" s="60"/>
      <c r="RPT2472" s="60"/>
      <c r="RPU2472" s="63"/>
      <c r="RPV2472" s="61"/>
      <c r="RPW2472" s="54"/>
      <c r="RPX2472" s="54"/>
      <c r="RPY2472" s="63"/>
      <c r="RPZ2472" s="60"/>
      <c r="RQA2472" s="60"/>
      <c r="RQB2472" s="60"/>
      <c r="RQC2472" s="63"/>
      <c r="RQD2472" s="61"/>
      <c r="RQE2472" s="54"/>
      <c r="RQF2472" s="54"/>
      <c r="RQG2472" s="63"/>
      <c r="RQH2472" s="60"/>
      <c r="RQI2472" s="60"/>
      <c r="RQJ2472" s="60"/>
      <c r="RQK2472" s="63"/>
      <c r="RQL2472" s="61"/>
      <c r="RQM2472" s="54"/>
      <c r="RQN2472" s="54"/>
      <c r="RQO2472" s="63"/>
      <c r="RQP2472" s="60"/>
      <c r="RQQ2472" s="60"/>
      <c r="RQR2472" s="60"/>
      <c r="RQS2472" s="63"/>
      <c r="RQT2472" s="61"/>
      <c r="RQU2472" s="54"/>
      <c r="RQV2472" s="54"/>
      <c r="RQW2472" s="63"/>
      <c r="RQX2472" s="60"/>
      <c r="RQY2472" s="60"/>
      <c r="RQZ2472" s="60"/>
      <c r="RRA2472" s="63"/>
      <c r="RRB2472" s="61"/>
      <c r="RRC2472" s="54"/>
      <c r="RRD2472" s="54"/>
      <c r="RRE2472" s="63"/>
      <c r="RRF2472" s="60"/>
      <c r="RRG2472" s="60"/>
      <c r="RRH2472" s="60"/>
      <c r="RRI2472" s="63"/>
      <c r="RRJ2472" s="61"/>
      <c r="RRK2472" s="54"/>
      <c r="RRL2472" s="54"/>
      <c r="RRM2472" s="63"/>
      <c r="RRN2472" s="60"/>
      <c r="RRO2472" s="60"/>
      <c r="RRP2472" s="60"/>
      <c r="RRQ2472" s="63"/>
      <c r="RRR2472" s="61"/>
      <c r="RRS2472" s="54"/>
      <c r="RRT2472" s="54"/>
      <c r="RRU2472" s="63"/>
      <c r="RRV2472" s="60"/>
      <c r="RRW2472" s="60"/>
      <c r="RRX2472" s="60"/>
      <c r="RRY2472" s="63"/>
      <c r="RRZ2472" s="61"/>
      <c r="RSA2472" s="54"/>
      <c r="RSB2472" s="54"/>
      <c r="RSC2472" s="63"/>
      <c r="RSD2472" s="60"/>
      <c r="RSE2472" s="60"/>
      <c r="RSF2472" s="60"/>
      <c r="RSG2472" s="63"/>
      <c r="RSH2472" s="61"/>
      <c r="RSI2472" s="54"/>
      <c r="RSJ2472" s="54"/>
      <c r="RSK2472" s="63"/>
      <c r="RSL2472" s="60"/>
      <c r="RSM2472" s="60"/>
      <c r="RSN2472" s="60"/>
      <c r="RSO2472" s="63"/>
      <c r="RSP2472" s="61"/>
      <c r="RSQ2472" s="54"/>
      <c r="RSR2472" s="54"/>
      <c r="RSS2472" s="63"/>
      <c r="RST2472" s="60"/>
      <c r="RSU2472" s="60"/>
      <c r="RSV2472" s="60"/>
      <c r="RSW2472" s="63"/>
      <c r="RSX2472" s="61"/>
      <c r="RSY2472" s="54"/>
      <c r="RSZ2472" s="54"/>
      <c r="RTA2472" s="63"/>
      <c r="RTB2472" s="60"/>
      <c r="RTC2472" s="60"/>
      <c r="RTD2472" s="60"/>
      <c r="RTE2472" s="63"/>
      <c r="RTF2472" s="61"/>
      <c r="RTG2472" s="54"/>
      <c r="RTH2472" s="54"/>
      <c r="RTI2472" s="63"/>
      <c r="RTJ2472" s="60"/>
      <c r="RTK2472" s="60"/>
      <c r="RTL2472" s="60"/>
      <c r="RTM2472" s="63"/>
      <c r="RTN2472" s="61"/>
      <c r="RTO2472" s="54"/>
      <c r="RTP2472" s="54"/>
      <c r="RTQ2472" s="63"/>
      <c r="RTR2472" s="60"/>
      <c r="RTS2472" s="60"/>
      <c r="RTT2472" s="60"/>
      <c r="RTU2472" s="63"/>
      <c r="RTV2472" s="61"/>
      <c r="RTW2472" s="54"/>
      <c r="RTX2472" s="54"/>
      <c r="RTY2472" s="63"/>
      <c r="RTZ2472" s="60"/>
      <c r="RUA2472" s="60"/>
      <c r="RUB2472" s="60"/>
      <c r="RUC2472" s="63"/>
      <c r="RUD2472" s="61"/>
      <c r="RUE2472" s="54"/>
      <c r="RUF2472" s="54"/>
      <c r="RUG2472" s="63"/>
      <c r="RUH2472" s="60"/>
      <c r="RUI2472" s="60"/>
      <c r="RUJ2472" s="60"/>
      <c r="RUK2472" s="63"/>
      <c r="RUL2472" s="61"/>
      <c r="RUM2472" s="54"/>
      <c r="RUN2472" s="54"/>
      <c r="RUO2472" s="63"/>
      <c r="RUP2472" s="60"/>
      <c r="RUQ2472" s="60"/>
      <c r="RUR2472" s="60"/>
      <c r="RUS2472" s="63"/>
      <c r="RUT2472" s="61"/>
      <c r="RUU2472" s="54"/>
      <c r="RUV2472" s="54"/>
      <c r="RUW2472" s="63"/>
      <c r="RUX2472" s="60"/>
      <c r="RUY2472" s="60"/>
      <c r="RUZ2472" s="60"/>
      <c r="RVA2472" s="63"/>
      <c r="RVB2472" s="61"/>
      <c r="RVC2472" s="54"/>
      <c r="RVD2472" s="54"/>
      <c r="RVE2472" s="63"/>
      <c r="RVF2472" s="60"/>
      <c r="RVG2472" s="60"/>
      <c r="RVH2472" s="60"/>
      <c r="RVI2472" s="63"/>
      <c r="RVJ2472" s="61"/>
      <c r="RVK2472" s="54"/>
      <c r="RVL2472" s="54"/>
      <c r="RVM2472" s="63"/>
      <c r="RVN2472" s="60"/>
      <c r="RVO2472" s="60"/>
      <c r="RVP2472" s="60"/>
      <c r="RVQ2472" s="63"/>
      <c r="RVR2472" s="61"/>
      <c r="RVS2472" s="54"/>
      <c r="RVT2472" s="54"/>
      <c r="RVU2472" s="63"/>
      <c r="RVV2472" s="60"/>
      <c r="RVW2472" s="60"/>
      <c r="RVX2472" s="60"/>
      <c r="RVY2472" s="63"/>
      <c r="RVZ2472" s="61"/>
      <c r="RWA2472" s="54"/>
      <c r="RWB2472" s="54"/>
      <c r="RWC2472" s="63"/>
      <c r="RWD2472" s="60"/>
      <c r="RWE2472" s="60"/>
      <c r="RWF2472" s="60"/>
      <c r="RWG2472" s="63"/>
      <c r="RWH2472" s="61"/>
      <c r="RWI2472" s="54"/>
      <c r="RWJ2472" s="54"/>
      <c r="RWK2472" s="63"/>
      <c r="RWL2472" s="60"/>
      <c r="RWM2472" s="60"/>
      <c r="RWN2472" s="60"/>
      <c r="RWO2472" s="63"/>
      <c r="RWP2472" s="61"/>
      <c r="RWQ2472" s="54"/>
      <c r="RWR2472" s="54"/>
      <c r="RWS2472" s="63"/>
      <c r="RWT2472" s="60"/>
      <c r="RWU2472" s="60"/>
      <c r="RWV2472" s="60"/>
      <c r="RWW2472" s="63"/>
      <c r="RWX2472" s="61"/>
      <c r="RWY2472" s="54"/>
      <c r="RWZ2472" s="54"/>
      <c r="RXA2472" s="63"/>
      <c r="RXB2472" s="60"/>
      <c r="RXC2472" s="60"/>
      <c r="RXD2472" s="60"/>
      <c r="RXE2472" s="63"/>
      <c r="RXF2472" s="61"/>
      <c r="RXG2472" s="54"/>
      <c r="RXH2472" s="54"/>
      <c r="RXI2472" s="63"/>
      <c r="RXJ2472" s="60"/>
      <c r="RXK2472" s="60"/>
      <c r="RXL2472" s="60"/>
      <c r="RXM2472" s="63"/>
      <c r="RXN2472" s="61"/>
      <c r="RXO2472" s="54"/>
      <c r="RXP2472" s="54"/>
      <c r="RXQ2472" s="63"/>
      <c r="RXR2472" s="60"/>
      <c r="RXS2472" s="60"/>
      <c r="RXT2472" s="60"/>
      <c r="RXU2472" s="63"/>
      <c r="RXV2472" s="61"/>
      <c r="RXW2472" s="54"/>
      <c r="RXX2472" s="54"/>
      <c r="RXY2472" s="63"/>
      <c r="RXZ2472" s="60"/>
      <c r="RYA2472" s="60"/>
      <c r="RYB2472" s="60"/>
      <c r="RYC2472" s="63"/>
      <c r="RYD2472" s="61"/>
      <c r="RYE2472" s="54"/>
      <c r="RYF2472" s="54"/>
      <c r="RYG2472" s="63"/>
      <c r="RYH2472" s="60"/>
      <c r="RYI2472" s="60"/>
      <c r="RYJ2472" s="60"/>
      <c r="RYK2472" s="63"/>
      <c r="RYL2472" s="61"/>
      <c r="RYM2472" s="54"/>
      <c r="RYN2472" s="54"/>
      <c r="RYO2472" s="63"/>
      <c r="RYP2472" s="60"/>
      <c r="RYQ2472" s="60"/>
      <c r="RYR2472" s="60"/>
      <c r="RYS2472" s="63"/>
      <c r="RYT2472" s="61"/>
      <c r="RYU2472" s="54"/>
      <c r="RYV2472" s="54"/>
      <c r="RYW2472" s="63"/>
      <c r="RYX2472" s="60"/>
      <c r="RYY2472" s="60"/>
      <c r="RYZ2472" s="60"/>
      <c r="RZA2472" s="63"/>
      <c r="RZB2472" s="61"/>
      <c r="RZC2472" s="54"/>
      <c r="RZD2472" s="54"/>
      <c r="RZE2472" s="63"/>
      <c r="RZF2472" s="60"/>
      <c r="RZG2472" s="60"/>
      <c r="RZH2472" s="60"/>
      <c r="RZI2472" s="63"/>
      <c r="RZJ2472" s="61"/>
      <c r="RZK2472" s="54"/>
      <c r="RZL2472" s="54"/>
      <c r="RZM2472" s="63"/>
      <c r="RZN2472" s="60"/>
      <c r="RZO2472" s="60"/>
      <c r="RZP2472" s="60"/>
      <c r="RZQ2472" s="63"/>
      <c r="RZR2472" s="61"/>
      <c r="RZS2472" s="54"/>
      <c r="RZT2472" s="54"/>
      <c r="RZU2472" s="63"/>
      <c r="RZV2472" s="60"/>
      <c r="RZW2472" s="60"/>
      <c r="RZX2472" s="60"/>
      <c r="RZY2472" s="63"/>
      <c r="RZZ2472" s="61"/>
      <c r="SAA2472" s="54"/>
      <c r="SAB2472" s="54"/>
      <c r="SAC2472" s="63"/>
      <c r="SAD2472" s="60"/>
      <c r="SAE2472" s="60"/>
      <c r="SAF2472" s="60"/>
      <c r="SAG2472" s="63"/>
      <c r="SAH2472" s="61"/>
      <c r="SAI2472" s="54"/>
      <c r="SAJ2472" s="54"/>
      <c r="SAK2472" s="63"/>
      <c r="SAL2472" s="60"/>
      <c r="SAM2472" s="60"/>
      <c r="SAN2472" s="60"/>
      <c r="SAO2472" s="63"/>
      <c r="SAP2472" s="61"/>
      <c r="SAQ2472" s="54"/>
      <c r="SAR2472" s="54"/>
      <c r="SAS2472" s="63"/>
      <c r="SAT2472" s="60"/>
      <c r="SAU2472" s="60"/>
      <c r="SAV2472" s="60"/>
      <c r="SAW2472" s="63"/>
      <c r="SAX2472" s="61"/>
      <c r="SAY2472" s="54"/>
      <c r="SAZ2472" s="54"/>
      <c r="SBA2472" s="63"/>
      <c r="SBB2472" s="60"/>
      <c r="SBC2472" s="60"/>
      <c r="SBD2472" s="60"/>
      <c r="SBE2472" s="63"/>
      <c r="SBF2472" s="61"/>
      <c r="SBG2472" s="54"/>
      <c r="SBH2472" s="54"/>
      <c r="SBI2472" s="63"/>
      <c r="SBJ2472" s="60"/>
      <c r="SBK2472" s="60"/>
      <c r="SBL2472" s="60"/>
      <c r="SBM2472" s="63"/>
      <c r="SBN2472" s="61"/>
      <c r="SBO2472" s="54"/>
      <c r="SBP2472" s="54"/>
      <c r="SBQ2472" s="63"/>
      <c r="SBR2472" s="60"/>
      <c r="SBS2472" s="60"/>
      <c r="SBT2472" s="60"/>
      <c r="SBU2472" s="63"/>
      <c r="SBV2472" s="61"/>
      <c r="SBW2472" s="54"/>
      <c r="SBX2472" s="54"/>
      <c r="SBY2472" s="63"/>
      <c r="SBZ2472" s="60"/>
      <c r="SCA2472" s="60"/>
      <c r="SCB2472" s="60"/>
      <c r="SCC2472" s="63"/>
      <c r="SCD2472" s="61"/>
      <c r="SCE2472" s="54"/>
      <c r="SCF2472" s="54"/>
      <c r="SCG2472" s="63"/>
      <c r="SCH2472" s="60"/>
      <c r="SCI2472" s="60"/>
      <c r="SCJ2472" s="60"/>
      <c r="SCK2472" s="63"/>
      <c r="SCL2472" s="61"/>
      <c r="SCM2472" s="54"/>
      <c r="SCN2472" s="54"/>
      <c r="SCO2472" s="63"/>
      <c r="SCP2472" s="60"/>
      <c r="SCQ2472" s="60"/>
      <c r="SCR2472" s="60"/>
      <c r="SCS2472" s="63"/>
      <c r="SCT2472" s="61"/>
      <c r="SCU2472" s="54"/>
      <c r="SCV2472" s="54"/>
      <c r="SCW2472" s="63"/>
      <c r="SCX2472" s="60"/>
      <c r="SCY2472" s="60"/>
      <c r="SCZ2472" s="60"/>
      <c r="SDA2472" s="63"/>
      <c r="SDB2472" s="61"/>
      <c r="SDC2472" s="54"/>
      <c r="SDD2472" s="54"/>
      <c r="SDE2472" s="63"/>
      <c r="SDF2472" s="60"/>
      <c r="SDG2472" s="60"/>
      <c r="SDH2472" s="60"/>
      <c r="SDI2472" s="63"/>
      <c r="SDJ2472" s="61"/>
      <c r="SDK2472" s="54"/>
      <c r="SDL2472" s="54"/>
      <c r="SDM2472" s="63"/>
      <c r="SDN2472" s="60"/>
      <c r="SDO2472" s="60"/>
      <c r="SDP2472" s="60"/>
      <c r="SDQ2472" s="63"/>
      <c r="SDR2472" s="61"/>
      <c r="SDS2472" s="54"/>
      <c r="SDT2472" s="54"/>
      <c r="SDU2472" s="63"/>
      <c r="SDV2472" s="60"/>
      <c r="SDW2472" s="60"/>
      <c r="SDX2472" s="60"/>
      <c r="SDY2472" s="63"/>
      <c r="SDZ2472" s="61"/>
      <c r="SEA2472" s="54"/>
      <c r="SEB2472" s="54"/>
      <c r="SEC2472" s="63"/>
      <c r="SED2472" s="60"/>
      <c r="SEE2472" s="60"/>
      <c r="SEF2472" s="60"/>
      <c r="SEG2472" s="63"/>
      <c r="SEH2472" s="61"/>
      <c r="SEI2472" s="54"/>
      <c r="SEJ2472" s="54"/>
      <c r="SEK2472" s="63"/>
      <c r="SEL2472" s="60"/>
      <c r="SEM2472" s="60"/>
      <c r="SEN2472" s="60"/>
      <c r="SEO2472" s="63"/>
      <c r="SEP2472" s="61"/>
      <c r="SEQ2472" s="54"/>
      <c r="SER2472" s="54"/>
      <c r="SES2472" s="63"/>
      <c r="SET2472" s="60"/>
      <c r="SEU2472" s="60"/>
      <c r="SEV2472" s="60"/>
      <c r="SEW2472" s="63"/>
      <c r="SEX2472" s="61"/>
      <c r="SEY2472" s="54"/>
      <c r="SEZ2472" s="54"/>
      <c r="SFA2472" s="63"/>
      <c r="SFB2472" s="60"/>
      <c r="SFC2472" s="60"/>
      <c r="SFD2472" s="60"/>
      <c r="SFE2472" s="63"/>
      <c r="SFF2472" s="61"/>
      <c r="SFG2472" s="54"/>
      <c r="SFH2472" s="54"/>
      <c r="SFI2472" s="63"/>
      <c r="SFJ2472" s="60"/>
      <c r="SFK2472" s="60"/>
      <c r="SFL2472" s="60"/>
      <c r="SFM2472" s="63"/>
      <c r="SFN2472" s="61"/>
      <c r="SFO2472" s="54"/>
      <c r="SFP2472" s="54"/>
      <c r="SFQ2472" s="63"/>
      <c r="SFR2472" s="60"/>
      <c r="SFS2472" s="60"/>
      <c r="SFT2472" s="60"/>
      <c r="SFU2472" s="63"/>
      <c r="SFV2472" s="61"/>
      <c r="SFW2472" s="54"/>
      <c r="SFX2472" s="54"/>
      <c r="SFY2472" s="63"/>
      <c r="SFZ2472" s="60"/>
      <c r="SGA2472" s="60"/>
      <c r="SGB2472" s="60"/>
      <c r="SGC2472" s="63"/>
      <c r="SGD2472" s="61"/>
      <c r="SGE2472" s="54"/>
      <c r="SGF2472" s="54"/>
      <c r="SGG2472" s="63"/>
      <c r="SGH2472" s="60"/>
      <c r="SGI2472" s="60"/>
      <c r="SGJ2472" s="60"/>
      <c r="SGK2472" s="63"/>
      <c r="SGL2472" s="61"/>
      <c r="SGM2472" s="54"/>
      <c r="SGN2472" s="54"/>
      <c r="SGO2472" s="63"/>
      <c r="SGP2472" s="60"/>
      <c r="SGQ2472" s="60"/>
      <c r="SGR2472" s="60"/>
      <c r="SGS2472" s="63"/>
      <c r="SGT2472" s="61"/>
      <c r="SGU2472" s="54"/>
      <c r="SGV2472" s="54"/>
      <c r="SGW2472" s="63"/>
      <c r="SGX2472" s="60"/>
      <c r="SGY2472" s="60"/>
      <c r="SGZ2472" s="60"/>
      <c r="SHA2472" s="63"/>
      <c r="SHB2472" s="61"/>
      <c r="SHC2472" s="54"/>
      <c r="SHD2472" s="54"/>
      <c r="SHE2472" s="63"/>
      <c r="SHF2472" s="60"/>
      <c r="SHG2472" s="60"/>
      <c r="SHH2472" s="60"/>
      <c r="SHI2472" s="63"/>
      <c r="SHJ2472" s="61"/>
      <c r="SHK2472" s="54"/>
      <c r="SHL2472" s="54"/>
      <c r="SHM2472" s="63"/>
      <c r="SHN2472" s="60"/>
      <c r="SHO2472" s="60"/>
      <c r="SHP2472" s="60"/>
      <c r="SHQ2472" s="63"/>
      <c r="SHR2472" s="61"/>
      <c r="SHS2472" s="54"/>
      <c r="SHT2472" s="54"/>
      <c r="SHU2472" s="63"/>
      <c r="SHV2472" s="60"/>
      <c r="SHW2472" s="60"/>
      <c r="SHX2472" s="60"/>
      <c r="SHY2472" s="63"/>
      <c r="SHZ2472" s="61"/>
      <c r="SIA2472" s="54"/>
      <c r="SIB2472" s="54"/>
      <c r="SIC2472" s="63"/>
      <c r="SID2472" s="60"/>
      <c r="SIE2472" s="60"/>
      <c r="SIF2472" s="60"/>
      <c r="SIG2472" s="63"/>
      <c r="SIH2472" s="61"/>
      <c r="SII2472" s="54"/>
      <c r="SIJ2472" s="54"/>
      <c r="SIK2472" s="63"/>
      <c r="SIL2472" s="60"/>
      <c r="SIM2472" s="60"/>
      <c r="SIN2472" s="60"/>
      <c r="SIO2472" s="63"/>
      <c r="SIP2472" s="61"/>
      <c r="SIQ2472" s="54"/>
      <c r="SIR2472" s="54"/>
      <c r="SIS2472" s="63"/>
      <c r="SIT2472" s="60"/>
      <c r="SIU2472" s="60"/>
      <c r="SIV2472" s="60"/>
      <c r="SIW2472" s="63"/>
      <c r="SIX2472" s="61"/>
      <c r="SIY2472" s="54"/>
      <c r="SIZ2472" s="54"/>
      <c r="SJA2472" s="63"/>
      <c r="SJB2472" s="60"/>
      <c r="SJC2472" s="60"/>
      <c r="SJD2472" s="60"/>
      <c r="SJE2472" s="63"/>
      <c r="SJF2472" s="61"/>
      <c r="SJG2472" s="54"/>
      <c r="SJH2472" s="54"/>
      <c r="SJI2472" s="63"/>
      <c r="SJJ2472" s="60"/>
      <c r="SJK2472" s="60"/>
      <c r="SJL2472" s="60"/>
      <c r="SJM2472" s="63"/>
      <c r="SJN2472" s="61"/>
      <c r="SJO2472" s="54"/>
      <c r="SJP2472" s="54"/>
      <c r="SJQ2472" s="63"/>
      <c r="SJR2472" s="60"/>
      <c r="SJS2472" s="60"/>
      <c r="SJT2472" s="60"/>
      <c r="SJU2472" s="63"/>
      <c r="SJV2472" s="61"/>
      <c r="SJW2472" s="54"/>
      <c r="SJX2472" s="54"/>
      <c r="SJY2472" s="63"/>
      <c r="SJZ2472" s="60"/>
      <c r="SKA2472" s="60"/>
      <c r="SKB2472" s="60"/>
      <c r="SKC2472" s="63"/>
      <c r="SKD2472" s="61"/>
      <c r="SKE2472" s="54"/>
      <c r="SKF2472" s="54"/>
      <c r="SKG2472" s="63"/>
      <c r="SKH2472" s="60"/>
      <c r="SKI2472" s="60"/>
      <c r="SKJ2472" s="60"/>
      <c r="SKK2472" s="63"/>
      <c r="SKL2472" s="61"/>
      <c r="SKM2472" s="54"/>
      <c r="SKN2472" s="54"/>
      <c r="SKO2472" s="63"/>
      <c r="SKP2472" s="60"/>
      <c r="SKQ2472" s="60"/>
      <c r="SKR2472" s="60"/>
      <c r="SKS2472" s="63"/>
      <c r="SKT2472" s="61"/>
      <c r="SKU2472" s="54"/>
      <c r="SKV2472" s="54"/>
      <c r="SKW2472" s="63"/>
      <c r="SKX2472" s="60"/>
      <c r="SKY2472" s="60"/>
      <c r="SKZ2472" s="60"/>
      <c r="SLA2472" s="63"/>
      <c r="SLB2472" s="61"/>
      <c r="SLC2472" s="54"/>
      <c r="SLD2472" s="54"/>
      <c r="SLE2472" s="63"/>
      <c r="SLF2472" s="60"/>
      <c r="SLG2472" s="60"/>
      <c r="SLH2472" s="60"/>
      <c r="SLI2472" s="63"/>
      <c r="SLJ2472" s="61"/>
      <c r="SLK2472" s="54"/>
      <c r="SLL2472" s="54"/>
      <c r="SLM2472" s="63"/>
      <c r="SLN2472" s="60"/>
      <c r="SLO2472" s="60"/>
      <c r="SLP2472" s="60"/>
      <c r="SLQ2472" s="63"/>
      <c r="SLR2472" s="61"/>
      <c r="SLS2472" s="54"/>
      <c r="SLT2472" s="54"/>
      <c r="SLU2472" s="63"/>
      <c r="SLV2472" s="60"/>
      <c r="SLW2472" s="60"/>
      <c r="SLX2472" s="60"/>
      <c r="SLY2472" s="63"/>
      <c r="SLZ2472" s="61"/>
      <c r="SMA2472" s="54"/>
      <c r="SMB2472" s="54"/>
      <c r="SMC2472" s="63"/>
      <c r="SMD2472" s="60"/>
      <c r="SME2472" s="60"/>
      <c r="SMF2472" s="60"/>
      <c r="SMG2472" s="63"/>
      <c r="SMH2472" s="61"/>
      <c r="SMI2472" s="54"/>
      <c r="SMJ2472" s="54"/>
      <c r="SMK2472" s="63"/>
      <c r="SML2472" s="60"/>
      <c r="SMM2472" s="60"/>
      <c r="SMN2472" s="60"/>
      <c r="SMO2472" s="63"/>
      <c r="SMP2472" s="61"/>
      <c r="SMQ2472" s="54"/>
      <c r="SMR2472" s="54"/>
      <c r="SMS2472" s="63"/>
      <c r="SMT2472" s="60"/>
      <c r="SMU2472" s="60"/>
      <c r="SMV2472" s="60"/>
      <c r="SMW2472" s="63"/>
      <c r="SMX2472" s="61"/>
      <c r="SMY2472" s="54"/>
      <c r="SMZ2472" s="54"/>
      <c r="SNA2472" s="63"/>
      <c r="SNB2472" s="60"/>
      <c r="SNC2472" s="60"/>
      <c r="SND2472" s="60"/>
      <c r="SNE2472" s="63"/>
      <c r="SNF2472" s="61"/>
      <c r="SNG2472" s="54"/>
      <c r="SNH2472" s="54"/>
      <c r="SNI2472" s="63"/>
      <c r="SNJ2472" s="60"/>
      <c r="SNK2472" s="60"/>
      <c r="SNL2472" s="60"/>
      <c r="SNM2472" s="63"/>
      <c r="SNN2472" s="61"/>
      <c r="SNO2472" s="54"/>
      <c r="SNP2472" s="54"/>
      <c r="SNQ2472" s="63"/>
      <c r="SNR2472" s="60"/>
      <c r="SNS2472" s="60"/>
      <c r="SNT2472" s="60"/>
      <c r="SNU2472" s="63"/>
      <c r="SNV2472" s="61"/>
      <c r="SNW2472" s="54"/>
      <c r="SNX2472" s="54"/>
      <c r="SNY2472" s="63"/>
      <c r="SNZ2472" s="60"/>
      <c r="SOA2472" s="60"/>
      <c r="SOB2472" s="60"/>
      <c r="SOC2472" s="63"/>
      <c r="SOD2472" s="61"/>
      <c r="SOE2472" s="54"/>
      <c r="SOF2472" s="54"/>
      <c r="SOG2472" s="63"/>
      <c r="SOH2472" s="60"/>
      <c r="SOI2472" s="60"/>
      <c r="SOJ2472" s="60"/>
      <c r="SOK2472" s="63"/>
      <c r="SOL2472" s="61"/>
      <c r="SOM2472" s="54"/>
      <c r="SON2472" s="54"/>
      <c r="SOO2472" s="63"/>
      <c r="SOP2472" s="60"/>
      <c r="SOQ2472" s="60"/>
      <c r="SOR2472" s="60"/>
      <c r="SOS2472" s="63"/>
      <c r="SOT2472" s="61"/>
      <c r="SOU2472" s="54"/>
      <c r="SOV2472" s="54"/>
      <c r="SOW2472" s="63"/>
      <c r="SOX2472" s="60"/>
      <c r="SOY2472" s="60"/>
      <c r="SOZ2472" s="60"/>
      <c r="SPA2472" s="63"/>
      <c r="SPB2472" s="61"/>
      <c r="SPC2472" s="54"/>
      <c r="SPD2472" s="54"/>
      <c r="SPE2472" s="63"/>
      <c r="SPF2472" s="60"/>
      <c r="SPG2472" s="60"/>
      <c r="SPH2472" s="60"/>
      <c r="SPI2472" s="63"/>
      <c r="SPJ2472" s="61"/>
      <c r="SPK2472" s="54"/>
      <c r="SPL2472" s="54"/>
      <c r="SPM2472" s="63"/>
      <c r="SPN2472" s="60"/>
      <c r="SPO2472" s="60"/>
      <c r="SPP2472" s="60"/>
      <c r="SPQ2472" s="63"/>
      <c r="SPR2472" s="61"/>
      <c r="SPS2472" s="54"/>
      <c r="SPT2472" s="54"/>
      <c r="SPU2472" s="63"/>
      <c r="SPV2472" s="60"/>
      <c r="SPW2472" s="60"/>
      <c r="SPX2472" s="60"/>
      <c r="SPY2472" s="63"/>
      <c r="SPZ2472" s="61"/>
      <c r="SQA2472" s="54"/>
      <c r="SQB2472" s="54"/>
      <c r="SQC2472" s="63"/>
      <c r="SQD2472" s="60"/>
      <c r="SQE2472" s="60"/>
      <c r="SQF2472" s="60"/>
      <c r="SQG2472" s="63"/>
      <c r="SQH2472" s="61"/>
      <c r="SQI2472" s="54"/>
      <c r="SQJ2472" s="54"/>
      <c r="SQK2472" s="63"/>
      <c r="SQL2472" s="60"/>
      <c r="SQM2472" s="60"/>
      <c r="SQN2472" s="60"/>
      <c r="SQO2472" s="63"/>
      <c r="SQP2472" s="61"/>
      <c r="SQQ2472" s="54"/>
      <c r="SQR2472" s="54"/>
      <c r="SQS2472" s="63"/>
      <c r="SQT2472" s="60"/>
      <c r="SQU2472" s="60"/>
      <c r="SQV2472" s="60"/>
      <c r="SQW2472" s="63"/>
      <c r="SQX2472" s="61"/>
      <c r="SQY2472" s="54"/>
      <c r="SQZ2472" s="54"/>
      <c r="SRA2472" s="63"/>
      <c r="SRB2472" s="60"/>
      <c r="SRC2472" s="60"/>
      <c r="SRD2472" s="60"/>
      <c r="SRE2472" s="63"/>
      <c r="SRF2472" s="61"/>
      <c r="SRG2472" s="54"/>
      <c r="SRH2472" s="54"/>
      <c r="SRI2472" s="63"/>
      <c r="SRJ2472" s="60"/>
      <c r="SRK2472" s="60"/>
      <c r="SRL2472" s="60"/>
      <c r="SRM2472" s="63"/>
      <c r="SRN2472" s="61"/>
      <c r="SRO2472" s="54"/>
      <c r="SRP2472" s="54"/>
      <c r="SRQ2472" s="63"/>
      <c r="SRR2472" s="60"/>
      <c r="SRS2472" s="60"/>
      <c r="SRT2472" s="60"/>
      <c r="SRU2472" s="63"/>
      <c r="SRV2472" s="61"/>
      <c r="SRW2472" s="54"/>
      <c r="SRX2472" s="54"/>
      <c r="SRY2472" s="63"/>
      <c r="SRZ2472" s="60"/>
      <c r="SSA2472" s="60"/>
      <c r="SSB2472" s="60"/>
      <c r="SSC2472" s="63"/>
      <c r="SSD2472" s="61"/>
      <c r="SSE2472" s="54"/>
      <c r="SSF2472" s="54"/>
      <c r="SSG2472" s="63"/>
      <c r="SSH2472" s="60"/>
      <c r="SSI2472" s="60"/>
      <c r="SSJ2472" s="60"/>
      <c r="SSK2472" s="63"/>
      <c r="SSL2472" s="61"/>
      <c r="SSM2472" s="54"/>
      <c r="SSN2472" s="54"/>
      <c r="SSO2472" s="63"/>
      <c r="SSP2472" s="60"/>
      <c r="SSQ2472" s="60"/>
      <c r="SSR2472" s="60"/>
      <c r="SSS2472" s="63"/>
      <c r="SST2472" s="61"/>
      <c r="SSU2472" s="54"/>
      <c r="SSV2472" s="54"/>
      <c r="SSW2472" s="63"/>
      <c r="SSX2472" s="60"/>
      <c r="SSY2472" s="60"/>
      <c r="SSZ2472" s="60"/>
      <c r="STA2472" s="63"/>
      <c r="STB2472" s="61"/>
      <c r="STC2472" s="54"/>
      <c r="STD2472" s="54"/>
      <c r="STE2472" s="63"/>
      <c r="STF2472" s="60"/>
      <c r="STG2472" s="60"/>
      <c r="STH2472" s="60"/>
      <c r="STI2472" s="63"/>
      <c r="STJ2472" s="61"/>
      <c r="STK2472" s="54"/>
      <c r="STL2472" s="54"/>
      <c r="STM2472" s="63"/>
      <c r="STN2472" s="60"/>
      <c r="STO2472" s="60"/>
      <c r="STP2472" s="60"/>
      <c r="STQ2472" s="63"/>
      <c r="STR2472" s="61"/>
      <c r="STS2472" s="54"/>
      <c r="STT2472" s="54"/>
      <c r="STU2472" s="63"/>
      <c r="STV2472" s="60"/>
      <c r="STW2472" s="60"/>
      <c r="STX2472" s="60"/>
      <c r="STY2472" s="63"/>
      <c r="STZ2472" s="61"/>
      <c r="SUA2472" s="54"/>
      <c r="SUB2472" s="54"/>
      <c r="SUC2472" s="63"/>
      <c r="SUD2472" s="60"/>
      <c r="SUE2472" s="60"/>
      <c r="SUF2472" s="60"/>
      <c r="SUG2472" s="63"/>
      <c r="SUH2472" s="61"/>
      <c r="SUI2472" s="54"/>
      <c r="SUJ2472" s="54"/>
      <c r="SUK2472" s="63"/>
      <c r="SUL2472" s="60"/>
      <c r="SUM2472" s="60"/>
      <c r="SUN2472" s="60"/>
      <c r="SUO2472" s="63"/>
      <c r="SUP2472" s="61"/>
      <c r="SUQ2472" s="54"/>
      <c r="SUR2472" s="54"/>
      <c r="SUS2472" s="63"/>
      <c r="SUT2472" s="60"/>
      <c r="SUU2472" s="60"/>
      <c r="SUV2472" s="60"/>
      <c r="SUW2472" s="63"/>
      <c r="SUX2472" s="61"/>
      <c r="SUY2472" s="54"/>
      <c r="SUZ2472" s="54"/>
      <c r="SVA2472" s="63"/>
      <c r="SVB2472" s="60"/>
      <c r="SVC2472" s="60"/>
      <c r="SVD2472" s="60"/>
      <c r="SVE2472" s="63"/>
      <c r="SVF2472" s="61"/>
      <c r="SVG2472" s="54"/>
      <c r="SVH2472" s="54"/>
      <c r="SVI2472" s="63"/>
      <c r="SVJ2472" s="60"/>
      <c r="SVK2472" s="60"/>
      <c r="SVL2472" s="60"/>
      <c r="SVM2472" s="63"/>
      <c r="SVN2472" s="61"/>
      <c r="SVO2472" s="54"/>
      <c r="SVP2472" s="54"/>
      <c r="SVQ2472" s="63"/>
      <c r="SVR2472" s="60"/>
      <c r="SVS2472" s="60"/>
      <c r="SVT2472" s="60"/>
      <c r="SVU2472" s="63"/>
      <c r="SVV2472" s="61"/>
      <c r="SVW2472" s="54"/>
      <c r="SVX2472" s="54"/>
      <c r="SVY2472" s="63"/>
      <c r="SVZ2472" s="60"/>
      <c r="SWA2472" s="60"/>
      <c r="SWB2472" s="60"/>
      <c r="SWC2472" s="63"/>
      <c r="SWD2472" s="61"/>
      <c r="SWE2472" s="54"/>
      <c r="SWF2472" s="54"/>
      <c r="SWG2472" s="63"/>
      <c r="SWH2472" s="60"/>
      <c r="SWI2472" s="60"/>
      <c r="SWJ2472" s="60"/>
      <c r="SWK2472" s="63"/>
      <c r="SWL2472" s="61"/>
      <c r="SWM2472" s="54"/>
      <c r="SWN2472" s="54"/>
      <c r="SWO2472" s="63"/>
      <c r="SWP2472" s="60"/>
      <c r="SWQ2472" s="60"/>
      <c r="SWR2472" s="60"/>
      <c r="SWS2472" s="63"/>
      <c r="SWT2472" s="61"/>
      <c r="SWU2472" s="54"/>
      <c r="SWV2472" s="54"/>
      <c r="SWW2472" s="63"/>
      <c r="SWX2472" s="60"/>
      <c r="SWY2472" s="60"/>
      <c r="SWZ2472" s="60"/>
      <c r="SXA2472" s="63"/>
      <c r="SXB2472" s="61"/>
      <c r="SXC2472" s="54"/>
      <c r="SXD2472" s="54"/>
      <c r="SXE2472" s="63"/>
      <c r="SXF2472" s="60"/>
      <c r="SXG2472" s="60"/>
      <c r="SXH2472" s="60"/>
      <c r="SXI2472" s="63"/>
      <c r="SXJ2472" s="61"/>
      <c r="SXK2472" s="54"/>
      <c r="SXL2472" s="54"/>
      <c r="SXM2472" s="63"/>
      <c r="SXN2472" s="60"/>
      <c r="SXO2472" s="60"/>
      <c r="SXP2472" s="60"/>
      <c r="SXQ2472" s="63"/>
      <c r="SXR2472" s="61"/>
      <c r="SXS2472" s="54"/>
      <c r="SXT2472" s="54"/>
      <c r="SXU2472" s="63"/>
      <c r="SXV2472" s="60"/>
      <c r="SXW2472" s="60"/>
      <c r="SXX2472" s="60"/>
      <c r="SXY2472" s="63"/>
      <c r="SXZ2472" s="61"/>
      <c r="SYA2472" s="54"/>
      <c r="SYB2472" s="54"/>
      <c r="SYC2472" s="63"/>
      <c r="SYD2472" s="60"/>
      <c r="SYE2472" s="60"/>
      <c r="SYF2472" s="60"/>
      <c r="SYG2472" s="63"/>
      <c r="SYH2472" s="61"/>
      <c r="SYI2472" s="54"/>
      <c r="SYJ2472" s="54"/>
      <c r="SYK2472" s="63"/>
      <c r="SYL2472" s="60"/>
      <c r="SYM2472" s="60"/>
      <c r="SYN2472" s="60"/>
      <c r="SYO2472" s="63"/>
      <c r="SYP2472" s="61"/>
      <c r="SYQ2472" s="54"/>
      <c r="SYR2472" s="54"/>
      <c r="SYS2472" s="63"/>
      <c r="SYT2472" s="60"/>
      <c r="SYU2472" s="60"/>
      <c r="SYV2472" s="60"/>
      <c r="SYW2472" s="63"/>
      <c r="SYX2472" s="61"/>
      <c r="SYY2472" s="54"/>
      <c r="SYZ2472" s="54"/>
      <c r="SZA2472" s="63"/>
      <c r="SZB2472" s="60"/>
      <c r="SZC2472" s="60"/>
      <c r="SZD2472" s="60"/>
      <c r="SZE2472" s="63"/>
      <c r="SZF2472" s="61"/>
      <c r="SZG2472" s="54"/>
      <c r="SZH2472" s="54"/>
      <c r="SZI2472" s="63"/>
      <c r="SZJ2472" s="60"/>
      <c r="SZK2472" s="60"/>
      <c r="SZL2472" s="60"/>
      <c r="SZM2472" s="63"/>
      <c r="SZN2472" s="61"/>
      <c r="SZO2472" s="54"/>
      <c r="SZP2472" s="54"/>
      <c r="SZQ2472" s="63"/>
      <c r="SZR2472" s="60"/>
      <c r="SZS2472" s="60"/>
      <c r="SZT2472" s="60"/>
      <c r="SZU2472" s="63"/>
      <c r="SZV2472" s="61"/>
      <c r="SZW2472" s="54"/>
      <c r="SZX2472" s="54"/>
      <c r="SZY2472" s="63"/>
      <c r="SZZ2472" s="60"/>
      <c r="TAA2472" s="60"/>
      <c r="TAB2472" s="60"/>
      <c r="TAC2472" s="63"/>
      <c r="TAD2472" s="61"/>
      <c r="TAE2472" s="54"/>
      <c r="TAF2472" s="54"/>
      <c r="TAG2472" s="63"/>
      <c r="TAH2472" s="60"/>
      <c r="TAI2472" s="60"/>
      <c r="TAJ2472" s="60"/>
      <c r="TAK2472" s="63"/>
      <c r="TAL2472" s="61"/>
      <c r="TAM2472" s="54"/>
      <c r="TAN2472" s="54"/>
      <c r="TAO2472" s="63"/>
      <c r="TAP2472" s="60"/>
      <c r="TAQ2472" s="60"/>
      <c r="TAR2472" s="60"/>
      <c r="TAS2472" s="63"/>
      <c r="TAT2472" s="61"/>
      <c r="TAU2472" s="54"/>
      <c r="TAV2472" s="54"/>
      <c r="TAW2472" s="63"/>
      <c r="TAX2472" s="60"/>
      <c r="TAY2472" s="60"/>
      <c r="TAZ2472" s="60"/>
      <c r="TBA2472" s="63"/>
      <c r="TBB2472" s="61"/>
      <c r="TBC2472" s="54"/>
      <c r="TBD2472" s="54"/>
      <c r="TBE2472" s="63"/>
      <c r="TBF2472" s="60"/>
      <c r="TBG2472" s="60"/>
      <c r="TBH2472" s="60"/>
      <c r="TBI2472" s="63"/>
      <c r="TBJ2472" s="61"/>
      <c r="TBK2472" s="54"/>
      <c r="TBL2472" s="54"/>
      <c r="TBM2472" s="63"/>
      <c r="TBN2472" s="60"/>
      <c r="TBO2472" s="60"/>
      <c r="TBP2472" s="60"/>
      <c r="TBQ2472" s="63"/>
      <c r="TBR2472" s="61"/>
      <c r="TBS2472" s="54"/>
      <c r="TBT2472" s="54"/>
      <c r="TBU2472" s="63"/>
      <c r="TBV2472" s="60"/>
      <c r="TBW2472" s="60"/>
      <c r="TBX2472" s="60"/>
      <c r="TBY2472" s="63"/>
      <c r="TBZ2472" s="61"/>
      <c r="TCA2472" s="54"/>
      <c r="TCB2472" s="54"/>
      <c r="TCC2472" s="63"/>
      <c r="TCD2472" s="60"/>
      <c r="TCE2472" s="60"/>
      <c r="TCF2472" s="60"/>
      <c r="TCG2472" s="63"/>
      <c r="TCH2472" s="61"/>
      <c r="TCI2472" s="54"/>
      <c r="TCJ2472" s="54"/>
      <c r="TCK2472" s="63"/>
      <c r="TCL2472" s="60"/>
      <c r="TCM2472" s="60"/>
      <c r="TCN2472" s="60"/>
      <c r="TCO2472" s="63"/>
      <c r="TCP2472" s="61"/>
      <c r="TCQ2472" s="54"/>
      <c r="TCR2472" s="54"/>
      <c r="TCS2472" s="63"/>
      <c r="TCT2472" s="60"/>
      <c r="TCU2472" s="60"/>
      <c r="TCV2472" s="60"/>
      <c r="TCW2472" s="63"/>
      <c r="TCX2472" s="61"/>
      <c r="TCY2472" s="54"/>
      <c r="TCZ2472" s="54"/>
      <c r="TDA2472" s="63"/>
      <c r="TDB2472" s="60"/>
      <c r="TDC2472" s="60"/>
      <c r="TDD2472" s="60"/>
      <c r="TDE2472" s="63"/>
      <c r="TDF2472" s="61"/>
      <c r="TDG2472" s="54"/>
      <c r="TDH2472" s="54"/>
      <c r="TDI2472" s="63"/>
      <c r="TDJ2472" s="60"/>
      <c r="TDK2472" s="60"/>
      <c r="TDL2472" s="60"/>
      <c r="TDM2472" s="63"/>
      <c r="TDN2472" s="61"/>
      <c r="TDO2472" s="54"/>
      <c r="TDP2472" s="54"/>
      <c r="TDQ2472" s="63"/>
      <c r="TDR2472" s="60"/>
      <c r="TDS2472" s="60"/>
      <c r="TDT2472" s="60"/>
      <c r="TDU2472" s="63"/>
      <c r="TDV2472" s="61"/>
      <c r="TDW2472" s="54"/>
      <c r="TDX2472" s="54"/>
      <c r="TDY2472" s="63"/>
      <c r="TDZ2472" s="60"/>
      <c r="TEA2472" s="60"/>
      <c r="TEB2472" s="60"/>
      <c r="TEC2472" s="63"/>
      <c r="TED2472" s="61"/>
      <c r="TEE2472" s="54"/>
      <c r="TEF2472" s="54"/>
      <c r="TEG2472" s="63"/>
      <c r="TEH2472" s="60"/>
      <c r="TEI2472" s="60"/>
      <c r="TEJ2472" s="60"/>
      <c r="TEK2472" s="63"/>
      <c r="TEL2472" s="61"/>
      <c r="TEM2472" s="54"/>
      <c r="TEN2472" s="54"/>
      <c r="TEO2472" s="63"/>
      <c r="TEP2472" s="60"/>
      <c r="TEQ2472" s="60"/>
      <c r="TER2472" s="60"/>
      <c r="TES2472" s="63"/>
      <c r="TET2472" s="61"/>
      <c r="TEU2472" s="54"/>
      <c r="TEV2472" s="54"/>
      <c r="TEW2472" s="63"/>
      <c r="TEX2472" s="60"/>
      <c r="TEY2472" s="60"/>
      <c r="TEZ2472" s="60"/>
      <c r="TFA2472" s="63"/>
      <c r="TFB2472" s="61"/>
      <c r="TFC2472" s="54"/>
      <c r="TFD2472" s="54"/>
      <c r="TFE2472" s="63"/>
      <c r="TFF2472" s="60"/>
      <c r="TFG2472" s="60"/>
      <c r="TFH2472" s="60"/>
      <c r="TFI2472" s="63"/>
      <c r="TFJ2472" s="61"/>
      <c r="TFK2472" s="54"/>
      <c r="TFL2472" s="54"/>
      <c r="TFM2472" s="63"/>
      <c r="TFN2472" s="60"/>
      <c r="TFO2472" s="60"/>
      <c r="TFP2472" s="60"/>
      <c r="TFQ2472" s="63"/>
      <c r="TFR2472" s="61"/>
      <c r="TFS2472" s="54"/>
      <c r="TFT2472" s="54"/>
      <c r="TFU2472" s="63"/>
      <c r="TFV2472" s="60"/>
      <c r="TFW2472" s="60"/>
      <c r="TFX2472" s="60"/>
      <c r="TFY2472" s="63"/>
      <c r="TFZ2472" s="61"/>
      <c r="TGA2472" s="54"/>
      <c r="TGB2472" s="54"/>
      <c r="TGC2472" s="63"/>
      <c r="TGD2472" s="60"/>
      <c r="TGE2472" s="60"/>
      <c r="TGF2472" s="60"/>
      <c r="TGG2472" s="63"/>
      <c r="TGH2472" s="61"/>
      <c r="TGI2472" s="54"/>
      <c r="TGJ2472" s="54"/>
      <c r="TGK2472" s="63"/>
      <c r="TGL2472" s="60"/>
      <c r="TGM2472" s="60"/>
      <c r="TGN2472" s="60"/>
      <c r="TGO2472" s="63"/>
      <c r="TGP2472" s="61"/>
      <c r="TGQ2472" s="54"/>
      <c r="TGR2472" s="54"/>
      <c r="TGS2472" s="63"/>
      <c r="TGT2472" s="60"/>
      <c r="TGU2472" s="60"/>
      <c r="TGV2472" s="60"/>
      <c r="TGW2472" s="63"/>
      <c r="TGX2472" s="61"/>
      <c r="TGY2472" s="54"/>
      <c r="TGZ2472" s="54"/>
      <c r="THA2472" s="63"/>
      <c r="THB2472" s="60"/>
      <c r="THC2472" s="60"/>
      <c r="THD2472" s="60"/>
      <c r="THE2472" s="63"/>
      <c r="THF2472" s="61"/>
      <c r="THG2472" s="54"/>
      <c r="THH2472" s="54"/>
      <c r="THI2472" s="63"/>
      <c r="THJ2472" s="60"/>
      <c r="THK2472" s="60"/>
      <c r="THL2472" s="60"/>
      <c r="THM2472" s="63"/>
      <c r="THN2472" s="61"/>
      <c r="THO2472" s="54"/>
      <c r="THP2472" s="54"/>
      <c r="THQ2472" s="63"/>
      <c r="THR2472" s="60"/>
      <c r="THS2472" s="60"/>
      <c r="THT2472" s="60"/>
      <c r="THU2472" s="63"/>
      <c r="THV2472" s="61"/>
      <c r="THW2472" s="54"/>
      <c r="THX2472" s="54"/>
      <c r="THY2472" s="63"/>
      <c r="THZ2472" s="60"/>
      <c r="TIA2472" s="60"/>
      <c r="TIB2472" s="60"/>
      <c r="TIC2472" s="63"/>
      <c r="TID2472" s="61"/>
      <c r="TIE2472" s="54"/>
      <c r="TIF2472" s="54"/>
      <c r="TIG2472" s="63"/>
      <c r="TIH2472" s="60"/>
      <c r="TII2472" s="60"/>
      <c r="TIJ2472" s="60"/>
      <c r="TIK2472" s="63"/>
      <c r="TIL2472" s="61"/>
      <c r="TIM2472" s="54"/>
      <c r="TIN2472" s="54"/>
      <c r="TIO2472" s="63"/>
      <c r="TIP2472" s="60"/>
      <c r="TIQ2472" s="60"/>
      <c r="TIR2472" s="60"/>
      <c r="TIS2472" s="63"/>
      <c r="TIT2472" s="61"/>
      <c r="TIU2472" s="54"/>
      <c r="TIV2472" s="54"/>
      <c r="TIW2472" s="63"/>
      <c r="TIX2472" s="60"/>
      <c r="TIY2472" s="60"/>
      <c r="TIZ2472" s="60"/>
      <c r="TJA2472" s="63"/>
      <c r="TJB2472" s="61"/>
      <c r="TJC2472" s="54"/>
      <c r="TJD2472" s="54"/>
      <c r="TJE2472" s="63"/>
      <c r="TJF2472" s="60"/>
      <c r="TJG2472" s="60"/>
      <c r="TJH2472" s="60"/>
      <c r="TJI2472" s="63"/>
      <c r="TJJ2472" s="61"/>
      <c r="TJK2472" s="54"/>
      <c r="TJL2472" s="54"/>
      <c r="TJM2472" s="63"/>
      <c r="TJN2472" s="60"/>
      <c r="TJO2472" s="60"/>
      <c r="TJP2472" s="60"/>
      <c r="TJQ2472" s="63"/>
      <c r="TJR2472" s="61"/>
      <c r="TJS2472" s="54"/>
      <c r="TJT2472" s="54"/>
      <c r="TJU2472" s="63"/>
      <c r="TJV2472" s="60"/>
      <c r="TJW2472" s="60"/>
      <c r="TJX2472" s="60"/>
      <c r="TJY2472" s="63"/>
      <c r="TJZ2472" s="61"/>
      <c r="TKA2472" s="54"/>
      <c r="TKB2472" s="54"/>
      <c r="TKC2472" s="63"/>
      <c r="TKD2472" s="60"/>
      <c r="TKE2472" s="60"/>
      <c r="TKF2472" s="60"/>
      <c r="TKG2472" s="63"/>
      <c r="TKH2472" s="61"/>
      <c r="TKI2472" s="54"/>
      <c r="TKJ2472" s="54"/>
      <c r="TKK2472" s="63"/>
      <c r="TKL2472" s="60"/>
      <c r="TKM2472" s="60"/>
      <c r="TKN2472" s="60"/>
      <c r="TKO2472" s="63"/>
      <c r="TKP2472" s="61"/>
      <c r="TKQ2472" s="54"/>
      <c r="TKR2472" s="54"/>
      <c r="TKS2472" s="63"/>
      <c r="TKT2472" s="60"/>
      <c r="TKU2472" s="60"/>
      <c r="TKV2472" s="60"/>
      <c r="TKW2472" s="63"/>
      <c r="TKX2472" s="61"/>
      <c r="TKY2472" s="54"/>
      <c r="TKZ2472" s="54"/>
      <c r="TLA2472" s="63"/>
      <c r="TLB2472" s="60"/>
      <c r="TLC2472" s="60"/>
      <c r="TLD2472" s="60"/>
      <c r="TLE2472" s="63"/>
      <c r="TLF2472" s="61"/>
      <c r="TLG2472" s="54"/>
      <c r="TLH2472" s="54"/>
      <c r="TLI2472" s="63"/>
      <c r="TLJ2472" s="60"/>
      <c r="TLK2472" s="60"/>
      <c r="TLL2472" s="60"/>
      <c r="TLM2472" s="63"/>
      <c r="TLN2472" s="61"/>
      <c r="TLO2472" s="54"/>
      <c r="TLP2472" s="54"/>
      <c r="TLQ2472" s="63"/>
      <c r="TLR2472" s="60"/>
      <c r="TLS2472" s="60"/>
      <c r="TLT2472" s="60"/>
      <c r="TLU2472" s="63"/>
      <c r="TLV2472" s="61"/>
      <c r="TLW2472" s="54"/>
      <c r="TLX2472" s="54"/>
      <c r="TLY2472" s="63"/>
      <c r="TLZ2472" s="60"/>
      <c r="TMA2472" s="60"/>
      <c r="TMB2472" s="60"/>
      <c r="TMC2472" s="63"/>
      <c r="TMD2472" s="61"/>
      <c r="TME2472" s="54"/>
      <c r="TMF2472" s="54"/>
      <c r="TMG2472" s="63"/>
      <c r="TMH2472" s="60"/>
      <c r="TMI2472" s="60"/>
      <c r="TMJ2472" s="60"/>
      <c r="TMK2472" s="63"/>
      <c r="TML2472" s="61"/>
      <c r="TMM2472" s="54"/>
      <c r="TMN2472" s="54"/>
      <c r="TMO2472" s="63"/>
      <c r="TMP2472" s="60"/>
      <c r="TMQ2472" s="60"/>
      <c r="TMR2472" s="60"/>
      <c r="TMS2472" s="63"/>
      <c r="TMT2472" s="61"/>
      <c r="TMU2472" s="54"/>
      <c r="TMV2472" s="54"/>
      <c r="TMW2472" s="63"/>
      <c r="TMX2472" s="60"/>
      <c r="TMY2472" s="60"/>
      <c r="TMZ2472" s="60"/>
      <c r="TNA2472" s="63"/>
      <c r="TNB2472" s="61"/>
      <c r="TNC2472" s="54"/>
      <c r="TND2472" s="54"/>
      <c r="TNE2472" s="63"/>
      <c r="TNF2472" s="60"/>
      <c r="TNG2472" s="60"/>
      <c r="TNH2472" s="60"/>
      <c r="TNI2472" s="63"/>
      <c r="TNJ2472" s="61"/>
      <c r="TNK2472" s="54"/>
      <c r="TNL2472" s="54"/>
      <c r="TNM2472" s="63"/>
      <c r="TNN2472" s="60"/>
      <c r="TNO2472" s="60"/>
      <c r="TNP2472" s="60"/>
      <c r="TNQ2472" s="63"/>
      <c r="TNR2472" s="61"/>
      <c r="TNS2472" s="54"/>
      <c r="TNT2472" s="54"/>
      <c r="TNU2472" s="63"/>
      <c r="TNV2472" s="60"/>
      <c r="TNW2472" s="60"/>
      <c r="TNX2472" s="60"/>
      <c r="TNY2472" s="63"/>
      <c r="TNZ2472" s="61"/>
      <c r="TOA2472" s="54"/>
      <c r="TOB2472" s="54"/>
      <c r="TOC2472" s="63"/>
      <c r="TOD2472" s="60"/>
      <c r="TOE2472" s="60"/>
      <c r="TOF2472" s="60"/>
      <c r="TOG2472" s="63"/>
      <c r="TOH2472" s="61"/>
      <c r="TOI2472" s="54"/>
      <c r="TOJ2472" s="54"/>
      <c r="TOK2472" s="63"/>
      <c r="TOL2472" s="60"/>
      <c r="TOM2472" s="60"/>
      <c r="TON2472" s="60"/>
      <c r="TOO2472" s="63"/>
      <c r="TOP2472" s="61"/>
      <c r="TOQ2472" s="54"/>
      <c r="TOR2472" s="54"/>
      <c r="TOS2472" s="63"/>
      <c r="TOT2472" s="60"/>
      <c r="TOU2472" s="60"/>
      <c r="TOV2472" s="60"/>
      <c r="TOW2472" s="63"/>
      <c r="TOX2472" s="61"/>
      <c r="TOY2472" s="54"/>
      <c r="TOZ2472" s="54"/>
      <c r="TPA2472" s="63"/>
      <c r="TPB2472" s="60"/>
      <c r="TPC2472" s="60"/>
      <c r="TPD2472" s="60"/>
      <c r="TPE2472" s="63"/>
      <c r="TPF2472" s="61"/>
      <c r="TPG2472" s="54"/>
      <c r="TPH2472" s="54"/>
      <c r="TPI2472" s="63"/>
      <c r="TPJ2472" s="60"/>
      <c r="TPK2472" s="60"/>
      <c r="TPL2472" s="60"/>
      <c r="TPM2472" s="63"/>
      <c r="TPN2472" s="61"/>
      <c r="TPO2472" s="54"/>
      <c r="TPP2472" s="54"/>
      <c r="TPQ2472" s="63"/>
      <c r="TPR2472" s="60"/>
      <c r="TPS2472" s="60"/>
      <c r="TPT2472" s="60"/>
      <c r="TPU2472" s="63"/>
      <c r="TPV2472" s="61"/>
      <c r="TPW2472" s="54"/>
      <c r="TPX2472" s="54"/>
      <c r="TPY2472" s="63"/>
      <c r="TPZ2472" s="60"/>
      <c r="TQA2472" s="60"/>
      <c r="TQB2472" s="60"/>
      <c r="TQC2472" s="63"/>
      <c r="TQD2472" s="61"/>
      <c r="TQE2472" s="54"/>
      <c r="TQF2472" s="54"/>
      <c r="TQG2472" s="63"/>
      <c r="TQH2472" s="60"/>
      <c r="TQI2472" s="60"/>
      <c r="TQJ2472" s="60"/>
      <c r="TQK2472" s="63"/>
      <c r="TQL2472" s="61"/>
      <c r="TQM2472" s="54"/>
      <c r="TQN2472" s="54"/>
      <c r="TQO2472" s="63"/>
      <c r="TQP2472" s="60"/>
      <c r="TQQ2472" s="60"/>
      <c r="TQR2472" s="60"/>
      <c r="TQS2472" s="63"/>
      <c r="TQT2472" s="61"/>
      <c r="TQU2472" s="54"/>
      <c r="TQV2472" s="54"/>
      <c r="TQW2472" s="63"/>
      <c r="TQX2472" s="60"/>
      <c r="TQY2472" s="60"/>
      <c r="TQZ2472" s="60"/>
      <c r="TRA2472" s="63"/>
      <c r="TRB2472" s="61"/>
      <c r="TRC2472" s="54"/>
      <c r="TRD2472" s="54"/>
      <c r="TRE2472" s="63"/>
      <c r="TRF2472" s="60"/>
      <c r="TRG2472" s="60"/>
      <c r="TRH2472" s="60"/>
      <c r="TRI2472" s="63"/>
      <c r="TRJ2472" s="61"/>
      <c r="TRK2472" s="54"/>
      <c r="TRL2472" s="54"/>
      <c r="TRM2472" s="63"/>
      <c r="TRN2472" s="60"/>
      <c r="TRO2472" s="60"/>
      <c r="TRP2472" s="60"/>
      <c r="TRQ2472" s="63"/>
      <c r="TRR2472" s="61"/>
      <c r="TRS2472" s="54"/>
      <c r="TRT2472" s="54"/>
      <c r="TRU2472" s="63"/>
      <c r="TRV2472" s="60"/>
      <c r="TRW2472" s="60"/>
      <c r="TRX2472" s="60"/>
      <c r="TRY2472" s="63"/>
      <c r="TRZ2472" s="61"/>
      <c r="TSA2472" s="54"/>
      <c r="TSB2472" s="54"/>
      <c r="TSC2472" s="63"/>
      <c r="TSD2472" s="60"/>
      <c r="TSE2472" s="60"/>
      <c r="TSF2472" s="60"/>
      <c r="TSG2472" s="63"/>
      <c r="TSH2472" s="61"/>
      <c r="TSI2472" s="54"/>
      <c r="TSJ2472" s="54"/>
      <c r="TSK2472" s="63"/>
      <c r="TSL2472" s="60"/>
      <c r="TSM2472" s="60"/>
      <c r="TSN2472" s="60"/>
      <c r="TSO2472" s="63"/>
      <c r="TSP2472" s="61"/>
      <c r="TSQ2472" s="54"/>
      <c r="TSR2472" s="54"/>
      <c r="TSS2472" s="63"/>
      <c r="TST2472" s="60"/>
      <c r="TSU2472" s="60"/>
      <c r="TSV2472" s="60"/>
      <c r="TSW2472" s="63"/>
      <c r="TSX2472" s="61"/>
      <c r="TSY2472" s="54"/>
      <c r="TSZ2472" s="54"/>
      <c r="TTA2472" s="63"/>
      <c r="TTB2472" s="60"/>
      <c r="TTC2472" s="60"/>
      <c r="TTD2472" s="60"/>
      <c r="TTE2472" s="63"/>
      <c r="TTF2472" s="61"/>
      <c r="TTG2472" s="54"/>
      <c r="TTH2472" s="54"/>
      <c r="TTI2472" s="63"/>
      <c r="TTJ2472" s="60"/>
      <c r="TTK2472" s="60"/>
      <c r="TTL2472" s="60"/>
      <c r="TTM2472" s="63"/>
      <c r="TTN2472" s="61"/>
      <c r="TTO2472" s="54"/>
      <c r="TTP2472" s="54"/>
      <c r="TTQ2472" s="63"/>
      <c r="TTR2472" s="60"/>
      <c r="TTS2472" s="60"/>
      <c r="TTT2472" s="60"/>
      <c r="TTU2472" s="63"/>
      <c r="TTV2472" s="61"/>
      <c r="TTW2472" s="54"/>
      <c r="TTX2472" s="54"/>
      <c r="TTY2472" s="63"/>
      <c r="TTZ2472" s="60"/>
      <c r="TUA2472" s="60"/>
      <c r="TUB2472" s="60"/>
      <c r="TUC2472" s="63"/>
      <c r="TUD2472" s="61"/>
      <c r="TUE2472" s="54"/>
      <c r="TUF2472" s="54"/>
      <c r="TUG2472" s="63"/>
      <c r="TUH2472" s="60"/>
      <c r="TUI2472" s="60"/>
      <c r="TUJ2472" s="60"/>
      <c r="TUK2472" s="63"/>
      <c r="TUL2472" s="61"/>
      <c r="TUM2472" s="54"/>
      <c r="TUN2472" s="54"/>
      <c r="TUO2472" s="63"/>
      <c r="TUP2472" s="60"/>
      <c r="TUQ2472" s="60"/>
      <c r="TUR2472" s="60"/>
      <c r="TUS2472" s="63"/>
      <c r="TUT2472" s="61"/>
      <c r="TUU2472" s="54"/>
      <c r="TUV2472" s="54"/>
      <c r="TUW2472" s="63"/>
      <c r="TUX2472" s="60"/>
      <c r="TUY2472" s="60"/>
      <c r="TUZ2472" s="60"/>
      <c r="TVA2472" s="63"/>
      <c r="TVB2472" s="61"/>
      <c r="TVC2472" s="54"/>
      <c r="TVD2472" s="54"/>
      <c r="TVE2472" s="63"/>
      <c r="TVF2472" s="60"/>
      <c r="TVG2472" s="60"/>
      <c r="TVH2472" s="60"/>
      <c r="TVI2472" s="63"/>
      <c r="TVJ2472" s="61"/>
      <c r="TVK2472" s="54"/>
      <c r="TVL2472" s="54"/>
      <c r="TVM2472" s="63"/>
      <c r="TVN2472" s="60"/>
      <c r="TVO2472" s="60"/>
      <c r="TVP2472" s="60"/>
      <c r="TVQ2472" s="63"/>
      <c r="TVR2472" s="61"/>
      <c r="TVS2472" s="54"/>
      <c r="TVT2472" s="54"/>
      <c r="TVU2472" s="63"/>
      <c r="TVV2472" s="60"/>
      <c r="TVW2472" s="60"/>
      <c r="TVX2472" s="60"/>
      <c r="TVY2472" s="63"/>
      <c r="TVZ2472" s="61"/>
      <c r="TWA2472" s="54"/>
      <c r="TWB2472" s="54"/>
      <c r="TWC2472" s="63"/>
      <c r="TWD2472" s="60"/>
      <c r="TWE2472" s="60"/>
      <c r="TWF2472" s="60"/>
      <c r="TWG2472" s="63"/>
      <c r="TWH2472" s="61"/>
      <c r="TWI2472" s="54"/>
      <c r="TWJ2472" s="54"/>
      <c r="TWK2472" s="63"/>
      <c r="TWL2472" s="60"/>
      <c r="TWM2472" s="60"/>
      <c r="TWN2472" s="60"/>
      <c r="TWO2472" s="63"/>
      <c r="TWP2472" s="61"/>
      <c r="TWQ2472" s="54"/>
      <c r="TWR2472" s="54"/>
      <c r="TWS2472" s="63"/>
      <c r="TWT2472" s="60"/>
      <c r="TWU2472" s="60"/>
      <c r="TWV2472" s="60"/>
      <c r="TWW2472" s="63"/>
      <c r="TWX2472" s="61"/>
      <c r="TWY2472" s="54"/>
      <c r="TWZ2472" s="54"/>
      <c r="TXA2472" s="63"/>
      <c r="TXB2472" s="60"/>
      <c r="TXC2472" s="60"/>
      <c r="TXD2472" s="60"/>
      <c r="TXE2472" s="63"/>
      <c r="TXF2472" s="61"/>
      <c r="TXG2472" s="54"/>
      <c r="TXH2472" s="54"/>
      <c r="TXI2472" s="63"/>
      <c r="TXJ2472" s="60"/>
      <c r="TXK2472" s="60"/>
      <c r="TXL2472" s="60"/>
      <c r="TXM2472" s="63"/>
      <c r="TXN2472" s="61"/>
      <c r="TXO2472" s="54"/>
      <c r="TXP2472" s="54"/>
      <c r="TXQ2472" s="63"/>
      <c r="TXR2472" s="60"/>
      <c r="TXS2472" s="60"/>
      <c r="TXT2472" s="60"/>
      <c r="TXU2472" s="63"/>
      <c r="TXV2472" s="61"/>
      <c r="TXW2472" s="54"/>
      <c r="TXX2472" s="54"/>
      <c r="TXY2472" s="63"/>
      <c r="TXZ2472" s="60"/>
      <c r="TYA2472" s="60"/>
      <c r="TYB2472" s="60"/>
      <c r="TYC2472" s="63"/>
      <c r="TYD2472" s="61"/>
      <c r="TYE2472" s="54"/>
      <c r="TYF2472" s="54"/>
      <c r="TYG2472" s="63"/>
      <c r="TYH2472" s="60"/>
      <c r="TYI2472" s="60"/>
      <c r="TYJ2472" s="60"/>
      <c r="TYK2472" s="63"/>
      <c r="TYL2472" s="61"/>
      <c r="TYM2472" s="54"/>
      <c r="TYN2472" s="54"/>
      <c r="TYO2472" s="63"/>
      <c r="TYP2472" s="60"/>
      <c r="TYQ2472" s="60"/>
      <c r="TYR2472" s="60"/>
      <c r="TYS2472" s="63"/>
      <c r="TYT2472" s="61"/>
      <c r="TYU2472" s="54"/>
      <c r="TYV2472" s="54"/>
      <c r="TYW2472" s="63"/>
      <c r="TYX2472" s="60"/>
      <c r="TYY2472" s="60"/>
      <c r="TYZ2472" s="60"/>
      <c r="TZA2472" s="63"/>
      <c r="TZB2472" s="61"/>
      <c r="TZC2472" s="54"/>
      <c r="TZD2472" s="54"/>
      <c r="TZE2472" s="63"/>
      <c r="TZF2472" s="60"/>
      <c r="TZG2472" s="60"/>
      <c r="TZH2472" s="60"/>
      <c r="TZI2472" s="63"/>
      <c r="TZJ2472" s="61"/>
      <c r="TZK2472" s="54"/>
      <c r="TZL2472" s="54"/>
      <c r="TZM2472" s="63"/>
      <c r="TZN2472" s="60"/>
      <c r="TZO2472" s="60"/>
      <c r="TZP2472" s="60"/>
      <c r="TZQ2472" s="63"/>
      <c r="TZR2472" s="61"/>
      <c r="TZS2472" s="54"/>
      <c r="TZT2472" s="54"/>
      <c r="TZU2472" s="63"/>
      <c r="TZV2472" s="60"/>
      <c r="TZW2472" s="60"/>
      <c r="TZX2472" s="60"/>
      <c r="TZY2472" s="63"/>
      <c r="TZZ2472" s="61"/>
      <c r="UAA2472" s="54"/>
      <c r="UAB2472" s="54"/>
      <c r="UAC2472" s="63"/>
      <c r="UAD2472" s="60"/>
      <c r="UAE2472" s="60"/>
      <c r="UAF2472" s="60"/>
      <c r="UAG2472" s="63"/>
      <c r="UAH2472" s="61"/>
      <c r="UAI2472" s="54"/>
      <c r="UAJ2472" s="54"/>
      <c r="UAK2472" s="63"/>
      <c r="UAL2472" s="60"/>
      <c r="UAM2472" s="60"/>
      <c r="UAN2472" s="60"/>
      <c r="UAO2472" s="63"/>
      <c r="UAP2472" s="61"/>
      <c r="UAQ2472" s="54"/>
      <c r="UAR2472" s="54"/>
      <c r="UAS2472" s="63"/>
      <c r="UAT2472" s="60"/>
      <c r="UAU2472" s="60"/>
      <c r="UAV2472" s="60"/>
      <c r="UAW2472" s="63"/>
      <c r="UAX2472" s="61"/>
      <c r="UAY2472" s="54"/>
      <c r="UAZ2472" s="54"/>
      <c r="UBA2472" s="63"/>
      <c r="UBB2472" s="60"/>
      <c r="UBC2472" s="60"/>
      <c r="UBD2472" s="60"/>
      <c r="UBE2472" s="63"/>
      <c r="UBF2472" s="61"/>
      <c r="UBG2472" s="54"/>
      <c r="UBH2472" s="54"/>
      <c r="UBI2472" s="63"/>
      <c r="UBJ2472" s="60"/>
      <c r="UBK2472" s="60"/>
      <c r="UBL2472" s="60"/>
      <c r="UBM2472" s="63"/>
      <c r="UBN2472" s="61"/>
      <c r="UBO2472" s="54"/>
      <c r="UBP2472" s="54"/>
      <c r="UBQ2472" s="63"/>
      <c r="UBR2472" s="60"/>
      <c r="UBS2472" s="60"/>
      <c r="UBT2472" s="60"/>
      <c r="UBU2472" s="63"/>
      <c r="UBV2472" s="61"/>
      <c r="UBW2472" s="54"/>
      <c r="UBX2472" s="54"/>
      <c r="UBY2472" s="63"/>
      <c r="UBZ2472" s="60"/>
      <c r="UCA2472" s="60"/>
      <c r="UCB2472" s="60"/>
      <c r="UCC2472" s="63"/>
      <c r="UCD2472" s="61"/>
      <c r="UCE2472" s="54"/>
      <c r="UCF2472" s="54"/>
      <c r="UCG2472" s="63"/>
      <c r="UCH2472" s="60"/>
      <c r="UCI2472" s="60"/>
      <c r="UCJ2472" s="60"/>
      <c r="UCK2472" s="63"/>
      <c r="UCL2472" s="61"/>
      <c r="UCM2472" s="54"/>
      <c r="UCN2472" s="54"/>
      <c r="UCO2472" s="63"/>
      <c r="UCP2472" s="60"/>
      <c r="UCQ2472" s="60"/>
      <c r="UCR2472" s="60"/>
      <c r="UCS2472" s="63"/>
      <c r="UCT2472" s="61"/>
      <c r="UCU2472" s="54"/>
      <c r="UCV2472" s="54"/>
      <c r="UCW2472" s="63"/>
      <c r="UCX2472" s="60"/>
      <c r="UCY2472" s="60"/>
      <c r="UCZ2472" s="60"/>
      <c r="UDA2472" s="63"/>
      <c r="UDB2472" s="61"/>
      <c r="UDC2472" s="54"/>
      <c r="UDD2472" s="54"/>
      <c r="UDE2472" s="63"/>
      <c r="UDF2472" s="60"/>
      <c r="UDG2472" s="60"/>
      <c r="UDH2472" s="60"/>
      <c r="UDI2472" s="63"/>
      <c r="UDJ2472" s="61"/>
      <c r="UDK2472" s="54"/>
      <c r="UDL2472" s="54"/>
      <c r="UDM2472" s="63"/>
      <c r="UDN2472" s="60"/>
      <c r="UDO2472" s="60"/>
      <c r="UDP2472" s="60"/>
      <c r="UDQ2472" s="63"/>
      <c r="UDR2472" s="61"/>
      <c r="UDS2472" s="54"/>
      <c r="UDT2472" s="54"/>
      <c r="UDU2472" s="63"/>
      <c r="UDV2472" s="60"/>
      <c r="UDW2472" s="60"/>
      <c r="UDX2472" s="60"/>
      <c r="UDY2472" s="63"/>
      <c r="UDZ2472" s="61"/>
      <c r="UEA2472" s="54"/>
      <c r="UEB2472" s="54"/>
      <c r="UEC2472" s="63"/>
      <c r="UED2472" s="60"/>
      <c r="UEE2472" s="60"/>
      <c r="UEF2472" s="60"/>
      <c r="UEG2472" s="63"/>
      <c r="UEH2472" s="61"/>
      <c r="UEI2472" s="54"/>
      <c r="UEJ2472" s="54"/>
      <c r="UEK2472" s="63"/>
      <c r="UEL2472" s="60"/>
      <c r="UEM2472" s="60"/>
      <c r="UEN2472" s="60"/>
      <c r="UEO2472" s="63"/>
      <c r="UEP2472" s="61"/>
      <c r="UEQ2472" s="54"/>
      <c r="UER2472" s="54"/>
      <c r="UES2472" s="63"/>
      <c r="UET2472" s="60"/>
      <c r="UEU2472" s="60"/>
      <c r="UEV2472" s="60"/>
      <c r="UEW2472" s="63"/>
      <c r="UEX2472" s="61"/>
      <c r="UEY2472" s="54"/>
      <c r="UEZ2472" s="54"/>
      <c r="UFA2472" s="63"/>
      <c r="UFB2472" s="60"/>
      <c r="UFC2472" s="60"/>
      <c r="UFD2472" s="60"/>
      <c r="UFE2472" s="63"/>
      <c r="UFF2472" s="61"/>
      <c r="UFG2472" s="54"/>
      <c r="UFH2472" s="54"/>
      <c r="UFI2472" s="63"/>
      <c r="UFJ2472" s="60"/>
      <c r="UFK2472" s="60"/>
      <c r="UFL2472" s="60"/>
      <c r="UFM2472" s="63"/>
      <c r="UFN2472" s="61"/>
      <c r="UFO2472" s="54"/>
      <c r="UFP2472" s="54"/>
      <c r="UFQ2472" s="63"/>
      <c r="UFR2472" s="60"/>
      <c r="UFS2472" s="60"/>
      <c r="UFT2472" s="60"/>
      <c r="UFU2472" s="63"/>
      <c r="UFV2472" s="61"/>
      <c r="UFW2472" s="54"/>
      <c r="UFX2472" s="54"/>
      <c r="UFY2472" s="63"/>
      <c r="UFZ2472" s="60"/>
      <c r="UGA2472" s="60"/>
      <c r="UGB2472" s="60"/>
      <c r="UGC2472" s="63"/>
      <c r="UGD2472" s="61"/>
      <c r="UGE2472" s="54"/>
      <c r="UGF2472" s="54"/>
      <c r="UGG2472" s="63"/>
      <c r="UGH2472" s="60"/>
      <c r="UGI2472" s="60"/>
      <c r="UGJ2472" s="60"/>
      <c r="UGK2472" s="63"/>
      <c r="UGL2472" s="61"/>
      <c r="UGM2472" s="54"/>
      <c r="UGN2472" s="54"/>
      <c r="UGO2472" s="63"/>
      <c r="UGP2472" s="60"/>
      <c r="UGQ2472" s="60"/>
      <c r="UGR2472" s="60"/>
      <c r="UGS2472" s="63"/>
      <c r="UGT2472" s="61"/>
      <c r="UGU2472" s="54"/>
      <c r="UGV2472" s="54"/>
      <c r="UGW2472" s="63"/>
      <c r="UGX2472" s="60"/>
      <c r="UGY2472" s="60"/>
      <c r="UGZ2472" s="60"/>
      <c r="UHA2472" s="63"/>
      <c r="UHB2472" s="61"/>
      <c r="UHC2472" s="54"/>
      <c r="UHD2472" s="54"/>
      <c r="UHE2472" s="63"/>
      <c r="UHF2472" s="60"/>
      <c r="UHG2472" s="60"/>
      <c r="UHH2472" s="60"/>
      <c r="UHI2472" s="63"/>
      <c r="UHJ2472" s="61"/>
      <c r="UHK2472" s="54"/>
      <c r="UHL2472" s="54"/>
      <c r="UHM2472" s="63"/>
      <c r="UHN2472" s="60"/>
      <c r="UHO2472" s="60"/>
      <c r="UHP2472" s="60"/>
      <c r="UHQ2472" s="63"/>
      <c r="UHR2472" s="61"/>
      <c r="UHS2472" s="54"/>
      <c r="UHT2472" s="54"/>
      <c r="UHU2472" s="63"/>
      <c r="UHV2472" s="60"/>
      <c r="UHW2472" s="60"/>
      <c r="UHX2472" s="60"/>
      <c r="UHY2472" s="63"/>
      <c r="UHZ2472" s="61"/>
      <c r="UIA2472" s="54"/>
      <c r="UIB2472" s="54"/>
      <c r="UIC2472" s="63"/>
      <c r="UID2472" s="60"/>
      <c r="UIE2472" s="60"/>
      <c r="UIF2472" s="60"/>
      <c r="UIG2472" s="63"/>
      <c r="UIH2472" s="61"/>
      <c r="UII2472" s="54"/>
      <c r="UIJ2472" s="54"/>
      <c r="UIK2472" s="63"/>
      <c r="UIL2472" s="60"/>
      <c r="UIM2472" s="60"/>
      <c r="UIN2472" s="60"/>
      <c r="UIO2472" s="63"/>
      <c r="UIP2472" s="61"/>
      <c r="UIQ2472" s="54"/>
      <c r="UIR2472" s="54"/>
      <c r="UIS2472" s="63"/>
      <c r="UIT2472" s="60"/>
      <c r="UIU2472" s="60"/>
      <c r="UIV2472" s="60"/>
      <c r="UIW2472" s="63"/>
      <c r="UIX2472" s="61"/>
      <c r="UIY2472" s="54"/>
      <c r="UIZ2472" s="54"/>
      <c r="UJA2472" s="63"/>
      <c r="UJB2472" s="60"/>
      <c r="UJC2472" s="60"/>
      <c r="UJD2472" s="60"/>
      <c r="UJE2472" s="63"/>
      <c r="UJF2472" s="61"/>
      <c r="UJG2472" s="54"/>
      <c r="UJH2472" s="54"/>
      <c r="UJI2472" s="63"/>
      <c r="UJJ2472" s="60"/>
      <c r="UJK2472" s="60"/>
      <c r="UJL2472" s="60"/>
      <c r="UJM2472" s="63"/>
      <c r="UJN2472" s="61"/>
      <c r="UJO2472" s="54"/>
      <c r="UJP2472" s="54"/>
      <c r="UJQ2472" s="63"/>
      <c r="UJR2472" s="60"/>
      <c r="UJS2472" s="60"/>
      <c r="UJT2472" s="60"/>
      <c r="UJU2472" s="63"/>
      <c r="UJV2472" s="61"/>
      <c r="UJW2472" s="54"/>
      <c r="UJX2472" s="54"/>
      <c r="UJY2472" s="63"/>
      <c r="UJZ2472" s="60"/>
      <c r="UKA2472" s="60"/>
      <c r="UKB2472" s="60"/>
      <c r="UKC2472" s="63"/>
      <c r="UKD2472" s="61"/>
      <c r="UKE2472" s="54"/>
      <c r="UKF2472" s="54"/>
      <c r="UKG2472" s="63"/>
      <c r="UKH2472" s="60"/>
      <c r="UKI2472" s="60"/>
      <c r="UKJ2472" s="60"/>
      <c r="UKK2472" s="63"/>
      <c r="UKL2472" s="61"/>
      <c r="UKM2472" s="54"/>
      <c r="UKN2472" s="54"/>
      <c r="UKO2472" s="63"/>
      <c r="UKP2472" s="60"/>
      <c r="UKQ2472" s="60"/>
      <c r="UKR2472" s="60"/>
      <c r="UKS2472" s="63"/>
      <c r="UKT2472" s="61"/>
      <c r="UKU2472" s="54"/>
      <c r="UKV2472" s="54"/>
      <c r="UKW2472" s="63"/>
      <c r="UKX2472" s="60"/>
      <c r="UKY2472" s="60"/>
      <c r="UKZ2472" s="60"/>
      <c r="ULA2472" s="63"/>
      <c r="ULB2472" s="61"/>
      <c r="ULC2472" s="54"/>
      <c r="ULD2472" s="54"/>
      <c r="ULE2472" s="63"/>
      <c r="ULF2472" s="60"/>
      <c r="ULG2472" s="60"/>
      <c r="ULH2472" s="60"/>
      <c r="ULI2472" s="63"/>
      <c r="ULJ2472" s="61"/>
      <c r="ULK2472" s="54"/>
      <c r="ULL2472" s="54"/>
      <c r="ULM2472" s="63"/>
      <c r="ULN2472" s="60"/>
      <c r="ULO2472" s="60"/>
      <c r="ULP2472" s="60"/>
      <c r="ULQ2472" s="63"/>
      <c r="ULR2472" s="61"/>
      <c r="ULS2472" s="54"/>
      <c r="ULT2472" s="54"/>
      <c r="ULU2472" s="63"/>
      <c r="ULV2472" s="60"/>
      <c r="ULW2472" s="60"/>
      <c r="ULX2472" s="60"/>
      <c r="ULY2472" s="63"/>
      <c r="ULZ2472" s="61"/>
      <c r="UMA2472" s="54"/>
      <c r="UMB2472" s="54"/>
      <c r="UMC2472" s="63"/>
      <c r="UMD2472" s="60"/>
      <c r="UME2472" s="60"/>
      <c r="UMF2472" s="60"/>
      <c r="UMG2472" s="63"/>
      <c r="UMH2472" s="61"/>
      <c r="UMI2472" s="54"/>
      <c r="UMJ2472" s="54"/>
      <c r="UMK2472" s="63"/>
      <c r="UML2472" s="60"/>
      <c r="UMM2472" s="60"/>
      <c r="UMN2472" s="60"/>
      <c r="UMO2472" s="63"/>
      <c r="UMP2472" s="61"/>
      <c r="UMQ2472" s="54"/>
      <c r="UMR2472" s="54"/>
      <c r="UMS2472" s="63"/>
      <c r="UMT2472" s="60"/>
      <c r="UMU2472" s="60"/>
      <c r="UMV2472" s="60"/>
      <c r="UMW2472" s="63"/>
      <c r="UMX2472" s="61"/>
      <c r="UMY2472" s="54"/>
      <c r="UMZ2472" s="54"/>
      <c r="UNA2472" s="63"/>
      <c r="UNB2472" s="60"/>
      <c r="UNC2472" s="60"/>
      <c r="UND2472" s="60"/>
      <c r="UNE2472" s="63"/>
      <c r="UNF2472" s="61"/>
      <c r="UNG2472" s="54"/>
      <c r="UNH2472" s="54"/>
      <c r="UNI2472" s="63"/>
      <c r="UNJ2472" s="60"/>
      <c r="UNK2472" s="60"/>
      <c r="UNL2472" s="60"/>
      <c r="UNM2472" s="63"/>
      <c r="UNN2472" s="61"/>
      <c r="UNO2472" s="54"/>
      <c r="UNP2472" s="54"/>
      <c r="UNQ2472" s="63"/>
      <c r="UNR2472" s="60"/>
      <c r="UNS2472" s="60"/>
      <c r="UNT2472" s="60"/>
      <c r="UNU2472" s="63"/>
      <c r="UNV2472" s="61"/>
      <c r="UNW2472" s="54"/>
      <c r="UNX2472" s="54"/>
      <c r="UNY2472" s="63"/>
      <c r="UNZ2472" s="60"/>
      <c r="UOA2472" s="60"/>
      <c r="UOB2472" s="60"/>
      <c r="UOC2472" s="63"/>
      <c r="UOD2472" s="61"/>
      <c r="UOE2472" s="54"/>
      <c r="UOF2472" s="54"/>
      <c r="UOG2472" s="63"/>
      <c r="UOH2472" s="60"/>
      <c r="UOI2472" s="60"/>
      <c r="UOJ2472" s="60"/>
      <c r="UOK2472" s="63"/>
      <c r="UOL2472" s="61"/>
      <c r="UOM2472" s="54"/>
      <c r="UON2472" s="54"/>
      <c r="UOO2472" s="63"/>
      <c r="UOP2472" s="60"/>
      <c r="UOQ2472" s="60"/>
      <c r="UOR2472" s="60"/>
      <c r="UOS2472" s="63"/>
      <c r="UOT2472" s="61"/>
      <c r="UOU2472" s="54"/>
      <c r="UOV2472" s="54"/>
      <c r="UOW2472" s="63"/>
      <c r="UOX2472" s="60"/>
      <c r="UOY2472" s="60"/>
      <c r="UOZ2472" s="60"/>
      <c r="UPA2472" s="63"/>
      <c r="UPB2472" s="61"/>
      <c r="UPC2472" s="54"/>
      <c r="UPD2472" s="54"/>
      <c r="UPE2472" s="63"/>
      <c r="UPF2472" s="60"/>
      <c r="UPG2472" s="60"/>
      <c r="UPH2472" s="60"/>
      <c r="UPI2472" s="63"/>
      <c r="UPJ2472" s="61"/>
      <c r="UPK2472" s="54"/>
      <c r="UPL2472" s="54"/>
      <c r="UPM2472" s="63"/>
      <c r="UPN2472" s="60"/>
      <c r="UPO2472" s="60"/>
      <c r="UPP2472" s="60"/>
      <c r="UPQ2472" s="63"/>
      <c r="UPR2472" s="61"/>
      <c r="UPS2472" s="54"/>
      <c r="UPT2472" s="54"/>
      <c r="UPU2472" s="63"/>
      <c r="UPV2472" s="60"/>
      <c r="UPW2472" s="60"/>
      <c r="UPX2472" s="60"/>
      <c r="UPY2472" s="63"/>
      <c r="UPZ2472" s="61"/>
      <c r="UQA2472" s="54"/>
      <c r="UQB2472" s="54"/>
      <c r="UQC2472" s="63"/>
      <c r="UQD2472" s="60"/>
      <c r="UQE2472" s="60"/>
      <c r="UQF2472" s="60"/>
      <c r="UQG2472" s="63"/>
      <c r="UQH2472" s="61"/>
      <c r="UQI2472" s="54"/>
      <c r="UQJ2472" s="54"/>
      <c r="UQK2472" s="63"/>
      <c r="UQL2472" s="60"/>
      <c r="UQM2472" s="60"/>
      <c r="UQN2472" s="60"/>
      <c r="UQO2472" s="63"/>
      <c r="UQP2472" s="61"/>
      <c r="UQQ2472" s="54"/>
      <c r="UQR2472" s="54"/>
      <c r="UQS2472" s="63"/>
      <c r="UQT2472" s="60"/>
      <c r="UQU2472" s="60"/>
      <c r="UQV2472" s="60"/>
      <c r="UQW2472" s="63"/>
      <c r="UQX2472" s="61"/>
      <c r="UQY2472" s="54"/>
      <c r="UQZ2472" s="54"/>
      <c r="URA2472" s="63"/>
      <c r="URB2472" s="60"/>
      <c r="URC2472" s="60"/>
      <c r="URD2472" s="60"/>
      <c r="URE2472" s="63"/>
      <c r="URF2472" s="61"/>
      <c r="URG2472" s="54"/>
      <c r="URH2472" s="54"/>
      <c r="URI2472" s="63"/>
      <c r="URJ2472" s="60"/>
      <c r="URK2472" s="60"/>
      <c r="URL2472" s="60"/>
      <c r="URM2472" s="63"/>
      <c r="URN2472" s="61"/>
      <c r="URO2472" s="54"/>
      <c r="URP2472" s="54"/>
      <c r="URQ2472" s="63"/>
      <c r="URR2472" s="60"/>
      <c r="URS2472" s="60"/>
      <c r="URT2472" s="60"/>
      <c r="URU2472" s="63"/>
      <c r="URV2472" s="61"/>
      <c r="URW2472" s="54"/>
      <c r="URX2472" s="54"/>
      <c r="URY2472" s="63"/>
      <c r="URZ2472" s="60"/>
      <c r="USA2472" s="60"/>
      <c r="USB2472" s="60"/>
      <c r="USC2472" s="63"/>
      <c r="USD2472" s="61"/>
      <c r="USE2472" s="54"/>
      <c r="USF2472" s="54"/>
      <c r="USG2472" s="63"/>
      <c r="USH2472" s="60"/>
      <c r="USI2472" s="60"/>
      <c r="USJ2472" s="60"/>
      <c r="USK2472" s="63"/>
      <c r="USL2472" s="61"/>
      <c r="USM2472" s="54"/>
      <c r="USN2472" s="54"/>
      <c r="USO2472" s="63"/>
      <c r="USP2472" s="60"/>
      <c r="USQ2472" s="60"/>
      <c r="USR2472" s="60"/>
      <c r="USS2472" s="63"/>
      <c r="UST2472" s="61"/>
      <c r="USU2472" s="54"/>
      <c r="USV2472" s="54"/>
      <c r="USW2472" s="63"/>
      <c r="USX2472" s="60"/>
      <c r="USY2472" s="60"/>
      <c r="USZ2472" s="60"/>
      <c r="UTA2472" s="63"/>
      <c r="UTB2472" s="61"/>
      <c r="UTC2472" s="54"/>
      <c r="UTD2472" s="54"/>
      <c r="UTE2472" s="63"/>
      <c r="UTF2472" s="60"/>
      <c r="UTG2472" s="60"/>
      <c r="UTH2472" s="60"/>
      <c r="UTI2472" s="63"/>
      <c r="UTJ2472" s="61"/>
      <c r="UTK2472" s="54"/>
      <c r="UTL2472" s="54"/>
      <c r="UTM2472" s="63"/>
      <c r="UTN2472" s="60"/>
      <c r="UTO2472" s="60"/>
      <c r="UTP2472" s="60"/>
      <c r="UTQ2472" s="63"/>
      <c r="UTR2472" s="61"/>
      <c r="UTS2472" s="54"/>
      <c r="UTT2472" s="54"/>
      <c r="UTU2472" s="63"/>
      <c r="UTV2472" s="60"/>
      <c r="UTW2472" s="60"/>
      <c r="UTX2472" s="60"/>
      <c r="UTY2472" s="63"/>
      <c r="UTZ2472" s="61"/>
      <c r="UUA2472" s="54"/>
      <c r="UUB2472" s="54"/>
      <c r="UUC2472" s="63"/>
      <c r="UUD2472" s="60"/>
      <c r="UUE2472" s="60"/>
      <c r="UUF2472" s="60"/>
      <c r="UUG2472" s="63"/>
      <c r="UUH2472" s="61"/>
      <c r="UUI2472" s="54"/>
      <c r="UUJ2472" s="54"/>
      <c r="UUK2472" s="63"/>
      <c r="UUL2472" s="60"/>
      <c r="UUM2472" s="60"/>
      <c r="UUN2472" s="60"/>
      <c r="UUO2472" s="63"/>
      <c r="UUP2472" s="61"/>
      <c r="UUQ2472" s="54"/>
      <c r="UUR2472" s="54"/>
      <c r="UUS2472" s="63"/>
      <c r="UUT2472" s="60"/>
      <c r="UUU2472" s="60"/>
      <c r="UUV2472" s="60"/>
      <c r="UUW2472" s="63"/>
      <c r="UUX2472" s="61"/>
      <c r="UUY2472" s="54"/>
      <c r="UUZ2472" s="54"/>
      <c r="UVA2472" s="63"/>
      <c r="UVB2472" s="60"/>
      <c r="UVC2472" s="60"/>
      <c r="UVD2472" s="60"/>
      <c r="UVE2472" s="63"/>
      <c r="UVF2472" s="61"/>
      <c r="UVG2472" s="54"/>
      <c r="UVH2472" s="54"/>
      <c r="UVI2472" s="63"/>
      <c r="UVJ2472" s="60"/>
      <c r="UVK2472" s="60"/>
      <c r="UVL2472" s="60"/>
      <c r="UVM2472" s="63"/>
      <c r="UVN2472" s="61"/>
      <c r="UVO2472" s="54"/>
      <c r="UVP2472" s="54"/>
      <c r="UVQ2472" s="63"/>
      <c r="UVR2472" s="60"/>
      <c r="UVS2472" s="60"/>
      <c r="UVT2472" s="60"/>
      <c r="UVU2472" s="63"/>
      <c r="UVV2472" s="61"/>
      <c r="UVW2472" s="54"/>
      <c r="UVX2472" s="54"/>
      <c r="UVY2472" s="63"/>
      <c r="UVZ2472" s="60"/>
      <c r="UWA2472" s="60"/>
      <c r="UWB2472" s="60"/>
      <c r="UWC2472" s="63"/>
      <c r="UWD2472" s="61"/>
      <c r="UWE2472" s="54"/>
      <c r="UWF2472" s="54"/>
      <c r="UWG2472" s="63"/>
      <c r="UWH2472" s="60"/>
      <c r="UWI2472" s="60"/>
      <c r="UWJ2472" s="60"/>
      <c r="UWK2472" s="63"/>
      <c r="UWL2472" s="61"/>
      <c r="UWM2472" s="54"/>
      <c r="UWN2472" s="54"/>
      <c r="UWO2472" s="63"/>
      <c r="UWP2472" s="60"/>
      <c r="UWQ2472" s="60"/>
      <c r="UWR2472" s="60"/>
      <c r="UWS2472" s="63"/>
      <c r="UWT2472" s="61"/>
      <c r="UWU2472" s="54"/>
      <c r="UWV2472" s="54"/>
      <c r="UWW2472" s="63"/>
      <c r="UWX2472" s="60"/>
      <c r="UWY2472" s="60"/>
      <c r="UWZ2472" s="60"/>
      <c r="UXA2472" s="63"/>
      <c r="UXB2472" s="61"/>
      <c r="UXC2472" s="54"/>
      <c r="UXD2472" s="54"/>
      <c r="UXE2472" s="63"/>
      <c r="UXF2472" s="60"/>
      <c r="UXG2472" s="60"/>
      <c r="UXH2472" s="60"/>
      <c r="UXI2472" s="63"/>
      <c r="UXJ2472" s="61"/>
      <c r="UXK2472" s="54"/>
      <c r="UXL2472" s="54"/>
      <c r="UXM2472" s="63"/>
      <c r="UXN2472" s="60"/>
      <c r="UXO2472" s="60"/>
      <c r="UXP2472" s="60"/>
      <c r="UXQ2472" s="63"/>
      <c r="UXR2472" s="61"/>
      <c r="UXS2472" s="54"/>
      <c r="UXT2472" s="54"/>
      <c r="UXU2472" s="63"/>
      <c r="UXV2472" s="60"/>
      <c r="UXW2472" s="60"/>
      <c r="UXX2472" s="60"/>
      <c r="UXY2472" s="63"/>
      <c r="UXZ2472" s="61"/>
      <c r="UYA2472" s="54"/>
      <c r="UYB2472" s="54"/>
      <c r="UYC2472" s="63"/>
      <c r="UYD2472" s="60"/>
      <c r="UYE2472" s="60"/>
      <c r="UYF2472" s="60"/>
      <c r="UYG2472" s="63"/>
      <c r="UYH2472" s="61"/>
      <c r="UYI2472" s="54"/>
      <c r="UYJ2472" s="54"/>
      <c r="UYK2472" s="63"/>
      <c r="UYL2472" s="60"/>
      <c r="UYM2472" s="60"/>
      <c r="UYN2472" s="60"/>
      <c r="UYO2472" s="63"/>
      <c r="UYP2472" s="61"/>
      <c r="UYQ2472" s="54"/>
      <c r="UYR2472" s="54"/>
      <c r="UYS2472" s="63"/>
      <c r="UYT2472" s="60"/>
      <c r="UYU2472" s="60"/>
      <c r="UYV2472" s="60"/>
      <c r="UYW2472" s="63"/>
      <c r="UYX2472" s="61"/>
      <c r="UYY2472" s="54"/>
      <c r="UYZ2472" s="54"/>
      <c r="UZA2472" s="63"/>
      <c r="UZB2472" s="60"/>
      <c r="UZC2472" s="60"/>
      <c r="UZD2472" s="60"/>
      <c r="UZE2472" s="63"/>
      <c r="UZF2472" s="61"/>
      <c r="UZG2472" s="54"/>
      <c r="UZH2472" s="54"/>
      <c r="UZI2472" s="63"/>
      <c r="UZJ2472" s="60"/>
      <c r="UZK2472" s="60"/>
      <c r="UZL2472" s="60"/>
      <c r="UZM2472" s="63"/>
      <c r="UZN2472" s="61"/>
      <c r="UZO2472" s="54"/>
      <c r="UZP2472" s="54"/>
      <c r="UZQ2472" s="63"/>
      <c r="UZR2472" s="60"/>
      <c r="UZS2472" s="60"/>
      <c r="UZT2472" s="60"/>
      <c r="UZU2472" s="63"/>
      <c r="UZV2472" s="61"/>
      <c r="UZW2472" s="54"/>
      <c r="UZX2472" s="54"/>
      <c r="UZY2472" s="63"/>
      <c r="UZZ2472" s="60"/>
      <c r="VAA2472" s="60"/>
      <c r="VAB2472" s="60"/>
      <c r="VAC2472" s="63"/>
      <c r="VAD2472" s="61"/>
      <c r="VAE2472" s="54"/>
      <c r="VAF2472" s="54"/>
      <c r="VAG2472" s="63"/>
      <c r="VAH2472" s="60"/>
      <c r="VAI2472" s="60"/>
      <c r="VAJ2472" s="60"/>
      <c r="VAK2472" s="63"/>
      <c r="VAL2472" s="61"/>
      <c r="VAM2472" s="54"/>
      <c r="VAN2472" s="54"/>
      <c r="VAO2472" s="63"/>
      <c r="VAP2472" s="60"/>
      <c r="VAQ2472" s="60"/>
      <c r="VAR2472" s="60"/>
      <c r="VAS2472" s="63"/>
      <c r="VAT2472" s="61"/>
      <c r="VAU2472" s="54"/>
      <c r="VAV2472" s="54"/>
      <c r="VAW2472" s="63"/>
      <c r="VAX2472" s="60"/>
      <c r="VAY2472" s="60"/>
      <c r="VAZ2472" s="60"/>
      <c r="VBA2472" s="63"/>
      <c r="VBB2472" s="61"/>
      <c r="VBC2472" s="54"/>
      <c r="VBD2472" s="54"/>
      <c r="VBE2472" s="63"/>
      <c r="VBF2472" s="60"/>
      <c r="VBG2472" s="60"/>
      <c r="VBH2472" s="60"/>
      <c r="VBI2472" s="63"/>
      <c r="VBJ2472" s="61"/>
      <c r="VBK2472" s="54"/>
      <c r="VBL2472" s="54"/>
      <c r="VBM2472" s="63"/>
      <c r="VBN2472" s="60"/>
      <c r="VBO2472" s="60"/>
      <c r="VBP2472" s="60"/>
      <c r="VBQ2472" s="63"/>
      <c r="VBR2472" s="61"/>
      <c r="VBS2472" s="54"/>
      <c r="VBT2472" s="54"/>
      <c r="VBU2472" s="63"/>
      <c r="VBV2472" s="60"/>
      <c r="VBW2472" s="60"/>
      <c r="VBX2472" s="60"/>
      <c r="VBY2472" s="63"/>
      <c r="VBZ2472" s="61"/>
      <c r="VCA2472" s="54"/>
      <c r="VCB2472" s="54"/>
      <c r="VCC2472" s="63"/>
      <c r="VCD2472" s="60"/>
      <c r="VCE2472" s="60"/>
      <c r="VCF2472" s="60"/>
      <c r="VCG2472" s="63"/>
      <c r="VCH2472" s="61"/>
      <c r="VCI2472" s="54"/>
      <c r="VCJ2472" s="54"/>
      <c r="VCK2472" s="63"/>
      <c r="VCL2472" s="60"/>
      <c r="VCM2472" s="60"/>
      <c r="VCN2472" s="60"/>
      <c r="VCO2472" s="63"/>
      <c r="VCP2472" s="61"/>
      <c r="VCQ2472" s="54"/>
      <c r="VCR2472" s="54"/>
      <c r="VCS2472" s="63"/>
      <c r="VCT2472" s="60"/>
      <c r="VCU2472" s="60"/>
      <c r="VCV2472" s="60"/>
      <c r="VCW2472" s="63"/>
      <c r="VCX2472" s="61"/>
      <c r="VCY2472" s="54"/>
      <c r="VCZ2472" s="54"/>
      <c r="VDA2472" s="63"/>
      <c r="VDB2472" s="60"/>
      <c r="VDC2472" s="60"/>
      <c r="VDD2472" s="60"/>
      <c r="VDE2472" s="63"/>
      <c r="VDF2472" s="61"/>
      <c r="VDG2472" s="54"/>
      <c r="VDH2472" s="54"/>
      <c r="VDI2472" s="63"/>
      <c r="VDJ2472" s="60"/>
      <c r="VDK2472" s="60"/>
      <c r="VDL2472" s="60"/>
      <c r="VDM2472" s="63"/>
      <c r="VDN2472" s="61"/>
      <c r="VDO2472" s="54"/>
      <c r="VDP2472" s="54"/>
      <c r="VDQ2472" s="63"/>
      <c r="VDR2472" s="60"/>
      <c r="VDS2472" s="60"/>
      <c r="VDT2472" s="60"/>
      <c r="VDU2472" s="63"/>
      <c r="VDV2472" s="61"/>
      <c r="VDW2472" s="54"/>
      <c r="VDX2472" s="54"/>
      <c r="VDY2472" s="63"/>
      <c r="VDZ2472" s="60"/>
      <c r="VEA2472" s="60"/>
      <c r="VEB2472" s="60"/>
      <c r="VEC2472" s="63"/>
      <c r="VED2472" s="61"/>
      <c r="VEE2472" s="54"/>
      <c r="VEF2472" s="54"/>
      <c r="VEG2472" s="63"/>
      <c r="VEH2472" s="60"/>
      <c r="VEI2472" s="60"/>
      <c r="VEJ2472" s="60"/>
      <c r="VEK2472" s="63"/>
      <c r="VEL2472" s="61"/>
      <c r="VEM2472" s="54"/>
      <c r="VEN2472" s="54"/>
      <c r="VEO2472" s="63"/>
      <c r="VEP2472" s="60"/>
      <c r="VEQ2472" s="60"/>
      <c r="VER2472" s="60"/>
      <c r="VES2472" s="63"/>
      <c r="VET2472" s="61"/>
      <c r="VEU2472" s="54"/>
      <c r="VEV2472" s="54"/>
      <c r="VEW2472" s="63"/>
      <c r="VEX2472" s="60"/>
      <c r="VEY2472" s="60"/>
      <c r="VEZ2472" s="60"/>
      <c r="VFA2472" s="63"/>
      <c r="VFB2472" s="61"/>
      <c r="VFC2472" s="54"/>
      <c r="VFD2472" s="54"/>
      <c r="VFE2472" s="63"/>
      <c r="VFF2472" s="60"/>
      <c r="VFG2472" s="60"/>
      <c r="VFH2472" s="60"/>
      <c r="VFI2472" s="63"/>
      <c r="VFJ2472" s="61"/>
      <c r="VFK2472" s="54"/>
      <c r="VFL2472" s="54"/>
      <c r="VFM2472" s="63"/>
      <c r="VFN2472" s="60"/>
      <c r="VFO2472" s="60"/>
      <c r="VFP2472" s="60"/>
      <c r="VFQ2472" s="63"/>
      <c r="VFR2472" s="61"/>
      <c r="VFS2472" s="54"/>
      <c r="VFT2472" s="54"/>
      <c r="VFU2472" s="63"/>
      <c r="VFV2472" s="60"/>
      <c r="VFW2472" s="60"/>
      <c r="VFX2472" s="60"/>
      <c r="VFY2472" s="63"/>
      <c r="VFZ2472" s="61"/>
      <c r="VGA2472" s="54"/>
      <c r="VGB2472" s="54"/>
      <c r="VGC2472" s="63"/>
      <c r="VGD2472" s="60"/>
      <c r="VGE2472" s="60"/>
      <c r="VGF2472" s="60"/>
      <c r="VGG2472" s="63"/>
      <c r="VGH2472" s="61"/>
      <c r="VGI2472" s="54"/>
      <c r="VGJ2472" s="54"/>
      <c r="VGK2472" s="63"/>
      <c r="VGL2472" s="60"/>
      <c r="VGM2472" s="60"/>
      <c r="VGN2472" s="60"/>
      <c r="VGO2472" s="63"/>
      <c r="VGP2472" s="61"/>
      <c r="VGQ2472" s="54"/>
      <c r="VGR2472" s="54"/>
      <c r="VGS2472" s="63"/>
      <c r="VGT2472" s="60"/>
      <c r="VGU2472" s="60"/>
      <c r="VGV2472" s="60"/>
      <c r="VGW2472" s="63"/>
      <c r="VGX2472" s="61"/>
      <c r="VGY2472" s="54"/>
      <c r="VGZ2472" s="54"/>
      <c r="VHA2472" s="63"/>
      <c r="VHB2472" s="60"/>
      <c r="VHC2472" s="60"/>
      <c r="VHD2472" s="60"/>
      <c r="VHE2472" s="63"/>
      <c r="VHF2472" s="61"/>
      <c r="VHG2472" s="54"/>
      <c r="VHH2472" s="54"/>
      <c r="VHI2472" s="63"/>
      <c r="VHJ2472" s="60"/>
      <c r="VHK2472" s="60"/>
      <c r="VHL2472" s="60"/>
      <c r="VHM2472" s="63"/>
      <c r="VHN2472" s="61"/>
      <c r="VHO2472" s="54"/>
      <c r="VHP2472" s="54"/>
      <c r="VHQ2472" s="63"/>
      <c r="VHR2472" s="60"/>
      <c r="VHS2472" s="60"/>
      <c r="VHT2472" s="60"/>
      <c r="VHU2472" s="63"/>
      <c r="VHV2472" s="61"/>
      <c r="VHW2472" s="54"/>
      <c r="VHX2472" s="54"/>
      <c r="VHY2472" s="63"/>
      <c r="VHZ2472" s="60"/>
      <c r="VIA2472" s="60"/>
      <c r="VIB2472" s="60"/>
      <c r="VIC2472" s="63"/>
      <c r="VID2472" s="61"/>
      <c r="VIE2472" s="54"/>
      <c r="VIF2472" s="54"/>
      <c r="VIG2472" s="63"/>
      <c r="VIH2472" s="60"/>
      <c r="VII2472" s="60"/>
      <c r="VIJ2472" s="60"/>
      <c r="VIK2472" s="63"/>
      <c r="VIL2472" s="61"/>
      <c r="VIM2472" s="54"/>
      <c r="VIN2472" s="54"/>
      <c r="VIO2472" s="63"/>
      <c r="VIP2472" s="60"/>
      <c r="VIQ2472" s="60"/>
      <c r="VIR2472" s="60"/>
      <c r="VIS2472" s="63"/>
      <c r="VIT2472" s="61"/>
      <c r="VIU2472" s="54"/>
      <c r="VIV2472" s="54"/>
      <c r="VIW2472" s="63"/>
      <c r="VIX2472" s="60"/>
      <c r="VIY2472" s="60"/>
      <c r="VIZ2472" s="60"/>
      <c r="VJA2472" s="63"/>
      <c r="VJB2472" s="61"/>
      <c r="VJC2472" s="54"/>
      <c r="VJD2472" s="54"/>
      <c r="VJE2472" s="63"/>
      <c r="VJF2472" s="60"/>
      <c r="VJG2472" s="60"/>
      <c r="VJH2472" s="60"/>
      <c r="VJI2472" s="63"/>
      <c r="VJJ2472" s="61"/>
      <c r="VJK2472" s="54"/>
      <c r="VJL2472" s="54"/>
      <c r="VJM2472" s="63"/>
      <c r="VJN2472" s="60"/>
      <c r="VJO2472" s="60"/>
      <c r="VJP2472" s="60"/>
      <c r="VJQ2472" s="63"/>
      <c r="VJR2472" s="61"/>
      <c r="VJS2472" s="54"/>
      <c r="VJT2472" s="54"/>
      <c r="VJU2472" s="63"/>
      <c r="VJV2472" s="60"/>
      <c r="VJW2472" s="60"/>
      <c r="VJX2472" s="60"/>
      <c r="VJY2472" s="63"/>
      <c r="VJZ2472" s="61"/>
      <c r="VKA2472" s="54"/>
      <c r="VKB2472" s="54"/>
      <c r="VKC2472" s="63"/>
      <c r="VKD2472" s="60"/>
      <c r="VKE2472" s="60"/>
      <c r="VKF2472" s="60"/>
      <c r="VKG2472" s="63"/>
      <c r="VKH2472" s="61"/>
      <c r="VKI2472" s="54"/>
      <c r="VKJ2472" s="54"/>
      <c r="VKK2472" s="63"/>
      <c r="VKL2472" s="60"/>
      <c r="VKM2472" s="60"/>
      <c r="VKN2472" s="60"/>
      <c r="VKO2472" s="63"/>
      <c r="VKP2472" s="61"/>
      <c r="VKQ2472" s="54"/>
      <c r="VKR2472" s="54"/>
      <c r="VKS2472" s="63"/>
      <c r="VKT2472" s="60"/>
      <c r="VKU2472" s="60"/>
      <c r="VKV2472" s="60"/>
      <c r="VKW2472" s="63"/>
      <c r="VKX2472" s="61"/>
      <c r="VKY2472" s="54"/>
      <c r="VKZ2472" s="54"/>
      <c r="VLA2472" s="63"/>
      <c r="VLB2472" s="60"/>
      <c r="VLC2472" s="60"/>
      <c r="VLD2472" s="60"/>
      <c r="VLE2472" s="63"/>
      <c r="VLF2472" s="61"/>
      <c r="VLG2472" s="54"/>
      <c r="VLH2472" s="54"/>
      <c r="VLI2472" s="63"/>
      <c r="VLJ2472" s="60"/>
      <c r="VLK2472" s="60"/>
      <c r="VLL2472" s="60"/>
      <c r="VLM2472" s="63"/>
      <c r="VLN2472" s="61"/>
      <c r="VLO2472" s="54"/>
      <c r="VLP2472" s="54"/>
      <c r="VLQ2472" s="63"/>
      <c r="VLR2472" s="60"/>
      <c r="VLS2472" s="60"/>
      <c r="VLT2472" s="60"/>
      <c r="VLU2472" s="63"/>
      <c r="VLV2472" s="61"/>
      <c r="VLW2472" s="54"/>
      <c r="VLX2472" s="54"/>
      <c r="VLY2472" s="63"/>
      <c r="VLZ2472" s="60"/>
      <c r="VMA2472" s="60"/>
      <c r="VMB2472" s="60"/>
      <c r="VMC2472" s="63"/>
      <c r="VMD2472" s="61"/>
      <c r="VME2472" s="54"/>
      <c r="VMF2472" s="54"/>
      <c r="VMG2472" s="63"/>
      <c r="VMH2472" s="60"/>
      <c r="VMI2472" s="60"/>
      <c r="VMJ2472" s="60"/>
      <c r="VMK2472" s="63"/>
      <c r="VML2472" s="61"/>
      <c r="VMM2472" s="54"/>
      <c r="VMN2472" s="54"/>
      <c r="VMO2472" s="63"/>
      <c r="VMP2472" s="60"/>
      <c r="VMQ2472" s="60"/>
      <c r="VMR2472" s="60"/>
      <c r="VMS2472" s="63"/>
      <c r="VMT2472" s="61"/>
      <c r="VMU2472" s="54"/>
      <c r="VMV2472" s="54"/>
      <c r="VMW2472" s="63"/>
      <c r="VMX2472" s="60"/>
      <c r="VMY2472" s="60"/>
      <c r="VMZ2472" s="60"/>
      <c r="VNA2472" s="63"/>
      <c r="VNB2472" s="61"/>
      <c r="VNC2472" s="54"/>
      <c r="VND2472" s="54"/>
      <c r="VNE2472" s="63"/>
      <c r="VNF2472" s="60"/>
      <c r="VNG2472" s="60"/>
      <c r="VNH2472" s="60"/>
      <c r="VNI2472" s="63"/>
      <c r="VNJ2472" s="61"/>
      <c r="VNK2472" s="54"/>
      <c r="VNL2472" s="54"/>
      <c r="VNM2472" s="63"/>
      <c r="VNN2472" s="60"/>
      <c r="VNO2472" s="60"/>
      <c r="VNP2472" s="60"/>
      <c r="VNQ2472" s="63"/>
      <c r="VNR2472" s="61"/>
      <c r="VNS2472" s="54"/>
      <c r="VNT2472" s="54"/>
      <c r="VNU2472" s="63"/>
      <c r="VNV2472" s="60"/>
      <c r="VNW2472" s="60"/>
      <c r="VNX2472" s="60"/>
      <c r="VNY2472" s="63"/>
      <c r="VNZ2472" s="61"/>
      <c r="VOA2472" s="54"/>
      <c r="VOB2472" s="54"/>
      <c r="VOC2472" s="63"/>
      <c r="VOD2472" s="60"/>
      <c r="VOE2472" s="60"/>
      <c r="VOF2472" s="60"/>
      <c r="VOG2472" s="63"/>
      <c r="VOH2472" s="61"/>
      <c r="VOI2472" s="54"/>
      <c r="VOJ2472" s="54"/>
      <c r="VOK2472" s="63"/>
      <c r="VOL2472" s="60"/>
      <c r="VOM2472" s="60"/>
      <c r="VON2472" s="60"/>
      <c r="VOO2472" s="63"/>
      <c r="VOP2472" s="61"/>
      <c r="VOQ2472" s="54"/>
      <c r="VOR2472" s="54"/>
      <c r="VOS2472" s="63"/>
      <c r="VOT2472" s="60"/>
      <c r="VOU2472" s="60"/>
      <c r="VOV2472" s="60"/>
      <c r="VOW2472" s="63"/>
      <c r="VOX2472" s="61"/>
      <c r="VOY2472" s="54"/>
      <c r="VOZ2472" s="54"/>
      <c r="VPA2472" s="63"/>
      <c r="VPB2472" s="60"/>
      <c r="VPC2472" s="60"/>
      <c r="VPD2472" s="60"/>
      <c r="VPE2472" s="63"/>
      <c r="VPF2472" s="61"/>
      <c r="VPG2472" s="54"/>
      <c r="VPH2472" s="54"/>
      <c r="VPI2472" s="63"/>
      <c r="VPJ2472" s="60"/>
      <c r="VPK2472" s="60"/>
      <c r="VPL2472" s="60"/>
      <c r="VPM2472" s="63"/>
      <c r="VPN2472" s="61"/>
      <c r="VPO2472" s="54"/>
      <c r="VPP2472" s="54"/>
      <c r="VPQ2472" s="63"/>
      <c r="VPR2472" s="60"/>
      <c r="VPS2472" s="60"/>
      <c r="VPT2472" s="60"/>
      <c r="VPU2472" s="63"/>
      <c r="VPV2472" s="61"/>
      <c r="VPW2472" s="54"/>
      <c r="VPX2472" s="54"/>
      <c r="VPY2472" s="63"/>
      <c r="VPZ2472" s="60"/>
      <c r="VQA2472" s="60"/>
      <c r="VQB2472" s="60"/>
      <c r="VQC2472" s="63"/>
      <c r="VQD2472" s="61"/>
      <c r="VQE2472" s="54"/>
      <c r="VQF2472" s="54"/>
      <c r="VQG2472" s="63"/>
      <c r="VQH2472" s="60"/>
      <c r="VQI2472" s="60"/>
      <c r="VQJ2472" s="60"/>
      <c r="VQK2472" s="63"/>
      <c r="VQL2472" s="61"/>
      <c r="VQM2472" s="54"/>
      <c r="VQN2472" s="54"/>
      <c r="VQO2472" s="63"/>
      <c r="VQP2472" s="60"/>
      <c r="VQQ2472" s="60"/>
      <c r="VQR2472" s="60"/>
      <c r="VQS2472" s="63"/>
      <c r="VQT2472" s="61"/>
      <c r="VQU2472" s="54"/>
      <c r="VQV2472" s="54"/>
      <c r="VQW2472" s="63"/>
      <c r="VQX2472" s="60"/>
      <c r="VQY2472" s="60"/>
      <c r="VQZ2472" s="60"/>
      <c r="VRA2472" s="63"/>
      <c r="VRB2472" s="61"/>
      <c r="VRC2472" s="54"/>
      <c r="VRD2472" s="54"/>
      <c r="VRE2472" s="63"/>
      <c r="VRF2472" s="60"/>
      <c r="VRG2472" s="60"/>
      <c r="VRH2472" s="60"/>
      <c r="VRI2472" s="63"/>
      <c r="VRJ2472" s="61"/>
      <c r="VRK2472" s="54"/>
      <c r="VRL2472" s="54"/>
      <c r="VRM2472" s="63"/>
      <c r="VRN2472" s="60"/>
      <c r="VRO2472" s="60"/>
      <c r="VRP2472" s="60"/>
      <c r="VRQ2472" s="63"/>
      <c r="VRR2472" s="61"/>
      <c r="VRS2472" s="54"/>
      <c r="VRT2472" s="54"/>
      <c r="VRU2472" s="63"/>
      <c r="VRV2472" s="60"/>
      <c r="VRW2472" s="60"/>
      <c r="VRX2472" s="60"/>
      <c r="VRY2472" s="63"/>
      <c r="VRZ2472" s="61"/>
      <c r="VSA2472" s="54"/>
      <c r="VSB2472" s="54"/>
      <c r="VSC2472" s="63"/>
      <c r="VSD2472" s="60"/>
      <c r="VSE2472" s="60"/>
      <c r="VSF2472" s="60"/>
      <c r="VSG2472" s="63"/>
      <c r="VSH2472" s="61"/>
      <c r="VSI2472" s="54"/>
      <c r="VSJ2472" s="54"/>
      <c r="VSK2472" s="63"/>
      <c r="VSL2472" s="60"/>
      <c r="VSM2472" s="60"/>
      <c r="VSN2472" s="60"/>
      <c r="VSO2472" s="63"/>
      <c r="VSP2472" s="61"/>
      <c r="VSQ2472" s="54"/>
      <c r="VSR2472" s="54"/>
      <c r="VSS2472" s="63"/>
      <c r="VST2472" s="60"/>
      <c r="VSU2472" s="60"/>
      <c r="VSV2472" s="60"/>
      <c r="VSW2472" s="63"/>
      <c r="VSX2472" s="61"/>
      <c r="VSY2472" s="54"/>
      <c r="VSZ2472" s="54"/>
      <c r="VTA2472" s="63"/>
      <c r="VTB2472" s="60"/>
      <c r="VTC2472" s="60"/>
      <c r="VTD2472" s="60"/>
      <c r="VTE2472" s="63"/>
      <c r="VTF2472" s="61"/>
      <c r="VTG2472" s="54"/>
      <c r="VTH2472" s="54"/>
      <c r="VTI2472" s="63"/>
      <c r="VTJ2472" s="60"/>
      <c r="VTK2472" s="60"/>
      <c r="VTL2472" s="60"/>
      <c r="VTM2472" s="63"/>
      <c r="VTN2472" s="61"/>
      <c r="VTO2472" s="54"/>
      <c r="VTP2472" s="54"/>
      <c r="VTQ2472" s="63"/>
      <c r="VTR2472" s="60"/>
      <c r="VTS2472" s="60"/>
      <c r="VTT2472" s="60"/>
      <c r="VTU2472" s="63"/>
      <c r="VTV2472" s="61"/>
      <c r="VTW2472" s="54"/>
      <c r="VTX2472" s="54"/>
      <c r="VTY2472" s="63"/>
      <c r="VTZ2472" s="60"/>
      <c r="VUA2472" s="60"/>
      <c r="VUB2472" s="60"/>
      <c r="VUC2472" s="63"/>
      <c r="VUD2472" s="61"/>
      <c r="VUE2472" s="54"/>
      <c r="VUF2472" s="54"/>
      <c r="VUG2472" s="63"/>
      <c r="VUH2472" s="60"/>
      <c r="VUI2472" s="60"/>
      <c r="VUJ2472" s="60"/>
      <c r="VUK2472" s="63"/>
      <c r="VUL2472" s="61"/>
      <c r="VUM2472" s="54"/>
      <c r="VUN2472" s="54"/>
      <c r="VUO2472" s="63"/>
      <c r="VUP2472" s="60"/>
      <c r="VUQ2472" s="60"/>
      <c r="VUR2472" s="60"/>
      <c r="VUS2472" s="63"/>
      <c r="VUT2472" s="61"/>
      <c r="VUU2472" s="54"/>
      <c r="VUV2472" s="54"/>
      <c r="VUW2472" s="63"/>
      <c r="VUX2472" s="60"/>
      <c r="VUY2472" s="60"/>
      <c r="VUZ2472" s="60"/>
      <c r="VVA2472" s="63"/>
      <c r="VVB2472" s="61"/>
      <c r="VVC2472" s="54"/>
      <c r="VVD2472" s="54"/>
      <c r="VVE2472" s="63"/>
      <c r="VVF2472" s="60"/>
      <c r="VVG2472" s="60"/>
      <c r="VVH2472" s="60"/>
      <c r="VVI2472" s="63"/>
      <c r="VVJ2472" s="61"/>
      <c r="VVK2472" s="54"/>
      <c r="VVL2472" s="54"/>
      <c r="VVM2472" s="63"/>
      <c r="VVN2472" s="60"/>
      <c r="VVO2472" s="60"/>
      <c r="VVP2472" s="60"/>
      <c r="VVQ2472" s="63"/>
      <c r="VVR2472" s="61"/>
      <c r="VVS2472" s="54"/>
      <c r="VVT2472" s="54"/>
      <c r="VVU2472" s="63"/>
      <c r="VVV2472" s="60"/>
      <c r="VVW2472" s="60"/>
      <c r="VVX2472" s="60"/>
      <c r="VVY2472" s="63"/>
      <c r="VVZ2472" s="61"/>
      <c r="VWA2472" s="54"/>
      <c r="VWB2472" s="54"/>
      <c r="VWC2472" s="63"/>
      <c r="VWD2472" s="60"/>
      <c r="VWE2472" s="60"/>
      <c r="VWF2472" s="60"/>
      <c r="VWG2472" s="63"/>
      <c r="VWH2472" s="61"/>
      <c r="VWI2472" s="54"/>
      <c r="VWJ2472" s="54"/>
      <c r="VWK2472" s="63"/>
      <c r="VWL2472" s="60"/>
      <c r="VWM2472" s="60"/>
      <c r="VWN2472" s="60"/>
      <c r="VWO2472" s="63"/>
      <c r="VWP2472" s="61"/>
      <c r="VWQ2472" s="54"/>
      <c r="VWR2472" s="54"/>
      <c r="VWS2472" s="63"/>
      <c r="VWT2472" s="60"/>
      <c r="VWU2472" s="60"/>
      <c r="VWV2472" s="60"/>
      <c r="VWW2472" s="63"/>
      <c r="VWX2472" s="61"/>
      <c r="VWY2472" s="54"/>
      <c r="VWZ2472" s="54"/>
      <c r="VXA2472" s="63"/>
      <c r="VXB2472" s="60"/>
      <c r="VXC2472" s="60"/>
      <c r="VXD2472" s="60"/>
      <c r="VXE2472" s="63"/>
      <c r="VXF2472" s="61"/>
      <c r="VXG2472" s="54"/>
      <c r="VXH2472" s="54"/>
      <c r="VXI2472" s="63"/>
      <c r="VXJ2472" s="60"/>
      <c r="VXK2472" s="60"/>
      <c r="VXL2472" s="60"/>
      <c r="VXM2472" s="63"/>
      <c r="VXN2472" s="61"/>
      <c r="VXO2472" s="54"/>
      <c r="VXP2472" s="54"/>
      <c r="VXQ2472" s="63"/>
      <c r="VXR2472" s="60"/>
      <c r="VXS2472" s="60"/>
      <c r="VXT2472" s="60"/>
      <c r="VXU2472" s="63"/>
      <c r="VXV2472" s="61"/>
      <c r="VXW2472" s="54"/>
      <c r="VXX2472" s="54"/>
      <c r="VXY2472" s="63"/>
      <c r="VXZ2472" s="60"/>
      <c r="VYA2472" s="60"/>
      <c r="VYB2472" s="60"/>
      <c r="VYC2472" s="63"/>
      <c r="VYD2472" s="61"/>
      <c r="VYE2472" s="54"/>
      <c r="VYF2472" s="54"/>
      <c r="VYG2472" s="63"/>
      <c r="VYH2472" s="60"/>
      <c r="VYI2472" s="60"/>
      <c r="VYJ2472" s="60"/>
      <c r="VYK2472" s="63"/>
      <c r="VYL2472" s="61"/>
      <c r="VYM2472" s="54"/>
      <c r="VYN2472" s="54"/>
      <c r="VYO2472" s="63"/>
      <c r="VYP2472" s="60"/>
      <c r="VYQ2472" s="60"/>
      <c r="VYR2472" s="60"/>
      <c r="VYS2472" s="63"/>
      <c r="VYT2472" s="61"/>
      <c r="VYU2472" s="54"/>
      <c r="VYV2472" s="54"/>
      <c r="VYW2472" s="63"/>
      <c r="VYX2472" s="60"/>
      <c r="VYY2472" s="60"/>
      <c r="VYZ2472" s="60"/>
      <c r="VZA2472" s="63"/>
      <c r="VZB2472" s="61"/>
      <c r="VZC2472" s="54"/>
      <c r="VZD2472" s="54"/>
      <c r="VZE2472" s="63"/>
      <c r="VZF2472" s="60"/>
      <c r="VZG2472" s="60"/>
      <c r="VZH2472" s="60"/>
      <c r="VZI2472" s="63"/>
      <c r="VZJ2472" s="61"/>
      <c r="VZK2472" s="54"/>
      <c r="VZL2472" s="54"/>
      <c r="VZM2472" s="63"/>
      <c r="VZN2472" s="60"/>
      <c r="VZO2472" s="60"/>
      <c r="VZP2472" s="60"/>
      <c r="VZQ2472" s="63"/>
      <c r="VZR2472" s="61"/>
      <c r="VZS2472" s="54"/>
      <c r="VZT2472" s="54"/>
      <c r="VZU2472" s="63"/>
      <c r="VZV2472" s="60"/>
      <c r="VZW2472" s="60"/>
      <c r="VZX2472" s="60"/>
      <c r="VZY2472" s="63"/>
      <c r="VZZ2472" s="61"/>
      <c r="WAA2472" s="54"/>
      <c r="WAB2472" s="54"/>
      <c r="WAC2472" s="63"/>
      <c r="WAD2472" s="60"/>
      <c r="WAE2472" s="60"/>
      <c r="WAF2472" s="60"/>
      <c r="WAG2472" s="63"/>
      <c r="WAH2472" s="61"/>
      <c r="WAI2472" s="54"/>
      <c r="WAJ2472" s="54"/>
      <c r="WAK2472" s="63"/>
      <c r="WAL2472" s="60"/>
      <c r="WAM2472" s="60"/>
      <c r="WAN2472" s="60"/>
      <c r="WAO2472" s="63"/>
      <c r="WAP2472" s="61"/>
      <c r="WAQ2472" s="54"/>
      <c r="WAR2472" s="54"/>
      <c r="WAS2472" s="63"/>
      <c r="WAT2472" s="60"/>
      <c r="WAU2472" s="60"/>
      <c r="WAV2472" s="60"/>
      <c r="WAW2472" s="63"/>
      <c r="WAX2472" s="61"/>
      <c r="WAY2472" s="54"/>
      <c r="WAZ2472" s="54"/>
      <c r="WBA2472" s="63"/>
      <c r="WBB2472" s="60"/>
      <c r="WBC2472" s="60"/>
      <c r="WBD2472" s="60"/>
      <c r="WBE2472" s="63"/>
      <c r="WBF2472" s="61"/>
      <c r="WBG2472" s="54"/>
      <c r="WBH2472" s="54"/>
      <c r="WBI2472" s="63"/>
      <c r="WBJ2472" s="60"/>
      <c r="WBK2472" s="60"/>
      <c r="WBL2472" s="60"/>
      <c r="WBM2472" s="63"/>
      <c r="WBN2472" s="61"/>
      <c r="WBO2472" s="54"/>
      <c r="WBP2472" s="54"/>
      <c r="WBQ2472" s="63"/>
      <c r="WBR2472" s="60"/>
      <c r="WBS2472" s="60"/>
      <c r="WBT2472" s="60"/>
      <c r="WBU2472" s="63"/>
      <c r="WBV2472" s="61"/>
      <c r="WBW2472" s="54"/>
      <c r="WBX2472" s="54"/>
      <c r="WBY2472" s="63"/>
      <c r="WBZ2472" s="60"/>
      <c r="WCA2472" s="60"/>
      <c r="WCB2472" s="60"/>
      <c r="WCC2472" s="63"/>
      <c r="WCD2472" s="61"/>
      <c r="WCE2472" s="54"/>
      <c r="WCF2472" s="54"/>
      <c r="WCG2472" s="63"/>
      <c r="WCH2472" s="60"/>
      <c r="WCI2472" s="60"/>
      <c r="WCJ2472" s="60"/>
      <c r="WCK2472" s="63"/>
      <c r="WCL2472" s="61"/>
      <c r="WCM2472" s="54"/>
      <c r="WCN2472" s="54"/>
      <c r="WCO2472" s="63"/>
      <c r="WCP2472" s="60"/>
      <c r="WCQ2472" s="60"/>
      <c r="WCR2472" s="60"/>
      <c r="WCS2472" s="63"/>
      <c r="WCT2472" s="61"/>
      <c r="WCU2472" s="54"/>
      <c r="WCV2472" s="54"/>
      <c r="WCW2472" s="63"/>
      <c r="WCX2472" s="60"/>
      <c r="WCY2472" s="60"/>
      <c r="WCZ2472" s="60"/>
      <c r="WDA2472" s="63"/>
      <c r="WDB2472" s="61"/>
      <c r="WDC2472" s="54"/>
      <c r="WDD2472" s="54"/>
      <c r="WDE2472" s="63"/>
      <c r="WDF2472" s="60"/>
      <c r="WDG2472" s="60"/>
      <c r="WDH2472" s="60"/>
      <c r="WDI2472" s="63"/>
      <c r="WDJ2472" s="61"/>
      <c r="WDK2472" s="54"/>
      <c r="WDL2472" s="54"/>
      <c r="WDM2472" s="63"/>
      <c r="WDN2472" s="60"/>
      <c r="WDO2472" s="60"/>
      <c r="WDP2472" s="60"/>
      <c r="WDQ2472" s="63"/>
      <c r="WDR2472" s="61"/>
      <c r="WDS2472" s="54"/>
      <c r="WDT2472" s="54"/>
      <c r="WDU2472" s="63"/>
      <c r="WDV2472" s="60"/>
      <c r="WDW2472" s="60"/>
      <c r="WDX2472" s="60"/>
      <c r="WDY2472" s="63"/>
      <c r="WDZ2472" s="61"/>
      <c r="WEA2472" s="54"/>
      <c r="WEB2472" s="54"/>
      <c r="WEC2472" s="63"/>
      <c r="WED2472" s="60"/>
      <c r="WEE2472" s="60"/>
      <c r="WEF2472" s="60"/>
      <c r="WEG2472" s="63"/>
      <c r="WEH2472" s="61"/>
      <c r="WEI2472" s="54"/>
      <c r="WEJ2472" s="54"/>
      <c r="WEK2472" s="63"/>
      <c r="WEL2472" s="60"/>
      <c r="WEM2472" s="60"/>
      <c r="WEN2472" s="60"/>
      <c r="WEO2472" s="63"/>
      <c r="WEP2472" s="61"/>
      <c r="WEQ2472" s="54"/>
      <c r="WER2472" s="54"/>
      <c r="WES2472" s="63"/>
      <c r="WET2472" s="60"/>
      <c r="WEU2472" s="60"/>
      <c r="WEV2472" s="60"/>
      <c r="WEW2472" s="63"/>
      <c r="WEX2472" s="61"/>
      <c r="WEY2472" s="54"/>
      <c r="WEZ2472" s="54"/>
      <c r="WFA2472" s="63"/>
      <c r="WFB2472" s="60"/>
      <c r="WFC2472" s="60"/>
      <c r="WFD2472" s="60"/>
      <c r="WFE2472" s="63"/>
      <c r="WFF2472" s="61"/>
      <c r="WFG2472" s="54"/>
      <c r="WFH2472" s="54"/>
      <c r="WFI2472" s="63"/>
      <c r="WFJ2472" s="60"/>
      <c r="WFK2472" s="60"/>
      <c r="WFL2472" s="60"/>
      <c r="WFM2472" s="63"/>
      <c r="WFN2472" s="61"/>
      <c r="WFO2472" s="54"/>
      <c r="WFP2472" s="54"/>
      <c r="WFQ2472" s="63"/>
      <c r="WFR2472" s="60"/>
      <c r="WFS2472" s="60"/>
      <c r="WFT2472" s="60"/>
      <c r="WFU2472" s="63"/>
      <c r="WFV2472" s="61"/>
      <c r="WFW2472" s="54"/>
      <c r="WFX2472" s="54"/>
      <c r="WFY2472" s="63"/>
      <c r="WFZ2472" s="60"/>
      <c r="WGA2472" s="60"/>
      <c r="WGB2472" s="60"/>
      <c r="WGC2472" s="63"/>
      <c r="WGD2472" s="61"/>
      <c r="WGE2472" s="54"/>
      <c r="WGF2472" s="54"/>
      <c r="WGG2472" s="63"/>
      <c r="WGH2472" s="60"/>
      <c r="WGI2472" s="60"/>
      <c r="WGJ2472" s="60"/>
      <c r="WGK2472" s="63"/>
      <c r="WGL2472" s="61"/>
      <c r="WGM2472" s="54"/>
      <c r="WGN2472" s="54"/>
      <c r="WGO2472" s="63"/>
      <c r="WGP2472" s="60"/>
      <c r="WGQ2472" s="60"/>
      <c r="WGR2472" s="60"/>
      <c r="WGS2472" s="63"/>
      <c r="WGT2472" s="61"/>
      <c r="WGU2472" s="54"/>
      <c r="WGV2472" s="54"/>
      <c r="WGW2472" s="63"/>
      <c r="WGX2472" s="60"/>
      <c r="WGY2472" s="60"/>
      <c r="WGZ2472" s="60"/>
      <c r="WHA2472" s="63"/>
      <c r="WHB2472" s="61"/>
      <c r="WHC2472" s="54"/>
      <c r="WHD2472" s="54"/>
      <c r="WHE2472" s="63"/>
      <c r="WHF2472" s="60"/>
      <c r="WHG2472" s="60"/>
      <c r="WHH2472" s="60"/>
      <c r="WHI2472" s="63"/>
      <c r="WHJ2472" s="61"/>
      <c r="WHK2472" s="54"/>
      <c r="WHL2472" s="54"/>
      <c r="WHM2472" s="63"/>
      <c r="WHN2472" s="60"/>
      <c r="WHO2472" s="60"/>
      <c r="WHP2472" s="60"/>
      <c r="WHQ2472" s="63"/>
      <c r="WHR2472" s="61"/>
      <c r="WHS2472" s="54"/>
      <c r="WHT2472" s="54"/>
      <c r="WHU2472" s="63"/>
      <c r="WHV2472" s="60"/>
      <c r="WHW2472" s="60"/>
      <c r="WHX2472" s="60"/>
      <c r="WHY2472" s="63"/>
      <c r="WHZ2472" s="61"/>
      <c r="WIA2472" s="54"/>
      <c r="WIB2472" s="54"/>
      <c r="WIC2472" s="63"/>
      <c r="WID2472" s="60"/>
      <c r="WIE2472" s="60"/>
      <c r="WIF2472" s="60"/>
      <c r="WIG2472" s="63"/>
      <c r="WIH2472" s="61"/>
      <c r="WII2472" s="54"/>
      <c r="WIJ2472" s="54"/>
      <c r="WIK2472" s="63"/>
      <c r="WIL2472" s="60"/>
      <c r="WIM2472" s="60"/>
      <c r="WIN2472" s="60"/>
      <c r="WIO2472" s="63"/>
      <c r="WIP2472" s="61"/>
      <c r="WIQ2472" s="54"/>
      <c r="WIR2472" s="54"/>
      <c r="WIS2472" s="63"/>
      <c r="WIT2472" s="60"/>
      <c r="WIU2472" s="60"/>
      <c r="WIV2472" s="60"/>
      <c r="WIW2472" s="63"/>
      <c r="WIX2472" s="61"/>
      <c r="WIY2472" s="54"/>
      <c r="WIZ2472" s="54"/>
      <c r="WJA2472" s="63"/>
      <c r="WJB2472" s="60"/>
      <c r="WJC2472" s="60"/>
      <c r="WJD2472" s="60"/>
      <c r="WJE2472" s="63"/>
      <c r="WJF2472" s="61"/>
      <c r="WJG2472" s="54"/>
      <c r="WJH2472" s="54"/>
      <c r="WJI2472" s="63"/>
      <c r="WJJ2472" s="60"/>
      <c r="WJK2472" s="60"/>
      <c r="WJL2472" s="60"/>
      <c r="WJM2472" s="63"/>
      <c r="WJN2472" s="61"/>
      <c r="WJO2472" s="54"/>
      <c r="WJP2472" s="54"/>
      <c r="WJQ2472" s="63"/>
      <c r="WJR2472" s="60"/>
      <c r="WJS2472" s="60"/>
      <c r="WJT2472" s="60"/>
      <c r="WJU2472" s="63"/>
      <c r="WJV2472" s="61"/>
      <c r="WJW2472" s="54"/>
      <c r="WJX2472" s="54"/>
      <c r="WJY2472" s="63"/>
      <c r="WJZ2472" s="60"/>
      <c r="WKA2472" s="60"/>
      <c r="WKB2472" s="60"/>
      <c r="WKC2472" s="63"/>
      <c r="WKD2472" s="61"/>
      <c r="WKE2472" s="54"/>
      <c r="WKF2472" s="54"/>
      <c r="WKG2472" s="63"/>
      <c r="WKH2472" s="60"/>
      <c r="WKI2472" s="60"/>
      <c r="WKJ2472" s="60"/>
      <c r="WKK2472" s="63"/>
      <c r="WKL2472" s="61"/>
      <c r="WKM2472" s="54"/>
      <c r="WKN2472" s="54"/>
      <c r="WKO2472" s="63"/>
      <c r="WKP2472" s="60"/>
      <c r="WKQ2472" s="60"/>
      <c r="WKR2472" s="60"/>
      <c r="WKS2472" s="63"/>
      <c r="WKT2472" s="61"/>
      <c r="WKU2472" s="54"/>
      <c r="WKV2472" s="54"/>
      <c r="WKW2472" s="63"/>
      <c r="WKX2472" s="60"/>
      <c r="WKY2472" s="60"/>
      <c r="WKZ2472" s="60"/>
      <c r="WLA2472" s="63"/>
      <c r="WLB2472" s="61"/>
      <c r="WLC2472" s="54"/>
      <c r="WLD2472" s="54"/>
      <c r="WLE2472" s="63"/>
      <c r="WLF2472" s="60"/>
      <c r="WLG2472" s="60"/>
      <c r="WLH2472" s="60"/>
      <c r="WLI2472" s="63"/>
      <c r="WLJ2472" s="61"/>
      <c r="WLK2472" s="54"/>
      <c r="WLL2472" s="54"/>
      <c r="WLM2472" s="63"/>
      <c r="WLN2472" s="60"/>
      <c r="WLO2472" s="60"/>
      <c r="WLP2472" s="60"/>
      <c r="WLQ2472" s="63"/>
      <c r="WLR2472" s="61"/>
      <c r="WLS2472" s="54"/>
      <c r="WLT2472" s="54"/>
      <c r="WLU2472" s="63"/>
      <c r="WLV2472" s="60"/>
      <c r="WLW2472" s="60"/>
      <c r="WLX2472" s="60"/>
      <c r="WLY2472" s="63"/>
      <c r="WLZ2472" s="61"/>
      <c r="WMA2472" s="54"/>
      <c r="WMB2472" s="54"/>
      <c r="WMC2472" s="63"/>
      <c r="WMD2472" s="60"/>
      <c r="WME2472" s="60"/>
      <c r="WMF2472" s="60"/>
      <c r="WMG2472" s="63"/>
      <c r="WMH2472" s="61"/>
      <c r="WMI2472" s="54"/>
      <c r="WMJ2472" s="54"/>
      <c r="WMK2472" s="63"/>
      <c r="WML2472" s="60"/>
      <c r="WMM2472" s="60"/>
      <c r="WMN2472" s="60"/>
      <c r="WMO2472" s="63"/>
      <c r="WMP2472" s="61"/>
      <c r="WMQ2472" s="54"/>
      <c r="WMR2472" s="54"/>
      <c r="WMS2472" s="63"/>
      <c r="WMT2472" s="60"/>
      <c r="WMU2472" s="60"/>
      <c r="WMV2472" s="60"/>
      <c r="WMW2472" s="63"/>
      <c r="WMX2472" s="61"/>
      <c r="WMY2472" s="54"/>
      <c r="WMZ2472" s="54"/>
      <c r="WNA2472" s="63"/>
      <c r="WNB2472" s="60"/>
      <c r="WNC2472" s="60"/>
      <c r="WND2472" s="60"/>
      <c r="WNE2472" s="63"/>
      <c r="WNF2472" s="61"/>
      <c r="WNG2472" s="54"/>
      <c r="WNH2472" s="54"/>
      <c r="WNI2472" s="63"/>
      <c r="WNJ2472" s="60"/>
      <c r="WNK2472" s="60"/>
      <c r="WNL2472" s="60"/>
      <c r="WNM2472" s="63"/>
      <c r="WNN2472" s="61"/>
      <c r="WNO2472" s="54"/>
      <c r="WNP2472" s="54"/>
      <c r="WNQ2472" s="63"/>
      <c r="WNR2472" s="60"/>
      <c r="WNS2472" s="60"/>
      <c r="WNT2472" s="60"/>
      <c r="WNU2472" s="63"/>
      <c r="WNV2472" s="61"/>
      <c r="WNW2472" s="54"/>
      <c r="WNX2472" s="54"/>
      <c r="WNY2472" s="63"/>
      <c r="WNZ2472" s="60"/>
      <c r="WOA2472" s="60"/>
      <c r="WOB2472" s="60"/>
      <c r="WOC2472" s="63"/>
      <c r="WOD2472" s="61"/>
      <c r="WOE2472" s="54"/>
      <c r="WOF2472" s="54"/>
      <c r="WOG2472" s="63"/>
      <c r="WOH2472" s="60"/>
      <c r="WOI2472" s="60"/>
      <c r="WOJ2472" s="60"/>
      <c r="WOK2472" s="63"/>
      <c r="WOL2472" s="61"/>
      <c r="WOM2472" s="54"/>
      <c r="WON2472" s="54"/>
      <c r="WOO2472" s="63"/>
      <c r="WOP2472" s="60"/>
      <c r="WOQ2472" s="60"/>
      <c r="WOR2472" s="60"/>
      <c r="WOS2472" s="63"/>
      <c r="WOT2472" s="61"/>
      <c r="WOU2472" s="54"/>
      <c r="WOV2472" s="54"/>
      <c r="WOW2472" s="63"/>
      <c r="WOX2472" s="60"/>
      <c r="WOY2472" s="60"/>
      <c r="WOZ2472" s="60"/>
      <c r="WPA2472" s="63"/>
      <c r="WPB2472" s="61"/>
      <c r="WPC2472" s="54"/>
      <c r="WPD2472" s="54"/>
      <c r="WPE2472" s="63"/>
      <c r="WPF2472" s="60"/>
      <c r="WPG2472" s="60"/>
      <c r="WPH2472" s="60"/>
      <c r="WPI2472" s="63"/>
      <c r="WPJ2472" s="61"/>
      <c r="WPK2472" s="54"/>
      <c r="WPL2472" s="54"/>
      <c r="WPM2472" s="63"/>
      <c r="WPN2472" s="60"/>
      <c r="WPO2472" s="60"/>
      <c r="WPP2472" s="60"/>
      <c r="WPQ2472" s="63"/>
      <c r="WPR2472" s="61"/>
      <c r="WPS2472" s="54"/>
      <c r="WPT2472" s="54"/>
      <c r="WPU2472" s="63"/>
      <c r="WPV2472" s="60"/>
      <c r="WPW2472" s="60"/>
      <c r="WPX2472" s="60"/>
      <c r="WPY2472" s="63"/>
      <c r="WPZ2472" s="61"/>
      <c r="WQA2472" s="54"/>
      <c r="WQB2472" s="54"/>
      <c r="WQC2472" s="63"/>
      <c r="WQD2472" s="60"/>
      <c r="WQE2472" s="60"/>
      <c r="WQF2472" s="60"/>
      <c r="WQG2472" s="63"/>
      <c r="WQH2472" s="61"/>
      <c r="WQI2472" s="54"/>
      <c r="WQJ2472" s="54"/>
      <c r="WQK2472" s="63"/>
      <c r="WQL2472" s="60"/>
      <c r="WQM2472" s="60"/>
      <c r="WQN2472" s="60"/>
      <c r="WQO2472" s="63"/>
      <c r="WQP2472" s="61"/>
      <c r="WQQ2472" s="54"/>
      <c r="WQR2472" s="54"/>
      <c r="WQS2472" s="63"/>
      <c r="WQT2472" s="60"/>
      <c r="WQU2472" s="60"/>
      <c r="WQV2472" s="60"/>
      <c r="WQW2472" s="63"/>
      <c r="WQX2472" s="61"/>
      <c r="WQY2472" s="54"/>
      <c r="WQZ2472" s="54"/>
      <c r="WRA2472" s="63"/>
      <c r="WRB2472" s="60"/>
      <c r="WRC2472" s="60"/>
      <c r="WRD2472" s="60"/>
      <c r="WRE2472" s="63"/>
      <c r="WRF2472" s="61"/>
      <c r="WRG2472" s="54"/>
      <c r="WRH2472" s="54"/>
      <c r="WRI2472" s="63"/>
      <c r="WRJ2472" s="60"/>
      <c r="WRK2472" s="60"/>
      <c r="WRL2472" s="60"/>
      <c r="WRM2472" s="63"/>
      <c r="WRN2472" s="61"/>
      <c r="WRO2472" s="54"/>
      <c r="WRP2472" s="54"/>
      <c r="WRQ2472" s="63"/>
      <c r="WRR2472" s="60"/>
      <c r="WRS2472" s="60"/>
      <c r="WRT2472" s="60"/>
      <c r="WRU2472" s="63"/>
      <c r="WRV2472" s="61"/>
      <c r="WRW2472" s="54"/>
      <c r="WRX2472" s="54"/>
      <c r="WRY2472" s="63"/>
      <c r="WRZ2472" s="60"/>
      <c r="WSA2472" s="60"/>
      <c r="WSB2472" s="60"/>
      <c r="WSC2472" s="63"/>
      <c r="WSD2472" s="61"/>
      <c r="WSE2472" s="54"/>
      <c r="WSF2472" s="54"/>
      <c r="WSG2472" s="63"/>
      <c r="WSH2472" s="60"/>
      <c r="WSI2472" s="60"/>
      <c r="WSJ2472" s="60"/>
      <c r="WSK2472" s="63"/>
      <c r="WSL2472" s="61"/>
      <c r="WSM2472" s="54"/>
      <c r="WSN2472" s="54"/>
      <c r="WSO2472" s="63"/>
      <c r="WSP2472" s="60"/>
      <c r="WSQ2472" s="60"/>
      <c r="WSR2472" s="60"/>
      <c r="WSS2472" s="63"/>
      <c r="WST2472" s="61"/>
      <c r="WSU2472" s="54"/>
      <c r="WSV2472" s="54"/>
      <c r="WSW2472" s="63"/>
      <c r="WSX2472" s="60"/>
      <c r="WSY2472" s="60"/>
      <c r="WSZ2472" s="60"/>
      <c r="WTA2472" s="63"/>
      <c r="WTB2472" s="61"/>
      <c r="WTC2472" s="54"/>
      <c r="WTD2472" s="54"/>
      <c r="WTE2472" s="63"/>
      <c r="WTF2472" s="60"/>
      <c r="WTG2472" s="60"/>
      <c r="WTH2472" s="60"/>
      <c r="WTI2472" s="63"/>
      <c r="WTJ2472" s="61"/>
      <c r="WTK2472" s="54"/>
      <c r="WTL2472" s="54"/>
      <c r="WTM2472" s="63"/>
      <c r="WTN2472" s="60"/>
      <c r="WTO2472" s="60"/>
      <c r="WTP2472" s="60"/>
      <c r="WTQ2472" s="63"/>
      <c r="WTR2472" s="61"/>
      <c r="WTS2472" s="54"/>
      <c r="WTT2472" s="54"/>
      <c r="WTU2472" s="63"/>
      <c r="WTV2472" s="60"/>
      <c r="WTW2472" s="60"/>
      <c r="WTX2472" s="60"/>
      <c r="WTY2472" s="63"/>
      <c r="WTZ2472" s="61"/>
      <c r="WUA2472" s="54"/>
      <c r="WUB2472" s="54"/>
      <c r="WUC2472" s="63"/>
      <c r="WUD2472" s="60"/>
      <c r="WUE2472" s="60"/>
      <c r="WUF2472" s="60"/>
      <c r="WUG2472" s="63"/>
      <c r="WUH2472" s="61"/>
      <c r="WUI2472" s="54"/>
      <c r="WUJ2472" s="54"/>
      <c r="WUK2472" s="63"/>
      <c r="WUL2472" s="60"/>
      <c r="WUM2472" s="60"/>
      <c r="WUN2472" s="60"/>
      <c r="WUO2472" s="63"/>
      <c r="WUP2472" s="61"/>
      <c r="WUQ2472" s="54"/>
      <c r="WUR2472" s="54"/>
      <c r="WUS2472" s="63"/>
      <c r="WUT2472" s="60"/>
      <c r="WUU2472" s="60"/>
      <c r="WUV2472" s="60"/>
      <c r="WUW2472" s="63"/>
      <c r="WUX2472" s="61"/>
      <c r="WUY2472" s="54"/>
      <c r="WUZ2472" s="54"/>
      <c r="WVA2472" s="63"/>
      <c r="WVB2472" s="60"/>
      <c r="WVC2472" s="60"/>
      <c r="WVD2472" s="60"/>
      <c r="WVE2472" s="63"/>
      <c r="WVF2472" s="61"/>
      <c r="WVG2472" s="54"/>
      <c r="WVH2472" s="54"/>
      <c r="WVI2472" s="63"/>
      <c r="WVJ2472" s="60"/>
      <c r="WVK2472" s="60"/>
      <c r="WVL2472" s="60"/>
      <c r="WVM2472" s="63"/>
      <c r="WVN2472" s="61"/>
      <c r="WVO2472" s="54"/>
      <c r="WVP2472" s="54"/>
      <c r="WVQ2472" s="63"/>
      <c r="WVR2472" s="60"/>
      <c r="WVS2472" s="60"/>
      <c r="WVT2472" s="60"/>
      <c r="WVU2472" s="63"/>
      <c r="WVV2472" s="61"/>
      <c r="WVW2472" s="54"/>
      <c r="WVX2472" s="54"/>
      <c r="WVY2472" s="63"/>
      <c r="WVZ2472" s="60"/>
      <c r="WWA2472" s="60"/>
      <c r="WWB2472" s="60"/>
      <c r="WWC2472" s="63"/>
      <c r="WWD2472" s="61"/>
      <c r="WWE2472" s="54"/>
      <c r="WWF2472" s="54"/>
      <c r="WWG2472" s="63"/>
      <c r="WWH2472" s="60"/>
      <c r="WWI2472" s="60"/>
      <c r="WWJ2472" s="60"/>
      <c r="WWK2472" s="63"/>
      <c r="WWL2472" s="61"/>
      <c r="WWM2472" s="54"/>
      <c r="WWN2472" s="54"/>
      <c r="WWO2472" s="63"/>
      <c r="WWP2472" s="60"/>
      <c r="WWQ2472" s="60"/>
      <c r="WWR2472" s="60"/>
      <c r="WWS2472" s="63"/>
      <c r="WWT2472" s="61"/>
      <c r="WWU2472" s="54"/>
      <c r="WWV2472" s="54"/>
      <c r="WWW2472" s="63"/>
      <c r="WWX2472" s="60"/>
      <c r="WWY2472" s="60"/>
      <c r="WWZ2472" s="60"/>
      <c r="WXA2472" s="63"/>
      <c r="WXB2472" s="61"/>
      <c r="WXC2472" s="54"/>
      <c r="WXD2472" s="54"/>
      <c r="WXE2472" s="63"/>
      <c r="WXF2472" s="60"/>
      <c r="WXG2472" s="60"/>
      <c r="WXH2472" s="60"/>
      <c r="WXI2472" s="63"/>
      <c r="WXJ2472" s="61"/>
      <c r="WXK2472" s="54"/>
      <c r="WXL2472" s="54"/>
      <c r="WXM2472" s="63"/>
      <c r="WXN2472" s="60"/>
      <c r="WXO2472" s="60"/>
      <c r="WXP2472" s="60"/>
      <c r="WXQ2472" s="63"/>
      <c r="WXR2472" s="61"/>
      <c r="WXS2472" s="54"/>
      <c r="WXT2472" s="54"/>
      <c r="WXU2472" s="63"/>
      <c r="WXV2472" s="60"/>
      <c r="WXW2472" s="60"/>
      <c r="WXX2472" s="60"/>
      <c r="WXY2472" s="63"/>
      <c r="WXZ2472" s="61"/>
      <c r="WYA2472" s="54"/>
      <c r="WYB2472" s="54"/>
      <c r="WYC2472" s="63"/>
      <c r="WYD2472" s="60"/>
      <c r="WYE2472" s="60"/>
      <c r="WYF2472" s="60"/>
      <c r="WYG2472" s="63"/>
      <c r="WYH2472" s="61"/>
      <c r="WYI2472" s="54"/>
      <c r="WYJ2472" s="54"/>
      <c r="WYK2472" s="63"/>
      <c r="WYL2472" s="60"/>
      <c r="WYM2472" s="60"/>
      <c r="WYN2472" s="60"/>
      <c r="WYO2472" s="63"/>
      <c r="WYP2472" s="61"/>
      <c r="WYQ2472" s="54"/>
      <c r="WYR2472" s="54"/>
      <c r="WYS2472" s="63"/>
      <c r="WYT2472" s="60"/>
      <c r="WYU2472" s="60"/>
      <c r="WYV2472" s="60"/>
      <c r="WYW2472" s="63"/>
      <c r="WYX2472" s="61"/>
      <c r="WYY2472" s="54"/>
      <c r="WYZ2472" s="54"/>
      <c r="WZA2472" s="63"/>
      <c r="WZB2472" s="60"/>
      <c r="WZC2472" s="60"/>
      <c r="WZD2472" s="60"/>
      <c r="WZE2472" s="63"/>
      <c r="WZF2472" s="61"/>
      <c r="WZG2472" s="54"/>
      <c r="WZH2472" s="54"/>
      <c r="WZI2472" s="63"/>
      <c r="WZJ2472" s="60"/>
      <c r="WZK2472" s="60"/>
      <c r="WZL2472" s="60"/>
      <c r="WZM2472" s="63"/>
      <c r="WZN2472" s="61"/>
      <c r="WZO2472" s="54"/>
      <c r="WZP2472" s="54"/>
      <c r="WZQ2472" s="63"/>
      <c r="WZR2472" s="60"/>
      <c r="WZS2472" s="60"/>
      <c r="WZT2472" s="60"/>
      <c r="WZU2472" s="63"/>
      <c r="WZV2472" s="61"/>
      <c r="WZW2472" s="54"/>
      <c r="WZX2472" s="54"/>
      <c r="WZY2472" s="63"/>
      <c r="WZZ2472" s="60"/>
      <c r="XAA2472" s="60"/>
      <c r="XAB2472" s="60"/>
      <c r="XAC2472" s="63"/>
      <c r="XAD2472" s="61"/>
      <c r="XAE2472" s="54"/>
      <c r="XAF2472" s="54"/>
      <c r="XAG2472" s="63"/>
      <c r="XAH2472" s="60"/>
      <c r="XAI2472" s="60"/>
      <c r="XAJ2472" s="60"/>
      <c r="XAK2472" s="63"/>
      <c r="XAL2472" s="61"/>
      <c r="XAM2472" s="54"/>
      <c r="XAN2472" s="54"/>
      <c r="XAO2472" s="63"/>
      <c r="XAP2472" s="60"/>
      <c r="XAQ2472" s="60"/>
      <c r="XAR2472" s="60"/>
      <c r="XAS2472" s="63"/>
      <c r="XAT2472" s="61"/>
      <c r="XAU2472" s="54"/>
      <c r="XAV2472" s="54"/>
      <c r="XAW2472" s="63"/>
      <c r="XAX2472" s="60"/>
      <c r="XAY2472" s="60"/>
      <c r="XAZ2472" s="60"/>
      <c r="XBA2472" s="63"/>
      <c r="XBB2472" s="61"/>
      <c r="XBC2472" s="54"/>
      <c r="XBD2472" s="54"/>
      <c r="XBE2472" s="63"/>
      <c r="XBF2472" s="60"/>
      <c r="XBG2472" s="60"/>
      <c r="XBH2472" s="60"/>
      <c r="XBI2472" s="63"/>
      <c r="XBJ2472" s="61"/>
      <c r="XBK2472" s="54"/>
      <c r="XBL2472" s="54"/>
      <c r="XBM2472" s="63"/>
      <c r="XBN2472" s="60"/>
      <c r="XBO2472" s="60"/>
      <c r="XBP2472" s="60"/>
      <c r="XBQ2472" s="63"/>
      <c r="XBR2472" s="61"/>
      <c r="XBS2472" s="54"/>
      <c r="XBT2472" s="54"/>
      <c r="XBU2472" s="63"/>
      <c r="XBV2472" s="60"/>
      <c r="XBW2472" s="60"/>
      <c r="XBX2472" s="60"/>
      <c r="XBY2472" s="63"/>
      <c r="XBZ2472" s="61"/>
      <c r="XCA2472" s="54"/>
      <c r="XCB2472" s="54"/>
      <c r="XCC2472" s="63"/>
      <c r="XCD2472" s="60"/>
      <c r="XCE2472" s="60"/>
      <c r="XCF2472" s="60"/>
      <c r="XCG2472" s="63"/>
      <c r="XCH2472" s="61"/>
      <c r="XCI2472" s="54"/>
      <c r="XCJ2472" s="54"/>
      <c r="XCK2472" s="63"/>
      <c r="XCL2472" s="60"/>
      <c r="XCM2472" s="60"/>
      <c r="XCN2472" s="60"/>
      <c r="XCO2472" s="63"/>
      <c r="XCP2472" s="61"/>
      <c r="XCQ2472" s="54"/>
      <c r="XCR2472" s="54"/>
      <c r="XCS2472" s="63"/>
      <c r="XCT2472" s="60"/>
      <c r="XCU2472" s="60"/>
      <c r="XCV2472" s="60"/>
      <c r="XCW2472" s="63"/>
      <c r="XCX2472" s="61"/>
      <c r="XCY2472" s="54"/>
      <c r="XCZ2472" s="54"/>
      <c r="XDA2472" s="63"/>
      <c r="XDB2472" s="60"/>
      <c r="XDC2472" s="60"/>
      <c r="XDD2472" s="60"/>
      <c r="XDE2472" s="63"/>
      <c r="XDF2472" s="61"/>
      <c r="XDG2472" s="54"/>
      <c r="XDH2472" s="54"/>
      <c r="XDI2472" s="63"/>
      <c r="XDJ2472" s="60"/>
      <c r="XDK2472" s="60"/>
      <c r="XDL2472" s="60"/>
      <c r="XDM2472" s="63"/>
      <c r="XDN2472" s="61"/>
      <c r="XDO2472" s="54"/>
      <c r="XDP2472" s="54"/>
      <c r="XDQ2472" s="63"/>
      <c r="XDR2472" s="60"/>
      <c r="XDS2472" s="60"/>
      <c r="XDT2472" s="60"/>
      <c r="XDU2472" s="63"/>
      <c r="XDV2472" s="61"/>
      <c r="XDW2472" s="54"/>
      <c r="XDX2472" s="54"/>
      <c r="XDY2472" s="63"/>
      <c r="XDZ2472" s="60"/>
      <c r="XEA2472" s="60"/>
      <c r="XEB2472" s="60"/>
      <c r="XEC2472" s="63"/>
      <c r="XED2472" s="61"/>
      <c r="XEE2472" s="54"/>
      <c r="XEF2472" s="54"/>
      <c r="XEG2472" s="63"/>
      <c r="XEH2472" s="60"/>
      <c r="XEI2472" s="60"/>
      <c r="XEJ2472" s="60"/>
      <c r="XEK2472" s="63"/>
      <c r="XEL2472" s="61"/>
      <c r="XEM2472" s="54"/>
      <c r="XEN2472" s="54"/>
      <c r="XEO2472" s="63"/>
      <c r="XEP2472" s="60"/>
      <c r="XEQ2472" s="60"/>
      <c r="XER2472" s="60"/>
      <c r="XES2472" s="63"/>
      <c r="XET2472" s="61"/>
      <c r="XEU2472" s="54"/>
      <c r="XEV2472" s="54"/>
      <c r="XEW2472" s="63"/>
    </row>
    <row r="2473" ht="18" customHeight="1" spans="1:16377">
      <c r="A2473" s="6" t="s">
        <v>8209</v>
      </c>
      <c r="B2473" s="6" t="s">
        <v>8540</v>
      </c>
      <c r="C2473" s="11" t="s">
        <v>16401</v>
      </c>
      <c r="D2473" s="5" t="s">
        <v>16374</v>
      </c>
      <c r="E2473" s="11" t="s">
        <v>16402</v>
      </c>
      <c r="F2473" s="7" t="s">
        <v>11535</v>
      </c>
      <c r="G2473" s="54"/>
      <c r="H2473" s="54"/>
      <c r="I2473" s="63"/>
      <c r="J2473" s="60"/>
      <c r="K2473" s="60"/>
      <c r="L2473" s="60"/>
      <c r="M2473" s="63"/>
      <c r="N2473" s="61"/>
      <c r="O2473" s="54"/>
      <c r="P2473" s="54"/>
      <c r="Q2473" s="63"/>
      <c r="R2473" s="60"/>
      <c r="S2473" s="60"/>
      <c r="T2473" s="60"/>
      <c r="U2473" s="63"/>
      <c r="V2473" s="61"/>
      <c r="W2473" s="54"/>
      <c r="X2473" s="54"/>
      <c r="Y2473" s="63"/>
      <c r="Z2473" s="60"/>
      <c r="AA2473" s="60"/>
      <c r="AB2473" s="60"/>
      <c r="AC2473" s="63"/>
      <c r="AD2473" s="61"/>
      <c r="AE2473" s="54"/>
      <c r="AF2473" s="54"/>
      <c r="AG2473" s="63"/>
      <c r="AH2473" s="60"/>
      <c r="AI2473" s="60"/>
      <c r="AJ2473" s="60"/>
      <c r="AK2473" s="63"/>
      <c r="AL2473" s="61"/>
      <c r="AM2473" s="54"/>
      <c r="AN2473" s="54"/>
      <c r="AO2473" s="63"/>
      <c r="AP2473" s="60"/>
      <c r="AQ2473" s="60"/>
      <c r="AR2473" s="60"/>
      <c r="AS2473" s="63"/>
      <c r="AT2473" s="61"/>
      <c r="AU2473" s="54"/>
      <c r="AV2473" s="54"/>
      <c r="AW2473" s="63"/>
      <c r="AX2473" s="60"/>
      <c r="AY2473" s="60"/>
      <c r="AZ2473" s="60"/>
      <c r="BA2473" s="63"/>
      <c r="BB2473" s="61"/>
      <c r="BC2473" s="54"/>
      <c r="BD2473" s="54"/>
      <c r="BE2473" s="63"/>
      <c r="BF2473" s="60"/>
      <c r="BG2473" s="60"/>
      <c r="BH2473" s="60"/>
      <c r="BI2473" s="63"/>
      <c r="BJ2473" s="61"/>
      <c r="BK2473" s="54"/>
      <c r="BL2473" s="54"/>
      <c r="BM2473" s="63"/>
      <c r="BN2473" s="60"/>
      <c r="BO2473" s="60"/>
      <c r="BP2473" s="60"/>
      <c r="BQ2473" s="63"/>
      <c r="BR2473" s="61"/>
      <c r="BS2473" s="54"/>
      <c r="BT2473" s="54"/>
      <c r="BU2473" s="63"/>
      <c r="BV2473" s="60"/>
      <c r="BW2473" s="60"/>
      <c r="BX2473" s="60"/>
      <c r="BY2473" s="63"/>
      <c r="BZ2473" s="61"/>
      <c r="CA2473" s="54"/>
      <c r="CB2473" s="54"/>
      <c r="CC2473" s="63"/>
      <c r="CD2473" s="60"/>
      <c r="CE2473" s="60"/>
      <c r="CF2473" s="60"/>
      <c r="CG2473" s="63"/>
      <c r="CH2473" s="61"/>
      <c r="CI2473" s="54"/>
      <c r="CJ2473" s="54"/>
      <c r="CK2473" s="63"/>
      <c r="CL2473" s="60"/>
      <c r="CM2473" s="60"/>
      <c r="CN2473" s="60"/>
      <c r="CO2473" s="63"/>
      <c r="CP2473" s="61"/>
      <c r="CQ2473" s="54"/>
      <c r="CR2473" s="54"/>
      <c r="CS2473" s="63"/>
      <c r="CT2473" s="60"/>
      <c r="CU2473" s="60"/>
      <c r="CV2473" s="60"/>
      <c r="CW2473" s="63"/>
      <c r="CX2473" s="61"/>
      <c r="CY2473" s="54"/>
      <c r="CZ2473" s="54"/>
      <c r="DA2473" s="63"/>
      <c r="DB2473" s="60"/>
      <c r="DC2473" s="60"/>
      <c r="DD2473" s="60"/>
      <c r="DE2473" s="63"/>
      <c r="DF2473" s="61"/>
      <c r="DG2473" s="54"/>
      <c r="DH2473" s="54"/>
      <c r="DI2473" s="63"/>
      <c r="DJ2473" s="60"/>
      <c r="DK2473" s="60"/>
      <c r="DL2473" s="60"/>
      <c r="DM2473" s="63"/>
      <c r="DN2473" s="61"/>
      <c r="DO2473" s="54"/>
      <c r="DP2473" s="54"/>
      <c r="DQ2473" s="63"/>
      <c r="DR2473" s="60"/>
      <c r="DS2473" s="60"/>
      <c r="DT2473" s="60"/>
      <c r="DU2473" s="63"/>
      <c r="DV2473" s="61"/>
      <c r="DW2473" s="54"/>
      <c r="DX2473" s="54"/>
      <c r="DY2473" s="63"/>
      <c r="DZ2473" s="60"/>
      <c r="EA2473" s="60"/>
      <c r="EB2473" s="60"/>
      <c r="EC2473" s="63"/>
      <c r="ED2473" s="61"/>
      <c r="EE2473" s="54"/>
      <c r="EF2473" s="54"/>
      <c r="EG2473" s="63"/>
      <c r="EH2473" s="60"/>
      <c r="EI2473" s="60"/>
      <c r="EJ2473" s="60"/>
      <c r="EK2473" s="63"/>
      <c r="EL2473" s="61"/>
      <c r="EM2473" s="54"/>
      <c r="EN2473" s="54"/>
      <c r="EO2473" s="63"/>
      <c r="EP2473" s="60"/>
      <c r="EQ2473" s="60"/>
      <c r="ER2473" s="60"/>
      <c r="ES2473" s="63"/>
      <c r="ET2473" s="61"/>
      <c r="EU2473" s="54"/>
      <c r="EV2473" s="54"/>
      <c r="EW2473" s="63"/>
      <c r="EX2473" s="60"/>
      <c r="EY2473" s="60"/>
      <c r="EZ2473" s="60"/>
      <c r="FA2473" s="63"/>
      <c r="FB2473" s="61"/>
      <c r="FC2473" s="54"/>
      <c r="FD2473" s="54"/>
      <c r="FE2473" s="63"/>
      <c r="FF2473" s="60"/>
      <c r="FG2473" s="60"/>
      <c r="FH2473" s="60"/>
      <c r="FI2473" s="63"/>
      <c r="FJ2473" s="61"/>
      <c r="FK2473" s="54"/>
      <c r="FL2473" s="54"/>
      <c r="FM2473" s="63"/>
      <c r="FN2473" s="60"/>
      <c r="FO2473" s="60"/>
      <c r="FP2473" s="60"/>
      <c r="FQ2473" s="63"/>
      <c r="FR2473" s="61"/>
      <c r="FS2473" s="54"/>
      <c r="FT2473" s="54"/>
      <c r="FU2473" s="63"/>
      <c r="FV2473" s="60"/>
      <c r="FW2473" s="60"/>
      <c r="FX2473" s="60"/>
      <c r="FY2473" s="63"/>
      <c r="FZ2473" s="61"/>
      <c r="GA2473" s="54"/>
      <c r="GB2473" s="54"/>
      <c r="GC2473" s="63"/>
      <c r="GD2473" s="60"/>
      <c r="GE2473" s="60"/>
      <c r="GF2473" s="60"/>
      <c r="GG2473" s="63"/>
      <c r="GH2473" s="61"/>
      <c r="GI2473" s="54"/>
      <c r="GJ2473" s="54"/>
      <c r="GK2473" s="63"/>
      <c r="GL2473" s="60"/>
      <c r="GM2473" s="60"/>
      <c r="GN2473" s="60"/>
      <c r="GO2473" s="63"/>
      <c r="GP2473" s="61"/>
      <c r="GQ2473" s="54"/>
      <c r="GR2473" s="54"/>
      <c r="GS2473" s="63"/>
      <c r="GT2473" s="60"/>
      <c r="GU2473" s="60"/>
      <c r="GV2473" s="60"/>
      <c r="GW2473" s="63"/>
      <c r="GX2473" s="61"/>
      <c r="GY2473" s="54"/>
      <c r="GZ2473" s="54"/>
      <c r="HA2473" s="63"/>
      <c r="HB2473" s="60"/>
      <c r="HC2473" s="60"/>
      <c r="HD2473" s="60"/>
      <c r="HE2473" s="63"/>
      <c r="HF2473" s="61"/>
      <c r="HG2473" s="54"/>
      <c r="HH2473" s="54"/>
      <c r="HI2473" s="63"/>
      <c r="HJ2473" s="60"/>
      <c r="HK2473" s="60"/>
      <c r="HL2473" s="60"/>
      <c r="HM2473" s="63"/>
      <c r="HN2473" s="61"/>
      <c r="HO2473" s="54"/>
      <c r="HP2473" s="54"/>
      <c r="HQ2473" s="63"/>
      <c r="HR2473" s="60"/>
      <c r="HS2473" s="60"/>
      <c r="HT2473" s="60"/>
      <c r="HU2473" s="63"/>
      <c r="HV2473" s="61"/>
      <c r="HW2473" s="54"/>
      <c r="HX2473" s="54"/>
      <c r="HY2473" s="63"/>
      <c r="HZ2473" s="60"/>
      <c r="IA2473" s="60"/>
      <c r="IB2473" s="60"/>
      <c r="IC2473" s="63"/>
      <c r="ID2473" s="61"/>
      <c r="IE2473" s="54"/>
      <c r="IF2473" s="54"/>
      <c r="IG2473" s="63"/>
      <c r="IH2473" s="60"/>
      <c r="II2473" s="60"/>
      <c r="IJ2473" s="60"/>
      <c r="IK2473" s="63"/>
      <c r="IL2473" s="61"/>
      <c r="IM2473" s="54"/>
      <c r="IN2473" s="54"/>
      <c r="IO2473" s="63"/>
      <c r="IP2473" s="60"/>
      <c r="IQ2473" s="60"/>
      <c r="IR2473" s="60"/>
      <c r="IS2473" s="63"/>
      <c r="IT2473" s="61"/>
      <c r="IU2473" s="54"/>
      <c r="IV2473" s="54"/>
      <c r="IW2473" s="63"/>
      <c r="IX2473" s="60"/>
      <c r="IY2473" s="60"/>
      <c r="IZ2473" s="60"/>
      <c r="JA2473" s="63"/>
      <c r="JB2473" s="61"/>
      <c r="JC2473" s="54"/>
      <c r="JD2473" s="54"/>
      <c r="JE2473" s="63"/>
      <c r="JF2473" s="60"/>
      <c r="JG2473" s="60"/>
      <c r="JH2473" s="60"/>
      <c r="JI2473" s="63"/>
      <c r="JJ2473" s="61"/>
      <c r="JK2473" s="54"/>
      <c r="JL2473" s="54"/>
      <c r="JM2473" s="63"/>
      <c r="JN2473" s="60"/>
      <c r="JO2473" s="60"/>
      <c r="JP2473" s="60"/>
      <c r="JQ2473" s="63"/>
      <c r="JR2473" s="61"/>
      <c r="JS2473" s="54"/>
      <c r="JT2473" s="54"/>
      <c r="JU2473" s="63"/>
      <c r="JV2473" s="60"/>
      <c r="JW2473" s="60"/>
      <c r="JX2473" s="60"/>
      <c r="JY2473" s="63"/>
      <c r="JZ2473" s="61"/>
      <c r="KA2473" s="54"/>
      <c r="KB2473" s="54"/>
      <c r="KC2473" s="63"/>
      <c r="KD2473" s="60"/>
      <c r="KE2473" s="60"/>
      <c r="KF2473" s="60"/>
      <c r="KG2473" s="63"/>
      <c r="KH2473" s="61"/>
      <c r="KI2473" s="54"/>
      <c r="KJ2473" s="54"/>
      <c r="KK2473" s="63"/>
      <c r="KL2473" s="60"/>
      <c r="KM2473" s="60"/>
      <c r="KN2473" s="60"/>
      <c r="KO2473" s="63"/>
      <c r="KP2473" s="61"/>
      <c r="KQ2473" s="54"/>
      <c r="KR2473" s="54"/>
      <c r="KS2473" s="63"/>
      <c r="KT2473" s="60"/>
      <c r="KU2473" s="60"/>
      <c r="KV2473" s="60"/>
      <c r="KW2473" s="63"/>
      <c r="KX2473" s="61"/>
      <c r="KY2473" s="54"/>
      <c r="KZ2473" s="54"/>
      <c r="LA2473" s="63"/>
      <c r="LB2473" s="60"/>
      <c r="LC2473" s="60"/>
      <c r="LD2473" s="60"/>
      <c r="LE2473" s="63"/>
      <c r="LF2473" s="61"/>
      <c r="LG2473" s="54"/>
      <c r="LH2473" s="54"/>
      <c r="LI2473" s="63"/>
      <c r="LJ2473" s="60"/>
      <c r="LK2473" s="60"/>
      <c r="LL2473" s="60"/>
      <c r="LM2473" s="63"/>
      <c r="LN2473" s="61"/>
      <c r="LO2473" s="54"/>
      <c r="LP2473" s="54"/>
      <c r="LQ2473" s="63"/>
      <c r="LR2473" s="60"/>
      <c r="LS2473" s="60"/>
      <c r="LT2473" s="60"/>
      <c r="LU2473" s="63"/>
      <c r="LV2473" s="61"/>
      <c r="LW2473" s="54"/>
      <c r="LX2473" s="54"/>
      <c r="LY2473" s="63"/>
      <c r="LZ2473" s="60"/>
      <c r="MA2473" s="60"/>
      <c r="MB2473" s="60"/>
      <c r="MC2473" s="63"/>
      <c r="MD2473" s="61"/>
      <c r="ME2473" s="54"/>
      <c r="MF2473" s="54"/>
      <c r="MG2473" s="63"/>
      <c r="MH2473" s="60"/>
      <c r="MI2473" s="60"/>
      <c r="MJ2473" s="60"/>
      <c r="MK2473" s="63"/>
      <c r="ML2473" s="61"/>
      <c r="MM2473" s="54"/>
      <c r="MN2473" s="54"/>
      <c r="MO2473" s="63"/>
      <c r="MP2473" s="60"/>
      <c r="MQ2473" s="60"/>
      <c r="MR2473" s="60"/>
      <c r="MS2473" s="63"/>
      <c r="MT2473" s="61"/>
      <c r="MU2473" s="54"/>
      <c r="MV2473" s="54"/>
      <c r="MW2473" s="63"/>
      <c r="MX2473" s="60"/>
      <c r="MY2473" s="60"/>
      <c r="MZ2473" s="60"/>
      <c r="NA2473" s="63"/>
      <c r="NB2473" s="61"/>
      <c r="NC2473" s="54"/>
      <c r="ND2473" s="54"/>
      <c r="NE2473" s="63"/>
      <c r="NF2473" s="60"/>
      <c r="NG2473" s="60"/>
      <c r="NH2473" s="60"/>
      <c r="NI2473" s="63"/>
      <c r="NJ2473" s="61"/>
      <c r="NK2473" s="54"/>
      <c r="NL2473" s="54"/>
      <c r="NM2473" s="63"/>
      <c r="NN2473" s="60"/>
      <c r="NO2473" s="60"/>
      <c r="NP2473" s="60"/>
      <c r="NQ2473" s="63"/>
      <c r="NR2473" s="61"/>
      <c r="NS2473" s="54"/>
      <c r="NT2473" s="54"/>
      <c r="NU2473" s="63"/>
      <c r="NV2473" s="60"/>
      <c r="NW2473" s="60"/>
      <c r="NX2473" s="60"/>
      <c r="NY2473" s="63"/>
      <c r="NZ2473" s="61"/>
      <c r="OA2473" s="54"/>
      <c r="OB2473" s="54"/>
      <c r="OC2473" s="63"/>
      <c r="OD2473" s="60"/>
      <c r="OE2473" s="60"/>
      <c r="OF2473" s="60"/>
      <c r="OG2473" s="63"/>
      <c r="OH2473" s="61"/>
      <c r="OI2473" s="54"/>
      <c r="OJ2473" s="54"/>
      <c r="OK2473" s="63"/>
      <c r="OL2473" s="60"/>
      <c r="OM2473" s="60"/>
      <c r="ON2473" s="60"/>
      <c r="OO2473" s="63"/>
      <c r="OP2473" s="61"/>
      <c r="OQ2473" s="54"/>
      <c r="OR2473" s="54"/>
      <c r="OS2473" s="63"/>
      <c r="OT2473" s="60"/>
      <c r="OU2473" s="60"/>
      <c r="OV2473" s="60"/>
      <c r="OW2473" s="63"/>
      <c r="OX2473" s="61"/>
      <c r="OY2473" s="54"/>
      <c r="OZ2473" s="54"/>
      <c r="PA2473" s="63"/>
      <c r="PB2473" s="60"/>
      <c r="PC2473" s="60"/>
      <c r="PD2473" s="60"/>
      <c r="PE2473" s="63"/>
      <c r="PF2473" s="61"/>
      <c r="PG2473" s="54"/>
      <c r="PH2473" s="54"/>
      <c r="PI2473" s="63"/>
      <c r="PJ2473" s="60"/>
      <c r="PK2473" s="60"/>
      <c r="PL2473" s="60"/>
      <c r="PM2473" s="63"/>
      <c r="PN2473" s="61"/>
      <c r="PO2473" s="54"/>
      <c r="PP2473" s="54"/>
      <c r="PQ2473" s="63"/>
      <c r="PR2473" s="60"/>
      <c r="PS2473" s="60"/>
      <c r="PT2473" s="60"/>
      <c r="PU2473" s="63"/>
      <c r="PV2473" s="61"/>
      <c r="PW2473" s="54"/>
      <c r="PX2473" s="54"/>
      <c r="PY2473" s="63"/>
      <c r="PZ2473" s="60"/>
      <c r="QA2473" s="60"/>
      <c r="QB2473" s="60"/>
      <c r="QC2473" s="63"/>
      <c r="QD2473" s="61"/>
      <c r="QE2473" s="54"/>
      <c r="QF2473" s="54"/>
      <c r="QG2473" s="63"/>
      <c r="QH2473" s="60"/>
      <c r="QI2473" s="60"/>
      <c r="QJ2473" s="60"/>
      <c r="QK2473" s="63"/>
      <c r="QL2473" s="61"/>
      <c r="QM2473" s="54"/>
      <c r="QN2473" s="54"/>
      <c r="QO2473" s="63"/>
      <c r="QP2473" s="60"/>
      <c r="QQ2473" s="60"/>
      <c r="QR2473" s="60"/>
      <c r="QS2473" s="63"/>
      <c r="QT2473" s="61"/>
      <c r="QU2473" s="54"/>
      <c r="QV2473" s="54"/>
      <c r="QW2473" s="63"/>
      <c r="QX2473" s="60"/>
      <c r="QY2473" s="60"/>
      <c r="QZ2473" s="60"/>
      <c r="RA2473" s="63"/>
      <c r="RB2473" s="61"/>
      <c r="RC2473" s="54"/>
      <c r="RD2473" s="54"/>
      <c r="RE2473" s="63"/>
      <c r="RF2473" s="60"/>
      <c r="RG2473" s="60"/>
      <c r="RH2473" s="60"/>
      <c r="RI2473" s="63"/>
      <c r="RJ2473" s="61"/>
      <c r="RK2473" s="54"/>
      <c r="RL2473" s="54"/>
      <c r="RM2473" s="63"/>
      <c r="RN2473" s="60"/>
      <c r="RO2473" s="60"/>
      <c r="RP2473" s="60"/>
      <c r="RQ2473" s="63"/>
      <c r="RR2473" s="61"/>
      <c r="RS2473" s="54"/>
      <c r="RT2473" s="54"/>
      <c r="RU2473" s="63"/>
      <c r="RV2473" s="60"/>
      <c r="RW2473" s="60"/>
      <c r="RX2473" s="60"/>
      <c r="RY2473" s="63"/>
      <c r="RZ2473" s="61"/>
      <c r="SA2473" s="54"/>
      <c r="SB2473" s="54"/>
      <c r="SC2473" s="63"/>
      <c r="SD2473" s="60"/>
      <c r="SE2473" s="60"/>
      <c r="SF2473" s="60"/>
      <c r="SG2473" s="63"/>
      <c r="SH2473" s="61"/>
      <c r="SI2473" s="54"/>
      <c r="SJ2473" s="54"/>
      <c r="SK2473" s="63"/>
      <c r="SL2473" s="60"/>
      <c r="SM2473" s="60"/>
      <c r="SN2473" s="60"/>
      <c r="SO2473" s="63"/>
      <c r="SP2473" s="61"/>
      <c r="SQ2473" s="54"/>
      <c r="SR2473" s="54"/>
      <c r="SS2473" s="63"/>
      <c r="ST2473" s="60"/>
      <c r="SU2473" s="60"/>
      <c r="SV2473" s="60"/>
      <c r="SW2473" s="63"/>
      <c r="SX2473" s="61"/>
      <c r="SY2473" s="54"/>
      <c r="SZ2473" s="54"/>
      <c r="TA2473" s="63"/>
      <c r="TB2473" s="60"/>
      <c r="TC2473" s="60"/>
      <c r="TD2473" s="60"/>
      <c r="TE2473" s="63"/>
      <c r="TF2473" s="61"/>
      <c r="TG2473" s="54"/>
      <c r="TH2473" s="54"/>
      <c r="TI2473" s="63"/>
      <c r="TJ2473" s="60"/>
      <c r="TK2473" s="60"/>
      <c r="TL2473" s="60"/>
      <c r="TM2473" s="63"/>
      <c r="TN2473" s="61"/>
      <c r="TO2473" s="54"/>
      <c r="TP2473" s="54"/>
      <c r="TQ2473" s="63"/>
      <c r="TR2473" s="60"/>
      <c r="TS2473" s="60"/>
      <c r="TT2473" s="60"/>
      <c r="TU2473" s="63"/>
      <c r="TV2473" s="61"/>
      <c r="TW2473" s="54"/>
      <c r="TX2473" s="54"/>
      <c r="TY2473" s="63"/>
      <c r="TZ2473" s="60"/>
      <c r="UA2473" s="60"/>
      <c r="UB2473" s="60"/>
      <c r="UC2473" s="63"/>
      <c r="UD2473" s="61"/>
      <c r="UE2473" s="54"/>
      <c r="UF2473" s="54"/>
      <c r="UG2473" s="63"/>
      <c r="UH2473" s="60"/>
      <c r="UI2473" s="60"/>
      <c r="UJ2473" s="60"/>
      <c r="UK2473" s="63"/>
      <c r="UL2473" s="61"/>
      <c r="UM2473" s="54"/>
      <c r="UN2473" s="54"/>
      <c r="UO2473" s="63"/>
      <c r="UP2473" s="60"/>
      <c r="UQ2473" s="60"/>
      <c r="UR2473" s="60"/>
      <c r="US2473" s="63"/>
      <c r="UT2473" s="61"/>
      <c r="UU2473" s="54"/>
      <c r="UV2473" s="54"/>
      <c r="UW2473" s="63"/>
      <c r="UX2473" s="60"/>
      <c r="UY2473" s="60"/>
      <c r="UZ2473" s="60"/>
      <c r="VA2473" s="63"/>
      <c r="VB2473" s="61"/>
      <c r="VC2473" s="54"/>
      <c r="VD2473" s="54"/>
      <c r="VE2473" s="63"/>
      <c r="VF2473" s="60"/>
      <c r="VG2473" s="60"/>
      <c r="VH2473" s="60"/>
      <c r="VI2473" s="63"/>
      <c r="VJ2473" s="61"/>
      <c r="VK2473" s="54"/>
      <c r="VL2473" s="54"/>
      <c r="VM2473" s="63"/>
      <c r="VN2473" s="60"/>
      <c r="VO2473" s="60"/>
      <c r="VP2473" s="60"/>
      <c r="VQ2473" s="63"/>
      <c r="VR2473" s="61"/>
      <c r="VS2473" s="54"/>
      <c r="VT2473" s="54"/>
      <c r="VU2473" s="63"/>
      <c r="VV2473" s="60"/>
      <c r="VW2473" s="60"/>
      <c r="VX2473" s="60"/>
      <c r="VY2473" s="63"/>
      <c r="VZ2473" s="61"/>
      <c r="WA2473" s="54"/>
      <c r="WB2473" s="54"/>
      <c r="WC2473" s="63"/>
      <c r="WD2473" s="60"/>
      <c r="WE2473" s="60"/>
      <c r="WF2473" s="60"/>
      <c r="WG2473" s="63"/>
      <c r="WH2473" s="61"/>
      <c r="WI2473" s="54"/>
      <c r="WJ2473" s="54"/>
      <c r="WK2473" s="63"/>
      <c r="WL2473" s="60"/>
      <c r="WM2473" s="60"/>
      <c r="WN2473" s="60"/>
      <c r="WO2473" s="63"/>
      <c r="WP2473" s="61"/>
      <c r="WQ2473" s="54"/>
      <c r="WR2473" s="54"/>
      <c r="WS2473" s="63"/>
      <c r="WT2473" s="60"/>
      <c r="WU2473" s="60"/>
      <c r="WV2473" s="60"/>
      <c r="WW2473" s="63"/>
      <c r="WX2473" s="61"/>
      <c r="WY2473" s="54"/>
      <c r="WZ2473" s="54"/>
      <c r="XA2473" s="63"/>
      <c r="XB2473" s="60"/>
      <c r="XC2473" s="60"/>
      <c r="XD2473" s="60"/>
      <c r="XE2473" s="63"/>
      <c r="XF2473" s="61"/>
      <c r="XG2473" s="54"/>
      <c r="XH2473" s="54"/>
      <c r="XI2473" s="63"/>
      <c r="XJ2473" s="60"/>
      <c r="XK2473" s="60"/>
      <c r="XL2473" s="60"/>
      <c r="XM2473" s="63"/>
      <c r="XN2473" s="61"/>
      <c r="XO2473" s="54"/>
      <c r="XP2473" s="54"/>
      <c r="XQ2473" s="63"/>
      <c r="XR2473" s="60"/>
      <c r="XS2473" s="60"/>
      <c r="XT2473" s="60"/>
      <c r="XU2473" s="63"/>
      <c r="XV2473" s="61"/>
      <c r="XW2473" s="54"/>
      <c r="XX2473" s="54"/>
      <c r="XY2473" s="63"/>
      <c r="XZ2473" s="60"/>
      <c r="YA2473" s="60"/>
      <c r="YB2473" s="60"/>
      <c r="YC2473" s="63"/>
      <c r="YD2473" s="61"/>
      <c r="YE2473" s="54"/>
      <c r="YF2473" s="54"/>
      <c r="YG2473" s="63"/>
      <c r="YH2473" s="60"/>
      <c r="YI2473" s="60"/>
      <c r="YJ2473" s="60"/>
      <c r="YK2473" s="63"/>
      <c r="YL2473" s="61"/>
      <c r="YM2473" s="54"/>
      <c r="YN2473" s="54"/>
      <c r="YO2473" s="63"/>
      <c r="YP2473" s="60"/>
      <c r="YQ2473" s="60"/>
      <c r="YR2473" s="60"/>
      <c r="YS2473" s="63"/>
      <c r="YT2473" s="61"/>
      <c r="YU2473" s="54"/>
      <c r="YV2473" s="54"/>
      <c r="YW2473" s="63"/>
      <c r="YX2473" s="60"/>
      <c r="YY2473" s="60"/>
      <c r="YZ2473" s="60"/>
      <c r="ZA2473" s="63"/>
      <c r="ZB2473" s="61"/>
      <c r="ZC2473" s="54"/>
      <c r="ZD2473" s="54"/>
      <c r="ZE2473" s="63"/>
      <c r="ZF2473" s="60"/>
      <c r="ZG2473" s="60"/>
      <c r="ZH2473" s="60"/>
      <c r="ZI2473" s="63"/>
      <c r="ZJ2473" s="61"/>
      <c r="ZK2473" s="54"/>
      <c r="ZL2473" s="54"/>
      <c r="ZM2473" s="63"/>
      <c r="ZN2473" s="60"/>
      <c r="ZO2473" s="60"/>
      <c r="ZP2473" s="60"/>
      <c r="ZQ2473" s="63"/>
      <c r="ZR2473" s="61"/>
      <c r="ZS2473" s="54"/>
      <c r="ZT2473" s="54"/>
      <c r="ZU2473" s="63"/>
      <c r="ZV2473" s="60"/>
      <c r="ZW2473" s="60"/>
      <c r="ZX2473" s="60"/>
      <c r="ZY2473" s="63"/>
      <c r="ZZ2473" s="61"/>
      <c r="AAA2473" s="54"/>
      <c r="AAB2473" s="54"/>
      <c r="AAC2473" s="63"/>
      <c r="AAD2473" s="60"/>
      <c r="AAE2473" s="60"/>
      <c r="AAF2473" s="60"/>
      <c r="AAG2473" s="63"/>
      <c r="AAH2473" s="61"/>
      <c r="AAI2473" s="54"/>
      <c r="AAJ2473" s="54"/>
      <c r="AAK2473" s="63"/>
      <c r="AAL2473" s="60"/>
      <c r="AAM2473" s="60"/>
      <c r="AAN2473" s="60"/>
      <c r="AAO2473" s="63"/>
      <c r="AAP2473" s="61"/>
      <c r="AAQ2473" s="54"/>
      <c r="AAR2473" s="54"/>
      <c r="AAS2473" s="63"/>
      <c r="AAT2473" s="60"/>
      <c r="AAU2473" s="60"/>
      <c r="AAV2473" s="60"/>
      <c r="AAW2473" s="63"/>
      <c r="AAX2473" s="61"/>
      <c r="AAY2473" s="54"/>
      <c r="AAZ2473" s="54"/>
      <c r="ABA2473" s="63"/>
      <c r="ABB2473" s="60"/>
      <c r="ABC2473" s="60"/>
      <c r="ABD2473" s="60"/>
      <c r="ABE2473" s="63"/>
      <c r="ABF2473" s="61"/>
      <c r="ABG2473" s="54"/>
      <c r="ABH2473" s="54"/>
      <c r="ABI2473" s="63"/>
      <c r="ABJ2473" s="60"/>
      <c r="ABK2473" s="60"/>
      <c r="ABL2473" s="60"/>
      <c r="ABM2473" s="63"/>
      <c r="ABN2473" s="61"/>
      <c r="ABO2473" s="54"/>
      <c r="ABP2473" s="54"/>
      <c r="ABQ2473" s="63"/>
      <c r="ABR2473" s="60"/>
      <c r="ABS2473" s="60"/>
      <c r="ABT2473" s="60"/>
      <c r="ABU2473" s="63"/>
      <c r="ABV2473" s="61"/>
      <c r="ABW2473" s="54"/>
      <c r="ABX2473" s="54"/>
      <c r="ABY2473" s="63"/>
      <c r="ABZ2473" s="60"/>
      <c r="ACA2473" s="60"/>
      <c r="ACB2473" s="60"/>
      <c r="ACC2473" s="63"/>
      <c r="ACD2473" s="61"/>
      <c r="ACE2473" s="54"/>
      <c r="ACF2473" s="54"/>
      <c r="ACG2473" s="63"/>
      <c r="ACH2473" s="60"/>
      <c r="ACI2473" s="60"/>
      <c r="ACJ2473" s="60"/>
      <c r="ACK2473" s="63"/>
      <c r="ACL2473" s="61"/>
      <c r="ACM2473" s="54"/>
      <c r="ACN2473" s="54"/>
      <c r="ACO2473" s="63"/>
      <c r="ACP2473" s="60"/>
      <c r="ACQ2473" s="60"/>
      <c r="ACR2473" s="60"/>
      <c r="ACS2473" s="63"/>
      <c r="ACT2473" s="61"/>
      <c r="ACU2473" s="54"/>
      <c r="ACV2473" s="54"/>
      <c r="ACW2473" s="63"/>
      <c r="ACX2473" s="60"/>
      <c r="ACY2473" s="60"/>
      <c r="ACZ2473" s="60"/>
      <c r="ADA2473" s="63"/>
      <c r="ADB2473" s="61"/>
      <c r="ADC2473" s="54"/>
      <c r="ADD2473" s="54"/>
      <c r="ADE2473" s="63"/>
      <c r="ADF2473" s="60"/>
      <c r="ADG2473" s="60"/>
      <c r="ADH2473" s="60"/>
      <c r="ADI2473" s="63"/>
      <c r="ADJ2473" s="61"/>
      <c r="ADK2473" s="54"/>
      <c r="ADL2473" s="54"/>
      <c r="ADM2473" s="63"/>
      <c r="ADN2473" s="60"/>
      <c r="ADO2473" s="60"/>
      <c r="ADP2473" s="60"/>
      <c r="ADQ2473" s="63"/>
      <c r="ADR2473" s="61"/>
      <c r="ADS2473" s="54"/>
      <c r="ADT2473" s="54"/>
      <c r="ADU2473" s="63"/>
      <c r="ADV2473" s="60"/>
      <c r="ADW2473" s="60"/>
      <c r="ADX2473" s="60"/>
      <c r="ADY2473" s="63"/>
      <c r="ADZ2473" s="61"/>
      <c r="AEA2473" s="54"/>
      <c r="AEB2473" s="54"/>
      <c r="AEC2473" s="63"/>
      <c r="AED2473" s="60"/>
      <c r="AEE2473" s="60"/>
      <c r="AEF2473" s="60"/>
      <c r="AEG2473" s="63"/>
      <c r="AEH2473" s="61"/>
      <c r="AEI2473" s="54"/>
      <c r="AEJ2473" s="54"/>
      <c r="AEK2473" s="63"/>
      <c r="AEL2473" s="60"/>
      <c r="AEM2473" s="60"/>
      <c r="AEN2473" s="60"/>
      <c r="AEO2473" s="63"/>
      <c r="AEP2473" s="61"/>
      <c r="AEQ2473" s="54"/>
      <c r="AER2473" s="54"/>
      <c r="AES2473" s="63"/>
      <c r="AET2473" s="60"/>
      <c r="AEU2473" s="60"/>
      <c r="AEV2473" s="60"/>
      <c r="AEW2473" s="63"/>
      <c r="AEX2473" s="61"/>
      <c r="AEY2473" s="54"/>
      <c r="AEZ2473" s="54"/>
      <c r="AFA2473" s="63"/>
      <c r="AFB2473" s="60"/>
      <c r="AFC2473" s="60"/>
      <c r="AFD2473" s="60"/>
      <c r="AFE2473" s="63"/>
      <c r="AFF2473" s="61"/>
      <c r="AFG2473" s="54"/>
      <c r="AFH2473" s="54"/>
      <c r="AFI2473" s="63"/>
      <c r="AFJ2473" s="60"/>
      <c r="AFK2473" s="60"/>
      <c r="AFL2473" s="60"/>
      <c r="AFM2473" s="63"/>
      <c r="AFN2473" s="61"/>
      <c r="AFO2473" s="54"/>
      <c r="AFP2473" s="54"/>
      <c r="AFQ2473" s="63"/>
      <c r="AFR2473" s="60"/>
      <c r="AFS2473" s="60"/>
      <c r="AFT2473" s="60"/>
      <c r="AFU2473" s="63"/>
      <c r="AFV2473" s="61"/>
      <c r="AFW2473" s="54"/>
      <c r="AFX2473" s="54"/>
      <c r="AFY2473" s="63"/>
      <c r="AFZ2473" s="60"/>
      <c r="AGA2473" s="60"/>
      <c r="AGB2473" s="60"/>
      <c r="AGC2473" s="63"/>
      <c r="AGD2473" s="61"/>
      <c r="AGE2473" s="54"/>
      <c r="AGF2473" s="54"/>
      <c r="AGG2473" s="63"/>
      <c r="AGH2473" s="60"/>
      <c r="AGI2473" s="60"/>
      <c r="AGJ2473" s="60"/>
      <c r="AGK2473" s="63"/>
      <c r="AGL2473" s="61"/>
      <c r="AGM2473" s="54"/>
      <c r="AGN2473" s="54"/>
      <c r="AGO2473" s="63"/>
      <c r="AGP2473" s="60"/>
      <c r="AGQ2473" s="60"/>
      <c r="AGR2473" s="60"/>
      <c r="AGS2473" s="63"/>
      <c r="AGT2473" s="61"/>
      <c r="AGU2473" s="54"/>
      <c r="AGV2473" s="54"/>
      <c r="AGW2473" s="63"/>
      <c r="AGX2473" s="60"/>
      <c r="AGY2473" s="60"/>
      <c r="AGZ2473" s="60"/>
      <c r="AHA2473" s="63"/>
      <c r="AHB2473" s="61"/>
      <c r="AHC2473" s="54"/>
      <c r="AHD2473" s="54"/>
      <c r="AHE2473" s="63"/>
      <c r="AHF2473" s="60"/>
      <c r="AHG2473" s="60"/>
      <c r="AHH2473" s="60"/>
      <c r="AHI2473" s="63"/>
      <c r="AHJ2473" s="61"/>
      <c r="AHK2473" s="54"/>
      <c r="AHL2473" s="54"/>
      <c r="AHM2473" s="63"/>
      <c r="AHN2473" s="60"/>
      <c r="AHO2473" s="60"/>
      <c r="AHP2473" s="60"/>
      <c r="AHQ2473" s="63"/>
      <c r="AHR2473" s="61"/>
      <c r="AHS2473" s="54"/>
      <c r="AHT2473" s="54"/>
      <c r="AHU2473" s="63"/>
      <c r="AHV2473" s="60"/>
      <c r="AHW2473" s="60"/>
      <c r="AHX2473" s="60"/>
      <c r="AHY2473" s="63"/>
      <c r="AHZ2473" s="61"/>
      <c r="AIA2473" s="54"/>
      <c r="AIB2473" s="54"/>
      <c r="AIC2473" s="63"/>
      <c r="AID2473" s="60"/>
      <c r="AIE2473" s="60"/>
      <c r="AIF2473" s="60"/>
      <c r="AIG2473" s="63"/>
      <c r="AIH2473" s="61"/>
      <c r="AII2473" s="54"/>
      <c r="AIJ2473" s="54"/>
      <c r="AIK2473" s="63"/>
      <c r="AIL2473" s="60"/>
      <c r="AIM2473" s="60"/>
      <c r="AIN2473" s="60"/>
      <c r="AIO2473" s="63"/>
      <c r="AIP2473" s="61"/>
      <c r="AIQ2473" s="54"/>
      <c r="AIR2473" s="54"/>
      <c r="AIS2473" s="63"/>
      <c r="AIT2473" s="60"/>
      <c r="AIU2473" s="60"/>
      <c r="AIV2473" s="60"/>
      <c r="AIW2473" s="63"/>
      <c r="AIX2473" s="61"/>
      <c r="AIY2473" s="54"/>
      <c r="AIZ2473" s="54"/>
      <c r="AJA2473" s="63"/>
      <c r="AJB2473" s="60"/>
      <c r="AJC2473" s="60"/>
      <c r="AJD2473" s="60"/>
      <c r="AJE2473" s="63"/>
      <c r="AJF2473" s="61"/>
      <c r="AJG2473" s="54"/>
      <c r="AJH2473" s="54"/>
      <c r="AJI2473" s="63"/>
      <c r="AJJ2473" s="60"/>
      <c r="AJK2473" s="60"/>
      <c r="AJL2473" s="60"/>
      <c r="AJM2473" s="63"/>
      <c r="AJN2473" s="61"/>
      <c r="AJO2473" s="54"/>
      <c r="AJP2473" s="54"/>
      <c r="AJQ2473" s="63"/>
      <c r="AJR2473" s="60"/>
      <c r="AJS2473" s="60"/>
      <c r="AJT2473" s="60"/>
      <c r="AJU2473" s="63"/>
      <c r="AJV2473" s="61"/>
      <c r="AJW2473" s="54"/>
      <c r="AJX2473" s="54"/>
      <c r="AJY2473" s="63"/>
      <c r="AJZ2473" s="60"/>
      <c r="AKA2473" s="60"/>
      <c r="AKB2473" s="60"/>
      <c r="AKC2473" s="63"/>
      <c r="AKD2473" s="61"/>
      <c r="AKE2473" s="54"/>
      <c r="AKF2473" s="54"/>
      <c r="AKG2473" s="63"/>
      <c r="AKH2473" s="60"/>
      <c r="AKI2473" s="60"/>
      <c r="AKJ2473" s="60"/>
      <c r="AKK2473" s="63"/>
      <c r="AKL2473" s="61"/>
      <c r="AKM2473" s="54"/>
      <c r="AKN2473" s="54"/>
      <c r="AKO2473" s="63"/>
      <c r="AKP2473" s="60"/>
      <c r="AKQ2473" s="60"/>
      <c r="AKR2473" s="60"/>
      <c r="AKS2473" s="63"/>
      <c r="AKT2473" s="61"/>
      <c r="AKU2473" s="54"/>
      <c r="AKV2473" s="54"/>
      <c r="AKW2473" s="63"/>
      <c r="AKX2473" s="60"/>
      <c r="AKY2473" s="60"/>
      <c r="AKZ2473" s="60"/>
      <c r="ALA2473" s="63"/>
      <c r="ALB2473" s="61"/>
      <c r="ALC2473" s="54"/>
      <c r="ALD2473" s="54"/>
      <c r="ALE2473" s="63"/>
      <c r="ALF2473" s="60"/>
      <c r="ALG2473" s="60"/>
      <c r="ALH2473" s="60"/>
      <c r="ALI2473" s="63"/>
      <c r="ALJ2473" s="61"/>
      <c r="ALK2473" s="54"/>
      <c r="ALL2473" s="54"/>
      <c r="ALM2473" s="63"/>
      <c r="ALN2473" s="60"/>
      <c r="ALO2473" s="60"/>
      <c r="ALP2473" s="60"/>
      <c r="ALQ2473" s="63"/>
      <c r="ALR2473" s="61"/>
      <c r="ALS2473" s="54"/>
      <c r="ALT2473" s="54"/>
      <c r="ALU2473" s="63"/>
      <c r="ALV2473" s="60"/>
      <c r="ALW2473" s="60"/>
      <c r="ALX2473" s="60"/>
      <c r="ALY2473" s="63"/>
      <c r="ALZ2473" s="61"/>
      <c r="AMA2473" s="54"/>
      <c r="AMB2473" s="54"/>
      <c r="AMC2473" s="63"/>
      <c r="AMD2473" s="60"/>
      <c r="AME2473" s="60"/>
      <c r="AMF2473" s="60"/>
      <c r="AMG2473" s="63"/>
      <c r="AMH2473" s="61"/>
      <c r="AMI2473" s="54"/>
      <c r="AMJ2473" s="54"/>
      <c r="AMK2473" s="63"/>
      <c r="AML2473" s="60"/>
      <c r="AMM2473" s="60"/>
      <c r="AMN2473" s="60"/>
      <c r="AMO2473" s="63"/>
      <c r="AMP2473" s="61"/>
      <c r="AMQ2473" s="54"/>
      <c r="AMR2473" s="54"/>
      <c r="AMS2473" s="63"/>
      <c r="AMT2473" s="60"/>
      <c r="AMU2473" s="60"/>
      <c r="AMV2473" s="60"/>
      <c r="AMW2473" s="63"/>
      <c r="AMX2473" s="61"/>
      <c r="AMY2473" s="54"/>
      <c r="AMZ2473" s="54"/>
      <c r="ANA2473" s="63"/>
      <c r="ANB2473" s="60"/>
      <c r="ANC2473" s="60"/>
      <c r="AND2473" s="60"/>
      <c r="ANE2473" s="63"/>
      <c r="ANF2473" s="61"/>
      <c r="ANG2473" s="54"/>
      <c r="ANH2473" s="54"/>
      <c r="ANI2473" s="63"/>
      <c r="ANJ2473" s="60"/>
      <c r="ANK2473" s="60"/>
      <c r="ANL2473" s="60"/>
      <c r="ANM2473" s="63"/>
      <c r="ANN2473" s="61"/>
      <c r="ANO2473" s="54"/>
      <c r="ANP2473" s="54"/>
      <c r="ANQ2473" s="63"/>
      <c r="ANR2473" s="60"/>
      <c r="ANS2473" s="60"/>
      <c r="ANT2473" s="60"/>
      <c r="ANU2473" s="63"/>
      <c r="ANV2473" s="61"/>
      <c r="ANW2473" s="54"/>
      <c r="ANX2473" s="54"/>
      <c r="ANY2473" s="63"/>
      <c r="ANZ2473" s="60"/>
      <c r="AOA2473" s="60"/>
      <c r="AOB2473" s="60"/>
      <c r="AOC2473" s="63"/>
      <c r="AOD2473" s="61"/>
      <c r="AOE2473" s="54"/>
      <c r="AOF2473" s="54"/>
      <c r="AOG2473" s="63"/>
      <c r="AOH2473" s="60"/>
      <c r="AOI2473" s="60"/>
      <c r="AOJ2473" s="60"/>
      <c r="AOK2473" s="63"/>
      <c r="AOL2473" s="61"/>
      <c r="AOM2473" s="54"/>
      <c r="AON2473" s="54"/>
      <c r="AOO2473" s="63"/>
      <c r="AOP2473" s="60"/>
      <c r="AOQ2473" s="60"/>
      <c r="AOR2473" s="60"/>
      <c r="AOS2473" s="63"/>
      <c r="AOT2473" s="61"/>
      <c r="AOU2473" s="54"/>
      <c r="AOV2473" s="54"/>
      <c r="AOW2473" s="63"/>
      <c r="AOX2473" s="60"/>
      <c r="AOY2473" s="60"/>
      <c r="AOZ2473" s="60"/>
      <c r="APA2473" s="63"/>
      <c r="APB2473" s="61"/>
      <c r="APC2473" s="54"/>
      <c r="APD2473" s="54"/>
      <c r="APE2473" s="63"/>
      <c r="APF2473" s="60"/>
      <c r="APG2473" s="60"/>
      <c r="APH2473" s="60"/>
      <c r="API2473" s="63"/>
      <c r="APJ2473" s="61"/>
      <c r="APK2473" s="54"/>
      <c r="APL2473" s="54"/>
      <c r="APM2473" s="63"/>
      <c r="APN2473" s="60"/>
      <c r="APO2473" s="60"/>
      <c r="APP2473" s="60"/>
      <c r="APQ2473" s="63"/>
      <c r="APR2473" s="61"/>
      <c r="APS2473" s="54"/>
      <c r="APT2473" s="54"/>
      <c r="APU2473" s="63"/>
      <c r="APV2473" s="60"/>
      <c r="APW2473" s="60"/>
      <c r="APX2473" s="60"/>
      <c r="APY2473" s="63"/>
      <c r="APZ2473" s="61"/>
      <c r="AQA2473" s="54"/>
      <c r="AQB2473" s="54"/>
      <c r="AQC2473" s="63"/>
      <c r="AQD2473" s="60"/>
      <c r="AQE2473" s="60"/>
      <c r="AQF2473" s="60"/>
      <c r="AQG2473" s="63"/>
      <c r="AQH2473" s="61"/>
      <c r="AQI2473" s="54"/>
      <c r="AQJ2473" s="54"/>
      <c r="AQK2473" s="63"/>
      <c r="AQL2473" s="60"/>
      <c r="AQM2473" s="60"/>
      <c r="AQN2473" s="60"/>
      <c r="AQO2473" s="63"/>
      <c r="AQP2473" s="61"/>
      <c r="AQQ2473" s="54"/>
      <c r="AQR2473" s="54"/>
      <c r="AQS2473" s="63"/>
      <c r="AQT2473" s="60"/>
      <c r="AQU2473" s="60"/>
      <c r="AQV2473" s="60"/>
      <c r="AQW2473" s="63"/>
      <c r="AQX2473" s="61"/>
      <c r="AQY2473" s="54"/>
      <c r="AQZ2473" s="54"/>
      <c r="ARA2473" s="63"/>
      <c r="ARB2473" s="60"/>
      <c r="ARC2473" s="60"/>
      <c r="ARD2473" s="60"/>
      <c r="ARE2473" s="63"/>
      <c r="ARF2473" s="61"/>
      <c r="ARG2473" s="54"/>
      <c r="ARH2473" s="54"/>
      <c r="ARI2473" s="63"/>
      <c r="ARJ2473" s="60"/>
      <c r="ARK2473" s="60"/>
      <c r="ARL2473" s="60"/>
      <c r="ARM2473" s="63"/>
      <c r="ARN2473" s="61"/>
      <c r="ARO2473" s="54"/>
      <c r="ARP2473" s="54"/>
      <c r="ARQ2473" s="63"/>
      <c r="ARR2473" s="60"/>
      <c r="ARS2473" s="60"/>
      <c r="ART2473" s="60"/>
      <c r="ARU2473" s="63"/>
      <c r="ARV2473" s="61"/>
      <c r="ARW2473" s="54"/>
      <c r="ARX2473" s="54"/>
      <c r="ARY2473" s="63"/>
      <c r="ARZ2473" s="60"/>
      <c r="ASA2473" s="60"/>
      <c r="ASB2473" s="60"/>
      <c r="ASC2473" s="63"/>
      <c r="ASD2473" s="61"/>
      <c r="ASE2473" s="54"/>
      <c r="ASF2473" s="54"/>
      <c r="ASG2473" s="63"/>
      <c r="ASH2473" s="60"/>
      <c r="ASI2473" s="60"/>
      <c r="ASJ2473" s="60"/>
      <c r="ASK2473" s="63"/>
      <c r="ASL2473" s="61"/>
      <c r="ASM2473" s="54"/>
      <c r="ASN2473" s="54"/>
      <c r="ASO2473" s="63"/>
      <c r="ASP2473" s="60"/>
      <c r="ASQ2473" s="60"/>
      <c r="ASR2473" s="60"/>
      <c r="ASS2473" s="63"/>
      <c r="AST2473" s="61"/>
      <c r="ASU2473" s="54"/>
      <c r="ASV2473" s="54"/>
      <c r="ASW2473" s="63"/>
      <c r="ASX2473" s="60"/>
      <c r="ASY2473" s="60"/>
      <c r="ASZ2473" s="60"/>
      <c r="ATA2473" s="63"/>
      <c r="ATB2473" s="61"/>
      <c r="ATC2473" s="54"/>
      <c r="ATD2473" s="54"/>
      <c r="ATE2473" s="63"/>
      <c r="ATF2473" s="60"/>
      <c r="ATG2473" s="60"/>
      <c r="ATH2473" s="60"/>
      <c r="ATI2473" s="63"/>
      <c r="ATJ2473" s="61"/>
      <c r="ATK2473" s="54"/>
      <c r="ATL2473" s="54"/>
      <c r="ATM2473" s="63"/>
      <c r="ATN2473" s="60"/>
      <c r="ATO2473" s="60"/>
      <c r="ATP2473" s="60"/>
      <c r="ATQ2473" s="63"/>
      <c r="ATR2473" s="61"/>
      <c r="ATS2473" s="54"/>
      <c r="ATT2473" s="54"/>
      <c r="ATU2473" s="63"/>
      <c r="ATV2473" s="60"/>
      <c r="ATW2473" s="60"/>
      <c r="ATX2473" s="60"/>
      <c r="ATY2473" s="63"/>
      <c r="ATZ2473" s="61"/>
      <c r="AUA2473" s="54"/>
      <c r="AUB2473" s="54"/>
      <c r="AUC2473" s="63"/>
      <c r="AUD2473" s="60"/>
      <c r="AUE2473" s="60"/>
      <c r="AUF2473" s="60"/>
      <c r="AUG2473" s="63"/>
      <c r="AUH2473" s="61"/>
      <c r="AUI2473" s="54"/>
      <c r="AUJ2473" s="54"/>
      <c r="AUK2473" s="63"/>
      <c r="AUL2473" s="60"/>
      <c r="AUM2473" s="60"/>
      <c r="AUN2473" s="60"/>
      <c r="AUO2473" s="63"/>
      <c r="AUP2473" s="61"/>
      <c r="AUQ2473" s="54"/>
      <c r="AUR2473" s="54"/>
      <c r="AUS2473" s="63"/>
      <c r="AUT2473" s="60"/>
      <c r="AUU2473" s="60"/>
      <c r="AUV2473" s="60"/>
      <c r="AUW2473" s="63"/>
      <c r="AUX2473" s="61"/>
      <c r="AUY2473" s="54"/>
      <c r="AUZ2473" s="54"/>
      <c r="AVA2473" s="63"/>
      <c r="AVB2473" s="60"/>
      <c r="AVC2473" s="60"/>
      <c r="AVD2473" s="60"/>
      <c r="AVE2473" s="63"/>
      <c r="AVF2473" s="61"/>
      <c r="AVG2473" s="54"/>
      <c r="AVH2473" s="54"/>
      <c r="AVI2473" s="63"/>
      <c r="AVJ2473" s="60"/>
      <c r="AVK2473" s="60"/>
      <c r="AVL2473" s="60"/>
      <c r="AVM2473" s="63"/>
      <c r="AVN2473" s="61"/>
      <c r="AVO2473" s="54"/>
      <c r="AVP2473" s="54"/>
      <c r="AVQ2473" s="63"/>
      <c r="AVR2473" s="60"/>
      <c r="AVS2473" s="60"/>
      <c r="AVT2473" s="60"/>
      <c r="AVU2473" s="63"/>
      <c r="AVV2473" s="61"/>
      <c r="AVW2473" s="54"/>
      <c r="AVX2473" s="54"/>
      <c r="AVY2473" s="63"/>
      <c r="AVZ2473" s="60"/>
      <c r="AWA2473" s="60"/>
      <c r="AWB2473" s="60"/>
      <c r="AWC2473" s="63"/>
      <c r="AWD2473" s="61"/>
      <c r="AWE2473" s="54"/>
      <c r="AWF2473" s="54"/>
      <c r="AWG2473" s="63"/>
      <c r="AWH2473" s="60"/>
      <c r="AWI2473" s="60"/>
      <c r="AWJ2473" s="60"/>
      <c r="AWK2473" s="63"/>
      <c r="AWL2473" s="61"/>
      <c r="AWM2473" s="54"/>
      <c r="AWN2473" s="54"/>
      <c r="AWO2473" s="63"/>
      <c r="AWP2473" s="60"/>
      <c r="AWQ2473" s="60"/>
      <c r="AWR2473" s="60"/>
      <c r="AWS2473" s="63"/>
      <c r="AWT2473" s="61"/>
      <c r="AWU2473" s="54"/>
      <c r="AWV2473" s="54"/>
      <c r="AWW2473" s="63"/>
      <c r="AWX2473" s="60"/>
      <c r="AWY2473" s="60"/>
      <c r="AWZ2473" s="60"/>
      <c r="AXA2473" s="63"/>
      <c r="AXB2473" s="61"/>
      <c r="AXC2473" s="54"/>
      <c r="AXD2473" s="54"/>
      <c r="AXE2473" s="63"/>
      <c r="AXF2473" s="60"/>
      <c r="AXG2473" s="60"/>
      <c r="AXH2473" s="60"/>
      <c r="AXI2473" s="63"/>
      <c r="AXJ2473" s="61"/>
      <c r="AXK2473" s="54"/>
      <c r="AXL2473" s="54"/>
      <c r="AXM2473" s="63"/>
      <c r="AXN2473" s="60"/>
      <c r="AXO2473" s="60"/>
      <c r="AXP2473" s="60"/>
      <c r="AXQ2473" s="63"/>
      <c r="AXR2473" s="61"/>
      <c r="AXS2473" s="54"/>
      <c r="AXT2473" s="54"/>
      <c r="AXU2473" s="63"/>
      <c r="AXV2473" s="60"/>
      <c r="AXW2473" s="60"/>
      <c r="AXX2473" s="60"/>
      <c r="AXY2473" s="63"/>
      <c r="AXZ2473" s="61"/>
      <c r="AYA2473" s="54"/>
      <c r="AYB2473" s="54"/>
      <c r="AYC2473" s="63"/>
      <c r="AYD2473" s="60"/>
      <c r="AYE2473" s="60"/>
      <c r="AYF2473" s="60"/>
      <c r="AYG2473" s="63"/>
      <c r="AYH2473" s="61"/>
      <c r="AYI2473" s="54"/>
      <c r="AYJ2473" s="54"/>
      <c r="AYK2473" s="63"/>
      <c r="AYL2473" s="60"/>
      <c r="AYM2473" s="60"/>
      <c r="AYN2473" s="60"/>
      <c r="AYO2473" s="63"/>
      <c r="AYP2473" s="61"/>
      <c r="AYQ2473" s="54"/>
      <c r="AYR2473" s="54"/>
      <c r="AYS2473" s="63"/>
      <c r="AYT2473" s="60"/>
      <c r="AYU2473" s="60"/>
      <c r="AYV2473" s="60"/>
      <c r="AYW2473" s="63"/>
      <c r="AYX2473" s="61"/>
      <c r="AYY2473" s="54"/>
      <c r="AYZ2473" s="54"/>
      <c r="AZA2473" s="63"/>
      <c r="AZB2473" s="60"/>
      <c r="AZC2473" s="60"/>
      <c r="AZD2473" s="60"/>
      <c r="AZE2473" s="63"/>
      <c r="AZF2473" s="61"/>
      <c r="AZG2473" s="54"/>
      <c r="AZH2473" s="54"/>
      <c r="AZI2473" s="63"/>
      <c r="AZJ2473" s="60"/>
      <c r="AZK2473" s="60"/>
      <c r="AZL2473" s="60"/>
      <c r="AZM2473" s="63"/>
      <c r="AZN2473" s="61"/>
      <c r="AZO2473" s="54"/>
      <c r="AZP2473" s="54"/>
      <c r="AZQ2473" s="63"/>
      <c r="AZR2473" s="60"/>
      <c r="AZS2473" s="60"/>
      <c r="AZT2473" s="60"/>
      <c r="AZU2473" s="63"/>
      <c r="AZV2473" s="61"/>
      <c r="AZW2473" s="54"/>
      <c r="AZX2473" s="54"/>
      <c r="AZY2473" s="63"/>
      <c r="AZZ2473" s="60"/>
      <c r="BAA2473" s="60"/>
      <c r="BAB2473" s="60"/>
      <c r="BAC2473" s="63"/>
      <c r="BAD2473" s="61"/>
      <c r="BAE2473" s="54"/>
      <c r="BAF2473" s="54"/>
      <c r="BAG2473" s="63"/>
      <c r="BAH2473" s="60"/>
      <c r="BAI2473" s="60"/>
      <c r="BAJ2473" s="60"/>
      <c r="BAK2473" s="63"/>
      <c r="BAL2473" s="61"/>
      <c r="BAM2473" s="54"/>
      <c r="BAN2473" s="54"/>
      <c r="BAO2473" s="63"/>
      <c r="BAP2473" s="60"/>
      <c r="BAQ2473" s="60"/>
      <c r="BAR2473" s="60"/>
      <c r="BAS2473" s="63"/>
      <c r="BAT2473" s="61"/>
      <c r="BAU2473" s="54"/>
      <c r="BAV2473" s="54"/>
      <c r="BAW2473" s="63"/>
      <c r="BAX2473" s="60"/>
      <c r="BAY2473" s="60"/>
      <c r="BAZ2473" s="60"/>
      <c r="BBA2473" s="63"/>
      <c r="BBB2473" s="61"/>
      <c r="BBC2473" s="54"/>
      <c r="BBD2473" s="54"/>
      <c r="BBE2473" s="63"/>
      <c r="BBF2473" s="60"/>
      <c r="BBG2473" s="60"/>
      <c r="BBH2473" s="60"/>
      <c r="BBI2473" s="63"/>
      <c r="BBJ2473" s="61"/>
      <c r="BBK2473" s="54"/>
      <c r="BBL2473" s="54"/>
      <c r="BBM2473" s="63"/>
      <c r="BBN2473" s="60"/>
      <c r="BBO2473" s="60"/>
      <c r="BBP2473" s="60"/>
      <c r="BBQ2473" s="63"/>
      <c r="BBR2473" s="61"/>
      <c r="BBS2473" s="54"/>
      <c r="BBT2473" s="54"/>
      <c r="BBU2473" s="63"/>
      <c r="BBV2473" s="60"/>
      <c r="BBW2473" s="60"/>
      <c r="BBX2473" s="60"/>
      <c r="BBY2473" s="63"/>
      <c r="BBZ2473" s="61"/>
      <c r="BCA2473" s="54"/>
      <c r="BCB2473" s="54"/>
      <c r="BCC2473" s="63"/>
      <c r="BCD2473" s="60"/>
      <c r="BCE2473" s="60"/>
      <c r="BCF2473" s="60"/>
      <c r="BCG2473" s="63"/>
      <c r="BCH2473" s="61"/>
      <c r="BCI2473" s="54"/>
      <c r="BCJ2473" s="54"/>
      <c r="BCK2473" s="63"/>
      <c r="BCL2473" s="60"/>
      <c r="BCM2473" s="60"/>
      <c r="BCN2473" s="60"/>
      <c r="BCO2473" s="63"/>
      <c r="BCP2473" s="61"/>
      <c r="BCQ2473" s="54"/>
      <c r="BCR2473" s="54"/>
      <c r="BCS2473" s="63"/>
      <c r="BCT2473" s="60"/>
      <c r="BCU2473" s="60"/>
      <c r="BCV2473" s="60"/>
      <c r="BCW2473" s="63"/>
      <c r="BCX2473" s="61"/>
      <c r="BCY2473" s="54"/>
      <c r="BCZ2473" s="54"/>
      <c r="BDA2473" s="63"/>
      <c r="BDB2473" s="60"/>
      <c r="BDC2473" s="60"/>
      <c r="BDD2473" s="60"/>
      <c r="BDE2473" s="63"/>
      <c r="BDF2473" s="61"/>
      <c r="BDG2473" s="54"/>
      <c r="BDH2473" s="54"/>
      <c r="BDI2473" s="63"/>
      <c r="BDJ2473" s="60"/>
      <c r="BDK2473" s="60"/>
      <c r="BDL2473" s="60"/>
      <c r="BDM2473" s="63"/>
      <c r="BDN2473" s="61"/>
      <c r="BDO2473" s="54"/>
      <c r="BDP2473" s="54"/>
      <c r="BDQ2473" s="63"/>
      <c r="BDR2473" s="60"/>
      <c r="BDS2473" s="60"/>
      <c r="BDT2473" s="60"/>
      <c r="BDU2473" s="63"/>
      <c r="BDV2473" s="61"/>
      <c r="BDW2473" s="54"/>
      <c r="BDX2473" s="54"/>
      <c r="BDY2473" s="63"/>
      <c r="BDZ2473" s="60"/>
      <c r="BEA2473" s="60"/>
      <c r="BEB2473" s="60"/>
      <c r="BEC2473" s="63"/>
      <c r="BED2473" s="61"/>
      <c r="BEE2473" s="54"/>
      <c r="BEF2473" s="54"/>
      <c r="BEG2473" s="63"/>
      <c r="BEH2473" s="60"/>
      <c r="BEI2473" s="60"/>
      <c r="BEJ2473" s="60"/>
      <c r="BEK2473" s="63"/>
      <c r="BEL2473" s="61"/>
      <c r="BEM2473" s="54"/>
      <c r="BEN2473" s="54"/>
      <c r="BEO2473" s="63"/>
      <c r="BEP2473" s="60"/>
      <c r="BEQ2473" s="60"/>
      <c r="BER2473" s="60"/>
      <c r="BES2473" s="63"/>
      <c r="BET2473" s="61"/>
      <c r="BEU2473" s="54"/>
      <c r="BEV2473" s="54"/>
      <c r="BEW2473" s="63"/>
      <c r="BEX2473" s="60"/>
      <c r="BEY2473" s="60"/>
      <c r="BEZ2473" s="60"/>
      <c r="BFA2473" s="63"/>
      <c r="BFB2473" s="61"/>
      <c r="BFC2473" s="54"/>
      <c r="BFD2473" s="54"/>
      <c r="BFE2473" s="63"/>
      <c r="BFF2473" s="60"/>
      <c r="BFG2473" s="60"/>
      <c r="BFH2473" s="60"/>
      <c r="BFI2473" s="63"/>
      <c r="BFJ2473" s="61"/>
      <c r="BFK2473" s="54"/>
      <c r="BFL2473" s="54"/>
      <c r="BFM2473" s="63"/>
      <c r="BFN2473" s="60"/>
      <c r="BFO2473" s="60"/>
      <c r="BFP2473" s="60"/>
      <c r="BFQ2473" s="63"/>
      <c r="BFR2473" s="61"/>
      <c r="BFS2473" s="54"/>
      <c r="BFT2473" s="54"/>
      <c r="BFU2473" s="63"/>
      <c r="BFV2473" s="60"/>
      <c r="BFW2473" s="60"/>
      <c r="BFX2473" s="60"/>
      <c r="BFY2473" s="63"/>
      <c r="BFZ2473" s="61"/>
      <c r="BGA2473" s="54"/>
      <c r="BGB2473" s="54"/>
      <c r="BGC2473" s="63"/>
      <c r="BGD2473" s="60"/>
      <c r="BGE2473" s="60"/>
      <c r="BGF2473" s="60"/>
      <c r="BGG2473" s="63"/>
      <c r="BGH2473" s="61"/>
      <c r="BGI2473" s="54"/>
      <c r="BGJ2473" s="54"/>
      <c r="BGK2473" s="63"/>
      <c r="BGL2473" s="60"/>
      <c r="BGM2473" s="60"/>
      <c r="BGN2473" s="60"/>
      <c r="BGO2473" s="63"/>
      <c r="BGP2473" s="61"/>
      <c r="BGQ2473" s="54"/>
      <c r="BGR2473" s="54"/>
      <c r="BGS2473" s="63"/>
      <c r="BGT2473" s="60"/>
      <c r="BGU2473" s="60"/>
      <c r="BGV2473" s="60"/>
      <c r="BGW2473" s="63"/>
      <c r="BGX2473" s="61"/>
      <c r="BGY2473" s="54"/>
      <c r="BGZ2473" s="54"/>
      <c r="BHA2473" s="63"/>
      <c r="BHB2473" s="60"/>
      <c r="BHC2473" s="60"/>
      <c r="BHD2473" s="60"/>
      <c r="BHE2473" s="63"/>
      <c r="BHF2473" s="61"/>
      <c r="BHG2473" s="54"/>
      <c r="BHH2473" s="54"/>
      <c r="BHI2473" s="63"/>
      <c r="BHJ2473" s="60"/>
      <c r="BHK2473" s="60"/>
      <c r="BHL2473" s="60"/>
      <c r="BHM2473" s="63"/>
      <c r="BHN2473" s="61"/>
      <c r="BHO2473" s="54"/>
      <c r="BHP2473" s="54"/>
      <c r="BHQ2473" s="63"/>
      <c r="BHR2473" s="60"/>
      <c r="BHS2473" s="60"/>
      <c r="BHT2473" s="60"/>
      <c r="BHU2473" s="63"/>
      <c r="BHV2473" s="61"/>
      <c r="BHW2473" s="54"/>
      <c r="BHX2473" s="54"/>
      <c r="BHY2473" s="63"/>
      <c r="BHZ2473" s="60"/>
      <c r="BIA2473" s="60"/>
      <c r="BIB2473" s="60"/>
      <c r="BIC2473" s="63"/>
      <c r="BID2473" s="61"/>
      <c r="BIE2473" s="54"/>
      <c r="BIF2473" s="54"/>
      <c r="BIG2473" s="63"/>
      <c r="BIH2473" s="60"/>
      <c r="BII2473" s="60"/>
      <c r="BIJ2473" s="60"/>
      <c r="BIK2473" s="63"/>
      <c r="BIL2473" s="61"/>
      <c r="BIM2473" s="54"/>
      <c r="BIN2473" s="54"/>
      <c r="BIO2473" s="63"/>
      <c r="BIP2473" s="60"/>
      <c r="BIQ2473" s="60"/>
      <c r="BIR2473" s="60"/>
      <c r="BIS2473" s="63"/>
      <c r="BIT2473" s="61"/>
      <c r="BIU2473" s="54"/>
      <c r="BIV2473" s="54"/>
      <c r="BIW2473" s="63"/>
      <c r="BIX2473" s="60"/>
      <c r="BIY2473" s="60"/>
      <c r="BIZ2473" s="60"/>
      <c r="BJA2473" s="63"/>
      <c r="BJB2473" s="61"/>
      <c r="BJC2473" s="54"/>
      <c r="BJD2473" s="54"/>
      <c r="BJE2473" s="63"/>
      <c r="BJF2473" s="60"/>
      <c r="BJG2473" s="60"/>
      <c r="BJH2473" s="60"/>
      <c r="BJI2473" s="63"/>
      <c r="BJJ2473" s="61"/>
      <c r="BJK2473" s="54"/>
      <c r="BJL2473" s="54"/>
      <c r="BJM2473" s="63"/>
      <c r="BJN2473" s="60"/>
      <c r="BJO2473" s="60"/>
      <c r="BJP2473" s="60"/>
      <c r="BJQ2473" s="63"/>
      <c r="BJR2473" s="61"/>
      <c r="BJS2473" s="54"/>
      <c r="BJT2473" s="54"/>
      <c r="BJU2473" s="63"/>
      <c r="BJV2473" s="60"/>
      <c r="BJW2473" s="60"/>
      <c r="BJX2473" s="60"/>
      <c r="BJY2473" s="63"/>
      <c r="BJZ2473" s="61"/>
      <c r="BKA2473" s="54"/>
      <c r="BKB2473" s="54"/>
      <c r="BKC2473" s="63"/>
      <c r="BKD2473" s="60"/>
      <c r="BKE2473" s="60"/>
      <c r="BKF2473" s="60"/>
      <c r="BKG2473" s="63"/>
      <c r="BKH2473" s="61"/>
      <c r="BKI2473" s="54"/>
      <c r="BKJ2473" s="54"/>
      <c r="BKK2473" s="63"/>
      <c r="BKL2473" s="60"/>
      <c r="BKM2473" s="60"/>
      <c r="BKN2473" s="60"/>
      <c r="BKO2473" s="63"/>
      <c r="BKP2473" s="61"/>
      <c r="BKQ2473" s="54"/>
      <c r="BKR2473" s="54"/>
      <c r="BKS2473" s="63"/>
      <c r="BKT2473" s="60"/>
      <c r="BKU2473" s="60"/>
      <c r="BKV2473" s="60"/>
      <c r="BKW2473" s="63"/>
      <c r="BKX2473" s="61"/>
      <c r="BKY2473" s="54"/>
      <c r="BKZ2473" s="54"/>
      <c r="BLA2473" s="63"/>
      <c r="BLB2473" s="60"/>
      <c r="BLC2473" s="60"/>
      <c r="BLD2473" s="60"/>
      <c r="BLE2473" s="63"/>
      <c r="BLF2473" s="61"/>
      <c r="BLG2473" s="54"/>
      <c r="BLH2473" s="54"/>
      <c r="BLI2473" s="63"/>
      <c r="BLJ2473" s="60"/>
      <c r="BLK2473" s="60"/>
      <c r="BLL2473" s="60"/>
      <c r="BLM2473" s="63"/>
      <c r="BLN2473" s="61"/>
      <c r="BLO2473" s="54"/>
      <c r="BLP2473" s="54"/>
      <c r="BLQ2473" s="63"/>
      <c r="BLR2473" s="60"/>
      <c r="BLS2473" s="60"/>
      <c r="BLT2473" s="60"/>
      <c r="BLU2473" s="63"/>
      <c r="BLV2473" s="61"/>
      <c r="BLW2473" s="54"/>
      <c r="BLX2473" s="54"/>
      <c r="BLY2473" s="63"/>
      <c r="BLZ2473" s="60"/>
      <c r="BMA2473" s="60"/>
      <c r="BMB2473" s="60"/>
      <c r="BMC2473" s="63"/>
      <c r="BMD2473" s="61"/>
      <c r="BME2473" s="54"/>
      <c r="BMF2473" s="54"/>
      <c r="BMG2473" s="63"/>
      <c r="BMH2473" s="60"/>
      <c r="BMI2473" s="60"/>
      <c r="BMJ2473" s="60"/>
      <c r="BMK2473" s="63"/>
      <c r="BML2473" s="61"/>
      <c r="BMM2473" s="54"/>
      <c r="BMN2473" s="54"/>
      <c r="BMO2473" s="63"/>
      <c r="BMP2473" s="60"/>
      <c r="BMQ2473" s="60"/>
      <c r="BMR2473" s="60"/>
      <c r="BMS2473" s="63"/>
      <c r="BMT2473" s="61"/>
      <c r="BMU2473" s="54"/>
      <c r="BMV2473" s="54"/>
      <c r="BMW2473" s="63"/>
      <c r="BMX2473" s="60"/>
      <c r="BMY2473" s="60"/>
      <c r="BMZ2473" s="60"/>
      <c r="BNA2473" s="63"/>
      <c r="BNB2473" s="61"/>
      <c r="BNC2473" s="54"/>
      <c r="BND2473" s="54"/>
      <c r="BNE2473" s="63"/>
      <c r="BNF2473" s="60"/>
      <c r="BNG2473" s="60"/>
      <c r="BNH2473" s="60"/>
      <c r="BNI2473" s="63"/>
      <c r="BNJ2473" s="61"/>
      <c r="BNK2473" s="54"/>
      <c r="BNL2473" s="54"/>
      <c r="BNM2473" s="63"/>
      <c r="BNN2473" s="60"/>
      <c r="BNO2473" s="60"/>
      <c r="BNP2473" s="60"/>
      <c r="BNQ2473" s="63"/>
      <c r="BNR2473" s="61"/>
      <c r="BNS2473" s="54"/>
      <c r="BNT2473" s="54"/>
      <c r="BNU2473" s="63"/>
      <c r="BNV2473" s="60"/>
      <c r="BNW2473" s="60"/>
      <c r="BNX2473" s="60"/>
      <c r="BNY2473" s="63"/>
      <c r="BNZ2473" s="61"/>
      <c r="BOA2473" s="54"/>
      <c r="BOB2473" s="54"/>
      <c r="BOC2473" s="63"/>
      <c r="BOD2473" s="60"/>
      <c r="BOE2473" s="60"/>
      <c r="BOF2473" s="60"/>
      <c r="BOG2473" s="63"/>
      <c r="BOH2473" s="61"/>
      <c r="BOI2473" s="54"/>
      <c r="BOJ2473" s="54"/>
      <c r="BOK2473" s="63"/>
      <c r="BOL2473" s="60"/>
      <c r="BOM2473" s="60"/>
      <c r="BON2473" s="60"/>
      <c r="BOO2473" s="63"/>
      <c r="BOP2473" s="61"/>
      <c r="BOQ2473" s="54"/>
      <c r="BOR2473" s="54"/>
      <c r="BOS2473" s="63"/>
      <c r="BOT2473" s="60"/>
      <c r="BOU2473" s="60"/>
      <c r="BOV2473" s="60"/>
      <c r="BOW2473" s="63"/>
      <c r="BOX2473" s="61"/>
      <c r="BOY2473" s="54"/>
      <c r="BOZ2473" s="54"/>
      <c r="BPA2473" s="63"/>
      <c r="BPB2473" s="60"/>
      <c r="BPC2473" s="60"/>
      <c r="BPD2473" s="60"/>
      <c r="BPE2473" s="63"/>
      <c r="BPF2473" s="61"/>
      <c r="BPG2473" s="54"/>
      <c r="BPH2473" s="54"/>
      <c r="BPI2473" s="63"/>
      <c r="BPJ2473" s="60"/>
      <c r="BPK2473" s="60"/>
      <c r="BPL2473" s="60"/>
      <c r="BPM2473" s="63"/>
      <c r="BPN2473" s="61"/>
      <c r="BPO2473" s="54"/>
      <c r="BPP2473" s="54"/>
      <c r="BPQ2473" s="63"/>
      <c r="BPR2473" s="60"/>
      <c r="BPS2473" s="60"/>
      <c r="BPT2473" s="60"/>
      <c r="BPU2473" s="63"/>
      <c r="BPV2473" s="61"/>
      <c r="BPW2473" s="54"/>
      <c r="BPX2473" s="54"/>
      <c r="BPY2473" s="63"/>
      <c r="BPZ2473" s="60"/>
      <c r="BQA2473" s="60"/>
      <c r="BQB2473" s="60"/>
      <c r="BQC2473" s="63"/>
      <c r="BQD2473" s="61"/>
      <c r="BQE2473" s="54"/>
      <c r="BQF2473" s="54"/>
      <c r="BQG2473" s="63"/>
      <c r="BQH2473" s="60"/>
      <c r="BQI2473" s="60"/>
      <c r="BQJ2473" s="60"/>
      <c r="BQK2473" s="63"/>
      <c r="BQL2473" s="61"/>
      <c r="BQM2473" s="54"/>
      <c r="BQN2473" s="54"/>
      <c r="BQO2473" s="63"/>
      <c r="BQP2473" s="60"/>
      <c r="BQQ2473" s="60"/>
      <c r="BQR2473" s="60"/>
      <c r="BQS2473" s="63"/>
      <c r="BQT2473" s="61"/>
      <c r="BQU2473" s="54"/>
      <c r="BQV2473" s="54"/>
      <c r="BQW2473" s="63"/>
      <c r="BQX2473" s="60"/>
      <c r="BQY2473" s="60"/>
      <c r="BQZ2473" s="60"/>
      <c r="BRA2473" s="63"/>
      <c r="BRB2473" s="61"/>
      <c r="BRC2473" s="54"/>
      <c r="BRD2473" s="54"/>
      <c r="BRE2473" s="63"/>
      <c r="BRF2473" s="60"/>
      <c r="BRG2473" s="60"/>
      <c r="BRH2473" s="60"/>
      <c r="BRI2473" s="63"/>
      <c r="BRJ2473" s="61"/>
      <c r="BRK2473" s="54"/>
      <c r="BRL2473" s="54"/>
      <c r="BRM2473" s="63"/>
      <c r="BRN2473" s="60"/>
      <c r="BRO2473" s="60"/>
      <c r="BRP2473" s="60"/>
      <c r="BRQ2473" s="63"/>
      <c r="BRR2473" s="61"/>
      <c r="BRS2473" s="54"/>
      <c r="BRT2473" s="54"/>
      <c r="BRU2473" s="63"/>
      <c r="BRV2473" s="60"/>
      <c r="BRW2473" s="60"/>
      <c r="BRX2473" s="60"/>
      <c r="BRY2473" s="63"/>
      <c r="BRZ2473" s="61"/>
      <c r="BSA2473" s="54"/>
      <c r="BSB2473" s="54"/>
      <c r="BSC2473" s="63"/>
      <c r="BSD2473" s="60"/>
      <c r="BSE2473" s="60"/>
      <c r="BSF2473" s="60"/>
      <c r="BSG2473" s="63"/>
      <c r="BSH2473" s="61"/>
      <c r="BSI2473" s="54"/>
      <c r="BSJ2473" s="54"/>
      <c r="BSK2473" s="63"/>
      <c r="BSL2473" s="60"/>
      <c r="BSM2473" s="60"/>
      <c r="BSN2473" s="60"/>
      <c r="BSO2473" s="63"/>
      <c r="BSP2473" s="61"/>
      <c r="BSQ2473" s="54"/>
      <c r="BSR2473" s="54"/>
      <c r="BSS2473" s="63"/>
      <c r="BST2473" s="60"/>
      <c r="BSU2473" s="60"/>
      <c r="BSV2473" s="60"/>
      <c r="BSW2473" s="63"/>
      <c r="BSX2473" s="61"/>
      <c r="BSY2473" s="54"/>
      <c r="BSZ2473" s="54"/>
      <c r="BTA2473" s="63"/>
      <c r="BTB2473" s="60"/>
      <c r="BTC2473" s="60"/>
      <c r="BTD2473" s="60"/>
      <c r="BTE2473" s="63"/>
      <c r="BTF2473" s="61"/>
      <c r="BTG2473" s="54"/>
      <c r="BTH2473" s="54"/>
      <c r="BTI2473" s="63"/>
      <c r="BTJ2473" s="60"/>
      <c r="BTK2473" s="60"/>
      <c r="BTL2473" s="60"/>
      <c r="BTM2473" s="63"/>
      <c r="BTN2473" s="61"/>
      <c r="BTO2473" s="54"/>
      <c r="BTP2473" s="54"/>
      <c r="BTQ2473" s="63"/>
      <c r="BTR2473" s="60"/>
      <c r="BTS2473" s="60"/>
      <c r="BTT2473" s="60"/>
      <c r="BTU2473" s="63"/>
      <c r="BTV2473" s="61"/>
      <c r="BTW2473" s="54"/>
      <c r="BTX2473" s="54"/>
      <c r="BTY2473" s="63"/>
      <c r="BTZ2473" s="60"/>
      <c r="BUA2473" s="60"/>
      <c r="BUB2473" s="60"/>
      <c r="BUC2473" s="63"/>
      <c r="BUD2473" s="61"/>
      <c r="BUE2473" s="54"/>
      <c r="BUF2473" s="54"/>
      <c r="BUG2473" s="63"/>
      <c r="BUH2473" s="60"/>
      <c r="BUI2473" s="60"/>
      <c r="BUJ2473" s="60"/>
      <c r="BUK2473" s="63"/>
      <c r="BUL2473" s="61"/>
      <c r="BUM2473" s="54"/>
      <c r="BUN2473" s="54"/>
      <c r="BUO2473" s="63"/>
      <c r="BUP2473" s="60"/>
      <c r="BUQ2473" s="60"/>
      <c r="BUR2473" s="60"/>
      <c r="BUS2473" s="63"/>
      <c r="BUT2473" s="61"/>
      <c r="BUU2473" s="54"/>
      <c r="BUV2473" s="54"/>
      <c r="BUW2473" s="63"/>
      <c r="BUX2473" s="60"/>
      <c r="BUY2473" s="60"/>
      <c r="BUZ2473" s="60"/>
      <c r="BVA2473" s="63"/>
      <c r="BVB2473" s="61"/>
      <c r="BVC2473" s="54"/>
      <c r="BVD2473" s="54"/>
      <c r="BVE2473" s="63"/>
      <c r="BVF2473" s="60"/>
      <c r="BVG2473" s="60"/>
      <c r="BVH2473" s="60"/>
      <c r="BVI2473" s="63"/>
      <c r="BVJ2473" s="61"/>
      <c r="BVK2473" s="54"/>
      <c r="BVL2473" s="54"/>
      <c r="BVM2473" s="63"/>
      <c r="BVN2473" s="60"/>
      <c r="BVO2473" s="60"/>
      <c r="BVP2473" s="60"/>
      <c r="BVQ2473" s="63"/>
      <c r="BVR2473" s="61"/>
      <c r="BVS2473" s="54"/>
      <c r="BVT2473" s="54"/>
      <c r="BVU2473" s="63"/>
      <c r="BVV2473" s="60"/>
      <c r="BVW2473" s="60"/>
      <c r="BVX2473" s="60"/>
      <c r="BVY2473" s="63"/>
      <c r="BVZ2473" s="61"/>
      <c r="BWA2473" s="54"/>
      <c r="BWB2473" s="54"/>
      <c r="BWC2473" s="63"/>
      <c r="BWD2473" s="60"/>
      <c r="BWE2473" s="60"/>
      <c r="BWF2473" s="60"/>
      <c r="BWG2473" s="63"/>
      <c r="BWH2473" s="61"/>
      <c r="BWI2473" s="54"/>
      <c r="BWJ2473" s="54"/>
      <c r="BWK2473" s="63"/>
      <c r="BWL2473" s="60"/>
      <c r="BWM2473" s="60"/>
      <c r="BWN2473" s="60"/>
      <c r="BWO2473" s="63"/>
      <c r="BWP2473" s="61"/>
      <c r="BWQ2473" s="54"/>
      <c r="BWR2473" s="54"/>
      <c r="BWS2473" s="63"/>
      <c r="BWT2473" s="60"/>
      <c r="BWU2473" s="60"/>
      <c r="BWV2473" s="60"/>
      <c r="BWW2473" s="63"/>
      <c r="BWX2473" s="61"/>
      <c r="BWY2473" s="54"/>
      <c r="BWZ2473" s="54"/>
      <c r="BXA2473" s="63"/>
      <c r="BXB2473" s="60"/>
      <c r="BXC2473" s="60"/>
      <c r="BXD2473" s="60"/>
      <c r="BXE2473" s="63"/>
      <c r="BXF2473" s="61"/>
      <c r="BXG2473" s="54"/>
      <c r="BXH2473" s="54"/>
      <c r="BXI2473" s="63"/>
      <c r="BXJ2473" s="60"/>
      <c r="BXK2473" s="60"/>
      <c r="BXL2473" s="60"/>
      <c r="BXM2473" s="63"/>
      <c r="BXN2473" s="61"/>
      <c r="BXO2473" s="54"/>
      <c r="BXP2473" s="54"/>
      <c r="BXQ2473" s="63"/>
      <c r="BXR2473" s="60"/>
      <c r="BXS2473" s="60"/>
      <c r="BXT2473" s="60"/>
      <c r="BXU2473" s="63"/>
      <c r="BXV2473" s="61"/>
      <c r="BXW2473" s="54"/>
      <c r="BXX2473" s="54"/>
      <c r="BXY2473" s="63"/>
      <c r="BXZ2473" s="60"/>
      <c r="BYA2473" s="60"/>
      <c r="BYB2473" s="60"/>
      <c r="BYC2473" s="63"/>
      <c r="BYD2473" s="61"/>
      <c r="BYE2473" s="54"/>
      <c r="BYF2473" s="54"/>
      <c r="BYG2473" s="63"/>
      <c r="BYH2473" s="60"/>
      <c r="BYI2473" s="60"/>
      <c r="BYJ2473" s="60"/>
      <c r="BYK2473" s="63"/>
      <c r="BYL2473" s="61"/>
      <c r="BYM2473" s="54"/>
      <c r="BYN2473" s="54"/>
      <c r="BYO2473" s="63"/>
      <c r="BYP2473" s="60"/>
      <c r="BYQ2473" s="60"/>
      <c r="BYR2473" s="60"/>
      <c r="BYS2473" s="63"/>
      <c r="BYT2473" s="61"/>
      <c r="BYU2473" s="54"/>
      <c r="BYV2473" s="54"/>
      <c r="BYW2473" s="63"/>
      <c r="BYX2473" s="60"/>
      <c r="BYY2473" s="60"/>
      <c r="BYZ2473" s="60"/>
      <c r="BZA2473" s="63"/>
      <c r="BZB2473" s="61"/>
      <c r="BZC2473" s="54"/>
      <c r="BZD2473" s="54"/>
      <c r="BZE2473" s="63"/>
      <c r="BZF2473" s="60"/>
      <c r="BZG2473" s="60"/>
      <c r="BZH2473" s="60"/>
      <c r="BZI2473" s="63"/>
      <c r="BZJ2473" s="61"/>
      <c r="BZK2473" s="54"/>
      <c r="BZL2473" s="54"/>
      <c r="BZM2473" s="63"/>
      <c r="BZN2473" s="60"/>
      <c r="BZO2473" s="60"/>
      <c r="BZP2473" s="60"/>
      <c r="BZQ2473" s="63"/>
      <c r="BZR2473" s="61"/>
      <c r="BZS2473" s="54"/>
      <c r="BZT2473" s="54"/>
      <c r="BZU2473" s="63"/>
      <c r="BZV2473" s="60"/>
      <c r="BZW2473" s="60"/>
      <c r="BZX2473" s="60"/>
      <c r="BZY2473" s="63"/>
      <c r="BZZ2473" s="61"/>
      <c r="CAA2473" s="54"/>
      <c r="CAB2473" s="54"/>
      <c r="CAC2473" s="63"/>
      <c r="CAD2473" s="60"/>
      <c r="CAE2473" s="60"/>
      <c r="CAF2473" s="60"/>
      <c r="CAG2473" s="63"/>
      <c r="CAH2473" s="61"/>
      <c r="CAI2473" s="54"/>
      <c r="CAJ2473" s="54"/>
      <c r="CAK2473" s="63"/>
      <c r="CAL2473" s="60"/>
      <c r="CAM2473" s="60"/>
      <c r="CAN2473" s="60"/>
      <c r="CAO2473" s="63"/>
      <c r="CAP2473" s="61"/>
      <c r="CAQ2473" s="54"/>
      <c r="CAR2473" s="54"/>
      <c r="CAS2473" s="63"/>
      <c r="CAT2473" s="60"/>
      <c r="CAU2473" s="60"/>
      <c r="CAV2473" s="60"/>
      <c r="CAW2473" s="63"/>
      <c r="CAX2473" s="61"/>
      <c r="CAY2473" s="54"/>
      <c r="CAZ2473" s="54"/>
      <c r="CBA2473" s="63"/>
      <c r="CBB2473" s="60"/>
      <c r="CBC2473" s="60"/>
      <c r="CBD2473" s="60"/>
      <c r="CBE2473" s="63"/>
      <c r="CBF2473" s="61"/>
      <c r="CBG2473" s="54"/>
      <c r="CBH2473" s="54"/>
      <c r="CBI2473" s="63"/>
      <c r="CBJ2473" s="60"/>
      <c r="CBK2473" s="60"/>
      <c r="CBL2473" s="60"/>
      <c r="CBM2473" s="63"/>
      <c r="CBN2473" s="61"/>
      <c r="CBO2473" s="54"/>
      <c r="CBP2473" s="54"/>
      <c r="CBQ2473" s="63"/>
      <c r="CBR2473" s="60"/>
      <c r="CBS2473" s="60"/>
      <c r="CBT2473" s="60"/>
      <c r="CBU2473" s="63"/>
      <c r="CBV2473" s="61"/>
      <c r="CBW2473" s="54"/>
      <c r="CBX2473" s="54"/>
      <c r="CBY2473" s="63"/>
      <c r="CBZ2473" s="60"/>
      <c r="CCA2473" s="60"/>
      <c r="CCB2473" s="60"/>
      <c r="CCC2473" s="63"/>
      <c r="CCD2473" s="61"/>
      <c r="CCE2473" s="54"/>
      <c r="CCF2473" s="54"/>
      <c r="CCG2473" s="63"/>
      <c r="CCH2473" s="60"/>
      <c r="CCI2473" s="60"/>
      <c r="CCJ2473" s="60"/>
      <c r="CCK2473" s="63"/>
      <c r="CCL2473" s="61"/>
      <c r="CCM2473" s="54"/>
      <c r="CCN2473" s="54"/>
      <c r="CCO2473" s="63"/>
      <c r="CCP2473" s="60"/>
      <c r="CCQ2473" s="60"/>
      <c r="CCR2473" s="60"/>
      <c r="CCS2473" s="63"/>
      <c r="CCT2473" s="61"/>
      <c r="CCU2473" s="54"/>
      <c r="CCV2473" s="54"/>
      <c r="CCW2473" s="63"/>
      <c r="CCX2473" s="60"/>
      <c r="CCY2473" s="60"/>
      <c r="CCZ2473" s="60"/>
      <c r="CDA2473" s="63"/>
      <c r="CDB2473" s="61"/>
      <c r="CDC2473" s="54"/>
      <c r="CDD2473" s="54"/>
      <c r="CDE2473" s="63"/>
      <c r="CDF2473" s="60"/>
      <c r="CDG2473" s="60"/>
      <c r="CDH2473" s="60"/>
      <c r="CDI2473" s="63"/>
      <c r="CDJ2473" s="61"/>
      <c r="CDK2473" s="54"/>
      <c r="CDL2473" s="54"/>
      <c r="CDM2473" s="63"/>
      <c r="CDN2473" s="60"/>
      <c r="CDO2473" s="60"/>
      <c r="CDP2473" s="60"/>
      <c r="CDQ2473" s="63"/>
      <c r="CDR2473" s="61"/>
      <c r="CDS2473" s="54"/>
      <c r="CDT2473" s="54"/>
      <c r="CDU2473" s="63"/>
      <c r="CDV2473" s="60"/>
      <c r="CDW2473" s="60"/>
      <c r="CDX2473" s="60"/>
      <c r="CDY2473" s="63"/>
      <c r="CDZ2473" s="61"/>
      <c r="CEA2473" s="54"/>
      <c r="CEB2473" s="54"/>
      <c r="CEC2473" s="63"/>
      <c r="CED2473" s="60"/>
      <c r="CEE2473" s="60"/>
      <c r="CEF2473" s="60"/>
      <c r="CEG2473" s="63"/>
      <c r="CEH2473" s="61"/>
      <c r="CEI2473" s="54"/>
      <c r="CEJ2473" s="54"/>
      <c r="CEK2473" s="63"/>
      <c r="CEL2473" s="60"/>
      <c r="CEM2473" s="60"/>
      <c r="CEN2473" s="60"/>
      <c r="CEO2473" s="63"/>
      <c r="CEP2473" s="61"/>
      <c r="CEQ2473" s="54"/>
      <c r="CER2473" s="54"/>
      <c r="CES2473" s="63"/>
      <c r="CET2473" s="60"/>
      <c r="CEU2473" s="60"/>
      <c r="CEV2473" s="60"/>
      <c r="CEW2473" s="63"/>
      <c r="CEX2473" s="61"/>
      <c r="CEY2473" s="54"/>
      <c r="CEZ2473" s="54"/>
      <c r="CFA2473" s="63"/>
      <c r="CFB2473" s="60"/>
      <c r="CFC2473" s="60"/>
      <c r="CFD2473" s="60"/>
      <c r="CFE2473" s="63"/>
      <c r="CFF2473" s="61"/>
      <c r="CFG2473" s="54"/>
      <c r="CFH2473" s="54"/>
      <c r="CFI2473" s="63"/>
      <c r="CFJ2473" s="60"/>
      <c r="CFK2473" s="60"/>
      <c r="CFL2473" s="60"/>
      <c r="CFM2473" s="63"/>
      <c r="CFN2473" s="61"/>
      <c r="CFO2473" s="54"/>
      <c r="CFP2473" s="54"/>
      <c r="CFQ2473" s="63"/>
      <c r="CFR2473" s="60"/>
      <c r="CFS2473" s="60"/>
      <c r="CFT2473" s="60"/>
      <c r="CFU2473" s="63"/>
      <c r="CFV2473" s="61"/>
      <c r="CFW2473" s="54"/>
      <c r="CFX2473" s="54"/>
      <c r="CFY2473" s="63"/>
      <c r="CFZ2473" s="60"/>
      <c r="CGA2473" s="60"/>
      <c r="CGB2473" s="60"/>
      <c r="CGC2473" s="63"/>
      <c r="CGD2473" s="61"/>
      <c r="CGE2473" s="54"/>
      <c r="CGF2473" s="54"/>
      <c r="CGG2473" s="63"/>
      <c r="CGH2473" s="60"/>
      <c r="CGI2473" s="60"/>
      <c r="CGJ2473" s="60"/>
      <c r="CGK2473" s="63"/>
      <c r="CGL2473" s="61"/>
      <c r="CGM2473" s="54"/>
      <c r="CGN2473" s="54"/>
      <c r="CGO2473" s="63"/>
      <c r="CGP2473" s="60"/>
      <c r="CGQ2473" s="60"/>
      <c r="CGR2473" s="60"/>
      <c r="CGS2473" s="63"/>
      <c r="CGT2473" s="61"/>
      <c r="CGU2473" s="54"/>
      <c r="CGV2473" s="54"/>
      <c r="CGW2473" s="63"/>
      <c r="CGX2473" s="60"/>
      <c r="CGY2473" s="60"/>
      <c r="CGZ2473" s="60"/>
      <c r="CHA2473" s="63"/>
      <c r="CHB2473" s="61"/>
      <c r="CHC2473" s="54"/>
      <c r="CHD2473" s="54"/>
      <c r="CHE2473" s="63"/>
      <c r="CHF2473" s="60"/>
      <c r="CHG2473" s="60"/>
      <c r="CHH2473" s="60"/>
      <c r="CHI2473" s="63"/>
      <c r="CHJ2473" s="61"/>
      <c r="CHK2473" s="54"/>
      <c r="CHL2473" s="54"/>
      <c r="CHM2473" s="63"/>
      <c r="CHN2473" s="60"/>
      <c r="CHO2473" s="60"/>
      <c r="CHP2473" s="60"/>
      <c r="CHQ2473" s="63"/>
      <c r="CHR2473" s="61"/>
      <c r="CHS2473" s="54"/>
      <c r="CHT2473" s="54"/>
      <c r="CHU2473" s="63"/>
      <c r="CHV2473" s="60"/>
      <c r="CHW2473" s="60"/>
      <c r="CHX2473" s="60"/>
      <c r="CHY2473" s="63"/>
      <c r="CHZ2473" s="61"/>
      <c r="CIA2473" s="54"/>
      <c r="CIB2473" s="54"/>
      <c r="CIC2473" s="63"/>
      <c r="CID2473" s="60"/>
      <c r="CIE2473" s="60"/>
      <c r="CIF2473" s="60"/>
      <c r="CIG2473" s="63"/>
      <c r="CIH2473" s="61"/>
      <c r="CII2473" s="54"/>
      <c r="CIJ2473" s="54"/>
      <c r="CIK2473" s="63"/>
      <c r="CIL2473" s="60"/>
      <c r="CIM2473" s="60"/>
      <c r="CIN2473" s="60"/>
      <c r="CIO2473" s="63"/>
      <c r="CIP2473" s="61"/>
      <c r="CIQ2473" s="54"/>
      <c r="CIR2473" s="54"/>
      <c r="CIS2473" s="63"/>
      <c r="CIT2473" s="60"/>
      <c r="CIU2473" s="60"/>
      <c r="CIV2473" s="60"/>
      <c r="CIW2473" s="63"/>
      <c r="CIX2473" s="61"/>
      <c r="CIY2473" s="54"/>
      <c r="CIZ2473" s="54"/>
      <c r="CJA2473" s="63"/>
      <c r="CJB2473" s="60"/>
      <c r="CJC2473" s="60"/>
      <c r="CJD2473" s="60"/>
      <c r="CJE2473" s="63"/>
      <c r="CJF2473" s="61"/>
      <c r="CJG2473" s="54"/>
      <c r="CJH2473" s="54"/>
      <c r="CJI2473" s="63"/>
      <c r="CJJ2473" s="60"/>
      <c r="CJK2473" s="60"/>
      <c r="CJL2473" s="60"/>
      <c r="CJM2473" s="63"/>
      <c r="CJN2473" s="61"/>
      <c r="CJO2473" s="54"/>
      <c r="CJP2473" s="54"/>
      <c r="CJQ2473" s="63"/>
      <c r="CJR2473" s="60"/>
      <c r="CJS2473" s="60"/>
      <c r="CJT2473" s="60"/>
      <c r="CJU2473" s="63"/>
      <c r="CJV2473" s="61"/>
      <c r="CJW2473" s="54"/>
      <c r="CJX2473" s="54"/>
      <c r="CJY2473" s="63"/>
      <c r="CJZ2473" s="60"/>
      <c r="CKA2473" s="60"/>
      <c r="CKB2473" s="60"/>
      <c r="CKC2473" s="63"/>
      <c r="CKD2473" s="61"/>
      <c r="CKE2473" s="54"/>
      <c r="CKF2473" s="54"/>
      <c r="CKG2473" s="63"/>
      <c r="CKH2473" s="60"/>
      <c r="CKI2473" s="60"/>
      <c r="CKJ2473" s="60"/>
      <c r="CKK2473" s="63"/>
      <c r="CKL2473" s="61"/>
      <c r="CKM2473" s="54"/>
      <c r="CKN2473" s="54"/>
      <c r="CKO2473" s="63"/>
      <c r="CKP2473" s="60"/>
      <c r="CKQ2473" s="60"/>
      <c r="CKR2473" s="60"/>
      <c r="CKS2473" s="63"/>
      <c r="CKT2473" s="61"/>
      <c r="CKU2473" s="54"/>
      <c r="CKV2473" s="54"/>
      <c r="CKW2473" s="63"/>
      <c r="CKX2473" s="60"/>
      <c r="CKY2473" s="60"/>
      <c r="CKZ2473" s="60"/>
      <c r="CLA2473" s="63"/>
      <c r="CLB2473" s="61"/>
      <c r="CLC2473" s="54"/>
      <c r="CLD2473" s="54"/>
      <c r="CLE2473" s="63"/>
      <c r="CLF2473" s="60"/>
      <c r="CLG2473" s="60"/>
      <c r="CLH2473" s="60"/>
      <c r="CLI2473" s="63"/>
      <c r="CLJ2473" s="61"/>
      <c r="CLK2473" s="54"/>
      <c r="CLL2473" s="54"/>
      <c r="CLM2473" s="63"/>
      <c r="CLN2473" s="60"/>
      <c r="CLO2473" s="60"/>
      <c r="CLP2473" s="60"/>
      <c r="CLQ2473" s="63"/>
      <c r="CLR2473" s="61"/>
      <c r="CLS2473" s="54"/>
      <c r="CLT2473" s="54"/>
      <c r="CLU2473" s="63"/>
      <c r="CLV2473" s="60"/>
      <c r="CLW2473" s="60"/>
      <c r="CLX2473" s="60"/>
      <c r="CLY2473" s="63"/>
      <c r="CLZ2473" s="61"/>
      <c r="CMA2473" s="54"/>
      <c r="CMB2473" s="54"/>
      <c r="CMC2473" s="63"/>
      <c r="CMD2473" s="60"/>
      <c r="CME2473" s="60"/>
      <c r="CMF2473" s="60"/>
      <c r="CMG2473" s="63"/>
      <c r="CMH2473" s="61"/>
      <c r="CMI2473" s="54"/>
      <c r="CMJ2473" s="54"/>
      <c r="CMK2473" s="63"/>
      <c r="CML2473" s="60"/>
      <c r="CMM2473" s="60"/>
      <c r="CMN2473" s="60"/>
      <c r="CMO2473" s="63"/>
      <c r="CMP2473" s="61"/>
      <c r="CMQ2473" s="54"/>
      <c r="CMR2473" s="54"/>
      <c r="CMS2473" s="63"/>
      <c r="CMT2473" s="60"/>
      <c r="CMU2473" s="60"/>
      <c r="CMV2473" s="60"/>
      <c r="CMW2473" s="63"/>
      <c r="CMX2473" s="61"/>
      <c r="CMY2473" s="54"/>
      <c r="CMZ2473" s="54"/>
      <c r="CNA2473" s="63"/>
      <c r="CNB2473" s="60"/>
      <c r="CNC2473" s="60"/>
      <c r="CND2473" s="60"/>
      <c r="CNE2473" s="63"/>
      <c r="CNF2473" s="61"/>
      <c r="CNG2473" s="54"/>
      <c r="CNH2473" s="54"/>
      <c r="CNI2473" s="63"/>
      <c r="CNJ2473" s="60"/>
      <c r="CNK2473" s="60"/>
      <c r="CNL2473" s="60"/>
      <c r="CNM2473" s="63"/>
      <c r="CNN2473" s="61"/>
      <c r="CNO2473" s="54"/>
      <c r="CNP2473" s="54"/>
      <c r="CNQ2473" s="63"/>
      <c r="CNR2473" s="60"/>
      <c r="CNS2473" s="60"/>
      <c r="CNT2473" s="60"/>
      <c r="CNU2473" s="63"/>
      <c r="CNV2473" s="61"/>
      <c r="CNW2473" s="54"/>
      <c r="CNX2473" s="54"/>
      <c r="CNY2473" s="63"/>
      <c r="CNZ2473" s="60"/>
      <c r="COA2473" s="60"/>
      <c r="COB2473" s="60"/>
      <c r="COC2473" s="63"/>
      <c r="COD2473" s="61"/>
      <c r="COE2473" s="54"/>
      <c r="COF2473" s="54"/>
      <c r="COG2473" s="63"/>
      <c r="COH2473" s="60"/>
      <c r="COI2473" s="60"/>
      <c r="COJ2473" s="60"/>
      <c r="COK2473" s="63"/>
      <c r="COL2473" s="61"/>
      <c r="COM2473" s="54"/>
      <c r="CON2473" s="54"/>
      <c r="COO2473" s="63"/>
      <c r="COP2473" s="60"/>
      <c r="COQ2473" s="60"/>
      <c r="COR2473" s="60"/>
      <c r="COS2473" s="63"/>
      <c r="COT2473" s="61"/>
      <c r="COU2473" s="54"/>
      <c r="COV2473" s="54"/>
      <c r="COW2473" s="63"/>
      <c r="COX2473" s="60"/>
      <c r="COY2473" s="60"/>
      <c r="COZ2473" s="60"/>
      <c r="CPA2473" s="63"/>
      <c r="CPB2473" s="61"/>
      <c r="CPC2473" s="54"/>
      <c r="CPD2473" s="54"/>
      <c r="CPE2473" s="63"/>
      <c r="CPF2473" s="60"/>
      <c r="CPG2473" s="60"/>
      <c r="CPH2473" s="60"/>
      <c r="CPI2473" s="63"/>
      <c r="CPJ2473" s="61"/>
      <c r="CPK2473" s="54"/>
      <c r="CPL2473" s="54"/>
      <c r="CPM2473" s="63"/>
      <c r="CPN2473" s="60"/>
      <c r="CPO2473" s="60"/>
      <c r="CPP2473" s="60"/>
      <c r="CPQ2473" s="63"/>
      <c r="CPR2473" s="61"/>
      <c r="CPS2473" s="54"/>
      <c r="CPT2473" s="54"/>
      <c r="CPU2473" s="63"/>
      <c r="CPV2473" s="60"/>
      <c r="CPW2473" s="60"/>
      <c r="CPX2473" s="60"/>
      <c r="CPY2473" s="63"/>
      <c r="CPZ2473" s="61"/>
      <c r="CQA2473" s="54"/>
      <c r="CQB2473" s="54"/>
      <c r="CQC2473" s="63"/>
      <c r="CQD2473" s="60"/>
      <c r="CQE2473" s="60"/>
      <c r="CQF2473" s="60"/>
      <c r="CQG2473" s="63"/>
      <c r="CQH2473" s="61"/>
      <c r="CQI2473" s="54"/>
      <c r="CQJ2473" s="54"/>
      <c r="CQK2473" s="63"/>
      <c r="CQL2473" s="60"/>
      <c r="CQM2473" s="60"/>
      <c r="CQN2473" s="60"/>
      <c r="CQO2473" s="63"/>
      <c r="CQP2473" s="61"/>
      <c r="CQQ2473" s="54"/>
      <c r="CQR2473" s="54"/>
      <c r="CQS2473" s="63"/>
      <c r="CQT2473" s="60"/>
      <c r="CQU2473" s="60"/>
      <c r="CQV2473" s="60"/>
      <c r="CQW2473" s="63"/>
      <c r="CQX2473" s="61"/>
      <c r="CQY2473" s="54"/>
      <c r="CQZ2473" s="54"/>
      <c r="CRA2473" s="63"/>
      <c r="CRB2473" s="60"/>
      <c r="CRC2473" s="60"/>
      <c r="CRD2473" s="60"/>
      <c r="CRE2473" s="63"/>
      <c r="CRF2473" s="61"/>
      <c r="CRG2473" s="54"/>
      <c r="CRH2473" s="54"/>
      <c r="CRI2473" s="63"/>
      <c r="CRJ2473" s="60"/>
      <c r="CRK2473" s="60"/>
      <c r="CRL2473" s="60"/>
      <c r="CRM2473" s="63"/>
      <c r="CRN2473" s="61"/>
      <c r="CRO2473" s="54"/>
      <c r="CRP2473" s="54"/>
      <c r="CRQ2473" s="63"/>
      <c r="CRR2473" s="60"/>
      <c r="CRS2473" s="60"/>
      <c r="CRT2473" s="60"/>
      <c r="CRU2473" s="63"/>
      <c r="CRV2473" s="61"/>
      <c r="CRW2473" s="54"/>
      <c r="CRX2473" s="54"/>
      <c r="CRY2473" s="63"/>
      <c r="CRZ2473" s="60"/>
      <c r="CSA2473" s="60"/>
      <c r="CSB2473" s="60"/>
      <c r="CSC2473" s="63"/>
      <c r="CSD2473" s="61"/>
      <c r="CSE2473" s="54"/>
      <c r="CSF2473" s="54"/>
      <c r="CSG2473" s="63"/>
      <c r="CSH2473" s="60"/>
      <c r="CSI2473" s="60"/>
      <c r="CSJ2473" s="60"/>
      <c r="CSK2473" s="63"/>
      <c r="CSL2473" s="61"/>
      <c r="CSM2473" s="54"/>
      <c r="CSN2473" s="54"/>
      <c r="CSO2473" s="63"/>
      <c r="CSP2473" s="60"/>
      <c r="CSQ2473" s="60"/>
      <c r="CSR2473" s="60"/>
      <c r="CSS2473" s="63"/>
      <c r="CST2473" s="61"/>
      <c r="CSU2473" s="54"/>
      <c r="CSV2473" s="54"/>
      <c r="CSW2473" s="63"/>
      <c r="CSX2473" s="60"/>
      <c r="CSY2473" s="60"/>
      <c r="CSZ2473" s="60"/>
      <c r="CTA2473" s="63"/>
      <c r="CTB2473" s="61"/>
      <c r="CTC2473" s="54"/>
      <c r="CTD2473" s="54"/>
      <c r="CTE2473" s="63"/>
      <c r="CTF2473" s="60"/>
      <c r="CTG2473" s="60"/>
      <c r="CTH2473" s="60"/>
      <c r="CTI2473" s="63"/>
      <c r="CTJ2473" s="61"/>
      <c r="CTK2473" s="54"/>
      <c r="CTL2473" s="54"/>
      <c r="CTM2473" s="63"/>
      <c r="CTN2473" s="60"/>
      <c r="CTO2473" s="60"/>
      <c r="CTP2473" s="60"/>
      <c r="CTQ2473" s="63"/>
      <c r="CTR2473" s="61"/>
      <c r="CTS2473" s="54"/>
      <c r="CTT2473" s="54"/>
      <c r="CTU2473" s="63"/>
      <c r="CTV2473" s="60"/>
      <c r="CTW2473" s="60"/>
      <c r="CTX2473" s="60"/>
      <c r="CTY2473" s="63"/>
      <c r="CTZ2473" s="61"/>
      <c r="CUA2473" s="54"/>
      <c r="CUB2473" s="54"/>
      <c r="CUC2473" s="63"/>
      <c r="CUD2473" s="60"/>
      <c r="CUE2473" s="60"/>
      <c r="CUF2473" s="60"/>
      <c r="CUG2473" s="63"/>
      <c r="CUH2473" s="61"/>
      <c r="CUI2473" s="54"/>
      <c r="CUJ2473" s="54"/>
      <c r="CUK2473" s="63"/>
      <c r="CUL2473" s="60"/>
      <c r="CUM2473" s="60"/>
      <c r="CUN2473" s="60"/>
      <c r="CUO2473" s="63"/>
      <c r="CUP2473" s="61"/>
      <c r="CUQ2473" s="54"/>
      <c r="CUR2473" s="54"/>
      <c r="CUS2473" s="63"/>
      <c r="CUT2473" s="60"/>
      <c r="CUU2473" s="60"/>
      <c r="CUV2473" s="60"/>
      <c r="CUW2473" s="63"/>
      <c r="CUX2473" s="61"/>
      <c r="CUY2473" s="54"/>
      <c r="CUZ2473" s="54"/>
      <c r="CVA2473" s="63"/>
      <c r="CVB2473" s="60"/>
      <c r="CVC2473" s="60"/>
      <c r="CVD2473" s="60"/>
      <c r="CVE2473" s="63"/>
      <c r="CVF2473" s="61"/>
      <c r="CVG2473" s="54"/>
      <c r="CVH2473" s="54"/>
      <c r="CVI2473" s="63"/>
      <c r="CVJ2473" s="60"/>
      <c r="CVK2473" s="60"/>
      <c r="CVL2473" s="60"/>
      <c r="CVM2473" s="63"/>
      <c r="CVN2473" s="61"/>
      <c r="CVO2473" s="54"/>
      <c r="CVP2473" s="54"/>
      <c r="CVQ2473" s="63"/>
      <c r="CVR2473" s="60"/>
      <c r="CVS2473" s="60"/>
      <c r="CVT2473" s="60"/>
      <c r="CVU2473" s="63"/>
      <c r="CVV2473" s="61"/>
      <c r="CVW2473" s="54"/>
      <c r="CVX2473" s="54"/>
      <c r="CVY2473" s="63"/>
      <c r="CVZ2473" s="60"/>
      <c r="CWA2473" s="60"/>
      <c r="CWB2473" s="60"/>
      <c r="CWC2473" s="63"/>
      <c r="CWD2473" s="61"/>
      <c r="CWE2473" s="54"/>
      <c r="CWF2473" s="54"/>
      <c r="CWG2473" s="63"/>
      <c r="CWH2473" s="60"/>
      <c r="CWI2473" s="60"/>
      <c r="CWJ2473" s="60"/>
      <c r="CWK2473" s="63"/>
      <c r="CWL2473" s="61"/>
      <c r="CWM2473" s="54"/>
      <c r="CWN2473" s="54"/>
      <c r="CWO2473" s="63"/>
      <c r="CWP2473" s="60"/>
      <c r="CWQ2473" s="60"/>
      <c r="CWR2473" s="60"/>
      <c r="CWS2473" s="63"/>
      <c r="CWT2473" s="61"/>
      <c r="CWU2473" s="54"/>
      <c r="CWV2473" s="54"/>
      <c r="CWW2473" s="63"/>
      <c r="CWX2473" s="60"/>
      <c r="CWY2473" s="60"/>
      <c r="CWZ2473" s="60"/>
      <c r="CXA2473" s="63"/>
      <c r="CXB2473" s="61"/>
      <c r="CXC2473" s="54"/>
      <c r="CXD2473" s="54"/>
      <c r="CXE2473" s="63"/>
      <c r="CXF2473" s="60"/>
      <c r="CXG2473" s="60"/>
      <c r="CXH2473" s="60"/>
      <c r="CXI2473" s="63"/>
      <c r="CXJ2473" s="61"/>
      <c r="CXK2473" s="54"/>
      <c r="CXL2473" s="54"/>
      <c r="CXM2473" s="63"/>
      <c r="CXN2473" s="60"/>
      <c r="CXO2473" s="60"/>
      <c r="CXP2473" s="60"/>
      <c r="CXQ2473" s="63"/>
      <c r="CXR2473" s="61"/>
      <c r="CXS2473" s="54"/>
      <c r="CXT2473" s="54"/>
      <c r="CXU2473" s="63"/>
      <c r="CXV2473" s="60"/>
      <c r="CXW2473" s="60"/>
      <c r="CXX2473" s="60"/>
      <c r="CXY2473" s="63"/>
      <c r="CXZ2473" s="61"/>
      <c r="CYA2473" s="54"/>
      <c r="CYB2473" s="54"/>
      <c r="CYC2473" s="63"/>
      <c r="CYD2473" s="60"/>
      <c r="CYE2473" s="60"/>
      <c r="CYF2473" s="60"/>
      <c r="CYG2473" s="63"/>
      <c r="CYH2473" s="61"/>
      <c r="CYI2473" s="54"/>
      <c r="CYJ2473" s="54"/>
      <c r="CYK2473" s="63"/>
      <c r="CYL2473" s="60"/>
      <c r="CYM2473" s="60"/>
      <c r="CYN2473" s="60"/>
      <c r="CYO2473" s="63"/>
      <c r="CYP2473" s="61"/>
      <c r="CYQ2473" s="54"/>
      <c r="CYR2473" s="54"/>
      <c r="CYS2473" s="63"/>
      <c r="CYT2473" s="60"/>
      <c r="CYU2473" s="60"/>
      <c r="CYV2473" s="60"/>
      <c r="CYW2473" s="63"/>
      <c r="CYX2473" s="61"/>
      <c r="CYY2473" s="54"/>
      <c r="CYZ2473" s="54"/>
      <c r="CZA2473" s="63"/>
      <c r="CZB2473" s="60"/>
      <c r="CZC2473" s="60"/>
      <c r="CZD2473" s="60"/>
      <c r="CZE2473" s="63"/>
      <c r="CZF2473" s="61"/>
      <c r="CZG2473" s="54"/>
      <c r="CZH2473" s="54"/>
      <c r="CZI2473" s="63"/>
      <c r="CZJ2473" s="60"/>
      <c r="CZK2473" s="60"/>
      <c r="CZL2473" s="60"/>
      <c r="CZM2473" s="63"/>
      <c r="CZN2473" s="61"/>
      <c r="CZO2473" s="54"/>
      <c r="CZP2473" s="54"/>
      <c r="CZQ2473" s="63"/>
      <c r="CZR2473" s="60"/>
      <c r="CZS2473" s="60"/>
      <c r="CZT2473" s="60"/>
      <c r="CZU2473" s="63"/>
      <c r="CZV2473" s="61"/>
      <c r="CZW2473" s="54"/>
      <c r="CZX2473" s="54"/>
      <c r="CZY2473" s="63"/>
      <c r="CZZ2473" s="60"/>
      <c r="DAA2473" s="60"/>
      <c r="DAB2473" s="60"/>
      <c r="DAC2473" s="63"/>
      <c r="DAD2473" s="61"/>
      <c r="DAE2473" s="54"/>
      <c r="DAF2473" s="54"/>
      <c r="DAG2473" s="63"/>
      <c r="DAH2473" s="60"/>
      <c r="DAI2473" s="60"/>
      <c r="DAJ2473" s="60"/>
      <c r="DAK2473" s="63"/>
      <c r="DAL2473" s="61"/>
      <c r="DAM2473" s="54"/>
      <c r="DAN2473" s="54"/>
      <c r="DAO2473" s="63"/>
      <c r="DAP2473" s="60"/>
      <c r="DAQ2473" s="60"/>
      <c r="DAR2473" s="60"/>
      <c r="DAS2473" s="63"/>
      <c r="DAT2473" s="61"/>
      <c r="DAU2473" s="54"/>
      <c r="DAV2473" s="54"/>
      <c r="DAW2473" s="63"/>
      <c r="DAX2473" s="60"/>
      <c r="DAY2473" s="60"/>
      <c r="DAZ2473" s="60"/>
      <c r="DBA2473" s="63"/>
      <c r="DBB2473" s="61"/>
      <c r="DBC2473" s="54"/>
      <c r="DBD2473" s="54"/>
      <c r="DBE2473" s="63"/>
      <c r="DBF2473" s="60"/>
      <c r="DBG2473" s="60"/>
      <c r="DBH2473" s="60"/>
      <c r="DBI2473" s="63"/>
      <c r="DBJ2473" s="61"/>
      <c r="DBK2473" s="54"/>
      <c r="DBL2473" s="54"/>
      <c r="DBM2473" s="63"/>
      <c r="DBN2473" s="60"/>
      <c r="DBO2473" s="60"/>
      <c r="DBP2473" s="60"/>
      <c r="DBQ2473" s="63"/>
      <c r="DBR2473" s="61"/>
      <c r="DBS2473" s="54"/>
      <c r="DBT2473" s="54"/>
      <c r="DBU2473" s="63"/>
      <c r="DBV2473" s="60"/>
      <c r="DBW2473" s="60"/>
      <c r="DBX2473" s="60"/>
      <c r="DBY2473" s="63"/>
      <c r="DBZ2473" s="61"/>
      <c r="DCA2473" s="54"/>
      <c r="DCB2473" s="54"/>
      <c r="DCC2473" s="63"/>
      <c r="DCD2473" s="60"/>
      <c r="DCE2473" s="60"/>
      <c r="DCF2473" s="60"/>
      <c r="DCG2473" s="63"/>
      <c r="DCH2473" s="61"/>
      <c r="DCI2473" s="54"/>
      <c r="DCJ2473" s="54"/>
      <c r="DCK2473" s="63"/>
      <c r="DCL2473" s="60"/>
      <c r="DCM2473" s="60"/>
      <c r="DCN2473" s="60"/>
      <c r="DCO2473" s="63"/>
      <c r="DCP2473" s="61"/>
      <c r="DCQ2473" s="54"/>
      <c r="DCR2473" s="54"/>
      <c r="DCS2473" s="63"/>
      <c r="DCT2473" s="60"/>
      <c r="DCU2473" s="60"/>
      <c r="DCV2473" s="60"/>
      <c r="DCW2473" s="63"/>
      <c r="DCX2473" s="61"/>
      <c r="DCY2473" s="54"/>
      <c r="DCZ2473" s="54"/>
      <c r="DDA2473" s="63"/>
      <c r="DDB2473" s="60"/>
      <c r="DDC2473" s="60"/>
      <c r="DDD2473" s="60"/>
      <c r="DDE2473" s="63"/>
      <c r="DDF2473" s="61"/>
      <c r="DDG2473" s="54"/>
      <c r="DDH2473" s="54"/>
      <c r="DDI2473" s="63"/>
      <c r="DDJ2473" s="60"/>
      <c r="DDK2473" s="60"/>
      <c r="DDL2473" s="60"/>
      <c r="DDM2473" s="63"/>
      <c r="DDN2473" s="61"/>
      <c r="DDO2473" s="54"/>
      <c r="DDP2473" s="54"/>
      <c r="DDQ2473" s="63"/>
      <c r="DDR2473" s="60"/>
      <c r="DDS2473" s="60"/>
      <c r="DDT2473" s="60"/>
      <c r="DDU2473" s="63"/>
      <c r="DDV2473" s="61"/>
      <c r="DDW2473" s="54"/>
      <c r="DDX2473" s="54"/>
      <c r="DDY2473" s="63"/>
      <c r="DDZ2473" s="60"/>
      <c r="DEA2473" s="60"/>
      <c r="DEB2473" s="60"/>
      <c r="DEC2473" s="63"/>
      <c r="DED2473" s="61"/>
      <c r="DEE2473" s="54"/>
      <c r="DEF2473" s="54"/>
      <c r="DEG2473" s="63"/>
      <c r="DEH2473" s="60"/>
      <c r="DEI2473" s="60"/>
      <c r="DEJ2473" s="60"/>
      <c r="DEK2473" s="63"/>
      <c r="DEL2473" s="61"/>
      <c r="DEM2473" s="54"/>
      <c r="DEN2473" s="54"/>
      <c r="DEO2473" s="63"/>
      <c r="DEP2473" s="60"/>
      <c r="DEQ2473" s="60"/>
      <c r="DER2473" s="60"/>
      <c r="DES2473" s="63"/>
      <c r="DET2473" s="61"/>
      <c r="DEU2473" s="54"/>
      <c r="DEV2473" s="54"/>
      <c r="DEW2473" s="63"/>
      <c r="DEX2473" s="60"/>
      <c r="DEY2473" s="60"/>
      <c r="DEZ2473" s="60"/>
      <c r="DFA2473" s="63"/>
      <c r="DFB2473" s="61"/>
      <c r="DFC2473" s="54"/>
      <c r="DFD2473" s="54"/>
      <c r="DFE2473" s="63"/>
      <c r="DFF2473" s="60"/>
      <c r="DFG2473" s="60"/>
      <c r="DFH2473" s="60"/>
      <c r="DFI2473" s="63"/>
      <c r="DFJ2473" s="61"/>
      <c r="DFK2473" s="54"/>
      <c r="DFL2473" s="54"/>
      <c r="DFM2473" s="63"/>
      <c r="DFN2473" s="60"/>
      <c r="DFO2473" s="60"/>
      <c r="DFP2473" s="60"/>
      <c r="DFQ2473" s="63"/>
      <c r="DFR2473" s="61"/>
      <c r="DFS2473" s="54"/>
      <c r="DFT2473" s="54"/>
      <c r="DFU2473" s="63"/>
      <c r="DFV2473" s="60"/>
      <c r="DFW2473" s="60"/>
      <c r="DFX2473" s="60"/>
      <c r="DFY2473" s="63"/>
      <c r="DFZ2473" s="61"/>
      <c r="DGA2473" s="54"/>
      <c r="DGB2473" s="54"/>
      <c r="DGC2473" s="63"/>
      <c r="DGD2473" s="60"/>
      <c r="DGE2473" s="60"/>
      <c r="DGF2473" s="60"/>
      <c r="DGG2473" s="63"/>
      <c r="DGH2473" s="61"/>
      <c r="DGI2473" s="54"/>
      <c r="DGJ2473" s="54"/>
      <c r="DGK2473" s="63"/>
      <c r="DGL2473" s="60"/>
      <c r="DGM2473" s="60"/>
      <c r="DGN2473" s="60"/>
      <c r="DGO2473" s="63"/>
      <c r="DGP2473" s="61"/>
      <c r="DGQ2473" s="54"/>
      <c r="DGR2473" s="54"/>
      <c r="DGS2473" s="63"/>
      <c r="DGT2473" s="60"/>
      <c r="DGU2473" s="60"/>
      <c r="DGV2473" s="60"/>
      <c r="DGW2473" s="63"/>
      <c r="DGX2473" s="61"/>
      <c r="DGY2473" s="54"/>
      <c r="DGZ2473" s="54"/>
      <c r="DHA2473" s="63"/>
      <c r="DHB2473" s="60"/>
      <c r="DHC2473" s="60"/>
      <c r="DHD2473" s="60"/>
      <c r="DHE2473" s="63"/>
      <c r="DHF2473" s="61"/>
      <c r="DHG2473" s="54"/>
      <c r="DHH2473" s="54"/>
      <c r="DHI2473" s="63"/>
      <c r="DHJ2473" s="60"/>
      <c r="DHK2473" s="60"/>
      <c r="DHL2473" s="60"/>
      <c r="DHM2473" s="63"/>
      <c r="DHN2473" s="61"/>
      <c r="DHO2473" s="54"/>
      <c r="DHP2473" s="54"/>
      <c r="DHQ2473" s="63"/>
      <c r="DHR2473" s="60"/>
      <c r="DHS2473" s="60"/>
      <c r="DHT2473" s="60"/>
      <c r="DHU2473" s="63"/>
      <c r="DHV2473" s="61"/>
      <c r="DHW2473" s="54"/>
      <c r="DHX2473" s="54"/>
      <c r="DHY2473" s="63"/>
      <c r="DHZ2473" s="60"/>
      <c r="DIA2473" s="60"/>
      <c r="DIB2473" s="60"/>
      <c r="DIC2473" s="63"/>
      <c r="DID2473" s="61"/>
      <c r="DIE2473" s="54"/>
      <c r="DIF2473" s="54"/>
      <c r="DIG2473" s="63"/>
      <c r="DIH2473" s="60"/>
      <c r="DII2473" s="60"/>
      <c r="DIJ2473" s="60"/>
      <c r="DIK2473" s="63"/>
      <c r="DIL2473" s="61"/>
      <c r="DIM2473" s="54"/>
      <c r="DIN2473" s="54"/>
      <c r="DIO2473" s="63"/>
      <c r="DIP2473" s="60"/>
      <c r="DIQ2473" s="60"/>
      <c r="DIR2473" s="60"/>
      <c r="DIS2473" s="63"/>
      <c r="DIT2473" s="61"/>
      <c r="DIU2473" s="54"/>
      <c r="DIV2473" s="54"/>
      <c r="DIW2473" s="63"/>
      <c r="DIX2473" s="60"/>
      <c r="DIY2473" s="60"/>
      <c r="DIZ2473" s="60"/>
      <c r="DJA2473" s="63"/>
      <c r="DJB2473" s="61"/>
      <c r="DJC2473" s="54"/>
      <c r="DJD2473" s="54"/>
      <c r="DJE2473" s="63"/>
      <c r="DJF2473" s="60"/>
      <c r="DJG2473" s="60"/>
      <c r="DJH2473" s="60"/>
      <c r="DJI2473" s="63"/>
      <c r="DJJ2473" s="61"/>
      <c r="DJK2473" s="54"/>
      <c r="DJL2473" s="54"/>
      <c r="DJM2473" s="63"/>
      <c r="DJN2473" s="60"/>
      <c r="DJO2473" s="60"/>
      <c r="DJP2473" s="60"/>
      <c r="DJQ2473" s="63"/>
      <c r="DJR2473" s="61"/>
      <c r="DJS2473" s="54"/>
      <c r="DJT2473" s="54"/>
      <c r="DJU2473" s="63"/>
      <c r="DJV2473" s="60"/>
      <c r="DJW2473" s="60"/>
      <c r="DJX2473" s="60"/>
      <c r="DJY2473" s="63"/>
      <c r="DJZ2473" s="61"/>
      <c r="DKA2473" s="54"/>
      <c r="DKB2473" s="54"/>
      <c r="DKC2473" s="63"/>
      <c r="DKD2473" s="60"/>
      <c r="DKE2473" s="60"/>
      <c r="DKF2473" s="60"/>
      <c r="DKG2473" s="63"/>
      <c r="DKH2473" s="61"/>
      <c r="DKI2473" s="54"/>
      <c r="DKJ2473" s="54"/>
      <c r="DKK2473" s="63"/>
      <c r="DKL2473" s="60"/>
      <c r="DKM2473" s="60"/>
      <c r="DKN2473" s="60"/>
      <c r="DKO2473" s="63"/>
      <c r="DKP2473" s="61"/>
      <c r="DKQ2473" s="54"/>
      <c r="DKR2473" s="54"/>
      <c r="DKS2473" s="63"/>
      <c r="DKT2473" s="60"/>
      <c r="DKU2473" s="60"/>
      <c r="DKV2473" s="60"/>
      <c r="DKW2473" s="63"/>
      <c r="DKX2473" s="61"/>
      <c r="DKY2473" s="54"/>
      <c r="DKZ2473" s="54"/>
      <c r="DLA2473" s="63"/>
      <c r="DLB2473" s="60"/>
      <c r="DLC2473" s="60"/>
      <c r="DLD2473" s="60"/>
      <c r="DLE2473" s="63"/>
      <c r="DLF2473" s="61"/>
      <c r="DLG2473" s="54"/>
      <c r="DLH2473" s="54"/>
      <c r="DLI2473" s="63"/>
      <c r="DLJ2473" s="60"/>
      <c r="DLK2473" s="60"/>
      <c r="DLL2473" s="60"/>
      <c r="DLM2473" s="63"/>
      <c r="DLN2473" s="61"/>
      <c r="DLO2473" s="54"/>
      <c r="DLP2473" s="54"/>
      <c r="DLQ2473" s="63"/>
      <c r="DLR2473" s="60"/>
      <c r="DLS2473" s="60"/>
      <c r="DLT2473" s="60"/>
      <c r="DLU2473" s="63"/>
      <c r="DLV2473" s="61"/>
      <c r="DLW2473" s="54"/>
      <c r="DLX2473" s="54"/>
      <c r="DLY2473" s="63"/>
      <c r="DLZ2473" s="60"/>
      <c r="DMA2473" s="60"/>
      <c r="DMB2473" s="60"/>
      <c r="DMC2473" s="63"/>
      <c r="DMD2473" s="61"/>
      <c r="DME2473" s="54"/>
      <c r="DMF2473" s="54"/>
      <c r="DMG2473" s="63"/>
      <c r="DMH2473" s="60"/>
      <c r="DMI2473" s="60"/>
      <c r="DMJ2473" s="60"/>
      <c r="DMK2473" s="63"/>
      <c r="DML2473" s="61"/>
      <c r="DMM2473" s="54"/>
      <c r="DMN2473" s="54"/>
      <c r="DMO2473" s="63"/>
      <c r="DMP2473" s="60"/>
      <c r="DMQ2473" s="60"/>
      <c r="DMR2473" s="60"/>
      <c r="DMS2473" s="63"/>
      <c r="DMT2473" s="61"/>
      <c r="DMU2473" s="54"/>
      <c r="DMV2473" s="54"/>
      <c r="DMW2473" s="63"/>
      <c r="DMX2473" s="60"/>
      <c r="DMY2473" s="60"/>
      <c r="DMZ2473" s="60"/>
      <c r="DNA2473" s="63"/>
      <c r="DNB2473" s="61"/>
      <c r="DNC2473" s="54"/>
      <c r="DND2473" s="54"/>
      <c r="DNE2473" s="63"/>
      <c r="DNF2473" s="60"/>
      <c r="DNG2473" s="60"/>
      <c r="DNH2473" s="60"/>
      <c r="DNI2473" s="63"/>
      <c r="DNJ2473" s="61"/>
      <c r="DNK2473" s="54"/>
      <c r="DNL2473" s="54"/>
      <c r="DNM2473" s="63"/>
      <c r="DNN2473" s="60"/>
      <c r="DNO2473" s="60"/>
      <c r="DNP2473" s="60"/>
      <c r="DNQ2473" s="63"/>
      <c r="DNR2473" s="61"/>
      <c r="DNS2473" s="54"/>
      <c r="DNT2473" s="54"/>
      <c r="DNU2473" s="63"/>
      <c r="DNV2473" s="60"/>
      <c r="DNW2473" s="60"/>
      <c r="DNX2473" s="60"/>
      <c r="DNY2473" s="63"/>
      <c r="DNZ2473" s="61"/>
      <c r="DOA2473" s="54"/>
      <c r="DOB2473" s="54"/>
      <c r="DOC2473" s="63"/>
      <c r="DOD2473" s="60"/>
      <c r="DOE2473" s="60"/>
      <c r="DOF2473" s="60"/>
      <c r="DOG2473" s="63"/>
      <c r="DOH2473" s="61"/>
      <c r="DOI2473" s="54"/>
      <c r="DOJ2473" s="54"/>
      <c r="DOK2473" s="63"/>
      <c r="DOL2473" s="60"/>
      <c r="DOM2473" s="60"/>
      <c r="DON2473" s="60"/>
      <c r="DOO2473" s="63"/>
      <c r="DOP2473" s="61"/>
      <c r="DOQ2473" s="54"/>
      <c r="DOR2473" s="54"/>
      <c r="DOS2473" s="63"/>
      <c r="DOT2473" s="60"/>
      <c r="DOU2473" s="60"/>
      <c r="DOV2473" s="60"/>
      <c r="DOW2473" s="63"/>
      <c r="DOX2473" s="61"/>
      <c r="DOY2473" s="54"/>
      <c r="DOZ2473" s="54"/>
      <c r="DPA2473" s="63"/>
      <c r="DPB2473" s="60"/>
      <c r="DPC2473" s="60"/>
      <c r="DPD2473" s="60"/>
      <c r="DPE2473" s="63"/>
      <c r="DPF2473" s="61"/>
      <c r="DPG2473" s="54"/>
      <c r="DPH2473" s="54"/>
      <c r="DPI2473" s="63"/>
      <c r="DPJ2473" s="60"/>
      <c r="DPK2473" s="60"/>
      <c r="DPL2473" s="60"/>
      <c r="DPM2473" s="63"/>
      <c r="DPN2473" s="61"/>
      <c r="DPO2473" s="54"/>
      <c r="DPP2473" s="54"/>
      <c r="DPQ2473" s="63"/>
      <c r="DPR2473" s="60"/>
      <c r="DPS2473" s="60"/>
      <c r="DPT2473" s="60"/>
      <c r="DPU2473" s="63"/>
      <c r="DPV2473" s="61"/>
      <c r="DPW2473" s="54"/>
      <c r="DPX2473" s="54"/>
      <c r="DPY2473" s="63"/>
      <c r="DPZ2473" s="60"/>
      <c r="DQA2473" s="60"/>
      <c r="DQB2473" s="60"/>
      <c r="DQC2473" s="63"/>
      <c r="DQD2473" s="61"/>
      <c r="DQE2473" s="54"/>
      <c r="DQF2473" s="54"/>
      <c r="DQG2473" s="63"/>
      <c r="DQH2473" s="60"/>
      <c r="DQI2473" s="60"/>
      <c r="DQJ2473" s="60"/>
      <c r="DQK2473" s="63"/>
      <c r="DQL2473" s="61"/>
      <c r="DQM2473" s="54"/>
      <c r="DQN2473" s="54"/>
      <c r="DQO2473" s="63"/>
      <c r="DQP2473" s="60"/>
      <c r="DQQ2473" s="60"/>
      <c r="DQR2473" s="60"/>
      <c r="DQS2473" s="63"/>
      <c r="DQT2473" s="61"/>
      <c r="DQU2473" s="54"/>
      <c r="DQV2473" s="54"/>
      <c r="DQW2473" s="63"/>
      <c r="DQX2473" s="60"/>
      <c r="DQY2473" s="60"/>
      <c r="DQZ2473" s="60"/>
      <c r="DRA2473" s="63"/>
      <c r="DRB2473" s="61"/>
      <c r="DRC2473" s="54"/>
      <c r="DRD2473" s="54"/>
      <c r="DRE2473" s="63"/>
      <c r="DRF2473" s="60"/>
      <c r="DRG2473" s="60"/>
      <c r="DRH2473" s="60"/>
      <c r="DRI2473" s="63"/>
      <c r="DRJ2473" s="61"/>
      <c r="DRK2473" s="54"/>
      <c r="DRL2473" s="54"/>
      <c r="DRM2473" s="63"/>
      <c r="DRN2473" s="60"/>
      <c r="DRO2473" s="60"/>
      <c r="DRP2473" s="60"/>
      <c r="DRQ2473" s="63"/>
      <c r="DRR2473" s="61"/>
      <c r="DRS2473" s="54"/>
      <c r="DRT2473" s="54"/>
      <c r="DRU2473" s="63"/>
      <c r="DRV2473" s="60"/>
      <c r="DRW2473" s="60"/>
      <c r="DRX2473" s="60"/>
      <c r="DRY2473" s="63"/>
      <c r="DRZ2473" s="61"/>
      <c r="DSA2473" s="54"/>
      <c r="DSB2473" s="54"/>
      <c r="DSC2473" s="63"/>
      <c r="DSD2473" s="60"/>
      <c r="DSE2473" s="60"/>
      <c r="DSF2473" s="60"/>
      <c r="DSG2473" s="63"/>
      <c r="DSH2473" s="61"/>
      <c r="DSI2473" s="54"/>
      <c r="DSJ2473" s="54"/>
      <c r="DSK2473" s="63"/>
      <c r="DSL2473" s="60"/>
      <c r="DSM2473" s="60"/>
      <c r="DSN2473" s="60"/>
      <c r="DSO2473" s="63"/>
      <c r="DSP2473" s="61"/>
      <c r="DSQ2473" s="54"/>
      <c r="DSR2473" s="54"/>
      <c r="DSS2473" s="63"/>
      <c r="DST2473" s="60"/>
      <c r="DSU2473" s="60"/>
      <c r="DSV2473" s="60"/>
      <c r="DSW2473" s="63"/>
      <c r="DSX2473" s="61"/>
      <c r="DSY2473" s="54"/>
      <c r="DSZ2473" s="54"/>
      <c r="DTA2473" s="63"/>
      <c r="DTB2473" s="60"/>
      <c r="DTC2473" s="60"/>
      <c r="DTD2473" s="60"/>
      <c r="DTE2473" s="63"/>
      <c r="DTF2473" s="61"/>
      <c r="DTG2473" s="54"/>
      <c r="DTH2473" s="54"/>
      <c r="DTI2473" s="63"/>
      <c r="DTJ2473" s="60"/>
      <c r="DTK2473" s="60"/>
      <c r="DTL2473" s="60"/>
      <c r="DTM2473" s="63"/>
      <c r="DTN2473" s="61"/>
      <c r="DTO2473" s="54"/>
      <c r="DTP2473" s="54"/>
      <c r="DTQ2473" s="63"/>
      <c r="DTR2473" s="60"/>
      <c r="DTS2473" s="60"/>
      <c r="DTT2473" s="60"/>
      <c r="DTU2473" s="63"/>
      <c r="DTV2473" s="61"/>
      <c r="DTW2473" s="54"/>
      <c r="DTX2473" s="54"/>
      <c r="DTY2473" s="63"/>
      <c r="DTZ2473" s="60"/>
      <c r="DUA2473" s="60"/>
      <c r="DUB2473" s="60"/>
      <c r="DUC2473" s="63"/>
      <c r="DUD2473" s="61"/>
      <c r="DUE2473" s="54"/>
      <c r="DUF2473" s="54"/>
      <c r="DUG2473" s="63"/>
      <c r="DUH2473" s="60"/>
      <c r="DUI2473" s="60"/>
      <c r="DUJ2473" s="60"/>
      <c r="DUK2473" s="63"/>
      <c r="DUL2473" s="61"/>
      <c r="DUM2473" s="54"/>
      <c r="DUN2473" s="54"/>
      <c r="DUO2473" s="63"/>
      <c r="DUP2473" s="60"/>
      <c r="DUQ2473" s="60"/>
      <c r="DUR2473" s="60"/>
      <c r="DUS2473" s="63"/>
      <c r="DUT2473" s="61"/>
      <c r="DUU2473" s="54"/>
      <c r="DUV2473" s="54"/>
      <c r="DUW2473" s="63"/>
      <c r="DUX2473" s="60"/>
      <c r="DUY2473" s="60"/>
      <c r="DUZ2473" s="60"/>
      <c r="DVA2473" s="63"/>
      <c r="DVB2473" s="61"/>
      <c r="DVC2473" s="54"/>
      <c r="DVD2473" s="54"/>
      <c r="DVE2473" s="63"/>
      <c r="DVF2473" s="60"/>
      <c r="DVG2473" s="60"/>
      <c r="DVH2473" s="60"/>
      <c r="DVI2473" s="63"/>
      <c r="DVJ2473" s="61"/>
      <c r="DVK2473" s="54"/>
      <c r="DVL2473" s="54"/>
      <c r="DVM2473" s="63"/>
      <c r="DVN2473" s="60"/>
      <c r="DVO2473" s="60"/>
      <c r="DVP2473" s="60"/>
      <c r="DVQ2473" s="63"/>
      <c r="DVR2473" s="61"/>
      <c r="DVS2473" s="54"/>
      <c r="DVT2473" s="54"/>
      <c r="DVU2473" s="63"/>
      <c r="DVV2473" s="60"/>
      <c r="DVW2473" s="60"/>
      <c r="DVX2473" s="60"/>
      <c r="DVY2473" s="63"/>
      <c r="DVZ2473" s="61"/>
      <c r="DWA2473" s="54"/>
      <c r="DWB2473" s="54"/>
      <c r="DWC2473" s="63"/>
      <c r="DWD2473" s="60"/>
      <c r="DWE2473" s="60"/>
      <c r="DWF2473" s="60"/>
      <c r="DWG2473" s="63"/>
      <c r="DWH2473" s="61"/>
      <c r="DWI2473" s="54"/>
      <c r="DWJ2473" s="54"/>
      <c r="DWK2473" s="63"/>
      <c r="DWL2473" s="60"/>
      <c r="DWM2473" s="60"/>
      <c r="DWN2473" s="60"/>
      <c r="DWO2473" s="63"/>
      <c r="DWP2473" s="61"/>
      <c r="DWQ2473" s="54"/>
      <c r="DWR2473" s="54"/>
      <c r="DWS2473" s="63"/>
      <c r="DWT2473" s="60"/>
      <c r="DWU2473" s="60"/>
      <c r="DWV2473" s="60"/>
      <c r="DWW2473" s="63"/>
      <c r="DWX2473" s="61"/>
      <c r="DWY2473" s="54"/>
      <c r="DWZ2473" s="54"/>
      <c r="DXA2473" s="63"/>
      <c r="DXB2473" s="60"/>
      <c r="DXC2473" s="60"/>
      <c r="DXD2473" s="60"/>
      <c r="DXE2473" s="63"/>
      <c r="DXF2473" s="61"/>
      <c r="DXG2473" s="54"/>
      <c r="DXH2473" s="54"/>
      <c r="DXI2473" s="63"/>
      <c r="DXJ2473" s="60"/>
      <c r="DXK2473" s="60"/>
      <c r="DXL2473" s="60"/>
      <c r="DXM2473" s="63"/>
      <c r="DXN2473" s="61"/>
      <c r="DXO2473" s="54"/>
      <c r="DXP2473" s="54"/>
      <c r="DXQ2473" s="63"/>
      <c r="DXR2473" s="60"/>
      <c r="DXS2473" s="60"/>
      <c r="DXT2473" s="60"/>
      <c r="DXU2473" s="63"/>
      <c r="DXV2473" s="61"/>
      <c r="DXW2473" s="54"/>
      <c r="DXX2473" s="54"/>
      <c r="DXY2473" s="63"/>
      <c r="DXZ2473" s="60"/>
      <c r="DYA2473" s="60"/>
      <c r="DYB2473" s="60"/>
      <c r="DYC2473" s="63"/>
      <c r="DYD2473" s="61"/>
      <c r="DYE2473" s="54"/>
      <c r="DYF2473" s="54"/>
      <c r="DYG2473" s="63"/>
      <c r="DYH2473" s="60"/>
      <c r="DYI2473" s="60"/>
      <c r="DYJ2473" s="60"/>
      <c r="DYK2473" s="63"/>
      <c r="DYL2473" s="61"/>
      <c r="DYM2473" s="54"/>
      <c r="DYN2473" s="54"/>
      <c r="DYO2473" s="63"/>
      <c r="DYP2473" s="60"/>
      <c r="DYQ2473" s="60"/>
      <c r="DYR2473" s="60"/>
      <c r="DYS2473" s="63"/>
      <c r="DYT2473" s="61"/>
      <c r="DYU2473" s="54"/>
      <c r="DYV2473" s="54"/>
      <c r="DYW2473" s="63"/>
      <c r="DYX2473" s="60"/>
      <c r="DYY2473" s="60"/>
      <c r="DYZ2473" s="60"/>
      <c r="DZA2473" s="63"/>
      <c r="DZB2473" s="61"/>
      <c r="DZC2473" s="54"/>
      <c r="DZD2473" s="54"/>
      <c r="DZE2473" s="63"/>
      <c r="DZF2473" s="60"/>
      <c r="DZG2473" s="60"/>
      <c r="DZH2473" s="60"/>
      <c r="DZI2473" s="63"/>
      <c r="DZJ2473" s="61"/>
      <c r="DZK2473" s="54"/>
      <c r="DZL2473" s="54"/>
      <c r="DZM2473" s="63"/>
      <c r="DZN2473" s="60"/>
      <c r="DZO2473" s="60"/>
      <c r="DZP2473" s="60"/>
      <c r="DZQ2473" s="63"/>
      <c r="DZR2473" s="61"/>
      <c r="DZS2473" s="54"/>
      <c r="DZT2473" s="54"/>
      <c r="DZU2473" s="63"/>
      <c r="DZV2473" s="60"/>
      <c r="DZW2473" s="60"/>
      <c r="DZX2473" s="60"/>
      <c r="DZY2473" s="63"/>
      <c r="DZZ2473" s="61"/>
      <c r="EAA2473" s="54"/>
      <c r="EAB2473" s="54"/>
      <c r="EAC2473" s="63"/>
      <c r="EAD2473" s="60"/>
      <c r="EAE2473" s="60"/>
      <c r="EAF2473" s="60"/>
      <c r="EAG2473" s="63"/>
      <c r="EAH2473" s="61"/>
      <c r="EAI2473" s="54"/>
      <c r="EAJ2473" s="54"/>
      <c r="EAK2473" s="63"/>
      <c r="EAL2473" s="60"/>
      <c r="EAM2473" s="60"/>
      <c r="EAN2473" s="60"/>
      <c r="EAO2473" s="63"/>
      <c r="EAP2473" s="61"/>
      <c r="EAQ2473" s="54"/>
      <c r="EAR2473" s="54"/>
      <c r="EAS2473" s="63"/>
      <c r="EAT2473" s="60"/>
      <c r="EAU2473" s="60"/>
      <c r="EAV2473" s="60"/>
      <c r="EAW2473" s="63"/>
      <c r="EAX2473" s="61"/>
      <c r="EAY2473" s="54"/>
      <c r="EAZ2473" s="54"/>
      <c r="EBA2473" s="63"/>
      <c r="EBB2473" s="60"/>
      <c r="EBC2473" s="60"/>
      <c r="EBD2473" s="60"/>
      <c r="EBE2473" s="63"/>
      <c r="EBF2473" s="61"/>
      <c r="EBG2473" s="54"/>
      <c r="EBH2473" s="54"/>
      <c r="EBI2473" s="63"/>
      <c r="EBJ2473" s="60"/>
      <c r="EBK2473" s="60"/>
      <c r="EBL2473" s="60"/>
      <c r="EBM2473" s="63"/>
      <c r="EBN2473" s="61"/>
      <c r="EBO2473" s="54"/>
      <c r="EBP2473" s="54"/>
      <c r="EBQ2473" s="63"/>
      <c r="EBR2473" s="60"/>
      <c r="EBS2473" s="60"/>
      <c r="EBT2473" s="60"/>
      <c r="EBU2473" s="63"/>
      <c r="EBV2473" s="61"/>
      <c r="EBW2473" s="54"/>
      <c r="EBX2473" s="54"/>
      <c r="EBY2473" s="63"/>
      <c r="EBZ2473" s="60"/>
      <c r="ECA2473" s="60"/>
      <c r="ECB2473" s="60"/>
      <c r="ECC2473" s="63"/>
      <c r="ECD2473" s="61"/>
      <c r="ECE2473" s="54"/>
      <c r="ECF2473" s="54"/>
      <c r="ECG2473" s="63"/>
      <c r="ECH2473" s="60"/>
      <c r="ECI2473" s="60"/>
      <c r="ECJ2473" s="60"/>
      <c r="ECK2473" s="63"/>
      <c r="ECL2473" s="61"/>
      <c r="ECM2473" s="54"/>
      <c r="ECN2473" s="54"/>
      <c r="ECO2473" s="63"/>
      <c r="ECP2473" s="60"/>
      <c r="ECQ2473" s="60"/>
      <c r="ECR2473" s="60"/>
      <c r="ECS2473" s="63"/>
      <c r="ECT2473" s="61"/>
      <c r="ECU2473" s="54"/>
      <c r="ECV2473" s="54"/>
      <c r="ECW2473" s="63"/>
      <c r="ECX2473" s="60"/>
      <c r="ECY2473" s="60"/>
      <c r="ECZ2473" s="60"/>
      <c r="EDA2473" s="63"/>
      <c r="EDB2473" s="61"/>
      <c r="EDC2473" s="54"/>
      <c r="EDD2473" s="54"/>
      <c r="EDE2473" s="63"/>
      <c r="EDF2473" s="60"/>
      <c r="EDG2473" s="60"/>
      <c r="EDH2473" s="60"/>
      <c r="EDI2473" s="63"/>
      <c r="EDJ2473" s="61"/>
      <c r="EDK2473" s="54"/>
      <c r="EDL2473" s="54"/>
      <c r="EDM2473" s="63"/>
      <c r="EDN2473" s="60"/>
      <c r="EDO2473" s="60"/>
      <c r="EDP2473" s="60"/>
      <c r="EDQ2473" s="63"/>
      <c r="EDR2473" s="61"/>
      <c r="EDS2473" s="54"/>
      <c r="EDT2473" s="54"/>
      <c r="EDU2473" s="63"/>
      <c r="EDV2473" s="60"/>
      <c r="EDW2473" s="60"/>
      <c r="EDX2473" s="60"/>
      <c r="EDY2473" s="63"/>
      <c r="EDZ2473" s="61"/>
      <c r="EEA2473" s="54"/>
      <c r="EEB2473" s="54"/>
      <c r="EEC2473" s="63"/>
      <c r="EED2473" s="60"/>
      <c r="EEE2473" s="60"/>
      <c r="EEF2473" s="60"/>
      <c r="EEG2473" s="63"/>
      <c r="EEH2473" s="61"/>
      <c r="EEI2473" s="54"/>
      <c r="EEJ2473" s="54"/>
      <c r="EEK2473" s="63"/>
      <c r="EEL2473" s="60"/>
      <c r="EEM2473" s="60"/>
      <c r="EEN2473" s="60"/>
      <c r="EEO2473" s="63"/>
      <c r="EEP2473" s="61"/>
      <c r="EEQ2473" s="54"/>
      <c r="EER2473" s="54"/>
      <c r="EES2473" s="63"/>
      <c r="EET2473" s="60"/>
      <c r="EEU2473" s="60"/>
      <c r="EEV2473" s="60"/>
      <c r="EEW2473" s="63"/>
      <c r="EEX2473" s="61"/>
      <c r="EEY2473" s="54"/>
      <c r="EEZ2473" s="54"/>
      <c r="EFA2473" s="63"/>
      <c r="EFB2473" s="60"/>
      <c r="EFC2473" s="60"/>
      <c r="EFD2473" s="60"/>
      <c r="EFE2473" s="63"/>
      <c r="EFF2473" s="61"/>
      <c r="EFG2473" s="54"/>
      <c r="EFH2473" s="54"/>
      <c r="EFI2473" s="63"/>
      <c r="EFJ2473" s="60"/>
      <c r="EFK2473" s="60"/>
      <c r="EFL2473" s="60"/>
      <c r="EFM2473" s="63"/>
      <c r="EFN2473" s="61"/>
      <c r="EFO2473" s="54"/>
      <c r="EFP2473" s="54"/>
      <c r="EFQ2473" s="63"/>
      <c r="EFR2473" s="60"/>
      <c r="EFS2473" s="60"/>
      <c r="EFT2473" s="60"/>
      <c r="EFU2473" s="63"/>
      <c r="EFV2473" s="61"/>
      <c r="EFW2473" s="54"/>
      <c r="EFX2473" s="54"/>
      <c r="EFY2473" s="63"/>
      <c r="EFZ2473" s="60"/>
      <c r="EGA2473" s="60"/>
      <c r="EGB2473" s="60"/>
      <c r="EGC2473" s="63"/>
      <c r="EGD2473" s="61"/>
      <c r="EGE2473" s="54"/>
      <c r="EGF2473" s="54"/>
      <c r="EGG2473" s="63"/>
      <c r="EGH2473" s="60"/>
      <c r="EGI2473" s="60"/>
      <c r="EGJ2473" s="60"/>
      <c r="EGK2473" s="63"/>
      <c r="EGL2473" s="61"/>
      <c r="EGM2473" s="54"/>
      <c r="EGN2473" s="54"/>
      <c r="EGO2473" s="63"/>
      <c r="EGP2473" s="60"/>
      <c r="EGQ2473" s="60"/>
      <c r="EGR2473" s="60"/>
      <c r="EGS2473" s="63"/>
      <c r="EGT2473" s="61"/>
      <c r="EGU2473" s="54"/>
      <c r="EGV2473" s="54"/>
      <c r="EGW2473" s="63"/>
      <c r="EGX2473" s="60"/>
      <c r="EGY2473" s="60"/>
      <c r="EGZ2473" s="60"/>
      <c r="EHA2473" s="63"/>
      <c r="EHB2473" s="61"/>
      <c r="EHC2473" s="54"/>
      <c r="EHD2473" s="54"/>
      <c r="EHE2473" s="63"/>
      <c r="EHF2473" s="60"/>
      <c r="EHG2473" s="60"/>
      <c r="EHH2473" s="60"/>
      <c r="EHI2473" s="63"/>
      <c r="EHJ2473" s="61"/>
      <c r="EHK2473" s="54"/>
      <c r="EHL2473" s="54"/>
      <c r="EHM2473" s="63"/>
      <c r="EHN2473" s="60"/>
      <c r="EHO2473" s="60"/>
      <c r="EHP2473" s="60"/>
      <c r="EHQ2473" s="63"/>
      <c r="EHR2473" s="61"/>
      <c r="EHS2473" s="54"/>
      <c r="EHT2473" s="54"/>
      <c r="EHU2473" s="63"/>
      <c r="EHV2473" s="60"/>
      <c r="EHW2473" s="60"/>
      <c r="EHX2473" s="60"/>
      <c r="EHY2473" s="63"/>
      <c r="EHZ2473" s="61"/>
      <c r="EIA2473" s="54"/>
      <c r="EIB2473" s="54"/>
      <c r="EIC2473" s="63"/>
      <c r="EID2473" s="60"/>
      <c r="EIE2473" s="60"/>
      <c r="EIF2473" s="60"/>
      <c r="EIG2473" s="63"/>
      <c r="EIH2473" s="61"/>
      <c r="EII2473" s="54"/>
      <c r="EIJ2473" s="54"/>
      <c r="EIK2473" s="63"/>
      <c r="EIL2473" s="60"/>
      <c r="EIM2473" s="60"/>
      <c r="EIN2473" s="60"/>
      <c r="EIO2473" s="63"/>
      <c r="EIP2473" s="61"/>
      <c r="EIQ2473" s="54"/>
      <c r="EIR2473" s="54"/>
      <c r="EIS2473" s="63"/>
      <c r="EIT2473" s="60"/>
      <c r="EIU2473" s="60"/>
      <c r="EIV2473" s="60"/>
      <c r="EIW2473" s="63"/>
      <c r="EIX2473" s="61"/>
      <c r="EIY2473" s="54"/>
      <c r="EIZ2473" s="54"/>
      <c r="EJA2473" s="63"/>
      <c r="EJB2473" s="60"/>
      <c r="EJC2473" s="60"/>
      <c r="EJD2473" s="60"/>
      <c r="EJE2473" s="63"/>
      <c r="EJF2473" s="61"/>
      <c r="EJG2473" s="54"/>
      <c r="EJH2473" s="54"/>
      <c r="EJI2473" s="63"/>
      <c r="EJJ2473" s="60"/>
      <c r="EJK2473" s="60"/>
      <c r="EJL2473" s="60"/>
      <c r="EJM2473" s="63"/>
      <c r="EJN2473" s="61"/>
      <c r="EJO2473" s="54"/>
      <c r="EJP2473" s="54"/>
      <c r="EJQ2473" s="63"/>
      <c r="EJR2473" s="60"/>
      <c r="EJS2473" s="60"/>
      <c r="EJT2473" s="60"/>
      <c r="EJU2473" s="63"/>
      <c r="EJV2473" s="61"/>
      <c r="EJW2473" s="54"/>
      <c r="EJX2473" s="54"/>
      <c r="EJY2473" s="63"/>
      <c r="EJZ2473" s="60"/>
      <c r="EKA2473" s="60"/>
      <c r="EKB2473" s="60"/>
      <c r="EKC2473" s="63"/>
      <c r="EKD2473" s="61"/>
      <c r="EKE2473" s="54"/>
      <c r="EKF2473" s="54"/>
      <c r="EKG2473" s="63"/>
      <c r="EKH2473" s="60"/>
      <c r="EKI2473" s="60"/>
      <c r="EKJ2473" s="60"/>
      <c r="EKK2473" s="63"/>
      <c r="EKL2473" s="61"/>
      <c r="EKM2473" s="54"/>
      <c r="EKN2473" s="54"/>
      <c r="EKO2473" s="63"/>
      <c r="EKP2473" s="60"/>
      <c r="EKQ2473" s="60"/>
      <c r="EKR2473" s="60"/>
      <c r="EKS2473" s="63"/>
      <c r="EKT2473" s="61"/>
      <c r="EKU2473" s="54"/>
      <c r="EKV2473" s="54"/>
      <c r="EKW2473" s="63"/>
      <c r="EKX2473" s="60"/>
      <c r="EKY2473" s="60"/>
      <c r="EKZ2473" s="60"/>
      <c r="ELA2473" s="63"/>
      <c r="ELB2473" s="61"/>
      <c r="ELC2473" s="54"/>
      <c r="ELD2473" s="54"/>
      <c r="ELE2473" s="63"/>
      <c r="ELF2473" s="60"/>
      <c r="ELG2473" s="60"/>
      <c r="ELH2473" s="60"/>
      <c r="ELI2473" s="63"/>
      <c r="ELJ2473" s="61"/>
      <c r="ELK2473" s="54"/>
      <c r="ELL2473" s="54"/>
      <c r="ELM2473" s="63"/>
      <c r="ELN2473" s="60"/>
      <c r="ELO2473" s="60"/>
      <c r="ELP2473" s="60"/>
      <c r="ELQ2473" s="63"/>
      <c r="ELR2473" s="61"/>
      <c r="ELS2473" s="54"/>
      <c r="ELT2473" s="54"/>
      <c r="ELU2473" s="63"/>
      <c r="ELV2473" s="60"/>
      <c r="ELW2473" s="60"/>
      <c r="ELX2473" s="60"/>
      <c r="ELY2473" s="63"/>
      <c r="ELZ2473" s="61"/>
      <c r="EMA2473" s="54"/>
      <c r="EMB2473" s="54"/>
      <c r="EMC2473" s="63"/>
      <c r="EMD2473" s="60"/>
      <c r="EME2473" s="60"/>
      <c r="EMF2473" s="60"/>
      <c r="EMG2473" s="63"/>
      <c r="EMH2473" s="61"/>
      <c r="EMI2473" s="54"/>
      <c r="EMJ2473" s="54"/>
      <c r="EMK2473" s="63"/>
      <c r="EML2473" s="60"/>
      <c r="EMM2473" s="60"/>
      <c r="EMN2473" s="60"/>
      <c r="EMO2473" s="63"/>
      <c r="EMP2473" s="61"/>
      <c r="EMQ2473" s="54"/>
      <c r="EMR2473" s="54"/>
      <c r="EMS2473" s="63"/>
      <c r="EMT2473" s="60"/>
      <c r="EMU2473" s="60"/>
      <c r="EMV2473" s="60"/>
      <c r="EMW2473" s="63"/>
      <c r="EMX2473" s="61"/>
      <c r="EMY2473" s="54"/>
      <c r="EMZ2473" s="54"/>
      <c r="ENA2473" s="63"/>
      <c r="ENB2473" s="60"/>
      <c r="ENC2473" s="60"/>
      <c r="END2473" s="60"/>
      <c r="ENE2473" s="63"/>
      <c r="ENF2473" s="61"/>
      <c r="ENG2473" s="54"/>
      <c r="ENH2473" s="54"/>
      <c r="ENI2473" s="63"/>
      <c r="ENJ2473" s="60"/>
      <c r="ENK2473" s="60"/>
      <c r="ENL2473" s="60"/>
      <c r="ENM2473" s="63"/>
      <c r="ENN2473" s="61"/>
      <c r="ENO2473" s="54"/>
      <c r="ENP2473" s="54"/>
      <c r="ENQ2473" s="63"/>
      <c r="ENR2473" s="60"/>
      <c r="ENS2473" s="60"/>
      <c r="ENT2473" s="60"/>
      <c r="ENU2473" s="63"/>
      <c r="ENV2473" s="61"/>
      <c r="ENW2473" s="54"/>
      <c r="ENX2473" s="54"/>
      <c r="ENY2473" s="63"/>
      <c r="ENZ2473" s="60"/>
      <c r="EOA2473" s="60"/>
      <c r="EOB2473" s="60"/>
      <c r="EOC2473" s="63"/>
      <c r="EOD2473" s="61"/>
      <c r="EOE2473" s="54"/>
      <c r="EOF2473" s="54"/>
      <c r="EOG2473" s="63"/>
      <c r="EOH2473" s="60"/>
      <c r="EOI2473" s="60"/>
      <c r="EOJ2473" s="60"/>
      <c r="EOK2473" s="63"/>
      <c r="EOL2473" s="61"/>
      <c r="EOM2473" s="54"/>
      <c r="EON2473" s="54"/>
      <c r="EOO2473" s="63"/>
      <c r="EOP2473" s="60"/>
      <c r="EOQ2473" s="60"/>
      <c r="EOR2473" s="60"/>
      <c r="EOS2473" s="63"/>
      <c r="EOT2473" s="61"/>
      <c r="EOU2473" s="54"/>
      <c r="EOV2473" s="54"/>
      <c r="EOW2473" s="63"/>
      <c r="EOX2473" s="60"/>
      <c r="EOY2473" s="60"/>
      <c r="EOZ2473" s="60"/>
      <c r="EPA2473" s="63"/>
      <c r="EPB2473" s="61"/>
      <c r="EPC2473" s="54"/>
      <c r="EPD2473" s="54"/>
      <c r="EPE2473" s="63"/>
      <c r="EPF2473" s="60"/>
      <c r="EPG2473" s="60"/>
      <c r="EPH2473" s="60"/>
      <c r="EPI2473" s="63"/>
      <c r="EPJ2473" s="61"/>
      <c r="EPK2473" s="54"/>
      <c r="EPL2473" s="54"/>
      <c r="EPM2473" s="63"/>
      <c r="EPN2473" s="60"/>
      <c r="EPO2473" s="60"/>
      <c r="EPP2473" s="60"/>
      <c r="EPQ2473" s="63"/>
      <c r="EPR2473" s="61"/>
      <c r="EPS2473" s="54"/>
      <c r="EPT2473" s="54"/>
      <c r="EPU2473" s="63"/>
      <c r="EPV2473" s="60"/>
      <c r="EPW2473" s="60"/>
      <c r="EPX2473" s="60"/>
      <c r="EPY2473" s="63"/>
      <c r="EPZ2473" s="61"/>
      <c r="EQA2473" s="54"/>
      <c r="EQB2473" s="54"/>
      <c r="EQC2473" s="63"/>
      <c r="EQD2473" s="60"/>
      <c r="EQE2473" s="60"/>
      <c r="EQF2473" s="60"/>
      <c r="EQG2473" s="63"/>
      <c r="EQH2473" s="61"/>
      <c r="EQI2473" s="54"/>
      <c r="EQJ2473" s="54"/>
      <c r="EQK2473" s="63"/>
      <c r="EQL2473" s="60"/>
      <c r="EQM2473" s="60"/>
      <c r="EQN2473" s="60"/>
      <c r="EQO2473" s="63"/>
      <c r="EQP2473" s="61"/>
      <c r="EQQ2473" s="54"/>
      <c r="EQR2473" s="54"/>
      <c r="EQS2473" s="63"/>
      <c r="EQT2473" s="60"/>
      <c r="EQU2473" s="60"/>
      <c r="EQV2473" s="60"/>
      <c r="EQW2473" s="63"/>
      <c r="EQX2473" s="61"/>
      <c r="EQY2473" s="54"/>
      <c r="EQZ2473" s="54"/>
      <c r="ERA2473" s="63"/>
      <c r="ERB2473" s="60"/>
      <c r="ERC2473" s="60"/>
      <c r="ERD2473" s="60"/>
      <c r="ERE2473" s="63"/>
      <c r="ERF2473" s="61"/>
      <c r="ERG2473" s="54"/>
      <c r="ERH2473" s="54"/>
      <c r="ERI2473" s="63"/>
      <c r="ERJ2473" s="60"/>
      <c r="ERK2473" s="60"/>
      <c r="ERL2473" s="60"/>
      <c r="ERM2473" s="63"/>
      <c r="ERN2473" s="61"/>
      <c r="ERO2473" s="54"/>
      <c r="ERP2473" s="54"/>
      <c r="ERQ2473" s="63"/>
      <c r="ERR2473" s="60"/>
      <c r="ERS2473" s="60"/>
      <c r="ERT2473" s="60"/>
      <c r="ERU2473" s="63"/>
      <c r="ERV2473" s="61"/>
      <c r="ERW2473" s="54"/>
      <c r="ERX2473" s="54"/>
      <c r="ERY2473" s="63"/>
      <c r="ERZ2473" s="60"/>
      <c r="ESA2473" s="60"/>
      <c r="ESB2473" s="60"/>
      <c r="ESC2473" s="63"/>
      <c r="ESD2473" s="61"/>
      <c r="ESE2473" s="54"/>
      <c r="ESF2473" s="54"/>
      <c r="ESG2473" s="63"/>
      <c r="ESH2473" s="60"/>
      <c r="ESI2473" s="60"/>
      <c r="ESJ2473" s="60"/>
      <c r="ESK2473" s="63"/>
      <c r="ESL2473" s="61"/>
      <c r="ESM2473" s="54"/>
      <c r="ESN2473" s="54"/>
      <c r="ESO2473" s="63"/>
      <c r="ESP2473" s="60"/>
      <c r="ESQ2473" s="60"/>
      <c r="ESR2473" s="60"/>
      <c r="ESS2473" s="63"/>
      <c r="EST2473" s="61"/>
      <c r="ESU2473" s="54"/>
      <c r="ESV2473" s="54"/>
      <c r="ESW2473" s="63"/>
      <c r="ESX2473" s="60"/>
      <c r="ESY2473" s="60"/>
      <c r="ESZ2473" s="60"/>
      <c r="ETA2473" s="63"/>
      <c r="ETB2473" s="61"/>
      <c r="ETC2473" s="54"/>
      <c r="ETD2473" s="54"/>
      <c r="ETE2473" s="63"/>
      <c r="ETF2473" s="60"/>
      <c r="ETG2473" s="60"/>
      <c r="ETH2473" s="60"/>
      <c r="ETI2473" s="63"/>
      <c r="ETJ2473" s="61"/>
      <c r="ETK2473" s="54"/>
      <c r="ETL2473" s="54"/>
      <c r="ETM2473" s="63"/>
      <c r="ETN2473" s="60"/>
      <c r="ETO2473" s="60"/>
      <c r="ETP2473" s="60"/>
      <c r="ETQ2473" s="63"/>
      <c r="ETR2473" s="61"/>
      <c r="ETS2473" s="54"/>
      <c r="ETT2473" s="54"/>
      <c r="ETU2473" s="63"/>
      <c r="ETV2473" s="60"/>
      <c r="ETW2473" s="60"/>
      <c r="ETX2473" s="60"/>
      <c r="ETY2473" s="63"/>
      <c r="ETZ2473" s="61"/>
      <c r="EUA2473" s="54"/>
      <c r="EUB2473" s="54"/>
      <c r="EUC2473" s="63"/>
      <c r="EUD2473" s="60"/>
      <c r="EUE2473" s="60"/>
      <c r="EUF2473" s="60"/>
      <c r="EUG2473" s="63"/>
      <c r="EUH2473" s="61"/>
      <c r="EUI2473" s="54"/>
      <c r="EUJ2473" s="54"/>
      <c r="EUK2473" s="63"/>
      <c r="EUL2473" s="60"/>
      <c r="EUM2473" s="60"/>
      <c r="EUN2473" s="60"/>
      <c r="EUO2473" s="63"/>
      <c r="EUP2473" s="61"/>
      <c r="EUQ2473" s="54"/>
      <c r="EUR2473" s="54"/>
      <c r="EUS2473" s="63"/>
      <c r="EUT2473" s="60"/>
      <c r="EUU2473" s="60"/>
      <c r="EUV2473" s="60"/>
      <c r="EUW2473" s="63"/>
      <c r="EUX2473" s="61"/>
      <c r="EUY2473" s="54"/>
      <c r="EUZ2473" s="54"/>
      <c r="EVA2473" s="63"/>
      <c r="EVB2473" s="60"/>
      <c r="EVC2473" s="60"/>
      <c r="EVD2473" s="60"/>
      <c r="EVE2473" s="63"/>
      <c r="EVF2473" s="61"/>
      <c r="EVG2473" s="54"/>
      <c r="EVH2473" s="54"/>
      <c r="EVI2473" s="63"/>
      <c r="EVJ2473" s="60"/>
      <c r="EVK2473" s="60"/>
      <c r="EVL2473" s="60"/>
      <c r="EVM2473" s="63"/>
      <c r="EVN2473" s="61"/>
      <c r="EVO2473" s="54"/>
      <c r="EVP2473" s="54"/>
      <c r="EVQ2473" s="63"/>
      <c r="EVR2473" s="60"/>
      <c r="EVS2473" s="60"/>
      <c r="EVT2473" s="60"/>
      <c r="EVU2473" s="63"/>
      <c r="EVV2473" s="61"/>
      <c r="EVW2473" s="54"/>
      <c r="EVX2473" s="54"/>
      <c r="EVY2473" s="63"/>
      <c r="EVZ2473" s="60"/>
      <c r="EWA2473" s="60"/>
      <c r="EWB2473" s="60"/>
      <c r="EWC2473" s="63"/>
      <c r="EWD2473" s="61"/>
      <c r="EWE2473" s="54"/>
      <c r="EWF2473" s="54"/>
      <c r="EWG2473" s="63"/>
      <c r="EWH2473" s="60"/>
      <c r="EWI2473" s="60"/>
      <c r="EWJ2473" s="60"/>
      <c r="EWK2473" s="63"/>
      <c r="EWL2473" s="61"/>
      <c r="EWM2473" s="54"/>
      <c r="EWN2473" s="54"/>
      <c r="EWO2473" s="63"/>
      <c r="EWP2473" s="60"/>
      <c r="EWQ2473" s="60"/>
      <c r="EWR2473" s="60"/>
      <c r="EWS2473" s="63"/>
      <c r="EWT2473" s="61"/>
      <c r="EWU2473" s="54"/>
      <c r="EWV2473" s="54"/>
      <c r="EWW2473" s="63"/>
      <c r="EWX2473" s="60"/>
      <c r="EWY2473" s="60"/>
      <c r="EWZ2473" s="60"/>
      <c r="EXA2473" s="63"/>
      <c r="EXB2473" s="61"/>
      <c r="EXC2473" s="54"/>
      <c r="EXD2473" s="54"/>
      <c r="EXE2473" s="63"/>
      <c r="EXF2473" s="60"/>
      <c r="EXG2473" s="60"/>
      <c r="EXH2473" s="60"/>
      <c r="EXI2473" s="63"/>
      <c r="EXJ2473" s="61"/>
      <c r="EXK2473" s="54"/>
      <c r="EXL2473" s="54"/>
      <c r="EXM2473" s="63"/>
      <c r="EXN2473" s="60"/>
      <c r="EXO2473" s="60"/>
      <c r="EXP2473" s="60"/>
      <c r="EXQ2473" s="63"/>
      <c r="EXR2473" s="61"/>
      <c r="EXS2473" s="54"/>
      <c r="EXT2473" s="54"/>
      <c r="EXU2473" s="63"/>
      <c r="EXV2473" s="60"/>
      <c r="EXW2473" s="60"/>
      <c r="EXX2473" s="60"/>
      <c r="EXY2473" s="63"/>
      <c r="EXZ2473" s="61"/>
      <c r="EYA2473" s="54"/>
      <c r="EYB2473" s="54"/>
      <c r="EYC2473" s="63"/>
      <c r="EYD2473" s="60"/>
      <c r="EYE2473" s="60"/>
      <c r="EYF2473" s="60"/>
      <c r="EYG2473" s="63"/>
      <c r="EYH2473" s="61"/>
      <c r="EYI2473" s="54"/>
      <c r="EYJ2473" s="54"/>
      <c r="EYK2473" s="63"/>
      <c r="EYL2473" s="60"/>
      <c r="EYM2473" s="60"/>
      <c r="EYN2473" s="60"/>
      <c r="EYO2473" s="63"/>
      <c r="EYP2473" s="61"/>
      <c r="EYQ2473" s="54"/>
      <c r="EYR2473" s="54"/>
      <c r="EYS2473" s="63"/>
      <c r="EYT2473" s="60"/>
      <c r="EYU2473" s="60"/>
      <c r="EYV2473" s="60"/>
      <c r="EYW2473" s="63"/>
      <c r="EYX2473" s="61"/>
      <c r="EYY2473" s="54"/>
      <c r="EYZ2473" s="54"/>
      <c r="EZA2473" s="63"/>
      <c r="EZB2473" s="60"/>
      <c r="EZC2473" s="60"/>
      <c r="EZD2473" s="60"/>
      <c r="EZE2473" s="63"/>
      <c r="EZF2473" s="61"/>
      <c r="EZG2473" s="54"/>
      <c r="EZH2473" s="54"/>
      <c r="EZI2473" s="63"/>
      <c r="EZJ2473" s="60"/>
      <c r="EZK2473" s="60"/>
      <c r="EZL2473" s="60"/>
      <c r="EZM2473" s="63"/>
      <c r="EZN2473" s="61"/>
      <c r="EZO2473" s="54"/>
      <c r="EZP2473" s="54"/>
      <c r="EZQ2473" s="63"/>
      <c r="EZR2473" s="60"/>
      <c r="EZS2473" s="60"/>
      <c r="EZT2473" s="60"/>
      <c r="EZU2473" s="63"/>
      <c r="EZV2473" s="61"/>
      <c r="EZW2473" s="54"/>
      <c r="EZX2473" s="54"/>
      <c r="EZY2473" s="63"/>
      <c r="EZZ2473" s="60"/>
      <c r="FAA2473" s="60"/>
      <c r="FAB2473" s="60"/>
      <c r="FAC2473" s="63"/>
      <c r="FAD2473" s="61"/>
      <c r="FAE2473" s="54"/>
      <c r="FAF2473" s="54"/>
      <c r="FAG2473" s="63"/>
      <c r="FAH2473" s="60"/>
      <c r="FAI2473" s="60"/>
      <c r="FAJ2473" s="60"/>
      <c r="FAK2473" s="63"/>
      <c r="FAL2473" s="61"/>
      <c r="FAM2473" s="54"/>
      <c r="FAN2473" s="54"/>
      <c r="FAO2473" s="63"/>
      <c r="FAP2473" s="60"/>
      <c r="FAQ2473" s="60"/>
      <c r="FAR2473" s="60"/>
      <c r="FAS2473" s="63"/>
      <c r="FAT2473" s="61"/>
      <c r="FAU2473" s="54"/>
      <c r="FAV2473" s="54"/>
      <c r="FAW2473" s="63"/>
      <c r="FAX2473" s="60"/>
      <c r="FAY2473" s="60"/>
      <c r="FAZ2473" s="60"/>
      <c r="FBA2473" s="63"/>
      <c r="FBB2473" s="61"/>
      <c r="FBC2473" s="54"/>
      <c r="FBD2473" s="54"/>
      <c r="FBE2473" s="63"/>
      <c r="FBF2473" s="60"/>
      <c r="FBG2473" s="60"/>
      <c r="FBH2473" s="60"/>
      <c r="FBI2473" s="63"/>
      <c r="FBJ2473" s="61"/>
      <c r="FBK2473" s="54"/>
      <c r="FBL2473" s="54"/>
      <c r="FBM2473" s="63"/>
      <c r="FBN2473" s="60"/>
      <c r="FBO2473" s="60"/>
      <c r="FBP2473" s="60"/>
      <c r="FBQ2473" s="63"/>
      <c r="FBR2473" s="61"/>
      <c r="FBS2473" s="54"/>
      <c r="FBT2473" s="54"/>
      <c r="FBU2473" s="63"/>
      <c r="FBV2473" s="60"/>
      <c r="FBW2473" s="60"/>
      <c r="FBX2473" s="60"/>
      <c r="FBY2473" s="63"/>
      <c r="FBZ2473" s="61"/>
      <c r="FCA2473" s="54"/>
      <c r="FCB2473" s="54"/>
      <c r="FCC2473" s="63"/>
      <c r="FCD2473" s="60"/>
      <c r="FCE2473" s="60"/>
      <c r="FCF2473" s="60"/>
      <c r="FCG2473" s="63"/>
      <c r="FCH2473" s="61"/>
      <c r="FCI2473" s="54"/>
      <c r="FCJ2473" s="54"/>
      <c r="FCK2473" s="63"/>
      <c r="FCL2473" s="60"/>
      <c r="FCM2473" s="60"/>
      <c r="FCN2473" s="60"/>
      <c r="FCO2473" s="63"/>
      <c r="FCP2473" s="61"/>
      <c r="FCQ2473" s="54"/>
      <c r="FCR2473" s="54"/>
      <c r="FCS2473" s="63"/>
      <c r="FCT2473" s="60"/>
      <c r="FCU2473" s="60"/>
      <c r="FCV2473" s="60"/>
      <c r="FCW2473" s="63"/>
      <c r="FCX2473" s="61"/>
      <c r="FCY2473" s="54"/>
      <c r="FCZ2473" s="54"/>
      <c r="FDA2473" s="63"/>
      <c r="FDB2473" s="60"/>
      <c r="FDC2473" s="60"/>
      <c r="FDD2473" s="60"/>
      <c r="FDE2473" s="63"/>
      <c r="FDF2473" s="61"/>
      <c r="FDG2473" s="54"/>
      <c r="FDH2473" s="54"/>
      <c r="FDI2473" s="63"/>
      <c r="FDJ2473" s="60"/>
      <c r="FDK2473" s="60"/>
      <c r="FDL2473" s="60"/>
      <c r="FDM2473" s="63"/>
      <c r="FDN2473" s="61"/>
      <c r="FDO2473" s="54"/>
      <c r="FDP2473" s="54"/>
      <c r="FDQ2473" s="63"/>
      <c r="FDR2473" s="60"/>
      <c r="FDS2473" s="60"/>
      <c r="FDT2473" s="60"/>
      <c r="FDU2473" s="63"/>
      <c r="FDV2473" s="61"/>
      <c r="FDW2473" s="54"/>
      <c r="FDX2473" s="54"/>
      <c r="FDY2473" s="63"/>
      <c r="FDZ2473" s="60"/>
      <c r="FEA2473" s="60"/>
      <c r="FEB2473" s="60"/>
      <c r="FEC2473" s="63"/>
      <c r="FED2473" s="61"/>
      <c r="FEE2473" s="54"/>
      <c r="FEF2473" s="54"/>
      <c r="FEG2473" s="63"/>
      <c r="FEH2473" s="60"/>
      <c r="FEI2473" s="60"/>
      <c r="FEJ2473" s="60"/>
      <c r="FEK2473" s="63"/>
      <c r="FEL2473" s="61"/>
      <c r="FEM2473" s="54"/>
      <c r="FEN2473" s="54"/>
      <c r="FEO2473" s="63"/>
      <c r="FEP2473" s="60"/>
      <c r="FEQ2473" s="60"/>
      <c r="FER2473" s="60"/>
      <c r="FES2473" s="63"/>
      <c r="FET2473" s="61"/>
      <c r="FEU2473" s="54"/>
      <c r="FEV2473" s="54"/>
      <c r="FEW2473" s="63"/>
      <c r="FEX2473" s="60"/>
      <c r="FEY2473" s="60"/>
      <c r="FEZ2473" s="60"/>
      <c r="FFA2473" s="63"/>
      <c r="FFB2473" s="61"/>
      <c r="FFC2473" s="54"/>
      <c r="FFD2473" s="54"/>
      <c r="FFE2473" s="63"/>
      <c r="FFF2473" s="60"/>
      <c r="FFG2473" s="60"/>
      <c r="FFH2473" s="60"/>
      <c r="FFI2473" s="63"/>
      <c r="FFJ2473" s="61"/>
      <c r="FFK2473" s="54"/>
      <c r="FFL2473" s="54"/>
      <c r="FFM2473" s="63"/>
      <c r="FFN2473" s="60"/>
      <c r="FFO2473" s="60"/>
      <c r="FFP2473" s="60"/>
      <c r="FFQ2473" s="63"/>
      <c r="FFR2473" s="61"/>
      <c r="FFS2473" s="54"/>
      <c r="FFT2473" s="54"/>
      <c r="FFU2473" s="63"/>
      <c r="FFV2473" s="60"/>
      <c r="FFW2473" s="60"/>
      <c r="FFX2473" s="60"/>
      <c r="FFY2473" s="63"/>
      <c r="FFZ2473" s="61"/>
      <c r="FGA2473" s="54"/>
      <c r="FGB2473" s="54"/>
      <c r="FGC2473" s="63"/>
      <c r="FGD2473" s="60"/>
      <c r="FGE2473" s="60"/>
      <c r="FGF2473" s="60"/>
      <c r="FGG2473" s="63"/>
      <c r="FGH2473" s="61"/>
      <c r="FGI2473" s="54"/>
      <c r="FGJ2473" s="54"/>
      <c r="FGK2473" s="63"/>
      <c r="FGL2473" s="60"/>
      <c r="FGM2473" s="60"/>
      <c r="FGN2473" s="60"/>
      <c r="FGO2473" s="63"/>
      <c r="FGP2473" s="61"/>
      <c r="FGQ2473" s="54"/>
      <c r="FGR2473" s="54"/>
      <c r="FGS2473" s="63"/>
      <c r="FGT2473" s="60"/>
      <c r="FGU2473" s="60"/>
      <c r="FGV2473" s="60"/>
      <c r="FGW2473" s="63"/>
      <c r="FGX2473" s="61"/>
      <c r="FGY2473" s="54"/>
      <c r="FGZ2473" s="54"/>
      <c r="FHA2473" s="63"/>
      <c r="FHB2473" s="60"/>
      <c r="FHC2473" s="60"/>
      <c r="FHD2473" s="60"/>
      <c r="FHE2473" s="63"/>
      <c r="FHF2473" s="61"/>
      <c r="FHG2473" s="54"/>
      <c r="FHH2473" s="54"/>
      <c r="FHI2473" s="63"/>
      <c r="FHJ2473" s="60"/>
      <c r="FHK2473" s="60"/>
      <c r="FHL2473" s="60"/>
      <c r="FHM2473" s="63"/>
      <c r="FHN2473" s="61"/>
      <c r="FHO2473" s="54"/>
      <c r="FHP2473" s="54"/>
      <c r="FHQ2473" s="63"/>
      <c r="FHR2473" s="60"/>
      <c r="FHS2473" s="60"/>
      <c r="FHT2473" s="60"/>
      <c r="FHU2473" s="63"/>
      <c r="FHV2473" s="61"/>
      <c r="FHW2473" s="54"/>
      <c r="FHX2473" s="54"/>
      <c r="FHY2473" s="63"/>
      <c r="FHZ2473" s="60"/>
      <c r="FIA2473" s="60"/>
      <c r="FIB2473" s="60"/>
      <c r="FIC2473" s="63"/>
      <c r="FID2473" s="61"/>
      <c r="FIE2473" s="54"/>
      <c r="FIF2473" s="54"/>
      <c r="FIG2473" s="63"/>
      <c r="FIH2473" s="60"/>
      <c r="FII2473" s="60"/>
      <c r="FIJ2473" s="60"/>
      <c r="FIK2473" s="63"/>
      <c r="FIL2473" s="61"/>
      <c r="FIM2473" s="54"/>
      <c r="FIN2473" s="54"/>
      <c r="FIO2473" s="63"/>
      <c r="FIP2473" s="60"/>
      <c r="FIQ2473" s="60"/>
      <c r="FIR2473" s="60"/>
      <c r="FIS2473" s="63"/>
      <c r="FIT2473" s="61"/>
      <c r="FIU2473" s="54"/>
      <c r="FIV2473" s="54"/>
      <c r="FIW2473" s="63"/>
      <c r="FIX2473" s="60"/>
      <c r="FIY2473" s="60"/>
      <c r="FIZ2473" s="60"/>
      <c r="FJA2473" s="63"/>
      <c r="FJB2473" s="61"/>
      <c r="FJC2473" s="54"/>
      <c r="FJD2473" s="54"/>
      <c r="FJE2473" s="63"/>
      <c r="FJF2473" s="60"/>
      <c r="FJG2473" s="60"/>
      <c r="FJH2473" s="60"/>
      <c r="FJI2473" s="63"/>
      <c r="FJJ2473" s="61"/>
      <c r="FJK2473" s="54"/>
      <c r="FJL2473" s="54"/>
      <c r="FJM2473" s="63"/>
      <c r="FJN2473" s="60"/>
      <c r="FJO2473" s="60"/>
      <c r="FJP2473" s="60"/>
      <c r="FJQ2473" s="63"/>
      <c r="FJR2473" s="61"/>
      <c r="FJS2473" s="54"/>
      <c r="FJT2473" s="54"/>
      <c r="FJU2473" s="63"/>
      <c r="FJV2473" s="60"/>
      <c r="FJW2473" s="60"/>
      <c r="FJX2473" s="60"/>
      <c r="FJY2473" s="63"/>
      <c r="FJZ2473" s="61"/>
      <c r="FKA2473" s="54"/>
      <c r="FKB2473" s="54"/>
      <c r="FKC2473" s="63"/>
      <c r="FKD2473" s="60"/>
      <c r="FKE2473" s="60"/>
      <c r="FKF2473" s="60"/>
      <c r="FKG2473" s="63"/>
      <c r="FKH2473" s="61"/>
      <c r="FKI2473" s="54"/>
      <c r="FKJ2473" s="54"/>
      <c r="FKK2473" s="63"/>
      <c r="FKL2473" s="60"/>
      <c r="FKM2473" s="60"/>
      <c r="FKN2473" s="60"/>
      <c r="FKO2473" s="63"/>
      <c r="FKP2473" s="61"/>
      <c r="FKQ2473" s="54"/>
      <c r="FKR2473" s="54"/>
      <c r="FKS2473" s="63"/>
      <c r="FKT2473" s="60"/>
      <c r="FKU2473" s="60"/>
      <c r="FKV2473" s="60"/>
      <c r="FKW2473" s="63"/>
      <c r="FKX2473" s="61"/>
      <c r="FKY2473" s="54"/>
      <c r="FKZ2473" s="54"/>
      <c r="FLA2473" s="63"/>
      <c r="FLB2473" s="60"/>
      <c r="FLC2473" s="60"/>
      <c r="FLD2473" s="60"/>
      <c r="FLE2473" s="63"/>
      <c r="FLF2473" s="61"/>
      <c r="FLG2473" s="54"/>
      <c r="FLH2473" s="54"/>
      <c r="FLI2473" s="63"/>
      <c r="FLJ2473" s="60"/>
      <c r="FLK2473" s="60"/>
      <c r="FLL2473" s="60"/>
      <c r="FLM2473" s="63"/>
      <c r="FLN2473" s="61"/>
      <c r="FLO2473" s="54"/>
      <c r="FLP2473" s="54"/>
      <c r="FLQ2473" s="63"/>
      <c r="FLR2473" s="60"/>
      <c r="FLS2473" s="60"/>
      <c r="FLT2473" s="60"/>
      <c r="FLU2473" s="63"/>
      <c r="FLV2473" s="61"/>
      <c r="FLW2473" s="54"/>
      <c r="FLX2473" s="54"/>
      <c r="FLY2473" s="63"/>
      <c r="FLZ2473" s="60"/>
      <c r="FMA2473" s="60"/>
      <c r="FMB2473" s="60"/>
      <c r="FMC2473" s="63"/>
      <c r="FMD2473" s="61"/>
      <c r="FME2473" s="54"/>
      <c r="FMF2473" s="54"/>
      <c r="FMG2473" s="63"/>
      <c r="FMH2473" s="60"/>
      <c r="FMI2473" s="60"/>
      <c r="FMJ2473" s="60"/>
      <c r="FMK2473" s="63"/>
      <c r="FML2473" s="61"/>
      <c r="FMM2473" s="54"/>
      <c r="FMN2473" s="54"/>
      <c r="FMO2473" s="63"/>
      <c r="FMP2473" s="60"/>
      <c r="FMQ2473" s="60"/>
      <c r="FMR2473" s="60"/>
      <c r="FMS2473" s="63"/>
      <c r="FMT2473" s="61"/>
      <c r="FMU2473" s="54"/>
      <c r="FMV2473" s="54"/>
      <c r="FMW2473" s="63"/>
      <c r="FMX2473" s="60"/>
      <c r="FMY2473" s="60"/>
      <c r="FMZ2473" s="60"/>
      <c r="FNA2473" s="63"/>
      <c r="FNB2473" s="61"/>
      <c r="FNC2473" s="54"/>
      <c r="FND2473" s="54"/>
      <c r="FNE2473" s="63"/>
      <c r="FNF2473" s="60"/>
      <c r="FNG2473" s="60"/>
      <c r="FNH2473" s="60"/>
      <c r="FNI2473" s="63"/>
      <c r="FNJ2473" s="61"/>
      <c r="FNK2473" s="54"/>
      <c r="FNL2473" s="54"/>
      <c r="FNM2473" s="63"/>
      <c r="FNN2473" s="60"/>
      <c r="FNO2473" s="60"/>
      <c r="FNP2473" s="60"/>
      <c r="FNQ2473" s="63"/>
      <c r="FNR2473" s="61"/>
      <c r="FNS2473" s="54"/>
      <c r="FNT2473" s="54"/>
      <c r="FNU2473" s="63"/>
      <c r="FNV2473" s="60"/>
      <c r="FNW2473" s="60"/>
      <c r="FNX2473" s="60"/>
      <c r="FNY2473" s="63"/>
      <c r="FNZ2473" s="61"/>
      <c r="FOA2473" s="54"/>
      <c r="FOB2473" s="54"/>
      <c r="FOC2473" s="63"/>
      <c r="FOD2473" s="60"/>
      <c r="FOE2473" s="60"/>
      <c r="FOF2473" s="60"/>
      <c r="FOG2473" s="63"/>
      <c r="FOH2473" s="61"/>
      <c r="FOI2473" s="54"/>
      <c r="FOJ2473" s="54"/>
      <c r="FOK2473" s="63"/>
      <c r="FOL2473" s="60"/>
      <c r="FOM2473" s="60"/>
      <c r="FON2473" s="60"/>
      <c r="FOO2473" s="63"/>
      <c r="FOP2473" s="61"/>
      <c r="FOQ2473" s="54"/>
      <c r="FOR2473" s="54"/>
      <c r="FOS2473" s="63"/>
      <c r="FOT2473" s="60"/>
      <c r="FOU2473" s="60"/>
      <c r="FOV2473" s="60"/>
      <c r="FOW2473" s="63"/>
      <c r="FOX2473" s="61"/>
      <c r="FOY2473" s="54"/>
      <c r="FOZ2473" s="54"/>
      <c r="FPA2473" s="63"/>
      <c r="FPB2473" s="60"/>
      <c r="FPC2473" s="60"/>
      <c r="FPD2473" s="60"/>
      <c r="FPE2473" s="63"/>
      <c r="FPF2473" s="61"/>
      <c r="FPG2473" s="54"/>
      <c r="FPH2473" s="54"/>
      <c r="FPI2473" s="63"/>
      <c r="FPJ2473" s="60"/>
      <c r="FPK2473" s="60"/>
      <c r="FPL2473" s="60"/>
      <c r="FPM2473" s="63"/>
      <c r="FPN2473" s="61"/>
      <c r="FPO2473" s="54"/>
      <c r="FPP2473" s="54"/>
      <c r="FPQ2473" s="63"/>
      <c r="FPR2473" s="60"/>
      <c r="FPS2473" s="60"/>
      <c r="FPT2473" s="60"/>
      <c r="FPU2473" s="63"/>
      <c r="FPV2473" s="61"/>
      <c r="FPW2473" s="54"/>
      <c r="FPX2473" s="54"/>
      <c r="FPY2473" s="63"/>
      <c r="FPZ2473" s="60"/>
      <c r="FQA2473" s="60"/>
      <c r="FQB2473" s="60"/>
      <c r="FQC2473" s="63"/>
      <c r="FQD2473" s="61"/>
      <c r="FQE2473" s="54"/>
      <c r="FQF2473" s="54"/>
      <c r="FQG2473" s="63"/>
      <c r="FQH2473" s="60"/>
      <c r="FQI2473" s="60"/>
      <c r="FQJ2473" s="60"/>
      <c r="FQK2473" s="63"/>
      <c r="FQL2473" s="61"/>
      <c r="FQM2473" s="54"/>
      <c r="FQN2473" s="54"/>
      <c r="FQO2473" s="63"/>
      <c r="FQP2473" s="60"/>
      <c r="FQQ2473" s="60"/>
      <c r="FQR2473" s="60"/>
      <c r="FQS2473" s="63"/>
      <c r="FQT2473" s="61"/>
      <c r="FQU2473" s="54"/>
      <c r="FQV2473" s="54"/>
      <c r="FQW2473" s="63"/>
      <c r="FQX2473" s="60"/>
      <c r="FQY2473" s="60"/>
      <c r="FQZ2473" s="60"/>
      <c r="FRA2473" s="63"/>
      <c r="FRB2473" s="61"/>
      <c r="FRC2473" s="54"/>
      <c r="FRD2473" s="54"/>
      <c r="FRE2473" s="63"/>
      <c r="FRF2473" s="60"/>
      <c r="FRG2473" s="60"/>
      <c r="FRH2473" s="60"/>
      <c r="FRI2473" s="63"/>
      <c r="FRJ2473" s="61"/>
      <c r="FRK2473" s="54"/>
      <c r="FRL2473" s="54"/>
      <c r="FRM2473" s="63"/>
      <c r="FRN2473" s="60"/>
      <c r="FRO2473" s="60"/>
      <c r="FRP2473" s="60"/>
      <c r="FRQ2473" s="63"/>
      <c r="FRR2473" s="61"/>
      <c r="FRS2473" s="54"/>
      <c r="FRT2473" s="54"/>
      <c r="FRU2473" s="63"/>
      <c r="FRV2473" s="60"/>
      <c r="FRW2473" s="60"/>
      <c r="FRX2473" s="60"/>
      <c r="FRY2473" s="63"/>
      <c r="FRZ2473" s="61"/>
      <c r="FSA2473" s="54"/>
      <c r="FSB2473" s="54"/>
      <c r="FSC2473" s="63"/>
      <c r="FSD2473" s="60"/>
      <c r="FSE2473" s="60"/>
      <c r="FSF2473" s="60"/>
      <c r="FSG2473" s="63"/>
      <c r="FSH2473" s="61"/>
      <c r="FSI2473" s="54"/>
      <c r="FSJ2473" s="54"/>
      <c r="FSK2473" s="63"/>
      <c r="FSL2473" s="60"/>
      <c r="FSM2473" s="60"/>
      <c r="FSN2473" s="60"/>
      <c r="FSO2473" s="63"/>
      <c r="FSP2473" s="61"/>
      <c r="FSQ2473" s="54"/>
      <c r="FSR2473" s="54"/>
      <c r="FSS2473" s="63"/>
      <c r="FST2473" s="60"/>
      <c r="FSU2473" s="60"/>
      <c r="FSV2473" s="60"/>
      <c r="FSW2473" s="63"/>
      <c r="FSX2473" s="61"/>
      <c r="FSY2473" s="54"/>
      <c r="FSZ2473" s="54"/>
      <c r="FTA2473" s="63"/>
      <c r="FTB2473" s="60"/>
      <c r="FTC2473" s="60"/>
      <c r="FTD2473" s="60"/>
      <c r="FTE2473" s="63"/>
      <c r="FTF2473" s="61"/>
      <c r="FTG2473" s="54"/>
      <c r="FTH2473" s="54"/>
      <c r="FTI2473" s="63"/>
      <c r="FTJ2473" s="60"/>
      <c r="FTK2473" s="60"/>
      <c r="FTL2473" s="60"/>
      <c r="FTM2473" s="63"/>
      <c r="FTN2473" s="61"/>
      <c r="FTO2473" s="54"/>
      <c r="FTP2473" s="54"/>
      <c r="FTQ2473" s="63"/>
      <c r="FTR2473" s="60"/>
      <c r="FTS2473" s="60"/>
      <c r="FTT2473" s="60"/>
      <c r="FTU2473" s="63"/>
      <c r="FTV2473" s="61"/>
      <c r="FTW2473" s="54"/>
      <c r="FTX2473" s="54"/>
      <c r="FTY2473" s="63"/>
      <c r="FTZ2473" s="60"/>
      <c r="FUA2473" s="60"/>
      <c r="FUB2473" s="60"/>
      <c r="FUC2473" s="63"/>
      <c r="FUD2473" s="61"/>
      <c r="FUE2473" s="54"/>
      <c r="FUF2473" s="54"/>
      <c r="FUG2473" s="63"/>
      <c r="FUH2473" s="60"/>
      <c r="FUI2473" s="60"/>
      <c r="FUJ2473" s="60"/>
      <c r="FUK2473" s="63"/>
      <c r="FUL2473" s="61"/>
      <c r="FUM2473" s="54"/>
      <c r="FUN2473" s="54"/>
      <c r="FUO2473" s="63"/>
      <c r="FUP2473" s="60"/>
      <c r="FUQ2473" s="60"/>
      <c r="FUR2473" s="60"/>
      <c r="FUS2473" s="63"/>
      <c r="FUT2473" s="61"/>
      <c r="FUU2473" s="54"/>
      <c r="FUV2473" s="54"/>
      <c r="FUW2473" s="63"/>
      <c r="FUX2473" s="60"/>
      <c r="FUY2473" s="60"/>
      <c r="FUZ2473" s="60"/>
      <c r="FVA2473" s="63"/>
      <c r="FVB2473" s="61"/>
      <c r="FVC2473" s="54"/>
      <c r="FVD2473" s="54"/>
      <c r="FVE2473" s="63"/>
      <c r="FVF2473" s="60"/>
      <c r="FVG2473" s="60"/>
      <c r="FVH2473" s="60"/>
      <c r="FVI2473" s="63"/>
      <c r="FVJ2473" s="61"/>
      <c r="FVK2473" s="54"/>
      <c r="FVL2473" s="54"/>
      <c r="FVM2473" s="63"/>
      <c r="FVN2473" s="60"/>
      <c r="FVO2473" s="60"/>
      <c r="FVP2473" s="60"/>
      <c r="FVQ2473" s="63"/>
      <c r="FVR2473" s="61"/>
      <c r="FVS2473" s="54"/>
      <c r="FVT2473" s="54"/>
      <c r="FVU2473" s="63"/>
      <c r="FVV2473" s="60"/>
      <c r="FVW2473" s="60"/>
      <c r="FVX2473" s="60"/>
      <c r="FVY2473" s="63"/>
      <c r="FVZ2473" s="61"/>
      <c r="FWA2473" s="54"/>
      <c r="FWB2473" s="54"/>
      <c r="FWC2473" s="63"/>
      <c r="FWD2473" s="60"/>
      <c r="FWE2473" s="60"/>
      <c r="FWF2473" s="60"/>
      <c r="FWG2473" s="63"/>
      <c r="FWH2473" s="61"/>
      <c r="FWI2473" s="54"/>
      <c r="FWJ2473" s="54"/>
      <c r="FWK2473" s="63"/>
      <c r="FWL2473" s="60"/>
      <c r="FWM2473" s="60"/>
      <c r="FWN2473" s="60"/>
      <c r="FWO2473" s="63"/>
      <c r="FWP2473" s="61"/>
      <c r="FWQ2473" s="54"/>
      <c r="FWR2473" s="54"/>
      <c r="FWS2473" s="63"/>
      <c r="FWT2473" s="60"/>
      <c r="FWU2473" s="60"/>
      <c r="FWV2473" s="60"/>
      <c r="FWW2473" s="63"/>
      <c r="FWX2473" s="61"/>
      <c r="FWY2473" s="54"/>
      <c r="FWZ2473" s="54"/>
      <c r="FXA2473" s="63"/>
      <c r="FXB2473" s="60"/>
      <c r="FXC2473" s="60"/>
      <c r="FXD2473" s="60"/>
      <c r="FXE2473" s="63"/>
      <c r="FXF2473" s="61"/>
      <c r="FXG2473" s="54"/>
      <c r="FXH2473" s="54"/>
      <c r="FXI2473" s="63"/>
      <c r="FXJ2473" s="60"/>
      <c r="FXK2473" s="60"/>
      <c r="FXL2473" s="60"/>
      <c r="FXM2473" s="63"/>
      <c r="FXN2473" s="61"/>
      <c r="FXO2473" s="54"/>
      <c r="FXP2473" s="54"/>
      <c r="FXQ2473" s="63"/>
      <c r="FXR2473" s="60"/>
      <c r="FXS2473" s="60"/>
      <c r="FXT2473" s="60"/>
      <c r="FXU2473" s="63"/>
      <c r="FXV2473" s="61"/>
      <c r="FXW2473" s="54"/>
      <c r="FXX2473" s="54"/>
      <c r="FXY2473" s="63"/>
      <c r="FXZ2473" s="60"/>
      <c r="FYA2473" s="60"/>
      <c r="FYB2473" s="60"/>
      <c r="FYC2473" s="63"/>
      <c r="FYD2473" s="61"/>
      <c r="FYE2473" s="54"/>
      <c r="FYF2473" s="54"/>
      <c r="FYG2473" s="63"/>
      <c r="FYH2473" s="60"/>
      <c r="FYI2473" s="60"/>
      <c r="FYJ2473" s="60"/>
      <c r="FYK2473" s="63"/>
      <c r="FYL2473" s="61"/>
      <c r="FYM2473" s="54"/>
      <c r="FYN2473" s="54"/>
      <c r="FYO2473" s="63"/>
      <c r="FYP2473" s="60"/>
      <c r="FYQ2473" s="60"/>
      <c r="FYR2473" s="60"/>
      <c r="FYS2473" s="63"/>
      <c r="FYT2473" s="61"/>
      <c r="FYU2473" s="54"/>
      <c r="FYV2473" s="54"/>
      <c r="FYW2473" s="63"/>
      <c r="FYX2473" s="60"/>
      <c r="FYY2473" s="60"/>
      <c r="FYZ2473" s="60"/>
      <c r="FZA2473" s="63"/>
      <c r="FZB2473" s="61"/>
      <c r="FZC2473" s="54"/>
      <c r="FZD2473" s="54"/>
      <c r="FZE2473" s="63"/>
      <c r="FZF2473" s="60"/>
      <c r="FZG2473" s="60"/>
      <c r="FZH2473" s="60"/>
      <c r="FZI2473" s="63"/>
      <c r="FZJ2473" s="61"/>
      <c r="FZK2473" s="54"/>
      <c r="FZL2473" s="54"/>
      <c r="FZM2473" s="63"/>
      <c r="FZN2473" s="60"/>
      <c r="FZO2473" s="60"/>
      <c r="FZP2473" s="60"/>
      <c r="FZQ2473" s="63"/>
      <c r="FZR2473" s="61"/>
      <c r="FZS2473" s="54"/>
      <c r="FZT2473" s="54"/>
      <c r="FZU2473" s="63"/>
      <c r="FZV2473" s="60"/>
      <c r="FZW2473" s="60"/>
      <c r="FZX2473" s="60"/>
      <c r="FZY2473" s="63"/>
      <c r="FZZ2473" s="61"/>
      <c r="GAA2473" s="54"/>
      <c r="GAB2473" s="54"/>
      <c r="GAC2473" s="63"/>
      <c r="GAD2473" s="60"/>
      <c r="GAE2473" s="60"/>
      <c r="GAF2473" s="60"/>
      <c r="GAG2473" s="63"/>
      <c r="GAH2473" s="61"/>
      <c r="GAI2473" s="54"/>
      <c r="GAJ2473" s="54"/>
      <c r="GAK2473" s="63"/>
      <c r="GAL2473" s="60"/>
      <c r="GAM2473" s="60"/>
      <c r="GAN2473" s="60"/>
      <c r="GAO2473" s="63"/>
      <c r="GAP2473" s="61"/>
      <c r="GAQ2473" s="54"/>
      <c r="GAR2473" s="54"/>
      <c r="GAS2473" s="63"/>
      <c r="GAT2473" s="60"/>
      <c r="GAU2473" s="60"/>
      <c r="GAV2473" s="60"/>
      <c r="GAW2473" s="63"/>
      <c r="GAX2473" s="61"/>
      <c r="GAY2473" s="54"/>
      <c r="GAZ2473" s="54"/>
      <c r="GBA2473" s="63"/>
      <c r="GBB2473" s="60"/>
      <c r="GBC2473" s="60"/>
      <c r="GBD2473" s="60"/>
      <c r="GBE2473" s="63"/>
      <c r="GBF2473" s="61"/>
      <c r="GBG2473" s="54"/>
      <c r="GBH2473" s="54"/>
      <c r="GBI2473" s="63"/>
      <c r="GBJ2473" s="60"/>
      <c r="GBK2473" s="60"/>
      <c r="GBL2473" s="60"/>
      <c r="GBM2473" s="63"/>
      <c r="GBN2473" s="61"/>
      <c r="GBO2473" s="54"/>
      <c r="GBP2473" s="54"/>
      <c r="GBQ2473" s="63"/>
      <c r="GBR2473" s="60"/>
      <c r="GBS2473" s="60"/>
      <c r="GBT2473" s="60"/>
      <c r="GBU2473" s="63"/>
      <c r="GBV2473" s="61"/>
      <c r="GBW2473" s="54"/>
      <c r="GBX2473" s="54"/>
      <c r="GBY2473" s="63"/>
      <c r="GBZ2473" s="60"/>
      <c r="GCA2473" s="60"/>
      <c r="GCB2473" s="60"/>
      <c r="GCC2473" s="63"/>
      <c r="GCD2473" s="61"/>
      <c r="GCE2473" s="54"/>
      <c r="GCF2473" s="54"/>
      <c r="GCG2473" s="63"/>
      <c r="GCH2473" s="60"/>
      <c r="GCI2473" s="60"/>
      <c r="GCJ2473" s="60"/>
      <c r="GCK2473" s="63"/>
      <c r="GCL2473" s="61"/>
      <c r="GCM2473" s="54"/>
      <c r="GCN2473" s="54"/>
      <c r="GCO2473" s="63"/>
      <c r="GCP2473" s="60"/>
      <c r="GCQ2473" s="60"/>
      <c r="GCR2473" s="60"/>
      <c r="GCS2473" s="63"/>
      <c r="GCT2473" s="61"/>
      <c r="GCU2473" s="54"/>
      <c r="GCV2473" s="54"/>
      <c r="GCW2473" s="63"/>
      <c r="GCX2473" s="60"/>
      <c r="GCY2473" s="60"/>
      <c r="GCZ2473" s="60"/>
      <c r="GDA2473" s="63"/>
      <c r="GDB2473" s="61"/>
      <c r="GDC2473" s="54"/>
      <c r="GDD2473" s="54"/>
      <c r="GDE2473" s="63"/>
      <c r="GDF2473" s="60"/>
      <c r="GDG2473" s="60"/>
      <c r="GDH2473" s="60"/>
      <c r="GDI2473" s="63"/>
      <c r="GDJ2473" s="61"/>
      <c r="GDK2473" s="54"/>
      <c r="GDL2473" s="54"/>
      <c r="GDM2473" s="63"/>
      <c r="GDN2473" s="60"/>
      <c r="GDO2473" s="60"/>
      <c r="GDP2473" s="60"/>
      <c r="GDQ2473" s="63"/>
      <c r="GDR2473" s="61"/>
      <c r="GDS2473" s="54"/>
      <c r="GDT2473" s="54"/>
      <c r="GDU2473" s="63"/>
      <c r="GDV2473" s="60"/>
      <c r="GDW2473" s="60"/>
      <c r="GDX2473" s="60"/>
      <c r="GDY2473" s="63"/>
      <c r="GDZ2473" s="61"/>
      <c r="GEA2473" s="54"/>
      <c r="GEB2473" s="54"/>
      <c r="GEC2473" s="63"/>
      <c r="GED2473" s="60"/>
      <c r="GEE2473" s="60"/>
      <c r="GEF2473" s="60"/>
      <c r="GEG2473" s="63"/>
      <c r="GEH2473" s="61"/>
      <c r="GEI2473" s="54"/>
      <c r="GEJ2473" s="54"/>
      <c r="GEK2473" s="63"/>
      <c r="GEL2473" s="60"/>
      <c r="GEM2473" s="60"/>
      <c r="GEN2473" s="60"/>
      <c r="GEO2473" s="63"/>
      <c r="GEP2473" s="61"/>
      <c r="GEQ2473" s="54"/>
      <c r="GER2473" s="54"/>
      <c r="GES2473" s="63"/>
      <c r="GET2473" s="60"/>
      <c r="GEU2473" s="60"/>
      <c r="GEV2473" s="60"/>
      <c r="GEW2473" s="63"/>
      <c r="GEX2473" s="61"/>
      <c r="GEY2473" s="54"/>
      <c r="GEZ2473" s="54"/>
      <c r="GFA2473" s="63"/>
      <c r="GFB2473" s="60"/>
      <c r="GFC2473" s="60"/>
      <c r="GFD2473" s="60"/>
      <c r="GFE2473" s="63"/>
      <c r="GFF2473" s="61"/>
      <c r="GFG2473" s="54"/>
      <c r="GFH2473" s="54"/>
      <c r="GFI2473" s="63"/>
      <c r="GFJ2473" s="60"/>
      <c r="GFK2473" s="60"/>
      <c r="GFL2473" s="60"/>
      <c r="GFM2473" s="63"/>
      <c r="GFN2473" s="61"/>
      <c r="GFO2473" s="54"/>
      <c r="GFP2473" s="54"/>
      <c r="GFQ2473" s="63"/>
      <c r="GFR2473" s="60"/>
      <c r="GFS2473" s="60"/>
      <c r="GFT2473" s="60"/>
      <c r="GFU2473" s="63"/>
      <c r="GFV2473" s="61"/>
      <c r="GFW2473" s="54"/>
      <c r="GFX2473" s="54"/>
      <c r="GFY2473" s="63"/>
      <c r="GFZ2473" s="60"/>
      <c r="GGA2473" s="60"/>
      <c r="GGB2473" s="60"/>
      <c r="GGC2473" s="63"/>
      <c r="GGD2473" s="61"/>
      <c r="GGE2473" s="54"/>
      <c r="GGF2473" s="54"/>
      <c r="GGG2473" s="63"/>
      <c r="GGH2473" s="60"/>
      <c r="GGI2473" s="60"/>
      <c r="GGJ2473" s="60"/>
      <c r="GGK2473" s="63"/>
      <c r="GGL2473" s="61"/>
      <c r="GGM2473" s="54"/>
      <c r="GGN2473" s="54"/>
      <c r="GGO2473" s="63"/>
      <c r="GGP2473" s="60"/>
      <c r="GGQ2473" s="60"/>
      <c r="GGR2473" s="60"/>
      <c r="GGS2473" s="63"/>
      <c r="GGT2473" s="61"/>
      <c r="GGU2473" s="54"/>
      <c r="GGV2473" s="54"/>
      <c r="GGW2473" s="63"/>
      <c r="GGX2473" s="60"/>
      <c r="GGY2473" s="60"/>
      <c r="GGZ2473" s="60"/>
      <c r="GHA2473" s="63"/>
      <c r="GHB2473" s="61"/>
      <c r="GHC2473" s="54"/>
      <c r="GHD2473" s="54"/>
      <c r="GHE2473" s="63"/>
      <c r="GHF2473" s="60"/>
      <c r="GHG2473" s="60"/>
      <c r="GHH2473" s="60"/>
      <c r="GHI2473" s="63"/>
      <c r="GHJ2473" s="61"/>
      <c r="GHK2473" s="54"/>
      <c r="GHL2473" s="54"/>
      <c r="GHM2473" s="63"/>
      <c r="GHN2473" s="60"/>
      <c r="GHO2473" s="60"/>
      <c r="GHP2473" s="60"/>
      <c r="GHQ2473" s="63"/>
      <c r="GHR2473" s="61"/>
      <c r="GHS2473" s="54"/>
      <c r="GHT2473" s="54"/>
      <c r="GHU2473" s="63"/>
      <c r="GHV2473" s="60"/>
      <c r="GHW2473" s="60"/>
      <c r="GHX2473" s="60"/>
      <c r="GHY2473" s="63"/>
      <c r="GHZ2473" s="61"/>
      <c r="GIA2473" s="54"/>
      <c r="GIB2473" s="54"/>
      <c r="GIC2473" s="63"/>
      <c r="GID2473" s="60"/>
      <c r="GIE2473" s="60"/>
      <c r="GIF2473" s="60"/>
      <c r="GIG2473" s="63"/>
      <c r="GIH2473" s="61"/>
      <c r="GII2473" s="54"/>
      <c r="GIJ2473" s="54"/>
      <c r="GIK2473" s="63"/>
      <c r="GIL2473" s="60"/>
      <c r="GIM2473" s="60"/>
      <c r="GIN2473" s="60"/>
      <c r="GIO2473" s="63"/>
      <c r="GIP2473" s="61"/>
      <c r="GIQ2473" s="54"/>
      <c r="GIR2473" s="54"/>
      <c r="GIS2473" s="63"/>
      <c r="GIT2473" s="60"/>
      <c r="GIU2473" s="60"/>
      <c r="GIV2473" s="60"/>
      <c r="GIW2473" s="63"/>
      <c r="GIX2473" s="61"/>
      <c r="GIY2473" s="54"/>
      <c r="GIZ2473" s="54"/>
      <c r="GJA2473" s="63"/>
      <c r="GJB2473" s="60"/>
      <c r="GJC2473" s="60"/>
      <c r="GJD2473" s="60"/>
      <c r="GJE2473" s="63"/>
      <c r="GJF2473" s="61"/>
      <c r="GJG2473" s="54"/>
      <c r="GJH2473" s="54"/>
      <c r="GJI2473" s="63"/>
      <c r="GJJ2473" s="60"/>
      <c r="GJK2473" s="60"/>
      <c r="GJL2473" s="60"/>
      <c r="GJM2473" s="63"/>
      <c r="GJN2473" s="61"/>
      <c r="GJO2473" s="54"/>
      <c r="GJP2473" s="54"/>
      <c r="GJQ2473" s="63"/>
      <c r="GJR2473" s="60"/>
      <c r="GJS2473" s="60"/>
      <c r="GJT2473" s="60"/>
      <c r="GJU2473" s="63"/>
      <c r="GJV2473" s="61"/>
      <c r="GJW2473" s="54"/>
      <c r="GJX2473" s="54"/>
      <c r="GJY2473" s="63"/>
      <c r="GJZ2473" s="60"/>
      <c r="GKA2473" s="60"/>
      <c r="GKB2473" s="60"/>
      <c r="GKC2473" s="63"/>
      <c r="GKD2473" s="61"/>
      <c r="GKE2473" s="54"/>
      <c r="GKF2473" s="54"/>
      <c r="GKG2473" s="63"/>
      <c r="GKH2473" s="60"/>
      <c r="GKI2473" s="60"/>
      <c r="GKJ2473" s="60"/>
      <c r="GKK2473" s="63"/>
      <c r="GKL2473" s="61"/>
      <c r="GKM2473" s="54"/>
      <c r="GKN2473" s="54"/>
      <c r="GKO2473" s="63"/>
      <c r="GKP2473" s="60"/>
      <c r="GKQ2473" s="60"/>
      <c r="GKR2473" s="60"/>
      <c r="GKS2473" s="63"/>
      <c r="GKT2473" s="61"/>
      <c r="GKU2473" s="54"/>
      <c r="GKV2473" s="54"/>
      <c r="GKW2473" s="63"/>
      <c r="GKX2473" s="60"/>
      <c r="GKY2473" s="60"/>
      <c r="GKZ2473" s="60"/>
      <c r="GLA2473" s="63"/>
      <c r="GLB2473" s="61"/>
      <c r="GLC2473" s="54"/>
      <c r="GLD2473" s="54"/>
      <c r="GLE2473" s="63"/>
      <c r="GLF2473" s="60"/>
      <c r="GLG2473" s="60"/>
      <c r="GLH2473" s="60"/>
      <c r="GLI2473" s="63"/>
      <c r="GLJ2473" s="61"/>
      <c r="GLK2473" s="54"/>
      <c r="GLL2473" s="54"/>
      <c r="GLM2473" s="63"/>
      <c r="GLN2473" s="60"/>
      <c r="GLO2473" s="60"/>
      <c r="GLP2473" s="60"/>
      <c r="GLQ2473" s="63"/>
      <c r="GLR2473" s="61"/>
      <c r="GLS2473" s="54"/>
      <c r="GLT2473" s="54"/>
      <c r="GLU2473" s="63"/>
      <c r="GLV2473" s="60"/>
      <c r="GLW2473" s="60"/>
      <c r="GLX2473" s="60"/>
      <c r="GLY2473" s="63"/>
      <c r="GLZ2473" s="61"/>
      <c r="GMA2473" s="54"/>
      <c r="GMB2473" s="54"/>
      <c r="GMC2473" s="63"/>
      <c r="GMD2473" s="60"/>
      <c r="GME2473" s="60"/>
      <c r="GMF2473" s="60"/>
      <c r="GMG2473" s="63"/>
      <c r="GMH2473" s="61"/>
      <c r="GMI2473" s="54"/>
      <c r="GMJ2473" s="54"/>
      <c r="GMK2473" s="63"/>
      <c r="GML2473" s="60"/>
      <c r="GMM2473" s="60"/>
      <c r="GMN2473" s="60"/>
      <c r="GMO2473" s="63"/>
      <c r="GMP2473" s="61"/>
      <c r="GMQ2473" s="54"/>
      <c r="GMR2473" s="54"/>
      <c r="GMS2473" s="63"/>
      <c r="GMT2473" s="60"/>
      <c r="GMU2473" s="60"/>
      <c r="GMV2473" s="60"/>
      <c r="GMW2473" s="63"/>
      <c r="GMX2473" s="61"/>
      <c r="GMY2473" s="54"/>
      <c r="GMZ2473" s="54"/>
      <c r="GNA2473" s="63"/>
      <c r="GNB2473" s="60"/>
      <c r="GNC2473" s="60"/>
      <c r="GND2473" s="60"/>
      <c r="GNE2473" s="63"/>
      <c r="GNF2473" s="61"/>
      <c r="GNG2473" s="54"/>
      <c r="GNH2473" s="54"/>
      <c r="GNI2473" s="63"/>
      <c r="GNJ2473" s="60"/>
      <c r="GNK2473" s="60"/>
      <c r="GNL2473" s="60"/>
      <c r="GNM2473" s="63"/>
      <c r="GNN2473" s="61"/>
      <c r="GNO2473" s="54"/>
      <c r="GNP2473" s="54"/>
      <c r="GNQ2473" s="63"/>
      <c r="GNR2473" s="60"/>
      <c r="GNS2473" s="60"/>
      <c r="GNT2473" s="60"/>
      <c r="GNU2473" s="63"/>
      <c r="GNV2473" s="61"/>
      <c r="GNW2473" s="54"/>
      <c r="GNX2473" s="54"/>
      <c r="GNY2473" s="63"/>
      <c r="GNZ2473" s="60"/>
      <c r="GOA2473" s="60"/>
      <c r="GOB2473" s="60"/>
      <c r="GOC2473" s="63"/>
      <c r="GOD2473" s="61"/>
      <c r="GOE2473" s="54"/>
      <c r="GOF2473" s="54"/>
      <c r="GOG2473" s="63"/>
      <c r="GOH2473" s="60"/>
      <c r="GOI2473" s="60"/>
      <c r="GOJ2473" s="60"/>
      <c r="GOK2473" s="63"/>
      <c r="GOL2473" s="61"/>
      <c r="GOM2473" s="54"/>
      <c r="GON2473" s="54"/>
      <c r="GOO2473" s="63"/>
      <c r="GOP2473" s="60"/>
      <c r="GOQ2473" s="60"/>
      <c r="GOR2473" s="60"/>
      <c r="GOS2473" s="63"/>
      <c r="GOT2473" s="61"/>
      <c r="GOU2473" s="54"/>
      <c r="GOV2473" s="54"/>
      <c r="GOW2473" s="63"/>
      <c r="GOX2473" s="60"/>
      <c r="GOY2473" s="60"/>
      <c r="GOZ2473" s="60"/>
      <c r="GPA2473" s="63"/>
      <c r="GPB2473" s="61"/>
      <c r="GPC2473" s="54"/>
      <c r="GPD2473" s="54"/>
      <c r="GPE2473" s="63"/>
      <c r="GPF2473" s="60"/>
      <c r="GPG2473" s="60"/>
      <c r="GPH2473" s="60"/>
      <c r="GPI2473" s="63"/>
      <c r="GPJ2473" s="61"/>
      <c r="GPK2473" s="54"/>
      <c r="GPL2473" s="54"/>
      <c r="GPM2473" s="63"/>
      <c r="GPN2473" s="60"/>
      <c r="GPO2473" s="60"/>
      <c r="GPP2473" s="60"/>
      <c r="GPQ2473" s="63"/>
      <c r="GPR2473" s="61"/>
      <c r="GPS2473" s="54"/>
      <c r="GPT2473" s="54"/>
      <c r="GPU2473" s="63"/>
      <c r="GPV2473" s="60"/>
      <c r="GPW2473" s="60"/>
      <c r="GPX2473" s="60"/>
      <c r="GPY2473" s="63"/>
      <c r="GPZ2473" s="61"/>
      <c r="GQA2473" s="54"/>
      <c r="GQB2473" s="54"/>
      <c r="GQC2473" s="63"/>
      <c r="GQD2473" s="60"/>
      <c r="GQE2473" s="60"/>
      <c r="GQF2473" s="60"/>
      <c r="GQG2473" s="63"/>
      <c r="GQH2473" s="61"/>
      <c r="GQI2473" s="54"/>
      <c r="GQJ2473" s="54"/>
      <c r="GQK2473" s="63"/>
      <c r="GQL2473" s="60"/>
      <c r="GQM2473" s="60"/>
      <c r="GQN2473" s="60"/>
      <c r="GQO2473" s="63"/>
      <c r="GQP2473" s="61"/>
      <c r="GQQ2473" s="54"/>
      <c r="GQR2473" s="54"/>
      <c r="GQS2473" s="63"/>
      <c r="GQT2473" s="60"/>
      <c r="GQU2473" s="60"/>
      <c r="GQV2473" s="60"/>
      <c r="GQW2473" s="63"/>
      <c r="GQX2473" s="61"/>
      <c r="GQY2473" s="54"/>
      <c r="GQZ2473" s="54"/>
      <c r="GRA2473" s="63"/>
      <c r="GRB2473" s="60"/>
      <c r="GRC2473" s="60"/>
      <c r="GRD2473" s="60"/>
      <c r="GRE2473" s="63"/>
      <c r="GRF2473" s="61"/>
      <c r="GRG2473" s="54"/>
      <c r="GRH2473" s="54"/>
      <c r="GRI2473" s="63"/>
      <c r="GRJ2473" s="60"/>
      <c r="GRK2473" s="60"/>
      <c r="GRL2473" s="60"/>
      <c r="GRM2473" s="63"/>
      <c r="GRN2473" s="61"/>
      <c r="GRO2473" s="54"/>
      <c r="GRP2473" s="54"/>
      <c r="GRQ2473" s="63"/>
      <c r="GRR2473" s="60"/>
      <c r="GRS2473" s="60"/>
      <c r="GRT2473" s="60"/>
      <c r="GRU2473" s="63"/>
      <c r="GRV2473" s="61"/>
      <c r="GRW2473" s="54"/>
      <c r="GRX2473" s="54"/>
      <c r="GRY2473" s="63"/>
      <c r="GRZ2473" s="60"/>
      <c r="GSA2473" s="60"/>
      <c r="GSB2473" s="60"/>
      <c r="GSC2473" s="63"/>
      <c r="GSD2473" s="61"/>
      <c r="GSE2473" s="54"/>
      <c r="GSF2473" s="54"/>
      <c r="GSG2473" s="63"/>
      <c r="GSH2473" s="60"/>
      <c r="GSI2473" s="60"/>
      <c r="GSJ2473" s="60"/>
      <c r="GSK2473" s="63"/>
      <c r="GSL2473" s="61"/>
      <c r="GSM2473" s="54"/>
      <c r="GSN2473" s="54"/>
      <c r="GSO2473" s="63"/>
      <c r="GSP2473" s="60"/>
      <c r="GSQ2473" s="60"/>
      <c r="GSR2473" s="60"/>
      <c r="GSS2473" s="63"/>
      <c r="GST2473" s="61"/>
      <c r="GSU2473" s="54"/>
      <c r="GSV2473" s="54"/>
      <c r="GSW2473" s="63"/>
      <c r="GSX2473" s="60"/>
      <c r="GSY2473" s="60"/>
      <c r="GSZ2473" s="60"/>
      <c r="GTA2473" s="63"/>
      <c r="GTB2473" s="61"/>
      <c r="GTC2473" s="54"/>
      <c r="GTD2473" s="54"/>
      <c r="GTE2473" s="63"/>
      <c r="GTF2473" s="60"/>
      <c r="GTG2473" s="60"/>
      <c r="GTH2473" s="60"/>
      <c r="GTI2473" s="63"/>
      <c r="GTJ2473" s="61"/>
      <c r="GTK2473" s="54"/>
      <c r="GTL2473" s="54"/>
      <c r="GTM2473" s="63"/>
      <c r="GTN2473" s="60"/>
      <c r="GTO2473" s="60"/>
      <c r="GTP2473" s="60"/>
      <c r="GTQ2473" s="63"/>
      <c r="GTR2473" s="61"/>
      <c r="GTS2473" s="54"/>
      <c r="GTT2473" s="54"/>
      <c r="GTU2473" s="63"/>
      <c r="GTV2473" s="60"/>
      <c r="GTW2473" s="60"/>
      <c r="GTX2473" s="60"/>
      <c r="GTY2473" s="63"/>
      <c r="GTZ2473" s="61"/>
      <c r="GUA2473" s="54"/>
      <c r="GUB2473" s="54"/>
      <c r="GUC2473" s="63"/>
      <c r="GUD2473" s="60"/>
      <c r="GUE2473" s="60"/>
      <c r="GUF2473" s="60"/>
      <c r="GUG2473" s="63"/>
      <c r="GUH2473" s="61"/>
      <c r="GUI2473" s="54"/>
      <c r="GUJ2473" s="54"/>
      <c r="GUK2473" s="63"/>
      <c r="GUL2473" s="60"/>
      <c r="GUM2473" s="60"/>
      <c r="GUN2473" s="60"/>
      <c r="GUO2473" s="63"/>
      <c r="GUP2473" s="61"/>
      <c r="GUQ2473" s="54"/>
      <c r="GUR2473" s="54"/>
      <c r="GUS2473" s="63"/>
      <c r="GUT2473" s="60"/>
      <c r="GUU2473" s="60"/>
      <c r="GUV2473" s="60"/>
      <c r="GUW2473" s="63"/>
      <c r="GUX2473" s="61"/>
      <c r="GUY2473" s="54"/>
      <c r="GUZ2473" s="54"/>
      <c r="GVA2473" s="63"/>
      <c r="GVB2473" s="60"/>
      <c r="GVC2473" s="60"/>
      <c r="GVD2473" s="60"/>
      <c r="GVE2473" s="63"/>
      <c r="GVF2473" s="61"/>
      <c r="GVG2473" s="54"/>
      <c r="GVH2473" s="54"/>
      <c r="GVI2473" s="63"/>
      <c r="GVJ2473" s="60"/>
      <c r="GVK2473" s="60"/>
      <c r="GVL2473" s="60"/>
      <c r="GVM2473" s="63"/>
      <c r="GVN2473" s="61"/>
      <c r="GVO2473" s="54"/>
      <c r="GVP2473" s="54"/>
      <c r="GVQ2473" s="63"/>
      <c r="GVR2473" s="60"/>
      <c r="GVS2473" s="60"/>
      <c r="GVT2473" s="60"/>
      <c r="GVU2473" s="63"/>
      <c r="GVV2473" s="61"/>
      <c r="GVW2473" s="54"/>
      <c r="GVX2473" s="54"/>
      <c r="GVY2473" s="63"/>
      <c r="GVZ2473" s="60"/>
      <c r="GWA2473" s="60"/>
      <c r="GWB2473" s="60"/>
      <c r="GWC2473" s="63"/>
      <c r="GWD2473" s="61"/>
      <c r="GWE2473" s="54"/>
      <c r="GWF2473" s="54"/>
      <c r="GWG2473" s="63"/>
      <c r="GWH2473" s="60"/>
      <c r="GWI2473" s="60"/>
      <c r="GWJ2473" s="60"/>
      <c r="GWK2473" s="63"/>
      <c r="GWL2473" s="61"/>
      <c r="GWM2473" s="54"/>
      <c r="GWN2473" s="54"/>
      <c r="GWO2473" s="63"/>
      <c r="GWP2473" s="60"/>
      <c r="GWQ2473" s="60"/>
      <c r="GWR2473" s="60"/>
      <c r="GWS2473" s="63"/>
      <c r="GWT2473" s="61"/>
      <c r="GWU2473" s="54"/>
      <c r="GWV2473" s="54"/>
      <c r="GWW2473" s="63"/>
      <c r="GWX2473" s="60"/>
      <c r="GWY2473" s="60"/>
      <c r="GWZ2473" s="60"/>
      <c r="GXA2473" s="63"/>
      <c r="GXB2473" s="61"/>
      <c r="GXC2473" s="54"/>
      <c r="GXD2473" s="54"/>
      <c r="GXE2473" s="63"/>
      <c r="GXF2473" s="60"/>
      <c r="GXG2473" s="60"/>
      <c r="GXH2473" s="60"/>
      <c r="GXI2473" s="63"/>
      <c r="GXJ2473" s="61"/>
      <c r="GXK2473" s="54"/>
      <c r="GXL2473" s="54"/>
      <c r="GXM2473" s="63"/>
      <c r="GXN2473" s="60"/>
      <c r="GXO2473" s="60"/>
      <c r="GXP2473" s="60"/>
      <c r="GXQ2473" s="63"/>
      <c r="GXR2473" s="61"/>
      <c r="GXS2473" s="54"/>
      <c r="GXT2473" s="54"/>
      <c r="GXU2473" s="63"/>
      <c r="GXV2473" s="60"/>
      <c r="GXW2473" s="60"/>
      <c r="GXX2473" s="60"/>
      <c r="GXY2473" s="63"/>
      <c r="GXZ2473" s="61"/>
      <c r="GYA2473" s="54"/>
      <c r="GYB2473" s="54"/>
      <c r="GYC2473" s="63"/>
      <c r="GYD2473" s="60"/>
      <c r="GYE2473" s="60"/>
      <c r="GYF2473" s="60"/>
      <c r="GYG2473" s="63"/>
      <c r="GYH2473" s="61"/>
      <c r="GYI2473" s="54"/>
      <c r="GYJ2473" s="54"/>
      <c r="GYK2473" s="63"/>
      <c r="GYL2473" s="60"/>
      <c r="GYM2473" s="60"/>
      <c r="GYN2473" s="60"/>
      <c r="GYO2473" s="63"/>
      <c r="GYP2473" s="61"/>
      <c r="GYQ2473" s="54"/>
      <c r="GYR2473" s="54"/>
      <c r="GYS2473" s="63"/>
      <c r="GYT2473" s="60"/>
      <c r="GYU2473" s="60"/>
      <c r="GYV2473" s="60"/>
      <c r="GYW2473" s="63"/>
      <c r="GYX2473" s="61"/>
      <c r="GYY2473" s="54"/>
      <c r="GYZ2473" s="54"/>
      <c r="GZA2473" s="63"/>
      <c r="GZB2473" s="60"/>
      <c r="GZC2473" s="60"/>
      <c r="GZD2473" s="60"/>
      <c r="GZE2473" s="63"/>
      <c r="GZF2473" s="61"/>
      <c r="GZG2473" s="54"/>
      <c r="GZH2473" s="54"/>
      <c r="GZI2473" s="63"/>
      <c r="GZJ2473" s="60"/>
      <c r="GZK2473" s="60"/>
      <c r="GZL2473" s="60"/>
      <c r="GZM2473" s="63"/>
      <c r="GZN2473" s="61"/>
      <c r="GZO2473" s="54"/>
      <c r="GZP2473" s="54"/>
      <c r="GZQ2473" s="63"/>
      <c r="GZR2473" s="60"/>
      <c r="GZS2473" s="60"/>
      <c r="GZT2473" s="60"/>
      <c r="GZU2473" s="63"/>
      <c r="GZV2473" s="61"/>
      <c r="GZW2473" s="54"/>
      <c r="GZX2473" s="54"/>
      <c r="GZY2473" s="63"/>
      <c r="GZZ2473" s="60"/>
      <c r="HAA2473" s="60"/>
      <c r="HAB2473" s="60"/>
      <c r="HAC2473" s="63"/>
      <c r="HAD2473" s="61"/>
      <c r="HAE2473" s="54"/>
      <c r="HAF2473" s="54"/>
      <c r="HAG2473" s="63"/>
      <c r="HAH2473" s="60"/>
      <c r="HAI2473" s="60"/>
      <c r="HAJ2473" s="60"/>
      <c r="HAK2473" s="63"/>
      <c r="HAL2473" s="61"/>
      <c r="HAM2473" s="54"/>
      <c r="HAN2473" s="54"/>
      <c r="HAO2473" s="63"/>
      <c r="HAP2473" s="60"/>
      <c r="HAQ2473" s="60"/>
      <c r="HAR2473" s="60"/>
      <c r="HAS2473" s="63"/>
      <c r="HAT2473" s="61"/>
      <c r="HAU2473" s="54"/>
      <c r="HAV2473" s="54"/>
      <c r="HAW2473" s="63"/>
      <c r="HAX2473" s="60"/>
      <c r="HAY2473" s="60"/>
      <c r="HAZ2473" s="60"/>
      <c r="HBA2473" s="63"/>
      <c r="HBB2473" s="61"/>
      <c r="HBC2473" s="54"/>
      <c r="HBD2473" s="54"/>
      <c r="HBE2473" s="63"/>
      <c r="HBF2473" s="60"/>
      <c r="HBG2473" s="60"/>
      <c r="HBH2473" s="60"/>
      <c r="HBI2473" s="63"/>
      <c r="HBJ2473" s="61"/>
      <c r="HBK2473" s="54"/>
      <c r="HBL2473" s="54"/>
      <c r="HBM2473" s="63"/>
      <c r="HBN2473" s="60"/>
      <c r="HBO2473" s="60"/>
      <c r="HBP2473" s="60"/>
      <c r="HBQ2473" s="63"/>
      <c r="HBR2473" s="61"/>
      <c r="HBS2473" s="54"/>
      <c r="HBT2473" s="54"/>
      <c r="HBU2473" s="63"/>
      <c r="HBV2473" s="60"/>
      <c r="HBW2473" s="60"/>
      <c r="HBX2473" s="60"/>
      <c r="HBY2473" s="63"/>
      <c r="HBZ2473" s="61"/>
      <c r="HCA2473" s="54"/>
      <c r="HCB2473" s="54"/>
      <c r="HCC2473" s="63"/>
      <c r="HCD2473" s="60"/>
      <c r="HCE2473" s="60"/>
      <c r="HCF2473" s="60"/>
      <c r="HCG2473" s="63"/>
      <c r="HCH2473" s="61"/>
      <c r="HCI2473" s="54"/>
      <c r="HCJ2473" s="54"/>
      <c r="HCK2473" s="63"/>
      <c r="HCL2473" s="60"/>
      <c r="HCM2473" s="60"/>
      <c r="HCN2473" s="60"/>
      <c r="HCO2473" s="63"/>
      <c r="HCP2473" s="61"/>
      <c r="HCQ2473" s="54"/>
      <c r="HCR2473" s="54"/>
      <c r="HCS2473" s="63"/>
      <c r="HCT2473" s="60"/>
      <c r="HCU2473" s="60"/>
      <c r="HCV2473" s="60"/>
      <c r="HCW2473" s="63"/>
      <c r="HCX2473" s="61"/>
      <c r="HCY2473" s="54"/>
      <c r="HCZ2473" s="54"/>
      <c r="HDA2473" s="63"/>
      <c r="HDB2473" s="60"/>
      <c r="HDC2473" s="60"/>
      <c r="HDD2473" s="60"/>
      <c r="HDE2473" s="63"/>
      <c r="HDF2473" s="61"/>
      <c r="HDG2473" s="54"/>
      <c r="HDH2473" s="54"/>
      <c r="HDI2473" s="63"/>
      <c r="HDJ2473" s="60"/>
      <c r="HDK2473" s="60"/>
      <c r="HDL2473" s="60"/>
      <c r="HDM2473" s="63"/>
      <c r="HDN2473" s="61"/>
      <c r="HDO2473" s="54"/>
      <c r="HDP2473" s="54"/>
      <c r="HDQ2473" s="63"/>
      <c r="HDR2473" s="60"/>
      <c r="HDS2473" s="60"/>
      <c r="HDT2473" s="60"/>
      <c r="HDU2473" s="63"/>
      <c r="HDV2473" s="61"/>
      <c r="HDW2473" s="54"/>
      <c r="HDX2473" s="54"/>
      <c r="HDY2473" s="63"/>
      <c r="HDZ2473" s="60"/>
      <c r="HEA2473" s="60"/>
      <c r="HEB2473" s="60"/>
      <c r="HEC2473" s="63"/>
      <c r="HED2473" s="61"/>
      <c r="HEE2473" s="54"/>
      <c r="HEF2473" s="54"/>
      <c r="HEG2473" s="63"/>
      <c r="HEH2473" s="60"/>
      <c r="HEI2473" s="60"/>
      <c r="HEJ2473" s="60"/>
      <c r="HEK2473" s="63"/>
      <c r="HEL2473" s="61"/>
      <c r="HEM2473" s="54"/>
      <c r="HEN2473" s="54"/>
      <c r="HEO2473" s="63"/>
      <c r="HEP2473" s="60"/>
      <c r="HEQ2473" s="60"/>
      <c r="HER2473" s="60"/>
      <c r="HES2473" s="63"/>
      <c r="HET2473" s="61"/>
      <c r="HEU2473" s="54"/>
      <c r="HEV2473" s="54"/>
      <c r="HEW2473" s="63"/>
      <c r="HEX2473" s="60"/>
      <c r="HEY2473" s="60"/>
      <c r="HEZ2473" s="60"/>
      <c r="HFA2473" s="63"/>
      <c r="HFB2473" s="61"/>
      <c r="HFC2473" s="54"/>
      <c r="HFD2473" s="54"/>
      <c r="HFE2473" s="63"/>
      <c r="HFF2473" s="60"/>
      <c r="HFG2473" s="60"/>
      <c r="HFH2473" s="60"/>
      <c r="HFI2473" s="63"/>
      <c r="HFJ2473" s="61"/>
      <c r="HFK2473" s="54"/>
      <c r="HFL2473" s="54"/>
      <c r="HFM2473" s="63"/>
      <c r="HFN2473" s="60"/>
      <c r="HFO2473" s="60"/>
      <c r="HFP2473" s="60"/>
      <c r="HFQ2473" s="63"/>
      <c r="HFR2473" s="61"/>
      <c r="HFS2473" s="54"/>
      <c r="HFT2473" s="54"/>
      <c r="HFU2473" s="63"/>
      <c r="HFV2473" s="60"/>
      <c r="HFW2473" s="60"/>
      <c r="HFX2473" s="60"/>
      <c r="HFY2473" s="63"/>
      <c r="HFZ2473" s="61"/>
      <c r="HGA2473" s="54"/>
      <c r="HGB2473" s="54"/>
      <c r="HGC2473" s="63"/>
      <c r="HGD2473" s="60"/>
      <c r="HGE2473" s="60"/>
      <c r="HGF2473" s="60"/>
      <c r="HGG2473" s="63"/>
      <c r="HGH2473" s="61"/>
      <c r="HGI2473" s="54"/>
      <c r="HGJ2473" s="54"/>
      <c r="HGK2473" s="63"/>
      <c r="HGL2473" s="60"/>
      <c r="HGM2473" s="60"/>
      <c r="HGN2473" s="60"/>
      <c r="HGO2473" s="63"/>
      <c r="HGP2473" s="61"/>
      <c r="HGQ2473" s="54"/>
      <c r="HGR2473" s="54"/>
      <c r="HGS2473" s="63"/>
      <c r="HGT2473" s="60"/>
      <c r="HGU2473" s="60"/>
      <c r="HGV2473" s="60"/>
      <c r="HGW2473" s="63"/>
      <c r="HGX2473" s="61"/>
      <c r="HGY2473" s="54"/>
      <c r="HGZ2473" s="54"/>
      <c r="HHA2473" s="63"/>
      <c r="HHB2473" s="60"/>
      <c r="HHC2473" s="60"/>
      <c r="HHD2473" s="60"/>
      <c r="HHE2473" s="63"/>
      <c r="HHF2473" s="61"/>
      <c r="HHG2473" s="54"/>
      <c r="HHH2473" s="54"/>
      <c r="HHI2473" s="63"/>
      <c r="HHJ2473" s="60"/>
      <c r="HHK2473" s="60"/>
      <c r="HHL2473" s="60"/>
      <c r="HHM2473" s="63"/>
      <c r="HHN2473" s="61"/>
      <c r="HHO2473" s="54"/>
      <c r="HHP2473" s="54"/>
      <c r="HHQ2473" s="63"/>
      <c r="HHR2473" s="60"/>
      <c r="HHS2473" s="60"/>
      <c r="HHT2473" s="60"/>
      <c r="HHU2473" s="63"/>
      <c r="HHV2473" s="61"/>
      <c r="HHW2473" s="54"/>
      <c r="HHX2473" s="54"/>
      <c r="HHY2473" s="63"/>
      <c r="HHZ2473" s="60"/>
      <c r="HIA2473" s="60"/>
      <c r="HIB2473" s="60"/>
      <c r="HIC2473" s="63"/>
      <c r="HID2473" s="61"/>
      <c r="HIE2473" s="54"/>
      <c r="HIF2473" s="54"/>
      <c r="HIG2473" s="63"/>
      <c r="HIH2473" s="60"/>
      <c r="HII2473" s="60"/>
      <c r="HIJ2473" s="60"/>
      <c r="HIK2473" s="63"/>
      <c r="HIL2473" s="61"/>
      <c r="HIM2473" s="54"/>
      <c r="HIN2473" s="54"/>
      <c r="HIO2473" s="63"/>
      <c r="HIP2473" s="60"/>
      <c r="HIQ2473" s="60"/>
      <c r="HIR2473" s="60"/>
      <c r="HIS2473" s="63"/>
      <c r="HIT2473" s="61"/>
      <c r="HIU2473" s="54"/>
      <c r="HIV2473" s="54"/>
      <c r="HIW2473" s="63"/>
      <c r="HIX2473" s="60"/>
      <c r="HIY2473" s="60"/>
      <c r="HIZ2473" s="60"/>
      <c r="HJA2473" s="63"/>
      <c r="HJB2473" s="61"/>
      <c r="HJC2473" s="54"/>
      <c r="HJD2473" s="54"/>
      <c r="HJE2473" s="63"/>
      <c r="HJF2473" s="60"/>
      <c r="HJG2473" s="60"/>
      <c r="HJH2473" s="60"/>
      <c r="HJI2473" s="63"/>
      <c r="HJJ2473" s="61"/>
      <c r="HJK2473" s="54"/>
      <c r="HJL2473" s="54"/>
      <c r="HJM2473" s="63"/>
      <c r="HJN2473" s="60"/>
      <c r="HJO2473" s="60"/>
      <c r="HJP2473" s="60"/>
      <c r="HJQ2473" s="63"/>
      <c r="HJR2473" s="61"/>
      <c r="HJS2473" s="54"/>
      <c r="HJT2473" s="54"/>
      <c r="HJU2473" s="63"/>
      <c r="HJV2473" s="60"/>
      <c r="HJW2473" s="60"/>
      <c r="HJX2473" s="60"/>
      <c r="HJY2473" s="63"/>
      <c r="HJZ2473" s="61"/>
      <c r="HKA2473" s="54"/>
      <c r="HKB2473" s="54"/>
      <c r="HKC2473" s="63"/>
      <c r="HKD2473" s="60"/>
      <c r="HKE2473" s="60"/>
      <c r="HKF2473" s="60"/>
      <c r="HKG2473" s="63"/>
      <c r="HKH2473" s="61"/>
      <c r="HKI2473" s="54"/>
      <c r="HKJ2473" s="54"/>
      <c r="HKK2473" s="63"/>
      <c r="HKL2473" s="60"/>
      <c r="HKM2473" s="60"/>
      <c r="HKN2473" s="60"/>
      <c r="HKO2473" s="63"/>
      <c r="HKP2473" s="61"/>
      <c r="HKQ2473" s="54"/>
      <c r="HKR2473" s="54"/>
      <c r="HKS2473" s="63"/>
      <c r="HKT2473" s="60"/>
      <c r="HKU2473" s="60"/>
      <c r="HKV2473" s="60"/>
      <c r="HKW2473" s="63"/>
      <c r="HKX2473" s="61"/>
      <c r="HKY2473" s="54"/>
      <c r="HKZ2473" s="54"/>
      <c r="HLA2473" s="63"/>
      <c r="HLB2473" s="60"/>
      <c r="HLC2473" s="60"/>
      <c r="HLD2473" s="60"/>
      <c r="HLE2473" s="63"/>
      <c r="HLF2473" s="61"/>
      <c r="HLG2473" s="54"/>
      <c r="HLH2473" s="54"/>
      <c r="HLI2473" s="63"/>
      <c r="HLJ2473" s="60"/>
      <c r="HLK2473" s="60"/>
      <c r="HLL2473" s="60"/>
      <c r="HLM2473" s="63"/>
      <c r="HLN2473" s="61"/>
      <c r="HLO2473" s="54"/>
      <c r="HLP2473" s="54"/>
      <c r="HLQ2473" s="63"/>
      <c r="HLR2473" s="60"/>
      <c r="HLS2473" s="60"/>
      <c r="HLT2473" s="60"/>
      <c r="HLU2473" s="63"/>
      <c r="HLV2473" s="61"/>
      <c r="HLW2473" s="54"/>
      <c r="HLX2473" s="54"/>
      <c r="HLY2473" s="63"/>
      <c r="HLZ2473" s="60"/>
      <c r="HMA2473" s="60"/>
      <c r="HMB2473" s="60"/>
      <c r="HMC2473" s="63"/>
      <c r="HMD2473" s="61"/>
      <c r="HME2473" s="54"/>
      <c r="HMF2473" s="54"/>
      <c r="HMG2473" s="63"/>
      <c r="HMH2473" s="60"/>
      <c r="HMI2473" s="60"/>
      <c r="HMJ2473" s="60"/>
      <c r="HMK2473" s="63"/>
      <c r="HML2473" s="61"/>
      <c r="HMM2473" s="54"/>
      <c r="HMN2473" s="54"/>
      <c r="HMO2473" s="63"/>
      <c r="HMP2473" s="60"/>
      <c r="HMQ2473" s="60"/>
      <c r="HMR2473" s="60"/>
      <c r="HMS2473" s="63"/>
      <c r="HMT2473" s="61"/>
      <c r="HMU2473" s="54"/>
      <c r="HMV2473" s="54"/>
      <c r="HMW2473" s="63"/>
      <c r="HMX2473" s="60"/>
      <c r="HMY2473" s="60"/>
      <c r="HMZ2473" s="60"/>
      <c r="HNA2473" s="63"/>
      <c r="HNB2473" s="61"/>
      <c r="HNC2473" s="54"/>
      <c r="HND2473" s="54"/>
      <c r="HNE2473" s="63"/>
      <c r="HNF2473" s="60"/>
      <c r="HNG2473" s="60"/>
      <c r="HNH2473" s="60"/>
      <c r="HNI2473" s="63"/>
      <c r="HNJ2473" s="61"/>
      <c r="HNK2473" s="54"/>
      <c r="HNL2473" s="54"/>
      <c r="HNM2473" s="63"/>
      <c r="HNN2473" s="60"/>
      <c r="HNO2473" s="60"/>
      <c r="HNP2473" s="60"/>
      <c r="HNQ2473" s="63"/>
      <c r="HNR2473" s="61"/>
      <c r="HNS2473" s="54"/>
      <c r="HNT2473" s="54"/>
      <c r="HNU2473" s="63"/>
      <c r="HNV2473" s="60"/>
      <c r="HNW2473" s="60"/>
      <c r="HNX2473" s="60"/>
      <c r="HNY2473" s="63"/>
      <c r="HNZ2473" s="61"/>
      <c r="HOA2473" s="54"/>
      <c r="HOB2473" s="54"/>
      <c r="HOC2473" s="63"/>
      <c r="HOD2473" s="60"/>
      <c r="HOE2473" s="60"/>
      <c r="HOF2473" s="60"/>
      <c r="HOG2473" s="63"/>
      <c r="HOH2473" s="61"/>
      <c r="HOI2473" s="54"/>
      <c r="HOJ2473" s="54"/>
      <c r="HOK2473" s="63"/>
      <c r="HOL2473" s="60"/>
      <c r="HOM2473" s="60"/>
      <c r="HON2473" s="60"/>
      <c r="HOO2473" s="63"/>
      <c r="HOP2473" s="61"/>
      <c r="HOQ2473" s="54"/>
      <c r="HOR2473" s="54"/>
      <c r="HOS2473" s="63"/>
      <c r="HOT2473" s="60"/>
      <c r="HOU2473" s="60"/>
      <c r="HOV2473" s="60"/>
      <c r="HOW2473" s="63"/>
      <c r="HOX2473" s="61"/>
      <c r="HOY2473" s="54"/>
      <c r="HOZ2473" s="54"/>
      <c r="HPA2473" s="63"/>
      <c r="HPB2473" s="60"/>
      <c r="HPC2473" s="60"/>
      <c r="HPD2473" s="60"/>
      <c r="HPE2473" s="63"/>
      <c r="HPF2473" s="61"/>
      <c r="HPG2473" s="54"/>
      <c r="HPH2473" s="54"/>
      <c r="HPI2473" s="63"/>
      <c r="HPJ2473" s="60"/>
      <c r="HPK2473" s="60"/>
      <c r="HPL2473" s="60"/>
      <c r="HPM2473" s="63"/>
      <c r="HPN2473" s="61"/>
      <c r="HPO2473" s="54"/>
      <c r="HPP2473" s="54"/>
      <c r="HPQ2473" s="63"/>
      <c r="HPR2473" s="60"/>
      <c r="HPS2473" s="60"/>
      <c r="HPT2473" s="60"/>
      <c r="HPU2473" s="63"/>
      <c r="HPV2473" s="61"/>
      <c r="HPW2473" s="54"/>
      <c r="HPX2473" s="54"/>
      <c r="HPY2473" s="63"/>
      <c r="HPZ2473" s="60"/>
      <c r="HQA2473" s="60"/>
      <c r="HQB2473" s="60"/>
      <c r="HQC2473" s="63"/>
      <c r="HQD2473" s="61"/>
      <c r="HQE2473" s="54"/>
      <c r="HQF2473" s="54"/>
      <c r="HQG2473" s="63"/>
      <c r="HQH2473" s="60"/>
      <c r="HQI2473" s="60"/>
      <c r="HQJ2473" s="60"/>
      <c r="HQK2473" s="63"/>
      <c r="HQL2473" s="61"/>
      <c r="HQM2473" s="54"/>
      <c r="HQN2473" s="54"/>
      <c r="HQO2473" s="63"/>
      <c r="HQP2473" s="60"/>
      <c r="HQQ2473" s="60"/>
      <c r="HQR2473" s="60"/>
      <c r="HQS2473" s="63"/>
      <c r="HQT2473" s="61"/>
      <c r="HQU2473" s="54"/>
      <c r="HQV2473" s="54"/>
      <c r="HQW2473" s="63"/>
      <c r="HQX2473" s="60"/>
      <c r="HQY2473" s="60"/>
      <c r="HQZ2473" s="60"/>
      <c r="HRA2473" s="63"/>
      <c r="HRB2473" s="61"/>
      <c r="HRC2473" s="54"/>
      <c r="HRD2473" s="54"/>
      <c r="HRE2473" s="63"/>
      <c r="HRF2473" s="60"/>
      <c r="HRG2473" s="60"/>
      <c r="HRH2473" s="60"/>
      <c r="HRI2473" s="63"/>
      <c r="HRJ2473" s="61"/>
      <c r="HRK2473" s="54"/>
      <c r="HRL2473" s="54"/>
      <c r="HRM2473" s="63"/>
      <c r="HRN2473" s="60"/>
      <c r="HRO2473" s="60"/>
      <c r="HRP2473" s="60"/>
      <c r="HRQ2473" s="63"/>
      <c r="HRR2473" s="61"/>
      <c r="HRS2473" s="54"/>
      <c r="HRT2473" s="54"/>
      <c r="HRU2473" s="63"/>
      <c r="HRV2473" s="60"/>
      <c r="HRW2473" s="60"/>
      <c r="HRX2473" s="60"/>
      <c r="HRY2473" s="63"/>
      <c r="HRZ2473" s="61"/>
      <c r="HSA2473" s="54"/>
      <c r="HSB2473" s="54"/>
      <c r="HSC2473" s="63"/>
      <c r="HSD2473" s="60"/>
      <c r="HSE2473" s="60"/>
      <c r="HSF2473" s="60"/>
      <c r="HSG2473" s="63"/>
      <c r="HSH2473" s="61"/>
      <c r="HSI2473" s="54"/>
      <c r="HSJ2473" s="54"/>
      <c r="HSK2473" s="63"/>
      <c r="HSL2473" s="60"/>
      <c r="HSM2473" s="60"/>
      <c r="HSN2473" s="60"/>
      <c r="HSO2473" s="63"/>
      <c r="HSP2473" s="61"/>
      <c r="HSQ2473" s="54"/>
      <c r="HSR2473" s="54"/>
      <c r="HSS2473" s="63"/>
      <c r="HST2473" s="60"/>
      <c r="HSU2473" s="60"/>
      <c r="HSV2473" s="60"/>
      <c r="HSW2473" s="63"/>
      <c r="HSX2473" s="61"/>
      <c r="HSY2473" s="54"/>
      <c r="HSZ2473" s="54"/>
      <c r="HTA2473" s="63"/>
      <c r="HTB2473" s="60"/>
      <c r="HTC2473" s="60"/>
      <c r="HTD2473" s="60"/>
      <c r="HTE2473" s="63"/>
      <c r="HTF2473" s="61"/>
      <c r="HTG2473" s="54"/>
      <c r="HTH2473" s="54"/>
      <c r="HTI2473" s="63"/>
      <c r="HTJ2473" s="60"/>
      <c r="HTK2473" s="60"/>
      <c r="HTL2473" s="60"/>
      <c r="HTM2473" s="63"/>
      <c r="HTN2473" s="61"/>
      <c r="HTO2473" s="54"/>
      <c r="HTP2473" s="54"/>
      <c r="HTQ2473" s="63"/>
      <c r="HTR2473" s="60"/>
      <c r="HTS2473" s="60"/>
      <c r="HTT2473" s="60"/>
      <c r="HTU2473" s="63"/>
      <c r="HTV2473" s="61"/>
      <c r="HTW2473" s="54"/>
      <c r="HTX2473" s="54"/>
      <c r="HTY2473" s="63"/>
      <c r="HTZ2473" s="60"/>
      <c r="HUA2473" s="60"/>
      <c r="HUB2473" s="60"/>
      <c r="HUC2473" s="63"/>
      <c r="HUD2473" s="61"/>
      <c r="HUE2473" s="54"/>
      <c r="HUF2473" s="54"/>
      <c r="HUG2473" s="63"/>
      <c r="HUH2473" s="60"/>
      <c r="HUI2473" s="60"/>
      <c r="HUJ2473" s="60"/>
      <c r="HUK2473" s="63"/>
      <c r="HUL2473" s="61"/>
      <c r="HUM2473" s="54"/>
      <c r="HUN2473" s="54"/>
      <c r="HUO2473" s="63"/>
      <c r="HUP2473" s="60"/>
      <c r="HUQ2473" s="60"/>
      <c r="HUR2473" s="60"/>
      <c r="HUS2473" s="63"/>
      <c r="HUT2473" s="61"/>
      <c r="HUU2473" s="54"/>
      <c r="HUV2473" s="54"/>
      <c r="HUW2473" s="63"/>
      <c r="HUX2473" s="60"/>
      <c r="HUY2473" s="60"/>
      <c r="HUZ2473" s="60"/>
      <c r="HVA2473" s="63"/>
      <c r="HVB2473" s="61"/>
      <c r="HVC2473" s="54"/>
      <c r="HVD2473" s="54"/>
      <c r="HVE2473" s="63"/>
      <c r="HVF2473" s="60"/>
      <c r="HVG2473" s="60"/>
      <c r="HVH2473" s="60"/>
      <c r="HVI2473" s="63"/>
      <c r="HVJ2473" s="61"/>
      <c r="HVK2473" s="54"/>
      <c r="HVL2473" s="54"/>
      <c r="HVM2473" s="63"/>
      <c r="HVN2473" s="60"/>
      <c r="HVO2473" s="60"/>
      <c r="HVP2473" s="60"/>
      <c r="HVQ2473" s="63"/>
      <c r="HVR2473" s="61"/>
      <c r="HVS2473" s="54"/>
      <c r="HVT2473" s="54"/>
      <c r="HVU2473" s="63"/>
      <c r="HVV2473" s="60"/>
      <c r="HVW2473" s="60"/>
      <c r="HVX2473" s="60"/>
      <c r="HVY2473" s="63"/>
      <c r="HVZ2473" s="61"/>
      <c r="HWA2473" s="54"/>
      <c r="HWB2473" s="54"/>
      <c r="HWC2473" s="63"/>
      <c r="HWD2473" s="60"/>
      <c r="HWE2473" s="60"/>
      <c r="HWF2473" s="60"/>
      <c r="HWG2473" s="63"/>
      <c r="HWH2473" s="61"/>
      <c r="HWI2473" s="54"/>
      <c r="HWJ2473" s="54"/>
      <c r="HWK2473" s="63"/>
      <c r="HWL2473" s="60"/>
      <c r="HWM2473" s="60"/>
      <c r="HWN2473" s="60"/>
      <c r="HWO2473" s="63"/>
      <c r="HWP2473" s="61"/>
      <c r="HWQ2473" s="54"/>
      <c r="HWR2473" s="54"/>
      <c r="HWS2473" s="63"/>
      <c r="HWT2473" s="60"/>
      <c r="HWU2473" s="60"/>
      <c r="HWV2473" s="60"/>
      <c r="HWW2473" s="63"/>
      <c r="HWX2473" s="61"/>
      <c r="HWY2473" s="54"/>
      <c r="HWZ2473" s="54"/>
      <c r="HXA2473" s="63"/>
      <c r="HXB2473" s="60"/>
      <c r="HXC2473" s="60"/>
      <c r="HXD2473" s="60"/>
      <c r="HXE2473" s="63"/>
      <c r="HXF2473" s="61"/>
      <c r="HXG2473" s="54"/>
      <c r="HXH2473" s="54"/>
      <c r="HXI2473" s="63"/>
      <c r="HXJ2473" s="60"/>
      <c r="HXK2473" s="60"/>
      <c r="HXL2473" s="60"/>
      <c r="HXM2473" s="63"/>
      <c r="HXN2473" s="61"/>
      <c r="HXO2473" s="54"/>
      <c r="HXP2473" s="54"/>
      <c r="HXQ2473" s="63"/>
      <c r="HXR2473" s="60"/>
      <c r="HXS2473" s="60"/>
      <c r="HXT2473" s="60"/>
      <c r="HXU2473" s="63"/>
      <c r="HXV2473" s="61"/>
      <c r="HXW2473" s="54"/>
      <c r="HXX2473" s="54"/>
      <c r="HXY2473" s="63"/>
      <c r="HXZ2473" s="60"/>
      <c r="HYA2473" s="60"/>
      <c r="HYB2473" s="60"/>
      <c r="HYC2473" s="63"/>
      <c r="HYD2473" s="61"/>
      <c r="HYE2473" s="54"/>
      <c r="HYF2473" s="54"/>
      <c r="HYG2473" s="63"/>
      <c r="HYH2473" s="60"/>
      <c r="HYI2473" s="60"/>
      <c r="HYJ2473" s="60"/>
      <c r="HYK2473" s="63"/>
      <c r="HYL2473" s="61"/>
      <c r="HYM2473" s="54"/>
      <c r="HYN2473" s="54"/>
      <c r="HYO2473" s="63"/>
      <c r="HYP2473" s="60"/>
      <c r="HYQ2473" s="60"/>
      <c r="HYR2473" s="60"/>
      <c r="HYS2473" s="63"/>
      <c r="HYT2473" s="61"/>
      <c r="HYU2473" s="54"/>
      <c r="HYV2473" s="54"/>
      <c r="HYW2473" s="63"/>
      <c r="HYX2473" s="60"/>
      <c r="HYY2473" s="60"/>
      <c r="HYZ2473" s="60"/>
      <c r="HZA2473" s="63"/>
      <c r="HZB2473" s="61"/>
      <c r="HZC2473" s="54"/>
      <c r="HZD2473" s="54"/>
      <c r="HZE2473" s="63"/>
      <c r="HZF2473" s="60"/>
      <c r="HZG2473" s="60"/>
      <c r="HZH2473" s="60"/>
      <c r="HZI2473" s="63"/>
      <c r="HZJ2473" s="61"/>
      <c r="HZK2473" s="54"/>
      <c r="HZL2473" s="54"/>
      <c r="HZM2473" s="63"/>
      <c r="HZN2473" s="60"/>
      <c r="HZO2473" s="60"/>
      <c r="HZP2473" s="60"/>
      <c r="HZQ2473" s="63"/>
      <c r="HZR2473" s="61"/>
      <c r="HZS2473" s="54"/>
      <c r="HZT2473" s="54"/>
      <c r="HZU2473" s="63"/>
      <c r="HZV2473" s="60"/>
      <c r="HZW2473" s="60"/>
      <c r="HZX2473" s="60"/>
      <c r="HZY2473" s="63"/>
      <c r="HZZ2473" s="61"/>
      <c r="IAA2473" s="54"/>
      <c r="IAB2473" s="54"/>
      <c r="IAC2473" s="63"/>
      <c r="IAD2473" s="60"/>
      <c r="IAE2473" s="60"/>
      <c r="IAF2473" s="60"/>
      <c r="IAG2473" s="63"/>
      <c r="IAH2473" s="61"/>
      <c r="IAI2473" s="54"/>
      <c r="IAJ2473" s="54"/>
      <c r="IAK2473" s="63"/>
      <c r="IAL2473" s="60"/>
      <c r="IAM2473" s="60"/>
      <c r="IAN2473" s="60"/>
      <c r="IAO2473" s="63"/>
      <c r="IAP2473" s="61"/>
      <c r="IAQ2473" s="54"/>
      <c r="IAR2473" s="54"/>
      <c r="IAS2473" s="63"/>
      <c r="IAT2473" s="60"/>
      <c r="IAU2473" s="60"/>
      <c r="IAV2473" s="60"/>
      <c r="IAW2473" s="63"/>
      <c r="IAX2473" s="61"/>
      <c r="IAY2473" s="54"/>
      <c r="IAZ2473" s="54"/>
      <c r="IBA2473" s="63"/>
      <c r="IBB2473" s="60"/>
      <c r="IBC2473" s="60"/>
      <c r="IBD2473" s="60"/>
      <c r="IBE2473" s="63"/>
      <c r="IBF2473" s="61"/>
      <c r="IBG2473" s="54"/>
      <c r="IBH2473" s="54"/>
      <c r="IBI2473" s="63"/>
      <c r="IBJ2473" s="60"/>
      <c r="IBK2473" s="60"/>
      <c r="IBL2473" s="60"/>
      <c r="IBM2473" s="63"/>
      <c r="IBN2473" s="61"/>
      <c r="IBO2473" s="54"/>
      <c r="IBP2473" s="54"/>
      <c r="IBQ2473" s="63"/>
      <c r="IBR2473" s="60"/>
      <c r="IBS2473" s="60"/>
      <c r="IBT2473" s="60"/>
      <c r="IBU2473" s="63"/>
      <c r="IBV2473" s="61"/>
      <c r="IBW2473" s="54"/>
      <c r="IBX2473" s="54"/>
      <c r="IBY2473" s="63"/>
      <c r="IBZ2473" s="60"/>
      <c r="ICA2473" s="60"/>
      <c r="ICB2473" s="60"/>
      <c r="ICC2473" s="63"/>
      <c r="ICD2473" s="61"/>
      <c r="ICE2473" s="54"/>
      <c r="ICF2473" s="54"/>
      <c r="ICG2473" s="63"/>
      <c r="ICH2473" s="60"/>
      <c r="ICI2473" s="60"/>
      <c r="ICJ2473" s="60"/>
      <c r="ICK2473" s="63"/>
      <c r="ICL2473" s="61"/>
      <c r="ICM2473" s="54"/>
      <c r="ICN2473" s="54"/>
      <c r="ICO2473" s="63"/>
      <c r="ICP2473" s="60"/>
      <c r="ICQ2473" s="60"/>
      <c r="ICR2473" s="60"/>
      <c r="ICS2473" s="63"/>
      <c r="ICT2473" s="61"/>
      <c r="ICU2473" s="54"/>
      <c r="ICV2473" s="54"/>
      <c r="ICW2473" s="63"/>
      <c r="ICX2473" s="60"/>
      <c r="ICY2473" s="60"/>
      <c r="ICZ2473" s="60"/>
      <c r="IDA2473" s="63"/>
      <c r="IDB2473" s="61"/>
      <c r="IDC2473" s="54"/>
      <c r="IDD2473" s="54"/>
      <c r="IDE2473" s="63"/>
      <c r="IDF2473" s="60"/>
      <c r="IDG2473" s="60"/>
      <c r="IDH2473" s="60"/>
      <c r="IDI2473" s="63"/>
      <c r="IDJ2473" s="61"/>
      <c r="IDK2473" s="54"/>
      <c r="IDL2473" s="54"/>
      <c r="IDM2473" s="63"/>
      <c r="IDN2473" s="60"/>
      <c r="IDO2473" s="60"/>
      <c r="IDP2473" s="60"/>
      <c r="IDQ2473" s="63"/>
      <c r="IDR2473" s="61"/>
      <c r="IDS2473" s="54"/>
      <c r="IDT2473" s="54"/>
      <c r="IDU2473" s="63"/>
      <c r="IDV2473" s="60"/>
      <c r="IDW2473" s="60"/>
      <c r="IDX2473" s="60"/>
      <c r="IDY2473" s="63"/>
      <c r="IDZ2473" s="61"/>
      <c r="IEA2473" s="54"/>
      <c r="IEB2473" s="54"/>
      <c r="IEC2473" s="63"/>
      <c r="IED2473" s="60"/>
      <c r="IEE2473" s="60"/>
      <c r="IEF2473" s="60"/>
      <c r="IEG2473" s="63"/>
      <c r="IEH2473" s="61"/>
      <c r="IEI2473" s="54"/>
      <c r="IEJ2473" s="54"/>
      <c r="IEK2473" s="63"/>
      <c r="IEL2473" s="60"/>
      <c r="IEM2473" s="60"/>
      <c r="IEN2473" s="60"/>
      <c r="IEO2473" s="63"/>
      <c r="IEP2473" s="61"/>
      <c r="IEQ2473" s="54"/>
      <c r="IER2473" s="54"/>
      <c r="IES2473" s="63"/>
      <c r="IET2473" s="60"/>
      <c r="IEU2473" s="60"/>
      <c r="IEV2473" s="60"/>
      <c r="IEW2473" s="63"/>
      <c r="IEX2473" s="61"/>
      <c r="IEY2473" s="54"/>
      <c r="IEZ2473" s="54"/>
      <c r="IFA2473" s="63"/>
      <c r="IFB2473" s="60"/>
      <c r="IFC2473" s="60"/>
      <c r="IFD2473" s="60"/>
      <c r="IFE2473" s="63"/>
      <c r="IFF2473" s="61"/>
      <c r="IFG2473" s="54"/>
      <c r="IFH2473" s="54"/>
      <c r="IFI2473" s="63"/>
      <c r="IFJ2473" s="60"/>
      <c r="IFK2473" s="60"/>
      <c r="IFL2473" s="60"/>
      <c r="IFM2473" s="63"/>
      <c r="IFN2473" s="61"/>
      <c r="IFO2473" s="54"/>
      <c r="IFP2473" s="54"/>
      <c r="IFQ2473" s="63"/>
      <c r="IFR2473" s="60"/>
      <c r="IFS2473" s="60"/>
      <c r="IFT2473" s="60"/>
      <c r="IFU2473" s="63"/>
      <c r="IFV2473" s="61"/>
      <c r="IFW2473" s="54"/>
      <c r="IFX2473" s="54"/>
      <c r="IFY2473" s="63"/>
      <c r="IFZ2473" s="60"/>
      <c r="IGA2473" s="60"/>
      <c r="IGB2473" s="60"/>
      <c r="IGC2473" s="63"/>
      <c r="IGD2473" s="61"/>
      <c r="IGE2473" s="54"/>
      <c r="IGF2473" s="54"/>
      <c r="IGG2473" s="63"/>
      <c r="IGH2473" s="60"/>
      <c r="IGI2473" s="60"/>
      <c r="IGJ2473" s="60"/>
      <c r="IGK2473" s="63"/>
      <c r="IGL2473" s="61"/>
      <c r="IGM2473" s="54"/>
      <c r="IGN2473" s="54"/>
      <c r="IGO2473" s="63"/>
      <c r="IGP2473" s="60"/>
      <c r="IGQ2473" s="60"/>
      <c r="IGR2473" s="60"/>
      <c r="IGS2473" s="63"/>
      <c r="IGT2473" s="61"/>
      <c r="IGU2473" s="54"/>
      <c r="IGV2473" s="54"/>
      <c r="IGW2473" s="63"/>
      <c r="IGX2473" s="60"/>
      <c r="IGY2473" s="60"/>
      <c r="IGZ2473" s="60"/>
      <c r="IHA2473" s="63"/>
      <c r="IHB2473" s="61"/>
      <c r="IHC2473" s="54"/>
      <c r="IHD2473" s="54"/>
      <c r="IHE2473" s="63"/>
      <c r="IHF2473" s="60"/>
      <c r="IHG2473" s="60"/>
      <c r="IHH2473" s="60"/>
      <c r="IHI2473" s="63"/>
      <c r="IHJ2473" s="61"/>
      <c r="IHK2473" s="54"/>
      <c r="IHL2473" s="54"/>
      <c r="IHM2473" s="63"/>
      <c r="IHN2473" s="60"/>
      <c r="IHO2473" s="60"/>
      <c r="IHP2473" s="60"/>
      <c r="IHQ2473" s="63"/>
      <c r="IHR2473" s="61"/>
      <c r="IHS2473" s="54"/>
      <c r="IHT2473" s="54"/>
      <c r="IHU2473" s="63"/>
      <c r="IHV2473" s="60"/>
      <c r="IHW2473" s="60"/>
      <c r="IHX2473" s="60"/>
      <c r="IHY2473" s="63"/>
      <c r="IHZ2473" s="61"/>
      <c r="IIA2473" s="54"/>
      <c r="IIB2473" s="54"/>
      <c r="IIC2473" s="63"/>
      <c r="IID2473" s="60"/>
      <c r="IIE2473" s="60"/>
      <c r="IIF2473" s="60"/>
      <c r="IIG2473" s="63"/>
      <c r="IIH2473" s="61"/>
      <c r="III2473" s="54"/>
      <c r="IIJ2473" s="54"/>
      <c r="IIK2473" s="63"/>
      <c r="IIL2473" s="60"/>
      <c r="IIM2473" s="60"/>
      <c r="IIN2473" s="60"/>
      <c r="IIO2473" s="63"/>
      <c r="IIP2473" s="61"/>
      <c r="IIQ2473" s="54"/>
      <c r="IIR2473" s="54"/>
      <c r="IIS2473" s="63"/>
      <c r="IIT2473" s="60"/>
      <c r="IIU2473" s="60"/>
      <c r="IIV2473" s="60"/>
      <c r="IIW2473" s="63"/>
      <c r="IIX2473" s="61"/>
      <c r="IIY2473" s="54"/>
      <c r="IIZ2473" s="54"/>
      <c r="IJA2473" s="63"/>
      <c r="IJB2473" s="60"/>
      <c r="IJC2473" s="60"/>
      <c r="IJD2473" s="60"/>
      <c r="IJE2473" s="63"/>
      <c r="IJF2473" s="61"/>
      <c r="IJG2473" s="54"/>
      <c r="IJH2473" s="54"/>
      <c r="IJI2473" s="63"/>
      <c r="IJJ2473" s="60"/>
      <c r="IJK2473" s="60"/>
      <c r="IJL2473" s="60"/>
      <c r="IJM2473" s="63"/>
      <c r="IJN2473" s="61"/>
      <c r="IJO2473" s="54"/>
      <c r="IJP2473" s="54"/>
      <c r="IJQ2473" s="63"/>
      <c r="IJR2473" s="60"/>
      <c r="IJS2473" s="60"/>
      <c r="IJT2473" s="60"/>
      <c r="IJU2473" s="63"/>
      <c r="IJV2473" s="61"/>
      <c r="IJW2473" s="54"/>
      <c r="IJX2473" s="54"/>
      <c r="IJY2473" s="63"/>
      <c r="IJZ2473" s="60"/>
      <c r="IKA2473" s="60"/>
      <c r="IKB2473" s="60"/>
      <c r="IKC2473" s="63"/>
      <c r="IKD2473" s="61"/>
      <c r="IKE2473" s="54"/>
      <c r="IKF2473" s="54"/>
      <c r="IKG2473" s="63"/>
      <c r="IKH2473" s="60"/>
      <c r="IKI2473" s="60"/>
      <c r="IKJ2473" s="60"/>
      <c r="IKK2473" s="63"/>
      <c r="IKL2473" s="61"/>
      <c r="IKM2473" s="54"/>
      <c r="IKN2473" s="54"/>
      <c r="IKO2473" s="63"/>
      <c r="IKP2473" s="60"/>
      <c r="IKQ2473" s="60"/>
      <c r="IKR2473" s="60"/>
      <c r="IKS2473" s="63"/>
      <c r="IKT2473" s="61"/>
      <c r="IKU2473" s="54"/>
      <c r="IKV2473" s="54"/>
      <c r="IKW2473" s="63"/>
      <c r="IKX2473" s="60"/>
      <c r="IKY2473" s="60"/>
      <c r="IKZ2473" s="60"/>
      <c r="ILA2473" s="63"/>
      <c r="ILB2473" s="61"/>
      <c r="ILC2473" s="54"/>
      <c r="ILD2473" s="54"/>
      <c r="ILE2473" s="63"/>
      <c r="ILF2473" s="60"/>
      <c r="ILG2473" s="60"/>
      <c r="ILH2473" s="60"/>
      <c r="ILI2473" s="63"/>
      <c r="ILJ2473" s="61"/>
      <c r="ILK2473" s="54"/>
      <c r="ILL2473" s="54"/>
      <c r="ILM2473" s="63"/>
      <c r="ILN2473" s="60"/>
      <c r="ILO2473" s="60"/>
      <c r="ILP2473" s="60"/>
      <c r="ILQ2473" s="63"/>
      <c r="ILR2473" s="61"/>
      <c r="ILS2473" s="54"/>
      <c r="ILT2473" s="54"/>
      <c r="ILU2473" s="63"/>
      <c r="ILV2473" s="60"/>
      <c r="ILW2473" s="60"/>
      <c r="ILX2473" s="60"/>
      <c r="ILY2473" s="63"/>
      <c r="ILZ2473" s="61"/>
      <c r="IMA2473" s="54"/>
      <c r="IMB2473" s="54"/>
      <c r="IMC2473" s="63"/>
      <c r="IMD2473" s="60"/>
      <c r="IME2473" s="60"/>
      <c r="IMF2473" s="60"/>
      <c r="IMG2473" s="63"/>
      <c r="IMH2473" s="61"/>
      <c r="IMI2473" s="54"/>
      <c r="IMJ2473" s="54"/>
      <c r="IMK2473" s="63"/>
      <c r="IML2473" s="60"/>
      <c r="IMM2473" s="60"/>
      <c r="IMN2473" s="60"/>
      <c r="IMO2473" s="63"/>
      <c r="IMP2473" s="61"/>
      <c r="IMQ2473" s="54"/>
      <c r="IMR2473" s="54"/>
      <c r="IMS2473" s="63"/>
      <c r="IMT2473" s="60"/>
      <c r="IMU2473" s="60"/>
      <c r="IMV2473" s="60"/>
      <c r="IMW2473" s="63"/>
      <c r="IMX2473" s="61"/>
      <c r="IMY2473" s="54"/>
      <c r="IMZ2473" s="54"/>
      <c r="INA2473" s="63"/>
      <c r="INB2473" s="60"/>
      <c r="INC2473" s="60"/>
      <c r="IND2473" s="60"/>
      <c r="INE2473" s="63"/>
      <c r="INF2473" s="61"/>
      <c r="ING2473" s="54"/>
      <c r="INH2473" s="54"/>
      <c r="INI2473" s="63"/>
      <c r="INJ2473" s="60"/>
      <c r="INK2473" s="60"/>
      <c r="INL2473" s="60"/>
      <c r="INM2473" s="63"/>
      <c r="INN2473" s="61"/>
      <c r="INO2473" s="54"/>
      <c r="INP2473" s="54"/>
      <c r="INQ2473" s="63"/>
      <c r="INR2473" s="60"/>
      <c r="INS2473" s="60"/>
      <c r="INT2473" s="60"/>
      <c r="INU2473" s="63"/>
      <c r="INV2473" s="61"/>
      <c r="INW2473" s="54"/>
      <c r="INX2473" s="54"/>
      <c r="INY2473" s="63"/>
      <c r="INZ2473" s="60"/>
      <c r="IOA2473" s="60"/>
      <c r="IOB2473" s="60"/>
      <c r="IOC2473" s="63"/>
      <c r="IOD2473" s="61"/>
      <c r="IOE2473" s="54"/>
      <c r="IOF2473" s="54"/>
      <c r="IOG2473" s="63"/>
      <c r="IOH2473" s="60"/>
      <c r="IOI2473" s="60"/>
      <c r="IOJ2473" s="60"/>
      <c r="IOK2473" s="63"/>
      <c r="IOL2473" s="61"/>
      <c r="IOM2473" s="54"/>
      <c r="ION2473" s="54"/>
      <c r="IOO2473" s="63"/>
      <c r="IOP2473" s="60"/>
      <c r="IOQ2473" s="60"/>
      <c r="IOR2473" s="60"/>
      <c r="IOS2473" s="63"/>
      <c r="IOT2473" s="61"/>
      <c r="IOU2473" s="54"/>
      <c r="IOV2473" s="54"/>
      <c r="IOW2473" s="63"/>
      <c r="IOX2473" s="60"/>
      <c r="IOY2473" s="60"/>
      <c r="IOZ2473" s="60"/>
      <c r="IPA2473" s="63"/>
      <c r="IPB2473" s="61"/>
      <c r="IPC2473" s="54"/>
      <c r="IPD2473" s="54"/>
      <c r="IPE2473" s="63"/>
      <c r="IPF2473" s="60"/>
      <c r="IPG2473" s="60"/>
      <c r="IPH2473" s="60"/>
      <c r="IPI2473" s="63"/>
      <c r="IPJ2473" s="61"/>
      <c r="IPK2473" s="54"/>
      <c r="IPL2473" s="54"/>
      <c r="IPM2473" s="63"/>
      <c r="IPN2473" s="60"/>
      <c r="IPO2473" s="60"/>
      <c r="IPP2473" s="60"/>
      <c r="IPQ2473" s="63"/>
      <c r="IPR2473" s="61"/>
      <c r="IPS2473" s="54"/>
      <c r="IPT2473" s="54"/>
      <c r="IPU2473" s="63"/>
      <c r="IPV2473" s="60"/>
      <c r="IPW2473" s="60"/>
      <c r="IPX2473" s="60"/>
      <c r="IPY2473" s="63"/>
      <c r="IPZ2473" s="61"/>
      <c r="IQA2473" s="54"/>
      <c r="IQB2473" s="54"/>
      <c r="IQC2473" s="63"/>
      <c r="IQD2473" s="60"/>
      <c r="IQE2473" s="60"/>
      <c r="IQF2473" s="60"/>
      <c r="IQG2473" s="63"/>
      <c r="IQH2473" s="61"/>
      <c r="IQI2473" s="54"/>
      <c r="IQJ2473" s="54"/>
      <c r="IQK2473" s="63"/>
      <c r="IQL2473" s="60"/>
      <c r="IQM2473" s="60"/>
      <c r="IQN2473" s="60"/>
      <c r="IQO2473" s="63"/>
      <c r="IQP2473" s="61"/>
      <c r="IQQ2473" s="54"/>
      <c r="IQR2473" s="54"/>
      <c r="IQS2473" s="63"/>
      <c r="IQT2473" s="60"/>
      <c r="IQU2473" s="60"/>
      <c r="IQV2473" s="60"/>
      <c r="IQW2473" s="63"/>
      <c r="IQX2473" s="61"/>
      <c r="IQY2473" s="54"/>
      <c r="IQZ2473" s="54"/>
      <c r="IRA2473" s="63"/>
      <c r="IRB2473" s="60"/>
      <c r="IRC2473" s="60"/>
      <c r="IRD2473" s="60"/>
      <c r="IRE2473" s="63"/>
      <c r="IRF2473" s="61"/>
      <c r="IRG2473" s="54"/>
      <c r="IRH2473" s="54"/>
      <c r="IRI2473" s="63"/>
      <c r="IRJ2473" s="60"/>
      <c r="IRK2473" s="60"/>
      <c r="IRL2473" s="60"/>
      <c r="IRM2473" s="63"/>
      <c r="IRN2473" s="61"/>
      <c r="IRO2473" s="54"/>
      <c r="IRP2473" s="54"/>
      <c r="IRQ2473" s="63"/>
      <c r="IRR2473" s="60"/>
      <c r="IRS2473" s="60"/>
      <c r="IRT2473" s="60"/>
      <c r="IRU2473" s="63"/>
      <c r="IRV2473" s="61"/>
      <c r="IRW2473" s="54"/>
      <c r="IRX2473" s="54"/>
      <c r="IRY2473" s="63"/>
      <c r="IRZ2473" s="60"/>
      <c r="ISA2473" s="60"/>
      <c r="ISB2473" s="60"/>
      <c r="ISC2473" s="63"/>
      <c r="ISD2473" s="61"/>
      <c r="ISE2473" s="54"/>
      <c r="ISF2473" s="54"/>
      <c r="ISG2473" s="63"/>
      <c r="ISH2473" s="60"/>
      <c r="ISI2473" s="60"/>
      <c r="ISJ2473" s="60"/>
      <c r="ISK2473" s="63"/>
      <c r="ISL2473" s="61"/>
      <c r="ISM2473" s="54"/>
      <c r="ISN2473" s="54"/>
      <c r="ISO2473" s="63"/>
      <c r="ISP2473" s="60"/>
      <c r="ISQ2473" s="60"/>
      <c r="ISR2473" s="60"/>
      <c r="ISS2473" s="63"/>
      <c r="IST2473" s="61"/>
      <c r="ISU2473" s="54"/>
      <c r="ISV2473" s="54"/>
      <c r="ISW2473" s="63"/>
      <c r="ISX2473" s="60"/>
      <c r="ISY2473" s="60"/>
      <c r="ISZ2473" s="60"/>
      <c r="ITA2473" s="63"/>
      <c r="ITB2473" s="61"/>
      <c r="ITC2473" s="54"/>
      <c r="ITD2473" s="54"/>
      <c r="ITE2473" s="63"/>
      <c r="ITF2473" s="60"/>
      <c r="ITG2473" s="60"/>
      <c r="ITH2473" s="60"/>
      <c r="ITI2473" s="63"/>
      <c r="ITJ2473" s="61"/>
      <c r="ITK2473" s="54"/>
      <c r="ITL2473" s="54"/>
      <c r="ITM2473" s="63"/>
      <c r="ITN2473" s="60"/>
      <c r="ITO2473" s="60"/>
      <c r="ITP2473" s="60"/>
      <c r="ITQ2473" s="63"/>
      <c r="ITR2473" s="61"/>
      <c r="ITS2473" s="54"/>
      <c r="ITT2473" s="54"/>
      <c r="ITU2473" s="63"/>
      <c r="ITV2473" s="60"/>
      <c r="ITW2473" s="60"/>
      <c r="ITX2473" s="60"/>
      <c r="ITY2473" s="63"/>
      <c r="ITZ2473" s="61"/>
      <c r="IUA2473" s="54"/>
      <c r="IUB2473" s="54"/>
      <c r="IUC2473" s="63"/>
      <c r="IUD2473" s="60"/>
      <c r="IUE2473" s="60"/>
      <c r="IUF2473" s="60"/>
      <c r="IUG2473" s="63"/>
      <c r="IUH2473" s="61"/>
      <c r="IUI2473" s="54"/>
      <c r="IUJ2473" s="54"/>
      <c r="IUK2473" s="63"/>
      <c r="IUL2473" s="60"/>
      <c r="IUM2473" s="60"/>
      <c r="IUN2473" s="60"/>
      <c r="IUO2473" s="63"/>
      <c r="IUP2473" s="61"/>
      <c r="IUQ2473" s="54"/>
      <c r="IUR2473" s="54"/>
      <c r="IUS2473" s="63"/>
      <c r="IUT2473" s="60"/>
      <c r="IUU2473" s="60"/>
      <c r="IUV2473" s="60"/>
      <c r="IUW2473" s="63"/>
      <c r="IUX2473" s="61"/>
      <c r="IUY2473" s="54"/>
      <c r="IUZ2473" s="54"/>
      <c r="IVA2473" s="63"/>
      <c r="IVB2473" s="60"/>
      <c r="IVC2473" s="60"/>
      <c r="IVD2473" s="60"/>
      <c r="IVE2473" s="63"/>
      <c r="IVF2473" s="61"/>
      <c r="IVG2473" s="54"/>
      <c r="IVH2473" s="54"/>
      <c r="IVI2473" s="63"/>
      <c r="IVJ2473" s="60"/>
      <c r="IVK2473" s="60"/>
      <c r="IVL2473" s="60"/>
      <c r="IVM2473" s="63"/>
      <c r="IVN2473" s="61"/>
      <c r="IVO2473" s="54"/>
      <c r="IVP2473" s="54"/>
      <c r="IVQ2473" s="63"/>
      <c r="IVR2473" s="60"/>
      <c r="IVS2473" s="60"/>
      <c r="IVT2473" s="60"/>
      <c r="IVU2473" s="63"/>
      <c r="IVV2473" s="61"/>
      <c r="IVW2473" s="54"/>
      <c r="IVX2473" s="54"/>
      <c r="IVY2473" s="63"/>
      <c r="IVZ2473" s="60"/>
      <c r="IWA2473" s="60"/>
      <c r="IWB2473" s="60"/>
      <c r="IWC2473" s="63"/>
      <c r="IWD2473" s="61"/>
      <c r="IWE2473" s="54"/>
      <c r="IWF2473" s="54"/>
      <c r="IWG2473" s="63"/>
      <c r="IWH2473" s="60"/>
      <c r="IWI2473" s="60"/>
      <c r="IWJ2473" s="60"/>
      <c r="IWK2473" s="63"/>
      <c r="IWL2473" s="61"/>
      <c r="IWM2473" s="54"/>
      <c r="IWN2473" s="54"/>
      <c r="IWO2473" s="63"/>
      <c r="IWP2473" s="60"/>
      <c r="IWQ2473" s="60"/>
      <c r="IWR2473" s="60"/>
      <c r="IWS2473" s="63"/>
      <c r="IWT2473" s="61"/>
      <c r="IWU2473" s="54"/>
      <c r="IWV2473" s="54"/>
      <c r="IWW2473" s="63"/>
      <c r="IWX2473" s="60"/>
      <c r="IWY2473" s="60"/>
      <c r="IWZ2473" s="60"/>
      <c r="IXA2473" s="63"/>
      <c r="IXB2473" s="61"/>
      <c r="IXC2473" s="54"/>
      <c r="IXD2473" s="54"/>
      <c r="IXE2473" s="63"/>
      <c r="IXF2473" s="60"/>
      <c r="IXG2473" s="60"/>
      <c r="IXH2473" s="60"/>
      <c r="IXI2473" s="63"/>
      <c r="IXJ2473" s="61"/>
      <c r="IXK2473" s="54"/>
      <c r="IXL2473" s="54"/>
      <c r="IXM2473" s="63"/>
      <c r="IXN2473" s="60"/>
      <c r="IXO2473" s="60"/>
      <c r="IXP2473" s="60"/>
      <c r="IXQ2473" s="63"/>
      <c r="IXR2473" s="61"/>
      <c r="IXS2473" s="54"/>
      <c r="IXT2473" s="54"/>
      <c r="IXU2473" s="63"/>
      <c r="IXV2473" s="60"/>
      <c r="IXW2473" s="60"/>
      <c r="IXX2473" s="60"/>
      <c r="IXY2473" s="63"/>
      <c r="IXZ2473" s="61"/>
      <c r="IYA2473" s="54"/>
      <c r="IYB2473" s="54"/>
      <c r="IYC2473" s="63"/>
      <c r="IYD2473" s="60"/>
      <c r="IYE2473" s="60"/>
      <c r="IYF2473" s="60"/>
      <c r="IYG2473" s="63"/>
      <c r="IYH2473" s="61"/>
      <c r="IYI2473" s="54"/>
      <c r="IYJ2473" s="54"/>
      <c r="IYK2473" s="63"/>
      <c r="IYL2473" s="60"/>
      <c r="IYM2473" s="60"/>
      <c r="IYN2473" s="60"/>
      <c r="IYO2473" s="63"/>
      <c r="IYP2473" s="61"/>
      <c r="IYQ2473" s="54"/>
      <c r="IYR2473" s="54"/>
      <c r="IYS2473" s="63"/>
      <c r="IYT2473" s="60"/>
      <c r="IYU2473" s="60"/>
      <c r="IYV2473" s="60"/>
      <c r="IYW2473" s="63"/>
      <c r="IYX2473" s="61"/>
      <c r="IYY2473" s="54"/>
      <c r="IYZ2473" s="54"/>
      <c r="IZA2473" s="63"/>
      <c r="IZB2473" s="60"/>
      <c r="IZC2473" s="60"/>
      <c r="IZD2473" s="60"/>
      <c r="IZE2473" s="63"/>
      <c r="IZF2473" s="61"/>
      <c r="IZG2473" s="54"/>
      <c r="IZH2473" s="54"/>
      <c r="IZI2473" s="63"/>
      <c r="IZJ2473" s="60"/>
      <c r="IZK2473" s="60"/>
      <c r="IZL2473" s="60"/>
      <c r="IZM2473" s="63"/>
      <c r="IZN2473" s="61"/>
      <c r="IZO2473" s="54"/>
      <c r="IZP2473" s="54"/>
      <c r="IZQ2473" s="63"/>
      <c r="IZR2473" s="60"/>
      <c r="IZS2473" s="60"/>
      <c r="IZT2473" s="60"/>
      <c r="IZU2473" s="63"/>
      <c r="IZV2473" s="61"/>
      <c r="IZW2473" s="54"/>
      <c r="IZX2473" s="54"/>
      <c r="IZY2473" s="63"/>
      <c r="IZZ2473" s="60"/>
      <c r="JAA2473" s="60"/>
      <c r="JAB2473" s="60"/>
      <c r="JAC2473" s="63"/>
      <c r="JAD2473" s="61"/>
      <c r="JAE2473" s="54"/>
      <c r="JAF2473" s="54"/>
      <c r="JAG2473" s="63"/>
      <c r="JAH2473" s="60"/>
      <c r="JAI2473" s="60"/>
      <c r="JAJ2473" s="60"/>
      <c r="JAK2473" s="63"/>
      <c r="JAL2473" s="61"/>
      <c r="JAM2473" s="54"/>
      <c r="JAN2473" s="54"/>
      <c r="JAO2473" s="63"/>
      <c r="JAP2473" s="60"/>
      <c r="JAQ2473" s="60"/>
      <c r="JAR2473" s="60"/>
      <c r="JAS2473" s="63"/>
      <c r="JAT2473" s="61"/>
      <c r="JAU2473" s="54"/>
      <c r="JAV2473" s="54"/>
      <c r="JAW2473" s="63"/>
      <c r="JAX2473" s="60"/>
      <c r="JAY2473" s="60"/>
      <c r="JAZ2473" s="60"/>
      <c r="JBA2473" s="63"/>
      <c r="JBB2473" s="61"/>
      <c r="JBC2473" s="54"/>
      <c r="JBD2473" s="54"/>
      <c r="JBE2473" s="63"/>
      <c r="JBF2473" s="60"/>
      <c r="JBG2473" s="60"/>
      <c r="JBH2473" s="60"/>
      <c r="JBI2473" s="63"/>
      <c r="JBJ2473" s="61"/>
      <c r="JBK2473" s="54"/>
      <c r="JBL2473" s="54"/>
      <c r="JBM2473" s="63"/>
      <c r="JBN2473" s="60"/>
      <c r="JBO2473" s="60"/>
      <c r="JBP2473" s="60"/>
      <c r="JBQ2473" s="63"/>
      <c r="JBR2473" s="61"/>
      <c r="JBS2473" s="54"/>
      <c r="JBT2473" s="54"/>
      <c r="JBU2473" s="63"/>
      <c r="JBV2473" s="60"/>
      <c r="JBW2473" s="60"/>
      <c r="JBX2473" s="60"/>
      <c r="JBY2473" s="63"/>
      <c r="JBZ2473" s="61"/>
      <c r="JCA2473" s="54"/>
      <c r="JCB2473" s="54"/>
      <c r="JCC2473" s="63"/>
      <c r="JCD2473" s="60"/>
      <c r="JCE2473" s="60"/>
      <c r="JCF2473" s="60"/>
      <c r="JCG2473" s="63"/>
      <c r="JCH2473" s="61"/>
      <c r="JCI2473" s="54"/>
      <c r="JCJ2473" s="54"/>
      <c r="JCK2473" s="63"/>
      <c r="JCL2473" s="60"/>
      <c r="JCM2473" s="60"/>
      <c r="JCN2473" s="60"/>
      <c r="JCO2473" s="63"/>
      <c r="JCP2473" s="61"/>
      <c r="JCQ2473" s="54"/>
      <c r="JCR2473" s="54"/>
      <c r="JCS2473" s="63"/>
      <c r="JCT2473" s="60"/>
      <c r="JCU2473" s="60"/>
      <c r="JCV2473" s="60"/>
      <c r="JCW2473" s="63"/>
      <c r="JCX2473" s="61"/>
      <c r="JCY2473" s="54"/>
      <c r="JCZ2473" s="54"/>
      <c r="JDA2473" s="63"/>
      <c r="JDB2473" s="60"/>
      <c r="JDC2473" s="60"/>
      <c r="JDD2473" s="60"/>
      <c r="JDE2473" s="63"/>
      <c r="JDF2473" s="61"/>
      <c r="JDG2473" s="54"/>
      <c r="JDH2473" s="54"/>
      <c r="JDI2473" s="63"/>
      <c r="JDJ2473" s="60"/>
      <c r="JDK2473" s="60"/>
      <c r="JDL2473" s="60"/>
      <c r="JDM2473" s="63"/>
      <c r="JDN2473" s="61"/>
      <c r="JDO2473" s="54"/>
      <c r="JDP2473" s="54"/>
      <c r="JDQ2473" s="63"/>
      <c r="JDR2473" s="60"/>
      <c r="JDS2473" s="60"/>
      <c r="JDT2473" s="60"/>
      <c r="JDU2473" s="63"/>
      <c r="JDV2473" s="61"/>
      <c r="JDW2473" s="54"/>
      <c r="JDX2473" s="54"/>
      <c r="JDY2473" s="63"/>
      <c r="JDZ2473" s="60"/>
      <c r="JEA2473" s="60"/>
      <c r="JEB2473" s="60"/>
      <c r="JEC2473" s="63"/>
      <c r="JED2473" s="61"/>
      <c r="JEE2473" s="54"/>
      <c r="JEF2473" s="54"/>
      <c r="JEG2473" s="63"/>
      <c r="JEH2473" s="60"/>
      <c r="JEI2473" s="60"/>
      <c r="JEJ2473" s="60"/>
      <c r="JEK2473" s="63"/>
      <c r="JEL2473" s="61"/>
      <c r="JEM2473" s="54"/>
      <c r="JEN2473" s="54"/>
      <c r="JEO2473" s="63"/>
      <c r="JEP2473" s="60"/>
      <c r="JEQ2473" s="60"/>
      <c r="JER2473" s="60"/>
      <c r="JES2473" s="63"/>
      <c r="JET2473" s="61"/>
      <c r="JEU2473" s="54"/>
      <c r="JEV2473" s="54"/>
      <c r="JEW2473" s="63"/>
      <c r="JEX2473" s="60"/>
      <c r="JEY2473" s="60"/>
      <c r="JEZ2473" s="60"/>
      <c r="JFA2473" s="63"/>
      <c r="JFB2473" s="61"/>
      <c r="JFC2473" s="54"/>
      <c r="JFD2473" s="54"/>
      <c r="JFE2473" s="63"/>
      <c r="JFF2473" s="60"/>
      <c r="JFG2473" s="60"/>
      <c r="JFH2473" s="60"/>
      <c r="JFI2473" s="63"/>
      <c r="JFJ2473" s="61"/>
      <c r="JFK2473" s="54"/>
      <c r="JFL2473" s="54"/>
      <c r="JFM2473" s="63"/>
      <c r="JFN2473" s="60"/>
      <c r="JFO2473" s="60"/>
      <c r="JFP2473" s="60"/>
      <c r="JFQ2473" s="63"/>
      <c r="JFR2473" s="61"/>
      <c r="JFS2473" s="54"/>
      <c r="JFT2473" s="54"/>
      <c r="JFU2473" s="63"/>
      <c r="JFV2473" s="60"/>
      <c r="JFW2473" s="60"/>
      <c r="JFX2473" s="60"/>
      <c r="JFY2473" s="63"/>
      <c r="JFZ2473" s="61"/>
      <c r="JGA2473" s="54"/>
      <c r="JGB2473" s="54"/>
      <c r="JGC2473" s="63"/>
      <c r="JGD2473" s="60"/>
      <c r="JGE2473" s="60"/>
      <c r="JGF2473" s="60"/>
      <c r="JGG2473" s="63"/>
      <c r="JGH2473" s="61"/>
      <c r="JGI2473" s="54"/>
      <c r="JGJ2473" s="54"/>
      <c r="JGK2473" s="63"/>
      <c r="JGL2473" s="60"/>
      <c r="JGM2473" s="60"/>
      <c r="JGN2473" s="60"/>
      <c r="JGO2473" s="63"/>
      <c r="JGP2473" s="61"/>
      <c r="JGQ2473" s="54"/>
      <c r="JGR2473" s="54"/>
      <c r="JGS2473" s="63"/>
      <c r="JGT2473" s="60"/>
      <c r="JGU2473" s="60"/>
      <c r="JGV2473" s="60"/>
      <c r="JGW2473" s="63"/>
      <c r="JGX2473" s="61"/>
      <c r="JGY2473" s="54"/>
      <c r="JGZ2473" s="54"/>
      <c r="JHA2473" s="63"/>
      <c r="JHB2473" s="60"/>
      <c r="JHC2473" s="60"/>
      <c r="JHD2473" s="60"/>
      <c r="JHE2473" s="63"/>
      <c r="JHF2473" s="61"/>
      <c r="JHG2473" s="54"/>
      <c r="JHH2473" s="54"/>
      <c r="JHI2473" s="63"/>
      <c r="JHJ2473" s="60"/>
      <c r="JHK2473" s="60"/>
      <c r="JHL2473" s="60"/>
      <c r="JHM2473" s="63"/>
      <c r="JHN2473" s="61"/>
      <c r="JHO2473" s="54"/>
      <c r="JHP2473" s="54"/>
      <c r="JHQ2473" s="63"/>
      <c r="JHR2473" s="60"/>
      <c r="JHS2473" s="60"/>
      <c r="JHT2473" s="60"/>
      <c r="JHU2473" s="63"/>
      <c r="JHV2473" s="61"/>
      <c r="JHW2473" s="54"/>
      <c r="JHX2473" s="54"/>
      <c r="JHY2473" s="63"/>
      <c r="JHZ2473" s="60"/>
      <c r="JIA2473" s="60"/>
      <c r="JIB2473" s="60"/>
      <c r="JIC2473" s="63"/>
      <c r="JID2473" s="61"/>
      <c r="JIE2473" s="54"/>
      <c r="JIF2473" s="54"/>
      <c r="JIG2473" s="63"/>
      <c r="JIH2473" s="60"/>
      <c r="JII2473" s="60"/>
      <c r="JIJ2473" s="60"/>
      <c r="JIK2473" s="63"/>
      <c r="JIL2473" s="61"/>
      <c r="JIM2473" s="54"/>
      <c r="JIN2473" s="54"/>
      <c r="JIO2473" s="63"/>
      <c r="JIP2473" s="60"/>
      <c r="JIQ2473" s="60"/>
      <c r="JIR2473" s="60"/>
      <c r="JIS2473" s="63"/>
      <c r="JIT2473" s="61"/>
      <c r="JIU2473" s="54"/>
      <c r="JIV2473" s="54"/>
      <c r="JIW2473" s="63"/>
      <c r="JIX2473" s="60"/>
      <c r="JIY2473" s="60"/>
      <c r="JIZ2473" s="60"/>
      <c r="JJA2473" s="63"/>
      <c r="JJB2473" s="61"/>
      <c r="JJC2473" s="54"/>
      <c r="JJD2473" s="54"/>
      <c r="JJE2473" s="63"/>
      <c r="JJF2473" s="60"/>
      <c r="JJG2473" s="60"/>
      <c r="JJH2473" s="60"/>
      <c r="JJI2473" s="63"/>
      <c r="JJJ2473" s="61"/>
      <c r="JJK2473" s="54"/>
      <c r="JJL2473" s="54"/>
      <c r="JJM2473" s="63"/>
      <c r="JJN2473" s="60"/>
      <c r="JJO2473" s="60"/>
      <c r="JJP2473" s="60"/>
      <c r="JJQ2473" s="63"/>
      <c r="JJR2473" s="61"/>
      <c r="JJS2473" s="54"/>
      <c r="JJT2473" s="54"/>
      <c r="JJU2473" s="63"/>
      <c r="JJV2473" s="60"/>
      <c r="JJW2473" s="60"/>
      <c r="JJX2473" s="60"/>
      <c r="JJY2473" s="63"/>
      <c r="JJZ2473" s="61"/>
      <c r="JKA2473" s="54"/>
      <c r="JKB2473" s="54"/>
      <c r="JKC2473" s="63"/>
      <c r="JKD2473" s="60"/>
      <c r="JKE2473" s="60"/>
      <c r="JKF2473" s="60"/>
      <c r="JKG2473" s="63"/>
      <c r="JKH2473" s="61"/>
      <c r="JKI2473" s="54"/>
      <c r="JKJ2473" s="54"/>
      <c r="JKK2473" s="63"/>
      <c r="JKL2473" s="60"/>
      <c r="JKM2473" s="60"/>
      <c r="JKN2473" s="60"/>
      <c r="JKO2473" s="63"/>
      <c r="JKP2473" s="61"/>
      <c r="JKQ2473" s="54"/>
      <c r="JKR2473" s="54"/>
      <c r="JKS2473" s="63"/>
      <c r="JKT2473" s="60"/>
      <c r="JKU2473" s="60"/>
      <c r="JKV2473" s="60"/>
      <c r="JKW2473" s="63"/>
      <c r="JKX2473" s="61"/>
      <c r="JKY2473" s="54"/>
      <c r="JKZ2473" s="54"/>
      <c r="JLA2473" s="63"/>
      <c r="JLB2473" s="60"/>
      <c r="JLC2473" s="60"/>
      <c r="JLD2473" s="60"/>
      <c r="JLE2473" s="63"/>
      <c r="JLF2473" s="61"/>
      <c r="JLG2473" s="54"/>
      <c r="JLH2473" s="54"/>
      <c r="JLI2473" s="63"/>
      <c r="JLJ2473" s="60"/>
      <c r="JLK2473" s="60"/>
      <c r="JLL2473" s="60"/>
      <c r="JLM2473" s="63"/>
      <c r="JLN2473" s="61"/>
      <c r="JLO2473" s="54"/>
      <c r="JLP2473" s="54"/>
      <c r="JLQ2473" s="63"/>
      <c r="JLR2473" s="60"/>
      <c r="JLS2473" s="60"/>
      <c r="JLT2473" s="60"/>
      <c r="JLU2473" s="63"/>
      <c r="JLV2473" s="61"/>
      <c r="JLW2473" s="54"/>
      <c r="JLX2473" s="54"/>
      <c r="JLY2473" s="63"/>
      <c r="JLZ2473" s="60"/>
      <c r="JMA2473" s="60"/>
      <c r="JMB2473" s="60"/>
      <c r="JMC2473" s="63"/>
      <c r="JMD2473" s="61"/>
      <c r="JME2473" s="54"/>
      <c r="JMF2473" s="54"/>
      <c r="JMG2473" s="63"/>
      <c r="JMH2473" s="60"/>
      <c r="JMI2473" s="60"/>
      <c r="JMJ2473" s="60"/>
      <c r="JMK2473" s="63"/>
      <c r="JML2473" s="61"/>
      <c r="JMM2473" s="54"/>
      <c r="JMN2473" s="54"/>
      <c r="JMO2473" s="63"/>
      <c r="JMP2473" s="60"/>
      <c r="JMQ2473" s="60"/>
      <c r="JMR2473" s="60"/>
      <c r="JMS2473" s="63"/>
      <c r="JMT2473" s="61"/>
      <c r="JMU2473" s="54"/>
      <c r="JMV2473" s="54"/>
      <c r="JMW2473" s="63"/>
      <c r="JMX2473" s="60"/>
      <c r="JMY2473" s="60"/>
      <c r="JMZ2473" s="60"/>
      <c r="JNA2473" s="63"/>
      <c r="JNB2473" s="61"/>
      <c r="JNC2473" s="54"/>
      <c r="JND2473" s="54"/>
      <c r="JNE2473" s="63"/>
      <c r="JNF2473" s="60"/>
      <c r="JNG2473" s="60"/>
      <c r="JNH2473" s="60"/>
      <c r="JNI2473" s="63"/>
      <c r="JNJ2473" s="61"/>
      <c r="JNK2473" s="54"/>
      <c r="JNL2473" s="54"/>
      <c r="JNM2473" s="63"/>
      <c r="JNN2473" s="60"/>
      <c r="JNO2473" s="60"/>
      <c r="JNP2473" s="60"/>
      <c r="JNQ2473" s="63"/>
      <c r="JNR2473" s="61"/>
      <c r="JNS2473" s="54"/>
      <c r="JNT2473" s="54"/>
      <c r="JNU2473" s="63"/>
      <c r="JNV2473" s="60"/>
      <c r="JNW2473" s="60"/>
      <c r="JNX2473" s="60"/>
      <c r="JNY2473" s="63"/>
      <c r="JNZ2473" s="61"/>
      <c r="JOA2473" s="54"/>
      <c r="JOB2473" s="54"/>
      <c r="JOC2473" s="63"/>
      <c r="JOD2473" s="60"/>
      <c r="JOE2473" s="60"/>
      <c r="JOF2473" s="60"/>
      <c r="JOG2473" s="63"/>
      <c r="JOH2473" s="61"/>
      <c r="JOI2473" s="54"/>
      <c r="JOJ2473" s="54"/>
      <c r="JOK2473" s="63"/>
      <c r="JOL2473" s="60"/>
      <c r="JOM2473" s="60"/>
      <c r="JON2473" s="60"/>
      <c r="JOO2473" s="63"/>
      <c r="JOP2473" s="61"/>
      <c r="JOQ2473" s="54"/>
      <c r="JOR2473" s="54"/>
      <c r="JOS2473" s="63"/>
      <c r="JOT2473" s="60"/>
      <c r="JOU2473" s="60"/>
      <c r="JOV2473" s="60"/>
      <c r="JOW2473" s="63"/>
      <c r="JOX2473" s="61"/>
      <c r="JOY2473" s="54"/>
      <c r="JOZ2473" s="54"/>
      <c r="JPA2473" s="63"/>
      <c r="JPB2473" s="60"/>
      <c r="JPC2473" s="60"/>
      <c r="JPD2473" s="60"/>
      <c r="JPE2473" s="63"/>
      <c r="JPF2473" s="61"/>
      <c r="JPG2473" s="54"/>
      <c r="JPH2473" s="54"/>
      <c r="JPI2473" s="63"/>
      <c r="JPJ2473" s="60"/>
      <c r="JPK2473" s="60"/>
      <c r="JPL2473" s="60"/>
      <c r="JPM2473" s="63"/>
      <c r="JPN2473" s="61"/>
      <c r="JPO2473" s="54"/>
      <c r="JPP2473" s="54"/>
      <c r="JPQ2473" s="63"/>
      <c r="JPR2473" s="60"/>
      <c r="JPS2473" s="60"/>
      <c r="JPT2473" s="60"/>
      <c r="JPU2473" s="63"/>
      <c r="JPV2473" s="61"/>
      <c r="JPW2473" s="54"/>
      <c r="JPX2473" s="54"/>
      <c r="JPY2473" s="63"/>
      <c r="JPZ2473" s="60"/>
      <c r="JQA2473" s="60"/>
      <c r="JQB2473" s="60"/>
      <c r="JQC2473" s="63"/>
      <c r="JQD2473" s="61"/>
      <c r="JQE2473" s="54"/>
      <c r="JQF2473" s="54"/>
      <c r="JQG2473" s="63"/>
      <c r="JQH2473" s="60"/>
      <c r="JQI2473" s="60"/>
      <c r="JQJ2473" s="60"/>
      <c r="JQK2473" s="63"/>
      <c r="JQL2473" s="61"/>
      <c r="JQM2473" s="54"/>
      <c r="JQN2473" s="54"/>
      <c r="JQO2473" s="63"/>
      <c r="JQP2473" s="60"/>
      <c r="JQQ2473" s="60"/>
      <c r="JQR2473" s="60"/>
      <c r="JQS2473" s="63"/>
      <c r="JQT2473" s="61"/>
      <c r="JQU2473" s="54"/>
      <c r="JQV2473" s="54"/>
      <c r="JQW2473" s="63"/>
      <c r="JQX2473" s="60"/>
      <c r="JQY2473" s="60"/>
      <c r="JQZ2473" s="60"/>
      <c r="JRA2473" s="63"/>
      <c r="JRB2473" s="61"/>
      <c r="JRC2473" s="54"/>
      <c r="JRD2473" s="54"/>
      <c r="JRE2473" s="63"/>
      <c r="JRF2473" s="60"/>
      <c r="JRG2473" s="60"/>
      <c r="JRH2473" s="60"/>
      <c r="JRI2473" s="63"/>
      <c r="JRJ2473" s="61"/>
      <c r="JRK2473" s="54"/>
      <c r="JRL2473" s="54"/>
      <c r="JRM2473" s="63"/>
      <c r="JRN2473" s="60"/>
      <c r="JRO2473" s="60"/>
      <c r="JRP2473" s="60"/>
      <c r="JRQ2473" s="63"/>
      <c r="JRR2473" s="61"/>
      <c r="JRS2473" s="54"/>
      <c r="JRT2473" s="54"/>
      <c r="JRU2473" s="63"/>
      <c r="JRV2473" s="60"/>
      <c r="JRW2473" s="60"/>
      <c r="JRX2473" s="60"/>
      <c r="JRY2473" s="63"/>
      <c r="JRZ2473" s="61"/>
      <c r="JSA2473" s="54"/>
      <c r="JSB2473" s="54"/>
      <c r="JSC2473" s="63"/>
      <c r="JSD2473" s="60"/>
      <c r="JSE2473" s="60"/>
      <c r="JSF2473" s="60"/>
      <c r="JSG2473" s="63"/>
      <c r="JSH2473" s="61"/>
      <c r="JSI2473" s="54"/>
      <c r="JSJ2473" s="54"/>
      <c r="JSK2473" s="63"/>
      <c r="JSL2473" s="60"/>
      <c r="JSM2473" s="60"/>
      <c r="JSN2473" s="60"/>
      <c r="JSO2473" s="63"/>
      <c r="JSP2473" s="61"/>
      <c r="JSQ2473" s="54"/>
      <c r="JSR2473" s="54"/>
      <c r="JSS2473" s="63"/>
      <c r="JST2473" s="60"/>
      <c r="JSU2473" s="60"/>
      <c r="JSV2473" s="60"/>
      <c r="JSW2473" s="63"/>
      <c r="JSX2473" s="61"/>
      <c r="JSY2473" s="54"/>
      <c r="JSZ2473" s="54"/>
      <c r="JTA2473" s="63"/>
      <c r="JTB2473" s="60"/>
      <c r="JTC2473" s="60"/>
      <c r="JTD2473" s="60"/>
      <c r="JTE2473" s="63"/>
      <c r="JTF2473" s="61"/>
      <c r="JTG2473" s="54"/>
      <c r="JTH2473" s="54"/>
      <c r="JTI2473" s="63"/>
      <c r="JTJ2473" s="60"/>
      <c r="JTK2473" s="60"/>
      <c r="JTL2473" s="60"/>
      <c r="JTM2473" s="63"/>
      <c r="JTN2473" s="61"/>
      <c r="JTO2473" s="54"/>
      <c r="JTP2473" s="54"/>
      <c r="JTQ2473" s="63"/>
      <c r="JTR2473" s="60"/>
      <c r="JTS2473" s="60"/>
      <c r="JTT2473" s="60"/>
      <c r="JTU2473" s="63"/>
      <c r="JTV2473" s="61"/>
      <c r="JTW2473" s="54"/>
      <c r="JTX2473" s="54"/>
      <c r="JTY2473" s="63"/>
      <c r="JTZ2473" s="60"/>
      <c r="JUA2473" s="60"/>
      <c r="JUB2473" s="60"/>
      <c r="JUC2473" s="63"/>
      <c r="JUD2473" s="61"/>
      <c r="JUE2473" s="54"/>
      <c r="JUF2473" s="54"/>
      <c r="JUG2473" s="63"/>
      <c r="JUH2473" s="60"/>
      <c r="JUI2473" s="60"/>
      <c r="JUJ2473" s="60"/>
      <c r="JUK2473" s="63"/>
      <c r="JUL2473" s="61"/>
      <c r="JUM2473" s="54"/>
      <c r="JUN2473" s="54"/>
      <c r="JUO2473" s="63"/>
      <c r="JUP2473" s="60"/>
      <c r="JUQ2473" s="60"/>
      <c r="JUR2473" s="60"/>
      <c r="JUS2473" s="63"/>
      <c r="JUT2473" s="61"/>
      <c r="JUU2473" s="54"/>
      <c r="JUV2473" s="54"/>
      <c r="JUW2473" s="63"/>
      <c r="JUX2473" s="60"/>
      <c r="JUY2473" s="60"/>
      <c r="JUZ2473" s="60"/>
      <c r="JVA2473" s="63"/>
      <c r="JVB2473" s="61"/>
      <c r="JVC2473" s="54"/>
      <c r="JVD2473" s="54"/>
      <c r="JVE2473" s="63"/>
      <c r="JVF2473" s="60"/>
      <c r="JVG2473" s="60"/>
      <c r="JVH2473" s="60"/>
      <c r="JVI2473" s="63"/>
      <c r="JVJ2473" s="61"/>
      <c r="JVK2473" s="54"/>
      <c r="JVL2473" s="54"/>
      <c r="JVM2473" s="63"/>
      <c r="JVN2473" s="60"/>
      <c r="JVO2473" s="60"/>
      <c r="JVP2473" s="60"/>
      <c r="JVQ2473" s="63"/>
      <c r="JVR2473" s="61"/>
      <c r="JVS2473" s="54"/>
      <c r="JVT2473" s="54"/>
      <c r="JVU2473" s="63"/>
      <c r="JVV2473" s="60"/>
      <c r="JVW2473" s="60"/>
      <c r="JVX2473" s="60"/>
      <c r="JVY2473" s="63"/>
      <c r="JVZ2473" s="61"/>
      <c r="JWA2473" s="54"/>
      <c r="JWB2473" s="54"/>
      <c r="JWC2473" s="63"/>
      <c r="JWD2473" s="60"/>
      <c r="JWE2473" s="60"/>
      <c r="JWF2473" s="60"/>
      <c r="JWG2473" s="63"/>
      <c r="JWH2473" s="61"/>
      <c r="JWI2473" s="54"/>
      <c r="JWJ2473" s="54"/>
      <c r="JWK2473" s="63"/>
      <c r="JWL2473" s="60"/>
      <c r="JWM2473" s="60"/>
      <c r="JWN2473" s="60"/>
      <c r="JWO2473" s="63"/>
      <c r="JWP2473" s="61"/>
      <c r="JWQ2473" s="54"/>
      <c r="JWR2473" s="54"/>
      <c r="JWS2473" s="63"/>
      <c r="JWT2473" s="60"/>
      <c r="JWU2473" s="60"/>
      <c r="JWV2473" s="60"/>
      <c r="JWW2473" s="63"/>
      <c r="JWX2473" s="61"/>
      <c r="JWY2473" s="54"/>
      <c r="JWZ2473" s="54"/>
      <c r="JXA2473" s="63"/>
      <c r="JXB2473" s="60"/>
      <c r="JXC2473" s="60"/>
      <c r="JXD2473" s="60"/>
      <c r="JXE2473" s="63"/>
      <c r="JXF2473" s="61"/>
      <c r="JXG2473" s="54"/>
      <c r="JXH2473" s="54"/>
      <c r="JXI2473" s="63"/>
      <c r="JXJ2473" s="60"/>
      <c r="JXK2473" s="60"/>
      <c r="JXL2473" s="60"/>
      <c r="JXM2473" s="63"/>
      <c r="JXN2473" s="61"/>
      <c r="JXO2473" s="54"/>
      <c r="JXP2473" s="54"/>
      <c r="JXQ2473" s="63"/>
      <c r="JXR2473" s="60"/>
      <c r="JXS2473" s="60"/>
      <c r="JXT2473" s="60"/>
      <c r="JXU2473" s="63"/>
      <c r="JXV2473" s="61"/>
      <c r="JXW2473" s="54"/>
      <c r="JXX2473" s="54"/>
      <c r="JXY2473" s="63"/>
      <c r="JXZ2473" s="60"/>
      <c r="JYA2473" s="60"/>
      <c r="JYB2473" s="60"/>
      <c r="JYC2473" s="63"/>
      <c r="JYD2473" s="61"/>
      <c r="JYE2473" s="54"/>
      <c r="JYF2473" s="54"/>
      <c r="JYG2473" s="63"/>
      <c r="JYH2473" s="60"/>
      <c r="JYI2473" s="60"/>
      <c r="JYJ2473" s="60"/>
      <c r="JYK2473" s="63"/>
      <c r="JYL2473" s="61"/>
      <c r="JYM2473" s="54"/>
      <c r="JYN2473" s="54"/>
      <c r="JYO2473" s="63"/>
      <c r="JYP2473" s="60"/>
      <c r="JYQ2473" s="60"/>
      <c r="JYR2473" s="60"/>
      <c r="JYS2473" s="63"/>
      <c r="JYT2473" s="61"/>
      <c r="JYU2473" s="54"/>
      <c r="JYV2473" s="54"/>
      <c r="JYW2473" s="63"/>
      <c r="JYX2473" s="60"/>
      <c r="JYY2473" s="60"/>
      <c r="JYZ2473" s="60"/>
      <c r="JZA2473" s="63"/>
      <c r="JZB2473" s="61"/>
      <c r="JZC2473" s="54"/>
      <c r="JZD2473" s="54"/>
      <c r="JZE2473" s="63"/>
      <c r="JZF2473" s="60"/>
      <c r="JZG2473" s="60"/>
      <c r="JZH2473" s="60"/>
      <c r="JZI2473" s="63"/>
      <c r="JZJ2473" s="61"/>
      <c r="JZK2473" s="54"/>
      <c r="JZL2473" s="54"/>
      <c r="JZM2473" s="63"/>
      <c r="JZN2473" s="60"/>
      <c r="JZO2473" s="60"/>
      <c r="JZP2473" s="60"/>
      <c r="JZQ2473" s="63"/>
      <c r="JZR2473" s="61"/>
      <c r="JZS2473" s="54"/>
      <c r="JZT2473" s="54"/>
      <c r="JZU2473" s="63"/>
      <c r="JZV2473" s="60"/>
      <c r="JZW2473" s="60"/>
      <c r="JZX2473" s="60"/>
      <c r="JZY2473" s="63"/>
      <c r="JZZ2473" s="61"/>
      <c r="KAA2473" s="54"/>
      <c r="KAB2473" s="54"/>
      <c r="KAC2473" s="63"/>
      <c r="KAD2473" s="60"/>
      <c r="KAE2473" s="60"/>
      <c r="KAF2473" s="60"/>
      <c r="KAG2473" s="63"/>
      <c r="KAH2473" s="61"/>
      <c r="KAI2473" s="54"/>
      <c r="KAJ2473" s="54"/>
      <c r="KAK2473" s="63"/>
      <c r="KAL2473" s="60"/>
      <c r="KAM2473" s="60"/>
      <c r="KAN2473" s="60"/>
      <c r="KAO2473" s="63"/>
      <c r="KAP2473" s="61"/>
      <c r="KAQ2473" s="54"/>
      <c r="KAR2473" s="54"/>
      <c r="KAS2473" s="63"/>
      <c r="KAT2473" s="60"/>
      <c r="KAU2473" s="60"/>
      <c r="KAV2473" s="60"/>
      <c r="KAW2473" s="63"/>
      <c r="KAX2473" s="61"/>
      <c r="KAY2473" s="54"/>
      <c r="KAZ2473" s="54"/>
      <c r="KBA2473" s="63"/>
      <c r="KBB2473" s="60"/>
      <c r="KBC2473" s="60"/>
      <c r="KBD2473" s="60"/>
      <c r="KBE2473" s="63"/>
      <c r="KBF2473" s="61"/>
      <c r="KBG2473" s="54"/>
      <c r="KBH2473" s="54"/>
      <c r="KBI2473" s="63"/>
      <c r="KBJ2473" s="60"/>
      <c r="KBK2473" s="60"/>
      <c r="KBL2473" s="60"/>
      <c r="KBM2473" s="63"/>
      <c r="KBN2473" s="61"/>
      <c r="KBO2473" s="54"/>
      <c r="KBP2473" s="54"/>
      <c r="KBQ2473" s="63"/>
      <c r="KBR2473" s="60"/>
      <c r="KBS2473" s="60"/>
      <c r="KBT2473" s="60"/>
      <c r="KBU2473" s="63"/>
      <c r="KBV2473" s="61"/>
      <c r="KBW2473" s="54"/>
      <c r="KBX2473" s="54"/>
      <c r="KBY2473" s="63"/>
      <c r="KBZ2473" s="60"/>
      <c r="KCA2473" s="60"/>
      <c r="KCB2473" s="60"/>
      <c r="KCC2473" s="63"/>
      <c r="KCD2473" s="61"/>
      <c r="KCE2473" s="54"/>
      <c r="KCF2473" s="54"/>
      <c r="KCG2473" s="63"/>
      <c r="KCH2473" s="60"/>
      <c r="KCI2473" s="60"/>
      <c r="KCJ2473" s="60"/>
      <c r="KCK2473" s="63"/>
      <c r="KCL2473" s="61"/>
      <c r="KCM2473" s="54"/>
      <c r="KCN2473" s="54"/>
      <c r="KCO2473" s="63"/>
      <c r="KCP2473" s="60"/>
      <c r="KCQ2473" s="60"/>
      <c r="KCR2473" s="60"/>
      <c r="KCS2473" s="63"/>
      <c r="KCT2473" s="61"/>
      <c r="KCU2473" s="54"/>
      <c r="KCV2473" s="54"/>
      <c r="KCW2473" s="63"/>
      <c r="KCX2473" s="60"/>
      <c r="KCY2473" s="60"/>
      <c r="KCZ2473" s="60"/>
      <c r="KDA2473" s="63"/>
      <c r="KDB2473" s="61"/>
      <c r="KDC2473" s="54"/>
      <c r="KDD2473" s="54"/>
      <c r="KDE2473" s="63"/>
      <c r="KDF2473" s="60"/>
      <c r="KDG2473" s="60"/>
      <c r="KDH2473" s="60"/>
      <c r="KDI2473" s="63"/>
      <c r="KDJ2473" s="61"/>
      <c r="KDK2473" s="54"/>
      <c r="KDL2473" s="54"/>
      <c r="KDM2473" s="63"/>
      <c r="KDN2473" s="60"/>
      <c r="KDO2473" s="60"/>
      <c r="KDP2473" s="60"/>
      <c r="KDQ2473" s="63"/>
      <c r="KDR2473" s="61"/>
      <c r="KDS2473" s="54"/>
      <c r="KDT2473" s="54"/>
      <c r="KDU2473" s="63"/>
      <c r="KDV2473" s="60"/>
      <c r="KDW2473" s="60"/>
      <c r="KDX2473" s="60"/>
      <c r="KDY2473" s="63"/>
      <c r="KDZ2473" s="61"/>
      <c r="KEA2473" s="54"/>
      <c r="KEB2473" s="54"/>
      <c r="KEC2473" s="63"/>
      <c r="KED2473" s="60"/>
      <c r="KEE2473" s="60"/>
      <c r="KEF2473" s="60"/>
      <c r="KEG2473" s="63"/>
      <c r="KEH2473" s="61"/>
      <c r="KEI2473" s="54"/>
      <c r="KEJ2473" s="54"/>
      <c r="KEK2473" s="63"/>
      <c r="KEL2473" s="60"/>
      <c r="KEM2473" s="60"/>
      <c r="KEN2473" s="60"/>
      <c r="KEO2473" s="63"/>
      <c r="KEP2473" s="61"/>
      <c r="KEQ2473" s="54"/>
      <c r="KER2473" s="54"/>
      <c r="KES2473" s="63"/>
      <c r="KET2473" s="60"/>
      <c r="KEU2473" s="60"/>
      <c r="KEV2473" s="60"/>
      <c r="KEW2473" s="63"/>
      <c r="KEX2473" s="61"/>
      <c r="KEY2473" s="54"/>
      <c r="KEZ2473" s="54"/>
      <c r="KFA2473" s="63"/>
      <c r="KFB2473" s="60"/>
      <c r="KFC2473" s="60"/>
      <c r="KFD2473" s="60"/>
      <c r="KFE2473" s="63"/>
      <c r="KFF2473" s="61"/>
      <c r="KFG2473" s="54"/>
      <c r="KFH2473" s="54"/>
      <c r="KFI2473" s="63"/>
      <c r="KFJ2473" s="60"/>
      <c r="KFK2473" s="60"/>
      <c r="KFL2473" s="60"/>
      <c r="KFM2473" s="63"/>
      <c r="KFN2473" s="61"/>
      <c r="KFO2473" s="54"/>
      <c r="KFP2473" s="54"/>
      <c r="KFQ2473" s="63"/>
      <c r="KFR2473" s="60"/>
      <c r="KFS2473" s="60"/>
      <c r="KFT2473" s="60"/>
      <c r="KFU2473" s="63"/>
      <c r="KFV2473" s="61"/>
      <c r="KFW2473" s="54"/>
      <c r="KFX2473" s="54"/>
      <c r="KFY2473" s="63"/>
      <c r="KFZ2473" s="60"/>
      <c r="KGA2473" s="60"/>
      <c r="KGB2473" s="60"/>
      <c r="KGC2473" s="63"/>
      <c r="KGD2473" s="61"/>
      <c r="KGE2473" s="54"/>
      <c r="KGF2473" s="54"/>
      <c r="KGG2473" s="63"/>
      <c r="KGH2473" s="60"/>
      <c r="KGI2473" s="60"/>
      <c r="KGJ2473" s="60"/>
      <c r="KGK2473" s="63"/>
      <c r="KGL2473" s="61"/>
      <c r="KGM2473" s="54"/>
      <c r="KGN2473" s="54"/>
      <c r="KGO2473" s="63"/>
      <c r="KGP2473" s="60"/>
      <c r="KGQ2473" s="60"/>
      <c r="KGR2473" s="60"/>
      <c r="KGS2473" s="63"/>
      <c r="KGT2473" s="61"/>
      <c r="KGU2473" s="54"/>
      <c r="KGV2473" s="54"/>
      <c r="KGW2473" s="63"/>
      <c r="KGX2473" s="60"/>
      <c r="KGY2473" s="60"/>
      <c r="KGZ2473" s="60"/>
      <c r="KHA2473" s="63"/>
      <c r="KHB2473" s="61"/>
      <c r="KHC2473" s="54"/>
      <c r="KHD2473" s="54"/>
      <c r="KHE2473" s="63"/>
      <c r="KHF2473" s="60"/>
      <c r="KHG2473" s="60"/>
      <c r="KHH2473" s="60"/>
      <c r="KHI2473" s="63"/>
      <c r="KHJ2473" s="61"/>
      <c r="KHK2473" s="54"/>
      <c r="KHL2473" s="54"/>
      <c r="KHM2473" s="63"/>
      <c r="KHN2473" s="60"/>
      <c r="KHO2473" s="60"/>
      <c r="KHP2473" s="60"/>
      <c r="KHQ2473" s="63"/>
      <c r="KHR2473" s="61"/>
      <c r="KHS2473" s="54"/>
      <c r="KHT2473" s="54"/>
      <c r="KHU2473" s="63"/>
      <c r="KHV2473" s="60"/>
      <c r="KHW2473" s="60"/>
      <c r="KHX2473" s="60"/>
      <c r="KHY2473" s="63"/>
      <c r="KHZ2473" s="61"/>
      <c r="KIA2473" s="54"/>
      <c r="KIB2473" s="54"/>
      <c r="KIC2473" s="63"/>
      <c r="KID2473" s="60"/>
      <c r="KIE2473" s="60"/>
      <c r="KIF2473" s="60"/>
      <c r="KIG2473" s="63"/>
      <c r="KIH2473" s="61"/>
      <c r="KII2473" s="54"/>
      <c r="KIJ2473" s="54"/>
      <c r="KIK2473" s="63"/>
      <c r="KIL2473" s="60"/>
      <c r="KIM2473" s="60"/>
      <c r="KIN2473" s="60"/>
      <c r="KIO2473" s="63"/>
      <c r="KIP2473" s="61"/>
      <c r="KIQ2473" s="54"/>
      <c r="KIR2473" s="54"/>
      <c r="KIS2473" s="63"/>
      <c r="KIT2473" s="60"/>
      <c r="KIU2473" s="60"/>
      <c r="KIV2473" s="60"/>
      <c r="KIW2473" s="63"/>
      <c r="KIX2473" s="61"/>
      <c r="KIY2473" s="54"/>
      <c r="KIZ2473" s="54"/>
      <c r="KJA2473" s="63"/>
      <c r="KJB2473" s="60"/>
      <c r="KJC2473" s="60"/>
      <c r="KJD2473" s="60"/>
      <c r="KJE2473" s="63"/>
      <c r="KJF2473" s="61"/>
      <c r="KJG2473" s="54"/>
      <c r="KJH2473" s="54"/>
      <c r="KJI2473" s="63"/>
      <c r="KJJ2473" s="60"/>
      <c r="KJK2473" s="60"/>
      <c r="KJL2473" s="60"/>
      <c r="KJM2473" s="63"/>
      <c r="KJN2473" s="61"/>
      <c r="KJO2473" s="54"/>
      <c r="KJP2473" s="54"/>
      <c r="KJQ2473" s="63"/>
      <c r="KJR2473" s="60"/>
      <c r="KJS2473" s="60"/>
      <c r="KJT2473" s="60"/>
      <c r="KJU2473" s="63"/>
      <c r="KJV2473" s="61"/>
      <c r="KJW2473" s="54"/>
      <c r="KJX2473" s="54"/>
      <c r="KJY2473" s="63"/>
      <c r="KJZ2473" s="60"/>
      <c r="KKA2473" s="60"/>
      <c r="KKB2473" s="60"/>
      <c r="KKC2473" s="63"/>
      <c r="KKD2473" s="61"/>
      <c r="KKE2473" s="54"/>
      <c r="KKF2473" s="54"/>
      <c r="KKG2473" s="63"/>
      <c r="KKH2473" s="60"/>
      <c r="KKI2473" s="60"/>
      <c r="KKJ2473" s="60"/>
      <c r="KKK2473" s="63"/>
      <c r="KKL2473" s="61"/>
      <c r="KKM2473" s="54"/>
      <c r="KKN2473" s="54"/>
      <c r="KKO2473" s="63"/>
      <c r="KKP2473" s="60"/>
      <c r="KKQ2473" s="60"/>
      <c r="KKR2473" s="60"/>
      <c r="KKS2473" s="63"/>
      <c r="KKT2473" s="61"/>
      <c r="KKU2473" s="54"/>
      <c r="KKV2473" s="54"/>
      <c r="KKW2473" s="63"/>
      <c r="KKX2473" s="60"/>
      <c r="KKY2473" s="60"/>
      <c r="KKZ2473" s="60"/>
      <c r="KLA2473" s="63"/>
      <c r="KLB2473" s="61"/>
      <c r="KLC2473" s="54"/>
      <c r="KLD2473" s="54"/>
      <c r="KLE2473" s="63"/>
      <c r="KLF2473" s="60"/>
      <c r="KLG2473" s="60"/>
      <c r="KLH2473" s="60"/>
      <c r="KLI2473" s="63"/>
      <c r="KLJ2473" s="61"/>
      <c r="KLK2473" s="54"/>
      <c r="KLL2473" s="54"/>
      <c r="KLM2473" s="63"/>
      <c r="KLN2473" s="60"/>
      <c r="KLO2473" s="60"/>
      <c r="KLP2473" s="60"/>
      <c r="KLQ2473" s="63"/>
      <c r="KLR2473" s="61"/>
      <c r="KLS2473" s="54"/>
      <c r="KLT2473" s="54"/>
      <c r="KLU2473" s="63"/>
      <c r="KLV2473" s="60"/>
      <c r="KLW2473" s="60"/>
      <c r="KLX2473" s="60"/>
      <c r="KLY2473" s="63"/>
      <c r="KLZ2473" s="61"/>
      <c r="KMA2473" s="54"/>
      <c r="KMB2473" s="54"/>
      <c r="KMC2473" s="63"/>
      <c r="KMD2473" s="60"/>
      <c r="KME2473" s="60"/>
      <c r="KMF2473" s="60"/>
      <c r="KMG2473" s="63"/>
      <c r="KMH2473" s="61"/>
      <c r="KMI2473" s="54"/>
      <c r="KMJ2473" s="54"/>
      <c r="KMK2473" s="63"/>
      <c r="KML2473" s="60"/>
      <c r="KMM2473" s="60"/>
      <c r="KMN2473" s="60"/>
      <c r="KMO2473" s="63"/>
      <c r="KMP2473" s="61"/>
      <c r="KMQ2473" s="54"/>
      <c r="KMR2473" s="54"/>
      <c r="KMS2473" s="63"/>
      <c r="KMT2473" s="60"/>
      <c r="KMU2473" s="60"/>
      <c r="KMV2473" s="60"/>
      <c r="KMW2473" s="63"/>
      <c r="KMX2473" s="61"/>
      <c r="KMY2473" s="54"/>
      <c r="KMZ2473" s="54"/>
      <c r="KNA2473" s="63"/>
      <c r="KNB2473" s="60"/>
      <c r="KNC2473" s="60"/>
      <c r="KND2473" s="60"/>
      <c r="KNE2473" s="63"/>
      <c r="KNF2473" s="61"/>
      <c r="KNG2473" s="54"/>
      <c r="KNH2473" s="54"/>
      <c r="KNI2473" s="63"/>
      <c r="KNJ2473" s="60"/>
      <c r="KNK2473" s="60"/>
      <c r="KNL2473" s="60"/>
      <c r="KNM2473" s="63"/>
      <c r="KNN2473" s="61"/>
      <c r="KNO2473" s="54"/>
      <c r="KNP2473" s="54"/>
      <c r="KNQ2473" s="63"/>
      <c r="KNR2473" s="60"/>
      <c r="KNS2473" s="60"/>
      <c r="KNT2473" s="60"/>
      <c r="KNU2473" s="63"/>
      <c r="KNV2473" s="61"/>
      <c r="KNW2473" s="54"/>
      <c r="KNX2473" s="54"/>
      <c r="KNY2473" s="63"/>
      <c r="KNZ2473" s="60"/>
      <c r="KOA2473" s="60"/>
      <c r="KOB2473" s="60"/>
      <c r="KOC2473" s="63"/>
      <c r="KOD2473" s="61"/>
      <c r="KOE2473" s="54"/>
      <c r="KOF2473" s="54"/>
      <c r="KOG2473" s="63"/>
      <c r="KOH2473" s="60"/>
      <c r="KOI2473" s="60"/>
      <c r="KOJ2473" s="60"/>
      <c r="KOK2473" s="63"/>
      <c r="KOL2473" s="61"/>
      <c r="KOM2473" s="54"/>
      <c r="KON2473" s="54"/>
      <c r="KOO2473" s="63"/>
      <c r="KOP2473" s="60"/>
      <c r="KOQ2473" s="60"/>
      <c r="KOR2473" s="60"/>
      <c r="KOS2473" s="63"/>
      <c r="KOT2473" s="61"/>
      <c r="KOU2473" s="54"/>
      <c r="KOV2473" s="54"/>
      <c r="KOW2473" s="63"/>
      <c r="KOX2473" s="60"/>
      <c r="KOY2473" s="60"/>
      <c r="KOZ2473" s="60"/>
      <c r="KPA2473" s="63"/>
      <c r="KPB2473" s="61"/>
      <c r="KPC2473" s="54"/>
      <c r="KPD2473" s="54"/>
      <c r="KPE2473" s="63"/>
      <c r="KPF2473" s="60"/>
      <c r="KPG2473" s="60"/>
      <c r="KPH2473" s="60"/>
      <c r="KPI2473" s="63"/>
      <c r="KPJ2473" s="61"/>
      <c r="KPK2473" s="54"/>
      <c r="KPL2473" s="54"/>
      <c r="KPM2473" s="63"/>
      <c r="KPN2473" s="60"/>
      <c r="KPO2473" s="60"/>
      <c r="KPP2473" s="60"/>
      <c r="KPQ2473" s="63"/>
      <c r="KPR2473" s="61"/>
      <c r="KPS2473" s="54"/>
      <c r="KPT2473" s="54"/>
      <c r="KPU2473" s="63"/>
      <c r="KPV2473" s="60"/>
      <c r="KPW2473" s="60"/>
      <c r="KPX2473" s="60"/>
      <c r="KPY2473" s="63"/>
      <c r="KPZ2473" s="61"/>
      <c r="KQA2473" s="54"/>
      <c r="KQB2473" s="54"/>
      <c r="KQC2473" s="63"/>
      <c r="KQD2473" s="60"/>
      <c r="KQE2473" s="60"/>
      <c r="KQF2473" s="60"/>
      <c r="KQG2473" s="63"/>
      <c r="KQH2473" s="61"/>
      <c r="KQI2473" s="54"/>
      <c r="KQJ2473" s="54"/>
      <c r="KQK2473" s="63"/>
      <c r="KQL2473" s="60"/>
      <c r="KQM2473" s="60"/>
      <c r="KQN2473" s="60"/>
      <c r="KQO2473" s="63"/>
      <c r="KQP2473" s="61"/>
      <c r="KQQ2473" s="54"/>
      <c r="KQR2473" s="54"/>
      <c r="KQS2473" s="63"/>
      <c r="KQT2473" s="60"/>
      <c r="KQU2473" s="60"/>
      <c r="KQV2473" s="60"/>
      <c r="KQW2473" s="63"/>
      <c r="KQX2473" s="61"/>
      <c r="KQY2473" s="54"/>
      <c r="KQZ2473" s="54"/>
      <c r="KRA2473" s="63"/>
      <c r="KRB2473" s="60"/>
      <c r="KRC2473" s="60"/>
      <c r="KRD2473" s="60"/>
      <c r="KRE2473" s="63"/>
      <c r="KRF2473" s="61"/>
      <c r="KRG2473" s="54"/>
      <c r="KRH2473" s="54"/>
      <c r="KRI2473" s="63"/>
      <c r="KRJ2473" s="60"/>
      <c r="KRK2473" s="60"/>
      <c r="KRL2473" s="60"/>
      <c r="KRM2473" s="63"/>
      <c r="KRN2473" s="61"/>
      <c r="KRO2473" s="54"/>
      <c r="KRP2473" s="54"/>
      <c r="KRQ2473" s="63"/>
      <c r="KRR2473" s="60"/>
      <c r="KRS2473" s="60"/>
      <c r="KRT2473" s="60"/>
      <c r="KRU2473" s="63"/>
      <c r="KRV2473" s="61"/>
      <c r="KRW2473" s="54"/>
      <c r="KRX2473" s="54"/>
      <c r="KRY2473" s="63"/>
      <c r="KRZ2473" s="60"/>
      <c r="KSA2473" s="60"/>
      <c r="KSB2473" s="60"/>
      <c r="KSC2473" s="63"/>
      <c r="KSD2473" s="61"/>
      <c r="KSE2473" s="54"/>
      <c r="KSF2473" s="54"/>
      <c r="KSG2473" s="63"/>
      <c r="KSH2473" s="60"/>
      <c r="KSI2473" s="60"/>
      <c r="KSJ2473" s="60"/>
      <c r="KSK2473" s="63"/>
      <c r="KSL2473" s="61"/>
      <c r="KSM2473" s="54"/>
      <c r="KSN2473" s="54"/>
      <c r="KSO2473" s="63"/>
      <c r="KSP2473" s="60"/>
      <c r="KSQ2473" s="60"/>
      <c r="KSR2473" s="60"/>
      <c r="KSS2473" s="63"/>
      <c r="KST2473" s="61"/>
      <c r="KSU2473" s="54"/>
      <c r="KSV2473" s="54"/>
      <c r="KSW2473" s="63"/>
      <c r="KSX2473" s="60"/>
      <c r="KSY2473" s="60"/>
      <c r="KSZ2473" s="60"/>
      <c r="KTA2473" s="63"/>
      <c r="KTB2473" s="61"/>
      <c r="KTC2473" s="54"/>
      <c r="KTD2473" s="54"/>
      <c r="KTE2473" s="63"/>
      <c r="KTF2473" s="60"/>
      <c r="KTG2473" s="60"/>
      <c r="KTH2473" s="60"/>
      <c r="KTI2473" s="63"/>
      <c r="KTJ2473" s="61"/>
      <c r="KTK2473" s="54"/>
      <c r="KTL2473" s="54"/>
      <c r="KTM2473" s="63"/>
      <c r="KTN2473" s="60"/>
      <c r="KTO2473" s="60"/>
      <c r="KTP2473" s="60"/>
      <c r="KTQ2473" s="63"/>
      <c r="KTR2473" s="61"/>
      <c r="KTS2473" s="54"/>
      <c r="KTT2473" s="54"/>
      <c r="KTU2473" s="63"/>
      <c r="KTV2473" s="60"/>
      <c r="KTW2473" s="60"/>
      <c r="KTX2473" s="60"/>
      <c r="KTY2473" s="63"/>
      <c r="KTZ2473" s="61"/>
      <c r="KUA2473" s="54"/>
      <c r="KUB2473" s="54"/>
      <c r="KUC2473" s="63"/>
      <c r="KUD2473" s="60"/>
      <c r="KUE2473" s="60"/>
      <c r="KUF2473" s="60"/>
      <c r="KUG2473" s="63"/>
      <c r="KUH2473" s="61"/>
      <c r="KUI2473" s="54"/>
      <c r="KUJ2473" s="54"/>
      <c r="KUK2473" s="63"/>
      <c r="KUL2473" s="60"/>
      <c r="KUM2473" s="60"/>
      <c r="KUN2473" s="60"/>
      <c r="KUO2473" s="63"/>
      <c r="KUP2473" s="61"/>
      <c r="KUQ2473" s="54"/>
      <c r="KUR2473" s="54"/>
      <c r="KUS2473" s="63"/>
      <c r="KUT2473" s="60"/>
      <c r="KUU2473" s="60"/>
      <c r="KUV2473" s="60"/>
      <c r="KUW2473" s="63"/>
      <c r="KUX2473" s="61"/>
      <c r="KUY2473" s="54"/>
      <c r="KUZ2473" s="54"/>
      <c r="KVA2473" s="63"/>
      <c r="KVB2473" s="60"/>
      <c r="KVC2473" s="60"/>
      <c r="KVD2473" s="60"/>
      <c r="KVE2473" s="63"/>
      <c r="KVF2473" s="61"/>
      <c r="KVG2473" s="54"/>
      <c r="KVH2473" s="54"/>
      <c r="KVI2473" s="63"/>
      <c r="KVJ2473" s="60"/>
      <c r="KVK2473" s="60"/>
      <c r="KVL2473" s="60"/>
      <c r="KVM2473" s="63"/>
      <c r="KVN2473" s="61"/>
      <c r="KVO2473" s="54"/>
      <c r="KVP2473" s="54"/>
      <c r="KVQ2473" s="63"/>
      <c r="KVR2473" s="60"/>
      <c r="KVS2473" s="60"/>
      <c r="KVT2473" s="60"/>
      <c r="KVU2473" s="63"/>
      <c r="KVV2473" s="61"/>
      <c r="KVW2473" s="54"/>
      <c r="KVX2473" s="54"/>
      <c r="KVY2473" s="63"/>
      <c r="KVZ2473" s="60"/>
      <c r="KWA2473" s="60"/>
      <c r="KWB2473" s="60"/>
      <c r="KWC2473" s="63"/>
      <c r="KWD2473" s="61"/>
      <c r="KWE2473" s="54"/>
      <c r="KWF2473" s="54"/>
      <c r="KWG2473" s="63"/>
      <c r="KWH2473" s="60"/>
      <c r="KWI2473" s="60"/>
      <c r="KWJ2473" s="60"/>
      <c r="KWK2473" s="63"/>
      <c r="KWL2473" s="61"/>
      <c r="KWM2473" s="54"/>
      <c r="KWN2473" s="54"/>
      <c r="KWO2473" s="63"/>
      <c r="KWP2473" s="60"/>
      <c r="KWQ2473" s="60"/>
      <c r="KWR2473" s="60"/>
      <c r="KWS2473" s="63"/>
      <c r="KWT2473" s="61"/>
      <c r="KWU2473" s="54"/>
      <c r="KWV2473" s="54"/>
      <c r="KWW2473" s="63"/>
      <c r="KWX2473" s="60"/>
      <c r="KWY2473" s="60"/>
      <c r="KWZ2473" s="60"/>
      <c r="KXA2473" s="63"/>
      <c r="KXB2473" s="61"/>
      <c r="KXC2473" s="54"/>
      <c r="KXD2473" s="54"/>
      <c r="KXE2473" s="63"/>
      <c r="KXF2473" s="60"/>
      <c r="KXG2473" s="60"/>
      <c r="KXH2473" s="60"/>
      <c r="KXI2473" s="63"/>
      <c r="KXJ2473" s="61"/>
      <c r="KXK2473" s="54"/>
      <c r="KXL2473" s="54"/>
      <c r="KXM2473" s="63"/>
      <c r="KXN2473" s="60"/>
      <c r="KXO2473" s="60"/>
      <c r="KXP2473" s="60"/>
      <c r="KXQ2473" s="63"/>
      <c r="KXR2473" s="61"/>
      <c r="KXS2473" s="54"/>
      <c r="KXT2473" s="54"/>
      <c r="KXU2473" s="63"/>
      <c r="KXV2473" s="60"/>
      <c r="KXW2473" s="60"/>
      <c r="KXX2473" s="60"/>
      <c r="KXY2473" s="63"/>
      <c r="KXZ2473" s="61"/>
      <c r="KYA2473" s="54"/>
      <c r="KYB2473" s="54"/>
      <c r="KYC2473" s="63"/>
      <c r="KYD2473" s="60"/>
      <c r="KYE2473" s="60"/>
      <c r="KYF2473" s="60"/>
      <c r="KYG2473" s="63"/>
      <c r="KYH2473" s="61"/>
      <c r="KYI2473" s="54"/>
      <c r="KYJ2473" s="54"/>
      <c r="KYK2473" s="63"/>
      <c r="KYL2473" s="60"/>
      <c r="KYM2473" s="60"/>
      <c r="KYN2473" s="60"/>
      <c r="KYO2473" s="63"/>
      <c r="KYP2473" s="61"/>
      <c r="KYQ2473" s="54"/>
      <c r="KYR2473" s="54"/>
      <c r="KYS2473" s="63"/>
      <c r="KYT2473" s="60"/>
      <c r="KYU2473" s="60"/>
      <c r="KYV2473" s="60"/>
      <c r="KYW2473" s="63"/>
      <c r="KYX2473" s="61"/>
      <c r="KYY2473" s="54"/>
      <c r="KYZ2473" s="54"/>
      <c r="KZA2473" s="63"/>
      <c r="KZB2473" s="60"/>
      <c r="KZC2473" s="60"/>
      <c r="KZD2473" s="60"/>
      <c r="KZE2473" s="63"/>
      <c r="KZF2473" s="61"/>
      <c r="KZG2473" s="54"/>
      <c r="KZH2473" s="54"/>
      <c r="KZI2473" s="63"/>
      <c r="KZJ2473" s="60"/>
      <c r="KZK2473" s="60"/>
      <c r="KZL2473" s="60"/>
      <c r="KZM2473" s="63"/>
      <c r="KZN2473" s="61"/>
      <c r="KZO2473" s="54"/>
      <c r="KZP2473" s="54"/>
      <c r="KZQ2473" s="63"/>
      <c r="KZR2473" s="60"/>
      <c r="KZS2473" s="60"/>
      <c r="KZT2473" s="60"/>
      <c r="KZU2473" s="63"/>
      <c r="KZV2473" s="61"/>
      <c r="KZW2473" s="54"/>
      <c r="KZX2473" s="54"/>
      <c r="KZY2473" s="63"/>
      <c r="KZZ2473" s="60"/>
      <c r="LAA2473" s="60"/>
      <c r="LAB2473" s="60"/>
      <c r="LAC2473" s="63"/>
      <c r="LAD2473" s="61"/>
      <c r="LAE2473" s="54"/>
      <c r="LAF2473" s="54"/>
      <c r="LAG2473" s="63"/>
      <c r="LAH2473" s="60"/>
      <c r="LAI2473" s="60"/>
      <c r="LAJ2473" s="60"/>
      <c r="LAK2473" s="63"/>
      <c r="LAL2473" s="61"/>
      <c r="LAM2473" s="54"/>
      <c r="LAN2473" s="54"/>
      <c r="LAO2473" s="63"/>
      <c r="LAP2473" s="60"/>
      <c r="LAQ2473" s="60"/>
      <c r="LAR2473" s="60"/>
      <c r="LAS2473" s="63"/>
      <c r="LAT2473" s="61"/>
      <c r="LAU2473" s="54"/>
      <c r="LAV2473" s="54"/>
      <c r="LAW2473" s="63"/>
      <c r="LAX2473" s="60"/>
      <c r="LAY2473" s="60"/>
      <c r="LAZ2473" s="60"/>
      <c r="LBA2473" s="63"/>
      <c r="LBB2473" s="61"/>
      <c r="LBC2473" s="54"/>
      <c r="LBD2473" s="54"/>
      <c r="LBE2473" s="63"/>
      <c r="LBF2473" s="60"/>
      <c r="LBG2473" s="60"/>
      <c r="LBH2473" s="60"/>
      <c r="LBI2473" s="63"/>
      <c r="LBJ2473" s="61"/>
      <c r="LBK2473" s="54"/>
      <c r="LBL2473" s="54"/>
      <c r="LBM2473" s="63"/>
      <c r="LBN2473" s="60"/>
      <c r="LBO2473" s="60"/>
      <c r="LBP2473" s="60"/>
      <c r="LBQ2473" s="63"/>
      <c r="LBR2473" s="61"/>
      <c r="LBS2473" s="54"/>
      <c r="LBT2473" s="54"/>
      <c r="LBU2473" s="63"/>
      <c r="LBV2473" s="60"/>
      <c r="LBW2473" s="60"/>
      <c r="LBX2473" s="60"/>
      <c r="LBY2473" s="63"/>
      <c r="LBZ2473" s="61"/>
      <c r="LCA2473" s="54"/>
      <c r="LCB2473" s="54"/>
      <c r="LCC2473" s="63"/>
      <c r="LCD2473" s="60"/>
      <c r="LCE2473" s="60"/>
      <c r="LCF2473" s="60"/>
      <c r="LCG2473" s="63"/>
      <c r="LCH2473" s="61"/>
      <c r="LCI2473" s="54"/>
      <c r="LCJ2473" s="54"/>
      <c r="LCK2473" s="63"/>
      <c r="LCL2473" s="60"/>
      <c r="LCM2473" s="60"/>
      <c r="LCN2473" s="60"/>
      <c r="LCO2473" s="63"/>
      <c r="LCP2473" s="61"/>
      <c r="LCQ2473" s="54"/>
      <c r="LCR2473" s="54"/>
      <c r="LCS2473" s="63"/>
      <c r="LCT2473" s="60"/>
      <c r="LCU2473" s="60"/>
      <c r="LCV2473" s="60"/>
      <c r="LCW2473" s="63"/>
      <c r="LCX2473" s="61"/>
      <c r="LCY2473" s="54"/>
      <c r="LCZ2473" s="54"/>
      <c r="LDA2473" s="63"/>
      <c r="LDB2473" s="60"/>
      <c r="LDC2473" s="60"/>
      <c r="LDD2473" s="60"/>
      <c r="LDE2473" s="63"/>
      <c r="LDF2473" s="61"/>
      <c r="LDG2473" s="54"/>
      <c r="LDH2473" s="54"/>
      <c r="LDI2473" s="63"/>
      <c r="LDJ2473" s="60"/>
      <c r="LDK2473" s="60"/>
      <c r="LDL2473" s="60"/>
      <c r="LDM2473" s="63"/>
      <c r="LDN2473" s="61"/>
      <c r="LDO2473" s="54"/>
      <c r="LDP2473" s="54"/>
      <c r="LDQ2473" s="63"/>
      <c r="LDR2473" s="60"/>
      <c r="LDS2473" s="60"/>
      <c r="LDT2473" s="60"/>
      <c r="LDU2473" s="63"/>
      <c r="LDV2473" s="61"/>
      <c r="LDW2473" s="54"/>
      <c r="LDX2473" s="54"/>
      <c r="LDY2473" s="63"/>
      <c r="LDZ2473" s="60"/>
      <c r="LEA2473" s="60"/>
      <c r="LEB2473" s="60"/>
      <c r="LEC2473" s="63"/>
      <c r="LED2473" s="61"/>
      <c r="LEE2473" s="54"/>
      <c r="LEF2473" s="54"/>
      <c r="LEG2473" s="63"/>
      <c r="LEH2473" s="60"/>
      <c r="LEI2473" s="60"/>
      <c r="LEJ2473" s="60"/>
      <c r="LEK2473" s="63"/>
      <c r="LEL2473" s="61"/>
      <c r="LEM2473" s="54"/>
      <c r="LEN2473" s="54"/>
      <c r="LEO2473" s="63"/>
      <c r="LEP2473" s="60"/>
      <c r="LEQ2473" s="60"/>
      <c r="LER2473" s="60"/>
      <c r="LES2473" s="63"/>
      <c r="LET2473" s="61"/>
      <c r="LEU2473" s="54"/>
      <c r="LEV2473" s="54"/>
      <c r="LEW2473" s="63"/>
      <c r="LEX2473" s="60"/>
      <c r="LEY2473" s="60"/>
      <c r="LEZ2473" s="60"/>
      <c r="LFA2473" s="63"/>
      <c r="LFB2473" s="61"/>
      <c r="LFC2473" s="54"/>
      <c r="LFD2473" s="54"/>
      <c r="LFE2473" s="63"/>
      <c r="LFF2473" s="60"/>
      <c r="LFG2473" s="60"/>
      <c r="LFH2473" s="60"/>
      <c r="LFI2473" s="63"/>
      <c r="LFJ2473" s="61"/>
      <c r="LFK2473" s="54"/>
      <c r="LFL2473" s="54"/>
      <c r="LFM2473" s="63"/>
      <c r="LFN2473" s="60"/>
      <c r="LFO2473" s="60"/>
      <c r="LFP2473" s="60"/>
      <c r="LFQ2473" s="63"/>
      <c r="LFR2473" s="61"/>
      <c r="LFS2473" s="54"/>
      <c r="LFT2473" s="54"/>
      <c r="LFU2473" s="63"/>
      <c r="LFV2473" s="60"/>
      <c r="LFW2473" s="60"/>
      <c r="LFX2473" s="60"/>
      <c r="LFY2473" s="63"/>
      <c r="LFZ2473" s="61"/>
      <c r="LGA2473" s="54"/>
      <c r="LGB2473" s="54"/>
      <c r="LGC2473" s="63"/>
      <c r="LGD2473" s="60"/>
      <c r="LGE2473" s="60"/>
      <c r="LGF2473" s="60"/>
      <c r="LGG2473" s="63"/>
      <c r="LGH2473" s="61"/>
      <c r="LGI2473" s="54"/>
      <c r="LGJ2473" s="54"/>
      <c r="LGK2473" s="63"/>
      <c r="LGL2473" s="60"/>
      <c r="LGM2473" s="60"/>
      <c r="LGN2473" s="60"/>
      <c r="LGO2473" s="63"/>
      <c r="LGP2473" s="61"/>
      <c r="LGQ2473" s="54"/>
      <c r="LGR2473" s="54"/>
      <c r="LGS2473" s="63"/>
      <c r="LGT2473" s="60"/>
      <c r="LGU2473" s="60"/>
      <c r="LGV2473" s="60"/>
      <c r="LGW2473" s="63"/>
      <c r="LGX2473" s="61"/>
      <c r="LGY2473" s="54"/>
      <c r="LGZ2473" s="54"/>
      <c r="LHA2473" s="63"/>
      <c r="LHB2473" s="60"/>
      <c r="LHC2473" s="60"/>
      <c r="LHD2473" s="60"/>
      <c r="LHE2473" s="63"/>
      <c r="LHF2473" s="61"/>
      <c r="LHG2473" s="54"/>
      <c r="LHH2473" s="54"/>
      <c r="LHI2473" s="63"/>
      <c r="LHJ2473" s="60"/>
      <c r="LHK2473" s="60"/>
      <c r="LHL2473" s="60"/>
      <c r="LHM2473" s="63"/>
      <c r="LHN2473" s="61"/>
      <c r="LHO2473" s="54"/>
      <c r="LHP2473" s="54"/>
      <c r="LHQ2473" s="63"/>
      <c r="LHR2473" s="60"/>
      <c r="LHS2473" s="60"/>
      <c r="LHT2473" s="60"/>
      <c r="LHU2473" s="63"/>
      <c r="LHV2473" s="61"/>
      <c r="LHW2473" s="54"/>
      <c r="LHX2473" s="54"/>
      <c r="LHY2473" s="63"/>
      <c r="LHZ2473" s="60"/>
      <c r="LIA2473" s="60"/>
      <c r="LIB2473" s="60"/>
      <c r="LIC2473" s="63"/>
      <c r="LID2473" s="61"/>
      <c r="LIE2473" s="54"/>
      <c r="LIF2473" s="54"/>
      <c r="LIG2473" s="63"/>
      <c r="LIH2473" s="60"/>
      <c r="LII2473" s="60"/>
      <c r="LIJ2473" s="60"/>
      <c r="LIK2473" s="63"/>
      <c r="LIL2473" s="61"/>
      <c r="LIM2473" s="54"/>
      <c r="LIN2473" s="54"/>
      <c r="LIO2473" s="63"/>
      <c r="LIP2473" s="60"/>
      <c r="LIQ2473" s="60"/>
      <c r="LIR2473" s="60"/>
      <c r="LIS2473" s="63"/>
      <c r="LIT2473" s="61"/>
      <c r="LIU2473" s="54"/>
      <c r="LIV2473" s="54"/>
      <c r="LIW2473" s="63"/>
      <c r="LIX2473" s="60"/>
      <c r="LIY2473" s="60"/>
      <c r="LIZ2473" s="60"/>
      <c r="LJA2473" s="63"/>
      <c r="LJB2473" s="61"/>
      <c r="LJC2473" s="54"/>
      <c r="LJD2473" s="54"/>
      <c r="LJE2473" s="63"/>
      <c r="LJF2473" s="60"/>
      <c r="LJG2473" s="60"/>
      <c r="LJH2473" s="60"/>
      <c r="LJI2473" s="63"/>
      <c r="LJJ2473" s="61"/>
      <c r="LJK2473" s="54"/>
      <c r="LJL2473" s="54"/>
      <c r="LJM2473" s="63"/>
      <c r="LJN2473" s="60"/>
      <c r="LJO2473" s="60"/>
      <c r="LJP2473" s="60"/>
      <c r="LJQ2473" s="63"/>
      <c r="LJR2473" s="61"/>
      <c r="LJS2473" s="54"/>
      <c r="LJT2473" s="54"/>
      <c r="LJU2473" s="63"/>
      <c r="LJV2473" s="60"/>
      <c r="LJW2473" s="60"/>
      <c r="LJX2473" s="60"/>
      <c r="LJY2473" s="63"/>
      <c r="LJZ2473" s="61"/>
      <c r="LKA2473" s="54"/>
      <c r="LKB2473" s="54"/>
      <c r="LKC2473" s="63"/>
      <c r="LKD2473" s="60"/>
      <c r="LKE2473" s="60"/>
      <c r="LKF2473" s="60"/>
      <c r="LKG2473" s="63"/>
      <c r="LKH2473" s="61"/>
      <c r="LKI2473" s="54"/>
      <c r="LKJ2473" s="54"/>
      <c r="LKK2473" s="63"/>
      <c r="LKL2473" s="60"/>
      <c r="LKM2473" s="60"/>
      <c r="LKN2473" s="60"/>
      <c r="LKO2473" s="63"/>
      <c r="LKP2473" s="61"/>
      <c r="LKQ2473" s="54"/>
      <c r="LKR2473" s="54"/>
      <c r="LKS2473" s="63"/>
      <c r="LKT2473" s="60"/>
      <c r="LKU2473" s="60"/>
      <c r="LKV2473" s="60"/>
      <c r="LKW2473" s="63"/>
      <c r="LKX2473" s="61"/>
      <c r="LKY2473" s="54"/>
      <c r="LKZ2473" s="54"/>
      <c r="LLA2473" s="63"/>
      <c r="LLB2473" s="60"/>
      <c r="LLC2473" s="60"/>
      <c r="LLD2473" s="60"/>
      <c r="LLE2473" s="63"/>
      <c r="LLF2473" s="61"/>
      <c r="LLG2473" s="54"/>
      <c r="LLH2473" s="54"/>
      <c r="LLI2473" s="63"/>
      <c r="LLJ2473" s="60"/>
      <c r="LLK2473" s="60"/>
      <c r="LLL2473" s="60"/>
      <c r="LLM2473" s="63"/>
      <c r="LLN2473" s="61"/>
      <c r="LLO2473" s="54"/>
      <c r="LLP2473" s="54"/>
      <c r="LLQ2473" s="63"/>
      <c r="LLR2473" s="60"/>
      <c r="LLS2473" s="60"/>
      <c r="LLT2473" s="60"/>
      <c r="LLU2473" s="63"/>
      <c r="LLV2473" s="61"/>
      <c r="LLW2473" s="54"/>
      <c r="LLX2473" s="54"/>
      <c r="LLY2473" s="63"/>
      <c r="LLZ2473" s="60"/>
      <c r="LMA2473" s="60"/>
      <c r="LMB2473" s="60"/>
      <c r="LMC2473" s="63"/>
      <c r="LMD2473" s="61"/>
      <c r="LME2473" s="54"/>
      <c r="LMF2473" s="54"/>
      <c r="LMG2473" s="63"/>
      <c r="LMH2473" s="60"/>
      <c r="LMI2473" s="60"/>
      <c r="LMJ2473" s="60"/>
      <c r="LMK2473" s="63"/>
      <c r="LML2473" s="61"/>
      <c r="LMM2473" s="54"/>
      <c r="LMN2473" s="54"/>
      <c r="LMO2473" s="63"/>
      <c r="LMP2473" s="60"/>
      <c r="LMQ2473" s="60"/>
      <c r="LMR2473" s="60"/>
      <c r="LMS2473" s="63"/>
      <c r="LMT2473" s="61"/>
      <c r="LMU2473" s="54"/>
      <c r="LMV2473" s="54"/>
      <c r="LMW2473" s="63"/>
      <c r="LMX2473" s="60"/>
      <c r="LMY2473" s="60"/>
      <c r="LMZ2473" s="60"/>
      <c r="LNA2473" s="63"/>
      <c r="LNB2473" s="61"/>
      <c r="LNC2473" s="54"/>
      <c r="LND2473" s="54"/>
      <c r="LNE2473" s="63"/>
      <c r="LNF2473" s="60"/>
      <c r="LNG2473" s="60"/>
      <c r="LNH2473" s="60"/>
      <c r="LNI2473" s="63"/>
      <c r="LNJ2473" s="61"/>
      <c r="LNK2473" s="54"/>
      <c r="LNL2473" s="54"/>
      <c r="LNM2473" s="63"/>
      <c r="LNN2473" s="60"/>
      <c r="LNO2473" s="60"/>
      <c r="LNP2473" s="60"/>
      <c r="LNQ2473" s="63"/>
      <c r="LNR2473" s="61"/>
      <c r="LNS2473" s="54"/>
      <c r="LNT2473" s="54"/>
      <c r="LNU2473" s="63"/>
      <c r="LNV2473" s="60"/>
      <c r="LNW2473" s="60"/>
      <c r="LNX2473" s="60"/>
      <c r="LNY2473" s="63"/>
      <c r="LNZ2473" s="61"/>
      <c r="LOA2473" s="54"/>
      <c r="LOB2473" s="54"/>
      <c r="LOC2473" s="63"/>
      <c r="LOD2473" s="60"/>
      <c r="LOE2473" s="60"/>
      <c r="LOF2473" s="60"/>
      <c r="LOG2473" s="63"/>
      <c r="LOH2473" s="61"/>
      <c r="LOI2473" s="54"/>
      <c r="LOJ2473" s="54"/>
      <c r="LOK2473" s="63"/>
      <c r="LOL2473" s="60"/>
      <c r="LOM2473" s="60"/>
      <c r="LON2473" s="60"/>
      <c r="LOO2473" s="63"/>
      <c r="LOP2473" s="61"/>
      <c r="LOQ2473" s="54"/>
      <c r="LOR2473" s="54"/>
      <c r="LOS2473" s="63"/>
      <c r="LOT2473" s="60"/>
      <c r="LOU2473" s="60"/>
      <c r="LOV2473" s="60"/>
      <c r="LOW2473" s="63"/>
      <c r="LOX2473" s="61"/>
      <c r="LOY2473" s="54"/>
      <c r="LOZ2473" s="54"/>
      <c r="LPA2473" s="63"/>
      <c r="LPB2473" s="60"/>
      <c r="LPC2473" s="60"/>
      <c r="LPD2473" s="60"/>
      <c r="LPE2473" s="63"/>
      <c r="LPF2473" s="61"/>
      <c r="LPG2473" s="54"/>
      <c r="LPH2473" s="54"/>
      <c r="LPI2473" s="63"/>
      <c r="LPJ2473" s="60"/>
      <c r="LPK2473" s="60"/>
      <c r="LPL2473" s="60"/>
      <c r="LPM2473" s="63"/>
      <c r="LPN2473" s="61"/>
      <c r="LPO2473" s="54"/>
      <c r="LPP2473" s="54"/>
      <c r="LPQ2473" s="63"/>
      <c r="LPR2473" s="60"/>
      <c r="LPS2473" s="60"/>
      <c r="LPT2473" s="60"/>
      <c r="LPU2473" s="63"/>
      <c r="LPV2473" s="61"/>
      <c r="LPW2473" s="54"/>
      <c r="LPX2473" s="54"/>
      <c r="LPY2473" s="63"/>
      <c r="LPZ2473" s="60"/>
      <c r="LQA2473" s="60"/>
      <c r="LQB2473" s="60"/>
      <c r="LQC2473" s="63"/>
      <c r="LQD2473" s="61"/>
      <c r="LQE2473" s="54"/>
      <c r="LQF2473" s="54"/>
      <c r="LQG2473" s="63"/>
      <c r="LQH2473" s="60"/>
      <c r="LQI2473" s="60"/>
      <c r="LQJ2473" s="60"/>
      <c r="LQK2473" s="63"/>
      <c r="LQL2473" s="61"/>
      <c r="LQM2473" s="54"/>
      <c r="LQN2473" s="54"/>
      <c r="LQO2473" s="63"/>
      <c r="LQP2473" s="60"/>
      <c r="LQQ2473" s="60"/>
      <c r="LQR2473" s="60"/>
      <c r="LQS2473" s="63"/>
      <c r="LQT2473" s="61"/>
      <c r="LQU2473" s="54"/>
      <c r="LQV2473" s="54"/>
      <c r="LQW2473" s="63"/>
      <c r="LQX2473" s="60"/>
      <c r="LQY2473" s="60"/>
      <c r="LQZ2473" s="60"/>
      <c r="LRA2473" s="63"/>
      <c r="LRB2473" s="61"/>
      <c r="LRC2473" s="54"/>
      <c r="LRD2473" s="54"/>
      <c r="LRE2473" s="63"/>
      <c r="LRF2473" s="60"/>
      <c r="LRG2473" s="60"/>
      <c r="LRH2473" s="60"/>
      <c r="LRI2473" s="63"/>
      <c r="LRJ2473" s="61"/>
      <c r="LRK2473" s="54"/>
      <c r="LRL2473" s="54"/>
      <c r="LRM2473" s="63"/>
      <c r="LRN2473" s="60"/>
      <c r="LRO2473" s="60"/>
      <c r="LRP2473" s="60"/>
      <c r="LRQ2473" s="63"/>
      <c r="LRR2473" s="61"/>
      <c r="LRS2473" s="54"/>
      <c r="LRT2473" s="54"/>
      <c r="LRU2473" s="63"/>
      <c r="LRV2473" s="60"/>
      <c r="LRW2473" s="60"/>
      <c r="LRX2473" s="60"/>
      <c r="LRY2473" s="63"/>
      <c r="LRZ2473" s="61"/>
      <c r="LSA2473" s="54"/>
      <c r="LSB2473" s="54"/>
      <c r="LSC2473" s="63"/>
      <c r="LSD2473" s="60"/>
      <c r="LSE2473" s="60"/>
      <c r="LSF2473" s="60"/>
      <c r="LSG2473" s="63"/>
      <c r="LSH2473" s="61"/>
      <c r="LSI2473" s="54"/>
      <c r="LSJ2473" s="54"/>
      <c r="LSK2473" s="63"/>
      <c r="LSL2473" s="60"/>
      <c r="LSM2473" s="60"/>
      <c r="LSN2473" s="60"/>
      <c r="LSO2473" s="63"/>
      <c r="LSP2473" s="61"/>
      <c r="LSQ2473" s="54"/>
      <c r="LSR2473" s="54"/>
      <c r="LSS2473" s="63"/>
      <c r="LST2473" s="60"/>
      <c r="LSU2473" s="60"/>
      <c r="LSV2473" s="60"/>
      <c r="LSW2473" s="63"/>
      <c r="LSX2473" s="61"/>
      <c r="LSY2473" s="54"/>
      <c r="LSZ2473" s="54"/>
      <c r="LTA2473" s="63"/>
      <c r="LTB2473" s="60"/>
      <c r="LTC2473" s="60"/>
      <c r="LTD2473" s="60"/>
      <c r="LTE2473" s="63"/>
      <c r="LTF2473" s="61"/>
      <c r="LTG2473" s="54"/>
      <c r="LTH2473" s="54"/>
      <c r="LTI2473" s="63"/>
      <c r="LTJ2473" s="60"/>
      <c r="LTK2473" s="60"/>
      <c r="LTL2473" s="60"/>
      <c r="LTM2473" s="63"/>
      <c r="LTN2473" s="61"/>
      <c r="LTO2473" s="54"/>
      <c r="LTP2473" s="54"/>
      <c r="LTQ2473" s="63"/>
      <c r="LTR2473" s="60"/>
      <c r="LTS2473" s="60"/>
      <c r="LTT2473" s="60"/>
      <c r="LTU2473" s="63"/>
      <c r="LTV2473" s="61"/>
      <c r="LTW2473" s="54"/>
      <c r="LTX2473" s="54"/>
      <c r="LTY2473" s="63"/>
      <c r="LTZ2473" s="60"/>
      <c r="LUA2473" s="60"/>
      <c r="LUB2473" s="60"/>
      <c r="LUC2473" s="63"/>
      <c r="LUD2473" s="61"/>
      <c r="LUE2473" s="54"/>
      <c r="LUF2473" s="54"/>
      <c r="LUG2473" s="63"/>
      <c r="LUH2473" s="60"/>
      <c r="LUI2473" s="60"/>
      <c r="LUJ2473" s="60"/>
      <c r="LUK2473" s="63"/>
      <c r="LUL2473" s="61"/>
      <c r="LUM2473" s="54"/>
      <c r="LUN2473" s="54"/>
      <c r="LUO2473" s="63"/>
      <c r="LUP2473" s="60"/>
      <c r="LUQ2473" s="60"/>
      <c r="LUR2473" s="60"/>
      <c r="LUS2473" s="63"/>
      <c r="LUT2473" s="61"/>
      <c r="LUU2473" s="54"/>
      <c r="LUV2473" s="54"/>
      <c r="LUW2473" s="63"/>
      <c r="LUX2473" s="60"/>
      <c r="LUY2473" s="60"/>
      <c r="LUZ2473" s="60"/>
      <c r="LVA2473" s="63"/>
      <c r="LVB2473" s="61"/>
      <c r="LVC2473" s="54"/>
      <c r="LVD2473" s="54"/>
      <c r="LVE2473" s="63"/>
      <c r="LVF2473" s="60"/>
      <c r="LVG2473" s="60"/>
      <c r="LVH2473" s="60"/>
      <c r="LVI2473" s="63"/>
      <c r="LVJ2473" s="61"/>
      <c r="LVK2473" s="54"/>
      <c r="LVL2473" s="54"/>
      <c r="LVM2473" s="63"/>
      <c r="LVN2473" s="60"/>
      <c r="LVO2473" s="60"/>
      <c r="LVP2473" s="60"/>
      <c r="LVQ2473" s="63"/>
      <c r="LVR2473" s="61"/>
      <c r="LVS2473" s="54"/>
      <c r="LVT2473" s="54"/>
      <c r="LVU2473" s="63"/>
      <c r="LVV2473" s="60"/>
      <c r="LVW2473" s="60"/>
      <c r="LVX2473" s="60"/>
      <c r="LVY2473" s="63"/>
      <c r="LVZ2473" s="61"/>
      <c r="LWA2473" s="54"/>
      <c r="LWB2473" s="54"/>
      <c r="LWC2473" s="63"/>
      <c r="LWD2473" s="60"/>
      <c r="LWE2473" s="60"/>
      <c r="LWF2473" s="60"/>
      <c r="LWG2473" s="63"/>
      <c r="LWH2473" s="61"/>
      <c r="LWI2473" s="54"/>
      <c r="LWJ2473" s="54"/>
      <c r="LWK2473" s="63"/>
      <c r="LWL2473" s="60"/>
      <c r="LWM2473" s="60"/>
      <c r="LWN2473" s="60"/>
      <c r="LWO2473" s="63"/>
      <c r="LWP2473" s="61"/>
      <c r="LWQ2473" s="54"/>
      <c r="LWR2473" s="54"/>
      <c r="LWS2473" s="63"/>
      <c r="LWT2473" s="60"/>
      <c r="LWU2473" s="60"/>
      <c r="LWV2473" s="60"/>
      <c r="LWW2473" s="63"/>
      <c r="LWX2473" s="61"/>
      <c r="LWY2473" s="54"/>
      <c r="LWZ2473" s="54"/>
      <c r="LXA2473" s="63"/>
      <c r="LXB2473" s="60"/>
      <c r="LXC2473" s="60"/>
      <c r="LXD2473" s="60"/>
      <c r="LXE2473" s="63"/>
      <c r="LXF2473" s="61"/>
      <c r="LXG2473" s="54"/>
      <c r="LXH2473" s="54"/>
      <c r="LXI2473" s="63"/>
      <c r="LXJ2473" s="60"/>
      <c r="LXK2473" s="60"/>
      <c r="LXL2473" s="60"/>
      <c r="LXM2473" s="63"/>
      <c r="LXN2473" s="61"/>
      <c r="LXO2473" s="54"/>
      <c r="LXP2473" s="54"/>
      <c r="LXQ2473" s="63"/>
      <c r="LXR2473" s="60"/>
      <c r="LXS2473" s="60"/>
      <c r="LXT2473" s="60"/>
      <c r="LXU2473" s="63"/>
      <c r="LXV2473" s="61"/>
      <c r="LXW2473" s="54"/>
      <c r="LXX2473" s="54"/>
      <c r="LXY2473" s="63"/>
      <c r="LXZ2473" s="60"/>
      <c r="LYA2473" s="60"/>
      <c r="LYB2473" s="60"/>
      <c r="LYC2473" s="63"/>
      <c r="LYD2473" s="61"/>
      <c r="LYE2473" s="54"/>
      <c r="LYF2473" s="54"/>
      <c r="LYG2473" s="63"/>
      <c r="LYH2473" s="60"/>
      <c r="LYI2473" s="60"/>
      <c r="LYJ2473" s="60"/>
      <c r="LYK2473" s="63"/>
      <c r="LYL2473" s="61"/>
      <c r="LYM2473" s="54"/>
      <c r="LYN2473" s="54"/>
      <c r="LYO2473" s="63"/>
      <c r="LYP2473" s="60"/>
      <c r="LYQ2473" s="60"/>
      <c r="LYR2473" s="60"/>
      <c r="LYS2473" s="63"/>
      <c r="LYT2473" s="61"/>
      <c r="LYU2473" s="54"/>
      <c r="LYV2473" s="54"/>
      <c r="LYW2473" s="63"/>
      <c r="LYX2473" s="60"/>
      <c r="LYY2473" s="60"/>
      <c r="LYZ2473" s="60"/>
      <c r="LZA2473" s="63"/>
      <c r="LZB2473" s="61"/>
      <c r="LZC2473" s="54"/>
      <c r="LZD2473" s="54"/>
      <c r="LZE2473" s="63"/>
      <c r="LZF2473" s="60"/>
      <c r="LZG2473" s="60"/>
      <c r="LZH2473" s="60"/>
      <c r="LZI2473" s="63"/>
      <c r="LZJ2473" s="61"/>
      <c r="LZK2473" s="54"/>
      <c r="LZL2473" s="54"/>
      <c r="LZM2473" s="63"/>
      <c r="LZN2473" s="60"/>
      <c r="LZO2473" s="60"/>
      <c r="LZP2473" s="60"/>
      <c r="LZQ2473" s="63"/>
      <c r="LZR2473" s="61"/>
      <c r="LZS2473" s="54"/>
      <c r="LZT2473" s="54"/>
      <c r="LZU2473" s="63"/>
      <c r="LZV2473" s="60"/>
      <c r="LZW2473" s="60"/>
      <c r="LZX2473" s="60"/>
      <c r="LZY2473" s="63"/>
      <c r="LZZ2473" s="61"/>
      <c r="MAA2473" s="54"/>
      <c r="MAB2473" s="54"/>
      <c r="MAC2473" s="63"/>
      <c r="MAD2473" s="60"/>
      <c r="MAE2473" s="60"/>
      <c r="MAF2473" s="60"/>
      <c r="MAG2473" s="63"/>
      <c r="MAH2473" s="61"/>
      <c r="MAI2473" s="54"/>
      <c r="MAJ2473" s="54"/>
      <c r="MAK2473" s="63"/>
      <c r="MAL2473" s="60"/>
      <c r="MAM2473" s="60"/>
      <c r="MAN2473" s="60"/>
      <c r="MAO2473" s="63"/>
      <c r="MAP2473" s="61"/>
      <c r="MAQ2473" s="54"/>
      <c r="MAR2473" s="54"/>
      <c r="MAS2473" s="63"/>
      <c r="MAT2473" s="60"/>
      <c r="MAU2473" s="60"/>
      <c r="MAV2473" s="60"/>
      <c r="MAW2473" s="63"/>
      <c r="MAX2473" s="61"/>
      <c r="MAY2473" s="54"/>
      <c r="MAZ2473" s="54"/>
      <c r="MBA2473" s="63"/>
      <c r="MBB2473" s="60"/>
      <c r="MBC2473" s="60"/>
      <c r="MBD2473" s="60"/>
      <c r="MBE2473" s="63"/>
      <c r="MBF2473" s="61"/>
      <c r="MBG2473" s="54"/>
      <c r="MBH2473" s="54"/>
      <c r="MBI2473" s="63"/>
      <c r="MBJ2473" s="60"/>
      <c r="MBK2473" s="60"/>
      <c r="MBL2473" s="60"/>
      <c r="MBM2473" s="63"/>
      <c r="MBN2473" s="61"/>
      <c r="MBO2473" s="54"/>
      <c r="MBP2473" s="54"/>
      <c r="MBQ2473" s="63"/>
      <c r="MBR2473" s="60"/>
      <c r="MBS2473" s="60"/>
      <c r="MBT2473" s="60"/>
      <c r="MBU2473" s="63"/>
      <c r="MBV2473" s="61"/>
      <c r="MBW2473" s="54"/>
      <c r="MBX2473" s="54"/>
      <c r="MBY2473" s="63"/>
      <c r="MBZ2473" s="60"/>
      <c r="MCA2473" s="60"/>
      <c r="MCB2473" s="60"/>
      <c r="MCC2473" s="63"/>
      <c r="MCD2473" s="61"/>
      <c r="MCE2473" s="54"/>
      <c r="MCF2473" s="54"/>
      <c r="MCG2473" s="63"/>
      <c r="MCH2473" s="60"/>
      <c r="MCI2473" s="60"/>
      <c r="MCJ2473" s="60"/>
      <c r="MCK2473" s="63"/>
      <c r="MCL2473" s="61"/>
      <c r="MCM2473" s="54"/>
      <c r="MCN2473" s="54"/>
      <c r="MCO2473" s="63"/>
      <c r="MCP2473" s="60"/>
      <c r="MCQ2473" s="60"/>
      <c r="MCR2473" s="60"/>
      <c r="MCS2473" s="63"/>
      <c r="MCT2473" s="61"/>
      <c r="MCU2473" s="54"/>
      <c r="MCV2473" s="54"/>
      <c r="MCW2473" s="63"/>
      <c r="MCX2473" s="60"/>
      <c r="MCY2473" s="60"/>
      <c r="MCZ2473" s="60"/>
      <c r="MDA2473" s="63"/>
      <c r="MDB2473" s="61"/>
      <c r="MDC2473" s="54"/>
      <c r="MDD2473" s="54"/>
      <c r="MDE2473" s="63"/>
      <c r="MDF2473" s="60"/>
      <c r="MDG2473" s="60"/>
      <c r="MDH2473" s="60"/>
      <c r="MDI2473" s="63"/>
      <c r="MDJ2473" s="61"/>
      <c r="MDK2473" s="54"/>
      <c r="MDL2473" s="54"/>
      <c r="MDM2473" s="63"/>
      <c r="MDN2473" s="60"/>
      <c r="MDO2473" s="60"/>
      <c r="MDP2473" s="60"/>
      <c r="MDQ2473" s="63"/>
      <c r="MDR2473" s="61"/>
      <c r="MDS2473" s="54"/>
      <c r="MDT2473" s="54"/>
      <c r="MDU2473" s="63"/>
      <c r="MDV2473" s="60"/>
      <c r="MDW2473" s="60"/>
      <c r="MDX2473" s="60"/>
      <c r="MDY2473" s="63"/>
      <c r="MDZ2473" s="61"/>
      <c r="MEA2473" s="54"/>
      <c r="MEB2473" s="54"/>
      <c r="MEC2473" s="63"/>
      <c r="MED2473" s="60"/>
      <c r="MEE2473" s="60"/>
      <c r="MEF2473" s="60"/>
      <c r="MEG2473" s="63"/>
      <c r="MEH2473" s="61"/>
      <c r="MEI2473" s="54"/>
      <c r="MEJ2473" s="54"/>
      <c r="MEK2473" s="63"/>
      <c r="MEL2473" s="60"/>
      <c r="MEM2473" s="60"/>
      <c r="MEN2473" s="60"/>
      <c r="MEO2473" s="63"/>
      <c r="MEP2473" s="61"/>
      <c r="MEQ2473" s="54"/>
      <c r="MER2473" s="54"/>
      <c r="MES2473" s="63"/>
      <c r="MET2473" s="60"/>
      <c r="MEU2473" s="60"/>
      <c r="MEV2473" s="60"/>
      <c r="MEW2473" s="63"/>
      <c r="MEX2473" s="61"/>
      <c r="MEY2473" s="54"/>
      <c r="MEZ2473" s="54"/>
      <c r="MFA2473" s="63"/>
      <c r="MFB2473" s="60"/>
      <c r="MFC2473" s="60"/>
      <c r="MFD2473" s="60"/>
      <c r="MFE2473" s="63"/>
      <c r="MFF2473" s="61"/>
      <c r="MFG2473" s="54"/>
      <c r="MFH2473" s="54"/>
      <c r="MFI2473" s="63"/>
      <c r="MFJ2473" s="60"/>
      <c r="MFK2473" s="60"/>
      <c r="MFL2473" s="60"/>
      <c r="MFM2473" s="63"/>
      <c r="MFN2473" s="61"/>
      <c r="MFO2473" s="54"/>
      <c r="MFP2473" s="54"/>
      <c r="MFQ2473" s="63"/>
      <c r="MFR2473" s="60"/>
      <c r="MFS2473" s="60"/>
      <c r="MFT2473" s="60"/>
      <c r="MFU2473" s="63"/>
      <c r="MFV2473" s="61"/>
      <c r="MFW2473" s="54"/>
      <c r="MFX2473" s="54"/>
      <c r="MFY2473" s="63"/>
      <c r="MFZ2473" s="60"/>
      <c r="MGA2473" s="60"/>
      <c r="MGB2473" s="60"/>
      <c r="MGC2473" s="63"/>
      <c r="MGD2473" s="61"/>
      <c r="MGE2473" s="54"/>
      <c r="MGF2473" s="54"/>
      <c r="MGG2473" s="63"/>
      <c r="MGH2473" s="60"/>
      <c r="MGI2473" s="60"/>
      <c r="MGJ2473" s="60"/>
      <c r="MGK2473" s="63"/>
      <c r="MGL2473" s="61"/>
      <c r="MGM2473" s="54"/>
      <c r="MGN2473" s="54"/>
      <c r="MGO2473" s="63"/>
      <c r="MGP2473" s="60"/>
      <c r="MGQ2473" s="60"/>
      <c r="MGR2473" s="60"/>
      <c r="MGS2473" s="63"/>
      <c r="MGT2473" s="61"/>
      <c r="MGU2473" s="54"/>
      <c r="MGV2473" s="54"/>
      <c r="MGW2473" s="63"/>
      <c r="MGX2473" s="60"/>
      <c r="MGY2473" s="60"/>
      <c r="MGZ2473" s="60"/>
      <c r="MHA2473" s="63"/>
      <c r="MHB2473" s="61"/>
      <c r="MHC2473" s="54"/>
      <c r="MHD2473" s="54"/>
      <c r="MHE2473" s="63"/>
      <c r="MHF2473" s="60"/>
      <c r="MHG2473" s="60"/>
      <c r="MHH2473" s="60"/>
      <c r="MHI2473" s="63"/>
      <c r="MHJ2473" s="61"/>
      <c r="MHK2473" s="54"/>
      <c r="MHL2473" s="54"/>
      <c r="MHM2473" s="63"/>
      <c r="MHN2473" s="60"/>
      <c r="MHO2473" s="60"/>
      <c r="MHP2473" s="60"/>
      <c r="MHQ2473" s="63"/>
      <c r="MHR2473" s="61"/>
      <c r="MHS2473" s="54"/>
      <c r="MHT2473" s="54"/>
      <c r="MHU2473" s="63"/>
      <c r="MHV2473" s="60"/>
      <c r="MHW2473" s="60"/>
      <c r="MHX2473" s="60"/>
      <c r="MHY2473" s="63"/>
      <c r="MHZ2473" s="61"/>
      <c r="MIA2473" s="54"/>
      <c r="MIB2473" s="54"/>
      <c r="MIC2473" s="63"/>
      <c r="MID2473" s="60"/>
      <c r="MIE2473" s="60"/>
      <c r="MIF2473" s="60"/>
      <c r="MIG2473" s="63"/>
      <c r="MIH2473" s="61"/>
      <c r="MII2473" s="54"/>
      <c r="MIJ2473" s="54"/>
      <c r="MIK2473" s="63"/>
      <c r="MIL2473" s="60"/>
      <c r="MIM2473" s="60"/>
      <c r="MIN2473" s="60"/>
      <c r="MIO2473" s="63"/>
      <c r="MIP2473" s="61"/>
      <c r="MIQ2473" s="54"/>
      <c r="MIR2473" s="54"/>
      <c r="MIS2473" s="63"/>
      <c r="MIT2473" s="60"/>
      <c r="MIU2473" s="60"/>
      <c r="MIV2473" s="60"/>
      <c r="MIW2473" s="63"/>
      <c r="MIX2473" s="61"/>
      <c r="MIY2473" s="54"/>
      <c r="MIZ2473" s="54"/>
      <c r="MJA2473" s="63"/>
      <c r="MJB2473" s="60"/>
      <c r="MJC2473" s="60"/>
      <c r="MJD2473" s="60"/>
      <c r="MJE2473" s="63"/>
      <c r="MJF2473" s="61"/>
      <c r="MJG2473" s="54"/>
      <c r="MJH2473" s="54"/>
      <c r="MJI2473" s="63"/>
      <c r="MJJ2473" s="60"/>
      <c r="MJK2473" s="60"/>
      <c r="MJL2473" s="60"/>
      <c r="MJM2473" s="63"/>
      <c r="MJN2473" s="61"/>
      <c r="MJO2473" s="54"/>
      <c r="MJP2473" s="54"/>
      <c r="MJQ2473" s="63"/>
      <c r="MJR2473" s="60"/>
      <c r="MJS2473" s="60"/>
      <c r="MJT2473" s="60"/>
      <c r="MJU2473" s="63"/>
      <c r="MJV2473" s="61"/>
      <c r="MJW2473" s="54"/>
      <c r="MJX2473" s="54"/>
      <c r="MJY2473" s="63"/>
      <c r="MJZ2473" s="60"/>
      <c r="MKA2473" s="60"/>
      <c r="MKB2473" s="60"/>
      <c r="MKC2473" s="63"/>
      <c r="MKD2473" s="61"/>
      <c r="MKE2473" s="54"/>
      <c r="MKF2473" s="54"/>
      <c r="MKG2473" s="63"/>
      <c r="MKH2473" s="60"/>
      <c r="MKI2473" s="60"/>
      <c r="MKJ2473" s="60"/>
      <c r="MKK2473" s="63"/>
      <c r="MKL2473" s="61"/>
      <c r="MKM2473" s="54"/>
      <c r="MKN2473" s="54"/>
      <c r="MKO2473" s="63"/>
      <c r="MKP2473" s="60"/>
      <c r="MKQ2473" s="60"/>
      <c r="MKR2473" s="60"/>
      <c r="MKS2473" s="63"/>
      <c r="MKT2473" s="61"/>
      <c r="MKU2473" s="54"/>
      <c r="MKV2473" s="54"/>
      <c r="MKW2473" s="63"/>
      <c r="MKX2473" s="60"/>
      <c r="MKY2473" s="60"/>
      <c r="MKZ2473" s="60"/>
      <c r="MLA2473" s="63"/>
      <c r="MLB2473" s="61"/>
      <c r="MLC2473" s="54"/>
      <c r="MLD2473" s="54"/>
      <c r="MLE2473" s="63"/>
      <c r="MLF2473" s="60"/>
      <c r="MLG2473" s="60"/>
      <c r="MLH2473" s="60"/>
      <c r="MLI2473" s="63"/>
      <c r="MLJ2473" s="61"/>
      <c r="MLK2473" s="54"/>
      <c r="MLL2473" s="54"/>
      <c r="MLM2473" s="63"/>
      <c r="MLN2473" s="60"/>
      <c r="MLO2473" s="60"/>
      <c r="MLP2473" s="60"/>
      <c r="MLQ2473" s="63"/>
      <c r="MLR2473" s="61"/>
      <c r="MLS2473" s="54"/>
      <c r="MLT2473" s="54"/>
      <c r="MLU2473" s="63"/>
      <c r="MLV2473" s="60"/>
      <c r="MLW2473" s="60"/>
      <c r="MLX2473" s="60"/>
      <c r="MLY2473" s="63"/>
      <c r="MLZ2473" s="61"/>
      <c r="MMA2473" s="54"/>
      <c r="MMB2473" s="54"/>
      <c r="MMC2473" s="63"/>
      <c r="MMD2473" s="60"/>
      <c r="MME2473" s="60"/>
      <c r="MMF2473" s="60"/>
      <c r="MMG2473" s="63"/>
      <c r="MMH2473" s="61"/>
      <c r="MMI2473" s="54"/>
      <c r="MMJ2473" s="54"/>
      <c r="MMK2473" s="63"/>
      <c r="MML2473" s="60"/>
      <c r="MMM2473" s="60"/>
      <c r="MMN2473" s="60"/>
      <c r="MMO2473" s="63"/>
      <c r="MMP2473" s="61"/>
      <c r="MMQ2473" s="54"/>
      <c r="MMR2473" s="54"/>
      <c r="MMS2473" s="63"/>
      <c r="MMT2473" s="60"/>
      <c r="MMU2473" s="60"/>
      <c r="MMV2473" s="60"/>
      <c r="MMW2473" s="63"/>
      <c r="MMX2473" s="61"/>
      <c r="MMY2473" s="54"/>
      <c r="MMZ2473" s="54"/>
      <c r="MNA2473" s="63"/>
      <c r="MNB2473" s="60"/>
      <c r="MNC2473" s="60"/>
      <c r="MND2473" s="60"/>
      <c r="MNE2473" s="63"/>
      <c r="MNF2473" s="61"/>
      <c r="MNG2473" s="54"/>
      <c r="MNH2473" s="54"/>
      <c r="MNI2473" s="63"/>
      <c r="MNJ2473" s="60"/>
      <c r="MNK2473" s="60"/>
      <c r="MNL2473" s="60"/>
      <c r="MNM2473" s="63"/>
      <c r="MNN2473" s="61"/>
      <c r="MNO2473" s="54"/>
      <c r="MNP2473" s="54"/>
      <c r="MNQ2473" s="63"/>
      <c r="MNR2473" s="60"/>
      <c r="MNS2473" s="60"/>
      <c r="MNT2473" s="60"/>
      <c r="MNU2473" s="63"/>
      <c r="MNV2473" s="61"/>
      <c r="MNW2473" s="54"/>
      <c r="MNX2473" s="54"/>
      <c r="MNY2473" s="63"/>
      <c r="MNZ2473" s="60"/>
      <c r="MOA2473" s="60"/>
      <c r="MOB2473" s="60"/>
      <c r="MOC2473" s="63"/>
      <c r="MOD2473" s="61"/>
      <c r="MOE2473" s="54"/>
      <c r="MOF2473" s="54"/>
      <c r="MOG2473" s="63"/>
      <c r="MOH2473" s="60"/>
      <c r="MOI2473" s="60"/>
      <c r="MOJ2473" s="60"/>
      <c r="MOK2473" s="63"/>
      <c r="MOL2473" s="61"/>
      <c r="MOM2473" s="54"/>
      <c r="MON2473" s="54"/>
      <c r="MOO2473" s="63"/>
      <c r="MOP2473" s="60"/>
      <c r="MOQ2473" s="60"/>
      <c r="MOR2473" s="60"/>
      <c r="MOS2473" s="63"/>
      <c r="MOT2473" s="61"/>
      <c r="MOU2473" s="54"/>
      <c r="MOV2473" s="54"/>
      <c r="MOW2473" s="63"/>
      <c r="MOX2473" s="60"/>
      <c r="MOY2473" s="60"/>
      <c r="MOZ2473" s="60"/>
      <c r="MPA2473" s="63"/>
      <c r="MPB2473" s="61"/>
      <c r="MPC2473" s="54"/>
      <c r="MPD2473" s="54"/>
      <c r="MPE2473" s="63"/>
      <c r="MPF2473" s="60"/>
      <c r="MPG2473" s="60"/>
      <c r="MPH2473" s="60"/>
      <c r="MPI2473" s="63"/>
      <c r="MPJ2473" s="61"/>
      <c r="MPK2473" s="54"/>
      <c r="MPL2473" s="54"/>
      <c r="MPM2473" s="63"/>
      <c r="MPN2473" s="60"/>
      <c r="MPO2473" s="60"/>
      <c r="MPP2473" s="60"/>
      <c r="MPQ2473" s="63"/>
      <c r="MPR2473" s="61"/>
      <c r="MPS2473" s="54"/>
      <c r="MPT2473" s="54"/>
      <c r="MPU2473" s="63"/>
      <c r="MPV2473" s="60"/>
      <c r="MPW2473" s="60"/>
      <c r="MPX2473" s="60"/>
      <c r="MPY2473" s="63"/>
      <c r="MPZ2473" s="61"/>
      <c r="MQA2473" s="54"/>
      <c r="MQB2473" s="54"/>
      <c r="MQC2473" s="63"/>
      <c r="MQD2473" s="60"/>
      <c r="MQE2473" s="60"/>
      <c r="MQF2473" s="60"/>
      <c r="MQG2473" s="63"/>
      <c r="MQH2473" s="61"/>
      <c r="MQI2473" s="54"/>
      <c r="MQJ2473" s="54"/>
      <c r="MQK2473" s="63"/>
      <c r="MQL2473" s="60"/>
      <c r="MQM2473" s="60"/>
      <c r="MQN2473" s="60"/>
      <c r="MQO2473" s="63"/>
      <c r="MQP2473" s="61"/>
      <c r="MQQ2473" s="54"/>
      <c r="MQR2473" s="54"/>
      <c r="MQS2473" s="63"/>
      <c r="MQT2473" s="60"/>
      <c r="MQU2473" s="60"/>
      <c r="MQV2473" s="60"/>
      <c r="MQW2473" s="63"/>
      <c r="MQX2473" s="61"/>
      <c r="MQY2473" s="54"/>
      <c r="MQZ2473" s="54"/>
      <c r="MRA2473" s="63"/>
      <c r="MRB2473" s="60"/>
      <c r="MRC2473" s="60"/>
      <c r="MRD2473" s="60"/>
      <c r="MRE2473" s="63"/>
      <c r="MRF2473" s="61"/>
      <c r="MRG2473" s="54"/>
      <c r="MRH2473" s="54"/>
      <c r="MRI2473" s="63"/>
      <c r="MRJ2473" s="60"/>
      <c r="MRK2473" s="60"/>
      <c r="MRL2473" s="60"/>
      <c r="MRM2473" s="63"/>
      <c r="MRN2473" s="61"/>
      <c r="MRO2473" s="54"/>
      <c r="MRP2473" s="54"/>
      <c r="MRQ2473" s="63"/>
      <c r="MRR2473" s="60"/>
      <c r="MRS2473" s="60"/>
      <c r="MRT2473" s="60"/>
      <c r="MRU2473" s="63"/>
      <c r="MRV2473" s="61"/>
      <c r="MRW2473" s="54"/>
      <c r="MRX2473" s="54"/>
      <c r="MRY2473" s="63"/>
      <c r="MRZ2473" s="60"/>
      <c r="MSA2473" s="60"/>
      <c r="MSB2473" s="60"/>
      <c r="MSC2473" s="63"/>
      <c r="MSD2473" s="61"/>
      <c r="MSE2473" s="54"/>
      <c r="MSF2473" s="54"/>
      <c r="MSG2473" s="63"/>
      <c r="MSH2473" s="60"/>
      <c r="MSI2473" s="60"/>
      <c r="MSJ2473" s="60"/>
      <c r="MSK2473" s="63"/>
      <c r="MSL2473" s="61"/>
      <c r="MSM2473" s="54"/>
      <c r="MSN2473" s="54"/>
      <c r="MSO2473" s="63"/>
      <c r="MSP2473" s="60"/>
      <c r="MSQ2473" s="60"/>
      <c r="MSR2473" s="60"/>
      <c r="MSS2473" s="63"/>
      <c r="MST2473" s="61"/>
      <c r="MSU2473" s="54"/>
      <c r="MSV2473" s="54"/>
      <c r="MSW2473" s="63"/>
      <c r="MSX2473" s="60"/>
      <c r="MSY2473" s="60"/>
      <c r="MSZ2473" s="60"/>
      <c r="MTA2473" s="63"/>
      <c r="MTB2473" s="61"/>
      <c r="MTC2473" s="54"/>
      <c r="MTD2473" s="54"/>
      <c r="MTE2473" s="63"/>
      <c r="MTF2473" s="60"/>
      <c r="MTG2473" s="60"/>
      <c r="MTH2473" s="60"/>
      <c r="MTI2473" s="63"/>
      <c r="MTJ2473" s="61"/>
      <c r="MTK2473" s="54"/>
      <c r="MTL2473" s="54"/>
      <c r="MTM2473" s="63"/>
      <c r="MTN2473" s="60"/>
      <c r="MTO2473" s="60"/>
      <c r="MTP2473" s="60"/>
      <c r="MTQ2473" s="63"/>
      <c r="MTR2473" s="61"/>
      <c r="MTS2473" s="54"/>
      <c r="MTT2473" s="54"/>
      <c r="MTU2473" s="63"/>
      <c r="MTV2473" s="60"/>
      <c r="MTW2473" s="60"/>
      <c r="MTX2473" s="60"/>
      <c r="MTY2473" s="63"/>
      <c r="MTZ2473" s="61"/>
      <c r="MUA2473" s="54"/>
      <c r="MUB2473" s="54"/>
      <c r="MUC2473" s="63"/>
      <c r="MUD2473" s="60"/>
      <c r="MUE2473" s="60"/>
      <c r="MUF2473" s="60"/>
      <c r="MUG2473" s="63"/>
      <c r="MUH2473" s="61"/>
      <c r="MUI2473" s="54"/>
      <c r="MUJ2473" s="54"/>
      <c r="MUK2473" s="63"/>
      <c r="MUL2473" s="60"/>
      <c r="MUM2473" s="60"/>
      <c r="MUN2473" s="60"/>
      <c r="MUO2473" s="63"/>
      <c r="MUP2473" s="61"/>
      <c r="MUQ2473" s="54"/>
      <c r="MUR2473" s="54"/>
      <c r="MUS2473" s="63"/>
      <c r="MUT2473" s="60"/>
      <c r="MUU2473" s="60"/>
      <c r="MUV2473" s="60"/>
      <c r="MUW2473" s="63"/>
      <c r="MUX2473" s="61"/>
      <c r="MUY2473" s="54"/>
      <c r="MUZ2473" s="54"/>
      <c r="MVA2473" s="63"/>
      <c r="MVB2473" s="60"/>
      <c r="MVC2473" s="60"/>
      <c r="MVD2473" s="60"/>
      <c r="MVE2473" s="63"/>
      <c r="MVF2473" s="61"/>
      <c r="MVG2473" s="54"/>
      <c r="MVH2473" s="54"/>
      <c r="MVI2473" s="63"/>
      <c r="MVJ2473" s="60"/>
      <c r="MVK2473" s="60"/>
      <c r="MVL2473" s="60"/>
      <c r="MVM2473" s="63"/>
      <c r="MVN2473" s="61"/>
      <c r="MVO2473" s="54"/>
      <c r="MVP2473" s="54"/>
      <c r="MVQ2473" s="63"/>
      <c r="MVR2473" s="60"/>
      <c r="MVS2473" s="60"/>
      <c r="MVT2473" s="60"/>
      <c r="MVU2473" s="63"/>
      <c r="MVV2473" s="61"/>
      <c r="MVW2473" s="54"/>
      <c r="MVX2473" s="54"/>
      <c r="MVY2473" s="63"/>
      <c r="MVZ2473" s="60"/>
      <c r="MWA2473" s="60"/>
      <c r="MWB2473" s="60"/>
      <c r="MWC2473" s="63"/>
      <c r="MWD2473" s="61"/>
      <c r="MWE2473" s="54"/>
      <c r="MWF2473" s="54"/>
      <c r="MWG2473" s="63"/>
      <c r="MWH2473" s="60"/>
      <c r="MWI2473" s="60"/>
      <c r="MWJ2473" s="60"/>
      <c r="MWK2473" s="63"/>
      <c r="MWL2473" s="61"/>
      <c r="MWM2473" s="54"/>
      <c r="MWN2473" s="54"/>
      <c r="MWO2473" s="63"/>
      <c r="MWP2473" s="60"/>
      <c r="MWQ2473" s="60"/>
      <c r="MWR2473" s="60"/>
      <c r="MWS2473" s="63"/>
      <c r="MWT2473" s="61"/>
      <c r="MWU2473" s="54"/>
      <c r="MWV2473" s="54"/>
      <c r="MWW2473" s="63"/>
      <c r="MWX2473" s="60"/>
      <c r="MWY2473" s="60"/>
      <c r="MWZ2473" s="60"/>
      <c r="MXA2473" s="63"/>
      <c r="MXB2473" s="61"/>
      <c r="MXC2473" s="54"/>
      <c r="MXD2473" s="54"/>
      <c r="MXE2473" s="63"/>
      <c r="MXF2473" s="60"/>
      <c r="MXG2473" s="60"/>
      <c r="MXH2473" s="60"/>
      <c r="MXI2473" s="63"/>
      <c r="MXJ2473" s="61"/>
      <c r="MXK2473" s="54"/>
      <c r="MXL2473" s="54"/>
      <c r="MXM2473" s="63"/>
      <c r="MXN2473" s="60"/>
      <c r="MXO2473" s="60"/>
      <c r="MXP2473" s="60"/>
      <c r="MXQ2473" s="63"/>
      <c r="MXR2473" s="61"/>
      <c r="MXS2473" s="54"/>
      <c r="MXT2473" s="54"/>
      <c r="MXU2473" s="63"/>
      <c r="MXV2473" s="60"/>
      <c r="MXW2473" s="60"/>
      <c r="MXX2473" s="60"/>
      <c r="MXY2473" s="63"/>
      <c r="MXZ2473" s="61"/>
      <c r="MYA2473" s="54"/>
      <c r="MYB2473" s="54"/>
      <c r="MYC2473" s="63"/>
      <c r="MYD2473" s="60"/>
      <c r="MYE2473" s="60"/>
      <c r="MYF2473" s="60"/>
      <c r="MYG2473" s="63"/>
      <c r="MYH2473" s="61"/>
      <c r="MYI2473" s="54"/>
      <c r="MYJ2473" s="54"/>
      <c r="MYK2473" s="63"/>
      <c r="MYL2473" s="60"/>
      <c r="MYM2473" s="60"/>
      <c r="MYN2473" s="60"/>
      <c r="MYO2473" s="63"/>
      <c r="MYP2473" s="61"/>
      <c r="MYQ2473" s="54"/>
      <c r="MYR2473" s="54"/>
      <c r="MYS2473" s="63"/>
      <c r="MYT2473" s="60"/>
      <c r="MYU2473" s="60"/>
      <c r="MYV2473" s="60"/>
      <c r="MYW2473" s="63"/>
      <c r="MYX2473" s="61"/>
      <c r="MYY2473" s="54"/>
      <c r="MYZ2473" s="54"/>
      <c r="MZA2473" s="63"/>
      <c r="MZB2473" s="60"/>
      <c r="MZC2473" s="60"/>
      <c r="MZD2473" s="60"/>
      <c r="MZE2473" s="63"/>
      <c r="MZF2473" s="61"/>
      <c r="MZG2473" s="54"/>
      <c r="MZH2473" s="54"/>
      <c r="MZI2473" s="63"/>
      <c r="MZJ2473" s="60"/>
      <c r="MZK2473" s="60"/>
      <c r="MZL2473" s="60"/>
      <c r="MZM2473" s="63"/>
      <c r="MZN2473" s="61"/>
      <c r="MZO2473" s="54"/>
      <c r="MZP2473" s="54"/>
      <c r="MZQ2473" s="63"/>
      <c r="MZR2473" s="60"/>
      <c r="MZS2473" s="60"/>
      <c r="MZT2473" s="60"/>
      <c r="MZU2473" s="63"/>
      <c r="MZV2473" s="61"/>
      <c r="MZW2473" s="54"/>
      <c r="MZX2473" s="54"/>
      <c r="MZY2473" s="63"/>
      <c r="MZZ2473" s="60"/>
      <c r="NAA2473" s="60"/>
      <c r="NAB2473" s="60"/>
      <c r="NAC2473" s="63"/>
      <c r="NAD2473" s="61"/>
      <c r="NAE2473" s="54"/>
      <c r="NAF2473" s="54"/>
      <c r="NAG2473" s="63"/>
      <c r="NAH2473" s="60"/>
      <c r="NAI2473" s="60"/>
      <c r="NAJ2473" s="60"/>
      <c r="NAK2473" s="63"/>
      <c r="NAL2473" s="61"/>
      <c r="NAM2473" s="54"/>
      <c r="NAN2473" s="54"/>
      <c r="NAO2473" s="63"/>
      <c r="NAP2473" s="60"/>
      <c r="NAQ2473" s="60"/>
      <c r="NAR2473" s="60"/>
      <c r="NAS2473" s="63"/>
      <c r="NAT2473" s="61"/>
      <c r="NAU2473" s="54"/>
      <c r="NAV2473" s="54"/>
      <c r="NAW2473" s="63"/>
      <c r="NAX2473" s="60"/>
      <c r="NAY2473" s="60"/>
      <c r="NAZ2473" s="60"/>
      <c r="NBA2473" s="63"/>
      <c r="NBB2473" s="61"/>
      <c r="NBC2473" s="54"/>
      <c r="NBD2473" s="54"/>
      <c r="NBE2473" s="63"/>
      <c r="NBF2473" s="60"/>
      <c r="NBG2473" s="60"/>
      <c r="NBH2473" s="60"/>
      <c r="NBI2473" s="63"/>
      <c r="NBJ2473" s="61"/>
      <c r="NBK2473" s="54"/>
      <c r="NBL2473" s="54"/>
      <c r="NBM2473" s="63"/>
      <c r="NBN2473" s="60"/>
      <c r="NBO2473" s="60"/>
      <c r="NBP2473" s="60"/>
      <c r="NBQ2473" s="63"/>
      <c r="NBR2473" s="61"/>
      <c r="NBS2473" s="54"/>
      <c r="NBT2473" s="54"/>
      <c r="NBU2473" s="63"/>
      <c r="NBV2473" s="60"/>
      <c r="NBW2473" s="60"/>
      <c r="NBX2473" s="60"/>
      <c r="NBY2473" s="63"/>
      <c r="NBZ2473" s="61"/>
      <c r="NCA2473" s="54"/>
      <c r="NCB2473" s="54"/>
      <c r="NCC2473" s="63"/>
      <c r="NCD2473" s="60"/>
      <c r="NCE2473" s="60"/>
      <c r="NCF2473" s="60"/>
      <c r="NCG2473" s="63"/>
      <c r="NCH2473" s="61"/>
      <c r="NCI2473" s="54"/>
      <c r="NCJ2473" s="54"/>
      <c r="NCK2473" s="63"/>
      <c r="NCL2473" s="60"/>
      <c r="NCM2473" s="60"/>
      <c r="NCN2473" s="60"/>
      <c r="NCO2473" s="63"/>
      <c r="NCP2473" s="61"/>
      <c r="NCQ2473" s="54"/>
      <c r="NCR2473" s="54"/>
      <c r="NCS2473" s="63"/>
      <c r="NCT2473" s="60"/>
      <c r="NCU2473" s="60"/>
      <c r="NCV2473" s="60"/>
      <c r="NCW2473" s="63"/>
      <c r="NCX2473" s="61"/>
      <c r="NCY2473" s="54"/>
      <c r="NCZ2473" s="54"/>
      <c r="NDA2473" s="63"/>
      <c r="NDB2473" s="60"/>
      <c r="NDC2473" s="60"/>
      <c r="NDD2473" s="60"/>
      <c r="NDE2473" s="63"/>
      <c r="NDF2473" s="61"/>
      <c r="NDG2473" s="54"/>
      <c r="NDH2473" s="54"/>
      <c r="NDI2473" s="63"/>
      <c r="NDJ2473" s="60"/>
      <c r="NDK2473" s="60"/>
      <c r="NDL2473" s="60"/>
      <c r="NDM2473" s="63"/>
      <c r="NDN2473" s="61"/>
      <c r="NDO2473" s="54"/>
      <c r="NDP2473" s="54"/>
      <c r="NDQ2473" s="63"/>
      <c r="NDR2473" s="60"/>
      <c r="NDS2473" s="60"/>
      <c r="NDT2473" s="60"/>
      <c r="NDU2473" s="63"/>
      <c r="NDV2473" s="61"/>
      <c r="NDW2473" s="54"/>
      <c r="NDX2473" s="54"/>
      <c r="NDY2473" s="63"/>
      <c r="NDZ2473" s="60"/>
      <c r="NEA2473" s="60"/>
      <c r="NEB2473" s="60"/>
      <c r="NEC2473" s="63"/>
      <c r="NED2473" s="61"/>
      <c r="NEE2473" s="54"/>
      <c r="NEF2473" s="54"/>
      <c r="NEG2473" s="63"/>
      <c r="NEH2473" s="60"/>
      <c r="NEI2473" s="60"/>
      <c r="NEJ2473" s="60"/>
      <c r="NEK2473" s="63"/>
      <c r="NEL2473" s="61"/>
      <c r="NEM2473" s="54"/>
      <c r="NEN2473" s="54"/>
      <c r="NEO2473" s="63"/>
      <c r="NEP2473" s="60"/>
      <c r="NEQ2473" s="60"/>
      <c r="NER2473" s="60"/>
      <c r="NES2473" s="63"/>
      <c r="NET2473" s="61"/>
      <c r="NEU2473" s="54"/>
      <c r="NEV2473" s="54"/>
      <c r="NEW2473" s="63"/>
      <c r="NEX2473" s="60"/>
      <c r="NEY2473" s="60"/>
      <c r="NEZ2473" s="60"/>
      <c r="NFA2473" s="63"/>
      <c r="NFB2473" s="61"/>
      <c r="NFC2473" s="54"/>
      <c r="NFD2473" s="54"/>
      <c r="NFE2473" s="63"/>
      <c r="NFF2473" s="60"/>
      <c r="NFG2473" s="60"/>
      <c r="NFH2473" s="60"/>
      <c r="NFI2473" s="63"/>
      <c r="NFJ2473" s="61"/>
      <c r="NFK2473" s="54"/>
      <c r="NFL2473" s="54"/>
      <c r="NFM2473" s="63"/>
      <c r="NFN2473" s="60"/>
      <c r="NFO2473" s="60"/>
      <c r="NFP2473" s="60"/>
      <c r="NFQ2473" s="63"/>
      <c r="NFR2473" s="61"/>
      <c r="NFS2473" s="54"/>
      <c r="NFT2473" s="54"/>
      <c r="NFU2473" s="63"/>
      <c r="NFV2473" s="60"/>
      <c r="NFW2473" s="60"/>
      <c r="NFX2473" s="60"/>
      <c r="NFY2473" s="63"/>
      <c r="NFZ2473" s="61"/>
      <c r="NGA2473" s="54"/>
      <c r="NGB2473" s="54"/>
      <c r="NGC2473" s="63"/>
      <c r="NGD2473" s="60"/>
      <c r="NGE2473" s="60"/>
      <c r="NGF2473" s="60"/>
      <c r="NGG2473" s="63"/>
      <c r="NGH2473" s="61"/>
      <c r="NGI2473" s="54"/>
      <c r="NGJ2473" s="54"/>
      <c r="NGK2473" s="63"/>
      <c r="NGL2473" s="60"/>
      <c r="NGM2473" s="60"/>
      <c r="NGN2473" s="60"/>
      <c r="NGO2473" s="63"/>
      <c r="NGP2473" s="61"/>
      <c r="NGQ2473" s="54"/>
      <c r="NGR2473" s="54"/>
      <c r="NGS2473" s="63"/>
      <c r="NGT2473" s="60"/>
      <c r="NGU2473" s="60"/>
      <c r="NGV2473" s="60"/>
      <c r="NGW2473" s="63"/>
      <c r="NGX2473" s="61"/>
      <c r="NGY2473" s="54"/>
      <c r="NGZ2473" s="54"/>
      <c r="NHA2473" s="63"/>
      <c r="NHB2473" s="60"/>
      <c r="NHC2473" s="60"/>
      <c r="NHD2473" s="60"/>
      <c r="NHE2473" s="63"/>
      <c r="NHF2473" s="61"/>
      <c r="NHG2473" s="54"/>
      <c r="NHH2473" s="54"/>
      <c r="NHI2473" s="63"/>
      <c r="NHJ2473" s="60"/>
      <c r="NHK2473" s="60"/>
      <c r="NHL2473" s="60"/>
      <c r="NHM2473" s="63"/>
      <c r="NHN2473" s="61"/>
      <c r="NHO2473" s="54"/>
      <c r="NHP2473" s="54"/>
      <c r="NHQ2473" s="63"/>
      <c r="NHR2473" s="60"/>
      <c r="NHS2473" s="60"/>
      <c r="NHT2473" s="60"/>
      <c r="NHU2473" s="63"/>
      <c r="NHV2473" s="61"/>
      <c r="NHW2473" s="54"/>
      <c r="NHX2473" s="54"/>
      <c r="NHY2473" s="63"/>
      <c r="NHZ2473" s="60"/>
      <c r="NIA2473" s="60"/>
      <c r="NIB2473" s="60"/>
      <c r="NIC2473" s="63"/>
      <c r="NID2473" s="61"/>
      <c r="NIE2473" s="54"/>
      <c r="NIF2473" s="54"/>
      <c r="NIG2473" s="63"/>
      <c r="NIH2473" s="60"/>
      <c r="NII2473" s="60"/>
      <c r="NIJ2473" s="60"/>
      <c r="NIK2473" s="63"/>
      <c r="NIL2473" s="61"/>
      <c r="NIM2473" s="54"/>
      <c r="NIN2473" s="54"/>
      <c r="NIO2473" s="63"/>
      <c r="NIP2473" s="60"/>
      <c r="NIQ2473" s="60"/>
      <c r="NIR2473" s="60"/>
      <c r="NIS2473" s="63"/>
      <c r="NIT2473" s="61"/>
      <c r="NIU2473" s="54"/>
      <c r="NIV2473" s="54"/>
      <c r="NIW2473" s="63"/>
      <c r="NIX2473" s="60"/>
      <c r="NIY2473" s="60"/>
      <c r="NIZ2473" s="60"/>
      <c r="NJA2473" s="63"/>
      <c r="NJB2473" s="61"/>
      <c r="NJC2473" s="54"/>
      <c r="NJD2473" s="54"/>
      <c r="NJE2473" s="63"/>
      <c r="NJF2473" s="60"/>
      <c r="NJG2473" s="60"/>
      <c r="NJH2473" s="60"/>
      <c r="NJI2473" s="63"/>
      <c r="NJJ2473" s="61"/>
      <c r="NJK2473" s="54"/>
      <c r="NJL2473" s="54"/>
      <c r="NJM2473" s="63"/>
      <c r="NJN2473" s="60"/>
      <c r="NJO2473" s="60"/>
      <c r="NJP2473" s="60"/>
      <c r="NJQ2473" s="63"/>
      <c r="NJR2473" s="61"/>
      <c r="NJS2473" s="54"/>
      <c r="NJT2473" s="54"/>
      <c r="NJU2473" s="63"/>
      <c r="NJV2473" s="60"/>
      <c r="NJW2473" s="60"/>
      <c r="NJX2473" s="60"/>
      <c r="NJY2473" s="63"/>
      <c r="NJZ2473" s="61"/>
      <c r="NKA2473" s="54"/>
      <c r="NKB2473" s="54"/>
      <c r="NKC2473" s="63"/>
      <c r="NKD2473" s="60"/>
      <c r="NKE2473" s="60"/>
      <c r="NKF2473" s="60"/>
      <c r="NKG2473" s="63"/>
      <c r="NKH2473" s="61"/>
      <c r="NKI2473" s="54"/>
      <c r="NKJ2473" s="54"/>
      <c r="NKK2473" s="63"/>
      <c r="NKL2473" s="60"/>
      <c r="NKM2473" s="60"/>
      <c r="NKN2473" s="60"/>
      <c r="NKO2473" s="63"/>
      <c r="NKP2473" s="61"/>
      <c r="NKQ2473" s="54"/>
      <c r="NKR2473" s="54"/>
      <c r="NKS2473" s="63"/>
      <c r="NKT2473" s="60"/>
      <c r="NKU2473" s="60"/>
      <c r="NKV2473" s="60"/>
      <c r="NKW2473" s="63"/>
      <c r="NKX2473" s="61"/>
      <c r="NKY2473" s="54"/>
      <c r="NKZ2473" s="54"/>
      <c r="NLA2473" s="63"/>
      <c r="NLB2473" s="60"/>
      <c r="NLC2473" s="60"/>
      <c r="NLD2473" s="60"/>
      <c r="NLE2473" s="63"/>
      <c r="NLF2473" s="61"/>
      <c r="NLG2473" s="54"/>
      <c r="NLH2473" s="54"/>
      <c r="NLI2473" s="63"/>
      <c r="NLJ2473" s="60"/>
      <c r="NLK2473" s="60"/>
      <c r="NLL2473" s="60"/>
      <c r="NLM2473" s="63"/>
      <c r="NLN2473" s="61"/>
      <c r="NLO2473" s="54"/>
      <c r="NLP2473" s="54"/>
      <c r="NLQ2473" s="63"/>
      <c r="NLR2473" s="60"/>
      <c r="NLS2473" s="60"/>
      <c r="NLT2473" s="60"/>
      <c r="NLU2473" s="63"/>
      <c r="NLV2473" s="61"/>
      <c r="NLW2473" s="54"/>
      <c r="NLX2473" s="54"/>
      <c r="NLY2473" s="63"/>
      <c r="NLZ2473" s="60"/>
      <c r="NMA2473" s="60"/>
      <c r="NMB2473" s="60"/>
      <c r="NMC2473" s="63"/>
      <c r="NMD2473" s="61"/>
      <c r="NME2473" s="54"/>
      <c r="NMF2473" s="54"/>
      <c r="NMG2473" s="63"/>
      <c r="NMH2473" s="60"/>
      <c r="NMI2473" s="60"/>
      <c r="NMJ2473" s="60"/>
      <c r="NMK2473" s="63"/>
      <c r="NML2473" s="61"/>
      <c r="NMM2473" s="54"/>
      <c r="NMN2473" s="54"/>
      <c r="NMO2473" s="63"/>
      <c r="NMP2473" s="60"/>
      <c r="NMQ2473" s="60"/>
      <c r="NMR2473" s="60"/>
      <c r="NMS2473" s="63"/>
      <c r="NMT2473" s="61"/>
      <c r="NMU2473" s="54"/>
      <c r="NMV2473" s="54"/>
      <c r="NMW2473" s="63"/>
      <c r="NMX2473" s="60"/>
      <c r="NMY2473" s="60"/>
      <c r="NMZ2473" s="60"/>
      <c r="NNA2473" s="63"/>
      <c r="NNB2473" s="61"/>
      <c r="NNC2473" s="54"/>
      <c r="NND2473" s="54"/>
      <c r="NNE2473" s="63"/>
      <c r="NNF2473" s="60"/>
      <c r="NNG2473" s="60"/>
      <c r="NNH2473" s="60"/>
      <c r="NNI2473" s="63"/>
      <c r="NNJ2473" s="61"/>
      <c r="NNK2473" s="54"/>
      <c r="NNL2473" s="54"/>
      <c r="NNM2473" s="63"/>
      <c r="NNN2473" s="60"/>
      <c r="NNO2473" s="60"/>
      <c r="NNP2473" s="60"/>
      <c r="NNQ2473" s="63"/>
      <c r="NNR2473" s="61"/>
      <c r="NNS2473" s="54"/>
      <c r="NNT2473" s="54"/>
      <c r="NNU2473" s="63"/>
      <c r="NNV2473" s="60"/>
      <c r="NNW2473" s="60"/>
      <c r="NNX2473" s="60"/>
      <c r="NNY2473" s="63"/>
      <c r="NNZ2473" s="61"/>
      <c r="NOA2473" s="54"/>
      <c r="NOB2473" s="54"/>
      <c r="NOC2473" s="63"/>
      <c r="NOD2473" s="60"/>
      <c r="NOE2473" s="60"/>
      <c r="NOF2473" s="60"/>
      <c r="NOG2473" s="63"/>
      <c r="NOH2473" s="61"/>
      <c r="NOI2473" s="54"/>
      <c r="NOJ2473" s="54"/>
      <c r="NOK2473" s="63"/>
      <c r="NOL2473" s="60"/>
      <c r="NOM2473" s="60"/>
      <c r="NON2473" s="60"/>
      <c r="NOO2473" s="63"/>
      <c r="NOP2473" s="61"/>
      <c r="NOQ2473" s="54"/>
      <c r="NOR2473" s="54"/>
      <c r="NOS2473" s="63"/>
      <c r="NOT2473" s="60"/>
      <c r="NOU2473" s="60"/>
      <c r="NOV2473" s="60"/>
      <c r="NOW2473" s="63"/>
      <c r="NOX2473" s="61"/>
      <c r="NOY2473" s="54"/>
      <c r="NOZ2473" s="54"/>
      <c r="NPA2473" s="63"/>
      <c r="NPB2473" s="60"/>
      <c r="NPC2473" s="60"/>
      <c r="NPD2473" s="60"/>
      <c r="NPE2473" s="63"/>
      <c r="NPF2473" s="61"/>
      <c r="NPG2473" s="54"/>
      <c r="NPH2473" s="54"/>
      <c r="NPI2473" s="63"/>
      <c r="NPJ2473" s="60"/>
      <c r="NPK2473" s="60"/>
      <c r="NPL2473" s="60"/>
      <c r="NPM2473" s="63"/>
      <c r="NPN2473" s="61"/>
      <c r="NPO2473" s="54"/>
      <c r="NPP2473" s="54"/>
      <c r="NPQ2473" s="63"/>
      <c r="NPR2473" s="60"/>
      <c r="NPS2473" s="60"/>
      <c r="NPT2473" s="60"/>
      <c r="NPU2473" s="63"/>
      <c r="NPV2473" s="61"/>
      <c r="NPW2473" s="54"/>
      <c r="NPX2473" s="54"/>
      <c r="NPY2473" s="63"/>
      <c r="NPZ2473" s="60"/>
      <c r="NQA2473" s="60"/>
      <c r="NQB2473" s="60"/>
      <c r="NQC2473" s="63"/>
      <c r="NQD2473" s="61"/>
      <c r="NQE2473" s="54"/>
      <c r="NQF2473" s="54"/>
      <c r="NQG2473" s="63"/>
      <c r="NQH2473" s="60"/>
      <c r="NQI2473" s="60"/>
      <c r="NQJ2473" s="60"/>
      <c r="NQK2473" s="63"/>
      <c r="NQL2473" s="61"/>
      <c r="NQM2473" s="54"/>
      <c r="NQN2473" s="54"/>
      <c r="NQO2473" s="63"/>
      <c r="NQP2473" s="60"/>
      <c r="NQQ2473" s="60"/>
      <c r="NQR2473" s="60"/>
      <c r="NQS2473" s="63"/>
      <c r="NQT2473" s="61"/>
      <c r="NQU2473" s="54"/>
      <c r="NQV2473" s="54"/>
      <c r="NQW2473" s="63"/>
      <c r="NQX2473" s="60"/>
      <c r="NQY2473" s="60"/>
      <c r="NQZ2473" s="60"/>
      <c r="NRA2473" s="63"/>
      <c r="NRB2473" s="61"/>
      <c r="NRC2473" s="54"/>
      <c r="NRD2473" s="54"/>
      <c r="NRE2473" s="63"/>
      <c r="NRF2473" s="60"/>
      <c r="NRG2473" s="60"/>
      <c r="NRH2473" s="60"/>
      <c r="NRI2473" s="63"/>
      <c r="NRJ2473" s="61"/>
      <c r="NRK2473" s="54"/>
      <c r="NRL2473" s="54"/>
      <c r="NRM2473" s="63"/>
      <c r="NRN2473" s="60"/>
      <c r="NRO2473" s="60"/>
      <c r="NRP2473" s="60"/>
      <c r="NRQ2473" s="63"/>
      <c r="NRR2473" s="61"/>
      <c r="NRS2473" s="54"/>
      <c r="NRT2473" s="54"/>
      <c r="NRU2473" s="63"/>
      <c r="NRV2473" s="60"/>
      <c r="NRW2473" s="60"/>
      <c r="NRX2473" s="60"/>
      <c r="NRY2473" s="63"/>
      <c r="NRZ2473" s="61"/>
      <c r="NSA2473" s="54"/>
      <c r="NSB2473" s="54"/>
      <c r="NSC2473" s="63"/>
      <c r="NSD2473" s="60"/>
      <c r="NSE2473" s="60"/>
      <c r="NSF2473" s="60"/>
      <c r="NSG2473" s="63"/>
      <c r="NSH2473" s="61"/>
      <c r="NSI2473" s="54"/>
      <c r="NSJ2473" s="54"/>
      <c r="NSK2473" s="63"/>
      <c r="NSL2473" s="60"/>
      <c r="NSM2473" s="60"/>
      <c r="NSN2473" s="60"/>
      <c r="NSO2473" s="63"/>
      <c r="NSP2473" s="61"/>
      <c r="NSQ2473" s="54"/>
      <c r="NSR2473" s="54"/>
      <c r="NSS2473" s="63"/>
      <c r="NST2473" s="60"/>
      <c r="NSU2473" s="60"/>
      <c r="NSV2473" s="60"/>
      <c r="NSW2473" s="63"/>
      <c r="NSX2473" s="61"/>
      <c r="NSY2473" s="54"/>
      <c r="NSZ2473" s="54"/>
      <c r="NTA2473" s="63"/>
      <c r="NTB2473" s="60"/>
      <c r="NTC2473" s="60"/>
      <c r="NTD2473" s="60"/>
      <c r="NTE2473" s="63"/>
      <c r="NTF2473" s="61"/>
      <c r="NTG2473" s="54"/>
      <c r="NTH2473" s="54"/>
      <c r="NTI2473" s="63"/>
      <c r="NTJ2473" s="60"/>
      <c r="NTK2473" s="60"/>
      <c r="NTL2473" s="60"/>
      <c r="NTM2473" s="63"/>
      <c r="NTN2473" s="61"/>
      <c r="NTO2473" s="54"/>
      <c r="NTP2473" s="54"/>
      <c r="NTQ2473" s="63"/>
      <c r="NTR2473" s="60"/>
      <c r="NTS2473" s="60"/>
      <c r="NTT2473" s="60"/>
      <c r="NTU2473" s="63"/>
      <c r="NTV2473" s="61"/>
      <c r="NTW2473" s="54"/>
      <c r="NTX2473" s="54"/>
      <c r="NTY2473" s="63"/>
      <c r="NTZ2473" s="60"/>
      <c r="NUA2473" s="60"/>
      <c r="NUB2473" s="60"/>
      <c r="NUC2473" s="63"/>
      <c r="NUD2473" s="61"/>
      <c r="NUE2473" s="54"/>
      <c r="NUF2473" s="54"/>
      <c r="NUG2473" s="63"/>
      <c r="NUH2473" s="60"/>
      <c r="NUI2473" s="60"/>
      <c r="NUJ2473" s="60"/>
      <c r="NUK2473" s="63"/>
      <c r="NUL2473" s="61"/>
      <c r="NUM2473" s="54"/>
      <c r="NUN2473" s="54"/>
      <c r="NUO2473" s="63"/>
      <c r="NUP2473" s="60"/>
      <c r="NUQ2473" s="60"/>
      <c r="NUR2473" s="60"/>
      <c r="NUS2473" s="63"/>
      <c r="NUT2473" s="61"/>
      <c r="NUU2473" s="54"/>
      <c r="NUV2473" s="54"/>
      <c r="NUW2473" s="63"/>
      <c r="NUX2473" s="60"/>
      <c r="NUY2473" s="60"/>
      <c r="NUZ2473" s="60"/>
      <c r="NVA2473" s="63"/>
      <c r="NVB2473" s="61"/>
      <c r="NVC2473" s="54"/>
      <c r="NVD2473" s="54"/>
      <c r="NVE2473" s="63"/>
      <c r="NVF2473" s="60"/>
      <c r="NVG2473" s="60"/>
      <c r="NVH2473" s="60"/>
      <c r="NVI2473" s="63"/>
      <c r="NVJ2473" s="61"/>
      <c r="NVK2473" s="54"/>
      <c r="NVL2473" s="54"/>
      <c r="NVM2473" s="63"/>
      <c r="NVN2473" s="60"/>
      <c r="NVO2473" s="60"/>
      <c r="NVP2473" s="60"/>
      <c r="NVQ2473" s="63"/>
      <c r="NVR2473" s="61"/>
      <c r="NVS2473" s="54"/>
      <c r="NVT2473" s="54"/>
      <c r="NVU2473" s="63"/>
      <c r="NVV2473" s="60"/>
      <c r="NVW2473" s="60"/>
      <c r="NVX2473" s="60"/>
      <c r="NVY2473" s="63"/>
      <c r="NVZ2473" s="61"/>
      <c r="NWA2473" s="54"/>
      <c r="NWB2473" s="54"/>
      <c r="NWC2473" s="63"/>
      <c r="NWD2473" s="60"/>
      <c r="NWE2473" s="60"/>
      <c r="NWF2473" s="60"/>
      <c r="NWG2473" s="63"/>
      <c r="NWH2473" s="61"/>
      <c r="NWI2473" s="54"/>
      <c r="NWJ2473" s="54"/>
      <c r="NWK2473" s="63"/>
      <c r="NWL2473" s="60"/>
      <c r="NWM2473" s="60"/>
      <c r="NWN2473" s="60"/>
      <c r="NWO2473" s="63"/>
      <c r="NWP2473" s="61"/>
      <c r="NWQ2473" s="54"/>
      <c r="NWR2473" s="54"/>
      <c r="NWS2473" s="63"/>
      <c r="NWT2473" s="60"/>
      <c r="NWU2473" s="60"/>
      <c r="NWV2473" s="60"/>
      <c r="NWW2473" s="63"/>
      <c r="NWX2473" s="61"/>
      <c r="NWY2473" s="54"/>
      <c r="NWZ2473" s="54"/>
      <c r="NXA2473" s="63"/>
      <c r="NXB2473" s="60"/>
      <c r="NXC2473" s="60"/>
      <c r="NXD2473" s="60"/>
      <c r="NXE2473" s="63"/>
      <c r="NXF2473" s="61"/>
      <c r="NXG2473" s="54"/>
      <c r="NXH2473" s="54"/>
      <c r="NXI2473" s="63"/>
      <c r="NXJ2473" s="60"/>
      <c r="NXK2473" s="60"/>
      <c r="NXL2473" s="60"/>
      <c r="NXM2473" s="63"/>
      <c r="NXN2473" s="61"/>
      <c r="NXO2473" s="54"/>
      <c r="NXP2473" s="54"/>
      <c r="NXQ2473" s="63"/>
      <c r="NXR2473" s="60"/>
      <c r="NXS2473" s="60"/>
      <c r="NXT2473" s="60"/>
      <c r="NXU2473" s="63"/>
      <c r="NXV2473" s="61"/>
      <c r="NXW2473" s="54"/>
      <c r="NXX2473" s="54"/>
      <c r="NXY2473" s="63"/>
      <c r="NXZ2473" s="60"/>
      <c r="NYA2473" s="60"/>
      <c r="NYB2473" s="60"/>
      <c r="NYC2473" s="63"/>
      <c r="NYD2473" s="61"/>
      <c r="NYE2473" s="54"/>
      <c r="NYF2473" s="54"/>
      <c r="NYG2473" s="63"/>
      <c r="NYH2473" s="60"/>
      <c r="NYI2473" s="60"/>
      <c r="NYJ2473" s="60"/>
      <c r="NYK2473" s="63"/>
      <c r="NYL2473" s="61"/>
      <c r="NYM2473" s="54"/>
      <c r="NYN2473" s="54"/>
      <c r="NYO2473" s="63"/>
      <c r="NYP2473" s="60"/>
      <c r="NYQ2473" s="60"/>
      <c r="NYR2473" s="60"/>
      <c r="NYS2473" s="63"/>
      <c r="NYT2473" s="61"/>
      <c r="NYU2473" s="54"/>
      <c r="NYV2473" s="54"/>
      <c r="NYW2473" s="63"/>
      <c r="NYX2473" s="60"/>
      <c r="NYY2473" s="60"/>
      <c r="NYZ2473" s="60"/>
      <c r="NZA2473" s="63"/>
      <c r="NZB2473" s="61"/>
      <c r="NZC2473" s="54"/>
      <c r="NZD2473" s="54"/>
      <c r="NZE2473" s="63"/>
      <c r="NZF2473" s="60"/>
      <c r="NZG2473" s="60"/>
      <c r="NZH2473" s="60"/>
      <c r="NZI2473" s="63"/>
      <c r="NZJ2473" s="61"/>
      <c r="NZK2473" s="54"/>
      <c r="NZL2473" s="54"/>
      <c r="NZM2473" s="63"/>
      <c r="NZN2473" s="60"/>
      <c r="NZO2473" s="60"/>
      <c r="NZP2473" s="60"/>
      <c r="NZQ2473" s="63"/>
      <c r="NZR2473" s="61"/>
      <c r="NZS2473" s="54"/>
      <c r="NZT2473" s="54"/>
      <c r="NZU2473" s="63"/>
      <c r="NZV2473" s="60"/>
      <c r="NZW2473" s="60"/>
      <c r="NZX2473" s="60"/>
      <c r="NZY2473" s="63"/>
      <c r="NZZ2473" s="61"/>
      <c r="OAA2473" s="54"/>
      <c r="OAB2473" s="54"/>
      <c r="OAC2473" s="63"/>
      <c r="OAD2473" s="60"/>
      <c r="OAE2473" s="60"/>
      <c r="OAF2473" s="60"/>
      <c r="OAG2473" s="63"/>
      <c r="OAH2473" s="61"/>
      <c r="OAI2473" s="54"/>
      <c r="OAJ2473" s="54"/>
      <c r="OAK2473" s="63"/>
      <c r="OAL2473" s="60"/>
      <c r="OAM2473" s="60"/>
      <c r="OAN2473" s="60"/>
      <c r="OAO2473" s="63"/>
      <c r="OAP2473" s="61"/>
      <c r="OAQ2473" s="54"/>
      <c r="OAR2473" s="54"/>
      <c r="OAS2473" s="63"/>
      <c r="OAT2473" s="60"/>
      <c r="OAU2473" s="60"/>
      <c r="OAV2473" s="60"/>
      <c r="OAW2473" s="63"/>
      <c r="OAX2473" s="61"/>
      <c r="OAY2473" s="54"/>
      <c r="OAZ2473" s="54"/>
      <c r="OBA2473" s="63"/>
      <c r="OBB2473" s="60"/>
      <c r="OBC2473" s="60"/>
      <c r="OBD2473" s="60"/>
      <c r="OBE2473" s="63"/>
      <c r="OBF2473" s="61"/>
      <c r="OBG2473" s="54"/>
      <c r="OBH2473" s="54"/>
      <c r="OBI2473" s="63"/>
      <c r="OBJ2473" s="60"/>
      <c r="OBK2473" s="60"/>
      <c r="OBL2473" s="60"/>
      <c r="OBM2473" s="63"/>
      <c r="OBN2473" s="61"/>
      <c r="OBO2473" s="54"/>
      <c r="OBP2473" s="54"/>
      <c r="OBQ2473" s="63"/>
      <c r="OBR2473" s="60"/>
      <c r="OBS2473" s="60"/>
      <c r="OBT2473" s="60"/>
      <c r="OBU2473" s="63"/>
      <c r="OBV2473" s="61"/>
      <c r="OBW2473" s="54"/>
      <c r="OBX2473" s="54"/>
      <c r="OBY2473" s="63"/>
      <c r="OBZ2473" s="60"/>
      <c r="OCA2473" s="60"/>
      <c r="OCB2473" s="60"/>
      <c r="OCC2473" s="63"/>
      <c r="OCD2473" s="61"/>
      <c r="OCE2473" s="54"/>
      <c r="OCF2473" s="54"/>
      <c r="OCG2473" s="63"/>
      <c r="OCH2473" s="60"/>
      <c r="OCI2473" s="60"/>
      <c r="OCJ2473" s="60"/>
      <c r="OCK2473" s="63"/>
      <c r="OCL2473" s="61"/>
      <c r="OCM2473" s="54"/>
      <c r="OCN2473" s="54"/>
      <c r="OCO2473" s="63"/>
      <c r="OCP2473" s="60"/>
      <c r="OCQ2473" s="60"/>
      <c r="OCR2473" s="60"/>
      <c r="OCS2473" s="63"/>
      <c r="OCT2473" s="61"/>
      <c r="OCU2473" s="54"/>
      <c r="OCV2473" s="54"/>
      <c r="OCW2473" s="63"/>
      <c r="OCX2473" s="60"/>
      <c r="OCY2473" s="60"/>
      <c r="OCZ2473" s="60"/>
      <c r="ODA2473" s="63"/>
      <c r="ODB2473" s="61"/>
      <c r="ODC2473" s="54"/>
      <c r="ODD2473" s="54"/>
      <c r="ODE2473" s="63"/>
      <c r="ODF2473" s="60"/>
      <c r="ODG2473" s="60"/>
      <c r="ODH2473" s="60"/>
      <c r="ODI2473" s="63"/>
      <c r="ODJ2473" s="61"/>
      <c r="ODK2473" s="54"/>
      <c r="ODL2473" s="54"/>
      <c r="ODM2473" s="63"/>
      <c r="ODN2473" s="60"/>
      <c r="ODO2473" s="60"/>
      <c r="ODP2473" s="60"/>
      <c r="ODQ2473" s="63"/>
      <c r="ODR2473" s="61"/>
      <c r="ODS2473" s="54"/>
      <c r="ODT2473" s="54"/>
      <c r="ODU2473" s="63"/>
      <c r="ODV2473" s="60"/>
      <c r="ODW2473" s="60"/>
      <c r="ODX2473" s="60"/>
      <c r="ODY2473" s="63"/>
      <c r="ODZ2473" s="61"/>
      <c r="OEA2473" s="54"/>
      <c r="OEB2473" s="54"/>
      <c r="OEC2473" s="63"/>
      <c r="OED2473" s="60"/>
      <c r="OEE2473" s="60"/>
      <c r="OEF2473" s="60"/>
      <c r="OEG2473" s="63"/>
      <c r="OEH2473" s="61"/>
      <c r="OEI2473" s="54"/>
      <c r="OEJ2473" s="54"/>
      <c r="OEK2473" s="63"/>
      <c r="OEL2473" s="60"/>
      <c r="OEM2473" s="60"/>
      <c r="OEN2473" s="60"/>
      <c r="OEO2473" s="63"/>
      <c r="OEP2473" s="61"/>
      <c r="OEQ2473" s="54"/>
      <c r="OER2473" s="54"/>
      <c r="OES2473" s="63"/>
      <c r="OET2473" s="60"/>
      <c r="OEU2473" s="60"/>
      <c r="OEV2473" s="60"/>
      <c r="OEW2473" s="63"/>
      <c r="OEX2473" s="61"/>
      <c r="OEY2473" s="54"/>
      <c r="OEZ2473" s="54"/>
      <c r="OFA2473" s="63"/>
      <c r="OFB2473" s="60"/>
      <c r="OFC2473" s="60"/>
      <c r="OFD2473" s="60"/>
      <c r="OFE2473" s="63"/>
      <c r="OFF2473" s="61"/>
      <c r="OFG2473" s="54"/>
      <c r="OFH2473" s="54"/>
      <c r="OFI2473" s="63"/>
      <c r="OFJ2473" s="60"/>
      <c r="OFK2473" s="60"/>
      <c r="OFL2473" s="60"/>
      <c r="OFM2473" s="63"/>
      <c r="OFN2473" s="61"/>
      <c r="OFO2473" s="54"/>
      <c r="OFP2473" s="54"/>
      <c r="OFQ2473" s="63"/>
      <c r="OFR2473" s="60"/>
      <c r="OFS2473" s="60"/>
      <c r="OFT2473" s="60"/>
      <c r="OFU2473" s="63"/>
      <c r="OFV2473" s="61"/>
      <c r="OFW2473" s="54"/>
      <c r="OFX2473" s="54"/>
      <c r="OFY2473" s="63"/>
      <c r="OFZ2473" s="60"/>
      <c r="OGA2473" s="60"/>
      <c r="OGB2473" s="60"/>
      <c r="OGC2473" s="63"/>
      <c r="OGD2473" s="61"/>
      <c r="OGE2473" s="54"/>
      <c r="OGF2473" s="54"/>
      <c r="OGG2473" s="63"/>
      <c r="OGH2473" s="60"/>
      <c r="OGI2473" s="60"/>
      <c r="OGJ2473" s="60"/>
      <c r="OGK2473" s="63"/>
      <c r="OGL2473" s="61"/>
      <c r="OGM2473" s="54"/>
      <c r="OGN2473" s="54"/>
      <c r="OGO2473" s="63"/>
      <c r="OGP2473" s="60"/>
      <c r="OGQ2473" s="60"/>
      <c r="OGR2473" s="60"/>
      <c r="OGS2473" s="63"/>
      <c r="OGT2473" s="61"/>
      <c r="OGU2473" s="54"/>
      <c r="OGV2473" s="54"/>
      <c r="OGW2473" s="63"/>
      <c r="OGX2473" s="60"/>
      <c r="OGY2473" s="60"/>
      <c r="OGZ2473" s="60"/>
      <c r="OHA2473" s="63"/>
      <c r="OHB2473" s="61"/>
      <c r="OHC2473" s="54"/>
      <c r="OHD2473" s="54"/>
      <c r="OHE2473" s="63"/>
      <c r="OHF2473" s="60"/>
      <c r="OHG2473" s="60"/>
      <c r="OHH2473" s="60"/>
      <c r="OHI2473" s="63"/>
      <c r="OHJ2473" s="61"/>
      <c r="OHK2473" s="54"/>
      <c r="OHL2473" s="54"/>
      <c r="OHM2473" s="63"/>
      <c r="OHN2473" s="60"/>
      <c r="OHO2473" s="60"/>
      <c r="OHP2473" s="60"/>
      <c r="OHQ2473" s="63"/>
      <c r="OHR2473" s="61"/>
      <c r="OHS2473" s="54"/>
      <c r="OHT2473" s="54"/>
      <c r="OHU2473" s="63"/>
      <c r="OHV2473" s="60"/>
      <c r="OHW2473" s="60"/>
      <c r="OHX2473" s="60"/>
      <c r="OHY2473" s="63"/>
      <c r="OHZ2473" s="61"/>
      <c r="OIA2473" s="54"/>
      <c r="OIB2473" s="54"/>
      <c r="OIC2473" s="63"/>
      <c r="OID2473" s="60"/>
      <c r="OIE2473" s="60"/>
      <c r="OIF2473" s="60"/>
      <c r="OIG2473" s="63"/>
      <c r="OIH2473" s="61"/>
      <c r="OII2473" s="54"/>
      <c r="OIJ2473" s="54"/>
      <c r="OIK2473" s="63"/>
      <c r="OIL2473" s="60"/>
      <c r="OIM2473" s="60"/>
      <c r="OIN2473" s="60"/>
      <c r="OIO2473" s="63"/>
      <c r="OIP2473" s="61"/>
      <c r="OIQ2473" s="54"/>
      <c r="OIR2473" s="54"/>
      <c r="OIS2473" s="63"/>
      <c r="OIT2473" s="60"/>
      <c r="OIU2473" s="60"/>
      <c r="OIV2473" s="60"/>
      <c r="OIW2473" s="63"/>
      <c r="OIX2473" s="61"/>
      <c r="OIY2473" s="54"/>
      <c r="OIZ2473" s="54"/>
      <c r="OJA2473" s="63"/>
      <c r="OJB2473" s="60"/>
      <c r="OJC2473" s="60"/>
      <c r="OJD2473" s="60"/>
      <c r="OJE2473" s="63"/>
      <c r="OJF2473" s="61"/>
      <c r="OJG2473" s="54"/>
      <c r="OJH2473" s="54"/>
      <c r="OJI2473" s="63"/>
      <c r="OJJ2473" s="60"/>
      <c r="OJK2473" s="60"/>
      <c r="OJL2473" s="60"/>
      <c r="OJM2473" s="63"/>
      <c r="OJN2473" s="61"/>
      <c r="OJO2473" s="54"/>
      <c r="OJP2473" s="54"/>
      <c r="OJQ2473" s="63"/>
      <c r="OJR2473" s="60"/>
      <c r="OJS2473" s="60"/>
      <c r="OJT2473" s="60"/>
      <c r="OJU2473" s="63"/>
      <c r="OJV2473" s="61"/>
      <c r="OJW2473" s="54"/>
      <c r="OJX2473" s="54"/>
      <c r="OJY2473" s="63"/>
      <c r="OJZ2473" s="60"/>
      <c r="OKA2473" s="60"/>
      <c r="OKB2473" s="60"/>
      <c r="OKC2473" s="63"/>
      <c r="OKD2473" s="61"/>
      <c r="OKE2473" s="54"/>
      <c r="OKF2473" s="54"/>
      <c r="OKG2473" s="63"/>
      <c r="OKH2473" s="60"/>
      <c r="OKI2473" s="60"/>
      <c r="OKJ2473" s="60"/>
      <c r="OKK2473" s="63"/>
      <c r="OKL2473" s="61"/>
      <c r="OKM2473" s="54"/>
      <c r="OKN2473" s="54"/>
      <c r="OKO2473" s="63"/>
      <c r="OKP2473" s="60"/>
      <c r="OKQ2473" s="60"/>
      <c r="OKR2473" s="60"/>
      <c r="OKS2473" s="63"/>
      <c r="OKT2473" s="61"/>
      <c r="OKU2473" s="54"/>
      <c r="OKV2473" s="54"/>
      <c r="OKW2473" s="63"/>
      <c r="OKX2473" s="60"/>
      <c r="OKY2473" s="60"/>
      <c r="OKZ2473" s="60"/>
      <c r="OLA2473" s="63"/>
      <c r="OLB2473" s="61"/>
      <c r="OLC2473" s="54"/>
      <c r="OLD2473" s="54"/>
      <c r="OLE2473" s="63"/>
      <c r="OLF2473" s="60"/>
      <c r="OLG2473" s="60"/>
      <c r="OLH2473" s="60"/>
      <c r="OLI2473" s="63"/>
      <c r="OLJ2473" s="61"/>
      <c r="OLK2473" s="54"/>
      <c r="OLL2473" s="54"/>
      <c r="OLM2473" s="63"/>
      <c r="OLN2473" s="60"/>
      <c r="OLO2473" s="60"/>
      <c r="OLP2473" s="60"/>
      <c r="OLQ2473" s="63"/>
      <c r="OLR2473" s="61"/>
      <c r="OLS2473" s="54"/>
      <c r="OLT2473" s="54"/>
      <c r="OLU2473" s="63"/>
      <c r="OLV2473" s="60"/>
      <c r="OLW2473" s="60"/>
      <c r="OLX2473" s="60"/>
      <c r="OLY2473" s="63"/>
      <c r="OLZ2473" s="61"/>
      <c r="OMA2473" s="54"/>
      <c r="OMB2473" s="54"/>
      <c r="OMC2473" s="63"/>
      <c r="OMD2473" s="60"/>
      <c r="OME2473" s="60"/>
      <c r="OMF2473" s="60"/>
      <c r="OMG2473" s="63"/>
      <c r="OMH2473" s="61"/>
      <c r="OMI2473" s="54"/>
      <c r="OMJ2473" s="54"/>
      <c r="OMK2473" s="63"/>
      <c r="OML2473" s="60"/>
      <c r="OMM2473" s="60"/>
      <c r="OMN2473" s="60"/>
      <c r="OMO2473" s="63"/>
      <c r="OMP2473" s="61"/>
      <c r="OMQ2473" s="54"/>
      <c r="OMR2473" s="54"/>
      <c r="OMS2473" s="63"/>
      <c r="OMT2473" s="60"/>
      <c r="OMU2473" s="60"/>
      <c r="OMV2473" s="60"/>
      <c r="OMW2473" s="63"/>
      <c r="OMX2473" s="61"/>
      <c r="OMY2473" s="54"/>
      <c r="OMZ2473" s="54"/>
      <c r="ONA2473" s="63"/>
      <c r="ONB2473" s="60"/>
      <c r="ONC2473" s="60"/>
      <c r="OND2473" s="60"/>
      <c r="ONE2473" s="63"/>
      <c r="ONF2473" s="61"/>
      <c r="ONG2473" s="54"/>
      <c r="ONH2473" s="54"/>
      <c r="ONI2473" s="63"/>
      <c r="ONJ2473" s="60"/>
      <c r="ONK2473" s="60"/>
      <c r="ONL2473" s="60"/>
      <c r="ONM2473" s="63"/>
      <c r="ONN2473" s="61"/>
      <c r="ONO2473" s="54"/>
      <c r="ONP2473" s="54"/>
      <c r="ONQ2473" s="63"/>
      <c r="ONR2473" s="60"/>
      <c r="ONS2473" s="60"/>
      <c r="ONT2473" s="60"/>
      <c r="ONU2473" s="63"/>
      <c r="ONV2473" s="61"/>
      <c r="ONW2473" s="54"/>
      <c r="ONX2473" s="54"/>
      <c r="ONY2473" s="63"/>
      <c r="ONZ2473" s="60"/>
      <c r="OOA2473" s="60"/>
      <c r="OOB2473" s="60"/>
      <c r="OOC2473" s="63"/>
      <c r="OOD2473" s="61"/>
      <c r="OOE2473" s="54"/>
      <c r="OOF2473" s="54"/>
      <c r="OOG2473" s="63"/>
      <c r="OOH2473" s="60"/>
      <c r="OOI2473" s="60"/>
      <c r="OOJ2473" s="60"/>
      <c r="OOK2473" s="63"/>
      <c r="OOL2473" s="61"/>
      <c r="OOM2473" s="54"/>
      <c r="OON2473" s="54"/>
      <c r="OOO2473" s="63"/>
      <c r="OOP2473" s="60"/>
      <c r="OOQ2473" s="60"/>
      <c r="OOR2473" s="60"/>
      <c r="OOS2473" s="63"/>
      <c r="OOT2473" s="61"/>
      <c r="OOU2473" s="54"/>
      <c r="OOV2473" s="54"/>
      <c r="OOW2473" s="63"/>
      <c r="OOX2473" s="60"/>
      <c r="OOY2473" s="60"/>
      <c r="OOZ2473" s="60"/>
      <c r="OPA2473" s="63"/>
      <c r="OPB2473" s="61"/>
      <c r="OPC2473" s="54"/>
      <c r="OPD2473" s="54"/>
      <c r="OPE2473" s="63"/>
      <c r="OPF2473" s="60"/>
      <c r="OPG2473" s="60"/>
      <c r="OPH2473" s="60"/>
      <c r="OPI2473" s="63"/>
      <c r="OPJ2473" s="61"/>
      <c r="OPK2473" s="54"/>
      <c r="OPL2473" s="54"/>
      <c r="OPM2473" s="63"/>
      <c r="OPN2473" s="60"/>
      <c r="OPO2473" s="60"/>
      <c r="OPP2473" s="60"/>
      <c r="OPQ2473" s="63"/>
      <c r="OPR2473" s="61"/>
      <c r="OPS2473" s="54"/>
      <c r="OPT2473" s="54"/>
      <c r="OPU2473" s="63"/>
      <c r="OPV2473" s="60"/>
      <c r="OPW2473" s="60"/>
      <c r="OPX2473" s="60"/>
      <c r="OPY2473" s="63"/>
      <c r="OPZ2473" s="61"/>
      <c r="OQA2473" s="54"/>
      <c r="OQB2473" s="54"/>
      <c r="OQC2473" s="63"/>
      <c r="OQD2473" s="60"/>
      <c r="OQE2473" s="60"/>
      <c r="OQF2473" s="60"/>
      <c r="OQG2473" s="63"/>
      <c r="OQH2473" s="61"/>
      <c r="OQI2473" s="54"/>
      <c r="OQJ2473" s="54"/>
      <c r="OQK2473" s="63"/>
      <c r="OQL2473" s="60"/>
      <c r="OQM2473" s="60"/>
      <c r="OQN2473" s="60"/>
      <c r="OQO2473" s="63"/>
      <c r="OQP2473" s="61"/>
      <c r="OQQ2473" s="54"/>
      <c r="OQR2473" s="54"/>
      <c r="OQS2473" s="63"/>
      <c r="OQT2473" s="60"/>
      <c r="OQU2473" s="60"/>
      <c r="OQV2473" s="60"/>
      <c r="OQW2473" s="63"/>
      <c r="OQX2473" s="61"/>
      <c r="OQY2473" s="54"/>
      <c r="OQZ2473" s="54"/>
      <c r="ORA2473" s="63"/>
      <c r="ORB2473" s="60"/>
      <c r="ORC2473" s="60"/>
      <c r="ORD2473" s="60"/>
      <c r="ORE2473" s="63"/>
      <c r="ORF2473" s="61"/>
      <c r="ORG2473" s="54"/>
      <c r="ORH2473" s="54"/>
      <c r="ORI2473" s="63"/>
      <c r="ORJ2473" s="60"/>
      <c r="ORK2473" s="60"/>
      <c r="ORL2473" s="60"/>
      <c r="ORM2473" s="63"/>
      <c r="ORN2473" s="61"/>
      <c r="ORO2473" s="54"/>
      <c r="ORP2473" s="54"/>
      <c r="ORQ2473" s="63"/>
      <c r="ORR2473" s="60"/>
      <c r="ORS2473" s="60"/>
      <c r="ORT2473" s="60"/>
      <c r="ORU2473" s="63"/>
      <c r="ORV2473" s="61"/>
      <c r="ORW2473" s="54"/>
      <c r="ORX2473" s="54"/>
      <c r="ORY2473" s="63"/>
      <c r="ORZ2473" s="60"/>
      <c r="OSA2473" s="60"/>
      <c r="OSB2473" s="60"/>
      <c r="OSC2473" s="63"/>
      <c r="OSD2473" s="61"/>
      <c r="OSE2473" s="54"/>
      <c r="OSF2473" s="54"/>
      <c r="OSG2473" s="63"/>
      <c r="OSH2473" s="60"/>
      <c r="OSI2473" s="60"/>
      <c r="OSJ2473" s="60"/>
      <c r="OSK2473" s="63"/>
      <c r="OSL2473" s="61"/>
      <c r="OSM2473" s="54"/>
      <c r="OSN2473" s="54"/>
      <c r="OSO2473" s="63"/>
      <c r="OSP2473" s="60"/>
      <c r="OSQ2473" s="60"/>
      <c r="OSR2473" s="60"/>
      <c r="OSS2473" s="63"/>
      <c r="OST2473" s="61"/>
      <c r="OSU2473" s="54"/>
      <c r="OSV2473" s="54"/>
      <c r="OSW2473" s="63"/>
      <c r="OSX2473" s="60"/>
      <c r="OSY2473" s="60"/>
      <c r="OSZ2473" s="60"/>
      <c r="OTA2473" s="63"/>
      <c r="OTB2473" s="61"/>
      <c r="OTC2473" s="54"/>
      <c r="OTD2473" s="54"/>
      <c r="OTE2473" s="63"/>
      <c r="OTF2473" s="60"/>
      <c r="OTG2473" s="60"/>
      <c r="OTH2473" s="60"/>
      <c r="OTI2473" s="63"/>
      <c r="OTJ2473" s="61"/>
      <c r="OTK2473" s="54"/>
      <c r="OTL2473" s="54"/>
      <c r="OTM2473" s="63"/>
      <c r="OTN2473" s="60"/>
      <c r="OTO2473" s="60"/>
      <c r="OTP2473" s="60"/>
      <c r="OTQ2473" s="63"/>
      <c r="OTR2473" s="61"/>
      <c r="OTS2473" s="54"/>
      <c r="OTT2473" s="54"/>
      <c r="OTU2473" s="63"/>
      <c r="OTV2473" s="60"/>
      <c r="OTW2473" s="60"/>
      <c r="OTX2473" s="60"/>
      <c r="OTY2473" s="63"/>
      <c r="OTZ2473" s="61"/>
      <c r="OUA2473" s="54"/>
      <c r="OUB2473" s="54"/>
      <c r="OUC2473" s="63"/>
      <c r="OUD2473" s="60"/>
      <c r="OUE2473" s="60"/>
      <c r="OUF2473" s="60"/>
      <c r="OUG2473" s="63"/>
      <c r="OUH2473" s="61"/>
      <c r="OUI2473" s="54"/>
      <c r="OUJ2473" s="54"/>
      <c r="OUK2473" s="63"/>
      <c r="OUL2473" s="60"/>
      <c r="OUM2473" s="60"/>
      <c r="OUN2473" s="60"/>
      <c r="OUO2473" s="63"/>
      <c r="OUP2473" s="61"/>
      <c r="OUQ2473" s="54"/>
      <c r="OUR2473" s="54"/>
      <c r="OUS2473" s="63"/>
      <c r="OUT2473" s="60"/>
      <c r="OUU2473" s="60"/>
      <c r="OUV2473" s="60"/>
      <c r="OUW2473" s="63"/>
      <c r="OUX2473" s="61"/>
      <c r="OUY2473" s="54"/>
      <c r="OUZ2473" s="54"/>
      <c r="OVA2473" s="63"/>
      <c r="OVB2473" s="60"/>
      <c r="OVC2473" s="60"/>
      <c r="OVD2473" s="60"/>
      <c r="OVE2473" s="63"/>
      <c r="OVF2473" s="61"/>
      <c r="OVG2473" s="54"/>
      <c r="OVH2473" s="54"/>
      <c r="OVI2473" s="63"/>
      <c r="OVJ2473" s="60"/>
      <c r="OVK2473" s="60"/>
      <c r="OVL2473" s="60"/>
      <c r="OVM2473" s="63"/>
      <c r="OVN2473" s="61"/>
      <c r="OVO2473" s="54"/>
      <c r="OVP2473" s="54"/>
      <c r="OVQ2473" s="63"/>
      <c r="OVR2473" s="60"/>
      <c r="OVS2473" s="60"/>
      <c r="OVT2473" s="60"/>
      <c r="OVU2473" s="63"/>
      <c r="OVV2473" s="61"/>
      <c r="OVW2473" s="54"/>
      <c r="OVX2473" s="54"/>
      <c r="OVY2473" s="63"/>
      <c r="OVZ2473" s="60"/>
      <c r="OWA2473" s="60"/>
      <c r="OWB2473" s="60"/>
      <c r="OWC2473" s="63"/>
      <c r="OWD2473" s="61"/>
      <c r="OWE2473" s="54"/>
      <c r="OWF2473" s="54"/>
      <c r="OWG2473" s="63"/>
      <c r="OWH2473" s="60"/>
      <c r="OWI2473" s="60"/>
      <c r="OWJ2473" s="60"/>
      <c r="OWK2473" s="63"/>
      <c r="OWL2473" s="61"/>
      <c r="OWM2473" s="54"/>
      <c r="OWN2473" s="54"/>
      <c r="OWO2473" s="63"/>
      <c r="OWP2473" s="60"/>
      <c r="OWQ2473" s="60"/>
      <c r="OWR2473" s="60"/>
      <c r="OWS2473" s="63"/>
      <c r="OWT2473" s="61"/>
      <c r="OWU2473" s="54"/>
      <c r="OWV2473" s="54"/>
      <c r="OWW2473" s="63"/>
      <c r="OWX2473" s="60"/>
      <c r="OWY2473" s="60"/>
      <c r="OWZ2473" s="60"/>
      <c r="OXA2473" s="63"/>
      <c r="OXB2473" s="61"/>
      <c r="OXC2473" s="54"/>
      <c r="OXD2473" s="54"/>
      <c r="OXE2473" s="63"/>
      <c r="OXF2473" s="60"/>
      <c r="OXG2473" s="60"/>
      <c r="OXH2473" s="60"/>
      <c r="OXI2473" s="63"/>
      <c r="OXJ2473" s="61"/>
      <c r="OXK2473" s="54"/>
      <c r="OXL2473" s="54"/>
      <c r="OXM2473" s="63"/>
      <c r="OXN2473" s="60"/>
      <c r="OXO2473" s="60"/>
      <c r="OXP2473" s="60"/>
      <c r="OXQ2473" s="63"/>
      <c r="OXR2473" s="61"/>
      <c r="OXS2473" s="54"/>
      <c r="OXT2473" s="54"/>
      <c r="OXU2473" s="63"/>
      <c r="OXV2473" s="60"/>
      <c r="OXW2473" s="60"/>
      <c r="OXX2473" s="60"/>
      <c r="OXY2473" s="63"/>
      <c r="OXZ2473" s="61"/>
      <c r="OYA2473" s="54"/>
      <c r="OYB2473" s="54"/>
      <c r="OYC2473" s="63"/>
      <c r="OYD2473" s="60"/>
      <c r="OYE2473" s="60"/>
      <c r="OYF2473" s="60"/>
      <c r="OYG2473" s="63"/>
      <c r="OYH2473" s="61"/>
      <c r="OYI2473" s="54"/>
      <c r="OYJ2473" s="54"/>
      <c r="OYK2473" s="63"/>
      <c r="OYL2473" s="60"/>
      <c r="OYM2473" s="60"/>
      <c r="OYN2473" s="60"/>
      <c r="OYO2473" s="63"/>
      <c r="OYP2473" s="61"/>
      <c r="OYQ2473" s="54"/>
      <c r="OYR2473" s="54"/>
      <c r="OYS2473" s="63"/>
      <c r="OYT2473" s="60"/>
      <c r="OYU2473" s="60"/>
      <c r="OYV2473" s="60"/>
      <c r="OYW2473" s="63"/>
      <c r="OYX2473" s="61"/>
      <c r="OYY2473" s="54"/>
      <c r="OYZ2473" s="54"/>
      <c r="OZA2473" s="63"/>
      <c r="OZB2473" s="60"/>
      <c r="OZC2473" s="60"/>
      <c r="OZD2473" s="60"/>
      <c r="OZE2473" s="63"/>
      <c r="OZF2473" s="61"/>
      <c r="OZG2473" s="54"/>
      <c r="OZH2473" s="54"/>
      <c r="OZI2473" s="63"/>
      <c r="OZJ2473" s="60"/>
      <c r="OZK2473" s="60"/>
      <c r="OZL2473" s="60"/>
      <c r="OZM2473" s="63"/>
      <c r="OZN2473" s="61"/>
      <c r="OZO2473" s="54"/>
      <c r="OZP2473" s="54"/>
      <c r="OZQ2473" s="63"/>
      <c r="OZR2473" s="60"/>
      <c r="OZS2473" s="60"/>
      <c r="OZT2473" s="60"/>
      <c r="OZU2473" s="63"/>
      <c r="OZV2473" s="61"/>
      <c r="OZW2473" s="54"/>
      <c r="OZX2473" s="54"/>
      <c r="OZY2473" s="63"/>
      <c r="OZZ2473" s="60"/>
      <c r="PAA2473" s="60"/>
      <c r="PAB2473" s="60"/>
      <c r="PAC2473" s="63"/>
      <c r="PAD2473" s="61"/>
      <c r="PAE2473" s="54"/>
      <c r="PAF2473" s="54"/>
      <c r="PAG2473" s="63"/>
      <c r="PAH2473" s="60"/>
      <c r="PAI2473" s="60"/>
      <c r="PAJ2473" s="60"/>
      <c r="PAK2473" s="63"/>
      <c r="PAL2473" s="61"/>
      <c r="PAM2473" s="54"/>
      <c r="PAN2473" s="54"/>
      <c r="PAO2473" s="63"/>
      <c r="PAP2473" s="60"/>
      <c r="PAQ2473" s="60"/>
      <c r="PAR2473" s="60"/>
      <c r="PAS2473" s="63"/>
      <c r="PAT2473" s="61"/>
      <c r="PAU2473" s="54"/>
      <c r="PAV2473" s="54"/>
      <c r="PAW2473" s="63"/>
      <c r="PAX2473" s="60"/>
      <c r="PAY2473" s="60"/>
      <c r="PAZ2473" s="60"/>
      <c r="PBA2473" s="63"/>
      <c r="PBB2473" s="61"/>
      <c r="PBC2473" s="54"/>
      <c r="PBD2473" s="54"/>
      <c r="PBE2473" s="63"/>
      <c r="PBF2473" s="60"/>
      <c r="PBG2473" s="60"/>
      <c r="PBH2473" s="60"/>
      <c r="PBI2473" s="63"/>
      <c r="PBJ2473" s="61"/>
      <c r="PBK2473" s="54"/>
      <c r="PBL2473" s="54"/>
      <c r="PBM2473" s="63"/>
      <c r="PBN2473" s="60"/>
      <c r="PBO2473" s="60"/>
      <c r="PBP2473" s="60"/>
      <c r="PBQ2473" s="63"/>
      <c r="PBR2473" s="61"/>
      <c r="PBS2473" s="54"/>
      <c r="PBT2473" s="54"/>
      <c r="PBU2473" s="63"/>
      <c r="PBV2473" s="60"/>
      <c r="PBW2473" s="60"/>
      <c r="PBX2473" s="60"/>
      <c r="PBY2473" s="63"/>
      <c r="PBZ2473" s="61"/>
      <c r="PCA2473" s="54"/>
      <c r="PCB2473" s="54"/>
      <c r="PCC2473" s="63"/>
      <c r="PCD2473" s="60"/>
      <c r="PCE2473" s="60"/>
      <c r="PCF2473" s="60"/>
      <c r="PCG2473" s="63"/>
      <c r="PCH2473" s="61"/>
      <c r="PCI2473" s="54"/>
      <c r="PCJ2473" s="54"/>
      <c r="PCK2473" s="63"/>
      <c r="PCL2473" s="60"/>
      <c r="PCM2473" s="60"/>
      <c r="PCN2473" s="60"/>
      <c r="PCO2473" s="63"/>
      <c r="PCP2473" s="61"/>
      <c r="PCQ2473" s="54"/>
      <c r="PCR2473" s="54"/>
      <c r="PCS2473" s="63"/>
      <c r="PCT2473" s="60"/>
      <c r="PCU2473" s="60"/>
      <c r="PCV2473" s="60"/>
      <c r="PCW2473" s="63"/>
      <c r="PCX2473" s="61"/>
      <c r="PCY2473" s="54"/>
      <c r="PCZ2473" s="54"/>
      <c r="PDA2473" s="63"/>
      <c r="PDB2473" s="60"/>
      <c r="PDC2473" s="60"/>
      <c r="PDD2473" s="60"/>
      <c r="PDE2473" s="63"/>
      <c r="PDF2473" s="61"/>
      <c r="PDG2473" s="54"/>
      <c r="PDH2473" s="54"/>
      <c r="PDI2473" s="63"/>
      <c r="PDJ2473" s="60"/>
      <c r="PDK2473" s="60"/>
      <c r="PDL2473" s="60"/>
      <c r="PDM2473" s="63"/>
      <c r="PDN2473" s="61"/>
      <c r="PDO2473" s="54"/>
      <c r="PDP2473" s="54"/>
      <c r="PDQ2473" s="63"/>
      <c r="PDR2473" s="60"/>
      <c r="PDS2473" s="60"/>
      <c r="PDT2473" s="60"/>
      <c r="PDU2473" s="63"/>
      <c r="PDV2473" s="61"/>
      <c r="PDW2473" s="54"/>
      <c r="PDX2473" s="54"/>
      <c r="PDY2473" s="63"/>
      <c r="PDZ2473" s="60"/>
      <c r="PEA2473" s="60"/>
      <c r="PEB2473" s="60"/>
      <c r="PEC2473" s="63"/>
      <c r="PED2473" s="61"/>
      <c r="PEE2473" s="54"/>
      <c r="PEF2473" s="54"/>
      <c r="PEG2473" s="63"/>
      <c r="PEH2473" s="60"/>
      <c r="PEI2473" s="60"/>
      <c r="PEJ2473" s="60"/>
      <c r="PEK2473" s="63"/>
      <c r="PEL2473" s="61"/>
      <c r="PEM2473" s="54"/>
      <c r="PEN2473" s="54"/>
      <c r="PEO2473" s="63"/>
      <c r="PEP2473" s="60"/>
      <c r="PEQ2473" s="60"/>
      <c r="PER2473" s="60"/>
      <c r="PES2473" s="63"/>
      <c r="PET2473" s="61"/>
      <c r="PEU2473" s="54"/>
      <c r="PEV2473" s="54"/>
      <c r="PEW2473" s="63"/>
      <c r="PEX2473" s="60"/>
      <c r="PEY2473" s="60"/>
      <c r="PEZ2473" s="60"/>
      <c r="PFA2473" s="63"/>
      <c r="PFB2473" s="61"/>
      <c r="PFC2473" s="54"/>
      <c r="PFD2473" s="54"/>
      <c r="PFE2473" s="63"/>
      <c r="PFF2473" s="60"/>
      <c r="PFG2473" s="60"/>
      <c r="PFH2473" s="60"/>
      <c r="PFI2473" s="63"/>
      <c r="PFJ2473" s="61"/>
      <c r="PFK2473" s="54"/>
      <c r="PFL2473" s="54"/>
      <c r="PFM2473" s="63"/>
      <c r="PFN2473" s="60"/>
      <c r="PFO2473" s="60"/>
      <c r="PFP2473" s="60"/>
      <c r="PFQ2473" s="63"/>
      <c r="PFR2473" s="61"/>
      <c r="PFS2473" s="54"/>
      <c r="PFT2473" s="54"/>
      <c r="PFU2473" s="63"/>
      <c r="PFV2473" s="60"/>
      <c r="PFW2473" s="60"/>
      <c r="PFX2473" s="60"/>
      <c r="PFY2473" s="63"/>
      <c r="PFZ2473" s="61"/>
      <c r="PGA2473" s="54"/>
      <c r="PGB2473" s="54"/>
      <c r="PGC2473" s="63"/>
      <c r="PGD2473" s="60"/>
      <c r="PGE2473" s="60"/>
      <c r="PGF2473" s="60"/>
      <c r="PGG2473" s="63"/>
      <c r="PGH2473" s="61"/>
      <c r="PGI2473" s="54"/>
      <c r="PGJ2473" s="54"/>
      <c r="PGK2473" s="63"/>
      <c r="PGL2473" s="60"/>
      <c r="PGM2473" s="60"/>
      <c r="PGN2473" s="60"/>
      <c r="PGO2473" s="63"/>
      <c r="PGP2473" s="61"/>
      <c r="PGQ2473" s="54"/>
      <c r="PGR2473" s="54"/>
      <c r="PGS2473" s="63"/>
      <c r="PGT2473" s="60"/>
      <c r="PGU2473" s="60"/>
      <c r="PGV2473" s="60"/>
      <c r="PGW2473" s="63"/>
      <c r="PGX2473" s="61"/>
      <c r="PGY2473" s="54"/>
      <c r="PGZ2473" s="54"/>
      <c r="PHA2473" s="63"/>
      <c r="PHB2473" s="60"/>
      <c r="PHC2473" s="60"/>
      <c r="PHD2473" s="60"/>
      <c r="PHE2473" s="63"/>
      <c r="PHF2473" s="61"/>
      <c r="PHG2473" s="54"/>
      <c r="PHH2473" s="54"/>
      <c r="PHI2473" s="63"/>
      <c r="PHJ2473" s="60"/>
      <c r="PHK2473" s="60"/>
      <c r="PHL2473" s="60"/>
      <c r="PHM2473" s="63"/>
      <c r="PHN2473" s="61"/>
      <c r="PHO2473" s="54"/>
      <c r="PHP2473" s="54"/>
      <c r="PHQ2473" s="63"/>
      <c r="PHR2473" s="60"/>
      <c r="PHS2473" s="60"/>
      <c r="PHT2473" s="60"/>
      <c r="PHU2473" s="63"/>
      <c r="PHV2473" s="61"/>
      <c r="PHW2473" s="54"/>
      <c r="PHX2473" s="54"/>
      <c r="PHY2473" s="63"/>
      <c r="PHZ2473" s="60"/>
      <c r="PIA2473" s="60"/>
      <c r="PIB2473" s="60"/>
      <c r="PIC2473" s="63"/>
      <c r="PID2473" s="61"/>
      <c r="PIE2473" s="54"/>
      <c r="PIF2473" s="54"/>
      <c r="PIG2473" s="63"/>
      <c r="PIH2473" s="60"/>
      <c r="PII2473" s="60"/>
      <c r="PIJ2473" s="60"/>
      <c r="PIK2473" s="63"/>
      <c r="PIL2473" s="61"/>
      <c r="PIM2473" s="54"/>
      <c r="PIN2473" s="54"/>
      <c r="PIO2473" s="63"/>
      <c r="PIP2473" s="60"/>
      <c r="PIQ2473" s="60"/>
      <c r="PIR2473" s="60"/>
      <c r="PIS2473" s="63"/>
      <c r="PIT2473" s="61"/>
      <c r="PIU2473" s="54"/>
      <c r="PIV2473" s="54"/>
      <c r="PIW2473" s="63"/>
      <c r="PIX2473" s="60"/>
      <c r="PIY2473" s="60"/>
      <c r="PIZ2473" s="60"/>
      <c r="PJA2473" s="63"/>
      <c r="PJB2473" s="61"/>
      <c r="PJC2473" s="54"/>
      <c r="PJD2473" s="54"/>
      <c r="PJE2473" s="63"/>
      <c r="PJF2473" s="60"/>
      <c r="PJG2473" s="60"/>
      <c r="PJH2473" s="60"/>
      <c r="PJI2473" s="63"/>
      <c r="PJJ2473" s="61"/>
      <c r="PJK2473" s="54"/>
      <c r="PJL2473" s="54"/>
      <c r="PJM2473" s="63"/>
      <c r="PJN2473" s="60"/>
      <c r="PJO2473" s="60"/>
      <c r="PJP2473" s="60"/>
      <c r="PJQ2473" s="63"/>
      <c r="PJR2473" s="61"/>
      <c r="PJS2473" s="54"/>
      <c r="PJT2473" s="54"/>
      <c r="PJU2473" s="63"/>
      <c r="PJV2473" s="60"/>
      <c r="PJW2473" s="60"/>
      <c r="PJX2473" s="60"/>
      <c r="PJY2473" s="63"/>
      <c r="PJZ2473" s="61"/>
      <c r="PKA2473" s="54"/>
      <c r="PKB2473" s="54"/>
      <c r="PKC2473" s="63"/>
      <c r="PKD2473" s="60"/>
      <c r="PKE2473" s="60"/>
      <c r="PKF2473" s="60"/>
      <c r="PKG2473" s="63"/>
      <c r="PKH2473" s="61"/>
      <c r="PKI2473" s="54"/>
      <c r="PKJ2473" s="54"/>
      <c r="PKK2473" s="63"/>
      <c r="PKL2473" s="60"/>
      <c r="PKM2473" s="60"/>
      <c r="PKN2473" s="60"/>
      <c r="PKO2473" s="63"/>
      <c r="PKP2473" s="61"/>
      <c r="PKQ2473" s="54"/>
      <c r="PKR2473" s="54"/>
      <c r="PKS2473" s="63"/>
      <c r="PKT2473" s="60"/>
      <c r="PKU2473" s="60"/>
      <c r="PKV2473" s="60"/>
      <c r="PKW2473" s="63"/>
      <c r="PKX2473" s="61"/>
      <c r="PKY2473" s="54"/>
      <c r="PKZ2473" s="54"/>
      <c r="PLA2473" s="63"/>
      <c r="PLB2473" s="60"/>
      <c r="PLC2473" s="60"/>
      <c r="PLD2473" s="60"/>
      <c r="PLE2473" s="63"/>
      <c r="PLF2473" s="61"/>
      <c r="PLG2473" s="54"/>
      <c r="PLH2473" s="54"/>
      <c r="PLI2473" s="63"/>
      <c r="PLJ2473" s="60"/>
      <c r="PLK2473" s="60"/>
      <c r="PLL2473" s="60"/>
      <c r="PLM2473" s="63"/>
      <c r="PLN2473" s="61"/>
      <c r="PLO2473" s="54"/>
      <c r="PLP2473" s="54"/>
      <c r="PLQ2473" s="63"/>
      <c r="PLR2473" s="60"/>
      <c r="PLS2473" s="60"/>
      <c r="PLT2473" s="60"/>
      <c r="PLU2473" s="63"/>
      <c r="PLV2473" s="61"/>
      <c r="PLW2473" s="54"/>
      <c r="PLX2473" s="54"/>
      <c r="PLY2473" s="63"/>
      <c r="PLZ2473" s="60"/>
      <c r="PMA2473" s="60"/>
      <c r="PMB2473" s="60"/>
      <c r="PMC2473" s="63"/>
      <c r="PMD2473" s="61"/>
      <c r="PME2473" s="54"/>
      <c r="PMF2473" s="54"/>
      <c r="PMG2473" s="63"/>
      <c r="PMH2473" s="60"/>
      <c r="PMI2473" s="60"/>
      <c r="PMJ2473" s="60"/>
      <c r="PMK2473" s="63"/>
      <c r="PML2473" s="61"/>
      <c r="PMM2473" s="54"/>
      <c r="PMN2473" s="54"/>
      <c r="PMO2473" s="63"/>
      <c r="PMP2473" s="60"/>
      <c r="PMQ2473" s="60"/>
      <c r="PMR2473" s="60"/>
      <c r="PMS2473" s="63"/>
      <c r="PMT2473" s="61"/>
      <c r="PMU2473" s="54"/>
      <c r="PMV2473" s="54"/>
      <c r="PMW2473" s="63"/>
      <c r="PMX2473" s="60"/>
      <c r="PMY2473" s="60"/>
      <c r="PMZ2473" s="60"/>
      <c r="PNA2473" s="63"/>
      <c r="PNB2473" s="61"/>
      <c r="PNC2473" s="54"/>
      <c r="PND2473" s="54"/>
      <c r="PNE2473" s="63"/>
      <c r="PNF2473" s="60"/>
      <c r="PNG2473" s="60"/>
      <c r="PNH2473" s="60"/>
      <c r="PNI2473" s="63"/>
      <c r="PNJ2473" s="61"/>
      <c r="PNK2473" s="54"/>
      <c r="PNL2473" s="54"/>
      <c r="PNM2473" s="63"/>
      <c r="PNN2473" s="60"/>
      <c r="PNO2473" s="60"/>
      <c r="PNP2473" s="60"/>
      <c r="PNQ2473" s="63"/>
      <c r="PNR2473" s="61"/>
      <c r="PNS2473" s="54"/>
      <c r="PNT2473" s="54"/>
      <c r="PNU2473" s="63"/>
      <c r="PNV2473" s="60"/>
      <c r="PNW2473" s="60"/>
      <c r="PNX2473" s="60"/>
      <c r="PNY2473" s="63"/>
      <c r="PNZ2473" s="61"/>
      <c r="POA2473" s="54"/>
      <c r="POB2473" s="54"/>
      <c r="POC2473" s="63"/>
      <c r="POD2473" s="60"/>
      <c r="POE2473" s="60"/>
      <c r="POF2473" s="60"/>
      <c r="POG2473" s="63"/>
      <c r="POH2473" s="61"/>
      <c r="POI2473" s="54"/>
      <c r="POJ2473" s="54"/>
      <c r="POK2473" s="63"/>
      <c r="POL2473" s="60"/>
      <c r="POM2473" s="60"/>
      <c r="PON2473" s="60"/>
      <c r="POO2473" s="63"/>
      <c r="POP2473" s="61"/>
      <c r="POQ2473" s="54"/>
      <c r="POR2473" s="54"/>
      <c r="POS2473" s="63"/>
      <c r="POT2473" s="60"/>
      <c r="POU2473" s="60"/>
      <c r="POV2473" s="60"/>
      <c r="POW2473" s="63"/>
      <c r="POX2473" s="61"/>
      <c r="POY2473" s="54"/>
      <c r="POZ2473" s="54"/>
      <c r="PPA2473" s="63"/>
      <c r="PPB2473" s="60"/>
      <c r="PPC2473" s="60"/>
      <c r="PPD2473" s="60"/>
      <c r="PPE2473" s="63"/>
      <c r="PPF2473" s="61"/>
      <c r="PPG2473" s="54"/>
      <c r="PPH2473" s="54"/>
      <c r="PPI2473" s="63"/>
      <c r="PPJ2473" s="60"/>
      <c r="PPK2473" s="60"/>
      <c r="PPL2473" s="60"/>
      <c r="PPM2473" s="63"/>
      <c r="PPN2473" s="61"/>
      <c r="PPO2473" s="54"/>
      <c r="PPP2473" s="54"/>
      <c r="PPQ2473" s="63"/>
      <c r="PPR2473" s="60"/>
      <c r="PPS2473" s="60"/>
      <c r="PPT2473" s="60"/>
      <c r="PPU2473" s="63"/>
      <c r="PPV2473" s="61"/>
      <c r="PPW2473" s="54"/>
      <c r="PPX2473" s="54"/>
      <c r="PPY2473" s="63"/>
      <c r="PPZ2473" s="60"/>
      <c r="PQA2473" s="60"/>
      <c r="PQB2473" s="60"/>
      <c r="PQC2473" s="63"/>
      <c r="PQD2473" s="61"/>
      <c r="PQE2473" s="54"/>
      <c r="PQF2473" s="54"/>
      <c r="PQG2473" s="63"/>
      <c r="PQH2473" s="60"/>
      <c r="PQI2473" s="60"/>
      <c r="PQJ2473" s="60"/>
      <c r="PQK2473" s="63"/>
      <c r="PQL2473" s="61"/>
      <c r="PQM2473" s="54"/>
      <c r="PQN2473" s="54"/>
      <c r="PQO2473" s="63"/>
      <c r="PQP2473" s="60"/>
      <c r="PQQ2473" s="60"/>
      <c r="PQR2473" s="60"/>
      <c r="PQS2473" s="63"/>
      <c r="PQT2473" s="61"/>
      <c r="PQU2473" s="54"/>
      <c r="PQV2473" s="54"/>
      <c r="PQW2473" s="63"/>
      <c r="PQX2473" s="60"/>
      <c r="PQY2473" s="60"/>
      <c r="PQZ2473" s="60"/>
      <c r="PRA2473" s="63"/>
      <c r="PRB2473" s="61"/>
      <c r="PRC2473" s="54"/>
      <c r="PRD2473" s="54"/>
      <c r="PRE2473" s="63"/>
      <c r="PRF2473" s="60"/>
      <c r="PRG2473" s="60"/>
      <c r="PRH2473" s="60"/>
      <c r="PRI2473" s="63"/>
      <c r="PRJ2473" s="61"/>
      <c r="PRK2473" s="54"/>
      <c r="PRL2473" s="54"/>
      <c r="PRM2473" s="63"/>
      <c r="PRN2473" s="60"/>
      <c r="PRO2473" s="60"/>
      <c r="PRP2473" s="60"/>
      <c r="PRQ2473" s="63"/>
      <c r="PRR2473" s="61"/>
      <c r="PRS2473" s="54"/>
      <c r="PRT2473" s="54"/>
      <c r="PRU2473" s="63"/>
      <c r="PRV2473" s="60"/>
      <c r="PRW2473" s="60"/>
      <c r="PRX2473" s="60"/>
      <c r="PRY2473" s="63"/>
      <c r="PRZ2473" s="61"/>
      <c r="PSA2473" s="54"/>
      <c r="PSB2473" s="54"/>
      <c r="PSC2473" s="63"/>
      <c r="PSD2473" s="60"/>
      <c r="PSE2473" s="60"/>
      <c r="PSF2473" s="60"/>
      <c r="PSG2473" s="63"/>
      <c r="PSH2473" s="61"/>
      <c r="PSI2473" s="54"/>
      <c r="PSJ2473" s="54"/>
      <c r="PSK2473" s="63"/>
      <c r="PSL2473" s="60"/>
      <c r="PSM2473" s="60"/>
      <c r="PSN2473" s="60"/>
      <c r="PSO2473" s="63"/>
      <c r="PSP2473" s="61"/>
      <c r="PSQ2473" s="54"/>
      <c r="PSR2473" s="54"/>
      <c r="PSS2473" s="63"/>
      <c r="PST2473" s="60"/>
      <c r="PSU2473" s="60"/>
      <c r="PSV2473" s="60"/>
      <c r="PSW2473" s="63"/>
      <c r="PSX2473" s="61"/>
      <c r="PSY2473" s="54"/>
      <c r="PSZ2473" s="54"/>
      <c r="PTA2473" s="63"/>
      <c r="PTB2473" s="60"/>
      <c r="PTC2473" s="60"/>
      <c r="PTD2473" s="60"/>
      <c r="PTE2473" s="63"/>
      <c r="PTF2473" s="61"/>
      <c r="PTG2473" s="54"/>
      <c r="PTH2473" s="54"/>
      <c r="PTI2473" s="63"/>
      <c r="PTJ2473" s="60"/>
      <c r="PTK2473" s="60"/>
      <c r="PTL2473" s="60"/>
      <c r="PTM2473" s="63"/>
      <c r="PTN2473" s="61"/>
      <c r="PTO2473" s="54"/>
      <c r="PTP2473" s="54"/>
      <c r="PTQ2473" s="63"/>
      <c r="PTR2473" s="60"/>
      <c r="PTS2473" s="60"/>
      <c r="PTT2473" s="60"/>
      <c r="PTU2473" s="63"/>
      <c r="PTV2473" s="61"/>
      <c r="PTW2473" s="54"/>
      <c r="PTX2473" s="54"/>
      <c r="PTY2473" s="63"/>
      <c r="PTZ2473" s="60"/>
      <c r="PUA2473" s="60"/>
      <c r="PUB2473" s="60"/>
      <c r="PUC2473" s="63"/>
      <c r="PUD2473" s="61"/>
      <c r="PUE2473" s="54"/>
      <c r="PUF2473" s="54"/>
      <c r="PUG2473" s="63"/>
      <c r="PUH2473" s="60"/>
      <c r="PUI2473" s="60"/>
      <c r="PUJ2473" s="60"/>
      <c r="PUK2473" s="63"/>
      <c r="PUL2473" s="61"/>
      <c r="PUM2473" s="54"/>
      <c r="PUN2473" s="54"/>
      <c r="PUO2473" s="63"/>
      <c r="PUP2473" s="60"/>
      <c r="PUQ2473" s="60"/>
      <c r="PUR2473" s="60"/>
      <c r="PUS2473" s="63"/>
      <c r="PUT2473" s="61"/>
      <c r="PUU2473" s="54"/>
      <c r="PUV2473" s="54"/>
      <c r="PUW2473" s="63"/>
      <c r="PUX2473" s="60"/>
      <c r="PUY2473" s="60"/>
      <c r="PUZ2473" s="60"/>
      <c r="PVA2473" s="63"/>
      <c r="PVB2473" s="61"/>
      <c r="PVC2473" s="54"/>
      <c r="PVD2473" s="54"/>
      <c r="PVE2473" s="63"/>
      <c r="PVF2473" s="60"/>
      <c r="PVG2473" s="60"/>
      <c r="PVH2473" s="60"/>
      <c r="PVI2473" s="63"/>
      <c r="PVJ2473" s="61"/>
      <c r="PVK2473" s="54"/>
      <c r="PVL2473" s="54"/>
      <c r="PVM2473" s="63"/>
      <c r="PVN2473" s="60"/>
      <c r="PVO2473" s="60"/>
      <c r="PVP2473" s="60"/>
      <c r="PVQ2473" s="63"/>
      <c r="PVR2473" s="61"/>
      <c r="PVS2473" s="54"/>
      <c r="PVT2473" s="54"/>
      <c r="PVU2473" s="63"/>
      <c r="PVV2473" s="60"/>
      <c r="PVW2473" s="60"/>
      <c r="PVX2473" s="60"/>
      <c r="PVY2473" s="63"/>
      <c r="PVZ2473" s="61"/>
      <c r="PWA2473" s="54"/>
      <c r="PWB2473" s="54"/>
      <c r="PWC2473" s="63"/>
      <c r="PWD2473" s="60"/>
      <c r="PWE2473" s="60"/>
      <c r="PWF2473" s="60"/>
      <c r="PWG2473" s="63"/>
      <c r="PWH2473" s="61"/>
      <c r="PWI2473" s="54"/>
      <c r="PWJ2473" s="54"/>
      <c r="PWK2473" s="63"/>
      <c r="PWL2473" s="60"/>
      <c r="PWM2473" s="60"/>
      <c r="PWN2473" s="60"/>
      <c r="PWO2473" s="63"/>
      <c r="PWP2473" s="61"/>
      <c r="PWQ2473" s="54"/>
      <c r="PWR2473" s="54"/>
      <c r="PWS2473" s="63"/>
      <c r="PWT2473" s="60"/>
      <c r="PWU2473" s="60"/>
      <c r="PWV2473" s="60"/>
      <c r="PWW2473" s="63"/>
      <c r="PWX2473" s="61"/>
      <c r="PWY2473" s="54"/>
      <c r="PWZ2473" s="54"/>
      <c r="PXA2473" s="63"/>
      <c r="PXB2473" s="60"/>
      <c r="PXC2473" s="60"/>
      <c r="PXD2473" s="60"/>
      <c r="PXE2473" s="63"/>
      <c r="PXF2473" s="61"/>
      <c r="PXG2473" s="54"/>
      <c r="PXH2473" s="54"/>
      <c r="PXI2473" s="63"/>
      <c r="PXJ2473" s="60"/>
      <c r="PXK2473" s="60"/>
      <c r="PXL2473" s="60"/>
      <c r="PXM2473" s="63"/>
      <c r="PXN2473" s="61"/>
      <c r="PXO2473" s="54"/>
      <c r="PXP2473" s="54"/>
      <c r="PXQ2473" s="63"/>
      <c r="PXR2473" s="60"/>
      <c r="PXS2473" s="60"/>
      <c r="PXT2473" s="60"/>
      <c r="PXU2473" s="63"/>
      <c r="PXV2473" s="61"/>
      <c r="PXW2473" s="54"/>
      <c r="PXX2473" s="54"/>
      <c r="PXY2473" s="63"/>
      <c r="PXZ2473" s="60"/>
      <c r="PYA2473" s="60"/>
      <c r="PYB2473" s="60"/>
      <c r="PYC2473" s="63"/>
      <c r="PYD2473" s="61"/>
      <c r="PYE2473" s="54"/>
      <c r="PYF2473" s="54"/>
      <c r="PYG2473" s="63"/>
      <c r="PYH2473" s="60"/>
      <c r="PYI2473" s="60"/>
      <c r="PYJ2473" s="60"/>
      <c r="PYK2473" s="63"/>
      <c r="PYL2473" s="61"/>
      <c r="PYM2473" s="54"/>
      <c r="PYN2473" s="54"/>
      <c r="PYO2473" s="63"/>
      <c r="PYP2473" s="60"/>
      <c r="PYQ2473" s="60"/>
      <c r="PYR2473" s="60"/>
      <c r="PYS2473" s="63"/>
      <c r="PYT2473" s="61"/>
      <c r="PYU2473" s="54"/>
      <c r="PYV2473" s="54"/>
      <c r="PYW2473" s="63"/>
      <c r="PYX2473" s="60"/>
      <c r="PYY2473" s="60"/>
      <c r="PYZ2473" s="60"/>
      <c r="PZA2473" s="63"/>
      <c r="PZB2473" s="61"/>
      <c r="PZC2473" s="54"/>
      <c r="PZD2473" s="54"/>
      <c r="PZE2473" s="63"/>
      <c r="PZF2473" s="60"/>
      <c r="PZG2473" s="60"/>
      <c r="PZH2473" s="60"/>
      <c r="PZI2473" s="63"/>
      <c r="PZJ2473" s="61"/>
      <c r="PZK2473" s="54"/>
      <c r="PZL2473" s="54"/>
      <c r="PZM2473" s="63"/>
      <c r="PZN2473" s="60"/>
      <c r="PZO2473" s="60"/>
      <c r="PZP2473" s="60"/>
      <c r="PZQ2473" s="63"/>
      <c r="PZR2473" s="61"/>
      <c r="PZS2473" s="54"/>
      <c r="PZT2473" s="54"/>
      <c r="PZU2473" s="63"/>
      <c r="PZV2473" s="60"/>
      <c r="PZW2473" s="60"/>
      <c r="PZX2473" s="60"/>
      <c r="PZY2473" s="63"/>
      <c r="PZZ2473" s="61"/>
      <c r="QAA2473" s="54"/>
      <c r="QAB2473" s="54"/>
      <c r="QAC2473" s="63"/>
      <c r="QAD2473" s="60"/>
      <c r="QAE2473" s="60"/>
      <c r="QAF2473" s="60"/>
      <c r="QAG2473" s="63"/>
      <c r="QAH2473" s="61"/>
      <c r="QAI2473" s="54"/>
      <c r="QAJ2473" s="54"/>
      <c r="QAK2473" s="63"/>
      <c r="QAL2473" s="60"/>
      <c r="QAM2473" s="60"/>
      <c r="QAN2473" s="60"/>
      <c r="QAO2473" s="63"/>
      <c r="QAP2473" s="61"/>
      <c r="QAQ2473" s="54"/>
      <c r="QAR2473" s="54"/>
      <c r="QAS2473" s="63"/>
      <c r="QAT2473" s="60"/>
      <c r="QAU2473" s="60"/>
      <c r="QAV2473" s="60"/>
      <c r="QAW2473" s="63"/>
      <c r="QAX2473" s="61"/>
      <c r="QAY2473" s="54"/>
      <c r="QAZ2473" s="54"/>
      <c r="QBA2473" s="63"/>
      <c r="QBB2473" s="60"/>
      <c r="QBC2473" s="60"/>
      <c r="QBD2473" s="60"/>
      <c r="QBE2473" s="63"/>
      <c r="QBF2473" s="61"/>
      <c r="QBG2473" s="54"/>
      <c r="QBH2473" s="54"/>
      <c r="QBI2473" s="63"/>
      <c r="QBJ2473" s="60"/>
      <c r="QBK2473" s="60"/>
      <c r="QBL2473" s="60"/>
      <c r="QBM2473" s="63"/>
      <c r="QBN2473" s="61"/>
      <c r="QBO2473" s="54"/>
      <c r="QBP2473" s="54"/>
      <c r="QBQ2473" s="63"/>
      <c r="QBR2473" s="60"/>
      <c r="QBS2473" s="60"/>
      <c r="QBT2473" s="60"/>
      <c r="QBU2473" s="63"/>
      <c r="QBV2473" s="61"/>
      <c r="QBW2473" s="54"/>
      <c r="QBX2473" s="54"/>
      <c r="QBY2473" s="63"/>
      <c r="QBZ2473" s="60"/>
      <c r="QCA2473" s="60"/>
      <c r="QCB2473" s="60"/>
      <c r="QCC2473" s="63"/>
      <c r="QCD2473" s="61"/>
      <c r="QCE2473" s="54"/>
      <c r="QCF2473" s="54"/>
      <c r="QCG2473" s="63"/>
      <c r="QCH2473" s="60"/>
      <c r="QCI2473" s="60"/>
      <c r="QCJ2473" s="60"/>
      <c r="QCK2473" s="63"/>
      <c r="QCL2473" s="61"/>
      <c r="QCM2473" s="54"/>
      <c r="QCN2473" s="54"/>
      <c r="QCO2473" s="63"/>
      <c r="QCP2473" s="60"/>
      <c r="QCQ2473" s="60"/>
      <c r="QCR2473" s="60"/>
      <c r="QCS2473" s="63"/>
      <c r="QCT2473" s="61"/>
      <c r="QCU2473" s="54"/>
      <c r="QCV2473" s="54"/>
      <c r="QCW2473" s="63"/>
      <c r="QCX2473" s="60"/>
      <c r="QCY2473" s="60"/>
      <c r="QCZ2473" s="60"/>
      <c r="QDA2473" s="63"/>
      <c r="QDB2473" s="61"/>
      <c r="QDC2473" s="54"/>
      <c r="QDD2473" s="54"/>
      <c r="QDE2473" s="63"/>
      <c r="QDF2473" s="60"/>
      <c r="QDG2473" s="60"/>
      <c r="QDH2473" s="60"/>
      <c r="QDI2473" s="63"/>
      <c r="QDJ2473" s="61"/>
      <c r="QDK2473" s="54"/>
      <c r="QDL2473" s="54"/>
      <c r="QDM2473" s="63"/>
      <c r="QDN2473" s="60"/>
      <c r="QDO2473" s="60"/>
      <c r="QDP2473" s="60"/>
      <c r="QDQ2473" s="63"/>
      <c r="QDR2473" s="61"/>
      <c r="QDS2473" s="54"/>
      <c r="QDT2473" s="54"/>
      <c r="QDU2473" s="63"/>
      <c r="QDV2473" s="60"/>
      <c r="QDW2473" s="60"/>
      <c r="QDX2473" s="60"/>
      <c r="QDY2473" s="63"/>
      <c r="QDZ2473" s="61"/>
      <c r="QEA2473" s="54"/>
      <c r="QEB2473" s="54"/>
      <c r="QEC2473" s="63"/>
      <c r="QED2473" s="60"/>
      <c r="QEE2473" s="60"/>
      <c r="QEF2473" s="60"/>
      <c r="QEG2473" s="63"/>
      <c r="QEH2473" s="61"/>
      <c r="QEI2473" s="54"/>
      <c r="QEJ2473" s="54"/>
      <c r="QEK2473" s="63"/>
      <c r="QEL2473" s="60"/>
      <c r="QEM2473" s="60"/>
      <c r="QEN2473" s="60"/>
      <c r="QEO2473" s="63"/>
      <c r="QEP2473" s="61"/>
      <c r="QEQ2473" s="54"/>
      <c r="QER2473" s="54"/>
      <c r="QES2473" s="63"/>
      <c r="QET2473" s="60"/>
      <c r="QEU2473" s="60"/>
      <c r="QEV2473" s="60"/>
      <c r="QEW2473" s="63"/>
      <c r="QEX2473" s="61"/>
      <c r="QEY2473" s="54"/>
      <c r="QEZ2473" s="54"/>
      <c r="QFA2473" s="63"/>
      <c r="QFB2473" s="60"/>
      <c r="QFC2473" s="60"/>
      <c r="QFD2473" s="60"/>
      <c r="QFE2473" s="63"/>
      <c r="QFF2473" s="61"/>
      <c r="QFG2473" s="54"/>
      <c r="QFH2473" s="54"/>
      <c r="QFI2473" s="63"/>
      <c r="QFJ2473" s="60"/>
      <c r="QFK2473" s="60"/>
      <c r="QFL2473" s="60"/>
      <c r="QFM2473" s="63"/>
      <c r="QFN2473" s="61"/>
      <c r="QFO2473" s="54"/>
      <c r="QFP2473" s="54"/>
      <c r="QFQ2473" s="63"/>
      <c r="QFR2473" s="60"/>
      <c r="QFS2473" s="60"/>
      <c r="QFT2473" s="60"/>
      <c r="QFU2473" s="63"/>
      <c r="QFV2473" s="61"/>
      <c r="QFW2473" s="54"/>
      <c r="QFX2473" s="54"/>
      <c r="QFY2473" s="63"/>
      <c r="QFZ2473" s="60"/>
      <c r="QGA2473" s="60"/>
      <c r="QGB2473" s="60"/>
      <c r="QGC2473" s="63"/>
      <c r="QGD2473" s="61"/>
      <c r="QGE2473" s="54"/>
      <c r="QGF2473" s="54"/>
      <c r="QGG2473" s="63"/>
      <c r="QGH2473" s="60"/>
      <c r="QGI2473" s="60"/>
      <c r="QGJ2473" s="60"/>
      <c r="QGK2473" s="63"/>
      <c r="QGL2473" s="61"/>
      <c r="QGM2473" s="54"/>
      <c r="QGN2473" s="54"/>
      <c r="QGO2473" s="63"/>
      <c r="QGP2473" s="60"/>
      <c r="QGQ2473" s="60"/>
      <c r="QGR2473" s="60"/>
      <c r="QGS2473" s="63"/>
      <c r="QGT2473" s="61"/>
      <c r="QGU2473" s="54"/>
      <c r="QGV2473" s="54"/>
      <c r="QGW2473" s="63"/>
      <c r="QGX2473" s="60"/>
      <c r="QGY2473" s="60"/>
      <c r="QGZ2473" s="60"/>
      <c r="QHA2473" s="63"/>
      <c r="QHB2473" s="61"/>
      <c r="QHC2473" s="54"/>
      <c r="QHD2473" s="54"/>
      <c r="QHE2473" s="63"/>
      <c r="QHF2473" s="60"/>
      <c r="QHG2473" s="60"/>
      <c r="QHH2473" s="60"/>
      <c r="QHI2473" s="63"/>
      <c r="QHJ2473" s="61"/>
      <c r="QHK2473" s="54"/>
      <c r="QHL2473" s="54"/>
      <c r="QHM2473" s="63"/>
      <c r="QHN2473" s="60"/>
      <c r="QHO2473" s="60"/>
      <c r="QHP2473" s="60"/>
      <c r="QHQ2473" s="63"/>
      <c r="QHR2473" s="61"/>
      <c r="QHS2473" s="54"/>
      <c r="QHT2473" s="54"/>
      <c r="QHU2473" s="63"/>
      <c r="QHV2473" s="60"/>
      <c r="QHW2473" s="60"/>
      <c r="QHX2473" s="60"/>
      <c r="QHY2473" s="63"/>
      <c r="QHZ2473" s="61"/>
      <c r="QIA2473" s="54"/>
      <c r="QIB2473" s="54"/>
      <c r="QIC2473" s="63"/>
      <c r="QID2473" s="60"/>
      <c r="QIE2473" s="60"/>
      <c r="QIF2473" s="60"/>
      <c r="QIG2473" s="63"/>
      <c r="QIH2473" s="61"/>
      <c r="QII2473" s="54"/>
      <c r="QIJ2473" s="54"/>
      <c r="QIK2473" s="63"/>
      <c r="QIL2473" s="60"/>
      <c r="QIM2473" s="60"/>
      <c r="QIN2473" s="60"/>
      <c r="QIO2473" s="63"/>
      <c r="QIP2473" s="61"/>
      <c r="QIQ2473" s="54"/>
      <c r="QIR2473" s="54"/>
      <c r="QIS2473" s="63"/>
      <c r="QIT2473" s="60"/>
      <c r="QIU2473" s="60"/>
      <c r="QIV2473" s="60"/>
      <c r="QIW2473" s="63"/>
      <c r="QIX2473" s="61"/>
      <c r="QIY2473" s="54"/>
      <c r="QIZ2473" s="54"/>
      <c r="QJA2473" s="63"/>
      <c r="QJB2473" s="60"/>
      <c r="QJC2473" s="60"/>
      <c r="QJD2473" s="60"/>
      <c r="QJE2473" s="63"/>
      <c r="QJF2473" s="61"/>
      <c r="QJG2473" s="54"/>
      <c r="QJH2473" s="54"/>
      <c r="QJI2473" s="63"/>
      <c r="QJJ2473" s="60"/>
      <c r="QJK2473" s="60"/>
      <c r="QJL2473" s="60"/>
      <c r="QJM2473" s="63"/>
      <c r="QJN2473" s="61"/>
      <c r="QJO2473" s="54"/>
      <c r="QJP2473" s="54"/>
      <c r="QJQ2473" s="63"/>
      <c r="QJR2473" s="60"/>
      <c r="QJS2473" s="60"/>
      <c r="QJT2473" s="60"/>
      <c r="QJU2473" s="63"/>
      <c r="QJV2473" s="61"/>
      <c r="QJW2473" s="54"/>
      <c r="QJX2473" s="54"/>
      <c r="QJY2473" s="63"/>
      <c r="QJZ2473" s="60"/>
      <c r="QKA2473" s="60"/>
      <c r="QKB2473" s="60"/>
      <c r="QKC2473" s="63"/>
      <c r="QKD2473" s="61"/>
      <c r="QKE2473" s="54"/>
      <c r="QKF2473" s="54"/>
      <c r="QKG2473" s="63"/>
      <c r="QKH2473" s="60"/>
      <c r="QKI2473" s="60"/>
      <c r="QKJ2473" s="60"/>
      <c r="QKK2473" s="63"/>
      <c r="QKL2473" s="61"/>
      <c r="QKM2473" s="54"/>
      <c r="QKN2473" s="54"/>
      <c r="QKO2473" s="63"/>
      <c r="QKP2473" s="60"/>
      <c r="QKQ2473" s="60"/>
      <c r="QKR2473" s="60"/>
      <c r="QKS2473" s="63"/>
      <c r="QKT2473" s="61"/>
      <c r="QKU2473" s="54"/>
      <c r="QKV2473" s="54"/>
      <c r="QKW2473" s="63"/>
      <c r="QKX2473" s="60"/>
      <c r="QKY2473" s="60"/>
      <c r="QKZ2473" s="60"/>
      <c r="QLA2473" s="63"/>
      <c r="QLB2473" s="61"/>
      <c r="QLC2473" s="54"/>
      <c r="QLD2473" s="54"/>
      <c r="QLE2473" s="63"/>
      <c r="QLF2473" s="60"/>
      <c r="QLG2473" s="60"/>
      <c r="QLH2473" s="60"/>
      <c r="QLI2473" s="63"/>
      <c r="QLJ2473" s="61"/>
      <c r="QLK2473" s="54"/>
      <c r="QLL2473" s="54"/>
      <c r="QLM2473" s="63"/>
      <c r="QLN2473" s="60"/>
      <c r="QLO2473" s="60"/>
      <c r="QLP2473" s="60"/>
      <c r="QLQ2473" s="63"/>
      <c r="QLR2473" s="61"/>
      <c r="QLS2473" s="54"/>
      <c r="QLT2473" s="54"/>
      <c r="QLU2473" s="63"/>
      <c r="QLV2473" s="60"/>
      <c r="QLW2473" s="60"/>
      <c r="QLX2473" s="60"/>
      <c r="QLY2473" s="63"/>
      <c r="QLZ2473" s="61"/>
      <c r="QMA2473" s="54"/>
      <c r="QMB2473" s="54"/>
      <c r="QMC2473" s="63"/>
      <c r="QMD2473" s="60"/>
      <c r="QME2473" s="60"/>
      <c r="QMF2473" s="60"/>
      <c r="QMG2473" s="63"/>
      <c r="QMH2473" s="61"/>
      <c r="QMI2473" s="54"/>
      <c r="QMJ2473" s="54"/>
      <c r="QMK2473" s="63"/>
      <c r="QML2473" s="60"/>
      <c r="QMM2473" s="60"/>
      <c r="QMN2473" s="60"/>
      <c r="QMO2473" s="63"/>
      <c r="QMP2473" s="61"/>
      <c r="QMQ2473" s="54"/>
      <c r="QMR2473" s="54"/>
      <c r="QMS2473" s="63"/>
      <c r="QMT2473" s="60"/>
      <c r="QMU2473" s="60"/>
      <c r="QMV2473" s="60"/>
      <c r="QMW2473" s="63"/>
      <c r="QMX2473" s="61"/>
      <c r="QMY2473" s="54"/>
      <c r="QMZ2473" s="54"/>
      <c r="QNA2473" s="63"/>
      <c r="QNB2473" s="60"/>
      <c r="QNC2473" s="60"/>
      <c r="QND2473" s="60"/>
      <c r="QNE2473" s="63"/>
      <c r="QNF2473" s="61"/>
      <c r="QNG2473" s="54"/>
      <c r="QNH2473" s="54"/>
      <c r="QNI2473" s="63"/>
      <c r="QNJ2473" s="60"/>
      <c r="QNK2473" s="60"/>
      <c r="QNL2473" s="60"/>
      <c r="QNM2473" s="63"/>
      <c r="QNN2473" s="61"/>
      <c r="QNO2473" s="54"/>
      <c r="QNP2473" s="54"/>
      <c r="QNQ2473" s="63"/>
      <c r="QNR2473" s="60"/>
      <c r="QNS2473" s="60"/>
      <c r="QNT2473" s="60"/>
      <c r="QNU2473" s="63"/>
      <c r="QNV2473" s="61"/>
      <c r="QNW2473" s="54"/>
      <c r="QNX2473" s="54"/>
      <c r="QNY2473" s="63"/>
      <c r="QNZ2473" s="60"/>
      <c r="QOA2473" s="60"/>
      <c r="QOB2473" s="60"/>
      <c r="QOC2473" s="63"/>
      <c r="QOD2473" s="61"/>
      <c r="QOE2473" s="54"/>
      <c r="QOF2473" s="54"/>
      <c r="QOG2473" s="63"/>
      <c r="QOH2473" s="60"/>
      <c r="QOI2473" s="60"/>
      <c r="QOJ2473" s="60"/>
      <c r="QOK2473" s="63"/>
      <c r="QOL2473" s="61"/>
      <c r="QOM2473" s="54"/>
      <c r="QON2473" s="54"/>
      <c r="QOO2473" s="63"/>
      <c r="QOP2473" s="60"/>
      <c r="QOQ2473" s="60"/>
      <c r="QOR2473" s="60"/>
      <c r="QOS2473" s="63"/>
      <c r="QOT2473" s="61"/>
      <c r="QOU2473" s="54"/>
      <c r="QOV2473" s="54"/>
      <c r="QOW2473" s="63"/>
      <c r="QOX2473" s="60"/>
      <c r="QOY2473" s="60"/>
      <c r="QOZ2473" s="60"/>
      <c r="QPA2473" s="63"/>
      <c r="QPB2473" s="61"/>
      <c r="QPC2473" s="54"/>
      <c r="QPD2473" s="54"/>
      <c r="QPE2473" s="63"/>
      <c r="QPF2473" s="60"/>
      <c r="QPG2473" s="60"/>
      <c r="QPH2473" s="60"/>
      <c r="QPI2473" s="63"/>
      <c r="QPJ2473" s="61"/>
      <c r="QPK2473" s="54"/>
      <c r="QPL2473" s="54"/>
      <c r="QPM2473" s="63"/>
      <c r="QPN2473" s="60"/>
      <c r="QPO2473" s="60"/>
      <c r="QPP2473" s="60"/>
      <c r="QPQ2473" s="63"/>
      <c r="QPR2473" s="61"/>
      <c r="QPS2473" s="54"/>
      <c r="QPT2473" s="54"/>
      <c r="QPU2473" s="63"/>
      <c r="QPV2473" s="60"/>
      <c r="QPW2473" s="60"/>
      <c r="QPX2473" s="60"/>
      <c r="QPY2473" s="63"/>
      <c r="QPZ2473" s="61"/>
      <c r="QQA2473" s="54"/>
      <c r="QQB2473" s="54"/>
      <c r="QQC2473" s="63"/>
      <c r="QQD2473" s="60"/>
      <c r="QQE2473" s="60"/>
      <c r="QQF2473" s="60"/>
      <c r="QQG2473" s="63"/>
      <c r="QQH2473" s="61"/>
      <c r="QQI2473" s="54"/>
      <c r="QQJ2473" s="54"/>
      <c r="QQK2473" s="63"/>
      <c r="QQL2473" s="60"/>
      <c r="QQM2473" s="60"/>
      <c r="QQN2473" s="60"/>
      <c r="QQO2473" s="63"/>
      <c r="QQP2473" s="61"/>
      <c r="QQQ2473" s="54"/>
      <c r="QQR2473" s="54"/>
      <c r="QQS2473" s="63"/>
      <c r="QQT2473" s="60"/>
      <c r="QQU2473" s="60"/>
      <c r="QQV2473" s="60"/>
      <c r="QQW2473" s="63"/>
      <c r="QQX2473" s="61"/>
      <c r="QQY2473" s="54"/>
      <c r="QQZ2473" s="54"/>
      <c r="QRA2473" s="63"/>
      <c r="QRB2473" s="60"/>
      <c r="QRC2473" s="60"/>
      <c r="QRD2473" s="60"/>
      <c r="QRE2473" s="63"/>
      <c r="QRF2473" s="61"/>
      <c r="QRG2473" s="54"/>
      <c r="QRH2473" s="54"/>
      <c r="QRI2473" s="63"/>
      <c r="QRJ2473" s="60"/>
      <c r="QRK2473" s="60"/>
      <c r="QRL2473" s="60"/>
      <c r="QRM2473" s="63"/>
      <c r="QRN2473" s="61"/>
      <c r="QRO2473" s="54"/>
      <c r="QRP2473" s="54"/>
      <c r="QRQ2473" s="63"/>
      <c r="QRR2473" s="60"/>
      <c r="QRS2473" s="60"/>
      <c r="QRT2473" s="60"/>
      <c r="QRU2473" s="63"/>
      <c r="QRV2473" s="61"/>
      <c r="QRW2473" s="54"/>
      <c r="QRX2473" s="54"/>
      <c r="QRY2473" s="63"/>
      <c r="QRZ2473" s="60"/>
      <c r="QSA2473" s="60"/>
      <c r="QSB2473" s="60"/>
      <c r="QSC2473" s="63"/>
      <c r="QSD2473" s="61"/>
      <c r="QSE2473" s="54"/>
      <c r="QSF2473" s="54"/>
      <c r="QSG2473" s="63"/>
      <c r="QSH2473" s="60"/>
      <c r="QSI2473" s="60"/>
      <c r="QSJ2473" s="60"/>
      <c r="QSK2473" s="63"/>
      <c r="QSL2473" s="61"/>
      <c r="QSM2473" s="54"/>
      <c r="QSN2473" s="54"/>
      <c r="QSO2473" s="63"/>
      <c r="QSP2473" s="60"/>
      <c r="QSQ2473" s="60"/>
      <c r="QSR2473" s="60"/>
      <c r="QSS2473" s="63"/>
      <c r="QST2473" s="61"/>
      <c r="QSU2473" s="54"/>
      <c r="QSV2473" s="54"/>
      <c r="QSW2473" s="63"/>
      <c r="QSX2473" s="60"/>
      <c r="QSY2473" s="60"/>
      <c r="QSZ2473" s="60"/>
      <c r="QTA2473" s="63"/>
      <c r="QTB2473" s="61"/>
      <c r="QTC2473" s="54"/>
      <c r="QTD2473" s="54"/>
      <c r="QTE2473" s="63"/>
      <c r="QTF2473" s="60"/>
      <c r="QTG2473" s="60"/>
      <c r="QTH2473" s="60"/>
      <c r="QTI2473" s="63"/>
      <c r="QTJ2473" s="61"/>
      <c r="QTK2473" s="54"/>
      <c r="QTL2473" s="54"/>
      <c r="QTM2473" s="63"/>
      <c r="QTN2473" s="60"/>
      <c r="QTO2473" s="60"/>
      <c r="QTP2473" s="60"/>
      <c r="QTQ2473" s="63"/>
      <c r="QTR2473" s="61"/>
      <c r="QTS2473" s="54"/>
      <c r="QTT2473" s="54"/>
      <c r="QTU2473" s="63"/>
      <c r="QTV2473" s="60"/>
      <c r="QTW2473" s="60"/>
      <c r="QTX2473" s="60"/>
      <c r="QTY2473" s="63"/>
      <c r="QTZ2473" s="61"/>
      <c r="QUA2473" s="54"/>
      <c r="QUB2473" s="54"/>
      <c r="QUC2473" s="63"/>
      <c r="QUD2473" s="60"/>
      <c r="QUE2473" s="60"/>
      <c r="QUF2473" s="60"/>
      <c r="QUG2473" s="63"/>
      <c r="QUH2473" s="61"/>
      <c r="QUI2473" s="54"/>
      <c r="QUJ2473" s="54"/>
      <c r="QUK2473" s="63"/>
      <c r="QUL2473" s="60"/>
      <c r="QUM2473" s="60"/>
      <c r="QUN2473" s="60"/>
      <c r="QUO2473" s="63"/>
      <c r="QUP2473" s="61"/>
      <c r="QUQ2473" s="54"/>
      <c r="QUR2473" s="54"/>
      <c r="QUS2473" s="63"/>
      <c r="QUT2473" s="60"/>
      <c r="QUU2473" s="60"/>
      <c r="QUV2473" s="60"/>
      <c r="QUW2473" s="63"/>
      <c r="QUX2473" s="61"/>
      <c r="QUY2473" s="54"/>
      <c r="QUZ2473" s="54"/>
      <c r="QVA2473" s="63"/>
      <c r="QVB2473" s="60"/>
      <c r="QVC2473" s="60"/>
      <c r="QVD2473" s="60"/>
      <c r="QVE2473" s="63"/>
      <c r="QVF2473" s="61"/>
      <c r="QVG2473" s="54"/>
      <c r="QVH2473" s="54"/>
      <c r="QVI2473" s="63"/>
      <c r="QVJ2473" s="60"/>
      <c r="QVK2473" s="60"/>
      <c r="QVL2473" s="60"/>
      <c r="QVM2473" s="63"/>
      <c r="QVN2473" s="61"/>
      <c r="QVO2473" s="54"/>
      <c r="QVP2473" s="54"/>
      <c r="QVQ2473" s="63"/>
      <c r="QVR2473" s="60"/>
      <c r="QVS2473" s="60"/>
      <c r="QVT2473" s="60"/>
      <c r="QVU2473" s="63"/>
      <c r="QVV2473" s="61"/>
      <c r="QVW2473" s="54"/>
      <c r="QVX2473" s="54"/>
      <c r="QVY2473" s="63"/>
      <c r="QVZ2473" s="60"/>
      <c r="QWA2473" s="60"/>
      <c r="QWB2473" s="60"/>
      <c r="QWC2473" s="63"/>
      <c r="QWD2473" s="61"/>
      <c r="QWE2473" s="54"/>
      <c r="QWF2473" s="54"/>
      <c r="QWG2473" s="63"/>
      <c r="QWH2473" s="60"/>
      <c r="QWI2473" s="60"/>
      <c r="QWJ2473" s="60"/>
      <c r="QWK2473" s="63"/>
      <c r="QWL2473" s="61"/>
      <c r="QWM2473" s="54"/>
      <c r="QWN2473" s="54"/>
      <c r="QWO2473" s="63"/>
      <c r="QWP2473" s="60"/>
      <c r="QWQ2473" s="60"/>
      <c r="QWR2473" s="60"/>
      <c r="QWS2473" s="63"/>
      <c r="QWT2473" s="61"/>
      <c r="QWU2473" s="54"/>
      <c r="QWV2473" s="54"/>
      <c r="QWW2473" s="63"/>
      <c r="QWX2473" s="60"/>
      <c r="QWY2473" s="60"/>
      <c r="QWZ2473" s="60"/>
      <c r="QXA2473" s="63"/>
      <c r="QXB2473" s="61"/>
      <c r="QXC2473" s="54"/>
      <c r="QXD2473" s="54"/>
      <c r="QXE2473" s="63"/>
      <c r="QXF2473" s="60"/>
      <c r="QXG2473" s="60"/>
      <c r="QXH2473" s="60"/>
      <c r="QXI2473" s="63"/>
      <c r="QXJ2473" s="61"/>
      <c r="QXK2473" s="54"/>
      <c r="QXL2473" s="54"/>
      <c r="QXM2473" s="63"/>
      <c r="QXN2473" s="60"/>
      <c r="QXO2473" s="60"/>
      <c r="QXP2473" s="60"/>
      <c r="QXQ2473" s="63"/>
      <c r="QXR2473" s="61"/>
      <c r="QXS2473" s="54"/>
      <c r="QXT2473" s="54"/>
      <c r="QXU2473" s="63"/>
      <c r="QXV2473" s="60"/>
      <c r="QXW2473" s="60"/>
      <c r="QXX2473" s="60"/>
      <c r="QXY2473" s="63"/>
      <c r="QXZ2473" s="61"/>
      <c r="QYA2473" s="54"/>
      <c r="QYB2473" s="54"/>
      <c r="QYC2473" s="63"/>
      <c r="QYD2473" s="60"/>
      <c r="QYE2473" s="60"/>
      <c r="QYF2473" s="60"/>
      <c r="QYG2473" s="63"/>
      <c r="QYH2473" s="61"/>
      <c r="QYI2473" s="54"/>
      <c r="QYJ2473" s="54"/>
      <c r="QYK2473" s="63"/>
      <c r="QYL2473" s="60"/>
      <c r="QYM2473" s="60"/>
      <c r="QYN2473" s="60"/>
      <c r="QYO2473" s="63"/>
      <c r="QYP2473" s="61"/>
      <c r="QYQ2473" s="54"/>
      <c r="QYR2473" s="54"/>
      <c r="QYS2473" s="63"/>
      <c r="QYT2473" s="60"/>
      <c r="QYU2473" s="60"/>
      <c r="QYV2473" s="60"/>
      <c r="QYW2473" s="63"/>
      <c r="QYX2473" s="61"/>
      <c r="QYY2473" s="54"/>
      <c r="QYZ2473" s="54"/>
      <c r="QZA2473" s="63"/>
      <c r="QZB2473" s="60"/>
      <c r="QZC2473" s="60"/>
      <c r="QZD2473" s="60"/>
      <c r="QZE2473" s="63"/>
      <c r="QZF2473" s="61"/>
      <c r="QZG2473" s="54"/>
      <c r="QZH2473" s="54"/>
      <c r="QZI2473" s="63"/>
      <c r="QZJ2473" s="60"/>
      <c r="QZK2473" s="60"/>
      <c r="QZL2473" s="60"/>
      <c r="QZM2473" s="63"/>
      <c r="QZN2473" s="61"/>
      <c r="QZO2473" s="54"/>
      <c r="QZP2473" s="54"/>
      <c r="QZQ2473" s="63"/>
      <c r="QZR2473" s="60"/>
      <c r="QZS2473" s="60"/>
      <c r="QZT2473" s="60"/>
      <c r="QZU2473" s="63"/>
      <c r="QZV2473" s="61"/>
      <c r="QZW2473" s="54"/>
      <c r="QZX2473" s="54"/>
      <c r="QZY2473" s="63"/>
      <c r="QZZ2473" s="60"/>
      <c r="RAA2473" s="60"/>
      <c r="RAB2473" s="60"/>
      <c r="RAC2473" s="63"/>
      <c r="RAD2473" s="61"/>
      <c r="RAE2473" s="54"/>
      <c r="RAF2473" s="54"/>
      <c r="RAG2473" s="63"/>
      <c r="RAH2473" s="60"/>
      <c r="RAI2473" s="60"/>
      <c r="RAJ2473" s="60"/>
      <c r="RAK2473" s="63"/>
      <c r="RAL2473" s="61"/>
      <c r="RAM2473" s="54"/>
      <c r="RAN2473" s="54"/>
      <c r="RAO2473" s="63"/>
      <c r="RAP2473" s="60"/>
      <c r="RAQ2473" s="60"/>
      <c r="RAR2473" s="60"/>
      <c r="RAS2473" s="63"/>
      <c r="RAT2473" s="61"/>
      <c r="RAU2473" s="54"/>
      <c r="RAV2473" s="54"/>
      <c r="RAW2473" s="63"/>
      <c r="RAX2473" s="60"/>
      <c r="RAY2473" s="60"/>
      <c r="RAZ2473" s="60"/>
      <c r="RBA2473" s="63"/>
      <c r="RBB2473" s="61"/>
      <c r="RBC2473" s="54"/>
      <c r="RBD2473" s="54"/>
      <c r="RBE2473" s="63"/>
      <c r="RBF2473" s="60"/>
      <c r="RBG2473" s="60"/>
      <c r="RBH2473" s="60"/>
      <c r="RBI2473" s="63"/>
      <c r="RBJ2473" s="61"/>
      <c r="RBK2473" s="54"/>
      <c r="RBL2473" s="54"/>
      <c r="RBM2473" s="63"/>
      <c r="RBN2473" s="60"/>
      <c r="RBO2473" s="60"/>
      <c r="RBP2473" s="60"/>
      <c r="RBQ2473" s="63"/>
      <c r="RBR2473" s="61"/>
      <c r="RBS2473" s="54"/>
      <c r="RBT2473" s="54"/>
      <c r="RBU2473" s="63"/>
      <c r="RBV2473" s="60"/>
      <c r="RBW2473" s="60"/>
      <c r="RBX2473" s="60"/>
      <c r="RBY2473" s="63"/>
      <c r="RBZ2473" s="61"/>
      <c r="RCA2473" s="54"/>
      <c r="RCB2473" s="54"/>
      <c r="RCC2473" s="63"/>
      <c r="RCD2473" s="60"/>
      <c r="RCE2473" s="60"/>
      <c r="RCF2473" s="60"/>
      <c r="RCG2473" s="63"/>
      <c r="RCH2473" s="61"/>
      <c r="RCI2473" s="54"/>
      <c r="RCJ2473" s="54"/>
      <c r="RCK2473" s="63"/>
      <c r="RCL2473" s="60"/>
      <c r="RCM2473" s="60"/>
      <c r="RCN2473" s="60"/>
      <c r="RCO2473" s="63"/>
      <c r="RCP2473" s="61"/>
      <c r="RCQ2473" s="54"/>
      <c r="RCR2473" s="54"/>
      <c r="RCS2473" s="63"/>
      <c r="RCT2473" s="60"/>
      <c r="RCU2473" s="60"/>
      <c r="RCV2473" s="60"/>
      <c r="RCW2473" s="63"/>
      <c r="RCX2473" s="61"/>
      <c r="RCY2473" s="54"/>
      <c r="RCZ2473" s="54"/>
      <c r="RDA2473" s="63"/>
      <c r="RDB2473" s="60"/>
      <c r="RDC2473" s="60"/>
      <c r="RDD2473" s="60"/>
      <c r="RDE2473" s="63"/>
      <c r="RDF2473" s="61"/>
      <c r="RDG2473" s="54"/>
      <c r="RDH2473" s="54"/>
      <c r="RDI2473" s="63"/>
      <c r="RDJ2473" s="60"/>
      <c r="RDK2473" s="60"/>
      <c r="RDL2473" s="60"/>
      <c r="RDM2473" s="63"/>
      <c r="RDN2473" s="61"/>
      <c r="RDO2473" s="54"/>
      <c r="RDP2473" s="54"/>
      <c r="RDQ2473" s="63"/>
      <c r="RDR2473" s="60"/>
      <c r="RDS2473" s="60"/>
      <c r="RDT2473" s="60"/>
      <c r="RDU2473" s="63"/>
      <c r="RDV2473" s="61"/>
      <c r="RDW2473" s="54"/>
      <c r="RDX2473" s="54"/>
      <c r="RDY2473" s="63"/>
      <c r="RDZ2473" s="60"/>
      <c r="REA2473" s="60"/>
      <c r="REB2473" s="60"/>
      <c r="REC2473" s="63"/>
      <c r="RED2473" s="61"/>
      <c r="REE2473" s="54"/>
      <c r="REF2473" s="54"/>
      <c r="REG2473" s="63"/>
      <c r="REH2473" s="60"/>
      <c r="REI2473" s="60"/>
      <c r="REJ2473" s="60"/>
      <c r="REK2473" s="63"/>
      <c r="REL2473" s="61"/>
      <c r="REM2473" s="54"/>
      <c r="REN2473" s="54"/>
      <c r="REO2473" s="63"/>
      <c r="REP2473" s="60"/>
      <c r="REQ2473" s="60"/>
      <c r="RER2473" s="60"/>
      <c r="RES2473" s="63"/>
      <c r="RET2473" s="61"/>
      <c r="REU2473" s="54"/>
      <c r="REV2473" s="54"/>
      <c r="REW2473" s="63"/>
      <c r="REX2473" s="60"/>
      <c r="REY2473" s="60"/>
      <c r="REZ2473" s="60"/>
      <c r="RFA2473" s="63"/>
      <c r="RFB2473" s="61"/>
      <c r="RFC2473" s="54"/>
      <c r="RFD2473" s="54"/>
      <c r="RFE2473" s="63"/>
      <c r="RFF2473" s="60"/>
      <c r="RFG2473" s="60"/>
      <c r="RFH2473" s="60"/>
      <c r="RFI2473" s="63"/>
      <c r="RFJ2473" s="61"/>
      <c r="RFK2473" s="54"/>
      <c r="RFL2473" s="54"/>
      <c r="RFM2473" s="63"/>
      <c r="RFN2473" s="60"/>
      <c r="RFO2473" s="60"/>
      <c r="RFP2473" s="60"/>
      <c r="RFQ2473" s="63"/>
      <c r="RFR2473" s="61"/>
      <c r="RFS2473" s="54"/>
      <c r="RFT2473" s="54"/>
      <c r="RFU2473" s="63"/>
      <c r="RFV2473" s="60"/>
      <c r="RFW2473" s="60"/>
      <c r="RFX2473" s="60"/>
      <c r="RFY2473" s="63"/>
      <c r="RFZ2473" s="61"/>
      <c r="RGA2473" s="54"/>
      <c r="RGB2473" s="54"/>
      <c r="RGC2473" s="63"/>
      <c r="RGD2473" s="60"/>
      <c r="RGE2473" s="60"/>
      <c r="RGF2473" s="60"/>
      <c r="RGG2473" s="63"/>
      <c r="RGH2473" s="61"/>
      <c r="RGI2473" s="54"/>
      <c r="RGJ2473" s="54"/>
      <c r="RGK2473" s="63"/>
      <c r="RGL2473" s="60"/>
      <c r="RGM2473" s="60"/>
      <c r="RGN2473" s="60"/>
      <c r="RGO2473" s="63"/>
      <c r="RGP2473" s="61"/>
      <c r="RGQ2473" s="54"/>
      <c r="RGR2473" s="54"/>
      <c r="RGS2473" s="63"/>
      <c r="RGT2473" s="60"/>
      <c r="RGU2473" s="60"/>
      <c r="RGV2473" s="60"/>
      <c r="RGW2473" s="63"/>
      <c r="RGX2473" s="61"/>
      <c r="RGY2473" s="54"/>
      <c r="RGZ2473" s="54"/>
      <c r="RHA2473" s="63"/>
      <c r="RHB2473" s="60"/>
      <c r="RHC2473" s="60"/>
      <c r="RHD2473" s="60"/>
      <c r="RHE2473" s="63"/>
      <c r="RHF2473" s="61"/>
      <c r="RHG2473" s="54"/>
      <c r="RHH2473" s="54"/>
      <c r="RHI2473" s="63"/>
      <c r="RHJ2473" s="60"/>
      <c r="RHK2473" s="60"/>
      <c r="RHL2473" s="60"/>
      <c r="RHM2473" s="63"/>
      <c r="RHN2473" s="61"/>
      <c r="RHO2473" s="54"/>
      <c r="RHP2473" s="54"/>
      <c r="RHQ2473" s="63"/>
      <c r="RHR2473" s="60"/>
      <c r="RHS2473" s="60"/>
      <c r="RHT2473" s="60"/>
      <c r="RHU2473" s="63"/>
      <c r="RHV2473" s="61"/>
      <c r="RHW2473" s="54"/>
      <c r="RHX2473" s="54"/>
      <c r="RHY2473" s="63"/>
      <c r="RHZ2473" s="60"/>
      <c r="RIA2473" s="60"/>
      <c r="RIB2473" s="60"/>
      <c r="RIC2473" s="63"/>
      <c r="RID2473" s="61"/>
      <c r="RIE2473" s="54"/>
      <c r="RIF2473" s="54"/>
      <c r="RIG2473" s="63"/>
      <c r="RIH2473" s="60"/>
      <c r="RII2473" s="60"/>
      <c r="RIJ2473" s="60"/>
      <c r="RIK2473" s="63"/>
      <c r="RIL2473" s="61"/>
      <c r="RIM2473" s="54"/>
      <c r="RIN2473" s="54"/>
      <c r="RIO2473" s="63"/>
      <c r="RIP2473" s="60"/>
      <c r="RIQ2473" s="60"/>
      <c r="RIR2473" s="60"/>
      <c r="RIS2473" s="63"/>
      <c r="RIT2473" s="61"/>
      <c r="RIU2473" s="54"/>
      <c r="RIV2473" s="54"/>
      <c r="RIW2473" s="63"/>
      <c r="RIX2473" s="60"/>
      <c r="RIY2473" s="60"/>
      <c r="RIZ2473" s="60"/>
      <c r="RJA2473" s="63"/>
      <c r="RJB2473" s="61"/>
      <c r="RJC2473" s="54"/>
      <c r="RJD2473" s="54"/>
      <c r="RJE2473" s="63"/>
      <c r="RJF2473" s="60"/>
      <c r="RJG2473" s="60"/>
      <c r="RJH2473" s="60"/>
      <c r="RJI2473" s="63"/>
      <c r="RJJ2473" s="61"/>
      <c r="RJK2473" s="54"/>
      <c r="RJL2473" s="54"/>
      <c r="RJM2473" s="63"/>
      <c r="RJN2473" s="60"/>
      <c r="RJO2473" s="60"/>
      <c r="RJP2473" s="60"/>
      <c r="RJQ2473" s="63"/>
      <c r="RJR2473" s="61"/>
      <c r="RJS2473" s="54"/>
      <c r="RJT2473" s="54"/>
      <c r="RJU2473" s="63"/>
      <c r="RJV2473" s="60"/>
      <c r="RJW2473" s="60"/>
      <c r="RJX2473" s="60"/>
      <c r="RJY2473" s="63"/>
      <c r="RJZ2473" s="61"/>
      <c r="RKA2473" s="54"/>
      <c r="RKB2473" s="54"/>
      <c r="RKC2473" s="63"/>
      <c r="RKD2473" s="60"/>
      <c r="RKE2473" s="60"/>
      <c r="RKF2473" s="60"/>
      <c r="RKG2473" s="63"/>
      <c r="RKH2473" s="61"/>
      <c r="RKI2473" s="54"/>
      <c r="RKJ2473" s="54"/>
      <c r="RKK2473" s="63"/>
      <c r="RKL2473" s="60"/>
      <c r="RKM2473" s="60"/>
      <c r="RKN2473" s="60"/>
      <c r="RKO2473" s="63"/>
      <c r="RKP2473" s="61"/>
      <c r="RKQ2473" s="54"/>
      <c r="RKR2473" s="54"/>
      <c r="RKS2473" s="63"/>
      <c r="RKT2473" s="60"/>
      <c r="RKU2473" s="60"/>
      <c r="RKV2473" s="60"/>
      <c r="RKW2473" s="63"/>
      <c r="RKX2473" s="61"/>
      <c r="RKY2473" s="54"/>
      <c r="RKZ2473" s="54"/>
      <c r="RLA2473" s="63"/>
      <c r="RLB2473" s="60"/>
      <c r="RLC2473" s="60"/>
      <c r="RLD2473" s="60"/>
      <c r="RLE2473" s="63"/>
      <c r="RLF2473" s="61"/>
      <c r="RLG2473" s="54"/>
      <c r="RLH2473" s="54"/>
      <c r="RLI2473" s="63"/>
      <c r="RLJ2473" s="60"/>
      <c r="RLK2473" s="60"/>
      <c r="RLL2473" s="60"/>
      <c r="RLM2473" s="63"/>
      <c r="RLN2473" s="61"/>
      <c r="RLO2473" s="54"/>
      <c r="RLP2473" s="54"/>
      <c r="RLQ2473" s="63"/>
      <c r="RLR2473" s="60"/>
      <c r="RLS2473" s="60"/>
      <c r="RLT2473" s="60"/>
      <c r="RLU2473" s="63"/>
      <c r="RLV2473" s="61"/>
      <c r="RLW2473" s="54"/>
      <c r="RLX2473" s="54"/>
      <c r="RLY2473" s="63"/>
      <c r="RLZ2473" s="60"/>
      <c r="RMA2473" s="60"/>
      <c r="RMB2473" s="60"/>
      <c r="RMC2473" s="63"/>
      <c r="RMD2473" s="61"/>
      <c r="RME2473" s="54"/>
      <c r="RMF2473" s="54"/>
      <c r="RMG2473" s="63"/>
      <c r="RMH2473" s="60"/>
      <c r="RMI2473" s="60"/>
      <c r="RMJ2473" s="60"/>
      <c r="RMK2473" s="63"/>
      <c r="RML2473" s="61"/>
      <c r="RMM2473" s="54"/>
      <c r="RMN2473" s="54"/>
      <c r="RMO2473" s="63"/>
      <c r="RMP2473" s="60"/>
      <c r="RMQ2473" s="60"/>
      <c r="RMR2473" s="60"/>
      <c r="RMS2473" s="63"/>
      <c r="RMT2473" s="61"/>
      <c r="RMU2473" s="54"/>
      <c r="RMV2473" s="54"/>
      <c r="RMW2473" s="63"/>
      <c r="RMX2473" s="60"/>
      <c r="RMY2473" s="60"/>
      <c r="RMZ2473" s="60"/>
      <c r="RNA2473" s="63"/>
      <c r="RNB2473" s="61"/>
      <c r="RNC2473" s="54"/>
      <c r="RND2473" s="54"/>
      <c r="RNE2473" s="63"/>
      <c r="RNF2473" s="60"/>
      <c r="RNG2473" s="60"/>
      <c r="RNH2473" s="60"/>
      <c r="RNI2473" s="63"/>
      <c r="RNJ2473" s="61"/>
      <c r="RNK2473" s="54"/>
      <c r="RNL2473" s="54"/>
      <c r="RNM2473" s="63"/>
      <c r="RNN2473" s="60"/>
      <c r="RNO2473" s="60"/>
      <c r="RNP2473" s="60"/>
      <c r="RNQ2473" s="63"/>
      <c r="RNR2473" s="61"/>
      <c r="RNS2473" s="54"/>
      <c r="RNT2473" s="54"/>
      <c r="RNU2473" s="63"/>
      <c r="RNV2473" s="60"/>
      <c r="RNW2473" s="60"/>
      <c r="RNX2473" s="60"/>
      <c r="RNY2473" s="63"/>
      <c r="RNZ2473" s="61"/>
      <c r="ROA2473" s="54"/>
      <c r="ROB2473" s="54"/>
      <c r="ROC2473" s="63"/>
      <c r="ROD2473" s="60"/>
      <c r="ROE2473" s="60"/>
      <c r="ROF2473" s="60"/>
      <c r="ROG2473" s="63"/>
      <c r="ROH2473" s="61"/>
      <c r="ROI2473" s="54"/>
      <c r="ROJ2473" s="54"/>
      <c r="ROK2473" s="63"/>
      <c r="ROL2473" s="60"/>
      <c r="ROM2473" s="60"/>
      <c r="RON2473" s="60"/>
      <c r="ROO2473" s="63"/>
      <c r="ROP2473" s="61"/>
      <c r="ROQ2473" s="54"/>
      <c r="ROR2473" s="54"/>
      <c r="ROS2473" s="63"/>
      <c r="ROT2473" s="60"/>
      <c r="ROU2473" s="60"/>
      <c r="ROV2473" s="60"/>
      <c r="ROW2473" s="63"/>
      <c r="ROX2473" s="61"/>
      <c r="ROY2473" s="54"/>
      <c r="ROZ2473" s="54"/>
      <c r="RPA2473" s="63"/>
      <c r="RPB2473" s="60"/>
      <c r="RPC2473" s="60"/>
      <c r="RPD2473" s="60"/>
      <c r="RPE2473" s="63"/>
      <c r="RPF2473" s="61"/>
      <c r="RPG2473" s="54"/>
      <c r="RPH2473" s="54"/>
      <c r="RPI2473" s="63"/>
      <c r="RPJ2473" s="60"/>
      <c r="RPK2473" s="60"/>
      <c r="RPL2473" s="60"/>
      <c r="RPM2473" s="63"/>
      <c r="RPN2473" s="61"/>
      <c r="RPO2473" s="54"/>
      <c r="RPP2473" s="54"/>
      <c r="RPQ2473" s="63"/>
      <c r="RPR2473" s="60"/>
      <c r="RPS2473" s="60"/>
      <c r="RPT2473" s="60"/>
      <c r="RPU2473" s="63"/>
      <c r="RPV2473" s="61"/>
      <c r="RPW2473" s="54"/>
      <c r="RPX2473" s="54"/>
      <c r="RPY2473" s="63"/>
      <c r="RPZ2473" s="60"/>
      <c r="RQA2473" s="60"/>
      <c r="RQB2473" s="60"/>
      <c r="RQC2473" s="63"/>
      <c r="RQD2473" s="61"/>
      <c r="RQE2473" s="54"/>
      <c r="RQF2473" s="54"/>
      <c r="RQG2473" s="63"/>
      <c r="RQH2473" s="60"/>
      <c r="RQI2473" s="60"/>
      <c r="RQJ2473" s="60"/>
      <c r="RQK2473" s="63"/>
      <c r="RQL2473" s="61"/>
      <c r="RQM2473" s="54"/>
      <c r="RQN2473" s="54"/>
      <c r="RQO2473" s="63"/>
      <c r="RQP2473" s="60"/>
      <c r="RQQ2473" s="60"/>
      <c r="RQR2473" s="60"/>
      <c r="RQS2473" s="63"/>
      <c r="RQT2473" s="61"/>
      <c r="RQU2473" s="54"/>
      <c r="RQV2473" s="54"/>
      <c r="RQW2473" s="63"/>
      <c r="RQX2473" s="60"/>
      <c r="RQY2473" s="60"/>
      <c r="RQZ2473" s="60"/>
      <c r="RRA2473" s="63"/>
      <c r="RRB2473" s="61"/>
      <c r="RRC2473" s="54"/>
      <c r="RRD2473" s="54"/>
      <c r="RRE2473" s="63"/>
      <c r="RRF2473" s="60"/>
      <c r="RRG2473" s="60"/>
      <c r="RRH2473" s="60"/>
      <c r="RRI2473" s="63"/>
      <c r="RRJ2473" s="61"/>
      <c r="RRK2473" s="54"/>
      <c r="RRL2473" s="54"/>
      <c r="RRM2473" s="63"/>
      <c r="RRN2473" s="60"/>
      <c r="RRO2473" s="60"/>
      <c r="RRP2473" s="60"/>
      <c r="RRQ2473" s="63"/>
      <c r="RRR2473" s="61"/>
      <c r="RRS2473" s="54"/>
      <c r="RRT2473" s="54"/>
      <c r="RRU2473" s="63"/>
      <c r="RRV2473" s="60"/>
      <c r="RRW2473" s="60"/>
      <c r="RRX2473" s="60"/>
      <c r="RRY2473" s="63"/>
      <c r="RRZ2473" s="61"/>
      <c r="RSA2473" s="54"/>
      <c r="RSB2473" s="54"/>
      <c r="RSC2473" s="63"/>
      <c r="RSD2473" s="60"/>
      <c r="RSE2473" s="60"/>
      <c r="RSF2473" s="60"/>
      <c r="RSG2473" s="63"/>
      <c r="RSH2473" s="61"/>
      <c r="RSI2473" s="54"/>
      <c r="RSJ2473" s="54"/>
      <c r="RSK2473" s="63"/>
      <c r="RSL2473" s="60"/>
      <c r="RSM2473" s="60"/>
      <c r="RSN2473" s="60"/>
      <c r="RSO2473" s="63"/>
      <c r="RSP2473" s="61"/>
      <c r="RSQ2473" s="54"/>
      <c r="RSR2473" s="54"/>
      <c r="RSS2473" s="63"/>
      <c r="RST2473" s="60"/>
      <c r="RSU2473" s="60"/>
      <c r="RSV2473" s="60"/>
      <c r="RSW2473" s="63"/>
      <c r="RSX2473" s="61"/>
      <c r="RSY2473" s="54"/>
      <c r="RSZ2473" s="54"/>
      <c r="RTA2473" s="63"/>
      <c r="RTB2473" s="60"/>
      <c r="RTC2473" s="60"/>
      <c r="RTD2473" s="60"/>
      <c r="RTE2473" s="63"/>
      <c r="RTF2473" s="61"/>
      <c r="RTG2473" s="54"/>
      <c r="RTH2473" s="54"/>
      <c r="RTI2473" s="63"/>
      <c r="RTJ2473" s="60"/>
      <c r="RTK2473" s="60"/>
      <c r="RTL2473" s="60"/>
      <c r="RTM2473" s="63"/>
      <c r="RTN2473" s="61"/>
      <c r="RTO2473" s="54"/>
      <c r="RTP2473" s="54"/>
      <c r="RTQ2473" s="63"/>
      <c r="RTR2473" s="60"/>
      <c r="RTS2473" s="60"/>
      <c r="RTT2473" s="60"/>
      <c r="RTU2473" s="63"/>
      <c r="RTV2473" s="61"/>
      <c r="RTW2473" s="54"/>
      <c r="RTX2473" s="54"/>
      <c r="RTY2473" s="63"/>
      <c r="RTZ2473" s="60"/>
      <c r="RUA2473" s="60"/>
      <c r="RUB2473" s="60"/>
      <c r="RUC2473" s="63"/>
      <c r="RUD2473" s="61"/>
      <c r="RUE2473" s="54"/>
      <c r="RUF2473" s="54"/>
      <c r="RUG2473" s="63"/>
      <c r="RUH2473" s="60"/>
      <c r="RUI2473" s="60"/>
      <c r="RUJ2473" s="60"/>
      <c r="RUK2473" s="63"/>
      <c r="RUL2473" s="61"/>
      <c r="RUM2473" s="54"/>
      <c r="RUN2473" s="54"/>
      <c r="RUO2473" s="63"/>
      <c r="RUP2473" s="60"/>
      <c r="RUQ2473" s="60"/>
      <c r="RUR2473" s="60"/>
      <c r="RUS2473" s="63"/>
      <c r="RUT2473" s="61"/>
      <c r="RUU2473" s="54"/>
      <c r="RUV2473" s="54"/>
      <c r="RUW2473" s="63"/>
      <c r="RUX2473" s="60"/>
      <c r="RUY2473" s="60"/>
      <c r="RUZ2473" s="60"/>
      <c r="RVA2473" s="63"/>
      <c r="RVB2473" s="61"/>
      <c r="RVC2473" s="54"/>
      <c r="RVD2473" s="54"/>
      <c r="RVE2473" s="63"/>
      <c r="RVF2473" s="60"/>
      <c r="RVG2473" s="60"/>
      <c r="RVH2473" s="60"/>
      <c r="RVI2473" s="63"/>
      <c r="RVJ2473" s="61"/>
      <c r="RVK2473" s="54"/>
      <c r="RVL2473" s="54"/>
      <c r="RVM2473" s="63"/>
      <c r="RVN2473" s="60"/>
      <c r="RVO2473" s="60"/>
      <c r="RVP2473" s="60"/>
      <c r="RVQ2473" s="63"/>
      <c r="RVR2473" s="61"/>
      <c r="RVS2473" s="54"/>
      <c r="RVT2473" s="54"/>
      <c r="RVU2473" s="63"/>
      <c r="RVV2473" s="60"/>
      <c r="RVW2473" s="60"/>
      <c r="RVX2473" s="60"/>
      <c r="RVY2473" s="63"/>
      <c r="RVZ2473" s="61"/>
      <c r="RWA2473" s="54"/>
      <c r="RWB2473" s="54"/>
      <c r="RWC2473" s="63"/>
      <c r="RWD2473" s="60"/>
      <c r="RWE2473" s="60"/>
      <c r="RWF2473" s="60"/>
      <c r="RWG2473" s="63"/>
      <c r="RWH2473" s="61"/>
      <c r="RWI2473" s="54"/>
      <c r="RWJ2473" s="54"/>
      <c r="RWK2473" s="63"/>
      <c r="RWL2473" s="60"/>
      <c r="RWM2473" s="60"/>
      <c r="RWN2473" s="60"/>
      <c r="RWO2473" s="63"/>
      <c r="RWP2473" s="61"/>
      <c r="RWQ2473" s="54"/>
      <c r="RWR2473" s="54"/>
      <c r="RWS2473" s="63"/>
      <c r="RWT2473" s="60"/>
      <c r="RWU2473" s="60"/>
      <c r="RWV2473" s="60"/>
      <c r="RWW2473" s="63"/>
      <c r="RWX2473" s="61"/>
      <c r="RWY2473" s="54"/>
      <c r="RWZ2473" s="54"/>
      <c r="RXA2473" s="63"/>
      <c r="RXB2473" s="60"/>
      <c r="RXC2473" s="60"/>
      <c r="RXD2473" s="60"/>
      <c r="RXE2473" s="63"/>
      <c r="RXF2473" s="61"/>
      <c r="RXG2473" s="54"/>
      <c r="RXH2473" s="54"/>
      <c r="RXI2473" s="63"/>
      <c r="RXJ2473" s="60"/>
      <c r="RXK2473" s="60"/>
      <c r="RXL2473" s="60"/>
      <c r="RXM2473" s="63"/>
      <c r="RXN2473" s="61"/>
      <c r="RXO2473" s="54"/>
      <c r="RXP2473" s="54"/>
      <c r="RXQ2473" s="63"/>
      <c r="RXR2473" s="60"/>
      <c r="RXS2473" s="60"/>
      <c r="RXT2473" s="60"/>
      <c r="RXU2473" s="63"/>
      <c r="RXV2473" s="61"/>
      <c r="RXW2473" s="54"/>
      <c r="RXX2473" s="54"/>
      <c r="RXY2473" s="63"/>
      <c r="RXZ2473" s="60"/>
      <c r="RYA2473" s="60"/>
      <c r="RYB2473" s="60"/>
      <c r="RYC2473" s="63"/>
      <c r="RYD2473" s="61"/>
      <c r="RYE2473" s="54"/>
      <c r="RYF2473" s="54"/>
      <c r="RYG2473" s="63"/>
      <c r="RYH2473" s="60"/>
      <c r="RYI2473" s="60"/>
      <c r="RYJ2473" s="60"/>
      <c r="RYK2473" s="63"/>
      <c r="RYL2473" s="61"/>
      <c r="RYM2473" s="54"/>
      <c r="RYN2473" s="54"/>
      <c r="RYO2473" s="63"/>
      <c r="RYP2473" s="60"/>
      <c r="RYQ2473" s="60"/>
      <c r="RYR2473" s="60"/>
      <c r="RYS2473" s="63"/>
      <c r="RYT2473" s="61"/>
      <c r="RYU2473" s="54"/>
      <c r="RYV2473" s="54"/>
      <c r="RYW2473" s="63"/>
      <c r="RYX2473" s="60"/>
      <c r="RYY2473" s="60"/>
      <c r="RYZ2473" s="60"/>
      <c r="RZA2473" s="63"/>
      <c r="RZB2473" s="61"/>
      <c r="RZC2473" s="54"/>
      <c r="RZD2473" s="54"/>
      <c r="RZE2473" s="63"/>
      <c r="RZF2473" s="60"/>
      <c r="RZG2473" s="60"/>
      <c r="RZH2473" s="60"/>
      <c r="RZI2473" s="63"/>
      <c r="RZJ2473" s="61"/>
      <c r="RZK2473" s="54"/>
      <c r="RZL2473" s="54"/>
      <c r="RZM2473" s="63"/>
      <c r="RZN2473" s="60"/>
      <c r="RZO2473" s="60"/>
      <c r="RZP2473" s="60"/>
      <c r="RZQ2473" s="63"/>
      <c r="RZR2473" s="61"/>
      <c r="RZS2473" s="54"/>
      <c r="RZT2473" s="54"/>
      <c r="RZU2473" s="63"/>
      <c r="RZV2473" s="60"/>
      <c r="RZW2473" s="60"/>
      <c r="RZX2473" s="60"/>
      <c r="RZY2473" s="63"/>
      <c r="RZZ2473" s="61"/>
      <c r="SAA2473" s="54"/>
      <c r="SAB2473" s="54"/>
      <c r="SAC2473" s="63"/>
      <c r="SAD2473" s="60"/>
      <c r="SAE2473" s="60"/>
      <c r="SAF2473" s="60"/>
      <c r="SAG2473" s="63"/>
      <c r="SAH2473" s="61"/>
      <c r="SAI2473" s="54"/>
      <c r="SAJ2473" s="54"/>
      <c r="SAK2473" s="63"/>
      <c r="SAL2473" s="60"/>
      <c r="SAM2473" s="60"/>
      <c r="SAN2473" s="60"/>
      <c r="SAO2473" s="63"/>
      <c r="SAP2473" s="61"/>
      <c r="SAQ2473" s="54"/>
      <c r="SAR2473" s="54"/>
      <c r="SAS2473" s="63"/>
      <c r="SAT2473" s="60"/>
      <c r="SAU2473" s="60"/>
      <c r="SAV2473" s="60"/>
      <c r="SAW2473" s="63"/>
      <c r="SAX2473" s="61"/>
      <c r="SAY2473" s="54"/>
      <c r="SAZ2473" s="54"/>
      <c r="SBA2473" s="63"/>
      <c r="SBB2473" s="60"/>
      <c r="SBC2473" s="60"/>
      <c r="SBD2473" s="60"/>
      <c r="SBE2473" s="63"/>
      <c r="SBF2473" s="61"/>
      <c r="SBG2473" s="54"/>
      <c r="SBH2473" s="54"/>
      <c r="SBI2473" s="63"/>
      <c r="SBJ2473" s="60"/>
      <c r="SBK2473" s="60"/>
      <c r="SBL2473" s="60"/>
      <c r="SBM2473" s="63"/>
      <c r="SBN2473" s="61"/>
      <c r="SBO2473" s="54"/>
      <c r="SBP2473" s="54"/>
      <c r="SBQ2473" s="63"/>
      <c r="SBR2473" s="60"/>
      <c r="SBS2473" s="60"/>
      <c r="SBT2473" s="60"/>
      <c r="SBU2473" s="63"/>
      <c r="SBV2473" s="61"/>
      <c r="SBW2473" s="54"/>
      <c r="SBX2473" s="54"/>
      <c r="SBY2473" s="63"/>
      <c r="SBZ2473" s="60"/>
      <c r="SCA2473" s="60"/>
      <c r="SCB2473" s="60"/>
      <c r="SCC2473" s="63"/>
      <c r="SCD2473" s="61"/>
      <c r="SCE2473" s="54"/>
      <c r="SCF2473" s="54"/>
      <c r="SCG2473" s="63"/>
      <c r="SCH2473" s="60"/>
      <c r="SCI2473" s="60"/>
      <c r="SCJ2473" s="60"/>
      <c r="SCK2473" s="63"/>
      <c r="SCL2473" s="61"/>
      <c r="SCM2473" s="54"/>
      <c r="SCN2473" s="54"/>
      <c r="SCO2473" s="63"/>
      <c r="SCP2473" s="60"/>
      <c r="SCQ2473" s="60"/>
      <c r="SCR2473" s="60"/>
      <c r="SCS2473" s="63"/>
      <c r="SCT2473" s="61"/>
      <c r="SCU2473" s="54"/>
      <c r="SCV2473" s="54"/>
      <c r="SCW2473" s="63"/>
      <c r="SCX2473" s="60"/>
      <c r="SCY2473" s="60"/>
      <c r="SCZ2473" s="60"/>
      <c r="SDA2473" s="63"/>
      <c r="SDB2473" s="61"/>
      <c r="SDC2473" s="54"/>
      <c r="SDD2473" s="54"/>
      <c r="SDE2473" s="63"/>
      <c r="SDF2473" s="60"/>
      <c r="SDG2473" s="60"/>
      <c r="SDH2473" s="60"/>
      <c r="SDI2473" s="63"/>
      <c r="SDJ2473" s="61"/>
      <c r="SDK2473" s="54"/>
      <c r="SDL2473" s="54"/>
      <c r="SDM2473" s="63"/>
      <c r="SDN2473" s="60"/>
      <c r="SDO2473" s="60"/>
      <c r="SDP2473" s="60"/>
      <c r="SDQ2473" s="63"/>
      <c r="SDR2473" s="61"/>
      <c r="SDS2473" s="54"/>
      <c r="SDT2473" s="54"/>
      <c r="SDU2473" s="63"/>
      <c r="SDV2473" s="60"/>
      <c r="SDW2473" s="60"/>
      <c r="SDX2473" s="60"/>
      <c r="SDY2473" s="63"/>
      <c r="SDZ2473" s="61"/>
      <c r="SEA2473" s="54"/>
      <c r="SEB2473" s="54"/>
      <c r="SEC2473" s="63"/>
      <c r="SED2473" s="60"/>
      <c r="SEE2473" s="60"/>
      <c r="SEF2473" s="60"/>
      <c r="SEG2473" s="63"/>
      <c r="SEH2473" s="61"/>
      <c r="SEI2473" s="54"/>
      <c r="SEJ2473" s="54"/>
      <c r="SEK2473" s="63"/>
      <c r="SEL2473" s="60"/>
      <c r="SEM2473" s="60"/>
      <c r="SEN2473" s="60"/>
      <c r="SEO2473" s="63"/>
      <c r="SEP2473" s="61"/>
      <c r="SEQ2473" s="54"/>
      <c r="SER2473" s="54"/>
      <c r="SES2473" s="63"/>
      <c r="SET2473" s="60"/>
      <c r="SEU2473" s="60"/>
      <c r="SEV2473" s="60"/>
      <c r="SEW2473" s="63"/>
      <c r="SEX2473" s="61"/>
      <c r="SEY2473" s="54"/>
      <c r="SEZ2473" s="54"/>
      <c r="SFA2473" s="63"/>
      <c r="SFB2473" s="60"/>
      <c r="SFC2473" s="60"/>
      <c r="SFD2473" s="60"/>
      <c r="SFE2473" s="63"/>
      <c r="SFF2473" s="61"/>
      <c r="SFG2473" s="54"/>
      <c r="SFH2473" s="54"/>
      <c r="SFI2473" s="63"/>
      <c r="SFJ2473" s="60"/>
      <c r="SFK2473" s="60"/>
      <c r="SFL2473" s="60"/>
      <c r="SFM2473" s="63"/>
      <c r="SFN2473" s="61"/>
      <c r="SFO2473" s="54"/>
      <c r="SFP2473" s="54"/>
      <c r="SFQ2473" s="63"/>
      <c r="SFR2473" s="60"/>
      <c r="SFS2473" s="60"/>
      <c r="SFT2473" s="60"/>
      <c r="SFU2473" s="63"/>
      <c r="SFV2473" s="61"/>
      <c r="SFW2473" s="54"/>
      <c r="SFX2473" s="54"/>
      <c r="SFY2473" s="63"/>
      <c r="SFZ2473" s="60"/>
      <c r="SGA2473" s="60"/>
      <c r="SGB2473" s="60"/>
      <c r="SGC2473" s="63"/>
      <c r="SGD2473" s="61"/>
      <c r="SGE2473" s="54"/>
      <c r="SGF2473" s="54"/>
      <c r="SGG2473" s="63"/>
      <c r="SGH2473" s="60"/>
      <c r="SGI2473" s="60"/>
      <c r="SGJ2473" s="60"/>
      <c r="SGK2473" s="63"/>
      <c r="SGL2473" s="61"/>
      <c r="SGM2473" s="54"/>
      <c r="SGN2473" s="54"/>
      <c r="SGO2473" s="63"/>
      <c r="SGP2473" s="60"/>
      <c r="SGQ2473" s="60"/>
      <c r="SGR2473" s="60"/>
      <c r="SGS2473" s="63"/>
      <c r="SGT2473" s="61"/>
      <c r="SGU2473" s="54"/>
      <c r="SGV2473" s="54"/>
      <c r="SGW2473" s="63"/>
      <c r="SGX2473" s="60"/>
      <c r="SGY2473" s="60"/>
      <c r="SGZ2473" s="60"/>
      <c r="SHA2473" s="63"/>
      <c r="SHB2473" s="61"/>
      <c r="SHC2473" s="54"/>
      <c r="SHD2473" s="54"/>
      <c r="SHE2473" s="63"/>
      <c r="SHF2473" s="60"/>
      <c r="SHG2473" s="60"/>
      <c r="SHH2473" s="60"/>
      <c r="SHI2473" s="63"/>
      <c r="SHJ2473" s="61"/>
      <c r="SHK2473" s="54"/>
      <c r="SHL2473" s="54"/>
      <c r="SHM2473" s="63"/>
      <c r="SHN2473" s="60"/>
      <c r="SHO2473" s="60"/>
      <c r="SHP2473" s="60"/>
      <c r="SHQ2473" s="63"/>
      <c r="SHR2473" s="61"/>
      <c r="SHS2473" s="54"/>
      <c r="SHT2473" s="54"/>
      <c r="SHU2473" s="63"/>
      <c r="SHV2473" s="60"/>
      <c r="SHW2473" s="60"/>
      <c r="SHX2473" s="60"/>
      <c r="SHY2473" s="63"/>
      <c r="SHZ2473" s="61"/>
      <c r="SIA2473" s="54"/>
      <c r="SIB2473" s="54"/>
      <c r="SIC2473" s="63"/>
      <c r="SID2473" s="60"/>
      <c r="SIE2473" s="60"/>
      <c r="SIF2473" s="60"/>
      <c r="SIG2473" s="63"/>
      <c r="SIH2473" s="61"/>
      <c r="SII2473" s="54"/>
      <c r="SIJ2473" s="54"/>
      <c r="SIK2473" s="63"/>
      <c r="SIL2473" s="60"/>
      <c r="SIM2473" s="60"/>
      <c r="SIN2473" s="60"/>
      <c r="SIO2473" s="63"/>
      <c r="SIP2473" s="61"/>
      <c r="SIQ2473" s="54"/>
      <c r="SIR2473" s="54"/>
      <c r="SIS2473" s="63"/>
      <c r="SIT2473" s="60"/>
      <c r="SIU2473" s="60"/>
      <c r="SIV2473" s="60"/>
      <c r="SIW2473" s="63"/>
      <c r="SIX2473" s="61"/>
      <c r="SIY2473" s="54"/>
      <c r="SIZ2473" s="54"/>
      <c r="SJA2473" s="63"/>
      <c r="SJB2473" s="60"/>
      <c r="SJC2473" s="60"/>
      <c r="SJD2473" s="60"/>
      <c r="SJE2473" s="63"/>
      <c r="SJF2473" s="61"/>
      <c r="SJG2473" s="54"/>
      <c r="SJH2473" s="54"/>
      <c r="SJI2473" s="63"/>
      <c r="SJJ2473" s="60"/>
      <c r="SJK2473" s="60"/>
      <c r="SJL2473" s="60"/>
      <c r="SJM2473" s="63"/>
      <c r="SJN2473" s="61"/>
      <c r="SJO2473" s="54"/>
      <c r="SJP2473" s="54"/>
      <c r="SJQ2473" s="63"/>
      <c r="SJR2473" s="60"/>
      <c r="SJS2473" s="60"/>
      <c r="SJT2473" s="60"/>
      <c r="SJU2473" s="63"/>
      <c r="SJV2473" s="61"/>
      <c r="SJW2473" s="54"/>
      <c r="SJX2473" s="54"/>
      <c r="SJY2473" s="63"/>
      <c r="SJZ2473" s="60"/>
      <c r="SKA2473" s="60"/>
      <c r="SKB2473" s="60"/>
      <c r="SKC2473" s="63"/>
      <c r="SKD2473" s="61"/>
      <c r="SKE2473" s="54"/>
      <c r="SKF2473" s="54"/>
      <c r="SKG2473" s="63"/>
      <c r="SKH2473" s="60"/>
      <c r="SKI2473" s="60"/>
      <c r="SKJ2473" s="60"/>
      <c r="SKK2473" s="63"/>
      <c r="SKL2473" s="61"/>
      <c r="SKM2473" s="54"/>
      <c r="SKN2473" s="54"/>
      <c r="SKO2473" s="63"/>
      <c r="SKP2473" s="60"/>
      <c r="SKQ2473" s="60"/>
      <c r="SKR2473" s="60"/>
      <c r="SKS2473" s="63"/>
      <c r="SKT2473" s="61"/>
      <c r="SKU2473" s="54"/>
      <c r="SKV2473" s="54"/>
      <c r="SKW2473" s="63"/>
      <c r="SKX2473" s="60"/>
      <c r="SKY2473" s="60"/>
      <c r="SKZ2473" s="60"/>
      <c r="SLA2473" s="63"/>
      <c r="SLB2473" s="61"/>
      <c r="SLC2473" s="54"/>
      <c r="SLD2473" s="54"/>
      <c r="SLE2473" s="63"/>
      <c r="SLF2473" s="60"/>
      <c r="SLG2473" s="60"/>
      <c r="SLH2473" s="60"/>
      <c r="SLI2473" s="63"/>
      <c r="SLJ2473" s="61"/>
      <c r="SLK2473" s="54"/>
      <c r="SLL2473" s="54"/>
      <c r="SLM2473" s="63"/>
      <c r="SLN2473" s="60"/>
      <c r="SLO2473" s="60"/>
      <c r="SLP2473" s="60"/>
      <c r="SLQ2473" s="63"/>
      <c r="SLR2473" s="61"/>
      <c r="SLS2473" s="54"/>
      <c r="SLT2473" s="54"/>
      <c r="SLU2473" s="63"/>
      <c r="SLV2473" s="60"/>
      <c r="SLW2473" s="60"/>
      <c r="SLX2473" s="60"/>
      <c r="SLY2473" s="63"/>
      <c r="SLZ2473" s="61"/>
      <c r="SMA2473" s="54"/>
      <c r="SMB2473" s="54"/>
      <c r="SMC2473" s="63"/>
      <c r="SMD2473" s="60"/>
      <c r="SME2473" s="60"/>
      <c r="SMF2473" s="60"/>
      <c r="SMG2473" s="63"/>
      <c r="SMH2473" s="61"/>
      <c r="SMI2473" s="54"/>
      <c r="SMJ2473" s="54"/>
      <c r="SMK2473" s="63"/>
      <c r="SML2473" s="60"/>
      <c r="SMM2473" s="60"/>
      <c r="SMN2473" s="60"/>
      <c r="SMO2473" s="63"/>
      <c r="SMP2473" s="61"/>
      <c r="SMQ2473" s="54"/>
      <c r="SMR2473" s="54"/>
      <c r="SMS2473" s="63"/>
      <c r="SMT2473" s="60"/>
      <c r="SMU2473" s="60"/>
      <c r="SMV2473" s="60"/>
      <c r="SMW2473" s="63"/>
      <c r="SMX2473" s="61"/>
      <c r="SMY2473" s="54"/>
      <c r="SMZ2473" s="54"/>
      <c r="SNA2473" s="63"/>
      <c r="SNB2473" s="60"/>
      <c r="SNC2473" s="60"/>
      <c r="SND2473" s="60"/>
      <c r="SNE2473" s="63"/>
      <c r="SNF2473" s="61"/>
      <c r="SNG2473" s="54"/>
      <c r="SNH2473" s="54"/>
      <c r="SNI2473" s="63"/>
      <c r="SNJ2473" s="60"/>
      <c r="SNK2473" s="60"/>
      <c r="SNL2473" s="60"/>
      <c r="SNM2473" s="63"/>
      <c r="SNN2473" s="61"/>
      <c r="SNO2473" s="54"/>
      <c r="SNP2473" s="54"/>
      <c r="SNQ2473" s="63"/>
      <c r="SNR2473" s="60"/>
      <c r="SNS2473" s="60"/>
      <c r="SNT2473" s="60"/>
      <c r="SNU2473" s="63"/>
      <c r="SNV2473" s="61"/>
      <c r="SNW2473" s="54"/>
      <c r="SNX2473" s="54"/>
      <c r="SNY2473" s="63"/>
      <c r="SNZ2473" s="60"/>
      <c r="SOA2473" s="60"/>
      <c r="SOB2473" s="60"/>
      <c r="SOC2473" s="63"/>
      <c r="SOD2473" s="61"/>
      <c r="SOE2473" s="54"/>
      <c r="SOF2473" s="54"/>
      <c r="SOG2473" s="63"/>
      <c r="SOH2473" s="60"/>
      <c r="SOI2473" s="60"/>
      <c r="SOJ2473" s="60"/>
      <c r="SOK2473" s="63"/>
      <c r="SOL2473" s="61"/>
      <c r="SOM2473" s="54"/>
      <c r="SON2473" s="54"/>
      <c r="SOO2473" s="63"/>
      <c r="SOP2473" s="60"/>
      <c r="SOQ2473" s="60"/>
      <c r="SOR2473" s="60"/>
      <c r="SOS2473" s="63"/>
      <c r="SOT2473" s="61"/>
      <c r="SOU2473" s="54"/>
      <c r="SOV2473" s="54"/>
      <c r="SOW2473" s="63"/>
      <c r="SOX2473" s="60"/>
      <c r="SOY2473" s="60"/>
      <c r="SOZ2473" s="60"/>
      <c r="SPA2473" s="63"/>
      <c r="SPB2473" s="61"/>
      <c r="SPC2473" s="54"/>
      <c r="SPD2473" s="54"/>
      <c r="SPE2473" s="63"/>
      <c r="SPF2473" s="60"/>
      <c r="SPG2473" s="60"/>
      <c r="SPH2473" s="60"/>
      <c r="SPI2473" s="63"/>
      <c r="SPJ2473" s="61"/>
      <c r="SPK2473" s="54"/>
      <c r="SPL2473" s="54"/>
      <c r="SPM2473" s="63"/>
      <c r="SPN2473" s="60"/>
      <c r="SPO2473" s="60"/>
      <c r="SPP2473" s="60"/>
      <c r="SPQ2473" s="63"/>
      <c r="SPR2473" s="61"/>
      <c r="SPS2473" s="54"/>
      <c r="SPT2473" s="54"/>
      <c r="SPU2473" s="63"/>
      <c r="SPV2473" s="60"/>
      <c r="SPW2473" s="60"/>
      <c r="SPX2473" s="60"/>
      <c r="SPY2473" s="63"/>
      <c r="SPZ2473" s="61"/>
      <c r="SQA2473" s="54"/>
      <c r="SQB2473" s="54"/>
      <c r="SQC2473" s="63"/>
      <c r="SQD2473" s="60"/>
      <c r="SQE2473" s="60"/>
      <c r="SQF2473" s="60"/>
      <c r="SQG2473" s="63"/>
      <c r="SQH2473" s="61"/>
      <c r="SQI2473" s="54"/>
      <c r="SQJ2473" s="54"/>
      <c r="SQK2473" s="63"/>
      <c r="SQL2473" s="60"/>
      <c r="SQM2473" s="60"/>
      <c r="SQN2473" s="60"/>
      <c r="SQO2473" s="63"/>
      <c r="SQP2473" s="61"/>
      <c r="SQQ2473" s="54"/>
      <c r="SQR2473" s="54"/>
      <c r="SQS2473" s="63"/>
      <c r="SQT2473" s="60"/>
      <c r="SQU2473" s="60"/>
      <c r="SQV2473" s="60"/>
      <c r="SQW2473" s="63"/>
      <c r="SQX2473" s="61"/>
      <c r="SQY2473" s="54"/>
      <c r="SQZ2473" s="54"/>
      <c r="SRA2473" s="63"/>
      <c r="SRB2473" s="60"/>
      <c r="SRC2473" s="60"/>
      <c r="SRD2473" s="60"/>
      <c r="SRE2473" s="63"/>
      <c r="SRF2473" s="61"/>
      <c r="SRG2473" s="54"/>
      <c r="SRH2473" s="54"/>
      <c r="SRI2473" s="63"/>
      <c r="SRJ2473" s="60"/>
      <c r="SRK2473" s="60"/>
      <c r="SRL2473" s="60"/>
      <c r="SRM2473" s="63"/>
      <c r="SRN2473" s="61"/>
      <c r="SRO2473" s="54"/>
      <c r="SRP2473" s="54"/>
      <c r="SRQ2473" s="63"/>
      <c r="SRR2473" s="60"/>
      <c r="SRS2473" s="60"/>
      <c r="SRT2473" s="60"/>
      <c r="SRU2473" s="63"/>
      <c r="SRV2473" s="61"/>
      <c r="SRW2473" s="54"/>
      <c r="SRX2473" s="54"/>
      <c r="SRY2473" s="63"/>
      <c r="SRZ2473" s="60"/>
      <c r="SSA2473" s="60"/>
      <c r="SSB2473" s="60"/>
      <c r="SSC2473" s="63"/>
      <c r="SSD2473" s="61"/>
      <c r="SSE2473" s="54"/>
      <c r="SSF2473" s="54"/>
      <c r="SSG2473" s="63"/>
      <c r="SSH2473" s="60"/>
      <c r="SSI2473" s="60"/>
      <c r="SSJ2473" s="60"/>
      <c r="SSK2473" s="63"/>
      <c r="SSL2473" s="61"/>
      <c r="SSM2473" s="54"/>
      <c r="SSN2473" s="54"/>
      <c r="SSO2473" s="63"/>
      <c r="SSP2473" s="60"/>
      <c r="SSQ2473" s="60"/>
      <c r="SSR2473" s="60"/>
      <c r="SSS2473" s="63"/>
      <c r="SST2473" s="61"/>
      <c r="SSU2473" s="54"/>
      <c r="SSV2473" s="54"/>
      <c r="SSW2473" s="63"/>
      <c r="SSX2473" s="60"/>
      <c r="SSY2473" s="60"/>
      <c r="SSZ2473" s="60"/>
      <c r="STA2473" s="63"/>
      <c r="STB2473" s="61"/>
      <c r="STC2473" s="54"/>
      <c r="STD2473" s="54"/>
      <c r="STE2473" s="63"/>
      <c r="STF2473" s="60"/>
      <c r="STG2473" s="60"/>
      <c r="STH2473" s="60"/>
      <c r="STI2473" s="63"/>
      <c r="STJ2473" s="61"/>
      <c r="STK2473" s="54"/>
      <c r="STL2473" s="54"/>
      <c r="STM2473" s="63"/>
      <c r="STN2473" s="60"/>
      <c r="STO2473" s="60"/>
      <c r="STP2473" s="60"/>
      <c r="STQ2473" s="63"/>
      <c r="STR2473" s="61"/>
      <c r="STS2473" s="54"/>
      <c r="STT2473" s="54"/>
      <c r="STU2473" s="63"/>
      <c r="STV2473" s="60"/>
      <c r="STW2473" s="60"/>
      <c r="STX2473" s="60"/>
      <c r="STY2473" s="63"/>
      <c r="STZ2473" s="61"/>
      <c r="SUA2473" s="54"/>
      <c r="SUB2473" s="54"/>
      <c r="SUC2473" s="63"/>
      <c r="SUD2473" s="60"/>
      <c r="SUE2473" s="60"/>
      <c r="SUF2473" s="60"/>
      <c r="SUG2473" s="63"/>
      <c r="SUH2473" s="61"/>
      <c r="SUI2473" s="54"/>
      <c r="SUJ2473" s="54"/>
      <c r="SUK2473" s="63"/>
      <c r="SUL2473" s="60"/>
      <c r="SUM2473" s="60"/>
      <c r="SUN2473" s="60"/>
      <c r="SUO2473" s="63"/>
      <c r="SUP2473" s="61"/>
      <c r="SUQ2473" s="54"/>
      <c r="SUR2473" s="54"/>
      <c r="SUS2473" s="63"/>
      <c r="SUT2473" s="60"/>
      <c r="SUU2473" s="60"/>
      <c r="SUV2473" s="60"/>
      <c r="SUW2473" s="63"/>
      <c r="SUX2473" s="61"/>
      <c r="SUY2473" s="54"/>
      <c r="SUZ2473" s="54"/>
      <c r="SVA2473" s="63"/>
      <c r="SVB2473" s="60"/>
      <c r="SVC2473" s="60"/>
      <c r="SVD2473" s="60"/>
      <c r="SVE2473" s="63"/>
      <c r="SVF2473" s="61"/>
      <c r="SVG2473" s="54"/>
      <c r="SVH2473" s="54"/>
      <c r="SVI2473" s="63"/>
      <c r="SVJ2473" s="60"/>
      <c r="SVK2473" s="60"/>
      <c r="SVL2473" s="60"/>
      <c r="SVM2473" s="63"/>
      <c r="SVN2473" s="61"/>
      <c r="SVO2473" s="54"/>
      <c r="SVP2473" s="54"/>
      <c r="SVQ2473" s="63"/>
      <c r="SVR2473" s="60"/>
      <c r="SVS2473" s="60"/>
      <c r="SVT2473" s="60"/>
      <c r="SVU2473" s="63"/>
      <c r="SVV2473" s="61"/>
      <c r="SVW2473" s="54"/>
      <c r="SVX2473" s="54"/>
      <c r="SVY2473" s="63"/>
      <c r="SVZ2473" s="60"/>
      <c r="SWA2473" s="60"/>
      <c r="SWB2473" s="60"/>
      <c r="SWC2473" s="63"/>
      <c r="SWD2473" s="61"/>
      <c r="SWE2473" s="54"/>
      <c r="SWF2473" s="54"/>
      <c r="SWG2473" s="63"/>
      <c r="SWH2473" s="60"/>
      <c r="SWI2473" s="60"/>
      <c r="SWJ2473" s="60"/>
      <c r="SWK2473" s="63"/>
      <c r="SWL2473" s="61"/>
      <c r="SWM2473" s="54"/>
      <c r="SWN2473" s="54"/>
      <c r="SWO2473" s="63"/>
      <c r="SWP2473" s="60"/>
      <c r="SWQ2473" s="60"/>
      <c r="SWR2473" s="60"/>
      <c r="SWS2473" s="63"/>
      <c r="SWT2473" s="61"/>
      <c r="SWU2473" s="54"/>
      <c r="SWV2473" s="54"/>
      <c r="SWW2473" s="63"/>
      <c r="SWX2473" s="60"/>
      <c r="SWY2473" s="60"/>
      <c r="SWZ2473" s="60"/>
      <c r="SXA2473" s="63"/>
      <c r="SXB2473" s="61"/>
      <c r="SXC2473" s="54"/>
      <c r="SXD2473" s="54"/>
      <c r="SXE2473" s="63"/>
      <c r="SXF2473" s="60"/>
      <c r="SXG2473" s="60"/>
      <c r="SXH2473" s="60"/>
      <c r="SXI2473" s="63"/>
      <c r="SXJ2473" s="61"/>
      <c r="SXK2473" s="54"/>
      <c r="SXL2473" s="54"/>
      <c r="SXM2473" s="63"/>
      <c r="SXN2473" s="60"/>
      <c r="SXO2473" s="60"/>
      <c r="SXP2473" s="60"/>
      <c r="SXQ2473" s="63"/>
      <c r="SXR2473" s="61"/>
      <c r="SXS2473" s="54"/>
      <c r="SXT2473" s="54"/>
      <c r="SXU2473" s="63"/>
      <c r="SXV2473" s="60"/>
      <c r="SXW2473" s="60"/>
      <c r="SXX2473" s="60"/>
      <c r="SXY2473" s="63"/>
      <c r="SXZ2473" s="61"/>
      <c r="SYA2473" s="54"/>
      <c r="SYB2473" s="54"/>
      <c r="SYC2473" s="63"/>
      <c r="SYD2473" s="60"/>
      <c r="SYE2473" s="60"/>
      <c r="SYF2473" s="60"/>
      <c r="SYG2473" s="63"/>
      <c r="SYH2473" s="61"/>
      <c r="SYI2473" s="54"/>
      <c r="SYJ2473" s="54"/>
      <c r="SYK2473" s="63"/>
      <c r="SYL2473" s="60"/>
      <c r="SYM2473" s="60"/>
      <c r="SYN2473" s="60"/>
      <c r="SYO2473" s="63"/>
      <c r="SYP2473" s="61"/>
      <c r="SYQ2473" s="54"/>
      <c r="SYR2473" s="54"/>
      <c r="SYS2473" s="63"/>
      <c r="SYT2473" s="60"/>
      <c r="SYU2473" s="60"/>
      <c r="SYV2473" s="60"/>
      <c r="SYW2473" s="63"/>
      <c r="SYX2473" s="61"/>
      <c r="SYY2473" s="54"/>
      <c r="SYZ2473" s="54"/>
      <c r="SZA2473" s="63"/>
      <c r="SZB2473" s="60"/>
      <c r="SZC2473" s="60"/>
      <c r="SZD2473" s="60"/>
      <c r="SZE2473" s="63"/>
      <c r="SZF2473" s="61"/>
      <c r="SZG2473" s="54"/>
      <c r="SZH2473" s="54"/>
      <c r="SZI2473" s="63"/>
      <c r="SZJ2473" s="60"/>
      <c r="SZK2473" s="60"/>
      <c r="SZL2473" s="60"/>
      <c r="SZM2473" s="63"/>
      <c r="SZN2473" s="61"/>
      <c r="SZO2473" s="54"/>
      <c r="SZP2473" s="54"/>
      <c r="SZQ2473" s="63"/>
      <c r="SZR2473" s="60"/>
      <c r="SZS2473" s="60"/>
      <c r="SZT2473" s="60"/>
      <c r="SZU2473" s="63"/>
      <c r="SZV2473" s="61"/>
      <c r="SZW2473" s="54"/>
      <c r="SZX2473" s="54"/>
      <c r="SZY2473" s="63"/>
      <c r="SZZ2473" s="60"/>
      <c r="TAA2473" s="60"/>
      <c r="TAB2473" s="60"/>
      <c r="TAC2473" s="63"/>
      <c r="TAD2473" s="61"/>
      <c r="TAE2473" s="54"/>
      <c r="TAF2473" s="54"/>
      <c r="TAG2473" s="63"/>
      <c r="TAH2473" s="60"/>
      <c r="TAI2473" s="60"/>
      <c r="TAJ2473" s="60"/>
      <c r="TAK2473" s="63"/>
      <c r="TAL2473" s="61"/>
      <c r="TAM2473" s="54"/>
      <c r="TAN2473" s="54"/>
      <c r="TAO2473" s="63"/>
      <c r="TAP2473" s="60"/>
      <c r="TAQ2473" s="60"/>
      <c r="TAR2473" s="60"/>
      <c r="TAS2473" s="63"/>
      <c r="TAT2473" s="61"/>
      <c r="TAU2473" s="54"/>
      <c r="TAV2473" s="54"/>
      <c r="TAW2473" s="63"/>
      <c r="TAX2473" s="60"/>
      <c r="TAY2473" s="60"/>
      <c r="TAZ2473" s="60"/>
      <c r="TBA2473" s="63"/>
      <c r="TBB2473" s="61"/>
      <c r="TBC2473" s="54"/>
      <c r="TBD2473" s="54"/>
      <c r="TBE2473" s="63"/>
      <c r="TBF2473" s="60"/>
      <c r="TBG2473" s="60"/>
      <c r="TBH2473" s="60"/>
      <c r="TBI2473" s="63"/>
      <c r="TBJ2473" s="61"/>
      <c r="TBK2473" s="54"/>
      <c r="TBL2473" s="54"/>
      <c r="TBM2473" s="63"/>
      <c r="TBN2473" s="60"/>
      <c r="TBO2473" s="60"/>
      <c r="TBP2473" s="60"/>
      <c r="TBQ2473" s="63"/>
      <c r="TBR2473" s="61"/>
      <c r="TBS2473" s="54"/>
      <c r="TBT2473" s="54"/>
      <c r="TBU2473" s="63"/>
      <c r="TBV2473" s="60"/>
      <c r="TBW2473" s="60"/>
      <c r="TBX2473" s="60"/>
      <c r="TBY2473" s="63"/>
      <c r="TBZ2473" s="61"/>
      <c r="TCA2473" s="54"/>
      <c r="TCB2473" s="54"/>
      <c r="TCC2473" s="63"/>
      <c r="TCD2473" s="60"/>
      <c r="TCE2473" s="60"/>
      <c r="TCF2473" s="60"/>
      <c r="TCG2473" s="63"/>
      <c r="TCH2473" s="61"/>
      <c r="TCI2473" s="54"/>
      <c r="TCJ2473" s="54"/>
      <c r="TCK2473" s="63"/>
      <c r="TCL2473" s="60"/>
      <c r="TCM2473" s="60"/>
      <c r="TCN2473" s="60"/>
      <c r="TCO2473" s="63"/>
      <c r="TCP2473" s="61"/>
      <c r="TCQ2473" s="54"/>
      <c r="TCR2473" s="54"/>
      <c r="TCS2473" s="63"/>
      <c r="TCT2473" s="60"/>
      <c r="TCU2473" s="60"/>
      <c r="TCV2473" s="60"/>
      <c r="TCW2473" s="63"/>
      <c r="TCX2473" s="61"/>
      <c r="TCY2473" s="54"/>
      <c r="TCZ2473" s="54"/>
      <c r="TDA2473" s="63"/>
      <c r="TDB2473" s="60"/>
      <c r="TDC2473" s="60"/>
      <c r="TDD2473" s="60"/>
      <c r="TDE2473" s="63"/>
      <c r="TDF2473" s="61"/>
      <c r="TDG2473" s="54"/>
      <c r="TDH2473" s="54"/>
      <c r="TDI2473" s="63"/>
      <c r="TDJ2473" s="60"/>
      <c r="TDK2473" s="60"/>
      <c r="TDL2473" s="60"/>
      <c r="TDM2473" s="63"/>
      <c r="TDN2473" s="61"/>
      <c r="TDO2473" s="54"/>
      <c r="TDP2473" s="54"/>
      <c r="TDQ2473" s="63"/>
      <c r="TDR2473" s="60"/>
      <c r="TDS2473" s="60"/>
      <c r="TDT2473" s="60"/>
      <c r="TDU2473" s="63"/>
      <c r="TDV2473" s="61"/>
      <c r="TDW2473" s="54"/>
      <c r="TDX2473" s="54"/>
      <c r="TDY2473" s="63"/>
      <c r="TDZ2473" s="60"/>
      <c r="TEA2473" s="60"/>
      <c r="TEB2473" s="60"/>
      <c r="TEC2473" s="63"/>
      <c r="TED2473" s="61"/>
      <c r="TEE2473" s="54"/>
      <c r="TEF2473" s="54"/>
      <c r="TEG2473" s="63"/>
      <c r="TEH2473" s="60"/>
      <c r="TEI2473" s="60"/>
      <c r="TEJ2473" s="60"/>
      <c r="TEK2473" s="63"/>
      <c r="TEL2473" s="61"/>
      <c r="TEM2473" s="54"/>
      <c r="TEN2473" s="54"/>
      <c r="TEO2473" s="63"/>
      <c r="TEP2473" s="60"/>
      <c r="TEQ2473" s="60"/>
      <c r="TER2473" s="60"/>
      <c r="TES2473" s="63"/>
      <c r="TET2473" s="61"/>
      <c r="TEU2473" s="54"/>
      <c r="TEV2473" s="54"/>
      <c r="TEW2473" s="63"/>
      <c r="TEX2473" s="60"/>
      <c r="TEY2473" s="60"/>
      <c r="TEZ2473" s="60"/>
      <c r="TFA2473" s="63"/>
      <c r="TFB2473" s="61"/>
      <c r="TFC2473" s="54"/>
      <c r="TFD2473" s="54"/>
      <c r="TFE2473" s="63"/>
      <c r="TFF2473" s="60"/>
      <c r="TFG2473" s="60"/>
      <c r="TFH2473" s="60"/>
      <c r="TFI2473" s="63"/>
      <c r="TFJ2473" s="61"/>
      <c r="TFK2473" s="54"/>
      <c r="TFL2473" s="54"/>
      <c r="TFM2473" s="63"/>
      <c r="TFN2473" s="60"/>
      <c r="TFO2473" s="60"/>
      <c r="TFP2473" s="60"/>
      <c r="TFQ2473" s="63"/>
      <c r="TFR2473" s="61"/>
      <c r="TFS2473" s="54"/>
      <c r="TFT2473" s="54"/>
      <c r="TFU2473" s="63"/>
      <c r="TFV2473" s="60"/>
      <c r="TFW2473" s="60"/>
      <c r="TFX2473" s="60"/>
      <c r="TFY2473" s="63"/>
      <c r="TFZ2473" s="61"/>
      <c r="TGA2473" s="54"/>
      <c r="TGB2473" s="54"/>
      <c r="TGC2473" s="63"/>
      <c r="TGD2473" s="60"/>
      <c r="TGE2473" s="60"/>
      <c r="TGF2473" s="60"/>
      <c r="TGG2473" s="63"/>
      <c r="TGH2473" s="61"/>
      <c r="TGI2473" s="54"/>
      <c r="TGJ2473" s="54"/>
      <c r="TGK2473" s="63"/>
      <c r="TGL2473" s="60"/>
      <c r="TGM2473" s="60"/>
      <c r="TGN2473" s="60"/>
      <c r="TGO2473" s="63"/>
      <c r="TGP2473" s="61"/>
      <c r="TGQ2473" s="54"/>
      <c r="TGR2473" s="54"/>
      <c r="TGS2473" s="63"/>
      <c r="TGT2473" s="60"/>
      <c r="TGU2473" s="60"/>
      <c r="TGV2473" s="60"/>
      <c r="TGW2473" s="63"/>
      <c r="TGX2473" s="61"/>
      <c r="TGY2473" s="54"/>
      <c r="TGZ2473" s="54"/>
      <c r="THA2473" s="63"/>
      <c r="THB2473" s="60"/>
      <c r="THC2473" s="60"/>
      <c r="THD2473" s="60"/>
      <c r="THE2473" s="63"/>
      <c r="THF2473" s="61"/>
      <c r="THG2473" s="54"/>
      <c r="THH2473" s="54"/>
      <c r="THI2473" s="63"/>
      <c r="THJ2473" s="60"/>
      <c r="THK2473" s="60"/>
      <c r="THL2473" s="60"/>
      <c r="THM2473" s="63"/>
      <c r="THN2473" s="61"/>
      <c r="THO2473" s="54"/>
      <c r="THP2473" s="54"/>
      <c r="THQ2473" s="63"/>
      <c r="THR2473" s="60"/>
      <c r="THS2473" s="60"/>
      <c r="THT2473" s="60"/>
      <c r="THU2473" s="63"/>
      <c r="THV2473" s="61"/>
      <c r="THW2473" s="54"/>
      <c r="THX2473" s="54"/>
      <c r="THY2473" s="63"/>
      <c r="THZ2473" s="60"/>
      <c r="TIA2473" s="60"/>
      <c r="TIB2473" s="60"/>
      <c r="TIC2473" s="63"/>
      <c r="TID2473" s="61"/>
      <c r="TIE2473" s="54"/>
      <c r="TIF2473" s="54"/>
      <c r="TIG2473" s="63"/>
      <c r="TIH2473" s="60"/>
      <c r="TII2473" s="60"/>
      <c r="TIJ2473" s="60"/>
      <c r="TIK2473" s="63"/>
      <c r="TIL2473" s="61"/>
      <c r="TIM2473" s="54"/>
      <c r="TIN2473" s="54"/>
      <c r="TIO2473" s="63"/>
      <c r="TIP2473" s="60"/>
      <c r="TIQ2473" s="60"/>
      <c r="TIR2473" s="60"/>
      <c r="TIS2473" s="63"/>
      <c r="TIT2473" s="61"/>
      <c r="TIU2473" s="54"/>
      <c r="TIV2473" s="54"/>
      <c r="TIW2473" s="63"/>
      <c r="TIX2473" s="60"/>
      <c r="TIY2473" s="60"/>
      <c r="TIZ2473" s="60"/>
      <c r="TJA2473" s="63"/>
      <c r="TJB2473" s="61"/>
      <c r="TJC2473" s="54"/>
      <c r="TJD2473" s="54"/>
      <c r="TJE2473" s="63"/>
      <c r="TJF2473" s="60"/>
      <c r="TJG2473" s="60"/>
      <c r="TJH2473" s="60"/>
      <c r="TJI2473" s="63"/>
      <c r="TJJ2473" s="61"/>
      <c r="TJK2473" s="54"/>
      <c r="TJL2473" s="54"/>
      <c r="TJM2473" s="63"/>
      <c r="TJN2473" s="60"/>
      <c r="TJO2473" s="60"/>
      <c r="TJP2473" s="60"/>
      <c r="TJQ2473" s="63"/>
      <c r="TJR2473" s="61"/>
      <c r="TJS2473" s="54"/>
      <c r="TJT2473" s="54"/>
      <c r="TJU2473" s="63"/>
      <c r="TJV2473" s="60"/>
      <c r="TJW2473" s="60"/>
      <c r="TJX2473" s="60"/>
      <c r="TJY2473" s="63"/>
      <c r="TJZ2473" s="61"/>
      <c r="TKA2473" s="54"/>
      <c r="TKB2473" s="54"/>
      <c r="TKC2473" s="63"/>
      <c r="TKD2473" s="60"/>
      <c r="TKE2473" s="60"/>
      <c r="TKF2473" s="60"/>
      <c r="TKG2473" s="63"/>
      <c r="TKH2473" s="61"/>
      <c r="TKI2473" s="54"/>
      <c r="TKJ2473" s="54"/>
      <c r="TKK2473" s="63"/>
      <c r="TKL2473" s="60"/>
      <c r="TKM2473" s="60"/>
      <c r="TKN2473" s="60"/>
      <c r="TKO2473" s="63"/>
      <c r="TKP2473" s="61"/>
      <c r="TKQ2473" s="54"/>
      <c r="TKR2473" s="54"/>
      <c r="TKS2473" s="63"/>
      <c r="TKT2473" s="60"/>
      <c r="TKU2473" s="60"/>
      <c r="TKV2473" s="60"/>
      <c r="TKW2473" s="63"/>
      <c r="TKX2473" s="61"/>
      <c r="TKY2473" s="54"/>
      <c r="TKZ2473" s="54"/>
      <c r="TLA2473" s="63"/>
      <c r="TLB2473" s="60"/>
      <c r="TLC2473" s="60"/>
      <c r="TLD2473" s="60"/>
      <c r="TLE2473" s="63"/>
      <c r="TLF2473" s="61"/>
      <c r="TLG2473" s="54"/>
      <c r="TLH2473" s="54"/>
      <c r="TLI2473" s="63"/>
      <c r="TLJ2473" s="60"/>
      <c r="TLK2473" s="60"/>
      <c r="TLL2473" s="60"/>
      <c r="TLM2473" s="63"/>
      <c r="TLN2473" s="61"/>
      <c r="TLO2473" s="54"/>
      <c r="TLP2473" s="54"/>
      <c r="TLQ2473" s="63"/>
      <c r="TLR2473" s="60"/>
      <c r="TLS2473" s="60"/>
      <c r="TLT2473" s="60"/>
      <c r="TLU2473" s="63"/>
      <c r="TLV2473" s="61"/>
      <c r="TLW2473" s="54"/>
      <c r="TLX2473" s="54"/>
      <c r="TLY2473" s="63"/>
      <c r="TLZ2473" s="60"/>
      <c r="TMA2473" s="60"/>
      <c r="TMB2473" s="60"/>
      <c r="TMC2473" s="63"/>
      <c r="TMD2473" s="61"/>
      <c r="TME2473" s="54"/>
      <c r="TMF2473" s="54"/>
      <c r="TMG2473" s="63"/>
      <c r="TMH2473" s="60"/>
      <c r="TMI2473" s="60"/>
      <c r="TMJ2473" s="60"/>
      <c r="TMK2473" s="63"/>
      <c r="TML2473" s="61"/>
      <c r="TMM2473" s="54"/>
      <c r="TMN2473" s="54"/>
      <c r="TMO2473" s="63"/>
      <c r="TMP2473" s="60"/>
      <c r="TMQ2473" s="60"/>
      <c r="TMR2473" s="60"/>
      <c r="TMS2473" s="63"/>
      <c r="TMT2473" s="61"/>
      <c r="TMU2473" s="54"/>
      <c r="TMV2473" s="54"/>
      <c r="TMW2473" s="63"/>
      <c r="TMX2473" s="60"/>
      <c r="TMY2473" s="60"/>
      <c r="TMZ2473" s="60"/>
      <c r="TNA2473" s="63"/>
      <c r="TNB2473" s="61"/>
      <c r="TNC2473" s="54"/>
      <c r="TND2473" s="54"/>
      <c r="TNE2473" s="63"/>
      <c r="TNF2473" s="60"/>
      <c r="TNG2473" s="60"/>
      <c r="TNH2473" s="60"/>
      <c r="TNI2473" s="63"/>
      <c r="TNJ2473" s="61"/>
      <c r="TNK2473" s="54"/>
      <c r="TNL2473" s="54"/>
      <c r="TNM2473" s="63"/>
      <c r="TNN2473" s="60"/>
      <c r="TNO2473" s="60"/>
      <c r="TNP2473" s="60"/>
      <c r="TNQ2473" s="63"/>
      <c r="TNR2473" s="61"/>
      <c r="TNS2473" s="54"/>
      <c r="TNT2473" s="54"/>
      <c r="TNU2473" s="63"/>
      <c r="TNV2473" s="60"/>
      <c r="TNW2473" s="60"/>
      <c r="TNX2473" s="60"/>
      <c r="TNY2473" s="63"/>
      <c r="TNZ2473" s="61"/>
      <c r="TOA2473" s="54"/>
      <c r="TOB2473" s="54"/>
      <c r="TOC2473" s="63"/>
      <c r="TOD2473" s="60"/>
      <c r="TOE2473" s="60"/>
      <c r="TOF2473" s="60"/>
      <c r="TOG2473" s="63"/>
      <c r="TOH2473" s="61"/>
      <c r="TOI2473" s="54"/>
      <c r="TOJ2473" s="54"/>
      <c r="TOK2473" s="63"/>
      <c r="TOL2473" s="60"/>
      <c r="TOM2473" s="60"/>
      <c r="TON2473" s="60"/>
      <c r="TOO2473" s="63"/>
      <c r="TOP2473" s="61"/>
      <c r="TOQ2473" s="54"/>
      <c r="TOR2473" s="54"/>
      <c r="TOS2473" s="63"/>
      <c r="TOT2473" s="60"/>
      <c r="TOU2473" s="60"/>
      <c r="TOV2473" s="60"/>
      <c r="TOW2473" s="63"/>
      <c r="TOX2473" s="61"/>
      <c r="TOY2473" s="54"/>
      <c r="TOZ2473" s="54"/>
      <c r="TPA2473" s="63"/>
      <c r="TPB2473" s="60"/>
      <c r="TPC2473" s="60"/>
      <c r="TPD2473" s="60"/>
      <c r="TPE2473" s="63"/>
      <c r="TPF2473" s="61"/>
      <c r="TPG2473" s="54"/>
      <c r="TPH2473" s="54"/>
      <c r="TPI2473" s="63"/>
      <c r="TPJ2473" s="60"/>
      <c r="TPK2473" s="60"/>
      <c r="TPL2473" s="60"/>
      <c r="TPM2473" s="63"/>
      <c r="TPN2473" s="61"/>
      <c r="TPO2473" s="54"/>
      <c r="TPP2473" s="54"/>
      <c r="TPQ2473" s="63"/>
      <c r="TPR2473" s="60"/>
      <c r="TPS2473" s="60"/>
      <c r="TPT2473" s="60"/>
      <c r="TPU2473" s="63"/>
      <c r="TPV2473" s="61"/>
      <c r="TPW2473" s="54"/>
      <c r="TPX2473" s="54"/>
      <c r="TPY2473" s="63"/>
      <c r="TPZ2473" s="60"/>
      <c r="TQA2473" s="60"/>
      <c r="TQB2473" s="60"/>
      <c r="TQC2473" s="63"/>
      <c r="TQD2473" s="61"/>
      <c r="TQE2473" s="54"/>
      <c r="TQF2473" s="54"/>
      <c r="TQG2473" s="63"/>
      <c r="TQH2473" s="60"/>
      <c r="TQI2473" s="60"/>
      <c r="TQJ2473" s="60"/>
      <c r="TQK2473" s="63"/>
      <c r="TQL2473" s="61"/>
      <c r="TQM2473" s="54"/>
      <c r="TQN2473" s="54"/>
      <c r="TQO2473" s="63"/>
      <c r="TQP2473" s="60"/>
      <c r="TQQ2473" s="60"/>
      <c r="TQR2473" s="60"/>
      <c r="TQS2473" s="63"/>
      <c r="TQT2473" s="61"/>
      <c r="TQU2473" s="54"/>
      <c r="TQV2473" s="54"/>
      <c r="TQW2473" s="63"/>
      <c r="TQX2473" s="60"/>
      <c r="TQY2473" s="60"/>
      <c r="TQZ2473" s="60"/>
      <c r="TRA2473" s="63"/>
      <c r="TRB2473" s="61"/>
      <c r="TRC2473" s="54"/>
      <c r="TRD2473" s="54"/>
      <c r="TRE2473" s="63"/>
      <c r="TRF2473" s="60"/>
      <c r="TRG2473" s="60"/>
      <c r="TRH2473" s="60"/>
      <c r="TRI2473" s="63"/>
      <c r="TRJ2473" s="61"/>
      <c r="TRK2473" s="54"/>
      <c r="TRL2473" s="54"/>
      <c r="TRM2473" s="63"/>
      <c r="TRN2473" s="60"/>
      <c r="TRO2473" s="60"/>
      <c r="TRP2473" s="60"/>
      <c r="TRQ2473" s="63"/>
      <c r="TRR2473" s="61"/>
      <c r="TRS2473" s="54"/>
      <c r="TRT2473" s="54"/>
      <c r="TRU2473" s="63"/>
      <c r="TRV2473" s="60"/>
      <c r="TRW2473" s="60"/>
      <c r="TRX2473" s="60"/>
      <c r="TRY2473" s="63"/>
      <c r="TRZ2473" s="61"/>
      <c r="TSA2473" s="54"/>
      <c r="TSB2473" s="54"/>
      <c r="TSC2473" s="63"/>
      <c r="TSD2473" s="60"/>
      <c r="TSE2473" s="60"/>
      <c r="TSF2473" s="60"/>
      <c r="TSG2473" s="63"/>
      <c r="TSH2473" s="61"/>
      <c r="TSI2473" s="54"/>
      <c r="TSJ2473" s="54"/>
      <c r="TSK2473" s="63"/>
      <c r="TSL2473" s="60"/>
      <c r="TSM2473" s="60"/>
      <c r="TSN2473" s="60"/>
      <c r="TSO2473" s="63"/>
      <c r="TSP2473" s="61"/>
      <c r="TSQ2473" s="54"/>
      <c r="TSR2473" s="54"/>
      <c r="TSS2473" s="63"/>
      <c r="TST2473" s="60"/>
      <c r="TSU2473" s="60"/>
      <c r="TSV2473" s="60"/>
      <c r="TSW2473" s="63"/>
      <c r="TSX2473" s="61"/>
      <c r="TSY2473" s="54"/>
      <c r="TSZ2473" s="54"/>
      <c r="TTA2473" s="63"/>
      <c r="TTB2473" s="60"/>
      <c r="TTC2473" s="60"/>
      <c r="TTD2473" s="60"/>
      <c r="TTE2473" s="63"/>
      <c r="TTF2473" s="61"/>
      <c r="TTG2473" s="54"/>
      <c r="TTH2473" s="54"/>
      <c r="TTI2473" s="63"/>
      <c r="TTJ2473" s="60"/>
      <c r="TTK2473" s="60"/>
      <c r="TTL2473" s="60"/>
      <c r="TTM2473" s="63"/>
      <c r="TTN2473" s="61"/>
      <c r="TTO2473" s="54"/>
      <c r="TTP2473" s="54"/>
      <c r="TTQ2473" s="63"/>
      <c r="TTR2473" s="60"/>
      <c r="TTS2473" s="60"/>
      <c r="TTT2473" s="60"/>
      <c r="TTU2473" s="63"/>
      <c r="TTV2473" s="61"/>
      <c r="TTW2473" s="54"/>
      <c r="TTX2473" s="54"/>
      <c r="TTY2473" s="63"/>
      <c r="TTZ2473" s="60"/>
      <c r="TUA2473" s="60"/>
      <c r="TUB2473" s="60"/>
      <c r="TUC2473" s="63"/>
      <c r="TUD2473" s="61"/>
      <c r="TUE2473" s="54"/>
      <c r="TUF2473" s="54"/>
      <c r="TUG2473" s="63"/>
      <c r="TUH2473" s="60"/>
      <c r="TUI2473" s="60"/>
      <c r="TUJ2473" s="60"/>
      <c r="TUK2473" s="63"/>
      <c r="TUL2473" s="61"/>
      <c r="TUM2473" s="54"/>
      <c r="TUN2473" s="54"/>
      <c r="TUO2473" s="63"/>
      <c r="TUP2473" s="60"/>
      <c r="TUQ2473" s="60"/>
      <c r="TUR2473" s="60"/>
      <c r="TUS2473" s="63"/>
      <c r="TUT2473" s="61"/>
      <c r="TUU2473" s="54"/>
      <c r="TUV2473" s="54"/>
      <c r="TUW2473" s="63"/>
      <c r="TUX2473" s="60"/>
      <c r="TUY2473" s="60"/>
      <c r="TUZ2473" s="60"/>
      <c r="TVA2473" s="63"/>
      <c r="TVB2473" s="61"/>
      <c r="TVC2473" s="54"/>
      <c r="TVD2473" s="54"/>
      <c r="TVE2473" s="63"/>
      <c r="TVF2473" s="60"/>
      <c r="TVG2473" s="60"/>
      <c r="TVH2473" s="60"/>
      <c r="TVI2473" s="63"/>
      <c r="TVJ2473" s="61"/>
      <c r="TVK2473" s="54"/>
      <c r="TVL2473" s="54"/>
      <c r="TVM2473" s="63"/>
      <c r="TVN2473" s="60"/>
      <c r="TVO2473" s="60"/>
      <c r="TVP2473" s="60"/>
      <c r="TVQ2473" s="63"/>
      <c r="TVR2473" s="61"/>
      <c r="TVS2473" s="54"/>
      <c r="TVT2473" s="54"/>
      <c r="TVU2473" s="63"/>
      <c r="TVV2473" s="60"/>
      <c r="TVW2473" s="60"/>
      <c r="TVX2473" s="60"/>
      <c r="TVY2473" s="63"/>
      <c r="TVZ2473" s="61"/>
      <c r="TWA2473" s="54"/>
      <c r="TWB2473" s="54"/>
      <c r="TWC2473" s="63"/>
      <c r="TWD2473" s="60"/>
      <c r="TWE2473" s="60"/>
      <c r="TWF2473" s="60"/>
      <c r="TWG2473" s="63"/>
      <c r="TWH2473" s="61"/>
      <c r="TWI2473" s="54"/>
      <c r="TWJ2473" s="54"/>
      <c r="TWK2473" s="63"/>
      <c r="TWL2473" s="60"/>
      <c r="TWM2473" s="60"/>
      <c r="TWN2473" s="60"/>
      <c r="TWO2473" s="63"/>
      <c r="TWP2473" s="61"/>
      <c r="TWQ2473" s="54"/>
      <c r="TWR2473" s="54"/>
      <c r="TWS2473" s="63"/>
      <c r="TWT2473" s="60"/>
      <c r="TWU2473" s="60"/>
      <c r="TWV2473" s="60"/>
      <c r="TWW2473" s="63"/>
      <c r="TWX2473" s="61"/>
      <c r="TWY2473" s="54"/>
      <c r="TWZ2473" s="54"/>
      <c r="TXA2473" s="63"/>
      <c r="TXB2473" s="60"/>
      <c r="TXC2473" s="60"/>
      <c r="TXD2473" s="60"/>
      <c r="TXE2473" s="63"/>
      <c r="TXF2473" s="61"/>
      <c r="TXG2473" s="54"/>
      <c r="TXH2473" s="54"/>
      <c r="TXI2473" s="63"/>
      <c r="TXJ2473" s="60"/>
      <c r="TXK2473" s="60"/>
      <c r="TXL2473" s="60"/>
      <c r="TXM2473" s="63"/>
      <c r="TXN2473" s="61"/>
      <c r="TXO2473" s="54"/>
      <c r="TXP2473" s="54"/>
      <c r="TXQ2473" s="63"/>
      <c r="TXR2473" s="60"/>
      <c r="TXS2473" s="60"/>
      <c r="TXT2473" s="60"/>
      <c r="TXU2473" s="63"/>
      <c r="TXV2473" s="61"/>
      <c r="TXW2473" s="54"/>
      <c r="TXX2473" s="54"/>
      <c r="TXY2473" s="63"/>
      <c r="TXZ2473" s="60"/>
      <c r="TYA2473" s="60"/>
      <c r="TYB2473" s="60"/>
      <c r="TYC2473" s="63"/>
      <c r="TYD2473" s="61"/>
      <c r="TYE2473" s="54"/>
      <c r="TYF2473" s="54"/>
      <c r="TYG2473" s="63"/>
      <c r="TYH2473" s="60"/>
      <c r="TYI2473" s="60"/>
      <c r="TYJ2473" s="60"/>
      <c r="TYK2473" s="63"/>
      <c r="TYL2473" s="61"/>
      <c r="TYM2473" s="54"/>
      <c r="TYN2473" s="54"/>
      <c r="TYO2473" s="63"/>
      <c r="TYP2473" s="60"/>
      <c r="TYQ2473" s="60"/>
      <c r="TYR2473" s="60"/>
      <c r="TYS2473" s="63"/>
      <c r="TYT2473" s="61"/>
      <c r="TYU2473" s="54"/>
      <c r="TYV2473" s="54"/>
      <c r="TYW2473" s="63"/>
      <c r="TYX2473" s="60"/>
      <c r="TYY2473" s="60"/>
      <c r="TYZ2473" s="60"/>
      <c r="TZA2473" s="63"/>
      <c r="TZB2473" s="61"/>
      <c r="TZC2473" s="54"/>
      <c r="TZD2473" s="54"/>
      <c r="TZE2473" s="63"/>
      <c r="TZF2473" s="60"/>
      <c r="TZG2473" s="60"/>
      <c r="TZH2473" s="60"/>
      <c r="TZI2473" s="63"/>
      <c r="TZJ2473" s="61"/>
      <c r="TZK2473" s="54"/>
      <c r="TZL2473" s="54"/>
      <c r="TZM2473" s="63"/>
      <c r="TZN2473" s="60"/>
      <c r="TZO2473" s="60"/>
      <c r="TZP2473" s="60"/>
      <c r="TZQ2473" s="63"/>
      <c r="TZR2473" s="61"/>
      <c r="TZS2473" s="54"/>
      <c r="TZT2473" s="54"/>
      <c r="TZU2473" s="63"/>
      <c r="TZV2473" s="60"/>
      <c r="TZW2473" s="60"/>
      <c r="TZX2473" s="60"/>
      <c r="TZY2473" s="63"/>
      <c r="TZZ2473" s="61"/>
      <c r="UAA2473" s="54"/>
      <c r="UAB2473" s="54"/>
      <c r="UAC2473" s="63"/>
      <c r="UAD2473" s="60"/>
      <c r="UAE2473" s="60"/>
      <c r="UAF2473" s="60"/>
      <c r="UAG2473" s="63"/>
      <c r="UAH2473" s="61"/>
      <c r="UAI2473" s="54"/>
      <c r="UAJ2473" s="54"/>
      <c r="UAK2473" s="63"/>
      <c r="UAL2473" s="60"/>
      <c r="UAM2473" s="60"/>
      <c r="UAN2473" s="60"/>
      <c r="UAO2473" s="63"/>
      <c r="UAP2473" s="61"/>
      <c r="UAQ2473" s="54"/>
      <c r="UAR2473" s="54"/>
      <c r="UAS2473" s="63"/>
      <c r="UAT2473" s="60"/>
      <c r="UAU2473" s="60"/>
      <c r="UAV2473" s="60"/>
      <c r="UAW2473" s="63"/>
      <c r="UAX2473" s="61"/>
      <c r="UAY2473" s="54"/>
      <c r="UAZ2473" s="54"/>
      <c r="UBA2473" s="63"/>
      <c r="UBB2473" s="60"/>
      <c r="UBC2473" s="60"/>
      <c r="UBD2473" s="60"/>
      <c r="UBE2473" s="63"/>
      <c r="UBF2473" s="61"/>
      <c r="UBG2473" s="54"/>
      <c r="UBH2473" s="54"/>
      <c r="UBI2473" s="63"/>
      <c r="UBJ2473" s="60"/>
      <c r="UBK2473" s="60"/>
      <c r="UBL2473" s="60"/>
      <c r="UBM2473" s="63"/>
      <c r="UBN2473" s="61"/>
      <c r="UBO2473" s="54"/>
      <c r="UBP2473" s="54"/>
      <c r="UBQ2473" s="63"/>
      <c r="UBR2473" s="60"/>
      <c r="UBS2473" s="60"/>
      <c r="UBT2473" s="60"/>
      <c r="UBU2473" s="63"/>
      <c r="UBV2473" s="61"/>
      <c r="UBW2473" s="54"/>
      <c r="UBX2473" s="54"/>
      <c r="UBY2473" s="63"/>
      <c r="UBZ2473" s="60"/>
      <c r="UCA2473" s="60"/>
      <c r="UCB2473" s="60"/>
      <c r="UCC2473" s="63"/>
      <c r="UCD2473" s="61"/>
      <c r="UCE2473" s="54"/>
      <c r="UCF2473" s="54"/>
      <c r="UCG2473" s="63"/>
      <c r="UCH2473" s="60"/>
      <c r="UCI2473" s="60"/>
      <c r="UCJ2473" s="60"/>
      <c r="UCK2473" s="63"/>
      <c r="UCL2473" s="61"/>
      <c r="UCM2473" s="54"/>
      <c r="UCN2473" s="54"/>
      <c r="UCO2473" s="63"/>
      <c r="UCP2473" s="60"/>
      <c r="UCQ2473" s="60"/>
      <c r="UCR2473" s="60"/>
      <c r="UCS2473" s="63"/>
      <c r="UCT2473" s="61"/>
      <c r="UCU2473" s="54"/>
      <c r="UCV2473" s="54"/>
      <c r="UCW2473" s="63"/>
      <c r="UCX2473" s="60"/>
      <c r="UCY2473" s="60"/>
      <c r="UCZ2473" s="60"/>
      <c r="UDA2473" s="63"/>
      <c r="UDB2473" s="61"/>
      <c r="UDC2473" s="54"/>
      <c r="UDD2473" s="54"/>
      <c r="UDE2473" s="63"/>
      <c r="UDF2473" s="60"/>
      <c r="UDG2473" s="60"/>
      <c r="UDH2473" s="60"/>
      <c r="UDI2473" s="63"/>
      <c r="UDJ2473" s="61"/>
      <c r="UDK2473" s="54"/>
      <c r="UDL2473" s="54"/>
      <c r="UDM2473" s="63"/>
      <c r="UDN2473" s="60"/>
      <c r="UDO2473" s="60"/>
      <c r="UDP2473" s="60"/>
      <c r="UDQ2473" s="63"/>
      <c r="UDR2473" s="61"/>
      <c r="UDS2473" s="54"/>
      <c r="UDT2473" s="54"/>
      <c r="UDU2473" s="63"/>
      <c r="UDV2473" s="60"/>
      <c r="UDW2473" s="60"/>
      <c r="UDX2473" s="60"/>
      <c r="UDY2473" s="63"/>
      <c r="UDZ2473" s="61"/>
      <c r="UEA2473" s="54"/>
      <c r="UEB2473" s="54"/>
      <c r="UEC2473" s="63"/>
      <c r="UED2473" s="60"/>
      <c r="UEE2473" s="60"/>
      <c r="UEF2473" s="60"/>
      <c r="UEG2473" s="63"/>
      <c r="UEH2473" s="61"/>
      <c r="UEI2473" s="54"/>
      <c r="UEJ2473" s="54"/>
      <c r="UEK2473" s="63"/>
      <c r="UEL2473" s="60"/>
      <c r="UEM2473" s="60"/>
      <c r="UEN2473" s="60"/>
      <c r="UEO2473" s="63"/>
      <c r="UEP2473" s="61"/>
      <c r="UEQ2473" s="54"/>
      <c r="UER2473" s="54"/>
      <c r="UES2473" s="63"/>
      <c r="UET2473" s="60"/>
      <c r="UEU2473" s="60"/>
      <c r="UEV2473" s="60"/>
      <c r="UEW2473" s="63"/>
      <c r="UEX2473" s="61"/>
      <c r="UEY2473" s="54"/>
      <c r="UEZ2473" s="54"/>
      <c r="UFA2473" s="63"/>
      <c r="UFB2473" s="60"/>
      <c r="UFC2473" s="60"/>
      <c r="UFD2473" s="60"/>
      <c r="UFE2473" s="63"/>
      <c r="UFF2473" s="61"/>
      <c r="UFG2473" s="54"/>
      <c r="UFH2473" s="54"/>
      <c r="UFI2473" s="63"/>
      <c r="UFJ2473" s="60"/>
      <c r="UFK2473" s="60"/>
      <c r="UFL2473" s="60"/>
      <c r="UFM2473" s="63"/>
      <c r="UFN2473" s="61"/>
      <c r="UFO2473" s="54"/>
      <c r="UFP2473" s="54"/>
      <c r="UFQ2473" s="63"/>
      <c r="UFR2473" s="60"/>
      <c r="UFS2473" s="60"/>
      <c r="UFT2473" s="60"/>
      <c r="UFU2473" s="63"/>
      <c r="UFV2473" s="61"/>
      <c r="UFW2473" s="54"/>
      <c r="UFX2473" s="54"/>
      <c r="UFY2473" s="63"/>
      <c r="UFZ2473" s="60"/>
      <c r="UGA2473" s="60"/>
      <c r="UGB2473" s="60"/>
      <c r="UGC2473" s="63"/>
      <c r="UGD2473" s="61"/>
      <c r="UGE2473" s="54"/>
      <c r="UGF2473" s="54"/>
      <c r="UGG2473" s="63"/>
      <c r="UGH2473" s="60"/>
      <c r="UGI2473" s="60"/>
      <c r="UGJ2473" s="60"/>
      <c r="UGK2473" s="63"/>
      <c r="UGL2473" s="61"/>
      <c r="UGM2473" s="54"/>
      <c r="UGN2473" s="54"/>
      <c r="UGO2473" s="63"/>
      <c r="UGP2473" s="60"/>
      <c r="UGQ2473" s="60"/>
      <c r="UGR2473" s="60"/>
      <c r="UGS2473" s="63"/>
      <c r="UGT2473" s="61"/>
      <c r="UGU2473" s="54"/>
      <c r="UGV2473" s="54"/>
      <c r="UGW2473" s="63"/>
      <c r="UGX2473" s="60"/>
      <c r="UGY2473" s="60"/>
      <c r="UGZ2473" s="60"/>
      <c r="UHA2473" s="63"/>
      <c r="UHB2473" s="61"/>
      <c r="UHC2473" s="54"/>
      <c r="UHD2473" s="54"/>
      <c r="UHE2473" s="63"/>
      <c r="UHF2473" s="60"/>
      <c r="UHG2473" s="60"/>
      <c r="UHH2473" s="60"/>
      <c r="UHI2473" s="63"/>
      <c r="UHJ2473" s="61"/>
      <c r="UHK2473" s="54"/>
      <c r="UHL2473" s="54"/>
      <c r="UHM2473" s="63"/>
      <c r="UHN2473" s="60"/>
      <c r="UHO2473" s="60"/>
      <c r="UHP2473" s="60"/>
      <c r="UHQ2473" s="63"/>
      <c r="UHR2473" s="61"/>
      <c r="UHS2473" s="54"/>
      <c r="UHT2473" s="54"/>
      <c r="UHU2473" s="63"/>
      <c r="UHV2473" s="60"/>
      <c r="UHW2473" s="60"/>
      <c r="UHX2473" s="60"/>
      <c r="UHY2473" s="63"/>
      <c r="UHZ2473" s="61"/>
      <c r="UIA2473" s="54"/>
      <c r="UIB2473" s="54"/>
      <c r="UIC2473" s="63"/>
      <c r="UID2473" s="60"/>
      <c r="UIE2473" s="60"/>
      <c r="UIF2473" s="60"/>
      <c r="UIG2473" s="63"/>
      <c r="UIH2473" s="61"/>
      <c r="UII2473" s="54"/>
      <c r="UIJ2473" s="54"/>
      <c r="UIK2473" s="63"/>
      <c r="UIL2473" s="60"/>
      <c r="UIM2473" s="60"/>
      <c r="UIN2473" s="60"/>
      <c r="UIO2473" s="63"/>
      <c r="UIP2473" s="61"/>
      <c r="UIQ2473" s="54"/>
      <c r="UIR2473" s="54"/>
      <c r="UIS2473" s="63"/>
      <c r="UIT2473" s="60"/>
      <c r="UIU2473" s="60"/>
      <c r="UIV2473" s="60"/>
      <c r="UIW2473" s="63"/>
      <c r="UIX2473" s="61"/>
      <c r="UIY2473" s="54"/>
      <c r="UIZ2473" s="54"/>
      <c r="UJA2473" s="63"/>
      <c r="UJB2473" s="60"/>
      <c r="UJC2473" s="60"/>
      <c r="UJD2473" s="60"/>
      <c r="UJE2473" s="63"/>
      <c r="UJF2473" s="61"/>
      <c r="UJG2473" s="54"/>
      <c r="UJH2473" s="54"/>
      <c r="UJI2473" s="63"/>
      <c r="UJJ2473" s="60"/>
      <c r="UJK2473" s="60"/>
      <c r="UJL2473" s="60"/>
      <c r="UJM2473" s="63"/>
      <c r="UJN2473" s="61"/>
      <c r="UJO2473" s="54"/>
      <c r="UJP2473" s="54"/>
      <c r="UJQ2473" s="63"/>
      <c r="UJR2473" s="60"/>
      <c r="UJS2473" s="60"/>
      <c r="UJT2473" s="60"/>
      <c r="UJU2473" s="63"/>
      <c r="UJV2473" s="61"/>
      <c r="UJW2473" s="54"/>
      <c r="UJX2473" s="54"/>
      <c r="UJY2473" s="63"/>
      <c r="UJZ2473" s="60"/>
      <c r="UKA2473" s="60"/>
      <c r="UKB2473" s="60"/>
      <c r="UKC2473" s="63"/>
      <c r="UKD2473" s="61"/>
      <c r="UKE2473" s="54"/>
      <c r="UKF2473" s="54"/>
      <c r="UKG2473" s="63"/>
      <c r="UKH2473" s="60"/>
      <c r="UKI2473" s="60"/>
      <c r="UKJ2473" s="60"/>
      <c r="UKK2473" s="63"/>
      <c r="UKL2473" s="61"/>
      <c r="UKM2473" s="54"/>
      <c r="UKN2473" s="54"/>
      <c r="UKO2473" s="63"/>
      <c r="UKP2473" s="60"/>
      <c r="UKQ2473" s="60"/>
      <c r="UKR2473" s="60"/>
      <c r="UKS2473" s="63"/>
      <c r="UKT2473" s="61"/>
      <c r="UKU2473" s="54"/>
      <c r="UKV2473" s="54"/>
      <c r="UKW2473" s="63"/>
      <c r="UKX2473" s="60"/>
      <c r="UKY2473" s="60"/>
      <c r="UKZ2473" s="60"/>
      <c r="ULA2473" s="63"/>
      <c r="ULB2473" s="61"/>
      <c r="ULC2473" s="54"/>
      <c r="ULD2473" s="54"/>
      <c r="ULE2473" s="63"/>
      <c r="ULF2473" s="60"/>
      <c r="ULG2473" s="60"/>
      <c r="ULH2473" s="60"/>
      <c r="ULI2473" s="63"/>
      <c r="ULJ2473" s="61"/>
      <c r="ULK2473" s="54"/>
      <c r="ULL2473" s="54"/>
      <c r="ULM2473" s="63"/>
      <c r="ULN2473" s="60"/>
      <c r="ULO2473" s="60"/>
      <c r="ULP2473" s="60"/>
      <c r="ULQ2473" s="63"/>
      <c r="ULR2473" s="61"/>
      <c r="ULS2473" s="54"/>
      <c r="ULT2473" s="54"/>
      <c r="ULU2473" s="63"/>
      <c r="ULV2473" s="60"/>
      <c r="ULW2473" s="60"/>
      <c r="ULX2473" s="60"/>
      <c r="ULY2473" s="63"/>
      <c r="ULZ2473" s="61"/>
      <c r="UMA2473" s="54"/>
      <c r="UMB2473" s="54"/>
      <c r="UMC2473" s="63"/>
      <c r="UMD2473" s="60"/>
      <c r="UME2473" s="60"/>
      <c r="UMF2473" s="60"/>
      <c r="UMG2473" s="63"/>
      <c r="UMH2473" s="61"/>
      <c r="UMI2473" s="54"/>
      <c r="UMJ2473" s="54"/>
      <c r="UMK2473" s="63"/>
      <c r="UML2473" s="60"/>
      <c r="UMM2473" s="60"/>
      <c r="UMN2473" s="60"/>
      <c r="UMO2473" s="63"/>
      <c r="UMP2473" s="61"/>
      <c r="UMQ2473" s="54"/>
      <c r="UMR2473" s="54"/>
      <c r="UMS2473" s="63"/>
      <c r="UMT2473" s="60"/>
      <c r="UMU2473" s="60"/>
      <c r="UMV2473" s="60"/>
      <c r="UMW2473" s="63"/>
      <c r="UMX2473" s="61"/>
      <c r="UMY2473" s="54"/>
      <c r="UMZ2473" s="54"/>
      <c r="UNA2473" s="63"/>
      <c r="UNB2473" s="60"/>
      <c r="UNC2473" s="60"/>
      <c r="UND2473" s="60"/>
      <c r="UNE2473" s="63"/>
      <c r="UNF2473" s="61"/>
      <c r="UNG2473" s="54"/>
      <c r="UNH2473" s="54"/>
      <c r="UNI2473" s="63"/>
      <c r="UNJ2473" s="60"/>
      <c r="UNK2473" s="60"/>
      <c r="UNL2473" s="60"/>
      <c r="UNM2473" s="63"/>
      <c r="UNN2473" s="61"/>
      <c r="UNO2473" s="54"/>
      <c r="UNP2473" s="54"/>
      <c r="UNQ2473" s="63"/>
      <c r="UNR2473" s="60"/>
      <c r="UNS2473" s="60"/>
      <c r="UNT2473" s="60"/>
      <c r="UNU2473" s="63"/>
      <c r="UNV2473" s="61"/>
      <c r="UNW2473" s="54"/>
      <c r="UNX2473" s="54"/>
      <c r="UNY2473" s="63"/>
      <c r="UNZ2473" s="60"/>
      <c r="UOA2473" s="60"/>
      <c r="UOB2473" s="60"/>
      <c r="UOC2473" s="63"/>
      <c r="UOD2473" s="61"/>
      <c r="UOE2473" s="54"/>
      <c r="UOF2473" s="54"/>
      <c r="UOG2473" s="63"/>
      <c r="UOH2473" s="60"/>
      <c r="UOI2473" s="60"/>
      <c r="UOJ2473" s="60"/>
      <c r="UOK2473" s="63"/>
      <c r="UOL2473" s="61"/>
      <c r="UOM2473" s="54"/>
      <c r="UON2473" s="54"/>
      <c r="UOO2473" s="63"/>
      <c r="UOP2473" s="60"/>
      <c r="UOQ2473" s="60"/>
      <c r="UOR2473" s="60"/>
      <c r="UOS2473" s="63"/>
      <c r="UOT2473" s="61"/>
      <c r="UOU2473" s="54"/>
      <c r="UOV2473" s="54"/>
      <c r="UOW2473" s="63"/>
      <c r="UOX2473" s="60"/>
      <c r="UOY2473" s="60"/>
      <c r="UOZ2473" s="60"/>
      <c r="UPA2473" s="63"/>
      <c r="UPB2473" s="61"/>
      <c r="UPC2473" s="54"/>
      <c r="UPD2473" s="54"/>
      <c r="UPE2473" s="63"/>
      <c r="UPF2473" s="60"/>
      <c r="UPG2473" s="60"/>
      <c r="UPH2473" s="60"/>
      <c r="UPI2473" s="63"/>
      <c r="UPJ2473" s="61"/>
      <c r="UPK2473" s="54"/>
      <c r="UPL2473" s="54"/>
      <c r="UPM2473" s="63"/>
      <c r="UPN2473" s="60"/>
      <c r="UPO2473" s="60"/>
      <c r="UPP2473" s="60"/>
      <c r="UPQ2473" s="63"/>
      <c r="UPR2473" s="61"/>
      <c r="UPS2473" s="54"/>
      <c r="UPT2473" s="54"/>
      <c r="UPU2473" s="63"/>
      <c r="UPV2473" s="60"/>
      <c r="UPW2473" s="60"/>
      <c r="UPX2473" s="60"/>
      <c r="UPY2473" s="63"/>
      <c r="UPZ2473" s="61"/>
      <c r="UQA2473" s="54"/>
      <c r="UQB2473" s="54"/>
      <c r="UQC2473" s="63"/>
      <c r="UQD2473" s="60"/>
      <c r="UQE2473" s="60"/>
      <c r="UQF2473" s="60"/>
      <c r="UQG2473" s="63"/>
      <c r="UQH2473" s="61"/>
      <c r="UQI2473" s="54"/>
      <c r="UQJ2473" s="54"/>
      <c r="UQK2473" s="63"/>
      <c r="UQL2473" s="60"/>
      <c r="UQM2473" s="60"/>
      <c r="UQN2473" s="60"/>
      <c r="UQO2473" s="63"/>
      <c r="UQP2473" s="61"/>
      <c r="UQQ2473" s="54"/>
      <c r="UQR2473" s="54"/>
      <c r="UQS2473" s="63"/>
      <c r="UQT2473" s="60"/>
      <c r="UQU2473" s="60"/>
      <c r="UQV2473" s="60"/>
      <c r="UQW2473" s="63"/>
      <c r="UQX2473" s="61"/>
      <c r="UQY2473" s="54"/>
      <c r="UQZ2473" s="54"/>
      <c r="URA2473" s="63"/>
      <c r="URB2473" s="60"/>
      <c r="URC2473" s="60"/>
      <c r="URD2473" s="60"/>
      <c r="URE2473" s="63"/>
      <c r="URF2473" s="61"/>
      <c r="URG2473" s="54"/>
      <c r="URH2473" s="54"/>
      <c r="URI2473" s="63"/>
      <c r="URJ2473" s="60"/>
      <c r="URK2473" s="60"/>
      <c r="URL2473" s="60"/>
      <c r="URM2473" s="63"/>
      <c r="URN2473" s="61"/>
      <c r="URO2473" s="54"/>
      <c r="URP2473" s="54"/>
      <c r="URQ2473" s="63"/>
      <c r="URR2473" s="60"/>
      <c r="URS2473" s="60"/>
      <c r="URT2473" s="60"/>
      <c r="URU2473" s="63"/>
      <c r="URV2473" s="61"/>
      <c r="URW2473" s="54"/>
      <c r="URX2473" s="54"/>
      <c r="URY2473" s="63"/>
      <c r="URZ2473" s="60"/>
      <c r="USA2473" s="60"/>
      <c r="USB2473" s="60"/>
      <c r="USC2473" s="63"/>
      <c r="USD2473" s="61"/>
      <c r="USE2473" s="54"/>
      <c r="USF2473" s="54"/>
      <c r="USG2473" s="63"/>
      <c r="USH2473" s="60"/>
      <c r="USI2473" s="60"/>
      <c r="USJ2473" s="60"/>
      <c r="USK2473" s="63"/>
      <c r="USL2473" s="61"/>
      <c r="USM2473" s="54"/>
      <c r="USN2473" s="54"/>
      <c r="USO2473" s="63"/>
      <c r="USP2473" s="60"/>
      <c r="USQ2473" s="60"/>
      <c r="USR2473" s="60"/>
      <c r="USS2473" s="63"/>
      <c r="UST2473" s="61"/>
      <c r="USU2473" s="54"/>
      <c r="USV2473" s="54"/>
      <c r="USW2473" s="63"/>
      <c r="USX2473" s="60"/>
      <c r="USY2473" s="60"/>
      <c r="USZ2473" s="60"/>
      <c r="UTA2473" s="63"/>
      <c r="UTB2473" s="61"/>
      <c r="UTC2473" s="54"/>
      <c r="UTD2473" s="54"/>
      <c r="UTE2473" s="63"/>
      <c r="UTF2473" s="60"/>
      <c r="UTG2473" s="60"/>
      <c r="UTH2473" s="60"/>
      <c r="UTI2473" s="63"/>
      <c r="UTJ2473" s="61"/>
      <c r="UTK2473" s="54"/>
      <c r="UTL2473" s="54"/>
      <c r="UTM2473" s="63"/>
      <c r="UTN2473" s="60"/>
      <c r="UTO2473" s="60"/>
      <c r="UTP2473" s="60"/>
      <c r="UTQ2473" s="63"/>
      <c r="UTR2473" s="61"/>
      <c r="UTS2473" s="54"/>
      <c r="UTT2473" s="54"/>
      <c r="UTU2473" s="63"/>
      <c r="UTV2473" s="60"/>
      <c r="UTW2473" s="60"/>
      <c r="UTX2473" s="60"/>
      <c r="UTY2473" s="63"/>
      <c r="UTZ2473" s="61"/>
      <c r="UUA2473" s="54"/>
      <c r="UUB2473" s="54"/>
      <c r="UUC2473" s="63"/>
      <c r="UUD2473" s="60"/>
      <c r="UUE2473" s="60"/>
      <c r="UUF2473" s="60"/>
      <c r="UUG2473" s="63"/>
      <c r="UUH2473" s="61"/>
      <c r="UUI2473" s="54"/>
      <c r="UUJ2473" s="54"/>
      <c r="UUK2473" s="63"/>
      <c r="UUL2473" s="60"/>
      <c r="UUM2473" s="60"/>
      <c r="UUN2473" s="60"/>
      <c r="UUO2473" s="63"/>
      <c r="UUP2473" s="61"/>
      <c r="UUQ2473" s="54"/>
      <c r="UUR2473" s="54"/>
      <c r="UUS2473" s="63"/>
      <c r="UUT2473" s="60"/>
      <c r="UUU2473" s="60"/>
      <c r="UUV2473" s="60"/>
      <c r="UUW2473" s="63"/>
      <c r="UUX2473" s="61"/>
      <c r="UUY2473" s="54"/>
      <c r="UUZ2473" s="54"/>
      <c r="UVA2473" s="63"/>
      <c r="UVB2473" s="60"/>
      <c r="UVC2473" s="60"/>
      <c r="UVD2473" s="60"/>
      <c r="UVE2473" s="63"/>
      <c r="UVF2473" s="61"/>
      <c r="UVG2473" s="54"/>
      <c r="UVH2473" s="54"/>
      <c r="UVI2473" s="63"/>
      <c r="UVJ2473" s="60"/>
      <c r="UVK2473" s="60"/>
      <c r="UVL2473" s="60"/>
      <c r="UVM2473" s="63"/>
      <c r="UVN2473" s="61"/>
      <c r="UVO2473" s="54"/>
      <c r="UVP2473" s="54"/>
      <c r="UVQ2473" s="63"/>
      <c r="UVR2473" s="60"/>
      <c r="UVS2473" s="60"/>
      <c r="UVT2473" s="60"/>
      <c r="UVU2473" s="63"/>
      <c r="UVV2473" s="61"/>
      <c r="UVW2473" s="54"/>
      <c r="UVX2473" s="54"/>
      <c r="UVY2473" s="63"/>
      <c r="UVZ2473" s="60"/>
      <c r="UWA2473" s="60"/>
      <c r="UWB2473" s="60"/>
      <c r="UWC2473" s="63"/>
      <c r="UWD2473" s="61"/>
      <c r="UWE2473" s="54"/>
      <c r="UWF2473" s="54"/>
      <c r="UWG2473" s="63"/>
      <c r="UWH2473" s="60"/>
      <c r="UWI2473" s="60"/>
      <c r="UWJ2473" s="60"/>
      <c r="UWK2473" s="63"/>
      <c r="UWL2473" s="61"/>
      <c r="UWM2473" s="54"/>
      <c r="UWN2473" s="54"/>
      <c r="UWO2473" s="63"/>
      <c r="UWP2473" s="60"/>
      <c r="UWQ2473" s="60"/>
      <c r="UWR2473" s="60"/>
      <c r="UWS2473" s="63"/>
      <c r="UWT2473" s="61"/>
      <c r="UWU2473" s="54"/>
      <c r="UWV2473" s="54"/>
      <c r="UWW2473" s="63"/>
      <c r="UWX2473" s="60"/>
      <c r="UWY2473" s="60"/>
      <c r="UWZ2473" s="60"/>
      <c r="UXA2473" s="63"/>
      <c r="UXB2473" s="61"/>
      <c r="UXC2473" s="54"/>
      <c r="UXD2473" s="54"/>
      <c r="UXE2473" s="63"/>
      <c r="UXF2473" s="60"/>
      <c r="UXG2473" s="60"/>
      <c r="UXH2473" s="60"/>
      <c r="UXI2473" s="63"/>
      <c r="UXJ2473" s="61"/>
      <c r="UXK2473" s="54"/>
      <c r="UXL2473" s="54"/>
      <c r="UXM2473" s="63"/>
      <c r="UXN2473" s="60"/>
      <c r="UXO2473" s="60"/>
      <c r="UXP2473" s="60"/>
      <c r="UXQ2473" s="63"/>
      <c r="UXR2473" s="61"/>
      <c r="UXS2473" s="54"/>
      <c r="UXT2473" s="54"/>
      <c r="UXU2473" s="63"/>
      <c r="UXV2473" s="60"/>
      <c r="UXW2473" s="60"/>
      <c r="UXX2473" s="60"/>
      <c r="UXY2473" s="63"/>
      <c r="UXZ2473" s="61"/>
      <c r="UYA2473" s="54"/>
      <c r="UYB2473" s="54"/>
      <c r="UYC2473" s="63"/>
      <c r="UYD2473" s="60"/>
      <c r="UYE2473" s="60"/>
      <c r="UYF2473" s="60"/>
      <c r="UYG2473" s="63"/>
      <c r="UYH2473" s="61"/>
      <c r="UYI2473" s="54"/>
      <c r="UYJ2473" s="54"/>
      <c r="UYK2473" s="63"/>
      <c r="UYL2473" s="60"/>
      <c r="UYM2473" s="60"/>
      <c r="UYN2473" s="60"/>
      <c r="UYO2473" s="63"/>
      <c r="UYP2473" s="61"/>
      <c r="UYQ2473" s="54"/>
      <c r="UYR2473" s="54"/>
      <c r="UYS2473" s="63"/>
      <c r="UYT2473" s="60"/>
      <c r="UYU2473" s="60"/>
      <c r="UYV2473" s="60"/>
      <c r="UYW2473" s="63"/>
      <c r="UYX2473" s="61"/>
      <c r="UYY2473" s="54"/>
      <c r="UYZ2473" s="54"/>
      <c r="UZA2473" s="63"/>
      <c r="UZB2473" s="60"/>
      <c r="UZC2473" s="60"/>
      <c r="UZD2473" s="60"/>
      <c r="UZE2473" s="63"/>
      <c r="UZF2473" s="61"/>
      <c r="UZG2473" s="54"/>
      <c r="UZH2473" s="54"/>
      <c r="UZI2473" s="63"/>
      <c r="UZJ2473" s="60"/>
      <c r="UZK2473" s="60"/>
      <c r="UZL2473" s="60"/>
      <c r="UZM2473" s="63"/>
      <c r="UZN2473" s="61"/>
      <c r="UZO2473" s="54"/>
      <c r="UZP2473" s="54"/>
      <c r="UZQ2473" s="63"/>
      <c r="UZR2473" s="60"/>
      <c r="UZS2473" s="60"/>
      <c r="UZT2473" s="60"/>
      <c r="UZU2473" s="63"/>
      <c r="UZV2473" s="61"/>
      <c r="UZW2473" s="54"/>
      <c r="UZX2473" s="54"/>
      <c r="UZY2473" s="63"/>
      <c r="UZZ2473" s="60"/>
      <c r="VAA2473" s="60"/>
      <c r="VAB2473" s="60"/>
      <c r="VAC2473" s="63"/>
      <c r="VAD2473" s="61"/>
      <c r="VAE2473" s="54"/>
      <c r="VAF2473" s="54"/>
      <c r="VAG2473" s="63"/>
      <c r="VAH2473" s="60"/>
      <c r="VAI2473" s="60"/>
      <c r="VAJ2473" s="60"/>
      <c r="VAK2473" s="63"/>
      <c r="VAL2473" s="61"/>
      <c r="VAM2473" s="54"/>
      <c r="VAN2473" s="54"/>
      <c r="VAO2473" s="63"/>
      <c r="VAP2473" s="60"/>
      <c r="VAQ2473" s="60"/>
      <c r="VAR2473" s="60"/>
      <c r="VAS2473" s="63"/>
      <c r="VAT2473" s="61"/>
      <c r="VAU2473" s="54"/>
      <c r="VAV2473" s="54"/>
      <c r="VAW2473" s="63"/>
      <c r="VAX2473" s="60"/>
      <c r="VAY2473" s="60"/>
      <c r="VAZ2473" s="60"/>
      <c r="VBA2473" s="63"/>
      <c r="VBB2473" s="61"/>
      <c r="VBC2473" s="54"/>
      <c r="VBD2473" s="54"/>
      <c r="VBE2473" s="63"/>
      <c r="VBF2473" s="60"/>
      <c r="VBG2473" s="60"/>
      <c r="VBH2473" s="60"/>
      <c r="VBI2473" s="63"/>
      <c r="VBJ2473" s="61"/>
      <c r="VBK2473" s="54"/>
      <c r="VBL2473" s="54"/>
      <c r="VBM2473" s="63"/>
      <c r="VBN2473" s="60"/>
      <c r="VBO2473" s="60"/>
      <c r="VBP2473" s="60"/>
      <c r="VBQ2473" s="63"/>
      <c r="VBR2473" s="61"/>
      <c r="VBS2473" s="54"/>
      <c r="VBT2473" s="54"/>
      <c r="VBU2473" s="63"/>
      <c r="VBV2473" s="60"/>
      <c r="VBW2473" s="60"/>
      <c r="VBX2473" s="60"/>
      <c r="VBY2473" s="63"/>
      <c r="VBZ2473" s="61"/>
      <c r="VCA2473" s="54"/>
      <c r="VCB2473" s="54"/>
      <c r="VCC2473" s="63"/>
      <c r="VCD2473" s="60"/>
      <c r="VCE2473" s="60"/>
      <c r="VCF2473" s="60"/>
      <c r="VCG2473" s="63"/>
      <c r="VCH2473" s="61"/>
      <c r="VCI2473" s="54"/>
      <c r="VCJ2473" s="54"/>
      <c r="VCK2473" s="63"/>
      <c r="VCL2473" s="60"/>
      <c r="VCM2473" s="60"/>
      <c r="VCN2473" s="60"/>
      <c r="VCO2473" s="63"/>
      <c r="VCP2473" s="61"/>
      <c r="VCQ2473" s="54"/>
      <c r="VCR2473" s="54"/>
      <c r="VCS2473" s="63"/>
      <c r="VCT2473" s="60"/>
      <c r="VCU2473" s="60"/>
      <c r="VCV2473" s="60"/>
      <c r="VCW2473" s="63"/>
      <c r="VCX2473" s="61"/>
      <c r="VCY2473" s="54"/>
      <c r="VCZ2473" s="54"/>
      <c r="VDA2473" s="63"/>
      <c r="VDB2473" s="60"/>
      <c r="VDC2473" s="60"/>
      <c r="VDD2473" s="60"/>
      <c r="VDE2473" s="63"/>
      <c r="VDF2473" s="61"/>
      <c r="VDG2473" s="54"/>
      <c r="VDH2473" s="54"/>
      <c r="VDI2473" s="63"/>
      <c r="VDJ2473" s="60"/>
      <c r="VDK2473" s="60"/>
      <c r="VDL2473" s="60"/>
      <c r="VDM2473" s="63"/>
      <c r="VDN2473" s="61"/>
      <c r="VDO2473" s="54"/>
      <c r="VDP2473" s="54"/>
      <c r="VDQ2473" s="63"/>
      <c r="VDR2473" s="60"/>
      <c r="VDS2473" s="60"/>
      <c r="VDT2473" s="60"/>
      <c r="VDU2473" s="63"/>
      <c r="VDV2473" s="61"/>
      <c r="VDW2473" s="54"/>
      <c r="VDX2473" s="54"/>
      <c r="VDY2473" s="63"/>
      <c r="VDZ2473" s="60"/>
      <c r="VEA2473" s="60"/>
      <c r="VEB2473" s="60"/>
      <c r="VEC2473" s="63"/>
      <c r="VED2473" s="61"/>
      <c r="VEE2473" s="54"/>
      <c r="VEF2473" s="54"/>
      <c r="VEG2473" s="63"/>
      <c r="VEH2473" s="60"/>
      <c r="VEI2473" s="60"/>
      <c r="VEJ2473" s="60"/>
      <c r="VEK2473" s="63"/>
      <c r="VEL2473" s="61"/>
      <c r="VEM2473" s="54"/>
      <c r="VEN2473" s="54"/>
      <c r="VEO2473" s="63"/>
      <c r="VEP2473" s="60"/>
      <c r="VEQ2473" s="60"/>
      <c r="VER2473" s="60"/>
      <c r="VES2473" s="63"/>
      <c r="VET2473" s="61"/>
      <c r="VEU2473" s="54"/>
      <c r="VEV2473" s="54"/>
      <c r="VEW2473" s="63"/>
      <c r="VEX2473" s="60"/>
      <c r="VEY2473" s="60"/>
      <c r="VEZ2473" s="60"/>
      <c r="VFA2473" s="63"/>
      <c r="VFB2473" s="61"/>
      <c r="VFC2473" s="54"/>
      <c r="VFD2473" s="54"/>
      <c r="VFE2473" s="63"/>
      <c r="VFF2473" s="60"/>
      <c r="VFG2473" s="60"/>
      <c r="VFH2473" s="60"/>
      <c r="VFI2473" s="63"/>
      <c r="VFJ2473" s="61"/>
      <c r="VFK2473" s="54"/>
      <c r="VFL2473" s="54"/>
      <c r="VFM2473" s="63"/>
      <c r="VFN2473" s="60"/>
      <c r="VFO2473" s="60"/>
      <c r="VFP2473" s="60"/>
      <c r="VFQ2473" s="63"/>
      <c r="VFR2473" s="61"/>
      <c r="VFS2473" s="54"/>
      <c r="VFT2473" s="54"/>
      <c r="VFU2473" s="63"/>
      <c r="VFV2473" s="60"/>
      <c r="VFW2473" s="60"/>
      <c r="VFX2473" s="60"/>
      <c r="VFY2473" s="63"/>
      <c r="VFZ2473" s="61"/>
      <c r="VGA2473" s="54"/>
      <c r="VGB2473" s="54"/>
      <c r="VGC2473" s="63"/>
      <c r="VGD2473" s="60"/>
      <c r="VGE2473" s="60"/>
      <c r="VGF2473" s="60"/>
      <c r="VGG2473" s="63"/>
      <c r="VGH2473" s="61"/>
      <c r="VGI2473" s="54"/>
      <c r="VGJ2473" s="54"/>
      <c r="VGK2473" s="63"/>
      <c r="VGL2473" s="60"/>
      <c r="VGM2473" s="60"/>
      <c r="VGN2473" s="60"/>
      <c r="VGO2473" s="63"/>
      <c r="VGP2473" s="61"/>
      <c r="VGQ2473" s="54"/>
      <c r="VGR2473" s="54"/>
      <c r="VGS2473" s="63"/>
      <c r="VGT2473" s="60"/>
      <c r="VGU2473" s="60"/>
      <c r="VGV2473" s="60"/>
      <c r="VGW2473" s="63"/>
      <c r="VGX2473" s="61"/>
      <c r="VGY2473" s="54"/>
      <c r="VGZ2473" s="54"/>
      <c r="VHA2473" s="63"/>
      <c r="VHB2473" s="60"/>
      <c r="VHC2473" s="60"/>
      <c r="VHD2473" s="60"/>
      <c r="VHE2473" s="63"/>
      <c r="VHF2473" s="61"/>
      <c r="VHG2473" s="54"/>
      <c r="VHH2473" s="54"/>
      <c r="VHI2473" s="63"/>
      <c r="VHJ2473" s="60"/>
      <c r="VHK2473" s="60"/>
      <c r="VHL2473" s="60"/>
      <c r="VHM2473" s="63"/>
      <c r="VHN2473" s="61"/>
      <c r="VHO2473" s="54"/>
      <c r="VHP2473" s="54"/>
      <c r="VHQ2473" s="63"/>
      <c r="VHR2473" s="60"/>
      <c r="VHS2473" s="60"/>
      <c r="VHT2473" s="60"/>
      <c r="VHU2473" s="63"/>
      <c r="VHV2473" s="61"/>
      <c r="VHW2473" s="54"/>
      <c r="VHX2473" s="54"/>
      <c r="VHY2473" s="63"/>
      <c r="VHZ2473" s="60"/>
      <c r="VIA2473" s="60"/>
      <c r="VIB2473" s="60"/>
      <c r="VIC2473" s="63"/>
      <c r="VID2473" s="61"/>
      <c r="VIE2473" s="54"/>
      <c r="VIF2473" s="54"/>
      <c r="VIG2473" s="63"/>
      <c r="VIH2473" s="60"/>
      <c r="VII2473" s="60"/>
      <c r="VIJ2473" s="60"/>
      <c r="VIK2473" s="63"/>
      <c r="VIL2473" s="61"/>
      <c r="VIM2473" s="54"/>
      <c r="VIN2473" s="54"/>
      <c r="VIO2473" s="63"/>
      <c r="VIP2473" s="60"/>
      <c r="VIQ2473" s="60"/>
      <c r="VIR2473" s="60"/>
      <c r="VIS2473" s="63"/>
      <c r="VIT2473" s="61"/>
      <c r="VIU2473" s="54"/>
      <c r="VIV2473" s="54"/>
      <c r="VIW2473" s="63"/>
      <c r="VIX2473" s="60"/>
      <c r="VIY2473" s="60"/>
      <c r="VIZ2473" s="60"/>
      <c r="VJA2473" s="63"/>
      <c r="VJB2473" s="61"/>
      <c r="VJC2473" s="54"/>
      <c r="VJD2473" s="54"/>
      <c r="VJE2473" s="63"/>
      <c r="VJF2473" s="60"/>
      <c r="VJG2473" s="60"/>
      <c r="VJH2473" s="60"/>
      <c r="VJI2473" s="63"/>
      <c r="VJJ2473" s="61"/>
      <c r="VJK2473" s="54"/>
      <c r="VJL2473" s="54"/>
      <c r="VJM2473" s="63"/>
      <c r="VJN2473" s="60"/>
      <c r="VJO2473" s="60"/>
      <c r="VJP2473" s="60"/>
      <c r="VJQ2473" s="63"/>
      <c r="VJR2473" s="61"/>
      <c r="VJS2473" s="54"/>
      <c r="VJT2473" s="54"/>
      <c r="VJU2473" s="63"/>
      <c r="VJV2473" s="60"/>
      <c r="VJW2473" s="60"/>
      <c r="VJX2473" s="60"/>
      <c r="VJY2473" s="63"/>
      <c r="VJZ2473" s="61"/>
      <c r="VKA2473" s="54"/>
      <c r="VKB2473" s="54"/>
      <c r="VKC2473" s="63"/>
      <c r="VKD2473" s="60"/>
      <c r="VKE2473" s="60"/>
      <c r="VKF2473" s="60"/>
      <c r="VKG2473" s="63"/>
      <c r="VKH2473" s="61"/>
      <c r="VKI2473" s="54"/>
      <c r="VKJ2473" s="54"/>
      <c r="VKK2473" s="63"/>
      <c r="VKL2473" s="60"/>
      <c r="VKM2473" s="60"/>
      <c r="VKN2473" s="60"/>
      <c r="VKO2473" s="63"/>
      <c r="VKP2473" s="61"/>
      <c r="VKQ2473" s="54"/>
      <c r="VKR2473" s="54"/>
      <c r="VKS2473" s="63"/>
      <c r="VKT2473" s="60"/>
      <c r="VKU2473" s="60"/>
      <c r="VKV2473" s="60"/>
      <c r="VKW2473" s="63"/>
      <c r="VKX2473" s="61"/>
      <c r="VKY2473" s="54"/>
      <c r="VKZ2473" s="54"/>
      <c r="VLA2473" s="63"/>
      <c r="VLB2473" s="60"/>
      <c r="VLC2473" s="60"/>
      <c r="VLD2473" s="60"/>
      <c r="VLE2473" s="63"/>
      <c r="VLF2473" s="61"/>
      <c r="VLG2473" s="54"/>
      <c r="VLH2473" s="54"/>
      <c r="VLI2473" s="63"/>
      <c r="VLJ2473" s="60"/>
      <c r="VLK2473" s="60"/>
      <c r="VLL2473" s="60"/>
      <c r="VLM2473" s="63"/>
      <c r="VLN2473" s="61"/>
      <c r="VLO2473" s="54"/>
      <c r="VLP2473" s="54"/>
      <c r="VLQ2473" s="63"/>
      <c r="VLR2473" s="60"/>
      <c r="VLS2473" s="60"/>
      <c r="VLT2473" s="60"/>
      <c r="VLU2473" s="63"/>
      <c r="VLV2473" s="61"/>
      <c r="VLW2473" s="54"/>
      <c r="VLX2473" s="54"/>
      <c r="VLY2473" s="63"/>
      <c r="VLZ2473" s="60"/>
      <c r="VMA2473" s="60"/>
      <c r="VMB2473" s="60"/>
      <c r="VMC2473" s="63"/>
      <c r="VMD2473" s="61"/>
      <c r="VME2473" s="54"/>
      <c r="VMF2473" s="54"/>
      <c r="VMG2473" s="63"/>
      <c r="VMH2473" s="60"/>
      <c r="VMI2473" s="60"/>
      <c r="VMJ2473" s="60"/>
      <c r="VMK2473" s="63"/>
      <c r="VML2473" s="61"/>
      <c r="VMM2473" s="54"/>
      <c r="VMN2473" s="54"/>
      <c r="VMO2473" s="63"/>
      <c r="VMP2473" s="60"/>
      <c r="VMQ2473" s="60"/>
      <c r="VMR2473" s="60"/>
      <c r="VMS2473" s="63"/>
      <c r="VMT2473" s="61"/>
      <c r="VMU2473" s="54"/>
      <c r="VMV2473" s="54"/>
      <c r="VMW2473" s="63"/>
      <c r="VMX2473" s="60"/>
      <c r="VMY2473" s="60"/>
      <c r="VMZ2473" s="60"/>
      <c r="VNA2473" s="63"/>
      <c r="VNB2473" s="61"/>
      <c r="VNC2473" s="54"/>
      <c r="VND2473" s="54"/>
      <c r="VNE2473" s="63"/>
      <c r="VNF2473" s="60"/>
      <c r="VNG2473" s="60"/>
      <c r="VNH2473" s="60"/>
      <c r="VNI2473" s="63"/>
      <c r="VNJ2473" s="61"/>
      <c r="VNK2473" s="54"/>
      <c r="VNL2473" s="54"/>
      <c r="VNM2473" s="63"/>
      <c r="VNN2473" s="60"/>
      <c r="VNO2473" s="60"/>
      <c r="VNP2473" s="60"/>
      <c r="VNQ2473" s="63"/>
      <c r="VNR2473" s="61"/>
      <c r="VNS2473" s="54"/>
      <c r="VNT2473" s="54"/>
      <c r="VNU2473" s="63"/>
      <c r="VNV2473" s="60"/>
      <c r="VNW2473" s="60"/>
      <c r="VNX2473" s="60"/>
      <c r="VNY2473" s="63"/>
      <c r="VNZ2473" s="61"/>
      <c r="VOA2473" s="54"/>
      <c r="VOB2473" s="54"/>
      <c r="VOC2473" s="63"/>
      <c r="VOD2473" s="60"/>
      <c r="VOE2473" s="60"/>
      <c r="VOF2473" s="60"/>
      <c r="VOG2473" s="63"/>
      <c r="VOH2473" s="61"/>
      <c r="VOI2473" s="54"/>
      <c r="VOJ2473" s="54"/>
      <c r="VOK2473" s="63"/>
      <c r="VOL2473" s="60"/>
      <c r="VOM2473" s="60"/>
      <c r="VON2473" s="60"/>
      <c r="VOO2473" s="63"/>
      <c r="VOP2473" s="61"/>
      <c r="VOQ2473" s="54"/>
      <c r="VOR2473" s="54"/>
      <c r="VOS2473" s="63"/>
      <c r="VOT2473" s="60"/>
      <c r="VOU2473" s="60"/>
      <c r="VOV2473" s="60"/>
      <c r="VOW2473" s="63"/>
      <c r="VOX2473" s="61"/>
      <c r="VOY2473" s="54"/>
      <c r="VOZ2473" s="54"/>
      <c r="VPA2473" s="63"/>
      <c r="VPB2473" s="60"/>
      <c r="VPC2473" s="60"/>
      <c r="VPD2473" s="60"/>
      <c r="VPE2473" s="63"/>
      <c r="VPF2473" s="61"/>
      <c r="VPG2473" s="54"/>
      <c r="VPH2473" s="54"/>
      <c r="VPI2473" s="63"/>
      <c r="VPJ2473" s="60"/>
      <c r="VPK2473" s="60"/>
      <c r="VPL2473" s="60"/>
      <c r="VPM2473" s="63"/>
      <c r="VPN2473" s="61"/>
      <c r="VPO2473" s="54"/>
      <c r="VPP2473" s="54"/>
      <c r="VPQ2473" s="63"/>
      <c r="VPR2473" s="60"/>
      <c r="VPS2473" s="60"/>
      <c r="VPT2473" s="60"/>
      <c r="VPU2473" s="63"/>
      <c r="VPV2473" s="61"/>
      <c r="VPW2473" s="54"/>
      <c r="VPX2473" s="54"/>
      <c r="VPY2473" s="63"/>
      <c r="VPZ2473" s="60"/>
      <c r="VQA2473" s="60"/>
      <c r="VQB2473" s="60"/>
      <c r="VQC2473" s="63"/>
      <c r="VQD2473" s="61"/>
      <c r="VQE2473" s="54"/>
      <c r="VQF2473" s="54"/>
      <c r="VQG2473" s="63"/>
      <c r="VQH2473" s="60"/>
      <c r="VQI2473" s="60"/>
      <c r="VQJ2473" s="60"/>
      <c r="VQK2473" s="63"/>
      <c r="VQL2473" s="61"/>
      <c r="VQM2473" s="54"/>
      <c r="VQN2473" s="54"/>
      <c r="VQO2473" s="63"/>
      <c r="VQP2473" s="60"/>
      <c r="VQQ2473" s="60"/>
      <c r="VQR2473" s="60"/>
      <c r="VQS2473" s="63"/>
      <c r="VQT2473" s="61"/>
      <c r="VQU2473" s="54"/>
      <c r="VQV2473" s="54"/>
      <c r="VQW2473" s="63"/>
      <c r="VQX2473" s="60"/>
      <c r="VQY2473" s="60"/>
      <c r="VQZ2473" s="60"/>
      <c r="VRA2473" s="63"/>
      <c r="VRB2473" s="61"/>
      <c r="VRC2473" s="54"/>
      <c r="VRD2473" s="54"/>
      <c r="VRE2473" s="63"/>
      <c r="VRF2473" s="60"/>
      <c r="VRG2473" s="60"/>
      <c r="VRH2473" s="60"/>
      <c r="VRI2473" s="63"/>
      <c r="VRJ2473" s="61"/>
      <c r="VRK2473" s="54"/>
      <c r="VRL2473" s="54"/>
      <c r="VRM2473" s="63"/>
      <c r="VRN2473" s="60"/>
      <c r="VRO2473" s="60"/>
      <c r="VRP2473" s="60"/>
      <c r="VRQ2473" s="63"/>
      <c r="VRR2473" s="61"/>
      <c r="VRS2473" s="54"/>
      <c r="VRT2473" s="54"/>
      <c r="VRU2473" s="63"/>
      <c r="VRV2473" s="60"/>
      <c r="VRW2473" s="60"/>
      <c r="VRX2473" s="60"/>
      <c r="VRY2473" s="63"/>
      <c r="VRZ2473" s="61"/>
      <c r="VSA2473" s="54"/>
      <c r="VSB2473" s="54"/>
      <c r="VSC2473" s="63"/>
      <c r="VSD2473" s="60"/>
      <c r="VSE2473" s="60"/>
      <c r="VSF2473" s="60"/>
      <c r="VSG2473" s="63"/>
      <c r="VSH2473" s="61"/>
      <c r="VSI2473" s="54"/>
      <c r="VSJ2473" s="54"/>
      <c r="VSK2473" s="63"/>
      <c r="VSL2473" s="60"/>
      <c r="VSM2473" s="60"/>
      <c r="VSN2473" s="60"/>
      <c r="VSO2473" s="63"/>
      <c r="VSP2473" s="61"/>
      <c r="VSQ2473" s="54"/>
      <c r="VSR2473" s="54"/>
      <c r="VSS2473" s="63"/>
      <c r="VST2473" s="60"/>
      <c r="VSU2473" s="60"/>
      <c r="VSV2473" s="60"/>
      <c r="VSW2473" s="63"/>
      <c r="VSX2473" s="61"/>
      <c r="VSY2473" s="54"/>
      <c r="VSZ2473" s="54"/>
      <c r="VTA2473" s="63"/>
      <c r="VTB2473" s="60"/>
      <c r="VTC2473" s="60"/>
      <c r="VTD2473" s="60"/>
      <c r="VTE2473" s="63"/>
      <c r="VTF2473" s="61"/>
      <c r="VTG2473" s="54"/>
      <c r="VTH2473" s="54"/>
      <c r="VTI2473" s="63"/>
      <c r="VTJ2473" s="60"/>
      <c r="VTK2473" s="60"/>
      <c r="VTL2473" s="60"/>
      <c r="VTM2473" s="63"/>
      <c r="VTN2473" s="61"/>
      <c r="VTO2473" s="54"/>
      <c r="VTP2473" s="54"/>
      <c r="VTQ2473" s="63"/>
      <c r="VTR2473" s="60"/>
      <c r="VTS2473" s="60"/>
      <c r="VTT2473" s="60"/>
      <c r="VTU2473" s="63"/>
      <c r="VTV2473" s="61"/>
      <c r="VTW2473" s="54"/>
      <c r="VTX2473" s="54"/>
      <c r="VTY2473" s="63"/>
      <c r="VTZ2473" s="60"/>
      <c r="VUA2473" s="60"/>
      <c r="VUB2473" s="60"/>
      <c r="VUC2473" s="63"/>
      <c r="VUD2473" s="61"/>
      <c r="VUE2473" s="54"/>
      <c r="VUF2473" s="54"/>
      <c r="VUG2473" s="63"/>
      <c r="VUH2473" s="60"/>
      <c r="VUI2473" s="60"/>
      <c r="VUJ2473" s="60"/>
      <c r="VUK2473" s="63"/>
      <c r="VUL2473" s="61"/>
      <c r="VUM2473" s="54"/>
      <c r="VUN2473" s="54"/>
      <c r="VUO2473" s="63"/>
      <c r="VUP2473" s="60"/>
      <c r="VUQ2473" s="60"/>
      <c r="VUR2473" s="60"/>
      <c r="VUS2473" s="63"/>
      <c r="VUT2473" s="61"/>
      <c r="VUU2473" s="54"/>
      <c r="VUV2473" s="54"/>
      <c r="VUW2473" s="63"/>
      <c r="VUX2473" s="60"/>
      <c r="VUY2473" s="60"/>
      <c r="VUZ2473" s="60"/>
      <c r="VVA2473" s="63"/>
      <c r="VVB2473" s="61"/>
      <c r="VVC2473" s="54"/>
      <c r="VVD2473" s="54"/>
      <c r="VVE2473" s="63"/>
      <c r="VVF2473" s="60"/>
      <c r="VVG2473" s="60"/>
      <c r="VVH2473" s="60"/>
      <c r="VVI2473" s="63"/>
      <c r="VVJ2473" s="61"/>
      <c r="VVK2473" s="54"/>
      <c r="VVL2473" s="54"/>
      <c r="VVM2473" s="63"/>
      <c r="VVN2473" s="60"/>
      <c r="VVO2473" s="60"/>
      <c r="VVP2473" s="60"/>
      <c r="VVQ2473" s="63"/>
      <c r="VVR2473" s="61"/>
      <c r="VVS2473" s="54"/>
      <c r="VVT2473" s="54"/>
      <c r="VVU2473" s="63"/>
      <c r="VVV2473" s="60"/>
      <c r="VVW2473" s="60"/>
      <c r="VVX2473" s="60"/>
      <c r="VVY2473" s="63"/>
      <c r="VVZ2473" s="61"/>
      <c r="VWA2473" s="54"/>
      <c r="VWB2473" s="54"/>
      <c r="VWC2473" s="63"/>
      <c r="VWD2473" s="60"/>
      <c r="VWE2473" s="60"/>
      <c r="VWF2473" s="60"/>
      <c r="VWG2473" s="63"/>
      <c r="VWH2473" s="61"/>
      <c r="VWI2473" s="54"/>
      <c r="VWJ2473" s="54"/>
      <c r="VWK2473" s="63"/>
      <c r="VWL2473" s="60"/>
      <c r="VWM2473" s="60"/>
      <c r="VWN2473" s="60"/>
      <c r="VWO2473" s="63"/>
      <c r="VWP2473" s="61"/>
      <c r="VWQ2473" s="54"/>
      <c r="VWR2473" s="54"/>
      <c r="VWS2473" s="63"/>
      <c r="VWT2473" s="60"/>
      <c r="VWU2473" s="60"/>
      <c r="VWV2473" s="60"/>
      <c r="VWW2473" s="63"/>
      <c r="VWX2473" s="61"/>
      <c r="VWY2473" s="54"/>
      <c r="VWZ2473" s="54"/>
      <c r="VXA2473" s="63"/>
      <c r="VXB2473" s="60"/>
      <c r="VXC2473" s="60"/>
      <c r="VXD2473" s="60"/>
      <c r="VXE2473" s="63"/>
      <c r="VXF2473" s="61"/>
      <c r="VXG2473" s="54"/>
      <c r="VXH2473" s="54"/>
      <c r="VXI2473" s="63"/>
      <c r="VXJ2473" s="60"/>
      <c r="VXK2473" s="60"/>
      <c r="VXL2473" s="60"/>
      <c r="VXM2473" s="63"/>
      <c r="VXN2473" s="61"/>
      <c r="VXO2473" s="54"/>
      <c r="VXP2473" s="54"/>
      <c r="VXQ2473" s="63"/>
      <c r="VXR2473" s="60"/>
      <c r="VXS2473" s="60"/>
      <c r="VXT2473" s="60"/>
      <c r="VXU2473" s="63"/>
      <c r="VXV2473" s="61"/>
      <c r="VXW2473" s="54"/>
      <c r="VXX2473" s="54"/>
      <c r="VXY2473" s="63"/>
      <c r="VXZ2473" s="60"/>
      <c r="VYA2473" s="60"/>
      <c r="VYB2473" s="60"/>
      <c r="VYC2473" s="63"/>
      <c r="VYD2473" s="61"/>
      <c r="VYE2473" s="54"/>
      <c r="VYF2473" s="54"/>
      <c r="VYG2473" s="63"/>
      <c r="VYH2473" s="60"/>
      <c r="VYI2473" s="60"/>
      <c r="VYJ2473" s="60"/>
      <c r="VYK2473" s="63"/>
      <c r="VYL2473" s="61"/>
      <c r="VYM2473" s="54"/>
      <c r="VYN2473" s="54"/>
      <c r="VYO2473" s="63"/>
      <c r="VYP2473" s="60"/>
      <c r="VYQ2473" s="60"/>
      <c r="VYR2473" s="60"/>
      <c r="VYS2473" s="63"/>
      <c r="VYT2473" s="61"/>
      <c r="VYU2473" s="54"/>
      <c r="VYV2473" s="54"/>
      <c r="VYW2473" s="63"/>
      <c r="VYX2473" s="60"/>
      <c r="VYY2473" s="60"/>
      <c r="VYZ2473" s="60"/>
      <c r="VZA2473" s="63"/>
      <c r="VZB2473" s="61"/>
      <c r="VZC2473" s="54"/>
      <c r="VZD2473" s="54"/>
      <c r="VZE2473" s="63"/>
      <c r="VZF2473" s="60"/>
      <c r="VZG2473" s="60"/>
      <c r="VZH2473" s="60"/>
      <c r="VZI2473" s="63"/>
      <c r="VZJ2473" s="61"/>
      <c r="VZK2473" s="54"/>
      <c r="VZL2473" s="54"/>
      <c r="VZM2473" s="63"/>
      <c r="VZN2473" s="60"/>
      <c r="VZO2473" s="60"/>
      <c r="VZP2473" s="60"/>
      <c r="VZQ2473" s="63"/>
      <c r="VZR2473" s="61"/>
      <c r="VZS2473" s="54"/>
      <c r="VZT2473" s="54"/>
      <c r="VZU2473" s="63"/>
      <c r="VZV2473" s="60"/>
      <c r="VZW2473" s="60"/>
      <c r="VZX2473" s="60"/>
      <c r="VZY2473" s="63"/>
      <c r="VZZ2473" s="61"/>
      <c r="WAA2473" s="54"/>
      <c r="WAB2473" s="54"/>
      <c r="WAC2473" s="63"/>
      <c r="WAD2473" s="60"/>
      <c r="WAE2473" s="60"/>
      <c r="WAF2473" s="60"/>
      <c r="WAG2473" s="63"/>
      <c r="WAH2473" s="61"/>
      <c r="WAI2473" s="54"/>
      <c r="WAJ2473" s="54"/>
      <c r="WAK2473" s="63"/>
      <c r="WAL2473" s="60"/>
      <c r="WAM2473" s="60"/>
      <c r="WAN2473" s="60"/>
      <c r="WAO2473" s="63"/>
      <c r="WAP2473" s="61"/>
      <c r="WAQ2473" s="54"/>
      <c r="WAR2473" s="54"/>
      <c r="WAS2473" s="63"/>
      <c r="WAT2473" s="60"/>
      <c r="WAU2473" s="60"/>
      <c r="WAV2473" s="60"/>
      <c r="WAW2473" s="63"/>
      <c r="WAX2473" s="61"/>
      <c r="WAY2473" s="54"/>
      <c r="WAZ2473" s="54"/>
      <c r="WBA2473" s="63"/>
      <c r="WBB2473" s="60"/>
      <c r="WBC2473" s="60"/>
      <c r="WBD2473" s="60"/>
      <c r="WBE2473" s="63"/>
      <c r="WBF2473" s="61"/>
      <c r="WBG2473" s="54"/>
      <c r="WBH2473" s="54"/>
      <c r="WBI2473" s="63"/>
      <c r="WBJ2473" s="60"/>
      <c r="WBK2473" s="60"/>
      <c r="WBL2473" s="60"/>
      <c r="WBM2473" s="63"/>
      <c r="WBN2473" s="61"/>
      <c r="WBO2473" s="54"/>
      <c r="WBP2473" s="54"/>
      <c r="WBQ2473" s="63"/>
      <c r="WBR2473" s="60"/>
      <c r="WBS2473" s="60"/>
      <c r="WBT2473" s="60"/>
      <c r="WBU2473" s="63"/>
      <c r="WBV2473" s="61"/>
      <c r="WBW2473" s="54"/>
      <c r="WBX2473" s="54"/>
      <c r="WBY2473" s="63"/>
      <c r="WBZ2473" s="60"/>
      <c r="WCA2473" s="60"/>
      <c r="WCB2473" s="60"/>
      <c r="WCC2473" s="63"/>
      <c r="WCD2473" s="61"/>
      <c r="WCE2473" s="54"/>
      <c r="WCF2473" s="54"/>
      <c r="WCG2473" s="63"/>
      <c r="WCH2473" s="60"/>
      <c r="WCI2473" s="60"/>
      <c r="WCJ2473" s="60"/>
      <c r="WCK2473" s="63"/>
      <c r="WCL2473" s="61"/>
      <c r="WCM2473" s="54"/>
      <c r="WCN2473" s="54"/>
      <c r="WCO2473" s="63"/>
      <c r="WCP2473" s="60"/>
      <c r="WCQ2473" s="60"/>
      <c r="WCR2473" s="60"/>
      <c r="WCS2473" s="63"/>
      <c r="WCT2473" s="61"/>
      <c r="WCU2473" s="54"/>
      <c r="WCV2473" s="54"/>
      <c r="WCW2473" s="63"/>
      <c r="WCX2473" s="60"/>
      <c r="WCY2473" s="60"/>
      <c r="WCZ2473" s="60"/>
      <c r="WDA2473" s="63"/>
      <c r="WDB2473" s="61"/>
      <c r="WDC2473" s="54"/>
      <c r="WDD2473" s="54"/>
      <c r="WDE2473" s="63"/>
      <c r="WDF2473" s="60"/>
      <c r="WDG2473" s="60"/>
      <c r="WDH2473" s="60"/>
      <c r="WDI2473" s="63"/>
      <c r="WDJ2473" s="61"/>
      <c r="WDK2473" s="54"/>
      <c r="WDL2473" s="54"/>
      <c r="WDM2473" s="63"/>
      <c r="WDN2473" s="60"/>
      <c r="WDO2473" s="60"/>
      <c r="WDP2473" s="60"/>
      <c r="WDQ2473" s="63"/>
      <c r="WDR2473" s="61"/>
      <c r="WDS2473" s="54"/>
      <c r="WDT2473" s="54"/>
      <c r="WDU2473" s="63"/>
      <c r="WDV2473" s="60"/>
      <c r="WDW2473" s="60"/>
      <c r="WDX2473" s="60"/>
      <c r="WDY2473" s="63"/>
      <c r="WDZ2473" s="61"/>
      <c r="WEA2473" s="54"/>
      <c r="WEB2473" s="54"/>
      <c r="WEC2473" s="63"/>
      <c r="WED2473" s="60"/>
      <c r="WEE2473" s="60"/>
      <c r="WEF2473" s="60"/>
      <c r="WEG2473" s="63"/>
      <c r="WEH2473" s="61"/>
      <c r="WEI2473" s="54"/>
      <c r="WEJ2473" s="54"/>
      <c r="WEK2473" s="63"/>
      <c r="WEL2473" s="60"/>
      <c r="WEM2473" s="60"/>
      <c r="WEN2473" s="60"/>
      <c r="WEO2473" s="63"/>
      <c r="WEP2473" s="61"/>
      <c r="WEQ2473" s="54"/>
      <c r="WER2473" s="54"/>
      <c r="WES2473" s="63"/>
      <c r="WET2473" s="60"/>
      <c r="WEU2473" s="60"/>
      <c r="WEV2473" s="60"/>
      <c r="WEW2473" s="63"/>
      <c r="WEX2473" s="61"/>
      <c r="WEY2473" s="54"/>
      <c r="WEZ2473" s="54"/>
      <c r="WFA2473" s="63"/>
      <c r="WFB2473" s="60"/>
      <c r="WFC2473" s="60"/>
      <c r="WFD2473" s="60"/>
      <c r="WFE2473" s="63"/>
      <c r="WFF2473" s="61"/>
      <c r="WFG2473" s="54"/>
      <c r="WFH2473" s="54"/>
      <c r="WFI2473" s="63"/>
      <c r="WFJ2473" s="60"/>
      <c r="WFK2473" s="60"/>
      <c r="WFL2473" s="60"/>
      <c r="WFM2473" s="63"/>
      <c r="WFN2473" s="61"/>
      <c r="WFO2473" s="54"/>
      <c r="WFP2473" s="54"/>
      <c r="WFQ2473" s="63"/>
      <c r="WFR2473" s="60"/>
      <c r="WFS2473" s="60"/>
      <c r="WFT2473" s="60"/>
      <c r="WFU2473" s="63"/>
      <c r="WFV2473" s="61"/>
      <c r="WFW2473" s="54"/>
      <c r="WFX2473" s="54"/>
      <c r="WFY2473" s="63"/>
      <c r="WFZ2473" s="60"/>
      <c r="WGA2473" s="60"/>
      <c r="WGB2473" s="60"/>
      <c r="WGC2473" s="63"/>
      <c r="WGD2473" s="61"/>
      <c r="WGE2473" s="54"/>
      <c r="WGF2473" s="54"/>
      <c r="WGG2473" s="63"/>
      <c r="WGH2473" s="60"/>
      <c r="WGI2473" s="60"/>
      <c r="WGJ2473" s="60"/>
      <c r="WGK2473" s="63"/>
      <c r="WGL2473" s="61"/>
      <c r="WGM2473" s="54"/>
      <c r="WGN2473" s="54"/>
      <c r="WGO2473" s="63"/>
      <c r="WGP2473" s="60"/>
      <c r="WGQ2473" s="60"/>
      <c r="WGR2473" s="60"/>
      <c r="WGS2473" s="63"/>
      <c r="WGT2473" s="61"/>
      <c r="WGU2473" s="54"/>
      <c r="WGV2473" s="54"/>
      <c r="WGW2473" s="63"/>
      <c r="WGX2473" s="60"/>
      <c r="WGY2473" s="60"/>
      <c r="WGZ2473" s="60"/>
      <c r="WHA2473" s="63"/>
      <c r="WHB2473" s="61"/>
      <c r="WHC2473" s="54"/>
      <c r="WHD2473" s="54"/>
      <c r="WHE2473" s="63"/>
      <c r="WHF2473" s="60"/>
      <c r="WHG2473" s="60"/>
      <c r="WHH2473" s="60"/>
      <c r="WHI2473" s="63"/>
      <c r="WHJ2473" s="61"/>
      <c r="WHK2473" s="54"/>
      <c r="WHL2473" s="54"/>
      <c r="WHM2473" s="63"/>
      <c r="WHN2473" s="60"/>
      <c r="WHO2473" s="60"/>
      <c r="WHP2473" s="60"/>
      <c r="WHQ2473" s="63"/>
      <c r="WHR2473" s="61"/>
      <c r="WHS2473" s="54"/>
      <c r="WHT2473" s="54"/>
      <c r="WHU2473" s="63"/>
      <c r="WHV2473" s="60"/>
      <c r="WHW2473" s="60"/>
      <c r="WHX2473" s="60"/>
      <c r="WHY2473" s="63"/>
      <c r="WHZ2473" s="61"/>
      <c r="WIA2473" s="54"/>
      <c r="WIB2473" s="54"/>
      <c r="WIC2473" s="63"/>
      <c r="WID2473" s="60"/>
      <c r="WIE2473" s="60"/>
      <c r="WIF2473" s="60"/>
      <c r="WIG2473" s="63"/>
      <c r="WIH2473" s="61"/>
      <c r="WII2473" s="54"/>
      <c r="WIJ2473" s="54"/>
      <c r="WIK2473" s="63"/>
      <c r="WIL2473" s="60"/>
      <c r="WIM2473" s="60"/>
      <c r="WIN2473" s="60"/>
      <c r="WIO2473" s="63"/>
      <c r="WIP2473" s="61"/>
      <c r="WIQ2473" s="54"/>
      <c r="WIR2473" s="54"/>
      <c r="WIS2473" s="63"/>
      <c r="WIT2473" s="60"/>
      <c r="WIU2473" s="60"/>
      <c r="WIV2473" s="60"/>
      <c r="WIW2473" s="63"/>
      <c r="WIX2473" s="61"/>
      <c r="WIY2473" s="54"/>
      <c r="WIZ2473" s="54"/>
      <c r="WJA2473" s="63"/>
      <c r="WJB2473" s="60"/>
      <c r="WJC2473" s="60"/>
      <c r="WJD2473" s="60"/>
      <c r="WJE2473" s="63"/>
      <c r="WJF2473" s="61"/>
      <c r="WJG2473" s="54"/>
      <c r="WJH2473" s="54"/>
      <c r="WJI2473" s="63"/>
      <c r="WJJ2473" s="60"/>
      <c r="WJK2473" s="60"/>
      <c r="WJL2473" s="60"/>
      <c r="WJM2473" s="63"/>
      <c r="WJN2473" s="61"/>
      <c r="WJO2473" s="54"/>
      <c r="WJP2473" s="54"/>
      <c r="WJQ2473" s="63"/>
      <c r="WJR2473" s="60"/>
      <c r="WJS2473" s="60"/>
      <c r="WJT2473" s="60"/>
      <c r="WJU2473" s="63"/>
      <c r="WJV2473" s="61"/>
      <c r="WJW2473" s="54"/>
      <c r="WJX2473" s="54"/>
      <c r="WJY2473" s="63"/>
      <c r="WJZ2473" s="60"/>
      <c r="WKA2473" s="60"/>
      <c r="WKB2473" s="60"/>
      <c r="WKC2473" s="63"/>
      <c r="WKD2473" s="61"/>
      <c r="WKE2473" s="54"/>
      <c r="WKF2473" s="54"/>
      <c r="WKG2473" s="63"/>
      <c r="WKH2473" s="60"/>
      <c r="WKI2473" s="60"/>
      <c r="WKJ2473" s="60"/>
      <c r="WKK2473" s="63"/>
      <c r="WKL2473" s="61"/>
      <c r="WKM2473" s="54"/>
      <c r="WKN2473" s="54"/>
      <c r="WKO2473" s="63"/>
      <c r="WKP2473" s="60"/>
      <c r="WKQ2473" s="60"/>
      <c r="WKR2473" s="60"/>
      <c r="WKS2473" s="63"/>
      <c r="WKT2473" s="61"/>
      <c r="WKU2473" s="54"/>
      <c r="WKV2473" s="54"/>
      <c r="WKW2473" s="63"/>
      <c r="WKX2473" s="60"/>
      <c r="WKY2473" s="60"/>
      <c r="WKZ2473" s="60"/>
      <c r="WLA2473" s="63"/>
      <c r="WLB2473" s="61"/>
      <c r="WLC2473" s="54"/>
      <c r="WLD2473" s="54"/>
      <c r="WLE2473" s="63"/>
      <c r="WLF2473" s="60"/>
      <c r="WLG2473" s="60"/>
      <c r="WLH2473" s="60"/>
      <c r="WLI2473" s="63"/>
      <c r="WLJ2473" s="61"/>
      <c r="WLK2473" s="54"/>
      <c r="WLL2473" s="54"/>
      <c r="WLM2473" s="63"/>
      <c r="WLN2473" s="60"/>
      <c r="WLO2473" s="60"/>
      <c r="WLP2473" s="60"/>
      <c r="WLQ2473" s="63"/>
      <c r="WLR2473" s="61"/>
      <c r="WLS2473" s="54"/>
      <c r="WLT2473" s="54"/>
      <c r="WLU2473" s="63"/>
      <c r="WLV2473" s="60"/>
      <c r="WLW2473" s="60"/>
      <c r="WLX2473" s="60"/>
      <c r="WLY2473" s="63"/>
      <c r="WLZ2473" s="61"/>
      <c r="WMA2473" s="54"/>
      <c r="WMB2473" s="54"/>
      <c r="WMC2473" s="63"/>
      <c r="WMD2473" s="60"/>
      <c r="WME2473" s="60"/>
      <c r="WMF2473" s="60"/>
      <c r="WMG2473" s="63"/>
      <c r="WMH2473" s="61"/>
      <c r="WMI2473" s="54"/>
      <c r="WMJ2473" s="54"/>
      <c r="WMK2473" s="63"/>
      <c r="WML2473" s="60"/>
      <c r="WMM2473" s="60"/>
      <c r="WMN2473" s="60"/>
      <c r="WMO2473" s="63"/>
      <c r="WMP2473" s="61"/>
      <c r="WMQ2473" s="54"/>
      <c r="WMR2473" s="54"/>
      <c r="WMS2473" s="63"/>
      <c r="WMT2473" s="60"/>
      <c r="WMU2473" s="60"/>
      <c r="WMV2473" s="60"/>
      <c r="WMW2473" s="63"/>
      <c r="WMX2473" s="61"/>
      <c r="WMY2473" s="54"/>
      <c r="WMZ2473" s="54"/>
      <c r="WNA2473" s="63"/>
      <c r="WNB2473" s="60"/>
      <c r="WNC2473" s="60"/>
      <c r="WND2473" s="60"/>
      <c r="WNE2473" s="63"/>
      <c r="WNF2473" s="61"/>
      <c r="WNG2473" s="54"/>
      <c r="WNH2473" s="54"/>
      <c r="WNI2473" s="63"/>
      <c r="WNJ2473" s="60"/>
      <c r="WNK2473" s="60"/>
      <c r="WNL2473" s="60"/>
      <c r="WNM2473" s="63"/>
      <c r="WNN2473" s="61"/>
      <c r="WNO2473" s="54"/>
      <c r="WNP2473" s="54"/>
      <c r="WNQ2473" s="63"/>
      <c r="WNR2473" s="60"/>
      <c r="WNS2473" s="60"/>
      <c r="WNT2473" s="60"/>
      <c r="WNU2473" s="63"/>
      <c r="WNV2473" s="61"/>
      <c r="WNW2473" s="54"/>
      <c r="WNX2473" s="54"/>
      <c r="WNY2473" s="63"/>
      <c r="WNZ2473" s="60"/>
      <c r="WOA2473" s="60"/>
      <c r="WOB2473" s="60"/>
      <c r="WOC2473" s="63"/>
      <c r="WOD2473" s="61"/>
      <c r="WOE2473" s="54"/>
      <c r="WOF2473" s="54"/>
      <c r="WOG2473" s="63"/>
      <c r="WOH2473" s="60"/>
      <c r="WOI2473" s="60"/>
      <c r="WOJ2473" s="60"/>
      <c r="WOK2473" s="63"/>
      <c r="WOL2473" s="61"/>
      <c r="WOM2473" s="54"/>
      <c r="WON2473" s="54"/>
      <c r="WOO2473" s="63"/>
      <c r="WOP2473" s="60"/>
      <c r="WOQ2473" s="60"/>
      <c r="WOR2473" s="60"/>
      <c r="WOS2473" s="63"/>
      <c r="WOT2473" s="61"/>
      <c r="WOU2473" s="54"/>
      <c r="WOV2473" s="54"/>
      <c r="WOW2473" s="63"/>
      <c r="WOX2473" s="60"/>
      <c r="WOY2473" s="60"/>
      <c r="WOZ2473" s="60"/>
      <c r="WPA2473" s="63"/>
      <c r="WPB2473" s="61"/>
      <c r="WPC2473" s="54"/>
      <c r="WPD2473" s="54"/>
      <c r="WPE2473" s="63"/>
      <c r="WPF2473" s="60"/>
      <c r="WPG2473" s="60"/>
      <c r="WPH2473" s="60"/>
      <c r="WPI2473" s="63"/>
      <c r="WPJ2473" s="61"/>
      <c r="WPK2473" s="54"/>
      <c r="WPL2473" s="54"/>
      <c r="WPM2473" s="63"/>
      <c r="WPN2473" s="60"/>
      <c r="WPO2473" s="60"/>
      <c r="WPP2473" s="60"/>
      <c r="WPQ2473" s="63"/>
      <c r="WPR2473" s="61"/>
      <c r="WPS2473" s="54"/>
      <c r="WPT2473" s="54"/>
      <c r="WPU2473" s="63"/>
      <c r="WPV2473" s="60"/>
      <c r="WPW2473" s="60"/>
      <c r="WPX2473" s="60"/>
      <c r="WPY2473" s="63"/>
      <c r="WPZ2473" s="61"/>
      <c r="WQA2473" s="54"/>
      <c r="WQB2473" s="54"/>
      <c r="WQC2473" s="63"/>
      <c r="WQD2473" s="60"/>
      <c r="WQE2473" s="60"/>
      <c r="WQF2473" s="60"/>
      <c r="WQG2473" s="63"/>
      <c r="WQH2473" s="61"/>
      <c r="WQI2473" s="54"/>
      <c r="WQJ2473" s="54"/>
      <c r="WQK2473" s="63"/>
      <c r="WQL2473" s="60"/>
      <c r="WQM2473" s="60"/>
      <c r="WQN2473" s="60"/>
      <c r="WQO2473" s="63"/>
      <c r="WQP2473" s="61"/>
      <c r="WQQ2473" s="54"/>
      <c r="WQR2473" s="54"/>
      <c r="WQS2473" s="63"/>
      <c r="WQT2473" s="60"/>
      <c r="WQU2473" s="60"/>
      <c r="WQV2473" s="60"/>
      <c r="WQW2473" s="63"/>
      <c r="WQX2473" s="61"/>
      <c r="WQY2473" s="54"/>
      <c r="WQZ2473" s="54"/>
      <c r="WRA2473" s="63"/>
      <c r="WRB2473" s="60"/>
      <c r="WRC2473" s="60"/>
      <c r="WRD2473" s="60"/>
      <c r="WRE2473" s="63"/>
      <c r="WRF2473" s="61"/>
      <c r="WRG2473" s="54"/>
      <c r="WRH2473" s="54"/>
      <c r="WRI2473" s="63"/>
      <c r="WRJ2473" s="60"/>
      <c r="WRK2473" s="60"/>
      <c r="WRL2473" s="60"/>
      <c r="WRM2473" s="63"/>
      <c r="WRN2473" s="61"/>
      <c r="WRO2473" s="54"/>
      <c r="WRP2473" s="54"/>
      <c r="WRQ2473" s="63"/>
      <c r="WRR2473" s="60"/>
      <c r="WRS2473" s="60"/>
      <c r="WRT2473" s="60"/>
      <c r="WRU2473" s="63"/>
      <c r="WRV2473" s="61"/>
      <c r="WRW2473" s="54"/>
      <c r="WRX2473" s="54"/>
      <c r="WRY2473" s="63"/>
      <c r="WRZ2473" s="60"/>
      <c r="WSA2473" s="60"/>
      <c r="WSB2473" s="60"/>
      <c r="WSC2473" s="63"/>
      <c r="WSD2473" s="61"/>
      <c r="WSE2473" s="54"/>
      <c r="WSF2473" s="54"/>
      <c r="WSG2473" s="63"/>
      <c r="WSH2473" s="60"/>
      <c r="WSI2473" s="60"/>
      <c r="WSJ2473" s="60"/>
      <c r="WSK2473" s="63"/>
      <c r="WSL2473" s="61"/>
      <c r="WSM2473" s="54"/>
      <c r="WSN2473" s="54"/>
      <c r="WSO2473" s="63"/>
      <c r="WSP2473" s="60"/>
      <c r="WSQ2473" s="60"/>
      <c r="WSR2473" s="60"/>
      <c r="WSS2473" s="63"/>
      <c r="WST2473" s="61"/>
      <c r="WSU2473" s="54"/>
      <c r="WSV2473" s="54"/>
      <c r="WSW2473" s="63"/>
      <c r="WSX2473" s="60"/>
      <c r="WSY2473" s="60"/>
      <c r="WSZ2473" s="60"/>
      <c r="WTA2473" s="63"/>
      <c r="WTB2473" s="61"/>
      <c r="WTC2473" s="54"/>
      <c r="WTD2473" s="54"/>
      <c r="WTE2473" s="63"/>
      <c r="WTF2473" s="60"/>
      <c r="WTG2473" s="60"/>
      <c r="WTH2473" s="60"/>
      <c r="WTI2473" s="63"/>
      <c r="WTJ2473" s="61"/>
      <c r="WTK2473" s="54"/>
      <c r="WTL2473" s="54"/>
      <c r="WTM2473" s="63"/>
      <c r="WTN2473" s="60"/>
      <c r="WTO2473" s="60"/>
      <c r="WTP2473" s="60"/>
      <c r="WTQ2473" s="63"/>
      <c r="WTR2473" s="61"/>
      <c r="WTS2473" s="54"/>
      <c r="WTT2473" s="54"/>
      <c r="WTU2473" s="63"/>
      <c r="WTV2473" s="60"/>
      <c r="WTW2473" s="60"/>
      <c r="WTX2473" s="60"/>
      <c r="WTY2473" s="63"/>
      <c r="WTZ2473" s="61"/>
      <c r="WUA2473" s="54"/>
      <c r="WUB2473" s="54"/>
      <c r="WUC2473" s="63"/>
      <c r="WUD2473" s="60"/>
      <c r="WUE2473" s="60"/>
      <c r="WUF2473" s="60"/>
      <c r="WUG2473" s="63"/>
      <c r="WUH2473" s="61"/>
      <c r="WUI2473" s="54"/>
      <c r="WUJ2473" s="54"/>
      <c r="WUK2473" s="63"/>
      <c r="WUL2473" s="60"/>
      <c r="WUM2473" s="60"/>
      <c r="WUN2473" s="60"/>
      <c r="WUO2473" s="63"/>
      <c r="WUP2473" s="61"/>
      <c r="WUQ2473" s="54"/>
      <c r="WUR2473" s="54"/>
      <c r="WUS2473" s="63"/>
      <c r="WUT2473" s="60"/>
      <c r="WUU2473" s="60"/>
      <c r="WUV2473" s="60"/>
      <c r="WUW2473" s="63"/>
      <c r="WUX2473" s="61"/>
      <c r="WUY2473" s="54"/>
      <c r="WUZ2473" s="54"/>
      <c r="WVA2473" s="63"/>
      <c r="WVB2473" s="60"/>
      <c r="WVC2473" s="60"/>
      <c r="WVD2473" s="60"/>
      <c r="WVE2473" s="63"/>
      <c r="WVF2473" s="61"/>
      <c r="WVG2473" s="54"/>
      <c r="WVH2473" s="54"/>
      <c r="WVI2473" s="63"/>
      <c r="WVJ2473" s="60"/>
      <c r="WVK2473" s="60"/>
      <c r="WVL2473" s="60"/>
      <c r="WVM2473" s="63"/>
      <c r="WVN2473" s="61"/>
      <c r="WVO2473" s="54"/>
      <c r="WVP2473" s="54"/>
      <c r="WVQ2473" s="63"/>
      <c r="WVR2473" s="60"/>
      <c r="WVS2473" s="60"/>
      <c r="WVT2473" s="60"/>
      <c r="WVU2473" s="63"/>
      <c r="WVV2473" s="61"/>
      <c r="WVW2473" s="54"/>
      <c r="WVX2473" s="54"/>
      <c r="WVY2473" s="63"/>
      <c r="WVZ2473" s="60"/>
      <c r="WWA2473" s="60"/>
      <c r="WWB2473" s="60"/>
      <c r="WWC2473" s="63"/>
      <c r="WWD2473" s="61"/>
      <c r="WWE2473" s="54"/>
      <c r="WWF2473" s="54"/>
      <c r="WWG2473" s="63"/>
      <c r="WWH2473" s="60"/>
      <c r="WWI2473" s="60"/>
      <c r="WWJ2473" s="60"/>
      <c r="WWK2473" s="63"/>
      <c r="WWL2473" s="61"/>
      <c r="WWM2473" s="54"/>
      <c r="WWN2473" s="54"/>
      <c r="WWO2473" s="63"/>
      <c r="WWP2473" s="60"/>
      <c r="WWQ2473" s="60"/>
      <c r="WWR2473" s="60"/>
      <c r="WWS2473" s="63"/>
      <c r="WWT2473" s="61"/>
      <c r="WWU2473" s="54"/>
      <c r="WWV2473" s="54"/>
      <c r="WWW2473" s="63"/>
      <c r="WWX2473" s="60"/>
      <c r="WWY2473" s="60"/>
      <c r="WWZ2473" s="60"/>
      <c r="WXA2473" s="63"/>
      <c r="WXB2473" s="61"/>
      <c r="WXC2473" s="54"/>
      <c r="WXD2473" s="54"/>
      <c r="WXE2473" s="63"/>
      <c r="WXF2473" s="60"/>
      <c r="WXG2473" s="60"/>
      <c r="WXH2473" s="60"/>
      <c r="WXI2473" s="63"/>
      <c r="WXJ2473" s="61"/>
      <c r="WXK2473" s="54"/>
      <c r="WXL2473" s="54"/>
      <c r="WXM2473" s="63"/>
      <c r="WXN2473" s="60"/>
      <c r="WXO2473" s="60"/>
      <c r="WXP2473" s="60"/>
      <c r="WXQ2473" s="63"/>
      <c r="WXR2473" s="61"/>
      <c r="WXS2473" s="54"/>
      <c r="WXT2473" s="54"/>
      <c r="WXU2473" s="63"/>
      <c r="WXV2473" s="60"/>
      <c r="WXW2473" s="60"/>
      <c r="WXX2473" s="60"/>
      <c r="WXY2473" s="63"/>
      <c r="WXZ2473" s="61"/>
      <c r="WYA2473" s="54"/>
      <c r="WYB2473" s="54"/>
      <c r="WYC2473" s="63"/>
      <c r="WYD2473" s="60"/>
      <c r="WYE2473" s="60"/>
      <c r="WYF2473" s="60"/>
      <c r="WYG2473" s="63"/>
      <c r="WYH2473" s="61"/>
      <c r="WYI2473" s="54"/>
      <c r="WYJ2473" s="54"/>
      <c r="WYK2473" s="63"/>
      <c r="WYL2473" s="60"/>
      <c r="WYM2473" s="60"/>
      <c r="WYN2473" s="60"/>
      <c r="WYO2473" s="63"/>
      <c r="WYP2473" s="61"/>
      <c r="WYQ2473" s="54"/>
      <c r="WYR2473" s="54"/>
      <c r="WYS2473" s="63"/>
      <c r="WYT2473" s="60"/>
      <c r="WYU2473" s="60"/>
      <c r="WYV2473" s="60"/>
      <c r="WYW2473" s="63"/>
      <c r="WYX2473" s="61"/>
      <c r="WYY2473" s="54"/>
      <c r="WYZ2473" s="54"/>
      <c r="WZA2473" s="63"/>
      <c r="WZB2473" s="60"/>
      <c r="WZC2473" s="60"/>
      <c r="WZD2473" s="60"/>
      <c r="WZE2473" s="63"/>
      <c r="WZF2473" s="61"/>
      <c r="WZG2473" s="54"/>
      <c r="WZH2473" s="54"/>
      <c r="WZI2473" s="63"/>
      <c r="WZJ2473" s="60"/>
      <c r="WZK2473" s="60"/>
      <c r="WZL2473" s="60"/>
      <c r="WZM2473" s="63"/>
      <c r="WZN2473" s="61"/>
      <c r="WZO2473" s="54"/>
      <c r="WZP2473" s="54"/>
      <c r="WZQ2473" s="63"/>
      <c r="WZR2473" s="60"/>
      <c r="WZS2473" s="60"/>
      <c r="WZT2473" s="60"/>
      <c r="WZU2473" s="63"/>
      <c r="WZV2473" s="61"/>
      <c r="WZW2473" s="54"/>
      <c r="WZX2473" s="54"/>
      <c r="WZY2473" s="63"/>
      <c r="WZZ2473" s="60"/>
      <c r="XAA2473" s="60"/>
      <c r="XAB2473" s="60"/>
      <c r="XAC2473" s="63"/>
      <c r="XAD2473" s="61"/>
      <c r="XAE2473" s="54"/>
      <c r="XAF2473" s="54"/>
      <c r="XAG2473" s="63"/>
      <c r="XAH2473" s="60"/>
      <c r="XAI2473" s="60"/>
      <c r="XAJ2473" s="60"/>
      <c r="XAK2473" s="63"/>
      <c r="XAL2473" s="61"/>
      <c r="XAM2473" s="54"/>
      <c r="XAN2473" s="54"/>
      <c r="XAO2473" s="63"/>
      <c r="XAP2473" s="60"/>
      <c r="XAQ2473" s="60"/>
      <c r="XAR2473" s="60"/>
      <c r="XAS2473" s="63"/>
      <c r="XAT2473" s="61"/>
      <c r="XAU2473" s="54"/>
      <c r="XAV2473" s="54"/>
      <c r="XAW2473" s="63"/>
      <c r="XAX2473" s="60"/>
      <c r="XAY2473" s="60"/>
      <c r="XAZ2473" s="60"/>
      <c r="XBA2473" s="63"/>
      <c r="XBB2473" s="61"/>
      <c r="XBC2473" s="54"/>
      <c r="XBD2473" s="54"/>
      <c r="XBE2473" s="63"/>
      <c r="XBF2473" s="60"/>
      <c r="XBG2473" s="60"/>
      <c r="XBH2473" s="60"/>
      <c r="XBI2473" s="63"/>
      <c r="XBJ2473" s="61"/>
      <c r="XBK2473" s="54"/>
      <c r="XBL2473" s="54"/>
      <c r="XBM2473" s="63"/>
      <c r="XBN2473" s="60"/>
      <c r="XBO2473" s="60"/>
      <c r="XBP2473" s="60"/>
      <c r="XBQ2473" s="63"/>
      <c r="XBR2473" s="61"/>
      <c r="XBS2473" s="54"/>
      <c r="XBT2473" s="54"/>
      <c r="XBU2473" s="63"/>
      <c r="XBV2473" s="60"/>
      <c r="XBW2473" s="60"/>
      <c r="XBX2473" s="60"/>
      <c r="XBY2473" s="63"/>
      <c r="XBZ2473" s="61"/>
      <c r="XCA2473" s="54"/>
      <c r="XCB2473" s="54"/>
      <c r="XCC2473" s="63"/>
      <c r="XCD2473" s="60"/>
      <c r="XCE2473" s="60"/>
      <c r="XCF2473" s="60"/>
      <c r="XCG2473" s="63"/>
      <c r="XCH2473" s="61"/>
      <c r="XCI2473" s="54"/>
      <c r="XCJ2473" s="54"/>
      <c r="XCK2473" s="63"/>
      <c r="XCL2473" s="60"/>
      <c r="XCM2473" s="60"/>
      <c r="XCN2473" s="60"/>
      <c r="XCO2473" s="63"/>
      <c r="XCP2473" s="61"/>
      <c r="XCQ2473" s="54"/>
      <c r="XCR2473" s="54"/>
      <c r="XCS2473" s="63"/>
      <c r="XCT2473" s="60"/>
      <c r="XCU2473" s="60"/>
      <c r="XCV2473" s="60"/>
      <c r="XCW2473" s="63"/>
      <c r="XCX2473" s="61"/>
      <c r="XCY2473" s="54"/>
      <c r="XCZ2473" s="54"/>
      <c r="XDA2473" s="63"/>
      <c r="XDB2473" s="60"/>
      <c r="XDC2473" s="60"/>
      <c r="XDD2473" s="60"/>
      <c r="XDE2473" s="63"/>
      <c r="XDF2473" s="61"/>
      <c r="XDG2473" s="54"/>
      <c r="XDH2473" s="54"/>
      <c r="XDI2473" s="63"/>
      <c r="XDJ2473" s="60"/>
      <c r="XDK2473" s="60"/>
      <c r="XDL2473" s="60"/>
      <c r="XDM2473" s="63"/>
      <c r="XDN2473" s="61"/>
      <c r="XDO2473" s="54"/>
      <c r="XDP2473" s="54"/>
      <c r="XDQ2473" s="63"/>
      <c r="XDR2473" s="60"/>
      <c r="XDS2473" s="60"/>
      <c r="XDT2473" s="60"/>
      <c r="XDU2473" s="63"/>
      <c r="XDV2473" s="61"/>
      <c r="XDW2473" s="54"/>
      <c r="XDX2473" s="54"/>
      <c r="XDY2473" s="63"/>
      <c r="XDZ2473" s="60"/>
      <c r="XEA2473" s="60"/>
      <c r="XEB2473" s="60"/>
      <c r="XEC2473" s="63"/>
      <c r="XED2473" s="61"/>
      <c r="XEE2473" s="54"/>
      <c r="XEF2473" s="54"/>
      <c r="XEG2473" s="63"/>
      <c r="XEH2473" s="60"/>
      <c r="XEI2473" s="60"/>
      <c r="XEJ2473" s="60"/>
      <c r="XEK2473" s="63"/>
      <c r="XEL2473" s="61"/>
      <c r="XEM2473" s="54"/>
      <c r="XEN2473" s="54"/>
      <c r="XEO2473" s="63"/>
      <c r="XEP2473" s="60"/>
      <c r="XEQ2473" s="60"/>
      <c r="XER2473" s="60"/>
      <c r="XES2473" s="63"/>
      <c r="XET2473" s="61"/>
      <c r="XEU2473" s="54"/>
      <c r="XEV2473" s="54"/>
      <c r="XEW2473" s="63"/>
    </row>
    <row r="2474" ht="18" customHeight="1" spans="1:16377">
      <c r="A2474" s="6" t="s">
        <v>8209</v>
      </c>
      <c r="B2474" s="6" t="s">
        <v>8540</v>
      </c>
      <c r="C2474" s="11" t="s">
        <v>16403</v>
      </c>
      <c r="D2474" s="5" t="s">
        <v>16379</v>
      </c>
      <c r="E2474" s="11" t="s">
        <v>16404</v>
      </c>
      <c r="F2474" s="7" t="s">
        <v>11535</v>
      </c>
      <c r="G2474" s="54"/>
      <c r="H2474" s="54"/>
      <c r="I2474" s="60"/>
      <c r="J2474" s="60"/>
      <c r="K2474" s="60"/>
      <c r="L2474" s="60"/>
      <c r="M2474" s="63"/>
      <c r="N2474" s="61"/>
      <c r="O2474" s="54"/>
      <c r="P2474" s="54"/>
      <c r="Q2474" s="60"/>
      <c r="R2474" s="60"/>
      <c r="S2474" s="60"/>
      <c r="T2474" s="60"/>
      <c r="U2474" s="63"/>
      <c r="V2474" s="61"/>
      <c r="W2474" s="54"/>
      <c r="X2474" s="54"/>
      <c r="Y2474" s="60"/>
      <c r="Z2474" s="60"/>
      <c r="AA2474" s="60"/>
      <c r="AB2474" s="60"/>
      <c r="AC2474" s="63"/>
      <c r="AD2474" s="61"/>
      <c r="AE2474" s="54"/>
      <c r="AF2474" s="54"/>
      <c r="AG2474" s="60"/>
      <c r="AH2474" s="60"/>
      <c r="AI2474" s="60"/>
      <c r="AJ2474" s="60"/>
      <c r="AK2474" s="63"/>
      <c r="AL2474" s="61"/>
      <c r="AM2474" s="54"/>
      <c r="AN2474" s="54"/>
      <c r="AO2474" s="60"/>
      <c r="AP2474" s="60"/>
      <c r="AQ2474" s="60"/>
      <c r="AR2474" s="60"/>
      <c r="AS2474" s="63"/>
      <c r="AT2474" s="61"/>
      <c r="AU2474" s="54"/>
      <c r="AV2474" s="54"/>
      <c r="AW2474" s="60"/>
      <c r="AX2474" s="60"/>
      <c r="AY2474" s="60"/>
      <c r="AZ2474" s="60"/>
      <c r="BA2474" s="63"/>
      <c r="BB2474" s="61"/>
      <c r="BC2474" s="54"/>
      <c r="BD2474" s="54"/>
      <c r="BE2474" s="60"/>
      <c r="BF2474" s="60"/>
      <c r="BG2474" s="60"/>
      <c r="BH2474" s="60"/>
      <c r="BI2474" s="63"/>
      <c r="BJ2474" s="61"/>
      <c r="BK2474" s="54"/>
      <c r="BL2474" s="54"/>
      <c r="BM2474" s="60"/>
      <c r="BN2474" s="60"/>
      <c r="BO2474" s="60"/>
      <c r="BP2474" s="60"/>
      <c r="BQ2474" s="63"/>
      <c r="BR2474" s="61"/>
      <c r="BS2474" s="54"/>
      <c r="BT2474" s="54"/>
      <c r="BU2474" s="60"/>
      <c r="BV2474" s="60"/>
      <c r="BW2474" s="60"/>
      <c r="BX2474" s="60"/>
      <c r="BY2474" s="63"/>
      <c r="BZ2474" s="61"/>
      <c r="CA2474" s="54"/>
      <c r="CB2474" s="54"/>
      <c r="CC2474" s="60"/>
      <c r="CD2474" s="60"/>
      <c r="CE2474" s="60"/>
      <c r="CF2474" s="60"/>
      <c r="CG2474" s="63"/>
      <c r="CH2474" s="61"/>
      <c r="CI2474" s="54"/>
      <c r="CJ2474" s="54"/>
      <c r="CK2474" s="60"/>
      <c r="CL2474" s="60"/>
      <c r="CM2474" s="60"/>
      <c r="CN2474" s="60"/>
      <c r="CO2474" s="63"/>
      <c r="CP2474" s="61"/>
      <c r="CQ2474" s="54"/>
      <c r="CR2474" s="54"/>
      <c r="CS2474" s="60"/>
      <c r="CT2474" s="60"/>
      <c r="CU2474" s="60"/>
      <c r="CV2474" s="60"/>
      <c r="CW2474" s="63"/>
      <c r="CX2474" s="61"/>
      <c r="CY2474" s="54"/>
      <c r="CZ2474" s="54"/>
      <c r="DA2474" s="60"/>
      <c r="DB2474" s="60"/>
      <c r="DC2474" s="60"/>
      <c r="DD2474" s="60"/>
      <c r="DE2474" s="63"/>
      <c r="DF2474" s="61"/>
      <c r="DG2474" s="54"/>
      <c r="DH2474" s="54"/>
      <c r="DI2474" s="60"/>
      <c r="DJ2474" s="60"/>
      <c r="DK2474" s="60"/>
      <c r="DL2474" s="60"/>
      <c r="DM2474" s="63"/>
      <c r="DN2474" s="61"/>
      <c r="DO2474" s="54"/>
      <c r="DP2474" s="54"/>
      <c r="DQ2474" s="60"/>
      <c r="DR2474" s="60"/>
      <c r="DS2474" s="60"/>
      <c r="DT2474" s="60"/>
      <c r="DU2474" s="63"/>
      <c r="DV2474" s="61"/>
      <c r="DW2474" s="54"/>
      <c r="DX2474" s="54"/>
      <c r="DY2474" s="60"/>
      <c r="DZ2474" s="60"/>
      <c r="EA2474" s="60"/>
      <c r="EB2474" s="60"/>
      <c r="EC2474" s="63"/>
      <c r="ED2474" s="61"/>
      <c r="EE2474" s="54"/>
      <c r="EF2474" s="54"/>
      <c r="EG2474" s="60"/>
      <c r="EH2474" s="60"/>
      <c r="EI2474" s="60"/>
      <c r="EJ2474" s="60"/>
      <c r="EK2474" s="63"/>
      <c r="EL2474" s="61"/>
      <c r="EM2474" s="54"/>
      <c r="EN2474" s="54"/>
      <c r="EO2474" s="60"/>
      <c r="EP2474" s="60"/>
      <c r="EQ2474" s="60"/>
      <c r="ER2474" s="60"/>
      <c r="ES2474" s="63"/>
      <c r="ET2474" s="61"/>
      <c r="EU2474" s="54"/>
      <c r="EV2474" s="54"/>
      <c r="EW2474" s="60"/>
      <c r="EX2474" s="60"/>
      <c r="EY2474" s="60"/>
      <c r="EZ2474" s="60"/>
      <c r="FA2474" s="63"/>
      <c r="FB2474" s="61"/>
      <c r="FC2474" s="54"/>
      <c r="FD2474" s="54"/>
      <c r="FE2474" s="60"/>
      <c r="FF2474" s="60"/>
      <c r="FG2474" s="60"/>
      <c r="FH2474" s="60"/>
      <c r="FI2474" s="63"/>
      <c r="FJ2474" s="61"/>
      <c r="FK2474" s="54"/>
      <c r="FL2474" s="54"/>
      <c r="FM2474" s="60"/>
      <c r="FN2474" s="60"/>
      <c r="FO2474" s="60"/>
      <c r="FP2474" s="60"/>
      <c r="FQ2474" s="63"/>
      <c r="FR2474" s="61"/>
      <c r="FS2474" s="54"/>
      <c r="FT2474" s="54"/>
      <c r="FU2474" s="60"/>
      <c r="FV2474" s="60"/>
      <c r="FW2474" s="60"/>
      <c r="FX2474" s="60"/>
      <c r="FY2474" s="63"/>
      <c r="FZ2474" s="61"/>
      <c r="GA2474" s="54"/>
      <c r="GB2474" s="54"/>
      <c r="GC2474" s="60"/>
      <c r="GD2474" s="60"/>
      <c r="GE2474" s="60"/>
      <c r="GF2474" s="60"/>
      <c r="GG2474" s="63"/>
      <c r="GH2474" s="61"/>
      <c r="GI2474" s="54"/>
      <c r="GJ2474" s="54"/>
      <c r="GK2474" s="60"/>
      <c r="GL2474" s="60"/>
      <c r="GM2474" s="60"/>
      <c r="GN2474" s="60"/>
      <c r="GO2474" s="63"/>
      <c r="GP2474" s="61"/>
      <c r="GQ2474" s="54"/>
      <c r="GR2474" s="54"/>
      <c r="GS2474" s="60"/>
      <c r="GT2474" s="60"/>
      <c r="GU2474" s="60"/>
      <c r="GV2474" s="60"/>
      <c r="GW2474" s="63"/>
      <c r="GX2474" s="61"/>
      <c r="GY2474" s="54"/>
      <c r="GZ2474" s="54"/>
      <c r="HA2474" s="60"/>
      <c r="HB2474" s="60"/>
      <c r="HC2474" s="60"/>
      <c r="HD2474" s="60"/>
      <c r="HE2474" s="63"/>
      <c r="HF2474" s="61"/>
      <c r="HG2474" s="54"/>
      <c r="HH2474" s="54"/>
      <c r="HI2474" s="60"/>
      <c r="HJ2474" s="60"/>
      <c r="HK2474" s="60"/>
      <c r="HL2474" s="60"/>
      <c r="HM2474" s="63"/>
      <c r="HN2474" s="61"/>
      <c r="HO2474" s="54"/>
      <c r="HP2474" s="54"/>
      <c r="HQ2474" s="60"/>
      <c r="HR2474" s="60"/>
      <c r="HS2474" s="60"/>
      <c r="HT2474" s="60"/>
      <c r="HU2474" s="63"/>
      <c r="HV2474" s="61"/>
      <c r="HW2474" s="54"/>
      <c r="HX2474" s="54"/>
      <c r="HY2474" s="60"/>
      <c r="HZ2474" s="60"/>
      <c r="IA2474" s="60"/>
      <c r="IB2474" s="60"/>
      <c r="IC2474" s="63"/>
      <c r="ID2474" s="61"/>
      <c r="IE2474" s="54"/>
      <c r="IF2474" s="54"/>
      <c r="IG2474" s="60"/>
      <c r="IH2474" s="60"/>
      <c r="II2474" s="60"/>
      <c r="IJ2474" s="60"/>
      <c r="IK2474" s="63"/>
      <c r="IL2474" s="61"/>
      <c r="IM2474" s="54"/>
      <c r="IN2474" s="54"/>
      <c r="IO2474" s="60"/>
      <c r="IP2474" s="60"/>
      <c r="IQ2474" s="60"/>
      <c r="IR2474" s="60"/>
      <c r="IS2474" s="63"/>
      <c r="IT2474" s="61"/>
      <c r="IU2474" s="54"/>
      <c r="IV2474" s="54"/>
      <c r="IW2474" s="60"/>
      <c r="IX2474" s="60"/>
      <c r="IY2474" s="60"/>
      <c r="IZ2474" s="60"/>
      <c r="JA2474" s="63"/>
      <c r="JB2474" s="61"/>
      <c r="JC2474" s="54"/>
      <c r="JD2474" s="54"/>
      <c r="JE2474" s="60"/>
      <c r="JF2474" s="60"/>
      <c r="JG2474" s="60"/>
      <c r="JH2474" s="60"/>
      <c r="JI2474" s="63"/>
      <c r="JJ2474" s="61"/>
      <c r="JK2474" s="54"/>
      <c r="JL2474" s="54"/>
      <c r="JM2474" s="60"/>
      <c r="JN2474" s="60"/>
      <c r="JO2474" s="60"/>
      <c r="JP2474" s="60"/>
      <c r="JQ2474" s="63"/>
      <c r="JR2474" s="61"/>
      <c r="JS2474" s="54"/>
      <c r="JT2474" s="54"/>
      <c r="JU2474" s="60"/>
      <c r="JV2474" s="60"/>
      <c r="JW2474" s="60"/>
      <c r="JX2474" s="60"/>
      <c r="JY2474" s="63"/>
      <c r="JZ2474" s="61"/>
      <c r="KA2474" s="54"/>
      <c r="KB2474" s="54"/>
      <c r="KC2474" s="60"/>
      <c r="KD2474" s="60"/>
      <c r="KE2474" s="60"/>
      <c r="KF2474" s="60"/>
      <c r="KG2474" s="63"/>
      <c r="KH2474" s="61"/>
      <c r="KI2474" s="54"/>
      <c r="KJ2474" s="54"/>
      <c r="KK2474" s="60"/>
      <c r="KL2474" s="60"/>
      <c r="KM2474" s="60"/>
      <c r="KN2474" s="60"/>
      <c r="KO2474" s="63"/>
      <c r="KP2474" s="61"/>
      <c r="KQ2474" s="54"/>
      <c r="KR2474" s="54"/>
      <c r="KS2474" s="60"/>
      <c r="KT2474" s="60"/>
      <c r="KU2474" s="60"/>
      <c r="KV2474" s="60"/>
      <c r="KW2474" s="63"/>
      <c r="KX2474" s="61"/>
      <c r="KY2474" s="54"/>
      <c r="KZ2474" s="54"/>
      <c r="LA2474" s="60"/>
      <c r="LB2474" s="60"/>
      <c r="LC2474" s="60"/>
      <c r="LD2474" s="60"/>
      <c r="LE2474" s="63"/>
      <c r="LF2474" s="61"/>
      <c r="LG2474" s="54"/>
      <c r="LH2474" s="54"/>
      <c r="LI2474" s="60"/>
      <c r="LJ2474" s="60"/>
      <c r="LK2474" s="60"/>
      <c r="LL2474" s="60"/>
      <c r="LM2474" s="63"/>
      <c r="LN2474" s="61"/>
      <c r="LO2474" s="54"/>
      <c r="LP2474" s="54"/>
      <c r="LQ2474" s="60"/>
      <c r="LR2474" s="60"/>
      <c r="LS2474" s="60"/>
      <c r="LT2474" s="60"/>
      <c r="LU2474" s="63"/>
      <c r="LV2474" s="61"/>
      <c r="LW2474" s="54"/>
      <c r="LX2474" s="54"/>
      <c r="LY2474" s="60"/>
      <c r="LZ2474" s="60"/>
      <c r="MA2474" s="60"/>
      <c r="MB2474" s="60"/>
      <c r="MC2474" s="63"/>
      <c r="MD2474" s="61"/>
      <c r="ME2474" s="54"/>
      <c r="MF2474" s="54"/>
      <c r="MG2474" s="60"/>
      <c r="MH2474" s="60"/>
      <c r="MI2474" s="60"/>
      <c r="MJ2474" s="60"/>
      <c r="MK2474" s="63"/>
      <c r="ML2474" s="61"/>
      <c r="MM2474" s="54"/>
      <c r="MN2474" s="54"/>
      <c r="MO2474" s="60"/>
      <c r="MP2474" s="60"/>
      <c r="MQ2474" s="60"/>
      <c r="MR2474" s="60"/>
      <c r="MS2474" s="63"/>
      <c r="MT2474" s="61"/>
      <c r="MU2474" s="54"/>
      <c r="MV2474" s="54"/>
      <c r="MW2474" s="60"/>
      <c r="MX2474" s="60"/>
      <c r="MY2474" s="60"/>
      <c r="MZ2474" s="60"/>
      <c r="NA2474" s="63"/>
      <c r="NB2474" s="61"/>
      <c r="NC2474" s="54"/>
      <c r="ND2474" s="54"/>
      <c r="NE2474" s="60"/>
      <c r="NF2474" s="60"/>
      <c r="NG2474" s="60"/>
      <c r="NH2474" s="60"/>
      <c r="NI2474" s="63"/>
      <c r="NJ2474" s="61"/>
      <c r="NK2474" s="54"/>
      <c r="NL2474" s="54"/>
      <c r="NM2474" s="60"/>
      <c r="NN2474" s="60"/>
      <c r="NO2474" s="60"/>
      <c r="NP2474" s="60"/>
      <c r="NQ2474" s="63"/>
      <c r="NR2474" s="61"/>
      <c r="NS2474" s="54"/>
      <c r="NT2474" s="54"/>
      <c r="NU2474" s="60"/>
      <c r="NV2474" s="60"/>
      <c r="NW2474" s="60"/>
      <c r="NX2474" s="60"/>
      <c r="NY2474" s="63"/>
      <c r="NZ2474" s="61"/>
      <c r="OA2474" s="54"/>
      <c r="OB2474" s="54"/>
      <c r="OC2474" s="60"/>
      <c r="OD2474" s="60"/>
      <c r="OE2474" s="60"/>
      <c r="OF2474" s="60"/>
      <c r="OG2474" s="63"/>
      <c r="OH2474" s="61"/>
      <c r="OI2474" s="54"/>
      <c r="OJ2474" s="54"/>
      <c r="OK2474" s="60"/>
      <c r="OL2474" s="60"/>
      <c r="OM2474" s="60"/>
      <c r="ON2474" s="60"/>
      <c r="OO2474" s="63"/>
      <c r="OP2474" s="61"/>
      <c r="OQ2474" s="54"/>
      <c r="OR2474" s="54"/>
      <c r="OS2474" s="60"/>
      <c r="OT2474" s="60"/>
      <c r="OU2474" s="60"/>
      <c r="OV2474" s="60"/>
      <c r="OW2474" s="63"/>
      <c r="OX2474" s="61"/>
      <c r="OY2474" s="54"/>
      <c r="OZ2474" s="54"/>
      <c r="PA2474" s="60"/>
      <c r="PB2474" s="60"/>
      <c r="PC2474" s="60"/>
      <c r="PD2474" s="60"/>
      <c r="PE2474" s="63"/>
      <c r="PF2474" s="61"/>
      <c r="PG2474" s="54"/>
      <c r="PH2474" s="54"/>
      <c r="PI2474" s="60"/>
      <c r="PJ2474" s="60"/>
      <c r="PK2474" s="60"/>
      <c r="PL2474" s="60"/>
      <c r="PM2474" s="63"/>
      <c r="PN2474" s="61"/>
      <c r="PO2474" s="54"/>
      <c r="PP2474" s="54"/>
      <c r="PQ2474" s="60"/>
      <c r="PR2474" s="60"/>
      <c r="PS2474" s="60"/>
      <c r="PT2474" s="60"/>
      <c r="PU2474" s="63"/>
      <c r="PV2474" s="61"/>
      <c r="PW2474" s="54"/>
      <c r="PX2474" s="54"/>
      <c r="PY2474" s="60"/>
      <c r="PZ2474" s="60"/>
      <c r="QA2474" s="60"/>
      <c r="QB2474" s="60"/>
      <c r="QC2474" s="63"/>
      <c r="QD2474" s="61"/>
      <c r="QE2474" s="54"/>
      <c r="QF2474" s="54"/>
      <c r="QG2474" s="60"/>
      <c r="QH2474" s="60"/>
      <c r="QI2474" s="60"/>
      <c r="QJ2474" s="60"/>
      <c r="QK2474" s="63"/>
      <c r="QL2474" s="61"/>
      <c r="QM2474" s="54"/>
      <c r="QN2474" s="54"/>
      <c r="QO2474" s="60"/>
      <c r="QP2474" s="60"/>
      <c r="QQ2474" s="60"/>
      <c r="QR2474" s="60"/>
      <c r="QS2474" s="63"/>
      <c r="QT2474" s="61"/>
      <c r="QU2474" s="54"/>
      <c r="QV2474" s="54"/>
      <c r="QW2474" s="60"/>
      <c r="QX2474" s="60"/>
      <c r="QY2474" s="60"/>
      <c r="QZ2474" s="60"/>
      <c r="RA2474" s="63"/>
      <c r="RB2474" s="61"/>
      <c r="RC2474" s="54"/>
      <c r="RD2474" s="54"/>
      <c r="RE2474" s="60"/>
      <c r="RF2474" s="60"/>
      <c r="RG2474" s="60"/>
      <c r="RH2474" s="60"/>
      <c r="RI2474" s="63"/>
      <c r="RJ2474" s="61"/>
      <c r="RK2474" s="54"/>
      <c r="RL2474" s="54"/>
      <c r="RM2474" s="60"/>
      <c r="RN2474" s="60"/>
      <c r="RO2474" s="60"/>
      <c r="RP2474" s="60"/>
      <c r="RQ2474" s="63"/>
      <c r="RR2474" s="61"/>
      <c r="RS2474" s="54"/>
      <c r="RT2474" s="54"/>
      <c r="RU2474" s="60"/>
      <c r="RV2474" s="60"/>
      <c r="RW2474" s="60"/>
      <c r="RX2474" s="60"/>
      <c r="RY2474" s="63"/>
      <c r="RZ2474" s="61"/>
      <c r="SA2474" s="54"/>
      <c r="SB2474" s="54"/>
      <c r="SC2474" s="60"/>
      <c r="SD2474" s="60"/>
      <c r="SE2474" s="60"/>
      <c r="SF2474" s="60"/>
      <c r="SG2474" s="63"/>
      <c r="SH2474" s="61"/>
      <c r="SI2474" s="54"/>
      <c r="SJ2474" s="54"/>
      <c r="SK2474" s="60"/>
      <c r="SL2474" s="60"/>
      <c r="SM2474" s="60"/>
      <c r="SN2474" s="60"/>
      <c r="SO2474" s="63"/>
      <c r="SP2474" s="61"/>
      <c r="SQ2474" s="54"/>
      <c r="SR2474" s="54"/>
      <c r="SS2474" s="60"/>
      <c r="ST2474" s="60"/>
      <c r="SU2474" s="60"/>
      <c r="SV2474" s="60"/>
      <c r="SW2474" s="63"/>
      <c r="SX2474" s="61"/>
      <c r="SY2474" s="54"/>
      <c r="SZ2474" s="54"/>
      <c r="TA2474" s="60"/>
      <c r="TB2474" s="60"/>
      <c r="TC2474" s="60"/>
      <c r="TD2474" s="60"/>
      <c r="TE2474" s="63"/>
      <c r="TF2474" s="61"/>
      <c r="TG2474" s="54"/>
      <c r="TH2474" s="54"/>
      <c r="TI2474" s="60"/>
      <c r="TJ2474" s="60"/>
      <c r="TK2474" s="60"/>
      <c r="TL2474" s="60"/>
      <c r="TM2474" s="63"/>
      <c r="TN2474" s="61"/>
      <c r="TO2474" s="54"/>
      <c r="TP2474" s="54"/>
      <c r="TQ2474" s="60"/>
      <c r="TR2474" s="60"/>
      <c r="TS2474" s="60"/>
      <c r="TT2474" s="60"/>
      <c r="TU2474" s="63"/>
      <c r="TV2474" s="61"/>
      <c r="TW2474" s="54"/>
      <c r="TX2474" s="54"/>
      <c r="TY2474" s="60"/>
      <c r="TZ2474" s="60"/>
      <c r="UA2474" s="60"/>
      <c r="UB2474" s="60"/>
      <c r="UC2474" s="63"/>
      <c r="UD2474" s="61"/>
      <c r="UE2474" s="54"/>
      <c r="UF2474" s="54"/>
      <c r="UG2474" s="60"/>
      <c r="UH2474" s="60"/>
      <c r="UI2474" s="60"/>
      <c r="UJ2474" s="60"/>
      <c r="UK2474" s="63"/>
      <c r="UL2474" s="61"/>
      <c r="UM2474" s="54"/>
      <c r="UN2474" s="54"/>
      <c r="UO2474" s="60"/>
      <c r="UP2474" s="60"/>
      <c r="UQ2474" s="60"/>
      <c r="UR2474" s="60"/>
      <c r="US2474" s="63"/>
      <c r="UT2474" s="61"/>
      <c r="UU2474" s="54"/>
      <c r="UV2474" s="54"/>
      <c r="UW2474" s="60"/>
      <c r="UX2474" s="60"/>
      <c r="UY2474" s="60"/>
      <c r="UZ2474" s="60"/>
      <c r="VA2474" s="63"/>
      <c r="VB2474" s="61"/>
      <c r="VC2474" s="54"/>
      <c r="VD2474" s="54"/>
      <c r="VE2474" s="60"/>
      <c r="VF2474" s="60"/>
      <c r="VG2474" s="60"/>
      <c r="VH2474" s="60"/>
      <c r="VI2474" s="63"/>
      <c r="VJ2474" s="61"/>
      <c r="VK2474" s="54"/>
      <c r="VL2474" s="54"/>
      <c r="VM2474" s="60"/>
      <c r="VN2474" s="60"/>
      <c r="VO2474" s="60"/>
      <c r="VP2474" s="60"/>
      <c r="VQ2474" s="63"/>
      <c r="VR2474" s="61"/>
      <c r="VS2474" s="54"/>
      <c r="VT2474" s="54"/>
      <c r="VU2474" s="60"/>
      <c r="VV2474" s="60"/>
      <c r="VW2474" s="60"/>
      <c r="VX2474" s="60"/>
      <c r="VY2474" s="63"/>
      <c r="VZ2474" s="61"/>
      <c r="WA2474" s="54"/>
      <c r="WB2474" s="54"/>
      <c r="WC2474" s="60"/>
      <c r="WD2474" s="60"/>
      <c r="WE2474" s="60"/>
      <c r="WF2474" s="60"/>
      <c r="WG2474" s="63"/>
      <c r="WH2474" s="61"/>
      <c r="WI2474" s="54"/>
      <c r="WJ2474" s="54"/>
      <c r="WK2474" s="60"/>
      <c r="WL2474" s="60"/>
      <c r="WM2474" s="60"/>
      <c r="WN2474" s="60"/>
      <c r="WO2474" s="63"/>
      <c r="WP2474" s="61"/>
      <c r="WQ2474" s="54"/>
      <c r="WR2474" s="54"/>
      <c r="WS2474" s="60"/>
      <c r="WT2474" s="60"/>
      <c r="WU2474" s="60"/>
      <c r="WV2474" s="60"/>
      <c r="WW2474" s="63"/>
      <c r="WX2474" s="61"/>
      <c r="WY2474" s="54"/>
      <c r="WZ2474" s="54"/>
      <c r="XA2474" s="60"/>
      <c r="XB2474" s="60"/>
      <c r="XC2474" s="60"/>
      <c r="XD2474" s="60"/>
      <c r="XE2474" s="63"/>
      <c r="XF2474" s="61"/>
      <c r="XG2474" s="54"/>
      <c r="XH2474" s="54"/>
      <c r="XI2474" s="60"/>
      <c r="XJ2474" s="60"/>
      <c r="XK2474" s="60"/>
      <c r="XL2474" s="60"/>
      <c r="XM2474" s="63"/>
      <c r="XN2474" s="61"/>
      <c r="XO2474" s="54"/>
      <c r="XP2474" s="54"/>
      <c r="XQ2474" s="60"/>
      <c r="XR2474" s="60"/>
      <c r="XS2474" s="60"/>
      <c r="XT2474" s="60"/>
      <c r="XU2474" s="63"/>
      <c r="XV2474" s="61"/>
      <c r="XW2474" s="54"/>
      <c r="XX2474" s="54"/>
      <c r="XY2474" s="60"/>
      <c r="XZ2474" s="60"/>
      <c r="YA2474" s="60"/>
      <c r="YB2474" s="60"/>
      <c r="YC2474" s="63"/>
      <c r="YD2474" s="61"/>
      <c r="YE2474" s="54"/>
      <c r="YF2474" s="54"/>
      <c r="YG2474" s="60"/>
      <c r="YH2474" s="60"/>
      <c r="YI2474" s="60"/>
      <c r="YJ2474" s="60"/>
      <c r="YK2474" s="63"/>
      <c r="YL2474" s="61"/>
      <c r="YM2474" s="54"/>
      <c r="YN2474" s="54"/>
      <c r="YO2474" s="60"/>
      <c r="YP2474" s="60"/>
      <c r="YQ2474" s="60"/>
      <c r="YR2474" s="60"/>
      <c r="YS2474" s="63"/>
      <c r="YT2474" s="61"/>
      <c r="YU2474" s="54"/>
      <c r="YV2474" s="54"/>
      <c r="YW2474" s="60"/>
      <c r="YX2474" s="60"/>
      <c r="YY2474" s="60"/>
      <c r="YZ2474" s="60"/>
      <c r="ZA2474" s="63"/>
      <c r="ZB2474" s="61"/>
      <c r="ZC2474" s="54"/>
      <c r="ZD2474" s="54"/>
      <c r="ZE2474" s="60"/>
      <c r="ZF2474" s="60"/>
      <c r="ZG2474" s="60"/>
      <c r="ZH2474" s="60"/>
      <c r="ZI2474" s="63"/>
      <c r="ZJ2474" s="61"/>
      <c r="ZK2474" s="54"/>
      <c r="ZL2474" s="54"/>
      <c r="ZM2474" s="60"/>
      <c r="ZN2474" s="60"/>
      <c r="ZO2474" s="60"/>
      <c r="ZP2474" s="60"/>
      <c r="ZQ2474" s="63"/>
      <c r="ZR2474" s="61"/>
      <c r="ZS2474" s="54"/>
      <c r="ZT2474" s="54"/>
      <c r="ZU2474" s="60"/>
      <c r="ZV2474" s="60"/>
      <c r="ZW2474" s="60"/>
      <c r="ZX2474" s="60"/>
      <c r="ZY2474" s="63"/>
      <c r="ZZ2474" s="61"/>
      <c r="AAA2474" s="54"/>
      <c r="AAB2474" s="54"/>
      <c r="AAC2474" s="60"/>
      <c r="AAD2474" s="60"/>
      <c r="AAE2474" s="60"/>
      <c r="AAF2474" s="60"/>
      <c r="AAG2474" s="63"/>
      <c r="AAH2474" s="61"/>
      <c r="AAI2474" s="54"/>
      <c r="AAJ2474" s="54"/>
      <c r="AAK2474" s="60"/>
      <c r="AAL2474" s="60"/>
      <c r="AAM2474" s="60"/>
      <c r="AAN2474" s="60"/>
      <c r="AAO2474" s="63"/>
      <c r="AAP2474" s="61"/>
      <c r="AAQ2474" s="54"/>
      <c r="AAR2474" s="54"/>
      <c r="AAS2474" s="60"/>
      <c r="AAT2474" s="60"/>
      <c r="AAU2474" s="60"/>
      <c r="AAV2474" s="60"/>
      <c r="AAW2474" s="63"/>
      <c r="AAX2474" s="61"/>
      <c r="AAY2474" s="54"/>
      <c r="AAZ2474" s="54"/>
      <c r="ABA2474" s="60"/>
      <c r="ABB2474" s="60"/>
      <c r="ABC2474" s="60"/>
      <c r="ABD2474" s="60"/>
      <c r="ABE2474" s="63"/>
      <c r="ABF2474" s="61"/>
      <c r="ABG2474" s="54"/>
      <c r="ABH2474" s="54"/>
      <c r="ABI2474" s="60"/>
      <c r="ABJ2474" s="60"/>
      <c r="ABK2474" s="60"/>
      <c r="ABL2474" s="60"/>
      <c r="ABM2474" s="63"/>
      <c r="ABN2474" s="61"/>
      <c r="ABO2474" s="54"/>
      <c r="ABP2474" s="54"/>
      <c r="ABQ2474" s="60"/>
      <c r="ABR2474" s="60"/>
      <c r="ABS2474" s="60"/>
      <c r="ABT2474" s="60"/>
      <c r="ABU2474" s="63"/>
      <c r="ABV2474" s="61"/>
      <c r="ABW2474" s="54"/>
      <c r="ABX2474" s="54"/>
      <c r="ABY2474" s="60"/>
      <c r="ABZ2474" s="60"/>
      <c r="ACA2474" s="60"/>
      <c r="ACB2474" s="60"/>
      <c r="ACC2474" s="63"/>
      <c r="ACD2474" s="61"/>
      <c r="ACE2474" s="54"/>
      <c r="ACF2474" s="54"/>
      <c r="ACG2474" s="60"/>
      <c r="ACH2474" s="60"/>
      <c r="ACI2474" s="60"/>
      <c r="ACJ2474" s="60"/>
      <c r="ACK2474" s="63"/>
      <c r="ACL2474" s="61"/>
      <c r="ACM2474" s="54"/>
      <c r="ACN2474" s="54"/>
      <c r="ACO2474" s="60"/>
      <c r="ACP2474" s="60"/>
      <c r="ACQ2474" s="60"/>
      <c r="ACR2474" s="60"/>
      <c r="ACS2474" s="63"/>
      <c r="ACT2474" s="61"/>
      <c r="ACU2474" s="54"/>
      <c r="ACV2474" s="54"/>
      <c r="ACW2474" s="60"/>
      <c r="ACX2474" s="60"/>
      <c r="ACY2474" s="60"/>
      <c r="ACZ2474" s="60"/>
      <c r="ADA2474" s="63"/>
      <c r="ADB2474" s="61"/>
      <c r="ADC2474" s="54"/>
      <c r="ADD2474" s="54"/>
      <c r="ADE2474" s="60"/>
      <c r="ADF2474" s="60"/>
      <c r="ADG2474" s="60"/>
      <c r="ADH2474" s="60"/>
      <c r="ADI2474" s="63"/>
      <c r="ADJ2474" s="61"/>
      <c r="ADK2474" s="54"/>
      <c r="ADL2474" s="54"/>
      <c r="ADM2474" s="60"/>
      <c r="ADN2474" s="60"/>
      <c r="ADO2474" s="60"/>
      <c r="ADP2474" s="60"/>
      <c r="ADQ2474" s="63"/>
      <c r="ADR2474" s="61"/>
      <c r="ADS2474" s="54"/>
      <c r="ADT2474" s="54"/>
      <c r="ADU2474" s="60"/>
      <c r="ADV2474" s="60"/>
      <c r="ADW2474" s="60"/>
      <c r="ADX2474" s="60"/>
      <c r="ADY2474" s="63"/>
      <c r="ADZ2474" s="61"/>
      <c r="AEA2474" s="54"/>
      <c r="AEB2474" s="54"/>
      <c r="AEC2474" s="60"/>
      <c r="AED2474" s="60"/>
      <c r="AEE2474" s="60"/>
      <c r="AEF2474" s="60"/>
      <c r="AEG2474" s="63"/>
      <c r="AEH2474" s="61"/>
      <c r="AEI2474" s="54"/>
      <c r="AEJ2474" s="54"/>
      <c r="AEK2474" s="60"/>
      <c r="AEL2474" s="60"/>
      <c r="AEM2474" s="60"/>
      <c r="AEN2474" s="60"/>
      <c r="AEO2474" s="63"/>
      <c r="AEP2474" s="61"/>
      <c r="AEQ2474" s="54"/>
      <c r="AER2474" s="54"/>
      <c r="AES2474" s="60"/>
      <c r="AET2474" s="60"/>
      <c r="AEU2474" s="60"/>
      <c r="AEV2474" s="60"/>
      <c r="AEW2474" s="63"/>
      <c r="AEX2474" s="61"/>
      <c r="AEY2474" s="54"/>
      <c r="AEZ2474" s="54"/>
      <c r="AFA2474" s="60"/>
      <c r="AFB2474" s="60"/>
      <c r="AFC2474" s="60"/>
      <c r="AFD2474" s="60"/>
      <c r="AFE2474" s="63"/>
      <c r="AFF2474" s="61"/>
      <c r="AFG2474" s="54"/>
      <c r="AFH2474" s="54"/>
      <c r="AFI2474" s="60"/>
      <c r="AFJ2474" s="60"/>
      <c r="AFK2474" s="60"/>
      <c r="AFL2474" s="60"/>
      <c r="AFM2474" s="63"/>
      <c r="AFN2474" s="61"/>
      <c r="AFO2474" s="54"/>
      <c r="AFP2474" s="54"/>
      <c r="AFQ2474" s="60"/>
      <c r="AFR2474" s="60"/>
      <c r="AFS2474" s="60"/>
      <c r="AFT2474" s="60"/>
      <c r="AFU2474" s="63"/>
      <c r="AFV2474" s="61"/>
      <c r="AFW2474" s="54"/>
      <c r="AFX2474" s="54"/>
      <c r="AFY2474" s="60"/>
      <c r="AFZ2474" s="60"/>
      <c r="AGA2474" s="60"/>
      <c r="AGB2474" s="60"/>
      <c r="AGC2474" s="63"/>
      <c r="AGD2474" s="61"/>
      <c r="AGE2474" s="54"/>
      <c r="AGF2474" s="54"/>
      <c r="AGG2474" s="60"/>
      <c r="AGH2474" s="60"/>
      <c r="AGI2474" s="60"/>
      <c r="AGJ2474" s="60"/>
      <c r="AGK2474" s="63"/>
      <c r="AGL2474" s="61"/>
      <c r="AGM2474" s="54"/>
      <c r="AGN2474" s="54"/>
      <c r="AGO2474" s="60"/>
      <c r="AGP2474" s="60"/>
      <c r="AGQ2474" s="60"/>
      <c r="AGR2474" s="60"/>
      <c r="AGS2474" s="63"/>
      <c r="AGT2474" s="61"/>
      <c r="AGU2474" s="54"/>
      <c r="AGV2474" s="54"/>
      <c r="AGW2474" s="60"/>
      <c r="AGX2474" s="60"/>
      <c r="AGY2474" s="60"/>
      <c r="AGZ2474" s="60"/>
      <c r="AHA2474" s="63"/>
      <c r="AHB2474" s="61"/>
      <c r="AHC2474" s="54"/>
      <c r="AHD2474" s="54"/>
      <c r="AHE2474" s="60"/>
      <c r="AHF2474" s="60"/>
      <c r="AHG2474" s="60"/>
      <c r="AHH2474" s="60"/>
      <c r="AHI2474" s="63"/>
      <c r="AHJ2474" s="61"/>
      <c r="AHK2474" s="54"/>
      <c r="AHL2474" s="54"/>
      <c r="AHM2474" s="60"/>
      <c r="AHN2474" s="60"/>
      <c r="AHO2474" s="60"/>
      <c r="AHP2474" s="60"/>
      <c r="AHQ2474" s="63"/>
      <c r="AHR2474" s="61"/>
      <c r="AHS2474" s="54"/>
      <c r="AHT2474" s="54"/>
      <c r="AHU2474" s="60"/>
      <c r="AHV2474" s="60"/>
      <c r="AHW2474" s="60"/>
      <c r="AHX2474" s="60"/>
      <c r="AHY2474" s="63"/>
      <c r="AHZ2474" s="61"/>
      <c r="AIA2474" s="54"/>
      <c r="AIB2474" s="54"/>
      <c r="AIC2474" s="60"/>
      <c r="AID2474" s="60"/>
      <c r="AIE2474" s="60"/>
      <c r="AIF2474" s="60"/>
      <c r="AIG2474" s="63"/>
      <c r="AIH2474" s="61"/>
      <c r="AII2474" s="54"/>
      <c r="AIJ2474" s="54"/>
      <c r="AIK2474" s="60"/>
      <c r="AIL2474" s="60"/>
      <c r="AIM2474" s="60"/>
      <c r="AIN2474" s="60"/>
      <c r="AIO2474" s="63"/>
      <c r="AIP2474" s="61"/>
      <c r="AIQ2474" s="54"/>
      <c r="AIR2474" s="54"/>
      <c r="AIS2474" s="60"/>
      <c r="AIT2474" s="60"/>
      <c r="AIU2474" s="60"/>
      <c r="AIV2474" s="60"/>
      <c r="AIW2474" s="63"/>
      <c r="AIX2474" s="61"/>
      <c r="AIY2474" s="54"/>
      <c r="AIZ2474" s="54"/>
      <c r="AJA2474" s="60"/>
      <c r="AJB2474" s="60"/>
      <c r="AJC2474" s="60"/>
      <c r="AJD2474" s="60"/>
      <c r="AJE2474" s="63"/>
      <c r="AJF2474" s="61"/>
      <c r="AJG2474" s="54"/>
      <c r="AJH2474" s="54"/>
      <c r="AJI2474" s="60"/>
      <c r="AJJ2474" s="60"/>
      <c r="AJK2474" s="60"/>
      <c r="AJL2474" s="60"/>
      <c r="AJM2474" s="63"/>
      <c r="AJN2474" s="61"/>
      <c r="AJO2474" s="54"/>
      <c r="AJP2474" s="54"/>
      <c r="AJQ2474" s="60"/>
      <c r="AJR2474" s="60"/>
      <c r="AJS2474" s="60"/>
      <c r="AJT2474" s="60"/>
      <c r="AJU2474" s="63"/>
      <c r="AJV2474" s="61"/>
      <c r="AJW2474" s="54"/>
      <c r="AJX2474" s="54"/>
      <c r="AJY2474" s="60"/>
      <c r="AJZ2474" s="60"/>
      <c r="AKA2474" s="60"/>
      <c r="AKB2474" s="60"/>
      <c r="AKC2474" s="63"/>
      <c r="AKD2474" s="61"/>
      <c r="AKE2474" s="54"/>
      <c r="AKF2474" s="54"/>
      <c r="AKG2474" s="60"/>
      <c r="AKH2474" s="60"/>
      <c r="AKI2474" s="60"/>
      <c r="AKJ2474" s="60"/>
      <c r="AKK2474" s="63"/>
      <c r="AKL2474" s="61"/>
      <c r="AKM2474" s="54"/>
      <c r="AKN2474" s="54"/>
      <c r="AKO2474" s="60"/>
      <c r="AKP2474" s="60"/>
      <c r="AKQ2474" s="60"/>
      <c r="AKR2474" s="60"/>
      <c r="AKS2474" s="63"/>
      <c r="AKT2474" s="61"/>
      <c r="AKU2474" s="54"/>
      <c r="AKV2474" s="54"/>
      <c r="AKW2474" s="60"/>
      <c r="AKX2474" s="60"/>
      <c r="AKY2474" s="60"/>
      <c r="AKZ2474" s="60"/>
      <c r="ALA2474" s="63"/>
      <c r="ALB2474" s="61"/>
      <c r="ALC2474" s="54"/>
      <c r="ALD2474" s="54"/>
      <c r="ALE2474" s="60"/>
      <c r="ALF2474" s="60"/>
      <c r="ALG2474" s="60"/>
      <c r="ALH2474" s="60"/>
      <c r="ALI2474" s="63"/>
      <c r="ALJ2474" s="61"/>
      <c r="ALK2474" s="54"/>
      <c r="ALL2474" s="54"/>
      <c r="ALM2474" s="60"/>
      <c r="ALN2474" s="60"/>
      <c r="ALO2474" s="60"/>
      <c r="ALP2474" s="60"/>
      <c r="ALQ2474" s="63"/>
      <c r="ALR2474" s="61"/>
      <c r="ALS2474" s="54"/>
      <c r="ALT2474" s="54"/>
      <c r="ALU2474" s="60"/>
      <c r="ALV2474" s="60"/>
      <c r="ALW2474" s="60"/>
      <c r="ALX2474" s="60"/>
      <c r="ALY2474" s="63"/>
      <c r="ALZ2474" s="61"/>
      <c r="AMA2474" s="54"/>
      <c r="AMB2474" s="54"/>
      <c r="AMC2474" s="60"/>
      <c r="AMD2474" s="60"/>
      <c r="AME2474" s="60"/>
      <c r="AMF2474" s="60"/>
      <c r="AMG2474" s="63"/>
      <c r="AMH2474" s="61"/>
      <c r="AMI2474" s="54"/>
      <c r="AMJ2474" s="54"/>
      <c r="AMK2474" s="60"/>
      <c r="AML2474" s="60"/>
      <c r="AMM2474" s="60"/>
      <c r="AMN2474" s="60"/>
      <c r="AMO2474" s="63"/>
      <c r="AMP2474" s="61"/>
      <c r="AMQ2474" s="54"/>
      <c r="AMR2474" s="54"/>
      <c r="AMS2474" s="60"/>
      <c r="AMT2474" s="60"/>
      <c r="AMU2474" s="60"/>
      <c r="AMV2474" s="60"/>
      <c r="AMW2474" s="63"/>
      <c r="AMX2474" s="61"/>
      <c r="AMY2474" s="54"/>
      <c r="AMZ2474" s="54"/>
      <c r="ANA2474" s="60"/>
      <c r="ANB2474" s="60"/>
      <c r="ANC2474" s="60"/>
      <c r="AND2474" s="60"/>
      <c r="ANE2474" s="63"/>
      <c r="ANF2474" s="61"/>
      <c r="ANG2474" s="54"/>
      <c r="ANH2474" s="54"/>
      <c r="ANI2474" s="60"/>
      <c r="ANJ2474" s="60"/>
      <c r="ANK2474" s="60"/>
      <c r="ANL2474" s="60"/>
      <c r="ANM2474" s="63"/>
      <c r="ANN2474" s="61"/>
      <c r="ANO2474" s="54"/>
      <c r="ANP2474" s="54"/>
      <c r="ANQ2474" s="60"/>
      <c r="ANR2474" s="60"/>
      <c r="ANS2474" s="60"/>
      <c r="ANT2474" s="60"/>
      <c r="ANU2474" s="63"/>
      <c r="ANV2474" s="61"/>
      <c r="ANW2474" s="54"/>
      <c r="ANX2474" s="54"/>
      <c r="ANY2474" s="60"/>
      <c r="ANZ2474" s="60"/>
      <c r="AOA2474" s="60"/>
      <c r="AOB2474" s="60"/>
      <c r="AOC2474" s="63"/>
      <c r="AOD2474" s="61"/>
      <c r="AOE2474" s="54"/>
      <c r="AOF2474" s="54"/>
      <c r="AOG2474" s="60"/>
      <c r="AOH2474" s="60"/>
      <c r="AOI2474" s="60"/>
      <c r="AOJ2474" s="60"/>
      <c r="AOK2474" s="63"/>
      <c r="AOL2474" s="61"/>
      <c r="AOM2474" s="54"/>
      <c r="AON2474" s="54"/>
      <c r="AOO2474" s="60"/>
      <c r="AOP2474" s="60"/>
      <c r="AOQ2474" s="60"/>
      <c r="AOR2474" s="60"/>
      <c r="AOS2474" s="63"/>
      <c r="AOT2474" s="61"/>
      <c r="AOU2474" s="54"/>
      <c r="AOV2474" s="54"/>
      <c r="AOW2474" s="60"/>
      <c r="AOX2474" s="60"/>
      <c r="AOY2474" s="60"/>
      <c r="AOZ2474" s="60"/>
      <c r="APA2474" s="63"/>
      <c r="APB2474" s="61"/>
      <c r="APC2474" s="54"/>
      <c r="APD2474" s="54"/>
      <c r="APE2474" s="60"/>
      <c r="APF2474" s="60"/>
      <c r="APG2474" s="60"/>
      <c r="APH2474" s="60"/>
      <c r="API2474" s="63"/>
      <c r="APJ2474" s="61"/>
      <c r="APK2474" s="54"/>
      <c r="APL2474" s="54"/>
      <c r="APM2474" s="60"/>
      <c r="APN2474" s="60"/>
      <c r="APO2474" s="60"/>
      <c r="APP2474" s="60"/>
      <c r="APQ2474" s="63"/>
      <c r="APR2474" s="61"/>
      <c r="APS2474" s="54"/>
      <c r="APT2474" s="54"/>
      <c r="APU2474" s="60"/>
      <c r="APV2474" s="60"/>
      <c r="APW2474" s="60"/>
      <c r="APX2474" s="60"/>
      <c r="APY2474" s="63"/>
      <c r="APZ2474" s="61"/>
      <c r="AQA2474" s="54"/>
      <c r="AQB2474" s="54"/>
      <c r="AQC2474" s="60"/>
      <c r="AQD2474" s="60"/>
      <c r="AQE2474" s="60"/>
      <c r="AQF2474" s="60"/>
      <c r="AQG2474" s="63"/>
      <c r="AQH2474" s="61"/>
      <c r="AQI2474" s="54"/>
      <c r="AQJ2474" s="54"/>
      <c r="AQK2474" s="60"/>
      <c r="AQL2474" s="60"/>
      <c r="AQM2474" s="60"/>
      <c r="AQN2474" s="60"/>
      <c r="AQO2474" s="63"/>
      <c r="AQP2474" s="61"/>
      <c r="AQQ2474" s="54"/>
      <c r="AQR2474" s="54"/>
      <c r="AQS2474" s="60"/>
      <c r="AQT2474" s="60"/>
      <c r="AQU2474" s="60"/>
      <c r="AQV2474" s="60"/>
      <c r="AQW2474" s="63"/>
      <c r="AQX2474" s="61"/>
      <c r="AQY2474" s="54"/>
      <c r="AQZ2474" s="54"/>
      <c r="ARA2474" s="60"/>
      <c r="ARB2474" s="60"/>
      <c r="ARC2474" s="60"/>
      <c r="ARD2474" s="60"/>
      <c r="ARE2474" s="63"/>
      <c r="ARF2474" s="61"/>
      <c r="ARG2474" s="54"/>
      <c r="ARH2474" s="54"/>
      <c r="ARI2474" s="60"/>
      <c r="ARJ2474" s="60"/>
      <c r="ARK2474" s="60"/>
      <c r="ARL2474" s="60"/>
      <c r="ARM2474" s="63"/>
      <c r="ARN2474" s="61"/>
      <c r="ARO2474" s="54"/>
      <c r="ARP2474" s="54"/>
      <c r="ARQ2474" s="60"/>
      <c r="ARR2474" s="60"/>
      <c r="ARS2474" s="60"/>
      <c r="ART2474" s="60"/>
      <c r="ARU2474" s="63"/>
      <c r="ARV2474" s="61"/>
      <c r="ARW2474" s="54"/>
      <c r="ARX2474" s="54"/>
      <c r="ARY2474" s="60"/>
      <c r="ARZ2474" s="60"/>
      <c r="ASA2474" s="60"/>
      <c r="ASB2474" s="60"/>
      <c r="ASC2474" s="63"/>
      <c r="ASD2474" s="61"/>
      <c r="ASE2474" s="54"/>
      <c r="ASF2474" s="54"/>
      <c r="ASG2474" s="60"/>
      <c r="ASH2474" s="60"/>
      <c r="ASI2474" s="60"/>
      <c r="ASJ2474" s="60"/>
      <c r="ASK2474" s="63"/>
      <c r="ASL2474" s="61"/>
      <c r="ASM2474" s="54"/>
      <c r="ASN2474" s="54"/>
      <c r="ASO2474" s="60"/>
      <c r="ASP2474" s="60"/>
      <c r="ASQ2474" s="60"/>
      <c r="ASR2474" s="60"/>
      <c r="ASS2474" s="63"/>
      <c r="AST2474" s="61"/>
      <c r="ASU2474" s="54"/>
      <c r="ASV2474" s="54"/>
      <c r="ASW2474" s="60"/>
      <c r="ASX2474" s="60"/>
      <c r="ASY2474" s="60"/>
      <c r="ASZ2474" s="60"/>
      <c r="ATA2474" s="63"/>
      <c r="ATB2474" s="61"/>
      <c r="ATC2474" s="54"/>
      <c r="ATD2474" s="54"/>
      <c r="ATE2474" s="60"/>
      <c r="ATF2474" s="60"/>
      <c r="ATG2474" s="60"/>
      <c r="ATH2474" s="60"/>
      <c r="ATI2474" s="63"/>
      <c r="ATJ2474" s="61"/>
      <c r="ATK2474" s="54"/>
      <c r="ATL2474" s="54"/>
      <c r="ATM2474" s="60"/>
      <c r="ATN2474" s="60"/>
      <c r="ATO2474" s="60"/>
      <c r="ATP2474" s="60"/>
      <c r="ATQ2474" s="63"/>
      <c r="ATR2474" s="61"/>
      <c r="ATS2474" s="54"/>
      <c r="ATT2474" s="54"/>
      <c r="ATU2474" s="60"/>
      <c r="ATV2474" s="60"/>
      <c r="ATW2474" s="60"/>
      <c r="ATX2474" s="60"/>
      <c r="ATY2474" s="63"/>
      <c r="ATZ2474" s="61"/>
      <c r="AUA2474" s="54"/>
      <c r="AUB2474" s="54"/>
      <c r="AUC2474" s="60"/>
      <c r="AUD2474" s="60"/>
      <c r="AUE2474" s="60"/>
      <c r="AUF2474" s="60"/>
      <c r="AUG2474" s="63"/>
      <c r="AUH2474" s="61"/>
      <c r="AUI2474" s="54"/>
      <c r="AUJ2474" s="54"/>
      <c r="AUK2474" s="60"/>
      <c r="AUL2474" s="60"/>
      <c r="AUM2474" s="60"/>
      <c r="AUN2474" s="60"/>
      <c r="AUO2474" s="63"/>
      <c r="AUP2474" s="61"/>
      <c r="AUQ2474" s="54"/>
      <c r="AUR2474" s="54"/>
      <c r="AUS2474" s="60"/>
      <c r="AUT2474" s="60"/>
      <c r="AUU2474" s="60"/>
      <c r="AUV2474" s="60"/>
      <c r="AUW2474" s="63"/>
      <c r="AUX2474" s="61"/>
      <c r="AUY2474" s="54"/>
      <c r="AUZ2474" s="54"/>
      <c r="AVA2474" s="60"/>
      <c r="AVB2474" s="60"/>
      <c r="AVC2474" s="60"/>
      <c r="AVD2474" s="60"/>
      <c r="AVE2474" s="63"/>
      <c r="AVF2474" s="61"/>
      <c r="AVG2474" s="54"/>
      <c r="AVH2474" s="54"/>
      <c r="AVI2474" s="60"/>
      <c r="AVJ2474" s="60"/>
      <c r="AVK2474" s="60"/>
      <c r="AVL2474" s="60"/>
      <c r="AVM2474" s="63"/>
      <c r="AVN2474" s="61"/>
      <c r="AVO2474" s="54"/>
      <c r="AVP2474" s="54"/>
      <c r="AVQ2474" s="60"/>
      <c r="AVR2474" s="60"/>
      <c r="AVS2474" s="60"/>
      <c r="AVT2474" s="60"/>
      <c r="AVU2474" s="63"/>
      <c r="AVV2474" s="61"/>
      <c r="AVW2474" s="54"/>
      <c r="AVX2474" s="54"/>
      <c r="AVY2474" s="60"/>
      <c r="AVZ2474" s="60"/>
      <c r="AWA2474" s="60"/>
      <c r="AWB2474" s="60"/>
      <c r="AWC2474" s="63"/>
      <c r="AWD2474" s="61"/>
      <c r="AWE2474" s="54"/>
      <c r="AWF2474" s="54"/>
      <c r="AWG2474" s="60"/>
      <c r="AWH2474" s="60"/>
      <c r="AWI2474" s="60"/>
      <c r="AWJ2474" s="60"/>
      <c r="AWK2474" s="63"/>
      <c r="AWL2474" s="61"/>
      <c r="AWM2474" s="54"/>
      <c r="AWN2474" s="54"/>
      <c r="AWO2474" s="60"/>
      <c r="AWP2474" s="60"/>
      <c r="AWQ2474" s="60"/>
      <c r="AWR2474" s="60"/>
      <c r="AWS2474" s="63"/>
      <c r="AWT2474" s="61"/>
      <c r="AWU2474" s="54"/>
      <c r="AWV2474" s="54"/>
      <c r="AWW2474" s="60"/>
      <c r="AWX2474" s="60"/>
      <c r="AWY2474" s="60"/>
      <c r="AWZ2474" s="60"/>
      <c r="AXA2474" s="63"/>
      <c r="AXB2474" s="61"/>
      <c r="AXC2474" s="54"/>
      <c r="AXD2474" s="54"/>
      <c r="AXE2474" s="60"/>
      <c r="AXF2474" s="60"/>
      <c r="AXG2474" s="60"/>
      <c r="AXH2474" s="60"/>
      <c r="AXI2474" s="63"/>
      <c r="AXJ2474" s="61"/>
      <c r="AXK2474" s="54"/>
      <c r="AXL2474" s="54"/>
      <c r="AXM2474" s="60"/>
      <c r="AXN2474" s="60"/>
      <c r="AXO2474" s="60"/>
      <c r="AXP2474" s="60"/>
      <c r="AXQ2474" s="63"/>
      <c r="AXR2474" s="61"/>
      <c r="AXS2474" s="54"/>
      <c r="AXT2474" s="54"/>
      <c r="AXU2474" s="60"/>
      <c r="AXV2474" s="60"/>
      <c r="AXW2474" s="60"/>
      <c r="AXX2474" s="60"/>
      <c r="AXY2474" s="63"/>
      <c r="AXZ2474" s="61"/>
      <c r="AYA2474" s="54"/>
      <c r="AYB2474" s="54"/>
      <c r="AYC2474" s="60"/>
      <c r="AYD2474" s="60"/>
      <c r="AYE2474" s="60"/>
      <c r="AYF2474" s="60"/>
      <c r="AYG2474" s="63"/>
      <c r="AYH2474" s="61"/>
      <c r="AYI2474" s="54"/>
      <c r="AYJ2474" s="54"/>
      <c r="AYK2474" s="60"/>
      <c r="AYL2474" s="60"/>
      <c r="AYM2474" s="60"/>
      <c r="AYN2474" s="60"/>
      <c r="AYO2474" s="63"/>
      <c r="AYP2474" s="61"/>
      <c r="AYQ2474" s="54"/>
      <c r="AYR2474" s="54"/>
      <c r="AYS2474" s="60"/>
      <c r="AYT2474" s="60"/>
      <c r="AYU2474" s="60"/>
      <c r="AYV2474" s="60"/>
      <c r="AYW2474" s="63"/>
      <c r="AYX2474" s="61"/>
      <c r="AYY2474" s="54"/>
      <c r="AYZ2474" s="54"/>
      <c r="AZA2474" s="60"/>
      <c r="AZB2474" s="60"/>
      <c r="AZC2474" s="60"/>
      <c r="AZD2474" s="60"/>
      <c r="AZE2474" s="63"/>
      <c r="AZF2474" s="61"/>
      <c r="AZG2474" s="54"/>
      <c r="AZH2474" s="54"/>
      <c r="AZI2474" s="60"/>
      <c r="AZJ2474" s="60"/>
      <c r="AZK2474" s="60"/>
      <c r="AZL2474" s="60"/>
      <c r="AZM2474" s="63"/>
      <c r="AZN2474" s="61"/>
      <c r="AZO2474" s="54"/>
      <c r="AZP2474" s="54"/>
      <c r="AZQ2474" s="60"/>
      <c r="AZR2474" s="60"/>
      <c r="AZS2474" s="60"/>
      <c r="AZT2474" s="60"/>
      <c r="AZU2474" s="63"/>
      <c r="AZV2474" s="61"/>
      <c r="AZW2474" s="54"/>
      <c r="AZX2474" s="54"/>
      <c r="AZY2474" s="60"/>
      <c r="AZZ2474" s="60"/>
      <c r="BAA2474" s="60"/>
      <c r="BAB2474" s="60"/>
      <c r="BAC2474" s="63"/>
      <c r="BAD2474" s="61"/>
      <c r="BAE2474" s="54"/>
      <c r="BAF2474" s="54"/>
      <c r="BAG2474" s="60"/>
      <c r="BAH2474" s="60"/>
      <c r="BAI2474" s="60"/>
      <c r="BAJ2474" s="60"/>
      <c r="BAK2474" s="63"/>
      <c r="BAL2474" s="61"/>
      <c r="BAM2474" s="54"/>
      <c r="BAN2474" s="54"/>
      <c r="BAO2474" s="60"/>
      <c r="BAP2474" s="60"/>
      <c r="BAQ2474" s="60"/>
      <c r="BAR2474" s="60"/>
      <c r="BAS2474" s="63"/>
      <c r="BAT2474" s="61"/>
      <c r="BAU2474" s="54"/>
      <c r="BAV2474" s="54"/>
      <c r="BAW2474" s="60"/>
      <c r="BAX2474" s="60"/>
      <c r="BAY2474" s="60"/>
      <c r="BAZ2474" s="60"/>
      <c r="BBA2474" s="63"/>
      <c r="BBB2474" s="61"/>
      <c r="BBC2474" s="54"/>
      <c r="BBD2474" s="54"/>
      <c r="BBE2474" s="60"/>
      <c r="BBF2474" s="60"/>
      <c r="BBG2474" s="60"/>
      <c r="BBH2474" s="60"/>
      <c r="BBI2474" s="63"/>
      <c r="BBJ2474" s="61"/>
      <c r="BBK2474" s="54"/>
      <c r="BBL2474" s="54"/>
      <c r="BBM2474" s="60"/>
      <c r="BBN2474" s="60"/>
      <c r="BBO2474" s="60"/>
      <c r="BBP2474" s="60"/>
      <c r="BBQ2474" s="63"/>
      <c r="BBR2474" s="61"/>
      <c r="BBS2474" s="54"/>
      <c r="BBT2474" s="54"/>
      <c r="BBU2474" s="60"/>
      <c r="BBV2474" s="60"/>
      <c r="BBW2474" s="60"/>
      <c r="BBX2474" s="60"/>
      <c r="BBY2474" s="63"/>
      <c r="BBZ2474" s="61"/>
      <c r="BCA2474" s="54"/>
      <c r="BCB2474" s="54"/>
      <c r="BCC2474" s="60"/>
      <c r="BCD2474" s="60"/>
      <c r="BCE2474" s="60"/>
      <c r="BCF2474" s="60"/>
      <c r="BCG2474" s="63"/>
      <c r="BCH2474" s="61"/>
      <c r="BCI2474" s="54"/>
      <c r="BCJ2474" s="54"/>
      <c r="BCK2474" s="60"/>
      <c r="BCL2474" s="60"/>
      <c r="BCM2474" s="60"/>
      <c r="BCN2474" s="60"/>
      <c r="BCO2474" s="63"/>
      <c r="BCP2474" s="61"/>
      <c r="BCQ2474" s="54"/>
      <c r="BCR2474" s="54"/>
      <c r="BCS2474" s="60"/>
      <c r="BCT2474" s="60"/>
      <c r="BCU2474" s="60"/>
      <c r="BCV2474" s="60"/>
      <c r="BCW2474" s="63"/>
      <c r="BCX2474" s="61"/>
      <c r="BCY2474" s="54"/>
      <c r="BCZ2474" s="54"/>
      <c r="BDA2474" s="60"/>
      <c r="BDB2474" s="60"/>
      <c r="BDC2474" s="60"/>
      <c r="BDD2474" s="60"/>
      <c r="BDE2474" s="63"/>
      <c r="BDF2474" s="61"/>
      <c r="BDG2474" s="54"/>
      <c r="BDH2474" s="54"/>
      <c r="BDI2474" s="60"/>
      <c r="BDJ2474" s="60"/>
      <c r="BDK2474" s="60"/>
      <c r="BDL2474" s="60"/>
      <c r="BDM2474" s="63"/>
      <c r="BDN2474" s="61"/>
      <c r="BDO2474" s="54"/>
      <c r="BDP2474" s="54"/>
      <c r="BDQ2474" s="60"/>
      <c r="BDR2474" s="60"/>
      <c r="BDS2474" s="60"/>
      <c r="BDT2474" s="60"/>
      <c r="BDU2474" s="63"/>
      <c r="BDV2474" s="61"/>
      <c r="BDW2474" s="54"/>
      <c r="BDX2474" s="54"/>
      <c r="BDY2474" s="60"/>
      <c r="BDZ2474" s="60"/>
      <c r="BEA2474" s="60"/>
      <c r="BEB2474" s="60"/>
      <c r="BEC2474" s="63"/>
      <c r="BED2474" s="61"/>
      <c r="BEE2474" s="54"/>
      <c r="BEF2474" s="54"/>
      <c r="BEG2474" s="60"/>
      <c r="BEH2474" s="60"/>
      <c r="BEI2474" s="60"/>
      <c r="BEJ2474" s="60"/>
      <c r="BEK2474" s="63"/>
      <c r="BEL2474" s="61"/>
      <c r="BEM2474" s="54"/>
      <c r="BEN2474" s="54"/>
      <c r="BEO2474" s="60"/>
      <c r="BEP2474" s="60"/>
      <c r="BEQ2474" s="60"/>
      <c r="BER2474" s="60"/>
      <c r="BES2474" s="63"/>
      <c r="BET2474" s="61"/>
      <c r="BEU2474" s="54"/>
      <c r="BEV2474" s="54"/>
      <c r="BEW2474" s="60"/>
      <c r="BEX2474" s="60"/>
      <c r="BEY2474" s="60"/>
      <c r="BEZ2474" s="60"/>
      <c r="BFA2474" s="63"/>
      <c r="BFB2474" s="61"/>
      <c r="BFC2474" s="54"/>
      <c r="BFD2474" s="54"/>
      <c r="BFE2474" s="60"/>
      <c r="BFF2474" s="60"/>
      <c r="BFG2474" s="60"/>
      <c r="BFH2474" s="60"/>
      <c r="BFI2474" s="63"/>
      <c r="BFJ2474" s="61"/>
      <c r="BFK2474" s="54"/>
      <c r="BFL2474" s="54"/>
      <c r="BFM2474" s="60"/>
      <c r="BFN2474" s="60"/>
      <c r="BFO2474" s="60"/>
      <c r="BFP2474" s="60"/>
      <c r="BFQ2474" s="63"/>
      <c r="BFR2474" s="61"/>
      <c r="BFS2474" s="54"/>
      <c r="BFT2474" s="54"/>
      <c r="BFU2474" s="60"/>
      <c r="BFV2474" s="60"/>
      <c r="BFW2474" s="60"/>
      <c r="BFX2474" s="60"/>
      <c r="BFY2474" s="63"/>
      <c r="BFZ2474" s="61"/>
      <c r="BGA2474" s="54"/>
      <c r="BGB2474" s="54"/>
      <c r="BGC2474" s="60"/>
      <c r="BGD2474" s="60"/>
      <c r="BGE2474" s="60"/>
      <c r="BGF2474" s="60"/>
      <c r="BGG2474" s="63"/>
      <c r="BGH2474" s="61"/>
      <c r="BGI2474" s="54"/>
      <c r="BGJ2474" s="54"/>
      <c r="BGK2474" s="60"/>
      <c r="BGL2474" s="60"/>
      <c r="BGM2474" s="60"/>
      <c r="BGN2474" s="60"/>
      <c r="BGO2474" s="63"/>
      <c r="BGP2474" s="61"/>
      <c r="BGQ2474" s="54"/>
      <c r="BGR2474" s="54"/>
      <c r="BGS2474" s="60"/>
      <c r="BGT2474" s="60"/>
      <c r="BGU2474" s="60"/>
      <c r="BGV2474" s="60"/>
      <c r="BGW2474" s="63"/>
      <c r="BGX2474" s="61"/>
      <c r="BGY2474" s="54"/>
      <c r="BGZ2474" s="54"/>
      <c r="BHA2474" s="60"/>
      <c r="BHB2474" s="60"/>
      <c r="BHC2474" s="60"/>
      <c r="BHD2474" s="60"/>
      <c r="BHE2474" s="63"/>
      <c r="BHF2474" s="61"/>
      <c r="BHG2474" s="54"/>
      <c r="BHH2474" s="54"/>
      <c r="BHI2474" s="60"/>
      <c r="BHJ2474" s="60"/>
      <c r="BHK2474" s="60"/>
      <c r="BHL2474" s="60"/>
      <c r="BHM2474" s="63"/>
      <c r="BHN2474" s="61"/>
      <c r="BHO2474" s="54"/>
      <c r="BHP2474" s="54"/>
      <c r="BHQ2474" s="60"/>
      <c r="BHR2474" s="60"/>
      <c r="BHS2474" s="60"/>
      <c r="BHT2474" s="60"/>
      <c r="BHU2474" s="63"/>
      <c r="BHV2474" s="61"/>
      <c r="BHW2474" s="54"/>
      <c r="BHX2474" s="54"/>
      <c r="BHY2474" s="60"/>
      <c r="BHZ2474" s="60"/>
      <c r="BIA2474" s="60"/>
      <c r="BIB2474" s="60"/>
      <c r="BIC2474" s="63"/>
      <c r="BID2474" s="61"/>
      <c r="BIE2474" s="54"/>
      <c r="BIF2474" s="54"/>
      <c r="BIG2474" s="60"/>
      <c r="BIH2474" s="60"/>
      <c r="BII2474" s="60"/>
      <c r="BIJ2474" s="60"/>
      <c r="BIK2474" s="63"/>
      <c r="BIL2474" s="61"/>
      <c r="BIM2474" s="54"/>
      <c r="BIN2474" s="54"/>
      <c r="BIO2474" s="60"/>
      <c r="BIP2474" s="60"/>
      <c r="BIQ2474" s="60"/>
      <c r="BIR2474" s="60"/>
      <c r="BIS2474" s="63"/>
      <c r="BIT2474" s="61"/>
      <c r="BIU2474" s="54"/>
      <c r="BIV2474" s="54"/>
      <c r="BIW2474" s="60"/>
      <c r="BIX2474" s="60"/>
      <c r="BIY2474" s="60"/>
      <c r="BIZ2474" s="60"/>
      <c r="BJA2474" s="63"/>
      <c r="BJB2474" s="61"/>
      <c r="BJC2474" s="54"/>
      <c r="BJD2474" s="54"/>
      <c r="BJE2474" s="60"/>
      <c r="BJF2474" s="60"/>
      <c r="BJG2474" s="60"/>
      <c r="BJH2474" s="60"/>
      <c r="BJI2474" s="63"/>
      <c r="BJJ2474" s="61"/>
      <c r="BJK2474" s="54"/>
      <c r="BJL2474" s="54"/>
      <c r="BJM2474" s="60"/>
      <c r="BJN2474" s="60"/>
      <c r="BJO2474" s="60"/>
      <c r="BJP2474" s="60"/>
      <c r="BJQ2474" s="63"/>
      <c r="BJR2474" s="61"/>
      <c r="BJS2474" s="54"/>
      <c r="BJT2474" s="54"/>
      <c r="BJU2474" s="60"/>
      <c r="BJV2474" s="60"/>
      <c r="BJW2474" s="60"/>
      <c r="BJX2474" s="60"/>
      <c r="BJY2474" s="63"/>
      <c r="BJZ2474" s="61"/>
      <c r="BKA2474" s="54"/>
      <c r="BKB2474" s="54"/>
      <c r="BKC2474" s="60"/>
      <c r="BKD2474" s="60"/>
      <c r="BKE2474" s="60"/>
      <c r="BKF2474" s="60"/>
      <c r="BKG2474" s="63"/>
      <c r="BKH2474" s="61"/>
      <c r="BKI2474" s="54"/>
      <c r="BKJ2474" s="54"/>
      <c r="BKK2474" s="60"/>
      <c r="BKL2474" s="60"/>
      <c r="BKM2474" s="60"/>
      <c r="BKN2474" s="60"/>
      <c r="BKO2474" s="63"/>
      <c r="BKP2474" s="61"/>
      <c r="BKQ2474" s="54"/>
      <c r="BKR2474" s="54"/>
      <c r="BKS2474" s="60"/>
      <c r="BKT2474" s="60"/>
      <c r="BKU2474" s="60"/>
      <c r="BKV2474" s="60"/>
      <c r="BKW2474" s="63"/>
      <c r="BKX2474" s="61"/>
      <c r="BKY2474" s="54"/>
      <c r="BKZ2474" s="54"/>
      <c r="BLA2474" s="60"/>
      <c r="BLB2474" s="60"/>
      <c r="BLC2474" s="60"/>
      <c r="BLD2474" s="60"/>
      <c r="BLE2474" s="63"/>
      <c r="BLF2474" s="61"/>
      <c r="BLG2474" s="54"/>
      <c r="BLH2474" s="54"/>
      <c r="BLI2474" s="60"/>
      <c r="BLJ2474" s="60"/>
      <c r="BLK2474" s="60"/>
      <c r="BLL2474" s="60"/>
      <c r="BLM2474" s="63"/>
      <c r="BLN2474" s="61"/>
      <c r="BLO2474" s="54"/>
      <c r="BLP2474" s="54"/>
      <c r="BLQ2474" s="60"/>
      <c r="BLR2474" s="60"/>
      <c r="BLS2474" s="60"/>
      <c r="BLT2474" s="60"/>
      <c r="BLU2474" s="63"/>
      <c r="BLV2474" s="61"/>
      <c r="BLW2474" s="54"/>
      <c r="BLX2474" s="54"/>
      <c r="BLY2474" s="60"/>
      <c r="BLZ2474" s="60"/>
      <c r="BMA2474" s="60"/>
      <c r="BMB2474" s="60"/>
      <c r="BMC2474" s="63"/>
      <c r="BMD2474" s="61"/>
      <c r="BME2474" s="54"/>
      <c r="BMF2474" s="54"/>
      <c r="BMG2474" s="60"/>
      <c r="BMH2474" s="60"/>
      <c r="BMI2474" s="60"/>
      <c r="BMJ2474" s="60"/>
      <c r="BMK2474" s="63"/>
      <c r="BML2474" s="61"/>
      <c r="BMM2474" s="54"/>
      <c r="BMN2474" s="54"/>
      <c r="BMO2474" s="60"/>
      <c r="BMP2474" s="60"/>
      <c r="BMQ2474" s="60"/>
      <c r="BMR2474" s="60"/>
      <c r="BMS2474" s="63"/>
      <c r="BMT2474" s="61"/>
      <c r="BMU2474" s="54"/>
      <c r="BMV2474" s="54"/>
      <c r="BMW2474" s="60"/>
      <c r="BMX2474" s="60"/>
      <c r="BMY2474" s="60"/>
      <c r="BMZ2474" s="60"/>
      <c r="BNA2474" s="63"/>
      <c r="BNB2474" s="61"/>
      <c r="BNC2474" s="54"/>
      <c r="BND2474" s="54"/>
      <c r="BNE2474" s="60"/>
      <c r="BNF2474" s="60"/>
      <c r="BNG2474" s="60"/>
      <c r="BNH2474" s="60"/>
      <c r="BNI2474" s="63"/>
      <c r="BNJ2474" s="61"/>
      <c r="BNK2474" s="54"/>
      <c r="BNL2474" s="54"/>
      <c r="BNM2474" s="60"/>
      <c r="BNN2474" s="60"/>
      <c r="BNO2474" s="60"/>
      <c r="BNP2474" s="60"/>
      <c r="BNQ2474" s="63"/>
      <c r="BNR2474" s="61"/>
      <c r="BNS2474" s="54"/>
      <c r="BNT2474" s="54"/>
      <c r="BNU2474" s="60"/>
      <c r="BNV2474" s="60"/>
      <c r="BNW2474" s="60"/>
      <c r="BNX2474" s="60"/>
      <c r="BNY2474" s="63"/>
      <c r="BNZ2474" s="61"/>
      <c r="BOA2474" s="54"/>
      <c r="BOB2474" s="54"/>
      <c r="BOC2474" s="60"/>
      <c r="BOD2474" s="60"/>
      <c r="BOE2474" s="60"/>
      <c r="BOF2474" s="60"/>
      <c r="BOG2474" s="63"/>
      <c r="BOH2474" s="61"/>
      <c r="BOI2474" s="54"/>
      <c r="BOJ2474" s="54"/>
      <c r="BOK2474" s="60"/>
      <c r="BOL2474" s="60"/>
      <c r="BOM2474" s="60"/>
      <c r="BON2474" s="60"/>
      <c r="BOO2474" s="63"/>
      <c r="BOP2474" s="61"/>
      <c r="BOQ2474" s="54"/>
      <c r="BOR2474" s="54"/>
      <c r="BOS2474" s="60"/>
      <c r="BOT2474" s="60"/>
      <c r="BOU2474" s="60"/>
      <c r="BOV2474" s="60"/>
      <c r="BOW2474" s="63"/>
      <c r="BOX2474" s="61"/>
      <c r="BOY2474" s="54"/>
      <c r="BOZ2474" s="54"/>
      <c r="BPA2474" s="60"/>
      <c r="BPB2474" s="60"/>
      <c r="BPC2474" s="60"/>
      <c r="BPD2474" s="60"/>
      <c r="BPE2474" s="63"/>
      <c r="BPF2474" s="61"/>
      <c r="BPG2474" s="54"/>
      <c r="BPH2474" s="54"/>
      <c r="BPI2474" s="60"/>
      <c r="BPJ2474" s="60"/>
      <c r="BPK2474" s="60"/>
      <c r="BPL2474" s="60"/>
      <c r="BPM2474" s="63"/>
      <c r="BPN2474" s="61"/>
      <c r="BPO2474" s="54"/>
      <c r="BPP2474" s="54"/>
      <c r="BPQ2474" s="60"/>
      <c r="BPR2474" s="60"/>
      <c r="BPS2474" s="60"/>
      <c r="BPT2474" s="60"/>
      <c r="BPU2474" s="63"/>
      <c r="BPV2474" s="61"/>
      <c r="BPW2474" s="54"/>
      <c r="BPX2474" s="54"/>
      <c r="BPY2474" s="60"/>
      <c r="BPZ2474" s="60"/>
      <c r="BQA2474" s="60"/>
      <c r="BQB2474" s="60"/>
      <c r="BQC2474" s="63"/>
      <c r="BQD2474" s="61"/>
      <c r="BQE2474" s="54"/>
      <c r="BQF2474" s="54"/>
      <c r="BQG2474" s="60"/>
      <c r="BQH2474" s="60"/>
      <c r="BQI2474" s="60"/>
      <c r="BQJ2474" s="60"/>
      <c r="BQK2474" s="63"/>
      <c r="BQL2474" s="61"/>
      <c r="BQM2474" s="54"/>
      <c r="BQN2474" s="54"/>
      <c r="BQO2474" s="60"/>
      <c r="BQP2474" s="60"/>
      <c r="BQQ2474" s="60"/>
      <c r="BQR2474" s="60"/>
      <c r="BQS2474" s="63"/>
      <c r="BQT2474" s="61"/>
      <c r="BQU2474" s="54"/>
      <c r="BQV2474" s="54"/>
      <c r="BQW2474" s="60"/>
      <c r="BQX2474" s="60"/>
      <c r="BQY2474" s="60"/>
      <c r="BQZ2474" s="60"/>
      <c r="BRA2474" s="63"/>
      <c r="BRB2474" s="61"/>
      <c r="BRC2474" s="54"/>
      <c r="BRD2474" s="54"/>
      <c r="BRE2474" s="60"/>
      <c r="BRF2474" s="60"/>
      <c r="BRG2474" s="60"/>
      <c r="BRH2474" s="60"/>
      <c r="BRI2474" s="63"/>
      <c r="BRJ2474" s="61"/>
      <c r="BRK2474" s="54"/>
      <c r="BRL2474" s="54"/>
      <c r="BRM2474" s="60"/>
      <c r="BRN2474" s="60"/>
      <c r="BRO2474" s="60"/>
      <c r="BRP2474" s="60"/>
      <c r="BRQ2474" s="63"/>
      <c r="BRR2474" s="61"/>
      <c r="BRS2474" s="54"/>
      <c r="BRT2474" s="54"/>
      <c r="BRU2474" s="60"/>
      <c r="BRV2474" s="60"/>
      <c r="BRW2474" s="60"/>
      <c r="BRX2474" s="60"/>
      <c r="BRY2474" s="63"/>
      <c r="BRZ2474" s="61"/>
      <c r="BSA2474" s="54"/>
      <c r="BSB2474" s="54"/>
      <c r="BSC2474" s="60"/>
      <c r="BSD2474" s="60"/>
      <c r="BSE2474" s="60"/>
      <c r="BSF2474" s="60"/>
      <c r="BSG2474" s="63"/>
      <c r="BSH2474" s="61"/>
      <c r="BSI2474" s="54"/>
      <c r="BSJ2474" s="54"/>
      <c r="BSK2474" s="60"/>
      <c r="BSL2474" s="60"/>
      <c r="BSM2474" s="60"/>
      <c r="BSN2474" s="60"/>
      <c r="BSO2474" s="63"/>
      <c r="BSP2474" s="61"/>
      <c r="BSQ2474" s="54"/>
      <c r="BSR2474" s="54"/>
      <c r="BSS2474" s="60"/>
      <c r="BST2474" s="60"/>
      <c r="BSU2474" s="60"/>
      <c r="BSV2474" s="60"/>
      <c r="BSW2474" s="63"/>
      <c r="BSX2474" s="61"/>
      <c r="BSY2474" s="54"/>
      <c r="BSZ2474" s="54"/>
      <c r="BTA2474" s="60"/>
      <c r="BTB2474" s="60"/>
      <c r="BTC2474" s="60"/>
      <c r="BTD2474" s="60"/>
      <c r="BTE2474" s="63"/>
      <c r="BTF2474" s="61"/>
      <c r="BTG2474" s="54"/>
      <c r="BTH2474" s="54"/>
      <c r="BTI2474" s="60"/>
      <c r="BTJ2474" s="60"/>
      <c r="BTK2474" s="60"/>
      <c r="BTL2474" s="60"/>
      <c r="BTM2474" s="63"/>
      <c r="BTN2474" s="61"/>
      <c r="BTO2474" s="54"/>
      <c r="BTP2474" s="54"/>
      <c r="BTQ2474" s="60"/>
      <c r="BTR2474" s="60"/>
      <c r="BTS2474" s="60"/>
      <c r="BTT2474" s="60"/>
      <c r="BTU2474" s="63"/>
      <c r="BTV2474" s="61"/>
      <c r="BTW2474" s="54"/>
      <c r="BTX2474" s="54"/>
      <c r="BTY2474" s="60"/>
      <c r="BTZ2474" s="60"/>
      <c r="BUA2474" s="60"/>
      <c r="BUB2474" s="60"/>
      <c r="BUC2474" s="63"/>
      <c r="BUD2474" s="61"/>
      <c r="BUE2474" s="54"/>
      <c r="BUF2474" s="54"/>
      <c r="BUG2474" s="60"/>
      <c r="BUH2474" s="60"/>
      <c r="BUI2474" s="60"/>
      <c r="BUJ2474" s="60"/>
      <c r="BUK2474" s="63"/>
      <c r="BUL2474" s="61"/>
      <c r="BUM2474" s="54"/>
      <c r="BUN2474" s="54"/>
      <c r="BUO2474" s="60"/>
      <c r="BUP2474" s="60"/>
      <c r="BUQ2474" s="60"/>
      <c r="BUR2474" s="60"/>
      <c r="BUS2474" s="63"/>
      <c r="BUT2474" s="61"/>
      <c r="BUU2474" s="54"/>
      <c r="BUV2474" s="54"/>
      <c r="BUW2474" s="60"/>
      <c r="BUX2474" s="60"/>
      <c r="BUY2474" s="60"/>
      <c r="BUZ2474" s="60"/>
      <c r="BVA2474" s="63"/>
      <c r="BVB2474" s="61"/>
      <c r="BVC2474" s="54"/>
      <c r="BVD2474" s="54"/>
      <c r="BVE2474" s="60"/>
      <c r="BVF2474" s="60"/>
      <c r="BVG2474" s="60"/>
      <c r="BVH2474" s="60"/>
      <c r="BVI2474" s="63"/>
      <c r="BVJ2474" s="61"/>
      <c r="BVK2474" s="54"/>
      <c r="BVL2474" s="54"/>
      <c r="BVM2474" s="60"/>
      <c r="BVN2474" s="60"/>
      <c r="BVO2474" s="60"/>
      <c r="BVP2474" s="60"/>
      <c r="BVQ2474" s="63"/>
      <c r="BVR2474" s="61"/>
      <c r="BVS2474" s="54"/>
      <c r="BVT2474" s="54"/>
      <c r="BVU2474" s="60"/>
      <c r="BVV2474" s="60"/>
      <c r="BVW2474" s="60"/>
      <c r="BVX2474" s="60"/>
      <c r="BVY2474" s="63"/>
      <c r="BVZ2474" s="61"/>
      <c r="BWA2474" s="54"/>
      <c r="BWB2474" s="54"/>
      <c r="BWC2474" s="60"/>
      <c r="BWD2474" s="60"/>
      <c r="BWE2474" s="60"/>
      <c r="BWF2474" s="60"/>
      <c r="BWG2474" s="63"/>
      <c r="BWH2474" s="61"/>
      <c r="BWI2474" s="54"/>
      <c r="BWJ2474" s="54"/>
      <c r="BWK2474" s="60"/>
      <c r="BWL2474" s="60"/>
      <c r="BWM2474" s="60"/>
      <c r="BWN2474" s="60"/>
      <c r="BWO2474" s="63"/>
      <c r="BWP2474" s="61"/>
      <c r="BWQ2474" s="54"/>
      <c r="BWR2474" s="54"/>
      <c r="BWS2474" s="60"/>
      <c r="BWT2474" s="60"/>
      <c r="BWU2474" s="60"/>
      <c r="BWV2474" s="60"/>
      <c r="BWW2474" s="63"/>
      <c r="BWX2474" s="61"/>
      <c r="BWY2474" s="54"/>
      <c r="BWZ2474" s="54"/>
      <c r="BXA2474" s="60"/>
      <c r="BXB2474" s="60"/>
      <c r="BXC2474" s="60"/>
      <c r="BXD2474" s="60"/>
      <c r="BXE2474" s="63"/>
      <c r="BXF2474" s="61"/>
      <c r="BXG2474" s="54"/>
      <c r="BXH2474" s="54"/>
      <c r="BXI2474" s="60"/>
      <c r="BXJ2474" s="60"/>
      <c r="BXK2474" s="60"/>
      <c r="BXL2474" s="60"/>
      <c r="BXM2474" s="63"/>
      <c r="BXN2474" s="61"/>
      <c r="BXO2474" s="54"/>
      <c r="BXP2474" s="54"/>
      <c r="BXQ2474" s="60"/>
      <c r="BXR2474" s="60"/>
      <c r="BXS2474" s="60"/>
      <c r="BXT2474" s="60"/>
      <c r="BXU2474" s="63"/>
      <c r="BXV2474" s="61"/>
      <c r="BXW2474" s="54"/>
      <c r="BXX2474" s="54"/>
      <c r="BXY2474" s="60"/>
      <c r="BXZ2474" s="60"/>
      <c r="BYA2474" s="60"/>
      <c r="BYB2474" s="60"/>
      <c r="BYC2474" s="63"/>
      <c r="BYD2474" s="61"/>
      <c r="BYE2474" s="54"/>
      <c r="BYF2474" s="54"/>
      <c r="BYG2474" s="60"/>
      <c r="BYH2474" s="60"/>
      <c r="BYI2474" s="60"/>
      <c r="BYJ2474" s="60"/>
      <c r="BYK2474" s="63"/>
      <c r="BYL2474" s="61"/>
      <c r="BYM2474" s="54"/>
      <c r="BYN2474" s="54"/>
      <c r="BYO2474" s="60"/>
      <c r="BYP2474" s="60"/>
      <c r="BYQ2474" s="60"/>
      <c r="BYR2474" s="60"/>
      <c r="BYS2474" s="63"/>
      <c r="BYT2474" s="61"/>
      <c r="BYU2474" s="54"/>
      <c r="BYV2474" s="54"/>
      <c r="BYW2474" s="60"/>
      <c r="BYX2474" s="60"/>
      <c r="BYY2474" s="60"/>
      <c r="BYZ2474" s="60"/>
      <c r="BZA2474" s="63"/>
      <c r="BZB2474" s="61"/>
      <c r="BZC2474" s="54"/>
      <c r="BZD2474" s="54"/>
      <c r="BZE2474" s="60"/>
      <c r="BZF2474" s="60"/>
      <c r="BZG2474" s="60"/>
      <c r="BZH2474" s="60"/>
      <c r="BZI2474" s="63"/>
      <c r="BZJ2474" s="61"/>
      <c r="BZK2474" s="54"/>
      <c r="BZL2474" s="54"/>
      <c r="BZM2474" s="60"/>
      <c r="BZN2474" s="60"/>
      <c r="BZO2474" s="60"/>
      <c r="BZP2474" s="60"/>
      <c r="BZQ2474" s="63"/>
      <c r="BZR2474" s="61"/>
      <c r="BZS2474" s="54"/>
      <c r="BZT2474" s="54"/>
      <c r="BZU2474" s="60"/>
      <c r="BZV2474" s="60"/>
      <c r="BZW2474" s="60"/>
      <c r="BZX2474" s="60"/>
      <c r="BZY2474" s="63"/>
      <c r="BZZ2474" s="61"/>
      <c r="CAA2474" s="54"/>
      <c r="CAB2474" s="54"/>
      <c r="CAC2474" s="60"/>
      <c r="CAD2474" s="60"/>
      <c r="CAE2474" s="60"/>
      <c r="CAF2474" s="60"/>
      <c r="CAG2474" s="63"/>
      <c r="CAH2474" s="61"/>
      <c r="CAI2474" s="54"/>
      <c r="CAJ2474" s="54"/>
      <c r="CAK2474" s="60"/>
      <c r="CAL2474" s="60"/>
      <c r="CAM2474" s="60"/>
      <c r="CAN2474" s="60"/>
      <c r="CAO2474" s="63"/>
      <c r="CAP2474" s="61"/>
      <c r="CAQ2474" s="54"/>
      <c r="CAR2474" s="54"/>
      <c r="CAS2474" s="60"/>
      <c r="CAT2474" s="60"/>
      <c r="CAU2474" s="60"/>
      <c r="CAV2474" s="60"/>
      <c r="CAW2474" s="63"/>
      <c r="CAX2474" s="61"/>
      <c r="CAY2474" s="54"/>
      <c r="CAZ2474" s="54"/>
      <c r="CBA2474" s="60"/>
      <c r="CBB2474" s="60"/>
      <c r="CBC2474" s="60"/>
      <c r="CBD2474" s="60"/>
      <c r="CBE2474" s="63"/>
      <c r="CBF2474" s="61"/>
      <c r="CBG2474" s="54"/>
      <c r="CBH2474" s="54"/>
      <c r="CBI2474" s="60"/>
      <c r="CBJ2474" s="60"/>
      <c r="CBK2474" s="60"/>
      <c r="CBL2474" s="60"/>
      <c r="CBM2474" s="63"/>
      <c r="CBN2474" s="61"/>
      <c r="CBO2474" s="54"/>
      <c r="CBP2474" s="54"/>
      <c r="CBQ2474" s="60"/>
      <c r="CBR2474" s="60"/>
      <c r="CBS2474" s="60"/>
      <c r="CBT2474" s="60"/>
      <c r="CBU2474" s="63"/>
      <c r="CBV2474" s="61"/>
      <c r="CBW2474" s="54"/>
      <c r="CBX2474" s="54"/>
      <c r="CBY2474" s="60"/>
      <c r="CBZ2474" s="60"/>
      <c r="CCA2474" s="60"/>
      <c r="CCB2474" s="60"/>
      <c r="CCC2474" s="63"/>
      <c r="CCD2474" s="61"/>
      <c r="CCE2474" s="54"/>
      <c r="CCF2474" s="54"/>
      <c r="CCG2474" s="60"/>
      <c r="CCH2474" s="60"/>
      <c r="CCI2474" s="60"/>
      <c r="CCJ2474" s="60"/>
      <c r="CCK2474" s="63"/>
      <c r="CCL2474" s="61"/>
      <c r="CCM2474" s="54"/>
      <c r="CCN2474" s="54"/>
      <c r="CCO2474" s="60"/>
      <c r="CCP2474" s="60"/>
      <c r="CCQ2474" s="60"/>
      <c r="CCR2474" s="60"/>
      <c r="CCS2474" s="63"/>
      <c r="CCT2474" s="61"/>
      <c r="CCU2474" s="54"/>
      <c r="CCV2474" s="54"/>
      <c r="CCW2474" s="60"/>
      <c r="CCX2474" s="60"/>
      <c r="CCY2474" s="60"/>
      <c r="CCZ2474" s="60"/>
      <c r="CDA2474" s="63"/>
      <c r="CDB2474" s="61"/>
      <c r="CDC2474" s="54"/>
      <c r="CDD2474" s="54"/>
      <c r="CDE2474" s="60"/>
      <c r="CDF2474" s="60"/>
      <c r="CDG2474" s="60"/>
      <c r="CDH2474" s="60"/>
      <c r="CDI2474" s="63"/>
      <c r="CDJ2474" s="61"/>
      <c r="CDK2474" s="54"/>
      <c r="CDL2474" s="54"/>
      <c r="CDM2474" s="60"/>
      <c r="CDN2474" s="60"/>
      <c r="CDO2474" s="60"/>
      <c r="CDP2474" s="60"/>
      <c r="CDQ2474" s="63"/>
      <c r="CDR2474" s="61"/>
      <c r="CDS2474" s="54"/>
      <c r="CDT2474" s="54"/>
      <c r="CDU2474" s="60"/>
      <c r="CDV2474" s="60"/>
      <c r="CDW2474" s="60"/>
      <c r="CDX2474" s="60"/>
      <c r="CDY2474" s="63"/>
      <c r="CDZ2474" s="61"/>
      <c r="CEA2474" s="54"/>
      <c r="CEB2474" s="54"/>
      <c r="CEC2474" s="60"/>
      <c r="CED2474" s="60"/>
      <c r="CEE2474" s="60"/>
      <c r="CEF2474" s="60"/>
      <c r="CEG2474" s="63"/>
      <c r="CEH2474" s="61"/>
      <c r="CEI2474" s="54"/>
      <c r="CEJ2474" s="54"/>
      <c r="CEK2474" s="60"/>
      <c r="CEL2474" s="60"/>
      <c r="CEM2474" s="60"/>
      <c r="CEN2474" s="60"/>
      <c r="CEO2474" s="63"/>
      <c r="CEP2474" s="61"/>
      <c r="CEQ2474" s="54"/>
      <c r="CER2474" s="54"/>
      <c r="CES2474" s="60"/>
      <c r="CET2474" s="60"/>
      <c r="CEU2474" s="60"/>
      <c r="CEV2474" s="60"/>
      <c r="CEW2474" s="63"/>
      <c r="CEX2474" s="61"/>
      <c r="CEY2474" s="54"/>
      <c r="CEZ2474" s="54"/>
      <c r="CFA2474" s="60"/>
      <c r="CFB2474" s="60"/>
      <c r="CFC2474" s="60"/>
      <c r="CFD2474" s="60"/>
      <c r="CFE2474" s="63"/>
      <c r="CFF2474" s="61"/>
      <c r="CFG2474" s="54"/>
      <c r="CFH2474" s="54"/>
      <c r="CFI2474" s="60"/>
      <c r="CFJ2474" s="60"/>
      <c r="CFK2474" s="60"/>
      <c r="CFL2474" s="60"/>
      <c r="CFM2474" s="63"/>
      <c r="CFN2474" s="61"/>
      <c r="CFO2474" s="54"/>
      <c r="CFP2474" s="54"/>
      <c r="CFQ2474" s="60"/>
      <c r="CFR2474" s="60"/>
      <c r="CFS2474" s="60"/>
      <c r="CFT2474" s="60"/>
      <c r="CFU2474" s="63"/>
      <c r="CFV2474" s="61"/>
      <c r="CFW2474" s="54"/>
      <c r="CFX2474" s="54"/>
      <c r="CFY2474" s="60"/>
      <c r="CFZ2474" s="60"/>
      <c r="CGA2474" s="60"/>
      <c r="CGB2474" s="60"/>
      <c r="CGC2474" s="63"/>
      <c r="CGD2474" s="61"/>
      <c r="CGE2474" s="54"/>
      <c r="CGF2474" s="54"/>
      <c r="CGG2474" s="60"/>
      <c r="CGH2474" s="60"/>
      <c r="CGI2474" s="60"/>
      <c r="CGJ2474" s="60"/>
      <c r="CGK2474" s="63"/>
      <c r="CGL2474" s="61"/>
      <c r="CGM2474" s="54"/>
      <c r="CGN2474" s="54"/>
      <c r="CGO2474" s="60"/>
      <c r="CGP2474" s="60"/>
      <c r="CGQ2474" s="60"/>
      <c r="CGR2474" s="60"/>
      <c r="CGS2474" s="63"/>
      <c r="CGT2474" s="61"/>
      <c r="CGU2474" s="54"/>
      <c r="CGV2474" s="54"/>
      <c r="CGW2474" s="60"/>
      <c r="CGX2474" s="60"/>
      <c r="CGY2474" s="60"/>
      <c r="CGZ2474" s="60"/>
      <c r="CHA2474" s="63"/>
      <c r="CHB2474" s="61"/>
      <c r="CHC2474" s="54"/>
      <c r="CHD2474" s="54"/>
      <c r="CHE2474" s="60"/>
      <c r="CHF2474" s="60"/>
      <c r="CHG2474" s="60"/>
      <c r="CHH2474" s="60"/>
      <c r="CHI2474" s="63"/>
      <c r="CHJ2474" s="61"/>
      <c r="CHK2474" s="54"/>
      <c r="CHL2474" s="54"/>
      <c r="CHM2474" s="60"/>
      <c r="CHN2474" s="60"/>
      <c r="CHO2474" s="60"/>
      <c r="CHP2474" s="60"/>
      <c r="CHQ2474" s="63"/>
      <c r="CHR2474" s="61"/>
      <c r="CHS2474" s="54"/>
      <c r="CHT2474" s="54"/>
      <c r="CHU2474" s="60"/>
      <c r="CHV2474" s="60"/>
      <c r="CHW2474" s="60"/>
      <c r="CHX2474" s="60"/>
      <c r="CHY2474" s="63"/>
      <c r="CHZ2474" s="61"/>
      <c r="CIA2474" s="54"/>
      <c r="CIB2474" s="54"/>
      <c r="CIC2474" s="60"/>
      <c r="CID2474" s="60"/>
      <c r="CIE2474" s="60"/>
      <c r="CIF2474" s="60"/>
      <c r="CIG2474" s="63"/>
      <c r="CIH2474" s="61"/>
      <c r="CII2474" s="54"/>
      <c r="CIJ2474" s="54"/>
      <c r="CIK2474" s="60"/>
      <c r="CIL2474" s="60"/>
      <c r="CIM2474" s="60"/>
      <c r="CIN2474" s="60"/>
      <c r="CIO2474" s="63"/>
      <c r="CIP2474" s="61"/>
      <c r="CIQ2474" s="54"/>
      <c r="CIR2474" s="54"/>
      <c r="CIS2474" s="60"/>
      <c r="CIT2474" s="60"/>
      <c r="CIU2474" s="60"/>
      <c r="CIV2474" s="60"/>
      <c r="CIW2474" s="63"/>
      <c r="CIX2474" s="61"/>
      <c r="CIY2474" s="54"/>
      <c r="CIZ2474" s="54"/>
      <c r="CJA2474" s="60"/>
      <c r="CJB2474" s="60"/>
      <c r="CJC2474" s="60"/>
      <c r="CJD2474" s="60"/>
      <c r="CJE2474" s="63"/>
      <c r="CJF2474" s="61"/>
      <c r="CJG2474" s="54"/>
      <c r="CJH2474" s="54"/>
      <c r="CJI2474" s="60"/>
      <c r="CJJ2474" s="60"/>
      <c r="CJK2474" s="60"/>
      <c r="CJL2474" s="60"/>
      <c r="CJM2474" s="63"/>
      <c r="CJN2474" s="61"/>
      <c r="CJO2474" s="54"/>
      <c r="CJP2474" s="54"/>
      <c r="CJQ2474" s="60"/>
      <c r="CJR2474" s="60"/>
      <c r="CJS2474" s="60"/>
      <c r="CJT2474" s="60"/>
      <c r="CJU2474" s="63"/>
      <c r="CJV2474" s="61"/>
      <c r="CJW2474" s="54"/>
      <c r="CJX2474" s="54"/>
      <c r="CJY2474" s="60"/>
      <c r="CJZ2474" s="60"/>
      <c r="CKA2474" s="60"/>
      <c r="CKB2474" s="60"/>
      <c r="CKC2474" s="63"/>
      <c r="CKD2474" s="61"/>
      <c r="CKE2474" s="54"/>
      <c r="CKF2474" s="54"/>
      <c r="CKG2474" s="60"/>
      <c r="CKH2474" s="60"/>
      <c r="CKI2474" s="60"/>
      <c r="CKJ2474" s="60"/>
      <c r="CKK2474" s="63"/>
      <c r="CKL2474" s="61"/>
      <c r="CKM2474" s="54"/>
      <c r="CKN2474" s="54"/>
      <c r="CKO2474" s="60"/>
      <c r="CKP2474" s="60"/>
      <c r="CKQ2474" s="60"/>
      <c r="CKR2474" s="60"/>
      <c r="CKS2474" s="63"/>
      <c r="CKT2474" s="61"/>
      <c r="CKU2474" s="54"/>
      <c r="CKV2474" s="54"/>
      <c r="CKW2474" s="60"/>
      <c r="CKX2474" s="60"/>
      <c r="CKY2474" s="60"/>
      <c r="CKZ2474" s="60"/>
      <c r="CLA2474" s="63"/>
      <c r="CLB2474" s="61"/>
      <c r="CLC2474" s="54"/>
      <c r="CLD2474" s="54"/>
      <c r="CLE2474" s="60"/>
      <c r="CLF2474" s="60"/>
      <c r="CLG2474" s="60"/>
      <c r="CLH2474" s="60"/>
      <c r="CLI2474" s="63"/>
      <c r="CLJ2474" s="61"/>
      <c r="CLK2474" s="54"/>
      <c r="CLL2474" s="54"/>
      <c r="CLM2474" s="60"/>
      <c r="CLN2474" s="60"/>
      <c r="CLO2474" s="60"/>
      <c r="CLP2474" s="60"/>
      <c r="CLQ2474" s="63"/>
      <c r="CLR2474" s="61"/>
      <c r="CLS2474" s="54"/>
      <c r="CLT2474" s="54"/>
      <c r="CLU2474" s="60"/>
      <c r="CLV2474" s="60"/>
      <c r="CLW2474" s="60"/>
      <c r="CLX2474" s="60"/>
      <c r="CLY2474" s="63"/>
      <c r="CLZ2474" s="61"/>
      <c r="CMA2474" s="54"/>
      <c r="CMB2474" s="54"/>
      <c r="CMC2474" s="60"/>
      <c r="CMD2474" s="60"/>
      <c r="CME2474" s="60"/>
      <c r="CMF2474" s="60"/>
      <c r="CMG2474" s="63"/>
      <c r="CMH2474" s="61"/>
      <c r="CMI2474" s="54"/>
      <c r="CMJ2474" s="54"/>
      <c r="CMK2474" s="60"/>
      <c r="CML2474" s="60"/>
      <c r="CMM2474" s="60"/>
      <c r="CMN2474" s="60"/>
      <c r="CMO2474" s="63"/>
      <c r="CMP2474" s="61"/>
      <c r="CMQ2474" s="54"/>
      <c r="CMR2474" s="54"/>
      <c r="CMS2474" s="60"/>
      <c r="CMT2474" s="60"/>
      <c r="CMU2474" s="60"/>
      <c r="CMV2474" s="60"/>
      <c r="CMW2474" s="63"/>
      <c r="CMX2474" s="61"/>
      <c r="CMY2474" s="54"/>
      <c r="CMZ2474" s="54"/>
      <c r="CNA2474" s="60"/>
      <c r="CNB2474" s="60"/>
      <c r="CNC2474" s="60"/>
      <c r="CND2474" s="60"/>
      <c r="CNE2474" s="63"/>
      <c r="CNF2474" s="61"/>
      <c r="CNG2474" s="54"/>
      <c r="CNH2474" s="54"/>
      <c r="CNI2474" s="60"/>
      <c r="CNJ2474" s="60"/>
      <c r="CNK2474" s="60"/>
      <c r="CNL2474" s="60"/>
      <c r="CNM2474" s="63"/>
      <c r="CNN2474" s="61"/>
      <c r="CNO2474" s="54"/>
      <c r="CNP2474" s="54"/>
      <c r="CNQ2474" s="60"/>
      <c r="CNR2474" s="60"/>
      <c r="CNS2474" s="60"/>
      <c r="CNT2474" s="60"/>
      <c r="CNU2474" s="63"/>
      <c r="CNV2474" s="61"/>
      <c r="CNW2474" s="54"/>
      <c r="CNX2474" s="54"/>
      <c r="CNY2474" s="60"/>
      <c r="CNZ2474" s="60"/>
      <c r="COA2474" s="60"/>
      <c r="COB2474" s="60"/>
      <c r="COC2474" s="63"/>
      <c r="COD2474" s="61"/>
      <c r="COE2474" s="54"/>
      <c r="COF2474" s="54"/>
      <c r="COG2474" s="60"/>
      <c r="COH2474" s="60"/>
      <c r="COI2474" s="60"/>
      <c r="COJ2474" s="60"/>
      <c r="COK2474" s="63"/>
      <c r="COL2474" s="61"/>
      <c r="COM2474" s="54"/>
      <c r="CON2474" s="54"/>
      <c r="COO2474" s="60"/>
      <c r="COP2474" s="60"/>
      <c r="COQ2474" s="60"/>
      <c r="COR2474" s="60"/>
      <c r="COS2474" s="63"/>
      <c r="COT2474" s="61"/>
      <c r="COU2474" s="54"/>
      <c r="COV2474" s="54"/>
      <c r="COW2474" s="60"/>
      <c r="COX2474" s="60"/>
      <c r="COY2474" s="60"/>
      <c r="COZ2474" s="60"/>
      <c r="CPA2474" s="63"/>
      <c r="CPB2474" s="61"/>
      <c r="CPC2474" s="54"/>
      <c r="CPD2474" s="54"/>
      <c r="CPE2474" s="60"/>
      <c r="CPF2474" s="60"/>
      <c r="CPG2474" s="60"/>
      <c r="CPH2474" s="60"/>
      <c r="CPI2474" s="63"/>
      <c r="CPJ2474" s="61"/>
      <c r="CPK2474" s="54"/>
      <c r="CPL2474" s="54"/>
      <c r="CPM2474" s="60"/>
      <c r="CPN2474" s="60"/>
      <c r="CPO2474" s="60"/>
      <c r="CPP2474" s="60"/>
      <c r="CPQ2474" s="63"/>
      <c r="CPR2474" s="61"/>
      <c r="CPS2474" s="54"/>
      <c r="CPT2474" s="54"/>
      <c r="CPU2474" s="60"/>
      <c r="CPV2474" s="60"/>
      <c r="CPW2474" s="60"/>
      <c r="CPX2474" s="60"/>
      <c r="CPY2474" s="63"/>
      <c r="CPZ2474" s="61"/>
      <c r="CQA2474" s="54"/>
      <c r="CQB2474" s="54"/>
      <c r="CQC2474" s="60"/>
      <c r="CQD2474" s="60"/>
      <c r="CQE2474" s="60"/>
      <c r="CQF2474" s="60"/>
      <c r="CQG2474" s="63"/>
      <c r="CQH2474" s="61"/>
      <c r="CQI2474" s="54"/>
      <c r="CQJ2474" s="54"/>
      <c r="CQK2474" s="60"/>
      <c r="CQL2474" s="60"/>
      <c r="CQM2474" s="60"/>
      <c r="CQN2474" s="60"/>
      <c r="CQO2474" s="63"/>
      <c r="CQP2474" s="61"/>
      <c r="CQQ2474" s="54"/>
      <c r="CQR2474" s="54"/>
      <c r="CQS2474" s="60"/>
      <c r="CQT2474" s="60"/>
      <c r="CQU2474" s="60"/>
      <c r="CQV2474" s="60"/>
      <c r="CQW2474" s="63"/>
      <c r="CQX2474" s="61"/>
      <c r="CQY2474" s="54"/>
      <c r="CQZ2474" s="54"/>
      <c r="CRA2474" s="60"/>
      <c r="CRB2474" s="60"/>
      <c r="CRC2474" s="60"/>
      <c r="CRD2474" s="60"/>
      <c r="CRE2474" s="63"/>
      <c r="CRF2474" s="61"/>
      <c r="CRG2474" s="54"/>
      <c r="CRH2474" s="54"/>
      <c r="CRI2474" s="60"/>
      <c r="CRJ2474" s="60"/>
      <c r="CRK2474" s="60"/>
      <c r="CRL2474" s="60"/>
      <c r="CRM2474" s="63"/>
      <c r="CRN2474" s="61"/>
      <c r="CRO2474" s="54"/>
      <c r="CRP2474" s="54"/>
      <c r="CRQ2474" s="60"/>
      <c r="CRR2474" s="60"/>
      <c r="CRS2474" s="60"/>
      <c r="CRT2474" s="60"/>
      <c r="CRU2474" s="63"/>
      <c r="CRV2474" s="61"/>
      <c r="CRW2474" s="54"/>
      <c r="CRX2474" s="54"/>
      <c r="CRY2474" s="60"/>
      <c r="CRZ2474" s="60"/>
      <c r="CSA2474" s="60"/>
      <c r="CSB2474" s="60"/>
      <c r="CSC2474" s="63"/>
      <c r="CSD2474" s="61"/>
      <c r="CSE2474" s="54"/>
      <c r="CSF2474" s="54"/>
      <c r="CSG2474" s="60"/>
      <c r="CSH2474" s="60"/>
      <c r="CSI2474" s="60"/>
      <c r="CSJ2474" s="60"/>
      <c r="CSK2474" s="63"/>
      <c r="CSL2474" s="61"/>
      <c r="CSM2474" s="54"/>
      <c r="CSN2474" s="54"/>
      <c r="CSO2474" s="60"/>
      <c r="CSP2474" s="60"/>
      <c r="CSQ2474" s="60"/>
      <c r="CSR2474" s="60"/>
      <c r="CSS2474" s="63"/>
      <c r="CST2474" s="61"/>
      <c r="CSU2474" s="54"/>
      <c r="CSV2474" s="54"/>
      <c r="CSW2474" s="60"/>
      <c r="CSX2474" s="60"/>
      <c r="CSY2474" s="60"/>
      <c r="CSZ2474" s="60"/>
      <c r="CTA2474" s="63"/>
      <c r="CTB2474" s="61"/>
      <c r="CTC2474" s="54"/>
      <c r="CTD2474" s="54"/>
      <c r="CTE2474" s="60"/>
      <c r="CTF2474" s="60"/>
      <c r="CTG2474" s="60"/>
      <c r="CTH2474" s="60"/>
      <c r="CTI2474" s="63"/>
      <c r="CTJ2474" s="61"/>
      <c r="CTK2474" s="54"/>
      <c r="CTL2474" s="54"/>
      <c r="CTM2474" s="60"/>
      <c r="CTN2474" s="60"/>
      <c r="CTO2474" s="60"/>
      <c r="CTP2474" s="60"/>
      <c r="CTQ2474" s="63"/>
      <c r="CTR2474" s="61"/>
      <c r="CTS2474" s="54"/>
      <c r="CTT2474" s="54"/>
      <c r="CTU2474" s="60"/>
      <c r="CTV2474" s="60"/>
      <c r="CTW2474" s="60"/>
      <c r="CTX2474" s="60"/>
      <c r="CTY2474" s="63"/>
      <c r="CTZ2474" s="61"/>
      <c r="CUA2474" s="54"/>
      <c r="CUB2474" s="54"/>
      <c r="CUC2474" s="60"/>
      <c r="CUD2474" s="60"/>
      <c r="CUE2474" s="60"/>
      <c r="CUF2474" s="60"/>
      <c r="CUG2474" s="63"/>
      <c r="CUH2474" s="61"/>
      <c r="CUI2474" s="54"/>
      <c r="CUJ2474" s="54"/>
      <c r="CUK2474" s="60"/>
      <c r="CUL2474" s="60"/>
      <c r="CUM2474" s="60"/>
      <c r="CUN2474" s="60"/>
      <c r="CUO2474" s="63"/>
      <c r="CUP2474" s="61"/>
      <c r="CUQ2474" s="54"/>
      <c r="CUR2474" s="54"/>
      <c r="CUS2474" s="60"/>
      <c r="CUT2474" s="60"/>
      <c r="CUU2474" s="60"/>
      <c r="CUV2474" s="60"/>
      <c r="CUW2474" s="63"/>
      <c r="CUX2474" s="61"/>
      <c r="CUY2474" s="54"/>
      <c r="CUZ2474" s="54"/>
      <c r="CVA2474" s="60"/>
      <c r="CVB2474" s="60"/>
      <c r="CVC2474" s="60"/>
      <c r="CVD2474" s="60"/>
      <c r="CVE2474" s="63"/>
      <c r="CVF2474" s="61"/>
      <c r="CVG2474" s="54"/>
      <c r="CVH2474" s="54"/>
      <c r="CVI2474" s="60"/>
      <c r="CVJ2474" s="60"/>
      <c r="CVK2474" s="60"/>
      <c r="CVL2474" s="60"/>
      <c r="CVM2474" s="63"/>
      <c r="CVN2474" s="61"/>
      <c r="CVO2474" s="54"/>
      <c r="CVP2474" s="54"/>
      <c r="CVQ2474" s="60"/>
      <c r="CVR2474" s="60"/>
      <c r="CVS2474" s="60"/>
      <c r="CVT2474" s="60"/>
      <c r="CVU2474" s="63"/>
      <c r="CVV2474" s="61"/>
      <c r="CVW2474" s="54"/>
      <c r="CVX2474" s="54"/>
      <c r="CVY2474" s="60"/>
      <c r="CVZ2474" s="60"/>
      <c r="CWA2474" s="60"/>
      <c r="CWB2474" s="60"/>
      <c r="CWC2474" s="63"/>
      <c r="CWD2474" s="61"/>
      <c r="CWE2474" s="54"/>
      <c r="CWF2474" s="54"/>
      <c r="CWG2474" s="60"/>
      <c r="CWH2474" s="60"/>
      <c r="CWI2474" s="60"/>
      <c r="CWJ2474" s="60"/>
      <c r="CWK2474" s="63"/>
      <c r="CWL2474" s="61"/>
      <c r="CWM2474" s="54"/>
      <c r="CWN2474" s="54"/>
      <c r="CWO2474" s="60"/>
      <c r="CWP2474" s="60"/>
      <c r="CWQ2474" s="60"/>
      <c r="CWR2474" s="60"/>
      <c r="CWS2474" s="63"/>
      <c r="CWT2474" s="61"/>
      <c r="CWU2474" s="54"/>
      <c r="CWV2474" s="54"/>
      <c r="CWW2474" s="60"/>
      <c r="CWX2474" s="60"/>
      <c r="CWY2474" s="60"/>
      <c r="CWZ2474" s="60"/>
      <c r="CXA2474" s="63"/>
      <c r="CXB2474" s="61"/>
      <c r="CXC2474" s="54"/>
      <c r="CXD2474" s="54"/>
      <c r="CXE2474" s="60"/>
      <c r="CXF2474" s="60"/>
      <c r="CXG2474" s="60"/>
      <c r="CXH2474" s="60"/>
      <c r="CXI2474" s="63"/>
      <c r="CXJ2474" s="61"/>
      <c r="CXK2474" s="54"/>
      <c r="CXL2474" s="54"/>
      <c r="CXM2474" s="60"/>
      <c r="CXN2474" s="60"/>
      <c r="CXO2474" s="60"/>
      <c r="CXP2474" s="60"/>
      <c r="CXQ2474" s="63"/>
      <c r="CXR2474" s="61"/>
      <c r="CXS2474" s="54"/>
      <c r="CXT2474" s="54"/>
      <c r="CXU2474" s="60"/>
      <c r="CXV2474" s="60"/>
      <c r="CXW2474" s="60"/>
      <c r="CXX2474" s="60"/>
      <c r="CXY2474" s="63"/>
      <c r="CXZ2474" s="61"/>
      <c r="CYA2474" s="54"/>
      <c r="CYB2474" s="54"/>
      <c r="CYC2474" s="60"/>
      <c r="CYD2474" s="60"/>
      <c r="CYE2474" s="60"/>
      <c r="CYF2474" s="60"/>
      <c r="CYG2474" s="63"/>
      <c r="CYH2474" s="61"/>
      <c r="CYI2474" s="54"/>
      <c r="CYJ2474" s="54"/>
      <c r="CYK2474" s="60"/>
      <c r="CYL2474" s="60"/>
      <c r="CYM2474" s="60"/>
      <c r="CYN2474" s="60"/>
      <c r="CYO2474" s="63"/>
      <c r="CYP2474" s="61"/>
      <c r="CYQ2474" s="54"/>
      <c r="CYR2474" s="54"/>
      <c r="CYS2474" s="60"/>
      <c r="CYT2474" s="60"/>
      <c r="CYU2474" s="60"/>
      <c r="CYV2474" s="60"/>
      <c r="CYW2474" s="63"/>
      <c r="CYX2474" s="61"/>
      <c r="CYY2474" s="54"/>
      <c r="CYZ2474" s="54"/>
      <c r="CZA2474" s="60"/>
      <c r="CZB2474" s="60"/>
      <c r="CZC2474" s="60"/>
      <c r="CZD2474" s="60"/>
      <c r="CZE2474" s="63"/>
      <c r="CZF2474" s="61"/>
      <c r="CZG2474" s="54"/>
      <c r="CZH2474" s="54"/>
      <c r="CZI2474" s="60"/>
      <c r="CZJ2474" s="60"/>
      <c r="CZK2474" s="60"/>
      <c r="CZL2474" s="60"/>
      <c r="CZM2474" s="63"/>
      <c r="CZN2474" s="61"/>
      <c r="CZO2474" s="54"/>
      <c r="CZP2474" s="54"/>
      <c r="CZQ2474" s="60"/>
      <c r="CZR2474" s="60"/>
      <c r="CZS2474" s="60"/>
      <c r="CZT2474" s="60"/>
      <c r="CZU2474" s="63"/>
      <c r="CZV2474" s="61"/>
      <c r="CZW2474" s="54"/>
      <c r="CZX2474" s="54"/>
      <c r="CZY2474" s="60"/>
      <c r="CZZ2474" s="60"/>
      <c r="DAA2474" s="60"/>
      <c r="DAB2474" s="60"/>
      <c r="DAC2474" s="63"/>
      <c r="DAD2474" s="61"/>
      <c r="DAE2474" s="54"/>
      <c r="DAF2474" s="54"/>
      <c r="DAG2474" s="60"/>
      <c r="DAH2474" s="60"/>
      <c r="DAI2474" s="60"/>
      <c r="DAJ2474" s="60"/>
      <c r="DAK2474" s="63"/>
      <c r="DAL2474" s="61"/>
      <c r="DAM2474" s="54"/>
      <c r="DAN2474" s="54"/>
      <c r="DAO2474" s="60"/>
      <c r="DAP2474" s="60"/>
      <c r="DAQ2474" s="60"/>
      <c r="DAR2474" s="60"/>
      <c r="DAS2474" s="63"/>
      <c r="DAT2474" s="61"/>
      <c r="DAU2474" s="54"/>
      <c r="DAV2474" s="54"/>
      <c r="DAW2474" s="60"/>
      <c r="DAX2474" s="60"/>
      <c r="DAY2474" s="60"/>
      <c r="DAZ2474" s="60"/>
      <c r="DBA2474" s="63"/>
      <c r="DBB2474" s="61"/>
      <c r="DBC2474" s="54"/>
      <c r="DBD2474" s="54"/>
      <c r="DBE2474" s="60"/>
      <c r="DBF2474" s="60"/>
      <c r="DBG2474" s="60"/>
      <c r="DBH2474" s="60"/>
      <c r="DBI2474" s="63"/>
      <c r="DBJ2474" s="61"/>
      <c r="DBK2474" s="54"/>
      <c r="DBL2474" s="54"/>
      <c r="DBM2474" s="60"/>
      <c r="DBN2474" s="60"/>
      <c r="DBO2474" s="60"/>
      <c r="DBP2474" s="60"/>
      <c r="DBQ2474" s="63"/>
      <c r="DBR2474" s="61"/>
      <c r="DBS2474" s="54"/>
      <c r="DBT2474" s="54"/>
      <c r="DBU2474" s="60"/>
      <c r="DBV2474" s="60"/>
      <c r="DBW2474" s="60"/>
      <c r="DBX2474" s="60"/>
      <c r="DBY2474" s="63"/>
      <c r="DBZ2474" s="61"/>
      <c r="DCA2474" s="54"/>
      <c r="DCB2474" s="54"/>
      <c r="DCC2474" s="60"/>
      <c r="DCD2474" s="60"/>
      <c r="DCE2474" s="60"/>
      <c r="DCF2474" s="60"/>
      <c r="DCG2474" s="63"/>
      <c r="DCH2474" s="61"/>
      <c r="DCI2474" s="54"/>
      <c r="DCJ2474" s="54"/>
      <c r="DCK2474" s="60"/>
      <c r="DCL2474" s="60"/>
      <c r="DCM2474" s="60"/>
      <c r="DCN2474" s="60"/>
      <c r="DCO2474" s="63"/>
      <c r="DCP2474" s="61"/>
      <c r="DCQ2474" s="54"/>
      <c r="DCR2474" s="54"/>
      <c r="DCS2474" s="60"/>
      <c r="DCT2474" s="60"/>
      <c r="DCU2474" s="60"/>
      <c r="DCV2474" s="60"/>
      <c r="DCW2474" s="63"/>
      <c r="DCX2474" s="61"/>
      <c r="DCY2474" s="54"/>
      <c r="DCZ2474" s="54"/>
      <c r="DDA2474" s="60"/>
      <c r="DDB2474" s="60"/>
      <c r="DDC2474" s="60"/>
      <c r="DDD2474" s="60"/>
      <c r="DDE2474" s="63"/>
      <c r="DDF2474" s="61"/>
      <c r="DDG2474" s="54"/>
      <c r="DDH2474" s="54"/>
      <c r="DDI2474" s="60"/>
      <c r="DDJ2474" s="60"/>
      <c r="DDK2474" s="60"/>
      <c r="DDL2474" s="60"/>
      <c r="DDM2474" s="63"/>
      <c r="DDN2474" s="61"/>
      <c r="DDO2474" s="54"/>
      <c r="DDP2474" s="54"/>
      <c r="DDQ2474" s="60"/>
      <c r="DDR2474" s="60"/>
      <c r="DDS2474" s="60"/>
      <c r="DDT2474" s="60"/>
      <c r="DDU2474" s="63"/>
      <c r="DDV2474" s="61"/>
      <c r="DDW2474" s="54"/>
      <c r="DDX2474" s="54"/>
      <c r="DDY2474" s="60"/>
      <c r="DDZ2474" s="60"/>
      <c r="DEA2474" s="60"/>
      <c r="DEB2474" s="60"/>
      <c r="DEC2474" s="63"/>
      <c r="DED2474" s="61"/>
      <c r="DEE2474" s="54"/>
      <c r="DEF2474" s="54"/>
      <c r="DEG2474" s="60"/>
      <c r="DEH2474" s="60"/>
      <c r="DEI2474" s="60"/>
      <c r="DEJ2474" s="60"/>
      <c r="DEK2474" s="63"/>
      <c r="DEL2474" s="61"/>
      <c r="DEM2474" s="54"/>
      <c r="DEN2474" s="54"/>
      <c r="DEO2474" s="60"/>
      <c r="DEP2474" s="60"/>
      <c r="DEQ2474" s="60"/>
      <c r="DER2474" s="60"/>
      <c r="DES2474" s="63"/>
      <c r="DET2474" s="61"/>
      <c r="DEU2474" s="54"/>
      <c r="DEV2474" s="54"/>
      <c r="DEW2474" s="60"/>
      <c r="DEX2474" s="60"/>
      <c r="DEY2474" s="60"/>
      <c r="DEZ2474" s="60"/>
      <c r="DFA2474" s="63"/>
      <c r="DFB2474" s="61"/>
      <c r="DFC2474" s="54"/>
      <c r="DFD2474" s="54"/>
      <c r="DFE2474" s="60"/>
      <c r="DFF2474" s="60"/>
      <c r="DFG2474" s="60"/>
      <c r="DFH2474" s="60"/>
      <c r="DFI2474" s="63"/>
      <c r="DFJ2474" s="61"/>
      <c r="DFK2474" s="54"/>
      <c r="DFL2474" s="54"/>
      <c r="DFM2474" s="60"/>
      <c r="DFN2474" s="60"/>
      <c r="DFO2474" s="60"/>
      <c r="DFP2474" s="60"/>
      <c r="DFQ2474" s="63"/>
      <c r="DFR2474" s="61"/>
      <c r="DFS2474" s="54"/>
      <c r="DFT2474" s="54"/>
      <c r="DFU2474" s="60"/>
      <c r="DFV2474" s="60"/>
      <c r="DFW2474" s="60"/>
      <c r="DFX2474" s="60"/>
      <c r="DFY2474" s="63"/>
      <c r="DFZ2474" s="61"/>
      <c r="DGA2474" s="54"/>
      <c r="DGB2474" s="54"/>
      <c r="DGC2474" s="60"/>
      <c r="DGD2474" s="60"/>
      <c r="DGE2474" s="60"/>
      <c r="DGF2474" s="60"/>
      <c r="DGG2474" s="63"/>
      <c r="DGH2474" s="61"/>
      <c r="DGI2474" s="54"/>
      <c r="DGJ2474" s="54"/>
      <c r="DGK2474" s="60"/>
      <c r="DGL2474" s="60"/>
      <c r="DGM2474" s="60"/>
      <c r="DGN2474" s="60"/>
      <c r="DGO2474" s="63"/>
      <c r="DGP2474" s="61"/>
      <c r="DGQ2474" s="54"/>
      <c r="DGR2474" s="54"/>
      <c r="DGS2474" s="60"/>
      <c r="DGT2474" s="60"/>
      <c r="DGU2474" s="60"/>
      <c r="DGV2474" s="60"/>
      <c r="DGW2474" s="63"/>
      <c r="DGX2474" s="61"/>
      <c r="DGY2474" s="54"/>
      <c r="DGZ2474" s="54"/>
      <c r="DHA2474" s="60"/>
      <c r="DHB2474" s="60"/>
      <c r="DHC2474" s="60"/>
      <c r="DHD2474" s="60"/>
      <c r="DHE2474" s="63"/>
      <c r="DHF2474" s="61"/>
      <c r="DHG2474" s="54"/>
      <c r="DHH2474" s="54"/>
      <c r="DHI2474" s="60"/>
      <c r="DHJ2474" s="60"/>
      <c r="DHK2474" s="60"/>
      <c r="DHL2474" s="60"/>
      <c r="DHM2474" s="63"/>
      <c r="DHN2474" s="61"/>
      <c r="DHO2474" s="54"/>
      <c r="DHP2474" s="54"/>
      <c r="DHQ2474" s="60"/>
      <c r="DHR2474" s="60"/>
      <c r="DHS2474" s="60"/>
      <c r="DHT2474" s="60"/>
      <c r="DHU2474" s="63"/>
      <c r="DHV2474" s="61"/>
      <c r="DHW2474" s="54"/>
      <c r="DHX2474" s="54"/>
      <c r="DHY2474" s="60"/>
      <c r="DHZ2474" s="60"/>
      <c r="DIA2474" s="60"/>
      <c r="DIB2474" s="60"/>
      <c r="DIC2474" s="63"/>
      <c r="DID2474" s="61"/>
      <c r="DIE2474" s="54"/>
      <c r="DIF2474" s="54"/>
      <c r="DIG2474" s="60"/>
      <c r="DIH2474" s="60"/>
      <c r="DII2474" s="60"/>
      <c r="DIJ2474" s="60"/>
      <c r="DIK2474" s="63"/>
      <c r="DIL2474" s="61"/>
      <c r="DIM2474" s="54"/>
      <c r="DIN2474" s="54"/>
      <c r="DIO2474" s="60"/>
      <c r="DIP2474" s="60"/>
      <c r="DIQ2474" s="60"/>
      <c r="DIR2474" s="60"/>
      <c r="DIS2474" s="63"/>
      <c r="DIT2474" s="61"/>
      <c r="DIU2474" s="54"/>
      <c r="DIV2474" s="54"/>
      <c r="DIW2474" s="60"/>
      <c r="DIX2474" s="60"/>
      <c r="DIY2474" s="60"/>
      <c r="DIZ2474" s="60"/>
      <c r="DJA2474" s="63"/>
      <c r="DJB2474" s="61"/>
      <c r="DJC2474" s="54"/>
      <c r="DJD2474" s="54"/>
      <c r="DJE2474" s="60"/>
      <c r="DJF2474" s="60"/>
      <c r="DJG2474" s="60"/>
      <c r="DJH2474" s="60"/>
      <c r="DJI2474" s="63"/>
      <c r="DJJ2474" s="61"/>
      <c r="DJK2474" s="54"/>
      <c r="DJL2474" s="54"/>
      <c r="DJM2474" s="60"/>
      <c r="DJN2474" s="60"/>
      <c r="DJO2474" s="60"/>
      <c r="DJP2474" s="60"/>
      <c r="DJQ2474" s="63"/>
      <c r="DJR2474" s="61"/>
      <c r="DJS2474" s="54"/>
      <c r="DJT2474" s="54"/>
      <c r="DJU2474" s="60"/>
      <c r="DJV2474" s="60"/>
      <c r="DJW2474" s="60"/>
      <c r="DJX2474" s="60"/>
      <c r="DJY2474" s="63"/>
      <c r="DJZ2474" s="61"/>
      <c r="DKA2474" s="54"/>
      <c r="DKB2474" s="54"/>
      <c r="DKC2474" s="60"/>
      <c r="DKD2474" s="60"/>
      <c r="DKE2474" s="60"/>
      <c r="DKF2474" s="60"/>
      <c r="DKG2474" s="63"/>
      <c r="DKH2474" s="61"/>
      <c r="DKI2474" s="54"/>
      <c r="DKJ2474" s="54"/>
      <c r="DKK2474" s="60"/>
      <c r="DKL2474" s="60"/>
      <c r="DKM2474" s="60"/>
      <c r="DKN2474" s="60"/>
      <c r="DKO2474" s="63"/>
      <c r="DKP2474" s="61"/>
      <c r="DKQ2474" s="54"/>
      <c r="DKR2474" s="54"/>
      <c r="DKS2474" s="60"/>
      <c r="DKT2474" s="60"/>
      <c r="DKU2474" s="60"/>
      <c r="DKV2474" s="60"/>
      <c r="DKW2474" s="63"/>
      <c r="DKX2474" s="61"/>
      <c r="DKY2474" s="54"/>
      <c r="DKZ2474" s="54"/>
      <c r="DLA2474" s="60"/>
      <c r="DLB2474" s="60"/>
      <c r="DLC2474" s="60"/>
      <c r="DLD2474" s="60"/>
      <c r="DLE2474" s="63"/>
      <c r="DLF2474" s="61"/>
      <c r="DLG2474" s="54"/>
      <c r="DLH2474" s="54"/>
      <c r="DLI2474" s="60"/>
      <c r="DLJ2474" s="60"/>
      <c r="DLK2474" s="60"/>
      <c r="DLL2474" s="60"/>
      <c r="DLM2474" s="63"/>
      <c r="DLN2474" s="61"/>
      <c r="DLO2474" s="54"/>
      <c r="DLP2474" s="54"/>
      <c r="DLQ2474" s="60"/>
      <c r="DLR2474" s="60"/>
      <c r="DLS2474" s="60"/>
      <c r="DLT2474" s="60"/>
      <c r="DLU2474" s="63"/>
      <c r="DLV2474" s="61"/>
      <c r="DLW2474" s="54"/>
      <c r="DLX2474" s="54"/>
      <c r="DLY2474" s="60"/>
      <c r="DLZ2474" s="60"/>
      <c r="DMA2474" s="60"/>
      <c r="DMB2474" s="60"/>
      <c r="DMC2474" s="63"/>
      <c r="DMD2474" s="61"/>
      <c r="DME2474" s="54"/>
      <c r="DMF2474" s="54"/>
      <c r="DMG2474" s="60"/>
      <c r="DMH2474" s="60"/>
      <c r="DMI2474" s="60"/>
      <c r="DMJ2474" s="60"/>
      <c r="DMK2474" s="63"/>
      <c r="DML2474" s="61"/>
      <c r="DMM2474" s="54"/>
      <c r="DMN2474" s="54"/>
      <c r="DMO2474" s="60"/>
      <c r="DMP2474" s="60"/>
      <c r="DMQ2474" s="60"/>
      <c r="DMR2474" s="60"/>
      <c r="DMS2474" s="63"/>
      <c r="DMT2474" s="61"/>
      <c r="DMU2474" s="54"/>
      <c r="DMV2474" s="54"/>
      <c r="DMW2474" s="60"/>
      <c r="DMX2474" s="60"/>
      <c r="DMY2474" s="60"/>
      <c r="DMZ2474" s="60"/>
      <c r="DNA2474" s="63"/>
      <c r="DNB2474" s="61"/>
      <c r="DNC2474" s="54"/>
      <c r="DND2474" s="54"/>
      <c r="DNE2474" s="60"/>
      <c r="DNF2474" s="60"/>
      <c r="DNG2474" s="60"/>
      <c r="DNH2474" s="60"/>
      <c r="DNI2474" s="63"/>
      <c r="DNJ2474" s="61"/>
      <c r="DNK2474" s="54"/>
      <c r="DNL2474" s="54"/>
      <c r="DNM2474" s="60"/>
      <c r="DNN2474" s="60"/>
      <c r="DNO2474" s="60"/>
      <c r="DNP2474" s="60"/>
      <c r="DNQ2474" s="63"/>
      <c r="DNR2474" s="61"/>
      <c r="DNS2474" s="54"/>
      <c r="DNT2474" s="54"/>
      <c r="DNU2474" s="60"/>
      <c r="DNV2474" s="60"/>
      <c r="DNW2474" s="60"/>
      <c r="DNX2474" s="60"/>
      <c r="DNY2474" s="63"/>
      <c r="DNZ2474" s="61"/>
      <c r="DOA2474" s="54"/>
      <c r="DOB2474" s="54"/>
      <c r="DOC2474" s="60"/>
      <c r="DOD2474" s="60"/>
      <c r="DOE2474" s="60"/>
      <c r="DOF2474" s="60"/>
      <c r="DOG2474" s="63"/>
      <c r="DOH2474" s="61"/>
      <c r="DOI2474" s="54"/>
      <c r="DOJ2474" s="54"/>
      <c r="DOK2474" s="60"/>
      <c r="DOL2474" s="60"/>
      <c r="DOM2474" s="60"/>
      <c r="DON2474" s="60"/>
      <c r="DOO2474" s="63"/>
      <c r="DOP2474" s="61"/>
      <c r="DOQ2474" s="54"/>
      <c r="DOR2474" s="54"/>
      <c r="DOS2474" s="60"/>
      <c r="DOT2474" s="60"/>
      <c r="DOU2474" s="60"/>
      <c r="DOV2474" s="60"/>
      <c r="DOW2474" s="63"/>
      <c r="DOX2474" s="61"/>
      <c r="DOY2474" s="54"/>
      <c r="DOZ2474" s="54"/>
      <c r="DPA2474" s="60"/>
      <c r="DPB2474" s="60"/>
      <c r="DPC2474" s="60"/>
      <c r="DPD2474" s="60"/>
      <c r="DPE2474" s="63"/>
      <c r="DPF2474" s="61"/>
      <c r="DPG2474" s="54"/>
      <c r="DPH2474" s="54"/>
      <c r="DPI2474" s="60"/>
      <c r="DPJ2474" s="60"/>
      <c r="DPK2474" s="60"/>
      <c r="DPL2474" s="60"/>
      <c r="DPM2474" s="63"/>
      <c r="DPN2474" s="61"/>
      <c r="DPO2474" s="54"/>
      <c r="DPP2474" s="54"/>
      <c r="DPQ2474" s="60"/>
      <c r="DPR2474" s="60"/>
      <c r="DPS2474" s="60"/>
      <c r="DPT2474" s="60"/>
      <c r="DPU2474" s="63"/>
      <c r="DPV2474" s="61"/>
      <c r="DPW2474" s="54"/>
      <c r="DPX2474" s="54"/>
      <c r="DPY2474" s="60"/>
      <c r="DPZ2474" s="60"/>
      <c r="DQA2474" s="60"/>
      <c r="DQB2474" s="60"/>
      <c r="DQC2474" s="63"/>
      <c r="DQD2474" s="61"/>
      <c r="DQE2474" s="54"/>
      <c r="DQF2474" s="54"/>
      <c r="DQG2474" s="60"/>
      <c r="DQH2474" s="60"/>
      <c r="DQI2474" s="60"/>
      <c r="DQJ2474" s="60"/>
      <c r="DQK2474" s="63"/>
      <c r="DQL2474" s="61"/>
      <c r="DQM2474" s="54"/>
      <c r="DQN2474" s="54"/>
      <c r="DQO2474" s="60"/>
      <c r="DQP2474" s="60"/>
      <c r="DQQ2474" s="60"/>
      <c r="DQR2474" s="60"/>
      <c r="DQS2474" s="63"/>
      <c r="DQT2474" s="61"/>
      <c r="DQU2474" s="54"/>
      <c r="DQV2474" s="54"/>
      <c r="DQW2474" s="60"/>
      <c r="DQX2474" s="60"/>
      <c r="DQY2474" s="60"/>
      <c r="DQZ2474" s="60"/>
      <c r="DRA2474" s="63"/>
      <c r="DRB2474" s="61"/>
      <c r="DRC2474" s="54"/>
      <c r="DRD2474" s="54"/>
      <c r="DRE2474" s="60"/>
      <c r="DRF2474" s="60"/>
      <c r="DRG2474" s="60"/>
      <c r="DRH2474" s="60"/>
      <c r="DRI2474" s="63"/>
      <c r="DRJ2474" s="61"/>
      <c r="DRK2474" s="54"/>
      <c r="DRL2474" s="54"/>
      <c r="DRM2474" s="60"/>
      <c r="DRN2474" s="60"/>
      <c r="DRO2474" s="60"/>
      <c r="DRP2474" s="60"/>
      <c r="DRQ2474" s="63"/>
      <c r="DRR2474" s="61"/>
      <c r="DRS2474" s="54"/>
      <c r="DRT2474" s="54"/>
      <c r="DRU2474" s="60"/>
      <c r="DRV2474" s="60"/>
      <c r="DRW2474" s="60"/>
      <c r="DRX2474" s="60"/>
      <c r="DRY2474" s="63"/>
      <c r="DRZ2474" s="61"/>
      <c r="DSA2474" s="54"/>
      <c r="DSB2474" s="54"/>
      <c r="DSC2474" s="60"/>
      <c r="DSD2474" s="60"/>
      <c r="DSE2474" s="60"/>
      <c r="DSF2474" s="60"/>
      <c r="DSG2474" s="63"/>
      <c r="DSH2474" s="61"/>
      <c r="DSI2474" s="54"/>
      <c r="DSJ2474" s="54"/>
      <c r="DSK2474" s="60"/>
      <c r="DSL2474" s="60"/>
      <c r="DSM2474" s="60"/>
      <c r="DSN2474" s="60"/>
      <c r="DSO2474" s="63"/>
      <c r="DSP2474" s="61"/>
      <c r="DSQ2474" s="54"/>
      <c r="DSR2474" s="54"/>
      <c r="DSS2474" s="60"/>
      <c r="DST2474" s="60"/>
      <c r="DSU2474" s="60"/>
      <c r="DSV2474" s="60"/>
      <c r="DSW2474" s="63"/>
      <c r="DSX2474" s="61"/>
      <c r="DSY2474" s="54"/>
      <c r="DSZ2474" s="54"/>
      <c r="DTA2474" s="60"/>
      <c r="DTB2474" s="60"/>
      <c r="DTC2474" s="60"/>
      <c r="DTD2474" s="60"/>
      <c r="DTE2474" s="63"/>
      <c r="DTF2474" s="61"/>
      <c r="DTG2474" s="54"/>
      <c r="DTH2474" s="54"/>
      <c r="DTI2474" s="60"/>
      <c r="DTJ2474" s="60"/>
      <c r="DTK2474" s="60"/>
      <c r="DTL2474" s="60"/>
      <c r="DTM2474" s="63"/>
      <c r="DTN2474" s="61"/>
      <c r="DTO2474" s="54"/>
      <c r="DTP2474" s="54"/>
      <c r="DTQ2474" s="60"/>
      <c r="DTR2474" s="60"/>
      <c r="DTS2474" s="60"/>
      <c r="DTT2474" s="60"/>
      <c r="DTU2474" s="63"/>
      <c r="DTV2474" s="61"/>
      <c r="DTW2474" s="54"/>
      <c r="DTX2474" s="54"/>
      <c r="DTY2474" s="60"/>
      <c r="DTZ2474" s="60"/>
      <c r="DUA2474" s="60"/>
      <c r="DUB2474" s="60"/>
      <c r="DUC2474" s="63"/>
      <c r="DUD2474" s="61"/>
      <c r="DUE2474" s="54"/>
      <c r="DUF2474" s="54"/>
      <c r="DUG2474" s="60"/>
      <c r="DUH2474" s="60"/>
      <c r="DUI2474" s="60"/>
      <c r="DUJ2474" s="60"/>
      <c r="DUK2474" s="63"/>
      <c r="DUL2474" s="61"/>
      <c r="DUM2474" s="54"/>
      <c r="DUN2474" s="54"/>
      <c r="DUO2474" s="60"/>
      <c r="DUP2474" s="60"/>
      <c r="DUQ2474" s="60"/>
      <c r="DUR2474" s="60"/>
      <c r="DUS2474" s="63"/>
      <c r="DUT2474" s="61"/>
      <c r="DUU2474" s="54"/>
      <c r="DUV2474" s="54"/>
      <c r="DUW2474" s="60"/>
      <c r="DUX2474" s="60"/>
      <c r="DUY2474" s="60"/>
      <c r="DUZ2474" s="60"/>
      <c r="DVA2474" s="63"/>
      <c r="DVB2474" s="61"/>
      <c r="DVC2474" s="54"/>
      <c r="DVD2474" s="54"/>
      <c r="DVE2474" s="60"/>
      <c r="DVF2474" s="60"/>
      <c r="DVG2474" s="60"/>
      <c r="DVH2474" s="60"/>
      <c r="DVI2474" s="63"/>
      <c r="DVJ2474" s="61"/>
      <c r="DVK2474" s="54"/>
      <c r="DVL2474" s="54"/>
      <c r="DVM2474" s="60"/>
      <c r="DVN2474" s="60"/>
      <c r="DVO2474" s="60"/>
      <c r="DVP2474" s="60"/>
      <c r="DVQ2474" s="63"/>
      <c r="DVR2474" s="61"/>
      <c r="DVS2474" s="54"/>
      <c r="DVT2474" s="54"/>
      <c r="DVU2474" s="60"/>
      <c r="DVV2474" s="60"/>
      <c r="DVW2474" s="60"/>
      <c r="DVX2474" s="60"/>
      <c r="DVY2474" s="63"/>
      <c r="DVZ2474" s="61"/>
      <c r="DWA2474" s="54"/>
      <c r="DWB2474" s="54"/>
      <c r="DWC2474" s="60"/>
      <c r="DWD2474" s="60"/>
      <c r="DWE2474" s="60"/>
      <c r="DWF2474" s="60"/>
      <c r="DWG2474" s="63"/>
      <c r="DWH2474" s="61"/>
      <c r="DWI2474" s="54"/>
      <c r="DWJ2474" s="54"/>
      <c r="DWK2474" s="60"/>
      <c r="DWL2474" s="60"/>
      <c r="DWM2474" s="60"/>
      <c r="DWN2474" s="60"/>
      <c r="DWO2474" s="63"/>
      <c r="DWP2474" s="61"/>
      <c r="DWQ2474" s="54"/>
      <c r="DWR2474" s="54"/>
      <c r="DWS2474" s="60"/>
      <c r="DWT2474" s="60"/>
      <c r="DWU2474" s="60"/>
      <c r="DWV2474" s="60"/>
      <c r="DWW2474" s="63"/>
      <c r="DWX2474" s="61"/>
      <c r="DWY2474" s="54"/>
      <c r="DWZ2474" s="54"/>
      <c r="DXA2474" s="60"/>
      <c r="DXB2474" s="60"/>
      <c r="DXC2474" s="60"/>
      <c r="DXD2474" s="60"/>
      <c r="DXE2474" s="63"/>
      <c r="DXF2474" s="61"/>
      <c r="DXG2474" s="54"/>
      <c r="DXH2474" s="54"/>
      <c r="DXI2474" s="60"/>
      <c r="DXJ2474" s="60"/>
      <c r="DXK2474" s="60"/>
      <c r="DXL2474" s="60"/>
      <c r="DXM2474" s="63"/>
      <c r="DXN2474" s="61"/>
      <c r="DXO2474" s="54"/>
      <c r="DXP2474" s="54"/>
      <c r="DXQ2474" s="60"/>
      <c r="DXR2474" s="60"/>
      <c r="DXS2474" s="60"/>
      <c r="DXT2474" s="60"/>
      <c r="DXU2474" s="63"/>
      <c r="DXV2474" s="61"/>
      <c r="DXW2474" s="54"/>
      <c r="DXX2474" s="54"/>
      <c r="DXY2474" s="60"/>
      <c r="DXZ2474" s="60"/>
      <c r="DYA2474" s="60"/>
      <c r="DYB2474" s="60"/>
      <c r="DYC2474" s="63"/>
      <c r="DYD2474" s="61"/>
      <c r="DYE2474" s="54"/>
      <c r="DYF2474" s="54"/>
      <c r="DYG2474" s="60"/>
      <c r="DYH2474" s="60"/>
      <c r="DYI2474" s="60"/>
      <c r="DYJ2474" s="60"/>
      <c r="DYK2474" s="63"/>
      <c r="DYL2474" s="61"/>
      <c r="DYM2474" s="54"/>
      <c r="DYN2474" s="54"/>
      <c r="DYO2474" s="60"/>
      <c r="DYP2474" s="60"/>
      <c r="DYQ2474" s="60"/>
      <c r="DYR2474" s="60"/>
      <c r="DYS2474" s="63"/>
      <c r="DYT2474" s="61"/>
      <c r="DYU2474" s="54"/>
      <c r="DYV2474" s="54"/>
      <c r="DYW2474" s="60"/>
      <c r="DYX2474" s="60"/>
      <c r="DYY2474" s="60"/>
      <c r="DYZ2474" s="60"/>
      <c r="DZA2474" s="63"/>
      <c r="DZB2474" s="61"/>
      <c r="DZC2474" s="54"/>
      <c r="DZD2474" s="54"/>
      <c r="DZE2474" s="60"/>
      <c r="DZF2474" s="60"/>
      <c r="DZG2474" s="60"/>
      <c r="DZH2474" s="60"/>
      <c r="DZI2474" s="63"/>
      <c r="DZJ2474" s="61"/>
      <c r="DZK2474" s="54"/>
      <c r="DZL2474" s="54"/>
      <c r="DZM2474" s="60"/>
      <c r="DZN2474" s="60"/>
      <c r="DZO2474" s="60"/>
      <c r="DZP2474" s="60"/>
      <c r="DZQ2474" s="63"/>
      <c r="DZR2474" s="61"/>
      <c r="DZS2474" s="54"/>
      <c r="DZT2474" s="54"/>
      <c r="DZU2474" s="60"/>
      <c r="DZV2474" s="60"/>
      <c r="DZW2474" s="60"/>
      <c r="DZX2474" s="60"/>
      <c r="DZY2474" s="63"/>
      <c r="DZZ2474" s="61"/>
      <c r="EAA2474" s="54"/>
      <c r="EAB2474" s="54"/>
      <c r="EAC2474" s="60"/>
      <c r="EAD2474" s="60"/>
      <c r="EAE2474" s="60"/>
      <c r="EAF2474" s="60"/>
      <c r="EAG2474" s="63"/>
      <c r="EAH2474" s="61"/>
      <c r="EAI2474" s="54"/>
      <c r="EAJ2474" s="54"/>
      <c r="EAK2474" s="60"/>
      <c r="EAL2474" s="60"/>
      <c r="EAM2474" s="60"/>
      <c r="EAN2474" s="60"/>
      <c r="EAO2474" s="63"/>
      <c r="EAP2474" s="61"/>
      <c r="EAQ2474" s="54"/>
      <c r="EAR2474" s="54"/>
      <c r="EAS2474" s="60"/>
      <c r="EAT2474" s="60"/>
      <c r="EAU2474" s="60"/>
      <c r="EAV2474" s="60"/>
      <c r="EAW2474" s="63"/>
      <c r="EAX2474" s="61"/>
      <c r="EAY2474" s="54"/>
      <c r="EAZ2474" s="54"/>
      <c r="EBA2474" s="60"/>
      <c r="EBB2474" s="60"/>
      <c r="EBC2474" s="60"/>
      <c r="EBD2474" s="60"/>
      <c r="EBE2474" s="63"/>
      <c r="EBF2474" s="61"/>
      <c r="EBG2474" s="54"/>
      <c r="EBH2474" s="54"/>
      <c r="EBI2474" s="60"/>
      <c r="EBJ2474" s="60"/>
      <c r="EBK2474" s="60"/>
      <c r="EBL2474" s="60"/>
      <c r="EBM2474" s="63"/>
      <c r="EBN2474" s="61"/>
      <c r="EBO2474" s="54"/>
      <c r="EBP2474" s="54"/>
      <c r="EBQ2474" s="60"/>
      <c r="EBR2474" s="60"/>
      <c r="EBS2474" s="60"/>
      <c r="EBT2474" s="60"/>
      <c r="EBU2474" s="63"/>
      <c r="EBV2474" s="61"/>
      <c r="EBW2474" s="54"/>
      <c r="EBX2474" s="54"/>
      <c r="EBY2474" s="60"/>
      <c r="EBZ2474" s="60"/>
      <c r="ECA2474" s="60"/>
      <c r="ECB2474" s="60"/>
      <c r="ECC2474" s="63"/>
      <c r="ECD2474" s="61"/>
      <c r="ECE2474" s="54"/>
      <c r="ECF2474" s="54"/>
      <c r="ECG2474" s="60"/>
      <c r="ECH2474" s="60"/>
      <c r="ECI2474" s="60"/>
      <c r="ECJ2474" s="60"/>
      <c r="ECK2474" s="63"/>
      <c r="ECL2474" s="61"/>
      <c r="ECM2474" s="54"/>
      <c r="ECN2474" s="54"/>
      <c r="ECO2474" s="60"/>
      <c r="ECP2474" s="60"/>
      <c r="ECQ2474" s="60"/>
      <c r="ECR2474" s="60"/>
      <c r="ECS2474" s="63"/>
      <c r="ECT2474" s="61"/>
      <c r="ECU2474" s="54"/>
      <c r="ECV2474" s="54"/>
      <c r="ECW2474" s="60"/>
      <c r="ECX2474" s="60"/>
      <c r="ECY2474" s="60"/>
      <c r="ECZ2474" s="60"/>
      <c r="EDA2474" s="63"/>
      <c r="EDB2474" s="61"/>
      <c r="EDC2474" s="54"/>
      <c r="EDD2474" s="54"/>
      <c r="EDE2474" s="60"/>
      <c r="EDF2474" s="60"/>
      <c r="EDG2474" s="60"/>
      <c r="EDH2474" s="60"/>
      <c r="EDI2474" s="63"/>
      <c r="EDJ2474" s="61"/>
      <c r="EDK2474" s="54"/>
      <c r="EDL2474" s="54"/>
      <c r="EDM2474" s="60"/>
      <c r="EDN2474" s="60"/>
      <c r="EDO2474" s="60"/>
      <c r="EDP2474" s="60"/>
      <c r="EDQ2474" s="63"/>
      <c r="EDR2474" s="61"/>
      <c r="EDS2474" s="54"/>
      <c r="EDT2474" s="54"/>
      <c r="EDU2474" s="60"/>
      <c r="EDV2474" s="60"/>
      <c r="EDW2474" s="60"/>
      <c r="EDX2474" s="60"/>
      <c r="EDY2474" s="63"/>
      <c r="EDZ2474" s="61"/>
      <c r="EEA2474" s="54"/>
      <c r="EEB2474" s="54"/>
      <c r="EEC2474" s="60"/>
      <c r="EED2474" s="60"/>
      <c r="EEE2474" s="60"/>
      <c r="EEF2474" s="60"/>
      <c r="EEG2474" s="63"/>
      <c r="EEH2474" s="61"/>
      <c r="EEI2474" s="54"/>
      <c r="EEJ2474" s="54"/>
      <c r="EEK2474" s="60"/>
      <c r="EEL2474" s="60"/>
      <c r="EEM2474" s="60"/>
      <c r="EEN2474" s="60"/>
      <c r="EEO2474" s="63"/>
      <c r="EEP2474" s="61"/>
      <c r="EEQ2474" s="54"/>
      <c r="EER2474" s="54"/>
      <c r="EES2474" s="60"/>
      <c r="EET2474" s="60"/>
      <c r="EEU2474" s="60"/>
      <c r="EEV2474" s="60"/>
      <c r="EEW2474" s="63"/>
      <c r="EEX2474" s="61"/>
      <c r="EEY2474" s="54"/>
      <c r="EEZ2474" s="54"/>
      <c r="EFA2474" s="60"/>
      <c r="EFB2474" s="60"/>
      <c r="EFC2474" s="60"/>
      <c r="EFD2474" s="60"/>
      <c r="EFE2474" s="63"/>
      <c r="EFF2474" s="61"/>
      <c r="EFG2474" s="54"/>
      <c r="EFH2474" s="54"/>
      <c r="EFI2474" s="60"/>
      <c r="EFJ2474" s="60"/>
      <c r="EFK2474" s="60"/>
      <c r="EFL2474" s="60"/>
      <c r="EFM2474" s="63"/>
      <c r="EFN2474" s="61"/>
      <c r="EFO2474" s="54"/>
      <c r="EFP2474" s="54"/>
      <c r="EFQ2474" s="60"/>
      <c r="EFR2474" s="60"/>
      <c r="EFS2474" s="60"/>
      <c r="EFT2474" s="60"/>
      <c r="EFU2474" s="63"/>
      <c r="EFV2474" s="61"/>
      <c r="EFW2474" s="54"/>
      <c r="EFX2474" s="54"/>
      <c r="EFY2474" s="60"/>
      <c r="EFZ2474" s="60"/>
      <c r="EGA2474" s="60"/>
      <c r="EGB2474" s="60"/>
      <c r="EGC2474" s="63"/>
      <c r="EGD2474" s="61"/>
      <c r="EGE2474" s="54"/>
      <c r="EGF2474" s="54"/>
      <c r="EGG2474" s="60"/>
      <c r="EGH2474" s="60"/>
      <c r="EGI2474" s="60"/>
      <c r="EGJ2474" s="60"/>
      <c r="EGK2474" s="63"/>
      <c r="EGL2474" s="61"/>
      <c r="EGM2474" s="54"/>
      <c r="EGN2474" s="54"/>
      <c r="EGO2474" s="60"/>
      <c r="EGP2474" s="60"/>
      <c r="EGQ2474" s="60"/>
      <c r="EGR2474" s="60"/>
      <c r="EGS2474" s="63"/>
      <c r="EGT2474" s="61"/>
      <c r="EGU2474" s="54"/>
      <c r="EGV2474" s="54"/>
      <c r="EGW2474" s="60"/>
      <c r="EGX2474" s="60"/>
      <c r="EGY2474" s="60"/>
      <c r="EGZ2474" s="60"/>
      <c r="EHA2474" s="63"/>
      <c r="EHB2474" s="61"/>
      <c r="EHC2474" s="54"/>
      <c r="EHD2474" s="54"/>
      <c r="EHE2474" s="60"/>
      <c r="EHF2474" s="60"/>
      <c r="EHG2474" s="60"/>
      <c r="EHH2474" s="60"/>
      <c r="EHI2474" s="63"/>
      <c r="EHJ2474" s="61"/>
      <c r="EHK2474" s="54"/>
      <c r="EHL2474" s="54"/>
      <c r="EHM2474" s="60"/>
      <c r="EHN2474" s="60"/>
      <c r="EHO2474" s="60"/>
      <c r="EHP2474" s="60"/>
      <c r="EHQ2474" s="63"/>
      <c r="EHR2474" s="61"/>
      <c r="EHS2474" s="54"/>
      <c r="EHT2474" s="54"/>
      <c r="EHU2474" s="60"/>
      <c r="EHV2474" s="60"/>
      <c r="EHW2474" s="60"/>
      <c r="EHX2474" s="60"/>
      <c r="EHY2474" s="63"/>
      <c r="EHZ2474" s="61"/>
      <c r="EIA2474" s="54"/>
      <c r="EIB2474" s="54"/>
      <c r="EIC2474" s="60"/>
      <c r="EID2474" s="60"/>
      <c r="EIE2474" s="60"/>
      <c r="EIF2474" s="60"/>
      <c r="EIG2474" s="63"/>
      <c r="EIH2474" s="61"/>
      <c r="EII2474" s="54"/>
      <c r="EIJ2474" s="54"/>
      <c r="EIK2474" s="60"/>
      <c r="EIL2474" s="60"/>
      <c r="EIM2474" s="60"/>
      <c r="EIN2474" s="60"/>
      <c r="EIO2474" s="63"/>
      <c r="EIP2474" s="61"/>
      <c r="EIQ2474" s="54"/>
      <c r="EIR2474" s="54"/>
      <c r="EIS2474" s="60"/>
      <c r="EIT2474" s="60"/>
      <c r="EIU2474" s="60"/>
      <c r="EIV2474" s="60"/>
      <c r="EIW2474" s="63"/>
      <c r="EIX2474" s="61"/>
      <c r="EIY2474" s="54"/>
      <c r="EIZ2474" s="54"/>
      <c r="EJA2474" s="60"/>
      <c r="EJB2474" s="60"/>
      <c r="EJC2474" s="60"/>
      <c r="EJD2474" s="60"/>
      <c r="EJE2474" s="63"/>
      <c r="EJF2474" s="61"/>
      <c r="EJG2474" s="54"/>
      <c r="EJH2474" s="54"/>
      <c r="EJI2474" s="60"/>
      <c r="EJJ2474" s="60"/>
      <c r="EJK2474" s="60"/>
      <c r="EJL2474" s="60"/>
      <c r="EJM2474" s="63"/>
      <c r="EJN2474" s="61"/>
      <c r="EJO2474" s="54"/>
      <c r="EJP2474" s="54"/>
      <c r="EJQ2474" s="60"/>
      <c r="EJR2474" s="60"/>
      <c r="EJS2474" s="60"/>
      <c r="EJT2474" s="60"/>
      <c r="EJU2474" s="63"/>
      <c r="EJV2474" s="61"/>
      <c r="EJW2474" s="54"/>
      <c r="EJX2474" s="54"/>
      <c r="EJY2474" s="60"/>
      <c r="EJZ2474" s="60"/>
      <c r="EKA2474" s="60"/>
      <c r="EKB2474" s="60"/>
      <c r="EKC2474" s="63"/>
      <c r="EKD2474" s="61"/>
      <c r="EKE2474" s="54"/>
      <c r="EKF2474" s="54"/>
      <c r="EKG2474" s="60"/>
      <c r="EKH2474" s="60"/>
      <c r="EKI2474" s="60"/>
      <c r="EKJ2474" s="60"/>
      <c r="EKK2474" s="63"/>
      <c r="EKL2474" s="61"/>
      <c r="EKM2474" s="54"/>
      <c r="EKN2474" s="54"/>
      <c r="EKO2474" s="60"/>
      <c r="EKP2474" s="60"/>
      <c r="EKQ2474" s="60"/>
      <c r="EKR2474" s="60"/>
      <c r="EKS2474" s="63"/>
      <c r="EKT2474" s="61"/>
      <c r="EKU2474" s="54"/>
      <c r="EKV2474" s="54"/>
      <c r="EKW2474" s="60"/>
      <c r="EKX2474" s="60"/>
      <c r="EKY2474" s="60"/>
      <c r="EKZ2474" s="60"/>
      <c r="ELA2474" s="63"/>
      <c r="ELB2474" s="61"/>
      <c r="ELC2474" s="54"/>
      <c r="ELD2474" s="54"/>
      <c r="ELE2474" s="60"/>
      <c r="ELF2474" s="60"/>
      <c r="ELG2474" s="60"/>
      <c r="ELH2474" s="60"/>
      <c r="ELI2474" s="63"/>
      <c r="ELJ2474" s="61"/>
      <c r="ELK2474" s="54"/>
      <c r="ELL2474" s="54"/>
      <c r="ELM2474" s="60"/>
      <c r="ELN2474" s="60"/>
      <c r="ELO2474" s="60"/>
      <c r="ELP2474" s="60"/>
      <c r="ELQ2474" s="63"/>
      <c r="ELR2474" s="61"/>
      <c r="ELS2474" s="54"/>
      <c r="ELT2474" s="54"/>
      <c r="ELU2474" s="60"/>
      <c r="ELV2474" s="60"/>
      <c r="ELW2474" s="60"/>
      <c r="ELX2474" s="60"/>
      <c r="ELY2474" s="63"/>
      <c r="ELZ2474" s="61"/>
      <c r="EMA2474" s="54"/>
      <c r="EMB2474" s="54"/>
      <c r="EMC2474" s="60"/>
      <c r="EMD2474" s="60"/>
      <c r="EME2474" s="60"/>
      <c r="EMF2474" s="60"/>
      <c r="EMG2474" s="63"/>
      <c r="EMH2474" s="61"/>
      <c r="EMI2474" s="54"/>
      <c r="EMJ2474" s="54"/>
      <c r="EMK2474" s="60"/>
      <c r="EML2474" s="60"/>
      <c r="EMM2474" s="60"/>
      <c r="EMN2474" s="60"/>
      <c r="EMO2474" s="63"/>
      <c r="EMP2474" s="61"/>
      <c r="EMQ2474" s="54"/>
      <c r="EMR2474" s="54"/>
      <c r="EMS2474" s="60"/>
      <c r="EMT2474" s="60"/>
      <c r="EMU2474" s="60"/>
      <c r="EMV2474" s="60"/>
      <c r="EMW2474" s="63"/>
      <c r="EMX2474" s="61"/>
      <c r="EMY2474" s="54"/>
      <c r="EMZ2474" s="54"/>
      <c r="ENA2474" s="60"/>
      <c r="ENB2474" s="60"/>
      <c r="ENC2474" s="60"/>
      <c r="END2474" s="60"/>
      <c r="ENE2474" s="63"/>
      <c r="ENF2474" s="61"/>
      <c r="ENG2474" s="54"/>
      <c r="ENH2474" s="54"/>
      <c r="ENI2474" s="60"/>
      <c r="ENJ2474" s="60"/>
      <c r="ENK2474" s="60"/>
      <c r="ENL2474" s="60"/>
      <c r="ENM2474" s="63"/>
      <c r="ENN2474" s="61"/>
      <c r="ENO2474" s="54"/>
      <c r="ENP2474" s="54"/>
      <c r="ENQ2474" s="60"/>
      <c r="ENR2474" s="60"/>
      <c r="ENS2474" s="60"/>
      <c r="ENT2474" s="60"/>
      <c r="ENU2474" s="63"/>
      <c r="ENV2474" s="61"/>
      <c r="ENW2474" s="54"/>
      <c r="ENX2474" s="54"/>
      <c r="ENY2474" s="60"/>
      <c r="ENZ2474" s="60"/>
      <c r="EOA2474" s="60"/>
      <c r="EOB2474" s="60"/>
      <c r="EOC2474" s="63"/>
      <c r="EOD2474" s="61"/>
      <c r="EOE2474" s="54"/>
      <c r="EOF2474" s="54"/>
      <c r="EOG2474" s="60"/>
      <c r="EOH2474" s="60"/>
      <c r="EOI2474" s="60"/>
      <c r="EOJ2474" s="60"/>
      <c r="EOK2474" s="63"/>
      <c r="EOL2474" s="61"/>
      <c r="EOM2474" s="54"/>
      <c r="EON2474" s="54"/>
      <c r="EOO2474" s="60"/>
      <c r="EOP2474" s="60"/>
      <c r="EOQ2474" s="60"/>
      <c r="EOR2474" s="60"/>
      <c r="EOS2474" s="63"/>
      <c r="EOT2474" s="61"/>
      <c r="EOU2474" s="54"/>
      <c r="EOV2474" s="54"/>
      <c r="EOW2474" s="60"/>
      <c r="EOX2474" s="60"/>
      <c r="EOY2474" s="60"/>
      <c r="EOZ2474" s="60"/>
      <c r="EPA2474" s="63"/>
      <c r="EPB2474" s="61"/>
      <c r="EPC2474" s="54"/>
      <c r="EPD2474" s="54"/>
      <c r="EPE2474" s="60"/>
      <c r="EPF2474" s="60"/>
      <c r="EPG2474" s="60"/>
      <c r="EPH2474" s="60"/>
      <c r="EPI2474" s="63"/>
      <c r="EPJ2474" s="61"/>
      <c r="EPK2474" s="54"/>
      <c r="EPL2474" s="54"/>
      <c r="EPM2474" s="60"/>
      <c r="EPN2474" s="60"/>
      <c r="EPO2474" s="60"/>
      <c r="EPP2474" s="60"/>
      <c r="EPQ2474" s="63"/>
      <c r="EPR2474" s="61"/>
      <c r="EPS2474" s="54"/>
      <c r="EPT2474" s="54"/>
      <c r="EPU2474" s="60"/>
      <c r="EPV2474" s="60"/>
      <c r="EPW2474" s="60"/>
      <c r="EPX2474" s="60"/>
      <c r="EPY2474" s="63"/>
      <c r="EPZ2474" s="61"/>
      <c r="EQA2474" s="54"/>
      <c r="EQB2474" s="54"/>
      <c r="EQC2474" s="60"/>
      <c r="EQD2474" s="60"/>
      <c r="EQE2474" s="60"/>
      <c r="EQF2474" s="60"/>
      <c r="EQG2474" s="63"/>
      <c r="EQH2474" s="61"/>
      <c r="EQI2474" s="54"/>
      <c r="EQJ2474" s="54"/>
      <c r="EQK2474" s="60"/>
      <c r="EQL2474" s="60"/>
      <c r="EQM2474" s="60"/>
      <c r="EQN2474" s="60"/>
      <c r="EQO2474" s="63"/>
      <c r="EQP2474" s="61"/>
      <c r="EQQ2474" s="54"/>
      <c r="EQR2474" s="54"/>
      <c r="EQS2474" s="60"/>
      <c r="EQT2474" s="60"/>
      <c r="EQU2474" s="60"/>
      <c r="EQV2474" s="60"/>
      <c r="EQW2474" s="63"/>
      <c r="EQX2474" s="61"/>
      <c r="EQY2474" s="54"/>
      <c r="EQZ2474" s="54"/>
      <c r="ERA2474" s="60"/>
      <c r="ERB2474" s="60"/>
      <c r="ERC2474" s="60"/>
      <c r="ERD2474" s="60"/>
      <c r="ERE2474" s="63"/>
      <c r="ERF2474" s="61"/>
      <c r="ERG2474" s="54"/>
      <c r="ERH2474" s="54"/>
      <c r="ERI2474" s="60"/>
      <c r="ERJ2474" s="60"/>
      <c r="ERK2474" s="60"/>
      <c r="ERL2474" s="60"/>
      <c r="ERM2474" s="63"/>
      <c r="ERN2474" s="61"/>
      <c r="ERO2474" s="54"/>
      <c r="ERP2474" s="54"/>
      <c r="ERQ2474" s="60"/>
      <c r="ERR2474" s="60"/>
      <c r="ERS2474" s="60"/>
      <c r="ERT2474" s="60"/>
      <c r="ERU2474" s="63"/>
      <c r="ERV2474" s="61"/>
      <c r="ERW2474" s="54"/>
      <c r="ERX2474" s="54"/>
      <c r="ERY2474" s="60"/>
      <c r="ERZ2474" s="60"/>
      <c r="ESA2474" s="60"/>
      <c r="ESB2474" s="60"/>
      <c r="ESC2474" s="63"/>
      <c r="ESD2474" s="61"/>
      <c r="ESE2474" s="54"/>
      <c r="ESF2474" s="54"/>
      <c r="ESG2474" s="60"/>
      <c r="ESH2474" s="60"/>
      <c r="ESI2474" s="60"/>
      <c r="ESJ2474" s="60"/>
      <c r="ESK2474" s="63"/>
      <c r="ESL2474" s="61"/>
      <c r="ESM2474" s="54"/>
      <c r="ESN2474" s="54"/>
      <c r="ESO2474" s="60"/>
      <c r="ESP2474" s="60"/>
      <c r="ESQ2474" s="60"/>
      <c r="ESR2474" s="60"/>
      <c r="ESS2474" s="63"/>
      <c r="EST2474" s="61"/>
      <c r="ESU2474" s="54"/>
      <c r="ESV2474" s="54"/>
      <c r="ESW2474" s="60"/>
      <c r="ESX2474" s="60"/>
      <c r="ESY2474" s="60"/>
      <c r="ESZ2474" s="60"/>
      <c r="ETA2474" s="63"/>
      <c r="ETB2474" s="61"/>
      <c r="ETC2474" s="54"/>
      <c r="ETD2474" s="54"/>
      <c r="ETE2474" s="60"/>
      <c r="ETF2474" s="60"/>
      <c r="ETG2474" s="60"/>
      <c r="ETH2474" s="60"/>
      <c r="ETI2474" s="63"/>
      <c r="ETJ2474" s="61"/>
      <c r="ETK2474" s="54"/>
      <c r="ETL2474" s="54"/>
      <c r="ETM2474" s="60"/>
      <c r="ETN2474" s="60"/>
      <c r="ETO2474" s="60"/>
      <c r="ETP2474" s="60"/>
      <c r="ETQ2474" s="63"/>
      <c r="ETR2474" s="61"/>
      <c r="ETS2474" s="54"/>
      <c r="ETT2474" s="54"/>
      <c r="ETU2474" s="60"/>
      <c r="ETV2474" s="60"/>
      <c r="ETW2474" s="60"/>
      <c r="ETX2474" s="60"/>
      <c r="ETY2474" s="63"/>
      <c r="ETZ2474" s="61"/>
      <c r="EUA2474" s="54"/>
      <c r="EUB2474" s="54"/>
      <c r="EUC2474" s="60"/>
      <c r="EUD2474" s="60"/>
      <c r="EUE2474" s="60"/>
      <c r="EUF2474" s="60"/>
      <c r="EUG2474" s="63"/>
      <c r="EUH2474" s="61"/>
      <c r="EUI2474" s="54"/>
      <c r="EUJ2474" s="54"/>
      <c r="EUK2474" s="60"/>
      <c r="EUL2474" s="60"/>
      <c r="EUM2474" s="60"/>
      <c r="EUN2474" s="60"/>
      <c r="EUO2474" s="63"/>
      <c r="EUP2474" s="61"/>
      <c r="EUQ2474" s="54"/>
      <c r="EUR2474" s="54"/>
      <c r="EUS2474" s="60"/>
      <c r="EUT2474" s="60"/>
      <c r="EUU2474" s="60"/>
      <c r="EUV2474" s="60"/>
      <c r="EUW2474" s="63"/>
      <c r="EUX2474" s="61"/>
      <c r="EUY2474" s="54"/>
      <c r="EUZ2474" s="54"/>
      <c r="EVA2474" s="60"/>
      <c r="EVB2474" s="60"/>
      <c r="EVC2474" s="60"/>
      <c r="EVD2474" s="60"/>
      <c r="EVE2474" s="63"/>
      <c r="EVF2474" s="61"/>
      <c r="EVG2474" s="54"/>
      <c r="EVH2474" s="54"/>
      <c r="EVI2474" s="60"/>
      <c r="EVJ2474" s="60"/>
      <c r="EVK2474" s="60"/>
      <c r="EVL2474" s="60"/>
      <c r="EVM2474" s="63"/>
      <c r="EVN2474" s="61"/>
      <c r="EVO2474" s="54"/>
      <c r="EVP2474" s="54"/>
      <c r="EVQ2474" s="60"/>
      <c r="EVR2474" s="60"/>
      <c r="EVS2474" s="60"/>
      <c r="EVT2474" s="60"/>
      <c r="EVU2474" s="63"/>
      <c r="EVV2474" s="61"/>
      <c r="EVW2474" s="54"/>
      <c r="EVX2474" s="54"/>
      <c r="EVY2474" s="60"/>
      <c r="EVZ2474" s="60"/>
      <c r="EWA2474" s="60"/>
      <c r="EWB2474" s="60"/>
      <c r="EWC2474" s="63"/>
      <c r="EWD2474" s="61"/>
      <c r="EWE2474" s="54"/>
      <c r="EWF2474" s="54"/>
      <c r="EWG2474" s="60"/>
      <c r="EWH2474" s="60"/>
      <c r="EWI2474" s="60"/>
      <c r="EWJ2474" s="60"/>
      <c r="EWK2474" s="63"/>
      <c r="EWL2474" s="61"/>
      <c r="EWM2474" s="54"/>
      <c r="EWN2474" s="54"/>
      <c r="EWO2474" s="60"/>
      <c r="EWP2474" s="60"/>
      <c r="EWQ2474" s="60"/>
      <c r="EWR2474" s="60"/>
      <c r="EWS2474" s="63"/>
      <c r="EWT2474" s="61"/>
      <c r="EWU2474" s="54"/>
      <c r="EWV2474" s="54"/>
      <c r="EWW2474" s="60"/>
      <c r="EWX2474" s="60"/>
      <c r="EWY2474" s="60"/>
      <c r="EWZ2474" s="60"/>
      <c r="EXA2474" s="63"/>
      <c r="EXB2474" s="61"/>
      <c r="EXC2474" s="54"/>
      <c r="EXD2474" s="54"/>
      <c r="EXE2474" s="60"/>
      <c r="EXF2474" s="60"/>
      <c r="EXG2474" s="60"/>
      <c r="EXH2474" s="60"/>
      <c r="EXI2474" s="63"/>
      <c r="EXJ2474" s="61"/>
      <c r="EXK2474" s="54"/>
      <c r="EXL2474" s="54"/>
      <c r="EXM2474" s="60"/>
      <c r="EXN2474" s="60"/>
      <c r="EXO2474" s="60"/>
      <c r="EXP2474" s="60"/>
      <c r="EXQ2474" s="63"/>
      <c r="EXR2474" s="61"/>
      <c r="EXS2474" s="54"/>
      <c r="EXT2474" s="54"/>
      <c r="EXU2474" s="60"/>
      <c r="EXV2474" s="60"/>
      <c r="EXW2474" s="60"/>
      <c r="EXX2474" s="60"/>
      <c r="EXY2474" s="63"/>
      <c r="EXZ2474" s="61"/>
      <c r="EYA2474" s="54"/>
      <c r="EYB2474" s="54"/>
      <c r="EYC2474" s="60"/>
      <c r="EYD2474" s="60"/>
      <c r="EYE2474" s="60"/>
      <c r="EYF2474" s="60"/>
      <c r="EYG2474" s="63"/>
      <c r="EYH2474" s="61"/>
      <c r="EYI2474" s="54"/>
      <c r="EYJ2474" s="54"/>
      <c r="EYK2474" s="60"/>
      <c r="EYL2474" s="60"/>
      <c r="EYM2474" s="60"/>
      <c r="EYN2474" s="60"/>
      <c r="EYO2474" s="63"/>
      <c r="EYP2474" s="61"/>
      <c r="EYQ2474" s="54"/>
      <c r="EYR2474" s="54"/>
      <c r="EYS2474" s="60"/>
      <c r="EYT2474" s="60"/>
      <c r="EYU2474" s="60"/>
      <c r="EYV2474" s="60"/>
      <c r="EYW2474" s="63"/>
      <c r="EYX2474" s="61"/>
      <c r="EYY2474" s="54"/>
      <c r="EYZ2474" s="54"/>
      <c r="EZA2474" s="60"/>
      <c r="EZB2474" s="60"/>
      <c r="EZC2474" s="60"/>
      <c r="EZD2474" s="60"/>
      <c r="EZE2474" s="63"/>
      <c r="EZF2474" s="61"/>
      <c r="EZG2474" s="54"/>
      <c r="EZH2474" s="54"/>
      <c r="EZI2474" s="60"/>
      <c r="EZJ2474" s="60"/>
      <c r="EZK2474" s="60"/>
      <c r="EZL2474" s="60"/>
      <c r="EZM2474" s="63"/>
      <c r="EZN2474" s="61"/>
      <c r="EZO2474" s="54"/>
      <c r="EZP2474" s="54"/>
      <c r="EZQ2474" s="60"/>
      <c r="EZR2474" s="60"/>
      <c r="EZS2474" s="60"/>
      <c r="EZT2474" s="60"/>
      <c r="EZU2474" s="63"/>
      <c r="EZV2474" s="61"/>
      <c r="EZW2474" s="54"/>
      <c r="EZX2474" s="54"/>
      <c r="EZY2474" s="60"/>
      <c r="EZZ2474" s="60"/>
      <c r="FAA2474" s="60"/>
      <c r="FAB2474" s="60"/>
      <c r="FAC2474" s="63"/>
      <c r="FAD2474" s="61"/>
      <c r="FAE2474" s="54"/>
      <c r="FAF2474" s="54"/>
      <c r="FAG2474" s="60"/>
      <c r="FAH2474" s="60"/>
      <c r="FAI2474" s="60"/>
      <c r="FAJ2474" s="60"/>
      <c r="FAK2474" s="63"/>
      <c r="FAL2474" s="61"/>
      <c r="FAM2474" s="54"/>
      <c r="FAN2474" s="54"/>
      <c r="FAO2474" s="60"/>
      <c r="FAP2474" s="60"/>
      <c r="FAQ2474" s="60"/>
      <c r="FAR2474" s="60"/>
      <c r="FAS2474" s="63"/>
      <c r="FAT2474" s="61"/>
      <c r="FAU2474" s="54"/>
      <c r="FAV2474" s="54"/>
      <c r="FAW2474" s="60"/>
      <c r="FAX2474" s="60"/>
      <c r="FAY2474" s="60"/>
      <c r="FAZ2474" s="60"/>
      <c r="FBA2474" s="63"/>
      <c r="FBB2474" s="61"/>
      <c r="FBC2474" s="54"/>
      <c r="FBD2474" s="54"/>
      <c r="FBE2474" s="60"/>
      <c r="FBF2474" s="60"/>
      <c r="FBG2474" s="60"/>
      <c r="FBH2474" s="60"/>
      <c r="FBI2474" s="63"/>
      <c r="FBJ2474" s="61"/>
      <c r="FBK2474" s="54"/>
      <c r="FBL2474" s="54"/>
      <c r="FBM2474" s="60"/>
      <c r="FBN2474" s="60"/>
      <c r="FBO2474" s="60"/>
      <c r="FBP2474" s="60"/>
      <c r="FBQ2474" s="63"/>
      <c r="FBR2474" s="61"/>
      <c r="FBS2474" s="54"/>
      <c r="FBT2474" s="54"/>
      <c r="FBU2474" s="60"/>
      <c r="FBV2474" s="60"/>
      <c r="FBW2474" s="60"/>
      <c r="FBX2474" s="60"/>
      <c r="FBY2474" s="63"/>
      <c r="FBZ2474" s="61"/>
      <c r="FCA2474" s="54"/>
      <c r="FCB2474" s="54"/>
      <c r="FCC2474" s="60"/>
      <c r="FCD2474" s="60"/>
      <c r="FCE2474" s="60"/>
      <c r="FCF2474" s="60"/>
      <c r="FCG2474" s="63"/>
      <c r="FCH2474" s="61"/>
      <c r="FCI2474" s="54"/>
      <c r="FCJ2474" s="54"/>
      <c r="FCK2474" s="60"/>
      <c r="FCL2474" s="60"/>
      <c r="FCM2474" s="60"/>
      <c r="FCN2474" s="60"/>
      <c r="FCO2474" s="63"/>
      <c r="FCP2474" s="61"/>
      <c r="FCQ2474" s="54"/>
      <c r="FCR2474" s="54"/>
      <c r="FCS2474" s="60"/>
      <c r="FCT2474" s="60"/>
      <c r="FCU2474" s="60"/>
      <c r="FCV2474" s="60"/>
      <c r="FCW2474" s="63"/>
      <c r="FCX2474" s="61"/>
      <c r="FCY2474" s="54"/>
      <c r="FCZ2474" s="54"/>
      <c r="FDA2474" s="60"/>
      <c r="FDB2474" s="60"/>
      <c r="FDC2474" s="60"/>
      <c r="FDD2474" s="60"/>
      <c r="FDE2474" s="63"/>
      <c r="FDF2474" s="61"/>
      <c r="FDG2474" s="54"/>
      <c r="FDH2474" s="54"/>
      <c r="FDI2474" s="60"/>
      <c r="FDJ2474" s="60"/>
      <c r="FDK2474" s="60"/>
      <c r="FDL2474" s="60"/>
      <c r="FDM2474" s="63"/>
      <c r="FDN2474" s="61"/>
      <c r="FDO2474" s="54"/>
      <c r="FDP2474" s="54"/>
      <c r="FDQ2474" s="60"/>
      <c r="FDR2474" s="60"/>
      <c r="FDS2474" s="60"/>
      <c r="FDT2474" s="60"/>
      <c r="FDU2474" s="63"/>
      <c r="FDV2474" s="61"/>
      <c r="FDW2474" s="54"/>
      <c r="FDX2474" s="54"/>
      <c r="FDY2474" s="60"/>
      <c r="FDZ2474" s="60"/>
      <c r="FEA2474" s="60"/>
      <c r="FEB2474" s="60"/>
      <c r="FEC2474" s="63"/>
      <c r="FED2474" s="61"/>
      <c r="FEE2474" s="54"/>
      <c r="FEF2474" s="54"/>
      <c r="FEG2474" s="60"/>
      <c r="FEH2474" s="60"/>
      <c r="FEI2474" s="60"/>
      <c r="FEJ2474" s="60"/>
      <c r="FEK2474" s="63"/>
      <c r="FEL2474" s="61"/>
      <c r="FEM2474" s="54"/>
      <c r="FEN2474" s="54"/>
      <c r="FEO2474" s="60"/>
      <c r="FEP2474" s="60"/>
      <c r="FEQ2474" s="60"/>
      <c r="FER2474" s="60"/>
      <c r="FES2474" s="63"/>
      <c r="FET2474" s="61"/>
      <c r="FEU2474" s="54"/>
      <c r="FEV2474" s="54"/>
      <c r="FEW2474" s="60"/>
      <c r="FEX2474" s="60"/>
      <c r="FEY2474" s="60"/>
      <c r="FEZ2474" s="60"/>
      <c r="FFA2474" s="63"/>
      <c r="FFB2474" s="61"/>
      <c r="FFC2474" s="54"/>
      <c r="FFD2474" s="54"/>
      <c r="FFE2474" s="60"/>
      <c r="FFF2474" s="60"/>
      <c r="FFG2474" s="60"/>
      <c r="FFH2474" s="60"/>
      <c r="FFI2474" s="63"/>
      <c r="FFJ2474" s="61"/>
      <c r="FFK2474" s="54"/>
      <c r="FFL2474" s="54"/>
      <c r="FFM2474" s="60"/>
      <c r="FFN2474" s="60"/>
      <c r="FFO2474" s="60"/>
      <c r="FFP2474" s="60"/>
      <c r="FFQ2474" s="63"/>
      <c r="FFR2474" s="61"/>
      <c r="FFS2474" s="54"/>
      <c r="FFT2474" s="54"/>
      <c r="FFU2474" s="60"/>
      <c r="FFV2474" s="60"/>
      <c r="FFW2474" s="60"/>
      <c r="FFX2474" s="60"/>
      <c r="FFY2474" s="63"/>
      <c r="FFZ2474" s="61"/>
      <c r="FGA2474" s="54"/>
      <c r="FGB2474" s="54"/>
      <c r="FGC2474" s="60"/>
      <c r="FGD2474" s="60"/>
      <c r="FGE2474" s="60"/>
      <c r="FGF2474" s="60"/>
      <c r="FGG2474" s="63"/>
      <c r="FGH2474" s="61"/>
      <c r="FGI2474" s="54"/>
      <c r="FGJ2474" s="54"/>
      <c r="FGK2474" s="60"/>
      <c r="FGL2474" s="60"/>
      <c r="FGM2474" s="60"/>
      <c r="FGN2474" s="60"/>
      <c r="FGO2474" s="63"/>
      <c r="FGP2474" s="61"/>
      <c r="FGQ2474" s="54"/>
      <c r="FGR2474" s="54"/>
      <c r="FGS2474" s="60"/>
      <c r="FGT2474" s="60"/>
      <c r="FGU2474" s="60"/>
      <c r="FGV2474" s="60"/>
      <c r="FGW2474" s="63"/>
      <c r="FGX2474" s="61"/>
      <c r="FGY2474" s="54"/>
      <c r="FGZ2474" s="54"/>
      <c r="FHA2474" s="60"/>
      <c r="FHB2474" s="60"/>
      <c r="FHC2474" s="60"/>
      <c r="FHD2474" s="60"/>
      <c r="FHE2474" s="63"/>
      <c r="FHF2474" s="61"/>
      <c r="FHG2474" s="54"/>
      <c r="FHH2474" s="54"/>
      <c r="FHI2474" s="60"/>
      <c r="FHJ2474" s="60"/>
      <c r="FHK2474" s="60"/>
      <c r="FHL2474" s="60"/>
      <c r="FHM2474" s="63"/>
      <c r="FHN2474" s="61"/>
      <c r="FHO2474" s="54"/>
      <c r="FHP2474" s="54"/>
      <c r="FHQ2474" s="60"/>
      <c r="FHR2474" s="60"/>
      <c r="FHS2474" s="60"/>
      <c r="FHT2474" s="60"/>
      <c r="FHU2474" s="63"/>
      <c r="FHV2474" s="61"/>
      <c r="FHW2474" s="54"/>
      <c r="FHX2474" s="54"/>
      <c r="FHY2474" s="60"/>
      <c r="FHZ2474" s="60"/>
      <c r="FIA2474" s="60"/>
      <c r="FIB2474" s="60"/>
      <c r="FIC2474" s="63"/>
      <c r="FID2474" s="61"/>
      <c r="FIE2474" s="54"/>
      <c r="FIF2474" s="54"/>
      <c r="FIG2474" s="60"/>
      <c r="FIH2474" s="60"/>
      <c r="FII2474" s="60"/>
      <c r="FIJ2474" s="60"/>
      <c r="FIK2474" s="63"/>
      <c r="FIL2474" s="61"/>
      <c r="FIM2474" s="54"/>
      <c r="FIN2474" s="54"/>
      <c r="FIO2474" s="60"/>
      <c r="FIP2474" s="60"/>
      <c r="FIQ2474" s="60"/>
      <c r="FIR2474" s="60"/>
      <c r="FIS2474" s="63"/>
      <c r="FIT2474" s="61"/>
      <c r="FIU2474" s="54"/>
      <c r="FIV2474" s="54"/>
      <c r="FIW2474" s="60"/>
      <c r="FIX2474" s="60"/>
      <c r="FIY2474" s="60"/>
      <c r="FIZ2474" s="60"/>
      <c r="FJA2474" s="63"/>
      <c r="FJB2474" s="61"/>
      <c r="FJC2474" s="54"/>
      <c r="FJD2474" s="54"/>
      <c r="FJE2474" s="60"/>
      <c r="FJF2474" s="60"/>
      <c r="FJG2474" s="60"/>
      <c r="FJH2474" s="60"/>
      <c r="FJI2474" s="63"/>
      <c r="FJJ2474" s="61"/>
      <c r="FJK2474" s="54"/>
      <c r="FJL2474" s="54"/>
      <c r="FJM2474" s="60"/>
      <c r="FJN2474" s="60"/>
      <c r="FJO2474" s="60"/>
      <c r="FJP2474" s="60"/>
      <c r="FJQ2474" s="63"/>
      <c r="FJR2474" s="61"/>
      <c r="FJS2474" s="54"/>
      <c r="FJT2474" s="54"/>
      <c r="FJU2474" s="60"/>
      <c r="FJV2474" s="60"/>
      <c r="FJW2474" s="60"/>
      <c r="FJX2474" s="60"/>
      <c r="FJY2474" s="63"/>
      <c r="FJZ2474" s="61"/>
      <c r="FKA2474" s="54"/>
      <c r="FKB2474" s="54"/>
      <c r="FKC2474" s="60"/>
      <c r="FKD2474" s="60"/>
      <c r="FKE2474" s="60"/>
      <c r="FKF2474" s="60"/>
      <c r="FKG2474" s="63"/>
      <c r="FKH2474" s="61"/>
      <c r="FKI2474" s="54"/>
      <c r="FKJ2474" s="54"/>
      <c r="FKK2474" s="60"/>
      <c r="FKL2474" s="60"/>
      <c r="FKM2474" s="60"/>
      <c r="FKN2474" s="60"/>
      <c r="FKO2474" s="63"/>
      <c r="FKP2474" s="61"/>
      <c r="FKQ2474" s="54"/>
      <c r="FKR2474" s="54"/>
      <c r="FKS2474" s="60"/>
      <c r="FKT2474" s="60"/>
      <c r="FKU2474" s="60"/>
      <c r="FKV2474" s="60"/>
      <c r="FKW2474" s="63"/>
      <c r="FKX2474" s="61"/>
      <c r="FKY2474" s="54"/>
      <c r="FKZ2474" s="54"/>
      <c r="FLA2474" s="60"/>
      <c r="FLB2474" s="60"/>
      <c r="FLC2474" s="60"/>
      <c r="FLD2474" s="60"/>
      <c r="FLE2474" s="63"/>
      <c r="FLF2474" s="61"/>
      <c r="FLG2474" s="54"/>
      <c r="FLH2474" s="54"/>
      <c r="FLI2474" s="60"/>
      <c r="FLJ2474" s="60"/>
      <c r="FLK2474" s="60"/>
      <c r="FLL2474" s="60"/>
      <c r="FLM2474" s="63"/>
      <c r="FLN2474" s="61"/>
      <c r="FLO2474" s="54"/>
      <c r="FLP2474" s="54"/>
      <c r="FLQ2474" s="60"/>
      <c r="FLR2474" s="60"/>
      <c r="FLS2474" s="60"/>
      <c r="FLT2474" s="60"/>
      <c r="FLU2474" s="63"/>
      <c r="FLV2474" s="61"/>
      <c r="FLW2474" s="54"/>
      <c r="FLX2474" s="54"/>
      <c r="FLY2474" s="60"/>
      <c r="FLZ2474" s="60"/>
      <c r="FMA2474" s="60"/>
      <c r="FMB2474" s="60"/>
      <c r="FMC2474" s="63"/>
      <c r="FMD2474" s="61"/>
      <c r="FME2474" s="54"/>
      <c r="FMF2474" s="54"/>
      <c r="FMG2474" s="60"/>
      <c r="FMH2474" s="60"/>
      <c r="FMI2474" s="60"/>
      <c r="FMJ2474" s="60"/>
      <c r="FMK2474" s="63"/>
      <c r="FML2474" s="61"/>
      <c r="FMM2474" s="54"/>
      <c r="FMN2474" s="54"/>
      <c r="FMO2474" s="60"/>
      <c r="FMP2474" s="60"/>
      <c r="FMQ2474" s="60"/>
      <c r="FMR2474" s="60"/>
      <c r="FMS2474" s="63"/>
      <c r="FMT2474" s="61"/>
      <c r="FMU2474" s="54"/>
      <c r="FMV2474" s="54"/>
      <c r="FMW2474" s="60"/>
      <c r="FMX2474" s="60"/>
      <c r="FMY2474" s="60"/>
      <c r="FMZ2474" s="60"/>
      <c r="FNA2474" s="63"/>
      <c r="FNB2474" s="61"/>
      <c r="FNC2474" s="54"/>
      <c r="FND2474" s="54"/>
      <c r="FNE2474" s="60"/>
      <c r="FNF2474" s="60"/>
      <c r="FNG2474" s="60"/>
      <c r="FNH2474" s="60"/>
      <c r="FNI2474" s="63"/>
      <c r="FNJ2474" s="61"/>
      <c r="FNK2474" s="54"/>
      <c r="FNL2474" s="54"/>
      <c r="FNM2474" s="60"/>
      <c r="FNN2474" s="60"/>
      <c r="FNO2474" s="60"/>
      <c r="FNP2474" s="60"/>
      <c r="FNQ2474" s="63"/>
      <c r="FNR2474" s="61"/>
      <c r="FNS2474" s="54"/>
      <c r="FNT2474" s="54"/>
      <c r="FNU2474" s="60"/>
      <c r="FNV2474" s="60"/>
      <c r="FNW2474" s="60"/>
      <c r="FNX2474" s="60"/>
      <c r="FNY2474" s="63"/>
      <c r="FNZ2474" s="61"/>
      <c r="FOA2474" s="54"/>
      <c r="FOB2474" s="54"/>
      <c r="FOC2474" s="60"/>
      <c r="FOD2474" s="60"/>
      <c r="FOE2474" s="60"/>
      <c r="FOF2474" s="60"/>
      <c r="FOG2474" s="63"/>
      <c r="FOH2474" s="61"/>
      <c r="FOI2474" s="54"/>
      <c r="FOJ2474" s="54"/>
      <c r="FOK2474" s="60"/>
      <c r="FOL2474" s="60"/>
      <c r="FOM2474" s="60"/>
      <c r="FON2474" s="60"/>
      <c r="FOO2474" s="63"/>
      <c r="FOP2474" s="61"/>
      <c r="FOQ2474" s="54"/>
      <c r="FOR2474" s="54"/>
      <c r="FOS2474" s="60"/>
      <c r="FOT2474" s="60"/>
      <c r="FOU2474" s="60"/>
      <c r="FOV2474" s="60"/>
      <c r="FOW2474" s="63"/>
      <c r="FOX2474" s="61"/>
      <c r="FOY2474" s="54"/>
      <c r="FOZ2474" s="54"/>
      <c r="FPA2474" s="60"/>
      <c r="FPB2474" s="60"/>
      <c r="FPC2474" s="60"/>
      <c r="FPD2474" s="60"/>
      <c r="FPE2474" s="63"/>
      <c r="FPF2474" s="61"/>
      <c r="FPG2474" s="54"/>
      <c r="FPH2474" s="54"/>
      <c r="FPI2474" s="60"/>
      <c r="FPJ2474" s="60"/>
      <c r="FPK2474" s="60"/>
      <c r="FPL2474" s="60"/>
      <c r="FPM2474" s="63"/>
      <c r="FPN2474" s="61"/>
      <c r="FPO2474" s="54"/>
      <c r="FPP2474" s="54"/>
      <c r="FPQ2474" s="60"/>
      <c r="FPR2474" s="60"/>
      <c r="FPS2474" s="60"/>
      <c r="FPT2474" s="60"/>
      <c r="FPU2474" s="63"/>
      <c r="FPV2474" s="61"/>
      <c r="FPW2474" s="54"/>
      <c r="FPX2474" s="54"/>
      <c r="FPY2474" s="60"/>
      <c r="FPZ2474" s="60"/>
      <c r="FQA2474" s="60"/>
      <c r="FQB2474" s="60"/>
      <c r="FQC2474" s="63"/>
      <c r="FQD2474" s="61"/>
      <c r="FQE2474" s="54"/>
      <c r="FQF2474" s="54"/>
      <c r="FQG2474" s="60"/>
      <c r="FQH2474" s="60"/>
      <c r="FQI2474" s="60"/>
      <c r="FQJ2474" s="60"/>
      <c r="FQK2474" s="63"/>
      <c r="FQL2474" s="61"/>
      <c r="FQM2474" s="54"/>
      <c r="FQN2474" s="54"/>
      <c r="FQO2474" s="60"/>
      <c r="FQP2474" s="60"/>
      <c r="FQQ2474" s="60"/>
      <c r="FQR2474" s="60"/>
      <c r="FQS2474" s="63"/>
      <c r="FQT2474" s="61"/>
      <c r="FQU2474" s="54"/>
      <c r="FQV2474" s="54"/>
      <c r="FQW2474" s="60"/>
      <c r="FQX2474" s="60"/>
      <c r="FQY2474" s="60"/>
      <c r="FQZ2474" s="60"/>
      <c r="FRA2474" s="63"/>
      <c r="FRB2474" s="61"/>
      <c r="FRC2474" s="54"/>
      <c r="FRD2474" s="54"/>
      <c r="FRE2474" s="60"/>
      <c r="FRF2474" s="60"/>
      <c r="FRG2474" s="60"/>
      <c r="FRH2474" s="60"/>
      <c r="FRI2474" s="63"/>
      <c r="FRJ2474" s="61"/>
      <c r="FRK2474" s="54"/>
      <c r="FRL2474" s="54"/>
      <c r="FRM2474" s="60"/>
      <c r="FRN2474" s="60"/>
      <c r="FRO2474" s="60"/>
      <c r="FRP2474" s="60"/>
      <c r="FRQ2474" s="63"/>
      <c r="FRR2474" s="61"/>
      <c r="FRS2474" s="54"/>
      <c r="FRT2474" s="54"/>
      <c r="FRU2474" s="60"/>
      <c r="FRV2474" s="60"/>
      <c r="FRW2474" s="60"/>
      <c r="FRX2474" s="60"/>
      <c r="FRY2474" s="63"/>
      <c r="FRZ2474" s="61"/>
      <c r="FSA2474" s="54"/>
      <c r="FSB2474" s="54"/>
      <c r="FSC2474" s="60"/>
      <c r="FSD2474" s="60"/>
      <c r="FSE2474" s="60"/>
      <c r="FSF2474" s="60"/>
      <c r="FSG2474" s="63"/>
      <c r="FSH2474" s="61"/>
      <c r="FSI2474" s="54"/>
      <c r="FSJ2474" s="54"/>
      <c r="FSK2474" s="60"/>
      <c r="FSL2474" s="60"/>
      <c r="FSM2474" s="60"/>
      <c r="FSN2474" s="60"/>
      <c r="FSO2474" s="63"/>
      <c r="FSP2474" s="61"/>
      <c r="FSQ2474" s="54"/>
      <c r="FSR2474" s="54"/>
      <c r="FSS2474" s="60"/>
      <c r="FST2474" s="60"/>
      <c r="FSU2474" s="60"/>
      <c r="FSV2474" s="60"/>
      <c r="FSW2474" s="63"/>
      <c r="FSX2474" s="61"/>
      <c r="FSY2474" s="54"/>
      <c r="FSZ2474" s="54"/>
      <c r="FTA2474" s="60"/>
      <c r="FTB2474" s="60"/>
      <c r="FTC2474" s="60"/>
      <c r="FTD2474" s="60"/>
      <c r="FTE2474" s="63"/>
      <c r="FTF2474" s="61"/>
      <c r="FTG2474" s="54"/>
      <c r="FTH2474" s="54"/>
      <c r="FTI2474" s="60"/>
      <c r="FTJ2474" s="60"/>
      <c r="FTK2474" s="60"/>
      <c r="FTL2474" s="60"/>
      <c r="FTM2474" s="63"/>
      <c r="FTN2474" s="61"/>
      <c r="FTO2474" s="54"/>
      <c r="FTP2474" s="54"/>
      <c r="FTQ2474" s="60"/>
      <c r="FTR2474" s="60"/>
      <c r="FTS2474" s="60"/>
      <c r="FTT2474" s="60"/>
      <c r="FTU2474" s="63"/>
      <c r="FTV2474" s="61"/>
      <c r="FTW2474" s="54"/>
      <c r="FTX2474" s="54"/>
      <c r="FTY2474" s="60"/>
      <c r="FTZ2474" s="60"/>
      <c r="FUA2474" s="60"/>
      <c r="FUB2474" s="60"/>
      <c r="FUC2474" s="63"/>
      <c r="FUD2474" s="61"/>
      <c r="FUE2474" s="54"/>
      <c r="FUF2474" s="54"/>
      <c r="FUG2474" s="60"/>
      <c r="FUH2474" s="60"/>
      <c r="FUI2474" s="60"/>
      <c r="FUJ2474" s="60"/>
      <c r="FUK2474" s="63"/>
      <c r="FUL2474" s="61"/>
      <c r="FUM2474" s="54"/>
      <c r="FUN2474" s="54"/>
      <c r="FUO2474" s="60"/>
      <c r="FUP2474" s="60"/>
      <c r="FUQ2474" s="60"/>
      <c r="FUR2474" s="60"/>
      <c r="FUS2474" s="63"/>
      <c r="FUT2474" s="61"/>
      <c r="FUU2474" s="54"/>
      <c r="FUV2474" s="54"/>
      <c r="FUW2474" s="60"/>
      <c r="FUX2474" s="60"/>
      <c r="FUY2474" s="60"/>
      <c r="FUZ2474" s="60"/>
      <c r="FVA2474" s="63"/>
      <c r="FVB2474" s="61"/>
      <c r="FVC2474" s="54"/>
      <c r="FVD2474" s="54"/>
      <c r="FVE2474" s="60"/>
      <c r="FVF2474" s="60"/>
      <c r="FVG2474" s="60"/>
      <c r="FVH2474" s="60"/>
      <c r="FVI2474" s="63"/>
      <c r="FVJ2474" s="61"/>
      <c r="FVK2474" s="54"/>
      <c r="FVL2474" s="54"/>
      <c r="FVM2474" s="60"/>
      <c r="FVN2474" s="60"/>
      <c r="FVO2474" s="60"/>
      <c r="FVP2474" s="60"/>
      <c r="FVQ2474" s="63"/>
      <c r="FVR2474" s="61"/>
      <c r="FVS2474" s="54"/>
      <c r="FVT2474" s="54"/>
      <c r="FVU2474" s="60"/>
      <c r="FVV2474" s="60"/>
      <c r="FVW2474" s="60"/>
      <c r="FVX2474" s="60"/>
      <c r="FVY2474" s="63"/>
      <c r="FVZ2474" s="61"/>
      <c r="FWA2474" s="54"/>
      <c r="FWB2474" s="54"/>
      <c r="FWC2474" s="60"/>
      <c r="FWD2474" s="60"/>
      <c r="FWE2474" s="60"/>
      <c r="FWF2474" s="60"/>
      <c r="FWG2474" s="63"/>
      <c r="FWH2474" s="61"/>
      <c r="FWI2474" s="54"/>
      <c r="FWJ2474" s="54"/>
      <c r="FWK2474" s="60"/>
      <c r="FWL2474" s="60"/>
      <c r="FWM2474" s="60"/>
      <c r="FWN2474" s="60"/>
      <c r="FWO2474" s="63"/>
      <c r="FWP2474" s="61"/>
      <c r="FWQ2474" s="54"/>
      <c r="FWR2474" s="54"/>
      <c r="FWS2474" s="60"/>
      <c r="FWT2474" s="60"/>
      <c r="FWU2474" s="60"/>
      <c r="FWV2474" s="60"/>
      <c r="FWW2474" s="63"/>
      <c r="FWX2474" s="61"/>
      <c r="FWY2474" s="54"/>
      <c r="FWZ2474" s="54"/>
      <c r="FXA2474" s="60"/>
      <c r="FXB2474" s="60"/>
      <c r="FXC2474" s="60"/>
      <c r="FXD2474" s="60"/>
      <c r="FXE2474" s="63"/>
      <c r="FXF2474" s="61"/>
      <c r="FXG2474" s="54"/>
      <c r="FXH2474" s="54"/>
      <c r="FXI2474" s="60"/>
      <c r="FXJ2474" s="60"/>
      <c r="FXK2474" s="60"/>
      <c r="FXL2474" s="60"/>
      <c r="FXM2474" s="63"/>
      <c r="FXN2474" s="61"/>
      <c r="FXO2474" s="54"/>
      <c r="FXP2474" s="54"/>
      <c r="FXQ2474" s="60"/>
      <c r="FXR2474" s="60"/>
      <c r="FXS2474" s="60"/>
      <c r="FXT2474" s="60"/>
      <c r="FXU2474" s="63"/>
      <c r="FXV2474" s="61"/>
      <c r="FXW2474" s="54"/>
      <c r="FXX2474" s="54"/>
      <c r="FXY2474" s="60"/>
      <c r="FXZ2474" s="60"/>
      <c r="FYA2474" s="60"/>
      <c r="FYB2474" s="60"/>
      <c r="FYC2474" s="63"/>
      <c r="FYD2474" s="61"/>
      <c r="FYE2474" s="54"/>
      <c r="FYF2474" s="54"/>
      <c r="FYG2474" s="60"/>
      <c r="FYH2474" s="60"/>
      <c r="FYI2474" s="60"/>
      <c r="FYJ2474" s="60"/>
      <c r="FYK2474" s="63"/>
      <c r="FYL2474" s="61"/>
      <c r="FYM2474" s="54"/>
      <c r="FYN2474" s="54"/>
      <c r="FYO2474" s="60"/>
      <c r="FYP2474" s="60"/>
      <c r="FYQ2474" s="60"/>
      <c r="FYR2474" s="60"/>
      <c r="FYS2474" s="63"/>
      <c r="FYT2474" s="61"/>
      <c r="FYU2474" s="54"/>
      <c r="FYV2474" s="54"/>
      <c r="FYW2474" s="60"/>
      <c r="FYX2474" s="60"/>
      <c r="FYY2474" s="60"/>
      <c r="FYZ2474" s="60"/>
      <c r="FZA2474" s="63"/>
      <c r="FZB2474" s="61"/>
      <c r="FZC2474" s="54"/>
      <c r="FZD2474" s="54"/>
      <c r="FZE2474" s="60"/>
      <c r="FZF2474" s="60"/>
      <c r="FZG2474" s="60"/>
      <c r="FZH2474" s="60"/>
      <c r="FZI2474" s="63"/>
      <c r="FZJ2474" s="61"/>
      <c r="FZK2474" s="54"/>
      <c r="FZL2474" s="54"/>
      <c r="FZM2474" s="60"/>
      <c r="FZN2474" s="60"/>
      <c r="FZO2474" s="60"/>
      <c r="FZP2474" s="60"/>
      <c r="FZQ2474" s="63"/>
      <c r="FZR2474" s="61"/>
      <c r="FZS2474" s="54"/>
      <c r="FZT2474" s="54"/>
      <c r="FZU2474" s="60"/>
      <c r="FZV2474" s="60"/>
      <c r="FZW2474" s="60"/>
      <c r="FZX2474" s="60"/>
      <c r="FZY2474" s="63"/>
      <c r="FZZ2474" s="61"/>
      <c r="GAA2474" s="54"/>
      <c r="GAB2474" s="54"/>
      <c r="GAC2474" s="60"/>
      <c r="GAD2474" s="60"/>
      <c r="GAE2474" s="60"/>
      <c r="GAF2474" s="60"/>
      <c r="GAG2474" s="63"/>
      <c r="GAH2474" s="61"/>
      <c r="GAI2474" s="54"/>
      <c r="GAJ2474" s="54"/>
      <c r="GAK2474" s="60"/>
      <c r="GAL2474" s="60"/>
      <c r="GAM2474" s="60"/>
      <c r="GAN2474" s="60"/>
      <c r="GAO2474" s="63"/>
      <c r="GAP2474" s="61"/>
      <c r="GAQ2474" s="54"/>
      <c r="GAR2474" s="54"/>
      <c r="GAS2474" s="60"/>
      <c r="GAT2474" s="60"/>
      <c r="GAU2474" s="60"/>
      <c r="GAV2474" s="60"/>
      <c r="GAW2474" s="63"/>
      <c r="GAX2474" s="61"/>
      <c r="GAY2474" s="54"/>
      <c r="GAZ2474" s="54"/>
      <c r="GBA2474" s="60"/>
      <c r="GBB2474" s="60"/>
      <c r="GBC2474" s="60"/>
      <c r="GBD2474" s="60"/>
      <c r="GBE2474" s="63"/>
      <c r="GBF2474" s="61"/>
      <c r="GBG2474" s="54"/>
      <c r="GBH2474" s="54"/>
      <c r="GBI2474" s="60"/>
      <c r="GBJ2474" s="60"/>
      <c r="GBK2474" s="60"/>
      <c r="GBL2474" s="60"/>
      <c r="GBM2474" s="63"/>
      <c r="GBN2474" s="61"/>
      <c r="GBO2474" s="54"/>
      <c r="GBP2474" s="54"/>
      <c r="GBQ2474" s="60"/>
      <c r="GBR2474" s="60"/>
      <c r="GBS2474" s="60"/>
      <c r="GBT2474" s="60"/>
      <c r="GBU2474" s="63"/>
      <c r="GBV2474" s="61"/>
      <c r="GBW2474" s="54"/>
      <c r="GBX2474" s="54"/>
      <c r="GBY2474" s="60"/>
      <c r="GBZ2474" s="60"/>
      <c r="GCA2474" s="60"/>
      <c r="GCB2474" s="60"/>
      <c r="GCC2474" s="63"/>
      <c r="GCD2474" s="61"/>
      <c r="GCE2474" s="54"/>
      <c r="GCF2474" s="54"/>
      <c r="GCG2474" s="60"/>
      <c r="GCH2474" s="60"/>
      <c r="GCI2474" s="60"/>
      <c r="GCJ2474" s="60"/>
      <c r="GCK2474" s="63"/>
      <c r="GCL2474" s="61"/>
      <c r="GCM2474" s="54"/>
      <c r="GCN2474" s="54"/>
      <c r="GCO2474" s="60"/>
      <c r="GCP2474" s="60"/>
      <c r="GCQ2474" s="60"/>
      <c r="GCR2474" s="60"/>
      <c r="GCS2474" s="63"/>
      <c r="GCT2474" s="61"/>
      <c r="GCU2474" s="54"/>
      <c r="GCV2474" s="54"/>
      <c r="GCW2474" s="60"/>
      <c r="GCX2474" s="60"/>
      <c r="GCY2474" s="60"/>
      <c r="GCZ2474" s="60"/>
      <c r="GDA2474" s="63"/>
      <c r="GDB2474" s="61"/>
      <c r="GDC2474" s="54"/>
      <c r="GDD2474" s="54"/>
      <c r="GDE2474" s="60"/>
      <c r="GDF2474" s="60"/>
      <c r="GDG2474" s="60"/>
      <c r="GDH2474" s="60"/>
      <c r="GDI2474" s="63"/>
      <c r="GDJ2474" s="61"/>
      <c r="GDK2474" s="54"/>
      <c r="GDL2474" s="54"/>
      <c r="GDM2474" s="60"/>
      <c r="GDN2474" s="60"/>
      <c r="GDO2474" s="60"/>
      <c r="GDP2474" s="60"/>
      <c r="GDQ2474" s="63"/>
      <c r="GDR2474" s="61"/>
      <c r="GDS2474" s="54"/>
      <c r="GDT2474" s="54"/>
      <c r="GDU2474" s="60"/>
      <c r="GDV2474" s="60"/>
      <c r="GDW2474" s="60"/>
      <c r="GDX2474" s="60"/>
      <c r="GDY2474" s="63"/>
      <c r="GDZ2474" s="61"/>
      <c r="GEA2474" s="54"/>
      <c r="GEB2474" s="54"/>
      <c r="GEC2474" s="60"/>
      <c r="GED2474" s="60"/>
      <c r="GEE2474" s="60"/>
      <c r="GEF2474" s="60"/>
      <c r="GEG2474" s="63"/>
      <c r="GEH2474" s="61"/>
      <c r="GEI2474" s="54"/>
      <c r="GEJ2474" s="54"/>
      <c r="GEK2474" s="60"/>
      <c r="GEL2474" s="60"/>
      <c r="GEM2474" s="60"/>
      <c r="GEN2474" s="60"/>
      <c r="GEO2474" s="63"/>
      <c r="GEP2474" s="61"/>
      <c r="GEQ2474" s="54"/>
      <c r="GER2474" s="54"/>
      <c r="GES2474" s="60"/>
      <c r="GET2474" s="60"/>
      <c r="GEU2474" s="60"/>
      <c r="GEV2474" s="60"/>
      <c r="GEW2474" s="63"/>
      <c r="GEX2474" s="61"/>
      <c r="GEY2474" s="54"/>
      <c r="GEZ2474" s="54"/>
      <c r="GFA2474" s="60"/>
      <c r="GFB2474" s="60"/>
      <c r="GFC2474" s="60"/>
      <c r="GFD2474" s="60"/>
      <c r="GFE2474" s="63"/>
      <c r="GFF2474" s="61"/>
      <c r="GFG2474" s="54"/>
      <c r="GFH2474" s="54"/>
      <c r="GFI2474" s="60"/>
      <c r="GFJ2474" s="60"/>
      <c r="GFK2474" s="60"/>
      <c r="GFL2474" s="60"/>
      <c r="GFM2474" s="63"/>
      <c r="GFN2474" s="61"/>
      <c r="GFO2474" s="54"/>
      <c r="GFP2474" s="54"/>
      <c r="GFQ2474" s="60"/>
      <c r="GFR2474" s="60"/>
      <c r="GFS2474" s="60"/>
      <c r="GFT2474" s="60"/>
      <c r="GFU2474" s="63"/>
      <c r="GFV2474" s="61"/>
      <c r="GFW2474" s="54"/>
      <c r="GFX2474" s="54"/>
      <c r="GFY2474" s="60"/>
      <c r="GFZ2474" s="60"/>
      <c r="GGA2474" s="60"/>
      <c r="GGB2474" s="60"/>
      <c r="GGC2474" s="63"/>
      <c r="GGD2474" s="61"/>
      <c r="GGE2474" s="54"/>
      <c r="GGF2474" s="54"/>
      <c r="GGG2474" s="60"/>
      <c r="GGH2474" s="60"/>
      <c r="GGI2474" s="60"/>
      <c r="GGJ2474" s="60"/>
      <c r="GGK2474" s="63"/>
      <c r="GGL2474" s="61"/>
      <c r="GGM2474" s="54"/>
      <c r="GGN2474" s="54"/>
      <c r="GGO2474" s="60"/>
      <c r="GGP2474" s="60"/>
      <c r="GGQ2474" s="60"/>
      <c r="GGR2474" s="60"/>
      <c r="GGS2474" s="63"/>
      <c r="GGT2474" s="61"/>
      <c r="GGU2474" s="54"/>
      <c r="GGV2474" s="54"/>
      <c r="GGW2474" s="60"/>
      <c r="GGX2474" s="60"/>
      <c r="GGY2474" s="60"/>
      <c r="GGZ2474" s="60"/>
      <c r="GHA2474" s="63"/>
      <c r="GHB2474" s="61"/>
      <c r="GHC2474" s="54"/>
      <c r="GHD2474" s="54"/>
      <c r="GHE2474" s="60"/>
      <c r="GHF2474" s="60"/>
      <c r="GHG2474" s="60"/>
      <c r="GHH2474" s="60"/>
      <c r="GHI2474" s="63"/>
      <c r="GHJ2474" s="61"/>
      <c r="GHK2474" s="54"/>
      <c r="GHL2474" s="54"/>
      <c r="GHM2474" s="60"/>
      <c r="GHN2474" s="60"/>
      <c r="GHO2474" s="60"/>
      <c r="GHP2474" s="60"/>
      <c r="GHQ2474" s="63"/>
      <c r="GHR2474" s="61"/>
      <c r="GHS2474" s="54"/>
      <c r="GHT2474" s="54"/>
      <c r="GHU2474" s="60"/>
      <c r="GHV2474" s="60"/>
      <c r="GHW2474" s="60"/>
      <c r="GHX2474" s="60"/>
      <c r="GHY2474" s="63"/>
      <c r="GHZ2474" s="61"/>
      <c r="GIA2474" s="54"/>
      <c r="GIB2474" s="54"/>
      <c r="GIC2474" s="60"/>
      <c r="GID2474" s="60"/>
      <c r="GIE2474" s="60"/>
      <c r="GIF2474" s="60"/>
      <c r="GIG2474" s="63"/>
      <c r="GIH2474" s="61"/>
      <c r="GII2474" s="54"/>
      <c r="GIJ2474" s="54"/>
      <c r="GIK2474" s="60"/>
      <c r="GIL2474" s="60"/>
      <c r="GIM2474" s="60"/>
      <c r="GIN2474" s="60"/>
      <c r="GIO2474" s="63"/>
      <c r="GIP2474" s="61"/>
      <c r="GIQ2474" s="54"/>
      <c r="GIR2474" s="54"/>
      <c r="GIS2474" s="60"/>
      <c r="GIT2474" s="60"/>
      <c r="GIU2474" s="60"/>
      <c r="GIV2474" s="60"/>
      <c r="GIW2474" s="63"/>
      <c r="GIX2474" s="61"/>
      <c r="GIY2474" s="54"/>
      <c r="GIZ2474" s="54"/>
      <c r="GJA2474" s="60"/>
      <c r="GJB2474" s="60"/>
      <c r="GJC2474" s="60"/>
      <c r="GJD2474" s="60"/>
      <c r="GJE2474" s="63"/>
      <c r="GJF2474" s="61"/>
      <c r="GJG2474" s="54"/>
      <c r="GJH2474" s="54"/>
      <c r="GJI2474" s="60"/>
      <c r="GJJ2474" s="60"/>
      <c r="GJK2474" s="60"/>
      <c r="GJL2474" s="60"/>
      <c r="GJM2474" s="63"/>
      <c r="GJN2474" s="61"/>
      <c r="GJO2474" s="54"/>
      <c r="GJP2474" s="54"/>
      <c r="GJQ2474" s="60"/>
      <c r="GJR2474" s="60"/>
      <c r="GJS2474" s="60"/>
      <c r="GJT2474" s="60"/>
      <c r="GJU2474" s="63"/>
      <c r="GJV2474" s="61"/>
      <c r="GJW2474" s="54"/>
      <c r="GJX2474" s="54"/>
      <c r="GJY2474" s="60"/>
      <c r="GJZ2474" s="60"/>
      <c r="GKA2474" s="60"/>
      <c r="GKB2474" s="60"/>
      <c r="GKC2474" s="63"/>
      <c r="GKD2474" s="61"/>
      <c r="GKE2474" s="54"/>
      <c r="GKF2474" s="54"/>
      <c r="GKG2474" s="60"/>
      <c r="GKH2474" s="60"/>
      <c r="GKI2474" s="60"/>
      <c r="GKJ2474" s="60"/>
      <c r="GKK2474" s="63"/>
      <c r="GKL2474" s="61"/>
      <c r="GKM2474" s="54"/>
      <c r="GKN2474" s="54"/>
      <c r="GKO2474" s="60"/>
      <c r="GKP2474" s="60"/>
      <c r="GKQ2474" s="60"/>
      <c r="GKR2474" s="60"/>
      <c r="GKS2474" s="63"/>
      <c r="GKT2474" s="61"/>
      <c r="GKU2474" s="54"/>
      <c r="GKV2474" s="54"/>
      <c r="GKW2474" s="60"/>
      <c r="GKX2474" s="60"/>
      <c r="GKY2474" s="60"/>
      <c r="GKZ2474" s="60"/>
      <c r="GLA2474" s="63"/>
      <c r="GLB2474" s="61"/>
      <c r="GLC2474" s="54"/>
      <c r="GLD2474" s="54"/>
      <c r="GLE2474" s="60"/>
      <c r="GLF2474" s="60"/>
      <c r="GLG2474" s="60"/>
      <c r="GLH2474" s="60"/>
      <c r="GLI2474" s="63"/>
      <c r="GLJ2474" s="61"/>
      <c r="GLK2474" s="54"/>
      <c r="GLL2474" s="54"/>
      <c r="GLM2474" s="60"/>
      <c r="GLN2474" s="60"/>
      <c r="GLO2474" s="60"/>
      <c r="GLP2474" s="60"/>
      <c r="GLQ2474" s="63"/>
      <c r="GLR2474" s="61"/>
      <c r="GLS2474" s="54"/>
      <c r="GLT2474" s="54"/>
      <c r="GLU2474" s="60"/>
      <c r="GLV2474" s="60"/>
      <c r="GLW2474" s="60"/>
      <c r="GLX2474" s="60"/>
      <c r="GLY2474" s="63"/>
      <c r="GLZ2474" s="61"/>
      <c r="GMA2474" s="54"/>
      <c r="GMB2474" s="54"/>
      <c r="GMC2474" s="60"/>
      <c r="GMD2474" s="60"/>
      <c r="GME2474" s="60"/>
      <c r="GMF2474" s="60"/>
      <c r="GMG2474" s="63"/>
      <c r="GMH2474" s="61"/>
      <c r="GMI2474" s="54"/>
      <c r="GMJ2474" s="54"/>
      <c r="GMK2474" s="60"/>
      <c r="GML2474" s="60"/>
      <c r="GMM2474" s="60"/>
      <c r="GMN2474" s="60"/>
      <c r="GMO2474" s="63"/>
      <c r="GMP2474" s="61"/>
      <c r="GMQ2474" s="54"/>
      <c r="GMR2474" s="54"/>
      <c r="GMS2474" s="60"/>
      <c r="GMT2474" s="60"/>
      <c r="GMU2474" s="60"/>
      <c r="GMV2474" s="60"/>
      <c r="GMW2474" s="63"/>
      <c r="GMX2474" s="61"/>
      <c r="GMY2474" s="54"/>
      <c r="GMZ2474" s="54"/>
      <c r="GNA2474" s="60"/>
      <c r="GNB2474" s="60"/>
      <c r="GNC2474" s="60"/>
      <c r="GND2474" s="60"/>
      <c r="GNE2474" s="63"/>
      <c r="GNF2474" s="61"/>
      <c r="GNG2474" s="54"/>
      <c r="GNH2474" s="54"/>
      <c r="GNI2474" s="60"/>
      <c r="GNJ2474" s="60"/>
      <c r="GNK2474" s="60"/>
      <c r="GNL2474" s="60"/>
      <c r="GNM2474" s="63"/>
      <c r="GNN2474" s="61"/>
      <c r="GNO2474" s="54"/>
      <c r="GNP2474" s="54"/>
      <c r="GNQ2474" s="60"/>
      <c r="GNR2474" s="60"/>
      <c r="GNS2474" s="60"/>
      <c r="GNT2474" s="60"/>
      <c r="GNU2474" s="63"/>
      <c r="GNV2474" s="61"/>
      <c r="GNW2474" s="54"/>
      <c r="GNX2474" s="54"/>
      <c r="GNY2474" s="60"/>
      <c r="GNZ2474" s="60"/>
      <c r="GOA2474" s="60"/>
      <c r="GOB2474" s="60"/>
      <c r="GOC2474" s="63"/>
      <c r="GOD2474" s="61"/>
      <c r="GOE2474" s="54"/>
      <c r="GOF2474" s="54"/>
      <c r="GOG2474" s="60"/>
      <c r="GOH2474" s="60"/>
      <c r="GOI2474" s="60"/>
      <c r="GOJ2474" s="60"/>
      <c r="GOK2474" s="63"/>
      <c r="GOL2474" s="61"/>
      <c r="GOM2474" s="54"/>
      <c r="GON2474" s="54"/>
      <c r="GOO2474" s="60"/>
      <c r="GOP2474" s="60"/>
      <c r="GOQ2474" s="60"/>
      <c r="GOR2474" s="60"/>
      <c r="GOS2474" s="63"/>
      <c r="GOT2474" s="61"/>
      <c r="GOU2474" s="54"/>
      <c r="GOV2474" s="54"/>
      <c r="GOW2474" s="60"/>
      <c r="GOX2474" s="60"/>
      <c r="GOY2474" s="60"/>
      <c r="GOZ2474" s="60"/>
      <c r="GPA2474" s="63"/>
      <c r="GPB2474" s="61"/>
      <c r="GPC2474" s="54"/>
      <c r="GPD2474" s="54"/>
      <c r="GPE2474" s="60"/>
      <c r="GPF2474" s="60"/>
      <c r="GPG2474" s="60"/>
      <c r="GPH2474" s="60"/>
      <c r="GPI2474" s="63"/>
      <c r="GPJ2474" s="61"/>
      <c r="GPK2474" s="54"/>
      <c r="GPL2474" s="54"/>
      <c r="GPM2474" s="60"/>
      <c r="GPN2474" s="60"/>
      <c r="GPO2474" s="60"/>
      <c r="GPP2474" s="60"/>
      <c r="GPQ2474" s="63"/>
      <c r="GPR2474" s="61"/>
      <c r="GPS2474" s="54"/>
      <c r="GPT2474" s="54"/>
      <c r="GPU2474" s="60"/>
      <c r="GPV2474" s="60"/>
      <c r="GPW2474" s="60"/>
      <c r="GPX2474" s="60"/>
      <c r="GPY2474" s="63"/>
      <c r="GPZ2474" s="61"/>
      <c r="GQA2474" s="54"/>
      <c r="GQB2474" s="54"/>
      <c r="GQC2474" s="60"/>
      <c r="GQD2474" s="60"/>
      <c r="GQE2474" s="60"/>
      <c r="GQF2474" s="60"/>
      <c r="GQG2474" s="63"/>
      <c r="GQH2474" s="61"/>
      <c r="GQI2474" s="54"/>
      <c r="GQJ2474" s="54"/>
      <c r="GQK2474" s="60"/>
      <c r="GQL2474" s="60"/>
      <c r="GQM2474" s="60"/>
      <c r="GQN2474" s="60"/>
      <c r="GQO2474" s="63"/>
      <c r="GQP2474" s="61"/>
      <c r="GQQ2474" s="54"/>
      <c r="GQR2474" s="54"/>
      <c r="GQS2474" s="60"/>
      <c r="GQT2474" s="60"/>
      <c r="GQU2474" s="60"/>
      <c r="GQV2474" s="60"/>
      <c r="GQW2474" s="63"/>
      <c r="GQX2474" s="61"/>
      <c r="GQY2474" s="54"/>
      <c r="GQZ2474" s="54"/>
      <c r="GRA2474" s="60"/>
      <c r="GRB2474" s="60"/>
      <c r="GRC2474" s="60"/>
      <c r="GRD2474" s="60"/>
      <c r="GRE2474" s="63"/>
      <c r="GRF2474" s="61"/>
      <c r="GRG2474" s="54"/>
      <c r="GRH2474" s="54"/>
      <c r="GRI2474" s="60"/>
      <c r="GRJ2474" s="60"/>
      <c r="GRK2474" s="60"/>
      <c r="GRL2474" s="60"/>
      <c r="GRM2474" s="63"/>
      <c r="GRN2474" s="61"/>
      <c r="GRO2474" s="54"/>
      <c r="GRP2474" s="54"/>
      <c r="GRQ2474" s="60"/>
      <c r="GRR2474" s="60"/>
      <c r="GRS2474" s="60"/>
      <c r="GRT2474" s="60"/>
      <c r="GRU2474" s="63"/>
      <c r="GRV2474" s="61"/>
      <c r="GRW2474" s="54"/>
      <c r="GRX2474" s="54"/>
      <c r="GRY2474" s="60"/>
      <c r="GRZ2474" s="60"/>
      <c r="GSA2474" s="60"/>
      <c r="GSB2474" s="60"/>
      <c r="GSC2474" s="63"/>
      <c r="GSD2474" s="61"/>
      <c r="GSE2474" s="54"/>
      <c r="GSF2474" s="54"/>
      <c r="GSG2474" s="60"/>
      <c r="GSH2474" s="60"/>
      <c r="GSI2474" s="60"/>
      <c r="GSJ2474" s="60"/>
      <c r="GSK2474" s="63"/>
      <c r="GSL2474" s="61"/>
      <c r="GSM2474" s="54"/>
      <c r="GSN2474" s="54"/>
      <c r="GSO2474" s="60"/>
      <c r="GSP2474" s="60"/>
      <c r="GSQ2474" s="60"/>
      <c r="GSR2474" s="60"/>
      <c r="GSS2474" s="63"/>
      <c r="GST2474" s="61"/>
      <c r="GSU2474" s="54"/>
      <c r="GSV2474" s="54"/>
      <c r="GSW2474" s="60"/>
      <c r="GSX2474" s="60"/>
      <c r="GSY2474" s="60"/>
      <c r="GSZ2474" s="60"/>
      <c r="GTA2474" s="63"/>
      <c r="GTB2474" s="61"/>
      <c r="GTC2474" s="54"/>
      <c r="GTD2474" s="54"/>
      <c r="GTE2474" s="60"/>
      <c r="GTF2474" s="60"/>
      <c r="GTG2474" s="60"/>
      <c r="GTH2474" s="60"/>
      <c r="GTI2474" s="63"/>
      <c r="GTJ2474" s="61"/>
      <c r="GTK2474" s="54"/>
      <c r="GTL2474" s="54"/>
      <c r="GTM2474" s="60"/>
      <c r="GTN2474" s="60"/>
      <c r="GTO2474" s="60"/>
      <c r="GTP2474" s="60"/>
      <c r="GTQ2474" s="63"/>
      <c r="GTR2474" s="61"/>
      <c r="GTS2474" s="54"/>
      <c r="GTT2474" s="54"/>
      <c r="GTU2474" s="60"/>
      <c r="GTV2474" s="60"/>
      <c r="GTW2474" s="60"/>
      <c r="GTX2474" s="60"/>
      <c r="GTY2474" s="63"/>
      <c r="GTZ2474" s="61"/>
      <c r="GUA2474" s="54"/>
      <c r="GUB2474" s="54"/>
      <c r="GUC2474" s="60"/>
      <c r="GUD2474" s="60"/>
      <c r="GUE2474" s="60"/>
      <c r="GUF2474" s="60"/>
      <c r="GUG2474" s="63"/>
      <c r="GUH2474" s="61"/>
      <c r="GUI2474" s="54"/>
      <c r="GUJ2474" s="54"/>
      <c r="GUK2474" s="60"/>
      <c r="GUL2474" s="60"/>
      <c r="GUM2474" s="60"/>
      <c r="GUN2474" s="60"/>
      <c r="GUO2474" s="63"/>
      <c r="GUP2474" s="61"/>
      <c r="GUQ2474" s="54"/>
      <c r="GUR2474" s="54"/>
      <c r="GUS2474" s="60"/>
      <c r="GUT2474" s="60"/>
      <c r="GUU2474" s="60"/>
      <c r="GUV2474" s="60"/>
      <c r="GUW2474" s="63"/>
      <c r="GUX2474" s="61"/>
      <c r="GUY2474" s="54"/>
      <c r="GUZ2474" s="54"/>
      <c r="GVA2474" s="60"/>
      <c r="GVB2474" s="60"/>
      <c r="GVC2474" s="60"/>
      <c r="GVD2474" s="60"/>
      <c r="GVE2474" s="63"/>
      <c r="GVF2474" s="61"/>
      <c r="GVG2474" s="54"/>
      <c r="GVH2474" s="54"/>
      <c r="GVI2474" s="60"/>
      <c r="GVJ2474" s="60"/>
      <c r="GVK2474" s="60"/>
      <c r="GVL2474" s="60"/>
      <c r="GVM2474" s="63"/>
      <c r="GVN2474" s="61"/>
      <c r="GVO2474" s="54"/>
      <c r="GVP2474" s="54"/>
      <c r="GVQ2474" s="60"/>
      <c r="GVR2474" s="60"/>
      <c r="GVS2474" s="60"/>
      <c r="GVT2474" s="60"/>
      <c r="GVU2474" s="63"/>
      <c r="GVV2474" s="61"/>
      <c r="GVW2474" s="54"/>
      <c r="GVX2474" s="54"/>
      <c r="GVY2474" s="60"/>
      <c r="GVZ2474" s="60"/>
      <c r="GWA2474" s="60"/>
      <c r="GWB2474" s="60"/>
      <c r="GWC2474" s="63"/>
      <c r="GWD2474" s="61"/>
      <c r="GWE2474" s="54"/>
      <c r="GWF2474" s="54"/>
      <c r="GWG2474" s="60"/>
      <c r="GWH2474" s="60"/>
      <c r="GWI2474" s="60"/>
      <c r="GWJ2474" s="60"/>
      <c r="GWK2474" s="63"/>
      <c r="GWL2474" s="61"/>
      <c r="GWM2474" s="54"/>
      <c r="GWN2474" s="54"/>
      <c r="GWO2474" s="60"/>
      <c r="GWP2474" s="60"/>
      <c r="GWQ2474" s="60"/>
      <c r="GWR2474" s="60"/>
      <c r="GWS2474" s="63"/>
      <c r="GWT2474" s="61"/>
      <c r="GWU2474" s="54"/>
      <c r="GWV2474" s="54"/>
      <c r="GWW2474" s="60"/>
      <c r="GWX2474" s="60"/>
      <c r="GWY2474" s="60"/>
      <c r="GWZ2474" s="60"/>
      <c r="GXA2474" s="63"/>
      <c r="GXB2474" s="61"/>
      <c r="GXC2474" s="54"/>
      <c r="GXD2474" s="54"/>
      <c r="GXE2474" s="60"/>
      <c r="GXF2474" s="60"/>
      <c r="GXG2474" s="60"/>
      <c r="GXH2474" s="60"/>
      <c r="GXI2474" s="63"/>
      <c r="GXJ2474" s="61"/>
      <c r="GXK2474" s="54"/>
      <c r="GXL2474" s="54"/>
      <c r="GXM2474" s="60"/>
      <c r="GXN2474" s="60"/>
      <c r="GXO2474" s="60"/>
      <c r="GXP2474" s="60"/>
      <c r="GXQ2474" s="63"/>
      <c r="GXR2474" s="61"/>
      <c r="GXS2474" s="54"/>
      <c r="GXT2474" s="54"/>
      <c r="GXU2474" s="60"/>
      <c r="GXV2474" s="60"/>
      <c r="GXW2474" s="60"/>
      <c r="GXX2474" s="60"/>
      <c r="GXY2474" s="63"/>
      <c r="GXZ2474" s="61"/>
      <c r="GYA2474" s="54"/>
      <c r="GYB2474" s="54"/>
      <c r="GYC2474" s="60"/>
      <c r="GYD2474" s="60"/>
      <c r="GYE2474" s="60"/>
      <c r="GYF2474" s="60"/>
      <c r="GYG2474" s="63"/>
      <c r="GYH2474" s="61"/>
      <c r="GYI2474" s="54"/>
      <c r="GYJ2474" s="54"/>
      <c r="GYK2474" s="60"/>
      <c r="GYL2474" s="60"/>
      <c r="GYM2474" s="60"/>
      <c r="GYN2474" s="60"/>
      <c r="GYO2474" s="63"/>
      <c r="GYP2474" s="61"/>
      <c r="GYQ2474" s="54"/>
      <c r="GYR2474" s="54"/>
      <c r="GYS2474" s="60"/>
      <c r="GYT2474" s="60"/>
      <c r="GYU2474" s="60"/>
      <c r="GYV2474" s="60"/>
      <c r="GYW2474" s="63"/>
      <c r="GYX2474" s="61"/>
      <c r="GYY2474" s="54"/>
      <c r="GYZ2474" s="54"/>
      <c r="GZA2474" s="60"/>
      <c r="GZB2474" s="60"/>
      <c r="GZC2474" s="60"/>
      <c r="GZD2474" s="60"/>
      <c r="GZE2474" s="63"/>
      <c r="GZF2474" s="61"/>
      <c r="GZG2474" s="54"/>
      <c r="GZH2474" s="54"/>
      <c r="GZI2474" s="60"/>
      <c r="GZJ2474" s="60"/>
      <c r="GZK2474" s="60"/>
      <c r="GZL2474" s="60"/>
      <c r="GZM2474" s="63"/>
      <c r="GZN2474" s="61"/>
      <c r="GZO2474" s="54"/>
      <c r="GZP2474" s="54"/>
      <c r="GZQ2474" s="60"/>
      <c r="GZR2474" s="60"/>
      <c r="GZS2474" s="60"/>
      <c r="GZT2474" s="60"/>
      <c r="GZU2474" s="63"/>
      <c r="GZV2474" s="61"/>
      <c r="GZW2474" s="54"/>
      <c r="GZX2474" s="54"/>
      <c r="GZY2474" s="60"/>
      <c r="GZZ2474" s="60"/>
      <c r="HAA2474" s="60"/>
      <c r="HAB2474" s="60"/>
      <c r="HAC2474" s="63"/>
      <c r="HAD2474" s="61"/>
      <c r="HAE2474" s="54"/>
      <c r="HAF2474" s="54"/>
      <c r="HAG2474" s="60"/>
      <c r="HAH2474" s="60"/>
      <c r="HAI2474" s="60"/>
      <c r="HAJ2474" s="60"/>
      <c r="HAK2474" s="63"/>
      <c r="HAL2474" s="61"/>
      <c r="HAM2474" s="54"/>
      <c r="HAN2474" s="54"/>
      <c r="HAO2474" s="60"/>
      <c r="HAP2474" s="60"/>
      <c r="HAQ2474" s="60"/>
      <c r="HAR2474" s="60"/>
      <c r="HAS2474" s="63"/>
      <c r="HAT2474" s="61"/>
      <c r="HAU2474" s="54"/>
      <c r="HAV2474" s="54"/>
      <c r="HAW2474" s="60"/>
      <c r="HAX2474" s="60"/>
      <c r="HAY2474" s="60"/>
      <c r="HAZ2474" s="60"/>
      <c r="HBA2474" s="63"/>
      <c r="HBB2474" s="61"/>
      <c r="HBC2474" s="54"/>
      <c r="HBD2474" s="54"/>
      <c r="HBE2474" s="60"/>
      <c r="HBF2474" s="60"/>
      <c r="HBG2474" s="60"/>
      <c r="HBH2474" s="60"/>
      <c r="HBI2474" s="63"/>
      <c r="HBJ2474" s="61"/>
      <c r="HBK2474" s="54"/>
      <c r="HBL2474" s="54"/>
      <c r="HBM2474" s="60"/>
      <c r="HBN2474" s="60"/>
      <c r="HBO2474" s="60"/>
      <c r="HBP2474" s="60"/>
      <c r="HBQ2474" s="63"/>
      <c r="HBR2474" s="61"/>
      <c r="HBS2474" s="54"/>
      <c r="HBT2474" s="54"/>
      <c r="HBU2474" s="60"/>
      <c r="HBV2474" s="60"/>
      <c r="HBW2474" s="60"/>
      <c r="HBX2474" s="60"/>
      <c r="HBY2474" s="63"/>
      <c r="HBZ2474" s="61"/>
      <c r="HCA2474" s="54"/>
      <c r="HCB2474" s="54"/>
      <c r="HCC2474" s="60"/>
      <c r="HCD2474" s="60"/>
      <c r="HCE2474" s="60"/>
      <c r="HCF2474" s="60"/>
      <c r="HCG2474" s="63"/>
      <c r="HCH2474" s="61"/>
      <c r="HCI2474" s="54"/>
      <c r="HCJ2474" s="54"/>
      <c r="HCK2474" s="60"/>
      <c r="HCL2474" s="60"/>
      <c r="HCM2474" s="60"/>
      <c r="HCN2474" s="60"/>
      <c r="HCO2474" s="63"/>
      <c r="HCP2474" s="61"/>
      <c r="HCQ2474" s="54"/>
      <c r="HCR2474" s="54"/>
      <c r="HCS2474" s="60"/>
      <c r="HCT2474" s="60"/>
      <c r="HCU2474" s="60"/>
      <c r="HCV2474" s="60"/>
      <c r="HCW2474" s="63"/>
      <c r="HCX2474" s="61"/>
      <c r="HCY2474" s="54"/>
      <c r="HCZ2474" s="54"/>
      <c r="HDA2474" s="60"/>
      <c r="HDB2474" s="60"/>
      <c r="HDC2474" s="60"/>
      <c r="HDD2474" s="60"/>
      <c r="HDE2474" s="63"/>
      <c r="HDF2474" s="61"/>
      <c r="HDG2474" s="54"/>
      <c r="HDH2474" s="54"/>
      <c r="HDI2474" s="60"/>
      <c r="HDJ2474" s="60"/>
      <c r="HDK2474" s="60"/>
      <c r="HDL2474" s="60"/>
      <c r="HDM2474" s="63"/>
      <c r="HDN2474" s="61"/>
      <c r="HDO2474" s="54"/>
      <c r="HDP2474" s="54"/>
      <c r="HDQ2474" s="60"/>
      <c r="HDR2474" s="60"/>
      <c r="HDS2474" s="60"/>
      <c r="HDT2474" s="60"/>
      <c r="HDU2474" s="63"/>
      <c r="HDV2474" s="61"/>
      <c r="HDW2474" s="54"/>
      <c r="HDX2474" s="54"/>
      <c r="HDY2474" s="60"/>
      <c r="HDZ2474" s="60"/>
      <c r="HEA2474" s="60"/>
      <c r="HEB2474" s="60"/>
      <c r="HEC2474" s="63"/>
      <c r="HED2474" s="61"/>
      <c r="HEE2474" s="54"/>
      <c r="HEF2474" s="54"/>
      <c r="HEG2474" s="60"/>
      <c r="HEH2474" s="60"/>
      <c r="HEI2474" s="60"/>
      <c r="HEJ2474" s="60"/>
      <c r="HEK2474" s="63"/>
      <c r="HEL2474" s="61"/>
      <c r="HEM2474" s="54"/>
      <c r="HEN2474" s="54"/>
      <c r="HEO2474" s="60"/>
      <c r="HEP2474" s="60"/>
      <c r="HEQ2474" s="60"/>
      <c r="HER2474" s="60"/>
      <c r="HES2474" s="63"/>
      <c r="HET2474" s="61"/>
      <c r="HEU2474" s="54"/>
      <c r="HEV2474" s="54"/>
      <c r="HEW2474" s="60"/>
      <c r="HEX2474" s="60"/>
      <c r="HEY2474" s="60"/>
      <c r="HEZ2474" s="60"/>
      <c r="HFA2474" s="63"/>
      <c r="HFB2474" s="61"/>
      <c r="HFC2474" s="54"/>
      <c r="HFD2474" s="54"/>
      <c r="HFE2474" s="60"/>
      <c r="HFF2474" s="60"/>
      <c r="HFG2474" s="60"/>
      <c r="HFH2474" s="60"/>
      <c r="HFI2474" s="63"/>
      <c r="HFJ2474" s="61"/>
      <c r="HFK2474" s="54"/>
      <c r="HFL2474" s="54"/>
      <c r="HFM2474" s="60"/>
      <c r="HFN2474" s="60"/>
      <c r="HFO2474" s="60"/>
      <c r="HFP2474" s="60"/>
      <c r="HFQ2474" s="63"/>
      <c r="HFR2474" s="61"/>
      <c r="HFS2474" s="54"/>
      <c r="HFT2474" s="54"/>
      <c r="HFU2474" s="60"/>
      <c r="HFV2474" s="60"/>
      <c r="HFW2474" s="60"/>
      <c r="HFX2474" s="60"/>
      <c r="HFY2474" s="63"/>
      <c r="HFZ2474" s="61"/>
      <c r="HGA2474" s="54"/>
      <c r="HGB2474" s="54"/>
      <c r="HGC2474" s="60"/>
      <c r="HGD2474" s="60"/>
      <c r="HGE2474" s="60"/>
      <c r="HGF2474" s="60"/>
      <c r="HGG2474" s="63"/>
      <c r="HGH2474" s="61"/>
      <c r="HGI2474" s="54"/>
      <c r="HGJ2474" s="54"/>
      <c r="HGK2474" s="60"/>
      <c r="HGL2474" s="60"/>
      <c r="HGM2474" s="60"/>
      <c r="HGN2474" s="60"/>
      <c r="HGO2474" s="63"/>
      <c r="HGP2474" s="61"/>
      <c r="HGQ2474" s="54"/>
      <c r="HGR2474" s="54"/>
      <c r="HGS2474" s="60"/>
      <c r="HGT2474" s="60"/>
      <c r="HGU2474" s="60"/>
      <c r="HGV2474" s="60"/>
      <c r="HGW2474" s="63"/>
      <c r="HGX2474" s="61"/>
      <c r="HGY2474" s="54"/>
      <c r="HGZ2474" s="54"/>
      <c r="HHA2474" s="60"/>
      <c r="HHB2474" s="60"/>
      <c r="HHC2474" s="60"/>
      <c r="HHD2474" s="60"/>
      <c r="HHE2474" s="63"/>
      <c r="HHF2474" s="61"/>
      <c r="HHG2474" s="54"/>
      <c r="HHH2474" s="54"/>
      <c r="HHI2474" s="60"/>
      <c r="HHJ2474" s="60"/>
      <c r="HHK2474" s="60"/>
      <c r="HHL2474" s="60"/>
      <c r="HHM2474" s="63"/>
      <c r="HHN2474" s="61"/>
      <c r="HHO2474" s="54"/>
      <c r="HHP2474" s="54"/>
      <c r="HHQ2474" s="60"/>
      <c r="HHR2474" s="60"/>
      <c r="HHS2474" s="60"/>
      <c r="HHT2474" s="60"/>
      <c r="HHU2474" s="63"/>
      <c r="HHV2474" s="61"/>
      <c r="HHW2474" s="54"/>
      <c r="HHX2474" s="54"/>
      <c r="HHY2474" s="60"/>
      <c r="HHZ2474" s="60"/>
      <c r="HIA2474" s="60"/>
      <c r="HIB2474" s="60"/>
      <c r="HIC2474" s="63"/>
      <c r="HID2474" s="61"/>
      <c r="HIE2474" s="54"/>
      <c r="HIF2474" s="54"/>
      <c r="HIG2474" s="60"/>
      <c r="HIH2474" s="60"/>
      <c r="HII2474" s="60"/>
      <c r="HIJ2474" s="60"/>
      <c r="HIK2474" s="63"/>
      <c r="HIL2474" s="61"/>
      <c r="HIM2474" s="54"/>
      <c r="HIN2474" s="54"/>
      <c r="HIO2474" s="60"/>
      <c r="HIP2474" s="60"/>
      <c r="HIQ2474" s="60"/>
      <c r="HIR2474" s="60"/>
      <c r="HIS2474" s="63"/>
      <c r="HIT2474" s="61"/>
      <c r="HIU2474" s="54"/>
      <c r="HIV2474" s="54"/>
      <c r="HIW2474" s="60"/>
      <c r="HIX2474" s="60"/>
      <c r="HIY2474" s="60"/>
      <c r="HIZ2474" s="60"/>
      <c r="HJA2474" s="63"/>
      <c r="HJB2474" s="61"/>
      <c r="HJC2474" s="54"/>
      <c r="HJD2474" s="54"/>
      <c r="HJE2474" s="60"/>
      <c r="HJF2474" s="60"/>
      <c r="HJG2474" s="60"/>
      <c r="HJH2474" s="60"/>
      <c r="HJI2474" s="63"/>
      <c r="HJJ2474" s="61"/>
      <c r="HJK2474" s="54"/>
      <c r="HJL2474" s="54"/>
      <c r="HJM2474" s="60"/>
      <c r="HJN2474" s="60"/>
      <c r="HJO2474" s="60"/>
      <c r="HJP2474" s="60"/>
      <c r="HJQ2474" s="63"/>
      <c r="HJR2474" s="61"/>
      <c r="HJS2474" s="54"/>
      <c r="HJT2474" s="54"/>
      <c r="HJU2474" s="60"/>
      <c r="HJV2474" s="60"/>
      <c r="HJW2474" s="60"/>
      <c r="HJX2474" s="60"/>
      <c r="HJY2474" s="63"/>
      <c r="HJZ2474" s="61"/>
      <c r="HKA2474" s="54"/>
      <c r="HKB2474" s="54"/>
      <c r="HKC2474" s="60"/>
      <c r="HKD2474" s="60"/>
      <c r="HKE2474" s="60"/>
      <c r="HKF2474" s="60"/>
      <c r="HKG2474" s="63"/>
      <c r="HKH2474" s="61"/>
      <c r="HKI2474" s="54"/>
      <c r="HKJ2474" s="54"/>
      <c r="HKK2474" s="60"/>
      <c r="HKL2474" s="60"/>
      <c r="HKM2474" s="60"/>
      <c r="HKN2474" s="60"/>
      <c r="HKO2474" s="63"/>
      <c r="HKP2474" s="61"/>
      <c r="HKQ2474" s="54"/>
      <c r="HKR2474" s="54"/>
      <c r="HKS2474" s="60"/>
      <c r="HKT2474" s="60"/>
      <c r="HKU2474" s="60"/>
      <c r="HKV2474" s="60"/>
      <c r="HKW2474" s="63"/>
      <c r="HKX2474" s="61"/>
      <c r="HKY2474" s="54"/>
      <c r="HKZ2474" s="54"/>
      <c r="HLA2474" s="60"/>
      <c r="HLB2474" s="60"/>
      <c r="HLC2474" s="60"/>
      <c r="HLD2474" s="60"/>
      <c r="HLE2474" s="63"/>
      <c r="HLF2474" s="61"/>
      <c r="HLG2474" s="54"/>
      <c r="HLH2474" s="54"/>
      <c r="HLI2474" s="60"/>
      <c r="HLJ2474" s="60"/>
      <c r="HLK2474" s="60"/>
      <c r="HLL2474" s="60"/>
      <c r="HLM2474" s="63"/>
      <c r="HLN2474" s="61"/>
      <c r="HLO2474" s="54"/>
      <c r="HLP2474" s="54"/>
      <c r="HLQ2474" s="60"/>
      <c r="HLR2474" s="60"/>
      <c r="HLS2474" s="60"/>
      <c r="HLT2474" s="60"/>
      <c r="HLU2474" s="63"/>
      <c r="HLV2474" s="61"/>
      <c r="HLW2474" s="54"/>
      <c r="HLX2474" s="54"/>
      <c r="HLY2474" s="60"/>
      <c r="HLZ2474" s="60"/>
      <c r="HMA2474" s="60"/>
      <c r="HMB2474" s="60"/>
      <c r="HMC2474" s="63"/>
      <c r="HMD2474" s="61"/>
      <c r="HME2474" s="54"/>
      <c r="HMF2474" s="54"/>
      <c r="HMG2474" s="60"/>
      <c r="HMH2474" s="60"/>
      <c r="HMI2474" s="60"/>
      <c r="HMJ2474" s="60"/>
      <c r="HMK2474" s="63"/>
      <c r="HML2474" s="61"/>
      <c r="HMM2474" s="54"/>
      <c r="HMN2474" s="54"/>
      <c r="HMO2474" s="60"/>
      <c r="HMP2474" s="60"/>
      <c r="HMQ2474" s="60"/>
      <c r="HMR2474" s="60"/>
      <c r="HMS2474" s="63"/>
      <c r="HMT2474" s="61"/>
      <c r="HMU2474" s="54"/>
      <c r="HMV2474" s="54"/>
      <c r="HMW2474" s="60"/>
      <c r="HMX2474" s="60"/>
      <c r="HMY2474" s="60"/>
      <c r="HMZ2474" s="60"/>
      <c r="HNA2474" s="63"/>
      <c r="HNB2474" s="61"/>
      <c r="HNC2474" s="54"/>
      <c r="HND2474" s="54"/>
      <c r="HNE2474" s="60"/>
      <c r="HNF2474" s="60"/>
      <c r="HNG2474" s="60"/>
      <c r="HNH2474" s="60"/>
      <c r="HNI2474" s="63"/>
      <c r="HNJ2474" s="61"/>
      <c r="HNK2474" s="54"/>
      <c r="HNL2474" s="54"/>
      <c r="HNM2474" s="60"/>
      <c r="HNN2474" s="60"/>
      <c r="HNO2474" s="60"/>
      <c r="HNP2474" s="60"/>
      <c r="HNQ2474" s="63"/>
      <c r="HNR2474" s="61"/>
      <c r="HNS2474" s="54"/>
      <c r="HNT2474" s="54"/>
      <c r="HNU2474" s="60"/>
      <c r="HNV2474" s="60"/>
      <c r="HNW2474" s="60"/>
      <c r="HNX2474" s="60"/>
      <c r="HNY2474" s="63"/>
      <c r="HNZ2474" s="61"/>
      <c r="HOA2474" s="54"/>
      <c r="HOB2474" s="54"/>
      <c r="HOC2474" s="60"/>
      <c r="HOD2474" s="60"/>
      <c r="HOE2474" s="60"/>
      <c r="HOF2474" s="60"/>
      <c r="HOG2474" s="63"/>
      <c r="HOH2474" s="61"/>
      <c r="HOI2474" s="54"/>
      <c r="HOJ2474" s="54"/>
      <c r="HOK2474" s="60"/>
      <c r="HOL2474" s="60"/>
      <c r="HOM2474" s="60"/>
      <c r="HON2474" s="60"/>
      <c r="HOO2474" s="63"/>
      <c r="HOP2474" s="61"/>
      <c r="HOQ2474" s="54"/>
      <c r="HOR2474" s="54"/>
      <c r="HOS2474" s="60"/>
      <c r="HOT2474" s="60"/>
      <c r="HOU2474" s="60"/>
      <c r="HOV2474" s="60"/>
      <c r="HOW2474" s="63"/>
      <c r="HOX2474" s="61"/>
      <c r="HOY2474" s="54"/>
      <c r="HOZ2474" s="54"/>
      <c r="HPA2474" s="60"/>
      <c r="HPB2474" s="60"/>
      <c r="HPC2474" s="60"/>
      <c r="HPD2474" s="60"/>
      <c r="HPE2474" s="63"/>
      <c r="HPF2474" s="61"/>
      <c r="HPG2474" s="54"/>
      <c r="HPH2474" s="54"/>
      <c r="HPI2474" s="60"/>
      <c r="HPJ2474" s="60"/>
      <c r="HPK2474" s="60"/>
      <c r="HPL2474" s="60"/>
      <c r="HPM2474" s="63"/>
      <c r="HPN2474" s="61"/>
      <c r="HPO2474" s="54"/>
      <c r="HPP2474" s="54"/>
      <c r="HPQ2474" s="60"/>
      <c r="HPR2474" s="60"/>
      <c r="HPS2474" s="60"/>
      <c r="HPT2474" s="60"/>
      <c r="HPU2474" s="63"/>
      <c r="HPV2474" s="61"/>
      <c r="HPW2474" s="54"/>
      <c r="HPX2474" s="54"/>
      <c r="HPY2474" s="60"/>
      <c r="HPZ2474" s="60"/>
      <c r="HQA2474" s="60"/>
      <c r="HQB2474" s="60"/>
      <c r="HQC2474" s="63"/>
      <c r="HQD2474" s="61"/>
      <c r="HQE2474" s="54"/>
      <c r="HQF2474" s="54"/>
      <c r="HQG2474" s="60"/>
      <c r="HQH2474" s="60"/>
      <c r="HQI2474" s="60"/>
      <c r="HQJ2474" s="60"/>
      <c r="HQK2474" s="63"/>
      <c r="HQL2474" s="61"/>
      <c r="HQM2474" s="54"/>
      <c r="HQN2474" s="54"/>
      <c r="HQO2474" s="60"/>
      <c r="HQP2474" s="60"/>
      <c r="HQQ2474" s="60"/>
      <c r="HQR2474" s="60"/>
      <c r="HQS2474" s="63"/>
      <c r="HQT2474" s="61"/>
      <c r="HQU2474" s="54"/>
      <c r="HQV2474" s="54"/>
      <c r="HQW2474" s="60"/>
      <c r="HQX2474" s="60"/>
      <c r="HQY2474" s="60"/>
      <c r="HQZ2474" s="60"/>
      <c r="HRA2474" s="63"/>
      <c r="HRB2474" s="61"/>
      <c r="HRC2474" s="54"/>
      <c r="HRD2474" s="54"/>
      <c r="HRE2474" s="60"/>
      <c r="HRF2474" s="60"/>
      <c r="HRG2474" s="60"/>
      <c r="HRH2474" s="60"/>
      <c r="HRI2474" s="63"/>
      <c r="HRJ2474" s="61"/>
      <c r="HRK2474" s="54"/>
      <c r="HRL2474" s="54"/>
      <c r="HRM2474" s="60"/>
      <c r="HRN2474" s="60"/>
      <c r="HRO2474" s="60"/>
      <c r="HRP2474" s="60"/>
      <c r="HRQ2474" s="63"/>
      <c r="HRR2474" s="61"/>
      <c r="HRS2474" s="54"/>
      <c r="HRT2474" s="54"/>
      <c r="HRU2474" s="60"/>
      <c r="HRV2474" s="60"/>
      <c r="HRW2474" s="60"/>
      <c r="HRX2474" s="60"/>
      <c r="HRY2474" s="63"/>
      <c r="HRZ2474" s="61"/>
      <c r="HSA2474" s="54"/>
      <c r="HSB2474" s="54"/>
      <c r="HSC2474" s="60"/>
      <c r="HSD2474" s="60"/>
      <c r="HSE2474" s="60"/>
      <c r="HSF2474" s="60"/>
      <c r="HSG2474" s="63"/>
      <c r="HSH2474" s="61"/>
      <c r="HSI2474" s="54"/>
      <c r="HSJ2474" s="54"/>
      <c r="HSK2474" s="60"/>
      <c r="HSL2474" s="60"/>
      <c r="HSM2474" s="60"/>
      <c r="HSN2474" s="60"/>
      <c r="HSO2474" s="63"/>
      <c r="HSP2474" s="61"/>
      <c r="HSQ2474" s="54"/>
      <c r="HSR2474" s="54"/>
      <c r="HSS2474" s="60"/>
      <c r="HST2474" s="60"/>
      <c r="HSU2474" s="60"/>
      <c r="HSV2474" s="60"/>
      <c r="HSW2474" s="63"/>
      <c r="HSX2474" s="61"/>
      <c r="HSY2474" s="54"/>
      <c r="HSZ2474" s="54"/>
      <c r="HTA2474" s="60"/>
      <c r="HTB2474" s="60"/>
      <c r="HTC2474" s="60"/>
      <c r="HTD2474" s="60"/>
      <c r="HTE2474" s="63"/>
      <c r="HTF2474" s="61"/>
      <c r="HTG2474" s="54"/>
      <c r="HTH2474" s="54"/>
      <c r="HTI2474" s="60"/>
      <c r="HTJ2474" s="60"/>
      <c r="HTK2474" s="60"/>
      <c r="HTL2474" s="60"/>
      <c r="HTM2474" s="63"/>
      <c r="HTN2474" s="61"/>
      <c r="HTO2474" s="54"/>
      <c r="HTP2474" s="54"/>
      <c r="HTQ2474" s="60"/>
      <c r="HTR2474" s="60"/>
      <c r="HTS2474" s="60"/>
      <c r="HTT2474" s="60"/>
      <c r="HTU2474" s="63"/>
      <c r="HTV2474" s="61"/>
      <c r="HTW2474" s="54"/>
      <c r="HTX2474" s="54"/>
      <c r="HTY2474" s="60"/>
      <c r="HTZ2474" s="60"/>
      <c r="HUA2474" s="60"/>
      <c r="HUB2474" s="60"/>
      <c r="HUC2474" s="63"/>
      <c r="HUD2474" s="61"/>
      <c r="HUE2474" s="54"/>
      <c r="HUF2474" s="54"/>
      <c r="HUG2474" s="60"/>
      <c r="HUH2474" s="60"/>
      <c r="HUI2474" s="60"/>
      <c r="HUJ2474" s="60"/>
      <c r="HUK2474" s="63"/>
      <c r="HUL2474" s="61"/>
      <c r="HUM2474" s="54"/>
      <c r="HUN2474" s="54"/>
      <c r="HUO2474" s="60"/>
      <c r="HUP2474" s="60"/>
      <c r="HUQ2474" s="60"/>
      <c r="HUR2474" s="60"/>
      <c r="HUS2474" s="63"/>
      <c r="HUT2474" s="61"/>
      <c r="HUU2474" s="54"/>
      <c r="HUV2474" s="54"/>
      <c r="HUW2474" s="60"/>
      <c r="HUX2474" s="60"/>
      <c r="HUY2474" s="60"/>
      <c r="HUZ2474" s="60"/>
      <c r="HVA2474" s="63"/>
      <c r="HVB2474" s="61"/>
      <c r="HVC2474" s="54"/>
      <c r="HVD2474" s="54"/>
      <c r="HVE2474" s="60"/>
      <c r="HVF2474" s="60"/>
      <c r="HVG2474" s="60"/>
      <c r="HVH2474" s="60"/>
      <c r="HVI2474" s="63"/>
      <c r="HVJ2474" s="61"/>
      <c r="HVK2474" s="54"/>
      <c r="HVL2474" s="54"/>
      <c r="HVM2474" s="60"/>
      <c r="HVN2474" s="60"/>
      <c r="HVO2474" s="60"/>
      <c r="HVP2474" s="60"/>
      <c r="HVQ2474" s="63"/>
      <c r="HVR2474" s="61"/>
      <c r="HVS2474" s="54"/>
      <c r="HVT2474" s="54"/>
      <c r="HVU2474" s="60"/>
      <c r="HVV2474" s="60"/>
      <c r="HVW2474" s="60"/>
      <c r="HVX2474" s="60"/>
      <c r="HVY2474" s="63"/>
      <c r="HVZ2474" s="61"/>
      <c r="HWA2474" s="54"/>
      <c r="HWB2474" s="54"/>
      <c r="HWC2474" s="60"/>
      <c r="HWD2474" s="60"/>
      <c r="HWE2474" s="60"/>
      <c r="HWF2474" s="60"/>
      <c r="HWG2474" s="63"/>
      <c r="HWH2474" s="61"/>
      <c r="HWI2474" s="54"/>
      <c r="HWJ2474" s="54"/>
      <c r="HWK2474" s="60"/>
      <c r="HWL2474" s="60"/>
      <c r="HWM2474" s="60"/>
      <c r="HWN2474" s="60"/>
      <c r="HWO2474" s="63"/>
      <c r="HWP2474" s="61"/>
      <c r="HWQ2474" s="54"/>
      <c r="HWR2474" s="54"/>
      <c r="HWS2474" s="60"/>
      <c r="HWT2474" s="60"/>
      <c r="HWU2474" s="60"/>
      <c r="HWV2474" s="60"/>
      <c r="HWW2474" s="63"/>
      <c r="HWX2474" s="61"/>
      <c r="HWY2474" s="54"/>
      <c r="HWZ2474" s="54"/>
      <c r="HXA2474" s="60"/>
      <c r="HXB2474" s="60"/>
      <c r="HXC2474" s="60"/>
      <c r="HXD2474" s="60"/>
      <c r="HXE2474" s="63"/>
      <c r="HXF2474" s="61"/>
      <c r="HXG2474" s="54"/>
      <c r="HXH2474" s="54"/>
      <c r="HXI2474" s="60"/>
      <c r="HXJ2474" s="60"/>
      <c r="HXK2474" s="60"/>
      <c r="HXL2474" s="60"/>
      <c r="HXM2474" s="63"/>
      <c r="HXN2474" s="61"/>
      <c r="HXO2474" s="54"/>
      <c r="HXP2474" s="54"/>
      <c r="HXQ2474" s="60"/>
      <c r="HXR2474" s="60"/>
      <c r="HXS2474" s="60"/>
      <c r="HXT2474" s="60"/>
      <c r="HXU2474" s="63"/>
      <c r="HXV2474" s="61"/>
      <c r="HXW2474" s="54"/>
      <c r="HXX2474" s="54"/>
      <c r="HXY2474" s="60"/>
      <c r="HXZ2474" s="60"/>
      <c r="HYA2474" s="60"/>
      <c r="HYB2474" s="60"/>
      <c r="HYC2474" s="63"/>
      <c r="HYD2474" s="61"/>
      <c r="HYE2474" s="54"/>
      <c r="HYF2474" s="54"/>
      <c r="HYG2474" s="60"/>
      <c r="HYH2474" s="60"/>
      <c r="HYI2474" s="60"/>
      <c r="HYJ2474" s="60"/>
      <c r="HYK2474" s="63"/>
      <c r="HYL2474" s="61"/>
      <c r="HYM2474" s="54"/>
      <c r="HYN2474" s="54"/>
      <c r="HYO2474" s="60"/>
      <c r="HYP2474" s="60"/>
      <c r="HYQ2474" s="60"/>
      <c r="HYR2474" s="60"/>
      <c r="HYS2474" s="63"/>
      <c r="HYT2474" s="61"/>
      <c r="HYU2474" s="54"/>
      <c r="HYV2474" s="54"/>
      <c r="HYW2474" s="60"/>
      <c r="HYX2474" s="60"/>
      <c r="HYY2474" s="60"/>
      <c r="HYZ2474" s="60"/>
      <c r="HZA2474" s="63"/>
      <c r="HZB2474" s="61"/>
      <c r="HZC2474" s="54"/>
      <c r="HZD2474" s="54"/>
      <c r="HZE2474" s="60"/>
      <c r="HZF2474" s="60"/>
      <c r="HZG2474" s="60"/>
      <c r="HZH2474" s="60"/>
      <c r="HZI2474" s="63"/>
      <c r="HZJ2474" s="61"/>
      <c r="HZK2474" s="54"/>
      <c r="HZL2474" s="54"/>
      <c r="HZM2474" s="60"/>
      <c r="HZN2474" s="60"/>
      <c r="HZO2474" s="60"/>
      <c r="HZP2474" s="60"/>
      <c r="HZQ2474" s="63"/>
      <c r="HZR2474" s="61"/>
      <c r="HZS2474" s="54"/>
      <c r="HZT2474" s="54"/>
      <c r="HZU2474" s="60"/>
      <c r="HZV2474" s="60"/>
      <c r="HZW2474" s="60"/>
      <c r="HZX2474" s="60"/>
      <c r="HZY2474" s="63"/>
      <c r="HZZ2474" s="61"/>
      <c r="IAA2474" s="54"/>
      <c r="IAB2474" s="54"/>
      <c r="IAC2474" s="60"/>
      <c r="IAD2474" s="60"/>
      <c r="IAE2474" s="60"/>
      <c r="IAF2474" s="60"/>
      <c r="IAG2474" s="63"/>
      <c r="IAH2474" s="61"/>
      <c r="IAI2474" s="54"/>
      <c r="IAJ2474" s="54"/>
      <c r="IAK2474" s="60"/>
      <c r="IAL2474" s="60"/>
      <c r="IAM2474" s="60"/>
      <c r="IAN2474" s="60"/>
      <c r="IAO2474" s="63"/>
      <c r="IAP2474" s="61"/>
      <c r="IAQ2474" s="54"/>
      <c r="IAR2474" s="54"/>
      <c r="IAS2474" s="60"/>
      <c r="IAT2474" s="60"/>
      <c r="IAU2474" s="60"/>
      <c r="IAV2474" s="60"/>
      <c r="IAW2474" s="63"/>
      <c r="IAX2474" s="61"/>
      <c r="IAY2474" s="54"/>
      <c r="IAZ2474" s="54"/>
      <c r="IBA2474" s="60"/>
      <c r="IBB2474" s="60"/>
      <c r="IBC2474" s="60"/>
      <c r="IBD2474" s="60"/>
      <c r="IBE2474" s="63"/>
      <c r="IBF2474" s="61"/>
      <c r="IBG2474" s="54"/>
      <c r="IBH2474" s="54"/>
      <c r="IBI2474" s="60"/>
      <c r="IBJ2474" s="60"/>
      <c r="IBK2474" s="60"/>
      <c r="IBL2474" s="60"/>
      <c r="IBM2474" s="63"/>
      <c r="IBN2474" s="61"/>
      <c r="IBO2474" s="54"/>
      <c r="IBP2474" s="54"/>
      <c r="IBQ2474" s="60"/>
      <c r="IBR2474" s="60"/>
      <c r="IBS2474" s="60"/>
      <c r="IBT2474" s="60"/>
      <c r="IBU2474" s="63"/>
      <c r="IBV2474" s="61"/>
      <c r="IBW2474" s="54"/>
      <c r="IBX2474" s="54"/>
      <c r="IBY2474" s="60"/>
      <c r="IBZ2474" s="60"/>
      <c r="ICA2474" s="60"/>
      <c r="ICB2474" s="60"/>
      <c r="ICC2474" s="63"/>
      <c r="ICD2474" s="61"/>
      <c r="ICE2474" s="54"/>
      <c r="ICF2474" s="54"/>
      <c r="ICG2474" s="60"/>
      <c r="ICH2474" s="60"/>
      <c r="ICI2474" s="60"/>
      <c r="ICJ2474" s="60"/>
      <c r="ICK2474" s="63"/>
      <c r="ICL2474" s="61"/>
      <c r="ICM2474" s="54"/>
      <c r="ICN2474" s="54"/>
      <c r="ICO2474" s="60"/>
      <c r="ICP2474" s="60"/>
      <c r="ICQ2474" s="60"/>
      <c r="ICR2474" s="60"/>
      <c r="ICS2474" s="63"/>
      <c r="ICT2474" s="61"/>
      <c r="ICU2474" s="54"/>
      <c r="ICV2474" s="54"/>
      <c r="ICW2474" s="60"/>
      <c r="ICX2474" s="60"/>
      <c r="ICY2474" s="60"/>
      <c r="ICZ2474" s="60"/>
      <c r="IDA2474" s="63"/>
      <c r="IDB2474" s="61"/>
      <c r="IDC2474" s="54"/>
      <c r="IDD2474" s="54"/>
      <c r="IDE2474" s="60"/>
      <c r="IDF2474" s="60"/>
      <c r="IDG2474" s="60"/>
      <c r="IDH2474" s="60"/>
      <c r="IDI2474" s="63"/>
      <c r="IDJ2474" s="61"/>
      <c r="IDK2474" s="54"/>
      <c r="IDL2474" s="54"/>
      <c r="IDM2474" s="60"/>
      <c r="IDN2474" s="60"/>
      <c r="IDO2474" s="60"/>
      <c r="IDP2474" s="60"/>
      <c r="IDQ2474" s="63"/>
      <c r="IDR2474" s="61"/>
      <c r="IDS2474" s="54"/>
      <c r="IDT2474" s="54"/>
      <c r="IDU2474" s="60"/>
      <c r="IDV2474" s="60"/>
      <c r="IDW2474" s="60"/>
      <c r="IDX2474" s="60"/>
      <c r="IDY2474" s="63"/>
      <c r="IDZ2474" s="61"/>
      <c r="IEA2474" s="54"/>
      <c r="IEB2474" s="54"/>
      <c r="IEC2474" s="60"/>
      <c r="IED2474" s="60"/>
      <c r="IEE2474" s="60"/>
      <c r="IEF2474" s="60"/>
      <c r="IEG2474" s="63"/>
      <c r="IEH2474" s="61"/>
      <c r="IEI2474" s="54"/>
      <c r="IEJ2474" s="54"/>
      <c r="IEK2474" s="60"/>
      <c r="IEL2474" s="60"/>
      <c r="IEM2474" s="60"/>
      <c r="IEN2474" s="60"/>
      <c r="IEO2474" s="63"/>
      <c r="IEP2474" s="61"/>
      <c r="IEQ2474" s="54"/>
      <c r="IER2474" s="54"/>
      <c r="IES2474" s="60"/>
      <c r="IET2474" s="60"/>
      <c r="IEU2474" s="60"/>
      <c r="IEV2474" s="60"/>
      <c r="IEW2474" s="63"/>
      <c r="IEX2474" s="61"/>
      <c r="IEY2474" s="54"/>
      <c r="IEZ2474" s="54"/>
      <c r="IFA2474" s="60"/>
      <c r="IFB2474" s="60"/>
      <c r="IFC2474" s="60"/>
      <c r="IFD2474" s="60"/>
      <c r="IFE2474" s="63"/>
      <c r="IFF2474" s="61"/>
      <c r="IFG2474" s="54"/>
      <c r="IFH2474" s="54"/>
      <c r="IFI2474" s="60"/>
      <c r="IFJ2474" s="60"/>
      <c r="IFK2474" s="60"/>
      <c r="IFL2474" s="60"/>
      <c r="IFM2474" s="63"/>
      <c r="IFN2474" s="61"/>
      <c r="IFO2474" s="54"/>
      <c r="IFP2474" s="54"/>
      <c r="IFQ2474" s="60"/>
      <c r="IFR2474" s="60"/>
      <c r="IFS2474" s="60"/>
      <c r="IFT2474" s="60"/>
      <c r="IFU2474" s="63"/>
      <c r="IFV2474" s="61"/>
      <c r="IFW2474" s="54"/>
      <c r="IFX2474" s="54"/>
      <c r="IFY2474" s="60"/>
      <c r="IFZ2474" s="60"/>
      <c r="IGA2474" s="60"/>
      <c r="IGB2474" s="60"/>
      <c r="IGC2474" s="63"/>
      <c r="IGD2474" s="61"/>
      <c r="IGE2474" s="54"/>
      <c r="IGF2474" s="54"/>
      <c r="IGG2474" s="60"/>
      <c r="IGH2474" s="60"/>
      <c r="IGI2474" s="60"/>
      <c r="IGJ2474" s="60"/>
      <c r="IGK2474" s="63"/>
      <c r="IGL2474" s="61"/>
      <c r="IGM2474" s="54"/>
      <c r="IGN2474" s="54"/>
      <c r="IGO2474" s="60"/>
      <c r="IGP2474" s="60"/>
      <c r="IGQ2474" s="60"/>
      <c r="IGR2474" s="60"/>
      <c r="IGS2474" s="63"/>
      <c r="IGT2474" s="61"/>
      <c r="IGU2474" s="54"/>
      <c r="IGV2474" s="54"/>
      <c r="IGW2474" s="60"/>
      <c r="IGX2474" s="60"/>
      <c r="IGY2474" s="60"/>
      <c r="IGZ2474" s="60"/>
      <c r="IHA2474" s="63"/>
      <c r="IHB2474" s="61"/>
      <c r="IHC2474" s="54"/>
      <c r="IHD2474" s="54"/>
      <c r="IHE2474" s="60"/>
      <c r="IHF2474" s="60"/>
      <c r="IHG2474" s="60"/>
      <c r="IHH2474" s="60"/>
      <c r="IHI2474" s="63"/>
      <c r="IHJ2474" s="61"/>
      <c r="IHK2474" s="54"/>
      <c r="IHL2474" s="54"/>
      <c r="IHM2474" s="60"/>
      <c r="IHN2474" s="60"/>
      <c r="IHO2474" s="60"/>
      <c r="IHP2474" s="60"/>
      <c r="IHQ2474" s="63"/>
      <c r="IHR2474" s="61"/>
      <c r="IHS2474" s="54"/>
      <c r="IHT2474" s="54"/>
      <c r="IHU2474" s="60"/>
      <c r="IHV2474" s="60"/>
      <c r="IHW2474" s="60"/>
      <c r="IHX2474" s="60"/>
      <c r="IHY2474" s="63"/>
      <c r="IHZ2474" s="61"/>
      <c r="IIA2474" s="54"/>
      <c r="IIB2474" s="54"/>
      <c r="IIC2474" s="60"/>
      <c r="IID2474" s="60"/>
      <c r="IIE2474" s="60"/>
      <c r="IIF2474" s="60"/>
      <c r="IIG2474" s="63"/>
      <c r="IIH2474" s="61"/>
      <c r="III2474" s="54"/>
      <c r="IIJ2474" s="54"/>
      <c r="IIK2474" s="60"/>
      <c r="IIL2474" s="60"/>
      <c r="IIM2474" s="60"/>
      <c r="IIN2474" s="60"/>
      <c r="IIO2474" s="63"/>
      <c r="IIP2474" s="61"/>
      <c r="IIQ2474" s="54"/>
      <c r="IIR2474" s="54"/>
      <c r="IIS2474" s="60"/>
      <c r="IIT2474" s="60"/>
      <c r="IIU2474" s="60"/>
      <c r="IIV2474" s="60"/>
      <c r="IIW2474" s="63"/>
      <c r="IIX2474" s="61"/>
      <c r="IIY2474" s="54"/>
      <c r="IIZ2474" s="54"/>
      <c r="IJA2474" s="60"/>
      <c r="IJB2474" s="60"/>
      <c r="IJC2474" s="60"/>
      <c r="IJD2474" s="60"/>
      <c r="IJE2474" s="63"/>
      <c r="IJF2474" s="61"/>
      <c r="IJG2474" s="54"/>
      <c r="IJH2474" s="54"/>
      <c r="IJI2474" s="60"/>
      <c r="IJJ2474" s="60"/>
      <c r="IJK2474" s="60"/>
      <c r="IJL2474" s="60"/>
      <c r="IJM2474" s="63"/>
      <c r="IJN2474" s="61"/>
      <c r="IJO2474" s="54"/>
      <c r="IJP2474" s="54"/>
      <c r="IJQ2474" s="60"/>
      <c r="IJR2474" s="60"/>
      <c r="IJS2474" s="60"/>
      <c r="IJT2474" s="60"/>
      <c r="IJU2474" s="63"/>
      <c r="IJV2474" s="61"/>
      <c r="IJW2474" s="54"/>
      <c r="IJX2474" s="54"/>
      <c r="IJY2474" s="60"/>
      <c r="IJZ2474" s="60"/>
      <c r="IKA2474" s="60"/>
      <c r="IKB2474" s="60"/>
      <c r="IKC2474" s="63"/>
      <c r="IKD2474" s="61"/>
      <c r="IKE2474" s="54"/>
      <c r="IKF2474" s="54"/>
      <c r="IKG2474" s="60"/>
      <c r="IKH2474" s="60"/>
      <c r="IKI2474" s="60"/>
      <c r="IKJ2474" s="60"/>
      <c r="IKK2474" s="63"/>
      <c r="IKL2474" s="61"/>
      <c r="IKM2474" s="54"/>
      <c r="IKN2474" s="54"/>
      <c r="IKO2474" s="60"/>
      <c r="IKP2474" s="60"/>
      <c r="IKQ2474" s="60"/>
      <c r="IKR2474" s="60"/>
      <c r="IKS2474" s="63"/>
      <c r="IKT2474" s="61"/>
      <c r="IKU2474" s="54"/>
      <c r="IKV2474" s="54"/>
      <c r="IKW2474" s="60"/>
      <c r="IKX2474" s="60"/>
      <c r="IKY2474" s="60"/>
      <c r="IKZ2474" s="60"/>
      <c r="ILA2474" s="63"/>
      <c r="ILB2474" s="61"/>
      <c r="ILC2474" s="54"/>
      <c r="ILD2474" s="54"/>
      <c r="ILE2474" s="60"/>
      <c r="ILF2474" s="60"/>
      <c r="ILG2474" s="60"/>
      <c r="ILH2474" s="60"/>
      <c r="ILI2474" s="63"/>
      <c r="ILJ2474" s="61"/>
      <c r="ILK2474" s="54"/>
      <c r="ILL2474" s="54"/>
      <c r="ILM2474" s="60"/>
      <c r="ILN2474" s="60"/>
      <c r="ILO2474" s="60"/>
      <c r="ILP2474" s="60"/>
      <c r="ILQ2474" s="63"/>
      <c r="ILR2474" s="61"/>
      <c r="ILS2474" s="54"/>
      <c r="ILT2474" s="54"/>
      <c r="ILU2474" s="60"/>
      <c r="ILV2474" s="60"/>
      <c r="ILW2474" s="60"/>
      <c r="ILX2474" s="60"/>
      <c r="ILY2474" s="63"/>
      <c r="ILZ2474" s="61"/>
      <c r="IMA2474" s="54"/>
      <c r="IMB2474" s="54"/>
      <c r="IMC2474" s="60"/>
      <c r="IMD2474" s="60"/>
      <c r="IME2474" s="60"/>
      <c r="IMF2474" s="60"/>
      <c r="IMG2474" s="63"/>
      <c r="IMH2474" s="61"/>
      <c r="IMI2474" s="54"/>
      <c r="IMJ2474" s="54"/>
      <c r="IMK2474" s="60"/>
      <c r="IML2474" s="60"/>
      <c r="IMM2474" s="60"/>
      <c r="IMN2474" s="60"/>
      <c r="IMO2474" s="63"/>
      <c r="IMP2474" s="61"/>
      <c r="IMQ2474" s="54"/>
      <c r="IMR2474" s="54"/>
      <c r="IMS2474" s="60"/>
      <c r="IMT2474" s="60"/>
      <c r="IMU2474" s="60"/>
      <c r="IMV2474" s="60"/>
      <c r="IMW2474" s="63"/>
      <c r="IMX2474" s="61"/>
      <c r="IMY2474" s="54"/>
      <c r="IMZ2474" s="54"/>
      <c r="INA2474" s="60"/>
      <c r="INB2474" s="60"/>
      <c r="INC2474" s="60"/>
      <c r="IND2474" s="60"/>
      <c r="INE2474" s="63"/>
      <c r="INF2474" s="61"/>
      <c r="ING2474" s="54"/>
      <c r="INH2474" s="54"/>
      <c r="INI2474" s="60"/>
      <c r="INJ2474" s="60"/>
      <c r="INK2474" s="60"/>
      <c r="INL2474" s="60"/>
      <c r="INM2474" s="63"/>
      <c r="INN2474" s="61"/>
      <c r="INO2474" s="54"/>
      <c r="INP2474" s="54"/>
      <c r="INQ2474" s="60"/>
      <c r="INR2474" s="60"/>
      <c r="INS2474" s="60"/>
      <c r="INT2474" s="60"/>
      <c r="INU2474" s="63"/>
      <c r="INV2474" s="61"/>
      <c r="INW2474" s="54"/>
      <c r="INX2474" s="54"/>
      <c r="INY2474" s="60"/>
      <c r="INZ2474" s="60"/>
      <c r="IOA2474" s="60"/>
      <c r="IOB2474" s="60"/>
      <c r="IOC2474" s="63"/>
      <c r="IOD2474" s="61"/>
      <c r="IOE2474" s="54"/>
      <c r="IOF2474" s="54"/>
      <c r="IOG2474" s="60"/>
      <c r="IOH2474" s="60"/>
      <c r="IOI2474" s="60"/>
      <c r="IOJ2474" s="60"/>
      <c r="IOK2474" s="63"/>
      <c r="IOL2474" s="61"/>
      <c r="IOM2474" s="54"/>
      <c r="ION2474" s="54"/>
      <c r="IOO2474" s="60"/>
      <c r="IOP2474" s="60"/>
      <c r="IOQ2474" s="60"/>
      <c r="IOR2474" s="60"/>
      <c r="IOS2474" s="63"/>
      <c r="IOT2474" s="61"/>
      <c r="IOU2474" s="54"/>
      <c r="IOV2474" s="54"/>
      <c r="IOW2474" s="60"/>
      <c r="IOX2474" s="60"/>
      <c r="IOY2474" s="60"/>
      <c r="IOZ2474" s="60"/>
      <c r="IPA2474" s="63"/>
      <c r="IPB2474" s="61"/>
      <c r="IPC2474" s="54"/>
      <c r="IPD2474" s="54"/>
      <c r="IPE2474" s="60"/>
      <c r="IPF2474" s="60"/>
      <c r="IPG2474" s="60"/>
      <c r="IPH2474" s="60"/>
      <c r="IPI2474" s="63"/>
      <c r="IPJ2474" s="61"/>
      <c r="IPK2474" s="54"/>
      <c r="IPL2474" s="54"/>
      <c r="IPM2474" s="60"/>
      <c r="IPN2474" s="60"/>
      <c r="IPO2474" s="60"/>
      <c r="IPP2474" s="60"/>
      <c r="IPQ2474" s="63"/>
      <c r="IPR2474" s="61"/>
      <c r="IPS2474" s="54"/>
      <c r="IPT2474" s="54"/>
      <c r="IPU2474" s="60"/>
      <c r="IPV2474" s="60"/>
      <c r="IPW2474" s="60"/>
      <c r="IPX2474" s="60"/>
      <c r="IPY2474" s="63"/>
      <c r="IPZ2474" s="61"/>
      <c r="IQA2474" s="54"/>
      <c r="IQB2474" s="54"/>
      <c r="IQC2474" s="60"/>
      <c r="IQD2474" s="60"/>
      <c r="IQE2474" s="60"/>
      <c r="IQF2474" s="60"/>
      <c r="IQG2474" s="63"/>
      <c r="IQH2474" s="61"/>
      <c r="IQI2474" s="54"/>
      <c r="IQJ2474" s="54"/>
      <c r="IQK2474" s="60"/>
      <c r="IQL2474" s="60"/>
      <c r="IQM2474" s="60"/>
      <c r="IQN2474" s="60"/>
      <c r="IQO2474" s="63"/>
      <c r="IQP2474" s="61"/>
      <c r="IQQ2474" s="54"/>
      <c r="IQR2474" s="54"/>
      <c r="IQS2474" s="60"/>
      <c r="IQT2474" s="60"/>
      <c r="IQU2474" s="60"/>
      <c r="IQV2474" s="60"/>
      <c r="IQW2474" s="63"/>
      <c r="IQX2474" s="61"/>
      <c r="IQY2474" s="54"/>
      <c r="IQZ2474" s="54"/>
      <c r="IRA2474" s="60"/>
      <c r="IRB2474" s="60"/>
      <c r="IRC2474" s="60"/>
      <c r="IRD2474" s="60"/>
      <c r="IRE2474" s="63"/>
      <c r="IRF2474" s="61"/>
      <c r="IRG2474" s="54"/>
      <c r="IRH2474" s="54"/>
      <c r="IRI2474" s="60"/>
      <c r="IRJ2474" s="60"/>
      <c r="IRK2474" s="60"/>
      <c r="IRL2474" s="60"/>
      <c r="IRM2474" s="63"/>
      <c r="IRN2474" s="61"/>
      <c r="IRO2474" s="54"/>
      <c r="IRP2474" s="54"/>
      <c r="IRQ2474" s="60"/>
      <c r="IRR2474" s="60"/>
      <c r="IRS2474" s="60"/>
      <c r="IRT2474" s="60"/>
      <c r="IRU2474" s="63"/>
      <c r="IRV2474" s="61"/>
      <c r="IRW2474" s="54"/>
      <c r="IRX2474" s="54"/>
      <c r="IRY2474" s="60"/>
      <c r="IRZ2474" s="60"/>
      <c r="ISA2474" s="60"/>
      <c r="ISB2474" s="60"/>
      <c r="ISC2474" s="63"/>
      <c r="ISD2474" s="61"/>
      <c r="ISE2474" s="54"/>
      <c r="ISF2474" s="54"/>
      <c r="ISG2474" s="60"/>
      <c r="ISH2474" s="60"/>
      <c r="ISI2474" s="60"/>
      <c r="ISJ2474" s="60"/>
      <c r="ISK2474" s="63"/>
      <c r="ISL2474" s="61"/>
      <c r="ISM2474" s="54"/>
      <c r="ISN2474" s="54"/>
      <c r="ISO2474" s="60"/>
      <c r="ISP2474" s="60"/>
      <c r="ISQ2474" s="60"/>
      <c r="ISR2474" s="60"/>
      <c r="ISS2474" s="63"/>
      <c r="IST2474" s="61"/>
      <c r="ISU2474" s="54"/>
      <c r="ISV2474" s="54"/>
      <c r="ISW2474" s="60"/>
      <c r="ISX2474" s="60"/>
      <c r="ISY2474" s="60"/>
      <c r="ISZ2474" s="60"/>
      <c r="ITA2474" s="63"/>
      <c r="ITB2474" s="61"/>
      <c r="ITC2474" s="54"/>
      <c r="ITD2474" s="54"/>
      <c r="ITE2474" s="60"/>
      <c r="ITF2474" s="60"/>
      <c r="ITG2474" s="60"/>
      <c r="ITH2474" s="60"/>
      <c r="ITI2474" s="63"/>
      <c r="ITJ2474" s="61"/>
      <c r="ITK2474" s="54"/>
      <c r="ITL2474" s="54"/>
      <c r="ITM2474" s="60"/>
      <c r="ITN2474" s="60"/>
      <c r="ITO2474" s="60"/>
      <c r="ITP2474" s="60"/>
      <c r="ITQ2474" s="63"/>
      <c r="ITR2474" s="61"/>
      <c r="ITS2474" s="54"/>
      <c r="ITT2474" s="54"/>
      <c r="ITU2474" s="60"/>
      <c r="ITV2474" s="60"/>
      <c r="ITW2474" s="60"/>
      <c r="ITX2474" s="60"/>
      <c r="ITY2474" s="63"/>
      <c r="ITZ2474" s="61"/>
      <c r="IUA2474" s="54"/>
      <c r="IUB2474" s="54"/>
      <c r="IUC2474" s="60"/>
      <c r="IUD2474" s="60"/>
      <c r="IUE2474" s="60"/>
      <c r="IUF2474" s="60"/>
      <c r="IUG2474" s="63"/>
      <c r="IUH2474" s="61"/>
      <c r="IUI2474" s="54"/>
      <c r="IUJ2474" s="54"/>
      <c r="IUK2474" s="60"/>
      <c r="IUL2474" s="60"/>
      <c r="IUM2474" s="60"/>
      <c r="IUN2474" s="60"/>
      <c r="IUO2474" s="63"/>
      <c r="IUP2474" s="61"/>
      <c r="IUQ2474" s="54"/>
      <c r="IUR2474" s="54"/>
      <c r="IUS2474" s="60"/>
      <c r="IUT2474" s="60"/>
      <c r="IUU2474" s="60"/>
      <c r="IUV2474" s="60"/>
      <c r="IUW2474" s="63"/>
      <c r="IUX2474" s="61"/>
      <c r="IUY2474" s="54"/>
      <c r="IUZ2474" s="54"/>
      <c r="IVA2474" s="60"/>
      <c r="IVB2474" s="60"/>
      <c r="IVC2474" s="60"/>
      <c r="IVD2474" s="60"/>
      <c r="IVE2474" s="63"/>
      <c r="IVF2474" s="61"/>
      <c r="IVG2474" s="54"/>
      <c r="IVH2474" s="54"/>
      <c r="IVI2474" s="60"/>
      <c r="IVJ2474" s="60"/>
      <c r="IVK2474" s="60"/>
      <c r="IVL2474" s="60"/>
      <c r="IVM2474" s="63"/>
      <c r="IVN2474" s="61"/>
      <c r="IVO2474" s="54"/>
      <c r="IVP2474" s="54"/>
      <c r="IVQ2474" s="60"/>
      <c r="IVR2474" s="60"/>
      <c r="IVS2474" s="60"/>
      <c r="IVT2474" s="60"/>
      <c r="IVU2474" s="63"/>
      <c r="IVV2474" s="61"/>
      <c r="IVW2474" s="54"/>
      <c r="IVX2474" s="54"/>
      <c r="IVY2474" s="60"/>
      <c r="IVZ2474" s="60"/>
      <c r="IWA2474" s="60"/>
      <c r="IWB2474" s="60"/>
      <c r="IWC2474" s="63"/>
      <c r="IWD2474" s="61"/>
      <c r="IWE2474" s="54"/>
      <c r="IWF2474" s="54"/>
      <c r="IWG2474" s="60"/>
      <c r="IWH2474" s="60"/>
      <c r="IWI2474" s="60"/>
      <c r="IWJ2474" s="60"/>
      <c r="IWK2474" s="63"/>
      <c r="IWL2474" s="61"/>
      <c r="IWM2474" s="54"/>
      <c r="IWN2474" s="54"/>
      <c r="IWO2474" s="60"/>
      <c r="IWP2474" s="60"/>
      <c r="IWQ2474" s="60"/>
      <c r="IWR2474" s="60"/>
      <c r="IWS2474" s="63"/>
      <c r="IWT2474" s="61"/>
      <c r="IWU2474" s="54"/>
      <c r="IWV2474" s="54"/>
      <c r="IWW2474" s="60"/>
      <c r="IWX2474" s="60"/>
      <c r="IWY2474" s="60"/>
      <c r="IWZ2474" s="60"/>
      <c r="IXA2474" s="63"/>
      <c r="IXB2474" s="61"/>
      <c r="IXC2474" s="54"/>
      <c r="IXD2474" s="54"/>
      <c r="IXE2474" s="60"/>
      <c r="IXF2474" s="60"/>
      <c r="IXG2474" s="60"/>
      <c r="IXH2474" s="60"/>
      <c r="IXI2474" s="63"/>
      <c r="IXJ2474" s="61"/>
      <c r="IXK2474" s="54"/>
      <c r="IXL2474" s="54"/>
      <c r="IXM2474" s="60"/>
      <c r="IXN2474" s="60"/>
      <c r="IXO2474" s="60"/>
      <c r="IXP2474" s="60"/>
      <c r="IXQ2474" s="63"/>
      <c r="IXR2474" s="61"/>
      <c r="IXS2474" s="54"/>
      <c r="IXT2474" s="54"/>
      <c r="IXU2474" s="60"/>
      <c r="IXV2474" s="60"/>
      <c r="IXW2474" s="60"/>
      <c r="IXX2474" s="60"/>
      <c r="IXY2474" s="63"/>
      <c r="IXZ2474" s="61"/>
      <c r="IYA2474" s="54"/>
      <c r="IYB2474" s="54"/>
      <c r="IYC2474" s="60"/>
      <c r="IYD2474" s="60"/>
      <c r="IYE2474" s="60"/>
      <c r="IYF2474" s="60"/>
      <c r="IYG2474" s="63"/>
      <c r="IYH2474" s="61"/>
      <c r="IYI2474" s="54"/>
      <c r="IYJ2474" s="54"/>
      <c r="IYK2474" s="60"/>
      <c r="IYL2474" s="60"/>
      <c r="IYM2474" s="60"/>
      <c r="IYN2474" s="60"/>
      <c r="IYO2474" s="63"/>
      <c r="IYP2474" s="61"/>
      <c r="IYQ2474" s="54"/>
      <c r="IYR2474" s="54"/>
      <c r="IYS2474" s="60"/>
      <c r="IYT2474" s="60"/>
      <c r="IYU2474" s="60"/>
      <c r="IYV2474" s="60"/>
      <c r="IYW2474" s="63"/>
      <c r="IYX2474" s="61"/>
      <c r="IYY2474" s="54"/>
      <c r="IYZ2474" s="54"/>
      <c r="IZA2474" s="60"/>
      <c r="IZB2474" s="60"/>
      <c r="IZC2474" s="60"/>
      <c r="IZD2474" s="60"/>
      <c r="IZE2474" s="63"/>
      <c r="IZF2474" s="61"/>
      <c r="IZG2474" s="54"/>
      <c r="IZH2474" s="54"/>
      <c r="IZI2474" s="60"/>
      <c r="IZJ2474" s="60"/>
      <c r="IZK2474" s="60"/>
      <c r="IZL2474" s="60"/>
      <c r="IZM2474" s="63"/>
      <c r="IZN2474" s="61"/>
      <c r="IZO2474" s="54"/>
      <c r="IZP2474" s="54"/>
      <c r="IZQ2474" s="60"/>
      <c r="IZR2474" s="60"/>
      <c r="IZS2474" s="60"/>
      <c r="IZT2474" s="60"/>
      <c r="IZU2474" s="63"/>
      <c r="IZV2474" s="61"/>
      <c r="IZW2474" s="54"/>
      <c r="IZX2474" s="54"/>
      <c r="IZY2474" s="60"/>
      <c r="IZZ2474" s="60"/>
      <c r="JAA2474" s="60"/>
      <c r="JAB2474" s="60"/>
      <c r="JAC2474" s="63"/>
      <c r="JAD2474" s="61"/>
      <c r="JAE2474" s="54"/>
      <c r="JAF2474" s="54"/>
      <c r="JAG2474" s="60"/>
      <c r="JAH2474" s="60"/>
      <c r="JAI2474" s="60"/>
      <c r="JAJ2474" s="60"/>
      <c r="JAK2474" s="63"/>
      <c r="JAL2474" s="61"/>
      <c r="JAM2474" s="54"/>
      <c r="JAN2474" s="54"/>
      <c r="JAO2474" s="60"/>
      <c r="JAP2474" s="60"/>
      <c r="JAQ2474" s="60"/>
      <c r="JAR2474" s="60"/>
      <c r="JAS2474" s="63"/>
      <c r="JAT2474" s="61"/>
      <c r="JAU2474" s="54"/>
      <c r="JAV2474" s="54"/>
      <c r="JAW2474" s="60"/>
      <c r="JAX2474" s="60"/>
      <c r="JAY2474" s="60"/>
      <c r="JAZ2474" s="60"/>
      <c r="JBA2474" s="63"/>
      <c r="JBB2474" s="61"/>
      <c r="JBC2474" s="54"/>
      <c r="JBD2474" s="54"/>
      <c r="JBE2474" s="60"/>
      <c r="JBF2474" s="60"/>
      <c r="JBG2474" s="60"/>
      <c r="JBH2474" s="60"/>
      <c r="JBI2474" s="63"/>
      <c r="JBJ2474" s="61"/>
      <c r="JBK2474" s="54"/>
      <c r="JBL2474" s="54"/>
      <c r="JBM2474" s="60"/>
      <c r="JBN2474" s="60"/>
      <c r="JBO2474" s="60"/>
      <c r="JBP2474" s="60"/>
      <c r="JBQ2474" s="63"/>
      <c r="JBR2474" s="61"/>
      <c r="JBS2474" s="54"/>
      <c r="JBT2474" s="54"/>
      <c r="JBU2474" s="60"/>
      <c r="JBV2474" s="60"/>
      <c r="JBW2474" s="60"/>
      <c r="JBX2474" s="60"/>
      <c r="JBY2474" s="63"/>
      <c r="JBZ2474" s="61"/>
      <c r="JCA2474" s="54"/>
      <c r="JCB2474" s="54"/>
      <c r="JCC2474" s="60"/>
      <c r="JCD2474" s="60"/>
      <c r="JCE2474" s="60"/>
      <c r="JCF2474" s="60"/>
      <c r="JCG2474" s="63"/>
      <c r="JCH2474" s="61"/>
      <c r="JCI2474" s="54"/>
      <c r="JCJ2474" s="54"/>
      <c r="JCK2474" s="60"/>
      <c r="JCL2474" s="60"/>
      <c r="JCM2474" s="60"/>
      <c r="JCN2474" s="60"/>
      <c r="JCO2474" s="63"/>
      <c r="JCP2474" s="61"/>
      <c r="JCQ2474" s="54"/>
      <c r="JCR2474" s="54"/>
      <c r="JCS2474" s="60"/>
      <c r="JCT2474" s="60"/>
      <c r="JCU2474" s="60"/>
      <c r="JCV2474" s="60"/>
      <c r="JCW2474" s="63"/>
      <c r="JCX2474" s="61"/>
      <c r="JCY2474" s="54"/>
      <c r="JCZ2474" s="54"/>
      <c r="JDA2474" s="60"/>
      <c r="JDB2474" s="60"/>
      <c r="JDC2474" s="60"/>
      <c r="JDD2474" s="60"/>
      <c r="JDE2474" s="63"/>
      <c r="JDF2474" s="61"/>
      <c r="JDG2474" s="54"/>
      <c r="JDH2474" s="54"/>
      <c r="JDI2474" s="60"/>
      <c r="JDJ2474" s="60"/>
      <c r="JDK2474" s="60"/>
      <c r="JDL2474" s="60"/>
      <c r="JDM2474" s="63"/>
      <c r="JDN2474" s="61"/>
      <c r="JDO2474" s="54"/>
      <c r="JDP2474" s="54"/>
      <c r="JDQ2474" s="60"/>
      <c r="JDR2474" s="60"/>
      <c r="JDS2474" s="60"/>
      <c r="JDT2474" s="60"/>
      <c r="JDU2474" s="63"/>
      <c r="JDV2474" s="61"/>
      <c r="JDW2474" s="54"/>
      <c r="JDX2474" s="54"/>
      <c r="JDY2474" s="60"/>
      <c r="JDZ2474" s="60"/>
      <c r="JEA2474" s="60"/>
      <c r="JEB2474" s="60"/>
      <c r="JEC2474" s="63"/>
      <c r="JED2474" s="61"/>
      <c r="JEE2474" s="54"/>
      <c r="JEF2474" s="54"/>
      <c r="JEG2474" s="60"/>
      <c r="JEH2474" s="60"/>
      <c r="JEI2474" s="60"/>
      <c r="JEJ2474" s="60"/>
      <c r="JEK2474" s="63"/>
      <c r="JEL2474" s="61"/>
      <c r="JEM2474" s="54"/>
      <c r="JEN2474" s="54"/>
      <c r="JEO2474" s="60"/>
      <c r="JEP2474" s="60"/>
      <c r="JEQ2474" s="60"/>
      <c r="JER2474" s="60"/>
      <c r="JES2474" s="63"/>
      <c r="JET2474" s="61"/>
      <c r="JEU2474" s="54"/>
      <c r="JEV2474" s="54"/>
      <c r="JEW2474" s="60"/>
      <c r="JEX2474" s="60"/>
      <c r="JEY2474" s="60"/>
      <c r="JEZ2474" s="60"/>
      <c r="JFA2474" s="63"/>
      <c r="JFB2474" s="61"/>
      <c r="JFC2474" s="54"/>
      <c r="JFD2474" s="54"/>
      <c r="JFE2474" s="60"/>
      <c r="JFF2474" s="60"/>
      <c r="JFG2474" s="60"/>
      <c r="JFH2474" s="60"/>
      <c r="JFI2474" s="63"/>
      <c r="JFJ2474" s="61"/>
      <c r="JFK2474" s="54"/>
      <c r="JFL2474" s="54"/>
      <c r="JFM2474" s="60"/>
      <c r="JFN2474" s="60"/>
      <c r="JFO2474" s="60"/>
      <c r="JFP2474" s="60"/>
      <c r="JFQ2474" s="63"/>
      <c r="JFR2474" s="61"/>
      <c r="JFS2474" s="54"/>
      <c r="JFT2474" s="54"/>
      <c r="JFU2474" s="60"/>
      <c r="JFV2474" s="60"/>
      <c r="JFW2474" s="60"/>
      <c r="JFX2474" s="60"/>
      <c r="JFY2474" s="63"/>
      <c r="JFZ2474" s="61"/>
      <c r="JGA2474" s="54"/>
      <c r="JGB2474" s="54"/>
      <c r="JGC2474" s="60"/>
      <c r="JGD2474" s="60"/>
      <c r="JGE2474" s="60"/>
      <c r="JGF2474" s="60"/>
      <c r="JGG2474" s="63"/>
      <c r="JGH2474" s="61"/>
      <c r="JGI2474" s="54"/>
      <c r="JGJ2474" s="54"/>
      <c r="JGK2474" s="60"/>
      <c r="JGL2474" s="60"/>
      <c r="JGM2474" s="60"/>
      <c r="JGN2474" s="60"/>
      <c r="JGO2474" s="63"/>
      <c r="JGP2474" s="61"/>
      <c r="JGQ2474" s="54"/>
      <c r="JGR2474" s="54"/>
      <c r="JGS2474" s="60"/>
      <c r="JGT2474" s="60"/>
      <c r="JGU2474" s="60"/>
      <c r="JGV2474" s="60"/>
      <c r="JGW2474" s="63"/>
      <c r="JGX2474" s="61"/>
      <c r="JGY2474" s="54"/>
      <c r="JGZ2474" s="54"/>
      <c r="JHA2474" s="60"/>
      <c r="JHB2474" s="60"/>
      <c r="JHC2474" s="60"/>
      <c r="JHD2474" s="60"/>
      <c r="JHE2474" s="63"/>
      <c r="JHF2474" s="61"/>
      <c r="JHG2474" s="54"/>
      <c r="JHH2474" s="54"/>
      <c r="JHI2474" s="60"/>
      <c r="JHJ2474" s="60"/>
      <c r="JHK2474" s="60"/>
      <c r="JHL2474" s="60"/>
      <c r="JHM2474" s="63"/>
      <c r="JHN2474" s="61"/>
      <c r="JHO2474" s="54"/>
      <c r="JHP2474" s="54"/>
      <c r="JHQ2474" s="60"/>
      <c r="JHR2474" s="60"/>
      <c r="JHS2474" s="60"/>
      <c r="JHT2474" s="60"/>
      <c r="JHU2474" s="63"/>
      <c r="JHV2474" s="61"/>
      <c r="JHW2474" s="54"/>
      <c r="JHX2474" s="54"/>
      <c r="JHY2474" s="60"/>
      <c r="JHZ2474" s="60"/>
      <c r="JIA2474" s="60"/>
      <c r="JIB2474" s="60"/>
      <c r="JIC2474" s="63"/>
      <c r="JID2474" s="61"/>
      <c r="JIE2474" s="54"/>
      <c r="JIF2474" s="54"/>
      <c r="JIG2474" s="60"/>
      <c r="JIH2474" s="60"/>
      <c r="JII2474" s="60"/>
      <c r="JIJ2474" s="60"/>
      <c r="JIK2474" s="63"/>
      <c r="JIL2474" s="61"/>
      <c r="JIM2474" s="54"/>
      <c r="JIN2474" s="54"/>
      <c r="JIO2474" s="60"/>
      <c r="JIP2474" s="60"/>
      <c r="JIQ2474" s="60"/>
      <c r="JIR2474" s="60"/>
      <c r="JIS2474" s="63"/>
      <c r="JIT2474" s="61"/>
      <c r="JIU2474" s="54"/>
      <c r="JIV2474" s="54"/>
      <c r="JIW2474" s="60"/>
      <c r="JIX2474" s="60"/>
      <c r="JIY2474" s="60"/>
      <c r="JIZ2474" s="60"/>
      <c r="JJA2474" s="63"/>
      <c r="JJB2474" s="61"/>
      <c r="JJC2474" s="54"/>
      <c r="JJD2474" s="54"/>
      <c r="JJE2474" s="60"/>
      <c r="JJF2474" s="60"/>
      <c r="JJG2474" s="60"/>
      <c r="JJH2474" s="60"/>
      <c r="JJI2474" s="63"/>
      <c r="JJJ2474" s="61"/>
      <c r="JJK2474" s="54"/>
      <c r="JJL2474" s="54"/>
      <c r="JJM2474" s="60"/>
      <c r="JJN2474" s="60"/>
      <c r="JJO2474" s="60"/>
      <c r="JJP2474" s="60"/>
      <c r="JJQ2474" s="63"/>
      <c r="JJR2474" s="61"/>
      <c r="JJS2474" s="54"/>
      <c r="JJT2474" s="54"/>
      <c r="JJU2474" s="60"/>
      <c r="JJV2474" s="60"/>
      <c r="JJW2474" s="60"/>
      <c r="JJX2474" s="60"/>
      <c r="JJY2474" s="63"/>
      <c r="JJZ2474" s="61"/>
      <c r="JKA2474" s="54"/>
      <c r="JKB2474" s="54"/>
      <c r="JKC2474" s="60"/>
      <c r="JKD2474" s="60"/>
      <c r="JKE2474" s="60"/>
      <c r="JKF2474" s="60"/>
      <c r="JKG2474" s="63"/>
      <c r="JKH2474" s="61"/>
      <c r="JKI2474" s="54"/>
      <c r="JKJ2474" s="54"/>
      <c r="JKK2474" s="60"/>
      <c r="JKL2474" s="60"/>
      <c r="JKM2474" s="60"/>
      <c r="JKN2474" s="60"/>
      <c r="JKO2474" s="63"/>
      <c r="JKP2474" s="61"/>
      <c r="JKQ2474" s="54"/>
      <c r="JKR2474" s="54"/>
      <c r="JKS2474" s="60"/>
      <c r="JKT2474" s="60"/>
      <c r="JKU2474" s="60"/>
      <c r="JKV2474" s="60"/>
      <c r="JKW2474" s="63"/>
      <c r="JKX2474" s="61"/>
      <c r="JKY2474" s="54"/>
      <c r="JKZ2474" s="54"/>
      <c r="JLA2474" s="60"/>
      <c r="JLB2474" s="60"/>
      <c r="JLC2474" s="60"/>
      <c r="JLD2474" s="60"/>
      <c r="JLE2474" s="63"/>
      <c r="JLF2474" s="61"/>
      <c r="JLG2474" s="54"/>
      <c r="JLH2474" s="54"/>
      <c r="JLI2474" s="60"/>
      <c r="JLJ2474" s="60"/>
      <c r="JLK2474" s="60"/>
      <c r="JLL2474" s="60"/>
      <c r="JLM2474" s="63"/>
      <c r="JLN2474" s="61"/>
      <c r="JLO2474" s="54"/>
      <c r="JLP2474" s="54"/>
      <c r="JLQ2474" s="60"/>
      <c r="JLR2474" s="60"/>
      <c r="JLS2474" s="60"/>
      <c r="JLT2474" s="60"/>
      <c r="JLU2474" s="63"/>
      <c r="JLV2474" s="61"/>
      <c r="JLW2474" s="54"/>
      <c r="JLX2474" s="54"/>
      <c r="JLY2474" s="60"/>
      <c r="JLZ2474" s="60"/>
      <c r="JMA2474" s="60"/>
      <c r="JMB2474" s="60"/>
      <c r="JMC2474" s="63"/>
      <c r="JMD2474" s="61"/>
      <c r="JME2474" s="54"/>
      <c r="JMF2474" s="54"/>
      <c r="JMG2474" s="60"/>
      <c r="JMH2474" s="60"/>
      <c r="JMI2474" s="60"/>
      <c r="JMJ2474" s="60"/>
      <c r="JMK2474" s="63"/>
      <c r="JML2474" s="61"/>
      <c r="JMM2474" s="54"/>
      <c r="JMN2474" s="54"/>
      <c r="JMO2474" s="60"/>
      <c r="JMP2474" s="60"/>
      <c r="JMQ2474" s="60"/>
      <c r="JMR2474" s="60"/>
      <c r="JMS2474" s="63"/>
      <c r="JMT2474" s="61"/>
      <c r="JMU2474" s="54"/>
      <c r="JMV2474" s="54"/>
      <c r="JMW2474" s="60"/>
      <c r="JMX2474" s="60"/>
      <c r="JMY2474" s="60"/>
      <c r="JMZ2474" s="60"/>
      <c r="JNA2474" s="63"/>
      <c r="JNB2474" s="61"/>
      <c r="JNC2474" s="54"/>
      <c r="JND2474" s="54"/>
      <c r="JNE2474" s="60"/>
      <c r="JNF2474" s="60"/>
      <c r="JNG2474" s="60"/>
      <c r="JNH2474" s="60"/>
      <c r="JNI2474" s="63"/>
      <c r="JNJ2474" s="61"/>
      <c r="JNK2474" s="54"/>
      <c r="JNL2474" s="54"/>
      <c r="JNM2474" s="60"/>
      <c r="JNN2474" s="60"/>
      <c r="JNO2474" s="60"/>
      <c r="JNP2474" s="60"/>
      <c r="JNQ2474" s="63"/>
      <c r="JNR2474" s="61"/>
      <c r="JNS2474" s="54"/>
      <c r="JNT2474" s="54"/>
      <c r="JNU2474" s="60"/>
      <c r="JNV2474" s="60"/>
      <c r="JNW2474" s="60"/>
      <c r="JNX2474" s="60"/>
      <c r="JNY2474" s="63"/>
      <c r="JNZ2474" s="61"/>
      <c r="JOA2474" s="54"/>
      <c r="JOB2474" s="54"/>
      <c r="JOC2474" s="60"/>
      <c r="JOD2474" s="60"/>
      <c r="JOE2474" s="60"/>
      <c r="JOF2474" s="60"/>
      <c r="JOG2474" s="63"/>
      <c r="JOH2474" s="61"/>
      <c r="JOI2474" s="54"/>
      <c r="JOJ2474" s="54"/>
      <c r="JOK2474" s="60"/>
      <c r="JOL2474" s="60"/>
      <c r="JOM2474" s="60"/>
      <c r="JON2474" s="60"/>
      <c r="JOO2474" s="63"/>
      <c r="JOP2474" s="61"/>
      <c r="JOQ2474" s="54"/>
      <c r="JOR2474" s="54"/>
      <c r="JOS2474" s="60"/>
      <c r="JOT2474" s="60"/>
      <c r="JOU2474" s="60"/>
      <c r="JOV2474" s="60"/>
      <c r="JOW2474" s="63"/>
      <c r="JOX2474" s="61"/>
      <c r="JOY2474" s="54"/>
      <c r="JOZ2474" s="54"/>
      <c r="JPA2474" s="60"/>
      <c r="JPB2474" s="60"/>
      <c r="JPC2474" s="60"/>
      <c r="JPD2474" s="60"/>
      <c r="JPE2474" s="63"/>
      <c r="JPF2474" s="61"/>
      <c r="JPG2474" s="54"/>
      <c r="JPH2474" s="54"/>
      <c r="JPI2474" s="60"/>
      <c r="JPJ2474" s="60"/>
      <c r="JPK2474" s="60"/>
      <c r="JPL2474" s="60"/>
      <c r="JPM2474" s="63"/>
      <c r="JPN2474" s="61"/>
      <c r="JPO2474" s="54"/>
      <c r="JPP2474" s="54"/>
      <c r="JPQ2474" s="60"/>
      <c r="JPR2474" s="60"/>
      <c r="JPS2474" s="60"/>
      <c r="JPT2474" s="60"/>
      <c r="JPU2474" s="63"/>
      <c r="JPV2474" s="61"/>
      <c r="JPW2474" s="54"/>
      <c r="JPX2474" s="54"/>
      <c r="JPY2474" s="60"/>
      <c r="JPZ2474" s="60"/>
      <c r="JQA2474" s="60"/>
      <c r="JQB2474" s="60"/>
      <c r="JQC2474" s="63"/>
      <c r="JQD2474" s="61"/>
      <c r="JQE2474" s="54"/>
      <c r="JQF2474" s="54"/>
      <c r="JQG2474" s="60"/>
      <c r="JQH2474" s="60"/>
      <c r="JQI2474" s="60"/>
      <c r="JQJ2474" s="60"/>
      <c r="JQK2474" s="63"/>
      <c r="JQL2474" s="61"/>
      <c r="JQM2474" s="54"/>
      <c r="JQN2474" s="54"/>
      <c r="JQO2474" s="60"/>
      <c r="JQP2474" s="60"/>
      <c r="JQQ2474" s="60"/>
      <c r="JQR2474" s="60"/>
      <c r="JQS2474" s="63"/>
      <c r="JQT2474" s="61"/>
      <c r="JQU2474" s="54"/>
      <c r="JQV2474" s="54"/>
      <c r="JQW2474" s="60"/>
      <c r="JQX2474" s="60"/>
      <c r="JQY2474" s="60"/>
      <c r="JQZ2474" s="60"/>
      <c r="JRA2474" s="63"/>
      <c r="JRB2474" s="61"/>
      <c r="JRC2474" s="54"/>
      <c r="JRD2474" s="54"/>
      <c r="JRE2474" s="60"/>
      <c r="JRF2474" s="60"/>
      <c r="JRG2474" s="60"/>
      <c r="JRH2474" s="60"/>
      <c r="JRI2474" s="63"/>
      <c r="JRJ2474" s="61"/>
      <c r="JRK2474" s="54"/>
      <c r="JRL2474" s="54"/>
      <c r="JRM2474" s="60"/>
      <c r="JRN2474" s="60"/>
      <c r="JRO2474" s="60"/>
      <c r="JRP2474" s="60"/>
      <c r="JRQ2474" s="63"/>
      <c r="JRR2474" s="61"/>
      <c r="JRS2474" s="54"/>
      <c r="JRT2474" s="54"/>
      <c r="JRU2474" s="60"/>
      <c r="JRV2474" s="60"/>
      <c r="JRW2474" s="60"/>
      <c r="JRX2474" s="60"/>
      <c r="JRY2474" s="63"/>
      <c r="JRZ2474" s="61"/>
      <c r="JSA2474" s="54"/>
      <c r="JSB2474" s="54"/>
      <c r="JSC2474" s="60"/>
      <c r="JSD2474" s="60"/>
      <c r="JSE2474" s="60"/>
      <c r="JSF2474" s="60"/>
      <c r="JSG2474" s="63"/>
      <c r="JSH2474" s="61"/>
      <c r="JSI2474" s="54"/>
      <c r="JSJ2474" s="54"/>
      <c r="JSK2474" s="60"/>
      <c r="JSL2474" s="60"/>
      <c r="JSM2474" s="60"/>
      <c r="JSN2474" s="60"/>
      <c r="JSO2474" s="63"/>
      <c r="JSP2474" s="61"/>
      <c r="JSQ2474" s="54"/>
      <c r="JSR2474" s="54"/>
      <c r="JSS2474" s="60"/>
      <c r="JST2474" s="60"/>
      <c r="JSU2474" s="60"/>
      <c r="JSV2474" s="60"/>
      <c r="JSW2474" s="63"/>
      <c r="JSX2474" s="61"/>
      <c r="JSY2474" s="54"/>
      <c r="JSZ2474" s="54"/>
      <c r="JTA2474" s="60"/>
      <c r="JTB2474" s="60"/>
      <c r="JTC2474" s="60"/>
      <c r="JTD2474" s="60"/>
      <c r="JTE2474" s="63"/>
      <c r="JTF2474" s="61"/>
      <c r="JTG2474" s="54"/>
      <c r="JTH2474" s="54"/>
      <c r="JTI2474" s="60"/>
      <c r="JTJ2474" s="60"/>
      <c r="JTK2474" s="60"/>
      <c r="JTL2474" s="60"/>
      <c r="JTM2474" s="63"/>
      <c r="JTN2474" s="61"/>
      <c r="JTO2474" s="54"/>
      <c r="JTP2474" s="54"/>
      <c r="JTQ2474" s="60"/>
      <c r="JTR2474" s="60"/>
      <c r="JTS2474" s="60"/>
      <c r="JTT2474" s="60"/>
      <c r="JTU2474" s="63"/>
      <c r="JTV2474" s="61"/>
      <c r="JTW2474" s="54"/>
      <c r="JTX2474" s="54"/>
      <c r="JTY2474" s="60"/>
      <c r="JTZ2474" s="60"/>
      <c r="JUA2474" s="60"/>
      <c r="JUB2474" s="60"/>
      <c r="JUC2474" s="63"/>
      <c r="JUD2474" s="61"/>
      <c r="JUE2474" s="54"/>
      <c r="JUF2474" s="54"/>
      <c r="JUG2474" s="60"/>
      <c r="JUH2474" s="60"/>
      <c r="JUI2474" s="60"/>
      <c r="JUJ2474" s="60"/>
      <c r="JUK2474" s="63"/>
      <c r="JUL2474" s="61"/>
      <c r="JUM2474" s="54"/>
      <c r="JUN2474" s="54"/>
      <c r="JUO2474" s="60"/>
      <c r="JUP2474" s="60"/>
      <c r="JUQ2474" s="60"/>
      <c r="JUR2474" s="60"/>
      <c r="JUS2474" s="63"/>
      <c r="JUT2474" s="61"/>
      <c r="JUU2474" s="54"/>
      <c r="JUV2474" s="54"/>
      <c r="JUW2474" s="60"/>
      <c r="JUX2474" s="60"/>
      <c r="JUY2474" s="60"/>
      <c r="JUZ2474" s="60"/>
      <c r="JVA2474" s="63"/>
      <c r="JVB2474" s="61"/>
      <c r="JVC2474" s="54"/>
      <c r="JVD2474" s="54"/>
      <c r="JVE2474" s="60"/>
      <c r="JVF2474" s="60"/>
      <c r="JVG2474" s="60"/>
      <c r="JVH2474" s="60"/>
      <c r="JVI2474" s="63"/>
      <c r="JVJ2474" s="61"/>
      <c r="JVK2474" s="54"/>
      <c r="JVL2474" s="54"/>
      <c r="JVM2474" s="60"/>
      <c r="JVN2474" s="60"/>
      <c r="JVO2474" s="60"/>
      <c r="JVP2474" s="60"/>
      <c r="JVQ2474" s="63"/>
      <c r="JVR2474" s="61"/>
      <c r="JVS2474" s="54"/>
      <c r="JVT2474" s="54"/>
      <c r="JVU2474" s="60"/>
      <c r="JVV2474" s="60"/>
      <c r="JVW2474" s="60"/>
      <c r="JVX2474" s="60"/>
      <c r="JVY2474" s="63"/>
      <c r="JVZ2474" s="61"/>
      <c r="JWA2474" s="54"/>
      <c r="JWB2474" s="54"/>
      <c r="JWC2474" s="60"/>
      <c r="JWD2474" s="60"/>
      <c r="JWE2474" s="60"/>
      <c r="JWF2474" s="60"/>
      <c r="JWG2474" s="63"/>
      <c r="JWH2474" s="61"/>
      <c r="JWI2474" s="54"/>
      <c r="JWJ2474" s="54"/>
      <c r="JWK2474" s="60"/>
      <c r="JWL2474" s="60"/>
      <c r="JWM2474" s="60"/>
      <c r="JWN2474" s="60"/>
      <c r="JWO2474" s="63"/>
      <c r="JWP2474" s="61"/>
      <c r="JWQ2474" s="54"/>
      <c r="JWR2474" s="54"/>
      <c r="JWS2474" s="60"/>
      <c r="JWT2474" s="60"/>
      <c r="JWU2474" s="60"/>
      <c r="JWV2474" s="60"/>
      <c r="JWW2474" s="63"/>
      <c r="JWX2474" s="61"/>
      <c r="JWY2474" s="54"/>
      <c r="JWZ2474" s="54"/>
      <c r="JXA2474" s="60"/>
      <c r="JXB2474" s="60"/>
      <c r="JXC2474" s="60"/>
      <c r="JXD2474" s="60"/>
      <c r="JXE2474" s="63"/>
      <c r="JXF2474" s="61"/>
      <c r="JXG2474" s="54"/>
      <c r="JXH2474" s="54"/>
      <c r="JXI2474" s="60"/>
      <c r="JXJ2474" s="60"/>
      <c r="JXK2474" s="60"/>
      <c r="JXL2474" s="60"/>
      <c r="JXM2474" s="63"/>
      <c r="JXN2474" s="61"/>
      <c r="JXO2474" s="54"/>
      <c r="JXP2474" s="54"/>
      <c r="JXQ2474" s="60"/>
      <c r="JXR2474" s="60"/>
      <c r="JXS2474" s="60"/>
      <c r="JXT2474" s="60"/>
      <c r="JXU2474" s="63"/>
      <c r="JXV2474" s="61"/>
      <c r="JXW2474" s="54"/>
      <c r="JXX2474" s="54"/>
      <c r="JXY2474" s="60"/>
      <c r="JXZ2474" s="60"/>
      <c r="JYA2474" s="60"/>
      <c r="JYB2474" s="60"/>
      <c r="JYC2474" s="63"/>
      <c r="JYD2474" s="61"/>
      <c r="JYE2474" s="54"/>
      <c r="JYF2474" s="54"/>
      <c r="JYG2474" s="60"/>
      <c r="JYH2474" s="60"/>
      <c r="JYI2474" s="60"/>
      <c r="JYJ2474" s="60"/>
      <c r="JYK2474" s="63"/>
      <c r="JYL2474" s="61"/>
      <c r="JYM2474" s="54"/>
      <c r="JYN2474" s="54"/>
      <c r="JYO2474" s="60"/>
      <c r="JYP2474" s="60"/>
      <c r="JYQ2474" s="60"/>
      <c r="JYR2474" s="60"/>
      <c r="JYS2474" s="63"/>
      <c r="JYT2474" s="61"/>
      <c r="JYU2474" s="54"/>
      <c r="JYV2474" s="54"/>
      <c r="JYW2474" s="60"/>
      <c r="JYX2474" s="60"/>
      <c r="JYY2474" s="60"/>
      <c r="JYZ2474" s="60"/>
      <c r="JZA2474" s="63"/>
      <c r="JZB2474" s="61"/>
      <c r="JZC2474" s="54"/>
      <c r="JZD2474" s="54"/>
      <c r="JZE2474" s="60"/>
      <c r="JZF2474" s="60"/>
      <c r="JZG2474" s="60"/>
      <c r="JZH2474" s="60"/>
      <c r="JZI2474" s="63"/>
      <c r="JZJ2474" s="61"/>
      <c r="JZK2474" s="54"/>
      <c r="JZL2474" s="54"/>
      <c r="JZM2474" s="60"/>
      <c r="JZN2474" s="60"/>
      <c r="JZO2474" s="60"/>
      <c r="JZP2474" s="60"/>
      <c r="JZQ2474" s="63"/>
      <c r="JZR2474" s="61"/>
      <c r="JZS2474" s="54"/>
      <c r="JZT2474" s="54"/>
      <c r="JZU2474" s="60"/>
      <c r="JZV2474" s="60"/>
      <c r="JZW2474" s="60"/>
      <c r="JZX2474" s="60"/>
      <c r="JZY2474" s="63"/>
      <c r="JZZ2474" s="61"/>
      <c r="KAA2474" s="54"/>
      <c r="KAB2474" s="54"/>
      <c r="KAC2474" s="60"/>
      <c r="KAD2474" s="60"/>
      <c r="KAE2474" s="60"/>
      <c r="KAF2474" s="60"/>
      <c r="KAG2474" s="63"/>
      <c r="KAH2474" s="61"/>
      <c r="KAI2474" s="54"/>
      <c r="KAJ2474" s="54"/>
      <c r="KAK2474" s="60"/>
      <c r="KAL2474" s="60"/>
      <c r="KAM2474" s="60"/>
      <c r="KAN2474" s="60"/>
      <c r="KAO2474" s="63"/>
      <c r="KAP2474" s="61"/>
      <c r="KAQ2474" s="54"/>
      <c r="KAR2474" s="54"/>
      <c r="KAS2474" s="60"/>
      <c r="KAT2474" s="60"/>
      <c r="KAU2474" s="60"/>
      <c r="KAV2474" s="60"/>
      <c r="KAW2474" s="63"/>
      <c r="KAX2474" s="61"/>
      <c r="KAY2474" s="54"/>
      <c r="KAZ2474" s="54"/>
      <c r="KBA2474" s="60"/>
      <c r="KBB2474" s="60"/>
      <c r="KBC2474" s="60"/>
      <c r="KBD2474" s="60"/>
      <c r="KBE2474" s="63"/>
      <c r="KBF2474" s="61"/>
      <c r="KBG2474" s="54"/>
      <c r="KBH2474" s="54"/>
      <c r="KBI2474" s="60"/>
      <c r="KBJ2474" s="60"/>
      <c r="KBK2474" s="60"/>
      <c r="KBL2474" s="60"/>
      <c r="KBM2474" s="63"/>
      <c r="KBN2474" s="61"/>
      <c r="KBO2474" s="54"/>
      <c r="KBP2474" s="54"/>
      <c r="KBQ2474" s="60"/>
      <c r="KBR2474" s="60"/>
      <c r="KBS2474" s="60"/>
      <c r="KBT2474" s="60"/>
      <c r="KBU2474" s="63"/>
      <c r="KBV2474" s="61"/>
      <c r="KBW2474" s="54"/>
      <c r="KBX2474" s="54"/>
      <c r="KBY2474" s="60"/>
      <c r="KBZ2474" s="60"/>
      <c r="KCA2474" s="60"/>
      <c r="KCB2474" s="60"/>
      <c r="KCC2474" s="63"/>
      <c r="KCD2474" s="61"/>
      <c r="KCE2474" s="54"/>
      <c r="KCF2474" s="54"/>
      <c r="KCG2474" s="60"/>
      <c r="KCH2474" s="60"/>
      <c r="KCI2474" s="60"/>
      <c r="KCJ2474" s="60"/>
      <c r="KCK2474" s="63"/>
      <c r="KCL2474" s="61"/>
      <c r="KCM2474" s="54"/>
      <c r="KCN2474" s="54"/>
      <c r="KCO2474" s="60"/>
      <c r="KCP2474" s="60"/>
      <c r="KCQ2474" s="60"/>
      <c r="KCR2474" s="60"/>
      <c r="KCS2474" s="63"/>
      <c r="KCT2474" s="61"/>
      <c r="KCU2474" s="54"/>
      <c r="KCV2474" s="54"/>
      <c r="KCW2474" s="60"/>
      <c r="KCX2474" s="60"/>
      <c r="KCY2474" s="60"/>
      <c r="KCZ2474" s="60"/>
      <c r="KDA2474" s="63"/>
      <c r="KDB2474" s="61"/>
      <c r="KDC2474" s="54"/>
      <c r="KDD2474" s="54"/>
      <c r="KDE2474" s="60"/>
      <c r="KDF2474" s="60"/>
      <c r="KDG2474" s="60"/>
      <c r="KDH2474" s="60"/>
      <c r="KDI2474" s="63"/>
      <c r="KDJ2474" s="61"/>
      <c r="KDK2474" s="54"/>
      <c r="KDL2474" s="54"/>
      <c r="KDM2474" s="60"/>
      <c r="KDN2474" s="60"/>
      <c r="KDO2474" s="60"/>
      <c r="KDP2474" s="60"/>
      <c r="KDQ2474" s="63"/>
      <c r="KDR2474" s="61"/>
      <c r="KDS2474" s="54"/>
      <c r="KDT2474" s="54"/>
      <c r="KDU2474" s="60"/>
      <c r="KDV2474" s="60"/>
      <c r="KDW2474" s="60"/>
      <c r="KDX2474" s="60"/>
      <c r="KDY2474" s="63"/>
      <c r="KDZ2474" s="61"/>
      <c r="KEA2474" s="54"/>
      <c r="KEB2474" s="54"/>
      <c r="KEC2474" s="60"/>
      <c r="KED2474" s="60"/>
      <c r="KEE2474" s="60"/>
      <c r="KEF2474" s="60"/>
      <c r="KEG2474" s="63"/>
      <c r="KEH2474" s="61"/>
      <c r="KEI2474" s="54"/>
      <c r="KEJ2474" s="54"/>
      <c r="KEK2474" s="60"/>
      <c r="KEL2474" s="60"/>
      <c r="KEM2474" s="60"/>
      <c r="KEN2474" s="60"/>
      <c r="KEO2474" s="63"/>
      <c r="KEP2474" s="61"/>
      <c r="KEQ2474" s="54"/>
      <c r="KER2474" s="54"/>
      <c r="KES2474" s="60"/>
      <c r="KET2474" s="60"/>
      <c r="KEU2474" s="60"/>
      <c r="KEV2474" s="60"/>
      <c r="KEW2474" s="63"/>
      <c r="KEX2474" s="61"/>
      <c r="KEY2474" s="54"/>
      <c r="KEZ2474" s="54"/>
      <c r="KFA2474" s="60"/>
      <c r="KFB2474" s="60"/>
      <c r="KFC2474" s="60"/>
      <c r="KFD2474" s="60"/>
      <c r="KFE2474" s="63"/>
      <c r="KFF2474" s="61"/>
      <c r="KFG2474" s="54"/>
      <c r="KFH2474" s="54"/>
      <c r="KFI2474" s="60"/>
      <c r="KFJ2474" s="60"/>
      <c r="KFK2474" s="60"/>
      <c r="KFL2474" s="60"/>
      <c r="KFM2474" s="63"/>
      <c r="KFN2474" s="61"/>
      <c r="KFO2474" s="54"/>
      <c r="KFP2474" s="54"/>
      <c r="KFQ2474" s="60"/>
      <c r="KFR2474" s="60"/>
      <c r="KFS2474" s="60"/>
      <c r="KFT2474" s="60"/>
      <c r="KFU2474" s="63"/>
      <c r="KFV2474" s="61"/>
      <c r="KFW2474" s="54"/>
      <c r="KFX2474" s="54"/>
      <c r="KFY2474" s="60"/>
      <c r="KFZ2474" s="60"/>
      <c r="KGA2474" s="60"/>
      <c r="KGB2474" s="60"/>
      <c r="KGC2474" s="63"/>
      <c r="KGD2474" s="61"/>
      <c r="KGE2474" s="54"/>
      <c r="KGF2474" s="54"/>
      <c r="KGG2474" s="60"/>
      <c r="KGH2474" s="60"/>
      <c r="KGI2474" s="60"/>
      <c r="KGJ2474" s="60"/>
      <c r="KGK2474" s="63"/>
      <c r="KGL2474" s="61"/>
      <c r="KGM2474" s="54"/>
      <c r="KGN2474" s="54"/>
      <c r="KGO2474" s="60"/>
      <c r="KGP2474" s="60"/>
      <c r="KGQ2474" s="60"/>
      <c r="KGR2474" s="60"/>
      <c r="KGS2474" s="63"/>
      <c r="KGT2474" s="61"/>
      <c r="KGU2474" s="54"/>
      <c r="KGV2474" s="54"/>
      <c r="KGW2474" s="60"/>
      <c r="KGX2474" s="60"/>
      <c r="KGY2474" s="60"/>
      <c r="KGZ2474" s="60"/>
      <c r="KHA2474" s="63"/>
      <c r="KHB2474" s="61"/>
      <c r="KHC2474" s="54"/>
      <c r="KHD2474" s="54"/>
      <c r="KHE2474" s="60"/>
      <c r="KHF2474" s="60"/>
      <c r="KHG2474" s="60"/>
      <c r="KHH2474" s="60"/>
      <c r="KHI2474" s="63"/>
      <c r="KHJ2474" s="61"/>
      <c r="KHK2474" s="54"/>
      <c r="KHL2474" s="54"/>
      <c r="KHM2474" s="60"/>
      <c r="KHN2474" s="60"/>
      <c r="KHO2474" s="60"/>
      <c r="KHP2474" s="60"/>
      <c r="KHQ2474" s="63"/>
      <c r="KHR2474" s="61"/>
      <c r="KHS2474" s="54"/>
      <c r="KHT2474" s="54"/>
      <c r="KHU2474" s="60"/>
      <c r="KHV2474" s="60"/>
      <c r="KHW2474" s="60"/>
      <c r="KHX2474" s="60"/>
      <c r="KHY2474" s="63"/>
      <c r="KHZ2474" s="61"/>
      <c r="KIA2474" s="54"/>
      <c r="KIB2474" s="54"/>
      <c r="KIC2474" s="60"/>
      <c r="KID2474" s="60"/>
      <c r="KIE2474" s="60"/>
      <c r="KIF2474" s="60"/>
      <c r="KIG2474" s="63"/>
      <c r="KIH2474" s="61"/>
      <c r="KII2474" s="54"/>
      <c r="KIJ2474" s="54"/>
      <c r="KIK2474" s="60"/>
      <c r="KIL2474" s="60"/>
      <c r="KIM2474" s="60"/>
      <c r="KIN2474" s="60"/>
      <c r="KIO2474" s="63"/>
      <c r="KIP2474" s="61"/>
      <c r="KIQ2474" s="54"/>
      <c r="KIR2474" s="54"/>
      <c r="KIS2474" s="60"/>
      <c r="KIT2474" s="60"/>
      <c r="KIU2474" s="60"/>
      <c r="KIV2474" s="60"/>
      <c r="KIW2474" s="63"/>
      <c r="KIX2474" s="61"/>
      <c r="KIY2474" s="54"/>
      <c r="KIZ2474" s="54"/>
      <c r="KJA2474" s="60"/>
      <c r="KJB2474" s="60"/>
      <c r="KJC2474" s="60"/>
      <c r="KJD2474" s="60"/>
      <c r="KJE2474" s="63"/>
      <c r="KJF2474" s="61"/>
      <c r="KJG2474" s="54"/>
      <c r="KJH2474" s="54"/>
      <c r="KJI2474" s="60"/>
      <c r="KJJ2474" s="60"/>
      <c r="KJK2474" s="60"/>
      <c r="KJL2474" s="60"/>
      <c r="KJM2474" s="63"/>
      <c r="KJN2474" s="61"/>
      <c r="KJO2474" s="54"/>
      <c r="KJP2474" s="54"/>
      <c r="KJQ2474" s="60"/>
      <c r="KJR2474" s="60"/>
      <c r="KJS2474" s="60"/>
      <c r="KJT2474" s="60"/>
      <c r="KJU2474" s="63"/>
      <c r="KJV2474" s="61"/>
      <c r="KJW2474" s="54"/>
      <c r="KJX2474" s="54"/>
      <c r="KJY2474" s="60"/>
      <c r="KJZ2474" s="60"/>
      <c r="KKA2474" s="60"/>
      <c r="KKB2474" s="60"/>
      <c r="KKC2474" s="63"/>
      <c r="KKD2474" s="61"/>
      <c r="KKE2474" s="54"/>
      <c r="KKF2474" s="54"/>
      <c r="KKG2474" s="60"/>
      <c r="KKH2474" s="60"/>
      <c r="KKI2474" s="60"/>
      <c r="KKJ2474" s="60"/>
      <c r="KKK2474" s="63"/>
      <c r="KKL2474" s="61"/>
      <c r="KKM2474" s="54"/>
      <c r="KKN2474" s="54"/>
      <c r="KKO2474" s="60"/>
      <c r="KKP2474" s="60"/>
      <c r="KKQ2474" s="60"/>
      <c r="KKR2474" s="60"/>
      <c r="KKS2474" s="63"/>
      <c r="KKT2474" s="61"/>
      <c r="KKU2474" s="54"/>
      <c r="KKV2474" s="54"/>
      <c r="KKW2474" s="60"/>
      <c r="KKX2474" s="60"/>
      <c r="KKY2474" s="60"/>
      <c r="KKZ2474" s="60"/>
      <c r="KLA2474" s="63"/>
      <c r="KLB2474" s="61"/>
      <c r="KLC2474" s="54"/>
      <c r="KLD2474" s="54"/>
      <c r="KLE2474" s="60"/>
      <c r="KLF2474" s="60"/>
      <c r="KLG2474" s="60"/>
      <c r="KLH2474" s="60"/>
      <c r="KLI2474" s="63"/>
      <c r="KLJ2474" s="61"/>
      <c r="KLK2474" s="54"/>
      <c r="KLL2474" s="54"/>
      <c r="KLM2474" s="60"/>
      <c r="KLN2474" s="60"/>
      <c r="KLO2474" s="60"/>
      <c r="KLP2474" s="60"/>
      <c r="KLQ2474" s="63"/>
      <c r="KLR2474" s="61"/>
      <c r="KLS2474" s="54"/>
      <c r="KLT2474" s="54"/>
      <c r="KLU2474" s="60"/>
      <c r="KLV2474" s="60"/>
      <c r="KLW2474" s="60"/>
      <c r="KLX2474" s="60"/>
      <c r="KLY2474" s="63"/>
      <c r="KLZ2474" s="61"/>
      <c r="KMA2474" s="54"/>
      <c r="KMB2474" s="54"/>
      <c r="KMC2474" s="60"/>
      <c r="KMD2474" s="60"/>
      <c r="KME2474" s="60"/>
      <c r="KMF2474" s="60"/>
      <c r="KMG2474" s="63"/>
      <c r="KMH2474" s="61"/>
      <c r="KMI2474" s="54"/>
      <c r="KMJ2474" s="54"/>
      <c r="KMK2474" s="60"/>
      <c r="KML2474" s="60"/>
      <c r="KMM2474" s="60"/>
      <c r="KMN2474" s="60"/>
      <c r="KMO2474" s="63"/>
      <c r="KMP2474" s="61"/>
      <c r="KMQ2474" s="54"/>
      <c r="KMR2474" s="54"/>
      <c r="KMS2474" s="60"/>
      <c r="KMT2474" s="60"/>
      <c r="KMU2474" s="60"/>
      <c r="KMV2474" s="60"/>
      <c r="KMW2474" s="63"/>
      <c r="KMX2474" s="61"/>
      <c r="KMY2474" s="54"/>
      <c r="KMZ2474" s="54"/>
      <c r="KNA2474" s="60"/>
      <c r="KNB2474" s="60"/>
      <c r="KNC2474" s="60"/>
      <c r="KND2474" s="60"/>
      <c r="KNE2474" s="63"/>
      <c r="KNF2474" s="61"/>
      <c r="KNG2474" s="54"/>
      <c r="KNH2474" s="54"/>
      <c r="KNI2474" s="60"/>
      <c r="KNJ2474" s="60"/>
      <c r="KNK2474" s="60"/>
      <c r="KNL2474" s="60"/>
      <c r="KNM2474" s="63"/>
      <c r="KNN2474" s="61"/>
      <c r="KNO2474" s="54"/>
      <c r="KNP2474" s="54"/>
      <c r="KNQ2474" s="60"/>
      <c r="KNR2474" s="60"/>
      <c r="KNS2474" s="60"/>
      <c r="KNT2474" s="60"/>
      <c r="KNU2474" s="63"/>
      <c r="KNV2474" s="61"/>
      <c r="KNW2474" s="54"/>
      <c r="KNX2474" s="54"/>
      <c r="KNY2474" s="60"/>
      <c r="KNZ2474" s="60"/>
      <c r="KOA2474" s="60"/>
      <c r="KOB2474" s="60"/>
      <c r="KOC2474" s="63"/>
      <c r="KOD2474" s="61"/>
      <c r="KOE2474" s="54"/>
      <c r="KOF2474" s="54"/>
      <c r="KOG2474" s="60"/>
      <c r="KOH2474" s="60"/>
      <c r="KOI2474" s="60"/>
      <c r="KOJ2474" s="60"/>
      <c r="KOK2474" s="63"/>
      <c r="KOL2474" s="61"/>
      <c r="KOM2474" s="54"/>
      <c r="KON2474" s="54"/>
      <c r="KOO2474" s="60"/>
      <c r="KOP2474" s="60"/>
      <c r="KOQ2474" s="60"/>
      <c r="KOR2474" s="60"/>
      <c r="KOS2474" s="63"/>
      <c r="KOT2474" s="61"/>
      <c r="KOU2474" s="54"/>
      <c r="KOV2474" s="54"/>
      <c r="KOW2474" s="60"/>
      <c r="KOX2474" s="60"/>
      <c r="KOY2474" s="60"/>
      <c r="KOZ2474" s="60"/>
      <c r="KPA2474" s="63"/>
      <c r="KPB2474" s="61"/>
      <c r="KPC2474" s="54"/>
      <c r="KPD2474" s="54"/>
      <c r="KPE2474" s="60"/>
      <c r="KPF2474" s="60"/>
      <c r="KPG2474" s="60"/>
      <c r="KPH2474" s="60"/>
      <c r="KPI2474" s="63"/>
      <c r="KPJ2474" s="61"/>
      <c r="KPK2474" s="54"/>
      <c r="KPL2474" s="54"/>
      <c r="KPM2474" s="60"/>
      <c r="KPN2474" s="60"/>
      <c r="KPO2474" s="60"/>
      <c r="KPP2474" s="60"/>
      <c r="KPQ2474" s="63"/>
      <c r="KPR2474" s="61"/>
      <c r="KPS2474" s="54"/>
      <c r="KPT2474" s="54"/>
      <c r="KPU2474" s="60"/>
      <c r="KPV2474" s="60"/>
      <c r="KPW2474" s="60"/>
      <c r="KPX2474" s="60"/>
      <c r="KPY2474" s="63"/>
      <c r="KPZ2474" s="61"/>
      <c r="KQA2474" s="54"/>
      <c r="KQB2474" s="54"/>
      <c r="KQC2474" s="60"/>
      <c r="KQD2474" s="60"/>
      <c r="KQE2474" s="60"/>
      <c r="KQF2474" s="60"/>
      <c r="KQG2474" s="63"/>
      <c r="KQH2474" s="61"/>
      <c r="KQI2474" s="54"/>
      <c r="KQJ2474" s="54"/>
      <c r="KQK2474" s="60"/>
      <c r="KQL2474" s="60"/>
      <c r="KQM2474" s="60"/>
      <c r="KQN2474" s="60"/>
      <c r="KQO2474" s="63"/>
      <c r="KQP2474" s="61"/>
      <c r="KQQ2474" s="54"/>
      <c r="KQR2474" s="54"/>
      <c r="KQS2474" s="60"/>
      <c r="KQT2474" s="60"/>
      <c r="KQU2474" s="60"/>
      <c r="KQV2474" s="60"/>
      <c r="KQW2474" s="63"/>
      <c r="KQX2474" s="61"/>
      <c r="KQY2474" s="54"/>
      <c r="KQZ2474" s="54"/>
      <c r="KRA2474" s="60"/>
      <c r="KRB2474" s="60"/>
      <c r="KRC2474" s="60"/>
      <c r="KRD2474" s="60"/>
      <c r="KRE2474" s="63"/>
      <c r="KRF2474" s="61"/>
      <c r="KRG2474" s="54"/>
      <c r="KRH2474" s="54"/>
      <c r="KRI2474" s="60"/>
      <c r="KRJ2474" s="60"/>
      <c r="KRK2474" s="60"/>
      <c r="KRL2474" s="60"/>
      <c r="KRM2474" s="63"/>
      <c r="KRN2474" s="61"/>
      <c r="KRO2474" s="54"/>
      <c r="KRP2474" s="54"/>
      <c r="KRQ2474" s="60"/>
      <c r="KRR2474" s="60"/>
      <c r="KRS2474" s="60"/>
      <c r="KRT2474" s="60"/>
      <c r="KRU2474" s="63"/>
      <c r="KRV2474" s="61"/>
      <c r="KRW2474" s="54"/>
      <c r="KRX2474" s="54"/>
      <c r="KRY2474" s="60"/>
      <c r="KRZ2474" s="60"/>
      <c r="KSA2474" s="60"/>
      <c r="KSB2474" s="60"/>
      <c r="KSC2474" s="63"/>
      <c r="KSD2474" s="61"/>
      <c r="KSE2474" s="54"/>
      <c r="KSF2474" s="54"/>
      <c r="KSG2474" s="60"/>
      <c r="KSH2474" s="60"/>
      <c r="KSI2474" s="60"/>
      <c r="KSJ2474" s="60"/>
      <c r="KSK2474" s="63"/>
      <c r="KSL2474" s="61"/>
      <c r="KSM2474" s="54"/>
      <c r="KSN2474" s="54"/>
      <c r="KSO2474" s="60"/>
      <c r="KSP2474" s="60"/>
      <c r="KSQ2474" s="60"/>
      <c r="KSR2474" s="60"/>
      <c r="KSS2474" s="63"/>
      <c r="KST2474" s="61"/>
      <c r="KSU2474" s="54"/>
      <c r="KSV2474" s="54"/>
      <c r="KSW2474" s="60"/>
      <c r="KSX2474" s="60"/>
      <c r="KSY2474" s="60"/>
      <c r="KSZ2474" s="60"/>
      <c r="KTA2474" s="63"/>
      <c r="KTB2474" s="61"/>
      <c r="KTC2474" s="54"/>
      <c r="KTD2474" s="54"/>
      <c r="KTE2474" s="60"/>
      <c r="KTF2474" s="60"/>
      <c r="KTG2474" s="60"/>
      <c r="KTH2474" s="60"/>
      <c r="KTI2474" s="63"/>
      <c r="KTJ2474" s="61"/>
      <c r="KTK2474" s="54"/>
      <c r="KTL2474" s="54"/>
      <c r="KTM2474" s="60"/>
      <c r="KTN2474" s="60"/>
      <c r="KTO2474" s="60"/>
      <c r="KTP2474" s="60"/>
      <c r="KTQ2474" s="63"/>
      <c r="KTR2474" s="61"/>
      <c r="KTS2474" s="54"/>
      <c r="KTT2474" s="54"/>
      <c r="KTU2474" s="60"/>
      <c r="KTV2474" s="60"/>
      <c r="KTW2474" s="60"/>
      <c r="KTX2474" s="60"/>
      <c r="KTY2474" s="63"/>
      <c r="KTZ2474" s="61"/>
      <c r="KUA2474" s="54"/>
      <c r="KUB2474" s="54"/>
      <c r="KUC2474" s="60"/>
      <c r="KUD2474" s="60"/>
      <c r="KUE2474" s="60"/>
      <c r="KUF2474" s="60"/>
      <c r="KUG2474" s="63"/>
      <c r="KUH2474" s="61"/>
      <c r="KUI2474" s="54"/>
      <c r="KUJ2474" s="54"/>
      <c r="KUK2474" s="60"/>
      <c r="KUL2474" s="60"/>
      <c r="KUM2474" s="60"/>
      <c r="KUN2474" s="60"/>
      <c r="KUO2474" s="63"/>
      <c r="KUP2474" s="61"/>
      <c r="KUQ2474" s="54"/>
      <c r="KUR2474" s="54"/>
      <c r="KUS2474" s="60"/>
      <c r="KUT2474" s="60"/>
      <c r="KUU2474" s="60"/>
      <c r="KUV2474" s="60"/>
      <c r="KUW2474" s="63"/>
      <c r="KUX2474" s="61"/>
      <c r="KUY2474" s="54"/>
      <c r="KUZ2474" s="54"/>
      <c r="KVA2474" s="60"/>
      <c r="KVB2474" s="60"/>
      <c r="KVC2474" s="60"/>
      <c r="KVD2474" s="60"/>
      <c r="KVE2474" s="63"/>
      <c r="KVF2474" s="61"/>
      <c r="KVG2474" s="54"/>
      <c r="KVH2474" s="54"/>
      <c r="KVI2474" s="60"/>
      <c r="KVJ2474" s="60"/>
      <c r="KVK2474" s="60"/>
      <c r="KVL2474" s="60"/>
      <c r="KVM2474" s="63"/>
      <c r="KVN2474" s="61"/>
      <c r="KVO2474" s="54"/>
      <c r="KVP2474" s="54"/>
      <c r="KVQ2474" s="60"/>
      <c r="KVR2474" s="60"/>
      <c r="KVS2474" s="60"/>
      <c r="KVT2474" s="60"/>
      <c r="KVU2474" s="63"/>
      <c r="KVV2474" s="61"/>
      <c r="KVW2474" s="54"/>
      <c r="KVX2474" s="54"/>
      <c r="KVY2474" s="60"/>
      <c r="KVZ2474" s="60"/>
      <c r="KWA2474" s="60"/>
      <c r="KWB2474" s="60"/>
      <c r="KWC2474" s="63"/>
      <c r="KWD2474" s="61"/>
      <c r="KWE2474" s="54"/>
      <c r="KWF2474" s="54"/>
      <c r="KWG2474" s="60"/>
      <c r="KWH2474" s="60"/>
      <c r="KWI2474" s="60"/>
      <c r="KWJ2474" s="60"/>
      <c r="KWK2474" s="63"/>
      <c r="KWL2474" s="61"/>
      <c r="KWM2474" s="54"/>
      <c r="KWN2474" s="54"/>
      <c r="KWO2474" s="60"/>
      <c r="KWP2474" s="60"/>
      <c r="KWQ2474" s="60"/>
      <c r="KWR2474" s="60"/>
      <c r="KWS2474" s="63"/>
      <c r="KWT2474" s="61"/>
      <c r="KWU2474" s="54"/>
      <c r="KWV2474" s="54"/>
      <c r="KWW2474" s="60"/>
      <c r="KWX2474" s="60"/>
      <c r="KWY2474" s="60"/>
      <c r="KWZ2474" s="60"/>
      <c r="KXA2474" s="63"/>
      <c r="KXB2474" s="61"/>
      <c r="KXC2474" s="54"/>
      <c r="KXD2474" s="54"/>
      <c r="KXE2474" s="60"/>
      <c r="KXF2474" s="60"/>
      <c r="KXG2474" s="60"/>
      <c r="KXH2474" s="60"/>
      <c r="KXI2474" s="63"/>
      <c r="KXJ2474" s="61"/>
      <c r="KXK2474" s="54"/>
      <c r="KXL2474" s="54"/>
      <c r="KXM2474" s="60"/>
      <c r="KXN2474" s="60"/>
      <c r="KXO2474" s="60"/>
      <c r="KXP2474" s="60"/>
      <c r="KXQ2474" s="63"/>
      <c r="KXR2474" s="61"/>
      <c r="KXS2474" s="54"/>
      <c r="KXT2474" s="54"/>
      <c r="KXU2474" s="60"/>
      <c r="KXV2474" s="60"/>
      <c r="KXW2474" s="60"/>
      <c r="KXX2474" s="60"/>
      <c r="KXY2474" s="63"/>
      <c r="KXZ2474" s="61"/>
      <c r="KYA2474" s="54"/>
      <c r="KYB2474" s="54"/>
      <c r="KYC2474" s="60"/>
      <c r="KYD2474" s="60"/>
      <c r="KYE2474" s="60"/>
      <c r="KYF2474" s="60"/>
      <c r="KYG2474" s="63"/>
      <c r="KYH2474" s="61"/>
      <c r="KYI2474" s="54"/>
      <c r="KYJ2474" s="54"/>
      <c r="KYK2474" s="60"/>
      <c r="KYL2474" s="60"/>
      <c r="KYM2474" s="60"/>
      <c r="KYN2474" s="60"/>
      <c r="KYO2474" s="63"/>
      <c r="KYP2474" s="61"/>
      <c r="KYQ2474" s="54"/>
      <c r="KYR2474" s="54"/>
      <c r="KYS2474" s="60"/>
      <c r="KYT2474" s="60"/>
      <c r="KYU2474" s="60"/>
      <c r="KYV2474" s="60"/>
      <c r="KYW2474" s="63"/>
      <c r="KYX2474" s="61"/>
      <c r="KYY2474" s="54"/>
      <c r="KYZ2474" s="54"/>
      <c r="KZA2474" s="60"/>
      <c r="KZB2474" s="60"/>
      <c r="KZC2474" s="60"/>
      <c r="KZD2474" s="60"/>
      <c r="KZE2474" s="63"/>
      <c r="KZF2474" s="61"/>
      <c r="KZG2474" s="54"/>
      <c r="KZH2474" s="54"/>
      <c r="KZI2474" s="60"/>
      <c r="KZJ2474" s="60"/>
      <c r="KZK2474" s="60"/>
      <c r="KZL2474" s="60"/>
      <c r="KZM2474" s="63"/>
      <c r="KZN2474" s="61"/>
      <c r="KZO2474" s="54"/>
      <c r="KZP2474" s="54"/>
      <c r="KZQ2474" s="60"/>
      <c r="KZR2474" s="60"/>
      <c r="KZS2474" s="60"/>
      <c r="KZT2474" s="60"/>
      <c r="KZU2474" s="63"/>
      <c r="KZV2474" s="61"/>
      <c r="KZW2474" s="54"/>
      <c r="KZX2474" s="54"/>
      <c r="KZY2474" s="60"/>
      <c r="KZZ2474" s="60"/>
      <c r="LAA2474" s="60"/>
      <c r="LAB2474" s="60"/>
      <c r="LAC2474" s="63"/>
      <c r="LAD2474" s="61"/>
      <c r="LAE2474" s="54"/>
      <c r="LAF2474" s="54"/>
      <c r="LAG2474" s="60"/>
      <c r="LAH2474" s="60"/>
      <c r="LAI2474" s="60"/>
      <c r="LAJ2474" s="60"/>
      <c r="LAK2474" s="63"/>
      <c r="LAL2474" s="61"/>
      <c r="LAM2474" s="54"/>
      <c r="LAN2474" s="54"/>
      <c r="LAO2474" s="60"/>
      <c r="LAP2474" s="60"/>
      <c r="LAQ2474" s="60"/>
      <c r="LAR2474" s="60"/>
      <c r="LAS2474" s="63"/>
      <c r="LAT2474" s="61"/>
      <c r="LAU2474" s="54"/>
      <c r="LAV2474" s="54"/>
      <c r="LAW2474" s="60"/>
      <c r="LAX2474" s="60"/>
      <c r="LAY2474" s="60"/>
      <c r="LAZ2474" s="60"/>
      <c r="LBA2474" s="63"/>
      <c r="LBB2474" s="61"/>
      <c r="LBC2474" s="54"/>
      <c r="LBD2474" s="54"/>
      <c r="LBE2474" s="60"/>
      <c r="LBF2474" s="60"/>
      <c r="LBG2474" s="60"/>
      <c r="LBH2474" s="60"/>
      <c r="LBI2474" s="63"/>
      <c r="LBJ2474" s="61"/>
      <c r="LBK2474" s="54"/>
      <c r="LBL2474" s="54"/>
      <c r="LBM2474" s="60"/>
      <c r="LBN2474" s="60"/>
      <c r="LBO2474" s="60"/>
      <c r="LBP2474" s="60"/>
      <c r="LBQ2474" s="63"/>
      <c r="LBR2474" s="61"/>
      <c r="LBS2474" s="54"/>
      <c r="LBT2474" s="54"/>
      <c r="LBU2474" s="60"/>
      <c r="LBV2474" s="60"/>
      <c r="LBW2474" s="60"/>
      <c r="LBX2474" s="60"/>
      <c r="LBY2474" s="63"/>
      <c r="LBZ2474" s="61"/>
      <c r="LCA2474" s="54"/>
      <c r="LCB2474" s="54"/>
      <c r="LCC2474" s="60"/>
      <c r="LCD2474" s="60"/>
      <c r="LCE2474" s="60"/>
      <c r="LCF2474" s="60"/>
      <c r="LCG2474" s="63"/>
      <c r="LCH2474" s="61"/>
      <c r="LCI2474" s="54"/>
      <c r="LCJ2474" s="54"/>
      <c r="LCK2474" s="60"/>
      <c r="LCL2474" s="60"/>
      <c r="LCM2474" s="60"/>
      <c r="LCN2474" s="60"/>
      <c r="LCO2474" s="63"/>
      <c r="LCP2474" s="61"/>
      <c r="LCQ2474" s="54"/>
      <c r="LCR2474" s="54"/>
      <c r="LCS2474" s="60"/>
      <c r="LCT2474" s="60"/>
      <c r="LCU2474" s="60"/>
      <c r="LCV2474" s="60"/>
      <c r="LCW2474" s="63"/>
      <c r="LCX2474" s="61"/>
      <c r="LCY2474" s="54"/>
      <c r="LCZ2474" s="54"/>
      <c r="LDA2474" s="60"/>
      <c r="LDB2474" s="60"/>
      <c r="LDC2474" s="60"/>
      <c r="LDD2474" s="60"/>
      <c r="LDE2474" s="63"/>
      <c r="LDF2474" s="61"/>
      <c r="LDG2474" s="54"/>
      <c r="LDH2474" s="54"/>
      <c r="LDI2474" s="60"/>
      <c r="LDJ2474" s="60"/>
      <c r="LDK2474" s="60"/>
      <c r="LDL2474" s="60"/>
      <c r="LDM2474" s="63"/>
      <c r="LDN2474" s="61"/>
      <c r="LDO2474" s="54"/>
      <c r="LDP2474" s="54"/>
      <c r="LDQ2474" s="60"/>
      <c r="LDR2474" s="60"/>
      <c r="LDS2474" s="60"/>
      <c r="LDT2474" s="60"/>
      <c r="LDU2474" s="63"/>
      <c r="LDV2474" s="61"/>
      <c r="LDW2474" s="54"/>
      <c r="LDX2474" s="54"/>
      <c r="LDY2474" s="60"/>
      <c r="LDZ2474" s="60"/>
      <c r="LEA2474" s="60"/>
      <c r="LEB2474" s="60"/>
      <c r="LEC2474" s="63"/>
      <c r="LED2474" s="61"/>
      <c r="LEE2474" s="54"/>
      <c r="LEF2474" s="54"/>
      <c r="LEG2474" s="60"/>
      <c r="LEH2474" s="60"/>
      <c r="LEI2474" s="60"/>
      <c r="LEJ2474" s="60"/>
      <c r="LEK2474" s="63"/>
      <c r="LEL2474" s="61"/>
      <c r="LEM2474" s="54"/>
      <c r="LEN2474" s="54"/>
      <c r="LEO2474" s="60"/>
      <c r="LEP2474" s="60"/>
      <c r="LEQ2474" s="60"/>
      <c r="LER2474" s="60"/>
      <c r="LES2474" s="63"/>
      <c r="LET2474" s="61"/>
      <c r="LEU2474" s="54"/>
      <c r="LEV2474" s="54"/>
      <c r="LEW2474" s="60"/>
      <c r="LEX2474" s="60"/>
      <c r="LEY2474" s="60"/>
      <c r="LEZ2474" s="60"/>
      <c r="LFA2474" s="63"/>
      <c r="LFB2474" s="61"/>
      <c r="LFC2474" s="54"/>
      <c r="LFD2474" s="54"/>
      <c r="LFE2474" s="60"/>
      <c r="LFF2474" s="60"/>
      <c r="LFG2474" s="60"/>
      <c r="LFH2474" s="60"/>
      <c r="LFI2474" s="63"/>
      <c r="LFJ2474" s="61"/>
      <c r="LFK2474" s="54"/>
      <c r="LFL2474" s="54"/>
      <c r="LFM2474" s="60"/>
      <c r="LFN2474" s="60"/>
      <c r="LFO2474" s="60"/>
      <c r="LFP2474" s="60"/>
      <c r="LFQ2474" s="63"/>
      <c r="LFR2474" s="61"/>
      <c r="LFS2474" s="54"/>
      <c r="LFT2474" s="54"/>
      <c r="LFU2474" s="60"/>
      <c r="LFV2474" s="60"/>
      <c r="LFW2474" s="60"/>
      <c r="LFX2474" s="60"/>
      <c r="LFY2474" s="63"/>
      <c r="LFZ2474" s="61"/>
      <c r="LGA2474" s="54"/>
      <c r="LGB2474" s="54"/>
      <c r="LGC2474" s="60"/>
      <c r="LGD2474" s="60"/>
      <c r="LGE2474" s="60"/>
      <c r="LGF2474" s="60"/>
      <c r="LGG2474" s="63"/>
      <c r="LGH2474" s="61"/>
      <c r="LGI2474" s="54"/>
      <c r="LGJ2474" s="54"/>
      <c r="LGK2474" s="60"/>
      <c r="LGL2474" s="60"/>
      <c r="LGM2474" s="60"/>
      <c r="LGN2474" s="60"/>
      <c r="LGO2474" s="63"/>
      <c r="LGP2474" s="61"/>
      <c r="LGQ2474" s="54"/>
      <c r="LGR2474" s="54"/>
      <c r="LGS2474" s="60"/>
      <c r="LGT2474" s="60"/>
      <c r="LGU2474" s="60"/>
      <c r="LGV2474" s="60"/>
      <c r="LGW2474" s="63"/>
      <c r="LGX2474" s="61"/>
      <c r="LGY2474" s="54"/>
      <c r="LGZ2474" s="54"/>
      <c r="LHA2474" s="60"/>
      <c r="LHB2474" s="60"/>
      <c r="LHC2474" s="60"/>
      <c r="LHD2474" s="60"/>
      <c r="LHE2474" s="63"/>
      <c r="LHF2474" s="61"/>
      <c r="LHG2474" s="54"/>
      <c r="LHH2474" s="54"/>
      <c r="LHI2474" s="60"/>
      <c r="LHJ2474" s="60"/>
      <c r="LHK2474" s="60"/>
      <c r="LHL2474" s="60"/>
      <c r="LHM2474" s="63"/>
      <c r="LHN2474" s="61"/>
      <c r="LHO2474" s="54"/>
      <c r="LHP2474" s="54"/>
      <c r="LHQ2474" s="60"/>
      <c r="LHR2474" s="60"/>
      <c r="LHS2474" s="60"/>
      <c r="LHT2474" s="60"/>
      <c r="LHU2474" s="63"/>
      <c r="LHV2474" s="61"/>
      <c r="LHW2474" s="54"/>
      <c r="LHX2474" s="54"/>
      <c r="LHY2474" s="60"/>
      <c r="LHZ2474" s="60"/>
      <c r="LIA2474" s="60"/>
      <c r="LIB2474" s="60"/>
      <c r="LIC2474" s="63"/>
      <c r="LID2474" s="61"/>
      <c r="LIE2474" s="54"/>
      <c r="LIF2474" s="54"/>
      <c r="LIG2474" s="60"/>
      <c r="LIH2474" s="60"/>
      <c r="LII2474" s="60"/>
      <c r="LIJ2474" s="60"/>
      <c r="LIK2474" s="63"/>
      <c r="LIL2474" s="61"/>
      <c r="LIM2474" s="54"/>
      <c r="LIN2474" s="54"/>
      <c r="LIO2474" s="60"/>
      <c r="LIP2474" s="60"/>
      <c r="LIQ2474" s="60"/>
      <c r="LIR2474" s="60"/>
      <c r="LIS2474" s="63"/>
      <c r="LIT2474" s="61"/>
      <c r="LIU2474" s="54"/>
      <c r="LIV2474" s="54"/>
      <c r="LIW2474" s="60"/>
      <c r="LIX2474" s="60"/>
      <c r="LIY2474" s="60"/>
      <c r="LIZ2474" s="60"/>
      <c r="LJA2474" s="63"/>
      <c r="LJB2474" s="61"/>
      <c r="LJC2474" s="54"/>
      <c r="LJD2474" s="54"/>
      <c r="LJE2474" s="60"/>
      <c r="LJF2474" s="60"/>
      <c r="LJG2474" s="60"/>
      <c r="LJH2474" s="60"/>
      <c r="LJI2474" s="63"/>
      <c r="LJJ2474" s="61"/>
      <c r="LJK2474" s="54"/>
      <c r="LJL2474" s="54"/>
      <c r="LJM2474" s="60"/>
      <c r="LJN2474" s="60"/>
      <c r="LJO2474" s="60"/>
      <c r="LJP2474" s="60"/>
      <c r="LJQ2474" s="63"/>
      <c r="LJR2474" s="61"/>
      <c r="LJS2474" s="54"/>
      <c r="LJT2474" s="54"/>
      <c r="LJU2474" s="60"/>
      <c r="LJV2474" s="60"/>
      <c r="LJW2474" s="60"/>
      <c r="LJX2474" s="60"/>
      <c r="LJY2474" s="63"/>
      <c r="LJZ2474" s="61"/>
      <c r="LKA2474" s="54"/>
      <c r="LKB2474" s="54"/>
      <c r="LKC2474" s="60"/>
      <c r="LKD2474" s="60"/>
      <c r="LKE2474" s="60"/>
      <c r="LKF2474" s="60"/>
      <c r="LKG2474" s="63"/>
      <c r="LKH2474" s="61"/>
      <c r="LKI2474" s="54"/>
      <c r="LKJ2474" s="54"/>
      <c r="LKK2474" s="60"/>
      <c r="LKL2474" s="60"/>
      <c r="LKM2474" s="60"/>
      <c r="LKN2474" s="60"/>
      <c r="LKO2474" s="63"/>
      <c r="LKP2474" s="61"/>
      <c r="LKQ2474" s="54"/>
      <c r="LKR2474" s="54"/>
      <c r="LKS2474" s="60"/>
      <c r="LKT2474" s="60"/>
      <c r="LKU2474" s="60"/>
      <c r="LKV2474" s="60"/>
      <c r="LKW2474" s="63"/>
      <c r="LKX2474" s="61"/>
      <c r="LKY2474" s="54"/>
      <c r="LKZ2474" s="54"/>
      <c r="LLA2474" s="60"/>
      <c r="LLB2474" s="60"/>
      <c r="LLC2474" s="60"/>
      <c r="LLD2474" s="60"/>
      <c r="LLE2474" s="63"/>
      <c r="LLF2474" s="61"/>
      <c r="LLG2474" s="54"/>
      <c r="LLH2474" s="54"/>
      <c r="LLI2474" s="60"/>
      <c r="LLJ2474" s="60"/>
      <c r="LLK2474" s="60"/>
      <c r="LLL2474" s="60"/>
      <c r="LLM2474" s="63"/>
      <c r="LLN2474" s="61"/>
      <c r="LLO2474" s="54"/>
      <c r="LLP2474" s="54"/>
      <c r="LLQ2474" s="60"/>
      <c r="LLR2474" s="60"/>
      <c r="LLS2474" s="60"/>
      <c r="LLT2474" s="60"/>
      <c r="LLU2474" s="63"/>
      <c r="LLV2474" s="61"/>
      <c r="LLW2474" s="54"/>
      <c r="LLX2474" s="54"/>
      <c r="LLY2474" s="60"/>
      <c r="LLZ2474" s="60"/>
      <c r="LMA2474" s="60"/>
      <c r="LMB2474" s="60"/>
      <c r="LMC2474" s="63"/>
      <c r="LMD2474" s="61"/>
      <c r="LME2474" s="54"/>
      <c r="LMF2474" s="54"/>
      <c r="LMG2474" s="60"/>
      <c r="LMH2474" s="60"/>
      <c r="LMI2474" s="60"/>
      <c r="LMJ2474" s="60"/>
      <c r="LMK2474" s="63"/>
      <c r="LML2474" s="61"/>
      <c r="LMM2474" s="54"/>
      <c r="LMN2474" s="54"/>
      <c r="LMO2474" s="60"/>
      <c r="LMP2474" s="60"/>
      <c r="LMQ2474" s="60"/>
      <c r="LMR2474" s="60"/>
      <c r="LMS2474" s="63"/>
      <c r="LMT2474" s="61"/>
      <c r="LMU2474" s="54"/>
      <c r="LMV2474" s="54"/>
      <c r="LMW2474" s="60"/>
      <c r="LMX2474" s="60"/>
      <c r="LMY2474" s="60"/>
      <c r="LMZ2474" s="60"/>
      <c r="LNA2474" s="63"/>
      <c r="LNB2474" s="61"/>
      <c r="LNC2474" s="54"/>
      <c r="LND2474" s="54"/>
      <c r="LNE2474" s="60"/>
      <c r="LNF2474" s="60"/>
      <c r="LNG2474" s="60"/>
      <c r="LNH2474" s="60"/>
      <c r="LNI2474" s="63"/>
      <c r="LNJ2474" s="61"/>
      <c r="LNK2474" s="54"/>
      <c r="LNL2474" s="54"/>
      <c r="LNM2474" s="60"/>
      <c r="LNN2474" s="60"/>
      <c r="LNO2474" s="60"/>
      <c r="LNP2474" s="60"/>
      <c r="LNQ2474" s="63"/>
      <c r="LNR2474" s="61"/>
      <c r="LNS2474" s="54"/>
      <c r="LNT2474" s="54"/>
      <c r="LNU2474" s="60"/>
      <c r="LNV2474" s="60"/>
      <c r="LNW2474" s="60"/>
      <c r="LNX2474" s="60"/>
      <c r="LNY2474" s="63"/>
      <c r="LNZ2474" s="61"/>
      <c r="LOA2474" s="54"/>
      <c r="LOB2474" s="54"/>
      <c r="LOC2474" s="60"/>
      <c r="LOD2474" s="60"/>
      <c r="LOE2474" s="60"/>
      <c r="LOF2474" s="60"/>
      <c r="LOG2474" s="63"/>
      <c r="LOH2474" s="61"/>
      <c r="LOI2474" s="54"/>
      <c r="LOJ2474" s="54"/>
      <c r="LOK2474" s="60"/>
      <c r="LOL2474" s="60"/>
      <c r="LOM2474" s="60"/>
      <c r="LON2474" s="60"/>
      <c r="LOO2474" s="63"/>
      <c r="LOP2474" s="61"/>
      <c r="LOQ2474" s="54"/>
      <c r="LOR2474" s="54"/>
      <c r="LOS2474" s="60"/>
      <c r="LOT2474" s="60"/>
      <c r="LOU2474" s="60"/>
      <c r="LOV2474" s="60"/>
      <c r="LOW2474" s="63"/>
      <c r="LOX2474" s="61"/>
      <c r="LOY2474" s="54"/>
      <c r="LOZ2474" s="54"/>
      <c r="LPA2474" s="60"/>
      <c r="LPB2474" s="60"/>
      <c r="LPC2474" s="60"/>
      <c r="LPD2474" s="60"/>
      <c r="LPE2474" s="63"/>
      <c r="LPF2474" s="61"/>
      <c r="LPG2474" s="54"/>
      <c r="LPH2474" s="54"/>
      <c r="LPI2474" s="60"/>
      <c r="LPJ2474" s="60"/>
      <c r="LPK2474" s="60"/>
      <c r="LPL2474" s="60"/>
      <c r="LPM2474" s="63"/>
      <c r="LPN2474" s="61"/>
      <c r="LPO2474" s="54"/>
      <c r="LPP2474" s="54"/>
      <c r="LPQ2474" s="60"/>
      <c r="LPR2474" s="60"/>
      <c r="LPS2474" s="60"/>
      <c r="LPT2474" s="60"/>
      <c r="LPU2474" s="63"/>
      <c r="LPV2474" s="61"/>
      <c r="LPW2474" s="54"/>
      <c r="LPX2474" s="54"/>
      <c r="LPY2474" s="60"/>
      <c r="LPZ2474" s="60"/>
      <c r="LQA2474" s="60"/>
      <c r="LQB2474" s="60"/>
      <c r="LQC2474" s="63"/>
      <c r="LQD2474" s="61"/>
      <c r="LQE2474" s="54"/>
      <c r="LQF2474" s="54"/>
      <c r="LQG2474" s="60"/>
      <c r="LQH2474" s="60"/>
      <c r="LQI2474" s="60"/>
      <c r="LQJ2474" s="60"/>
      <c r="LQK2474" s="63"/>
      <c r="LQL2474" s="61"/>
      <c r="LQM2474" s="54"/>
      <c r="LQN2474" s="54"/>
      <c r="LQO2474" s="60"/>
      <c r="LQP2474" s="60"/>
      <c r="LQQ2474" s="60"/>
      <c r="LQR2474" s="60"/>
      <c r="LQS2474" s="63"/>
      <c r="LQT2474" s="61"/>
      <c r="LQU2474" s="54"/>
      <c r="LQV2474" s="54"/>
      <c r="LQW2474" s="60"/>
      <c r="LQX2474" s="60"/>
      <c r="LQY2474" s="60"/>
      <c r="LQZ2474" s="60"/>
      <c r="LRA2474" s="63"/>
      <c r="LRB2474" s="61"/>
      <c r="LRC2474" s="54"/>
      <c r="LRD2474" s="54"/>
      <c r="LRE2474" s="60"/>
      <c r="LRF2474" s="60"/>
      <c r="LRG2474" s="60"/>
      <c r="LRH2474" s="60"/>
      <c r="LRI2474" s="63"/>
      <c r="LRJ2474" s="61"/>
      <c r="LRK2474" s="54"/>
      <c r="LRL2474" s="54"/>
      <c r="LRM2474" s="60"/>
      <c r="LRN2474" s="60"/>
      <c r="LRO2474" s="60"/>
      <c r="LRP2474" s="60"/>
      <c r="LRQ2474" s="63"/>
      <c r="LRR2474" s="61"/>
      <c r="LRS2474" s="54"/>
      <c r="LRT2474" s="54"/>
      <c r="LRU2474" s="60"/>
      <c r="LRV2474" s="60"/>
      <c r="LRW2474" s="60"/>
      <c r="LRX2474" s="60"/>
      <c r="LRY2474" s="63"/>
      <c r="LRZ2474" s="61"/>
      <c r="LSA2474" s="54"/>
      <c r="LSB2474" s="54"/>
      <c r="LSC2474" s="60"/>
      <c r="LSD2474" s="60"/>
      <c r="LSE2474" s="60"/>
      <c r="LSF2474" s="60"/>
      <c r="LSG2474" s="63"/>
      <c r="LSH2474" s="61"/>
      <c r="LSI2474" s="54"/>
      <c r="LSJ2474" s="54"/>
      <c r="LSK2474" s="60"/>
      <c r="LSL2474" s="60"/>
      <c r="LSM2474" s="60"/>
      <c r="LSN2474" s="60"/>
      <c r="LSO2474" s="63"/>
      <c r="LSP2474" s="61"/>
      <c r="LSQ2474" s="54"/>
      <c r="LSR2474" s="54"/>
      <c r="LSS2474" s="60"/>
      <c r="LST2474" s="60"/>
      <c r="LSU2474" s="60"/>
      <c r="LSV2474" s="60"/>
      <c r="LSW2474" s="63"/>
      <c r="LSX2474" s="61"/>
      <c r="LSY2474" s="54"/>
      <c r="LSZ2474" s="54"/>
      <c r="LTA2474" s="60"/>
      <c r="LTB2474" s="60"/>
      <c r="LTC2474" s="60"/>
      <c r="LTD2474" s="60"/>
      <c r="LTE2474" s="63"/>
      <c r="LTF2474" s="61"/>
      <c r="LTG2474" s="54"/>
      <c r="LTH2474" s="54"/>
      <c r="LTI2474" s="60"/>
      <c r="LTJ2474" s="60"/>
      <c r="LTK2474" s="60"/>
      <c r="LTL2474" s="60"/>
      <c r="LTM2474" s="63"/>
      <c r="LTN2474" s="61"/>
      <c r="LTO2474" s="54"/>
      <c r="LTP2474" s="54"/>
      <c r="LTQ2474" s="60"/>
      <c r="LTR2474" s="60"/>
      <c r="LTS2474" s="60"/>
      <c r="LTT2474" s="60"/>
      <c r="LTU2474" s="63"/>
      <c r="LTV2474" s="61"/>
      <c r="LTW2474" s="54"/>
      <c r="LTX2474" s="54"/>
      <c r="LTY2474" s="60"/>
      <c r="LTZ2474" s="60"/>
      <c r="LUA2474" s="60"/>
      <c r="LUB2474" s="60"/>
      <c r="LUC2474" s="63"/>
      <c r="LUD2474" s="61"/>
      <c r="LUE2474" s="54"/>
      <c r="LUF2474" s="54"/>
      <c r="LUG2474" s="60"/>
      <c r="LUH2474" s="60"/>
      <c r="LUI2474" s="60"/>
      <c r="LUJ2474" s="60"/>
      <c r="LUK2474" s="63"/>
      <c r="LUL2474" s="61"/>
      <c r="LUM2474" s="54"/>
      <c r="LUN2474" s="54"/>
      <c r="LUO2474" s="60"/>
      <c r="LUP2474" s="60"/>
      <c r="LUQ2474" s="60"/>
      <c r="LUR2474" s="60"/>
      <c r="LUS2474" s="63"/>
      <c r="LUT2474" s="61"/>
      <c r="LUU2474" s="54"/>
      <c r="LUV2474" s="54"/>
      <c r="LUW2474" s="60"/>
      <c r="LUX2474" s="60"/>
      <c r="LUY2474" s="60"/>
      <c r="LUZ2474" s="60"/>
      <c r="LVA2474" s="63"/>
      <c r="LVB2474" s="61"/>
      <c r="LVC2474" s="54"/>
      <c r="LVD2474" s="54"/>
      <c r="LVE2474" s="60"/>
      <c r="LVF2474" s="60"/>
      <c r="LVG2474" s="60"/>
      <c r="LVH2474" s="60"/>
      <c r="LVI2474" s="63"/>
      <c r="LVJ2474" s="61"/>
      <c r="LVK2474" s="54"/>
      <c r="LVL2474" s="54"/>
      <c r="LVM2474" s="60"/>
      <c r="LVN2474" s="60"/>
      <c r="LVO2474" s="60"/>
      <c r="LVP2474" s="60"/>
      <c r="LVQ2474" s="63"/>
      <c r="LVR2474" s="61"/>
      <c r="LVS2474" s="54"/>
      <c r="LVT2474" s="54"/>
      <c r="LVU2474" s="60"/>
      <c r="LVV2474" s="60"/>
      <c r="LVW2474" s="60"/>
      <c r="LVX2474" s="60"/>
      <c r="LVY2474" s="63"/>
      <c r="LVZ2474" s="61"/>
      <c r="LWA2474" s="54"/>
      <c r="LWB2474" s="54"/>
      <c r="LWC2474" s="60"/>
      <c r="LWD2474" s="60"/>
      <c r="LWE2474" s="60"/>
      <c r="LWF2474" s="60"/>
      <c r="LWG2474" s="63"/>
      <c r="LWH2474" s="61"/>
      <c r="LWI2474" s="54"/>
      <c r="LWJ2474" s="54"/>
      <c r="LWK2474" s="60"/>
      <c r="LWL2474" s="60"/>
      <c r="LWM2474" s="60"/>
      <c r="LWN2474" s="60"/>
      <c r="LWO2474" s="63"/>
      <c r="LWP2474" s="61"/>
      <c r="LWQ2474" s="54"/>
      <c r="LWR2474" s="54"/>
      <c r="LWS2474" s="60"/>
      <c r="LWT2474" s="60"/>
      <c r="LWU2474" s="60"/>
      <c r="LWV2474" s="60"/>
      <c r="LWW2474" s="63"/>
      <c r="LWX2474" s="61"/>
      <c r="LWY2474" s="54"/>
      <c r="LWZ2474" s="54"/>
      <c r="LXA2474" s="60"/>
      <c r="LXB2474" s="60"/>
      <c r="LXC2474" s="60"/>
      <c r="LXD2474" s="60"/>
      <c r="LXE2474" s="63"/>
      <c r="LXF2474" s="61"/>
      <c r="LXG2474" s="54"/>
      <c r="LXH2474" s="54"/>
      <c r="LXI2474" s="60"/>
      <c r="LXJ2474" s="60"/>
      <c r="LXK2474" s="60"/>
      <c r="LXL2474" s="60"/>
      <c r="LXM2474" s="63"/>
      <c r="LXN2474" s="61"/>
      <c r="LXO2474" s="54"/>
      <c r="LXP2474" s="54"/>
      <c r="LXQ2474" s="60"/>
      <c r="LXR2474" s="60"/>
      <c r="LXS2474" s="60"/>
      <c r="LXT2474" s="60"/>
      <c r="LXU2474" s="63"/>
      <c r="LXV2474" s="61"/>
      <c r="LXW2474" s="54"/>
      <c r="LXX2474" s="54"/>
      <c r="LXY2474" s="60"/>
      <c r="LXZ2474" s="60"/>
      <c r="LYA2474" s="60"/>
      <c r="LYB2474" s="60"/>
      <c r="LYC2474" s="63"/>
      <c r="LYD2474" s="61"/>
      <c r="LYE2474" s="54"/>
      <c r="LYF2474" s="54"/>
      <c r="LYG2474" s="60"/>
      <c r="LYH2474" s="60"/>
      <c r="LYI2474" s="60"/>
      <c r="LYJ2474" s="60"/>
      <c r="LYK2474" s="63"/>
      <c r="LYL2474" s="61"/>
      <c r="LYM2474" s="54"/>
      <c r="LYN2474" s="54"/>
      <c r="LYO2474" s="60"/>
      <c r="LYP2474" s="60"/>
      <c r="LYQ2474" s="60"/>
      <c r="LYR2474" s="60"/>
      <c r="LYS2474" s="63"/>
      <c r="LYT2474" s="61"/>
      <c r="LYU2474" s="54"/>
      <c r="LYV2474" s="54"/>
      <c r="LYW2474" s="60"/>
      <c r="LYX2474" s="60"/>
      <c r="LYY2474" s="60"/>
      <c r="LYZ2474" s="60"/>
      <c r="LZA2474" s="63"/>
      <c r="LZB2474" s="61"/>
      <c r="LZC2474" s="54"/>
      <c r="LZD2474" s="54"/>
      <c r="LZE2474" s="60"/>
      <c r="LZF2474" s="60"/>
      <c r="LZG2474" s="60"/>
      <c r="LZH2474" s="60"/>
      <c r="LZI2474" s="63"/>
      <c r="LZJ2474" s="61"/>
      <c r="LZK2474" s="54"/>
      <c r="LZL2474" s="54"/>
      <c r="LZM2474" s="60"/>
      <c r="LZN2474" s="60"/>
      <c r="LZO2474" s="60"/>
      <c r="LZP2474" s="60"/>
      <c r="LZQ2474" s="63"/>
      <c r="LZR2474" s="61"/>
      <c r="LZS2474" s="54"/>
      <c r="LZT2474" s="54"/>
      <c r="LZU2474" s="60"/>
      <c r="LZV2474" s="60"/>
      <c r="LZW2474" s="60"/>
      <c r="LZX2474" s="60"/>
      <c r="LZY2474" s="63"/>
      <c r="LZZ2474" s="61"/>
      <c r="MAA2474" s="54"/>
      <c r="MAB2474" s="54"/>
      <c r="MAC2474" s="60"/>
      <c r="MAD2474" s="60"/>
      <c r="MAE2474" s="60"/>
      <c r="MAF2474" s="60"/>
      <c r="MAG2474" s="63"/>
      <c r="MAH2474" s="61"/>
      <c r="MAI2474" s="54"/>
      <c r="MAJ2474" s="54"/>
      <c r="MAK2474" s="60"/>
      <c r="MAL2474" s="60"/>
      <c r="MAM2474" s="60"/>
      <c r="MAN2474" s="60"/>
      <c r="MAO2474" s="63"/>
      <c r="MAP2474" s="61"/>
      <c r="MAQ2474" s="54"/>
      <c r="MAR2474" s="54"/>
      <c r="MAS2474" s="60"/>
      <c r="MAT2474" s="60"/>
      <c r="MAU2474" s="60"/>
      <c r="MAV2474" s="60"/>
      <c r="MAW2474" s="63"/>
      <c r="MAX2474" s="61"/>
      <c r="MAY2474" s="54"/>
      <c r="MAZ2474" s="54"/>
      <c r="MBA2474" s="60"/>
      <c r="MBB2474" s="60"/>
      <c r="MBC2474" s="60"/>
      <c r="MBD2474" s="60"/>
      <c r="MBE2474" s="63"/>
      <c r="MBF2474" s="61"/>
      <c r="MBG2474" s="54"/>
      <c r="MBH2474" s="54"/>
      <c r="MBI2474" s="60"/>
      <c r="MBJ2474" s="60"/>
      <c r="MBK2474" s="60"/>
      <c r="MBL2474" s="60"/>
      <c r="MBM2474" s="63"/>
      <c r="MBN2474" s="61"/>
      <c r="MBO2474" s="54"/>
      <c r="MBP2474" s="54"/>
      <c r="MBQ2474" s="60"/>
      <c r="MBR2474" s="60"/>
      <c r="MBS2474" s="60"/>
      <c r="MBT2474" s="60"/>
      <c r="MBU2474" s="63"/>
      <c r="MBV2474" s="61"/>
      <c r="MBW2474" s="54"/>
      <c r="MBX2474" s="54"/>
      <c r="MBY2474" s="60"/>
      <c r="MBZ2474" s="60"/>
      <c r="MCA2474" s="60"/>
      <c r="MCB2474" s="60"/>
      <c r="MCC2474" s="63"/>
      <c r="MCD2474" s="61"/>
      <c r="MCE2474" s="54"/>
      <c r="MCF2474" s="54"/>
      <c r="MCG2474" s="60"/>
      <c r="MCH2474" s="60"/>
      <c r="MCI2474" s="60"/>
      <c r="MCJ2474" s="60"/>
      <c r="MCK2474" s="63"/>
      <c r="MCL2474" s="61"/>
      <c r="MCM2474" s="54"/>
      <c r="MCN2474" s="54"/>
      <c r="MCO2474" s="60"/>
      <c r="MCP2474" s="60"/>
      <c r="MCQ2474" s="60"/>
      <c r="MCR2474" s="60"/>
      <c r="MCS2474" s="63"/>
      <c r="MCT2474" s="61"/>
      <c r="MCU2474" s="54"/>
      <c r="MCV2474" s="54"/>
      <c r="MCW2474" s="60"/>
      <c r="MCX2474" s="60"/>
      <c r="MCY2474" s="60"/>
      <c r="MCZ2474" s="60"/>
      <c r="MDA2474" s="63"/>
      <c r="MDB2474" s="61"/>
      <c r="MDC2474" s="54"/>
      <c r="MDD2474" s="54"/>
      <c r="MDE2474" s="60"/>
      <c r="MDF2474" s="60"/>
      <c r="MDG2474" s="60"/>
      <c r="MDH2474" s="60"/>
      <c r="MDI2474" s="63"/>
      <c r="MDJ2474" s="61"/>
      <c r="MDK2474" s="54"/>
      <c r="MDL2474" s="54"/>
      <c r="MDM2474" s="60"/>
      <c r="MDN2474" s="60"/>
      <c r="MDO2474" s="60"/>
      <c r="MDP2474" s="60"/>
      <c r="MDQ2474" s="63"/>
      <c r="MDR2474" s="61"/>
      <c r="MDS2474" s="54"/>
      <c r="MDT2474" s="54"/>
      <c r="MDU2474" s="60"/>
      <c r="MDV2474" s="60"/>
      <c r="MDW2474" s="60"/>
      <c r="MDX2474" s="60"/>
      <c r="MDY2474" s="63"/>
      <c r="MDZ2474" s="61"/>
      <c r="MEA2474" s="54"/>
      <c r="MEB2474" s="54"/>
      <c r="MEC2474" s="60"/>
      <c r="MED2474" s="60"/>
      <c r="MEE2474" s="60"/>
      <c r="MEF2474" s="60"/>
      <c r="MEG2474" s="63"/>
      <c r="MEH2474" s="61"/>
      <c r="MEI2474" s="54"/>
      <c r="MEJ2474" s="54"/>
      <c r="MEK2474" s="60"/>
      <c r="MEL2474" s="60"/>
      <c r="MEM2474" s="60"/>
      <c r="MEN2474" s="60"/>
      <c r="MEO2474" s="63"/>
      <c r="MEP2474" s="61"/>
      <c r="MEQ2474" s="54"/>
      <c r="MER2474" s="54"/>
      <c r="MES2474" s="60"/>
      <c r="MET2474" s="60"/>
      <c r="MEU2474" s="60"/>
      <c r="MEV2474" s="60"/>
      <c r="MEW2474" s="63"/>
      <c r="MEX2474" s="61"/>
      <c r="MEY2474" s="54"/>
      <c r="MEZ2474" s="54"/>
      <c r="MFA2474" s="60"/>
      <c r="MFB2474" s="60"/>
      <c r="MFC2474" s="60"/>
      <c r="MFD2474" s="60"/>
      <c r="MFE2474" s="63"/>
      <c r="MFF2474" s="61"/>
      <c r="MFG2474" s="54"/>
      <c r="MFH2474" s="54"/>
      <c r="MFI2474" s="60"/>
      <c r="MFJ2474" s="60"/>
      <c r="MFK2474" s="60"/>
      <c r="MFL2474" s="60"/>
      <c r="MFM2474" s="63"/>
      <c r="MFN2474" s="61"/>
      <c r="MFO2474" s="54"/>
      <c r="MFP2474" s="54"/>
      <c r="MFQ2474" s="60"/>
      <c r="MFR2474" s="60"/>
      <c r="MFS2474" s="60"/>
      <c r="MFT2474" s="60"/>
      <c r="MFU2474" s="63"/>
      <c r="MFV2474" s="61"/>
      <c r="MFW2474" s="54"/>
      <c r="MFX2474" s="54"/>
      <c r="MFY2474" s="60"/>
      <c r="MFZ2474" s="60"/>
      <c r="MGA2474" s="60"/>
      <c r="MGB2474" s="60"/>
      <c r="MGC2474" s="63"/>
      <c r="MGD2474" s="61"/>
      <c r="MGE2474" s="54"/>
      <c r="MGF2474" s="54"/>
      <c r="MGG2474" s="60"/>
      <c r="MGH2474" s="60"/>
      <c r="MGI2474" s="60"/>
      <c r="MGJ2474" s="60"/>
      <c r="MGK2474" s="63"/>
      <c r="MGL2474" s="61"/>
      <c r="MGM2474" s="54"/>
      <c r="MGN2474" s="54"/>
      <c r="MGO2474" s="60"/>
      <c r="MGP2474" s="60"/>
      <c r="MGQ2474" s="60"/>
      <c r="MGR2474" s="60"/>
      <c r="MGS2474" s="63"/>
      <c r="MGT2474" s="61"/>
      <c r="MGU2474" s="54"/>
      <c r="MGV2474" s="54"/>
      <c r="MGW2474" s="60"/>
      <c r="MGX2474" s="60"/>
      <c r="MGY2474" s="60"/>
      <c r="MGZ2474" s="60"/>
      <c r="MHA2474" s="63"/>
      <c r="MHB2474" s="61"/>
      <c r="MHC2474" s="54"/>
      <c r="MHD2474" s="54"/>
      <c r="MHE2474" s="60"/>
      <c r="MHF2474" s="60"/>
      <c r="MHG2474" s="60"/>
      <c r="MHH2474" s="60"/>
      <c r="MHI2474" s="63"/>
      <c r="MHJ2474" s="61"/>
      <c r="MHK2474" s="54"/>
      <c r="MHL2474" s="54"/>
      <c r="MHM2474" s="60"/>
      <c r="MHN2474" s="60"/>
      <c r="MHO2474" s="60"/>
      <c r="MHP2474" s="60"/>
      <c r="MHQ2474" s="63"/>
      <c r="MHR2474" s="61"/>
      <c r="MHS2474" s="54"/>
      <c r="MHT2474" s="54"/>
      <c r="MHU2474" s="60"/>
      <c r="MHV2474" s="60"/>
      <c r="MHW2474" s="60"/>
      <c r="MHX2474" s="60"/>
      <c r="MHY2474" s="63"/>
      <c r="MHZ2474" s="61"/>
      <c r="MIA2474" s="54"/>
      <c r="MIB2474" s="54"/>
      <c r="MIC2474" s="60"/>
      <c r="MID2474" s="60"/>
      <c r="MIE2474" s="60"/>
      <c r="MIF2474" s="60"/>
      <c r="MIG2474" s="63"/>
      <c r="MIH2474" s="61"/>
      <c r="MII2474" s="54"/>
      <c r="MIJ2474" s="54"/>
      <c r="MIK2474" s="60"/>
      <c r="MIL2474" s="60"/>
      <c r="MIM2474" s="60"/>
      <c r="MIN2474" s="60"/>
      <c r="MIO2474" s="63"/>
      <c r="MIP2474" s="61"/>
      <c r="MIQ2474" s="54"/>
      <c r="MIR2474" s="54"/>
      <c r="MIS2474" s="60"/>
      <c r="MIT2474" s="60"/>
      <c r="MIU2474" s="60"/>
      <c r="MIV2474" s="60"/>
      <c r="MIW2474" s="63"/>
      <c r="MIX2474" s="61"/>
      <c r="MIY2474" s="54"/>
      <c r="MIZ2474" s="54"/>
      <c r="MJA2474" s="60"/>
      <c r="MJB2474" s="60"/>
      <c r="MJC2474" s="60"/>
      <c r="MJD2474" s="60"/>
      <c r="MJE2474" s="63"/>
      <c r="MJF2474" s="61"/>
      <c r="MJG2474" s="54"/>
      <c r="MJH2474" s="54"/>
      <c r="MJI2474" s="60"/>
      <c r="MJJ2474" s="60"/>
      <c r="MJK2474" s="60"/>
      <c r="MJL2474" s="60"/>
      <c r="MJM2474" s="63"/>
      <c r="MJN2474" s="61"/>
      <c r="MJO2474" s="54"/>
      <c r="MJP2474" s="54"/>
      <c r="MJQ2474" s="60"/>
      <c r="MJR2474" s="60"/>
      <c r="MJS2474" s="60"/>
      <c r="MJT2474" s="60"/>
      <c r="MJU2474" s="63"/>
      <c r="MJV2474" s="61"/>
      <c r="MJW2474" s="54"/>
      <c r="MJX2474" s="54"/>
      <c r="MJY2474" s="60"/>
      <c r="MJZ2474" s="60"/>
      <c r="MKA2474" s="60"/>
      <c r="MKB2474" s="60"/>
      <c r="MKC2474" s="63"/>
      <c r="MKD2474" s="61"/>
      <c r="MKE2474" s="54"/>
      <c r="MKF2474" s="54"/>
      <c r="MKG2474" s="60"/>
      <c r="MKH2474" s="60"/>
      <c r="MKI2474" s="60"/>
      <c r="MKJ2474" s="60"/>
      <c r="MKK2474" s="63"/>
      <c r="MKL2474" s="61"/>
      <c r="MKM2474" s="54"/>
      <c r="MKN2474" s="54"/>
      <c r="MKO2474" s="60"/>
      <c r="MKP2474" s="60"/>
      <c r="MKQ2474" s="60"/>
      <c r="MKR2474" s="60"/>
      <c r="MKS2474" s="63"/>
      <c r="MKT2474" s="61"/>
      <c r="MKU2474" s="54"/>
      <c r="MKV2474" s="54"/>
      <c r="MKW2474" s="60"/>
      <c r="MKX2474" s="60"/>
      <c r="MKY2474" s="60"/>
      <c r="MKZ2474" s="60"/>
      <c r="MLA2474" s="63"/>
      <c r="MLB2474" s="61"/>
      <c r="MLC2474" s="54"/>
      <c r="MLD2474" s="54"/>
      <c r="MLE2474" s="60"/>
      <c r="MLF2474" s="60"/>
      <c r="MLG2474" s="60"/>
      <c r="MLH2474" s="60"/>
      <c r="MLI2474" s="63"/>
      <c r="MLJ2474" s="61"/>
      <c r="MLK2474" s="54"/>
      <c r="MLL2474" s="54"/>
      <c r="MLM2474" s="60"/>
      <c r="MLN2474" s="60"/>
      <c r="MLO2474" s="60"/>
      <c r="MLP2474" s="60"/>
      <c r="MLQ2474" s="63"/>
      <c r="MLR2474" s="61"/>
      <c r="MLS2474" s="54"/>
      <c r="MLT2474" s="54"/>
      <c r="MLU2474" s="60"/>
      <c r="MLV2474" s="60"/>
      <c r="MLW2474" s="60"/>
      <c r="MLX2474" s="60"/>
      <c r="MLY2474" s="63"/>
      <c r="MLZ2474" s="61"/>
      <c r="MMA2474" s="54"/>
      <c r="MMB2474" s="54"/>
      <c r="MMC2474" s="60"/>
      <c r="MMD2474" s="60"/>
      <c r="MME2474" s="60"/>
      <c r="MMF2474" s="60"/>
      <c r="MMG2474" s="63"/>
      <c r="MMH2474" s="61"/>
      <c r="MMI2474" s="54"/>
      <c r="MMJ2474" s="54"/>
      <c r="MMK2474" s="60"/>
      <c r="MML2474" s="60"/>
      <c r="MMM2474" s="60"/>
      <c r="MMN2474" s="60"/>
      <c r="MMO2474" s="63"/>
      <c r="MMP2474" s="61"/>
      <c r="MMQ2474" s="54"/>
      <c r="MMR2474" s="54"/>
      <c r="MMS2474" s="60"/>
      <c r="MMT2474" s="60"/>
      <c r="MMU2474" s="60"/>
      <c r="MMV2474" s="60"/>
      <c r="MMW2474" s="63"/>
      <c r="MMX2474" s="61"/>
      <c r="MMY2474" s="54"/>
      <c r="MMZ2474" s="54"/>
      <c r="MNA2474" s="60"/>
      <c r="MNB2474" s="60"/>
      <c r="MNC2474" s="60"/>
      <c r="MND2474" s="60"/>
      <c r="MNE2474" s="63"/>
      <c r="MNF2474" s="61"/>
      <c r="MNG2474" s="54"/>
      <c r="MNH2474" s="54"/>
      <c r="MNI2474" s="60"/>
      <c r="MNJ2474" s="60"/>
      <c r="MNK2474" s="60"/>
      <c r="MNL2474" s="60"/>
      <c r="MNM2474" s="63"/>
      <c r="MNN2474" s="61"/>
      <c r="MNO2474" s="54"/>
      <c r="MNP2474" s="54"/>
      <c r="MNQ2474" s="60"/>
      <c r="MNR2474" s="60"/>
      <c r="MNS2474" s="60"/>
      <c r="MNT2474" s="60"/>
      <c r="MNU2474" s="63"/>
      <c r="MNV2474" s="61"/>
      <c r="MNW2474" s="54"/>
      <c r="MNX2474" s="54"/>
      <c r="MNY2474" s="60"/>
      <c r="MNZ2474" s="60"/>
      <c r="MOA2474" s="60"/>
      <c r="MOB2474" s="60"/>
      <c r="MOC2474" s="63"/>
      <c r="MOD2474" s="61"/>
      <c r="MOE2474" s="54"/>
      <c r="MOF2474" s="54"/>
      <c r="MOG2474" s="60"/>
      <c r="MOH2474" s="60"/>
      <c r="MOI2474" s="60"/>
      <c r="MOJ2474" s="60"/>
      <c r="MOK2474" s="63"/>
      <c r="MOL2474" s="61"/>
      <c r="MOM2474" s="54"/>
      <c r="MON2474" s="54"/>
      <c r="MOO2474" s="60"/>
      <c r="MOP2474" s="60"/>
      <c r="MOQ2474" s="60"/>
      <c r="MOR2474" s="60"/>
      <c r="MOS2474" s="63"/>
      <c r="MOT2474" s="61"/>
      <c r="MOU2474" s="54"/>
      <c r="MOV2474" s="54"/>
      <c r="MOW2474" s="60"/>
      <c r="MOX2474" s="60"/>
      <c r="MOY2474" s="60"/>
      <c r="MOZ2474" s="60"/>
      <c r="MPA2474" s="63"/>
      <c r="MPB2474" s="61"/>
      <c r="MPC2474" s="54"/>
      <c r="MPD2474" s="54"/>
      <c r="MPE2474" s="60"/>
      <c r="MPF2474" s="60"/>
      <c r="MPG2474" s="60"/>
      <c r="MPH2474" s="60"/>
      <c r="MPI2474" s="63"/>
      <c r="MPJ2474" s="61"/>
      <c r="MPK2474" s="54"/>
      <c r="MPL2474" s="54"/>
      <c r="MPM2474" s="60"/>
      <c r="MPN2474" s="60"/>
      <c r="MPO2474" s="60"/>
      <c r="MPP2474" s="60"/>
      <c r="MPQ2474" s="63"/>
      <c r="MPR2474" s="61"/>
      <c r="MPS2474" s="54"/>
      <c r="MPT2474" s="54"/>
      <c r="MPU2474" s="60"/>
      <c r="MPV2474" s="60"/>
      <c r="MPW2474" s="60"/>
      <c r="MPX2474" s="60"/>
      <c r="MPY2474" s="63"/>
      <c r="MPZ2474" s="61"/>
      <c r="MQA2474" s="54"/>
      <c r="MQB2474" s="54"/>
      <c r="MQC2474" s="60"/>
      <c r="MQD2474" s="60"/>
      <c r="MQE2474" s="60"/>
      <c r="MQF2474" s="60"/>
      <c r="MQG2474" s="63"/>
      <c r="MQH2474" s="61"/>
      <c r="MQI2474" s="54"/>
      <c r="MQJ2474" s="54"/>
      <c r="MQK2474" s="60"/>
      <c r="MQL2474" s="60"/>
      <c r="MQM2474" s="60"/>
      <c r="MQN2474" s="60"/>
      <c r="MQO2474" s="63"/>
      <c r="MQP2474" s="61"/>
      <c r="MQQ2474" s="54"/>
      <c r="MQR2474" s="54"/>
      <c r="MQS2474" s="60"/>
      <c r="MQT2474" s="60"/>
      <c r="MQU2474" s="60"/>
      <c r="MQV2474" s="60"/>
      <c r="MQW2474" s="63"/>
      <c r="MQX2474" s="61"/>
      <c r="MQY2474" s="54"/>
      <c r="MQZ2474" s="54"/>
      <c r="MRA2474" s="60"/>
      <c r="MRB2474" s="60"/>
      <c r="MRC2474" s="60"/>
      <c r="MRD2474" s="60"/>
      <c r="MRE2474" s="63"/>
      <c r="MRF2474" s="61"/>
      <c r="MRG2474" s="54"/>
      <c r="MRH2474" s="54"/>
      <c r="MRI2474" s="60"/>
      <c r="MRJ2474" s="60"/>
      <c r="MRK2474" s="60"/>
      <c r="MRL2474" s="60"/>
      <c r="MRM2474" s="63"/>
      <c r="MRN2474" s="61"/>
      <c r="MRO2474" s="54"/>
      <c r="MRP2474" s="54"/>
      <c r="MRQ2474" s="60"/>
      <c r="MRR2474" s="60"/>
      <c r="MRS2474" s="60"/>
      <c r="MRT2474" s="60"/>
      <c r="MRU2474" s="63"/>
      <c r="MRV2474" s="61"/>
      <c r="MRW2474" s="54"/>
      <c r="MRX2474" s="54"/>
      <c r="MRY2474" s="60"/>
      <c r="MRZ2474" s="60"/>
      <c r="MSA2474" s="60"/>
      <c r="MSB2474" s="60"/>
      <c r="MSC2474" s="63"/>
      <c r="MSD2474" s="61"/>
      <c r="MSE2474" s="54"/>
      <c r="MSF2474" s="54"/>
      <c r="MSG2474" s="60"/>
      <c r="MSH2474" s="60"/>
      <c r="MSI2474" s="60"/>
      <c r="MSJ2474" s="60"/>
      <c r="MSK2474" s="63"/>
      <c r="MSL2474" s="61"/>
      <c r="MSM2474" s="54"/>
      <c r="MSN2474" s="54"/>
      <c r="MSO2474" s="60"/>
      <c r="MSP2474" s="60"/>
      <c r="MSQ2474" s="60"/>
      <c r="MSR2474" s="60"/>
      <c r="MSS2474" s="63"/>
      <c r="MST2474" s="61"/>
      <c r="MSU2474" s="54"/>
      <c r="MSV2474" s="54"/>
      <c r="MSW2474" s="60"/>
      <c r="MSX2474" s="60"/>
      <c r="MSY2474" s="60"/>
      <c r="MSZ2474" s="60"/>
      <c r="MTA2474" s="63"/>
      <c r="MTB2474" s="61"/>
      <c r="MTC2474" s="54"/>
      <c r="MTD2474" s="54"/>
      <c r="MTE2474" s="60"/>
      <c r="MTF2474" s="60"/>
      <c r="MTG2474" s="60"/>
      <c r="MTH2474" s="60"/>
      <c r="MTI2474" s="63"/>
      <c r="MTJ2474" s="61"/>
      <c r="MTK2474" s="54"/>
      <c r="MTL2474" s="54"/>
      <c r="MTM2474" s="60"/>
      <c r="MTN2474" s="60"/>
      <c r="MTO2474" s="60"/>
      <c r="MTP2474" s="60"/>
      <c r="MTQ2474" s="63"/>
      <c r="MTR2474" s="61"/>
      <c r="MTS2474" s="54"/>
      <c r="MTT2474" s="54"/>
      <c r="MTU2474" s="60"/>
      <c r="MTV2474" s="60"/>
      <c r="MTW2474" s="60"/>
      <c r="MTX2474" s="60"/>
      <c r="MTY2474" s="63"/>
      <c r="MTZ2474" s="61"/>
      <c r="MUA2474" s="54"/>
      <c r="MUB2474" s="54"/>
      <c r="MUC2474" s="60"/>
      <c r="MUD2474" s="60"/>
      <c r="MUE2474" s="60"/>
      <c r="MUF2474" s="60"/>
      <c r="MUG2474" s="63"/>
      <c r="MUH2474" s="61"/>
      <c r="MUI2474" s="54"/>
      <c r="MUJ2474" s="54"/>
      <c r="MUK2474" s="60"/>
      <c r="MUL2474" s="60"/>
      <c r="MUM2474" s="60"/>
      <c r="MUN2474" s="60"/>
      <c r="MUO2474" s="63"/>
      <c r="MUP2474" s="61"/>
      <c r="MUQ2474" s="54"/>
      <c r="MUR2474" s="54"/>
      <c r="MUS2474" s="60"/>
      <c r="MUT2474" s="60"/>
      <c r="MUU2474" s="60"/>
      <c r="MUV2474" s="60"/>
      <c r="MUW2474" s="63"/>
      <c r="MUX2474" s="61"/>
      <c r="MUY2474" s="54"/>
      <c r="MUZ2474" s="54"/>
      <c r="MVA2474" s="60"/>
      <c r="MVB2474" s="60"/>
      <c r="MVC2474" s="60"/>
      <c r="MVD2474" s="60"/>
      <c r="MVE2474" s="63"/>
      <c r="MVF2474" s="61"/>
      <c r="MVG2474" s="54"/>
      <c r="MVH2474" s="54"/>
      <c r="MVI2474" s="60"/>
      <c r="MVJ2474" s="60"/>
      <c r="MVK2474" s="60"/>
      <c r="MVL2474" s="60"/>
      <c r="MVM2474" s="63"/>
      <c r="MVN2474" s="61"/>
      <c r="MVO2474" s="54"/>
      <c r="MVP2474" s="54"/>
      <c r="MVQ2474" s="60"/>
      <c r="MVR2474" s="60"/>
      <c r="MVS2474" s="60"/>
      <c r="MVT2474" s="60"/>
      <c r="MVU2474" s="63"/>
      <c r="MVV2474" s="61"/>
      <c r="MVW2474" s="54"/>
      <c r="MVX2474" s="54"/>
      <c r="MVY2474" s="60"/>
      <c r="MVZ2474" s="60"/>
      <c r="MWA2474" s="60"/>
      <c r="MWB2474" s="60"/>
      <c r="MWC2474" s="63"/>
      <c r="MWD2474" s="61"/>
      <c r="MWE2474" s="54"/>
      <c r="MWF2474" s="54"/>
      <c r="MWG2474" s="60"/>
      <c r="MWH2474" s="60"/>
      <c r="MWI2474" s="60"/>
      <c r="MWJ2474" s="60"/>
      <c r="MWK2474" s="63"/>
      <c r="MWL2474" s="61"/>
      <c r="MWM2474" s="54"/>
      <c r="MWN2474" s="54"/>
      <c r="MWO2474" s="60"/>
      <c r="MWP2474" s="60"/>
      <c r="MWQ2474" s="60"/>
      <c r="MWR2474" s="60"/>
      <c r="MWS2474" s="63"/>
      <c r="MWT2474" s="61"/>
      <c r="MWU2474" s="54"/>
      <c r="MWV2474" s="54"/>
      <c r="MWW2474" s="60"/>
      <c r="MWX2474" s="60"/>
      <c r="MWY2474" s="60"/>
      <c r="MWZ2474" s="60"/>
      <c r="MXA2474" s="63"/>
      <c r="MXB2474" s="61"/>
      <c r="MXC2474" s="54"/>
      <c r="MXD2474" s="54"/>
      <c r="MXE2474" s="60"/>
      <c r="MXF2474" s="60"/>
      <c r="MXG2474" s="60"/>
      <c r="MXH2474" s="60"/>
      <c r="MXI2474" s="63"/>
      <c r="MXJ2474" s="61"/>
      <c r="MXK2474" s="54"/>
      <c r="MXL2474" s="54"/>
      <c r="MXM2474" s="60"/>
      <c r="MXN2474" s="60"/>
      <c r="MXO2474" s="60"/>
      <c r="MXP2474" s="60"/>
      <c r="MXQ2474" s="63"/>
      <c r="MXR2474" s="61"/>
      <c r="MXS2474" s="54"/>
      <c r="MXT2474" s="54"/>
      <c r="MXU2474" s="60"/>
      <c r="MXV2474" s="60"/>
      <c r="MXW2474" s="60"/>
      <c r="MXX2474" s="60"/>
      <c r="MXY2474" s="63"/>
      <c r="MXZ2474" s="61"/>
      <c r="MYA2474" s="54"/>
      <c r="MYB2474" s="54"/>
      <c r="MYC2474" s="60"/>
      <c r="MYD2474" s="60"/>
      <c r="MYE2474" s="60"/>
      <c r="MYF2474" s="60"/>
      <c r="MYG2474" s="63"/>
      <c r="MYH2474" s="61"/>
      <c r="MYI2474" s="54"/>
      <c r="MYJ2474" s="54"/>
      <c r="MYK2474" s="60"/>
      <c r="MYL2474" s="60"/>
      <c r="MYM2474" s="60"/>
      <c r="MYN2474" s="60"/>
      <c r="MYO2474" s="63"/>
      <c r="MYP2474" s="61"/>
      <c r="MYQ2474" s="54"/>
      <c r="MYR2474" s="54"/>
      <c r="MYS2474" s="60"/>
      <c r="MYT2474" s="60"/>
      <c r="MYU2474" s="60"/>
      <c r="MYV2474" s="60"/>
      <c r="MYW2474" s="63"/>
      <c r="MYX2474" s="61"/>
      <c r="MYY2474" s="54"/>
      <c r="MYZ2474" s="54"/>
      <c r="MZA2474" s="60"/>
      <c r="MZB2474" s="60"/>
      <c r="MZC2474" s="60"/>
      <c r="MZD2474" s="60"/>
      <c r="MZE2474" s="63"/>
      <c r="MZF2474" s="61"/>
      <c r="MZG2474" s="54"/>
      <c r="MZH2474" s="54"/>
      <c r="MZI2474" s="60"/>
      <c r="MZJ2474" s="60"/>
      <c r="MZK2474" s="60"/>
      <c r="MZL2474" s="60"/>
      <c r="MZM2474" s="63"/>
      <c r="MZN2474" s="61"/>
      <c r="MZO2474" s="54"/>
      <c r="MZP2474" s="54"/>
      <c r="MZQ2474" s="60"/>
      <c r="MZR2474" s="60"/>
      <c r="MZS2474" s="60"/>
      <c r="MZT2474" s="60"/>
      <c r="MZU2474" s="63"/>
      <c r="MZV2474" s="61"/>
      <c r="MZW2474" s="54"/>
      <c r="MZX2474" s="54"/>
      <c r="MZY2474" s="60"/>
      <c r="MZZ2474" s="60"/>
      <c r="NAA2474" s="60"/>
      <c r="NAB2474" s="60"/>
      <c r="NAC2474" s="63"/>
      <c r="NAD2474" s="61"/>
      <c r="NAE2474" s="54"/>
      <c r="NAF2474" s="54"/>
      <c r="NAG2474" s="60"/>
      <c r="NAH2474" s="60"/>
      <c r="NAI2474" s="60"/>
      <c r="NAJ2474" s="60"/>
      <c r="NAK2474" s="63"/>
      <c r="NAL2474" s="61"/>
      <c r="NAM2474" s="54"/>
      <c r="NAN2474" s="54"/>
      <c r="NAO2474" s="60"/>
      <c r="NAP2474" s="60"/>
      <c r="NAQ2474" s="60"/>
      <c r="NAR2474" s="60"/>
      <c r="NAS2474" s="63"/>
      <c r="NAT2474" s="61"/>
      <c r="NAU2474" s="54"/>
      <c r="NAV2474" s="54"/>
      <c r="NAW2474" s="60"/>
      <c r="NAX2474" s="60"/>
      <c r="NAY2474" s="60"/>
      <c r="NAZ2474" s="60"/>
      <c r="NBA2474" s="63"/>
      <c r="NBB2474" s="61"/>
      <c r="NBC2474" s="54"/>
      <c r="NBD2474" s="54"/>
      <c r="NBE2474" s="60"/>
      <c r="NBF2474" s="60"/>
      <c r="NBG2474" s="60"/>
      <c r="NBH2474" s="60"/>
      <c r="NBI2474" s="63"/>
      <c r="NBJ2474" s="61"/>
      <c r="NBK2474" s="54"/>
      <c r="NBL2474" s="54"/>
      <c r="NBM2474" s="60"/>
      <c r="NBN2474" s="60"/>
      <c r="NBO2474" s="60"/>
      <c r="NBP2474" s="60"/>
      <c r="NBQ2474" s="63"/>
      <c r="NBR2474" s="61"/>
      <c r="NBS2474" s="54"/>
      <c r="NBT2474" s="54"/>
      <c r="NBU2474" s="60"/>
      <c r="NBV2474" s="60"/>
      <c r="NBW2474" s="60"/>
      <c r="NBX2474" s="60"/>
      <c r="NBY2474" s="63"/>
      <c r="NBZ2474" s="61"/>
      <c r="NCA2474" s="54"/>
      <c r="NCB2474" s="54"/>
      <c r="NCC2474" s="60"/>
      <c r="NCD2474" s="60"/>
      <c r="NCE2474" s="60"/>
      <c r="NCF2474" s="60"/>
      <c r="NCG2474" s="63"/>
      <c r="NCH2474" s="61"/>
      <c r="NCI2474" s="54"/>
      <c r="NCJ2474" s="54"/>
      <c r="NCK2474" s="60"/>
      <c r="NCL2474" s="60"/>
      <c r="NCM2474" s="60"/>
      <c r="NCN2474" s="60"/>
      <c r="NCO2474" s="63"/>
      <c r="NCP2474" s="61"/>
      <c r="NCQ2474" s="54"/>
      <c r="NCR2474" s="54"/>
      <c r="NCS2474" s="60"/>
      <c r="NCT2474" s="60"/>
      <c r="NCU2474" s="60"/>
      <c r="NCV2474" s="60"/>
      <c r="NCW2474" s="63"/>
      <c r="NCX2474" s="61"/>
      <c r="NCY2474" s="54"/>
      <c r="NCZ2474" s="54"/>
      <c r="NDA2474" s="60"/>
      <c r="NDB2474" s="60"/>
      <c r="NDC2474" s="60"/>
      <c r="NDD2474" s="60"/>
      <c r="NDE2474" s="63"/>
      <c r="NDF2474" s="61"/>
      <c r="NDG2474" s="54"/>
      <c r="NDH2474" s="54"/>
      <c r="NDI2474" s="60"/>
      <c r="NDJ2474" s="60"/>
      <c r="NDK2474" s="60"/>
      <c r="NDL2474" s="60"/>
      <c r="NDM2474" s="63"/>
      <c r="NDN2474" s="61"/>
      <c r="NDO2474" s="54"/>
      <c r="NDP2474" s="54"/>
      <c r="NDQ2474" s="60"/>
      <c r="NDR2474" s="60"/>
      <c r="NDS2474" s="60"/>
      <c r="NDT2474" s="60"/>
      <c r="NDU2474" s="63"/>
      <c r="NDV2474" s="61"/>
      <c r="NDW2474" s="54"/>
      <c r="NDX2474" s="54"/>
      <c r="NDY2474" s="60"/>
      <c r="NDZ2474" s="60"/>
      <c r="NEA2474" s="60"/>
      <c r="NEB2474" s="60"/>
      <c r="NEC2474" s="63"/>
      <c r="NED2474" s="61"/>
      <c r="NEE2474" s="54"/>
      <c r="NEF2474" s="54"/>
      <c r="NEG2474" s="60"/>
      <c r="NEH2474" s="60"/>
      <c r="NEI2474" s="60"/>
      <c r="NEJ2474" s="60"/>
      <c r="NEK2474" s="63"/>
      <c r="NEL2474" s="61"/>
      <c r="NEM2474" s="54"/>
      <c r="NEN2474" s="54"/>
      <c r="NEO2474" s="60"/>
      <c r="NEP2474" s="60"/>
      <c r="NEQ2474" s="60"/>
      <c r="NER2474" s="60"/>
      <c r="NES2474" s="63"/>
      <c r="NET2474" s="61"/>
      <c r="NEU2474" s="54"/>
      <c r="NEV2474" s="54"/>
      <c r="NEW2474" s="60"/>
      <c r="NEX2474" s="60"/>
      <c r="NEY2474" s="60"/>
      <c r="NEZ2474" s="60"/>
      <c r="NFA2474" s="63"/>
      <c r="NFB2474" s="61"/>
      <c r="NFC2474" s="54"/>
      <c r="NFD2474" s="54"/>
      <c r="NFE2474" s="60"/>
      <c r="NFF2474" s="60"/>
      <c r="NFG2474" s="60"/>
      <c r="NFH2474" s="60"/>
      <c r="NFI2474" s="63"/>
      <c r="NFJ2474" s="61"/>
      <c r="NFK2474" s="54"/>
      <c r="NFL2474" s="54"/>
      <c r="NFM2474" s="60"/>
      <c r="NFN2474" s="60"/>
      <c r="NFO2474" s="60"/>
      <c r="NFP2474" s="60"/>
      <c r="NFQ2474" s="63"/>
      <c r="NFR2474" s="61"/>
      <c r="NFS2474" s="54"/>
      <c r="NFT2474" s="54"/>
      <c r="NFU2474" s="60"/>
      <c r="NFV2474" s="60"/>
      <c r="NFW2474" s="60"/>
      <c r="NFX2474" s="60"/>
      <c r="NFY2474" s="63"/>
      <c r="NFZ2474" s="61"/>
      <c r="NGA2474" s="54"/>
      <c r="NGB2474" s="54"/>
      <c r="NGC2474" s="60"/>
      <c r="NGD2474" s="60"/>
      <c r="NGE2474" s="60"/>
      <c r="NGF2474" s="60"/>
      <c r="NGG2474" s="63"/>
      <c r="NGH2474" s="61"/>
      <c r="NGI2474" s="54"/>
      <c r="NGJ2474" s="54"/>
      <c r="NGK2474" s="60"/>
      <c r="NGL2474" s="60"/>
      <c r="NGM2474" s="60"/>
      <c r="NGN2474" s="60"/>
      <c r="NGO2474" s="63"/>
      <c r="NGP2474" s="61"/>
      <c r="NGQ2474" s="54"/>
      <c r="NGR2474" s="54"/>
      <c r="NGS2474" s="60"/>
      <c r="NGT2474" s="60"/>
      <c r="NGU2474" s="60"/>
      <c r="NGV2474" s="60"/>
      <c r="NGW2474" s="63"/>
      <c r="NGX2474" s="61"/>
      <c r="NGY2474" s="54"/>
      <c r="NGZ2474" s="54"/>
      <c r="NHA2474" s="60"/>
      <c r="NHB2474" s="60"/>
      <c r="NHC2474" s="60"/>
      <c r="NHD2474" s="60"/>
      <c r="NHE2474" s="63"/>
      <c r="NHF2474" s="61"/>
      <c r="NHG2474" s="54"/>
      <c r="NHH2474" s="54"/>
      <c r="NHI2474" s="60"/>
      <c r="NHJ2474" s="60"/>
      <c r="NHK2474" s="60"/>
      <c r="NHL2474" s="60"/>
      <c r="NHM2474" s="63"/>
      <c r="NHN2474" s="61"/>
      <c r="NHO2474" s="54"/>
      <c r="NHP2474" s="54"/>
      <c r="NHQ2474" s="60"/>
      <c r="NHR2474" s="60"/>
      <c r="NHS2474" s="60"/>
      <c r="NHT2474" s="60"/>
      <c r="NHU2474" s="63"/>
      <c r="NHV2474" s="61"/>
      <c r="NHW2474" s="54"/>
      <c r="NHX2474" s="54"/>
      <c r="NHY2474" s="60"/>
      <c r="NHZ2474" s="60"/>
      <c r="NIA2474" s="60"/>
      <c r="NIB2474" s="60"/>
      <c r="NIC2474" s="63"/>
      <c r="NID2474" s="61"/>
      <c r="NIE2474" s="54"/>
      <c r="NIF2474" s="54"/>
      <c r="NIG2474" s="60"/>
      <c r="NIH2474" s="60"/>
      <c r="NII2474" s="60"/>
      <c r="NIJ2474" s="60"/>
      <c r="NIK2474" s="63"/>
      <c r="NIL2474" s="61"/>
      <c r="NIM2474" s="54"/>
      <c r="NIN2474" s="54"/>
      <c r="NIO2474" s="60"/>
      <c r="NIP2474" s="60"/>
      <c r="NIQ2474" s="60"/>
      <c r="NIR2474" s="60"/>
      <c r="NIS2474" s="63"/>
      <c r="NIT2474" s="61"/>
      <c r="NIU2474" s="54"/>
      <c r="NIV2474" s="54"/>
      <c r="NIW2474" s="60"/>
      <c r="NIX2474" s="60"/>
      <c r="NIY2474" s="60"/>
      <c r="NIZ2474" s="60"/>
      <c r="NJA2474" s="63"/>
      <c r="NJB2474" s="61"/>
      <c r="NJC2474" s="54"/>
      <c r="NJD2474" s="54"/>
      <c r="NJE2474" s="60"/>
      <c r="NJF2474" s="60"/>
      <c r="NJG2474" s="60"/>
      <c r="NJH2474" s="60"/>
      <c r="NJI2474" s="63"/>
      <c r="NJJ2474" s="61"/>
      <c r="NJK2474" s="54"/>
      <c r="NJL2474" s="54"/>
      <c r="NJM2474" s="60"/>
      <c r="NJN2474" s="60"/>
      <c r="NJO2474" s="60"/>
      <c r="NJP2474" s="60"/>
      <c r="NJQ2474" s="63"/>
      <c r="NJR2474" s="61"/>
      <c r="NJS2474" s="54"/>
      <c r="NJT2474" s="54"/>
      <c r="NJU2474" s="60"/>
      <c r="NJV2474" s="60"/>
      <c r="NJW2474" s="60"/>
      <c r="NJX2474" s="60"/>
      <c r="NJY2474" s="63"/>
      <c r="NJZ2474" s="61"/>
      <c r="NKA2474" s="54"/>
      <c r="NKB2474" s="54"/>
      <c r="NKC2474" s="60"/>
      <c r="NKD2474" s="60"/>
      <c r="NKE2474" s="60"/>
      <c r="NKF2474" s="60"/>
      <c r="NKG2474" s="63"/>
      <c r="NKH2474" s="61"/>
      <c r="NKI2474" s="54"/>
      <c r="NKJ2474" s="54"/>
      <c r="NKK2474" s="60"/>
      <c r="NKL2474" s="60"/>
      <c r="NKM2474" s="60"/>
      <c r="NKN2474" s="60"/>
      <c r="NKO2474" s="63"/>
      <c r="NKP2474" s="61"/>
      <c r="NKQ2474" s="54"/>
      <c r="NKR2474" s="54"/>
      <c r="NKS2474" s="60"/>
      <c r="NKT2474" s="60"/>
      <c r="NKU2474" s="60"/>
      <c r="NKV2474" s="60"/>
      <c r="NKW2474" s="63"/>
      <c r="NKX2474" s="61"/>
      <c r="NKY2474" s="54"/>
      <c r="NKZ2474" s="54"/>
      <c r="NLA2474" s="60"/>
      <c r="NLB2474" s="60"/>
      <c r="NLC2474" s="60"/>
      <c r="NLD2474" s="60"/>
      <c r="NLE2474" s="63"/>
      <c r="NLF2474" s="61"/>
      <c r="NLG2474" s="54"/>
      <c r="NLH2474" s="54"/>
      <c r="NLI2474" s="60"/>
      <c r="NLJ2474" s="60"/>
      <c r="NLK2474" s="60"/>
      <c r="NLL2474" s="60"/>
      <c r="NLM2474" s="63"/>
      <c r="NLN2474" s="61"/>
      <c r="NLO2474" s="54"/>
      <c r="NLP2474" s="54"/>
      <c r="NLQ2474" s="60"/>
      <c r="NLR2474" s="60"/>
      <c r="NLS2474" s="60"/>
      <c r="NLT2474" s="60"/>
      <c r="NLU2474" s="63"/>
      <c r="NLV2474" s="61"/>
      <c r="NLW2474" s="54"/>
      <c r="NLX2474" s="54"/>
      <c r="NLY2474" s="60"/>
      <c r="NLZ2474" s="60"/>
      <c r="NMA2474" s="60"/>
      <c r="NMB2474" s="60"/>
      <c r="NMC2474" s="63"/>
      <c r="NMD2474" s="61"/>
      <c r="NME2474" s="54"/>
      <c r="NMF2474" s="54"/>
      <c r="NMG2474" s="60"/>
      <c r="NMH2474" s="60"/>
      <c r="NMI2474" s="60"/>
      <c r="NMJ2474" s="60"/>
      <c r="NMK2474" s="63"/>
      <c r="NML2474" s="61"/>
      <c r="NMM2474" s="54"/>
      <c r="NMN2474" s="54"/>
      <c r="NMO2474" s="60"/>
      <c r="NMP2474" s="60"/>
      <c r="NMQ2474" s="60"/>
      <c r="NMR2474" s="60"/>
      <c r="NMS2474" s="63"/>
      <c r="NMT2474" s="61"/>
      <c r="NMU2474" s="54"/>
      <c r="NMV2474" s="54"/>
      <c r="NMW2474" s="60"/>
      <c r="NMX2474" s="60"/>
      <c r="NMY2474" s="60"/>
      <c r="NMZ2474" s="60"/>
      <c r="NNA2474" s="63"/>
      <c r="NNB2474" s="61"/>
      <c r="NNC2474" s="54"/>
      <c r="NND2474" s="54"/>
      <c r="NNE2474" s="60"/>
      <c r="NNF2474" s="60"/>
      <c r="NNG2474" s="60"/>
      <c r="NNH2474" s="60"/>
      <c r="NNI2474" s="63"/>
      <c r="NNJ2474" s="61"/>
      <c r="NNK2474" s="54"/>
      <c r="NNL2474" s="54"/>
      <c r="NNM2474" s="60"/>
      <c r="NNN2474" s="60"/>
      <c r="NNO2474" s="60"/>
      <c r="NNP2474" s="60"/>
      <c r="NNQ2474" s="63"/>
      <c r="NNR2474" s="61"/>
      <c r="NNS2474" s="54"/>
      <c r="NNT2474" s="54"/>
      <c r="NNU2474" s="60"/>
      <c r="NNV2474" s="60"/>
      <c r="NNW2474" s="60"/>
      <c r="NNX2474" s="60"/>
      <c r="NNY2474" s="63"/>
      <c r="NNZ2474" s="61"/>
      <c r="NOA2474" s="54"/>
      <c r="NOB2474" s="54"/>
      <c r="NOC2474" s="60"/>
      <c r="NOD2474" s="60"/>
      <c r="NOE2474" s="60"/>
      <c r="NOF2474" s="60"/>
      <c r="NOG2474" s="63"/>
      <c r="NOH2474" s="61"/>
      <c r="NOI2474" s="54"/>
      <c r="NOJ2474" s="54"/>
      <c r="NOK2474" s="60"/>
      <c r="NOL2474" s="60"/>
      <c r="NOM2474" s="60"/>
      <c r="NON2474" s="60"/>
      <c r="NOO2474" s="63"/>
      <c r="NOP2474" s="61"/>
      <c r="NOQ2474" s="54"/>
      <c r="NOR2474" s="54"/>
      <c r="NOS2474" s="60"/>
      <c r="NOT2474" s="60"/>
      <c r="NOU2474" s="60"/>
      <c r="NOV2474" s="60"/>
      <c r="NOW2474" s="63"/>
      <c r="NOX2474" s="61"/>
      <c r="NOY2474" s="54"/>
      <c r="NOZ2474" s="54"/>
      <c r="NPA2474" s="60"/>
      <c r="NPB2474" s="60"/>
      <c r="NPC2474" s="60"/>
      <c r="NPD2474" s="60"/>
      <c r="NPE2474" s="63"/>
      <c r="NPF2474" s="61"/>
      <c r="NPG2474" s="54"/>
      <c r="NPH2474" s="54"/>
      <c r="NPI2474" s="60"/>
      <c r="NPJ2474" s="60"/>
      <c r="NPK2474" s="60"/>
      <c r="NPL2474" s="60"/>
      <c r="NPM2474" s="63"/>
      <c r="NPN2474" s="61"/>
      <c r="NPO2474" s="54"/>
      <c r="NPP2474" s="54"/>
      <c r="NPQ2474" s="60"/>
      <c r="NPR2474" s="60"/>
      <c r="NPS2474" s="60"/>
      <c r="NPT2474" s="60"/>
      <c r="NPU2474" s="63"/>
      <c r="NPV2474" s="61"/>
      <c r="NPW2474" s="54"/>
      <c r="NPX2474" s="54"/>
      <c r="NPY2474" s="60"/>
      <c r="NPZ2474" s="60"/>
      <c r="NQA2474" s="60"/>
      <c r="NQB2474" s="60"/>
      <c r="NQC2474" s="63"/>
      <c r="NQD2474" s="61"/>
      <c r="NQE2474" s="54"/>
      <c r="NQF2474" s="54"/>
      <c r="NQG2474" s="60"/>
      <c r="NQH2474" s="60"/>
      <c r="NQI2474" s="60"/>
      <c r="NQJ2474" s="60"/>
      <c r="NQK2474" s="63"/>
      <c r="NQL2474" s="61"/>
      <c r="NQM2474" s="54"/>
      <c r="NQN2474" s="54"/>
      <c r="NQO2474" s="60"/>
      <c r="NQP2474" s="60"/>
      <c r="NQQ2474" s="60"/>
      <c r="NQR2474" s="60"/>
      <c r="NQS2474" s="63"/>
      <c r="NQT2474" s="61"/>
      <c r="NQU2474" s="54"/>
      <c r="NQV2474" s="54"/>
      <c r="NQW2474" s="60"/>
      <c r="NQX2474" s="60"/>
      <c r="NQY2474" s="60"/>
      <c r="NQZ2474" s="60"/>
      <c r="NRA2474" s="63"/>
      <c r="NRB2474" s="61"/>
      <c r="NRC2474" s="54"/>
      <c r="NRD2474" s="54"/>
      <c r="NRE2474" s="60"/>
      <c r="NRF2474" s="60"/>
      <c r="NRG2474" s="60"/>
      <c r="NRH2474" s="60"/>
      <c r="NRI2474" s="63"/>
      <c r="NRJ2474" s="61"/>
      <c r="NRK2474" s="54"/>
      <c r="NRL2474" s="54"/>
      <c r="NRM2474" s="60"/>
      <c r="NRN2474" s="60"/>
      <c r="NRO2474" s="60"/>
      <c r="NRP2474" s="60"/>
      <c r="NRQ2474" s="63"/>
      <c r="NRR2474" s="61"/>
      <c r="NRS2474" s="54"/>
      <c r="NRT2474" s="54"/>
      <c r="NRU2474" s="60"/>
      <c r="NRV2474" s="60"/>
      <c r="NRW2474" s="60"/>
      <c r="NRX2474" s="60"/>
      <c r="NRY2474" s="63"/>
      <c r="NRZ2474" s="61"/>
      <c r="NSA2474" s="54"/>
      <c r="NSB2474" s="54"/>
      <c r="NSC2474" s="60"/>
      <c r="NSD2474" s="60"/>
      <c r="NSE2474" s="60"/>
      <c r="NSF2474" s="60"/>
      <c r="NSG2474" s="63"/>
      <c r="NSH2474" s="61"/>
      <c r="NSI2474" s="54"/>
      <c r="NSJ2474" s="54"/>
      <c r="NSK2474" s="60"/>
      <c r="NSL2474" s="60"/>
      <c r="NSM2474" s="60"/>
      <c r="NSN2474" s="60"/>
      <c r="NSO2474" s="63"/>
      <c r="NSP2474" s="61"/>
      <c r="NSQ2474" s="54"/>
      <c r="NSR2474" s="54"/>
      <c r="NSS2474" s="60"/>
      <c r="NST2474" s="60"/>
      <c r="NSU2474" s="60"/>
      <c r="NSV2474" s="60"/>
      <c r="NSW2474" s="63"/>
      <c r="NSX2474" s="61"/>
      <c r="NSY2474" s="54"/>
      <c r="NSZ2474" s="54"/>
      <c r="NTA2474" s="60"/>
      <c r="NTB2474" s="60"/>
      <c r="NTC2474" s="60"/>
      <c r="NTD2474" s="60"/>
      <c r="NTE2474" s="63"/>
      <c r="NTF2474" s="61"/>
      <c r="NTG2474" s="54"/>
      <c r="NTH2474" s="54"/>
      <c r="NTI2474" s="60"/>
      <c r="NTJ2474" s="60"/>
      <c r="NTK2474" s="60"/>
      <c r="NTL2474" s="60"/>
      <c r="NTM2474" s="63"/>
      <c r="NTN2474" s="61"/>
      <c r="NTO2474" s="54"/>
      <c r="NTP2474" s="54"/>
      <c r="NTQ2474" s="60"/>
      <c r="NTR2474" s="60"/>
      <c r="NTS2474" s="60"/>
      <c r="NTT2474" s="60"/>
      <c r="NTU2474" s="63"/>
      <c r="NTV2474" s="61"/>
      <c r="NTW2474" s="54"/>
      <c r="NTX2474" s="54"/>
      <c r="NTY2474" s="60"/>
      <c r="NTZ2474" s="60"/>
      <c r="NUA2474" s="60"/>
      <c r="NUB2474" s="60"/>
      <c r="NUC2474" s="63"/>
      <c r="NUD2474" s="61"/>
      <c r="NUE2474" s="54"/>
      <c r="NUF2474" s="54"/>
      <c r="NUG2474" s="60"/>
      <c r="NUH2474" s="60"/>
      <c r="NUI2474" s="60"/>
      <c r="NUJ2474" s="60"/>
      <c r="NUK2474" s="63"/>
      <c r="NUL2474" s="61"/>
      <c r="NUM2474" s="54"/>
      <c r="NUN2474" s="54"/>
      <c r="NUO2474" s="60"/>
      <c r="NUP2474" s="60"/>
      <c r="NUQ2474" s="60"/>
      <c r="NUR2474" s="60"/>
      <c r="NUS2474" s="63"/>
      <c r="NUT2474" s="61"/>
      <c r="NUU2474" s="54"/>
      <c r="NUV2474" s="54"/>
      <c r="NUW2474" s="60"/>
      <c r="NUX2474" s="60"/>
      <c r="NUY2474" s="60"/>
      <c r="NUZ2474" s="60"/>
      <c r="NVA2474" s="63"/>
      <c r="NVB2474" s="61"/>
      <c r="NVC2474" s="54"/>
      <c r="NVD2474" s="54"/>
      <c r="NVE2474" s="60"/>
      <c r="NVF2474" s="60"/>
      <c r="NVG2474" s="60"/>
      <c r="NVH2474" s="60"/>
      <c r="NVI2474" s="63"/>
      <c r="NVJ2474" s="61"/>
      <c r="NVK2474" s="54"/>
      <c r="NVL2474" s="54"/>
      <c r="NVM2474" s="60"/>
      <c r="NVN2474" s="60"/>
      <c r="NVO2474" s="60"/>
      <c r="NVP2474" s="60"/>
      <c r="NVQ2474" s="63"/>
      <c r="NVR2474" s="61"/>
      <c r="NVS2474" s="54"/>
      <c r="NVT2474" s="54"/>
      <c r="NVU2474" s="60"/>
      <c r="NVV2474" s="60"/>
      <c r="NVW2474" s="60"/>
      <c r="NVX2474" s="60"/>
      <c r="NVY2474" s="63"/>
      <c r="NVZ2474" s="61"/>
      <c r="NWA2474" s="54"/>
      <c r="NWB2474" s="54"/>
      <c r="NWC2474" s="60"/>
      <c r="NWD2474" s="60"/>
      <c r="NWE2474" s="60"/>
      <c r="NWF2474" s="60"/>
      <c r="NWG2474" s="63"/>
      <c r="NWH2474" s="61"/>
      <c r="NWI2474" s="54"/>
      <c r="NWJ2474" s="54"/>
      <c r="NWK2474" s="60"/>
      <c r="NWL2474" s="60"/>
      <c r="NWM2474" s="60"/>
      <c r="NWN2474" s="60"/>
      <c r="NWO2474" s="63"/>
      <c r="NWP2474" s="61"/>
      <c r="NWQ2474" s="54"/>
      <c r="NWR2474" s="54"/>
      <c r="NWS2474" s="60"/>
      <c r="NWT2474" s="60"/>
      <c r="NWU2474" s="60"/>
      <c r="NWV2474" s="60"/>
      <c r="NWW2474" s="63"/>
      <c r="NWX2474" s="61"/>
      <c r="NWY2474" s="54"/>
      <c r="NWZ2474" s="54"/>
      <c r="NXA2474" s="60"/>
      <c r="NXB2474" s="60"/>
      <c r="NXC2474" s="60"/>
      <c r="NXD2474" s="60"/>
      <c r="NXE2474" s="63"/>
      <c r="NXF2474" s="61"/>
      <c r="NXG2474" s="54"/>
      <c r="NXH2474" s="54"/>
      <c r="NXI2474" s="60"/>
      <c r="NXJ2474" s="60"/>
      <c r="NXK2474" s="60"/>
      <c r="NXL2474" s="60"/>
      <c r="NXM2474" s="63"/>
      <c r="NXN2474" s="61"/>
      <c r="NXO2474" s="54"/>
      <c r="NXP2474" s="54"/>
      <c r="NXQ2474" s="60"/>
      <c r="NXR2474" s="60"/>
      <c r="NXS2474" s="60"/>
      <c r="NXT2474" s="60"/>
      <c r="NXU2474" s="63"/>
      <c r="NXV2474" s="61"/>
      <c r="NXW2474" s="54"/>
      <c r="NXX2474" s="54"/>
      <c r="NXY2474" s="60"/>
      <c r="NXZ2474" s="60"/>
      <c r="NYA2474" s="60"/>
      <c r="NYB2474" s="60"/>
      <c r="NYC2474" s="63"/>
      <c r="NYD2474" s="61"/>
      <c r="NYE2474" s="54"/>
      <c r="NYF2474" s="54"/>
      <c r="NYG2474" s="60"/>
      <c r="NYH2474" s="60"/>
      <c r="NYI2474" s="60"/>
      <c r="NYJ2474" s="60"/>
      <c r="NYK2474" s="63"/>
      <c r="NYL2474" s="61"/>
      <c r="NYM2474" s="54"/>
      <c r="NYN2474" s="54"/>
      <c r="NYO2474" s="60"/>
      <c r="NYP2474" s="60"/>
      <c r="NYQ2474" s="60"/>
      <c r="NYR2474" s="60"/>
      <c r="NYS2474" s="63"/>
      <c r="NYT2474" s="61"/>
      <c r="NYU2474" s="54"/>
      <c r="NYV2474" s="54"/>
      <c r="NYW2474" s="60"/>
      <c r="NYX2474" s="60"/>
      <c r="NYY2474" s="60"/>
      <c r="NYZ2474" s="60"/>
      <c r="NZA2474" s="63"/>
      <c r="NZB2474" s="61"/>
      <c r="NZC2474" s="54"/>
      <c r="NZD2474" s="54"/>
      <c r="NZE2474" s="60"/>
      <c r="NZF2474" s="60"/>
      <c r="NZG2474" s="60"/>
      <c r="NZH2474" s="60"/>
      <c r="NZI2474" s="63"/>
      <c r="NZJ2474" s="61"/>
      <c r="NZK2474" s="54"/>
      <c r="NZL2474" s="54"/>
      <c r="NZM2474" s="60"/>
      <c r="NZN2474" s="60"/>
      <c r="NZO2474" s="60"/>
      <c r="NZP2474" s="60"/>
      <c r="NZQ2474" s="63"/>
      <c r="NZR2474" s="61"/>
      <c r="NZS2474" s="54"/>
      <c r="NZT2474" s="54"/>
      <c r="NZU2474" s="60"/>
      <c r="NZV2474" s="60"/>
      <c r="NZW2474" s="60"/>
      <c r="NZX2474" s="60"/>
      <c r="NZY2474" s="63"/>
      <c r="NZZ2474" s="61"/>
      <c r="OAA2474" s="54"/>
      <c r="OAB2474" s="54"/>
      <c r="OAC2474" s="60"/>
      <c r="OAD2474" s="60"/>
      <c r="OAE2474" s="60"/>
      <c r="OAF2474" s="60"/>
      <c r="OAG2474" s="63"/>
      <c r="OAH2474" s="61"/>
      <c r="OAI2474" s="54"/>
      <c r="OAJ2474" s="54"/>
      <c r="OAK2474" s="60"/>
      <c r="OAL2474" s="60"/>
      <c r="OAM2474" s="60"/>
      <c r="OAN2474" s="60"/>
      <c r="OAO2474" s="63"/>
      <c r="OAP2474" s="61"/>
      <c r="OAQ2474" s="54"/>
      <c r="OAR2474" s="54"/>
      <c r="OAS2474" s="60"/>
      <c r="OAT2474" s="60"/>
      <c r="OAU2474" s="60"/>
      <c r="OAV2474" s="60"/>
      <c r="OAW2474" s="63"/>
      <c r="OAX2474" s="61"/>
      <c r="OAY2474" s="54"/>
      <c r="OAZ2474" s="54"/>
      <c r="OBA2474" s="60"/>
      <c r="OBB2474" s="60"/>
      <c r="OBC2474" s="60"/>
      <c r="OBD2474" s="60"/>
      <c r="OBE2474" s="63"/>
      <c r="OBF2474" s="61"/>
      <c r="OBG2474" s="54"/>
      <c r="OBH2474" s="54"/>
      <c r="OBI2474" s="60"/>
      <c r="OBJ2474" s="60"/>
      <c r="OBK2474" s="60"/>
      <c r="OBL2474" s="60"/>
      <c r="OBM2474" s="63"/>
      <c r="OBN2474" s="61"/>
      <c r="OBO2474" s="54"/>
      <c r="OBP2474" s="54"/>
      <c r="OBQ2474" s="60"/>
      <c r="OBR2474" s="60"/>
      <c r="OBS2474" s="60"/>
      <c r="OBT2474" s="60"/>
      <c r="OBU2474" s="63"/>
      <c r="OBV2474" s="61"/>
      <c r="OBW2474" s="54"/>
      <c r="OBX2474" s="54"/>
      <c r="OBY2474" s="60"/>
      <c r="OBZ2474" s="60"/>
      <c r="OCA2474" s="60"/>
      <c r="OCB2474" s="60"/>
      <c r="OCC2474" s="63"/>
      <c r="OCD2474" s="61"/>
      <c r="OCE2474" s="54"/>
      <c r="OCF2474" s="54"/>
      <c r="OCG2474" s="60"/>
      <c r="OCH2474" s="60"/>
      <c r="OCI2474" s="60"/>
      <c r="OCJ2474" s="60"/>
      <c r="OCK2474" s="63"/>
      <c r="OCL2474" s="61"/>
      <c r="OCM2474" s="54"/>
      <c r="OCN2474" s="54"/>
      <c r="OCO2474" s="60"/>
      <c r="OCP2474" s="60"/>
      <c r="OCQ2474" s="60"/>
      <c r="OCR2474" s="60"/>
      <c r="OCS2474" s="63"/>
      <c r="OCT2474" s="61"/>
      <c r="OCU2474" s="54"/>
      <c r="OCV2474" s="54"/>
      <c r="OCW2474" s="60"/>
      <c r="OCX2474" s="60"/>
      <c r="OCY2474" s="60"/>
      <c r="OCZ2474" s="60"/>
      <c r="ODA2474" s="63"/>
      <c r="ODB2474" s="61"/>
      <c r="ODC2474" s="54"/>
      <c r="ODD2474" s="54"/>
      <c r="ODE2474" s="60"/>
      <c r="ODF2474" s="60"/>
      <c r="ODG2474" s="60"/>
      <c r="ODH2474" s="60"/>
      <c r="ODI2474" s="63"/>
      <c r="ODJ2474" s="61"/>
      <c r="ODK2474" s="54"/>
      <c r="ODL2474" s="54"/>
      <c r="ODM2474" s="60"/>
      <c r="ODN2474" s="60"/>
      <c r="ODO2474" s="60"/>
      <c r="ODP2474" s="60"/>
      <c r="ODQ2474" s="63"/>
      <c r="ODR2474" s="61"/>
      <c r="ODS2474" s="54"/>
      <c r="ODT2474" s="54"/>
      <c r="ODU2474" s="60"/>
      <c r="ODV2474" s="60"/>
      <c r="ODW2474" s="60"/>
      <c r="ODX2474" s="60"/>
      <c r="ODY2474" s="63"/>
      <c r="ODZ2474" s="61"/>
      <c r="OEA2474" s="54"/>
      <c r="OEB2474" s="54"/>
      <c r="OEC2474" s="60"/>
      <c r="OED2474" s="60"/>
      <c r="OEE2474" s="60"/>
      <c r="OEF2474" s="60"/>
      <c r="OEG2474" s="63"/>
      <c r="OEH2474" s="61"/>
      <c r="OEI2474" s="54"/>
      <c r="OEJ2474" s="54"/>
      <c r="OEK2474" s="60"/>
      <c r="OEL2474" s="60"/>
      <c r="OEM2474" s="60"/>
      <c r="OEN2474" s="60"/>
      <c r="OEO2474" s="63"/>
      <c r="OEP2474" s="61"/>
      <c r="OEQ2474" s="54"/>
      <c r="OER2474" s="54"/>
      <c r="OES2474" s="60"/>
      <c r="OET2474" s="60"/>
      <c r="OEU2474" s="60"/>
      <c r="OEV2474" s="60"/>
      <c r="OEW2474" s="63"/>
      <c r="OEX2474" s="61"/>
      <c r="OEY2474" s="54"/>
      <c r="OEZ2474" s="54"/>
      <c r="OFA2474" s="60"/>
      <c r="OFB2474" s="60"/>
      <c r="OFC2474" s="60"/>
      <c r="OFD2474" s="60"/>
      <c r="OFE2474" s="63"/>
      <c r="OFF2474" s="61"/>
      <c r="OFG2474" s="54"/>
      <c r="OFH2474" s="54"/>
      <c r="OFI2474" s="60"/>
      <c r="OFJ2474" s="60"/>
      <c r="OFK2474" s="60"/>
      <c r="OFL2474" s="60"/>
      <c r="OFM2474" s="63"/>
      <c r="OFN2474" s="61"/>
      <c r="OFO2474" s="54"/>
      <c r="OFP2474" s="54"/>
      <c r="OFQ2474" s="60"/>
      <c r="OFR2474" s="60"/>
      <c r="OFS2474" s="60"/>
      <c r="OFT2474" s="60"/>
      <c r="OFU2474" s="63"/>
      <c r="OFV2474" s="61"/>
      <c r="OFW2474" s="54"/>
      <c r="OFX2474" s="54"/>
      <c r="OFY2474" s="60"/>
      <c r="OFZ2474" s="60"/>
      <c r="OGA2474" s="60"/>
      <c r="OGB2474" s="60"/>
      <c r="OGC2474" s="63"/>
      <c r="OGD2474" s="61"/>
      <c r="OGE2474" s="54"/>
      <c r="OGF2474" s="54"/>
      <c r="OGG2474" s="60"/>
      <c r="OGH2474" s="60"/>
      <c r="OGI2474" s="60"/>
      <c r="OGJ2474" s="60"/>
      <c r="OGK2474" s="63"/>
      <c r="OGL2474" s="61"/>
      <c r="OGM2474" s="54"/>
      <c r="OGN2474" s="54"/>
      <c r="OGO2474" s="60"/>
      <c r="OGP2474" s="60"/>
      <c r="OGQ2474" s="60"/>
      <c r="OGR2474" s="60"/>
      <c r="OGS2474" s="63"/>
      <c r="OGT2474" s="61"/>
      <c r="OGU2474" s="54"/>
      <c r="OGV2474" s="54"/>
      <c r="OGW2474" s="60"/>
      <c r="OGX2474" s="60"/>
      <c r="OGY2474" s="60"/>
      <c r="OGZ2474" s="60"/>
      <c r="OHA2474" s="63"/>
      <c r="OHB2474" s="61"/>
      <c r="OHC2474" s="54"/>
      <c r="OHD2474" s="54"/>
      <c r="OHE2474" s="60"/>
      <c r="OHF2474" s="60"/>
      <c r="OHG2474" s="60"/>
      <c r="OHH2474" s="60"/>
      <c r="OHI2474" s="63"/>
      <c r="OHJ2474" s="61"/>
      <c r="OHK2474" s="54"/>
      <c r="OHL2474" s="54"/>
      <c r="OHM2474" s="60"/>
      <c r="OHN2474" s="60"/>
      <c r="OHO2474" s="60"/>
      <c r="OHP2474" s="60"/>
      <c r="OHQ2474" s="63"/>
      <c r="OHR2474" s="61"/>
      <c r="OHS2474" s="54"/>
      <c r="OHT2474" s="54"/>
      <c r="OHU2474" s="60"/>
      <c r="OHV2474" s="60"/>
      <c r="OHW2474" s="60"/>
      <c r="OHX2474" s="60"/>
      <c r="OHY2474" s="63"/>
      <c r="OHZ2474" s="61"/>
      <c r="OIA2474" s="54"/>
      <c r="OIB2474" s="54"/>
      <c r="OIC2474" s="60"/>
      <c r="OID2474" s="60"/>
      <c r="OIE2474" s="60"/>
      <c r="OIF2474" s="60"/>
      <c r="OIG2474" s="63"/>
      <c r="OIH2474" s="61"/>
      <c r="OII2474" s="54"/>
      <c r="OIJ2474" s="54"/>
      <c r="OIK2474" s="60"/>
      <c r="OIL2474" s="60"/>
      <c r="OIM2474" s="60"/>
      <c r="OIN2474" s="60"/>
      <c r="OIO2474" s="63"/>
      <c r="OIP2474" s="61"/>
      <c r="OIQ2474" s="54"/>
      <c r="OIR2474" s="54"/>
      <c r="OIS2474" s="60"/>
      <c r="OIT2474" s="60"/>
      <c r="OIU2474" s="60"/>
      <c r="OIV2474" s="60"/>
      <c r="OIW2474" s="63"/>
      <c r="OIX2474" s="61"/>
      <c r="OIY2474" s="54"/>
      <c r="OIZ2474" s="54"/>
      <c r="OJA2474" s="60"/>
      <c r="OJB2474" s="60"/>
      <c r="OJC2474" s="60"/>
      <c r="OJD2474" s="60"/>
      <c r="OJE2474" s="63"/>
      <c r="OJF2474" s="61"/>
      <c r="OJG2474" s="54"/>
      <c r="OJH2474" s="54"/>
      <c r="OJI2474" s="60"/>
      <c r="OJJ2474" s="60"/>
      <c r="OJK2474" s="60"/>
      <c r="OJL2474" s="60"/>
      <c r="OJM2474" s="63"/>
      <c r="OJN2474" s="61"/>
      <c r="OJO2474" s="54"/>
      <c r="OJP2474" s="54"/>
      <c r="OJQ2474" s="60"/>
      <c r="OJR2474" s="60"/>
      <c r="OJS2474" s="60"/>
      <c r="OJT2474" s="60"/>
      <c r="OJU2474" s="63"/>
      <c r="OJV2474" s="61"/>
      <c r="OJW2474" s="54"/>
      <c r="OJX2474" s="54"/>
      <c r="OJY2474" s="60"/>
      <c r="OJZ2474" s="60"/>
      <c r="OKA2474" s="60"/>
      <c r="OKB2474" s="60"/>
      <c r="OKC2474" s="63"/>
      <c r="OKD2474" s="61"/>
      <c r="OKE2474" s="54"/>
      <c r="OKF2474" s="54"/>
      <c r="OKG2474" s="60"/>
      <c r="OKH2474" s="60"/>
      <c r="OKI2474" s="60"/>
      <c r="OKJ2474" s="60"/>
      <c r="OKK2474" s="63"/>
      <c r="OKL2474" s="61"/>
      <c r="OKM2474" s="54"/>
      <c r="OKN2474" s="54"/>
      <c r="OKO2474" s="60"/>
      <c r="OKP2474" s="60"/>
      <c r="OKQ2474" s="60"/>
      <c r="OKR2474" s="60"/>
      <c r="OKS2474" s="63"/>
      <c r="OKT2474" s="61"/>
      <c r="OKU2474" s="54"/>
      <c r="OKV2474" s="54"/>
      <c r="OKW2474" s="60"/>
      <c r="OKX2474" s="60"/>
      <c r="OKY2474" s="60"/>
      <c r="OKZ2474" s="60"/>
      <c r="OLA2474" s="63"/>
      <c r="OLB2474" s="61"/>
      <c r="OLC2474" s="54"/>
      <c r="OLD2474" s="54"/>
      <c r="OLE2474" s="60"/>
      <c r="OLF2474" s="60"/>
      <c r="OLG2474" s="60"/>
      <c r="OLH2474" s="60"/>
      <c r="OLI2474" s="63"/>
      <c r="OLJ2474" s="61"/>
      <c r="OLK2474" s="54"/>
      <c r="OLL2474" s="54"/>
      <c r="OLM2474" s="60"/>
      <c r="OLN2474" s="60"/>
      <c r="OLO2474" s="60"/>
      <c r="OLP2474" s="60"/>
      <c r="OLQ2474" s="63"/>
      <c r="OLR2474" s="61"/>
      <c r="OLS2474" s="54"/>
      <c r="OLT2474" s="54"/>
      <c r="OLU2474" s="60"/>
      <c r="OLV2474" s="60"/>
      <c r="OLW2474" s="60"/>
      <c r="OLX2474" s="60"/>
      <c r="OLY2474" s="63"/>
      <c r="OLZ2474" s="61"/>
      <c r="OMA2474" s="54"/>
      <c r="OMB2474" s="54"/>
      <c r="OMC2474" s="60"/>
      <c r="OMD2474" s="60"/>
      <c r="OME2474" s="60"/>
      <c r="OMF2474" s="60"/>
      <c r="OMG2474" s="63"/>
      <c r="OMH2474" s="61"/>
      <c r="OMI2474" s="54"/>
      <c r="OMJ2474" s="54"/>
      <c r="OMK2474" s="60"/>
      <c r="OML2474" s="60"/>
      <c r="OMM2474" s="60"/>
      <c r="OMN2474" s="60"/>
      <c r="OMO2474" s="63"/>
      <c r="OMP2474" s="61"/>
      <c r="OMQ2474" s="54"/>
      <c r="OMR2474" s="54"/>
      <c r="OMS2474" s="60"/>
      <c r="OMT2474" s="60"/>
      <c r="OMU2474" s="60"/>
      <c r="OMV2474" s="60"/>
      <c r="OMW2474" s="63"/>
      <c r="OMX2474" s="61"/>
      <c r="OMY2474" s="54"/>
      <c r="OMZ2474" s="54"/>
      <c r="ONA2474" s="60"/>
      <c r="ONB2474" s="60"/>
      <c r="ONC2474" s="60"/>
      <c r="OND2474" s="60"/>
      <c r="ONE2474" s="63"/>
      <c r="ONF2474" s="61"/>
      <c r="ONG2474" s="54"/>
      <c r="ONH2474" s="54"/>
      <c r="ONI2474" s="60"/>
      <c r="ONJ2474" s="60"/>
      <c r="ONK2474" s="60"/>
      <c r="ONL2474" s="60"/>
      <c r="ONM2474" s="63"/>
      <c r="ONN2474" s="61"/>
      <c r="ONO2474" s="54"/>
      <c r="ONP2474" s="54"/>
      <c r="ONQ2474" s="60"/>
      <c r="ONR2474" s="60"/>
      <c r="ONS2474" s="60"/>
      <c r="ONT2474" s="60"/>
      <c r="ONU2474" s="63"/>
      <c r="ONV2474" s="61"/>
      <c r="ONW2474" s="54"/>
      <c r="ONX2474" s="54"/>
      <c r="ONY2474" s="60"/>
      <c r="ONZ2474" s="60"/>
      <c r="OOA2474" s="60"/>
      <c r="OOB2474" s="60"/>
      <c r="OOC2474" s="63"/>
      <c r="OOD2474" s="61"/>
      <c r="OOE2474" s="54"/>
      <c r="OOF2474" s="54"/>
      <c r="OOG2474" s="60"/>
      <c r="OOH2474" s="60"/>
      <c r="OOI2474" s="60"/>
      <c r="OOJ2474" s="60"/>
      <c r="OOK2474" s="63"/>
      <c r="OOL2474" s="61"/>
      <c r="OOM2474" s="54"/>
      <c r="OON2474" s="54"/>
      <c r="OOO2474" s="60"/>
      <c r="OOP2474" s="60"/>
      <c r="OOQ2474" s="60"/>
      <c r="OOR2474" s="60"/>
      <c r="OOS2474" s="63"/>
      <c r="OOT2474" s="61"/>
      <c r="OOU2474" s="54"/>
      <c r="OOV2474" s="54"/>
      <c r="OOW2474" s="60"/>
      <c r="OOX2474" s="60"/>
      <c r="OOY2474" s="60"/>
      <c r="OOZ2474" s="60"/>
      <c r="OPA2474" s="63"/>
      <c r="OPB2474" s="61"/>
      <c r="OPC2474" s="54"/>
      <c r="OPD2474" s="54"/>
      <c r="OPE2474" s="60"/>
      <c r="OPF2474" s="60"/>
      <c r="OPG2474" s="60"/>
      <c r="OPH2474" s="60"/>
      <c r="OPI2474" s="63"/>
      <c r="OPJ2474" s="61"/>
      <c r="OPK2474" s="54"/>
      <c r="OPL2474" s="54"/>
      <c r="OPM2474" s="60"/>
      <c r="OPN2474" s="60"/>
      <c r="OPO2474" s="60"/>
      <c r="OPP2474" s="60"/>
      <c r="OPQ2474" s="63"/>
      <c r="OPR2474" s="61"/>
      <c r="OPS2474" s="54"/>
      <c r="OPT2474" s="54"/>
      <c r="OPU2474" s="60"/>
      <c r="OPV2474" s="60"/>
      <c r="OPW2474" s="60"/>
      <c r="OPX2474" s="60"/>
      <c r="OPY2474" s="63"/>
      <c r="OPZ2474" s="61"/>
      <c r="OQA2474" s="54"/>
      <c r="OQB2474" s="54"/>
      <c r="OQC2474" s="60"/>
      <c r="OQD2474" s="60"/>
      <c r="OQE2474" s="60"/>
      <c r="OQF2474" s="60"/>
      <c r="OQG2474" s="63"/>
      <c r="OQH2474" s="61"/>
      <c r="OQI2474" s="54"/>
      <c r="OQJ2474" s="54"/>
      <c r="OQK2474" s="60"/>
      <c r="OQL2474" s="60"/>
      <c r="OQM2474" s="60"/>
      <c r="OQN2474" s="60"/>
      <c r="OQO2474" s="63"/>
      <c r="OQP2474" s="61"/>
      <c r="OQQ2474" s="54"/>
      <c r="OQR2474" s="54"/>
      <c r="OQS2474" s="60"/>
      <c r="OQT2474" s="60"/>
      <c r="OQU2474" s="60"/>
      <c r="OQV2474" s="60"/>
      <c r="OQW2474" s="63"/>
      <c r="OQX2474" s="61"/>
      <c r="OQY2474" s="54"/>
      <c r="OQZ2474" s="54"/>
      <c r="ORA2474" s="60"/>
      <c r="ORB2474" s="60"/>
      <c r="ORC2474" s="60"/>
      <c r="ORD2474" s="60"/>
      <c r="ORE2474" s="63"/>
      <c r="ORF2474" s="61"/>
      <c r="ORG2474" s="54"/>
      <c r="ORH2474" s="54"/>
      <c r="ORI2474" s="60"/>
      <c r="ORJ2474" s="60"/>
      <c r="ORK2474" s="60"/>
      <c r="ORL2474" s="60"/>
      <c r="ORM2474" s="63"/>
      <c r="ORN2474" s="61"/>
      <c r="ORO2474" s="54"/>
      <c r="ORP2474" s="54"/>
      <c r="ORQ2474" s="60"/>
      <c r="ORR2474" s="60"/>
      <c r="ORS2474" s="60"/>
      <c r="ORT2474" s="60"/>
      <c r="ORU2474" s="63"/>
      <c r="ORV2474" s="61"/>
      <c r="ORW2474" s="54"/>
      <c r="ORX2474" s="54"/>
      <c r="ORY2474" s="60"/>
      <c r="ORZ2474" s="60"/>
      <c r="OSA2474" s="60"/>
      <c r="OSB2474" s="60"/>
      <c r="OSC2474" s="63"/>
      <c r="OSD2474" s="61"/>
      <c r="OSE2474" s="54"/>
      <c r="OSF2474" s="54"/>
      <c r="OSG2474" s="60"/>
      <c r="OSH2474" s="60"/>
      <c r="OSI2474" s="60"/>
      <c r="OSJ2474" s="60"/>
      <c r="OSK2474" s="63"/>
      <c r="OSL2474" s="61"/>
      <c r="OSM2474" s="54"/>
      <c r="OSN2474" s="54"/>
      <c r="OSO2474" s="60"/>
      <c r="OSP2474" s="60"/>
      <c r="OSQ2474" s="60"/>
      <c r="OSR2474" s="60"/>
      <c r="OSS2474" s="63"/>
      <c r="OST2474" s="61"/>
      <c r="OSU2474" s="54"/>
      <c r="OSV2474" s="54"/>
      <c r="OSW2474" s="60"/>
      <c r="OSX2474" s="60"/>
      <c r="OSY2474" s="60"/>
      <c r="OSZ2474" s="60"/>
      <c r="OTA2474" s="63"/>
      <c r="OTB2474" s="61"/>
      <c r="OTC2474" s="54"/>
      <c r="OTD2474" s="54"/>
      <c r="OTE2474" s="60"/>
      <c r="OTF2474" s="60"/>
      <c r="OTG2474" s="60"/>
      <c r="OTH2474" s="60"/>
      <c r="OTI2474" s="63"/>
      <c r="OTJ2474" s="61"/>
      <c r="OTK2474" s="54"/>
      <c r="OTL2474" s="54"/>
      <c r="OTM2474" s="60"/>
      <c r="OTN2474" s="60"/>
      <c r="OTO2474" s="60"/>
      <c r="OTP2474" s="60"/>
      <c r="OTQ2474" s="63"/>
      <c r="OTR2474" s="61"/>
      <c r="OTS2474" s="54"/>
      <c r="OTT2474" s="54"/>
      <c r="OTU2474" s="60"/>
      <c r="OTV2474" s="60"/>
      <c r="OTW2474" s="60"/>
      <c r="OTX2474" s="60"/>
      <c r="OTY2474" s="63"/>
      <c r="OTZ2474" s="61"/>
      <c r="OUA2474" s="54"/>
      <c r="OUB2474" s="54"/>
      <c r="OUC2474" s="60"/>
      <c r="OUD2474" s="60"/>
      <c r="OUE2474" s="60"/>
      <c r="OUF2474" s="60"/>
      <c r="OUG2474" s="63"/>
      <c r="OUH2474" s="61"/>
      <c r="OUI2474" s="54"/>
      <c r="OUJ2474" s="54"/>
      <c r="OUK2474" s="60"/>
      <c r="OUL2474" s="60"/>
      <c r="OUM2474" s="60"/>
      <c r="OUN2474" s="60"/>
      <c r="OUO2474" s="63"/>
      <c r="OUP2474" s="61"/>
      <c r="OUQ2474" s="54"/>
      <c r="OUR2474" s="54"/>
      <c r="OUS2474" s="60"/>
      <c r="OUT2474" s="60"/>
      <c r="OUU2474" s="60"/>
      <c r="OUV2474" s="60"/>
      <c r="OUW2474" s="63"/>
      <c r="OUX2474" s="61"/>
      <c r="OUY2474" s="54"/>
      <c r="OUZ2474" s="54"/>
      <c r="OVA2474" s="60"/>
      <c r="OVB2474" s="60"/>
      <c r="OVC2474" s="60"/>
      <c r="OVD2474" s="60"/>
      <c r="OVE2474" s="63"/>
      <c r="OVF2474" s="61"/>
      <c r="OVG2474" s="54"/>
      <c r="OVH2474" s="54"/>
      <c r="OVI2474" s="60"/>
      <c r="OVJ2474" s="60"/>
      <c r="OVK2474" s="60"/>
      <c r="OVL2474" s="60"/>
      <c r="OVM2474" s="63"/>
      <c r="OVN2474" s="61"/>
      <c r="OVO2474" s="54"/>
      <c r="OVP2474" s="54"/>
      <c r="OVQ2474" s="60"/>
      <c r="OVR2474" s="60"/>
      <c r="OVS2474" s="60"/>
      <c r="OVT2474" s="60"/>
      <c r="OVU2474" s="63"/>
      <c r="OVV2474" s="61"/>
      <c r="OVW2474" s="54"/>
      <c r="OVX2474" s="54"/>
      <c r="OVY2474" s="60"/>
      <c r="OVZ2474" s="60"/>
      <c r="OWA2474" s="60"/>
      <c r="OWB2474" s="60"/>
      <c r="OWC2474" s="63"/>
      <c r="OWD2474" s="61"/>
      <c r="OWE2474" s="54"/>
      <c r="OWF2474" s="54"/>
      <c r="OWG2474" s="60"/>
      <c r="OWH2474" s="60"/>
      <c r="OWI2474" s="60"/>
      <c r="OWJ2474" s="60"/>
      <c r="OWK2474" s="63"/>
      <c r="OWL2474" s="61"/>
      <c r="OWM2474" s="54"/>
      <c r="OWN2474" s="54"/>
      <c r="OWO2474" s="60"/>
      <c r="OWP2474" s="60"/>
      <c r="OWQ2474" s="60"/>
      <c r="OWR2474" s="60"/>
      <c r="OWS2474" s="63"/>
      <c r="OWT2474" s="61"/>
      <c r="OWU2474" s="54"/>
      <c r="OWV2474" s="54"/>
      <c r="OWW2474" s="60"/>
      <c r="OWX2474" s="60"/>
      <c r="OWY2474" s="60"/>
      <c r="OWZ2474" s="60"/>
      <c r="OXA2474" s="63"/>
      <c r="OXB2474" s="61"/>
      <c r="OXC2474" s="54"/>
      <c r="OXD2474" s="54"/>
      <c r="OXE2474" s="60"/>
      <c r="OXF2474" s="60"/>
      <c r="OXG2474" s="60"/>
      <c r="OXH2474" s="60"/>
      <c r="OXI2474" s="63"/>
      <c r="OXJ2474" s="61"/>
      <c r="OXK2474" s="54"/>
      <c r="OXL2474" s="54"/>
      <c r="OXM2474" s="60"/>
      <c r="OXN2474" s="60"/>
      <c r="OXO2474" s="60"/>
      <c r="OXP2474" s="60"/>
      <c r="OXQ2474" s="63"/>
      <c r="OXR2474" s="61"/>
      <c r="OXS2474" s="54"/>
      <c r="OXT2474" s="54"/>
      <c r="OXU2474" s="60"/>
      <c r="OXV2474" s="60"/>
      <c r="OXW2474" s="60"/>
      <c r="OXX2474" s="60"/>
      <c r="OXY2474" s="63"/>
      <c r="OXZ2474" s="61"/>
      <c r="OYA2474" s="54"/>
      <c r="OYB2474" s="54"/>
      <c r="OYC2474" s="60"/>
      <c r="OYD2474" s="60"/>
      <c r="OYE2474" s="60"/>
      <c r="OYF2474" s="60"/>
      <c r="OYG2474" s="63"/>
      <c r="OYH2474" s="61"/>
      <c r="OYI2474" s="54"/>
      <c r="OYJ2474" s="54"/>
      <c r="OYK2474" s="60"/>
      <c r="OYL2474" s="60"/>
      <c r="OYM2474" s="60"/>
      <c r="OYN2474" s="60"/>
      <c r="OYO2474" s="63"/>
      <c r="OYP2474" s="61"/>
      <c r="OYQ2474" s="54"/>
      <c r="OYR2474" s="54"/>
      <c r="OYS2474" s="60"/>
      <c r="OYT2474" s="60"/>
      <c r="OYU2474" s="60"/>
      <c r="OYV2474" s="60"/>
      <c r="OYW2474" s="63"/>
      <c r="OYX2474" s="61"/>
      <c r="OYY2474" s="54"/>
      <c r="OYZ2474" s="54"/>
      <c r="OZA2474" s="60"/>
      <c r="OZB2474" s="60"/>
      <c r="OZC2474" s="60"/>
      <c r="OZD2474" s="60"/>
      <c r="OZE2474" s="63"/>
      <c r="OZF2474" s="61"/>
      <c r="OZG2474" s="54"/>
      <c r="OZH2474" s="54"/>
      <c r="OZI2474" s="60"/>
      <c r="OZJ2474" s="60"/>
      <c r="OZK2474" s="60"/>
      <c r="OZL2474" s="60"/>
      <c r="OZM2474" s="63"/>
      <c r="OZN2474" s="61"/>
      <c r="OZO2474" s="54"/>
      <c r="OZP2474" s="54"/>
      <c r="OZQ2474" s="60"/>
      <c r="OZR2474" s="60"/>
      <c r="OZS2474" s="60"/>
      <c r="OZT2474" s="60"/>
      <c r="OZU2474" s="63"/>
      <c r="OZV2474" s="61"/>
      <c r="OZW2474" s="54"/>
      <c r="OZX2474" s="54"/>
      <c r="OZY2474" s="60"/>
      <c r="OZZ2474" s="60"/>
      <c r="PAA2474" s="60"/>
      <c r="PAB2474" s="60"/>
      <c r="PAC2474" s="63"/>
      <c r="PAD2474" s="61"/>
      <c r="PAE2474" s="54"/>
      <c r="PAF2474" s="54"/>
      <c r="PAG2474" s="60"/>
      <c r="PAH2474" s="60"/>
      <c r="PAI2474" s="60"/>
      <c r="PAJ2474" s="60"/>
      <c r="PAK2474" s="63"/>
      <c r="PAL2474" s="61"/>
      <c r="PAM2474" s="54"/>
      <c r="PAN2474" s="54"/>
      <c r="PAO2474" s="60"/>
      <c r="PAP2474" s="60"/>
      <c r="PAQ2474" s="60"/>
      <c r="PAR2474" s="60"/>
      <c r="PAS2474" s="63"/>
      <c r="PAT2474" s="61"/>
      <c r="PAU2474" s="54"/>
      <c r="PAV2474" s="54"/>
      <c r="PAW2474" s="60"/>
      <c r="PAX2474" s="60"/>
      <c r="PAY2474" s="60"/>
      <c r="PAZ2474" s="60"/>
      <c r="PBA2474" s="63"/>
      <c r="PBB2474" s="61"/>
      <c r="PBC2474" s="54"/>
      <c r="PBD2474" s="54"/>
      <c r="PBE2474" s="60"/>
      <c r="PBF2474" s="60"/>
      <c r="PBG2474" s="60"/>
      <c r="PBH2474" s="60"/>
      <c r="PBI2474" s="63"/>
      <c r="PBJ2474" s="61"/>
      <c r="PBK2474" s="54"/>
      <c r="PBL2474" s="54"/>
      <c r="PBM2474" s="60"/>
      <c r="PBN2474" s="60"/>
      <c r="PBO2474" s="60"/>
      <c r="PBP2474" s="60"/>
      <c r="PBQ2474" s="63"/>
      <c r="PBR2474" s="61"/>
      <c r="PBS2474" s="54"/>
      <c r="PBT2474" s="54"/>
      <c r="PBU2474" s="60"/>
      <c r="PBV2474" s="60"/>
      <c r="PBW2474" s="60"/>
      <c r="PBX2474" s="60"/>
      <c r="PBY2474" s="63"/>
      <c r="PBZ2474" s="61"/>
      <c r="PCA2474" s="54"/>
      <c r="PCB2474" s="54"/>
      <c r="PCC2474" s="60"/>
      <c r="PCD2474" s="60"/>
      <c r="PCE2474" s="60"/>
      <c r="PCF2474" s="60"/>
      <c r="PCG2474" s="63"/>
      <c r="PCH2474" s="61"/>
      <c r="PCI2474" s="54"/>
      <c r="PCJ2474" s="54"/>
      <c r="PCK2474" s="60"/>
      <c r="PCL2474" s="60"/>
      <c r="PCM2474" s="60"/>
      <c r="PCN2474" s="60"/>
      <c r="PCO2474" s="63"/>
      <c r="PCP2474" s="61"/>
      <c r="PCQ2474" s="54"/>
      <c r="PCR2474" s="54"/>
      <c r="PCS2474" s="60"/>
      <c r="PCT2474" s="60"/>
      <c r="PCU2474" s="60"/>
      <c r="PCV2474" s="60"/>
      <c r="PCW2474" s="63"/>
      <c r="PCX2474" s="61"/>
      <c r="PCY2474" s="54"/>
      <c r="PCZ2474" s="54"/>
      <c r="PDA2474" s="60"/>
      <c r="PDB2474" s="60"/>
      <c r="PDC2474" s="60"/>
      <c r="PDD2474" s="60"/>
      <c r="PDE2474" s="63"/>
      <c r="PDF2474" s="61"/>
      <c r="PDG2474" s="54"/>
      <c r="PDH2474" s="54"/>
      <c r="PDI2474" s="60"/>
      <c r="PDJ2474" s="60"/>
      <c r="PDK2474" s="60"/>
      <c r="PDL2474" s="60"/>
      <c r="PDM2474" s="63"/>
      <c r="PDN2474" s="61"/>
      <c r="PDO2474" s="54"/>
      <c r="PDP2474" s="54"/>
      <c r="PDQ2474" s="60"/>
      <c r="PDR2474" s="60"/>
      <c r="PDS2474" s="60"/>
      <c r="PDT2474" s="60"/>
      <c r="PDU2474" s="63"/>
      <c r="PDV2474" s="61"/>
      <c r="PDW2474" s="54"/>
      <c r="PDX2474" s="54"/>
      <c r="PDY2474" s="60"/>
      <c r="PDZ2474" s="60"/>
      <c r="PEA2474" s="60"/>
      <c r="PEB2474" s="60"/>
      <c r="PEC2474" s="63"/>
      <c r="PED2474" s="61"/>
      <c r="PEE2474" s="54"/>
      <c r="PEF2474" s="54"/>
      <c r="PEG2474" s="60"/>
      <c r="PEH2474" s="60"/>
      <c r="PEI2474" s="60"/>
      <c r="PEJ2474" s="60"/>
      <c r="PEK2474" s="63"/>
      <c r="PEL2474" s="61"/>
      <c r="PEM2474" s="54"/>
      <c r="PEN2474" s="54"/>
      <c r="PEO2474" s="60"/>
      <c r="PEP2474" s="60"/>
      <c r="PEQ2474" s="60"/>
      <c r="PER2474" s="60"/>
      <c r="PES2474" s="63"/>
      <c r="PET2474" s="61"/>
      <c r="PEU2474" s="54"/>
      <c r="PEV2474" s="54"/>
      <c r="PEW2474" s="60"/>
      <c r="PEX2474" s="60"/>
      <c r="PEY2474" s="60"/>
      <c r="PEZ2474" s="60"/>
      <c r="PFA2474" s="63"/>
      <c r="PFB2474" s="61"/>
      <c r="PFC2474" s="54"/>
      <c r="PFD2474" s="54"/>
      <c r="PFE2474" s="60"/>
      <c r="PFF2474" s="60"/>
      <c r="PFG2474" s="60"/>
      <c r="PFH2474" s="60"/>
      <c r="PFI2474" s="63"/>
      <c r="PFJ2474" s="61"/>
      <c r="PFK2474" s="54"/>
      <c r="PFL2474" s="54"/>
      <c r="PFM2474" s="60"/>
      <c r="PFN2474" s="60"/>
      <c r="PFO2474" s="60"/>
      <c r="PFP2474" s="60"/>
      <c r="PFQ2474" s="63"/>
      <c r="PFR2474" s="61"/>
      <c r="PFS2474" s="54"/>
      <c r="PFT2474" s="54"/>
      <c r="PFU2474" s="60"/>
      <c r="PFV2474" s="60"/>
      <c r="PFW2474" s="60"/>
      <c r="PFX2474" s="60"/>
      <c r="PFY2474" s="63"/>
      <c r="PFZ2474" s="61"/>
      <c r="PGA2474" s="54"/>
      <c r="PGB2474" s="54"/>
      <c r="PGC2474" s="60"/>
      <c r="PGD2474" s="60"/>
      <c r="PGE2474" s="60"/>
      <c r="PGF2474" s="60"/>
      <c r="PGG2474" s="63"/>
      <c r="PGH2474" s="61"/>
      <c r="PGI2474" s="54"/>
      <c r="PGJ2474" s="54"/>
      <c r="PGK2474" s="60"/>
      <c r="PGL2474" s="60"/>
      <c r="PGM2474" s="60"/>
      <c r="PGN2474" s="60"/>
      <c r="PGO2474" s="63"/>
      <c r="PGP2474" s="61"/>
      <c r="PGQ2474" s="54"/>
      <c r="PGR2474" s="54"/>
      <c r="PGS2474" s="60"/>
      <c r="PGT2474" s="60"/>
      <c r="PGU2474" s="60"/>
      <c r="PGV2474" s="60"/>
      <c r="PGW2474" s="63"/>
      <c r="PGX2474" s="61"/>
      <c r="PGY2474" s="54"/>
      <c r="PGZ2474" s="54"/>
      <c r="PHA2474" s="60"/>
      <c r="PHB2474" s="60"/>
      <c r="PHC2474" s="60"/>
      <c r="PHD2474" s="60"/>
      <c r="PHE2474" s="63"/>
      <c r="PHF2474" s="61"/>
      <c r="PHG2474" s="54"/>
      <c r="PHH2474" s="54"/>
      <c r="PHI2474" s="60"/>
      <c r="PHJ2474" s="60"/>
      <c r="PHK2474" s="60"/>
      <c r="PHL2474" s="60"/>
      <c r="PHM2474" s="63"/>
      <c r="PHN2474" s="61"/>
      <c r="PHO2474" s="54"/>
      <c r="PHP2474" s="54"/>
      <c r="PHQ2474" s="60"/>
      <c r="PHR2474" s="60"/>
      <c r="PHS2474" s="60"/>
      <c r="PHT2474" s="60"/>
      <c r="PHU2474" s="63"/>
      <c r="PHV2474" s="61"/>
      <c r="PHW2474" s="54"/>
      <c r="PHX2474" s="54"/>
      <c r="PHY2474" s="60"/>
      <c r="PHZ2474" s="60"/>
      <c r="PIA2474" s="60"/>
      <c r="PIB2474" s="60"/>
      <c r="PIC2474" s="63"/>
      <c r="PID2474" s="61"/>
      <c r="PIE2474" s="54"/>
      <c r="PIF2474" s="54"/>
      <c r="PIG2474" s="60"/>
      <c r="PIH2474" s="60"/>
      <c r="PII2474" s="60"/>
      <c r="PIJ2474" s="60"/>
      <c r="PIK2474" s="63"/>
      <c r="PIL2474" s="61"/>
      <c r="PIM2474" s="54"/>
      <c r="PIN2474" s="54"/>
      <c r="PIO2474" s="60"/>
      <c r="PIP2474" s="60"/>
      <c r="PIQ2474" s="60"/>
      <c r="PIR2474" s="60"/>
      <c r="PIS2474" s="63"/>
      <c r="PIT2474" s="61"/>
      <c r="PIU2474" s="54"/>
      <c r="PIV2474" s="54"/>
      <c r="PIW2474" s="60"/>
      <c r="PIX2474" s="60"/>
      <c r="PIY2474" s="60"/>
      <c r="PIZ2474" s="60"/>
      <c r="PJA2474" s="63"/>
      <c r="PJB2474" s="61"/>
      <c r="PJC2474" s="54"/>
      <c r="PJD2474" s="54"/>
      <c r="PJE2474" s="60"/>
      <c r="PJF2474" s="60"/>
      <c r="PJG2474" s="60"/>
      <c r="PJH2474" s="60"/>
      <c r="PJI2474" s="63"/>
      <c r="PJJ2474" s="61"/>
      <c r="PJK2474" s="54"/>
      <c r="PJL2474" s="54"/>
      <c r="PJM2474" s="60"/>
      <c r="PJN2474" s="60"/>
      <c r="PJO2474" s="60"/>
      <c r="PJP2474" s="60"/>
      <c r="PJQ2474" s="63"/>
      <c r="PJR2474" s="61"/>
      <c r="PJS2474" s="54"/>
      <c r="PJT2474" s="54"/>
      <c r="PJU2474" s="60"/>
      <c r="PJV2474" s="60"/>
      <c r="PJW2474" s="60"/>
      <c r="PJX2474" s="60"/>
      <c r="PJY2474" s="63"/>
      <c r="PJZ2474" s="61"/>
      <c r="PKA2474" s="54"/>
      <c r="PKB2474" s="54"/>
      <c r="PKC2474" s="60"/>
      <c r="PKD2474" s="60"/>
      <c r="PKE2474" s="60"/>
      <c r="PKF2474" s="60"/>
      <c r="PKG2474" s="63"/>
      <c r="PKH2474" s="61"/>
      <c r="PKI2474" s="54"/>
      <c r="PKJ2474" s="54"/>
      <c r="PKK2474" s="60"/>
      <c r="PKL2474" s="60"/>
      <c r="PKM2474" s="60"/>
      <c r="PKN2474" s="60"/>
      <c r="PKO2474" s="63"/>
      <c r="PKP2474" s="61"/>
      <c r="PKQ2474" s="54"/>
      <c r="PKR2474" s="54"/>
      <c r="PKS2474" s="60"/>
      <c r="PKT2474" s="60"/>
      <c r="PKU2474" s="60"/>
      <c r="PKV2474" s="60"/>
      <c r="PKW2474" s="63"/>
      <c r="PKX2474" s="61"/>
      <c r="PKY2474" s="54"/>
      <c r="PKZ2474" s="54"/>
      <c r="PLA2474" s="60"/>
      <c r="PLB2474" s="60"/>
      <c r="PLC2474" s="60"/>
      <c r="PLD2474" s="60"/>
      <c r="PLE2474" s="63"/>
      <c r="PLF2474" s="61"/>
      <c r="PLG2474" s="54"/>
      <c r="PLH2474" s="54"/>
      <c r="PLI2474" s="60"/>
      <c r="PLJ2474" s="60"/>
      <c r="PLK2474" s="60"/>
      <c r="PLL2474" s="60"/>
      <c r="PLM2474" s="63"/>
      <c r="PLN2474" s="61"/>
      <c r="PLO2474" s="54"/>
      <c r="PLP2474" s="54"/>
      <c r="PLQ2474" s="60"/>
      <c r="PLR2474" s="60"/>
      <c r="PLS2474" s="60"/>
      <c r="PLT2474" s="60"/>
      <c r="PLU2474" s="63"/>
      <c r="PLV2474" s="61"/>
      <c r="PLW2474" s="54"/>
      <c r="PLX2474" s="54"/>
      <c r="PLY2474" s="60"/>
      <c r="PLZ2474" s="60"/>
      <c r="PMA2474" s="60"/>
      <c r="PMB2474" s="60"/>
      <c r="PMC2474" s="63"/>
      <c r="PMD2474" s="61"/>
      <c r="PME2474" s="54"/>
      <c r="PMF2474" s="54"/>
      <c r="PMG2474" s="60"/>
      <c r="PMH2474" s="60"/>
      <c r="PMI2474" s="60"/>
      <c r="PMJ2474" s="60"/>
      <c r="PMK2474" s="63"/>
      <c r="PML2474" s="61"/>
      <c r="PMM2474" s="54"/>
      <c r="PMN2474" s="54"/>
      <c r="PMO2474" s="60"/>
      <c r="PMP2474" s="60"/>
      <c r="PMQ2474" s="60"/>
      <c r="PMR2474" s="60"/>
      <c r="PMS2474" s="63"/>
      <c r="PMT2474" s="61"/>
      <c r="PMU2474" s="54"/>
      <c r="PMV2474" s="54"/>
      <c r="PMW2474" s="60"/>
      <c r="PMX2474" s="60"/>
      <c r="PMY2474" s="60"/>
      <c r="PMZ2474" s="60"/>
      <c r="PNA2474" s="63"/>
      <c r="PNB2474" s="61"/>
      <c r="PNC2474" s="54"/>
      <c r="PND2474" s="54"/>
      <c r="PNE2474" s="60"/>
      <c r="PNF2474" s="60"/>
      <c r="PNG2474" s="60"/>
      <c r="PNH2474" s="60"/>
      <c r="PNI2474" s="63"/>
      <c r="PNJ2474" s="61"/>
      <c r="PNK2474" s="54"/>
      <c r="PNL2474" s="54"/>
      <c r="PNM2474" s="60"/>
      <c r="PNN2474" s="60"/>
      <c r="PNO2474" s="60"/>
      <c r="PNP2474" s="60"/>
      <c r="PNQ2474" s="63"/>
      <c r="PNR2474" s="61"/>
      <c r="PNS2474" s="54"/>
      <c r="PNT2474" s="54"/>
      <c r="PNU2474" s="60"/>
      <c r="PNV2474" s="60"/>
      <c r="PNW2474" s="60"/>
      <c r="PNX2474" s="60"/>
      <c r="PNY2474" s="63"/>
      <c r="PNZ2474" s="61"/>
      <c r="POA2474" s="54"/>
      <c r="POB2474" s="54"/>
      <c r="POC2474" s="60"/>
      <c r="POD2474" s="60"/>
      <c r="POE2474" s="60"/>
      <c r="POF2474" s="60"/>
      <c r="POG2474" s="63"/>
      <c r="POH2474" s="61"/>
      <c r="POI2474" s="54"/>
      <c r="POJ2474" s="54"/>
      <c r="POK2474" s="60"/>
      <c r="POL2474" s="60"/>
      <c r="POM2474" s="60"/>
      <c r="PON2474" s="60"/>
      <c r="POO2474" s="63"/>
      <c r="POP2474" s="61"/>
      <c r="POQ2474" s="54"/>
      <c r="POR2474" s="54"/>
      <c r="POS2474" s="60"/>
      <c r="POT2474" s="60"/>
      <c r="POU2474" s="60"/>
      <c r="POV2474" s="60"/>
      <c r="POW2474" s="63"/>
      <c r="POX2474" s="61"/>
      <c r="POY2474" s="54"/>
      <c r="POZ2474" s="54"/>
      <c r="PPA2474" s="60"/>
      <c r="PPB2474" s="60"/>
      <c r="PPC2474" s="60"/>
      <c r="PPD2474" s="60"/>
      <c r="PPE2474" s="63"/>
      <c r="PPF2474" s="61"/>
      <c r="PPG2474" s="54"/>
      <c r="PPH2474" s="54"/>
      <c r="PPI2474" s="60"/>
      <c r="PPJ2474" s="60"/>
      <c r="PPK2474" s="60"/>
      <c r="PPL2474" s="60"/>
      <c r="PPM2474" s="63"/>
      <c r="PPN2474" s="61"/>
      <c r="PPO2474" s="54"/>
      <c r="PPP2474" s="54"/>
      <c r="PPQ2474" s="60"/>
      <c r="PPR2474" s="60"/>
      <c r="PPS2474" s="60"/>
      <c r="PPT2474" s="60"/>
      <c r="PPU2474" s="63"/>
      <c r="PPV2474" s="61"/>
      <c r="PPW2474" s="54"/>
      <c r="PPX2474" s="54"/>
      <c r="PPY2474" s="60"/>
      <c r="PPZ2474" s="60"/>
      <c r="PQA2474" s="60"/>
      <c r="PQB2474" s="60"/>
      <c r="PQC2474" s="63"/>
      <c r="PQD2474" s="61"/>
      <c r="PQE2474" s="54"/>
      <c r="PQF2474" s="54"/>
      <c r="PQG2474" s="60"/>
      <c r="PQH2474" s="60"/>
      <c r="PQI2474" s="60"/>
      <c r="PQJ2474" s="60"/>
      <c r="PQK2474" s="63"/>
      <c r="PQL2474" s="61"/>
      <c r="PQM2474" s="54"/>
      <c r="PQN2474" s="54"/>
      <c r="PQO2474" s="60"/>
      <c r="PQP2474" s="60"/>
      <c r="PQQ2474" s="60"/>
      <c r="PQR2474" s="60"/>
      <c r="PQS2474" s="63"/>
      <c r="PQT2474" s="61"/>
      <c r="PQU2474" s="54"/>
      <c r="PQV2474" s="54"/>
      <c r="PQW2474" s="60"/>
      <c r="PQX2474" s="60"/>
      <c r="PQY2474" s="60"/>
      <c r="PQZ2474" s="60"/>
      <c r="PRA2474" s="63"/>
      <c r="PRB2474" s="61"/>
      <c r="PRC2474" s="54"/>
      <c r="PRD2474" s="54"/>
      <c r="PRE2474" s="60"/>
      <c r="PRF2474" s="60"/>
      <c r="PRG2474" s="60"/>
      <c r="PRH2474" s="60"/>
      <c r="PRI2474" s="63"/>
      <c r="PRJ2474" s="61"/>
      <c r="PRK2474" s="54"/>
      <c r="PRL2474" s="54"/>
      <c r="PRM2474" s="60"/>
      <c r="PRN2474" s="60"/>
      <c r="PRO2474" s="60"/>
      <c r="PRP2474" s="60"/>
      <c r="PRQ2474" s="63"/>
      <c r="PRR2474" s="61"/>
      <c r="PRS2474" s="54"/>
      <c r="PRT2474" s="54"/>
      <c r="PRU2474" s="60"/>
      <c r="PRV2474" s="60"/>
      <c r="PRW2474" s="60"/>
      <c r="PRX2474" s="60"/>
      <c r="PRY2474" s="63"/>
      <c r="PRZ2474" s="61"/>
      <c r="PSA2474" s="54"/>
      <c r="PSB2474" s="54"/>
      <c r="PSC2474" s="60"/>
      <c r="PSD2474" s="60"/>
      <c r="PSE2474" s="60"/>
      <c r="PSF2474" s="60"/>
      <c r="PSG2474" s="63"/>
      <c r="PSH2474" s="61"/>
      <c r="PSI2474" s="54"/>
      <c r="PSJ2474" s="54"/>
      <c r="PSK2474" s="60"/>
      <c r="PSL2474" s="60"/>
      <c r="PSM2474" s="60"/>
      <c r="PSN2474" s="60"/>
      <c r="PSO2474" s="63"/>
      <c r="PSP2474" s="61"/>
      <c r="PSQ2474" s="54"/>
      <c r="PSR2474" s="54"/>
      <c r="PSS2474" s="60"/>
      <c r="PST2474" s="60"/>
      <c r="PSU2474" s="60"/>
      <c r="PSV2474" s="60"/>
      <c r="PSW2474" s="63"/>
      <c r="PSX2474" s="61"/>
      <c r="PSY2474" s="54"/>
      <c r="PSZ2474" s="54"/>
      <c r="PTA2474" s="60"/>
      <c r="PTB2474" s="60"/>
      <c r="PTC2474" s="60"/>
      <c r="PTD2474" s="60"/>
      <c r="PTE2474" s="63"/>
      <c r="PTF2474" s="61"/>
      <c r="PTG2474" s="54"/>
      <c r="PTH2474" s="54"/>
      <c r="PTI2474" s="60"/>
      <c r="PTJ2474" s="60"/>
      <c r="PTK2474" s="60"/>
      <c r="PTL2474" s="60"/>
      <c r="PTM2474" s="63"/>
      <c r="PTN2474" s="61"/>
      <c r="PTO2474" s="54"/>
      <c r="PTP2474" s="54"/>
      <c r="PTQ2474" s="60"/>
      <c r="PTR2474" s="60"/>
      <c r="PTS2474" s="60"/>
      <c r="PTT2474" s="60"/>
      <c r="PTU2474" s="63"/>
      <c r="PTV2474" s="61"/>
      <c r="PTW2474" s="54"/>
      <c r="PTX2474" s="54"/>
      <c r="PTY2474" s="60"/>
      <c r="PTZ2474" s="60"/>
      <c r="PUA2474" s="60"/>
      <c r="PUB2474" s="60"/>
      <c r="PUC2474" s="63"/>
      <c r="PUD2474" s="61"/>
      <c r="PUE2474" s="54"/>
      <c r="PUF2474" s="54"/>
      <c r="PUG2474" s="60"/>
      <c r="PUH2474" s="60"/>
      <c r="PUI2474" s="60"/>
      <c r="PUJ2474" s="60"/>
      <c r="PUK2474" s="63"/>
      <c r="PUL2474" s="61"/>
      <c r="PUM2474" s="54"/>
      <c r="PUN2474" s="54"/>
      <c r="PUO2474" s="60"/>
      <c r="PUP2474" s="60"/>
      <c r="PUQ2474" s="60"/>
      <c r="PUR2474" s="60"/>
      <c r="PUS2474" s="63"/>
      <c r="PUT2474" s="61"/>
      <c r="PUU2474" s="54"/>
      <c r="PUV2474" s="54"/>
      <c r="PUW2474" s="60"/>
      <c r="PUX2474" s="60"/>
      <c r="PUY2474" s="60"/>
      <c r="PUZ2474" s="60"/>
      <c r="PVA2474" s="63"/>
      <c r="PVB2474" s="61"/>
      <c r="PVC2474" s="54"/>
      <c r="PVD2474" s="54"/>
      <c r="PVE2474" s="60"/>
      <c r="PVF2474" s="60"/>
      <c r="PVG2474" s="60"/>
      <c r="PVH2474" s="60"/>
      <c r="PVI2474" s="63"/>
      <c r="PVJ2474" s="61"/>
      <c r="PVK2474" s="54"/>
      <c r="PVL2474" s="54"/>
      <c r="PVM2474" s="60"/>
      <c r="PVN2474" s="60"/>
      <c r="PVO2474" s="60"/>
      <c r="PVP2474" s="60"/>
      <c r="PVQ2474" s="63"/>
      <c r="PVR2474" s="61"/>
      <c r="PVS2474" s="54"/>
      <c r="PVT2474" s="54"/>
      <c r="PVU2474" s="60"/>
      <c r="PVV2474" s="60"/>
      <c r="PVW2474" s="60"/>
      <c r="PVX2474" s="60"/>
      <c r="PVY2474" s="63"/>
      <c r="PVZ2474" s="61"/>
      <c r="PWA2474" s="54"/>
      <c r="PWB2474" s="54"/>
      <c r="PWC2474" s="60"/>
      <c r="PWD2474" s="60"/>
      <c r="PWE2474" s="60"/>
      <c r="PWF2474" s="60"/>
      <c r="PWG2474" s="63"/>
      <c r="PWH2474" s="61"/>
      <c r="PWI2474" s="54"/>
      <c r="PWJ2474" s="54"/>
      <c r="PWK2474" s="60"/>
      <c r="PWL2474" s="60"/>
      <c r="PWM2474" s="60"/>
      <c r="PWN2474" s="60"/>
      <c r="PWO2474" s="63"/>
      <c r="PWP2474" s="61"/>
      <c r="PWQ2474" s="54"/>
      <c r="PWR2474" s="54"/>
      <c r="PWS2474" s="60"/>
      <c r="PWT2474" s="60"/>
      <c r="PWU2474" s="60"/>
      <c r="PWV2474" s="60"/>
      <c r="PWW2474" s="63"/>
      <c r="PWX2474" s="61"/>
      <c r="PWY2474" s="54"/>
      <c r="PWZ2474" s="54"/>
      <c r="PXA2474" s="60"/>
      <c r="PXB2474" s="60"/>
      <c r="PXC2474" s="60"/>
      <c r="PXD2474" s="60"/>
      <c r="PXE2474" s="63"/>
      <c r="PXF2474" s="61"/>
      <c r="PXG2474" s="54"/>
      <c r="PXH2474" s="54"/>
      <c r="PXI2474" s="60"/>
      <c r="PXJ2474" s="60"/>
      <c r="PXK2474" s="60"/>
      <c r="PXL2474" s="60"/>
      <c r="PXM2474" s="63"/>
      <c r="PXN2474" s="61"/>
      <c r="PXO2474" s="54"/>
      <c r="PXP2474" s="54"/>
      <c r="PXQ2474" s="60"/>
      <c r="PXR2474" s="60"/>
      <c r="PXS2474" s="60"/>
      <c r="PXT2474" s="60"/>
      <c r="PXU2474" s="63"/>
      <c r="PXV2474" s="61"/>
      <c r="PXW2474" s="54"/>
      <c r="PXX2474" s="54"/>
      <c r="PXY2474" s="60"/>
      <c r="PXZ2474" s="60"/>
      <c r="PYA2474" s="60"/>
      <c r="PYB2474" s="60"/>
      <c r="PYC2474" s="63"/>
      <c r="PYD2474" s="61"/>
      <c r="PYE2474" s="54"/>
      <c r="PYF2474" s="54"/>
      <c r="PYG2474" s="60"/>
      <c r="PYH2474" s="60"/>
      <c r="PYI2474" s="60"/>
      <c r="PYJ2474" s="60"/>
      <c r="PYK2474" s="63"/>
      <c r="PYL2474" s="61"/>
      <c r="PYM2474" s="54"/>
      <c r="PYN2474" s="54"/>
      <c r="PYO2474" s="60"/>
      <c r="PYP2474" s="60"/>
      <c r="PYQ2474" s="60"/>
      <c r="PYR2474" s="60"/>
      <c r="PYS2474" s="63"/>
      <c r="PYT2474" s="61"/>
      <c r="PYU2474" s="54"/>
      <c r="PYV2474" s="54"/>
      <c r="PYW2474" s="60"/>
      <c r="PYX2474" s="60"/>
      <c r="PYY2474" s="60"/>
      <c r="PYZ2474" s="60"/>
      <c r="PZA2474" s="63"/>
      <c r="PZB2474" s="61"/>
      <c r="PZC2474" s="54"/>
      <c r="PZD2474" s="54"/>
      <c r="PZE2474" s="60"/>
      <c r="PZF2474" s="60"/>
      <c r="PZG2474" s="60"/>
      <c r="PZH2474" s="60"/>
      <c r="PZI2474" s="63"/>
      <c r="PZJ2474" s="61"/>
      <c r="PZK2474" s="54"/>
      <c r="PZL2474" s="54"/>
      <c r="PZM2474" s="60"/>
      <c r="PZN2474" s="60"/>
      <c r="PZO2474" s="60"/>
      <c r="PZP2474" s="60"/>
      <c r="PZQ2474" s="63"/>
      <c r="PZR2474" s="61"/>
      <c r="PZS2474" s="54"/>
      <c r="PZT2474" s="54"/>
      <c r="PZU2474" s="60"/>
      <c r="PZV2474" s="60"/>
      <c r="PZW2474" s="60"/>
      <c r="PZX2474" s="60"/>
      <c r="PZY2474" s="63"/>
      <c r="PZZ2474" s="61"/>
      <c r="QAA2474" s="54"/>
      <c r="QAB2474" s="54"/>
      <c r="QAC2474" s="60"/>
      <c r="QAD2474" s="60"/>
      <c r="QAE2474" s="60"/>
      <c r="QAF2474" s="60"/>
      <c r="QAG2474" s="63"/>
      <c r="QAH2474" s="61"/>
      <c r="QAI2474" s="54"/>
      <c r="QAJ2474" s="54"/>
      <c r="QAK2474" s="60"/>
      <c r="QAL2474" s="60"/>
      <c r="QAM2474" s="60"/>
      <c r="QAN2474" s="60"/>
      <c r="QAO2474" s="63"/>
      <c r="QAP2474" s="61"/>
      <c r="QAQ2474" s="54"/>
      <c r="QAR2474" s="54"/>
      <c r="QAS2474" s="60"/>
      <c r="QAT2474" s="60"/>
      <c r="QAU2474" s="60"/>
      <c r="QAV2474" s="60"/>
      <c r="QAW2474" s="63"/>
      <c r="QAX2474" s="61"/>
      <c r="QAY2474" s="54"/>
      <c r="QAZ2474" s="54"/>
      <c r="QBA2474" s="60"/>
      <c r="QBB2474" s="60"/>
      <c r="QBC2474" s="60"/>
      <c r="QBD2474" s="60"/>
      <c r="QBE2474" s="63"/>
      <c r="QBF2474" s="61"/>
      <c r="QBG2474" s="54"/>
      <c r="QBH2474" s="54"/>
      <c r="QBI2474" s="60"/>
      <c r="QBJ2474" s="60"/>
      <c r="QBK2474" s="60"/>
      <c r="QBL2474" s="60"/>
      <c r="QBM2474" s="63"/>
      <c r="QBN2474" s="61"/>
      <c r="QBO2474" s="54"/>
      <c r="QBP2474" s="54"/>
      <c r="QBQ2474" s="60"/>
      <c r="QBR2474" s="60"/>
      <c r="QBS2474" s="60"/>
      <c r="QBT2474" s="60"/>
      <c r="QBU2474" s="63"/>
      <c r="QBV2474" s="61"/>
      <c r="QBW2474" s="54"/>
      <c r="QBX2474" s="54"/>
      <c r="QBY2474" s="60"/>
      <c r="QBZ2474" s="60"/>
      <c r="QCA2474" s="60"/>
      <c r="QCB2474" s="60"/>
      <c r="QCC2474" s="63"/>
      <c r="QCD2474" s="61"/>
      <c r="QCE2474" s="54"/>
      <c r="QCF2474" s="54"/>
      <c r="QCG2474" s="60"/>
      <c r="QCH2474" s="60"/>
      <c r="QCI2474" s="60"/>
      <c r="QCJ2474" s="60"/>
      <c r="QCK2474" s="63"/>
      <c r="QCL2474" s="61"/>
      <c r="QCM2474" s="54"/>
      <c r="QCN2474" s="54"/>
      <c r="QCO2474" s="60"/>
      <c r="QCP2474" s="60"/>
      <c r="QCQ2474" s="60"/>
      <c r="QCR2474" s="60"/>
      <c r="QCS2474" s="63"/>
      <c r="QCT2474" s="61"/>
      <c r="QCU2474" s="54"/>
      <c r="QCV2474" s="54"/>
      <c r="QCW2474" s="60"/>
      <c r="QCX2474" s="60"/>
      <c r="QCY2474" s="60"/>
      <c r="QCZ2474" s="60"/>
      <c r="QDA2474" s="63"/>
      <c r="QDB2474" s="61"/>
      <c r="QDC2474" s="54"/>
      <c r="QDD2474" s="54"/>
      <c r="QDE2474" s="60"/>
      <c r="QDF2474" s="60"/>
      <c r="QDG2474" s="60"/>
      <c r="QDH2474" s="60"/>
      <c r="QDI2474" s="63"/>
      <c r="QDJ2474" s="61"/>
      <c r="QDK2474" s="54"/>
      <c r="QDL2474" s="54"/>
      <c r="QDM2474" s="60"/>
      <c r="QDN2474" s="60"/>
      <c r="QDO2474" s="60"/>
      <c r="QDP2474" s="60"/>
      <c r="QDQ2474" s="63"/>
      <c r="QDR2474" s="61"/>
      <c r="QDS2474" s="54"/>
      <c r="QDT2474" s="54"/>
      <c r="QDU2474" s="60"/>
      <c r="QDV2474" s="60"/>
      <c r="QDW2474" s="60"/>
      <c r="QDX2474" s="60"/>
      <c r="QDY2474" s="63"/>
      <c r="QDZ2474" s="61"/>
      <c r="QEA2474" s="54"/>
      <c r="QEB2474" s="54"/>
      <c r="QEC2474" s="60"/>
      <c r="QED2474" s="60"/>
      <c r="QEE2474" s="60"/>
      <c r="QEF2474" s="60"/>
      <c r="QEG2474" s="63"/>
      <c r="QEH2474" s="61"/>
      <c r="QEI2474" s="54"/>
      <c r="QEJ2474" s="54"/>
      <c r="QEK2474" s="60"/>
      <c r="QEL2474" s="60"/>
      <c r="QEM2474" s="60"/>
      <c r="QEN2474" s="60"/>
      <c r="QEO2474" s="63"/>
      <c r="QEP2474" s="61"/>
      <c r="QEQ2474" s="54"/>
      <c r="QER2474" s="54"/>
      <c r="QES2474" s="60"/>
      <c r="QET2474" s="60"/>
      <c r="QEU2474" s="60"/>
      <c r="QEV2474" s="60"/>
      <c r="QEW2474" s="63"/>
      <c r="QEX2474" s="61"/>
      <c r="QEY2474" s="54"/>
      <c r="QEZ2474" s="54"/>
      <c r="QFA2474" s="60"/>
      <c r="QFB2474" s="60"/>
      <c r="QFC2474" s="60"/>
      <c r="QFD2474" s="60"/>
      <c r="QFE2474" s="63"/>
      <c r="QFF2474" s="61"/>
      <c r="QFG2474" s="54"/>
      <c r="QFH2474" s="54"/>
      <c r="QFI2474" s="60"/>
      <c r="QFJ2474" s="60"/>
      <c r="QFK2474" s="60"/>
      <c r="QFL2474" s="60"/>
      <c r="QFM2474" s="63"/>
      <c r="QFN2474" s="61"/>
      <c r="QFO2474" s="54"/>
      <c r="QFP2474" s="54"/>
      <c r="QFQ2474" s="60"/>
      <c r="QFR2474" s="60"/>
      <c r="QFS2474" s="60"/>
      <c r="QFT2474" s="60"/>
      <c r="QFU2474" s="63"/>
      <c r="QFV2474" s="61"/>
      <c r="QFW2474" s="54"/>
      <c r="QFX2474" s="54"/>
      <c r="QFY2474" s="60"/>
      <c r="QFZ2474" s="60"/>
      <c r="QGA2474" s="60"/>
      <c r="QGB2474" s="60"/>
      <c r="QGC2474" s="63"/>
      <c r="QGD2474" s="61"/>
      <c r="QGE2474" s="54"/>
      <c r="QGF2474" s="54"/>
      <c r="QGG2474" s="60"/>
      <c r="QGH2474" s="60"/>
      <c r="QGI2474" s="60"/>
      <c r="QGJ2474" s="60"/>
      <c r="QGK2474" s="63"/>
      <c r="QGL2474" s="61"/>
      <c r="QGM2474" s="54"/>
      <c r="QGN2474" s="54"/>
      <c r="QGO2474" s="60"/>
      <c r="QGP2474" s="60"/>
      <c r="QGQ2474" s="60"/>
      <c r="QGR2474" s="60"/>
      <c r="QGS2474" s="63"/>
      <c r="QGT2474" s="61"/>
      <c r="QGU2474" s="54"/>
      <c r="QGV2474" s="54"/>
      <c r="QGW2474" s="60"/>
      <c r="QGX2474" s="60"/>
      <c r="QGY2474" s="60"/>
      <c r="QGZ2474" s="60"/>
      <c r="QHA2474" s="63"/>
      <c r="QHB2474" s="61"/>
      <c r="QHC2474" s="54"/>
      <c r="QHD2474" s="54"/>
      <c r="QHE2474" s="60"/>
      <c r="QHF2474" s="60"/>
      <c r="QHG2474" s="60"/>
      <c r="QHH2474" s="60"/>
      <c r="QHI2474" s="63"/>
      <c r="QHJ2474" s="61"/>
      <c r="QHK2474" s="54"/>
      <c r="QHL2474" s="54"/>
      <c r="QHM2474" s="60"/>
      <c r="QHN2474" s="60"/>
      <c r="QHO2474" s="60"/>
      <c r="QHP2474" s="60"/>
      <c r="QHQ2474" s="63"/>
      <c r="QHR2474" s="61"/>
      <c r="QHS2474" s="54"/>
      <c r="QHT2474" s="54"/>
      <c r="QHU2474" s="60"/>
      <c r="QHV2474" s="60"/>
      <c r="QHW2474" s="60"/>
      <c r="QHX2474" s="60"/>
      <c r="QHY2474" s="63"/>
      <c r="QHZ2474" s="61"/>
      <c r="QIA2474" s="54"/>
      <c r="QIB2474" s="54"/>
      <c r="QIC2474" s="60"/>
      <c r="QID2474" s="60"/>
      <c r="QIE2474" s="60"/>
      <c r="QIF2474" s="60"/>
      <c r="QIG2474" s="63"/>
      <c r="QIH2474" s="61"/>
      <c r="QII2474" s="54"/>
      <c r="QIJ2474" s="54"/>
      <c r="QIK2474" s="60"/>
      <c r="QIL2474" s="60"/>
      <c r="QIM2474" s="60"/>
      <c r="QIN2474" s="60"/>
      <c r="QIO2474" s="63"/>
      <c r="QIP2474" s="61"/>
      <c r="QIQ2474" s="54"/>
      <c r="QIR2474" s="54"/>
      <c r="QIS2474" s="60"/>
      <c r="QIT2474" s="60"/>
      <c r="QIU2474" s="60"/>
      <c r="QIV2474" s="60"/>
      <c r="QIW2474" s="63"/>
      <c r="QIX2474" s="61"/>
      <c r="QIY2474" s="54"/>
      <c r="QIZ2474" s="54"/>
      <c r="QJA2474" s="60"/>
      <c r="QJB2474" s="60"/>
      <c r="QJC2474" s="60"/>
      <c r="QJD2474" s="60"/>
      <c r="QJE2474" s="63"/>
      <c r="QJF2474" s="61"/>
      <c r="QJG2474" s="54"/>
      <c r="QJH2474" s="54"/>
      <c r="QJI2474" s="60"/>
      <c r="QJJ2474" s="60"/>
      <c r="QJK2474" s="60"/>
      <c r="QJL2474" s="60"/>
      <c r="QJM2474" s="63"/>
      <c r="QJN2474" s="61"/>
      <c r="QJO2474" s="54"/>
      <c r="QJP2474" s="54"/>
      <c r="QJQ2474" s="60"/>
      <c r="QJR2474" s="60"/>
      <c r="QJS2474" s="60"/>
      <c r="QJT2474" s="60"/>
      <c r="QJU2474" s="63"/>
      <c r="QJV2474" s="61"/>
      <c r="QJW2474" s="54"/>
      <c r="QJX2474" s="54"/>
      <c r="QJY2474" s="60"/>
      <c r="QJZ2474" s="60"/>
      <c r="QKA2474" s="60"/>
      <c r="QKB2474" s="60"/>
      <c r="QKC2474" s="63"/>
      <c r="QKD2474" s="61"/>
      <c r="QKE2474" s="54"/>
      <c r="QKF2474" s="54"/>
      <c r="QKG2474" s="60"/>
      <c r="QKH2474" s="60"/>
      <c r="QKI2474" s="60"/>
      <c r="QKJ2474" s="60"/>
      <c r="QKK2474" s="63"/>
      <c r="QKL2474" s="61"/>
      <c r="QKM2474" s="54"/>
      <c r="QKN2474" s="54"/>
      <c r="QKO2474" s="60"/>
      <c r="QKP2474" s="60"/>
      <c r="QKQ2474" s="60"/>
      <c r="QKR2474" s="60"/>
      <c r="QKS2474" s="63"/>
      <c r="QKT2474" s="61"/>
      <c r="QKU2474" s="54"/>
      <c r="QKV2474" s="54"/>
      <c r="QKW2474" s="60"/>
      <c r="QKX2474" s="60"/>
      <c r="QKY2474" s="60"/>
      <c r="QKZ2474" s="60"/>
      <c r="QLA2474" s="63"/>
      <c r="QLB2474" s="61"/>
      <c r="QLC2474" s="54"/>
      <c r="QLD2474" s="54"/>
      <c r="QLE2474" s="60"/>
      <c r="QLF2474" s="60"/>
      <c r="QLG2474" s="60"/>
      <c r="QLH2474" s="60"/>
      <c r="QLI2474" s="63"/>
      <c r="QLJ2474" s="61"/>
      <c r="QLK2474" s="54"/>
      <c r="QLL2474" s="54"/>
      <c r="QLM2474" s="60"/>
      <c r="QLN2474" s="60"/>
      <c r="QLO2474" s="60"/>
      <c r="QLP2474" s="60"/>
      <c r="QLQ2474" s="63"/>
      <c r="QLR2474" s="61"/>
      <c r="QLS2474" s="54"/>
      <c r="QLT2474" s="54"/>
      <c r="QLU2474" s="60"/>
      <c r="QLV2474" s="60"/>
      <c r="QLW2474" s="60"/>
      <c r="QLX2474" s="60"/>
      <c r="QLY2474" s="63"/>
      <c r="QLZ2474" s="61"/>
      <c r="QMA2474" s="54"/>
      <c r="QMB2474" s="54"/>
      <c r="QMC2474" s="60"/>
      <c r="QMD2474" s="60"/>
      <c r="QME2474" s="60"/>
      <c r="QMF2474" s="60"/>
      <c r="QMG2474" s="63"/>
      <c r="QMH2474" s="61"/>
      <c r="QMI2474" s="54"/>
      <c r="QMJ2474" s="54"/>
      <c r="QMK2474" s="60"/>
      <c r="QML2474" s="60"/>
      <c r="QMM2474" s="60"/>
      <c r="QMN2474" s="60"/>
      <c r="QMO2474" s="63"/>
      <c r="QMP2474" s="61"/>
      <c r="QMQ2474" s="54"/>
      <c r="QMR2474" s="54"/>
      <c r="QMS2474" s="60"/>
      <c r="QMT2474" s="60"/>
      <c r="QMU2474" s="60"/>
      <c r="QMV2474" s="60"/>
      <c r="QMW2474" s="63"/>
      <c r="QMX2474" s="61"/>
      <c r="QMY2474" s="54"/>
      <c r="QMZ2474" s="54"/>
      <c r="QNA2474" s="60"/>
      <c r="QNB2474" s="60"/>
      <c r="QNC2474" s="60"/>
      <c r="QND2474" s="60"/>
      <c r="QNE2474" s="63"/>
      <c r="QNF2474" s="61"/>
      <c r="QNG2474" s="54"/>
      <c r="QNH2474" s="54"/>
      <c r="QNI2474" s="60"/>
      <c r="QNJ2474" s="60"/>
      <c r="QNK2474" s="60"/>
      <c r="QNL2474" s="60"/>
      <c r="QNM2474" s="63"/>
      <c r="QNN2474" s="61"/>
      <c r="QNO2474" s="54"/>
      <c r="QNP2474" s="54"/>
      <c r="QNQ2474" s="60"/>
      <c r="QNR2474" s="60"/>
      <c r="QNS2474" s="60"/>
      <c r="QNT2474" s="60"/>
      <c r="QNU2474" s="63"/>
      <c r="QNV2474" s="61"/>
      <c r="QNW2474" s="54"/>
      <c r="QNX2474" s="54"/>
      <c r="QNY2474" s="60"/>
      <c r="QNZ2474" s="60"/>
      <c r="QOA2474" s="60"/>
      <c r="QOB2474" s="60"/>
      <c r="QOC2474" s="63"/>
      <c r="QOD2474" s="61"/>
      <c r="QOE2474" s="54"/>
      <c r="QOF2474" s="54"/>
      <c r="QOG2474" s="60"/>
      <c r="QOH2474" s="60"/>
      <c r="QOI2474" s="60"/>
      <c r="QOJ2474" s="60"/>
      <c r="QOK2474" s="63"/>
      <c r="QOL2474" s="61"/>
      <c r="QOM2474" s="54"/>
      <c r="QON2474" s="54"/>
      <c r="QOO2474" s="60"/>
      <c r="QOP2474" s="60"/>
      <c r="QOQ2474" s="60"/>
      <c r="QOR2474" s="60"/>
      <c r="QOS2474" s="63"/>
      <c r="QOT2474" s="61"/>
      <c r="QOU2474" s="54"/>
      <c r="QOV2474" s="54"/>
      <c r="QOW2474" s="60"/>
      <c r="QOX2474" s="60"/>
      <c r="QOY2474" s="60"/>
      <c r="QOZ2474" s="60"/>
      <c r="QPA2474" s="63"/>
      <c r="QPB2474" s="61"/>
      <c r="QPC2474" s="54"/>
      <c r="QPD2474" s="54"/>
      <c r="QPE2474" s="60"/>
      <c r="QPF2474" s="60"/>
      <c r="QPG2474" s="60"/>
      <c r="QPH2474" s="60"/>
      <c r="QPI2474" s="63"/>
      <c r="QPJ2474" s="61"/>
      <c r="QPK2474" s="54"/>
      <c r="QPL2474" s="54"/>
      <c r="QPM2474" s="60"/>
      <c r="QPN2474" s="60"/>
      <c r="QPO2474" s="60"/>
      <c r="QPP2474" s="60"/>
      <c r="QPQ2474" s="63"/>
      <c r="QPR2474" s="61"/>
      <c r="QPS2474" s="54"/>
      <c r="QPT2474" s="54"/>
      <c r="QPU2474" s="60"/>
      <c r="QPV2474" s="60"/>
      <c r="QPW2474" s="60"/>
      <c r="QPX2474" s="60"/>
      <c r="QPY2474" s="63"/>
      <c r="QPZ2474" s="61"/>
      <c r="QQA2474" s="54"/>
      <c r="QQB2474" s="54"/>
      <c r="QQC2474" s="60"/>
      <c r="QQD2474" s="60"/>
      <c r="QQE2474" s="60"/>
      <c r="QQF2474" s="60"/>
      <c r="QQG2474" s="63"/>
      <c r="QQH2474" s="61"/>
      <c r="QQI2474" s="54"/>
      <c r="QQJ2474" s="54"/>
      <c r="QQK2474" s="60"/>
      <c r="QQL2474" s="60"/>
      <c r="QQM2474" s="60"/>
      <c r="QQN2474" s="60"/>
      <c r="QQO2474" s="63"/>
      <c r="QQP2474" s="61"/>
      <c r="QQQ2474" s="54"/>
      <c r="QQR2474" s="54"/>
      <c r="QQS2474" s="60"/>
      <c r="QQT2474" s="60"/>
      <c r="QQU2474" s="60"/>
      <c r="QQV2474" s="60"/>
      <c r="QQW2474" s="63"/>
      <c r="QQX2474" s="61"/>
      <c r="QQY2474" s="54"/>
      <c r="QQZ2474" s="54"/>
      <c r="QRA2474" s="60"/>
      <c r="QRB2474" s="60"/>
      <c r="QRC2474" s="60"/>
      <c r="QRD2474" s="60"/>
      <c r="QRE2474" s="63"/>
      <c r="QRF2474" s="61"/>
      <c r="QRG2474" s="54"/>
      <c r="QRH2474" s="54"/>
      <c r="QRI2474" s="60"/>
      <c r="QRJ2474" s="60"/>
      <c r="QRK2474" s="60"/>
      <c r="QRL2474" s="60"/>
      <c r="QRM2474" s="63"/>
      <c r="QRN2474" s="61"/>
      <c r="QRO2474" s="54"/>
      <c r="QRP2474" s="54"/>
      <c r="QRQ2474" s="60"/>
      <c r="QRR2474" s="60"/>
      <c r="QRS2474" s="60"/>
      <c r="QRT2474" s="60"/>
      <c r="QRU2474" s="63"/>
      <c r="QRV2474" s="61"/>
      <c r="QRW2474" s="54"/>
      <c r="QRX2474" s="54"/>
      <c r="QRY2474" s="60"/>
      <c r="QRZ2474" s="60"/>
      <c r="QSA2474" s="60"/>
      <c r="QSB2474" s="60"/>
      <c r="QSC2474" s="63"/>
      <c r="QSD2474" s="61"/>
      <c r="QSE2474" s="54"/>
      <c r="QSF2474" s="54"/>
      <c r="QSG2474" s="60"/>
      <c r="QSH2474" s="60"/>
      <c r="QSI2474" s="60"/>
      <c r="QSJ2474" s="60"/>
      <c r="QSK2474" s="63"/>
      <c r="QSL2474" s="61"/>
      <c r="QSM2474" s="54"/>
      <c r="QSN2474" s="54"/>
      <c r="QSO2474" s="60"/>
      <c r="QSP2474" s="60"/>
      <c r="QSQ2474" s="60"/>
      <c r="QSR2474" s="60"/>
      <c r="QSS2474" s="63"/>
      <c r="QST2474" s="61"/>
      <c r="QSU2474" s="54"/>
      <c r="QSV2474" s="54"/>
      <c r="QSW2474" s="60"/>
      <c r="QSX2474" s="60"/>
      <c r="QSY2474" s="60"/>
      <c r="QSZ2474" s="60"/>
      <c r="QTA2474" s="63"/>
      <c r="QTB2474" s="61"/>
      <c r="QTC2474" s="54"/>
      <c r="QTD2474" s="54"/>
      <c r="QTE2474" s="60"/>
      <c r="QTF2474" s="60"/>
      <c r="QTG2474" s="60"/>
      <c r="QTH2474" s="60"/>
      <c r="QTI2474" s="63"/>
      <c r="QTJ2474" s="61"/>
      <c r="QTK2474" s="54"/>
      <c r="QTL2474" s="54"/>
      <c r="QTM2474" s="60"/>
      <c r="QTN2474" s="60"/>
      <c r="QTO2474" s="60"/>
      <c r="QTP2474" s="60"/>
      <c r="QTQ2474" s="63"/>
      <c r="QTR2474" s="61"/>
      <c r="QTS2474" s="54"/>
      <c r="QTT2474" s="54"/>
      <c r="QTU2474" s="60"/>
      <c r="QTV2474" s="60"/>
      <c r="QTW2474" s="60"/>
      <c r="QTX2474" s="60"/>
      <c r="QTY2474" s="63"/>
      <c r="QTZ2474" s="61"/>
      <c r="QUA2474" s="54"/>
      <c r="QUB2474" s="54"/>
      <c r="QUC2474" s="60"/>
      <c r="QUD2474" s="60"/>
      <c r="QUE2474" s="60"/>
      <c r="QUF2474" s="60"/>
      <c r="QUG2474" s="63"/>
      <c r="QUH2474" s="61"/>
      <c r="QUI2474" s="54"/>
      <c r="QUJ2474" s="54"/>
      <c r="QUK2474" s="60"/>
      <c r="QUL2474" s="60"/>
      <c r="QUM2474" s="60"/>
      <c r="QUN2474" s="60"/>
      <c r="QUO2474" s="63"/>
      <c r="QUP2474" s="61"/>
      <c r="QUQ2474" s="54"/>
      <c r="QUR2474" s="54"/>
      <c r="QUS2474" s="60"/>
      <c r="QUT2474" s="60"/>
      <c r="QUU2474" s="60"/>
      <c r="QUV2474" s="60"/>
      <c r="QUW2474" s="63"/>
      <c r="QUX2474" s="61"/>
      <c r="QUY2474" s="54"/>
      <c r="QUZ2474" s="54"/>
      <c r="QVA2474" s="60"/>
      <c r="QVB2474" s="60"/>
      <c r="QVC2474" s="60"/>
      <c r="QVD2474" s="60"/>
      <c r="QVE2474" s="63"/>
      <c r="QVF2474" s="61"/>
      <c r="QVG2474" s="54"/>
      <c r="QVH2474" s="54"/>
      <c r="QVI2474" s="60"/>
      <c r="QVJ2474" s="60"/>
      <c r="QVK2474" s="60"/>
      <c r="QVL2474" s="60"/>
      <c r="QVM2474" s="63"/>
      <c r="QVN2474" s="61"/>
      <c r="QVO2474" s="54"/>
      <c r="QVP2474" s="54"/>
      <c r="QVQ2474" s="60"/>
      <c r="QVR2474" s="60"/>
      <c r="QVS2474" s="60"/>
      <c r="QVT2474" s="60"/>
      <c r="QVU2474" s="63"/>
      <c r="QVV2474" s="61"/>
      <c r="QVW2474" s="54"/>
      <c r="QVX2474" s="54"/>
      <c r="QVY2474" s="60"/>
      <c r="QVZ2474" s="60"/>
      <c r="QWA2474" s="60"/>
      <c r="QWB2474" s="60"/>
      <c r="QWC2474" s="63"/>
      <c r="QWD2474" s="61"/>
      <c r="QWE2474" s="54"/>
      <c r="QWF2474" s="54"/>
      <c r="QWG2474" s="60"/>
      <c r="QWH2474" s="60"/>
      <c r="QWI2474" s="60"/>
      <c r="QWJ2474" s="60"/>
      <c r="QWK2474" s="63"/>
      <c r="QWL2474" s="61"/>
      <c r="QWM2474" s="54"/>
      <c r="QWN2474" s="54"/>
      <c r="QWO2474" s="60"/>
      <c r="QWP2474" s="60"/>
      <c r="QWQ2474" s="60"/>
      <c r="QWR2474" s="60"/>
      <c r="QWS2474" s="63"/>
      <c r="QWT2474" s="61"/>
      <c r="QWU2474" s="54"/>
      <c r="QWV2474" s="54"/>
      <c r="QWW2474" s="60"/>
      <c r="QWX2474" s="60"/>
      <c r="QWY2474" s="60"/>
      <c r="QWZ2474" s="60"/>
      <c r="QXA2474" s="63"/>
      <c r="QXB2474" s="61"/>
      <c r="QXC2474" s="54"/>
      <c r="QXD2474" s="54"/>
      <c r="QXE2474" s="60"/>
      <c r="QXF2474" s="60"/>
      <c r="QXG2474" s="60"/>
      <c r="QXH2474" s="60"/>
      <c r="QXI2474" s="63"/>
      <c r="QXJ2474" s="61"/>
      <c r="QXK2474" s="54"/>
      <c r="QXL2474" s="54"/>
      <c r="QXM2474" s="60"/>
      <c r="QXN2474" s="60"/>
      <c r="QXO2474" s="60"/>
      <c r="QXP2474" s="60"/>
      <c r="QXQ2474" s="63"/>
      <c r="QXR2474" s="61"/>
      <c r="QXS2474" s="54"/>
      <c r="QXT2474" s="54"/>
      <c r="QXU2474" s="60"/>
      <c r="QXV2474" s="60"/>
      <c r="QXW2474" s="60"/>
      <c r="QXX2474" s="60"/>
      <c r="QXY2474" s="63"/>
      <c r="QXZ2474" s="61"/>
      <c r="QYA2474" s="54"/>
      <c r="QYB2474" s="54"/>
      <c r="QYC2474" s="60"/>
      <c r="QYD2474" s="60"/>
      <c r="QYE2474" s="60"/>
      <c r="QYF2474" s="60"/>
      <c r="QYG2474" s="63"/>
      <c r="QYH2474" s="61"/>
      <c r="QYI2474" s="54"/>
      <c r="QYJ2474" s="54"/>
      <c r="QYK2474" s="60"/>
      <c r="QYL2474" s="60"/>
      <c r="QYM2474" s="60"/>
      <c r="QYN2474" s="60"/>
      <c r="QYO2474" s="63"/>
      <c r="QYP2474" s="61"/>
      <c r="QYQ2474" s="54"/>
      <c r="QYR2474" s="54"/>
      <c r="QYS2474" s="60"/>
      <c r="QYT2474" s="60"/>
      <c r="QYU2474" s="60"/>
      <c r="QYV2474" s="60"/>
      <c r="QYW2474" s="63"/>
      <c r="QYX2474" s="61"/>
      <c r="QYY2474" s="54"/>
      <c r="QYZ2474" s="54"/>
      <c r="QZA2474" s="60"/>
      <c r="QZB2474" s="60"/>
      <c r="QZC2474" s="60"/>
      <c r="QZD2474" s="60"/>
      <c r="QZE2474" s="63"/>
      <c r="QZF2474" s="61"/>
      <c r="QZG2474" s="54"/>
      <c r="QZH2474" s="54"/>
      <c r="QZI2474" s="60"/>
      <c r="QZJ2474" s="60"/>
      <c r="QZK2474" s="60"/>
      <c r="QZL2474" s="60"/>
      <c r="QZM2474" s="63"/>
      <c r="QZN2474" s="61"/>
      <c r="QZO2474" s="54"/>
      <c r="QZP2474" s="54"/>
      <c r="QZQ2474" s="60"/>
      <c r="QZR2474" s="60"/>
      <c r="QZS2474" s="60"/>
      <c r="QZT2474" s="60"/>
      <c r="QZU2474" s="63"/>
      <c r="QZV2474" s="61"/>
      <c r="QZW2474" s="54"/>
      <c r="QZX2474" s="54"/>
      <c r="QZY2474" s="60"/>
      <c r="QZZ2474" s="60"/>
      <c r="RAA2474" s="60"/>
      <c r="RAB2474" s="60"/>
      <c r="RAC2474" s="63"/>
      <c r="RAD2474" s="61"/>
      <c r="RAE2474" s="54"/>
      <c r="RAF2474" s="54"/>
      <c r="RAG2474" s="60"/>
      <c r="RAH2474" s="60"/>
      <c r="RAI2474" s="60"/>
      <c r="RAJ2474" s="60"/>
      <c r="RAK2474" s="63"/>
      <c r="RAL2474" s="61"/>
      <c r="RAM2474" s="54"/>
      <c r="RAN2474" s="54"/>
      <c r="RAO2474" s="60"/>
      <c r="RAP2474" s="60"/>
      <c r="RAQ2474" s="60"/>
      <c r="RAR2474" s="60"/>
      <c r="RAS2474" s="63"/>
      <c r="RAT2474" s="61"/>
      <c r="RAU2474" s="54"/>
      <c r="RAV2474" s="54"/>
      <c r="RAW2474" s="60"/>
      <c r="RAX2474" s="60"/>
      <c r="RAY2474" s="60"/>
      <c r="RAZ2474" s="60"/>
      <c r="RBA2474" s="63"/>
      <c r="RBB2474" s="61"/>
      <c r="RBC2474" s="54"/>
      <c r="RBD2474" s="54"/>
      <c r="RBE2474" s="60"/>
      <c r="RBF2474" s="60"/>
      <c r="RBG2474" s="60"/>
      <c r="RBH2474" s="60"/>
      <c r="RBI2474" s="63"/>
      <c r="RBJ2474" s="61"/>
      <c r="RBK2474" s="54"/>
      <c r="RBL2474" s="54"/>
      <c r="RBM2474" s="60"/>
      <c r="RBN2474" s="60"/>
      <c r="RBO2474" s="60"/>
      <c r="RBP2474" s="60"/>
      <c r="RBQ2474" s="63"/>
      <c r="RBR2474" s="61"/>
      <c r="RBS2474" s="54"/>
      <c r="RBT2474" s="54"/>
      <c r="RBU2474" s="60"/>
      <c r="RBV2474" s="60"/>
      <c r="RBW2474" s="60"/>
      <c r="RBX2474" s="60"/>
      <c r="RBY2474" s="63"/>
      <c r="RBZ2474" s="61"/>
      <c r="RCA2474" s="54"/>
      <c r="RCB2474" s="54"/>
      <c r="RCC2474" s="60"/>
      <c r="RCD2474" s="60"/>
      <c r="RCE2474" s="60"/>
      <c r="RCF2474" s="60"/>
      <c r="RCG2474" s="63"/>
      <c r="RCH2474" s="61"/>
      <c r="RCI2474" s="54"/>
      <c r="RCJ2474" s="54"/>
      <c r="RCK2474" s="60"/>
      <c r="RCL2474" s="60"/>
      <c r="RCM2474" s="60"/>
      <c r="RCN2474" s="60"/>
      <c r="RCO2474" s="63"/>
      <c r="RCP2474" s="61"/>
      <c r="RCQ2474" s="54"/>
      <c r="RCR2474" s="54"/>
      <c r="RCS2474" s="60"/>
      <c r="RCT2474" s="60"/>
      <c r="RCU2474" s="60"/>
      <c r="RCV2474" s="60"/>
      <c r="RCW2474" s="63"/>
      <c r="RCX2474" s="61"/>
      <c r="RCY2474" s="54"/>
      <c r="RCZ2474" s="54"/>
      <c r="RDA2474" s="60"/>
      <c r="RDB2474" s="60"/>
      <c r="RDC2474" s="60"/>
      <c r="RDD2474" s="60"/>
      <c r="RDE2474" s="63"/>
      <c r="RDF2474" s="61"/>
      <c r="RDG2474" s="54"/>
      <c r="RDH2474" s="54"/>
      <c r="RDI2474" s="60"/>
      <c r="RDJ2474" s="60"/>
      <c r="RDK2474" s="60"/>
      <c r="RDL2474" s="60"/>
      <c r="RDM2474" s="63"/>
      <c r="RDN2474" s="61"/>
      <c r="RDO2474" s="54"/>
      <c r="RDP2474" s="54"/>
      <c r="RDQ2474" s="60"/>
      <c r="RDR2474" s="60"/>
      <c r="RDS2474" s="60"/>
      <c r="RDT2474" s="60"/>
      <c r="RDU2474" s="63"/>
      <c r="RDV2474" s="61"/>
      <c r="RDW2474" s="54"/>
      <c r="RDX2474" s="54"/>
      <c r="RDY2474" s="60"/>
      <c r="RDZ2474" s="60"/>
      <c r="REA2474" s="60"/>
      <c r="REB2474" s="60"/>
      <c r="REC2474" s="63"/>
      <c r="RED2474" s="61"/>
      <c r="REE2474" s="54"/>
      <c r="REF2474" s="54"/>
      <c r="REG2474" s="60"/>
      <c r="REH2474" s="60"/>
      <c r="REI2474" s="60"/>
      <c r="REJ2474" s="60"/>
      <c r="REK2474" s="63"/>
      <c r="REL2474" s="61"/>
      <c r="REM2474" s="54"/>
      <c r="REN2474" s="54"/>
      <c r="REO2474" s="60"/>
      <c r="REP2474" s="60"/>
      <c r="REQ2474" s="60"/>
      <c r="RER2474" s="60"/>
      <c r="RES2474" s="63"/>
      <c r="RET2474" s="61"/>
      <c r="REU2474" s="54"/>
      <c r="REV2474" s="54"/>
      <c r="REW2474" s="60"/>
      <c r="REX2474" s="60"/>
      <c r="REY2474" s="60"/>
      <c r="REZ2474" s="60"/>
      <c r="RFA2474" s="63"/>
      <c r="RFB2474" s="61"/>
      <c r="RFC2474" s="54"/>
      <c r="RFD2474" s="54"/>
      <c r="RFE2474" s="60"/>
      <c r="RFF2474" s="60"/>
      <c r="RFG2474" s="60"/>
      <c r="RFH2474" s="60"/>
      <c r="RFI2474" s="63"/>
      <c r="RFJ2474" s="61"/>
      <c r="RFK2474" s="54"/>
      <c r="RFL2474" s="54"/>
      <c r="RFM2474" s="60"/>
      <c r="RFN2474" s="60"/>
      <c r="RFO2474" s="60"/>
      <c r="RFP2474" s="60"/>
      <c r="RFQ2474" s="63"/>
      <c r="RFR2474" s="61"/>
      <c r="RFS2474" s="54"/>
      <c r="RFT2474" s="54"/>
      <c r="RFU2474" s="60"/>
      <c r="RFV2474" s="60"/>
      <c r="RFW2474" s="60"/>
      <c r="RFX2474" s="60"/>
      <c r="RFY2474" s="63"/>
      <c r="RFZ2474" s="61"/>
      <c r="RGA2474" s="54"/>
      <c r="RGB2474" s="54"/>
      <c r="RGC2474" s="60"/>
      <c r="RGD2474" s="60"/>
      <c r="RGE2474" s="60"/>
      <c r="RGF2474" s="60"/>
      <c r="RGG2474" s="63"/>
      <c r="RGH2474" s="61"/>
      <c r="RGI2474" s="54"/>
      <c r="RGJ2474" s="54"/>
      <c r="RGK2474" s="60"/>
      <c r="RGL2474" s="60"/>
      <c r="RGM2474" s="60"/>
      <c r="RGN2474" s="60"/>
      <c r="RGO2474" s="63"/>
      <c r="RGP2474" s="61"/>
      <c r="RGQ2474" s="54"/>
      <c r="RGR2474" s="54"/>
      <c r="RGS2474" s="60"/>
      <c r="RGT2474" s="60"/>
      <c r="RGU2474" s="60"/>
      <c r="RGV2474" s="60"/>
      <c r="RGW2474" s="63"/>
      <c r="RGX2474" s="61"/>
      <c r="RGY2474" s="54"/>
      <c r="RGZ2474" s="54"/>
      <c r="RHA2474" s="60"/>
      <c r="RHB2474" s="60"/>
      <c r="RHC2474" s="60"/>
      <c r="RHD2474" s="60"/>
      <c r="RHE2474" s="63"/>
      <c r="RHF2474" s="61"/>
      <c r="RHG2474" s="54"/>
      <c r="RHH2474" s="54"/>
      <c r="RHI2474" s="60"/>
      <c r="RHJ2474" s="60"/>
      <c r="RHK2474" s="60"/>
      <c r="RHL2474" s="60"/>
      <c r="RHM2474" s="63"/>
      <c r="RHN2474" s="61"/>
      <c r="RHO2474" s="54"/>
      <c r="RHP2474" s="54"/>
      <c r="RHQ2474" s="60"/>
      <c r="RHR2474" s="60"/>
      <c r="RHS2474" s="60"/>
      <c r="RHT2474" s="60"/>
      <c r="RHU2474" s="63"/>
      <c r="RHV2474" s="61"/>
      <c r="RHW2474" s="54"/>
      <c r="RHX2474" s="54"/>
      <c r="RHY2474" s="60"/>
      <c r="RHZ2474" s="60"/>
      <c r="RIA2474" s="60"/>
      <c r="RIB2474" s="60"/>
      <c r="RIC2474" s="63"/>
      <c r="RID2474" s="61"/>
      <c r="RIE2474" s="54"/>
      <c r="RIF2474" s="54"/>
      <c r="RIG2474" s="60"/>
      <c r="RIH2474" s="60"/>
      <c r="RII2474" s="60"/>
      <c r="RIJ2474" s="60"/>
      <c r="RIK2474" s="63"/>
      <c r="RIL2474" s="61"/>
      <c r="RIM2474" s="54"/>
      <c r="RIN2474" s="54"/>
      <c r="RIO2474" s="60"/>
      <c r="RIP2474" s="60"/>
      <c r="RIQ2474" s="60"/>
      <c r="RIR2474" s="60"/>
      <c r="RIS2474" s="63"/>
      <c r="RIT2474" s="61"/>
      <c r="RIU2474" s="54"/>
      <c r="RIV2474" s="54"/>
      <c r="RIW2474" s="60"/>
      <c r="RIX2474" s="60"/>
      <c r="RIY2474" s="60"/>
      <c r="RIZ2474" s="60"/>
      <c r="RJA2474" s="63"/>
      <c r="RJB2474" s="61"/>
      <c r="RJC2474" s="54"/>
      <c r="RJD2474" s="54"/>
      <c r="RJE2474" s="60"/>
      <c r="RJF2474" s="60"/>
      <c r="RJG2474" s="60"/>
      <c r="RJH2474" s="60"/>
      <c r="RJI2474" s="63"/>
      <c r="RJJ2474" s="61"/>
      <c r="RJK2474" s="54"/>
      <c r="RJL2474" s="54"/>
      <c r="RJM2474" s="60"/>
      <c r="RJN2474" s="60"/>
      <c r="RJO2474" s="60"/>
      <c r="RJP2474" s="60"/>
      <c r="RJQ2474" s="63"/>
      <c r="RJR2474" s="61"/>
      <c r="RJS2474" s="54"/>
      <c r="RJT2474" s="54"/>
      <c r="RJU2474" s="60"/>
      <c r="RJV2474" s="60"/>
      <c r="RJW2474" s="60"/>
      <c r="RJX2474" s="60"/>
      <c r="RJY2474" s="63"/>
      <c r="RJZ2474" s="61"/>
      <c r="RKA2474" s="54"/>
      <c r="RKB2474" s="54"/>
      <c r="RKC2474" s="60"/>
      <c r="RKD2474" s="60"/>
      <c r="RKE2474" s="60"/>
      <c r="RKF2474" s="60"/>
      <c r="RKG2474" s="63"/>
      <c r="RKH2474" s="61"/>
      <c r="RKI2474" s="54"/>
      <c r="RKJ2474" s="54"/>
      <c r="RKK2474" s="60"/>
      <c r="RKL2474" s="60"/>
      <c r="RKM2474" s="60"/>
      <c r="RKN2474" s="60"/>
      <c r="RKO2474" s="63"/>
      <c r="RKP2474" s="61"/>
      <c r="RKQ2474" s="54"/>
      <c r="RKR2474" s="54"/>
      <c r="RKS2474" s="60"/>
      <c r="RKT2474" s="60"/>
      <c r="RKU2474" s="60"/>
      <c r="RKV2474" s="60"/>
      <c r="RKW2474" s="63"/>
      <c r="RKX2474" s="61"/>
      <c r="RKY2474" s="54"/>
      <c r="RKZ2474" s="54"/>
      <c r="RLA2474" s="60"/>
      <c r="RLB2474" s="60"/>
      <c r="RLC2474" s="60"/>
      <c r="RLD2474" s="60"/>
      <c r="RLE2474" s="63"/>
      <c r="RLF2474" s="61"/>
      <c r="RLG2474" s="54"/>
      <c r="RLH2474" s="54"/>
      <c r="RLI2474" s="60"/>
      <c r="RLJ2474" s="60"/>
      <c r="RLK2474" s="60"/>
      <c r="RLL2474" s="60"/>
      <c r="RLM2474" s="63"/>
      <c r="RLN2474" s="61"/>
      <c r="RLO2474" s="54"/>
      <c r="RLP2474" s="54"/>
      <c r="RLQ2474" s="60"/>
      <c r="RLR2474" s="60"/>
      <c r="RLS2474" s="60"/>
      <c r="RLT2474" s="60"/>
      <c r="RLU2474" s="63"/>
      <c r="RLV2474" s="61"/>
      <c r="RLW2474" s="54"/>
      <c r="RLX2474" s="54"/>
      <c r="RLY2474" s="60"/>
      <c r="RLZ2474" s="60"/>
      <c r="RMA2474" s="60"/>
      <c r="RMB2474" s="60"/>
      <c r="RMC2474" s="63"/>
      <c r="RMD2474" s="61"/>
      <c r="RME2474" s="54"/>
      <c r="RMF2474" s="54"/>
      <c r="RMG2474" s="60"/>
      <c r="RMH2474" s="60"/>
      <c r="RMI2474" s="60"/>
      <c r="RMJ2474" s="60"/>
      <c r="RMK2474" s="63"/>
      <c r="RML2474" s="61"/>
      <c r="RMM2474" s="54"/>
      <c r="RMN2474" s="54"/>
      <c r="RMO2474" s="60"/>
      <c r="RMP2474" s="60"/>
      <c r="RMQ2474" s="60"/>
      <c r="RMR2474" s="60"/>
      <c r="RMS2474" s="63"/>
      <c r="RMT2474" s="61"/>
      <c r="RMU2474" s="54"/>
      <c r="RMV2474" s="54"/>
      <c r="RMW2474" s="60"/>
      <c r="RMX2474" s="60"/>
      <c r="RMY2474" s="60"/>
      <c r="RMZ2474" s="60"/>
      <c r="RNA2474" s="63"/>
      <c r="RNB2474" s="61"/>
      <c r="RNC2474" s="54"/>
      <c r="RND2474" s="54"/>
      <c r="RNE2474" s="60"/>
      <c r="RNF2474" s="60"/>
      <c r="RNG2474" s="60"/>
      <c r="RNH2474" s="60"/>
      <c r="RNI2474" s="63"/>
      <c r="RNJ2474" s="61"/>
      <c r="RNK2474" s="54"/>
      <c r="RNL2474" s="54"/>
      <c r="RNM2474" s="60"/>
      <c r="RNN2474" s="60"/>
      <c r="RNO2474" s="60"/>
      <c r="RNP2474" s="60"/>
      <c r="RNQ2474" s="63"/>
      <c r="RNR2474" s="61"/>
      <c r="RNS2474" s="54"/>
      <c r="RNT2474" s="54"/>
      <c r="RNU2474" s="60"/>
      <c r="RNV2474" s="60"/>
      <c r="RNW2474" s="60"/>
      <c r="RNX2474" s="60"/>
      <c r="RNY2474" s="63"/>
      <c r="RNZ2474" s="61"/>
      <c r="ROA2474" s="54"/>
      <c r="ROB2474" s="54"/>
      <c r="ROC2474" s="60"/>
      <c r="ROD2474" s="60"/>
      <c r="ROE2474" s="60"/>
      <c r="ROF2474" s="60"/>
      <c r="ROG2474" s="63"/>
      <c r="ROH2474" s="61"/>
      <c r="ROI2474" s="54"/>
      <c r="ROJ2474" s="54"/>
      <c r="ROK2474" s="60"/>
      <c r="ROL2474" s="60"/>
      <c r="ROM2474" s="60"/>
      <c r="RON2474" s="60"/>
      <c r="ROO2474" s="63"/>
      <c r="ROP2474" s="61"/>
      <c r="ROQ2474" s="54"/>
      <c r="ROR2474" s="54"/>
      <c r="ROS2474" s="60"/>
      <c r="ROT2474" s="60"/>
      <c r="ROU2474" s="60"/>
      <c r="ROV2474" s="60"/>
      <c r="ROW2474" s="63"/>
      <c r="ROX2474" s="61"/>
      <c r="ROY2474" s="54"/>
      <c r="ROZ2474" s="54"/>
      <c r="RPA2474" s="60"/>
      <c r="RPB2474" s="60"/>
      <c r="RPC2474" s="60"/>
      <c r="RPD2474" s="60"/>
      <c r="RPE2474" s="63"/>
      <c r="RPF2474" s="61"/>
      <c r="RPG2474" s="54"/>
      <c r="RPH2474" s="54"/>
      <c r="RPI2474" s="60"/>
      <c r="RPJ2474" s="60"/>
      <c r="RPK2474" s="60"/>
      <c r="RPL2474" s="60"/>
      <c r="RPM2474" s="63"/>
      <c r="RPN2474" s="61"/>
      <c r="RPO2474" s="54"/>
      <c r="RPP2474" s="54"/>
      <c r="RPQ2474" s="60"/>
      <c r="RPR2474" s="60"/>
      <c r="RPS2474" s="60"/>
      <c r="RPT2474" s="60"/>
      <c r="RPU2474" s="63"/>
      <c r="RPV2474" s="61"/>
      <c r="RPW2474" s="54"/>
      <c r="RPX2474" s="54"/>
      <c r="RPY2474" s="60"/>
      <c r="RPZ2474" s="60"/>
      <c r="RQA2474" s="60"/>
      <c r="RQB2474" s="60"/>
      <c r="RQC2474" s="63"/>
      <c r="RQD2474" s="61"/>
      <c r="RQE2474" s="54"/>
      <c r="RQF2474" s="54"/>
      <c r="RQG2474" s="60"/>
      <c r="RQH2474" s="60"/>
      <c r="RQI2474" s="60"/>
      <c r="RQJ2474" s="60"/>
      <c r="RQK2474" s="63"/>
      <c r="RQL2474" s="61"/>
      <c r="RQM2474" s="54"/>
      <c r="RQN2474" s="54"/>
      <c r="RQO2474" s="60"/>
      <c r="RQP2474" s="60"/>
      <c r="RQQ2474" s="60"/>
      <c r="RQR2474" s="60"/>
      <c r="RQS2474" s="63"/>
      <c r="RQT2474" s="61"/>
      <c r="RQU2474" s="54"/>
      <c r="RQV2474" s="54"/>
      <c r="RQW2474" s="60"/>
      <c r="RQX2474" s="60"/>
      <c r="RQY2474" s="60"/>
      <c r="RQZ2474" s="60"/>
      <c r="RRA2474" s="63"/>
      <c r="RRB2474" s="61"/>
      <c r="RRC2474" s="54"/>
      <c r="RRD2474" s="54"/>
      <c r="RRE2474" s="60"/>
      <c r="RRF2474" s="60"/>
      <c r="RRG2474" s="60"/>
      <c r="RRH2474" s="60"/>
      <c r="RRI2474" s="63"/>
      <c r="RRJ2474" s="61"/>
      <c r="RRK2474" s="54"/>
      <c r="RRL2474" s="54"/>
      <c r="RRM2474" s="60"/>
      <c r="RRN2474" s="60"/>
      <c r="RRO2474" s="60"/>
      <c r="RRP2474" s="60"/>
      <c r="RRQ2474" s="63"/>
      <c r="RRR2474" s="61"/>
      <c r="RRS2474" s="54"/>
      <c r="RRT2474" s="54"/>
      <c r="RRU2474" s="60"/>
      <c r="RRV2474" s="60"/>
      <c r="RRW2474" s="60"/>
      <c r="RRX2474" s="60"/>
      <c r="RRY2474" s="63"/>
      <c r="RRZ2474" s="61"/>
      <c r="RSA2474" s="54"/>
      <c r="RSB2474" s="54"/>
      <c r="RSC2474" s="60"/>
      <c r="RSD2474" s="60"/>
      <c r="RSE2474" s="60"/>
      <c r="RSF2474" s="60"/>
      <c r="RSG2474" s="63"/>
      <c r="RSH2474" s="61"/>
      <c r="RSI2474" s="54"/>
      <c r="RSJ2474" s="54"/>
      <c r="RSK2474" s="60"/>
      <c r="RSL2474" s="60"/>
      <c r="RSM2474" s="60"/>
      <c r="RSN2474" s="60"/>
      <c r="RSO2474" s="63"/>
      <c r="RSP2474" s="61"/>
      <c r="RSQ2474" s="54"/>
      <c r="RSR2474" s="54"/>
      <c r="RSS2474" s="60"/>
      <c r="RST2474" s="60"/>
      <c r="RSU2474" s="60"/>
      <c r="RSV2474" s="60"/>
      <c r="RSW2474" s="63"/>
      <c r="RSX2474" s="61"/>
      <c r="RSY2474" s="54"/>
      <c r="RSZ2474" s="54"/>
      <c r="RTA2474" s="60"/>
      <c r="RTB2474" s="60"/>
      <c r="RTC2474" s="60"/>
      <c r="RTD2474" s="60"/>
      <c r="RTE2474" s="63"/>
      <c r="RTF2474" s="61"/>
      <c r="RTG2474" s="54"/>
      <c r="RTH2474" s="54"/>
      <c r="RTI2474" s="60"/>
      <c r="RTJ2474" s="60"/>
      <c r="RTK2474" s="60"/>
      <c r="RTL2474" s="60"/>
      <c r="RTM2474" s="63"/>
      <c r="RTN2474" s="61"/>
      <c r="RTO2474" s="54"/>
      <c r="RTP2474" s="54"/>
      <c r="RTQ2474" s="60"/>
      <c r="RTR2474" s="60"/>
      <c r="RTS2474" s="60"/>
      <c r="RTT2474" s="60"/>
      <c r="RTU2474" s="63"/>
      <c r="RTV2474" s="61"/>
      <c r="RTW2474" s="54"/>
      <c r="RTX2474" s="54"/>
      <c r="RTY2474" s="60"/>
      <c r="RTZ2474" s="60"/>
      <c r="RUA2474" s="60"/>
      <c r="RUB2474" s="60"/>
      <c r="RUC2474" s="63"/>
      <c r="RUD2474" s="61"/>
      <c r="RUE2474" s="54"/>
      <c r="RUF2474" s="54"/>
      <c r="RUG2474" s="60"/>
      <c r="RUH2474" s="60"/>
      <c r="RUI2474" s="60"/>
      <c r="RUJ2474" s="60"/>
      <c r="RUK2474" s="63"/>
      <c r="RUL2474" s="61"/>
      <c r="RUM2474" s="54"/>
      <c r="RUN2474" s="54"/>
      <c r="RUO2474" s="60"/>
      <c r="RUP2474" s="60"/>
      <c r="RUQ2474" s="60"/>
      <c r="RUR2474" s="60"/>
      <c r="RUS2474" s="63"/>
      <c r="RUT2474" s="61"/>
      <c r="RUU2474" s="54"/>
      <c r="RUV2474" s="54"/>
      <c r="RUW2474" s="60"/>
      <c r="RUX2474" s="60"/>
      <c r="RUY2474" s="60"/>
      <c r="RUZ2474" s="60"/>
      <c r="RVA2474" s="63"/>
      <c r="RVB2474" s="61"/>
      <c r="RVC2474" s="54"/>
      <c r="RVD2474" s="54"/>
      <c r="RVE2474" s="60"/>
      <c r="RVF2474" s="60"/>
      <c r="RVG2474" s="60"/>
      <c r="RVH2474" s="60"/>
      <c r="RVI2474" s="63"/>
      <c r="RVJ2474" s="61"/>
      <c r="RVK2474" s="54"/>
      <c r="RVL2474" s="54"/>
      <c r="RVM2474" s="60"/>
      <c r="RVN2474" s="60"/>
      <c r="RVO2474" s="60"/>
      <c r="RVP2474" s="60"/>
      <c r="RVQ2474" s="63"/>
      <c r="RVR2474" s="61"/>
      <c r="RVS2474" s="54"/>
      <c r="RVT2474" s="54"/>
      <c r="RVU2474" s="60"/>
      <c r="RVV2474" s="60"/>
      <c r="RVW2474" s="60"/>
      <c r="RVX2474" s="60"/>
      <c r="RVY2474" s="63"/>
      <c r="RVZ2474" s="61"/>
      <c r="RWA2474" s="54"/>
      <c r="RWB2474" s="54"/>
      <c r="RWC2474" s="60"/>
      <c r="RWD2474" s="60"/>
      <c r="RWE2474" s="60"/>
      <c r="RWF2474" s="60"/>
      <c r="RWG2474" s="63"/>
      <c r="RWH2474" s="61"/>
      <c r="RWI2474" s="54"/>
      <c r="RWJ2474" s="54"/>
      <c r="RWK2474" s="60"/>
      <c r="RWL2474" s="60"/>
      <c r="RWM2474" s="60"/>
      <c r="RWN2474" s="60"/>
      <c r="RWO2474" s="63"/>
      <c r="RWP2474" s="61"/>
      <c r="RWQ2474" s="54"/>
      <c r="RWR2474" s="54"/>
      <c r="RWS2474" s="60"/>
      <c r="RWT2474" s="60"/>
      <c r="RWU2474" s="60"/>
      <c r="RWV2474" s="60"/>
      <c r="RWW2474" s="63"/>
      <c r="RWX2474" s="61"/>
      <c r="RWY2474" s="54"/>
      <c r="RWZ2474" s="54"/>
      <c r="RXA2474" s="60"/>
      <c r="RXB2474" s="60"/>
      <c r="RXC2474" s="60"/>
      <c r="RXD2474" s="60"/>
      <c r="RXE2474" s="63"/>
      <c r="RXF2474" s="61"/>
      <c r="RXG2474" s="54"/>
      <c r="RXH2474" s="54"/>
      <c r="RXI2474" s="60"/>
      <c r="RXJ2474" s="60"/>
      <c r="RXK2474" s="60"/>
      <c r="RXL2474" s="60"/>
      <c r="RXM2474" s="63"/>
      <c r="RXN2474" s="61"/>
      <c r="RXO2474" s="54"/>
      <c r="RXP2474" s="54"/>
      <c r="RXQ2474" s="60"/>
      <c r="RXR2474" s="60"/>
      <c r="RXS2474" s="60"/>
      <c r="RXT2474" s="60"/>
      <c r="RXU2474" s="63"/>
      <c r="RXV2474" s="61"/>
      <c r="RXW2474" s="54"/>
      <c r="RXX2474" s="54"/>
      <c r="RXY2474" s="60"/>
      <c r="RXZ2474" s="60"/>
      <c r="RYA2474" s="60"/>
      <c r="RYB2474" s="60"/>
      <c r="RYC2474" s="63"/>
      <c r="RYD2474" s="61"/>
      <c r="RYE2474" s="54"/>
      <c r="RYF2474" s="54"/>
      <c r="RYG2474" s="60"/>
      <c r="RYH2474" s="60"/>
      <c r="RYI2474" s="60"/>
      <c r="RYJ2474" s="60"/>
      <c r="RYK2474" s="63"/>
      <c r="RYL2474" s="61"/>
      <c r="RYM2474" s="54"/>
      <c r="RYN2474" s="54"/>
      <c r="RYO2474" s="60"/>
      <c r="RYP2474" s="60"/>
      <c r="RYQ2474" s="60"/>
      <c r="RYR2474" s="60"/>
      <c r="RYS2474" s="63"/>
      <c r="RYT2474" s="61"/>
      <c r="RYU2474" s="54"/>
      <c r="RYV2474" s="54"/>
      <c r="RYW2474" s="60"/>
      <c r="RYX2474" s="60"/>
      <c r="RYY2474" s="60"/>
      <c r="RYZ2474" s="60"/>
      <c r="RZA2474" s="63"/>
      <c r="RZB2474" s="61"/>
      <c r="RZC2474" s="54"/>
      <c r="RZD2474" s="54"/>
      <c r="RZE2474" s="60"/>
      <c r="RZF2474" s="60"/>
      <c r="RZG2474" s="60"/>
      <c r="RZH2474" s="60"/>
      <c r="RZI2474" s="63"/>
      <c r="RZJ2474" s="61"/>
      <c r="RZK2474" s="54"/>
      <c r="RZL2474" s="54"/>
      <c r="RZM2474" s="60"/>
      <c r="RZN2474" s="60"/>
      <c r="RZO2474" s="60"/>
      <c r="RZP2474" s="60"/>
      <c r="RZQ2474" s="63"/>
      <c r="RZR2474" s="61"/>
      <c r="RZS2474" s="54"/>
      <c r="RZT2474" s="54"/>
      <c r="RZU2474" s="60"/>
      <c r="RZV2474" s="60"/>
      <c r="RZW2474" s="60"/>
      <c r="RZX2474" s="60"/>
      <c r="RZY2474" s="63"/>
      <c r="RZZ2474" s="61"/>
      <c r="SAA2474" s="54"/>
      <c r="SAB2474" s="54"/>
      <c r="SAC2474" s="60"/>
      <c r="SAD2474" s="60"/>
      <c r="SAE2474" s="60"/>
      <c r="SAF2474" s="60"/>
      <c r="SAG2474" s="63"/>
      <c r="SAH2474" s="61"/>
      <c r="SAI2474" s="54"/>
      <c r="SAJ2474" s="54"/>
      <c r="SAK2474" s="60"/>
      <c r="SAL2474" s="60"/>
      <c r="SAM2474" s="60"/>
      <c r="SAN2474" s="60"/>
      <c r="SAO2474" s="63"/>
      <c r="SAP2474" s="61"/>
      <c r="SAQ2474" s="54"/>
      <c r="SAR2474" s="54"/>
      <c r="SAS2474" s="60"/>
      <c r="SAT2474" s="60"/>
      <c r="SAU2474" s="60"/>
      <c r="SAV2474" s="60"/>
      <c r="SAW2474" s="63"/>
      <c r="SAX2474" s="61"/>
      <c r="SAY2474" s="54"/>
      <c r="SAZ2474" s="54"/>
      <c r="SBA2474" s="60"/>
      <c r="SBB2474" s="60"/>
      <c r="SBC2474" s="60"/>
      <c r="SBD2474" s="60"/>
      <c r="SBE2474" s="63"/>
      <c r="SBF2474" s="61"/>
      <c r="SBG2474" s="54"/>
      <c r="SBH2474" s="54"/>
      <c r="SBI2474" s="60"/>
      <c r="SBJ2474" s="60"/>
      <c r="SBK2474" s="60"/>
      <c r="SBL2474" s="60"/>
      <c r="SBM2474" s="63"/>
      <c r="SBN2474" s="61"/>
      <c r="SBO2474" s="54"/>
      <c r="SBP2474" s="54"/>
      <c r="SBQ2474" s="60"/>
      <c r="SBR2474" s="60"/>
      <c r="SBS2474" s="60"/>
      <c r="SBT2474" s="60"/>
      <c r="SBU2474" s="63"/>
      <c r="SBV2474" s="61"/>
      <c r="SBW2474" s="54"/>
      <c r="SBX2474" s="54"/>
      <c r="SBY2474" s="60"/>
      <c r="SBZ2474" s="60"/>
      <c r="SCA2474" s="60"/>
      <c r="SCB2474" s="60"/>
      <c r="SCC2474" s="63"/>
      <c r="SCD2474" s="61"/>
      <c r="SCE2474" s="54"/>
      <c r="SCF2474" s="54"/>
      <c r="SCG2474" s="60"/>
      <c r="SCH2474" s="60"/>
      <c r="SCI2474" s="60"/>
      <c r="SCJ2474" s="60"/>
      <c r="SCK2474" s="63"/>
      <c r="SCL2474" s="61"/>
      <c r="SCM2474" s="54"/>
      <c r="SCN2474" s="54"/>
      <c r="SCO2474" s="60"/>
      <c r="SCP2474" s="60"/>
      <c r="SCQ2474" s="60"/>
      <c r="SCR2474" s="60"/>
      <c r="SCS2474" s="63"/>
      <c r="SCT2474" s="61"/>
      <c r="SCU2474" s="54"/>
      <c r="SCV2474" s="54"/>
      <c r="SCW2474" s="60"/>
      <c r="SCX2474" s="60"/>
      <c r="SCY2474" s="60"/>
      <c r="SCZ2474" s="60"/>
      <c r="SDA2474" s="63"/>
      <c r="SDB2474" s="61"/>
      <c r="SDC2474" s="54"/>
      <c r="SDD2474" s="54"/>
      <c r="SDE2474" s="60"/>
      <c r="SDF2474" s="60"/>
      <c r="SDG2474" s="60"/>
      <c r="SDH2474" s="60"/>
      <c r="SDI2474" s="63"/>
      <c r="SDJ2474" s="61"/>
      <c r="SDK2474" s="54"/>
      <c r="SDL2474" s="54"/>
      <c r="SDM2474" s="60"/>
      <c r="SDN2474" s="60"/>
      <c r="SDO2474" s="60"/>
      <c r="SDP2474" s="60"/>
      <c r="SDQ2474" s="63"/>
      <c r="SDR2474" s="61"/>
      <c r="SDS2474" s="54"/>
      <c r="SDT2474" s="54"/>
      <c r="SDU2474" s="60"/>
      <c r="SDV2474" s="60"/>
      <c r="SDW2474" s="60"/>
      <c r="SDX2474" s="60"/>
      <c r="SDY2474" s="63"/>
      <c r="SDZ2474" s="61"/>
      <c r="SEA2474" s="54"/>
      <c r="SEB2474" s="54"/>
      <c r="SEC2474" s="60"/>
      <c r="SED2474" s="60"/>
      <c r="SEE2474" s="60"/>
      <c r="SEF2474" s="60"/>
      <c r="SEG2474" s="63"/>
      <c r="SEH2474" s="61"/>
      <c r="SEI2474" s="54"/>
      <c r="SEJ2474" s="54"/>
      <c r="SEK2474" s="60"/>
      <c r="SEL2474" s="60"/>
      <c r="SEM2474" s="60"/>
      <c r="SEN2474" s="60"/>
      <c r="SEO2474" s="63"/>
      <c r="SEP2474" s="61"/>
      <c r="SEQ2474" s="54"/>
      <c r="SER2474" s="54"/>
      <c r="SES2474" s="60"/>
      <c r="SET2474" s="60"/>
      <c r="SEU2474" s="60"/>
      <c r="SEV2474" s="60"/>
      <c r="SEW2474" s="63"/>
      <c r="SEX2474" s="61"/>
      <c r="SEY2474" s="54"/>
      <c r="SEZ2474" s="54"/>
      <c r="SFA2474" s="60"/>
      <c r="SFB2474" s="60"/>
      <c r="SFC2474" s="60"/>
      <c r="SFD2474" s="60"/>
      <c r="SFE2474" s="63"/>
      <c r="SFF2474" s="61"/>
      <c r="SFG2474" s="54"/>
      <c r="SFH2474" s="54"/>
      <c r="SFI2474" s="60"/>
      <c r="SFJ2474" s="60"/>
      <c r="SFK2474" s="60"/>
      <c r="SFL2474" s="60"/>
      <c r="SFM2474" s="63"/>
      <c r="SFN2474" s="61"/>
      <c r="SFO2474" s="54"/>
      <c r="SFP2474" s="54"/>
      <c r="SFQ2474" s="60"/>
      <c r="SFR2474" s="60"/>
      <c r="SFS2474" s="60"/>
      <c r="SFT2474" s="60"/>
      <c r="SFU2474" s="63"/>
      <c r="SFV2474" s="61"/>
      <c r="SFW2474" s="54"/>
      <c r="SFX2474" s="54"/>
      <c r="SFY2474" s="60"/>
      <c r="SFZ2474" s="60"/>
      <c r="SGA2474" s="60"/>
      <c r="SGB2474" s="60"/>
      <c r="SGC2474" s="63"/>
      <c r="SGD2474" s="61"/>
      <c r="SGE2474" s="54"/>
      <c r="SGF2474" s="54"/>
      <c r="SGG2474" s="60"/>
      <c r="SGH2474" s="60"/>
      <c r="SGI2474" s="60"/>
      <c r="SGJ2474" s="60"/>
      <c r="SGK2474" s="63"/>
      <c r="SGL2474" s="61"/>
      <c r="SGM2474" s="54"/>
      <c r="SGN2474" s="54"/>
      <c r="SGO2474" s="60"/>
      <c r="SGP2474" s="60"/>
      <c r="SGQ2474" s="60"/>
      <c r="SGR2474" s="60"/>
      <c r="SGS2474" s="63"/>
      <c r="SGT2474" s="61"/>
      <c r="SGU2474" s="54"/>
      <c r="SGV2474" s="54"/>
      <c r="SGW2474" s="60"/>
      <c r="SGX2474" s="60"/>
      <c r="SGY2474" s="60"/>
      <c r="SGZ2474" s="60"/>
      <c r="SHA2474" s="63"/>
      <c r="SHB2474" s="61"/>
      <c r="SHC2474" s="54"/>
      <c r="SHD2474" s="54"/>
      <c r="SHE2474" s="60"/>
      <c r="SHF2474" s="60"/>
      <c r="SHG2474" s="60"/>
      <c r="SHH2474" s="60"/>
      <c r="SHI2474" s="63"/>
      <c r="SHJ2474" s="61"/>
      <c r="SHK2474" s="54"/>
      <c r="SHL2474" s="54"/>
      <c r="SHM2474" s="60"/>
      <c r="SHN2474" s="60"/>
      <c r="SHO2474" s="60"/>
      <c r="SHP2474" s="60"/>
      <c r="SHQ2474" s="63"/>
      <c r="SHR2474" s="61"/>
      <c r="SHS2474" s="54"/>
      <c r="SHT2474" s="54"/>
      <c r="SHU2474" s="60"/>
      <c r="SHV2474" s="60"/>
      <c r="SHW2474" s="60"/>
      <c r="SHX2474" s="60"/>
      <c r="SHY2474" s="63"/>
      <c r="SHZ2474" s="61"/>
      <c r="SIA2474" s="54"/>
      <c r="SIB2474" s="54"/>
      <c r="SIC2474" s="60"/>
      <c r="SID2474" s="60"/>
      <c r="SIE2474" s="60"/>
      <c r="SIF2474" s="60"/>
      <c r="SIG2474" s="63"/>
      <c r="SIH2474" s="61"/>
      <c r="SII2474" s="54"/>
      <c r="SIJ2474" s="54"/>
      <c r="SIK2474" s="60"/>
      <c r="SIL2474" s="60"/>
      <c r="SIM2474" s="60"/>
      <c r="SIN2474" s="60"/>
      <c r="SIO2474" s="63"/>
      <c r="SIP2474" s="61"/>
      <c r="SIQ2474" s="54"/>
      <c r="SIR2474" s="54"/>
      <c r="SIS2474" s="60"/>
      <c r="SIT2474" s="60"/>
      <c r="SIU2474" s="60"/>
      <c r="SIV2474" s="60"/>
      <c r="SIW2474" s="63"/>
      <c r="SIX2474" s="61"/>
      <c r="SIY2474" s="54"/>
      <c r="SIZ2474" s="54"/>
      <c r="SJA2474" s="60"/>
      <c r="SJB2474" s="60"/>
      <c r="SJC2474" s="60"/>
      <c r="SJD2474" s="60"/>
      <c r="SJE2474" s="63"/>
      <c r="SJF2474" s="61"/>
      <c r="SJG2474" s="54"/>
      <c r="SJH2474" s="54"/>
      <c r="SJI2474" s="60"/>
      <c r="SJJ2474" s="60"/>
      <c r="SJK2474" s="60"/>
      <c r="SJL2474" s="60"/>
      <c r="SJM2474" s="63"/>
      <c r="SJN2474" s="61"/>
      <c r="SJO2474" s="54"/>
      <c r="SJP2474" s="54"/>
      <c r="SJQ2474" s="60"/>
      <c r="SJR2474" s="60"/>
      <c r="SJS2474" s="60"/>
      <c r="SJT2474" s="60"/>
      <c r="SJU2474" s="63"/>
      <c r="SJV2474" s="61"/>
      <c r="SJW2474" s="54"/>
      <c r="SJX2474" s="54"/>
      <c r="SJY2474" s="60"/>
      <c r="SJZ2474" s="60"/>
      <c r="SKA2474" s="60"/>
      <c r="SKB2474" s="60"/>
      <c r="SKC2474" s="63"/>
      <c r="SKD2474" s="61"/>
      <c r="SKE2474" s="54"/>
      <c r="SKF2474" s="54"/>
      <c r="SKG2474" s="60"/>
      <c r="SKH2474" s="60"/>
      <c r="SKI2474" s="60"/>
      <c r="SKJ2474" s="60"/>
      <c r="SKK2474" s="63"/>
      <c r="SKL2474" s="61"/>
      <c r="SKM2474" s="54"/>
      <c r="SKN2474" s="54"/>
      <c r="SKO2474" s="60"/>
      <c r="SKP2474" s="60"/>
      <c r="SKQ2474" s="60"/>
      <c r="SKR2474" s="60"/>
      <c r="SKS2474" s="63"/>
      <c r="SKT2474" s="61"/>
      <c r="SKU2474" s="54"/>
      <c r="SKV2474" s="54"/>
      <c r="SKW2474" s="60"/>
      <c r="SKX2474" s="60"/>
      <c r="SKY2474" s="60"/>
      <c r="SKZ2474" s="60"/>
      <c r="SLA2474" s="63"/>
      <c r="SLB2474" s="61"/>
      <c r="SLC2474" s="54"/>
      <c r="SLD2474" s="54"/>
      <c r="SLE2474" s="60"/>
      <c r="SLF2474" s="60"/>
      <c r="SLG2474" s="60"/>
      <c r="SLH2474" s="60"/>
      <c r="SLI2474" s="63"/>
      <c r="SLJ2474" s="61"/>
      <c r="SLK2474" s="54"/>
      <c r="SLL2474" s="54"/>
      <c r="SLM2474" s="60"/>
      <c r="SLN2474" s="60"/>
      <c r="SLO2474" s="60"/>
      <c r="SLP2474" s="60"/>
      <c r="SLQ2474" s="63"/>
      <c r="SLR2474" s="61"/>
      <c r="SLS2474" s="54"/>
      <c r="SLT2474" s="54"/>
      <c r="SLU2474" s="60"/>
      <c r="SLV2474" s="60"/>
      <c r="SLW2474" s="60"/>
      <c r="SLX2474" s="60"/>
      <c r="SLY2474" s="63"/>
      <c r="SLZ2474" s="61"/>
      <c r="SMA2474" s="54"/>
      <c r="SMB2474" s="54"/>
      <c r="SMC2474" s="60"/>
      <c r="SMD2474" s="60"/>
      <c r="SME2474" s="60"/>
      <c r="SMF2474" s="60"/>
      <c r="SMG2474" s="63"/>
      <c r="SMH2474" s="61"/>
      <c r="SMI2474" s="54"/>
      <c r="SMJ2474" s="54"/>
      <c r="SMK2474" s="60"/>
      <c r="SML2474" s="60"/>
      <c r="SMM2474" s="60"/>
      <c r="SMN2474" s="60"/>
      <c r="SMO2474" s="63"/>
      <c r="SMP2474" s="61"/>
      <c r="SMQ2474" s="54"/>
      <c r="SMR2474" s="54"/>
      <c r="SMS2474" s="60"/>
      <c r="SMT2474" s="60"/>
      <c r="SMU2474" s="60"/>
      <c r="SMV2474" s="60"/>
      <c r="SMW2474" s="63"/>
      <c r="SMX2474" s="61"/>
      <c r="SMY2474" s="54"/>
      <c r="SMZ2474" s="54"/>
      <c r="SNA2474" s="60"/>
      <c r="SNB2474" s="60"/>
      <c r="SNC2474" s="60"/>
      <c r="SND2474" s="60"/>
      <c r="SNE2474" s="63"/>
      <c r="SNF2474" s="61"/>
      <c r="SNG2474" s="54"/>
      <c r="SNH2474" s="54"/>
      <c r="SNI2474" s="60"/>
      <c r="SNJ2474" s="60"/>
      <c r="SNK2474" s="60"/>
      <c r="SNL2474" s="60"/>
      <c r="SNM2474" s="63"/>
      <c r="SNN2474" s="61"/>
      <c r="SNO2474" s="54"/>
      <c r="SNP2474" s="54"/>
      <c r="SNQ2474" s="60"/>
      <c r="SNR2474" s="60"/>
      <c r="SNS2474" s="60"/>
      <c r="SNT2474" s="60"/>
      <c r="SNU2474" s="63"/>
      <c r="SNV2474" s="61"/>
      <c r="SNW2474" s="54"/>
      <c r="SNX2474" s="54"/>
      <c r="SNY2474" s="60"/>
      <c r="SNZ2474" s="60"/>
      <c r="SOA2474" s="60"/>
      <c r="SOB2474" s="60"/>
      <c r="SOC2474" s="63"/>
      <c r="SOD2474" s="61"/>
      <c r="SOE2474" s="54"/>
      <c r="SOF2474" s="54"/>
      <c r="SOG2474" s="60"/>
      <c r="SOH2474" s="60"/>
      <c r="SOI2474" s="60"/>
      <c r="SOJ2474" s="60"/>
      <c r="SOK2474" s="63"/>
      <c r="SOL2474" s="61"/>
      <c r="SOM2474" s="54"/>
      <c r="SON2474" s="54"/>
      <c r="SOO2474" s="60"/>
      <c r="SOP2474" s="60"/>
      <c r="SOQ2474" s="60"/>
      <c r="SOR2474" s="60"/>
      <c r="SOS2474" s="63"/>
      <c r="SOT2474" s="61"/>
      <c r="SOU2474" s="54"/>
      <c r="SOV2474" s="54"/>
      <c r="SOW2474" s="60"/>
      <c r="SOX2474" s="60"/>
      <c r="SOY2474" s="60"/>
      <c r="SOZ2474" s="60"/>
      <c r="SPA2474" s="63"/>
      <c r="SPB2474" s="61"/>
      <c r="SPC2474" s="54"/>
      <c r="SPD2474" s="54"/>
      <c r="SPE2474" s="60"/>
      <c r="SPF2474" s="60"/>
      <c r="SPG2474" s="60"/>
      <c r="SPH2474" s="60"/>
      <c r="SPI2474" s="63"/>
      <c r="SPJ2474" s="61"/>
      <c r="SPK2474" s="54"/>
      <c r="SPL2474" s="54"/>
      <c r="SPM2474" s="60"/>
      <c r="SPN2474" s="60"/>
      <c r="SPO2474" s="60"/>
      <c r="SPP2474" s="60"/>
      <c r="SPQ2474" s="63"/>
      <c r="SPR2474" s="61"/>
      <c r="SPS2474" s="54"/>
      <c r="SPT2474" s="54"/>
      <c r="SPU2474" s="60"/>
      <c r="SPV2474" s="60"/>
      <c r="SPW2474" s="60"/>
      <c r="SPX2474" s="60"/>
      <c r="SPY2474" s="63"/>
      <c r="SPZ2474" s="61"/>
      <c r="SQA2474" s="54"/>
      <c r="SQB2474" s="54"/>
      <c r="SQC2474" s="60"/>
      <c r="SQD2474" s="60"/>
      <c r="SQE2474" s="60"/>
      <c r="SQF2474" s="60"/>
      <c r="SQG2474" s="63"/>
      <c r="SQH2474" s="61"/>
      <c r="SQI2474" s="54"/>
      <c r="SQJ2474" s="54"/>
      <c r="SQK2474" s="60"/>
      <c r="SQL2474" s="60"/>
      <c r="SQM2474" s="60"/>
      <c r="SQN2474" s="60"/>
      <c r="SQO2474" s="63"/>
      <c r="SQP2474" s="61"/>
      <c r="SQQ2474" s="54"/>
      <c r="SQR2474" s="54"/>
      <c r="SQS2474" s="60"/>
      <c r="SQT2474" s="60"/>
      <c r="SQU2474" s="60"/>
      <c r="SQV2474" s="60"/>
      <c r="SQW2474" s="63"/>
      <c r="SQX2474" s="61"/>
      <c r="SQY2474" s="54"/>
      <c r="SQZ2474" s="54"/>
      <c r="SRA2474" s="60"/>
      <c r="SRB2474" s="60"/>
      <c r="SRC2474" s="60"/>
      <c r="SRD2474" s="60"/>
      <c r="SRE2474" s="63"/>
      <c r="SRF2474" s="61"/>
      <c r="SRG2474" s="54"/>
      <c r="SRH2474" s="54"/>
      <c r="SRI2474" s="60"/>
      <c r="SRJ2474" s="60"/>
      <c r="SRK2474" s="60"/>
      <c r="SRL2474" s="60"/>
      <c r="SRM2474" s="63"/>
      <c r="SRN2474" s="61"/>
      <c r="SRO2474" s="54"/>
      <c r="SRP2474" s="54"/>
      <c r="SRQ2474" s="60"/>
      <c r="SRR2474" s="60"/>
      <c r="SRS2474" s="60"/>
      <c r="SRT2474" s="60"/>
      <c r="SRU2474" s="63"/>
      <c r="SRV2474" s="61"/>
      <c r="SRW2474" s="54"/>
      <c r="SRX2474" s="54"/>
      <c r="SRY2474" s="60"/>
      <c r="SRZ2474" s="60"/>
      <c r="SSA2474" s="60"/>
      <c r="SSB2474" s="60"/>
      <c r="SSC2474" s="63"/>
      <c r="SSD2474" s="61"/>
      <c r="SSE2474" s="54"/>
      <c r="SSF2474" s="54"/>
      <c r="SSG2474" s="60"/>
      <c r="SSH2474" s="60"/>
      <c r="SSI2474" s="60"/>
      <c r="SSJ2474" s="60"/>
      <c r="SSK2474" s="63"/>
      <c r="SSL2474" s="61"/>
      <c r="SSM2474" s="54"/>
      <c r="SSN2474" s="54"/>
      <c r="SSO2474" s="60"/>
      <c r="SSP2474" s="60"/>
      <c r="SSQ2474" s="60"/>
      <c r="SSR2474" s="60"/>
      <c r="SSS2474" s="63"/>
      <c r="SST2474" s="61"/>
      <c r="SSU2474" s="54"/>
      <c r="SSV2474" s="54"/>
      <c r="SSW2474" s="60"/>
      <c r="SSX2474" s="60"/>
      <c r="SSY2474" s="60"/>
      <c r="SSZ2474" s="60"/>
      <c r="STA2474" s="63"/>
      <c r="STB2474" s="61"/>
      <c r="STC2474" s="54"/>
      <c r="STD2474" s="54"/>
      <c r="STE2474" s="60"/>
      <c r="STF2474" s="60"/>
      <c r="STG2474" s="60"/>
      <c r="STH2474" s="60"/>
      <c r="STI2474" s="63"/>
      <c r="STJ2474" s="61"/>
      <c r="STK2474" s="54"/>
      <c r="STL2474" s="54"/>
      <c r="STM2474" s="60"/>
      <c r="STN2474" s="60"/>
      <c r="STO2474" s="60"/>
      <c r="STP2474" s="60"/>
      <c r="STQ2474" s="63"/>
      <c r="STR2474" s="61"/>
      <c r="STS2474" s="54"/>
      <c r="STT2474" s="54"/>
      <c r="STU2474" s="60"/>
      <c r="STV2474" s="60"/>
      <c r="STW2474" s="60"/>
      <c r="STX2474" s="60"/>
      <c r="STY2474" s="63"/>
      <c r="STZ2474" s="61"/>
      <c r="SUA2474" s="54"/>
      <c r="SUB2474" s="54"/>
      <c r="SUC2474" s="60"/>
      <c r="SUD2474" s="60"/>
      <c r="SUE2474" s="60"/>
      <c r="SUF2474" s="60"/>
      <c r="SUG2474" s="63"/>
      <c r="SUH2474" s="61"/>
      <c r="SUI2474" s="54"/>
      <c r="SUJ2474" s="54"/>
      <c r="SUK2474" s="60"/>
      <c r="SUL2474" s="60"/>
      <c r="SUM2474" s="60"/>
      <c r="SUN2474" s="60"/>
      <c r="SUO2474" s="63"/>
      <c r="SUP2474" s="61"/>
      <c r="SUQ2474" s="54"/>
      <c r="SUR2474" s="54"/>
      <c r="SUS2474" s="60"/>
      <c r="SUT2474" s="60"/>
      <c r="SUU2474" s="60"/>
      <c r="SUV2474" s="60"/>
      <c r="SUW2474" s="63"/>
      <c r="SUX2474" s="61"/>
      <c r="SUY2474" s="54"/>
      <c r="SUZ2474" s="54"/>
      <c r="SVA2474" s="60"/>
      <c r="SVB2474" s="60"/>
      <c r="SVC2474" s="60"/>
      <c r="SVD2474" s="60"/>
      <c r="SVE2474" s="63"/>
      <c r="SVF2474" s="61"/>
      <c r="SVG2474" s="54"/>
      <c r="SVH2474" s="54"/>
      <c r="SVI2474" s="60"/>
      <c r="SVJ2474" s="60"/>
      <c r="SVK2474" s="60"/>
      <c r="SVL2474" s="60"/>
      <c r="SVM2474" s="63"/>
      <c r="SVN2474" s="61"/>
      <c r="SVO2474" s="54"/>
      <c r="SVP2474" s="54"/>
      <c r="SVQ2474" s="60"/>
      <c r="SVR2474" s="60"/>
      <c r="SVS2474" s="60"/>
      <c r="SVT2474" s="60"/>
      <c r="SVU2474" s="63"/>
      <c r="SVV2474" s="61"/>
      <c r="SVW2474" s="54"/>
      <c r="SVX2474" s="54"/>
      <c r="SVY2474" s="60"/>
      <c r="SVZ2474" s="60"/>
      <c r="SWA2474" s="60"/>
      <c r="SWB2474" s="60"/>
      <c r="SWC2474" s="63"/>
      <c r="SWD2474" s="61"/>
      <c r="SWE2474" s="54"/>
      <c r="SWF2474" s="54"/>
      <c r="SWG2474" s="60"/>
      <c r="SWH2474" s="60"/>
      <c r="SWI2474" s="60"/>
      <c r="SWJ2474" s="60"/>
      <c r="SWK2474" s="63"/>
      <c r="SWL2474" s="61"/>
      <c r="SWM2474" s="54"/>
      <c r="SWN2474" s="54"/>
      <c r="SWO2474" s="60"/>
      <c r="SWP2474" s="60"/>
      <c r="SWQ2474" s="60"/>
      <c r="SWR2474" s="60"/>
      <c r="SWS2474" s="63"/>
      <c r="SWT2474" s="61"/>
      <c r="SWU2474" s="54"/>
      <c r="SWV2474" s="54"/>
      <c r="SWW2474" s="60"/>
      <c r="SWX2474" s="60"/>
      <c r="SWY2474" s="60"/>
      <c r="SWZ2474" s="60"/>
      <c r="SXA2474" s="63"/>
      <c r="SXB2474" s="61"/>
      <c r="SXC2474" s="54"/>
      <c r="SXD2474" s="54"/>
      <c r="SXE2474" s="60"/>
      <c r="SXF2474" s="60"/>
      <c r="SXG2474" s="60"/>
      <c r="SXH2474" s="60"/>
      <c r="SXI2474" s="63"/>
      <c r="SXJ2474" s="61"/>
      <c r="SXK2474" s="54"/>
      <c r="SXL2474" s="54"/>
      <c r="SXM2474" s="60"/>
      <c r="SXN2474" s="60"/>
      <c r="SXO2474" s="60"/>
      <c r="SXP2474" s="60"/>
      <c r="SXQ2474" s="63"/>
      <c r="SXR2474" s="61"/>
      <c r="SXS2474" s="54"/>
      <c r="SXT2474" s="54"/>
      <c r="SXU2474" s="60"/>
      <c r="SXV2474" s="60"/>
      <c r="SXW2474" s="60"/>
      <c r="SXX2474" s="60"/>
      <c r="SXY2474" s="63"/>
      <c r="SXZ2474" s="61"/>
      <c r="SYA2474" s="54"/>
      <c r="SYB2474" s="54"/>
      <c r="SYC2474" s="60"/>
      <c r="SYD2474" s="60"/>
      <c r="SYE2474" s="60"/>
      <c r="SYF2474" s="60"/>
      <c r="SYG2474" s="63"/>
      <c r="SYH2474" s="61"/>
      <c r="SYI2474" s="54"/>
      <c r="SYJ2474" s="54"/>
      <c r="SYK2474" s="60"/>
      <c r="SYL2474" s="60"/>
      <c r="SYM2474" s="60"/>
      <c r="SYN2474" s="60"/>
      <c r="SYO2474" s="63"/>
      <c r="SYP2474" s="61"/>
      <c r="SYQ2474" s="54"/>
      <c r="SYR2474" s="54"/>
      <c r="SYS2474" s="60"/>
      <c r="SYT2474" s="60"/>
      <c r="SYU2474" s="60"/>
      <c r="SYV2474" s="60"/>
      <c r="SYW2474" s="63"/>
      <c r="SYX2474" s="61"/>
      <c r="SYY2474" s="54"/>
      <c r="SYZ2474" s="54"/>
      <c r="SZA2474" s="60"/>
      <c r="SZB2474" s="60"/>
      <c r="SZC2474" s="60"/>
      <c r="SZD2474" s="60"/>
      <c r="SZE2474" s="63"/>
      <c r="SZF2474" s="61"/>
      <c r="SZG2474" s="54"/>
      <c r="SZH2474" s="54"/>
      <c r="SZI2474" s="60"/>
      <c r="SZJ2474" s="60"/>
      <c r="SZK2474" s="60"/>
      <c r="SZL2474" s="60"/>
      <c r="SZM2474" s="63"/>
      <c r="SZN2474" s="61"/>
      <c r="SZO2474" s="54"/>
      <c r="SZP2474" s="54"/>
      <c r="SZQ2474" s="60"/>
      <c r="SZR2474" s="60"/>
      <c r="SZS2474" s="60"/>
      <c r="SZT2474" s="60"/>
      <c r="SZU2474" s="63"/>
      <c r="SZV2474" s="61"/>
      <c r="SZW2474" s="54"/>
      <c r="SZX2474" s="54"/>
      <c r="SZY2474" s="60"/>
      <c r="SZZ2474" s="60"/>
      <c r="TAA2474" s="60"/>
      <c r="TAB2474" s="60"/>
      <c r="TAC2474" s="63"/>
      <c r="TAD2474" s="61"/>
      <c r="TAE2474" s="54"/>
      <c r="TAF2474" s="54"/>
      <c r="TAG2474" s="60"/>
      <c r="TAH2474" s="60"/>
      <c r="TAI2474" s="60"/>
      <c r="TAJ2474" s="60"/>
      <c r="TAK2474" s="63"/>
      <c r="TAL2474" s="61"/>
      <c r="TAM2474" s="54"/>
      <c r="TAN2474" s="54"/>
      <c r="TAO2474" s="60"/>
      <c r="TAP2474" s="60"/>
      <c r="TAQ2474" s="60"/>
      <c r="TAR2474" s="60"/>
      <c r="TAS2474" s="63"/>
      <c r="TAT2474" s="61"/>
      <c r="TAU2474" s="54"/>
      <c r="TAV2474" s="54"/>
      <c r="TAW2474" s="60"/>
      <c r="TAX2474" s="60"/>
      <c r="TAY2474" s="60"/>
      <c r="TAZ2474" s="60"/>
      <c r="TBA2474" s="63"/>
      <c r="TBB2474" s="61"/>
      <c r="TBC2474" s="54"/>
      <c r="TBD2474" s="54"/>
      <c r="TBE2474" s="60"/>
      <c r="TBF2474" s="60"/>
      <c r="TBG2474" s="60"/>
      <c r="TBH2474" s="60"/>
      <c r="TBI2474" s="63"/>
      <c r="TBJ2474" s="61"/>
      <c r="TBK2474" s="54"/>
      <c r="TBL2474" s="54"/>
      <c r="TBM2474" s="60"/>
      <c r="TBN2474" s="60"/>
      <c r="TBO2474" s="60"/>
      <c r="TBP2474" s="60"/>
      <c r="TBQ2474" s="63"/>
      <c r="TBR2474" s="61"/>
      <c r="TBS2474" s="54"/>
      <c r="TBT2474" s="54"/>
      <c r="TBU2474" s="60"/>
      <c r="TBV2474" s="60"/>
      <c r="TBW2474" s="60"/>
      <c r="TBX2474" s="60"/>
      <c r="TBY2474" s="63"/>
      <c r="TBZ2474" s="61"/>
      <c r="TCA2474" s="54"/>
      <c r="TCB2474" s="54"/>
      <c r="TCC2474" s="60"/>
      <c r="TCD2474" s="60"/>
      <c r="TCE2474" s="60"/>
      <c r="TCF2474" s="60"/>
      <c r="TCG2474" s="63"/>
      <c r="TCH2474" s="61"/>
      <c r="TCI2474" s="54"/>
      <c r="TCJ2474" s="54"/>
      <c r="TCK2474" s="60"/>
      <c r="TCL2474" s="60"/>
      <c r="TCM2474" s="60"/>
      <c r="TCN2474" s="60"/>
      <c r="TCO2474" s="63"/>
      <c r="TCP2474" s="61"/>
      <c r="TCQ2474" s="54"/>
      <c r="TCR2474" s="54"/>
      <c r="TCS2474" s="60"/>
      <c r="TCT2474" s="60"/>
      <c r="TCU2474" s="60"/>
      <c r="TCV2474" s="60"/>
      <c r="TCW2474" s="63"/>
      <c r="TCX2474" s="61"/>
      <c r="TCY2474" s="54"/>
      <c r="TCZ2474" s="54"/>
      <c r="TDA2474" s="60"/>
      <c r="TDB2474" s="60"/>
      <c r="TDC2474" s="60"/>
      <c r="TDD2474" s="60"/>
      <c r="TDE2474" s="63"/>
      <c r="TDF2474" s="61"/>
      <c r="TDG2474" s="54"/>
      <c r="TDH2474" s="54"/>
      <c r="TDI2474" s="60"/>
      <c r="TDJ2474" s="60"/>
      <c r="TDK2474" s="60"/>
      <c r="TDL2474" s="60"/>
      <c r="TDM2474" s="63"/>
      <c r="TDN2474" s="61"/>
      <c r="TDO2474" s="54"/>
      <c r="TDP2474" s="54"/>
      <c r="TDQ2474" s="60"/>
      <c r="TDR2474" s="60"/>
      <c r="TDS2474" s="60"/>
      <c r="TDT2474" s="60"/>
      <c r="TDU2474" s="63"/>
      <c r="TDV2474" s="61"/>
      <c r="TDW2474" s="54"/>
      <c r="TDX2474" s="54"/>
      <c r="TDY2474" s="60"/>
      <c r="TDZ2474" s="60"/>
      <c r="TEA2474" s="60"/>
      <c r="TEB2474" s="60"/>
      <c r="TEC2474" s="63"/>
      <c r="TED2474" s="61"/>
      <c r="TEE2474" s="54"/>
      <c r="TEF2474" s="54"/>
      <c r="TEG2474" s="60"/>
      <c r="TEH2474" s="60"/>
      <c r="TEI2474" s="60"/>
      <c r="TEJ2474" s="60"/>
      <c r="TEK2474" s="63"/>
      <c r="TEL2474" s="61"/>
      <c r="TEM2474" s="54"/>
      <c r="TEN2474" s="54"/>
      <c r="TEO2474" s="60"/>
      <c r="TEP2474" s="60"/>
      <c r="TEQ2474" s="60"/>
      <c r="TER2474" s="60"/>
      <c r="TES2474" s="63"/>
      <c r="TET2474" s="61"/>
      <c r="TEU2474" s="54"/>
      <c r="TEV2474" s="54"/>
      <c r="TEW2474" s="60"/>
      <c r="TEX2474" s="60"/>
      <c r="TEY2474" s="60"/>
      <c r="TEZ2474" s="60"/>
      <c r="TFA2474" s="63"/>
      <c r="TFB2474" s="61"/>
      <c r="TFC2474" s="54"/>
      <c r="TFD2474" s="54"/>
      <c r="TFE2474" s="60"/>
      <c r="TFF2474" s="60"/>
      <c r="TFG2474" s="60"/>
      <c r="TFH2474" s="60"/>
      <c r="TFI2474" s="63"/>
      <c r="TFJ2474" s="61"/>
      <c r="TFK2474" s="54"/>
      <c r="TFL2474" s="54"/>
      <c r="TFM2474" s="60"/>
      <c r="TFN2474" s="60"/>
      <c r="TFO2474" s="60"/>
      <c r="TFP2474" s="60"/>
      <c r="TFQ2474" s="63"/>
      <c r="TFR2474" s="61"/>
      <c r="TFS2474" s="54"/>
      <c r="TFT2474" s="54"/>
      <c r="TFU2474" s="60"/>
      <c r="TFV2474" s="60"/>
      <c r="TFW2474" s="60"/>
      <c r="TFX2474" s="60"/>
      <c r="TFY2474" s="63"/>
      <c r="TFZ2474" s="61"/>
      <c r="TGA2474" s="54"/>
      <c r="TGB2474" s="54"/>
      <c r="TGC2474" s="60"/>
      <c r="TGD2474" s="60"/>
      <c r="TGE2474" s="60"/>
      <c r="TGF2474" s="60"/>
      <c r="TGG2474" s="63"/>
      <c r="TGH2474" s="61"/>
      <c r="TGI2474" s="54"/>
      <c r="TGJ2474" s="54"/>
      <c r="TGK2474" s="60"/>
      <c r="TGL2474" s="60"/>
      <c r="TGM2474" s="60"/>
      <c r="TGN2474" s="60"/>
      <c r="TGO2474" s="63"/>
      <c r="TGP2474" s="61"/>
      <c r="TGQ2474" s="54"/>
      <c r="TGR2474" s="54"/>
      <c r="TGS2474" s="60"/>
      <c r="TGT2474" s="60"/>
      <c r="TGU2474" s="60"/>
      <c r="TGV2474" s="60"/>
      <c r="TGW2474" s="63"/>
      <c r="TGX2474" s="61"/>
      <c r="TGY2474" s="54"/>
      <c r="TGZ2474" s="54"/>
      <c r="THA2474" s="60"/>
      <c r="THB2474" s="60"/>
      <c r="THC2474" s="60"/>
      <c r="THD2474" s="60"/>
      <c r="THE2474" s="63"/>
      <c r="THF2474" s="61"/>
      <c r="THG2474" s="54"/>
      <c r="THH2474" s="54"/>
      <c r="THI2474" s="60"/>
      <c r="THJ2474" s="60"/>
      <c r="THK2474" s="60"/>
      <c r="THL2474" s="60"/>
      <c r="THM2474" s="63"/>
      <c r="THN2474" s="61"/>
      <c r="THO2474" s="54"/>
      <c r="THP2474" s="54"/>
      <c r="THQ2474" s="60"/>
      <c r="THR2474" s="60"/>
      <c r="THS2474" s="60"/>
      <c r="THT2474" s="60"/>
      <c r="THU2474" s="63"/>
      <c r="THV2474" s="61"/>
      <c r="THW2474" s="54"/>
      <c r="THX2474" s="54"/>
      <c r="THY2474" s="60"/>
      <c r="THZ2474" s="60"/>
      <c r="TIA2474" s="60"/>
      <c r="TIB2474" s="60"/>
      <c r="TIC2474" s="63"/>
      <c r="TID2474" s="61"/>
      <c r="TIE2474" s="54"/>
      <c r="TIF2474" s="54"/>
      <c r="TIG2474" s="60"/>
      <c r="TIH2474" s="60"/>
      <c r="TII2474" s="60"/>
      <c r="TIJ2474" s="60"/>
      <c r="TIK2474" s="63"/>
      <c r="TIL2474" s="61"/>
      <c r="TIM2474" s="54"/>
      <c r="TIN2474" s="54"/>
      <c r="TIO2474" s="60"/>
      <c r="TIP2474" s="60"/>
      <c r="TIQ2474" s="60"/>
      <c r="TIR2474" s="60"/>
      <c r="TIS2474" s="63"/>
      <c r="TIT2474" s="61"/>
      <c r="TIU2474" s="54"/>
      <c r="TIV2474" s="54"/>
      <c r="TIW2474" s="60"/>
      <c r="TIX2474" s="60"/>
      <c r="TIY2474" s="60"/>
      <c r="TIZ2474" s="60"/>
      <c r="TJA2474" s="63"/>
      <c r="TJB2474" s="61"/>
      <c r="TJC2474" s="54"/>
      <c r="TJD2474" s="54"/>
      <c r="TJE2474" s="60"/>
      <c r="TJF2474" s="60"/>
      <c r="TJG2474" s="60"/>
      <c r="TJH2474" s="60"/>
      <c r="TJI2474" s="63"/>
      <c r="TJJ2474" s="61"/>
      <c r="TJK2474" s="54"/>
      <c r="TJL2474" s="54"/>
      <c r="TJM2474" s="60"/>
      <c r="TJN2474" s="60"/>
      <c r="TJO2474" s="60"/>
      <c r="TJP2474" s="60"/>
      <c r="TJQ2474" s="63"/>
      <c r="TJR2474" s="61"/>
      <c r="TJS2474" s="54"/>
      <c r="TJT2474" s="54"/>
      <c r="TJU2474" s="60"/>
      <c r="TJV2474" s="60"/>
      <c r="TJW2474" s="60"/>
      <c r="TJX2474" s="60"/>
      <c r="TJY2474" s="63"/>
      <c r="TJZ2474" s="61"/>
      <c r="TKA2474" s="54"/>
      <c r="TKB2474" s="54"/>
      <c r="TKC2474" s="60"/>
      <c r="TKD2474" s="60"/>
      <c r="TKE2474" s="60"/>
      <c r="TKF2474" s="60"/>
      <c r="TKG2474" s="63"/>
      <c r="TKH2474" s="61"/>
      <c r="TKI2474" s="54"/>
      <c r="TKJ2474" s="54"/>
      <c r="TKK2474" s="60"/>
      <c r="TKL2474" s="60"/>
      <c r="TKM2474" s="60"/>
      <c r="TKN2474" s="60"/>
      <c r="TKO2474" s="63"/>
      <c r="TKP2474" s="61"/>
      <c r="TKQ2474" s="54"/>
      <c r="TKR2474" s="54"/>
      <c r="TKS2474" s="60"/>
      <c r="TKT2474" s="60"/>
      <c r="TKU2474" s="60"/>
      <c r="TKV2474" s="60"/>
      <c r="TKW2474" s="63"/>
      <c r="TKX2474" s="61"/>
      <c r="TKY2474" s="54"/>
      <c r="TKZ2474" s="54"/>
      <c r="TLA2474" s="60"/>
      <c r="TLB2474" s="60"/>
      <c r="TLC2474" s="60"/>
      <c r="TLD2474" s="60"/>
      <c r="TLE2474" s="63"/>
      <c r="TLF2474" s="61"/>
      <c r="TLG2474" s="54"/>
      <c r="TLH2474" s="54"/>
      <c r="TLI2474" s="60"/>
      <c r="TLJ2474" s="60"/>
      <c r="TLK2474" s="60"/>
      <c r="TLL2474" s="60"/>
      <c r="TLM2474" s="63"/>
      <c r="TLN2474" s="61"/>
      <c r="TLO2474" s="54"/>
      <c r="TLP2474" s="54"/>
      <c r="TLQ2474" s="60"/>
      <c r="TLR2474" s="60"/>
      <c r="TLS2474" s="60"/>
      <c r="TLT2474" s="60"/>
      <c r="TLU2474" s="63"/>
      <c r="TLV2474" s="61"/>
      <c r="TLW2474" s="54"/>
      <c r="TLX2474" s="54"/>
      <c r="TLY2474" s="60"/>
      <c r="TLZ2474" s="60"/>
      <c r="TMA2474" s="60"/>
      <c r="TMB2474" s="60"/>
      <c r="TMC2474" s="63"/>
      <c r="TMD2474" s="61"/>
      <c r="TME2474" s="54"/>
      <c r="TMF2474" s="54"/>
      <c r="TMG2474" s="60"/>
      <c r="TMH2474" s="60"/>
      <c r="TMI2474" s="60"/>
      <c r="TMJ2474" s="60"/>
      <c r="TMK2474" s="63"/>
      <c r="TML2474" s="61"/>
      <c r="TMM2474" s="54"/>
      <c r="TMN2474" s="54"/>
      <c r="TMO2474" s="60"/>
      <c r="TMP2474" s="60"/>
      <c r="TMQ2474" s="60"/>
      <c r="TMR2474" s="60"/>
      <c r="TMS2474" s="63"/>
      <c r="TMT2474" s="61"/>
      <c r="TMU2474" s="54"/>
      <c r="TMV2474" s="54"/>
      <c r="TMW2474" s="60"/>
      <c r="TMX2474" s="60"/>
      <c r="TMY2474" s="60"/>
      <c r="TMZ2474" s="60"/>
      <c r="TNA2474" s="63"/>
      <c r="TNB2474" s="61"/>
      <c r="TNC2474" s="54"/>
      <c r="TND2474" s="54"/>
      <c r="TNE2474" s="60"/>
      <c r="TNF2474" s="60"/>
      <c r="TNG2474" s="60"/>
      <c r="TNH2474" s="60"/>
      <c r="TNI2474" s="63"/>
      <c r="TNJ2474" s="61"/>
      <c r="TNK2474" s="54"/>
      <c r="TNL2474" s="54"/>
      <c r="TNM2474" s="60"/>
      <c r="TNN2474" s="60"/>
      <c r="TNO2474" s="60"/>
      <c r="TNP2474" s="60"/>
      <c r="TNQ2474" s="63"/>
      <c r="TNR2474" s="61"/>
      <c r="TNS2474" s="54"/>
      <c r="TNT2474" s="54"/>
      <c r="TNU2474" s="60"/>
      <c r="TNV2474" s="60"/>
      <c r="TNW2474" s="60"/>
      <c r="TNX2474" s="60"/>
      <c r="TNY2474" s="63"/>
      <c r="TNZ2474" s="61"/>
      <c r="TOA2474" s="54"/>
      <c r="TOB2474" s="54"/>
      <c r="TOC2474" s="60"/>
      <c r="TOD2474" s="60"/>
      <c r="TOE2474" s="60"/>
      <c r="TOF2474" s="60"/>
      <c r="TOG2474" s="63"/>
      <c r="TOH2474" s="61"/>
      <c r="TOI2474" s="54"/>
      <c r="TOJ2474" s="54"/>
      <c r="TOK2474" s="60"/>
      <c r="TOL2474" s="60"/>
      <c r="TOM2474" s="60"/>
      <c r="TON2474" s="60"/>
      <c r="TOO2474" s="63"/>
      <c r="TOP2474" s="61"/>
      <c r="TOQ2474" s="54"/>
      <c r="TOR2474" s="54"/>
      <c r="TOS2474" s="60"/>
      <c r="TOT2474" s="60"/>
      <c r="TOU2474" s="60"/>
      <c r="TOV2474" s="60"/>
      <c r="TOW2474" s="63"/>
      <c r="TOX2474" s="61"/>
      <c r="TOY2474" s="54"/>
      <c r="TOZ2474" s="54"/>
      <c r="TPA2474" s="60"/>
      <c r="TPB2474" s="60"/>
      <c r="TPC2474" s="60"/>
      <c r="TPD2474" s="60"/>
      <c r="TPE2474" s="63"/>
      <c r="TPF2474" s="61"/>
      <c r="TPG2474" s="54"/>
      <c r="TPH2474" s="54"/>
      <c r="TPI2474" s="60"/>
      <c r="TPJ2474" s="60"/>
      <c r="TPK2474" s="60"/>
      <c r="TPL2474" s="60"/>
      <c r="TPM2474" s="63"/>
      <c r="TPN2474" s="61"/>
      <c r="TPO2474" s="54"/>
      <c r="TPP2474" s="54"/>
      <c r="TPQ2474" s="60"/>
      <c r="TPR2474" s="60"/>
      <c r="TPS2474" s="60"/>
      <c r="TPT2474" s="60"/>
      <c r="TPU2474" s="63"/>
      <c r="TPV2474" s="61"/>
      <c r="TPW2474" s="54"/>
      <c r="TPX2474" s="54"/>
      <c r="TPY2474" s="60"/>
      <c r="TPZ2474" s="60"/>
      <c r="TQA2474" s="60"/>
      <c r="TQB2474" s="60"/>
      <c r="TQC2474" s="63"/>
      <c r="TQD2474" s="61"/>
      <c r="TQE2474" s="54"/>
      <c r="TQF2474" s="54"/>
      <c r="TQG2474" s="60"/>
      <c r="TQH2474" s="60"/>
      <c r="TQI2474" s="60"/>
      <c r="TQJ2474" s="60"/>
      <c r="TQK2474" s="63"/>
      <c r="TQL2474" s="61"/>
      <c r="TQM2474" s="54"/>
      <c r="TQN2474" s="54"/>
      <c r="TQO2474" s="60"/>
      <c r="TQP2474" s="60"/>
      <c r="TQQ2474" s="60"/>
      <c r="TQR2474" s="60"/>
      <c r="TQS2474" s="63"/>
      <c r="TQT2474" s="61"/>
      <c r="TQU2474" s="54"/>
      <c r="TQV2474" s="54"/>
      <c r="TQW2474" s="60"/>
      <c r="TQX2474" s="60"/>
      <c r="TQY2474" s="60"/>
      <c r="TQZ2474" s="60"/>
      <c r="TRA2474" s="63"/>
      <c r="TRB2474" s="61"/>
      <c r="TRC2474" s="54"/>
      <c r="TRD2474" s="54"/>
      <c r="TRE2474" s="60"/>
      <c r="TRF2474" s="60"/>
      <c r="TRG2474" s="60"/>
      <c r="TRH2474" s="60"/>
      <c r="TRI2474" s="63"/>
      <c r="TRJ2474" s="61"/>
      <c r="TRK2474" s="54"/>
      <c r="TRL2474" s="54"/>
      <c r="TRM2474" s="60"/>
      <c r="TRN2474" s="60"/>
      <c r="TRO2474" s="60"/>
      <c r="TRP2474" s="60"/>
      <c r="TRQ2474" s="63"/>
      <c r="TRR2474" s="61"/>
      <c r="TRS2474" s="54"/>
      <c r="TRT2474" s="54"/>
      <c r="TRU2474" s="60"/>
      <c r="TRV2474" s="60"/>
      <c r="TRW2474" s="60"/>
      <c r="TRX2474" s="60"/>
      <c r="TRY2474" s="63"/>
      <c r="TRZ2474" s="61"/>
      <c r="TSA2474" s="54"/>
      <c r="TSB2474" s="54"/>
      <c r="TSC2474" s="60"/>
      <c r="TSD2474" s="60"/>
      <c r="TSE2474" s="60"/>
      <c r="TSF2474" s="60"/>
      <c r="TSG2474" s="63"/>
      <c r="TSH2474" s="61"/>
      <c r="TSI2474" s="54"/>
      <c r="TSJ2474" s="54"/>
      <c r="TSK2474" s="60"/>
      <c r="TSL2474" s="60"/>
      <c r="TSM2474" s="60"/>
      <c r="TSN2474" s="60"/>
      <c r="TSO2474" s="63"/>
      <c r="TSP2474" s="61"/>
      <c r="TSQ2474" s="54"/>
      <c r="TSR2474" s="54"/>
      <c r="TSS2474" s="60"/>
      <c r="TST2474" s="60"/>
      <c r="TSU2474" s="60"/>
      <c r="TSV2474" s="60"/>
      <c r="TSW2474" s="63"/>
      <c r="TSX2474" s="61"/>
      <c r="TSY2474" s="54"/>
      <c r="TSZ2474" s="54"/>
      <c r="TTA2474" s="60"/>
      <c r="TTB2474" s="60"/>
      <c r="TTC2474" s="60"/>
      <c r="TTD2474" s="60"/>
      <c r="TTE2474" s="63"/>
      <c r="TTF2474" s="61"/>
      <c r="TTG2474" s="54"/>
      <c r="TTH2474" s="54"/>
      <c r="TTI2474" s="60"/>
      <c r="TTJ2474" s="60"/>
      <c r="TTK2474" s="60"/>
      <c r="TTL2474" s="60"/>
      <c r="TTM2474" s="63"/>
      <c r="TTN2474" s="61"/>
      <c r="TTO2474" s="54"/>
      <c r="TTP2474" s="54"/>
      <c r="TTQ2474" s="60"/>
      <c r="TTR2474" s="60"/>
      <c r="TTS2474" s="60"/>
      <c r="TTT2474" s="60"/>
      <c r="TTU2474" s="63"/>
      <c r="TTV2474" s="61"/>
      <c r="TTW2474" s="54"/>
      <c r="TTX2474" s="54"/>
      <c r="TTY2474" s="60"/>
      <c r="TTZ2474" s="60"/>
      <c r="TUA2474" s="60"/>
      <c r="TUB2474" s="60"/>
      <c r="TUC2474" s="63"/>
      <c r="TUD2474" s="61"/>
      <c r="TUE2474" s="54"/>
      <c r="TUF2474" s="54"/>
      <c r="TUG2474" s="60"/>
      <c r="TUH2474" s="60"/>
      <c r="TUI2474" s="60"/>
      <c r="TUJ2474" s="60"/>
      <c r="TUK2474" s="63"/>
      <c r="TUL2474" s="61"/>
      <c r="TUM2474" s="54"/>
      <c r="TUN2474" s="54"/>
      <c r="TUO2474" s="60"/>
      <c r="TUP2474" s="60"/>
      <c r="TUQ2474" s="60"/>
      <c r="TUR2474" s="60"/>
      <c r="TUS2474" s="63"/>
      <c r="TUT2474" s="61"/>
      <c r="TUU2474" s="54"/>
      <c r="TUV2474" s="54"/>
      <c r="TUW2474" s="60"/>
      <c r="TUX2474" s="60"/>
      <c r="TUY2474" s="60"/>
      <c r="TUZ2474" s="60"/>
      <c r="TVA2474" s="63"/>
      <c r="TVB2474" s="61"/>
      <c r="TVC2474" s="54"/>
      <c r="TVD2474" s="54"/>
      <c r="TVE2474" s="60"/>
      <c r="TVF2474" s="60"/>
      <c r="TVG2474" s="60"/>
      <c r="TVH2474" s="60"/>
      <c r="TVI2474" s="63"/>
      <c r="TVJ2474" s="61"/>
      <c r="TVK2474" s="54"/>
      <c r="TVL2474" s="54"/>
      <c r="TVM2474" s="60"/>
      <c r="TVN2474" s="60"/>
      <c r="TVO2474" s="60"/>
      <c r="TVP2474" s="60"/>
      <c r="TVQ2474" s="63"/>
      <c r="TVR2474" s="61"/>
      <c r="TVS2474" s="54"/>
      <c r="TVT2474" s="54"/>
      <c r="TVU2474" s="60"/>
      <c r="TVV2474" s="60"/>
      <c r="TVW2474" s="60"/>
      <c r="TVX2474" s="60"/>
      <c r="TVY2474" s="63"/>
      <c r="TVZ2474" s="61"/>
      <c r="TWA2474" s="54"/>
      <c r="TWB2474" s="54"/>
      <c r="TWC2474" s="60"/>
      <c r="TWD2474" s="60"/>
      <c r="TWE2474" s="60"/>
      <c r="TWF2474" s="60"/>
      <c r="TWG2474" s="63"/>
      <c r="TWH2474" s="61"/>
      <c r="TWI2474" s="54"/>
      <c r="TWJ2474" s="54"/>
      <c r="TWK2474" s="60"/>
      <c r="TWL2474" s="60"/>
      <c r="TWM2474" s="60"/>
      <c r="TWN2474" s="60"/>
      <c r="TWO2474" s="63"/>
      <c r="TWP2474" s="61"/>
      <c r="TWQ2474" s="54"/>
      <c r="TWR2474" s="54"/>
      <c r="TWS2474" s="60"/>
      <c r="TWT2474" s="60"/>
      <c r="TWU2474" s="60"/>
      <c r="TWV2474" s="60"/>
      <c r="TWW2474" s="63"/>
      <c r="TWX2474" s="61"/>
      <c r="TWY2474" s="54"/>
      <c r="TWZ2474" s="54"/>
      <c r="TXA2474" s="60"/>
      <c r="TXB2474" s="60"/>
      <c r="TXC2474" s="60"/>
      <c r="TXD2474" s="60"/>
      <c r="TXE2474" s="63"/>
      <c r="TXF2474" s="61"/>
      <c r="TXG2474" s="54"/>
      <c r="TXH2474" s="54"/>
      <c r="TXI2474" s="60"/>
      <c r="TXJ2474" s="60"/>
      <c r="TXK2474" s="60"/>
      <c r="TXL2474" s="60"/>
      <c r="TXM2474" s="63"/>
      <c r="TXN2474" s="61"/>
      <c r="TXO2474" s="54"/>
      <c r="TXP2474" s="54"/>
      <c r="TXQ2474" s="60"/>
      <c r="TXR2474" s="60"/>
      <c r="TXS2474" s="60"/>
      <c r="TXT2474" s="60"/>
      <c r="TXU2474" s="63"/>
      <c r="TXV2474" s="61"/>
      <c r="TXW2474" s="54"/>
      <c r="TXX2474" s="54"/>
      <c r="TXY2474" s="60"/>
      <c r="TXZ2474" s="60"/>
      <c r="TYA2474" s="60"/>
      <c r="TYB2474" s="60"/>
      <c r="TYC2474" s="63"/>
      <c r="TYD2474" s="61"/>
      <c r="TYE2474" s="54"/>
      <c r="TYF2474" s="54"/>
      <c r="TYG2474" s="60"/>
      <c r="TYH2474" s="60"/>
      <c r="TYI2474" s="60"/>
      <c r="TYJ2474" s="60"/>
      <c r="TYK2474" s="63"/>
      <c r="TYL2474" s="61"/>
      <c r="TYM2474" s="54"/>
      <c r="TYN2474" s="54"/>
      <c r="TYO2474" s="60"/>
      <c r="TYP2474" s="60"/>
      <c r="TYQ2474" s="60"/>
      <c r="TYR2474" s="60"/>
      <c r="TYS2474" s="63"/>
      <c r="TYT2474" s="61"/>
      <c r="TYU2474" s="54"/>
      <c r="TYV2474" s="54"/>
      <c r="TYW2474" s="60"/>
      <c r="TYX2474" s="60"/>
      <c r="TYY2474" s="60"/>
      <c r="TYZ2474" s="60"/>
      <c r="TZA2474" s="63"/>
      <c r="TZB2474" s="61"/>
      <c r="TZC2474" s="54"/>
      <c r="TZD2474" s="54"/>
      <c r="TZE2474" s="60"/>
      <c r="TZF2474" s="60"/>
      <c r="TZG2474" s="60"/>
      <c r="TZH2474" s="60"/>
      <c r="TZI2474" s="63"/>
      <c r="TZJ2474" s="61"/>
      <c r="TZK2474" s="54"/>
      <c r="TZL2474" s="54"/>
      <c r="TZM2474" s="60"/>
      <c r="TZN2474" s="60"/>
      <c r="TZO2474" s="60"/>
      <c r="TZP2474" s="60"/>
      <c r="TZQ2474" s="63"/>
      <c r="TZR2474" s="61"/>
      <c r="TZS2474" s="54"/>
      <c r="TZT2474" s="54"/>
      <c r="TZU2474" s="60"/>
      <c r="TZV2474" s="60"/>
      <c r="TZW2474" s="60"/>
      <c r="TZX2474" s="60"/>
      <c r="TZY2474" s="63"/>
      <c r="TZZ2474" s="61"/>
      <c r="UAA2474" s="54"/>
      <c r="UAB2474" s="54"/>
      <c r="UAC2474" s="60"/>
      <c r="UAD2474" s="60"/>
      <c r="UAE2474" s="60"/>
      <c r="UAF2474" s="60"/>
      <c r="UAG2474" s="63"/>
      <c r="UAH2474" s="61"/>
      <c r="UAI2474" s="54"/>
      <c r="UAJ2474" s="54"/>
      <c r="UAK2474" s="60"/>
      <c r="UAL2474" s="60"/>
      <c r="UAM2474" s="60"/>
      <c r="UAN2474" s="60"/>
      <c r="UAO2474" s="63"/>
      <c r="UAP2474" s="61"/>
      <c r="UAQ2474" s="54"/>
      <c r="UAR2474" s="54"/>
      <c r="UAS2474" s="60"/>
      <c r="UAT2474" s="60"/>
      <c r="UAU2474" s="60"/>
      <c r="UAV2474" s="60"/>
      <c r="UAW2474" s="63"/>
      <c r="UAX2474" s="61"/>
      <c r="UAY2474" s="54"/>
      <c r="UAZ2474" s="54"/>
      <c r="UBA2474" s="60"/>
      <c r="UBB2474" s="60"/>
      <c r="UBC2474" s="60"/>
      <c r="UBD2474" s="60"/>
      <c r="UBE2474" s="63"/>
      <c r="UBF2474" s="61"/>
      <c r="UBG2474" s="54"/>
      <c r="UBH2474" s="54"/>
      <c r="UBI2474" s="60"/>
      <c r="UBJ2474" s="60"/>
      <c r="UBK2474" s="60"/>
      <c r="UBL2474" s="60"/>
      <c r="UBM2474" s="63"/>
      <c r="UBN2474" s="61"/>
      <c r="UBO2474" s="54"/>
      <c r="UBP2474" s="54"/>
      <c r="UBQ2474" s="60"/>
      <c r="UBR2474" s="60"/>
      <c r="UBS2474" s="60"/>
      <c r="UBT2474" s="60"/>
      <c r="UBU2474" s="63"/>
      <c r="UBV2474" s="61"/>
      <c r="UBW2474" s="54"/>
      <c r="UBX2474" s="54"/>
      <c r="UBY2474" s="60"/>
      <c r="UBZ2474" s="60"/>
      <c r="UCA2474" s="60"/>
      <c r="UCB2474" s="60"/>
      <c r="UCC2474" s="63"/>
      <c r="UCD2474" s="61"/>
      <c r="UCE2474" s="54"/>
      <c r="UCF2474" s="54"/>
      <c r="UCG2474" s="60"/>
      <c r="UCH2474" s="60"/>
      <c r="UCI2474" s="60"/>
      <c r="UCJ2474" s="60"/>
      <c r="UCK2474" s="63"/>
      <c r="UCL2474" s="61"/>
      <c r="UCM2474" s="54"/>
      <c r="UCN2474" s="54"/>
      <c r="UCO2474" s="60"/>
      <c r="UCP2474" s="60"/>
      <c r="UCQ2474" s="60"/>
      <c r="UCR2474" s="60"/>
      <c r="UCS2474" s="63"/>
      <c r="UCT2474" s="61"/>
      <c r="UCU2474" s="54"/>
      <c r="UCV2474" s="54"/>
      <c r="UCW2474" s="60"/>
      <c r="UCX2474" s="60"/>
      <c r="UCY2474" s="60"/>
      <c r="UCZ2474" s="60"/>
      <c r="UDA2474" s="63"/>
      <c r="UDB2474" s="61"/>
      <c r="UDC2474" s="54"/>
      <c r="UDD2474" s="54"/>
      <c r="UDE2474" s="60"/>
      <c r="UDF2474" s="60"/>
      <c r="UDG2474" s="60"/>
      <c r="UDH2474" s="60"/>
      <c r="UDI2474" s="63"/>
      <c r="UDJ2474" s="61"/>
      <c r="UDK2474" s="54"/>
      <c r="UDL2474" s="54"/>
      <c r="UDM2474" s="60"/>
      <c r="UDN2474" s="60"/>
      <c r="UDO2474" s="60"/>
      <c r="UDP2474" s="60"/>
      <c r="UDQ2474" s="63"/>
      <c r="UDR2474" s="61"/>
      <c r="UDS2474" s="54"/>
      <c r="UDT2474" s="54"/>
      <c r="UDU2474" s="60"/>
      <c r="UDV2474" s="60"/>
      <c r="UDW2474" s="60"/>
      <c r="UDX2474" s="60"/>
      <c r="UDY2474" s="63"/>
      <c r="UDZ2474" s="61"/>
      <c r="UEA2474" s="54"/>
      <c r="UEB2474" s="54"/>
      <c r="UEC2474" s="60"/>
      <c r="UED2474" s="60"/>
      <c r="UEE2474" s="60"/>
      <c r="UEF2474" s="60"/>
      <c r="UEG2474" s="63"/>
      <c r="UEH2474" s="61"/>
      <c r="UEI2474" s="54"/>
      <c r="UEJ2474" s="54"/>
      <c r="UEK2474" s="60"/>
      <c r="UEL2474" s="60"/>
      <c r="UEM2474" s="60"/>
      <c r="UEN2474" s="60"/>
      <c r="UEO2474" s="63"/>
      <c r="UEP2474" s="61"/>
      <c r="UEQ2474" s="54"/>
      <c r="UER2474" s="54"/>
      <c r="UES2474" s="60"/>
      <c r="UET2474" s="60"/>
      <c r="UEU2474" s="60"/>
      <c r="UEV2474" s="60"/>
      <c r="UEW2474" s="63"/>
      <c r="UEX2474" s="61"/>
      <c r="UEY2474" s="54"/>
      <c r="UEZ2474" s="54"/>
      <c r="UFA2474" s="60"/>
      <c r="UFB2474" s="60"/>
      <c r="UFC2474" s="60"/>
      <c r="UFD2474" s="60"/>
      <c r="UFE2474" s="63"/>
      <c r="UFF2474" s="61"/>
      <c r="UFG2474" s="54"/>
      <c r="UFH2474" s="54"/>
      <c r="UFI2474" s="60"/>
      <c r="UFJ2474" s="60"/>
      <c r="UFK2474" s="60"/>
      <c r="UFL2474" s="60"/>
      <c r="UFM2474" s="63"/>
      <c r="UFN2474" s="61"/>
      <c r="UFO2474" s="54"/>
      <c r="UFP2474" s="54"/>
      <c r="UFQ2474" s="60"/>
      <c r="UFR2474" s="60"/>
      <c r="UFS2474" s="60"/>
      <c r="UFT2474" s="60"/>
      <c r="UFU2474" s="63"/>
      <c r="UFV2474" s="61"/>
      <c r="UFW2474" s="54"/>
      <c r="UFX2474" s="54"/>
      <c r="UFY2474" s="60"/>
      <c r="UFZ2474" s="60"/>
      <c r="UGA2474" s="60"/>
      <c r="UGB2474" s="60"/>
      <c r="UGC2474" s="63"/>
      <c r="UGD2474" s="61"/>
      <c r="UGE2474" s="54"/>
      <c r="UGF2474" s="54"/>
      <c r="UGG2474" s="60"/>
      <c r="UGH2474" s="60"/>
      <c r="UGI2474" s="60"/>
      <c r="UGJ2474" s="60"/>
      <c r="UGK2474" s="63"/>
      <c r="UGL2474" s="61"/>
      <c r="UGM2474" s="54"/>
      <c r="UGN2474" s="54"/>
      <c r="UGO2474" s="60"/>
      <c r="UGP2474" s="60"/>
      <c r="UGQ2474" s="60"/>
      <c r="UGR2474" s="60"/>
      <c r="UGS2474" s="63"/>
      <c r="UGT2474" s="61"/>
      <c r="UGU2474" s="54"/>
      <c r="UGV2474" s="54"/>
      <c r="UGW2474" s="60"/>
      <c r="UGX2474" s="60"/>
      <c r="UGY2474" s="60"/>
      <c r="UGZ2474" s="60"/>
      <c r="UHA2474" s="63"/>
      <c r="UHB2474" s="61"/>
      <c r="UHC2474" s="54"/>
      <c r="UHD2474" s="54"/>
      <c r="UHE2474" s="60"/>
      <c r="UHF2474" s="60"/>
      <c r="UHG2474" s="60"/>
      <c r="UHH2474" s="60"/>
      <c r="UHI2474" s="63"/>
      <c r="UHJ2474" s="61"/>
      <c r="UHK2474" s="54"/>
      <c r="UHL2474" s="54"/>
      <c r="UHM2474" s="60"/>
      <c r="UHN2474" s="60"/>
      <c r="UHO2474" s="60"/>
      <c r="UHP2474" s="60"/>
      <c r="UHQ2474" s="63"/>
      <c r="UHR2474" s="61"/>
      <c r="UHS2474" s="54"/>
      <c r="UHT2474" s="54"/>
      <c r="UHU2474" s="60"/>
      <c r="UHV2474" s="60"/>
      <c r="UHW2474" s="60"/>
      <c r="UHX2474" s="60"/>
      <c r="UHY2474" s="63"/>
      <c r="UHZ2474" s="61"/>
      <c r="UIA2474" s="54"/>
      <c r="UIB2474" s="54"/>
      <c r="UIC2474" s="60"/>
      <c r="UID2474" s="60"/>
      <c r="UIE2474" s="60"/>
      <c r="UIF2474" s="60"/>
      <c r="UIG2474" s="63"/>
      <c r="UIH2474" s="61"/>
      <c r="UII2474" s="54"/>
      <c r="UIJ2474" s="54"/>
      <c r="UIK2474" s="60"/>
      <c r="UIL2474" s="60"/>
      <c r="UIM2474" s="60"/>
      <c r="UIN2474" s="60"/>
      <c r="UIO2474" s="63"/>
      <c r="UIP2474" s="61"/>
      <c r="UIQ2474" s="54"/>
      <c r="UIR2474" s="54"/>
      <c r="UIS2474" s="60"/>
      <c r="UIT2474" s="60"/>
      <c r="UIU2474" s="60"/>
      <c r="UIV2474" s="60"/>
      <c r="UIW2474" s="63"/>
      <c r="UIX2474" s="61"/>
      <c r="UIY2474" s="54"/>
      <c r="UIZ2474" s="54"/>
      <c r="UJA2474" s="60"/>
      <c r="UJB2474" s="60"/>
      <c r="UJC2474" s="60"/>
      <c r="UJD2474" s="60"/>
      <c r="UJE2474" s="63"/>
      <c r="UJF2474" s="61"/>
      <c r="UJG2474" s="54"/>
      <c r="UJH2474" s="54"/>
      <c r="UJI2474" s="60"/>
      <c r="UJJ2474" s="60"/>
      <c r="UJK2474" s="60"/>
      <c r="UJL2474" s="60"/>
      <c r="UJM2474" s="63"/>
      <c r="UJN2474" s="61"/>
      <c r="UJO2474" s="54"/>
      <c r="UJP2474" s="54"/>
      <c r="UJQ2474" s="60"/>
      <c r="UJR2474" s="60"/>
      <c r="UJS2474" s="60"/>
      <c r="UJT2474" s="60"/>
      <c r="UJU2474" s="63"/>
      <c r="UJV2474" s="61"/>
      <c r="UJW2474" s="54"/>
      <c r="UJX2474" s="54"/>
      <c r="UJY2474" s="60"/>
      <c r="UJZ2474" s="60"/>
      <c r="UKA2474" s="60"/>
      <c r="UKB2474" s="60"/>
      <c r="UKC2474" s="63"/>
      <c r="UKD2474" s="61"/>
      <c r="UKE2474" s="54"/>
      <c r="UKF2474" s="54"/>
      <c r="UKG2474" s="60"/>
      <c r="UKH2474" s="60"/>
      <c r="UKI2474" s="60"/>
      <c r="UKJ2474" s="60"/>
      <c r="UKK2474" s="63"/>
      <c r="UKL2474" s="61"/>
      <c r="UKM2474" s="54"/>
      <c r="UKN2474" s="54"/>
      <c r="UKO2474" s="60"/>
      <c r="UKP2474" s="60"/>
      <c r="UKQ2474" s="60"/>
      <c r="UKR2474" s="60"/>
      <c r="UKS2474" s="63"/>
      <c r="UKT2474" s="61"/>
      <c r="UKU2474" s="54"/>
      <c r="UKV2474" s="54"/>
      <c r="UKW2474" s="60"/>
      <c r="UKX2474" s="60"/>
      <c r="UKY2474" s="60"/>
      <c r="UKZ2474" s="60"/>
      <c r="ULA2474" s="63"/>
      <c r="ULB2474" s="61"/>
      <c r="ULC2474" s="54"/>
      <c r="ULD2474" s="54"/>
      <c r="ULE2474" s="60"/>
      <c r="ULF2474" s="60"/>
      <c r="ULG2474" s="60"/>
      <c r="ULH2474" s="60"/>
      <c r="ULI2474" s="63"/>
      <c r="ULJ2474" s="61"/>
      <c r="ULK2474" s="54"/>
      <c r="ULL2474" s="54"/>
      <c r="ULM2474" s="60"/>
      <c r="ULN2474" s="60"/>
      <c r="ULO2474" s="60"/>
      <c r="ULP2474" s="60"/>
      <c r="ULQ2474" s="63"/>
      <c r="ULR2474" s="61"/>
      <c r="ULS2474" s="54"/>
      <c r="ULT2474" s="54"/>
      <c r="ULU2474" s="60"/>
      <c r="ULV2474" s="60"/>
      <c r="ULW2474" s="60"/>
      <c r="ULX2474" s="60"/>
      <c r="ULY2474" s="63"/>
      <c r="ULZ2474" s="61"/>
      <c r="UMA2474" s="54"/>
      <c r="UMB2474" s="54"/>
      <c r="UMC2474" s="60"/>
      <c r="UMD2474" s="60"/>
      <c r="UME2474" s="60"/>
      <c r="UMF2474" s="60"/>
      <c r="UMG2474" s="63"/>
      <c r="UMH2474" s="61"/>
      <c r="UMI2474" s="54"/>
      <c r="UMJ2474" s="54"/>
      <c r="UMK2474" s="60"/>
      <c r="UML2474" s="60"/>
      <c r="UMM2474" s="60"/>
      <c r="UMN2474" s="60"/>
      <c r="UMO2474" s="63"/>
      <c r="UMP2474" s="61"/>
      <c r="UMQ2474" s="54"/>
      <c r="UMR2474" s="54"/>
      <c r="UMS2474" s="60"/>
      <c r="UMT2474" s="60"/>
      <c r="UMU2474" s="60"/>
      <c r="UMV2474" s="60"/>
      <c r="UMW2474" s="63"/>
      <c r="UMX2474" s="61"/>
      <c r="UMY2474" s="54"/>
      <c r="UMZ2474" s="54"/>
      <c r="UNA2474" s="60"/>
      <c r="UNB2474" s="60"/>
      <c r="UNC2474" s="60"/>
      <c r="UND2474" s="60"/>
      <c r="UNE2474" s="63"/>
      <c r="UNF2474" s="61"/>
      <c r="UNG2474" s="54"/>
      <c r="UNH2474" s="54"/>
      <c r="UNI2474" s="60"/>
      <c r="UNJ2474" s="60"/>
      <c r="UNK2474" s="60"/>
      <c r="UNL2474" s="60"/>
      <c r="UNM2474" s="63"/>
      <c r="UNN2474" s="61"/>
      <c r="UNO2474" s="54"/>
      <c r="UNP2474" s="54"/>
      <c r="UNQ2474" s="60"/>
      <c r="UNR2474" s="60"/>
      <c r="UNS2474" s="60"/>
      <c r="UNT2474" s="60"/>
      <c r="UNU2474" s="63"/>
      <c r="UNV2474" s="61"/>
      <c r="UNW2474" s="54"/>
      <c r="UNX2474" s="54"/>
      <c r="UNY2474" s="60"/>
      <c r="UNZ2474" s="60"/>
      <c r="UOA2474" s="60"/>
      <c r="UOB2474" s="60"/>
      <c r="UOC2474" s="63"/>
      <c r="UOD2474" s="61"/>
      <c r="UOE2474" s="54"/>
      <c r="UOF2474" s="54"/>
      <c r="UOG2474" s="60"/>
      <c r="UOH2474" s="60"/>
      <c r="UOI2474" s="60"/>
      <c r="UOJ2474" s="60"/>
      <c r="UOK2474" s="63"/>
      <c r="UOL2474" s="61"/>
      <c r="UOM2474" s="54"/>
      <c r="UON2474" s="54"/>
      <c r="UOO2474" s="60"/>
      <c r="UOP2474" s="60"/>
      <c r="UOQ2474" s="60"/>
      <c r="UOR2474" s="60"/>
      <c r="UOS2474" s="63"/>
      <c r="UOT2474" s="61"/>
      <c r="UOU2474" s="54"/>
      <c r="UOV2474" s="54"/>
      <c r="UOW2474" s="60"/>
      <c r="UOX2474" s="60"/>
      <c r="UOY2474" s="60"/>
      <c r="UOZ2474" s="60"/>
      <c r="UPA2474" s="63"/>
      <c r="UPB2474" s="61"/>
      <c r="UPC2474" s="54"/>
      <c r="UPD2474" s="54"/>
      <c r="UPE2474" s="60"/>
      <c r="UPF2474" s="60"/>
      <c r="UPG2474" s="60"/>
      <c r="UPH2474" s="60"/>
      <c r="UPI2474" s="63"/>
      <c r="UPJ2474" s="61"/>
      <c r="UPK2474" s="54"/>
      <c r="UPL2474" s="54"/>
      <c r="UPM2474" s="60"/>
      <c r="UPN2474" s="60"/>
      <c r="UPO2474" s="60"/>
      <c r="UPP2474" s="60"/>
      <c r="UPQ2474" s="63"/>
      <c r="UPR2474" s="61"/>
      <c r="UPS2474" s="54"/>
      <c r="UPT2474" s="54"/>
      <c r="UPU2474" s="60"/>
      <c r="UPV2474" s="60"/>
      <c r="UPW2474" s="60"/>
      <c r="UPX2474" s="60"/>
      <c r="UPY2474" s="63"/>
      <c r="UPZ2474" s="61"/>
      <c r="UQA2474" s="54"/>
      <c r="UQB2474" s="54"/>
      <c r="UQC2474" s="60"/>
      <c r="UQD2474" s="60"/>
      <c r="UQE2474" s="60"/>
      <c r="UQF2474" s="60"/>
      <c r="UQG2474" s="63"/>
      <c r="UQH2474" s="61"/>
      <c r="UQI2474" s="54"/>
      <c r="UQJ2474" s="54"/>
      <c r="UQK2474" s="60"/>
      <c r="UQL2474" s="60"/>
      <c r="UQM2474" s="60"/>
      <c r="UQN2474" s="60"/>
      <c r="UQO2474" s="63"/>
      <c r="UQP2474" s="61"/>
      <c r="UQQ2474" s="54"/>
      <c r="UQR2474" s="54"/>
      <c r="UQS2474" s="60"/>
      <c r="UQT2474" s="60"/>
      <c r="UQU2474" s="60"/>
      <c r="UQV2474" s="60"/>
      <c r="UQW2474" s="63"/>
      <c r="UQX2474" s="61"/>
      <c r="UQY2474" s="54"/>
      <c r="UQZ2474" s="54"/>
      <c r="URA2474" s="60"/>
      <c r="URB2474" s="60"/>
      <c r="URC2474" s="60"/>
      <c r="URD2474" s="60"/>
      <c r="URE2474" s="63"/>
      <c r="URF2474" s="61"/>
      <c r="URG2474" s="54"/>
      <c r="URH2474" s="54"/>
      <c r="URI2474" s="60"/>
      <c r="URJ2474" s="60"/>
      <c r="URK2474" s="60"/>
      <c r="URL2474" s="60"/>
      <c r="URM2474" s="63"/>
      <c r="URN2474" s="61"/>
      <c r="URO2474" s="54"/>
      <c r="URP2474" s="54"/>
      <c r="URQ2474" s="60"/>
      <c r="URR2474" s="60"/>
      <c r="URS2474" s="60"/>
      <c r="URT2474" s="60"/>
      <c r="URU2474" s="63"/>
      <c r="URV2474" s="61"/>
      <c r="URW2474" s="54"/>
      <c r="URX2474" s="54"/>
      <c r="URY2474" s="60"/>
      <c r="URZ2474" s="60"/>
      <c r="USA2474" s="60"/>
      <c r="USB2474" s="60"/>
      <c r="USC2474" s="63"/>
      <c r="USD2474" s="61"/>
      <c r="USE2474" s="54"/>
      <c r="USF2474" s="54"/>
      <c r="USG2474" s="60"/>
      <c r="USH2474" s="60"/>
      <c r="USI2474" s="60"/>
      <c r="USJ2474" s="60"/>
      <c r="USK2474" s="63"/>
      <c r="USL2474" s="61"/>
      <c r="USM2474" s="54"/>
      <c r="USN2474" s="54"/>
      <c r="USO2474" s="60"/>
      <c r="USP2474" s="60"/>
      <c r="USQ2474" s="60"/>
      <c r="USR2474" s="60"/>
      <c r="USS2474" s="63"/>
      <c r="UST2474" s="61"/>
      <c r="USU2474" s="54"/>
      <c r="USV2474" s="54"/>
      <c r="USW2474" s="60"/>
      <c r="USX2474" s="60"/>
      <c r="USY2474" s="60"/>
      <c r="USZ2474" s="60"/>
      <c r="UTA2474" s="63"/>
      <c r="UTB2474" s="61"/>
      <c r="UTC2474" s="54"/>
      <c r="UTD2474" s="54"/>
      <c r="UTE2474" s="60"/>
      <c r="UTF2474" s="60"/>
      <c r="UTG2474" s="60"/>
      <c r="UTH2474" s="60"/>
      <c r="UTI2474" s="63"/>
      <c r="UTJ2474" s="61"/>
      <c r="UTK2474" s="54"/>
      <c r="UTL2474" s="54"/>
      <c r="UTM2474" s="60"/>
      <c r="UTN2474" s="60"/>
      <c r="UTO2474" s="60"/>
      <c r="UTP2474" s="60"/>
      <c r="UTQ2474" s="63"/>
      <c r="UTR2474" s="61"/>
      <c r="UTS2474" s="54"/>
      <c r="UTT2474" s="54"/>
      <c r="UTU2474" s="60"/>
      <c r="UTV2474" s="60"/>
      <c r="UTW2474" s="60"/>
      <c r="UTX2474" s="60"/>
      <c r="UTY2474" s="63"/>
      <c r="UTZ2474" s="61"/>
      <c r="UUA2474" s="54"/>
      <c r="UUB2474" s="54"/>
      <c r="UUC2474" s="60"/>
      <c r="UUD2474" s="60"/>
      <c r="UUE2474" s="60"/>
      <c r="UUF2474" s="60"/>
      <c r="UUG2474" s="63"/>
      <c r="UUH2474" s="61"/>
      <c r="UUI2474" s="54"/>
      <c r="UUJ2474" s="54"/>
      <c r="UUK2474" s="60"/>
      <c r="UUL2474" s="60"/>
      <c r="UUM2474" s="60"/>
      <c r="UUN2474" s="60"/>
      <c r="UUO2474" s="63"/>
      <c r="UUP2474" s="61"/>
      <c r="UUQ2474" s="54"/>
      <c r="UUR2474" s="54"/>
      <c r="UUS2474" s="60"/>
      <c r="UUT2474" s="60"/>
      <c r="UUU2474" s="60"/>
      <c r="UUV2474" s="60"/>
      <c r="UUW2474" s="63"/>
      <c r="UUX2474" s="61"/>
      <c r="UUY2474" s="54"/>
      <c r="UUZ2474" s="54"/>
      <c r="UVA2474" s="60"/>
      <c r="UVB2474" s="60"/>
      <c r="UVC2474" s="60"/>
      <c r="UVD2474" s="60"/>
      <c r="UVE2474" s="63"/>
      <c r="UVF2474" s="61"/>
      <c r="UVG2474" s="54"/>
      <c r="UVH2474" s="54"/>
      <c r="UVI2474" s="60"/>
      <c r="UVJ2474" s="60"/>
      <c r="UVK2474" s="60"/>
      <c r="UVL2474" s="60"/>
      <c r="UVM2474" s="63"/>
      <c r="UVN2474" s="61"/>
      <c r="UVO2474" s="54"/>
      <c r="UVP2474" s="54"/>
      <c r="UVQ2474" s="60"/>
      <c r="UVR2474" s="60"/>
      <c r="UVS2474" s="60"/>
      <c r="UVT2474" s="60"/>
      <c r="UVU2474" s="63"/>
      <c r="UVV2474" s="61"/>
      <c r="UVW2474" s="54"/>
      <c r="UVX2474" s="54"/>
      <c r="UVY2474" s="60"/>
      <c r="UVZ2474" s="60"/>
      <c r="UWA2474" s="60"/>
      <c r="UWB2474" s="60"/>
      <c r="UWC2474" s="63"/>
      <c r="UWD2474" s="61"/>
      <c r="UWE2474" s="54"/>
      <c r="UWF2474" s="54"/>
      <c r="UWG2474" s="60"/>
      <c r="UWH2474" s="60"/>
      <c r="UWI2474" s="60"/>
      <c r="UWJ2474" s="60"/>
      <c r="UWK2474" s="63"/>
      <c r="UWL2474" s="61"/>
      <c r="UWM2474" s="54"/>
      <c r="UWN2474" s="54"/>
      <c r="UWO2474" s="60"/>
      <c r="UWP2474" s="60"/>
      <c r="UWQ2474" s="60"/>
      <c r="UWR2474" s="60"/>
      <c r="UWS2474" s="63"/>
      <c r="UWT2474" s="61"/>
      <c r="UWU2474" s="54"/>
      <c r="UWV2474" s="54"/>
      <c r="UWW2474" s="60"/>
      <c r="UWX2474" s="60"/>
      <c r="UWY2474" s="60"/>
      <c r="UWZ2474" s="60"/>
      <c r="UXA2474" s="63"/>
      <c r="UXB2474" s="61"/>
      <c r="UXC2474" s="54"/>
      <c r="UXD2474" s="54"/>
      <c r="UXE2474" s="60"/>
      <c r="UXF2474" s="60"/>
      <c r="UXG2474" s="60"/>
      <c r="UXH2474" s="60"/>
      <c r="UXI2474" s="63"/>
      <c r="UXJ2474" s="61"/>
      <c r="UXK2474" s="54"/>
      <c r="UXL2474" s="54"/>
      <c r="UXM2474" s="60"/>
      <c r="UXN2474" s="60"/>
      <c r="UXO2474" s="60"/>
      <c r="UXP2474" s="60"/>
      <c r="UXQ2474" s="63"/>
      <c r="UXR2474" s="61"/>
      <c r="UXS2474" s="54"/>
      <c r="UXT2474" s="54"/>
      <c r="UXU2474" s="60"/>
      <c r="UXV2474" s="60"/>
      <c r="UXW2474" s="60"/>
      <c r="UXX2474" s="60"/>
      <c r="UXY2474" s="63"/>
      <c r="UXZ2474" s="61"/>
      <c r="UYA2474" s="54"/>
      <c r="UYB2474" s="54"/>
      <c r="UYC2474" s="60"/>
      <c r="UYD2474" s="60"/>
      <c r="UYE2474" s="60"/>
      <c r="UYF2474" s="60"/>
      <c r="UYG2474" s="63"/>
      <c r="UYH2474" s="61"/>
      <c r="UYI2474" s="54"/>
      <c r="UYJ2474" s="54"/>
      <c r="UYK2474" s="60"/>
      <c r="UYL2474" s="60"/>
      <c r="UYM2474" s="60"/>
      <c r="UYN2474" s="60"/>
      <c r="UYO2474" s="63"/>
      <c r="UYP2474" s="61"/>
      <c r="UYQ2474" s="54"/>
      <c r="UYR2474" s="54"/>
      <c r="UYS2474" s="60"/>
      <c r="UYT2474" s="60"/>
      <c r="UYU2474" s="60"/>
      <c r="UYV2474" s="60"/>
      <c r="UYW2474" s="63"/>
      <c r="UYX2474" s="61"/>
      <c r="UYY2474" s="54"/>
      <c r="UYZ2474" s="54"/>
      <c r="UZA2474" s="60"/>
      <c r="UZB2474" s="60"/>
      <c r="UZC2474" s="60"/>
      <c r="UZD2474" s="60"/>
      <c r="UZE2474" s="63"/>
      <c r="UZF2474" s="61"/>
      <c r="UZG2474" s="54"/>
      <c r="UZH2474" s="54"/>
      <c r="UZI2474" s="60"/>
      <c r="UZJ2474" s="60"/>
      <c r="UZK2474" s="60"/>
      <c r="UZL2474" s="60"/>
      <c r="UZM2474" s="63"/>
      <c r="UZN2474" s="61"/>
      <c r="UZO2474" s="54"/>
      <c r="UZP2474" s="54"/>
      <c r="UZQ2474" s="60"/>
      <c r="UZR2474" s="60"/>
      <c r="UZS2474" s="60"/>
      <c r="UZT2474" s="60"/>
      <c r="UZU2474" s="63"/>
      <c r="UZV2474" s="61"/>
      <c r="UZW2474" s="54"/>
      <c r="UZX2474" s="54"/>
      <c r="UZY2474" s="60"/>
      <c r="UZZ2474" s="60"/>
      <c r="VAA2474" s="60"/>
      <c r="VAB2474" s="60"/>
      <c r="VAC2474" s="63"/>
      <c r="VAD2474" s="61"/>
      <c r="VAE2474" s="54"/>
      <c r="VAF2474" s="54"/>
      <c r="VAG2474" s="60"/>
      <c r="VAH2474" s="60"/>
      <c r="VAI2474" s="60"/>
      <c r="VAJ2474" s="60"/>
      <c r="VAK2474" s="63"/>
      <c r="VAL2474" s="61"/>
      <c r="VAM2474" s="54"/>
      <c r="VAN2474" s="54"/>
      <c r="VAO2474" s="60"/>
      <c r="VAP2474" s="60"/>
      <c r="VAQ2474" s="60"/>
      <c r="VAR2474" s="60"/>
      <c r="VAS2474" s="63"/>
      <c r="VAT2474" s="61"/>
      <c r="VAU2474" s="54"/>
      <c r="VAV2474" s="54"/>
      <c r="VAW2474" s="60"/>
      <c r="VAX2474" s="60"/>
      <c r="VAY2474" s="60"/>
      <c r="VAZ2474" s="60"/>
      <c r="VBA2474" s="63"/>
      <c r="VBB2474" s="61"/>
      <c r="VBC2474" s="54"/>
      <c r="VBD2474" s="54"/>
      <c r="VBE2474" s="60"/>
      <c r="VBF2474" s="60"/>
      <c r="VBG2474" s="60"/>
      <c r="VBH2474" s="60"/>
      <c r="VBI2474" s="63"/>
      <c r="VBJ2474" s="61"/>
      <c r="VBK2474" s="54"/>
      <c r="VBL2474" s="54"/>
      <c r="VBM2474" s="60"/>
      <c r="VBN2474" s="60"/>
      <c r="VBO2474" s="60"/>
      <c r="VBP2474" s="60"/>
      <c r="VBQ2474" s="63"/>
      <c r="VBR2474" s="61"/>
      <c r="VBS2474" s="54"/>
      <c r="VBT2474" s="54"/>
      <c r="VBU2474" s="60"/>
      <c r="VBV2474" s="60"/>
      <c r="VBW2474" s="60"/>
      <c r="VBX2474" s="60"/>
      <c r="VBY2474" s="63"/>
      <c r="VBZ2474" s="61"/>
      <c r="VCA2474" s="54"/>
      <c r="VCB2474" s="54"/>
      <c r="VCC2474" s="60"/>
      <c r="VCD2474" s="60"/>
      <c r="VCE2474" s="60"/>
      <c r="VCF2474" s="60"/>
      <c r="VCG2474" s="63"/>
      <c r="VCH2474" s="61"/>
      <c r="VCI2474" s="54"/>
      <c r="VCJ2474" s="54"/>
      <c r="VCK2474" s="60"/>
      <c r="VCL2474" s="60"/>
      <c r="VCM2474" s="60"/>
      <c r="VCN2474" s="60"/>
      <c r="VCO2474" s="63"/>
      <c r="VCP2474" s="61"/>
      <c r="VCQ2474" s="54"/>
      <c r="VCR2474" s="54"/>
      <c r="VCS2474" s="60"/>
      <c r="VCT2474" s="60"/>
      <c r="VCU2474" s="60"/>
      <c r="VCV2474" s="60"/>
      <c r="VCW2474" s="63"/>
      <c r="VCX2474" s="61"/>
      <c r="VCY2474" s="54"/>
      <c r="VCZ2474" s="54"/>
      <c r="VDA2474" s="60"/>
      <c r="VDB2474" s="60"/>
      <c r="VDC2474" s="60"/>
      <c r="VDD2474" s="60"/>
      <c r="VDE2474" s="63"/>
      <c r="VDF2474" s="61"/>
      <c r="VDG2474" s="54"/>
      <c r="VDH2474" s="54"/>
      <c r="VDI2474" s="60"/>
      <c r="VDJ2474" s="60"/>
      <c r="VDK2474" s="60"/>
      <c r="VDL2474" s="60"/>
      <c r="VDM2474" s="63"/>
      <c r="VDN2474" s="61"/>
      <c r="VDO2474" s="54"/>
      <c r="VDP2474" s="54"/>
      <c r="VDQ2474" s="60"/>
      <c r="VDR2474" s="60"/>
      <c r="VDS2474" s="60"/>
      <c r="VDT2474" s="60"/>
      <c r="VDU2474" s="63"/>
      <c r="VDV2474" s="61"/>
      <c r="VDW2474" s="54"/>
      <c r="VDX2474" s="54"/>
      <c r="VDY2474" s="60"/>
      <c r="VDZ2474" s="60"/>
      <c r="VEA2474" s="60"/>
      <c r="VEB2474" s="60"/>
      <c r="VEC2474" s="63"/>
      <c r="VED2474" s="61"/>
      <c r="VEE2474" s="54"/>
      <c r="VEF2474" s="54"/>
      <c r="VEG2474" s="60"/>
      <c r="VEH2474" s="60"/>
      <c r="VEI2474" s="60"/>
      <c r="VEJ2474" s="60"/>
      <c r="VEK2474" s="63"/>
      <c r="VEL2474" s="61"/>
      <c r="VEM2474" s="54"/>
      <c r="VEN2474" s="54"/>
      <c r="VEO2474" s="60"/>
      <c r="VEP2474" s="60"/>
      <c r="VEQ2474" s="60"/>
      <c r="VER2474" s="60"/>
      <c r="VES2474" s="63"/>
      <c r="VET2474" s="61"/>
      <c r="VEU2474" s="54"/>
      <c r="VEV2474" s="54"/>
      <c r="VEW2474" s="60"/>
      <c r="VEX2474" s="60"/>
      <c r="VEY2474" s="60"/>
      <c r="VEZ2474" s="60"/>
      <c r="VFA2474" s="63"/>
      <c r="VFB2474" s="61"/>
      <c r="VFC2474" s="54"/>
      <c r="VFD2474" s="54"/>
      <c r="VFE2474" s="60"/>
      <c r="VFF2474" s="60"/>
      <c r="VFG2474" s="60"/>
      <c r="VFH2474" s="60"/>
      <c r="VFI2474" s="63"/>
      <c r="VFJ2474" s="61"/>
      <c r="VFK2474" s="54"/>
      <c r="VFL2474" s="54"/>
      <c r="VFM2474" s="60"/>
      <c r="VFN2474" s="60"/>
      <c r="VFO2474" s="60"/>
      <c r="VFP2474" s="60"/>
      <c r="VFQ2474" s="63"/>
      <c r="VFR2474" s="61"/>
      <c r="VFS2474" s="54"/>
      <c r="VFT2474" s="54"/>
      <c r="VFU2474" s="60"/>
      <c r="VFV2474" s="60"/>
      <c r="VFW2474" s="60"/>
      <c r="VFX2474" s="60"/>
      <c r="VFY2474" s="63"/>
      <c r="VFZ2474" s="61"/>
      <c r="VGA2474" s="54"/>
      <c r="VGB2474" s="54"/>
      <c r="VGC2474" s="60"/>
      <c r="VGD2474" s="60"/>
      <c r="VGE2474" s="60"/>
      <c r="VGF2474" s="60"/>
      <c r="VGG2474" s="63"/>
      <c r="VGH2474" s="61"/>
      <c r="VGI2474" s="54"/>
      <c r="VGJ2474" s="54"/>
      <c r="VGK2474" s="60"/>
      <c r="VGL2474" s="60"/>
      <c r="VGM2474" s="60"/>
      <c r="VGN2474" s="60"/>
      <c r="VGO2474" s="63"/>
      <c r="VGP2474" s="61"/>
      <c r="VGQ2474" s="54"/>
      <c r="VGR2474" s="54"/>
      <c r="VGS2474" s="60"/>
      <c r="VGT2474" s="60"/>
      <c r="VGU2474" s="60"/>
      <c r="VGV2474" s="60"/>
      <c r="VGW2474" s="63"/>
      <c r="VGX2474" s="61"/>
      <c r="VGY2474" s="54"/>
      <c r="VGZ2474" s="54"/>
      <c r="VHA2474" s="60"/>
      <c r="VHB2474" s="60"/>
      <c r="VHC2474" s="60"/>
      <c r="VHD2474" s="60"/>
      <c r="VHE2474" s="63"/>
      <c r="VHF2474" s="61"/>
      <c r="VHG2474" s="54"/>
      <c r="VHH2474" s="54"/>
      <c r="VHI2474" s="60"/>
      <c r="VHJ2474" s="60"/>
      <c r="VHK2474" s="60"/>
      <c r="VHL2474" s="60"/>
      <c r="VHM2474" s="63"/>
      <c r="VHN2474" s="61"/>
      <c r="VHO2474" s="54"/>
      <c r="VHP2474" s="54"/>
      <c r="VHQ2474" s="60"/>
      <c r="VHR2474" s="60"/>
      <c r="VHS2474" s="60"/>
      <c r="VHT2474" s="60"/>
      <c r="VHU2474" s="63"/>
      <c r="VHV2474" s="61"/>
      <c r="VHW2474" s="54"/>
      <c r="VHX2474" s="54"/>
      <c r="VHY2474" s="60"/>
      <c r="VHZ2474" s="60"/>
      <c r="VIA2474" s="60"/>
      <c r="VIB2474" s="60"/>
      <c r="VIC2474" s="63"/>
      <c r="VID2474" s="61"/>
      <c r="VIE2474" s="54"/>
      <c r="VIF2474" s="54"/>
      <c r="VIG2474" s="60"/>
      <c r="VIH2474" s="60"/>
      <c r="VII2474" s="60"/>
      <c r="VIJ2474" s="60"/>
      <c r="VIK2474" s="63"/>
      <c r="VIL2474" s="61"/>
      <c r="VIM2474" s="54"/>
      <c r="VIN2474" s="54"/>
      <c r="VIO2474" s="60"/>
      <c r="VIP2474" s="60"/>
      <c r="VIQ2474" s="60"/>
      <c r="VIR2474" s="60"/>
      <c r="VIS2474" s="63"/>
      <c r="VIT2474" s="61"/>
      <c r="VIU2474" s="54"/>
      <c r="VIV2474" s="54"/>
      <c r="VIW2474" s="60"/>
      <c r="VIX2474" s="60"/>
      <c r="VIY2474" s="60"/>
      <c r="VIZ2474" s="60"/>
      <c r="VJA2474" s="63"/>
      <c r="VJB2474" s="61"/>
      <c r="VJC2474" s="54"/>
      <c r="VJD2474" s="54"/>
      <c r="VJE2474" s="60"/>
      <c r="VJF2474" s="60"/>
      <c r="VJG2474" s="60"/>
      <c r="VJH2474" s="60"/>
      <c r="VJI2474" s="63"/>
      <c r="VJJ2474" s="61"/>
      <c r="VJK2474" s="54"/>
      <c r="VJL2474" s="54"/>
      <c r="VJM2474" s="60"/>
      <c r="VJN2474" s="60"/>
      <c r="VJO2474" s="60"/>
      <c r="VJP2474" s="60"/>
      <c r="VJQ2474" s="63"/>
      <c r="VJR2474" s="61"/>
      <c r="VJS2474" s="54"/>
      <c r="VJT2474" s="54"/>
      <c r="VJU2474" s="60"/>
      <c r="VJV2474" s="60"/>
      <c r="VJW2474" s="60"/>
      <c r="VJX2474" s="60"/>
      <c r="VJY2474" s="63"/>
      <c r="VJZ2474" s="61"/>
      <c r="VKA2474" s="54"/>
      <c r="VKB2474" s="54"/>
      <c r="VKC2474" s="60"/>
      <c r="VKD2474" s="60"/>
      <c r="VKE2474" s="60"/>
      <c r="VKF2474" s="60"/>
      <c r="VKG2474" s="63"/>
      <c r="VKH2474" s="61"/>
      <c r="VKI2474" s="54"/>
      <c r="VKJ2474" s="54"/>
      <c r="VKK2474" s="60"/>
      <c r="VKL2474" s="60"/>
      <c r="VKM2474" s="60"/>
      <c r="VKN2474" s="60"/>
      <c r="VKO2474" s="63"/>
      <c r="VKP2474" s="61"/>
      <c r="VKQ2474" s="54"/>
      <c r="VKR2474" s="54"/>
      <c r="VKS2474" s="60"/>
      <c r="VKT2474" s="60"/>
      <c r="VKU2474" s="60"/>
      <c r="VKV2474" s="60"/>
      <c r="VKW2474" s="63"/>
      <c r="VKX2474" s="61"/>
      <c r="VKY2474" s="54"/>
      <c r="VKZ2474" s="54"/>
      <c r="VLA2474" s="60"/>
      <c r="VLB2474" s="60"/>
      <c r="VLC2474" s="60"/>
      <c r="VLD2474" s="60"/>
      <c r="VLE2474" s="63"/>
      <c r="VLF2474" s="61"/>
      <c r="VLG2474" s="54"/>
      <c r="VLH2474" s="54"/>
      <c r="VLI2474" s="60"/>
      <c r="VLJ2474" s="60"/>
      <c r="VLK2474" s="60"/>
      <c r="VLL2474" s="60"/>
      <c r="VLM2474" s="63"/>
      <c r="VLN2474" s="61"/>
      <c r="VLO2474" s="54"/>
      <c r="VLP2474" s="54"/>
      <c r="VLQ2474" s="60"/>
      <c r="VLR2474" s="60"/>
      <c r="VLS2474" s="60"/>
      <c r="VLT2474" s="60"/>
      <c r="VLU2474" s="63"/>
      <c r="VLV2474" s="61"/>
      <c r="VLW2474" s="54"/>
      <c r="VLX2474" s="54"/>
      <c r="VLY2474" s="60"/>
      <c r="VLZ2474" s="60"/>
      <c r="VMA2474" s="60"/>
      <c r="VMB2474" s="60"/>
      <c r="VMC2474" s="63"/>
      <c r="VMD2474" s="61"/>
      <c r="VME2474" s="54"/>
      <c r="VMF2474" s="54"/>
      <c r="VMG2474" s="60"/>
      <c r="VMH2474" s="60"/>
      <c r="VMI2474" s="60"/>
      <c r="VMJ2474" s="60"/>
      <c r="VMK2474" s="63"/>
      <c r="VML2474" s="61"/>
      <c r="VMM2474" s="54"/>
      <c r="VMN2474" s="54"/>
      <c r="VMO2474" s="60"/>
      <c r="VMP2474" s="60"/>
      <c r="VMQ2474" s="60"/>
      <c r="VMR2474" s="60"/>
      <c r="VMS2474" s="63"/>
      <c r="VMT2474" s="61"/>
      <c r="VMU2474" s="54"/>
      <c r="VMV2474" s="54"/>
      <c r="VMW2474" s="60"/>
      <c r="VMX2474" s="60"/>
      <c r="VMY2474" s="60"/>
      <c r="VMZ2474" s="60"/>
      <c r="VNA2474" s="63"/>
      <c r="VNB2474" s="61"/>
      <c r="VNC2474" s="54"/>
      <c r="VND2474" s="54"/>
      <c r="VNE2474" s="60"/>
      <c r="VNF2474" s="60"/>
      <c r="VNG2474" s="60"/>
      <c r="VNH2474" s="60"/>
      <c r="VNI2474" s="63"/>
      <c r="VNJ2474" s="61"/>
      <c r="VNK2474" s="54"/>
      <c r="VNL2474" s="54"/>
      <c r="VNM2474" s="60"/>
      <c r="VNN2474" s="60"/>
      <c r="VNO2474" s="60"/>
      <c r="VNP2474" s="60"/>
      <c r="VNQ2474" s="63"/>
      <c r="VNR2474" s="61"/>
      <c r="VNS2474" s="54"/>
      <c r="VNT2474" s="54"/>
      <c r="VNU2474" s="60"/>
      <c r="VNV2474" s="60"/>
      <c r="VNW2474" s="60"/>
      <c r="VNX2474" s="60"/>
      <c r="VNY2474" s="63"/>
      <c r="VNZ2474" s="61"/>
      <c r="VOA2474" s="54"/>
      <c r="VOB2474" s="54"/>
      <c r="VOC2474" s="60"/>
      <c r="VOD2474" s="60"/>
      <c r="VOE2474" s="60"/>
      <c r="VOF2474" s="60"/>
      <c r="VOG2474" s="63"/>
      <c r="VOH2474" s="61"/>
      <c r="VOI2474" s="54"/>
      <c r="VOJ2474" s="54"/>
      <c r="VOK2474" s="60"/>
      <c r="VOL2474" s="60"/>
      <c r="VOM2474" s="60"/>
      <c r="VON2474" s="60"/>
      <c r="VOO2474" s="63"/>
      <c r="VOP2474" s="61"/>
      <c r="VOQ2474" s="54"/>
      <c r="VOR2474" s="54"/>
      <c r="VOS2474" s="60"/>
      <c r="VOT2474" s="60"/>
      <c r="VOU2474" s="60"/>
      <c r="VOV2474" s="60"/>
      <c r="VOW2474" s="63"/>
      <c r="VOX2474" s="61"/>
      <c r="VOY2474" s="54"/>
      <c r="VOZ2474" s="54"/>
      <c r="VPA2474" s="60"/>
      <c r="VPB2474" s="60"/>
      <c r="VPC2474" s="60"/>
      <c r="VPD2474" s="60"/>
      <c r="VPE2474" s="63"/>
      <c r="VPF2474" s="61"/>
      <c r="VPG2474" s="54"/>
      <c r="VPH2474" s="54"/>
      <c r="VPI2474" s="60"/>
      <c r="VPJ2474" s="60"/>
      <c r="VPK2474" s="60"/>
      <c r="VPL2474" s="60"/>
      <c r="VPM2474" s="63"/>
      <c r="VPN2474" s="61"/>
      <c r="VPO2474" s="54"/>
      <c r="VPP2474" s="54"/>
      <c r="VPQ2474" s="60"/>
      <c r="VPR2474" s="60"/>
      <c r="VPS2474" s="60"/>
      <c r="VPT2474" s="60"/>
      <c r="VPU2474" s="63"/>
      <c r="VPV2474" s="61"/>
      <c r="VPW2474" s="54"/>
      <c r="VPX2474" s="54"/>
      <c r="VPY2474" s="60"/>
      <c r="VPZ2474" s="60"/>
      <c r="VQA2474" s="60"/>
      <c r="VQB2474" s="60"/>
      <c r="VQC2474" s="63"/>
      <c r="VQD2474" s="61"/>
      <c r="VQE2474" s="54"/>
      <c r="VQF2474" s="54"/>
      <c r="VQG2474" s="60"/>
      <c r="VQH2474" s="60"/>
      <c r="VQI2474" s="60"/>
      <c r="VQJ2474" s="60"/>
      <c r="VQK2474" s="63"/>
      <c r="VQL2474" s="61"/>
      <c r="VQM2474" s="54"/>
      <c r="VQN2474" s="54"/>
      <c r="VQO2474" s="60"/>
      <c r="VQP2474" s="60"/>
      <c r="VQQ2474" s="60"/>
      <c r="VQR2474" s="60"/>
      <c r="VQS2474" s="63"/>
      <c r="VQT2474" s="61"/>
      <c r="VQU2474" s="54"/>
      <c r="VQV2474" s="54"/>
      <c r="VQW2474" s="60"/>
      <c r="VQX2474" s="60"/>
      <c r="VQY2474" s="60"/>
      <c r="VQZ2474" s="60"/>
      <c r="VRA2474" s="63"/>
      <c r="VRB2474" s="61"/>
      <c r="VRC2474" s="54"/>
      <c r="VRD2474" s="54"/>
      <c r="VRE2474" s="60"/>
      <c r="VRF2474" s="60"/>
      <c r="VRG2474" s="60"/>
      <c r="VRH2474" s="60"/>
      <c r="VRI2474" s="63"/>
      <c r="VRJ2474" s="61"/>
      <c r="VRK2474" s="54"/>
      <c r="VRL2474" s="54"/>
      <c r="VRM2474" s="60"/>
      <c r="VRN2474" s="60"/>
      <c r="VRO2474" s="60"/>
      <c r="VRP2474" s="60"/>
      <c r="VRQ2474" s="63"/>
      <c r="VRR2474" s="61"/>
      <c r="VRS2474" s="54"/>
      <c r="VRT2474" s="54"/>
      <c r="VRU2474" s="60"/>
      <c r="VRV2474" s="60"/>
      <c r="VRW2474" s="60"/>
      <c r="VRX2474" s="60"/>
      <c r="VRY2474" s="63"/>
      <c r="VRZ2474" s="61"/>
      <c r="VSA2474" s="54"/>
      <c r="VSB2474" s="54"/>
      <c r="VSC2474" s="60"/>
      <c r="VSD2474" s="60"/>
      <c r="VSE2474" s="60"/>
      <c r="VSF2474" s="60"/>
      <c r="VSG2474" s="63"/>
      <c r="VSH2474" s="61"/>
      <c r="VSI2474" s="54"/>
      <c r="VSJ2474" s="54"/>
      <c r="VSK2474" s="60"/>
      <c r="VSL2474" s="60"/>
      <c r="VSM2474" s="60"/>
      <c r="VSN2474" s="60"/>
      <c r="VSO2474" s="63"/>
      <c r="VSP2474" s="61"/>
      <c r="VSQ2474" s="54"/>
      <c r="VSR2474" s="54"/>
      <c r="VSS2474" s="60"/>
      <c r="VST2474" s="60"/>
      <c r="VSU2474" s="60"/>
      <c r="VSV2474" s="60"/>
      <c r="VSW2474" s="63"/>
      <c r="VSX2474" s="61"/>
      <c r="VSY2474" s="54"/>
      <c r="VSZ2474" s="54"/>
      <c r="VTA2474" s="60"/>
      <c r="VTB2474" s="60"/>
      <c r="VTC2474" s="60"/>
      <c r="VTD2474" s="60"/>
      <c r="VTE2474" s="63"/>
      <c r="VTF2474" s="61"/>
      <c r="VTG2474" s="54"/>
      <c r="VTH2474" s="54"/>
      <c r="VTI2474" s="60"/>
      <c r="VTJ2474" s="60"/>
      <c r="VTK2474" s="60"/>
      <c r="VTL2474" s="60"/>
      <c r="VTM2474" s="63"/>
      <c r="VTN2474" s="61"/>
      <c r="VTO2474" s="54"/>
      <c r="VTP2474" s="54"/>
      <c r="VTQ2474" s="60"/>
      <c r="VTR2474" s="60"/>
      <c r="VTS2474" s="60"/>
      <c r="VTT2474" s="60"/>
      <c r="VTU2474" s="63"/>
      <c r="VTV2474" s="61"/>
      <c r="VTW2474" s="54"/>
      <c r="VTX2474" s="54"/>
      <c r="VTY2474" s="60"/>
      <c r="VTZ2474" s="60"/>
      <c r="VUA2474" s="60"/>
      <c r="VUB2474" s="60"/>
      <c r="VUC2474" s="63"/>
      <c r="VUD2474" s="61"/>
      <c r="VUE2474" s="54"/>
      <c r="VUF2474" s="54"/>
      <c r="VUG2474" s="60"/>
      <c r="VUH2474" s="60"/>
      <c r="VUI2474" s="60"/>
      <c r="VUJ2474" s="60"/>
      <c r="VUK2474" s="63"/>
      <c r="VUL2474" s="61"/>
      <c r="VUM2474" s="54"/>
      <c r="VUN2474" s="54"/>
      <c r="VUO2474" s="60"/>
      <c r="VUP2474" s="60"/>
      <c r="VUQ2474" s="60"/>
      <c r="VUR2474" s="60"/>
      <c r="VUS2474" s="63"/>
      <c r="VUT2474" s="61"/>
      <c r="VUU2474" s="54"/>
      <c r="VUV2474" s="54"/>
      <c r="VUW2474" s="60"/>
      <c r="VUX2474" s="60"/>
      <c r="VUY2474" s="60"/>
      <c r="VUZ2474" s="60"/>
      <c r="VVA2474" s="63"/>
      <c r="VVB2474" s="61"/>
      <c r="VVC2474" s="54"/>
      <c r="VVD2474" s="54"/>
      <c r="VVE2474" s="60"/>
      <c r="VVF2474" s="60"/>
      <c r="VVG2474" s="60"/>
      <c r="VVH2474" s="60"/>
      <c r="VVI2474" s="63"/>
      <c r="VVJ2474" s="61"/>
      <c r="VVK2474" s="54"/>
      <c r="VVL2474" s="54"/>
      <c r="VVM2474" s="60"/>
      <c r="VVN2474" s="60"/>
      <c r="VVO2474" s="60"/>
      <c r="VVP2474" s="60"/>
      <c r="VVQ2474" s="63"/>
      <c r="VVR2474" s="61"/>
      <c r="VVS2474" s="54"/>
      <c r="VVT2474" s="54"/>
      <c r="VVU2474" s="60"/>
      <c r="VVV2474" s="60"/>
      <c r="VVW2474" s="60"/>
      <c r="VVX2474" s="60"/>
      <c r="VVY2474" s="63"/>
      <c r="VVZ2474" s="61"/>
      <c r="VWA2474" s="54"/>
      <c r="VWB2474" s="54"/>
      <c r="VWC2474" s="60"/>
      <c r="VWD2474" s="60"/>
      <c r="VWE2474" s="60"/>
      <c r="VWF2474" s="60"/>
      <c r="VWG2474" s="63"/>
      <c r="VWH2474" s="61"/>
      <c r="VWI2474" s="54"/>
      <c r="VWJ2474" s="54"/>
      <c r="VWK2474" s="60"/>
      <c r="VWL2474" s="60"/>
      <c r="VWM2474" s="60"/>
      <c r="VWN2474" s="60"/>
      <c r="VWO2474" s="63"/>
      <c r="VWP2474" s="61"/>
      <c r="VWQ2474" s="54"/>
      <c r="VWR2474" s="54"/>
      <c r="VWS2474" s="60"/>
      <c r="VWT2474" s="60"/>
      <c r="VWU2474" s="60"/>
      <c r="VWV2474" s="60"/>
      <c r="VWW2474" s="63"/>
      <c r="VWX2474" s="61"/>
      <c r="VWY2474" s="54"/>
      <c r="VWZ2474" s="54"/>
      <c r="VXA2474" s="60"/>
      <c r="VXB2474" s="60"/>
      <c r="VXC2474" s="60"/>
      <c r="VXD2474" s="60"/>
      <c r="VXE2474" s="63"/>
      <c r="VXF2474" s="61"/>
      <c r="VXG2474" s="54"/>
      <c r="VXH2474" s="54"/>
      <c r="VXI2474" s="60"/>
      <c r="VXJ2474" s="60"/>
      <c r="VXK2474" s="60"/>
      <c r="VXL2474" s="60"/>
      <c r="VXM2474" s="63"/>
      <c r="VXN2474" s="61"/>
      <c r="VXO2474" s="54"/>
      <c r="VXP2474" s="54"/>
      <c r="VXQ2474" s="60"/>
      <c r="VXR2474" s="60"/>
      <c r="VXS2474" s="60"/>
      <c r="VXT2474" s="60"/>
      <c r="VXU2474" s="63"/>
      <c r="VXV2474" s="61"/>
      <c r="VXW2474" s="54"/>
      <c r="VXX2474" s="54"/>
      <c r="VXY2474" s="60"/>
      <c r="VXZ2474" s="60"/>
      <c r="VYA2474" s="60"/>
      <c r="VYB2474" s="60"/>
      <c r="VYC2474" s="63"/>
      <c r="VYD2474" s="61"/>
      <c r="VYE2474" s="54"/>
      <c r="VYF2474" s="54"/>
      <c r="VYG2474" s="60"/>
      <c r="VYH2474" s="60"/>
      <c r="VYI2474" s="60"/>
      <c r="VYJ2474" s="60"/>
      <c r="VYK2474" s="63"/>
      <c r="VYL2474" s="61"/>
      <c r="VYM2474" s="54"/>
      <c r="VYN2474" s="54"/>
      <c r="VYO2474" s="60"/>
      <c r="VYP2474" s="60"/>
      <c r="VYQ2474" s="60"/>
      <c r="VYR2474" s="60"/>
      <c r="VYS2474" s="63"/>
      <c r="VYT2474" s="61"/>
      <c r="VYU2474" s="54"/>
      <c r="VYV2474" s="54"/>
      <c r="VYW2474" s="60"/>
      <c r="VYX2474" s="60"/>
      <c r="VYY2474" s="60"/>
      <c r="VYZ2474" s="60"/>
      <c r="VZA2474" s="63"/>
      <c r="VZB2474" s="61"/>
      <c r="VZC2474" s="54"/>
      <c r="VZD2474" s="54"/>
      <c r="VZE2474" s="60"/>
      <c r="VZF2474" s="60"/>
      <c r="VZG2474" s="60"/>
      <c r="VZH2474" s="60"/>
      <c r="VZI2474" s="63"/>
      <c r="VZJ2474" s="61"/>
      <c r="VZK2474" s="54"/>
      <c r="VZL2474" s="54"/>
      <c r="VZM2474" s="60"/>
      <c r="VZN2474" s="60"/>
      <c r="VZO2474" s="60"/>
      <c r="VZP2474" s="60"/>
      <c r="VZQ2474" s="63"/>
      <c r="VZR2474" s="61"/>
      <c r="VZS2474" s="54"/>
      <c r="VZT2474" s="54"/>
      <c r="VZU2474" s="60"/>
      <c r="VZV2474" s="60"/>
      <c r="VZW2474" s="60"/>
      <c r="VZX2474" s="60"/>
      <c r="VZY2474" s="63"/>
      <c r="VZZ2474" s="61"/>
      <c r="WAA2474" s="54"/>
      <c r="WAB2474" s="54"/>
      <c r="WAC2474" s="60"/>
      <c r="WAD2474" s="60"/>
      <c r="WAE2474" s="60"/>
      <c r="WAF2474" s="60"/>
      <c r="WAG2474" s="63"/>
      <c r="WAH2474" s="61"/>
      <c r="WAI2474" s="54"/>
      <c r="WAJ2474" s="54"/>
      <c r="WAK2474" s="60"/>
      <c r="WAL2474" s="60"/>
      <c r="WAM2474" s="60"/>
      <c r="WAN2474" s="60"/>
      <c r="WAO2474" s="63"/>
      <c r="WAP2474" s="61"/>
      <c r="WAQ2474" s="54"/>
      <c r="WAR2474" s="54"/>
      <c r="WAS2474" s="60"/>
      <c r="WAT2474" s="60"/>
      <c r="WAU2474" s="60"/>
      <c r="WAV2474" s="60"/>
      <c r="WAW2474" s="63"/>
      <c r="WAX2474" s="61"/>
      <c r="WAY2474" s="54"/>
      <c r="WAZ2474" s="54"/>
      <c r="WBA2474" s="60"/>
      <c r="WBB2474" s="60"/>
      <c r="WBC2474" s="60"/>
      <c r="WBD2474" s="60"/>
      <c r="WBE2474" s="63"/>
      <c r="WBF2474" s="61"/>
      <c r="WBG2474" s="54"/>
      <c r="WBH2474" s="54"/>
      <c r="WBI2474" s="60"/>
      <c r="WBJ2474" s="60"/>
      <c r="WBK2474" s="60"/>
      <c r="WBL2474" s="60"/>
      <c r="WBM2474" s="63"/>
      <c r="WBN2474" s="61"/>
      <c r="WBO2474" s="54"/>
      <c r="WBP2474" s="54"/>
      <c r="WBQ2474" s="60"/>
      <c r="WBR2474" s="60"/>
      <c r="WBS2474" s="60"/>
      <c r="WBT2474" s="60"/>
      <c r="WBU2474" s="63"/>
      <c r="WBV2474" s="61"/>
      <c r="WBW2474" s="54"/>
      <c r="WBX2474" s="54"/>
      <c r="WBY2474" s="60"/>
      <c r="WBZ2474" s="60"/>
      <c r="WCA2474" s="60"/>
      <c r="WCB2474" s="60"/>
      <c r="WCC2474" s="63"/>
      <c r="WCD2474" s="61"/>
      <c r="WCE2474" s="54"/>
      <c r="WCF2474" s="54"/>
      <c r="WCG2474" s="60"/>
      <c r="WCH2474" s="60"/>
      <c r="WCI2474" s="60"/>
      <c r="WCJ2474" s="60"/>
      <c r="WCK2474" s="63"/>
      <c r="WCL2474" s="61"/>
      <c r="WCM2474" s="54"/>
      <c r="WCN2474" s="54"/>
      <c r="WCO2474" s="60"/>
      <c r="WCP2474" s="60"/>
      <c r="WCQ2474" s="60"/>
      <c r="WCR2474" s="60"/>
      <c r="WCS2474" s="63"/>
      <c r="WCT2474" s="61"/>
      <c r="WCU2474" s="54"/>
      <c r="WCV2474" s="54"/>
      <c r="WCW2474" s="60"/>
      <c r="WCX2474" s="60"/>
      <c r="WCY2474" s="60"/>
      <c r="WCZ2474" s="60"/>
      <c r="WDA2474" s="63"/>
      <c r="WDB2474" s="61"/>
      <c r="WDC2474" s="54"/>
      <c r="WDD2474" s="54"/>
      <c r="WDE2474" s="60"/>
      <c r="WDF2474" s="60"/>
      <c r="WDG2474" s="60"/>
      <c r="WDH2474" s="60"/>
      <c r="WDI2474" s="63"/>
      <c r="WDJ2474" s="61"/>
      <c r="WDK2474" s="54"/>
      <c r="WDL2474" s="54"/>
      <c r="WDM2474" s="60"/>
      <c r="WDN2474" s="60"/>
      <c r="WDO2474" s="60"/>
      <c r="WDP2474" s="60"/>
      <c r="WDQ2474" s="63"/>
      <c r="WDR2474" s="61"/>
      <c r="WDS2474" s="54"/>
      <c r="WDT2474" s="54"/>
      <c r="WDU2474" s="60"/>
      <c r="WDV2474" s="60"/>
      <c r="WDW2474" s="60"/>
      <c r="WDX2474" s="60"/>
      <c r="WDY2474" s="63"/>
      <c r="WDZ2474" s="61"/>
      <c r="WEA2474" s="54"/>
      <c r="WEB2474" s="54"/>
      <c r="WEC2474" s="60"/>
      <c r="WED2474" s="60"/>
      <c r="WEE2474" s="60"/>
      <c r="WEF2474" s="60"/>
      <c r="WEG2474" s="63"/>
      <c r="WEH2474" s="61"/>
      <c r="WEI2474" s="54"/>
      <c r="WEJ2474" s="54"/>
      <c r="WEK2474" s="60"/>
      <c r="WEL2474" s="60"/>
      <c r="WEM2474" s="60"/>
      <c r="WEN2474" s="60"/>
      <c r="WEO2474" s="63"/>
      <c r="WEP2474" s="61"/>
      <c r="WEQ2474" s="54"/>
      <c r="WER2474" s="54"/>
      <c r="WES2474" s="60"/>
      <c r="WET2474" s="60"/>
      <c r="WEU2474" s="60"/>
      <c r="WEV2474" s="60"/>
      <c r="WEW2474" s="63"/>
      <c r="WEX2474" s="61"/>
      <c r="WEY2474" s="54"/>
      <c r="WEZ2474" s="54"/>
      <c r="WFA2474" s="60"/>
      <c r="WFB2474" s="60"/>
      <c r="WFC2474" s="60"/>
      <c r="WFD2474" s="60"/>
      <c r="WFE2474" s="63"/>
      <c r="WFF2474" s="61"/>
      <c r="WFG2474" s="54"/>
      <c r="WFH2474" s="54"/>
      <c r="WFI2474" s="60"/>
      <c r="WFJ2474" s="60"/>
      <c r="WFK2474" s="60"/>
      <c r="WFL2474" s="60"/>
      <c r="WFM2474" s="63"/>
      <c r="WFN2474" s="61"/>
      <c r="WFO2474" s="54"/>
      <c r="WFP2474" s="54"/>
      <c r="WFQ2474" s="60"/>
      <c r="WFR2474" s="60"/>
      <c r="WFS2474" s="60"/>
      <c r="WFT2474" s="60"/>
      <c r="WFU2474" s="63"/>
      <c r="WFV2474" s="61"/>
      <c r="WFW2474" s="54"/>
      <c r="WFX2474" s="54"/>
      <c r="WFY2474" s="60"/>
      <c r="WFZ2474" s="60"/>
      <c r="WGA2474" s="60"/>
      <c r="WGB2474" s="60"/>
      <c r="WGC2474" s="63"/>
      <c r="WGD2474" s="61"/>
      <c r="WGE2474" s="54"/>
      <c r="WGF2474" s="54"/>
      <c r="WGG2474" s="60"/>
      <c r="WGH2474" s="60"/>
      <c r="WGI2474" s="60"/>
      <c r="WGJ2474" s="60"/>
      <c r="WGK2474" s="63"/>
      <c r="WGL2474" s="61"/>
      <c r="WGM2474" s="54"/>
      <c r="WGN2474" s="54"/>
      <c r="WGO2474" s="60"/>
      <c r="WGP2474" s="60"/>
      <c r="WGQ2474" s="60"/>
      <c r="WGR2474" s="60"/>
      <c r="WGS2474" s="63"/>
      <c r="WGT2474" s="61"/>
      <c r="WGU2474" s="54"/>
      <c r="WGV2474" s="54"/>
      <c r="WGW2474" s="60"/>
      <c r="WGX2474" s="60"/>
      <c r="WGY2474" s="60"/>
      <c r="WGZ2474" s="60"/>
      <c r="WHA2474" s="63"/>
      <c r="WHB2474" s="61"/>
      <c r="WHC2474" s="54"/>
      <c r="WHD2474" s="54"/>
      <c r="WHE2474" s="60"/>
      <c r="WHF2474" s="60"/>
      <c r="WHG2474" s="60"/>
      <c r="WHH2474" s="60"/>
      <c r="WHI2474" s="63"/>
      <c r="WHJ2474" s="61"/>
      <c r="WHK2474" s="54"/>
      <c r="WHL2474" s="54"/>
      <c r="WHM2474" s="60"/>
      <c r="WHN2474" s="60"/>
      <c r="WHO2474" s="60"/>
      <c r="WHP2474" s="60"/>
      <c r="WHQ2474" s="63"/>
      <c r="WHR2474" s="61"/>
      <c r="WHS2474" s="54"/>
      <c r="WHT2474" s="54"/>
      <c r="WHU2474" s="60"/>
      <c r="WHV2474" s="60"/>
      <c r="WHW2474" s="60"/>
      <c r="WHX2474" s="60"/>
      <c r="WHY2474" s="63"/>
      <c r="WHZ2474" s="61"/>
      <c r="WIA2474" s="54"/>
      <c r="WIB2474" s="54"/>
      <c r="WIC2474" s="60"/>
      <c r="WID2474" s="60"/>
      <c r="WIE2474" s="60"/>
      <c r="WIF2474" s="60"/>
      <c r="WIG2474" s="63"/>
      <c r="WIH2474" s="61"/>
      <c r="WII2474" s="54"/>
      <c r="WIJ2474" s="54"/>
      <c r="WIK2474" s="60"/>
      <c r="WIL2474" s="60"/>
      <c r="WIM2474" s="60"/>
      <c r="WIN2474" s="60"/>
      <c r="WIO2474" s="63"/>
      <c r="WIP2474" s="61"/>
      <c r="WIQ2474" s="54"/>
      <c r="WIR2474" s="54"/>
      <c r="WIS2474" s="60"/>
      <c r="WIT2474" s="60"/>
      <c r="WIU2474" s="60"/>
      <c r="WIV2474" s="60"/>
      <c r="WIW2474" s="63"/>
      <c r="WIX2474" s="61"/>
      <c r="WIY2474" s="54"/>
      <c r="WIZ2474" s="54"/>
      <c r="WJA2474" s="60"/>
      <c r="WJB2474" s="60"/>
      <c r="WJC2474" s="60"/>
      <c r="WJD2474" s="60"/>
      <c r="WJE2474" s="63"/>
      <c r="WJF2474" s="61"/>
      <c r="WJG2474" s="54"/>
      <c r="WJH2474" s="54"/>
      <c r="WJI2474" s="60"/>
      <c r="WJJ2474" s="60"/>
      <c r="WJK2474" s="60"/>
      <c r="WJL2474" s="60"/>
      <c r="WJM2474" s="63"/>
      <c r="WJN2474" s="61"/>
      <c r="WJO2474" s="54"/>
      <c r="WJP2474" s="54"/>
      <c r="WJQ2474" s="60"/>
      <c r="WJR2474" s="60"/>
      <c r="WJS2474" s="60"/>
      <c r="WJT2474" s="60"/>
      <c r="WJU2474" s="63"/>
      <c r="WJV2474" s="61"/>
      <c r="WJW2474" s="54"/>
      <c r="WJX2474" s="54"/>
      <c r="WJY2474" s="60"/>
      <c r="WJZ2474" s="60"/>
      <c r="WKA2474" s="60"/>
      <c r="WKB2474" s="60"/>
      <c r="WKC2474" s="63"/>
      <c r="WKD2474" s="61"/>
      <c r="WKE2474" s="54"/>
      <c r="WKF2474" s="54"/>
      <c r="WKG2474" s="60"/>
      <c r="WKH2474" s="60"/>
      <c r="WKI2474" s="60"/>
      <c r="WKJ2474" s="60"/>
      <c r="WKK2474" s="63"/>
      <c r="WKL2474" s="61"/>
      <c r="WKM2474" s="54"/>
      <c r="WKN2474" s="54"/>
      <c r="WKO2474" s="60"/>
      <c r="WKP2474" s="60"/>
      <c r="WKQ2474" s="60"/>
      <c r="WKR2474" s="60"/>
      <c r="WKS2474" s="63"/>
      <c r="WKT2474" s="61"/>
      <c r="WKU2474" s="54"/>
      <c r="WKV2474" s="54"/>
      <c r="WKW2474" s="60"/>
      <c r="WKX2474" s="60"/>
      <c r="WKY2474" s="60"/>
      <c r="WKZ2474" s="60"/>
      <c r="WLA2474" s="63"/>
      <c r="WLB2474" s="61"/>
      <c r="WLC2474" s="54"/>
      <c r="WLD2474" s="54"/>
      <c r="WLE2474" s="60"/>
      <c r="WLF2474" s="60"/>
      <c r="WLG2474" s="60"/>
      <c r="WLH2474" s="60"/>
      <c r="WLI2474" s="63"/>
      <c r="WLJ2474" s="61"/>
      <c r="WLK2474" s="54"/>
      <c r="WLL2474" s="54"/>
      <c r="WLM2474" s="60"/>
      <c r="WLN2474" s="60"/>
      <c r="WLO2474" s="60"/>
      <c r="WLP2474" s="60"/>
      <c r="WLQ2474" s="63"/>
      <c r="WLR2474" s="61"/>
      <c r="WLS2474" s="54"/>
      <c r="WLT2474" s="54"/>
      <c r="WLU2474" s="60"/>
      <c r="WLV2474" s="60"/>
      <c r="WLW2474" s="60"/>
      <c r="WLX2474" s="60"/>
      <c r="WLY2474" s="63"/>
      <c r="WLZ2474" s="61"/>
      <c r="WMA2474" s="54"/>
      <c r="WMB2474" s="54"/>
      <c r="WMC2474" s="60"/>
      <c r="WMD2474" s="60"/>
      <c r="WME2474" s="60"/>
      <c r="WMF2474" s="60"/>
      <c r="WMG2474" s="63"/>
      <c r="WMH2474" s="61"/>
      <c r="WMI2474" s="54"/>
      <c r="WMJ2474" s="54"/>
      <c r="WMK2474" s="60"/>
      <c r="WML2474" s="60"/>
      <c r="WMM2474" s="60"/>
      <c r="WMN2474" s="60"/>
      <c r="WMO2474" s="63"/>
      <c r="WMP2474" s="61"/>
      <c r="WMQ2474" s="54"/>
      <c r="WMR2474" s="54"/>
      <c r="WMS2474" s="60"/>
      <c r="WMT2474" s="60"/>
      <c r="WMU2474" s="60"/>
      <c r="WMV2474" s="60"/>
      <c r="WMW2474" s="63"/>
      <c r="WMX2474" s="61"/>
      <c r="WMY2474" s="54"/>
      <c r="WMZ2474" s="54"/>
      <c r="WNA2474" s="60"/>
      <c r="WNB2474" s="60"/>
      <c r="WNC2474" s="60"/>
      <c r="WND2474" s="60"/>
      <c r="WNE2474" s="63"/>
      <c r="WNF2474" s="61"/>
      <c r="WNG2474" s="54"/>
      <c r="WNH2474" s="54"/>
      <c r="WNI2474" s="60"/>
      <c r="WNJ2474" s="60"/>
      <c r="WNK2474" s="60"/>
      <c r="WNL2474" s="60"/>
      <c r="WNM2474" s="63"/>
      <c r="WNN2474" s="61"/>
      <c r="WNO2474" s="54"/>
      <c r="WNP2474" s="54"/>
      <c r="WNQ2474" s="60"/>
      <c r="WNR2474" s="60"/>
      <c r="WNS2474" s="60"/>
      <c r="WNT2474" s="60"/>
      <c r="WNU2474" s="63"/>
      <c r="WNV2474" s="61"/>
      <c r="WNW2474" s="54"/>
      <c r="WNX2474" s="54"/>
      <c r="WNY2474" s="60"/>
      <c r="WNZ2474" s="60"/>
      <c r="WOA2474" s="60"/>
      <c r="WOB2474" s="60"/>
      <c r="WOC2474" s="63"/>
      <c r="WOD2474" s="61"/>
      <c r="WOE2474" s="54"/>
      <c r="WOF2474" s="54"/>
      <c r="WOG2474" s="60"/>
      <c r="WOH2474" s="60"/>
      <c r="WOI2474" s="60"/>
      <c r="WOJ2474" s="60"/>
      <c r="WOK2474" s="63"/>
      <c r="WOL2474" s="61"/>
      <c r="WOM2474" s="54"/>
      <c r="WON2474" s="54"/>
      <c r="WOO2474" s="60"/>
      <c r="WOP2474" s="60"/>
      <c r="WOQ2474" s="60"/>
      <c r="WOR2474" s="60"/>
      <c r="WOS2474" s="63"/>
      <c r="WOT2474" s="61"/>
      <c r="WOU2474" s="54"/>
      <c r="WOV2474" s="54"/>
      <c r="WOW2474" s="60"/>
      <c r="WOX2474" s="60"/>
      <c r="WOY2474" s="60"/>
      <c r="WOZ2474" s="60"/>
      <c r="WPA2474" s="63"/>
      <c r="WPB2474" s="61"/>
      <c r="WPC2474" s="54"/>
      <c r="WPD2474" s="54"/>
      <c r="WPE2474" s="60"/>
      <c r="WPF2474" s="60"/>
      <c r="WPG2474" s="60"/>
      <c r="WPH2474" s="60"/>
      <c r="WPI2474" s="63"/>
      <c r="WPJ2474" s="61"/>
      <c r="WPK2474" s="54"/>
      <c r="WPL2474" s="54"/>
      <c r="WPM2474" s="60"/>
      <c r="WPN2474" s="60"/>
      <c r="WPO2474" s="60"/>
      <c r="WPP2474" s="60"/>
      <c r="WPQ2474" s="63"/>
      <c r="WPR2474" s="61"/>
      <c r="WPS2474" s="54"/>
      <c r="WPT2474" s="54"/>
      <c r="WPU2474" s="60"/>
      <c r="WPV2474" s="60"/>
      <c r="WPW2474" s="60"/>
      <c r="WPX2474" s="60"/>
      <c r="WPY2474" s="63"/>
      <c r="WPZ2474" s="61"/>
      <c r="WQA2474" s="54"/>
      <c r="WQB2474" s="54"/>
      <c r="WQC2474" s="60"/>
      <c r="WQD2474" s="60"/>
      <c r="WQE2474" s="60"/>
      <c r="WQF2474" s="60"/>
      <c r="WQG2474" s="63"/>
      <c r="WQH2474" s="61"/>
      <c r="WQI2474" s="54"/>
      <c r="WQJ2474" s="54"/>
      <c r="WQK2474" s="60"/>
      <c r="WQL2474" s="60"/>
      <c r="WQM2474" s="60"/>
      <c r="WQN2474" s="60"/>
      <c r="WQO2474" s="63"/>
      <c r="WQP2474" s="61"/>
      <c r="WQQ2474" s="54"/>
      <c r="WQR2474" s="54"/>
      <c r="WQS2474" s="60"/>
      <c r="WQT2474" s="60"/>
      <c r="WQU2474" s="60"/>
      <c r="WQV2474" s="60"/>
      <c r="WQW2474" s="63"/>
      <c r="WQX2474" s="61"/>
      <c r="WQY2474" s="54"/>
      <c r="WQZ2474" s="54"/>
      <c r="WRA2474" s="60"/>
      <c r="WRB2474" s="60"/>
      <c r="WRC2474" s="60"/>
      <c r="WRD2474" s="60"/>
      <c r="WRE2474" s="63"/>
      <c r="WRF2474" s="61"/>
      <c r="WRG2474" s="54"/>
      <c r="WRH2474" s="54"/>
      <c r="WRI2474" s="60"/>
      <c r="WRJ2474" s="60"/>
      <c r="WRK2474" s="60"/>
      <c r="WRL2474" s="60"/>
      <c r="WRM2474" s="63"/>
      <c r="WRN2474" s="61"/>
      <c r="WRO2474" s="54"/>
      <c r="WRP2474" s="54"/>
      <c r="WRQ2474" s="60"/>
      <c r="WRR2474" s="60"/>
      <c r="WRS2474" s="60"/>
      <c r="WRT2474" s="60"/>
      <c r="WRU2474" s="63"/>
      <c r="WRV2474" s="61"/>
      <c r="WRW2474" s="54"/>
      <c r="WRX2474" s="54"/>
      <c r="WRY2474" s="60"/>
      <c r="WRZ2474" s="60"/>
      <c r="WSA2474" s="60"/>
      <c r="WSB2474" s="60"/>
      <c r="WSC2474" s="63"/>
      <c r="WSD2474" s="61"/>
      <c r="WSE2474" s="54"/>
      <c r="WSF2474" s="54"/>
      <c r="WSG2474" s="60"/>
      <c r="WSH2474" s="60"/>
      <c r="WSI2474" s="60"/>
      <c r="WSJ2474" s="60"/>
      <c r="WSK2474" s="63"/>
      <c r="WSL2474" s="61"/>
      <c r="WSM2474" s="54"/>
      <c r="WSN2474" s="54"/>
      <c r="WSO2474" s="60"/>
      <c r="WSP2474" s="60"/>
      <c r="WSQ2474" s="60"/>
      <c r="WSR2474" s="60"/>
      <c r="WSS2474" s="63"/>
      <c r="WST2474" s="61"/>
      <c r="WSU2474" s="54"/>
      <c r="WSV2474" s="54"/>
      <c r="WSW2474" s="60"/>
      <c r="WSX2474" s="60"/>
      <c r="WSY2474" s="60"/>
      <c r="WSZ2474" s="60"/>
      <c r="WTA2474" s="63"/>
      <c r="WTB2474" s="61"/>
      <c r="WTC2474" s="54"/>
      <c r="WTD2474" s="54"/>
      <c r="WTE2474" s="60"/>
      <c r="WTF2474" s="60"/>
      <c r="WTG2474" s="60"/>
      <c r="WTH2474" s="60"/>
      <c r="WTI2474" s="63"/>
      <c r="WTJ2474" s="61"/>
      <c r="WTK2474" s="54"/>
      <c r="WTL2474" s="54"/>
      <c r="WTM2474" s="60"/>
      <c r="WTN2474" s="60"/>
      <c r="WTO2474" s="60"/>
      <c r="WTP2474" s="60"/>
      <c r="WTQ2474" s="63"/>
      <c r="WTR2474" s="61"/>
      <c r="WTS2474" s="54"/>
      <c r="WTT2474" s="54"/>
      <c r="WTU2474" s="60"/>
      <c r="WTV2474" s="60"/>
      <c r="WTW2474" s="60"/>
      <c r="WTX2474" s="60"/>
      <c r="WTY2474" s="63"/>
      <c r="WTZ2474" s="61"/>
      <c r="WUA2474" s="54"/>
      <c r="WUB2474" s="54"/>
      <c r="WUC2474" s="60"/>
      <c r="WUD2474" s="60"/>
      <c r="WUE2474" s="60"/>
      <c r="WUF2474" s="60"/>
      <c r="WUG2474" s="63"/>
      <c r="WUH2474" s="61"/>
      <c r="WUI2474" s="54"/>
      <c r="WUJ2474" s="54"/>
      <c r="WUK2474" s="60"/>
      <c r="WUL2474" s="60"/>
      <c r="WUM2474" s="60"/>
      <c r="WUN2474" s="60"/>
      <c r="WUO2474" s="63"/>
      <c r="WUP2474" s="61"/>
      <c r="WUQ2474" s="54"/>
      <c r="WUR2474" s="54"/>
      <c r="WUS2474" s="60"/>
      <c r="WUT2474" s="60"/>
      <c r="WUU2474" s="60"/>
      <c r="WUV2474" s="60"/>
      <c r="WUW2474" s="63"/>
      <c r="WUX2474" s="61"/>
      <c r="WUY2474" s="54"/>
      <c r="WUZ2474" s="54"/>
      <c r="WVA2474" s="60"/>
      <c r="WVB2474" s="60"/>
      <c r="WVC2474" s="60"/>
      <c r="WVD2474" s="60"/>
      <c r="WVE2474" s="63"/>
      <c r="WVF2474" s="61"/>
      <c r="WVG2474" s="54"/>
      <c r="WVH2474" s="54"/>
      <c r="WVI2474" s="60"/>
      <c r="WVJ2474" s="60"/>
      <c r="WVK2474" s="60"/>
      <c r="WVL2474" s="60"/>
      <c r="WVM2474" s="63"/>
      <c r="WVN2474" s="61"/>
      <c r="WVO2474" s="54"/>
      <c r="WVP2474" s="54"/>
      <c r="WVQ2474" s="60"/>
      <c r="WVR2474" s="60"/>
      <c r="WVS2474" s="60"/>
      <c r="WVT2474" s="60"/>
      <c r="WVU2474" s="63"/>
      <c r="WVV2474" s="61"/>
      <c r="WVW2474" s="54"/>
      <c r="WVX2474" s="54"/>
      <c r="WVY2474" s="60"/>
      <c r="WVZ2474" s="60"/>
      <c r="WWA2474" s="60"/>
      <c r="WWB2474" s="60"/>
      <c r="WWC2474" s="63"/>
      <c r="WWD2474" s="61"/>
      <c r="WWE2474" s="54"/>
      <c r="WWF2474" s="54"/>
      <c r="WWG2474" s="60"/>
      <c r="WWH2474" s="60"/>
      <c r="WWI2474" s="60"/>
      <c r="WWJ2474" s="60"/>
      <c r="WWK2474" s="63"/>
      <c r="WWL2474" s="61"/>
      <c r="WWM2474" s="54"/>
      <c r="WWN2474" s="54"/>
      <c r="WWO2474" s="60"/>
      <c r="WWP2474" s="60"/>
      <c r="WWQ2474" s="60"/>
      <c r="WWR2474" s="60"/>
      <c r="WWS2474" s="63"/>
      <c r="WWT2474" s="61"/>
      <c r="WWU2474" s="54"/>
      <c r="WWV2474" s="54"/>
      <c r="WWW2474" s="60"/>
      <c r="WWX2474" s="60"/>
      <c r="WWY2474" s="60"/>
      <c r="WWZ2474" s="60"/>
      <c r="WXA2474" s="63"/>
      <c r="WXB2474" s="61"/>
      <c r="WXC2474" s="54"/>
      <c r="WXD2474" s="54"/>
      <c r="WXE2474" s="60"/>
      <c r="WXF2474" s="60"/>
      <c r="WXG2474" s="60"/>
      <c r="WXH2474" s="60"/>
      <c r="WXI2474" s="63"/>
      <c r="WXJ2474" s="61"/>
      <c r="WXK2474" s="54"/>
      <c r="WXL2474" s="54"/>
      <c r="WXM2474" s="60"/>
      <c r="WXN2474" s="60"/>
      <c r="WXO2474" s="60"/>
      <c r="WXP2474" s="60"/>
      <c r="WXQ2474" s="63"/>
      <c r="WXR2474" s="61"/>
      <c r="WXS2474" s="54"/>
      <c r="WXT2474" s="54"/>
      <c r="WXU2474" s="60"/>
      <c r="WXV2474" s="60"/>
      <c r="WXW2474" s="60"/>
      <c r="WXX2474" s="60"/>
      <c r="WXY2474" s="63"/>
      <c r="WXZ2474" s="61"/>
      <c r="WYA2474" s="54"/>
      <c r="WYB2474" s="54"/>
      <c r="WYC2474" s="60"/>
      <c r="WYD2474" s="60"/>
      <c r="WYE2474" s="60"/>
      <c r="WYF2474" s="60"/>
      <c r="WYG2474" s="63"/>
      <c r="WYH2474" s="61"/>
      <c r="WYI2474" s="54"/>
      <c r="WYJ2474" s="54"/>
      <c r="WYK2474" s="60"/>
      <c r="WYL2474" s="60"/>
      <c r="WYM2474" s="60"/>
      <c r="WYN2474" s="60"/>
      <c r="WYO2474" s="63"/>
      <c r="WYP2474" s="61"/>
      <c r="WYQ2474" s="54"/>
      <c r="WYR2474" s="54"/>
      <c r="WYS2474" s="60"/>
      <c r="WYT2474" s="60"/>
      <c r="WYU2474" s="60"/>
      <c r="WYV2474" s="60"/>
      <c r="WYW2474" s="63"/>
      <c r="WYX2474" s="61"/>
      <c r="WYY2474" s="54"/>
      <c r="WYZ2474" s="54"/>
      <c r="WZA2474" s="60"/>
      <c r="WZB2474" s="60"/>
      <c r="WZC2474" s="60"/>
      <c r="WZD2474" s="60"/>
      <c r="WZE2474" s="63"/>
      <c r="WZF2474" s="61"/>
      <c r="WZG2474" s="54"/>
      <c r="WZH2474" s="54"/>
      <c r="WZI2474" s="60"/>
      <c r="WZJ2474" s="60"/>
      <c r="WZK2474" s="60"/>
      <c r="WZL2474" s="60"/>
      <c r="WZM2474" s="63"/>
      <c r="WZN2474" s="61"/>
      <c r="WZO2474" s="54"/>
      <c r="WZP2474" s="54"/>
      <c r="WZQ2474" s="60"/>
      <c r="WZR2474" s="60"/>
      <c r="WZS2474" s="60"/>
      <c r="WZT2474" s="60"/>
      <c r="WZU2474" s="63"/>
      <c r="WZV2474" s="61"/>
      <c r="WZW2474" s="54"/>
      <c r="WZX2474" s="54"/>
      <c r="WZY2474" s="60"/>
      <c r="WZZ2474" s="60"/>
      <c r="XAA2474" s="60"/>
      <c r="XAB2474" s="60"/>
      <c r="XAC2474" s="63"/>
      <c r="XAD2474" s="61"/>
      <c r="XAE2474" s="54"/>
      <c r="XAF2474" s="54"/>
      <c r="XAG2474" s="60"/>
      <c r="XAH2474" s="60"/>
      <c r="XAI2474" s="60"/>
      <c r="XAJ2474" s="60"/>
      <c r="XAK2474" s="63"/>
      <c r="XAL2474" s="61"/>
      <c r="XAM2474" s="54"/>
      <c r="XAN2474" s="54"/>
      <c r="XAO2474" s="60"/>
      <c r="XAP2474" s="60"/>
      <c r="XAQ2474" s="60"/>
      <c r="XAR2474" s="60"/>
      <c r="XAS2474" s="63"/>
      <c r="XAT2474" s="61"/>
      <c r="XAU2474" s="54"/>
      <c r="XAV2474" s="54"/>
      <c r="XAW2474" s="60"/>
      <c r="XAX2474" s="60"/>
      <c r="XAY2474" s="60"/>
      <c r="XAZ2474" s="60"/>
      <c r="XBA2474" s="63"/>
      <c r="XBB2474" s="61"/>
      <c r="XBC2474" s="54"/>
      <c r="XBD2474" s="54"/>
      <c r="XBE2474" s="60"/>
      <c r="XBF2474" s="60"/>
      <c r="XBG2474" s="60"/>
      <c r="XBH2474" s="60"/>
      <c r="XBI2474" s="63"/>
      <c r="XBJ2474" s="61"/>
      <c r="XBK2474" s="54"/>
      <c r="XBL2474" s="54"/>
      <c r="XBM2474" s="60"/>
      <c r="XBN2474" s="60"/>
      <c r="XBO2474" s="60"/>
      <c r="XBP2474" s="60"/>
      <c r="XBQ2474" s="63"/>
      <c r="XBR2474" s="61"/>
      <c r="XBS2474" s="54"/>
      <c r="XBT2474" s="54"/>
      <c r="XBU2474" s="60"/>
      <c r="XBV2474" s="60"/>
      <c r="XBW2474" s="60"/>
      <c r="XBX2474" s="60"/>
      <c r="XBY2474" s="63"/>
      <c r="XBZ2474" s="61"/>
      <c r="XCA2474" s="54"/>
      <c r="XCB2474" s="54"/>
      <c r="XCC2474" s="60"/>
      <c r="XCD2474" s="60"/>
      <c r="XCE2474" s="60"/>
      <c r="XCF2474" s="60"/>
      <c r="XCG2474" s="63"/>
      <c r="XCH2474" s="61"/>
      <c r="XCI2474" s="54"/>
      <c r="XCJ2474" s="54"/>
      <c r="XCK2474" s="60"/>
      <c r="XCL2474" s="60"/>
      <c r="XCM2474" s="60"/>
      <c r="XCN2474" s="60"/>
      <c r="XCO2474" s="63"/>
      <c r="XCP2474" s="61"/>
      <c r="XCQ2474" s="54"/>
      <c r="XCR2474" s="54"/>
      <c r="XCS2474" s="60"/>
      <c r="XCT2474" s="60"/>
      <c r="XCU2474" s="60"/>
      <c r="XCV2474" s="60"/>
      <c r="XCW2474" s="63"/>
      <c r="XCX2474" s="61"/>
      <c r="XCY2474" s="54"/>
      <c r="XCZ2474" s="54"/>
      <c r="XDA2474" s="60"/>
      <c r="XDB2474" s="60"/>
      <c r="XDC2474" s="60"/>
      <c r="XDD2474" s="60"/>
      <c r="XDE2474" s="63"/>
      <c r="XDF2474" s="61"/>
      <c r="XDG2474" s="54"/>
      <c r="XDH2474" s="54"/>
      <c r="XDI2474" s="60"/>
      <c r="XDJ2474" s="60"/>
      <c r="XDK2474" s="60"/>
      <c r="XDL2474" s="60"/>
      <c r="XDM2474" s="63"/>
      <c r="XDN2474" s="61"/>
      <c r="XDO2474" s="54"/>
      <c r="XDP2474" s="54"/>
      <c r="XDQ2474" s="60"/>
      <c r="XDR2474" s="60"/>
      <c r="XDS2474" s="60"/>
      <c r="XDT2474" s="60"/>
      <c r="XDU2474" s="63"/>
      <c r="XDV2474" s="61"/>
      <c r="XDW2474" s="54"/>
      <c r="XDX2474" s="54"/>
      <c r="XDY2474" s="60"/>
      <c r="XDZ2474" s="60"/>
      <c r="XEA2474" s="60"/>
      <c r="XEB2474" s="60"/>
      <c r="XEC2474" s="63"/>
      <c r="XED2474" s="61"/>
      <c r="XEE2474" s="54"/>
      <c r="XEF2474" s="54"/>
      <c r="XEG2474" s="60"/>
      <c r="XEH2474" s="60"/>
      <c r="XEI2474" s="60"/>
      <c r="XEJ2474" s="60"/>
      <c r="XEK2474" s="63"/>
      <c r="XEL2474" s="61"/>
      <c r="XEM2474" s="54"/>
      <c r="XEN2474" s="54"/>
      <c r="XEO2474" s="60"/>
      <c r="XEP2474" s="60"/>
      <c r="XEQ2474" s="60"/>
      <c r="XER2474" s="60"/>
      <c r="XES2474" s="63"/>
      <c r="XET2474" s="61"/>
      <c r="XEU2474" s="54"/>
      <c r="XEV2474" s="54"/>
      <c r="XEW2474" s="60"/>
    </row>
    <row r="2475" ht="18" customHeight="1" spans="1:16377">
      <c r="A2475" s="6" t="s">
        <v>8209</v>
      </c>
      <c r="B2475" s="6" t="s">
        <v>8540</v>
      </c>
      <c r="C2475" s="11" t="s">
        <v>8566</v>
      </c>
      <c r="D2475" s="5" t="s">
        <v>16374</v>
      </c>
      <c r="E2475" s="11" t="s">
        <v>8567</v>
      </c>
      <c r="F2475" s="7" t="s">
        <v>11535</v>
      </c>
      <c r="G2475" s="54"/>
      <c r="H2475" s="54"/>
      <c r="I2475" s="60"/>
      <c r="J2475" s="60"/>
      <c r="K2475" s="60"/>
      <c r="L2475" s="60"/>
      <c r="M2475" s="63"/>
      <c r="N2475" s="61"/>
      <c r="O2475" s="54"/>
      <c r="P2475" s="54"/>
      <c r="Q2475" s="60"/>
      <c r="R2475" s="60"/>
      <c r="S2475" s="60"/>
      <c r="T2475" s="60"/>
      <c r="U2475" s="63"/>
      <c r="V2475" s="61"/>
      <c r="W2475" s="54"/>
      <c r="X2475" s="54"/>
      <c r="Y2475" s="60"/>
      <c r="Z2475" s="60"/>
      <c r="AA2475" s="60"/>
      <c r="AB2475" s="60"/>
      <c r="AC2475" s="63"/>
      <c r="AD2475" s="61"/>
      <c r="AE2475" s="54"/>
      <c r="AF2475" s="54"/>
      <c r="AG2475" s="60"/>
      <c r="AH2475" s="60"/>
      <c r="AI2475" s="60"/>
      <c r="AJ2475" s="60"/>
      <c r="AK2475" s="63"/>
      <c r="AL2475" s="61"/>
      <c r="AM2475" s="54"/>
      <c r="AN2475" s="54"/>
      <c r="AO2475" s="60"/>
      <c r="AP2475" s="60"/>
      <c r="AQ2475" s="60"/>
      <c r="AR2475" s="60"/>
      <c r="AS2475" s="63"/>
      <c r="AT2475" s="61"/>
      <c r="AU2475" s="54"/>
      <c r="AV2475" s="54"/>
      <c r="AW2475" s="60"/>
      <c r="AX2475" s="60"/>
      <c r="AY2475" s="60"/>
      <c r="AZ2475" s="60"/>
      <c r="BA2475" s="63"/>
      <c r="BB2475" s="61"/>
      <c r="BC2475" s="54"/>
      <c r="BD2475" s="54"/>
      <c r="BE2475" s="60"/>
      <c r="BF2475" s="60"/>
      <c r="BG2475" s="60"/>
      <c r="BH2475" s="60"/>
      <c r="BI2475" s="63"/>
      <c r="BJ2475" s="61"/>
      <c r="BK2475" s="54"/>
      <c r="BL2475" s="54"/>
      <c r="BM2475" s="60"/>
      <c r="BN2475" s="60"/>
      <c r="BO2475" s="60"/>
      <c r="BP2475" s="60"/>
      <c r="BQ2475" s="63"/>
      <c r="BR2475" s="61"/>
      <c r="BS2475" s="54"/>
      <c r="BT2475" s="54"/>
      <c r="BU2475" s="60"/>
      <c r="BV2475" s="60"/>
      <c r="BW2475" s="60"/>
      <c r="BX2475" s="60"/>
      <c r="BY2475" s="63"/>
      <c r="BZ2475" s="61"/>
      <c r="CA2475" s="54"/>
      <c r="CB2475" s="54"/>
      <c r="CC2475" s="60"/>
      <c r="CD2475" s="60"/>
      <c r="CE2475" s="60"/>
      <c r="CF2475" s="60"/>
      <c r="CG2475" s="63"/>
      <c r="CH2475" s="61"/>
      <c r="CI2475" s="54"/>
      <c r="CJ2475" s="54"/>
      <c r="CK2475" s="60"/>
      <c r="CL2475" s="60"/>
      <c r="CM2475" s="60"/>
      <c r="CN2475" s="60"/>
      <c r="CO2475" s="63"/>
      <c r="CP2475" s="61"/>
      <c r="CQ2475" s="54"/>
      <c r="CR2475" s="54"/>
      <c r="CS2475" s="60"/>
      <c r="CT2475" s="60"/>
      <c r="CU2475" s="60"/>
      <c r="CV2475" s="60"/>
      <c r="CW2475" s="63"/>
      <c r="CX2475" s="61"/>
      <c r="CY2475" s="54"/>
      <c r="CZ2475" s="54"/>
      <c r="DA2475" s="60"/>
      <c r="DB2475" s="60"/>
      <c r="DC2475" s="60"/>
      <c r="DD2475" s="60"/>
      <c r="DE2475" s="63"/>
      <c r="DF2475" s="61"/>
      <c r="DG2475" s="54"/>
      <c r="DH2475" s="54"/>
      <c r="DI2475" s="60"/>
      <c r="DJ2475" s="60"/>
      <c r="DK2475" s="60"/>
      <c r="DL2475" s="60"/>
      <c r="DM2475" s="63"/>
      <c r="DN2475" s="61"/>
      <c r="DO2475" s="54"/>
      <c r="DP2475" s="54"/>
      <c r="DQ2475" s="60"/>
      <c r="DR2475" s="60"/>
      <c r="DS2475" s="60"/>
      <c r="DT2475" s="60"/>
      <c r="DU2475" s="63"/>
      <c r="DV2475" s="61"/>
      <c r="DW2475" s="54"/>
      <c r="DX2475" s="54"/>
      <c r="DY2475" s="60"/>
      <c r="DZ2475" s="60"/>
      <c r="EA2475" s="60"/>
      <c r="EB2475" s="60"/>
      <c r="EC2475" s="63"/>
      <c r="ED2475" s="61"/>
      <c r="EE2475" s="54"/>
      <c r="EF2475" s="54"/>
      <c r="EG2475" s="60"/>
      <c r="EH2475" s="60"/>
      <c r="EI2475" s="60"/>
      <c r="EJ2475" s="60"/>
      <c r="EK2475" s="63"/>
      <c r="EL2475" s="61"/>
      <c r="EM2475" s="54"/>
      <c r="EN2475" s="54"/>
      <c r="EO2475" s="60"/>
      <c r="EP2475" s="60"/>
      <c r="EQ2475" s="60"/>
      <c r="ER2475" s="60"/>
      <c r="ES2475" s="63"/>
      <c r="ET2475" s="61"/>
      <c r="EU2475" s="54"/>
      <c r="EV2475" s="54"/>
      <c r="EW2475" s="60"/>
      <c r="EX2475" s="60"/>
      <c r="EY2475" s="60"/>
      <c r="EZ2475" s="60"/>
      <c r="FA2475" s="63"/>
      <c r="FB2475" s="61"/>
      <c r="FC2475" s="54"/>
      <c r="FD2475" s="54"/>
      <c r="FE2475" s="60"/>
      <c r="FF2475" s="60"/>
      <c r="FG2475" s="60"/>
      <c r="FH2475" s="60"/>
      <c r="FI2475" s="63"/>
      <c r="FJ2475" s="61"/>
      <c r="FK2475" s="54"/>
      <c r="FL2475" s="54"/>
      <c r="FM2475" s="60"/>
      <c r="FN2475" s="60"/>
      <c r="FO2475" s="60"/>
      <c r="FP2475" s="60"/>
      <c r="FQ2475" s="63"/>
      <c r="FR2475" s="61"/>
      <c r="FS2475" s="54"/>
      <c r="FT2475" s="54"/>
      <c r="FU2475" s="60"/>
      <c r="FV2475" s="60"/>
      <c r="FW2475" s="60"/>
      <c r="FX2475" s="60"/>
      <c r="FY2475" s="63"/>
      <c r="FZ2475" s="61"/>
      <c r="GA2475" s="54"/>
      <c r="GB2475" s="54"/>
      <c r="GC2475" s="60"/>
      <c r="GD2475" s="60"/>
      <c r="GE2475" s="60"/>
      <c r="GF2475" s="60"/>
      <c r="GG2475" s="63"/>
      <c r="GH2475" s="61"/>
      <c r="GI2475" s="54"/>
      <c r="GJ2475" s="54"/>
      <c r="GK2475" s="60"/>
      <c r="GL2475" s="60"/>
      <c r="GM2475" s="60"/>
      <c r="GN2475" s="60"/>
      <c r="GO2475" s="63"/>
      <c r="GP2475" s="61"/>
      <c r="GQ2475" s="54"/>
      <c r="GR2475" s="54"/>
      <c r="GS2475" s="60"/>
      <c r="GT2475" s="60"/>
      <c r="GU2475" s="60"/>
      <c r="GV2475" s="60"/>
      <c r="GW2475" s="63"/>
      <c r="GX2475" s="61"/>
      <c r="GY2475" s="54"/>
      <c r="GZ2475" s="54"/>
      <c r="HA2475" s="60"/>
      <c r="HB2475" s="60"/>
      <c r="HC2475" s="60"/>
      <c r="HD2475" s="60"/>
      <c r="HE2475" s="63"/>
      <c r="HF2475" s="61"/>
      <c r="HG2475" s="54"/>
      <c r="HH2475" s="54"/>
      <c r="HI2475" s="60"/>
      <c r="HJ2475" s="60"/>
      <c r="HK2475" s="60"/>
      <c r="HL2475" s="60"/>
      <c r="HM2475" s="63"/>
      <c r="HN2475" s="61"/>
      <c r="HO2475" s="54"/>
      <c r="HP2475" s="54"/>
      <c r="HQ2475" s="60"/>
      <c r="HR2475" s="60"/>
      <c r="HS2475" s="60"/>
      <c r="HT2475" s="60"/>
      <c r="HU2475" s="63"/>
      <c r="HV2475" s="61"/>
      <c r="HW2475" s="54"/>
      <c r="HX2475" s="54"/>
      <c r="HY2475" s="60"/>
      <c r="HZ2475" s="60"/>
      <c r="IA2475" s="60"/>
      <c r="IB2475" s="60"/>
      <c r="IC2475" s="63"/>
      <c r="ID2475" s="61"/>
      <c r="IE2475" s="54"/>
      <c r="IF2475" s="54"/>
      <c r="IG2475" s="60"/>
      <c r="IH2475" s="60"/>
      <c r="II2475" s="60"/>
      <c r="IJ2475" s="60"/>
      <c r="IK2475" s="63"/>
      <c r="IL2475" s="61"/>
      <c r="IM2475" s="54"/>
      <c r="IN2475" s="54"/>
      <c r="IO2475" s="60"/>
      <c r="IP2475" s="60"/>
      <c r="IQ2475" s="60"/>
      <c r="IR2475" s="60"/>
      <c r="IS2475" s="63"/>
      <c r="IT2475" s="61"/>
      <c r="IU2475" s="54"/>
      <c r="IV2475" s="54"/>
      <c r="IW2475" s="60"/>
      <c r="IX2475" s="60"/>
      <c r="IY2475" s="60"/>
      <c r="IZ2475" s="60"/>
      <c r="JA2475" s="63"/>
      <c r="JB2475" s="61"/>
      <c r="JC2475" s="54"/>
      <c r="JD2475" s="54"/>
      <c r="JE2475" s="60"/>
      <c r="JF2475" s="60"/>
      <c r="JG2475" s="60"/>
      <c r="JH2475" s="60"/>
      <c r="JI2475" s="63"/>
      <c r="JJ2475" s="61"/>
      <c r="JK2475" s="54"/>
      <c r="JL2475" s="54"/>
      <c r="JM2475" s="60"/>
      <c r="JN2475" s="60"/>
      <c r="JO2475" s="60"/>
      <c r="JP2475" s="60"/>
      <c r="JQ2475" s="63"/>
      <c r="JR2475" s="61"/>
      <c r="JS2475" s="54"/>
      <c r="JT2475" s="54"/>
      <c r="JU2475" s="60"/>
      <c r="JV2475" s="60"/>
      <c r="JW2475" s="60"/>
      <c r="JX2475" s="60"/>
      <c r="JY2475" s="63"/>
      <c r="JZ2475" s="61"/>
      <c r="KA2475" s="54"/>
      <c r="KB2475" s="54"/>
      <c r="KC2475" s="60"/>
      <c r="KD2475" s="60"/>
      <c r="KE2475" s="60"/>
      <c r="KF2475" s="60"/>
      <c r="KG2475" s="63"/>
      <c r="KH2475" s="61"/>
      <c r="KI2475" s="54"/>
      <c r="KJ2475" s="54"/>
      <c r="KK2475" s="60"/>
      <c r="KL2475" s="60"/>
      <c r="KM2475" s="60"/>
      <c r="KN2475" s="60"/>
      <c r="KO2475" s="63"/>
      <c r="KP2475" s="61"/>
      <c r="KQ2475" s="54"/>
      <c r="KR2475" s="54"/>
      <c r="KS2475" s="60"/>
      <c r="KT2475" s="60"/>
      <c r="KU2475" s="60"/>
      <c r="KV2475" s="60"/>
      <c r="KW2475" s="63"/>
      <c r="KX2475" s="61"/>
      <c r="KY2475" s="54"/>
      <c r="KZ2475" s="54"/>
      <c r="LA2475" s="60"/>
      <c r="LB2475" s="60"/>
      <c r="LC2475" s="60"/>
      <c r="LD2475" s="60"/>
      <c r="LE2475" s="63"/>
      <c r="LF2475" s="61"/>
      <c r="LG2475" s="54"/>
      <c r="LH2475" s="54"/>
      <c r="LI2475" s="60"/>
      <c r="LJ2475" s="60"/>
      <c r="LK2475" s="60"/>
      <c r="LL2475" s="60"/>
      <c r="LM2475" s="63"/>
      <c r="LN2475" s="61"/>
      <c r="LO2475" s="54"/>
      <c r="LP2475" s="54"/>
      <c r="LQ2475" s="60"/>
      <c r="LR2475" s="60"/>
      <c r="LS2475" s="60"/>
      <c r="LT2475" s="60"/>
      <c r="LU2475" s="63"/>
      <c r="LV2475" s="61"/>
      <c r="LW2475" s="54"/>
      <c r="LX2475" s="54"/>
      <c r="LY2475" s="60"/>
      <c r="LZ2475" s="60"/>
      <c r="MA2475" s="60"/>
      <c r="MB2475" s="60"/>
      <c r="MC2475" s="63"/>
      <c r="MD2475" s="61"/>
      <c r="ME2475" s="54"/>
      <c r="MF2475" s="54"/>
      <c r="MG2475" s="60"/>
      <c r="MH2475" s="60"/>
      <c r="MI2475" s="60"/>
      <c r="MJ2475" s="60"/>
      <c r="MK2475" s="63"/>
      <c r="ML2475" s="61"/>
      <c r="MM2475" s="54"/>
      <c r="MN2475" s="54"/>
      <c r="MO2475" s="60"/>
      <c r="MP2475" s="60"/>
      <c r="MQ2475" s="60"/>
      <c r="MR2475" s="60"/>
      <c r="MS2475" s="63"/>
      <c r="MT2475" s="61"/>
      <c r="MU2475" s="54"/>
      <c r="MV2475" s="54"/>
      <c r="MW2475" s="60"/>
      <c r="MX2475" s="60"/>
      <c r="MY2475" s="60"/>
      <c r="MZ2475" s="60"/>
      <c r="NA2475" s="63"/>
      <c r="NB2475" s="61"/>
      <c r="NC2475" s="54"/>
      <c r="ND2475" s="54"/>
      <c r="NE2475" s="60"/>
      <c r="NF2475" s="60"/>
      <c r="NG2475" s="60"/>
      <c r="NH2475" s="60"/>
      <c r="NI2475" s="63"/>
      <c r="NJ2475" s="61"/>
      <c r="NK2475" s="54"/>
      <c r="NL2475" s="54"/>
      <c r="NM2475" s="60"/>
      <c r="NN2475" s="60"/>
      <c r="NO2475" s="60"/>
      <c r="NP2475" s="60"/>
      <c r="NQ2475" s="63"/>
      <c r="NR2475" s="61"/>
      <c r="NS2475" s="54"/>
      <c r="NT2475" s="54"/>
      <c r="NU2475" s="60"/>
      <c r="NV2475" s="60"/>
      <c r="NW2475" s="60"/>
      <c r="NX2475" s="60"/>
      <c r="NY2475" s="63"/>
      <c r="NZ2475" s="61"/>
      <c r="OA2475" s="54"/>
      <c r="OB2475" s="54"/>
      <c r="OC2475" s="60"/>
      <c r="OD2475" s="60"/>
      <c r="OE2475" s="60"/>
      <c r="OF2475" s="60"/>
      <c r="OG2475" s="63"/>
      <c r="OH2475" s="61"/>
      <c r="OI2475" s="54"/>
      <c r="OJ2475" s="54"/>
      <c r="OK2475" s="60"/>
      <c r="OL2475" s="60"/>
      <c r="OM2475" s="60"/>
      <c r="ON2475" s="60"/>
      <c r="OO2475" s="63"/>
      <c r="OP2475" s="61"/>
      <c r="OQ2475" s="54"/>
      <c r="OR2475" s="54"/>
      <c r="OS2475" s="60"/>
      <c r="OT2475" s="60"/>
      <c r="OU2475" s="60"/>
      <c r="OV2475" s="60"/>
      <c r="OW2475" s="63"/>
      <c r="OX2475" s="61"/>
      <c r="OY2475" s="54"/>
      <c r="OZ2475" s="54"/>
      <c r="PA2475" s="60"/>
      <c r="PB2475" s="60"/>
      <c r="PC2475" s="60"/>
      <c r="PD2475" s="60"/>
      <c r="PE2475" s="63"/>
      <c r="PF2475" s="61"/>
      <c r="PG2475" s="54"/>
      <c r="PH2475" s="54"/>
      <c r="PI2475" s="60"/>
      <c r="PJ2475" s="60"/>
      <c r="PK2475" s="60"/>
      <c r="PL2475" s="60"/>
      <c r="PM2475" s="63"/>
      <c r="PN2475" s="61"/>
      <c r="PO2475" s="54"/>
      <c r="PP2475" s="54"/>
      <c r="PQ2475" s="60"/>
      <c r="PR2475" s="60"/>
      <c r="PS2475" s="60"/>
      <c r="PT2475" s="60"/>
      <c r="PU2475" s="63"/>
      <c r="PV2475" s="61"/>
      <c r="PW2475" s="54"/>
      <c r="PX2475" s="54"/>
      <c r="PY2475" s="60"/>
      <c r="PZ2475" s="60"/>
      <c r="QA2475" s="60"/>
      <c r="QB2475" s="60"/>
      <c r="QC2475" s="63"/>
      <c r="QD2475" s="61"/>
      <c r="QE2475" s="54"/>
      <c r="QF2475" s="54"/>
      <c r="QG2475" s="60"/>
      <c r="QH2475" s="60"/>
      <c r="QI2475" s="60"/>
      <c r="QJ2475" s="60"/>
      <c r="QK2475" s="63"/>
      <c r="QL2475" s="61"/>
      <c r="QM2475" s="54"/>
      <c r="QN2475" s="54"/>
      <c r="QO2475" s="60"/>
      <c r="QP2475" s="60"/>
      <c r="QQ2475" s="60"/>
      <c r="QR2475" s="60"/>
      <c r="QS2475" s="63"/>
      <c r="QT2475" s="61"/>
      <c r="QU2475" s="54"/>
      <c r="QV2475" s="54"/>
      <c r="QW2475" s="60"/>
      <c r="QX2475" s="60"/>
      <c r="QY2475" s="60"/>
      <c r="QZ2475" s="60"/>
      <c r="RA2475" s="63"/>
      <c r="RB2475" s="61"/>
      <c r="RC2475" s="54"/>
      <c r="RD2475" s="54"/>
      <c r="RE2475" s="60"/>
      <c r="RF2475" s="60"/>
      <c r="RG2475" s="60"/>
      <c r="RH2475" s="60"/>
      <c r="RI2475" s="63"/>
      <c r="RJ2475" s="61"/>
      <c r="RK2475" s="54"/>
      <c r="RL2475" s="54"/>
      <c r="RM2475" s="60"/>
      <c r="RN2475" s="60"/>
      <c r="RO2475" s="60"/>
      <c r="RP2475" s="60"/>
      <c r="RQ2475" s="63"/>
      <c r="RR2475" s="61"/>
      <c r="RS2475" s="54"/>
      <c r="RT2475" s="54"/>
      <c r="RU2475" s="60"/>
      <c r="RV2475" s="60"/>
      <c r="RW2475" s="60"/>
      <c r="RX2475" s="60"/>
      <c r="RY2475" s="63"/>
      <c r="RZ2475" s="61"/>
      <c r="SA2475" s="54"/>
      <c r="SB2475" s="54"/>
      <c r="SC2475" s="60"/>
      <c r="SD2475" s="60"/>
      <c r="SE2475" s="60"/>
      <c r="SF2475" s="60"/>
      <c r="SG2475" s="63"/>
      <c r="SH2475" s="61"/>
      <c r="SI2475" s="54"/>
      <c r="SJ2475" s="54"/>
      <c r="SK2475" s="60"/>
      <c r="SL2475" s="60"/>
      <c r="SM2475" s="60"/>
      <c r="SN2475" s="60"/>
      <c r="SO2475" s="63"/>
      <c r="SP2475" s="61"/>
      <c r="SQ2475" s="54"/>
      <c r="SR2475" s="54"/>
      <c r="SS2475" s="60"/>
      <c r="ST2475" s="60"/>
      <c r="SU2475" s="60"/>
      <c r="SV2475" s="60"/>
      <c r="SW2475" s="63"/>
      <c r="SX2475" s="61"/>
      <c r="SY2475" s="54"/>
      <c r="SZ2475" s="54"/>
      <c r="TA2475" s="60"/>
      <c r="TB2475" s="60"/>
      <c r="TC2475" s="60"/>
      <c r="TD2475" s="60"/>
      <c r="TE2475" s="63"/>
      <c r="TF2475" s="61"/>
      <c r="TG2475" s="54"/>
      <c r="TH2475" s="54"/>
      <c r="TI2475" s="60"/>
      <c r="TJ2475" s="60"/>
      <c r="TK2475" s="60"/>
      <c r="TL2475" s="60"/>
      <c r="TM2475" s="63"/>
      <c r="TN2475" s="61"/>
      <c r="TO2475" s="54"/>
      <c r="TP2475" s="54"/>
      <c r="TQ2475" s="60"/>
      <c r="TR2475" s="60"/>
      <c r="TS2475" s="60"/>
      <c r="TT2475" s="60"/>
      <c r="TU2475" s="63"/>
      <c r="TV2475" s="61"/>
      <c r="TW2475" s="54"/>
      <c r="TX2475" s="54"/>
      <c r="TY2475" s="60"/>
      <c r="TZ2475" s="60"/>
      <c r="UA2475" s="60"/>
      <c r="UB2475" s="60"/>
      <c r="UC2475" s="63"/>
      <c r="UD2475" s="61"/>
      <c r="UE2475" s="54"/>
      <c r="UF2475" s="54"/>
      <c r="UG2475" s="60"/>
      <c r="UH2475" s="60"/>
      <c r="UI2475" s="60"/>
      <c r="UJ2475" s="60"/>
      <c r="UK2475" s="63"/>
      <c r="UL2475" s="61"/>
      <c r="UM2475" s="54"/>
      <c r="UN2475" s="54"/>
      <c r="UO2475" s="60"/>
      <c r="UP2475" s="60"/>
      <c r="UQ2475" s="60"/>
      <c r="UR2475" s="60"/>
      <c r="US2475" s="63"/>
      <c r="UT2475" s="61"/>
      <c r="UU2475" s="54"/>
      <c r="UV2475" s="54"/>
      <c r="UW2475" s="60"/>
      <c r="UX2475" s="60"/>
      <c r="UY2475" s="60"/>
      <c r="UZ2475" s="60"/>
      <c r="VA2475" s="63"/>
      <c r="VB2475" s="61"/>
      <c r="VC2475" s="54"/>
      <c r="VD2475" s="54"/>
      <c r="VE2475" s="60"/>
      <c r="VF2475" s="60"/>
      <c r="VG2475" s="60"/>
      <c r="VH2475" s="60"/>
      <c r="VI2475" s="63"/>
      <c r="VJ2475" s="61"/>
      <c r="VK2475" s="54"/>
      <c r="VL2475" s="54"/>
      <c r="VM2475" s="60"/>
      <c r="VN2475" s="60"/>
      <c r="VO2475" s="60"/>
      <c r="VP2475" s="60"/>
      <c r="VQ2475" s="63"/>
      <c r="VR2475" s="61"/>
      <c r="VS2475" s="54"/>
      <c r="VT2475" s="54"/>
      <c r="VU2475" s="60"/>
      <c r="VV2475" s="60"/>
      <c r="VW2475" s="60"/>
      <c r="VX2475" s="60"/>
      <c r="VY2475" s="63"/>
      <c r="VZ2475" s="61"/>
      <c r="WA2475" s="54"/>
      <c r="WB2475" s="54"/>
      <c r="WC2475" s="60"/>
      <c r="WD2475" s="60"/>
      <c r="WE2475" s="60"/>
      <c r="WF2475" s="60"/>
      <c r="WG2475" s="63"/>
      <c r="WH2475" s="61"/>
      <c r="WI2475" s="54"/>
      <c r="WJ2475" s="54"/>
      <c r="WK2475" s="60"/>
      <c r="WL2475" s="60"/>
      <c r="WM2475" s="60"/>
      <c r="WN2475" s="60"/>
      <c r="WO2475" s="63"/>
      <c r="WP2475" s="61"/>
      <c r="WQ2475" s="54"/>
      <c r="WR2475" s="54"/>
      <c r="WS2475" s="60"/>
      <c r="WT2475" s="60"/>
      <c r="WU2475" s="60"/>
      <c r="WV2475" s="60"/>
      <c r="WW2475" s="63"/>
      <c r="WX2475" s="61"/>
      <c r="WY2475" s="54"/>
      <c r="WZ2475" s="54"/>
      <c r="XA2475" s="60"/>
      <c r="XB2475" s="60"/>
      <c r="XC2475" s="60"/>
      <c r="XD2475" s="60"/>
      <c r="XE2475" s="63"/>
      <c r="XF2475" s="61"/>
      <c r="XG2475" s="54"/>
      <c r="XH2475" s="54"/>
      <c r="XI2475" s="60"/>
      <c r="XJ2475" s="60"/>
      <c r="XK2475" s="60"/>
      <c r="XL2475" s="60"/>
      <c r="XM2475" s="63"/>
      <c r="XN2475" s="61"/>
      <c r="XO2475" s="54"/>
      <c r="XP2475" s="54"/>
      <c r="XQ2475" s="60"/>
      <c r="XR2475" s="60"/>
      <c r="XS2475" s="60"/>
      <c r="XT2475" s="60"/>
      <c r="XU2475" s="63"/>
      <c r="XV2475" s="61"/>
      <c r="XW2475" s="54"/>
      <c r="XX2475" s="54"/>
      <c r="XY2475" s="60"/>
      <c r="XZ2475" s="60"/>
      <c r="YA2475" s="60"/>
      <c r="YB2475" s="60"/>
      <c r="YC2475" s="63"/>
      <c r="YD2475" s="61"/>
      <c r="YE2475" s="54"/>
      <c r="YF2475" s="54"/>
      <c r="YG2475" s="60"/>
      <c r="YH2475" s="60"/>
      <c r="YI2475" s="60"/>
      <c r="YJ2475" s="60"/>
      <c r="YK2475" s="63"/>
      <c r="YL2475" s="61"/>
      <c r="YM2475" s="54"/>
      <c r="YN2475" s="54"/>
      <c r="YO2475" s="60"/>
      <c r="YP2475" s="60"/>
      <c r="YQ2475" s="60"/>
      <c r="YR2475" s="60"/>
      <c r="YS2475" s="63"/>
      <c r="YT2475" s="61"/>
      <c r="YU2475" s="54"/>
      <c r="YV2475" s="54"/>
      <c r="YW2475" s="60"/>
      <c r="YX2475" s="60"/>
      <c r="YY2475" s="60"/>
      <c r="YZ2475" s="60"/>
      <c r="ZA2475" s="63"/>
      <c r="ZB2475" s="61"/>
      <c r="ZC2475" s="54"/>
      <c r="ZD2475" s="54"/>
      <c r="ZE2475" s="60"/>
      <c r="ZF2475" s="60"/>
      <c r="ZG2475" s="60"/>
      <c r="ZH2475" s="60"/>
      <c r="ZI2475" s="63"/>
      <c r="ZJ2475" s="61"/>
      <c r="ZK2475" s="54"/>
      <c r="ZL2475" s="54"/>
      <c r="ZM2475" s="60"/>
      <c r="ZN2475" s="60"/>
      <c r="ZO2475" s="60"/>
      <c r="ZP2475" s="60"/>
      <c r="ZQ2475" s="63"/>
      <c r="ZR2475" s="61"/>
      <c r="ZS2475" s="54"/>
      <c r="ZT2475" s="54"/>
      <c r="ZU2475" s="60"/>
      <c r="ZV2475" s="60"/>
      <c r="ZW2475" s="60"/>
      <c r="ZX2475" s="60"/>
      <c r="ZY2475" s="63"/>
      <c r="ZZ2475" s="61"/>
      <c r="AAA2475" s="54"/>
      <c r="AAB2475" s="54"/>
      <c r="AAC2475" s="60"/>
      <c r="AAD2475" s="60"/>
      <c r="AAE2475" s="60"/>
      <c r="AAF2475" s="60"/>
      <c r="AAG2475" s="63"/>
      <c r="AAH2475" s="61"/>
      <c r="AAI2475" s="54"/>
      <c r="AAJ2475" s="54"/>
      <c r="AAK2475" s="60"/>
      <c r="AAL2475" s="60"/>
      <c r="AAM2475" s="60"/>
      <c r="AAN2475" s="60"/>
      <c r="AAO2475" s="63"/>
      <c r="AAP2475" s="61"/>
      <c r="AAQ2475" s="54"/>
      <c r="AAR2475" s="54"/>
      <c r="AAS2475" s="60"/>
      <c r="AAT2475" s="60"/>
      <c r="AAU2475" s="60"/>
      <c r="AAV2475" s="60"/>
      <c r="AAW2475" s="63"/>
      <c r="AAX2475" s="61"/>
      <c r="AAY2475" s="54"/>
      <c r="AAZ2475" s="54"/>
      <c r="ABA2475" s="60"/>
      <c r="ABB2475" s="60"/>
      <c r="ABC2475" s="60"/>
      <c r="ABD2475" s="60"/>
      <c r="ABE2475" s="63"/>
      <c r="ABF2475" s="61"/>
      <c r="ABG2475" s="54"/>
      <c r="ABH2475" s="54"/>
      <c r="ABI2475" s="60"/>
      <c r="ABJ2475" s="60"/>
      <c r="ABK2475" s="60"/>
      <c r="ABL2475" s="60"/>
      <c r="ABM2475" s="63"/>
      <c r="ABN2475" s="61"/>
      <c r="ABO2475" s="54"/>
      <c r="ABP2475" s="54"/>
      <c r="ABQ2475" s="60"/>
      <c r="ABR2475" s="60"/>
      <c r="ABS2475" s="60"/>
      <c r="ABT2475" s="60"/>
      <c r="ABU2475" s="63"/>
      <c r="ABV2475" s="61"/>
      <c r="ABW2475" s="54"/>
      <c r="ABX2475" s="54"/>
      <c r="ABY2475" s="60"/>
      <c r="ABZ2475" s="60"/>
      <c r="ACA2475" s="60"/>
      <c r="ACB2475" s="60"/>
      <c r="ACC2475" s="63"/>
      <c r="ACD2475" s="61"/>
      <c r="ACE2475" s="54"/>
      <c r="ACF2475" s="54"/>
      <c r="ACG2475" s="60"/>
      <c r="ACH2475" s="60"/>
      <c r="ACI2475" s="60"/>
      <c r="ACJ2475" s="60"/>
      <c r="ACK2475" s="63"/>
      <c r="ACL2475" s="61"/>
      <c r="ACM2475" s="54"/>
      <c r="ACN2475" s="54"/>
      <c r="ACO2475" s="60"/>
      <c r="ACP2475" s="60"/>
      <c r="ACQ2475" s="60"/>
      <c r="ACR2475" s="60"/>
      <c r="ACS2475" s="63"/>
      <c r="ACT2475" s="61"/>
      <c r="ACU2475" s="54"/>
      <c r="ACV2475" s="54"/>
      <c r="ACW2475" s="60"/>
      <c r="ACX2475" s="60"/>
      <c r="ACY2475" s="60"/>
      <c r="ACZ2475" s="60"/>
      <c r="ADA2475" s="63"/>
      <c r="ADB2475" s="61"/>
      <c r="ADC2475" s="54"/>
      <c r="ADD2475" s="54"/>
      <c r="ADE2475" s="60"/>
      <c r="ADF2475" s="60"/>
      <c r="ADG2475" s="60"/>
      <c r="ADH2475" s="60"/>
      <c r="ADI2475" s="63"/>
      <c r="ADJ2475" s="61"/>
      <c r="ADK2475" s="54"/>
      <c r="ADL2475" s="54"/>
      <c r="ADM2475" s="60"/>
      <c r="ADN2475" s="60"/>
      <c r="ADO2475" s="60"/>
      <c r="ADP2475" s="60"/>
      <c r="ADQ2475" s="63"/>
      <c r="ADR2475" s="61"/>
      <c r="ADS2475" s="54"/>
      <c r="ADT2475" s="54"/>
      <c r="ADU2475" s="60"/>
      <c r="ADV2475" s="60"/>
      <c r="ADW2475" s="60"/>
      <c r="ADX2475" s="60"/>
      <c r="ADY2475" s="63"/>
      <c r="ADZ2475" s="61"/>
      <c r="AEA2475" s="54"/>
      <c r="AEB2475" s="54"/>
      <c r="AEC2475" s="60"/>
      <c r="AED2475" s="60"/>
      <c r="AEE2475" s="60"/>
      <c r="AEF2475" s="60"/>
      <c r="AEG2475" s="63"/>
      <c r="AEH2475" s="61"/>
      <c r="AEI2475" s="54"/>
      <c r="AEJ2475" s="54"/>
      <c r="AEK2475" s="60"/>
      <c r="AEL2475" s="60"/>
      <c r="AEM2475" s="60"/>
      <c r="AEN2475" s="60"/>
      <c r="AEO2475" s="63"/>
      <c r="AEP2475" s="61"/>
      <c r="AEQ2475" s="54"/>
      <c r="AER2475" s="54"/>
      <c r="AES2475" s="60"/>
      <c r="AET2475" s="60"/>
      <c r="AEU2475" s="60"/>
      <c r="AEV2475" s="60"/>
      <c r="AEW2475" s="63"/>
      <c r="AEX2475" s="61"/>
      <c r="AEY2475" s="54"/>
      <c r="AEZ2475" s="54"/>
      <c r="AFA2475" s="60"/>
      <c r="AFB2475" s="60"/>
      <c r="AFC2475" s="60"/>
      <c r="AFD2475" s="60"/>
      <c r="AFE2475" s="63"/>
      <c r="AFF2475" s="61"/>
      <c r="AFG2475" s="54"/>
      <c r="AFH2475" s="54"/>
      <c r="AFI2475" s="60"/>
      <c r="AFJ2475" s="60"/>
      <c r="AFK2475" s="60"/>
      <c r="AFL2475" s="60"/>
      <c r="AFM2475" s="63"/>
      <c r="AFN2475" s="61"/>
      <c r="AFO2475" s="54"/>
      <c r="AFP2475" s="54"/>
      <c r="AFQ2475" s="60"/>
      <c r="AFR2475" s="60"/>
      <c r="AFS2475" s="60"/>
      <c r="AFT2475" s="60"/>
      <c r="AFU2475" s="63"/>
      <c r="AFV2475" s="61"/>
      <c r="AFW2475" s="54"/>
      <c r="AFX2475" s="54"/>
      <c r="AFY2475" s="60"/>
      <c r="AFZ2475" s="60"/>
      <c r="AGA2475" s="60"/>
      <c r="AGB2475" s="60"/>
      <c r="AGC2475" s="63"/>
      <c r="AGD2475" s="61"/>
      <c r="AGE2475" s="54"/>
      <c r="AGF2475" s="54"/>
      <c r="AGG2475" s="60"/>
      <c r="AGH2475" s="60"/>
      <c r="AGI2475" s="60"/>
      <c r="AGJ2475" s="60"/>
      <c r="AGK2475" s="63"/>
      <c r="AGL2475" s="61"/>
      <c r="AGM2475" s="54"/>
      <c r="AGN2475" s="54"/>
      <c r="AGO2475" s="60"/>
      <c r="AGP2475" s="60"/>
      <c r="AGQ2475" s="60"/>
      <c r="AGR2475" s="60"/>
      <c r="AGS2475" s="63"/>
      <c r="AGT2475" s="61"/>
      <c r="AGU2475" s="54"/>
      <c r="AGV2475" s="54"/>
      <c r="AGW2475" s="60"/>
      <c r="AGX2475" s="60"/>
      <c r="AGY2475" s="60"/>
      <c r="AGZ2475" s="60"/>
      <c r="AHA2475" s="63"/>
      <c r="AHB2475" s="61"/>
      <c r="AHC2475" s="54"/>
      <c r="AHD2475" s="54"/>
      <c r="AHE2475" s="60"/>
      <c r="AHF2475" s="60"/>
      <c r="AHG2475" s="60"/>
      <c r="AHH2475" s="60"/>
      <c r="AHI2475" s="63"/>
      <c r="AHJ2475" s="61"/>
      <c r="AHK2475" s="54"/>
      <c r="AHL2475" s="54"/>
      <c r="AHM2475" s="60"/>
      <c r="AHN2475" s="60"/>
      <c r="AHO2475" s="60"/>
      <c r="AHP2475" s="60"/>
      <c r="AHQ2475" s="63"/>
      <c r="AHR2475" s="61"/>
      <c r="AHS2475" s="54"/>
      <c r="AHT2475" s="54"/>
      <c r="AHU2475" s="60"/>
      <c r="AHV2475" s="60"/>
      <c r="AHW2475" s="60"/>
      <c r="AHX2475" s="60"/>
      <c r="AHY2475" s="63"/>
      <c r="AHZ2475" s="61"/>
      <c r="AIA2475" s="54"/>
      <c r="AIB2475" s="54"/>
      <c r="AIC2475" s="60"/>
      <c r="AID2475" s="60"/>
      <c r="AIE2475" s="60"/>
      <c r="AIF2475" s="60"/>
      <c r="AIG2475" s="63"/>
      <c r="AIH2475" s="61"/>
      <c r="AII2475" s="54"/>
      <c r="AIJ2475" s="54"/>
      <c r="AIK2475" s="60"/>
      <c r="AIL2475" s="60"/>
      <c r="AIM2475" s="60"/>
      <c r="AIN2475" s="60"/>
      <c r="AIO2475" s="63"/>
      <c r="AIP2475" s="61"/>
      <c r="AIQ2475" s="54"/>
      <c r="AIR2475" s="54"/>
      <c r="AIS2475" s="60"/>
      <c r="AIT2475" s="60"/>
      <c r="AIU2475" s="60"/>
      <c r="AIV2475" s="60"/>
      <c r="AIW2475" s="63"/>
      <c r="AIX2475" s="61"/>
      <c r="AIY2475" s="54"/>
      <c r="AIZ2475" s="54"/>
      <c r="AJA2475" s="60"/>
      <c r="AJB2475" s="60"/>
      <c r="AJC2475" s="60"/>
      <c r="AJD2475" s="60"/>
      <c r="AJE2475" s="63"/>
      <c r="AJF2475" s="61"/>
      <c r="AJG2475" s="54"/>
      <c r="AJH2475" s="54"/>
      <c r="AJI2475" s="60"/>
      <c r="AJJ2475" s="60"/>
      <c r="AJK2475" s="60"/>
      <c r="AJL2475" s="60"/>
      <c r="AJM2475" s="63"/>
      <c r="AJN2475" s="61"/>
      <c r="AJO2475" s="54"/>
      <c r="AJP2475" s="54"/>
      <c r="AJQ2475" s="60"/>
      <c r="AJR2475" s="60"/>
      <c r="AJS2475" s="60"/>
      <c r="AJT2475" s="60"/>
      <c r="AJU2475" s="63"/>
      <c r="AJV2475" s="61"/>
      <c r="AJW2475" s="54"/>
      <c r="AJX2475" s="54"/>
      <c r="AJY2475" s="60"/>
      <c r="AJZ2475" s="60"/>
      <c r="AKA2475" s="60"/>
      <c r="AKB2475" s="60"/>
      <c r="AKC2475" s="63"/>
      <c r="AKD2475" s="61"/>
      <c r="AKE2475" s="54"/>
      <c r="AKF2475" s="54"/>
      <c r="AKG2475" s="60"/>
      <c r="AKH2475" s="60"/>
      <c r="AKI2475" s="60"/>
      <c r="AKJ2475" s="60"/>
      <c r="AKK2475" s="63"/>
      <c r="AKL2475" s="61"/>
      <c r="AKM2475" s="54"/>
      <c r="AKN2475" s="54"/>
      <c r="AKO2475" s="60"/>
      <c r="AKP2475" s="60"/>
      <c r="AKQ2475" s="60"/>
      <c r="AKR2475" s="60"/>
      <c r="AKS2475" s="63"/>
      <c r="AKT2475" s="61"/>
      <c r="AKU2475" s="54"/>
      <c r="AKV2475" s="54"/>
      <c r="AKW2475" s="60"/>
      <c r="AKX2475" s="60"/>
      <c r="AKY2475" s="60"/>
      <c r="AKZ2475" s="60"/>
      <c r="ALA2475" s="63"/>
      <c r="ALB2475" s="61"/>
      <c r="ALC2475" s="54"/>
      <c r="ALD2475" s="54"/>
      <c r="ALE2475" s="60"/>
      <c r="ALF2475" s="60"/>
      <c r="ALG2475" s="60"/>
      <c r="ALH2475" s="60"/>
      <c r="ALI2475" s="63"/>
      <c r="ALJ2475" s="61"/>
      <c r="ALK2475" s="54"/>
      <c r="ALL2475" s="54"/>
      <c r="ALM2475" s="60"/>
      <c r="ALN2475" s="60"/>
      <c r="ALO2475" s="60"/>
      <c r="ALP2475" s="60"/>
      <c r="ALQ2475" s="63"/>
      <c r="ALR2475" s="61"/>
      <c r="ALS2475" s="54"/>
      <c r="ALT2475" s="54"/>
      <c r="ALU2475" s="60"/>
      <c r="ALV2475" s="60"/>
      <c r="ALW2475" s="60"/>
      <c r="ALX2475" s="60"/>
      <c r="ALY2475" s="63"/>
      <c r="ALZ2475" s="61"/>
      <c r="AMA2475" s="54"/>
      <c r="AMB2475" s="54"/>
      <c r="AMC2475" s="60"/>
      <c r="AMD2475" s="60"/>
      <c r="AME2475" s="60"/>
      <c r="AMF2475" s="60"/>
      <c r="AMG2475" s="63"/>
      <c r="AMH2475" s="61"/>
      <c r="AMI2475" s="54"/>
      <c r="AMJ2475" s="54"/>
      <c r="AMK2475" s="60"/>
      <c r="AML2475" s="60"/>
      <c r="AMM2475" s="60"/>
      <c r="AMN2475" s="60"/>
      <c r="AMO2475" s="63"/>
      <c r="AMP2475" s="61"/>
      <c r="AMQ2475" s="54"/>
      <c r="AMR2475" s="54"/>
      <c r="AMS2475" s="60"/>
      <c r="AMT2475" s="60"/>
      <c r="AMU2475" s="60"/>
      <c r="AMV2475" s="60"/>
      <c r="AMW2475" s="63"/>
      <c r="AMX2475" s="61"/>
      <c r="AMY2475" s="54"/>
      <c r="AMZ2475" s="54"/>
      <c r="ANA2475" s="60"/>
      <c r="ANB2475" s="60"/>
      <c r="ANC2475" s="60"/>
      <c r="AND2475" s="60"/>
      <c r="ANE2475" s="63"/>
      <c r="ANF2475" s="61"/>
      <c r="ANG2475" s="54"/>
      <c r="ANH2475" s="54"/>
      <c r="ANI2475" s="60"/>
      <c r="ANJ2475" s="60"/>
      <c r="ANK2475" s="60"/>
      <c r="ANL2475" s="60"/>
      <c r="ANM2475" s="63"/>
      <c r="ANN2475" s="61"/>
      <c r="ANO2475" s="54"/>
      <c r="ANP2475" s="54"/>
      <c r="ANQ2475" s="60"/>
      <c r="ANR2475" s="60"/>
      <c r="ANS2475" s="60"/>
      <c r="ANT2475" s="60"/>
      <c r="ANU2475" s="63"/>
      <c r="ANV2475" s="61"/>
      <c r="ANW2475" s="54"/>
      <c r="ANX2475" s="54"/>
      <c r="ANY2475" s="60"/>
      <c r="ANZ2475" s="60"/>
      <c r="AOA2475" s="60"/>
      <c r="AOB2475" s="60"/>
      <c r="AOC2475" s="63"/>
      <c r="AOD2475" s="61"/>
      <c r="AOE2475" s="54"/>
      <c r="AOF2475" s="54"/>
      <c r="AOG2475" s="60"/>
      <c r="AOH2475" s="60"/>
      <c r="AOI2475" s="60"/>
      <c r="AOJ2475" s="60"/>
      <c r="AOK2475" s="63"/>
      <c r="AOL2475" s="61"/>
      <c r="AOM2475" s="54"/>
      <c r="AON2475" s="54"/>
      <c r="AOO2475" s="60"/>
      <c r="AOP2475" s="60"/>
      <c r="AOQ2475" s="60"/>
      <c r="AOR2475" s="60"/>
      <c r="AOS2475" s="63"/>
      <c r="AOT2475" s="61"/>
      <c r="AOU2475" s="54"/>
      <c r="AOV2475" s="54"/>
      <c r="AOW2475" s="60"/>
      <c r="AOX2475" s="60"/>
      <c r="AOY2475" s="60"/>
      <c r="AOZ2475" s="60"/>
      <c r="APA2475" s="63"/>
      <c r="APB2475" s="61"/>
      <c r="APC2475" s="54"/>
      <c r="APD2475" s="54"/>
      <c r="APE2475" s="60"/>
      <c r="APF2475" s="60"/>
      <c r="APG2475" s="60"/>
      <c r="APH2475" s="60"/>
      <c r="API2475" s="63"/>
      <c r="APJ2475" s="61"/>
      <c r="APK2475" s="54"/>
      <c r="APL2475" s="54"/>
      <c r="APM2475" s="60"/>
      <c r="APN2475" s="60"/>
      <c r="APO2475" s="60"/>
      <c r="APP2475" s="60"/>
      <c r="APQ2475" s="63"/>
      <c r="APR2475" s="61"/>
      <c r="APS2475" s="54"/>
      <c r="APT2475" s="54"/>
      <c r="APU2475" s="60"/>
      <c r="APV2475" s="60"/>
      <c r="APW2475" s="60"/>
      <c r="APX2475" s="60"/>
      <c r="APY2475" s="63"/>
      <c r="APZ2475" s="61"/>
      <c r="AQA2475" s="54"/>
      <c r="AQB2475" s="54"/>
      <c r="AQC2475" s="60"/>
      <c r="AQD2475" s="60"/>
      <c r="AQE2475" s="60"/>
      <c r="AQF2475" s="60"/>
      <c r="AQG2475" s="63"/>
      <c r="AQH2475" s="61"/>
      <c r="AQI2475" s="54"/>
      <c r="AQJ2475" s="54"/>
      <c r="AQK2475" s="60"/>
      <c r="AQL2475" s="60"/>
      <c r="AQM2475" s="60"/>
      <c r="AQN2475" s="60"/>
      <c r="AQO2475" s="63"/>
      <c r="AQP2475" s="61"/>
      <c r="AQQ2475" s="54"/>
      <c r="AQR2475" s="54"/>
      <c r="AQS2475" s="60"/>
      <c r="AQT2475" s="60"/>
      <c r="AQU2475" s="60"/>
      <c r="AQV2475" s="60"/>
      <c r="AQW2475" s="63"/>
      <c r="AQX2475" s="61"/>
      <c r="AQY2475" s="54"/>
      <c r="AQZ2475" s="54"/>
      <c r="ARA2475" s="60"/>
      <c r="ARB2475" s="60"/>
      <c r="ARC2475" s="60"/>
      <c r="ARD2475" s="60"/>
      <c r="ARE2475" s="63"/>
      <c r="ARF2475" s="61"/>
      <c r="ARG2475" s="54"/>
      <c r="ARH2475" s="54"/>
      <c r="ARI2475" s="60"/>
      <c r="ARJ2475" s="60"/>
      <c r="ARK2475" s="60"/>
      <c r="ARL2475" s="60"/>
      <c r="ARM2475" s="63"/>
      <c r="ARN2475" s="61"/>
      <c r="ARO2475" s="54"/>
      <c r="ARP2475" s="54"/>
      <c r="ARQ2475" s="60"/>
      <c r="ARR2475" s="60"/>
      <c r="ARS2475" s="60"/>
      <c r="ART2475" s="60"/>
      <c r="ARU2475" s="63"/>
      <c r="ARV2475" s="61"/>
      <c r="ARW2475" s="54"/>
      <c r="ARX2475" s="54"/>
      <c r="ARY2475" s="60"/>
      <c r="ARZ2475" s="60"/>
      <c r="ASA2475" s="60"/>
      <c r="ASB2475" s="60"/>
      <c r="ASC2475" s="63"/>
      <c r="ASD2475" s="61"/>
      <c r="ASE2475" s="54"/>
      <c r="ASF2475" s="54"/>
      <c r="ASG2475" s="60"/>
      <c r="ASH2475" s="60"/>
      <c r="ASI2475" s="60"/>
      <c r="ASJ2475" s="60"/>
      <c r="ASK2475" s="63"/>
      <c r="ASL2475" s="61"/>
      <c r="ASM2475" s="54"/>
      <c r="ASN2475" s="54"/>
      <c r="ASO2475" s="60"/>
      <c r="ASP2475" s="60"/>
      <c r="ASQ2475" s="60"/>
      <c r="ASR2475" s="60"/>
      <c r="ASS2475" s="63"/>
      <c r="AST2475" s="61"/>
      <c r="ASU2475" s="54"/>
      <c r="ASV2475" s="54"/>
      <c r="ASW2475" s="60"/>
      <c r="ASX2475" s="60"/>
      <c r="ASY2475" s="60"/>
      <c r="ASZ2475" s="60"/>
      <c r="ATA2475" s="63"/>
      <c r="ATB2475" s="61"/>
      <c r="ATC2475" s="54"/>
      <c r="ATD2475" s="54"/>
      <c r="ATE2475" s="60"/>
      <c r="ATF2475" s="60"/>
      <c r="ATG2475" s="60"/>
      <c r="ATH2475" s="60"/>
      <c r="ATI2475" s="63"/>
      <c r="ATJ2475" s="61"/>
      <c r="ATK2475" s="54"/>
      <c r="ATL2475" s="54"/>
      <c r="ATM2475" s="60"/>
      <c r="ATN2475" s="60"/>
      <c r="ATO2475" s="60"/>
      <c r="ATP2475" s="60"/>
      <c r="ATQ2475" s="63"/>
      <c r="ATR2475" s="61"/>
      <c r="ATS2475" s="54"/>
      <c r="ATT2475" s="54"/>
      <c r="ATU2475" s="60"/>
      <c r="ATV2475" s="60"/>
      <c r="ATW2475" s="60"/>
      <c r="ATX2475" s="60"/>
      <c r="ATY2475" s="63"/>
      <c r="ATZ2475" s="61"/>
      <c r="AUA2475" s="54"/>
      <c r="AUB2475" s="54"/>
      <c r="AUC2475" s="60"/>
      <c r="AUD2475" s="60"/>
      <c r="AUE2475" s="60"/>
      <c r="AUF2475" s="60"/>
      <c r="AUG2475" s="63"/>
      <c r="AUH2475" s="61"/>
      <c r="AUI2475" s="54"/>
      <c r="AUJ2475" s="54"/>
      <c r="AUK2475" s="60"/>
      <c r="AUL2475" s="60"/>
      <c r="AUM2475" s="60"/>
      <c r="AUN2475" s="60"/>
      <c r="AUO2475" s="63"/>
      <c r="AUP2475" s="61"/>
      <c r="AUQ2475" s="54"/>
      <c r="AUR2475" s="54"/>
      <c r="AUS2475" s="60"/>
      <c r="AUT2475" s="60"/>
      <c r="AUU2475" s="60"/>
      <c r="AUV2475" s="60"/>
      <c r="AUW2475" s="63"/>
      <c r="AUX2475" s="61"/>
      <c r="AUY2475" s="54"/>
      <c r="AUZ2475" s="54"/>
      <c r="AVA2475" s="60"/>
      <c r="AVB2475" s="60"/>
      <c r="AVC2475" s="60"/>
      <c r="AVD2475" s="60"/>
      <c r="AVE2475" s="63"/>
      <c r="AVF2475" s="61"/>
      <c r="AVG2475" s="54"/>
      <c r="AVH2475" s="54"/>
      <c r="AVI2475" s="60"/>
      <c r="AVJ2475" s="60"/>
      <c r="AVK2475" s="60"/>
      <c r="AVL2475" s="60"/>
      <c r="AVM2475" s="63"/>
      <c r="AVN2475" s="61"/>
      <c r="AVO2475" s="54"/>
      <c r="AVP2475" s="54"/>
      <c r="AVQ2475" s="60"/>
      <c r="AVR2475" s="60"/>
      <c r="AVS2475" s="60"/>
      <c r="AVT2475" s="60"/>
      <c r="AVU2475" s="63"/>
      <c r="AVV2475" s="61"/>
      <c r="AVW2475" s="54"/>
      <c r="AVX2475" s="54"/>
      <c r="AVY2475" s="60"/>
      <c r="AVZ2475" s="60"/>
      <c r="AWA2475" s="60"/>
      <c r="AWB2475" s="60"/>
      <c r="AWC2475" s="63"/>
      <c r="AWD2475" s="61"/>
      <c r="AWE2475" s="54"/>
      <c r="AWF2475" s="54"/>
      <c r="AWG2475" s="60"/>
      <c r="AWH2475" s="60"/>
      <c r="AWI2475" s="60"/>
      <c r="AWJ2475" s="60"/>
      <c r="AWK2475" s="63"/>
      <c r="AWL2475" s="61"/>
      <c r="AWM2475" s="54"/>
      <c r="AWN2475" s="54"/>
      <c r="AWO2475" s="60"/>
      <c r="AWP2475" s="60"/>
      <c r="AWQ2475" s="60"/>
      <c r="AWR2475" s="60"/>
      <c r="AWS2475" s="63"/>
      <c r="AWT2475" s="61"/>
      <c r="AWU2475" s="54"/>
      <c r="AWV2475" s="54"/>
      <c r="AWW2475" s="60"/>
      <c r="AWX2475" s="60"/>
      <c r="AWY2475" s="60"/>
      <c r="AWZ2475" s="60"/>
      <c r="AXA2475" s="63"/>
      <c r="AXB2475" s="61"/>
      <c r="AXC2475" s="54"/>
      <c r="AXD2475" s="54"/>
      <c r="AXE2475" s="60"/>
      <c r="AXF2475" s="60"/>
      <c r="AXG2475" s="60"/>
      <c r="AXH2475" s="60"/>
      <c r="AXI2475" s="63"/>
      <c r="AXJ2475" s="61"/>
      <c r="AXK2475" s="54"/>
      <c r="AXL2475" s="54"/>
      <c r="AXM2475" s="60"/>
      <c r="AXN2475" s="60"/>
      <c r="AXO2475" s="60"/>
      <c r="AXP2475" s="60"/>
      <c r="AXQ2475" s="63"/>
      <c r="AXR2475" s="61"/>
      <c r="AXS2475" s="54"/>
      <c r="AXT2475" s="54"/>
      <c r="AXU2475" s="60"/>
      <c r="AXV2475" s="60"/>
      <c r="AXW2475" s="60"/>
      <c r="AXX2475" s="60"/>
      <c r="AXY2475" s="63"/>
      <c r="AXZ2475" s="61"/>
      <c r="AYA2475" s="54"/>
      <c r="AYB2475" s="54"/>
      <c r="AYC2475" s="60"/>
      <c r="AYD2475" s="60"/>
      <c r="AYE2475" s="60"/>
      <c r="AYF2475" s="60"/>
      <c r="AYG2475" s="63"/>
      <c r="AYH2475" s="61"/>
      <c r="AYI2475" s="54"/>
      <c r="AYJ2475" s="54"/>
      <c r="AYK2475" s="60"/>
      <c r="AYL2475" s="60"/>
      <c r="AYM2475" s="60"/>
      <c r="AYN2475" s="60"/>
      <c r="AYO2475" s="63"/>
      <c r="AYP2475" s="61"/>
      <c r="AYQ2475" s="54"/>
      <c r="AYR2475" s="54"/>
      <c r="AYS2475" s="60"/>
      <c r="AYT2475" s="60"/>
      <c r="AYU2475" s="60"/>
      <c r="AYV2475" s="60"/>
      <c r="AYW2475" s="63"/>
      <c r="AYX2475" s="61"/>
      <c r="AYY2475" s="54"/>
      <c r="AYZ2475" s="54"/>
      <c r="AZA2475" s="60"/>
      <c r="AZB2475" s="60"/>
      <c r="AZC2475" s="60"/>
      <c r="AZD2475" s="60"/>
      <c r="AZE2475" s="63"/>
      <c r="AZF2475" s="61"/>
      <c r="AZG2475" s="54"/>
      <c r="AZH2475" s="54"/>
      <c r="AZI2475" s="60"/>
      <c r="AZJ2475" s="60"/>
      <c r="AZK2475" s="60"/>
      <c r="AZL2475" s="60"/>
      <c r="AZM2475" s="63"/>
      <c r="AZN2475" s="61"/>
      <c r="AZO2475" s="54"/>
      <c r="AZP2475" s="54"/>
      <c r="AZQ2475" s="60"/>
      <c r="AZR2475" s="60"/>
      <c r="AZS2475" s="60"/>
      <c r="AZT2475" s="60"/>
      <c r="AZU2475" s="63"/>
      <c r="AZV2475" s="61"/>
      <c r="AZW2475" s="54"/>
      <c r="AZX2475" s="54"/>
      <c r="AZY2475" s="60"/>
      <c r="AZZ2475" s="60"/>
      <c r="BAA2475" s="60"/>
      <c r="BAB2475" s="60"/>
      <c r="BAC2475" s="63"/>
      <c r="BAD2475" s="61"/>
      <c r="BAE2475" s="54"/>
      <c r="BAF2475" s="54"/>
      <c r="BAG2475" s="60"/>
      <c r="BAH2475" s="60"/>
      <c r="BAI2475" s="60"/>
      <c r="BAJ2475" s="60"/>
      <c r="BAK2475" s="63"/>
      <c r="BAL2475" s="61"/>
      <c r="BAM2475" s="54"/>
      <c r="BAN2475" s="54"/>
      <c r="BAO2475" s="60"/>
      <c r="BAP2475" s="60"/>
      <c r="BAQ2475" s="60"/>
      <c r="BAR2475" s="60"/>
      <c r="BAS2475" s="63"/>
      <c r="BAT2475" s="61"/>
      <c r="BAU2475" s="54"/>
      <c r="BAV2475" s="54"/>
      <c r="BAW2475" s="60"/>
      <c r="BAX2475" s="60"/>
      <c r="BAY2475" s="60"/>
      <c r="BAZ2475" s="60"/>
      <c r="BBA2475" s="63"/>
      <c r="BBB2475" s="61"/>
      <c r="BBC2475" s="54"/>
      <c r="BBD2475" s="54"/>
      <c r="BBE2475" s="60"/>
      <c r="BBF2475" s="60"/>
      <c r="BBG2475" s="60"/>
      <c r="BBH2475" s="60"/>
      <c r="BBI2475" s="63"/>
      <c r="BBJ2475" s="61"/>
      <c r="BBK2475" s="54"/>
      <c r="BBL2475" s="54"/>
      <c r="BBM2475" s="60"/>
      <c r="BBN2475" s="60"/>
      <c r="BBO2475" s="60"/>
      <c r="BBP2475" s="60"/>
      <c r="BBQ2475" s="63"/>
      <c r="BBR2475" s="61"/>
      <c r="BBS2475" s="54"/>
      <c r="BBT2475" s="54"/>
      <c r="BBU2475" s="60"/>
      <c r="BBV2475" s="60"/>
      <c r="BBW2475" s="60"/>
      <c r="BBX2475" s="60"/>
      <c r="BBY2475" s="63"/>
      <c r="BBZ2475" s="61"/>
      <c r="BCA2475" s="54"/>
      <c r="BCB2475" s="54"/>
      <c r="BCC2475" s="60"/>
      <c r="BCD2475" s="60"/>
      <c r="BCE2475" s="60"/>
      <c r="BCF2475" s="60"/>
      <c r="BCG2475" s="63"/>
      <c r="BCH2475" s="61"/>
      <c r="BCI2475" s="54"/>
      <c r="BCJ2475" s="54"/>
      <c r="BCK2475" s="60"/>
      <c r="BCL2475" s="60"/>
      <c r="BCM2475" s="60"/>
      <c r="BCN2475" s="60"/>
      <c r="BCO2475" s="63"/>
      <c r="BCP2475" s="61"/>
      <c r="BCQ2475" s="54"/>
      <c r="BCR2475" s="54"/>
      <c r="BCS2475" s="60"/>
      <c r="BCT2475" s="60"/>
      <c r="BCU2475" s="60"/>
      <c r="BCV2475" s="60"/>
      <c r="BCW2475" s="63"/>
      <c r="BCX2475" s="61"/>
      <c r="BCY2475" s="54"/>
      <c r="BCZ2475" s="54"/>
      <c r="BDA2475" s="60"/>
      <c r="BDB2475" s="60"/>
      <c r="BDC2475" s="60"/>
      <c r="BDD2475" s="60"/>
      <c r="BDE2475" s="63"/>
      <c r="BDF2475" s="61"/>
      <c r="BDG2475" s="54"/>
      <c r="BDH2475" s="54"/>
      <c r="BDI2475" s="60"/>
      <c r="BDJ2475" s="60"/>
      <c r="BDK2475" s="60"/>
      <c r="BDL2475" s="60"/>
      <c r="BDM2475" s="63"/>
      <c r="BDN2475" s="61"/>
      <c r="BDO2475" s="54"/>
      <c r="BDP2475" s="54"/>
      <c r="BDQ2475" s="60"/>
      <c r="BDR2475" s="60"/>
      <c r="BDS2475" s="60"/>
      <c r="BDT2475" s="60"/>
      <c r="BDU2475" s="63"/>
      <c r="BDV2475" s="61"/>
      <c r="BDW2475" s="54"/>
      <c r="BDX2475" s="54"/>
      <c r="BDY2475" s="60"/>
      <c r="BDZ2475" s="60"/>
      <c r="BEA2475" s="60"/>
      <c r="BEB2475" s="60"/>
      <c r="BEC2475" s="63"/>
      <c r="BED2475" s="61"/>
      <c r="BEE2475" s="54"/>
      <c r="BEF2475" s="54"/>
      <c r="BEG2475" s="60"/>
      <c r="BEH2475" s="60"/>
      <c r="BEI2475" s="60"/>
      <c r="BEJ2475" s="60"/>
      <c r="BEK2475" s="63"/>
      <c r="BEL2475" s="61"/>
      <c r="BEM2475" s="54"/>
      <c r="BEN2475" s="54"/>
      <c r="BEO2475" s="60"/>
      <c r="BEP2475" s="60"/>
      <c r="BEQ2475" s="60"/>
      <c r="BER2475" s="60"/>
      <c r="BES2475" s="63"/>
      <c r="BET2475" s="61"/>
      <c r="BEU2475" s="54"/>
      <c r="BEV2475" s="54"/>
      <c r="BEW2475" s="60"/>
      <c r="BEX2475" s="60"/>
      <c r="BEY2475" s="60"/>
      <c r="BEZ2475" s="60"/>
      <c r="BFA2475" s="63"/>
      <c r="BFB2475" s="61"/>
      <c r="BFC2475" s="54"/>
      <c r="BFD2475" s="54"/>
      <c r="BFE2475" s="60"/>
      <c r="BFF2475" s="60"/>
      <c r="BFG2475" s="60"/>
      <c r="BFH2475" s="60"/>
      <c r="BFI2475" s="63"/>
      <c r="BFJ2475" s="61"/>
      <c r="BFK2475" s="54"/>
      <c r="BFL2475" s="54"/>
      <c r="BFM2475" s="60"/>
      <c r="BFN2475" s="60"/>
      <c r="BFO2475" s="60"/>
      <c r="BFP2475" s="60"/>
      <c r="BFQ2475" s="63"/>
      <c r="BFR2475" s="61"/>
      <c r="BFS2475" s="54"/>
      <c r="BFT2475" s="54"/>
      <c r="BFU2475" s="60"/>
      <c r="BFV2475" s="60"/>
      <c r="BFW2475" s="60"/>
      <c r="BFX2475" s="60"/>
      <c r="BFY2475" s="63"/>
      <c r="BFZ2475" s="61"/>
      <c r="BGA2475" s="54"/>
      <c r="BGB2475" s="54"/>
      <c r="BGC2475" s="60"/>
      <c r="BGD2475" s="60"/>
      <c r="BGE2475" s="60"/>
      <c r="BGF2475" s="60"/>
      <c r="BGG2475" s="63"/>
      <c r="BGH2475" s="61"/>
      <c r="BGI2475" s="54"/>
      <c r="BGJ2475" s="54"/>
      <c r="BGK2475" s="60"/>
      <c r="BGL2475" s="60"/>
      <c r="BGM2475" s="60"/>
      <c r="BGN2475" s="60"/>
      <c r="BGO2475" s="63"/>
      <c r="BGP2475" s="61"/>
      <c r="BGQ2475" s="54"/>
      <c r="BGR2475" s="54"/>
      <c r="BGS2475" s="60"/>
      <c r="BGT2475" s="60"/>
      <c r="BGU2475" s="60"/>
      <c r="BGV2475" s="60"/>
      <c r="BGW2475" s="63"/>
      <c r="BGX2475" s="61"/>
      <c r="BGY2475" s="54"/>
      <c r="BGZ2475" s="54"/>
      <c r="BHA2475" s="60"/>
      <c r="BHB2475" s="60"/>
      <c r="BHC2475" s="60"/>
      <c r="BHD2475" s="60"/>
      <c r="BHE2475" s="63"/>
      <c r="BHF2475" s="61"/>
      <c r="BHG2475" s="54"/>
      <c r="BHH2475" s="54"/>
      <c r="BHI2475" s="60"/>
      <c r="BHJ2475" s="60"/>
      <c r="BHK2475" s="60"/>
      <c r="BHL2475" s="60"/>
      <c r="BHM2475" s="63"/>
      <c r="BHN2475" s="61"/>
      <c r="BHO2475" s="54"/>
      <c r="BHP2475" s="54"/>
      <c r="BHQ2475" s="60"/>
      <c r="BHR2475" s="60"/>
      <c r="BHS2475" s="60"/>
      <c r="BHT2475" s="60"/>
      <c r="BHU2475" s="63"/>
      <c r="BHV2475" s="61"/>
      <c r="BHW2475" s="54"/>
      <c r="BHX2475" s="54"/>
      <c r="BHY2475" s="60"/>
      <c r="BHZ2475" s="60"/>
      <c r="BIA2475" s="60"/>
      <c r="BIB2475" s="60"/>
      <c r="BIC2475" s="63"/>
      <c r="BID2475" s="61"/>
      <c r="BIE2475" s="54"/>
      <c r="BIF2475" s="54"/>
      <c r="BIG2475" s="60"/>
      <c r="BIH2475" s="60"/>
      <c r="BII2475" s="60"/>
      <c r="BIJ2475" s="60"/>
      <c r="BIK2475" s="63"/>
      <c r="BIL2475" s="61"/>
      <c r="BIM2475" s="54"/>
      <c r="BIN2475" s="54"/>
      <c r="BIO2475" s="60"/>
      <c r="BIP2475" s="60"/>
      <c r="BIQ2475" s="60"/>
      <c r="BIR2475" s="60"/>
      <c r="BIS2475" s="63"/>
      <c r="BIT2475" s="61"/>
      <c r="BIU2475" s="54"/>
      <c r="BIV2475" s="54"/>
      <c r="BIW2475" s="60"/>
      <c r="BIX2475" s="60"/>
      <c r="BIY2475" s="60"/>
      <c r="BIZ2475" s="60"/>
      <c r="BJA2475" s="63"/>
      <c r="BJB2475" s="61"/>
      <c r="BJC2475" s="54"/>
      <c r="BJD2475" s="54"/>
      <c r="BJE2475" s="60"/>
      <c r="BJF2475" s="60"/>
      <c r="BJG2475" s="60"/>
      <c r="BJH2475" s="60"/>
      <c r="BJI2475" s="63"/>
      <c r="BJJ2475" s="61"/>
      <c r="BJK2475" s="54"/>
      <c r="BJL2475" s="54"/>
      <c r="BJM2475" s="60"/>
      <c r="BJN2475" s="60"/>
      <c r="BJO2475" s="60"/>
      <c r="BJP2475" s="60"/>
      <c r="BJQ2475" s="63"/>
      <c r="BJR2475" s="61"/>
      <c r="BJS2475" s="54"/>
      <c r="BJT2475" s="54"/>
      <c r="BJU2475" s="60"/>
      <c r="BJV2475" s="60"/>
      <c r="BJW2475" s="60"/>
      <c r="BJX2475" s="60"/>
      <c r="BJY2475" s="63"/>
      <c r="BJZ2475" s="61"/>
      <c r="BKA2475" s="54"/>
      <c r="BKB2475" s="54"/>
      <c r="BKC2475" s="60"/>
      <c r="BKD2475" s="60"/>
      <c r="BKE2475" s="60"/>
      <c r="BKF2475" s="60"/>
      <c r="BKG2475" s="63"/>
      <c r="BKH2475" s="61"/>
      <c r="BKI2475" s="54"/>
      <c r="BKJ2475" s="54"/>
      <c r="BKK2475" s="60"/>
      <c r="BKL2475" s="60"/>
      <c r="BKM2475" s="60"/>
      <c r="BKN2475" s="60"/>
      <c r="BKO2475" s="63"/>
      <c r="BKP2475" s="61"/>
      <c r="BKQ2475" s="54"/>
      <c r="BKR2475" s="54"/>
      <c r="BKS2475" s="60"/>
      <c r="BKT2475" s="60"/>
      <c r="BKU2475" s="60"/>
      <c r="BKV2475" s="60"/>
      <c r="BKW2475" s="63"/>
      <c r="BKX2475" s="61"/>
      <c r="BKY2475" s="54"/>
      <c r="BKZ2475" s="54"/>
      <c r="BLA2475" s="60"/>
      <c r="BLB2475" s="60"/>
      <c r="BLC2475" s="60"/>
      <c r="BLD2475" s="60"/>
      <c r="BLE2475" s="63"/>
      <c r="BLF2475" s="61"/>
      <c r="BLG2475" s="54"/>
      <c r="BLH2475" s="54"/>
      <c r="BLI2475" s="60"/>
      <c r="BLJ2475" s="60"/>
      <c r="BLK2475" s="60"/>
      <c r="BLL2475" s="60"/>
      <c r="BLM2475" s="63"/>
      <c r="BLN2475" s="61"/>
      <c r="BLO2475" s="54"/>
      <c r="BLP2475" s="54"/>
      <c r="BLQ2475" s="60"/>
      <c r="BLR2475" s="60"/>
      <c r="BLS2475" s="60"/>
      <c r="BLT2475" s="60"/>
      <c r="BLU2475" s="63"/>
      <c r="BLV2475" s="61"/>
      <c r="BLW2475" s="54"/>
      <c r="BLX2475" s="54"/>
      <c r="BLY2475" s="60"/>
      <c r="BLZ2475" s="60"/>
      <c r="BMA2475" s="60"/>
      <c r="BMB2475" s="60"/>
      <c r="BMC2475" s="63"/>
      <c r="BMD2475" s="61"/>
      <c r="BME2475" s="54"/>
      <c r="BMF2475" s="54"/>
      <c r="BMG2475" s="60"/>
      <c r="BMH2475" s="60"/>
      <c r="BMI2475" s="60"/>
      <c r="BMJ2475" s="60"/>
      <c r="BMK2475" s="63"/>
      <c r="BML2475" s="61"/>
      <c r="BMM2475" s="54"/>
      <c r="BMN2475" s="54"/>
      <c r="BMO2475" s="60"/>
      <c r="BMP2475" s="60"/>
      <c r="BMQ2475" s="60"/>
      <c r="BMR2475" s="60"/>
      <c r="BMS2475" s="63"/>
      <c r="BMT2475" s="61"/>
      <c r="BMU2475" s="54"/>
      <c r="BMV2475" s="54"/>
      <c r="BMW2475" s="60"/>
      <c r="BMX2475" s="60"/>
      <c r="BMY2475" s="60"/>
      <c r="BMZ2475" s="60"/>
      <c r="BNA2475" s="63"/>
      <c r="BNB2475" s="61"/>
      <c r="BNC2475" s="54"/>
      <c r="BND2475" s="54"/>
      <c r="BNE2475" s="60"/>
      <c r="BNF2475" s="60"/>
      <c r="BNG2475" s="60"/>
      <c r="BNH2475" s="60"/>
      <c r="BNI2475" s="63"/>
      <c r="BNJ2475" s="61"/>
      <c r="BNK2475" s="54"/>
      <c r="BNL2475" s="54"/>
      <c r="BNM2475" s="60"/>
      <c r="BNN2475" s="60"/>
      <c r="BNO2475" s="60"/>
      <c r="BNP2475" s="60"/>
      <c r="BNQ2475" s="63"/>
      <c r="BNR2475" s="61"/>
      <c r="BNS2475" s="54"/>
      <c r="BNT2475" s="54"/>
      <c r="BNU2475" s="60"/>
      <c r="BNV2475" s="60"/>
      <c r="BNW2475" s="60"/>
      <c r="BNX2475" s="60"/>
      <c r="BNY2475" s="63"/>
      <c r="BNZ2475" s="61"/>
      <c r="BOA2475" s="54"/>
      <c r="BOB2475" s="54"/>
      <c r="BOC2475" s="60"/>
      <c r="BOD2475" s="60"/>
      <c r="BOE2475" s="60"/>
      <c r="BOF2475" s="60"/>
      <c r="BOG2475" s="63"/>
      <c r="BOH2475" s="61"/>
      <c r="BOI2475" s="54"/>
      <c r="BOJ2475" s="54"/>
      <c r="BOK2475" s="60"/>
      <c r="BOL2475" s="60"/>
      <c r="BOM2475" s="60"/>
      <c r="BON2475" s="60"/>
      <c r="BOO2475" s="63"/>
      <c r="BOP2475" s="61"/>
      <c r="BOQ2475" s="54"/>
      <c r="BOR2475" s="54"/>
      <c r="BOS2475" s="60"/>
      <c r="BOT2475" s="60"/>
      <c r="BOU2475" s="60"/>
      <c r="BOV2475" s="60"/>
      <c r="BOW2475" s="63"/>
      <c r="BOX2475" s="61"/>
      <c r="BOY2475" s="54"/>
      <c r="BOZ2475" s="54"/>
      <c r="BPA2475" s="60"/>
      <c r="BPB2475" s="60"/>
      <c r="BPC2475" s="60"/>
      <c r="BPD2475" s="60"/>
      <c r="BPE2475" s="63"/>
      <c r="BPF2475" s="61"/>
      <c r="BPG2475" s="54"/>
      <c r="BPH2475" s="54"/>
      <c r="BPI2475" s="60"/>
      <c r="BPJ2475" s="60"/>
      <c r="BPK2475" s="60"/>
      <c r="BPL2475" s="60"/>
      <c r="BPM2475" s="63"/>
      <c r="BPN2475" s="61"/>
      <c r="BPO2475" s="54"/>
      <c r="BPP2475" s="54"/>
      <c r="BPQ2475" s="60"/>
      <c r="BPR2475" s="60"/>
      <c r="BPS2475" s="60"/>
      <c r="BPT2475" s="60"/>
      <c r="BPU2475" s="63"/>
      <c r="BPV2475" s="61"/>
      <c r="BPW2475" s="54"/>
      <c r="BPX2475" s="54"/>
      <c r="BPY2475" s="60"/>
      <c r="BPZ2475" s="60"/>
      <c r="BQA2475" s="60"/>
      <c r="BQB2475" s="60"/>
      <c r="BQC2475" s="63"/>
      <c r="BQD2475" s="61"/>
      <c r="BQE2475" s="54"/>
      <c r="BQF2475" s="54"/>
      <c r="BQG2475" s="60"/>
      <c r="BQH2475" s="60"/>
      <c r="BQI2475" s="60"/>
      <c r="BQJ2475" s="60"/>
      <c r="BQK2475" s="63"/>
      <c r="BQL2475" s="61"/>
      <c r="BQM2475" s="54"/>
      <c r="BQN2475" s="54"/>
      <c r="BQO2475" s="60"/>
      <c r="BQP2475" s="60"/>
      <c r="BQQ2475" s="60"/>
      <c r="BQR2475" s="60"/>
      <c r="BQS2475" s="63"/>
      <c r="BQT2475" s="61"/>
      <c r="BQU2475" s="54"/>
      <c r="BQV2475" s="54"/>
      <c r="BQW2475" s="60"/>
      <c r="BQX2475" s="60"/>
      <c r="BQY2475" s="60"/>
      <c r="BQZ2475" s="60"/>
      <c r="BRA2475" s="63"/>
      <c r="BRB2475" s="61"/>
      <c r="BRC2475" s="54"/>
      <c r="BRD2475" s="54"/>
      <c r="BRE2475" s="60"/>
      <c r="BRF2475" s="60"/>
      <c r="BRG2475" s="60"/>
      <c r="BRH2475" s="60"/>
      <c r="BRI2475" s="63"/>
      <c r="BRJ2475" s="61"/>
      <c r="BRK2475" s="54"/>
      <c r="BRL2475" s="54"/>
      <c r="BRM2475" s="60"/>
      <c r="BRN2475" s="60"/>
      <c r="BRO2475" s="60"/>
      <c r="BRP2475" s="60"/>
      <c r="BRQ2475" s="63"/>
      <c r="BRR2475" s="61"/>
      <c r="BRS2475" s="54"/>
      <c r="BRT2475" s="54"/>
      <c r="BRU2475" s="60"/>
      <c r="BRV2475" s="60"/>
      <c r="BRW2475" s="60"/>
      <c r="BRX2475" s="60"/>
      <c r="BRY2475" s="63"/>
      <c r="BRZ2475" s="61"/>
      <c r="BSA2475" s="54"/>
      <c r="BSB2475" s="54"/>
      <c r="BSC2475" s="60"/>
      <c r="BSD2475" s="60"/>
      <c r="BSE2475" s="60"/>
      <c r="BSF2475" s="60"/>
      <c r="BSG2475" s="63"/>
      <c r="BSH2475" s="61"/>
      <c r="BSI2475" s="54"/>
      <c r="BSJ2475" s="54"/>
      <c r="BSK2475" s="60"/>
      <c r="BSL2475" s="60"/>
      <c r="BSM2475" s="60"/>
      <c r="BSN2475" s="60"/>
      <c r="BSO2475" s="63"/>
      <c r="BSP2475" s="61"/>
      <c r="BSQ2475" s="54"/>
      <c r="BSR2475" s="54"/>
      <c r="BSS2475" s="60"/>
      <c r="BST2475" s="60"/>
      <c r="BSU2475" s="60"/>
      <c r="BSV2475" s="60"/>
      <c r="BSW2475" s="63"/>
      <c r="BSX2475" s="61"/>
      <c r="BSY2475" s="54"/>
      <c r="BSZ2475" s="54"/>
      <c r="BTA2475" s="60"/>
      <c r="BTB2475" s="60"/>
      <c r="BTC2475" s="60"/>
      <c r="BTD2475" s="60"/>
      <c r="BTE2475" s="63"/>
      <c r="BTF2475" s="61"/>
      <c r="BTG2475" s="54"/>
      <c r="BTH2475" s="54"/>
      <c r="BTI2475" s="60"/>
      <c r="BTJ2475" s="60"/>
      <c r="BTK2475" s="60"/>
      <c r="BTL2475" s="60"/>
      <c r="BTM2475" s="63"/>
      <c r="BTN2475" s="61"/>
      <c r="BTO2475" s="54"/>
      <c r="BTP2475" s="54"/>
      <c r="BTQ2475" s="60"/>
      <c r="BTR2475" s="60"/>
      <c r="BTS2475" s="60"/>
      <c r="BTT2475" s="60"/>
      <c r="BTU2475" s="63"/>
      <c r="BTV2475" s="61"/>
      <c r="BTW2475" s="54"/>
      <c r="BTX2475" s="54"/>
      <c r="BTY2475" s="60"/>
      <c r="BTZ2475" s="60"/>
      <c r="BUA2475" s="60"/>
      <c r="BUB2475" s="60"/>
      <c r="BUC2475" s="63"/>
      <c r="BUD2475" s="61"/>
      <c r="BUE2475" s="54"/>
      <c r="BUF2475" s="54"/>
      <c r="BUG2475" s="60"/>
      <c r="BUH2475" s="60"/>
      <c r="BUI2475" s="60"/>
      <c r="BUJ2475" s="60"/>
      <c r="BUK2475" s="63"/>
      <c r="BUL2475" s="61"/>
      <c r="BUM2475" s="54"/>
      <c r="BUN2475" s="54"/>
      <c r="BUO2475" s="60"/>
      <c r="BUP2475" s="60"/>
      <c r="BUQ2475" s="60"/>
      <c r="BUR2475" s="60"/>
      <c r="BUS2475" s="63"/>
      <c r="BUT2475" s="61"/>
      <c r="BUU2475" s="54"/>
      <c r="BUV2475" s="54"/>
      <c r="BUW2475" s="60"/>
      <c r="BUX2475" s="60"/>
      <c r="BUY2475" s="60"/>
      <c r="BUZ2475" s="60"/>
      <c r="BVA2475" s="63"/>
      <c r="BVB2475" s="61"/>
      <c r="BVC2475" s="54"/>
      <c r="BVD2475" s="54"/>
      <c r="BVE2475" s="60"/>
      <c r="BVF2475" s="60"/>
      <c r="BVG2475" s="60"/>
      <c r="BVH2475" s="60"/>
      <c r="BVI2475" s="63"/>
      <c r="BVJ2475" s="61"/>
      <c r="BVK2475" s="54"/>
      <c r="BVL2475" s="54"/>
      <c r="BVM2475" s="60"/>
      <c r="BVN2475" s="60"/>
      <c r="BVO2475" s="60"/>
      <c r="BVP2475" s="60"/>
      <c r="BVQ2475" s="63"/>
      <c r="BVR2475" s="61"/>
      <c r="BVS2475" s="54"/>
      <c r="BVT2475" s="54"/>
      <c r="BVU2475" s="60"/>
      <c r="BVV2475" s="60"/>
      <c r="BVW2475" s="60"/>
      <c r="BVX2475" s="60"/>
      <c r="BVY2475" s="63"/>
      <c r="BVZ2475" s="61"/>
      <c r="BWA2475" s="54"/>
      <c r="BWB2475" s="54"/>
      <c r="BWC2475" s="60"/>
      <c r="BWD2475" s="60"/>
      <c r="BWE2475" s="60"/>
      <c r="BWF2475" s="60"/>
      <c r="BWG2475" s="63"/>
      <c r="BWH2475" s="61"/>
      <c r="BWI2475" s="54"/>
      <c r="BWJ2475" s="54"/>
      <c r="BWK2475" s="60"/>
      <c r="BWL2475" s="60"/>
      <c r="BWM2475" s="60"/>
      <c r="BWN2475" s="60"/>
      <c r="BWO2475" s="63"/>
      <c r="BWP2475" s="61"/>
      <c r="BWQ2475" s="54"/>
      <c r="BWR2475" s="54"/>
      <c r="BWS2475" s="60"/>
      <c r="BWT2475" s="60"/>
      <c r="BWU2475" s="60"/>
      <c r="BWV2475" s="60"/>
      <c r="BWW2475" s="63"/>
      <c r="BWX2475" s="61"/>
      <c r="BWY2475" s="54"/>
      <c r="BWZ2475" s="54"/>
      <c r="BXA2475" s="60"/>
      <c r="BXB2475" s="60"/>
      <c r="BXC2475" s="60"/>
      <c r="BXD2475" s="60"/>
      <c r="BXE2475" s="63"/>
      <c r="BXF2475" s="61"/>
      <c r="BXG2475" s="54"/>
      <c r="BXH2475" s="54"/>
      <c r="BXI2475" s="60"/>
      <c r="BXJ2475" s="60"/>
      <c r="BXK2475" s="60"/>
      <c r="BXL2475" s="60"/>
      <c r="BXM2475" s="63"/>
      <c r="BXN2475" s="61"/>
      <c r="BXO2475" s="54"/>
      <c r="BXP2475" s="54"/>
      <c r="BXQ2475" s="60"/>
      <c r="BXR2475" s="60"/>
      <c r="BXS2475" s="60"/>
      <c r="BXT2475" s="60"/>
      <c r="BXU2475" s="63"/>
      <c r="BXV2475" s="61"/>
      <c r="BXW2475" s="54"/>
      <c r="BXX2475" s="54"/>
      <c r="BXY2475" s="60"/>
      <c r="BXZ2475" s="60"/>
      <c r="BYA2475" s="60"/>
      <c r="BYB2475" s="60"/>
      <c r="BYC2475" s="63"/>
      <c r="BYD2475" s="61"/>
      <c r="BYE2475" s="54"/>
      <c r="BYF2475" s="54"/>
      <c r="BYG2475" s="60"/>
      <c r="BYH2475" s="60"/>
      <c r="BYI2475" s="60"/>
      <c r="BYJ2475" s="60"/>
      <c r="BYK2475" s="63"/>
      <c r="BYL2475" s="61"/>
      <c r="BYM2475" s="54"/>
      <c r="BYN2475" s="54"/>
      <c r="BYO2475" s="60"/>
      <c r="BYP2475" s="60"/>
      <c r="BYQ2475" s="60"/>
      <c r="BYR2475" s="60"/>
      <c r="BYS2475" s="63"/>
      <c r="BYT2475" s="61"/>
      <c r="BYU2475" s="54"/>
      <c r="BYV2475" s="54"/>
      <c r="BYW2475" s="60"/>
      <c r="BYX2475" s="60"/>
      <c r="BYY2475" s="60"/>
      <c r="BYZ2475" s="60"/>
      <c r="BZA2475" s="63"/>
      <c r="BZB2475" s="61"/>
      <c r="BZC2475" s="54"/>
      <c r="BZD2475" s="54"/>
      <c r="BZE2475" s="60"/>
      <c r="BZF2475" s="60"/>
      <c r="BZG2475" s="60"/>
      <c r="BZH2475" s="60"/>
      <c r="BZI2475" s="63"/>
      <c r="BZJ2475" s="61"/>
      <c r="BZK2475" s="54"/>
      <c r="BZL2475" s="54"/>
      <c r="BZM2475" s="60"/>
      <c r="BZN2475" s="60"/>
      <c r="BZO2475" s="60"/>
      <c r="BZP2475" s="60"/>
      <c r="BZQ2475" s="63"/>
      <c r="BZR2475" s="61"/>
      <c r="BZS2475" s="54"/>
      <c r="BZT2475" s="54"/>
      <c r="BZU2475" s="60"/>
      <c r="BZV2475" s="60"/>
      <c r="BZW2475" s="60"/>
      <c r="BZX2475" s="60"/>
      <c r="BZY2475" s="63"/>
      <c r="BZZ2475" s="61"/>
      <c r="CAA2475" s="54"/>
      <c r="CAB2475" s="54"/>
      <c r="CAC2475" s="60"/>
      <c r="CAD2475" s="60"/>
      <c r="CAE2475" s="60"/>
      <c r="CAF2475" s="60"/>
      <c r="CAG2475" s="63"/>
      <c r="CAH2475" s="61"/>
      <c r="CAI2475" s="54"/>
      <c r="CAJ2475" s="54"/>
      <c r="CAK2475" s="60"/>
      <c r="CAL2475" s="60"/>
      <c r="CAM2475" s="60"/>
      <c r="CAN2475" s="60"/>
      <c r="CAO2475" s="63"/>
      <c r="CAP2475" s="61"/>
      <c r="CAQ2475" s="54"/>
      <c r="CAR2475" s="54"/>
      <c r="CAS2475" s="60"/>
      <c r="CAT2475" s="60"/>
      <c r="CAU2475" s="60"/>
      <c r="CAV2475" s="60"/>
      <c r="CAW2475" s="63"/>
      <c r="CAX2475" s="61"/>
      <c r="CAY2475" s="54"/>
      <c r="CAZ2475" s="54"/>
      <c r="CBA2475" s="60"/>
      <c r="CBB2475" s="60"/>
      <c r="CBC2475" s="60"/>
      <c r="CBD2475" s="60"/>
      <c r="CBE2475" s="63"/>
      <c r="CBF2475" s="61"/>
      <c r="CBG2475" s="54"/>
      <c r="CBH2475" s="54"/>
      <c r="CBI2475" s="60"/>
      <c r="CBJ2475" s="60"/>
      <c r="CBK2475" s="60"/>
      <c r="CBL2475" s="60"/>
      <c r="CBM2475" s="63"/>
      <c r="CBN2475" s="61"/>
      <c r="CBO2475" s="54"/>
      <c r="CBP2475" s="54"/>
      <c r="CBQ2475" s="60"/>
      <c r="CBR2475" s="60"/>
      <c r="CBS2475" s="60"/>
      <c r="CBT2475" s="60"/>
      <c r="CBU2475" s="63"/>
      <c r="CBV2475" s="61"/>
      <c r="CBW2475" s="54"/>
      <c r="CBX2475" s="54"/>
      <c r="CBY2475" s="60"/>
      <c r="CBZ2475" s="60"/>
      <c r="CCA2475" s="60"/>
      <c r="CCB2475" s="60"/>
      <c r="CCC2475" s="63"/>
      <c r="CCD2475" s="61"/>
      <c r="CCE2475" s="54"/>
      <c r="CCF2475" s="54"/>
      <c r="CCG2475" s="60"/>
      <c r="CCH2475" s="60"/>
      <c r="CCI2475" s="60"/>
      <c r="CCJ2475" s="60"/>
      <c r="CCK2475" s="63"/>
      <c r="CCL2475" s="61"/>
      <c r="CCM2475" s="54"/>
      <c r="CCN2475" s="54"/>
      <c r="CCO2475" s="60"/>
      <c r="CCP2475" s="60"/>
      <c r="CCQ2475" s="60"/>
      <c r="CCR2475" s="60"/>
      <c r="CCS2475" s="63"/>
      <c r="CCT2475" s="61"/>
      <c r="CCU2475" s="54"/>
      <c r="CCV2475" s="54"/>
      <c r="CCW2475" s="60"/>
      <c r="CCX2475" s="60"/>
      <c r="CCY2475" s="60"/>
      <c r="CCZ2475" s="60"/>
      <c r="CDA2475" s="63"/>
      <c r="CDB2475" s="61"/>
      <c r="CDC2475" s="54"/>
      <c r="CDD2475" s="54"/>
      <c r="CDE2475" s="60"/>
      <c r="CDF2475" s="60"/>
      <c r="CDG2475" s="60"/>
      <c r="CDH2475" s="60"/>
      <c r="CDI2475" s="63"/>
      <c r="CDJ2475" s="61"/>
      <c r="CDK2475" s="54"/>
      <c r="CDL2475" s="54"/>
      <c r="CDM2475" s="60"/>
      <c r="CDN2475" s="60"/>
      <c r="CDO2475" s="60"/>
      <c r="CDP2475" s="60"/>
      <c r="CDQ2475" s="63"/>
      <c r="CDR2475" s="61"/>
      <c r="CDS2475" s="54"/>
      <c r="CDT2475" s="54"/>
      <c r="CDU2475" s="60"/>
      <c r="CDV2475" s="60"/>
      <c r="CDW2475" s="60"/>
      <c r="CDX2475" s="60"/>
      <c r="CDY2475" s="63"/>
      <c r="CDZ2475" s="61"/>
      <c r="CEA2475" s="54"/>
      <c r="CEB2475" s="54"/>
      <c r="CEC2475" s="60"/>
      <c r="CED2475" s="60"/>
      <c r="CEE2475" s="60"/>
      <c r="CEF2475" s="60"/>
      <c r="CEG2475" s="63"/>
      <c r="CEH2475" s="61"/>
      <c r="CEI2475" s="54"/>
      <c r="CEJ2475" s="54"/>
      <c r="CEK2475" s="60"/>
      <c r="CEL2475" s="60"/>
      <c r="CEM2475" s="60"/>
      <c r="CEN2475" s="60"/>
      <c r="CEO2475" s="63"/>
      <c r="CEP2475" s="61"/>
      <c r="CEQ2475" s="54"/>
      <c r="CER2475" s="54"/>
      <c r="CES2475" s="60"/>
      <c r="CET2475" s="60"/>
      <c r="CEU2475" s="60"/>
      <c r="CEV2475" s="60"/>
      <c r="CEW2475" s="63"/>
      <c r="CEX2475" s="61"/>
      <c r="CEY2475" s="54"/>
      <c r="CEZ2475" s="54"/>
      <c r="CFA2475" s="60"/>
      <c r="CFB2475" s="60"/>
      <c r="CFC2475" s="60"/>
      <c r="CFD2475" s="60"/>
      <c r="CFE2475" s="63"/>
      <c r="CFF2475" s="61"/>
      <c r="CFG2475" s="54"/>
      <c r="CFH2475" s="54"/>
      <c r="CFI2475" s="60"/>
      <c r="CFJ2475" s="60"/>
      <c r="CFK2475" s="60"/>
      <c r="CFL2475" s="60"/>
      <c r="CFM2475" s="63"/>
      <c r="CFN2475" s="61"/>
      <c r="CFO2475" s="54"/>
      <c r="CFP2475" s="54"/>
      <c r="CFQ2475" s="60"/>
      <c r="CFR2475" s="60"/>
      <c r="CFS2475" s="60"/>
      <c r="CFT2475" s="60"/>
      <c r="CFU2475" s="63"/>
      <c r="CFV2475" s="61"/>
      <c r="CFW2475" s="54"/>
      <c r="CFX2475" s="54"/>
      <c r="CFY2475" s="60"/>
      <c r="CFZ2475" s="60"/>
      <c r="CGA2475" s="60"/>
      <c r="CGB2475" s="60"/>
      <c r="CGC2475" s="63"/>
      <c r="CGD2475" s="61"/>
      <c r="CGE2475" s="54"/>
      <c r="CGF2475" s="54"/>
      <c r="CGG2475" s="60"/>
      <c r="CGH2475" s="60"/>
      <c r="CGI2475" s="60"/>
      <c r="CGJ2475" s="60"/>
      <c r="CGK2475" s="63"/>
      <c r="CGL2475" s="61"/>
      <c r="CGM2475" s="54"/>
      <c r="CGN2475" s="54"/>
      <c r="CGO2475" s="60"/>
      <c r="CGP2475" s="60"/>
      <c r="CGQ2475" s="60"/>
      <c r="CGR2475" s="60"/>
      <c r="CGS2475" s="63"/>
      <c r="CGT2475" s="61"/>
      <c r="CGU2475" s="54"/>
      <c r="CGV2475" s="54"/>
      <c r="CGW2475" s="60"/>
      <c r="CGX2475" s="60"/>
      <c r="CGY2475" s="60"/>
      <c r="CGZ2475" s="60"/>
      <c r="CHA2475" s="63"/>
      <c r="CHB2475" s="61"/>
      <c r="CHC2475" s="54"/>
      <c r="CHD2475" s="54"/>
      <c r="CHE2475" s="60"/>
      <c r="CHF2475" s="60"/>
      <c r="CHG2475" s="60"/>
      <c r="CHH2475" s="60"/>
      <c r="CHI2475" s="63"/>
      <c r="CHJ2475" s="61"/>
      <c r="CHK2475" s="54"/>
      <c r="CHL2475" s="54"/>
      <c r="CHM2475" s="60"/>
      <c r="CHN2475" s="60"/>
      <c r="CHO2475" s="60"/>
      <c r="CHP2475" s="60"/>
      <c r="CHQ2475" s="63"/>
      <c r="CHR2475" s="61"/>
      <c r="CHS2475" s="54"/>
      <c r="CHT2475" s="54"/>
      <c r="CHU2475" s="60"/>
      <c r="CHV2475" s="60"/>
      <c r="CHW2475" s="60"/>
      <c r="CHX2475" s="60"/>
      <c r="CHY2475" s="63"/>
      <c r="CHZ2475" s="61"/>
      <c r="CIA2475" s="54"/>
      <c r="CIB2475" s="54"/>
      <c r="CIC2475" s="60"/>
      <c r="CID2475" s="60"/>
      <c r="CIE2475" s="60"/>
      <c r="CIF2475" s="60"/>
      <c r="CIG2475" s="63"/>
      <c r="CIH2475" s="61"/>
      <c r="CII2475" s="54"/>
      <c r="CIJ2475" s="54"/>
      <c r="CIK2475" s="60"/>
      <c r="CIL2475" s="60"/>
      <c r="CIM2475" s="60"/>
      <c r="CIN2475" s="60"/>
      <c r="CIO2475" s="63"/>
      <c r="CIP2475" s="61"/>
      <c r="CIQ2475" s="54"/>
      <c r="CIR2475" s="54"/>
      <c r="CIS2475" s="60"/>
      <c r="CIT2475" s="60"/>
      <c r="CIU2475" s="60"/>
      <c r="CIV2475" s="60"/>
      <c r="CIW2475" s="63"/>
      <c r="CIX2475" s="61"/>
      <c r="CIY2475" s="54"/>
      <c r="CIZ2475" s="54"/>
      <c r="CJA2475" s="60"/>
      <c r="CJB2475" s="60"/>
      <c r="CJC2475" s="60"/>
      <c r="CJD2475" s="60"/>
      <c r="CJE2475" s="63"/>
      <c r="CJF2475" s="61"/>
      <c r="CJG2475" s="54"/>
      <c r="CJH2475" s="54"/>
      <c r="CJI2475" s="60"/>
      <c r="CJJ2475" s="60"/>
      <c r="CJK2475" s="60"/>
      <c r="CJL2475" s="60"/>
      <c r="CJM2475" s="63"/>
      <c r="CJN2475" s="61"/>
      <c r="CJO2475" s="54"/>
      <c r="CJP2475" s="54"/>
      <c r="CJQ2475" s="60"/>
      <c r="CJR2475" s="60"/>
      <c r="CJS2475" s="60"/>
      <c r="CJT2475" s="60"/>
      <c r="CJU2475" s="63"/>
      <c r="CJV2475" s="61"/>
      <c r="CJW2475" s="54"/>
      <c r="CJX2475" s="54"/>
      <c r="CJY2475" s="60"/>
      <c r="CJZ2475" s="60"/>
      <c r="CKA2475" s="60"/>
      <c r="CKB2475" s="60"/>
      <c r="CKC2475" s="63"/>
      <c r="CKD2475" s="61"/>
      <c r="CKE2475" s="54"/>
      <c r="CKF2475" s="54"/>
      <c r="CKG2475" s="60"/>
      <c r="CKH2475" s="60"/>
      <c r="CKI2475" s="60"/>
      <c r="CKJ2475" s="60"/>
      <c r="CKK2475" s="63"/>
      <c r="CKL2475" s="61"/>
      <c r="CKM2475" s="54"/>
      <c r="CKN2475" s="54"/>
      <c r="CKO2475" s="60"/>
      <c r="CKP2475" s="60"/>
      <c r="CKQ2475" s="60"/>
      <c r="CKR2475" s="60"/>
      <c r="CKS2475" s="63"/>
      <c r="CKT2475" s="61"/>
      <c r="CKU2475" s="54"/>
      <c r="CKV2475" s="54"/>
      <c r="CKW2475" s="60"/>
      <c r="CKX2475" s="60"/>
      <c r="CKY2475" s="60"/>
      <c r="CKZ2475" s="60"/>
      <c r="CLA2475" s="63"/>
      <c r="CLB2475" s="61"/>
      <c r="CLC2475" s="54"/>
      <c r="CLD2475" s="54"/>
      <c r="CLE2475" s="60"/>
      <c r="CLF2475" s="60"/>
      <c r="CLG2475" s="60"/>
      <c r="CLH2475" s="60"/>
      <c r="CLI2475" s="63"/>
      <c r="CLJ2475" s="61"/>
      <c r="CLK2475" s="54"/>
      <c r="CLL2475" s="54"/>
      <c r="CLM2475" s="60"/>
      <c r="CLN2475" s="60"/>
      <c r="CLO2475" s="60"/>
      <c r="CLP2475" s="60"/>
      <c r="CLQ2475" s="63"/>
      <c r="CLR2475" s="61"/>
      <c r="CLS2475" s="54"/>
      <c r="CLT2475" s="54"/>
      <c r="CLU2475" s="60"/>
      <c r="CLV2475" s="60"/>
      <c r="CLW2475" s="60"/>
      <c r="CLX2475" s="60"/>
      <c r="CLY2475" s="63"/>
      <c r="CLZ2475" s="61"/>
      <c r="CMA2475" s="54"/>
      <c r="CMB2475" s="54"/>
      <c r="CMC2475" s="60"/>
      <c r="CMD2475" s="60"/>
      <c r="CME2475" s="60"/>
      <c r="CMF2475" s="60"/>
      <c r="CMG2475" s="63"/>
      <c r="CMH2475" s="61"/>
      <c r="CMI2475" s="54"/>
      <c r="CMJ2475" s="54"/>
      <c r="CMK2475" s="60"/>
      <c r="CML2475" s="60"/>
      <c r="CMM2475" s="60"/>
      <c r="CMN2475" s="60"/>
      <c r="CMO2475" s="63"/>
      <c r="CMP2475" s="61"/>
      <c r="CMQ2475" s="54"/>
      <c r="CMR2475" s="54"/>
      <c r="CMS2475" s="60"/>
      <c r="CMT2475" s="60"/>
      <c r="CMU2475" s="60"/>
      <c r="CMV2475" s="60"/>
      <c r="CMW2475" s="63"/>
      <c r="CMX2475" s="61"/>
      <c r="CMY2475" s="54"/>
      <c r="CMZ2475" s="54"/>
      <c r="CNA2475" s="60"/>
      <c r="CNB2475" s="60"/>
      <c r="CNC2475" s="60"/>
      <c r="CND2475" s="60"/>
      <c r="CNE2475" s="63"/>
      <c r="CNF2475" s="61"/>
      <c r="CNG2475" s="54"/>
      <c r="CNH2475" s="54"/>
      <c r="CNI2475" s="60"/>
      <c r="CNJ2475" s="60"/>
      <c r="CNK2475" s="60"/>
      <c r="CNL2475" s="60"/>
      <c r="CNM2475" s="63"/>
      <c r="CNN2475" s="61"/>
      <c r="CNO2475" s="54"/>
      <c r="CNP2475" s="54"/>
      <c r="CNQ2475" s="60"/>
      <c r="CNR2475" s="60"/>
      <c r="CNS2475" s="60"/>
      <c r="CNT2475" s="60"/>
      <c r="CNU2475" s="63"/>
      <c r="CNV2475" s="61"/>
      <c r="CNW2475" s="54"/>
      <c r="CNX2475" s="54"/>
      <c r="CNY2475" s="60"/>
      <c r="CNZ2475" s="60"/>
      <c r="COA2475" s="60"/>
      <c r="COB2475" s="60"/>
      <c r="COC2475" s="63"/>
      <c r="COD2475" s="61"/>
      <c r="COE2475" s="54"/>
      <c r="COF2475" s="54"/>
      <c r="COG2475" s="60"/>
      <c r="COH2475" s="60"/>
      <c r="COI2475" s="60"/>
      <c r="COJ2475" s="60"/>
      <c r="COK2475" s="63"/>
      <c r="COL2475" s="61"/>
      <c r="COM2475" s="54"/>
      <c r="CON2475" s="54"/>
      <c r="COO2475" s="60"/>
      <c r="COP2475" s="60"/>
      <c r="COQ2475" s="60"/>
      <c r="COR2475" s="60"/>
      <c r="COS2475" s="63"/>
      <c r="COT2475" s="61"/>
      <c r="COU2475" s="54"/>
      <c r="COV2475" s="54"/>
      <c r="COW2475" s="60"/>
      <c r="COX2475" s="60"/>
      <c r="COY2475" s="60"/>
      <c r="COZ2475" s="60"/>
      <c r="CPA2475" s="63"/>
      <c r="CPB2475" s="61"/>
      <c r="CPC2475" s="54"/>
      <c r="CPD2475" s="54"/>
      <c r="CPE2475" s="60"/>
      <c r="CPF2475" s="60"/>
      <c r="CPG2475" s="60"/>
      <c r="CPH2475" s="60"/>
      <c r="CPI2475" s="63"/>
      <c r="CPJ2475" s="61"/>
      <c r="CPK2475" s="54"/>
      <c r="CPL2475" s="54"/>
      <c r="CPM2475" s="60"/>
      <c r="CPN2475" s="60"/>
      <c r="CPO2475" s="60"/>
      <c r="CPP2475" s="60"/>
      <c r="CPQ2475" s="63"/>
      <c r="CPR2475" s="61"/>
      <c r="CPS2475" s="54"/>
      <c r="CPT2475" s="54"/>
      <c r="CPU2475" s="60"/>
      <c r="CPV2475" s="60"/>
      <c r="CPW2475" s="60"/>
      <c r="CPX2475" s="60"/>
      <c r="CPY2475" s="63"/>
      <c r="CPZ2475" s="61"/>
      <c r="CQA2475" s="54"/>
      <c r="CQB2475" s="54"/>
      <c r="CQC2475" s="60"/>
      <c r="CQD2475" s="60"/>
      <c r="CQE2475" s="60"/>
      <c r="CQF2475" s="60"/>
      <c r="CQG2475" s="63"/>
      <c r="CQH2475" s="61"/>
      <c r="CQI2475" s="54"/>
      <c r="CQJ2475" s="54"/>
      <c r="CQK2475" s="60"/>
      <c r="CQL2475" s="60"/>
      <c r="CQM2475" s="60"/>
      <c r="CQN2475" s="60"/>
      <c r="CQO2475" s="63"/>
      <c r="CQP2475" s="61"/>
      <c r="CQQ2475" s="54"/>
      <c r="CQR2475" s="54"/>
      <c r="CQS2475" s="60"/>
      <c r="CQT2475" s="60"/>
      <c r="CQU2475" s="60"/>
      <c r="CQV2475" s="60"/>
      <c r="CQW2475" s="63"/>
      <c r="CQX2475" s="61"/>
      <c r="CQY2475" s="54"/>
      <c r="CQZ2475" s="54"/>
      <c r="CRA2475" s="60"/>
      <c r="CRB2475" s="60"/>
      <c r="CRC2475" s="60"/>
      <c r="CRD2475" s="60"/>
      <c r="CRE2475" s="63"/>
      <c r="CRF2475" s="61"/>
      <c r="CRG2475" s="54"/>
      <c r="CRH2475" s="54"/>
      <c r="CRI2475" s="60"/>
      <c r="CRJ2475" s="60"/>
      <c r="CRK2475" s="60"/>
      <c r="CRL2475" s="60"/>
      <c r="CRM2475" s="63"/>
      <c r="CRN2475" s="61"/>
      <c r="CRO2475" s="54"/>
      <c r="CRP2475" s="54"/>
      <c r="CRQ2475" s="60"/>
      <c r="CRR2475" s="60"/>
      <c r="CRS2475" s="60"/>
      <c r="CRT2475" s="60"/>
      <c r="CRU2475" s="63"/>
      <c r="CRV2475" s="61"/>
      <c r="CRW2475" s="54"/>
      <c r="CRX2475" s="54"/>
      <c r="CRY2475" s="60"/>
      <c r="CRZ2475" s="60"/>
      <c r="CSA2475" s="60"/>
      <c r="CSB2475" s="60"/>
      <c r="CSC2475" s="63"/>
      <c r="CSD2475" s="61"/>
      <c r="CSE2475" s="54"/>
      <c r="CSF2475" s="54"/>
      <c r="CSG2475" s="60"/>
      <c r="CSH2475" s="60"/>
      <c r="CSI2475" s="60"/>
      <c r="CSJ2475" s="60"/>
      <c r="CSK2475" s="63"/>
      <c r="CSL2475" s="61"/>
      <c r="CSM2475" s="54"/>
      <c r="CSN2475" s="54"/>
      <c r="CSO2475" s="60"/>
      <c r="CSP2475" s="60"/>
      <c r="CSQ2475" s="60"/>
      <c r="CSR2475" s="60"/>
      <c r="CSS2475" s="63"/>
      <c r="CST2475" s="61"/>
      <c r="CSU2475" s="54"/>
      <c r="CSV2475" s="54"/>
      <c r="CSW2475" s="60"/>
      <c r="CSX2475" s="60"/>
      <c r="CSY2475" s="60"/>
      <c r="CSZ2475" s="60"/>
      <c r="CTA2475" s="63"/>
      <c r="CTB2475" s="61"/>
      <c r="CTC2475" s="54"/>
      <c r="CTD2475" s="54"/>
      <c r="CTE2475" s="60"/>
      <c r="CTF2475" s="60"/>
      <c r="CTG2475" s="60"/>
      <c r="CTH2475" s="60"/>
      <c r="CTI2475" s="63"/>
      <c r="CTJ2475" s="61"/>
      <c r="CTK2475" s="54"/>
      <c r="CTL2475" s="54"/>
      <c r="CTM2475" s="60"/>
      <c r="CTN2475" s="60"/>
      <c r="CTO2475" s="60"/>
      <c r="CTP2475" s="60"/>
      <c r="CTQ2475" s="63"/>
      <c r="CTR2475" s="61"/>
      <c r="CTS2475" s="54"/>
      <c r="CTT2475" s="54"/>
      <c r="CTU2475" s="60"/>
      <c r="CTV2475" s="60"/>
      <c r="CTW2475" s="60"/>
      <c r="CTX2475" s="60"/>
      <c r="CTY2475" s="63"/>
      <c r="CTZ2475" s="61"/>
      <c r="CUA2475" s="54"/>
      <c r="CUB2475" s="54"/>
      <c r="CUC2475" s="60"/>
      <c r="CUD2475" s="60"/>
      <c r="CUE2475" s="60"/>
      <c r="CUF2475" s="60"/>
      <c r="CUG2475" s="63"/>
      <c r="CUH2475" s="61"/>
      <c r="CUI2475" s="54"/>
      <c r="CUJ2475" s="54"/>
      <c r="CUK2475" s="60"/>
      <c r="CUL2475" s="60"/>
      <c r="CUM2475" s="60"/>
      <c r="CUN2475" s="60"/>
      <c r="CUO2475" s="63"/>
      <c r="CUP2475" s="61"/>
      <c r="CUQ2475" s="54"/>
      <c r="CUR2475" s="54"/>
      <c r="CUS2475" s="60"/>
      <c r="CUT2475" s="60"/>
      <c r="CUU2475" s="60"/>
      <c r="CUV2475" s="60"/>
      <c r="CUW2475" s="63"/>
      <c r="CUX2475" s="61"/>
      <c r="CUY2475" s="54"/>
      <c r="CUZ2475" s="54"/>
      <c r="CVA2475" s="60"/>
      <c r="CVB2475" s="60"/>
      <c r="CVC2475" s="60"/>
      <c r="CVD2475" s="60"/>
      <c r="CVE2475" s="63"/>
      <c r="CVF2475" s="61"/>
      <c r="CVG2475" s="54"/>
      <c r="CVH2475" s="54"/>
      <c r="CVI2475" s="60"/>
      <c r="CVJ2475" s="60"/>
      <c r="CVK2475" s="60"/>
      <c r="CVL2475" s="60"/>
      <c r="CVM2475" s="63"/>
      <c r="CVN2475" s="61"/>
      <c r="CVO2475" s="54"/>
      <c r="CVP2475" s="54"/>
      <c r="CVQ2475" s="60"/>
      <c r="CVR2475" s="60"/>
      <c r="CVS2475" s="60"/>
      <c r="CVT2475" s="60"/>
      <c r="CVU2475" s="63"/>
      <c r="CVV2475" s="61"/>
      <c r="CVW2475" s="54"/>
      <c r="CVX2475" s="54"/>
      <c r="CVY2475" s="60"/>
      <c r="CVZ2475" s="60"/>
      <c r="CWA2475" s="60"/>
      <c r="CWB2475" s="60"/>
      <c r="CWC2475" s="63"/>
      <c r="CWD2475" s="61"/>
      <c r="CWE2475" s="54"/>
      <c r="CWF2475" s="54"/>
      <c r="CWG2475" s="60"/>
      <c r="CWH2475" s="60"/>
      <c r="CWI2475" s="60"/>
      <c r="CWJ2475" s="60"/>
      <c r="CWK2475" s="63"/>
      <c r="CWL2475" s="61"/>
      <c r="CWM2475" s="54"/>
      <c r="CWN2475" s="54"/>
      <c r="CWO2475" s="60"/>
      <c r="CWP2475" s="60"/>
      <c r="CWQ2475" s="60"/>
      <c r="CWR2475" s="60"/>
      <c r="CWS2475" s="63"/>
      <c r="CWT2475" s="61"/>
      <c r="CWU2475" s="54"/>
      <c r="CWV2475" s="54"/>
      <c r="CWW2475" s="60"/>
      <c r="CWX2475" s="60"/>
      <c r="CWY2475" s="60"/>
      <c r="CWZ2475" s="60"/>
      <c r="CXA2475" s="63"/>
      <c r="CXB2475" s="61"/>
      <c r="CXC2475" s="54"/>
      <c r="CXD2475" s="54"/>
      <c r="CXE2475" s="60"/>
      <c r="CXF2475" s="60"/>
      <c r="CXG2475" s="60"/>
      <c r="CXH2475" s="60"/>
      <c r="CXI2475" s="63"/>
      <c r="CXJ2475" s="61"/>
      <c r="CXK2475" s="54"/>
      <c r="CXL2475" s="54"/>
      <c r="CXM2475" s="60"/>
      <c r="CXN2475" s="60"/>
      <c r="CXO2475" s="60"/>
      <c r="CXP2475" s="60"/>
      <c r="CXQ2475" s="63"/>
      <c r="CXR2475" s="61"/>
      <c r="CXS2475" s="54"/>
      <c r="CXT2475" s="54"/>
      <c r="CXU2475" s="60"/>
      <c r="CXV2475" s="60"/>
      <c r="CXW2475" s="60"/>
      <c r="CXX2475" s="60"/>
      <c r="CXY2475" s="63"/>
      <c r="CXZ2475" s="61"/>
      <c r="CYA2475" s="54"/>
      <c r="CYB2475" s="54"/>
      <c r="CYC2475" s="60"/>
      <c r="CYD2475" s="60"/>
      <c r="CYE2475" s="60"/>
      <c r="CYF2475" s="60"/>
      <c r="CYG2475" s="63"/>
      <c r="CYH2475" s="61"/>
      <c r="CYI2475" s="54"/>
      <c r="CYJ2475" s="54"/>
      <c r="CYK2475" s="60"/>
      <c r="CYL2475" s="60"/>
      <c r="CYM2475" s="60"/>
      <c r="CYN2475" s="60"/>
      <c r="CYO2475" s="63"/>
      <c r="CYP2475" s="61"/>
      <c r="CYQ2475" s="54"/>
      <c r="CYR2475" s="54"/>
      <c r="CYS2475" s="60"/>
      <c r="CYT2475" s="60"/>
      <c r="CYU2475" s="60"/>
      <c r="CYV2475" s="60"/>
      <c r="CYW2475" s="63"/>
      <c r="CYX2475" s="61"/>
      <c r="CYY2475" s="54"/>
      <c r="CYZ2475" s="54"/>
      <c r="CZA2475" s="60"/>
      <c r="CZB2475" s="60"/>
      <c r="CZC2475" s="60"/>
      <c r="CZD2475" s="60"/>
      <c r="CZE2475" s="63"/>
      <c r="CZF2475" s="61"/>
      <c r="CZG2475" s="54"/>
      <c r="CZH2475" s="54"/>
      <c r="CZI2475" s="60"/>
      <c r="CZJ2475" s="60"/>
      <c r="CZK2475" s="60"/>
      <c r="CZL2475" s="60"/>
      <c r="CZM2475" s="63"/>
      <c r="CZN2475" s="61"/>
      <c r="CZO2475" s="54"/>
      <c r="CZP2475" s="54"/>
      <c r="CZQ2475" s="60"/>
      <c r="CZR2475" s="60"/>
      <c r="CZS2475" s="60"/>
      <c r="CZT2475" s="60"/>
      <c r="CZU2475" s="63"/>
      <c r="CZV2475" s="61"/>
      <c r="CZW2475" s="54"/>
      <c r="CZX2475" s="54"/>
      <c r="CZY2475" s="60"/>
      <c r="CZZ2475" s="60"/>
      <c r="DAA2475" s="60"/>
      <c r="DAB2475" s="60"/>
      <c r="DAC2475" s="63"/>
      <c r="DAD2475" s="61"/>
      <c r="DAE2475" s="54"/>
      <c r="DAF2475" s="54"/>
      <c r="DAG2475" s="60"/>
      <c r="DAH2475" s="60"/>
      <c r="DAI2475" s="60"/>
      <c r="DAJ2475" s="60"/>
      <c r="DAK2475" s="63"/>
      <c r="DAL2475" s="61"/>
      <c r="DAM2475" s="54"/>
      <c r="DAN2475" s="54"/>
      <c r="DAO2475" s="60"/>
      <c r="DAP2475" s="60"/>
      <c r="DAQ2475" s="60"/>
      <c r="DAR2475" s="60"/>
      <c r="DAS2475" s="63"/>
      <c r="DAT2475" s="61"/>
      <c r="DAU2475" s="54"/>
      <c r="DAV2475" s="54"/>
      <c r="DAW2475" s="60"/>
      <c r="DAX2475" s="60"/>
      <c r="DAY2475" s="60"/>
      <c r="DAZ2475" s="60"/>
      <c r="DBA2475" s="63"/>
      <c r="DBB2475" s="61"/>
      <c r="DBC2475" s="54"/>
      <c r="DBD2475" s="54"/>
      <c r="DBE2475" s="60"/>
      <c r="DBF2475" s="60"/>
      <c r="DBG2475" s="60"/>
      <c r="DBH2475" s="60"/>
      <c r="DBI2475" s="63"/>
      <c r="DBJ2475" s="61"/>
      <c r="DBK2475" s="54"/>
      <c r="DBL2475" s="54"/>
      <c r="DBM2475" s="60"/>
      <c r="DBN2475" s="60"/>
      <c r="DBO2475" s="60"/>
      <c r="DBP2475" s="60"/>
      <c r="DBQ2475" s="63"/>
      <c r="DBR2475" s="61"/>
      <c r="DBS2475" s="54"/>
      <c r="DBT2475" s="54"/>
      <c r="DBU2475" s="60"/>
      <c r="DBV2475" s="60"/>
      <c r="DBW2475" s="60"/>
      <c r="DBX2475" s="60"/>
      <c r="DBY2475" s="63"/>
      <c r="DBZ2475" s="61"/>
      <c r="DCA2475" s="54"/>
      <c r="DCB2475" s="54"/>
      <c r="DCC2475" s="60"/>
      <c r="DCD2475" s="60"/>
      <c r="DCE2475" s="60"/>
      <c r="DCF2475" s="60"/>
      <c r="DCG2475" s="63"/>
      <c r="DCH2475" s="61"/>
      <c r="DCI2475" s="54"/>
      <c r="DCJ2475" s="54"/>
      <c r="DCK2475" s="60"/>
      <c r="DCL2475" s="60"/>
      <c r="DCM2475" s="60"/>
      <c r="DCN2475" s="60"/>
      <c r="DCO2475" s="63"/>
      <c r="DCP2475" s="61"/>
      <c r="DCQ2475" s="54"/>
      <c r="DCR2475" s="54"/>
      <c r="DCS2475" s="60"/>
      <c r="DCT2475" s="60"/>
      <c r="DCU2475" s="60"/>
      <c r="DCV2475" s="60"/>
      <c r="DCW2475" s="63"/>
      <c r="DCX2475" s="61"/>
      <c r="DCY2475" s="54"/>
      <c r="DCZ2475" s="54"/>
      <c r="DDA2475" s="60"/>
      <c r="DDB2475" s="60"/>
      <c r="DDC2475" s="60"/>
      <c r="DDD2475" s="60"/>
      <c r="DDE2475" s="63"/>
      <c r="DDF2475" s="61"/>
      <c r="DDG2475" s="54"/>
      <c r="DDH2475" s="54"/>
      <c r="DDI2475" s="60"/>
      <c r="DDJ2475" s="60"/>
      <c r="DDK2475" s="60"/>
      <c r="DDL2475" s="60"/>
      <c r="DDM2475" s="63"/>
      <c r="DDN2475" s="61"/>
      <c r="DDO2475" s="54"/>
      <c r="DDP2475" s="54"/>
      <c r="DDQ2475" s="60"/>
      <c r="DDR2475" s="60"/>
      <c r="DDS2475" s="60"/>
      <c r="DDT2475" s="60"/>
      <c r="DDU2475" s="63"/>
      <c r="DDV2475" s="61"/>
      <c r="DDW2475" s="54"/>
      <c r="DDX2475" s="54"/>
      <c r="DDY2475" s="60"/>
      <c r="DDZ2475" s="60"/>
      <c r="DEA2475" s="60"/>
      <c r="DEB2475" s="60"/>
      <c r="DEC2475" s="63"/>
      <c r="DED2475" s="61"/>
      <c r="DEE2475" s="54"/>
      <c r="DEF2475" s="54"/>
      <c r="DEG2475" s="60"/>
      <c r="DEH2475" s="60"/>
      <c r="DEI2475" s="60"/>
      <c r="DEJ2475" s="60"/>
      <c r="DEK2475" s="63"/>
      <c r="DEL2475" s="61"/>
      <c r="DEM2475" s="54"/>
      <c r="DEN2475" s="54"/>
      <c r="DEO2475" s="60"/>
      <c r="DEP2475" s="60"/>
      <c r="DEQ2475" s="60"/>
      <c r="DER2475" s="60"/>
      <c r="DES2475" s="63"/>
      <c r="DET2475" s="61"/>
      <c r="DEU2475" s="54"/>
      <c r="DEV2475" s="54"/>
      <c r="DEW2475" s="60"/>
      <c r="DEX2475" s="60"/>
      <c r="DEY2475" s="60"/>
      <c r="DEZ2475" s="60"/>
      <c r="DFA2475" s="63"/>
      <c r="DFB2475" s="61"/>
      <c r="DFC2475" s="54"/>
      <c r="DFD2475" s="54"/>
      <c r="DFE2475" s="60"/>
      <c r="DFF2475" s="60"/>
      <c r="DFG2475" s="60"/>
      <c r="DFH2475" s="60"/>
      <c r="DFI2475" s="63"/>
      <c r="DFJ2475" s="61"/>
      <c r="DFK2475" s="54"/>
      <c r="DFL2475" s="54"/>
      <c r="DFM2475" s="60"/>
      <c r="DFN2475" s="60"/>
      <c r="DFO2475" s="60"/>
      <c r="DFP2475" s="60"/>
      <c r="DFQ2475" s="63"/>
      <c r="DFR2475" s="61"/>
      <c r="DFS2475" s="54"/>
      <c r="DFT2475" s="54"/>
      <c r="DFU2475" s="60"/>
      <c r="DFV2475" s="60"/>
      <c r="DFW2475" s="60"/>
      <c r="DFX2475" s="60"/>
      <c r="DFY2475" s="63"/>
      <c r="DFZ2475" s="61"/>
      <c r="DGA2475" s="54"/>
      <c r="DGB2475" s="54"/>
      <c r="DGC2475" s="60"/>
      <c r="DGD2475" s="60"/>
      <c r="DGE2475" s="60"/>
      <c r="DGF2475" s="60"/>
      <c r="DGG2475" s="63"/>
      <c r="DGH2475" s="61"/>
      <c r="DGI2475" s="54"/>
      <c r="DGJ2475" s="54"/>
      <c r="DGK2475" s="60"/>
      <c r="DGL2475" s="60"/>
      <c r="DGM2475" s="60"/>
      <c r="DGN2475" s="60"/>
      <c r="DGO2475" s="63"/>
      <c r="DGP2475" s="61"/>
      <c r="DGQ2475" s="54"/>
      <c r="DGR2475" s="54"/>
      <c r="DGS2475" s="60"/>
      <c r="DGT2475" s="60"/>
      <c r="DGU2475" s="60"/>
      <c r="DGV2475" s="60"/>
      <c r="DGW2475" s="63"/>
      <c r="DGX2475" s="61"/>
      <c r="DGY2475" s="54"/>
      <c r="DGZ2475" s="54"/>
      <c r="DHA2475" s="60"/>
      <c r="DHB2475" s="60"/>
      <c r="DHC2475" s="60"/>
      <c r="DHD2475" s="60"/>
      <c r="DHE2475" s="63"/>
      <c r="DHF2475" s="61"/>
      <c r="DHG2475" s="54"/>
      <c r="DHH2475" s="54"/>
      <c r="DHI2475" s="60"/>
      <c r="DHJ2475" s="60"/>
      <c r="DHK2475" s="60"/>
      <c r="DHL2475" s="60"/>
      <c r="DHM2475" s="63"/>
      <c r="DHN2475" s="61"/>
      <c r="DHO2475" s="54"/>
      <c r="DHP2475" s="54"/>
      <c r="DHQ2475" s="60"/>
      <c r="DHR2475" s="60"/>
      <c r="DHS2475" s="60"/>
      <c r="DHT2475" s="60"/>
      <c r="DHU2475" s="63"/>
      <c r="DHV2475" s="61"/>
      <c r="DHW2475" s="54"/>
      <c r="DHX2475" s="54"/>
      <c r="DHY2475" s="60"/>
      <c r="DHZ2475" s="60"/>
      <c r="DIA2475" s="60"/>
      <c r="DIB2475" s="60"/>
      <c r="DIC2475" s="63"/>
      <c r="DID2475" s="61"/>
      <c r="DIE2475" s="54"/>
      <c r="DIF2475" s="54"/>
      <c r="DIG2475" s="60"/>
      <c r="DIH2475" s="60"/>
      <c r="DII2475" s="60"/>
      <c r="DIJ2475" s="60"/>
      <c r="DIK2475" s="63"/>
      <c r="DIL2475" s="61"/>
      <c r="DIM2475" s="54"/>
      <c r="DIN2475" s="54"/>
      <c r="DIO2475" s="60"/>
      <c r="DIP2475" s="60"/>
      <c r="DIQ2475" s="60"/>
      <c r="DIR2475" s="60"/>
      <c r="DIS2475" s="63"/>
      <c r="DIT2475" s="61"/>
      <c r="DIU2475" s="54"/>
      <c r="DIV2475" s="54"/>
      <c r="DIW2475" s="60"/>
      <c r="DIX2475" s="60"/>
      <c r="DIY2475" s="60"/>
      <c r="DIZ2475" s="60"/>
      <c r="DJA2475" s="63"/>
      <c r="DJB2475" s="61"/>
      <c r="DJC2475" s="54"/>
      <c r="DJD2475" s="54"/>
      <c r="DJE2475" s="60"/>
      <c r="DJF2475" s="60"/>
      <c r="DJG2475" s="60"/>
      <c r="DJH2475" s="60"/>
      <c r="DJI2475" s="63"/>
      <c r="DJJ2475" s="61"/>
      <c r="DJK2475" s="54"/>
      <c r="DJL2475" s="54"/>
      <c r="DJM2475" s="60"/>
      <c r="DJN2475" s="60"/>
      <c r="DJO2475" s="60"/>
      <c r="DJP2475" s="60"/>
      <c r="DJQ2475" s="63"/>
      <c r="DJR2475" s="61"/>
      <c r="DJS2475" s="54"/>
      <c r="DJT2475" s="54"/>
      <c r="DJU2475" s="60"/>
      <c r="DJV2475" s="60"/>
      <c r="DJW2475" s="60"/>
      <c r="DJX2475" s="60"/>
      <c r="DJY2475" s="63"/>
      <c r="DJZ2475" s="61"/>
      <c r="DKA2475" s="54"/>
      <c r="DKB2475" s="54"/>
      <c r="DKC2475" s="60"/>
      <c r="DKD2475" s="60"/>
      <c r="DKE2475" s="60"/>
      <c r="DKF2475" s="60"/>
      <c r="DKG2475" s="63"/>
      <c r="DKH2475" s="61"/>
      <c r="DKI2475" s="54"/>
      <c r="DKJ2475" s="54"/>
      <c r="DKK2475" s="60"/>
      <c r="DKL2475" s="60"/>
      <c r="DKM2475" s="60"/>
      <c r="DKN2475" s="60"/>
      <c r="DKO2475" s="63"/>
      <c r="DKP2475" s="61"/>
      <c r="DKQ2475" s="54"/>
      <c r="DKR2475" s="54"/>
      <c r="DKS2475" s="60"/>
      <c r="DKT2475" s="60"/>
      <c r="DKU2475" s="60"/>
      <c r="DKV2475" s="60"/>
      <c r="DKW2475" s="63"/>
      <c r="DKX2475" s="61"/>
      <c r="DKY2475" s="54"/>
      <c r="DKZ2475" s="54"/>
      <c r="DLA2475" s="60"/>
      <c r="DLB2475" s="60"/>
      <c r="DLC2475" s="60"/>
      <c r="DLD2475" s="60"/>
      <c r="DLE2475" s="63"/>
      <c r="DLF2475" s="61"/>
      <c r="DLG2475" s="54"/>
      <c r="DLH2475" s="54"/>
      <c r="DLI2475" s="60"/>
      <c r="DLJ2475" s="60"/>
      <c r="DLK2475" s="60"/>
      <c r="DLL2475" s="60"/>
      <c r="DLM2475" s="63"/>
      <c r="DLN2475" s="61"/>
      <c r="DLO2475" s="54"/>
      <c r="DLP2475" s="54"/>
      <c r="DLQ2475" s="60"/>
      <c r="DLR2475" s="60"/>
      <c r="DLS2475" s="60"/>
      <c r="DLT2475" s="60"/>
      <c r="DLU2475" s="63"/>
      <c r="DLV2475" s="61"/>
      <c r="DLW2475" s="54"/>
      <c r="DLX2475" s="54"/>
      <c r="DLY2475" s="60"/>
      <c r="DLZ2475" s="60"/>
      <c r="DMA2475" s="60"/>
      <c r="DMB2475" s="60"/>
      <c r="DMC2475" s="63"/>
      <c r="DMD2475" s="61"/>
      <c r="DME2475" s="54"/>
      <c r="DMF2475" s="54"/>
      <c r="DMG2475" s="60"/>
      <c r="DMH2475" s="60"/>
      <c r="DMI2475" s="60"/>
      <c r="DMJ2475" s="60"/>
      <c r="DMK2475" s="63"/>
      <c r="DML2475" s="61"/>
      <c r="DMM2475" s="54"/>
      <c r="DMN2475" s="54"/>
      <c r="DMO2475" s="60"/>
      <c r="DMP2475" s="60"/>
      <c r="DMQ2475" s="60"/>
      <c r="DMR2475" s="60"/>
      <c r="DMS2475" s="63"/>
      <c r="DMT2475" s="61"/>
      <c r="DMU2475" s="54"/>
      <c r="DMV2475" s="54"/>
      <c r="DMW2475" s="60"/>
      <c r="DMX2475" s="60"/>
      <c r="DMY2475" s="60"/>
      <c r="DMZ2475" s="60"/>
      <c r="DNA2475" s="63"/>
      <c r="DNB2475" s="61"/>
      <c r="DNC2475" s="54"/>
      <c r="DND2475" s="54"/>
      <c r="DNE2475" s="60"/>
      <c r="DNF2475" s="60"/>
      <c r="DNG2475" s="60"/>
      <c r="DNH2475" s="60"/>
      <c r="DNI2475" s="63"/>
      <c r="DNJ2475" s="61"/>
      <c r="DNK2475" s="54"/>
      <c r="DNL2475" s="54"/>
      <c r="DNM2475" s="60"/>
      <c r="DNN2475" s="60"/>
      <c r="DNO2475" s="60"/>
      <c r="DNP2475" s="60"/>
      <c r="DNQ2475" s="63"/>
      <c r="DNR2475" s="61"/>
      <c r="DNS2475" s="54"/>
      <c r="DNT2475" s="54"/>
      <c r="DNU2475" s="60"/>
      <c r="DNV2475" s="60"/>
      <c r="DNW2475" s="60"/>
      <c r="DNX2475" s="60"/>
      <c r="DNY2475" s="63"/>
      <c r="DNZ2475" s="61"/>
      <c r="DOA2475" s="54"/>
      <c r="DOB2475" s="54"/>
      <c r="DOC2475" s="60"/>
      <c r="DOD2475" s="60"/>
      <c r="DOE2475" s="60"/>
      <c r="DOF2475" s="60"/>
      <c r="DOG2475" s="63"/>
      <c r="DOH2475" s="61"/>
      <c r="DOI2475" s="54"/>
      <c r="DOJ2475" s="54"/>
      <c r="DOK2475" s="60"/>
      <c r="DOL2475" s="60"/>
      <c r="DOM2475" s="60"/>
      <c r="DON2475" s="60"/>
      <c r="DOO2475" s="63"/>
      <c r="DOP2475" s="61"/>
      <c r="DOQ2475" s="54"/>
      <c r="DOR2475" s="54"/>
      <c r="DOS2475" s="60"/>
      <c r="DOT2475" s="60"/>
      <c r="DOU2475" s="60"/>
      <c r="DOV2475" s="60"/>
      <c r="DOW2475" s="63"/>
      <c r="DOX2475" s="61"/>
      <c r="DOY2475" s="54"/>
      <c r="DOZ2475" s="54"/>
      <c r="DPA2475" s="60"/>
      <c r="DPB2475" s="60"/>
      <c r="DPC2475" s="60"/>
      <c r="DPD2475" s="60"/>
      <c r="DPE2475" s="63"/>
      <c r="DPF2475" s="61"/>
      <c r="DPG2475" s="54"/>
      <c r="DPH2475" s="54"/>
      <c r="DPI2475" s="60"/>
      <c r="DPJ2475" s="60"/>
      <c r="DPK2475" s="60"/>
      <c r="DPL2475" s="60"/>
      <c r="DPM2475" s="63"/>
      <c r="DPN2475" s="61"/>
      <c r="DPO2475" s="54"/>
      <c r="DPP2475" s="54"/>
      <c r="DPQ2475" s="60"/>
      <c r="DPR2475" s="60"/>
      <c r="DPS2475" s="60"/>
      <c r="DPT2475" s="60"/>
      <c r="DPU2475" s="63"/>
      <c r="DPV2475" s="61"/>
      <c r="DPW2475" s="54"/>
      <c r="DPX2475" s="54"/>
      <c r="DPY2475" s="60"/>
      <c r="DPZ2475" s="60"/>
      <c r="DQA2475" s="60"/>
      <c r="DQB2475" s="60"/>
      <c r="DQC2475" s="63"/>
      <c r="DQD2475" s="61"/>
      <c r="DQE2475" s="54"/>
      <c r="DQF2475" s="54"/>
      <c r="DQG2475" s="60"/>
      <c r="DQH2475" s="60"/>
      <c r="DQI2475" s="60"/>
      <c r="DQJ2475" s="60"/>
      <c r="DQK2475" s="63"/>
      <c r="DQL2475" s="61"/>
      <c r="DQM2475" s="54"/>
      <c r="DQN2475" s="54"/>
      <c r="DQO2475" s="60"/>
      <c r="DQP2475" s="60"/>
      <c r="DQQ2475" s="60"/>
      <c r="DQR2475" s="60"/>
      <c r="DQS2475" s="63"/>
      <c r="DQT2475" s="61"/>
      <c r="DQU2475" s="54"/>
      <c r="DQV2475" s="54"/>
      <c r="DQW2475" s="60"/>
      <c r="DQX2475" s="60"/>
      <c r="DQY2475" s="60"/>
      <c r="DQZ2475" s="60"/>
      <c r="DRA2475" s="63"/>
      <c r="DRB2475" s="61"/>
      <c r="DRC2475" s="54"/>
      <c r="DRD2475" s="54"/>
      <c r="DRE2475" s="60"/>
      <c r="DRF2475" s="60"/>
      <c r="DRG2475" s="60"/>
      <c r="DRH2475" s="60"/>
      <c r="DRI2475" s="63"/>
      <c r="DRJ2475" s="61"/>
      <c r="DRK2475" s="54"/>
      <c r="DRL2475" s="54"/>
      <c r="DRM2475" s="60"/>
      <c r="DRN2475" s="60"/>
      <c r="DRO2475" s="60"/>
      <c r="DRP2475" s="60"/>
      <c r="DRQ2475" s="63"/>
      <c r="DRR2475" s="61"/>
      <c r="DRS2475" s="54"/>
      <c r="DRT2475" s="54"/>
      <c r="DRU2475" s="60"/>
      <c r="DRV2475" s="60"/>
      <c r="DRW2475" s="60"/>
      <c r="DRX2475" s="60"/>
      <c r="DRY2475" s="63"/>
      <c r="DRZ2475" s="61"/>
      <c r="DSA2475" s="54"/>
      <c r="DSB2475" s="54"/>
      <c r="DSC2475" s="60"/>
      <c r="DSD2475" s="60"/>
      <c r="DSE2475" s="60"/>
      <c r="DSF2475" s="60"/>
      <c r="DSG2475" s="63"/>
      <c r="DSH2475" s="61"/>
      <c r="DSI2475" s="54"/>
      <c r="DSJ2475" s="54"/>
      <c r="DSK2475" s="60"/>
      <c r="DSL2475" s="60"/>
      <c r="DSM2475" s="60"/>
      <c r="DSN2475" s="60"/>
      <c r="DSO2475" s="63"/>
      <c r="DSP2475" s="61"/>
      <c r="DSQ2475" s="54"/>
      <c r="DSR2475" s="54"/>
      <c r="DSS2475" s="60"/>
      <c r="DST2475" s="60"/>
      <c r="DSU2475" s="60"/>
      <c r="DSV2475" s="60"/>
      <c r="DSW2475" s="63"/>
      <c r="DSX2475" s="61"/>
      <c r="DSY2475" s="54"/>
      <c r="DSZ2475" s="54"/>
      <c r="DTA2475" s="60"/>
      <c r="DTB2475" s="60"/>
      <c r="DTC2475" s="60"/>
      <c r="DTD2475" s="60"/>
      <c r="DTE2475" s="63"/>
      <c r="DTF2475" s="61"/>
      <c r="DTG2475" s="54"/>
      <c r="DTH2475" s="54"/>
      <c r="DTI2475" s="60"/>
      <c r="DTJ2475" s="60"/>
      <c r="DTK2475" s="60"/>
      <c r="DTL2475" s="60"/>
      <c r="DTM2475" s="63"/>
      <c r="DTN2475" s="61"/>
      <c r="DTO2475" s="54"/>
      <c r="DTP2475" s="54"/>
      <c r="DTQ2475" s="60"/>
      <c r="DTR2475" s="60"/>
      <c r="DTS2475" s="60"/>
      <c r="DTT2475" s="60"/>
      <c r="DTU2475" s="63"/>
      <c r="DTV2475" s="61"/>
      <c r="DTW2475" s="54"/>
      <c r="DTX2475" s="54"/>
      <c r="DTY2475" s="60"/>
      <c r="DTZ2475" s="60"/>
      <c r="DUA2475" s="60"/>
      <c r="DUB2475" s="60"/>
      <c r="DUC2475" s="63"/>
      <c r="DUD2475" s="61"/>
      <c r="DUE2475" s="54"/>
      <c r="DUF2475" s="54"/>
      <c r="DUG2475" s="60"/>
      <c r="DUH2475" s="60"/>
      <c r="DUI2475" s="60"/>
      <c r="DUJ2475" s="60"/>
      <c r="DUK2475" s="63"/>
      <c r="DUL2475" s="61"/>
      <c r="DUM2475" s="54"/>
      <c r="DUN2475" s="54"/>
      <c r="DUO2475" s="60"/>
      <c r="DUP2475" s="60"/>
      <c r="DUQ2475" s="60"/>
      <c r="DUR2475" s="60"/>
      <c r="DUS2475" s="63"/>
      <c r="DUT2475" s="61"/>
      <c r="DUU2475" s="54"/>
      <c r="DUV2475" s="54"/>
      <c r="DUW2475" s="60"/>
      <c r="DUX2475" s="60"/>
      <c r="DUY2475" s="60"/>
      <c r="DUZ2475" s="60"/>
      <c r="DVA2475" s="63"/>
      <c r="DVB2475" s="61"/>
      <c r="DVC2475" s="54"/>
      <c r="DVD2475" s="54"/>
      <c r="DVE2475" s="60"/>
      <c r="DVF2475" s="60"/>
      <c r="DVG2475" s="60"/>
      <c r="DVH2475" s="60"/>
      <c r="DVI2475" s="63"/>
      <c r="DVJ2475" s="61"/>
      <c r="DVK2475" s="54"/>
      <c r="DVL2475" s="54"/>
      <c r="DVM2475" s="60"/>
      <c r="DVN2475" s="60"/>
      <c r="DVO2475" s="60"/>
      <c r="DVP2475" s="60"/>
      <c r="DVQ2475" s="63"/>
      <c r="DVR2475" s="61"/>
      <c r="DVS2475" s="54"/>
      <c r="DVT2475" s="54"/>
      <c r="DVU2475" s="60"/>
      <c r="DVV2475" s="60"/>
      <c r="DVW2475" s="60"/>
      <c r="DVX2475" s="60"/>
      <c r="DVY2475" s="63"/>
      <c r="DVZ2475" s="61"/>
      <c r="DWA2475" s="54"/>
      <c r="DWB2475" s="54"/>
      <c r="DWC2475" s="60"/>
      <c r="DWD2475" s="60"/>
      <c r="DWE2475" s="60"/>
      <c r="DWF2475" s="60"/>
      <c r="DWG2475" s="63"/>
      <c r="DWH2475" s="61"/>
      <c r="DWI2475" s="54"/>
      <c r="DWJ2475" s="54"/>
      <c r="DWK2475" s="60"/>
      <c r="DWL2475" s="60"/>
      <c r="DWM2475" s="60"/>
      <c r="DWN2475" s="60"/>
      <c r="DWO2475" s="63"/>
      <c r="DWP2475" s="61"/>
      <c r="DWQ2475" s="54"/>
      <c r="DWR2475" s="54"/>
      <c r="DWS2475" s="60"/>
      <c r="DWT2475" s="60"/>
      <c r="DWU2475" s="60"/>
      <c r="DWV2475" s="60"/>
      <c r="DWW2475" s="63"/>
      <c r="DWX2475" s="61"/>
      <c r="DWY2475" s="54"/>
      <c r="DWZ2475" s="54"/>
      <c r="DXA2475" s="60"/>
      <c r="DXB2475" s="60"/>
      <c r="DXC2475" s="60"/>
      <c r="DXD2475" s="60"/>
      <c r="DXE2475" s="63"/>
      <c r="DXF2475" s="61"/>
      <c r="DXG2475" s="54"/>
      <c r="DXH2475" s="54"/>
      <c r="DXI2475" s="60"/>
      <c r="DXJ2475" s="60"/>
      <c r="DXK2475" s="60"/>
      <c r="DXL2475" s="60"/>
      <c r="DXM2475" s="63"/>
      <c r="DXN2475" s="61"/>
      <c r="DXO2475" s="54"/>
      <c r="DXP2475" s="54"/>
      <c r="DXQ2475" s="60"/>
      <c r="DXR2475" s="60"/>
      <c r="DXS2475" s="60"/>
      <c r="DXT2475" s="60"/>
      <c r="DXU2475" s="63"/>
      <c r="DXV2475" s="61"/>
      <c r="DXW2475" s="54"/>
      <c r="DXX2475" s="54"/>
      <c r="DXY2475" s="60"/>
      <c r="DXZ2475" s="60"/>
      <c r="DYA2475" s="60"/>
      <c r="DYB2475" s="60"/>
      <c r="DYC2475" s="63"/>
      <c r="DYD2475" s="61"/>
      <c r="DYE2475" s="54"/>
      <c r="DYF2475" s="54"/>
      <c r="DYG2475" s="60"/>
      <c r="DYH2475" s="60"/>
      <c r="DYI2475" s="60"/>
      <c r="DYJ2475" s="60"/>
      <c r="DYK2475" s="63"/>
      <c r="DYL2475" s="61"/>
      <c r="DYM2475" s="54"/>
      <c r="DYN2475" s="54"/>
      <c r="DYO2475" s="60"/>
      <c r="DYP2475" s="60"/>
      <c r="DYQ2475" s="60"/>
      <c r="DYR2475" s="60"/>
      <c r="DYS2475" s="63"/>
      <c r="DYT2475" s="61"/>
      <c r="DYU2475" s="54"/>
      <c r="DYV2475" s="54"/>
      <c r="DYW2475" s="60"/>
      <c r="DYX2475" s="60"/>
      <c r="DYY2475" s="60"/>
      <c r="DYZ2475" s="60"/>
      <c r="DZA2475" s="63"/>
      <c r="DZB2475" s="61"/>
      <c r="DZC2475" s="54"/>
      <c r="DZD2475" s="54"/>
      <c r="DZE2475" s="60"/>
      <c r="DZF2475" s="60"/>
      <c r="DZG2475" s="60"/>
      <c r="DZH2475" s="60"/>
      <c r="DZI2475" s="63"/>
      <c r="DZJ2475" s="61"/>
      <c r="DZK2475" s="54"/>
      <c r="DZL2475" s="54"/>
      <c r="DZM2475" s="60"/>
      <c r="DZN2475" s="60"/>
      <c r="DZO2475" s="60"/>
      <c r="DZP2475" s="60"/>
      <c r="DZQ2475" s="63"/>
      <c r="DZR2475" s="61"/>
      <c r="DZS2475" s="54"/>
      <c r="DZT2475" s="54"/>
      <c r="DZU2475" s="60"/>
      <c r="DZV2475" s="60"/>
      <c r="DZW2475" s="60"/>
      <c r="DZX2475" s="60"/>
      <c r="DZY2475" s="63"/>
      <c r="DZZ2475" s="61"/>
      <c r="EAA2475" s="54"/>
      <c r="EAB2475" s="54"/>
      <c r="EAC2475" s="60"/>
      <c r="EAD2475" s="60"/>
      <c r="EAE2475" s="60"/>
      <c r="EAF2475" s="60"/>
      <c r="EAG2475" s="63"/>
      <c r="EAH2475" s="61"/>
      <c r="EAI2475" s="54"/>
      <c r="EAJ2475" s="54"/>
      <c r="EAK2475" s="60"/>
      <c r="EAL2475" s="60"/>
      <c r="EAM2475" s="60"/>
      <c r="EAN2475" s="60"/>
      <c r="EAO2475" s="63"/>
      <c r="EAP2475" s="61"/>
      <c r="EAQ2475" s="54"/>
      <c r="EAR2475" s="54"/>
      <c r="EAS2475" s="60"/>
      <c r="EAT2475" s="60"/>
      <c r="EAU2475" s="60"/>
      <c r="EAV2475" s="60"/>
      <c r="EAW2475" s="63"/>
      <c r="EAX2475" s="61"/>
      <c r="EAY2475" s="54"/>
      <c r="EAZ2475" s="54"/>
      <c r="EBA2475" s="60"/>
      <c r="EBB2475" s="60"/>
      <c r="EBC2475" s="60"/>
      <c r="EBD2475" s="60"/>
      <c r="EBE2475" s="63"/>
      <c r="EBF2475" s="61"/>
      <c r="EBG2475" s="54"/>
      <c r="EBH2475" s="54"/>
      <c r="EBI2475" s="60"/>
      <c r="EBJ2475" s="60"/>
      <c r="EBK2475" s="60"/>
      <c r="EBL2475" s="60"/>
      <c r="EBM2475" s="63"/>
      <c r="EBN2475" s="61"/>
      <c r="EBO2475" s="54"/>
      <c r="EBP2475" s="54"/>
      <c r="EBQ2475" s="60"/>
      <c r="EBR2475" s="60"/>
      <c r="EBS2475" s="60"/>
      <c r="EBT2475" s="60"/>
      <c r="EBU2475" s="63"/>
      <c r="EBV2475" s="61"/>
      <c r="EBW2475" s="54"/>
      <c r="EBX2475" s="54"/>
      <c r="EBY2475" s="60"/>
      <c r="EBZ2475" s="60"/>
      <c r="ECA2475" s="60"/>
      <c r="ECB2475" s="60"/>
      <c r="ECC2475" s="63"/>
      <c r="ECD2475" s="61"/>
      <c r="ECE2475" s="54"/>
      <c r="ECF2475" s="54"/>
      <c r="ECG2475" s="60"/>
      <c r="ECH2475" s="60"/>
      <c r="ECI2475" s="60"/>
      <c r="ECJ2475" s="60"/>
      <c r="ECK2475" s="63"/>
      <c r="ECL2475" s="61"/>
      <c r="ECM2475" s="54"/>
      <c r="ECN2475" s="54"/>
      <c r="ECO2475" s="60"/>
      <c r="ECP2475" s="60"/>
      <c r="ECQ2475" s="60"/>
      <c r="ECR2475" s="60"/>
      <c r="ECS2475" s="63"/>
      <c r="ECT2475" s="61"/>
      <c r="ECU2475" s="54"/>
      <c r="ECV2475" s="54"/>
      <c r="ECW2475" s="60"/>
      <c r="ECX2475" s="60"/>
      <c r="ECY2475" s="60"/>
      <c r="ECZ2475" s="60"/>
      <c r="EDA2475" s="63"/>
      <c r="EDB2475" s="61"/>
      <c r="EDC2475" s="54"/>
      <c r="EDD2475" s="54"/>
      <c r="EDE2475" s="60"/>
      <c r="EDF2475" s="60"/>
      <c r="EDG2475" s="60"/>
      <c r="EDH2475" s="60"/>
      <c r="EDI2475" s="63"/>
      <c r="EDJ2475" s="61"/>
      <c r="EDK2475" s="54"/>
      <c r="EDL2475" s="54"/>
      <c r="EDM2475" s="60"/>
      <c r="EDN2475" s="60"/>
      <c r="EDO2475" s="60"/>
      <c r="EDP2475" s="60"/>
      <c r="EDQ2475" s="63"/>
      <c r="EDR2475" s="61"/>
      <c r="EDS2475" s="54"/>
      <c r="EDT2475" s="54"/>
      <c r="EDU2475" s="60"/>
      <c r="EDV2475" s="60"/>
      <c r="EDW2475" s="60"/>
      <c r="EDX2475" s="60"/>
      <c r="EDY2475" s="63"/>
      <c r="EDZ2475" s="61"/>
      <c r="EEA2475" s="54"/>
      <c r="EEB2475" s="54"/>
      <c r="EEC2475" s="60"/>
      <c r="EED2475" s="60"/>
      <c r="EEE2475" s="60"/>
      <c r="EEF2475" s="60"/>
      <c r="EEG2475" s="63"/>
      <c r="EEH2475" s="61"/>
      <c r="EEI2475" s="54"/>
      <c r="EEJ2475" s="54"/>
      <c r="EEK2475" s="60"/>
      <c r="EEL2475" s="60"/>
      <c r="EEM2475" s="60"/>
      <c r="EEN2475" s="60"/>
      <c r="EEO2475" s="63"/>
      <c r="EEP2475" s="61"/>
      <c r="EEQ2475" s="54"/>
      <c r="EER2475" s="54"/>
      <c r="EES2475" s="60"/>
      <c r="EET2475" s="60"/>
      <c r="EEU2475" s="60"/>
      <c r="EEV2475" s="60"/>
      <c r="EEW2475" s="63"/>
      <c r="EEX2475" s="61"/>
      <c r="EEY2475" s="54"/>
      <c r="EEZ2475" s="54"/>
      <c r="EFA2475" s="60"/>
      <c r="EFB2475" s="60"/>
      <c r="EFC2475" s="60"/>
      <c r="EFD2475" s="60"/>
      <c r="EFE2475" s="63"/>
      <c r="EFF2475" s="61"/>
      <c r="EFG2475" s="54"/>
      <c r="EFH2475" s="54"/>
      <c r="EFI2475" s="60"/>
      <c r="EFJ2475" s="60"/>
      <c r="EFK2475" s="60"/>
      <c r="EFL2475" s="60"/>
      <c r="EFM2475" s="63"/>
      <c r="EFN2475" s="61"/>
      <c r="EFO2475" s="54"/>
      <c r="EFP2475" s="54"/>
      <c r="EFQ2475" s="60"/>
      <c r="EFR2475" s="60"/>
      <c r="EFS2475" s="60"/>
      <c r="EFT2475" s="60"/>
      <c r="EFU2475" s="63"/>
      <c r="EFV2475" s="61"/>
      <c r="EFW2475" s="54"/>
      <c r="EFX2475" s="54"/>
      <c r="EFY2475" s="60"/>
      <c r="EFZ2475" s="60"/>
      <c r="EGA2475" s="60"/>
      <c r="EGB2475" s="60"/>
      <c r="EGC2475" s="63"/>
      <c r="EGD2475" s="61"/>
      <c r="EGE2475" s="54"/>
      <c r="EGF2475" s="54"/>
      <c r="EGG2475" s="60"/>
      <c r="EGH2475" s="60"/>
      <c r="EGI2475" s="60"/>
      <c r="EGJ2475" s="60"/>
      <c r="EGK2475" s="63"/>
      <c r="EGL2475" s="61"/>
      <c r="EGM2475" s="54"/>
      <c r="EGN2475" s="54"/>
      <c r="EGO2475" s="60"/>
      <c r="EGP2475" s="60"/>
      <c r="EGQ2475" s="60"/>
      <c r="EGR2475" s="60"/>
      <c r="EGS2475" s="63"/>
      <c r="EGT2475" s="61"/>
      <c r="EGU2475" s="54"/>
      <c r="EGV2475" s="54"/>
      <c r="EGW2475" s="60"/>
      <c r="EGX2475" s="60"/>
      <c r="EGY2475" s="60"/>
      <c r="EGZ2475" s="60"/>
      <c r="EHA2475" s="63"/>
      <c r="EHB2475" s="61"/>
      <c r="EHC2475" s="54"/>
      <c r="EHD2475" s="54"/>
      <c r="EHE2475" s="60"/>
      <c r="EHF2475" s="60"/>
      <c r="EHG2475" s="60"/>
      <c r="EHH2475" s="60"/>
      <c r="EHI2475" s="63"/>
      <c r="EHJ2475" s="61"/>
      <c r="EHK2475" s="54"/>
      <c r="EHL2475" s="54"/>
      <c r="EHM2475" s="60"/>
      <c r="EHN2475" s="60"/>
      <c r="EHO2475" s="60"/>
      <c r="EHP2475" s="60"/>
      <c r="EHQ2475" s="63"/>
      <c r="EHR2475" s="61"/>
      <c r="EHS2475" s="54"/>
      <c r="EHT2475" s="54"/>
      <c r="EHU2475" s="60"/>
      <c r="EHV2475" s="60"/>
      <c r="EHW2475" s="60"/>
      <c r="EHX2475" s="60"/>
      <c r="EHY2475" s="63"/>
      <c r="EHZ2475" s="61"/>
      <c r="EIA2475" s="54"/>
      <c r="EIB2475" s="54"/>
      <c r="EIC2475" s="60"/>
      <c r="EID2475" s="60"/>
      <c r="EIE2475" s="60"/>
      <c r="EIF2475" s="60"/>
      <c r="EIG2475" s="63"/>
      <c r="EIH2475" s="61"/>
      <c r="EII2475" s="54"/>
      <c r="EIJ2475" s="54"/>
      <c r="EIK2475" s="60"/>
      <c r="EIL2475" s="60"/>
      <c r="EIM2475" s="60"/>
      <c r="EIN2475" s="60"/>
      <c r="EIO2475" s="63"/>
      <c r="EIP2475" s="61"/>
      <c r="EIQ2475" s="54"/>
      <c r="EIR2475" s="54"/>
      <c r="EIS2475" s="60"/>
      <c r="EIT2475" s="60"/>
      <c r="EIU2475" s="60"/>
      <c r="EIV2475" s="60"/>
      <c r="EIW2475" s="63"/>
      <c r="EIX2475" s="61"/>
      <c r="EIY2475" s="54"/>
      <c r="EIZ2475" s="54"/>
      <c r="EJA2475" s="60"/>
      <c r="EJB2475" s="60"/>
      <c r="EJC2475" s="60"/>
      <c r="EJD2475" s="60"/>
      <c r="EJE2475" s="63"/>
      <c r="EJF2475" s="61"/>
      <c r="EJG2475" s="54"/>
      <c r="EJH2475" s="54"/>
      <c r="EJI2475" s="60"/>
      <c r="EJJ2475" s="60"/>
      <c r="EJK2475" s="60"/>
      <c r="EJL2475" s="60"/>
      <c r="EJM2475" s="63"/>
      <c r="EJN2475" s="61"/>
      <c r="EJO2475" s="54"/>
      <c r="EJP2475" s="54"/>
      <c r="EJQ2475" s="60"/>
      <c r="EJR2475" s="60"/>
      <c r="EJS2475" s="60"/>
      <c r="EJT2475" s="60"/>
      <c r="EJU2475" s="63"/>
      <c r="EJV2475" s="61"/>
      <c r="EJW2475" s="54"/>
      <c r="EJX2475" s="54"/>
      <c r="EJY2475" s="60"/>
      <c r="EJZ2475" s="60"/>
      <c r="EKA2475" s="60"/>
      <c r="EKB2475" s="60"/>
      <c r="EKC2475" s="63"/>
      <c r="EKD2475" s="61"/>
      <c r="EKE2475" s="54"/>
      <c r="EKF2475" s="54"/>
      <c r="EKG2475" s="60"/>
      <c r="EKH2475" s="60"/>
      <c r="EKI2475" s="60"/>
      <c r="EKJ2475" s="60"/>
      <c r="EKK2475" s="63"/>
      <c r="EKL2475" s="61"/>
      <c r="EKM2475" s="54"/>
      <c r="EKN2475" s="54"/>
      <c r="EKO2475" s="60"/>
      <c r="EKP2475" s="60"/>
      <c r="EKQ2475" s="60"/>
      <c r="EKR2475" s="60"/>
      <c r="EKS2475" s="63"/>
      <c r="EKT2475" s="61"/>
      <c r="EKU2475" s="54"/>
      <c r="EKV2475" s="54"/>
      <c r="EKW2475" s="60"/>
      <c r="EKX2475" s="60"/>
      <c r="EKY2475" s="60"/>
      <c r="EKZ2475" s="60"/>
      <c r="ELA2475" s="63"/>
      <c r="ELB2475" s="61"/>
      <c r="ELC2475" s="54"/>
      <c r="ELD2475" s="54"/>
      <c r="ELE2475" s="60"/>
      <c r="ELF2475" s="60"/>
      <c r="ELG2475" s="60"/>
      <c r="ELH2475" s="60"/>
      <c r="ELI2475" s="63"/>
      <c r="ELJ2475" s="61"/>
      <c r="ELK2475" s="54"/>
      <c r="ELL2475" s="54"/>
      <c r="ELM2475" s="60"/>
      <c r="ELN2475" s="60"/>
      <c r="ELO2475" s="60"/>
      <c r="ELP2475" s="60"/>
      <c r="ELQ2475" s="63"/>
      <c r="ELR2475" s="61"/>
      <c r="ELS2475" s="54"/>
      <c r="ELT2475" s="54"/>
      <c r="ELU2475" s="60"/>
      <c r="ELV2475" s="60"/>
      <c r="ELW2475" s="60"/>
      <c r="ELX2475" s="60"/>
      <c r="ELY2475" s="63"/>
      <c r="ELZ2475" s="61"/>
      <c r="EMA2475" s="54"/>
      <c r="EMB2475" s="54"/>
      <c r="EMC2475" s="60"/>
      <c r="EMD2475" s="60"/>
      <c r="EME2475" s="60"/>
      <c r="EMF2475" s="60"/>
      <c r="EMG2475" s="63"/>
      <c r="EMH2475" s="61"/>
      <c r="EMI2475" s="54"/>
      <c r="EMJ2475" s="54"/>
      <c r="EMK2475" s="60"/>
      <c r="EML2475" s="60"/>
      <c r="EMM2475" s="60"/>
      <c r="EMN2475" s="60"/>
      <c r="EMO2475" s="63"/>
      <c r="EMP2475" s="61"/>
      <c r="EMQ2475" s="54"/>
      <c r="EMR2475" s="54"/>
      <c r="EMS2475" s="60"/>
      <c r="EMT2475" s="60"/>
      <c r="EMU2475" s="60"/>
      <c r="EMV2475" s="60"/>
      <c r="EMW2475" s="63"/>
      <c r="EMX2475" s="61"/>
      <c r="EMY2475" s="54"/>
      <c r="EMZ2475" s="54"/>
      <c r="ENA2475" s="60"/>
      <c r="ENB2475" s="60"/>
      <c r="ENC2475" s="60"/>
      <c r="END2475" s="60"/>
      <c r="ENE2475" s="63"/>
      <c r="ENF2475" s="61"/>
      <c r="ENG2475" s="54"/>
      <c r="ENH2475" s="54"/>
      <c r="ENI2475" s="60"/>
      <c r="ENJ2475" s="60"/>
      <c r="ENK2475" s="60"/>
      <c r="ENL2475" s="60"/>
      <c r="ENM2475" s="63"/>
      <c r="ENN2475" s="61"/>
      <c r="ENO2475" s="54"/>
      <c r="ENP2475" s="54"/>
      <c r="ENQ2475" s="60"/>
      <c r="ENR2475" s="60"/>
      <c r="ENS2475" s="60"/>
      <c r="ENT2475" s="60"/>
      <c r="ENU2475" s="63"/>
      <c r="ENV2475" s="61"/>
      <c r="ENW2475" s="54"/>
      <c r="ENX2475" s="54"/>
      <c r="ENY2475" s="60"/>
      <c r="ENZ2475" s="60"/>
      <c r="EOA2475" s="60"/>
      <c r="EOB2475" s="60"/>
      <c r="EOC2475" s="63"/>
      <c r="EOD2475" s="61"/>
      <c r="EOE2475" s="54"/>
      <c r="EOF2475" s="54"/>
      <c r="EOG2475" s="60"/>
      <c r="EOH2475" s="60"/>
      <c r="EOI2475" s="60"/>
      <c r="EOJ2475" s="60"/>
      <c r="EOK2475" s="63"/>
      <c r="EOL2475" s="61"/>
      <c r="EOM2475" s="54"/>
      <c r="EON2475" s="54"/>
      <c r="EOO2475" s="60"/>
      <c r="EOP2475" s="60"/>
      <c r="EOQ2475" s="60"/>
      <c r="EOR2475" s="60"/>
      <c r="EOS2475" s="63"/>
      <c r="EOT2475" s="61"/>
      <c r="EOU2475" s="54"/>
      <c r="EOV2475" s="54"/>
      <c r="EOW2475" s="60"/>
      <c r="EOX2475" s="60"/>
      <c r="EOY2475" s="60"/>
      <c r="EOZ2475" s="60"/>
      <c r="EPA2475" s="63"/>
      <c r="EPB2475" s="61"/>
      <c r="EPC2475" s="54"/>
      <c r="EPD2475" s="54"/>
      <c r="EPE2475" s="60"/>
      <c r="EPF2475" s="60"/>
      <c r="EPG2475" s="60"/>
      <c r="EPH2475" s="60"/>
      <c r="EPI2475" s="63"/>
      <c r="EPJ2475" s="61"/>
      <c r="EPK2475" s="54"/>
      <c r="EPL2475" s="54"/>
      <c r="EPM2475" s="60"/>
      <c r="EPN2475" s="60"/>
      <c r="EPO2475" s="60"/>
      <c r="EPP2475" s="60"/>
      <c r="EPQ2475" s="63"/>
      <c r="EPR2475" s="61"/>
      <c r="EPS2475" s="54"/>
      <c r="EPT2475" s="54"/>
      <c r="EPU2475" s="60"/>
      <c r="EPV2475" s="60"/>
      <c r="EPW2475" s="60"/>
      <c r="EPX2475" s="60"/>
      <c r="EPY2475" s="63"/>
      <c r="EPZ2475" s="61"/>
      <c r="EQA2475" s="54"/>
      <c r="EQB2475" s="54"/>
      <c r="EQC2475" s="60"/>
      <c r="EQD2475" s="60"/>
      <c r="EQE2475" s="60"/>
      <c r="EQF2475" s="60"/>
      <c r="EQG2475" s="63"/>
      <c r="EQH2475" s="61"/>
      <c r="EQI2475" s="54"/>
      <c r="EQJ2475" s="54"/>
      <c r="EQK2475" s="60"/>
      <c r="EQL2475" s="60"/>
      <c r="EQM2475" s="60"/>
      <c r="EQN2475" s="60"/>
      <c r="EQO2475" s="63"/>
      <c r="EQP2475" s="61"/>
      <c r="EQQ2475" s="54"/>
      <c r="EQR2475" s="54"/>
      <c r="EQS2475" s="60"/>
      <c r="EQT2475" s="60"/>
      <c r="EQU2475" s="60"/>
      <c r="EQV2475" s="60"/>
      <c r="EQW2475" s="63"/>
      <c r="EQX2475" s="61"/>
      <c r="EQY2475" s="54"/>
      <c r="EQZ2475" s="54"/>
      <c r="ERA2475" s="60"/>
      <c r="ERB2475" s="60"/>
      <c r="ERC2475" s="60"/>
      <c r="ERD2475" s="60"/>
      <c r="ERE2475" s="63"/>
      <c r="ERF2475" s="61"/>
      <c r="ERG2475" s="54"/>
      <c r="ERH2475" s="54"/>
      <c r="ERI2475" s="60"/>
      <c r="ERJ2475" s="60"/>
      <c r="ERK2475" s="60"/>
      <c r="ERL2475" s="60"/>
      <c r="ERM2475" s="63"/>
      <c r="ERN2475" s="61"/>
      <c r="ERO2475" s="54"/>
      <c r="ERP2475" s="54"/>
      <c r="ERQ2475" s="60"/>
      <c r="ERR2475" s="60"/>
      <c r="ERS2475" s="60"/>
      <c r="ERT2475" s="60"/>
      <c r="ERU2475" s="63"/>
      <c r="ERV2475" s="61"/>
      <c r="ERW2475" s="54"/>
      <c r="ERX2475" s="54"/>
      <c r="ERY2475" s="60"/>
      <c r="ERZ2475" s="60"/>
      <c r="ESA2475" s="60"/>
      <c r="ESB2475" s="60"/>
      <c r="ESC2475" s="63"/>
      <c r="ESD2475" s="61"/>
      <c r="ESE2475" s="54"/>
      <c r="ESF2475" s="54"/>
      <c r="ESG2475" s="60"/>
      <c r="ESH2475" s="60"/>
      <c r="ESI2475" s="60"/>
      <c r="ESJ2475" s="60"/>
      <c r="ESK2475" s="63"/>
      <c r="ESL2475" s="61"/>
      <c r="ESM2475" s="54"/>
      <c r="ESN2475" s="54"/>
      <c r="ESO2475" s="60"/>
      <c r="ESP2475" s="60"/>
      <c r="ESQ2475" s="60"/>
      <c r="ESR2475" s="60"/>
      <c r="ESS2475" s="63"/>
      <c r="EST2475" s="61"/>
      <c r="ESU2475" s="54"/>
      <c r="ESV2475" s="54"/>
      <c r="ESW2475" s="60"/>
      <c r="ESX2475" s="60"/>
      <c r="ESY2475" s="60"/>
      <c r="ESZ2475" s="60"/>
      <c r="ETA2475" s="63"/>
      <c r="ETB2475" s="61"/>
      <c r="ETC2475" s="54"/>
      <c r="ETD2475" s="54"/>
      <c r="ETE2475" s="60"/>
      <c r="ETF2475" s="60"/>
      <c r="ETG2475" s="60"/>
      <c r="ETH2475" s="60"/>
      <c r="ETI2475" s="63"/>
      <c r="ETJ2475" s="61"/>
      <c r="ETK2475" s="54"/>
      <c r="ETL2475" s="54"/>
      <c r="ETM2475" s="60"/>
      <c r="ETN2475" s="60"/>
      <c r="ETO2475" s="60"/>
      <c r="ETP2475" s="60"/>
      <c r="ETQ2475" s="63"/>
      <c r="ETR2475" s="61"/>
      <c r="ETS2475" s="54"/>
      <c r="ETT2475" s="54"/>
      <c r="ETU2475" s="60"/>
      <c r="ETV2475" s="60"/>
      <c r="ETW2475" s="60"/>
      <c r="ETX2475" s="60"/>
      <c r="ETY2475" s="63"/>
      <c r="ETZ2475" s="61"/>
      <c r="EUA2475" s="54"/>
      <c r="EUB2475" s="54"/>
      <c r="EUC2475" s="60"/>
      <c r="EUD2475" s="60"/>
      <c r="EUE2475" s="60"/>
      <c r="EUF2475" s="60"/>
      <c r="EUG2475" s="63"/>
      <c r="EUH2475" s="61"/>
      <c r="EUI2475" s="54"/>
      <c r="EUJ2475" s="54"/>
      <c r="EUK2475" s="60"/>
      <c r="EUL2475" s="60"/>
      <c r="EUM2475" s="60"/>
      <c r="EUN2475" s="60"/>
      <c r="EUO2475" s="63"/>
      <c r="EUP2475" s="61"/>
      <c r="EUQ2475" s="54"/>
      <c r="EUR2475" s="54"/>
      <c r="EUS2475" s="60"/>
      <c r="EUT2475" s="60"/>
      <c r="EUU2475" s="60"/>
      <c r="EUV2475" s="60"/>
      <c r="EUW2475" s="63"/>
      <c r="EUX2475" s="61"/>
      <c r="EUY2475" s="54"/>
      <c r="EUZ2475" s="54"/>
      <c r="EVA2475" s="60"/>
      <c r="EVB2475" s="60"/>
      <c r="EVC2475" s="60"/>
      <c r="EVD2475" s="60"/>
      <c r="EVE2475" s="63"/>
      <c r="EVF2475" s="61"/>
      <c r="EVG2475" s="54"/>
      <c r="EVH2475" s="54"/>
      <c r="EVI2475" s="60"/>
      <c r="EVJ2475" s="60"/>
      <c r="EVK2475" s="60"/>
      <c r="EVL2475" s="60"/>
      <c r="EVM2475" s="63"/>
      <c r="EVN2475" s="61"/>
      <c r="EVO2475" s="54"/>
      <c r="EVP2475" s="54"/>
      <c r="EVQ2475" s="60"/>
      <c r="EVR2475" s="60"/>
      <c r="EVS2475" s="60"/>
      <c r="EVT2475" s="60"/>
      <c r="EVU2475" s="63"/>
      <c r="EVV2475" s="61"/>
      <c r="EVW2475" s="54"/>
      <c r="EVX2475" s="54"/>
      <c r="EVY2475" s="60"/>
      <c r="EVZ2475" s="60"/>
      <c r="EWA2475" s="60"/>
      <c r="EWB2475" s="60"/>
      <c r="EWC2475" s="63"/>
      <c r="EWD2475" s="61"/>
      <c r="EWE2475" s="54"/>
      <c r="EWF2475" s="54"/>
      <c r="EWG2475" s="60"/>
      <c r="EWH2475" s="60"/>
      <c r="EWI2475" s="60"/>
      <c r="EWJ2475" s="60"/>
      <c r="EWK2475" s="63"/>
      <c r="EWL2475" s="61"/>
      <c r="EWM2475" s="54"/>
      <c r="EWN2475" s="54"/>
      <c r="EWO2475" s="60"/>
      <c r="EWP2475" s="60"/>
      <c r="EWQ2475" s="60"/>
      <c r="EWR2475" s="60"/>
      <c r="EWS2475" s="63"/>
      <c r="EWT2475" s="61"/>
      <c r="EWU2475" s="54"/>
      <c r="EWV2475" s="54"/>
      <c r="EWW2475" s="60"/>
      <c r="EWX2475" s="60"/>
      <c r="EWY2475" s="60"/>
      <c r="EWZ2475" s="60"/>
      <c r="EXA2475" s="63"/>
      <c r="EXB2475" s="61"/>
      <c r="EXC2475" s="54"/>
      <c r="EXD2475" s="54"/>
      <c r="EXE2475" s="60"/>
      <c r="EXF2475" s="60"/>
      <c r="EXG2475" s="60"/>
      <c r="EXH2475" s="60"/>
      <c r="EXI2475" s="63"/>
      <c r="EXJ2475" s="61"/>
      <c r="EXK2475" s="54"/>
      <c r="EXL2475" s="54"/>
      <c r="EXM2475" s="60"/>
      <c r="EXN2475" s="60"/>
      <c r="EXO2475" s="60"/>
      <c r="EXP2475" s="60"/>
      <c r="EXQ2475" s="63"/>
      <c r="EXR2475" s="61"/>
      <c r="EXS2475" s="54"/>
      <c r="EXT2475" s="54"/>
      <c r="EXU2475" s="60"/>
      <c r="EXV2475" s="60"/>
      <c r="EXW2475" s="60"/>
      <c r="EXX2475" s="60"/>
      <c r="EXY2475" s="63"/>
      <c r="EXZ2475" s="61"/>
      <c r="EYA2475" s="54"/>
      <c r="EYB2475" s="54"/>
      <c r="EYC2475" s="60"/>
      <c r="EYD2475" s="60"/>
      <c r="EYE2475" s="60"/>
      <c r="EYF2475" s="60"/>
      <c r="EYG2475" s="63"/>
      <c r="EYH2475" s="61"/>
      <c r="EYI2475" s="54"/>
      <c r="EYJ2475" s="54"/>
      <c r="EYK2475" s="60"/>
      <c r="EYL2475" s="60"/>
      <c r="EYM2475" s="60"/>
      <c r="EYN2475" s="60"/>
      <c r="EYO2475" s="63"/>
      <c r="EYP2475" s="61"/>
      <c r="EYQ2475" s="54"/>
      <c r="EYR2475" s="54"/>
      <c r="EYS2475" s="60"/>
      <c r="EYT2475" s="60"/>
      <c r="EYU2475" s="60"/>
      <c r="EYV2475" s="60"/>
      <c r="EYW2475" s="63"/>
      <c r="EYX2475" s="61"/>
      <c r="EYY2475" s="54"/>
      <c r="EYZ2475" s="54"/>
      <c r="EZA2475" s="60"/>
      <c r="EZB2475" s="60"/>
      <c r="EZC2475" s="60"/>
      <c r="EZD2475" s="60"/>
      <c r="EZE2475" s="63"/>
      <c r="EZF2475" s="61"/>
      <c r="EZG2475" s="54"/>
      <c r="EZH2475" s="54"/>
      <c r="EZI2475" s="60"/>
      <c r="EZJ2475" s="60"/>
      <c r="EZK2475" s="60"/>
      <c r="EZL2475" s="60"/>
      <c r="EZM2475" s="63"/>
      <c r="EZN2475" s="61"/>
      <c r="EZO2475" s="54"/>
      <c r="EZP2475" s="54"/>
      <c r="EZQ2475" s="60"/>
      <c r="EZR2475" s="60"/>
      <c r="EZS2475" s="60"/>
      <c r="EZT2475" s="60"/>
      <c r="EZU2475" s="63"/>
      <c r="EZV2475" s="61"/>
      <c r="EZW2475" s="54"/>
      <c r="EZX2475" s="54"/>
      <c r="EZY2475" s="60"/>
      <c r="EZZ2475" s="60"/>
      <c r="FAA2475" s="60"/>
      <c r="FAB2475" s="60"/>
      <c r="FAC2475" s="63"/>
      <c r="FAD2475" s="61"/>
      <c r="FAE2475" s="54"/>
      <c r="FAF2475" s="54"/>
      <c r="FAG2475" s="60"/>
      <c r="FAH2475" s="60"/>
      <c r="FAI2475" s="60"/>
      <c r="FAJ2475" s="60"/>
      <c r="FAK2475" s="63"/>
      <c r="FAL2475" s="61"/>
      <c r="FAM2475" s="54"/>
      <c r="FAN2475" s="54"/>
      <c r="FAO2475" s="60"/>
      <c r="FAP2475" s="60"/>
      <c r="FAQ2475" s="60"/>
      <c r="FAR2475" s="60"/>
      <c r="FAS2475" s="63"/>
      <c r="FAT2475" s="61"/>
      <c r="FAU2475" s="54"/>
      <c r="FAV2475" s="54"/>
      <c r="FAW2475" s="60"/>
      <c r="FAX2475" s="60"/>
      <c r="FAY2475" s="60"/>
      <c r="FAZ2475" s="60"/>
      <c r="FBA2475" s="63"/>
      <c r="FBB2475" s="61"/>
      <c r="FBC2475" s="54"/>
      <c r="FBD2475" s="54"/>
      <c r="FBE2475" s="60"/>
      <c r="FBF2475" s="60"/>
      <c r="FBG2475" s="60"/>
      <c r="FBH2475" s="60"/>
      <c r="FBI2475" s="63"/>
      <c r="FBJ2475" s="61"/>
      <c r="FBK2475" s="54"/>
      <c r="FBL2475" s="54"/>
      <c r="FBM2475" s="60"/>
      <c r="FBN2475" s="60"/>
      <c r="FBO2475" s="60"/>
      <c r="FBP2475" s="60"/>
      <c r="FBQ2475" s="63"/>
      <c r="FBR2475" s="61"/>
      <c r="FBS2475" s="54"/>
      <c r="FBT2475" s="54"/>
      <c r="FBU2475" s="60"/>
      <c r="FBV2475" s="60"/>
      <c r="FBW2475" s="60"/>
      <c r="FBX2475" s="60"/>
      <c r="FBY2475" s="63"/>
      <c r="FBZ2475" s="61"/>
      <c r="FCA2475" s="54"/>
      <c r="FCB2475" s="54"/>
      <c r="FCC2475" s="60"/>
      <c r="FCD2475" s="60"/>
      <c r="FCE2475" s="60"/>
      <c r="FCF2475" s="60"/>
      <c r="FCG2475" s="63"/>
      <c r="FCH2475" s="61"/>
      <c r="FCI2475" s="54"/>
      <c r="FCJ2475" s="54"/>
      <c r="FCK2475" s="60"/>
      <c r="FCL2475" s="60"/>
      <c r="FCM2475" s="60"/>
      <c r="FCN2475" s="60"/>
      <c r="FCO2475" s="63"/>
      <c r="FCP2475" s="61"/>
      <c r="FCQ2475" s="54"/>
      <c r="FCR2475" s="54"/>
      <c r="FCS2475" s="60"/>
      <c r="FCT2475" s="60"/>
      <c r="FCU2475" s="60"/>
      <c r="FCV2475" s="60"/>
      <c r="FCW2475" s="63"/>
      <c r="FCX2475" s="61"/>
      <c r="FCY2475" s="54"/>
      <c r="FCZ2475" s="54"/>
      <c r="FDA2475" s="60"/>
      <c r="FDB2475" s="60"/>
      <c r="FDC2475" s="60"/>
      <c r="FDD2475" s="60"/>
      <c r="FDE2475" s="63"/>
      <c r="FDF2475" s="61"/>
      <c r="FDG2475" s="54"/>
      <c r="FDH2475" s="54"/>
      <c r="FDI2475" s="60"/>
      <c r="FDJ2475" s="60"/>
      <c r="FDK2475" s="60"/>
      <c r="FDL2475" s="60"/>
      <c r="FDM2475" s="63"/>
      <c r="FDN2475" s="61"/>
      <c r="FDO2475" s="54"/>
      <c r="FDP2475" s="54"/>
      <c r="FDQ2475" s="60"/>
      <c r="FDR2475" s="60"/>
      <c r="FDS2475" s="60"/>
      <c r="FDT2475" s="60"/>
      <c r="FDU2475" s="63"/>
      <c r="FDV2475" s="61"/>
      <c r="FDW2475" s="54"/>
      <c r="FDX2475" s="54"/>
      <c r="FDY2475" s="60"/>
      <c r="FDZ2475" s="60"/>
      <c r="FEA2475" s="60"/>
      <c r="FEB2475" s="60"/>
      <c r="FEC2475" s="63"/>
      <c r="FED2475" s="61"/>
      <c r="FEE2475" s="54"/>
      <c r="FEF2475" s="54"/>
      <c r="FEG2475" s="60"/>
      <c r="FEH2475" s="60"/>
      <c r="FEI2475" s="60"/>
      <c r="FEJ2475" s="60"/>
      <c r="FEK2475" s="63"/>
      <c r="FEL2475" s="61"/>
      <c r="FEM2475" s="54"/>
      <c r="FEN2475" s="54"/>
      <c r="FEO2475" s="60"/>
      <c r="FEP2475" s="60"/>
      <c r="FEQ2475" s="60"/>
      <c r="FER2475" s="60"/>
      <c r="FES2475" s="63"/>
      <c r="FET2475" s="61"/>
      <c r="FEU2475" s="54"/>
      <c r="FEV2475" s="54"/>
      <c r="FEW2475" s="60"/>
      <c r="FEX2475" s="60"/>
      <c r="FEY2475" s="60"/>
      <c r="FEZ2475" s="60"/>
      <c r="FFA2475" s="63"/>
      <c r="FFB2475" s="61"/>
      <c r="FFC2475" s="54"/>
      <c r="FFD2475" s="54"/>
      <c r="FFE2475" s="60"/>
      <c r="FFF2475" s="60"/>
      <c r="FFG2475" s="60"/>
      <c r="FFH2475" s="60"/>
      <c r="FFI2475" s="63"/>
      <c r="FFJ2475" s="61"/>
      <c r="FFK2475" s="54"/>
      <c r="FFL2475" s="54"/>
      <c r="FFM2475" s="60"/>
      <c r="FFN2475" s="60"/>
      <c r="FFO2475" s="60"/>
      <c r="FFP2475" s="60"/>
      <c r="FFQ2475" s="63"/>
      <c r="FFR2475" s="61"/>
      <c r="FFS2475" s="54"/>
      <c r="FFT2475" s="54"/>
      <c r="FFU2475" s="60"/>
      <c r="FFV2475" s="60"/>
      <c r="FFW2475" s="60"/>
      <c r="FFX2475" s="60"/>
      <c r="FFY2475" s="63"/>
      <c r="FFZ2475" s="61"/>
      <c r="FGA2475" s="54"/>
      <c r="FGB2475" s="54"/>
      <c r="FGC2475" s="60"/>
      <c r="FGD2475" s="60"/>
      <c r="FGE2475" s="60"/>
      <c r="FGF2475" s="60"/>
      <c r="FGG2475" s="63"/>
      <c r="FGH2475" s="61"/>
      <c r="FGI2475" s="54"/>
      <c r="FGJ2475" s="54"/>
      <c r="FGK2475" s="60"/>
      <c r="FGL2475" s="60"/>
      <c r="FGM2475" s="60"/>
      <c r="FGN2475" s="60"/>
      <c r="FGO2475" s="63"/>
      <c r="FGP2475" s="61"/>
      <c r="FGQ2475" s="54"/>
      <c r="FGR2475" s="54"/>
      <c r="FGS2475" s="60"/>
      <c r="FGT2475" s="60"/>
      <c r="FGU2475" s="60"/>
      <c r="FGV2475" s="60"/>
      <c r="FGW2475" s="63"/>
      <c r="FGX2475" s="61"/>
      <c r="FGY2475" s="54"/>
      <c r="FGZ2475" s="54"/>
      <c r="FHA2475" s="60"/>
      <c r="FHB2475" s="60"/>
      <c r="FHC2475" s="60"/>
      <c r="FHD2475" s="60"/>
      <c r="FHE2475" s="63"/>
      <c r="FHF2475" s="61"/>
      <c r="FHG2475" s="54"/>
      <c r="FHH2475" s="54"/>
      <c r="FHI2475" s="60"/>
      <c r="FHJ2475" s="60"/>
      <c r="FHK2475" s="60"/>
      <c r="FHL2475" s="60"/>
      <c r="FHM2475" s="63"/>
      <c r="FHN2475" s="61"/>
      <c r="FHO2475" s="54"/>
      <c r="FHP2475" s="54"/>
      <c r="FHQ2475" s="60"/>
      <c r="FHR2475" s="60"/>
      <c r="FHS2475" s="60"/>
      <c r="FHT2475" s="60"/>
      <c r="FHU2475" s="63"/>
      <c r="FHV2475" s="61"/>
      <c r="FHW2475" s="54"/>
      <c r="FHX2475" s="54"/>
      <c r="FHY2475" s="60"/>
      <c r="FHZ2475" s="60"/>
      <c r="FIA2475" s="60"/>
      <c r="FIB2475" s="60"/>
      <c r="FIC2475" s="63"/>
      <c r="FID2475" s="61"/>
      <c r="FIE2475" s="54"/>
      <c r="FIF2475" s="54"/>
      <c r="FIG2475" s="60"/>
      <c r="FIH2475" s="60"/>
      <c r="FII2475" s="60"/>
      <c r="FIJ2475" s="60"/>
      <c r="FIK2475" s="63"/>
      <c r="FIL2475" s="61"/>
      <c r="FIM2475" s="54"/>
      <c r="FIN2475" s="54"/>
      <c r="FIO2475" s="60"/>
      <c r="FIP2475" s="60"/>
      <c r="FIQ2475" s="60"/>
      <c r="FIR2475" s="60"/>
      <c r="FIS2475" s="63"/>
      <c r="FIT2475" s="61"/>
      <c r="FIU2475" s="54"/>
      <c r="FIV2475" s="54"/>
      <c r="FIW2475" s="60"/>
      <c r="FIX2475" s="60"/>
      <c r="FIY2475" s="60"/>
      <c r="FIZ2475" s="60"/>
      <c r="FJA2475" s="63"/>
      <c r="FJB2475" s="61"/>
      <c r="FJC2475" s="54"/>
      <c r="FJD2475" s="54"/>
      <c r="FJE2475" s="60"/>
      <c r="FJF2475" s="60"/>
      <c r="FJG2475" s="60"/>
      <c r="FJH2475" s="60"/>
      <c r="FJI2475" s="63"/>
      <c r="FJJ2475" s="61"/>
      <c r="FJK2475" s="54"/>
      <c r="FJL2475" s="54"/>
      <c r="FJM2475" s="60"/>
      <c r="FJN2475" s="60"/>
      <c r="FJO2475" s="60"/>
      <c r="FJP2475" s="60"/>
      <c r="FJQ2475" s="63"/>
      <c r="FJR2475" s="61"/>
      <c r="FJS2475" s="54"/>
      <c r="FJT2475" s="54"/>
      <c r="FJU2475" s="60"/>
      <c r="FJV2475" s="60"/>
      <c r="FJW2475" s="60"/>
      <c r="FJX2475" s="60"/>
      <c r="FJY2475" s="63"/>
      <c r="FJZ2475" s="61"/>
      <c r="FKA2475" s="54"/>
      <c r="FKB2475" s="54"/>
      <c r="FKC2475" s="60"/>
      <c r="FKD2475" s="60"/>
      <c r="FKE2475" s="60"/>
      <c r="FKF2475" s="60"/>
      <c r="FKG2475" s="63"/>
      <c r="FKH2475" s="61"/>
      <c r="FKI2475" s="54"/>
      <c r="FKJ2475" s="54"/>
      <c r="FKK2475" s="60"/>
      <c r="FKL2475" s="60"/>
      <c r="FKM2475" s="60"/>
      <c r="FKN2475" s="60"/>
      <c r="FKO2475" s="63"/>
      <c r="FKP2475" s="61"/>
      <c r="FKQ2475" s="54"/>
      <c r="FKR2475" s="54"/>
      <c r="FKS2475" s="60"/>
      <c r="FKT2475" s="60"/>
      <c r="FKU2475" s="60"/>
      <c r="FKV2475" s="60"/>
      <c r="FKW2475" s="63"/>
      <c r="FKX2475" s="61"/>
      <c r="FKY2475" s="54"/>
      <c r="FKZ2475" s="54"/>
      <c r="FLA2475" s="60"/>
      <c r="FLB2475" s="60"/>
      <c r="FLC2475" s="60"/>
      <c r="FLD2475" s="60"/>
      <c r="FLE2475" s="63"/>
      <c r="FLF2475" s="61"/>
      <c r="FLG2475" s="54"/>
      <c r="FLH2475" s="54"/>
      <c r="FLI2475" s="60"/>
      <c r="FLJ2475" s="60"/>
      <c r="FLK2475" s="60"/>
      <c r="FLL2475" s="60"/>
      <c r="FLM2475" s="63"/>
      <c r="FLN2475" s="61"/>
      <c r="FLO2475" s="54"/>
      <c r="FLP2475" s="54"/>
      <c r="FLQ2475" s="60"/>
      <c r="FLR2475" s="60"/>
      <c r="FLS2475" s="60"/>
      <c r="FLT2475" s="60"/>
      <c r="FLU2475" s="63"/>
      <c r="FLV2475" s="61"/>
      <c r="FLW2475" s="54"/>
      <c r="FLX2475" s="54"/>
      <c r="FLY2475" s="60"/>
      <c r="FLZ2475" s="60"/>
      <c r="FMA2475" s="60"/>
      <c r="FMB2475" s="60"/>
      <c r="FMC2475" s="63"/>
      <c r="FMD2475" s="61"/>
      <c r="FME2475" s="54"/>
      <c r="FMF2475" s="54"/>
      <c r="FMG2475" s="60"/>
      <c r="FMH2475" s="60"/>
      <c r="FMI2475" s="60"/>
      <c r="FMJ2475" s="60"/>
      <c r="FMK2475" s="63"/>
      <c r="FML2475" s="61"/>
      <c r="FMM2475" s="54"/>
      <c r="FMN2475" s="54"/>
      <c r="FMO2475" s="60"/>
      <c r="FMP2475" s="60"/>
      <c r="FMQ2475" s="60"/>
      <c r="FMR2475" s="60"/>
      <c r="FMS2475" s="63"/>
      <c r="FMT2475" s="61"/>
      <c r="FMU2475" s="54"/>
      <c r="FMV2475" s="54"/>
      <c r="FMW2475" s="60"/>
      <c r="FMX2475" s="60"/>
      <c r="FMY2475" s="60"/>
      <c r="FMZ2475" s="60"/>
      <c r="FNA2475" s="63"/>
      <c r="FNB2475" s="61"/>
      <c r="FNC2475" s="54"/>
      <c r="FND2475" s="54"/>
      <c r="FNE2475" s="60"/>
      <c r="FNF2475" s="60"/>
      <c r="FNG2475" s="60"/>
      <c r="FNH2475" s="60"/>
      <c r="FNI2475" s="63"/>
      <c r="FNJ2475" s="61"/>
      <c r="FNK2475" s="54"/>
      <c r="FNL2475" s="54"/>
      <c r="FNM2475" s="60"/>
      <c r="FNN2475" s="60"/>
      <c r="FNO2475" s="60"/>
      <c r="FNP2475" s="60"/>
      <c r="FNQ2475" s="63"/>
      <c r="FNR2475" s="61"/>
      <c r="FNS2475" s="54"/>
      <c r="FNT2475" s="54"/>
      <c r="FNU2475" s="60"/>
      <c r="FNV2475" s="60"/>
      <c r="FNW2475" s="60"/>
      <c r="FNX2475" s="60"/>
      <c r="FNY2475" s="63"/>
      <c r="FNZ2475" s="61"/>
      <c r="FOA2475" s="54"/>
      <c r="FOB2475" s="54"/>
      <c r="FOC2475" s="60"/>
      <c r="FOD2475" s="60"/>
      <c r="FOE2475" s="60"/>
      <c r="FOF2475" s="60"/>
      <c r="FOG2475" s="63"/>
      <c r="FOH2475" s="61"/>
      <c r="FOI2475" s="54"/>
      <c r="FOJ2475" s="54"/>
      <c r="FOK2475" s="60"/>
      <c r="FOL2475" s="60"/>
      <c r="FOM2475" s="60"/>
      <c r="FON2475" s="60"/>
      <c r="FOO2475" s="63"/>
      <c r="FOP2475" s="61"/>
      <c r="FOQ2475" s="54"/>
      <c r="FOR2475" s="54"/>
      <c r="FOS2475" s="60"/>
      <c r="FOT2475" s="60"/>
      <c r="FOU2475" s="60"/>
      <c r="FOV2475" s="60"/>
      <c r="FOW2475" s="63"/>
      <c r="FOX2475" s="61"/>
      <c r="FOY2475" s="54"/>
      <c r="FOZ2475" s="54"/>
      <c r="FPA2475" s="60"/>
      <c r="FPB2475" s="60"/>
      <c r="FPC2475" s="60"/>
      <c r="FPD2475" s="60"/>
      <c r="FPE2475" s="63"/>
      <c r="FPF2475" s="61"/>
      <c r="FPG2475" s="54"/>
      <c r="FPH2475" s="54"/>
      <c r="FPI2475" s="60"/>
      <c r="FPJ2475" s="60"/>
      <c r="FPK2475" s="60"/>
      <c r="FPL2475" s="60"/>
      <c r="FPM2475" s="63"/>
      <c r="FPN2475" s="61"/>
      <c r="FPO2475" s="54"/>
      <c r="FPP2475" s="54"/>
      <c r="FPQ2475" s="60"/>
      <c r="FPR2475" s="60"/>
      <c r="FPS2475" s="60"/>
      <c r="FPT2475" s="60"/>
      <c r="FPU2475" s="63"/>
      <c r="FPV2475" s="61"/>
      <c r="FPW2475" s="54"/>
      <c r="FPX2475" s="54"/>
      <c r="FPY2475" s="60"/>
      <c r="FPZ2475" s="60"/>
      <c r="FQA2475" s="60"/>
      <c r="FQB2475" s="60"/>
      <c r="FQC2475" s="63"/>
      <c r="FQD2475" s="61"/>
      <c r="FQE2475" s="54"/>
      <c r="FQF2475" s="54"/>
      <c r="FQG2475" s="60"/>
      <c r="FQH2475" s="60"/>
      <c r="FQI2475" s="60"/>
      <c r="FQJ2475" s="60"/>
      <c r="FQK2475" s="63"/>
      <c r="FQL2475" s="61"/>
      <c r="FQM2475" s="54"/>
      <c r="FQN2475" s="54"/>
      <c r="FQO2475" s="60"/>
      <c r="FQP2475" s="60"/>
      <c r="FQQ2475" s="60"/>
      <c r="FQR2475" s="60"/>
      <c r="FQS2475" s="63"/>
      <c r="FQT2475" s="61"/>
      <c r="FQU2475" s="54"/>
      <c r="FQV2475" s="54"/>
      <c r="FQW2475" s="60"/>
      <c r="FQX2475" s="60"/>
      <c r="FQY2475" s="60"/>
      <c r="FQZ2475" s="60"/>
      <c r="FRA2475" s="63"/>
      <c r="FRB2475" s="61"/>
      <c r="FRC2475" s="54"/>
      <c r="FRD2475" s="54"/>
      <c r="FRE2475" s="60"/>
      <c r="FRF2475" s="60"/>
      <c r="FRG2475" s="60"/>
      <c r="FRH2475" s="60"/>
      <c r="FRI2475" s="63"/>
      <c r="FRJ2475" s="61"/>
      <c r="FRK2475" s="54"/>
      <c r="FRL2475" s="54"/>
      <c r="FRM2475" s="60"/>
      <c r="FRN2475" s="60"/>
      <c r="FRO2475" s="60"/>
      <c r="FRP2475" s="60"/>
      <c r="FRQ2475" s="63"/>
      <c r="FRR2475" s="61"/>
      <c r="FRS2475" s="54"/>
      <c r="FRT2475" s="54"/>
      <c r="FRU2475" s="60"/>
      <c r="FRV2475" s="60"/>
      <c r="FRW2475" s="60"/>
      <c r="FRX2475" s="60"/>
      <c r="FRY2475" s="63"/>
      <c r="FRZ2475" s="61"/>
      <c r="FSA2475" s="54"/>
      <c r="FSB2475" s="54"/>
      <c r="FSC2475" s="60"/>
      <c r="FSD2475" s="60"/>
      <c r="FSE2475" s="60"/>
      <c r="FSF2475" s="60"/>
      <c r="FSG2475" s="63"/>
      <c r="FSH2475" s="61"/>
      <c r="FSI2475" s="54"/>
      <c r="FSJ2475" s="54"/>
      <c r="FSK2475" s="60"/>
      <c r="FSL2475" s="60"/>
      <c r="FSM2475" s="60"/>
      <c r="FSN2475" s="60"/>
      <c r="FSO2475" s="63"/>
      <c r="FSP2475" s="61"/>
      <c r="FSQ2475" s="54"/>
      <c r="FSR2475" s="54"/>
      <c r="FSS2475" s="60"/>
      <c r="FST2475" s="60"/>
      <c r="FSU2475" s="60"/>
      <c r="FSV2475" s="60"/>
      <c r="FSW2475" s="63"/>
      <c r="FSX2475" s="61"/>
      <c r="FSY2475" s="54"/>
      <c r="FSZ2475" s="54"/>
      <c r="FTA2475" s="60"/>
      <c r="FTB2475" s="60"/>
      <c r="FTC2475" s="60"/>
      <c r="FTD2475" s="60"/>
      <c r="FTE2475" s="63"/>
      <c r="FTF2475" s="61"/>
      <c r="FTG2475" s="54"/>
      <c r="FTH2475" s="54"/>
      <c r="FTI2475" s="60"/>
      <c r="FTJ2475" s="60"/>
      <c r="FTK2475" s="60"/>
      <c r="FTL2475" s="60"/>
      <c r="FTM2475" s="63"/>
      <c r="FTN2475" s="61"/>
      <c r="FTO2475" s="54"/>
      <c r="FTP2475" s="54"/>
      <c r="FTQ2475" s="60"/>
      <c r="FTR2475" s="60"/>
      <c r="FTS2475" s="60"/>
      <c r="FTT2475" s="60"/>
      <c r="FTU2475" s="63"/>
      <c r="FTV2475" s="61"/>
      <c r="FTW2475" s="54"/>
      <c r="FTX2475" s="54"/>
      <c r="FTY2475" s="60"/>
      <c r="FTZ2475" s="60"/>
      <c r="FUA2475" s="60"/>
      <c r="FUB2475" s="60"/>
      <c r="FUC2475" s="63"/>
      <c r="FUD2475" s="61"/>
      <c r="FUE2475" s="54"/>
      <c r="FUF2475" s="54"/>
      <c r="FUG2475" s="60"/>
      <c r="FUH2475" s="60"/>
      <c r="FUI2475" s="60"/>
      <c r="FUJ2475" s="60"/>
      <c r="FUK2475" s="63"/>
      <c r="FUL2475" s="61"/>
      <c r="FUM2475" s="54"/>
      <c r="FUN2475" s="54"/>
      <c r="FUO2475" s="60"/>
      <c r="FUP2475" s="60"/>
      <c r="FUQ2475" s="60"/>
      <c r="FUR2475" s="60"/>
      <c r="FUS2475" s="63"/>
      <c r="FUT2475" s="61"/>
      <c r="FUU2475" s="54"/>
      <c r="FUV2475" s="54"/>
      <c r="FUW2475" s="60"/>
      <c r="FUX2475" s="60"/>
      <c r="FUY2475" s="60"/>
      <c r="FUZ2475" s="60"/>
      <c r="FVA2475" s="63"/>
      <c r="FVB2475" s="61"/>
      <c r="FVC2475" s="54"/>
      <c r="FVD2475" s="54"/>
      <c r="FVE2475" s="60"/>
      <c r="FVF2475" s="60"/>
      <c r="FVG2475" s="60"/>
      <c r="FVH2475" s="60"/>
      <c r="FVI2475" s="63"/>
      <c r="FVJ2475" s="61"/>
      <c r="FVK2475" s="54"/>
      <c r="FVL2475" s="54"/>
      <c r="FVM2475" s="60"/>
      <c r="FVN2475" s="60"/>
      <c r="FVO2475" s="60"/>
      <c r="FVP2475" s="60"/>
      <c r="FVQ2475" s="63"/>
      <c r="FVR2475" s="61"/>
      <c r="FVS2475" s="54"/>
      <c r="FVT2475" s="54"/>
      <c r="FVU2475" s="60"/>
      <c r="FVV2475" s="60"/>
      <c r="FVW2475" s="60"/>
      <c r="FVX2475" s="60"/>
      <c r="FVY2475" s="63"/>
      <c r="FVZ2475" s="61"/>
      <c r="FWA2475" s="54"/>
      <c r="FWB2475" s="54"/>
      <c r="FWC2475" s="60"/>
      <c r="FWD2475" s="60"/>
      <c r="FWE2475" s="60"/>
      <c r="FWF2475" s="60"/>
      <c r="FWG2475" s="63"/>
      <c r="FWH2475" s="61"/>
      <c r="FWI2475" s="54"/>
      <c r="FWJ2475" s="54"/>
      <c r="FWK2475" s="60"/>
      <c r="FWL2475" s="60"/>
      <c r="FWM2475" s="60"/>
      <c r="FWN2475" s="60"/>
      <c r="FWO2475" s="63"/>
      <c r="FWP2475" s="61"/>
      <c r="FWQ2475" s="54"/>
      <c r="FWR2475" s="54"/>
      <c r="FWS2475" s="60"/>
      <c r="FWT2475" s="60"/>
      <c r="FWU2475" s="60"/>
      <c r="FWV2475" s="60"/>
      <c r="FWW2475" s="63"/>
      <c r="FWX2475" s="61"/>
      <c r="FWY2475" s="54"/>
      <c r="FWZ2475" s="54"/>
      <c r="FXA2475" s="60"/>
      <c r="FXB2475" s="60"/>
      <c r="FXC2475" s="60"/>
      <c r="FXD2475" s="60"/>
      <c r="FXE2475" s="63"/>
      <c r="FXF2475" s="61"/>
      <c r="FXG2475" s="54"/>
      <c r="FXH2475" s="54"/>
      <c r="FXI2475" s="60"/>
      <c r="FXJ2475" s="60"/>
      <c r="FXK2475" s="60"/>
      <c r="FXL2475" s="60"/>
      <c r="FXM2475" s="63"/>
      <c r="FXN2475" s="61"/>
      <c r="FXO2475" s="54"/>
      <c r="FXP2475" s="54"/>
      <c r="FXQ2475" s="60"/>
      <c r="FXR2475" s="60"/>
      <c r="FXS2475" s="60"/>
      <c r="FXT2475" s="60"/>
      <c r="FXU2475" s="63"/>
      <c r="FXV2475" s="61"/>
      <c r="FXW2475" s="54"/>
      <c r="FXX2475" s="54"/>
      <c r="FXY2475" s="60"/>
      <c r="FXZ2475" s="60"/>
      <c r="FYA2475" s="60"/>
      <c r="FYB2475" s="60"/>
      <c r="FYC2475" s="63"/>
      <c r="FYD2475" s="61"/>
      <c r="FYE2475" s="54"/>
      <c r="FYF2475" s="54"/>
      <c r="FYG2475" s="60"/>
      <c r="FYH2475" s="60"/>
      <c r="FYI2475" s="60"/>
      <c r="FYJ2475" s="60"/>
      <c r="FYK2475" s="63"/>
      <c r="FYL2475" s="61"/>
      <c r="FYM2475" s="54"/>
      <c r="FYN2475" s="54"/>
      <c r="FYO2475" s="60"/>
      <c r="FYP2475" s="60"/>
      <c r="FYQ2475" s="60"/>
      <c r="FYR2475" s="60"/>
      <c r="FYS2475" s="63"/>
      <c r="FYT2475" s="61"/>
      <c r="FYU2475" s="54"/>
      <c r="FYV2475" s="54"/>
      <c r="FYW2475" s="60"/>
      <c r="FYX2475" s="60"/>
      <c r="FYY2475" s="60"/>
      <c r="FYZ2475" s="60"/>
      <c r="FZA2475" s="63"/>
      <c r="FZB2475" s="61"/>
      <c r="FZC2475" s="54"/>
      <c r="FZD2475" s="54"/>
      <c r="FZE2475" s="60"/>
      <c r="FZF2475" s="60"/>
      <c r="FZG2475" s="60"/>
      <c r="FZH2475" s="60"/>
      <c r="FZI2475" s="63"/>
      <c r="FZJ2475" s="61"/>
      <c r="FZK2475" s="54"/>
      <c r="FZL2475" s="54"/>
      <c r="FZM2475" s="60"/>
      <c r="FZN2475" s="60"/>
      <c r="FZO2475" s="60"/>
      <c r="FZP2475" s="60"/>
      <c r="FZQ2475" s="63"/>
      <c r="FZR2475" s="61"/>
      <c r="FZS2475" s="54"/>
      <c r="FZT2475" s="54"/>
      <c r="FZU2475" s="60"/>
      <c r="FZV2475" s="60"/>
      <c r="FZW2475" s="60"/>
      <c r="FZX2475" s="60"/>
      <c r="FZY2475" s="63"/>
      <c r="FZZ2475" s="61"/>
      <c r="GAA2475" s="54"/>
      <c r="GAB2475" s="54"/>
      <c r="GAC2475" s="60"/>
      <c r="GAD2475" s="60"/>
      <c r="GAE2475" s="60"/>
      <c r="GAF2475" s="60"/>
      <c r="GAG2475" s="63"/>
      <c r="GAH2475" s="61"/>
      <c r="GAI2475" s="54"/>
      <c r="GAJ2475" s="54"/>
      <c r="GAK2475" s="60"/>
      <c r="GAL2475" s="60"/>
      <c r="GAM2475" s="60"/>
      <c r="GAN2475" s="60"/>
      <c r="GAO2475" s="63"/>
      <c r="GAP2475" s="61"/>
      <c r="GAQ2475" s="54"/>
      <c r="GAR2475" s="54"/>
      <c r="GAS2475" s="60"/>
      <c r="GAT2475" s="60"/>
      <c r="GAU2475" s="60"/>
      <c r="GAV2475" s="60"/>
      <c r="GAW2475" s="63"/>
      <c r="GAX2475" s="61"/>
      <c r="GAY2475" s="54"/>
      <c r="GAZ2475" s="54"/>
      <c r="GBA2475" s="60"/>
      <c r="GBB2475" s="60"/>
      <c r="GBC2475" s="60"/>
      <c r="GBD2475" s="60"/>
      <c r="GBE2475" s="63"/>
      <c r="GBF2475" s="61"/>
      <c r="GBG2475" s="54"/>
      <c r="GBH2475" s="54"/>
      <c r="GBI2475" s="60"/>
      <c r="GBJ2475" s="60"/>
      <c r="GBK2475" s="60"/>
      <c r="GBL2475" s="60"/>
      <c r="GBM2475" s="63"/>
      <c r="GBN2475" s="61"/>
      <c r="GBO2475" s="54"/>
      <c r="GBP2475" s="54"/>
      <c r="GBQ2475" s="60"/>
      <c r="GBR2475" s="60"/>
      <c r="GBS2475" s="60"/>
      <c r="GBT2475" s="60"/>
      <c r="GBU2475" s="63"/>
      <c r="GBV2475" s="61"/>
      <c r="GBW2475" s="54"/>
      <c r="GBX2475" s="54"/>
      <c r="GBY2475" s="60"/>
      <c r="GBZ2475" s="60"/>
      <c r="GCA2475" s="60"/>
      <c r="GCB2475" s="60"/>
      <c r="GCC2475" s="63"/>
      <c r="GCD2475" s="61"/>
      <c r="GCE2475" s="54"/>
      <c r="GCF2475" s="54"/>
      <c r="GCG2475" s="60"/>
      <c r="GCH2475" s="60"/>
      <c r="GCI2475" s="60"/>
      <c r="GCJ2475" s="60"/>
      <c r="GCK2475" s="63"/>
      <c r="GCL2475" s="61"/>
      <c r="GCM2475" s="54"/>
      <c r="GCN2475" s="54"/>
      <c r="GCO2475" s="60"/>
      <c r="GCP2475" s="60"/>
      <c r="GCQ2475" s="60"/>
      <c r="GCR2475" s="60"/>
      <c r="GCS2475" s="63"/>
      <c r="GCT2475" s="61"/>
      <c r="GCU2475" s="54"/>
      <c r="GCV2475" s="54"/>
      <c r="GCW2475" s="60"/>
      <c r="GCX2475" s="60"/>
      <c r="GCY2475" s="60"/>
      <c r="GCZ2475" s="60"/>
      <c r="GDA2475" s="63"/>
      <c r="GDB2475" s="61"/>
      <c r="GDC2475" s="54"/>
      <c r="GDD2475" s="54"/>
      <c r="GDE2475" s="60"/>
      <c r="GDF2475" s="60"/>
      <c r="GDG2475" s="60"/>
      <c r="GDH2475" s="60"/>
      <c r="GDI2475" s="63"/>
      <c r="GDJ2475" s="61"/>
      <c r="GDK2475" s="54"/>
      <c r="GDL2475" s="54"/>
      <c r="GDM2475" s="60"/>
      <c r="GDN2475" s="60"/>
      <c r="GDO2475" s="60"/>
      <c r="GDP2475" s="60"/>
      <c r="GDQ2475" s="63"/>
      <c r="GDR2475" s="61"/>
      <c r="GDS2475" s="54"/>
      <c r="GDT2475" s="54"/>
      <c r="GDU2475" s="60"/>
      <c r="GDV2475" s="60"/>
      <c r="GDW2475" s="60"/>
      <c r="GDX2475" s="60"/>
      <c r="GDY2475" s="63"/>
      <c r="GDZ2475" s="61"/>
      <c r="GEA2475" s="54"/>
      <c r="GEB2475" s="54"/>
      <c r="GEC2475" s="60"/>
      <c r="GED2475" s="60"/>
      <c r="GEE2475" s="60"/>
      <c r="GEF2475" s="60"/>
      <c r="GEG2475" s="63"/>
      <c r="GEH2475" s="61"/>
      <c r="GEI2475" s="54"/>
      <c r="GEJ2475" s="54"/>
      <c r="GEK2475" s="60"/>
      <c r="GEL2475" s="60"/>
      <c r="GEM2475" s="60"/>
      <c r="GEN2475" s="60"/>
      <c r="GEO2475" s="63"/>
      <c r="GEP2475" s="61"/>
      <c r="GEQ2475" s="54"/>
      <c r="GER2475" s="54"/>
      <c r="GES2475" s="60"/>
      <c r="GET2475" s="60"/>
      <c r="GEU2475" s="60"/>
      <c r="GEV2475" s="60"/>
      <c r="GEW2475" s="63"/>
      <c r="GEX2475" s="61"/>
      <c r="GEY2475" s="54"/>
      <c r="GEZ2475" s="54"/>
      <c r="GFA2475" s="60"/>
      <c r="GFB2475" s="60"/>
      <c r="GFC2475" s="60"/>
      <c r="GFD2475" s="60"/>
      <c r="GFE2475" s="63"/>
      <c r="GFF2475" s="61"/>
      <c r="GFG2475" s="54"/>
      <c r="GFH2475" s="54"/>
      <c r="GFI2475" s="60"/>
      <c r="GFJ2475" s="60"/>
      <c r="GFK2475" s="60"/>
      <c r="GFL2475" s="60"/>
      <c r="GFM2475" s="63"/>
      <c r="GFN2475" s="61"/>
      <c r="GFO2475" s="54"/>
      <c r="GFP2475" s="54"/>
      <c r="GFQ2475" s="60"/>
      <c r="GFR2475" s="60"/>
      <c r="GFS2475" s="60"/>
      <c r="GFT2475" s="60"/>
      <c r="GFU2475" s="63"/>
      <c r="GFV2475" s="61"/>
      <c r="GFW2475" s="54"/>
      <c r="GFX2475" s="54"/>
      <c r="GFY2475" s="60"/>
      <c r="GFZ2475" s="60"/>
      <c r="GGA2475" s="60"/>
      <c r="GGB2475" s="60"/>
      <c r="GGC2475" s="63"/>
      <c r="GGD2475" s="61"/>
      <c r="GGE2475" s="54"/>
      <c r="GGF2475" s="54"/>
      <c r="GGG2475" s="60"/>
      <c r="GGH2475" s="60"/>
      <c r="GGI2475" s="60"/>
      <c r="GGJ2475" s="60"/>
      <c r="GGK2475" s="63"/>
      <c r="GGL2475" s="61"/>
      <c r="GGM2475" s="54"/>
      <c r="GGN2475" s="54"/>
      <c r="GGO2475" s="60"/>
      <c r="GGP2475" s="60"/>
      <c r="GGQ2475" s="60"/>
      <c r="GGR2475" s="60"/>
      <c r="GGS2475" s="63"/>
      <c r="GGT2475" s="61"/>
      <c r="GGU2475" s="54"/>
      <c r="GGV2475" s="54"/>
      <c r="GGW2475" s="60"/>
      <c r="GGX2475" s="60"/>
      <c r="GGY2475" s="60"/>
      <c r="GGZ2475" s="60"/>
      <c r="GHA2475" s="63"/>
      <c r="GHB2475" s="61"/>
      <c r="GHC2475" s="54"/>
      <c r="GHD2475" s="54"/>
      <c r="GHE2475" s="60"/>
      <c r="GHF2475" s="60"/>
      <c r="GHG2475" s="60"/>
      <c r="GHH2475" s="60"/>
      <c r="GHI2475" s="63"/>
      <c r="GHJ2475" s="61"/>
      <c r="GHK2475" s="54"/>
      <c r="GHL2475" s="54"/>
      <c r="GHM2475" s="60"/>
      <c r="GHN2475" s="60"/>
      <c r="GHO2475" s="60"/>
      <c r="GHP2475" s="60"/>
      <c r="GHQ2475" s="63"/>
      <c r="GHR2475" s="61"/>
      <c r="GHS2475" s="54"/>
      <c r="GHT2475" s="54"/>
      <c r="GHU2475" s="60"/>
      <c r="GHV2475" s="60"/>
      <c r="GHW2475" s="60"/>
      <c r="GHX2475" s="60"/>
      <c r="GHY2475" s="63"/>
      <c r="GHZ2475" s="61"/>
      <c r="GIA2475" s="54"/>
      <c r="GIB2475" s="54"/>
      <c r="GIC2475" s="60"/>
      <c r="GID2475" s="60"/>
      <c r="GIE2475" s="60"/>
      <c r="GIF2475" s="60"/>
      <c r="GIG2475" s="63"/>
      <c r="GIH2475" s="61"/>
      <c r="GII2475" s="54"/>
      <c r="GIJ2475" s="54"/>
      <c r="GIK2475" s="60"/>
      <c r="GIL2475" s="60"/>
      <c r="GIM2475" s="60"/>
      <c r="GIN2475" s="60"/>
      <c r="GIO2475" s="63"/>
      <c r="GIP2475" s="61"/>
      <c r="GIQ2475" s="54"/>
      <c r="GIR2475" s="54"/>
      <c r="GIS2475" s="60"/>
      <c r="GIT2475" s="60"/>
      <c r="GIU2475" s="60"/>
      <c r="GIV2475" s="60"/>
      <c r="GIW2475" s="63"/>
      <c r="GIX2475" s="61"/>
      <c r="GIY2475" s="54"/>
      <c r="GIZ2475" s="54"/>
      <c r="GJA2475" s="60"/>
      <c r="GJB2475" s="60"/>
      <c r="GJC2475" s="60"/>
      <c r="GJD2475" s="60"/>
      <c r="GJE2475" s="63"/>
      <c r="GJF2475" s="61"/>
      <c r="GJG2475" s="54"/>
      <c r="GJH2475" s="54"/>
      <c r="GJI2475" s="60"/>
      <c r="GJJ2475" s="60"/>
      <c r="GJK2475" s="60"/>
      <c r="GJL2475" s="60"/>
      <c r="GJM2475" s="63"/>
      <c r="GJN2475" s="61"/>
      <c r="GJO2475" s="54"/>
      <c r="GJP2475" s="54"/>
      <c r="GJQ2475" s="60"/>
      <c r="GJR2475" s="60"/>
      <c r="GJS2475" s="60"/>
      <c r="GJT2475" s="60"/>
      <c r="GJU2475" s="63"/>
      <c r="GJV2475" s="61"/>
      <c r="GJW2475" s="54"/>
      <c r="GJX2475" s="54"/>
      <c r="GJY2475" s="60"/>
      <c r="GJZ2475" s="60"/>
      <c r="GKA2475" s="60"/>
      <c r="GKB2475" s="60"/>
      <c r="GKC2475" s="63"/>
      <c r="GKD2475" s="61"/>
      <c r="GKE2475" s="54"/>
      <c r="GKF2475" s="54"/>
      <c r="GKG2475" s="60"/>
      <c r="GKH2475" s="60"/>
      <c r="GKI2475" s="60"/>
      <c r="GKJ2475" s="60"/>
      <c r="GKK2475" s="63"/>
      <c r="GKL2475" s="61"/>
      <c r="GKM2475" s="54"/>
      <c r="GKN2475" s="54"/>
      <c r="GKO2475" s="60"/>
      <c r="GKP2475" s="60"/>
      <c r="GKQ2475" s="60"/>
      <c r="GKR2475" s="60"/>
      <c r="GKS2475" s="63"/>
      <c r="GKT2475" s="61"/>
      <c r="GKU2475" s="54"/>
      <c r="GKV2475" s="54"/>
      <c r="GKW2475" s="60"/>
      <c r="GKX2475" s="60"/>
      <c r="GKY2475" s="60"/>
      <c r="GKZ2475" s="60"/>
      <c r="GLA2475" s="63"/>
      <c r="GLB2475" s="61"/>
      <c r="GLC2475" s="54"/>
      <c r="GLD2475" s="54"/>
      <c r="GLE2475" s="60"/>
      <c r="GLF2475" s="60"/>
      <c r="GLG2475" s="60"/>
      <c r="GLH2475" s="60"/>
      <c r="GLI2475" s="63"/>
      <c r="GLJ2475" s="61"/>
      <c r="GLK2475" s="54"/>
      <c r="GLL2475" s="54"/>
      <c r="GLM2475" s="60"/>
      <c r="GLN2475" s="60"/>
      <c r="GLO2475" s="60"/>
      <c r="GLP2475" s="60"/>
      <c r="GLQ2475" s="63"/>
      <c r="GLR2475" s="61"/>
      <c r="GLS2475" s="54"/>
      <c r="GLT2475" s="54"/>
      <c r="GLU2475" s="60"/>
      <c r="GLV2475" s="60"/>
      <c r="GLW2475" s="60"/>
      <c r="GLX2475" s="60"/>
      <c r="GLY2475" s="63"/>
      <c r="GLZ2475" s="61"/>
      <c r="GMA2475" s="54"/>
      <c r="GMB2475" s="54"/>
      <c r="GMC2475" s="60"/>
      <c r="GMD2475" s="60"/>
      <c r="GME2475" s="60"/>
      <c r="GMF2475" s="60"/>
      <c r="GMG2475" s="63"/>
      <c r="GMH2475" s="61"/>
      <c r="GMI2475" s="54"/>
      <c r="GMJ2475" s="54"/>
      <c r="GMK2475" s="60"/>
      <c r="GML2475" s="60"/>
      <c r="GMM2475" s="60"/>
      <c r="GMN2475" s="60"/>
      <c r="GMO2475" s="63"/>
      <c r="GMP2475" s="61"/>
      <c r="GMQ2475" s="54"/>
      <c r="GMR2475" s="54"/>
      <c r="GMS2475" s="60"/>
      <c r="GMT2475" s="60"/>
      <c r="GMU2475" s="60"/>
      <c r="GMV2475" s="60"/>
      <c r="GMW2475" s="63"/>
      <c r="GMX2475" s="61"/>
      <c r="GMY2475" s="54"/>
      <c r="GMZ2475" s="54"/>
      <c r="GNA2475" s="60"/>
      <c r="GNB2475" s="60"/>
      <c r="GNC2475" s="60"/>
      <c r="GND2475" s="60"/>
      <c r="GNE2475" s="63"/>
      <c r="GNF2475" s="61"/>
      <c r="GNG2475" s="54"/>
      <c r="GNH2475" s="54"/>
      <c r="GNI2475" s="60"/>
      <c r="GNJ2475" s="60"/>
      <c r="GNK2475" s="60"/>
      <c r="GNL2475" s="60"/>
      <c r="GNM2475" s="63"/>
      <c r="GNN2475" s="61"/>
      <c r="GNO2475" s="54"/>
      <c r="GNP2475" s="54"/>
      <c r="GNQ2475" s="60"/>
      <c r="GNR2475" s="60"/>
      <c r="GNS2475" s="60"/>
      <c r="GNT2475" s="60"/>
      <c r="GNU2475" s="63"/>
      <c r="GNV2475" s="61"/>
      <c r="GNW2475" s="54"/>
      <c r="GNX2475" s="54"/>
      <c r="GNY2475" s="60"/>
      <c r="GNZ2475" s="60"/>
      <c r="GOA2475" s="60"/>
      <c r="GOB2475" s="60"/>
      <c r="GOC2475" s="63"/>
      <c r="GOD2475" s="61"/>
      <c r="GOE2475" s="54"/>
      <c r="GOF2475" s="54"/>
      <c r="GOG2475" s="60"/>
      <c r="GOH2475" s="60"/>
      <c r="GOI2475" s="60"/>
      <c r="GOJ2475" s="60"/>
      <c r="GOK2475" s="63"/>
      <c r="GOL2475" s="61"/>
      <c r="GOM2475" s="54"/>
      <c r="GON2475" s="54"/>
      <c r="GOO2475" s="60"/>
      <c r="GOP2475" s="60"/>
      <c r="GOQ2475" s="60"/>
      <c r="GOR2475" s="60"/>
      <c r="GOS2475" s="63"/>
      <c r="GOT2475" s="61"/>
      <c r="GOU2475" s="54"/>
      <c r="GOV2475" s="54"/>
      <c r="GOW2475" s="60"/>
      <c r="GOX2475" s="60"/>
      <c r="GOY2475" s="60"/>
      <c r="GOZ2475" s="60"/>
      <c r="GPA2475" s="63"/>
      <c r="GPB2475" s="61"/>
      <c r="GPC2475" s="54"/>
      <c r="GPD2475" s="54"/>
      <c r="GPE2475" s="60"/>
      <c r="GPF2475" s="60"/>
      <c r="GPG2475" s="60"/>
      <c r="GPH2475" s="60"/>
      <c r="GPI2475" s="63"/>
      <c r="GPJ2475" s="61"/>
      <c r="GPK2475" s="54"/>
      <c r="GPL2475" s="54"/>
      <c r="GPM2475" s="60"/>
      <c r="GPN2475" s="60"/>
      <c r="GPO2475" s="60"/>
      <c r="GPP2475" s="60"/>
      <c r="GPQ2475" s="63"/>
      <c r="GPR2475" s="61"/>
      <c r="GPS2475" s="54"/>
      <c r="GPT2475" s="54"/>
      <c r="GPU2475" s="60"/>
      <c r="GPV2475" s="60"/>
      <c r="GPW2475" s="60"/>
      <c r="GPX2475" s="60"/>
      <c r="GPY2475" s="63"/>
      <c r="GPZ2475" s="61"/>
      <c r="GQA2475" s="54"/>
      <c r="GQB2475" s="54"/>
      <c r="GQC2475" s="60"/>
      <c r="GQD2475" s="60"/>
      <c r="GQE2475" s="60"/>
      <c r="GQF2475" s="60"/>
      <c r="GQG2475" s="63"/>
      <c r="GQH2475" s="61"/>
      <c r="GQI2475" s="54"/>
      <c r="GQJ2475" s="54"/>
      <c r="GQK2475" s="60"/>
      <c r="GQL2475" s="60"/>
      <c r="GQM2475" s="60"/>
      <c r="GQN2475" s="60"/>
      <c r="GQO2475" s="63"/>
      <c r="GQP2475" s="61"/>
      <c r="GQQ2475" s="54"/>
      <c r="GQR2475" s="54"/>
      <c r="GQS2475" s="60"/>
      <c r="GQT2475" s="60"/>
      <c r="GQU2475" s="60"/>
      <c r="GQV2475" s="60"/>
      <c r="GQW2475" s="63"/>
      <c r="GQX2475" s="61"/>
      <c r="GQY2475" s="54"/>
      <c r="GQZ2475" s="54"/>
      <c r="GRA2475" s="60"/>
      <c r="GRB2475" s="60"/>
      <c r="GRC2475" s="60"/>
      <c r="GRD2475" s="60"/>
      <c r="GRE2475" s="63"/>
      <c r="GRF2475" s="61"/>
      <c r="GRG2475" s="54"/>
      <c r="GRH2475" s="54"/>
      <c r="GRI2475" s="60"/>
      <c r="GRJ2475" s="60"/>
      <c r="GRK2475" s="60"/>
      <c r="GRL2475" s="60"/>
      <c r="GRM2475" s="63"/>
      <c r="GRN2475" s="61"/>
      <c r="GRO2475" s="54"/>
      <c r="GRP2475" s="54"/>
      <c r="GRQ2475" s="60"/>
      <c r="GRR2475" s="60"/>
      <c r="GRS2475" s="60"/>
      <c r="GRT2475" s="60"/>
      <c r="GRU2475" s="63"/>
      <c r="GRV2475" s="61"/>
      <c r="GRW2475" s="54"/>
      <c r="GRX2475" s="54"/>
      <c r="GRY2475" s="60"/>
      <c r="GRZ2475" s="60"/>
      <c r="GSA2475" s="60"/>
      <c r="GSB2475" s="60"/>
      <c r="GSC2475" s="63"/>
      <c r="GSD2475" s="61"/>
      <c r="GSE2475" s="54"/>
      <c r="GSF2475" s="54"/>
      <c r="GSG2475" s="60"/>
      <c r="GSH2475" s="60"/>
      <c r="GSI2475" s="60"/>
      <c r="GSJ2475" s="60"/>
      <c r="GSK2475" s="63"/>
      <c r="GSL2475" s="61"/>
      <c r="GSM2475" s="54"/>
      <c r="GSN2475" s="54"/>
      <c r="GSO2475" s="60"/>
      <c r="GSP2475" s="60"/>
      <c r="GSQ2475" s="60"/>
      <c r="GSR2475" s="60"/>
      <c r="GSS2475" s="63"/>
      <c r="GST2475" s="61"/>
      <c r="GSU2475" s="54"/>
      <c r="GSV2475" s="54"/>
      <c r="GSW2475" s="60"/>
      <c r="GSX2475" s="60"/>
      <c r="GSY2475" s="60"/>
      <c r="GSZ2475" s="60"/>
      <c r="GTA2475" s="63"/>
      <c r="GTB2475" s="61"/>
      <c r="GTC2475" s="54"/>
      <c r="GTD2475" s="54"/>
      <c r="GTE2475" s="60"/>
      <c r="GTF2475" s="60"/>
      <c r="GTG2475" s="60"/>
      <c r="GTH2475" s="60"/>
      <c r="GTI2475" s="63"/>
      <c r="GTJ2475" s="61"/>
      <c r="GTK2475" s="54"/>
      <c r="GTL2475" s="54"/>
      <c r="GTM2475" s="60"/>
      <c r="GTN2475" s="60"/>
      <c r="GTO2475" s="60"/>
      <c r="GTP2475" s="60"/>
      <c r="GTQ2475" s="63"/>
      <c r="GTR2475" s="61"/>
      <c r="GTS2475" s="54"/>
      <c r="GTT2475" s="54"/>
      <c r="GTU2475" s="60"/>
      <c r="GTV2475" s="60"/>
      <c r="GTW2475" s="60"/>
      <c r="GTX2475" s="60"/>
      <c r="GTY2475" s="63"/>
      <c r="GTZ2475" s="61"/>
      <c r="GUA2475" s="54"/>
      <c r="GUB2475" s="54"/>
      <c r="GUC2475" s="60"/>
      <c r="GUD2475" s="60"/>
      <c r="GUE2475" s="60"/>
      <c r="GUF2475" s="60"/>
      <c r="GUG2475" s="63"/>
      <c r="GUH2475" s="61"/>
      <c r="GUI2475" s="54"/>
      <c r="GUJ2475" s="54"/>
      <c r="GUK2475" s="60"/>
      <c r="GUL2475" s="60"/>
      <c r="GUM2475" s="60"/>
      <c r="GUN2475" s="60"/>
      <c r="GUO2475" s="63"/>
      <c r="GUP2475" s="61"/>
      <c r="GUQ2475" s="54"/>
      <c r="GUR2475" s="54"/>
      <c r="GUS2475" s="60"/>
      <c r="GUT2475" s="60"/>
      <c r="GUU2475" s="60"/>
      <c r="GUV2475" s="60"/>
      <c r="GUW2475" s="63"/>
      <c r="GUX2475" s="61"/>
      <c r="GUY2475" s="54"/>
      <c r="GUZ2475" s="54"/>
      <c r="GVA2475" s="60"/>
      <c r="GVB2475" s="60"/>
      <c r="GVC2475" s="60"/>
      <c r="GVD2475" s="60"/>
      <c r="GVE2475" s="63"/>
      <c r="GVF2475" s="61"/>
      <c r="GVG2475" s="54"/>
      <c r="GVH2475" s="54"/>
      <c r="GVI2475" s="60"/>
      <c r="GVJ2475" s="60"/>
      <c r="GVK2475" s="60"/>
      <c r="GVL2475" s="60"/>
      <c r="GVM2475" s="63"/>
      <c r="GVN2475" s="61"/>
      <c r="GVO2475" s="54"/>
      <c r="GVP2475" s="54"/>
      <c r="GVQ2475" s="60"/>
      <c r="GVR2475" s="60"/>
      <c r="GVS2475" s="60"/>
      <c r="GVT2475" s="60"/>
      <c r="GVU2475" s="63"/>
      <c r="GVV2475" s="61"/>
      <c r="GVW2475" s="54"/>
      <c r="GVX2475" s="54"/>
      <c r="GVY2475" s="60"/>
      <c r="GVZ2475" s="60"/>
      <c r="GWA2475" s="60"/>
      <c r="GWB2475" s="60"/>
      <c r="GWC2475" s="63"/>
      <c r="GWD2475" s="61"/>
      <c r="GWE2475" s="54"/>
      <c r="GWF2475" s="54"/>
      <c r="GWG2475" s="60"/>
      <c r="GWH2475" s="60"/>
      <c r="GWI2475" s="60"/>
      <c r="GWJ2475" s="60"/>
      <c r="GWK2475" s="63"/>
      <c r="GWL2475" s="61"/>
      <c r="GWM2475" s="54"/>
      <c r="GWN2475" s="54"/>
      <c r="GWO2475" s="60"/>
      <c r="GWP2475" s="60"/>
      <c r="GWQ2475" s="60"/>
      <c r="GWR2475" s="60"/>
      <c r="GWS2475" s="63"/>
      <c r="GWT2475" s="61"/>
      <c r="GWU2475" s="54"/>
      <c r="GWV2475" s="54"/>
      <c r="GWW2475" s="60"/>
      <c r="GWX2475" s="60"/>
      <c r="GWY2475" s="60"/>
      <c r="GWZ2475" s="60"/>
      <c r="GXA2475" s="63"/>
      <c r="GXB2475" s="61"/>
      <c r="GXC2475" s="54"/>
      <c r="GXD2475" s="54"/>
      <c r="GXE2475" s="60"/>
      <c r="GXF2475" s="60"/>
      <c r="GXG2475" s="60"/>
      <c r="GXH2475" s="60"/>
      <c r="GXI2475" s="63"/>
      <c r="GXJ2475" s="61"/>
      <c r="GXK2475" s="54"/>
      <c r="GXL2475" s="54"/>
      <c r="GXM2475" s="60"/>
      <c r="GXN2475" s="60"/>
      <c r="GXO2475" s="60"/>
      <c r="GXP2475" s="60"/>
      <c r="GXQ2475" s="63"/>
      <c r="GXR2475" s="61"/>
      <c r="GXS2475" s="54"/>
      <c r="GXT2475" s="54"/>
      <c r="GXU2475" s="60"/>
      <c r="GXV2475" s="60"/>
      <c r="GXW2475" s="60"/>
      <c r="GXX2475" s="60"/>
      <c r="GXY2475" s="63"/>
      <c r="GXZ2475" s="61"/>
      <c r="GYA2475" s="54"/>
      <c r="GYB2475" s="54"/>
      <c r="GYC2475" s="60"/>
      <c r="GYD2475" s="60"/>
      <c r="GYE2475" s="60"/>
      <c r="GYF2475" s="60"/>
      <c r="GYG2475" s="63"/>
      <c r="GYH2475" s="61"/>
      <c r="GYI2475" s="54"/>
      <c r="GYJ2475" s="54"/>
      <c r="GYK2475" s="60"/>
      <c r="GYL2475" s="60"/>
      <c r="GYM2475" s="60"/>
      <c r="GYN2475" s="60"/>
      <c r="GYO2475" s="63"/>
      <c r="GYP2475" s="61"/>
      <c r="GYQ2475" s="54"/>
      <c r="GYR2475" s="54"/>
      <c r="GYS2475" s="60"/>
      <c r="GYT2475" s="60"/>
      <c r="GYU2475" s="60"/>
      <c r="GYV2475" s="60"/>
      <c r="GYW2475" s="63"/>
      <c r="GYX2475" s="61"/>
      <c r="GYY2475" s="54"/>
      <c r="GYZ2475" s="54"/>
      <c r="GZA2475" s="60"/>
      <c r="GZB2475" s="60"/>
      <c r="GZC2475" s="60"/>
      <c r="GZD2475" s="60"/>
      <c r="GZE2475" s="63"/>
      <c r="GZF2475" s="61"/>
      <c r="GZG2475" s="54"/>
      <c r="GZH2475" s="54"/>
      <c r="GZI2475" s="60"/>
      <c r="GZJ2475" s="60"/>
      <c r="GZK2475" s="60"/>
      <c r="GZL2475" s="60"/>
      <c r="GZM2475" s="63"/>
      <c r="GZN2475" s="61"/>
      <c r="GZO2475" s="54"/>
      <c r="GZP2475" s="54"/>
      <c r="GZQ2475" s="60"/>
      <c r="GZR2475" s="60"/>
      <c r="GZS2475" s="60"/>
      <c r="GZT2475" s="60"/>
      <c r="GZU2475" s="63"/>
      <c r="GZV2475" s="61"/>
      <c r="GZW2475" s="54"/>
      <c r="GZX2475" s="54"/>
      <c r="GZY2475" s="60"/>
      <c r="GZZ2475" s="60"/>
      <c r="HAA2475" s="60"/>
      <c r="HAB2475" s="60"/>
      <c r="HAC2475" s="63"/>
      <c r="HAD2475" s="61"/>
      <c r="HAE2475" s="54"/>
      <c r="HAF2475" s="54"/>
      <c r="HAG2475" s="60"/>
      <c r="HAH2475" s="60"/>
      <c r="HAI2475" s="60"/>
      <c r="HAJ2475" s="60"/>
      <c r="HAK2475" s="63"/>
      <c r="HAL2475" s="61"/>
      <c r="HAM2475" s="54"/>
      <c r="HAN2475" s="54"/>
      <c r="HAO2475" s="60"/>
      <c r="HAP2475" s="60"/>
      <c r="HAQ2475" s="60"/>
      <c r="HAR2475" s="60"/>
      <c r="HAS2475" s="63"/>
      <c r="HAT2475" s="61"/>
      <c r="HAU2475" s="54"/>
      <c r="HAV2475" s="54"/>
      <c r="HAW2475" s="60"/>
      <c r="HAX2475" s="60"/>
      <c r="HAY2475" s="60"/>
      <c r="HAZ2475" s="60"/>
      <c r="HBA2475" s="63"/>
      <c r="HBB2475" s="61"/>
      <c r="HBC2475" s="54"/>
      <c r="HBD2475" s="54"/>
      <c r="HBE2475" s="60"/>
      <c r="HBF2475" s="60"/>
      <c r="HBG2475" s="60"/>
      <c r="HBH2475" s="60"/>
      <c r="HBI2475" s="63"/>
      <c r="HBJ2475" s="61"/>
      <c r="HBK2475" s="54"/>
      <c r="HBL2475" s="54"/>
      <c r="HBM2475" s="60"/>
      <c r="HBN2475" s="60"/>
      <c r="HBO2475" s="60"/>
      <c r="HBP2475" s="60"/>
      <c r="HBQ2475" s="63"/>
      <c r="HBR2475" s="61"/>
      <c r="HBS2475" s="54"/>
      <c r="HBT2475" s="54"/>
      <c r="HBU2475" s="60"/>
      <c r="HBV2475" s="60"/>
      <c r="HBW2475" s="60"/>
      <c r="HBX2475" s="60"/>
      <c r="HBY2475" s="63"/>
      <c r="HBZ2475" s="61"/>
      <c r="HCA2475" s="54"/>
      <c r="HCB2475" s="54"/>
      <c r="HCC2475" s="60"/>
      <c r="HCD2475" s="60"/>
      <c r="HCE2475" s="60"/>
      <c r="HCF2475" s="60"/>
      <c r="HCG2475" s="63"/>
      <c r="HCH2475" s="61"/>
      <c r="HCI2475" s="54"/>
      <c r="HCJ2475" s="54"/>
      <c r="HCK2475" s="60"/>
      <c r="HCL2475" s="60"/>
      <c r="HCM2475" s="60"/>
      <c r="HCN2475" s="60"/>
      <c r="HCO2475" s="63"/>
      <c r="HCP2475" s="61"/>
      <c r="HCQ2475" s="54"/>
      <c r="HCR2475" s="54"/>
      <c r="HCS2475" s="60"/>
      <c r="HCT2475" s="60"/>
      <c r="HCU2475" s="60"/>
      <c r="HCV2475" s="60"/>
      <c r="HCW2475" s="63"/>
      <c r="HCX2475" s="61"/>
      <c r="HCY2475" s="54"/>
      <c r="HCZ2475" s="54"/>
      <c r="HDA2475" s="60"/>
      <c r="HDB2475" s="60"/>
      <c r="HDC2475" s="60"/>
      <c r="HDD2475" s="60"/>
      <c r="HDE2475" s="63"/>
      <c r="HDF2475" s="61"/>
      <c r="HDG2475" s="54"/>
      <c r="HDH2475" s="54"/>
      <c r="HDI2475" s="60"/>
      <c r="HDJ2475" s="60"/>
      <c r="HDK2475" s="60"/>
      <c r="HDL2475" s="60"/>
      <c r="HDM2475" s="63"/>
      <c r="HDN2475" s="61"/>
      <c r="HDO2475" s="54"/>
      <c r="HDP2475" s="54"/>
      <c r="HDQ2475" s="60"/>
      <c r="HDR2475" s="60"/>
      <c r="HDS2475" s="60"/>
      <c r="HDT2475" s="60"/>
      <c r="HDU2475" s="63"/>
      <c r="HDV2475" s="61"/>
      <c r="HDW2475" s="54"/>
      <c r="HDX2475" s="54"/>
      <c r="HDY2475" s="60"/>
      <c r="HDZ2475" s="60"/>
      <c r="HEA2475" s="60"/>
      <c r="HEB2475" s="60"/>
      <c r="HEC2475" s="63"/>
      <c r="HED2475" s="61"/>
      <c r="HEE2475" s="54"/>
      <c r="HEF2475" s="54"/>
      <c r="HEG2475" s="60"/>
      <c r="HEH2475" s="60"/>
      <c r="HEI2475" s="60"/>
      <c r="HEJ2475" s="60"/>
      <c r="HEK2475" s="63"/>
      <c r="HEL2475" s="61"/>
      <c r="HEM2475" s="54"/>
      <c r="HEN2475" s="54"/>
      <c r="HEO2475" s="60"/>
      <c r="HEP2475" s="60"/>
      <c r="HEQ2475" s="60"/>
      <c r="HER2475" s="60"/>
      <c r="HES2475" s="63"/>
      <c r="HET2475" s="61"/>
      <c r="HEU2475" s="54"/>
      <c r="HEV2475" s="54"/>
      <c r="HEW2475" s="60"/>
      <c r="HEX2475" s="60"/>
      <c r="HEY2475" s="60"/>
      <c r="HEZ2475" s="60"/>
      <c r="HFA2475" s="63"/>
      <c r="HFB2475" s="61"/>
      <c r="HFC2475" s="54"/>
      <c r="HFD2475" s="54"/>
      <c r="HFE2475" s="60"/>
      <c r="HFF2475" s="60"/>
      <c r="HFG2475" s="60"/>
      <c r="HFH2475" s="60"/>
      <c r="HFI2475" s="63"/>
      <c r="HFJ2475" s="61"/>
      <c r="HFK2475" s="54"/>
      <c r="HFL2475" s="54"/>
      <c r="HFM2475" s="60"/>
      <c r="HFN2475" s="60"/>
      <c r="HFO2475" s="60"/>
      <c r="HFP2475" s="60"/>
      <c r="HFQ2475" s="63"/>
      <c r="HFR2475" s="61"/>
      <c r="HFS2475" s="54"/>
      <c r="HFT2475" s="54"/>
      <c r="HFU2475" s="60"/>
      <c r="HFV2475" s="60"/>
      <c r="HFW2475" s="60"/>
      <c r="HFX2475" s="60"/>
      <c r="HFY2475" s="63"/>
      <c r="HFZ2475" s="61"/>
      <c r="HGA2475" s="54"/>
      <c r="HGB2475" s="54"/>
      <c r="HGC2475" s="60"/>
      <c r="HGD2475" s="60"/>
      <c r="HGE2475" s="60"/>
      <c r="HGF2475" s="60"/>
      <c r="HGG2475" s="63"/>
      <c r="HGH2475" s="61"/>
      <c r="HGI2475" s="54"/>
      <c r="HGJ2475" s="54"/>
      <c r="HGK2475" s="60"/>
      <c r="HGL2475" s="60"/>
      <c r="HGM2475" s="60"/>
      <c r="HGN2475" s="60"/>
      <c r="HGO2475" s="63"/>
      <c r="HGP2475" s="61"/>
      <c r="HGQ2475" s="54"/>
      <c r="HGR2475" s="54"/>
      <c r="HGS2475" s="60"/>
      <c r="HGT2475" s="60"/>
      <c r="HGU2475" s="60"/>
      <c r="HGV2475" s="60"/>
      <c r="HGW2475" s="63"/>
      <c r="HGX2475" s="61"/>
      <c r="HGY2475" s="54"/>
      <c r="HGZ2475" s="54"/>
      <c r="HHA2475" s="60"/>
      <c r="HHB2475" s="60"/>
      <c r="HHC2475" s="60"/>
      <c r="HHD2475" s="60"/>
      <c r="HHE2475" s="63"/>
      <c r="HHF2475" s="61"/>
      <c r="HHG2475" s="54"/>
      <c r="HHH2475" s="54"/>
      <c r="HHI2475" s="60"/>
      <c r="HHJ2475" s="60"/>
      <c r="HHK2475" s="60"/>
      <c r="HHL2475" s="60"/>
      <c r="HHM2475" s="63"/>
      <c r="HHN2475" s="61"/>
      <c r="HHO2475" s="54"/>
      <c r="HHP2475" s="54"/>
      <c r="HHQ2475" s="60"/>
      <c r="HHR2475" s="60"/>
      <c r="HHS2475" s="60"/>
      <c r="HHT2475" s="60"/>
      <c r="HHU2475" s="63"/>
      <c r="HHV2475" s="61"/>
      <c r="HHW2475" s="54"/>
      <c r="HHX2475" s="54"/>
      <c r="HHY2475" s="60"/>
      <c r="HHZ2475" s="60"/>
      <c r="HIA2475" s="60"/>
      <c r="HIB2475" s="60"/>
      <c r="HIC2475" s="63"/>
      <c r="HID2475" s="61"/>
      <c r="HIE2475" s="54"/>
      <c r="HIF2475" s="54"/>
      <c r="HIG2475" s="60"/>
      <c r="HIH2475" s="60"/>
      <c r="HII2475" s="60"/>
      <c r="HIJ2475" s="60"/>
      <c r="HIK2475" s="63"/>
      <c r="HIL2475" s="61"/>
      <c r="HIM2475" s="54"/>
      <c r="HIN2475" s="54"/>
      <c r="HIO2475" s="60"/>
      <c r="HIP2475" s="60"/>
      <c r="HIQ2475" s="60"/>
      <c r="HIR2475" s="60"/>
      <c r="HIS2475" s="63"/>
      <c r="HIT2475" s="61"/>
      <c r="HIU2475" s="54"/>
      <c r="HIV2475" s="54"/>
      <c r="HIW2475" s="60"/>
      <c r="HIX2475" s="60"/>
      <c r="HIY2475" s="60"/>
      <c r="HIZ2475" s="60"/>
      <c r="HJA2475" s="63"/>
      <c r="HJB2475" s="61"/>
      <c r="HJC2475" s="54"/>
      <c r="HJD2475" s="54"/>
      <c r="HJE2475" s="60"/>
      <c r="HJF2475" s="60"/>
      <c r="HJG2475" s="60"/>
      <c r="HJH2475" s="60"/>
      <c r="HJI2475" s="63"/>
      <c r="HJJ2475" s="61"/>
      <c r="HJK2475" s="54"/>
      <c r="HJL2475" s="54"/>
      <c r="HJM2475" s="60"/>
      <c r="HJN2475" s="60"/>
      <c r="HJO2475" s="60"/>
      <c r="HJP2475" s="60"/>
      <c r="HJQ2475" s="63"/>
      <c r="HJR2475" s="61"/>
      <c r="HJS2475" s="54"/>
      <c r="HJT2475" s="54"/>
      <c r="HJU2475" s="60"/>
      <c r="HJV2475" s="60"/>
      <c r="HJW2475" s="60"/>
      <c r="HJX2475" s="60"/>
      <c r="HJY2475" s="63"/>
      <c r="HJZ2475" s="61"/>
      <c r="HKA2475" s="54"/>
      <c r="HKB2475" s="54"/>
      <c r="HKC2475" s="60"/>
      <c r="HKD2475" s="60"/>
      <c r="HKE2475" s="60"/>
      <c r="HKF2475" s="60"/>
      <c r="HKG2475" s="63"/>
      <c r="HKH2475" s="61"/>
      <c r="HKI2475" s="54"/>
      <c r="HKJ2475" s="54"/>
      <c r="HKK2475" s="60"/>
      <c r="HKL2475" s="60"/>
      <c r="HKM2475" s="60"/>
      <c r="HKN2475" s="60"/>
      <c r="HKO2475" s="63"/>
      <c r="HKP2475" s="61"/>
      <c r="HKQ2475" s="54"/>
      <c r="HKR2475" s="54"/>
      <c r="HKS2475" s="60"/>
      <c r="HKT2475" s="60"/>
      <c r="HKU2475" s="60"/>
      <c r="HKV2475" s="60"/>
      <c r="HKW2475" s="63"/>
      <c r="HKX2475" s="61"/>
      <c r="HKY2475" s="54"/>
      <c r="HKZ2475" s="54"/>
      <c r="HLA2475" s="60"/>
      <c r="HLB2475" s="60"/>
      <c r="HLC2475" s="60"/>
      <c r="HLD2475" s="60"/>
      <c r="HLE2475" s="63"/>
      <c r="HLF2475" s="61"/>
      <c r="HLG2475" s="54"/>
      <c r="HLH2475" s="54"/>
      <c r="HLI2475" s="60"/>
      <c r="HLJ2475" s="60"/>
      <c r="HLK2475" s="60"/>
      <c r="HLL2475" s="60"/>
      <c r="HLM2475" s="63"/>
      <c r="HLN2475" s="61"/>
      <c r="HLO2475" s="54"/>
      <c r="HLP2475" s="54"/>
      <c r="HLQ2475" s="60"/>
      <c r="HLR2475" s="60"/>
      <c r="HLS2475" s="60"/>
      <c r="HLT2475" s="60"/>
      <c r="HLU2475" s="63"/>
      <c r="HLV2475" s="61"/>
      <c r="HLW2475" s="54"/>
      <c r="HLX2475" s="54"/>
      <c r="HLY2475" s="60"/>
      <c r="HLZ2475" s="60"/>
      <c r="HMA2475" s="60"/>
      <c r="HMB2475" s="60"/>
      <c r="HMC2475" s="63"/>
      <c r="HMD2475" s="61"/>
      <c r="HME2475" s="54"/>
      <c r="HMF2475" s="54"/>
      <c r="HMG2475" s="60"/>
      <c r="HMH2475" s="60"/>
      <c r="HMI2475" s="60"/>
      <c r="HMJ2475" s="60"/>
      <c r="HMK2475" s="63"/>
      <c r="HML2475" s="61"/>
      <c r="HMM2475" s="54"/>
      <c r="HMN2475" s="54"/>
      <c r="HMO2475" s="60"/>
      <c r="HMP2475" s="60"/>
      <c r="HMQ2475" s="60"/>
      <c r="HMR2475" s="60"/>
      <c r="HMS2475" s="63"/>
      <c r="HMT2475" s="61"/>
      <c r="HMU2475" s="54"/>
      <c r="HMV2475" s="54"/>
      <c r="HMW2475" s="60"/>
      <c r="HMX2475" s="60"/>
      <c r="HMY2475" s="60"/>
      <c r="HMZ2475" s="60"/>
      <c r="HNA2475" s="63"/>
      <c r="HNB2475" s="61"/>
      <c r="HNC2475" s="54"/>
      <c r="HND2475" s="54"/>
      <c r="HNE2475" s="60"/>
      <c r="HNF2475" s="60"/>
      <c r="HNG2475" s="60"/>
      <c r="HNH2475" s="60"/>
      <c r="HNI2475" s="63"/>
      <c r="HNJ2475" s="61"/>
      <c r="HNK2475" s="54"/>
      <c r="HNL2475" s="54"/>
      <c r="HNM2475" s="60"/>
      <c r="HNN2475" s="60"/>
      <c r="HNO2475" s="60"/>
      <c r="HNP2475" s="60"/>
      <c r="HNQ2475" s="63"/>
      <c r="HNR2475" s="61"/>
      <c r="HNS2475" s="54"/>
      <c r="HNT2475" s="54"/>
      <c r="HNU2475" s="60"/>
      <c r="HNV2475" s="60"/>
      <c r="HNW2475" s="60"/>
      <c r="HNX2475" s="60"/>
      <c r="HNY2475" s="63"/>
      <c r="HNZ2475" s="61"/>
      <c r="HOA2475" s="54"/>
      <c r="HOB2475" s="54"/>
      <c r="HOC2475" s="60"/>
      <c r="HOD2475" s="60"/>
      <c r="HOE2475" s="60"/>
      <c r="HOF2475" s="60"/>
      <c r="HOG2475" s="63"/>
      <c r="HOH2475" s="61"/>
      <c r="HOI2475" s="54"/>
      <c r="HOJ2475" s="54"/>
      <c r="HOK2475" s="60"/>
      <c r="HOL2475" s="60"/>
      <c r="HOM2475" s="60"/>
      <c r="HON2475" s="60"/>
      <c r="HOO2475" s="63"/>
      <c r="HOP2475" s="61"/>
      <c r="HOQ2475" s="54"/>
      <c r="HOR2475" s="54"/>
      <c r="HOS2475" s="60"/>
      <c r="HOT2475" s="60"/>
      <c r="HOU2475" s="60"/>
      <c r="HOV2475" s="60"/>
      <c r="HOW2475" s="63"/>
      <c r="HOX2475" s="61"/>
      <c r="HOY2475" s="54"/>
      <c r="HOZ2475" s="54"/>
      <c r="HPA2475" s="60"/>
      <c r="HPB2475" s="60"/>
      <c r="HPC2475" s="60"/>
      <c r="HPD2475" s="60"/>
      <c r="HPE2475" s="63"/>
      <c r="HPF2475" s="61"/>
      <c r="HPG2475" s="54"/>
      <c r="HPH2475" s="54"/>
      <c r="HPI2475" s="60"/>
      <c r="HPJ2475" s="60"/>
      <c r="HPK2475" s="60"/>
      <c r="HPL2475" s="60"/>
      <c r="HPM2475" s="63"/>
      <c r="HPN2475" s="61"/>
      <c r="HPO2475" s="54"/>
      <c r="HPP2475" s="54"/>
      <c r="HPQ2475" s="60"/>
      <c r="HPR2475" s="60"/>
      <c r="HPS2475" s="60"/>
      <c r="HPT2475" s="60"/>
      <c r="HPU2475" s="63"/>
      <c r="HPV2475" s="61"/>
      <c r="HPW2475" s="54"/>
      <c r="HPX2475" s="54"/>
      <c r="HPY2475" s="60"/>
      <c r="HPZ2475" s="60"/>
      <c r="HQA2475" s="60"/>
      <c r="HQB2475" s="60"/>
      <c r="HQC2475" s="63"/>
      <c r="HQD2475" s="61"/>
      <c r="HQE2475" s="54"/>
      <c r="HQF2475" s="54"/>
      <c r="HQG2475" s="60"/>
      <c r="HQH2475" s="60"/>
      <c r="HQI2475" s="60"/>
      <c r="HQJ2475" s="60"/>
      <c r="HQK2475" s="63"/>
      <c r="HQL2475" s="61"/>
      <c r="HQM2475" s="54"/>
      <c r="HQN2475" s="54"/>
      <c r="HQO2475" s="60"/>
      <c r="HQP2475" s="60"/>
      <c r="HQQ2475" s="60"/>
      <c r="HQR2475" s="60"/>
      <c r="HQS2475" s="63"/>
      <c r="HQT2475" s="61"/>
      <c r="HQU2475" s="54"/>
      <c r="HQV2475" s="54"/>
      <c r="HQW2475" s="60"/>
      <c r="HQX2475" s="60"/>
      <c r="HQY2475" s="60"/>
      <c r="HQZ2475" s="60"/>
      <c r="HRA2475" s="63"/>
      <c r="HRB2475" s="61"/>
      <c r="HRC2475" s="54"/>
      <c r="HRD2475" s="54"/>
      <c r="HRE2475" s="60"/>
      <c r="HRF2475" s="60"/>
      <c r="HRG2475" s="60"/>
      <c r="HRH2475" s="60"/>
      <c r="HRI2475" s="63"/>
      <c r="HRJ2475" s="61"/>
      <c r="HRK2475" s="54"/>
      <c r="HRL2475" s="54"/>
      <c r="HRM2475" s="60"/>
      <c r="HRN2475" s="60"/>
      <c r="HRO2475" s="60"/>
      <c r="HRP2475" s="60"/>
      <c r="HRQ2475" s="63"/>
      <c r="HRR2475" s="61"/>
      <c r="HRS2475" s="54"/>
      <c r="HRT2475" s="54"/>
      <c r="HRU2475" s="60"/>
      <c r="HRV2475" s="60"/>
      <c r="HRW2475" s="60"/>
      <c r="HRX2475" s="60"/>
      <c r="HRY2475" s="63"/>
      <c r="HRZ2475" s="61"/>
      <c r="HSA2475" s="54"/>
      <c r="HSB2475" s="54"/>
      <c r="HSC2475" s="60"/>
      <c r="HSD2475" s="60"/>
      <c r="HSE2475" s="60"/>
      <c r="HSF2475" s="60"/>
      <c r="HSG2475" s="63"/>
      <c r="HSH2475" s="61"/>
      <c r="HSI2475" s="54"/>
      <c r="HSJ2475" s="54"/>
      <c r="HSK2475" s="60"/>
      <c r="HSL2475" s="60"/>
      <c r="HSM2475" s="60"/>
      <c r="HSN2475" s="60"/>
      <c r="HSO2475" s="63"/>
      <c r="HSP2475" s="61"/>
      <c r="HSQ2475" s="54"/>
      <c r="HSR2475" s="54"/>
      <c r="HSS2475" s="60"/>
      <c r="HST2475" s="60"/>
      <c r="HSU2475" s="60"/>
      <c r="HSV2475" s="60"/>
      <c r="HSW2475" s="63"/>
      <c r="HSX2475" s="61"/>
      <c r="HSY2475" s="54"/>
      <c r="HSZ2475" s="54"/>
      <c r="HTA2475" s="60"/>
      <c r="HTB2475" s="60"/>
      <c r="HTC2475" s="60"/>
      <c r="HTD2475" s="60"/>
      <c r="HTE2475" s="63"/>
      <c r="HTF2475" s="61"/>
      <c r="HTG2475" s="54"/>
      <c r="HTH2475" s="54"/>
      <c r="HTI2475" s="60"/>
      <c r="HTJ2475" s="60"/>
      <c r="HTK2475" s="60"/>
      <c r="HTL2475" s="60"/>
      <c r="HTM2475" s="63"/>
      <c r="HTN2475" s="61"/>
      <c r="HTO2475" s="54"/>
      <c r="HTP2475" s="54"/>
      <c r="HTQ2475" s="60"/>
      <c r="HTR2475" s="60"/>
      <c r="HTS2475" s="60"/>
      <c r="HTT2475" s="60"/>
      <c r="HTU2475" s="63"/>
      <c r="HTV2475" s="61"/>
      <c r="HTW2475" s="54"/>
      <c r="HTX2475" s="54"/>
      <c r="HTY2475" s="60"/>
      <c r="HTZ2475" s="60"/>
      <c r="HUA2475" s="60"/>
      <c r="HUB2475" s="60"/>
      <c r="HUC2475" s="63"/>
      <c r="HUD2475" s="61"/>
      <c r="HUE2475" s="54"/>
      <c r="HUF2475" s="54"/>
      <c r="HUG2475" s="60"/>
      <c r="HUH2475" s="60"/>
      <c r="HUI2475" s="60"/>
      <c r="HUJ2475" s="60"/>
      <c r="HUK2475" s="63"/>
      <c r="HUL2475" s="61"/>
      <c r="HUM2475" s="54"/>
      <c r="HUN2475" s="54"/>
      <c r="HUO2475" s="60"/>
      <c r="HUP2475" s="60"/>
      <c r="HUQ2475" s="60"/>
      <c r="HUR2475" s="60"/>
      <c r="HUS2475" s="63"/>
      <c r="HUT2475" s="61"/>
      <c r="HUU2475" s="54"/>
      <c r="HUV2475" s="54"/>
      <c r="HUW2475" s="60"/>
      <c r="HUX2475" s="60"/>
      <c r="HUY2475" s="60"/>
      <c r="HUZ2475" s="60"/>
      <c r="HVA2475" s="63"/>
      <c r="HVB2475" s="61"/>
      <c r="HVC2475" s="54"/>
      <c r="HVD2475" s="54"/>
      <c r="HVE2475" s="60"/>
      <c r="HVF2475" s="60"/>
      <c r="HVG2475" s="60"/>
      <c r="HVH2475" s="60"/>
      <c r="HVI2475" s="63"/>
      <c r="HVJ2475" s="61"/>
      <c r="HVK2475" s="54"/>
      <c r="HVL2475" s="54"/>
      <c r="HVM2475" s="60"/>
      <c r="HVN2475" s="60"/>
      <c r="HVO2475" s="60"/>
      <c r="HVP2475" s="60"/>
      <c r="HVQ2475" s="63"/>
      <c r="HVR2475" s="61"/>
      <c r="HVS2475" s="54"/>
      <c r="HVT2475" s="54"/>
      <c r="HVU2475" s="60"/>
      <c r="HVV2475" s="60"/>
      <c r="HVW2475" s="60"/>
      <c r="HVX2475" s="60"/>
      <c r="HVY2475" s="63"/>
      <c r="HVZ2475" s="61"/>
      <c r="HWA2475" s="54"/>
      <c r="HWB2475" s="54"/>
      <c r="HWC2475" s="60"/>
      <c r="HWD2475" s="60"/>
      <c r="HWE2475" s="60"/>
      <c r="HWF2475" s="60"/>
      <c r="HWG2475" s="63"/>
      <c r="HWH2475" s="61"/>
      <c r="HWI2475" s="54"/>
      <c r="HWJ2475" s="54"/>
      <c r="HWK2475" s="60"/>
      <c r="HWL2475" s="60"/>
      <c r="HWM2475" s="60"/>
      <c r="HWN2475" s="60"/>
      <c r="HWO2475" s="63"/>
      <c r="HWP2475" s="61"/>
      <c r="HWQ2475" s="54"/>
      <c r="HWR2475" s="54"/>
      <c r="HWS2475" s="60"/>
      <c r="HWT2475" s="60"/>
      <c r="HWU2475" s="60"/>
      <c r="HWV2475" s="60"/>
      <c r="HWW2475" s="63"/>
      <c r="HWX2475" s="61"/>
      <c r="HWY2475" s="54"/>
      <c r="HWZ2475" s="54"/>
      <c r="HXA2475" s="60"/>
      <c r="HXB2475" s="60"/>
      <c r="HXC2475" s="60"/>
      <c r="HXD2475" s="60"/>
      <c r="HXE2475" s="63"/>
      <c r="HXF2475" s="61"/>
      <c r="HXG2475" s="54"/>
      <c r="HXH2475" s="54"/>
      <c r="HXI2475" s="60"/>
      <c r="HXJ2475" s="60"/>
      <c r="HXK2475" s="60"/>
      <c r="HXL2475" s="60"/>
      <c r="HXM2475" s="63"/>
      <c r="HXN2475" s="61"/>
      <c r="HXO2475" s="54"/>
      <c r="HXP2475" s="54"/>
      <c r="HXQ2475" s="60"/>
      <c r="HXR2475" s="60"/>
      <c r="HXS2475" s="60"/>
      <c r="HXT2475" s="60"/>
      <c r="HXU2475" s="63"/>
      <c r="HXV2475" s="61"/>
      <c r="HXW2475" s="54"/>
      <c r="HXX2475" s="54"/>
      <c r="HXY2475" s="60"/>
      <c r="HXZ2475" s="60"/>
      <c r="HYA2475" s="60"/>
      <c r="HYB2475" s="60"/>
      <c r="HYC2475" s="63"/>
      <c r="HYD2475" s="61"/>
      <c r="HYE2475" s="54"/>
      <c r="HYF2475" s="54"/>
      <c r="HYG2475" s="60"/>
      <c r="HYH2475" s="60"/>
      <c r="HYI2475" s="60"/>
      <c r="HYJ2475" s="60"/>
      <c r="HYK2475" s="63"/>
      <c r="HYL2475" s="61"/>
      <c r="HYM2475" s="54"/>
      <c r="HYN2475" s="54"/>
      <c r="HYO2475" s="60"/>
      <c r="HYP2475" s="60"/>
      <c r="HYQ2475" s="60"/>
      <c r="HYR2475" s="60"/>
      <c r="HYS2475" s="63"/>
      <c r="HYT2475" s="61"/>
      <c r="HYU2475" s="54"/>
      <c r="HYV2475" s="54"/>
      <c r="HYW2475" s="60"/>
      <c r="HYX2475" s="60"/>
      <c r="HYY2475" s="60"/>
      <c r="HYZ2475" s="60"/>
      <c r="HZA2475" s="63"/>
      <c r="HZB2475" s="61"/>
      <c r="HZC2475" s="54"/>
      <c r="HZD2475" s="54"/>
      <c r="HZE2475" s="60"/>
      <c r="HZF2475" s="60"/>
      <c r="HZG2475" s="60"/>
      <c r="HZH2475" s="60"/>
      <c r="HZI2475" s="63"/>
      <c r="HZJ2475" s="61"/>
      <c r="HZK2475" s="54"/>
      <c r="HZL2475" s="54"/>
      <c r="HZM2475" s="60"/>
      <c r="HZN2475" s="60"/>
      <c r="HZO2475" s="60"/>
      <c r="HZP2475" s="60"/>
      <c r="HZQ2475" s="63"/>
      <c r="HZR2475" s="61"/>
      <c r="HZS2475" s="54"/>
      <c r="HZT2475" s="54"/>
      <c r="HZU2475" s="60"/>
      <c r="HZV2475" s="60"/>
      <c r="HZW2475" s="60"/>
      <c r="HZX2475" s="60"/>
      <c r="HZY2475" s="63"/>
      <c r="HZZ2475" s="61"/>
      <c r="IAA2475" s="54"/>
      <c r="IAB2475" s="54"/>
      <c r="IAC2475" s="60"/>
      <c r="IAD2475" s="60"/>
      <c r="IAE2475" s="60"/>
      <c r="IAF2475" s="60"/>
      <c r="IAG2475" s="63"/>
      <c r="IAH2475" s="61"/>
      <c r="IAI2475" s="54"/>
      <c r="IAJ2475" s="54"/>
      <c r="IAK2475" s="60"/>
      <c r="IAL2475" s="60"/>
      <c r="IAM2475" s="60"/>
      <c r="IAN2475" s="60"/>
      <c r="IAO2475" s="63"/>
      <c r="IAP2475" s="61"/>
      <c r="IAQ2475" s="54"/>
      <c r="IAR2475" s="54"/>
      <c r="IAS2475" s="60"/>
      <c r="IAT2475" s="60"/>
      <c r="IAU2475" s="60"/>
      <c r="IAV2475" s="60"/>
      <c r="IAW2475" s="63"/>
      <c r="IAX2475" s="61"/>
      <c r="IAY2475" s="54"/>
      <c r="IAZ2475" s="54"/>
      <c r="IBA2475" s="60"/>
      <c r="IBB2475" s="60"/>
      <c r="IBC2475" s="60"/>
      <c r="IBD2475" s="60"/>
      <c r="IBE2475" s="63"/>
      <c r="IBF2475" s="61"/>
      <c r="IBG2475" s="54"/>
      <c r="IBH2475" s="54"/>
      <c r="IBI2475" s="60"/>
      <c r="IBJ2475" s="60"/>
      <c r="IBK2475" s="60"/>
      <c r="IBL2475" s="60"/>
      <c r="IBM2475" s="63"/>
      <c r="IBN2475" s="61"/>
      <c r="IBO2475" s="54"/>
      <c r="IBP2475" s="54"/>
      <c r="IBQ2475" s="60"/>
      <c r="IBR2475" s="60"/>
      <c r="IBS2475" s="60"/>
      <c r="IBT2475" s="60"/>
      <c r="IBU2475" s="63"/>
      <c r="IBV2475" s="61"/>
      <c r="IBW2475" s="54"/>
      <c r="IBX2475" s="54"/>
      <c r="IBY2475" s="60"/>
      <c r="IBZ2475" s="60"/>
      <c r="ICA2475" s="60"/>
      <c r="ICB2475" s="60"/>
      <c r="ICC2475" s="63"/>
      <c r="ICD2475" s="61"/>
      <c r="ICE2475" s="54"/>
      <c r="ICF2475" s="54"/>
      <c r="ICG2475" s="60"/>
      <c r="ICH2475" s="60"/>
      <c r="ICI2475" s="60"/>
      <c r="ICJ2475" s="60"/>
      <c r="ICK2475" s="63"/>
      <c r="ICL2475" s="61"/>
      <c r="ICM2475" s="54"/>
      <c r="ICN2475" s="54"/>
      <c r="ICO2475" s="60"/>
      <c r="ICP2475" s="60"/>
      <c r="ICQ2475" s="60"/>
      <c r="ICR2475" s="60"/>
      <c r="ICS2475" s="63"/>
      <c r="ICT2475" s="61"/>
      <c r="ICU2475" s="54"/>
      <c r="ICV2475" s="54"/>
      <c r="ICW2475" s="60"/>
      <c r="ICX2475" s="60"/>
      <c r="ICY2475" s="60"/>
      <c r="ICZ2475" s="60"/>
      <c r="IDA2475" s="63"/>
      <c r="IDB2475" s="61"/>
      <c r="IDC2475" s="54"/>
      <c r="IDD2475" s="54"/>
      <c r="IDE2475" s="60"/>
      <c r="IDF2475" s="60"/>
      <c r="IDG2475" s="60"/>
      <c r="IDH2475" s="60"/>
      <c r="IDI2475" s="63"/>
      <c r="IDJ2475" s="61"/>
      <c r="IDK2475" s="54"/>
      <c r="IDL2475" s="54"/>
      <c r="IDM2475" s="60"/>
      <c r="IDN2475" s="60"/>
      <c r="IDO2475" s="60"/>
      <c r="IDP2475" s="60"/>
      <c r="IDQ2475" s="63"/>
      <c r="IDR2475" s="61"/>
      <c r="IDS2475" s="54"/>
      <c r="IDT2475" s="54"/>
      <c r="IDU2475" s="60"/>
      <c r="IDV2475" s="60"/>
      <c r="IDW2475" s="60"/>
      <c r="IDX2475" s="60"/>
      <c r="IDY2475" s="63"/>
      <c r="IDZ2475" s="61"/>
      <c r="IEA2475" s="54"/>
      <c r="IEB2475" s="54"/>
      <c r="IEC2475" s="60"/>
      <c r="IED2475" s="60"/>
      <c r="IEE2475" s="60"/>
      <c r="IEF2475" s="60"/>
      <c r="IEG2475" s="63"/>
      <c r="IEH2475" s="61"/>
      <c r="IEI2475" s="54"/>
      <c r="IEJ2475" s="54"/>
      <c r="IEK2475" s="60"/>
      <c r="IEL2475" s="60"/>
      <c r="IEM2475" s="60"/>
      <c r="IEN2475" s="60"/>
      <c r="IEO2475" s="63"/>
      <c r="IEP2475" s="61"/>
      <c r="IEQ2475" s="54"/>
      <c r="IER2475" s="54"/>
      <c r="IES2475" s="60"/>
      <c r="IET2475" s="60"/>
      <c r="IEU2475" s="60"/>
      <c r="IEV2475" s="60"/>
      <c r="IEW2475" s="63"/>
      <c r="IEX2475" s="61"/>
      <c r="IEY2475" s="54"/>
      <c r="IEZ2475" s="54"/>
      <c r="IFA2475" s="60"/>
      <c r="IFB2475" s="60"/>
      <c r="IFC2475" s="60"/>
      <c r="IFD2475" s="60"/>
      <c r="IFE2475" s="63"/>
      <c r="IFF2475" s="61"/>
      <c r="IFG2475" s="54"/>
      <c r="IFH2475" s="54"/>
      <c r="IFI2475" s="60"/>
      <c r="IFJ2475" s="60"/>
      <c r="IFK2475" s="60"/>
      <c r="IFL2475" s="60"/>
      <c r="IFM2475" s="63"/>
      <c r="IFN2475" s="61"/>
      <c r="IFO2475" s="54"/>
      <c r="IFP2475" s="54"/>
      <c r="IFQ2475" s="60"/>
      <c r="IFR2475" s="60"/>
      <c r="IFS2475" s="60"/>
      <c r="IFT2475" s="60"/>
      <c r="IFU2475" s="63"/>
      <c r="IFV2475" s="61"/>
      <c r="IFW2475" s="54"/>
      <c r="IFX2475" s="54"/>
      <c r="IFY2475" s="60"/>
      <c r="IFZ2475" s="60"/>
      <c r="IGA2475" s="60"/>
      <c r="IGB2475" s="60"/>
      <c r="IGC2475" s="63"/>
      <c r="IGD2475" s="61"/>
      <c r="IGE2475" s="54"/>
      <c r="IGF2475" s="54"/>
      <c r="IGG2475" s="60"/>
      <c r="IGH2475" s="60"/>
      <c r="IGI2475" s="60"/>
      <c r="IGJ2475" s="60"/>
      <c r="IGK2475" s="63"/>
      <c r="IGL2475" s="61"/>
      <c r="IGM2475" s="54"/>
      <c r="IGN2475" s="54"/>
      <c r="IGO2475" s="60"/>
      <c r="IGP2475" s="60"/>
      <c r="IGQ2475" s="60"/>
      <c r="IGR2475" s="60"/>
      <c r="IGS2475" s="63"/>
      <c r="IGT2475" s="61"/>
      <c r="IGU2475" s="54"/>
      <c r="IGV2475" s="54"/>
      <c r="IGW2475" s="60"/>
      <c r="IGX2475" s="60"/>
      <c r="IGY2475" s="60"/>
      <c r="IGZ2475" s="60"/>
      <c r="IHA2475" s="63"/>
      <c r="IHB2475" s="61"/>
      <c r="IHC2475" s="54"/>
      <c r="IHD2475" s="54"/>
      <c r="IHE2475" s="60"/>
      <c r="IHF2475" s="60"/>
      <c r="IHG2475" s="60"/>
      <c r="IHH2475" s="60"/>
      <c r="IHI2475" s="63"/>
      <c r="IHJ2475" s="61"/>
      <c r="IHK2475" s="54"/>
      <c r="IHL2475" s="54"/>
      <c r="IHM2475" s="60"/>
      <c r="IHN2475" s="60"/>
      <c r="IHO2475" s="60"/>
      <c r="IHP2475" s="60"/>
      <c r="IHQ2475" s="63"/>
      <c r="IHR2475" s="61"/>
      <c r="IHS2475" s="54"/>
      <c r="IHT2475" s="54"/>
      <c r="IHU2475" s="60"/>
      <c r="IHV2475" s="60"/>
      <c r="IHW2475" s="60"/>
      <c r="IHX2475" s="60"/>
      <c r="IHY2475" s="63"/>
      <c r="IHZ2475" s="61"/>
      <c r="IIA2475" s="54"/>
      <c r="IIB2475" s="54"/>
      <c r="IIC2475" s="60"/>
      <c r="IID2475" s="60"/>
      <c r="IIE2475" s="60"/>
      <c r="IIF2475" s="60"/>
      <c r="IIG2475" s="63"/>
      <c r="IIH2475" s="61"/>
      <c r="III2475" s="54"/>
      <c r="IIJ2475" s="54"/>
      <c r="IIK2475" s="60"/>
      <c r="IIL2475" s="60"/>
      <c r="IIM2475" s="60"/>
      <c r="IIN2475" s="60"/>
      <c r="IIO2475" s="63"/>
      <c r="IIP2475" s="61"/>
      <c r="IIQ2475" s="54"/>
      <c r="IIR2475" s="54"/>
      <c r="IIS2475" s="60"/>
      <c r="IIT2475" s="60"/>
      <c r="IIU2475" s="60"/>
      <c r="IIV2475" s="60"/>
      <c r="IIW2475" s="63"/>
      <c r="IIX2475" s="61"/>
      <c r="IIY2475" s="54"/>
      <c r="IIZ2475" s="54"/>
      <c r="IJA2475" s="60"/>
      <c r="IJB2475" s="60"/>
      <c r="IJC2475" s="60"/>
      <c r="IJD2475" s="60"/>
      <c r="IJE2475" s="63"/>
      <c r="IJF2475" s="61"/>
      <c r="IJG2475" s="54"/>
      <c r="IJH2475" s="54"/>
      <c r="IJI2475" s="60"/>
      <c r="IJJ2475" s="60"/>
      <c r="IJK2475" s="60"/>
      <c r="IJL2475" s="60"/>
      <c r="IJM2475" s="63"/>
      <c r="IJN2475" s="61"/>
      <c r="IJO2475" s="54"/>
      <c r="IJP2475" s="54"/>
      <c r="IJQ2475" s="60"/>
      <c r="IJR2475" s="60"/>
      <c r="IJS2475" s="60"/>
      <c r="IJT2475" s="60"/>
      <c r="IJU2475" s="63"/>
      <c r="IJV2475" s="61"/>
      <c r="IJW2475" s="54"/>
      <c r="IJX2475" s="54"/>
      <c r="IJY2475" s="60"/>
      <c r="IJZ2475" s="60"/>
      <c r="IKA2475" s="60"/>
      <c r="IKB2475" s="60"/>
      <c r="IKC2475" s="63"/>
      <c r="IKD2475" s="61"/>
      <c r="IKE2475" s="54"/>
      <c r="IKF2475" s="54"/>
      <c r="IKG2475" s="60"/>
      <c r="IKH2475" s="60"/>
      <c r="IKI2475" s="60"/>
      <c r="IKJ2475" s="60"/>
      <c r="IKK2475" s="63"/>
      <c r="IKL2475" s="61"/>
      <c r="IKM2475" s="54"/>
      <c r="IKN2475" s="54"/>
      <c r="IKO2475" s="60"/>
      <c r="IKP2475" s="60"/>
      <c r="IKQ2475" s="60"/>
      <c r="IKR2475" s="60"/>
      <c r="IKS2475" s="63"/>
      <c r="IKT2475" s="61"/>
      <c r="IKU2475" s="54"/>
      <c r="IKV2475" s="54"/>
      <c r="IKW2475" s="60"/>
      <c r="IKX2475" s="60"/>
      <c r="IKY2475" s="60"/>
      <c r="IKZ2475" s="60"/>
      <c r="ILA2475" s="63"/>
      <c r="ILB2475" s="61"/>
      <c r="ILC2475" s="54"/>
      <c r="ILD2475" s="54"/>
      <c r="ILE2475" s="60"/>
      <c r="ILF2475" s="60"/>
      <c r="ILG2475" s="60"/>
      <c r="ILH2475" s="60"/>
      <c r="ILI2475" s="63"/>
      <c r="ILJ2475" s="61"/>
      <c r="ILK2475" s="54"/>
      <c r="ILL2475" s="54"/>
      <c r="ILM2475" s="60"/>
      <c r="ILN2475" s="60"/>
      <c r="ILO2475" s="60"/>
      <c r="ILP2475" s="60"/>
      <c r="ILQ2475" s="63"/>
      <c r="ILR2475" s="61"/>
      <c r="ILS2475" s="54"/>
      <c r="ILT2475" s="54"/>
      <c r="ILU2475" s="60"/>
      <c r="ILV2475" s="60"/>
      <c r="ILW2475" s="60"/>
      <c r="ILX2475" s="60"/>
      <c r="ILY2475" s="63"/>
      <c r="ILZ2475" s="61"/>
      <c r="IMA2475" s="54"/>
      <c r="IMB2475" s="54"/>
      <c r="IMC2475" s="60"/>
      <c r="IMD2475" s="60"/>
      <c r="IME2475" s="60"/>
      <c r="IMF2475" s="60"/>
      <c r="IMG2475" s="63"/>
      <c r="IMH2475" s="61"/>
      <c r="IMI2475" s="54"/>
      <c r="IMJ2475" s="54"/>
      <c r="IMK2475" s="60"/>
      <c r="IML2475" s="60"/>
      <c r="IMM2475" s="60"/>
      <c r="IMN2475" s="60"/>
      <c r="IMO2475" s="63"/>
      <c r="IMP2475" s="61"/>
      <c r="IMQ2475" s="54"/>
      <c r="IMR2475" s="54"/>
      <c r="IMS2475" s="60"/>
      <c r="IMT2475" s="60"/>
      <c r="IMU2475" s="60"/>
      <c r="IMV2475" s="60"/>
      <c r="IMW2475" s="63"/>
      <c r="IMX2475" s="61"/>
      <c r="IMY2475" s="54"/>
      <c r="IMZ2475" s="54"/>
      <c r="INA2475" s="60"/>
      <c r="INB2475" s="60"/>
      <c r="INC2475" s="60"/>
      <c r="IND2475" s="60"/>
      <c r="INE2475" s="63"/>
      <c r="INF2475" s="61"/>
      <c r="ING2475" s="54"/>
      <c r="INH2475" s="54"/>
      <c r="INI2475" s="60"/>
      <c r="INJ2475" s="60"/>
      <c r="INK2475" s="60"/>
      <c r="INL2475" s="60"/>
      <c r="INM2475" s="63"/>
      <c r="INN2475" s="61"/>
      <c r="INO2475" s="54"/>
      <c r="INP2475" s="54"/>
      <c r="INQ2475" s="60"/>
      <c r="INR2475" s="60"/>
      <c r="INS2475" s="60"/>
      <c r="INT2475" s="60"/>
      <c r="INU2475" s="63"/>
      <c r="INV2475" s="61"/>
      <c r="INW2475" s="54"/>
      <c r="INX2475" s="54"/>
      <c r="INY2475" s="60"/>
      <c r="INZ2475" s="60"/>
      <c r="IOA2475" s="60"/>
      <c r="IOB2475" s="60"/>
      <c r="IOC2475" s="63"/>
      <c r="IOD2475" s="61"/>
      <c r="IOE2475" s="54"/>
      <c r="IOF2475" s="54"/>
      <c r="IOG2475" s="60"/>
      <c r="IOH2475" s="60"/>
      <c r="IOI2475" s="60"/>
      <c r="IOJ2475" s="60"/>
      <c r="IOK2475" s="63"/>
      <c r="IOL2475" s="61"/>
      <c r="IOM2475" s="54"/>
      <c r="ION2475" s="54"/>
      <c r="IOO2475" s="60"/>
      <c r="IOP2475" s="60"/>
      <c r="IOQ2475" s="60"/>
      <c r="IOR2475" s="60"/>
      <c r="IOS2475" s="63"/>
      <c r="IOT2475" s="61"/>
      <c r="IOU2475" s="54"/>
      <c r="IOV2475" s="54"/>
      <c r="IOW2475" s="60"/>
      <c r="IOX2475" s="60"/>
      <c r="IOY2475" s="60"/>
      <c r="IOZ2475" s="60"/>
      <c r="IPA2475" s="63"/>
      <c r="IPB2475" s="61"/>
      <c r="IPC2475" s="54"/>
      <c r="IPD2475" s="54"/>
      <c r="IPE2475" s="60"/>
      <c r="IPF2475" s="60"/>
      <c r="IPG2475" s="60"/>
      <c r="IPH2475" s="60"/>
      <c r="IPI2475" s="63"/>
      <c r="IPJ2475" s="61"/>
      <c r="IPK2475" s="54"/>
      <c r="IPL2475" s="54"/>
      <c r="IPM2475" s="60"/>
      <c r="IPN2475" s="60"/>
      <c r="IPO2475" s="60"/>
      <c r="IPP2475" s="60"/>
      <c r="IPQ2475" s="63"/>
      <c r="IPR2475" s="61"/>
      <c r="IPS2475" s="54"/>
      <c r="IPT2475" s="54"/>
      <c r="IPU2475" s="60"/>
      <c r="IPV2475" s="60"/>
      <c r="IPW2475" s="60"/>
      <c r="IPX2475" s="60"/>
      <c r="IPY2475" s="63"/>
      <c r="IPZ2475" s="61"/>
      <c r="IQA2475" s="54"/>
      <c r="IQB2475" s="54"/>
      <c r="IQC2475" s="60"/>
      <c r="IQD2475" s="60"/>
      <c r="IQE2475" s="60"/>
      <c r="IQF2475" s="60"/>
      <c r="IQG2475" s="63"/>
      <c r="IQH2475" s="61"/>
      <c r="IQI2475" s="54"/>
      <c r="IQJ2475" s="54"/>
      <c r="IQK2475" s="60"/>
      <c r="IQL2475" s="60"/>
      <c r="IQM2475" s="60"/>
      <c r="IQN2475" s="60"/>
      <c r="IQO2475" s="63"/>
      <c r="IQP2475" s="61"/>
      <c r="IQQ2475" s="54"/>
      <c r="IQR2475" s="54"/>
      <c r="IQS2475" s="60"/>
      <c r="IQT2475" s="60"/>
      <c r="IQU2475" s="60"/>
      <c r="IQV2475" s="60"/>
      <c r="IQW2475" s="63"/>
      <c r="IQX2475" s="61"/>
      <c r="IQY2475" s="54"/>
      <c r="IQZ2475" s="54"/>
      <c r="IRA2475" s="60"/>
      <c r="IRB2475" s="60"/>
      <c r="IRC2475" s="60"/>
      <c r="IRD2475" s="60"/>
      <c r="IRE2475" s="63"/>
      <c r="IRF2475" s="61"/>
      <c r="IRG2475" s="54"/>
      <c r="IRH2475" s="54"/>
      <c r="IRI2475" s="60"/>
      <c r="IRJ2475" s="60"/>
      <c r="IRK2475" s="60"/>
      <c r="IRL2475" s="60"/>
      <c r="IRM2475" s="63"/>
      <c r="IRN2475" s="61"/>
      <c r="IRO2475" s="54"/>
      <c r="IRP2475" s="54"/>
      <c r="IRQ2475" s="60"/>
      <c r="IRR2475" s="60"/>
      <c r="IRS2475" s="60"/>
      <c r="IRT2475" s="60"/>
      <c r="IRU2475" s="63"/>
      <c r="IRV2475" s="61"/>
      <c r="IRW2475" s="54"/>
      <c r="IRX2475" s="54"/>
      <c r="IRY2475" s="60"/>
      <c r="IRZ2475" s="60"/>
      <c r="ISA2475" s="60"/>
      <c r="ISB2475" s="60"/>
      <c r="ISC2475" s="63"/>
      <c r="ISD2475" s="61"/>
      <c r="ISE2475" s="54"/>
      <c r="ISF2475" s="54"/>
      <c r="ISG2475" s="60"/>
      <c r="ISH2475" s="60"/>
      <c r="ISI2475" s="60"/>
      <c r="ISJ2475" s="60"/>
      <c r="ISK2475" s="63"/>
      <c r="ISL2475" s="61"/>
      <c r="ISM2475" s="54"/>
      <c r="ISN2475" s="54"/>
      <c r="ISO2475" s="60"/>
      <c r="ISP2475" s="60"/>
      <c r="ISQ2475" s="60"/>
      <c r="ISR2475" s="60"/>
      <c r="ISS2475" s="63"/>
      <c r="IST2475" s="61"/>
      <c r="ISU2475" s="54"/>
      <c r="ISV2475" s="54"/>
      <c r="ISW2475" s="60"/>
      <c r="ISX2475" s="60"/>
      <c r="ISY2475" s="60"/>
      <c r="ISZ2475" s="60"/>
      <c r="ITA2475" s="63"/>
      <c r="ITB2475" s="61"/>
      <c r="ITC2475" s="54"/>
      <c r="ITD2475" s="54"/>
      <c r="ITE2475" s="60"/>
      <c r="ITF2475" s="60"/>
      <c r="ITG2475" s="60"/>
      <c r="ITH2475" s="60"/>
      <c r="ITI2475" s="63"/>
      <c r="ITJ2475" s="61"/>
      <c r="ITK2475" s="54"/>
      <c r="ITL2475" s="54"/>
      <c r="ITM2475" s="60"/>
      <c r="ITN2475" s="60"/>
      <c r="ITO2475" s="60"/>
      <c r="ITP2475" s="60"/>
      <c r="ITQ2475" s="63"/>
      <c r="ITR2475" s="61"/>
      <c r="ITS2475" s="54"/>
      <c r="ITT2475" s="54"/>
      <c r="ITU2475" s="60"/>
      <c r="ITV2475" s="60"/>
      <c r="ITW2475" s="60"/>
      <c r="ITX2475" s="60"/>
      <c r="ITY2475" s="63"/>
      <c r="ITZ2475" s="61"/>
      <c r="IUA2475" s="54"/>
      <c r="IUB2475" s="54"/>
      <c r="IUC2475" s="60"/>
      <c r="IUD2475" s="60"/>
      <c r="IUE2475" s="60"/>
      <c r="IUF2475" s="60"/>
      <c r="IUG2475" s="63"/>
      <c r="IUH2475" s="61"/>
      <c r="IUI2475" s="54"/>
      <c r="IUJ2475" s="54"/>
      <c r="IUK2475" s="60"/>
      <c r="IUL2475" s="60"/>
      <c r="IUM2475" s="60"/>
      <c r="IUN2475" s="60"/>
      <c r="IUO2475" s="63"/>
      <c r="IUP2475" s="61"/>
      <c r="IUQ2475" s="54"/>
      <c r="IUR2475" s="54"/>
      <c r="IUS2475" s="60"/>
      <c r="IUT2475" s="60"/>
      <c r="IUU2475" s="60"/>
      <c r="IUV2475" s="60"/>
      <c r="IUW2475" s="63"/>
      <c r="IUX2475" s="61"/>
      <c r="IUY2475" s="54"/>
      <c r="IUZ2475" s="54"/>
      <c r="IVA2475" s="60"/>
      <c r="IVB2475" s="60"/>
      <c r="IVC2475" s="60"/>
      <c r="IVD2475" s="60"/>
      <c r="IVE2475" s="63"/>
      <c r="IVF2475" s="61"/>
      <c r="IVG2475" s="54"/>
      <c r="IVH2475" s="54"/>
      <c r="IVI2475" s="60"/>
      <c r="IVJ2475" s="60"/>
      <c r="IVK2475" s="60"/>
      <c r="IVL2475" s="60"/>
      <c r="IVM2475" s="63"/>
      <c r="IVN2475" s="61"/>
      <c r="IVO2475" s="54"/>
      <c r="IVP2475" s="54"/>
      <c r="IVQ2475" s="60"/>
      <c r="IVR2475" s="60"/>
      <c r="IVS2475" s="60"/>
      <c r="IVT2475" s="60"/>
      <c r="IVU2475" s="63"/>
      <c r="IVV2475" s="61"/>
      <c r="IVW2475" s="54"/>
      <c r="IVX2475" s="54"/>
      <c r="IVY2475" s="60"/>
      <c r="IVZ2475" s="60"/>
      <c r="IWA2475" s="60"/>
      <c r="IWB2475" s="60"/>
      <c r="IWC2475" s="63"/>
      <c r="IWD2475" s="61"/>
      <c r="IWE2475" s="54"/>
      <c r="IWF2475" s="54"/>
      <c r="IWG2475" s="60"/>
      <c r="IWH2475" s="60"/>
      <c r="IWI2475" s="60"/>
      <c r="IWJ2475" s="60"/>
      <c r="IWK2475" s="63"/>
      <c r="IWL2475" s="61"/>
      <c r="IWM2475" s="54"/>
      <c r="IWN2475" s="54"/>
      <c r="IWO2475" s="60"/>
      <c r="IWP2475" s="60"/>
      <c r="IWQ2475" s="60"/>
      <c r="IWR2475" s="60"/>
      <c r="IWS2475" s="63"/>
      <c r="IWT2475" s="61"/>
      <c r="IWU2475" s="54"/>
      <c r="IWV2475" s="54"/>
      <c r="IWW2475" s="60"/>
      <c r="IWX2475" s="60"/>
      <c r="IWY2475" s="60"/>
      <c r="IWZ2475" s="60"/>
      <c r="IXA2475" s="63"/>
      <c r="IXB2475" s="61"/>
      <c r="IXC2475" s="54"/>
      <c r="IXD2475" s="54"/>
      <c r="IXE2475" s="60"/>
      <c r="IXF2475" s="60"/>
      <c r="IXG2475" s="60"/>
      <c r="IXH2475" s="60"/>
      <c r="IXI2475" s="63"/>
      <c r="IXJ2475" s="61"/>
      <c r="IXK2475" s="54"/>
      <c r="IXL2475" s="54"/>
      <c r="IXM2475" s="60"/>
      <c r="IXN2475" s="60"/>
      <c r="IXO2475" s="60"/>
      <c r="IXP2475" s="60"/>
      <c r="IXQ2475" s="63"/>
      <c r="IXR2475" s="61"/>
      <c r="IXS2475" s="54"/>
      <c r="IXT2475" s="54"/>
      <c r="IXU2475" s="60"/>
      <c r="IXV2475" s="60"/>
      <c r="IXW2475" s="60"/>
      <c r="IXX2475" s="60"/>
      <c r="IXY2475" s="63"/>
      <c r="IXZ2475" s="61"/>
      <c r="IYA2475" s="54"/>
      <c r="IYB2475" s="54"/>
      <c r="IYC2475" s="60"/>
      <c r="IYD2475" s="60"/>
      <c r="IYE2475" s="60"/>
      <c r="IYF2475" s="60"/>
      <c r="IYG2475" s="63"/>
      <c r="IYH2475" s="61"/>
      <c r="IYI2475" s="54"/>
      <c r="IYJ2475" s="54"/>
      <c r="IYK2475" s="60"/>
      <c r="IYL2475" s="60"/>
      <c r="IYM2475" s="60"/>
      <c r="IYN2475" s="60"/>
      <c r="IYO2475" s="63"/>
      <c r="IYP2475" s="61"/>
      <c r="IYQ2475" s="54"/>
      <c r="IYR2475" s="54"/>
      <c r="IYS2475" s="60"/>
      <c r="IYT2475" s="60"/>
      <c r="IYU2475" s="60"/>
      <c r="IYV2475" s="60"/>
      <c r="IYW2475" s="63"/>
      <c r="IYX2475" s="61"/>
      <c r="IYY2475" s="54"/>
      <c r="IYZ2475" s="54"/>
      <c r="IZA2475" s="60"/>
      <c r="IZB2475" s="60"/>
      <c r="IZC2475" s="60"/>
      <c r="IZD2475" s="60"/>
      <c r="IZE2475" s="63"/>
      <c r="IZF2475" s="61"/>
      <c r="IZG2475" s="54"/>
      <c r="IZH2475" s="54"/>
      <c r="IZI2475" s="60"/>
      <c r="IZJ2475" s="60"/>
      <c r="IZK2475" s="60"/>
      <c r="IZL2475" s="60"/>
      <c r="IZM2475" s="63"/>
      <c r="IZN2475" s="61"/>
      <c r="IZO2475" s="54"/>
      <c r="IZP2475" s="54"/>
      <c r="IZQ2475" s="60"/>
      <c r="IZR2475" s="60"/>
      <c r="IZS2475" s="60"/>
      <c r="IZT2475" s="60"/>
      <c r="IZU2475" s="63"/>
      <c r="IZV2475" s="61"/>
      <c r="IZW2475" s="54"/>
      <c r="IZX2475" s="54"/>
      <c r="IZY2475" s="60"/>
      <c r="IZZ2475" s="60"/>
      <c r="JAA2475" s="60"/>
      <c r="JAB2475" s="60"/>
      <c r="JAC2475" s="63"/>
      <c r="JAD2475" s="61"/>
      <c r="JAE2475" s="54"/>
      <c r="JAF2475" s="54"/>
      <c r="JAG2475" s="60"/>
      <c r="JAH2475" s="60"/>
      <c r="JAI2475" s="60"/>
      <c r="JAJ2475" s="60"/>
      <c r="JAK2475" s="63"/>
      <c r="JAL2475" s="61"/>
      <c r="JAM2475" s="54"/>
      <c r="JAN2475" s="54"/>
      <c r="JAO2475" s="60"/>
      <c r="JAP2475" s="60"/>
      <c r="JAQ2475" s="60"/>
      <c r="JAR2475" s="60"/>
      <c r="JAS2475" s="63"/>
      <c r="JAT2475" s="61"/>
      <c r="JAU2475" s="54"/>
      <c r="JAV2475" s="54"/>
      <c r="JAW2475" s="60"/>
      <c r="JAX2475" s="60"/>
      <c r="JAY2475" s="60"/>
      <c r="JAZ2475" s="60"/>
      <c r="JBA2475" s="63"/>
      <c r="JBB2475" s="61"/>
      <c r="JBC2475" s="54"/>
      <c r="JBD2475" s="54"/>
      <c r="JBE2475" s="60"/>
      <c r="JBF2475" s="60"/>
      <c r="JBG2475" s="60"/>
      <c r="JBH2475" s="60"/>
      <c r="JBI2475" s="63"/>
      <c r="JBJ2475" s="61"/>
      <c r="JBK2475" s="54"/>
      <c r="JBL2475" s="54"/>
      <c r="JBM2475" s="60"/>
      <c r="JBN2475" s="60"/>
      <c r="JBO2475" s="60"/>
      <c r="JBP2475" s="60"/>
      <c r="JBQ2475" s="63"/>
      <c r="JBR2475" s="61"/>
      <c r="JBS2475" s="54"/>
      <c r="JBT2475" s="54"/>
      <c r="JBU2475" s="60"/>
      <c r="JBV2475" s="60"/>
      <c r="JBW2475" s="60"/>
      <c r="JBX2475" s="60"/>
      <c r="JBY2475" s="63"/>
      <c r="JBZ2475" s="61"/>
      <c r="JCA2475" s="54"/>
      <c r="JCB2475" s="54"/>
      <c r="JCC2475" s="60"/>
      <c r="JCD2475" s="60"/>
      <c r="JCE2475" s="60"/>
      <c r="JCF2475" s="60"/>
      <c r="JCG2475" s="63"/>
      <c r="JCH2475" s="61"/>
      <c r="JCI2475" s="54"/>
      <c r="JCJ2475" s="54"/>
      <c r="JCK2475" s="60"/>
      <c r="JCL2475" s="60"/>
      <c r="JCM2475" s="60"/>
      <c r="JCN2475" s="60"/>
      <c r="JCO2475" s="63"/>
      <c r="JCP2475" s="61"/>
      <c r="JCQ2475" s="54"/>
      <c r="JCR2475" s="54"/>
      <c r="JCS2475" s="60"/>
      <c r="JCT2475" s="60"/>
      <c r="JCU2475" s="60"/>
      <c r="JCV2475" s="60"/>
      <c r="JCW2475" s="63"/>
      <c r="JCX2475" s="61"/>
      <c r="JCY2475" s="54"/>
      <c r="JCZ2475" s="54"/>
      <c r="JDA2475" s="60"/>
      <c r="JDB2475" s="60"/>
      <c r="JDC2475" s="60"/>
      <c r="JDD2475" s="60"/>
      <c r="JDE2475" s="63"/>
      <c r="JDF2475" s="61"/>
      <c r="JDG2475" s="54"/>
      <c r="JDH2475" s="54"/>
      <c r="JDI2475" s="60"/>
      <c r="JDJ2475" s="60"/>
      <c r="JDK2475" s="60"/>
      <c r="JDL2475" s="60"/>
      <c r="JDM2475" s="63"/>
      <c r="JDN2475" s="61"/>
      <c r="JDO2475" s="54"/>
      <c r="JDP2475" s="54"/>
      <c r="JDQ2475" s="60"/>
      <c r="JDR2475" s="60"/>
      <c r="JDS2475" s="60"/>
      <c r="JDT2475" s="60"/>
      <c r="JDU2475" s="63"/>
      <c r="JDV2475" s="61"/>
      <c r="JDW2475" s="54"/>
      <c r="JDX2475" s="54"/>
      <c r="JDY2475" s="60"/>
      <c r="JDZ2475" s="60"/>
      <c r="JEA2475" s="60"/>
      <c r="JEB2475" s="60"/>
      <c r="JEC2475" s="63"/>
      <c r="JED2475" s="61"/>
      <c r="JEE2475" s="54"/>
      <c r="JEF2475" s="54"/>
      <c r="JEG2475" s="60"/>
      <c r="JEH2475" s="60"/>
      <c r="JEI2475" s="60"/>
      <c r="JEJ2475" s="60"/>
      <c r="JEK2475" s="63"/>
      <c r="JEL2475" s="61"/>
      <c r="JEM2475" s="54"/>
      <c r="JEN2475" s="54"/>
      <c r="JEO2475" s="60"/>
      <c r="JEP2475" s="60"/>
      <c r="JEQ2475" s="60"/>
      <c r="JER2475" s="60"/>
      <c r="JES2475" s="63"/>
      <c r="JET2475" s="61"/>
      <c r="JEU2475" s="54"/>
      <c r="JEV2475" s="54"/>
      <c r="JEW2475" s="60"/>
      <c r="JEX2475" s="60"/>
      <c r="JEY2475" s="60"/>
      <c r="JEZ2475" s="60"/>
      <c r="JFA2475" s="63"/>
      <c r="JFB2475" s="61"/>
      <c r="JFC2475" s="54"/>
      <c r="JFD2475" s="54"/>
      <c r="JFE2475" s="60"/>
      <c r="JFF2475" s="60"/>
      <c r="JFG2475" s="60"/>
      <c r="JFH2475" s="60"/>
      <c r="JFI2475" s="63"/>
      <c r="JFJ2475" s="61"/>
      <c r="JFK2475" s="54"/>
      <c r="JFL2475" s="54"/>
      <c r="JFM2475" s="60"/>
      <c r="JFN2475" s="60"/>
      <c r="JFO2475" s="60"/>
      <c r="JFP2475" s="60"/>
      <c r="JFQ2475" s="63"/>
      <c r="JFR2475" s="61"/>
      <c r="JFS2475" s="54"/>
      <c r="JFT2475" s="54"/>
      <c r="JFU2475" s="60"/>
      <c r="JFV2475" s="60"/>
      <c r="JFW2475" s="60"/>
      <c r="JFX2475" s="60"/>
      <c r="JFY2475" s="63"/>
      <c r="JFZ2475" s="61"/>
      <c r="JGA2475" s="54"/>
      <c r="JGB2475" s="54"/>
      <c r="JGC2475" s="60"/>
      <c r="JGD2475" s="60"/>
      <c r="JGE2475" s="60"/>
      <c r="JGF2475" s="60"/>
      <c r="JGG2475" s="63"/>
      <c r="JGH2475" s="61"/>
      <c r="JGI2475" s="54"/>
      <c r="JGJ2475" s="54"/>
      <c r="JGK2475" s="60"/>
      <c r="JGL2475" s="60"/>
      <c r="JGM2475" s="60"/>
      <c r="JGN2475" s="60"/>
      <c r="JGO2475" s="63"/>
      <c r="JGP2475" s="61"/>
      <c r="JGQ2475" s="54"/>
      <c r="JGR2475" s="54"/>
      <c r="JGS2475" s="60"/>
      <c r="JGT2475" s="60"/>
      <c r="JGU2475" s="60"/>
      <c r="JGV2475" s="60"/>
      <c r="JGW2475" s="63"/>
      <c r="JGX2475" s="61"/>
      <c r="JGY2475" s="54"/>
      <c r="JGZ2475" s="54"/>
      <c r="JHA2475" s="60"/>
      <c r="JHB2475" s="60"/>
      <c r="JHC2475" s="60"/>
      <c r="JHD2475" s="60"/>
      <c r="JHE2475" s="63"/>
      <c r="JHF2475" s="61"/>
      <c r="JHG2475" s="54"/>
      <c r="JHH2475" s="54"/>
      <c r="JHI2475" s="60"/>
      <c r="JHJ2475" s="60"/>
      <c r="JHK2475" s="60"/>
      <c r="JHL2475" s="60"/>
      <c r="JHM2475" s="63"/>
      <c r="JHN2475" s="61"/>
      <c r="JHO2475" s="54"/>
      <c r="JHP2475" s="54"/>
      <c r="JHQ2475" s="60"/>
      <c r="JHR2475" s="60"/>
      <c r="JHS2475" s="60"/>
      <c r="JHT2475" s="60"/>
      <c r="JHU2475" s="63"/>
      <c r="JHV2475" s="61"/>
      <c r="JHW2475" s="54"/>
      <c r="JHX2475" s="54"/>
      <c r="JHY2475" s="60"/>
      <c r="JHZ2475" s="60"/>
      <c r="JIA2475" s="60"/>
      <c r="JIB2475" s="60"/>
      <c r="JIC2475" s="63"/>
      <c r="JID2475" s="61"/>
      <c r="JIE2475" s="54"/>
      <c r="JIF2475" s="54"/>
      <c r="JIG2475" s="60"/>
      <c r="JIH2475" s="60"/>
      <c r="JII2475" s="60"/>
      <c r="JIJ2475" s="60"/>
      <c r="JIK2475" s="63"/>
      <c r="JIL2475" s="61"/>
      <c r="JIM2475" s="54"/>
      <c r="JIN2475" s="54"/>
      <c r="JIO2475" s="60"/>
      <c r="JIP2475" s="60"/>
      <c r="JIQ2475" s="60"/>
      <c r="JIR2475" s="60"/>
      <c r="JIS2475" s="63"/>
      <c r="JIT2475" s="61"/>
      <c r="JIU2475" s="54"/>
      <c r="JIV2475" s="54"/>
      <c r="JIW2475" s="60"/>
      <c r="JIX2475" s="60"/>
      <c r="JIY2475" s="60"/>
      <c r="JIZ2475" s="60"/>
      <c r="JJA2475" s="63"/>
      <c r="JJB2475" s="61"/>
      <c r="JJC2475" s="54"/>
      <c r="JJD2475" s="54"/>
      <c r="JJE2475" s="60"/>
      <c r="JJF2475" s="60"/>
      <c r="JJG2475" s="60"/>
      <c r="JJH2475" s="60"/>
      <c r="JJI2475" s="63"/>
      <c r="JJJ2475" s="61"/>
      <c r="JJK2475" s="54"/>
      <c r="JJL2475" s="54"/>
      <c r="JJM2475" s="60"/>
      <c r="JJN2475" s="60"/>
      <c r="JJO2475" s="60"/>
      <c r="JJP2475" s="60"/>
      <c r="JJQ2475" s="63"/>
      <c r="JJR2475" s="61"/>
      <c r="JJS2475" s="54"/>
      <c r="JJT2475" s="54"/>
      <c r="JJU2475" s="60"/>
      <c r="JJV2475" s="60"/>
      <c r="JJW2475" s="60"/>
      <c r="JJX2475" s="60"/>
      <c r="JJY2475" s="63"/>
      <c r="JJZ2475" s="61"/>
      <c r="JKA2475" s="54"/>
      <c r="JKB2475" s="54"/>
      <c r="JKC2475" s="60"/>
      <c r="JKD2475" s="60"/>
      <c r="JKE2475" s="60"/>
      <c r="JKF2475" s="60"/>
      <c r="JKG2475" s="63"/>
      <c r="JKH2475" s="61"/>
      <c r="JKI2475" s="54"/>
      <c r="JKJ2475" s="54"/>
      <c r="JKK2475" s="60"/>
      <c r="JKL2475" s="60"/>
      <c r="JKM2475" s="60"/>
      <c r="JKN2475" s="60"/>
      <c r="JKO2475" s="63"/>
      <c r="JKP2475" s="61"/>
      <c r="JKQ2475" s="54"/>
      <c r="JKR2475" s="54"/>
      <c r="JKS2475" s="60"/>
      <c r="JKT2475" s="60"/>
      <c r="JKU2475" s="60"/>
      <c r="JKV2475" s="60"/>
      <c r="JKW2475" s="63"/>
      <c r="JKX2475" s="61"/>
      <c r="JKY2475" s="54"/>
      <c r="JKZ2475" s="54"/>
      <c r="JLA2475" s="60"/>
      <c r="JLB2475" s="60"/>
      <c r="JLC2475" s="60"/>
      <c r="JLD2475" s="60"/>
      <c r="JLE2475" s="63"/>
      <c r="JLF2475" s="61"/>
      <c r="JLG2475" s="54"/>
      <c r="JLH2475" s="54"/>
      <c r="JLI2475" s="60"/>
      <c r="JLJ2475" s="60"/>
      <c r="JLK2475" s="60"/>
      <c r="JLL2475" s="60"/>
      <c r="JLM2475" s="63"/>
      <c r="JLN2475" s="61"/>
      <c r="JLO2475" s="54"/>
      <c r="JLP2475" s="54"/>
      <c r="JLQ2475" s="60"/>
      <c r="JLR2475" s="60"/>
      <c r="JLS2475" s="60"/>
      <c r="JLT2475" s="60"/>
      <c r="JLU2475" s="63"/>
      <c r="JLV2475" s="61"/>
      <c r="JLW2475" s="54"/>
      <c r="JLX2475" s="54"/>
      <c r="JLY2475" s="60"/>
      <c r="JLZ2475" s="60"/>
      <c r="JMA2475" s="60"/>
      <c r="JMB2475" s="60"/>
      <c r="JMC2475" s="63"/>
      <c r="JMD2475" s="61"/>
      <c r="JME2475" s="54"/>
      <c r="JMF2475" s="54"/>
      <c r="JMG2475" s="60"/>
      <c r="JMH2475" s="60"/>
      <c r="JMI2475" s="60"/>
      <c r="JMJ2475" s="60"/>
      <c r="JMK2475" s="63"/>
      <c r="JML2475" s="61"/>
      <c r="JMM2475" s="54"/>
      <c r="JMN2475" s="54"/>
      <c r="JMO2475" s="60"/>
      <c r="JMP2475" s="60"/>
      <c r="JMQ2475" s="60"/>
      <c r="JMR2475" s="60"/>
      <c r="JMS2475" s="63"/>
      <c r="JMT2475" s="61"/>
      <c r="JMU2475" s="54"/>
      <c r="JMV2475" s="54"/>
      <c r="JMW2475" s="60"/>
      <c r="JMX2475" s="60"/>
      <c r="JMY2475" s="60"/>
      <c r="JMZ2475" s="60"/>
      <c r="JNA2475" s="63"/>
      <c r="JNB2475" s="61"/>
      <c r="JNC2475" s="54"/>
      <c r="JND2475" s="54"/>
      <c r="JNE2475" s="60"/>
      <c r="JNF2475" s="60"/>
      <c r="JNG2475" s="60"/>
      <c r="JNH2475" s="60"/>
      <c r="JNI2475" s="63"/>
      <c r="JNJ2475" s="61"/>
      <c r="JNK2475" s="54"/>
      <c r="JNL2475" s="54"/>
      <c r="JNM2475" s="60"/>
      <c r="JNN2475" s="60"/>
      <c r="JNO2475" s="60"/>
      <c r="JNP2475" s="60"/>
      <c r="JNQ2475" s="63"/>
      <c r="JNR2475" s="61"/>
      <c r="JNS2475" s="54"/>
      <c r="JNT2475" s="54"/>
      <c r="JNU2475" s="60"/>
      <c r="JNV2475" s="60"/>
      <c r="JNW2475" s="60"/>
      <c r="JNX2475" s="60"/>
      <c r="JNY2475" s="63"/>
      <c r="JNZ2475" s="61"/>
      <c r="JOA2475" s="54"/>
      <c r="JOB2475" s="54"/>
      <c r="JOC2475" s="60"/>
      <c r="JOD2475" s="60"/>
      <c r="JOE2475" s="60"/>
      <c r="JOF2475" s="60"/>
      <c r="JOG2475" s="63"/>
      <c r="JOH2475" s="61"/>
      <c r="JOI2475" s="54"/>
      <c r="JOJ2475" s="54"/>
      <c r="JOK2475" s="60"/>
      <c r="JOL2475" s="60"/>
      <c r="JOM2475" s="60"/>
      <c r="JON2475" s="60"/>
      <c r="JOO2475" s="63"/>
      <c r="JOP2475" s="61"/>
      <c r="JOQ2475" s="54"/>
      <c r="JOR2475" s="54"/>
      <c r="JOS2475" s="60"/>
      <c r="JOT2475" s="60"/>
      <c r="JOU2475" s="60"/>
      <c r="JOV2475" s="60"/>
      <c r="JOW2475" s="63"/>
      <c r="JOX2475" s="61"/>
      <c r="JOY2475" s="54"/>
      <c r="JOZ2475" s="54"/>
      <c r="JPA2475" s="60"/>
      <c r="JPB2475" s="60"/>
      <c r="JPC2475" s="60"/>
      <c r="JPD2475" s="60"/>
      <c r="JPE2475" s="63"/>
      <c r="JPF2475" s="61"/>
      <c r="JPG2475" s="54"/>
      <c r="JPH2475" s="54"/>
      <c r="JPI2475" s="60"/>
      <c r="JPJ2475" s="60"/>
      <c r="JPK2475" s="60"/>
      <c r="JPL2475" s="60"/>
      <c r="JPM2475" s="63"/>
      <c r="JPN2475" s="61"/>
      <c r="JPO2475" s="54"/>
      <c r="JPP2475" s="54"/>
      <c r="JPQ2475" s="60"/>
      <c r="JPR2475" s="60"/>
      <c r="JPS2475" s="60"/>
      <c r="JPT2475" s="60"/>
      <c r="JPU2475" s="63"/>
      <c r="JPV2475" s="61"/>
      <c r="JPW2475" s="54"/>
      <c r="JPX2475" s="54"/>
      <c r="JPY2475" s="60"/>
      <c r="JPZ2475" s="60"/>
      <c r="JQA2475" s="60"/>
      <c r="JQB2475" s="60"/>
      <c r="JQC2475" s="63"/>
      <c r="JQD2475" s="61"/>
      <c r="JQE2475" s="54"/>
      <c r="JQF2475" s="54"/>
      <c r="JQG2475" s="60"/>
      <c r="JQH2475" s="60"/>
      <c r="JQI2475" s="60"/>
      <c r="JQJ2475" s="60"/>
      <c r="JQK2475" s="63"/>
      <c r="JQL2475" s="61"/>
      <c r="JQM2475" s="54"/>
      <c r="JQN2475" s="54"/>
      <c r="JQO2475" s="60"/>
      <c r="JQP2475" s="60"/>
      <c r="JQQ2475" s="60"/>
      <c r="JQR2475" s="60"/>
      <c r="JQS2475" s="63"/>
      <c r="JQT2475" s="61"/>
      <c r="JQU2475" s="54"/>
      <c r="JQV2475" s="54"/>
      <c r="JQW2475" s="60"/>
      <c r="JQX2475" s="60"/>
      <c r="JQY2475" s="60"/>
      <c r="JQZ2475" s="60"/>
      <c r="JRA2475" s="63"/>
      <c r="JRB2475" s="61"/>
      <c r="JRC2475" s="54"/>
      <c r="JRD2475" s="54"/>
      <c r="JRE2475" s="60"/>
      <c r="JRF2475" s="60"/>
      <c r="JRG2475" s="60"/>
      <c r="JRH2475" s="60"/>
      <c r="JRI2475" s="63"/>
      <c r="JRJ2475" s="61"/>
      <c r="JRK2475" s="54"/>
      <c r="JRL2475" s="54"/>
      <c r="JRM2475" s="60"/>
      <c r="JRN2475" s="60"/>
      <c r="JRO2475" s="60"/>
      <c r="JRP2475" s="60"/>
      <c r="JRQ2475" s="63"/>
      <c r="JRR2475" s="61"/>
      <c r="JRS2475" s="54"/>
      <c r="JRT2475" s="54"/>
      <c r="JRU2475" s="60"/>
      <c r="JRV2475" s="60"/>
      <c r="JRW2475" s="60"/>
      <c r="JRX2475" s="60"/>
      <c r="JRY2475" s="63"/>
      <c r="JRZ2475" s="61"/>
      <c r="JSA2475" s="54"/>
      <c r="JSB2475" s="54"/>
      <c r="JSC2475" s="60"/>
      <c r="JSD2475" s="60"/>
      <c r="JSE2475" s="60"/>
      <c r="JSF2475" s="60"/>
      <c r="JSG2475" s="63"/>
      <c r="JSH2475" s="61"/>
      <c r="JSI2475" s="54"/>
      <c r="JSJ2475" s="54"/>
      <c r="JSK2475" s="60"/>
      <c r="JSL2475" s="60"/>
      <c r="JSM2475" s="60"/>
      <c r="JSN2475" s="60"/>
      <c r="JSO2475" s="63"/>
      <c r="JSP2475" s="61"/>
      <c r="JSQ2475" s="54"/>
      <c r="JSR2475" s="54"/>
      <c r="JSS2475" s="60"/>
      <c r="JST2475" s="60"/>
      <c r="JSU2475" s="60"/>
      <c r="JSV2475" s="60"/>
      <c r="JSW2475" s="63"/>
      <c r="JSX2475" s="61"/>
      <c r="JSY2475" s="54"/>
      <c r="JSZ2475" s="54"/>
      <c r="JTA2475" s="60"/>
      <c r="JTB2475" s="60"/>
      <c r="JTC2475" s="60"/>
      <c r="JTD2475" s="60"/>
      <c r="JTE2475" s="63"/>
      <c r="JTF2475" s="61"/>
      <c r="JTG2475" s="54"/>
      <c r="JTH2475" s="54"/>
      <c r="JTI2475" s="60"/>
      <c r="JTJ2475" s="60"/>
      <c r="JTK2475" s="60"/>
      <c r="JTL2475" s="60"/>
      <c r="JTM2475" s="63"/>
      <c r="JTN2475" s="61"/>
      <c r="JTO2475" s="54"/>
      <c r="JTP2475" s="54"/>
      <c r="JTQ2475" s="60"/>
      <c r="JTR2475" s="60"/>
      <c r="JTS2475" s="60"/>
      <c r="JTT2475" s="60"/>
      <c r="JTU2475" s="63"/>
      <c r="JTV2475" s="61"/>
      <c r="JTW2475" s="54"/>
      <c r="JTX2475" s="54"/>
      <c r="JTY2475" s="60"/>
      <c r="JTZ2475" s="60"/>
      <c r="JUA2475" s="60"/>
      <c r="JUB2475" s="60"/>
      <c r="JUC2475" s="63"/>
      <c r="JUD2475" s="61"/>
      <c r="JUE2475" s="54"/>
      <c r="JUF2475" s="54"/>
      <c r="JUG2475" s="60"/>
      <c r="JUH2475" s="60"/>
      <c r="JUI2475" s="60"/>
      <c r="JUJ2475" s="60"/>
      <c r="JUK2475" s="63"/>
      <c r="JUL2475" s="61"/>
      <c r="JUM2475" s="54"/>
      <c r="JUN2475" s="54"/>
      <c r="JUO2475" s="60"/>
      <c r="JUP2475" s="60"/>
      <c r="JUQ2475" s="60"/>
      <c r="JUR2475" s="60"/>
      <c r="JUS2475" s="63"/>
      <c r="JUT2475" s="61"/>
      <c r="JUU2475" s="54"/>
      <c r="JUV2475" s="54"/>
      <c r="JUW2475" s="60"/>
      <c r="JUX2475" s="60"/>
      <c r="JUY2475" s="60"/>
      <c r="JUZ2475" s="60"/>
      <c r="JVA2475" s="63"/>
      <c r="JVB2475" s="61"/>
      <c r="JVC2475" s="54"/>
      <c r="JVD2475" s="54"/>
      <c r="JVE2475" s="60"/>
      <c r="JVF2475" s="60"/>
      <c r="JVG2475" s="60"/>
      <c r="JVH2475" s="60"/>
      <c r="JVI2475" s="63"/>
      <c r="JVJ2475" s="61"/>
      <c r="JVK2475" s="54"/>
      <c r="JVL2475" s="54"/>
      <c r="JVM2475" s="60"/>
      <c r="JVN2475" s="60"/>
      <c r="JVO2475" s="60"/>
      <c r="JVP2475" s="60"/>
      <c r="JVQ2475" s="63"/>
      <c r="JVR2475" s="61"/>
      <c r="JVS2475" s="54"/>
      <c r="JVT2475" s="54"/>
      <c r="JVU2475" s="60"/>
      <c r="JVV2475" s="60"/>
      <c r="JVW2475" s="60"/>
      <c r="JVX2475" s="60"/>
      <c r="JVY2475" s="63"/>
      <c r="JVZ2475" s="61"/>
      <c r="JWA2475" s="54"/>
      <c r="JWB2475" s="54"/>
      <c r="JWC2475" s="60"/>
      <c r="JWD2475" s="60"/>
      <c r="JWE2475" s="60"/>
      <c r="JWF2475" s="60"/>
      <c r="JWG2475" s="63"/>
      <c r="JWH2475" s="61"/>
      <c r="JWI2475" s="54"/>
      <c r="JWJ2475" s="54"/>
      <c r="JWK2475" s="60"/>
      <c r="JWL2475" s="60"/>
      <c r="JWM2475" s="60"/>
      <c r="JWN2475" s="60"/>
      <c r="JWO2475" s="63"/>
      <c r="JWP2475" s="61"/>
      <c r="JWQ2475" s="54"/>
      <c r="JWR2475" s="54"/>
      <c r="JWS2475" s="60"/>
      <c r="JWT2475" s="60"/>
      <c r="JWU2475" s="60"/>
      <c r="JWV2475" s="60"/>
      <c r="JWW2475" s="63"/>
      <c r="JWX2475" s="61"/>
      <c r="JWY2475" s="54"/>
      <c r="JWZ2475" s="54"/>
      <c r="JXA2475" s="60"/>
      <c r="JXB2475" s="60"/>
      <c r="JXC2475" s="60"/>
      <c r="JXD2475" s="60"/>
      <c r="JXE2475" s="63"/>
      <c r="JXF2475" s="61"/>
      <c r="JXG2475" s="54"/>
      <c r="JXH2475" s="54"/>
      <c r="JXI2475" s="60"/>
      <c r="JXJ2475" s="60"/>
      <c r="JXK2475" s="60"/>
      <c r="JXL2475" s="60"/>
      <c r="JXM2475" s="63"/>
      <c r="JXN2475" s="61"/>
      <c r="JXO2475" s="54"/>
      <c r="JXP2475" s="54"/>
      <c r="JXQ2475" s="60"/>
      <c r="JXR2475" s="60"/>
      <c r="JXS2475" s="60"/>
      <c r="JXT2475" s="60"/>
      <c r="JXU2475" s="63"/>
      <c r="JXV2475" s="61"/>
      <c r="JXW2475" s="54"/>
      <c r="JXX2475" s="54"/>
      <c r="JXY2475" s="60"/>
      <c r="JXZ2475" s="60"/>
      <c r="JYA2475" s="60"/>
      <c r="JYB2475" s="60"/>
      <c r="JYC2475" s="63"/>
      <c r="JYD2475" s="61"/>
      <c r="JYE2475" s="54"/>
      <c r="JYF2475" s="54"/>
      <c r="JYG2475" s="60"/>
      <c r="JYH2475" s="60"/>
      <c r="JYI2475" s="60"/>
      <c r="JYJ2475" s="60"/>
      <c r="JYK2475" s="63"/>
      <c r="JYL2475" s="61"/>
      <c r="JYM2475" s="54"/>
      <c r="JYN2475" s="54"/>
      <c r="JYO2475" s="60"/>
      <c r="JYP2475" s="60"/>
      <c r="JYQ2475" s="60"/>
      <c r="JYR2475" s="60"/>
      <c r="JYS2475" s="63"/>
      <c r="JYT2475" s="61"/>
      <c r="JYU2475" s="54"/>
      <c r="JYV2475" s="54"/>
      <c r="JYW2475" s="60"/>
      <c r="JYX2475" s="60"/>
      <c r="JYY2475" s="60"/>
      <c r="JYZ2475" s="60"/>
      <c r="JZA2475" s="63"/>
      <c r="JZB2475" s="61"/>
      <c r="JZC2475" s="54"/>
      <c r="JZD2475" s="54"/>
      <c r="JZE2475" s="60"/>
      <c r="JZF2475" s="60"/>
      <c r="JZG2475" s="60"/>
      <c r="JZH2475" s="60"/>
      <c r="JZI2475" s="63"/>
      <c r="JZJ2475" s="61"/>
      <c r="JZK2475" s="54"/>
      <c r="JZL2475" s="54"/>
      <c r="JZM2475" s="60"/>
      <c r="JZN2475" s="60"/>
      <c r="JZO2475" s="60"/>
      <c r="JZP2475" s="60"/>
      <c r="JZQ2475" s="63"/>
      <c r="JZR2475" s="61"/>
      <c r="JZS2475" s="54"/>
      <c r="JZT2475" s="54"/>
      <c r="JZU2475" s="60"/>
      <c r="JZV2475" s="60"/>
      <c r="JZW2475" s="60"/>
      <c r="JZX2475" s="60"/>
      <c r="JZY2475" s="63"/>
      <c r="JZZ2475" s="61"/>
      <c r="KAA2475" s="54"/>
      <c r="KAB2475" s="54"/>
      <c r="KAC2475" s="60"/>
      <c r="KAD2475" s="60"/>
      <c r="KAE2475" s="60"/>
      <c r="KAF2475" s="60"/>
      <c r="KAG2475" s="63"/>
      <c r="KAH2475" s="61"/>
      <c r="KAI2475" s="54"/>
      <c r="KAJ2475" s="54"/>
      <c r="KAK2475" s="60"/>
      <c r="KAL2475" s="60"/>
      <c r="KAM2475" s="60"/>
      <c r="KAN2475" s="60"/>
      <c r="KAO2475" s="63"/>
      <c r="KAP2475" s="61"/>
      <c r="KAQ2475" s="54"/>
      <c r="KAR2475" s="54"/>
      <c r="KAS2475" s="60"/>
      <c r="KAT2475" s="60"/>
      <c r="KAU2475" s="60"/>
      <c r="KAV2475" s="60"/>
      <c r="KAW2475" s="63"/>
      <c r="KAX2475" s="61"/>
      <c r="KAY2475" s="54"/>
      <c r="KAZ2475" s="54"/>
      <c r="KBA2475" s="60"/>
      <c r="KBB2475" s="60"/>
      <c r="KBC2475" s="60"/>
      <c r="KBD2475" s="60"/>
      <c r="KBE2475" s="63"/>
      <c r="KBF2475" s="61"/>
      <c r="KBG2475" s="54"/>
      <c r="KBH2475" s="54"/>
      <c r="KBI2475" s="60"/>
      <c r="KBJ2475" s="60"/>
      <c r="KBK2475" s="60"/>
      <c r="KBL2475" s="60"/>
      <c r="KBM2475" s="63"/>
      <c r="KBN2475" s="61"/>
      <c r="KBO2475" s="54"/>
      <c r="KBP2475" s="54"/>
      <c r="KBQ2475" s="60"/>
      <c r="KBR2475" s="60"/>
      <c r="KBS2475" s="60"/>
      <c r="KBT2475" s="60"/>
      <c r="KBU2475" s="63"/>
      <c r="KBV2475" s="61"/>
      <c r="KBW2475" s="54"/>
      <c r="KBX2475" s="54"/>
      <c r="KBY2475" s="60"/>
      <c r="KBZ2475" s="60"/>
      <c r="KCA2475" s="60"/>
      <c r="KCB2475" s="60"/>
      <c r="KCC2475" s="63"/>
      <c r="KCD2475" s="61"/>
      <c r="KCE2475" s="54"/>
      <c r="KCF2475" s="54"/>
      <c r="KCG2475" s="60"/>
      <c r="KCH2475" s="60"/>
      <c r="KCI2475" s="60"/>
      <c r="KCJ2475" s="60"/>
      <c r="KCK2475" s="63"/>
      <c r="KCL2475" s="61"/>
      <c r="KCM2475" s="54"/>
      <c r="KCN2475" s="54"/>
      <c r="KCO2475" s="60"/>
      <c r="KCP2475" s="60"/>
      <c r="KCQ2475" s="60"/>
      <c r="KCR2475" s="60"/>
      <c r="KCS2475" s="63"/>
      <c r="KCT2475" s="61"/>
      <c r="KCU2475" s="54"/>
      <c r="KCV2475" s="54"/>
      <c r="KCW2475" s="60"/>
      <c r="KCX2475" s="60"/>
      <c r="KCY2475" s="60"/>
      <c r="KCZ2475" s="60"/>
      <c r="KDA2475" s="63"/>
      <c r="KDB2475" s="61"/>
      <c r="KDC2475" s="54"/>
      <c r="KDD2475" s="54"/>
      <c r="KDE2475" s="60"/>
      <c r="KDF2475" s="60"/>
      <c r="KDG2475" s="60"/>
      <c r="KDH2475" s="60"/>
      <c r="KDI2475" s="63"/>
      <c r="KDJ2475" s="61"/>
      <c r="KDK2475" s="54"/>
      <c r="KDL2475" s="54"/>
      <c r="KDM2475" s="60"/>
      <c r="KDN2475" s="60"/>
      <c r="KDO2475" s="60"/>
      <c r="KDP2475" s="60"/>
      <c r="KDQ2475" s="63"/>
      <c r="KDR2475" s="61"/>
      <c r="KDS2475" s="54"/>
      <c r="KDT2475" s="54"/>
      <c r="KDU2475" s="60"/>
      <c r="KDV2475" s="60"/>
      <c r="KDW2475" s="60"/>
      <c r="KDX2475" s="60"/>
      <c r="KDY2475" s="63"/>
      <c r="KDZ2475" s="61"/>
      <c r="KEA2475" s="54"/>
      <c r="KEB2475" s="54"/>
      <c r="KEC2475" s="60"/>
      <c r="KED2475" s="60"/>
      <c r="KEE2475" s="60"/>
      <c r="KEF2475" s="60"/>
      <c r="KEG2475" s="63"/>
      <c r="KEH2475" s="61"/>
      <c r="KEI2475" s="54"/>
      <c r="KEJ2475" s="54"/>
      <c r="KEK2475" s="60"/>
      <c r="KEL2475" s="60"/>
      <c r="KEM2475" s="60"/>
      <c r="KEN2475" s="60"/>
      <c r="KEO2475" s="63"/>
      <c r="KEP2475" s="61"/>
      <c r="KEQ2475" s="54"/>
      <c r="KER2475" s="54"/>
      <c r="KES2475" s="60"/>
      <c r="KET2475" s="60"/>
      <c r="KEU2475" s="60"/>
      <c r="KEV2475" s="60"/>
      <c r="KEW2475" s="63"/>
      <c r="KEX2475" s="61"/>
      <c r="KEY2475" s="54"/>
      <c r="KEZ2475" s="54"/>
      <c r="KFA2475" s="60"/>
      <c r="KFB2475" s="60"/>
      <c r="KFC2475" s="60"/>
      <c r="KFD2475" s="60"/>
      <c r="KFE2475" s="63"/>
      <c r="KFF2475" s="61"/>
      <c r="KFG2475" s="54"/>
      <c r="KFH2475" s="54"/>
      <c r="KFI2475" s="60"/>
      <c r="KFJ2475" s="60"/>
      <c r="KFK2475" s="60"/>
      <c r="KFL2475" s="60"/>
      <c r="KFM2475" s="63"/>
      <c r="KFN2475" s="61"/>
      <c r="KFO2475" s="54"/>
      <c r="KFP2475" s="54"/>
      <c r="KFQ2475" s="60"/>
      <c r="KFR2475" s="60"/>
      <c r="KFS2475" s="60"/>
      <c r="KFT2475" s="60"/>
      <c r="KFU2475" s="63"/>
      <c r="KFV2475" s="61"/>
      <c r="KFW2475" s="54"/>
      <c r="KFX2475" s="54"/>
      <c r="KFY2475" s="60"/>
      <c r="KFZ2475" s="60"/>
      <c r="KGA2475" s="60"/>
      <c r="KGB2475" s="60"/>
      <c r="KGC2475" s="63"/>
      <c r="KGD2475" s="61"/>
      <c r="KGE2475" s="54"/>
      <c r="KGF2475" s="54"/>
      <c r="KGG2475" s="60"/>
      <c r="KGH2475" s="60"/>
      <c r="KGI2475" s="60"/>
      <c r="KGJ2475" s="60"/>
      <c r="KGK2475" s="63"/>
      <c r="KGL2475" s="61"/>
      <c r="KGM2475" s="54"/>
      <c r="KGN2475" s="54"/>
      <c r="KGO2475" s="60"/>
      <c r="KGP2475" s="60"/>
      <c r="KGQ2475" s="60"/>
      <c r="KGR2475" s="60"/>
      <c r="KGS2475" s="63"/>
      <c r="KGT2475" s="61"/>
      <c r="KGU2475" s="54"/>
      <c r="KGV2475" s="54"/>
      <c r="KGW2475" s="60"/>
      <c r="KGX2475" s="60"/>
      <c r="KGY2475" s="60"/>
      <c r="KGZ2475" s="60"/>
      <c r="KHA2475" s="63"/>
      <c r="KHB2475" s="61"/>
      <c r="KHC2475" s="54"/>
      <c r="KHD2475" s="54"/>
      <c r="KHE2475" s="60"/>
      <c r="KHF2475" s="60"/>
      <c r="KHG2475" s="60"/>
      <c r="KHH2475" s="60"/>
      <c r="KHI2475" s="63"/>
      <c r="KHJ2475" s="61"/>
      <c r="KHK2475" s="54"/>
      <c r="KHL2475" s="54"/>
      <c r="KHM2475" s="60"/>
      <c r="KHN2475" s="60"/>
      <c r="KHO2475" s="60"/>
      <c r="KHP2475" s="60"/>
      <c r="KHQ2475" s="63"/>
      <c r="KHR2475" s="61"/>
      <c r="KHS2475" s="54"/>
      <c r="KHT2475" s="54"/>
      <c r="KHU2475" s="60"/>
      <c r="KHV2475" s="60"/>
      <c r="KHW2475" s="60"/>
      <c r="KHX2475" s="60"/>
      <c r="KHY2475" s="63"/>
      <c r="KHZ2475" s="61"/>
      <c r="KIA2475" s="54"/>
      <c r="KIB2475" s="54"/>
      <c r="KIC2475" s="60"/>
      <c r="KID2475" s="60"/>
      <c r="KIE2475" s="60"/>
      <c r="KIF2475" s="60"/>
      <c r="KIG2475" s="63"/>
      <c r="KIH2475" s="61"/>
      <c r="KII2475" s="54"/>
      <c r="KIJ2475" s="54"/>
      <c r="KIK2475" s="60"/>
      <c r="KIL2475" s="60"/>
      <c r="KIM2475" s="60"/>
      <c r="KIN2475" s="60"/>
      <c r="KIO2475" s="63"/>
      <c r="KIP2475" s="61"/>
      <c r="KIQ2475" s="54"/>
      <c r="KIR2475" s="54"/>
      <c r="KIS2475" s="60"/>
      <c r="KIT2475" s="60"/>
      <c r="KIU2475" s="60"/>
      <c r="KIV2475" s="60"/>
      <c r="KIW2475" s="63"/>
      <c r="KIX2475" s="61"/>
      <c r="KIY2475" s="54"/>
      <c r="KIZ2475" s="54"/>
      <c r="KJA2475" s="60"/>
      <c r="KJB2475" s="60"/>
      <c r="KJC2475" s="60"/>
      <c r="KJD2475" s="60"/>
      <c r="KJE2475" s="63"/>
      <c r="KJF2475" s="61"/>
      <c r="KJG2475" s="54"/>
      <c r="KJH2475" s="54"/>
      <c r="KJI2475" s="60"/>
      <c r="KJJ2475" s="60"/>
      <c r="KJK2475" s="60"/>
      <c r="KJL2475" s="60"/>
      <c r="KJM2475" s="63"/>
      <c r="KJN2475" s="61"/>
      <c r="KJO2475" s="54"/>
      <c r="KJP2475" s="54"/>
      <c r="KJQ2475" s="60"/>
      <c r="KJR2475" s="60"/>
      <c r="KJS2475" s="60"/>
      <c r="KJT2475" s="60"/>
      <c r="KJU2475" s="63"/>
      <c r="KJV2475" s="61"/>
      <c r="KJW2475" s="54"/>
      <c r="KJX2475" s="54"/>
      <c r="KJY2475" s="60"/>
      <c r="KJZ2475" s="60"/>
      <c r="KKA2475" s="60"/>
      <c r="KKB2475" s="60"/>
      <c r="KKC2475" s="63"/>
      <c r="KKD2475" s="61"/>
      <c r="KKE2475" s="54"/>
      <c r="KKF2475" s="54"/>
      <c r="KKG2475" s="60"/>
      <c r="KKH2475" s="60"/>
      <c r="KKI2475" s="60"/>
      <c r="KKJ2475" s="60"/>
      <c r="KKK2475" s="63"/>
      <c r="KKL2475" s="61"/>
      <c r="KKM2475" s="54"/>
      <c r="KKN2475" s="54"/>
      <c r="KKO2475" s="60"/>
      <c r="KKP2475" s="60"/>
      <c r="KKQ2475" s="60"/>
      <c r="KKR2475" s="60"/>
      <c r="KKS2475" s="63"/>
      <c r="KKT2475" s="61"/>
      <c r="KKU2475" s="54"/>
      <c r="KKV2475" s="54"/>
      <c r="KKW2475" s="60"/>
      <c r="KKX2475" s="60"/>
      <c r="KKY2475" s="60"/>
      <c r="KKZ2475" s="60"/>
      <c r="KLA2475" s="63"/>
      <c r="KLB2475" s="61"/>
      <c r="KLC2475" s="54"/>
      <c r="KLD2475" s="54"/>
      <c r="KLE2475" s="60"/>
      <c r="KLF2475" s="60"/>
      <c r="KLG2475" s="60"/>
      <c r="KLH2475" s="60"/>
      <c r="KLI2475" s="63"/>
      <c r="KLJ2475" s="61"/>
      <c r="KLK2475" s="54"/>
      <c r="KLL2475" s="54"/>
      <c r="KLM2475" s="60"/>
      <c r="KLN2475" s="60"/>
      <c r="KLO2475" s="60"/>
      <c r="KLP2475" s="60"/>
      <c r="KLQ2475" s="63"/>
      <c r="KLR2475" s="61"/>
      <c r="KLS2475" s="54"/>
      <c r="KLT2475" s="54"/>
      <c r="KLU2475" s="60"/>
      <c r="KLV2475" s="60"/>
      <c r="KLW2475" s="60"/>
      <c r="KLX2475" s="60"/>
      <c r="KLY2475" s="63"/>
      <c r="KLZ2475" s="61"/>
      <c r="KMA2475" s="54"/>
      <c r="KMB2475" s="54"/>
      <c r="KMC2475" s="60"/>
      <c r="KMD2475" s="60"/>
      <c r="KME2475" s="60"/>
      <c r="KMF2475" s="60"/>
      <c r="KMG2475" s="63"/>
      <c r="KMH2475" s="61"/>
      <c r="KMI2475" s="54"/>
      <c r="KMJ2475" s="54"/>
      <c r="KMK2475" s="60"/>
      <c r="KML2475" s="60"/>
      <c r="KMM2475" s="60"/>
      <c r="KMN2475" s="60"/>
      <c r="KMO2475" s="63"/>
      <c r="KMP2475" s="61"/>
      <c r="KMQ2475" s="54"/>
      <c r="KMR2475" s="54"/>
      <c r="KMS2475" s="60"/>
      <c r="KMT2475" s="60"/>
      <c r="KMU2475" s="60"/>
      <c r="KMV2475" s="60"/>
      <c r="KMW2475" s="63"/>
      <c r="KMX2475" s="61"/>
      <c r="KMY2475" s="54"/>
      <c r="KMZ2475" s="54"/>
      <c r="KNA2475" s="60"/>
      <c r="KNB2475" s="60"/>
      <c r="KNC2475" s="60"/>
      <c r="KND2475" s="60"/>
      <c r="KNE2475" s="63"/>
      <c r="KNF2475" s="61"/>
      <c r="KNG2475" s="54"/>
      <c r="KNH2475" s="54"/>
      <c r="KNI2475" s="60"/>
      <c r="KNJ2475" s="60"/>
      <c r="KNK2475" s="60"/>
      <c r="KNL2475" s="60"/>
      <c r="KNM2475" s="63"/>
      <c r="KNN2475" s="61"/>
      <c r="KNO2475" s="54"/>
      <c r="KNP2475" s="54"/>
      <c r="KNQ2475" s="60"/>
      <c r="KNR2475" s="60"/>
      <c r="KNS2475" s="60"/>
      <c r="KNT2475" s="60"/>
      <c r="KNU2475" s="63"/>
      <c r="KNV2475" s="61"/>
      <c r="KNW2475" s="54"/>
      <c r="KNX2475" s="54"/>
      <c r="KNY2475" s="60"/>
      <c r="KNZ2475" s="60"/>
      <c r="KOA2475" s="60"/>
      <c r="KOB2475" s="60"/>
      <c r="KOC2475" s="63"/>
      <c r="KOD2475" s="61"/>
      <c r="KOE2475" s="54"/>
      <c r="KOF2475" s="54"/>
      <c r="KOG2475" s="60"/>
      <c r="KOH2475" s="60"/>
      <c r="KOI2475" s="60"/>
      <c r="KOJ2475" s="60"/>
      <c r="KOK2475" s="63"/>
      <c r="KOL2475" s="61"/>
      <c r="KOM2475" s="54"/>
      <c r="KON2475" s="54"/>
      <c r="KOO2475" s="60"/>
      <c r="KOP2475" s="60"/>
      <c r="KOQ2475" s="60"/>
      <c r="KOR2475" s="60"/>
      <c r="KOS2475" s="63"/>
      <c r="KOT2475" s="61"/>
      <c r="KOU2475" s="54"/>
      <c r="KOV2475" s="54"/>
      <c r="KOW2475" s="60"/>
      <c r="KOX2475" s="60"/>
      <c r="KOY2475" s="60"/>
      <c r="KOZ2475" s="60"/>
      <c r="KPA2475" s="63"/>
      <c r="KPB2475" s="61"/>
      <c r="KPC2475" s="54"/>
      <c r="KPD2475" s="54"/>
      <c r="KPE2475" s="60"/>
      <c r="KPF2475" s="60"/>
      <c r="KPG2475" s="60"/>
      <c r="KPH2475" s="60"/>
      <c r="KPI2475" s="63"/>
      <c r="KPJ2475" s="61"/>
      <c r="KPK2475" s="54"/>
      <c r="KPL2475" s="54"/>
      <c r="KPM2475" s="60"/>
      <c r="KPN2475" s="60"/>
      <c r="KPO2475" s="60"/>
      <c r="KPP2475" s="60"/>
      <c r="KPQ2475" s="63"/>
      <c r="KPR2475" s="61"/>
      <c r="KPS2475" s="54"/>
      <c r="KPT2475" s="54"/>
      <c r="KPU2475" s="60"/>
      <c r="KPV2475" s="60"/>
      <c r="KPW2475" s="60"/>
      <c r="KPX2475" s="60"/>
      <c r="KPY2475" s="63"/>
      <c r="KPZ2475" s="61"/>
      <c r="KQA2475" s="54"/>
      <c r="KQB2475" s="54"/>
      <c r="KQC2475" s="60"/>
      <c r="KQD2475" s="60"/>
      <c r="KQE2475" s="60"/>
      <c r="KQF2475" s="60"/>
      <c r="KQG2475" s="63"/>
      <c r="KQH2475" s="61"/>
      <c r="KQI2475" s="54"/>
      <c r="KQJ2475" s="54"/>
      <c r="KQK2475" s="60"/>
      <c r="KQL2475" s="60"/>
      <c r="KQM2475" s="60"/>
      <c r="KQN2475" s="60"/>
      <c r="KQO2475" s="63"/>
      <c r="KQP2475" s="61"/>
      <c r="KQQ2475" s="54"/>
      <c r="KQR2475" s="54"/>
      <c r="KQS2475" s="60"/>
      <c r="KQT2475" s="60"/>
      <c r="KQU2475" s="60"/>
      <c r="KQV2475" s="60"/>
      <c r="KQW2475" s="63"/>
      <c r="KQX2475" s="61"/>
      <c r="KQY2475" s="54"/>
      <c r="KQZ2475" s="54"/>
      <c r="KRA2475" s="60"/>
      <c r="KRB2475" s="60"/>
      <c r="KRC2475" s="60"/>
      <c r="KRD2475" s="60"/>
      <c r="KRE2475" s="63"/>
      <c r="KRF2475" s="61"/>
      <c r="KRG2475" s="54"/>
      <c r="KRH2475" s="54"/>
      <c r="KRI2475" s="60"/>
      <c r="KRJ2475" s="60"/>
      <c r="KRK2475" s="60"/>
      <c r="KRL2475" s="60"/>
      <c r="KRM2475" s="63"/>
      <c r="KRN2475" s="61"/>
      <c r="KRO2475" s="54"/>
      <c r="KRP2475" s="54"/>
      <c r="KRQ2475" s="60"/>
      <c r="KRR2475" s="60"/>
      <c r="KRS2475" s="60"/>
      <c r="KRT2475" s="60"/>
      <c r="KRU2475" s="63"/>
      <c r="KRV2475" s="61"/>
      <c r="KRW2475" s="54"/>
      <c r="KRX2475" s="54"/>
      <c r="KRY2475" s="60"/>
      <c r="KRZ2475" s="60"/>
      <c r="KSA2475" s="60"/>
      <c r="KSB2475" s="60"/>
      <c r="KSC2475" s="63"/>
      <c r="KSD2475" s="61"/>
      <c r="KSE2475" s="54"/>
      <c r="KSF2475" s="54"/>
      <c r="KSG2475" s="60"/>
      <c r="KSH2475" s="60"/>
      <c r="KSI2475" s="60"/>
      <c r="KSJ2475" s="60"/>
      <c r="KSK2475" s="63"/>
      <c r="KSL2475" s="61"/>
      <c r="KSM2475" s="54"/>
      <c r="KSN2475" s="54"/>
      <c r="KSO2475" s="60"/>
      <c r="KSP2475" s="60"/>
      <c r="KSQ2475" s="60"/>
      <c r="KSR2475" s="60"/>
      <c r="KSS2475" s="63"/>
      <c r="KST2475" s="61"/>
      <c r="KSU2475" s="54"/>
      <c r="KSV2475" s="54"/>
      <c r="KSW2475" s="60"/>
      <c r="KSX2475" s="60"/>
      <c r="KSY2475" s="60"/>
      <c r="KSZ2475" s="60"/>
      <c r="KTA2475" s="63"/>
      <c r="KTB2475" s="61"/>
      <c r="KTC2475" s="54"/>
      <c r="KTD2475" s="54"/>
      <c r="KTE2475" s="60"/>
      <c r="KTF2475" s="60"/>
      <c r="KTG2475" s="60"/>
      <c r="KTH2475" s="60"/>
      <c r="KTI2475" s="63"/>
      <c r="KTJ2475" s="61"/>
      <c r="KTK2475" s="54"/>
      <c r="KTL2475" s="54"/>
      <c r="KTM2475" s="60"/>
      <c r="KTN2475" s="60"/>
      <c r="KTO2475" s="60"/>
      <c r="KTP2475" s="60"/>
      <c r="KTQ2475" s="63"/>
      <c r="KTR2475" s="61"/>
      <c r="KTS2475" s="54"/>
      <c r="KTT2475" s="54"/>
      <c r="KTU2475" s="60"/>
      <c r="KTV2475" s="60"/>
      <c r="KTW2475" s="60"/>
      <c r="KTX2475" s="60"/>
      <c r="KTY2475" s="63"/>
      <c r="KTZ2475" s="61"/>
      <c r="KUA2475" s="54"/>
      <c r="KUB2475" s="54"/>
      <c r="KUC2475" s="60"/>
      <c r="KUD2475" s="60"/>
      <c r="KUE2475" s="60"/>
      <c r="KUF2475" s="60"/>
      <c r="KUG2475" s="63"/>
      <c r="KUH2475" s="61"/>
      <c r="KUI2475" s="54"/>
      <c r="KUJ2475" s="54"/>
      <c r="KUK2475" s="60"/>
      <c r="KUL2475" s="60"/>
      <c r="KUM2475" s="60"/>
      <c r="KUN2475" s="60"/>
      <c r="KUO2475" s="63"/>
      <c r="KUP2475" s="61"/>
      <c r="KUQ2475" s="54"/>
      <c r="KUR2475" s="54"/>
      <c r="KUS2475" s="60"/>
      <c r="KUT2475" s="60"/>
      <c r="KUU2475" s="60"/>
      <c r="KUV2475" s="60"/>
      <c r="KUW2475" s="63"/>
      <c r="KUX2475" s="61"/>
      <c r="KUY2475" s="54"/>
      <c r="KUZ2475" s="54"/>
      <c r="KVA2475" s="60"/>
      <c r="KVB2475" s="60"/>
      <c r="KVC2475" s="60"/>
      <c r="KVD2475" s="60"/>
      <c r="KVE2475" s="63"/>
      <c r="KVF2475" s="61"/>
      <c r="KVG2475" s="54"/>
      <c r="KVH2475" s="54"/>
      <c r="KVI2475" s="60"/>
      <c r="KVJ2475" s="60"/>
      <c r="KVK2475" s="60"/>
      <c r="KVL2475" s="60"/>
      <c r="KVM2475" s="63"/>
      <c r="KVN2475" s="61"/>
      <c r="KVO2475" s="54"/>
      <c r="KVP2475" s="54"/>
      <c r="KVQ2475" s="60"/>
      <c r="KVR2475" s="60"/>
      <c r="KVS2475" s="60"/>
      <c r="KVT2475" s="60"/>
      <c r="KVU2475" s="63"/>
      <c r="KVV2475" s="61"/>
      <c r="KVW2475" s="54"/>
      <c r="KVX2475" s="54"/>
      <c r="KVY2475" s="60"/>
      <c r="KVZ2475" s="60"/>
      <c r="KWA2475" s="60"/>
      <c r="KWB2475" s="60"/>
      <c r="KWC2475" s="63"/>
      <c r="KWD2475" s="61"/>
      <c r="KWE2475" s="54"/>
      <c r="KWF2475" s="54"/>
      <c r="KWG2475" s="60"/>
      <c r="KWH2475" s="60"/>
      <c r="KWI2475" s="60"/>
      <c r="KWJ2475" s="60"/>
      <c r="KWK2475" s="63"/>
      <c r="KWL2475" s="61"/>
      <c r="KWM2475" s="54"/>
      <c r="KWN2475" s="54"/>
      <c r="KWO2475" s="60"/>
      <c r="KWP2475" s="60"/>
      <c r="KWQ2475" s="60"/>
      <c r="KWR2475" s="60"/>
      <c r="KWS2475" s="63"/>
      <c r="KWT2475" s="61"/>
      <c r="KWU2475" s="54"/>
      <c r="KWV2475" s="54"/>
      <c r="KWW2475" s="60"/>
      <c r="KWX2475" s="60"/>
      <c r="KWY2475" s="60"/>
      <c r="KWZ2475" s="60"/>
      <c r="KXA2475" s="63"/>
      <c r="KXB2475" s="61"/>
      <c r="KXC2475" s="54"/>
      <c r="KXD2475" s="54"/>
      <c r="KXE2475" s="60"/>
      <c r="KXF2475" s="60"/>
      <c r="KXG2475" s="60"/>
      <c r="KXH2475" s="60"/>
      <c r="KXI2475" s="63"/>
      <c r="KXJ2475" s="61"/>
      <c r="KXK2475" s="54"/>
      <c r="KXL2475" s="54"/>
      <c r="KXM2475" s="60"/>
      <c r="KXN2475" s="60"/>
      <c r="KXO2475" s="60"/>
      <c r="KXP2475" s="60"/>
      <c r="KXQ2475" s="63"/>
      <c r="KXR2475" s="61"/>
      <c r="KXS2475" s="54"/>
      <c r="KXT2475" s="54"/>
      <c r="KXU2475" s="60"/>
      <c r="KXV2475" s="60"/>
      <c r="KXW2475" s="60"/>
      <c r="KXX2475" s="60"/>
      <c r="KXY2475" s="63"/>
      <c r="KXZ2475" s="61"/>
      <c r="KYA2475" s="54"/>
      <c r="KYB2475" s="54"/>
      <c r="KYC2475" s="60"/>
      <c r="KYD2475" s="60"/>
      <c r="KYE2475" s="60"/>
      <c r="KYF2475" s="60"/>
      <c r="KYG2475" s="63"/>
      <c r="KYH2475" s="61"/>
      <c r="KYI2475" s="54"/>
      <c r="KYJ2475" s="54"/>
      <c r="KYK2475" s="60"/>
      <c r="KYL2475" s="60"/>
      <c r="KYM2475" s="60"/>
      <c r="KYN2475" s="60"/>
      <c r="KYO2475" s="63"/>
      <c r="KYP2475" s="61"/>
      <c r="KYQ2475" s="54"/>
      <c r="KYR2475" s="54"/>
      <c r="KYS2475" s="60"/>
      <c r="KYT2475" s="60"/>
      <c r="KYU2475" s="60"/>
      <c r="KYV2475" s="60"/>
      <c r="KYW2475" s="63"/>
      <c r="KYX2475" s="61"/>
      <c r="KYY2475" s="54"/>
      <c r="KYZ2475" s="54"/>
      <c r="KZA2475" s="60"/>
      <c r="KZB2475" s="60"/>
      <c r="KZC2475" s="60"/>
      <c r="KZD2475" s="60"/>
      <c r="KZE2475" s="63"/>
      <c r="KZF2475" s="61"/>
      <c r="KZG2475" s="54"/>
      <c r="KZH2475" s="54"/>
      <c r="KZI2475" s="60"/>
      <c r="KZJ2475" s="60"/>
      <c r="KZK2475" s="60"/>
      <c r="KZL2475" s="60"/>
      <c r="KZM2475" s="63"/>
      <c r="KZN2475" s="61"/>
      <c r="KZO2475" s="54"/>
      <c r="KZP2475" s="54"/>
      <c r="KZQ2475" s="60"/>
      <c r="KZR2475" s="60"/>
      <c r="KZS2475" s="60"/>
      <c r="KZT2475" s="60"/>
      <c r="KZU2475" s="63"/>
      <c r="KZV2475" s="61"/>
      <c r="KZW2475" s="54"/>
      <c r="KZX2475" s="54"/>
      <c r="KZY2475" s="60"/>
      <c r="KZZ2475" s="60"/>
      <c r="LAA2475" s="60"/>
      <c r="LAB2475" s="60"/>
      <c r="LAC2475" s="63"/>
      <c r="LAD2475" s="61"/>
      <c r="LAE2475" s="54"/>
      <c r="LAF2475" s="54"/>
      <c r="LAG2475" s="60"/>
      <c r="LAH2475" s="60"/>
      <c r="LAI2475" s="60"/>
      <c r="LAJ2475" s="60"/>
      <c r="LAK2475" s="63"/>
      <c r="LAL2475" s="61"/>
      <c r="LAM2475" s="54"/>
      <c r="LAN2475" s="54"/>
      <c r="LAO2475" s="60"/>
      <c r="LAP2475" s="60"/>
      <c r="LAQ2475" s="60"/>
      <c r="LAR2475" s="60"/>
      <c r="LAS2475" s="63"/>
      <c r="LAT2475" s="61"/>
      <c r="LAU2475" s="54"/>
      <c r="LAV2475" s="54"/>
      <c r="LAW2475" s="60"/>
      <c r="LAX2475" s="60"/>
      <c r="LAY2475" s="60"/>
      <c r="LAZ2475" s="60"/>
      <c r="LBA2475" s="63"/>
      <c r="LBB2475" s="61"/>
      <c r="LBC2475" s="54"/>
      <c r="LBD2475" s="54"/>
      <c r="LBE2475" s="60"/>
      <c r="LBF2475" s="60"/>
      <c r="LBG2475" s="60"/>
      <c r="LBH2475" s="60"/>
      <c r="LBI2475" s="63"/>
      <c r="LBJ2475" s="61"/>
      <c r="LBK2475" s="54"/>
      <c r="LBL2475" s="54"/>
      <c r="LBM2475" s="60"/>
      <c r="LBN2475" s="60"/>
      <c r="LBO2475" s="60"/>
      <c r="LBP2475" s="60"/>
      <c r="LBQ2475" s="63"/>
      <c r="LBR2475" s="61"/>
      <c r="LBS2475" s="54"/>
      <c r="LBT2475" s="54"/>
      <c r="LBU2475" s="60"/>
      <c r="LBV2475" s="60"/>
      <c r="LBW2475" s="60"/>
      <c r="LBX2475" s="60"/>
      <c r="LBY2475" s="63"/>
      <c r="LBZ2475" s="61"/>
      <c r="LCA2475" s="54"/>
      <c r="LCB2475" s="54"/>
      <c r="LCC2475" s="60"/>
      <c r="LCD2475" s="60"/>
      <c r="LCE2475" s="60"/>
      <c r="LCF2475" s="60"/>
      <c r="LCG2475" s="63"/>
      <c r="LCH2475" s="61"/>
      <c r="LCI2475" s="54"/>
      <c r="LCJ2475" s="54"/>
      <c r="LCK2475" s="60"/>
      <c r="LCL2475" s="60"/>
      <c r="LCM2475" s="60"/>
      <c r="LCN2475" s="60"/>
      <c r="LCO2475" s="63"/>
      <c r="LCP2475" s="61"/>
      <c r="LCQ2475" s="54"/>
      <c r="LCR2475" s="54"/>
      <c r="LCS2475" s="60"/>
      <c r="LCT2475" s="60"/>
      <c r="LCU2475" s="60"/>
      <c r="LCV2475" s="60"/>
      <c r="LCW2475" s="63"/>
      <c r="LCX2475" s="61"/>
      <c r="LCY2475" s="54"/>
      <c r="LCZ2475" s="54"/>
      <c r="LDA2475" s="60"/>
      <c r="LDB2475" s="60"/>
      <c r="LDC2475" s="60"/>
      <c r="LDD2475" s="60"/>
      <c r="LDE2475" s="63"/>
      <c r="LDF2475" s="61"/>
      <c r="LDG2475" s="54"/>
      <c r="LDH2475" s="54"/>
      <c r="LDI2475" s="60"/>
      <c r="LDJ2475" s="60"/>
      <c r="LDK2475" s="60"/>
      <c r="LDL2475" s="60"/>
      <c r="LDM2475" s="63"/>
      <c r="LDN2475" s="61"/>
      <c r="LDO2475" s="54"/>
      <c r="LDP2475" s="54"/>
      <c r="LDQ2475" s="60"/>
      <c r="LDR2475" s="60"/>
      <c r="LDS2475" s="60"/>
      <c r="LDT2475" s="60"/>
      <c r="LDU2475" s="63"/>
      <c r="LDV2475" s="61"/>
      <c r="LDW2475" s="54"/>
      <c r="LDX2475" s="54"/>
      <c r="LDY2475" s="60"/>
      <c r="LDZ2475" s="60"/>
      <c r="LEA2475" s="60"/>
      <c r="LEB2475" s="60"/>
      <c r="LEC2475" s="63"/>
      <c r="LED2475" s="61"/>
      <c r="LEE2475" s="54"/>
      <c r="LEF2475" s="54"/>
      <c r="LEG2475" s="60"/>
      <c r="LEH2475" s="60"/>
      <c r="LEI2475" s="60"/>
      <c r="LEJ2475" s="60"/>
      <c r="LEK2475" s="63"/>
      <c r="LEL2475" s="61"/>
      <c r="LEM2475" s="54"/>
      <c r="LEN2475" s="54"/>
      <c r="LEO2475" s="60"/>
      <c r="LEP2475" s="60"/>
      <c r="LEQ2475" s="60"/>
      <c r="LER2475" s="60"/>
      <c r="LES2475" s="63"/>
      <c r="LET2475" s="61"/>
      <c r="LEU2475" s="54"/>
      <c r="LEV2475" s="54"/>
      <c r="LEW2475" s="60"/>
      <c r="LEX2475" s="60"/>
      <c r="LEY2475" s="60"/>
      <c r="LEZ2475" s="60"/>
      <c r="LFA2475" s="63"/>
      <c r="LFB2475" s="61"/>
      <c r="LFC2475" s="54"/>
      <c r="LFD2475" s="54"/>
      <c r="LFE2475" s="60"/>
      <c r="LFF2475" s="60"/>
      <c r="LFG2475" s="60"/>
      <c r="LFH2475" s="60"/>
      <c r="LFI2475" s="63"/>
      <c r="LFJ2475" s="61"/>
      <c r="LFK2475" s="54"/>
      <c r="LFL2475" s="54"/>
      <c r="LFM2475" s="60"/>
      <c r="LFN2475" s="60"/>
      <c r="LFO2475" s="60"/>
      <c r="LFP2475" s="60"/>
      <c r="LFQ2475" s="63"/>
      <c r="LFR2475" s="61"/>
      <c r="LFS2475" s="54"/>
      <c r="LFT2475" s="54"/>
      <c r="LFU2475" s="60"/>
      <c r="LFV2475" s="60"/>
      <c r="LFW2475" s="60"/>
      <c r="LFX2475" s="60"/>
      <c r="LFY2475" s="63"/>
      <c r="LFZ2475" s="61"/>
      <c r="LGA2475" s="54"/>
      <c r="LGB2475" s="54"/>
      <c r="LGC2475" s="60"/>
      <c r="LGD2475" s="60"/>
      <c r="LGE2475" s="60"/>
      <c r="LGF2475" s="60"/>
      <c r="LGG2475" s="63"/>
      <c r="LGH2475" s="61"/>
      <c r="LGI2475" s="54"/>
      <c r="LGJ2475" s="54"/>
      <c r="LGK2475" s="60"/>
      <c r="LGL2475" s="60"/>
      <c r="LGM2475" s="60"/>
      <c r="LGN2475" s="60"/>
      <c r="LGO2475" s="63"/>
      <c r="LGP2475" s="61"/>
      <c r="LGQ2475" s="54"/>
      <c r="LGR2475" s="54"/>
      <c r="LGS2475" s="60"/>
      <c r="LGT2475" s="60"/>
      <c r="LGU2475" s="60"/>
      <c r="LGV2475" s="60"/>
      <c r="LGW2475" s="63"/>
      <c r="LGX2475" s="61"/>
      <c r="LGY2475" s="54"/>
      <c r="LGZ2475" s="54"/>
      <c r="LHA2475" s="60"/>
      <c r="LHB2475" s="60"/>
      <c r="LHC2475" s="60"/>
      <c r="LHD2475" s="60"/>
      <c r="LHE2475" s="63"/>
      <c r="LHF2475" s="61"/>
      <c r="LHG2475" s="54"/>
      <c r="LHH2475" s="54"/>
      <c r="LHI2475" s="60"/>
      <c r="LHJ2475" s="60"/>
      <c r="LHK2475" s="60"/>
      <c r="LHL2475" s="60"/>
      <c r="LHM2475" s="63"/>
      <c r="LHN2475" s="61"/>
      <c r="LHO2475" s="54"/>
      <c r="LHP2475" s="54"/>
      <c r="LHQ2475" s="60"/>
      <c r="LHR2475" s="60"/>
      <c r="LHS2475" s="60"/>
      <c r="LHT2475" s="60"/>
      <c r="LHU2475" s="63"/>
      <c r="LHV2475" s="61"/>
      <c r="LHW2475" s="54"/>
      <c r="LHX2475" s="54"/>
      <c r="LHY2475" s="60"/>
      <c r="LHZ2475" s="60"/>
      <c r="LIA2475" s="60"/>
      <c r="LIB2475" s="60"/>
      <c r="LIC2475" s="63"/>
      <c r="LID2475" s="61"/>
      <c r="LIE2475" s="54"/>
      <c r="LIF2475" s="54"/>
      <c r="LIG2475" s="60"/>
      <c r="LIH2475" s="60"/>
      <c r="LII2475" s="60"/>
      <c r="LIJ2475" s="60"/>
      <c r="LIK2475" s="63"/>
      <c r="LIL2475" s="61"/>
      <c r="LIM2475" s="54"/>
      <c r="LIN2475" s="54"/>
      <c r="LIO2475" s="60"/>
      <c r="LIP2475" s="60"/>
      <c r="LIQ2475" s="60"/>
      <c r="LIR2475" s="60"/>
      <c r="LIS2475" s="63"/>
      <c r="LIT2475" s="61"/>
      <c r="LIU2475" s="54"/>
      <c r="LIV2475" s="54"/>
      <c r="LIW2475" s="60"/>
      <c r="LIX2475" s="60"/>
      <c r="LIY2475" s="60"/>
      <c r="LIZ2475" s="60"/>
      <c r="LJA2475" s="63"/>
      <c r="LJB2475" s="61"/>
      <c r="LJC2475" s="54"/>
      <c r="LJD2475" s="54"/>
      <c r="LJE2475" s="60"/>
      <c r="LJF2475" s="60"/>
      <c r="LJG2475" s="60"/>
      <c r="LJH2475" s="60"/>
      <c r="LJI2475" s="63"/>
      <c r="LJJ2475" s="61"/>
      <c r="LJK2475" s="54"/>
      <c r="LJL2475" s="54"/>
      <c r="LJM2475" s="60"/>
      <c r="LJN2475" s="60"/>
      <c r="LJO2475" s="60"/>
      <c r="LJP2475" s="60"/>
      <c r="LJQ2475" s="63"/>
      <c r="LJR2475" s="61"/>
      <c r="LJS2475" s="54"/>
      <c r="LJT2475" s="54"/>
      <c r="LJU2475" s="60"/>
      <c r="LJV2475" s="60"/>
      <c r="LJW2475" s="60"/>
      <c r="LJX2475" s="60"/>
      <c r="LJY2475" s="63"/>
      <c r="LJZ2475" s="61"/>
      <c r="LKA2475" s="54"/>
      <c r="LKB2475" s="54"/>
      <c r="LKC2475" s="60"/>
      <c r="LKD2475" s="60"/>
      <c r="LKE2475" s="60"/>
      <c r="LKF2475" s="60"/>
      <c r="LKG2475" s="63"/>
      <c r="LKH2475" s="61"/>
      <c r="LKI2475" s="54"/>
      <c r="LKJ2475" s="54"/>
      <c r="LKK2475" s="60"/>
      <c r="LKL2475" s="60"/>
      <c r="LKM2475" s="60"/>
      <c r="LKN2475" s="60"/>
      <c r="LKO2475" s="63"/>
      <c r="LKP2475" s="61"/>
      <c r="LKQ2475" s="54"/>
      <c r="LKR2475" s="54"/>
      <c r="LKS2475" s="60"/>
      <c r="LKT2475" s="60"/>
      <c r="LKU2475" s="60"/>
      <c r="LKV2475" s="60"/>
      <c r="LKW2475" s="63"/>
      <c r="LKX2475" s="61"/>
      <c r="LKY2475" s="54"/>
      <c r="LKZ2475" s="54"/>
      <c r="LLA2475" s="60"/>
      <c r="LLB2475" s="60"/>
      <c r="LLC2475" s="60"/>
      <c r="LLD2475" s="60"/>
      <c r="LLE2475" s="63"/>
      <c r="LLF2475" s="61"/>
      <c r="LLG2475" s="54"/>
      <c r="LLH2475" s="54"/>
      <c r="LLI2475" s="60"/>
      <c r="LLJ2475" s="60"/>
      <c r="LLK2475" s="60"/>
      <c r="LLL2475" s="60"/>
      <c r="LLM2475" s="63"/>
      <c r="LLN2475" s="61"/>
      <c r="LLO2475" s="54"/>
      <c r="LLP2475" s="54"/>
      <c r="LLQ2475" s="60"/>
      <c r="LLR2475" s="60"/>
      <c r="LLS2475" s="60"/>
      <c r="LLT2475" s="60"/>
      <c r="LLU2475" s="63"/>
      <c r="LLV2475" s="61"/>
      <c r="LLW2475" s="54"/>
      <c r="LLX2475" s="54"/>
      <c r="LLY2475" s="60"/>
      <c r="LLZ2475" s="60"/>
      <c r="LMA2475" s="60"/>
      <c r="LMB2475" s="60"/>
      <c r="LMC2475" s="63"/>
      <c r="LMD2475" s="61"/>
      <c r="LME2475" s="54"/>
      <c r="LMF2475" s="54"/>
      <c r="LMG2475" s="60"/>
      <c r="LMH2475" s="60"/>
      <c r="LMI2475" s="60"/>
      <c r="LMJ2475" s="60"/>
      <c r="LMK2475" s="63"/>
      <c r="LML2475" s="61"/>
      <c r="LMM2475" s="54"/>
      <c r="LMN2475" s="54"/>
      <c r="LMO2475" s="60"/>
      <c r="LMP2475" s="60"/>
      <c r="LMQ2475" s="60"/>
      <c r="LMR2475" s="60"/>
      <c r="LMS2475" s="63"/>
      <c r="LMT2475" s="61"/>
      <c r="LMU2475" s="54"/>
      <c r="LMV2475" s="54"/>
      <c r="LMW2475" s="60"/>
      <c r="LMX2475" s="60"/>
      <c r="LMY2475" s="60"/>
      <c r="LMZ2475" s="60"/>
      <c r="LNA2475" s="63"/>
      <c r="LNB2475" s="61"/>
      <c r="LNC2475" s="54"/>
      <c r="LND2475" s="54"/>
      <c r="LNE2475" s="60"/>
      <c r="LNF2475" s="60"/>
      <c r="LNG2475" s="60"/>
      <c r="LNH2475" s="60"/>
      <c r="LNI2475" s="63"/>
      <c r="LNJ2475" s="61"/>
      <c r="LNK2475" s="54"/>
      <c r="LNL2475" s="54"/>
      <c r="LNM2475" s="60"/>
      <c r="LNN2475" s="60"/>
      <c r="LNO2475" s="60"/>
      <c r="LNP2475" s="60"/>
      <c r="LNQ2475" s="63"/>
      <c r="LNR2475" s="61"/>
      <c r="LNS2475" s="54"/>
      <c r="LNT2475" s="54"/>
      <c r="LNU2475" s="60"/>
      <c r="LNV2475" s="60"/>
      <c r="LNW2475" s="60"/>
      <c r="LNX2475" s="60"/>
      <c r="LNY2475" s="63"/>
      <c r="LNZ2475" s="61"/>
      <c r="LOA2475" s="54"/>
      <c r="LOB2475" s="54"/>
      <c r="LOC2475" s="60"/>
      <c r="LOD2475" s="60"/>
      <c r="LOE2475" s="60"/>
      <c r="LOF2475" s="60"/>
      <c r="LOG2475" s="63"/>
      <c r="LOH2475" s="61"/>
      <c r="LOI2475" s="54"/>
      <c r="LOJ2475" s="54"/>
      <c r="LOK2475" s="60"/>
      <c r="LOL2475" s="60"/>
      <c r="LOM2475" s="60"/>
      <c r="LON2475" s="60"/>
      <c r="LOO2475" s="63"/>
      <c r="LOP2475" s="61"/>
      <c r="LOQ2475" s="54"/>
      <c r="LOR2475" s="54"/>
      <c r="LOS2475" s="60"/>
      <c r="LOT2475" s="60"/>
      <c r="LOU2475" s="60"/>
      <c r="LOV2475" s="60"/>
      <c r="LOW2475" s="63"/>
      <c r="LOX2475" s="61"/>
      <c r="LOY2475" s="54"/>
      <c r="LOZ2475" s="54"/>
      <c r="LPA2475" s="60"/>
      <c r="LPB2475" s="60"/>
      <c r="LPC2475" s="60"/>
      <c r="LPD2475" s="60"/>
      <c r="LPE2475" s="63"/>
      <c r="LPF2475" s="61"/>
      <c r="LPG2475" s="54"/>
      <c r="LPH2475" s="54"/>
      <c r="LPI2475" s="60"/>
      <c r="LPJ2475" s="60"/>
      <c r="LPK2475" s="60"/>
      <c r="LPL2475" s="60"/>
      <c r="LPM2475" s="63"/>
      <c r="LPN2475" s="61"/>
      <c r="LPO2475" s="54"/>
      <c r="LPP2475" s="54"/>
      <c r="LPQ2475" s="60"/>
      <c r="LPR2475" s="60"/>
      <c r="LPS2475" s="60"/>
      <c r="LPT2475" s="60"/>
      <c r="LPU2475" s="63"/>
      <c r="LPV2475" s="61"/>
      <c r="LPW2475" s="54"/>
      <c r="LPX2475" s="54"/>
      <c r="LPY2475" s="60"/>
      <c r="LPZ2475" s="60"/>
      <c r="LQA2475" s="60"/>
      <c r="LQB2475" s="60"/>
      <c r="LQC2475" s="63"/>
      <c r="LQD2475" s="61"/>
      <c r="LQE2475" s="54"/>
      <c r="LQF2475" s="54"/>
      <c r="LQG2475" s="60"/>
      <c r="LQH2475" s="60"/>
      <c r="LQI2475" s="60"/>
      <c r="LQJ2475" s="60"/>
      <c r="LQK2475" s="63"/>
      <c r="LQL2475" s="61"/>
      <c r="LQM2475" s="54"/>
      <c r="LQN2475" s="54"/>
      <c r="LQO2475" s="60"/>
      <c r="LQP2475" s="60"/>
      <c r="LQQ2475" s="60"/>
      <c r="LQR2475" s="60"/>
      <c r="LQS2475" s="63"/>
      <c r="LQT2475" s="61"/>
      <c r="LQU2475" s="54"/>
      <c r="LQV2475" s="54"/>
      <c r="LQW2475" s="60"/>
      <c r="LQX2475" s="60"/>
      <c r="LQY2475" s="60"/>
      <c r="LQZ2475" s="60"/>
      <c r="LRA2475" s="63"/>
      <c r="LRB2475" s="61"/>
      <c r="LRC2475" s="54"/>
      <c r="LRD2475" s="54"/>
      <c r="LRE2475" s="60"/>
      <c r="LRF2475" s="60"/>
      <c r="LRG2475" s="60"/>
      <c r="LRH2475" s="60"/>
      <c r="LRI2475" s="63"/>
      <c r="LRJ2475" s="61"/>
      <c r="LRK2475" s="54"/>
      <c r="LRL2475" s="54"/>
      <c r="LRM2475" s="60"/>
      <c r="LRN2475" s="60"/>
      <c r="LRO2475" s="60"/>
      <c r="LRP2475" s="60"/>
      <c r="LRQ2475" s="63"/>
      <c r="LRR2475" s="61"/>
      <c r="LRS2475" s="54"/>
      <c r="LRT2475" s="54"/>
      <c r="LRU2475" s="60"/>
      <c r="LRV2475" s="60"/>
      <c r="LRW2475" s="60"/>
      <c r="LRX2475" s="60"/>
      <c r="LRY2475" s="63"/>
      <c r="LRZ2475" s="61"/>
      <c r="LSA2475" s="54"/>
      <c r="LSB2475" s="54"/>
      <c r="LSC2475" s="60"/>
      <c r="LSD2475" s="60"/>
      <c r="LSE2475" s="60"/>
      <c r="LSF2475" s="60"/>
      <c r="LSG2475" s="63"/>
      <c r="LSH2475" s="61"/>
      <c r="LSI2475" s="54"/>
      <c r="LSJ2475" s="54"/>
      <c r="LSK2475" s="60"/>
      <c r="LSL2475" s="60"/>
      <c r="LSM2475" s="60"/>
      <c r="LSN2475" s="60"/>
      <c r="LSO2475" s="63"/>
      <c r="LSP2475" s="61"/>
      <c r="LSQ2475" s="54"/>
      <c r="LSR2475" s="54"/>
      <c r="LSS2475" s="60"/>
      <c r="LST2475" s="60"/>
      <c r="LSU2475" s="60"/>
      <c r="LSV2475" s="60"/>
      <c r="LSW2475" s="63"/>
      <c r="LSX2475" s="61"/>
      <c r="LSY2475" s="54"/>
      <c r="LSZ2475" s="54"/>
      <c r="LTA2475" s="60"/>
      <c r="LTB2475" s="60"/>
      <c r="LTC2475" s="60"/>
      <c r="LTD2475" s="60"/>
      <c r="LTE2475" s="63"/>
      <c r="LTF2475" s="61"/>
      <c r="LTG2475" s="54"/>
      <c r="LTH2475" s="54"/>
      <c r="LTI2475" s="60"/>
      <c r="LTJ2475" s="60"/>
      <c r="LTK2475" s="60"/>
      <c r="LTL2475" s="60"/>
      <c r="LTM2475" s="63"/>
      <c r="LTN2475" s="61"/>
      <c r="LTO2475" s="54"/>
      <c r="LTP2475" s="54"/>
      <c r="LTQ2475" s="60"/>
      <c r="LTR2475" s="60"/>
      <c r="LTS2475" s="60"/>
      <c r="LTT2475" s="60"/>
      <c r="LTU2475" s="63"/>
      <c r="LTV2475" s="61"/>
      <c r="LTW2475" s="54"/>
      <c r="LTX2475" s="54"/>
      <c r="LTY2475" s="60"/>
      <c r="LTZ2475" s="60"/>
      <c r="LUA2475" s="60"/>
      <c r="LUB2475" s="60"/>
      <c r="LUC2475" s="63"/>
      <c r="LUD2475" s="61"/>
      <c r="LUE2475" s="54"/>
      <c r="LUF2475" s="54"/>
      <c r="LUG2475" s="60"/>
      <c r="LUH2475" s="60"/>
      <c r="LUI2475" s="60"/>
      <c r="LUJ2475" s="60"/>
      <c r="LUK2475" s="63"/>
      <c r="LUL2475" s="61"/>
      <c r="LUM2475" s="54"/>
      <c r="LUN2475" s="54"/>
      <c r="LUO2475" s="60"/>
      <c r="LUP2475" s="60"/>
      <c r="LUQ2475" s="60"/>
      <c r="LUR2475" s="60"/>
      <c r="LUS2475" s="63"/>
      <c r="LUT2475" s="61"/>
      <c r="LUU2475" s="54"/>
      <c r="LUV2475" s="54"/>
      <c r="LUW2475" s="60"/>
      <c r="LUX2475" s="60"/>
      <c r="LUY2475" s="60"/>
      <c r="LUZ2475" s="60"/>
      <c r="LVA2475" s="63"/>
      <c r="LVB2475" s="61"/>
      <c r="LVC2475" s="54"/>
      <c r="LVD2475" s="54"/>
      <c r="LVE2475" s="60"/>
      <c r="LVF2475" s="60"/>
      <c r="LVG2475" s="60"/>
      <c r="LVH2475" s="60"/>
      <c r="LVI2475" s="63"/>
      <c r="LVJ2475" s="61"/>
      <c r="LVK2475" s="54"/>
      <c r="LVL2475" s="54"/>
      <c r="LVM2475" s="60"/>
      <c r="LVN2475" s="60"/>
      <c r="LVO2475" s="60"/>
      <c r="LVP2475" s="60"/>
      <c r="LVQ2475" s="63"/>
      <c r="LVR2475" s="61"/>
      <c r="LVS2475" s="54"/>
      <c r="LVT2475" s="54"/>
      <c r="LVU2475" s="60"/>
      <c r="LVV2475" s="60"/>
      <c r="LVW2475" s="60"/>
      <c r="LVX2475" s="60"/>
      <c r="LVY2475" s="63"/>
      <c r="LVZ2475" s="61"/>
      <c r="LWA2475" s="54"/>
      <c r="LWB2475" s="54"/>
      <c r="LWC2475" s="60"/>
      <c r="LWD2475" s="60"/>
      <c r="LWE2475" s="60"/>
      <c r="LWF2475" s="60"/>
      <c r="LWG2475" s="63"/>
      <c r="LWH2475" s="61"/>
      <c r="LWI2475" s="54"/>
      <c r="LWJ2475" s="54"/>
      <c r="LWK2475" s="60"/>
      <c r="LWL2475" s="60"/>
      <c r="LWM2475" s="60"/>
      <c r="LWN2475" s="60"/>
      <c r="LWO2475" s="63"/>
      <c r="LWP2475" s="61"/>
      <c r="LWQ2475" s="54"/>
      <c r="LWR2475" s="54"/>
      <c r="LWS2475" s="60"/>
      <c r="LWT2475" s="60"/>
      <c r="LWU2475" s="60"/>
      <c r="LWV2475" s="60"/>
      <c r="LWW2475" s="63"/>
      <c r="LWX2475" s="61"/>
      <c r="LWY2475" s="54"/>
      <c r="LWZ2475" s="54"/>
      <c r="LXA2475" s="60"/>
      <c r="LXB2475" s="60"/>
      <c r="LXC2475" s="60"/>
      <c r="LXD2475" s="60"/>
      <c r="LXE2475" s="63"/>
      <c r="LXF2475" s="61"/>
      <c r="LXG2475" s="54"/>
      <c r="LXH2475" s="54"/>
      <c r="LXI2475" s="60"/>
      <c r="LXJ2475" s="60"/>
      <c r="LXK2475" s="60"/>
      <c r="LXL2475" s="60"/>
      <c r="LXM2475" s="63"/>
      <c r="LXN2475" s="61"/>
      <c r="LXO2475" s="54"/>
      <c r="LXP2475" s="54"/>
      <c r="LXQ2475" s="60"/>
      <c r="LXR2475" s="60"/>
      <c r="LXS2475" s="60"/>
      <c r="LXT2475" s="60"/>
      <c r="LXU2475" s="63"/>
      <c r="LXV2475" s="61"/>
      <c r="LXW2475" s="54"/>
      <c r="LXX2475" s="54"/>
      <c r="LXY2475" s="60"/>
      <c r="LXZ2475" s="60"/>
      <c r="LYA2475" s="60"/>
      <c r="LYB2475" s="60"/>
      <c r="LYC2475" s="63"/>
      <c r="LYD2475" s="61"/>
      <c r="LYE2475" s="54"/>
      <c r="LYF2475" s="54"/>
      <c r="LYG2475" s="60"/>
      <c r="LYH2475" s="60"/>
      <c r="LYI2475" s="60"/>
      <c r="LYJ2475" s="60"/>
      <c r="LYK2475" s="63"/>
      <c r="LYL2475" s="61"/>
      <c r="LYM2475" s="54"/>
      <c r="LYN2475" s="54"/>
      <c r="LYO2475" s="60"/>
      <c r="LYP2475" s="60"/>
      <c r="LYQ2475" s="60"/>
      <c r="LYR2475" s="60"/>
      <c r="LYS2475" s="63"/>
      <c r="LYT2475" s="61"/>
      <c r="LYU2475" s="54"/>
      <c r="LYV2475" s="54"/>
      <c r="LYW2475" s="60"/>
      <c r="LYX2475" s="60"/>
      <c r="LYY2475" s="60"/>
      <c r="LYZ2475" s="60"/>
      <c r="LZA2475" s="63"/>
      <c r="LZB2475" s="61"/>
      <c r="LZC2475" s="54"/>
      <c r="LZD2475" s="54"/>
      <c r="LZE2475" s="60"/>
      <c r="LZF2475" s="60"/>
      <c r="LZG2475" s="60"/>
      <c r="LZH2475" s="60"/>
      <c r="LZI2475" s="63"/>
      <c r="LZJ2475" s="61"/>
      <c r="LZK2475" s="54"/>
      <c r="LZL2475" s="54"/>
      <c r="LZM2475" s="60"/>
      <c r="LZN2475" s="60"/>
      <c r="LZO2475" s="60"/>
      <c r="LZP2475" s="60"/>
      <c r="LZQ2475" s="63"/>
      <c r="LZR2475" s="61"/>
      <c r="LZS2475" s="54"/>
      <c r="LZT2475" s="54"/>
      <c r="LZU2475" s="60"/>
      <c r="LZV2475" s="60"/>
      <c r="LZW2475" s="60"/>
      <c r="LZX2475" s="60"/>
      <c r="LZY2475" s="63"/>
      <c r="LZZ2475" s="61"/>
      <c r="MAA2475" s="54"/>
      <c r="MAB2475" s="54"/>
      <c r="MAC2475" s="60"/>
      <c r="MAD2475" s="60"/>
      <c r="MAE2475" s="60"/>
      <c r="MAF2475" s="60"/>
      <c r="MAG2475" s="63"/>
      <c r="MAH2475" s="61"/>
      <c r="MAI2475" s="54"/>
      <c r="MAJ2475" s="54"/>
      <c r="MAK2475" s="60"/>
      <c r="MAL2475" s="60"/>
      <c r="MAM2475" s="60"/>
      <c r="MAN2475" s="60"/>
      <c r="MAO2475" s="63"/>
      <c r="MAP2475" s="61"/>
      <c r="MAQ2475" s="54"/>
      <c r="MAR2475" s="54"/>
      <c r="MAS2475" s="60"/>
      <c r="MAT2475" s="60"/>
      <c r="MAU2475" s="60"/>
      <c r="MAV2475" s="60"/>
      <c r="MAW2475" s="63"/>
      <c r="MAX2475" s="61"/>
      <c r="MAY2475" s="54"/>
      <c r="MAZ2475" s="54"/>
      <c r="MBA2475" s="60"/>
      <c r="MBB2475" s="60"/>
      <c r="MBC2475" s="60"/>
      <c r="MBD2475" s="60"/>
      <c r="MBE2475" s="63"/>
      <c r="MBF2475" s="61"/>
      <c r="MBG2475" s="54"/>
      <c r="MBH2475" s="54"/>
      <c r="MBI2475" s="60"/>
      <c r="MBJ2475" s="60"/>
      <c r="MBK2475" s="60"/>
      <c r="MBL2475" s="60"/>
      <c r="MBM2475" s="63"/>
      <c r="MBN2475" s="61"/>
      <c r="MBO2475" s="54"/>
      <c r="MBP2475" s="54"/>
      <c r="MBQ2475" s="60"/>
      <c r="MBR2475" s="60"/>
      <c r="MBS2475" s="60"/>
      <c r="MBT2475" s="60"/>
      <c r="MBU2475" s="63"/>
      <c r="MBV2475" s="61"/>
      <c r="MBW2475" s="54"/>
      <c r="MBX2475" s="54"/>
      <c r="MBY2475" s="60"/>
      <c r="MBZ2475" s="60"/>
      <c r="MCA2475" s="60"/>
      <c r="MCB2475" s="60"/>
      <c r="MCC2475" s="63"/>
      <c r="MCD2475" s="61"/>
      <c r="MCE2475" s="54"/>
      <c r="MCF2475" s="54"/>
      <c r="MCG2475" s="60"/>
      <c r="MCH2475" s="60"/>
      <c r="MCI2475" s="60"/>
      <c r="MCJ2475" s="60"/>
      <c r="MCK2475" s="63"/>
      <c r="MCL2475" s="61"/>
      <c r="MCM2475" s="54"/>
      <c r="MCN2475" s="54"/>
      <c r="MCO2475" s="60"/>
      <c r="MCP2475" s="60"/>
      <c r="MCQ2475" s="60"/>
      <c r="MCR2475" s="60"/>
      <c r="MCS2475" s="63"/>
      <c r="MCT2475" s="61"/>
      <c r="MCU2475" s="54"/>
      <c r="MCV2475" s="54"/>
      <c r="MCW2475" s="60"/>
      <c r="MCX2475" s="60"/>
      <c r="MCY2475" s="60"/>
      <c r="MCZ2475" s="60"/>
      <c r="MDA2475" s="63"/>
      <c r="MDB2475" s="61"/>
      <c r="MDC2475" s="54"/>
      <c r="MDD2475" s="54"/>
      <c r="MDE2475" s="60"/>
      <c r="MDF2475" s="60"/>
      <c r="MDG2475" s="60"/>
      <c r="MDH2475" s="60"/>
      <c r="MDI2475" s="63"/>
      <c r="MDJ2475" s="61"/>
      <c r="MDK2475" s="54"/>
      <c r="MDL2475" s="54"/>
      <c r="MDM2475" s="60"/>
      <c r="MDN2475" s="60"/>
      <c r="MDO2475" s="60"/>
      <c r="MDP2475" s="60"/>
      <c r="MDQ2475" s="63"/>
      <c r="MDR2475" s="61"/>
      <c r="MDS2475" s="54"/>
      <c r="MDT2475" s="54"/>
      <c r="MDU2475" s="60"/>
      <c r="MDV2475" s="60"/>
      <c r="MDW2475" s="60"/>
      <c r="MDX2475" s="60"/>
      <c r="MDY2475" s="63"/>
      <c r="MDZ2475" s="61"/>
      <c r="MEA2475" s="54"/>
      <c r="MEB2475" s="54"/>
      <c r="MEC2475" s="60"/>
      <c r="MED2475" s="60"/>
      <c r="MEE2475" s="60"/>
      <c r="MEF2475" s="60"/>
      <c r="MEG2475" s="63"/>
      <c r="MEH2475" s="61"/>
      <c r="MEI2475" s="54"/>
      <c r="MEJ2475" s="54"/>
      <c r="MEK2475" s="60"/>
      <c r="MEL2475" s="60"/>
      <c r="MEM2475" s="60"/>
      <c r="MEN2475" s="60"/>
      <c r="MEO2475" s="63"/>
      <c r="MEP2475" s="61"/>
      <c r="MEQ2475" s="54"/>
      <c r="MER2475" s="54"/>
      <c r="MES2475" s="60"/>
      <c r="MET2475" s="60"/>
      <c r="MEU2475" s="60"/>
      <c r="MEV2475" s="60"/>
      <c r="MEW2475" s="63"/>
      <c r="MEX2475" s="61"/>
      <c r="MEY2475" s="54"/>
      <c r="MEZ2475" s="54"/>
      <c r="MFA2475" s="60"/>
      <c r="MFB2475" s="60"/>
      <c r="MFC2475" s="60"/>
      <c r="MFD2475" s="60"/>
      <c r="MFE2475" s="63"/>
      <c r="MFF2475" s="61"/>
      <c r="MFG2475" s="54"/>
      <c r="MFH2475" s="54"/>
      <c r="MFI2475" s="60"/>
      <c r="MFJ2475" s="60"/>
      <c r="MFK2475" s="60"/>
      <c r="MFL2475" s="60"/>
      <c r="MFM2475" s="63"/>
      <c r="MFN2475" s="61"/>
      <c r="MFO2475" s="54"/>
      <c r="MFP2475" s="54"/>
      <c r="MFQ2475" s="60"/>
      <c r="MFR2475" s="60"/>
      <c r="MFS2475" s="60"/>
      <c r="MFT2475" s="60"/>
      <c r="MFU2475" s="63"/>
      <c r="MFV2475" s="61"/>
      <c r="MFW2475" s="54"/>
      <c r="MFX2475" s="54"/>
      <c r="MFY2475" s="60"/>
      <c r="MFZ2475" s="60"/>
      <c r="MGA2475" s="60"/>
      <c r="MGB2475" s="60"/>
      <c r="MGC2475" s="63"/>
      <c r="MGD2475" s="61"/>
      <c r="MGE2475" s="54"/>
      <c r="MGF2475" s="54"/>
      <c r="MGG2475" s="60"/>
      <c r="MGH2475" s="60"/>
      <c r="MGI2475" s="60"/>
      <c r="MGJ2475" s="60"/>
      <c r="MGK2475" s="63"/>
      <c r="MGL2475" s="61"/>
      <c r="MGM2475" s="54"/>
      <c r="MGN2475" s="54"/>
      <c r="MGO2475" s="60"/>
      <c r="MGP2475" s="60"/>
      <c r="MGQ2475" s="60"/>
      <c r="MGR2475" s="60"/>
      <c r="MGS2475" s="63"/>
      <c r="MGT2475" s="61"/>
      <c r="MGU2475" s="54"/>
      <c r="MGV2475" s="54"/>
      <c r="MGW2475" s="60"/>
      <c r="MGX2475" s="60"/>
      <c r="MGY2475" s="60"/>
      <c r="MGZ2475" s="60"/>
      <c r="MHA2475" s="63"/>
      <c r="MHB2475" s="61"/>
      <c r="MHC2475" s="54"/>
      <c r="MHD2475" s="54"/>
      <c r="MHE2475" s="60"/>
      <c r="MHF2475" s="60"/>
      <c r="MHG2475" s="60"/>
      <c r="MHH2475" s="60"/>
      <c r="MHI2475" s="63"/>
      <c r="MHJ2475" s="61"/>
      <c r="MHK2475" s="54"/>
      <c r="MHL2475" s="54"/>
      <c r="MHM2475" s="60"/>
      <c r="MHN2475" s="60"/>
      <c r="MHO2475" s="60"/>
      <c r="MHP2475" s="60"/>
      <c r="MHQ2475" s="63"/>
      <c r="MHR2475" s="61"/>
      <c r="MHS2475" s="54"/>
      <c r="MHT2475" s="54"/>
      <c r="MHU2475" s="60"/>
      <c r="MHV2475" s="60"/>
      <c r="MHW2475" s="60"/>
      <c r="MHX2475" s="60"/>
      <c r="MHY2475" s="63"/>
      <c r="MHZ2475" s="61"/>
      <c r="MIA2475" s="54"/>
      <c r="MIB2475" s="54"/>
      <c r="MIC2475" s="60"/>
      <c r="MID2475" s="60"/>
      <c r="MIE2475" s="60"/>
      <c r="MIF2475" s="60"/>
      <c r="MIG2475" s="63"/>
      <c r="MIH2475" s="61"/>
      <c r="MII2475" s="54"/>
      <c r="MIJ2475" s="54"/>
      <c r="MIK2475" s="60"/>
      <c r="MIL2475" s="60"/>
      <c r="MIM2475" s="60"/>
      <c r="MIN2475" s="60"/>
      <c r="MIO2475" s="63"/>
      <c r="MIP2475" s="61"/>
      <c r="MIQ2475" s="54"/>
      <c r="MIR2475" s="54"/>
      <c r="MIS2475" s="60"/>
      <c r="MIT2475" s="60"/>
      <c r="MIU2475" s="60"/>
      <c r="MIV2475" s="60"/>
      <c r="MIW2475" s="63"/>
      <c r="MIX2475" s="61"/>
      <c r="MIY2475" s="54"/>
      <c r="MIZ2475" s="54"/>
      <c r="MJA2475" s="60"/>
      <c r="MJB2475" s="60"/>
      <c r="MJC2475" s="60"/>
      <c r="MJD2475" s="60"/>
      <c r="MJE2475" s="63"/>
      <c r="MJF2475" s="61"/>
      <c r="MJG2475" s="54"/>
      <c r="MJH2475" s="54"/>
      <c r="MJI2475" s="60"/>
      <c r="MJJ2475" s="60"/>
      <c r="MJK2475" s="60"/>
      <c r="MJL2475" s="60"/>
      <c r="MJM2475" s="63"/>
      <c r="MJN2475" s="61"/>
      <c r="MJO2475" s="54"/>
      <c r="MJP2475" s="54"/>
      <c r="MJQ2475" s="60"/>
      <c r="MJR2475" s="60"/>
      <c r="MJS2475" s="60"/>
      <c r="MJT2475" s="60"/>
      <c r="MJU2475" s="63"/>
      <c r="MJV2475" s="61"/>
      <c r="MJW2475" s="54"/>
      <c r="MJX2475" s="54"/>
      <c r="MJY2475" s="60"/>
      <c r="MJZ2475" s="60"/>
      <c r="MKA2475" s="60"/>
      <c r="MKB2475" s="60"/>
      <c r="MKC2475" s="63"/>
      <c r="MKD2475" s="61"/>
      <c r="MKE2475" s="54"/>
      <c r="MKF2475" s="54"/>
      <c r="MKG2475" s="60"/>
      <c r="MKH2475" s="60"/>
      <c r="MKI2475" s="60"/>
      <c r="MKJ2475" s="60"/>
      <c r="MKK2475" s="63"/>
      <c r="MKL2475" s="61"/>
      <c r="MKM2475" s="54"/>
      <c r="MKN2475" s="54"/>
      <c r="MKO2475" s="60"/>
      <c r="MKP2475" s="60"/>
      <c r="MKQ2475" s="60"/>
      <c r="MKR2475" s="60"/>
      <c r="MKS2475" s="63"/>
      <c r="MKT2475" s="61"/>
      <c r="MKU2475" s="54"/>
      <c r="MKV2475" s="54"/>
      <c r="MKW2475" s="60"/>
      <c r="MKX2475" s="60"/>
      <c r="MKY2475" s="60"/>
      <c r="MKZ2475" s="60"/>
      <c r="MLA2475" s="63"/>
      <c r="MLB2475" s="61"/>
      <c r="MLC2475" s="54"/>
      <c r="MLD2475" s="54"/>
      <c r="MLE2475" s="60"/>
      <c r="MLF2475" s="60"/>
      <c r="MLG2475" s="60"/>
      <c r="MLH2475" s="60"/>
      <c r="MLI2475" s="63"/>
      <c r="MLJ2475" s="61"/>
      <c r="MLK2475" s="54"/>
      <c r="MLL2475" s="54"/>
      <c r="MLM2475" s="60"/>
      <c r="MLN2475" s="60"/>
      <c r="MLO2475" s="60"/>
      <c r="MLP2475" s="60"/>
      <c r="MLQ2475" s="63"/>
      <c r="MLR2475" s="61"/>
      <c r="MLS2475" s="54"/>
      <c r="MLT2475" s="54"/>
      <c r="MLU2475" s="60"/>
      <c r="MLV2475" s="60"/>
      <c r="MLW2475" s="60"/>
      <c r="MLX2475" s="60"/>
      <c r="MLY2475" s="63"/>
      <c r="MLZ2475" s="61"/>
      <c r="MMA2475" s="54"/>
      <c r="MMB2475" s="54"/>
      <c r="MMC2475" s="60"/>
      <c r="MMD2475" s="60"/>
      <c r="MME2475" s="60"/>
      <c r="MMF2475" s="60"/>
      <c r="MMG2475" s="63"/>
      <c r="MMH2475" s="61"/>
      <c r="MMI2475" s="54"/>
      <c r="MMJ2475" s="54"/>
      <c r="MMK2475" s="60"/>
      <c r="MML2475" s="60"/>
      <c r="MMM2475" s="60"/>
      <c r="MMN2475" s="60"/>
      <c r="MMO2475" s="63"/>
      <c r="MMP2475" s="61"/>
      <c r="MMQ2475" s="54"/>
      <c r="MMR2475" s="54"/>
      <c r="MMS2475" s="60"/>
      <c r="MMT2475" s="60"/>
      <c r="MMU2475" s="60"/>
      <c r="MMV2475" s="60"/>
      <c r="MMW2475" s="63"/>
      <c r="MMX2475" s="61"/>
      <c r="MMY2475" s="54"/>
      <c r="MMZ2475" s="54"/>
      <c r="MNA2475" s="60"/>
      <c r="MNB2475" s="60"/>
      <c r="MNC2475" s="60"/>
      <c r="MND2475" s="60"/>
      <c r="MNE2475" s="63"/>
      <c r="MNF2475" s="61"/>
      <c r="MNG2475" s="54"/>
      <c r="MNH2475" s="54"/>
      <c r="MNI2475" s="60"/>
      <c r="MNJ2475" s="60"/>
      <c r="MNK2475" s="60"/>
      <c r="MNL2475" s="60"/>
      <c r="MNM2475" s="63"/>
      <c r="MNN2475" s="61"/>
      <c r="MNO2475" s="54"/>
      <c r="MNP2475" s="54"/>
      <c r="MNQ2475" s="60"/>
      <c r="MNR2475" s="60"/>
      <c r="MNS2475" s="60"/>
      <c r="MNT2475" s="60"/>
      <c r="MNU2475" s="63"/>
      <c r="MNV2475" s="61"/>
      <c r="MNW2475" s="54"/>
      <c r="MNX2475" s="54"/>
      <c r="MNY2475" s="60"/>
      <c r="MNZ2475" s="60"/>
      <c r="MOA2475" s="60"/>
      <c r="MOB2475" s="60"/>
      <c r="MOC2475" s="63"/>
      <c r="MOD2475" s="61"/>
      <c r="MOE2475" s="54"/>
      <c r="MOF2475" s="54"/>
      <c r="MOG2475" s="60"/>
      <c r="MOH2475" s="60"/>
      <c r="MOI2475" s="60"/>
      <c r="MOJ2475" s="60"/>
      <c r="MOK2475" s="63"/>
      <c r="MOL2475" s="61"/>
      <c r="MOM2475" s="54"/>
      <c r="MON2475" s="54"/>
      <c r="MOO2475" s="60"/>
      <c r="MOP2475" s="60"/>
      <c r="MOQ2475" s="60"/>
      <c r="MOR2475" s="60"/>
      <c r="MOS2475" s="63"/>
      <c r="MOT2475" s="61"/>
      <c r="MOU2475" s="54"/>
      <c r="MOV2475" s="54"/>
      <c r="MOW2475" s="60"/>
      <c r="MOX2475" s="60"/>
      <c r="MOY2475" s="60"/>
      <c r="MOZ2475" s="60"/>
      <c r="MPA2475" s="63"/>
      <c r="MPB2475" s="61"/>
      <c r="MPC2475" s="54"/>
      <c r="MPD2475" s="54"/>
      <c r="MPE2475" s="60"/>
      <c r="MPF2475" s="60"/>
      <c r="MPG2475" s="60"/>
      <c r="MPH2475" s="60"/>
      <c r="MPI2475" s="63"/>
      <c r="MPJ2475" s="61"/>
      <c r="MPK2475" s="54"/>
      <c r="MPL2475" s="54"/>
      <c r="MPM2475" s="60"/>
      <c r="MPN2475" s="60"/>
      <c r="MPO2475" s="60"/>
      <c r="MPP2475" s="60"/>
      <c r="MPQ2475" s="63"/>
      <c r="MPR2475" s="61"/>
      <c r="MPS2475" s="54"/>
      <c r="MPT2475" s="54"/>
      <c r="MPU2475" s="60"/>
      <c r="MPV2475" s="60"/>
      <c r="MPW2475" s="60"/>
      <c r="MPX2475" s="60"/>
      <c r="MPY2475" s="63"/>
      <c r="MPZ2475" s="61"/>
      <c r="MQA2475" s="54"/>
      <c r="MQB2475" s="54"/>
      <c r="MQC2475" s="60"/>
      <c r="MQD2475" s="60"/>
      <c r="MQE2475" s="60"/>
      <c r="MQF2475" s="60"/>
      <c r="MQG2475" s="63"/>
      <c r="MQH2475" s="61"/>
      <c r="MQI2475" s="54"/>
      <c r="MQJ2475" s="54"/>
      <c r="MQK2475" s="60"/>
      <c r="MQL2475" s="60"/>
      <c r="MQM2475" s="60"/>
      <c r="MQN2475" s="60"/>
      <c r="MQO2475" s="63"/>
      <c r="MQP2475" s="61"/>
      <c r="MQQ2475" s="54"/>
      <c r="MQR2475" s="54"/>
      <c r="MQS2475" s="60"/>
      <c r="MQT2475" s="60"/>
      <c r="MQU2475" s="60"/>
      <c r="MQV2475" s="60"/>
      <c r="MQW2475" s="63"/>
      <c r="MQX2475" s="61"/>
      <c r="MQY2475" s="54"/>
      <c r="MQZ2475" s="54"/>
      <c r="MRA2475" s="60"/>
      <c r="MRB2475" s="60"/>
      <c r="MRC2475" s="60"/>
      <c r="MRD2475" s="60"/>
      <c r="MRE2475" s="63"/>
      <c r="MRF2475" s="61"/>
      <c r="MRG2475" s="54"/>
      <c r="MRH2475" s="54"/>
      <c r="MRI2475" s="60"/>
      <c r="MRJ2475" s="60"/>
      <c r="MRK2475" s="60"/>
      <c r="MRL2475" s="60"/>
      <c r="MRM2475" s="63"/>
      <c r="MRN2475" s="61"/>
      <c r="MRO2475" s="54"/>
      <c r="MRP2475" s="54"/>
      <c r="MRQ2475" s="60"/>
      <c r="MRR2475" s="60"/>
      <c r="MRS2475" s="60"/>
      <c r="MRT2475" s="60"/>
      <c r="MRU2475" s="63"/>
      <c r="MRV2475" s="61"/>
      <c r="MRW2475" s="54"/>
      <c r="MRX2475" s="54"/>
      <c r="MRY2475" s="60"/>
      <c r="MRZ2475" s="60"/>
      <c r="MSA2475" s="60"/>
      <c r="MSB2475" s="60"/>
      <c r="MSC2475" s="63"/>
      <c r="MSD2475" s="61"/>
      <c r="MSE2475" s="54"/>
      <c r="MSF2475" s="54"/>
      <c r="MSG2475" s="60"/>
      <c r="MSH2475" s="60"/>
      <c r="MSI2475" s="60"/>
      <c r="MSJ2475" s="60"/>
      <c r="MSK2475" s="63"/>
      <c r="MSL2475" s="61"/>
      <c r="MSM2475" s="54"/>
      <c r="MSN2475" s="54"/>
      <c r="MSO2475" s="60"/>
      <c r="MSP2475" s="60"/>
      <c r="MSQ2475" s="60"/>
      <c r="MSR2475" s="60"/>
      <c r="MSS2475" s="63"/>
      <c r="MST2475" s="61"/>
      <c r="MSU2475" s="54"/>
      <c r="MSV2475" s="54"/>
      <c r="MSW2475" s="60"/>
      <c r="MSX2475" s="60"/>
      <c r="MSY2475" s="60"/>
      <c r="MSZ2475" s="60"/>
      <c r="MTA2475" s="63"/>
      <c r="MTB2475" s="61"/>
      <c r="MTC2475" s="54"/>
      <c r="MTD2475" s="54"/>
      <c r="MTE2475" s="60"/>
      <c r="MTF2475" s="60"/>
      <c r="MTG2475" s="60"/>
      <c r="MTH2475" s="60"/>
      <c r="MTI2475" s="63"/>
      <c r="MTJ2475" s="61"/>
      <c r="MTK2475" s="54"/>
      <c r="MTL2475" s="54"/>
      <c r="MTM2475" s="60"/>
      <c r="MTN2475" s="60"/>
      <c r="MTO2475" s="60"/>
      <c r="MTP2475" s="60"/>
      <c r="MTQ2475" s="63"/>
      <c r="MTR2475" s="61"/>
      <c r="MTS2475" s="54"/>
      <c r="MTT2475" s="54"/>
      <c r="MTU2475" s="60"/>
      <c r="MTV2475" s="60"/>
      <c r="MTW2475" s="60"/>
      <c r="MTX2475" s="60"/>
      <c r="MTY2475" s="63"/>
      <c r="MTZ2475" s="61"/>
      <c r="MUA2475" s="54"/>
      <c r="MUB2475" s="54"/>
      <c r="MUC2475" s="60"/>
      <c r="MUD2475" s="60"/>
      <c r="MUE2475" s="60"/>
      <c r="MUF2475" s="60"/>
      <c r="MUG2475" s="63"/>
      <c r="MUH2475" s="61"/>
      <c r="MUI2475" s="54"/>
      <c r="MUJ2475" s="54"/>
      <c r="MUK2475" s="60"/>
      <c r="MUL2475" s="60"/>
      <c r="MUM2475" s="60"/>
      <c r="MUN2475" s="60"/>
      <c r="MUO2475" s="63"/>
      <c r="MUP2475" s="61"/>
      <c r="MUQ2475" s="54"/>
      <c r="MUR2475" s="54"/>
      <c r="MUS2475" s="60"/>
      <c r="MUT2475" s="60"/>
      <c r="MUU2475" s="60"/>
      <c r="MUV2475" s="60"/>
      <c r="MUW2475" s="63"/>
      <c r="MUX2475" s="61"/>
      <c r="MUY2475" s="54"/>
      <c r="MUZ2475" s="54"/>
      <c r="MVA2475" s="60"/>
      <c r="MVB2475" s="60"/>
      <c r="MVC2475" s="60"/>
      <c r="MVD2475" s="60"/>
      <c r="MVE2475" s="63"/>
      <c r="MVF2475" s="61"/>
      <c r="MVG2475" s="54"/>
      <c r="MVH2475" s="54"/>
      <c r="MVI2475" s="60"/>
      <c r="MVJ2475" s="60"/>
      <c r="MVK2475" s="60"/>
      <c r="MVL2475" s="60"/>
      <c r="MVM2475" s="63"/>
      <c r="MVN2475" s="61"/>
      <c r="MVO2475" s="54"/>
      <c r="MVP2475" s="54"/>
      <c r="MVQ2475" s="60"/>
      <c r="MVR2475" s="60"/>
      <c r="MVS2475" s="60"/>
      <c r="MVT2475" s="60"/>
      <c r="MVU2475" s="63"/>
      <c r="MVV2475" s="61"/>
      <c r="MVW2475" s="54"/>
      <c r="MVX2475" s="54"/>
      <c r="MVY2475" s="60"/>
      <c r="MVZ2475" s="60"/>
      <c r="MWA2475" s="60"/>
      <c r="MWB2475" s="60"/>
      <c r="MWC2475" s="63"/>
      <c r="MWD2475" s="61"/>
      <c r="MWE2475" s="54"/>
      <c r="MWF2475" s="54"/>
      <c r="MWG2475" s="60"/>
      <c r="MWH2475" s="60"/>
      <c r="MWI2475" s="60"/>
      <c r="MWJ2475" s="60"/>
      <c r="MWK2475" s="63"/>
      <c r="MWL2475" s="61"/>
      <c r="MWM2475" s="54"/>
      <c r="MWN2475" s="54"/>
      <c r="MWO2475" s="60"/>
      <c r="MWP2475" s="60"/>
      <c r="MWQ2475" s="60"/>
      <c r="MWR2475" s="60"/>
      <c r="MWS2475" s="63"/>
      <c r="MWT2475" s="61"/>
      <c r="MWU2475" s="54"/>
      <c r="MWV2475" s="54"/>
      <c r="MWW2475" s="60"/>
      <c r="MWX2475" s="60"/>
      <c r="MWY2475" s="60"/>
      <c r="MWZ2475" s="60"/>
      <c r="MXA2475" s="63"/>
      <c r="MXB2475" s="61"/>
      <c r="MXC2475" s="54"/>
      <c r="MXD2475" s="54"/>
      <c r="MXE2475" s="60"/>
      <c r="MXF2475" s="60"/>
      <c r="MXG2475" s="60"/>
      <c r="MXH2475" s="60"/>
      <c r="MXI2475" s="63"/>
      <c r="MXJ2475" s="61"/>
      <c r="MXK2475" s="54"/>
      <c r="MXL2475" s="54"/>
      <c r="MXM2475" s="60"/>
      <c r="MXN2475" s="60"/>
      <c r="MXO2475" s="60"/>
      <c r="MXP2475" s="60"/>
      <c r="MXQ2475" s="63"/>
      <c r="MXR2475" s="61"/>
      <c r="MXS2475" s="54"/>
      <c r="MXT2475" s="54"/>
      <c r="MXU2475" s="60"/>
      <c r="MXV2475" s="60"/>
      <c r="MXW2475" s="60"/>
      <c r="MXX2475" s="60"/>
      <c r="MXY2475" s="63"/>
      <c r="MXZ2475" s="61"/>
      <c r="MYA2475" s="54"/>
      <c r="MYB2475" s="54"/>
      <c r="MYC2475" s="60"/>
      <c r="MYD2475" s="60"/>
      <c r="MYE2475" s="60"/>
      <c r="MYF2475" s="60"/>
      <c r="MYG2475" s="63"/>
      <c r="MYH2475" s="61"/>
      <c r="MYI2475" s="54"/>
      <c r="MYJ2475" s="54"/>
      <c r="MYK2475" s="60"/>
      <c r="MYL2475" s="60"/>
      <c r="MYM2475" s="60"/>
      <c r="MYN2475" s="60"/>
      <c r="MYO2475" s="63"/>
      <c r="MYP2475" s="61"/>
      <c r="MYQ2475" s="54"/>
      <c r="MYR2475" s="54"/>
      <c r="MYS2475" s="60"/>
      <c r="MYT2475" s="60"/>
      <c r="MYU2475" s="60"/>
      <c r="MYV2475" s="60"/>
      <c r="MYW2475" s="63"/>
      <c r="MYX2475" s="61"/>
      <c r="MYY2475" s="54"/>
      <c r="MYZ2475" s="54"/>
      <c r="MZA2475" s="60"/>
      <c r="MZB2475" s="60"/>
      <c r="MZC2475" s="60"/>
      <c r="MZD2475" s="60"/>
      <c r="MZE2475" s="63"/>
      <c r="MZF2475" s="61"/>
      <c r="MZG2475" s="54"/>
      <c r="MZH2475" s="54"/>
      <c r="MZI2475" s="60"/>
      <c r="MZJ2475" s="60"/>
      <c r="MZK2475" s="60"/>
      <c r="MZL2475" s="60"/>
      <c r="MZM2475" s="63"/>
      <c r="MZN2475" s="61"/>
      <c r="MZO2475" s="54"/>
      <c r="MZP2475" s="54"/>
      <c r="MZQ2475" s="60"/>
      <c r="MZR2475" s="60"/>
      <c r="MZS2475" s="60"/>
      <c r="MZT2475" s="60"/>
      <c r="MZU2475" s="63"/>
      <c r="MZV2475" s="61"/>
      <c r="MZW2475" s="54"/>
      <c r="MZX2475" s="54"/>
      <c r="MZY2475" s="60"/>
      <c r="MZZ2475" s="60"/>
      <c r="NAA2475" s="60"/>
      <c r="NAB2475" s="60"/>
      <c r="NAC2475" s="63"/>
      <c r="NAD2475" s="61"/>
      <c r="NAE2475" s="54"/>
      <c r="NAF2475" s="54"/>
      <c r="NAG2475" s="60"/>
      <c r="NAH2475" s="60"/>
      <c r="NAI2475" s="60"/>
      <c r="NAJ2475" s="60"/>
      <c r="NAK2475" s="63"/>
      <c r="NAL2475" s="61"/>
      <c r="NAM2475" s="54"/>
      <c r="NAN2475" s="54"/>
      <c r="NAO2475" s="60"/>
      <c r="NAP2475" s="60"/>
      <c r="NAQ2475" s="60"/>
      <c r="NAR2475" s="60"/>
      <c r="NAS2475" s="63"/>
      <c r="NAT2475" s="61"/>
      <c r="NAU2475" s="54"/>
      <c r="NAV2475" s="54"/>
      <c r="NAW2475" s="60"/>
      <c r="NAX2475" s="60"/>
      <c r="NAY2475" s="60"/>
      <c r="NAZ2475" s="60"/>
      <c r="NBA2475" s="63"/>
      <c r="NBB2475" s="61"/>
      <c r="NBC2475" s="54"/>
      <c r="NBD2475" s="54"/>
      <c r="NBE2475" s="60"/>
      <c r="NBF2475" s="60"/>
      <c r="NBG2475" s="60"/>
      <c r="NBH2475" s="60"/>
      <c r="NBI2475" s="63"/>
      <c r="NBJ2475" s="61"/>
      <c r="NBK2475" s="54"/>
      <c r="NBL2475" s="54"/>
      <c r="NBM2475" s="60"/>
      <c r="NBN2475" s="60"/>
      <c r="NBO2475" s="60"/>
      <c r="NBP2475" s="60"/>
      <c r="NBQ2475" s="63"/>
      <c r="NBR2475" s="61"/>
      <c r="NBS2475" s="54"/>
      <c r="NBT2475" s="54"/>
      <c r="NBU2475" s="60"/>
      <c r="NBV2475" s="60"/>
      <c r="NBW2475" s="60"/>
      <c r="NBX2475" s="60"/>
      <c r="NBY2475" s="63"/>
      <c r="NBZ2475" s="61"/>
      <c r="NCA2475" s="54"/>
      <c r="NCB2475" s="54"/>
      <c r="NCC2475" s="60"/>
      <c r="NCD2475" s="60"/>
      <c r="NCE2475" s="60"/>
      <c r="NCF2475" s="60"/>
      <c r="NCG2475" s="63"/>
      <c r="NCH2475" s="61"/>
      <c r="NCI2475" s="54"/>
      <c r="NCJ2475" s="54"/>
      <c r="NCK2475" s="60"/>
      <c r="NCL2475" s="60"/>
      <c r="NCM2475" s="60"/>
      <c r="NCN2475" s="60"/>
      <c r="NCO2475" s="63"/>
      <c r="NCP2475" s="61"/>
      <c r="NCQ2475" s="54"/>
      <c r="NCR2475" s="54"/>
      <c r="NCS2475" s="60"/>
      <c r="NCT2475" s="60"/>
      <c r="NCU2475" s="60"/>
      <c r="NCV2475" s="60"/>
      <c r="NCW2475" s="63"/>
      <c r="NCX2475" s="61"/>
      <c r="NCY2475" s="54"/>
      <c r="NCZ2475" s="54"/>
      <c r="NDA2475" s="60"/>
      <c r="NDB2475" s="60"/>
      <c r="NDC2475" s="60"/>
      <c r="NDD2475" s="60"/>
      <c r="NDE2475" s="63"/>
      <c r="NDF2475" s="61"/>
      <c r="NDG2475" s="54"/>
      <c r="NDH2475" s="54"/>
      <c r="NDI2475" s="60"/>
      <c r="NDJ2475" s="60"/>
      <c r="NDK2475" s="60"/>
      <c r="NDL2475" s="60"/>
      <c r="NDM2475" s="63"/>
      <c r="NDN2475" s="61"/>
      <c r="NDO2475" s="54"/>
      <c r="NDP2475" s="54"/>
      <c r="NDQ2475" s="60"/>
      <c r="NDR2475" s="60"/>
      <c r="NDS2475" s="60"/>
      <c r="NDT2475" s="60"/>
      <c r="NDU2475" s="63"/>
      <c r="NDV2475" s="61"/>
      <c r="NDW2475" s="54"/>
      <c r="NDX2475" s="54"/>
      <c r="NDY2475" s="60"/>
      <c r="NDZ2475" s="60"/>
      <c r="NEA2475" s="60"/>
      <c r="NEB2475" s="60"/>
      <c r="NEC2475" s="63"/>
      <c r="NED2475" s="61"/>
      <c r="NEE2475" s="54"/>
      <c r="NEF2475" s="54"/>
      <c r="NEG2475" s="60"/>
      <c r="NEH2475" s="60"/>
      <c r="NEI2475" s="60"/>
      <c r="NEJ2475" s="60"/>
      <c r="NEK2475" s="63"/>
      <c r="NEL2475" s="61"/>
      <c r="NEM2475" s="54"/>
      <c r="NEN2475" s="54"/>
      <c r="NEO2475" s="60"/>
      <c r="NEP2475" s="60"/>
      <c r="NEQ2475" s="60"/>
      <c r="NER2475" s="60"/>
      <c r="NES2475" s="63"/>
      <c r="NET2475" s="61"/>
      <c r="NEU2475" s="54"/>
      <c r="NEV2475" s="54"/>
      <c r="NEW2475" s="60"/>
      <c r="NEX2475" s="60"/>
      <c r="NEY2475" s="60"/>
      <c r="NEZ2475" s="60"/>
      <c r="NFA2475" s="63"/>
      <c r="NFB2475" s="61"/>
      <c r="NFC2475" s="54"/>
      <c r="NFD2475" s="54"/>
      <c r="NFE2475" s="60"/>
      <c r="NFF2475" s="60"/>
      <c r="NFG2475" s="60"/>
      <c r="NFH2475" s="60"/>
      <c r="NFI2475" s="63"/>
      <c r="NFJ2475" s="61"/>
      <c r="NFK2475" s="54"/>
      <c r="NFL2475" s="54"/>
      <c r="NFM2475" s="60"/>
      <c r="NFN2475" s="60"/>
      <c r="NFO2475" s="60"/>
      <c r="NFP2475" s="60"/>
      <c r="NFQ2475" s="63"/>
      <c r="NFR2475" s="61"/>
      <c r="NFS2475" s="54"/>
      <c r="NFT2475" s="54"/>
      <c r="NFU2475" s="60"/>
      <c r="NFV2475" s="60"/>
      <c r="NFW2475" s="60"/>
      <c r="NFX2475" s="60"/>
      <c r="NFY2475" s="63"/>
      <c r="NFZ2475" s="61"/>
      <c r="NGA2475" s="54"/>
      <c r="NGB2475" s="54"/>
      <c r="NGC2475" s="60"/>
      <c r="NGD2475" s="60"/>
      <c r="NGE2475" s="60"/>
      <c r="NGF2475" s="60"/>
      <c r="NGG2475" s="63"/>
      <c r="NGH2475" s="61"/>
      <c r="NGI2475" s="54"/>
      <c r="NGJ2475" s="54"/>
      <c r="NGK2475" s="60"/>
      <c r="NGL2475" s="60"/>
      <c r="NGM2475" s="60"/>
      <c r="NGN2475" s="60"/>
      <c r="NGO2475" s="63"/>
      <c r="NGP2475" s="61"/>
      <c r="NGQ2475" s="54"/>
      <c r="NGR2475" s="54"/>
      <c r="NGS2475" s="60"/>
      <c r="NGT2475" s="60"/>
      <c r="NGU2475" s="60"/>
      <c r="NGV2475" s="60"/>
      <c r="NGW2475" s="63"/>
      <c r="NGX2475" s="61"/>
      <c r="NGY2475" s="54"/>
      <c r="NGZ2475" s="54"/>
      <c r="NHA2475" s="60"/>
      <c r="NHB2475" s="60"/>
      <c r="NHC2475" s="60"/>
      <c r="NHD2475" s="60"/>
      <c r="NHE2475" s="63"/>
      <c r="NHF2475" s="61"/>
      <c r="NHG2475" s="54"/>
      <c r="NHH2475" s="54"/>
      <c r="NHI2475" s="60"/>
      <c r="NHJ2475" s="60"/>
      <c r="NHK2475" s="60"/>
      <c r="NHL2475" s="60"/>
      <c r="NHM2475" s="63"/>
      <c r="NHN2475" s="61"/>
      <c r="NHO2475" s="54"/>
      <c r="NHP2475" s="54"/>
      <c r="NHQ2475" s="60"/>
      <c r="NHR2475" s="60"/>
      <c r="NHS2475" s="60"/>
      <c r="NHT2475" s="60"/>
      <c r="NHU2475" s="63"/>
      <c r="NHV2475" s="61"/>
      <c r="NHW2475" s="54"/>
      <c r="NHX2475" s="54"/>
      <c r="NHY2475" s="60"/>
      <c r="NHZ2475" s="60"/>
      <c r="NIA2475" s="60"/>
      <c r="NIB2475" s="60"/>
      <c r="NIC2475" s="63"/>
      <c r="NID2475" s="61"/>
      <c r="NIE2475" s="54"/>
      <c r="NIF2475" s="54"/>
      <c r="NIG2475" s="60"/>
      <c r="NIH2475" s="60"/>
      <c r="NII2475" s="60"/>
      <c r="NIJ2475" s="60"/>
      <c r="NIK2475" s="63"/>
      <c r="NIL2475" s="61"/>
      <c r="NIM2475" s="54"/>
      <c r="NIN2475" s="54"/>
      <c r="NIO2475" s="60"/>
      <c r="NIP2475" s="60"/>
      <c r="NIQ2475" s="60"/>
      <c r="NIR2475" s="60"/>
      <c r="NIS2475" s="63"/>
      <c r="NIT2475" s="61"/>
      <c r="NIU2475" s="54"/>
      <c r="NIV2475" s="54"/>
      <c r="NIW2475" s="60"/>
      <c r="NIX2475" s="60"/>
      <c r="NIY2475" s="60"/>
      <c r="NIZ2475" s="60"/>
      <c r="NJA2475" s="63"/>
      <c r="NJB2475" s="61"/>
      <c r="NJC2475" s="54"/>
      <c r="NJD2475" s="54"/>
      <c r="NJE2475" s="60"/>
      <c r="NJF2475" s="60"/>
      <c r="NJG2475" s="60"/>
      <c r="NJH2475" s="60"/>
      <c r="NJI2475" s="63"/>
      <c r="NJJ2475" s="61"/>
      <c r="NJK2475" s="54"/>
      <c r="NJL2475" s="54"/>
      <c r="NJM2475" s="60"/>
      <c r="NJN2475" s="60"/>
      <c r="NJO2475" s="60"/>
      <c r="NJP2475" s="60"/>
      <c r="NJQ2475" s="63"/>
      <c r="NJR2475" s="61"/>
      <c r="NJS2475" s="54"/>
      <c r="NJT2475" s="54"/>
      <c r="NJU2475" s="60"/>
      <c r="NJV2475" s="60"/>
      <c r="NJW2475" s="60"/>
      <c r="NJX2475" s="60"/>
      <c r="NJY2475" s="63"/>
      <c r="NJZ2475" s="61"/>
      <c r="NKA2475" s="54"/>
      <c r="NKB2475" s="54"/>
      <c r="NKC2475" s="60"/>
      <c r="NKD2475" s="60"/>
      <c r="NKE2475" s="60"/>
      <c r="NKF2475" s="60"/>
      <c r="NKG2475" s="63"/>
      <c r="NKH2475" s="61"/>
      <c r="NKI2475" s="54"/>
      <c r="NKJ2475" s="54"/>
      <c r="NKK2475" s="60"/>
      <c r="NKL2475" s="60"/>
      <c r="NKM2475" s="60"/>
      <c r="NKN2475" s="60"/>
      <c r="NKO2475" s="63"/>
      <c r="NKP2475" s="61"/>
      <c r="NKQ2475" s="54"/>
      <c r="NKR2475" s="54"/>
      <c r="NKS2475" s="60"/>
      <c r="NKT2475" s="60"/>
      <c r="NKU2475" s="60"/>
      <c r="NKV2475" s="60"/>
      <c r="NKW2475" s="63"/>
      <c r="NKX2475" s="61"/>
      <c r="NKY2475" s="54"/>
      <c r="NKZ2475" s="54"/>
      <c r="NLA2475" s="60"/>
      <c r="NLB2475" s="60"/>
      <c r="NLC2475" s="60"/>
      <c r="NLD2475" s="60"/>
      <c r="NLE2475" s="63"/>
      <c r="NLF2475" s="61"/>
      <c r="NLG2475" s="54"/>
      <c r="NLH2475" s="54"/>
      <c r="NLI2475" s="60"/>
      <c r="NLJ2475" s="60"/>
      <c r="NLK2475" s="60"/>
      <c r="NLL2475" s="60"/>
      <c r="NLM2475" s="63"/>
      <c r="NLN2475" s="61"/>
      <c r="NLO2475" s="54"/>
      <c r="NLP2475" s="54"/>
      <c r="NLQ2475" s="60"/>
      <c r="NLR2475" s="60"/>
      <c r="NLS2475" s="60"/>
      <c r="NLT2475" s="60"/>
      <c r="NLU2475" s="63"/>
      <c r="NLV2475" s="61"/>
      <c r="NLW2475" s="54"/>
      <c r="NLX2475" s="54"/>
      <c r="NLY2475" s="60"/>
      <c r="NLZ2475" s="60"/>
      <c r="NMA2475" s="60"/>
      <c r="NMB2475" s="60"/>
      <c r="NMC2475" s="63"/>
      <c r="NMD2475" s="61"/>
      <c r="NME2475" s="54"/>
      <c r="NMF2475" s="54"/>
      <c r="NMG2475" s="60"/>
      <c r="NMH2475" s="60"/>
      <c r="NMI2475" s="60"/>
      <c r="NMJ2475" s="60"/>
      <c r="NMK2475" s="63"/>
      <c r="NML2475" s="61"/>
      <c r="NMM2475" s="54"/>
      <c r="NMN2475" s="54"/>
      <c r="NMO2475" s="60"/>
      <c r="NMP2475" s="60"/>
      <c r="NMQ2475" s="60"/>
      <c r="NMR2475" s="60"/>
      <c r="NMS2475" s="63"/>
      <c r="NMT2475" s="61"/>
      <c r="NMU2475" s="54"/>
      <c r="NMV2475" s="54"/>
      <c r="NMW2475" s="60"/>
      <c r="NMX2475" s="60"/>
      <c r="NMY2475" s="60"/>
      <c r="NMZ2475" s="60"/>
      <c r="NNA2475" s="63"/>
      <c r="NNB2475" s="61"/>
      <c r="NNC2475" s="54"/>
      <c r="NND2475" s="54"/>
      <c r="NNE2475" s="60"/>
      <c r="NNF2475" s="60"/>
      <c r="NNG2475" s="60"/>
      <c r="NNH2475" s="60"/>
      <c r="NNI2475" s="63"/>
      <c r="NNJ2475" s="61"/>
      <c r="NNK2475" s="54"/>
      <c r="NNL2475" s="54"/>
      <c r="NNM2475" s="60"/>
      <c r="NNN2475" s="60"/>
      <c r="NNO2475" s="60"/>
      <c r="NNP2475" s="60"/>
      <c r="NNQ2475" s="63"/>
      <c r="NNR2475" s="61"/>
      <c r="NNS2475" s="54"/>
      <c r="NNT2475" s="54"/>
      <c r="NNU2475" s="60"/>
      <c r="NNV2475" s="60"/>
      <c r="NNW2475" s="60"/>
      <c r="NNX2475" s="60"/>
      <c r="NNY2475" s="63"/>
      <c r="NNZ2475" s="61"/>
      <c r="NOA2475" s="54"/>
      <c r="NOB2475" s="54"/>
      <c r="NOC2475" s="60"/>
      <c r="NOD2475" s="60"/>
      <c r="NOE2475" s="60"/>
      <c r="NOF2475" s="60"/>
      <c r="NOG2475" s="63"/>
      <c r="NOH2475" s="61"/>
      <c r="NOI2475" s="54"/>
      <c r="NOJ2475" s="54"/>
      <c r="NOK2475" s="60"/>
      <c r="NOL2475" s="60"/>
      <c r="NOM2475" s="60"/>
      <c r="NON2475" s="60"/>
      <c r="NOO2475" s="63"/>
      <c r="NOP2475" s="61"/>
      <c r="NOQ2475" s="54"/>
      <c r="NOR2475" s="54"/>
      <c r="NOS2475" s="60"/>
      <c r="NOT2475" s="60"/>
      <c r="NOU2475" s="60"/>
      <c r="NOV2475" s="60"/>
      <c r="NOW2475" s="63"/>
      <c r="NOX2475" s="61"/>
      <c r="NOY2475" s="54"/>
      <c r="NOZ2475" s="54"/>
      <c r="NPA2475" s="60"/>
      <c r="NPB2475" s="60"/>
      <c r="NPC2475" s="60"/>
      <c r="NPD2475" s="60"/>
      <c r="NPE2475" s="63"/>
      <c r="NPF2475" s="61"/>
      <c r="NPG2475" s="54"/>
      <c r="NPH2475" s="54"/>
      <c r="NPI2475" s="60"/>
      <c r="NPJ2475" s="60"/>
      <c r="NPK2475" s="60"/>
      <c r="NPL2475" s="60"/>
      <c r="NPM2475" s="63"/>
      <c r="NPN2475" s="61"/>
      <c r="NPO2475" s="54"/>
      <c r="NPP2475" s="54"/>
      <c r="NPQ2475" s="60"/>
      <c r="NPR2475" s="60"/>
      <c r="NPS2475" s="60"/>
      <c r="NPT2475" s="60"/>
      <c r="NPU2475" s="63"/>
      <c r="NPV2475" s="61"/>
      <c r="NPW2475" s="54"/>
      <c r="NPX2475" s="54"/>
      <c r="NPY2475" s="60"/>
      <c r="NPZ2475" s="60"/>
      <c r="NQA2475" s="60"/>
      <c r="NQB2475" s="60"/>
      <c r="NQC2475" s="63"/>
      <c r="NQD2475" s="61"/>
      <c r="NQE2475" s="54"/>
      <c r="NQF2475" s="54"/>
      <c r="NQG2475" s="60"/>
      <c r="NQH2475" s="60"/>
      <c r="NQI2475" s="60"/>
      <c r="NQJ2475" s="60"/>
      <c r="NQK2475" s="63"/>
      <c r="NQL2475" s="61"/>
      <c r="NQM2475" s="54"/>
      <c r="NQN2475" s="54"/>
      <c r="NQO2475" s="60"/>
      <c r="NQP2475" s="60"/>
      <c r="NQQ2475" s="60"/>
      <c r="NQR2475" s="60"/>
      <c r="NQS2475" s="63"/>
      <c r="NQT2475" s="61"/>
      <c r="NQU2475" s="54"/>
      <c r="NQV2475" s="54"/>
      <c r="NQW2475" s="60"/>
      <c r="NQX2475" s="60"/>
      <c r="NQY2475" s="60"/>
      <c r="NQZ2475" s="60"/>
      <c r="NRA2475" s="63"/>
      <c r="NRB2475" s="61"/>
      <c r="NRC2475" s="54"/>
      <c r="NRD2475" s="54"/>
      <c r="NRE2475" s="60"/>
      <c r="NRF2475" s="60"/>
      <c r="NRG2475" s="60"/>
      <c r="NRH2475" s="60"/>
      <c r="NRI2475" s="63"/>
      <c r="NRJ2475" s="61"/>
      <c r="NRK2475" s="54"/>
      <c r="NRL2475" s="54"/>
      <c r="NRM2475" s="60"/>
      <c r="NRN2475" s="60"/>
      <c r="NRO2475" s="60"/>
      <c r="NRP2475" s="60"/>
      <c r="NRQ2475" s="63"/>
      <c r="NRR2475" s="61"/>
      <c r="NRS2475" s="54"/>
      <c r="NRT2475" s="54"/>
      <c r="NRU2475" s="60"/>
      <c r="NRV2475" s="60"/>
      <c r="NRW2475" s="60"/>
      <c r="NRX2475" s="60"/>
      <c r="NRY2475" s="63"/>
      <c r="NRZ2475" s="61"/>
      <c r="NSA2475" s="54"/>
      <c r="NSB2475" s="54"/>
      <c r="NSC2475" s="60"/>
      <c r="NSD2475" s="60"/>
      <c r="NSE2475" s="60"/>
      <c r="NSF2475" s="60"/>
      <c r="NSG2475" s="63"/>
      <c r="NSH2475" s="61"/>
      <c r="NSI2475" s="54"/>
      <c r="NSJ2475" s="54"/>
      <c r="NSK2475" s="60"/>
      <c r="NSL2475" s="60"/>
      <c r="NSM2475" s="60"/>
      <c r="NSN2475" s="60"/>
      <c r="NSO2475" s="63"/>
      <c r="NSP2475" s="61"/>
      <c r="NSQ2475" s="54"/>
      <c r="NSR2475" s="54"/>
      <c r="NSS2475" s="60"/>
      <c r="NST2475" s="60"/>
      <c r="NSU2475" s="60"/>
      <c r="NSV2475" s="60"/>
      <c r="NSW2475" s="63"/>
      <c r="NSX2475" s="61"/>
      <c r="NSY2475" s="54"/>
      <c r="NSZ2475" s="54"/>
      <c r="NTA2475" s="60"/>
      <c r="NTB2475" s="60"/>
      <c r="NTC2475" s="60"/>
      <c r="NTD2475" s="60"/>
      <c r="NTE2475" s="63"/>
      <c r="NTF2475" s="61"/>
      <c r="NTG2475" s="54"/>
      <c r="NTH2475" s="54"/>
      <c r="NTI2475" s="60"/>
      <c r="NTJ2475" s="60"/>
      <c r="NTK2475" s="60"/>
      <c r="NTL2475" s="60"/>
      <c r="NTM2475" s="63"/>
      <c r="NTN2475" s="61"/>
      <c r="NTO2475" s="54"/>
      <c r="NTP2475" s="54"/>
      <c r="NTQ2475" s="60"/>
      <c r="NTR2475" s="60"/>
      <c r="NTS2475" s="60"/>
      <c r="NTT2475" s="60"/>
      <c r="NTU2475" s="63"/>
      <c r="NTV2475" s="61"/>
      <c r="NTW2475" s="54"/>
      <c r="NTX2475" s="54"/>
      <c r="NTY2475" s="60"/>
      <c r="NTZ2475" s="60"/>
      <c r="NUA2475" s="60"/>
      <c r="NUB2475" s="60"/>
      <c r="NUC2475" s="63"/>
      <c r="NUD2475" s="61"/>
      <c r="NUE2475" s="54"/>
      <c r="NUF2475" s="54"/>
      <c r="NUG2475" s="60"/>
      <c r="NUH2475" s="60"/>
      <c r="NUI2475" s="60"/>
      <c r="NUJ2475" s="60"/>
      <c r="NUK2475" s="63"/>
      <c r="NUL2475" s="61"/>
      <c r="NUM2475" s="54"/>
      <c r="NUN2475" s="54"/>
      <c r="NUO2475" s="60"/>
      <c r="NUP2475" s="60"/>
      <c r="NUQ2475" s="60"/>
      <c r="NUR2475" s="60"/>
      <c r="NUS2475" s="63"/>
      <c r="NUT2475" s="61"/>
      <c r="NUU2475" s="54"/>
      <c r="NUV2475" s="54"/>
      <c r="NUW2475" s="60"/>
      <c r="NUX2475" s="60"/>
      <c r="NUY2475" s="60"/>
      <c r="NUZ2475" s="60"/>
      <c r="NVA2475" s="63"/>
      <c r="NVB2475" s="61"/>
      <c r="NVC2475" s="54"/>
      <c r="NVD2475" s="54"/>
      <c r="NVE2475" s="60"/>
      <c r="NVF2475" s="60"/>
      <c r="NVG2475" s="60"/>
      <c r="NVH2475" s="60"/>
      <c r="NVI2475" s="63"/>
      <c r="NVJ2475" s="61"/>
      <c r="NVK2475" s="54"/>
      <c r="NVL2475" s="54"/>
      <c r="NVM2475" s="60"/>
      <c r="NVN2475" s="60"/>
      <c r="NVO2475" s="60"/>
      <c r="NVP2475" s="60"/>
      <c r="NVQ2475" s="63"/>
      <c r="NVR2475" s="61"/>
      <c r="NVS2475" s="54"/>
      <c r="NVT2475" s="54"/>
      <c r="NVU2475" s="60"/>
      <c r="NVV2475" s="60"/>
      <c r="NVW2475" s="60"/>
      <c r="NVX2475" s="60"/>
      <c r="NVY2475" s="63"/>
      <c r="NVZ2475" s="61"/>
      <c r="NWA2475" s="54"/>
      <c r="NWB2475" s="54"/>
      <c r="NWC2475" s="60"/>
      <c r="NWD2475" s="60"/>
      <c r="NWE2475" s="60"/>
      <c r="NWF2475" s="60"/>
      <c r="NWG2475" s="63"/>
      <c r="NWH2475" s="61"/>
      <c r="NWI2475" s="54"/>
      <c r="NWJ2475" s="54"/>
      <c r="NWK2475" s="60"/>
      <c r="NWL2475" s="60"/>
      <c r="NWM2475" s="60"/>
      <c r="NWN2475" s="60"/>
      <c r="NWO2475" s="63"/>
      <c r="NWP2475" s="61"/>
      <c r="NWQ2475" s="54"/>
      <c r="NWR2475" s="54"/>
      <c r="NWS2475" s="60"/>
      <c r="NWT2475" s="60"/>
      <c r="NWU2475" s="60"/>
      <c r="NWV2475" s="60"/>
      <c r="NWW2475" s="63"/>
      <c r="NWX2475" s="61"/>
      <c r="NWY2475" s="54"/>
      <c r="NWZ2475" s="54"/>
      <c r="NXA2475" s="60"/>
      <c r="NXB2475" s="60"/>
      <c r="NXC2475" s="60"/>
      <c r="NXD2475" s="60"/>
      <c r="NXE2475" s="63"/>
      <c r="NXF2475" s="61"/>
      <c r="NXG2475" s="54"/>
      <c r="NXH2475" s="54"/>
      <c r="NXI2475" s="60"/>
      <c r="NXJ2475" s="60"/>
      <c r="NXK2475" s="60"/>
      <c r="NXL2475" s="60"/>
      <c r="NXM2475" s="63"/>
      <c r="NXN2475" s="61"/>
      <c r="NXO2475" s="54"/>
      <c r="NXP2475" s="54"/>
      <c r="NXQ2475" s="60"/>
      <c r="NXR2475" s="60"/>
      <c r="NXS2475" s="60"/>
      <c r="NXT2475" s="60"/>
      <c r="NXU2475" s="63"/>
      <c r="NXV2475" s="61"/>
      <c r="NXW2475" s="54"/>
      <c r="NXX2475" s="54"/>
      <c r="NXY2475" s="60"/>
      <c r="NXZ2475" s="60"/>
      <c r="NYA2475" s="60"/>
      <c r="NYB2475" s="60"/>
      <c r="NYC2475" s="63"/>
      <c r="NYD2475" s="61"/>
      <c r="NYE2475" s="54"/>
      <c r="NYF2475" s="54"/>
      <c r="NYG2475" s="60"/>
      <c r="NYH2475" s="60"/>
      <c r="NYI2475" s="60"/>
      <c r="NYJ2475" s="60"/>
      <c r="NYK2475" s="63"/>
      <c r="NYL2475" s="61"/>
      <c r="NYM2475" s="54"/>
      <c r="NYN2475" s="54"/>
      <c r="NYO2475" s="60"/>
      <c r="NYP2475" s="60"/>
      <c r="NYQ2475" s="60"/>
      <c r="NYR2475" s="60"/>
      <c r="NYS2475" s="63"/>
      <c r="NYT2475" s="61"/>
      <c r="NYU2475" s="54"/>
      <c r="NYV2475" s="54"/>
      <c r="NYW2475" s="60"/>
      <c r="NYX2475" s="60"/>
      <c r="NYY2475" s="60"/>
      <c r="NYZ2475" s="60"/>
      <c r="NZA2475" s="63"/>
      <c r="NZB2475" s="61"/>
      <c r="NZC2475" s="54"/>
      <c r="NZD2475" s="54"/>
      <c r="NZE2475" s="60"/>
      <c r="NZF2475" s="60"/>
      <c r="NZG2475" s="60"/>
      <c r="NZH2475" s="60"/>
      <c r="NZI2475" s="63"/>
      <c r="NZJ2475" s="61"/>
      <c r="NZK2475" s="54"/>
      <c r="NZL2475" s="54"/>
      <c r="NZM2475" s="60"/>
      <c r="NZN2475" s="60"/>
      <c r="NZO2475" s="60"/>
      <c r="NZP2475" s="60"/>
      <c r="NZQ2475" s="63"/>
      <c r="NZR2475" s="61"/>
      <c r="NZS2475" s="54"/>
      <c r="NZT2475" s="54"/>
      <c r="NZU2475" s="60"/>
      <c r="NZV2475" s="60"/>
      <c r="NZW2475" s="60"/>
      <c r="NZX2475" s="60"/>
      <c r="NZY2475" s="63"/>
      <c r="NZZ2475" s="61"/>
      <c r="OAA2475" s="54"/>
      <c r="OAB2475" s="54"/>
      <c r="OAC2475" s="60"/>
      <c r="OAD2475" s="60"/>
      <c r="OAE2475" s="60"/>
      <c r="OAF2475" s="60"/>
      <c r="OAG2475" s="63"/>
      <c r="OAH2475" s="61"/>
      <c r="OAI2475" s="54"/>
      <c r="OAJ2475" s="54"/>
      <c r="OAK2475" s="60"/>
      <c r="OAL2475" s="60"/>
      <c r="OAM2475" s="60"/>
      <c r="OAN2475" s="60"/>
      <c r="OAO2475" s="63"/>
      <c r="OAP2475" s="61"/>
      <c r="OAQ2475" s="54"/>
      <c r="OAR2475" s="54"/>
      <c r="OAS2475" s="60"/>
      <c r="OAT2475" s="60"/>
      <c r="OAU2475" s="60"/>
      <c r="OAV2475" s="60"/>
      <c r="OAW2475" s="63"/>
      <c r="OAX2475" s="61"/>
      <c r="OAY2475" s="54"/>
      <c r="OAZ2475" s="54"/>
      <c r="OBA2475" s="60"/>
      <c r="OBB2475" s="60"/>
      <c r="OBC2475" s="60"/>
      <c r="OBD2475" s="60"/>
      <c r="OBE2475" s="63"/>
      <c r="OBF2475" s="61"/>
      <c r="OBG2475" s="54"/>
      <c r="OBH2475" s="54"/>
      <c r="OBI2475" s="60"/>
      <c r="OBJ2475" s="60"/>
      <c r="OBK2475" s="60"/>
      <c r="OBL2475" s="60"/>
      <c r="OBM2475" s="63"/>
      <c r="OBN2475" s="61"/>
      <c r="OBO2475" s="54"/>
      <c r="OBP2475" s="54"/>
      <c r="OBQ2475" s="60"/>
      <c r="OBR2475" s="60"/>
      <c r="OBS2475" s="60"/>
      <c r="OBT2475" s="60"/>
      <c r="OBU2475" s="63"/>
      <c r="OBV2475" s="61"/>
      <c r="OBW2475" s="54"/>
      <c r="OBX2475" s="54"/>
      <c r="OBY2475" s="60"/>
      <c r="OBZ2475" s="60"/>
      <c r="OCA2475" s="60"/>
      <c r="OCB2475" s="60"/>
      <c r="OCC2475" s="63"/>
      <c r="OCD2475" s="61"/>
      <c r="OCE2475" s="54"/>
      <c r="OCF2475" s="54"/>
      <c r="OCG2475" s="60"/>
      <c r="OCH2475" s="60"/>
      <c r="OCI2475" s="60"/>
      <c r="OCJ2475" s="60"/>
      <c r="OCK2475" s="63"/>
      <c r="OCL2475" s="61"/>
      <c r="OCM2475" s="54"/>
      <c r="OCN2475" s="54"/>
      <c r="OCO2475" s="60"/>
      <c r="OCP2475" s="60"/>
      <c r="OCQ2475" s="60"/>
      <c r="OCR2475" s="60"/>
      <c r="OCS2475" s="63"/>
      <c r="OCT2475" s="61"/>
      <c r="OCU2475" s="54"/>
      <c r="OCV2475" s="54"/>
      <c r="OCW2475" s="60"/>
      <c r="OCX2475" s="60"/>
      <c r="OCY2475" s="60"/>
      <c r="OCZ2475" s="60"/>
      <c r="ODA2475" s="63"/>
      <c r="ODB2475" s="61"/>
      <c r="ODC2475" s="54"/>
      <c r="ODD2475" s="54"/>
      <c r="ODE2475" s="60"/>
      <c r="ODF2475" s="60"/>
      <c r="ODG2475" s="60"/>
      <c r="ODH2475" s="60"/>
      <c r="ODI2475" s="63"/>
      <c r="ODJ2475" s="61"/>
      <c r="ODK2475" s="54"/>
      <c r="ODL2475" s="54"/>
      <c r="ODM2475" s="60"/>
      <c r="ODN2475" s="60"/>
      <c r="ODO2475" s="60"/>
      <c r="ODP2475" s="60"/>
      <c r="ODQ2475" s="63"/>
      <c r="ODR2475" s="61"/>
      <c r="ODS2475" s="54"/>
      <c r="ODT2475" s="54"/>
      <c r="ODU2475" s="60"/>
      <c r="ODV2475" s="60"/>
      <c r="ODW2475" s="60"/>
      <c r="ODX2475" s="60"/>
      <c r="ODY2475" s="63"/>
      <c r="ODZ2475" s="61"/>
      <c r="OEA2475" s="54"/>
      <c r="OEB2475" s="54"/>
      <c r="OEC2475" s="60"/>
      <c r="OED2475" s="60"/>
      <c r="OEE2475" s="60"/>
      <c r="OEF2475" s="60"/>
      <c r="OEG2475" s="63"/>
      <c r="OEH2475" s="61"/>
      <c r="OEI2475" s="54"/>
      <c r="OEJ2475" s="54"/>
      <c r="OEK2475" s="60"/>
      <c r="OEL2475" s="60"/>
      <c r="OEM2475" s="60"/>
      <c r="OEN2475" s="60"/>
      <c r="OEO2475" s="63"/>
      <c r="OEP2475" s="61"/>
      <c r="OEQ2475" s="54"/>
      <c r="OER2475" s="54"/>
      <c r="OES2475" s="60"/>
      <c r="OET2475" s="60"/>
      <c r="OEU2475" s="60"/>
      <c r="OEV2475" s="60"/>
      <c r="OEW2475" s="63"/>
      <c r="OEX2475" s="61"/>
      <c r="OEY2475" s="54"/>
      <c r="OEZ2475" s="54"/>
      <c r="OFA2475" s="60"/>
      <c r="OFB2475" s="60"/>
      <c r="OFC2475" s="60"/>
      <c r="OFD2475" s="60"/>
      <c r="OFE2475" s="63"/>
      <c r="OFF2475" s="61"/>
      <c r="OFG2475" s="54"/>
      <c r="OFH2475" s="54"/>
      <c r="OFI2475" s="60"/>
      <c r="OFJ2475" s="60"/>
      <c r="OFK2475" s="60"/>
      <c r="OFL2475" s="60"/>
      <c r="OFM2475" s="63"/>
      <c r="OFN2475" s="61"/>
      <c r="OFO2475" s="54"/>
      <c r="OFP2475" s="54"/>
      <c r="OFQ2475" s="60"/>
      <c r="OFR2475" s="60"/>
      <c r="OFS2475" s="60"/>
      <c r="OFT2475" s="60"/>
      <c r="OFU2475" s="63"/>
      <c r="OFV2475" s="61"/>
      <c r="OFW2475" s="54"/>
      <c r="OFX2475" s="54"/>
      <c r="OFY2475" s="60"/>
      <c r="OFZ2475" s="60"/>
      <c r="OGA2475" s="60"/>
      <c r="OGB2475" s="60"/>
      <c r="OGC2475" s="63"/>
      <c r="OGD2475" s="61"/>
      <c r="OGE2475" s="54"/>
      <c r="OGF2475" s="54"/>
      <c r="OGG2475" s="60"/>
      <c r="OGH2475" s="60"/>
      <c r="OGI2475" s="60"/>
      <c r="OGJ2475" s="60"/>
      <c r="OGK2475" s="63"/>
      <c r="OGL2475" s="61"/>
      <c r="OGM2475" s="54"/>
      <c r="OGN2475" s="54"/>
      <c r="OGO2475" s="60"/>
      <c r="OGP2475" s="60"/>
      <c r="OGQ2475" s="60"/>
      <c r="OGR2475" s="60"/>
      <c r="OGS2475" s="63"/>
      <c r="OGT2475" s="61"/>
      <c r="OGU2475" s="54"/>
      <c r="OGV2475" s="54"/>
      <c r="OGW2475" s="60"/>
      <c r="OGX2475" s="60"/>
      <c r="OGY2475" s="60"/>
      <c r="OGZ2475" s="60"/>
      <c r="OHA2475" s="63"/>
      <c r="OHB2475" s="61"/>
      <c r="OHC2475" s="54"/>
      <c r="OHD2475" s="54"/>
      <c r="OHE2475" s="60"/>
      <c r="OHF2475" s="60"/>
      <c r="OHG2475" s="60"/>
      <c r="OHH2475" s="60"/>
      <c r="OHI2475" s="63"/>
      <c r="OHJ2475" s="61"/>
      <c r="OHK2475" s="54"/>
      <c r="OHL2475" s="54"/>
      <c r="OHM2475" s="60"/>
      <c r="OHN2475" s="60"/>
      <c r="OHO2475" s="60"/>
      <c r="OHP2475" s="60"/>
      <c r="OHQ2475" s="63"/>
      <c r="OHR2475" s="61"/>
      <c r="OHS2475" s="54"/>
      <c r="OHT2475" s="54"/>
      <c r="OHU2475" s="60"/>
      <c r="OHV2475" s="60"/>
      <c r="OHW2475" s="60"/>
      <c r="OHX2475" s="60"/>
      <c r="OHY2475" s="63"/>
      <c r="OHZ2475" s="61"/>
      <c r="OIA2475" s="54"/>
      <c r="OIB2475" s="54"/>
      <c r="OIC2475" s="60"/>
      <c r="OID2475" s="60"/>
      <c r="OIE2475" s="60"/>
      <c r="OIF2475" s="60"/>
      <c r="OIG2475" s="63"/>
      <c r="OIH2475" s="61"/>
      <c r="OII2475" s="54"/>
      <c r="OIJ2475" s="54"/>
      <c r="OIK2475" s="60"/>
      <c r="OIL2475" s="60"/>
      <c r="OIM2475" s="60"/>
      <c r="OIN2475" s="60"/>
      <c r="OIO2475" s="63"/>
      <c r="OIP2475" s="61"/>
      <c r="OIQ2475" s="54"/>
      <c r="OIR2475" s="54"/>
      <c r="OIS2475" s="60"/>
      <c r="OIT2475" s="60"/>
      <c r="OIU2475" s="60"/>
      <c r="OIV2475" s="60"/>
      <c r="OIW2475" s="63"/>
      <c r="OIX2475" s="61"/>
      <c r="OIY2475" s="54"/>
      <c r="OIZ2475" s="54"/>
      <c r="OJA2475" s="60"/>
      <c r="OJB2475" s="60"/>
      <c r="OJC2475" s="60"/>
      <c r="OJD2475" s="60"/>
      <c r="OJE2475" s="63"/>
      <c r="OJF2475" s="61"/>
      <c r="OJG2475" s="54"/>
      <c r="OJH2475" s="54"/>
      <c r="OJI2475" s="60"/>
      <c r="OJJ2475" s="60"/>
      <c r="OJK2475" s="60"/>
      <c r="OJL2475" s="60"/>
      <c r="OJM2475" s="63"/>
      <c r="OJN2475" s="61"/>
      <c r="OJO2475" s="54"/>
      <c r="OJP2475" s="54"/>
      <c r="OJQ2475" s="60"/>
      <c r="OJR2475" s="60"/>
      <c r="OJS2475" s="60"/>
      <c r="OJT2475" s="60"/>
      <c r="OJU2475" s="63"/>
      <c r="OJV2475" s="61"/>
      <c r="OJW2475" s="54"/>
      <c r="OJX2475" s="54"/>
      <c r="OJY2475" s="60"/>
      <c r="OJZ2475" s="60"/>
      <c r="OKA2475" s="60"/>
      <c r="OKB2475" s="60"/>
      <c r="OKC2475" s="63"/>
      <c r="OKD2475" s="61"/>
      <c r="OKE2475" s="54"/>
      <c r="OKF2475" s="54"/>
      <c r="OKG2475" s="60"/>
      <c r="OKH2475" s="60"/>
      <c r="OKI2475" s="60"/>
      <c r="OKJ2475" s="60"/>
      <c r="OKK2475" s="63"/>
      <c r="OKL2475" s="61"/>
      <c r="OKM2475" s="54"/>
      <c r="OKN2475" s="54"/>
      <c r="OKO2475" s="60"/>
      <c r="OKP2475" s="60"/>
      <c r="OKQ2475" s="60"/>
      <c r="OKR2475" s="60"/>
      <c r="OKS2475" s="63"/>
      <c r="OKT2475" s="61"/>
      <c r="OKU2475" s="54"/>
      <c r="OKV2475" s="54"/>
      <c r="OKW2475" s="60"/>
      <c r="OKX2475" s="60"/>
      <c r="OKY2475" s="60"/>
      <c r="OKZ2475" s="60"/>
      <c r="OLA2475" s="63"/>
      <c r="OLB2475" s="61"/>
      <c r="OLC2475" s="54"/>
      <c r="OLD2475" s="54"/>
      <c r="OLE2475" s="60"/>
      <c r="OLF2475" s="60"/>
      <c r="OLG2475" s="60"/>
      <c r="OLH2475" s="60"/>
      <c r="OLI2475" s="63"/>
      <c r="OLJ2475" s="61"/>
      <c r="OLK2475" s="54"/>
      <c r="OLL2475" s="54"/>
      <c r="OLM2475" s="60"/>
      <c r="OLN2475" s="60"/>
      <c r="OLO2475" s="60"/>
      <c r="OLP2475" s="60"/>
      <c r="OLQ2475" s="63"/>
      <c r="OLR2475" s="61"/>
      <c r="OLS2475" s="54"/>
      <c r="OLT2475" s="54"/>
      <c r="OLU2475" s="60"/>
      <c r="OLV2475" s="60"/>
      <c r="OLW2475" s="60"/>
      <c r="OLX2475" s="60"/>
      <c r="OLY2475" s="63"/>
      <c r="OLZ2475" s="61"/>
      <c r="OMA2475" s="54"/>
      <c r="OMB2475" s="54"/>
      <c r="OMC2475" s="60"/>
      <c r="OMD2475" s="60"/>
      <c r="OME2475" s="60"/>
      <c r="OMF2475" s="60"/>
      <c r="OMG2475" s="63"/>
      <c r="OMH2475" s="61"/>
      <c r="OMI2475" s="54"/>
      <c r="OMJ2475" s="54"/>
      <c r="OMK2475" s="60"/>
      <c r="OML2475" s="60"/>
      <c r="OMM2475" s="60"/>
      <c r="OMN2475" s="60"/>
      <c r="OMO2475" s="63"/>
      <c r="OMP2475" s="61"/>
      <c r="OMQ2475" s="54"/>
      <c r="OMR2475" s="54"/>
      <c r="OMS2475" s="60"/>
      <c r="OMT2475" s="60"/>
      <c r="OMU2475" s="60"/>
      <c r="OMV2475" s="60"/>
      <c r="OMW2475" s="63"/>
      <c r="OMX2475" s="61"/>
      <c r="OMY2475" s="54"/>
      <c r="OMZ2475" s="54"/>
      <c r="ONA2475" s="60"/>
      <c r="ONB2475" s="60"/>
      <c r="ONC2475" s="60"/>
      <c r="OND2475" s="60"/>
      <c r="ONE2475" s="63"/>
      <c r="ONF2475" s="61"/>
      <c r="ONG2475" s="54"/>
      <c r="ONH2475" s="54"/>
      <c r="ONI2475" s="60"/>
      <c r="ONJ2475" s="60"/>
      <c r="ONK2475" s="60"/>
      <c r="ONL2475" s="60"/>
      <c r="ONM2475" s="63"/>
      <c r="ONN2475" s="61"/>
      <c r="ONO2475" s="54"/>
      <c r="ONP2475" s="54"/>
      <c r="ONQ2475" s="60"/>
      <c r="ONR2475" s="60"/>
      <c r="ONS2475" s="60"/>
      <c r="ONT2475" s="60"/>
      <c r="ONU2475" s="63"/>
      <c r="ONV2475" s="61"/>
      <c r="ONW2475" s="54"/>
      <c r="ONX2475" s="54"/>
      <c r="ONY2475" s="60"/>
      <c r="ONZ2475" s="60"/>
      <c r="OOA2475" s="60"/>
      <c r="OOB2475" s="60"/>
      <c r="OOC2475" s="63"/>
      <c r="OOD2475" s="61"/>
      <c r="OOE2475" s="54"/>
      <c r="OOF2475" s="54"/>
      <c r="OOG2475" s="60"/>
      <c r="OOH2475" s="60"/>
      <c r="OOI2475" s="60"/>
      <c r="OOJ2475" s="60"/>
      <c r="OOK2475" s="63"/>
      <c r="OOL2475" s="61"/>
      <c r="OOM2475" s="54"/>
      <c r="OON2475" s="54"/>
      <c r="OOO2475" s="60"/>
      <c r="OOP2475" s="60"/>
      <c r="OOQ2475" s="60"/>
      <c r="OOR2475" s="60"/>
      <c r="OOS2475" s="63"/>
      <c r="OOT2475" s="61"/>
      <c r="OOU2475" s="54"/>
      <c r="OOV2475" s="54"/>
      <c r="OOW2475" s="60"/>
      <c r="OOX2475" s="60"/>
      <c r="OOY2475" s="60"/>
      <c r="OOZ2475" s="60"/>
      <c r="OPA2475" s="63"/>
      <c r="OPB2475" s="61"/>
      <c r="OPC2475" s="54"/>
      <c r="OPD2475" s="54"/>
      <c r="OPE2475" s="60"/>
      <c r="OPF2475" s="60"/>
      <c r="OPG2475" s="60"/>
      <c r="OPH2475" s="60"/>
      <c r="OPI2475" s="63"/>
      <c r="OPJ2475" s="61"/>
      <c r="OPK2475" s="54"/>
      <c r="OPL2475" s="54"/>
      <c r="OPM2475" s="60"/>
      <c r="OPN2475" s="60"/>
      <c r="OPO2475" s="60"/>
      <c r="OPP2475" s="60"/>
      <c r="OPQ2475" s="63"/>
      <c r="OPR2475" s="61"/>
      <c r="OPS2475" s="54"/>
      <c r="OPT2475" s="54"/>
      <c r="OPU2475" s="60"/>
      <c r="OPV2475" s="60"/>
      <c r="OPW2475" s="60"/>
      <c r="OPX2475" s="60"/>
      <c r="OPY2475" s="63"/>
      <c r="OPZ2475" s="61"/>
      <c r="OQA2475" s="54"/>
      <c r="OQB2475" s="54"/>
      <c r="OQC2475" s="60"/>
      <c r="OQD2475" s="60"/>
      <c r="OQE2475" s="60"/>
      <c r="OQF2475" s="60"/>
      <c r="OQG2475" s="63"/>
      <c r="OQH2475" s="61"/>
      <c r="OQI2475" s="54"/>
      <c r="OQJ2475" s="54"/>
      <c r="OQK2475" s="60"/>
      <c r="OQL2475" s="60"/>
      <c r="OQM2475" s="60"/>
      <c r="OQN2475" s="60"/>
      <c r="OQO2475" s="63"/>
      <c r="OQP2475" s="61"/>
      <c r="OQQ2475" s="54"/>
      <c r="OQR2475" s="54"/>
      <c r="OQS2475" s="60"/>
      <c r="OQT2475" s="60"/>
      <c r="OQU2475" s="60"/>
      <c r="OQV2475" s="60"/>
      <c r="OQW2475" s="63"/>
      <c r="OQX2475" s="61"/>
      <c r="OQY2475" s="54"/>
      <c r="OQZ2475" s="54"/>
      <c r="ORA2475" s="60"/>
      <c r="ORB2475" s="60"/>
      <c r="ORC2475" s="60"/>
      <c r="ORD2475" s="60"/>
      <c r="ORE2475" s="63"/>
      <c r="ORF2475" s="61"/>
      <c r="ORG2475" s="54"/>
      <c r="ORH2475" s="54"/>
      <c r="ORI2475" s="60"/>
      <c r="ORJ2475" s="60"/>
      <c r="ORK2475" s="60"/>
      <c r="ORL2475" s="60"/>
      <c r="ORM2475" s="63"/>
      <c r="ORN2475" s="61"/>
      <c r="ORO2475" s="54"/>
      <c r="ORP2475" s="54"/>
      <c r="ORQ2475" s="60"/>
      <c r="ORR2475" s="60"/>
      <c r="ORS2475" s="60"/>
      <c r="ORT2475" s="60"/>
      <c r="ORU2475" s="63"/>
      <c r="ORV2475" s="61"/>
      <c r="ORW2475" s="54"/>
      <c r="ORX2475" s="54"/>
      <c r="ORY2475" s="60"/>
      <c r="ORZ2475" s="60"/>
      <c r="OSA2475" s="60"/>
      <c r="OSB2475" s="60"/>
      <c r="OSC2475" s="63"/>
      <c r="OSD2475" s="61"/>
      <c r="OSE2475" s="54"/>
      <c r="OSF2475" s="54"/>
      <c r="OSG2475" s="60"/>
      <c r="OSH2475" s="60"/>
      <c r="OSI2475" s="60"/>
      <c r="OSJ2475" s="60"/>
      <c r="OSK2475" s="63"/>
      <c r="OSL2475" s="61"/>
      <c r="OSM2475" s="54"/>
      <c r="OSN2475" s="54"/>
      <c r="OSO2475" s="60"/>
      <c r="OSP2475" s="60"/>
      <c r="OSQ2475" s="60"/>
      <c r="OSR2475" s="60"/>
      <c r="OSS2475" s="63"/>
      <c r="OST2475" s="61"/>
      <c r="OSU2475" s="54"/>
      <c r="OSV2475" s="54"/>
      <c r="OSW2475" s="60"/>
      <c r="OSX2475" s="60"/>
      <c r="OSY2475" s="60"/>
      <c r="OSZ2475" s="60"/>
      <c r="OTA2475" s="63"/>
      <c r="OTB2475" s="61"/>
      <c r="OTC2475" s="54"/>
      <c r="OTD2475" s="54"/>
      <c r="OTE2475" s="60"/>
      <c r="OTF2475" s="60"/>
      <c r="OTG2475" s="60"/>
      <c r="OTH2475" s="60"/>
      <c r="OTI2475" s="63"/>
      <c r="OTJ2475" s="61"/>
      <c r="OTK2475" s="54"/>
      <c r="OTL2475" s="54"/>
      <c r="OTM2475" s="60"/>
      <c r="OTN2475" s="60"/>
      <c r="OTO2475" s="60"/>
      <c r="OTP2475" s="60"/>
      <c r="OTQ2475" s="63"/>
      <c r="OTR2475" s="61"/>
      <c r="OTS2475" s="54"/>
      <c r="OTT2475" s="54"/>
      <c r="OTU2475" s="60"/>
      <c r="OTV2475" s="60"/>
      <c r="OTW2475" s="60"/>
      <c r="OTX2475" s="60"/>
      <c r="OTY2475" s="63"/>
      <c r="OTZ2475" s="61"/>
      <c r="OUA2475" s="54"/>
      <c r="OUB2475" s="54"/>
      <c r="OUC2475" s="60"/>
      <c r="OUD2475" s="60"/>
      <c r="OUE2475" s="60"/>
      <c r="OUF2475" s="60"/>
      <c r="OUG2475" s="63"/>
      <c r="OUH2475" s="61"/>
      <c r="OUI2475" s="54"/>
      <c r="OUJ2475" s="54"/>
      <c r="OUK2475" s="60"/>
      <c r="OUL2475" s="60"/>
      <c r="OUM2475" s="60"/>
      <c r="OUN2475" s="60"/>
      <c r="OUO2475" s="63"/>
      <c r="OUP2475" s="61"/>
      <c r="OUQ2475" s="54"/>
      <c r="OUR2475" s="54"/>
      <c r="OUS2475" s="60"/>
      <c r="OUT2475" s="60"/>
      <c r="OUU2475" s="60"/>
      <c r="OUV2475" s="60"/>
      <c r="OUW2475" s="63"/>
      <c r="OUX2475" s="61"/>
      <c r="OUY2475" s="54"/>
      <c r="OUZ2475" s="54"/>
      <c r="OVA2475" s="60"/>
      <c r="OVB2475" s="60"/>
      <c r="OVC2475" s="60"/>
      <c r="OVD2475" s="60"/>
      <c r="OVE2475" s="63"/>
      <c r="OVF2475" s="61"/>
      <c r="OVG2475" s="54"/>
      <c r="OVH2475" s="54"/>
      <c r="OVI2475" s="60"/>
      <c r="OVJ2475" s="60"/>
      <c r="OVK2475" s="60"/>
      <c r="OVL2475" s="60"/>
      <c r="OVM2475" s="63"/>
      <c r="OVN2475" s="61"/>
      <c r="OVO2475" s="54"/>
      <c r="OVP2475" s="54"/>
      <c r="OVQ2475" s="60"/>
      <c r="OVR2475" s="60"/>
      <c r="OVS2475" s="60"/>
      <c r="OVT2475" s="60"/>
      <c r="OVU2475" s="63"/>
      <c r="OVV2475" s="61"/>
      <c r="OVW2475" s="54"/>
      <c r="OVX2475" s="54"/>
      <c r="OVY2475" s="60"/>
      <c r="OVZ2475" s="60"/>
      <c r="OWA2475" s="60"/>
      <c r="OWB2475" s="60"/>
      <c r="OWC2475" s="63"/>
      <c r="OWD2475" s="61"/>
      <c r="OWE2475" s="54"/>
      <c r="OWF2475" s="54"/>
      <c r="OWG2475" s="60"/>
      <c r="OWH2475" s="60"/>
      <c r="OWI2475" s="60"/>
      <c r="OWJ2475" s="60"/>
      <c r="OWK2475" s="63"/>
      <c r="OWL2475" s="61"/>
      <c r="OWM2475" s="54"/>
      <c r="OWN2475" s="54"/>
      <c r="OWO2475" s="60"/>
      <c r="OWP2475" s="60"/>
      <c r="OWQ2475" s="60"/>
      <c r="OWR2475" s="60"/>
      <c r="OWS2475" s="63"/>
      <c r="OWT2475" s="61"/>
      <c r="OWU2475" s="54"/>
      <c r="OWV2475" s="54"/>
      <c r="OWW2475" s="60"/>
      <c r="OWX2475" s="60"/>
      <c r="OWY2475" s="60"/>
      <c r="OWZ2475" s="60"/>
      <c r="OXA2475" s="63"/>
      <c r="OXB2475" s="61"/>
      <c r="OXC2475" s="54"/>
      <c r="OXD2475" s="54"/>
      <c r="OXE2475" s="60"/>
      <c r="OXF2475" s="60"/>
      <c r="OXG2475" s="60"/>
      <c r="OXH2475" s="60"/>
      <c r="OXI2475" s="63"/>
      <c r="OXJ2475" s="61"/>
      <c r="OXK2475" s="54"/>
      <c r="OXL2475" s="54"/>
      <c r="OXM2475" s="60"/>
      <c r="OXN2475" s="60"/>
      <c r="OXO2475" s="60"/>
      <c r="OXP2475" s="60"/>
      <c r="OXQ2475" s="63"/>
      <c r="OXR2475" s="61"/>
      <c r="OXS2475" s="54"/>
      <c r="OXT2475" s="54"/>
      <c r="OXU2475" s="60"/>
      <c r="OXV2475" s="60"/>
      <c r="OXW2475" s="60"/>
      <c r="OXX2475" s="60"/>
      <c r="OXY2475" s="63"/>
      <c r="OXZ2475" s="61"/>
      <c r="OYA2475" s="54"/>
      <c r="OYB2475" s="54"/>
      <c r="OYC2475" s="60"/>
      <c r="OYD2475" s="60"/>
      <c r="OYE2475" s="60"/>
      <c r="OYF2475" s="60"/>
      <c r="OYG2475" s="63"/>
      <c r="OYH2475" s="61"/>
      <c r="OYI2475" s="54"/>
      <c r="OYJ2475" s="54"/>
      <c r="OYK2475" s="60"/>
      <c r="OYL2475" s="60"/>
      <c r="OYM2475" s="60"/>
      <c r="OYN2475" s="60"/>
      <c r="OYO2475" s="63"/>
      <c r="OYP2475" s="61"/>
      <c r="OYQ2475" s="54"/>
      <c r="OYR2475" s="54"/>
      <c r="OYS2475" s="60"/>
      <c r="OYT2475" s="60"/>
      <c r="OYU2475" s="60"/>
      <c r="OYV2475" s="60"/>
      <c r="OYW2475" s="63"/>
      <c r="OYX2475" s="61"/>
      <c r="OYY2475" s="54"/>
      <c r="OYZ2475" s="54"/>
      <c r="OZA2475" s="60"/>
      <c r="OZB2475" s="60"/>
      <c r="OZC2475" s="60"/>
      <c r="OZD2475" s="60"/>
      <c r="OZE2475" s="63"/>
      <c r="OZF2475" s="61"/>
      <c r="OZG2475" s="54"/>
      <c r="OZH2475" s="54"/>
      <c r="OZI2475" s="60"/>
      <c r="OZJ2475" s="60"/>
      <c r="OZK2475" s="60"/>
      <c r="OZL2475" s="60"/>
      <c r="OZM2475" s="63"/>
      <c r="OZN2475" s="61"/>
      <c r="OZO2475" s="54"/>
      <c r="OZP2475" s="54"/>
      <c r="OZQ2475" s="60"/>
      <c r="OZR2475" s="60"/>
      <c r="OZS2475" s="60"/>
      <c r="OZT2475" s="60"/>
      <c r="OZU2475" s="63"/>
      <c r="OZV2475" s="61"/>
      <c r="OZW2475" s="54"/>
      <c r="OZX2475" s="54"/>
      <c r="OZY2475" s="60"/>
      <c r="OZZ2475" s="60"/>
      <c r="PAA2475" s="60"/>
      <c r="PAB2475" s="60"/>
      <c r="PAC2475" s="63"/>
      <c r="PAD2475" s="61"/>
      <c r="PAE2475" s="54"/>
      <c r="PAF2475" s="54"/>
      <c r="PAG2475" s="60"/>
      <c r="PAH2475" s="60"/>
      <c r="PAI2475" s="60"/>
      <c r="PAJ2475" s="60"/>
      <c r="PAK2475" s="63"/>
      <c r="PAL2475" s="61"/>
      <c r="PAM2475" s="54"/>
      <c r="PAN2475" s="54"/>
      <c r="PAO2475" s="60"/>
      <c r="PAP2475" s="60"/>
      <c r="PAQ2475" s="60"/>
      <c r="PAR2475" s="60"/>
      <c r="PAS2475" s="63"/>
      <c r="PAT2475" s="61"/>
      <c r="PAU2475" s="54"/>
      <c r="PAV2475" s="54"/>
      <c r="PAW2475" s="60"/>
      <c r="PAX2475" s="60"/>
      <c r="PAY2475" s="60"/>
      <c r="PAZ2475" s="60"/>
      <c r="PBA2475" s="63"/>
      <c r="PBB2475" s="61"/>
      <c r="PBC2475" s="54"/>
      <c r="PBD2475" s="54"/>
      <c r="PBE2475" s="60"/>
      <c r="PBF2475" s="60"/>
      <c r="PBG2475" s="60"/>
      <c r="PBH2475" s="60"/>
      <c r="PBI2475" s="63"/>
      <c r="PBJ2475" s="61"/>
      <c r="PBK2475" s="54"/>
      <c r="PBL2475" s="54"/>
      <c r="PBM2475" s="60"/>
      <c r="PBN2475" s="60"/>
      <c r="PBO2475" s="60"/>
      <c r="PBP2475" s="60"/>
      <c r="PBQ2475" s="63"/>
      <c r="PBR2475" s="61"/>
      <c r="PBS2475" s="54"/>
      <c r="PBT2475" s="54"/>
      <c r="PBU2475" s="60"/>
      <c r="PBV2475" s="60"/>
      <c r="PBW2475" s="60"/>
      <c r="PBX2475" s="60"/>
      <c r="PBY2475" s="63"/>
      <c r="PBZ2475" s="61"/>
      <c r="PCA2475" s="54"/>
      <c r="PCB2475" s="54"/>
      <c r="PCC2475" s="60"/>
      <c r="PCD2475" s="60"/>
      <c r="PCE2475" s="60"/>
      <c r="PCF2475" s="60"/>
      <c r="PCG2475" s="63"/>
      <c r="PCH2475" s="61"/>
      <c r="PCI2475" s="54"/>
      <c r="PCJ2475" s="54"/>
      <c r="PCK2475" s="60"/>
      <c r="PCL2475" s="60"/>
      <c r="PCM2475" s="60"/>
      <c r="PCN2475" s="60"/>
      <c r="PCO2475" s="63"/>
      <c r="PCP2475" s="61"/>
      <c r="PCQ2475" s="54"/>
      <c r="PCR2475" s="54"/>
      <c r="PCS2475" s="60"/>
      <c r="PCT2475" s="60"/>
      <c r="PCU2475" s="60"/>
      <c r="PCV2475" s="60"/>
      <c r="PCW2475" s="63"/>
      <c r="PCX2475" s="61"/>
      <c r="PCY2475" s="54"/>
      <c r="PCZ2475" s="54"/>
      <c r="PDA2475" s="60"/>
      <c r="PDB2475" s="60"/>
      <c r="PDC2475" s="60"/>
      <c r="PDD2475" s="60"/>
      <c r="PDE2475" s="63"/>
      <c r="PDF2475" s="61"/>
      <c r="PDG2475" s="54"/>
      <c r="PDH2475" s="54"/>
      <c r="PDI2475" s="60"/>
      <c r="PDJ2475" s="60"/>
      <c r="PDK2475" s="60"/>
      <c r="PDL2475" s="60"/>
      <c r="PDM2475" s="63"/>
      <c r="PDN2475" s="61"/>
      <c r="PDO2475" s="54"/>
      <c r="PDP2475" s="54"/>
      <c r="PDQ2475" s="60"/>
      <c r="PDR2475" s="60"/>
      <c r="PDS2475" s="60"/>
      <c r="PDT2475" s="60"/>
      <c r="PDU2475" s="63"/>
      <c r="PDV2475" s="61"/>
      <c r="PDW2475" s="54"/>
      <c r="PDX2475" s="54"/>
      <c r="PDY2475" s="60"/>
      <c r="PDZ2475" s="60"/>
      <c r="PEA2475" s="60"/>
      <c r="PEB2475" s="60"/>
      <c r="PEC2475" s="63"/>
      <c r="PED2475" s="61"/>
      <c r="PEE2475" s="54"/>
      <c r="PEF2475" s="54"/>
      <c r="PEG2475" s="60"/>
      <c r="PEH2475" s="60"/>
      <c r="PEI2475" s="60"/>
      <c r="PEJ2475" s="60"/>
      <c r="PEK2475" s="63"/>
      <c r="PEL2475" s="61"/>
      <c r="PEM2475" s="54"/>
      <c r="PEN2475" s="54"/>
      <c r="PEO2475" s="60"/>
      <c r="PEP2475" s="60"/>
      <c r="PEQ2475" s="60"/>
      <c r="PER2475" s="60"/>
      <c r="PES2475" s="63"/>
      <c r="PET2475" s="61"/>
      <c r="PEU2475" s="54"/>
      <c r="PEV2475" s="54"/>
      <c r="PEW2475" s="60"/>
      <c r="PEX2475" s="60"/>
      <c r="PEY2475" s="60"/>
      <c r="PEZ2475" s="60"/>
      <c r="PFA2475" s="63"/>
      <c r="PFB2475" s="61"/>
      <c r="PFC2475" s="54"/>
      <c r="PFD2475" s="54"/>
      <c r="PFE2475" s="60"/>
      <c r="PFF2475" s="60"/>
      <c r="PFG2475" s="60"/>
      <c r="PFH2475" s="60"/>
      <c r="PFI2475" s="63"/>
      <c r="PFJ2475" s="61"/>
      <c r="PFK2475" s="54"/>
      <c r="PFL2475" s="54"/>
      <c r="PFM2475" s="60"/>
      <c r="PFN2475" s="60"/>
      <c r="PFO2475" s="60"/>
      <c r="PFP2475" s="60"/>
      <c r="PFQ2475" s="63"/>
      <c r="PFR2475" s="61"/>
      <c r="PFS2475" s="54"/>
      <c r="PFT2475" s="54"/>
      <c r="PFU2475" s="60"/>
      <c r="PFV2475" s="60"/>
      <c r="PFW2475" s="60"/>
      <c r="PFX2475" s="60"/>
      <c r="PFY2475" s="63"/>
      <c r="PFZ2475" s="61"/>
      <c r="PGA2475" s="54"/>
      <c r="PGB2475" s="54"/>
      <c r="PGC2475" s="60"/>
      <c r="PGD2475" s="60"/>
      <c r="PGE2475" s="60"/>
      <c r="PGF2475" s="60"/>
      <c r="PGG2475" s="63"/>
      <c r="PGH2475" s="61"/>
      <c r="PGI2475" s="54"/>
      <c r="PGJ2475" s="54"/>
      <c r="PGK2475" s="60"/>
      <c r="PGL2475" s="60"/>
      <c r="PGM2475" s="60"/>
      <c r="PGN2475" s="60"/>
      <c r="PGO2475" s="63"/>
      <c r="PGP2475" s="61"/>
      <c r="PGQ2475" s="54"/>
      <c r="PGR2475" s="54"/>
      <c r="PGS2475" s="60"/>
      <c r="PGT2475" s="60"/>
      <c r="PGU2475" s="60"/>
      <c r="PGV2475" s="60"/>
      <c r="PGW2475" s="63"/>
      <c r="PGX2475" s="61"/>
      <c r="PGY2475" s="54"/>
      <c r="PGZ2475" s="54"/>
      <c r="PHA2475" s="60"/>
      <c r="PHB2475" s="60"/>
      <c r="PHC2475" s="60"/>
      <c r="PHD2475" s="60"/>
      <c r="PHE2475" s="63"/>
      <c r="PHF2475" s="61"/>
      <c r="PHG2475" s="54"/>
      <c r="PHH2475" s="54"/>
      <c r="PHI2475" s="60"/>
      <c r="PHJ2475" s="60"/>
      <c r="PHK2475" s="60"/>
      <c r="PHL2475" s="60"/>
      <c r="PHM2475" s="63"/>
      <c r="PHN2475" s="61"/>
      <c r="PHO2475" s="54"/>
      <c r="PHP2475" s="54"/>
      <c r="PHQ2475" s="60"/>
      <c r="PHR2475" s="60"/>
      <c r="PHS2475" s="60"/>
      <c r="PHT2475" s="60"/>
      <c r="PHU2475" s="63"/>
      <c r="PHV2475" s="61"/>
      <c r="PHW2475" s="54"/>
      <c r="PHX2475" s="54"/>
      <c r="PHY2475" s="60"/>
      <c r="PHZ2475" s="60"/>
      <c r="PIA2475" s="60"/>
      <c r="PIB2475" s="60"/>
      <c r="PIC2475" s="63"/>
      <c r="PID2475" s="61"/>
      <c r="PIE2475" s="54"/>
      <c r="PIF2475" s="54"/>
      <c r="PIG2475" s="60"/>
      <c r="PIH2475" s="60"/>
      <c r="PII2475" s="60"/>
      <c r="PIJ2475" s="60"/>
      <c r="PIK2475" s="63"/>
      <c r="PIL2475" s="61"/>
      <c r="PIM2475" s="54"/>
      <c r="PIN2475" s="54"/>
      <c r="PIO2475" s="60"/>
      <c r="PIP2475" s="60"/>
      <c r="PIQ2475" s="60"/>
      <c r="PIR2475" s="60"/>
      <c r="PIS2475" s="63"/>
      <c r="PIT2475" s="61"/>
      <c r="PIU2475" s="54"/>
      <c r="PIV2475" s="54"/>
      <c r="PIW2475" s="60"/>
      <c r="PIX2475" s="60"/>
      <c r="PIY2475" s="60"/>
      <c r="PIZ2475" s="60"/>
      <c r="PJA2475" s="63"/>
      <c r="PJB2475" s="61"/>
      <c r="PJC2475" s="54"/>
      <c r="PJD2475" s="54"/>
      <c r="PJE2475" s="60"/>
      <c r="PJF2475" s="60"/>
      <c r="PJG2475" s="60"/>
      <c r="PJH2475" s="60"/>
      <c r="PJI2475" s="63"/>
      <c r="PJJ2475" s="61"/>
      <c r="PJK2475" s="54"/>
      <c r="PJL2475" s="54"/>
      <c r="PJM2475" s="60"/>
      <c r="PJN2475" s="60"/>
      <c r="PJO2475" s="60"/>
      <c r="PJP2475" s="60"/>
      <c r="PJQ2475" s="63"/>
      <c r="PJR2475" s="61"/>
      <c r="PJS2475" s="54"/>
      <c r="PJT2475" s="54"/>
      <c r="PJU2475" s="60"/>
      <c r="PJV2475" s="60"/>
      <c r="PJW2475" s="60"/>
      <c r="PJX2475" s="60"/>
      <c r="PJY2475" s="63"/>
      <c r="PJZ2475" s="61"/>
      <c r="PKA2475" s="54"/>
      <c r="PKB2475" s="54"/>
      <c r="PKC2475" s="60"/>
      <c r="PKD2475" s="60"/>
      <c r="PKE2475" s="60"/>
      <c r="PKF2475" s="60"/>
      <c r="PKG2475" s="63"/>
      <c r="PKH2475" s="61"/>
      <c r="PKI2475" s="54"/>
      <c r="PKJ2475" s="54"/>
      <c r="PKK2475" s="60"/>
      <c r="PKL2475" s="60"/>
      <c r="PKM2475" s="60"/>
      <c r="PKN2475" s="60"/>
      <c r="PKO2475" s="63"/>
      <c r="PKP2475" s="61"/>
      <c r="PKQ2475" s="54"/>
      <c r="PKR2475" s="54"/>
      <c r="PKS2475" s="60"/>
      <c r="PKT2475" s="60"/>
      <c r="PKU2475" s="60"/>
      <c r="PKV2475" s="60"/>
      <c r="PKW2475" s="63"/>
      <c r="PKX2475" s="61"/>
      <c r="PKY2475" s="54"/>
      <c r="PKZ2475" s="54"/>
      <c r="PLA2475" s="60"/>
      <c r="PLB2475" s="60"/>
      <c r="PLC2475" s="60"/>
      <c r="PLD2475" s="60"/>
      <c r="PLE2475" s="63"/>
      <c r="PLF2475" s="61"/>
      <c r="PLG2475" s="54"/>
      <c r="PLH2475" s="54"/>
      <c r="PLI2475" s="60"/>
      <c r="PLJ2475" s="60"/>
      <c r="PLK2475" s="60"/>
      <c r="PLL2475" s="60"/>
      <c r="PLM2475" s="63"/>
      <c r="PLN2475" s="61"/>
      <c r="PLO2475" s="54"/>
      <c r="PLP2475" s="54"/>
      <c r="PLQ2475" s="60"/>
      <c r="PLR2475" s="60"/>
      <c r="PLS2475" s="60"/>
      <c r="PLT2475" s="60"/>
      <c r="PLU2475" s="63"/>
      <c r="PLV2475" s="61"/>
      <c r="PLW2475" s="54"/>
      <c r="PLX2475" s="54"/>
      <c r="PLY2475" s="60"/>
      <c r="PLZ2475" s="60"/>
      <c r="PMA2475" s="60"/>
      <c r="PMB2475" s="60"/>
      <c r="PMC2475" s="63"/>
      <c r="PMD2475" s="61"/>
      <c r="PME2475" s="54"/>
      <c r="PMF2475" s="54"/>
      <c r="PMG2475" s="60"/>
      <c r="PMH2475" s="60"/>
      <c r="PMI2475" s="60"/>
      <c r="PMJ2475" s="60"/>
      <c r="PMK2475" s="63"/>
      <c r="PML2475" s="61"/>
      <c r="PMM2475" s="54"/>
      <c r="PMN2475" s="54"/>
      <c r="PMO2475" s="60"/>
      <c r="PMP2475" s="60"/>
      <c r="PMQ2475" s="60"/>
      <c r="PMR2475" s="60"/>
      <c r="PMS2475" s="63"/>
      <c r="PMT2475" s="61"/>
      <c r="PMU2475" s="54"/>
      <c r="PMV2475" s="54"/>
      <c r="PMW2475" s="60"/>
      <c r="PMX2475" s="60"/>
      <c r="PMY2475" s="60"/>
      <c r="PMZ2475" s="60"/>
      <c r="PNA2475" s="63"/>
      <c r="PNB2475" s="61"/>
      <c r="PNC2475" s="54"/>
      <c r="PND2475" s="54"/>
      <c r="PNE2475" s="60"/>
      <c r="PNF2475" s="60"/>
      <c r="PNG2475" s="60"/>
      <c r="PNH2475" s="60"/>
      <c r="PNI2475" s="63"/>
      <c r="PNJ2475" s="61"/>
      <c r="PNK2475" s="54"/>
      <c r="PNL2475" s="54"/>
      <c r="PNM2475" s="60"/>
      <c r="PNN2475" s="60"/>
      <c r="PNO2475" s="60"/>
      <c r="PNP2475" s="60"/>
      <c r="PNQ2475" s="63"/>
      <c r="PNR2475" s="61"/>
      <c r="PNS2475" s="54"/>
      <c r="PNT2475" s="54"/>
      <c r="PNU2475" s="60"/>
      <c r="PNV2475" s="60"/>
      <c r="PNW2475" s="60"/>
      <c r="PNX2475" s="60"/>
      <c r="PNY2475" s="63"/>
      <c r="PNZ2475" s="61"/>
      <c r="POA2475" s="54"/>
      <c r="POB2475" s="54"/>
      <c r="POC2475" s="60"/>
      <c r="POD2475" s="60"/>
      <c r="POE2475" s="60"/>
      <c r="POF2475" s="60"/>
      <c r="POG2475" s="63"/>
      <c r="POH2475" s="61"/>
      <c r="POI2475" s="54"/>
      <c r="POJ2475" s="54"/>
      <c r="POK2475" s="60"/>
      <c r="POL2475" s="60"/>
      <c r="POM2475" s="60"/>
      <c r="PON2475" s="60"/>
      <c r="POO2475" s="63"/>
      <c r="POP2475" s="61"/>
      <c r="POQ2475" s="54"/>
      <c r="POR2475" s="54"/>
      <c r="POS2475" s="60"/>
      <c r="POT2475" s="60"/>
      <c r="POU2475" s="60"/>
      <c r="POV2475" s="60"/>
      <c r="POW2475" s="63"/>
      <c r="POX2475" s="61"/>
      <c r="POY2475" s="54"/>
      <c r="POZ2475" s="54"/>
      <c r="PPA2475" s="60"/>
      <c r="PPB2475" s="60"/>
      <c r="PPC2475" s="60"/>
      <c r="PPD2475" s="60"/>
      <c r="PPE2475" s="63"/>
      <c r="PPF2475" s="61"/>
      <c r="PPG2475" s="54"/>
      <c r="PPH2475" s="54"/>
      <c r="PPI2475" s="60"/>
      <c r="PPJ2475" s="60"/>
      <c r="PPK2475" s="60"/>
      <c r="PPL2475" s="60"/>
      <c r="PPM2475" s="63"/>
      <c r="PPN2475" s="61"/>
      <c r="PPO2475" s="54"/>
      <c r="PPP2475" s="54"/>
      <c r="PPQ2475" s="60"/>
      <c r="PPR2475" s="60"/>
      <c r="PPS2475" s="60"/>
      <c r="PPT2475" s="60"/>
      <c r="PPU2475" s="63"/>
      <c r="PPV2475" s="61"/>
      <c r="PPW2475" s="54"/>
      <c r="PPX2475" s="54"/>
      <c r="PPY2475" s="60"/>
      <c r="PPZ2475" s="60"/>
      <c r="PQA2475" s="60"/>
      <c r="PQB2475" s="60"/>
      <c r="PQC2475" s="63"/>
      <c r="PQD2475" s="61"/>
      <c r="PQE2475" s="54"/>
      <c r="PQF2475" s="54"/>
      <c r="PQG2475" s="60"/>
      <c r="PQH2475" s="60"/>
      <c r="PQI2475" s="60"/>
      <c r="PQJ2475" s="60"/>
      <c r="PQK2475" s="63"/>
      <c r="PQL2475" s="61"/>
      <c r="PQM2475" s="54"/>
      <c r="PQN2475" s="54"/>
      <c r="PQO2475" s="60"/>
      <c r="PQP2475" s="60"/>
      <c r="PQQ2475" s="60"/>
      <c r="PQR2475" s="60"/>
      <c r="PQS2475" s="63"/>
      <c r="PQT2475" s="61"/>
      <c r="PQU2475" s="54"/>
      <c r="PQV2475" s="54"/>
      <c r="PQW2475" s="60"/>
      <c r="PQX2475" s="60"/>
      <c r="PQY2475" s="60"/>
      <c r="PQZ2475" s="60"/>
      <c r="PRA2475" s="63"/>
      <c r="PRB2475" s="61"/>
      <c r="PRC2475" s="54"/>
      <c r="PRD2475" s="54"/>
      <c r="PRE2475" s="60"/>
      <c r="PRF2475" s="60"/>
      <c r="PRG2475" s="60"/>
      <c r="PRH2475" s="60"/>
      <c r="PRI2475" s="63"/>
      <c r="PRJ2475" s="61"/>
      <c r="PRK2475" s="54"/>
      <c r="PRL2475" s="54"/>
      <c r="PRM2475" s="60"/>
      <c r="PRN2475" s="60"/>
      <c r="PRO2475" s="60"/>
      <c r="PRP2475" s="60"/>
      <c r="PRQ2475" s="63"/>
      <c r="PRR2475" s="61"/>
      <c r="PRS2475" s="54"/>
      <c r="PRT2475" s="54"/>
      <c r="PRU2475" s="60"/>
      <c r="PRV2475" s="60"/>
      <c r="PRW2475" s="60"/>
      <c r="PRX2475" s="60"/>
      <c r="PRY2475" s="63"/>
      <c r="PRZ2475" s="61"/>
      <c r="PSA2475" s="54"/>
      <c r="PSB2475" s="54"/>
      <c r="PSC2475" s="60"/>
      <c r="PSD2475" s="60"/>
      <c r="PSE2475" s="60"/>
      <c r="PSF2475" s="60"/>
      <c r="PSG2475" s="63"/>
      <c r="PSH2475" s="61"/>
      <c r="PSI2475" s="54"/>
      <c r="PSJ2475" s="54"/>
      <c r="PSK2475" s="60"/>
      <c r="PSL2475" s="60"/>
      <c r="PSM2475" s="60"/>
      <c r="PSN2475" s="60"/>
      <c r="PSO2475" s="63"/>
      <c r="PSP2475" s="61"/>
      <c r="PSQ2475" s="54"/>
      <c r="PSR2475" s="54"/>
      <c r="PSS2475" s="60"/>
      <c r="PST2475" s="60"/>
      <c r="PSU2475" s="60"/>
      <c r="PSV2475" s="60"/>
      <c r="PSW2475" s="63"/>
      <c r="PSX2475" s="61"/>
      <c r="PSY2475" s="54"/>
      <c r="PSZ2475" s="54"/>
      <c r="PTA2475" s="60"/>
      <c r="PTB2475" s="60"/>
      <c r="PTC2475" s="60"/>
      <c r="PTD2475" s="60"/>
      <c r="PTE2475" s="63"/>
      <c r="PTF2475" s="61"/>
      <c r="PTG2475" s="54"/>
      <c r="PTH2475" s="54"/>
      <c r="PTI2475" s="60"/>
      <c r="PTJ2475" s="60"/>
      <c r="PTK2475" s="60"/>
      <c r="PTL2475" s="60"/>
      <c r="PTM2475" s="63"/>
      <c r="PTN2475" s="61"/>
      <c r="PTO2475" s="54"/>
      <c r="PTP2475" s="54"/>
      <c r="PTQ2475" s="60"/>
      <c r="PTR2475" s="60"/>
      <c r="PTS2475" s="60"/>
      <c r="PTT2475" s="60"/>
      <c r="PTU2475" s="63"/>
      <c r="PTV2475" s="61"/>
      <c r="PTW2475" s="54"/>
      <c r="PTX2475" s="54"/>
      <c r="PTY2475" s="60"/>
      <c r="PTZ2475" s="60"/>
      <c r="PUA2475" s="60"/>
      <c r="PUB2475" s="60"/>
      <c r="PUC2475" s="63"/>
      <c r="PUD2475" s="61"/>
      <c r="PUE2475" s="54"/>
      <c r="PUF2475" s="54"/>
      <c r="PUG2475" s="60"/>
      <c r="PUH2475" s="60"/>
      <c r="PUI2475" s="60"/>
      <c r="PUJ2475" s="60"/>
      <c r="PUK2475" s="63"/>
      <c r="PUL2475" s="61"/>
      <c r="PUM2475" s="54"/>
      <c r="PUN2475" s="54"/>
      <c r="PUO2475" s="60"/>
      <c r="PUP2475" s="60"/>
      <c r="PUQ2475" s="60"/>
      <c r="PUR2475" s="60"/>
      <c r="PUS2475" s="63"/>
      <c r="PUT2475" s="61"/>
      <c r="PUU2475" s="54"/>
      <c r="PUV2475" s="54"/>
      <c r="PUW2475" s="60"/>
      <c r="PUX2475" s="60"/>
      <c r="PUY2475" s="60"/>
      <c r="PUZ2475" s="60"/>
      <c r="PVA2475" s="63"/>
      <c r="PVB2475" s="61"/>
      <c r="PVC2475" s="54"/>
      <c r="PVD2475" s="54"/>
      <c r="PVE2475" s="60"/>
      <c r="PVF2475" s="60"/>
      <c r="PVG2475" s="60"/>
      <c r="PVH2475" s="60"/>
      <c r="PVI2475" s="63"/>
      <c r="PVJ2475" s="61"/>
      <c r="PVK2475" s="54"/>
      <c r="PVL2475" s="54"/>
      <c r="PVM2475" s="60"/>
      <c r="PVN2475" s="60"/>
      <c r="PVO2475" s="60"/>
      <c r="PVP2475" s="60"/>
      <c r="PVQ2475" s="63"/>
      <c r="PVR2475" s="61"/>
      <c r="PVS2475" s="54"/>
      <c r="PVT2475" s="54"/>
      <c r="PVU2475" s="60"/>
      <c r="PVV2475" s="60"/>
      <c r="PVW2475" s="60"/>
      <c r="PVX2475" s="60"/>
      <c r="PVY2475" s="63"/>
      <c r="PVZ2475" s="61"/>
      <c r="PWA2475" s="54"/>
      <c r="PWB2475" s="54"/>
      <c r="PWC2475" s="60"/>
      <c r="PWD2475" s="60"/>
      <c r="PWE2475" s="60"/>
      <c r="PWF2475" s="60"/>
      <c r="PWG2475" s="63"/>
      <c r="PWH2475" s="61"/>
      <c r="PWI2475" s="54"/>
      <c r="PWJ2475" s="54"/>
      <c r="PWK2475" s="60"/>
      <c r="PWL2475" s="60"/>
      <c r="PWM2475" s="60"/>
      <c r="PWN2475" s="60"/>
      <c r="PWO2475" s="63"/>
      <c r="PWP2475" s="61"/>
      <c r="PWQ2475" s="54"/>
      <c r="PWR2475" s="54"/>
      <c r="PWS2475" s="60"/>
      <c r="PWT2475" s="60"/>
      <c r="PWU2475" s="60"/>
      <c r="PWV2475" s="60"/>
      <c r="PWW2475" s="63"/>
      <c r="PWX2475" s="61"/>
      <c r="PWY2475" s="54"/>
      <c r="PWZ2475" s="54"/>
      <c r="PXA2475" s="60"/>
      <c r="PXB2475" s="60"/>
      <c r="PXC2475" s="60"/>
      <c r="PXD2475" s="60"/>
      <c r="PXE2475" s="63"/>
      <c r="PXF2475" s="61"/>
      <c r="PXG2475" s="54"/>
      <c r="PXH2475" s="54"/>
      <c r="PXI2475" s="60"/>
      <c r="PXJ2475" s="60"/>
      <c r="PXK2475" s="60"/>
      <c r="PXL2475" s="60"/>
      <c r="PXM2475" s="63"/>
      <c r="PXN2475" s="61"/>
      <c r="PXO2475" s="54"/>
      <c r="PXP2475" s="54"/>
      <c r="PXQ2475" s="60"/>
      <c r="PXR2475" s="60"/>
      <c r="PXS2475" s="60"/>
      <c r="PXT2475" s="60"/>
      <c r="PXU2475" s="63"/>
      <c r="PXV2475" s="61"/>
      <c r="PXW2475" s="54"/>
      <c r="PXX2475" s="54"/>
      <c r="PXY2475" s="60"/>
      <c r="PXZ2475" s="60"/>
      <c r="PYA2475" s="60"/>
      <c r="PYB2475" s="60"/>
      <c r="PYC2475" s="63"/>
      <c r="PYD2475" s="61"/>
      <c r="PYE2475" s="54"/>
      <c r="PYF2475" s="54"/>
      <c r="PYG2475" s="60"/>
      <c r="PYH2475" s="60"/>
      <c r="PYI2475" s="60"/>
      <c r="PYJ2475" s="60"/>
      <c r="PYK2475" s="63"/>
      <c r="PYL2475" s="61"/>
      <c r="PYM2475" s="54"/>
      <c r="PYN2475" s="54"/>
      <c r="PYO2475" s="60"/>
      <c r="PYP2475" s="60"/>
      <c r="PYQ2475" s="60"/>
      <c r="PYR2475" s="60"/>
      <c r="PYS2475" s="63"/>
      <c r="PYT2475" s="61"/>
      <c r="PYU2475" s="54"/>
      <c r="PYV2475" s="54"/>
      <c r="PYW2475" s="60"/>
      <c r="PYX2475" s="60"/>
      <c r="PYY2475" s="60"/>
      <c r="PYZ2475" s="60"/>
      <c r="PZA2475" s="63"/>
      <c r="PZB2475" s="61"/>
      <c r="PZC2475" s="54"/>
      <c r="PZD2475" s="54"/>
      <c r="PZE2475" s="60"/>
      <c r="PZF2475" s="60"/>
      <c r="PZG2475" s="60"/>
      <c r="PZH2475" s="60"/>
      <c r="PZI2475" s="63"/>
      <c r="PZJ2475" s="61"/>
      <c r="PZK2475" s="54"/>
      <c r="PZL2475" s="54"/>
      <c r="PZM2475" s="60"/>
      <c r="PZN2475" s="60"/>
      <c r="PZO2475" s="60"/>
      <c r="PZP2475" s="60"/>
      <c r="PZQ2475" s="63"/>
      <c r="PZR2475" s="61"/>
      <c r="PZS2475" s="54"/>
      <c r="PZT2475" s="54"/>
      <c r="PZU2475" s="60"/>
      <c r="PZV2475" s="60"/>
      <c r="PZW2475" s="60"/>
      <c r="PZX2475" s="60"/>
      <c r="PZY2475" s="63"/>
      <c r="PZZ2475" s="61"/>
      <c r="QAA2475" s="54"/>
      <c r="QAB2475" s="54"/>
      <c r="QAC2475" s="60"/>
      <c r="QAD2475" s="60"/>
      <c r="QAE2475" s="60"/>
      <c r="QAF2475" s="60"/>
      <c r="QAG2475" s="63"/>
      <c r="QAH2475" s="61"/>
      <c r="QAI2475" s="54"/>
      <c r="QAJ2475" s="54"/>
      <c r="QAK2475" s="60"/>
      <c r="QAL2475" s="60"/>
      <c r="QAM2475" s="60"/>
      <c r="QAN2475" s="60"/>
      <c r="QAO2475" s="63"/>
      <c r="QAP2475" s="61"/>
      <c r="QAQ2475" s="54"/>
      <c r="QAR2475" s="54"/>
      <c r="QAS2475" s="60"/>
      <c r="QAT2475" s="60"/>
      <c r="QAU2475" s="60"/>
      <c r="QAV2475" s="60"/>
      <c r="QAW2475" s="63"/>
      <c r="QAX2475" s="61"/>
      <c r="QAY2475" s="54"/>
      <c r="QAZ2475" s="54"/>
      <c r="QBA2475" s="60"/>
      <c r="QBB2475" s="60"/>
      <c r="QBC2475" s="60"/>
      <c r="QBD2475" s="60"/>
      <c r="QBE2475" s="63"/>
      <c r="QBF2475" s="61"/>
      <c r="QBG2475" s="54"/>
      <c r="QBH2475" s="54"/>
      <c r="QBI2475" s="60"/>
      <c r="QBJ2475" s="60"/>
      <c r="QBK2475" s="60"/>
      <c r="QBL2475" s="60"/>
      <c r="QBM2475" s="63"/>
      <c r="QBN2475" s="61"/>
      <c r="QBO2475" s="54"/>
      <c r="QBP2475" s="54"/>
      <c r="QBQ2475" s="60"/>
      <c r="QBR2475" s="60"/>
      <c r="QBS2475" s="60"/>
      <c r="QBT2475" s="60"/>
      <c r="QBU2475" s="63"/>
      <c r="QBV2475" s="61"/>
      <c r="QBW2475" s="54"/>
      <c r="QBX2475" s="54"/>
      <c r="QBY2475" s="60"/>
      <c r="QBZ2475" s="60"/>
      <c r="QCA2475" s="60"/>
      <c r="QCB2475" s="60"/>
      <c r="QCC2475" s="63"/>
      <c r="QCD2475" s="61"/>
      <c r="QCE2475" s="54"/>
      <c r="QCF2475" s="54"/>
      <c r="QCG2475" s="60"/>
      <c r="QCH2475" s="60"/>
      <c r="QCI2475" s="60"/>
      <c r="QCJ2475" s="60"/>
      <c r="QCK2475" s="63"/>
      <c r="QCL2475" s="61"/>
      <c r="QCM2475" s="54"/>
      <c r="QCN2475" s="54"/>
      <c r="QCO2475" s="60"/>
      <c r="QCP2475" s="60"/>
      <c r="QCQ2475" s="60"/>
      <c r="QCR2475" s="60"/>
      <c r="QCS2475" s="63"/>
      <c r="QCT2475" s="61"/>
      <c r="QCU2475" s="54"/>
      <c r="QCV2475" s="54"/>
      <c r="QCW2475" s="60"/>
      <c r="QCX2475" s="60"/>
      <c r="QCY2475" s="60"/>
      <c r="QCZ2475" s="60"/>
      <c r="QDA2475" s="63"/>
      <c r="QDB2475" s="61"/>
      <c r="QDC2475" s="54"/>
      <c r="QDD2475" s="54"/>
      <c r="QDE2475" s="60"/>
      <c r="QDF2475" s="60"/>
      <c r="QDG2475" s="60"/>
      <c r="QDH2475" s="60"/>
      <c r="QDI2475" s="63"/>
      <c r="QDJ2475" s="61"/>
      <c r="QDK2475" s="54"/>
      <c r="QDL2475" s="54"/>
      <c r="QDM2475" s="60"/>
      <c r="QDN2475" s="60"/>
      <c r="QDO2475" s="60"/>
      <c r="QDP2475" s="60"/>
      <c r="QDQ2475" s="63"/>
      <c r="QDR2475" s="61"/>
      <c r="QDS2475" s="54"/>
      <c r="QDT2475" s="54"/>
      <c r="QDU2475" s="60"/>
      <c r="QDV2475" s="60"/>
      <c r="QDW2475" s="60"/>
      <c r="QDX2475" s="60"/>
      <c r="QDY2475" s="63"/>
      <c r="QDZ2475" s="61"/>
      <c r="QEA2475" s="54"/>
      <c r="QEB2475" s="54"/>
      <c r="QEC2475" s="60"/>
      <c r="QED2475" s="60"/>
      <c r="QEE2475" s="60"/>
      <c r="QEF2475" s="60"/>
      <c r="QEG2475" s="63"/>
      <c r="QEH2475" s="61"/>
      <c r="QEI2475" s="54"/>
      <c r="QEJ2475" s="54"/>
      <c r="QEK2475" s="60"/>
      <c r="QEL2475" s="60"/>
      <c r="QEM2475" s="60"/>
      <c r="QEN2475" s="60"/>
      <c r="QEO2475" s="63"/>
      <c r="QEP2475" s="61"/>
      <c r="QEQ2475" s="54"/>
      <c r="QER2475" s="54"/>
      <c r="QES2475" s="60"/>
      <c r="QET2475" s="60"/>
      <c r="QEU2475" s="60"/>
      <c r="QEV2475" s="60"/>
      <c r="QEW2475" s="63"/>
      <c r="QEX2475" s="61"/>
      <c r="QEY2475" s="54"/>
      <c r="QEZ2475" s="54"/>
      <c r="QFA2475" s="60"/>
      <c r="QFB2475" s="60"/>
      <c r="QFC2475" s="60"/>
      <c r="QFD2475" s="60"/>
      <c r="QFE2475" s="63"/>
      <c r="QFF2475" s="61"/>
      <c r="QFG2475" s="54"/>
      <c r="QFH2475" s="54"/>
      <c r="QFI2475" s="60"/>
      <c r="QFJ2475" s="60"/>
      <c r="QFK2475" s="60"/>
      <c r="QFL2475" s="60"/>
      <c r="QFM2475" s="63"/>
      <c r="QFN2475" s="61"/>
      <c r="QFO2475" s="54"/>
      <c r="QFP2475" s="54"/>
      <c r="QFQ2475" s="60"/>
      <c r="QFR2475" s="60"/>
      <c r="QFS2475" s="60"/>
      <c r="QFT2475" s="60"/>
      <c r="QFU2475" s="63"/>
      <c r="QFV2475" s="61"/>
      <c r="QFW2475" s="54"/>
      <c r="QFX2475" s="54"/>
      <c r="QFY2475" s="60"/>
      <c r="QFZ2475" s="60"/>
      <c r="QGA2475" s="60"/>
      <c r="QGB2475" s="60"/>
      <c r="QGC2475" s="63"/>
      <c r="QGD2475" s="61"/>
      <c r="QGE2475" s="54"/>
      <c r="QGF2475" s="54"/>
      <c r="QGG2475" s="60"/>
      <c r="QGH2475" s="60"/>
      <c r="QGI2475" s="60"/>
      <c r="QGJ2475" s="60"/>
      <c r="QGK2475" s="63"/>
      <c r="QGL2475" s="61"/>
      <c r="QGM2475" s="54"/>
      <c r="QGN2475" s="54"/>
      <c r="QGO2475" s="60"/>
      <c r="QGP2475" s="60"/>
      <c r="QGQ2475" s="60"/>
      <c r="QGR2475" s="60"/>
      <c r="QGS2475" s="63"/>
      <c r="QGT2475" s="61"/>
      <c r="QGU2475" s="54"/>
      <c r="QGV2475" s="54"/>
      <c r="QGW2475" s="60"/>
      <c r="QGX2475" s="60"/>
      <c r="QGY2475" s="60"/>
      <c r="QGZ2475" s="60"/>
      <c r="QHA2475" s="63"/>
      <c r="QHB2475" s="61"/>
      <c r="QHC2475" s="54"/>
      <c r="QHD2475" s="54"/>
      <c r="QHE2475" s="60"/>
      <c r="QHF2475" s="60"/>
      <c r="QHG2475" s="60"/>
      <c r="QHH2475" s="60"/>
      <c r="QHI2475" s="63"/>
      <c r="QHJ2475" s="61"/>
      <c r="QHK2475" s="54"/>
      <c r="QHL2475" s="54"/>
      <c r="QHM2475" s="60"/>
      <c r="QHN2475" s="60"/>
      <c r="QHO2475" s="60"/>
      <c r="QHP2475" s="60"/>
      <c r="QHQ2475" s="63"/>
      <c r="QHR2475" s="61"/>
      <c r="QHS2475" s="54"/>
      <c r="QHT2475" s="54"/>
      <c r="QHU2475" s="60"/>
      <c r="QHV2475" s="60"/>
      <c r="QHW2475" s="60"/>
      <c r="QHX2475" s="60"/>
      <c r="QHY2475" s="63"/>
      <c r="QHZ2475" s="61"/>
      <c r="QIA2475" s="54"/>
      <c r="QIB2475" s="54"/>
      <c r="QIC2475" s="60"/>
      <c r="QID2475" s="60"/>
      <c r="QIE2475" s="60"/>
      <c r="QIF2475" s="60"/>
      <c r="QIG2475" s="63"/>
      <c r="QIH2475" s="61"/>
      <c r="QII2475" s="54"/>
      <c r="QIJ2475" s="54"/>
      <c r="QIK2475" s="60"/>
      <c r="QIL2475" s="60"/>
      <c r="QIM2475" s="60"/>
      <c r="QIN2475" s="60"/>
      <c r="QIO2475" s="63"/>
      <c r="QIP2475" s="61"/>
      <c r="QIQ2475" s="54"/>
      <c r="QIR2475" s="54"/>
      <c r="QIS2475" s="60"/>
      <c r="QIT2475" s="60"/>
      <c r="QIU2475" s="60"/>
      <c r="QIV2475" s="60"/>
      <c r="QIW2475" s="63"/>
      <c r="QIX2475" s="61"/>
      <c r="QIY2475" s="54"/>
      <c r="QIZ2475" s="54"/>
      <c r="QJA2475" s="60"/>
      <c r="QJB2475" s="60"/>
      <c r="QJC2475" s="60"/>
      <c r="QJD2475" s="60"/>
      <c r="QJE2475" s="63"/>
      <c r="QJF2475" s="61"/>
      <c r="QJG2475" s="54"/>
      <c r="QJH2475" s="54"/>
      <c r="QJI2475" s="60"/>
      <c r="QJJ2475" s="60"/>
      <c r="QJK2475" s="60"/>
      <c r="QJL2475" s="60"/>
      <c r="QJM2475" s="63"/>
      <c r="QJN2475" s="61"/>
      <c r="QJO2475" s="54"/>
      <c r="QJP2475" s="54"/>
      <c r="QJQ2475" s="60"/>
      <c r="QJR2475" s="60"/>
      <c r="QJS2475" s="60"/>
      <c r="QJT2475" s="60"/>
      <c r="QJU2475" s="63"/>
      <c r="QJV2475" s="61"/>
      <c r="QJW2475" s="54"/>
      <c r="QJX2475" s="54"/>
      <c r="QJY2475" s="60"/>
      <c r="QJZ2475" s="60"/>
      <c r="QKA2475" s="60"/>
      <c r="QKB2475" s="60"/>
      <c r="QKC2475" s="63"/>
      <c r="QKD2475" s="61"/>
      <c r="QKE2475" s="54"/>
      <c r="QKF2475" s="54"/>
      <c r="QKG2475" s="60"/>
      <c r="QKH2475" s="60"/>
      <c r="QKI2475" s="60"/>
      <c r="QKJ2475" s="60"/>
      <c r="QKK2475" s="63"/>
      <c r="QKL2475" s="61"/>
      <c r="QKM2475" s="54"/>
      <c r="QKN2475" s="54"/>
      <c r="QKO2475" s="60"/>
      <c r="QKP2475" s="60"/>
      <c r="QKQ2475" s="60"/>
      <c r="QKR2475" s="60"/>
      <c r="QKS2475" s="63"/>
      <c r="QKT2475" s="61"/>
      <c r="QKU2475" s="54"/>
      <c r="QKV2475" s="54"/>
      <c r="QKW2475" s="60"/>
      <c r="QKX2475" s="60"/>
      <c r="QKY2475" s="60"/>
      <c r="QKZ2475" s="60"/>
      <c r="QLA2475" s="63"/>
      <c r="QLB2475" s="61"/>
      <c r="QLC2475" s="54"/>
      <c r="QLD2475" s="54"/>
      <c r="QLE2475" s="60"/>
      <c r="QLF2475" s="60"/>
      <c r="QLG2475" s="60"/>
      <c r="QLH2475" s="60"/>
      <c r="QLI2475" s="63"/>
      <c r="QLJ2475" s="61"/>
      <c r="QLK2475" s="54"/>
      <c r="QLL2475" s="54"/>
      <c r="QLM2475" s="60"/>
      <c r="QLN2475" s="60"/>
      <c r="QLO2475" s="60"/>
      <c r="QLP2475" s="60"/>
      <c r="QLQ2475" s="63"/>
      <c r="QLR2475" s="61"/>
      <c r="QLS2475" s="54"/>
      <c r="QLT2475" s="54"/>
      <c r="QLU2475" s="60"/>
      <c r="QLV2475" s="60"/>
      <c r="QLW2475" s="60"/>
      <c r="QLX2475" s="60"/>
      <c r="QLY2475" s="63"/>
      <c r="QLZ2475" s="61"/>
      <c r="QMA2475" s="54"/>
      <c r="QMB2475" s="54"/>
      <c r="QMC2475" s="60"/>
      <c r="QMD2475" s="60"/>
      <c r="QME2475" s="60"/>
      <c r="QMF2475" s="60"/>
      <c r="QMG2475" s="63"/>
      <c r="QMH2475" s="61"/>
      <c r="QMI2475" s="54"/>
      <c r="QMJ2475" s="54"/>
      <c r="QMK2475" s="60"/>
      <c r="QML2475" s="60"/>
      <c r="QMM2475" s="60"/>
      <c r="QMN2475" s="60"/>
      <c r="QMO2475" s="63"/>
      <c r="QMP2475" s="61"/>
      <c r="QMQ2475" s="54"/>
      <c r="QMR2475" s="54"/>
      <c r="QMS2475" s="60"/>
      <c r="QMT2475" s="60"/>
      <c r="QMU2475" s="60"/>
      <c r="QMV2475" s="60"/>
      <c r="QMW2475" s="63"/>
      <c r="QMX2475" s="61"/>
      <c r="QMY2475" s="54"/>
      <c r="QMZ2475" s="54"/>
      <c r="QNA2475" s="60"/>
      <c r="QNB2475" s="60"/>
      <c r="QNC2475" s="60"/>
      <c r="QND2475" s="60"/>
      <c r="QNE2475" s="63"/>
      <c r="QNF2475" s="61"/>
      <c r="QNG2475" s="54"/>
      <c r="QNH2475" s="54"/>
      <c r="QNI2475" s="60"/>
      <c r="QNJ2475" s="60"/>
      <c r="QNK2475" s="60"/>
      <c r="QNL2475" s="60"/>
      <c r="QNM2475" s="63"/>
      <c r="QNN2475" s="61"/>
      <c r="QNO2475" s="54"/>
      <c r="QNP2475" s="54"/>
      <c r="QNQ2475" s="60"/>
      <c r="QNR2475" s="60"/>
      <c r="QNS2475" s="60"/>
      <c r="QNT2475" s="60"/>
      <c r="QNU2475" s="63"/>
      <c r="QNV2475" s="61"/>
      <c r="QNW2475" s="54"/>
      <c r="QNX2475" s="54"/>
      <c r="QNY2475" s="60"/>
      <c r="QNZ2475" s="60"/>
      <c r="QOA2475" s="60"/>
      <c r="QOB2475" s="60"/>
      <c r="QOC2475" s="63"/>
      <c r="QOD2475" s="61"/>
      <c r="QOE2475" s="54"/>
      <c r="QOF2475" s="54"/>
      <c r="QOG2475" s="60"/>
      <c r="QOH2475" s="60"/>
      <c r="QOI2475" s="60"/>
      <c r="QOJ2475" s="60"/>
      <c r="QOK2475" s="63"/>
      <c r="QOL2475" s="61"/>
      <c r="QOM2475" s="54"/>
      <c r="QON2475" s="54"/>
      <c r="QOO2475" s="60"/>
      <c r="QOP2475" s="60"/>
      <c r="QOQ2475" s="60"/>
      <c r="QOR2475" s="60"/>
      <c r="QOS2475" s="63"/>
      <c r="QOT2475" s="61"/>
      <c r="QOU2475" s="54"/>
      <c r="QOV2475" s="54"/>
      <c r="QOW2475" s="60"/>
      <c r="QOX2475" s="60"/>
      <c r="QOY2475" s="60"/>
      <c r="QOZ2475" s="60"/>
      <c r="QPA2475" s="63"/>
      <c r="QPB2475" s="61"/>
      <c r="QPC2475" s="54"/>
      <c r="QPD2475" s="54"/>
      <c r="QPE2475" s="60"/>
      <c r="QPF2475" s="60"/>
      <c r="QPG2475" s="60"/>
      <c r="QPH2475" s="60"/>
      <c r="QPI2475" s="63"/>
      <c r="QPJ2475" s="61"/>
      <c r="QPK2475" s="54"/>
      <c r="QPL2475" s="54"/>
      <c r="QPM2475" s="60"/>
      <c r="QPN2475" s="60"/>
      <c r="QPO2475" s="60"/>
      <c r="QPP2475" s="60"/>
      <c r="QPQ2475" s="63"/>
      <c r="QPR2475" s="61"/>
      <c r="QPS2475" s="54"/>
      <c r="QPT2475" s="54"/>
      <c r="QPU2475" s="60"/>
      <c r="QPV2475" s="60"/>
      <c r="QPW2475" s="60"/>
      <c r="QPX2475" s="60"/>
      <c r="QPY2475" s="63"/>
      <c r="QPZ2475" s="61"/>
      <c r="QQA2475" s="54"/>
      <c r="QQB2475" s="54"/>
      <c r="QQC2475" s="60"/>
      <c r="QQD2475" s="60"/>
      <c r="QQE2475" s="60"/>
      <c r="QQF2475" s="60"/>
      <c r="QQG2475" s="63"/>
      <c r="QQH2475" s="61"/>
      <c r="QQI2475" s="54"/>
      <c r="QQJ2475" s="54"/>
      <c r="QQK2475" s="60"/>
      <c r="QQL2475" s="60"/>
      <c r="QQM2475" s="60"/>
      <c r="QQN2475" s="60"/>
      <c r="QQO2475" s="63"/>
      <c r="QQP2475" s="61"/>
      <c r="QQQ2475" s="54"/>
      <c r="QQR2475" s="54"/>
      <c r="QQS2475" s="60"/>
      <c r="QQT2475" s="60"/>
      <c r="QQU2475" s="60"/>
      <c r="QQV2475" s="60"/>
      <c r="QQW2475" s="63"/>
      <c r="QQX2475" s="61"/>
      <c r="QQY2475" s="54"/>
      <c r="QQZ2475" s="54"/>
      <c r="QRA2475" s="60"/>
      <c r="QRB2475" s="60"/>
      <c r="QRC2475" s="60"/>
      <c r="QRD2475" s="60"/>
      <c r="QRE2475" s="63"/>
      <c r="QRF2475" s="61"/>
      <c r="QRG2475" s="54"/>
      <c r="QRH2475" s="54"/>
      <c r="QRI2475" s="60"/>
      <c r="QRJ2475" s="60"/>
      <c r="QRK2475" s="60"/>
      <c r="QRL2475" s="60"/>
      <c r="QRM2475" s="63"/>
      <c r="QRN2475" s="61"/>
      <c r="QRO2475" s="54"/>
      <c r="QRP2475" s="54"/>
      <c r="QRQ2475" s="60"/>
      <c r="QRR2475" s="60"/>
      <c r="QRS2475" s="60"/>
      <c r="QRT2475" s="60"/>
      <c r="QRU2475" s="63"/>
      <c r="QRV2475" s="61"/>
      <c r="QRW2475" s="54"/>
      <c r="QRX2475" s="54"/>
      <c r="QRY2475" s="60"/>
      <c r="QRZ2475" s="60"/>
      <c r="QSA2475" s="60"/>
      <c r="QSB2475" s="60"/>
      <c r="QSC2475" s="63"/>
      <c r="QSD2475" s="61"/>
      <c r="QSE2475" s="54"/>
      <c r="QSF2475" s="54"/>
      <c r="QSG2475" s="60"/>
      <c r="QSH2475" s="60"/>
      <c r="QSI2475" s="60"/>
      <c r="QSJ2475" s="60"/>
      <c r="QSK2475" s="63"/>
      <c r="QSL2475" s="61"/>
      <c r="QSM2475" s="54"/>
      <c r="QSN2475" s="54"/>
      <c r="QSO2475" s="60"/>
      <c r="QSP2475" s="60"/>
      <c r="QSQ2475" s="60"/>
      <c r="QSR2475" s="60"/>
      <c r="QSS2475" s="63"/>
      <c r="QST2475" s="61"/>
      <c r="QSU2475" s="54"/>
      <c r="QSV2475" s="54"/>
      <c r="QSW2475" s="60"/>
      <c r="QSX2475" s="60"/>
      <c r="QSY2475" s="60"/>
      <c r="QSZ2475" s="60"/>
      <c r="QTA2475" s="63"/>
      <c r="QTB2475" s="61"/>
      <c r="QTC2475" s="54"/>
      <c r="QTD2475" s="54"/>
      <c r="QTE2475" s="60"/>
      <c r="QTF2475" s="60"/>
      <c r="QTG2475" s="60"/>
      <c r="QTH2475" s="60"/>
      <c r="QTI2475" s="63"/>
      <c r="QTJ2475" s="61"/>
      <c r="QTK2475" s="54"/>
      <c r="QTL2475" s="54"/>
      <c r="QTM2475" s="60"/>
      <c r="QTN2475" s="60"/>
      <c r="QTO2475" s="60"/>
      <c r="QTP2475" s="60"/>
      <c r="QTQ2475" s="63"/>
      <c r="QTR2475" s="61"/>
      <c r="QTS2475" s="54"/>
      <c r="QTT2475" s="54"/>
      <c r="QTU2475" s="60"/>
      <c r="QTV2475" s="60"/>
      <c r="QTW2475" s="60"/>
      <c r="QTX2475" s="60"/>
      <c r="QTY2475" s="63"/>
      <c r="QTZ2475" s="61"/>
      <c r="QUA2475" s="54"/>
      <c r="QUB2475" s="54"/>
      <c r="QUC2475" s="60"/>
      <c r="QUD2475" s="60"/>
      <c r="QUE2475" s="60"/>
      <c r="QUF2475" s="60"/>
      <c r="QUG2475" s="63"/>
      <c r="QUH2475" s="61"/>
      <c r="QUI2475" s="54"/>
      <c r="QUJ2475" s="54"/>
      <c r="QUK2475" s="60"/>
      <c r="QUL2475" s="60"/>
      <c r="QUM2475" s="60"/>
      <c r="QUN2475" s="60"/>
      <c r="QUO2475" s="63"/>
      <c r="QUP2475" s="61"/>
      <c r="QUQ2475" s="54"/>
      <c r="QUR2475" s="54"/>
      <c r="QUS2475" s="60"/>
      <c r="QUT2475" s="60"/>
      <c r="QUU2475" s="60"/>
      <c r="QUV2475" s="60"/>
      <c r="QUW2475" s="63"/>
      <c r="QUX2475" s="61"/>
      <c r="QUY2475" s="54"/>
      <c r="QUZ2475" s="54"/>
      <c r="QVA2475" s="60"/>
      <c r="QVB2475" s="60"/>
      <c r="QVC2475" s="60"/>
      <c r="QVD2475" s="60"/>
      <c r="QVE2475" s="63"/>
      <c r="QVF2475" s="61"/>
      <c r="QVG2475" s="54"/>
      <c r="QVH2475" s="54"/>
      <c r="QVI2475" s="60"/>
      <c r="QVJ2475" s="60"/>
      <c r="QVK2475" s="60"/>
      <c r="QVL2475" s="60"/>
      <c r="QVM2475" s="63"/>
      <c r="QVN2475" s="61"/>
      <c r="QVO2475" s="54"/>
      <c r="QVP2475" s="54"/>
      <c r="QVQ2475" s="60"/>
      <c r="QVR2475" s="60"/>
      <c r="QVS2475" s="60"/>
      <c r="QVT2475" s="60"/>
      <c r="QVU2475" s="63"/>
      <c r="QVV2475" s="61"/>
      <c r="QVW2475" s="54"/>
      <c r="QVX2475" s="54"/>
      <c r="QVY2475" s="60"/>
      <c r="QVZ2475" s="60"/>
      <c r="QWA2475" s="60"/>
      <c r="QWB2475" s="60"/>
      <c r="QWC2475" s="63"/>
      <c r="QWD2475" s="61"/>
      <c r="QWE2475" s="54"/>
      <c r="QWF2475" s="54"/>
      <c r="QWG2475" s="60"/>
      <c r="QWH2475" s="60"/>
      <c r="QWI2475" s="60"/>
      <c r="QWJ2475" s="60"/>
      <c r="QWK2475" s="63"/>
      <c r="QWL2475" s="61"/>
      <c r="QWM2475" s="54"/>
      <c r="QWN2475" s="54"/>
      <c r="QWO2475" s="60"/>
      <c r="QWP2475" s="60"/>
      <c r="QWQ2475" s="60"/>
      <c r="QWR2475" s="60"/>
      <c r="QWS2475" s="63"/>
      <c r="QWT2475" s="61"/>
      <c r="QWU2475" s="54"/>
      <c r="QWV2475" s="54"/>
      <c r="QWW2475" s="60"/>
      <c r="QWX2475" s="60"/>
      <c r="QWY2475" s="60"/>
      <c r="QWZ2475" s="60"/>
      <c r="QXA2475" s="63"/>
      <c r="QXB2475" s="61"/>
      <c r="QXC2475" s="54"/>
      <c r="QXD2475" s="54"/>
      <c r="QXE2475" s="60"/>
      <c r="QXF2475" s="60"/>
      <c r="QXG2475" s="60"/>
      <c r="QXH2475" s="60"/>
      <c r="QXI2475" s="63"/>
      <c r="QXJ2475" s="61"/>
      <c r="QXK2475" s="54"/>
      <c r="QXL2475" s="54"/>
      <c r="QXM2475" s="60"/>
      <c r="QXN2475" s="60"/>
      <c r="QXO2475" s="60"/>
      <c r="QXP2475" s="60"/>
      <c r="QXQ2475" s="63"/>
      <c r="QXR2475" s="61"/>
      <c r="QXS2475" s="54"/>
      <c r="QXT2475" s="54"/>
      <c r="QXU2475" s="60"/>
      <c r="QXV2475" s="60"/>
      <c r="QXW2475" s="60"/>
      <c r="QXX2475" s="60"/>
      <c r="QXY2475" s="63"/>
      <c r="QXZ2475" s="61"/>
      <c r="QYA2475" s="54"/>
      <c r="QYB2475" s="54"/>
      <c r="QYC2475" s="60"/>
      <c r="QYD2475" s="60"/>
      <c r="QYE2475" s="60"/>
      <c r="QYF2475" s="60"/>
      <c r="QYG2475" s="63"/>
      <c r="QYH2475" s="61"/>
      <c r="QYI2475" s="54"/>
      <c r="QYJ2475" s="54"/>
      <c r="QYK2475" s="60"/>
      <c r="QYL2475" s="60"/>
      <c r="QYM2475" s="60"/>
      <c r="QYN2475" s="60"/>
      <c r="QYO2475" s="63"/>
      <c r="QYP2475" s="61"/>
      <c r="QYQ2475" s="54"/>
      <c r="QYR2475" s="54"/>
      <c r="QYS2475" s="60"/>
      <c r="QYT2475" s="60"/>
      <c r="QYU2475" s="60"/>
      <c r="QYV2475" s="60"/>
      <c r="QYW2475" s="63"/>
      <c r="QYX2475" s="61"/>
      <c r="QYY2475" s="54"/>
      <c r="QYZ2475" s="54"/>
      <c r="QZA2475" s="60"/>
      <c r="QZB2475" s="60"/>
      <c r="QZC2475" s="60"/>
      <c r="QZD2475" s="60"/>
      <c r="QZE2475" s="63"/>
      <c r="QZF2475" s="61"/>
      <c r="QZG2475" s="54"/>
      <c r="QZH2475" s="54"/>
      <c r="QZI2475" s="60"/>
      <c r="QZJ2475" s="60"/>
      <c r="QZK2475" s="60"/>
      <c r="QZL2475" s="60"/>
      <c r="QZM2475" s="63"/>
      <c r="QZN2475" s="61"/>
      <c r="QZO2475" s="54"/>
      <c r="QZP2475" s="54"/>
      <c r="QZQ2475" s="60"/>
      <c r="QZR2475" s="60"/>
      <c r="QZS2475" s="60"/>
      <c r="QZT2475" s="60"/>
      <c r="QZU2475" s="63"/>
      <c r="QZV2475" s="61"/>
      <c r="QZW2475" s="54"/>
      <c r="QZX2475" s="54"/>
      <c r="QZY2475" s="60"/>
      <c r="QZZ2475" s="60"/>
      <c r="RAA2475" s="60"/>
      <c r="RAB2475" s="60"/>
      <c r="RAC2475" s="63"/>
      <c r="RAD2475" s="61"/>
      <c r="RAE2475" s="54"/>
      <c r="RAF2475" s="54"/>
      <c r="RAG2475" s="60"/>
      <c r="RAH2475" s="60"/>
      <c r="RAI2475" s="60"/>
      <c r="RAJ2475" s="60"/>
      <c r="RAK2475" s="63"/>
      <c r="RAL2475" s="61"/>
      <c r="RAM2475" s="54"/>
      <c r="RAN2475" s="54"/>
      <c r="RAO2475" s="60"/>
      <c r="RAP2475" s="60"/>
      <c r="RAQ2475" s="60"/>
      <c r="RAR2475" s="60"/>
      <c r="RAS2475" s="63"/>
      <c r="RAT2475" s="61"/>
      <c r="RAU2475" s="54"/>
      <c r="RAV2475" s="54"/>
      <c r="RAW2475" s="60"/>
      <c r="RAX2475" s="60"/>
      <c r="RAY2475" s="60"/>
      <c r="RAZ2475" s="60"/>
      <c r="RBA2475" s="63"/>
      <c r="RBB2475" s="61"/>
      <c r="RBC2475" s="54"/>
      <c r="RBD2475" s="54"/>
      <c r="RBE2475" s="60"/>
      <c r="RBF2475" s="60"/>
      <c r="RBG2475" s="60"/>
      <c r="RBH2475" s="60"/>
      <c r="RBI2475" s="63"/>
      <c r="RBJ2475" s="61"/>
      <c r="RBK2475" s="54"/>
      <c r="RBL2475" s="54"/>
      <c r="RBM2475" s="60"/>
      <c r="RBN2475" s="60"/>
      <c r="RBO2475" s="60"/>
      <c r="RBP2475" s="60"/>
      <c r="RBQ2475" s="63"/>
      <c r="RBR2475" s="61"/>
      <c r="RBS2475" s="54"/>
      <c r="RBT2475" s="54"/>
      <c r="RBU2475" s="60"/>
      <c r="RBV2475" s="60"/>
      <c r="RBW2475" s="60"/>
      <c r="RBX2475" s="60"/>
      <c r="RBY2475" s="63"/>
      <c r="RBZ2475" s="61"/>
      <c r="RCA2475" s="54"/>
      <c r="RCB2475" s="54"/>
      <c r="RCC2475" s="60"/>
      <c r="RCD2475" s="60"/>
      <c r="RCE2475" s="60"/>
      <c r="RCF2475" s="60"/>
      <c r="RCG2475" s="63"/>
      <c r="RCH2475" s="61"/>
      <c r="RCI2475" s="54"/>
      <c r="RCJ2475" s="54"/>
      <c r="RCK2475" s="60"/>
      <c r="RCL2475" s="60"/>
      <c r="RCM2475" s="60"/>
      <c r="RCN2475" s="60"/>
      <c r="RCO2475" s="63"/>
      <c r="RCP2475" s="61"/>
      <c r="RCQ2475" s="54"/>
      <c r="RCR2475" s="54"/>
      <c r="RCS2475" s="60"/>
      <c r="RCT2475" s="60"/>
      <c r="RCU2475" s="60"/>
      <c r="RCV2475" s="60"/>
      <c r="RCW2475" s="63"/>
      <c r="RCX2475" s="61"/>
      <c r="RCY2475" s="54"/>
      <c r="RCZ2475" s="54"/>
      <c r="RDA2475" s="60"/>
      <c r="RDB2475" s="60"/>
      <c r="RDC2475" s="60"/>
      <c r="RDD2475" s="60"/>
      <c r="RDE2475" s="63"/>
      <c r="RDF2475" s="61"/>
      <c r="RDG2475" s="54"/>
      <c r="RDH2475" s="54"/>
      <c r="RDI2475" s="60"/>
      <c r="RDJ2475" s="60"/>
      <c r="RDK2475" s="60"/>
      <c r="RDL2475" s="60"/>
      <c r="RDM2475" s="63"/>
      <c r="RDN2475" s="61"/>
      <c r="RDO2475" s="54"/>
      <c r="RDP2475" s="54"/>
      <c r="RDQ2475" s="60"/>
      <c r="RDR2475" s="60"/>
      <c r="RDS2475" s="60"/>
      <c r="RDT2475" s="60"/>
      <c r="RDU2475" s="63"/>
      <c r="RDV2475" s="61"/>
      <c r="RDW2475" s="54"/>
      <c r="RDX2475" s="54"/>
      <c r="RDY2475" s="60"/>
      <c r="RDZ2475" s="60"/>
      <c r="REA2475" s="60"/>
      <c r="REB2475" s="60"/>
      <c r="REC2475" s="63"/>
      <c r="RED2475" s="61"/>
      <c r="REE2475" s="54"/>
      <c r="REF2475" s="54"/>
      <c r="REG2475" s="60"/>
      <c r="REH2475" s="60"/>
      <c r="REI2475" s="60"/>
      <c r="REJ2475" s="60"/>
      <c r="REK2475" s="63"/>
      <c r="REL2475" s="61"/>
      <c r="REM2475" s="54"/>
      <c r="REN2475" s="54"/>
      <c r="REO2475" s="60"/>
      <c r="REP2475" s="60"/>
      <c r="REQ2475" s="60"/>
      <c r="RER2475" s="60"/>
      <c r="RES2475" s="63"/>
      <c r="RET2475" s="61"/>
      <c r="REU2475" s="54"/>
      <c r="REV2475" s="54"/>
      <c r="REW2475" s="60"/>
      <c r="REX2475" s="60"/>
      <c r="REY2475" s="60"/>
      <c r="REZ2475" s="60"/>
      <c r="RFA2475" s="63"/>
      <c r="RFB2475" s="61"/>
      <c r="RFC2475" s="54"/>
      <c r="RFD2475" s="54"/>
      <c r="RFE2475" s="60"/>
      <c r="RFF2475" s="60"/>
      <c r="RFG2475" s="60"/>
      <c r="RFH2475" s="60"/>
      <c r="RFI2475" s="63"/>
      <c r="RFJ2475" s="61"/>
      <c r="RFK2475" s="54"/>
      <c r="RFL2475" s="54"/>
      <c r="RFM2475" s="60"/>
      <c r="RFN2475" s="60"/>
      <c r="RFO2475" s="60"/>
      <c r="RFP2475" s="60"/>
      <c r="RFQ2475" s="63"/>
      <c r="RFR2475" s="61"/>
      <c r="RFS2475" s="54"/>
      <c r="RFT2475" s="54"/>
      <c r="RFU2475" s="60"/>
      <c r="RFV2475" s="60"/>
      <c r="RFW2475" s="60"/>
      <c r="RFX2475" s="60"/>
      <c r="RFY2475" s="63"/>
      <c r="RFZ2475" s="61"/>
      <c r="RGA2475" s="54"/>
      <c r="RGB2475" s="54"/>
      <c r="RGC2475" s="60"/>
      <c r="RGD2475" s="60"/>
      <c r="RGE2475" s="60"/>
      <c r="RGF2475" s="60"/>
      <c r="RGG2475" s="63"/>
      <c r="RGH2475" s="61"/>
      <c r="RGI2475" s="54"/>
      <c r="RGJ2475" s="54"/>
      <c r="RGK2475" s="60"/>
      <c r="RGL2475" s="60"/>
      <c r="RGM2475" s="60"/>
      <c r="RGN2475" s="60"/>
      <c r="RGO2475" s="63"/>
      <c r="RGP2475" s="61"/>
      <c r="RGQ2475" s="54"/>
      <c r="RGR2475" s="54"/>
      <c r="RGS2475" s="60"/>
      <c r="RGT2475" s="60"/>
      <c r="RGU2475" s="60"/>
      <c r="RGV2475" s="60"/>
      <c r="RGW2475" s="63"/>
      <c r="RGX2475" s="61"/>
      <c r="RGY2475" s="54"/>
      <c r="RGZ2475" s="54"/>
      <c r="RHA2475" s="60"/>
      <c r="RHB2475" s="60"/>
      <c r="RHC2475" s="60"/>
      <c r="RHD2475" s="60"/>
      <c r="RHE2475" s="63"/>
      <c r="RHF2475" s="61"/>
      <c r="RHG2475" s="54"/>
      <c r="RHH2475" s="54"/>
      <c r="RHI2475" s="60"/>
      <c r="RHJ2475" s="60"/>
      <c r="RHK2475" s="60"/>
      <c r="RHL2475" s="60"/>
      <c r="RHM2475" s="63"/>
      <c r="RHN2475" s="61"/>
      <c r="RHO2475" s="54"/>
      <c r="RHP2475" s="54"/>
      <c r="RHQ2475" s="60"/>
      <c r="RHR2475" s="60"/>
      <c r="RHS2475" s="60"/>
      <c r="RHT2475" s="60"/>
      <c r="RHU2475" s="63"/>
      <c r="RHV2475" s="61"/>
      <c r="RHW2475" s="54"/>
      <c r="RHX2475" s="54"/>
      <c r="RHY2475" s="60"/>
      <c r="RHZ2475" s="60"/>
      <c r="RIA2475" s="60"/>
      <c r="RIB2475" s="60"/>
      <c r="RIC2475" s="63"/>
      <c r="RID2475" s="61"/>
      <c r="RIE2475" s="54"/>
      <c r="RIF2475" s="54"/>
      <c r="RIG2475" s="60"/>
      <c r="RIH2475" s="60"/>
      <c r="RII2475" s="60"/>
      <c r="RIJ2475" s="60"/>
      <c r="RIK2475" s="63"/>
      <c r="RIL2475" s="61"/>
      <c r="RIM2475" s="54"/>
      <c r="RIN2475" s="54"/>
      <c r="RIO2475" s="60"/>
      <c r="RIP2475" s="60"/>
      <c r="RIQ2475" s="60"/>
      <c r="RIR2475" s="60"/>
      <c r="RIS2475" s="63"/>
      <c r="RIT2475" s="61"/>
      <c r="RIU2475" s="54"/>
      <c r="RIV2475" s="54"/>
      <c r="RIW2475" s="60"/>
      <c r="RIX2475" s="60"/>
      <c r="RIY2475" s="60"/>
      <c r="RIZ2475" s="60"/>
      <c r="RJA2475" s="63"/>
      <c r="RJB2475" s="61"/>
      <c r="RJC2475" s="54"/>
      <c r="RJD2475" s="54"/>
      <c r="RJE2475" s="60"/>
      <c r="RJF2475" s="60"/>
      <c r="RJG2475" s="60"/>
      <c r="RJH2475" s="60"/>
      <c r="RJI2475" s="63"/>
      <c r="RJJ2475" s="61"/>
      <c r="RJK2475" s="54"/>
      <c r="RJL2475" s="54"/>
      <c r="RJM2475" s="60"/>
      <c r="RJN2475" s="60"/>
      <c r="RJO2475" s="60"/>
      <c r="RJP2475" s="60"/>
      <c r="RJQ2475" s="63"/>
      <c r="RJR2475" s="61"/>
      <c r="RJS2475" s="54"/>
      <c r="RJT2475" s="54"/>
      <c r="RJU2475" s="60"/>
      <c r="RJV2475" s="60"/>
      <c r="RJW2475" s="60"/>
      <c r="RJX2475" s="60"/>
      <c r="RJY2475" s="63"/>
      <c r="RJZ2475" s="61"/>
      <c r="RKA2475" s="54"/>
      <c r="RKB2475" s="54"/>
      <c r="RKC2475" s="60"/>
      <c r="RKD2475" s="60"/>
      <c r="RKE2475" s="60"/>
      <c r="RKF2475" s="60"/>
      <c r="RKG2475" s="63"/>
      <c r="RKH2475" s="61"/>
      <c r="RKI2475" s="54"/>
      <c r="RKJ2475" s="54"/>
      <c r="RKK2475" s="60"/>
      <c r="RKL2475" s="60"/>
      <c r="RKM2475" s="60"/>
      <c r="RKN2475" s="60"/>
      <c r="RKO2475" s="63"/>
      <c r="RKP2475" s="61"/>
      <c r="RKQ2475" s="54"/>
      <c r="RKR2475" s="54"/>
      <c r="RKS2475" s="60"/>
      <c r="RKT2475" s="60"/>
      <c r="RKU2475" s="60"/>
      <c r="RKV2475" s="60"/>
      <c r="RKW2475" s="63"/>
      <c r="RKX2475" s="61"/>
      <c r="RKY2475" s="54"/>
      <c r="RKZ2475" s="54"/>
      <c r="RLA2475" s="60"/>
      <c r="RLB2475" s="60"/>
      <c r="RLC2475" s="60"/>
      <c r="RLD2475" s="60"/>
      <c r="RLE2475" s="63"/>
      <c r="RLF2475" s="61"/>
      <c r="RLG2475" s="54"/>
      <c r="RLH2475" s="54"/>
      <c r="RLI2475" s="60"/>
      <c r="RLJ2475" s="60"/>
      <c r="RLK2475" s="60"/>
      <c r="RLL2475" s="60"/>
      <c r="RLM2475" s="63"/>
      <c r="RLN2475" s="61"/>
      <c r="RLO2475" s="54"/>
      <c r="RLP2475" s="54"/>
      <c r="RLQ2475" s="60"/>
      <c r="RLR2475" s="60"/>
      <c r="RLS2475" s="60"/>
      <c r="RLT2475" s="60"/>
      <c r="RLU2475" s="63"/>
      <c r="RLV2475" s="61"/>
      <c r="RLW2475" s="54"/>
      <c r="RLX2475" s="54"/>
      <c r="RLY2475" s="60"/>
      <c r="RLZ2475" s="60"/>
      <c r="RMA2475" s="60"/>
      <c r="RMB2475" s="60"/>
      <c r="RMC2475" s="63"/>
      <c r="RMD2475" s="61"/>
      <c r="RME2475" s="54"/>
      <c r="RMF2475" s="54"/>
      <c r="RMG2475" s="60"/>
      <c r="RMH2475" s="60"/>
      <c r="RMI2475" s="60"/>
      <c r="RMJ2475" s="60"/>
      <c r="RMK2475" s="63"/>
      <c r="RML2475" s="61"/>
      <c r="RMM2475" s="54"/>
      <c r="RMN2475" s="54"/>
      <c r="RMO2475" s="60"/>
      <c r="RMP2475" s="60"/>
      <c r="RMQ2475" s="60"/>
      <c r="RMR2475" s="60"/>
      <c r="RMS2475" s="63"/>
      <c r="RMT2475" s="61"/>
      <c r="RMU2475" s="54"/>
      <c r="RMV2475" s="54"/>
      <c r="RMW2475" s="60"/>
      <c r="RMX2475" s="60"/>
      <c r="RMY2475" s="60"/>
      <c r="RMZ2475" s="60"/>
      <c r="RNA2475" s="63"/>
      <c r="RNB2475" s="61"/>
      <c r="RNC2475" s="54"/>
      <c r="RND2475" s="54"/>
      <c r="RNE2475" s="60"/>
      <c r="RNF2475" s="60"/>
      <c r="RNG2475" s="60"/>
      <c r="RNH2475" s="60"/>
      <c r="RNI2475" s="63"/>
      <c r="RNJ2475" s="61"/>
      <c r="RNK2475" s="54"/>
      <c r="RNL2475" s="54"/>
      <c r="RNM2475" s="60"/>
      <c r="RNN2475" s="60"/>
      <c r="RNO2475" s="60"/>
      <c r="RNP2475" s="60"/>
      <c r="RNQ2475" s="63"/>
      <c r="RNR2475" s="61"/>
      <c r="RNS2475" s="54"/>
      <c r="RNT2475" s="54"/>
      <c r="RNU2475" s="60"/>
      <c r="RNV2475" s="60"/>
      <c r="RNW2475" s="60"/>
      <c r="RNX2475" s="60"/>
      <c r="RNY2475" s="63"/>
      <c r="RNZ2475" s="61"/>
      <c r="ROA2475" s="54"/>
      <c r="ROB2475" s="54"/>
      <c r="ROC2475" s="60"/>
      <c r="ROD2475" s="60"/>
      <c r="ROE2475" s="60"/>
      <c r="ROF2475" s="60"/>
      <c r="ROG2475" s="63"/>
      <c r="ROH2475" s="61"/>
      <c r="ROI2475" s="54"/>
      <c r="ROJ2475" s="54"/>
      <c r="ROK2475" s="60"/>
      <c r="ROL2475" s="60"/>
      <c r="ROM2475" s="60"/>
      <c r="RON2475" s="60"/>
      <c r="ROO2475" s="63"/>
      <c r="ROP2475" s="61"/>
      <c r="ROQ2475" s="54"/>
      <c r="ROR2475" s="54"/>
      <c r="ROS2475" s="60"/>
      <c r="ROT2475" s="60"/>
      <c r="ROU2475" s="60"/>
      <c r="ROV2475" s="60"/>
      <c r="ROW2475" s="63"/>
      <c r="ROX2475" s="61"/>
      <c r="ROY2475" s="54"/>
      <c r="ROZ2475" s="54"/>
      <c r="RPA2475" s="60"/>
      <c r="RPB2475" s="60"/>
      <c r="RPC2475" s="60"/>
      <c r="RPD2475" s="60"/>
      <c r="RPE2475" s="63"/>
      <c r="RPF2475" s="61"/>
      <c r="RPG2475" s="54"/>
      <c r="RPH2475" s="54"/>
      <c r="RPI2475" s="60"/>
      <c r="RPJ2475" s="60"/>
      <c r="RPK2475" s="60"/>
      <c r="RPL2475" s="60"/>
      <c r="RPM2475" s="63"/>
      <c r="RPN2475" s="61"/>
      <c r="RPO2475" s="54"/>
      <c r="RPP2475" s="54"/>
      <c r="RPQ2475" s="60"/>
      <c r="RPR2475" s="60"/>
      <c r="RPS2475" s="60"/>
      <c r="RPT2475" s="60"/>
      <c r="RPU2475" s="63"/>
      <c r="RPV2475" s="61"/>
      <c r="RPW2475" s="54"/>
      <c r="RPX2475" s="54"/>
      <c r="RPY2475" s="60"/>
      <c r="RPZ2475" s="60"/>
      <c r="RQA2475" s="60"/>
      <c r="RQB2475" s="60"/>
      <c r="RQC2475" s="63"/>
      <c r="RQD2475" s="61"/>
      <c r="RQE2475" s="54"/>
      <c r="RQF2475" s="54"/>
      <c r="RQG2475" s="60"/>
      <c r="RQH2475" s="60"/>
      <c r="RQI2475" s="60"/>
      <c r="RQJ2475" s="60"/>
      <c r="RQK2475" s="63"/>
      <c r="RQL2475" s="61"/>
      <c r="RQM2475" s="54"/>
      <c r="RQN2475" s="54"/>
      <c r="RQO2475" s="60"/>
      <c r="RQP2475" s="60"/>
      <c r="RQQ2475" s="60"/>
      <c r="RQR2475" s="60"/>
      <c r="RQS2475" s="63"/>
      <c r="RQT2475" s="61"/>
      <c r="RQU2475" s="54"/>
      <c r="RQV2475" s="54"/>
      <c r="RQW2475" s="60"/>
      <c r="RQX2475" s="60"/>
      <c r="RQY2475" s="60"/>
      <c r="RQZ2475" s="60"/>
      <c r="RRA2475" s="63"/>
      <c r="RRB2475" s="61"/>
      <c r="RRC2475" s="54"/>
      <c r="RRD2475" s="54"/>
      <c r="RRE2475" s="60"/>
      <c r="RRF2475" s="60"/>
      <c r="RRG2475" s="60"/>
      <c r="RRH2475" s="60"/>
      <c r="RRI2475" s="63"/>
      <c r="RRJ2475" s="61"/>
      <c r="RRK2475" s="54"/>
      <c r="RRL2475" s="54"/>
      <c r="RRM2475" s="60"/>
      <c r="RRN2475" s="60"/>
      <c r="RRO2475" s="60"/>
      <c r="RRP2475" s="60"/>
      <c r="RRQ2475" s="63"/>
      <c r="RRR2475" s="61"/>
      <c r="RRS2475" s="54"/>
      <c r="RRT2475" s="54"/>
      <c r="RRU2475" s="60"/>
      <c r="RRV2475" s="60"/>
      <c r="RRW2475" s="60"/>
      <c r="RRX2475" s="60"/>
      <c r="RRY2475" s="63"/>
      <c r="RRZ2475" s="61"/>
      <c r="RSA2475" s="54"/>
      <c r="RSB2475" s="54"/>
      <c r="RSC2475" s="60"/>
      <c r="RSD2475" s="60"/>
      <c r="RSE2475" s="60"/>
      <c r="RSF2475" s="60"/>
      <c r="RSG2475" s="63"/>
      <c r="RSH2475" s="61"/>
      <c r="RSI2475" s="54"/>
      <c r="RSJ2475" s="54"/>
      <c r="RSK2475" s="60"/>
      <c r="RSL2475" s="60"/>
      <c r="RSM2475" s="60"/>
      <c r="RSN2475" s="60"/>
      <c r="RSO2475" s="63"/>
      <c r="RSP2475" s="61"/>
      <c r="RSQ2475" s="54"/>
      <c r="RSR2475" s="54"/>
      <c r="RSS2475" s="60"/>
      <c r="RST2475" s="60"/>
      <c r="RSU2475" s="60"/>
      <c r="RSV2475" s="60"/>
      <c r="RSW2475" s="63"/>
      <c r="RSX2475" s="61"/>
      <c r="RSY2475" s="54"/>
      <c r="RSZ2475" s="54"/>
      <c r="RTA2475" s="60"/>
      <c r="RTB2475" s="60"/>
      <c r="RTC2475" s="60"/>
      <c r="RTD2475" s="60"/>
      <c r="RTE2475" s="63"/>
      <c r="RTF2475" s="61"/>
      <c r="RTG2475" s="54"/>
      <c r="RTH2475" s="54"/>
      <c r="RTI2475" s="60"/>
      <c r="RTJ2475" s="60"/>
      <c r="RTK2475" s="60"/>
      <c r="RTL2475" s="60"/>
      <c r="RTM2475" s="63"/>
      <c r="RTN2475" s="61"/>
      <c r="RTO2475" s="54"/>
      <c r="RTP2475" s="54"/>
      <c r="RTQ2475" s="60"/>
      <c r="RTR2475" s="60"/>
      <c r="RTS2475" s="60"/>
      <c r="RTT2475" s="60"/>
      <c r="RTU2475" s="63"/>
      <c r="RTV2475" s="61"/>
      <c r="RTW2475" s="54"/>
      <c r="RTX2475" s="54"/>
      <c r="RTY2475" s="60"/>
      <c r="RTZ2475" s="60"/>
      <c r="RUA2475" s="60"/>
      <c r="RUB2475" s="60"/>
      <c r="RUC2475" s="63"/>
      <c r="RUD2475" s="61"/>
      <c r="RUE2475" s="54"/>
      <c r="RUF2475" s="54"/>
      <c r="RUG2475" s="60"/>
      <c r="RUH2475" s="60"/>
      <c r="RUI2475" s="60"/>
      <c r="RUJ2475" s="60"/>
      <c r="RUK2475" s="63"/>
      <c r="RUL2475" s="61"/>
      <c r="RUM2475" s="54"/>
      <c r="RUN2475" s="54"/>
      <c r="RUO2475" s="60"/>
      <c r="RUP2475" s="60"/>
      <c r="RUQ2475" s="60"/>
      <c r="RUR2475" s="60"/>
      <c r="RUS2475" s="63"/>
      <c r="RUT2475" s="61"/>
      <c r="RUU2475" s="54"/>
      <c r="RUV2475" s="54"/>
      <c r="RUW2475" s="60"/>
      <c r="RUX2475" s="60"/>
      <c r="RUY2475" s="60"/>
      <c r="RUZ2475" s="60"/>
      <c r="RVA2475" s="63"/>
      <c r="RVB2475" s="61"/>
      <c r="RVC2475" s="54"/>
      <c r="RVD2475" s="54"/>
      <c r="RVE2475" s="60"/>
      <c r="RVF2475" s="60"/>
      <c r="RVG2475" s="60"/>
      <c r="RVH2475" s="60"/>
      <c r="RVI2475" s="63"/>
      <c r="RVJ2475" s="61"/>
      <c r="RVK2475" s="54"/>
      <c r="RVL2475" s="54"/>
      <c r="RVM2475" s="60"/>
      <c r="RVN2475" s="60"/>
      <c r="RVO2475" s="60"/>
      <c r="RVP2475" s="60"/>
      <c r="RVQ2475" s="63"/>
      <c r="RVR2475" s="61"/>
      <c r="RVS2475" s="54"/>
      <c r="RVT2475" s="54"/>
      <c r="RVU2475" s="60"/>
      <c r="RVV2475" s="60"/>
      <c r="RVW2475" s="60"/>
      <c r="RVX2475" s="60"/>
      <c r="RVY2475" s="63"/>
      <c r="RVZ2475" s="61"/>
      <c r="RWA2475" s="54"/>
      <c r="RWB2475" s="54"/>
      <c r="RWC2475" s="60"/>
      <c r="RWD2475" s="60"/>
      <c r="RWE2475" s="60"/>
      <c r="RWF2475" s="60"/>
      <c r="RWG2475" s="63"/>
      <c r="RWH2475" s="61"/>
      <c r="RWI2475" s="54"/>
      <c r="RWJ2475" s="54"/>
      <c r="RWK2475" s="60"/>
      <c r="RWL2475" s="60"/>
      <c r="RWM2475" s="60"/>
      <c r="RWN2475" s="60"/>
      <c r="RWO2475" s="63"/>
      <c r="RWP2475" s="61"/>
      <c r="RWQ2475" s="54"/>
      <c r="RWR2475" s="54"/>
      <c r="RWS2475" s="60"/>
      <c r="RWT2475" s="60"/>
      <c r="RWU2475" s="60"/>
      <c r="RWV2475" s="60"/>
      <c r="RWW2475" s="63"/>
      <c r="RWX2475" s="61"/>
      <c r="RWY2475" s="54"/>
      <c r="RWZ2475" s="54"/>
      <c r="RXA2475" s="60"/>
      <c r="RXB2475" s="60"/>
      <c r="RXC2475" s="60"/>
      <c r="RXD2475" s="60"/>
      <c r="RXE2475" s="63"/>
      <c r="RXF2475" s="61"/>
      <c r="RXG2475" s="54"/>
      <c r="RXH2475" s="54"/>
      <c r="RXI2475" s="60"/>
      <c r="RXJ2475" s="60"/>
      <c r="RXK2475" s="60"/>
      <c r="RXL2475" s="60"/>
      <c r="RXM2475" s="63"/>
      <c r="RXN2475" s="61"/>
      <c r="RXO2475" s="54"/>
      <c r="RXP2475" s="54"/>
      <c r="RXQ2475" s="60"/>
      <c r="RXR2475" s="60"/>
      <c r="RXS2475" s="60"/>
      <c r="RXT2475" s="60"/>
      <c r="RXU2475" s="63"/>
      <c r="RXV2475" s="61"/>
      <c r="RXW2475" s="54"/>
      <c r="RXX2475" s="54"/>
      <c r="RXY2475" s="60"/>
      <c r="RXZ2475" s="60"/>
      <c r="RYA2475" s="60"/>
      <c r="RYB2475" s="60"/>
      <c r="RYC2475" s="63"/>
      <c r="RYD2475" s="61"/>
      <c r="RYE2475" s="54"/>
      <c r="RYF2475" s="54"/>
      <c r="RYG2475" s="60"/>
      <c r="RYH2475" s="60"/>
      <c r="RYI2475" s="60"/>
      <c r="RYJ2475" s="60"/>
      <c r="RYK2475" s="63"/>
      <c r="RYL2475" s="61"/>
      <c r="RYM2475" s="54"/>
      <c r="RYN2475" s="54"/>
      <c r="RYO2475" s="60"/>
      <c r="RYP2475" s="60"/>
      <c r="RYQ2475" s="60"/>
      <c r="RYR2475" s="60"/>
      <c r="RYS2475" s="63"/>
      <c r="RYT2475" s="61"/>
      <c r="RYU2475" s="54"/>
      <c r="RYV2475" s="54"/>
      <c r="RYW2475" s="60"/>
      <c r="RYX2475" s="60"/>
      <c r="RYY2475" s="60"/>
      <c r="RYZ2475" s="60"/>
      <c r="RZA2475" s="63"/>
      <c r="RZB2475" s="61"/>
      <c r="RZC2475" s="54"/>
      <c r="RZD2475" s="54"/>
      <c r="RZE2475" s="60"/>
      <c r="RZF2475" s="60"/>
      <c r="RZG2475" s="60"/>
      <c r="RZH2475" s="60"/>
      <c r="RZI2475" s="63"/>
      <c r="RZJ2475" s="61"/>
      <c r="RZK2475" s="54"/>
      <c r="RZL2475" s="54"/>
      <c r="RZM2475" s="60"/>
      <c r="RZN2475" s="60"/>
      <c r="RZO2475" s="60"/>
      <c r="RZP2475" s="60"/>
      <c r="RZQ2475" s="63"/>
      <c r="RZR2475" s="61"/>
      <c r="RZS2475" s="54"/>
      <c r="RZT2475" s="54"/>
      <c r="RZU2475" s="60"/>
      <c r="RZV2475" s="60"/>
      <c r="RZW2475" s="60"/>
      <c r="RZX2475" s="60"/>
      <c r="RZY2475" s="63"/>
      <c r="RZZ2475" s="61"/>
      <c r="SAA2475" s="54"/>
      <c r="SAB2475" s="54"/>
      <c r="SAC2475" s="60"/>
      <c r="SAD2475" s="60"/>
      <c r="SAE2475" s="60"/>
      <c r="SAF2475" s="60"/>
      <c r="SAG2475" s="63"/>
      <c r="SAH2475" s="61"/>
      <c r="SAI2475" s="54"/>
      <c r="SAJ2475" s="54"/>
      <c r="SAK2475" s="60"/>
      <c r="SAL2475" s="60"/>
      <c r="SAM2475" s="60"/>
      <c r="SAN2475" s="60"/>
      <c r="SAO2475" s="63"/>
      <c r="SAP2475" s="61"/>
      <c r="SAQ2475" s="54"/>
      <c r="SAR2475" s="54"/>
      <c r="SAS2475" s="60"/>
      <c r="SAT2475" s="60"/>
      <c r="SAU2475" s="60"/>
      <c r="SAV2475" s="60"/>
      <c r="SAW2475" s="63"/>
      <c r="SAX2475" s="61"/>
      <c r="SAY2475" s="54"/>
      <c r="SAZ2475" s="54"/>
      <c r="SBA2475" s="60"/>
      <c r="SBB2475" s="60"/>
      <c r="SBC2475" s="60"/>
      <c r="SBD2475" s="60"/>
      <c r="SBE2475" s="63"/>
      <c r="SBF2475" s="61"/>
      <c r="SBG2475" s="54"/>
      <c r="SBH2475" s="54"/>
      <c r="SBI2475" s="60"/>
      <c r="SBJ2475" s="60"/>
      <c r="SBK2475" s="60"/>
      <c r="SBL2475" s="60"/>
      <c r="SBM2475" s="63"/>
      <c r="SBN2475" s="61"/>
      <c r="SBO2475" s="54"/>
      <c r="SBP2475" s="54"/>
      <c r="SBQ2475" s="60"/>
      <c r="SBR2475" s="60"/>
      <c r="SBS2475" s="60"/>
      <c r="SBT2475" s="60"/>
      <c r="SBU2475" s="63"/>
      <c r="SBV2475" s="61"/>
      <c r="SBW2475" s="54"/>
      <c r="SBX2475" s="54"/>
      <c r="SBY2475" s="60"/>
      <c r="SBZ2475" s="60"/>
      <c r="SCA2475" s="60"/>
      <c r="SCB2475" s="60"/>
      <c r="SCC2475" s="63"/>
      <c r="SCD2475" s="61"/>
      <c r="SCE2475" s="54"/>
      <c r="SCF2475" s="54"/>
      <c r="SCG2475" s="60"/>
      <c r="SCH2475" s="60"/>
      <c r="SCI2475" s="60"/>
      <c r="SCJ2475" s="60"/>
      <c r="SCK2475" s="63"/>
      <c r="SCL2475" s="61"/>
      <c r="SCM2475" s="54"/>
      <c r="SCN2475" s="54"/>
      <c r="SCO2475" s="60"/>
      <c r="SCP2475" s="60"/>
      <c r="SCQ2475" s="60"/>
      <c r="SCR2475" s="60"/>
      <c r="SCS2475" s="63"/>
      <c r="SCT2475" s="61"/>
      <c r="SCU2475" s="54"/>
      <c r="SCV2475" s="54"/>
      <c r="SCW2475" s="60"/>
      <c r="SCX2475" s="60"/>
      <c r="SCY2475" s="60"/>
      <c r="SCZ2475" s="60"/>
      <c r="SDA2475" s="63"/>
      <c r="SDB2475" s="61"/>
      <c r="SDC2475" s="54"/>
      <c r="SDD2475" s="54"/>
      <c r="SDE2475" s="60"/>
      <c r="SDF2475" s="60"/>
      <c r="SDG2475" s="60"/>
      <c r="SDH2475" s="60"/>
      <c r="SDI2475" s="63"/>
      <c r="SDJ2475" s="61"/>
      <c r="SDK2475" s="54"/>
      <c r="SDL2475" s="54"/>
      <c r="SDM2475" s="60"/>
      <c r="SDN2475" s="60"/>
      <c r="SDO2475" s="60"/>
      <c r="SDP2475" s="60"/>
      <c r="SDQ2475" s="63"/>
      <c r="SDR2475" s="61"/>
      <c r="SDS2475" s="54"/>
      <c r="SDT2475" s="54"/>
      <c r="SDU2475" s="60"/>
      <c r="SDV2475" s="60"/>
      <c r="SDW2475" s="60"/>
      <c r="SDX2475" s="60"/>
      <c r="SDY2475" s="63"/>
      <c r="SDZ2475" s="61"/>
      <c r="SEA2475" s="54"/>
      <c r="SEB2475" s="54"/>
      <c r="SEC2475" s="60"/>
      <c r="SED2475" s="60"/>
      <c r="SEE2475" s="60"/>
      <c r="SEF2475" s="60"/>
      <c r="SEG2475" s="63"/>
      <c r="SEH2475" s="61"/>
      <c r="SEI2475" s="54"/>
      <c r="SEJ2475" s="54"/>
      <c r="SEK2475" s="60"/>
      <c r="SEL2475" s="60"/>
      <c r="SEM2475" s="60"/>
      <c r="SEN2475" s="60"/>
      <c r="SEO2475" s="63"/>
      <c r="SEP2475" s="61"/>
      <c r="SEQ2475" s="54"/>
      <c r="SER2475" s="54"/>
      <c r="SES2475" s="60"/>
      <c r="SET2475" s="60"/>
      <c r="SEU2475" s="60"/>
      <c r="SEV2475" s="60"/>
      <c r="SEW2475" s="63"/>
      <c r="SEX2475" s="61"/>
      <c r="SEY2475" s="54"/>
      <c r="SEZ2475" s="54"/>
      <c r="SFA2475" s="60"/>
      <c r="SFB2475" s="60"/>
      <c r="SFC2475" s="60"/>
      <c r="SFD2475" s="60"/>
      <c r="SFE2475" s="63"/>
      <c r="SFF2475" s="61"/>
      <c r="SFG2475" s="54"/>
      <c r="SFH2475" s="54"/>
      <c r="SFI2475" s="60"/>
      <c r="SFJ2475" s="60"/>
      <c r="SFK2475" s="60"/>
      <c r="SFL2475" s="60"/>
      <c r="SFM2475" s="63"/>
      <c r="SFN2475" s="61"/>
      <c r="SFO2475" s="54"/>
      <c r="SFP2475" s="54"/>
      <c r="SFQ2475" s="60"/>
      <c r="SFR2475" s="60"/>
      <c r="SFS2475" s="60"/>
      <c r="SFT2475" s="60"/>
      <c r="SFU2475" s="63"/>
      <c r="SFV2475" s="61"/>
      <c r="SFW2475" s="54"/>
      <c r="SFX2475" s="54"/>
      <c r="SFY2475" s="60"/>
      <c r="SFZ2475" s="60"/>
      <c r="SGA2475" s="60"/>
      <c r="SGB2475" s="60"/>
      <c r="SGC2475" s="63"/>
      <c r="SGD2475" s="61"/>
      <c r="SGE2475" s="54"/>
      <c r="SGF2475" s="54"/>
      <c r="SGG2475" s="60"/>
      <c r="SGH2475" s="60"/>
      <c r="SGI2475" s="60"/>
      <c r="SGJ2475" s="60"/>
      <c r="SGK2475" s="63"/>
      <c r="SGL2475" s="61"/>
      <c r="SGM2475" s="54"/>
      <c r="SGN2475" s="54"/>
      <c r="SGO2475" s="60"/>
      <c r="SGP2475" s="60"/>
      <c r="SGQ2475" s="60"/>
      <c r="SGR2475" s="60"/>
      <c r="SGS2475" s="63"/>
      <c r="SGT2475" s="61"/>
      <c r="SGU2475" s="54"/>
      <c r="SGV2475" s="54"/>
      <c r="SGW2475" s="60"/>
      <c r="SGX2475" s="60"/>
      <c r="SGY2475" s="60"/>
      <c r="SGZ2475" s="60"/>
      <c r="SHA2475" s="63"/>
      <c r="SHB2475" s="61"/>
      <c r="SHC2475" s="54"/>
      <c r="SHD2475" s="54"/>
      <c r="SHE2475" s="60"/>
      <c r="SHF2475" s="60"/>
      <c r="SHG2475" s="60"/>
      <c r="SHH2475" s="60"/>
      <c r="SHI2475" s="63"/>
      <c r="SHJ2475" s="61"/>
      <c r="SHK2475" s="54"/>
      <c r="SHL2475" s="54"/>
      <c r="SHM2475" s="60"/>
      <c r="SHN2475" s="60"/>
      <c r="SHO2475" s="60"/>
      <c r="SHP2475" s="60"/>
      <c r="SHQ2475" s="63"/>
      <c r="SHR2475" s="61"/>
      <c r="SHS2475" s="54"/>
      <c r="SHT2475" s="54"/>
      <c r="SHU2475" s="60"/>
      <c r="SHV2475" s="60"/>
      <c r="SHW2475" s="60"/>
      <c r="SHX2475" s="60"/>
      <c r="SHY2475" s="63"/>
      <c r="SHZ2475" s="61"/>
      <c r="SIA2475" s="54"/>
      <c r="SIB2475" s="54"/>
      <c r="SIC2475" s="60"/>
      <c r="SID2475" s="60"/>
      <c r="SIE2475" s="60"/>
      <c r="SIF2475" s="60"/>
      <c r="SIG2475" s="63"/>
      <c r="SIH2475" s="61"/>
      <c r="SII2475" s="54"/>
      <c r="SIJ2475" s="54"/>
      <c r="SIK2475" s="60"/>
      <c r="SIL2475" s="60"/>
      <c r="SIM2475" s="60"/>
      <c r="SIN2475" s="60"/>
      <c r="SIO2475" s="63"/>
      <c r="SIP2475" s="61"/>
      <c r="SIQ2475" s="54"/>
      <c r="SIR2475" s="54"/>
      <c r="SIS2475" s="60"/>
      <c r="SIT2475" s="60"/>
      <c r="SIU2475" s="60"/>
      <c r="SIV2475" s="60"/>
      <c r="SIW2475" s="63"/>
      <c r="SIX2475" s="61"/>
      <c r="SIY2475" s="54"/>
      <c r="SIZ2475" s="54"/>
      <c r="SJA2475" s="60"/>
      <c r="SJB2475" s="60"/>
      <c r="SJC2475" s="60"/>
      <c r="SJD2475" s="60"/>
      <c r="SJE2475" s="63"/>
      <c r="SJF2475" s="61"/>
      <c r="SJG2475" s="54"/>
      <c r="SJH2475" s="54"/>
      <c r="SJI2475" s="60"/>
      <c r="SJJ2475" s="60"/>
      <c r="SJK2475" s="60"/>
      <c r="SJL2475" s="60"/>
      <c r="SJM2475" s="63"/>
      <c r="SJN2475" s="61"/>
      <c r="SJO2475" s="54"/>
      <c r="SJP2475" s="54"/>
      <c r="SJQ2475" s="60"/>
      <c r="SJR2475" s="60"/>
      <c r="SJS2475" s="60"/>
      <c r="SJT2475" s="60"/>
      <c r="SJU2475" s="63"/>
      <c r="SJV2475" s="61"/>
      <c r="SJW2475" s="54"/>
      <c r="SJX2475" s="54"/>
      <c r="SJY2475" s="60"/>
      <c r="SJZ2475" s="60"/>
      <c r="SKA2475" s="60"/>
      <c r="SKB2475" s="60"/>
      <c r="SKC2475" s="63"/>
      <c r="SKD2475" s="61"/>
      <c r="SKE2475" s="54"/>
      <c r="SKF2475" s="54"/>
      <c r="SKG2475" s="60"/>
      <c r="SKH2475" s="60"/>
      <c r="SKI2475" s="60"/>
      <c r="SKJ2475" s="60"/>
      <c r="SKK2475" s="63"/>
      <c r="SKL2475" s="61"/>
      <c r="SKM2475" s="54"/>
      <c r="SKN2475" s="54"/>
      <c r="SKO2475" s="60"/>
      <c r="SKP2475" s="60"/>
      <c r="SKQ2475" s="60"/>
      <c r="SKR2475" s="60"/>
      <c r="SKS2475" s="63"/>
      <c r="SKT2475" s="61"/>
      <c r="SKU2475" s="54"/>
      <c r="SKV2475" s="54"/>
      <c r="SKW2475" s="60"/>
      <c r="SKX2475" s="60"/>
      <c r="SKY2475" s="60"/>
      <c r="SKZ2475" s="60"/>
      <c r="SLA2475" s="63"/>
      <c r="SLB2475" s="61"/>
      <c r="SLC2475" s="54"/>
      <c r="SLD2475" s="54"/>
      <c r="SLE2475" s="60"/>
      <c r="SLF2475" s="60"/>
      <c r="SLG2475" s="60"/>
      <c r="SLH2475" s="60"/>
      <c r="SLI2475" s="63"/>
      <c r="SLJ2475" s="61"/>
      <c r="SLK2475" s="54"/>
      <c r="SLL2475" s="54"/>
      <c r="SLM2475" s="60"/>
      <c r="SLN2475" s="60"/>
      <c r="SLO2475" s="60"/>
      <c r="SLP2475" s="60"/>
      <c r="SLQ2475" s="63"/>
      <c r="SLR2475" s="61"/>
      <c r="SLS2475" s="54"/>
      <c r="SLT2475" s="54"/>
      <c r="SLU2475" s="60"/>
      <c r="SLV2475" s="60"/>
      <c r="SLW2475" s="60"/>
      <c r="SLX2475" s="60"/>
      <c r="SLY2475" s="63"/>
      <c r="SLZ2475" s="61"/>
      <c r="SMA2475" s="54"/>
      <c r="SMB2475" s="54"/>
      <c r="SMC2475" s="60"/>
      <c r="SMD2475" s="60"/>
      <c r="SME2475" s="60"/>
      <c r="SMF2475" s="60"/>
      <c r="SMG2475" s="63"/>
      <c r="SMH2475" s="61"/>
      <c r="SMI2475" s="54"/>
      <c r="SMJ2475" s="54"/>
      <c r="SMK2475" s="60"/>
      <c r="SML2475" s="60"/>
      <c r="SMM2475" s="60"/>
      <c r="SMN2475" s="60"/>
      <c r="SMO2475" s="63"/>
      <c r="SMP2475" s="61"/>
      <c r="SMQ2475" s="54"/>
      <c r="SMR2475" s="54"/>
      <c r="SMS2475" s="60"/>
      <c r="SMT2475" s="60"/>
      <c r="SMU2475" s="60"/>
      <c r="SMV2475" s="60"/>
      <c r="SMW2475" s="63"/>
      <c r="SMX2475" s="61"/>
      <c r="SMY2475" s="54"/>
      <c r="SMZ2475" s="54"/>
      <c r="SNA2475" s="60"/>
      <c r="SNB2475" s="60"/>
      <c r="SNC2475" s="60"/>
      <c r="SND2475" s="60"/>
      <c r="SNE2475" s="63"/>
      <c r="SNF2475" s="61"/>
      <c r="SNG2475" s="54"/>
      <c r="SNH2475" s="54"/>
      <c r="SNI2475" s="60"/>
      <c r="SNJ2475" s="60"/>
      <c r="SNK2475" s="60"/>
      <c r="SNL2475" s="60"/>
      <c r="SNM2475" s="63"/>
      <c r="SNN2475" s="61"/>
      <c r="SNO2475" s="54"/>
      <c r="SNP2475" s="54"/>
      <c r="SNQ2475" s="60"/>
      <c r="SNR2475" s="60"/>
      <c r="SNS2475" s="60"/>
      <c r="SNT2475" s="60"/>
      <c r="SNU2475" s="63"/>
      <c r="SNV2475" s="61"/>
      <c r="SNW2475" s="54"/>
      <c r="SNX2475" s="54"/>
      <c r="SNY2475" s="60"/>
      <c r="SNZ2475" s="60"/>
      <c r="SOA2475" s="60"/>
      <c r="SOB2475" s="60"/>
      <c r="SOC2475" s="63"/>
      <c r="SOD2475" s="61"/>
      <c r="SOE2475" s="54"/>
      <c r="SOF2475" s="54"/>
      <c r="SOG2475" s="60"/>
      <c r="SOH2475" s="60"/>
      <c r="SOI2475" s="60"/>
      <c r="SOJ2475" s="60"/>
      <c r="SOK2475" s="63"/>
      <c r="SOL2475" s="61"/>
      <c r="SOM2475" s="54"/>
      <c r="SON2475" s="54"/>
      <c r="SOO2475" s="60"/>
      <c r="SOP2475" s="60"/>
      <c r="SOQ2475" s="60"/>
      <c r="SOR2475" s="60"/>
      <c r="SOS2475" s="63"/>
      <c r="SOT2475" s="61"/>
      <c r="SOU2475" s="54"/>
      <c r="SOV2475" s="54"/>
      <c r="SOW2475" s="60"/>
      <c r="SOX2475" s="60"/>
      <c r="SOY2475" s="60"/>
      <c r="SOZ2475" s="60"/>
      <c r="SPA2475" s="63"/>
      <c r="SPB2475" s="61"/>
      <c r="SPC2475" s="54"/>
      <c r="SPD2475" s="54"/>
      <c r="SPE2475" s="60"/>
      <c r="SPF2475" s="60"/>
      <c r="SPG2475" s="60"/>
      <c r="SPH2475" s="60"/>
      <c r="SPI2475" s="63"/>
      <c r="SPJ2475" s="61"/>
      <c r="SPK2475" s="54"/>
      <c r="SPL2475" s="54"/>
      <c r="SPM2475" s="60"/>
      <c r="SPN2475" s="60"/>
      <c r="SPO2475" s="60"/>
      <c r="SPP2475" s="60"/>
      <c r="SPQ2475" s="63"/>
      <c r="SPR2475" s="61"/>
      <c r="SPS2475" s="54"/>
      <c r="SPT2475" s="54"/>
      <c r="SPU2475" s="60"/>
      <c r="SPV2475" s="60"/>
      <c r="SPW2475" s="60"/>
      <c r="SPX2475" s="60"/>
      <c r="SPY2475" s="63"/>
      <c r="SPZ2475" s="61"/>
      <c r="SQA2475" s="54"/>
      <c r="SQB2475" s="54"/>
      <c r="SQC2475" s="60"/>
      <c r="SQD2475" s="60"/>
      <c r="SQE2475" s="60"/>
      <c r="SQF2475" s="60"/>
      <c r="SQG2475" s="63"/>
      <c r="SQH2475" s="61"/>
      <c r="SQI2475" s="54"/>
      <c r="SQJ2475" s="54"/>
      <c r="SQK2475" s="60"/>
      <c r="SQL2475" s="60"/>
      <c r="SQM2475" s="60"/>
      <c r="SQN2475" s="60"/>
      <c r="SQO2475" s="63"/>
      <c r="SQP2475" s="61"/>
      <c r="SQQ2475" s="54"/>
      <c r="SQR2475" s="54"/>
      <c r="SQS2475" s="60"/>
      <c r="SQT2475" s="60"/>
      <c r="SQU2475" s="60"/>
      <c r="SQV2475" s="60"/>
      <c r="SQW2475" s="63"/>
      <c r="SQX2475" s="61"/>
      <c r="SQY2475" s="54"/>
      <c r="SQZ2475" s="54"/>
      <c r="SRA2475" s="60"/>
      <c r="SRB2475" s="60"/>
      <c r="SRC2475" s="60"/>
      <c r="SRD2475" s="60"/>
      <c r="SRE2475" s="63"/>
      <c r="SRF2475" s="61"/>
      <c r="SRG2475" s="54"/>
      <c r="SRH2475" s="54"/>
      <c r="SRI2475" s="60"/>
      <c r="SRJ2475" s="60"/>
      <c r="SRK2475" s="60"/>
      <c r="SRL2475" s="60"/>
      <c r="SRM2475" s="63"/>
      <c r="SRN2475" s="61"/>
      <c r="SRO2475" s="54"/>
      <c r="SRP2475" s="54"/>
      <c r="SRQ2475" s="60"/>
      <c r="SRR2475" s="60"/>
      <c r="SRS2475" s="60"/>
      <c r="SRT2475" s="60"/>
      <c r="SRU2475" s="63"/>
      <c r="SRV2475" s="61"/>
      <c r="SRW2475" s="54"/>
      <c r="SRX2475" s="54"/>
      <c r="SRY2475" s="60"/>
      <c r="SRZ2475" s="60"/>
      <c r="SSA2475" s="60"/>
      <c r="SSB2475" s="60"/>
      <c r="SSC2475" s="63"/>
      <c r="SSD2475" s="61"/>
      <c r="SSE2475" s="54"/>
      <c r="SSF2475" s="54"/>
      <c r="SSG2475" s="60"/>
      <c r="SSH2475" s="60"/>
      <c r="SSI2475" s="60"/>
      <c r="SSJ2475" s="60"/>
      <c r="SSK2475" s="63"/>
      <c r="SSL2475" s="61"/>
      <c r="SSM2475" s="54"/>
      <c r="SSN2475" s="54"/>
      <c r="SSO2475" s="60"/>
      <c r="SSP2475" s="60"/>
      <c r="SSQ2475" s="60"/>
      <c r="SSR2475" s="60"/>
      <c r="SSS2475" s="63"/>
      <c r="SST2475" s="61"/>
      <c r="SSU2475" s="54"/>
      <c r="SSV2475" s="54"/>
      <c r="SSW2475" s="60"/>
      <c r="SSX2475" s="60"/>
      <c r="SSY2475" s="60"/>
      <c r="SSZ2475" s="60"/>
      <c r="STA2475" s="63"/>
      <c r="STB2475" s="61"/>
      <c r="STC2475" s="54"/>
      <c r="STD2475" s="54"/>
      <c r="STE2475" s="60"/>
      <c r="STF2475" s="60"/>
      <c r="STG2475" s="60"/>
      <c r="STH2475" s="60"/>
      <c r="STI2475" s="63"/>
      <c r="STJ2475" s="61"/>
      <c r="STK2475" s="54"/>
      <c r="STL2475" s="54"/>
      <c r="STM2475" s="60"/>
      <c r="STN2475" s="60"/>
      <c r="STO2475" s="60"/>
      <c r="STP2475" s="60"/>
      <c r="STQ2475" s="63"/>
      <c r="STR2475" s="61"/>
      <c r="STS2475" s="54"/>
      <c r="STT2475" s="54"/>
      <c r="STU2475" s="60"/>
      <c r="STV2475" s="60"/>
      <c r="STW2475" s="60"/>
      <c r="STX2475" s="60"/>
      <c r="STY2475" s="63"/>
      <c r="STZ2475" s="61"/>
      <c r="SUA2475" s="54"/>
      <c r="SUB2475" s="54"/>
      <c r="SUC2475" s="60"/>
      <c r="SUD2475" s="60"/>
      <c r="SUE2475" s="60"/>
      <c r="SUF2475" s="60"/>
      <c r="SUG2475" s="63"/>
      <c r="SUH2475" s="61"/>
      <c r="SUI2475" s="54"/>
      <c r="SUJ2475" s="54"/>
      <c r="SUK2475" s="60"/>
      <c r="SUL2475" s="60"/>
      <c r="SUM2475" s="60"/>
      <c r="SUN2475" s="60"/>
      <c r="SUO2475" s="63"/>
      <c r="SUP2475" s="61"/>
      <c r="SUQ2475" s="54"/>
      <c r="SUR2475" s="54"/>
      <c r="SUS2475" s="60"/>
      <c r="SUT2475" s="60"/>
      <c r="SUU2475" s="60"/>
      <c r="SUV2475" s="60"/>
      <c r="SUW2475" s="63"/>
      <c r="SUX2475" s="61"/>
      <c r="SUY2475" s="54"/>
      <c r="SUZ2475" s="54"/>
      <c r="SVA2475" s="60"/>
      <c r="SVB2475" s="60"/>
      <c r="SVC2475" s="60"/>
      <c r="SVD2475" s="60"/>
      <c r="SVE2475" s="63"/>
      <c r="SVF2475" s="61"/>
      <c r="SVG2475" s="54"/>
      <c r="SVH2475" s="54"/>
      <c r="SVI2475" s="60"/>
      <c r="SVJ2475" s="60"/>
      <c r="SVK2475" s="60"/>
      <c r="SVL2475" s="60"/>
      <c r="SVM2475" s="63"/>
      <c r="SVN2475" s="61"/>
      <c r="SVO2475" s="54"/>
      <c r="SVP2475" s="54"/>
      <c r="SVQ2475" s="60"/>
      <c r="SVR2475" s="60"/>
      <c r="SVS2475" s="60"/>
      <c r="SVT2475" s="60"/>
      <c r="SVU2475" s="63"/>
      <c r="SVV2475" s="61"/>
      <c r="SVW2475" s="54"/>
      <c r="SVX2475" s="54"/>
      <c r="SVY2475" s="60"/>
      <c r="SVZ2475" s="60"/>
      <c r="SWA2475" s="60"/>
      <c r="SWB2475" s="60"/>
      <c r="SWC2475" s="63"/>
      <c r="SWD2475" s="61"/>
      <c r="SWE2475" s="54"/>
      <c r="SWF2475" s="54"/>
      <c r="SWG2475" s="60"/>
      <c r="SWH2475" s="60"/>
      <c r="SWI2475" s="60"/>
      <c r="SWJ2475" s="60"/>
      <c r="SWK2475" s="63"/>
      <c r="SWL2475" s="61"/>
      <c r="SWM2475" s="54"/>
      <c r="SWN2475" s="54"/>
      <c r="SWO2475" s="60"/>
      <c r="SWP2475" s="60"/>
      <c r="SWQ2475" s="60"/>
      <c r="SWR2475" s="60"/>
      <c r="SWS2475" s="63"/>
      <c r="SWT2475" s="61"/>
      <c r="SWU2475" s="54"/>
      <c r="SWV2475" s="54"/>
      <c r="SWW2475" s="60"/>
      <c r="SWX2475" s="60"/>
      <c r="SWY2475" s="60"/>
      <c r="SWZ2475" s="60"/>
      <c r="SXA2475" s="63"/>
      <c r="SXB2475" s="61"/>
      <c r="SXC2475" s="54"/>
      <c r="SXD2475" s="54"/>
      <c r="SXE2475" s="60"/>
      <c r="SXF2475" s="60"/>
      <c r="SXG2475" s="60"/>
      <c r="SXH2475" s="60"/>
      <c r="SXI2475" s="63"/>
      <c r="SXJ2475" s="61"/>
      <c r="SXK2475" s="54"/>
      <c r="SXL2475" s="54"/>
      <c r="SXM2475" s="60"/>
      <c r="SXN2475" s="60"/>
      <c r="SXO2475" s="60"/>
      <c r="SXP2475" s="60"/>
      <c r="SXQ2475" s="63"/>
      <c r="SXR2475" s="61"/>
      <c r="SXS2475" s="54"/>
      <c r="SXT2475" s="54"/>
      <c r="SXU2475" s="60"/>
      <c r="SXV2475" s="60"/>
      <c r="SXW2475" s="60"/>
      <c r="SXX2475" s="60"/>
      <c r="SXY2475" s="63"/>
      <c r="SXZ2475" s="61"/>
      <c r="SYA2475" s="54"/>
      <c r="SYB2475" s="54"/>
      <c r="SYC2475" s="60"/>
      <c r="SYD2475" s="60"/>
      <c r="SYE2475" s="60"/>
      <c r="SYF2475" s="60"/>
      <c r="SYG2475" s="63"/>
      <c r="SYH2475" s="61"/>
      <c r="SYI2475" s="54"/>
      <c r="SYJ2475" s="54"/>
      <c r="SYK2475" s="60"/>
      <c r="SYL2475" s="60"/>
      <c r="SYM2475" s="60"/>
      <c r="SYN2475" s="60"/>
      <c r="SYO2475" s="63"/>
      <c r="SYP2475" s="61"/>
      <c r="SYQ2475" s="54"/>
      <c r="SYR2475" s="54"/>
      <c r="SYS2475" s="60"/>
      <c r="SYT2475" s="60"/>
      <c r="SYU2475" s="60"/>
      <c r="SYV2475" s="60"/>
      <c r="SYW2475" s="63"/>
      <c r="SYX2475" s="61"/>
      <c r="SYY2475" s="54"/>
      <c r="SYZ2475" s="54"/>
      <c r="SZA2475" s="60"/>
      <c r="SZB2475" s="60"/>
      <c r="SZC2475" s="60"/>
      <c r="SZD2475" s="60"/>
      <c r="SZE2475" s="63"/>
      <c r="SZF2475" s="61"/>
      <c r="SZG2475" s="54"/>
      <c r="SZH2475" s="54"/>
      <c r="SZI2475" s="60"/>
      <c r="SZJ2475" s="60"/>
      <c r="SZK2475" s="60"/>
      <c r="SZL2475" s="60"/>
      <c r="SZM2475" s="63"/>
      <c r="SZN2475" s="61"/>
      <c r="SZO2475" s="54"/>
      <c r="SZP2475" s="54"/>
      <c r="SZQ2475" s="60"/>
      <c r="SZR2475" s="60"/>
      <c r="SZS2475" s="60"/>
      <c r="SZT2475" s="60"/>
      <c r="SZU2475" s="63"/>
      <c r="SZV2475" s="61"/>
      <c r="SZW2475" s="54"/>
      <c r="SZX2475" s="54"/>
      <c r="SZY2475" s="60"/>
      <c r="SZZ2475" s="60"/>
      <c r="TAA2475" s="60"/>
      <c r="TAB2475" s="60"/>
      <c r="TAC2475" s="63"/>
      <c r="TAD2475" s="61"/>
      <c r="TAE2475" s="54"/>
      <c r="TAF2475" s="54"/>
      <c r="TAG2475" s="60"/>
      <c r="TAH2475" s="60"/>
      <c r="TAI2475" s="60"/>
      <c r="TAJ2475" s="60"/>
      <c r="TAK2475" s="63"/>
      <c r="TAL2475" s="61"/>
      <c r="TAM2475" s="54"/>
      <c r="TAN2475" s="54"/>
      <c r="TAO2475" s="60"/>
      <c r="TAP2475" s="60"/>
      <c r="TAQ2475" s="60"/>
      <c r="TAR2475" s="60"/>
      <c r="TAS2475" s="63"/>
      <c r="TAT2475" s="61"/>
      <c r="TAU2475" s="54"/>
      <c r="TAV2475" s="54"/>
      <c r="TAW2475" s="60"/>
      <c r="TAX2475" s="60"/>
      <c r="TAY2475" s="60"/>
      <c r="TAZ2475" s="60"/>
      <c r="TBA2475" s="63"/>
      <c r="TBB2475" s="61"/>
      <c r="TBC2475" s="54"/>
      <c r="TBD2475" s="54"/>
      <c r="TBE2475" s="60"/>
      <c r="TBF2475" s="60"/>
      <c r="TBG2475" s="60"/>
      <c r="TBH2475" s="60"/>
      <c r="TBI2475" s="63"/>
      <c r="TBJ2475" s="61"/>
      <c r="TBK2475" s="54"/>
      <c r="TBL2475" s="54"/>
      <c r="TBM2475" s="60"/>
      <c r="TBN2475" s="60"/>
      <c r="TBO2475" s="60"/>
      <c r="TBP2475" s="60"/>
      <c r="TBQ2475" s="63"/>
      <c r="TBR2475" s="61"/>
      <c r="TBS2475" s="54"/>
      <c r="TBT2475" s="54"/>
      <c r="TBU2475" s="60"/>
      <c r="TBV2475" s="60"/>
      <c r="TBW2475" s="60"/>
      <c r="TBX2475" s="60"/>
      <c r="TBY2475" s="63"/>
      <c r="TBZ2475" s="61"/>
      <c r="TCA2475" s="54"/>
      <c r="TCB2475" s="54"/>
      <c r="TCC2475" s="60"/>
      <c r="TCD2475" s="60"/>
      <c r="TCE2475" s="60"/>
      <c r="TCF2475" s="60"/>
      <c r="TCG2475" s="63"/>
      <c r="TCH2475" s="61"/>
      <c r="TCI2475" s="54"/>
      <c r="TCJ2475" s="54"/>
      <c r="TCK2475" s="60"/>
      <c r="TCL2475" s="60"/>
      <c r="TCM2475" s="60"/>
      <c r="TCN2475" s="60"/>
      <c r="TCO2475" s="63"/>
      <c r="TCP2475" s="61"/>
      <c r="TCQ2475" s="54"/>
      <c r="TCR2475" s="54"/>
      <c r="TCS2475" s="60"/>
      <c r="TCT2475" s="60"/>
      <c r="TCU2475" s="60"/>
      <c r="TCV2475" s="60"/>
      <c r="TCW2475" s="63"/>
      <c r="TCX2475" s="61"/>
      <c r="TCY2475" s="54"/>
      <c r="TCZ2475" s="54"/>
      <c r="TDA2475" s="60"/>
      <c r="TDB2475" s="60"/>
      <c r="TDC2475" s="60"/>
      <c r="TDD2475" s="60"/>
      <c r="TDE2475" s="63"/>
      <c r="TDF2475" s="61"/>
      <c r="TDG2475" s="54"/>
      <c r="TDH2475" s="54"/>
      <c r="TDI2475" s="60"/>
      <c r="TDJ2475" s="60"/>
      <c r="TDK2475" s="60"/>
      <c r="TDL2475" s="60"/>
      <c r="TDM2475" s="63"/>
      <c r="TDN2475" s="61"/>
      <c r="TDO2475" s="54"/>
      <c r="TDP2475" s="54"/>
      <c r="TDQ2475" s="60"/>
      <c r="TDR2475" s="60"/>
      <c r="TDS2475" s="60"/>
      <c r="TDT2475" s="60"/>
      <c r="TDU2475" s="63"/>
      <c r="TDV2475" s="61"/>
      <c r="TDW2475" s="54"/>
      <c r="TDX2475" s="54"/>
      <c r="TDY2475" s="60"/>
      <c r="TDZ2475" s="60"/>
      <c r="TEA2475" s="60"/>
      <c r="TEB2475" s="60"/>
      <c r="TEC2475" s="63"/>
      <c r="TED2475" s="61"/>
      <c r="TEE2475" s="54"/>
      <c r="TEF2475" s="54"/>
      <c r="TEG2475" s="60"/>
      <c r="TEH2475" s="60"/>
      <c r="TEI2475" s="60"/>
      <c r="TEJ2475" s="60"/>
      <c r="TEK2475" s="63"/>
      <c r="TEL2475" s="61"/>
      <c r="TEM2475" s="54"/>
      <c r="TEN2475" s="54"/>
      <c r="TEO2475" s="60"/>
      <c r="TEP2475" s="60"/>
      <c r="TEQ2475" s="60"/>
      <c r="TER2475" s="60"/>
      <c r="TES2475" s="63"/>
      <c r="TET2475" s="61"/>
      <c r="TEU2475" s="54"/>
      <c r="TEV2475" s="54"/>
      <c r="TEW2475" s="60"/>
      <c r="TEX2475" s="60"/>
      <c r="TEY2475" s="60"/>
      <c r="TEZ2475" s="60"/>
      <c r="TFA2475" s="63"/>
      <c r="TFB2475" s="61"/>
      <c r="TFC2475" s="54"/>
      <c r="TFD2475" s="54"/>
      <c r="TFE2475" s="60"/>
      <c r="TFF2475" s="60"/>
      <c r="TFG2475" s="60"/>
      <c r="TFH2475" s="60"/>
      <c r="TFI2475" s="63"/>
      <c r="TFJ2475" s="61"/>
      <c r="TFK2475" s="54"/>
      <c r="TFL2475" s="54"/>
      <c r="TFM2475" s="60"/>
      <c r="TFN2475" s="60"/>
      <c r="TFO2475" s="60"/>
      <c r="TFP2475" s="60"/>
      <c r="TFQ2475" s="63"/>
      <c r="TFR2475" s="61"/>
      <c r="TFS2475" s="54"/>
      <c r="TFT2475" s="54"/>
      <c r="TFU2475" s="60"/>
      <c r="TFV2475" s="60"/>
      <c r="TFW2475" s="60"/>
      <c r="TFX2475" s="60"/>
      <c r="TFY2475" s="63"/>
      <c r="TFZ2475" s="61"/>
      <c r="TGA2475" s="54"/>
      <c r="TGB2475" s="54"/>
      <c r="TGC2475" s="60"/>
      <c r="TGD2475" s="60"/>
      <c r="TGE2475" s="60"/>
      <c r="TGF2475" s="60"/>
      <c r="TGG2475" s="63"/>
      <c r="TGH2475" s="61"/>
      <c r="TGI2475" s="54"/>
      <c r="TGJ2475" s="54"/>
      <c r="TGK2475" s="60"/>
      <c r="TGL2475" s="60"/>
      <c r="TGM2475" s="60"/>
      <c r="TGN2475" s="60"/>
      <c r="TGO2475" s="63"/>
      <c r="TGP2475" s="61"/>
      <c r="TGQ2475" s="54"/>
      <c r="TGR2475" s="54"/>
      <c r="TGS2475" s="60"/>
      <c r="TGT2475" s="60"/>
      <c r="TGU2475" s="60"/>
      <c r="TGV2475" s="60"/>
      <c r="TGW2475" s="63"/>
      <c r="TGX2475" s="61"/>
      <c r="TGY2475" s="54"/>
      <c r="TGZ2475" s="54"/>
      <c r="THA2475" s="60"/>
      <c r="THB2475" s="60"/>
      <c r="THC2475" s="60"/>
      <c r="THD2475" s="60"/>
      <c r="THE2475" s="63"/>
      <c r="THF2475" s="61"/>
      <c r="THG2475" s="54"/>
      <c r="THH2475" s="54"/>
      <c r="THI2475" s="60"/>
      <c r="THJ2475" s="60"/>
      <c r="THK2475" s="60"/>
      <c r="THL2475" s="60"/>
      <c r="THM2475" s="63"/>
      <c r="THN2475" s="61"/>
      <c r="THO2475" s="54"/>
      <c r="THP2475" s="54"/>
      <c r="THQ2475" s="60"/>
      <c r="THR2475" s="60"/>
      <c r="THS2475" s="60"/>
      <c r="THT2475" s="60"/>
      <c r="THU2475" s="63"/>
      <c r="THV2475" s="61"/>
      <c r="THW2475" s="54"/>
      <c r="THX2475" s="54"/>
      <c r="THY2475" s="60"/>
      <c r="THZ2475" s="60"/>
      <c r="TIA2475" s="60"/>
      <c r="TIB2475" s="60"/>
      <c r="TIC2475" s="63"/>
      <c r="TID2475" s="61"/>
      <c r="TIE2475" s="54"/>
      <c r="TIF2475" s="54"/>
      <c r="TIG2475" s="60"/>
      <c r="TIH2475" s="60"/>
      <c r="TII2475" s="60"/>
      <c r="TIJ2475" s="60"/>
      <c r="TIK2475" s="63"/>
      <c r="TIL2475" s="61"/>
      <c r="TIM2475" s="54"/>
      <c r="TIN2475" s="54"/>
      <c r="TIO2475" s="60"/>
      <c r="TIP2475" s="60"/>
      <c r="TIQ2475" s="60"/>
      <c r="TIR2475" s="60"/>
      <c r="TIS2475" s="63"/>
      <c r="TIT2475" s="61"/>
      <c r="TIU2475" s="54"/>
      <c r="TIV2475" s="54"/>
      <c r="TIW2475" s="60"/>
      <c r="TIX2475" s="60"/>
      <c r="TIY2475" s="60"/>
      <c r="TIZ2475" s="60"/>
      <c r="TJA2475" s="63"/>
      <c r="TJB2475" s="61"/>
      <c r="TJC2475" s="54"/>
      <c r="TJD2475" s="54"/>
      <c r="TJE2475" s="60"/>
      <c r="TJF2475" s="60"/>
      <c r="TJG2475" s="60"/>
      <c r="TJH2475" s="60"/>
      <c r="TJI2475" s="63"/>
      <c r="TJJ2475" s="61"/>
      <c r="TJK2475" s="54"/>
      <c r="TJL2475" s="54"/>
      <c r="TJM2475" s="60"/>
      <c r="TJN2475" s="60"/>
      <c r="TJO2475" s="60"/>
      <c r="TJP2475" s="60"/>
      <c r="TJQ2475" s="63"/>
      <c r="TJR2475" s="61"/>
      <c r="TJS2475" s="54"/>
      <c r="TJT2475" s="54"/>
      <c r="TJU2475" s="60"/>
      <c r="TJV2475" s="60"/>
      <c r="TJW2475" s="60"/>
      <c r="TJX2475" s="60"/>
      <c r="TJY2475" s="63"/>
      <c r="TJZ2475" s="61"/>
      <c r="TKA2475" s="54"/>
      <c r="TKB2475" s="54"/>
      <c r="TKC2475" s="60"/>
      <c r="TKD2475" s="60"/>
      <c r="TKE2475" s="60"/>
      <c r="TKF2475" s="60"/>
      <c r="TKG2475" s="63"/>
      <c r="TKH2475" s="61"/>
      <c r="TKI2475" s="54"/>
      <c r="TKJ2475" s="54"/>
      <c r="TKK2475" s="60"/>
      <c r="TKL2475" s="60"/>
      <c r="TKM2475" s="60"/>
      <c r="TKN2475" s="60"/>
      <c r="TKO2475" s="63"/>
      <c r="TKP2475" s="61"/>
      <c r="TKQ2475" s="54"/>
      <c r="TKR2475" s="54"/>
      <c r="TKS2475" s="60"/>
      <c r="TKT2475" s="60"/>
      <c r="TKU2475" s="60"/>
      <c r="TKV2475" s="60"/>
      <c r="TKW2475" s="63"/>
      <c r="TKX2475" s="61"/>
      <c r="TKY2475" s="54"/>
      <c r="TKZ2475" s="54"/>
      <c r="TLA2475" s="60"/>
      <c r="TLB2475" s="60"/>
      <c r="TLC2475" s="60"/>
      <c r="TLD2475" s="60"/>
      <c r="TLE2475" s="63"/>
      <c r="TLF2475" s="61"/>
      <c r="TLG2475" s="54"/>
      <c r="TLH2475" s="54"/>
      <c r="TLI2475" s="60"/>
      <c r="TLJ2475" s="60"/>
      <c r="TLK2475" s="60"/>
      <c r="TLL2475" s="60"/>
      <c r="TLM2475" s="63"/>
      <c r="TLN2475" s="61"/>
      <c r="TLO2475" s="54"/>
      <c r="TLP2475" s="54"/>
      <c r="TLQ2475" s="60"/>
      <c r="TLR2475" s="60"/>
      <c r="TLS2475" s="60"/>
      <c r="TLT2475" s="60"/>
      <c r="TLU2475" s="63"/>
      <c r="TLV2475" s="61"/>
      <c r="TLW2475" s="54"/>
      <c r="TLX2475" s="54"/>
      <c r="TLY2475" s="60"/>
      <c r="TLZ2475" s="60"/>
      <c r="TMA2475" s="60"/>
      <c r="TMB2475" s="60"/>
      <c r="TMC2475" s="63"/>
      <c r="TMD2475" s="61"/>
      <c r="TME2475" s="54"/>
      <c r="TMF2475" s="54"/>
      <c r="TMG2475" s="60"/>
      <c r="TMH2475" s="60"/>
      <c r="TMI2475" s="60"/>
      <c r="TMJ2475" s="60"/>
      <c r="TMK2475" s="63"/>
      <c r="TML2475" s="61"/>
      <c r="TMM2475" s="54"/>
      <c r="TMN2475" s="54"/>
      <c r="TMO2475" s="60"/>
      <c r="TMP2475" s="60"/>
      <c r="TMQ2475" s="60"/>
      <c r="TMR2475" s="60"/>
      <c r="TMS2475" s="63"/>
      <c r="TMT2475" s="61"/>
      <c r="TMU2475" s="54"/>
      <c r="TMV2475" s="54"/>
      <c r="TMW2475" s="60"/>
      <c r="TMX2475" s="60"/>
      <c r="TMY2475" s="60"/>
      <c r="TMZ2475" s="60"/>
      <c r="TNA2475" s="63"/>
      <c r="TNB2475" s="61"/>
      <c r="TNC2475" s="54"/>
      <c r="TND2475" s="54"/>
      <c r="TNE2475" s="60"/>
      <c r="TNF2475" s="60"/>
      <c r="TNG2475" s="60"/>
      <c r="TNH2475" s="60"/>
      <c r="TNI2475" s="63"/>
      <c r="TNJ2475" s="61"/>
      <c r="TNK2475" s="54"/>
      <c r="TNL2475" s="54"/>
      <c r="TNM2475" s="60"/>
      <c r="TNN2475" s="60"/>
      <c r="TNO2475" s="60"/>
      <c r="TNP2475" s="60"/>
      <c r="TNQ2475" s="63"/>
      <c r="TNR2475" s="61"/>
      <c r="TNS2475" s="54"/>
      <c r="TNT2475" s="54"/>
      <c r="TNU2475" s="60"/>
      <c r="TNV2475" s="60"/>
      <c r="TNW2475" s="60"/>
      <c r="TNX2475" s="60"/>
      <c r="TNY2475" s="63"/>
      <c r="TNZ2475" s="61"/>
      <c r="TOA2475" s="54"/>
      <c r="TOB2475" s="54"/>
      <c r="TOC2475" s="60"/>
      <c r="TOD2475" s="60"/>
      <c r="TOE2475" s="60"/>
      <c r="TOF2475" s="60"/>
      <c r="TOG2475" s="63"/>
      <c r="TOH2475" s="61"/>
      <c r="TOI2475" s="54"/>
      <c r="TOJ2475" s="54"/>
      <c r="TOK2475" s="60"/>
      <c r="TOL2475" s="60"/>
      <c r="TOM2475" s="60"/>
      <c r="TON2475" s="60"/>
      <c r="TOO2475" s="63"/>
      <c r="TOP2475" s="61"/>
      <c r="TOQ2475" s="54"/>
      <c r="TOR2475" s="54"/>
      <c r="TOS2475" s="60"/>
      <c r="TOT2475" s="60"/>
      <c r="TOU2475" s="60"/>
      <c r="TOV2475" s="60"/>
      <c r="TOW2475" s="63"/>
      <c r="TOX2475" s="61"/>
      <c r="TOY2475" s="54"/>
      <c r="TOZ2475" s="54"/>
      <c r="TPA2475" s="60"/>
      <c r="TPB2475" s="60"/>
      <c r="TPC2475" s="60"/>
      <c r="TPD2475" s="60"/>
      <c r="TPE2475" s="63"/>
      <c r="TPF2475" s="61"/>
      <c r="TPG2475" s="54"/>
      <c r="TPH2475" s="54"/>
      <c r="TPI2475" s="60"/>
      <c r="TPJ2475" s="60"/>
      <c r="TPK2475" s="60"/>
      <c r="TPL2475" s="60"/>
      <c r="TPM2475" s="63"/>
      <c r="TPN2475" s="61"/>
      <c r="TPO2475" s="54"/>
      <c r="TPP2475" s="54"/>
      <c r="TPQ2475" s="60"/>
      <c r="TPR2475" s="60"/>
      <c r="TPS2475" s="60"/>
      <c r="TPT2475" s="60"/>
      <c r="TPU2475" s="63"/>
      <c r="TPV2475" s="61"/>
      <c r="TPW2475" s="54"/>
      <c r="TPX2475" s="54"/>
      <c r="TPY2475" s="60"/>
      <c r="TPZ2475" s="60"/>
      <c r="TQA2475" s="60"/>
      <c r="TQB2475" s="60"/>
      <c r="TQC2475" s="63"/>
      <c r="TQD2475" s="61"/>
      <c r="TQE2475" s="54"/>
      <c r="TQF2475" s="54"/>
      <c r="TQG2475" s="60"/>
      <c r="TQH2475" s="60"/>
      <c r="TQI2475" s="60"/>
      <c r="TQJ2475" s="60"/>
      <c r="TQK2475" s="63"/>
      <c r="TQL2475" s="61"/>
      <c r="TQM2475" s="54"/>
      <c r="TQN2475" s="54"/>
      <c r="TQO2475" s="60"/>
      <c r="TQP2475" s="60"/>
      <c r="TQQ2475" s="60"/>
      <c r="TQR2475" s="60"/>
      <c r="TQS2475" s="63"/>
      <c r="TQT2475" s="61"/>
      <c r="TQU2475" s="54"/>
      <c r="TQV2475" s="54"/>
      <c r="TQW2475" s="60"/>
      <c r="TQX2475" s="60"/>
      <c r="TQY2475" s="60"/>
      <c r="TQZ2475" s="60"/>
      <c r="TRA2475" s="63"/>
      <c r="TRB2475" s="61"/>
      <c r="TRC2475" s="54"/>
      <c r="TRD2475" s="54"/>
      <c r="TRE2475" s="60"/>
      <c r="TRF2475" s="60"/>
      <c r="TRG2475" s="60"/>
      <c r="TRH2475" s="60"/>
      <c r="TRI2475" s="63"/>
      <c r="TRJ2475" s="61"/>
      <c r="TRK2475" s="54"/>
      <c r="TRL2475" s="54"/>
      <c r="TRM2475" s="60"/>
      <c r="TRN2475" s="60"/>
      <c r="TRO2475" s="60"/>
      <c r="TRP2475" s="60"/>
      <c r="TRQ2475" s="63"/>
      <c r="TRR2475" s="61"/>
      <c r="TRS2475" s="54"/>
      <c r="TRT2475" s="54"/>
      <c r="TRU2475" s="60"/>
      <c r="TRV2475" s="60"/>
      <c r="TRW2475" s="60"/>
      <c r="TRX2475" s="60"/>
      <c r="TRY2475" s="63"/>
      <c r="TRZ2475" s="61"/>
      <c r="TSA2475" s="54"/>
      <c r="TSB2475" s="54"/>
      <c r="TSC2475" s="60"/>
      <c r="TSD2475" s="60"/>
      <c r="TSE2475" s="60"/>
      <c r="TSF2475" s="60"/>
      <c r="TSG2475" s="63"/>
      <c r="TSH2475" s="61"/>
      <c r="TSI2475" s="54"/>
      <c r="TSJ2475" s="54"/>
      <c r="TSK2475" s="60"/>
      <c r="TSL2475" s="60"/>
      <c r="TSM2475" s="60"/>
      <c r="TSN2475" s="60"/>
      <c r="TSO2475" s="63"/>
      <c r="TSP2475" s="61"/>
      <c r="TSQ2475" s="54"/>
      <c r="TSR2475" s="54"/>
      <c r="TSS2475" s="60"/>
      <c r="TST2475" s="60"/>
      <c r="TSU2475" s="60"/>
      <c r="TSV2475" s="60"/>
      <c r="TSW2475" s="63"/>
      <c r="TSX2475" s="61"/>
      <c r="TSY2475" s="54"/>
      <c r="TSZ2475" s="54"/>
      <c r="TTA2475" s="60"/>
      <c r="TTB2475" s="60"/>
      <c r="TTC2475" s="60"/>
      <c r="TTD2475" s="60"/>
      <c r="TTE2475" s="63"/>
      <c r="TTF2475" s="61"/>
      <c r="TTG2475" s="54"/>
      <c r="TTH2475" s="54"/>
      <c r="TTI2475" s="60"/>
      <c r="TTJ2475" s="60"/>
      <c r="TTK2475" s="60"/>
      <c r="TTL2475" s="60"/>
      <c r="TTM2475" s="63"/>
      <c r="TTN2475" s="61"/>
      <c r="TTO2475" s="54"/>
      <c r="TTP2475" s="54"/>
      <c r="TTQ2475" s="60"/>
      <c r="TTR2475" s="60"/>
      <c r="TTS2475" s="60"/>
      <c r="TTT2475" s="60"/>
      <c r="TTU2475" s="63"/>
      <c r="TTV2475" s="61"/>
      <c r="TTW2475" s="54"/>
      <c r="TTX2475" s="54"/>
      <c r="TTY2475" s="60"/>
      <c r="TTZ2475" s="60"/>
      <c r="TUA2475" s="60"/>
      <c r="TUB2475" s="60"/>
      <c r="TUC2475" s="63"/>
      <c r="TUD2475" s="61"/>
      <c r="TUE2475" s="54"/>
      <c r="TUF2475" s="54"/>
      <c r="TUG2475" s="60"/>
      <c r="TUH2475" s="60"/>
      <c r="TUI2475" s="60"/>
      <c r="TUJ2475" s="60"/>
      <c r="TUK2475" s="63"/>
      <c r="TUL2475" s="61"/>
      <c r="TUM2475" s="54"/>
      <c r="TUN2475" s="54"/>
      <c r="TUO2475" s="60"/>
      <c r="TUP2475" s="60"/>
      <c r="TUQ2475" s="60"/>
      <c r="TUR2475" s="60"/>
      <c r="TUS2475" s="63"/>
      <c r="TUT2475" s="61"/>
      <c r="TUU2475" s="54"/>
      <c r="TUV2475" s="54"/>
      <c r="TUW2475" s="60"/>
      <c r="TUX2475" s="60"/>
      <c r="TUY2475" s="60"/>
      <c r="TUZ2475" s="60"/>
      <c r="TVA2475" s="63"/>
      <c r="TVB2475" s="61"/>
      <c r="TVC2475" s="54"/>
      <c r="TVD2475" s="54"/>
      <c r="TVE2475" s="60"/>
      <c r="TVF2475" s="60"/>
      <c r="TVG2475" s="60"/>
      <c r="TVH2475" s="60"/>
      <c r="TVI2475" s="63"/>
      <c r="TVJ2475" s="61"/>
      <c r="TVK2475" s="54"/>
      <c r="TVL2475" s="54"/>
      <c r="TVM2475" s="60"/>
      <c r="TVN2475" s="60"/>
      <c r="TVO2475" s="60"/>
      <c r="TVP2475" s="60"/>
      <c r="TVQ2475" s="63"/>
      <c r="TVR2475" s="61"/>
      <c r="TVS2475" s="54"/>
      <c r="TVT2475" s="54"/>
      <c r="TVU2475" s="60"/>
      <c r="TVV2475" s="60"/>
      <c r="TVW2475" s="60"/>
      <c r="TVX2475" s="60"/>
      <c r="TVY2475" s="63"/>
      <c r="TVZ2475" s="61"/>
      <c r="TWA2475" s="54"/>
      <c r="TWB2475" s="54"/>
      <c r="TWC2475" s="60"/>
      <c r="TWD2475" s="60"/>
      <c r="TWE2475" s="60"/>
      <c r="TWF2475" s="60"/>
      <c r="TWG2475" s="63"/>
      <c r="TWH2475" s="61"/>
      <c r="TWI2475" s="54"/>
      <c r="TWJ2475" s="54"/>
      <c r="TWK2475" s="60"/>
      <c r="TWL2475" s="60"/>
      <c r="TWM2475" s="60"/>
      <c r="TWN2475" s="60"/>
      <c r="TWO2475" s="63"/>
      <c r="TWP2475" s="61"/>
      <c r="TWQ2475" s="54"/>
      <c r="TWR2475" s="54"/>
      <c r="TWS2475" s="60"/>
      <c r="TWT2475" s="60"/>
      <c r="TWU2475" s="60"/>
      <c r="TWV2475" s="60"/>
      <c r="TWW2475" s="63"/>
      <c r="TWX2475" s="61"/>
      <c r="TWY2475" s="54"/>
      <c r="TWZ2475" s="54"/>
      <c r="TXA2475" s="60"/>
      <c r="TXB2475" s="60"/>
      <c r="TXC2475" s="60"/>
      <c r="TXD2475" s="60"/>
      <c r="TXE2475" s="63"/>
      <c r="TXF2475" s="61"/>
      <c r="TXG2475" s="54"/>
      <c r="TXH2475" s="54"/>
      <c r="TXI2475" s="60"/>
      <c r="TXJ2475" s="60"/>
      <c r="TXK2475" s="60"/>
      <c r="TXL2475" s="60"/>
      <c r="TXM2475" s="63"/>
      <c r="TXN2475" s="61"/>
      <c r="TXO2475" s="54"/>
      <c r="TXP2475" s="54"/>
      <c r="TXQ2475" s="60"/>
      <c r="TXR2475" s="60"/>
      <c r="TXS2475" s="60"/>
      <c r="TXT2475" s="60"/>
      <c r="TXU2475" s="63"/>
      <c r="TXV2475" s="61"/>
      <c r="TXW2475" s="54"/>
      <c r="TXX2475" s="54"/>
      <c r="TXY2475" s="60"/>
      <c r="TXZ2475" s="60"/>
      <c r="TYA2475" s="60"/>
      <c r="TYB2475" s="60"/>
      <c r="TYC2475" s="63"/>
      <c r="TYD2475" s="61"/>
      <c r="TYE2475" s="54"/>
      <c r="TYF2475" s="54"/>
      <c r="TYG2475" s="60"/>
      <c r="TYH2475" s="60"/>
      <c r="TYI2475" s="60"/>
      <c r="TYJ2475" s="60"/>
      <c r="TYK2475" s="63"/>
      <c r="TYL2475" s="61"/>
      <c r="TYM2475" s="54"/>
      <c r="TYN2475" s="54"/>
      <c r="TYO2475" s="60"/>
      <c r="TYP2475" s="60"/>
      <c r="TYQ2475" s="60"/>
      <c r="TYR2475" s="60"/>
      <c r="TYS2475" s="63"/>
      <c r="TYT2475" s="61"/>
      <c r="TYU2475" s="54"/>
      <c r="TYV2475" s="54"/>
      <c r="TYW2475" s="60"/>
      <c r="TYX2475" s="60"/>
      <c r="TYY2475" s="60"/>
      <c r="TYZ2475" s="60"/>
      <c r="TZA2475" s="63"/>
      <c r="TZB2475" s="61"/>
      <c r="TZC2475" s="54"/>
      <c r="TZD2475" s="54"/>
      <c r="TZE2475" s="60"/>
      <c r="TZF2475" s="60"/>
      <c r="TZG2475" s="60"/>
      <c r="TZH2475" s="60"/>
      <c r="TZI2475" s="63"/>
      <c r="TZJ2475" s="61"/>
      <c r="TZK2475" s="54"/>
      <c r="TZL2475" s="54"/>
      <c r="TZM2475" s="60"/>
      <c r="TZN2475" s="60"/>
      <c r="TZO2475" s="60"/>
      <c r="TZP2475" s="60"/>
      <c r="TZQ2475" s="63"/>
      <c r="TZR2475" s="61"/>
      <c r="TZS2475" s="54"/>
      <c r="TZT2475" s="54"/>
      <c r="TZU2475" s="60"/>
      <c r="TZV2475" s="60"/>
      <c r="TZW2475" s="60"/>
      <c r="TZX2475" s="60"/>
      <c r="TZY2475" s="63"/>
      <c r="TZZ2475" s="61"/>
      <c r="UAA2475" s="54"/>
      <c r="UAB2475" s="54"/>
      <c r="UAC2475" s="60"/>
      <c r="UAD2475" s="60"/>
      <c r="UAE2475" s="60"/>
      <c r="UAF2475" s="60"/>
      <c r="UAG2475" s="63"/>
      <c r="UAH2475" s="61"/>
      <c r="UAI2475" s="54"/>
      <c r="UAJ2475" s="54"/>
      <c r="UAK2475" s="60"/>
      <c r="UAL2475" s="60"/>
      <c r="UAM2475" s="60"/>
      <c r="UAN2475" s="60"/>
      <c r="UAO2475" s="63"/>
      <c r="UAP2475" s="61"/>
      <c r="UAQ2475" s="54"/>
      <c r="UAR2475" s="54"/>
      <c r="UAS2475" s="60"/>
      <c r="UAT2475" s="60"/>
      <c r="UAU2475" s="60"/>
      <c r="UAV2475" s="60"/>
      <c r="UAW2475" s="63"/>
      <c r="UAX2475" s="61"/>
      <c r="UAY2475" s="54"/>
      <c r="UAZ2475" s="54"/>
      <c r="UBA2475" s="60"/>
      <c r="UBB2475" s="60"/>
      <c r="UBC2475" s="60"/>
      <c r="UBD2475" s="60"/>
      <c r="UBE2475" s="63"/>
      <c r="UBF2475" s="61"/>
      <c r="UBG2475" s="54"/>
      <c r="UBH2475" s="54"/>
      <c r="UBI2475" s="60"/>
      <c r="UBJ2475" s="60"/>
      <c r="UBK2475" s="60"/>
      <c r="UBL2475" s="60"/>
      <c r="UBM2475" s="63"/>
      <c r="UBN2475" s="61"/>
      <c r="UBO2475" s="54"/>
      <c r="UBP2475" s="54"/>
      <c r="UBQ2475" s="60"/>
      <c r="UBR2475" s="60"/>
      <c r="UBS2475" s="60"/>
      <c r="UBT2475" s="60"/>
      <c r="UBU2475" s="63"/>
      <c r="UBV2475" s="61"/>
      <c r="UBW2475" s="54"/>
      <c r="UBX2475" s="54"/>
      <c r="UBY2475" s="60"/>
      <c r="UBZ2475" s="60"/>
      <c r="UCA2475" s="60"/>
      <c r="UCB2475" s="60"/>
      <c r="UCC2475" s="63"/>
      <c r="UCD2475" s="61"/>
      <c r="UCE2475" s="54"/>
      <c r="UCF2475" s="54"/>
      <c r="UCG2475" s="60"/>
      <c r="UCH2475" s="60"/>
      <c r="UCI2475" s="60"/>
      <c r="UCJ2475" s="60"/>
      <c r="UCK2475" s="63"/>
      <c r="UCL2475" s="61"/>
      <c r="UCM2475" s="54"/>
      <c r="UCN2475" s="54"/>
      <c r="UCO2475" s="60"/>
      <c r="UCP2475" s="60"/>
      <c r="UCQ2475" s="60"/>
      <c r="UCR2475" s="60"/>
      <c r="UCS2475" s="63"/>
      <c r="UCT2475" s="61"/>
      <c r="UCU2475" s="54"/>
      <c r="UCV2475" s="54"/>
      <c r="UCW2475" s="60"/>
      <c r="UCX2475" s="60"/>
      <c r="UCY2475" s="60"/>
      <c r="UCZ2475" s="60"/>
      <c r="UDA2475" s="63"/>
      <c r="UDB2475" s="61"/>
      <c r="UDC2475" s="54"/>
      <c r="UDD2475" s="54"/>
      <c r="UDE2475" s="60"/>
      <c r="UDF2475" s="60"/>
      <c r="UDG2475" s="60"/>
      <c r="UDH2475" s="60"/>
      <c r="UDI2475" s="63"/>
      <c r="UDJ2475" s="61"/>
      <c r="UDK2475" s="54"/>
      <c r="UDL2475" s="54"/>
      <c r="UDM2475" s="60"/>
      <c r="UDN2475" s="60"/>
      <c r="UDO2475" s="60"/>
      <c r="UDP2475" s="60"/>
      <c r="UDQ2475" s="63"/>
      <c r="UDR2475" s="61"/>
      <c r="UDS2475" s="54"/>
      <c r="UDT2475" s="54"/>
      <c r="UDU2475" s="60"/>
      <c r="UDV2475" s="60"/>
      <c r="UDW2475" s="60"/>
      <c r="UDX2475" s="60"/>
      <c r="UDY2475" s="63"/>
      <c r="UDZ2475" s="61"/>
      <c r="UEA2475" s="54"/>
      <c r="UEB2475" s="54"/>
      <c r="UEC2475" s="60"/>
      <c r="UED2475" s="60"/>
      <c r="UEE2475" s="60"/>
      <c r="UEF2475" s="60"/>
      <c r="UEG2475" s="63"/>
      <c r="UEH2475" s="61"/>
      <c r="UEI2475" s="54"/>
      <c r="UEJ2475" s="54"/>
      <c r="UEK2475" s="60"/>
      <c r="UEL2475" s="60"/>
      <c r="UEM2475" s="60"/>
      <c r="UEN2475" s="60"/>
      <c r="UEO2475" s="63"/>
      <c r="UEP2475" s="61"/>
      <c r="UEQ2475" s="54"/>
      <c r="UER2475" s="54"/>
      <c r="UES2475" s="60"/>
      <c r="UET2475" s="60"/>
      <c r="UEU2475" s="60"/>
      <c r="UEV2475" s="60"/>
      <c r="UEW2475" s="63"/>
      <c r="UEX2475" s="61"/>
      <c r="UEY2475" s="54"/>
      <c r="UEZ2475" s="54"/>
      <c r="UFA2475" s="60"/>
      <c r="UFB2475" s="60"/>
      <c r="UFC2475" s="60"/>
      <c r="UFD2475" s="60"/>
      <c r="UFE2475" s="63"/>
      <c r="UFF2475" s="61"/>
      <c r="UFG2475" s="54"/>
      <c r="UFH2475" s="54"/>
      <c r="UFI2475" s="60"/>
      <c r="UFJ2475" s="60"/>
      <c r="UFK2475" s="60"/>
      <c r="UFL2475" s="60"/>
      <c r="UFM2475" s="63"/>
      <c r="UFN2475" s="61"/>
      <c r="UFO2475" s="54"/>
      <c r="UFP2475" s="54"/>
      <c r="UFQ2475" s="60"/>
      <c r="UFR2475" s="60"/>
      <c r="UFS2475" s="60"/>
      <c r="UFT2475" s="60"/>
      <c r="UFU2475" s="63"/>
      <c r="UFV2475" s="61"/>
      <c r="UFW2475" s="54"/>
      <c r="UFX2475" s="54"/>
      <c r="UFY2475" s="60"/>
      <c r="UFZ2475" s="60"/>
      <c r="UGA2475" s="60"/>
      <c r="UGB2475" s="60"/>
      <c r="UGC2475" s="63"/>
      <c r="UGD2475" s="61"/>
      <c r="UGE2475" s="54"/>
      <c r="UGF2475" s="54"/>
      <c r="UGG2475" s="60"/>
      <c r="UGH2475" s="60"/>
      <c r="UGI2475" s="60"/>
      <c r="UGJ2475" s="60"/>
      <c r="UGK2475" s="63"/>
      <c r="UGL2475" s="61"/>
      <c r="UGM2475" s="54"/>
      <c r="UGN2475" s="54"/>
      <c r="UGO2475" s="60"/>
      <c r="UGP2475" s="60"/>
      <c r="UGQ2475" s="60"/>
      <c r="UGR2475" s="60"/>
      <c r="UGS2475" s="63"/>
      <c r="UGT2475" s="61"/>
      <c r="UGU2475" s="54"/>
      <c r="UGV2475" s="54"/>
      <c r="UGW2475" s="60"/>
      <c r="UGX2475" s="60"/>
      <c r="UGY2475" s="60"/>
      <c r="UGZ2475" s="60"/>
      <c r="UHA2475" s="63"/>
      <c r="UHB2475" s="61"/>
      <c r="UHC2475" s="54"/>
      <c r="UHD2475" s="54"/>
      <c r="UHE2475" s="60"/>
      <c r="UHF2475" s="60"/>
      <c r="UHG2475" s="60"/>
      <c r="UHH2475" s="60"/>
      <c r="UHI2475" s="63"/>
      <c r="UHJ2475" s="61"/>
      <c r="UHK2475" s="54"/>
      <c r="UHL2475" s="54"/>
      <c r="UHM2475" s="60"/>
      <c r="UHN2475" s="60"/>
      <c r="UHO2475" s="60"/>
      <c r="UHP2475" s="60"/>
      <c r="UHQ2475" s="63"/>
      <c r="UHR2475" s="61"/>
      <c r="UHS2475" s="54"/>
      <c r="UHT2475" s="54"/>
      <c r="UHU2475" s="60"/>
      <c r="UHV2475" s="60"/>
      <c r="UHW2475" s="60"/>
      <c r="UHX2475" s="60"/>
      <c r="UHY2475" s="63"/>
      <c r="UHZ2475" s="61"/>
      <c r="UIA2475" s="54"/>
      <c r="UIB2475" s="54"/>
      <c r="UIC2475" s="60"/>
      <c r="UID2475" s="60"/>
      <c r="UIE2475" s="60"/>
      <c r="UIF2475" s="60"/>
      <c r="UIG2475" s="63"/>
      <c r="UIH2475" s="61"/>
      <c r="UII2475" s="54"/>
      <c r="UIJ2475" s="54"/>
      <c r="UIK2475" s="60"/>
      <c r="UIL2475" s="60"/>
      <c r="UIM2475" s="60"/>
      <c r="UIN2475" s="60"/>
      <c r="UIO2475" s="63"/>
      <c r="UIP2475" s="61"/>
      <c r="UIQ2475" s="54"/>
      <c r="UIR2475" s="54"/>
      <c r="UIS2475" s="60"/>
      <c r="UIT2475" s="60"/>
      <c r="UIU2475" s="60"/>
      <c r="UIV2475" s="60"/>
      <c r="UIW2475" s="63"/>
      <c r="UIX2475" s="61"/>
      <c r="UIY2475" s="54"/>
      <c r="UIZ2475" s="54"/>
      <c r="UJA2475" s="60"/>
      <c r="UJB2475" s="60"/>
      <c r="UJC2475" s="60"/>
      <c r="UJD2475" s="60"/>
      <c r="UJE2475" s="63"/>
      <c r="UJF2475" s="61"/>
      <c r="UJG2475" s="54"/>
      <c r="UJH2475" s="54"/>
      <c r="UJI2475" s="60"/>
      <c r="UJJ2475" s="60"/>
      <c r="UJK2475" s="60"/>
      <c r="UJL2475" s="60"/>
      <c r="UJM2475" s="63"/>
      <c r="UJN2475" s="61"/>
      <c r="UJO2475" s="54"/>
      <c r="UJP2475" s="54"/>
      <c r="UJQ2475" s="60"/>
      <c r="UJR2475" s="60"/>
      <c r="UJS2475" s="60"/>
      <c r="UJT2475" s="60"/>
      <c r="UJU2475" s="63"/>
      <c r="UJV2475" s="61"/>
      <c r="UJW2475" s="54"/>
      <c r="UJX2475" s="54"/>
      <c r="UJY2475" s="60"/>
      <c r="UJZ2475" s="60"/>
      <c r="UKA2475" s="60"/>
      <c r="UKB2475" s="60"/>
      <c r="UKC2475" s="63"/>
      <c r="UKD2475" s="61"/>
      <c r="UKE2475" s="54"/>
      <c r="UKF2475" s="54"/>
      <c r="UKG2475" s="60"/>
      <c r="UKH2475" s="60"/>
      <c r="UKI2475" s="60"/>
      <c r="UKJ2475" s="60"/>
      <c r="UKK2475" s="63"/>
      <c r="UKL2475" s="61"/>
      <c r="UKM2475" s="54"/>
      <c r="UKN2475" s="54"/>
      <c r="UKO2475" s="60"/>
      <c r="UKP2475" s="60"/>
      <c r="UKQ2475" s="60"/>
      <c r="UKR2475" s="60"/>
      <c r="UKS2475" s="63"/>
      <c r="UKT2475" s="61"/>
      <c r="UKU2475" s="54"/>
      <c r="UKV2475" s="54"/>
      <c r="UKW2475" s="60"/>
      <c r="UKX2475" s="60"/>
      <c r="UKY2475" s="60"/>
      <c r="UKZ2475" s="60"/>
      <c r="ULA2475" s="63"/>
      <c r="ULB2475" s="61"/>
      <c r="ULC2475" s="54"/>
      <c r="ULD2475" s="54"/>
      <c r="ULE2475" s="60"/>
      <c r="ULF2475" s="60"/>
      <c r="ULG2475" s="60"/>
      <c r="ULH2475" s="60"/>
      <c r="ULI2475" s="63"/>
      <c r="ULJ2475" s="61"/>
      <c r="ULK2475" s="54"/>
      <c r="ULL2475" s="54"/>
      <c r="ULM2475" s="60"/>
      <c r="ULN2475" s="60"/>
      <c r="ULO2475" s="60"/>
      <c r="ULP2475" s="60"/>
      <c r="ULQ2475" s="63"/>
      <c r="ULR2475" s="61"/>
      <c r="ULS2475" s="54"/>
      <c r="ULT2475" s="54"/>
      <c r="ULU2475" s="60"/>
      <c r="ULV2475" s="60"/>
      <c r="ULW2475" s="60"/>
      <c r="ULX2475" s="60"/>
      <c r="ULY2475" s="63"/>
      <c r="ULZ2475" s="61"/>
      <c r="UMA2475" s="54"/>
      <c r="UMB2475" s="54"/>
      <c r="UMC2475" s="60"/>
      <c r="UMD2475" s="60"/>
      <c r="UME2475" s="60"/>
      <c r="UMF2475" s="60"/>
      <c r="UMG2475" s="63"/>
      <c r="UMH2475" s="61"/>
      <c r="UMI2475" s="54"/>
      <c r="UMJ2475" s="54"/>
      <c r="UMK2475" s="60"/>
      <c r="UML2475" s="60"/>
      <c r="UMM2475" s="60"/>
      <c r="UMN2475" s="60"/>
      <c r="UMO2475" s="63"/>
      <c r="UMP2475" s="61"/>
      <c r="UMQ2475" s="54"/>
      <c r="UMR2475" s="54"/>
      <c r="UMS2475" s="60"/>
      <c r="UMT2475" s="60"/>
      <c r="UMU2475" s="60"/>
      <c r="UMV2475" s="60"/>
      <c r="UMW2475" s="63"/>
      <c r="UMX2475" s="61"/>
      <c r="UMY2475" s="54"/>
      <c r="UMZ2475" s="54"/>
      <c r="UNA2475" s="60"/>
      <c r="UNB2475" s="60"/>
      <c r="UNC2475" s="60"/>
      <c r="UND2475" s="60"/>
      <c r="UNE2475" s="63"/>
      <c r="UNF2475" s="61"/>
      <c r="UNG2475" s="54"/>
      <c r="UNH2475" s="54"/>
      <c r="UNI2475" s="60"/>
      <c r="UNJ2475" s="60"/>
      <c r="UNK2475" s="60"/>
      <c r="UNL2475" s="60"/>
      <c r="UNM2475" s="63"/>
      <c r="UNN2475" s="61"/>
      <c r="UNO2475" s="54"/>
      <c r="UNP2475" s="54"/>
      <c r="UNQ2475" s="60"/>
      <c r="UNR2475" s="60"/>
      <c r="UNS2475" s="60"/>
      <c r="UNT2475" s="60"/>
      <c r="UNU2475" s="63"/>
      <c r="UNV2475" s="61"/>
      <c r="UNW2475" s="54"/>
      <c r="UNX2475" s="54"/>
      <c r="UNY2475" s="60"/>
      <c r="UNZ2475" s="60"/>
      <c r="UOA2475" s="60"/>
      <c r="UOB2475" s="60"/>
      <c r="UOC2475" s="63"/>
      <c r="UOD2475" s="61"/>
      <c r="UOE2475" s="54"/>
      <c r="UOF2475" s="54"/>
      <c r="UOG2475" s="60"/>
      <c r="UOH2475" s="60"/>
      <c r="UOI2475" s="60"/>
      <c r="UOJ2475" s="60"/>
      <c r="UOK2475" s="63"/>
      <c r="UOL2475" s="61"/>
      <c r="UOM2475" s="54"/>
      <c r="UON2475" s="54"/>
      <c r="UOO2475" s="60"/>
      <c r="UOP2475" s="60"/>
      <c r="UOQ2475" s="60"/>
      <c r="UOR2475" s="60"/>
      <c r="UOS2475" s="63"/>
      <c r="UOT2475" s="61"/>
      <c r="UOU2475" s="54"/>
      <c r="UOV2475" s="54"/>
      <c r="UOW2475" s="60"/>
      <c r="UOX2475" s="60"/>
      <c r="UOY2475" s="60"/>
      <c r="UOZ2475" s="60"/>
      <c r="UPA2475" s="63"/>
      <c r="UPB2475" s="61"/>
      <c r="UPC2475" s="54"/>
      <c r="UPD2475" s="54"/>
      <c r="UPE2475" s="60"/>
      <c r="UPF2475" s="60"/>
      <c r="UPG2475" s="60"/>
      <c r="UPH2475" s="60"/>
      <c r="UPI2475" s="63"/>
      <c r="UPJ2475" s="61"/>
      <c r="UPK2475" s="54"/>
      <c r="UPL2475" s="54"/>
      <c r="UPM2475" s="60"/>
      <c r="UPN2475" s="60"/>
      <c r="UPO2475" s="60"/>
      <c r="UPP2475" s="60"/>
      <c r="UPQ2475" s="63"/>
      <c r="UPR2475" s="61"/>
      <c r="UPS2475" s="54"/>
      <c r="UPT2475" s="54"/>
      <c r="UPU2475" s="60"/>
      <c r="UPV2475" s="60"/>
      <c r="UPW2475" s="60"/>
      <c r="UPX2475" s="60"/>
      <c r="UPY2475" s="63"/>
      <c r="UPZ2475" s="61"/>
      <c r="UQA2475" s="54"/>
      <c r="UQB2475" s="54"/>
      <c r="UQC2475" s="60"/>
      <c r="UQD2475" s="60"/>
      <c r="UQE2475" s="60"/>
      <c r="UQF2475" s="60"/>
      <c r="UQG2475" s="63"/>
      <c r="UQH2475" s="61"/>
      <c r="UQI2475" s="54"/>
      <c r="UQJ2475" s="54"/>
      <c r="UQK2475" s="60"/>
      <c r="UQL2475" s="60"/>
      <c r="UQM2475" s="60"/>
      <c r="UQN2475" s="60"/>
      <c r="UQO2475" s="63"/>
      <c r="UQP2475" s="61"/>
      <c r="UQQ2475" s="54"/>
      <c r="UQR2475" s="54"/>
      <c r="UQS2475" s="60"/>
      <c r="UQT2475" s="60"/>
      <c r="UQU2475" s="60"/>
      <c r="UQV2475" s="60"/>
      <c r="UQW2475" s="63"/>
      <c r="UQX2475" s="61"/>
      <c r="UQY2475" s="54"/>
      <c r="UQZ2475" s="54"/>
      <c r="URA2475" s="60"/>
      <c r="URB2475" s="60"/>
      <c r="URC2475" s="60"/>
      <c r="URD2475" s="60"/>
      <c r="URE2475" s="63"/>
      <c r="URF2475" s="61"/>
      <c r="URG2475" s="54"/>
      <c r="URH2475" s="54"/>
      <c r="URI2475" s="60"/>
      <c r="URJ2475" s="60"/>
      <c r="URK2475" s="60"/>
      <c r="URL2475" s="60"/>
      <c r="URM2475" s="63"/>
      <c r="URN2475" s="61"/>
      <c r="URO2475" s="54"/>
      <c r="URP2475" s="54"/>
      <c r="URQ2475" s="60"/>
      <c r="URR2475" s="60"/>
      <c r="URS2475" s="60"/>
      <c r="URT2475" s="60"/>
      <c r="URU2475" s="63"/>
      <c r="URV2475" s="61"/>
      <c r="URW2475" s="54"/>
      <c r="URX2475" s="54"/>
      <c r="URY2475" s="60"/>
      <c r="URZ2475" s="60"/>
      <c r="USA2475" s="60"/>
      <c r="USB2475" s="60"/>
      <c r="USC2475" s="63"/>
      <c r="USD2475" s="61"/>
      <c r="USE2475" s="54"/>
      <c r="USF2475" s="54"/>
      <c r="USG2475" s="60"/>
      <c r="USH2475" s="60"/>
      <c r="USI2475" s="60"/>
      <c r="USJ2475" s="60"/>
      <c r="USK2475" s="63"/>
      <c r="USL2475" s="61"/>
      <c r="USM2475" s="54"/>
      <c r="USN2475" s="54"/>
      <c r="USO2475" s="60"/>
      <c r="USP2475" s="60"/>
      <c r="USQ2475" s="60"/>
      <c r="USR2475" s="60"/>
      <c r="USS2475" s="63"/>
      <c r="UST2475" s="61"/>
      <c r="USU2475" s="54"/>
      <c r="USV2475" s="54"/>
      <c r="USW2475" s="60"/>
      <c r="USX2475" s="60"/>
      <c r="USY2475" s="60"/>
      <c r="USZ2475" s="60"/>
      <c r="UTA2475" s="63"/>
      <c r="UTB2475" s="61"/>
      <c r="UTC2475" s="54"/>
      <c r="UTD2475" s="54"/>
      <c r="UTE2475" s="60"/>
      <c r="UTF2475" s="60"/>
      <c r="UTG2475" s="60"/>
      <c r="UTH2475" s="60"/>
      <c r="UTI2475" s="63"/>
      <c r="UTJ2475" s="61"/>
      <c r="UTK2475" s="54"/>
      <c r="UTL2475" s="54"/>
      <c r="UTM2475" s="60"/>
      <c r="UTN2475" s="60"/>
      <c r="UTO2475" s="60"/>
      <c r="UTP2475" s="60"/>
      <c r="UTQ2475" s="63"/>
      <c r="UTR2475" s="61"/>
      <c r="UTS2475" s="54"/>
      <c r="UTT2475" s="54"/>
      <c r="UTU2475" s="60"/>
      <c r="UTV2475" s="60"/>
      <c r="UTW2475" s="60"/>
      <c r="UTX2475" s="60"/>
      <c r="UTY2475" s="63"/>
      <c r="UTZ2475" s="61"/>
      <c r="UUA2475" s="54"/>
      <c r="UUB2475" s="54"/>
      <c r="UUC2475" s="60"/>
      <c r="UUD2475" s="60"/>
      <c r="UUE2475" s="60"/>
      <c r="UUF2475" s="60"/>
      <c r="UUG2475" s="63"/>
      <c r="UUH2475" s="61"/>
      <c r="UUI2475" s="54"/>
      <c r="UUJ2475" s="54"/>
      <c r="UUK2475" s="60"/>
      <c r="UUL2475" s="60"/>
      <c r="UUM2475" s="60"/>
      <c r="UUN2475" s="60"/>
      <c r="UUO2475" s="63"/>
      <c r="UUP2475" s="61"/>
      <c r="UUQ2475" s="54"/>
      <c r="UUR2475" s="54"/>
      <c r="UUS2475" s="60"/>
      <c r="UUT2475" s="60"/>
      <c r="UUU2475" s="60"/>
      <c r="UUV2475" s="60"/>
      <c r="UUW2475" s="63"/>
      <c r="UUX2475" s="61"/>
      <c r="UUY2475" s="54"/>
      <c r="UUZ2475" s="54"/>
      <c r="UVA2475" s="60"/>
      <c r="UVB2475" s="60"/>
      <c r="UVC2475" s="60"/>
      <c r="UVD2475" s="60"/>
      <c r="UVE2475" s="63"/>
      <c r="UVF2475" s="61"/>
      <c r="UVG2475" s="54"/>
      <c r="UVH2475" s="54"/>
      <c r="UVI2475" s="60"/>
      <c r="UVJ2475" s="60"/>
      <c r="UVK2475" s="60"/>
      <c r="UVL2475" s="60"/>
      <c r="UVM2475" s="63"/>
      <c r="UVN2475" s="61"/>
      <c r="UVO2475" s="54"/>
      <c r="UVP2475" s="54"/>
      <c r="UVQ2475" s="60"/>
      <c r="UVR2475" s="60"/>
      <c r="UVS2475" s="60"/>
      <c r="UVT2475" s="60"/>
      <c r="UVU2475" s="63"/>
      <c r="UVV2475" s="61"/>
      <c r="UVW2475" s="54"/>
      <c r="UVX2475" s="54"/>
      <c r="UVY2475" s="60"/>
      <c r="UVZ2475" s="60"/>
      <c r="UWA2475" s="60"/>
      <c r="UWB2475" s="60"/>
      <c r="UWC2475" s="63"/>
      <c r="UWD2475" s="61"/>
      <c r="UWE2475" s="54"/>
      <c r="UWF2475" s="54"/>
      <c r="UWG2475" s="60"/>
      <c r="UWH2475" s="60"/>
      <c r="UWI2475" s="60"/>
      <c r="UWJ2475" s="60"/>
      <c r="UWK2475" s="63"/>
      <c r="UWL2475" s="61"/>
      <c r="UWM2475" s="54"/>
      <c r="UWN2475" s="54"/>
      <c r="UWO2475" s="60"/>
      <c r="UWP2475" s="60"/>
      <c r="UWQ2475" s="60"/>
      <c r="UWR2475" s="60"/>
      <c r="UWS2475" s="63"/>
      <c r="UWT2475" s="61"/>
      <c r="UWU2475" s="54"/>
      <c r="UWV2475" s="54"/>
      <c r="UWW2475" s="60"/>
      <c r="UWX2475" s="60"/>
      <c r="UWY2475" s="60"/>
      <c r="UWZ2475" s="60"/>
      <c r="UXA2475" s="63"/>
      <c r="UXB2475" s="61"/>
      <c r="UXC2475" s="54"/>
      <c r="UXD2475" s="54"/>
      <c r="UXE2475" s="60"/>
      <c r="UXF2475" s="60"/>
      <c r="UXG2475" s="60"/>
      <c r="UXH2475" s="60"/>
      <c r="UXI2475" s="63"/>
      <c r="UXJ2475" s="61"/>
      <c r="UXK2475" s="54"/>
      <c r="UXL2475" s="54"/>
      <c r="UXM2475" s="60"/>
      <c r="UXN2475" s="60"/>
      <c r="UXO2475" s="60"/>
      <c r="UXP2475" s="60"/>
      <c r="UXQ2475" s="63"/>
      <c r="UXR2475" s="61"/>
      <c r="UXS2475" s="54"/>
      <c r="UXT2475" s="54"/>
      <c r="UXU2475" s="60"/>
      <c r="UXV2475" s="60"/>
      <c r="UXW2475" s="60"/>
      <c r="UXX2475" s="60"/>
      <c r="UXY2475" s="63"/>
      <c r="UXZ2475" s="61"/>
      <c r="UYA2475" s="54"/>
      <c r="UYB2475" s="54"/>
      <c r="UYC2475" s="60"/>
      <c r="UYD2475" s="60"/>
      <c r="UYE2475" s="60"/>
      <c r="UYF2475" s="60"/>
      <c r="UYG2475" s="63"/>
      <c r="UYH2475" s="61"/>
      <c r="UYI2475" s="54"/>
      <c r="UYJ2475" s="54"/>
      <c r="UYK2475" s="60"/>
      <c r="UYL2475" s="60"/>
      <c r="UYM2475" s="60"/>
      <c r="UYN2475" s="60"/>
      <c r="UYO2475" s="63"/>
      <c r="UYP2475" s="61"/>
      <c r="UYQ2475" s="54"/>
      <c r="UYR2475" s="54"/>
      <c r="UYS2475" s="60"/>
      <c r="UYT2475" s="60"/>
      <c r="UYU2475" s="60"/>
      <c r="UYV2475" s="60"/>
      <c r="UYW2475" s="63"/>
      <c r="UYX2475" s="61"/>
      <c r="UYY2475" s="54"/>
      <c r="UYZ2475" s="54"/>
      <c r="UZA2475" s="60"/>
      <c r="UZB2475" s="60"/>
      <c r="UZC2475" s="60"/>
      <c r="UZD2475" s="60"/>
      <c r="UZE2475" s="63"/>
      <c r="UZF2475" s="61"/>
      <c r="UZG2475" s="54"/>
      <c r="UZH2475" s="54"/>
      <c r="UZI2475" s="60"/>
      <c r="UZJ2475" s="60"/>
      <c r="UZK2475" s="60"/>
      <c r="UZL2475" s="60"/>
      <c r="UZM2475" s="63"/>
      <c r="UZN2475" s="61"/>
      <c r="UZO2475" s="54"/>
      <c r="UZP2475" s="54"/>
      <c r="UZQ2475" s="60"/>
      <c r="UZR2475" s="60"/>
      <c r="UZS2475" s="60"/>
      <c r="UZT2475" s="60"/>
      <c r="UZU2475" s="63"/>
      <c r="UZV2475" s="61"/>
      <c r="UZW2475" s="54"/>
      <c r="UZX2475" s="54"/>
      <c r="UZY2475" s="60"/>
      <c r="UZZ2475" s="60"/>
      <c r="VAA2475" s="60"/>
      <c r="VAB2475" s="60"/>
      <c r="VAC2475" s="63"/>
      <c r="VAD2475" s="61"/>
      <c r="VAE2475" s="54"/>
      <c r="VAF2475" s="54"/>
      <c r="VAG2475" s="60"/>
      <c r="VAH2475" s="60"/>
      <c r="VAI2475" s="60"/>
      <c r="VAJ2475" s="60"/>
      <c r="VAK2475" s="63"/>
      <c r="VAL2475" s="61"/>
      <c r="VAM2475" s="54"/>
      <c r="VAN2475" s="54"/>
      <c r="VAO2475" s="60"/>
      <c r="VAP2475" s="60"/>
      <c r="VAQ2475" s="60"/>
      <c r="VAR2475" s="60"/>
      <c r="VAS2475" s="63"/>
      <c r="VAT2475" s="61"/>
      <c r="VAU2475" s="54"/>
      <c r="VAV2475" s="54"/>
      <c r="VAW2475" s="60"/>
      <c r="VAX2475" s="60"/>
      <c r="VAY2475" s="60"/>
      <c r="VAZ2475" s="60"/>
      <c r="VBA2475" s="63"/>
      <c r="VBB2475" s="61"/>
      <c r="VBC2475" s="54"/>
      <c r="VBD2475" s="54"/>
      <c r="VBE2475" s="60"/>
      <c r="VBF2475" s="60"/>
      <c r="VBG2475" s="60"/>
      <c r="VBH2475" s="60"/>
      <c r="VBI2475" s="63"/>
      <c r="VBJ2475" s="61"/>
      <c r="VBK2475" s="54"/>
      <c r="VBL2475" s="54"/>
      <c r="VBM2475" s="60"/>
      <c r="VBN2475" s="60"/>
      <c r="VBO2475" s="60"/>
      <c r="VBP2475" s="60"/>
      <c r="VBQ2475" s="63"/>
      <c r="VBR2475" s="61"/>
      <c r="VBS2475" s="54"/>
      <c r="VBT2475" s="54"/>
      <c r="VBU2475" s="60"/>
      <c r="VBV2475" s="60"/>
      <c r="VBW2475" s="60"/>
      <c r="VBX2475" s="60"/>
      <c r="VBY2475" s="63"/>
      <c r="VBZ2475" s="61"/>
      <c r="VCA2475" s="54"/>
      <c r="VCB2475" s="54"/>
      <c r="VCC2475" s="60"/>
      <c r="VCD2475" s="60"/>
      <c r="VCE2475" s="60"/>
      <c r="VCF2475" s="60"/>
      <c r="VCG2475" s="63"/>
      <c r="VCH2475" s="61"/>
      <c r="VCI2475" s="54"/>
      <c r="VCJ2475" s="54"/>
      <c r="VCK2475" s="60"/>
      <c r="VCL2475" s="60"/>
      <c r="VCM2475" s="60"/>
      <c r="VCN2475" s="60"/>
      <c r="VCO2475" s="63"/>
      <c r="VCP2475" s="61"/>
      <c r="VCQ2475" s="54"/>
      <c r="VCR2475" s="54"/>
      <c r="VCS2475" s="60"/>
      <c r="VCT2475" s="60"/>
      <c r="VCU2475" s="60"/>
      <c r="VCV2475" s="60"/>
      <c r="VCW2475" s="63"/>
      <c r="VCX2475" s="61"/>
      <c r="VCY2475" s="54"/>
      <c r="VCZ2475" s="54"/>
      <c r="VDA2475" s="60"/>
      <c r="VDB2475" s="60"/>
      <c r="VDC2475" s="60"/>
      <c r="VDD2475" s="60"/>
      <c r="VDE2475" s="63"/>
      <c r="VDF2475" s="61"/>
      <c r="VDG2475" s="54"/>
      <c r="VDH2475" s="54"/>
      <c r="VDI2475" s="60"/>
      <c r="VDJ2475" s="60"/>
      <c r="VDK2475" s="60"/>
      <c r="VDL2475" s="60"/>
      <c r="VDM2475" s="63"/>
      <c r="VDN2475" s="61"/>
      <c r="VDO2475" s="54"/>
      <c r="VDP2475" s="54"/>
      <c r="VDQ2475" s="60"/>
      <c r="VDR2475" s="60"/>
      <c r="VDS2475" s="60"/>
      <c r="VDT2475" s="60"/>
      <c r="VDU2475" s="63"/>
      <c r="VDV2475" s="61"/>
      <c r="VDW2475" s="54"/>
      <c r="VDX2475" s="54"/>
      <c r="VDY2475" s="60"/>
      <c r="VDZ2475" s="60"/>
      <c r="VEA2475" s="60"/>
      <c r="VEB2475" s="60"/>
      <c r="VEC2475" s="63"/>
      <c r="VED2475" s="61"/>
      <c r="VEE2475" s="54"/>
      <c r="VEF2475" s="54"/>
      <c r="VEG2475" s="60"/>
      <c r="VEH2475" s="60"/>
      <c r="VEI2475" s="60"/>
      <c r="VEJ2475" s="60"/>
      <c r="VEK2475" s="63"/>
      <c r="VEL2475" s="61"/>
      <c r="VEM2475" s="54"/>
      <c r="VEN2475" s="54"/>
      <c r="VEO2475" s="60"/>
      <c r="VEP2475" s="60"/>
      <c r="VEQ2475" s="60"/>
      <c r="VER2475" s="60"/>
      <c r="VES2475" s="63"/>
      <c r="VET2475" s="61"/>
      <c r="VEU2475" s="54"/>
      <c r="VEV2475" s="54"/>
      <c r="VEW2475" s="60"/>
      <c r="VEX2475" s="60"/>
      <c r="VEY2475" s="60"/>
      <c r="VEZ2475" s="60"/>
      <c r="VFA2475" s="63"/>
      <c r="VFB2475" s="61"/>
      <c r="VFC2475" s="54"/>
      <c r="VFD2475" s="54"/>
      <c r="VFE2475" s="60"/>
      <c r="VFF2475" s="60"/>
      <c r="VFG2475" s="60"/>
      <c r="VFH2475" s="60"/>
      <c r="VFI2475" s="63"/>
      <c r="VFJ2475" s="61"/>
      <c r="VFK2475" s="54"/>
      <c r="VFL2475" s="54"/>
      <c r="VFM2475" s="60"/>
      <c r="VFN2475" s="60"/>
      <c r="VFO2475" s="60"/>
      <c r="VFP2475" s="60"/>
      <c r="VFQ2475" s="63"/>
      <c r="VFR2475" s="61"/>
      <c r="VFS2475" s="54"/>
      <c r="VFT2475" s="54"/>
      <c r="VFU2475" s="60"/>
      <c r="VFV2475" s="60"/>
      <c r="VFW2475" s="60"/>
      <c r="VFX2475" s="60"/>
      <c r="VFY2475" s="63"/>
      <c r="VFZ2475" s="61"/>
      <c r="VGA2475" s="54"/>
      <c r="VGB2475" s="54"/>
      <c r="VGC2475" s="60"/>
      <c r="VGD2475" s="60"/>
      <c r="VGE2475" s="60"/>
      <c r="VGF2475" s="60"/>
      <c r="VGG2475" s="63"/>
      <c r="VGH2475" s="61"/>
      <c r="VGI2475" s="54"/>
      <c r="VGJ2475" s="54"/>
      <c r="VGK2475" s="60"/>
      <c r="VGL2475" s="60"/>
      <c r="VGM2475" s="60"/>
      <c r="VGN2475" s="60"/>
      <c r="VGO2475" s="63"/>
      <c r="VGP2475" s="61"/>
      <c r="VGQ2475" s="54"/>
      <c r="VGR2475" s="54"/>
      <c r="VGS2475" s="60"/>
      <c r="VGT2475" s="60"/>
      <c r="VGU2475" s="60"/>
      <c r="VGV2475" s="60"/>
      <c r="VGW2475" s="63"/>
      <c r="VGX2475" s="61"/>
      <c r="VGY2475" s="54"/>
      <c r="VGZ2475" s="54"/>
      <c r="VHA2475" s="60"/>
      <c r="VHB2475" s="60"/>
      <c r="VHC2475" s="60"/>
      <c r="VHD2475" s="60"/>
      <c r="VHE2475" s="63"/>
      <c r="VHF2475" s="61"/>
      <c r="VHG2475" s="54"/>
      <c r="VHH2475" s="54"/>
      <c r="VHI2475" s="60"/>
      <c r="VHJ2475" s="60"/>
      <c r="VHK2475" s="60"/>
      <c r="VHL2475" s="60"/>
      <c r="VHM2475" s="63"/>
      <c r="VHN2475" s="61"/>
      <c r="VHO2475" s="54"/>
      <c r="VHP2475" s="54"/>
      <c r="VHQ2475" s="60"/>
      <c r="VHR2475" s="60"/>
      <c r="VHS2475" s="60"/>
      <c r="VHT2475" s="60"/>
      <c r="VHU2475" s="63"/>
      <c r="VHV2475" s="61"/>
      <c r="VHW2475" s="54"/>
      <c r="VHX2475" s="54"/>
      <c r="VHY2475" s="60"/>
      <c r="VHZ2475" s="60"/>
      <c r="VIA2475" s="60"/>
      <c r="VIB2475" s="60"/>
      <c r="VIC2475" s="63"/>
      <c r="VID2475" s="61"/>
      <c r="VIE2475" s="54"/>
      <c r="VIF2475" s="54"/>
      <c r="VIG2475" s="60"/>
      <c r="VIH2475" s="60"/>
      <c r="VII2475" s="60"/>
      <c r="VIJ2475" s="60"/>
      <c r="VIK2475" s="63"/>
      <c r="VIL2475" s="61"/>
      <c r="VIM2475" s="54"/>
      <c r="VIN2475" s="54"/>
      <c r="VIO2475" s="60"/>
      <c r="VIP2475" s="60"/>
      <c r="VIQ2475" s="60"/>
      <c r="VIR2475" s="60"/>
      <c r="VIS2475" s="63"/>
      <c r="VIT2475" s="61"/>
      <c r="VIU2475" s="54"/>
      <c r="VIV2475" s="54"/>
      <c r="VIW2475" s="60"/>
      <c r="VIX2475" s="60"/>
      <c r="VIY2475" s="60"/>
      <c r="VIZ2475" s="60"/>
      <c r="VJA2475" s="63"/>
      <c r="VJB2475" s="61"/>
      <c r="VJC2475" s="54"/>
      <c r="VJD2475" s="54"/>
      <c r="VJE2475" s="60"/>
      <c r="VJF2475" s="60"/>
      <c r="VJG2475" s="60"/>
      <c r="VJH2475" s="60"/>
      <c r="VJI2475" s="63"/>
      <c r="VJJ2475" s="61"/>
      <c r="VJK2475" s="54"/>
      <c r="VJL2475" s="54"/>
      <c r="VJM2475" s="60"/>
      <c r="VJN2475" s="60"/>
      <c r="VJO2475" s="60"/>
      <c r="VJP2475" s="60"/>
      <c r="VJQ2475" s="63"/>
      <c r="VJR2475" s="61"/>
      <c r="VJS2475" s="54"/>
      <c r="VJT2475" s="54"/>
      <c r="VJU2475" s="60"/>
      <c r="VJV2475" s="60"/>
      <c r="VJW2475" s="60"/>
      <c r="VJX2475" s="60"/>
      <c r="VJY2475" s="63"/>
      <c r="VJZ2475" s="61"/>
      <c r="VKA2475" s="54"/>
      <c r="VKB2475" s="54"/>
      <c r="VKC2475" s="60"/>
      <c r="VKD2475" s="60"/>
      <c r="VKE2475" s="60"/>
      <c r="VKF2475" s="60"/>
      <c r="VKG2475" s="63"/>
      <c r="VKH2475" s="61"/>
      <c r="VKI2475" s="54"/>
      <c r="VKJ2475" s="54"/>
      <c r="VKK2475" s="60"/>
      <c r="VKL2475" s="60"/>
      <c r="VKM2475" s="60"/>
      <c r="VKN2475" s="60"/>
      <c r="VKO2475" s="63"/>
      <c r="VKP2475" s="61"/>
      <c r="VKQ2475" s="54"/>
      <c r="VKR2475" s="54"/>
      <c r="VKS2475" s="60"/>
      <c r="VKT2475" s="60"/>
      <c r="VKU2475" s="60"/>
      <c r="VKV2475" s="60"/>
      <c r="VKW2475" s="63"/>
      <c r="VKX2475" s="61"/>
      <c r="VKY2475" s="54"/>
      <c r="VKZ2475" s="54"/>
      <c r="VLA2475" s="60"/>
      <c r="VLB2475" s="60"/>
      <c r="VLC2475" s="60"/>
      <c r="VLD2475" s="60"/>
      <c r="VLE2475" s="63"/>
      <c r="VLF2475" s="61"/>
      <c r="VLG2475" s="54"/>
      <c r="VLH2475" s="54"/>
      <c r="VLI2475" s="60"/>
      <c r="VLJ2475" s="60"/>
      <c r="VLK2475" s="60"/>
      <c r="VLL2475" s="60"/>
      <c r="VLM2475" s="63"/>
      <c r="VLN2475" s="61"/>
      <c r="VLO2475" s="54"/>
      <c r="VLP2475" s="54"/>
      <c r="VLQ2475" s="60"/>
      <c r="VLR2475" s="60"/>
      <c r="VLS2475" s="60"/>
      <c r="VLT2475" s="60"/>
      <c r="VLU2475" s="63"/>
      <c r="VLV2475" s="61"/>
      <c r="VLW2475" s="54"/>
      <c r="VLX2475" s="54"/>
      <c r="VLY2475" s="60"/>
      <c r="VLZ2475" s="60"/>
      <c r="VMA2475" s="60"/>
      <c r="VMB2475" s="60"/>
      <c r="VMC2475" s="63"/>
      <c r="VMD2475" s="61"/>
      <c r="VME2475" s="54"/>
      <c r="VMF2475" s="54"/>
      <c r="VMG2475" s="60"/>
      <c r="VMH2475" s="60"/>
      <c r="VMI2475" s="60"/>
      <c r="VMJ2475" s="60"/>
      <c r="VMK2475" s="63"/>
      <c r="VML2475" s="61"/>
      <c r="VMM2475" s="54"/>
      <c r="VMN2475" s="54"/>
      <c r="VMO2475" s="60"/>
      <c r="VMP2475" s="60"/>
      <c r="VMQ2475" s="60"/>
      <c r="VMR2475" s="60"/>
      <c r="VMS2475" s="63"/>
      <c r="VMT2475" s="61"/>
      <c r="VMU2475" s="54"/>
      <c r="VMV2475" s="54"/>
      <c r="VMW2475" s="60"/>
      <c r="VMX2475" s="60"/>
      <c r="VMY2475" s="60"/>
      <c r="VMZ2475" s="60"/>
      <c r="VNA2475" s="63"/>
      <c r="VNB2475" s="61"/>
      <c r="VNC2475" s="54"/>
      <c r="VND2475" s="54"/>
      <c r="VNE2475" s="60"/>
      <c r="VNF2475" s="60"/>
      <c r="VNG2475" s="60"/>
      <c r="VNH2475" s="60"/>
      <c r="VNI2475" s="63"/>
      <c r="VNJ2475" s="61"/>
      <c r="VNK2475" s="54"/>
      <c r="VNL2475" s="54"/>
      <c r="VNM2475" s="60"/>
      <c r="VNN2475" s="60"/>
      <c r="VNO2475" s="60"/>
      <c r="VNP2475" s="60"/>
      <c r="VNQ2475" s="63"/>
      <c r="VNR2475" s="61"/>
      <c r="VNS2475" s="54"/>
      <c r="VNT2475" s="54"/>
      <c r="VNU2475" s="60"/>
      <c r="VNV2475" s="60"/>
      <c r="VNW2475" s="60"/>
      <c r="VNX2475" s="60"/>
      <c r="VNY2475" s="63"/>
      <c r="VNZ2475" s="61"/>
      <c r="VOA2475" s="54"/>
      <c r="VOB2475" s="54"/>
      <c r="VOC2475" s="60"/>
      <c r="VOD2475" s="60"/>
      <c r="VOE2475" s="60"/>
      <c r="VOF2475" s="60"/>
      <c r="VOG2475" s="63"/>
      <c r="VOH2475" s="61"/>
      <c r="VOI2475" s="54"/>
      <c r="VOJ2475" s="54"/>
      <c r="VOK2475" s="60"/>
      <c r="VOL2475" s="60"/>
      <c r="VOM2475" s="60"/>
      <c r="VON2475" s="60"/>
      <c r="VOO2475" s="63"/>
      <c r="VOP2475" s="61"/>
      <c r="VOQ2475" s="54"/>
      <c r="VOR2475" s="54"/>
      <c r="VOS2475" s="60"/>
      <c r="VOT2475" s="60"/>
      <c r="VOU2475" s="60"/>
      <c r="VOV2475" s="60"/>
      <c r="VOW2475" s="63"/>
      <c r="VOX2475" s="61"/>
      <c r="VOY2475" s="54"/>
      <c r="VOZ2475" s="54"/>
      <c r="VPA2475" s="60"/>
      <c r="VPB2475" s="60"/>
      <c r="VPC2475" s="60"/>
      <c r="VPD2475" s="60"/>
      <c r="VPE2475" s="63"/>
      <c r="VPF2475" s="61"/>
      <c r="VPG2475" s="54"/>
      <c r="VPH2475" s="54"/>
      <c r="VPI2475" s="60"/>
      <c r="VPJ2475" s="60"/>
      <c r="VPK2475" s="60"/>
      <c r="VPL2475" s="60"/>
      <c r="VPM2475" s="63"/>
      <c r="VPN2475" s="61"/>
      <c r="VPO2475" s="54"/>
      <c r="VPP2475" s="54"/>
      <c r="VPQ2475" s="60"/>
      <c r="VPR2475" s="60"/>
      <c r="VPS2475" s="60"/>
      <c r="VPT2475" s="60"/>
      <c r="VPU2475" s="63"/>
      <c r="VPV2475" s="61"/>
      <c r="VPW2475" s="54"/>
      <c r="VPX2475" s="54"/>
      <c r="VPY2475" s="60"/>
      <c r="VPZ2475" s="60"/>
      <c r="VQA2475" s="60"/>
      <c r="VQB2475" s="60"/>
      <c r="VQC2475" s="63"/>
      <c r="VQD2475" s="61"/>
      <c r="VQE2475" s="54"/>
      <c r="VQF2475" s="54"/>
      <c r="VQG2475" s="60"/>
      <c r="VQH2475" s="60"/>
      <c r="VQI2475" s="60"/>
      <c r="VQJ2475" s="60"/>
      <c r="VQK2475" s="63"/>
      <c r="VQL2475" s="61"/>
      <c r="VQM2475" s="54"/>
      <c r="VQN2475" s="54"/>
      <c r="VQO2475" s="60"/>
      <c r="VQP2475" s="60"/>
      <c r="VQQ2475" s="60"/>
      <c r="VQR2475" s="60"/>
      <c r="VQS2475" s="63"/>
      <c r="VQT2475" s="61"/>
      <c r="VQU2475" s="54"/>
      <c r="VQV2475" s="54"/>
      <c r="VQW2475" s="60"/>
      <c r="VQX2475" s="60"/>
      <c r="VQY2475" s="60"/>
      <c r="VQZ2475" s="60"/>
      <c r="VRA2475" s="63"/>
      <c r="VRB2475" s="61"/>
      <c r="VRC2475" s="54"/>
      <c r="VRD2475" s="54"/>
      <c r="VRE2475" s="60"/>
      <c r="VRF2475" s="60"/>
      <c r="VRG2475" s="60"/>
      <c r="VRH2475" s="60"/>
      <c r="VRI2475" s="63"/>
      <c r="VRJ2475" s="61"/>
      <c r="VRK2475" s="54"/>
      <c r="VRL2475" s="54"/>
      <c r="VRM2475" s="60"/>
      <c r="VRN2475" s="60"/>
      <c r="VRO2475" s="60"/>
      <c r="VRP2475" s="60"/>
      <c r="VRQ2475" s="63"/>
      <c r="VRR2475" s="61"/>
      <c r="VRS2475" s="54"/>
      <c r="VRT2475" s="54"/>
      <c r="VRU2475" s="60"/>
      <c r="VRV2475" s="60"/>
      <c r="VRW2475" s="60"/>
      <c r="VRX2475" s="60"/>
      <c r="VRY2475" s="63"/>
      <c r="VRZ2475" s="61"/>
      <c r="VSA2475" s="54"/>
      <c r="VSB2475" s="54"/>
      <c r="VSC2475" s="60"/>
      <c r="VSD2475" s="60"/>
      <c r="VSE2475" s="60"/>
      <c r="VSF2475" s="60"/>
      <c r="VSG2475" s="63"/>
      <c r="VSH2475" s="61"/>
      <c r="VSI2475" s="54"/>
      <c r="VSJ2475" s="54"/>
      <c r="VSK2475" s="60"/>
      <c r="VSL2475" s="60"/>
      <c r="VSM2475" s="60"/>
      <c r="VSN2475" s="60"/>
      <c r="VSO2475" s="63"/>
      <c r="VSP2475" s="61"/>
      <c r="VSQ2475" s="54"/>
      <c r="VSR2475" s="54"/>
      <c r="VSS2475" s="60"/>
      <c r="VST2475" s="60"/>
      <c r="VSU2475" s="60"/>
      <c r="VSV2475" s="60"/>
      <c r="VSW2475" s="63"/>
      <c r="VSX2475" s="61"/>
      <c r="VSY2475" s="54"/>
      <c r="VSZ2475" s="54"/>
      <c r="VTA2475" s="60"/>
      <c r="VTB2475" s="60"/>
      <c r="VTC2475" s="60"/>
      <c r="VTD2475" s="60"/>
      <c r="VTE2475" s="63"/>
      <c r="VTF2475" s="61"/>
      <c r="VTG2475" s="54"/>
      <c r="VTH2475" s="54"/>
      <c r="VTI2475" s="60"/>
      <c r="VTJ2475" s="60"/>
      <c r="VTK2475" s="60"/>
      <c r="VTL2475" s="60"/>
      <c r="VTM2475" s="63"/>
      <c r="VTN2475" s="61"/>
      <c r="VTO2475" s="54"/>
      <c r="VTP2475" s="54"/>
      <c r="VTQ2475" s="60"/>
      <c r="VTR2475" s="60"/>
      <c r="VTS2475" s="60"/>
      <c r="VTT2475" s="60"/>
      <c r="VTU2475" s="63"/>
      <c r="VTV2475" s="61"/>
      <c r="VTW2475" s="54"/>
      <c r="VTX2475" s="54"/>
      <c r="VTY2475" s="60"/>
      <c r="VTZ2475" s="60"/>
      <c r="VUA2475" s="60"/>
      <c r="VUB2475" s="60"/>
      <c r="VUC2475" s="63"/>
      <c r="VUD2475" s="61"/>
      <c r="VUE2475" s="54"/>
      <c r="VUF2475" s="54"/>
      <c r="VUG2475" s="60"/>
      <c r="VUH2475" s="60"/>
      <c r="VUI2475" s="60"/>
      <c r="VUJ2475" s="60"/>
      <c r="VUK2475" s="63"/>
      <c r="VUL2475" s="61"/>
      <c r="VUM2475" s="54"/>
      <c r="VUN2475" s="54"/>
      <c r="VUO2475" s="60"/>
      <c r="VUP2475" s="60"/>
      <c r="VUQ2475" s="60"/>
      <c r="VUR2475" s="60"/>
      <c r="VUS2475" s="63"/>
      <c r="VUT2475" s="61"/>
      <c r="VUU2475" s="54"/>
      <c r="VUV2475" s="54"/>
      <c r="VUW2475" s="60"/>
      <c r="VUX2475" s="60"/>
      <c r="VUY2475" s="60"/>
      <c r="VUZ2475" s="60"/>
      <c r="VVA2475" s="63"/>
      <c r="VVB2475" s="61"/>
      <c r="VVC2475" s="54"/>
      <c r="VVD2475" s="54"/>
      <c r="VVE2475" s="60"/>
      <c r="VVF2475" s="60"/>
      <c r="VVG2475" s="60"/>
      <c r="VVH2475" s="60"/>
      <c r="VVI2475" s="63"/>
      <c r="VVJ2475" s="61"/>
      <c r="VVK2475" s="54"/>
      <c r="VVL2475" s="54"/>
      <c r="VVM2475" s="60"/>
      <c r="VVN2475" s="60"/>
      <c r="VVO2475" s="60"/>
      <c r="VVP2475" s="60"/>
      <c r="VVQ2475" s="63"/>
      <c r="VVR2475" s="61"/>
      <c r="VVS2475" s="54"/>
      <c r="VVT2475" s="54"/>
      <c r="VVU2475" s="60"/>
      <c r="VVV2475" s="60"/>
      <c r="VVW2475" s="60"/>
      <c r="VVX2475" s="60"/>
      <c r="VVY2475" s="63"/>
      <c r="VVZ2475" s="61"/>
      <c r="VWA2475" s="54"/>
      <c r="VWB2475" s="54"/>
      <c r="VWC2475" s="60"/>
      <c r="VWD2475" s="60"/>
      <c r="VWE2475" s="60"/>
      <c r="VWF2475" s="60"/>
      <c r="VWG2475" s="63"/>
      <c r="VWH2475" s="61"/>
      <c r="VWI2475" s="54"/>
      <c r="VWJ2475" s="54"/>
      <c r="VWK2475" s="60"/>
      <c r="VWL2475" s="60"/>
      <c r="VWM2475" s="60"/>
      <c r="VWN2475" s="60"/>
      <c r="VWO2475" s="63"/>
      <c r="VWP2475" s="61"/>
      <c r="VWQ2475" s="54"/>
      <c r="VWR2475" s="54"/>
      <c r="VWS2475" s="60"/>
      <c r="VWT2475" s="60"/>
      <c r="VWU2475" s="60"/>
      <c r="VWV2475" s="60"/>
      <c r="VWW2475" s="63"/>
      <c r="VWX2475" s="61"/>
      <c r="VWY2475" s="54"/>
      <c r="VWZ2475" s="54"/>
      <c r="VXA2475" s="60"/>
      <c r="VXB2475" s="60"/>
      <c r="VXC2475" s="60"/>
      <c r="VXD2475" s="60"/>
      <c r="VXE2475" s="63"/>
      <c r="VXF2475" s="61"/>
      <c r="VXG2475" s="54"/>
      <c r="VXH2475" s="54"/>
      <c r="VXI2475" s="60"/>
      <c r="VXJ2475" s="60"/>
      <c r="VXK2475" s="60"/>
      <c r="VXL2475" s="60"/>
      <c r="VXM2475" s="63"/>
      <c r="VXN2475" s="61"/>
      <c r="VXO2475" s="54"/>
      <c r="VXP2475" s="54"/>
      <c r="VXQ2475" s="60"/>
      <c r="VXR2475" s="60"/>
      <c r="VXS2475" s="60"/>
      <c r="VXT2475" s="60"/>
      <c r="VXU2475" s="63"/>
      <c r="VXV2475" s="61"/>
      <c r="VXW2475" s="54"/>
      <c r="VXX2475" s="54"/>
      <c r="VXY2475" s="60"/>
      <c r="VXZ2475" s="60"/>
      <c r="VYA2475" s="60"/>
      <c r="VYB2475" s="60"/>
      <c r="VYC2475" s="63"/>
      <c r="VYD2475" s="61"/>
      <c r="VYE2475" s="54"/>
      <c r="VYF2475" s="54"/>
      <c r="VYG2475" s="60"/>
      <c r="VYH2475" s="60"/>
      <c r="VYI2475" s="60"/>
      <c r="VYJ2475" s="60"/>
      <c r="VYK2475" s="63"/>
      <c r="VYL2475" s="61"/>
      <c r="VYM2475" s="54"/>
      <c r="VYN2475" s="54"/>
      <c r="VYO2475" s="60"/>
      <c r="VYP2475" s="60"/>
      <c r="VYQ2475" s="60"/>
      <c r="VYR2475" s="60"/>
      <c r="VYS2475" s="63"/>
      <c r="VYT2475" s="61"/>
      <c r="VYU2475" s="54"/>
      <c r="VYV2475" s="54"/>
      <c r="VYW2475" s="60"/>
      <c r="VYX2475" s="60"/>
      <c r="VYY2475" s="60"/>
      <c r="VYZ2475" s="60"/>
      <c r="VZA2475" s="63"/>
      <c r="VZB2475" s="61"/>
      <c r="VZC2475" s="54"/>
      <c r="VZD2475" s="54"/>
      <c r="VZE2475" s="60"/>
      <c r="VZF2475" s="60"/>
      <c r="VZG2475" s="60"/>
      <c r="VZH2475" s="60"/>
      <c r="VZI2475" s="63"/>
      <c r="VZJ2475" s="61"/>
      <c r="VZK2475" s="54"/>
      <c r="VZL2475" s="54"/>
      <c r="VZM2475" s="60"/>
      <c r="VZN2475" s="60"/>
      <c r="VZO2475" s="60"/>
      <c r="VZP2475" s="60"/>
      <c r="VZQ2475" s="63"/>
      <c r="VZR2475" s="61"/>
      <c r="VZS2475" s="54"/>
      <c r="VZT2475" s="54"/>
      <c r="VZU2475" s="60"/>
      <c r="VZV2475" s="60"/>
      <c r="VZW2475" s="60"/>
      <c r="VZX2475" s="60"/>
      <c r="VZY2475" s="63"/>
      <c r="VZZ2475" s="61"/>
      <c r="WAA2475" s="54"/>
      <c r="WAB2475" s="54"/>
      <c r="WAC2475" s="60"/>
      <c r="WAD2475" s="60"/>
      <c r="WAE2475" s="60"/>
      <c r="WAF2475" s="60"/>
      <c r="WAG2475" s="63"/>
      <c r="WAH2475" s="61"/>
      <c r="WAI2475" s="54"/>
      <c r="WAJ2475" s="54"/>
      <c r="WAK2475" s="60"/>
      <c r="WAL2475" s="60"/>
      <c r="WAM2475" s="60"/>
      <c r="WAN2475" s="60"/>
      <c r="WAO2475" s="63"/>
      <c r="WAP2475" s="61"/>
      <c r="WAQ2475" s="54"/>
      <c r="WAR2475" s="54"/>
      <c r="WAS2475" s="60"/>
      <c r="WAT2475" s="60"/>
      <c r="WAU2475" s="60"/>
      <c r="WAV2475" s="60"/>
      <c r="WAW2475" s="63"/>
      <c r="WAX2475" s="61"/>
      <c r="WAY2475" s="54"/>
      <c r="WAZ2475" s="54"/>
      <c r="WBA2475" s="60"/>
      <c r="WBB2475" s="60"/>
      <c r="WBC2475" s="60"/>
      <c r="WBD2475" s="60"/>
      <c r="WBE2475" s="63"/>
      <c r="WBF2475" s="61"/>
      <c r="WBG2475" s="54"/>
      <c r="WBH2475" s="54"/>
      <c r="WBI2475" s="60"/>
      <c r="WBJ2475" s="60"/>
      <c r="WBK2475" s="60"/>
      <c r="WBL2475" s="60"/>
      <c r="WBM2475" s="63"/>
      <c r="WBN2475" s="61"/>
      <c r="WBO2475" s="54"/>
      <c r="WBP2475" s="54"/>
      <c r="WBQ2475" s="60"/>
      <c r="WBR2475" s="60"/>
      <c r="WBS2475" s="60"/>
      <c r="WBT2475" s="60"/>
      <c r="WBU2475" s="63"/>
      <c r="WBV2475" s="61"/>
      <c r="WBW2475" s="54"/>
      <c r="WBX2475" s="54"/>
      <c r="WBY2475" s="60"/>
      <c r="WBZ2475" s="60"/>
      <c r="WCA2475" s="60"/>
      <c r="WCB2475" s="60"/>
      <c r="WCC2475" s="63"/>
      <c r="WCD2475" s="61"/>
      <c r="WCE2475" s="54"/>
      <c r="WCF2475" s="54"/>
      <c r="WCG2475" s="60"/>
      <c r="WCH2475" s="60"/>
      <c r="WCI2475" s="60"/>
      <c r="WCJ2475" s="60"/>
      <c r="WCK2475" s="63"/>
      <c r="WCL2475" s="61"/>
      <c r="WCM2475" s="54"/>
      <c r="WCN2475" s="54"/>
      <c r="WCO2475" s="60"/>
      <c r="WCP2475" s="60"/>
      <c r="WCQ2475" s="60"/>
      <c r="WCR2475" s="60"/>
      <c r="WCS2475" s="63"/>
      <c r="WCT2475" s="61"/>
      <c r="WCU2475" s="54"/>
      <c r="WCV2475" s="54"/>
      <c r="WCW2475" s="60"/>
      <c r="WCX2475" s="60"/>
      <c r="WCY2475" s="60"/>
      <c r="WCZ2475" s="60"/>
      <c r="WDA2475" s="63"/>
      <c r="WDB2475" s="61"/>
      <c r="WDC2475" s="54"/>
      <c r="WDD2475" s="54"/>
      <c r="WDE2475" s="60"/>
      <c r="WDF2475" s="60"/>
      <c r="WDG2475" s="60"/>
      <c r="WDH2475" s="60"/>
      <c r="WDI2475" s="63"/>
      <c r="WDJ2475" s="61"/>
      <c r="WDK2475" s="54"/>
      <c r="WDL2475" s="54"/>
      <c r="WDM2475" s="60"/>
      <c r="WDN2475" s="60"/>
      <c r="WDO2475" s="60"/>
      <c r="WDP2475" s="60"/>
      <c r="WDQ2475" s="63"/>
      <c r="WDR2475" s="61"/>
      <c r="WDS2475" s="54"/>
      <c r="WDT2475" s="54"/>
      <c r="WDU2475" s="60"/>
      <c r="WDV2475" s="60"/>
      <c r="WDW2475" s="60"/>
      <c r="WDX2475" s="60"/>
      <c r="WDY2475" s="63"/>
      <c r="WDZ2475" s="61"/>
      <c r="WEA2475" s="54"/>
      <c r="WEB2475" s="54"/>
      <c r="WEC2475" s="60"/>
      <c r="WED2475" s="60"/>
      <c r="WEE2475" s="60"/>
      <c r="WEF2475" s="60"/>
      <c r="WEG2475" s="63"/>
      <c r="WEH2475" s="61"/>
      <c r="WEI2475" s="54"/>
      <c r="WEJ2475" s="54"/>
      <c r="WEK2475" s="60"/>
      <c r="WEL2475" s="60"/>
      <c r="WEM2475" s="60"/>
      <c r="WEN2475" s="60"/>
      <c r="WEO2475" s="63"/>
      <c r="WEP2475" s="61"/>
      <c r="WEQ2475" s="54"/>
      <c r="WER2475" s="54"/>
      <c r="WES2475" s="60"/>
      <c r="WET2475" s="60"/>
      <c r="WEU2475" s="60"/>
      <c r="WEV2475" s="60"/>
      <c r="WEW2475" s="63"/>
      <c r="WEX2475" s="61"/>
      <c r="WEY2475" s="54"/>
      <c r="WEZ2475" s="54"/>
      <c r="WFA2475" s="60"/>
      <c r="WFB2475" s="60"/>
      <c r="WFC2475" s="60"/>
      <c r="WFD2475" s="60"/>
      <c r="WFE2475" s="63"/>
      <c r="WFF2475" s="61"/>
      <c r="WFG2475" s="54"/>
      <c r="WFH2475" s="54"/>
      <c r="WFI2475" s="60"/>
      <c r="WFJ2475" s="60"/>
      <c r="WFK2475" s="60"/>
      <c r="WFL2475" s="60"/>
      <c r="WFM2475" s="63"/>
      <c r="WFN2475" s="61"/>
      <c r="WFO2475" s="54"/>
      <c r="WFP2475" s="54"/>
      <c r="WFQ2475" s="60"/>
      <c r="WFR2475" s="60"/>
      <c r="WFS2475" s="60"/>
      <c r="WFT2475" s="60"/>
      <c r="WFU2475" s="63"/>
      <c r="WFV2475" s="61"/>
      <c r="WFW2475" s="54"/>
      <c r="WFX2475" s="54"/>
      <c r="WFY2475" s="60"/>
      <c r="WFZ2475" s="60"/>
      <c r="WGA2475" s="60"/>
      <c r="WGB2475" s="60"/>
      <c r="WGC2475" s="63"/>
      <c r="WGD2475" s="61"/>
      <c r="WGE2475" s="54"/>
      <c r="WGF2475" s="54"/>
      <c r="WGG2475" s="60"/>
      <c r="WGH2475" s="60"/>
      <c r="WGI2475" s="60"/>
      <c r="WGJ2475" s="60"/>
      <c r="WGK2475" s="63"/>
      <c r="WGL2475" s="61"/>
      <c r="WGM2475" s="54"/>
      <c r="WGN2475" s="54"/>
      <c r="WGO2475" s="60"/>
      <c r="WGP2475" s="60"/>
      <c r="WGQ2475" s="60"/>
      <c r="WGR2475" s="60"/>
      <c r="WGS2475" s="63"/>
      <c r="WGT2475" s="61"/>
      <c r="WGU2475" s="54"/>
      <c r="WGV2475" s="54"/>
      <c r="WGW2475" s="60"/>
      <c r="WGX2475" s="60"/>
      <c r="WGY2475" s="60"/>
      <c r="WGZ2475" s="60"/>
      <c r="WHA2475" s="63"/>
      <c r="WHB2475" s="61"/>
      <c r="WHC2475" s="54"/>
      <c r="WHD2475" s="54"/>
      <c r="WHE2475" s="60"/>
      <c r="WHF2475" s="60"/>
      <c r="WHG2475" s="60"/>
      <c r="WHH2475" s="60"/>
      <c r="WHI2475" s="63"/>
      <c r="WHJ2475" s="61"/>
      <c r="WHK2475" s="54"/>
      <c r="WHL2475" s="54"/>
      <c r="WHM2475" s="60"/>
      <c r="WHN2475" s="60"/>
      <c r="WHO2475" s="60"/>
      <c r="WHP2475" s="60"/>
      <c r="WHQ2475" s="63"/>
      <c r="WHR2475" s="61"/>
      <c r="WHS2475" s="54"/>
      <c r="WHT2475" s="54"/>
      <c r="WHU2475" s="60"/>
      <c r="WHV2475" s="60"/>
      <c r="WHW2475" s="60"/>
      <c r="WHX2475" s="60"/>
      <c r="WHY2475" s="63"/>
      <c r="WHZ2475" s="61"/>
      <c r="WIA2475" s="54"/>
      <c r="WIB2475" s="54"/>
      <c r="WIC2475" s="60"/>
      <c r="WID2475" s="60"/>
      <c r="WIE2475" s="60"/>
      <c r="WIF2475" s="60"/>
      <c r="WIG2475" s="63"/>
      <c r="WIH2475" s="61"/>
      <c r="WII2475" s="54"/>
      <c r="WIJ2475" s="54"/>
      <c r="WIK2475" s="60"/>
      <c r="WIL2475" s="60"/>
      <c r="WIM2475" s="60"/>
      <c r="WIN2475" s="60"/>
      <c r="WIO2475" s="63"/>
      <c r="WIP2475" s="61"/>
      <c r="WIQ2475" s="54"/>
      <c r="WIR2475" s="54"/>
      <c r="WIS2475" s="60"/>
      <c r="WIT2475" s="60"/>
      <c r="WIU2475" s="60"/>
      <c r="WIV2475" s="60"/>
      <c r="WIW2475" s="63"/>
      <c r="WIX2475" s="61"/>
      <c r="WIY2475" s="54"/>
      <c r="WIZ2475" s="54"/>
      <c r="WJA2475" s="60"/>
      <c r="WJB2475" s="60"/>
      <c r="WJC2475" s="60"/>
      <c r="WJD2475" s="60"/>
      <c r="WJE2475" s="63"/>
      <c r="WJF2475" s="61"/>
      <c r="WJG2475" s="54"/>
      <c r="WJH2475" s="54"/>
      <c r="WJI2475" s="60"/>
      <c r="WJJ2475" s="60"/>
      <c r="WJK2475" s="60"/>
      <c r="WJL2475" s="60"/>
      <c r="WJM2475" s="63"/>
      <c r="WJN2475" s="61"/>
      <c r="WJO2475" s="54"/>
      <c r="WJP2475" s="54"/>
      <c r="WJQ2475" s="60"/>
      <c r="WJR2475" s="60"/>
      <c r="WJS2475" s="60"/>
      <c r="WJT2475" s="60"/>
      <c r="WJU2475" s="63"/>
      <c r="WJV2475" s="61"/>
      <c r="WJW2475" s="54"/>
      <c r="WJX2475" s="54"/>
      <c r="WJY2475" s="60"/>
      <c r="WJZ2475" s="60"/>
      <c r="WKA2475" s="60"/>
      <c r="WKB2475" s="60"/>
      <c r="WKC2475" s="63"/>
      <c r="WKD2475" s="61"/>
      <c r="WKE2475" s="54"/>
      <c r="WKF2475" s="54"/>
      <c r="WKG2475" s="60"/>
      <c r="WKH2475" s="60"/>
      <c r="WKI2475" s="60"/>
      <c r="WKJ2475" s="60"/>
      <c r="WKK2475" s="63"/>
      <c r="WKL2475" s="61"/>
      <c r="WKM2475" s="54"/>
      <c r="WKN2475" s="54"/>
      <c r="WKO2475" s="60"/>
      <c r="WKP2475" s="60"/>
      <c r="WKQ2475" s="60"/>
      <c r="WKR2475" s="60"/>
      <c r="WKS2475" s="63"/>
      <c r="WKT2475" s="61"/>
      <c r="WKU2475" s="54"/>
      <c r="WKV2475" s="54"/>
      <c r="WKW2475" s="60"/>
      <c r="WKX2475" s="60"/>
      <c r="WKY2475" s="60"/>
      <c r="WKZ2475" s="60"/>
      <c r="WLA2475" s="63"/>
      <c r="WLB2475" s="61"/>
      <c r="WLC2475" s="54"/>
      <c r="WLD2475" s="54"/>
      <c r="WLE2475" s="60"/>
      <c r="WLF2475" s="60"/>
      <c r="WLG2475" s="60"/>
      <c r="WLH2475" s="60"/>
      <c r="WLI2475" s="63"/>
      <c r="WLJ2475" s="61"/>
      <c r="WLK2475" s="54"/>
      <c r="WLL2475" s="54"/>
      <c r="WLM2475" s="60"/>
      <c r="WLN2475" s="60"/>
      <c r="WLO2475" s="60"/>
      <c r="WLP2475" s="60"/>
      <c r="WLQ2475" s="63"/>
      <c r="WLR2475" s="61"/>
      <c r="WLS2475" s="54"/>
      <c r="WLT2475" s="54"/>
      <c r="WLU2475" s="60"/>
      <c r="WLV2475" s="60"/>
      <c r="WLW2475" s="60"/>
      <c r="WLX2475" s="60"/>
      <c r="WLY2475" s="63"/>
      <c r="WLZ2475" s="61"/>
      <c r="WMA2475" s="54"/>
      <c r="WMB2475" s="54"/>
      <c r="WMC2475" s="60"/>
      <c r="WMD2475" s="60"/>
      <c r="WME2475" s="60"/>
      <c r="WMF2475" s="60"/>
      <c r="WMG2475" s="63"/>
      <c r="WMH2475" s="61"/>
      <c r="WMI2475" s="54"/>
      <c r="WMJ2475" s="54"/>
      <c r="WMK2475" s="60"/>
      <c r="WML2475" s="60"/>
      <c r="WMM2475" s="60"/>
      <c r="WMN2475" s="60"/>
      <c r="WMO2475" s="63"/>
      <c r="WMP2475" s="61"/>
      <c r="WMQ2475" s="54"/>
      <c r="WMR2475" s="54"/>
      <c r="WMS2475" s="60"/>
      <c r="WMT2475" s="60"/>
      <c r="WMU2475" s="60"/>
      <c r="WMV2475" s="60"/>
      <c r="WMW2475" s="63"/>
      <c r="WMX2475" s="61"/>
      <c r="WMY2475" s="54"/>
      <c r="WMZ2475" s="54"/>
      <c r="WNA2475" s="60"/>
      <c r="WNB2475" s="60"/>
      <c r="WNC2475" s="60"/>
      <c r="WND2475" s="60"/>
      <c r="WNE2475" s="63"/>
      <c r="WNF2475" s="61"/>
      <c r="WNG2475" s="54"/>
      <c r="WNH2475" s="54"/>
      <c r="WNI2475" s="60"/>
      <c r="WNJ2475" s="60"/>
      <c r="WNK2475" s="60"/>
      <c r="WNL2475" s="60"/>
      <c r="WNM2475" s="63"/>
      <c r="WNN2475" s="61"/>
      <c r="WNO2475" s="54"/>
      <c r="WNP2475" s="54"/>
      <c r="WNQ2475" s="60"/>
      <c r="WNR2475" s="60"/>
      <c r="WNS2475" s="60"/>
      <c r="WNT2475" s="60"/>
      <c r="WNU2475" s="63"/>
      <c r="WNV2475" s="61"/>
      <c r="WNW2475" s="54"/>
      <c r="WNX2475" s="54"/>
      <c r="WNY2475" s="60"/>
      <c r="WNZ2475" s="60"/>
      <c r="WOA2475" s="60"/>
      <c r="WOB2475" s="60"/>
      <c r="WOC2475" s="63"/>
      <c r="WOD2475" s="61"/>
      <c r="WOE2475" s="54"/>
      <c r="WOF2475" s="54"/>
      <c r="WOG2475" s="60"/>
      <c r="WOH2475" s="60"/>
      <c r="WOI2475" s="60"/>
      <c r="WOJ2475" s="60"/>
      <c r="WOK2475" s="63"/>
      <c r="WOL2475" s="61"/>
      <c r="WOM2475" s="54"/>
      <c r="WON2475" s="54"/>
      <c r="WOO2475" s="60"/>
      <c r="WOP2475" s="60"/>
      <c r="WOQ2475" s="60"/>
      <c r="WOR2475" s="60"/>
      <c r="WOS2475" s="63"/>
      <c r="WOT2475" s="61"/>
      <c r="WOU2475" s="54"/>
      <c r="WOV2475" s="54"/>
      <c r="WOW2475" s="60"/>
      <c r="WOX2475" s="60"/>
      <c r="WOY2475" s="60"/>
      <c r="WOZ2475" s="60"/>
      <c r="WPA2475" s="63"/>
      <c r="WPB2475" s="61"/>
      <c r="WPC2475" s="54"/>
      <c r="WPD2475" s="54"/>
      <c r="WPE2475" s="60"/>
      <c r="WPF2475" s="60"/>
      <c r="WPG2475" s="60"/>
      <c r="WPH2475" s="60"/>
      <c r="WPI2475" s="63"/>
      <c r="WPJ2475" s="61"/>
      <c r="WPK2475" s="54"/>
      <c r="WPL2475" s="54"/>
      <c r="WPM2475" s="60"/>
      <c r="WPN2475" s="60"/>
      <c r="WPO2475" s="60"/>
      <c r="WPP2475" s="60"/>
      <c r="WPQ2475" s="63"/>
      <c r="WPR2475" s="61"/>
      <c r="WPS2475" s="54"/>
      <c r="WPT2475" s="54"/>
      <c r="WPU2475" s="60"/>
      <c r="WPV2475" s="60"/>
      <c r="WPW2475" s="60"/>
      <c r="WPX2475" s="60"/>
      <c r="WPY2475" s="63"/>
      <c r="WPZ2475" s="61"/>
      <c r="WQA2475" s="54"/>
      <c r="WQB2475" s="54"/>
      <c r="WQC2475" s="60"/>
      <c r="WQD2475" s="60"/>
      <c r="WQE2475" s="60"/>
      <c r="WQF2475" s="60"/>
      <c r="WQG2475" s="63"/>
      <c r="WQH2475" s="61"/>
      <c r="WQI2475" s="54"/>
      <c r="WQJ2475" s="54"/>
      <c r="WQK2475" s="60"/>
      <c r="WQL2475" s="60"/>
      <c r="WQM2475" s="60"/>
      <c r="WQN2475" s="60"/>
      <c r="WQO2475" s="63"/>
      <c r="WQP2475" s="61"/>
      <c r="WQQ2475" s="54"/>
      <c r="WQR2475" s="54"/>
      <c r="WQS2475" s="60"/>
      <c r="WQT2475" s="60"/>
      <c r="WQU2475" s="60"/>
      <c r="WQV2475" s="60"/>
      <c r="WQW2475" s="63"/>
      <c r="WQX2475" s="61"/>
      <c r="WQY2475" s="54"/>
      <c r="WQZ2475" s="54"/>
      <c r="WRA2475" s="60"/>
      <c r="WRB2475" s="60"/>
      <c r="WRC2475" s="60"/>
      <c r="WRD2475" s="60"/>
      <c r="WRE2475" s="63"/>
      <c r="WRF2475" s="61"/>
      <c r="WRG2475" s="54"/>
      <c r="WRH2475" s="54"/>
      <c r="WRI2475" s="60"/>
      <c r="WRJ2475" s="60"/>
      <c r="WRK2475" s="60"/>
      <c r="WRL2475" s="60"/>
      <c r="WRM2475" s="63"/>
      <c r="WRN2475" s="61"/>
      <c r="WRO2475" s="54"/>
      <c r="WRP2475" s="54"/>
      <c r="WRQ2475" s="60"/>
      <c r="WRR2475" s="60"/>
      <c r="WRS2475" s="60"/>
      <c r="WRT2475" s="60"/>
      <c r="WRU2475" s="63"/>
      <c r="WRV2475" s="61"/>
      <c r="WRW2475" s="54"/>
      <c r="WRX2475" s="54"/>
      <c r="WRY2475" s="60"/>
      <c r="WRZ2475" s="60"/>
      <c r="WSA2475" s="60"/>
      <c r="WSB2475" s="60"/>
      <c r="WSC2475" s="63"/>
      <c r="WSD2475" s="61"/>
      <c r="WSE2475" s="54"/>
      <c r="WSF2475" s="54"/>
      <c r="WSG2475" s="60"/>
      <c r="WSH2475" s="60"/>
      <c r="WSI2475" s="60"/>
      <c r="WSJ2475" s="60"/>
      <c r="WSK2475" s="63"/>
      <c r="WSL2475" s="61"/>
      <c r="WSM2475" s="54"/>
      <c r="WSN2475" s="54"/>
      <c r="WSO2475" s="60"/>
      <c r="WSP2475" s="60"/>
      <c r="WSQ2475" s="60"/>
      <c r="WSR2475" s="60"/>
      <c r="WSS2475" s="63"/>
      <c r="WST2475" s="61"/>
      <c r="WSU2475" s="54"/>
      <c r="WSV2475" s="54"/>
      <c r="WSW2475" s="60"/>
      <c r="WSX2475" s="60"/>
      <c r="WSY2475" s="60"/>
      <c r="WSZ2475" s="60"/>
      <c r="WTA2475" s="63"/>
      <c r="WTB2475" s="61"/>
      <c r="WTC2475" s="54"/>
      <c r="WTD2475" s="54"/>
      <c r="WTE2475" s="60"/>
      <c r="WTF2475" s="60"/>
      <c r="WTG2475" s="60"/>
      <c r="WTH2475" s="60"/>
      <c r="WTI2475" s="63"/>
      <c r="WTJ2475" s="61"/>
      <c r="WTK2475" s="54"/>
      <c r="WTL2475" s="54"/>
      <c r="WTM2475" s="60"/>
      <c r="WTN2475" s="60"/>
      <c r="WTO2475" s="60"/>
      <c r="WTP2475" s="60"/>
      <c r="WTQ2475" s="63"/>
      <c r="WTR2475" s="61"/>
      <c r="WTS2475" s="54"/>
      <c r="WTT2475" s="54"/>
      <c r="WTU2475" s="60"/>
      <c r="WTV2475" s="60"/>
      <c r="WTW2475" s="60"/>
      <c r="WTX2475" s="60"/>
      <c r="WTY2475" s="63"/>
      <c r="WTZ2475" s="61"/>
      <c r="WUA2475" s="54"/>
      <c r="WUB2475" s="54"/>
      <c r="WUC2475" s="60"/>
      <c r="WUD2475" s="60"/>
      <c r="WUE2475" s="60"/>
      <c r="WUF2475" s="60"/>
      <c r="WUG2475" s="63"/>
      <c r="WUH2475" s="61"/>
      <c r="WUI2475" s="54"/>
      <c r="WUJ2475" s="54"/>
      <c r="WUK2475" s="60"/>
      <c r="WUL2475" s="60"/>
      <c r="WUM2475" s="60"/>
      <c r="WUN2475" s="60"/>
      <c r="WUO2475" s="63"/>
      <c r="WUP2475" s="61"/>
      <c r="WUQ2475" s="54"/>
      <c r="WUR2475" s="54"/>
      <c r="WUS2475" s="60"/>
      <c r="WUT2475" s="60"/>
      <c r="WUU2475" s="60"/>
      <c r="WUV2475" s="60"/>
      <c r="WUW2475" s="63"/>
      <c r="WUX2475" s="61"/>
      <c r="WUY2475" s="54"/>
      <c r="WUZ2475" s="54"/>
      <c r="WVA2475" s="60"/>
      <c r="WVB2475" s="60"/>
      <c r="WVC2475" s="60"/>
      <c r="WVD2475" s="60"/>
      <c r="WVE2475" s="63"/>
      <c r="WVF2475" s="61"/>
      <c r="WVG2475" s="54"/>
      <c r="WVH2475" s="54"/>
      <c r="WVI2475" s="60"/>
      <c r="WVJ2475" s="60"/>
      <c r="WVK2475" s="60"/>
      <c r="WVL2475" s="60"/>
      <c r="WVM2475" s="63"/>
      <c r="WVN2475" s="61"/>
      <c r="WVO2475" s="54"/>
      <c r="WVP2475" s="54"/>
      <c r="WVQ2475" s="60"/>
      <c r="WVR2475" s="60"/>
      <c r="WVS2475" s="60"/>
      <c r="WVT2475" s="60"/>
      <c r="WVU2475" s="63"/>
      <c r="WVV2475" s="61"/>
      <c r="WVW2475" s="54"/>
      <c r="WVX2475" s="54"/>
      <c r="WVY2475" s="60"/>
      <c r="WVZ2475" s="60"/>
      <c r="WWA2475" s="60"/>
      <c r="WWB2475" s="60"/>
      <c r="WWC2475" s="63"/>
      <c r="WWD2475" s="61"/>
      <c r="WWE2475" s="54"/>
      <c r="WWF2475" s="54"/>
      <c r="WWG2475" s="60"/>
      <c r="WWH2475" s="60"/>
      <c r="WWI2475" s="60"/>
      <c r="WWJ2475" s="60"/>
      <c r="WWK2475" s="63"/>
      <c r="WWL2475" s="61"/>
      <c r="WWM2475" s="54"/>
      <c r="WWN2475" s="54"/>
      <c r="WWO2475" s="60"/>
      <c r="WWP2475" s="60"/>
      <c r="WWQ2475" s="60"/>
      <c r="WWR2475" s="60"/>
      <c r="WWS2475" s="63"/>
      <c r="WWT2475" s="61"/>
      <c r="WWU2475" s="54"/>
      <c r="WWV2475" s="54"/>
      <c r="WWW2475" s="60"/>
      <c r="WWX2475" s="60"/>
      <c r="WWY2475" s="60"/>
      <c r="WWZ2475" s="60"/>
      <c r="WXA2475" s="63"/>
      <c r="WXB2475" s="61"/>
      <c r="WXC2475" s="54"/>
      <c r="WXD2475" s="54"/>
      <c r="WXE2475" s="60"/>
      <c r="WXF2475" s="60"/>
      <c r="WXG2475" s="60"/>
      <c r="WXH2475" s="60"/>
      <c r="WXI2475" s="63"/>
      <c r="WXJ2475" s="61"/>
      <c r="WXK2475" s="54"/>
      <c r="WXL2475" s="54"/>
      <c r="WXM2475" s="60"/>
      <c r="WXN2475" s="60"/>
      <c r="WXO2475" s="60"/>
      <c r="WXP2475" s="60"/>
      <c r="WXQ2475" s="63"/>
      <c r="WXR2475" s="61"/>
      <c r="WXS2475" s="54"/>
      <c r="WXT2475" s="54"/>
      <c r="WXU2475" s="60"/>
      <c r="WXV2475" s="60"/>
      <c r="WXW2475" s="60"/>
      <c r="WXX2475" s="60"/>
      <c r="WXY2475" s="63"/>
      <c r="WXZ2475" s="61"/>
      <c r="WYA2475" s="54"/>
      <c r="WYB2475" s="54"/>
      <c r="WYC2475" s="60"/>
      <c r="WYD2475" s="60"/>
      <c r="WYE2475" s="60"/>
      <c r="WYF2475" s="60"/>
      <c r="WYG2475" s="63"/>
      <c r="WYH2475" s="61"/>
      <c r="WYI2475" s="54"/>
      <c r="WYJ2475" s="54"/>
      <c r="WYK2475" s="60"/>
      <c r="WYL2475" s="60"/>
      <c r="WYM2475" s="60"/>
      <c r="WYN2475" s="60"/>
      <c r="WYO2475" s="63"/>
      <c r="WYP2475" s="61"/>
      <c r="WYQ2475" s="54"/>
      <c r="WYR2475" s="54"/>
      <c r="WYS2475" s="60"/>
      <c r="WYT2475" s="60"/>
      <c r="WYU2475" s="60"/>
      <c r="WYV2475" s="60"/>
      <c r="WYW2475" s="63"/>
      <c r="WYX2475" s="61"/>
      <c r="WYY2475" s="54"/>
      <c r="WYZ2475" s="54"/>
      <c r="WZA2475" s="60"/>
      <c r="WZB2475" s="60"/>
      <c r="WZC2475" s="60"/>
      <c r="WZD2475" s="60"/>
      <c r="WZE2475" s="63"/>
      <c r="WZF2475" s="61"/>
      <c r="WZG2475" s="54"/>
      <c r="WZH2475" s="54"/>
      <c r="WZI2475" s="60"/>
      <c r="WZJ2475" s="60"/>
      <c r="WZK2475" s="60"/>
      <c r="WZL2475" s="60"/>
      <c r="WZM2475" s="63"/>
      <c r="WZN2475" s="61"/>
      <c r="WZO2475" s="54"/>
      <c r="WZP2475" s="54"/>
      <c r="WZQ2475" s="60"/>
      <c r="WZR2475" s="60"/>
      <c r="WZS2475" s="60"/>
      <c r="WZT2475" s="60"/>
      <c r="WZU2475" s="63"/>
      <c r="WZV2475" s="61"/>
      <c r="WZW2475" s="54"/>
      <c r="WZX2475" s="54"/>
      <c r="WZY2475" s="60"/>
      <c r="WZZ2475" s="60"/>
      <c r="XAA2475" s="60"/>
      <c r="XAB2475" s="60"/>
      <c r="XAC2475" s="63"/>
      <c r="XAD2475" s="61"/>
      <c r="XAE2475" s="54"/>
      <c r="XAF2475" s="54"/>
      <c r="XAG2475" s="60"/>
      <c r="XAH2475" s="60"/>
      <c r="XAI2475" s="60"/>
      <c r="XAJ2475" s="60"/>
      <c r="XAK2475" s="63"/>
      <c r="XAL2475" s="61"/>
      <c r="XAM2475" s="54"/>
      <c r="XAN2475" s="54"/>
      <c r="XAO2475" s="60"/>
      <c r="XAP2475" s="60"/>
      <c r="XAQ2475" s="60"/>
      <c r="XAR2475" s="60"/>
      <c r="XAS2475" s="63"/>
      <c r="XAT2475" s="61"/>
      <c r="XAU2475" s="54"/>
      <c r="XAV2475" s="54"/>
      <c r="XAW2475" s="60"/>
      <c r="XAX2475" s="60"/>
      <c r="XAY2475" s="60"/>
      <c r="XAZ2475" s="60"/>
      <c r="XBA2475" s="63"/>
      <c r="XBB2475" s="61"/>
      <c r="XBC2475" s="54"/>
      <c r="XBD2475" s="54"/>
      <c r="XBE2475" s="60"/>
      <c r="XBF2475" s="60"/>
      <c r="XBG2475" s="60"/>
      <c r="XBH2475" s="60"/>
      <c r="XBI2475" s="63"/>
      <c r="XBJ2475" s="61"/>
      <c r="XBK2475" s="54"/>
      <c r="XBL2475" s="54"/>
      <c r="XBM2475" s="60"/>
      <c r="XBN2475" s="60"/>
      <c r="XBO2475" s="60"/>
      <c r="XBP2475" s="60"/>
      <c r="XBQ2475" s="63"/>
      <c r="XBR2475" s="61"/>
      <c r="XBS2475" s="54"/>
      <c r="XBT2475" s="54"/>
      <c r="XBU2475" s="60"/>
      <c r="XBV2475" s="60"/>
      <c r="XBW2475" s="60"/>
      <c r="XBX2475" s="60"/>
      <c r="XBY2475" s="63"/>
      <c r="XBZ2475" s="61"/>
      <c r="XCA2475" s="54"/>
      <c r="XCB2475" s="54"/>
      <c r="XCC2475" s="60"/>
      <c r="XCD2475" s="60"/>
      <c r="XCE2475" s="60"/>
      <c r="XCF2475" s="60"/>
      <c r="XCG2475" s="63"/>
      <c r="XCH2475" s="61"/>
      <c r="XCI2475" s="54"/>
      <c r="XCJ2475" s="54"/>
      <c r="XCK2475" s="60"/>
      <c r="XCL2475" s="60"/>
      <c r="XCM2475" s="60"/>
      <c r="XCN2475" s="60"/>
      <c r="XCO2475" s="63"/>
      <c r="XCP2475" s="61"/>
      <c r="XCQ2475" s="54"/>
      <c r="XCR2475" s="54"/>
      <c r="XCS2475" s="60"/>
      <c r="XCT2475" s="60"/>
      <c r="XCU2475" s="60"/>
      <c r="XCV2475" s="60"/>
      <c r="XCW2475" s="63"/>
      <c r="XCX2475" s="61"/>
      <c r="XCY2475" s="54"/>
      <c r="XCZ2475" s="54"/>
      <c r="XDA2475" s="60"/>
      <c r="XDB2475" s="60"/>
      <c r="XDC2475" s="60"/>
      <c r="XDD2475" s="60"/>
      <c r="XDE2475" s="63"/>
      <c r="XDF2475" s="61"/>
      <c r="XDG2475" s="54"/>
      <c r="XDH2475" s="54"/>
      <c r="XDI2475" s="60"/>
      <c r="XDJ2475" s="60"/>
      <c r="XDK2475" s="60"/>
      <c r="XDL2475" s="60"/>
      <c r="XDM2475" s="63"/>
      <c r="XDN2475" s="61"/>
      <c r="XDO2475" s="54"/>
      <c r="XDP2475" s="54"/>
      <c r="XDQ2475" s="60"/>
      <c r="XDR2475" s="60"/>
      <c r="XDS2475" s="60"/>
      <c r="XDT2475" s="60"/>
      <c r="XDU2475" s="63"/>
      <c r="XDV2475" s="61"/>
      <c r="XDW2475" s="54"/>
      <c r="XDX2475" s="54"/>
      <c r="XDY2475" s="60"/>
      <c r="XDZ2475" s="60"/>
      <c r="XEA2475" s="60"/>
      <c r="XEB2475" s="60"/>
      <c r="XEC2475" s="63"/>
      <c r="XED2475" s="61"/>
      <c r="XEE2475" s="54"/>
      <c r="XEF2475" s="54"/>
      <c r="XEG2475" s="60"/>
      <c r="XEH2475" s="60"/>
      <c r="XEI2475" s="60"/>
      <c r="XEJ2475" s="60"/>
      <c r="XEK2475" s="63"/>
      <c r="XEL2475" s="61"/>
      <c r="XEM2475" s="54"/>
      <c r="XEN2475" s="54"/>
      <c r="XEO2475" s="60"/>
      <c r="XEP2475" s="60"/>
      <c r="XEQ2475" s="60"/>
      <c r="XER2475" s="60"/>
      <c r="XES2475" s="63"/>
      <c r="XET2475" s="61"/>
      <c r="XEU2475" s="54"/>
      <c r="XEV2475" s="54"/>
      <c r="XEW2475" s="60"/>
    </row>
    <row r="2476" ht="18" customHeight="1" spans="1:16377">
      <c r="A2476" s="6" t="s">
        <v>8209</v>
      </c>
      <c r="B2476" s="6" t="s">
        <v>8540</v>
      </c>
      <c r="C2476" s="11" t="s">
        <v>16405</v>
      </c>
      <c r="D2476" s="5" t="s">
        <v>16382</v>
      </c>
      <c r="E2476" s="11" t="s">
        <v>16406</v>
      </c>
      <c r="F2476" s="7" t="s">
        <v>11535</v>
      </c>
      <c r="G2476" s="54"/>
      <c r="H2476" s="54"/>
      <c r="I2476" s="60"/>
      <c r="J2476" s="60"/>
      <c r="K2476" s="60"/>
      <c r="L2476" s="60"/>
      <c r="M2476" s="63"/>
      <c r="N2476" s="61"/>
      <c r="O2476" s="54"/>
      <c r="P2476" s="54"/>
      <c r="Q2476" s="60"/>
      <c r="R2476" s="60"/>
      <c r="S2476" s="60"/>
      <c r="T2476" s="60"/>
      <c r="U2476" s="63"/>
      <c r="V2476" s="61"/>
      <c r="W2476" s="54"/>
      <c r="X2476" s="54"/>
      <c r="Y2476" s="60"/>
      <c r="Z2476" s="60"/>
      <c r="AA2476" s="60"/>
      <c r="AB2476" s="60"/>
      <c r="AC2476" s="63"/>
      <c r="AD2476" s="61"/>
      <c r="AE2476" s="54"/>
      <c r="AF2476" s="54"/>
      <c r="AG2476" s="60"/>
      <c r="AH2476" s="60"/>
      <c r="AI2476" s="60"/>
      <c r="AJ2476" s="60"/>
      <c r="AK2476" s="63"/>
      <c r="AL2476" s="61"/>
      <c r="AM2476" s="54"/>
      <c r="AN2476" s="54"/>
      <c r="AO2476" s="60"/>
      <c r="AP2476" s="60"/>
      <c r="AQ2476" s="60"/>
      <c r="AR2476" s="60"/>
      <c r="AS2476" s="63"/>
      <c r="AT2476" s="61"/>
      <c r="AU2476" s="54"/>
      <c r="AV2476" s="54"/>
      <c r="AW2476" s="60"/>
      <c r="AX2476" s="60"/>
      <c r="AY2476" s="60"/>
      <c r="AZ2476" s="60"/>
      <c r="BA2476" s="63"/>
      <c r="BB2476" s="61"/>
      <c r="BC2476" s="54"/>
      <c r="BD2476" s="54"/>
      <c r="BE2476" s="60"/>
      <c r="BF2476" s="60"/>
      <c r="BG2476" s="60"/>
      <c r="BH2476" s="60"/>
      <c r="BI2476" s="63"/>
      <c r="BJ2476" s="61"/>
      <c r="BK2476" s="54"/>
      <c r="BL2476" s="54"/>
      <c r="BM2476" s="60"/>
      <c r="BN2476" s="60"/>
      <c r="BO2476" s="60"/>
      <c r="BP2476" s="60"/>
      <c r="BQ2476" s="63"/>
      <c r="BR2476" s="61"/>
      <c r="BS2476" s="54"/>
      <c r="BT2476" s="54"/>
      <c r="BU2476" s="60"/>
      <c r="BV2476" s="60"/>
      <c r="BW2476" s="60"/>
      <c r="BX2476" s="60"/>
      <c r="BY2476" s="63"/>
      <c r="BZ2476" s="61"/>
      <c r="CA2476" s="54"/>
      <c r="CB2476" s="54"/>
      <c r="CC2476" s="60"/>
      <c r="CD2476" s="60"/>
      <c r="CE2476" s="60"/>
      <c r="CF2476" s="60"/>
      <c r="CG2476" s="63"/>
      <c r="CH2476" s="61"/>
      <c r="CI2476" s="54"/>
      <c r="CJ2476" s="54"/>
      <c r="CK2476" s="60"/>
      <c r="CL2476" s="60"/>
      <c r="CM2476" s="60"/>
      <c r="CN2476" s="60"/>
      <c r="CO2476" s="63"/>
      <c r="CP2476" s="61"/>
      <c r="CQ2476" s="54"/>
      <c r="CR2476" s="54"/>
      <c r="CS2476" s="60"/>
      <c r="CT2476" s="60"/>
      <c r="CU2476" s="60"/>
      <c r="CV2476" s="60"/>
      <c r="CW2476" s="63"/>
      <c r="CX2476" s="61"/>
      <c r="CY2476" s="54"/>
      <c r="CZ2476" s="54"/>
      <c r="DA2476" s="60"/>
      <c r="DB2476" s="60"/>
      <c r="DC2476" s="60"/>
      <c r="DD2476" s="60"/>
      <c r="DE2476" s="63"/>
      <c r="DF2476" s="61"/>
      <c r="DG2476" s="54"/>
      <c r="DH2476" s="54"/>
      <c r="DI2476" s="60"/>
      <c r="DJ2476" s="60"/>
      <c r="DK2476" s="60"/>
      <c r="DL2476" s="60"/>
      <c r="DM2476" s="63"/>
      <c r="DN2476" s="61"/>
      <c r="DO2476" s="54"/>
      <c r="DP2476" s="54"/>
      <c r="DQ2476" s="60"/>
      <c r="DR2476" s="60"/>
      <c r="DS2476" s="60"/>
      <c r="DT2476" s="60"/>
      <c r="DU2476" s="63"/>
      <c r="DV2476" s="61"/>
      <c r="DW2476" s="54"/>
      <c r="DX2476" s="54"/>
      <c r="DY2476" s="60"/>
      <c r="DZ2476" s="60"/>
      <c r="EA2476" s="60"/>
      <c r="EB2476" s="60"/>
      <c r="EC2476" s="63"/>
      <c r="ED2476" s="61"/>
      <c r="EE2476" s="54"/>
      <c r="EF2476" s="54"/>
      <c r="EG2476" s="60"/>
      <c r="EH2476" s="60"/>
      <c r="EI2476" s="60"/>
      <c r="EJ2476" s="60"/>
      <c r="EK2476" s="63"/>
      <c r="EL2476" s="61"/>
      <c r="EM2476" s="54"/>
      <c r="EN2476" s="54"/>
      <c r="EO2476" s="60"/>
      <c r="EP2476" s="60"/>
      <c r="EQ2476" s="60"/>
      <c r="ER2476" s="60"/>
      <c r="ES2476" s="63"/>
      <c r="ET2476" s="61"/>
      <c r="EU2476" s="54"/>
      <c r="EV2476" s="54"/>
      <c r="EW2476" s="60"/>
      <c r="EX2476" s="60"/>
      <c r="EY2476" s="60"/>
      <c r="EZ2476" s="60"/>
      <c r="FA2476" s="63"/>
      <c r="FB2476" s="61"/>
      <c r="FC2476" s="54"/>
      <c r="FD2476" s="54"/>
      <c r="FE2476" s="60"/>
      <c r="FF2476" s="60"/>
      <c r="FG2476" s="60"/>
      <c r="FH2476" s="60"/>
      <c r="FI2476" s="63"/>
      <c r="FJ2476" s="61"/>
      <c r="FK2476" s="54"/>
      <c r="FL2476" s="54"/>
      <c r="FM2476" s="60"/>
      <c r="FN2476" s="60"/>
      <c r="FO2476" s="60"/>
      <c r="FP2476" s="60"/>
      <c r="FQ2476" s="63"/>
      <c r="FR2476" s="61"/>
      <c r="FS2476" s="54"/>
      <c r="FT2476" s="54"/>
      <c r="FU2476" s="60"/>
      <c r="FV2476" s="60"/>
      <c r="FW2476" s="60"/>
      <c r="FX2476" s="60"/>
      <c r="FY2476" s="63"/>
      <c r="FZ2476" s="61"/>
      <c r="GA2476" s="54"/>
      <c r="GB2476" s="54"/>
      <c r="GC2476" s="60"/>
      <c r="GD2476" s="60"/>
      <c r="GE2476" s="60"/>
      <c r="GF2476" s="60"/>
      <c r="GG2476" s="63"/>
      <c r="GH2476" s="61"/>
      <c r="GI2476" s="54"/>
      <c r="GJ2476" s="54"/>
      <c r="GK2476" s="60"/>
      <c r="GL2476" s="60"/>
      <c r="GM2476" s="60"/>
      <c r="GN2476" s="60"/>
      <c r="GO2476" s="63"/>
      <c r="GP2476" s="61"/>
      <c r="GQ2476" s="54"/>
      <c r="GR2476" s="54"/>
      <c r="GS2476" s="60"/>
      <c r="GT2476" s="60"/>
      <c r="GU2476" s="60"/>
      <c r="GV2476" s="60"/>
      <c r="GW2476" s="63"/>
      <c r="GX2476" s="61"/>
      <c r="GY2476" s="54"/>
      <c r="GZ2476" s="54"/>
      <c r="HA2476" s="60"/>
      <c r="HB2476" s="60"/>
      <c r="HC2476" s="60"/>
      <c r="HD2476" s="60"/>
      <c r="HE2476" s="63"/>
      <c r="HF2476" s="61"/>
      <c r="HG2476" s="54"/>
      <c r="HH2476" s="54"/>
      <c r="HI2476" s="60"/>
      <c r="HJ2476" s="60"/>
      <c r="HK2476" s="60"/>
      <c r="HL2476" s="60"/>
      <c r="HM2476" s="63"/>
      <c r="HN2476" s="61"/>
      <c r="HO2476" s="54"/>
      <c r="HP2476" s="54"/>
      <c r="HQ2476" s="60"/>
      <c r="HR2476" s="60"/>
      <c r="HS2476" s="60"/>
      <c r="HT2476" s="60"/>
      <c r="HU2476" s="63"/>
      <c r="HV2476" s="61"/>
      <c r="HW2476" s="54"/>
      <c r="HX2476" s="54"/>
      <c r="HY2476" s="60"/>
      <c r="HZ2476" s="60"/>
      <c r="IA2476" s="60"/>
      <c r="IB2476" s="60"/>
      <c r="IC2476" s="63"/>
      <c r="ID2476" s="61"/>
      <c r="IE2476" s="54"/>
      <c r="IF2476" s="54"/>
      <c r="IG2476" s="60"/>
      <c r="IH2476" s="60"/>
      <c r="II2476" s="60"/>
      <c r="IJ2476" s="60"/>
      <c r="IK2476" s="63"/>
      <c r="IL2476" s="61"/>
      <c r="IM2476" s="54"/>
      <c r="IN2476" s="54"/>
      <c r="IO2476" s="60"/>
      <c r="IP2476" s="60"/>
      <c r="IQ2476" s="60"/>
      <c r="IR2476" s="60"/>
      <c r="IS2476" s="63"/>
      <c r="IT2476" s="61"/>
      <c r="IU2476" s="54"/>
      <c r="IV2476" s="54"/>
      <c r="IW2476" s="60"/>
      <c r="IX2476" s="60"/>
      <c r="IY2476" s="60"/>
      <c r="IZ2476" s="60"/>
      <c r="JA2476" s="63"/>
      <c r="JB2476" s="61"/>
      <c r="JC2476" s="54"/>
      <c r="JD2476" s="54"/>
      <c r="JE2476" s="60"/>
      <c r="JF2476" s="60"/>
      <c r="JG2476" s="60"/>
      <c r="JH2476" s="60"/>
      <c r="JI2476" s="63"/>
      <c r="JJ2476" s="61"/>
      <c r="JK2476" s="54"/>
      <c r="JL2476" s="54"/>
      <c r="JM2476" s="60"/>
      <c r="JN2476" s="60"/>
      <c r="JO2476" s="60"/>
      <c r="JP2476" s="60"/>
      <c r="JQ2476" s="63"/>
      <c r="JR2476" s="61"/>
      <c r="JS2476" s="54"/>
      <c r="JT2476" s="54"/>
      <c r="JU2476" s="60"/>
      <c r="JV2476" s="60"/>
      <c r="JW2476" s="60"/>
      <c r="JX2476" s="60"/>
      <c r="JY2476" s="63"/>
      <c r="JZ2476" s="61"/>
      <c r="KA2476" s="54"/>
      <c r="KB2476" s="54"/>
      <c r="KC2476" s="60"/>
      <c r="KD2476" s="60"/>
      <c r="KE2476" s="60"/>
      <c r="KF2476" s="60"/>
      <c r="KG2476" s="63"/>
      <c r="KH2476" s="61"/>
      <c r="KI2476" s="54"/>
      <c r="KJ2476" s="54"/>
      <c r="KK2476" s="60"/>
      <c r="KL2476" s="60"/>
      <c r="KM2476" s="60"/>
      <c r="KN2476" s="60"/>
      <c r="KO2476" s="63"/>
      <c r="KP2476" s="61"/>
      <c r="KQ2476" s="54"/>
      <c r="KR2476" s="54"/>
      <c r="KS2476" s="60"/>
      <c r="KT2476" s="60"/>
      <c r="KU2476" s="60"/>
      <c r="KV2476" s="60"/>
      <c r="KW2476" s="63"/>
      <c r="KX2476" s="61"/>
      <c r="KY2476" s="54"/>
      <c r="KZ2476" s="54"/>
      <c r="LA2476" s="60"/>
      <c r="LB2476" s="60"/>
      <c r="LC2476" s="60"/>
      <c r="LD2476" s="60"/>
      <c r="LE2476" s="63"/>
      <c r="LF2476" s="61"/>
      <c r="LG2476" s="54"/>
      <c r="LH2476" s="54"/>
      <c r="LI2476" s="60"/>
      <c r="LJ2476" s="60"/>
      <c r="LK2476" s="60"/>
      <c r="LL2476" s="60"/>
      <c r="LM2476" s="63"/>
      <c r="LN2476" s="61"/>
      <c r="LO2476" s="54"/>
      <c r="LP2476" s="54"/>
      <c r="LQ2476" s="60"/>
      <c r="LR2476" s="60"/>
      <c r="LS2476" s="60"/>
      <c r="LT2476" s="60"/>
      <c r="LU2476" s="63"/>
      <c r="LV2476" s="61"/>
      <c r="LW2476" s="54"/>
      <c r="LX2476" s="54"/>
      <c r="LY2476" s="60"/>
      <c r="LZ2476" s="60"/>
      <c r="MA2476" s="60"/>
      <c r="MB2476" s="60"/>
      <c r="MC2476" s="63"/>
      <c r="MD2476" s="61"/>
      <c r="ME2476" s="54"/>
      <c r="MF2476" s="54"/>
      <c r="MG2476" s="60"/>
      <c r="MH2476" s="60"/>
      <c r="MI2476" s="60"/>
      <c r="MJ2476" s="60"/>
      <c r="MK2476" s="63"/>
      <c r="ML2476" s="61"/>
      <c r="MM2476" s="54"/>
      <c r="MN2476" s="54"/>
      <c r="MO2476" s="60"/>
      <c r="MP2476" s="60"/>
      <c r="MQ2476" s="60"/>
      <c r="MR2476" s="60"/>
      <c r="MS2476" s="63"/>
      <c r="MT2476" s="61"/>
      <c r="MU2476" s="54"/>
      <c r="MV2476" s="54"/>
      <c r="MW2476" s="60"/>
      <c r="MX2476" s="60"/>
      <c r="MY2476" s="60"/>
      <c r="MZ2476" s="60"/>
      <c r="NA2476" s="63"/>
      <c r="NB2476" s="61"/>
      <c r="NC2476" s="54"/>
      <c r="ND2476" s="54"/>
      <c r="NE2476" s="60"/>
      <c r="NF2476" s="60"/>
      <c r="NG2476" s="60"/>
      <c r="NH2476" s="60"/>
      <c r="NI2476" s="63"/>
      <c r="NJ2476" s="61"/>
      <c r="NK2476" s="54"/>
      <c r="NL2476" s="54"/>
      <c r="NM2476" s="60"/>
      <c r="NN2476" s="60"/>
      <c r="NO2476" s="60"/>
      <c r="NP2476" s="60"/>
      <c r="NQ2476" s="63"/>
      <c r="NR2476" s="61"/>
      <c r="NS2476" s="54"/>
      <c r="NT2476" s="54"/>
      <c r="NU2476" s="60"/>
      <c r="NV2476" s="60"/>
      <c r="NW2476" s="60"/>
      <c r="NX2476" s="60"/>
      <c r="NY2476" s="63"/>
      <c r="NZ2476" s="61"/>
      <c r="OA2476" s="54"/>
      <c r="OB2476" s="54"/>
      <c r="OC2476" s="60"/>
      <c r="OD2476" s="60"/>
      <c r="OE2476" s="60"/>
      <c r="OF2476" s="60"/>
      <c r="OG2476" s="63"/>
      <c r="OH2476" s="61"/>
      <c r="OI2476" s="54"/>
      <c r="OJ2476" s="54"/>
      <c r="OK2476" s="60"/>
      <c r="OL2476" s="60"/>
      <c r="OM2476" s="60"/>
      <c r="ON2476" s="60"/>
      <c r="OO2476" s="63"/>
      <c r="OP2476" s="61"/>
      <c r="OQ2476" s="54"/>
      <c r="OR2476" s="54"/>
      <c r="OS2476" s="60"/>
      <c r="OT2476" s="60"/>
      <c r="OU2476" s="60"/>
      <c r="OV2476" s="60"/>
      <c r="OW2476" s="63"/>
      <c r="OX2476" s="61"/>
      <c r="OY2476" s="54"/>
      <c r="OZ2476" s="54"/>
      <c r="PA2476" s="60"/>
      <c r="PB2476" s="60"/>
      <c r="PC2476" s="60"/>
      <c r="PD2476" s="60"/>
      <c r="PE2476" s="63"/>
      <c r="PF2476" s="61"/>
      <c r="PG2476" s="54"/>
      <c r="PH2476" s="54"/>
      <c r="PI2476" s="60"/>
      <c r="PJ2476" s="60"/>
      <c r="PK2476" s="60"/>
      <c r="PL2476" s="60"/>
      <c r="PM2476" s="63"/>
      <c r="PN2476" s="61"/>
      <c r="PO2476" s="54"/>
      <c r="PP2476" s="54"/>
      <c r="PQ2476" s="60"/>
      <c r="PR2476" s="60"/>
      <c r="PS2476" s="60"/>
      <c r="PT2476" s="60"/>
      <c r="PU2476" s="63"/>
      <c r="PV2476" s="61"/>
      <c r="PW2476" s="54"/>
      <c r="PX2476" s="54"/>
      <c r="PY2476" s="60"/>
      <c r="PZ2476" s="60"/>
      <c r="QA2476" s="60"/>
      <c r="QB2476" s="60"/>
      <c r="QC2476" s="63"/>
      <c r="QD2476" s="61"/>
      <c r="QE2476" s="54"/>
      <c r="QF2476" s="54"/>
      <c r="QG2476" s="60"/>
      <c r="QH2476" s="60"/>
      <c r="QI2476" s="60"/>
      <c r="QJ2476" s="60"/>
      <c r="QK2476" s="63"/>
      <c r="QL2476" s="61"/>
      <c r="QM2476" s="54"/>
      <c r="QN2476" s="54"/>
      <c r="QO2476" s="60"/>
      <c r="QP2476" s="60"/>
      <c r="QQ2476" s="60"/>
      <c r="QR2476" s="60"/>
      <c r="QS2476" s="63"/>
      <c r="QT2476" s="61"/>
      <c r="QU2476" s="54"/>
      <c r="QV2476" s="54"/>
      <c r="QW2476" s="60"/>
      <c r="QX2476" s="60"/>
      <c r="QY2476" s="60"/>
      <c r="QZ2476" s="60"/>
      <c r="RA2476" s="63"/>
      <c r="RB2476" s="61"/>
      <c r="RC2476" s="54"/>
      <c r="RD2476" s="54"/>
      <c r="RE2476" s="60"/>
      <c r="RF2476" s="60"/>
      <c r="RG2476" s="60"/>
      <c r="RH2476" s="60"/>
      <c r="RI2476" s="63"/>
      <c r="RJ2476" s="61"/>
      <c r="RK2476" s="54"/>
      <c r="RL2476" s="54"/>
      <c r="RM2476" s="60"/>
      <c r="RN2476" s="60"/>
      <c r="RO2476" s="60"/>
      <c r="RP2476" s="60"/>
      <c r="RQ2476" s="63"/>
      <c r="RR2476" s="61"/>
      <c r="RS2476" s="54"/>
      <c r="RT2476" s="54"/>
      <c r="RU2476" s="60"/>
      <c r="RV2476" s="60"/>
      <c r="RW2476" s="60"/>
      <c r="RX2476" s="60"/>
      <c r="RY2476" s="63"/>
      <c r="RZ2476" s="61"/>
      <c r="SA2476" s="54"/>
      <c r="SB2476" s="54"/>
      <c r="SC2476" s="60"/>
      <c r="SD2476" s="60"/>
      <c r="SE2476" s="60"/>
      <c r="SF2476" s="60"/>
      <c r="SG2476" s="63"/>
      <c r="SH2476" s="61"/>
      <c r="SI2476" s="54"/>
      <c r="SJ2476" s="54"/>
      <c r="SK2476" s="60"/>
      <c r="SL2476" s="60"/>
      <c r="SM2476" s="60"/>
      <c r="SN2476" s="60"/>
      <c r="SO2476" s="63"/>
      <c r="SP2476" s="61"/>
      <c r="SQ2476" s="54"/>
      <c r="SR2476" s="54"/>
      <c r="SS2476" s="60"/>
      <c r="ST2476" s="60"/>
      <c r="SU2476" s="60"/>
      <c r="SV2476" s="60"/>
      <c r="SW2476" s="63"/>
      <c r="SX2476" s="61"/>
      <c r="SY2476" s="54"/>
      <c r="SZ2476" s="54"/>
      <c r="TA2476" s="60"/>
      <c r="TB2476" s="60"/>
      <c r="TC2476" s="60"/>
      <c r="TD2476" s="60"/>
      <c r="TE2476" s="63"/>
      <c r="TF2476" s="61"/>
      <c r="TG2476" s="54"/>
      <c r="TH2476" s="54"/>
      <c r="TI2476" s="60"/>
      <c r="TJ2476" s="60"/>
      <c r="TK2476" s="60"/>
      <c r="TL2476" s="60"/>
      <c r="TM2476" s="63"/>
      <c r="TN2476" s="61"/>
      <c r="TO2476" s="54"/>
      <c r="TP2476" s="54"/>
      <c r="TQ2476" s="60"/>
      <c r="TR2476" s="60"/>
      <c r="TS2476" s="60"/>
      <c r="TT2476" s="60"/>
      <c r="TU2476" s="63"/>
      <c r="TV2476" s="61"/>
      <c r="TW2476" s="54"/>
      <c r="TX2476" s="54"/>
      <c r="TY2476" s="60"/>
      <c r="TZ2476" s="60"/>
      <c r="UA2476" s="60"/>
      <c r="UB2476" s="60"/>
      <c r="UC2476" s="63"/>
      <c r="UD2476" s="61"/>
      <c r="UE2476" s="54"/>
      <c r="UF2476" s="54"/>
      <c r="UG2476" s="60"/>
      <c r="UH2476" s="60"/>
      <c r="UI2476" s="60"/>
      <c r="UJ2476" s="60"/>
      <c r="UK2476" s="63"/>
      <c r="UL2476" s="61"/>
      <c r="UM2476" s="54"/>
      <c r="UN2476" s="54"/>
      <c r="UO2476" s="60"/>
      <c r="UP2476" s="60"/>
      <c r="UQ2476" s="60"/>
      <c r="UR2476" s="60"/>
      <c r="US2476" s="63"/>
      <c r="UT2476" s="61"/>
      <c r="UU2476" s="54"/>
      <c r="UV2476" s="54"/>
      <c r="UW2476" s="60"/>
      <c r="UX2476" s="60"/>
      <c r="UY2476" s="60"/>
      <c r="UZ2476" s="60"/>
      <c r="VA2476" s="63"/>
      <c r="VB2476" s="61"/>
      <c r="VC2476" s="54"/>
      <c r="VD2476" s="54"/>
      <c r="VE2476" s="60"/>
      <c r="VF2476" s="60"/>
      <c r="VG2476" s="60"/>
      <c r="VH2476" s="60"/>
      <c r="VI2476" s="63"/>
      <c r="VJ2476" s="61"/>
      <c r="VK2476" s="54"/>
      <c r="VL2476" s="54"/>
      <c r="VM2476" s="60"/>
      <c r="VN2476" s="60"/>
      <c r="VO2476" s="60"/>
      <c r="VP2476" s="60"/>
      <c r="VQ2476" s="63"/>
      <c r="VR2476" s="61"/>
      <c r="VS2476" s="54"/>
      <c r="VT2476" s="54"/>
      <c r="VU2476" s="60"/>
      <c r="VV2476" s="60"/>
      <c r="VW2476" s="60"/>
      <c r="VX2476" s="60"/>
      <c r="VY2476" s="63"/>
      <c r="VZ2476" s="61"/>
      <c r="WA2476" s="54"/>
      <c r="WB2476" s="54"/>
      <c r="WC2476" s="60"/>
      <c r="WD2476" s="60"/>
      <c r="WE2476" s="60"/>
      <c r="WF2476" s="60"/>
      <c r="WG2476" s="63"/>
      <c r="WH2476" s="61"/>
      <c r="WI2476" s="54"/>
      <c r="WJ2476" s="54"/>
      <c r="WK2476" s="60"/>
      <c r="WL2476" s="60"/>
      <c r="WM2476" s="60"/>
      <c r="WN2476" s="60"/>
      <c r="WO2476" s="63"/>
      <c r="WP2476" s="61"/>
      <c r="WQ2476" s="54"/>
      <c r="WR2476" s="54"/>
      <c r="WS2476" s="60"/>
      <c r="WT2476" s="60"/>
      <c r="WU2476" s="60"/>
      <c r="WV2476" s="60"/>
      <c r="WW2476" s="63"/>
      <c r="WX2476" s="61"/>
      <c r="WY2476" s="54"/>
      <c r="WZ2476" s="54"/>
      <c r="XA2476" s="60"/>
      <c r="XB2476" s="60"/>
      <c r="XC2476" s="60"/>
      <c r="XD2476" s="60"/>
      <c r="XE2476" s="63"/>
      <c r="XF2476" s="61"/>
      <c r="XG2476" s="54"/>
      <c r="XH2476" s="54"/>
      <c r="XI2476" s="60"/>
      <c r="XJ2476" s="60"/>
      <c r="XK2476" s="60"/>
      <c r="XL2476" s="60"/>
      <c r="XM2476" s="63"/>
      <c r="XN2476" s="61"/>
      <c r="XO2476" s="54"/>
      <c r="XP2476" s="54"/>
      <c r="XQ2476" s="60"/>
      <c r="XR2476" s="60"/>
      <c r="XS2476" s="60"/>
      <c r="XT2476" s="60"/>
      <c r="XU2476" s="63"/>
      <c r="XV2476" s="61"/>
      <c r="XW2476" s="54"/>
      <c r="XX2476" s="54"/>
      <c r="XY2476" s="60"/>
      <c r="XZ2476" s="60"/>
      <c r="YA2476" s="60"/>
      <c r="YB2476" s="60"/>
      <c r="YC2476" s="63"/>
      <c r="YD2476" s="61"/>
      <c r="YE2476" s="54"/>
      <c r="YF2476" s="54"/>
      <c r="YG2476" s="60"/>
      <c r="YH2476" s="60"/>
      <c r="YI2476" s="60"/>
      <c r="YJ2476" s="60"/>
      <c r="YK2476" s="63"/>
      <c r="YL2476" s="61"/>
      <c r="YM2476" s="54"/>
      <c r="YN2476" s="54"/>
      <c r="YO2476" s="60"/>
      <c r="YP2476" s="60"/>
      <c r="YQ2476" s="60"/>
      <c r="YR2476" s="60"/>
      <c r="YS2476" s="63"/>
      <c r="YT2476" s="61"/>
      <c r="YU2476" s="54"/>
      <c r="YV2476" s="54"/>
      <c r="YW2476" s="60"/>
      <c r="YX2476" s="60"/>
      <c r="YY2476" s="60"/>
      <c r="YZ2476" s="60"/>
      <c r="ZA2476" s="63"/>
      <c r="ZB2476" s="61"/>
      <c r="ZC2476" s="54"/>
      <c r="ZD2476" s="54"/>
      <c r="ZE2476" s="60"/>
      <c r="ZF2476" s="60"/>
      <c r="ZG2476" s="60"/>
      <c r="ZH2476" s="60"/>
      <c r="ZI2476" s="63"/>
      <c r="ZJ2476" s="61"/>
      <c r="ZK2476" s="54"/>
      <c r="ZL2476" s="54"/>
      <c r="ZM2476" s="60"/>
      <c r="ZN2476" s="60"/>
      <c r="ZO2476" s="60"/>
      <c r="ZP2476" s="60"/>
      <c r="ZQ2476" s="63"/>
      <c r="ZR2476" s="61"/>
      <c r="ZS2476" s="54"/>
      <c r="ZT2476" s="54"/>
      <c r="ZU2476" s="60"/>
      <c r="ZV2476" s="60"/>
      <c r="ZW2476" s="60"/>
      <c r="ZX2476" s="60"/>
      <c r="ZY2476" s="63"/>
      <c r="ZZ2476" s="61"/>
      <c r="AAA2476" s="54"/>
      <c r="AAB2476" s="54"/>
      <c r="AAC2476" s="60"/>
      <c r="AAD2476" s="60"/>
      <c r="AAE2476" s="60"/>
      <c r="AAF2476" s="60"/>
      <c r="AAG2476" s="63"/>
      <c r="AAH2476" s="61"/>
      <c r="AAI2476" s="54"/>
      <c r="AAJ2476" s="54"/>
      <c r="AAK2476" s="60"/>
      <c r="AAL2476" s="60"/>
      <c r="AAM2476" s="60"/>
      <c r="AAN2476" s="60"/>
      <c r="AAO2476" s="63"/>
      <c r="AAP2476" s="61"/>
      <c r="AAQ2476" s="54"/>
      <c r="AAR2476" s="54"/>
      <c r="AAS2476" s="60"/>
      <c r="AAT2476" s="60"/>
      <c r="AAU2476" s="60"/>
      <c r="AAV2476" s="60"/>
      <c r="AAW2476" s="63"/>
      <c r="AAX2476" s="61"/>
      <c r="AAY2476" s="54"/>
      <c r="AAZ2476" s="54"/>
      <c r="ABA2476" s="60"/>
      <c r="ABB2476" s="60"/>
      <c r="ABC2476" s="60"/>
      <c r="ABD2476" s="60"/>
      <c r="ABE2476" s="63"/>
      <c r="ABF2476" s="61"/>
      <c r="ABG2476" s="54"/>
      <c r="ABH2476" s="54"/>
      <c r="ABI2476" s="60"/>
      <c r="ABJ2476" s="60"/>
      <c r="ABK2476" s="60"/>
      <c r="ABL2476" s="60"/>
      <c r="ABM2476" s="63"/>
      <c r="ABN2476" s="61"/>
      <c r="ABO2476" s="54"/>
      <c r="ABP2476" s="54"/>
      <c r="ABQ2476" s="60"/>
      <c r="ABR2476" s="60"/>
      <c r="ABS2476" s="60"/>
      <c r="ABT2476" s="60"/>
      <c r="ABU2476" s="63"/>
      <c r="ABV2476" s="61"/>
      <c r="ABW2476" s="54"/>
      <c r="ABX2476" s="54"/>
      <c r="ABY2476" s="60"/>
      <c r="ABZ2476" s="60"/>
      <c r="ACA2476" s="60"/>
      <c r="ACB2476" s="60"/>
      <c r="ACC2476" s="63"/>
      <c r="ACD2476" s="61"/>
      <c r="ACE2476" s="54"/>
      <c r="ACF2476" s="54"/>
      <c r="ACG2476" s="60"/>
      <c r="ACH2476" s="60"/>
      <c r="ACI2476" s="60"/>
      <c r="ACJ2476" s="60"/>
      <c r="ACK2476" s="63"/>
      <c r="ACL2476" s="61"/>
      <c r="ACM2476" s="54"/>
      <c r="ACN2476" s="54"/>
      <c r="ACO2476" s="60"/>
      <c r="ACP2476" s="60"/>
      <c r="ACQ2476" s="60"/>
      <c r="ACR2476" s="60"/>
      <c r="ACS2476" s="63"/>
      <c r="ACT2476" s="61"/>
      <c r="ACU2476" s="54"/>
      <c r="ACV2476" s="54"/>
      <c r="ACW2476" s="60"/>
      <c r="ACX2476" s="60"/>
      <c r="ACY2476" s="60"/>
      <c r="ACZ2476" s="60"/>
      <c r="ADA2476" s="63"/>
      <c r="ADB2476" s="61"/>
      <c r="ADC2476" s="54"/>
      <c r="ADD2476" s="54"/>
      <c r="ADE2476" s="60"/>
      <c r="ADF2476" s="60"/>
      <c r="ADG2476" s="60"/>
      <c r="ADH2476" s="60"/>
      <c r="ADI2476" s="63"/>
      <c r="ADJ2476" s="61"/>
      <c r="ADK2476" s="54"/>
      <c r="ADL2476" s="54"/>
      <c r="ADM2476" s="60"/>
      <c r="ADN2476" s="60"/>
      <c r="ADO2476" s="60"/>
      <c r="ADP2476" s="60"/>
      <c r="ADQ2476" s="63"/>
      <c r="ADR2476" s="61"/>
      <c r="ADS2476" s="54"/>
      <c r="ADT2476" s="54"/>
      <c r="ADU2476" s="60"/>
      <c r="ADV2476" s="60"/>
      <c r="ADW2476" s="60"/>
      <c r="ADX2476" s="60"/>
      <c r="ADY2476" s="63"/>
      <c r="ADZ2476" s="61"/>
      <c r="AEA2476" s="54"/>
      <c r="AEB2476" s="54"/>
      <c r="AEC2476" s="60"/>
      <c r="AED2476" s="60"/>
      <c r="AEE2476" s="60"/>
      <c r="AEF2476" s="60"/>
      <c r="AEG2476" s="63"/>
      <c r="AEH2476" s="61"/>
      <c r="AEI2476" s="54"/>
      <c r="AEJ2476" s="54"/>
      <c r="AEK2476" s="60"/>
      <c r="AEL2476" s="60"/>
      <c r="AEM2476" s="60"/>
      <c r="AEN2476" s="60"/>
      <c r="AEO2476" s="63"/>
      <c r="AEP2476" s="61"/>
      <c r="AEQ2476" s="54"/>
      <c r="AER2476" s="54"/>
      <c r="AES2476" s="60"/>
      <c r="AET2476" s="60"/>
      <c r="AEU2476" s="60"/>
      <c r="AEV2476" s="60"/>
      <c r="AEW2476" s="63"/>
      <c r="AEX2476" s="61"/>
      <c r="AEY2476" s="54"/>
      <c r="AEZ2476" s="54"/>
      <c r="AFA2476" s="60"/>
      <c r="AFB2476" s="60"/>
      <c r="AFC2476" s="60"/>
      <c r="AFD2476" s="60"/>
      <c r="AFE2476" s="63"/>
      <c r="AFF2476" s="61"/>
      <c r="AFG2476" s="54"/>
      <c r="AFH2476" s="54"/>
      <c r="AFI2476" s="60"/>
      <c r="AFJ2476" s="60"/>
      <c r="AFK2476" s="60"/>
      <c r="AFL2476" s="60"/>
      <c r="AFM2476" s="63"/>
      <c r="AFN2476" s="61"/>
      <c r="AFO2476" s="54"/>
      <c r="AFP2476" s="54"/>
      <c r="AFQ2476" s="60"/>
      <c r="AFR2476" s="60"/>
      <c r="AFS2476" s="60"/>
      <c r="AFT2476" s="60"/>
      <c r="AFU2476" s="63"/>
      <c r="AFV2476" s="61"/>
      <c r="AFW2476" s="54"/>
      <c r="AFX2476" s="54"/>
      <c r="AFY2476" s="60"/>
      <c r="AFZ2476" s="60"/>
      <c r="AGA2476" s="60"/>
      <c r="AGB2476" s="60"/>
      <c r="AGC2476" s="63"/>
      <c r="AGD2476" s="61"/>
      <c r="AGE2476" s="54"/>
      <c r="AGF2476" s="54"/>
      <c r="AGG2476" s="60"/>
      <c r="AGH2476" s="60"/>
      <c r="AGI2476" s="60"/>
      <c r="AGJ2476" s="60"/>
      <c r="AGK2476" s="63"/>
      <c r="AGL2476" s="61"/>
      <c r="AGM2476" s="54"/>
      <c r="AGN2476" s="54"/>
      <c r="AGO2476" s="60"/>
      <c r="AGP2476" s="60"/>
      <c r="AGQ2476" s="60"/>
      <c r="AGR2476" s="60"/>
      <c r="AGS2476" s="63"/>
      <c r="AGT2476" s="61"/>
      <c r="AGU2476" s="54"/>
      <c r="AGV2476" s="54"/>
      <c r="AGW2476" s="60"/>
      <c r="AGX2476" s="60"/>
      <c r="AGY2476" s="60"/>
      <c r="AGZ2476" s="60"/>
      <c r="AHA2476" s="63"/>
      <c r="AHB2476" s="61"/>
      <c r="AHC2476" s="54"/>
      <c r="AHD2476" s="54"/>
      <c r="AHE2476" s="60"/>
      <c r="AHF2476" s="60"/>
      <c r="AHG2476" s="60"/>
      <c r="AHH2476" s="60"/>
      <c r="AHI2476" s="63"/>
      <c r="AHJ2476" s="61"/>
      <c r="AHK2476" s="54"/>
      <c r="AHL2476" s="54"/>
      <c r="AHM2476" s="60"/>
      <c r="AHN2476" s="60"/>
      <c r="AHO2476" s="60"/>
      <c r="AHP2476" s="60"/>
      <c r="AHQ2476" s="63"/>
      <c r="AHR2476" s="61"/>
      <c r="AHS2476" s="54"/>
      <c r="AHT2476" s="54"/>
      <c r="AHU2476" s="60"/>
      <c r="AHV2476" s="60"/>
      <c r="AHW2476" s="60"/>
      <c r="AHX2476" s="60"/>
      <c r="AHY2476" s="63"/>
      <c r="AHZ2476" s="61"/>
      <c r="AIA2476" s="54"/>
      <c r="AIB2476" s="54"/>
      <c r="AIC2476" s="60"/>
      <c r="AID2476" s="60"/>
      <c r="AIE2476" s="60"/>
      <c r="AIF2476" s="60"/>
      <c r="AIG2476" s="63"/>
      <c r="AIH2476" s="61"/>
      <c r="AII2476" s="54"/>
      <c r="AIJ2476" s="54"/>
      <c r="AIK2476" s="60"/>
      <c r="AIL2476" s="60"/>
      <c r="AIM2476" s="60"/>
      <c r="AIN2476" s="60"/>
      <c r="AIO2476" s="63"/>
      <c r="AIP2476" s="61"/>
      <c r="AIQ2476" s="54"/>
      <c r="AIR2476" s="54"/>
      <c r="AIS2476" s="60"/>
      <c r="AIT2476" s="60"/>
      <c r="AIU2476" s="60"/>
      <c r="AIV2476" s="60"/>
      <c r="AIW2476" s="63"/>
      <c r="AIX2476" s="61"/>
      <c r="AIY2476" s="54"/>
      <c r="AIZ2476" s="54"/>
      <c r="AJA2476" s="60"/>
      <c r="AJB2476" s="60"/>
      <c r="AJC2476" s="60"/>
      <c r="AJD2476" s="60"/>
      <c r="AJE2476" s="63"/>
      <c r="AJF2476" s="61"/>
      <c r="AJG2476" s="54"/>
      <c r="AJH2476" s="54"/>
      <c r="AJI2476" s="60"/>
      <c r="AJJ2476" s="60"/>
      <c r="AJK2476" s="60"/>
      <c r="AJL2476" s="60"/>
      <c r="AJM2476" s="63"/>
      <c r="AJN2476" s="61"/>
      <c r="AJO2476" s="54"/>
      <c r="AJP2476" s="54"/>
      <c r="AJQ2476" s="60"/>
      <c r="AJR2476" s="60"/>
      <c r="AJS2476" s="60"/>
      <c r="AJT2476" s="60"/>
      <c r="AJU2476" s="63"/>
      <c r="AJV2476" s="61"/>
      <c r="AJW2476" s="54"/>
      <c r="AJX2476" s="54"/>
      <c r="AJY2476" s="60"/>
      <c r="AJZ2476" s="60"/>
      <c r="AKA2476" s="60"/>
      <c r="AKB2476" s="60"/>
      <c r="AKC2476" s="63"/>
      <c r="AKD2476" s="61"/>
      <c r="AKE2476" s="54"/>
      <c r="AKF2476" s="54"/>
      <c r="AKG2476" s="60"/>
      <c r="AKH2476" s="60"/>
      <c r="AKI2476" s="60"/>
      <c r="AKJ2476" s="60"/>
      <c r="AKK2476" s="63"/>
      <c r="AKL2476" s="61"/>
      <c r="AKM2476" s="54"/>
      <c r="AKN2476" s="54"/>
      <c r="AKO2476" s="60"/>
      <c r="AKP2476" s="60"/>
      <c r="AKQ2476" s="60"/>
      <c r="AKR2476" s="60"/>
      <c r="AKS2476" s="63"/>
      <c r="AKT2476" s="61"/>
      <c r="AKU2476" s="54"/>
      <c r="AKV2476" s="54"/>
      <c r="AKW2476" s="60"/>
      <c r="AKX2476" s="60"/>
      <c r="AKY2476" s="60"/>
      <c r="AKZ2476" s="60"/>
      <c r="ALA2476" s="63"/>
      <c r="ALB2476" s="61"/>
      <c r="ALC2476" s="54"/>
      <c r="ALD2476" s="54"/>
      <c r="ALE2476" s="60"/>
      <c r="ALF2476" s="60"/>
      <c r="ALG2476" s="60"/>
      <c r="ALH2476" s="60"/>
      <c r="ALI2476" s="63"/>
      <c r="ALJ2476" s="61"/>
      <c r="ALK2476" s="54"/>
      <c r="ALL2476" s="54"/>
      <c r="ALM2476" s="60"/>
      <c r="ALN2476" s="60"/>
      <c r="ALO2476" s="60"/>
      <c r="ALP2476" s="60"/>
      <c r="ALQ2476" s="63"/>
      <c r="ALR2476" s="61"/>
      <c r="ALS2476" s="54"/>
      <c r="ALT2476" s="54"/>
      <c r="ALU2476" s="60"/>
      <c r="ALV2476" s="60"/>
      <c r="ALW2476" s="60"/>
      <c r="ALX2476" s="60"/>
      <c r="ALY2476" s="63"/>
      <c r="ALZ2476" s="61"/>
      <c r="AMA2476" s="54"/>
      <c r="AMB2476" s="54"/>
      <c r="AMC2476" s="60"/>
      <c r="AMD2476" s="60"/>
      <c r="AME2476" s="60"/>
      <c r="AMF2476" s="60"/>
      <c r="AMG2476" s="63"/>
      <c r="AMH2476" s="61"/>
      <c r="AMI2476" s="54"/>
      <c r="AMJ2476" s="54"/>
      <c r="AMK2476" s="60"/>
      <c r="AML2476" s="60"/>
      <c r="AMM2476" s="60"/>
      <c r="AMN2476" s="60"/>
      <c r="AMO2476" s="63"/>
      <c r="AMP2476" s="61"/>
      <c r="AMQ2476" s="54"/>
      <c r="AMR2476" s="54"/>
      <c r="AMS2476" s="60"/>
      <c r="AMT2476" s="60"/>
      <c r="AMU2476" s="60"/>
      <c r="AMV2476" s="60"/>
      <c r="AMW2476" s="63"/>
      <c r="AMX2476" s="61"/>
      <c r="AMY2476" s="54"/>
      <c r="AMZ2476" s="54"/>
      <c r="ANA2476" s="60"/>
      <c r="ANB2476" s="60"/>
      <c r="ANC2476" s="60"/>
      <c r="AND2476" s="60"/>
      <c r="ANE2476" s="63"/>
      <c r="ANF2476" s="61"/>
      <c r="ANG2476" s="54"/>
      <c r="ANH2476" s="54"/>
      <c r="ANI2476" s="60"/>
      <c r="ANJ2476" s="60"/>
      <c r="ANK2476" s="60"/>
      <c r="ANL2476" s="60"/>
      <c r="ANM2476" s="63"/>
      <c r="ANN2476" s="61"/>
      <c r="ANO2476" s="54"/>
      <c r="ANP2476" s="54"/>
      <c r="ANQ2476" s="60"/>
      <c r="ANR2476" s="60"/>
      <c r="ANS2476" s="60"/>
      <c r="ANT2476" s="60"/>
      <c r="ANU2476" s="63"/>
      <c r="ANV2476" s="61"/>
      <c r="ANW2476" s="54"/>
      <c r="ANX2476" s="54"/>
      <c r="ANY2476" s="60"/>
      <c r="ANZ2476" s="60"/>
      <c r="AOA2476" s="60"/>
      <c r="AOB2476" s="60"/>
      <c r="AOC2476" s="63"/>
      <c r="AOD2476" s="61"/>
      <c r="AOE2476" s="54"/>
      <c r="AOF2476" s="54"/>
      <c r="AOG2476" s="60"/>
      <c r="AOH2476" s="60"/>
      <c r="AOI2476" s="60"/>
      <c r="AOJ2476" s="60"/>
      <c r="AOK2476" s="63"/>
      <c r="AOL2476" s="61"/>
      <c r="AOM2476" s="54"/>
      <c r="AON2476" s="54"/>
      <c r="AOO2476" s="60"/>
      <c r="AOP2476" s="60"/>
      <c r="AOQ2476" s="60"/>
      <c r="AOR2476" s="60"/>
      <c r="AOS2476" s="63"/>
      <c r="AOT2476" s="61"/>
      <c r="AOU2476" s="54"/>
      <c r="AOV2476" s="54"/>
      <c r="AOW2476" s="60"/>
      <c r="AOX2476" s="60"/>
      <c r="AOY2476" s="60"/>
      <c r="AOZ2476" s="60"/>
      <c r="APA2476" s="63"/>
      <c r="APB2476" s="61"/>
      <c r="APC2476" s="54"/>
      <c r="APD2476" s="54"/>
      <c r="APE2476" s="60"/>
      <c r="APF2476" s="60"/>
      <c r="APG2476" s="60"/>
      <c r="APH2476" s="60"/>
      <c r="API2476" s="63"/>
      <c r="APJ2476" s="61"/>
      <c r="APK2476" s="54"/>
      <c r="APL2476" s="54"/>
      <c r="APM2476" s="60"/>
      <c r="APN2476" s="60"/>
      <c r="APO2476" s="60"/>
      <c r="APP2476" s="60"/>
      <c r="APQ2476" s="63"/>
      <c r="APR2476" s="61"/>
      <c r="APS2476" s="54"/>
      <c r="APT2476" s="54"/>
      <c r="APU2476" s="60"/>
      <c r="APV2476" s="60"/>
      <c r="APW2476" s="60"/>
      <c r="APX2476" s="60"/>
      <c r="APY2476" s="63"/>
      <c r="APZ2476" s="61"/>
      <c r="AQA2476" s="54"/>
      <c r="AQB2476" s="54"/>
      <c r="AQC2476" s="60"/>
      <c r="AQD2476" s="60"/>
      <c r="AQE2476" s="60"/>
      <c r="AQF2476" s="60"/>
      <c r="AQG2476" s="63"/>
      <c r="AQH2476" s="61"/>
      <c r="AQI2476" s="54"/>
      <c r="AQJ2476" s="54"/>
      <c r="AQK2476" s="60"/>
      <c r="AQL2476" s="60"/>
      <c r="AQM2476" s="60"/>
      <c r="AQN2476" s="60"/>
      <c r="AQO2476" s="63"/>
      <c r="AQP2476" s="61"/>
      <c r="AQQ2476" s="54"/>
      <c r="AQR2476" s="54"/>
      <c r="AQS2476" s="60"/>
      <c r="AQT2476" s="60"/>
      <c r="AQU2476" s="60"/>
      <c r="AQV2476" s="60"/>
      <c r="AQW2476" s="63"/>
      <c r="AQX2476" s="61"/>
      <c r="AQY2476" s="54"/>
      <c r="AQZ2476" s="54"/>
      <c r="ARA2476" s="60"/>
      <c r="ARB2476" s="60"/>
      <c r="ARC2476" s="60"/>
      <c r="ARD2476" s="60"/>
      <c r="ARE2476" s="63"/>
      <c r="ARF2476" s="61"/>
      <c r="ARG2476" s="54"/>
      <c r="ARH2476" s="54"/>
      <c r="ARI2476" s="60"/>
      <c r="ARJ2476" s="60"/>
      <c r="ARK2476" s="60"/>
      <c r="ARL2476" s="60"/>
      <c r="ARM2476" s="63"/>
      <c r="ARN2476" s="61"/>
      <c r="ARO2476" s="54"/>
      <c r="ARP2476" s="54"/>
      <c r="ARQ2476" s="60"/>
      <c r="ARR2476" s="60"/>
      <c r="ARS2476" s="60"/>
      <c r="ART2476" s="60"/>
      <c r="ARU2476" s="63"/>
      <c r="ARV2476" s="61"/>
      <c r="ARW2476" s="54"/>
      <c r="ARX2476" s="54"/>
      <c r="ARY2476" s="60"/>
      <c r="ARZ2476" s="60"/>
      <c r="ASA2476" s="60"/>
      <c r="ASB2476" s="60"/>
      <c r="ASC2476" s="63"/>
      <c r="ASD2476" s="61"/>
      <c r="ASE2476" s="54"/>
      <c r="ASF2476" s="54"/>
      <c r="ASG2476" s="60"/>
      <c r="ASH2476" s="60"/>
      <c r="ASI2476" s="60"/>
      <c r="ASJ2476" s="60"/>
      <c r="ASK2476" s="63"/>
      <c r="ASL2476" s="61"/>
      <c r="ASM2476" s="54"/>
      <c r="ASN2476" s="54"/>
      <c r="ASO2476" s="60"/>
      <c r="ASP2476" s="60"/>
      <c r="ASQ2476" s="60"/>
      <c r="ASR2476" s="60"/>
      <c r="ASS2476" s="63"/>
      <c r="AST2476" s="61"/>
      <c r="ASU2476" s="54"/>
      <c r="ASV2476" s="54"/>
      <c r="ASW2476" s="60"/>
      <c r="ASX2476" s="60"/>
      <c r="ASY2476" s="60"/>
      <c r="ASZ2476" s="60"/>
      <c r="ATA2476" s="63"/>
      <c r="ATB2476" s="61"/>
      <c r="ATC2476" s="54"/>
      <c r="ATD2476" s="54"/>
      <c r="ATE2476" s="60"/>
      <c r="ATF2476" s="60"/>
      <c r="ATG2476" s="60"/>
      <c r="ATH2476" s="60"/>
      <c r="ATI2476" s="63"/>
      <c r="ATJ2476" s="61"/>
      <c r="ATK2476" s="54"/>
      <c r="ATL2476" s="54"/>
      <c r="ATM2476" s="60"/>
      <c r="ATN2476" s="60"/>
      <c r="ATO2476" s="60"/>
      <c r="ATP2476" s="60"/>
      <c r="ATQ2476" s="63"/>
      <c r="ATR2476" s="61"/>
      <c r="ATS2476" s="54"/>
      <c r="ATT2476" s="54"/>
      <c r="ATU2476" s="60"/>
      <c r="ATV2476" s="60"/>
      <c r="ATW2476" s="60"/>
      <c r="ATX2476" s="60"/>
      <c r="ATY2476" s="63"/>
      <c r="ATZ2476" s="61"/>
      <c r="AUA2476" s="54"/>
      <c r="AUB2476" s="54"/>
      <c r="AUC2476" s="60"/>
      <c r="AUD2476" s="60"/>
      <c r="AUE2476" s="60"/>
      <c r="AUF2476" s="60"/>
      <c r="AUG2476" s="63"/>
      <c r="AUH2476" s="61"/>
      <c r="AUI2476" s="54"/>
      <c r="AUJ2476" s="54"/>
      <c r="AUK2476" s="60"/>
      <c r="AUL2476" s="60"/>
      <c r="AUM2476" s="60"/>
      <c r="AUN2476" s="60"/>
      <c r="AUO2476" s="63"/>
      <c r="AUP2476" s="61"/>
      <c r="AUQ2476" s="54"/>
      <c r="AUR2476" s="54"/>
      <c r="AUS2476" s="60"/>
      <c r="AUT2476" s="60"/>
      <c r="AUU2476" s="60"/>
      <c r="AUV2476" s="60"/>
      <c r="AUW2476" s="63"/>
      <c r="AUX2476" s="61"/>
      <c r="AUY2476" s="54"/>
      <c r="AUZ2476" s="54"/>
      <c r="AVA2476" s="60"/>
      <c r="AVB2476" s="60"/>
      <c r="AVC2476" s="60"/>
      <c r="AVD2476" s="60"/>
      <c r="AVE2476" s="63"/>
      <c r="AVF2476" s="61"/>
      <c r="AVG2476" s="54"/>
      <c r="AVH2476" s="54"/>
      <c r="AVI2476" s="60"/>
      <c r="AVJ2476" s="60"/>
      <c r="AVK2476" s="60"/>
      <c r="AVL2476" s="60"/>
      <c r="AVM2476" s="63"/>
      <c r="AVN2476" s="61"/>
      <c r="AVO2476" s="54"/>
      <c r="AVP2476" s="54"/>
      <c r="AVQ2476" s="60"/>
      <c r="AVR2476" s="60"/>
      <c r="AVS2476" s="60"/>
      <c r="AVT2476" s="60"/>
      <c r="AVU2476" s="63"/>
      <c r="AVV2476" s="61"/>
      <c r="AVW2476" s="54"/>
      <c r="AVX2476" s="54"/>
      <c r="AVY2476" s="60"/>
      <c r="AVZ2476" s="60"/>
      <c r="AWA2476" s="60"/>
      <c r="AWB2476" s="60"/>
      <c r="AWC2476" s="63"/>
      <c r="AWD2476" s="61"/>
      <c r="AWE2476" s="54"/>
      <c r="AWF2476" s="54"/>
      <c r="AWG2476" s="60"/>
      <c r="AWH2476" s="60"/>
      <c r="AWI2476" s="60"/>
      <c r="AWJ2476" s="60"/>
      <c r="AWK2476" s="63"/>
      <c r="AWL2476" s="61"/>
      <c r="AWM2476" s="54"/>
      <c r="AWN2476" s="54"/>
      <c r="AWO2476" s="60"/>
      <c r="AWP2476" s="60"/>
      <c r="AWQ2476" s="60"/>
      <c r="AWR2476" s="60"/>
      <c r="AWS2476" s="63"/>
      <c r="AWT2476" s="61"/>
      <c r="AWU2476" s="54"/>
      <c r="AWV2476" s="54"/>
      <c r="AWW2476" s="60"/>
      <c r="AWX2476" s="60"/>
      <c r="AWY2476" s="60"/>
      <c r="AWZ2476" s="60"/>
      <c r="AXA2476" s="63"/>
      <c r="AXB2476" s="61"/>
      <c r="AXC2476" s="54"/>
      <c r="AXD2476" s="54"/>
      <c r="AXE2476" s="60"/>
      <c r="AXF2476" s="60"/>
      <c r="AXG2476" s="60"/>
      <c r="AXH2476" s="60"/>
      <c r="AXI2476" s="63"/>
      <c r="AXJ2476" s="61"/>
      <c r="AXK2476" s="54"/>
      <c r="AXL2476" s="54"/>
      <c r="AXM2476" s="60"/>
      <c r="AXN2476" s="60"/>
      <c r="AXO2476" s="60"/>
      <c r="AXP2476" s="60"/>
      <c r="AXQ2476" s="63"/>
      <c r="AXR2476" s="61"/>
      <c r="AXS2476" s="54"/>
      <c r="AXT2476" s="54"/>
      <c r="AXU2476" s="60"/>
      <c r="AXV2476" s="60"/>
      <c r="AXW2476" s="60"/>
      <c r="AXX2476" s="60"/>
      <c r="AXY2476" s="63"/>
      <c r="AXZ2476" s="61"/>
      <c r="AYA2476" s="54"/>
      <c r="AYB2476" s="54"/>
      <c r="AYC2476" s="60"/>
      <c r="AYD2476" s="60"/>
      <c r="AYE2476" s="60"/>
      <c r="AYF2476" s="60"/>
      <c r="AYG2476" s="63"/>
      <c r="AYH2476" s="61"/>
      <c r="AYI2476" s="54"/>
      <c r="AYJ2476" s="54"/>
      <c r="AYK2476" s="60"/>
      <c r="AYL2476" s="60"/>
      <c r="AYM2476" s="60"/>
      <c r="AYN2476" s="60"/>
      <c r="AYO2476" s="63"/>
      <c r="AYP2476" s="61"/>
      <c r="AYQ2476" s="54"/>
      <c r="AYR2476" s="54"/>
      <c r="AYS2476" s="60"/>
      <c r="AYT2476" s="60"/>
      <c r="AYU2476" s="60"/>
      <c r="AYV2476" s="60"/>
      <c r="AYW2476" s="63"/>
      <c r="AYX2476" s="61"/>
      <c r="AYY2476" s="54"/>
      <c r="AYZ2476" s="54"/>
      <c r="AZA2476" s="60"/>
      <c r="AZB2476" s="60"/>
      <c r="AZC2476" s="60"/>
      <c r="AZD2476" s="60"/>
      <c r="AZE2476" s="63"/>
      <c r="AZF2476" s="61"/>
      <c r="AZG2476" s="54"/>
      <c r="AZH2476" s="54"/>
      <c r="AZI2476" s="60"/>
      <c r="AZJ2476" s="60"/>
      <c r="AZK2476" s="60"/>
      <c r="AZL2476" s="60"/>
      <c r="AZM2476" s="63"/>
      <c r="AZN2476" s="61"/>
      <c r="AZO2476" s="54"/>
      <c r="AZP2476" s="54"/>
      <c r="AZQ2476" s="60"/>
      <c r="AZR2476" s="60"/>
      <c r="AZS2476" s="60"/>
      <c r="AZT2476" s="60"/>
      <c r="AZU2476" s="63"/>
      <c r="AZV2476" s="61"/>
      <c r="AZW2476" s="54"/>
      <c r="AZX2476" s="54"/>
      <c r="AZY2476" s="60"/>
      <c r="AZZ2476" s="60"/>
      <c r="BAA2476" s="60"/>
      <c r="BAB2476" s="60"/>
      <c r="BAC2476" s="63"/>
      <c r="BAD2476" s="61"/>
      <c r="BAE2476" s="54"/>
      <c r="BAF2476" s="54"/>
      <c r="BAG2476" s="60"/>
      <c r="BAH2476" s="60"/>
      <c r="BAI2476" s="60"/>
      <c r="BAJ2476" s="60"/>
      <c r="BAK2476" s="63"/>
      <c r="BAL2476" s="61"/>
      <c r="BAM2476" s="54"/>
      <c r="BAN2476" s="54"/>
      <c r="BAO2476" s="60"/>
      <c r="BAP2476" s="60"/>
      <c r="BAQ2476" s="60"/>
      <c r="BAR2476" s="60"/>
      <c r="BAS2476" s="63"/>
      <c r="BAT2476" s="61"/>
      <c r="BAU2476" s="54"/>
      <c r="BAV2476" s="54"/>
      <c r="BAW2476" s="60"/>
      <c r="BAX2476" s="60"/>
      <c r="BAY2476" s="60"/>
      <c r="BAZ2476" s="60"/>
      <c r="BBA2476" s="63"/>
      <c r="BBB2476" s="61"/>
      <c r="BBC2476" s="54"/>
      <c r="BBD2476" s="54"/>
      <c r="BBE2476" s="60"/>
      <c r="BBF2476" s="60"/>
      <c r="BBG2476" s="60"/>
      <c r="BBH2476" s="60"/>
      <c r="BBI2476" s="63"/>
      <c r="BBJ2476" s="61"/>
      <c r="BBK2476" s="54"/>
      <c r="BBL2476" s="54"/>
      <c r="BBM2476" s="60"/>
      <c r="BBN2476" s="60"/>
      <c r="BBO2476" s="60"/>
      <c r="BBP2476" s="60"/>
      <c r="BBQ2476" s="63"/>
      <c r="BBR2476" s="61"/>
      <c r="BBS2476" s="54"/>
      <c r="BBT2476" s="54"/>
      <c r="BBU2476" s="60"/>
      <c r="BBV2476" s="60"/>
      <c r="BBW2476" s="60"/>
      <c r="BBX2476" s="60"/>
      <c r="BBY2476" s="63"/>
      <c r="BBZ2476" s="61"/>
      <c r="BCA2476" s="54"/>
      <c r="BCB2476" s="54"/>
      <c r="BCC2476" s="60"/>
      <c r="BCD2476" s="60"/>
      <c r="BCE2476" s="60"/>
      <c r="BCF2476" s="60"/>
      <c r="BCG2476" s="63"/>
      <c r="BCH2476" s="61"/>
      <c r="BCI2476" s="54"/>
      <c r="BCJ2476" s="54"/>
      <c r="BCK2476" s="60"/>
      <c r="BCL2476" s="60"/>
      <c r="BCM2476" s="60"/>
      <c r="BCN2476" s="60"/>
      <c r="BCO2476" s="63"/>
      <c r="BCP2476" s="61"/>
      <c r="BCQ2476" s="54"/>
      <c r="BCR2476" s="54"/>
      <c r="BCS2476" s="60"/>
      <c r="BCT2476" s="60"/>
      <c r="BCU2476" s="60"/>
      <c r="BCV2476" s="60"/>
      <c r="BCW2476" s="63"/>
      <c r="BCX2476" s="61"/>
      <c r="BCY2476" s="54"/>
      <c r="BCZ2476" s="54"/>
      <c r="BDA2476" s="60"/>
      <c r="BDB2476" s="60"/>
      <c r="BDC2476" s="60"/>
      <c r="BDD2476" s="60"/>
      <c r="BDE2476" s="63"/>
      <c r="BDF2476" s="61"/>
      <c r="BDG2476" s="54"/>
      <c r="BDH2476" s="54"/>
      <c r="BDI2476" s="60"/>
      <c r="BDJ2476" s="60"/>
      <c r="BDK2476" s="60"/>
      <c r="BDL2476" s="60"/>
      <c r="BDM2476" s="63"/>
      <c r="BDN2476" s="61"/>
      <c r="BDO2476" s="54"/>
      <c r="BDP2476" s="54"/>
      <c r="BDQ2476" s="60"/>
      <c r="BDR2476" s="60"/>
      <c r="BDS2476" s="60"/>
      <c r="BDT2476" s="60"/>
      <c r="BDU2476" s="63"/>
      <c r="BDV2476" s="61"/>
      <c r="BDW2476" s="54"/>
      <c r="BDX2476" s="54"/>
      <c r="BDY2476" s="60"/>
      <c r="BDZ2476" s="60"/>
      <c r="BEA2476" s="60"/>
      <c r="BEB2476" s="60"/>
      <c r="BEC2476" s="63"/>
      <c r="BED2476" s="61"/>
      <c r="BEE2476" s="54"/>
      <c r="BEF2476" s="54"/>
      <c r="BEG2476" s="60"/>
      <c r="BEH2476" s="60"/>
      <c r="BEI2476" s="60"/>
      <c r="BEJ2476" s="60"/>
      <c r="BEK2476" s="63"/>
      <c r="BEL2476" s="61"/>
      <c r="BEM2476" s="54"/>
      <c r="BEN2476" s="54"/>
      <c r="BEO2476" s="60"/>
      <c r="BEP2476" s="60"/>
      <c r="BEQ2476" s="60"/>
      <c r="BER2476" s="60"/>
      <c r="BES2476" s="63"/>
      <c r="BET2476" s="61"/>
      <c r="BEU2476" s="54"/>
      <c r="BEV2476" s="54"/>
      <c r="BEW2476" s="60"/>
      <c r="BEX2476" s="60"/>
      <c r="BEY2476" s="60"/>
      <c r="BEZ2476" s="60"/>
      <c r="BFA2476" s="63"/>
      <c r="BFB2476" s="61"/>
      <c r="BFC2476" s="54"/>
      <c r="BFD2476" s="54"/>
      <c r="BFE2476" s="60"/>
      <c r="BFF2476" s="60"/>
      <c r="BFG2476" s="60"/>
      <c r="BFH2476" s="60"/>
      <c r="BFI2476" s="63"/>
      <c r="BFJ2476" s="61"/>
      <c r="BFK2476" s="54"/>
      <c r="BFL2476" s="54"/>
      <c r="BFM2476" s="60"/>
      <c r="BFN2476" s="60"/>
      <c r="BFO2476" s="60"/>
      <c r="BFP2476" s="60"/>
      <c r="BFQ2476" s="63"/>
      <c r="BFR2476" s="61"/>
      <c r="BFS2476" s="54"/>
      <c r="BFT2476" s="54"/>
      <c r="BFU2476" s="60"/>
      <c r="BFV2476" s="60"/>
      <c r="BFW2476" s="60"/>
      <c r="BFX2476" s="60"/>
      <c r="BFY2476" s="63"/>
      <c r="BFZ2476" s="61"/>
      <c r="BGA2476" s="54"/>
      <c r="BGB2476" s="54"/>
      <c r="BGC2476" s="60"/>
      <c r="BGD2476" s="60"/>
      <c r="BGE2476" s="60"/>
      <c r="BGF2476" s="60"/>
      <c r="BGG2476" s="63"/>
      <c r="BGH2476" s="61"/>
      <c r="BGI2476" s="54"/>
      <c r="BGJ2476" s="54"/>
      <c r="BGK2476" s="60"/>
      <c r="BGL2476" s="60"/>
      <c r="BGM2476" s="60"/>
      <c r="BGN2476" s="60"/>
      <c r="BGO2476" s="63"/>
      <c r="BGP2476" s="61"/>
      <c r="BGQ2476" s="54"/>
      <c r="BGR2476" s="54"/>
      <c r="BGS2476" s="60"/>
      <c r="BGT2476" s="60"/>
      <c r="BGU2476" s="60"/>
      <c r="BGV2476" s="60"/>
      <c r="BGW2476" s="63"/>
      <c r="BGX2476" s="61"/>
      <c r="BGY2476" s="54"/>
      <c r="BGZ2476" s="54"/>
      <c r="BHA2476" s="60"/>
      <c r="BHB2476" s="60"/>
      <c r="BHC2476" s="60"/>
      <c r="BHD2476" s="60"/>
      <c r="BHE2476" s="63"/>
      <c r="BHF2476" s="61"/>
      <c r="BHG2476" s="54"/>
      <c r="BHH2476" s="54"/>
      <c r="BHI2476" s="60"/>
      <c r="BHJ2476" s="60"/>
      <c r="BHK2476" s="60"/>
      <c r="BHL2476" s="60"/>
      <c r="BHM2476" s="63"/>
      <c r="BHN2476" s="61"/>
      <c r="BHO2476" s="54"/>
      <c r="BHP2476" s="54"/>
      <c r="BHQ2476" s="60"/>
      <c r="BHR2476" s="60"/>
      <c r="BHS2476" s="60"/>
      <c r="BHT2476" s="60"/>
      <c r="BHU2476" s="63"/>
      <c r="BHV2476" s="61"/>
      <c r="BHW2476" s="54"/>
      <c r="BHX2476" s="54"/>
      <c r="BHY2476" s="60"/>
      <c r="BHZ2476" s="60"/>
      <c r="BIA2476" s="60"/>
      <c r="BIB2476" s="60"/>
      <c r="BIC2476" s="63"/>
      <c r="BID2476" s="61"/>
      <c r="BIE2476" s="54"/>
      <c r="BIF2476" s="54"/>
      <c r="BIG2476" s="60"/>
      <c r="BIH2476" s="60"/>
      <c r="BII2476" s="60"/>
      <c r="BIJ2476" s="60"/>
      <c r="BIK2476" s="63"/>
      <c r="BIL2476" s="61"/>
      <c r="BIM2476" s="54"/>
      <c r="BIN2476" s="54"/>
      <c r="BIO2476" s="60"/>
      <c r="BIP2476" s="60"/>
      <c r="BIQ2476" s="60"/>
      <c r="BIR2476" s="60"/>
      <c r="BIS2476" s="63"/>
      <c r="BIT2476" s="61"/>
      <c r="BIU2476" s="54"/>
      <c r="BIV2476" s="54"/>
      <c r="BIW2476" s="60"/>
      <c r="BIX2476" s="60"/>
      <c r="BIY2476" s="60"/>
      <c r="BIZ2476" s="60"/>
      <c r="BJA2476" s="63"/>
      <c r="BJB2476" s="61"/>
      <c r="BJC2476" s="54"/>
      <c r="BJD2476" s="54"/>
      <c r="BJE2476" s="60"/>
      <c r="BJF2476" s="60"/>
      <c r="BJG2476" s="60"/>
      <c r="BJH2476" s="60"/>
      <c r="BJI2476" s="63"/>
      <c r="BJJ2476" s="61"/>
      <c r="BJK2476" s="54"/>
      <c r="BJL2476" s="54"/>
      <c r="BJM2476" s="60"/>
      <c r="BJN2476" s="60"/>
      <c r="BJO2476" s="60"/>
      <c r="BJP2476" s="60"/>
      <c r="BJQ2476" s="63"/>
      <c r="BJR2476" s="61"/>
      <c r="BJS2476" s="54"/>
      <c r="BJT2476" s="54"/>
      <c r="BJU2476" s="60"/>
      <c r="BJV2476" s="60"/>
      <c r="BJW2476" s="60"/>
      <c r="BJX2476" s="60"/>
      <c r="BJY2476" s="63"/>
      <c r="BJZ2476" s="61"/>
      <c r="BKA2476" s="54"/>
      <c r="BKB2476" s="54"/>
      <c r="BKC2476" s="60"/>
      <c r="BKD2476" s="60"/>
      <c r="BKE2476" s="60"/>
      <c r="BKF2476" s="60"/>
      <c r="BKG2476" s="63"/>
      <c r="BKH2476" s="61"/>
      <c r="BKI2476" s="54"/>
      <c r="BKJ2476" s="54"/>
      <c r="BKK2476" s="60"/>
      <c r="BKL2476" s="60"/>
      <c r="BKM2476" s="60"/>
      <c r="BKN2476" s="60"/>
      <c r="BKO2476" s="63"/>
      <c r="BKP2476" s="61"/>
      <c r="BKQ2476" s="54"/>
      <c r="BKR2476" s="54"/>
      <c r="BKS2476" s="60"/>
      <c r="BKT2476" s="60"/>
      <c r="BKU2476" s="60"/>
      <c r="BKV2476" s="60"/>
      <c r="BKW2476" s="63"/>
      <c r="BKX2476" s="61"/>
      <c r="BKY2476" s="54"/>
      <c r="BKZ2476" s="54"/>
      <c r="BLA2476" s="60"/>
      <c r="BLB2476" s="60"/>
      <c r="BLC2476" s="60"/>
      <c r="BLD2476" s="60"/>
      <c r="BLE2476" s="63"/>
      <c r="BLF2476" s="61"/>
      <c r="BLG2476" s="54"/>
      <c r="BLH2476" s="54"/>
      <c r="BLI2476" s="60"/>
      <c r="BLJ2476" s="60"/>
      <c r="BLK2476" s="60"/>
      <c r="BLL2476" s="60"/>
      <c r="BLM2476" s="63"/>
      <c r="BLN2476" s="61"/>
      <c r="BLO2476" s="54"/>
      <c r="BLP2476" s="54"/>
      <c r="BLQ2476" s="60"/>
      <c r="BLR2476" s="60"/>
      <c r="BLS2476" s="60"/>
      <c r="BLT2476" s="60"/>
      <c r="BLU2476" s="63"/>
      <c r="BLV2476" s="61"/>
      <c r="BLW2476" s="54"/>
      <c r="BLX2476" s="54"/>
      <c r="BLY2476" s="60"/>
      <c r="BLZ2476" s="60"/>
      <c r="BMA2476" s="60"/>
      <c r="BMB2476" s="60"/>
      <c r="BMC2476" s="63"/>
      <c r="BMD2476" s="61"/>
      <c r="BME2476" s="54"/>
      <c r="BMF2476" s="54"/>
      <c r="BMG2476" s="60"/>
      <c r="BMH2476" s="60"/>
      <c r="BMI2476" s="60"/>
      <c r="BMJ2476" s="60"/>
      <c r="BMK2476" s="63"/>
      <c r="BML2476" s="61"/>
      <c r="BMM2476" s="54"/>
      <c r="BMN2476" s="54"/>
      <c r="BMO2476" s="60"/>
      <c r="BMP2476" s="60"/>
      <c r="BMQ2476" s="60"/>
      <c r="BMR2476" s="60"/>
      <c r="BMS2476" s="63"/>
      <c r="BMT2476" s="61"/>
      <c r="BMU2476" s="54"/>
      <c r="BMV2476" s="54"/>
      <c r="BMW2476" s="60"/>
      <c r="BMX2476" s="60"/>
      <c r="BMY2476" s="60"/>
      <c r="BMZ2476" s="60"/>
      <c r="BNA2476" s="63"/>
      <c r="BNB2476" s="61"/>
      <c r="BNC2476" s="54"/>
      <c r="BND2476" s="54"/>
      <c r="BNE2476" s="60"/>
      <c r="BNF2476" s="60"/>
      <c r="BNG2476" s="60"/>
      <c r="BNH2476" s="60"/>
      <c r="BNI2476" s="63"/>
      <c r="BNJ2476" s="61"/>
      <c r="BNK2476" s="54"/>
      <c r="BNL2476" s="54"/>
      <c r="BNM2476" s="60"/>
      <c r="BNN2476" s="60"/>
      <c r="BNO2476" s="60"/>
      <c r="BNP2476" s="60"/>
      <c r="BNQ2476" s="63"/>
      <c r="BNR2476" s="61"/>
      <c r="BNS2476" s="54"/>
      <c r="BNT2476" s="54"/>
      <c r="BNU2476" s="60"/>
      <c r="BNV2476" s="60"/>
      <c r="BNW2476" s="60"/>
      <c r="BNX2476" s="60"/>
      <c r="BNY2476" s="63"/>
      <c r="BNZ2476" s="61"/>
      <c r="BOA2476" s="54"/>
      <c r="BOB2476" s="54"/>
      <c r="BOC2476" s="60"/>
      <c r="BOD2476" s="60"/>
      <c r="BOE2476" s="60"/>
      <c r="BOF2476" s="60"/>
      <c r="BOG2476" s="63"/>
      <c r="BOH2476" s="61"/>
      <c r="BOI2476" s="54"/>
      <c r="BOJ2476" s="54"/>
      <c r="BOK2476" s="60"/>
      <c r="BOL2476" s="60"/>
      <c r="BOM2476" s="60"/>
      <c r="BON2476" s="60"/>
      <c r="BOO2476" s="63"/>
      <c r="BOP2476" s="61"/>
      <c r="BOQ2476" s="54"/>
      <c r="BOR2476" s="54"/>
      <c r="BOS2476" s="60"/>
      <c r="BOT2476" s="60"/>
      <c r="BOU2476" s="60"/>
      <c r="BOV2476" s="60"/>
      <c r="BOW2476" s="63"/>
      <c r="BOX2476" s="61"/>
      <c r="BOY2476" s="54"/>
      <c r="BOZ2476" s="54"/>
      <c r="BPA2476" s="60"/>
      <c r="BPB2476" s="60"/>
      <c r="BPC2476" s="60"/>
      <c r="BPD2476" s="60"/>
      <c r="BPE2476" s="63"/>
      <c r="BPF2476" s="61"/>
      <c r="BPG2476" s="54"/>
      <c r="BPH2476" s="54"/>
      <c r="BPI2476" s="60"/>
      <c r="BPJ2476" s="60"/>
      <c r="BPK2476" s="60"/>
      <c r="BPL2476" s="60"/>
      <c r="BPM2476" s="63"/>
      <c r="BPN2476" s="61"/>
      <c r="BPO2476" s="54"/>
      <c r="BPP2476" s="54"/>
      <c r="BPQ2476" s="60"/>
      <c r="BPR2476" s="60"/>
      <c r="BPS2476" s="60"/>
      <c r="BPT2476" s="60"/>
      <c r="BPU2476" s="63"/>
      <c r="BPV2476" s="61"/>
      <c r="BPW2476" s="54"/>
      <c r="BPX2476" s="54"/>
      <c r="BPY2476" s="60"/>
      <c r="BPZ2476" s="60"/>
      <c r="BQA2476" s="60"/>
      <c r="BQB2476" s="60"/>
      <c r="BQC2476" s="63"/>
      <c r="BQD2476" s="61"/>
      <c r="BQE2476" s="54"/>
      <c r="BQF2476" s="54"/>
      <c r="BQG2476" s="60"/>
      <c r="BQH2476" s="60"/>
      <c r="BQI2476" s="60"/>
      <c r="BQJ2476" s="60"/>
      <c r="BQK2476" s="63"/>
      <c r="BQL2476" s="61"/>
      <c r="BQM2476" s="54"/>
      <c r="BQN2476" s="54"/>
      <c r="BQO2476" s="60"/>
      <c r="BQP2476" s="60"/>
      <c r="BQQ2476" s="60"/>
      <c r="BQR2476" s="60"/>
      <c r="BQS2476" s="63"/>
      <c r="BQT2476" s="61"/>
      <c r="BQU2476" s="54"/>
      <c r="BQV2476" s="54"/>
      <c r="BQW2476" s="60"/>
      <c r="BQX2476" s="60"/>
      <c r="BQY2476" s="60"/>
      <c r="BQZ2476" s="60"/>
      <c r="BRA2476" s="63"/>
      <c r="BRB2476" s="61"/>
      <c r="BRC2476" s="54"/>
      <c r="BRD2476" s="54"/>
      <c r="BRE2476" s="60"/>
      <c r="BRF2476" s="60"/>
      <c r="BRG2476" s="60"/>
      <c r="BRH2476" s="60"/>
      <c r="BRI2476" s="63"/>
      <c r="BRJ2476" s="61"/>
      <c r="BRK2476" s="54"/>
      <c r="BRL2476" s="54"/>
      <c r="BRM2476" s="60"/>
      <c r="BRN2476" s="60"/>
      <c r="BRO2476" s="60"/>
      <c r="BRP2476" s="60"/>
      <c r="BRQ2476" s="63"/>
      <c r="BRR2476" s="61"/>
      <c r="BRS2476" s="54"/>
      <c r="BRT2476" s="54"/>
      <c r="BRU2476" s="60"/>
      <c r="BRV2476" s="60"/>
      <c r="BRW2476" s="60"/>
      <c r="BRX2476" s="60"/>
      <c r="BRY2476" s="63"/>
      <c r="BRZ2476" s="61"/>
      <c r="BSA2476" s="54"/>
      <c r="BSB2476" s="54"/>
      <c r="BSC2476" s="60"/>
      <c r="BSD2476" s="60"/>
      <c r="BSE2476" s="60"/>
      <c r="BSF2476" s="60"/>
      <c r="BSG2476" s="63"/>
      <c r="BSH2476" s="61"/>
      <c r="BSI2476" s="54"/>
      <c r="BSJ2476" s="54"/>
      <c r="BSK2476" s="60"/>
      <c r="BSL2476" s="60"/>
      <c r="BSM2476" s="60"/>
      <c r="BSN2476" s="60"/>
      <c r="BSO2476" s="63"/>
      <c r="BSP2476" s="61"/>
      <c r="BSQ2476" s="54"/>
      <c r="BSR2476" s="54"/>
      <c r="BSS2476" s="60"/>
      <c r="BST2476" s="60"/>
      <c r="BSU2476" s="60"/>
      <c r="BSV2476" s="60"/>
      <c r="BSW2476" s="63"/>
      <c r="BSX2476" s="61"/>
      <c r="BSY2476" s="54"/>
      <c r="BSZ2476" s="54"/>
      <c r="BTA2476" s="60"/>
      <c r="BTB2476" s="60"/>
      <c r="BTC2476" s="60"/>
      <c r="BTD2476" s="60"/>
      <c r="BTE2476" s="63"/>
      <c r="BTF2476" s="61"/>
      <c r="BTG2476" s="54"/>
      <c r="BTH2476" s="54"/>
      <c r="BTI2476" s="60"/>
      <c r="BTJ2476" s="60"/>
      <c r="BTK2476" s="60"/>
      <c r="BTL2476" s="60"/>
      <c r="BTM2476" s="63"/>
      <c r="BTN2476" s="61"/>
      <c r="BTO2476" s="54"/>
      <c r="BTP2476" s="54"/>
      <c r="BTQ2476" s="60"/>
      <c r="BTR2476" s="60"/>
      <c r="BTS2476" s="60"/>
      <c r="BTT2476" s="60"/>
      <c r="BTU2476" s="63"/>
      <c r="BTV2476" s="61"/>
      <c r="BTW2476" s="54"/>
      <c r="BTX2476" s="54"/>
      <c r="BTY2476" s="60"/>
      <c r="BTZ2476" s="60"/>
      <c r="BUA2476" s="60"/>
      <c r="BUB2476" s="60"/>
      <c r="BUC2476" s="63"/>
      <c r="BUD2476" s="61"/>
      <c r="BUE2476" s="54"/>
      <c r="BUF2476" s="54"/>
      <c r="BUG2476" s="60"/>
      <c r="BUH2476" s="60"/>
      <c r="BUI2476" s="60"/>
      <c r="BUJ2476" s="60"/>
      <c r="BUK2476" s="63"/>
      <c r="BUL2476" s="61"/>
      <c r="BUM2476" s="54"/>
      <c r="BUN2476" s="54"/>
      <c r="BUO2476" s="60"/>
      <c r="BUP2476" s="60"/>
      <c r="BUQ2476" s="60"/>
      <c r="BUR2476" s="60"/>
      <c r="BUS2476" s="63"/>
      <c r="BUT2476" s="61"/>
      <c r="BUU2476" s="54"/>
      <c r="BUV2476" s="54"/>
      <c r="BUW2476" s="60"/>
      <c r="BUX2476" s="60"/>
      <c r="BUY2476" s="60"/>
      <c r="BUZ2476" s="60"/>
      <c r="BVA2476" s="63"/>
      <c r="BVB2476" s="61"/>
      <c r="BVC2476" s="54"/>
      <c r="BVD2476" s="54"/>
      <c r="BVE2476" s="60"/>
      <c r="BVF2476" s="60"/>
      <c r="BVG2476" s="60"/>
      <c r="BVH2476" s="60"/>
      <c r="BVI2476" s="63"/>
      <c r="BVJ2476" s="61"/>
      <c r="BVK2476" s="54"/>
      <c r="BVL2476" s="54"/>
      <c r="BVM2476" s="60"/>
      <c r="BVN2476" s="60"/>
      <c r="BVO2476" s="60"/>
      <c r="BVP2476" s="60"/>
      <c r="BVQ2476" s="63"/>
      <c r="BVR2476" s="61"/>
      <c r="BVS2476" s="54"/>
      <c r="BVT2476" s="54"/>
      <c r="BVU2476" s="60"/>
      <c r="BVV2476" s="60"/>
      <c r="BVW2476" s="60"/>
      <c r="BVX2476" s="60"/>
      <c r="BVY2476" s="63"/>
      <c r="BVZ2476" s="61"/>
      <c r="BWA2476" s="54"/>
      <c r="BWB2476" s="54"/>
      <c r="BWC2476" s="60"/>
      <c r="BWD2476" s="60"/>
      <c r="BWE2476" s="60"/>
      <c r="BWF2476" s="60"/>
      <c r="BWG2476" s="63"/>
      <c r="BWH2476" s="61"/>
      <c r="BWI2476" s="54"/>
      <c r="BWJ2476" s="54"/>
      <c r="BWK2476" s="60"/>
      <c r="BWL2476" s="60"/>
      <c r="BWM2476" s="60"/>
      <c r="BWN2476" s="60"/>
      <c r="BWO2476" s="63"/>
      <c r="BWP2476" s="61"/>
      <c r="BWQ2476" s="54"/>
      <c r="BWR2476" s="54"/>
      <c r="BWS2476" s="60"/>
      <c r="BWT2476" s="60"/>
      <c r="BWU2476" s="60"/>
      <c r="BWV2476" s="60"/>
      <c r="BWW2476" s="63"/>
      <c r="BWX2476" s="61"/>
      <c r="BWY2476" s="54"/>
      <c r="BWZ2476" s="54"/>
      <c r="BXA2476" s="60"/>
      <c r="BXB2476" s="60"/>
      <c r="BXC2476" s="60"/>
      <c r="BXD2476" s="60"/>
      <c r="BXE2476" s="63"/>
      <c r="BXF2476" s="61"/>
      <c r="BXG2476" s="54"/>
      <c r="BXH2476" s="54"/>
      <c r="BXI2476" s="60"/>
      <c r="BXJ2476" s="60"/>
      <c r="BXK2476" s="60"/>
      <c r="BXL2476" s="60"/>
      <c r="BXM2476" s="63"/>
      <c r="BXN2476" s="61"/>
      <c r="BXO2476" s="54"/>
      <c r="BXP2476" s="54"/>
      <c r="BXQ2476" s="60"/>
      <c r="BXR2476" s="60"/>
      <c r="BXS2476" s="60"/>
      <c r="BXT2476" s="60"/>
      <c r="BXU2476" s="63"/>
      <c r="BXV2476" s="61"/>
      <c r="BXW2476" s="54"/>
      <c r="BXX2476" s="54"/>
      <c r="BXY2476" s="60"/>
      <c r="BXZ2476" s="60"/>
      <c r="BYA2476" s="60"/>
      <c r="BYB2476" s="60"/>
      <c r="BYC2476" s="63"/>
      <c r="BYD2476" s="61"/>
      <c r="BYE2476" s="54"/>
      <c r="BYF2476" s="54"/>
      <c r="BYG2476" s="60"/>
      <c r="BYH2476" s="60"/>
      <c r="BYI2476" s="60"/>
      <c r="BYJ2476" s="60"/>
      <c r="BYK2476" s="63"/>
      <c r="BYL2476" s="61"/>
      <c r="BYM2476" s="54"/>
      <c r="BYN2476" s="54"/>
      <c r="BYO2476" s="60"/>
      <c r="BYP2476" s="60"/>
      <c r="BYQ2476" s="60"/>
      <c r="BYR2476" s="60"/>
      <c r="BYS2476" s="63"/>
      <c r="BYT2476" s="61"/>
      <c r="BYU2476" s="54"/>
      <c r="BYV2476" s="54"/>
      <c r="BYW2476" s="60"/>
      <c r="BYX2476" s="60"/>
      <c r="BYY2476" s="60"/>
      <c r="BYZ2476" s="60"/>
      <c r="BZA2476" s="63"/>
      <c r="BZB2476" s="61"/>
      <c r="BZC2476" s="54"/>
      <c r="BZD2476" s="54"/>
      <c r="BZE2476" s="60"/>
      <c r="BZF2476" s="60"/>
      <c r="BZG2476" s="60"/>
      <c r="BZH2476" s="60"/>
      <c r="BZI2476" s="63"/>
      <c r="BZJ2476" s="61"/>
      <c r="BZK2476" s="54"/>
      <c r="BZL2476" s="54"/>
      <c r="BZM2476" s="60"/>
      <c r="BZN2476" s="60"/>
      <c r="BZO2476" s="60"/>
      <c r="BZP2476" s="60"/>
      <c r="BZQ2476" s="63"/>
      <c r="BZR2476" s="61"/>
      <c r="BZS2476" s="54"/>
      <c r="BZT2476" s="54"/>
      <c r="BZU2476" s="60"/>
      <c r="BZV2476" s="60"/>
      <c r="BZW2476" s="60"/>
      <c r="BZX2476" s="60"/>
      <c r="BZY2476" s="63"/>
      <c r="BZZ2476" s="61"/>
      <c r="CAA2476" s="54"/>
      <c r="CAB2476" s="54"/>
      <c r="CAC2476" s="60"/>
      <c r="CAD2476" s="60"/>
      <c r="CAE2476" s="60"/>
      <c r="CAF2476" s="60"/>
      <c r="CAG2476" s="63"/>
      <c r="CAH2476" s="61"/>
      <c r="CAI2476" s="54"/>
      <c r="CAJ2476" s="54"/>
      <c r="CAK2476" s="60"/>
      <c r="CAL2476" s="60"/>
      <c r="CAM2476" s="60"/>
      <c r="CAN2476" s="60"/>
      <c r="CAO2476" s="63"/>
      <c r="CAP2476" s="61"/>
      <c r="CAQ2476" s="54"/>
      <c r="CAR2476" s="54"/>
      <c r="CAS2476" s="60"/>
      <c r="CAT2476" s="60"/>
      <c r="CAU2476" s="60"/>
      <c r="CAV2476" s="60"/>
      <c r="CAW2476" s="63"/>
      <c r="CAX2476" s="61"/>
      <c r="CAY2476" s="54"/>
      <c r="CAZ2476" s="54"/>
      <c r="CBA2476" s="60"/>
      <c r="CBB2476" s="60"/>
      <c r="CBC2476" s="60"/>
      <c r="CBD2476" s="60"/>
      <c r="CBE2476" s="63"/>
      <c r="CBF2476" s="61"/>
      <c r="CBG2476" s="54"/>
      <c r="CBH2476" s="54"/>
      <c r="CBI2476" s="60"/>
      <c r="CBJ2476" s="60"/>
      <c r="CBK2476" s="60"/>
      <c r="CBL2476" s="60"/>
      <c r="CBM2476" s="63"/>
      <c r="CBN2476" s="61"/>
      <c r="CBO2476" s="54"/>
      <c r="CBP2476" s="54"/>
      <c r="CBQ2476" s="60"/>
      <c r="CBR2476" s="60"/>
      <c r="CBS2476" s="60"/>
      <c r="CBT2476" s="60"/>
      <c r="CBU2476" s="63"/>
      <c r="CBV2476" s="61"/>
      <c r="CBW2476" s="54"/>
      <c r="CBX2476" s="54"/>
      <c r="CBY2476" s="60"/>
      <c r="CBZ2476" s="60"/>
      <c r="CCA2476" s="60"/>
      <c r="CCB2476" s="60"/>
      <c r="CCC2476" s="63"/>
      <c r="CCD2476" s="61"/>
      <c r="CCE2476" s="54"/>
      <c r="CCF2476" s="54"/>
      <c r="CCG2476" s="60"/>
      <c r="CCH2476" s="60"/>
      <c r="CCI2476" s="60"/>
      <c r="CCJ2476" s="60"/>
      <c r="CCK2476" s="63"/>
      <c r="CCL2476" s="61"/>
      <c r="CCM2476" s="54"/>
      <c r="CCN2476" s="54"/>
      <c r="CCO2476" s="60"/>
      <c r="CCP2476" s="60"/>
      <c r="CCQ2476" s="60"/>
      <c r="CCR2476" s="60"/>
      <c r="CCS2476" s="63"/>
      <c r="CCT2476" s="61"/>
      <c r="CCU2476" s="54"/>
      <c r="CCV2476" s="54"/>
      <c r="CCW2476" s="60"/>
      <c r="CCX2476" s="60"/>
      <c r="CCY2476" s="60"/>
      <c r="CCZ2476" s="60"/>
      <c r="CDA2476" s="63"/>
      <c r="CDB2476" s="61"/>
      <c r="CDC2476" s="54"/>
      <c r="CDD2476" s="54"/>
      <c r="CDE2476" s="60"/>
      <c r="CDF2476" s="60"/>
      <c r="CDG2476" s="60"/>
      <c r="CDH2476" s="60"/>
      <c r="CDI2476" s="63"/>
      <c r="CDJ2476" s="61"/>
      <c r="CDK2476" s="54"/>
      <c r="CDL2476" s="54"/>
      <c r="CDM2476" s="60"/>
      <c r="CDN2476" s="60"/>
      <c r="CDO2476" s="60"/>
      <c r="CDP2476" s="60"/>
      <c r="CDQ2476" s="63"/>
      <c r="CDR2476" s="61"/>
      <c r="CDS2476" s="54"/>
      <c r="CDT2476" s="54"/>
      <c r="CDU2476" s="60"/>
      <c r="CDV2476" s="60"/>
      <c r="CDW2476" s="60"/>
      <c r="CDX2476" s="60"/>
      <c r="CDY2476" s="63"/>
      <c r="CDZ2476" s="61"/>
      <c r="CEA2476" s="54"/>
      <c r="CEB2476" s="54"/>
      <c r="CEC2476" s="60"/>
      <c r="CED2476" s="60"/>
      <c r="CEE2476" s="60"/>
      <c r="CEF2476" s="60"/>
      <c r="CEG2476" s="63"/>
      <c r="CEH2476" s="61"/>
      <c r="CEI2476" s="54"/>
      <c r="CEJ2476" s="54"/>
      <c r="CEK2476" s="60"/>
      <c r="CEL2476" s="60"/>
      <c r="CEM2476" s="60"/>
      <c r="CEN2476" s="60"/>
      <c r="CEO2476" s="63"/>
      <c r="CEP2476" s="61"/>
      <c r="CEQ2476" s="54"/>
      <c r="CER2476" s="54"/>
      <c r="CES2476" s="60"/>
      <c r="CET2476" s="60"/>
      <c r="CEU2476" s="60"/>
      <c r="CEV2476" s="60"/>
      <c r="CEW2476" s="63"/>
      <c r="CEX2476" s="61"/>
      <c r="CEY2476" s="54"/>
      <c r="CEZ2476" s="54"/>
      <c r="CFA2476" s="60"/>
      <c r="CFB2476" s="60"/>
      <c r="CFC2476" s="60"/>
      <c r="CFD2476" s="60"/>
      <c r="CFE2476" s="63"/>
      <c r="CFF2476" s="61"/>
      <c r="CFG2476" s="54"/>
      <c r="CFH2476" s="54"/>
      <c r="CFI2476" s="60"/>
      <c r="CFJ2476" s="60"/>
      <c r="CFK2476" s="60"/>
      <c r="CFL2476" s="60"/>
      <c r="CFM2476" s="63"/>
      <c r="CFN2476" s="61"/>
      <c r="CFO2476" s="54"/>
      <c r="CFP2476" s="54"/>
      <c r="CFQ2476" s="60"/>
      <c r="CFR2476" s="60"/>
      <c r="CFS2476" s="60"/>
      <c r="CFT2476" s="60"/>
      <c r="CFU2476" s="63"/>
      <c r="CFV2476" s="61"/>
      <c r="CFW2476" s="54"/>
      <c r="CFX2476" s="54"/>
      <c r="CFY2476" s="60"/>
      <c r="CFZ2476" s="60"/>
      <c r="CGA2476" s="60"/>
      <c r="CGB2476" s="60"/>
      <c r="CGC2476" s="63"/>
      <c r="CGD2476" s="61"/>
      <c r="CGE2476" s="54"/>
      <c r="CGF2476" s="54"/>
      <c r="CGG2476" s="60"/>
      <c r="CGH2476" s="60"/>
      <c r="CGI2476" s="60"/>
      <c r="CGJ2476" s="60"/>
      <c r="CGK2476" s="63"/>
      <c r="CGL2476" s="61"/>
      <c r="CGM2476" s="54"/>
      <c r="CGN2476" s="54"/>
      <c r="CGO2476" s="60"/>
      <c r="CGP2476" s="60"/>
      <c r="CGQ2476" s="60"/>
      <c r="CGR2476" s="60"/>
      <c r="CGS2476" s="63"/>
      <c r="CGT2476" s="61"/>
      <c r="CGU2476" s="54"/>
      <c r="CGV2476" s="54"/>
      <c r="CGW2476" s="60"/>
      <c r="CGX2476" s="60"/>
      <c r="CGY2476" s="60"/>
      <c r="CGZ2476" s="60"/>
      <c r="CHA2476" s="63"/>
      <c r="CHB2476" s="61"/>
      <c r="CHC2476" s="54"/>
      <c r="CHD2476" s="54"/>
      <c r="CHE2476" s="60"/>
      <c r="CHF2476" s="60"/>
      <c r="CHG2476" s="60"/>
      <c r="CHH2476" s="60"/>
      <c r="CHI2476" s="63"/>
      <c r="CHJ2476" s="61"/>
      <c r="CHK2476" s="54"/>
      <c r="CHL2476" s="54"/>
      <c r="CHM2476" s="60"/>
      <c r="CHN2476" s="60"/>
      <c r="CHO2476" s="60"/>
      <c r="CHP2476" s="60"/>
      <c r="CHQ2476" s="63"/>
      <c r="CHR2476" s="61"/>
      <c r="CHS2476" s="54"/>
      <c r="CHT2476" s="54"/>
      <c r="CHU2476" s="60"/>
      <c r="CHV2476" s="60"/>
      <c r="CHW2476" s="60"/>
      <c r="CHX2476" s="60"/>
      <c r="CHY2476" s="63"/>
      <c r="CHZ2476" s="61"/>
      <c r="CIA2476" s="54"/>
      <c r="CIB2476" s="54"/>
      <c r="CIC2476" s="60"/>
      <c r="CID2476" s="60"/>
      <c r="CIE2476" s="60"/>
      <c r="CIF2476" s="60"/>
      <c r="CIG2476" s="63"/>
      <c r="CIH2476" s="61"/>
      <c r="CII2476" s="54"/>
      <c r="CIJ2476" s="54"/>
      <c r="CIK2476" s="60"/>
      <c r="CIL2476" s="60"/>
      <c r="CIM2476" s="60"/>
      <c r="CIN2476" s="60"/>
      <c r="CIO2476" s="63"/>
      <c r="CIP2476" s="61"/>
      <c r="CIQ2476" s="54"/>
      <c r="CIR2476" s="54"/>
      <c r="CIS2476" s="60"/>
      <c r="CIT2476" s="60"/>
      <c r="CIU2476" s="60"/>
      <c r="CIV2476" s="60"/>
      <c r="CIW2476" s="63"/>
      <c r="CIX2476" s="61"/>
      <c r="CIY2476" s="54"/>
      <c r="CIZ2476" s="54"/>
      <c r="CJA2476" s="60"/>
      <c r="CJB2476" s="60"/>
      <c r="CJC2476" s="60"/>
      <c r="CJD2476" s="60"/>
      <c r="CJE2476" s="63"/>
      <c r="CJF2476" s="61"/>
      <c r="CJG2476" s="54"/>
      <c r="CJH2476" s="54"/>
      <c r="CJI2476" s="60"/>
      <c r="CJJ2476" s="60"/>
      <c r="CJK2476" s="60"/>
      <c r="CJL2476" s="60"/>
      <c r="CJM2476" s="63"/>
      <c r="CJN2476" s="61"/>
      <c r="CJO2476" s="54"/>
      <c r="CJP2476" s="54"/>
      <c r="CJQ2476" s="60"/>
      <c r="CJR2476" s="60"/>
      <c r="CJS2476" s="60"/>
      <c r="CJT2476" s="60"/>
      <c r="CJU2476" s="63"/>
      <c r="CJV2476" s="61"/>
      <c r="CJW2476" s="54"/>
      <c r="CJX2476" s="54"/>
      <c r="CJY2476" s="60"/>
      <c r="CJZ2476" s="60"/>
      <c r="CKA2476" s="60"/>
      <c r="CKB2476" s="60"/>
      <c r="CKC2476" s="63"/>
      <c r="CKD2476" s="61"/>
      <c r="CKE2476" s="54"/>
      <c r="CKF2476" s="54"/>
      <c r="CKG2476" s="60"/>
      <c r="CKH2476" s="60"/>
      <c r="CKI2476" s="60"/>
      <c r="CKJ2476" s="60"/>
      <c r="CKK2476" s="63"/>
      <c r="CKL2476" s="61"/>
      <c r="CKM2476" s="54"/>
      <c r="CKN2476" s="54"/>
      <c r="CKO2476" s="60"/>
      <c r="CKP2476" s="60"/>
      <c r="CKQ2476" s="60"/>
      <c r="CKR2476" s="60"/>
      <c r="CKS2476" s="63"/>
      <c r="CKT2476" s="61"/>
      <c r="CKU2476" s="54"/>
      <c r="CKV2476" s="54"/>
      <c r="CKW2476" s="60"/>
      <c r="CKX2476" s="60"/>
      <c r="CKY2476" s="60"/>
      <c r="CKZ2476" s="60"/>
      <c r="CLA2476" s="63"/>
      <c r="CLB2476" s="61"/>
      <c r="CLC2476" s="54"/>
      <c r="CLD2476" s="54"/>
      <c r="CLE2476" s="60"/>
      <c r="CLF2476" s="60"/>
      <c r="CLG2476" s="60"/>
      <c r="CLH2476" s="60"/>
      <c r="CLI2476" s="63"/>
      <c r="CLJ2476" s="61"/>
      <c r="CLK2476" s="54"/>
      <c r="CLL2476" s="54"/>
      <c r="CLM2476" s="60"/>
      <c r="CLN2476" s="60"/>
      <c r="CLO2476" s="60"/>
      <c r="CLP2476" s="60"/>
      <c r="CLQ2476" s="63"/>
      <c r="CLR2476" s="61"/>
      <c r="CLS2476" s="54"/>
      <c r="CLT2476" s="54"/>
      <c r="CLU2476" s="60"/>
      <c r="CLV2476" s="60"/>
      <c r="CLW2476" s="60"/>
      <c r="CLX2476" s="60"/>
      <c r="CLY2476" s="63"/>
      <c r="CLZ2476" s="61"/>
      <c r="CMA2476" s="54"/>
      <c r="CMB2476" s="54"/>
      <c r="CMC2476" s="60"/>
      <c r="CMD2476" s="60"/>
      <c r="CME2476" s="60"/>
      <c r="CMF2476" s="60"/>
      <c r="CMG2476" s="63"/>
      <c r="CMH2476" s="61"/>
      <c r="CMI2476" s="54"/>
      <c r="CMJ2476" s="54"/>
      <c r="CMK2476" s="60"/>
      <c r="CML2476" s="60"/>
      <c r="CMM2476" s="60"/>
      <c r="CMN2476" s="60"/>
      <c r="CMO2476" s="63"/>
      <c r="CMP2476" s="61"/>
      <c r="CMQ2476" s="54"/>
      <c r="CMR2476" s="54"/>
      <c r="CMS2476" s="60"/>
      <c r="CMT2476" s="60"/>
      <c r="CMU2476" s="60"/>
      <c r="CMV2476" s="60"/>
      <c r="CMW2476" s="63"/>
      <c r="CMX2476" s="61"/>
      <c r="CMY2476" s="54"/>
      <c r="CMZ2476" s="54"/>
      <c r="CNA2476" s="60"/>
      <c r="CNB2476" s="60"/>
      <c r="CNC2476" s="60"/>
      <c r="CND2476" s="60"/>
      <c r="CNE2476" s="63"/>
      <c r="CNF2476" s="61"/>
      <c r="CNG2476" s="54"/>
      <c r="CNH2476" s="54"/>
      <c r="CNI2476" s="60"/>
      <c r="CNJ2476" s="60"/>
      <c r="CNK2476" s="60"/>
      <c r="CNL2476" s="60"/>
      <c r="CNM2476" s="63"/>
      <c r="CNN2476" s="61"/>
      <c r="CNO2476" s="54"/>
      <c r="CNP2476" s="54"/>
      <c r="CNQ2476" s="60"/>
      <c r="CNR2476" s="60"/>
      <c r="CNS2476" s="60"/>
      <c r="CNT2476" s="60"/>
      <c r="CNU2476" s="63"/>
      <c r="CNV2476" s="61"/>
      <c r="CNW2476" s="54"/>
      <c r="CNX2476" s="54"/>
      <c r="CNY2476" s="60"/>
      <c r="CNZ2476" s="60"/>
      <c r="COA2476" s="60"/>
      <c r="COB2476" s="60"/>
      <c r="COC2476" s="63"/>
      <c r="COD2476" s="61"/>
      <c r="COE2476" s="54"/>
      <c r="COF2476" s="54"/>
      <c r="COG2476" s="60"/>
      <c r="COH2476" s="60"/>
      <c r="COI2476" s="60"/>
      <c r="COJ2476" s="60"/>
      <c r="COK2476" s="63"/>
      <c r="COL2476" s="61"/>
      <c r="COM2476" s="54"/>
      <c r="CON2476" s="54"/>
      <c r="COO2476" s="60"/>
      <c r="COP2476" s="60"/>
      <c r="COQ2476" s="60"/>
      <c r="COR2476" s="60"/>
      <c r="COS2476" s="63"/>
      <c r="COT2476" s="61"/>
      <c r="COU2476" s="54"/>
      <c r="COV2476" s="54"/>
      <c r="COW2476" s="60"/>
      <c r="COX2476" s="60"/>
      <c r="COY2476" s="60"/>
      <c r="COZ2476" s="60"/>
      <c r="CPA2476" s="63"/>
      <c r="CPB2476" s="61"/>
      <c r="CPC2476" s="54"/>
      <c r="CPD2476" s="54"/>
      <c r="CPE2476" s="60"/>
      <c r="CPF2476" s="60"/>
      <c r="CPG2476" s="60"/>
      <c r="CPH2476" s="60"/>
      <c r="CPI2476" s="63"/>
      <c r="CPJ2476" s="61"/>
      <c r="CPK2476" s="54"/>
      <c r="CPL2476" s="54"/>
      <c r="CPM2476" s="60"/>
      <c r="CPN2476" s="60"/>
      <c r="CPO2476" s="60"/>
      <c r="CPP2476" s="60"/>
      <c r="CPQ2476" s="63"/>
      <c r="CPR2476" s="61"/>
      <c r="CPS2476" s="54"/>
      <c r="CPT2476" s="54"/>
      <c r="CPU2476" s="60"/>
      <c r="CPV2476" s="60"/>
      <c r="CPW2476" s="60"/>
      <c r="CPX2476" s="60"/>
      <c r="CPY2476" s="63"/>
      <c r="CPZ2476" s="61"/>
      <c r="CQA2476" s="54"/>
      <c r="CQB2476" s="54"/>
      <c r="CQC2476" s="60"/>
      <c r="CQD2476" s="60"/>
      <c r="CQE2476" s="60"/>
      <c r="CQF2476" s="60"/>
      <c r="CQG2476" s="63"/>
      <c r="CQH2476" s="61"/>
      <c r="CQI2476" s="54"/>
      <c r="CQJ2476" s="54"/>
      <c r="CQK2476" s="60"/>
      <c r="CQL2476" s="60"/>
      <c r="CQM2476" s="60"/>
      <c r="CQN2476" s="60"/>
      <c r="CQO2476" s="63"/>
      <c r="CQP2476" s="61"/>
      <c r="CQQ2476" s="54"/>
      <c r="CQR2476" s="54"/>
      <c r="CQS2476" s="60"/>
      <c r="CQT2476" s="60"/>
      <c r="CQU2476" s="60"/>
      <c r="CQV2476" s="60"/>
      <c r="CQW2476" s="63"/>
      <c r="CQX2476" s="61"/>
      <c r="CQY2476" s="54"/>
      <c r="CQZ2476" s="54"/>
      <c r="CRA2476" s="60"/>
      <c r="CRB2476" s="60"/>
      <c r="CRC2476" s="60"/>
      <c r="CRD2476" s="60"/>
      <c r="CRE2476" s="63"/>
      <c r="CRF2476" s="61"/>
      <c r="CRG2476" s="54"/>
      <c r="CRH2476" s="54"/>
      <c r="CRI2476" s="60"/>
      <c r="CRJ2476" s="60"/>
      <c r="CRK2476" s="60"/>
      <c r="CRL2476" s="60"/>
      <c r="CRM2476" s="63"/>
      <c r="CRN2476" s="61"/>
      <c r="CRO2476" s="54"/>
      <c r="CRP2476" s="54"/>
      <c r="CRQ2476" s="60"/>
      <c r="CRR2476" s="60"/>
      <c r="CRS2476" s="60"/>
      <c r="CRT2476" s="60"/>
      <c r="CRU2476" s="63"/>
      <c r="CRV2476" s="61"/>
      <c r="CRW2476" s="54"/>
      <c r="CRX2476" s="54"/>
      <c r="CRY2476" s="60"/>
      <c r="CRZ2476" s="60"/>
      <c r="CSA2476" s="60"/>
      <c r="CSB2476" s="60"/>
      <c r="CSC2476" s="63"/>
      <c r="CSD2476" s="61"/>
      <c r="CSE2476" s="54"/>
      <c r="CSF2476" s="54"/>
      <c r="CSG2476" s="60"/>
      <c r="CSH2476" s="60"/>
      <c r="CSI2476" s="60"/>
      <c r="CSJ2476" s="60"/>
      <c r="CSK2476" s="63"/>
      <c r="CSL2476" s="61"/>
      <c r="CSM2476" s="54"/>
      <c r="CSN2476" s="54"/>
      <c r="CSO2476" s="60"/>
      <c r="CSP2476" s="60"/>
      <c r="CSQ2476" s="60"/>
      <c r="CSR2476" s="60"/>
      <c r="CSS2476" s="63"/>
      <c r="CST2476" s="61"/>
      <c r="CSU2476" s="54"/>
      <c r="CSV2476" s="54"/>
      <c r="CSW2476" s="60"/>
      <c r="CSX2476" s="60"/>
      <c r="CSY2476" s="60"/>
      <c r="CSZ2476" s="60"/>
      <c r="CTA2476" s="63"/>
      <c r="CTB2476" s="61"/>
      <c r="CTC2476" s="54"/>
      <c r="CTD2476" s="54"/>
      <c r="CTE2476" s="60"/>
      <c r="CTF2476" s="60"/>
      <c r="CTG2476" s="60"/>
      <c r="CTH2476" s="60"/>
      <c r="CTI2476" s="63"/>
      <c r="CTJ2476" s="61"/>
      <c r="CTK2476" s="54"/>
      <c r="CTL2476" s="54"/>
      <c r="CTM2476" s="60"/>
      <c r="CTN2476" s="60"/>
      <c r="CTO2476" s="60"/>
      <c r="CTP2476" s="60"/>
      <c r="CTQ2476" s="63"/>
      <c r="CTR2476" s="61"/>
      <c r="CTS2476" s="54"/>
      <c r="CTT2476" s="54"/>
      <c r="CTU2476" s="60"/>
      <c r="CTV2476" s="60"/>
      <c r="CTW2476" s="60"/>
      <c r="CTX2476" s="60"/>
      <c r="CTY2476" s="63"/>
      <c r="CTZ2476" s="61"/>
      <c r="CUA2476" s="54"/>
      <c r="CUB2476" s="54"/>
      <c r="CUC2476" s="60"/>
      <c r="CUD2476" s="60"/>
      <c r="CUE2476" s="60"/>
      <c r="CUF2476" s="60"/>
      <c r="CUG2476" s="63"/>
      <c r="CUH2476" s="61"/>
      <c r="CUI2476" s="54"/>
      <c r="CUJ2476" s="54"/>
      <c r="CUK2476" s="60"/>
      <c r="CUL2476" s="60"/>
      <c r="CUM2476" s="60"/>
      <c r="CUN2476" s="60"/>
      <c r="CUO2476" s="63"/>
      <c r="CUP2476" s="61"/>
      <c r="CUQ2476" s="54"/>
      <c r="CUR2476" s="54"/>
      <c r="CUS2476" s="60"/>
      <c r="CUT2476" s="60"/>
      <c r="CUU2476" s="60"/>
      <c r="CUV2476" s="60"/>
      <c r="CUW2476" s="63"/>
      <c r="CUX2476" s="61"/>
      <c r="CUY2476" s="54"/>
      <c r="CUZ2476" s="54"/>
      <c r="CVA2476" s="60"/>
      <c r="CVB2476" s="60"/>
      <c r="CVC2476" s="60"/>
      <c r="CVD2476" s="60"/>
      <c r="CVE2476" s="63"/>
      <c r="CVF2476" s="61"/>
      <c r="CVG2476" s="54"/>
      <c r="CVH2476" s="54"/>
      <c r="CVI2476" s="60"/>
      <c r="CVJ2476" s="60"/>
      <c r="CVK2476" s="60"/>
      <c r="CVL2476" s="60"/>
      <c r="CVM2476" s="63"/>
      <c r="CVN2476" s="61"/>
      <c r="CVO2476" s="54"/>
      <c r="CVP2476" s="54"/>
      <c r="CVQ2476" s="60"/>
      <c r="CVR2476" s="60"/>
      <c r="CVS2476" s="60"/>
      <c r="CVT2476" s="60"/>
      <c r="CVU2476" s="63"/>
      <c r="CVV2476" s="61"/>
      <c r="CVW2476" s="54"/>
      <c r="CVX2476" s="54"/>
      <c r="CVY2476" s="60"/>
      <c r="CVZ2476" s="60"/>
      <c r="CWA2476" s="60"/>
      <c r="CWB2476" s="60"/>
      <c r="CWC2476" s="63"/>
      <c r="CWD2476" s="61"/>
      <c r="CWE2476" s="54"/>
      <c r="CWF2476" s="54"/>
      <c r="CWG2476" s="60"/>
      <c r="CWH2476" s="60"/>
      <c r="CWI2476" s="60"/>
      <c r="CWJ2476" s="60"/>
      <c r="CWK2476" s="63"/>
      <c r="CWL2476" s="61"/>
      <c r="CWM2476" s="54"/>
      <c r="CWN2476" s="54"/>
      <c r="CWO2476" s="60"/>
      <c r="CWP2476" s="60"/>
      <c r="CWQ2476" s="60"/>
      <c r="CWR2476" s="60"/>
      <c r="CWS2476" s="63"/>
      <c r="CWT2476" s="61"/>
      <c r="CWU2476" s="54"/>
      <c r="CWV2476" s="54"/>
      <c r="CWW2476" s="60"/>
      <c r="CWX2476" s="60"/>
      <c r="CWY2476" s="60"/>
      <c r="CWZ2476" s="60"/>
      <c r="CXA2476" s="63"/>
      <c r="CXB2476" s="61"/>
      <c r="CXC2476" s="54"/>
      <c r="CXD2476" s="54"/>
      <c r="CXE2476" s="60"/>
      <c r="CXF2476" s="60"/>
      <c r="CXG2476" s="60"/>
      <c r="CXH2476" s="60"/>
      <c r="CXI2476" s="63"/>
      <c r="CXJ2476" s="61"/>
      <c r="CXK2476" s="54"/>
      <c r="CXL2476" s="54"/>
      <c r="CXM2476" s="60"/>
      <c r="CXN2476" s="60"/>
      <c r="CXO2476" s="60"/>
      <c r="CXP2476" s="60"/>
      <c r="CXQ2476" s="63"/>
      <c r="CXR2476" s="61"/>
      <c r="CXS2476" s="54"/>
      <c r="CXT2476" s="54"/>
      <c r="CXU2476" s="60"/>
      <c r="CXV2476" s="60"/>
      <c r="CXW2476" s="60"/>
      <c r="CXX2476" s="60"/>
      <c r="CXY2476" s="63"/>
      <c r="CXZ2476" s="61"/>
      <c r="CYA2476" s="54"/>
      <c r="CYB2476" s="54"/>
      <c r="CYC2476" s="60"/>
      <c r="CYD2476" s="60"/>
      <c r="CYE2476" s="60"/>
      <c r="CYF2476" s="60"/>
      <c r="CYG2476" s="63"/>
      <c r="CYH2476" s="61"/>
      <c r="CYI2476" s="54"/>
      <c r="CYJ2476" s="54"/>
      <c r="CYK2476" s="60"/>
      <c r="CYL2476" s="60"/>
      <c r="CYM2476" s="60"/>
      <c r="CYN2476" s="60"/>
      <c r="CYO2476" s="63"/>
      <c r="CYP2476" s="61"/>
      <c r="CYQ2476" s="54"/>
      <c r="CYR2476" s="54"/>
      <c r="CYS2476" s="60"/>
      <c r="CYT2476" s="60"/>
      <c r="CYU2476" s="60"/>
      <c r="CYV2476" s="60"/>
      <c r="CYW2476" s="63"/>
      <c r="CYX2476" s="61"/>
      <c r="CYY2476" s="54"/>
      <c r="CYZ2476" s="54"/>
      <c r="CZA2476" s="60"/>
      <c r="CZB2476" s="60"/>
      <c r="CZC2476" s="60"/>
      <c r="CZD2476" s="60"/>
      <c r="CZE2476" s="63"/>
      <c r="CZF2476" s="61"/>
      <c r="CZG2476" s="54"/>
      <c r="CZH2476" s="54"/>
      <c r="CZI2476" s="60"/>
      <c r="CZJ2476" s="60"/>
      <c r="CZK2476" s="60"/>
      <c r="CZL2476" s="60"/>
      <c r="CZM2476" s="63"/>
      <c r="CZN2476" s="61"/>
      <c r="CZO2476" s="54"/>
      <c r="CZP2476" s="54"/>
      <c r="CZQ2476" s="60"/>
      <c r="CZR2476" s="60"/>
      <c r="CZS2476" s="60"/>
      <c r="CZT2476" s="60"/>
      <c r="CZU2476" s="63"/>
      <c r="CZV2476" s="61"/>
      <c r="CZW2476" s="54"/>
      <c r="CZX2476" s="54"/>
      <c r="CZY2476" s="60"/>
      <c r="CZZ2476" s="60"/>
      <c r="DAA2476" s="60"/>
      <c r="DAB2476" s="60"/>
      <c r="DAC2476" s="63"/>
      <c r="DAD2476" s="61"/>
      <c r="DAE2476" s="54"/>
      <c r="DAF2476" s="54"/>
      <c r="DAG2476" s="60"/>
      <c r="DAH2476" s="60"/>
      <c r="DAI2476" s="60"/>
      <c r="DAJ2476" s="60"/>
      <c r="DAK2476" s="63"/>
      <c r="DAL2476" s="61"/>
      <c r="DAM2476" s="54"/>
      <c r="DAN2476" s="54"/>
      <c r="DAO2476" s="60"/>
      <c r="DAP2476" s="60"/>
      <c r="DAQ2476" s="60"/>
      <c r="DAR2476" s="60"/>
      <c r="DAS2476" s="63"/>
      <c r="DAT2476" s="61"/>
      <c r="DAU2476" s="54"/>
      <c r="DAV2476" s="54"/>
      <c r="DAW2476" s="60"/>
      <c r="DAX2476" s="60"/>
      <c r="DAY2476" s="60"/>
      <c r="DAZ2476" s="60"/>
      <c r="DBA2476" s="63"/>
      <c r="DBB2476" s="61"/>
      <c r="DBC2476" s="54"/>
      <c r="DBD2476" s="54"/>
      <c r="DBE2476" s="60"/>
      <c r="DBF2476" s="60"/>
      <c r="DBG2476" s="60"/>
      <c r="DBH2476" s="60"/>
      <c r="DBI2476" s="63"/>
      <c r="DBJ2476" s="61"/>
      <c r="DBK2476" s="54"/>
      <c r="DBL2476" s="54"/>
      <c r="DBM2476" s="60"/>
      <c r="DBN2476" s="60"/>
      <c r="DBO2476" s="60"/>
      <c r="DBP2476" s="60"/>
      <c r="DBQ2476" s="63"/>
      <c r="DBR2476" s="61"/>
      <c r="DBS2476" s="54"/>
      <c r="DBT2476" s="54"/>
      <c r="DBU2476" s="60"/>
      <c r="DBV2476" s="60"/>
      <c r="DBW2476" s="60"/>
      <c r="DBX2476" s="60"/>
      <c r="DBY2476" s="63"/>
      <c r="DBZ2476" s="61"/>
      <c r="DCA2476" s="54"/>
      <c r="DCB2476" s="54"/>
      <c r="DCC2476" s="60"/>
      <c r="DCD2476" s="60"/>
      <c r="DCE2476" s="60"/>
      <c r="DCF2476" s="60"/>
      <c r="DCG2476" s="63"/>
      <c r="DCH2476" s="61"/>
      <c r="DCI2476" s="54"/>
      <c r="DCJ2476" s="54"/>
      <c r="DCK2476" s="60"/>
      <c r="DCL2476" s="60"/>
      <c r="DCM2476" s="60"/>
      <c r="DCN2476" s="60"/>
      <c r="DCO2476" s="63"/>
      <c r="DCP2476" s="61"/>
      <c r="DCQ2476" s="54"/>
      <c r="DCR2476" s="54"/>
      <c r="DCS2476" s="60"/>
      <c r="DCT2476" s="60"/>
      <c r="DCU2476" s="60"/>
      <c r="DCV2476" s="60"/>
      <c r="DCW2476" s="63"/>
      <c r="DCX2476" s="61"/>
      <c r="DCY2476" s="54"/>
      <c r="DCZ2476" s="54"/>
      <c r="DDA2476" s="60"/>
      <c r="DDB2476" s="60"/>
      <c r="DDC2476" s="60"/>
      <c r="DDD2476" s="60"/>
      <c r="DDE2476" s="63"/>
      <c r="DDF2476" s="61"/>
      <c r="DDG2476" s="54"/>
      <c r="DDH2476" s="54"/>
      <c r="DDI2476" s="60"/>
      <c r="DDJ2476" s="60"/>
      <c r="DDK2476" s="60"/>
      <c r="DDL2476" s="60"/>
      <c r="DDM2476" s="63"/>
      <c r="DDN2476" s="61"/>
      <c r="DDO2476" s="54"/>
      <c r="DDP2476" s="54"/>
      <c r="DDQ2476" s="60"/>
      <c r="DDR2476" s="60"/>
      <c r="DDS2476" s="60"/>
      <c r="DDT2476" s="60"/>
      <c r="DDU2476" s="63"/>
      <c r="DDV2476" s="61"/>
      <c r="DDW2476" s="54"/>
      <c r="DDX2476" s="54"/>
      <c r="DDY2476" s="60"/>
      <c r="DDZ2476" s="60"/>
      <c r="DEA2476" s="60"/>
      <c r="DEB2476" s="60"/>
      <c r="DEC2476" s="63"/>
      <c r="DED2476" s="61"/>
      <c r="DEE2476" s="54"/>
      <c r="DEF2476" s="54"/>
      <c r="DEG2476" s="60"/>
      <c r="DEH2476" s="60"/>
      <c r="DEI2476" s="60"/>
      <c r="DEJ2476" s="60"/>
      <c r="DEK2476" s="63"/>
      <c r="DEL2476" s="61"/>
      <c r="DEM2476" s="54"/>
      <c r="DEN2476" s="54"/>
      <c r="DEO2476" s="60"/>
      <c r="DEP2476" s="60"/>
      <c r="DEQ2476" s="60"/>
      <c r="DER2476" s="60"/>
      <c r="DES2476" s="63"/>
      <c r="DET2476" s="61"/>
      <c r="DEU2476" s="54"/>
      <c r="DEV2476" s="54"/>
      <c r="DEW2476" s="60"/>
      <c r="DEX2476" s="60"/>
      <c r="DEY2476" s="60"/>
      <c r="DEZ2476" s="60"/>
      <c r="DFA2476" s="63"/>
      <c r="DFB2476" s="61"/>
      <c r="DFC2476" s="54"/>
      <c r="DFD2476" s="54"/>
      <c r="DFE2476" s="60"/>
      <c r="DFF2476" s="60"/>
      <c r="DFG2476" s="60"/>
      <c r="DFH2476" s="60"/>
      <c r="DFI2476" s="63"/>
      <c r="DFJ2476" s="61"/>
      <c r="DFK2476" s="54"/>
      <c r="DFL2476" s="54"/>
      <c r="DFM2476" s="60"/>
      <c r="DFN2476" s="60"/>
      <c r="DFO2476" s="60"/>
      <c r="DFP2476" s="60"/>
      <c r="DFQ2476" s="63"/>
      <c r="DFR2476" s="61"/>
      <c r="DFS2476" s="54"/>
      <c r="DFT2476" s="54"/>
      <c r="DFU2476" s="60"/>
      <c r="DFV2476" s="60"/>
      <c r="DFW2476" s="60"/>
      <c r="DFX2476" s="60"/>
      <c r="DFY2476" s="63"/>
      <c r="DFZ2476" s="61"/>
      <c r="DGA2476" s="54"/>
      <c r="DGB2476" s="54"/>
      <c r="DGC2476" s="60"/>
      <c r="DGD2476" s="60"/>
      <c r="DGE2476" s="60"/>
      <c r="DGF2476" s="60"/>
      <c r="DGG2476" s="63"/>
      <c r="DGH2476" s="61"/>
      <c r="DGI2476" s="54"/>
      <c r="DGJ2476" s="54"/>
      <c r="DGK2476" s="60"/>
      <c r="DGL2476" s="60"/>
      <c r="DGM2476" s="60"/>
      <c r="DGN2476" s="60"/>
      <c r="DGO2476" s="63"/>
      <c r="DGP2476" s="61"/>
      <c r="DGQ2476" s="54"/>
      <c r="DGR2476" s="54"/>
      <c r="DGS2476" s="60"/>
      <c r="DGT2476" s="60"/>
      <c r="DGU2476" s="60"/>
      <c r="DGV2476" s="60"/>
      <c r="DGW2476" s="63"/>
      <c r="DGX2476" s="61"/>
      <c r="DGY2476" s="54"/>
      <c r="DGZ2476" s="54"/>
      <c r="DHA2476" s="60"/>
      <c r="DHB2476" s="60"/>
      <c r="DHC2476" s="60"/>
      <c r="DHD2476" s="60"/>
      <c r="DHE2476" s="63"/>
      <c r="DHF2476" s="61"/>
      <c r="DHG2476" s="54"/>
      <c r="DHH2476" s="54"/>
      <c r="DHI2476" s="60"/>
      <c r="DHJ2476" s="60"/>
      <c r="DHK2476" s="60"/>
      <c r="DHL2476" s="60"/>
      <c r="DHM2476" s="63"/>
      <c r="DHN2476" s="61"/>
      <c r="DHO2476" s="54"/>
      <c r="DHP2476" s="54"/>
      <c r="DHQ2476" s="60"/>
      <c r="DHR2476" s="60"/>
      <c r="DHS2476" s="60"/>
      <c r="DHT2476" s="60"/>
      <c r="DHU2476" s="63"/>
      <c r="DHV2476" s="61"/>
      <c r="DHW2476" s="54"/>
      <c r="DHX2476" s="54"/>
      <c r="DHY2476" s="60"/>
      <c r="DHZ2476" s="60"/>
      <c r="DIA2476" s="60"/>
      <c r="DIB2476" s="60"/>
      <c r="DIC2476" s="63"/>
      <c r="DID2476" s="61"/>
      <c r="DIE2476" s="54"/>
      <c r="DIF2476" s="54"/>
      <c r="DIG2476" s="60"/>
      <c r="DIH2476" s="60"/>
      <c r="DII2476" s="60"/>
      <c r="DIJ2476" s="60"/>
      <c r="DIK2476" s="63"/>
      <c r="DIL2476" s="61"/>
      <c r="DIM2476" s="54"/>
      <c r="DIN2476" s="54"/>
      <c r="DIO2476" s="60"/>
      <c r="DIP2476" s="60"/>
      <c r="DIQ2476" s="60"/>
      <c r="DIR2476" s="60"/>
      <c r="DIS2476" s="63"/>
      <c r="DIT2476" s="61"/>
      <c r="DIU2476" s="54"/>
      <c r="DIV2476" s="54"/>
      <c r="DIW2476" s="60"/>
      <c r="DIX2476" s="60"/>
      <c r="DIY2476" s="60"/>
      <c r="DIZ2476" s="60"/>
      <c r="DJA2476" s="63"/>
      <c r="DJB2476" s="61"/>
      <c r="DJC2476" s="54"/>
      <c r="DJD2476" s="54"/>
      <c r="DJE2476" s="60"/>
      <c r="DJF2476" s="60"/>
      <c r="DJG2476" s="60"/>
      <c r="DJH2476" s="60"/>
      <c r="DJI2476" s="63"/>
      <c r="DJJ2476" s="61"/>
      <c r="DJK2476" s="54"/>
      <c r="DJL2476" s="54"/>
      <c r="DJM2476" s="60"/>
      <c r="DJN2476" s="60"/>
      <c r="DJO2476" s="60"/>
      <c r="DJP2476" s="60"/>
      <c r="DJQ2476" s="63"/>
      <c r="DJR2476" s="61"/>
      <c r="DJS2476" s="54"/>
      <c r="DJT2476" s="54"/>
      <c r="DJU2476" s="60"/>
      <c r="DJV2476" s="60"/>
      <c r="DJW2476" s="60"/>
      <c r="DJX2476" s="60"/>
      <c r="DJY2476" s="63"/>
      <c r="DJZ2476" s="61"/>
      <c r="DKA2476" s="54"/>
      <c r="DKB2476" s="54"/>
      <c r="DKC2476" s="60"/>
      <c r="DKD2476" s="60"/>
      <c r="DKE2476" s="60"/>
      <c r="DKF2476" s="60"/>
      <c r="DKG2476" s="63"/>
      <c r="DKH2476" s="61"/>
      <c r="DKI2476" s="54"/>
      <c r="DKJ2476" s="54"/>
      <c r="DKK2476" s="60"/>
      <c r="DKL2476" s="60"/>
      <c r="DKM2476" s="60"/>
      <c r="DKN2476" s="60"/>
      <c r="DKO2476" s="63"/>
      <c r="DKP2476" s="61"/>
      <c r="DKQ2476" s="54"/>
      <c r="DKR2476" s="54"/>
      <c r="DKS2476" s="60"/>
      <c r="DKT2476" s="60"/>
      <c r="DKU2476" s="60"/>
      <c r="DKV2476" s="60"/>
      <c r="DKW2476" s="63"/>
      <c r="DKX2476" s="61"/>
      <c r="DKY2476" s="54"/>
      <c r="DKZ2476" s="54"/>
      <c r="DLA2476" s="60"/>
      <c r="DLB2476" s="60"/>
      <c r="DLC2476" s="60"/>
      <c r="DLD2476" s="60"/>
      <c r="DLE2476" s="63"/>
      <c r="DLF2476" s="61"/>
      <c r="DLG2476" s="54"/>
      <c r="DLH2476" s="54"/>
      <c r="DLI2476" s="60"/>
      <c r="DLJ2476" s="60"/>
      <c r="DLK2476" s="60"/>
      <c r="DLL2476" s="60"/>
      <c r="DLM2476" s="63"/>
      <c r="DLN2476" s="61"/>
      <c r="DLO2476" s="54"/>
      <c r="DLP2476" s="54"/>
      <c r="DLQ2476" s="60"/>
      <c r="DLR2476" s="60"/>
      <c r="DLS2476" s="60"/>
      <c r="DLT2476" s="60"/>
      <c r="DLU2476" s="63"/>
      <c r="DLV2476" s="61"/>
      <c r="DLW2476" s="54"/>
      <c r="DLX2476" s="54"/>
      <c r="DLY2476" s="60"/>
      <c r="DLZ2476" s="60"/>
      <c r="DMA2476" s="60"/>
      <c r="DMB2476" s="60"/>
      <c r="DMC2476" s="63"/>
      <c r="DMD2476" s="61"/>
      <c r="DME2476" s="54"/>
      <c r="DMF2476" s="54"/>
      <c r="DMG2476" s="60"/>
      <c r="DMH2476" s="60"/>
      <c r="DMI2476" s="60"/>
      <c r="DMJ2476" s="60"/>
      <c r="DMK2476" s="63"/>
      <c r="DML2476" s="61"/>
      <c r="DMM2476" s="54"/>
      <c r="DMN2476" s="54"/>
      <c r="DMO2476" s="60"/>
      <c r="DMP2476" s="60"/>
      <c r="DMQ2476" s="60"/>
      <c r="DMR2476" s="60"/>
      <c r="DMS2476" s="63"/>
      <c r="DMT2476" s="61"/>
      <c r="DMU2476" s="54"/>
      <c r="DMV2476" s="54"/>
      <c r="DMW2476" s="60"/>
      <c r="DMX2476" s="60"/>
      <c r="DMY2476" s="60"/>
      <c r="DMZ2476" s="60"/>
      <c r="DNA2476" s="63"/>
      <c r="DNB2476" s="61"/>
      <c r="DNC2476" s="54"/>
      <c r="DND2476" s="54"/>
      <c r="DNE2476" s="60"/>
      <c r="DNF2476" s="60"/>
      <c r="DNG2476" s="60"/>
      <c r="DNH2476" s="60"/>
      <c r="DNI2476" s="63"/>
      <c r="DNJ2476" s="61"/>
      <c r="DNK2476" s="54"/>
      <c r="DNL2476" s="54"/>
      <c r="DNM2476" s="60"/>
      <c r="DNN2476" s="60"/>
      <c r="DNO2476" s="60"/>
      <c r="DNP2476" s="60"/>
      <c r="DNQ2476" s="63"/>
      <c r="DNR2476" s="61"/>
      <c r="DNS2476" s="54"/>
      <c r="DNT2476" s="54"/>
      <c r="DNU2476" s="60"/>
      <c r="DNV2476" s="60"/>
      <c r="DNW2476" s="60"/>
      <c r="DNX2476" s="60"/>
      <c r="DNY2476" s="63"/>
      <c r="DNZ2476" s="61"/>
      <c r="DOA2476" s="54"/>
      <c r="DOB2476" s="54"/>
      <c r="DOC2476" s="60"/>
      <c r="DOD2476" s="60"/>
      <c r="DOE2476" s="60"/>
      <c r="DOF2476" s="60"/>
      <c r="DOG2476" s="63"/>
      <c r="DOH2476" s="61"/>
      <c r="DOI2476" s="54"/>
      <c r="DOJ2476" s="54"/>
      <c r="DOK2476" s="60"/>
      <c r="DOL2476" s="60"/>
      <c r="DOM2476" s="60"/>
      <c r="DON2476" s="60"/>
      <c r="DOO2476" s="63"/>
      <c r="DOP2476" s="61"/>
      <c r="DOQ2476" s="54"/>
      <c r="DOR2476" s="54"/>
      <c r="DOS2476" s="60"/>
      <c r="DOT2476" s="60"/>
      <c r="DOU2476" s="60"/>
      <c r="DOV2476" s="60"/>
      <c r="DOW2476" s="63"/>
      <c r="DOX2476" s="61"/>
      <c r="DOY2476" s="54"/>
      <c r="DOZ2476" s="54"/>
      <c r="DPA2476" s="60"/>
      <c r="DPB2476" s="60"/>
      <c r="DPC2476" s="60"/>
      <c r="DPD2476" s="60"/>
      <c r="DPE2476" s="63"/>
      <c r="DPF2476" s="61"/>
      <c r="DPG2476" s="54"/>
      <c r="DPH2476" s="54"/>
      <c r="DPI2476" s="60"/>
      <c r="DPJ2476" s="60"/>
      <c r="DPK2476" s="60"/>
      <c r="DPL2476" s="60"/>
      <c r="DPM2476" s="63"/>
      <c r="DPN2476" s="61"/>
      <c r="DPO2476" s="54"/>
      <c r="DPP2476" s="54"/>
      <c r="DPQ2476" s="60"/>
      <c r="DPR2476" s="60"/>
      <c r="DPS2476" s="60"/>
      <c r="DPT2476" s="60"/>
      <c r="DPU2476" s="63"/>
      <c r="DPV2476" s="61"/>
      <c r="DPW2476" s="54"/>
      <c r="DPX2476" s="54"/>
      <c r="DPY2476" s="60"/>
      <c r="DPZ2476" s="60"/>
      <c r="DQA2476" s="60"/>
      <c r="DQB2476" s="60"/>
      <c r="DQC2476" s="63"/>
      <c r="DQD2476" s="61"/>
      <c r="DQE2476" s="54"/>
      <c r="DQF2476" s="54"/>
      <c r="DQG2476" s="60"/>
      <c r="DQH2476" s="60"/>
      <c r="DQI2476" s="60"/>
      <c r="DQJ2476" s="60"/>
      <c r="DQK2476" s="63"/>
      <c r="DQL2476" s="61"/>
      <c r="DQM2476" s="54"/>
      <c r="DQN2476" s="54"/>
      <c r="DQO2476" s="60"/>
      <c r="DQP2476" s="60"/>
      <c r="DQQ2476" s="60"/>
      <c r="DQR2476" s="60"/>
      <c r="DQS2476" s="63"/>
      <c r="DQT2476" s="61"/>
      <c r="DQU2476" s="54"/>
      <c r="DQV2476" s="54"/>
      <c r="DQW2476" s="60"/>
      <c r="DQX2476" s="60"/>
      <c r="DQY2476" s="60"/>
      <c r="DQZ2476" s="60"/>
      <c r="DRA2476" s="63"/>
      <c r="DRB2476" s="61"/>
      <c r="DRC2476" s="54"/>
      <c r="DRD2476" s="54"/>
      <c r="DRE2476" s="60"/>
      <c r="DRF2476" s="60"/>
      <c r="DRG2476" s="60"/>
      <c r="DRH2476" s="60"/>
      <c r="DRI2476" s="63"/>
      <c r="DRJ2476" s="61"/>
      <c r="DRK2476" s="54"/>
      <c r="DRL2476" s="54"/>
      <c r="DRM2476" s="60"/>
      <c r="DRN2476" s="60"/>
      <c r="DRO2476" s="60"/>
      <c r="DRP2476" s="60"/>
      <c r="DRQ2476" s="63"/>
      <c r="DRR2476" s="61"/>
      <c r="DRS2476" s="54"/>
      <c r="DRT2476" s="54"/>
      <c r="DRU2476" s="60"/>
      <c r="DRV2476" s="60"/>
      <c r="DRW2476" s="60"/>
      <c r="DRX2476" s="60"/>
      <c r="DRY2476" s="63"/>
      <c r="DRZ2476" s="61"/>
      <c r="DSA2476" s="54"/>
      <c r="DSB2476" s="54"/>
      <c r="DSC2476" s="60"/>
      <c r="DSD2476" s="60"/>
      <c r="DSE2476" s="60"/>
      <c r="DSF2476" s="60"/>
      <c r="DSG2476" s="63"/>
      <c r="DSH2476" s="61"/>
      <c r="DSI2476" s="54"/>
      <c r="DSJ2476" s="54"/>
      <c r="DSK2476" s="60"/>
      <c r="DSL2476" s="60"/>
      <c r="DSM2476" s="60"/>
      <c r="DSN2476" s="60"/>
      <c r="DSO2476" s="63"/>
      <c r="DSP2476" s="61"/>
      <c r="DSQ2476" s="54"/>
      <c r="DSR2476" s="54"/>
      <c r="DSS2476" s="60"/>
      <c r="DST2476" s="60"/>
      <c r="DSU2476" s="60"/>
      <c r="DSV2476" s="60"/>
      <c r="DSW2476" s="63"/>
      <c r="DSX2476" s="61"/>
      <c r="DSY2476" s="54"/>
      <c r="DSZ2476" s="54"/>
      <c r="DTA2476" s="60"/>
      <c r="DTB2476" s="60"/>
      <c r="DTC2476" s="60"/>
      <c r="DTD2476" s="60"/>
      <c r="DTE2476" s="63"/>
      <c r="DTF2476" s="61"/>
      <c r="DTG2476" s="54"/>
      <c r="DTH2476" s="54"/>
      <c r="DTI2476" s="60"/>
      <c r="DTJ2476" s="60"/>
      <c r="DTK2476" s="60"/>
      <c r="DTL2476" s="60"/>
      <c r="DTM2476" s="63"/>
      <c r="DTN2476" s="61"/>
      <c r="DTO2476" s="54"/>
      <c r="DTP2476" s="54"/>
      <c r="DTQ2476" s="60"/>
      <c r="DTR2476" s="60"/>
      <c r="DTS2476" s="60"/>
      <c r="DTT2476" s="60"/>
      <c r="DTU2476" s="63"/>
      <c r="DTV2476" s="61"/>
      <c r="DTW2476" s="54"/>
      <c r="DTX2476" s="54"/>
      <c r="DTY2476" s="60"/>
      <c r="DTZ2476" s="60"/>
      <c r="DUA2476" s="60"/>
      <c r="DUB2476" s="60"/>
      <c r="DUC2476" s="63"/>
      <c r="DUD2476" s="61"/>
      <c r="DUE2476" s="54"/>
      <c r="DUF2476" s="54"/>
      <c r="DUG2476" s="60"/>
      <c r="DUH2476" s="60"/>
      <c r="DUI2476" s="60"/>
      <c r="DUJ2476" s="60"/>
      <c r="DUK2476" s="63"/>
      <c r="DUL2476" s="61"/>
      <c r="DUM2476" s="54"/>
      <c r="DUN2476" s="54"/>
      <c r="DUO2476" s="60"/>
      <c r="DUP2476" s="60"/>
      <c r="DUQ2476" s="60"/>
      <c r="DUR2476" s="60"/>
      <c r="DUS2476" s="63"/>
      <c r="DUT2476" s="61"/>
      <c r="DUU2476" s="54"/>
      <c r="DUV2476" s="54"/>
      <c r="DUW2476" s="60"/>
      <c r="DUX2476" s="60"/>
      <c r="DUY2476" s="60"/>
      <c r="DUZ2476" s="60"/>
      <c r="DVA2476" s="63"/>
      <c r="DVB2476" s="61"/>
      <c r="DVC2476" s="54"/>
      <c r="DVD2476" s="54"/>
      <c r="DVE2476" s="60"/>
      <c r="DVF2476" s="60"/>
      <c r="DVG2476" s="60"/>
      <c r="DVH2476" s="60"/>
      <c r="DVI2476" s="63"/>
      <c r="DVJ2476" s="61"/>
      <c r="DVK2476" s="54"/>
      <c r="DVL2476" s="54"/>
      <c r="DVM2476" s="60"/>
      <c r="DVN2476" s="60"/>
      <c r="DVO2476" s="60"/>
      <c r="DVP2476" s="60"/>
      <c r="DVQ2476" s="63"/>
      <c r="DVR2476" s="61"/>
      <c r="DVS2476" s="54"/>
      <c r="DVT2476" s="54"/>
      <c r="DVU2476" s="60"/>
      <c r="DVV2476" s="60"/>
      <c r="DVW2476" s="60"/>
      <c r="DVX2476" s="60"/>
      <c r="DVY2476" s="63"/>
      <c r="DVZ2476" s="61"/>
      <c r="DWA2476" s="54"/>
      <c r="DWB2476" s="54"/>
      <c r="DWC2476" s="60"/>
      <c r="DWD2476" s="60"/>
      <c r="DWE2476" s="60"/>
      <c r="DWF2476" s="60"/>
      <c r="DWG2476" s="63"/>
      <c r="DWH2476" s="61"/>
      <c r="DWI2476" s="54"/>
      <c r="DWJ2476" s="54"/>
      <c r="DWK2476" s="60"/>
      <c r="DWL2476" s="60"/>
      <c r="DWM2476" s="60"/>
      <c r="DWN2476" s="60"/>
      <c r="DWO2476" s="63"/>
      <c r="DWP2476" s="61"/>
      <c r="DWQ2476" s="54"/>
      <c r="DWR2476" s="54"/>
      <c r="DWS2476" s="60"/>
      <c r="DWT2476" s="60"/>
      <c r="DWU2476" s="60"/>
      <c r="DWV2476" s="60"/>
      <c r="DWW2476" s="63"/>
      <c r="DWX2476" s="61"/>
      <c r="DWY2476" s="54"/>
      <c r="DWZ2476" s="54"/>
      <c r="DXA2476" s="60"/>
      <c r="DXB2476" s="60"/>
      <c r="DXC2476" s="60"/>
      <c r="DXD2476" s="60"/>
      <c r="DXE2476" s="63"/>
      <c r="DXF2476" s="61"/>
      <c r="DXG2476" s="54"/>
      <c r="DXH2476" s="54"/>
      <c r="DXI2476" s="60"/>
      <c r="DXJ2476" s="60"/>
      <c r="DXK2476" s="60"/>
      <c r="DXL2476" s="60"/>
      <c r="DXM2476" s="63"/>
      <c r="DXN2476" s="61"/>
      <c r="DXO2476" s="54"/>
      <c r="DXP2476" s="54"/>
      <c r="DXQ2476" s="60"/>
      <c r="DXR2476" s="60"/>
      <c r="DXS2476" s="60"/>
      <c r="DXT2476" s="60"/>
      <c r="DXU2476" s="63"/>
      <c r="DXV2476" s="61"/>
      <c r="DXW2476" s="54"/>
      <c r="DXX2476" s="54"/>
      <c r="DXY2476" s="60"/>
      <c r="DXZ2476" s="60"/>
      <c r="DYA2476" s="60"/>
      <c r="DYB2476" s="60"/>
      <c r="DYC2476" s="63"/>
      <c r="DYD2476" s="61"/>
      <c r="DYE2476" s="54"/>
      <c r="DYF2476" s="54"/>
      <c r="DYG2476" s="60"/>
      <c r="DYH2476" s="60"/>
      <c r="DYI2476" s="60"/>
      <c r="DYJ2476" s="60"/>
      <c r="DYK2476" s="63"/>
      <c r="DYL2476" s="61"/>
      <c r="DYM2476" s="54"/>
      <c r="DYN2476" s="54"/>
      <c r="DYO2476" s="60"/>
      <c r="DYP2476" s="60"/>
      <c r="DYQ2476" s="60"/>
      <c r="DYR2476" s="60"/>
      <c r="DYS2476" s="63"/>
      <c r="DYT2476" s="61"/>
      <c r="DYU2476" s="54"/>
      <c r="DYV2476" s="54"/>
      <c r="DYW2476" s="60"/>
      <c r="DYX2476" s="60"/>
      <c r="DYY2476" s="60"/>
      <c r="DYZ2476" s="60"/>
      <c r="DZA2476" s="63"/>
      <c r="DZB2476" s="61"/>
      <c r="DZC2476" s="54"/>
      <c r="DZD2476" s="54"/>
      <c r="DZE2476" s="60"/>
      <c r="DZF2476" s="60"/>
      <c r="DZG2476" s="60"/>
      <c r="DZH2476" s="60"/>
      <c r="DZI2476" s="63"/>
      <c r="DZJ2476" s="61"/>
      <c r="DZK2476" s="54"/>
      <c r="DZL2476" s="54"/>
      <c r="DZM2476" s="60"/>
      <c r="DZN2476" s="60"/>
      <c r="DZO2476" s="60"/>
      <c r="DZP2476" s="60"/>
      <c r="DZQ2476" s="63"/>
      <c r="DZR2476" s="61"/>
      <c r="DZS2476" s="54"/>
      <c r="DZT2476" s="54"/>
      <c r="DZU2476" s="60"/>
      <c r="DZV2476" s="60"/>
      <c r="DZW2476" s="60"/>
      <c r="DZX2476" s="60"/>
      <c r="DZY2476" s="63"/>
      <c r="DZZ2476" s="61"/>
      <c r="EAA2476" s="54"/>
      <c r="EAB2476" s="54"/>
      <c r="EAC2476" s="60"/>
      <c r="EAD2476" s="60"/>
      <c r="EAE2476" s="60"/>
      <c r="EAF2476" s="60"/>
      <c r="EAG2476" s="63"/>
      <c r="EAH2476" s="61"/>
      <c r="EAI2476" s="54"/>
      <c r="EAJ2476" s="54"/>
      <c r="EAK2476" s="60"/>
      <c r="EAL2476" s="60"/>
      <c r="EAM2476" s="60"/>
      <c r="EAN2476" s="60"/>
      <c r="EAO2476" s="63"/>
      <c r="EAP2476" s="61"/>
      <c r="EAQ2476" s="54"/>
      <c r="EAR2476" s="54"/>
      <c r="EAS2476" s="60"/>
      <c r="EAT2476" s="60"/>
      <c r="EAU2476" s="60"/>
      <c r="EAV2476" s="60"/>
      <c r="EAW2476" s="63"/>
      <c r="EAX2476" s="61"/>
      <c r="EAY2476" s="54"/>
      <c r="EAZ2476" s="54"/>
      <c r="EBA2476" s="60"/>
      <c r="EBB2476" s="60"/>
      <c r="EBC2476" s="60"/>
      <c r="EBD2476" s="60"/>
      <c r="EBE2476" s="63"/>
      <c r="EBF2476" s="61"/>
      <c r="EBG2476" s="54"/>
      <c r="EBH2476" s="54"/>
      <c r="EBI2476" s="60"/>
      <c r="EBJ2476" s="60"/>
      <c r="EBK2476" s="60"/>
      <c r="EBL2476" s="60"/>
      <c r="EBM2476" s="63"/>
      <c r="EBN2476" s="61"/>
      <c r="EBO2476" s="54"/>
      <c r="EBP2476" s="54"/>
      <c r="EBQ2476" s="60"/>
      <c r="EBR2476" s="60"/>
      <c r="EBS2476" s="60"/>
      <c r="EBT2476" s="60"/>
      <c r="EBU2476" s="63"/>
      <c r="EBV2476" s="61"/>
      <c r="EBW2476" s="54"/>
      <c r="EBX2476" s="54"/>
      <c r="EBY2476" s="60"/>
      <c r="EBZ2476" s="60"/>
      <c r="ECA2476" s="60"/>
      <c r="ECB2476" s="60"/>
      <c r="ECC2476" s="63"/>
      <c r="ECD2476" s="61"/>
      <c r="ECE2476" s="54"/>
      <c r="ECF2476" s="54"/>
      <c r="ECG2476" s="60"/>
      <c r="ECH2476" s="60"/>
      <c r="ECI2476" s="60"/>
      <c r="ECJ2476" s="60"/>
      <c r="ECK2476" s="63"/>
      <c r="ECL2476" s="61"/>
      <c r="ECM2476" s="54"/>
      <c r="ECN2476" s="54"/>
      <c r="ECO2476" s="60"/>
      <c r="ECP2476" s="60"/>
      <c r="ECQ2476" s="60"/>
      <c r="ECR2476" s="60"/>
      <c r="ECS2476" s="63"/>
      <c r="ECT2476" s="61"/>
      <c r="ECU2476" s="54"/>
      <c r="ECV2476" s="54"/>
      <c r="ECW2476" s="60"/>
      <c r="ECX2476" s="60"/>
      <c r="ECY2476" s="60"/>
      <c r="ECZ2476" s="60"/>
      <c r="EDA2476" s="63"/>
      <c r="EDB2476" s="61"/>
      <c r="EDC2476" s="54"/>
      <c r="EDD2476" s="54"/>
      <c r="EDE2476" s="60"/>
      <c r="EDF2476" s="60"/>
      <c r="EDG2476" s="60"/>
      <c r="EDH2476" s="60"/>
      <c r="EDI2476" s="63"/>
      <c r="EDJ2476" s="61"/>
      <c r="EDK2476" s="54"/>
      <c r="EDL2476" s="54"/>
      <c r="EDM2476" s="60"/>
      <c r="EDN2476" s="60"/>
      <c r="EDO2476" s="60"/>
      <c r="EDP2476" s="60"/>
      <c r="EDQ2476" s="63"/>
      <c r="EDR2476" s="61"/>
      <c r="EDS2476" s="54"/>
      <c r="EDT2476" s="54"/>
      <c r="EDU2476" s="60"/>
      <c r="EDV2476" s="60"/>
      <c r="EDW2476" s="60"/>
      <c r="EDX2476" s="60"/>
      <c r="EDY2476" s="63"/>
      <c r="EDZ2476" s="61"/>
      <c r="EEA2476" s="54"/>
      <c r="EEB2476" s="54"/>
      <c r="EEC2476" s="60"/>
      <c r="EED2476" s="60"/>
      <c r="EEE2476" s="60"/>
      <c r="EEF2476" s="60"/>
      <c r="EEG2476" s="63"/>
      <c r="EEH2476" s="61"/>
      <c r="EEI2476" s="54"/>
      <c r="EEJ2476" s="54"/>
      <c r="EEK2476" s="60"/>
      <c r="EEL2476" s="60"/>
      <c r="EEM2476" s="60"/>
      <c r="EEN2476" s="60"/>
      <c r="EEO2476" s="63"/>
      <c r="EEP2476" s="61"/>
      <c r="EEQ2476" s="54"/>
      <c r="EER2476" s="54"/>
      <c r="EES2476" s="60"/>
      <c r="EET2476" s="60"/>
      <c r="EEU2476" s="60"/>
      <c r="EEV2476" s="60"/>
      <c r="EEW2476" s="63"/>
      <c r="EEX2476" s="61"/>
      <c r="EEY2476" s="54"/>
      <c r="EEZ2476" s="54"/>
      <c r="EFA2476" s="60"/>
      <c r="EFB2476" s="60"/>
      <c r="EFC2476" s="60"/>
      <c r="EFD2476" s="60"/>
      <c r="EFE2476" s="63"/>
      <c r="EFF2476" s="61"/>
      <c r="EFG2476" s="54"/>
      <c r="EFH2476" s="54"/>
      <c r="EFI2476" s="60"/>
      <c r="EFJ2476" s="60"/>
      <c r="EFK2476" s="60"/>
      <c r="EFL2476" s="60"/>
      <c r="EFM2476" s="63"/>
      <c r="EFN2476" s="61"/>
      <c r="EFO2476" s="54"/>
      <c r="EFP2476" s="54"/>
      <c r="EFQ2476" s="60"/>
      <c r="EFR2476" s="60"/>
      <c r="EFS2476" s="60"/>
      <c r="EFT2476" s="60"/>
      <c r="EFU2476" s="63"/>
      <c r="EFV2476" s="61"/>
      <c r="EFW2476" s="54"/>
      <c r="EFX2476" s="54"/>
      <c r="EFY2476" s="60"/>
      <c r="EFZ2476" s="60"/>
      <c r="EGA2476" s="60"/>
      <c r="EGB2476" s="60"/>
      <c r="EGC2476" s="63"/>
      <c r="EGD2476" s="61"/>
      <c r="EGE2476" s="54"/>
      <c r="EGF2476" s="54"/>
      <c r="EGG2476" s="60"/>
      <c r="EGH2476" s="60"/>
      <c r="EGI2476" s="60"/>
      <c r="EGJ2476" s="60"/>
      <c r="EGK2476" s="63"/>
      <c r="EGL2476" s="61"/>
      <c r="EGM2476" s="54"/>
      <c r="EGN2476" s="54"/>
      <c r="EGO2476" s="60"/>
      <c r="EGP2476" s="60"/>
      <c r="EGQ2476" s="60"/>
      <c r="EGR2476" s="60"/>
      <c r="EGS2476" s="63"/>
      <c r="EGT2476" s="61"/>
      <c r="EGU2476" s="54"/>
      <c r="EGV2476" s="54"/>
      <c r="EGW2476" s="60"/>
      <c r="EGX2476" s="60"/>
      <c r="EGY2476" s="60"/>
      <c r="EGZ2476" s="60"/>
      <c r="EHA2476" s="63"/>
      <c r="EHB2476" s="61"/>
      <c r="EHC2476" s="54"/>
      <c r="EHD2476" s="54"/>
      <c r="EHE2476" s="60"/>
      <c r="EHF2476" s="60"/>
      <c r="EHG2476" s="60"/>
      <c r="EHH2476" s="60"/>
      <c r="EHI2476" s="63"/>
      <c r="EHJ2476" s="61"/>
      <c r="EHK2476" s="54"/>
      <c r="EHL2476" s="54"/>
      <c r="EHM2476" s="60"/>
      <c r="EHN2476" s="60"/>
      <c r="EHO2476" s="60"/>
      <c r="EHP2476" s="60"/>
      <c r="EHQ2476" s="63"/>
      <c r="EHR2476" s="61"/>
      <c r="EHS2476" s="54"/>
      <c r="EHT2476" s="54"/>
      <c r="EHU2476" s="60"/>
      <c r="EHV2476" s="60"/>
      <c r="EHW2476" s="60"/>
      <c r="EHX2476" s="60"/>
      <c r="EHY2476" s="63"/>
      <c r="EHZ2476" s="61"/>
      <c r="EIA2476" s="54"/>
      <c r="EIB2476" s="54"/>
      <c r="EIC2476" s="60"/>
      <c r="EID2476" s="60"/>
      <c r="EIE2476" s="60"/>
      <c r="EIF2476" s="60"/>
      <c r="EIG2476" s="63"/>
      <c r="EIH2476" s="61"/>
      <c r="EII2476" s="54"/>
      <c r="EIJ2476" s="54"/>
      <c r="EIK2476" s="60"/>
      <c r="EIL2476" s="60"/>
      <c r="EIM2476" s="60"/>
      <c r="EIN2476" s="60"/>
      <c r="EIO2476" s="63"/>
      <c r="EIP2476" s="61"/>
      <c r="EIQ2476" s="54"/>
      <c r="EIR2476" s="54"/>
      <c r="EIS2476" s="60"/>
      <c r="EIT2476" s="60"/>
      <c r="EIU2476" s="60"/>
      <c r="EIV2476" s="60"/>
      <c r="EIW2476" s="63"/>
      <c r="EIX2476" s="61"/>
      <c r="EIY2476" s="54"/>
      <c r="EIZ2476" s="54"/>
      <c r="EJA2476" s="60"/>
      <c r="EJB2476" s="60"/>
      <c r="EJC2476" s="60"/>
      <c r="EJD2476" s="60"/>
      <c r="EJE2476" s="63"/>
      <c r="EJF2476" s="61"/>
      <c r="EJG2476" s="54"/>
      <c r="EJH2476" s="54"/>
      <c r="EJI2476" s="60"/>
      <c r="EJJ2476" s="60"/>
      <c r="EJK2476" s="60"/>
      <c r="EJL2476" s="60"/>
      <c r="EJM2476" s="63"/>
      <c r="EJN2476" s="61"/>
      <c r="EJO2476" s="54"/>
      <c r="EJP2476" s="54"/>
      <c r="EJQ2476" s="60"/>
      <c r="EJR2476" s="60"/>
      <c r="EJS2476" s="60"/>
      <c r="EJT2476" s="60"/>
      <c r="EJU2476" s="63"/>
      <c r="EJV2476" s="61"/>
      <c r="EJW2476" s="54"/>
      <c r="EJX2476" s="54"/>
      <c r="EJY2476" s="60"/>
      <c r="EJZ2476" s="60"/>
      <c r="EKA2476" s="60"/>
      <c r="EKB2476" s="60"/>
      <c r="EKC2476" s="63"/>
      <c r="EKD2476" s="61"/>
      <c r="EKE2476" s="54"/>
      <c r="EKF2476" s="54"/>
      <c r="EKG2476" s="60"/>
      <c r="EKH2476" s="60"/>
      <c r="EKI2476" s="60"/>
      <c r="EKJ2476" s="60"/>
      <c r="EKK2476" s="63"/>
      <c r="EKL2476" s="61"/>
      <c r="EKM2476" s="54"/>
      <c r="EKN2476" s="54"/>
      <c r="EKO2476" s="60"/>
      <c r="EKP2476" s="60"/>
      <c r="EKQ2476" s="60"/>
      <c r="EKR2476" s="60"/>
      <c r="EKS2476" s="63"/>
      <c r="EKT2476" s="61"/>
      <c r="EKU2476" s="54"/>
      <c r="EKV2476" s="54"/>
      <c r="EKW2476" s="60"/>
      <c r="EKX2476" s="60"/>
      <c r="EKY2476" s="60"/>
      <c r="EKZ2476" s="60"/>
      <c r="ELA2476" s="63"/>
      <c r="ELB2476" s="61"/>
      <c r="ELC2476" s="54"/>
      <c r="ELD2476" s="54"/>
      <c r="ELE2476" s="60"/>
      <c r="ELF2476" s="60"/>
      <c r="ELG2476" s="60"/>
      <c r="ELH2476" s="60"/>
      <c r="ELI2476" s="63"/>
      <c r="ELJ2476" s="61"/>
      <c r="ELK2476" s="54"/>
      <c r="ELL2476" s="54"/>
      <c r="ELM2476" s="60"/>
      <c r="ELN2476" s="60"/>
      <c r="ELO2476" s="60"/>
      <c r="ELP2476" s="60"/>
      <c r="ELQ2476" s="63"/>
      <c r="ELR2476" s="61"/>
      <c r="ELS2476" s="54"/>
      <c r="ELT2476" s="54"/>
      <c r="ELU2476" s="60"/>
      <c r="ELV2476" s="60"/>
      <c r="ELW2476" s="60"/>
      <c r="ELX2476" s="60"/>
      <c r="ELY2476" s="63"/>
      <c r="ELZ2476" s="61"/>
      <c r="EMA2476" s="54"/>
      <c r="EMB2476" s="54"/>
      <c r="EMC2476" s="60"/>
      <c r="EMD2476" s="60"/>
      <c r="EME2476" s="60"/>
      <c r="EMF2476" s="60"/>
      <c r="EMG2476" s="63"/>
      <c r="EMH2476" s="61"/>
      <c r="EMI2476" s="54"/>
      <c r="EMJ2476" s="54"/>
      <c r="EMK2476" s="60"/>
      <c r="EML2476" s="60"/>
      <c r="EMM2476" s="60"/>
      <c r="EMN2476" s="60"/>
      <c r="EMO2476" s="63"/>
      <c r="EMP2476" s="61"/>
      <c r="EMQ2476" s="54"/>
      <c r="EMR2476" s="54"/>
      <c r="EMS2476" s="60"/>
      <c r="EMT2476" s="60"/>
      <c r="EMU2476" s="60"/>
      <c r="EMV2476" s="60"/>
      <c r="EMW2476" s="63"/>
      <c r="EMX2476" s="61"/>
      <c r="EMY2476" s="54"/>
      <c r="EMZ2476" s="54"/>
      <c r="ENA2476" s="60"/>
      <c r="ENB2476" s="60"/>
      <c r="ENC2476" s="60"/>
      <c r="END2476" s="60"/>
      <c r="ENE2476" s="63"/>
      <c r="ENF2476" s="61"/>
      <c r="ENG2476" s="54"/>
      <c r="ENH2476" s="54"/>
      <c r="ENI2476" s="60"/>
      <c r="ENJ2476" s="60"/>
      <c r="ENK2476" s="60"/>
      <c r="ENL2476" s="60"/>
      <c r="ENM2476" s="63"/>
      <c r="ENN2476" s="61"/>
      <c r="ENO2476" s="54"/>
      <c r="ENP2476" s="54"/>
      <c r="ENQ2476" s="60"/>
      <c r="ENR2476" s="60"/>
      <c r="ENS2476" s="60"/>
      <c r="ENT2476" s="60"/>
      <c r="ENU2476" s="63"/>
      <c r="ENV2476" s="61"/>
      <c r="ENW2476" s="54"/>
      <c r="ENX2476" s="54"/>
      <c r="ENY2476" s="60"/>
      <c r="ENZ2476" s="60"/>
      <c r="EOA2476" s="60"/>
      <c r="EOB2476" s="60"/>
      <c r="EOC2476" s="63"/>
      <c r="EOD2476" s="61"/>
      <c r="EOE2476" s="54"/>
      <c r="EOF2476" s="54"/>
      <c r="EOG2476" s="60"/>
      <c r="EOH2476" s="60"/>
      <c r="EOI2476" s="60"/>
      <c r="EOJ2476" s="60"/>
      <c r="EOK2476" s="63"/>
      <c r="EOL2476" s="61"/>
      <c r="EOM2476" s="54"/>
      <c r="EON2476" s="54"/>
      <c r="EOO2476" s="60"/>
      <c r="EOP2476" s="60"/>
      <c r="EOQ2476" s="60"/>
      <c r="EOR2476" s="60"/>
      <c r="EOS2476" s="63"/>
      <c r="EOT2476" s="61"/>
      <c r="EOU2476" s="54"/>
      <c r="EOV2476" s="54"/>
      <c r="EOW2476" s="60"/>
      <c r="EOX2476" s="60"/>
      <c r="EOY2476" s="60"/>
      <c r="EOZ2476" s="60"/>
      <c r="EPA2476" s="63"/>
      <c r="EPB2476" s="61"/>
      <c r="EPC2476" s="54"/>
      <c r="EPD2476" s="54"/>
      <c r="EPE2476" s="60"/>
      <c r="EPF2476" s="60"/>
      <c r="EPG2476" s="60"/>
      <c r="EPH2476" s="60"/>
      <c r="EPI2476" s="63"/>
      <c r="EPJ2476" s="61"/>
      <c r="EPK2476" s="54"/>
      <c r="EPL2476" s="54"/>
      <c r="EPM2476" s="60"/>
      <c r="EPN2476" s="60"/>
      <c r="EPO2476" s="60"/>
      <c r="EPP2476" s="60"/>
      <c r="EPQ2476" s="63"/>
      <c r="EPR2476" s="61"/>
      <c r="EPS2476" s="54"/>
      <c r="EPT2476" s="54"/>
      <c r="EPU2476" s="60"/>
      <c r="EPV2476" s="60"/>
      <c r="EPW2476" s="60"/>
      <c r="EPX2476" s="60"/>
      <c r="EPY2476" s="63"/>
      <c r="EPZ2476" s="61"/>
      <c r="EQA2476" s="54"/>
      <c r="EQB2476" s="54"/>
      <c r="EQC2476" s="60"/>
      <c r="EQD2476" s="60"/>
      <c r="EQE2476" s="60"/>
      <c r="EQF2476" s="60"/>
      <c r="EQG2476" s="63"/>
      <c r="EQH2476" s="61"/>
      <c r="EQI2476" s="54"/>
      <c r="EQJ2476" s="54"/>
      <c r="EQK2476" s="60"/>
      <c r="EQL2476" s="60"/>
      <c r="EQM2476" s="60"/>
      <c r="EQN2476" s="60"/>
      <c r="EQO2476" s="63"/>
      <c r="EQP2476" s="61"/>
      <c r="EQQ2476" s="54"/>
      <c r="EQR2476" s="54"/>
      <c r="EQS2476" s="60"/>
      <c r="EQT2476" s="60"/>
      <c r="EQU2476" s="60"/>
      <c r="EQV2476" s="60"/>
      <c r="EQW2476" s="63"/>
      <c r="EQX2476" s="61"/>
      <c r="EQY2476" s="54"/>
      <c r="EQZ2476" s="54"/>
      <c r="ERA2476" s="60"/>
      <c r="ERB2476" s="60"/>
      <c r="ERC2476" s="60"/>
      <c r="ERD2476" s="60"/>
      <c r="ERE2476" s="63"/>
      <c r="ERF2476" s="61"/>
      <c r="ERG2476" s="54"/>
      <c r="ERH2476" s="54"/>
      <c r="ERI2476" s="60"/>
      <c r="ERJ2476" s="60"/>
      <c r="ERK2476" s="60"/>
      <c r="ERL2476" s="60"/>
      <c r="ERM2476" s="63"/>
      <c r="ERN2476" s="61"/>
      <c r="ERO2476" s="54"/>
      <c r="ERP2476" s="54"/>
      <c r="ERQ2476" s="60"/>
      <c r="ERR2476" s="60"/>
      <c r="ERS2476" s="60"/>
      <c r="ERT2476" s="60"/>
      <c r="ERU2476" s="63"/>
      <c r="ERV2476" s="61"/>
      <c r="ERW2476" s="54"/>
      <c r="ERX2476" s="54"/>
      <c r="ERY2476" s="60"/>
      <c r="ERZ2476" s="60"/>
      <c r="ESA2476" s="60"/>
      <c r="ESB2476" s="60"/>
      <c r="ESC2476" s="63"/>
      <c r="ESD2476" s="61"/>
      <c r="ESE2476" s="54"/>
      <c r="ESF2476" s="54"/>
      <c r="ESG2476" s="60"/>
      <c r="ESH2476" s="60"/>
      <c r="ESI2476" s="60"/>
      <c r="ESJ2476" s="60"/>
      <c r="ESK2476" s="63"/>
      <c r="ESL2476" s="61"/>
      <c r="ESM2476" s="54"/>
      <c r="ESN2476" s="54"/>
      <c r="ESO2476" s="60"/>
      <c r="ESP2476" s="60"/>
      <c r="ESQ2476" s="60"/>
      <c r="ESR2476" s="60"/>
      <c r="ESS2476" s="63"/>
      <c r="EST2476" s="61"/>
      <c r="ESU2476" s="54"/>
      <c r="ESV2476" s="54"/>
      <c r="ESW2476" s="60"/>
      <c r="ESX2476" s="60"/>
      <c r="ESY2476" s="60"/>
      <c r="ESZ2476" s="60"/>
      <c r="ETA2476" s="63"/>
      <c r="ETB2476" s="61"/>
      <c r="ETC2476" s="54"/>
      <c r="ETD2476" s="54"/>
      <c r="ETE2476" s="60"/>
      <c r="ETF2476" s="60"/>
      <c r="ETG2476" s="60"/>
      <c r="ETH2476" s="60"/>
      <c r="ETI2476" s="63"/>
      <c r="ETJ2476" s="61"/>
      <c r="ETK2476" s="54"/>
      <c r="ETL2476" s="54"/>
      <c r="ETM2476" s="60"/>
      <c r="ETN2476" s="60"/>
      <c r="ETO2476" s="60"/>
      <c r="ETP2476" s="60"/>
      <c r="ETQ2476" s="63"/>
      <c r="ETR2476" s="61"/>
      <c r="ETS2476" s="54"/>
      <c r="ETT2476" s="54"/>
      <c r="ETU2476" s="60"/>
      <c r="ETV2476" s="60"/>
      <c r="ETW2476" s="60"/>
      <c r="ETX2476" s="60"/>
      <c r="ETY2476" s="63"/>
      <c r="ETZ2476" s="61"/>
      <c r="EUA2476" s="54"/>
      <c r="EUB2476" s="54"/>
      <c r="EUC2476" s="60"/>
      <c r="EUD2476" s="60"/>
      <c r="EUE2476" s="60"/>
      <c r="EUF2476" s="60"/>
      <c r="EUG2476" s="63"/>
      <c r="EUH2476" s="61"/>
      <c r="EUI2476" s="54"/>
      <c r="EUJ2476" s="54"/>
      <c r="EUK2476" s="60"/>
      <c r="EUL2476" s="60"/>
      <c r="EUM2476" s="60"/>
      <c r="EUN2476" s="60"/>
      <c r="EUO2476" s="63"/>
      <c r="EUP2476" s="61"/>
      <c r="EUQ2476" s="54"/>
      <c r="EUR2476" s="54"/>
      <c r="EUS2476" s="60"/>
      <c r="EUT2476" s="60"/>
      <c r="EUU2476" s="60"/>
      <c r="EUV2476" s="60"/>
      <c r="EUW2476" s="63"/>
      <c r="EUX2476" s="61"/>
      <c r="EUY2476" s="54"/>
      <c r="EUZ2476" s="54"/>
      <c r="EVA2476" s="60"/>
      <c r="EVB2476" s="60"/>
      <c r="EVC2476" s="60"/>
      <c r="EVD2476" s="60"/>
      <c r="EVE2476" s="63"/>
      <c r="EVF2476" s="61"/>
      <c r="EVG2476" s="54"/>
      <c r="EVH2476" s="54"/>
      <c r="EVI2476" s="60"/>
      <c r="EVJ2476" s="60"/>
      <c r="EVK2476" s="60"/>
      <c r="EVL2476" s="60"/>
      <c r="EVM2476" s="63"/>
      <c r="EVN2476" s="61"/>
      <c r="EVO2476" s="54"/>
      <c r="EVP2476" s="54"/>
      <c r="EVQ2476" s="60"/>
      <c r="EVR2476" s="60"/>
      <c r="EVS2476" s="60"/>
      <c r="EVT2476" s="60"/>
      <c r="EVU2476" s="63"/>
      <c r="EVV2476" s="61"/>
      <c r="EVW2476" s="54"/>
      <c r="EVX2476" s="54"/>
      <c r="EVY2476" s="60"/>
      <c r="EVZ2476" s="60"/>
      <c r="EWA2476" s="60"/>
      <c r="EWB2476" s="60"/>
      <c r="EWC2476" s="63"/>
      <c r="EWD2476" s="61"/>
      <c r="EWE2476" s="54"/>
      <c r="EWF2476" s="54"/>
      <c r="EWG2476" s="60"/>
      <c r="EWH2476" s="60"/>
      <c r="EWI2476" s="60"/>
      <c r="EWJ2476" s="60"/>
      <c r="EWK2476" s="63"/>
      <c r="EWL2476" s="61"/>
      <c r="EWM2476" s="54"/>
      <c r="EWN2476" s="54"/>
      <c r="EWO2476" s="60"/>
      <c r="EWP2476" s="60"/>
      <c r="EWQ2476" s="60"/>
      <c r="EWR2476" s="60"/>
      <c r="EWS2476" s="63"/>
      <c r="EWT2476" s="61"/>
      <c r="EWU2476" s="54"/>
      <c r="EWV2476" s="54"/>
      <c r="EWW2476" s="60"/>
      <c r="EWX2476" s="60"/>
      <c r="EWY2476" s="60"/>
      <c r="EWZ2476" s="60"/>
      <c r="EXA2476" s="63"/>
      <c r="EXB2476" s="61"/>
      <c r="EXC2476" s="54"/>
      <c r="EXD2476" s="54"/>
      <c r="EXE2476" s="60"/>
      <c r="EXF2476" s="60"/>
      <c r="EXG2476" s="60"/>
      <c r="EXH2476" s="60"/>
      <c r="EXI2476" s="63"/>
      <c r="EXJ2476" s="61"/>
      <c r="EXK2476" s="54"/>
      <c r="EXL2476" s="54"/>
      <c r="EXM2476" s="60"/>
      <c r="EXN2476" s="60"/>
      <c r="EXO2476" s="60"/>
      <c r="EXP2476" s="60"/>
      <c r="EXQ2476" s="63"/>
      <c r="EXR2476" s="61"/>
      <c r="EXS2476" s="54"/>
      <c r="EXT2476" s="54"/>
      <c r="EXU2476" s="60"/>
      <c r="EXV2476" s="60"/>
      <c r="EXW2476" s="60"/>
      <c r="EXX2476" s="60"/>
      <c r="EXY2476" s="63"/>
      <c r="EXZ2476" s="61"/>
      <c r="EYA2476" s="54"/>
      <c r="EYB2476" s="54"/>
      <c r="EYC2476" s="60"/>
      <c r="EYD2476" s="60"/>
      <c r="EYE2476" s="60"/>
      <c r="EYF2476" s="60"/>
      <c r="EYG2476" s="63"/>
      <c r="EYH2476" s="61"/>
      <c r="EYI2476" s="54"/>
      <c r="EYJ2476" s="54"/>
      <c r="EYK2476" s="60"/>
      <c r="EYL2476" s="60"/>
      <c r="EYM2476" s="60"/>
      <c r="EYN2476" s="60"/>
      <c r="EYO2476" s="63"/>
      <c r="EYP2476" s="61"/>
      <c r="EYQ2476" s="54"/>
      <c r="EYR2476" s="54"/>
      <c r="EYS2476" s="60"/>
      <c r="EYT2476" s="60"/>
      <c r="EYU2476" s="60"/>
      <c r="EYV2476" s="60"/>
      <c r="EYW2476" s="63"/>
      <c r="EYX2476" s="61"/>
      <c r="EYY2476" s="54"/>
      <c r="EYZ2476" s="54"/>
      <c r="EZA2476" s="60"/>
      <c r="EZB2476" s="60"/>
      <c r="EZC2476" s="60"/>
      <c r="EZD2476" s="60"/>
      <c r="EZE2476" s="63"/>
      <c r="EZF2476" s="61"/>
      <c r="EZG2476" s="54"/>
      <c r="EZH2476" s="54"/>
      <c r="EZI2476" s="60"/>
      <c r="EZJ2476" s="60"/>
      <c r="EZK2476" s="60"/>
      <c r="EZL2476" s="60"/>
      <c r="EZM2476" s="63"/>
      <c r="EZN2476" s="61"/>
      <c r="EZO2476" s="54"/>
      <c r="EZP2476" s="54"/>
      <c r="EZQ2476" s="60"/>
      <c r="EZR2476" s="60"/>
      <c r="EZS2476" s="60"/>
      <c r="EZT2476" s="60"/>
      <c r="EZU2476" s="63"/>
      <c r="EZV2476" s="61"/>
      <c r="EZW2476" s="54"/>
      <c r="EZX2476" s="54"/>
      <c r="EZY2476" s="60"/>
      <c r="EZZ2476" s="60"/>
      <c r="FAA2476" s="60"/>
      <c r="FAB2476" s="60"/>
      <c r="FAC2476" s="63"/>
      <c r="FAD2476" s="61"/>
      <c r="FAE2476" s="54"/>
      <c r="FAF2476" s="54"/>
      <c r="FAG2476" s="60"/>
      <c r="FAH2476" s="60"/>
      <c r="FAI2476" s="60"/>
      <c r="FAJ2476" s="60"/>
      <c r="FAK2476" s="63"/>
      <c r="FAL2476" s="61"/>
      <c r="FAM2476" s="54"/>
      <c r="FAN2476" s="54"/>
      <c r="FAO2476" s="60"/>
      <c r="FAP2476" s="60"/>
      <c r="FAQ2476" s="60"/>
      <c r="FAR2476" s="60"/>
      <c r="FAS2476" s="63"/>
      <c r="FAT2476" s="61"/>
      <c r="FAU2476" s="54"/>
      <c r="FAV2476" s="54"/>
      <c r="FAW2476" s="60"/>
      <c r="FAX2476" s="60"/>
      <c r="FAY2476" s="60"/>
      <c r="FAZ2476" s="60"/>
      <c r="FBA2476" s="63"/>
      <c r="FBB2476" s="61"/>
      <c r="FBC2476" s="54"/>
      <c r="FBD2476" s="54"/>
      <c r="FBE2476" s="60"/>
      <c r="FBF2476" s="60"/>
      <c r="FBG2476" s="60"/>
      <c r="FBH2476" s="60"/>
      <c r="FBI2476" s="63"/>
      <c r="FBJ2476" s="61"/>
      <c r="FBK2476" s="54"/>
      <c r="FBL2476" s="54"/>
      <c r="FBM2476" s="60"/>
      <c r="FBN2476" s="60"/>
      <c r="FBO2476" s="60"/>
      <c r="FBP2476" s="60"/>
      <c r="FBQ2476" s="63"/>
      <c r="FBR2476" s="61"/>
      <c r="FBS2476" s="54"/>
      <c r="FBT2476" s="54"/>
      <c r="FBU2476" s="60"/>
      <c r="FBV2476" s="60"/>
      <c r="FBW2476" s="60"/>
      <c r="FBX2476" s="60"/>
      <c r="FBY2476" s="63"/>
      <c r="FBZ2476" s="61"/>
      <c r="FCA2476" s="54"/>
      <c r="FCB2476" s="54"/>
      <c r="FCC2476" s="60"/>
      <c r="FCD2476" s="60"/>
      <c r="FCE2476" s="60"/>
      <c r="FCF2476" s="60"/>
      <c r="FCG2476" s="63"/>
      <c r="FCH2476" s="61"/>
      <c r="FCI2476" s="54"/>
      <c r="FCJ2476" s="54"/>
      <c r="FCK2476" s="60"/>
      <c r="FCL2476" s="60"/>
      <c r="FCM2476" s="60"/>
      <c r="FCN2476" s="60"/>
      <c r="FCO2476" s="63"/>
      <c r="FCP2476" s="61"/>
      <c r="FCQ2476" s="54"/>
      <c r="FCR2476" s="54"/>
      <c r="FCS2476" s="60"/>
      <c r="FCT2476" s="60"/>
      <c r="FCU2476" s="60"/>
      <c r="FCV2476" s="60"/>
      <c r="FCW2476" s="63"/>
      <c r="FCX2476" s="61"/>
      <c r="FCY2476" s="54"/>
      <c r="FCZ2476" s="54"/>
      <c r="FDA2476" s="60"/>
      <c r="FDB2476" s="60"/>
      <c r="FDC2476" s="60"/>
      <c r="FDD2476" s="60"/>
      <c r="FDE2476" s="63"/>
      <c r="FDF2476" s="61"/>
      <c r="FDG2476" s="54"/>
      <c r="FDH2476" s="54"/>
      <c r="FDI2476" s="60"/>
      <c r="FDJ2476" s="60"/>
      <c r="FDK2476" s="60"/>
      <c r="FDL2476" s="60"/>
      <c r="FDM2476" s="63"/>
      <c r="FDN2476" s="61"/>
      <c r="FDO2476" s="54"/>
      <c r="FDP2476" s="54"/>
      <c r="FDQ2476" s="60"/>
      <c r="FDR2476" s="60"/>
      <c r="FDS2476" s="60"/>
      <c r="FDT2476" s="60"/>
      <c r="FDU2476" s="63"/>
      <c r="FDV2476" s="61"/>
      <c r="FDW2476" s="54"/>
      <c r="FDX2476" s="54"/>
      <c r="FDY2476" s="60"/>
      <c r="FDZ2476" s="60"/>
      <c r="FEA2476" s="60"/>
      <c r="FEB2476" s="60"/>
      <c r="FEC2476" s="63"/>
      <c r="FED2476" s="61"/>
      <c r="FEE2476" s="54"/>
      <c r="FEF2476" s="54"/>
      <c r="FEG2476" s="60"/>
      <c r="FEH2476" s="60"/>
      <c r="FEI2476" s="60"/>
      <c r="FEJ2476" s="60"/>
      <c r="FEK2476" s="63"/>
      <c r="FEL2476" s="61"/>
      <c r="FEM2476" s="54"/>
      <c r="FEN2476" s="54"/>
      <c r="FEO2476" s="60"/>
      <c r="FEP2476" s="60"/>
      <c r="FEQ2476" s="60"/>
      <c r="FER2476" s="60"/>
      <c r="FES2476" s="63"/>
      <c r="FET2476" s="61"/>
      <c r="FEU2476" s="54"/>
      <c r="FEV2476" s="54"/>
      <c r="FEW2476" s="60"/>
      <c r="FEX2476" s="60"/>
      <c r="FEY2476" s="60"/>
      <c r="FEZ2476" s="60"/>
      <c r="FFA2476" s="63"/>
      <c r="FFB2476" s="61"/>
      <c r="FFC2476" s="54"/>
      <c r="FFD2476" s="54"/>
      <c r="FFE2476" s="60"/>
      <c r="FFF2476" s="60"/>
      <c r="FFG2476" s="60"/>
      <c r="FFH2476" s="60"/>
      <c r="FFI2476" s="63"/>
      <c r="FFJ2476" s="61"/>
      <c r="FFK2476" s="54"/>
      <c r="FFL2476" s="54"/>
      <c r="FFM2476" s="60"/>
      <c r="FFN2476" s="60"/>
      <c r="FFO2476" s="60"/>
      <c r="FFP2476" s="60"/>
      <c r="FFQ2476" s="63"/>
      <c r="FFR2476" s="61"/>
      <c r="FFS2476" s="54"/>
      <c r="FFT2476" s="54"/>
      <c r="FFU2476" s="60"/>
      <c r="FFV2476" s="60"/>
      <c r="FFW2476" s="60"/>
      <c r="FFX2476" s="60"/>
      <c r="FFY2476" s="63"/>
      <c r="FFZ2476" s="61"/>
      <c r="FGA2476" s="54"/>
      <c r="FGB2476" s="54"/>
      <c r="FGC2476" s="60"/>
      <c r="FGD2476" s="60"/>
      <c r="FGE2476" s="60"/>
      <c r="FGF2476" s="60"/>
      <c r="FGG2476" s="63"/>
      <c r="FGH2476" s="61"/>
      <c r="FGI2476" s="54"/>
      <c r="FGJ2476" s="54"/>
      <c r="FGK2476" s="60"/>
      <c r="FGL2476" s="60"/>
      <c r="FGM2476" s="60"/>
      <c r="FGN2476" s="60"/>
      <c r="FGO2476" s="63"/>
      <c r="FGP2476" s="61"/>
      <c r="FGQ2476" s="54"/>
      <c r="FGR2476" s="54"/>
      <c r="FGS2476" s="60"/>
      <c r="FGT2476" s="60"/>
      <c r="FGU2476" s="60"/>
      <c r="FGV2476" s="60"/>
      <c r="FGW2476" s="63"/>
      <c r="FGX2476" s="61"/>
      <c r="FGY2476" s="54"/>
      <c r="FGZ2476" s="54"/>
      <c r="FHA2476" s="60"/>
      <c r="FHB2476" s="60"/>
      <c r="FHC2476" s="60"/>
      <c r="FHD2476" s="60"/>
      <c r="FHE2476" s="63"/>
      <c r="FHF2476" s="61"/>
      <c r="FHG2476" s="54"/>
      <c r="FHH2476" s="54"/>
      <c r="FHI2476" s="60"/>
      <c r="FHJ2476" s="60"/>
      <c r="FHK2476" s="60"/>
      <c r="FHL2476" s="60"/>
      <c r="FHM2476" s="63"/>
      <c r="FHN2476" s="61"/>
      <c r="FHO2476" s="54"/>
      <c r="FHP2476" s="54"/>
      <c r="FHQ2476" s="60"/>
      <c r="FHR2476" s="60"/>
      <c r="FHS2476" s="60"/>
      <c r="FHT2476" s="60"/>
      <c r="FHU2476" s="63"/>
      <c r="FHV2476" s="61"/>
      <c r="FHW2476" s="54"/>
      <c r="FHX2476" s="54"/>
      <c r="FHY2476" s="60"/>
      <c r="FHZ2476" s="60"/>
      <c r="FIA2476" s="60"/>
      <c r="FIB2476" s="60"/>
      <c r="FIC2476" s="63"/>
      <c r="FID2476" s="61"/>
      <c r="FIE2476" s="54"/>
      <c r="FIF2476" s="54"/>
      <c r="FIG2476" s="60"/>
      <c r="FIH2476" s="60"/>
      <c r="FII2476" s="60"/>
      <c r="FIJ2476" s="60"/>
      <c r="FIK2476" s="63"/>
      <c r="FIL2476" s="61"/>
      <c r="FIM2476" s="54"/>
      <c r="FIN2476" s="54"/>
      <c r="FIO2476" s="60"/>
      <c r="FIP2476" s="60"/>
      <c r="FIQ2476" s="60"/>
      <c r="FIR2476" s="60"/>
      <c r="FIS2476" s="63"/>
      <c r="FIT2476" s="61"/>
      <c r="FIU2476" s="54"/>
      <c r="FIV2476" s="54"/>
      <c r="FIW2476" s="60"/>
      <c r="FIX2476" s="60"/>
      <c r="FIY2476" s="60"/>
      <c r="FIZ2476" s="60"/>
      <c r="FJA2476" s="63"/>
      <c r="FJB2476" s="61"/>
      <c r="FJC2476" s="54"/>
      <c r="FJD2476" s="54"/>
      <c r="FJE2476" s="60"/>
      <c r="FJF2476" s="60"/>
      <c r="FJG2476" s="60"/>
      <c r="FJH2476" s="60"/>
      <c r="FJI2476" s="63"/>
      <c r="FJJ2476" s="61"/>
      <c r="FJK2476" s="54"/>
      <c r="FJL2476" s="54"/>
      <c r="FJM2476" s="60"/>
      <c r="FJN2476" s="60"/>
      <c r="FJO2476" s="60"/>
      <c r="FJP2476" s="60"/>
      <c r="FJQ2476" s="63"/>
      <c r="FJR2476" s="61"/>
      <c r="FJS2476" s="54"/>
      <c r="FJT2476" s="54"/>
      <c r="FJU2476" s="60"/>
      <c r="FJV2476" s="60"/>
      <c r="FJW2476" s="60"/>
      <c r="FJX2476" s="60"/>
      <c r="FJY2476" s="63"/>
      <c r="FJZ2476" s="61"/>
      <c r="FKA2476" s="54"/>
      <c r="FKB2476" s="54"/>
      <c r="FKC2476" s="60"/>
      <c r="FKD2476" s="60"/>
      <c r="FKE2476" s="60"/>
      <c r="FKF2476" s="60"/>
      <c r="FKG2476" s="63"/>
      <c r="FKH2476" s="61"/>
      <c r="FKI2476" s="54"/>
      <c r="FKJ2476" s="54"/>
      <c r="FKK2476" s="60"/>
      <c r="FKL2476" s="60"/>
      <c r="FKM2476" s="60"/>
      <c r="FKN2476" s="60"/>
      <c r="FKO2476" s="63"/>
      <c r="FKP2476" s="61"/>
      <c r="FKQ2476" s="54"/>
      <c r="FKR2476" s="54"/>
      <c r="FKS2476" s="60"/>
      <c r="FKT2476" s="60"/>
      <c r="FKU2476" s="60"/>
      <c r="FKV2476" s="60"/>
      <c r="FKW2476" s="63"/>
      <c r="FKX2476" s="61"/>
      <c r="FKY2476" s="54"/>
      <c r="FKZ2476" s="54"/>
      <c r="FLA2476" s="60"/>
      <c r="FLB2476" s="60"/>
      <c r="FLC2476" s="60"/>
      <c r="FLD2476" s="60"/>
      <c r="FLE2476" s="63"/>
      <c r="FLF2476" s="61"/>
      <c r="FLG2476" s="54"/>
      <c r="FLH2476" s="54"/>
      <c r="FLI2476" s="60"/>
      <c r="FLJ2476" s="60"/>
      <c r="FLK2476" s="60"/>
      <c r="FLL2476" s="60"/>
      <c r="FLM2476" s="63"/>
      <c r="FLN2476" s="61"/>
      <c r="FLO2476" s="54"/>
      <c r="FLP2476" s="54"/>
      <c r="FLQ2476" s="60"/>
      <c r="FLR2476" s="60"/>
      <c r="FLS2476" s="60"/>
      <c r="FLT2476" s="60"/>
      <c r="FLU2476" s="63"/>
      <c r="FLV2476" s="61"/>
      <c r="FLW2476" s="54"/>
      <c r="FLX2476" s="54"/>
      <c r="FLY2476" s="60"/>
      <c r="FLZ2476" s="60"/>
      <c r="FMA2476" s="60"/>
      <c r="FMB2476" s="60"/>
      <c r="FMC2476" s="63"/>
      <c r="FMD2476" s="61"/>
      <c r="FME2476" s="54"/>
      <c r="FMF2476" s="54"/>
      <c r="FMG2476" s="60"/>
      <c r="FMH2476" s="60"/>
      <c r="FMI2476" s="60"/>
      <c r="FMJ2476" s="60"/>
      <c r="FMK2476" s="63"/>
      <c r="FML2476" s="61"/>
      <c r="FMM2476" s="54"/>
      <c r="FMN2476" s="54"/>
      <c r="FMO2476" s="60"/>
      <c r="FMP2476" s="60"/>
      <c r="FMQ2476" s="60"/>
      <c r="FMR2476" s="60"/>
      <c r="FMS2476" s="63"/>
      <c r="FMT2476" s="61"/>
      <c r="FMU2476" s="54"/>
      <c r="FMV2476" s="54"/>
      <c r="FMW2476" s="60"/>
      <c r="FMX2476" s="60"/>
      <c r="FMY2476" s="60"/>
      <c r="FMZ2476" s="60"/>
      <c r="FNA2476" s="63"/>
      <c r="FNB2476" s="61"/>
      <c r="FNC2476" s="54"/>
      <c r="FND2476" s="54"/>
      <c r="FNE2476" s="60"/>
      <c r="FNF2476" s="60"/>
      <c r="FNG2476" s="60"/>
      <c r="FNH2476" s="60"/>
      <c r="FNI2476" s="63"/>
      <c r="FNJ2476" s="61"/>
      <c r="FNK2476" s="54"/>
      <c r="FNL2476" s="54"/>
      <c r="FNM2476" s="60"/>
      <c r="FNN2476" s="60"/>
      <c r="FNO2476" s="60"/>
      <c r="FNP2476" s="60"/>
      <c r="FNQ2476" s="63"/>
      <c r="FNR2476" s="61"/>
      <c r="FNS2476" s="54"/>
      <c r="FNT2476" s="54"/>
      <c r="FNU2476" s="60"/>
      <c r="FNV2476" s="60"/>
      <c r="FNW2476" s="60"/>
      <c r="FNX2476" s="60"/>
      <c r="FNY2476" s="63"/>
      <c r="FNZ2476" s="61"/>
      <c r="FOA2476" s="54"/>
      <c r="FOB2476" s="54"/>
      <c r="FOC2476" s="60"/>
      <c r="FOD2476" s="60"/>
      <c r="FOE2476" s="60"/>
      <c r="FOF2476" s="60"/>
      <c r="FOG2476" s="63"/>
      <c r="FOH2476" s="61"/>
      <c r="FOI2476" s="54"/>
      <c r="FOJ2476" s="54"/>
      <c r="FOK2476" s="60"/>
      <c r="FOL2476" s="60"/>
      <c r="FOM2476" s="60"/>
      <c r="FON2476" s="60"/>
      <c r="FOO2476" s="63"/>
      <c r="FOP2476" s="61"/>
      <c r="FOQ2476" s="54"/>
      <c r="FOR2476" s="54"/>
      <c r="FOS2476" s="60"/>
      <c r="FOT2476" s="60"/>
      <c r="FOU2476" s="60"/>
      <c r="FOV2476" s="60"/>
      <c r="FOW2476" s="63"/>
      <c r="FOX2476" s="61"/>
      <c r="FOY2476" s="54"/>
      <c r="FOZ2476" s="54"/>
      <c r="FPA2476" s="60"/>
      <c r="FPB2476" s="60"/>
      <c r="FPC2476" s="60"/>
      <c r="FPD2476" s="60"/>
      <c r="FPE2476" s="63"/>
      <c r="FPF2476" s="61"/>
      <c r="FPG2476" s="54"/>
      <c r="FPH2476" s="54"/>
      <c r="FPI2476" s="60"/>
      <c r="FPJ2476" s="60"/>
      <c r="FPK2476" s="60"/>
      <c r="FPL2476" s="60"/>
      <c r="FPM2476" s="63"/>
      <c r="FPN2476" s="61"/>
      <c r="FPO2476" s="54"/>
      <c r="FPP2476" s="54"/>
      <c r="FPQ2476" s="60"/>
      <c r="FPR2476" s="60"/>
      <c r="FPS2476" s="60"/>
      <c r="FPT2476" s="60"/>
      <c r="FPU2476" s="63"/>
      <c r="FPV2476" s="61"/>
      <c r="FPW2476" s="54"/>
      <c r="FPX2476" s="54"/>
      <c r="FPY2476" s="60"/>
      <c r="FPZ2476" s="60"/>
      <c r="FQA2476" s="60"/>
      <c r="FQB2476" s="60"/>
      <c r="FQC2476" s="63"/>
      <c r="FQD2476" s="61"/>
      <c r="FQE2476" s="54"/>
      <c r="FQF2476" s="54"/>
      <c r="FQG2476" s="60"/>
      <c r="FQH2476" s="60"/>
      <c r="FQI2476" s="60"/>
      <c r="FQJ2476" s="60"/>
      <c r="FQK2476" s="63"/>
      <c r="FQL2476" s="61"/>
      <c r="FQM2476" s="54"/>
      <c r="FQN2476" s="54"/>
      <c r="FQO2476" s="60"/>
      <c r="FQP2476" s="60"/>
      <c r="FQQ2476" s="60"/>
      <c r="FQR2476" s="60"/>
      <c r="FQS2476" s="63"/>
      <c r="FQT2476" s="61"/>
      <c r="FQU2476" s="54"/>
      <c r="FQV2476" s="54"/>
      <c r="FQW2476" s="60"/>
      <c r="FQX2476" s="60"/>
      <c r="FQY2476" s="60"/>
      <c r="FQZ2476" s="60"/>
      <c r="FRA2476" s="63"/>
      <c r="FRB2476" s="61"/>
      <c r="FRC2476" s="54"/>
      <c r="FRD2476" s="54"/>
      <c r="FRE2476" s="60"/>
      <c r="FRF2476" s="60"/>
      <c r="FRG2476" s="60"/>
      <c r="FRH2476" s="60"/>
      <c r="FRI2476" s="63"/>
      <c r="FRJ2476" s="61"/>
      <c r="FRK2476" s="54"/>
      <c r="FRL2476" s="54"/>
      <c r="FRM2476" s="60"/>
      <c r="FRN2476" s="60"/>
      <c r="FRO2476" s="60"/>
      <c r="FRP2476" s="60"/>
      <c r="FRQ2476" s="63"/>
      <c r="FRR2476" s="61"/>
      <c r="FRS2476" s="54"/>
      <c r="FRT2476" s="54"/>
      <c r="FRU2476" s="60"/>
      <c r="FRV2476" s="60"/>
      <c r="FRW2476" s="60"/>
      <c r="FRX2476" s="60"/>
      <c r="FRY2476" s="63"/>
      <c r="FRZ2476" s="61"/>
      <c r="FSA2476" s="54"/>
      <c r="FSB2476" s="54"/>
      <c r="FSC2476" s="60"/>
      <c r="FSD2476" s="60"/>
      <c r="FSE2476" s="60"/>
      <c r="FSF2476" s="60"/>
      <c r="FSG2476" s="63"/>
      <c r="FSH2476" s="61"/>
      <c r="FSI2476" s="54"/>
      <c r="FSJ2476" s="54"/>
      <c r="FSK2476" s="60"/>
      <c r="FSL2476" s="60"/>
      <c r="FSM2476" s="60"/>
      <c r="FSN2476" s="60"/>
      <c r="FSO2476" s="63"/>
      <c r="FSP2476" s="61"/>
      <c r="FSQ2476" s="54"/>
      <c r="FSR2476" s="54"/>
      <c r="FSS2476" s="60"/>
      <c r="FST2476" s="60"/>
      <c r="FSU2476" s="60"/>
      <c r="FSV2476" s="60"/>
      <c r="FSW2476" s="63"/>
      <c r="FSX2476" s="61"/>
      <c r="FSY2476" s="54"/>
      <c r="FSZ2476" s="54"/>
      <c r="FTA2476" s="60"/>
      <c r="FTB2476" s="60"/>
      <c r="FTC2476" s="60"/>
      <c r="FTD2476" s="60"/>
      <c r="FTE2476" s="63"/>
      <c r="FTF2476" s="61"/>
      <c r="FTG2476" s="54"/>
      <c r="FTH2476" s="54"/>
      <c r="FTI2476" s="60"/>
      <c r="FTJ2476" s="60"/>
      <c r="FTK2476" s="60"/>
      <c r="FTL2476" s="60"/>
      <c r="FTM2476" s="63"/>
      <c r="FTN2476" s="61"/>
      <c r="FTO2476" s="54"/>
      <c r="FTP2476" s="54"/>
      <c r="FTQ2476" s="60"/>
      <c r="FTR2476" s="60"/>
      <c r="FTS2476" s="60"/>
      <c r="FTT2476" s="60"/>
      <c r="FTU2476" s="63"/>
      <c r="FTV2476" s="61"/>
      <c r="FTW2476" s="54"/>
      <c r="FTX2476" s="54"/>
      <c r="FTY2476" s="60"/>
      <c r="FTZ2476" s="60"/>
      <c r="FUA2476" s="60"/>
      <c r="FUB2476" s="60"/>
      <c r="FUC2476" s="63"/>
      <c r="FUD2476" s="61"/>
      <c r="FUE2476" s="54"/>
      <c r="FUF2476" s="54"/>
      <c r="FUG2476" s="60"/>
      <c r="FUH2476" s="60"/>
      <c r="FUI2476" s="60"/>
      <c r="FUJ2476" s="60"/>
      <c r="FUK2476" s="63"/>
      <c r="FUL2476" s="61"/>
      <c r="FUM2476" s="54"/>
      <c r="FUN2476" s="54"/>
      <c r="FUO2476" s="60"/>
      <c r="FUP2476" s="60"/>
      <c r="FUQ2476" s="60"/>
      <c r="FUR2476" s="60"/>
      <c r="FUS2476" s="63"/>
      <c r="FUT2476" s="61"/>
      <c r="FUU2476" s="54"/>
      <c r="FUV2476" s="54"/>
      <c r="FUW2476" s="60"/>
      <c r="FUX2476" s="60"/>
      <c r="FUY2476" s="60"/>
      <c r="FUZ2476" s="60"/>
      <c r="FVA2476" s="63"/>
      <c r="FVB2476" s="61"/>
      <c r="FVC2476" s="54"/>
      <c r="FVD2476" s="54"/>
      <c r="FVE2476" s="60"/>
      <c r="FVF2476" s="60"/>
      <c r="FVG2476" s="60"/>
      <c r="FVH2476" s="60"/>
      <c r="FVI2476" s="63"/>
      <c r="FVJ2476" s="61"/>
      <c r="FVK2476" s="54"/>
      <c r="FVL2476" s="54"/>
      <c r="FVM2476" s="60"/>
      <c r="FVN2476" s="60"/>
      <c r="FVO2476" s="60"/>
      <c r="FVP2476" s="60"/>
      <c r="FVQ2476" s="63"/>
      <c r="FVR2476" s="61"/>
      <c r="FVS2476" s="54"/>
      <c r="FVT2476" s="54"/>
      <c r="FVU2476" s="60"/>
      <c r="FVV2476" s="60"/>
      <c r="FVW2476" s="60"/>
      <c r="FVX2476" s="60"/>
      <c r="FVY2476" s="63"/>
      <c r="FVZ2476" s="61"/>
      <c r="FWA2476" s="54"/>
      <c r="FWB2476" s="54"/>
      <c r="FWC2476" s="60"/>
      <c r="FWD2476" s="60"/>
      <c r="FWE2476" s="60"/>
      <c r="FWF2476" s="60"/>
      <c r="FWG2476" s="63"/>
      <c r="FWH2476" s="61"/>
      <c r="FWI2476" s="54"/>
      <c r="FWJ2476" s="54"/>
      <c r="FWK2476" s="60"/>
      <c r="FWL2476" s="60"/>
      <c r="FWM2476" s="60"/>
      <c r="FWN2476" s="60"/>
      <c r="FWO2476" s="63"/>
      <c r="FWP2476" s="61"/>
      <c r="FWQ2476" s="54"/>
      <c r="FWR2476" s="54"/>
      <c r="FWS2476" s="60"/>
      <c r="FWT2476" s="60"/>
      <c r="FWU2476" s="60"/>
      <c r="FWV2476" s="60"/>
      <c r="FWW2476" s="63"/>
      <c r="FWX2476" s="61"/>
      <c r="FWY2476" s="54"/>
      <c r="FWZ2476" s="54"/>
      <c r="FXA2476" s="60"/>
      <c r="FXB2476" s="60"/>
      <c r="FXC2476" s="60"/>
      <c r="FXD2476" s="60"/>
      <c r="FXE2476" s="63"/>
      <c r="FXF2476" s="61"/>
      <c r="FXG2476" s="54"/>
      <c r="FXH2476" s="54"/>
      <c r="FXI2476" s="60"/>
      <c r="FXJ2476" s="60"/>
      <c r="FXK2476" s="60"/>
      <c r="FXL2476" s="60"/>
      <c r="FXM2476" s="63"/>
      <c r="FXN2476" s="61"/>
      <c r="FXO2476" s="54"/>
      <c r="FXP2476" s="54"/>
      <c r="FXQ2476" s="60"/>
      <c r="FXR2476" s="60"/>
      <c r="FXS2476" s="60"/>
      <c r="FXT2476" s="60"/>
      <c r="FXU2476" s="63"/>
      <c r="FXV2476" s="61"/>
      <c r="FXW2476" s="54"/>
      <c r="FXX2476" s="54"/>
      <c r="FXY2476" s="60"/>
      <c r="FXZ2476" s="60"/>
      <c r="FYA2476" s="60"/>
      <c r="FYB2476" s="60"/>
      <c r="FYC2476" s="63"/>
      <c r="FYD2476" s="61"/>
      <c r="FYE2476" s="54"/>
      <c r="FYF2476" s="54"/>
      <c r="FYG2476" s="60"/>
      <c r="FYH2476" s="60"/>
      <c r="FYI2476" s="60"/>
      <c r="FYJ2476" s="60"/>
      <c r="FYK2476" s="63"/>
      <c r="FYL2476" s="61"/>
      <c r="FYM2476" s="54"/>
      <c r="FYN2476" s="54"/>
      <c r="FYO2476" s="60"/>
      <c r="FYP2476" s="60"/>
      <c r="FYQ2476" s="60"/>
      <c r="FYR2476" s="60"/>
      <c r="FYS2476" s="63"/>
      <c r="FYT2476" s="61"/>
      <c r="FYU2476" s="54"/>
      <c r="FYV2476" s="54"/>
      <c r="FYW2476" s="60"/>
      <c r="FYX2476" s="60"/>
      <c r="FYY2476" s="60"/>
      <c r="FYZ2476" s="60"/>
      <c r="FZA2476" s="63"/>
      <c r="FZB2476" s="61"/>
      <c r="FZC2476" s="54"/>
      <c r="FZD2476" s="54"/>
      <c r="FZE2476" s="60"/>
      <c r="FZF2476" s="60"/>
      <c r="FZG2476" s="60"/>
      <c r="FZH2476" s="60"/>
      <c r="FZI2476" s="63"/>
      <c r="FZJ2476" s="61"/>
      <c r="FZK2476" s="54"/>
      <c r="FZL2476" s="54"/>
      <c r="FZM2476" s="60"/>
      <c r="FZN2476" s="60"/>
      <c r="FZO2476" s="60"/>
      <c r="FZP2476" s="60"/>
      <c r="FZQ2476" s="63"/>
      <c r="FZR2476" s="61"/>
      <c r="FZS2476" s="54"/>
      <c r="FZT2476" s="54"/>
      <c r="FZU2476" s="60"/>
      <c r="FZV2476" s="60"/>
      <c r="FZW2476" s="60"/>
      <c r="FZX2476" s="60"/>
      <c r="FZY2476" s="63"/>
      <c r="FZZ2476" s="61"/>
      <c r="GAA2476" s="54"/>
      <c r="GAB2476" s="54"/>
      <c r="GAC2476" s="60"/>
      <c r="GAD2476" s="60"/>
      <c r="GAE2476" s="60"/>
      <c r="GAF2476" s="60"/>
      <c r="GAG2476" s="63"/>
      <c r="GAH2476" s="61"/>
      <c r="GAI2476" s="54"/>
      <c r="GAJ2476" s="54"/>
      <c r="GAK2476" s="60"/>
      <c r="GAL2476" s="60"/>
      <c r="GAM2476" s="60"/>
      <c r="GAN2476" s="60"/>
      <c r="GAO2476" s="63"/>
      <c r="GAP2476" s="61"/>
      <c r="GAQ2476" s="54"/>
      <c r="GAR2476" s="54"/>
      <c r="GAS2476" s="60"/>
      <c r="GAT2476" s="60"/>
      <c r="GAU2476" s="60"/>
      <c r="GAV2476" s="60"/>
      <c r="GAW2476" s="63"/>
      <c r="GAX2476" s="61"/>
      <c r="GAY2476" s="54"/>
      <c r="GAZ2476" s="54"/>
      <c r="GBA2476" s="60"/>
      <c r="GBB2476" s="60"/>
      <c r="GBC2476" s="60"/>
      <c r="GBD2476" s="60"/>
      <c r="GBE2476" s="63"/>
      <c r="GBF2476" s="61"/>
      <c r="GBG2476" s="54"/>
      <c r="GBH2476" s="54"/>
      <c r="GBI2476" s="60"/>
      <c r="GBJ2476" s="60"/>
      <c r="GBK2476" s="60"/>
      <c r="GBL2476" s="60"/>
      <c r="GBM2476" s="63"/>
      <c r="GBN2476" s="61"/>
      <c r="GBO2476" s="54"/>
      <c r="GBP2476" s="54"/>
      <c r="GBQ2476" s="60"/>
      <c r="GBR2476" s="60"/>
      <c r="GBS2476" s="60"/>
      <c r="GBT2476" s="60"/>
      <c r="GBU2476" s="63"/>
      <c r="GBV2476" s="61"/>
      <c r="GBW2476" s="54"/>
      <c r="GBX2476" s="54"/>
      <c r="GBY2476" s="60"/>
      <c r="GBZ2476" s="60"/>
      <c r="GCA2476" s="60"/>
      <c r="GCB2476" s="60"/>
      <c r="GCC2476" s="63"/>
      <c r="GCD2476" s="61"/>
      <c r="GCE2476" s="54"/>
      <c r="GCF2476" s="54"/>
      <c r="GCG2476" s="60"/>
      <c r="GCH2476" s="60"/>
      <c r="GCI2476" s="60"/>
      <c r="GCJ2476" s="60"/>
      <c r="GCK2476" s="63"/>
      <c r="GCL2476" s="61"/>
      <c r="GCM2476" s="54"/>
      <c r="GCN2476" s="54"/>
      <c r="GCO2476" s="60"/>
      <c r="GCP2476" s="60"/>
      <c r="GCQ2476" s="60"/>
      <c r="GCR2476" s="60"/>
      <c r="GCS2476" s="63"/>
      <c r="GCT2476" s="61"/>
      <c r="GCU2476" s="54"/>
      <c r="GCV2476" s="54"/>
      <c r="GCW2476" s="60"/>
      <c r="GCX2476" s="60"/>
      <c r="GCY2476" s="60"/>
      <c r="GCZ2476" s="60"/>
      <c r="GDA2476" s="63"/>
      <c r="GDB2476" s="61"/>
      <c r="GDC2476" s="54"/>
      <c r="GDD2476" s="54"/>
      <c r="GDE2476" s="60"/>
      <c r="GDF2476" s="60"/>
      <c r="GDG2476" s="60"/>
      <c r="GDH2476" s="60"/>
      <c r="GDI2476" s="63"/>
      <c r="GDJ2476" s="61"/>
      <c r="GDK2476" s="54"/>
      <c r="GDL2476" s="54"/>
      <c r="GDM2476" s="60"/>
      <c r="GDN2476" s="60"/>
      <c r="GDO2476" s="60"/>
      <c r="GDP2476" s="60"/>
      <c r="GDQ2476" s="63"/>
      <c r="GDR2476" s="61"/>
      <c r="GDS2476" s="54"/>
      <c r="GDT2476" s="54"/>
      <c r="GDU2476" s="60"/>
      <c r="GDV2476" s="60"/>
      <c r="GDW2476" s="60"/>
      <c r="GDX2476" s="60"/>
      <c r="GDY2476" s="63"/>
      <c r="GDZ2476" s="61"/>
      <c r="GEA2476" s="54"/>
      <c r="GEB2476" s="54"/>
      <c r="GEC2476" s="60"/>
      <c r="GED2476" s="60"/>
      <c r="GEE2476" s="60"/>
      <c r="GEF2476" s="60"/>
      <c r="GEG2476" s="63"/>
      <c r="GEH2476" s="61"/>
      <c r="GEI2476" s="54"/>
      <c r="GEJ2476" s="54"/>
      <c r="GEK2476" s="60"/>
      <c r="GEL2476" s="60"/>
      <c r="GEM2476" s="60"/>
      <c r="GEN2476" s="60"/>
      <c r="GEO2476" s="63"/>
      <c r="GEP2476" s="61"/>
      <c r="GEQ2476" s="54"/>
      <c r="GER2476" s="54"/>
      <c r="GES2476" s="60"/>
      <c r="GET2476" s="60"/>
      <c r="GEU2476" s="60"/>
      <c r="GEV2476" s="60"/>
      <c r="GEW2476" s="63"/>
      <c r="GEX2476" s="61"/>
      <c r="GEY2476" s="54"/>
      <c r="GEZ2476" s="54"/>
      <c r="GFA2476" s="60"/>
      <c r="GFB2476" s="60"/>
      <c r="GFC2476" s="60"/>
      <c r="GFD2476" s="60"/>
      <c r="GFE2476" s="63"/>
      <c r="GFF2476" s="61"/>
      <c r="GFG2476" s="54"/>
      <c r="GFH2476" s="54"/>
      <c r="GFI2476" s="60"/>
      <c r="GFJ2476" s="60"/>
      <c r="GFK2476" s="60"/>
      <c r="GFL2476" s="60"/>
      <c r="GFM2476" s="63"/>
      <c r="GFN2476" s="61"/>
      <c r="GFO2476" s="54"/>
      <c r="GFP2476" s="54"/>
      <c r="GFQ2476" s="60"/>
      <c r="GFR2476" s="60"/>
      <c r="GFS2476" s="60"/>
      <c r="GFT2476" s="60"/>
      <c r="GFU2476" s="63"/>
      <c r="GFV2476" s="61"/>
      <c r="GFW2476" s="54"/>
      <c r="GFX2476" s="54"/>
      <c r="GFY2476" s="60"/>
      <c r="GFZ2476" s="60"/>
      <c r="GGA2476" s="60"/>
      <c r="GGB2476" s="60"/>
      <c r="GGC2476" s="63"/>
      <c r="GGD2476" s="61"/>
      <c r="GGE2476" s="54"/>
      <c r="GGF2476" s="54"/>
      <c r="GGG2476" s="60"/>
      <c r="GGH2476" s="60"/>
      <c r="GGI2476" s="60"/>
      <c r="GGJ2476" s="60"/>
      <c r="GGK2476" s="63"/>
      <c r="GGL2476" s="61"/>
      <c r="GGM2476" s="54"/>
      <c r="GGN2476" s="54"/>
      <c r="GGO2476" s="60"/>
      <c r="GGP2476" s="60"/>
      <c r="GGQ2476" s="60"/>
      <c r="GGR2476" s="60"/>
      <c r="GGS2476" s="63"/>
      <c r="GGT2476" s="61"/>
      <c r="GGU2476" s="54"/>
      <c r="GGV2476" s="54"/>
      <c r="GGW2476" s="60"/>
      <c r="GGX2476" s="60"/>
      <c r="GGY2476" s="60"/>
      <c r="GGZ2476" s="60"/>
      <c r="GHA2476" s="63"/>
      <c r="GHB2476" s="61"/>
      <c r="GHC2476" s="54"/>
      <c r="GHD2476" s="54"/>
      <c r="GHE2476" s="60"/>
      <c r="GHF2476" s="60"/>
      <c r="GHG2476" s="60"/>
      <c r="GHH2476" s="60"/>
      <c r="GHI2476" s="63"/>
      <c r="GHJ2476" s="61"/>
      <c r="GHK2476" s="54"/>
      <c r="GHL2476" s="54"/>
      <c r="GHM2476" s="60"/>
      <c r="GHN2476" s="60"/>
      <c r="GHO2476" s="60"/>
      <c r="GHP2476" s="60"/>
      <c r="GHQ2476" s="63"/>
      <c r="GHR2476" s="61"/>
      <c r="GHS2476" s="54"/>
      <c r="GHT2476" s="54"/>
      <c r="GHU2476" s="60"/>
      <c r="GHV2476" s="60"/>
      <c r="GHW2476" s="60"/>
      <c r="GHX2476" s="60"/>
      <c r="GHY2476" s="63"/>
      <c r="GHZ2476" s="61"/>
      <c r="GIA2476" s="54"/>
      <c r="GIB2476" s="54"/>
      <c r="GIC2476" s="60"/>
      <c r="GID2476" s="60"/>
      <c r="GIE2476" s="60"/>
      <c r="GIF2476" s="60"/>
      <c r="GIG2476" s="63"/>
      <c r="GIH2476" s="61"/>
      <c r="GII2476" s="54"/>
      <c r="GIJ2476" s="54"/>
      <c r="GIK2476" s="60"/>
      <c r="GIL2476" s="60"/>
      <c r="GIM2476" s="60"/>
      <c r="GIN2476" s="60"/>
      <c r="GIO2476" s="63"/>
      <c r="GIP2476" s="61"/>
      <c r="GIQ2476" s="54"/>
      <c r="GIR2476" s="54"/>
      <c r="GIS2476" s="60"/>
      <c r="GIT2476" s="60"/>
      <c r="GIU2476" s="60"/>
      <c r="GIV2476" s="60"/>
      <c r="GIW2476" s="63"/>
      <c r="GIX2476" s="61"/>
      <c r="GIY2476" s="54"/>
      <c r="GIZ2476" s="54"/>
      <c r="GJA2476" s="60"/>
      <c r="GJB2476" s="60"/>
      <c r="GJC2476" s="60"/>
      <c r="GJD2476" s="60"/>
      <c r="GJE2476" s="63"/>
      <c r="GJF2476" s="61"/>
      <c r="GJG2476" s="54"/>
      <c r="GJH2476" s="54"/>
      <c r="GJI2476" s="60"/>
      <c r="GJJ2476" s="60"/>
      <c r="GJK2476" s="60"/>
      <c r="GJL2476" s="60"/>
      <c r="GJM2476" s="63"/>
      <c r="GJN2476" s="61"/>
      <c r="GJO2476" s="54"/>
      <c r="GJP2476" s="54"/>
      <c r="GJQ2476" s="60"/>
      <c r="GJR2476" s="60"/>
      <c r="GJS2476" s="60"/>
      <c r="GJT2476" s="60"/>
      <c r="GJU2476" s="63"/>
      <c r="GJV2476" s="61"/>
      <c r="GJW2476" s="54"/>
      <c r="GJX2476" s="54"/>
      <c r="GJY2476" s="60"/>
      <c r="GJZ2476" s="60"/>
      <c r="GKA2476" s="60"/>
      <c r="GKB2476" s="60"/>
      <c r="GKC2476" s="63"/>
      <c r="GKD2476" s="61"/>
      <c r="GKE2476" s="54"/>
      <c r="GKF2476" s="54"/>
      <c r="GKG2476" s="60"/>
      <c r="GKH2476" s="60"/>
      <c r="GKI2476" s="60"/>
      <c r="GKJ2476" s="60"/>
      <c r="GKK2476" s="63"/>
      <c r="GKL2476" s="61"/>
      <c r="GKM2476" s="54"/>
      <c r="GKN2476" s="54"/>
      <c r="GKO2476" s="60"/>
      <c r="GKP2476" s="60"/>
      <c r="GKQ2476" s="60"/>
      <c r="GKR2476" s="60"/>
      <c r="GKS2476" s="63"/>
      <c r="GKT2476" s="61"/>
      <c r="GKU2476" s="54"/>
      <c r="GKV2476" s="54"/>
      <c r="GKW2476" s="60"/>
      <c r="GKX2476" s="60"/>
      <c r="GKY2476" s="60"/>
      <c r="GKZ2476" s="60"/>
      <c r="GLA2476" s="63"/>
      <c r="GLB2476" s="61"/>
      <c r="GLC2476" s="54"/>
      <c r="GLD2476" s="54"/>
      <c r="GLE2476" s="60"/>
      <c r="GLF2476" s="60"/>
      <c r="GLG2476" s="60"/>
      <c r="GLH2476" s="60"/>
      <c r="GLI2476" s="63"/>
      <c r="GLJ2476" s="61"/>
      <c r="GLK2476" s="54"/>
      <c r="GLL2476" s="54"/>
      <c r="GLM2476" s="60"/>
      <c r="GLN2476" s="60"/>
      <c r="GLO2476" s="60"/>
      <c r="GLP2476" s="60"/>
      <c r="GLQ2476" s="63"/>
      <c r="GLR2476" s="61"/>
      <c r="GLS2476" s="54"/>
      <c r="GLT2476" s="54"/>
      <c r="GLU2476" s="60"/>
      <c r="GLV2476" s="60"/>
      <c r="GLW2476" s="60"/>
      <c r="GLX2476" s="60"/>
      <c r="GLY2476" s="63"/>
      <c r="GLZ2476" s="61"/>
      <c r="GMA2476" s="54"/>
      <c r="GMB2476" s="54"/>
      <c r="GMC2476" s="60"/>
      <c r="GMD2476" s="60"/>
      <c r="GME2476" s="60"/>
      <c r="GMF2476" s="60"/>
      <c r="GMG2476" s="63"/>
      <c r="GMH2476" s="61"/>
      <c r="GMI2476" s="54"/>
      <c r="GMJ2476" s="54"/>
      <c r="GMK2476" s="60"/>
      <c r="GML2476" s="60"/>
      <c r="GMM2476" s="60"/>
      <c r="GMN2476" s="60"/>
      <c r="GMO2476" s="63"/>
      <c r="GMP2476" s="61"/>
      <c r="GMQ2476" s="54"/>
      <c r="GMR2476" s="54"/>
      <c r="GMS2476" s="60"/>
      <c r="GMT2476" s="60"/>
      <c r="GMU2476" s="60"/>
      <c r="GMV2476" s="60"/>
      <c r="GMW2476" s="63"/>
      <c r="GMX2476" s="61"/>
      <c r="GMY2476" s="54"/>
      <c r="GMZ2476" s="54"/>
      <c r="GNA2476" s="60"/>
      <c r="GNB2476" s="60"/>
      <c r="GNC2476" s="60"/>
      <c r="GND2476" s="60"/>
      <c r="GNE2476" s="63"/>
      <c r="GNF2476" s="61"/>
      <c r="GNG2476" s="54"/>
      <c r="GNH2476" s="54"/>
      <c r="GNI2476" s="60"/>
      <c r="GNJ2476" s="60"/>
      <c r="GNK2476" s="60"/>
      <c r="GNL2476" s="60"/>
      <c r="GNM2476" s="63"/>
      <c r="GNN2476" s="61"/>
      <c r="GNO2476" s="54"/>
      <c r="GNP2476" s="54"/>
      <c r="GNQ2476" s="60"/>
      <c r="GNR2476" s="60"/>
      <c r="GNS2476" s="60"/>
      <c r="GNT2476" s="60"/>
      <c r="GNU2476" s="63"/>
      <c r="GNV2476" s="61"/>
      <c r="GNW2476" s="54"/>
      <c r="GNX2476" s="54"/>
      <c r="GNY2476" s="60"/>
      <c r="GNZ2476" s="60"/>
      <c r="GOA2476" s="60"/>
      <c r="GOB2476" s="60"/>
      <c r="GOC2476" s="63"/>
      <c r="GOD2476" s="61"/>
      <c r="GOE2476" s="54"/>
      <c r="GOF2476" s="54"/>
      <c r="GOG2476" s="60"/>
      <c r="GOH2476" s="60"/>
      <c r="GOI2476" s="60"/>
      <c r="GOJ2476" s="60"/>
      <c r="GOK2476" s="63"/>
      <c r="GOL2476" s="61"/>
      <c r="GOM2476" s="54"/>
      <c r="GON2476" s="54"/>
      <c r="GOO2476" s="60"/>
      <c r="GOP2476" s="60"/>
      <c r="GOQ2476" s="60"/>
      <c r="GOR2476" s="60"/>
      <c r="GOS2476" s="63"/>
      <c r="GOT2476" s="61"/>
      <c r="GOU2476" s="54"/>
      <c r="GOV2476" s="54"/>
      <c r="GOW2476" s="60"/>
      <c r="GOX2476" s="60"/>
      <c r="GOY2476" s="60"/>
      <c r="GOZ2476" s="60"/>
      <c r="GPA2476" s="63"/>
      <c r="GPB2476" s="61"/>
      <c r="GPC2476" s="54"/>
      <c r="GPD2476" s="54"/>
      <c r="GPE2476" s="60"/>
      <c r="GPF2476" s="60"/>
      <c r="GPG2476" s="60"/>
      <c r="GPH2476" s="60"/>
      <c r="GPI2476" s="63"/>
      <c r="GPJ2476" s="61"/>
      <c r="GPK2476" s="54"/>
      <c r="GPL2476" s="54"/>
      <c r="GPM2476" s="60"/>
      <c r="GPN2476" s="60"/>
      <c r="GPO2476" s="60"/>
      <c r="GPP2476" s="60"/>
      <c r="GPQ2476" s="63"/>
      <c r="GPR2476" s="61"/>
      <c r="GPS2476" s="54"/>
      <c r="GPT2476" s="54"/>
      <c r="GPU2476" s="60"/>
      <c r="GPV2476" s="60"/>
      <c r="GPW2476" s="60"/>
      <c r="GPX2476" s="60"/>
      <c r="GPY2476" s="63"/>
      <c r="GPZ2476" s="61"/>
      <c r="GQA2476" s="54"/>
      <c r="GQB2476" s="54"/>
      <c r="GQC2476" s="60"/>
      <c r="GQD2476" s="60"/>
      <c r="GQE2476" s="60"/>
      <c r="GQF2476" s="60"/>
      <c r="GQG2476" s="63"/>
      <c r="GQH2476" s="61"/>
      <c r="GQI2476" s="54"/>
      <c r="GQJ2476" s="54"/>
      <c r="GQK2476" s="60"/>
      <c r="GQL2476" s="60"/>
      <c r="GQM2476" s="60"/>
      <c r="GQN2476" s="60"/>
      <c r="GQO2476" s="63"/>
      <c r="GQP2476" s="61"/>
      <c r="GQQ2476" s="54"/>
      <c r="GQR2476" s="54"/>
      <c r="GQS2476" s="60"/>
      <c r="GQT2476" s="60"/>
      <c r="GQU2476" s="60"/>
      <c r="GQV2476" s="60"/>
      <c r="GQW2476" s="63"/>
      <c r="GQX2476" s="61"/>
      <c r="GQY2476" s="54"/>
      <c r="GQZ2476" s="54"/>
      <c r="GRA2476" s="60"/>
      <c r="GRB2476" s="60"/>
      <c r="GRC2476" s="60"/>
      <c r="GRD2476" s="60"/>
      <c r="GRE2476" s="63"/>
      <c r="GRF2476" s="61"/>
      <c r="GRG2476" s="54"/>
      <c r="GRH2476" s="54"/>
      <c r="GRI2476" s="60"/>
      <c r="GRJ2476" s="60"/>
      <c r="GRK2476" s="60"/>
      <c r="GRL2476" s="60"/>
      <c r="GRM2476" s="63"/>
      <c r="GRN2476" s="61"/>
      <c r="GRO2476" s="54"/>
      <c r="GRP2476" s="54"/>
      <c r="GRQ2476" s="60"/>
      <c r="GRR2476" s="60"/>
      <c r="GRS2476" s="60"/>
      <c r="GRT2476" s="60"/>
      <c r="GRU2476" s="63"/>
      <c r="GRV2476" s="61"/>
      <c r="GRW2476" s="54"/>
      <c r="GRX2476" s="54"/>
      <c r="GRY2476" s="60"/>
      <c r="GRZ2476" s="60"/>
      <c r="GSA2476" s="60"/>
      <c r="GSB2476" s="60"/>
      <c r="GSC2476" s="63"/>
      <c r="GSD2476" s="61"/>
      <c r="GSE2476" s="54"/>
      <c r="GSF2476" s="54"/>
      <c r="GSG2476" s="60"/>
      <c r="GSH2476" s="60"/>
      <c r="GSI2476" s="60"/>
      <c r="GSJ2476" s="60"/>
      <c r="GSK2476" s="63"/>
      <c r="GSL2476" s="61"/>
      <c r="GSM2476" s="54"/>
      <c r="GSN2476" s="54"/>
      <c r="GSO2476" s="60"/>
      <c r="GSP2476" s="60"/>
      <c r="GSQ2476" s="60"/>
      <c r="GSR2476" s="60"/>
      <c r="GSS2476" s="63"/>
      <c r="GST2476" s="61"/>
      <c r="GSU2476" s="54"/>
      <c r="GSV2476" s="54"/>
      <c r="GSW2476" s="60"/>
      <c r="GSX2476" s="60"/>
      <c r="GSY2476" s="60"/>
      <c r="GSZ2476" s="60"/>
      <c r="GTA2476" s="63"/>
      <c r="GTB2476" s="61"/>
      <c r="GTC2476" s="54"/>
      <c r="GTD2476" s="54"/>
      <c r="GTE2476" s="60"/>
      <c r="GTF2476" s="60"/>
      <c r="GTG2476" s="60"/>
      <c r="GTH2476" s="60"/>
      <c r="GTI2476" s="63"/>
      <c r="GTJ2476" s="61"/>
      <c r="GTK2476" s="54"/>
      <c r="GTL2476" s="54"/>
      <c r="GTM2476" s="60"/>
      <c r="GTN2476" s="60"/>
      <c r="GTO2476" s="60"/>
      <c r="GTP2476" s="60"/>
      <c r="GTQ2476" s="63"/>
      <c r="GTR2476" s="61"/>
      <c r="GTS2476" s="54"/>
      <c r="GTT2476" s="54"/>
      <c r="GTU2476" s="60"/>
      <c r="GTV2476" s="60"/>
      <c r="GTW2476" s="60"/>
      <c r="GTX2476" s="60"/>
      <c r="GTY2476" s="63"/>
      <c r="GTZ2476" s="61"/>
      <c r="GUA2476" s="54"/>
      <c r="GUB2476" s="54"/>
      <c r="GUC2476" s="60"/>
      <c r="GUD2476" s="60"/>
      <c r="GUE2476" s="60"/>
      <c r="GUF2476" s="60"/>
      <c r="GUG2476" s="63"/>
      <c r="GUH2476" s="61"/>
      <c r="GUI2476" s="54"/>
      <c r="GUJ2476" s="54"/>
      <c r="GUK2476" s="60"/>
      <c r="GUL2476" s="60"/>
      <c r="GUM2476" s="60"/>
      <c r="GUN2476" s="60"/>
      <c r="GUO2476" s="63"/>
      <c r="GUP2476" s="61"/>
      <c r="GUQ2476" s="54"/>
      <c r="GUR2476" s="54"/>
      <c r="GUS2476" s="60"/>
      <c r="GUT2476" s="60"/>
      <c r="GUU2476" s="60"/>
      <c r="GUV2476" s="60"/>
      <c r="GUW2476" s="63"/>
      <c r="GUX2476" s="61"/>
      <c r="GUY2476" s="54"/>
      <c r="GUZ2476" s="54"/>
      <c r="GVA2476" s="60"/>
      <c r="GVB2476" s="60"/>
      <c r="GVC2476" s="60"/>
      <c r="GVD2476" s="60"/>
      <c r="GVE2476" s="63"/>
      <c r="GVF2476" s="61"/>
      <c r="GVG2476" s="54"/>
      <c r="GVH2476" s="54"/>
      <c r="GVI2476" s="60"/>
      <c r="GVJ2476" s="60"/>
      <c r="GVK2476" s="60"/>
      <c r="GVL2476" s="60"/>
      <c r="GVM2476" s="63"/>
      <c r="GVN2476" s="61"/>
      <c r="GVO2476" s="54"/>
      <c r="GVP2476" s="54"/>
      <c r="GVQ2476" s="60"/>
      <c r="GVR2476" s="60"/>
      <c r="GVS2476" s="60"/>
      <c r="GVT2476" s="60"/>
      <c r="GVU2476" s="63"/>
      <c r="GVV2476" s="61"/>
      <c r="GVW2476" s="54"/>
      <c r="GVX2476" s="54"/>
      <c r="GVY2476" s="60"/>
      <c r="GVZ2476" s="60"/>
      <c r="GWA2476" s="60"/>
      <c r="GWB2476" s="60"/>
      <c r="GWC2476" s="63"/>
      <c r="GWD2476" s="61"/>
      <c r="GWE2476" s="54"/>
      <c r="GWF2476" s="54"/>
      <c r="GWG2476" s="60"/>
      <c r="GWH2476" s="60"/>
      <c r="GWI2476" s="60"/>
      <c r="GWJ2476" s="60"/>
      <c r="GWK2476" s="63"/>
      <c r="GWL2476" s="61"/>
      <c r="GWM2476" s="54"/>
      <c r="GWN2476" s="54"/>
      <c r="GWO2476" s="60"/>
      <c r="GWP2476" s="60"/>
      <c r="GWQ2476" s="60"/>
      <c r="GWR2476" s="60"/>
      <c r="GWS2476" s="63"/>
      <c r="GWT2476" s="61"/>
      <c r="GWU2476" s="54"/>
      <c r="GWV2476" s="54"/>
      <c r="GWW2476" s="60"/>
      <c r="GWX2476" s="60"/>
      <c r="GWY2476" s="60"/>
      <c r="GWZ2476" s="60"/>
      <c r="GXA2476" s="63"/>
      <c r="GXB2476" s="61"/>
      <c r="GXC2476" s="54"/>
      <c r="GXD2476" s="54"/>
      <c r="GXE2476" s="60"/>
      <c r="GXF2476" s="60"/>
      <c r="GXG2476" s="60"/>
      <c r="GXH2476" s="60"/>
      <c r="GXI2476" s="63"/>
      <c r="GXJ2476" s="61"/>
      <c r="GXK2476" s="54"/>
      <c r="GXL2476" s="54"/>
      <c r="GXM2476" s="60"/>
      <c r="GXN2476" s="60"/>
      <c r="GXO2476" s="60"/>
      <c r="GXP2476" s="60"/>
      <c r="GXQ2476" s="63"/>
      <c r="GXR2476" s="61"/>
      <c r="GXS2476" s="54"/>
      <c r="GXT2476" s="54"/>
      <c r="GXU2476" s="60"/>
      <c r="GXV2476" s="60"/>
      <c r="GXW2476" s="60"/>
      <c r="GXX2476" s="60"/>
      <c r="GXY2476" s="63"/>
      <c r="GXZ2476" s="61"/>
      <c r="GYA2476" s="54"/>
      <c r="GYB2476" s="54"/>
      <c r="GYC2476" s="60"/>
      <c r="GYD2476" s="60"/>
      <c r="GYE2476" s="60"/>
      <c r="GYF2476" s="60"/>
      <c r="GYG2476" s="63"/>
      <c r="GYH2476" s="61"/>
      <c r="GYI2476" s="54"/>
      <c r="GYJ2476" s="54"/>
      <c r="GYK2476" s="60"/>
      <c r="GYL2476" s="60"/>
      <c r="GYM2476" s="60"/>
      <c r="GYN2476" s="60"/>
      <c r="GYO2476" s="63"/>
      <c r="GYP2476" s="61"/>
      <c r="GYQ2476" s="54"/>
      <c r="GYR2476" s="54"/>
      <c r="GYS2476" s="60"/>
      <c r="GYT2476" s="60"/>
      <c r="GYU2476" s="60"/>
      <c r="GYV2476" s="60"/>
      <c r="GYW2476" s="63"/>
      <c r="GYX2476" s="61"/>
      <c r="GYY2476" s="54"/>
      <c r="GYZ2476" s="54"/>
      <c r="GZA2476" s="60"/>
      <c r="GZB2476" s="60"/>
      <c r="GZC2476" s="60"/>
      <c r="GZD2476" s="60"/>
      <c r="GZE2476" s="63"/>
      <c r="GZF2476" s="61"/>
      <c r="GZG2476" s="54"/>
      <c r="GZH2476" s="54"/>
      <c r="GZI2476" s="60"/>
      <c r="GZJ2476" s="60"/>
      <c r="GZK2476" s="60"/>
      <c r="GZL2476" s="60"/>
      <c r="GZM2476" s="63"/>
      <c r="GZN2476" s="61"/>
      <c r="GZO2476" s="54"/>
      <c r="GZP2476" s="54"/>
      <c r="GZQ2476" s="60"/>
      <c r="GZR2476" s="60"/>
      <c r="GZS2476" s="60"/>
      <c r="GZT2476" s="60"/>
      <c r="GZU2476" s="63"/>
      <c r="GZV2476" s="61"/>
      <c r="GZW2476" s="54"/>
      <c r="GZX2476" s="54"/>
      <c r="GZY2476" s="60"/>
      <c r="GZZ2476" s="60"/>
      <c r="HAA2476" s="60"/>
      <c r="HAB2476" s="60"/>
      <c r="HAC2476" s="63"/>
      <c r="HAD2476" s="61"/>
      <c r="HAE2476" s="54"/>
      <c r="HAF2476" s="54"/>
      <c r="HAG2476" s="60"/>
      <c r="HAH2476" s="60"/>
      <c r="HAI2476" s="60"/>
      <c r="HAJ2476" s="60"/>
      <c r="HAK2476" s="63"/>
      <c r="HAL2476" s="61"/>
      <c r="HAM2476" s="54"/>
      <c r="HAN2476" s="54"/>
      <c r="HAO2476" s="60"/>
      <c r="HAP2476" s="60"/>
      <c r="HAQ2476" s="60"/>
      <c r="HAR2476" s="60"/>
      <c r="HAS2476" s="63"/>
      <c r="HAT2476" s="61"/>
      <c r="HAU2476" s="54"/>
      <c r="HAV2476" s="54"/>
      <c r="HAW2476" s="60"/>
      <c r="HAX2476" s="60"/>
      <c r="HAY2476" s="60"/>
      <c r="HAZ2476" s="60"/>
      <c r="HBA2476" s="63"/>
      <c r="HBB2476" s="61"/>
      <c r="HBC2476" s="54"/>
      <c r="HBD2476" s="54"/>
      <c r="HBE2476" s="60"/>
      <c r="HBF2476" s="60"/>
      <c r="HBG2476" s="60"/>
      <c r="HBH2476" s="60"/>
      <c r="HBI2476" s="63"/>
      <c r="HBJ2476" s="61"/>
      <c r="HBK2476" s="54"/>
      <c r="HBL2476" s="54"/>
      <c r="HBM2476" s="60"/>
      <c r="HBN2476" s="60"/>
      <c r="HBO2476" s="60"/>
      <c r="HBP2476" s="60"/>
      <c r="HBQ2476" s="63"/>
      <c r="HBR2476" s="61"/>
      <c r="HBS2476" s="54"/>
      <c r="HBT2476" s="54"/>
      <c r="HBU2476" s="60"/>
      <c r="HBV2476" s="60"/>
      <c r="HBW2476" s="60"/>
      <c r="HBX2476" s="60"/>
      <c r="HBY2476" s="63"/>
      <c r="HBZ2476" s="61"/>
      <c r="HCA2476" s="54"/>
      <c r="HCB2476" s="54"/>
      <c r="HCC2476" s="60"/>
      <c r="HCD2476" s="60"/>
      <c r="HCE2476" s="60"/>
      <c r="HCF2476" s="60"/>
      <c r="HCG2476" s="63"/>
      <c r="HCH2476" s="61"/>
      <c r="HCI2476" s="54"/>
      <c r="HCJ2476" s="54"/>
      <c r="HCK2476" s="60"/>
      <c r="HCL2476" s="60"/>
      <c r="HCM2476" s="60"/>
      <c r="HCN2476" s="60"/>
      <c r="HCO2476" s="63"/>
      <c r="HCP2476" s="61"/>
      <c r="HCQ2476" s="54"/>
      <c r="HCR2476" s="54"/>
      <c r="HCS2476" s="60"/>
      <c r="HCT2476" s="60"/>
      <c r="HCU2476" s="60"/>
      <c r="HCV2476" s="60"/>
      <c r="HCW2476" s="63"/>
      <c r="HCX2476" s="61"/>
      <c r="HCY2476" s="54"/>
      <c r="HCZ2476" s="54"/>
      <c r="HDA2476" s="60"/>
      <c r="HDB2476" s="60"/>
      <c r="HDC2476" s="60"/>
      <c r="HDD2476" s="60"/>
      <c r="HDE2476" s="63"/>
      <c r="HDF2476" s="61"/>
      <c r="HDG2476" s="54"/>
      <c r="HDH2476" s="54"/>
      <c r="HDI2476" s="60"/>
      <c r="HDJ2476" s="60"/>
      <c r="HDK2476" s="60"/>
      <c r="HDL2476" s="60"/>
      <c r="HDM2476" s="63"/>
      <c r="HDN2476" s="61"/>
      <c r="HDO2476" s="54"/>
      <c r="HDP2476" s="54"/>
      <c r="HDQ2476" s="60"/>
      <c r="HDR2476" s="60"/>
      <c r="HDS2476" s="60"/>
      <c r="HDT2476" s="60"/>
      <c r="HDU2476" s="63"/>
      <c r="HDV2476" s="61"/>
      <c r="HDW2476" s="54"/>
      <c r="HDX2476" s="54"/>
      <c r="HDY2476" s="60"/>
      <c r="HDZ2476" s="60"/>
      <c r="HEA2476" s="60"/>
      <c r="HEB2476" s="60"/>
      <c r="HEC2476" s="63"/>
      <c r="HED2476" s="61"/>
      <c r="HEE2476" s="54"/>
      <c r="HEF2476" s="54"/>
      <c r="HEG2476" s="60"/>
      <c r="HEH2476" s="60"/>
      <c r="HEI2476" s="60"/>
      <c r="HEJ2476" s="60"/>
      <c r="HEK2476" s="63"/>
      <c r="HEL2476" s="61"/>
      <c r="HEM2476" s="54"/>
      <c r="HEN2476" s="54"/>
      <c r="HEO2476" s="60"/>
      <c r="HEP2476" s="60"/>
      <c r="HEQ2476" s="60"/>
      <c r="HER2476" s="60"/>
      <c r="HES2476" s="63"/>
      <c r="HET2476" s="61"/>
      <c r="HEU2476" s="54"/>
      <c r="HEV2476" s="54"/>
      <c r="HEW2476" s="60"/>
      <c r="HEX2476" s="60"/>
      <c r="HEY2476" s="60"/>
      <c r="HEZ2476" s="60"/>
      <c r="HFA2476" s="63"/>
      <c r="HFB2476" s="61"/>
      <c r="HFC2476" s="54"/>
      <c r="HFD2476" s="54"/>
      <c r="HFE2476" s="60"/>
      <c r="HFF2476" s="60"/>
      <c r="HFG2476" s="60"/>
      <c r="HFH2476" s="60"/>
      <c r="HFI2476" s="63"/>
      <c r="HFJ2476" s="61"/>
      <c r="HFK2476" s="54"/>
      <c r="HFL2476" s="54"/>
      <c r="HFM2476" s="60"/>
      <c r="HFN2476" s="60"/>
      <c r="HFO2476" s="60"/>
      <c r="HFP2476" s="60"/>
      <c r="HFQ2476" s="63"/>
      <c r="HFR2476" s="61"/>
      <c r="HFS2476" s="54"/>
      <c r="HFT2476" s="54"/>
      <c r="HFU2476" s="60"/>
      <c r="HFV2476" s="60"/>
      <c r="HFW2476" s="60"/>
      <c r="HFX2476" s="60"/>
      <c r="HFY2476" s="63"/>
      <c r="HFZ2476" s="61"/>
      <c r="HGA2476" s="54"/>
      <c r="HGB2476" s="54"/>
      <c r="HGC2476" s="60"/>
      <c r="HGD2476" s="60"/>
      <c r="HGE2476" s="60"/>
      <c r="HGF2476" s="60"/>
      <c r="HGG2476" s="63"/>
      <c r="HGH2476" s="61"/>
      <c r="HGI2476" s="54"/>
      <c r="HGJ2476" s="54"/>
      <c r="HGK2476" s="60"/>
      <c r="HGL2476" s="60"/>
      <c r="HGM2476" s="60"/>
      <c r="HGN2476" s="60"/>
      <c r="HGO2476" s="63"/>
      <c r="HGP2476" s="61"/>
      <c r="HGQ2476" s="54"/>
      <c r="HGR2476" s="54"/>
      <c r="HGS2476" s="60"/>
      <c r="HGT2476" s="60"/>
      <c r="HGU2476" s="60"/>
      <c r="HGV2476" s="60"/>
      <c r="HGW2476" s="63"/>
      <c r="HGX2476" s="61"/>
      <c r="HGY2476" s="54"/>
      <c r="HGZ2476" s="54"/>
      <c r="HHA2476" s="60"/>
      <c r="HHB2476" s="60"/>
      <c r="HHC2476" s="60"/>
      <c r="HHD2476" s="60"/>
      <c r="HHE2476" s="63"/>
      <c r="HHF2476" s="61"/>
      <c r="HHG2476" s="54"/>
      <c r="HHH2476" s="54"/>
      <c r="HHI2476" s="60"/>
      <c r="HHJ2476" s="60"/>
      <c r="HHK2476" s="60"/>
      <c r="HHL2476" s="60"/>
      <c r="HHM2476" s="63"/>
      <c r="HHN2476" s="61"/>
      <c r="HHO2476" s="54"/>
      <c r="HHP2476" s="54"/>
      <c r="HHQ2476" s="60"/>
      <c r="HHR2476" s="60"/>
      <c r="HHS2476" s="60"/>
      <c r="HHT2476" s="60"/>
      <c r="HHU2476" s="63"/>
      <c r="HHV2476" s="61"/>
      <c r="HHW2476" s="54"/>
      <c r="HHX2476" s="54"/>
      <c r="HHY2476" s="60"/>
      <c r="HHZ2476" s="60"/>
      <c r="HIA2476" s="60"/>
      <c r="HIB2476" s="60"/>
      <c r="HIC2476" s="63"/>
      <c r="HID2476" s="61"/>
      <c r="HIE2476" s="54"/>
      <c r="HIF2476" s="54"/>
      <c r="HIG2476" s="60"/>
      <c r="HIH2476" s="60"/>
      <c r="HII2476" s="60"/>
      <c r="HIJ2476" s="60"/>
      <c r="HIK2476" s="63"/>
      <c r="HIL2476" s="61"/>
      <c r="HIM2476" s="54"/>
      <c r="HIN2476" s="54"/>
      <c r="HIO2476" s="60"/>
      <c r="HIP2476" s="60"/>
      <c r="HIQ2476" s="60"/>
      <c r="HIR2476" s="60"/>
      <c r="HIS2476" s="63"/>
      <c r="HIT2476" s="61"/>
      <c r="HIU2476" s="54"/>
      <c r="HIV2476" s="54"/>
      <c r="HIW2476" s="60"/>
      <c r="HIX2476" s="60"/>
      <c r="HIY2476" s="60"/>
      <c r="HIZ2476" s="60"/>
      <c r="HJA2476" s="63"/>
      <c r="HJB2476" s="61"/>
      <c r="HJC2476" s="54"/>
      <c r="HJD2476" s="54"/>
      <c r="HJE2476" s="60"/>
      <c r="HJF2476" s="60"/>
      <c r="HJG2476" s="60"/>
      <c r="HJH2476" s="60"/>
      <c r="HJI2476" s="63"/>
      <c r="HJJ2476" s="61"/>
      <c r="HJK2476" s="54"/>
      <c r="HJL2476" s="54"/>
      <c r="HJM2476" s="60"/>
      <c r="HJN2476" s="60"/>
      <c r="HJO2476" s="60"/>
      <c r="HJP2476" s="60"/>
      <c r="HJQ2476" s="63"/>
      <c r="HJR2476" s="61"/>
      <c r="HJS2476" s="54"/>
      <c r="HJT2476" s="54"/>
      <c r="HJU2476" s="60"/>
      <c r="HJV2476" s="60"/>
      <c r="HJW2476" s="60"/>
      <c r="HJX2476" s="60"/>
      <c r="HJY2476" s="63"/>
      <c r="HJZ2476" s="61"/>
      <c r="HKA2476" s="54"/>
      <c r="HKB2476" s="54"/>
      <c r="HKC2476" s="60"/>
      <c r="HKD2476" s="60"/>
      <c r="HKE2476" s="60"/>
      <c r="HKF2476" s="60"/>
      <c r="HKG2476" s="63"/>
      <c r="HKH2476" s="61"/>
      <c r="HKI2476" s="54"/>
      <c r="HKJ2476" s="54"/>
      <c r="HKK2476" s="60"/>
      <c r="HKL2476" s="60"/>
      <c r="HKM2476" s="60"/>
      <c r="HKN2476" s="60"/>
      <c r="HKO2476" s="63"/>
      <c r="HKP2476" s="61"/>
      <c r="HKQ2476" s="54"/>
      <c r="HKR2476" s="54"/>
      <c r="HKS2476" s="60"/>
      <c r="HKT2476" s="60"/>
      <c r="HKU2476" s="60"/>
      <c r="HKV2476" s="60"/>
      <c r="HKW2476" s="63"/>
      <c r="HKX2476" s="61"/>
      <c r="HKY2476" s="54"/>
      <c r="HKZ2476" s="54"/>
      <c r="HLA2476" s="60"/>
      <c r="HLB2476" s="60"/>
      <c r="HLC2476" s="60"/>
      <c r="HLD2476" s="60"/>
      <c r="HLE2476" s="63"/>
      <c r="HLF2476" s="61"/>
      <c r="HLG2476" s="54"/>
      <c r="HLH2476" s="54"/>
      <c r="HLI2476" s="60"/>
      <c r="HLJ2476" s="60"/>
      <c r="HLK2476" s="60"/>
      <c r="HLL2476" s="60"/>
      <c r="HLM2476" s="63"/>
      <c r="HLN2476" s="61"/>
      <c r="HLO2476" s="54"/>
      <c r="HLP2476" s="54"/>
      <c r="HLQ2476" s="60"/>
      <c r="HLR2476" s="60"/>
      <c r="HLS2476" s="60"/>
      <c r="HLT2476" s="60"/>
      <c r="HLU2476" s="63"/>
      <c r="HLV2476" s="61"/>
      <c r="HLW2476" s="54"/>
      <c r="HLX2476" s="54"/>
      <c r="HLY2476" s="60"/>
      <c r="HLZ2476" s="60"/>
      <c r="HMA2476" s="60"/>
      <c r="HMB2476" s="60"/>
      <c r="HMC2476" s="63"/>
      <c r="HMD2476" s="61"/>
      <c r="HME2476" s="54"/>
      <c r="HMF2476" s="54"/>
      <c r="HMG2476" s="60"/>
      <c r="HMH2476" s="60"/>
      <c r="HMI2476" s="60"/>
      <c r="HMJ2476" s="60"/>
      <c r="HMK2476" s="63"/>
      <c r="HML2476" s="61"/>
      <c r="HMM2476" s="54"/>
      <c r="HMN2476" s="54"/>
      <c r="HMO2476" s="60"/>
      <c r="HMP2476" s="60"/>
      <c r="HMQ2476" s="60"/>
      <c r="HMR2476" s="60"/>
      <c r="HMS2476" s="63"/>
      <c r="HMT2476" s="61"/>
      <c r="HMU2476" s="54"/>
      <c r="HMV2476" s="54"/>
      <c r="HMW2476" s="60"/>
      <c r="HMX2476" s="60"/>
      <c r="HMY2476" s="60"/>
      <c r="HMZ2476" s="60"/>
      <c r="HNA2476" s="63"/>
      <c r="HNB2476" s="61"/>
      <c r="HNC2476" s="54"/>
      <c r="HND2476" s="54"/>
      <c r="HNE2476" s="60"/>
      <c r="HNF2476" s="60"/>
      <c r="HNG2476" s="60"/>
      <c r="HNH2476" s="60"/>
      <c r="HNI2476" s="63"/>
      <c r="HNJ2476" s="61"/>
      <c r="HNK2476" s="54"/>
      <c r="HNL2476" s="54"/>
      <c r="HNM2476" s="60"/>
      <c r="HNN2476" s="60"/>
      <c r="HNO2476" s="60"/>
      <c r="HNP2476" s="60"/>
      <c r="HNQ2476" s="63"/>
      <c r="HNR2476" s="61"/>
      <c r="HNS2476" s="54"/>
      <c r="HNT2476" s="54"/>
      <c r="HNU2476" s="60"/>
      <c r="HNV2476" s="60"/>
      <c r="HNW2476" s="60"/>
      <c r="HNX2476" s="60"/>
      <c r="HNY2476" s="63"/>
      <c r="HNZ2476" s="61"/>
      <c r="HOA2476" s="54"/>
      <c r="HOB2476" s="54"/>
      <c r="HOC2476" s="60"/>
      <c r="HOD2476" s="60"/>
      <c r="HOE2476" s="60"/>
      <c r="HOF2476" s="60"/>
      <c r="HOG2476" s="63"/>
      <c r="HOH2476" s="61"/>
      <c r="HOI2476" s="54"/>
      <c r="HOJ2476" s="54"/>
      <c r="HOK2476" s="60"/>
      <c r="HOL2476" s="60"/>
      <c r="HOM2476" s="60"/>
      <c r="HON2476" s="60"/>
      <c r="HOO2476" s="63"/>
      <c r="HOP2476" s="61"/>
      <c r="HOQ2476" s="54"/>
      <c r="HOR2476" s="54"/>
      <c r="HOS2476" s="60"/>
      <c r="HOT2476" s="60"/>
      <c r="HOU2476" s="60"/>
      <c r="HOV2476" s="60"/>
      <c r="HOW2476" s="63"/>
      <c r="HOX2476" s="61"/>
      <c r="HOY2476" s="54"/>
      <c r="HOZ2476" s="54"/>
      <c r="HPA2476" s="60"/>
      <c r="HPB2476" s="60"/>
      <c r="HPC2476" s="60"/>
      <c r="HPD2476" s="60"/>
      <c r="HPE2476" s="63"/>
      <c r="HPF2476" s="61"/>
      <c r="HPG2476" s="54"/>
      <c r="HPH2476" s="54"/>
      <c r="HPI2476" s="60"/>
      <c r="HPJ2476" s="60"/>
      <c r="HPK2476" s="60"/>
      <c r="HPL2476" s="60"/>
      <c r="HPM2476" s="63"/>
      <c r="HPN2476" s="61"/>
      <c r="HPO2476" s="54"/>
      <c r="HPP2476" s="54"/>
      <c r="HPQ2476" s="60"/>
      <c r="HPR2476" s="60"/>
      <c r="HPS2476" s="60"/>
      <c r="HPT2476" s="60"/>
      <c r="HPU2476" s="63"/>
      <c r="HPV2476" s="61"/>
      <c r="HPW2476" s="54"/>
      <c r="HPX2476" s="54"/>
      <c r="HPY2476" s="60"/>
      <c r="HPZ2476" s="60"/>
      <c r="HQA2476" s="60"/>
      <c r="HQB2476" s="60"/>
      <c r="HQC2476" s="63"/>
      <c r="HQD2476" s="61"/>
      <c r="HQE2476" s="54"/>
      <c r="HQF2476" s="54"/>
      <c r="HQG2476" s="60"/>
      <c r="HQH2476" s="60"/>
      <c r="HQI2476" s="60"/>
      <c r="HQJ2476" s="60"/>
      <c r="HQK2476" s="63"/>
      <c r="HQL2476" s="61"/>
      <c r="HQM2476" s="54"/>
      <c r="HQN2476" s="54"/>
      <c r="HQO2476" s="60"/>
      <c r="HQP2476" s="60"/>
      <c r="HQQ2476" s="60"/>
      <c r="HQR2476" s="60"/>
      <c r="HQS2476" s="63"/>
      <c r="HQT2476" s="61"/>
      <c r="HQU2476" s="54"/>
      <c r="HQV2476" s="54"/>
      <c r="HQW2476" s="60"/>
      <c r="HQX2476" s="60"/>
      <c r="HQY2476" s="60"/>
      <c r="HQZ2476" s="60"/>
      <c r="HRA2476" s="63"/>
      <c r="HRB2476" s="61"/>
      <c r="HRC2476" s="54"/>
      <c r="HRD2476" s="54"/>
      <c r="HRE2476" s="60"/>
      <c r="HRF2476" s="60"/>
      <c r="HRG2476" s="60"/>
      <c r="HRH2476" s="60"/>
      <c r="HRI2476" s="63"/>
      <c r="HRJ2476" s="61"/>
      <c r="HRK2476" s="54"/>
      <c r="HRL2476" s="54"/>
      <c r="HRM2476" s="60"/>
      <c r="HRN2476" s="60"/>
      <c r="HRO2476" s="60"/>
      <c r="HRP2476" s="60"/>
      <c r="HRQ2476" s="63"/>
      <c r="HRR2476" s="61"/>
      <c r="HRS2476" s="54"/>
      <c r="HRT2476" s="54"/>
      <c r="HRU2476" s="60"/>
      <c r="HRV2476" s="60"/>
      <c r="HRW2476" s="60"/>
      <c r="HRX2476" s="60"/>
      <c r="HRY2476" s="63"/>
      <c r="HRZ2476" s="61"/>
      <c r="HSA2476" s="54"/>
      <c r="HSB2476" s="54"/>
      <c r="HSC2476" s="60"/>
      <c r="HSD2476" s="60"/>
      <c r="HSE2476" s="60"/>
      <c r="HSF2476" s="60"/>
      <c r="HSG2476" s="63"/>
      <c r="HSH2476" s="61"/>
      <c r="HSI2476" s="54"/>
      <c r="HSJ2476" s="54"/>
      <c r="HSK2476" s="60"/>
      <c r="HSL2476" s="60"/>
      <c r="HSM2476" s="60"/>
      <c r="HSN2476" s="60"/>
      <c r="HSO2476" s="63"/>
      <c r="HSP2476" s="61"/>
      <c r="HSQ2476" s="54"/>
      <c r="HSR2476" s="54"/>
      <c r="HSS2476" s="60"/>
      <c r="HST2476" s="60"/>
      <c r="HSU2476" s="60"/>
      <c r="HSV2476" s="60"/>
      <c r="HSW2476" s="63"/>
      <c r="HSX2476" s="61"/>
      <c r="HSY2476" s="54"/>
      <c r="HSZ2476" s="54"/>
      <c r="HTA2476" s="60"/>
      <c r="HTB2476" s="60"/>
      <c r="HTC2476" s="60"/>
      <c r="HTD2476" s="60"/>
      <c r="HTE2476" s="63"/>
      <c r="HTF2476" s="61"/>
      <c r="HTG2476" s="54"/>
      <c r="HTH2476" s="54"/>
      <c r="HTI2476" s="60"/>
      <c r="HTJ2476" s="60"/>
      <c r="HTK2476" s="60"/>
      <c r="HTL2476" s="60"/>
      <c r="HTM2476" s="63"/>
      <c r="HTN2476" s="61"/>
      <c r="HTO2476" s="54"/>
      <c r="HTP2476" s="54"/>
      <c r="HTQ2476" s="60"/>
      <c r="HTR2476" s="60"/>
      <c r="HTS2476" s="60"/>
      <c r="HTT2476" s="60"/>
      <c r="HTU2476" s="63"/>
      <c r="HTV2476" s="61"/>
      <c r="HTW2476" s="54"/>
      <c r="HTX2476" s="54"/>
      <c r="HTY2476" s="60"/>
      <c r="HTZ2476" s="60"/>
      <c r="HUA2476" s="60"/>
      <c r="HUB2476" s="60"/>
      <c r="HUC2476" s="63"/>
      <c r="HUD2476" s="61"/>
      <c r="HUE2476" s="54"/>
      <c r="HUF2476" s="54"/>
      <c r="HUG2476" s="60"/>
      <c r="HUH2476" s="60"/>
      <c r="HUI2476" s="60"/>
      <c r="HUJ2476" s="60"/>
      <c r="HUK2476" s="63"/>
      <c r="HUL2476" s="61"/>
      <c r="HUM2476" s="54"/>
      <c r="HUN2476" s="54"/>
      <c r="HUO2476" s="60"/>
      <c r="HUP2476" s="60"/>
      <c r="HUQ2476" s="60"/>
      <c r="HUR2476" s="60"/>
      <c r="HUS2476" s="63"/>
      <c r="HUT2476" s="61"/>
      <c r="HUU2476" s="54"/>
      <c r="HUV2476" s="54"/>
      <c r="HUW2476" s="60"/>
      <c r="HUX2476" s="60"/>
      <c r="HUY2476" s="60"/>
      <c r="HUZ2476" s="60"/>
      <c r="HVA2476" s="63"/>
      <c r="HVB2476" s="61"/>
      <c r="HVC2476" s="54"/>
      <c r="HVD2476" s="54"/>
      <c r="HVE2476" s="60"/>
      <c r="HVF2476" s="60"/>
      <c r="HVG2476" s="60"/>
      <c r="HVH2476" s="60"/>
      <c r="HVI2476" s="63"/>
      <c r="HVJ2476" s="61"/>
      <c r="HVK2476" s="54"/>
      <c r="HVL2476" s="54"/>
      <c r="HVM2476" s="60"/>
      <c r="HVN2476" s="60"/>
      <c r="HVO2476" s="60"/>
      <c r="HVP2476" s="60"/>
      <c r="HVQ2476" s="63"/>
      <c r="HVR2476" s="61"/>
      <c r="HVS2476" s="54"/>
      <c r="HVT2476" s="54"/>
      <c r="HVU2476" s="60"/>
      <c r="HVV2476" s="60"/>
      <c r="HVW2476" s="60"/>
      <c r="HVX2476" s="60"/>
      <c r="HVY2476" s="63"/>
      <c r="HVZ2476" s="61"/>
      <c r="HWA2476" s="54"/>
      <c r="HWB2476" s="54"/>
      <c r="HWC2476" s="60"/>
      <c r="HWD2476" s="60"/>
      <c r="HWE2476" s="60"/>
      <c r="HWF2476" s="60"/>
      <c r="HWG2476" s="63"/>
      <c r="HWH2476" s="61"/>
      <c r="HWI2476" s="54"/>
      <c r="HWJ2476" s="54"/>
      <c r="HWK2476" s="60"/>
      <c r="HWL2476" s="60"/>
      <c r="HWM2476" s="60"/>
      <c r="HWN2476" s="60"/>
      <c r="HWO2476" s="63"/>
      <c r="HWP2476" s="61"/>
      <c r="HWQ2476" s="54"/>
      <c r="HWR2476" s="54"/>
      <c r="HWS2476" s="60"/>
      <c r="HWT2476" s="60"/>
      <c r="HWU2476" s="60"/>
      <c r="HWV2476" s="60"/>
      <c r="HWW2476" s="63"/>
      <c r="HWX2476" s="61"/>
      <c r="HWY2476" s="54"/>
      <c r="HWZ2476" s="54"/>
      <c r="HXA2476" s="60"/>
      <c r="HXB2476" s="60"/>
      <c r="HXC2476" s="60"/>
      <c r="HXD2476" s="60"/>
      <c r="HXE2476" s="63"/>
      <c r="HXF2476" s="61"/>
      <c r="HXG2476" s="54"/>
      <c r="HXH2476" s="54"/>
      <c r="HXI2476" s="60"/>
      <c r="HXJ2476" s="60"/>
      <c r="HXK2476" s="60"/>
      <c r="HXL2476" s="60"/>
      <c r="HXM2476" s="63"/>
      <c r="HXN2476" s="61"/>
      <c r="HXO2476" s="54"/>
      <c r="HXP2476" s="54"/>
      <c r="HXQ2476" s="60"/>
      <c r="HXR2476" s="60"/>
      <c r="HXS2476" s="60"/>
      <c r="HXT2476" s="60"/>
      <c r="HXU2476" s="63"/>
      <c r="HXV2476" s="61"/>
      <c r="HXW2476" s="54"/>
      <c r="HXX2476" s="54"/>
      <c r="HXY2476" s="60"/>
      <c r="HXZ2476" s="60"/>
      <c r="HYA2476" s="60"/>
      <c r="HYB2476" s="60"/>
      <c r="HYC2476" s="63"/>
      <c r="HYD2476" s="61"/>
      <c r="HYE2476" s="54"/>
      <c r="HYF2476" s="54"/>
      <c r="HYG2476" s="60"/>
      <c r="HYH2476" s="60"/>
      <c r="HYI2476" s="60"/>
      <c r="HYJ2476" s="60"/>
      <c r="HYK2476" s="63"/>
      <c r="HYL2476" s="61"/>
      <c r="HYM2476" s="54"/>
      <c r="HYN2476" s="54"/>
      <c r="HYO2476" s="60"/>
      <c r="HYP2476" s="60"/>
      <c r="HYQ2476" s="60"/>
      <c r="HYR2476" s="60"/>
      <c r="HYS2476" s="63"/>
      <c r="HYT2476" s="61"/>
      <c r="HYU2476" s="54"/>
      <c r="HYV2476" s="54"/>
      <c r="HYW2476" s="60"/>
      <c r="HYX2476" s="60"/>
      <c r="HYY2476" s="60"/>
      <c r="HYZ2476" s="60"/>
      <c r="HZA2476" s="63"/>
      <c r="HZB2476" s="61"/>
      <c r="HZC2476" s="54"/>
      <c r="HZD2476" s="54"/>
      <c r="HZE2476" s="60"/>
      <c r="HZF2476" s="60"/>
      <c r="HZG2476" s="60"/>
      <c r="HZH2476" s="60"/>
      <c r="HZI2476" s="63"/>
      <c r="HZJ2476" s="61"/>
      <c r="HZK2476" s="54"/>
      <c r="HZL2476" s="54"/>
      <c r="HZM2476" s="60"/>
      <c r="HZN2476" s="60"/>
      <c r="HZO2476" s="60"/>
      <c r="HZP2476" s="60"/>
      <c r="HZQ2476" s="63"/>
      <c r="HZR2476" s="61"/>
      <c r="HZS2476" s="54"/>
      <c r="HZT2476" s="54"/>
      <c r="HZU2476" s="60"/>
      <c r="HZV2476" s="60"/>
      <c r="HZW2476" s="60"/>
      <c r="HZX2476" s="60"/>
      <c r="HZY2476" s="63"/>
      <c r="HZZ2476" s="61"/>
      <c r="IAA2476" s="54"/>
      <c r="IAB2476" s="54"/>
      <c r="IAC2476" s="60"/>
      <c r="IAD2476" s="60"/>
      <c r="IAE2476" s="60"/>
      <c r="IAF2476" s="60"/>
      <c r="IAG2476" s="63"/>
      <c r="IAH2476" s="61"/>
      <c r="IAI2476" s="54"/>
      <c r="IAJ2476" s="54"/>
      <c r="IAK2476" s="60"/>
      <c r="IAL2476" s="60"/>
      <c r="IAM2476" s="60"/>
      <c r="IAN2476" s="60"/>
      <c r="IAO2476" s="63"/>
      <c r="IAP2476" s="61"/>
      <c r="IAQ2476" s="54"/>
      <c r="IAR2476" s="54"/>
      <c r="IAS2476" s="60"/>
      <c r="IAT2476" s="60"/>
      <c r="IAU2476" s="60"/>
      <c r="IAV2476" s="60"/>
      <c r="IAW2476" s="63"/>
      <c r="IAX2476" s="61"/>
      <c r="IAY2476" s="54"/>
      <c r="IAZ2476" s="54"/>
      <c r="IBA2476" s="60"/>
      <c r="IBB2476" s="60"/>
      <c r="IBC2476" s="60"/>
      <c r="IBD2476" s="60"/>
      <c r="IBE2476" s="63"/>
      <c r="IBF2476" s="61"/>
      <c r="IBG2476" s="54"/>
      <c r="IBH2476" s="54"/>
      <c r="IBI2476" s="60"/>
      <c r="IBJ2476" s="60"/>
      <c r="IBK2476" s="60"/>
      <c r="IBL2476" s="60"/>
      <c r="IBM2476" s="63"/>
      <c r="IBN2476" s="61"/>
      <c r="IBO2476" s="54"/>
      <c r="IBP2476" s="54"/>
      <c r="IBQ2476" s="60"/>
      <c r="IBR2476" s="60"/>
      <c r="IBS2476" s="60"/>
      <c r="IBT2476" s="60"/>
      <c r="IBU2476" s="63"/>
      <c r="IBV2476" s="61"/>
      <c r="IBW2476" s="54"/>
      <c r="IBX2476" s="54"/>
      <c r="IBY2476" s="60"/>
      <c r="IBZ2476" s="60"/>
      <c r="ICA2476" s="60"/>
      <c r="ICB2476" s="60"/>
      <c r="ICC2476" s="63"/>
      <c r="ICD2476" s="61"/>
      <c r="ICE2476" s="54"/>
      <c r="ICF2476" s="54"/>
      <c r="ICG2476" s="60"/>
      <c r="ICH2476" s="60"/>
      <c r="ICI2476" s="60"/>
      <c r="ICJ2476" s="60"/>
      <c r="ICK2476" s="63"/>
      <c r="ICL2476" s="61"/>
      <c r="ICM2476" s="54"/>
      <c r="ICN2476" s="54"/>
      <c r="ICO2476" s="60"/>
      <c r="ICP2476" s="60"/>
      <c r="ICQ2476" s="60"/>
      <c r="ICR2476" s="60"/>
      <c r="ICS2476" s="63"/>
      <c r="ICT2476" s="61"/>
      <c r="ICU2476" s="54"/>
      <c r="ICV2476" s="54"/>
      <c r="ICW2476" s="60"/>
      <c r="ICX2476" s="60"/>
      <c r="ICY2476" s="60"/>
      <c r="ICZ2476" s="60"/>
      <c r="IDA2476" s="63"/>
      <c r="IDB2476" s="61"/>
      <c r="IDC2476" s="54"/>
      <c r="IDD2476" s="54"/>
      <c r="IDE2476" s="60"/>
      <c r="IDF2476" s="60"/>
      <c r="IDG2476" s="60"/>
      <c r="IDH2476" s="60"/>
      <c r="IDI2476" s="63"/>
      <c r="IDJ2476" s="61"/>
      <c r="IDK2476" s="54"/>
      <c r="IDL2476" s="54"/>
      <c r="IDM2476" s="60"/>
      <c r="IDN2476" s="60"/>
      <c r="IDO2476" s="60"/>
      <c r="IDP2476" s="60"/>
      <c r="IDQ2476" s="63"/>
      <c r="IDR2476" s="61"/>
      <c r="IDS2476" s="54"/>
      <c r="IDT2476" s="54"/>
      <c r="IDU2476" s="60"/>
      <c r="IDV2476" s="60"/>
      <c r="IDW2476" s="60"/>
      <c r="IDX2476" s="60"/>
      <c r="IDY2476" s="63"/>
      <c r="IDZ2476" s="61"/>
      <c r="IEA2476" s="54"/>
      <c r="IEB2476" s="54"/>
      <c r="IEC2476" s="60"/>
      <c r="IED2476" s="60"/>
      <c r="IEE2476" s="60"/>
      <c r="IEF2476" s="60"/>
      <c r="IEG2476" s="63"/>
      <c r="IEH2476" s="61"/>
      <c r="IEI2476" s="54"/>
      <c r="IEJ2476" s="54"/>
      <c r="IEK2476" s="60"/>
      <c r="IEL2476" s="60"/>
      <c r="IEM2476" s="60"/>
      <c r="IEN2476" s="60"/>
      <c r="IEO2476" s="63"/>
      <c r="IEP2476" s="61"/>
      <c r="IEQ2476" s="54"/>
      <c r="IER2476" s="54"/>
      <c r="IES2476" s="60"/>
      <c r="IET2476" s="60"/>
      <c r="IEU2476" s="60"/>
      <c r="IEV2476" s="60"/>
      <c r="IEW2476" s="63"/>
      <c r="IEX2476" s="61"/>
      <c r="IEY2476" s="54"/>
      <c r="IEZ2476" s="54"/>
      <c r="IFA2476" s="60"/>
      <c r="IFB2476" s="60"/>
      <c r="IFC2476" s="60"/>
      <c r="IFD2476" s="60"/>
      <c r="IFE2476" s="63"/>
      <c r="IFF2476" s="61"/>
      <c r="IFG2476" s="54"/>
      <c r="IFH2476" s="54"/>
      <c r="IFI2476" s="60"/>
      <c r="IFJ2476" s="60"/>
      <c r="IFK2476" s="60"/>
      <c r="IFL2476" s="60"/>
      <c r="IFM2476" s="63"/>
      <c r="IFN2476" s="61"/>
      <c r="IFO2476" s="54"/>
      <c r="IFP2476" s="54"/>
      <c r="IFQ2476" s="60"/>
      <c r="IFR2476" s="60"/>
      <c r="IFS2476" s="60"/>
      <c r="IFT2476" s="60"/>
      <c r="IFU2476" s="63"/>
      <c r="IFV2476" s="61"/>
      <c r="IFW2476" s="54"/>
      <c r="IFX2476" s="54"/>
      <c r="IFY2476" s="60"/>
      <c r="IFZ2476" s="60"/>
      <c r="IGA2476" s="60"/>
      <c r="IGB2476" s="60"/>
      <c r="IGC2476" s="63"/>
      <c r="IGD2476" s="61"/>
      <c r="IGE2476" s="54"/>
      <c r="IGF2476" s="54"/>
      <c r="IGG2476" s="60"/>
      <c r="IGH2476" s="60"/>
      <c r="IGI2476" s="60"/>
      <c r="IGJ2476" s="60"/>
      <c r="IGK2476" s="63"/>
      <c r="IGL2476" s="61"/>
      <c r="IGM2476" s="54"/>
      <c r="IGN2476" s="54"/>
      <c r="IGO2476" s="60"/>
      <c r="IGP2476" s="60"/>
      <c r="IGQ2476" s="60"/>
      <c r="IGR2476" s="60"/>
      <c r="IGS2476" s="63"/>
      <c r="IGT2476" s="61"/>
      <c r="IGU2476" s="54"/>
      <c r="IGV2476" s="54"/>
      <c r="IGW2476" s="60"/>
      <c r="IGX2476" s="60"/>
      <c r="IGY2476" s="60"/>
      <c r="IGZ2476" s="60"/>
      <c r="IHA2476" s="63"/>
      <c r="IHB2476" s="61"/>
      <c r="IHC2476" s="54"/>
      <c r="IHD2476" s="54"/>
      <c r="IHE2476" s="60"/>
      <c r="IHF2476" s="60"/>
      <c r="IHG2476" s="60"/>
      <c r="IHH2476" s="60"/>
      <c r="IHI2476" s="63"/>
      <c r="IHJ2476" s="61"/>
      <c r="IHK2476" s="54"/>
      <c r="IHL2476" s="54"/>
      <c r="IHM2476" s="60"/>
      <c r="IHN2476" s="60"/>
      <c r="IHO2476" s="60"/>
      <c r="IHP2476" s="60"/>
      <c r="IHQ2476" s="63"/>
      <c r="IHR2476" s="61"/>
      <c r="IHS2476" s="54"/>
      <c r="IHT2476" s="54"/>
      <c r="IHU2476" s="60"/>
      <c r="IHV2476" s="60"/>
      <c r="IHW2476" s="60"/>
      <c r="IHX2476" s="60"/>
      <c r="IHY2476" s="63"/>
      <c r="IHZ2476" s="61"/>
      <c r="IIA2476" s="54"/>
      <c r="IIB2476" s="54"/>
      <c r="IIC2476" s="60"/>
      <c r="IID2476" s="60"/>
      <c r="IIE2476" s="60"/>
      <c r="IIF2476" s="60"/>
      <c r="IIG2476" s="63"/>
      <c r="IIH2476" s="61"/>
      <c r="III2476" s="54"/>
      <c r="IIJ2476" s="54"/>
      <c r="IIK2476" s="60"/>
      <c r="IIL2476" s="60"/>
      <c r="IIM2476" s="60"/>
      <c r="IIN2476" s="60"/>
      <c r="IIO2476" s="63"/>
      <c r="IIP2476" s="61"/>
      <c r="IIQ2476" s="54"/>
      <c r="IIR2476" s="54"/>
      <c r="IIS2476" s="60"/>
      <c r="IIT2476" s="60"/>
      <c r="IIU2476" s="60"/>
      <c r="IIV2476" s="60"/>
      <c r="IIW2476" s="63"/>
      <c r="IIX2476" s="61"/>
      <c r="IIY2476" s="54"/>
      <c r="IIZ2476" s="54"/>
      <c r="IJA2476" s="60"/>
      <c r="IJB2476" s="60"/>
      <c r="IJC2476" s="60"/>
      <c r="IJD2476" s="60"/>
      <c r="IJE2476" s="63"/>
      <c r="IJF2476" s="61"/>
      <c r="IJG2476" s="54"/>
      <c r="IJH2476" s="54"/>
      <c r="IJI2476" s="60"/>
      <c r="IJJ2476" s="60"/>
      <c r="IJK2476" s="60"/>
      <c r="IJL2476" s="60"/>
      <c r="IJM2476" s="63"/>
      <c r="IJN2476" s="61"/>
      <c r="IJO2476" s="54"/>
      <c r="IJP2476" s="54"/>
      <c r="IJQ2476" s="60"/>
      <c r="IJR2476" s="60"/>
      <c r="IJS2476" s="60"/>
      <c r="IJT2476" s="60"/>
      <c r="IJU2476" s="63"/>
      <c r="IJV2476" s="61"/>
      <c r="IJW2476" s="54"/>
      <c r="IJX2476" s="54"/>
      <c r="IJY2476" s="60"/>
      <c r="IJZ2476" s="60"/>
      <c r="IKA2476" s="60"/>
      <c r="IKB2476" s="60"/>
      <c r="IKC2476" s="63"/>
      <c r="IKD2476" s="61"/>
      <c r="IKE2476" s="54"/>
      <c r="IKF2476" s="54"/>
      <c r="IKG2476" s="60"/>
      <c r="IKH2476" s="60"/>
      <c r="IKI2476" s="60"/>
      <c r="IKJ2476" s="60"/>
      <c r="IKK2476" s="63"/>
      <c r="IKL2476" s="61"/>
      <c r="IKM2476" s="54"/>
      <c r="IKN2476" s="54"/>
      <c r="IKO2476" s="60"/>
      <c r="IKP2476" s="60"/>
      <c r="IKQ2476" s="60"/>
      <c r="IKR2476" s="60"/>
      <c r="IKS2476" s="63"/>
      <c r="IKT2476" s="61"/>
      <c r="IKU2476" s="54"/>
      <c r="IKV2476" s="54"/>
      <c r="IKW2476" s="60"/>
      <c r="IKX2476" s="60"/>
      <c r="IKY2476" s="60"/>
      <c r="IKZ2476" s="60"/>
      <c r="ILA2476" s="63"/>
      <c r="ILB2476" s="61"/>
      <c r="ILC2476" s="54"/>
      <c r="ILD2476" s="54"/>
      <c r="ILE2476" s="60"/>
      <c r="ILF2476" s="60"/>
      <c r="ILG2476" s="60"/>
      <c r="ILH2476" s="60"/>
      <c r="ILI2476" s="63"/>
      <c r="ILJ2476" s="61"/>
      <c r="ILK2476" s="54"/>
      <c r="ILL2476" s="54"/>
      <c r="ILM2476" s="60"/>
      <c r="ILN2476" s="60"/>
      <c r="ILO2476" s="60"/>
      <c r="ILP2476" s="60"/>
      <c r="ILQ2476" s="63"/>
      <c r="ILR2476" s="61"/>
      <c r="ILS2476" s="54"/>
      <c r="ILT2476" s="54"/>
      <c r="ILU2476" s="60"/>
      <c r="ILV2476" s="60"/>
      <c r="ILW2476" s="60"/>
      <c r="ILX2476" s="60"/>
      <c r="ILY2476" s="63"/>
      <c r="ILZ2476" s="61"/>
      <c r="IMA2476" s="54"/>
      <c r="IMB2476" s="54"/>
      <c r="IMC2476" s="60"/>
      <c r="IMD2476" s="60"/>
      <c r="IME2476" s="60"/>
      <c r="IMF2476" s="60"/>
      <c r="IMG2476" s="63"/>
      <c r="IMH2476" s="61"/>
      <c r="IMI2476" s="54"/>
      <c r="IMJ2476" s="54"/>
      <c r="IMK2476" s="60"/>
      <c r="IML2476" s="60"/>
      <c r="IMM2476" s="60"/>
      <c r="IMN2476" s="60"/>
      <c r="IMO2476" s="63"/>
      <c r="IMP2476" s="61"/>
      <c r="IMQ2476" s="54"/>
      <c r="IMR2476" s="54"/>
      <c r="IMS2476" s="60"/>
      <c r="IMT2476" s="60"/>
      <c r="IMU2476" s="60"/>
      <c r="IMV2476" s="60"/>
      <c r="IMW2476" s="63"/>
      <c r="IMX2476" s="61"/>
      <c r="IMY2476" s="54"/>
      <c r="IMZ2476" s="54"/>
      <c r="INA2476" s="60"/>
      <c r="INB2476" s="60"/>
      <c r="INC2476" s="60"/>
      <c r="IND2476" s="60"/>
      <c r="INE2476" s="63"/>
      <c r="INF2476" s="61"/>
      <c r="ING2476" s="54"/>
      <c r="INH2476" s="54"/>
      <c r="INI2476" s="60"/>
      <c r="INJ2476" s="60"/>
      <c r="INK2476" s="60"/>
      <c r="INL2476" s="60"/>
      <c r="INM2476" s="63"/>
      <c r="INN2476" s="61"/>
      <c r="INO2476" s="54"/>
      <c r="INP2476" s="54"/>
      <c r="INQ2476" s="60"/>
      <c r="INR2476" s="60"/>
      <c r="INS2476" s="60"/>
      <c r="INT2476" s="60"/>
      <c r="INU2476" s="63"/>
      <c r="INV2476" s="61"/>
      <c r="INW2476" s="54"/>
      <c r="INX2476" s="54"/>
      <c r="INY2476" s="60"/>
      <c r="INZ2476" s="60"/>
      <c r="IOA2476" s="60"/>
      <c r="IOB2476" s="60"/>
      <c r="IOC2476" s="63"/>
      <c r="IOD2476" s="61"/>
      <c r="IOE2476" s="54"/>
      <c r="IOF2476" s="54"/>
      <c r="IOG2476" s="60"/>
      <c r="IOH2476" s="60"/>
      <c r="IOI2476" s="60"/>
      <c r="IOJ2476" s="60"/>
      <c r="IOK2476" s="63"/>
      <c r="IOL2476" s="61"/>
      <c r="IOM2476" s="54"/>
      <c r="ION2476" s="54"/>
      <c r="IOO2476" s="60"/>
      <c r="IOP2476" s="60"/>
      <c r="IOQ2476" s="60"/>
      <c r="IOR2476" s="60"/>
      <c r="IOS2476" s="63"/>
      <c r="IOT2476" s="61"/>
      <c r="IOU2476" s="54"/>
      <c r="IOV2476" s="54"/>
      <c r="IOW2476" s="60"/>
      <c r="IOX2476" s="60"/>
      <c r="IOY2476" s="60"/>
      <c r="IOZ2476" s="60"/>
      <c r="IPA2476" s="63"/>
      <c r="IPB2476" s="61"/>
      <c r="IPC2476" s="54"/>
      <c r="IPD2476" s="54"/>
      <c r="IPE2476" s="60"/>
      <c r="IPF2476" s="60"/>
      <c r="IPG2476" s="60"/>
      <c r="IPH2476" s="60"/>
      <c r="IPI2476" s="63"/>
      <c r="IPJ2476" s="61"/>
      <c r="IPK2476" s="54"/>
      <c r="IPL2476" s="54"/>
      <c r="IPM2476" s="60"/>
      <c r="IPN2476" s="60"/>
      <c r="IPO2476" s="60"/>
      <c r="IPP2476" s="60"/>
      <c r="IPQ2476" s="63"/>
      <c r="IPR2476" s="61"/>
      <c r="IPS2476" s="54"/>
      <c r="IPT2476" s="54"/>
      <c r="IPU2476" s="60"/>
      <c r="IPV2476" s="60"/>
      <c r="IPW2476" s="60"/>
      <c r="IPX2476" s="60"/>
      <c r="IPY2476" s="63"/>
      <c r="IPZ2476" s="61"/>
      <c r="IQA2476" s="54"/>
      <c r="IQB2476" s="54"/>
      <c r="IQC2476" s="60"/>
      <c r="IQD2476" s="60"/>
      <c r="IQE2476" s="60"/>
      <c r="IQF2476" s="60"/>
      <c r="IQG2476" s="63"/>
      <c r="IQH2476" s="61"/>
      <c r="IQI2476" s="54"/>
      <c r="IQJ2476" s="54"/>
      <c r="IQK2476" s="60"/>
      <c r="IQL2476" s="60"/>
      <c r="IQM2476" s="60"/>
      <c r="IQN2476" s="60"/>
      <c r="IQO2476" s="63"/>
      <c r="IQP2476" s="61"/>
      <c r="IQQ2476" s="54"/>
      <c r="IQR2476" s="54"/>
      <c r="IQS2476" s="60"/>
      <c r="IQT2476" s="60"/>
      <c r="IQU2476" s="60"/>
      <c r="IQV2476" s="60"/>
      <c r="IQW2476" s="63"/>
      <c r="IQX2476" s="61"/>
      <c r="IQY2476" s="54"/>
      <c r="IQZ2476" s="54"/>
      <c r="IRA2476" s="60"/>
      <c r="IRB2476" s="60"/>
      <c r="IRC2476" s="60"/>
      <c r="IRD2476" s="60"/>
      <c r="IRE2476" s="63"/>
      <c r="IRF2476" s="61"/>
      <c r="IRG2476" s="54"/>
      <c r="IRH2476" s="54"/>
      <c r="IRI2476" s="60"/>
      <c r="IRJ2476" s="60"/>
      <c r="IRK2476" s="60"/>
      <c r="IRL2476" s="60"/>
      <c r="IRM2476" s="63"/>
      <c r="IRN2476" s="61"/>
      <c r="IRO2476" s="54"/>
      <c r="IRP2476" s="54"/>
      <c r="IRQ2476" s="60"/>
      <c r="IRR2476" s="60"/>
      <c r="IRS2476" s="60"/>
      <c r="IRT2476" s="60"/>
      <c r="IRU2476" s="63"/>
      <c r="IRV2476" s="61"/>
      <c r="IRW2476" s="54"/>
      <c r="IRX2476" s="54"/>
      <c r="IRY2476" s="60"/>
      <c r="IRZ2476" s="60"/>
      <c r="ISA2476" s="60"/>
      <c r="ISB2476" s="60"/>
      <c r="ISC2476" s="63"/>
      <c r="ISD2476" s="61"/>
      <c r="ISE2476" s="54"/>
      <c r="ISF2476" s="54"/>
      <c r="ISG2476" s="60"/>
      <c r="ISH2476" s="60"/>
      <c r="ISI2476" s="60"/>
      <c r="ISJ2476" s="60"/>
      <c r="ISK2476" s="63"/>
      <c r="ISL2476" s="61"/>
      <c r="ISM2476" s="54"/>
      <c r="ISN2476" s="54"/>
      <c r="ISO2476" s="60"/>
      <c r="ISP2476" s="60"/>
      <c r="ISQ2476" s="60"/>
      <c r="ISR2476" s="60"/>
      <c r="ISS2476" s="63"/>
      <c r="IST2476" s="61"/>
      <c r="ISU2476" s="54"/>
      <c r="ISV2476" s="54"/>
      <c r="ISW2476" s="60"/>
      <c r="ISX2476" s="60"/>
      <c r="ISY2476" s="60"/>
      <c r="ISZ2476" s="60"/>
      <c r="ITA2476" s="63"/>
      <c r="ITB2476" s="61"/>
      <c r="ITC2476" s="54"/>
      <c r="ITD2476" s="54"/>
      <c r="ITE2476" s="60"/>
      <c r="ITF2476" s="60"/>
      <c r="ITG2476" s="60"/>
      <c r="ITH2476" s="60"/>
      <c r="ITI2476" s="63"/>
      <c r="ITJ2476" s="61"/>
      <c r="ITK2476" s="54"/>
      <c r="ITL2476" s="54"/>
      <c r="ITM2476" s="60"/>
      <c r="ITN2476" s="60"/>
      <c r="ITO2476" s="60"/>
      <c r="ITP2476" s="60"/>
      <c r="ITQ2476" s="63"/>
      <c r="ITR2476" s="61"/>
      <c r="ITS2476" s="54"/>
      <c r="ITT2476" s="54"/>
      <c r="ITU2476" s="60"/>
      <c r="ITV2476" s="60"/>
      <c r="ITW2476" s="60"/>
      <c r="ITX2476" s="60"/>
      <c r="ITY2476" s="63"/>
      <c r="ITZ2476" s="61"/>
      <c r="IUA2476" s="54"/>
      <c r="IUB2476" s="54"/>
      <c r="IUC2476" s="60"/>
      <c r="IUD2476" s="60"/>
      <c r="IUE2476" s="60"/>
      <c r="IUF2476" s="60"/>
      <c r="IUG2476" s="63"/>
      <c r="IUH2476" s="61"/>
      <c r="IUI2476" s="54"/>
      <c r="IUJ2476" s="54"/>
      <c r="IUK2476" s="60"/>
      <c r="IUL2476" s="60"/>
      <c r="IUM2476" s="60"/>
      <c r="IUN2476" s="60"/>
      <c r="IUO2476" s="63"/>
      <c r="IUP2476" s="61"/>
      <c r="IUQ2476" s="54"/>
      <c r="IUR2476" s="54"/>
      <c r="IUS2476" s="60"/>
      <c r="IUT2476" s="60"/>
      <c r="IUU2476" s="60"/>
      <c r="IUV2476" s="60"/>
      <c r="IUW2476" s="63"/>
      <c r="IUX2476" s="61"/>
      <c r="IUY2476" s="54"/>
      <c r="IUZ2476" s="54"/>
      <c r="IVA2476" s="60"/>
      <c r="IVB2476" s="60"/>
      <c r="IVC2476" s="60"/>
      <c r="IVD2476" s="60"/>
      <c r="IVE2476" s="63"/>
      <c r="IVF2476" s="61"/>
      <c r="IVG2476" s="54"/>
      <c r="IVH2476" s="54"/>
      <c r="IVI2476" s="60"/>
      <c r="IVJ2476" s="60"/>
      <c r="IVK2476" s="60"/>
      <c r="IVL2476" s="60"/>
      <c r="IVM2476" s="63"/>
      <c r="IVN2476" s="61"/>
      <c r="IVO2476" s="54"/>
      <c r="IVP2476" s="54"/>
      <c r="IVQ2476" s="60"/>
      <c r="IVR2476" s="60"/>
      <c r="IVS2476" s="60"/>
      <c r="IVT2476" s="60"/>
      <c r="IVU2476" s="63"/>
      <c r="IVV2476" s="61"/>
      <c r="IVW2476" s="54"/>
      <c r="IVX2476" s="54"/>
      <c r="IVY2476" s="60"/>
      <c r="IVZ2476" s="60"/>
      <c r="IWA2476" s="60"/>
      <c r="IWB2476" s="60"/>
      <c r="IWC2476" s="63"/>
      <c r="IWD2476" s="61"/>
      <c r="IWE2476" s="54"/>
      <c r="IWF2476" s="54"/>
      <c r="IWG2476" s="60"/>
      <c r="IWH2476" s="60"/>
      <c r="IWI2476" s="60"/>
      <c r="IWJ2476" s="60"/>
      <c r="IWK2476" s="63"/>
      <c r="IWL2476" s="61"/>
      <c r="IWM2476" s="54"/>
      <c r="IWN2476" s="54"/>
      <c r="IWO2476" s="60"/>
      <c r="IWP2476" s="60"/>
      <c r="IWQ2476" s="60"/>
      <c r="IWR2476" s="60"/>
      <c r="IWS2476" s="63"/>
      <c r="IWT2476" s="61"/>
      <c r="IWU2476" s="54"/>
      <c r="IWV2476" s="54"/>
      <c r="IWW2476" s="60"/>
      <c r="IWX2476" s="60"/>
      <c r="IWY2476" s="60"/>
      <c r="IWZ2476" s="60"/>
      <c r="IXA2476" s="63"/>
      <c r="IXB2476" s="61"/>
      <c r="IXC2476" s="54"/>
      <c r="IXD2476" s="54"/>
      <c r="IXE2476" s="60"/>
      <c r="IXF2476" s="60"/>
      <c r="IXG2476" s="60"/>
      <c r="IXH2476" s="60"/>
      <c r="IXI2476" s="63"/>
      <c r="IXJ2476" s="61"/>
      <c r="IXK2476" s="54"/>
      <c r="IXL2476" s="54"/>
      <c r="IXM2476" s="60"/>
      <c r="IXN2476" s="60"/>
      <c r="IXO2476" s="60"/>
      <c r="IXP2476" s="60"/>
      <c r="IXQ2476" s="63"/>
      <c r="IXR2476" s="61"/>
      <c r="IXS2476" s="54"/>
      <c r="IXT2476" s="54"/>
      <c r="IXU2476" s="60"/>
      <c r="IXV2476" s="60"/>
      <c r="IXW2476" s="60"/>
      <c r="IXX2476" s="60"/>
      <c r="IXY2476" s="63"/>
      <c r="IXZ2476" s="61"/>
      <c r="IYA2476" s="54"/>
      <c r="IYB2476" s="54"/>
      <c r="IYC2476" s="60"/>
      <c r="IYD2476" s="60"/>
      <c r="IYE2476" s="60"/>
      <c r="IYF2476" s="60"/>
      <c r="IYG2476" s="63"/>
      <c r="IYH2476" s="61"/>
      <c r="IYI2476" s="54"/>
      <c r="IYJ2476" s="54"/>
      <c r="IYK2476" s="60"/>
      <c r="IYL2476" s="60"/>
      <c r="IYM2476" s="60"/>
      <c r="IYN2476" s="60"/>
      <c r="IYO2476" s="63"/>
      <c r="IYP2476" s="61"/>
      <c r="IYQ2476" s="54"/>
      <c r="IYR2476" s="54"/>
      <c r="IYS2476" s="60"/>
      <c r="IYT2476" s="60"/>
      <c r="IYU2476" s="60"/>
      <c r="IYV2476" s="60"/>
      <c r="IYW2476" s="63"/>
      <c r="IYX2476" s="61"/>
      <c r="IYY2476" s="54"/>
      <c r="IYZ2476" s="54"/>
      <c r="IZA2476" s="60"/>
      <c r="IZB2476" s="60"/>
      <c r="IZC2476" s="60"/>
      <c r="IZD2476" s="60"/>
      <c r="IZE2476" s="63"/>
      <c r="IZF2476" s="61"/>
      <c r="IZG2476" s="54"/>
      <c r="IZH2476" s="54"/>
      <c r="IZI2476" s="60"/>
      <c r="IZJ2476" s="60"/>
      <c r="IZK2476" s="60"/>
      <c r="IZL2476" s="60"/>
      <c r="IZM2476" s="63"/>
      <c r="IZN2476" s="61"/>
      <c r="IZO2476" s="54"/>
      <c r="IZP2476" s="54"/>
      <c r="IZQ2476" s="60"/>
      <c r="IZR2476" s="60"/>
      <c r="IZS2476" s="60"/>
      <c r="IZT2476" s="60"/>
      <c r="IZU2476" s="63"/>
      <c r="IZV2476" s="61"/>
      <c r="IZW2476" s="54"/>
      <c r="IZX2476" s="54"/>
      <c r="IZY2476" s="60"/>
      <c r="IZZ2476" s="60"/>
      <c r="JAA2476" s="60"/>
      <c r="JAB2476" s="60"/>
      <c r="JAC2476" s="63"/>
      <c r="JAD2476" s="61"/>
      <c r="JAE2476" s="54"/>
      <c r="JAF2476" s="54"/>
      <c r="JAG2476" s="60"/>
      <c r="JAH2476" s="60"/>
      <c r="JAI2476" s="60"/>
      <c r="JAJ2476" s="60"/>
      <c r="JAK2476" s="63"/>
      <c r="JAL2476" s="61"/>
      <c r="JAM2476" s="54"/>
      <c r="JAN2476" s="54"/>
      <c r="JAO2476" s="60"/>
      <c r="JAP2476" s="60"/>
      <c r="JAQ2476" s="60"/>
      <c r="JAR2476" s="60"/>
      <c r="JAS2476" s="63"/>
      <c r="JAT2476" s="61"/>
      <c r="JAU2476" s="54"/>
      <c r="JAV2476" s="54"/>
      <c r="JAW2476" s="60"/>
      <c r="JAX2476" s="60"/>
      <c r="JAY2476" s="60"/>
      <c r="JAZ2476" s="60"/>
      <c r="JBA2476" s="63"/>
      <c r="JBB2476" s="61"/>
      <c r="JBC2476" s="54"/>
      <c r="JBD2476" s="54"/>
      <c r="JBE2476" s="60"/>
      <c r="JBF2476" s="60"/>
      <c r="JBG2476" s="60"/>
      <c r="JBH2476" s="60"/>
      <c r="JBI2476" s="63"/>
      <c r="JBJ2476" s="61"/>
      <c r="JBK2476" s="54"/>
      <c r="JBL2476" s="54"/>
      <c r="JBM2476" s="60"/>
      <c r="JBN2476" s="60"/>
      <c r="JBO2476" s="60"/>
      <c r="JBP2476" s="60"/>
      <c r="JBQ2476" s="63"/>
      <c r="JBR2476" s="61"/>
      <c r="JBS2476" s="54"/>
      <c r="JBT2476" s="54"/>
      <c r="JBU2476" s="60"/>
      <c r="JBV2476" s="60"/>
      <c r="JBW2476" s="60"/>
      <c r="JBX2476" s="60"/>
      <c r="JBY2476" s="63"/>
      <c r="JBZ2476" s="61"/>
      <c r="JCA2476" s="54"/>
      <c r="JCB2476" s="54"/>
      <c r="JCC2476" s="60"/>
      <c r="JCD2476" s="60"/>
      <c r="JCE2476" s="60"/>
      <c r="JCF2476" s="60"/>
      <c r="JCG2476" s="63"/>
      <c r="JCH2476" s="61"/>
      <c r="JCI2476" s="54"/>
      <c r="JCJ2476" s="54"/>
      <c r="JCK2476" s="60"/>
      <c r="JCL2476" s="60"/>
      <c r="JCM2476" s="60"/>
      <c r="JCN2476" s="60"/>
      <c r="JCO2476" s="63"/>
      <c r="JCP2476" s="61"/>
      <c r="JCQ2476" s="54"/>
      <c r="JCR2476" s="54"/>
      <c r="JCS2476" s="60"/>
      <c r="JCT2476" s="60"/>
      <c r="JCU2476" s="60"/>
      <c r="JCV2476" s="60"/>
      <c r="JCW2476" s="63"/>
      <c r="JCX2476" s="61"/>
      <c r="JCY2476" s="54"/>
      <c r="JCZ2476" s="54"/>
      <c r="JDA2476" s="60"/>
      <c r="JDB2476" s="60"/>
      <c r="JDC2476" s="60"/>
      <c r="JDD2476" s="60"/>
      <c r="JDE2476" s="63"/>
      <c r="JDF2476" s="61"/>
      <c r="JDG2476" s="54"/>
      <c r="JDH2476" s="54"/>
      <c r="JDI2476" s="60"/>
      <c r="JDJ2476" s="60"/>
      <c r="JDK2476" s="60"/>
      <c r="JDL2476" s="60"/>
      <c r="JDM2476" s="63"/>
      <c r="JDN2476" s="61"/>
      <c r="JDO2476" s="54"/>
      <c r="JDP2476" s="54"/>
      <c r="JDQ2476" s="60"/>
      <c r="JDR2476" s="60"/>
      <c r="JDS2476" s="60"/>
      <c r="JDT2476" s="60"/>
      <c r="JDU2476" s="63"/>
      <c r="JDV2476" s="61"/>
      <c r="JDW2476" s="54"/>
      <c r="JDX2476" s="54"/>
      <c r="JDY2476" s="60"/>
      <c r="JDZ2476" s="60"/>
      <c r="JEA2476" s="60"/>
      <c r="JEB2476" s="60"/>
      <c r="JEC2476" s="63"/>
      <c r="JED2476" s="61"/>
      <c r="JEE2476" s="54"/>
      <c r="JEF2476" s="54"/>
      <c r="JEG2476" s="60"/>
      <c r="JEH2476" s="60"/>
      <c r="JEI2476" s="60"/>
      <c r="JEJ2476" s="60"/>
      <c r="JEK2476" s="63"/>
      <c r="JEL2476" s="61"/>
      <c r="JEM2476" s="54"/>
      <c r="JEN2476" s="54"/>
      <c r="JEO2476" s="60"/>
      <c r="JEP2476" s="60"/>
      <c r="JEQ2476" s="60"/>
      <c r="JER2476" s="60"/>
      <c r="JES2476" s="63"/>
      <c r="JET2476" s="61"/>
      <c r="JEU2476" s="54"/>
      <c r="JEV2476" s="54"/>
      <c r="JEW2476" s="60"/>
      <c r="JEX2476" s="60"/>
      <c r="JEY2476" s="60"/>
      <c r="JEZ2476" s="60"/>
      <c r="JFA2476" s="63"/>
      <c r="JFB2476" s="61"/>
      <c r="JFC2476" s="54"/>
      <c r="JFD2476" s="54"/>
      <c r="JFE2476" s="60"/>
      <c r="JFF2476" s="60"/>
      <c r="JFG2476" s="60"/>
      <c r="JFH2476" s="60"/>
      <c r="JFI2476" s="63"/>
      <c r="JFJ2476" s="61"/>
      <c r="JFK2476" s="54"/>
      <c r="JFL2476" s="54"/>
      <c r="JFM2476" s="60"/>
      <c r="JFN2476" s="60"/>
      <c r="JFO2476" s="60"/>
      <c r="JFP2476" s="60"/>
      <c r="JFQ2476" s="63"/>
      <c r="JFR2476" s="61"/>
      <c r="JFS2476" s="54"/>
      <c r="JFT2476" s="54"/>
      <c r="JFU2476" s="60"/>
      <c r="JFV2476" s="60"/>
      <c r="JFW2476" s="60"/>
      <c r="JFX2476" s="60"/>
      <c r="JFY2476" s="63"/>
      <c r="JFZ2476" s="61"/>
      <c r="JGA2476" s="54"/>
      <c r="JGB2476" s="54"/>
      <c r="JGC2476" s="60"/>
      <c r="JGD2476" s="60"/>
      <c r="JGE2476" s="60"/>
      <c r="JGF2476" s="60"/>
      <c r="JGG2476" s="63"/>
      <c r="JGH2476" s="61"/>
      <c r="JGI2476" s="54"/>
      <c r="JGJ2476" s="54"/>
      <c r="JGK2476" s="60"/>
      <c r="JGL2476" s="60"/>
      <c r="JGM2476" s="60"/>
      <c r="JGN2476" s="60"/>
      <c r="JGO2476" s="63"/>
      <c r="JGP2476" s="61"/>
      <c r="JGQ2476" s="54"/>
      <c r="JGR2476" s="54"/>
      <c r="JGS2476" s="60"/>
      <c r="JGT2476" s="60"/>
      <c r="JGU2476" s="60"/>
      <c r="JGV2476" s="60"/>
      <c r="JGW2476" s="63"/>
      <c r="JGX2476" s="61"/>
      <c r="JGY2476" s="54"/>
      <c r="JGZ2476" s="54"/>
      <c r="JHA2476" s="60"/>
      <c r="JHB2476" s="60"/>
      <c r="JHC2476" s="60"/>
      <c r="JHD2476" s="60"/>
      <c r="JHE2476" s="63"/>
      <c r="JHF2476" s="61"/>
      <c r="JHG2476" s="54"/>
      <c r="JHH2476" s="54"/>
      <c r="JHI2476" s="60"/>
      <c r="JHJ2476" s="60"/>
      <c r="JHK2476" s="60"/>
      <c r="JHL2476" s="60"/>
      <c r="JHM2476" s="63"/>
      <c r="JHN2476" s="61"/>
      <c r="JHO2476" s="54"/>
      <c r="JHP2476" s="54"/>
      <c r="JHQ2476" s="60"/>
      <c r="JHR2476" s="60"/>
      <c r="JHS2476" s="60"/>
      <c r="JHT2476" s="60"/>
      <c r="JHU2476" s="63"/>
      <c r="JHV2476" s="61"/>
      <c r="JHW2476" s="54"/>
      <c r="JHX2476" s="54"/>
      <c r="JHY2476" s="60"/>
      <c r="JHZ2476" s="60"/>
      <c r="JIA2476" s="60"/>
      <c r="JIB2476" s="60"/>
      <c r="JIC2476" s="63"/>
      <c r="JID2476" s="61"/>
      <c r="JIE2476" s="54"/>
      <c r="JIF2476" s="54"/>
      <c r="JIG2476" s="60"/>
      <c r="JIH2476" s="60"/>
      <c r="JII2476" s="60"/>
      <c r="JIJ2476" s="60"/>
      <c r="JIK2476" s="63"/>
      <c r="JIL2476" s="61"/>
      <c r="JIM2476" s="54"/>
      <c r="JIN2476" s="54"/>
      <c r="JIO2476" s="60"/>
      <c r="JIP2476" s="60"/>
      <c r="JIQ2476" s="60"/>
      <c r="JIR2476" s="60"/>
      <c r="JIS2476" s="63"/>
      <c r="JIT2476" s="61"/>
      <c r="JIU2476" s="54"/>
      <c r="JIV2476" s="54"/>
      <c r="JIW2476" s="60"/>
      <c r="JIX2476" s="60"/>
      <c r="JIY2476" s="60"/>
      <c r="JIZ2476" s="60"/>
      <c r="JJA2476" s="63"/>
      <c r="JJB2476" s="61"/>
      <c r="JJC2476" s="54"/>
      <c r="JJD2476" s="54"/>
      <c r="JJE2476" s="60"/>
      <c r="JJF2476" s="60"/>
      <c r="JJG2476" s="60"/>
      <c r="JJH2476" s="60"/>
      <c r="JJI2476" s="63"/>
      <c r="JJJ2476" s="61"/>
      <c r="JJK2476" s="54"/>
      <c r="JJL2476" s="54"/>
      <c r="JJM2476" s="60"/>
      <c r="JJN2476" s="60"/>
      <c r="JJO2476" s="60"/>
      <c r="JJP2476" s="60"/>
      <c r="JJQ2476" s="63"/>
      <c r="JJR2476" s="61"/>
      <c r="JJS2476" s="54"/>
      <c r="JJT2476" s="54"/>
      <c r="JJU2476" s="60"/>
      <c r="JJV2476" s="60"/>
      <c r="JJW2476" s="60"/>
      <c r="JJX2476" s="60"/>
      <c r="JJY2476" s="63"/>
      <c r="JJZ2476" s="61"/>
      <c r="JKA2476" s="54"/>
      <c r="JKB2476" s="54"/>
      <c r="JKC2476" s="60"/>
      <c r="JKD2476" s="60"/>
      <c r="JKE2476" s="60"/>
      <c r="JKF2476" s="60"/>
      <c r="JKG2476" s="63"/>
      <c r="JKH2476" s="61"/>
      <c r="JKI2476" s="54"/>
      <c r="JKJ2476" s="54"/>
      <c r="JKK2476" s="60"/>
      <c r="JKL2476" s="60"/>
      <c r="JKM2476" s="60"/>
      <c r="JKN2476" s="60"/>
      <c r="JKO2476" s="63"/>
      <c r="JKP2476" s="61"/>
      <c r="JKQ2476" s="54"/>
      <c r="JKR2476" s="54"/>
      <c r="JKS2476" s="60"/>
      <c r="JKT2476" s="60"/>
      <c r="JKU2476" s="60"/>
      <c r="JKV2476" s="60"/>
      <c r="JKW2476" s="63"/>
      <c r="JKX2476" s="61"/>
      <c r="JKY2476" s="54"/>
      <c r="JKZ2476" s="54"/>
      <c r="JLA2476" s="60"/>
      <c r="JLB2476" s="60"/>
      <c r="JLC2476" s="60"/>
      <c r="JLD2476" s="60"/>
      <c r="JLE2476" s="63"/>
      <c r="JLF2476" s="61"/>
      <c r="JLG2476" s="54"/>
      <c r="JLH2476" s="54"/>
      <c r="JLI2476" s="60"/>
      <c r="JLJ2476" s="60"/>
      <c r="JLK2476" s="60"/>
      <c r="JLL2476" s="60"/>
      <c r="JLM2476" s="63"/>
      <c r="JLN2476" s="61"/>
      <c r="JLO2476" s="54"/>
      <c r="JLP2476" s="54"/>
      <c r="JLQ2476" s="60"/>
      <c r="JLR2476" s="60"/>
      <c r="JLS2476" s="60"/>
      <c r="JLT2476" s="60"/>
      <c r="JLU2476" s="63"/>
      <c r="JLV2476" s="61"/>
      <c r="JLW2476" s="54"/>
      <c r="JLX2476" s="54"/>
      <c r="JLY2476" s="60"/>
      <c r="JLZ2476" s="60"/>
      <c r="JMA2476" s="60"/>
      <c r="JMB2476" s="60"/>
      <c r="JMC2476" s="63"/>
      <c r="JMD2476" s="61"/>
      <c r="JME2476" s="54"/>
      <c r="JMF2476" s="54"/>
      <c r="JMG2476" s="60"/>
      <c r="JMH2476" s="60"/>
      <c r="JMI2476" s="60"/>
      <c r="JMJ2476" s="60"/>
      <c r="JMK2476" s="63"/>
      <c r="JML2476" s="61"/>
      <c r="JMM2476" s="54"/>
      <c r="JMN2476" s="54"/>
      <c r="JMO2476" s="60"/>
      <c r="JMP2476" s="60"/>
      <c r="JMQ2476" s="60"/>
      <c r="JMR2476" s="60"/>
      <c r="JMS2476" s="63"/>
      <c r="JMT2476" s="61"/>
      <c r="JMU2476" s="54"/>
      <c r="JMV2476" s="54"/>
      <c r="JMW2476" s="60"/>
      <c r="JMX2476" s="60"/>
      <c r="JMY2476" s="60"/>
      <c r="JMZ2476" s="60"/>
      <c r="JNA2476" s="63"/>
      <c r="JNB2476" s="61"/>
      <c r="JNC2476" s="54"/>
      <c r="JND2476" s="54"/>
      <c r="JNE2476" s="60"/>
      <c r="JNF2476" s="60"/>
      <c r="JNG2476" s="60"/>
      <c r="JNH2476" s="60"/>
      <c r="JNI2476" s="63"/>
      <c r="JNJ2476" s="61"/>
      <c r="JNK2476" s="54"/>
      <c r="JNL2476" s="54"/>
      <c r="JNM2476" s="60"/>
      <c r="JNN2476" s="60"/>
      <c r="JNO2476" s="60"/>
      <c r="JNP2476" s="60"/>
      <c r="JNQ2476" s="63"/>
      <c r="JNR2476" s="61"/>
      <c r="JNS2476" s="54"/>
      <c r="JNT2476" s="54"/>
      <c r="JNU2476" s="60"/>
      <c r="JNV2476" s="60"/>
      <c r="JNW2476" s="60"/>
      <c r="JNX2476" s="60"/>
      <c r="JNY2476" s="63"/>
      <c r="JNZ2476" s="61"/>
      <c r="JOA2476" s="54"/>
      <c r="JOB2476" s="54"/>
      <c r="JOC2476" s="60"/>
      <c r="JOD2476" s="60"/>
      <c r="JOE2476" s="60"/>
      <c r="JOF2476" s="60"/>
      <c r="JOG2476" s="63"/>
      <c r="JOH2476" s="61"/>
      <c r="JOI2476" s="54"/>
      <c r="JOJ2476" s="54"/>
      <c r="JOK2476" s="60"/>
      <c r="JOL2476" s="60"/>
      <c r="JOM2476" s="60"/>
      <c r="JON2476" s="60"/>
      <c r="JOO2476" s="63"/>
      <c r="JOP2476" s="61"/>
      <c r="JOQ2476" s="54"/>
      <c r="JOR2476" s="54"/>
      <c r="JOS2476" s="60"/>
      <c r="JOT2476" s="60"/>
      <c r="JOU2476" s="60"/>
      <c r="JOV2476" s="60"/>
      <c r="JOW2476" s="63"/>
      <c r="JOX2476" s="61"/>
      <c r="JOY2476" s="54"/>
      <c r="JOZ2476" s="54"/>
      <c r="JPA2476" s="60"/>
      <c r="JPB2476" s="60"/>
      <c r="JPC2476" s="60"/>
      <c r="JPD2476" s="60"/>
      <c r="JPE2476" s="63"/>
      <c r="JPF2476" s="61"/>
      <c r="JPG2476" s="54"/>
      <c r="JPH2476" s="54"/>
      <c r="JPI2476" s="60"/>
      <c r="JPJ2476" s="60"/>
      <c r="JPK2476" s="60"/>
      <c r="JPL2476" s="60"/>
      <c r="JPM2476" s="63"/>
      <c r="JPN2476" s="61"/>
      <c r="JPO2476" s="54"/>
      <c r="JPP2476" s="54"/>
      <c r="JPQ2476" s="60"/>
      <c r="JPR2476" s="60"/>
      <c r="JPS2476" s="60"/>
      <c r="JPT2476" s="60"/>
      <c r="JPU2476" s="63"/>
      <c r="JPV2476" s="61"/>
      <c r="JPW2476" s="54"/>
      <c r="JPX2476" s="54"/>
      <c r="JPY2476" s="60"/>
      <c r="JPZ2476" s="60"/>
      <c r="JQA2476" s="60"/>
      <c r="JQB2476" s="60"/>
      <c r="JQC2476" s="63"/>
      <c r="JQD2476" s="61"/>
      <c r="JQE2476" s="54"/>
      <c r="JQF2476" s="54"/>
      <c r="JQG2476" s="60"/>
      <c r="JQH2476" s="60"/>
      <c r="JQI2476" s="60"/>
      <c r="JQJ2476" s="60"/>
      <c r="JQK2476" s="63"/>
      <c r="JQL2476" s="61"/>
      <c r="JQM2476" s="54"/>
      <c r="JQN2476" s="54"/>
      <c r="JQO2476" s="60"/>
      <c r="JQP2476" s="60"/>
      <c r="JQQ2476" s="60"/>
      <c r="JQR2476" s="60"/>
      <c r="JQS2476" s="63"/>
      <c r="JQT2476" s="61"/>
      <c r="JQU2476" s="54"/>
      <c r="JQV2476" s="54"/>
      <c r="JQW2476" s="60"/>
      <c r="JQX2476" s="60"/>
      <c r="JQY2476" s="60"/>
      <c r="JQZ2476" s="60"/>
      <c r="JRA2476" s="63"/>
      <c r="JRB2476" s="61"/>
      <c r="JRC2476" s="54"/>
      <c r="JRD2476" s="54"/>
      <c r="JRE2476" s="60"/>
      <c r="JRF2476" s="60"/>
      <c r="JRG2476" s="60"/>
      <c r="JRH2476" s="60"/>
      <c r="JRI2476" s="63"/>
      <c r="JRJ2476" s="61"/>
      <c r="JRK2476" s="54"/>
      <c r="JRL2476" s="54"/>
      <c r="JRM2476" s="60"/>
      <c r="JRN2476" s="60"/>
      <c r="JRO2476" s="60"/>
      <c r="JRP2476" s="60"/>
      <c r="JRQ2476" s="63"/>
      <c r="JRR2476" s="61"/>
      <c r="JRS2476" s="54"/>
      <c r="JRT2476" s="54"/>
      <c r="JRU2476" s="60"/>
      <c r="JRV2476" s="60"/>
      <c r="JRW2476" s="60"/>
      <c r="JRX2476" s="60"/>
      <c r="JRY2476" s="63"/>
      <c r="JRZ2476" s="61"/>
      <c r="JSA2476" s="54"/>
      <c r="JSB2476" s="54"/>
      <c r="JSC2476" s="60"/>
      <c r="JSD2476" s="60"/>
      <c r="JSE2476" s="60"/>
      <c r="JSF2476" s="60"/>
      <c r="JSG2476" s="63"/>
      <c r="JSH2476" s="61"/>
      <c r="JSI2476" s="54"/>
      <c r="JSJ2476" s="54"/>
      <c r="JSK2476" s="60"/>
      <c r="JSL2476" s="60"/>
      <c r="JSM2476" s="60"/>
      <c r="JSN2476" s="60"/>
      <c r="JSO2476" s="63"/>
      <c r="JSP2476" s="61"/>
      <c r="JSQ2476" s="54"/>
      <c r="JSR2476" s="54"/>
      <c r="JSS2476" s="60"/>
      <c r="JST2476" s="60"/>
      <c r="JSU2476" s="60"/>
      <c r="JSV2476" s="60"/>
      <c r="JSW2476" s="63"/>
      <c r="JSX2476" s="61"/>
      <c r="JSY2476" s="54"/>
      <c r="JSZ2476" s="54"/>
      <c r="JTA2476" s="60"/>
      <c r="JTB2476" s="60"/>
      <c r="JTC2476" s="60"/>
      <c r="JTD2476" s="60"/>
      <c r="JTE2476" s="63"/>
      <c r="JTF2476" s="61"/>
      <c r="JTG2476" s="54"/>
      <c r="JTH2476" s="54"/>
      <c r="JTI2476" s="60"/>
      <c r="JTJ2476" s="60"/>
      <c r="JTK2476" s="60"/>
      <c r="JTL2476" s="60"/>
      <c r="JTM2476" s="63"/>
      <c r="JTN2476" s="61"/>
      <c r="JTO2476" s="54"/>
      <c r="JTP2476" s="54"/>
      <c r="JTQ2476" s="60"/>
      <c r="JTR2476" s="60"/>
      <c r="JTS2476" s="60"/>
      <c r="JTT2476" s="60"/>
      <c r="JTU2476" s="63"/>
      <c r="JTV2476" s="61"/>
      <c r="JTW2476" s="54"/>
      <c r="JTX2476" s="54"/>
      <c r="JTY2476" s="60"/>
      <c r="JTZ2476" s="60"/>
      <c r="JUA2476" s="60"/>
      <c r="JUB2476" s="60"/>
      <c r="JUC2476" s="63"/>
      <c r="JUD2476" s="61"/>
      <c r="JUE2476" s="54"/>
      <c r="JUF2476" s="54"/>
      <c r="JUG2476" s="60"/>
      <c r="JUH2476" s="60"/>
      <c r="JUI2476" s="60"/>
      <c r="JUJ2476" s="60"/>
      <c r="JUK2476" s="63"/>
      <c r="JUL2476" s="61"/>
      <c r="JUM2476" s="54"/>
      <c r="JUN2476" s="54"/>
      <c r="JUO2476" s="60"/>
      <c r="JUP2476" s="60"/>
      <c r="JUQ2476" s="60"/>
      <c r="JUR2476" s="60"/>
      <c r="JUS2476" s="63"/>
      <c r="JUT2476" s="61"/>
      <c r="JUU2476" s="54"/>
      <c r="JUV2476" s="54"/>
      <c r="JUW2476" s="60"/>
      <c r="JUX2476" s="60"/>
      <c r="JUY2476" s="60"/>
      <c r="JUZ2476" s="60"/>
      <c r="JVA2476" s="63"/>
      <c r="JVB2476" s="61"/>
      <c r="JVC2476" s="54"/>
      <c r="JVD2476" s="54"/>
      <c r="JVE2476" s="60"/>
      <c r="JVF2476" s="60"/>
      <c r="JVG2476" s="60"/>
      <c r="JVH2476" s="60"/>
      <c r="JVI2476" s="63"/>
      <c r="JVJ2476" s="61"/>
      <c r="JVK2476" s="54"/>
      <c r="JVL2476" s="54"/>
      <c r="JVM2476" s="60"/>
      <c r="JVN2476" s="60"/>
      <c r="JVO2476" s="60"/>
      <c r="JVP2476" s="60"/>
      <c r="JVQ2476" s="63"/>
      <c r="JVR2476" s="61"/>
      <c r="JVS2476" s="54"/>
      <c r="JVT2476" s="54"/>
      <c r="JVU2476" s="60"/>
      <c r="JVV2476" s="60"/>
      <c r="JVW2476" s="60"/>
      <c r="JVX2476" s="60"/>
      <c r="JVY2476" s="63"/>
      <c r="JVZ2476" s="61"/>
      <c r="JWA2476" s="54"/>
      <c r="JWB2476" s="54"/>
      <c r="JWC2476" s="60"/>
      <c r="JWD2476" s="60"/>
      <c r="JWE2476" s="60"/>
      <c r="JWF2476" s="60"/>
      <c r="JWG2476" s="63"/>
      <c r="JWH2476" s="61"/>
      <c r="JWI2476" s="54"/>
      <c r="JWJ2476" s="54"/>
      <c r="JWK2476" s="60"/>
      <c r="JWL2476" s="60"/>
      <c r="JWM2476" s="60"/>
      <c r="JWN2476" s="60"/>
      <c r="JWO2476" s="63"/>
      <c r="JWP2476" s="61"/>
      <c r="JWQ2476" s="54"/>
      <c r="JWR2476" s="54"/>
      <c r="JWS2476" s="60"/>
      <c r="JWT2476" s="60"/>
      <c r="JWU2476" s="60"/>
      <c r="JWV2476" s="60"/>
      <c r="JWW2476" s="63"/>
      <c r="JWX2476" s="61"/>
      <c r="JWY2476" s="54"/>
      <c r="JWZ2476" s="54"/>
      <c r="JXA2476" s="60"/>
      <c r="JXB2476" s="60"/>
      <c r="JXC2476" s="60"/>
      <c r="JXD2476" s="60"/>
      <c r="JXE2476" s="63"/>
      <c r="JXF2476" s="61"/>
      <c r="JXG2476" s="54"/>
      <c r="JXH2476" s="54"/>
      <c r="JXI2476" s="60"/>
      <c r="JXJ2476" s="60"/>
      <c r="JXK2476" s="60"/>
      <c r="JXL2476" s="60"/>
      <c r="JXM2476" s="63"/>
      <c r="JXN2476" s="61"/>
      <c r="JXO2476" s="54"/>
      <c r="JXP2476" s="54"/>
      <c r="JXQ2476" s="60"/>
      <c r="JXR2476" s="60"/>
      <c r="JXS2476" s="60"/>
      <c r="JXT2476" s="60"/>
      <c r="JXU2476" s="63"/>
      <c r="JXV2476" s="61"/>
      <c r="JXW2476" s="54"/>
      <c r="JXX2476" s="54"/>
      <c r="JXY2476" s="60"/>
      <c r="JXZ2476" s="60"/>
      <c r="JYA2476" s="60"/>
      <c r="JYB2476" s="60"/>
      <c r="JYC2476" s="63"/>
      <c r="JYD2476" s="61"/>
      <c r="JYE2476" s="54"/>
      <c r="JYF2476" s="54"/>
      <c r="JYG2476" s="60"/>
      <c r="JYH2476" s="60"/>
      <c r="JYI2476" s="60"/>
      <c r="JYJ2476" s="60"/>
      <c r="JYK2476" s="63"/>
      <c r="JYL2476" s="61"/>
      <c r="JYM2476" s="54"/>
      <c r="JYN2476" s="54"/>
      <c r="JYO2476" s="60"/>
      <c r="JYP2476" s="60"/>
      <c r="JYQ2476" s="60"/>
      <c r="JYR2476" s="60"/>
      <c r="JYS2476" s="63"/>
      <c r="JYT2476" s="61"/>
      <c r="JYU2476" s="54"/>
      <c r="JYV2476" s="54"/>
      <c r="JYW2476" s="60"/>
      <c r="JYX2476" s="60"/>
      <c r="JYY2476" s="60"/>
      <c r="JYZ2476" s="60"/>
      <c r="JZA2476" s="63"/>
      <c r="JZB2476" s="61"/>
      <c r="JZC2476" s="54"/>
      <c r="JZD2476" s="54"/>
      <c r="JZE2476" s="60"/>
      <c r="JZF2476" s="60"/>
      <c r="JZG2476" s="60"/>
      <c r="JZH2476" s="60"/>
      <c r="JZI2476" s="63"/>
      <c r="JZJ2476" s="61"/>
      <c r="JZK2476" s="54"/>
      <c r="JZL2476" s="54"/>
      <c r="JZM2476" s="60"/>
      <c r="JZN2476" s="60"/>
      <c r="JZO2476" s="60"/>
      <c r="JZP2476" s="60"/>
      <c r="JZQ2476" s="63"/>
      <c r="JZR2476" s="61"/>
      <c r="JZS2476" s="54"/>
      <c r="JZT2476" s="54"/>
      <c r="JZU2476" s="60"/>
      <c r="JZV2476" s="60"/>
      <c r="JZW2476" s="60"/>
      <c r="JZX2476" s="60"/>
      <c r="JZY2476" s="63"/>
      <c r="JZZ2476" s="61"/>
      <c r="KAA2476" s="54"/>
      <c r="KAB2476" s="54"/>
      <c r="KAC2476" s="60"/>
      <c r="KAD2476" s="60"/>
      <c r="KAE2476" s="60"/>
      <c r="KAF2476" s="60"/>
      <c r="KAG2476" s="63"/>
      <c r="KAH2476" s="61"/>
      <c r="KAI2476" s="54"/>
      <c r="KAJ2476" s="54"/>
      <c r="KAK2476" s="60"/>
      <c r="KAL2476" s="60"/>
      <c r="KAM2476" s="60"/>
      <c r="KAN2476" s="60"/>
      <c r="KAO2476" s="63"/>
      <c r="KAP2476" s="61"/>
      <c r="KAQ2476" s="54"/>
      <c r="KAR2476" s="54"/>
      <c r="KAS2476" s="60"/>
      <c r="KAT2476" s="60"/>
      <c r="KAU2476" s="60"/>
      <c r="KAV2476" s="60"/>
      <c r="KAW2476" s="63"/>
      <c r="KAX2476" s="61"/>
      <c r="KAY2476" s="54"/>
      <c r="KAZ2476" s="54"/>
      <c r="KBA2476" s="60"/>
      <c r="KBB2476" s="60"/>
      <c r="KBC2476" s="60"/>
      <c r="KBD2476" s="60"/>
      <c r="KBE2476" s="63"/>
      <c r="KBF2476" s="61"/>
      <c r="KBG2476" s="54"/>
      <c r="KBH2476" s="54"/>
      <c r="KBI2476" s="60"/>
      <c r="KBJ2476" s="60"/>
      <c r="KBK2476" s="60"/>
      <c r="KBL2476" s="60"/>
      <c r="KBM2476" s="63"/>
      <c r="KBN2476" s="61"/>
      <c r="KBO2476" s="54"/>
      <c r="KBP2476" s="54"/>
      <c r="KBQ2476" s="60"/>
      <c r="KBR2476" s="60"/>
      <c r="KBS2476" s="60"/>
      <c r="KBT2476" s="60"/>
      <c r="KBU2476" s="63"/>
      <c r="KBV2476" s="61"/>
      <c r="KBW2476" s="54"/>
      <c r="KBX2476" s="54"/>
      <c r="KBY2476" s="60"/>
      <c r="KBZ2476" s="60"/>
      <c r="KCA2476" s="60"/>
      <c r="KCB2476" s="60"/>
      <c r="KCC2476" s="63"/>
      <c r="KCD2476" s="61"/>
      <c r="KCE2476" s="54"/>
      <c r="KCF2476" s="54"/>
      <c r="KCG2476" s="60"/>
      <c r="KCH2476" s="60"/>
      <c r="KCI2476" s="60"/>
      <c r="KCJ2476" s="60"/>
      <c r="KCK2476" s="63"/>
      <c r="KCL2476" s="61"/>
      <c r="KCM2476" s="54"/>
      <c r="KCN2476" s="54"/>
      <c r="KCO2476" s="60"/>
      <c r="KCP2476" s="60"/>
      <c r="KCQ2476" s="60"/>
      <c r="KCR2476" s="60"/>
      <c r="KCS2476" s="63"/>
      <c r="KCT2476" s="61"/>
      <c r="KCU2476" s="54"/>
      <c r="KCV2476" s="54"/>
      <c r="KCW2476" s="60"/>
      <c r="KCX2476" s="60"/>
      <c r="KCY2476" s="60"/>
      <c r="KCZ2476" s="60"/>
      <c r="KDA2476" s="63"/>
      <c r="KDB2476" s="61"/>
      <c r="KDC2476" s="54"/>
      <c r="KDD2476" s="54"/>
      <c r="KDE2476" s="60"/>
      <c r="KDF2476" s="60"/>
      <c r="KDG2476" s="60"/>
      <c r="KDH2476" s="60"/>
      <c r="KDI2476" s="63"/>
      <c r="KDJ2476" s="61"/>
      <c r="KDK2476" s="54"/>
      <c r="KDL2476" s="54"/>
      <c r="KDM2476" s="60"/>
      <c r="KDN2476" s="60"/>
      <c r="KDO2476" s="60"/>
      <c r="KDP2476" s="60"/>
      <c r="KDQ2476" s="63"/>
      <c r="KDR2476" s="61"/>
      <c r="KDS2476" s="54"/>
      <c r="KDT2476" s="54"/>
      <c r="KDU2476" s="60"/>
      <c r="KDV2476" s="60"/>
      <c r="KDW2476" s="60"/>
      <c r="KDX2476" s="60"/>
      <c r="KDY2476" s="63"/>
      <c r="KDZ2476" s="61"/>
      <c r="KEA2476" s="54"/>
      <c r="KEB2476" s="54"/>
      <c r="KEC2476" s="60"/>
      <c r="KED2476" s="60"/>
      <c r="KEE2476" s="60"/>
      <c r="KEF2476" s="60"/>
      <c r="KEG2476" s="63"/>
      <c r="KEH2476" s="61"/>
      <c r="KEI2476" s="54"/>
      <c r="KEJ2476" s="54"/>
      <c r="KEK2476" s="60"/>
      <c r="KEL2476" s="60"/>
      <c r="KEM2476" s="60"/>
      <c r="KEN2476" s="60"/>
      <c r="KEO2476" s="63"/>
      <c r="KEP2476" s="61"/>
      <c r="KEQ2476" s="54"/>
      <c r="KER2476" s="54"/>
      <c r="KES2476" s="60"/>
      <c r="KET2476" s="60"/>
      <c r="KEU2476" s="60"/>
      <c r="KEV2476" s="60"/>
      <c r="KEW2476" s="63"/>
      <c r="KEX2476" s="61"/>
      <c r="KEY2476" s="54"/>
      <c r="KEZ2476" s="54"/>
      <c r="KFA2476" s="60"/>
      <c r="KFB2476" s="60"/>
      <c r="KFC2476" s="60"/>
      <c r="KFD2476" s="60"/>
      <c r="KFE2476" s="63"/>
      <c r="KFF2476" s="61"/>
      <c r="KFG2476" s="54"/>
      <c r="KFH2476" s="54"/>
      <c r="KFI2476" s="60"/>
      <c r="KFJ2476" s="60"/>
      <c r="KFK2476" s="60"/>
      <c r="KFL2476" s="60"/>
      <c r="KFM2476" s="63"/>
      <c r="KFN2476" s="61"/>
      <c r="KFO2476" s="54"/>
      <c r="KFP2476" s="54"/>
      <c r="KFQ2476" s="60"/>
      <c r="KFR2476" s="60"/>
      <c r="KFS2476" s="60"/>
      <c r="KFT2476" s="60"/>
      <c r="KFU2476" s="63"/>
      <c r="KFV2476" s="61"/>
      <c r="KFW2476" s="54"/>
      <c r="KFX2476" s="54"/>
      <c r="KFY2476" s="60"/>
      <c r="KFZ2476" s="60"/>
      <c r="KGA2476" s="60"/>
      <c r="KGB2476" s="60"/>
      <c r="KGC2476" s="63"/>
      <c r="KGD2476" s="61"/>
      <c r="KGE2476" s="54"/>
      <c r="KGF2476" s="54"/>
      <c r="KGG2476" s="60"/>
      <c r="KGH2476" s="60"/>
      <c r="KGI2476" s="60"/>
      <c r="KGJ2476" s="60"/>
      <c r="KGK2476" s="63"/>
      <c r="KGL2476" s="61"/>
      <c r="KGM2476" s="54"/>
      <c r="KGN2476" s="54"/>
      <c r="KGO2476" s="60"/>
      <c r="KGP2476" s="60"/>
      <c r="KGQ2476" s="60"/>
      <c r="KGR2476" s="60"/>
      <c r="KGS2476" s="63"/>
      <c r="KGT2476" s="61"/>
      <c r="KGU2476" s="54"/>
      <c r="KGV2476" s="54"/>
      <c r="KGW2476" s="60"/>
      <c r="KGX2476" s="60"/>
      <c r="KGY2476" s="60"/>
      <c r="KGZ2476" s="60"/>
      <c r="KHA2476" s="63"/>
      <c r="KHB2476" s="61"/>
      <c r="KHC2476" s="54"/>
      <c r="KHD2476" s="54"/>
      <c r="KHE2476" s="60"/>
      <c r="KHF2476" s="60"/>
      <c r="KHG2476" s="60"/>
      <c r="KHH2476" s="60"/>
      <c r="KHI2476" s="63"/>
      <c r="KHJ2476" s="61"/>
      <c r="KHK2476" s="54"/>
      <c r="KHL2476" s="54"/>
      <c r="KHM2476" s="60"/>
      <c r="KHN2476" s="60"/>
      <c r="KHO2476" s="60"/>
      <c r="KHP2476" s="60"/>
      <c r="KHQ2476" s="63"/>
      <c r="KHR2476" s="61"/>
      <c r="KHS2476" s="54"/>
      <c r="KHT2476" s="54"/>
      <c r="KHU2476" s="60"/>
      <c r="KHV2476" s="60"/>
      <c r="KHW2476" s="60"/>
      <c r="KHX2476" s="60"/>
      <c r="KHY2476" s="63"/>
      <c r="KHZ2476" s="61"/>
      <c r="KIA2476" s="54"/>
      <c r="KIB2476" s="54"/>
      <c r="KIC2476" s="60"/>
      <c r="KID2476" s="60"/>
      <c r="KIE2476" s="60"/>
      <c r="KIF2476" s="60"/>
      <c r="KIG2476" s="63"/>
      <c r="KIH2476" s="61"/>
      <c r="KII2476" s="54"/>
      <c r="KIJ2476" s="54"/>
      <c r="KIK2476" s="60"/>
      <c r="KIL2476" s="60"/>
      <c r="KIM2476" s="60"/>
      <c r="KIN2476" s="60"/>
      <c r="KIO2476" s="63"/>
      <c r="KIP2476" s="61"/>
      <c r="KIQ2476" s="54"/>
      <c r="KIR2476" s="54"/>
      <c r="KIS2476" s="60"/>
      <c r="KIT2476" s="60"/>
      <c r="KIU2476" s="60"/>
      <c r="KIV2476" s="60"/>
      <c r="KIW2476" s="63"/>
      <c r="KIX2476" s="61"/>
      <c r="KIY2476" s="54"/>
      <c r="KIZ2476" s="54"/>
      <c r="KJA2476" s="60"/>
      <c r="KJB2476" s="60"/>
      <c r="KJC2476" s="60"/>
      <c r="KJD2476" s="60"/>
      <c r="KJE2476" s="63"/>
      <c r="KJF2476" s="61"/>
      <c r="KJG2476" s="54"/>
      <c r="KJH2476" s="54"/>
      <c r="KJI2476" s="60"/>
      <c r="KJJ2476" s="60"/>
      <c r="KJK2476" s="60"/>
      <c r="KJL2476" s="60"/>
      <c r="KJM2476" s="63"/>
      <c r="KJN2476" s="61"/>
      <c r="KJO2476" s="54"/>
      <c r="KJP2476" s="54"/>
      <c r="KJQ2476" s="60"/>
      <c r="KJR2476" s="60"/>
      <c r="KJS2476" s="60"/>
      <c r="KJT2476" s="60"/>
      <c r="KJU2476" s="63"/>
      <c r="KJV2476" s="61"/>
      <c r="KJW2476" s="54"/>
      <c r="KJX2476" s="54"/>
      <c r="KJY2476" s="60"/>
      <c r="KJZ2476" s="60"/>
      <c r="KKA2476" s="60"/>
      <c r="KKB2476" s="60"/>
      <c r="KKC2476" s="63"/>
      <c r="KKD2476" s="61"/>
      <c r="KKE2476" s="54"/>
      <c r="KKF2476" s="54"/>
      <c r="KKG2476" s="60"/>
      <c r="KKH2476" s="60"/>
      <c r="KKI2476" s="60"/>
      <c r="KKJ2476" s="60"/>
      <c r="KKK2476" s="63"/>
      <c r="KKL2476" s="61"/>
      <c r="KKM2476" s="54"/>
      <c r="KKN2476" s="54"/>
      <c r="KKO2476" s="60"/>
      <c r="KKP2476" s="60"/>
      <c r="KKQ2476" s="60"/>
      <c r="KKR2476" s="60"/>
      <c r="KKS2476" s="63"/>
      <c r="KKT2476" s="61"/>
      <c r="KKU2476" s="54"/>
      <c r="KKV2476" s="54"/>
      <c r="KKW2476" s="60"/>
      <c r="KKX2476" s="60"/>
      <c r="KKY2476" s="60"/>
      <c r="KKZ2476" s="60"/>
      <c r="KLA2476" s="63"/>
      <c r="KLB2476" s="61"/>
      <c r="KLC2476" s="54"/>
      <c r="KLD2476" s="54"/>
      <c r="KLE2476" s="60"/>
      <c r="KLF2476" s="60"/>
      <c r="KLG2476" s="60"/>
      <c r="KLH2476" s="60"/>
      <c r="KLI2476" s="63"/>
      <c r="KLJ2476" s="61"/>
      <c r="KLK2476" s="54"/>
      <c r="KLL2476" s="54"/>
      <c r="KLM2476" s="60"/>
      <c r="KLN2476" s="60"/>
      <c r="KLO2476" s="60"/>
      <c r="KLP2476" s="60"/>
      <c r="KLQ2476" s="63"/>
      <c r="KLR2476" s="61"/>
      <c r="KLS2476" s="54"/>
      <c r="KLT2476" s="54"/>
      <c r="KLU2476" s="60"/>
      <c r="KLV2476" s="60"/>
      <c r="KLW2476" s="60"/>
      <c r="KLX2476" s="60"/>
      <c r="KLY2476" s="63"/>
      <c r="KLZ2476" s="61"/>
      <c r="KMA2476" s="54"/>
      <c r="KMB2476" s="54"/>
      <c r="KMC2476" s="60"/>
      <c r="KMD2476" s="60"/>
      <c r="KME2476" s="60"/>
      <c r="KMF2476" s="60"/>
      <c r="KMG2476" s="63"/>
      <c r="KMH2476" s="61"/>
      <c r="KMI2476" s="54"/>
      <c r="KMJ2476" s="54"/>
      <c r="KMK2476" s="60"/>
      <c r="KML2476" s="60"/>
      <c r="KMM2476" s="60"/>
      <c r="KMN2476" s="60"/>
      <c r="KMO2476" s="63"/>
      <c r="KMP2476" s="61"/>
      <c r="KMQ2476" s="54"/>
      <c r="KMR2476" s="54"/>
      <c r="KMS2476" s="60"/>
      <c r="KMT2476" s="60"/>
      <c r="KMU2476" s="60"/>
      <c r="KMV2476" s="60"/>
      <c r="KMW2476" s="63"/>
      <c r="KMX2476" s="61"/>
      <c r="KMY2476" s="54"/>
      <c r="KMZ2476" s="54"/>
      <c r="KNA2476" s="60"/>
      <c r="KNB2476" s="60"/>
      <c r="KNC2476" s="60"/>
      <c r="KND2476" s="60"/>
      <c r="KNE2476" s="63"/>
      <c r="KNF2476" s="61"/>
      <c r="KNG2476" s="54"/>
      <c r="KNH2476" s="54"/>
      <c r="KNI2476" s="60"/>
      <c r="KNJ2476" s="60"/>
      <c r="KNK2476" s="60"/>
      <c r="KNL2476" s="60"/>
      <c r="KNM2476" s="63"/>
      <c r="KNN2476" s="61"/>
      <c r="KNO2476" s="54"/>
      <c r="KNP2476" s="54"/>
      <c r="KNQ2476" s="60"/>
      <c r="KNR2476" s="60"/>
      <c r="KNS2476" s="60"/>
      <c r="KNT2476" s="60"/>
      <c r="KNU2476" s="63"/>
      <c r="KNV2476" s="61"/>
      <c r="KNW2476" s="54"/>
      <c r="KNX2476" s="54"/>
      <c r="KNY2476" s="60"/>
      <c r="KNZ2476" s="60"/>
      <c r="KOA2476" s="60"/>
      <c r="KOB2476" s="60"/>
      <c r="KOC2476" s="63"/>
      <c r="KOD2476" s="61"/>
      <c r="KOE2476" s="54"/>
      <c r="KOF2476" s="54"/>
      <c r="KOG2476" s="60"/>
      <c r="KOH2476" s="60"/>
      <c r="KOI2476" s="60"/>
      <c r="KOJ2476" s="60"/>
      <c r="KOK2476" s="63"/>
      <c r="KOL2476" s="61"/>
      <c r="KOM2476" s="54"/>
      <c r="KON2476" s="54"/>
      <c r="KOO2476" s="60"/>
      <c r="KOP2476" s="60"/>
      <c r="KOQ2476" s="60"/>
      <c r="KOR2476" s="60"/>
      <c r="KOS2476" s="63"/>
      <c r="KOT2476" s="61"/>
      <c r="KOU2476" s="54"/>
      <c r="KOV2476" s="54"/>
      <c r="KOW2476" s="60"/>
      <c r="KOX2476" s="60"/>
      <c r="KOY2476" s="60"/>
      <c r="KOZ2476" s="60"/>
      <c r="KPA2476" s="63"/>
      <c r="KPB2476" s="61"/>
      <c r="KPC2476" s="54"/>
      <c r="KPD2476" s="54"/>
      <c r="KPE2476" s="60"/>
      <c r="KPF2476" s="60"/>
      <c r="KPG2476" s="60"/>
      <c r="KPH2476" s="60"/>
      <c r="KPI2476" s="63"/>
      <c r="KPJ2476" s="61"/>
      <c r="KPK2476" s="54"/>
      <c r="KPL2476" s="54"/>
      <c r="KPM2476" s="60"/>
      <c r="KPN2476" s="60"/>
      <c r="KPO2476" s="60"/>
      <c r="KPP2476" s="60"/>
      <c r="KPQ2476" s="63"/>
      <c r="KPR2476" s="61"/>
      <c r="KPS2476" s="54"/>
      <c r="KPT2476" s="54"/>
      <c r="KPU2476" s="60"/>
      <c r="KPV2476" s="60"/>
      <c r="KPW2476" s="60"/>
      <c r="KPX2476" s="60"/>
      <c r="KPY2476" s="63"/>
      <c r="KPZ2476" s="61"/>
      <c r="KQA2476" s="54"/>
      <c r="KQB2476" s="54"/>
      <c r="KQC2476" s="60"/>
      <c r="KQD2476" s="60"/>
      <c r="KQE2476" s="60"/>
      <c r="KQF2476" s="60"/>
      <c r="KQG2476" s="63"/>
      <c r="KQH2476" s="61"/>
      <c r="KQI2476" s="54"/>
      <c r="KQJ2476" s="54"/>
      <c r="KQK2476" s="60"/>
      <c r="KQL2476" s="60"/>
      <c r="KQM2476" s="60"/>
      <c r="KQN2476" s="60"/>
      <c r="KQO2476" s="63"/>
      <c r="KQP2476" s="61"/>
      <c r="KQQ2476" s="54"/>
      <c r="KQR2476" s="54"/>
      <c r="KQS2476" s="60"/>
      <c r="KQT2476" s="60"/>
      <c r="KQU2476" s="60"/>
      <c r="KQV2476" s="60"/>
      <c r="KQW2476" s="63"/>
      <c r="KQX2476" s="61"/>
      <c r="KQY2476" s="54"/>
      <c r="KQZ2476" s="54"/>
      <c r="KRA2476" s="60"/>
      <c r="KRB2476" s="60"/>
      <c r="KRC2476" s="60"/>
      <c r="KRD2476" s="60"/>
      <c r="KRE2476" s="63"/>
      <c r="KRF2476" s="61"/>
      <c r="KRG2476" s="54"/>
      <c r="KRH2476" s="54"/>
      <c r="KRI2476" s="60"/>
      <c r="KRJ2476" s="60"/>
      <c r="KRK2476" s="60"/>
      <c r="KRL2476" s="60"/>
      <c r="KRM2476" s="63"/>
      <c r="KRN2476" s="61"/>
      <c r="KRO2476" s="54"/>
      <c r="KRP2476" s="54"/>
      <c r="KRQ2476" s="60"/>
      <c r="KRR2476" s="60"/>
      <c r="KRS2476" s="60"/>
      <c r="KRT2476" s="60"/>
      <c r="KRU2476" s="63"/>
      <c r="KRV2476" s="61"/>
      <c r="KRW2476" s="54"/>
      <c r="KRX2476" s="54"/>
      <c r="KRY2476" s="60"/>
      <c r="KRZ2476" s="60"/>
      <c r="KSA2476" s="60"/>
      <c r="KSB2476" s="60"/>
      <c r="KSC2476" s="63"/>
      <c r="KSD2476" s="61"/>
      <c r="KSE2476" s="54"/>
      <c r="KSF2476" s="54"/>
      <c r="KSG2476" s="60"/>
      <c r="KSH2476" s="60"/>
      <c r="KSI2476" s="60"/>
      <c r="KSJ2476" s="60"/>
      <c r="KSK2476" s="63"/>
      <c r="KSL2476" s="61"/>
      <c r="KSM2476" s="54"/>
      <c r="KSN2476" s="54"/>
      <c r="KSO2476" s="60"/>
      <c r="KSP2476" s="60"/>
      <c r="KSQ2476" s="60"/>
      <c r="KSR2476" s="60"/>
      <c r="KSS2476" s="63"/>
      <c r="KST2476" s="61"/>
      <c r="KSU2476" s="54"/>
      <c r="KSV2476" s="54"/>
      <c r="KSW2476" s="60"/>
      <c r="KSX2476" s="60"/>
      <c r="KSY2476" s="60"/>
      <c r="KSZ2476" s="60"/>
      <c r="KTA2476" s="63"/>
      <c r="KTB2476" s="61"/>
      <c r="KTC2476" s="54"/>
      <c r="KTD2476" s="54"/>
      <c r="KTE2476" s="60"/>
      <c r="KTF2476" s="60"/>
      <c r="KTG2476" s="60"/>
      <c r="KTH2476" s="60"/>
      <c r="KTI2476" s="63"/>
      <c r="KTJ2476" s="61"/>
      <c r="KTK2476" s="54"/>
      <c r="KTL2476" s="54"/>
      <c r="KTM2476" s="60"/>
      <c r="KTN2476" s="60"/>
      <c r="KTO2476" s="60"/>
      <c r="KTP2476" s="60"/>
      <c r="KTQ2476" s="63"/>
      <c r="KTR2476" s="61"/>
      <c r="KTS2476" s="54"/>
      <c r="KTT2476" s="54"/>
      <c r="KTU2476" s="60"/>
      <c r="KTV2476" s="60"/>
      <c r="KTW2476" s="60"/>
      <c r="KTX2476" s="60"/>
      <c r="KTY2476" s="63"/>
      <c r="KTZ2476" s="61"/>
      <c r="KUA2476" s="54"/>
      <c r="KUB2476" s="54"/>
      <c r="KUC2476" s="60"/>
      <c r="KUD2476" s="60"/>
      <c r="KUE2476" s="60"/>
      <c r="KUF2476" s="60"/>
      <c r="KUG2476" s="63"/>
      <c r="KUH2476" s="61"/>
      <c r="KUI2476" s="54"/>
      <c r="KUJ2476" s="54"/>
      <c r="KUK2476" s="60"/>
      <c r="KUL2476" s="60"/>
      <c r="KUM2476" s="60"/>
      <c r="KUN2476" s="60"/>
      <c r="KUO2476" s="63"/>
      <c r="KUP2476" s="61"/>
      <c r="KUQ2476" s="54"/>
      <c r="KUR2476" s="54"/>
      <c r="KUS2476" s="60"/>
      <c r="KUT2476" s="60"/>
      <c r="KUU2476" s="60"/>
      <c r="KUV2476" s="60"/>
      <c r="KUW2476" s="63"/>
      <c r="KUX2476" s="61"/>
      <c r="KUY2476" s="54"/>
      <c r="KUZ2476" s="54"/>
      <c r="KVA2476" s="60"/>
      <c r="KVB2476" s="60"/>
      <c r="KVC2476" s="60"/>
      <c r="KVD2476" s="60"/>
      <c r="KVE2476" s="63"/>
      <c r="KVF2476" s="61"/>
      <c r="KVG2476" s="54"/>
      <c r="KVH2476" s="54"/>
      <c r="KVI2476" s="60"/>
      <c r="KVJ2476" s="60"/>
      <c r="KVK2476" s="60"/>
      <c r="KVL2476" s="60"/>
      <c r="KVM2476" s="63"/>
      <c r="KVN2476" s="61"/>
      <c r="KVO2476" s="54"/>
      <c r="KVP2476" s="54"/>
      <c r="KVQ2476" s="60"/>
      <c r="KVR2476" s="60"/>
      <c r="KVS2476" s="60"/>
      <c r="KVT2476" s="60"/>
      <c r="KVU2476" s="63"/>
      <c r="KVV2476" s="61"/>
      <c r="KVW2476" s="54"/>
      <c r="KVX2476" s="54"/>
      <c r="KVY2476" s="60"/>
      <c r="KVZ2476" s="60"/>
      <c r="KWA2476" s="60"/>
      <c r="KWB2476" s="60"/>
      <c r="KWC2476" s="63"/>
      <c r="KWD2476" s="61"/>
      <c r="KWE2476" s="54"/>
      <c r="KWF2476" s="54"/>
      <c r="KWG2476" s="60"/>
      <c r="KWH2476" s="60"/>
      <c r="KWI2476" s="60"/>
      <c r="KWJ2476" s="60"/>
      <c r="KWK2476" s="63"/>
      <c r="KWL2476" s="61"/>
      <c r="KWM2476" s="54"/>
      <c r="KWN2476" s="54"/>
      <c r="KWO2476" s="60"/>
      <c r="KWP2476" s="60"/>
      <c r="KWQ2476" s="60"/>
      <c r="KWR2476" s="60"/>
      <c r="KWS2476" s="63"/>
      <c r="KWT2476" s="61"/>
      <c r="KWU2476" s="54"/>
      <c r="KWV2476" s="54"/>
      <c r="KWW2476" s="60"/>
      <c r="KWX2476" s="60"/>
      <c r="KWY2476" s="60"/>
      <c r="KWZ2476" s="60"/>
      <c r="KXA2476" s="63"/>
      <c r="KXB2476" s="61"/>
      <c r="KXC2476" s="54"/>
      <c r="KXD2476" s="54"/>
      <c r="KXE2476" s="60"/>
      <c r="KXF2476" s="60"/>
      <c r="KXG2476" s="60"/>
      <c r="KXH2476" s="60"/>
      <c r="KXI2476" s="63"/>
      <c r="KXJ2476" s="61"/>
      <c r="KXK2476" s="54"/>
      <c r="KXL2476" s="54"/>
      <c r="KXM2476" s="60"/>
      <c r="KXN2476" s="60"/>
      <c r="KXO2476" s="60"/>
      <c r="KXP2476" s="60"/>
      <c r="KXQ2476" s="63"/>
      <c r="KXR2476" s="61"/>
      <c r="KXS2476" s="54"/>
      <c r="KXT2476" s="54"/>
      <c r="KXU2476" s="60"/>
      <c r="KXV2476" s="60"/>
      <c r="KXW2476" s="60"/>
      <c r="KXX2476" s="60"/>
      <c r="KXY2476" s="63"/>
      <c r="KXZ2476" s="61"/>
      <c r="KYA2476" s="54"/>
      <c r="KYB2476" s="54"/>
      <c r="KYC2476" s="60"/>
      <c r="KYD2476" s="60"/>
      <c r="KYE2476" s="60"/>
      <c r="KYF2476" s="60"/>
      <c r="KYG2476" s="63"/>
      <c r="KYH2476" s="61"/>
      <c r="KYI2476" s="54"/>
      <c r="KYJ2476" s="54"/>
      <c r="KYK2476" s="60"/>
      <c r="KYL2476" s="60"/>
      <c r="KYM2476" s="60"/>
      <c r="KYN2476" s="60"/>
      <c r="KYO2476" s="63"/>
      <c r="KYP2476" s="61"/>
      <c r="KYQ2476" s="54"/>
      <c r="KYR2476" s="54"/>
      <c r="KYS2476" s="60"/>
      <c r="KYT2476" s="60"/>
      <c r="KYU2476" s="60"/>
      <c r="KYV2476" s="60"/>
      <c r="KYW2476" s="63"/>
      <c r="KYX2476" s="61"/>
      <c r="KYY2476" s="54"/>
      <c r="KYZ2476" s="54"/>
      <c r="KZA2476" s="60"/>
      <c r="KZB2476" s="60"/>
      <c r="KZC2476" s="60"/>
      <c r="KZD2476" s="60"/>
      <c r="KZE2476" s="63"/>
      <c r="KZF2476" s="61"/>
      <c r="KZG2476" s="54"/>
      <c r="KZH2476" s="54"/>
      <c r="KZI2476" s="60"/>
      <c r="KZJ2476" s="60"/>
      <c r="KZK2476" s="60"/>
      <c r="KZL2476" s="60"/>
      <c r="KZM2476" s="63"/>
      <c r="KZN2476" s="61"/>
      <c r="KZO2476" s="54"/>
      <c r="KZP2476" s="54"/>
      <c r="KZQ2476" s="60"/>
      <c r="KZR2476" s="60"/>
      <c r="KZS2476" s="60"/>
      <c r="KZT2476" s="60"/>
      <c r="KZU2476" s="63"/>
      <c r="KZV2476" s="61"/>
      <c r="KZW2476" s="54"/>
      <c r="KZX2476" s="54"/>
      <c r="KZY2476" s="60"/>
      <c r="KZZ2476" s="60"/>
      <c r="LAA2476" s="60"/>
      <c r="LAB2476" s="60"/>
      <c r="LAC2476" s="63"/>
      <c r="LAD2476" s="61"/>
      <c r="LAE2476" s="54"/>
      <c r="LAF2476" s="54"/>
      <c r="LAG2476" s="60"/>
      <c r="LAH2476" s="60"/>
      <c r="LAI2476" s="60"/>
      <c r="LAJ2476" s="60"/>
      <c r="LAK2476" s="63"/>
      <c r="LAL2476" s="61"/>
      <c r="LAM2476" s="54"/>
      <c r="LAN2476" s="54"/>
      <c r="LAO2476" s="60"/>
      <c r="LAP2476" s="60"/>
      <c r="LAQ2476" s="60"/>
      <c r="LAR2476" s="60"/>
      <c r="LAS2476" s="63"/>
      <c r="LAT2476" s="61"/>
      <c r="LAU2476" s="54"/>
      <c r="LAV2476" s="54"/>
      <c r="LAW2476" s="60"/>
      <c r="LAX2476" s="60"/>
      <c r="LAY2476" s="60"/>
      <c r="LAZ2476" s="60"/>
      <c r="LBA2476" s="63"/>
      <c r="LBB2476" s="61"/>
      <c r="LBC2476" s="54"/>
      <c r="LBD2476" s="54"/>
      <c r="LBE2476" s="60"/>
      <c r="LBF2476" s="60"/>
      <c r="LBG2476" s="60"/>
      <c r="LBH2476" s="60"/>
      <c r="LBI2476" s="63"/>
      <c r="LBJ2476" s="61"/>
      <c r="LBK2476" s="54"/>
      <c r="LBL2476" s="54"/>
      <c r="LBM2476" s="60"/>
      <c r="LBN2476" s="60"/>
      <c r="LBO2476" s="60"/>
      <c r="LBP2476" s="60"/>
      <c r="LBQ2476" s="63"/>
      <c r="LBR2476" s="61"/>
      <c r="LBS2476" s="54"/>
      <c r="LBT2476" s="54"/>
      <c r="LBU2476" s="60"/>
      <c r="LBV2476" s="60"/>
      <c r="LBW2476" s="60"/>
      <c r="LBX2476" s="60"/>
      <c r="LBY2476" s="63"/>
      <c r="LBZ2476" s="61"/>
      <c r="LCA2476" s="54"/>
      <c r="LCB2476" s="54"/>
      <c r="LCC2476" s="60"/>
      <c r="LCD2476" s="60"/>
      <c r="LCE2476" s="60"/>
      <c r="LCF2476" s="60"/>
      <c r="LCG2476" s="63"/>
      <c r="LCH2476" s="61"/>
      <c r="LCI2476" s="54"/>
      <c r="LCJ2476" s="54"/>
      <c r="LCK2476" s="60"/>
      <c r="LCL2476" s="60"/>
      <c r="LCM2476" s="60"/>
      <c r="LCN2476" s="60"/>
      <c r="LCO2476" s="63"/>
      <c r="LCP2476" s="61"/>
      <c r="LCQ2476" s="54"/>
      <c r="LCR2476" s="54"/>
      <c r="LCS2476" s="60"/>
      <c r="LCT2476" s="60"/>
      <c r="LCU2476" s="60"/>
      <c r="LCV2476" s="60"/>
      <c r="LCW2476" s="63"/>
      <c r="LCX2476" s="61"/>
      <c r="LCY2476" s="54"/>
      <c r="LCZ2476" s="54"/>
      <c r="LDA2476" s="60"/>
      <c r="LDB2476" s="60"/>
      <c r="LDC2476" s="60"/>
      <c r="LDD2476" s="60"/>
      <c r="LDE2476" s="63"/>
      <c r="LDF2476" s="61"/>
      <c r="LDG2476" s="54"/>
      <c r="LDH2476" s="54"/>
      <c r="LDI2476" s="60"/>
      <c r="LDJ2476" s="60"/>
      <c r="LDK2476" s="60"/>
      <c r="LDL2476" s="60"/>
      <c r="LDM2476" s="63"/>
      <c r="LDN2476" s="61"/>
      <c r="LDO2476" s="54"/>
      <c r="LDP2476" s="54"/>
      <c r="LDQ2476" s="60"/>
      <c r="LDR2476" s="60"/>
      <c r="LDS2476" s="60"/>
      <c r="LDT2476" s="60"/>
      <c r="LDU2476" s="63"/>
      <c r="LDV2476" s="61"/>
      <c r="LDW2476" s="54"/>
      <c r="LDX2476" s="54"/>
      <c r="LDY2476" s="60"/>
      <c r="LDZ2476" s="60"/>
      <c r="LEA2476" s="60"/>
      <c r="LEB2476" s="60"/>
      <c r="LEC2476" s="63"/>
      <c r="LED2476" s="61"/>
      <c r="LEE2476" s="54"/>
      <c r="LEF2476" s="54"/>
      <c r="LEG2476" s="60"/>
      <c r="LEH2476" s="60"/>
      <c r="LEI2476" s="60"/>
      <c r="LEJ2476" s="60"/>
      <c r="LEK2476" s="63"/>
      <c r="LEL2476" s="61"/>
      <c r="LEM2476" s="54"/>
      <c r="LEN2476" s="54"/>
      <c r="LEO2476" s="60"/>
      <c r="LEP2476" s="60"/>
      <c r="LEQ2476" s="60"/>
      <c r="LER2476" s="60"/>
      <c r="LES2476" s="63"/>
      <c r="LET2476" s="61"/>
      <c r="LEU2476" s="54"/>
      <c r="LEV2476" s="54"/>
      <c r="LEW2476" s="60"/>
      <c r="LEX2476" s="60"/>
      <c r="LEY2476" s="60"/>
      <c r="LEZ2476" s="60"/>
      <c r="LFA2476" s="63"/>
      <c r="LFB2476" s="61"/>
      <c r="LFC2476" s="54"/>
      <c r="LFD2476" s="54"/>
      <c r="LFE2476" s="60"/>
      <c r="LFF2476" s="60"/>
      <c r="LFG2476" s="60"/>
      <c r="LFH2476" s="60"/>
      <c r="LFI2476" s="63"/>
      <c r="LFJ2476" s="61"/>
      <c r="LFK2476" s="54"/>
      <c r="LFL2476" s="54"/>
      <c r="LFM2476" s="60"/>
      <c r="LFN2476" s="60"/>
      <c r="LFO2476" s="60"/>
      <c r="LFP2476" s="60"/>
      <c r="LFQ2476" s="63"/>
      <c r="LFR2476" s="61"/>
      <c r="LFS2476" s="54"/>
      <c r="LFT2476" s="54"/>
      <c r="LFU2476" s="60"/>
      <c r="LFV2476" s="60"/>
      <c r="LFW2476" s="60"/>
      <c r="LFX2476" s="60"/>
      <c r="LFY2476" s="63"/>
      <c r="LFZ2476" s="61"/>
      <c r="LGA2476" s="54"/>
      <c r="LGB2476" s="54"/>
      <c r="LGC2476" s="60"/>
      <c r="LGD2476" s="60"/>
      <c r="LGE2476" s="60"/>
      <c r="LGF2476" s="60"/>
      <c r="LGG2476" s="63"/>
      <c r="LGH2476" s="61"/>
      <c r="LGI2476" s="54"/>
      <c r="LGJ2476" s="54"/>
      <c r="LGK2476" s="60"/>
      <c r="LGL2476" s="60"/>
      <c r="LGM2476" s="60"/>
      <c r="LGN2476" s="60"/>
      <c r="LGO2476" s="63"/>
      <c r="LGP2476" s="61"/>
      <c r="LGQ2476" s="54"/>
      <c r="LGR2476" s="54"/>
      <c r="LGS2476" s="60"/>
      <c r="LGT2476" s="60"/>
      <c r="LGU2476" s="60"/>
      <c r="LGV2476" s="60"/>
      <c r="LGW2476" s="63"/>
      <c r="LGX2476" s="61"/>
      <c r="LGY2476" s="54"/>
      <c r="LGZ2476" s="54"/>
      <c r="LHA2476" s="60"/>
      <c r="LHB2476" s="60"/>
      <c r="LHC2476" s="60"/>
      <c r="LHD2476" s="60"/>
      <c r="LHE2476" s="63"/>
      <c r="LHF2476" s="61"/>
      <c r="LHG2476" s="54"/>
      <c r="LHH2476" s="54"/>
      <c r="LHI2476" s="60"/>
      <c r="LHJ2476" s="60"/>
      <c r="LHK2476" s="60"/>
      <c r="LHL2476" s="60"/>
      <c r="LHM2476" s="63"/>
      <c r="LHN2476" s="61"/>
      <c r="LHO2476" s="54"/>
      <c r="LHP2476" s="54"/>
      <c r="LHQ2476" s="60"/>
      <c r="LHR2476" s="60"/>
      <c r="LHS2476" s="60"/>
      <c r="LHT2476" s="60"/>
      <c r="LHU2476" s="63"/>
      <c r="LHV2476" s="61"/>
      <c r="LHW2476" s="54"/>
      <c r="LHX2476" s="54"/>
      <c r="LHY2476" s="60"/>
      <c r="LHZ2476" s="60"/>
      <c r="LIA2476" s="60"/>
      <c r="LIB2476" s="60"/>
      <c r="LIC2476" s="63"/>
      <c r="LID2476" s="61"/>
      <c r="LIE2476" s="54"/>
      <c r="LIF2476" s="54"/>
      <c r="LIG2476" s="60"/>
      <c r="LIH2476" s="60"/>
      <c r="LII2476" s="60"/>
      <c r="LIJ2476" s="60"/>
      <c r="LIK2476" s="63"/>
      <c r="LIL2476" s="61"/>
      <c r="LIM2476" s="54"/>
      <c r="LIN2476" s="54"/>
      <c r="LIO2476" s="60"/>
      <c r="LIP2476" s="60"/>
      <c r="LIQ2476" s="60"/>
      <c r="LIR2476" s="60"/>
      <c r="LIS2476" s="63"/>
      <c r="LIT2476" s="61"/>
      <c r="LIU2476" s="54"/>
      <c r="LIV2476" s="54"/>
      <c r="LIW2476" s="60"/>
      <c r="LIX2476" s="60"/>
      <c r="LIY2476" s="60"/>
      <c r="LIZ2476" s="60"/>
      <c r="LJA2476" s="63"/>
      <c r="LJB2476" s="61"/>
      <c r="LJC2476" s="54"/>
      <c r="LJD2476" s="54"/>
      <c r="LJE2476" s="60"/>
      <c r="LJF2476" s="60"/>
      <c r="LJG2476" s="60"/>
      <c r="LJH2476" s="60"/>
      <c r="LJI2476" s="63"/>
      <c r="LJJ2476" s="61"/>
      <c r="LJK2476" s="54"/>
      <c r="LJL2476" s="54"/>
      <c r="LJM2476" s="60"/>
      <c r="LJN2476" s="60"/>
      <c r="LJO2476" s="60"/>
      <c r="LJP2476" s="60"/>
      <c r="LJQ2476" s="63"/>
      <c r="LJR2476" s="61"/>
      <c r="LJS2476" s="54"/>
      <c r="LJT2476" s="54"/>
      <c r="LJU2476" s="60"/>
      <c r="LJV2476" s="60"/>
      <c r="LJW2476" s="60"/>
      <c r="LJX2476" s="60"/>
      <c r="LJY2476" s="63"/>
      <c r="LJZ2476" s="61"/>
      <c r="LKA2476" s="54"/>
      <c r="LKB2476" s="54"/>
      <c r="LKC2476" s="60"/>
      <c r="LKD2476" s="60"/>
      <c r="LKE2476" s="60"/>
      <c r="LKF2476" s="60"/>
      <c r="LKG2476" s="63"/>
      <c r="LKH2476" s="61"/>
      <c r="LKI2476" s="54"/>
      <c r="LKJ2476" s="54"/>
      <c r="LKK2476" s="60"/>
      <c r="LKL2476" s="60"/>
      <c r="LKM2476" s="60"/>
      <c r="LKN2476" s="60"/>
      <c r="LKO2476" s="63"/>
      <c r="LKP2476" s="61"/>
      <c r="LKQ2476" s="54"/>
      <c r="LKR2476" s="54"/>
      <c r="LKS2476" s="60"/>
      <c r="LKT2476" s="60"/>
      <c r="LKU2476" s="60"/>
      <c r="LKV2476" s="60"/>
      <c r="LKW2476" s="63"/>
      <c r="LKX2476" s="61"/>
      <c r="LKY2476" s="54"/>
      <c r="LKZ2476" s="54"/>
      <c r="LLA2476" s="60"/>
      <c r="LLB2476" s="60"/>
      <c r="LLC2476" s="60"/>
      <c r="LLD2476" s="60"/>
      <c r="LLE2476" s="63"/>
      <c r="LLF2476" s="61"/>
      <c r="LLG2476" s="54"/>
      <c r="LLH2476" s="54"/>
      <c r="LLI2476" s="60"/>
      <c r="LLJ2476" s="60"/>
      <c r="LLK2476" s="60"/>
      <c r="LLL2476" s="60"/>
      <c r="LLM2476" s="63"/>
      <c r="LLN2476" s="61"/>
      <c r="LLO2476" s="54"/>
      <c r="LLP2476" s="54"/>
      <c r="LLQ2476" s="60"/>
      <c r="LLR2476" s="60"/>
      <c r="LLS2476" s="60"/>
      <c r="LLT2476" s="60"/>
      <c r="LLU2476" s="63"/>
      <c r="LLV2476" s="61"/>
      <c r="LLW2476" s="54"/>
      <c r="LLX2476" s="54"/>
      <c r="LLY2476" s="60"/>
      <c r="LLZ2476" s="60"/>
      <c r="LMA2476" s="60"/>
      <c r="LMB2476" s="60"/>
      <c r="LMC2476" s="63"/>
      <c r="LMD2476" s="61"/>
      <c r="LME2476" s="54"/>
      <c r="LMF2476" s="54"/>
      <c r="LMG2476" s="60"/>
      <c r="LMH2476" s="60"/>
      <c r="LMI2476" s="60"/>
      <c r="LMJ2476" s="60"/>
      <c r="LMK2476" s="63"/>
      <c r="LML2476" s="61"/>
      <c r="LMM2476" s="54"/>
      <c r="LMN2476" s="54"/>
      <c r="LMO2476" s="60"/>
      <c r="LMP2476" s="60"/>
      <c r="LMQ2476" s="60"/>
      <c r="LMR2476" s="60"/>
      <c r="LMS2476" s="63"/>
      <c r="LMT2476" s="61"/>
      <c r="LMU2476" s="54"/>
      <c r="LMV2476" s="54"/>
      <c r="LMW2476" s="60"/>
      <c r="LMX2476" s="60"/>
      <c r="LMY2476" s="60"/>
      <c r="LMZ2476" s="60"/>
      <c r="LNA2476" s="63"/>
      <c r="LNB2476" s="61"/>
      <c r="LNC2476" s="54"/>
      <c r="LND2476" s="54"/>
      <c r="LNE2476" s="60"/>
      <c r="LNF2476" s="60"/>
      <c r="LNG2476" s="60"/>
      <c r="LNH2476" s="60"/>
      <c r="LNI2476" s="63"/>
      <c r="LNJ2476" s="61"/>
      <c r="LNK2476" s="54"/>
      <c r="LNL2476" s="54"/>
      <c r="LNM2476" s="60"/>
      <c r="LNN2476" s="60"/>
      <c r="LNO2476" s="60"/>
      <c r="LNP2476" s="60"/>
      <c r="LNQ2476" s="63"/>
      <c r="LNR2476" s="61"/>
      <c r="LNS2476" s="54"/>
      <c r="LNT2476" s="54"/>
      <c r="LNU2476" s="60"/>
      <c r="LNV2476" s="60"/>
      <c r="LNW2476" s="60"/>
      <c r="LNX2476" s="60"/>
      <c r="LNY2476" s="63"/>
      <c r="LNZ2476" s="61"/>
      <c r="LOA2476" s="54"/>
      <c r="LOB2476" s="54"/>
      <c r="LOC2476" s="60"/>
      <c r="LOD2476" s="60"/>
      <c r="LOE2476" s="60"/>
      <c r="LOF2476" s="60"/>
      <c r="LOG2476" s="63"/>
      <c r="LOH2476" s="61"/>
      <c r="LOI2476" s="54"/>
      <c r="LOJ2476" s="54"/>
      <c r="LOK2476" s="60"/>
      <c r="LOL2476" s="60"/>
      <c r="LOM2476" s="60"/>
      <c r="LON2476" s="60"/>
      <c r="LOO2476" s="63"/>
      <c r="LOP2476" s="61"/>
      <c r="LOQ2476" s="54"/>
      <c r="LOR2476" s="54"/>
      <c r="LOS2476" s="60"/>
      <c r="LOT2476" s="60"/>
      <c r="LOU2476" s="60"/>
      <c r="LOV2476" s="60"/>
      <c r="LOW2476" s="63"/>
      <c r="LOX2476" s="61"/>
      <c r="LOY2476" s="54"/>
      <c r="LOZ2476" s="54"/>
      <c r="LPA2476" s="60"/>
      <c r="LPB2476" s="60"/>
      <c r="LPC2476" s="60"/>
      <c r="LPD2476" s="60"/>
      <c r="LPE2476" s="63"/>
      <c r="LPF2476" s="61"/>
      <c r="LPG2476" s="54"/>
      <c r="LPH2476" s="54"/>
      <c r="LPI2476" s="60"/>
      <c r="LPJ2476" s="60"/>
      <c r="LPK2476" s="60"/>
      <c r="LPL2476" s="60"/>
      <c r="LPM2476" s="63"/>
      <c r="LPN2476" s="61"/>
      <c r="LPO2476" s="54"/>
      <c r="LPP2476" s="54"/>
      <c r="LPQ2476" s="60"/>
      <c r="LPR2476" s="60"/>
      <c r="LPS2476" s="60"/>
      <c r="LPT2476" s="60"/>
      <c r="LPU2476" s="63"/>
      <c r="LPV2476" s="61"/>
      <c r="LPW2476" s="54"/>
      <c r="LPX2476" s="54"/>
      <c r="LPY2476" s="60"/>
      <c r="LPZ2476" s="60"/>
      <c r="LQA2476" s="60"/>
      <c r="LQB2476" s="60"/>
      <c r="LQC2476" s="63"/>
      <c r="LQD2476" s="61"/>
      <c r="LQE2476" s="54"/>
      <c r="LQF2476" s="54"/>
      <c r="LQG2476" s="60"/>
      <c r="LQH2476" s="60"/>
      <c r="LQI2476" s="60"/>
      <c r="LQJ2476" s="60"/>
      <c r="LQK2476" s="63"/>
      <c r="LQL2476" s="61"/>
      <c r="LQM2476" s="54"/>
      <c r="LQN2476" s="54"/>
      <c r="LQO2476" s="60"/>
      <c r="LQP2476" s="60"/>
      <c r="LQQ2476" s="60"/>
      <c r="LQR2476" s="60"/>
      <c r="LQS2476" s="63"/>
      <c r="LQT2476" s="61"/>
      <c r="LQU2476" s="54"/>
      <c r="LQV2476" s="54"/>
      <c r="LQW2476" s="60"/>
      <c r="LQX2476" s="60"/>
      <c r="LQY2476" s="60"/>
      <c r="LQZ2476" s="60"/>
      <c r="LRA2476" s="63"/>
      <c r="LRB2476" s="61"/>
      <c r="LRC2476" s="54"/>
      <c r="LRD2476" s="54"/>
      <c r="LRE2476" s="60"/>
      <c r="LRF2476" s="60"/>
      <c r="LRG2476" s="60"/>
      <c r="LRH2476" s="60"/>
      <c r="LRI2476" s="63"/>
      <c r="LRJ2476" s="61"/>
      <c r="LRK2476" s="54"/>
      <c r="LRL2476" s="54"/>
      <c r="LRM2476" s="60"/>
      <c r="LRN2476" s="60"/>
      <c r="LRO2476" s="60"/>
      <c r="LRP2476" s="60"/>
      <c r="LRQ2476" s="63"/>
      <c r="LRR2476" s="61"/>
      <c r="LRS2476" s="54"/>
      <c r="LRT2476" s="54"/>
      <c r="LRU2476" s="60"/>
      <c r="LRV2476" s="60"/>
      <c r="LRW2476" s="60"/>
      <c r="LRX2476" s="60"/>
      <c r="LRY2476" s="63"/>
      <c r="LRZ2476" s="61"/>
      <c r="LSA2476" s="54"/>
      <c r="LSB2476" s="54"/>
      <c r="LSC2476" s="60"/>
      <c r="LSD2476" s="60"/>
      <c r="LSE2476" s="60"/>
      <c r="LSF2476" s="60"/>
      <c r="LSG2476" s="63"/>
      <c r="LSH2476" s="61"/>
      <c r="LSI2476" s="54"/>
      <c r="LSJ2476" s="54"/>
      <c r="LSK2476" s="60"/>
      <c r="LSL2476" s="60"/>
      <c r="LSM2476" s="60"/>
      <c r="LSN2476" s="60"/>
      <c r="LSO2476" s="63"/>
      <c r="LSP2476" s="61"/>
      <c r="LSQ2476" s="54"/>
      <c r="LSR2476" s="54"/>
      <c r="LSS2476" s="60"/>
      <c r="LST2476" s="60"/>
      <c r="LSU2476" s="60"/>
      <c r="LSV2476" s="60"/>
      <c r="LSW2476" s="63"/>
      <c r="LSX2476" s="61"/>
      <c r="LSY2476" s="54"/>
      <c r="LSZ2476" s="54"/>
      <c r="LTA2476" s="60"/>
      <c r="LTB2476" s="60"/>
      <c r="LTC2476" s="60"/>
      <c r="LTD2476" s="60"/>
      <c r="LTE2476" s="63"/>
      <c r="LTF2476" s="61"/>
      <c r="LTG2476" s="54"/>
      <c r="LTH2476" s="54"/>
      <c r="LTI2476" s="60"/>
      <c r="LTJ2476" s="60"/>
      <c r="LTK2476" s="60"/>
      <c r="LTL2476" s="60"/>
      <c r="LTM2476" s="63"/>
      <c r="LTN2476" s="61"/>
      <c r="LTO2476" s="54"/>
      <c r="LTP2476" s="54"/>
      <c r="LTQ2476" s="60"/>
      <c r="LTR2476" s="60"/>
      <c r="LTS2476" s="60"/>
      <c r="LTT2476" s="60"/>
      <c r="LTU2476" s="63"/>
      <c r="LTV2476" s="61"/>
      <c r="LTW2476" s="54"/>
      <c r="LTX2476" s="54"/>
      <c r="LTY2476" s="60"/>
      <c r="LTZ2476" s="60"/>
      <c r="LUA2476" s="60"/>
      <c r="LUB2476" s="60"/>
      <c r="LUC2476" s="63"/>
      <c r="LUD2476" s="61"/>
      <c r="LUE2476" s="54"/>
      <c r="LUF2476" s="54"/>
      <c r="LUG2476" s="60"/>
      <c r="LUH2476" s="60"/>
      <c r="LUI2476" s="60"/>
      <c r="LUJ2476" s="60"/>
      <c r="LUK2476" s="63"/>
      <c r="LUL2476" s="61"/>
      <c r="LUM2476" s="54"/>
      <c r="LUN2476" s="54"/>
      <c r="LUO2476" s="60"/>
      <c r="LUP2476" s="60"/>
      <c r="LUQ2476" s="60"/>
      <c r="LUR2476" s="60"/>
      <c r="LUS2476" s="63"/>
      <c r="LUT2476" s="61"/>
      <c r="LUU2476" s="54"/>
      <c r="LUV2476" s="54"/>
      <c r="LUW2476" s="60"/>
      <c r="LUX2476" s="60"/>
      <c r="LUY2476" s="60"/>
      <c r="LUZ2476" s="60"/>
      <c r="LVA2476" s="63"/>
      <c r="LVB2476" s="61"/>
      <c r="LVC2476" s="54"/>
      <c r="LVD2476" s="54"/>
      <c r="LVE2476" s="60"/>
      <c r="LVF2476" s="60"/>
      <c r="LVG2476" s="60"/>
      <c r="LVH2476" s="60"/>
      <c r="LVI2476" s="63"/>
      <c r="LVJ2476" s="61"/>
      <c r="LVK2476" s="54"/>
      <c r="LVL2476" s="54"/>
      <c r="LVM2476" s="60"/>
      <c r="LVN2476" s="60"/>
      <c r="LVO2476" s="60"/>
      <c r="LVP2476" s="60"/>
      <c r="LVQ2476" s="63"/>
      <c r="LVR2476" s="61"/>
      <c r="LVS2476" s="54"/>
      <c r="LVT2476" s="54"/>
      <c r="LVU2476" s="60"/>
      <c r="LVV2476" s="60"/>
      <c r="LVW2476" s="60"/>
      <c r="LVX2476" s="60"/>
      <c r="LVY2476" s="63"/>
      <c r="LVZ2476" s="61"/>
      <c r="LWA2476" s="54"/>
      <c r="LWB2476" s="54"/>
      <c r="LWC2476" s="60"/>
      <c r="LWD2476" s="60"/>
      <c r="LWE2476" s="60"/>
      <c r="LWF2476" s="60"/>
      <c r="LWG2476" s="63"/>
      <c r="LWH2476" s="61"/>
      <c r="LWI2476" s="54"/>
      <c r="LWJ2476" s="54"/>
      <c r="LWK2476" s="60"/>
      <c r="LWL2476" s="60"/>
      <c r="LWM2476" s="60"/>
      <c r="LWN2476" s="60"/>
      <c r="LWO2476" s="63"/>
      <c r="LWP2476" s="61"/>
      <c r="LWQ2476" s="54"/>
      <c r="LWR2476" s="54"/>
      <c r="LWS2476" s="60"/>
      <c r="LWT2476" s="60"/>
      <c r="LWU2476" s="60"/>
      <c r="LWV2476" s="60"/>
      <c r="LWW2476" s="63"/>
      <c r="LWX2476" s="61"/>
      <c r="LWY2476" s="54"/>
      <c r="LWZ2476" s="54"/>
      <c r="LXA2476" s="60"/>
      <c r="LXB2476" s="60"/>
      <c r="LXC2476" s="60"/>
      <c r="LXD2476" s="60"/>
      <c r="LXE2476" s="63"/>
      <c r="LXF2476" s="61"/>
      <c r="LXG2476" s="54"/>
      <c r="LXH2476" s="54"/>
      <c r="LXI2476" s="60"/>
      <c r="LXJ2476" s="60"/>
      <c r="LXK2476" s="60"/>
      <c r="LXL2476" s="60"/>
      <c r="LXM2476" s="63"/>
      <c r="LXN2476" s="61"/>
      <c r="LXO2476" s="54"/>
      <c r="LXP2476" s="54"/>
      <c r="LXQ2476" s="60"/>
      <c r="LXR2476" s="60"/>
      <c r="LXS2476" s="60"/>
      <c r="LXT2476" s="60"/>
      <c r="LXU2476" s="63"/>
      <c r="LXV2476" s="61"/>
      <c r="LXW2476" s="54"/>
      <c r="LXX2476" s="54"/>
      <c r="LXY2476" s="60"/>
      <c r="LXZ2476" s="60"/>
      <c r="LYA2476" s="60"/>
      <c r="LYB2476" s="60"/>
      <c r="LYC2476" s="63"/>
      <c r="LYD2476" s="61"/>
      <c r="LYE2476" s="54"/>
      <c r="LYF2476" s="54"/>
      <c r="LYG2476" s="60"/>
      <c r="LYH2476" s="60"/>
      <c r="LYI2476" s="60"/>
      <c r="LYJ2476" s="60"/>
      <c r="LYK2476" s="63"/>
      <c r="LYL2476" s="61"/>
      <c r="LYM2476" s="54"/>
      <c r="LYN2476" s="54"/>
      <c r="LYO2476" s="60"/>
      <c r="LYP2476" s="60"/>
      <c r="LYQ2476" s="60"/>
      <c r="LYR2476" s="60"/>
      <c r="LYS2476" s="63"/>
      <c r="LYT2476" s="61"/>
      <c r="LYU2476" s="54"/>
      <c r="LYV2476" s="54"/>
      <c r="LYW2476" s="60"/>
      <c r="LYX2476" s="60"/>
      <c r="LYY2476" s="60"/>
      <c r="LYZ2476" s="60"/>
      <c r="LZA2476" s="63"/>
      <c r="LZB2476" s="61"/>
      <c r="LZC2476" s="54"/>
      <c r="LZD2476" s="54"/>
      <c r="LZE2476" s="60"/>
      <c r="LZF2476" s="60"/>
      <c r="LZG2476" s="60"/>
      <c r="LZH2476" s="60"/>
      <c r="LZI2476" s="63"/>
      <c r="LZJ2476" s="61"/>
      <c r="LZK2476" s="54"/>
      <c r="LZL2476" s="54"/>
      <c r="LZM2476" s="60"/>
      <c r="LZN2476" s="60"/>
      <c r="LZO2476" s="60"/>
      <c r="LZP2476" s="60"/>
      <c r="LZQ2476" s="63"/>
      <c r="LZR2476" s="61"/>
      <c r="LZS2476" s="54"/>
      <c r="LZT2476" s="54"/>
      <c r="LZU2476" s="60"/>
      <c r="LZV2476" s="60"/>
      <c r="LZW2476" s="60"/>
      <c r="LZX2476" s="60"/>
      <c r="LZY2476" s="63"/>
      <c r="LZZ2476" s="61"/>
      <c r="MAA2476" s="54"/>
      <c r="MAB2476" s="54"/>
      <c r="MAC2476" s="60"/>
      <c r="MAD2476" s="60"/>
      <c r="MAE2476" s="60"/>
      <c r="MAF2476" s="60"/>
      <c r="MAG2476" s="63"/>
      <c r="MAH2476" s="61"/>
      <c r="MAI2476" s="54"/>
      <c r="MAJ2476" s="54"/>
      <c r="MAK2476" s="60"/>
      <c r="MAL2476" s="60"/>
      <c r="MAM2476" s="60"/>
      <c r="MAN2476" s="60"/>
      <c r="MAO2476" s="63"/>
      <c r="MAP2476" s="61"/>
      <c r="MAQ2476" s="54"/>
      <c r="MAR2476" s="54"/>
      <c r="MAS2476" s="60"/>
      <c r="MAT2476" s="60"/>
      <c r="MAU2476" s="60"/>
      <c r="MAV2476" s="60"/>
      <c r="MAW2476" s="63"/>
      <c r="MAX2476" s="61"/>
      <c r="MAY2476" s="54"/>
      <c r="MAZ2476" s="54"/>
      <c r="MBA2476" s="60"/>
      <c r="MBB2476" s="60"/>
      <c r="MBC2476" s="60"/>
      <c r="MBD2476" s="60"/>
      <c r="MBE2476" s="63"/>
      <c r="MBF2476" s="61"/>
      <c r="MBG2476" s="54"/>
      <c r="MBH2476" s="54"/>
      <c r="MBI2476" s="60"/>
      <c r="MBJ2476" s="60"/>
      <c r="MBK2476" s="60"/>
      <c r="MBL2476" s="60"/>
      <c r="MBM2476" s="63"/>
      <c r="MBN2476" s="61"/>
      <c r="MBO2476" s="54"/>
      <c r="MBP2476" s="54"/>
      <c r="MBQ2476" s="60"/>
      <c r="MBR2476" s="60"/>
      <c r="MBS2476" s="60"/>
      <c r="MBT2476" s="60"/>
      <c r="MBU2476" s="63"/>
      <c r="MBV2476" s="61"/>
      <c r="MBW2476" s="54"/>
      <c r="MBX2476" s="54"/>
      <c r="MBY2476" s="60"/>
      <c r="MBZ2476" s="60"/>
      <c r="MCA2476" s="60"/>
      <c r="MCB2476" s="60"/>
      <c r="MCC2476" s="63"/>
      <c r="MCD2476" s="61"/>
      <c r="MCE2476" s="54"/>
      <c r="MCF2476" s="54"/>
      <c r="MCG2476" s="60"/>
      <c r="MCH2476" s="60"/>
      <c r="MCI2476" s="60"/>
      <c r="MCJ2476" s="60"/>
      <c r="MCK2476" s="63"/>
      <c r="MCL2476" s="61"/>
      <c r="MCM2476" s="54"/>
      <c r="MCN2476" s="54"/>
      <c r="MCO2476" s="60"/>
      <c r="MCP2476" s="60"/>
      <c r="MCQ2476" s="60"/>
      <c r="MCR2476" s="60"/>
      <c r="MCS2476" s="63"/>
      <c r="MCT2476" s="61"/>
      <c r="MCU2476" s="54"/>
      <c r="MCV2476" s="54"/>
      <c r="MCW2476" s="60"/>
      <c r="MCX2476" s="60"/>
      <c r="MCY2476" s="60"/>
      <c r="MCZ2476" s="60"/>
      <c r="MDA2476" s="63"/>
      <c r="MDB2476" s="61"/>
      <c r="MDC2476" s="54"/>
      <c r="MDD2476" s="54"/>
      <c r="MDE2476" s="60"/>
      <c r="MDF2476" s="60"/>
      <c r="MDG2476" s="60"/>
      <c r="MDH2476" s="60"/>
      <c r="MDI2476" s="63"/>
      <c r="MDJ2476" s="61"/>
      <c r="MDK2476" s="54"/>
      <c r="MDL2476" s="54"/>
      <c r="MDM2476" s="60"/>
      <c r="MDN2476" s="60"/>
      <c r="MDO2476" s="60"/>
      <c r="MDP2476" s="60"/>
      <c r="MDQ2476" s="63"/>
      <c r="MDR2476" s="61"/>
      <c r="MDS2476" s="54"/>
      <c r="MDT2476" s="54"/>
      <c r="MDU2476" s="60"/>
      <c r="MDV2476" s="60"/>
      <c r="MDW2476" s="60"/>
      <c r="MDX2476" s="60"/>
      <c r="MDY2476" s="63"/>
      <c r="MDZ2476" s="61"/>
      <c r="MEA2476" s="54"/>
      <c r="MEB2476" s="54"/>
      <c r="MEC2476" s="60"/>
      <c r="MED2476" s="60"/>
      <c r="MEE2476" s="60"/>
      <c r="MEF2476" s="60"/>
      <c r="MEG2476" s="63"/>
      <c r="MEH2476" s="61"/>
      <c r="MEI2476" s="54"/>
      <c r="MEJ2476" s="54"/>
      <c r="MEK2476" s="60"/>
      <c r="MEL2476" s="60"/>
      <c r="MEM2476" s="60"/>
      <c r="MEN2476" s="60"/>
      <c r="MEO2476" s="63"/>
      <c r="MEP2476" s="61"/>
      <c r="MEQ2476" s="54"/>
      <c r="MER2476" s="54"/>
      <c r="MES2476" s="60"/>
      <c r="MET2476" s="60"/>
      <c r="MEU2476" s="60"/>
      <c r="MEV2476" s="60"/>
      <c r="MEW2476" s="63"/>
      <c r="MEX2476" s="61"/>
      <c r="MEY2476" s="54"/>
      <c r="MEZ2476" s="54"/>
      <c r="MFA2476" s="60"/>
      <c r="MFB2476" s="60"/>
      <c r="MFC2476" s="60"/>
      <c r="MFD2476" s="60"/>
      <c r="MFE2476" s="63"/>
      <c r="MFF2476" s="61"/>
      <c r="MFG2476" s="54"/>
      <c r="MFH2476" s="54"/>
      <c r="MFI2476" s="60"/>
      <c r="MFJ2476" s="60"/>
      <c r="MFK2476" s="60"/>
      <c r="MFL2476" s="60"/>
      <c r="MFM2476" s="63"/>
      <c r="MFN2476" s="61"/>
      <c r="MFO2476" s="54"/>
      <c r="MFP2476" s="54"/>
      <c r="MFQ2476" s="60"/>
      <c r="MFR2476" s="60"/>
      <c r="MFS2476" s="60"/>
      <c r="MFT2476" s="60"/>
      <c r="MFU2476" s="63"/>
      <c r="MFV2476" s="61"/>
      <c r="MFW2476" s="54"/>
      <c r="MFX2476" s="54"/>
      <c r="MFY2476" s="60"/>
      <c r="MFZ2476" s="60"/>
      <c r="MGA2476" s="60"/>
      <c r="MGB2476" s="60"/>
      <c r="MGC2476" s="63"/>
      <c r="MGD2476" s="61"/>
      <c r="MGE2476" s="54"/>
      <c r="MGF2476" s="54"/>
      <c r="MGG2476" s="60"/>
      <c r="MGH2476" s="60"/>
      <c r="MGI2476" s="60"/>
      <c r="MGJ2476" s="60"/>
      <c r="MGK2476" s="63"/>
      <c r="MGL2476" s="61"/>
      <c r="MGM2476" s="54"/>
      <c r="MGN2476" s="54"/>
      <c r="MGO2476" s="60"/>
      <c r="MGP2476" s="60"/>
      <c r="MGQ2476" s="60"/>
      <c r="MGR2476" s="60"/>
      <c r="MGS2476" s="63"/>
      <c r="MGT2476" s="61"/>
      <c r="MGU2476" s="54"/>
      <c r="MGV2476" s="54"/>
      <c r="MGW2476" s="60"/>
      <c r="MGX2476" s="60"/>
      <c r="MGY2476" s="60"/>
      <c r="MGZ2476" s="60"/>
      <c r="MHA2476" s="63"/>
      <c r="MHB2476" s="61"/>
      <c r="MHC2476" s="54"/>
      <c r="MHD2476" s="54"/>
      <c r="MHE2476" s="60"/>
      <c r="MHF2476" s="60"/>
      <c r="MHG2476" s="60"/>
      <c r="MHH2476" s="60"/>
      <c r="MHI2476" s="63"/>
      <c r="MHJ2476" s="61"/>
      <c r="MHK2476" s="54"/>
      <c r="MHL2476" s="54"/>
      <c r="MHM2476" s="60"/>
      <c r="MHN2476" s="60"/>
      <c r="MHO2476" s="60"/>
      <c r="MHP2476" s="60"/>
      <c r="MHQ2476" s="63"/>
      <c r="MHR2476" s="61"/>
      <c r="MHS2476" s="54"/>
      <c r="MHT2476" s="54"/>
      <c r="MHU2476" s="60"/>
      <c r="MHV2476" s="60"/>
      <c r="MHW2476" s="60"/>
      <c r="MHX2476" s="60"/>
      <c r="MHY2476" s="63"/>
      <c r="MHZ2476" s="61"/>
      <c r="MIA2476" s="54"/>
      <c r="MIB2476" s="54"/>
      <c r="MIC2476" s="60"/>
      <c r="MID2476" s="60"/>
      <c r="MIE2476" s="60"/>
      <c r="MIF2476" s="60"/>
      <c r="MIG2476" s="63"/>
      <c r="MIH2476" s="61"/>
      <c r="MII2476" s="54"/>
      <c r="MIJ2476" s="54"/>
      <c r="MIK2476" s="60"/>
      <c r="MIL2476" s="60"/>
      <c r="MIM2476" s="60"/>
      <c r="MIN2476" s="60"/>
      <c r="MIO2476" s="63"/>
      <c r="MIP2476" s="61"/>
      <c r="MIQ2476" s="54"/>
      <c r="MIR2476" s="54"/>
      <c r="MIS2476" s="60"/>
      <c r="MIT2476" s="60"/>
      <c r="MIU2476" s="60"/>
      <c r="MIV2476" s="60"/>
      <c r="MIW2476" s="63"/>
      <c r="MIX2476" s="61"/>
      <c r="MIY2476" s="54"/>
      <c r="MIZ2476" s="54"/>
      <c r="MJA2476" s="60"/>
      <c r="MJB2476" s="60"/>
      <c r="MJC2476" s="60"/>
      <c r="MJD2476" s="60"/>
      <c r="MJE2476" s="63"/>
      <c r="MJF2476" s="61"/>
      <c r="MJG2476" s="54"/>
      <c r="MJH2476" s="54"/>
      <c r="MJI2476" s="60"/>
      <c r="MJJ2476" s="60"/>
      <c r="MJK2476" s="60"/>
      <c r="MJL2476" s="60"/>
      <c r="MJM2476" s="63"/>
      <c r="MJN2476" s="61"/>
      <c r="MJO2476" s="54"/>
      <c r="MJP2476" s="54"/>
      <c r="MJQ2476" s="60"/>
      <c r="MJR2476" s="60"/>
      <c r="MJS2476" s="60"/>
      <c r="MJT2476" s="60"/>
      <c r="MJU2476" s="63"/>
      <c r="MJV2476" s="61"/>
      <c r="MJW2476" s="54"/>
      <c r="MJX2476" s="54"/>
      <c r="MJY2476" s="60"/>
      <c r="MJZ2476" s="60"/>
      <c r="MKA2476" s="60"/>
      <c r="MKB2476" s="60"/>
      <c r="MKC2476" s="63"/>
      <c r="MKD2476" s="61"/>
      <c r="MKE2476" s="54"/>
      <c r="MKF2476" s="54"/>
      <c r="MKG2476" s="60"/>
      <c r="MKH2476" s="60"/>
      <c r="MKI2476" s="60"/>
      <c r="MKJ2476" s="60"/>
      <c r="MKK2476" s="63"/>
      <c r="MKL2476" s="61"/>
      <c r="MKM2476" s="54"/>
      <c r="MKN2476" s="54"/>
      <c r="MKO2476" s="60"/>
      <c r="MKP2476" s="60"/>
      <c r="MKQ2476" s="60"/>
      <c r="MKR2476" s="60"/>
      <c r="MKS2476" s="63"/>
      <c r="MKT2476" s="61"/>
      <c r="MKU2476" s="54"/>
      <c r="MKV2476" s="54"/>
      <c r="MKW2476" s="60"/>
      <c r="MKX2476" s="60"/>
      <c r="MKY2476" s="60"/>
      <c r="MKZ2476" s="60"/>
      <c r="MLA2476" s="63"/>
      <c r="MLB2476" s="61"/>
      <c r="MLC2476" s="54"/>
      <c r="MLD2476" s="54"/>
      <c r="MLE2476" s="60"/>
      <c r="MLF2476" s="60"/>
      <c r="MLG2476" s="60"/>
      <c r="MLH2476" s="60"/>
      <c r="MLI2476" s="63"/>
      <c r="MLJ2476" s="61"/>
      <c r="MLK2476" s="54"/>
      <c r="MLL2476" s="54"/>
      <c r="MLM2476" s="60"/>
      <c r="MLN2476" s="60"/>
      <c r="MLO2476" s="60"/>
      <c r="MLP2476" s="60"/>
      <c r="MLQ2476" s="63"/>
      <c r="MLR2476" s="61"/>
      <c r="MLS2476" s="54"/>
      <c r="MLT2476" s="54"/>
      <c r="MLU2476" s="60"/>
      <c r="MLV2476" s="60"/>
      <c r="MLW2476" s="60"/>
      <c r="MLX2476" s="60"/>
      <c r="MLY2476" s="63"/>
      <c r="MLZ2476" s="61"/>
      <c r="MMA2476" s="54"/>
      <c r="MMB2476" s="54"/>
      <c r="MMC2476" s="60"/>
      <c r="MMD2476" s="60"/>
      <c r="MME2476" s="60"/>
      <c r="MMF2476" s="60"/>
      <c r="MMG2476" s="63"/>
      <c r="MMH2476" s="61"/>
      <c r="MMI2476" s="54"/>
      <c r="MMJ2476" s="54"/>
      <c r="MMK2476" s="60"/>
      <c r="MML2476" s="60"/>
      <c r="MMM2476" s="60"/>
      <c r="MMN2476" s="60"/>
      <c r="MMO2476" s="63"/>
      <c r="MMP2476" s="61"/>
      <c r="MMQ2476" s="54"/>
      <c r="MMR2476" s="54"/>
      <c r="MMS2476" s="60"/>
      <c r="MMT2476" s="60"/>
      <c r="MMU2476" s="60"/>
      <c r="MMV2476" s="60"/>
      <c r="MMW2476" s="63"/>
      <c r="MMX2476" s="61"/>
      <c r="MMY2476" s="54"/>
      <c r="MMZ2476" s="54"/>
      <c r="MNA2476" s="60"/>
      <c r="MNB2476" s="60"/>
      <c r="MNC2476" s="60"/>
      <c r="MND2476" s="60"/>
      <c r="MNE2476" s="63"/>
      <c r="MNF2476" s="61"/>
      <c r="MNG2476" s="54"/>
      <c r="MNH2476" s="54"/>
      <c r="MNI2476" s="60"/>
      <c r="MNJ2476" s="60"/>
      <c r="MNK2476" s="60"/>
      <c r="MNL2476" s="60"/>
      <c r="MNM2476" s="63"/>
      <c r="MNN2476" s="61"/>
      <c r="MNO2476" s="54"/>
      <c r="MNP2476" s="54"/>
      <c r="MNQ2476" s="60"/>
      <c r="MNR2476" s="60"/>
      <c r="MNS2476" s="60"/>
      <c r="MNT2476" s="60"/>
      <c r="MNU2476" s="63"/>
      <c r="MNV2476" s="61"/>
      <c r="MNW2476" s="54"/>
      <c r="MNX2476" s="54"/>
      <c r="MNY2476" s="60"/>
      <c r="MNZ2476" s="60"/>
      <c r="MOA2476" s="60"/>
      <c r="MOB2476" s="60"/>
      <c r="MOC2476" s="63"/>
      <c r="MOD2476" s="61"/>
      <c r="MOE2476" s="54"/>
      <c r="MOF2476" s="54"/>
      <c r="MOG2476" s="60"/>
      <c r="MOH2476" s="60"/>
      <c r="MOI2476" s="60"/>
      <c r="MOJ2476" s="60"/>
      <c r="MOK2476" s="63"/>
      <c r="MOL2476" s="61"/>
      <c r="MOM2476" s="54"/>
      <c r="MON2476" s="54"/>
      <c r="MOO2476" s="60"/>
      <c r="MOP2476" s="60"/>
      <c r="MOQ2476" s="60"/>
      <c r="MOR2476" s="60"/>
      <c r="MOS2476" s="63"/>
      <c r="MOT2476" s="61"/>
      <c r="MOU2476" s="54"/>
      <c r="MOV2476" s="54"/>
      <c r="MOW2476" s="60"/>
      <c r="MOX2476" s="60"/>
      <c r="MOY2476" s="60"/>
      <c r="MOZ2476" s="60"/>
      <c r="MPA2476" s="63"/>
      <c r="MPB2476" s="61"/>
      <c r="MPC2476" s="54"/>
      <c r="MPD2476" s="54"/>
      <c r="MPE2476" s="60"/>
      <c r="MPF2476" s="60"/>
      <c r="MPG2476" s="60"/>
      <c r="MPH2476" s="60"/>
      <c r="MPI2476" s="63"/>
      <c r="MPJ2476" s="61"/>
      <c r="MPK2476" s="54"/>
      <c r="MPL2476" s="54"/>
      <c r="MPM2476" s="60"/>
      <c r="MPN2476" s="60"/>
      <c r="MPO2476" s="60"/>
      <c r="MPP2476" s="60"/>
      <c r="MPQ2476" s="63"/>
      <c r="MPR2476" s="61"/>
      <c r="MPS2476" s="54"/>
      <c r="MPT2476" s="54"/>
      <c r="MPU2476" s="60"/>
      <c r="MPV2476" s="60"/>
      <c r="MPW2476" s="60"/>
      <c r="MPX2476" s="60"/>
      <c r="MPY2476" s="63"/>
      <c r="MPZ2476" s="61"/>
      <c r="MQA2476" s="54"/>
      <c r="MQB2476" s="54"/>
      <c r="MQC2476" s="60"/>
      <c r="MQD2476" s="60"/>
      <c r="MQE2476" s="60"/>
      <c r="MQF2476" s="60"/>
      <c r="MQG2476" s="63"/>
      <c r="MQH2476" s="61"/>
      <c r="MQI2476" s="54"/>
      <c r="MQJ2476" s="54"/>
      <c r="MQK2476" s="60"/>
      <c r="MQL2476" s="60"/>
      <c r="MQM2476" s="60"/>
      <c r="MQN2476" s="60"/>
      <c r="MQO2476" s="63"/>
      <c r="MQP2476" s="61"/>
      <c r="MQQ2476" s="54"/>
      <c r="MQR2476" s="54"/>
      <c r="MQS2476" s="60"/>
      <c r="MQT2476" s="60"/>
      <c r="MQU2476" s="60"/>
      <c r="MQV2476" s="60"/>
      <c r="MQW2476" s="63"/>
      <c r="MQX2476" s="61"/>
      <c r="MQY2476" s="54"/>
      <c r="MQZ2476" s="54"/>
      <c r="MRA2476" s="60"/>
      <c r="MRB2476" s="60"/>
      <c r="MRC2476" s="60"/>
      <c r="MRD2476" s="60"/>
      <c r="MRE2476" s="63"/>
      <c r="MRF2476" s="61"/>
      <c r="MRG2476" s="54"/>
      <c r="MRH2476" s="54"/>
      <c r="MRI2476" s="60"/>
      <c r="MRJ2476" s="60"/>
      <c r="MRK2476" s="60"/>
      <c r="MRL2476" s="60"/>
      <c r="MRM2476" s="63"/>
      <c r="MRN2476" s="61"/>
      <c r="MRO2476" s="54"/>
      <c r="MRP2476" s="54"/>
      <c r="MRQ2476" s="60"/>
      <c r="MRR2476" s="60"/>
      <c r="MRS2476" s="60"/>
      <c r="MRT2476" s="60"/>
      <c r="MRU2476" s="63"/>
      <c r="MRV2476" s="61"/>
      <c r="MRW2476" s="54"/>
      <c r="MRX2476" s="54"/>
      <c r="MRY2476" s="60"/>
      <c r="MRZ2476" s="60"/>
      <c r="MSA2476" s="60"/>
      <c r="MSB2476" s="60"/>
      <c r="MSC2476" s="63"/>
      <c r="MSD2476" s="61"/>
      <c r="MSE2476" s="54"/>
      <c r="MSF2476" s="54"/>
      <c r="MSG2476" s="60"/>
      <c r="MSH2476" s="60"/>
      <c r="MSI2476" s="60"/>
      <c r="MSJ2476" s="60"/>
      <c r="MSK2476" s="63"/>
      <c r="MSL2476" s="61"/>
      <c r="MSM2476" s="54"/>
      <c r="MSN2476" s="54"/>
      <c r="MSO2476" s="60"/>
      <c r="MSP2476" s="60"/>
      <c r="MSQ2476" s="60"/>
      <c r="MSR2476" s="60"/>
      <c r="MSS2476" s="63"/>
      <c r="MST2476" s="61"/>
      <c r="MSU2476" s="54"/>
      <c r="MSV2476" s="54"/>
      <c r="MSW2476" s="60"/>
      <c r="MSX2476" s="60"/>
      <c r="MSY2476" s="60"/>
      <c r="MSZ2476" s="60"/>
      <c r="MTA2476" s="63"/>
      <c r="MTB2476" s="61"/>
      <c r="MTC2476" s="54"/>
      <c r="MTD2476" s="54"/>
      <c r="MTE2476" s="60"/>
      <c r="MTF2476" s="60"/>
      <c r="MTG2476" s="60"/>
      <c r="MTH2476" s="60"/>
      <c r="MTI2476" s="63"/>
      <c r="MTJ2476" s="61"/>
      <c r="MTK2476" s="54"/>
      <c r="MTL2476" s="54"/>
      <c r="MTM2476" s="60"/>
      <c r="MTN2476" s="60"/>
      <c r="MTO2476" s="60"/>
      <c r="MTP2476" s="60"/>
      <c r="MTQ2476" s="63"/>
      <c r="MTR2476" s="61"/>
      <c r="MTS2476" s="54"/>
      <c r="MTT2476" s="54"/>
      <c r="MTU2476" s="60"/>
      <c r="MTV2476" s="60"/>
      <c r="MTW2476" s="60"/>
      <c r="MTX2476" s="60"/>
      <c r="MTY2476" s="63"/>
      <c r="MTZ2476" s="61"/>
      <c r="MUA2476" s="54"/>
      <c r="MUB2476" s="54"/>
      <c r="MUC2476" s="60"/>
      <c r="MUD2476" s="60"/>
      <c r="MUE2476" s="60"/>
      <c r="MUF2476" s="60"/>
      <c r="MUG2476" s="63"/>
      <c r="MUH2476" s="61"/>
      <c r="MUI2476" s="54"/>
      <c r="MUJ2476" s="54"/>
      <c r="MUK2476" s="60"/>
      <c r="MUL2476" s="60"/>
      <c r="MUM2476" s="60"/>
      <c r="MUN2476" s="60"/>
      <c r="MUO2476" s="63"/>
      <c r="MUP2476" s="61"/>
      <c r="MUQ2476" s="54"/>
      <c r="MUR2476" s="54"/>
      <c r="MUS2476" s="60"/>
      <c r="MUT2476" s="60"/>
      <c r="MUU2476" s="60"/>
      <c r="MUV2476" s="60"/>
      <c r="MUW2476" s="63"/>
      <c r="MUX2476" s="61"/>
      <c r="MUY2476" s="54"/>
      <c r="MUZ2476" s="54"/>
      <c r="MVA2476" s="60"/>
      <c r="MVB2476" s="60"/>
      <c r="MVC2476" s="60"/>
      <c r="MVD2476" s="60"/>
      <c r="MVE2476" s="63"/>
      <c r="MVF2476" s="61"/>
      <c r="MVG2476" s="54"/>
      <c r="MVH2476" s="54"/>
      <c r="MVI2476" s="60"/>
      <c r="MVJ2476" s="60"/>
      <c r="MVK2476" s="60"/>
      <c r="MVL2476" s="60"/>
      <c r="MVM2476" s="63"/>
      <c r="MVN2476" s="61"/>
      <c r="MVO2476" s="54"/>
      <c r="MVP2476" s="54"/>
      <c r="MVQ2476" s="60"/>
      <c r="MVR2476" s="60"/>
      <c r="MVS2476" s="60"/>
      <c r="MVT2476" s="60"/>
      <c r="MVU2476" s="63"/>
      <c r="MVV2476" s="61"/>
      <c r="MVW2476" s="54"/>
      <c r="MVX2476" s="54"/>
      <c r="MVY2476" s="60"/>
      <c r="MVZ2476" s="60"/>
      <c r="MWA2476" s="60"/>
      <c r="MWB2476" s="60"/>
      <c r="MWC2476" s="63"/>
      <c r="MWD2476" s="61"/>
      <c r="MWE2476" s="54"/>
      <c r="MWF2476" s="54"/>
      <c r="MWG2476" s="60"/>
      <c r="MWH2476" s="60"/>
      <c r="MWI2476" s="60"/>
      <c r="MWJ2476" s="60"/>
      <c r="MWK2476" s="63"/>
      <c r="MWL2476" s="61"/>
      <c r="MWM2476" s="54"/>
      <c r="MWN2476" s="54"/>
      <c r="MWO2476" s="60"/>
      <c r="MWP2476" s="60"/>
      <c r="MWQ2476" s="60"/>
      <c r="MWR2476" s="60"/>
      <c r="MWS2476" s="63"/>
      <c r="MWT2476" s="61"/>
      <c r="MWU2476" s="54"/>
      <c r="MWV2476" s="54"/>
      <c r="MWW2476" s="60"/>
      <c r="MWX2476" s="60"/>
      <c r="MWY2476" s="60"/>
      <c r="MWZ2476" s="60"/>
      <c r="MXA2476" s="63"/>
      <c r="MXB2476" s="61"/>
      <c r="MXC2476" s="54"/>
      <c r="MXD2476" s="54"/>
      <c r="MXE2476" s="60"/>
      <c r="MXF2476" s="60"/>
      <c r="MXG2476" s="60"/>
      <c r="MXH2476" s="60"/>
      <c r="MXI2476" s="63"/>
      <c r="MXJ2476" s="61"/>
      <c r="MXK2476" s="54"/>
      <c r="MXL2476" s="54"/>
      <c r="MXM2476" s="60"/>
      <c r="MXN2476" s="60"/>
      <c r="MXO2476" s="60"/>
      <c r="MXP2476" s="60"/>
      <c r="MXQ2476" s="63"/>
      <c r="MXR2476" s="61"/>
      <c r="MXS2476" s="54"/>
      <c r="MXT2476" s="54"/>
      <c r="MXU2476" s="60"/>
      <c r="MXV2476" s="60"/>
      <c r="MXW2476" s="60"/>
      <c r="MXX2476" s="60"/>
      <c r="MXY2476" s="63"/>
      <c r="MXZ2476" s="61"/>
      <c r="MYA2476" s="54"/>
      <c r="MYB2476" s="54"/>
      <c r="MYC2476" s="60"/>
      <c r="MYD2476" s="60"/>
      <c r="MYE2476" s="60"/>
      <c r="MYF2476" s="60"/>
      <c r="MYG2476" s="63"/>
      <c r="MYH2476" s="61"/>
      <c r="MYI2476" s="54"/>
      <c r="MYJ2476" s="54"/>
      <c r="MYK2476" s="60"/>
      <c r="MYL2476" s="60"/>
      <c r="MYM2476" s="60"/>
      <c r="MYN2476" s="60"/>
      <c r="MYO2476" s="63"/>
      <c r="MYP2476" s="61"/>
      <c r="MYQ2476" s="54"/>
      <c r="MYR2476" s="54"/>
      <c r="MYS2476" s="60"/>
      <c r="MYT2476" s="60"/>
      <c r="MYU2476" s="60"/>
      <c r="MYV2476" s="60"/>
      <c r="MYW2476" s="63"/>
      <c r="MYX2476" s="61"/>
      <c r="MYY2476" s="54"/>
      <c r="MYZ2476" s="54"/>
      <c r="MZA2476" s="60"/>
      <c r="MZB2476" s="60"/>
      <c r="MZC2476" s="60"/>
      <c r="MZD2476" s="60"/>
      <c r="MZE2476" s="63"/>
      <c r="MZF2476" s="61"/>
      <c r="MZG2476" s="54"/>
      <c r="MZH2476" s="54"/>
      <c r="MZI2476" s="60"/>
      <c r="MZJ2476" s="60"/>
      <c r="MZK2476" s="60"/>
      <c r="MZL2476" s="60"/>
      <c r="MZM2476" s="63"/>
      <c r="MZN2476" s="61"/>
      <c r="MZO2476" s="54"/>
      <c r="MZP2476" s="54"/>
      <c r="MZQ2476" s="60"/>
      <c r="MZR2476" s="60"/>
      <c r="MZS2476" s="60"/>
      <c r="MZT2476" s="60"/>
      <c r="MZU2476" s="63"/>
      <c r="MZV2476" s="61"/>
      <c r="MZW2476" s="54"/>
      <c r="MZX2476" s="54"/>
      <c r="MZY2476" s="60"/>
      <c r="MZZ2476" s="60"/>
      <c r="NAA2476" s="60"/>
      <c r="NAB2476" s="60"/>
      <c r="NAC2476" s="63"/>
      <c r="NAD2476" s="61"/>
      <c r="NAE2476" s="54"/>
      <c r="NAF2476" s="54"/>
      <c r="NAG2476" s="60"/>
      <c r="NAH2476" s="60"/>
      <c r="NAI2476" s="60"/>
      <c r="NAJ2476" s="60"/>
      <c r="NAK2476" s="63"/>
      <c r="NAL2476" s="61"/>
      <c r="NAM2476" s="54"/>
      <c r="NAN2476" s="54"/>
      <c r="NAO2476" s="60"/>
      <c r="NAP2476" s="60"/>
      <c r="NAQ2476" s="60"/>
      <c r="NAR2476" s="60"/>
      <c r="NAS2476" s="63"/>
      <c r="NAT2476" s="61"/>
      <c r="NAU2476" s="54"/>
      <c r="NAV2476" s="54"/>
      <c r="NAW2476" s="60"/>
      <c r="NAX2476" s="60"/>
      <c r="NAY2476" s="60"/>
      <c r="NAZ2476" s="60"/>
      <c r="NBA2476" s="63"/>
      <c r="NBB2476" s="61"/>
      <c r="NBC2476" s="54"/>
      <c r="NBD2476" s="54"/>
      <c r="NBE2476" s="60"/>
      <c r="NBF2476" s="60"/>
      <c r="NBG2476" s="60"/>
      <c r="NBH2476" s="60"/>
      <c r="NBI2476" s="63"/>
      <c r="NBJ2476" s="61"/>
      <c r="NBK2476" s="54"/>
      <c r="NBL2476" s="54"/>
      <c r="NBM2476" s="60"/>
      <c r="NBN2476" s="60"/>
      <c r="NBO2476" s="60"/>
      <c r="NBP2476" s="60"/>
      <c r="NBQ2476" s="63"/>
      <c r="NBR2476" s="61"/>
      <c r="NBS2476" s="54"/>
      <c r="NBT2476" s="54"/>
      <c r="NBU2476" s="60"/>
      <c r="NBV2476" s="60"/>
      <c r="NBW2476" s="60"/>
      <c r="NBX2476" s="60"/>
      <c r="NBY2476" s="63"/>
      <c r="NBZ2476" s="61"/>
      <c r="NCA2476" s="54"/>
      <c r="NCB2476" s="54"/>
      <c r="NCC2476" s="60"/>
      <c r="NCD2476" s="60"/>
      <c r="NCE2476" s="60"/>
      <c r="NCF2476" s="60"/>
      <c r="NCG2476" s="63"/>
      <c r="NCH2476" s="61"/>
      <c r="NCI2476" s="54"/>
      <c r="NCJ2476" s="54"/>
      <c r="NCK2476" s="60"/>
      <c r="NCL2476" s="60"/>
      <c r="NCM2476" s="60"/>
      <c r="NCN2476" s="60"/>
      <c r="NCO2476" s="63"/>
      <c r="NCP2476" s="61"/>
      <c r="NCQ2476" s="54"/>
      <c r="NCR2476" s="54"/>
      <c r="NCS2476" s="60"/>
      <c r="NCT2476" s="60"/>
      <c r="NCU2476" s="60"/>
      <c r="NCV2476" s="60"/>
      <c r="NCW2476" s="63"/>
      <c r="NCX2476" s="61"/>
      <c r="NCY2476" s="54"/>
      <c r="NCZ2476" s="54"/>
      <c r="NDA2476" s="60"/>
      <c r="NDB2476" s="60"/>
      <c r="NDC2476" s="60"/>
      <c r="NDD2476" s="60"/>
      <c r="NDE2476" s="63"/>
      <c r="NDF2476" s="61"/>
      <c r="NDG2476" s="54"/>
      <c r="NDH2476" s="54"/>
      <c r="NDI2476" s="60"/>
      <c r="NDJ2476" s="60"/>
      <c r="NDK2476" s="60"/>
      <c r="NDL2476" s="60"/>
      <c r="NDM2476" s="63"/>
      <c r="NDN2476" s="61"/>
      <c r="NDO2476" s="54"/>
      <c r="NDP2476" s="54"/>
      <c r="NDQ2476" s="60"/>
      <c r="NDR2476" s="60"/>
      <c r="NDS2476" s="60"/>
      <c r="NDT2476" s="60"/>
      <c r="NDU2476" s="63"/>
      <c r="NDV2476" s="61"/>
      <c r="NDW2476" s="54"/>
      <c r="NDX2476" s="54"/>
      <c r="NDY2476" s="60"/>
      <c r="NDZ2476" s="60"/>
      <c r="NEA2476" s="60"/>
      <c r="NEB2476" s="60"/>
      <c r="NEC2476" s="63"/>
      <c r="NED2476" s="61"/>
      <c r="NEE2476" s="54"/>
      <c r="NEF2476" s="54"/>
      <c r="NEG2476" s="60"/>
      <c r="NEH2476" s="60"/>
      <c r="NEI2476" s="60"/>
      <c r="NEJ2476" s="60"/>
      <c r="NEK2476" s="63"/>
      <c r="NEL2476" s="61"/>
      <c r="NEM2476" s="54"/>
      <c r="NEN2476" s="54"/>
      <c r="NEO2476" s="60"/>
      <c r="NEP2476" s="60"/>
      <c r="NEQ2476" s="60"/>
      <c r="NER2476" s="60"/>
      <c r="NES2476" s="63"/>
      <c r="NET2476" s="61"/>
      <c r="NEU2476" s="54"/>
      <c r="NEV2476" s="54"/>
      <c r="NEW2476" s="60"/>
      <c r="NEX2476" s="60"/>
      <c r="NEY2476" s="60"/>
      <c r="NEZ2476" s="60"/>
      <c r="NFA2476" s="63"/>
      <c r="NFB2476" s="61"/>
      <c r="NFC2476" s="54"/>
      <c r="NFD2476" s="54"/>
      <c r="NFE2476" s="60"/>
      <c r="NFF2476" s="60"/>
      <c r="NFG2476" s="60"/>
      <c r="NFH2476" s="60"/>
      <c r="NFI2476" s="63"/>
      <c r="NFJ2476" s="61"/>
      <c r="NFK2476" s="54"/>
      <c r="NFL2476" s="54"/>
      <c r="NFM2476" s="60"/>
      <c r="NFN2476" s="60"/>
      <c r="NFO2476" s="60"/>
      <c r="NFP2476" s="60"/>
      <c r="NFQ2476" s="63"/>
      <c r="NFR2476" s="61"/>
      <c r="NFS2476" s="54"/>
      <c r="NFT2476" s="54"/>
      <c r="NFU2476" s="60"/>
      <c r="NFV2476" s="60"/>
      <c r="NFW2476" s="60"/>
      <c r="NFX2476" s="60"/>
      <c r="NFY2476" s="63"/>
      <c r="NFZ2476" s="61"/>
      <c r="NGA2476" s="54"/>
      <c r="NGB2476" s="54"/>
      <c r="NGC2476" s="60"/>
      <c r="NGD2476" s="60"/>
      <c r="NGE2476" s="60"/>
      <c r="NGF2476" s="60"/>
      <c r="NGG2476" s="63"/>
      <c r="NGH2476" s="61"/>
      <c r="NGI2476" s="54"/>
      <c r="NGJ2476" s="54"/>
      <c r="NGK2476" s="60"/>
      <c r="NGL2476" s="60"/>
      <c r="NGM2476" s="60"/>
      <c r="NGN2476" s="60"/>
      <c r="NGO2476" s="63"/>
      <c r="NGP2476" s="61"/>
      <c r="NGQ2476" s="54"/>
      <c r="NGR2476" s="54"/>
      <c r="NGS2476" s="60"/>
      <c r="NGT2476" s="60"/>
      <c r="NGU2476" s="60"/>
      <c r="NGV2476" s="60"/>
      <c r="NGW2476" s="63"/>
      <c r="NGX2476" s="61"/>
      <c r="NGY2476" s="54"/>
      <c r="NGZ2476" s="54"/>
      <c r="NHA2476" s="60"/>
      <c r="NHB2476" s="60"/>
      <c r="NHC2476" s="60"/>
      <c r="NHD2476" s="60"/>
      <c r="NHE2476" s="63"/>
      <c r="NHF2476" s="61"/>
      <c r="NHG2476" s="54"/>
      <c r="NHH2476" s="54"/>
      <c r="NHI2476" s="60"/>
      <c r="NHJ2476" s="60"/>
      <c r="NHK2476" s="60"/>
      <c r="NHL2476" s="60"/>
      <c r="NHM2476" s="63"/>
      <c r="NHN2476" s="61"/>
      <c r="NHO2476" s="54"/>
      <c r="NHP2476" s="54"/>
      <c r="NHQ2476" s="60"/>
      <c r="NHR2476" s="60"/>
      <c r="NHS2476" s="60"/>
      <c r="NHT2476" s="60"/>
      <c r="NHU2476" s="63"/>
      <c r="NHV2476" s="61"/>
      <c r="NHW2476" s="54"/>
      <c r="NHX2476" s="54"/>
      <c r="NHY2476" s="60"/>
      <c r="NHZ2476" s="60"/>
      <c r="NIA2476" s="60"/>
      <c r="NIB2476" s="60"/>
      <c r="NIC2476" s="63"/>
      <c r="NID2476" s="61"/>
      <c r="NIE2476" s="54"/>
      <c r="NIF2476" s="54"/>
      <c r="NIG2476" s="60"/>
      <c r="NIH2476" s="60"/>
      <c r="NII2476" s="60"/>
      <c r="NIJ2476" s="60"/>
      <c r="NIK2476" s="63"/>
      <c r="NIL2476" s="61"/>
      <c r="NIM2476" s="54"/>
      <c r="NIN2476" s="54"/>
      <c r="NIO2476" s="60"/>
      <c r="NIP2476" s="60"/>
      <c r="NIQ2476" s="60"/>
      <c r="NIR2476" s="60"/>
      <c r="NIS2476" s="63"/>
      <c r="NIT2476" s="61"/>
      <c r="NIU2476" s="54"/>
      <c r="NIV2476" s="54"/>
      <c r="NIW2476" s="60"/>
      <c r="NIX2476" s="60"/>
      <c r="NIY2476" s="60"/>
      <c r="NIZ2476" s="60"/>
      <c r="NJA2476" s="63"/>
      <c r="NJB2476" s="61"/>
      <c r="NJC2476" s="54"/>
      <c r="NJD2476" s="54"/>
      <c r="NJE2476" s="60"/>
      <c r="NJF2476" s="60"/>
      <c r="NJG2476" s="60"/>
      <c r="NJH2476" s="60"/>
      <c r="NJI2476" s="63"/>
      <c r="NJJ2476" s="61"/>
      <c r="NJK2476" s="54"/>
      <c r="NJL2476" s="54"/>
      <c r="NJM2476" s="60"/>
      <c r="NJN2476" s="60"/>
      <c r="NJO2476" s="60"/>
      <c r="NJP2476" s="60"/>
      <c r="NJQ2476" s="63"/>
      <c r="NJR2476" s="61"/>
      <c r="NJS2476" s="54"/>
      <c r="NJT2476" s="54"/>
      <c r="NJU2476" s="60"/>
      <c r="NJV2476" s="60"/>
      <c r="NJW2476" s="60"/>
      <c r="NJX2476" s="60"/>
      <c r="NJY2476" s="63"/>
      <c r="NJZ2476" s="61"/>
      <c r="NKA2476" s="54"/>
      <c r="NKB2476" s="54"/>
      <c r="NKC2476" s="60"/>
      <c r="NKD2476" s="60"/>
      <c r="NKE2476" s="60"/>
      <c r="NKF2476" s="60"/>
      <c r="NKG2476" s="63"/>
      <c r="NKH2476" s="61"/>
      <c r="NKI2476" s="54"/>
      <c r="NKJ2476" s="54"/>
      <c r="NKK2476" s="60"/>
      <c r="NKL2476" s="60"/>
      <c r="NKM2476" s="60"/>
      <c r="NKN2476" s="60"/>
      <c r="NKO2476" s="63"/>
      <c r="NKP2476" s="61"/>
      <c r="NKQ2476" s="54"/>
      <c r="NKR2476" s="54"/>
      <c r="NKS2476" s="60"/>
      <c r="NKT2476" s="60"/>
      <c r="NKU2476" s="60"/>
      <c r="NKV2476" s="60"/>
      <c r="NKW2476" s="63"/>
      <c r="NKX2476" s="61"/>
      <c r="NKY2476" s="54"/>
      <c r="NKZ2476" s="54"/>
      <c r="NLA2476" s="60"/>
      <c r="NLB2476" s="60"/>
      <c r="NLC2476" s="60"/>
      <c r="NLD2476" s="60"/>
      <c r="NLE2476" s="63"/>
      <c r="NLF2476" s="61"/>
      <c r="NLG2476" s="54"/>
      <c r="NLH2476" s="54"/>
      <c r="NLI2476" s="60"/>
      <c r="NLJ2476" s="60"/>
      <c r="NLK2476" s="60"/>
      <c r="NLL2476" s="60"/>
      <c r="NLM2476" s="63"/>
      <c r="NLN2476" s="61"/>
      <c r="NLO2476" s="54"/>
      <c r="NLP2476" s="54"/>
      <c r="NLQ2476" s="60"/>
      <c r="NLR2476" s="60"/>
      <c r="NLS2476" s="60"/>
      <c r="NLT2476" s="60"/>
      <c r="NLU2476" s="63"/>
      <c r="NLV2476" s="61"/>
      <c r="NLW2476" s="54"/>
      <c r="NLX2476" s="54"/>
      <c r="NLY2476" s="60"/>
      <c r="NLZ2476" s="60"/>
      <c r="NMA2476" s="60"/>
      <c r="NMB2476" s="60"/>
      <c r="NMC2476" s="63"/>
      <c r="NMD2476" s="61"/>
      <c r="NME2476" s="54"/>
      <c r="NMF2476" s="54"/>
      <c r="NMG2476" s="60"/>
      <c r="NMH2476" s="60"/>
      <c r="NMI2476" s="60"/>
      <c r="NMJ2476" s="60"/>
      <c r="NMK2476" s="63"/>
      <c r="NML2476" s="61"/>
      <c r="NMM2476" s="54"/>
      <c r="NMN2476" s="54"/>
      <c r="NMO2476" s="60"/>
      <c r="NMP2476" s="60"/>
      <c r="NMQ2476" s="60"/>
      <c r="NMR2476" s="60"/>
      <c r="NMS2476" s="63"/>
      <c r="NMT2476" s="61"/>
      <c r="NMU2476" s="54"/>
      <c r="NMV2476" s="54"/>
      <c r="NMW2476" s="60"/>
      <c r="NMX2476" s="60"/>
      <c r="NMY2476" s="60"/>
      <c r="NMZ2476" s="60"/>
      <c r="NNA2476" s="63"/>
      <c r="NNB2476" s="61"/>
      <c r="NNC2476" s="54"/>
      <c r="NND2476" s="54"/>
      <c r="NNE2476" s="60"/>
      <c r="NNF2476" s="60"/>
      <c r="NNG2476" s="60"/>
      <c r="NNH2476" s="60"/>
      <c r="NNI2476" s="63"/>
      <c r="NNJ2476" s="61"/>
      <c r="NNK2476" s="54"/>
      <c r="NNL2476" s="54"/>
      <c r="NNM2476" s="60"/>
      <c r="NNN2476" s="60"/>
      <c r="NNO2476" s="60"/>
      <c r="NNP2476" s="60"/>
      <c r="NNQ2476" s="63"/>
      <c r="NNR2476" s="61"/>
      <c r="NNS2476" s="54"/>
      <c r="NNT2476" s="54"/>
      <c r="NNU2476" s="60"/>
      <c r="NNV2476" s="60"/>
      <c r="NNW2476" s="60"/>
      <c r="NNX2476" s="60"/>
      <c r="NNY2476" s="63"/>
      <c r="NNZ2476" s="61"/>
      <c r="NOA2476" s="54"/>
      <c r="NOB2476" s="54"/>
      <c r="NOC2476" s="60"/>
      <c r="NOD2476" s="60"/>
      <c r="NOE2476" s="60"/>
      <c r="NOF2476" s="60"/>
      <c r="NOG2476" s="63"/>
      <c r="NOH2476" s="61"/>
      <c r="NOI2476" s="54"/>
      <c r="NOJ2476" s="54"/>
      <c r="NOK2476" s="60"/>
      <c r="NOL2476" s="60"/>
      <c r="NOM2476" s="60"/>
      <c r="NON2476" s="60"/>
      <c r="NOO2476" s="63"/>
      <c r="NOP2476" s="61"/>
      <c r="NOQ2476" s="54"/>
      <c r="NOR2476" s="54"/>
      <c r="NOS2476" s="60"/>
      <c r="NOT2476" s="60"/>
      <c r="NOU2476" s="60"/>
      <c r="NOV2476" s="60"/>
      <c r="NOW2476" s="63"/>
      <c r="NOX2476" s="61"/>
      <c r="NOY2476" s="54"/>
      <c r="NOZ2476" s="54"/>
      <c r="NPA2476" s="60"/>
      <c r="NPB2476" s="60"/>
      <c r="NPC2476" s="60"/>
      <c r="NPD2476" s="60"/>
      <c r="NPE2476" s="63"/>
      <c r="NPF2476" s="61"/>
      <c r="NPG2476" s="54"/>
      <c r="NPH2476" s="54"/>
      <c r="NPI2476" s="60"/>
      <c r="NPJ2476" s="60"/>
      <c r="NPK2476" s="60"/>
      <c r="NPL2476" s="60"/>
      <c r="NPM2476" s="63"/>
      <c r="NPN2476" s="61"/>
      <c r="NPO2476" s="54"/>
      <c r="NPP2476" s="54"/>
      <c r="NPQ2476" s="60"/>
      <c r="NPR2476" s="60"/>
      <c r="NPS2476" s="60"/>
      <c r="NPT2476" s="60"/>
      <c r="NPU2476" s="63"/>
      <c r="NPV2476" s="61"/>
      <c r="NPW2476" s="54"/>
      <c r="NPX2476" s="54"/>
      <c r="NPY2476" s="60"/>
      <c r="NPZ2476" s="60"/>
      <c r="NQA2476" s="60"/>
      <c r="NQB2476" s="60"/>
      <c r="NQC2476" s="63"/>
      <c r="NQD2476" s="61"/>
      <c r="NQE2476" s="54"/>
      <c r="NQF2476" s="54"/>
      <c r="NQG2476" s="60"/>
      <c r="NQH2476" s="60"/>
      <c r="NQI2476" s="60"/>
      <c r="NQJ2476" s="60"/>
      <c r="NQK2476" s="63"/>
      <c r="NQL2476" s="61"/>
      <c r="NQM2476" s="54"/>
      <c r="NQN2476" s="54"/>
      <c r="NQO2476" s="60"/>
      <c r="NQP2476" s="60"/>
      <c r="NQQ2476" s="60"/>
      <c r="NQR2476" s="60"/>
      <c r="NQS2476" s="63"/>
      <c r="NQT2476" s="61"/>
      <c r="NQU2476" s="54"/>
      <c r="NQV2476" s="54"/>
      <c r="NQW2476" s="60"/>
      <c r="NQX2476" s="60"/>
      <c r="NQY2476" s="60"/>
      <c r="NQZ2476" s="60"/>
      <c r="NRA2476" s="63"/>
      <c r="NRB2476" s="61"/>
      <c r="NRC2476" s="54"/>
      <c r="NRD2476" s="54"/>
      <c r="NRE2476" s="60"/>
      <c r="NRF2476" s="60"/>
      <c r="NRG2476" s="60"/>
      <c r="NRH2476" s="60"/>
      <c r="NRI2476" s="63"/>
      <c r="NRJ2476" s="61"/>
      <c r="NRK2476" s="54"/>
      <c r="NRL2476" s="54"/>
      <c r="NRM2476" s="60"/>
      <c r="NRN2476" s="60"/>
      <c r="NRO2476" s="60"/>
      <c r="NRP2476" s="60"/>
      <c r="NRQ2476" s="63"/>
      <c r="NRR2476" s="61"/>
      <c r="NRS2476" s="54"/>
      <c r="NRT2476" s="54"/>
      <c r="NRU2476" s="60"/>
      <c r="NRV2476" s="60"/>
      <c r="NRW2476" s="60"/>
      <c r="NRX2476" s="60"/>
      <c r="NRY2476" s="63"/>
      <c r="NRZ2476" s="61"/>
      <c r="NSA2476" s="54"/>
      <c r="NSB2476" s="54"/>
      <c r="NSC2476" s="60"/>
      <c r="NSD2476" s="60"/>
      <c r="NSE2476" s="60"/>
      <c r="NSF2476" s="60"/>
      <c r="NSG2476" s="63"/>
      <c r="NSH2476" s="61"/>
      <c r="NSI2476" s="54"/>
      <c r="NSJ2476" s="54"/>
      <c r="NSK2476" s="60"/>
      <c r="NSL2476" s="60"/>
      <c r="NSM2476" s="60"/>
      <c r="NSN2476" s="60"/>
      <c r="NSO2476" s="63"/>
      <c r="NSP2476" s="61"/>
      <c r="NSQ2476" s="54"/>
      <c r="NSR2476" s="54"/>
      <c r="NSS2476" s="60"/>
      <c r="NST2476" s="60"/>
      <c r="NSU2476" s="60"/>
      <c r="NSV2476" s="60"/>
      <c r="NSW2476" s="63"/>
      <c r="NSX2476" s="61"/>
      <c r="NSY2476" s="54"/>
      <c r="NSZ2476" s="54"/>
      <c r="NTA2476" s="60"/>
      <c r="NTB2476" s="60"/>
      <c r="NTC2476" s="60"/>
      <c r="NTD2476" s="60"/>
      <c r="NTE2476" s="63"/>
      <c r="NTF2476" s="61"/>
      <c r="NTG2476" s="54"/>
      <c r="NTH2476" s="54"/>
      <c r="NTI2476" s="60"/>
      <c r="NTJ2476" s="60"/>
      <c r="NTK2476" s="60"/>
      <c r="NTL2476" s="60"/>
      <c r="NTM2476" s="63"/>
      <c r="NTN2476" s="61"/>
      <c r="NTO2476" s="54"/>
      <c r="NTP2476" s="54"/>
      <c r="NTQ2476" s="60"/>
      <c r="NTR2476" s="60"/>
      <c r="NTS2476" s="60"/>
      <c r="NTT2476" s="60"/>
      <c r="NTU2476" s="63"/>
      <c r="NTV2476" s="61"/>
      <c r="NTW2476" s="54"/>
      <c r="NTX2476" s="54"/>
      <c r="NTY2476" s="60"/>
      <c r="NTZ2476" s="60"/>
      <c r="NUA2476" s="60"/>
      <c r="NUB2476" s="60"/>
      <c r="NUC2476" s="63"/>
      <c r="NUD2476" s="61"/>
      <c r="NUE2476" s="54"/>
      <c r="NUF2476" s="54"/>
      <c r="NUG2476" s="60"/>
      <c r="NUH2476" s="60"/>
      <c r="NUI2476" s="60"/>
      <c r="NUJ2476" s="60"/>
      <c r="NUK2476" s="63"/>
      <c r="NUL2476" s="61"/>
      <c r="NUM2476" s="54"/>
      <c r="NUN2476" s="54"/>
      <c r="NUO2476" s="60"/>
      <c r="NUP2476" s="60"/>
      <c r="NUQ2476" s="60"/>
      <c r="NUR2476" s="60"/>
      <c r="NUS2476" s="63"/>
      <c r="NUT2476" s="61"/>
      <c r="NUU2476" s="54"/>
      <c r="NUV2476" s="54"/>
      <c r="NUW2476" s="60"/>
      <c r="NUX2476" s="60"/>
      <c r="NUY2476" s="60"/>
      <c r="NUZ2476" s="60"/>
      <c r="NVA2476" s="63"/>
      <c r="NVB2476" s="61"/>
      <c r="NVC2476" s="54"/>
      <c r="NVD2476" s="54"/>
      <c r="NVE2476" s="60"/>
      <c r="NVF2476" s="60"/>
      <c r="NVG2476" s="60"/>
      <c r="NVH2476" s="60"/>
      <c r="NVI2476" s="63"/>
      <c r="NVJ2476" s="61"/>
      <c r="NVK2476" s="54"/>
      <c r="NVL2476" s="54"/>
      <c r="NVM2476" s="60"/>
      <c r="NVN2476" s="60"/>
      <c r="NVO2476" s="60"/>
      <c r="NVP2476" s="60"/>
      <c r="NVQ2476" s="63"/>
      <c r="NVR2476" s="61"/>
      <c r="NVS2476" s="54"/>
      <c r="NVT2476" s="54"/>
      <c r="NVU2476" s="60"/>
      <c r="NVV2476" s="60"/>
      <c r="NVW2476" s="60"/>
      <c r="NVX2476" s="60"/>
      <c r="NVY2476" s="63"/>
      <c r="NVZ2476" s="61"/>
      <c r="NWA2476" s="54"/>
      <c r="NWB2476" s="54"/>
      <c r="NWC2476" s="60"/>
      <c r="NWD2476" s="60"/>
      <c r="NWE2476" s="60"/>
      <c r="NWF2476" s="60"/>
      <c r="NWG2476" s="63"/>
      <c r="NWH2476" s="61"/>
      <c r="NWI2476" s="54"/>
      <c r="NWJ2476" s="54"/>
      <c r="NWK2476" s="60"/>
      <c r="NWL2476" s="60"/>
      <c r="NWM2476" s="60"/>
      <c r="NWN2476" s="60"/>
      <c r="NWO2476" s="63"/>
      <c r="NWP2476" s="61"/>
      <c r="NWQ2476" s="54"/>
      <c r="NWR2476" s="54"/>
      <c r="NWS2476" s="60"/>
      <c r="NWT2476" s="60"/>
      <c r="NWU2476" s="60"/>
      <c r="NWV2476" s="60"/>
      <c r="NWW2476" s="63"/>
      <c r="NWX2476" s="61"/>
      <c r="NWY2476" s="54"/>
      <c r="NWZ2476" s="54"/>
      <c r="NXA2476" s="60"/>
      <c r="NXB2476" s="60"/>
      <c r="NXC2476" s="60"/>
      <c r="NXD2476" s="60"/>
      <c r="NXE2476" s="63"/>
      <c r="NXF2476" s="61"/>
      <c r="NXG2476" s="54"/>
      <c r="NXH2476" s="54"/>
      <c r="NXI2476" s="60"/>
      <c r="NXJ2476" s="60"/>
      <c r="NXK2476" s="60"/>
      <c r="NXL2476" s="60"/>
      <c r="NXM2476" s="63"/>
      <c r="NXN2476" s="61"/>
      <c r="NXO2476" s="54"/>
      <c r="NXP2476" s="54"/>
      <c r="NXQ2476" s="60"/>
      <c r="NXR2476" s="60"/>
      <c r="NXS2476" s="60"/>
      <c r="NXT2476" s="60"/>
      <c r="NXU2476" s="63"/>
      <c r="NXV2476" s="61"/>
      <c r="NXW2476" s="54"/>
      <c r="NXX2476" s="54"/>
      <c r="NXY2476" s="60"/>
      <c r="NXZ2476" s="60"/>
      <c r="NYA2476" s="60"/>
      <c r="NYB2476" s="60"/>
      <c r="NYC2476" s="63"/>
      <c r="NYD2476" s="61"/>
      <c r="NYE2476" s="54"/>
      <c r="NYF2476" s="54"/>
      <c r="NYG2476" s="60"/>
      <c r="NYH2476" s="60"/>
      <c r="NYI2476" s="60"/>
      <c r="NYJ2476" s="60"/>
      <c r="NYK2476" s="63"/>
      <c r="NYL2476" s="61"/>
      <c r="NYM2476" s="54"/>
      <c r="NYN2476" s="54"/>
      <c r="NYO2476" s="60"/>
      <c r="NYP2476" s="60"/>
      <c r="NYQ2476" s="60"/>
      <c r="NYR2476" s="60"/>
      <c r="NYS2476" s="63"/>
      <c r="NYT2476" s="61"/>
      <c r="NYU2476" s="54"/>
      <c r="NYV2476" s="54"/>
      <c r="NYW2476" s="60"/>
      <c r="NYX2476" s="60"/>
      <c r="NYY2476" s="60"/>
      <c r="NYZ2476" s="60"/>
      <c r="NZA2476" s="63"/>
      <c r="NZB2476" s="61"/>
      <c r="NZC2476" s="54"/>
      <c r="NZD2476" s="54"/>
      <c r="NZE2476" s="60"/>
      <c r="NZF2476" s="60"/>
      <c r="NZG2476" s="60"/>
      <c r="NZH2476" s="60"/>
      <c r="NZI2476" s="63"/>
      <c r="NZJ2476" s="61"/>
      <c r="NZK2476" s="54"/>
      <c r="NZL2476" s="54"/>
      <c r="NZM2476" s="60"/>
      <c r="NZN2476" s="60"/>
      <c r="NZO2476" s="60"/>
      <c r="NZP2476" s="60"/>
      <c r="NZQ2476" s="63"/>
      <c r="NZR2476" s="61"/>
      <c r="NZS2476" s="54"/>
      <c r="NZT2476" s="54"/>
      <c r="NZU2476" s="60"/>
      <c r="NZV2476" s="60"/>
      <c r="NZW2476" s="60"/>
      <c r="NZX2476" s="60"/>
      <c r="NZY2476" s="63"/>
      <c r="NZZ2476" s="61"/>
      <c r="OAA2476" s="54"/>
      <c r="OAB2476" s="54"/>
      <c r="OAC2476" s="60"/>
      <c r="OAD2476" s="60"/>
      <c r="OAE2476" s="60"/>
      <c r="OAF2476" s="60"/>
      <c r="OAG2476" s="63"/>
      <c r="OAH2476" s="61"/>
      <c r="OAI2476" s="54"/>
      <c r="OAJ2476" s="54"/>
      <c r="OAK2476" s="60"/>
      <c r="OAL2476" s="60"/>
      <c r="OAM2476" s="60"/>
      <c r="OAN2476" s="60"/>
      <c r="OAO2476" s="63"/>
      <c r="OAP2476" s="61"/>
      <c r="OAQ2476" s="54"/>
      <c r="OAR2476" s="54"/>
      <c r="OAS2476" s="60"/>
      <c r="OAT2476" s="60"/>
      <c r="OAU2476" s="60"/>
      <c r="OAV2476" s="60"/>
      <c r="OAW2476" s="63"/>
      <c r="OAX2476" s="61"/>
      <c r="OAY2476" s="54"/>
      <c r="OAZ2476" s="54"/>
      <c r="OBA2476" s="60"/>
      <c r="OBB2476" s="60"/>
      <c r="OBC2476" s="60"/>
      <c r="OBD2476" s="60"/>
      <c r="OBE2476" s="63"/>
      <c r="OBF2476" s="61"/>
      <c r="OBG2476" s="54"/>
      <c r="OBH2476" s="54"/>
      <c r="OBI2476" s="60"/>
      <c r="OBJ2476" s="60"/>
      <c r="OBK2476" s="60"/>
      <c r="OBL2476" s="60"/>
      <c r="OBM2476" s="63"/>
      <c r="OBN2476" s="61"/>
      <c r="OBO2476" s="54"/>
      <c r="OBP2476" s="54"/>
      <c r="OBQ2476" s="60"/>
      <c r="OBR2476" s="60"/>
      <c r="OBS2476" s="60"/>
      <c r="OBT2476" s="60"/>
      <c r="OBU2476" s="63"/>
      <c r="OBV2476" s="61"/>
      <c r="OBW2476" s="54"/>
      <c r="OBX2476" s="54"/>
      <c r="OBY2476" s="60"/>
      <c r="OBZ2476" s="60"/>
      <c r="OCA2476" s="60"/>
      <c r="OCB2476" s="60"/>
      <c r="OCC2476" s="63"/>
      <c r="OCD2476" s="61"/>
      <c r="OCE2476" s="54"/>
      <c r="OCF2476" s="54"/>
      <c r="OCG2476" s="60"/>
      <c r="OCH2476" s="60"/>
      <c r="OCI2476" s="60"/>
      <c r="OCJ2476" s="60"/>
      <c r="OCK2476" s="63"/>
      <c r="OCL2476" s="61"/>
      <c r="OCM2476" s="54"/>
      <c r="OCN2476" s="54"/>
      <c r="OCO2476" s="60"/>
      <c r="OCP2476" s="60"/>
      <c r="OCQ2476" s="60"/>
      <c r="OCR2476" s="60"/>
      <c r="OCS2476" s="63"/>
      <c r="OCT2476" s="61"/>
      <c r="OCU2476" s="54"/>
      <c r="OCV2476" s="54"/>
      <c r="OCW2476" s="60"/>
      <c r="OCX2476" s="60"/>
      <c r="OCY2476" s="60"/>
      <c r="OCZ2476" s="60"/>
      <c r="ODA2476" s="63"/>
      <c r="ODB2476" s="61"/>
      <c r="ODC2476" s="54"/>
      <c r="ODD2476" s="54"/>
      <c r="ODE2476" s="60"/>
      <c r="ODF2476" s="60"/>
      <c r="ODG2476" s="60"/>
      <c r="ODH2476" s="60"/>
      <c r="ODI2476" s="63"/>
      <c r="ODJ2476" s="61"/>
      <c r="ODK2476" s="54"/>
      <c r="ODL2476" s="54"/>
      <c r="ODM2476" s="60"/>
      <c r="ODN2476" s="60"/>
      <c r="ODO2476" s="60"/>
      <c r="ODP2476" s="60"/>
      <c r="ODQ2476" s="63"/>
      <c r="ODR2476" s="61"/>
      <c r="ODS2476" s="54"/>
      <c r="ODT2476" s="54"/>
      <c r="ODU2476" s="60"/>
      <c r="ODV2476" s="60"/>
      <c r="ODW2476" s="60"/>
      <c r="ODX2476" s="60"/>
      <c r="ODY2476" s="63"/>
      <c r="ODZ2476" s="61"/>
      <c r="OEA2476" s="54"/>
      <c r="OEB2476" s="54"/>
      <c r="OEC2476" s="60"/>
      <c r="OED2476" s="60"/>
      <c r="OEE2476" s="60"/>
      <c r="OEF2476" s="60"/>
      <c r="OEG2476" s="63"/>
      <c r="OEH2476" s="61"/>
      <c r="OEI2476" s="54"/>
      <c r="OEJ2476" s="54"/>
      <c r="OEK2476" s="60"/>
      <c r="OEL2476" s="60"/>
      <c r="OEM2476" s="60"/>
      <c r="OEN2476" s="60"/>
      <c r="OEO2476" s="63"/>
      <c r="OEP2476" s="61"/>
      <c r="OEQ2476" s="54"/>
      <c r="OER2476" s="54"/>
      <c r="OES2476" s="60"/>
      <c r="OET2476" s="60"/>
      <c r="OEU2476" s="60"/>
      <c r="OEV2476" s="60"/>
      <c r="OEW2476" s="63"/>
      <c r="OEX2476" s="61"/>
      <c r="OEY2476" s="54"/>
      <c r="OEZ2476" s="54"/>
      <c r="OFA2476" s="60"/>
      <c r="OFB2476" s="60"/>
      <c r="OFC2476" s="60"/>
      <c r="OFD2476" s="60"/>
      <c r="OFE2476" s="63"/>
      <c r="OFF2476" s="61"/>
      <c r="OFG2476" s="54"/>
      <c r="OFH2476" s="54"/>
      <c r="OFI2476" s="60"/>
      <c r="OFJ2476" s="60"/>
      <c r="OFK2476" s="60"/>
      <c r="OFL2476" s="60"/>
      <c r="OFM2476" s="63"/>
      <c r="OFN2476" s="61"/>
      <c r="OFO2476" s="54"/>
      <c r="OFP2476" s="54"/>
      <c r="OFQ2476" s="60"/>
      <c r="OFR2476" s="60"/>
      <c r="OFS2476" s="60"/>
      <c r="OFT2476" s="60"/>
      <c r="OFU2476" s="63"/>
      <c r="OFV2476" s="61"/>
      <c r="OFW2476" s="54"/>
      <c r="OFX2476" s="54"/>
      <c r="OFY2476" s="60"/>
      <c r="OFZ2476" s="60"/>
      <c r="OGA2476" s="60"/>
      <c r="OGB2476" s="60"/>
      <c r="OGC2476" s="63"/>
      <c r="OGD2476" s="61"/>
      <c r="OGE2476" s="54"/>
      <c r="OGF2476" s="54"/>
      <c r="OGG2476" s="60"/>
      <c r="OGH2476" s="60"/>
      <c r="OGI2476" s="60"/>
      <c r="OGJ2476" s="60"/>
      <c r="OGK2476" s="63"/>
      <c r="OGL2476" s="61"/>
      <c r="OGM2476" s="54"/>
      <c r="OGN2476" s="54"/>
      <c r="OGO2476" s="60"/>
      <c r="OGP2476" s="60"/>
      <c r="OGQ2476" s="60"/>
      <c r="OGR2476" s="60"/>
      <c r="OGS2476" s="63"/>
      <c r="OGT2476" s="61"/>
      <c r="OGU2476" s="54"/>
      <c r="OGV2476" s="54"/>
      <c r="OGW2476" s="60"/>
      <c r="OGX2476" s="60"/>
      <c r="OGY2476" s="60"/>
      <c r="OGZ2476" s="60"/>
      <c r="OHA2476" s="63"/>
      <c r="OHB2476" s="61"/>
      <c r="OHC2476" s="54"/>
      <c r="OHD2476" s="54"/>
      <c r="OHE2476" s="60"/>
      <c r="OHF2476" s="60"/>
      <c r="OHG2476" s="60"/>
      <c r="OHH2476" s="60"/>
      <c r="OHI2476" s="63"/>
      <c r="OHJ2476" s="61"/>
      <c r="OHK2476" s="54"/>
      <c r="OHL2476" s="54"/>
      <c r="OHM2476" s="60"/>
      <c r="OHN2476" s="60"/>
      <c r="OHO2476" s="60"/>
      <c r="OHP2476" s="60"/>
      <c r="OHQ2476" s="63"/>
      <c r="OHR2476" s="61"/>
      <c r="OHS2476" s="54"/>
      <c r="OHT2476" s="54"/>
      <c r="OHU2476" s="60"/>
      <c r="OHV2476" s="60"/>
      <c r="OHW2476" s="60"/>
      <c r="OHX2476" s="60"/>
      <c r="OHY2476" s="63"/>
      <c r="OHZ2476" s="61"/>
      <c r="OIA2476" s="54"/>
      <c r="OIB2476" s="54"/>
      <c r="OIC2476" s="60"/>
      <c r="OID2476" s="60"/>
      <c r="OIE2476" s="60"/>
      <c r="OIF2476" s="60"/>
      <c r="OIG2476" s="63"/>
      <c r="OIH2476" s="61"/>
      <c r="OII2476" s="54"/>
      <c r="OIJ2476" s="54"/>
      <c r="OIK2476" s="60"/>
      <c r="OIL2476" s="60"/>
      <c r="OIM2476" s="60"/>
      <c r="OIN2476" s="60"/>
      <c r="OIO2476" s="63"/>
      <c r="OIP2476" s="61"/>
      <c r="OIQ2476" s="54"/>
      <c r="OIR2476" s="54"/>
      <c r="OIS2476" s="60"/>
      <c r="OIT2476" s="60"/>
      <c r="OIU2476" s="60"/>
      <c r="OIV2476" s="60"/>
      <c r="OIW2476" s="63"/>
      <c r="OIX2476" s="61"/>
      <c r="OIY2476" s="54"/>
      <c r="OIZ2476" s="54"/>
      <c r="OJA2476" s="60"/>
      <c r="OJB2476" s="60"/>
      <c r="OJC2476" s="60"/>
      <c r="OJD2476" s="60"/>
      <c r="OJE2476" s="63"/>
      <c r="OJF2476" s="61"/>
      <c r="OJG2476" s="54"/>
      <c r="OJH2476" s="54"/>
      <c r="OJI2476" s="60"/>
      <c r="OJJ2476" s="60"/>
      <c r="OJK2476" s="60"/>
      <c r="OJL2476" s="60"/>
      <c r="OJM2476" s="63"/>
      <c r="OJN2476" s="61"/>
      <c r="OJO2476" s="54"/>
      <c r="OJP2476" s="54"/>
      <c r="OJQ2476" s="60"/>
      <c r="OJR2476" s="60"/>
      <c r="OJS2476" s="60"/>
      <c r="OJT2476" s="60"/>
      <c r="OJU2476" s="63"/>
      <c r="OJV2476" s="61"/>
      <c r="OJW2476" s="54"/>
      <c r="OJX2476" s="54"/>
      <c r="OJY2476" s="60"/>
      <c r="OJZ2476" s="60"/>
      <c r="OKA2476" s="60"/>
      <c r="OKB2476" s="60"/>
      <c r="OKC2476" s="63"/>
      <c r="OKD2476" s="61"/>
      <c r="OKE2476" s="54"/>
      <c r="OKF2476" s="54"/>
      <c r="OKG2476" s="60"/>
      <c r="OKH2476" s="60"/>
      <c r="OKI2476" s="60"/>
      <c r="OKJ2476" s="60"/>
      <c r="OKK2476" s="63"/>
      <c r="OKL2476" s="61"/>
      <c r="OKM2476" s="54"/>
      <c r="OKN2476" s="54"/>
      <c r="OKO2476" s="60"/>
      <c r="OKP2476" s="60"/>
      <c r="OKQ2476" s="60"/>
      <c r="OKR2476" s="60"/>
      <c r="OKS2476" s="63"/>
      <c r="OKT2476" s="61"/>
      <c r="OKU2476" s="54"/>
      <c r="OKV2476" s="54"/>
      <c r="OKW2476" s="60"/>
      <c r="OKX2476" s="60"/>
      <c r="OKY2476" s="60"/>
      <c r="OKZ2476" s="60"/>
      <c r="OLA2476" s="63"/>
      <c r="OLB2476" s="61"/>
      <c r="OLC2476" s="54"/>
      <c r="OLD2476" s="54"/>
      <c r="OLE2476" s="60"/>
      <c r="OLF2476" s="60"/>
      <c r="OLG2476" s="60"/>
      <c r="OLH2476" s="60"/>
      <c r="OLI2476" s="63"/>
      <c r="OLJ2476" s="61"/>
      <c r="OLK2476" s="54"/>
      <c r="OLL2476" s="54"/>
      <c r="OLM2476" s="60"/>
      <c r="OLN2476" s="60"/>
      <c r="OLO2476" s="60"/>
      <c r="OLP2476" s="60"/>
      <c r="OLQ2476" s="63"/>
      <c r="OLR2476" s="61"/>
      <c r="OLS2476" s="54"/>
      <c r="OLT2476" s="54"/>
      <c r="OLU2476" s="60"/>
      <c r="OLV2476" s="60"/>
      <c r="OLW2476" s="60"/>
      <c r="OLX2476" s="60"/>
      <c r="OLY2476" s="63"/>
      <c r="OLZ2476" s="61"/>
      <c r="OMA2476" s="54"/>
      <c r="OMB2476" s="54"/>
      <c r="OMC2476" s="60"/>
      <c r="OMD2476" s="60"/>
      <c r="OME2476" s="60"/>
      <c r="OMF2476" s="60"/>
      <c r="OMG2476" s="63"/>
      <c r="OMH2476" s="61"/>
      <c r="OMI2476" s="54"/>
      <c r="OMJ2476" s="54"/>
      <c r="OMK2476" s="60"/>
      <c r="OML2476" s="60"/>
      <c r="OMM2476" s="60"/>
      <c r="OMN2476" s="60"/>
      <c r="OMO2476" s="63"/>
      <c r="OMP2476" s="61"/>
      <c r="OMQ2476" s="54"/>
      <c r="OMR2476" s="54"/>
      <c r="OMS2476" s="60"/>
      <c r="OMT2476" s="60"/>
      <c r="OMU2476" s="60"/>
      <c r="OMV2476" s="60"/>
      <c r="OMW2476" s="63"/>
      <c r="OMX2476" s="61"/>
      <c r="OMY2476" s="54"/>
      <c r="OMZ2476" s="54"/>
      <c r="ONA2476" s="60"/>
      <c r="ONB2476" s="60"/>
      <c r="ONC2476" s="60"/>
      <c r="OND2476" s="60"/>
      <c r="ONE2476" s="63"/>
      <c r="ONF2476" s="61"/>
      <c r="ONG2476" s="54"/>
      <c r="ONH2476" s="54"/>
      <c r="ONI2476" s="60"/>
      <c r="ONJ2476" s="60"/>
      <c r="ONK2476" s="60"/>
      <c r="ONL2476" s="60"/>
      <c r="ONM2476" s="63"/>
      <c r="ONN2476" s="61"/>
      <c r="ONO2476" s="54"/>
      <c r="ONP2476" s="54"/>
      <c r="ONQ2476" s="60"/>
      <c r="ONR2476" s="60"/>
      <c r="ONS2476" s="60"/>
      <c r="ONT2476" s="60"/>
      <c r="ONU2476" s="63"/>
      <c r="ONV2476" s="61"/>
      <c r="ONW2476" s="54"/>
      <c r="ONX2476" s="54"/>
      <c r="ONY2476" s="60"/>
      <c r="ONZ2476" s="60"/>
      <c r="OOA2476" s="60"/>
      <c r="OOB2476" s="60"/>
      <c r="OOC2476" s="63"/>
      <c r="OOD2476" s="61"/>
      <c r="OOE2476" s="54"/>
      <c r="OOF2476" s="54"/>
      <c r="OOG2476" s="60"/>
      <c r="OOH2476" s="60"/>
      <c r="OOI2476" s="60"/>
      <c r="OOJ2476" s="60"/>
      <c r="OOK2476" s="63"/>
      <c r="OOL2476" s="61"/>
      <c r="OOM2476" s="54"/>
      <c r="OON2476" s="54"/>
      <c r="OOO2476" s="60"/>
      <c r="OOP2476" s="60"/>
      <c r="OOQ2476" s="60"/>
      <c r="OOR2476" s="60"/>
      <c r="OOS2476" s="63"/>
      <c r="OOT2476" s="61"/>
      <c r="OOU2476" s="54"/>
      <c r="OOV2476" s="54"/>
      <c r="OOW2476" s="60"/>
      <c r="OOX2476" s="60"/>
      <c r="OOY2476" s="60"/>
      <c r="OOZ2476" s="60"/>
      <c r="OPA2476" s="63"/>
      <c r="OPB2476" s="61"/>
      <c r="OPC2476" s="54"/>
      <c r="OPD2476" s="54"/>
      <c r="OPE2476" s="60"/>
      <c r="OPF2476" s="60"/>
      <c r="OPG2476" s="60"/>
      <c r="OPH2476" s="60"/>
      <c r="OPI2476" s="63"/>
      <c r="OPJ2476" s="61"/>
      <c r="OPK2476" s="54"/>
      <c r="OPL2476" s="54"/>
      <c r="OPM2476" s="60"/>
      <c r="OPN2476" s="60"/>
      <c r="OPO2476" s="60"/>
      <c r="OPP2476" s="60"/>
      <c r="OPQ2476" s="63"/>
      <c r="OPR2476" s="61"/>
      <c r="OPS2476" s="54"/>
      <c r="OPT2476" s="54"/>
      <c r="OPU2476" s="60"/>
      <c r="OPV2476" s="60"/>
      <c r="OPW2476" s="60"/>
      <c r="OPX2476" s="60"/>
      <c r="OPY2476" s="63"/>
      <c r="OPZ2476" s="61"/>
      <c r="OQA2476" s="54"/>
      <c r="OQB2476" s="54"/>
      <c r="OQC2476" s="60"/>
      <c r="OQD2476" s="60"/>
      <c r="OQE2476" s="60"/>
      <c r="OQF2476" s="60"/>
      <c r="OQG2476" s="63"/>
      <c r="OQH2476" s="61"/>
      <c r="OQI2476" s="54"/>
      <c r="OQJ2476" s="54"/>
      <c r="OQK2476" s="60"/>
      <c r="OQL2476" s="60"/>
      <c r="OQM2476" s="60"/>
      <c r="OQN2476" s="60"/>
      <c r="OQO2476" s="63"/>
      <c r="OQP2476" s="61"/>
      <c r="OQQ2476" s="54"/>
      <c r="OQR2476" s="54"/>
      <c r="OQS2476" s="60"/>
      <c r="OQT2476" s="60"/>
      <c r="OQU2476" s="60"/>
      <c r="OQV2476" s="60"/>
      <c r="OQW2476" s="63"/>
      <c r="OQX2476" s="61"/>
      <c r="OQY2476" s="54"/>
      <c r="OQZ2476" s="54"/>
      <c r="ORA2476" s="60"/>
      <c r="ORB2476" s="60"/>
      <c r="ORC2476" s="60"/>
      <c r="ORD2476" s="60"/>
      <c r="ORE2476" s="63"/>
      <c r="ORF2476" s="61"/>
      <c r="ORG2476" s="54"/>
      <c r="ORH2476" s="54"/>
      <c r="ORI2476" s="60"/>
      <c r="ORJ2476" s="60"/>
      <c r="ORK2476" s="60"/>
      <c r="ORL2476" s="60"/>
      <c r="ORM2476" s="63"/>
      <c r="ORN2476" s="61"/>
      <c r="ORO2476" s="54"/>
      <c r="ORP2476" s="54"/>
      <c r="ORQ2476" s="60"/>
      <c r="ORR2476" s="60"/>
      <c r="ORS2476" s="60"/>
      <c r="ORT2476" s="60"/>
      <c r="ORU2476" s="63"/>
      <c r="ORV2476" s="61"/>
      <c r="ORW2476" s="54"/>
      <c r="ORX2476" s="54"/>
      <c r="ORY2476" s="60"/>
      <c r="ORZ2476" s="60"/>
      <c r="OSA2476" s="60"/>
      <c r="OSB2476" s="60"/>
      <c r="OSC2476" s="63"/>
      <c r="OSD2476" s="61"/>
      <c r="OSE2476" s="54"/>
      <c r="OSF2476" s="54"/>
      <c r="OSG2476" s="60"/>
      <c r="OSH2476" s="60"/>
      <c r="OSI2476" s="60"/>
      <c r="OSJ2476" s="60"/>
      <c r="OSK2476" s="63"/>
      <c r="OSL2476" s="61"/>
      <c r="OSM2476" s="54"/>
      <c r="OSN2476" s="54"/>
      <c r="OSO2476" s="60"/>
      <c r="OSP2476" s="60"/>
      <c r="OSQ2476" s="60"/>
      <c r="OSR2476" s="60"/>
      <c r="OSS2476" s="63"/>
      <c r="OST2476" s="61"/>
      <c r="OSU2476" s="54"/>
      <c r="OSV2476" s="54"/>
      <c r="OSW2476" s="60"/>
      <c r="OSX2476" s="60"/>
      <c r="OSY2476" s="60"/>
      <c r="OSZ2476" s="60"/>
      <c r="OTA2476" s="63"/>
      <c r="OTB2476" s="61"/>
      <c r="OTC2476" s="54"/>
      <c r="OTD2476" s="54"/>
      <c r="OTE2476" s="60"/>
      <c r="OTF2476" s="60"/>
      <c r="OTG2476" s="60"/>
      <c r="OTH2476" s="60"/>
      <c r="OTI2476" s="63"/>
      <c r="OTJ2476" s="61"/>
      <c r="OTK2476" s="54"/>
      <c r="OTL2476" s="54"/>
      <c r="OTM2476" s="60"/>
      <c r="OTN2476" s="60"/>
      <c r="OTO2476" s="60"/>
      <c r="OTP2476" s="60"/>
      <c r="OTQ2476" s="63"/>
      <c r="OTR2476" s="61"/>
      <c r="OTS2476" s="54"/>
      <c r="OTT2476" s="54"/>
      <c r="OTU2476" s="60"/>
      <c r="OTV2476" s="60"/>
      <c r="OTW2476" s="60"/>
      <c r="OTX2476" s="60"/>
      <c r="OTY2476" s="63"/>
      <c r="OTZ2476" s="61"/>
      <c r="OUA2476" s="54"/>
      <c r="OUB2476" s="54"/>
      <c r="OUC2476" s="60"/>
      <c r="OUD2476" s="60"/>
      <c r="OUE2476" s="60"/>
      <c r="OUF2476" s="60"/>
      <c r="OUG2476" s="63"/>
      <c r="OUH2476" s="61"/>
      <c r="OUI2476" s="54"/>
      <c r="OUJ2476" s="54"/>
      <c r="OUK2476" s="60"/>
      <c r="OUL2476" s="60"/>
      <c r="OUM2476" s="60"/>
      <c r="OUN2476" s="60"/>
      <c r="OUO2476" s="63"/>
      <c r="OUP2476" s="61"/>
      <c r="OUQ2476" s="54"/>
      <c r="OUR2476" s="54"/>
      <c r="OUS2476" s="60"/>
      <c r="OUT2476" s="60"/>
      <c r="OUU2476" s="60"/>
      <c r="OUV2476" s="60"/>
      <c r="OUW2476" s="63"/>
      <c r="OUX2476" s="61"/>
      <c r="OUY2476" s="54"/>
      <c r="OUZ2476" s="54"/>
      <c r="OVA2476" s="60"/>
      <c r="OVB2476" s="60"/>
      <c r="OVC2476" s="60"/>
      <c r="OVD2476" s="60"/>
      <c r="OVE2476" s="63"/>
      <c r="OVF2476" s="61"/>
      <c r="OVG2476" s="54"/>
      <c r="OVH2476" s="54"/>
      <c r="OVI2476" s="60"/>
      <c r="OVJ2476" s="60"/>
      <c r="OVK2476" s="60"/>
      <c r="OVL2476" s="60"/>
      <c r="OVM2476" s="63"/>
      <c r="OVN2476" s="61"/>
      <c r="OVO2476" s="54"/>
      <c r="OVP2476" s="54"/>
      <c r="OVQ2476" s="60"/>
      <c r="OVR2476" s="60"/>
      <c r="OVS2476" s="60"/>
      <c r="OVT2476" s="60"/>
      <c r="OVU2476" s="63"/>
      <c r="OVV2476" s="61"/>
      <c r="OVW2476" s="54"/>
      <c r="OVX2476" s="54"/>
      <c r="OVY2476" s="60"/>
      <c r="OVZ2476" s="60"/>
      <c r="OWA2476" s="60"/>
      <c r="OWB2476" s="60"/>
      <c r="OWC2476" s="63"/>
      <c r="OWD2476" s="61"/>
      <c r="OWE2476" s="54"/>
      <c r="OWF2476" s="54"/>
      <c r="OWG2476" s="60"/>
      <c r="OWH2476" s="60"/>
      <c r="OWI2476" s="60"/>
      <c r="OWJ2476" s="60"/>
      <c r="OWK2476" s="63"/>
      <c r="OWL2476" s="61"/>
      <c r="OWM2476" s="54"/>
      <c r="OWN2476" s="54"/>
      <c r="OWO2476" s="60"/>
      <c r="OWP2476" s="60"/>
      <c r="OWQ2476" s="60"/>
      <c r="OWR2476" s="60"/>
      <c r="OWS2476" s="63"/>
      <c r="OWT2476" s="61"/>
      <c r="OWU2476" s="54"/>
      <c r="OWV2476" s="54"/>
      <c r="OWW2476" s="60"/>
      <c r="OWX2476" s="60"/>
      <c r="OWY2476" s="60"/>
      <c r="OWZ2476" s="60"/>
      <c r="OXA2476" s="63"/>
      <c r="OXB2476" s="61"/>
      <c r="OXC2476" s="54"/>
      <c r="OXD2476" s="54"/>
      <c r="OXE2476" s="60"/>
      <c r="OXF2476" s="60"/>
      <c r="OXG2476" s="60"/>
      <c r="OXH2476" s="60"/>
      <c r="OXI2476" s="63"/>
      <c r="OXJ2476" s="61"/>
      <c r="OXK2476" s="54"/>
      <c r="OXL2476" s="54"/>
      <c r="OXM2476" s="60"/>
      <c r="OXN2476" s="60"/>
      <c r="OXO2476" s="60"/>
      <c r="OXP2476" s="60"/>
      <c r="OXQ2476" s="63"/>
      <c r="OXR2476" s="61"/>
      <c r="OXS2476" s="54"/>
      <c r="OXT2476" s="54"/>
      <c r="OXU2476" s="60"/>
      <c r="OXV2476" s="60"/>
      <c r="OXW2476" s="60"/>
      <c r="OXX2476" s="60"/>
      <c r="OXY2476" s="63"/>
      <c r="OXZ2476" s="61"/>
      <c r="OYA2476" s="54"/>
      <c r="OYB2476" s="54"/>
      <c r="OYC2476" s="60"/>
      <c r="OYD2476" s="60"/>
      <c r="OYE2476" s="60"/>
      <c r="OYF2476" s="60"/>
      <c r="OYG2476" s="63"/>
      <c r="OYH2476" s="61"/>
      <c r="OYI2476" s="54"/>
      <c r="OYJ2476" s="54"/>
      <c r="OYK2476" s="60"/>
      <c r="OYL2476" s="60"/>
      <c r="OYM2476" s="60"/>
      <c r="OYN2476" s="60"/>
      <c r="OYO2476" s="63"/>
      <c r="OYP2476" s="61"/>
      <c r="OYQ2476" s="54"/>
      <c r="OYR2476" s="54"/>
      <c r="OYS2476" s="60"/>
      <c r="OYT2476" s="60"/>
      <c r="OYU2476" s="60"/>
      <c r="OYV2476" s="60"/>
      <c r="OYW2476" s="63"/>
      <c r="OYX2476" s="61"/>
      <c r="OYY2476" s="54"/>
      <c r="OYZ2476" s="54"/>
      <c r="OZA2476" s="60"/>
      <c r="OZB2476" s="60"/>
      <c r="OZC2476" s="60"/>
      <c r="OZD2476" s="60"/>
      <c r="OZE2476" s="63"/>
      <c r="OZF2476" s="61"/>
      <c r="OZG2476" s="54"/>
      <c r="OZH2476" s="54"/>
      <c r="OZI2476" s="60"/>
      <c r="OZJ2476" s="60"/>
      <c r="OZK2476" s="60"/>
      <c r="OZL2476" s="60"/>
      <c r="OZM2476" s="63"/>
      <c r="OZN2476" s="61"/>
      <c r="OZO2476" s="54"/>
      <c r="OZP2476" s="54"/>
      <c r="OZQ2476" s="60"/>
      <c r="OZR2476" s="60"/>
      <c r="OZS2476" s="60"/>
      <c r="OZT2476" s="60"/>
      <c r="OZU2476" s="63"/>
      <c r="OZV2476" s="61"/>
      <c r="OZW2476" s="54"/>
      <c r="OZX2476" s="54"/>
      <c r="OZY2476" s="60"/>
      <c r="OZZ2476" s="60"/>
      <c r="PAA2476" s="60"/>
      <c r="PAB2476" s="60"/>
      <c r="PAC2476" s="63"/>
      <c r="PAD2476" s="61"/>
      <c r="PAE2476" s="54"/>
      <c r="PAF2476" s="54"/>
      <c r="PAG2476" s="60"/>
      <c r="PAH2476" s="60"/>
      <c r="PAI2476" s="60"/>
      <c r="PAJ2476" s="60"/>
      <c r="PAK2476" s="63"/>
      <c r="PAL2476" s="61"/>
      <c r="PAM2476" s="54"/>
      <c r="PAN2476" s="54"/>
      <c r="PAO2476" s="60"/>
      <c r="PAP2476" s="60"/>
      <c r="PAQ2476" s="60"/>
      <c r="PAR2476" s="60"/>
      <c r="PAS2476" s="63"/>
      <c r="PAT2476" s="61"/>
      <c r="PAU2476" s="54"/>
      <c r="PAV2476" s="54"/>
      <c r="PAW2476" s="60"/>
      <c r="PAX2476" s="60"/>
      <c r="PAY2476" s="60"/>
      <c r="PAZ2476" s="60"/>
      <c r="PBA2476" s="63"/>
      <c r="PBB2476" s="61"/>
      <c r="PBC2476" s="54"/>
      <c r="PBD2476" s="54"/>
      <c r="PBE2476" s="60"/>
      <c r="PBF2476" s="60"/>
      <c r="PBG2476" s="60"/>
      <c r="PBH2476" s="60"/>
      <c r="PBI2476" s="63"/>
      <c r="PBJ2476" s="61"/>
      <c r="PBK2476" s="54"/>
      <c r="PBL2476" s="54"/>
      <c r="PBM2476" s="60"/>
      <c r="PBN2476" s="60"/>
      <c r="PBO2476" s="60"/>
      <c r="PBP2476" s="60"/>
      <c r="PBQ2476" s="63"/>
      <c r="PBR2476" s="61"/>
      <c r="PBS2476" s="54"/>
      <c r="PBT2476" s="54"/>
      <c r="PBU2476" s="60"/>
      <c r="PBV2476" s="60"/>
      <c r="PBW2476" s="60"/>
      <c r="PBX2476" s="60"/>
      <c r="PBY2476" s="63"/>
      <c r="PBZ2476" s="61"/>
      <c r="PCA2476" s="54"/>
      <c r="PCB2476" s="54"/>
      <c r="PCC2476" s="60"/>
      <c r="PCD2476" s="60"/>
      <c r="PCE2476" s="60"/>
      <c r="PCF2476" s="60"/>
      <c r="PCG2476" s="63"/>
      <c r="PCH2476" s="61"/>
      <c r="PCI2476" s="54"/>
      <c r="PCJ2476" s="54"/>
      <c r="PCK2476" s="60"/>
      <c r="PCL2476" s="60"/>
      <c r="PCM2476" s="60"/>
      <c r="PCN2476" s="60"/>
      <c r="PCO2476" s="63"/>
      <c r="PCP2476" s="61"/>
      <c r="PCQ2476" s="54"/>
      <c r="PCR2476" s="54"/>
      <c r="PCS2476" s="60"/>
      <c r="PCT2476" s="60"/>
      <c r="PCU2476" s="60"/>
      <c r="PCV2476" s="60"/>
      <c r="PCW2476" s="63"/>
      <c r="PCX2476" s="61"/>
      <c r="PCY2476" s="54"/>
      <c r="PCZ2476" s="54"/>
      <c r="PDA2476" s="60"/>
      <c r="PDB2476" s="60"/>
      <c r="PDC2476" s="60"/>
      <c r="PDD2476" s="60"/>
      <c r="PDE2476" s="63"/>
      <c r="PDF2476" s="61"/>
      <c r="PDG2476" s="54"/>
      <c r="PDH2476" s="54"/>
      <c r="PDI2476" s="60"/>
      <c r="PDJ2476" s="60"/>
      <c r="PDK2476" s="60"/>
      <c r="PDL2476" s="60"/>
      <c r="PDM2476" s="63"/>
      <c r="PDN2476" s="61"/>
      <c r="PDO2476" s="54"/>
      <c r="PDP2476" s="54"/>
      <c r="PDQ2476" s="60"/>
      <c r="PDR2476" s="60"/>
      <c r="PDS2476" s="60"/>
      <c r="PDT2476" s="60"/>
      <c r="PDU2476" s="63"/>
      <c r="PDV2476" s="61"/>
      <c r="PDW2476" s="54"/>
      <c r="PDX2476" s="54"/>
      <c r="PDY2476" s="60"/>
      <c r="PDZ2476" s="60"/>
      <c r="PEA2476" s="60"/>
      <c r="PEB2476" s="60"/>
      <c r="PEC2476" s="63"/>
      <c r="PED2476" s="61"/>
      <c r="PEE2476" s="54"/>
      <c r="PEF2476" s="54"/>
      <c r="PEG2476" s="60"/>
      <c r="PEH2476" s="60"/>
      <c r="PEI2476" s="60"/>
      <c r="PEJ2476" s="60"/>
      <c r="PEK2476" s="63"/>
      <c r="PEL2476" s="61"/>
      <c r="PEM2476" s="54"/>
      <c r="PEN2476" s="54"/>
      <c r="PEO2476" s="60"/>
      <c r="PEP2476" s="60"/>
      <c r="PEQ2476" s="60"/>
      <c r="PER2476" s="60"/>
      <c r="PES2476" s="63"/>
      <c r="PET2476" s="61"/>
      <c r="PEU2476" s="54"/>
      <c r="PEV2476" s="54"/>
      <c r="PEW2476" s="60"/>
      <c r="PEX2476" s="60"/>
      <c r="PEY2476" s="60"/>
      <c r="PEZ2476" s="60"/>
      <c r="PFA2476" s="63"/>
      <c r="PFB2476" s="61"/>
      <c r="PFC2476" s="54"/>
      <c r="PFD2476" s="54"/>
      <c r="PFE2476" s="60"/>
      <c r="PFF2476" s="60"/>
      <c r="PFG2476" s="60"/>
      <c r="PFH2476" s="60"/>
      <c r="PFI2476" s="63"/>
      <c r="PFJ2476" s="61"/>
      <c r="PFK2476" s="54"/>
      <c r="PFL2476" s="54"/>
      <c r="PFM2476" s="60"/>
      <c r="PFN2476" s="60"/>
      <c r="PFO2476" s="60"/>
      <c r="PFP2476" s="60"/>
      <c r="PFQ2476" s="63"/>
      <c r="PFR2476" s="61"/>
      <c r="PFS2476" s="54"/>
      <c r="PFT2476" s="54"/>
      <c r="PFU2476" s="60"/>
      <c r="PFV2476" s="60"/>
      <c r="PFW2476" s="60"/>
      <c r="PFX2476" s="60"/>
      <c r="PFY2476" s="63"/>
      <c r="PFZ2476" s="61"/>
      <c r="PGA2476" s="54"/>
      <c r="PGB2476" s="54"/>
      <c r="PGC2476" s="60"/>
      <c r="PGD2476" s="60"/>
      <c r="PGE2476" s="60"/>
      <c r="PGF2476" s="60"/>
      <c r="PGG2476" s="63"/>
      <c r="PGH2476" s="61"/>
      <c r="PGI2476" s="54"/>
      <c r="PGJ2476" s="54"/>
      <c r="PGK2476" s="60"/>
      <c r="PGL2476" s="60"/>
      <c r="PGM2476" s="60"/>
      <c r="PGN2476" s="60"/>
      <c r="PGO2476" s="63"/>
      <c r="PGP2476" s="61"/>
      <c r="PGQ2476" s="54"/>
      <c r="PGR2476" s="54"/>
      <c r="PGS2476" s="60"/>
      <c r="PGT2476" s="60"/>
      <c r="PGU2476" s="60"/>
      <c r="PGV2476" s="60"/>
      <c r="PGW2476" s="63"/>
      <c r="PGX2476" s="61"/>
      <c r="PGY2476" s="54"/>
      <c r="PGZ2476" s="54"/>
      <c r="PHA2476" s="60"/>
      <c r="PHB2476" s="60"/>
      <c r="PHC2476" s="60"/>
      <c r="PHD2476" s="60"/>
      <c r="PHE2476" s="63"/>
      <c r="PHF2476" s="61"/>
      <c r="PHG2476" s="54"/>
      <c r="PHH2476" s="54"/>
      <c r="PHI2476" s="60"/>
      <c r="PHJ2476" s="60"/>
      <c r="PHK2476" s="60"/>
      <c r="PHL2476" s="60"/>
      <c r="PHM2476" s="63"/>
      <c r="PHN2476" s="61"/>
      <c r="PHO2476" s="54"/>
      <c r="PHP2476" s="54"/>
      <c r="PHQ2476" s="60"/>
      <c r="PHR2476" s="60"/>
      <c r="PHS2476" s="60"/>
      <c r="PHT2476" s="60"/>
      <c r="PHU2476" s="63"/>
      <c r="PHV2476" s="61"/>
      <c r="PHW2476" s="54"/>
      <c r="PHX2476" s="54"/>
      <c r="PHY2476" s="60"/>
      <c r="PHZ2476" s="60"/>
      <c r="PIA2476" s="60"/>
      <c r="PIB2476" s="60"/>
      <c r="PIC2476" s="63"/>
      <c r="PID2476" s="61"/>
      <c r="PIE2476" s="54"/>
      <c r="PIF2476" s="54"/>
      <c r="PIG2476" s="60"/>
      <c r="PIH2476" s="60"/>
      <c r="PII2476" s="60"/>
      <c r="PIJ2476" s="60"/>
      <c r="PIK2476" s="63"/>
      <c r="PIL2476" s="61"/>
      <c r="PIM2476" s="54"/>
      <c r="PIN2476" s="54"/>
      <c r="PIO2476" s="60"/>
      <c r="PIP2476" s="60"/>
      <c r="PIQ2476" s="60"/>
      <c r="PIR2476" s="60"/>
      <c r="PIS2476" s="63"/>
      <c r="PIT2476" s="61"/>
      <c r="PIU2476" s="54"/>
      <c r="PIV2476" s="54"/>
      <c r="PIW2476" s="60"/>
      <c r="PIX2476" s="60"/>
      <c r="PIY2476" s="60"/>
      <c r="PIZ2476" s="60"/>
      <c r="PJA2476" s="63"/>
      <c r="PJB2476" s="61"/>
      <c r="PJC2476" s="54"/>
      <c r="PJD2476" s="54"/>
      <c r="PJE2476" s="60"/>
      <c r="PJF2476" s="60"/>
      <c r="PJG2476" s="60"/>
      <c r="PJH2476" s="60"/>
      <c r="PJI2476" s="63"/>
      <c r="PJJ2476" s="61"/>
      <c r="PJK2476" s="54"/>
      <c r="PJL2476" s="54"/>
      <c r="PJM2476" s="60"/>
      <c r="PJN2476" s="60"/>
      <c r="PJO2476" s="60"/>
      <c r="PJP2476" s="60"/>
      <c r="PJQ2476" s="63"/>
      <c r="PJR2476" s="61"/>
      <c r="PJS2476" s="54"/>
      <c r="PJT2476" s="54"/>
      <c r="PJU2476" s="60"/>
      <c r="PJV2476" s="60"/>
      <c r="PJW2476" s="60"/>
      <c r="PJX2476" s="60"/>
      <c r="PJY2476" s="63"/>
      <c r="PJZ2476" s="61"/>
      <c r="PKA2476" s="54"/>
      <c r="PKB2476" s="54"/>
      <c r="PKC2476" s="60"/>
      <c r="PKD2476" s="60"/>
      <c r="PKE2476" s="60"/>
      <c r="PKF2476" s="60"/>
      <c r="PKG2476" s="63"/>
      <c r="PKH2476" s="61"/>
      <c r="PKI2476" s="54"/>
      <c r="PKJ2476" s="54"/>
      <c r="PKK2476" s="60"/>
      <c r="PKL2476" s="60"/>
      <c r="PKM2476" s="60"/>
      <c r="PKN2476" s="60"/>
      <c r="PKO2476" s="63"/>
      <c r="PKP2476" s="61"/>
      <c r="PKQ2476" s="54"/>
      <c r="PKR2476" s="54"/>
      <c r="PKS2476" s="60"/>
      <c r="PKT2476" s="60"/>
      <c r="PKU2476" s="60"/>
      <c r="PKV2476" s="60"/>
      <c r="PKW2476" s="63"/>
      <c r="PKX2476" s="61"/>
      <c r="PKY2476" s="54"/>
      <c r="PKZ2476" s="54"/>
      <c r="PLA2476" s="60"/>
      <c r="PLB2476" s="60"/>
      <c r="PLC2476" s="60"/>
      <c r="PLD2476" s="60"/>
      <c r="PLE2476" s="63"/>
      <c r="PLF2476" s="61"/>
      <c r="PLG2476" s="54"/>
      <c r="PLH2476" s="54"/>
      <c r="PLI2476" s="60"/>
      <c r="PLJ2476" s="60"/>
      <c r="PLK2476" s="60"/>
      <c r="PLL2476" s="60"/>
      <c r="PLM2476" s="63"/>
      <c r="PLN2476" s="61"/>
      <c r="PLO2476" s="54"/>
      <c r="PLP2476" s="54"/>
      <c r="PLQ2476" s="60"/>
      <c r="PLR2476" s="60"/>
      <c r="PLS2476" s="60"/>
      <c r="PLT2476" s="60"/>
      <c r="PLU2476" s="63"/>
      <c r="PLV2476" s="61"/>
      <c r="PLW2476" s="54"/>
      <c r="PLX2476" s="54"/>
      <c r="PLY2476" s="60"/>
      <c r="PLZ2476" s="60"/>
      <c r="PMA2476" s="60"/>
      <c r="PMB2476" s="60"/>
      <c r="PMC2476" s="63"/>
      <c r="PMD2476" s="61"/>
      <c r="PME2476" s="54"/>
      <c r="PMF2476" s="54"/>
      <c r="PMG2476" s="60"/>
      <c r="PMH2476" s="60"/>
      <c r="PMI2476" s="60"/>
      <c r="PMJ2476" s="60"/>
      <c r="PMK2476" s="63"/>
      <c r="PML2476" s="61"/>
      <c r="PMM2476" s="54"/>
      <c r="PMN2476" s="54"/>
      <c r="PMO2476" s="60"/>
      <c r="PMP2476" s="60"/>
      <c r="PMQ2476" s="60"/>
      <c r="PMR2476" s="60"/>
      <c r="PMS2476" s="63"/>
      <c r="PMT2476" s="61"/>
      <c r="PMU2476" s="54"/>
      <c r="PMV2476" s="54"/>
      <c r="PMW2476" s="60"/>
      <c r="PMX2476" s="60"/>
      <c r="PMY2476" s="60"/>
      <c r="PMZ2476" s="60"/>
      <c r="PNA2476" s="63"/>
      <c r="PNB2476" s="61"/>
      <c r="PNC2476" s="54"/>
      <c r="PND2476" s="54"/>
      <c r="PNE2476" s="60"/>
      <c r="PNF2476" s="60"/>
      <c r="PNG2476" s="60"/>
      <c r="PNH2476" s="60"/>
      <c r="PNI2476" s="63"/>
      <c r="PNJ2476" s="61"/>
      <c r="PNK2476" s="54"/>
      <c r="PNL2476" s="54"/>
      <c r="PNM2476" s="60"/>
      <c r="PNN2476" s="60"/>
      <c r="PNO2476" s="60"/>
      <c r="PNP2476" s="60"/>
      <c r="PNQ2476" s="63"/>
      <c r="PNR2476" s="61"/>
      <c r="PNS2476" s="54"/>
      <c r="PNT2476" s="54"/>
      <c r="PNU2476" s="60"/>
      <c r="PNV2476" s="60"/>
      <c r="PNW2476" s="60"/>
      <c r="PNX2476" s="60"/>
      <c r="PNY2476" s="63"/>
      <c r="PNZ2476" s="61"/>
      <c r="POA2476" s="54"/>
      <c r="POB2476" s="54"/>
      <c r="POC2476" s="60"/>
      <c r="POD2476" s="60"/>
      <c r="POE2476" s="60"/>
      <c r="POF2476" s="60"/>
      <c r="POG2476" s="63"/>
      <c r="POH2476" s="61"/>
      <c r="POI2476" s="54"/>
      <c r="POJ2476" s="54"/>
      <c r="POK2476" s="60"/>
      <c r="POL2476" s="60"/>
      <c r="POM2476" s="60"/>
      <c r="PON2476" s="60"/>
      <c r="POO2476" s="63"/>
      <c r="POP2476" s="61"/>
      <c r="POQ2476" s="54"/>
      <c r="POR2476" s="54"/>
      <c r="POS2476" s="60"/>
      <c r="POT2476" s="60"/>
      <c r="POU2476" s="60"/>
      <c r="POV2476" s="60"/>
      <c r="POW2476" s="63"/>
      <c r="POX2476" s="61"/>
      <c r="POY2476" s="54"/>
      <c r="POZ2476" s="54"/>
      <c r="PPA2476" s="60"/>
      <c r="PPB2476" s="60"/>
      <c r="PPC2476" s="60"/>
      <c r="PPD2476" s="60"/>
      <c r="PPE2476" s="63"/>
      <c r="PPF2476" s="61"/>
      <c r="PPG2476" s="54"/>
      <c r="PPH2476" s="54"/>
      <c r="PPI2476" s="60"/>
      <c r="PPJ2476" s="60"/>
      <c r="PPK2476" s="60"/>
      <c r="PPL2476" s="60"/>
      <c r="PPM2476" s="63"/>
      <c r="PPN2476" s="61"/>
      <c r="PPO2476" s="54"/>
      <c r="PPP2476" s="54"/>
      <c r="PPQ2476" s="60"/>
      <c r="PPR2476" s="60"/>
      <c r="PPS2476" s="60"/>
      <c r="PPT2476" s="60"/>
      <c r="PPU2476" s="63"/>
      <c r="PPV2476" s="61"/>
      <c r="PPW2476" s="54"/>
      <c r="PPX2476" s="54"/>
      <c r="PPY2476" s="60"/>
      <c r="PPZ2476" s="60"/>
      <c r="PQA2476" s="60"/>
      <c r="PQB2476" s="60"/>
      <c r="PQC2476" s="63"/>
      <c r="PQD2476" s="61"/>
      <c r="PQE2476" s="54"/>
      <c r="PQF2476" s="54"/>
      <c r="PQG2476" s="60"/>
      <c r="PQH2476" s="60"/>
      <c r="PQI2476" s="60"/>
      <c r="PQJ2476" s="60"/>
      <c r="PQK2476" s="63"/>
      <c r="PQL2476" s="61"/>
      <c r="PQM2476" s="54"/>
      <c r="PQN2476" s="54"/>
      <c r="PQO2476" s="60"/>
      <c r="PQP2476" s="60"/>
      <c r="PQQ2476" s="60"/>
      <c r="PQR2476" s="60"/>
      <c r="PQS2476" s="63"/>
      <c r="PQT2476" s="61"/>
      <c r="PQU2476" s="54"/>
      <c r="PQV2476" s="54"/>
      <c r="PQW2476" s="60"/>
      <c r="PQX2476" s="60"/>
      <c r="PQY2476" s="60"/>
      <c r="PQZ2476" s="60"/>
      <c r="PRA2476" s="63"/>
      <c r="PRB2476" s="61"/>
      <c r="PRC2476" s="54"/>
      <c r="PRD2476" s="54"/>
      <c r="PRE2476" s="60"/>
      <c r="PRF2476" s="60"/>
      <c r="PRG2476" s="60"/>
      <c r="PRH2476" s="60"/>
      <c r="PRI2476" s="63"/>
      <c r="PRJ2476" s="61"/>
      <c r="PRK2476" s="54"/>
      <c r="PRL2476" s="54"/>
      <c r="PRM2476" s="60"/>
      <c r="PRN2476" s="60"/>
      <c r="PRO2476" s="60"/>
      <c r="PRP2476" s="60"/>
      <c r="PRQ2476" s="63"/>
      <c r="PRR2476" s="61"/>
      <c r="PRS2476" s="54"/>
      <c r="PRT2476" s="54"/>
      <c r="PRU2476" s="60"/>
      <c r="PRV2476" s="60"/>
      <c r="PRW2476" s="60"/>
      <c r="PRX2476" s="60"/>
      <c r="PRY2476" s="63"/>
      <c r="PRZ2476" s="61"/>
      <c r="PSA2476" s="54"/>
      <c r="PSB2476" s="54"/>
      <c r="PSC2476" s="60"/>
      <c r="PSD2476" s="60"/>
      <c r="PSE2476" s="60"/>
      <c r="PSF2476" s="60"/>
      <c r="PSG2476" s="63"/>
      <c r="PSH2476" s="61"/>
      <c r="PSI2476" s="54"/>
      <c r="PSJ2476" s="54"/>
      <c r="PSK2476" s="60"/>
      <c r="PSL2476" s="60"/>
      <c r="PSM2476" s="60"/>
      <c r="PSN2476" s="60"/>
      <c r="PSO2476" s="63"/>
      <c r="PSP2476" s="61"/>
      <c r="PSQ2476" s="54"/>
      <c r="PSR2476" s="54"/>
      <c r="PSS2476" s="60"/>
      <c r="PST2476" s="60"/>
      <c r="PSU2476" s="60"/>
      <c r="PSV2476" s="60"/>
      <c r="PSW2476" s="63"/>
      <c r="PSX2476" s="61"/>
      <c r="PSY2476" s="54"/>
      <c r="PSZ2476" s="54"/>
      <c r="PTA2476" s="60"/>
      <c r="PTB2476" s="60"/>
      <c r="PTC2476" s="60"/>
      <c r="PTD2476" s="60"/>
      <c r="PTE2476" s="63"/>
      <c r="PTF2476" s="61"/>
      <c r="PTG2476" s="54"/>
      <c r="PTH2476" s="54"/>
      <c r="PTI2476" s="60"/>
      <c r="PTJ2476" s="60"/>
      <c r="PTK2476" s="60"/>
      <c r="PTL2476" s="60"/>
      <c r="PTM2476" s="63"/>
      <c r="PTN2476" s="61"/>
      <c r="PTO2476" s="54"/>
      <c r="PTP2476" s="54"/>
      <c r="PTQ2476" s="60"/>
      <c r="PTR2476" s="60"/>
      <c r="PTS2476" s="60"/>
      <c r="PTT2476" s="60"/>
      <c r="PTU2476" s="63"/>
      <c r="PTV2476" s="61"/>
      <c r="PTW2476" s="54"/>
      <c r="PTX2476" s="54"/>
      <c r="PTY2476" s="60"/>
      <c r="PTZ2476" s="60"/>
      <c r="PUA2476" s="60"/>
      <c r="PUB2476" s="60"/>
      <c r="PUC2476" s="63"/>
      <c r="PUD2476" s="61"/>
      <c r="PUE2476" s="54"/>
      <c r="PUF2476" s="54"/>
      <c r="PUG2476" s="60"/>
      <c r="PUH2476" s="60"/>
      <c r="PUI2476" s="60"/>
      <c r="PUJ2476" s="60"/>
      <c r="PUK2476" s="63"/>
      <c r="PUL2476" s="61"/>
      <c r="PUM2476" s="54"/>
      <c r="PUN2476" s="54"/>
      <c r="PUO2476" s="60"/>
      <c r="PUP2476" s="60"/>
      <c r="PUQ2476" s="60"/>
      <c r="PUR2476" s="60"/>
      <c r="PUS2476" s="63"/>
      <c r="PUT2476" s="61"/>
      <c r="PUU2476" s="54"/>
      <c r="PUV2476" s="54"/>
      <c r="PUW2476" s="60"/>
      <c r="PUX2476" s="60"/>
      <c r="PUY2476" s="60"/>
      <c r="PUZ2476" s="60"/>
      <c r="PVA2476" s="63"/>
      <c r="PVB2476" s="61"/>
      <c r="PVC2476" s="54"/>
      <c r="PVD2476" s="54"/>
      <c r="PVE2476" s="60"/>
      <c r="PVF2476" s="60"/>
      <c r="PVG2476" s="60"/>
      <c r="PVH2476" s="60"/>
      <c r="PVI2476" s="63"/>
      <c r="PVJ2476" s="61"/>
      <c r="PVK2476" s="54"/>
      <c r="PVL2476" s="54"/>
      <c r="PVM2476" s="60"/>
      <c r="PVN2476" s="60"/>
      <c r="PVO2476" s="60"/>
      <c r="PVP2476" s="60"/>
      <c r="PVQ2476" s="63"/>
      <c r="PVR2476" s="61"/>
      <c r="PVS2476" s="54"/>
      <c r="PVT2476" s="54"/>
      <c r="PVU2476" s="60"/>
      <c r="PVV2476" s="60"/>
      <c r="PVW2476" s="60"/>
      <c r="PVX2476" s="60"/>
      <c r="PVY2476" s="63"/>
      <c r="PVZ2476" s="61"/>
      <c r="PWA2476" s="54"/>
      <c r="PWB2476" s="54"/>
      <c r="PWC2476" s="60"/>
      <c r="PWD2476" s="60"/>
      <c r="PWE2476" s="60"/>
      <c r="PWF2476" s="60"/>
      <c r="PWG2476" s="63"/>
      <c r="PWH2476" s="61"/>
      <c r="PWI2476" s="54"/>
      <c r="PWJ2476" s="54"/>
      <c r="PWK2476" s="60"/>
      <c r="PWL2476" s="60"/>
      <c r="PWM2476" s="60"/>
      <c r="PWN2476" s="60"/>
      <c r="PWO2476" s="63"/>
      <c r="PWP2476" s="61"/>
      <c r="PWQ2476" s="54"/>
      <c r="PWR2476" s="54"/>
      <c r="PWS2476" s="60"/>
      <c r="PWT2476" s="60"/>
      <c r="PWU2476" s="60"/>
      <c r="PWV2476" s="60"/>
      <c r="PWW2476" s="63"/>
      <c r="PWX2476" s="61"/>
      <c r="PWY2476" s="54"/>
      <c r="PWZ2476" s="54"/>
      <c r="PXA2476" s="60"/>
      <c r="PXB2476" s="60"/>
      <c r="PXC2476" s="60"/>
      <c r="PXD2476" s="60"/>
      <c r="PXE2476" s="63"/>
      <c r="PXF2476" s="61"/>
      <c r="PXG2476" s="54"/>
      <c r="PXH2476" s="54"/>
      <c r="PXI2476" s="60"/>
      <c r="PXJ2476" s="60"/>
      <c r="PXK2476" s="60"/>
      <c r="PXL2476" s="60"/>
      <c r="PXM2476" s="63"/>
      <c r="PXN2476" s="61"/>
      <c r="PXO2476" s="54"/>
      <c r="PXP2476" s="54"/>
      <c r="PXQ2476" s="60"/>
      <c r="PXR2476" s="60"/>
      <c r="PXS2476" s="60"/>
      <c r="PXT2476" s="60"/>
      <c r="PXU2476" s="63"/>
      <c r="PXV2476" s="61"/>
      <c r="PXW2476" s="54"/>
      <c r="PXX2476" s="54"/>
      <c r="PXY2476" s="60"/>
      <c r="PXZ2476" s="60"/>
      <c r="PYA2476" s="60"/>
      <c r="PYB2476" s="60"/>
      <c r="PYC2476" s="63"/>
      <c r="PYD2476" s="61"/>
      <c r="PYE2476" s="54"/>
      <c r="PYF2476" s="54"/>
      <c r="PYG2476" s="60"/>
      <c r="PYH2476" s="60"/>
      <c r="PYI2476" s="60"/>
      <c r="PYJ2476" s="60"/>
      <c r="PYK2476" s="63"/>
      <c r="PYL2476" s="61"/>
      <c r="PYM2476" s="54"/>
      <c r="PYN2476" s="54"/>
      <c r="PYO2476" s="60"/>
      <c r="PYP2476" s="60"/>
      <c r="PYQ2476" s="60"/>
      <c r="PYR2476" s="60"/>
      <c r="PYS2476" s="63"/>
      <c r="PYT2476" s="61"/>
      <c r="PYU2476" s="54"/>
      <c r="PYV2476" s="54"/>
      <c r="PYW2476" s="60"/>
      <c r="PYX2476" s="60"/>
      <c r="PYY2476" s="60"/>
      <c r="PYZ2476" s="60"/>
      <c r="PZA2476" s="63"/>
      <c r="PZB2476" s="61"/>
      <c r="PZC2476" s="54"/>
      <c r="PZD2476" s="54"/>
      <c r="PZE2476" s="60"/>
      <c r="PZF2476" s="60"/>
      <c r="PZG2476" s="60"/>
      <c r="PZH2476" s="60"/>
      <c r="PZI2476" s="63"/>
      <c r="PZJ2476" s="61"/>
      <c r="PZK2476" s="54"/>
      <c r="PZL2476" s="54"/>
      <c r="PZM2476" s="60"/>
      <c r="PZN2476" s="60"/>
      <c r="PZO2476" s="60"/>
      <c r="PZP2476" s="60"/>
      <c r="PZQ2476" s="63"/>
      <c r="PZR2476" s="61"/>
      <c r="PZS2476" s="54"/>
      <c r="PZT2476" s="54"/>
      <c r="PZU2476" s="60"/>
      <c r="PZV2476" s="60"/>
      <c r="PZW2476" s="60"/>
      <c r="PZX2476" s="60"/>
      <c r="PZY2476" s="63"/>
      <c r="PZZ2476" s="61"/>
      <c r="QAA2476" s="54"/>
      <c r="QAB2476" s="54"/>
      <c r="QAC2476" s="60"/>
      <c r="QAD2476" s="60"/>
      <c r="QAE2476" s="60"/>
      <c r="QAF2476" s="60"/>
      <c r="QAG2476" s="63"/>
      <c r="QAH2476" s="61"/>
      <c r="QAI2476" s="54"/>
      <c r="QAJ2476" s="54"/>
      <c r="QAK2476" s="60"/>
      <c r="QAL2476" s="60"/>
      <c r="QAM2476" s="60"/>
      <c r="QAN2476" s="60"/>
      <c r="QAO2476" s="63"/>
      <c r="QAP2476" s="61"/>
      <c r="QAQ2476" s="54"/>
      <c r="QAR2476" s="54"/>
      <c r="QAS2476" s="60"/>
      <c r="QAT2476" s="60"/>
      <c r="QAU2476" s="60"/>
      <c r="QAV2476" s="60"/>
      <c r="QAW2476" s="63"/>
      <c r="QAX2476" s="61"/>
      <c r="QAY2476" s="54"/>
      <c r="QAZ2476" s="54"/>
      <c r="QBA2476" s="60"/>
      <c r="QBB2476" s="60"/>
      <c r="QBC2476" s="60"/>
      <c r="QBD2476" s="60"/>
      <c r="QBE2476" s="63"/>
      <c r="QBF2476" s="61"/>
      <c r="QBG2476" s="54"/>
      <c r="QBH2476" s="54"/>
      <c r="QBI2476" s="60"/>
      <c r="QBJ2476" s="60"/>
      <c r="QBK2476" s="60"/>
      <c r="QBL2476" s="60"/>
      <c r="QBM2476" s="63"/>
      <c r="QBN2476" s="61"/>
      <c r="QBO2476" s="54"/>
      <c r="QBP2476" s="54"/>
      <c r="QBQ2476" s="60"/>
      <c r="QBR2476" s="60"/>
      <c r="QBS2476" s="60"/>
      <c r="QBT2476" s="60"/>
      <c r="QBU2476" s="63"/>
      <c r="QBV2476" s="61"/>
      <c r="QBW2476" s="54"/>
      <c r="QBX2476" s="54"/>
      <c r="QBY2476" s="60"/>
      <c r="QBZ2476" s="60"/>
      <c r="QCA2476" s="60"/>
      <c r="QCB2476" s="60"/>
      <c r="QCC2476" s="63"/>
      <c r="QCD2476" s="61"/>
      <c r="QCE2476" s="54"/>
      <c r="QCF2476" s="54"/>
      <c r="QCG2476" s="60"/>
      <c r="QCH2476" s="60"/>
      <c r="QCI2476" s="60"/>
      <c r="QCJ2476" s="60"/>
      <c r="QCK2476" s="63"/>
      <c r="QCL2476" s="61"/>
      <c r="QCM2476" s="54"/>
      <c r="QCN2476" s="54"/>
      <c r="QCO2476" s="60"/>
      <c r="QCP2476" s="60"/>
      <c r="QCQ2476" s="60"/>
      <c r="QCR2476" s="60"/>
      <c r="QCS2476" s="63"/>
      <c r="QCT2476" s="61"/>
      <c r="QCU2476" s="54"/>
      <c r="QCV2476" s="54"/>
      <c r="QCW2476" s="60"/>
      <c r="QCX2476" s="60"/>
      <c r="QCY2476" s="60"/>
      <c r="QCZ2476" s="60"/>
      <c r="QDA2476" s="63"/>
      <c r="QDB2476" s="61"/>
      <c r="QDC2476" s="54"/>
      <c r="QDD2476" s="54"/>
      <c r="QDE2476" s="60"/>
      <c r="QDF2476" s="60"/>
      <c r="QDG2476" s="60"/>
      <c r="QDH2476" s="60"/>
      <c r="QDI2476" s="63"/>
      <c r="QDJ2476" s="61"/>
      <c r="QDK2476" s="54"/>
      <c r="QDL2476" s="54"/>
      <c r="QDM2476" s="60"/>
      <c r="QDN2476" s="60"/>
      <c r="QDO2476" s="60"/>
      <c r="QDP2476" s="60"/>
      <c r="QDQ2476" s="63"/>
      <c r="QDR2476" s="61"/>
      <c r="QDS2476" s="54"/>
      <c r="QDT2476" s="54"/>
      <c r="QDU2476" s="60"/>
      <c r="QDV2476" s="60"/>
      <c r="QDW2476" s="60"/>
      <c r="QDX2476" s="60"/>
      <c r="QDY2476" s="63"/>
      <c r="QDZ2476" s="61"/>
      <c r="QEA2476" s="54"/>
      <c r="QEB2476" s="54"/>
      <c r="QEC2476" s="60"/>
      <c r="QED2476" s="60"/>
      <c r="QEE2476" s="60"/>
      <c r="QEF2476" s="60"/>
      <c r="QEG2476" s="63"/>
      <c r="QEH2476" s="61"/>
      <c r="QEI2476" s="54"/>
      <c r="QEJ2476" s="54"/>
      <c r="QEK2476" s="60"/>
      <c r="QEL2476" s="60"/>
      <c r="QEM2476" s="60"/>
      <c r="QEN2476" s="60"/>
      <c r="QEO2476" s="63"/>
      <c r="QEP2476" s="61"/>
      <c r="QEQ2476" s="54"/>
      <c r="QER2476" s="54"/>
      <c r="QES2476" s="60"/>
      <c r="QET2476" s="60"/>
      <c r="QEU2476" s="60"/>
      <c r="QEV2476" s="60"/>
      <c r="QEW2476" s="63"/>
      <c r="QEX2476" s="61"/>
      <c r="QEY2476" s="54"/>
      <c r="QEZ2476" s="54"/>
      <c r="QFA2476" s="60"/>
      <c r="QFB2476" s="60"/>
      <c r="QFC2476" s="60"/>
      <c r="QFD2476" s="60"/>
      <c r="QFE2476" s="63"/>
      <c r="QFF2476" s="61"/>
      <c r="QFG2476" s="54"/>
      <c r="QFH2476" s="54"/>
      <c r="QFI2476" s="60"/>
      <c r="QFJ2476" s="60"/>
      <c r="QFK2476" s="60"/>
      <c r="QFL2476" s="60"/>
      <c r="QFM2476" s="63"/>
      <c r="QFN2476" s="61"/>
      <c r="QFO2476" s="54"/>
      <c r="QFP2476" s="54"/>
      <c r="QFQ2476" s="60"/>
      <c r="QFR2476" s="60"/>
      <c r="QFS2476" s="60"/>
      <c r="QFT2476" s="60"/>
      <c r="QFU2476" s="63"/>
      <c r="QFV2476" s="61"/>
      <c r="QFW2476" s="54"/>
      <c r="QFX2476" s="54"/>
      <c r="QFY2476" s="60"/>
      <c r="QFZ2476" s="60"/>
      <c r="QGA2476" s="60"/>
      <c r="QGB2476" s="60"/>
      <c r="QGC2476" s="63"/>
      <c r="QGD2476" s="61"/>
      <c r="QGE2476" s="54"/>
      <c r="QGF2476" s="54"/>
      <c r="QGG2476" s="60"/>
      <c r="QGH2476" s="60"/>
      <c r="QGI2476" s="60"/>
      <c r="QGJ2476" s="60"/>
      <c r="QGK2476" s="63"/>
      <c r="QGL2476" s="61"/>
      <c r="QGM2476" s="54"/>
      <c r="QGN2476" s="54"/>
      <c r="QGO2476" s="60"/>
      <c r="QGP2476" s="60"/>
      <c r="QGQ2476" s="60"/>
      <c r="QGR2476" s="60"/>
      <c r="QGS2476" s="63"/>
      <c r="QGT2476" s="61"/>
      <c r="QGU2476" s="54"/>
      <c r="QGV2476" s="54"/>
      <c r="QGW2476" s="60"/>
      <c r="QGX2476" s="60"/>
      <c r="QGY2476" s="60"/>
      <c r="QGZ2476" s="60"/>
      <c r="QHA2476" s="63"/>
      <c r="QHB2476" s="61"/>
      <c r="QHC2476" s="54"/>
      <c r="QHD2476" s="54"/>
      <c r="QHE2476" s="60"/>
      <c r="QHF2476" s="60"/>
      <c r="QHG2476" s="60"/>
      <c r="QHH2476" s="60"/>
      <c r="QHI2476" s="63"/>
      <c r="QHJ2476" s="61"/>
      <c r="QHK2476" s="54"/>
      <c r="QHL2476" s="54"/>
      <c r="QHM2476" s="60"/>
      <c r="QHN2476" s="60"/>
      <c r="QHO2476" s="60"/>
      <c r="QHP2476" s="60"/>
      <c r="QHQ2476" s="63"/>
      <c r="QHR2476" s="61"/>
      <c r="QHS2476" s="54"/>
      <c r="QHT2476" s="54"/>
      <c r="QHU2476" s="60"/>
      <c r="QHV2476" s="60"/>
      <c r="QHW2476" s="60"/>
      <c r="QHX2476" s="60"/>
      <c r="QHY2476" s="63"/>
      <c r="QHZ2476" s="61"/>
      <c r="QIA2476" s="54"/>
      <c r="QIB2476" s="54"/>
      <c r="QIC2476" s="60"/>
      <c r="QID2476" s="60"/>
      <c r="QIE2476" s="60"/>
      <c r="QIF2476" s="60"/>
      <c r="QIG2476" s="63"/>
      <c r="QIH2476" s="61"/>
      <c r="QII2476" s="54"/>
      <c r="QIJ2476" s="54"/>
      <c r="QIK2476" s="60"/>
      <c r="QIL2476" s="60"/>
      <c r="QIM2476" s="60"/>
      <c r="QIN2476" s="60"/>
      <c r="QIO2476" s="63"/>
      <c r="QIP2476" s="61"/>
      <c r="QIQ2476" s="54"/>
      <c r="QIR2476" s="54"/>
      <c r="QIS2476" s="60"/>
      <c r="QIT2476" s="60"/>
      <c r="QIU2476" s="60"/>
      <c r="QIV2476" s="60"/>
      <c r="QIW2476" s="63"/>
      <c r="QIX2476" s="61"/>
      <c r="QIY2476" s="54"/>
      <c r="QIZ2476" s="54"/>
      <c r="QJA2476" s="60"/>
      <c r="QJB2476" s="60"/>
      <c r="QJC2476" s="60"/>
      <c r="QJD2476" s="60"/>
      <c r="QJE2476" s="63"/>
      <c r="QJF2476" s="61"/>
      <c r="QJG2476" s="54"/>
      <c r="QJH2476" s="54"/>
      <c r="QJI2476" s="60"/>
      <c r="QJJ2476" s="60"/>
      <c r="QJK2476" s="60"/>
      <c r="QJL2476" s="60"/>
      <c r="QJM2476" s="63"/>
      <c r="QJN2476" s="61"/>
      <c r="QJO2476" s="54"/>
      <c r="QJP2476" s="54"/>
      <c r="QJQ2476" s="60"/>
      <c r="QJR2476" s="60"/>
      <c r="QJS2476" s="60"/>
      <c r="QJT2476" s="60"/>
      <c r="QJU2476" s="63"/>
      <c r="QJV2476" s="61"/>
      <c r="QJW2476" s="54"/>
      <c r="QJX2476" s="54"/>
      <c r="QJY2476" s="60"/>
      <c r="QJZ2476" s="60"/>
      <c r="QKA2476" s="60"/>
      <c r="QKB2476" s="60"/>
      <c r="QKC2476" s="63"/>
      <c r="QKD2476" s="61"/>
      <c r="QKE2476" s="54"/>
      <c r="QKF2476" s="54"/>
      <c r="QKG2476" s="60"/>
      <c r="QKH2476" s="60"/>
      <c r="QKI2476" s="60"/>
      <c r="QKJ2476" s="60"/>
      <c r="QKK2476" s="63"/>
      <c r="QKL2476" s="61"/>
      <c r="QKM2476" s="54"/>
      <c r="QKN2476" s="54"/>
      <c r="QKO2476" s="60"/>
      <c r="QKP2476" s="60"/>
      <c r="QKQ2476" s="60"/>
      <c r="QKR2476" s="60"/>
      <c r="QKS2476" s="63"/>
      <c r="QKT2476" s="61"/>
      <c r="QKU2476" s="54"/>
      <c r="QKV2476" s="54"/>
      <c r="QKW2476" s="60"/>
      <c r="QKX2476" s="60"/>
      <c r="QKY2476" s="60"/>
      <c r="QKZ2476" s="60"/>
      <c r="QLA2476" s="63"/>
      <c r="QLB2476" s="61"/>
      <c r="QLC2476" s="54"/>
      <c r="QLD2476" s="54"/>
      <c r="QLE2476" s="60"/>
      <c r="QLF2476" s="60"/>
      <c r="QLG2476" s="60"/>
      <c r="QLH2476" s="60"/>
      <c r="QLI2476" s="63"/>
      <c r="QLJ2476" s="61"/>
      <c r="QLK2476" s="54"/>
      <c r="QLL2476" s="54"/>
      <c r="QLM2476" s="60"/>
      <c r="QLN2476" s="60"/>
      <c r="QLO2476" s="60"/>
      <c r="QLP2476" s="60"/>
      <c r="QLQ2476" s="63"/>
      <c r="QLR2476" s="61"/>
      <c r="QLS2476" s="54"/>
      <c r="QLT2476" s="54"/>
      <c r="QLU2476" s="60"/>
      <c r="QLV2476" s="60"/>
      <c r="QLW2476" s="60"/>
      <c r="QLX2476" s="60"/>
      <c r="QLY2476" s="63"/>
      <c r="QLZ2476" s="61"/>
      <c r="QMA2476" s="54"/>
      <c r="QMB2476" s="54"/>
      <c r="QMC2476" s="60"/>
      <c r="QMD2476" s="60"/>
      <c r="QME2476" s="60"/>
      <c r="QMF2476" s="60"/>
      <c r="QMG2476" s="63"/>
      <c r="QMH2476" s="61"/>
      <c r="QMI2476" s="54"/>
      <c r="QMJ2476" s="54"/>
      <c r="QMK2476" s="60"/>
      <c r="QML2476" s="60"/>
      <c r="QMM2476" s="60"/>
      <c r="QMN2476" s="60"/>
      <c r="QMO2476" s="63"/>
      <c r="QMP2476" s="61"/>
      <c r="QMQ2476" s="54"/>
      <c r="QMR2476" s="54"/>
      <c r="QMS2476" s="60"/>
      <c r="QMT2476" s="60"/>
      <c r="QMU2476" s="60"/>
      <c r="QMV2476" s="60"/>
      <c r="QMW2476" s="63"/>
      <c r="QMX2476" s="61"/>
      <c r="QMY2476" s="54"/>
      <c r="QMZ2476" s="54"/>
      <c r="QNA2476" s="60"/>
      <c r="QNB2476" s="60"/>
      <c r="QNC2476" s="60"/>
      <c r="QND2476" s="60"/>
      <c r="QNE2476" s="63"/>
      <c r="QNF2476" s="61"/>
      <c r="QNG2476" s="54"/>
      <c r="QNH2476" s="54"/>
      <c r="QNI2476" s="60"/>
      <c r="QNJ2476" s="60"/>
      <c r="QNK2476" s="60"/>
      <c r="QNL2476" s="60"/>
      <c r="QNM2476" s="63"/>
      <c r="QNN2476" s="61"/>
      <c r="QNO2476" s="54"/>
      <c r="QNP2476" s="54"/>
      <c r="QNQ2476" s="60"/>
      <c r="QNR2476" s="60"/>
      <c r="QNS2476" s="60"/>
      <c r="QNT2476" s="60"/>
      <c r="QNU2476" s="63"/>
      <c r="QNV2476" s="61"/>
      <c r="QNW2476" s="54"/>
      <c r="QNX2476" s="54"/>
      <c r="QNY2476" s="60"/>
      <c r="QNZ2476" s="60"/>
      <c r="QOA2476" s="60"/>
      <c r="QOB2476" s="60"/>
      <c r="QOC2476" s="63"/>
      <c r="QOD2476" s="61"/>
      <c r="QOE2476" s="54"/>
      <c r="QOF2476" s="54"/>
      <c r="QOG2476" s="60"/>
      <c r="QOH2476" s="60"/>
      <c r="QOI2476" s="60"/>
      <c r="QOJ2476" s="60"/>
      <c r="QOK2476" s="63"/>
      <c r="QOL2476" s="61"/>
      <c r="QOM2476" s="54"/>
      <c r="QON2476" s="54"/>
      <c r="QOO2476" s="60"/>
      <c r="QOP2476" s="60"/>
      <c r="QOQ2476" s="60"/>
      <c r="QOR2476" s="60"/>
      <c r="QOS2476" s="63"/>
      <c r="QOT2476" s="61"/>
      <c r="QOU2476" s="54"/>
      <c r="QOV2476" s="54"/>
      <c r="QOW2476" s="60"/>
      <c r="QOX2476" s="60"/>
      <c r="QOY2476" s="60"/>
      <c r="QOZ2476" s="60"/>
      <c r="QPA2476" s="63"/>
      <c r="QPB2476" s="61"/>
      <c r="QPC2476" s="54"/>
      <c r="QPD2476" s="54"/>
      <c r="QPE2476" s="60"/>
      <c r="QPF2476" s="60"/>
      <c r="QPG2476" s="60"/>
      <c r="QPH2476" s="60"/>
      <c r="QPI2476" s="63"/>
      <c r="QPJ2476" s="61"/>
      <c r="QPK2476" s="54"/>
      <c r="QPL2476" s="54"/>
      <c r="QPM2476" s="60"/>
      <c r="QPN2476" s="60"/>
      <c r="QPO2476" s="60"/>
      <c r="QPP2476" s="60"/>
      <c r="QPQ2476" s="63"/>
      <c r="QPR2476" s="61"/>
      <c r="QPS2476" s="54"/>
      <c r="QPT2476" s="54"/>
      <c r="QPU2476" s="60"/>
      <c r="QPV2476" s="60"/>
      <c r="QPW2476" s="60"/>
      <c r="QPX2476" s="60"/>
      <c r="QPY2476" s="63"/>
      <c r="QPZ2476" s="61"/>
      <c r="QQA2476" s="54"/>
      <c r="QQB2476" s="54"/>
      <c r="QQC2476" s="60"/>
      <c r="QQD2476" s="60"/>
      <c r="QQE2476" s="60"/>
      <c r="QQF2476" s="60"/>
      <c r="QQG2476" s="63"/>
      <c r="QQH2476" s="61"/>
      <c r="QQI2476" s="54"/>
      <c r="QQJ2476" s="54"/>
      <c r="QQK2476" s="60"/>
      <c r="QQL2476" s="60"/>
      <c r="QQM2476" s="60"/>
      <c r="QQN2476" s="60"/>
      <c r="QQO2476" s="63"/>
      <c r="QQP2476" s="61"/>
      <c r="QQQ2476" s="54"/>
      <c r="QQR2476" s="54"/>
      <c r="QQS2476" s="60"/>
      <c r="QQT2476" s="60"/>
      <c r="QQU2476" s="60"/>
      <c r="QQV2476" s="60"/>
      <c r="QQW2476" s="63"/>
      <c r="QQX2476" s="61"/>
      <c r="QQY2476" s="54"/>
      <c r="QQZ2476" s="54"/>
      <c r="QRA2476" s="60"/>
      <c r="QRB2476" s="60"/>
      <c r="QRC2476" s="60"/>
      <c r="QRD2476" s="60"/>
      <c r="QRE2476" s="63"/>
      <c r="QRF2476" s="61"/>
      <c r="QRG2476" s="54"/>
      <c r="QRH2476" s="54"/>
      <c r="QRI2476" s="60"/>
      <c r="QRJ2476" s="60"/>
      <c r="QRK2476" s="60"/>
      <c r="QRL2476" s="60"/>
      <c r="QRM2476" s="63"/>
      <c r="QRN2476" s="61"/>
      <c r="QRO2476" s="54"/>
      <c r="QRP2476" s="54"/>
      <c r="QRQ2476" s="60"/>
      <c r="QRR2476" s="60"/>
      <c r="QRS2476" s="60"/>
      <c r="QRT2476" s="60"/>
      <c r="QRU2476" s="63"/>
      <c r="QRV2476" s="61"/>
      <c r="QRW2476" s="54"/>
      <c r="QRX2476" s="54"/>
      <c r="QRY2476" s="60"/>
      <c r="QRZ2476" s="60"/>
      <c r="QSA2476" s="60"/>
      <c r="QSB2476" s="60"/>
      <c r="QSC2476" s="63"/>
      <c r="QSD2476" s="61"/>
      <c r="QSE2476" s="54"/>
      <c r="QSF2476" s="54"/>
      <c r="QSG2476" s="60"/>
      <c r="QSH2476" s="60"/>
      <c r="QSI2476" s="60"/>
      <c r="QSJ2476" s="60"/>
      <c r="QSK2476" s="63"/>
      <c r="QSL2476" s="61"/>
      <c r="QSM2476" s="54"/>
      <c r="QSN2476" s="54"/>
      <c r="QSO2476" s="60"/>
      <c r="QSP2476" s="60"/>
      <c r="QSQ2476" s="60"/>
      <c r="QSR2476" s="60"/>
      <c r="QSS2476" s="63"/>
      <c r="QST2476" s="61"/>
      <c r="QSU2476" s="54"/>
      <c r="QSV2476" s="54"/>
      <c r="QSW2476" s="60"/>
      <c r="QSX2476" s="60"/>
      <c r="QSY2476" s="60"/>
      <c r="QSZ2476" s="60"/>
      <c r="QTA2476" s="63"/>
      <c r="QTB2476" s="61"/>
      <c r="QTC2476" s="54"/>
      <c r="QTD2476" s="54"/>
      <c r="QTE2476" s="60"/>
      <c r="QTF2476" s="60"/>
      <c r="QTG2476" s="60"/>
      <c r="QTH2476" s="60"/>
      <c r="QTI2476" s="63"/>
      <c r="QTJ2476" s="61"/>
      <c r="QTK2476" s="54"/>
      <c r="QTL2476" s="54"/>
      <c r="QTM2476" s="60"/>
      <c r="QTN2476" s="60"/>
      <c r="QTO2476" s="60"/>
      <c r="QTP2476" s="60"/>
      <c r="QTQ2476" s="63"/>
      <c r="QTR2476" s="61"/>
      <c r="QTS2476" s="54"/>
      <c r="QTT2476" s="54"/>
      <c r="QTU2476" s="60"/>
      <c r="QTV2476" s="60"/>
      <c r="QTW2476" s="60"/>
      <c r="QTX2476" s="60"/>
      <c r="QTY2476" s="63"/>
      <c r="QTZ2476" s="61"/>
      <c r="QUA2476" s="54"/>
      <c r="QUB2476" s="54"/>
      <c r="QUC2476" s="60"/>
      <c r="QUD2476" s="60"/>
      <c r="QUE2476" s="60"/>
      <c r="QUF2476" s="60"/>
      <c r="QUG2476" s="63"/>
      <c r="QUH2476" s="61"/>
      <c r="QUI2476" s="54"/>
      <c r="QUJ2476" s="54"/>
      <c r="QUK2476" s="60"/>
      <c r="QUL2476" s="60"/>
      <c r="QUM2476" s="60"/>
      <c r="QUN2476" s="60"/>
      <c r="QUO2476" s="63"/>
      <c r="QUP2476" s="61"/>
      <c r="QUQ2476" s="54"/>
      <c r="QUR2476" s="54"/>
      <c r="QUS2476" s="60"/>
      <c r="QUT2476" s="60"/>
      <c r="QUU2476" s="60"/>
      <c r="QUV2476" s="60"/>
      <c r="QUW2476" s="63"/>
      <c r="QUX2476" s="61"/>
      <c r="QUY2476" s="54"/>
      <c r="QUZ2476" s="54"/>
      <c r="QVA2476" s="60"/>
      <c r="QVB2476" s="60"/>
      <c r="QVC2476" s="60"/>
      <c r="QVD2476" s="60"/>
      <c r="QVE2476" s="63"/>
      <c r="QVF2476" s="61"/>
      <c r="QVG2476" s="54"/>
      <c r="QVH2476" s="54"/>
      <c r="QVI2476" s="60"/>
      <c r="QVJ2476" s="60"/>
      <c r="QVK2476" s="60"/>
      <c r="QVL2476" s="60"/>
      <c r="QVM2476" s="63"/>
      <c r="QVN2476" s="61"/>
      <c r="QVO2476" s="54"/>
      <c r="QVP2476" s="54"/>
      <c r="QVQ2476" s="60"/>
      <c r="QVR2476" s="60"/>
      <c r="QVS2476" s="60"/>
      <c r="QVT2476" s="60"/>
      <c r="QVU2476" s="63"/>
      <c r="QVV2476" s="61"/>
      <c r="QVW2476" s="54"/>
      <c r="QVX2476" s="54"/>
      <c r="QVY2476" s="60"/>
      <c r="QVZ2476" s="60"/>
      <c r="QWA2476" s="60"/>
      <c r="QWB2476" s="60"/>
      <c r="QWC2476" s="63"/>
      <c r="QWD2476" s="61"/>
      <c r="QWE2476" s="54"/>
      <c r="QWF2476" s="54"/>
      <c r="QWG2476" s="60"/>
      <c r="QWH2476" s="60"/>
      <c r="QWI2476" s="60"/>
      <c r="QWJ2476" s="60"/>
      <c r="QWK2476" s="63"/>
      <c r="QWL2476" s="61"/>
      <c r="QWM2476" s="54"/>
      <c r="QWN2476" s="54"/>
      <c r="QWO2476" s="60"/>
      <c r="QWP2476" s="60"/>
      <c r="QWQ2476" s="60"/>
      <c r="QWR2476" s="60"/>
      <c r="QWS2476" s="63"/>
      <c r="QWT2476" s="61"/>
      <c r="QWU2476" s="54"/>
      <c r="QWV2476" s="54"/>
      <c r="QWW2476" s="60"/>
      <c r="QWX2476" s="60"/>
      <c r="QWY2476" s="60"/>
      <c r="QWZ2476" s="60"/>
      <c r="QXA2476" s="63"/>
      <c r="QXB2476" s="61"/>
      <c r="QXC2476" s="54"/>
      <c r="QXD2476" s="54"/>
      <c r="QXE2476" s="60"/>
      <c r="QXF2476" s="60"/>
      <c r="QXG2476" s="60"/>
      <c r="QXH2476" s="60"/>
      <c r="QXI2476" s="63"/>
      <c r="QXJ2476" s="61"/>
      <c r="QXK2476" s="54"/>
      <c r="QXL2476" s="54"/>
      <c r="QXM2476" s="60"/>
      <c r="QXN2476" s="60"/>
      <c r="QXO2476" s="60"/>
      <c r="QXP2476" s="60"/>
      <c r="QXQ2476" s="63"/>
      <c r="QXR2476" s="61"/>
      <c r="QXS2476" s="54"/>
      <c r="QXT2476" s="54"/>
      <c r="QXU2476" s="60"/>
      <c r="QXV2476" s="60"/>
      <c r="QXW2476" s="60"/>
      <c r="QXX2476" s="60"/>
      <c r="QXY2476" s="63"/>
      <c r="QXZ2476" s="61"/>
      <c r="QYA2476" s="54"/>
      <c r="QYB2476" s="54"/>
      <c r="QYC2476" s="60"/>
      <c r="QYD2476" s="60"/>
      <c r="QYE2476" s="60"/>
      <c r="QYF2476" s="60"/>
      <c r="QYG2476" s="63"/>
      <c r="QYH2476" s="61"/>
      <c r="QYI2476" s="54"/>
      <c r="QYJ2476" s="54"/>
      <c r="QYK2476" s="60"/>
      <c r="QYL2476" s="60"/>
      <c r="QYM2476" s="60"/>
      <c r="QYN2476" s="60"/>
      <c r="QYO2476" s="63"/>
      <c r="QYP2476" s="61"/>
      <c r="QYQ2476" s="54"/>
      <c r="QYR2476" s="54"/>
      <c r="QYS2476" s="60"/>
      <c r="QYT2476" s="60"/>
      <c r="QYU2476" s="60"/>
      <c r="QYV2476" s="60"/>
      <c r="QYW2476" s="63"/>
      <c r="QYX2476" s="61"/>
      <c r="QYY2476" s="54"/>
      <c r="QYZ2476" s="54"/>
      <c r="QZA2476" s="60"/>
      <c r="QZB2476" s="60"/>
      <c r="QZC2476" s="60"/>
      <c r="QZD2476" s="60"/>
      <c r="QZE2476" s="63"/>
      <c r="QZF2476" s="61"/>
      <c r="QZG2476" s="54"/>
      <c r="QZH2476" s="54"/>
      <c r="QZI2476" s="60"/>
      <c r="QZJ2476" s="60"/>
      <c r="QZK2476" s="60"/>
      <c r="QZL2476" s="60"/>
      <c r="QZM2476" s="63"/>
      <c r="QZN2476" s="61"/>
      <c r="QZO2476" s="54"/>
      <c r="QZP2476" s="54"/>
      <c r="QZQ2476" s="60"/>
      <c r="QZR2476" s="60"/>
      <c r="QZS2476" s="60"/>
      <c r="QZT2476" s="60"/>
      <c r="QZU2476" s="63"/>
      <c r="QZV2476" s="61"/>
      <c r="QZW2476" s="54"/>
      <c r="QZX2476" s="54"/>
      <c r="QZY2476" s="60"/>
      <c r="QZZ2476" s="60"/>
      <c r="RAA2476" s="60"/>
      <c r="RAB2476" s="60"/>
      <c r="RAC2476" s="63"/>
      <c r="RAD2476" s="61"/>
      <c r="RAE2476" s="54"/>
      <c r="RAF2476" s="54"/>
      <c r="RAG2476" s="60"/>
      <c r="RAH2476" s="60"/>
      <c r="RAI2476" s="60"/>
      <c r="RAJ2476" s="60"/>
      <c r="RAK2476" s="63"/>
      <c r="RAL2476" s="61"/>
      <c r="RAM2476" s="54"/>
      <c r="RAN2476" s="54"/>
      <c r="RAO2476" s="60"/>
      <c r="RAP2476" s="60"/>
      <c r="RAQ2476" s="60"/>
      <c r="RAR2476" s="60"/>
      <c r="RAS2476" s="63"/>
      <c r="RAT2476" s="61"/>
      <c r="RAU2476" s="54"/>
      <c r="RAV2476" s="54"/>
      <c r="RAW2476" s="60"/>
      <c r="RAX2476" s="60"/>
      <c r="RAY2476" s="60"/>
      <c r="RAZ2476" s="60"/>
      <c r="RBA2476" s="63"/>
      <c r="RBB2476" s="61"/>
      <c r="RBC2476" s="54"/>
      <c r="RBD2476" s="54"/>
      <c r="RBE2476" s="60"/>
      <c r="RBF2476" s="60"/>
      <c r="RBG2476" s="60"/>
      <c r="RBH2476" s="60"/>
      <c r="RBI2476" s="63"/>
      <c r="RBJ2476" s="61"/>
      <c r="RBK2476" s="54"/>
      <c r="RBL2476" s="54"/>
      <c r="RBM2476" s="60"/>
      <c r="RBN2476" s="60"/>
      <c r="RBO2476" s="60"/>
      <c r="RBP2476" s="60"/>
      <c r="RBQ2476" s="63"/>
      <c r="RBR2476" s="61"/>
      <c r="RBS2476" s="54"/>
      <c r="RBT2476" s="54"/>
      <c r="RBU2476" s="60"/>
      <c r="RBV2476" s="60"/>
      <c r="RBW2476" s="60"/>
      <c r="RBX2476" s="60"/>
      <c r="RBY2476" s="63"/>
      <c r="RBZ2476" s="61"/>
      <c r="RCA2476" s="54"/>
      <c r="RCB2476" s="54"/>
      <c r="RCC2476" s="60"/>
      <c r="RCD2476" s="60"/>
      <c r="RCE2476" s="60"/>
      <c r="RCF2476" s="60"/>
      <c r="RCG2476" s="63"/>
      <c r="RCH2476" s="61"/>
      <c r="RCI2476" s="54"/>
      <c r="RCJ2476" s="54"/>
      <c r="RCK2476" s="60"/>
      <c r="RCL2476" s="60"/>
      <c r="RCM2476" s="60"/>
      <c r="RCN2476" s="60"/>
      <c r="RCO2476" s="63"/>
      <c r="RCP2476" s="61"/>
      <c r="RCQ2476" s="54"/>
      <c r="RCR2476" s="54"/>
      <c r="RCS2476" s="60"/>
      <c r="RCT2476" s="60"/>
      <c r="RCU2476" s="60"/>
      <c r="RCV2476" s="60"/>
      <c r="RCW2476" s="63"/>
      <c r="RCX2476" s="61"/>
      <c r="RCY2476" s="54"/>
      <c r="RCZ2476" s="54"/>
      <c r="RDA2476" s="60"/>
      <c r="RDB2476" s="60"/>
      <c r="RDC2476" s="60"/>
      <c r="RDD2476" s="60"/>
      <c r="RDE2476" s="63"/>
      <c r="RDF2476" s="61"/>
      <c r="RDG2476" s="54"/>
      <c r="RDH2476" s="54"/>
      <c r="RDI2476" s="60"/>
      <c r="RDJ2476" s="60"/>
      <c r="RDK2476" s="60"/>
      <c r="RDL2476" s="60"/>
      <c r="RDM2476" s="63"/>
      <c r="RDN2476" s="61"/>
      <c r="RDO2476" s="54"/>
      <c r="RDP2476" s="54"/>
      <c r="RDQ2476" s="60"/>
      <c r="RDR2476" s="60"/>
      <c r="RDS2476" s="60"/>
      <c r="RDT2476" s="60"/>
      <c r="RDU2476" s="63"/>
      <c r="RDV2476" s="61"/>
      <c r="RDW2476" s="54"/>
      <c r="RDX2476" s="54"/>
      <c r="RDY2476" s="60"/>
      <c r="RDZ2476" s="60"/>
      <c r="REA2476" s="60"/>
      <c r="REB2476" s="60"/>
      <c r="REC2476" s="63"/>
      <c r="RED2476" s="61"/>
      <c r="REE2476" s="54"/>
      <c r="REF2476" s="54"/>
      <c r="REG2476" s="60"/>
      <c r="REH2476" s="60"/>
      <c r="REI2476" s="60"/>
      <c r="REJ2476" s="60"/>
      <c r="REK2476" s="63"/>
      <c r="REL2476" s="61"/>
      <c r="REM2476" s="54"/>
      <c r="REN2476" s="54"/>
      <c r="REO2476" s="60"/>
      <c r="REP2476" s="60"/>
      <c r="REQ2476" s="60"/>
      <c r="RER2476" s="60"/>
      <c r="RES2476" s="63"/>
      <c r="RET2476" s="61"/>
      <c r="REU2476" s="54"/>
      <c r="REV2476" s="54"/>
      <c r="REW2476" s="60"/>
      <c r="REX2476" s="60"/>
      <c r="REY2476" s="60"/>
      <c r="REZ2476" s="60"/>
      <c r="RFA2476" s="63"/>
      <c r="RFB2476" s="61"/>
      <c r="RFC2476" s="54"/>
      <c r="RFD2476" s="54"/>
      <c r="RFE2476" s="60"/>
      <c r="RFF2476" s="60"/>
      <c r="RFG2476" s="60"/>
      <c r="RFH2476" s="60"/>
      <c r="RFI2476" s="63"/>
      <c r="RFJ2476" s="61"/>
      <c r="RFK2476" s="54"/>
      <c r="RFL2476" s="54"/>
      <c r="RFM2476" s="60"/>
      <c r="RFN2476" s="60"/>
      <c r="RFO2476" s="60"/>
      <c r="RFP2476" s="60"/>
      <c r="RFQ2476" s="63"/>
      <c r="RFR2476" s="61"/>
      <c r="RFS2476" s="54"/>
      <c r="RFT2476" s="54"/>
      <c r="RFU2476" s="60"/>
      <c r="RFV2476" s="60"/>
      <c r="RFW2476" s="60"/>
      <c r="RFX2476" s="60"/>
      <c r="RFY2476" s="63"/>
      <c r="RFZ2476" s="61"/>
      <c r="RGA2476" s="54"/>
      <c r="RGB2476" s="54"/>
      <c r="RGC2476" s="60"/>
      <c r="RGD2476" s="60"/>
      <c r="RGE2476" s="60"/>
      <c r="RGF2476" s="60"/>
      <c r="RGG2476" s="63"/>
      <c r="RGH2476" s="61"/>
      <c r="RGI2476" s="54"/>
      <c r="RGJ2476" s="54"/>
      <c r="RGK2476" s="60"/>
      <c r="RGL2476" s="60"/>
      <c r="RGM2476" s="60"/>
      <c r="RGN2476" s="60"/>
      <c r="RGO2476" s="63"/>
      <c r="RGP2476" s="61"/>
      <c r="RGQ2476" s="54"/>
      <c r="RGR2476" s="54"/>
      <c r="RGS2476" s="60"/>
      <c r="RGT2476" s="60"/>
      <c r="RGU2476" s="60"/>
      <c r="RGV2476" s="60"/>
      <c r="RGW2476" s="63"/>
      <c r="RGX2476" s="61"/>
      <c r="RGY2476" s="54"/>
      <c r="RGZ2476" s="54"/>
      <c r="RHA2476" s="60"/>
      <c r="RHB2476" s="60"/>
      <c r="RHC2476" s="60"/>
      <c r="RHD2476" s="60"/>
      <c r="RHE2476" s="63"/>
      <c r="RHF2476" s="61"/>
      <c r="RHG2476" s="54"/>
      <c r="RHH2476" s="54"/>
      <c r="RHI2476" s="60"/>
      <c r="RHJ2476" s="60"/>
      <c r="RHK2476" s="60"/>
      <c r="RHL2476" s="60"/>
      <c r="RHM2476" s="63"/>
      <c r="RHN2476" s="61"/>
      <c r="RHO2476" s="54"/>
      <c r="RHP2476" s="54"/>
      <c r="RHQ2476" s="60"/>
      <c r="RHR2476" s="60"/>
      <c r="RHS2476" s="60"/>
      <c r="RHT2476" s="60"/>
      <c r="RHU2476" s="63"/>
      <c r="RHV2476" s="61"/>
      <c r="RHW2476" s="54"/>
      <c r="RHX2476" s="54"/>
      <c r="RHY2476" s="60"/>
      <c r="RHZ2476" s="60"/>
      <c r="RIA2476" s="60"/>
      <c r="RIB2476" s="60"/>
      <c r="RIC2476" s="63"/>
      <c r="RID2476" s="61"/>
      <c r="RIE2476" s="54"/>
      <c r="RIF2476" s="54"/>
      <c r="RIG2476" s="60"/>
      <c r="RIH2476" s="60"/>
      <c r="RII2476" s="60"/>
      <c r="RIJ2476" s="60"/>
      <c r="RIK2476" s="63"/>
      <c r="RIL2476" s="61"/>
      <c r="RIM2476" s="54"/>
      <c r="RIN2476" s="54"/>
      <c r="RIO2476" s="60"/>
      <c r="RIP2476" s="60"/>
      <c r="RIQ2476" s="60"/>
      <c r="RIR2476" s="60"/>
      <c r="RIS2476" s="63"/>
      <c r="RIT2476" s="61"/>
      <c r="RIU2476" s="54"/>
      <c r="RIV2476" s="54"/>
      <c r="RIW2476" s="60"/>
      <c r="RIX2476" s="60"/>
      <c r="RIY2476" s="60"/>
      <c r="RIZ2476" s="60"/>
      <c r="RJA2476" s="63"/>
      <c r="RJB2476" s="61"/>
      <c r="RJC2476" s="54"/>
      <c r="RJD2476" s="54"/>
      <c r="RJE2476" s="60"/>
      <c r="RJF2476" s="60"/>
      <c r="RJG2476" s="60"/>
      <c r="RJH2476" s="60"/>
      <c r="RJI2476" s="63"/>
      <c r="RJJ2476" s="61"/>
      <c r="RJK2476" s="54"/>
      <c r="RJL2476" s="54"/>
      <c r="RJM2476" s="60"/>
      <c r="RJN2476" s="60"/>
      <c r="RJO2476" s="60"/>
      <c r="RJP2476" s="60"/>
      <c r="RJQ2476" s="63"/>
      <c r="RJR2476" s="61"/>
      <c r="RJS2476" s="54"/>
      <c r="RJT2476" s="54"/>
      <c r="RJU2476" s="60"/>
      <c r="RJV2476" s="60"/>
      <c r="RJW2476" s="60"/>
      <c r="RJX2476" s="60"/>
      <c r="RJY2476" s="63"/>
      <c r="RJZ2476" s="61"/>
      <c r="RKA2476" s="54"/>
      <c r="RKB2476" s="54"/>
      <c r="RKC2476" s="60"/>
      <c r="RKD2476" s="60"/>
      <c r="RKE2476" s="60"/>
      <c r="RKF2476" s="60"/>
      <c r="RKG2476" s="63"/>
      <c r="RKH2476" s="61"/>
      <c r="RKI2476" s="54"/>
      <c r="RKJ2476" s="54"/>
      <c r="RKK2476" s="60"/>
      <c r="RKL2476" s="60"/>
      <c r="RKM2476" s="60"/>
      <c r="RKN2476" s="60"/>
      <c r="RKO2476" s="63"/>
      <c r="RKP2476" s="61"/>
      <c r="RKQ2476" s="54"/>
      <c r="RKR2476" s="54"/>
      <c r="RKS2476" s="60"/>
      <c r="RKT2476" s="60"/>
      <c r="RKU2476" s="60"/>
      <c r="RKV2476" s="60"/>
      <c r="RKW2476" s="63"/>
      <c r="RKX2476" s="61"/>
      <c r="RKY2476" s="54"/>
      <c r="RKZ2476" s="54"/>
      <c r="RLA2476" s="60"/>
      <c r="RLB2476" s="60"/>
      <c r="RLC2476" s="60"/>
      <c r="RLD2476" s="60"/>
      <c r="RLE2476" s="63"/>
      <c r="RLF2476" s="61"/>
      <c r="RLG2476" s="54"/>
      <c r="RLH2476" s="54"/>
      <c r="RLI2476" s="60"/>
      <c r="RLJ2476" s="60"/>
      <c r="RLK2476" s="60"/>
      <c r="RLL2476" s="60"/>
      <c r="RLM2476" s="63"/>
      <c r="RLN2476" s="61"/>
      <c r="RLO2476" s="54"/>
      <c r="RLP2476" s="54"/>
      <c r="RLQ2476" s="60"/>
      <c r="RLR2476" s="60"/>
      <c r="RLS2476" s="60"/>
      <c r="RLT2476" s="60"/>
      <c r="RLU2476" s="63"/>
      <c r="RLV2476" s="61"/>
      <c r="RLW2476" s="54"/>
      <c r="RLX2476" s="54"/>
      <c r="RLY2476" s="60"/>
      <c r="RLZ2476" s="60"/>
      <c r="RMA2476" s="60"/>
      <c r="RMB2476" s="60"/>
      <c r="RMC2476" s="63"/>
      <c r="RMD2476" s="61"/>
      <c r="RME2476" s="54"/>
      <c r="RMF2476" s="54"/>
      <c r="RMG2476" s="60"/>
      <c r="RMH2476" s="60"/>
      <c r="RMI2476" s="60"/>
      <c r="RMJ2476" s="60"/>
      <c r="RMK2476" s="63"/>
      <c r="RML2476" s="61"/>
      <c r="RMM2476" s="54"/>
      <c r="RMN2476" s="54"/>
      <c r="RMO2476" s="60"/>
      <c r="RMP2476" s="60"/>
      <c r="RMQ2476" s="60"/>
      <c r="RMR2476" s="60"/>
      <c r="RMS2476" s="63"/>
      <c r="RMT2476" s="61"/>
      <c r="RMU2476" s="54"/>
      <c r="RMV2476" s="54"/>
      <c r="RMW2476" s="60"/>
      <c r="RMX2476" s="60"/>
      <c r="RMY2476" s="60"/>
      <c r="RMZ2476" s="60"/>
      <c r="RNA2476" s="63"/>
      <c r="RNB2476" s="61"/>
      <c r="RNC2476" s="54"/>
      <c r="RND2476" s="54"/>
      <c r="RNE2476" s="60"/>
      <c r="RNF2476" s="60"/>
      <c r="RNG2476" s="60"/>
      <c r="RNH2476" s="60"/>
      <c r="RNI2476" s="63"/>
      <c r="RNJ2476" s="61"/>
      <c r="RNK2476" s="54"/>
      <c r="RNL2476" s="54"/>
      <c r="RNM2476" s="60"/>
      <c r="RNN2476" s="60"/>
      <c r="RNO2476" s="60"/>
      <c r="RNP2476" s="60"/>
      <c r="RNQ2476" s="63"/>
      <c r="RNR2476" s="61"/>
      <c r="RNS2476" s="54"/>
      <c r="RNT2476" s="54"/>
      <c r="RNU2476" s="60"/>
      <c r="RNV2476" s="60"/>
      <c r="RNW2476" s="60"/>
      <c r="RNX2476" s="60"/>
      <c r="RNY2476" s="63"/>
      <c r="RNZ2476" s="61"/>
      <c r="ROA2476" s="54"/>
      <c r="ROB2476" s="54"/>
      <c r="ROC2476" s="60"/>
      <c r="ROD2476" s="60"/>
      <c r="ROE2476" s="60"/>
      <c r="ROF2476" s="60"/>
      <c r="ROG2476" s="63"/>
      <c r="ROH2476" s="61"/>
      <c r="ROI2476" s="54"/>
      <c r="ROJ2476" s="54"/>
      <c r="ROK2476" s="60"/>
      <c r="ROL2476" s="60"/>
      <c r="ROM2476" s="60"/>
      <c r="RON2476" s="60"/>
      <c r="ROO2476" s="63"/>
      <c r="ROP2476" s="61"/>
      <c r="ROQ2476" s="54"/>
      <c r="ROR2476" s="54"/>
      <c r="ROS2476" s="60"/>
      <c r="ROT2476" s="60"/>
      <c r="ROU2476" s="60"/>
      <c r="ROV2476" s="60"/>
      <c r="ROW2476" s="63"/>
      <c r="ROX2476" s="61"/>
      <c r="ROY2476" s="54"/>
      <c r="ROZ2476" s="54"/>
      <c r="RPA2476" s="60"/>
      <c r="RPB2476" s="60"/>
      <c r="RPC2476" s="60"/>
      <c r="RPD2476" s="60"/>
      <c r="RPE2476" s="63"/>
      <c r="RPF2476" s="61"/>
      <c r="RPG2476" s="54"/>
      <c r="RPH2476" s="54"/>
      <c r="RPI2476" s="60"/>
      <c r="RPJ2476" s="60"/>
      <c r="RPK2476" s="60"/>
      <c r="RPL2476" s="60"/>
      <c r="RPM2476" s="63"/>
      <c r="RPN2476" s="61"/>
      <c r="RPO2476" s="54"/>
      <c r="RPP2476" s="54"/>
      <c r="RPQ2476" s="60"/>
      <c r="RPR2476" s="60"/>
      <c r="RPS2476" s="60"/>
      <c r="RPT2476" s="60"/>
      <c r="RPU2476" s="63"/>
      <c r="RPV2476" s="61"/>
      <c r="RPW2476" s="54"/>
      <c r="RPX2476" s="54"/>
      <c r="RPY2476" s="60"/>
      <c r="RPZ2476" s="60"/>
      <c r="RQA2476" s="60"/>
      <c r="RQB2476" s="60"/>
      <c r="RQC2476" s="63"/>
      <c r="RQD2476" s="61"/>
      <c r="RQE2476" s="54"/>
      <c r="RQF2476" s="54"/>
      <c r="RQG2476" s="60"/>
      <c r="RQH2476" s="60"/>
      <c r="RQI2476" s="60"/>
      <c r="RQJ2476" s="60"/>
      <c r="RQK2476" s="63"/>
      <c r="RQL2476" s="61"/>
      <c r="RQM2476" s="54"/>
      <c r="RQN2476" s="54"/>
      <c r="RQO2476" s="60"/>
      <c r="RQP2476" s="60"/>
      <c r="RQQ2476" s="60"/>
      <c r="RQR2476" s="60"/>
      <c r="RQS2476" s="63"/>
      <c r="RQT2476" s="61"/>
      <c r="RQU2476" s="54"/>
      <c r="RQV2476" s="54"/>
      <c r="RQW2476" s="60"/>
      <c r="RQX2476" s="60"/>
      <c r="RQY2476" s="60"/>
      <c r="RQZ2476" s="60"/>
      <c r="RRA2476" s="63"/>
      <c r="RRB2476" s="61"/>
      <c r="RRC2476" s="54"/>
      <c r="RRD2476" s="54"/>
      <c r="RRE2476" s="60"/>
      <c r="RRF2476" s="60"/>
      <c r="RRG2476" s="60"/>
      <c r="RRH2476" s="60"/>
      <c r="RRI2476" s="63"/>
      <c r="RRJ2476" s="61"/>
      <c r="RRK2476" s="54"/>
      <c r="RRL2476" s="54"/>
      <c r="RRM2476" s="60"/>
      <c r="RRN2476" s="60"/>
      <c r="RRO2476" s="60"/>
      <c r="RRP2476" s="60"/>
      <c r="RRQ2476" s="63"/>
      <c r="RRR2476" s="61"/>
      <c r="RRS2476" s="54"/>
      <c r="RRT2476" s="54"/>
      <c r="RRU2476" s="60"/>
      <c r="RRV2476" s="60"/>
      <c r="RRW2476" s="60"/>
      <c r="RRX2476" s="60"/>
      <c r="RRY2476" s="63"/>
      <c r="RRZ2476" s="61"/>
      <c r="RSA2476" s="54"/>
      <c r="RSB2476" s="54"/>
      <c r="RSC2476" s="60"/>
      <c r="RSD2476" s="60"/>
      <c r="RSE2476" s="60"/>
      <c r="RSF2476" s="60"/>
      <c r="RSG2476" s="63"/>
      <c r="RSH2476" s="61"/>
      <c r="RSI2476" s="54"/>
      <c r="RSJ2476" s="54"/>
      <c r="RSK2476" s="60"/>
      <c r="RSL2476" s="60"/>
      <c r="RSM2476" s="60"/>
      <c r="RSN2476" s="60"/>
      <c r="RSO2476" s="63"/>
      <c r="RSP2476" s="61"/>
      <c r="RSQ2476" s="54"/>
      <c r="RSR2476" s="54"/>
      <c r="RSS2476" s="60"/>
      <c r="RST2476" s="60"/>
      <c r="RSU2476" s="60"/>
      <c r="RSV2476" s="60"/>
      <c r="RSW2476" s="63"/>
      <c r="RSX2476" s="61"/>
      <c r="RSY2476" s="54"/>
      <c r="RSZ2476" s="54"/>
      <c r="RTA2476" s="60"/>
      <c r="RTB2476" s="60"/>
      <c r="RTC2476" s="60"/>
      <c r="RTD2476" s="60"/>
      <c r="RTE2476" s="63"/>
      <c r="RTF2476" s="61"/>
      <c r="RTG2476" s="54"/>
      <c r="RTH2476" s="54"/>
      <c r="RTI2476" s="60"/>
      <c r="RTJ2476" s="60"/>
      <c r="RTK2476" s="60"/>
      <c r="RTL2476" s="60"/>
      <c r="RTM2476" s="63"/>
      <c r="RTN2476" s="61"/>
      <c r="RTO2476" s="54"/>
      <c r="RTP2476" s="54"/>
      <c r="RTQ2476" s="60"/>
      <c r="RTR2476" s="60"/>
      <c r="RTS2476" s="60"/>
      <c r="RTT2476" s="60"/>
      <c r="RTU2476" s="63"/>
      <c r="RTV2476" s="61"/>
      <c r="RTW2476" s="54"/>
      <c r="RTX2476" s="54"/>
      <c r="RTY2476" s="60"/>
      <c r="RTZ2476" s="60"/>
      <c r="RUA2476" s="60"/>
      <c r="RUB2476" s="60"/>
      <c r="RUC2476" s="63"/>
      <c r="RUD2476" s="61"/>
      <c r="RUE2476" s="54"/>
      <c r="RUF2476" s="54"/>
      <c r="RUG2476" s="60"/>
      <c r="RUH2476" s="60"/>
      <c r="RUI2476" s="60"/>
      <c r="RUJ2476" s="60"/>
      <c r="RUK2476" s="63"/>
      <c r="RUL2476" s="61"/>
      <c r="RUM2476" s="54"/>
      <c r="RUN2476" s="54"/>
      <c r="RUO2476" s="60"/>
      <c r="RUP2476" s="60"/>
      <c r="RUQ2476" s="60"/>
      <c r="RUR2476" s="60"/>
      <c r="RUS2476" s="63"/>
      <c r="RUT2476" s="61"/>
      <c r="RUU2476" s="54"/>
      <c r="RUV2476" s="54"/>
      <c r="RUW2476" s="60"/>
      <c r="RUX2476" s="60"/>
      <c r="RUY2476" s="60"/>
      <c r="RUZ2476" s="60"/>
      <c r="RVA2476" s="63"/>
      <c r="RVB2476" s="61"/>
      <c r="RVC2476" s="54"/>
      <c r="RVD2476" s="54"/>
      <c r="RVE2476" s="60"/>
      <c r="RVF2476" s="60"/>
      <c r="RVG2476" s="60"/>
      <c r="RVH2476" s="60"/>
      <c r="RVI2476" s="63"/>
      <c r="RVJ2476" s="61"/>
      <c r="RVK2476" s="54"/>
      <c r="RVL2476" s="54"/>
      <c r="RVM2476" s="60"/>
      <c r="RVN2476" s="60"/>
      <c r="RVO2476" s="60"/>
      <c r="RVP2476" s="60"/>
      <c r="RVQ2476" s="63"/>
      <c r="RVR2476" s="61"/>
      <c r="RVS2476" s="54"/>
      <c r="RVT2476" s="54"/>
      <c r="RVU2476" s="60"/>
      <c r="RVV2476" s="60"/>
      <c r="RVW2476" s="60"/>
      <c r="RVX2476" s="60"/>
      <c r="RVY2476" s="63"/>
      <c r="RVZ2476" s="61"/>
      <c r="RWA2476" s="54"/>
      <c r="RWB2476" s="54"/>
      <c r="RWC2476" s="60"/>
      <c r="RWD2476" s="60"/>
      <c r="RWE2476" s="60"/>
      <c r="RWF2476" s="60"/>
      <c r="RWG2476" s="63"/>
      <c r="RWH2476" s="61"/>
      <c r="RWI2476" s="54"/>
      <c r="RWJ2476" s="54"/>
      <c r="RWK2476" s="60"/>
      <c r="RWL2476" s="60"/>
      <c r="RWM2476" s="60"/>
      <c r="RWN2476" s="60"/>
      <c r="RWO2476" s="63"/>
      <c r="RWP2476" s="61"/>
      <c r="RWQ2476" s="54"/>
      <c r="RWR2476" s="54"/>
      <c r="RWS2476" s="60"/>
      <c r="RWT2476" s="60"/>
      <c r="RWU2476" s="60"/>
      <c r="RWV2476" s="60"/>
      <c r="RWW2476" s="63"/>
      <c r="RWX2476" s="61"/>
      <c r="RWY2476" s="54"/>
      <c r="RWZ2476" s="54"/>
      <c r="RXA2476" s="60"/>
      <c r="RXB2476" s="60"/>
      <c r="RXC2476" s="60"/>
      <c r="RXD2476" s="60"/>
      <c r="RXE2476" s="63"/>
      <c r="RXF2476" s="61"/>
      <c r="RXG2476" s="54"/>
      <c r="RXH2476" s="54"/>
      <c r="RXI2476" s="60"/>
      <c r="RXJ2476" s="60"/>
      <c r="RXK2476" s="60"/>
      <c r="RXL2476" s="60"/>
      <c r="RXM2476" s="63"/>
      <c r="RXN2476" s="61"/>
      <c r="RXO2476" s="54"/>
      <c r="RXP2476" s="54"/>
      <c r="RXQ2476" s="60"/>
      <c r="RXR2476" s="60"/>
      <c r="RXS2476" s="60"/>
      <c r="RXT2476" s="60"/>
      <c r="RXU2476" s="63"/>
      <c r="RXV2476" s="61"/>
      <c r="RXW2476" s="54"/>
      <c r="RXX2476" s="54"/>
      <c r="RXY2476" s="60"/>
      <c r="RXZ2476" s="60"/>
      <c r="RYA2476" s="60"/>
      <c r="RYB2476" s="60"/>
      <c r="RYC2476" s="63"/>
      <c r="RYD2476" s="61"/>
      <c r="RYE2476" s="54"/>
      <c r="RYF2476" s="54"/>
      <c r="RYG2476" s="60"/>
      <c r="RYH2476" s="60"/>
      <c r="RYI2476" s="60"/>
      <c r="RYJ2476" s="60"/>
      <c r="RYK2476" s="63"/>
      <c r="RYL2476" s="61"/>
      <c r="RYM2476" s="54"/>
      <c r="RYN2476" s="54"/>
      <c r="RYO2476" s="60"/>
      <c r="RYP2476" s="60"/>
      <c r="RYQ2476" s="60"/>
      <c r="RYR2476" s="60"/>
      <c r="RYS2476" s="63"/>
      <c r="RYT2476" s="61"/>
      <c r="RYU2476" s="54"/>
      <c r="RYV2476" s="54"/>
      <c r="RYW2476" s="60"/>
      <c r="RYX2476" s="60"/>
      <c r="RYY2476" s="60"/>
      <c r="RYZ2476" s="60"/>
      <c r="RZA2476" s="63"/>
      <c r="RZB2476" s="61"/>
      <c r="RZC2476" s="54"/>
      <c r="RZD2476" s="54"/>
      <c r="RZE2476" s="60"/>
      <c r="RZF2476" s="60"/>
      <c r="RZG2476" s="60"/>
      <c r="RZH2476" s="60"/>
      <c r="RZI2476" s="63"/>
      <c r="RZJ2476" s="61"/>
      <c r="RZK2476" s="54"/>
      <c r="RZL2476" s="54"/>
      <c r="RZM2476" s="60"/>
      <c r="RZN2476" s="60"/>
      <c r="RZO2476" s="60"/>
      <c r="RZP2476" s="60"/>
      <c r="RZQ2476" s="63"/>
      <c r="RZR2476" s="61"/>
      <c r="RZS2476" s="54"/>
      <c r="RZT2476" s="54"/>
      <c r="RZU2476" s="60"/>
      <c r="RZV2476" s="60"/>
      <c r="RZW2476" s="60"/>
      <c r="RZX2476" s="60"/>
      <c r="RZY2476" s="63"/>
      <c r="RZZ2476" s="61"/>
      <c r="SAA2476" s="54"/>
      <c r="SAB2476" s="54"/>
      <c r="SAC2476" s="60"/>
      <c r="SAD2476" s="60"/>
      <c r="SAE2476" s="60"/>
      <c r="SAF2476" s="60"/>
      <c r="SAG2476" s="63"/>
      <c r="SAH2476" s="61"/>
      <c r="SAI2476" s="54"/>
      <c r="SAJ2476" s="54"/>
      <c r="SAK2476" s="60"/>
      <c r="SAL2476" s="60"/>
      <c r="SAM2476" s="60"/>
      <c r="SAN2476" s="60"/>
      <c r="SAO2476" s="63"/>
      <c r="SAP2476" s="61"/>
      <c r="SAQ2476" s="54"/>
      <c r="SAR2476" s="54"/>
      <c r="SAS2476" s="60"/>
      <c r="SAT2476" s="60"/>
      <c r="SAU2476" s="60"/>
      <c r="SAV2476" s="60"/>
      <c r="SAW2476" s="63"/>
      <c r="SAX2476" s="61"/>
      <c r="SAY2476" s="54"/>
      <c r="SAZ2476" s="54"/>
      <c r="SBA2476" s="60"/>
      <c r="SBB2476" s="60"/>
      <c r="SBC2476" s="60"/>
      <c r="SBD2476" s="60"/>
      <c r="SBE2476" s="63"/>
      <c r="SBF2476" s="61"/>
      <c r="SBG2476" s="54"/>
      <c r="SBH2476" s="54"/>
      <c r="SBI2476" s="60"/>
      <c r="SBJ2476" s="60"/>
      <c r="SBK2476" s="60"/>
      <c r="SBL2476" s="60"/>
      <c r="SBM2476" s="63"/>
      <c r="SBN2476" s="61"/>
      <c r="SBO2476" s="54"/>
      <c r="SBP2476" s="54"/>
      <c r="SBQ2476" s="60"/>
      <c r="SBR2476" s="60"/>
      <c r="SBS2476" s="60"/>
      <c r="SBT2476" s="60"/>
      <c r="SBU2476" s="63"/>
      <c r="SBV2476" s="61"/>
      <c r="SBW2476" s="54"/>
      <c r="SBX2476" s="54"/>
      <c r="SBY2476" s="60"/>
      <c r="SBZ2476" s="60"/>
      <c r="SCA2476" s="60"/>
      <c r="SCB2476" s="60"/>
      <c r="SCC2476" s="63"/>
      <c r="SCD2476" s="61"/>
      <c r="SCE2476" s="54"/>
      <c r="SCF2476" s="54"/>
      <c r="SCG2476" s="60"/>
      <c r="SCH2476" s="60"/>
      <c r="SCI2476" s="60"/>
      <c r="SCJ2476" s="60"/>
      <c r="SCK2476" s="63"/>
      <c r="SCL2476" s="61"/>
      <c r="SCM2476" s="54"/>
      <c r="SCN2476" s="54"/>
      <c r="SCO2476" s="60"/>
      <c r="SCP2476" s="60"/>
      <c r="SCQ2476" s="60"/>
      <c r="SCR2476" s="60"/>
      <c r="SCS2476" s="63"/>
      <c r="SCT2476" s="61"/>
      <c r="SCU2476" s="54"/>
      <c r="SCV2476" s="54"/>
      <c r="SCW2476" s="60"/>
      <c r="SCX2476" s="60"/>
      <c r="SCY2476" s="60"/>
      <c r="SCZ2476" s="60"/>
      <c r="SDA2476" s="63"/>
      <c r="SDB2476" s="61"/>
      <c r="SDC2476" s="54"/>
      <c r="SDD2476" s="54"/>
      <c r="SDE2476" s="60"/>
      <c r="SDF2476" s="60"/>
      <c r="SDG2476" s="60"/>
      <c r="SDH2476" s="60"/>
      <c r="SDI2476" s="63"/>
      <c r="SDJ2476" s="61"/>
      <c r="SDK2476" s="54"/>
      <c r="SDL2476" s="54"/>
      <c r="SDM2476" s="60"/>
      <c r="SDN2476" s="60"/>
      <c r="SDO2476" s="60"/>
      <c r="SDP2476" s="60"/>
      <c r="SDQ2476" s="63"/>
      <c r="SDR2476" s="61"/>
      <c r="SDS2476" s="54"/>
      <c r="SDT2476" s="54"/>
      <c r="SDU2476" s="60"/>
      <c r="SDV2476" s="60"/>
      <c r="SDW2476" s="60"/>
      <c r="SDX2476" s="60"/>
      <c r="SDY2476" s="63"/>
      <c r="SDZ2476" s="61"/>
      <c r="SEA2476" s="54"/>
      <c r="SEB2476" s="54"/>
      <c r="SEC2476" s="60"/>
      <c r="SED2476" s="60"/>
      <c r="SEE2476" s="60"/>
      <c r="SEF2476" s="60"/>
      <c r="SEG2476" s="63"/>
      <c r="SEH2476" s="61"/>
      <c r="SEI2476" s="54"/>
      <c r="SEJ2476" s="54"/>
      <c r="SEK2476" s="60"/>
      <c r="SEL2476" s="60"/>
      <c r="SEM2476" s="60"/>
      <c r="SEN2476" s="60"/>
      <c r="SEO2476" s="63"/>
      <c r="SEP2476" s="61"/>
      <c r="SEQ2476" s="54"/>
      <c r="SER2476" s="54"/>
      <c r="SES2476" s="60"/>
      <c r="SET2476" s="60"/>
      <c r="SEU2476" s="60"/>
      <c r="SEV2476" s="60"/>
      <c r="SEW2476" s="63"/>
      <c r="SEX2476" s="61"/>
      <c r="SEY2476" s="54"/>
      <c r="SEZ2476" s="54"/>
      <c r="SFA2476" s="60"/>
      <c r="SFB2476" s="60"/>
      <c r="SFC2476" s="60"/>
      <c r="SFD2476" s="60"/>
      <c r="SFE2476" s="63"/>
      <c r="SFF2476" s="61"/>
      <c r="SFG2476" s="54"/>
      <c r="SFH2476" s="54"/>
      <c r="SFI2476" s="60"/>
      <c r="SFJ2476" s="60"/>
      <c r="SFK2476" s="60"/>
      <c r="SFL2476" s="60"/>
      <c r="SFM2476" s="63"/>
      <c r="SFN2476" s="61"/>
      <c r="SFO2476" s="54"/>
      <c r="SFP2476" s="54"/>
      <c r="SFQ2476" s="60"/>
      <c r="SFR2476" s="60"/>
      <c r="SFS2476" s="60"/>
      <c r="SFT2476" s="60"/>
      <c r="SFU2476" s="63"/>
      <c r="SFV2476" s="61"/>
      <c r="SFW2476" s="54"/>
      <c r="SFX2476" s="54"/>
      <c r="SFY2476" s="60"/>
      <c r="SFZ2476" s="60"/>
      <c r="SGA2476" s="60"/>
      <c r="SGB2476" s="60"/>
      <c r="SGC2476" s="63"/>
      <c r="SGD2476" s="61"/>
      <c r="SGE2476" s="54"/>
      <c r="SGF2476" s="54"/>
      <c r="SGG2476" s="60"/>
      <c r="SGH2476" s="60"/>
      <c r="SGI2476" s="60"/>
      <c r="SGJ2476" s="60"/>
      <c r="SGK2476" s="63"/>
      <c r="SGL2476" s="61"/>
      <c r="SGM2476" s="54"/>
      <c r="SGN2476" s="54"/>
      <c r="SGO2476" s="60"/>
      <c r="SGP2476" s="60"/>
      <c r="SGQ2476" s="60"/>
      <c r="SGR2476" s="60"/>
      <c r="SGS2476" s="63"/>
      <c r="SGT2476" s="61"/>
      <c r="SGU2476" s="54"/>
      <c r="SGV2476" s="54"/>
      <c r="SGW2476" s="60"/>
      <c r="SGX2476" s="60"/>
      <c r="SGY2476" s="60"/>
      <c r="SGZ2476" s="60"/>
      <c r="SHA2476" s="63"/>
      <c r="SHB2476" s="61"/>
      <c r="SHC2476" s="54"/>
      <c r="SHD2476" s="54"/>
      <c r="SHE2476" s="60"/>
      <c r="SHF2476" s="60"/>
      <c r="SHG2476" s="60"/>
      <c r="SHH2476" s="60"/>
      <c r="SHI2476" s="63"/>
      <c r="SHJ2476" s="61"/>
      <c r="SHK2476" s="54"/>
      <c r="SHL2476" s="54"/>
      <c r="SHM2476" s="60"/>
      <c r="SHN2476" s="60"/>
      <c r="SHO2476" s="60"/>
      <c r="SHP2476" s="60"/>
      <c r="SHQ2476" s="63"/>
      <c r="SHR2476" s="61"/>
      <c r="SHS2476" s="54"/>
      <c r="SHT2476" s="54"/>
      <c r="SHU2476" s="60"/>
      <c r="SHV2476" s="60"/>
      <c r="SHW2476" s="60"/>
      <c r="SHX2476" s="60"/>
      <c r="SHY2476" s="63"/>
      <c r="SHZ2476" s="61"/>
      <c r="SIA2476" s="54"/>
      <c r="SIB2476" s="54"/>
      <c r="SIC2476" s="60"/>
      <c r="SID2476" s="60"/>
      <c r="SIE2476" s="60"/>
      <c r="SIF2476" s="60"/>
      <c r="SIG2476" s="63"/>
      <c r="SIH2476" s="61"/>
      <c r="SII2476" s="54"/>
      <c r="SIJ2476" s="54"/>
      <c r="SIK2476" s="60"/>
      <c r="SIL2476" s="60"/>
      <c r="SIM2476" s="60"/>
      <c r="SIN2476" s="60"/>
      <c r="SIO2476" s="63"/>
      <c r="SIP2476" s="61"/>
      <c r="SIQ2476" s="54"/>
      <c r="SIR2476" s="54"/>
      <c r="SIS2476" s="60"/>
      <c r="SIT2476" s="60"/>
      <c r="SIU2476" s="60"/>
      <c r="SIV2476" s="60"/>
      <c r="SIW2476" s="63"/>
      <c r="SIX2476" s="61"/>
      <c r="SIY2476" s="54"/>
      <c r="SIZ2476" s="54"/>
      <c r="SJA2476" s="60"/>
      <c r="SJB2476" s="60"/>
      <c r="SJC2476" s="60"/>
      <c r="SJD2476" s="60"/>
      <c r="SJE2476" s="63"/>
      <c r="SJF2476" s="61"/>
      <c r="SJG2476" s="54"/>
      <c r="SJH2476" s="54"/>
      <c r="SJI2476" s="60"/>
      <c r="SJJ2476" s="60"/>
      <c r="SJK2476" s="60"/>
      <c r="SJL2476" s="60"/>
      <c r="SJM2476" s="63"/>
      <c r="SJN2476" s="61"/>
      <c r="SJO2476" s="54"/>
      <c r="SJP2476" s="54"/>
      <c r="SJQ2476" s="60"/>
      <c r="SJR2476" s="60"/>
      <c r="SJS2476" s="60"/>
      <c r="SJT2476" s="60"/>
      <c r="SJU2476" s="63"/>
      <c r="SJV2476" s="61"/>
      <c r="SJW2476" s="54"/>
      <c r="SJX2476" s="54"/>
      <c r="SJY2476" s="60"/>
      <c r="SJZ2476" s="60"/>
      <c r="SKA2476" s="60"/>
      <c r="SKB2476" s="60"/>
      <c r="SKC2476" s="63"/>
      <c r="SKD2476" s="61"/>
      <c r="SKE2476" s="54"/>
      <c r="SKF2476" s="54"/>
      <c r="SKG2476" s="60"/>
      <c r="SKH2476" s="60"/>
      <c r="SKI2476" s="60"/>
      <c r="SKJ2476" s="60"/>
      <c r="SKK2476" s="63"/>
      <c r="SKL2476" s="61"/>
      <c r="SKM2476" s="54"/>
      <c r="SKN2476" s="54"/>
      <c r="SKO2476" s="60"/>
      <c r="SKP2476" s="60"/>
      <c r="SKQ2476" s="60"/>
      <c r="SKR2476" s="60"/>
      <c r="SKS2476" s="63"/>
      <c r="SKT2476" s="61"/>
      <c r="SKU2476" s="54"/>
      <c r="SKV2476" s="54"/>
      <c r="SKW2476" s="60"/>
      <c r="SKX2476" s="60"/>
      <c r="SKY2476" s="60"/>
      <c r="SKZ2476" s="60"/>
      <c r="SLA2476" s="63"/>
      <c r="SLB2476" s="61"/>
      <c r="SLC2476" s="54"/>
      <c r="SLD2476" s="54"/>
      <c r="SLE2476" s="60"/>
      <c r="SLF2476" s="60"/>
      <c r="SLG2476" s="60"/>
      <c r="SLH2476" s="60"/>
      <c r="SLI2476" s="63"/>
      <c r="SLJ2476" s="61"/>
      <c r="SLK2476" s="54"/>
      <c r="SLL2476" s="54"/>
      <c r="SLM2476" s="60"/>
      <c r="SLN2476" s="60"/>
      <c r="SLO2476" s="60"/>
      <c r="SLP2476" s="60"/>
      <c r="SLQ2476" s="63"/>
      <c r="SLR2476" s="61"/>
      <c r="SLS2476" s="54"/>
      <c r="SLT2476" s="54"/>
      <c r="SLU2476" s="60"/>
      <c r="SLV2476" s="60"/>
      <c r="SLW2476" s="60"/>
      <c r="SLX2476" s="60"/>
      <c r="SLY2476" s="63"/>
      <c r="SLZ2476" s="61"/>
      <c r="SMA2476" s="54"/>
      <c r="SMB2476" s="54"/>
      <c r="SMC2476" s="60"/>
      <c r="SMD2476" s="60"/>
      <c r="SME2476" s="60"/>
      <c r="SMF2476" s="60"/>
      <c r="SMG2476" s="63"/>
      <c r="SMH2476" s="61"/>
      <c r="SMI2476" s="54"/>
      <c r="SMJ2476" s="54"/>
      <c r="SMK2476" s="60"/>
      <c r="SML2476" s="60"/>
      <c r="SMM2476" s="60"/>
      <c r="SMN2476" s="60"/>
      <c r="SMO2476" s="63"/>
      <c r="SMP2476" s="61"/>
      <c r="SMQ2476" s="54"/>
      <c r="SMR2476" s="54"/>
      <c r="SMS2476" s="60"/>
      <c r="SMT2476" s="60"/>
      <c r="SMU2476" s="60"/>
      <c r="SMV2476" s="60"/>
      <c r="SMW2476" s="63"/>
      <c r="SMX2476" s="61"/>
      <c r="SMY2476" s="54"/>
      <c r="SMZ2476" s="54"/>
      <c r="SNA2476" s="60"/>
      <c r="SNB2476" s="60"/>
      <c r="SNC2476" s="60"/>
      <c r="SND2476" s="60"/>
      <c r="SNE2476" s="63"/>
      <c r="SNF2476" s="61"/>
      <c r="SNG2476" s="54"/>
      <c r="SNH2476" s="54"/>
      <c r="SNI2476" s="60"/>
      <c r="SNJ2476" s="60"/>
      <c r="SNK2476" s="60"/>
      <c r="SNL2476" s="60"/>
      <c r="SNM2476" s="63"/>
      <c r="SNN2476" s="61"/>
      <c r="SNO2476" s="54"/>
      <c r="SNP2476" s="54"/>
      <c r="SNQ2476" s="60"/>
      <c r="SNR2476" s="60"/>
      <c r="SNS2476" s="60"/>
      <c r="SNT2476" s="60"/>
      <c r="SNU2476" s="63"/>
      <c r="SNV2476" s="61"/>
      <c r="SNW2476" s="54"/>
      <c r="SNX2476" s="54"/>
      <c r="SNY2476" s="60"/>
      <c r="SNZ2476" s="60"/>
      <c r="SOA2476" s="60"/>
      <c r="SOB2476" s="60"/>
      <c r="SOC2476" s="63"/>
      <c r="SOD2476" s="61"/>
      <c r="SOE2476" s="54"/>
      <c r="SOF2476" s="54"/>
      <c r="SOG2476" s="60"/>
      <c r="SOH2476" s="60"/>
      <c r="SOI2476" s="60"/>
      <c r="SOJ2476" s="60"/>
      <c r="SOK2476" s="63"/>
      <c r="SOL2476" s="61"/>
      <c r="SOM2476" s="54"/>
      <c r="SON2476" s="54"/>
      <c r="SOO2476" s="60"/>
      <c r="SOP2476" s="60"/>
      <c r="SOQ2476" s="60"/>
      <c r="SOR2476" s="60"/>
      <c r="SOS2476" s="63"/>
      <c r="SOT2476" s="61"/>
      <c r="SOU2476" s="54"/>
      <c r="SOV2476" s="54"/>
      <c r="SOW2476" s="60"/>
      <c r="SOX2476" s="60"/>
      <c r="SOY2476" s="60"/>
      <c r="SOZ2476" s="60"/>
      <c r="SPA2476" s="63"/>
      <c r="SPB2476" s="61"/>
      <c r="SPC2476" s="54"/>
      <c r="SPD2476" s="54"/>
      <c r="SPE2476" s="60"/>
      <c r="SPF2476" s="60"/>
      <c r="SPG2476" s="60"/>
      <c r="SPH2476" s="60"/>
      <c r="SPI2476" s="63"/>
      <c r="SPJ2476" s="61"/>
      <c r="SPK2476" s="54"/>
      <c r="SPL2476" s="54"/>
      <c r="SPM2476" s="60"/>
      <c r="SPN2476" s="60"/>
      <c r="SPO2476" s="60"/>
      <c r="SPP2476" s="60"/>
      <c r="SPQ2476" s="63"/>
      <c r="SPR2476" s="61"/>
      <c r="SPS2476" s="54"/>
      <c r="SPT2476" s="54"/>
      <c r="SPU2476" s="60"/>
      <c r="SPV2476" s="60"/>
      <c r="SPW2476" s="60"/>
      <c r="SPX2476" s="60"/>
      <c r="SPY2476" s="63"/>
      <c r="SPZ2476" s="61"/>
      <c r="SQA2476" s="54"/>
      <c r="SQB2476" s="54"/>
      <c r="SQC2476" s="60"/>
      <c r="SQD2476" s="60"/>
      <c r="SQE2476" s="60"/>
      <c r="SQF2476" s="60"/>
      <c r="SQG2476" s="63"/>
      <c r="SQH2476" s="61"/>
      <c r="SQI2476" s="54"/>
      <c r="SQJ2476" s="54"/>
      <c r="SQK2476" s="60"/>
      <c r="SQL2476" s="60"/>
      <c r="SQM2476" s="60"/>
      <c r="SQN2476" s="60"/>
      <c r="SQO2476" s="63"/>
      <c r="SQP2476" s="61"/>
      <c r="SQQ2476" s="54"/>
      <c r="SQR2476" s="54"/>
      <c r="SQS2476" s="60"/>
      <c r="SQT2476" s="60"/>
      <c r="SQU2476" s="60"/>
      <c r="SQV2476" s="60"/>
      <c r="SQW2476" s="63"/>
      <c r="SQX2476" s="61"/>
      <c r="SQY2476" s="54"/>
      <c r="SQZ2476" s="54"/>
      <c r="SRA2476" s="60"/>
      <c r="SRB2476" s="60"/>
      <c r="SRC2476" s="60"/>
      <c r="SRD2476" s="60"/>
      <c r="SRE2476" s="63"/>
      <c r="SRF2476" s="61"/>
      <c r="SRG2476" s="54"/>
      <c r="SRH2476" s="54"/>
      <c r="SRI2476" s="60"/>
      <c r="SRJ2476" s="60"/>
      <c r="SRK2476" s="60"/>
      <c r="SRL2476" s="60"/>
      <c r="SRM2476" s="63"/>
      <c r="SRN2476" s="61"/>
      <c r="SRO2476" s="54"/>
      <c r="SRP2476" s="54"/>
      <c r="SRQ2476" s="60"/>
      <c r="SRR2476" s="60"/>
      <c r="SRS2476" s="60"/>
      <c r="SRT2476" s="60"/>
      <c r="SRU2476" s="63"/>
      <c r="SRV2476" s="61"/>
      <c r="SRW2476" s="54"/>
      <c r="SRX2476" s="54"/>
      <c r="SRY2476" s="60"/>
      <c r="SRZ2476" s="60"/>
      <c r="SSA2476" s="60"/>
      <c r="SSB2476" s="60"/>
      <c r="SSC2476" s="63"/>
      <c r="SSD2476" s="61"/>
      <c r="SSE2476" s="54"/>
      <c r="SSF2476" s="54"/>
      <c r="SSG2476" s="60"/>
      <c r="SSH2476" s="60"/>
      <c r="SSI2476" s="60"/>
      <c r="SSJ2476" s="60"/>
      <c r="SSK2476" s="63"/>
      <c r="SSL2476" s="61"/>
      <c r="SSM2476" s="54"/>
      <c r="SSN2476" s="54"/>
      <c r="SSO2476" s="60"/>
      <c r="SSP2476" s="60"/>
      <c r="SSQ2476" s="60"/>
      <c r="SSR2476" s="60"/>
      <c r="SSS2476" s="63"/>
      <c r="SST2476" s="61"/>
      <c r="SSU2476" s="54"/>
      <c r="SSV2476" s="54"/>
      <c r="SSW2476" s="60"/>
      <c r="SSX2476" s="60"/>
      <c r="SSY2476" s="60"/>
      <c r="SSZ2476" s="60"/>
      <c r="STA2476" s="63"/>
      <c r="STB2476" s="61"/>
      <c r="STC2476" s="54"/>
      <c r="STD2476" s="54"/>
      <c r="STE2476" s="60"/>
      <c r="STF2476" s="60"/>
      <c r="STG2476" s="60"/>
      <c r="STH2476" s="60"/>
      <c r="STI2476" s="63"/>
      <c r="STJ2476" s="61"/>
      <c r="STK2476" s="54"/>
      <c r="STL2476" s="54"/>
      <c r="STM2476" s="60"/>
      <c r="STN2476" s="60"/>
      <c r="STO2476" s="60"/>
      <c r="STP2476" s="60"/>
      <c r="STQ2476" s="63"/>
      <c r="STR2476" s="61"/>
      <c r="STS2476" s="54"/>
      <c r="STT2476" s="54"/>
      <c r="STU2476" s="60"/>
      <c r="STV2476" s="60"/>
      <c r="STW2476" s="60"/>
      <c r="STX2476" s="60"/>
      <c r="STY2476" s="63"/>
      <c r="STZ2476" s="61"/>
      <c r="SUA2476" s="54"/>
      <c r="SUB2476" s="54"/>
      <c r="SUC2476" s="60"/>
      <c r="SUD2476" s="60"/>
      <c r="SUE2476" s="60"/>
      <c r="SUF2476" s="60"/>
      <c r="SUG2476" s="63"/>
      <c r="SUH2476" s="61"/>
      <c r="SUI2476" s="54"/>
      <c r="SUJ2476" s="54"/>
      <c r="SUK2476" s="60"/>
      <c r="SUL2476" s="60"/>
      <c r="SUM2476" s="60"/>
      <c r="SUN2476" s="60"/>
      <c r="SUO2476" s="63"/>
      <c r="SUP2476" s="61"/>
      <c r="SUQ2476" s="54"/>
      <c r="SUR2476" s="54"/>
      <c r="SUS2476" s="60"/>
      <c r="SUT2476" s="60"/>
      <c r="SUU2476" s="60"/>
      <c r="SUV2476" s="60"/>
      <c r="SUW2476" s="63"/>
      <c r="SUX2476" s="61"/>
      <c r="SUY2476" s="54"/>
      <c r="SUZ2476" s="54"/>
      <c r="SVA2476" s="60"/>
      <c r="SVB2476" s="60"/>
      <c r="SVC2476" s="60"/>
      <c r="SVD2476" s="60"/>
      <c r="SVE2476" s="63"/>
      <c r="SVF2476" s="61"/>
      <c r="SVG2476" s="54"/>
      <c r="SVH2476" s="54"/>
      <c r="SVI2476" s="60"/>
      <c r="SVJ2476" s="60"/>
      <c r="SVK2476" s="60"/>
      <c r="SVL2476" s="60"/>
      <c r="SVM2476" s="63"/>
      <c r="SVN2476" s="61"/>
      <c r="SVO2476" s="54"/>
      <c r="SVP2476" s="54"/>
      <c r="SVQ2476" s="60"/>
      <c r="SVR2476" s="60"/>
      <c r="SVS2476" s="60"/>
      <c r="SVT2476" s="60"/>
      <c r="SVU2476" s="63"/>
      <c r="SVV2476" s="61"/>
      <c r="SVW2476" s="54"/>
      <c r="SVX2476" s="54"/>
      <c r="SVY2476" s="60"/>
      <c r="SVZ2476" s="60"/>
      <c r="SWA2476" s="60"/>
      <c r="SWB2476" s="60"/>
      <c r="SWC2476" s="63"/>
      <c r="SWD2476" s="61"/>
      <c r="SWE2476" s="54"/>
      <c r="SWF2476" s="54"/>
      <c r="SWG2476" s="60"/>
      <c r="SWH2476" s="60"/>
      <c r="SWI2476" s="60"/>
      <c r="SWJ2476" s="60"/>
      <c r="SWK2476" s="63"/>
      <c r="SWL2476" s="61"/>
      <c r="SWM2476" s="54"/>
      <c r="SWN2476" s="54"/>
      <c r="SWO2476" s="60"/>
      <c r="SWP2476" s="60"/>
      <c r="SWQ2476" s="60"/>
      <c r="SWR2476" s="60"/>
      <c r="SWS2476" s="63"/>
      <c r="SWT2476" s="61"/>
      <c r="SWU2476" s="54"/>
      <c r="SWV2476" s="54"/>
      <c r="SWW2476" s="60"/>
      <c r="SWX2476" s="60"/>
      <c r="SWY2476" s="60"/>
      <c r="SWZ2476" s="60"/>
      <c r="SXA2476" s="63"/>
      <c r="SXB2476" s="61"/>
      <c r="SXC2476" s="54"/>
      <c r="SXD2476" s="54"/>
      <c r="SXE2476" s="60"/>
      <c r="SXF2476" s="60"/>
      <c r="SXG2476" s="60"/>
      <c r="SXH2476" s="60"/>
      <c r="SXI2476" s="63"/>
      <c r="SXJ2476" s="61"/>
      <c r="SXK2476" s="54"/>
      <c r="SXL2476" s="54"/>
      <c r="SXM2476" s="60"/>
      <c r="SXN2476" s="60"/>
      <c r="SXO2476" s="60"/>
      <c r="SXP2476" s="60"/>
      <c r="SXQ2476" s="63"/>
      <c r="SXR2476" s="61"/>
      <c r="SXS2476" s="54"/>
      <c r="SXT2476" s="54"/>
      <c r="SXU2476" s="60"/>
      <c r="SXV2476" s="60"/>
      <c r="SXW2476" s="60"/>
      <c r="SXX2476" s="60"/>
      <c r="SXY2476" s="63"/>
      <c r="SXZ2476" s="61"/>
      <c r="SYA2476" s="54"/>
      <c r="SYB2476" s="54"/>
      <c r="SYC2476" s="60"/>
      <c r="SYD2476" s="60"/>
      <c r="SYE2476" s="60"/>
      <c r="SYF2476" s="60"/>
      <c r="SYG2476" s="63"/>
      <c r="SYH2476" s="61"/>
      <c r="SYI2476" s="54"/>
      <c r="SYJ2476" s="54"/>
      <c r="SYK2476" s="60"/>
      <c r="SYL2476" s="60"/>
      <c r="SYM2476" s="60"/>
      <c r="SYN2476" s="60"/>
      <c r="SYO2476" s="63"/>
      <c r="SYP2476" s="61"/>
      <c r="SYQ2476" s="54"/>
      <c r="SYR2476" s="54"/>
      <c r="SYS2476" s="60"/>
      <c r="SYT2476" s="60"/>
      <c r="SYU2476" s="60"/>
      <c r="SYV2476" s="60"/>
      <c r="SYW2476" s="63"/>
      <c r="SYX2476" s="61"/>
      <c r="SYY2476" s="54"/>
      <c r="SYZ2476" s="54"/>
      <c r="SZA2476" s="60"/>
      <c r="SZB2476" s="60"/>
      <c r="SZC2476" s="60"/>
      <c r="SZD2476" s="60"/>
      <c r="SZE2476" s="63"/>
      <c r="SZF2476" s="61"/>
      <c r="SZG2476" s="54"/>
      <c r="SZH2476" s="54"/>
      <c r="SZI2476" s="60"/>
      <c r="SZJ2476" s="60"/>
      <c r="SZK2476" s="60"/>
      <c r="SZL2476" s="60"/>
      <c r="SZM2476" s="63"/>
      <c r="SZN2476" s="61"/>
      <c r="SZO2476" s="54"/>
      <c r="SZP2476" s="54"/>
      <c r="SZQ2476" s="60"/>
      <c r="SZR2476" s="60"/>
      <c r="SZS2476" s="60"/>
      <c r="SZT2476" s="60"/>
      <c r="SZU2476" s="63"/>
      <c r="SZV2476" s="61"/>
      <c r="SZW2476" s="54"/>
      <c r="SZX2476" s="54"/>
      <c r="SZY2476" s="60"/>
      <c r="SZZ2476" s="60"/>
      <c r="TAA2476" s="60"/>
      <c r="TAB2476" s="60"/>
      <c r="TAC2476" s="63"/>
      <c r="TAD2476" s="61"/>
      <c r="TAE2476" s="54"/>
      <c r="TAF2476" s="54"/>
      <c r="TAG2476" s="60"/>
      <c r="TAH2476" s="60"/>
      <c r="TAI2476" s="60"/>
      <c r="TAJ2476" s="60"/>
      <c r="TAK2476" s="63"/>
      <c r="TAL2476" s="61"/>
      <c r="TAM2476" s="54"/>
      <c r="TAN2476" s="54"/>
      <c r="TAO2476" s="60"/>
      <c r="TAP2476" s="60"/>
      <c r="TAQ2476" s="60"/>
      <c r="TAR2476" s="60"/>
      <c r="TAS2476" s="63"/>
      <c r="TAT2476" s="61"/>
      <c r="TAU2476" s="54"/>
      <c r="TAV2476" s="54"/>
      <c r="TAW2476" s="60"/>
      <c r="TAX2476" s="60"/>
      <c r="TAY2476" s="60"/>
      <c r="TAZ2476" s="60"/>
      <c r="TBA2476" s="63"/>
      <c r="TBB2476" s="61"/>
      <c r="TBC2476" s="54"/>
      <c r="TBD2476" s="54"/>
      <c r="TBE2476" s="60"/>
      <c r="TBF2476" s="60"/>
      <c r="TBG2476" s="60"/>
      <c r="TBH2476" s="60"/>
      <c r="TBI2476" s="63"/>
      <c r="TBJ2476" s="61"/>
      <c r="TBK2476" s="54"/>
      <c r="TBL2476" s="54"/>
      <c r="TBM2476" s="60"/>
      <c r="TBN2476" s="60"/>
      <c r="TBO2476" s="60"/>
      <c r="TBP2476" s="60"/>
      <c r="TBQ2476" s="63"/>
      <c r="TBR2476" s="61"/>
      <c r="TBS2476" s="54"/>
      <c r="TBT2476" s="54"/>
      <c r="TBU2476" s="60"/>
      <c r="TBV2476" s="60"/>
      <c r="TBW2476" s="60"/>
      <c r="TBX2476" s="60"/>
      <c r="TBY2476" s="63"/>
      <c r="TBZ2476" s="61"/>
      <c r="TCA2476" s="54"/>
      <c r="TCB2476" s="54"/>
      <c r="TCC2476" s="60"/>
      <c r="TCD2476" s="60"/>
      <c r="TCE2476" s="60"/>
      <c r="TCF2476" s="60"/>
      <c r="TCG2476" s="63"/>
      <c r="TCH2476" s="61"/>
      <c r="TCI2476" s="54"/>
      <c r="TCJ2476" s="54"/>
      <c r="TCK2476" s="60"/>
      <c r="TCL2476" s="60"/>
      <c r="TCM2476" s="60"/>
      <c r="TCN2476" s="60"/>
      <c r="TCO2476" s="63"/>
      <c r="TCP2476" s="61"/>
      <c r="TCQ2476" s="54"/>
      <c r="TCR2476" s="54"/>
      <c r="TCS2476" s="60"/>
      <c r="TCT2476" s="60"/>
      <c r="TCU2476" s="60"/>
      <c r="TCV2476" s="60"/>
      <c r="TCW2476" s="63"/>
      <c r="TCX2476" s="61"/>
      <c r="TCY2476" s="54"/>
      <c r="TCZ2476" s="54"/>
      <c r="TDA2476" s="60"/>
      <c r="TDB2476" s="60"/>
      <c r="TDC2476" s="60"/>
      <c r="TDD2476" s="60"/>
      <c r="TDE2476" s="63"/>
      <c r="TDF2476" s="61"/>
      <c r="TDG2476" s="54"/>
      <c r="TDH2476" s="54"/>
      <c r="TDI2476" s="60"/>
      <c r="TDJ2476" s="60"/>
      <c r="TDK2476" s="60"/>
      <c r="TDL2476" s="60"/>
      <c r="TDM2476" s="63"/>
      <c r="TDN2476" s="61"/>
      <c r="TDO2476" s="54"/>
      <c r="TDP2476" s="54"/>
      <c r="TDQ2476" s="60"/>
      <c r="TDR2476" s="60"/>
      <c r="TDS2476" s="60"/>
      <c r="TDT2476" s="60"/>
      <c r="TDU2476" s="63"/>
      <c r="TDV2476" s="61"/>
      <c r="TDW2476" s="54"/>
      <c r="TDX2476" s="54"/>
      <c r="TDY2476" s="60"/>
      <c r="TDZ2476" s="60"/>
      <c r="TEA2476" s="60"/>
      <c r="TEB2476" s="60"/>
      <c r="TEC2476" s="63"/>
      <c r="TED2476" s="61"/>
      <c r="TEE2476" s="54"/>
      <c r="TEF2476" s="54"/>
      <c r="TEG2476" s="60"/>
      <c r="TEH2476" s="60"/>
      <c r="TEI2476" s="60"/>
      <c r="TEJ2476" s="60"/>
      <c r="TEK2476" s="63"/>
      <c r="TEL2476" s="61"/>
      <c r="TEM2476" s="54"/>
      <c r="TEN2476" s="54"/>
      <c r="TEO2476" s="60"/>
      <c r="TEP2476" s="60"/>
      <c r="TEQ2476" s="60"/>
      <c r="TER2476" s="60"/>
      <c r="TES2476" s="63"/>
      <c r="TET2476" s="61"/>
      <c r="TEU2476" s="54"/>
      <c r="TEV2476" s="54"/>
      <c r="TEW2476" s="60"/>
      <c r="TEX2476" s="60"/>
      <c r="TEY2476" s="60"/>
      <c r="TEZ2476" s="60"/>
      <c r="TFA2476" s="63"/>
      <c r="TFB2476" s="61"/>
      <c r="TFC2476" s="54"/>
      <c r="TFD2476" s="54"/>
      <c r="TFE2476" s="60"/>
      <c r="TFF2476" s="60"/>
      <c r="TFG2476" s="60"/>
      <c r="TFH2476" s="60"/>
      <c r="TFI2476" s="63"/>
      <c r="TFJ2476" s="61"/>
      <c r="TFK2476" s="54"/>
      <c r="TFL2476" s="54"/>
      <c r="TFM2476" s="60"/>
      <c r="TFN2476" s="60"/>
      <c r="TFO2476" s="60"/>
      <c r="TFP2476" s="60"/>
      <c r="TFQ2476" s="63"/>
      <c r="TFR2476" s="61"/>
      <c r="TFS2476" s="54"/>
      <c r="TFT2476" s="54"/>
      <c r="TFU2476" s="60"/>
      <c r="TFV2476" s="60"/>
      <c r="TFW2476" s="60"/>
      <c r="TFX2476" s="60"/>
      <c r="TFY2476" s="63"/>
      <c r="TFZ2476" s="61"/>
      <c r="TGA2476" s="54"/>
      <c r="TGB2476" s="54"/>
      <c r="TGC2476" s="60"/>
      <c r="TGD2476" s="60"/>
      <c r="TGE2476" s="60"/>
      <c r="TGF2476" s="60"/>
      <c r="TGG2476" s="63"/>
      <c r="TGH2476" s="61"/>
      <c r="TGI2476" s="54"/>
      <c r="TGJ2476" s="54"/>
      <c r="TGK2476" s="60"/>
      <c r="TGL2476" s="60"/>
      <c r="TGM2476" s="60"/>
      <c r="TGN2476" s="60"/>
      <c r="TGO2476" s="63"/>
      <c r="TGP2476" s="61"/>
      <c r="TGQ2476" s="54"/>
      <c r="TGR2476" s="54"/>
      <c r="TGS2476" s="60"/>
      <c r="TGT2476" s="60"/>
      <c r="TGU2476" s="60"/>
      <c r="TGV2476" s="60"/>
      <c r="TGW2476" s="63"/>
      <c r="TGX2476" s="61"/>
      <c r="TGY2476" s="54"/>
      <c r="TGZ2476" s="54"/>
      <c r="THA2476" s="60"/>
      <c r="THB2476" s="60"/>
      <c r="THC2476" s="60"/>
      <c r="THD2476" s="60"/>
      <c r="THE2476" s="63"/>
      <c r="THF2476" s="61"/>
      <c r="THG2476" s="54"/>
      <c r="THH2476" s="54"/>
      <c r="THI2476" s="60"/>
      <c r="THJ2476" s="60"/>
      <c r="THK2476" s="60"/>
      <c r="THL2476" s="60"/>
      <c r="THM2476" s="63"/>
      <c r="THN2476" s="61"/>
      <c r="THO2476" s="54"/>
      <c r="THP2476" s="54"/>
      <c r="THQ2476" s="60"/>
      <c r="THR2476" s="60"/>
      <c r="THS2476" s="60"/>
      <c r="THT2476" s="60"/>
      <c r="THU2476" s="63"/>
      <c r="THV2476" s="61"/>
      <c r="THW2476" s="54"/>
      <c r="THX2476" s="54"/>
      <c r="THY2476" s="60"/>
      <c r="THZ2476" s="60"/>
      <c r="TIA2476" s="60"/>
      <c r="TIB2476" s="60"/>
      <c r="TIC2476" s="63"/>
      <c r="TID2476" s="61"/>
      <c r="TIE2476" s="54"/>
      <c r="TIF2476" s="54"/>
      <c r="TIG2476" s="60"/>
      <c r="TIH2476" s="60"/>
      <c r="TII2476" s="60"/>
      <c r="TIJ2476" s="60"/>
      <c r="TIK2476" s="63"/>
      <c r="TIL2476" s="61"/>
      <c r="TIM2476" s="54"/>
      <c r="TIN2476" s="54"/>
      <c r="TIO2476" s="60"/>
      <c r="TIP2476" s="60"/>
      <c r="TIQ2476" s="60"/>
      <c r="TIR2476" s="60"/>
      <c r="TIS2476" s="63"/>
      <c r="TIT2476" s="61"/>
      <c r="TIU2476" s="54"/>
      <c r="TIV2476" s="54"/>
      <c r="TIW2476" s="60"/>
      <c r="TIX2476" s="60"/>
      <c r="TIY2476" s="60"/>
      <c r="TIZ2476" s="60"/>
      <c r="TJA2476" s="63"/>
      <c r="TJB2476" s="61"/>
      <c r="TJC2476" s="54"/>
      <c r="TJD2476" s="54"/>
      <c r="TJE2476" s="60"/>
      <c r="TJF2476" s="60"/>
      <c r="TJG2476" s="60"/>
      <c r="TJH2476" s="60"/>
      <c r="TJI2476" s="63"/>
      <c r="TJJ2476" s="61"/>
      <c r="TJK2476" s="54"/>
      <c r="TJL2476" s="54"/>
      <c r="TJM2476" s="60"/>
      <c r="TJN2476" s="60"/>
      <c r="TJO2476" s="60"/>
      <c r="TJP2476" s="60"/>
      <c r="TJQ2476" s="63"/>
      <c r="TJR2476" s="61"/>
      <c r="TJS2476" s="54"/>
      <c r="TJT2476" s="54"/>
      <c r="TJU2476" s="60"/>
      <c r="TJV2476" s="60"/>
      <c r="TJW2476" s="60"/>
      <c r="TJX2476" s="60"/>
      <c r="TJY2476" s="63"/>
      <c r="TJZ2476" s="61"/>
      <c r="TKA2476" s="54"/>
      <c r="TKB2476" s="54"/>
      <c r="TKC2476" s="60"/>
      <c r="TKD2476" s="60"/>
      <c r="TKE2476" s="60"/>
      <c r="TKF2476" s="60"/>
      <c r="TKG2476" s="63"/>
      <c r="TKH2476" s="61"/>
      <c r="TKI2476" s="54"/>
      <c r="TKJ2476" s="54"/>
      <c r="TKK2476" s="60"/>
      <c r="TKL2476" s="60"/>
      <c r="TKM2476" s="60"/>
      <c r="TKN2476" s="60"/>
      <c r="TKO2476" s="63"/>
      <c r="TKP2476" s="61"/>
      <c r="TKQ2476" s="54"/>
      <c r="TKR2476" s="54"/>
      <c r="TKS2476" s="60"/>
      <c r="TKT2476" s="60"/>
      <c r="TKU2476" s="60"/>
      <c r="TKV2476" s="60"/>
      <c r="TKW2476" s="63"/>
      <c r="TKX2476" s="61"/>
      <c r="TKY2476" s="54"/>
      <c r="TKZ2476" s="54"/>
      <c r="TLA2476" s="60"/>
      <c r="TLB2476" s="60"/>
      <c r="TLC2476" s="60"/>
      <c r="TLD2476" s="60"/>
      <c r="TLE2476" s="63"/>
      <c r="TLF2476" s="61"/>
      <c r="TLG2476" s="54"/>
      <c r="TLH2476" s="54"/>
      <c r="TLI2476" s="60"/>
      <c r="TLJ2476" s="60"/>
      <c r="TLK2476" s="60"/>
      <c r="TLL2476" s="60"/>
      <c r="TLM2476" s="63"/>
      <c r="TLN2476" s="61"/>
      <c r="TLO2476" s="54"/>
      <c r="TLP2476" s="54"/>
      <c r="TLQ2476" s="60"/>
      <c r="TLR2476" s="60"/>
      <c r="TLS2476" s="60"/>
      <c r="TLT2476" s="60"/>
      <c r="TLU2476" s="63"/>
      <c r="TLV2476" s="61"/>
      <c r="TLW2476" s="54"/>
      <c r="TLX2476" s="54"/>
      <c r="TLY2476" s="60"/>
      <c r="TLZ2476" s="60"/>
      <c r="TMA2476" s="60"/>
      <c r="TMB2476" s="60"/>
      <c r="TMC2476" s="63"/>
      <c r="TMD2476" s="61"/>
      <c r="TME2476" s="54"/>
      <c r="TMF2476" s="54"/>
      <c r="TMG2476" s="60"/>
      <c r="TMH2476" s="60"/>
      <c r="TMI2476" s="60"/>
      <c r="TMJ2476" s="60"/>
      <c r="TMK2476" s="63"/>
      <c r="TML2476" s="61"/>
      <c r="TMM2476" s="54"/>
      <c r="TMN2476" s="54"/>
      <c r="TMO2476" s="60"/>
      <c r="TMP2476" s="60"/>
      <c r="TMQ2476" s="60"/>
      <c r="TMR2476" s="60"/>
      <c r="TMS2476" s="63"/>
      <c r="TMT2476" s="61"/>
      <c r="TMU2476" s="54"/>
      <c r="TMV2476" s="54"/>
      <c r="TMW2476" s="60"/>
      <c r="TMX2476" s="60"/>
      <c r="TMY2476" s="60"/>
      <c r="TMZ2476" s="60"/>
      <c r="TNA2476" s="63"/>
      <c r="TNB2476" s="61"/>
      <c r="TNC2476" s="54"/>
      <c r="TND2476" s="54"/>
      <c r="TNE2476" s="60"/>
      <c r="TNF2476" s="60"/>
      <c r="TNG2476" s="60"/>
      <c r="TNH2476" s="60"/>
      <c r="TNI2476" s="63"/>
      <c r="TNJ2476" s="61"/>
      <c r="TNK2476" s="54"/>
      <c r="TNL2476" s="54"/>
      <c r="TNM2476" s="60"/>
      <c r="TNN2476" s="60"/>
      <c r="TNO2476" s="60"/>
      <c r="TNP2476" s="60"/>
      <c r="TNQ2476" s="63"/>
      <c r="TNR2476" s="61"/>
      <c r="TNS2476" s="54"/>
      <c r="TNT2476" s="54"/>
      <c r="TNU2476" s="60"/>
      <c r="TNV2476" s="60"/>
      <c r="TNW2476" s="60"/>
      <c r="TNX2476" s="60"/>
      <c r="TNY2476" s="63"/>
      <c r="TNZ2476" s="61"/>
      <c r="TOA2476" s="54"/>
      <c r="TOB2476" s="54"/>
      <c r="TOC2476" s="60"/>
      <c r="TOD2476" s="60"/>
      <c r="TOE2476" s="60"/>
      <c r="TOF2476" s="60"/>
      <c r="TOG2476" s="63"/>
      <c r="TOH2476" s="61"/>
      <c r="TOI2476" s="54"/>
      <c r="TOJ2476" s="54"/>
      <c r="TOK2476" s="60"/>
      <c r="TOL2476" s="60"/>
      <c r="TOM2476" s="60"/>
      <c r="TON2476" s="60"/>
      <c r="TOO2476" s="63"/>
      <c r="TOP2476" s="61"/>
      <c r="TOQ2476" s="54"/>
      <c r="TOR2476" s="54"/>
      <c r="TOS2476" s="60"/>
      <c r="TOT2476" s="60"/>
      <c r="TOU2476" s="60"/>
      <c r="TOV2476" s="60"/>
      <c r="TOW2476" s="63"/>
      <c r="TOX2476" s="61"/>
      <c r="TOY2476" s="54"/>
      <c r="TOZ2476" s="54"/>
      <c r="TPA2476" s="60"/>
      <c r="TPB2476" s="60"/>
      <c r="TPC2476" s="60"/>
      <c r="TPD2476" s="60"/>
      <c r="TPE2476" s="63"/>
      <c r="TPF2476" s="61"/>
      <c r="TPG2476" s="54"/>
      <c r="TPH2476" s="54"/>
      <c r="TPI2476" s="60"/>
      <c r="TPJ2476" s="60"/>
      <c r="TPK2476" s="60"/>
      <c r="TPL2476" s="60"/>
      <c r="TPM2476" s="63"/>
      <c r="TPN2476" s="61"/>
      <c r="TPO2476" s="54"/>
      <c r="TPP2476" s="54"/>
      <c r="TPQ2476" s="60"/>
      <c r="TPR2476" s="60"/>
      <c r="TPS2476" s="60"/>
      <c r="TPT2476" s="60"/>
      <c r="TPU2476" s="63"/>
      <c r="TPV2476" s="61"/>
      <c r="TPW2476" s="54"/>
      <c r="TPX2476" s="54"/>
      <c r="TPY2476" s="60"/>
      <c r="TPZ2476" s="60"/>
      <c r="TQA2476" s="60"/>
      <c r="TQB2476" s="60"/>
      <c r="TQC2476" s="63"/>
      <c r="TQD2476" s="61"/>
      <c r="TQE2476" s="54"/>
      <c r="TQF2476" s="54"/>
      <c r="TQG2476" s="60"/>
      <c r="TQH2476" s="60"/>
      <c r="TQI2476" s="60"/>
      <c r="TQJ2476" s="60"/>
      <c r="TQK2476" s="63"/>
      <c r="TQL2476" s="61"/>
      <c r="TQM2476" s="54"/>
      <c r="TQN2476" s="54"/>
      <c r="TQO2476" s="60"/>
      <c r="TQP2476" s="60"/>
      <c r="TQQ2476" s="60"/>
      <c r="TQR2476" s="60"/>
      <c r="TQS2476" s="63"/>
      <c r="TQT2476" s="61"/>
      <c r="TQU2476" s="54"/>
      <c r="TQV2476" s="54"/>
      <c r="TQW2476" s="60"/>
      <c r="TQX2476" s="60"/>
      <c r="TQY2476" s="60"/>
      <c r="TQZ2476" s="60"/>
      <c r="TRA2476" s="63"/>
      <c r="TRB2476" s="61"/>
      <c r="TRC2476" s="54"/>
      <c r="TRD2476" s="54"/>
      <c r="TRE2476" s="60"/>
      <c r="TRF2476" s="60"/>
      <c r="TRG2476" s="60"/>
      <c r="TRH2476" s="60"/>
      <c r="TRI2476" s="63"/>
      <c r="TRJ2476" s="61"/>
      <c r="TRK2476" s="54"/>
      <c r="TRL2476" s="54"/>
      <c r="TRM2476" s="60"/>
      <c r="TRN2476" s="60"/>
      <c r="TRO2476" s="60"/>
      <c r="TRP2476" s="60"/>
      <c r="TRQ2476" s="63"/>
      <c r="TRR2476" s="61"/>
      <c r="TRS2476" s="54"/>
      <c r="TRT2476" s="54"/>
      <c r="TRU2476" s="60"/>
      <c r="TRV2476" s="60"/>
      <c r="TRW2476" s="60"/>
      <c r="TRX2476" s="60"/>
      <c r="TRY2476" s="63"/>
      <c r="TRZ2476" s="61"/>
      <c r="TSA2476" s="54"/>
      <c r="TSB2476" s="54"/>
      <c r="TSC2476" s="60"/>
      <c r="TSD2476" s="60"/>
      <c r="TSE2476" s="60"/>
      <c r="TSF2476" s="60"/>
      <c r="TSG2476" s="63"/>
      <c r="TSH2476" s="61"/>
      <c r="TSI2476" s="54"/>
      <c r="TSJ2476" s="54"/>
      <c r="TSK2476" s="60"/>
      <c r="TSL2476" s="60"/>
      <c r="TSM2476" s="60"/>
      <c r="TSN2476" s="60"/>
      <c r="TSO2476" s="63"/>
      <c r="TSP2476" s="61"/>
      <c r="TSQ2476" s="54"/>
      <c r="TSR2476" s="54"/>
      <c r="TSS2476" s="60"/>
      <c r="TST2476" s="60"/>
      <c r="TSU2476" s="60"/>
      <c r="TSV2476" s="60"/>
      <c r="TSW2476" s="63"/>
      <c r="TSX2476" s="61"/>
      <c r="TSY2476" s="54"/>
      <c r="TSZ2476" s="54"/>
      <c r="TTA2476" s="60"/>
      <c r="TTB2476" s="60"/>
      <c r="TTC2476" s="60"/>
      <c r="TTD2476" s="60"/>
      <c r="TTE2476" s="63"/>
      <c r="TTF2476" s="61"/>
      <c r="TTG2476" s="54"/>
      <c r="TTH2476" s="54"/>
      <c r="TTI2476" s="60"/>
      <c r="TTJ2476" s="60"/>
      <c r="TTK2476" s="60"/>
      <c r="TTL2476" s="60"/>
      <c r="TTM2476" s="63"/>
      <c r="TTN2476" s="61"/>
      <c r="TTO2476" s="54"/>
      <c r="TTP2476" s="54"/>
      <c r="TTQ2476" s="60"/>
      <c r="TTR2476" s="60"/>
      <c r="TTS2476" s="60"/>
      <c r="TTT2476" s="60"/>
      <c r="TTU2476" s="63"/>
      <c r="TTV2476" s="61"/>
      <c r="TTW2476" s="54"/>
      <c r="TTX2476" s="54"/>
      <c r="TTY2476" s="60"/>
      <c r="TTZ2476" s="60"/>
      <c r="TUA2476" s="60"/>
      <c r="TUB2476" s="60"/>
      <c r="TUC2476" s="63"/>
      <c r="TUD2476" s="61"/>
      <c r="TUE2476" s="54"/>
      <c r="TUF2476" s="54"/>
      <c r="TUG2476" s="60"/>
      <c r="TUH2476" s="60"/>
      <c r="TUI2476" s="60"/>
      <c r="TUJ2476" s="60"/>
      <c r="TUK2476" s="63"/>
      <c r="TUL2476" s="61"/>
      <c r="TUM2476" s="54"/>
      <c r="TUN2476" s="54"/>
      <c r="TUO2476" s="60"/>
      <c r="TUP2476" s="60"/>
      <c r="TUQ2476" s="60"/>
      <c r="TUR2476" s="60"/>
      <c r="TUS2476" s="63"/>
      <c r="TUT2476" s="61"/>
      <c r="TUU2476" s="54"/>
      <c r="TUV2476" s="54"/>
      <c r="TUW2476" s="60"/>
      <c r="TUX2476" s="60"/>
      <c r="TUY2476" s="60"/>
      <c r="TUZ2476" s="60"/>
      <c r="TVA2476" s="63"/>
      <c r="TVB2476" s="61"/>
      <c r="TVC2476" s="54"/>
      <c r="TVD2476" s="54"/>
      <c r="TVE2476" s="60"/>
      <c r="TVF2476" s="60"/>
      <c r="TVG2476" s="60"/>
      <c r="TVH2476" s="60"/>
      <c r="TVI2476" s="63"/>
      <c r="TVJ2476" s="61"/>
      <c r="TVK2476" s="54"/>
      <c r="TVL2476" s="54"/>
      <c r="TVM2476" s="60"/>
      <c r="TVN2476" s="60"/>
      <c r="TVO2476" s="60"/>
      <c r="TVP2476" s="60"/>
      <c r="TVQ2476" s="63"/>
      <c r="TVR2476" s="61"/>
      <c r="TVS2476" s="54"/>
      <c r="TVT2476" s="54"/>
      <c r="TVU2476" s="60"/>
      <c r="TVV2476" s="60"/>
      <c r="TVW2476" s="60"/>
      <c r="TVX2476" s="60"/>
      <c r="TVY2476" s="63"/>
      <c r="TVZ2476" s="61"/>
      <c r="TWA2476" s="54"/>
      <c r="TWB2476" s="54"/>
      <c r="TWC2476" s="60"/>
      <c r="TWD2476" s="60"/>
      <c r="TWE2476" s="60"/>
      <c r="TWF2476" s="60"/>
      <c r="TWG2476" s="63"/>
      <c r="TWH2476" s="61"/>
      <c r="TWI2476" s="54"/>
      <c r="TWJ2476" s="54"/>
      <c r="TWK2476" s="60"/>
      <c r="TWL2476" s="60"/>
      <c r="TWM2476" s="60"/>
      <c r="TWN2476" s="60"/>
      <c r="TWO2476" s="63"/>
      <c r="TWP2476" s="61"/>
      <c r="TWQ2476" s="54"/>
      <c r="TWR2476" s="54"/>
      <c r="TWS2476" s="60"/>
      <c r="TWT2476" s="60"/>
      <c r="TWU2476" s="60"/>
      <c r="TWV2476" s="60"/>
      <c r="TWW2476" s="63"/>
      <c r="TWX2476" s="61"/>
      <c r="TWY2476" s="54"/>
      <c r="TWZ2476" s="54"/>
      <c r="TXA2476" s="60"/>
      <c r="TXB2476" s="60"/>
      <c r="TXC2476" s="60"/>
      <c r="TXD2476" s="60"/>
      <c r="TXE2476" s="63"/>
      <c r="TXF2476" s="61"/>
      <c r="TXG2476" s="54"/>
      <c r="TXH2476" s="54"/>
      <c r="TXI2476" s="60"/>
      <c r="TXJ2476" s="60"/>
      <c r="TXK2476" s="60"/>
      <c r="TXL2476" s="60"/>
      <c r="TXM2476" s="63"/>
      <c r="TXN2476" s="61"/>
      <c r="TXO2476" s="54"/>
      <c r="TXP2476" s="54"/>
      <c r="TXQ2476" s="60"/>
      <c r="TXR2476" s="60"/>
      <c r="TXS2476" s="60"/>
      <c r="TXT2476" s="60"/>
      <c r="TXU2476" s="63"/>
      <c r="TXV2476" s="61"/>
      <c r="TXW2476" s="54"/>
      <c r="TXX2476" s="54"/>
      <c r="TXY2476" s="60"/>
      <c r="TXZ2476" s="60"/>
      <c r="TYA2476" s="60"/>
      <c r="TYB2476" s="60"/>
      <c r="TYC2476" s="63"/>
      <c r="TYD2476" s="61"/>
      <c r="TYE2476" s="54"/>
      <c r="TYF2476" s="54"/>
      <c r="TYG2476" s="60"/>
      <c r="TYH2476" s="60"/>
      <c r="TYI2476" s="60"/>
      <c r="TYJ2476" s="60"/>
      <c r="TYK2476" s="63"/>
      <c r="TYL2476" s="61"/>
      <c r="TYM2476" s="54"/>
      <c r="TYN2476" s="54"/>
      <c r="TYO2476" s="60"/>
      <c r="TYP2476" s="60"/>
      <c r="TYQ2476" s="60"/>
      <c r="TYR2476" s="60"/>
      <c r="TYS2476" s="63"/>
      <c r="TYT2476" s="61"/>
      <c r="TYU2476" s="54"/>
      <c r="TYV2476" s="54"/>
      <c r="TYW2476" s="60"/>
      <c r="TYX2476" s="60"/>
      <c r="TYY2476" s="60"/>
      <c r="TYZ2476" s="60"/>
      <c r="TZA2476" s="63"/>
      <c r="TZB2476" s="61"/>
      <c r="TZC2476" s="54"/>
      <c r="TZD2476" s="54"/>
      <c r="TZE2476" s="60"/>
      <c r="TZF2476" s="60"/>
      <c r="TZG2476" s="60"/>
      <c r="TZH2476" s="60"/>
      <c r="TZI2476" s="63"/>
      <c r="TZJ2476" s="61"/>
      <c r="TZK2476" s="54"/>
      <c r="TZL2476" s="54"/>
      <c r="TZM2476" s="60"/>
      <c r="TZN2476" s="60"/>
      <c r="TZO2476" s="60"/>
      <c r="TZP2476" s="60"/>
      <c r="TZQ2476" s="63"/>
      <c r="TZR2476" s="61"/>
      <c r="TZS2476" s="54"/>
      <c r="TZT2476" s="54"/>
      <c r="TZU2476" s="60"/>
      <c r="TZV2476" s="60"/>
      <c r="TZW2476" s="60"/>
      <c r="TZX2476" s="60"/>
      <c r="TZY2476" s="63"/>
      <c r="TZZ2476" s="61"/>
      <c r="UAA2476" s="54"/>
      <c r="UAB2476" s="54"/>
      <c r="UAC2476" s="60"/>
      <c r="UAD2476" s="60"/>
      <c r="UAE2476" s="60"/>
      <c r="UAF2476" s="60"/>
      <c r="UAG2476" s="63"/>
      <c r="UAH2476" s="61"/>
      <c r="UAI2476" s="54"/>
      <c r="UAJ2476" s="54"/>
      <c r="UAK2476" s="60"/>
      <c r="UAL2476" s="60"/>
      <c r="UAM2476" s="60"/>
      <c r="UAN2476" s="60"/>
      <c r="UAO2476" s="63"/>
      <c r="UAP2476" s="61"/>
      <c r="UAQ2476" s="54"/>
      <c r="UAR2476" s="54"/>
      <c r="UAS2476" s="60"/>
      <c r="UAT2476" s="60"/>
      <c r="UAU2476" s="60"/>
      <c r="UAV2476" s="60"/>
      <c r="UAW2476" s="63"/>
      <c r="UAX2476" s="61"/>
      <c r="UAY2476" s="54"/>
      <c r="UAZ2476" s="54"/>
      <c r="UBA2476" s="60"/>
      <c r="UBB2476" s="60"/>
      <c r="UBC2476" s="60"/>
      <c r="UBD2476" s="60"/>
      <c r="UBE2476" s="63"/>
      <c r="UBF2476" s="61"/>
      <c r="UBG2476" s="54"/>
      <c r="UBH2476" s="54"/>
      <c r="UBI2476" s="60"/>
      <c r="UBJ2476" s="60"/>
      <c r="UBK2476" s="60"/>
      <c r="UBL2476" s="60"/>
      <c r="UBM2476" s="63"/>
      <c r="UBN2476" s="61"/>
      <c r="UBO2476" s="54"/>
      <c r="UBP2476" s="54"/>
      <c r="UBQ2476" s="60"/>
      <c r="UBR2476" s="60"/>
      <c r="UBS2476" s="60"/>
      <c r="UBT2476" s="60"/>
      <c r="UBU2476" s="63"/>
      <c r="UBV2476" s="61"/>
      <c r="UBW2476" s="54"/>
      <c r="UBX2476" s="54"/>
      <c r="UBY2476" s="60"/>
      <c r="UBZ2476" s="60"/>
      <c r="UCA2476" s="60"/>
      <c r="UCB2476" s="60"/>
      <c r="UCC2476" s="63"/>
      <c r="UCD2476" s="61"/>
      <c r="UCE2476" s="54"/>
      <c r="UCF2476" s="54"/>
      <c r="UCG2476" s="60"/>
      <c r="UCH2476" s="60"/>
      <c r="UCI2476" s="60"/>
      <c r="UCJ2476" s="60"/>
      <c r="UCK2476" s="63"/>
      <c r="UCL2476" s="61"/>
      <c r="UCM2476" s="54"/>
      <c r="UCN2476" s="54"/>
      <c r="UCO2476" s="60"/>
      <c r="UCP2476" s="60"/>
      <c r="UCQ2476" s="60"/>
      <c r="UCR2476" s="60"/>
      <c r="UCS2476" s="63"/>
      <c r="UCT2476" s="61"/>
      <c r="UCU2476" s="54"/>
      <c r="UCV2476" s="54"/>
      <c r="UCW2476" s="60"/>
      <c r="UCX2476" s="60"/>
      <c r="UCY2476" s="60"/>
      <c r="UCZ2476" s="60"/>
      <c r="UDA2476" s="63"/>
      <c r="UDB2476" s="61"/>
      <c r="UDC2476" s="54"/>
      <c r="UDD2476" s="54"/>
      <c r="UDE2476" s="60"/>
      <c r="UDF2476" s="60"/>
      <c r="UDG2476" s="60"/>
      <c r="UDH2476" s="60"/>
      <c r="UDI2476" s="63"/>
      <c r="UDJ2476" s="61"/>
      <c r="UDK2476" s="54"/>
      <c r="UDL2476" s="54"/>
      <c r="UDM2476" s="60"/>
      <c r="UDN2476" s="60"/>
      <c r="UDO2476" s="60"/>
      <c r="UDP2476" s="60"/>
      <c r="UDQ2476" s="63"/>
      <c r="UDR2476" s="61"/>
      <c r="UDS2476" s="54"/>
      <c r="UDT2476" s="54"/>
      <c r="UDU2476" s="60"/>
      <c r="UDV2476" s="60"/>
      <c r="UDW2476" s="60"/>
      <c r="UDX2476" s="60"/>
      <c r="UDY2476" s="63"/>
      <c r="UDZ2476" s="61"/>
      <c r="UEA2476" s="54"/>
      <c r="UEB2476" s="54"/>
      <c r="UEC2476" s="60"/>
      <c r="UED2476" s="60"/>
      <c r="UEE2476" s="60"/>
      <c r="UEF2476" s="60"/>
      <c r="UEG2476" s="63"/>
      <c r="UEH2476" s="61"/>
      <c r="UEI2476" s="54"/>
      <c r="UEJ2476" s="54"/>
      <c r="UEK2476" s="60"/>
      <c r="UEL2476" s="60"/>
      <c r="UEM2476" s="60"/>
      <c r="UEN2476" s="60"/>
      <c r="UEO2476" s="63"/>
      <c r="UEP2476" s="61"/>
      <c r="UEQ2476" s="54"/>
      <c r="UER2476" s="54"/>
      <c r="UES2476" s="60"/>
      <c r="UET2476" s="60"/>
      <c r="UEU2476" s="60"/>
      <c r="UEV2476" s="60"/>
      <c r="UEW2476" s="63"/>
      <c r="UEX2476" s="61"/>
      <c r="UEY2476" s="54"/>
      <c r="UEZ2476" s="54"/>
      <c r="UFA2476" s="60"/>
      <c r="UFB2476" s="60"/>
      <c r="UFC2476" s="60"/>
      <c r="UFD2476" s="60"/>
      <c r="UFE2476" s="63"/>
      <c r="UFF2476" s="61"/>
      <c r="UFG2476" s="54"/>
      <c r="UFH2476" s="54"/>
      <c r="UFI2476" s="60"/>
      <c r="UFJ2476" s="60"/>
      <c r="UFK2476" s="60"/>
      <c r="UFL2476" s="60"/>
      <c r="UFM2476" s="63"/>
      <c r="UFN2476" s="61"/>
      <c r="UFO2476" s="54"/>
      <c r="UFP2476" s="54"/>
      <c r="UFQ2476" s="60"/>
      <c r="UFR2476" s="60"/>
      <c r="UFS2476" s="60"/>
      <c r="UFT2476" s="60"/>
      <c r="UFU2476" s="63"/>
      <c r="UFV2476" s="61"/>
      <c r="UFW2476" s="54"/>
      <c r="UFX2476" s="54"/>
      <c r="UFY2476" s="60"/>
      <c r="UFZ2476" s="60"/>
      <c r="UGA2476" s="60"/>
      <c r="UGB2476" s="60"/>
      <c r="UGC2476" s="63"/>
      <c r="UGD2476" s="61"/>
      <c r="UGE2476" s="54"/>
      <c r="UGF2476" s="54"/>
      <c r="UGG2476" s="60"/>
      <c r="UGH2476" s="60"/>
      <c r="UGI2476" s="60"/>
      <c r="UGJ2476" s="60"/>
      <c r="UGK2476" s="63"/>
      <c r="UGL2476" s="61"/>
      <c r="UGM2476" s="54"/>
      <c r="UGN2476" s="54"/>
      <c r="UGO2476" s="60"/>
      <c r="UGP2476" s="60"/>
      <c r="UGQ2476" s="60"/>
      <c r="UGR2476" s="60"/>
      <c r="UGS2476" s="63"/>
      <c r="UGT2476" s="61"/>
      <c r="UGU2476" s="54"/>
      <c r="UGV2476" s="54"/>
      <c r="UGW2476" s="60"/>
      <c r="UGX2476" s="60"/>
      <c r="UGY2476" s="60"/>
      <c r="UGZ2476" s="60"/>
      <c r="UHA2476" s="63"/>
      <c r="UHB2476" s="61"/>
      <c r="UHC2476" s="54"/>
      <c r="UHD2476" s="54"/>
      <c r="UHE2476" s="60"/>
      <c r="UHF2476" s="60"/>
      <c r="UHG2476" s="60"/>
      <c r="UHH2476" s="60"/>
      <c r="UHI2476" s="63"/>
      <c r="UHJ2476" s="61"/>
      <c r="UHK2476" s="54"/>
      <c r="UHL2476" s="54"/>
      <c r="UHM2476" s="60"/>
      <c r="UHN2476" s="60"/>
      <c r="UHO2476" s="60"/>
      <c r="UHP2476" s="60"/>
      <c r="UHQ2476" s="63"/>
      <c r="UHR2476" s="61"/>
      <c r="UHS2476" s="54"/>
      <c r="UHT2476" s="54"/>
      <c r="UHU2476" s="60"/>
      <c r="UHV2476" s="60"/>
      <c r="UHW2476" s="60"/>
      <c r="UHX2476" s="60"/>
      <c r="UHY2476" s="63"/>
      <c r="UHZ2476" s="61"/>
      <c r="UIA2476" s="54"/>
      <c r="UIB2476" s="54"/>
      <c r="UIC2476" s="60"/>
      <c r="UID2476" s="60"/>
      <c r="UIE2476" s="60"/>
      <c r="UIF2476" s="60"/>
      <c r="UIG2476" s="63"/>
      <c r="UIH2476" s="61"/>
      <c r="UII2476" s="54"/>
      <c r="UIJ2476" s="54"/>
      <c r="UIK2476" s="60"/>
      <c r="UIL2476" s="60"/>
      <c r="UIM2476" s="60"/>
      <c r="UIN2476" s="60"/>
      <c r="UIO2476" s="63"/>
      <c r="UIP2476" s="61"/>
      <c r="UIQ2476" s="54"/>
      <c r="UIR2476" s="54"/>
      <c r="UIS2476" s="60"/>
      <c r="UIT2476" s="60"/>
      <c r="UIU2476" s="60"/>
      <c r="UIV2476" s="60"/>
      <c r="UIW2476" s="63"/>
      <c r="UIX2476" s="61"/>
      <c r="UIY2476" s="54"/>
      <c r="UIZ2476" s="54"/>
      <c r="UJA2476" s="60"/>
      <c r="UJB2476" s="60"/>
      <c r="UJC2476" s="60"/>
      <c r="UJD2476" s="60"/>
      <c r="UJE2476" s="63"/>
      <c r="UJF2476" s="61"/>
      <c r="UJG2476" s="54"/>
      <c r="UJH2476" s="54"/>
      <c r="UJI2476" s="60"/>
      <c r="UJJ2476" s="60"/>
      <c r="UJK2476" s="60"/>
      <c r="UJL2476" s="60"/>
      <c r="UJM2476" s="63"/>
      <c r="UJN2476" s="61"/>
      <c r="UJO2476" s="54"/>
      <c r="UJP2476" s="54"/>
      <c r="UJQ2476" s="60"/>
      <c r="UJR2476" s="60"/>
      <c r="UJS2476" s="60"/>
      <c r="UJT2476" s="60"/>
      <c r="UJU2476" s="63"/>
      <c r="UJV2476" s="61"/>
      <c r="UJW2476" s="54"/>
      <c r="UJX2476" s="54"/>
      <c r="UJY2476" s="60"/>
      <c r="UJZ2476" s="60"/>
      <c r="UKA2476" s="60"/>
      <c r="UKB2476" s="60"/>
      <c r="UKC2476" s="63"/>
      <c r="UKD2476" s="61"/>
      <c r="UKE2476" s="54"/>
      <c r="UKF2476" s="54"/>
      <c r="UKG2476" s="60"/>
      <c r="UKH2476" s="60"/>
      <c r="UKI2476" s="60"/>
      <c r="UKJ2476" s="60"/>
      <c r="UKK2476" s="63"/>
      <c r="UKL2476" s="61"/>
      <c r="UKM2476" s="54"/>
      <c r="UKN2476" s="54"/>
      <c r="UKO2476" s="60"/>
      <c r="UKP2476" s="60"/>
      <c r="UKQ2476" s="60"/>
      <c r="UKR2476" s="60"/>
      <c r="UKS2476" s="63"/>
      <c r="UKT2476" s="61"/>
      <c r="UKU2476" s="54"/>
      <c r="UKV2476" s="54"/>
      <c r="UKW2476" s="60"/>
      <c r="UKX2476" s="60"/>
      <c r="UKY2476" s="60"/>
      <c r="UKZ2476" s="60"/>
      <c r="ULA2476" s="63"/>
      <c r="ULB2476" s="61"/>
      <c r="ULC2476" s="54"/>
      <c r="ULD2476" s="54"/>
      <c r="ULE2476" s="60"/>
      <c r="ULF2476" s="60"/>
      <c r="ULG2476" s="60"/>
      <c r="ULH2476" s="60"/>
      <c r="ULI2476" s="63"/>
      <c r="ULJ2476" s="61"/>
      <c r="ULK2476" s="54"/>
      <c r="ULL2476" s="54"/>
      <c r="ULM2476" s="60"/>
      <c r="ULN2476" s="60"/>
      <c r="ULO2476" s="60"/>
      <c r="ULP2476" s="60"/>
      <c r="ULQ2476" s="63"/>
      <c r="ULR2476" s="61"/>
      <c r="ULS2476" s="54"/>
      <c r="ULT2476" s="54"/>
      <c r="ULU2476" s="60"/>
      <c r="ULV2476" s="60"/>
      <c r="ULW2476" s="60"/>
      <c r="ULX2476" s="60"/>
      <c r="ULY2476" s="63"/>
      <c r="ULZ2476" s="61"/>
      <c r="UMA2476" s="54"/>
      <c r="UMB2476" s="54"/>
      <c r="UMC2476" s="60"/>
      <c r="UMD2476" s="60"/>
      <c r="UME2476" s="60"/>
      <c r="UMF2476" s="60"/>
      <c r="UMG2476" s="63"/>
      <c r="UMH2476" s="61"/>
      <c r="UMI2476" s="54"/>
      <c r="UMJ2476" s="54"/>
      <c r="UMK2476" s="60"/>
      <c r="UML2476" s="60"/>
      <c r="UMM2476" s="60"/>
      <c r="UMN2476" s="60"/>
      <c r="UMO2476" s="63"/>
      <c r="UMP2476" s="61"/>
      <c r="UMQ2476" s="54"/>
      <c r="UMR2476" s="54"/>
      <c r="UMS2476" s="60"/>
      <c r="UMT2476" s="60"/>
      <c r="UMU2476" s="60"/>
      <c r="UMV2476" s="60"/>
      <c r="UMW2476" s="63"/>
      <c r="UMX2476" s="61"/>
      <c r="UMY2476" s="54"/>
      <c r="UMZ2476" s="54"/>
      <c r="UNA2476" s="60"/>
      <c r="UNB2476" s="60"/>
      <c r="UNC2476" s="60"/>
      <c r="UND2476" s="60"/>
      <c r="UNE2476" s="63"/>
      <c r="UNF2476" s="61"/>
      <c r="UNG2476" s="54"/>
      <c r="UNH2476" s="54"/>
      <c r="UNI2476" s="60"/>
      <c r="UNJ2476" s="60"/>
      <c r="UNK2476" s="60"/>
      <c r="UNL2476" s="60"/>
      <c r="UNM2476" s="63"/>
      <c r="UNN2476" s="61"/>
      <c r="UNO2476" s="54"/>
      <c r="UNP2476" s="54"/>
      <c r="UNQ2476" s="60"/>
      <c r="UNR2476" s="60"/>
      <c r="UNS2476" s="60"/>
      <c r="UNT2476" s="60"/>
      <c r="UNU2476" s="63"/>
      <c r="UNV2476" s="61"/>
      <c r="UNW2476" s="54"/>
      <c r="UNX2476" s="54"/>
      <c r="UNY2476" s="60"/>
      <c r="UNZ2476" s="60"/>
      <c r="UOA2476" s="60"/>
      <c r="UOB2476" s="60"/>
      <c r="UOC2476" s="63"/>
      <c r="UOD2476" s="61"/>
      <c r="UOE2476" s="54"/>
      <c r="UOF2476" s="54"/>
      <c r="UOG2476" s="60"/>
      <c r="UOH2476" s="60"/>
      <c r="UOI2476" s="60"/>
      <c r="UOJ2476" s="60"/>
      <c r="UOK2476" s="63"/>
      <c r="UOL2476" s="61"/>
      <c r="UOM2476" s="54"/>
      <c r="UON2476" s="54"/>
      <c r="UOO2476" s="60"/>
      <c r="UOP2476" s="60"/>
      <c r="UOQ2476" s="60"/>
      <c r="UOR2476" s="60"/>
      <c r="UOS2476" s="63"/>
      <c r="UOT2476" s="61"/>
      <c r="UOU2476" s="54"/>
      <c r="UOV2476" s="54"/>
      <c r="UOW2476" s="60"/>
      <c r="UOX2476" s="60"/>
      <c r="UOY2476" s="60"/>
      <c r="UOZ2476" s="60"/>
      <c r="UPA2476" s="63"/>
      <c r="UPB2476" s="61"/>
      <c r="UPC2476" s="54"/>
      <c r="UPD2476" s="54"/>
      <c r="UPE2476" s="60"/>
      <c r="UPF2476" s="60"/>
      <c r="UPG2476" s="60"/>
      <c r="UPH2476" s="60"/>
      <c r="UPI2476" s="63"/>
      <c r="UPJ2476" s="61"/>
      <c r="UPK2476" s="54"/>
      <c r="UPL2476" s="54"/>
      <c r="UPM2476" s="60"/>
      <c r="UPN2476" s="60"/>
      <c r="UPO2476" s="60"/>
      <c r="UPP2476" s="60"/>
      <c r="UPQ2476" s="63"/>
      <c r="UPR2476" s="61"/>
      <c r="UPS2476" s="54"/>
      <c r="UPT2476" s="54"/>
      <c r="UPU2476" s="60"/>
      <c r="UPV2476" s="60"/>
      <c r="UPW2476" s="60"/>
      <c r="UPX2476" s="60"/>
      <c r="UPY2476" s="63"/>
      <c r="UPZ2476" s="61"/>
      <c r="UQA2476" s="54"/>
      <c r="UQB2476" s="54"/>
      <c r="UQC2476" s="60"/>
      <c r="UQD2476" s="60"/>
      <c r="UQE2476" s="60"/>
      <c r="UQF2476" s="60"/>
      <c r="UQG2476" s="63"/>
      <c r="UQH2476" s="61"/>
      <c r="UQI2476" s="54"/>
      <c r="UQJ2476" s="54"/>
      <c r="UQK2476" s="60"/>
      <c r="UQL2476" s="60"/>
      <c r="UQM2476" s="60"/>
      <c r="UQN2476" s="60"/>
      <c r="UQO2476" s="63"/>
      <c r="UQP2476" s="61"/>
      <c r="UQQ2476" s="54"/>
      <c r="UQR2476" s="54"/>
      <c r="UQS2476" s="60"/>
      <c r="UQT2476" s="60"/>
      <c r="UQU2476" s="60"/>
      <c r="UQV2476" s="60"/>
      <c r="UQW2476" s="63"/>
      <c r="UQX2476" s="61"/>
      <c r="UQY2476" s="54"/>
      <c r="UQZ2476" s="54"/>
      <c r="URA2476" s="60"/>
      <c r="URB2476" s="60"/>
      <c r="URC2476" s="60"/>
      <c r="URD2476" s="60"/>
      <c r="URE2476" s="63"/>
      <c r="URF2476" s="61"/>
      <c r="URG2476" s="54"/>
      <c r="URH2476" s="54"/>
      <c r="URI2476" s="60"/>
      <c r="URJ2476" s="60"/>
      <c r="URK2476" s="60"/>
      <c r="URL2476" s="60"/>
      <c r="URM2476" s="63"/>
      <c r="URN2476" s="61"/>
      <c r="URO2476" s="54"/>
      <c r="URP2476" s="54"/>
      <c r="URQ2476" s="60"/>
      <c r="URR2476" s="60"/>
      <c r="URS2476" s="60"/>
      <c r="URT2476" s="60"/>
      <c r="URU2476" s="63"/>
      <c r="URV2476" s="61"/>
      <c r="URW2476" s="54"/>
      <c r="URX2476" s="54"/>
      <c r="URY2476" s="60"/>
      <c r="URZ2476" s="60"/>
      <c r="USA2476" s="60"/>
      <c r="USB2476" s="60"/>
      <c r="USC2476" s="63"/>
      <c r="USD2476" s="61"/>
      <c r="USE2476" s="54"/>
      <c r="USF2476" s="54"/>
      <c r="USG2476" s="60"/>
      <c r="USH2476" s="60"/>
      <c r="USI2476" s="60"/>
      <c r="USJ2476" s="60"/>
      <c r="USK2476" s="63"/>
      <c r="USL2476" s="61"/>
      <c r="USM2476" s="54"/>
      <c r="USN2476" s="54"/>
      <c r="USO2476" s="60"/>
      <c r="USP2476" s="60"/>
      <c r="USQ2476" s="60"/>
      <c r="USR2476" s="60"/>
      <c r="USS2476" s="63"/>
      <c r="UST2476" s="61"/>
      <c r="USU2476" s="54"/>
      <c r="USV2476" s="54"/>
      <c r="USW2476" s="60"/>
      <c r="USX2476" s="60"/>
      <c r="USY2476" s="60"/>
      <c r="USZ2476" s="60"/>
      <c r="UTA2476" s="63"/>
      <c r="UTB2476" s="61"/>
      <c r="UTC2476" s="54"/>
      <c r="UTD2476" s="54"/>
      <c r="UTE2476" s="60"/>
      <c r="UTF2476" s="60"/>
      <c r="UTG2476" s="60"/>
      <c r="UTH2476" s="60"/>
      <c r="UTI2476" s="63"/>
      <c r="UTJ2476" s="61"/>
      <c r="UTK2476" s="54"/>
      <c r="UTL2476" s="54"/>
      <c r="UTM2476" s="60"/>
      <c r="UTN2476" s="60"/>
      <c r="UTO2476" s="60"/>
      <c r="UTP2476" s="60"/>
      <c r="UTQ2476" s="63"/>
      <c r="UTR2476" s="61"/>
      <c r="UTS2476" s="54"/>
      <c r="UTT2476" s="54"/>
      <c r="UTU2476" s="60"/>
      <c r="UTV2476" s="60"/>
      <c r="UTW2476" s="60"/>
      <c r="UTX2476" s="60"/>
      <c r="UTY2476" s="63"/>
      <c r="UTZ2476" s="61"/>
      <c r="UUA2476" s="54"/>
      <c r="UUB2476" s="54"/>
      <c r="UUC2476" s="60"/>
      <c r="UUD2476" s="60"/>
      <c r="UUE2476" s="60"/>
      <c r="UUF2476" s="60"/>
      <c r="UUG2476" s="63"/>
      <c r="UUH2476" s="61"/>
      <c r="UUI2476" s="54"/>
      <c r="UUJ2476" s="54"/>
      <c r="UUK2476" s="60"/>
      <c r="UUL2476" s="60"/>
      <c r="UUM2476" s="60"/>
      <c r="UUN2476" s="60"/>
      <c r="UUO2476" s="63"/>
      <c r="UUP2476" s="61"/>
      <c r="UUQ2476" s="54"/>
      <c r="UUR2476" s="54"/>
      <c r="UUS2476" s="60"/>
      <c r="UUT2476" s="60"/>
      <c r="UUU2476" s="60"/>
      <c r="UUV2476" s="60"/>
      <c r="UUW2476" s="63"/>
      <c r="UUX2476" s="61"/>
      <c r="UUY2476" s="54"/>
      <c r="UUZ2476" s="54"/>
      <c r="UVA2476" s="60"/>
      <c r="UVB2476" s="60"/>
      <c r="UVC2476" s="60"/>
      <c r="UVD2476" s="60"/>
      <c r="UVE2476" s="63"/>
      <c r="UVF2476" s="61"/>
      <c r="UVG2476" s="54"/>
      <c r="UVH2476" s="54"/>
      <c r="UVI2476" s="60"/>
      <c r="UVJ2476" s="60"/>
      <c r="UVK2476" s="60"/>
      <c r="UVL2476" s="60"/>
      <c r="UVM2476" s="63"/>
      <c r="UVN2476" s="61"/>
      <c r="UVO2476" s="54"/>
      <c r="UVP2476" s="54"/>
      <c r="UVQ2476" s="60"/>
      <c r="UVR2476" s="60"/>
      <c r="UVS2476" s="60"/>
      <c r="UVT2476" s="60"/>
      <c r="UVU2476" s="63"/>
      <c r="UVV2476" s="61"/>
      <c r="UVW2476" s="54"/>
      <c r="UVX2476" s="54"/>
      <c r="UVY2476" s="60"/>
      <c r="UVZ2476" s="60"/>
      <c r="UWA2476" s="60"/>
      <c r="UWB2476" s="60"/>
      <c r="UWC2476" s="63"/>
      <c r="UWD2476" s="61"/>
      <c r="UWE2476" s="54"/>
      <c r="UWF2476" s="54"/>
      <c r="UWG2476" s="60"/>
      <c r="UWH2476" s="60"/>
      <c r="UWI2476" s="60"/>
      <c r="UWJ2476" s="60"/>
      <c r="UWK2476" s="63"/>
      <c r="UWL2476" s="61"/>
      <c r="UWM2476" s="54"/>
      <c r="UWN2476" s="54"/>
      <c r="UWO2476" s="60"/>
      <c r="UWP2476" s="60"/>
      <c r="UWQ2476" s="60"/>
      <c r="UWR2476" s="60"/>
      <c r="UWS2476" s="63"/>
      <c r="UWT2476" s="61"/>
      <c r="UWU2476" s="54"/>
      <c r="UWV2476" s="54"/>
      <c r="UWW2476" s="60"/>
      <c r="UWX2476" s="60"/>
      <c r="UWY2476" s="60"/>
      <c r="UWZ2476" s="60"/>
      <c r="UXA2476" s="63"/>
      <c r="UXB2476" s="61"/>
      <c r="UXC2476" s="54"/>
      <c r="UXD2476" s="54"/>
      <c r="UXE2476" s="60"/>
      <c r="UXF2476" s="60"/>
      <c r="UXG2476" s="60"/>
      <c r="UXH2476" s="60"/>
      <c r="UXI2476" s="63"/>
      <c r="UXJ2476" s="61"/>
      <c r="UXK2476" s="54"/>
      <c r="UXL2476" s="54"/>
      <c r="UXM2476" s="60"/>
      <c r="UXN2476" s="60"/>
      <c r="UXO2476" s="60"/>
      <c r="UXP2476" s="60"/>
      <c r="UXQ2476" s="63"/>
      <c r="UXR2476" s="61"/>
      <c r="UXS2476" s="54"/>
      <c r="UXT2476" s="54"/>
      <c r="UXU2476" s="60"/>
      <c r="UXV2476" s="60"/>
      <c r="UXW2476" s="60"/>
      <c r="UXX2476" s="60"/>
      <c r="UXY2476" s="63"/>
      <c r="UXZ2476" s="61"/>
      <c r="UYA2476" s="54"/>
      <c r="UYB2476" s="54"/>
      <c r="UYC2476" s="60"/>
      <c r="UYD2476" s="60"/>
      <c r="UYE2476" s="60"/>
      <c r="UYF2476" s="60"/>
      <c r="UYG2476" s="63"/>
      <c r="UYH2476" s="61"/>
      <c r="UYI2476" s="54"/>
      <c r="UYJ2476" s="54"/>
      <c r="UYK2476" s="60"/>
      <c r="UYL2476" s="60"/>
      <c r="UYM2476" s="60"/>
      <c r="UYN2476" s="60"/>
      <c r="UYO2476" s="63"/>
      <c r="UYP2476" s="61"/>
      <c r="UYQ2476" s="54"/>
      <c r="UYR2476" s="54"/>
      <c r="UYS2476" s="60"/>
      <c r="UYT2476" s="60"/>
      <c r="UYU2476" s="60"/>
      <c r="UYV2476" s="60"/>
      <c r="UYW2476" s="63"/>
      <c r="UYX2476" s="61"/>
      <c r="UYY2476" s="54"/>
      <c r="UYZ2476" s="54"/>
      <c r="UZA2476" s="60"/>
      <c r="UZB2476" s="60"/>
      <c r="UZC2476" s="60"/>
      <c r="UZD2476" s="60"/>
      <c r="UZE2476" s="63"/>
      <c r="UZF2476" s="61"/>
      <c r="UZG2476" s="54"/>
      <c r="UZH2476" s="54"/>
      <c r="UZI2476" s="60"/>
      <c r="UZJ2476" s="60"/>
      <c r="UZK2476" s="60"/>
      <c r="UZL2476" s="60"/>
      <c r="UZM2476" s="63"/>
      <c r="UZN2476" s="61"/>
      <c r="UZO2476" s="54"/>
      <c r="UZP2476" s="54"/>
      <c r="UZQ2476" s="60"/>
      <c r="UZR2476" s="60"/>
      <c r="UZS2476" s="60"/>
      <c r="UZT2476" s="60"/>
      <c r="UZU2476" s="63"/>
      <c r="UZV2476" s="61"/>
      <c r="UZW2476" s="54"/>
      <c r="UZX2476" s="54"/>
      <c r="UZY2476" s="60"/>
      <c r="UZZ2476" s="60"/>
      <c r="VAA2476" s="60"/>
      <c r="VAB2476" s="60"/>
      <c r="VAC2476" s="63"/>
      <c r="VAD2476" s="61"/>
      <c r="VAE2476" s="54"/>
      <c r="VAF2476" s="54"/>
      <c r="VAG2476" s="60"/>
      <c r="VAH2476" s="60"/>
      <c r="VAI2476" s="60"/>
      <c r="VAJ2476" s="60"/>
      <c r="VAK2476" s="63"/>
      <c r="VAL2476" s="61"/>
      <c r="VAM2476" s="54"/>
      <c r="VAN2476" s="54"/>
      <c r="VAO2476" s="60"/>
      <c r="VAP2476" s="60"/>
      <c r="VAQ2476" s="60"/>
      <c r="VAR2476" s="60"/>
      <c r="VAS2476" s="63"/>
      <c r="VAT2476" s="61"/>
      <c r="VAU2476" s="54"/>
      <c r="VAV2476" s="54"/>
      <c r="VAW2476" s="60"/>
      <c r="VAX2476" s="60"/>
      <c r="VAY2476" s="60"/>
      <c r="VAZ2476" s="60"/>
      <c r="VBA2476" s="63"/>
      <c r="VBB2476" s="61"/>
      <c r="VBC2476" s="54"/>
      <c r="VBD2476" s="54"/>
      <c r="VBE2476" s="60"/>
      <c r="VBF2476" s="60"/>
      <c r="VBG2476" s="60"/>
      <c r="VBH2476" s="60"/>
      <c r="VBI2476" s="63"/>
      <c r="VBJ2476" s="61"/>
      <c r="VBK2476" s="54"/>
      <c r="VBL2476" s="54"/>
      <c r="VBM2476" s="60"/>
      <c r="VBN2476" s="60"/>
      <c r="VBO2476" s="60"/>
      <c r="VBP2476" s="60"/>
      <c r="VBQ2476" s="63"/>
      <c r="VBR2476" s="61"/>
      <c r="VBS2476" s="54"/>
      <c r="VBT2476" s="54"/>
      <c r="VBU2476" s="60"/>
      <c r="VBV2476" s="60"/>
      <c r="VBW2476" s="60"/>
      <c r="VBX2476" s="60"/>
      <c r="VBY2476" s="63"/>
      <c r="VBZ2476" s="61"/>
      <c r="VCA2476" s="54"/>
      <c r="VCB2476" s="54"/>
      <c r="VCC2476" s="60"/>
      <c r="VCD2476" s="60"/>
      <c r="VCE2476" s="60"/>
      <c r="VCF2476" s="60"/>
      <c r="VCG2476" s="63"/>
      <c r="VCH2476" s="61"/>
      <c r="VCI2476" s="54"/>
      <c r="VCJ2476" s="54"/>
      <c r="VCK2476" s="60"/>
      <c r="VCL2476" s="60"/>
      <c r="VCM2476" s="60"/>
      <c r="VCN2476" s="60"/>
      <c r="VCO2476" s="63"/>
      <c r="VCP2476" s="61"/>
      <c r="VCQ2476" s="54"/>
      <c r="VCR2476" s="54"/>
      <c r="VCS2476" s="60"/>
      <c r="VCT2476" s="60"/>
      <c r="VCU2476" s="60"/>
      <c r="VCV2476" s="60"/>
      <c r="VCW2476" s="63"/>
      <c r="VCX2476" s="61"/>
      <c r="VCY2476" s="54"/>
      <c r="VCZ2476" s="54"/>
      <c r="VDA2476" s="60"/>
      <c r="VDB2476" s="60"/>
      <c r="VDC2476" s="60"/>
      <c r="VDD2476" s="60"/>
      <c r="VDE2476" s="63"/>
      <c r="VDF2476" s="61"/>
      <c r="VDG2476" s="54"/>
      <c r="VDH2476" s="54"/>
      <c r="VDI2476" s="60"/>
      <c r="VDJ2476" s="60"/>
      <c r="VDK2476" s="60"/>
      <c r="VDL2476" s="60"/>
      <c r="VDM2476" s="63"/>
      <c r="VDN2476" s="61"/>
      <c r="VDO2476" s="54"/>
      <c r="VDP2476" s="54"/>
      <c r="VDQ2476" s="60"/>
      <c r="VDR2476" s="60"/>
      <c r="VDS2476" s="60"/>
      <c r="VDT2476" s="60"/>
      <c r="VDU2476" s="63"/>
      <c r="VDV2476" s="61"/>
      <c r="VDW2476" s="54"/>
      <c r="VDX2476" s="54"/>
      <c r="VDY2476" s="60"/>
      <c r="VDZ2476" s="60"/>
      <c r="VEA2476" s="60"/>
      <c r="VEB2476" s="60"/>
      <c r="VEC2476" s="63"/>
      <c r="VED2476" s="61"/>
      <c r="VEE2476" s="54"/>
      <c r="VEF2476" s="54"/>
      <c r="VEG2476" s="60"/>
      <c r="VEH2476" s="60"/>
      <c r="VEI2476" s="60"/>
      <c r="VEJ2476" s="60"/>
      <c r="VEK2476" s="63"/>
      <c r="VEL2476" s="61"/>
      <c r="VEM2476" s="54"/>
      <c r="VEN2476" s="54"/>
      <c r="VEO2476" s="60"/>
      <c r="VEP2476" s="60"/>
      <c r="VEQ2476" s="60"/>
      <c r="VER2476" s="60"/>
      <c r="VES2476" s="63"/>
      <c r="VET2476" s="61"/>
      <c r="VEU2476" s="54"/>
      <c r="VEV2476" s="54"/>
      <c r="VEW2476" s="60"/>
      <c r="VEX2476" s="60"/>
      <c r="VEY2476" s="60"/>
      <c r="VEZ2476" s="60"/>
      <c r="VFA2476" s="63"/>
      <c r="VFB2476" s="61"/>
      <c r="VFC2476" s="54"/>
      <c r="VFD2476" s="54"/>
      <c r="VFE2476" s="60"/>
      <c r="VFF2476" s="60"/>
      <c r="VFG2476" s="60"/>
      <c r="VFH2476" s="60"/>
      <c r="VFI2476" s="63"/>
      <c r="VFJ2476" s="61"/>
      <c r="VFK2476" s="54"/>
      <c r="VFL2476" s="54"/>
      <c r="VFM2476" s="60"/>
      <c r="VFN2476" s="60"/>
      <c r="VFO2476" s="60"/>
      <c r="VFP2476" s="60"/>
      <c r="VFQ2476" s="63"/>
      <c r="VFR2476" s="61"/>
      <c r="VFS2476" s="54"/>
      <c r="VFT2476" s="54"/>
      <c r="VFU2476" s="60"/>
      <c r="VFV2476" s="60"/>
      <c r="VFW2476" s="60"/>
      <c r="VFX2476" s="60"/>
      <c r="VFY2476" s="63"/>
      <c r="VFZ2476" s="61"/>
      <c r="VGA2476" s="54"/>
      <c r="VGB2476" s="54"/>
      <c r="VGC2476" s="60"/>
      <c r="VGD2476" s="60"/>
      <c r="VGE2476" s="60"/>
      <c r="VGF2476" s="60"/>
      <c r="VGG2476" s="63"/>
      <c r="VGH2476" s="61"/>
      <c r="VGI2476" s="54"/>
      <c r="VGJ2476" s="54"/>
      <c r="VGK2476" s="60"/>
      <c r="VGL2476" s="60"/>
      <c r="VGM2476" s="60"/>
      <c r="VGN2476" s="60"/>
      <c r="VGO2476" s="63"/>
      <c r="VGP2476" s="61"/>
      <c r="VGQ2476" s="54"/>
      <c r="VGR2476" s="54"/>
      <c r="VGS2476" s="60"/>
      <c r="VGT2476" s="60"/>
      <c r="VGU2476" s="60"/>
      <c r="VGV2476" s="60"/>
      <c r="VGW2476" s="63"/>
      <c r="VGX2476" s="61"/>
      <c r="VGY2476" s="54"/>
      <c r="VGZ2476" s="54"/>
      <c r="VHA2476" s="60"/>
      <c r="VHB2476" s="60"/>
      <c r="VHC2476" s="60"/>
      <c r="VHD2476" s="60"/>
      <c r="VHE2476" s="63"/>
      <c r="VHF2476" s="61"/>
      <c r="VHG2476" s="54"/>
      <c r="VHH2476" s="54"/>
      <c r="VHI2476" s="60"/>
      <c r="VHJ2476" s="60"/>
      <c r="VHK2476" s="60"/>
      <c r="VHL2476" s="60"/>
      <c r="VHM2476" s="63"/>
      <c r="VHN2476" s="61"/>
      <c r="VHO2476" s="54"/>
      <c r="VHP2476" s="54"/>
      <c r="VHQ2476" s="60"/>
      <c r="VHR2476" s="60"/>
      <c r="VHS2476" s="60"/>
      <c r="VHT2476" s="60"/>
      <c r="VHU2476" s="63"/>
      <c r="VHV2476" s="61"/>
      <c r="VHW2476" s="54"/>
      <c r="VHX2476" s="54"/>
      <c r="VHY2476" s="60"/>
      <c r="VHZ2476" s="60"/>
      <c r="VIA2476" s="60"/>
      <c r="VIB2476" s="60"/>
      <c r="VIC2476" s="63"/>
      <c r="VID2476" s="61"/>
      <c r="VIE2476" s="54"/>
      <c r="VIF2476" s="54"/>
      <c r="VIG2476" s="60"/>
      <c r="VIH2476" s="60"/>
      <c r="VII2476" s="60"/>
      <c r="VIJ2476" s="60"/>
      <c r="VIK2476" s="63"/>
      <c r="VIL2476" s="61"/>
      <c r="VIM2476" s="54"/>
      <c r="VIN2476" s="54"/>
      <c r="VIO2476" s="60"/>
      <c r="VIP2476" s="60"/>
      <c r="VIQ2476" s="60"/>
      <c r="VIR2476" s="60"/>
      <c r="VIS2476" s="63"/>
      <c r="VIT2476" s="61"/>
      <c r="VIU2476" s="54"/>
      <c r="VIV2476" s="54"/>
      <c r="VIW2476" s="60"/>
      <c r="VIX2476" s="60"/>
      <c r="VIY2476" s="60"/>
      <c r="VIZ2476" s="60"/>
      <c r="VJA2476" s="63"/>
      <c r="VJB2476" s="61"/>
      <c r="VJC2476" s="54"/>
      <c r="VJD2476" s="54"/>
      <c r="VJE2476" s="60"/>
      <c r="VJF2476" s="60"/>
      <c r="VJG2476" s="60"/>
      <c r="VJH2476" s="60"/>
      <c r="VJI2476" s="63"/>
      <c r="VJJ2476" s="61"/>
      <c r="VJK2476" s="54"/>
      <c r="VJL2476" s="54"/>
      <c r="VJM2476" s="60"/>
      <c r="VJN2476" s="60"/>
      <c r="VJO2476" s="60"/>
      <c r="VJP2476" s="60"/>
      <c r="VJQ2476" s="63"/>
      <c r="VJR2476" s="61"/>
      <c r="VJS2476" s="54"/>
      <c r="VJT2476" s="54"/>
      <c r="VJU2476" s="60"/>
      <c r="VJV2476" s="60"/>
      <c r="VJW2476" s="60"/>
      <c r="VJX2476" s="60"/>
      <c r="VJY2476" s="63"/>
      <c r="VJZ2476" s="61"/>
      <c r="VKA2476" s="54"/>
      <c r="VKB2476" s="54"/>
      <c r="VKC2476" s="60"/>
      <c r="VKD2476" s="60"/>
      <c r="VKE2476" s="60"/>
      <c r="VKF2476" s="60"/>
      <c r="VKG2476" s="63"/>
      <c r="VKH2476" s="61"/>
      <c r="VKI2476" s="54"/>
      <c r="VKJ2476" s="54"/>
      <c r="VKK2476" s="60"/>
      <c r="VKL2476" s="60"/>
      <c r="VKM2476" s="60"/>
      <c r="VKN2476" s="60"/>
      <c r="VKO2476" s="63"/>
      <c r="VKP2476" s="61"/>
      <c r="VKQ2476" s="54"/>
      <c r="VKR2476" s="54"/>
      <c r="VKS2476" s="60"/>
      <c r="VKT2476" s="60"/>
      <c r="VKU2476" s="60"/>
      <c r="VKV2476" s="60"/>
      <c r="VKW2476" s="63"/>
      <c r="VKX2476" s="61"/>
      <c r="VKY2476" s="54"/>
      <c r="VKZ2476" s="54"/>
      <c r="VLA2476" s="60"/>
      <c r="VLB2476" s="60"/>
      <c r="VLC2476" s="60"/>
      <c r="VLD2476" s="60"/>
      <c r="VLE2476" s="63"/>
      <c r="VLF2476" s="61"/>
      <c r="VLG2476" s="54"/>
      <c r="VLH2476" s="54"/>
      <c r="VLI2476" s="60"/>
      <c r="VLJ2476" s="60"/>
      <c r="VLK2476" s="60"/>
      <c r="VLL2476" s="60"/>
      <c r="VLM2476" s="63"/>
      <c r="VLN2476" s="61"/>
      <c r="VLO2476" s="54"/>
      <c r="VLP2476" s="54"/>
      <c r="VLQ2476" s="60"/>
      <c r="VLR2476" s="60"/>
      <c r="VLS2476" s="60"/>
      <c r="VLT2476" s="60"/>
      <c r="VLU2476" s="63"/>
      <c r="VLV2476" s="61"/>
      <c r="VLW2476" s="54"/>
      <c r="VLX2476" s="54"/>
      <c r="VLY2476" s="60"/>
      <c r="VLZ2476" s="60"/>
      <c r="VMA2476" s="60"/>
      <c r="VMB2476" s="60"/>
      <c r="VMC2476" s="63"/>
      <c r="VMD2476" s="61"/>
      <c r="VME2476" s="54"/>
      <c r="VMF2476" s="54"/>
      <c r="VMG2476" s="60"/>
      <c r="VMH2476" s="60"/>
      <c r="VMI2476" s="60"/>
      <c r="VMJ2476" s="60"/>
      <c r="VMK2476" s="63"/>
      <c r="VML2476" s="61"/>
      <c r="VMM2476" s="54"/>
      <c r="VMN2476" s="54"/>
      <c r="VMO2476" s="60"/>
      <c r="VMP2476" s="60"/>
      <c r="VMQ2476" s="60"/>
      <c r="VMR2476" s="60"/>
      <c r="VMS2476" s="63"/>
      <c r="VMT2476" s="61"/>
      <c r="VMU2476" s="54"/>
      <c r="VMV2476" s="54"/>
      <c r="VMW2476" s="60"/>
      <c r="VMX2476" s="60"/>
      <c r="VMY2476" s="60"/>
      <c r="VMZ2476" s="60"/>
      <c r="VNA2476" s="63"/>
      <c r="VNB2476" s="61"/>
      <c r="VNC2476" s="54"/>
      <c r="VND2476" s="54"/>
      <c r="VNE2476" s="60"/>
      <c r="VNF2476" s="60"/>
      <c r="VNG2476" s="60"/>
      <c r="VNH2476" s="60"/>
      <c r="VNI2476" s="63"/>
      <c r="VNJ2476" s="61"/>
      <c r="VNK2476" s="54"/>
      <c r="VNL2476" s="54"/>
      <c r="VNM2476" s="60"/>
      <c r="VNN2476" s="60"/>
      <c r="VNO2476" s="60"/>
      <c r="VNP2476" s="60"/>
      <c r="VNQ2476" s="63"/>
      <c r="VNR2476" s="61"/>
      <c r="VNS2476" s="54"/>
      <c r="VNT2476" s="54"/>
      <c r="VNU2476" s="60"/>
      <c r="VNV2476" s="60"/>
      <c r="VNW2476" s="60"/>
      <c r="VNX2476" s="60"/>
      <c r="VNY2476" s="63"/>
      <c r="VNZ2476" s="61"/>
      <c r="VOA2476" s="54"/>
      <c r="VOB2476" s="54"/>
      <c r="VOC2476" s="60"/>
      <c r="VOD2476" s="60"/>
      <c r="VOE2476" s="60"/>
      <c r="VOF2476" s="60"/>
      <c r="VOG2476" s="63"/>
      <c r="VOH2476" s="61"/>
      <c r="VOI2476" s="54"/>
      <c r="VOJ2476" s="54"/>
      <c r="VOK2476" s="60"/>
      <c r="VOL2476" s="60"/>
      <c r="VOM2476" s="60"/>
      <c r="VON2476" s="60"/>
      <c r="VOO2476" s="63"/>
      <c r="VOP2476" s="61"/>
      <c r="VOQ2476" s="54"/>
      <c r="VOR2476" s="54"/>
      <c r="VOS2476" s="60"/>
      <c r="VOT2476" s="60"/>
      <c r="VOU2476" s="60"/>
      <c r="VOV2476" s="60"/>
      <c r="VOW2476" s="63"/>
      <c r="VOX2476" s="61"/>
      <c r="VOY2476" s="54"/>
      <c r="VOZ2476" s="54"/>
      <c r="VPA2476" s="60"/>
      <c r="VPB2476" s="60"/>
      <c r="VPC2476" s="60"/>
      <c r="VPD2476" s="60"/>
      <c r="VPE2476" s="63"/>
      <c r="VPF2476" s="61"/>
      <c r="VPG2476" s="54"/>
      <c r="VPH2476" s="54"/>
      <c r="VPI2476" s="60"/>
      <c r="VPJ2476" s="60"/>
      <c r="VPK2476" s="60"/>
      <c r="VPL2476" s="60"/>
      <c r="VPM2476" s="63"/>
      <c r="VPN2476" s="61"/>
      <c r="VPO2476" s="54"/>
      <c r="VPP2476" s="54"/>
      <c r="VPQ2476" s="60"/>
      <c r="VPR2476" s="60"/>
      <c r="VPS2476" s="60"/>
      <c r="VPT2476" s="60"/>
      <c r="VPU2476" s="63"/>
      <c r="VPV2476" s="61"/>
      <c r="VPW2476" s="54"/>
      <c r="VPX2476" s="54"/>
      <c r="VPY2476" s="60"/>
      <c r="VPZ2476" s="60"/>
      <c r="VQA2476" s="60"/>
      <c r="VQB2476" s="60"/>
      <c r="VQC2476" s="63"/>
      <c r="VQD2476" s="61"/>
      <c r="VQE2476" s="54"/>
      <c r="VQF2476" s="54"/>
      <c r="VQG2476" s="60"/>
      <c r="VQH2476" s="60"/>
      <c r="VQI2476" s="60"/>
      <c r="VQJ2476" s="60"/>
      <c r="VQK2476" s="63"/>
      <c r="VQL2476" s="61"/>
      <c r="VQM2476" s="54"/>
      <c r="VQN2476" s="54"/>
      <c r="VQO2476" s="60"/>
      <c r="VQP2476" s="60"/>
      <c r="VQQ2476" s="60"/>
      <c r="VQR2476" s="60"/>
      <c r="VQS2476" s="63"/>
      <c r="VQT2476" s="61"/>
      <c r="VQU2476" s="54"/>
      <c r="VQV2476" s="54"/>
      <c r="VQW2476" s="60"/>
      <c r="VQX2476" s="60"/>
      <c r="VQY2476" s="60"/>
      <c r="VQZ2476" s="60"/>
      <c r="VRA2476" s="63"/>
      <c r="VRB2476" s="61"/>
      <c r="VRC2476" s="54"/>
      <c r="VRD2476" s="54"/>
      <c r="VRE2476" s="60"/>
      <c r="VRF2476" s="60"/>
      <c r="VRG2476" s="60"/>
      <c r="VRH2476" s="60"/>
      <c r="VRI2476" s="63"/>
      <c r="VRJ2476" s="61"/>
      <c r="VRK2476" s="54"/>
      <c r="VRL2476" s="54"/>
      <c r="VRM2476" s="60"/>
      <c r="VRN2476" s="60"/>
      <c r="VRO2476" s="60"/>
      <c r="VRP2476" s="60"/>
      <c r="VRQ2476" s="63"/>
      <c r="VRR2476" s="61"/>
      <c r="VRS2476" s="54"/>
      <c r="VRT2476" s="54"/>
      <c r="VRU2476" s="60"/>
      <c r="VRV2476" s="60"/>
      <c r="VRW2476" s="60"/>
      <c r="VRX2476" s="60"/>
      <c r="VRY2476" s="63"/>
      <c r="VRZ2476" s="61"/>
      <c r="VSA2476" s="54"/>
      <c r="VSB2476" s="54"/>
      <c r="VSC2476" s="60"/>
      <c r="VSD2476" s="60"/>
      <c r="VSE2476" s="60"/>
      <c r="VSF2476" s="60"/>
      <c r="VSG2476" s="63"/>
      <c r="VSH2476" s="61"/>
      <c r="VSI2476" s="54"/>
      <c r="VSJ2476" s="54"/>
      <c r="VSK2476" s="60"/>
      <c r="VSL2476" s="60"/>
      <c r="VSM2476" s="60"/>
      <c r="VSN2476" s="60"/>
      <c r="VSO2476" s="63"/>
      <c r="VSP2476" s="61"/>
      <c r="VSQ2476" s="54"/>
      <c r="VSR2476" s="54"/>
      <c r="VSS2476" s="60"/>
      <c r="VST2476" s="60"/>
      <c r="VSU2476" s="60"/>
      <c r="VSV2476" s="60"/>
      <c r="VSW2476" s="63"/>
      <c r="VSX2476" s="61"/>
      <c r="VSY2476" s="54"/>
      <c r="VSZ2476" s="54"/>
      <c r="VTA2476" s="60"/>
      <c r="VTB2476" s="60"/>
      <c r="VTC2476" s="60"/>
      <c r="VTD2476" s="60"/>
      <c r="VTE2476" s="63"/>
      <c r="VTF2476" s="61"/>
      <c r="VTG2476" s="54"/>
      <c r="VTH2476" s="54"/>
      <c r="VTI2476" s="60"/>
      <c r="VTJ2476" s="60"/>
      <c r="VTK2476" s="60"/>
      <c r="VTL2476" s="60"/>
      <c r="VTM2476" s="63"/>
      <c r="VTN2476" s="61"/>
      <c r="VTO2476" s="54"/>
      <c r="VTP2476" s="54"/>
      <c r="VTQ2476" s="60"/>
      <c r="VTR2476" s="60"/>
      <c r="VTS2476" s="60"/>
      <c r="VTT2476" s="60"/>
      <c r="VTU2476" s="63"/>
      <c r="VTV2476" s="61"/>
      <c r="VTW2476" s="54"/>
      <c r="VTX2476" s="54"/>
      <c r="VTY2476" s="60"/>
      <c r="VTZ2476" s="60"/>
      <c r="VUA2476" s="60"/>
      <c r="VUB2476" s="60"/>
      <c r="VUC2476" s="63"/>
      <c r="VUD2476" s="61"/>
      <c r="VUE2476" s="54"/>
      <c r="VUF2476" s="54"/>
      <c r="VUG2476" s="60"/>
      <c r="VUH2476" s="60"/>
      <c r="VUI2476" s="60"/>
      <c r="VUJ2476" s="60"/>
      <c r="VUK2476" s="63"/>
      <c r="VUL2476" s="61"/>
      <c r="VUM2476" s="54"/>
      <c r="VUN2476" s="54"/>
      <c r="VUO2476" s="60"/>
      <c r="VUP2476" s="60"/>
      <c r="VUQ2476" s="60"/>
      <c r="VUR2476" s="60"/>
      <c r="VUS2476" s="63"/>
      <c r="VUT2476" s="61"/>
      <c r="VUU2476" s="54"/>
      <c r="VUV2476" s="54"/>
      <c r="VUW2476" s="60"/>
      <c r="VUX2476" s="60"/>
      <c r="VUY2476" s="60"/>
      <c r="VUZ2476" s="60"/>
      <c r="VVA2476" s="63"/>
      <c r="VVB2476" s="61"/>
      <c r="VVC2476" s="54"/>
      <c r="VVD2476" s="54"/>
      <c r="VVE2476" s="60"/>
      <c r="VVF2476" s="60"/>
      <c r="VVG2476" s="60"/>
      <c r="VVH2476" s="60"/>
      <c r="VVI2476" s="63"/>
      <c r="VVJ2476" s="61"/>
      <c r="VVK2476" s="54"/>
      <c r="VVL2476" s="54"/>
      <c r="VVM2476" s="60"/>
      <c r="VVN2476" s="60"/>
      <c r="VVO2476" s="60"/>
      <c r="VVP2476" s="60"/>
      <c r="VVQ2476" s="63"/>
      <c r="VVR2476" s="61"/>
      <c r="VVS2476" s="54"/>
      <c r="VVT2476" s="54"/>
      <c r="VVU2476" s="60"/>
      <c r="VVV2476" s="60"/>
      <c r="VVW2476" s="60"/>
      <c r="VVX2476" s="60"/>
      <c r="VVY2476" s="63"/>
      <c r="VVZ2476" s="61"/>
      <c r="VWA2476" s="54"/>
      <c r="VWB2476" s="54"/>
      <c r="VWC2476" s="60"/>
      <c r="VWD2476" s="60"/>
      <c r="VWE2476" s="60"/>
      <c r="VWF2476" s="60"/>
      <c r="VWG2476" s="63"/>
      <c r="VWH2476" s="61"/>
      <c r="VWI2476" s="54"/>
      <c r="VWJ2476" s="54"/>
      <c r="VWK2476" s="60"/>
      <c r="VWL2476" s="60"/>
      <c r="VWM2476" s="60"/>
      <c r="VWN2476" s="60"/>
      <c r="VWO2476" s="63"/>
      <c r="VWP2476" s="61"/>
      <c r="VWQ2476" s="54"/>
      <c r="VWR2476" s="54"/>
      <c r="VWS2476" s="60"/>
      <c r="VWT2476" s="60"/>
      <c r="VWU2476" s="60"/>
      <c r="VWV2476" s="60"/>
      <c r="VWW2476" s="63"/>
      <c r="VWX2476" s="61"/>
      <c r="VWY2476" s="54"/>
      <c r="VWZ2476" s="54"/>
      <c r="VXA2476" s="60"/>
      <c r="VXB2476" s="60"/>
      <c r="VXC2476" s="60"/>
      <c r="VXD2476" s="60"/>
      <c r="VXE2476" s="63"/>
      <c r="VXF2476" s="61"/>
      <c r="VXG2476" s="54"/>
      <c r="VXH2476" s="54"/>
      <c r="VXI2476" s="60"/>
      <c r="VXJ2476" s="60"/>
      <c r="VXK2476" s="60"/>
      <c r="VXL2476" s="60"/>
      <c r="VXM2476" s="63"/>
      <c r="VXN2476" s="61"/>
      <c r="VXO2476" s="54"/>
      <c r="VXP2476" s="54"/>
      <c r="VXQ2476" s="60"/>
      <c r="VXR2476" s="60"/>
      <c r="VXS2476" s="60"/>
      <c r="VXT2476" s="60"/>
      <c r="VXU2476" s="63"/>
      <c r="VXV2476" s="61"/>
      <c r="VXW2476" s="54"/>
      <c r="VXX2476" s="54"/>
      <c r="VXY2476" s="60"/>
      <c r="VXZ2476" s="60"/>
      <c r="VYA2476" s="60"/>
      <c r="VYB2476" s="60"/>
      <c r="VYC2476" s="63"/>
      <c r="VYD2476" s="61"/>
      <c r="VYE2476" s="54"/>
      <c r="VYF2476" s="54"/>
      <c r="VYG2476" s="60"/>
      <c r="VYH2476" s="60"/>
      <c r="VYI2476" s="60"/>
      <c r="VYJ2476" s="60"/>
      <c r="VYK2476" s="63"/>
      <c r="VYL2476" s="61"/>
      <c r="VYM2476" s="54"/>
      <c r="VYN2476" s="54"/>
      <c r="VYO2476" s="60"/>
      <c r="VYP2476" s="60"/>
      <c r="VYQ2476" s="60"/>
      <c r="VYR2476" s="60"/>
      <c r="VYS2476" s="63"/>
      <c r="VYT2476" s="61"/>
      <c r="VYU2476" s="54"/>
      <c r="VYV2476" s="54"/>
      <c r="VYW2476" s="60"/>
      <c r="VYX2476" s="60"/>
      <c r="VYY2476" s="60"/>
      <c r="VYZ2476" s="60"/>
      <c r="VZA2476" s="63"/>
      <c r="VZB2476" s="61"/>
      <c r="VZC2476" s="54"/>
      <c r="VZD2476" s="54"/>
      <c r="VZE2476" s="60"/>
      <c r="VZF2476" s="60"/>
      <c r="VZG2476" s="60"/>
      <c r="VZH2476" s="60"/>
      <c r="VZI2476" s="63"/>
      <c r="VZJ2476" s="61"/>
      <c r="VZK2476" s="54"/>
      <c r="VZL2476" s="54"/>
      <c r="VZM2476" s="60"/>
      <c r="VZN2476" s="60"/>
      <c r="VZO2476" s="60"/>
      <c r="VZP2476" s="60"/>
      <c r="VZQ2476" s="63"/>
      <c r="VZR2476" s="61"/>
      <c r="VZS2476" s="54"/>
      <c r="VZT2476" s="54"/>
      <c r="VZU2476" s="60"/>
      <c r="VZV2476" s="60"/>
      <c r="VZW2476" s="60"/>
      <c r="VZX2476" s="60"/>
      <c r="VZY2476" s="63"/>
      <c r="VZZ2476" s="61"/>
      <c r="WAA2476" s="54"/>
      <c r="WAB2476" s="54"/>
      <c r="WAC2476" s="60"/>
      <c r="WAD2476" s="60"/>
      <c r="WAE2476" s="60"/>
      <c r="WAF2476" s="60"/>
      <c r="WAG2476" s="63"/>
      <c r="WAH2476" s="61"/>
      <c r="WAI2476" s="54"/>
      <c r="WAJ2476" s="54"/>
      <c r="WAK2476" s="60"/>
      <c r="WAL2476" s="60"/>
      <c r="WAM2476" s="60"/>
      <c r="WAN2476" s="60"/>
      <c r="WAO2476" s="63"/>
      <c r="WAP2476" s="61"/>
      <c r="WAQ2476" s="54"/>
      <c r="WAR2476" s="54"/>
      <c r="WAS2476" s="60"/>
      <c r="WAT2476" s="60"/>
      <c r="WAU2476" s="60"/>
      <c r="WAV2476" s="60"/>
      <c r="WAW2476" s="63"/>
      <c r="WAX2476" s="61"/>
      <c r="WAY2476" s="54"/>
      <c r="WAZ2476" s="54"/>
      <c r="WBA2476" s="60"/>
      <c r="WBB2476" s="60"/>
      <c r="WBC2476" s="60"/>
      <c r="WBD2476" s="60"/>
      <c r="WBE2476" s="63"/>
      <c r="WBF2476" s="61"/>
      <c r="WBG2476" s="54"/>
      <c r="WBH2476" s="54"/>
      <c r="WBI2476" s="60"/>
      <c r="WBJ2476" s="60"/>
      <c r="WBK2476" s="60"/>
      <c r="WBL2476" s="60"/>
      <c r="WBM2476" s="63"/>
      <c r="WBN2476" s="61"/>
      <c r="WBO2476" s="54"/>
      <c r="WBP2476" s="54"/>
      <c r="WBQ2476" s="60"/>
      <c r="WBR2476" s="60"/>
      <c r="WBS2476" s="60"/>
      <c r="WBT2476" s="60"/>
      <c r="WBU2476" s="63"/>
      <c r="WBV2476" s="61"/>
      <c r="WBW2476" s="54"/>
      <c r="WBX2476" s="54"/>
      <c r="WBY2476" s="60"/>
      <c r="WBZ2476" s="60"/>
      <c r="WCA2476" s="60"/>
      <c r="WCB2476" s="60"/>
      <c r="WCC2476" s="63"/>
      <c r="WCD2476" s="61"/>
      <c r="WCE2476" s="54"/>
      <c r="WCF2476" s="54"/>
      <c r="WCG2476" s="60"/>
      <c r="WCH2476" s="60"/>
      <c r="WCI2476" s="60"/>
      <c r="WCJ2476" s="60"/>
      <c r="WCK2476" s="63"/>
      <c r="WCL2476" s="61"/>
      <c r="WCM2476" s="54"/>
      <c r="WCN2476" s="54"/>
      <c r="WCO2476" s="60"/>
      <c r="WCP2476" s="60"/>
      <c r="WCQ2476" s="60"/>
      <c r="WCR2476" s="60"/>
      <c r="WCS2476" s="63"/>
      <c r="WCT2476" s="61"/>
      <c r="WCU2476" s="54"/>
      <c r="WCV2476" s="54"/>
      <c r="WCW2476" s="60"/>
      <c r="WCX2476" s="60"/>
      <c r="WCY2476" s="60"/>
      <c r="WCZ2476" s="60"/>
      <c r="WDA2476" s="63"/>
      <c r="WDB2476" s="61"/>
      <c r="WDC2476" s="54"/>
      <c r="WDD2476" s="54"/>
      <c r="WDE2476" s="60"/>
      <c r="WDF2476" s="60"/>
      <c r="WDG2476" s="60"/>
      <c r="WDH2476" s="60"/>
      <c r="WDI2476" s="63"/>
      <c r="WDJ2476" s="61"/>
      <c r="WDK2476" s="54"/>
      <c r="WDL2476" s="54"/>
      <c r="WDM2476" s="60"/>
      <c r="WDN2476" s="60"/>
      <c r="WDO2476" s="60"/>
      <c r="WDP2476" s="60"/>
      <c r="WDQ2476" s="63"/>
      <c r="WDR2476" s="61"/>
      <c r="WDS2476" s="54"/>
      <c r="WDT2476" s="54"/>
      <c r="WDU2476" s="60"/>
      <c r="WDV2476" s="60"/>
      <c r="WDW2476" s="60"/>
      <c r="WDX2476" s="60"/>
      <c r="WDY2476" s="63"/>
      <c r="WDZ2476" s="61"/>
      <c r="WEA2476" s="54"/>
      <c r="WEB2476" s="54"/>
      <c r="WEC2476" s="60"/>
      <c r="WED2476" s="60"/>
      <c r="WEE2476" s="60"/>
      <c r="WEF2476" s="60"/>
      <c r="WEG2476" s="63"/>
      <c r="WEH2476" s="61"/>
      <c r="WEI2476" s="54"/>
      <c r="WEJ2476" s="54"/>
      <c r="WEK2476" s="60"/>
      <c r="WEL2476" s="60"/>
      <c r="WEM2476" s="60"/>
      <c r="WEN2476" s="60"/>
      <c r="WEO2476" s="63"/>
      <c r="WEP2476" s="61"/>
      <c r="WEQ2476" s="54"/>
      <c r="WER2476" s="54"/>
      <c r="WES2476" s="60"/>
      <c r="WET2476" s="60"/>
      <c r="WEU2476" s="60"/>
      <c r="WEV2476" s="60"/>
      <c r="WEW2476" s="63"/>
      <c r="WEX2476" s="61"/>
      <c r="WEY2476" s="54"/>
      <c r="WEZ2476" s="54"/>
      <c r="WFA2476" s="60"/>
      <c r="WFB2476" s="60"/>
      <c r="WFC2476" s="60"/>
      <c r="WFD2476" s="60"/>
      <c r="WFE2476" s="63"/>
      <c r="WFF2476" s="61"/>
      <c r="WFG2476" s="54"/>
      <c r="WFH2476" s="54"/>
      <c r="WFI2476" s="60"/>
      <c r="WFJ2476" s="60"/>
      <c r="WFK2476" s="60"/>
      <c r="WFL2476" s="60"/>
      <c r="WFM2476" s="63"/>
      <c r="WFN2476" s="61"/>
      <c r="WFO2476" s="54"/>
      <c r="WFP2476" s="54"/>
      <c r="WFQ2476" s="60"/>
      <c r="WFR2476" s="60"/>
      <c r="WFS2476" s="60"/>
      <c r="WFT2476" s="60"/>
      <c r="WFU2476" s="63"/>
      <c r="WFV2476" s="61"/>
      <c r="WFW2476" s="54"/>
      <c r="WFX2476" s="54"/>
      <c r="WFY2476" s="60"/>
      <c r="WFZ2476" s="60"/>
      <c r="WGA2476" s="60"/>
      <c r="WGB2476" s="60"/>
      <c r="WGC2476" s="63"/>
      <c r="WGD2476" s="61"/>
      <c r="WGE2476" s="54"/>
      <c r="WGF2476" s="54"/>
      <c r="WGG2476" s="60"/>
      <c r="WGH2476" s="60"/>
      <c r="WGI2476" s="60"/>
      <c r="WGJ2476" s="60"/>
      <c r="WGK2476" s="63"/>
      <c r="WGL2476" s="61"/>
      <c r="WGM2476" s="54"/>
      <c r="WGN2476" s="54"/>
      <c r="WGO2476" s="60"/>
      <c r="WGP2476" s="60"/>
      <c r="WGQ2476" s="60"/>
      <c r="WGR2476" s="60"/>
      <c r="WGS2476" s="63"/>
      <c r="WGT2476" s="61"/>
      <c r="WGU2476" s="54"/>
      <c r="WGV2476" s="54"/>
      <c r="WGW2476" s="60"/>
      <c r="WGX2476" s="60"/>
      <c r="WGY2476" s="60"/>
      <c r="WGZ2476" s="60"/>
      <c r="WHA2476" s="63"/>
      <c r="WHB2476" s="61"/>
      <c r="WHC2476" s="54"/>
      <c r="WHD2476" s="54"/>
      <c r="WHE2476" s="60"/>
      <c r="WHF2476" s="60"/>
      <c r="WHG2476" s="60"/>
      <c r="WHH2476" s="60"/>
      <c r="WHI2476" s="63"/>
      <c r="WHJ2476" s="61"/>
      <c r="WHK2476" s="54"/>
      <c r="WHL2476" s="54"/>
      <c r="WHM2476" s="60"/>
      <c r="WHN2476" s="60"/>
      <c r="WHO2476" s="60"/>
      <c r="WHP2476" s="60"/>
      <c r="WHQ2476" s="63"/>
      <c r="WHR2476" s="61"/>
      <c r="WHS2476" s="54"/>
      <c r="WHT2476" s="54"/>
      <c r="WHU2476" s="60"/>
      <c r="WHV2476" s="60"/>
      <c r="WHW2476" s="60"/>
      <c r="WHX2476" s="60"/>
      <c r="WHY2476" s="63"/>
      <c r="WHZ2476" s="61"/>
      <c r="WIA2476" s="54"/>
      <c r="WIB2476" s="54"/>
      <c r="WIC2476" s="60"/>
      <c r="WID2476" s="60"/>
      <c r="WIE2476" s="60"/>
      <c r="WIF2476" s="60"/>
      <c r="WIG2476" s="63"/>
      <c r="WIH2476" s="61"/>
      <c r="WII2476" s="54"/>
      <c r="WIJ2476" s="54"/>
      <c r="WIK2476" s="60"/>
      <c r="WIL2476" s="60"/>
      <c r="WIM2476" s="60"/>
      <c r="WIN2476" s="60"/>
      <c r="WIO2476" s="63"/>
      <c r="WIP2476" s="61"/>
      <c r="WIQ2476" s="54"/>
      <c r="WIR2476" s="54"/>
      <c r="WIS2476" s="60"/>
      <c r="WIT2476" s="60"/>
      <c r="WIU2476" s="60"/>
      <c r="WIV2476" s="60"/>
      <c r="WIW2476" s="63"/>
      <c r="WIX2476" s="61"/>
      <c r="WIY2476" s="54"/>
      <c r="WIZ2476" s="54"/>
      <c r="WJA2476" s="60"/>
      <c r="WJB2476" s="60"/>
      <c r="WJC2476" s="60"/>
      <c r="WJD2476" s="60"/>
      <c r="WJE2476" s="63"/>
      <c r="WJF2476" s="61"/>
      <c r="WJG2476" s="54"/>
      <c r="WJH2476" s="54"/>
      <c r="WJI2476" s="60"/>
      <c r="WJJ2476" s="60"/>
      <c r="WJK2476" s="60"/>
      <c r="WJL2476" s="60"/>
      <c r="WJM2476" s="63"/>
      <c r="WJN2476" s="61"/>
      <c r="WJO2476" s="54"/>
      <c r="WJP2476" s="54"/>
      <c r="WJQ2476" s="60"/>
      <c r="WJR2476" s="60"/>
      <c r="WJS2476" s="60"/>
      <c r="WJT2476" s="60"/>
      <c r="WJU2476" s="63"/>
      <c r="WJV2476" s="61"/>
      <c r="WJW2476" s="54"/>
      <c r="WJX2476" s="54"/>
      <c r="WJY2476" s="60"/>
      <c r="WJZ2476" s="60"/>
      <c r="WKA2476" s="60"/>
      <c r="WKB2476" s="60"/>
      <c r="WKC2476" s="63"/>
      <c r="WKD2476" s="61"/>
      <c r="WKE2476" s="54"/>
      <c r="WKF2476" s="54"/>
      <c r="WKG2476" s="60"/>
      <c r="WKH2476" s="60"/>
      <c r="WKI2476" s="60"/>
      <c r="WKJ2476" s="60"/>
      <c r="WKK2476" s="63"/>
      <c r="WKL2476" s="61"/>
      <c r="WKM2476" s="54"/>
      <c r="WKN2476" s="54"/>
      <c r="WKO2476" s="60"/>
      <c r="WKP2476" s="60"/>
      <c r="WKQ2476" s="60"/>
      <c r="WKR2476" s="60"/>
      <c r="WKS2476" s="63"/>
      <c r="WKT2476" s="61"/>
      <c r="WKU2476" s="54"/>
      <c r="WKV2476" s="54"/>
      <c r="WKW2476" s="60"/>
      <c r="WKX2476" s="60"/>
      <c r="WKY2476" s="60"/>
      <c r="WKZ2476" s="60"/>
      <c r="WLA2476" s="63"/>
      <c r="WLB2476" s="61"/>
      <c r="WLC2476" s="54"/>
      <c r="WLD2476" s="54"/>
      <c r="WLE2476" s="60"/>
      <c r="WLF2476" s="60"/>
      <c r="WLG2476" s="60"/>
      <c r="WLH2476" s="60"/>
      <c r="WLI2476" s="63"/>
      <c r="WLJ2476" s="61"/>
      <c r="WLK2476" s="54"/>
      <c r="WLL2476" s="54"/>
      <c r="WLM2476" s="60"/>
      <c r="WLN2476" s="60"/>
      <c r="WLO2476" s="60"/>
      <c r="WLP2476" s="60"/>
      <c r="WLQ2476" s="63"/>
      <c r="WLR2476" s="61"/>
      <c r="WLS2476" s="54"/>
      <c r="WLT2476" s="54"/>
      <c r="WLU2476" s="60"/>
      <c r="WLV2476" s="60"/>
      <c r="WLW2476" s="60"/>
      <c r="WLX2476" s="60"/>
      <c r="WLY2476" s="63"/>
      <c r="WLZ2476" s="61"/>
      <c r="WMA2476" s="54"/>
      <c r="WMB2476" s="54"/>
      <c r="WMC2476" s="60"/>
      <c r="WMD2476" s="60"/>
      <c r="WME2476" s="60"/>
      <c r="WMF2476" s="60"/>
      <c r="WMG2476" s="63"/>
      <c r="WMH2476" s="61"/>
      <c r="WMI2476" s="54"/>
      <c r="WMJ2476" s="54"/>
      <c r="WMK2476" s="60"/>
      <c r="WML2476" s="60"/>
      <c r="WMM2476" s="60"/>
      <c r="WMN2476" s="60"/>
      <c r="WMO2476" s="63"/>
      <c r="WMP2476" s="61"/>
      <c r="WMQ2476" s="54"/>
      <c r="WMR2476" s="54"/>
      <c r="WMS2476" s="60"/>
      <c r="WMT2476" s="60"/>
      <c r="WMU2476" s="60"/>
      <c r="WMV2476" s="60"/>
      <c r="WMW2476" s="63"/>
      <c r="WMX2476" s="61"/>
      <c r="WMY2476" s="54"/>
      <c r="WMZ2476" s="54"/>
      <c r="WNA2476" s="60"/>
      <c r="WNB2476" s="60"/>
      <c r="WNC2476" s="60"/>
      <c r="WND2476" s="60"/>
      <c r="WNE2476" s="63"/>
      <c r="WNF2476" s="61"/>
      <c r="WNG2476" s="54"/>
      <c r="WNH2476" s="54"/>
      <c r="WNI2476" s="60"/>
      <c r="WNJ2476" s="60"/>
      <c r="WNK2476" s="60"/>
      <c r="WNL2476" s="60"/>
      <c r="WNM2476" s="63"/>
      <c r="WNN2476" s="61"/>
      <c r="WNO2476" s="54"/>
      <c r="WNP2476" s="54"/>
      <c r="WNQ2476" s="60"/>
      <c r="WNR2476" s="60"/>
      <c r="WNS2476" s="60"/>
      <c r="WNT2476" s="60"/>
      <c r="WNU2476" s="63"/>
      <c r="WNV2476" s="61"/>
      <c r="WNW2476" s="54"/>
      <c r="WNX2476" s="54"/>
      <c r="WNY2476" s="60"/>
      <c r="WNZ2476" s="60"/>
      <c r="WOA2476" s="60"/>
      <c r="WOB2476" s="60"/>
      <c r="WOC2476" s="63"/>
      <c r="WOD2476" s="61"/>
      <c r="WOE2476" s="54"/>
      <c r="WOF2476" s="54"/>
      <c r="WOG2476" s="60"/>
      <c r="WOH2476" s="60"/>
      <c r="WOI2476" s="60"/>
      <c r="WOJ2476" s="60"/>
      <c r="WOK2476" s="63"/>
      <c r="WOL2476" s="61"/>
      <c r="WOM2476" s="54"/>
      <c r="WON2476" s="54"/>
      <c r="WOO2476" s="60"/>
      <c r="WOP2476" s="60"/>
      <c r="WOQ2476" s="60"/>
      <c r="WOR2476" s="60"/>
      <c r="WOS2476" s="63"/>
      <c r="WOT2476" s="61"/>
      <c r="WOU2476" s="54"/>
      <c r="WOV2476" s="54"/>
      <c r="WOW2476" s="60"/>
      <c r="WOX2476" s="60"/>
      <c r="WOY2476" s="60"/>
      <c r="WOZ2476" s="60"/>
      <c r="WPA2476" s="63"/>
      <c r="WPB2476" s="61"/>
      <c r="WPC2476" s="54"/>
      <c r="WPD2476" s="54"/>
      <c r="WPE2476" s="60"/>
      <c r="WPF2476" s="60"/>
      <c r="WPG2476" s="60"/>
      <c r="WPH2476" s="60"/>
      <c r="WPI2476" s="63"/>
      <c r="WPJ2476" s="61"/>
      <c r="WPK2476" s="54"/>
      <c r="WPL2476" s="54"/>
      <c r="WPM2476" s="60"/>
      <c r="WPN2476" s="60"/>
      <c r="WPO2476" s="60"/>
      <c r="WPP2476" s="60"/>
      <c r="WPQ2476" s="63"/>
      <c r="WPR2476" s="61"/>
      <c r="WPS2476" s="54"/>
      <c r="WPT2476" s="54"/>
      <c r="WPU2476" s="60"/>
      <c r="WPV2476" s="60"/>
      <c r="WPW2476" s="60"/>
      <c r="WPX2476" s="60"/>
      <c r="WPY2476" s="63"/>
      <c r="WPZ2476" s="61"/>
      <c r="WQA2476" s="54"/>
      <c r="WQB2476" s="54"/>
      <c r="WQC2476" s="60"/>
      <c r="WQD2476" s="60"/>
      <c r="WQE2476" s="60"/>
      <c r="WQF2476" s="60"/>
      <c r="WQG2476" s="63"/>
      <c r="WQH2476" s="61"/>
      <c r="WQI2476" s="54"/>
      <c r="WQJ2476" s="54"/>
      <c r="WQK2476" s="60"/>
      <c r="WQL2476" s="60"/>
      <c r="WQM2476" s="60"/>
      <c r="WQN2476" s="60"/>
      <c r="WQO2476" s="63"/>
      <c r="WQP2476" s="61"/>
      <c r="WQQ2476" s="54"/>
      <c r="WQR2476" s="54"/>
      <c r="WQS2476" s="60"/>
      <c r="WQT2476" s="60"/>
      <c r="WQU2476" s="60"/>
      <c r="WQV2476" s="60"/>
      <c r="WQW2476" s="63"/>
      <c r="WQX2476" s="61"/>
      <c r="WQY2476" s="54"/>
      <c r="WQZ2476" s="54"/>
      <c r="WRA2476" s="60"/>
      <c r="WRB2476" s="60"/>
      <c r="WRC2476" s="60"/>
      <c r="WRD2476" s="60"/>
      <c r="WRE2476" s="63"/>
      <c r="WRF2476" s="61"/>
      <c r="WRG2476" s="54"/>
      <c r="WRH2476" s="54"/>
      <c r="WRI2476" s="60"/>
      <c r="WRJ2476" s="60"/>
      <c r="WRK2476" s="60"/>
      <c r="WRL2476" s="60"/>
      <c r="WRM2476" s="63"/>
      <c r="WRN2476" s="61"/>
      <c r="WRO2476" s="54"/>
      <c r="WRP2476" s="54"/>
      <c r="WRQ2476" s="60"/>
      <c r="WRR2476" s="60"/>
      <c r="WRS2476" s="60"/>
      <c r="WRT2476" s="60"/>
      <c r="WRU2476" s="63"/>
      <c r="WRV2476" s="61"/>
      <c r="WRW2476" s="54"/>
      <c r="WRX2476" s="54"/>
      <c r="WRY2476" s="60"/>
      <c r="WRZ2476" s="60"/>
      <c r="WSA2476" s="60"/>
      <c r="WSB2476" s="60"/>
      <c r="WSC2476" s="63"/>
      <c r="WSD2476" s="61"/>
      <c r="WSE2476" s="54"/>
      <c r="WSF2476" s="54"/>
      <c r="WSG2476" s="60"/>
      <c r="WSH2476" s="60"/>
      <c r="WSI2476" s="60"/>
      <c r="WSJ2476" s="60"/>
      <c r="WSK2476" s="63"/>
      <c r="WSL2476" s="61"/>
      <c r="WSM2476" s="54"/>
      <c r="WSN2476" s="54"/>
      <c r="WSO2476" s="60"/>
      <c r="WSP2476" s="60"/>
      <c r="WSQ2476" s="60"/>
      <c r="WSR2476" s="60"/>
      <c r="WSS2476" s="63"/>
      <c r="WST2476" s="61"/>
      <c r="WSU2476" s="54"/>
      <c r="WSV2476" s="54"/>
      <c r="WSW2476" s="60"/>
      <c r="WSX2476" s="60"/>
      <c r="WSY2476" s="60"/>
      <c r="WSZ2476" s="60"/>
      <c r="WTA2476" s="63"/>
      <c r="WTB2476" s="61"/>
      <c r="WTC2476" s="54"/>
      <c r="WTD2476" s="54"/>
      <c r="WTE2476" s="60"/>
      <c r="WTF2476" s="60"/>
      <c r="WTG2476" s="60"/>
      <c r="WTH2476" s="60"/>
      <c r="WTI2476" s="63"/>
      <c r="WTJ2476" s="61"/>
      <c r="WTK2476" s="54"/>
      <c r="WTL2476" s="54"/>
      <c r="WTM2476" s="60"/>
      <c r="WTN2476" s="60"/>
      <c r="WTO2476" s="60"/>
      <c r="WTP2476" s="60"/>
      <c r="WTQ2476" s="63"/>
      <c r="WTR2476" s="61"/>
      <c r="WTS2476" s="54"/>
      <c r="WTT2476" s="54"/>
      <c r="WTU2476" s="60"/>
      <c r="WTV2476" s="60"/>
      <c r="WTW2476" s="60"/>
      <c r="WTX2476" s="60"/>
      <c r="WTY2476" s="63"/>
      <c r="WTZ2476" s="61"/>
      <c r="WUA2476" s="54"/>
      <c r="WUB2476" s="54"/>
      <c r="WUC2476" s="60"/>
      <c r="WUD2476" s="60"/>
      <c r="WUE2476" s="60"/>
      <c r="WUF2476" s="60"/>
      <c r="WUG2476" s="63"/>
      <c r="WUH2476" s="61"/>
      <c r="WUI2476" s="54"/>
      <c r="WUJ2476" s="54"/>
      <c r="WUK2476" s="60"/>
      <c r="WUL2476" s="60"/>
      <c r="WUM2476" s="60"/>
      <c r="WUN2476" s="60"/>
      <c r="WUO2476" s="63"/>
      <c r="WUP2476" s="61"/>
      <c r="WUQ2476" s="54"/>
      <c r="WUR2476" s="54"/>
      <c r="WUS2476" s="60"/>
      <c r="WUT2476" s="60"/>
      <c r="WUU2476" s="60"/>
      <c r="WUV2476" s="60"/>
      <c r="WUW2476" s="63"/>
      <c r="WUX2476" s="61"/>
      <c r="WUY2476" s="54"/>
      <c r="WUZ2476" s="54"/>
      <c r="WVA2476" s="60"/>
      <c r="WVB2476" s="60"/>
      <c r="WVC2476" s="60"/>
      <c r="WVD2476" s="60"/>
      <c r="WVE2476" s="63"/>
      <c r="WVF2476" s="61"/>
      <c r="WVG2476" s="54"/>
      <c r="WVH2476" s="54"/>
      <c r="WVI2476" s="60"/>
      <c r="WVJ2476" s="60"/>
      <c r="WVK2476" s="60"/>
      <c r="WVL2476" s="60"/>
      <c r="WVM2476" s="63"/>
      <c r="WVN2476" s="61"/>
      <c r="WVO2476" s="54"/>
      <c r="WVP2476" s="54"/>
      <c r="WVQ2476" s="60"/>
      <c r="WVR2476" s="60"/>
      <c r="WVS2476" s="60"/>
      <c r="WVT2476" s="60"/>
      <c r="WVU2476" s="63"/>
      <c r="WVV2476" s="61"/>
      <c r="WVW2476" s="54"/>
      <c r="WVX2476" s="54"/>
      <c r="WVY2476" s="60"/>
      <c r="WVZ2476" s="60"/>
      <c r="WWA2476" s="60"/>
      <c r="WWB2476" s="60"/>
      <c r="WWC2476" s="63"/>
      <c r="WWD2476" s="61"/>
      <c r="WWE2476" s="54"/>
      <c r="WWF2476" s="54"/>
      <c r="WWG2476" s="60"/>
      <c r="WWH2476" s="60"/>
      <c r="WWI2476" s="60"/>
      <c r="WWJ2476" s="60"/>
      <c r="WWK2476" s="63"/>
      <c r="WWL2476" s="61"/>
      <c r="WWM2476" s="54"/>
      <c r="WWN2476" s="54"/>
      <c r="WWO2476" s="60"/>
      <c r="WWP2476" s="60"/>
      <c r="WWQ2476" s="60"/>
      <c r="WWR2476" s="60"/>
      <c r="WWS2476" s="63"/>
      <c r="WWT2476" s="61"/>
      <c r="WWU2476" s="54"/>
      <c r="WWV2476" s="54"/>
      <c r="WWW2476" s="60"/>
      <c r="WWX2476" s="60"/>
      <c r="WWY2476" s="60"/>
      <c r="WWZ2476" s="60"/>
      <c r="WXA2476" s="63"/>
      <c r="WXB2476" s="61"/>
      <c r="WXC2476" s="54"/>
      <c r="WXD2476" s="54"/>
      <c r="WXE2476" s="60"/>
      <c r="WXF2476" s="60"/>
      <c r="WXG2476" s="60"/>
      <c r="WXH2476" s="60"/>
      <c r="WXI2476" s="63"/>
      <c r="WXJ2476" s="61"/>
      <c r="WXK2476" s="54"/>
      <c r="WXL2476" s="54"/>
      <c r="WXM2476" s="60"/>
      <c r="WXN2476" s="60"/>
      <c r="WXO2476" s="60"/>
      <c r="WXP2476" s="60"/>
      <c r="WXQ2476" s="63"/>
      <c r="WXR2476" s="61"/>
      <c r="WXS2476" s="54"/>
      <c r="WXT2476" s="54"/>
      <c r="WXU2476" s="60"/>
      <c r="WXV2476" s="60"/>
      <c r="WXW2476" s="60"/>
      <c r="WXX2476" s="60"/>
      <c r="WXY2476" s="63"/>
      <c r="WXZ2476" s="61"/>
      <c r="WYA2476" s="54"/>
      <c r="WYB2476" s="54"/>
      <c r="WYC2476" s="60"/>
      <c r="WYD2476" s="60"/>
      <c r="WYE2476" s="60"/>
      <c r="WYF2476" s="60"/>
      <c r="WYG2476" s="63"/>
      <c r="WYH2476" s="61"/>
      <c r="WYI2476" s="54"/>
      <c r="WYJ2476" s="54"/>
      <c r="WYK2476" s="60"/>
      <c r="WYL2476" s="60"/>
      <c r="WYM2476" s="60"/>
      <c r="WYN2476" s="60"/>
      <c r="WYO2476" s="63"/>
      <c r="WYP2476" s="61"/>
      <c r="WYQ2476" s="54"/>
      <c r="WYR2476" s="54"/>
      <c r="WYS2476" s="60"/>
      <c r="WYT2476" s="60"/>
      <c r="WYU2476" s="60"/>
      <c r="WYV2476" s="60"/>
      <c r="WYW2476" s="63"/>
      <c r="WYX2476" s="61"/>
      <c r="WYY2476" s="54"/>
      <c r="WYZ2476" s="54"/>
      <c r="WZA2476" s="60"/>
      <c r="WZB2476" s="60"/>
      <c r="WZC2476" s="60"/>
      <c r="WZD2476" s="60"/>
      <c r="WZE2476" s="63"/>
      <c r="WZF2476" s="61"/>
      <c r="WZG2476" s="54"/>
      <c r="WZH2476" s="54"/>
      <c r="WZI2476" s="60"/>
      <c r="WZJ2476" s="60"/>
      <c r="WZK2476" s="60"/>
      <c r="WZL2476" s="60"/>
      <c r="WZM2476" s="63"/>
      <c r="WZN2476" s="61"/>
      <c r="WZO2476" s="54"/>
      <c r="WZP2476" s="54"/>
      <c r="WZQ2476" s="60"/>
      <c r="WZR2476" s="60"/>
      <c r="WZS2476" s="60"/>
      <c r="WZT2476" s="60"/>
      <c r="WZU2476" s="63"/>
      <c r="WZV2476" s="61"/>
      <c r="WZW2476" s="54"/>
      <c r="WZX2476" s="54"/>
      <c r="WZY2476" s="60"/>
      <c r="WZZ2476" s="60"/>
      <c r="XAA2476" s="60"/>
      <c r="XAB2476" s="60"/>
      <c r="XAC2476" s="63"/>
      <c r="XAD2476" s="61"/>
      <c r="XAE2476" s="54"/>
      <c r="XAF2476" s="54"/>
      <c r="XAG2476" s="60"/>
      <c r="XAH2476" s="60"/>
      <c r="XAI2476" s="60"/>
      <c r="XAJ2476" s="60"/>
      <c r="XAK2476" s="63"/>
      <c r="XAL2476" s="61"/>
      <c r="XAM2476" s="54"/>
      <c r="XAN2476" s="54"/>
      <c r="XAO2476" s="60"/>
      <c r="XAP2476" s="60"/>
      <c r="XAQ2476" s="60"/>
      <c r="XAR2476" s="60"/>
      <c r="XAS2476" s="63"/>
      <c r="XAT2476" s="61"/>
      <c r="XAU2476" s="54"/>
      <c r="XAV2476" s="54"/>
      <c r="XAW2476" s="60"/>
      <c r="XAX2476" s="60"/>
      <c r="XAY2476" s="60"/>
      <c r="XAZ2476" s="60"/>
      <c r="XBA2476" s="63"/>
      <c r="XBB2476" s="61"/>
      <c r="XBC2476" s="54"/>
      <c r="XBD2476" s="54"/>
      <c r="XBE2476" s="60"/>
      <c r="XBF2476" s="60"/>
      <c r="XBG2476" s="60"/>
      <c r="XBH2476" s="60"/>
      <c r="XBI2476" s="63"/>
      <c r="XBJ2476" s="61"/>
      <c r="XBK2476" s="54"/>
      <c r="XBL2476" s="54"/>
      <c r="XBM2476" s="60"/>
      <c r="XBN2476" s="60"/>
      <c r="XBO2476" s="60"/>
      <c r="XBP2476" s="60"/>
      <c r="XBQ2476" s="63"/>
      <c r="XBR2476" s="61"/>
      <c r="XBS2476" s="54"/>
      <c r="XBT2476" s="54"/>
      <c r="XBU2476" s="60"/>
      <c r="XBV2476" s="60"/>
      <c r="XBW2476" s="60"/>
      <c r="XBX2476" s="60"/>
      <c r="XBY2476" s="63"/>
      <c r="XBZ2476" s="61"/>
      <c r="XCA2476" s="54"/>
      <c r="XCB2476" s="54"/>
      <c r="XCC2476" s="60"/>
      <c r="XCD2476" s="60"/>
      <c r="XCE2476" s="60"/>
      <c r="XCF2476" s="60"/>
      <c r="XCG2476" s="63"/>
      <c r="XCH2476" s="61"/>
      <c r="XCI2476" s="54"/>
      <c r="XCJ2476" s="54"/>
      <c r="XCK2476" s="60"/>
      <c r="XCL2476" s="60"/>
      <c r="XCM2476" s="60"/>
      <c r="XCN2476" s="60"/>
      <c r="XCO2476" s="63"/>
      <c r="XCP2476" s="61"/>
      <c r="XCQ2476" s="54"/>
      <c r="XCR2476" s="54"/>
      <c r="XCS2476" s="60"/>
      <c r="XCT2476" s="60"/>
      <c r="XCU2476" s="60"/>
      <c r="XCV2476" s="60"/>
      <c r="XCW2476" s="63"/>
      <c r="XCX2476" s="61"/>
      <c r="XCY2476" s="54"/>
      <c r="XCZ2476" s="54"/>
      <c r="XDA2476" s="60"/>
      <c r="XDB2476" s="60"/>
      <c r="XDC2476" s="60"/>
      <c r="XDD2476" s="60"/>
      <c r="XDE2476" s="63"/>
      <c r="XDF2476" s="61"/>
      <c r="XDG2476" s="54"/>
      <c r="XDH2476" s="54"/>
      <c r="XDI2476" s="60"/>
      <c r="XDJ2476" s="60"/>
      <c r="XDK2476" s="60"/>
      <c r="XDL2476" s="60"/>
      <c r="XDM2476" s="63"/>
      <c r="XDN2476" s="61"/>
      <c r="XDO2476" s="54"/>
      <c r="XDP2476" s="54"/>
      <c r="XDQ2476" s="60"/>
      <c r="XDR2476" s="60"/>
      <c r="XDS2476" s="60"/>
      <c r="XDT2476" s="60"/>
      <c r="XDU2476" s="63"/>
      <c r="XDV2476" s="61"/>
      <c r="XDW2476" s="54"/>
      <c r="XDX2476" s="54"/>
      <c r="XDY2476" s="60"/>
      <c r="XDZ2476" s="60"/>
      <c r="XEA2476" s="60"/>
      <c r="XEB2476" s="60"/>
      <c r="XEC2476" s="63"/>
      <c r="XED2476" s="61"/>
      <c r="XEE2476" s="54"/>
      <c r="XEF2476" s="54"/>
      <c r="XEG2476" s="60"/>
      <c r="XEH2476" s="60"/>
      <c r="XEI2476" s="60"/>
      <c r="XEJ2476" s="60"/>
      <c r="XEK2476" s="63"/>
      <c r="XEL2476" s="61"/>
      <c r="XEM2476" s="54"/>
      <c r="XEN2476" s="54"/>
      <c r="XEO2476" s="60"/>
      <c r="XEP2476" s="60"/>
      <c r="XEQ2476" s="60"/>
      <c r="XER2476" s="60"/>
      <c r="XES2476" s="63"/>
      <c r="XET2476" s="61"/>
      <c r="XEU2476" s="54"/>
      <c r="XEV2476" s="54"/>
      <c r="XEW2476" s="60"/>
    </row>
    <row r="2477" ht="18" customHeight="1" spans="1:16377">
      <c r="A2477" s="6" t="s">
        <v>8209</v>
      </c>
      <c r="B2477" s="6" t="s">
        <v>8540</v>
      </c>
      <c r="C2477" s="11" t="s">
        <v>16407</v>
      </c>
      <c r="D2477" s="5" t="s">
        <v>16379</v>
      </c>
      <c r="E2477" s="11" t="s">
        <v>16408</v>
      </c>
      <c r="F2477" s="7" t="s">
        <v>11535</v>
      </c>
      <c r="G2477" s="54"/>
      <c r="H2477" s="54"/>
      <c r="I2477" s="60"/>
      <c r="J2477" s="60"/>
      <c r="K2477" s="60"/>
      <c r="L2477" s="60"/>
      <c r="M2477" s="63"/>
      <c r="N2477" s="61"/>
      <c r="O2477" s="54"/>
      <c r="P2477" s="54"/>
      <c r="Q2477" s="60"/>
      <c r="R2477" s="60"/>
      <c r="S2477" s="60"/>
      <c r="T2477" s="60"/>
      <c r="U2477" s="63"/>
      <c r="V2477" s="61"/>
      <c r="W2477" s="54"/>
      <c r="X2477" s="54"/>
      <c r="Y2477" s="60"/>
      <c r="Z2477" s="60"/>
      <c r="AA2477" s="60"/>
      <c r="AB2477" s="60"/>
      <c r="AC2477" s="63"/>
      <c r="AD2477" s="61"/>
      <c r="AE2477" s="54"/>
      <c r="AF2477" s="54"/>
      <c r="AG2477" s="60"/>
      <c r="AH2477" s="60"/>
      <c r="AI2477" s="60"/>
      <c r="AJ2477" s="60"/>
      <c r="AK2477" s="63"/>
      <c r="AL2477" s="61"/>
      <c r="AM2477" s="54"/>
      <c r="AN2477" s="54"/>
      <c r="AO2477" s="60"/>
      <c r="AP2477" s="60"/>
      <c r="AQ2477" s="60"/>
      <c r="AR2477" s="60"/>
      <c r="AS2477" s="63"/>
      <c r="AT2477" s="61"/>
      <c r="AU2477" s="54"/>
      <c r="AV2477" s="54"/>
      <c r="AW2477" s="60"/>
      <c r="AX2477" s="60"/>
      <c r="AY2477" s="60"/>
      <c r="AZ2477" s="60"/>
      <c r="BA2477" s="63"/>
      <c r="BB2477" s="61"/>
      <c r="BC2477" s="54"/>
      <c r="BD2477" s="54"/>
      <c r="BE2477" s="60"/>
      <c r="BF2477" s="60"/>
      <c r="BG2477" s="60"/>
      <c r="BH2477" s="60"/>
      <c r="BI2477" s="63"/>
      <c r="BJ2477" s="61"/>
      <c r="BK2477" s="54"/>
      <c r="BL2477" s="54"/>
      <c r="BM2477" s="60"/>
      <c r="BN2477" s="60"/>
      <c r="BO2477" s="60"/>
      <c r="BP2477" s="60"/>
      <c r="BQ2477" s="63"/>
      <c r="BR2477" s="61"/>
      <c r="BS2477" s="54"/>
      <c r="BT2477" s="54"/>
      <c r="BU2477" s="60"/>
      <c r="BV2477" s="60"/>
      <c r="BW2477" s="60"/>
      <c r="BX2477" s="60"/>
      <c r="BY2477" s="63"/>
      <c r="BZ2477" s="61"/>
      <c r="CA2477" s="54"/>
      <c r="CB2477" s="54"/>
      <c r="CC2477" s="60"/>
      <c r="CD2477" s="60"/>
      <c r="CE2477" s="60"/>
      <c r="CF2477" s="60"/>
      <c r="CG2477" s="63"/>
      <c r="CH2477" s="61"/>
      <c r="CI2477" s="54"/>
      <c r="CJ2477" s="54"/>
      <c r="CK2477" s="60"/>
      <c r="CL2477" s="60"/>
      <c r="CM2477" s="60"/>
      <c r="CN2477" s="60"/>
      <c r="CO2477" s="63"/>
      <c r="CP2477" s="61"/>
      <c r="CQ2477" s="54"/>
      <c r="CR2477" s="54"/>
      <c r="CS2477" s="60"/>
      <c r="CT2477" s="60"/>
      <c r="CU2477" s="60"/>
      <c r="CV2477" s="60"/>
      <c r="CW2477" s="63"/>
      <c r="CX2477" s="61"/>
      <c r="CY2477" s="54"/>
      <c r="CZ2477" s="54"/>
      <c r="DA2477" s="60"/>
      <c r="DB2477" s="60"/>
      <c r="DC2477" s="60"/>
      <c r="DD2477" s="60"/>
      <c r="DE2477" s="63"/>
      <c r="DF2477" s="61"/>
      <c r="DG2477" s="54"/>
      <c r="DH2477" s="54"/>
      <c r="DI2477" s="60"/>
      <c r="DJ2477" s="60"/>
      <c r="DK2477" s="60"/>
      <c r="DL2477" s="60"/>
      <c r="DM2477" s="63"/>
      <c r="DN2477" s="61"/>
      <c r="DO2477" s="54"/>
      <c r="DP2477" s="54"/>
      <c r="DQ2477" s="60"/>
      <c r="DR2477" s="60"/>
      <c r="DS2477" s="60"/>
      <c r="DT2477" s="60"/>
      <c r="DU2477" s="63"/>
      <c r="DV2477" s="61"/>
      <c r="DW2477" s="54"/>
      <c r="DX2477" s="54"/>
      <c r="DY2477" s="60"/>
      <c r="DZ2477" s="60"/>
      <c r="EA2477" s="60"/>
      <c r="EB2477" s="60"/>
      <c r="EC2477" s="63"/>
      <c r="ED2477" s="61"/>
      <c r="EE2477" s="54"/>
      <c r="EF2477" s="54"/>
      <c r="EG2477" s="60"/>
      <c r="EH2477" s="60"/>
      <c r="EI2477" s="60"/>
      <c r="EJ2477" s="60"/>
      <c r="EK2477" s="63"/>
      <c r="EL2477" s="61"/>
      <c r="EM2477" s="54"/>
      <c r="EN2477" s="54"/>
      <c r="EO2477" s="60"/>
      <c r="EP2477" s="60"/>
      <c r="EQ2477" s="60"/>
      <c r="ER2477" s="60"/>
      <c r="ES2477" s="63"/>
      <c r="ET2477" s="61"/>
      <c r="EU2477" s="54"/>
      <c r="EV2477" s="54"/>
      <c r="EW2477" s="60"/>
      <c r="EX2477" s="60"/>
      <c r="EY2477" s="60"/>
      <c r="EZ2477" s="60"/>
      <c r="FA2477" s="63"/>
      <c r="FB2477" s="61"/>
      <c r="FC2477" s="54"/>
      <c r="FD2477" s="54"/>
      <c r="FE2477" s="60"/>
      <c r="FF2477" s="60"/>
      <c r="FG2477" s="60"/>
      <c r="FH2477" s="60"/>
      <c r="FI2477" s="63"/>
      <c r="FJ2477" s="61"/>
      <c r="FK2477" s="54"/>
      <c r="FL2477" s="54"/>
      <c r="FM2477" s="60"/>
      <c r="FN2477" s="60"/>
      <c r="FO2477" s="60"/>
      <c r="FP2477" s="60"/>
      <c r="FQ2477" s="63"/>
      <c r="FR2477" s="61"/>
      <c r="FS2477" s="54"/>
      <c r="FT2477" s="54"/>
      <c r="FU2477" s="60"/>
      <c r="FV2477" s="60"/>
      <c r="FW2477" s="60"/>
      <c r="FX2477" s="60"/>
      <c r="FY2477" s="63"/>
      <c r="FZ2477" s="61"/>
      <c r="GA2477" s="54"/>
      <c r="GB2477" s="54"/>
      <c r="GC2477" s="60"/>
      <c r="GD2477" s="60"/>
      <c r="GE2477" s="60"/>
      <c r="GF2477" s="60"/>
      <c r="GG2477" s="63"/>
      <c r="GH2477" s="61"/>
      <c r="GI2477" s="54"/>
      <c r="GJ2477" s="54"/>
      <c r="GK2477" s="60"/>
      <c r="GL2477" s="60"/>
      <c r="GM2477" s="60"/>
      <c r="GN2477" s="60"/>
      <c r="GO2477" s="63"/>
      <c r="GP2477" s="61"/>
      <c r="GQ2477" s="54"/>
      <c r="GR2477" s="54"/>
      <c r="GS2477" s="60"/>
      <c r="GT2477" s="60"/>
      <c r="GU2477" s="60"/>
      <c r="GV2477" s="60"/>
      <c r="GW2477" s="63"/>
      <c r="GX2477" s="61"/>
      <c r="GY2477" s="54"/>
      <c r="GZ2477" s="54"/>
      <c r="HA2477" s="60"/>
      <c r="HB2477" s="60"/>
      <c r="HC2477" s="60"/>
      <c r="HD2477" s="60"/>
      <c r="HE2477" s="63"/>
      <c r="HF2477" s="61"/>
      <c r="HG2477" s="54"/>
      <c r="HH2477" s="54"/>
      <c r="HI2477" s="60"/>
      <c r="HJ2477" s="60"/>
      <c r="HK2477" s="60"/>
      <c r="HL2477" s="60"/>
      <c r="HM2477" s="63"/>
      <c r="HN2477" s="61"/>
      <c r="HO2477" s="54"/>
      <c r="HP2477" s="54"/>
      <c r="HQ2477" s="60"/>
      <c r="HR2477" s="60"/>
      <c r="HS2477" s="60"/>
      <c r="HT2477" s="60"/>
      <c r="HU2477" s="63"/>
      <c r="HV2477" s="61"/>
      <c r="HW2477" s="54"/>
      <c r="HX2477" s="54"/>
      <c r="HY2477" s="60"/>
      <c r="HZ2477" s="60"/>
      <c r="IA2477" s="60"/>
      <c r="IB2477" s="60"/>
      <c r="IC2477" s="63"/>
      <c r="ID2477" s="61"/>
      <c r="IE2477" s="54"/>
      <c r="IF2477" s="54"/>
      <c r="IG2477" s="60"/>
      <c r="IH2477" s="60"/>
      <c r="II2477" s="60"/>
      <c r="IJ2477" s="60"/>
      <c r="IK2477" s="63"/>
      <c r="IL2477" s="61"/>
      <c r="IM2477" s="54"/>
      <c r="IN2477" s="54"/>
      <c r="IO2477" s="60"/>
      <c r="IP2477" s="60"/>
      <c r="IQ2477" s="60"/>
      <c r="IR2477" s="60"/>
      <c r="IS2477" s="63"/>
      <c r="IT2477" s="61"/>
      <c r="IU2477" s="54"/>
      <c r="IV2477" s="54"/>
      <c r="IW2477" s="60"/>
      <c r="IX2477" s="60"/>
      <c r="IY2477" s="60"/>
      <c r="IZ2477" s="60"/>
      <c r="JA2477" s="63"/>
      <c r="JB2477" s="61"/>
      <c r="JC2477" s="54"/>
      <c r="JD2477" s="54"/>
      <c r="JE2477" s="60"/>
      <c r="JF2477" s="60"/>
      <c r="JG2477" s="60"/>
      <c r="JH2477" s="60"/>
      <c r="JI2477" s="63"/>
      <c r="JJ2477" s="61"/>
      <c r="JK2477" s="54"/>
      <c r="JL2477" s="54"/>
      <c r="JM2477" s="60"/>
      <c r="JN2477" s="60"/>
      <c r="JO2477" s="60"/>
      <c r="JP2477" s="60"/>
      <c r="JQ2477" s="63"/>
      <c r="JR2477" s="61"/>
      <c r="JS2477" s="54"/>
      <c r="JT2477" s="54"/>
      <c r="JU2477" s="60"/>
      <c r="JV2477" s="60"/>
      <c r="JW2477" s="60"/>
      <c r="JX2477" s="60"/>
      <c r="JY2477" s="63"/>
      <c r="JZ2477" s="61"/>
      <c r="KA2477" s="54"/>
      <c r="KB2477" s="54"/>
      <c r="KC2477" s="60"/>
      <c r="KD2477" s="60"/>
      <c r="KE2477" s="60"/>
      <c r="KF2477" s="60"/>
      <c r="KG2477" s="63"/>
      <c r="KH2477" s="61"/>
      <c r="KI2477" s="54"/>
      <c r="KJ2477" s="54"/>
      <c r="KK2477" s="60"/>
      <c r="KL2477" s="60"/>
      <c r="KM2477" s="60"/>
      <c r="KN2477" s="60"/>
      <c r="KO2477" s="63"/>
      <c r="KP2477" s="61"/>
      <c r="KQ2477" s="54"/>
      <c r="KR2477" s="54"/>
      <c r="KS2477" s="60"/>
      <c r="KT2477" s="60"/>
      <c r="KU2477" s="60"/>
      <c r="KV2477" s="60"/>
      <c r="KW2477" s="63"/>
      <c r="KX2477" s="61"/>
      <c r="KY2477" s="54"/>
      <c r="KZ2477" s="54"/>
      <c r="LA2477" s="60"/>
      <c r="LB2477" s="60"/>
      <c r="LC2477" s="60"/>
      <c r="LD2477" s="60"/>
      <c r="LE2477" s="63"/>
      <c r="LF2477" s="61"/>
      <c r="LG2477" s="54"/>
      <c r="LH2477" s="54"/>
      <c r="LI2477" s="60"/>
      <c r="LJ2477" s="60"/>
      <c r="LK2477" s="60"/>
      <c r="LL2477" s="60"/>
      <c r="LM2477" s="63"/>
      <c r="LN2477" s="61"/>
      <c r="LO2477" s="54"/>
      <c r="LP2477" s="54"/>
      <c r="LQ2477" s="60"/>
      <c r="LR2477" s="60"/>
      <c r="LS2477" s="60"/>
      <c r="LT2477" s="60"/>
      <c r="LU2477" s="63"/>
      <c r="LV2477" s="61"/>
      <c r="LW2477" s="54"/>
      <c r="LX2477" s="54"/>
      <c r="LY2477" s="60"/>
      <c r="LZ2477" s="60"/>
      <c r="MA2477" s="60"/>
      <c r="MB2477" s="60"/>
      <c r="MC2477" s="63"/>
      <c r="MD2477" s="61"/>
      <c r="ME2477" s="54"/>
      <c r="MF2477" s="54"/>
      <c r="MG2477" s="60"/>
      <c r="MH2477" s="60"/>
      <c r="MI2477" s="60"/>
      <c r="MJ2477" s="60"/>
      <c r="MK2477" s="63"/>
      <c r="ML2477" s="61"/>
      <c r="MM2477" s="54"/>
      <c r="MN2477" s="54"/>
      <c r="MO2477" s="60"/>
      <c r="MP2477" s="60"/>
      <c r="MQ2477" s="60"/>
      <c r="MR2477" s="60"/>
      <c r="MS2477" s="63"/>
      <c r="MT2477" s="61"/>
      <c r="MU2477" s="54"/>
      <c r="MV2477" s="54"/>
      <c r="MW2477" s="60"/>
      <c r="MX2477" s="60"/>
      <c r="MY2477" s="60"/>
      <c r="MZ2477" s="60"/>
      <c r="NA2477" s="63"/>
      <c r="NB2477" s="61"/>
      <c r="NC2477" s="54"/>
      <c r="ND2477" s="54"/>
      <c r="NE2477" s="60"/>
      <c r="NF2477" s="60"/>
      <c r="NG2477" s="60"/>
      <c r="NH2477" s="60"/>
      <c r="NI2477" s="63"/>
      <c r="NJ2477" s="61"/>
      <c r="NK2477" s="54"/>
      <c r="NL2477" s="54"/>
      <c r="NM2477" s="60"/>
      <c r="NN2477" s="60"/>
      <c r="NO2477" s="60"/>
      <c r="NP2477" s="60"/>
      <c r="NQ2477" s="63"/>
      <c r="NR2477" s="61"/>
      <c r="NS2477" s="54"/>
      <c r="NT2477" s="54"/>
      <c r="NU2477" s="60"/>
      <c r="NV2477" s="60"/>
      <c r="NW2477" s="60"/>
      <c r="NX2477" s="60"/>
      <c r="NY2477" s="63"/>
      <c r="NZ2477" s="61"/>
      <c r="OA2477" s="54"/>
      <c r="OB2477" s="54"/>
      <c r="OC2477" s="60"/>
      <c r="OD2477" s="60"/>
      <c r="OE2477" s="60"/>
      <c r="OF2477" s="60"/>
      <c r="OG2477" s="63"/>
      <c r="OH2477" s="61"/>
      <c r="OI2477" s="54"/>
      <c r="OJ2477" s="54"/>
      <c r="OK2477" s="60"/>
      <c r="OL2477" s="60"/>
      <c r="OM2477" s="60"/>
      <c r="ON2477" s="60"/>
      <c r="OO2477" s="63"/>
      <c r="OP2477" s="61"/>
      <c r="OQ2477" s="54"/>
      <c r="OR2477" s="54"/>
      <c r="OS2477" s="60"/>
      <c r="OT2477" s="60"/>
      <c r="OU2477" s="60"/>
      <c r="OV2477" s="60"/>
      <c r="OW2477" s="63"/>
      <c r="OX2477" s="61"/>
      <c r="OY2477" s="54"/>
      <c r="OZ2477" s="54"/>
      <c r="PA2477" s="60"/>
      <c r="PB2477" s="60"/>
      <c r="PC2477" s="60"/>
      <c r="PD2477" s="60"/>
      <c r="PE2477" s="63"/>
      <c r="PF2477" s="61"/>
      <c r="PG2477" s="54"/>
      <c r="PH2477" s="54"/>
      <c r="PI2477" s="60"/>
      <c r="PJ2477" s="60"/>
      <c r="PK2477" s="60"/>
      <c r="PL2477" s="60"/>
      <c r="PM2477" s="63"/>
      <c r="PN2477" s="61"/>
      <c r="PO2477" s="54"/>
      <c r="PP2477" s="54"/>
      <c r="PQ2477" s="60"/>
      <c r="PR2477" s="60"/>
      <c r="PS2477" s="60"/>
      <c r="PT2477" s="60"/>
      <c r="PU2477" s="63"/>
      <c r="PV2477" s="61"/>
      <c r="PW2477" s="54"/>
      <c r="PX2477" s="54"/>
      <c r="PY2477" s="60"/>
      <c r="PZ2477" s="60"/>
      <c r="QA2477" s="60"/>
      <c r="QB2477" s="60"/>
      <c r="QC2477" s="63"/>
      <c r="QD2477" s="61"/>
      <c r="QE2477" s="54"/>
      <c r="QF2477" s="54"/>
      <c r="QG2477" s="60"/>
      <c r="QH2477" s="60"/>
      <c r="QI2477" s="60"/>
      <c r="QJ2477" s="60"/>
      <c r="QK2477" s="63"/>
      <c r="QL2477" s="61"/>
      <c r="QM2477" s="54"/>
      <c r="QN2477" s="54"/>
      <c r="QO2477" s="60"/>
      <c r="QP2477" s="60"/>
      <c r="QQ2477" s="60"/>
      <c r="QR2477" s="60"/>
      <c r="QS2477" s="63"/>
      <c r="QT2477" s="61"/>
      <c r="QU2477" s="54"/>
      <c r="QV2477" s="54"/>
      <c r="QW2477" s="60"/>
      <c r="QX2477" s="60"/>
      <c r="QY2477" s="60"/>
      <c r="QZ2477" s="60"/>
      <c r="RA2477" s="63"/>
      <c r="RB2477" s="61"/>
      <c r="RC2477" s="54"/>
      <c r="RD2477" s="54"/>
      <c r="RE2477" s="60"/>
      <c r="RF2477" s="60"/>
      <c r="RG2477" s="60"/>
      <c r="RH2477" s="60"/>
      <c r="RI2477" s="63"/>
      <c r="RJ2477" s="61"/>
      <c r="RK2477" s="54"/>
      <c r="RL2477" s="54"/>
      <c r="RM2477" s="60"/>
      <c r="RN2477" s="60"/>
      <c r="RO2477" s="60"/>
      <c r="RP2477" s="60"/>
      <c r="RQ2477" s="63"/>
      <c r="RR2477" s="61"/>
      <c r="RS2477" s="54"/>
      <c r="RT2477" s="54"/>
      <c r="RU2477" s="60"/>
      <c r="RV2477" s="60"/>
      <c r="RW2477" s="60"/>
      <c r="RX2477" s="60"/>
      <c r="RY2477" s="63"/>
      <c r="RZ2477" s="61"/>
      <c r="SA2477" s="54"/>
      <c r="SB2477" s="54"/>
      <c r="SC2477" s="60"/>
      <c r="SD2477" s="60"/>
      <c r="SE2477" s="60"/>
      <c r="SF2477" s="60"/>
      <c r="SG2477" s="63"/>
      <c r="SH2477" s="61"/>
      <c r="SI2477" s="54"/>
      <c r="SJ2477" s="54"/>
      <c r="SK2477" s="60"/>
      <c r="SL2477" s="60"/>
      <c r="SM2477" s="60"/>
      <c r="SN2477" s="60"/>
      <c r="SO2477" s="63"/>
      <c r="SP2477" s="61"/>
      <c r="SQ2477" s="54"/>
      <c r="SR2477" s="54"/>
      <c r="SS2477" s="60"/>
      <c r="ST2477" s="60"/>
      <c r="SU2477" s="60"/>
      <c r="SV2477" s="60"/>
      <c r="SW2477" s="63"/>
      <c r="SX2477" s="61"/>
      <c r="SY2477" s="54"/>
      <c r="SZ2477" s="54"/>
      <c r="TA2477" s="60"/>
      <c r="TB2477" s="60"/>
      <c r="TC2477" s="60"/>
      <c r="TD2477" s="60"/>
      <c r="TE2477" s="63"/>
      <c r="TF2477" s="61"/>
      <c r="TG2477" s="54"/>
      <c r="TH2477" s="54"/>
      <c r="TI2477" s="60"/>
      <c r="TJ2477" s="60"/>
      <c r="TK2477" s="60"/>
      <c r="TL2477" s="60"/>
      <c r="TM2477" s="63"/>
      <c r="TN2477" s="61"/>
      <c r="TO2477" s="54"/>
      <c r="TP2477" s="54"/>
      <c r="TQ2477" s="60"/>
      <c r="TR2477" s="60"/>
      <c r="TS2477" s="60"/>
      <c r="TT2477" s="60"/>
      <c r="TU2477" s="63"/>
      <c r="TV2477" s="61"/>
      <c r="TW2477" s="54"/>
      <c r="TX2477" s="54"/>
      <c r="TY2477" s="60"/>
      <c r="TZ2477" s="60"/>
      <c r="UA2477" s="60"/>
      <c r="UB2477" s="60"/>
      <c r="UC2477" s="63"/>
      <c r="UD2477" s="61"/>
      <c r="UE2477" s="54"/>
      <c r="UF2477" s="54"/>
      <c r="UG2477" s="60"/>
      <c r="UH2477" s="60"/>
      <c r="UI2477" s="60"/>
      <c r="UJ2477" s="60"/>
      <c r="UK2477" s="63"/>
      <c r="UL2477" s="61"/>
      <c r="UM2477" s="54"/>
      <c r="UN2477" s="54"/>
      <c r="UO2477" s="60"/>
      <c r="UP2477" s="60"/>
      <c r="UQ2477" s="60"/>
      <c r="UR2477" s="60"/>
      <c r="US2477" s="63"/>
      <c r="UT2477" s="61"/>
      <c r="UU2477" s="54"/>
      <c r="UV2477" s="54"/>
      <c r="UW2477" s="60"/>
      <c r="UX2477" s="60"/>
      <c r="UY2477" s="60"/>
      <c r="UZ2477" s="60"/>
      <c r="VA2477" s="63"/>
      <c r="VB2477" s="61"/>
      <c r="VC2477" s="54"/>
      <c r="VD2477" s="54"/>
      <c r="VE2477" s="60"/>
      <c r="VF2477" s="60"/>
      <c r="VG2477" s="60"/>
      <c r="VH2477" s="60"/>
      <c r="VI2477" s="63"/>
      <c r="VJ2477" s="61"/>
      <c r="VK2477" s="54"/>
      <c r="VL2477" s="54"/>
      <c r="VM2477" s="60"/>
      <c r="VN2477" s="60"/>
      <c r="VO2477" s="60"/>
      <c r="VP2477" s="60"/>
      <c r="VQ2477" s="63"/>
      <c r="VR2477" s="61"/>
      <c r="VS2477" s="54"/>
      <c r="VT2477" s="54"/>
      <c r="VU2477" s="60"/>
      <c r="VV2477" s="60"/>
      <c r="VW2477" s="60"/>
      <c r="VX2477" s="60"/>
      <c r="VY2477" s="63"/>
      <c r="VZ2477" s="61"/>
      <c r="WA2477" s="54"/>
      <c r="WB2477" s="54"/>
      <c r="WC2477" s="60"/>
      <c r="WD2477" s="60"/>
      <c r="WE2477" s="60"/>
      <c r="WF2477" s="60"/>
      <c r="WG2477" s="63"/>
      <c r="WH2477" s="61"/>
      <c r="WI2477" s="54"/>
      <c r="WJ2477" s="54"/>
      <c r="WK2477" s="60"/>
      <c r="WL2477" s="60"/>
      <c r="WM2477" s="60"/>
      <c r="WN2477" s="60"/>
      <c r="WO2477" s="63"/>
      <c r="WP2477" s="61"/>
      <c r="WQ2477" s="54"/>
      <c r="WR2477" s="54"/>
      <c r="WS2477" s="60"/>
      <c r="WT2477" s="60"/>
      <c r="WU2477" s="60"/>
      <c r="WV2477" s="60"/>
      <c r="WW2477" s="63"/>
      <c r="WX2477" s="61"/>
      <c r="WY2477" s="54"/>
      <c r="WZ2477" s="54"/>
      <c r="XA2477" s="60"/>
      <c r="XB2477" s="60"/>
      <c r="XC2477" s="60"/>
      <c r="XD2477" s="60"/>
      <c r="XE2477" s="63"/>
      <c r="XF2477" s="61"/>
      <c r="XG2477" s="54"/>
      <c r="XH2477" s="54"/>
      <c r="XI2477" s="60"/>
      <c r="XJ2477" s="60"/>
      <c r="XK2477" s="60"/>
      <c r="XL2477" s="60"/>
      <c r="XM2477" s="63"/>
      <c r="XN2477" s="61"/>
      <c r="XO2477" s="54"/>
      <c r="XP2477" s="54"/>
      <c r="XQ2477" s="60"/>
      <c r="XR2477" s="60"/>
      <c r="XS2477" s="60"/>
      <c r="XT2477" s="60"/>
      <c r="XU2477" s="63"/>
      <c r="XV2477" s="61"/>
      <c r="XW2477" s="54"/>
      <c r="XX2477" s="54"/>
      <c r="XY2477" s="60"/>
      <c r="XZ2477" s="60"/>
      <c r="YA2477" s="60"/>
      <c r="YB2477" s="60"/>
      <c r="YC2477" s="63"/>
      <c r="YD2477" s="61"/>
      <c r="YE2477" s="54"/>
      <c r="YF2477" s="54"/>
      <c r="YG2477" s="60"/>
      <c r="YH2477" s="60"/>
      <c r="YI2477" s="60"/>
      <c r="YJ2477" s="60"/>
      <c r="YK2477" s="63"/>
      <c r="YL2477" s="61"/>
      <c r="YM2477" s="54"/>
      <c r="YN2477" s="54"/>
      <c r="YO2477" s="60"/>
      <c r="YP2477" s="60"/>
      <c r="YQ2477" s="60"/>
      <c r="YR2477" s="60"/>
      <c r="YS2477" s="63"/>
      <c r="YT2477" s="61"/>
      <c r="YU2477" s="54"/>
      <c r="YV2477" s="54"/>
      <c r="YW2477" s="60"/>
      <c r="YX2477" s="60"/>
      <c r="YY2477" s="60"/>
      <c r="YZ2477" s="60"/>
      <c r="ZA2477" s="63"/>
      <c r="ZB2477" s="61"/>
      <c r="ZC2477" s="54"/>
      <c r="ZD2477" s="54"/>
      <c r="ZE2477" s="60"/>
      <c r="ZF2477" s="60"/>
      <c r="ZG2477" s="60"/>
      <c r="ZH2477" s="60"/>
      <c r="ZI2477" s="63"/>
      <c r="ZJ2477" s="61"/>
      <c r="ZK2477" s="54"/>
      <c r="ZL2477" s="54"/>
      <c r="ZM2477" s="60"/>
      <c r="ZN2477" s="60"/>
      <c r="ZO2477" s="60"/>
      <c r="ZP2477" s="60"/>
      <c r="ZQ2477" s="63"/>
      <c r="ZR2477" s="61"/>
      <c r="ZS2477" s="54"/>
      <c r="ZT2477" s="54"/>
      <c r="ZU2477" s="60"/>
      <c r="ZV2477" s="60"/>
      <c r="ZW2477" s="60"/>
      <c r="ZX2477" s="60"/>
      <c r="ZY2477" s="63"/>
      <c r="ZZ2477" s="61"/>
      <c r="AAA2477" s="54"/>
      <c r="AAB2477" s="54"/>
      <c r="AAC2477" s="60"/>
      <c r="AAD2477" s="60"/>
      <c r="AAE2477" s="60"/>
      <c r="AAF2477" s="60"/>
      <c r="AAG2477" s="63"/>
      <c r="AAH2477" s="61"/>
      <c r="AAI2477" s="54"/>
      <c r="AAJ2477" s="54"/>
      <c r="AAK2477" s="60"/>
      <c r="AAL2477" s="60"/>
      <c r="AAM2477" s="60"/>
      <c r="AAN2477" s="60"/>
      <c r="AAO2477" s="63"/>
      <c r="AAP2477" s="61"/>
      <c r="AAQ2477" s="54"/>
      <c r="AAR2477" s="54"/>
      <c r="AAS2477" s="60"/>
      <c r="AAT2477" s="60"/>
      <c r="AAU2477" s="60"/>
      <c r="AAV2477" s="60"/>
      <c r="AAW2477" s="63"/>
      <c r="AAX2477" s="61"/>
      <c r="AAY2477" s="54"/>
      <c r="AAZ2477" s="54"/>
      <c r="ABA2477" s="60"/>
      <c r="ABB2477" s="60"/>
      <c r="ABC2477" s="60"/>
      <c r="ABD2477" s="60"/>
      <c r="ABE2477" s="63"/>
      <c r="ABF2477" s="61"/>
      <c r="ABG2477" s="54"/>
      <c r="ABH2477" s="54"/>
      <c r="ABI2477" s="60"/>
      <c r="ABJ2477" s="60"/>
      <c r="ABK2477" s="60"/>
      <c r="ABL2477" s="60"/>
      <c r="ABM2477" s="63"/>
      <c r="ABN2477" s="61"/>
      <c r="ABO2477" s="54"/>
      <c r="ABP2477" s="54"/>
      <c r="ABQ2477" s="60"/>
      <c r="ABR2477" s="60"/>
      <c r="ABS2477" s="60"/>
      <c r="ABT2477" s="60"/>
      <c r="ABU2477" s="63"/>
      <c r="ABV2477" s="61"/>
      <c r="ABW2477" s="54"/>
      <c r="ABX2477" s="54"/>
      <c r="ABY2477" s="60"/>
      <c r="ABZ2477" s="60"/>
      <c r="ACA2477" s="60"/>
      <c r="ACB2477" s="60"/>
      <c r="ACC2477" s="63"/>
      <c r="ACD2477" s="61"/>
      <c r="ACE2477" s="54"/>
      <c r="ACF2477" s="54"/>
      <c r="ACG2477" s="60"/>
      <c r="ACH2477" s="60"/>
      <c r="ACI2477" s="60"/>
      <c r="ACJ2477" s="60"/>
      <c r="ACK2477" s="63"/>
      <c r="ACL2477" s="61"/>
      <c r="ACM2477" s="54"/>
      <c r="ACN2477" s="54"/>
      <c r="ACO2477" s="60"/>
      <c r="ACP2477" s="60"/>
      <c r="ACQ2477" s="60"/>
      <c r="ACR2477" s="60"/>
      <c r="ACS2477" s="63"/>
      <c r="ACT2477" s="61"/>
      <c r="ACU2477" s="54"/>
      <c r="ACV2477" s="54"/>
      <c r="ACW2477" s="60"/>
      <c r="ACX2477" s="60"/>
      <c r="ACY2477" s="60"/>
      <c r="ACZ2477" s="60"/>
      <c r="ADA2477" s="63"/>
      <c r="ADB2477" s="61"/>
      <c r="ADC2477" s="54"/>
      <c r="ADD2477" s="54"/>
      <c r="ADE2477" s="60"/>
      <c r="ADF2477" s="60"/>
      <c r="ADG2477" s="60"/>
      <c r="ADH2477" s="60"/>
      <c r="ADI2477" s="63"/>
      <c r="ADJ2477" s="61"/>
      <c r="ADK2477" s="54"/>
      <c r="ADL2477" s="54"/>
      <c r="ADM2477" s="60"/>
      <c r="ADN2477" s="60"/>
      <c r="ADO2477" s="60"/>
      <c r="ADP2477" s="60"/>
      <c r="ADQ2477" s="63"/>
      <c r="ADR2477" s="61"/>
      <c r="ADS2477" s="54"/>
      <c r="ADT2477" s="54"/>
      <c r="ADU2477" s="60"/>
      <c r="ADV2477" s="60"/>
      <c r="ADW2477" s="60"/>
      <c r="ADX2477" s="60"/>
      <c r="ADY2477" s="63"/>
      <c r="ADZ2477" s="61"/>
      <c r="AEA2477" s="54"/>
      <c r="AEB2477" s="54"/>
      <c r="AEC2477" s="60"/>
      <c r="AED2477" s="60"/>
      <c r="AEE2477" s="60"/>
      <c r="AEF2477" s="60"/>
      <c r="AEG2477" s="63"/>
      <c r="AEH2477" s="61"/>
      <c r="AEI2477" s="54"/>
      <c r="AEJ2477" s="54"/>
      <c r="AEK2477" s="60"/>
      <c r="AEL2477" s="60"/>
      <c r="AEM2477" s="60"/>
      <c r="AEN2477" s="60"/>
      <c r="AEO2477" s="63"/>
      <c r="AEP2477" s="61"/>
      <c r="AEQ2477" s="54"/>
      <c r="AER2477" s="54"/>
      <c r="AES2477" s="60"/>
      <c r="AET2477" s="60"/>
      <c r="AEU2477" s="60"/>
      <c r="AEV2477" s="60"/>
      <c r="AEW2477" s="63"/>
      <c r="AEX2477" s="61"/>
      <c r="AEY2477" s="54"/>
      <c r="AEZ2477" s="54"/>
      <c r="AFA2477" s="60"/>
      <c r="AFB2477" s="60"/>
      <c r="AFC2477" s="60"/>
      <c r="AFD2477" s="60"/>
      <c r="AFE2477" s="63"/>
      <c r="AFF2477" s="61"/>
      <c r="AFG2477" s="54"/>
      <c r="AFH2477" s="54"/>
      <c r="AFI2477" s="60"/>
      <c r="AFJ2477" s="60"/>
      <c r="AFK2477" s="60"/>
      <c r="AFL2477" s="60"/>
      <c r="AFM2477" s="63"/>
      <c r="AFN2477" s="61"/>
      <c r="AFO2477" s="54"/>
      <c r="AFP2477" s="54"/>
      <c r="AFQ2477" s="60"/>
      <c r="AFR2477" s="60"/>
      <c r="AFS2477" s="60"/>
      <c r="AFT2477" s="60"/>
      <c r="AFU2477" s="63"/>
      <c r="AFV2477" s="61"/>
      <c r="AFW2477" s="54"/>
      <c r="AFX2477" s="54"/>
      <c r="AFY2477" s="60"/>
      <c r="AFZ2477" s="60"/>
      <c r="AGA2477" s="60"/>
      <c r="AGB2477" s="60"/>
      <c r="AGC2477" s="63"/>
      <c r="AGD2477" s="61"/>
      <c r="AGE2477" s="54"/>
      <c r="AGF2477" s="54"/>
      <c r="AGG2477" s="60"/>
      <c r="AGH2477" s="60"/>
      <c r="AGI2477" s="60"/>
      <c r="AGJ2477" s="60"/>
      <c r="AGK2477" s="63"/>
      <c r="AGL2477" s="61"/>
      <c r="AGM2477" s="54"/>
      <c r="AGN2477" s="54"/>
      <c r="AGO2477" s="60"/>
      <c r="AGP2477" s="60"/>
      <c r="AGQ2477" s="60"/>
      <c r="AGR2477" s="60"/>
      <c r="AGS2477" s="63"/>
      <c r="AGT2477" s="61"/>
      <c r="AGU2477" s="54"/>
      <c r="AGV2477" s="54"/>
      <c r="AGW2477" s="60"/>
      <c r="AGX2477" s="60"/>
      <c r="AGY2477" s="60"/>
      <c r="AGZ2477" s="60"/>
      <c r="AHA2477" s="63"/>
      <c r="AHB2477" s="61"/>
      <c r="AHC2477" s="54"/>
      <c r="AHD2477" s="54"/>
      <c r="AHE2477" s="60"/>
      <c r="AHF2477" s="60"/>
      <c r="AHG2477" s="60"/>
      <c r="AHH2477" s="60"/>
      <c r="AHI2477" s="63"/>
      <c r="AHJ2477" s="61"/>
      <c r="AHK2477" s="54"/>
      <c r="AHL2477" s="54"/>
      <c r="AHM2477" s="60"/>
      <c r="AHN2477" s="60"/>
      <c r="AHO2477" s="60"/>
      <c r="AHP2477" s="60"/>
      <c r="AHQ2477" s="63"/>
      <c r="AHR2477" s="61"/>
      <c r="AHS2477" s="54"/>
      <c r="AHT2477" s="54"/>
      <c r="AHU2477" s="60"/>
      <c r="AHV2477" s="60"/>
      <c r="AHW2477" s="60"/>
      <c r="AHX2477" s="60"/>
      <c r="AHY2477" s="63"/>
      <c r="AHZ2477" s="61"/>
      <c r="AIA2477" s="54"/>
      <c r="AIB2477" s="54"/>
      <c r="AIC2477" s="60"/>
      <c r="AID2477" s="60"/>
      <c r="AIE2477" s="60"/>
      <c r="AIF2477" s="60"/>
      <c r="AIG2477" s="63"/>
      <c r="AIH2477" s="61"/>
      <c r="AII2477" s="54"/>
      <c r="AIJ2477" s="54"/>
      <c r="AIK2477" s="60"/>
      <c r="AIL2477" s="60"/>
      <c r="AIM2477" s="60"/>
      <c r="AIN2477" s="60"/>
      <c r="AIO2477" s="63"/>
      <c r="AIP2477" s="61"/>
      <c r="AIQ2477" s="54"/>
      <c r="AIR2477" s="54"/>
      <c r="AIS2477" s="60"/>
      <c r="AIT2477" s="60"/>
      <c r="AIU2477" s="60"/>
      <c r="AIV2477" s="60"/>
      <c r="AIW2477" s="63"/>
      <c r="AIX2477" s="61"/>
      <c r="AIY2477" s="54"/>
      <c r="AIZ2477" s="54"/>
      <c r="AJA2477" s="60"/>
      <c r="AJB2477" s="60"/>
      <c r="AJC2477" s="60"/>
      <c r="AJD2477" s="60"/>
      <c r="AJE2477" s="63"/>
      <c r="AJF2477" s="61"/>
      <c r="AJG2477" s="54"/>
      <c r="AJH2477" s="54"/>
      <c r="AJI2477" s="60"/>
      <c r="AJJ2477" s="60"/>
      <c r="AJK2477" s="60"/>
      <c r="AJL2477" s="60"/>
      <c r="AJM2477" s="63"/>
      <c r="AJN2477" s="61"/>
      <c r="AJO2477" s="54"/>
      <c r="AJP2477" s="54"/>
      <c r="AJQ2477" s="60"/>
      <c r="AJR2477" s="60"/>
      <c r="AJS2477" s="60"/>
      <c r="AJT2477" s="60"/>
      <c r="AJU2477" s="63"/>
      <c r="AJV2477" s="61"/>
      <c r="AJW2477" s="54"/>
      <c r="AJX2477" s="54"/>
      <c r="AJY2477" s="60"/>
      <c r="AJZ2477" s="60"/>
      <c r="AKA2477" s="60"/>
      <c r="AKB2477" s="60"/>
      <c r="AKC2477" s="63"/>
      <c r="AKD2477" s="61"/>
      <c r="AKE2477" s="54"/>
      <c r="AKF2477" s="54"/>
      <c r="AKG2477" s="60"/>
      <c r="AKH2477" s="60"/>
      <c r="AKI2477" s="60"/>
      <c r="AKJ2477" s="60"/>
      <c r="AKK2477" s="63"/>
      <c r="AKL2477" s="61"/>
      <c r="AKM2477" s="54"/>
      <c r="AKN2477" s="54"/>
      <c r="AKO2477" s="60"/>
      <c r="AKP2477" s="60"/>
      <c r="AKQ2477" s="60"/>
      <c r="AKR2477" s="60"/>
      <c r="AKS2477" s="63"/>
      <c r="AKT2477" s="61"/>
      <c r="AKU2477" s="54"/>
      <c r="AKV2477" s="54"/>
      <c r="AKW2477" s="60"/>
      <c r="AKX2477" s="60"/>
      <c r="AKY2477" s="60"/>
      <c r="AKZ2477" s="60"/>
      <c r="ALA2477" s="63"/>
      <c r="ALB2477" s="61"/>
      <c r="ALC2477" s="54"/>
      <c r="ALD2477" s="54"/>
      <c r="ALE2477" s="60"/>
      <c r="ALF2477" s="60"/>
      <c r="ALG2477" s="60"/>
      <c r="ALH2477" s="60"/>
      <c r="ALI2477" s="63"/>
      <c r="ALJ2477" s="61"/>
      <c r="ALK2477" s="54"/>
      <c r="ALL2477" s="54"/>
      <c r="ALM2477" s="60"/>
      <c r="ALN2477" s="60"/>
      <c r="ALO2477" s="60"/>
      <c r="ALP2477" s="60"/>
      <c r="ALQ2477" s="63"/>
      <c r="ALR2477" s="61"/>
      <c r="ALS2477" s="54"/>
      <c r="ALT2477" s="54"/>
      <c r="ALU2477" s="60"/>
      <c r="ALV2477" s="60"/>
      <c r="ALW2477" s="60"/>
      <c r="ALX2477" s="60"/>
      <c r="ALY2477" s="63"/>
      <c r="ALZ2477" s="61"/>
      <c r="AMA2477" s="54"/>
      <c r="AMB2477" s="54"/>
      <c r="AMC2477" s="60"/>
      <c r="AMD2477" s="60"/>
      <c r="AME2477" s="60"/>
      <c r="AMF2477" s="60"/>
      <c r="AMG2477" s="63"/>
      <c r="AMH2477" s="61"/>
      <c r="AMI2477" s="54"/>
      <c r="AMJ2477" s="54"/>
      <c r="AMK2477" s="60"/>
      <c r="AML2477" s="60"/>
      <c r="AMM2477" s="60"/>
      <c r="AMN2477" s="60"/>
      <c r="AMO2477" s="63"/>
      <c r="AMP2477" s="61"/>
      <c r="AMQ2477" s="54"/>
      <c r="AMR2477" s="54"/>
      <c r="AMS2477" s="60"/>
      <c r="AMT2477" s="60"/>
      <c r="AMU2477" s="60"/>
      <c r="AMV2477" s="60"/>
      <c r="AMW2477" s="63"/>
      <c r="AMX2477" s="61"/>
      <c r="AMY2477" s="54"/>
      <c r="AMZ2477" s="54"/>
      <c r="ANA2477" s="60"/>
      <c r="ANB2477" s="60"/>
      <c r="ANC2477" s="60"/>
      <c r="AND2477" s="60"/>
      <c r="ANE2477" s="63"/>
      <c r="ANF2477" s="61"/>
      <c r="ANG2477" s="54"/>
      <c r="ANH2477" s="54"/>
      <c r="ANI2477" s="60"/>
      <c r="ANJ2477" s="60"/>
      <c r="ANK2477" s="60"/>
      <c r="ANL2477" s="60"/>
      <c r="ANM2477" s="63"/>
      <c r="ANN2477" s="61"/>
      <c r="ANO2477" s="54"/>
      <c r="ANP2477" s="54"/>
      <c r="ANQ2477" s="60"/>
      <c r="ANR2477" s="60"/>
      <c r="ANS2477" s="60"/>
      <c r="ANT2477" s="60"/>
      <c r="ANU2477" s="63"/>
      <c r="ANV2477" s="61"/>
      <c r="ANW2477" s="54"/>
      <c r="ANX2477" s="54"/>
      <c r="ANY2477" s="60"/>
      <c r="ANZ2477" s="60"/>
      <c r="AOA2477" s="60"/>
      <c r="AOB2477" s="60"/>
      <c r="AOC2477" s="63"/>
      <c r="AOD2477" s="61"/>
      <c r="AOE2477" s="54"/>
      <c r="AOF2477" s="54"/>
      <c r="AOG2477" s="60"/>
      <c r="AOH2477" s="60"/>
      <c r="AOI2477" s="60"/>
      <c r="AOJ2477" s="60"/>
      <c r="AOK2477" s="63"/>
      <c r="AOL2477" s="61"/>
      <c r="AOM2477" s="54"/>
      <c r="AON2477" s="54"/>
      <c r="AOO2477" s="60"/>
      <c r="AOP2477" s="60"/>
      <c r="AOQ2477" s="60"/>
      <c r="AOR2477" s="60"/>
      <c r="AOS2477" s="63"/>
      <c r="AOT2477" s="61"/>
      <c r="AOU2477" s="54"/>
      <c r="AOV2477" s="54"/>
      <c r="AOW2477" s="60"/>
      <c r="AOX2477" s="60"/>
      <c r="AOY2477" s="60"/>
      <c r="AOZ2477" s="60"/>
      <c r="APA2477" s="63"/>
      <c r="APB2477" s="61"/>
      <c r="APC2477" s="54"/>
      <c r="APD2477" s="54"/>
      <c r="APE2477" s="60"/>
      <c r="APF2477" s="60"/>
      <c r="APG2477" s="60"/>
      <c r="APH2477" s="60"/>
      <c r="API2477" s="63"/>
      <c r="APJ2477" s="61"/>
      <c r="APK2477" s="54"/>
      <c r="APL2477" s="54"/>
      <c r="APM2477" s="60"/>
      <c r="APN2477" s="60"/>
      <c r="APO2477" s="60"/>
      <c r="APP2477" s="60"/>
      <c r="APQ2477" s="63"/>
      <c r="APR2477" s="61"/>
      <c r="APS2477" s="54"/>
      <c r="APT2477" s="54"/>
      <c r="APU2477" s="60"/>
      <c r="APV2477" s="60"/>
      <c r="APW2477" s="60"/>
      <c r="APX2477" s="60"/>
      <c r="APY2477" s="63"/>
      <c r="APZ2477" s="61"/>
      <c r="AQA2477" s="54"/>
      <c r="AQB2477" s="54"/>
      <c r="AQC2477" s="60"/>
      <c r="AQD2477" s="60"/>
      <c r="AQE2477" s="60"/>
      <c r="AQF2477" s="60"/>
      <c r="AQG2477" s="63"/>
      <c r="AQH2477" s="61"/>
      <c r="AQI2477" s="54"/>
      <c r="AQJ2477" s="54"/>
      <c r="AQK2477" s="60"/>
      <c r="AQL2477" s="60"/>
      <c r="AQM2477" s="60"/>
      <c r="AQN2477" s="60"/>
      <c r="AQO2477" s="63"/>
      <c r="AQP2477" s="61"/>
      <c r="AQQ2477" s="54"/>
      <c r="AQR2477" s="54"/>
      <c r="AQS2477" s="60"/>
      <c r="AQT2477" s="60"/>
      <c r="AQU2477" s="60"/>
      <c r="AQV2477" s="60"/>
      <c r="AQW2477" s="63"/>
      <c r="AQX2477" s="61"/>
      <c r="AQY2477" s="54"/>
      <c r="AQZ2477" s="54"/>
      <c r="ARA2477" s="60"/>
      <c r="ARB2477" s="60"/>
      <c r="ARC2477" s="60"/>
      <c r="ARD2477" s="60"/>
      <c r="ARE2477" s="63"/>
      <c r="ARF2477" s="61"/>
      <c r="ARG2477" s="54"/>
      <c r="ARH2477" s="54"/>
      <c r="ARI2477" s="60"/>
      <c r="ARJ2477" s="60"/>
      <c r="ARK2477" s="60"/>
      <c r="ARL2477" s="60"/>
      <c r="ARM2477" s="63"/>
      <c r="ARN2477" s="61"/>
      <c r="ARO2477" s="54"/>
      <c r="ARP2477" s="54"/>
      <c r="ARQ2477" s="60"/>
      <c r="ARR2477" s="60"/>
      <c r="ARS2477" s="60"/>
      <c r="ART2477" s="60"/>
      <c r="ARU2477" s="63"/>
      <c r="ARV2477" s="61"/>
      <c r="ARW2477" s="54"/>
      <c r="ARX2477" s="54"/>
      <c r="ARY2477" s="60"/>
      <c r="ARZ2477" s="60"/>
      <c r="ASA2477" s="60"/>
      <c r="ASB2477" s="60"/>
      <c r="ASC2477" s="63"/>
      <c r="ASD2477" s="61"/>
      <c r="ASE2477" s="54"/>
      <c r="ASF2477" s="54"/>
      <c r="ASG2477" s="60"/>
      <c r="ASH2477" s="60"/>
      <c r="ASI2477" s="60"/>
      <c r="ASJ2477" s="60"/>
      <c r="ASK2477" s="63"/>
      <c r="ASL2477" s="61"/>
      <c r="ASM2477" s="54"/>
      <c r="ASN2477" s="54"/>
      <c r="ASO2477" s="60"/>
      <c r="ASP2477" s="60"/>
      <c r="ASQ2477" s="60"/>
      <c r="ASR2477" s="60"/>
      <c r="ASS2477" s="63"/>
      <c r="AST2477" s="61"/>
      <c r="ASU2477" s="54"/>
      <c r="ASV2477" s="54"/>
      <c r="ASW2477" s="60"/>
      <c r="ASX2477" s="60"/>
      <c r="ASY2477" s="60"/>
      <c r="ASZ2477" s="60"/>
      <c r="ATA2477" s="63"/>
      <c r="ATB2477" s="61"/>
      <c r="ATC2477" s="54"/>
      <c r="ATD2477" s="54"/>
      <c r="ATE2477" s="60"/>
      <c r="ATF2477" s="60"/>
      <c r="ATG2477" s="60"/>
      <c r="ATH2477" s="60"/>
      <c r="ATI2477" s="63"/>
      <c r="ATJ2477" s="61"/>
      <c r="ATK2477" s="54"/>
      <c r="ATL2477" s="54"/>
      <c r="ATM2477" s="60"/>
      <c r="ATN2477" s="60"/>
      <c r="ATO2477" s="60"/>
      <c r="ATP2477" s="60"/>
      <c r="ATQ2477" s="63"/>
      <c r="ATR2477" s="61"/>
      <c r="ATS2477" s="54"/>
      <c r="ATT2477" s="54"/>
      <c r="ATU2477" s="60"/>
      <c r="ATV2477" s="60"/>
      <c r="ATW2477" s="60"/>
      <c r="ATX2477" s="60"/>
      <c r="ATY2477" s="63"/>
      <c r="ATZ2477" s="61"/>
      <c r="AUA2477" s="54"/>
      <c r="AUB2477" s="54"/>
      <c r="AUC2477" s="60"/>
      <c r="AUD2477" s="60"/>
      <c r="AUE2477" s="60"/>
      <c r="AUF2477" s="60"/>
      <c r="AUG2477" s="63"/>
      <c r="AUH2477" s="61"/>
      <c r="AUI2477" s="54"/>
      <c r="AUJ2477" s="54"/>
      <c r="AUK2477" s="60"/>
      <c r="AUL2477" s="60"/>
      <c r="AUM2477" s="60"/>
      <c r="AUN2477" s="60"/>
      <c r="AUO2477" s="63"/>
      <c r="AUP2477" s="61"/>
      <c r="AUQ2477" s="54"/>
      <c r="AUR2477" s="54"/>
      <c r="AUS2477" s="60"/>
      <c r="AUT2477" s="60"/>
      <c r="AUU2477" s="60"/>
      <c r="AUV2477" s="60"/>
      <c r="AUW2477" s="63"/>
      <c r="AUX2477" s="61"/>
      <c r="AUY2477" s="54"/>
      <c r="AUZ2477" s="54"/>
      <c r="AVA2477" s="60"/>
      <c r="AVB2477" s="60"/>
      <c r="AVC2477" s="60"/>
      <c r="AVD2477" s="60"/>
      <c r="AVE2477" s="63"/>
      <c r="AVF2477" s="61"/>
      <c r="AVG2477" s="54"/>
      <c r="AVH2477" s="54"/>
      <c r="AVI2477" s="60"/>
      <c r="AVJ2477" s="60"/>
      <c r="AVK2477" s="60"/>
      <c r="AVL2477" s="60"/>
      <c r="AVM2477" s="63"/>
      <c r="AVN2477" s="61"/>
      <c r="AVO2477" s="54"/>
      <c r="AVP2477" s="54"/>
      <c r="AVQ2477" s="60"/>
      <c r="AVR2477" s="60"/>
      <c r="AVS2477" s="60"/>
      <c r="AVT2477" s="60"/>
      <c r="AVU2477" s="63"/>
      <c r="AVV2477" s="61"/>
      <c r="AVW2477" s="54"/>
      <c r="AVX2477" s="54"/>
      <c r="AVY2477" s="60"/>
      <c r="AVZ2477" s="60"/>
      <c r="AWA2477" s="60"/>
      <c r="AWB2477" s="60"/>
      <c r="AWC2477" s="63"/>
      <c r="AWD2477" s="61"/>
      <c r="AWE2477" s="54"/>
      <c r="AWF2477" s="54"/>
      <c r="AWG2477" s="60"/>
      <c r="AWH2477" s="60"/>
      <c r="AWI2477" s="60"/>
      <c r="AWJ2477" s="60"/>
      <c r="AWK2477" s="63"/>
      <c r="AWL2477" s="61"/>
      <c r="AWM2477" s="54"/>
      <c r="AWN2477" s="54"/>
      <c r="AWO2477" s="60"/>
      <c r="AWP2477" s="60"/>
      <c r="AWQ2477" s="60"/>
      <c r="AWR2477" s="60"/>
      <c r="AWS2477" s="63"/>
      <c r="AWT2477" s="61"/>
      <c r="AWU2477" s="54"/>
      <c r="AWV2477" s="54"/>
      <c r="AWW2477" s="60"/>
      <c r="AWX2477" s="60"/>
      <c r="AWY2477" s="60"/>
      <c r="AWZ2477" s="60"/>
      <c r="AXA2477" s="63"/>
      <c r="AXB2477" s="61"/>
      <c r="AXC2477" s="54"/>
      <c r="AXD2477" s="54"/>
      <c r="AXE2477" s="60"/>
      <c r="AXF2477" s="60"/>
      <c r="AXG2477" s="60"/>
      <c r="AXH2477" s="60"/>
      <c r="AXI2477" s="63"/>
      <c r="AXJ2477" s="61"/>
      <c r="AXK2477" s="54"/>
      <c r="AXL2477" s="54"/>
      <c r="AXM2477" s="60"/>
      <c r="AXN2477" s="60"/>
      <c r="AXO2477" s="60"/>
      <c r="AXP2477" s="60"/>
      <c r="AXQ2477" s="63"/>
      <c r="AXR2477" s="61"/>
      <c r="AXS2477" s="54"/>
      <c r="AXT2477" s="54"/>
      <c r="AXU2477" s="60"/>
      <c r="AXV2477" s="60"/>
      <c r="AXW2477" s="60"/>
      <c r="AXX2477" s="60"/>
      <c r="AXY2477" s="63"/>
      <c r="AXZ2477" s="61"/>
      <c r="AYA2477" s="54"/>
      <c r="AYB2477" s="54"/>
      <c r="AYC2477" s="60"/>
      <c r="AYD2477" s="60"/>
      <c r="AYE2477" s="60"/>
      <c r="AYF2477" s="60"/>
      <c r="AYG2477" s="63"/>
      <c r="AYH2477" s="61"/>
      <c r="AYI2477" s="54"/>
      <c r="AYJ2477" s="54"/>
      <c r="AYK2477" s="60"/>
      <c r="AYL2477" s="60"/>
      <c r="AYM2477" s="60"/>
      <c r="AYN2477" s="60"/>
      <c r="AYO2477" s="63"/>
      <c r="AYP2477" s="61"/>
      <c r="AYQ2477" s="54"/>
      <c r="AYR2477" s="54"/>
      <c r="AYS2477" s="60"/>
      <c r="AYT2477" s="60"/>
      <c r="AYU2477" s="60"/>
      <c r="AYV2477" s="60"/>
      <c r="AYW2477" s="63"/>
      <c r="AYX2477" s="61"/>
      <c r="AYY2477" s="54"/>
      <c r="AYZ2477" s="54"/>
      <c r="AZA2477" s="60"/>
      <c r="AZB2477" s="60"/>
      <c r="AZC2477" s="60"/>
      <c r="AZD2477" s="60"/>
      <c r="AZE2477" s="63"/>
      <c r="AZF2477" s="61"/>
      <c r="AZG2477" s="54"/>
      <c r="AZH2477" s="54"/>
      <c r="AZI2477" s="60"/>
      <c r="AZJ2477" s="60"/>
      <c r="AZK2477" s="60"/>
      <c r="AZL2477" s="60"/>
      <c r="AZM2477" s="63"/>
      <c r="AZN2477" s="61"/>
      <c r="AZO2477" s="54"/>
      <c r="AZP2477" s="54"/>
      <c r="AZQ2477" s="60"/>
      <c r="AZR2477" s="60"/>
      <c r="AZS2477" s="60"/>
      <c r="AZT2477" s="60"/>
      <c r="AZU2477" s="63"/>
      <c r="AZV2477" s="61"/>
      <c r="AZW2477" s="54"/>
      <c r="AZX2477" s="54"/>
      <c r="AZY2477" s="60"/>
      <c r="AZZ2477" s="60"/>
      <c r="BAA2477" s="60"/>
      <c r="BAB2477" s="60"/>
      <c r="BAC2477" s="63"/>
      <c r="BAD2477" s="61"/>
      <c r="BAE2477" s="54"/>
      <c r="BAF2477" s="54"/>
      <c r="BAG2477" s="60"/>
      <c r="BAH2477" s="60"/>
      <c r="BAI2477" s="60"/>
      <c r="BAJ2477" s="60"/>
      <c r="BAK2477" s="63"/>
      <c r="BAL2477" s="61"/>
      <c r="BAM2477" s="54"/>
      <c r="BAN2477" s="54"/>
      <c r="BAO2477" s="60"/>
      <c r="BAP2477" s="60"/>
      <c r="BAQ2477" s="60"/>
      <c r="BAR2477" s="60"/>
      <c r="BAS2477" s="63"/>
      <c r="BAT2477" s="61"/>
      <c r="BAU2477" s="54"/>
      <c r="BAV2477" s="54"/>
      <c r="BAW2477" s="60"/>
      <c r="BAX2477" s="60"/>
      <c r="BAY2477" s="60"/>
      <c r="BAZ2477" s="60"/>
      <c r="BBA2477" s="63"/>
      <c r="BBB2477" s="61"/>
      <c r="BBC2477" s="54"/>
      <c r="BBD2477" s="54"/>
      <c r="BBE2477" s="60"/>
      <c r="BBF2477" s="60"/>
      <c r="BBG2477" s="60"/>
      <c r="BBH2477" s="60"/>
      <c r="BBI2477" s="63"/>
      <c r="BBJ2477" s="61"/>
      <c r="BBK2477" s="54"/>
      <c r="BBL2477" s="54"/>
      <c r="BBM2477" s="60"/>
      <c r="BBN2477" s="60"/>
      <c r="BBO2477" s="60"/>
      <c r="BBP2477" s="60"/>
      <c r="BBQ2477" s="63"/>
      <c r="BBR2477" s="61"/>
      <c r="BBS2477" s="54"/>
      <c r="BBT2477" s="54"/>
      <c r="BBU2477" s="60"/>
      <c r="BBV2477" s="60"/>
      <c r="BBW2477" s="60"/>
      <c r="BBX2477" s="60"/>
      <c r="BBY2477" s="63"/>
      <c r="BBZ2477" s="61"/>
      <c r="BCA2477" s="54"/>
      <c r="BCB2477" s="54"/>
      <c r="BCC2477" s="60"/>
      <c r="BCD2477" s="60"/>
      <c r="BCE2477" s="60"/>
      <c r="BCF2477" s="60"/>
      <c r="BCG2477" s="63"/>
      <c r="BCH2477" s="61"/>
      <c r="BCI2477" s="54"/>
      <c r="BCJ2477" s="54"/>
      <c r="BCK2477" s="60"/>
      <c r="BCL2477" s="60"/>
      <c r="BCM2477" s="60"/>
      <c r="BCN2477" s="60"/>
      <c r="BCO2477" s="63"/>
      <c r="BCP2477" s="61"/>
      <c r="BCQ2477" s="54"/>
      <c r="BCR2477" s="54"/>
      <c r="BCS2477" s="60"/>
      <c r="BCT2477" s="60"/>
      <c r="BCU2477" s="60"/>
      <c r="BCV2477" s="60"/>
      <c r="BCW2477" s="63"/>
      <c r="BCX2477" s="61"/>
      <c r="BCY2477" s="54"/>
      <c r="BCZ2477" s="54"/>
      <c r="BDA2477" s="60"/>
      <c r="BDB2477" s="60"/>
      <c r="BDC2477" s="60"/>
      <c r="BDD2477" s="60"/>
      <c r="BDE2477" s="63"/>
      <c r="BDF2477" s="61"/>
      <c r="BDG2477" s="54"/>
      <c r="BDH2477" s="54"/>
      <c r="BDI2477" s="60"/>
      <c r="BDJ2477" s="60"/>
      <c r="BDK2477" s="60"/>
      <c r="BDL2477" s="60"/>
      <c r="BDM2477" s="63"/>
      <c r="BDN2477" s="61"/>
      <c r="BDO2477" s="54"/>
      <c r="BDP2477" s="54"/>
      <c r="BDQ2477" s="60"/>
      <c r="BDR2477" s="60"/>
      <c r="BDS2477" s="60"/>
      <c r="BDT2477" s="60"/>
      <c r="BDU2477" s="63"/>
      <c r="BDV2477" s="61"/>
      <c r="BDW2477" s="54"/>
      <c r="BDX2477" s="54"/>
      <c r="BDY2477" s="60"/>
      <c r="BDZ2477" s="60"/>
      <c r="BEA2477" s="60"/>
      <c r="BEB2477" s="60"/>
      <c r="BEC2477" s="63"/>
      <c r="BED2477" s="61"/>
      <c r="BEE2477" s="54"/>
      <c r="BEF2477" s="54"/>
      <c r="BEG2477" s="60"/>
      <c r="BEH2477" s="60"/>
      <c r="BEI2477" s="60"/>
      <c r="BEJ2477" s="60"/>
      <c r="BEK2477" s="63"/>
      <c r="BEL2477" s="61"/>
      <c r="BEM2477" s="54"/>
      <c r="BEN2477" s="54"/>
      <c r="BEO2477" s="60"/>
      <c r="BEP2477" s="60"/>
      <c r="BEQ2477" s="60"/>
      <c r="BER2477" s="60"/>
      <c r="BES2477" s="63"/>
      <c r="BET2477" s="61"/>
      <c r="BEU2477" s="54"/>
      <c r="BEV2477" s="54"/>
      <c r="BEW2477" s="60"/>
      <c r="BEX2477" s="60"/>
      <c r="BEY2477" s="60"/>
      <c r="BEZ2477" s="60"/>
      <c r="BFA2477" s="63"/>
      <c r="BFB2477" s="61"/>
      <c r="BFC2477" s="54"/>
      <c r="BFD2477" s="54"/>
      <c r="BFE2477" s="60"/>
      <c r="BFF2477" s="60"/>
      <c r="BFG2477" s="60"/>
      <c r="BFH2477" s="60"/>
      <c r="BFI2477" s="63"/>
      <c r="BFJ2477" s="61"/>
      <c r="BFK2477" s="54"/>
      <c r="BFL2477" s="54"/>
      <c r="BFM2477" s="60"/>
      <c r="BFN2477" s="60"/>
      <c r="BFO2477" s="60"/>
      <c r="BFP2477" s="60"/>
      <c r="BFQ2477" s="63"/>
      <c r="BFR2477" s="61"/>
      <c r="BFS2477" s="54"/>
      <c r="BFT2477" s="54"/>
      <c r="BFU2477" s="60"/>
      <c r="BFV2477" s="60"/>
      <c r="BFW2477" s="60"/>
      <c r="BFX2477" s="60"/>
      <c r="BFY2477" s="63"/>
      <c r="BFZ2477" s="61"/>
      <c r="BGA2477" s="54"/>
      <c r="BGB2477" s="54"/>
      <c r="BGC2477" s="60"/>
      <c r="BGD2477" s="60"/>
      <c r="BGE2477" s="60"/>
      <c r="BGF2477" s="60"/>
      <c r="BGG2477" s="63"/>
      <c r="BGH2477" s="61"/>
      <c r="BGI2477" s="54"/>
      <c r="BGJ2477" s="54"/>
      <c r="BGK2477" s="60"/>
      <c r="BGL2477" s="60"/>
      <c r="BGM2477" s="60"/>
      <c r="BGN2477" s="60"/>
      <c r="BGO2477" s="63"/>
      <c r="BGP2477" s="61"/>
      <c r="BGQ2477" s="54"/>
      <c r="BGR2477" s="54"/>
      <c r="BGS2477" s="60"/>
      <c r="BGT2477" s="60"/>
      <c r="BGU2477" s="60"/>
      <c r="BGV2477" s="60"/>
      <c r="BGW2477" s="63"/>
      <c r="BGX2477" s="61"/>
      <c r="BGY2477" s="54"/>
      <c r="BGZ2477" s="54"/>
      <c r="BHA2477" s="60"/>
      <c r="BHB2477" s="60"/>
      <c r="BHC2477" s="60"/>
      <c r="BHD2477" s="60"/>
      <c r="BHE2477" s="63"/>
      <c r="BHF2477" s="61"/>
      <c r="BHG2477" s="54"/>
      <c r="BHH2477" s="54"/>
      <c r="BHI2477" s="60"/>
      <c r="BHJ2477" s="60"/>
      <c r="BHK2477" s="60"/>
      <c r="BHL2477" s="60"/>
      <c r="BHM2477" s="63"/>
      <c r="BHN2477" s="61"/>
      <c r="BHO2477" s="54"/>
      <c r="BHP2477" s="54"/>
      <c r="BHQ2477" s="60"/>
      <c r="BHR2477" s="60"/>
      <c r="BHS2477" s="60"/>
      <c r="BHT2477" s="60"/>
      <c r="BHU2477" s="63"/>
      <c r="BHV2477" s="61"/>
      <c r="BHW2477" s="54"/>
      <c r="BHX2477" s="54"/>
      <c r="BHY2477" s="60"/>
      <c r="BHZ2477" s="60"/>
      <c r="BIA2477" s="60"/>
      <c r="BIB2477" s="60"/>
      <c r="BIC2477" s="63"/>
      <c r="BID2477" s="61"/>
      <c r="BIE2477" s="54"/>
      <c r="BIF2477" s="54"/>
      <c r="BIG2477" s="60"/>
      <c r="BIH2477" s="60"/>
      <c r="BII2477" s="60"/>
      <c r="BIJ2477" s="60"/>
      <c r="BIK2477" s="63"/>
      <c r="BIL2477" s="61"/>
      <c r="BIM2477" s="54"/>
      <c r="BIN2477" s="54"/>
      <c r="BIO2477" s="60"/>
      <c r="BIP2477" s="60"/>
      <c r="BIQ2477" s="60"/>
      <c r="BIR2477" s="60"/>
      <c r="BIS2477" s="63"/>
      <c r="BIT2477" s="61"/>
      <c r="BIU2477" s="54"/>
      <c r="BIV2477" s="54"/>
      <c r="BIW2477" s="60"/>
      <c r="BIX2477" s="60"/>
      <c r="BIY2477" s="60"/>
      <c r="BIZ2477" s="60"/>
      <c r="BJA2477" s="63"/>
      <c r="BJB2477" s="61"/>
      <c r="BJC2477" s="54"/>
      <c r="BJD2477" s="54"/>
      <c r="BJE2477" s="60"/>
      <c r="BJF2477" s="60"/>
      <c r="BJG2477" s="60"/>
      <c r="BJH2477" s="60"/>
      <c r="BJI2477" s="63"/>
      <c r="BJJ2477" s="61"/>
      <c r="BJK2477" s="54"/>
      <c r="BJL2477" s="54"/>
      <c r="BJM2477" s="60"/>
      <c r="BJN2477" s="60"/>
      <c r="BJO2477" s="60"/>
      <c r="BJP2477" s="60"/>
      <c r="BJQ2477" s="63"/>
      <c r="BJR2477" s="61"/>
      <c r="BJS2477" s="54"/>
      <c r="BJT2477" s="54"/>
      <c r="BJU2477" s="60"/>
      <c r="BJV2477" s="60"/>
      <c r="BJW2477" s="60"/>
      <c r="BJX2477" s="60"/>
      <c r="BJY2477" s="63"/>
      <c r="BJZ2477" s="61"/>
      <c r="BKA2477" s="54"/>
      <c r="BKB2477" s="54"/>
      <c r="BKC2477" s="60"/>
      <c r="BKD2477" s="60"/>
      <c r="BKE2477" s="60"/>
      <c r="BKF2477" s="60"/>
      <c r="BKG2477" s="63"/>
      <c r="BKH2477" s="61"/>
      <c r="BKI2477" s="54"/>
      <c r="BKJ2477" s="54"/>
      <c r="BKK2477" s="60"/>
      <c r="BKL2477" s="60"/>
      <c r="BKM2477" s="60"/>
      <c r="BKN2477" s="60"/>
      <c r="BKO2477" s="63"/>
      <c r="BKP2477" s="61"/>
      <c r="BKQ2477" s="54"/>
      <c r="BKR2477" s="54"/>
      <c r="BKS2477" s="60"/>
      <c r="BKT2477" s="60"/>
      <c r="BKU2477" s="60"/>
      <c r="BKV2477" s="60"/>
      <c r="BKW2477" s="63"/>
      <c r="BKX2477" s="61"/>
      <c r="BKY2477" s="54"/>
      <c r="BKZ2477" s="54"/>
      <c r="BLA2477" s="60"/>
      <c r="BLB2477" s="60"/>
      <c r="BLC2477" s="60"/>
      <c r="BLD2477" s="60"/>
      <c r="BLE2477" s="63"/>
      <c r="BLF2477" s="61"/>
      <c r="BLG2477" s="54"/>
      <c r="BLH2477" s="54"/>
      <c r="BLI2477" s="60"/>
      <c r="BLJ2477" s="60"/>
      <c r="BLK2477" s="60"/>
      <c r="BLL2477" s="60"/>
      <c r="BLM2477" s="63"/>
      <c r="BLN2477" s="61"/>
      <c r="BLO2477" s="54"/>
      <c r="BLP2477" s="54"/>
      <c r="BLQ2477" s="60"/>
      <c r="BLR2477" s="60"/>
      <c r="BLS2477" s="60"/>
      <c r="BLT2477" s="60"/>
      <c r="BLU2477" s="63"/>
      <c r="BLV2477" s="61"/>
      <c r="BLW2477" s="54"/>
      <c r="BLX2477" s="54"/>
      <c r="BLY2477" s="60"/>
      <c r="BLZ2477" s="60"/>
      <c r="BMA2477" s="60"/>
      <c r="BMB2477" s="60"/>
      <c r="BMC2477" s="63"/>
      <c r="BMD2477" s="61"/>
      <c r="BME2477" s="54"/>
      <c r="BMF2477" s="54"/>
      <c r="BMG2477" s="60"/>
      <c r="BMH2477" s="60"/>
      <c r="BMI2477" s="60"/>
      <c r="BMJ2477" s="60"/>
      <c r="BMK2477" s="63"/>
      <c r="BML2477" s="61"/>
      <c r="BMM2477" s="54"/>
      <c r="BMN2477" s="54"/>
      <c r="BMO2477" s="60"/>
      <c r="BMP2477" s="60"/>
      <c r="BMQ2477" s="60"/>
      <c r="BMR2477" s="60"/>
      <c r="BMS2477" s="63"/>
      <c r="BMT2477" s="61"/>
      <c r="BMU2477" s="54"/>
      <c r="BMV2477" s="54"/>
      <c r="BMW2477" s="60"/>
      <c r="BMX2477" s="60"/>
      <c r="BMY2477" s="60"/>
      <c r="BMZ2477" s="60"/>
      <c r="BNA2477" s="63"/>
      <c r="BNB2477" s="61"/>
      <c r="BNC2477" s="54"/>
      <c r="BND2477" s="54"/>
      <c r="BNE2477" s="60"/>
      <c r="BNF2477" s="60"/>
      <c r="BNG2477" s="60"/>
      <c r="BNH2477" s="60"/>
      <c r="BNI2477" s="63"/>
      <c r="BNJ2477" s="61"/>
      <c r="BNK2477" s="54"/>
      <c r="BNL2477" s="54"/>
      <c r="BNM2477" s="60"/>
      <c r="BNN2477" s="60"/>
      <c r="BNO2477" s="60"/>
      <c r="BNP2477" s="60"/>
      <c r="BNQ2477" s="63"/>
      <c r="BNR2477" s="61"/>
      <c r="BNS2477" s="54"/>
      <c r="BNT2477" s="54"/>
      <c r="BNU2477" s="60"/>
      <c r="BNV2477" s="60"/>
      <c r="BNW2477" s="60"/>
      <c r="BNX2477" s="60"/>
      <c r="BNY2477" s="63"/>
      <c r="BNZ2477" s="61"/>
      <c r="BOA2477" s="54"/>
      <c r="BOB2477" s="54"/>
      <c r="BOC2477" s="60"/>
      <c r="BOD2477" s="60"/>
      <c r="BOE2477" s="60"/>
      <c r="BOF2477" s="60"/>
      <c r="BOG2477" s="63"/>
      <c r="BOH2477" s="61"/>
      <c r="BOI2477" s="54"/>
      <c r="BOJ2477" s="54"/>
      <c r="BOK2477" s="60"/>
      <c r="BOL2477" s="60"/>
      <c r="BOM2477" s="60"/>
      <c r="BON2477" s="60"/>
      <c r="BOO2477" s="63"/>
      <c r="BOP2477" s="61"/>
      <c r="BOQ2477" s="54"/>
      <c r="BOR2477" s="54"/>
      <c r="BOS2477" s="60"/>
      <c r="BOT2477" s="60"/>
      <c r="BOU2477" s="60"/>
      <c r="BOV2477" s="60"/>
      <c r="BOW2477" s="63"/>
      <c r="BOX2477" s="61"/>
      <c r="BOY2477" s="54"/>
      <c r="BOZ2477" s="54"/>
      <c r="BPA2477" s="60"/>
      <c r="BPB2477" s="60"/>
      <c r="BPC2477" s="60"/>
      <c r="BPD2477" s="60"/>
      <c r="BPE2477" s="63"/>
      <c r="BPF2477" s="61"/>
      <c r="BPG2477" s="54"/>
      <c r="BPH2477" s="54"/>
      <c r="BPI2477" s="60"/>
      <c r="BPJ2477" s="60"/>
      <c r="BPK2477" s="60"/>
      <c r="BPL2477" s="60"/>
      <c r="BPM2477" s="63"/>
      <c r="BPN2477" s="61"/>
      <c r="BPO2477" s="54"/>
      <c r="BPP2477" s="54"/>
      <c r="BPQ2477" s="60"/>
      <c r="BPR2477" s="60"/>
      <c r="BPS2477" s="60"/>
      <c r="BPT2477" s="60"/>
      <c r="BPU2477" s="63"/>
      <c r="BPV2477" s="61"/>
      <c r="BPW2477" s="54"/>
      <c r="BPX2477" s="54"/>
      <c r="BPY2477" s="60"/>
      <c r="BPZ2477" s="60"/>
      <c r="BQA2477" s="60"/>
      <c r="BQB2477" s="60"/>
      <c r="BQC2477" s="63"/>
      <c r="BQD2477" s="61"/>
      <c r="BQE2477" s="54"/>
      <c r="BQF2477" s="54"/>
      <c r="BQG2477" s="60"/>
      <c r="BQH2477" s="60"/>
      <c r="BQI2477" s="60"/>
      <c r="BQJ2477" s="60"/>
      <c r="BQK2477" s="63"/>
      <c r="BQL2477" s="61"/>
      <c r="BQM2477" s="54"/>
      <c r="BQN2477" s="54"/>
      <c r="BQO2477" s="60"/>
      <c r="BQP2477" s="60"/>
      <c r="BQQ2477" s="60"/>
      <c r="BQR2477" s="60"/>
      <c r="BQS2477" s="63"/>
      <c r="BQT2477" s="61"/>
      <c r="BQU2477" s="54"/>
      <c r="BQV2477" s="54"/>
      <c r="BQW2477" s="60"/>
      <c r="BQX2477" s="60"/>
      <c r="BQY2477" s="60"/>
      <c r="BQZ2477" s="60"/>
      <c r="BRA2477" s="63"/>
      <c r="BRB2477" s="61"/>
      <c r="BRC2477" s="54"/>
      <c r="BRD2477" s="54"/>
      <c r="BRE2477" s="60"/>
      <c r="BRF2477" s="60"/>
      <c r="BRG2477" s="60"/>
      <c r="BRH2477" s="60"/>
      <c r="BRI2477" s="63"/>
      <c r="BRJ2477" s="61"/>
      <c r="BRK2477" s="54"/>
      <c r="BRL2477" s="54"/>
      <c r="BRM2477" s="60"/>
      <c r="BRN2477" s="60"/>
      <c r="BRO2477" s="60"/>
      <c r="BRP2477" s="60"/>
      <c r="BRQ2477" s="63"/>
      <c r="BRR2477" s="61"/>
      <c r="BRS2477" s="54"/>
      <c r="BRT2477" s="54"/>
      <c r="BRU2477" s="60"/>
      <c r="BRV2477" s="60"/>
      <c r="BRW2477" s="60"/>
      <c r="BRX2477" s="60"/>
      <c r="BRY2477" s="63"/>
      <c r="BRZ2477" s="61"/>
      <c r="BSA2477" s="54"/>
      <c r="BSB2477" s="54"/>
      <c r="BSC2477" s="60"/>
      <c r="BSD2477" s="60"/>
      <c r="BSE2477" s="60"/>
      <c r="BSF2477" s="60"/>
      <c r="BSG2477" s="63"/>
      <c r="BSH2477" s="61"/>
      <c r="BSI2477" s="54"/>
      <c r="BSJ2477" s="54"/>
      <c r="BSK2477" s="60"/>
      <c r="BSL2477" s="60"/>
      <c r="BSM2477" s="60"/>
      <c r="BSN2477" s="60"/>
      <c r="BSO2477" s="63"/>
      <c r="BSP2477" s="61"/>
      <c r="BSQ2477" s="54"/>
      <c r="BSR2477" s="54"/>
      <c r="BSS2477" s="60"/>
      <c r="BST2477" s="60"/>
      <c r="BSU2477" s="60"/>
      <c r="BSV2477" s="60"/>
      <c r="BSW2477" s="63"/>
      <c r="BSX2477" s="61"/>
      <c r="BSY2477" s="54"/>
      <c r="BSZ2477" s="54"/>
      <c r="BTA2477" s="60"/>
      <c r="BTB2477" s="60"/>
      <c r="BTC2477" s="60"/>
      <c r="BTD2477" s="60"/>
      <c r="BTE2477" s="63"/>
      <c r="BTF2477" s="61"/>
      <c r="BTG2477" s="54"/>
      <c r="BTH2477" s="54"/>
      <c r="BTI2477" s="60"/>
      <c r="BTJ2477" s="60"/>
      <c r="BTK2477" s="60"/>
      <c r="BTL2477" s="60"/>
      <c r="BTM2477" s="63"/>
      <c r="BTN2477" s="61"/>
      <c r="BTO2477" s="54"/>
      <c r="BTP2477" s="54"/>
      <c r="BTQ2477" s="60"/>
      <c r="BTR2477" s="60"/>
      <c r="BTS2477" s="60"/>
      <c r="BTT2477" s="60"/>
      <c r="BTU2477" s="63"/>
      <c r="BTV2477" s="61"/>
      <c r="BTW2477" s="54"/>
      <c r="BTX2477" s="54"/>
      <c r="BTY2477" s="60"/>
      <c r="BTZ2477" s="60"/>
      <c r="BUA2477" s="60"/>
      <c r="BUB2477" s="60"/>
      <c r="BUC2477" s="63"/>
      <c r="BUD2477" s="61"/>
      <c r="BUE2477" s="54"/>
      <c r="BUF2477" s="54"/>
      <c r="BUG2477" s="60"/>
      <c r="BUH2477" s="60"/>
      <c r="BUI2477" s="60"/>
      <c r="BUJ2477" s="60"/>
      <c r="BUK2477" s="63"/>
      <c r="BUL2477" s="61"/>
      <c r="BUM2477" s="54"/>
      <c r="BUN2477" s="54"/>
      <c r="BUO2477" s="60"/>
      <c r="BUP2477" s="60"/>
      <c r="BUQ2477" s="60"/>
      <c r="BUR2477" s="60"/>
      <c r="BUS2477" s="63"/>
      <c r="BUT2477" s="61"/>
      <c r="BUU2477" s="54"/>
      <c r="BUV2477" s="54"/>
      <c r="BUW2477" s="60"/>
      <c r="BUX2477" s="60"/>
      <c r="BUY2477" s="60"/>
      <c r="BUZ2477" s="60"/>
      <c r="BVA2477" s="63"/>
      <c r="BVB2477" s="61"/>
      <c r="BVC2477" s="54"/>
      <c r="BVD2477" s="54"/>
      <c r="BVE2477" s="60"/>
      <c r="BVF2477" s="60"/>
      <c r="BVG2477" s="60"/>
      <c r="BVH2477" s="60"/>
      <c r="BVI2477" s="63"/>
      <c r="BVJ2477" s="61"/>
      <c r="BVK2477" s="54"/>
      <c r="BVL2477" s="54"/>
      <c r="BVM2477" s="60"/>
      <c r="BVN2477" s="60"/>
      <c r="BVO2477" s="60"/>
      <c r="BVP2477" s="60"/>
      <c r="BVQ2477" s="63"/>
      <c r="BVR2477" s="61"/>
      <c r="BVS2477" s="54"/>
      <c r="BVT2477" s="54"/>
      <c r="BVU2477" s="60"/>
      <c r="BVV2477" s="60"/>
      <c r="BVW2477" s="60"/>
      <c r="BVX2477" s="60"/>
      <c r="BVY2477" s="63"/>
      <c r="BVZ2477" s="61"/>
      <c r="BWA2477" s="54"/>
      <c r="BWB2477" s="54"/>
      <c r="BWC2477" s="60"/>
      <c r="BWD2477" s="60"/>
      <c r="BWE2477" s="60"/>
      <c r="BWF2477" s="60"/>
      <c r="BWG2477" s="63"/>
      <c r="BWH2477" s="61"/>
      <c r="BWI2477" s="54"/>
      <c r="BWJ2477" s="54"/>
      <c r="BWK2477" s="60"/>
      <c r="BWL2477" s="60"/>
      <c r="BWM2477" s="60"/>
      <c r="BWN2477" s="60"/>
      <c r="BWO2477" s="63"/>
      <c r="BWP2477" s="61"/>
      <c r="BWQ2477" s="54"/>
      <c r="BWR2477" s="54"/>
      <c r="BWS2477" s="60"/>
      <c r="BWT2477" s="60"/>
      <c r="BWU2477" s="60"/>
      <c r="BWV2477" s="60"/>
      <c r="BWW2477" s="63"/>
      <c r="BWX2477" s="61"/>
      <c r="BWY2477" s="54"/>
      <c r="BWZ2477" s="54"/>
      <c r="BXA2477" s="60"/>
      <c r="BXB2477" s="60"/>
      <c r="BXC2477" s="60"/>
      <c r="BXD2477" s="60"/>
      <c r="BXE2477" s="63"/>
      <c r="BXF2477" s="61"/>
      <c r="BXG2477" s="54"/>
      <c r="BXH2477" s="54"/>
      <c r="BXI2477" s="60"/>
      <c r="BXJ2477" s="60"/>
      <c r="BXK2477" s="60"/>
      <c r="BXL2477" s="60"/>
      <c r="BXM2477" s="63"/>
      <c r="BXN2477" s="61"/>
      <c r="BXO2477" s="54"/>
      <c r="BXP2477" s="54"/>
      <c r="BXQ2477" s="60"/>
      <c r="BXR2477" s="60"/>
      <c r="BXS2477" s="60"/>
      <c r="BXT2477" s="60"/>
      <c r="BXU2477" s="63"/>
      <c r="BXV2477" s="61"/>
      <c r="BXW2477" s="54"/>
      <c r="BXX2477" s="54"/>
      <c r="BXY2477" s="60"/>
      <c r="BXZ2477" s="60"/>
      <c r="BYA2477" s="60"/>
      <c r="BYB2477" s="60"/>
      <c r="BYC2477" s="63"/>
      <c r="BYD2477" s="61"/>
      <c r="BYE2477" s="54"/>
      <c r="BYF2477" s="54"/>
      <c r="BYG2477" s="60"/>
      <c r="BYH2477" s="60"/>
      <c r="BYI2477" s="60"/>
      <c r="BYJ2477" s="60"/>
      <c r="BYK2477" s="63"/>
      <c r="BYL2477" s="61"/>
      <c r="BYM2477" s="54"/>
      <c r="BYN2477" s="54"/>
      <c r="BYO2477" s="60"/>
      <c r="BYP2477" s="60"/>
      <c r="BYQ2477" s="60"/>
      <c r="BYR2477" s="60"/>
      <c r="BYS2477" s="63"/>
      <c r="BYT2477" s="61"/>
      <c r="BYU2477" s="54"/>
      <c r="BYV2477" s="54"/>
      <c r="BYW2477" s="60"/>
      <c r="BYX2477" s="60"/>
      <c r="BYY2477" s="60"/>
      <c r="BYZ2477" s="60"/>
      <c r="BZA2477" s="63"/>
      <c r="BZB2477" s="61"/>
      <c r="BZC2477" s="54"/>
      <c r="BZD2477" s="54"/>
      <c r="BZE2477" s="60"/>
      <c r="BZF2477" s="60"/>
      <c r="BZG2477" s="60"/>
      <c r="BZH2477" s="60"/>
      <c r="BZI2477" s="63"/>
      <c r="BZJ2477" s="61"/>
      <c r="BZK2477" s="54"/>
      <c r="BZL2477" s="54"/>
      <c r="BZM2477" s="60"/>
      <c r="BZN2477" s="60"/>
      <c r="BZO2477" s="60"/>
      <c r="BZP2477" s="60"/>
      <c r="BZQ2477" s="63"/>
      <c r="BZR2477" s="61"/>
      <c r="BZS2477" s="54"/>
      <c r="BZT2477" s="54"/>
      <c r="BZU2477" s="60"/>
      <c r="BZV2477" s="60"/>
      <c r="BZW2477" s="60"/>
      <c r="BZX2477" s="60"/>
      <c r="BZY2477" s="63"/>
      <c r="BZZ2477" s="61"/>
      <c r="CAA2477" s="54"/>
      <c r="CAB2477" s="54"/>
      <c r="CAC2477" s="60"/>
      <c r="CAD2477" s="60"/>
      <c r="CAE2477" s="60"/>
      <c r="CAF2477" s="60"/>
      <c r="CAG2477" s="63"/>
      <c r="CAH2477" s="61"/>
      <c r="CAI2477" s="54"/>
      <c r="CAJ2477" s="54"/>
      <c r="CAK2477" s="60"/>
      <c r="CAL2477" s="60"/>
      <c r="CAM2477" s="60"/>
      <c r="CAN2477" s="60"/>
      <c r="CAO2477" s="63"/>
      <c r="CAP2477" s="61"/>
      <c r="CAQ2477" s="54"/>
      <c r="CAR2477" s="54"/>
      <c r="CAS2477" s="60"/>
      <c r="CAT2477" s="60"/>
      <c r="CAU2477" s="60"/>
      <c r="CAV2477" s="60"/>
      <c r="CAW2477" s="63"/>
      <c r="CAX2477" s="61"/>
      <c r="CAY2477" s="54"/>
      <c r="CAZ2477" s="54"/>
      <c r="CBA2477" s="60"/>
      <c r="CBB2477" s="60"/>
      <c r="CBC2477" s="60"/>
      <c r="CBD2477" s="60"/>
      <c r="CBE2477" s="63"/>
      <c r="CBF2477" s="61"/>
      <c r="CBG2477" s="54"/>
      <c r="CBH2477" s="54"/>
      <c r="CBI2477" s="60"/>
      <c r="CBJ2477" s="60"/>
      <c r="CBK2477" s="60"/>
      <c r="CBL2477" s="60"/>
      <c r="CBM2477" s="63"/>
      <c r="CBN2477" s="61"/>
      <c r="CBO2477" s="54"/>
      <c r="CBP2477" s="54"/>
      <c r="CBQ2477" s="60"/>
      <c r="CBR2477" s="60"/>
      <c r="CBS2477" s="60"/>
      <c r="CBT2477" s="60"/>
      <c r="CBU2477" s="63"/>
      <c r="CBV2477" s="61"/>
      <c r="CBW2477" s="54"/>
      <c r="CBX2477" s="54"/>
      <c r="CBY2477" s="60"/>
      <c r="CBZ2477" s="60"/>
      <c r="CCA2477" s="60"/>
      <c r="CCB2477" s="60"/>
      <c r="CCC2477" s="63"/>
      <c r="CCD2477" s="61"/>
      <c r="CCE2477" s="54"/>
      <c r="CCF2477" s="54"/>
      <c r="CCG2477" s="60"/>
      <c r="CCH2477" s="60"/>
      <c r="CCI2477" s="60"/>
      <c r="CCJ2477" s="60"/>
      <c r="CCK2477" s="63"/>
      <c r="CCL2477" s="61"/>
      <c r="CCM2477" s="54"/>
      <c r="CCN2477" s="54"/>
      <c r="CCO2477" s="60"/>
      <c r="CCP2477" s="60"/>
      <c r="CCQ2477" s="60"/>
      <c r="CCR2477" s="60"/>
      <c r="CCS2477" s="63"/>
      <c r="CCT2477" s="61"/>
      <c r="CCU2477" s="54"/>
      <c r="CCV2477" s="54"/>
      <c r="CCW2477" s="60"/>
      <c r="CCX2477" s="60"/>
      <c r="CCY2477" s="60"/>
      <c r="CCZ2477" s="60"/>
      <c r="CDA2477" s="63"/>
      <c r="CDB2477" s="61"/>
      <c r="CDC2477" s="54"/>
      <c r="CDD2477" s="54"/>
      <c r="CDE2477" s="60"/>
      <c r="CDF2477" s="60"/>
      <c r="CDG2477" s="60"/>
      <c r="CDH2477" s="60"/>
      <c r="CDI2477" s="63"/>
      <c r="CDJ2477" s="61"/>
      <c r="CDK2477" s="54"/>
      <c r="CDL2477" s="54"/>
      <c r="CDM2477" s="60"/>
      <c r="CDN2477" s="60"/>
      <c r="CDO2477" s="60"/>
      <c r="CDP2477" s="60"/>
      <c r="CDQ2477" s="63"/>
      <c r="CDR2477" s="61"/>
      <c r="CDS2477" s="54"/>
      <c r="CDT2477" s="54"/>
      <c r="CDU2477" s="60"/>
      <c r="CDV2477" s="60"/>
      <c r="CDW2477" s="60"/>
      <c r="CDX2477" s="60"/>
      <c r="CDY2477" s="63"/>
      <c r="CDZ2477" s="61"/>
      <c r="CEA2477" s="54"/>
      <c r="CEB2477" s="54"/>
      <c r="CEC2477" s="60"/>
      <c r="CED2477" s="60"/>
      <c r="CEE2477" s="60"/>
      <c r="CEF2477" s="60"/>
      <c r="CEG2477" s="63"/>
      <c r="CEH2477" s="61"/>
      <c r="CEI2477" s="54"/>
      <c r="CEJ2477" s="54"/>
      <c r="CEK2477" s="60"/>
      <c r="CEL2477" s="60"/>
      <c r="CEM2477" s="60"/>
      <c r="CEN2477" s="60"/>
      <c r="CEO2477" s="63"/>
      <c r="CEP2477" s="61"/>
      <c r="CEQ2477" s="54"/>
      <c r="CER2477" s="54"/>
      <c r="CES2477" s="60"/>
      <c r="CET2477" s="60"/>
      <c r="CEU2477" s="60"/>
      <c r="CEV2477" s="60"/>
      <c r="CEW2477" s="63"/>
      <c r="CEX2477" s="61"/>
      <c r="CEY2477" s="54"/>
      <c r="CEZ2477" s="54"/>
      <c r="CFA2477" s="60"/>
      <c r="CFB2477" s="60"/>
      <c r="CFC2477" s="60"/>
      <c r="CFD2477" s="60"/>
      <c r="CFE2477" s="63"/>
      <c r="CFF2477" s="61"/>
      <c r="CFG2477" s="54"/>
      <c r="CFH2477" s="54"/>
      <c r="CFI2477" s="60"/>
      <c r="CFJ2477" s="60"/>
      <c r="CFK2477" s="60"/>
      <c r="CFL2477" s="60"/>
      <c r="CFM2477" s="63"/>
      <c r="CFN2477" s="61"/>
      <c r="CFO2477" s="54"/>
      <c r="CFP2477" s="54"/>
      <c r="CFQ2477" s="60"/>
      <c r="CFR2477" s="60"/>
      <c r="CFS2477" s="60"/>
      <c r="CFT2477" s="60"/>
      <c r="CFU2477" s="63"/>
      <c r="CFV2477" s="61"/>
      <c r="CFW2477" s="54"/>
      <c r="CFX2477" s="54"/>
      <c r="CFY2477" s="60"/>
      <c r="CFZ2477" s="60"/>
      <c r="CGA2477" s="60"/>
      <c r="CGB2477" s="60"/>
      <c r="CGC2477" s="63"/>
      <c r="CGD2477" s="61"/>
      <c r="CGE2477" s="54"/>
      <c r="CGF2477" s="54"/>
      <c r="CGG2477" s="60"/>
      <c r="CGH2477" s="60"/>
      <c r="CGI2477" s="60"/>
      <c r="CGJ2477" s="60"/>
      <c r="CGK2477" s="63"/>
      <c r="CGL2477" s="61"/>
      <c r="CGM2477" s="54"/>
      <c r="CGN2477" s="54"/>
      <c r="CGO2477" s="60"/>
      <c r="CGP2477" s="60"/>
      <c r="CGQ2477" s="60"/>
      <c r="CGR2477" s="60"/>
      <c r="CGS2477" s="63"/>
      <c r="CGT2477" s="61"/>
      <c r="CGU2477" s="54"/>
      <c r="CGV2477" s="54"/>
      <c r="CGW2477" s="60"/>
      <c r="CGX2477" s="60"/>
      <c r="CGY2477" s="60"/>
      <c r="CGZ2477" s="60"/>
      <c r="CHA2477" s="63"/>
      <c r="CHB2477" s="61"/>
      <c r="CHC2477" s="54"/>
      <c r="CHD2477" s="54"/>
      <c r="CHE2477" s="60"/>
      <c r="CHF2477" s="60"/>
      <c r="CHG2477" s="60"/>
      <c r="CHH2477" s="60"/>
      <c r="CHI2477" s="63"/>
      <c r="CHJ2477" s="61"/>
      <c r="CHK2477" s="54"/>
      <c r="CHL2477" s="54"/>
      <c r="CHM2477" s="60"/>
      <c r="CHN2477" s="60"/>
      <c r="CHO2477" s="60"/>
      <c r="CHP2477" s="60"/>
      <c r="CHQ2477" s="63"/>
      <c r="CHR2477" s="61"/>
      <c r="CHS2477" s="54"/>
      <c r="CHT2477" s="54"/>
      <c r="CHU2477" s="60"/>
      <c r="CHV2477" s="60"/>
      <c r="CHW2477" s="60"/>
      <c r="CHX2477" s="60"/>
      <c r="CHY2477" s="63"/>
      <c r="CHZ2477" s="61"/>
      <c r="CIA2477" s="54"/>
      <c r="CIB2477" s="54"/>
      <c r="CIC2477" s="60"/>
      <c r="CID2477" s="60"/>
      <c r="CIE2477" s="60"/>
      <c r="CIF2477" s="60"/>
      <c r="CIG2477" s="63"/>
      <c r="CIH2477" s="61"/>
      <c r="CII2477" s="54"/>
      <c r="CIJ2477" s="54"/>
      <c r="CIK2477" s="60"/>
      <c r="CIL2477" s="60"/>
      <c r="CIM2477" s="60"/>
      <c r="CIN2477" s="60"/>
      <c r="CIO2477" s="63"/>
      <c r="CIP2477" s="61"/>
      <c r="CIQ2477" s="54"/>
      <c r="CIR2477" s="54"/>
      <c r="CIS2477" s="60"/>
      <c r="CIT2477" s="60"/>
      <c r="CIU2477" s="60"/>
      <c r="CIV2477" s="60"/>
      <c r="CIW2477" s="63"/>
      <c r="CIX2477" s="61"/>
      <c r="CIY2477" s="54"/>
      <c r="CIZ2477" s="54"/>
      <c r="CJA2477" s="60"/>
      <c r="CJB2477" s="60"/>
      <c r="CJC2477" s="60"/>
      <c r="CJD2477" s="60"/>
      <c r="CJE2477" s="63"/>
      <c r="CJF2477" s="61"/>
      <c r="CJG2477" s="54"/>
      <c r="CJH2477" s="54"/>
      <c r="CJI2477" s="60"/>
      <c r="CJJ2477" s="60"/>
      <c r="CJK2477" s="60"/>
      <c r="CJL2477" s="60"/>
      <c r="CJM2477" s="63"/>
      <c r="CJN2477" s="61"/>
      <c r="CJO2477" s="54"/>
      <c r="CJP2477" s="54"/>
      <c r="CJQ2477" s="60"/>
      <c r="CJR2477" s="60"/>
      <c r="CJS2477" s="60"/>
      <c r="CJT2477" s="60"/>
      <c r="CJU2477" s="63"/>
      <c r="CJV2477" s="61"/>
      <c r="CJW2477" s="54"/>
      <c r="CJX2477" s="54"/>
      <c r="CJY2477" s="60"/>
      <c r="CJZ2477" s="60"/>
      <c r="CKA2477" s="60"/>
      <c r="CKB2477" s="60"/>
      <c r="CKC2477" s="63"/>
      <c r="CKD2477" s="61"/>
      <c r="CKE2477" s="54"/>
      <c r="CKF2477" s="54"/>
      <c r="CKG2477" s="60"/>
      <c r="CKH2477" s="60"/>
      <c r="CKI2477" s="60"/>
      <c r="CKJ2477" s="60"/>
      <c r="CKK2477" s="63"/>
      <c r="CKL2477" s="61"/>
      <c r="CKM2477" s="54"/>
      <c r="CKN2477" s="54"/>
      <c r="CKO2477" s="60"/>
      <c r="CKP2477" s="60"/>
      <c r="CKQ2477" s="60"/>
      <c r="CKR2477" s="60"/>
      <c r="CKS2477" s="63"/>
      <c r="CKT2477" s="61"/>
      <c r="CKU2477" s="54"/>
      <c r="CKV2477" s="54"/>
      <c r="CKW2477" s="60"/>
      <c r="CKX2477" s="60"/>
      <c r="CKY2477" s="60"/>
      <c r="CKZ2477" s="60"/>
      <c r="CLA2477" s="63"/>
      <c r="CLB2477" s="61"/>
      <c r="CLC2477" s="54"/>
      <c r="CLD2477" s="54"/>
      <c r="CLE2477" s="60"/>
      <c r="CLF2477" s="60"/>
      <c r="CLG2477" s="60"/>
      <c r="CLH2477" s="60"/>
      <c r="CLI2477" s="63"/>
      <c r="CLJ2477" s="61"/>
      <c r="CLK2477" s="54"/>
      <c r="CLL2477" s="54"/>
      <c r="CLM2477" s="60"/>
      <c r="CLN2477" s="60"/>
      <c r="CLO2477" s="60"/>
      <c r="CLP2477" s="60"/>
      <c r="CLQ2477" s="63"/>
      <c r="CLR2477" s="61"/>
      <c r="CLS2477" s="54"/>
      <c r="CLT2477" s="54"/>
      <c r="CLU2477" s="60"/>
      <c r="CLV2477" s="60"/>
      <c r="CLW2477" s="60"/>
      <c r="CLX2477" s="60"/>
      <c r="CLY2477" s="63"/>
      <c r="CLZ2477" s="61"/>
      <c r="CMA2477" s="54"/>
      <c r="CMB2477" s="54"/>
      <c r="CMC2477" s="60"/>
      <c r="CMD2477" s="60"/>
      <c r="CME2477" s="60"/>
      <c r="CMF2477" s="60"/>
      <c r="CMG2477" s="63"/>
      <c r="CMH2477" s="61"/>
      <c r="CMI2477" s="54"/>
      <c r="CMJ2477" s="54"/>
      <c r="CMK2477" s="60"/>
      <c r="CML2477" s="60"/>
      <c r="CMM2477" s="60"/>
      <c r="CMN2477" s="60"/>
      <c r="CMO2477" s="63"/>
      <c r="CMP2477" s="61"/>
      <c r="CMQ2477" s="54"/>
      <c r="CMR2477" s="54"/>
      <c r="CMS2477" s="60"/>
      <c r="CMT2477" s="60"/>
      <c r="CMU2477" s="60"/>
      <c r="CMV2477" s="60"/>
      <c r="CMW2477" s="63"/>
      <c r="CMX2477" s="61"/>
      <c r="CMY2477" s="54"/>
      <c r="CMZ2477" s="54"/>
      <c r="CNA2477" s="60"/>
      <c r="CNB2477" s="60"/>
      <c r="CNC2477" s="60"/>
      <c r="CND2477" s="60"/>
      <c r="CNE2477" s="63"/>
      <c r="CNF2477" s="61"/>
      <c r="CNG2477" s="54"/>
      <c r="CNH2477" s="54"/>
      <c r="CNI2477" s="60"/>
      <c r="CNJ2477" s="60"/>
      <c r="CNK2477" s="60"/>
      <c r="CNL2477" s="60"/>
      <c r="CNM2477" s="63"/>
      <c r="CNN2477" s="61"/>
      <c r="CNO2477" s="54"/>
      <c r="CNP2477" s="54"/>
      <c r="CNQ2477" s="60"/>
      <c r="CNR2477" s="60"/>
      <c r="CNS2477" s="60"/>
      <c r="CNT2477" s="60"/>
      <c r="CNU2477" s="63"/>
      <c r="CNV2477" s="61"/>
      <c r="CNW2477" s="54"/>
      <c r="CNX2477" s="54"/>
      <c r="CNY2477" s="60"/>
      <c r="CNZ2477" s="60"/>
      <c r="COA2477" s="60"/>
      <c r="COB2477" s="60"/>
      <c r="COC2477" s="63"/>
      <c r="COD2477" s="61"/>
      <c r="COE2477" s="54"/>
      <c r="COF2477" s="54"/>
      <c r="COG2477" s="60"/>
      <c r="COH2477" s="60"/>
      <c r="COI2477" s="60"/>
      <c r="COJ2477" s="60"/>
      <c r="COK2477" s="63"/>
      <c r="COL2477" s="61"/>
      <c r="COM2477" s="54"/>
      <c r="CON2477" s="54"/>
      <c r="COO2477" s="60"/>
      <c r="COP2477" s="60"/>
      <c r="COQ2477" s="60"/>
      <c r="COR2477" s="60"/>
      <c r="COS2477" s="63"/>
      <c r="COT2477" s="61"/>
      <c r="COU2477" s="54"/>
      <c r="COV2477" s="54"/>
      <c r="COW2477" s="60"/>
      <c r="COX2477" s="60"/>
      <c r="COY2477" s="60"/>
      <c r="COZ2477" s="60"/>
      <c r="CPA2477" s="63"/>
      <c r="CPB2477" s="61"/>
      <c r="CPC2477" s="54"/>
      <c r="CPD2477" s="54"/>
      <c r="CPE2477" s="60"/>
      <c r="CPF2477" s="60"/>
      <c r="CPG2477" s="60"/>
      <c r="CPH2477" s="60"/>
      <c r="CPI2477" s="63"/>
      <c r="CPJ2477" s="61"/>
      <c r="CPK2477" s="54"/>
      <c r="CPL2477" s="54"/>
      <c r="CPM2477" s="60"/>
      <c r="CPN2477" s="60"/>
      <c r="CPO2477" s="60"/>
      <c r="CPP2477" s="60"/>
      <c r="CPQ2477" s="63"/>
      <c r="CPR2477" s="61"/>
      <c r="CPS2477" s="54"/>
      <c r="CPT2477" s="54"/>
      <c r="CPU2477" s="60"/>
      <c r="CPV2477" s="60"/>
      <c r="CPW2477" s="60"/>
      <c r="CPX2477" s="60"/>
      <c r="CPY2477" s="63"/>
      <c r="CPZ2477" s="61"/>
      <c r="CQA2477" s="54"/>
      <c r="CQB2477" s="54"/>
      <c r="CQC2477" s="60"/>
      <c r="CQD2477" s="60"/>
      <c r="CQE2477" s="60"/>
      <c r="CQF2477" s="60"/>
      <c r="CQG2477" s="63"/>
      <c r="CQH2477" s="61"/>
      <c r="CQI2477" s="54"/>
      <c r="CQJ2477" s="54"/>
      <c r="CQK2477" s="60"/>
      <c r="CQL2477" s="60"/>
      <c r="CQM2477" s="60"/>
      <c r="CQN2477" s="60"/>
      <c r="CQO2477" s="63"/>
      <c r="CQP2477" s="61"/>
      <c r="CQQ2477" s="54"/>
      <c r="CQR2477" s="54"/>
      <c r="CQS2477" s="60"/>
      <c r="CQT2477" s="60"/>
      <c r="CQU2477" s="60"/>
      <c r="CQV2477" s="60"/>
      <c r="CQW2477" s="63"/>
      <c r="CQX2477" s="61"/>
      <c r="CQY2477" s="54"/>
      <c r="CQZ2477" s="54"/>
      <c r="CRA2477" s="60"/>
      <c r="CRB2477" s="60"/>
      <c r="CRC2477" s="60"/>
      <c r="CRD2477" s="60"/>
      <c r="CRE2477" s="63"/>
      <c r="CRF2477" s="61"/>
      <c r="CRG2477" s="54"/>
      <c r="CRH2477" s="54"/>
      <c r="CRI2477" s="60"/>
      <c r="CRJ2477" s="60"/>
      <c r="CRK2477" s="60"/>
      <c r="CRL2477" s="60"/>
      <c r="CRM2477" s="63"/>
      <c r="CRN2477" s="61"/>
      <c r="CRO2477" s="54"/>
      <c r="CRP2477" s="54"/>
      <c r="CRQ2477" s="60"/>
      <c r="CRR2477" s="60"/>
      <c r="CRS2477" s="60"/>
      <c r="CRT2477" s="60"/>
      <c r="CRU2477" s="63"/>
      <c r="CRV2477" s="61"/>
      <c r="CRW2477" s="54"/>
      <c r="CRX2477" s="54"/>
      <c r="CRY2477" s="60"/>
      <c r="CRZ2477" s="60"/>
      <c r="CSA2477" s="60"/>
      <c r="CSB2477" s="60"/>
      <c r="CSC2477" s="63"/>
      <c r="CSD2477" s="61"/>
      <c r="CSE2477" s="54"/>
      <c r="CSF2477" s="54"/>
      <c r="CSG2477" s="60"/>
      <c r="CSH2477" s="60"/>
      <c r="CSI2477" s="60"/>
      <c r="CSJ2477" s="60"/>
      <c r="CSK2477" s="63"/>
      <c r="CSL2477" s="61"/>
      <c r="CSM2477" s="54"/>
      <c r="CSN2477" s="54"/>
      <c r="CSO2477" s="60"/>
      <c r="CSP2477" s="60"/>
      <c r="CSQ2477" s="60"/>
      <c r="CSR2477" s="60"/>
      <c r="CSS2477" s="63"/>
      <c r="CST2477" s="61"/>
      <c r="CSU2477" s="54"/>
      <c r="CSV2477" s="54"/>
      <c r="CSW2477" s="60"/>
      <c r="CSX2477" s="60"/>
      <c r="CSY2477" s="60"/>
      <c r="CSZ2477" s="60"/>
      <c r="CTA2477" s="63"/>
      <c r="CTB2477" s="61"/>
      <c r="CTC2477" s="54"/>
      <c r="CTD2477" s="54"/>
      <c r="CTE2477" s="60"/>
      <c r="CTF2477" s="60"/>
      <c r="CTG2477" s="60"/>
      <c r="CTH2477" s="60"/>
      <c r="CTI2477" s="63"/>
      <c r="CTJ2477" s="61"/>
      <c r="CTK2477" s="54"/>
      <c r="CTL2477" s="54"/>
      <c r="CTM2477" s="60"/>
      <c r="CTN2477" s="60"/>
      <c r="CTO2477" s="60"/>
      <c r="CTP2477" s="60"/>
      <c r="CTQ2477" s="63"/>
      <c r="CTR2477" s="61"/>
      <c r="CTS2477" s="54"/>
      <c r="CTT2477" s="54"/>
      <c r="CTU2477" s="60"/>
      <c r="CTV2477" s="60"/>
      <c r="CTW2477" s="60"/>
      <c r="CTX2477" s="60"/>
      <c r="CTY2477" s="63"/>
      <c r="CTZ2477" s="61"/>
      <c r="CUA2477" s="54"/>
      <c r="CUB2477" s="54"/>
      <c r="CUC2477" s="60"/>
      <c r="CUD2477" s="60"/>
      <c r="CUE2477" s="60"/>
      <c r="CUF2477" s="60"/>
      <c r="CUG2477" s="63"/>
      <c r="CUH2477" s="61"/>
      <c r="CUI2477" s="54"/>
      <c r="CUJ2477" s="54"/>
      <c r="CUK2477" s="60"/>
      <c r="CUL2477" s="60"/>
      <c r="CUM2477" s="60"/>
      <c r="CUN2477" s="60"/>
      <c r="CUO2477" s="63"/>
      <c r="CUP2477" s="61"/>
      <c r="CUQ2477" s="54"/>
      <c r="CUR2477" s="54"/>
      <c r="CUS2477" s="60"/>
      <c r="CUT2477" s="60"/>
      <c r="CUU2477" s="60"/>
      <c r="CUV2477" s="60"/>
      <c r="CUW2477" s="63"/>
      <c r="CUX2477" s="61"/>
      <c r="CUY2477" s="54"/>
      <c r="CUZ2477" s="54"/>
      <c r="CVA2477" s="60"/>
      <c r="CVB2477" s="60"/>
      <c r="CVC2477" s="60"/>
      <c r="CVD2477" s="60"/>
      <c r="CVE2477" s="63"/>
      <c r="CVF2477" s="61"/>
      <c r="CVG2477" s="54"/>
      <c r="CVH2477" s="54"/>
      <c r="CVI2477" s="60"/>
      <c r="CVJ2477" s="60"/>
      <c r="CVK2477" s="60"/>
      <c r="CVL2477" s="60"/>
      <c r="CVM2477" s="63"/>
      <c r="CVN2477" s="61"/>
      <c r="CVO2477" s="54"/>
      <c r="CVP2477" s="54"/>
      <c r="CVQ2477" s="60"/>
      <c r="CVR2477" s="60"/>
      <c r="CVS2477" s="60"/>
      <c r="CVT2477" s="60"/>
      <c r="CVU2477" s="63"/>
      <c r="CVV2477" s="61"/>
      <c r="CVW2477" s="54"/>
      <c r="CVX2477" s="54"/>
      <c r="CVY2477" s="60"/>
      <c r="CVZ2477" s="60"/>
      <c r="CWA2477" s="60"/>
      <c r="CWB2477" s="60"/>
      <c r="CWC2477" s="63"/>
      <c r="CWD2477" s="61"/>
      <c r="CWE2477" s="54"/>
      <c r="CWF2477" s="54"/>
      <c r="CWG2477" s="60"/>
      <c r="CWH2477" s="60"/>
      <c r="CWI2477" s="60"/>
      <c r="CWJ2477" s="60"/>
      <c r="CWK2477" s="63"/>
      <c r="CWL2477" s="61"/>
      <c r="CWM2477" s="54"/>
      <c r="CWN2477" s="54"/>
      <c r="CWO2477" s="60"/>
      <c r="CWP2477" s="60"/>
      <c r="CWQ2477" s="60"/>
      <c r="CWR2477" s="60"/>
      <c r="CWS2477" s="63"/>
      <c r="CWT2477" s="61"/>
      <c r="CWU2477" s="54"/>
      <c r="CWV2477" s="54"/>
      <c r="CWW2477" s="60"/>
      <c r="CWX2477" s="60"/>
      <c r="CWY2477" s="60"/>
      <c r="CWZ2477" s="60"/>
      <c r="CXA2477" s="63"/>
      <c r="CXB2477" s="61"/>
      <c r="CXC2477" s="54"/>
      <c r="CXD2477" s="54"/>
      <c r="CXE2477" s="60"/>
      <c r="CXF2477" s="60"/>
      <c r="CXG2477" s="60"/>
      <c r="CXH2477" s="60"/>
      <c r="CXI2477" s="63"/>
      <c r="CXJ2477" s="61"/>
      <c r="CXK2477" s="54"/>
      <c r="CXL2477" s="54"/>
      <c r="CXM2477" s="60"/>
      <c r="CXN2477" s="60"/>
      <c r="CXO2477" s="60"/>
      <c r="CXP2477" s="60"/>
      <c r="CXQ2477" s="63"/>
      <c r="CXR2477" s="61"/>
      <c r="CXS2477" s="54"/>
      <c r="CXT2477" s="54"/>
      <c r="CXU2477" s="60"/>
      <c r="CXV2477" s="60"/>
      <c r="CXW2477" s="60"/>
      <c r="CXX2477" s="60"/>
      <c r="CXY2477" s="63"/>
      <c r="CXZ2477" s="61"/>
      <c r="CYA2477" s="54"/>
      <c r="CYB2477" s="54"/>
      <c r="CYC2477" s="60"/>
      <c r="CYD2477" s="60"/>
      <c r="CYE2477" s="60"/>
      <c r="CYF2477" s="60"/>
      <c r="CYG2477" s="63"/>
      <c r="CYH2477" s="61"/>
      <c r="CYI2477" s="54"/>
      <c r="CYJ2477" s="54"/>
      <c r="CYK2477" s="60"/>
      <c r="CYL2477" s="60"/>
      <c r="CYM2477" s="60"/>
      <c r="CYN2477" s="60"/>
      <c r="CYO2477" s="63"/>
      <c r="CYP2477" s="61"/>
      <c r="CYQ2477" s="54"/>
      <c r="CYR2477" s="54"/>
      <c r="CYS2477" s="60"/>
      <c r="CYT2477" s="60"/>
      <c r="CYU2477" s="60"/>
      <c r="CYV2477" s="60"/>
      <c r="CYW2477" s="63"/>
      <c r="CYX2477" s="61"/>
      <c r="CYY2477" s="54"/>
      <c r="CYZ2477" s="54"/>
      <c r="CZA2477" s="60"/>
      <c r="CZB2477" s="60"/>
      <c r="CZC2477" s="60"/>
      <c r="CZD2477" s="60"/>
      <c r="CZE2477" s="63"/>
      <c r="CZF2477" s="61"/>
      <c r="CZG2477" s="54"/>
      <c r="CZH2477" s="54"/>
      <c r="CZI2477" s="60"/>
      <c r="CZJ2477" s="60"/>
      <c r="CZK2477" s="60"/>
      <c r="CZL2477" s="60"/>
      <c r="CZM2477" s="63"/>
      <c r="CZN2477" s="61"/>
      <c r="CZO2477" s="54"/>
      <c r="CZP2477" s="54"/>
      <c r="CZQ2477" s="60"/>
      <c r="CZR2477" s="60"/>
      <c r="CZS2477" s="60"/>
      <c r="CZT2477" s="60"/>
      <c r="CZU2477" s="63"/>
      <c r="CZV2477" s="61"/>
      <c r="CZW2477" s="54"/>
      <c r="CZX2477" s="54"/>
      <c r="CZY2477" s="60"/>
      <c r="CZZ2477" s="60"/>
      <c r="DAA2477" s="60"/>
      <c r="DAB2477" s="60"/>
      <c r="DAC2477" s="63"/>
      <c r="DAD2477" s="61"/>
      <c r="DAE2477" s="54"/>
      <c r="DAF2477" s="54"/>
      <c r="DAG2477" s="60"/>
      <c r="DAH2477" s="60"/>
      <c r="DAI2477" s="60"/>
      <c r="DAJ2477" s="60"/>
      <c r="DAK2477" s="63"/>
      <c r="DAL2477" s="61"/>
      <c r="DAM2477" s="54"/>
      <c r="DAN2477" s="54"/>
      <c r="DAO2477" s="60"/>
      <c r="DAP2477" s="60"/>
      <c r="DAQ2477" s="60"/>
      <c r="DAR2477" s="60"/>
      <c r="DAS2477" s="63"/>
      <c r="DAT2477" s="61"/>
      <c r="DAU2477" s="54"/>
      <c r="DAV2477" s="54"/>
      <c r="DAW2477" s="60"/>
      <c r="DAX2477" s="60"/>
      <c r="DAY2477" s="60"/>
      <c r="DAZ2477" s="60"/>
      <c r="DBA2477" s="63"/>
      <c r="DBB2477" s="61"/>
      <c r="DBC2477" s="54"/>
      <c r="DBD2477" s="54"/>
      <c r="DBE2477" s="60"/>
      <c r="DBF2477" s="60"/>
      <c r="DBG2477" s="60"/>
      <c r="DBH2477" s="60"/>
      <c r="DBI2477" s="63"/>
      <c r="DBJ2477" s="61"/>
      <c r="DBK2477" s="54"/>
      <c r="DBL2477" s="54"/>
      <c r="DBM2477" s="60"/>
      <c r="DBN2477" s="60"/>
      <c r="DBO2477" s="60"/>
      <c r="DBP2477" s="60"/>
      <c r="DBQ2477" s="63"/>
      <c r="DBR2477" s="61"/>
      <c r="DBS2477" s="54"/>
      <c r="DBT2477" s="54"/>
      <c r="DBU2477" s="60"/>
      <c r="DBV2477" s="60"/>
      <c r="DBW2477" s="60"/>
      <c r="DBX2477" s="60"/>
      <c r="DBY2477" s="63"/>
      <c r="DBZ2477" s="61"/>
      <c r="DCA2477" s="54"/>
      <c r="DCB2477" s="54"/>
      <c r="DCC2477" s="60"/>
      <c r="DCD2477" s="60"/>
      <c r="DCE2477" s="60"/>
      <c r="DCF2477" s="60"/>
      <c r="DCG2477" s="63"/>
      <c r="DCH2477" s="61"/>
      <c r="DCI2477" s="54"/>
      <c r="DCJ2477" s="54"/>
      <c r="DCK2477" s="60"/>
      <c r="DCL2477" s="60"/>
      <c r="DCM2477" s="60"/>
      <c r="DCN2477" s="60"/>
      <c r="DCO2477" s="63"/>
      <c r="DCP2477" s="61"/>
      <c r="DCQ2477" s="54"/>
      <c r="DCR2477" s="54"/>
      <c r="DCS2477" s="60"/>
      <c r="DCT2477" s="60"/>
      <c r="DCU2477" s="60"/>
      <c r="DCV2477" s="60"/>
      <c r="DCW2477" s="63"/>
      <c r="DCX2477" s="61"/>
      <c r="DCY2477" s="54"/>
      <c r="DCZ2477" s="54"/>
      <c r="DDA2477" s="60"/>
      <c r="DDB2477" s="60"/>
      <c r="DDC2477" s="60"/>
      <c r="DDD2477" s="60"/>
      <c r="DDE2477" s="63"/>
      <c r="DDF2477" s="61"/>
      <c r="DDG2477" s="54"/>
      <c r="DDH2477" s="54"/>
      <c r="DDI2477" s="60"/>
      <c r="DDJ2477" s="60"/>
      <c r="DDK2477" s="60"/>
      <c r="DDL2477" s="60"/>
      <c r="DDM2477" s="63"/>
      <c r="DDN2477" s="61"/>
      <c r="DDO2477" s="54"/>
      <c r="DDP2477" s="54"/>
      <c r="DDQ2477" s="60"/>
      <c r="DDR2477" s="60"/>
      <c r="DDS2477" s="60"/>
      <c r="DDT2477" s="60"/>
      <c r="DDU2477" s="63"/>
      <c r="DDV2477" s="61"/>
      <c r="DDW2477" s="54"/>
      <c r="DDX2477" s="54"/>
      <c r="DDY2477" s="60"/>
      <c r="DDZ2477" s="60"/>
      <c r="DEA2477" s="60"/>
      <c r="DEB2477" s="60"/>
      <c r="DEC2477" s="63"/>
      <c r="DED2477" s="61"/>
      <c r="DEE2477" s="54"/>
      <c r="DEF2477" s="54"/>
      <c r="DEG2477" s="60"/>
      <c r="DEH2477" s="60"/>
      <c r="DEI2477" s="60"/>
      <c r="DEJ2477" s="60"/>
      <c r="DEK2477" s="63"/>
      <c r="DEL2477" s="61"/>
      <c r="DEM2477" s="54"/>
      <c r="DEN2477" s="54"/>
      <c r="DEO2477" s="60"/>
      <c r="DEP2477" s="60"/>
      <c r="DEQ2477" s="60"/>
      <c r="DER2477" s="60"/>
      <c r="DES2477" s="63"/>
      <c r="DET2477" s="61"/>
      <c r="DEU2477" s="54"/>
      <c r="DEV2477" s="54"/>
      <c r="DEW2477" s="60"/>
      <c r="DEX2477" s="60"/>
      <c r="DEY2477" s="60"/>
      <c r="DEZ2477" s="60"/>
      <c r="DFA2477" s="63"/>
      <c r="DFB2477" s="61"/>
      <c r="DFC2477" s="54"/>
      <c r="DFD2477" s="54"/>
      <c r="DFE2477" s="60"/>
      <c r="DFF2477" s="60"/>
      <c r="DFG2477" s="60"/>
      <c r="DFH2477" s="60"/>
      <c r="DFI2477" s="63"/>
      <c r="DFJ2477" s="61"/>
      <c r="DFK2477" s="54"/>
      <c r="DFL2477" s="54"/>
      <c r="DFM2477" s="60"/>
      <c r="DFN2477" s="60"/>
      <c r="DFO2477" s="60"/>
      <c r="DFP2477" s="60"/>
      <c r="DFQ2477" s="63"/>
      <c r="DFR2477" s="61"/>
      <c r="DFS2477" s="54"/>
      <c r="DFT2477" s="54"/>
      <c r="DFU2477" s="60"/>
      <c r="DFV2477" s="60"/>
      <c r="DFW2477" s="60"/>
      <c r="DFX2477" s="60"/>
      <c r="DFY2477" s="63"/>
      <c r="DFZ2477" s="61"/>
      <c r="DGA2477" s="54"/>
      <c r="DGB2477" s="54"/>
      <c r="DGC2477" s="60"/>
      <c r="DGD2477" s="60"/>
      <c r="DGE2477" s="60"/>
      <c r="DGF2477" s="60"/>
      <c r="DGG2477" s="63"/>
      <c r="DGH2477" s="61"/>
      <c r="DGI2477" s="54"/>
      <c r="DGJ2477" s="54"/>
      <c r="DGK2477" s="60"/>
      <c r="DGL2477" s="60"/>
      <c r="DGM2477" s="60"/>
      <c r="DGN2477" s="60"/>
      <c r="DGO2477" s="63"/>
      <c r="DGP2477" s="61"/>
      <c r="DGQ2477" s="54"/>
      <c r="DGR2477" s="54"/>
      <c r="DGS2477" s="60"/>
      <c r="DGT2477" s="60"/>
      <c r="DGU2477" s="60"/>
      <c r="DGV2477" s="60"/>
      <c r="DGW2477" s="63"/>
      <c r="DGX2477" s="61"/>
      <c r="DGY2477" s="54"/>
      <c r="DGZ2477" s="54"/>
      <c r="DHA2477" s="60"/>
      <c r="DHB2477" s="60"/>
      <c r="DHC2477" s="60"/>
      <c r="DHD2477" s="60"/>
      <c r="DHE2477" s="63"/>
      <c r="DHF2477" s="61"/>
      <c r="DHG2477" s="54"/>
      <c r="DHH2477" s="54"/>
      <c r="DHI2477" s="60"/>
      <c r="DHJ2477" s="60"/>
      <c r="DHK2477" s="60"/>
      <c r="DHL2477" s="60"/>
      <c r="DHM2477" s="63"/>
      <c r="DHN2477" s="61"/>
      <c r="DHO2477" s="54"/>
      <c r="DHP2477" s="54"/>
      <c r="DHQ2477" s="60"/>
      <c r="DHR2477" s="60"/>
      <c r="DHS2477" s="60"/>
      <c r="DHT2477" s="60"/>
      <c r="DHU2477" s="63"/>
      <c r="DHV2477" s="61"/>
      <c r="DHW2477" s="54"/>
      <c r="DHX2477" s="54"/>
      <c r="DHY2477" s="60"/>
      <c r="DHZ2477" s="60"/>
      <c r="DIA2477" s="60"/>
      <c r="DIB2477" s="60"/>
      <c r="DIC2477" s="63"/>
      <c r="DID2477" s="61"/>
      <c r="DIE2477" s="54"/>
      <c r="DIF2477" s="54"/>
      <c r="DIG2477" s="60"/>
      <c r="DIH2477" s="60"/>
      <c r="DII2477" s="60"/>
      <c r="DIJ2477" s="60"/>
      <c r="DIK2477" s="63"/>
      <c r="DIL2477" s="61"/>
      <c r="DIM2477" s="54"/>
      <c r="DIN2477" s="54"/>
      <c r="DIO2477" s="60"/>
      <c r="DIP2477" s="60"/>
      <c r="DIQ2477" s="60"/>
      <c r="DIR2477" s="60"/>
      <c r="DIS2477" s="63"/>
      <c r="DIT2477" s="61"/>
      <c r="DIU2477" s="54"/>
      <c r="DIV2477" s="54"/>
      <c r="DIW2477" s="60"/>
      <c r="DIX2477" s="60"/>
      <c r="DIY2477" s="60"/>
      <c r="DIZ2477" s="60"/>
      <c r="DJA2477" s="63"/>
      <c r="DJB2477" s="61"/>
      <c r="DJC2477" s="54"/>
      <c r="DJD2477" s="54"/>
      <c r="DJE2477" s="60"/>
      <c r="DJF2477" s="60"/>
      <c r="DJG2477" s="60"/>
      <c r="DJH2477" s="60"/>
      <c r="DJI2477" s="63"/>
      <c r="DJJ2477" s="61"/>
      <c r="DJK2477" s="54"/>
      <c r="DJL2477" s="54"/>
      <c r="DJM2477" s="60"/>
      <c r="DJN2477" s="60"/>
      <c r="DJO2477" s="60"/>
      <c r="DJP2477" s="60"/>
      <c r="DJQ2477" s="63"/>
      <c r="DJR2477" s="61"/>
      <c r="DJS2477" s="54"/>
      <c r="DJT2477" s="54"/>
      <c r="DJU2477" s="60"/>
      <c r="DJV2477" s="60"/>
      <c r="DJW2477" s="60"/>
      <c r="DJX2477" s="60"/>
      <c r="DJY2477" s="63"/>
      <c r="DJZ2477" s="61"/>
      <c r="DKA2477" s="54"/>
      <c r="DKB2477" s="54"/>
      <c r="DKC2477" s="60"/>
      <c r="DKD2477" s="60"/>
      <c r="DKE2477" s="60"/>
      <c r="DKF2477" s="60"/>
      <c r="DKG2477" s="63"/>
      <c r="DKH2477" s="61"/>
      <c r="DKI2477" s="54"/>
      <c r="DKJ2477" s="54"/>
      <c r="DKK2477" s="60"/>
      <c r="DKL2477" s="60"/>
      <c r="DKM2477" s="60"/>
      <c r="DKN2477" s="60"/>
      <c r="DKO2477" s="63"/>
      <c r="DKP2477" s="61"/>
      <c r="DKQ2477" s="54"/>
      <c r="DKR2477" s="54"/>
      <c r="DKS2477" s="60"/>
      <c r="DKT2477" s="60"/>
      <c r="DKU2477" s="60"/>
      <c r="DKV2477" s="60"/>
      <c r="DKW2477" s="63"/>
      <c r="DKX2477" s="61"/>
      <c r="DKY2477" s="54"/>
      <c r="DKZ2477" s="54"/>
      <c r="DLA2477" s="60"/>
      <c r="DLB2477" s="60"/>
      <c r="DLC2477" s="60"/>
      <c r="DLD2477" s="60"/>
      <c r="DLE2477" s="63"/>
      <c r="DLF2477" s="61"/>
      <c r="DLG2477" s="54"/>
      <c r="DLH2477" s="54"/>
      <c r="DLI2477" s="60"/>
      <c r="DLJ2477" s="60"/>
      <c r="DLK2477" s="60"/>
      <c r="DLL2477" s="60"/>
      <c r="DLM2477" s="63"/>
      <c r="DLN2477" s="61"/>
      <c r="DLO2477" s="54"/>
      <c r="DLP2477" s="54"/>
      <c r="DLQ2477" s="60"/>
      <c r="DLR2477" s="60"/>
      <c r="DLS2477" s="60"/>
      <c r="DLT2477" s="60"/>
      <c r="DLU2477" s="63"/>
      <c r="DLV2477" s="61"/>
      <c r="DLW2477" s="54"/>
      <c r="DLX2477" s="54"/>
      <c r="DLY2477" s="60"/>
      <c r="DLZ2477" s="60"/>
      <c r="DMA2477" s="60"/>
      <c r="DMB2477" s="60"/>
      <c r="DMC2477" s="63"/>
      <c r="DMD2477" s="61"/>
      <c r="DME2477" s="54"/>
      <c r="DMF2477" s="54"/>
      <c r="DMG2477" s="60"/>
      <c r="DMH2477" s="60"/>
      <c r="DMI2477" s="60"/>
      <c r="DMJ2477" s="60"/>
      <c r="DMK2477" s="63"/>
      <c r="DML2477" s="61"/>
      <c r="DMM2477" s="54"/>
      <c r="DMN2477" s="54"/>
      <c r="DMO2477" s="60"/>
      <c r="DMP2477" s="60"/>
      <c r="DMQ2477" s="60"/>
      <c r="DMR2477" s="60"/>
      <c r="DMS2477" s="63"/>
      <c r="DMT2477" s="61"/>
      <c r="DMU2477" s="54"/>
      <c r="DMV2477" s="54"/>
      <c r="DMW2477" s="60"/>
      <c r="DMX2477" s="60"/>
      <c r="DMY2477" s="60"/>
      <c r="DMZ2477" s="60"/>
      <c r="DNA2477" s="63"/>
      <c r="DNB2477" s="61"/>
      <c r="DNC2477" s="54"/>
      <c r="DND2477" s="54"/>
      <c r="DNE2477" s="60"/>
      <c r="DNF2477" s="60"/>
      <c r="DNG2477" s="60"/>
      <c r="DNH2477" s="60"/>
      <c r="DNI2477" s="63"/>
      <c r="DNJ2477" s="61"/>
      <c r="DNK2477" s="54"/>
      <c r="DNL2477" s="54"/>
      <c r="DNM2477" s="60"/>
      <c r="DNN2477" s="60"/>
      <c r="DNO2477" s="60"/>
      <c r="DNP2477" s="60"/>
      <c r="DNQ2477" s="63"/>
      <c r="DNR2477" s="61"/>
      <c r="DNS2477" s="54"/>
      <c r="DNT2477" s="54"/>
      <c r="DNU2477" s="60"/>
      <c r="DNV2477" s="60"/>
      <c r="DNW2477" s="60"/>
      <c r="DNX2477" s="60"/>
      <c r="DNY2477" s="63"/>
      <c r="DNZ2477" s="61"/>
      <c r="DOA2477" s="54"/>
      <c r="DOB2477" s="54"/>
      <c r="DOC2477" s="60"/>
      <c r="DOD2477" s="60"/>
      <c r="DOE2477" s="60"/>
      <c r="DOF2477" s="60"/>
      <c r="DOG2477" s="63"/>
      <c r="DOH2477" s="61"/>
      <c r="DOI2477" s="54"/>
      <c r="DOJ2477" s="54"/>
      <c r="DOK2477" s="60"/>
      <c r="DOL2477" s="60"/>
      <c r="DOM2477" s="60"/>
      <c r="DON2477" s="60"/>
      <c r="DOO2477" s="63"/>
      <c r="DOP2477" s="61"/>
      <c r="DOQ2477" s="54"/>
      <c r="DOR2477" s="54"/>
      <c r="DOS2477" s="60"/>
      <c r="DOT2477" s="60"/>
      <c r="DOU2477" s="60"/>
      <c r="DOV2477" s="60"/>
      <c r="DOW2477" s="63"/>
      <c r="DOX2477" s="61"/>
      <c r="DOY2477" s="54"/>
      <c r="DOZ2477" s="54"/>
      <c r="DPA2477" s="60"/>
      <c r="DPB2477" s="60"/>
      <c r="DPC2477" s="60"/>
      <c r="DPD2477" s="60"/>
      <c r="DPE2477" s="63"/>
      <c r="DPF2477" s="61"/>
      <c r="DPG2477" s="54"/>
      <c r="DPH2477" s="54"/>
      <c r="DPI2477" s="60"/>
      <c r="DPJ2477" s="60"/>
      <c r="DPK2477" s="60"/>
      <c r="DPL2477" s="60"/>
      <c r="DPM2477" s="63"/>
      <c r="DPN2477" s="61"/>
      <c r="DPO2477" s="54"/>
      <c r="DPP2477" s="54"/>
      <c r="DPQ2477" s="60"/>
      <c r="DPR2477" s="60"/>
      <c r="DPS2477" s="60"/>
      <c r="DPT2477" s="60"/>
      <c r="DPU2477" s="63"/>
      <c r="DPV2477" s="61"/>
      <c r="DPW2477" s="54"/>
      <c r="DPX2477" s="54"/>
      <c r="DPY2477" s="60"/>
      <c r="DPZ2477" s="60"/>
      <c r="DQA2477" s="60"/>
      <c r="DQB2477" s="60"/>
      <c r="DQC2477" s="63"/>
      <c r="DQD2477" s="61"/>
      <c r="DQE2477" s="54"/>
      <c r="DQF2477" s="54"/>
      <c r="DQG2477" s="60"/>
      <c r="DQH2477" s="60"/>
      <c r="DQI2477" s="60"/>
      <c r="DQJ2477" s="60"/>
      <c r="DQK2477" s="63"/>
      <c r="DQL2477" s="61"/>
      <c r="DQM2477" s="54"/>
      <c r="DQN2477" s="54"/>
      <c r="DQO2477" s="60"/>
      <c r="DQP2477" s="60"/>
      <c r="DQQ2477" s="60"/>
      <c r="DQR2477" s="60"/>
      <c r="DQS2477" s="63"/>
      <c r="DQT2477" s="61"/>
      <c r="DQU2477" s="54"/>
      <c r="DQV2477" s="54"/>
      <c r="DQW2477" s="60"/>
      <c r="DQX2477" s="60"/>
      <c r="DQY2477" s="60"/>
      <c r="DQZ2477" s="60"/>
      <c r="DRA2477" s="63"/>
      <c r="DRB2477" s="61"/>
      <c r="DRC2477" s="54"/>
      <c r="DRD2477" s="54"/>
      <c r="DRE2477" s="60"/>
      <c r="DRF2477" s="60"/>
      <c r="DRG2477" s="60"/>
      <c r="DRH2477" s="60"/>
      <c r="DRI2477" s="63"/>
      <c r="DRJ2477" s="61"/>
      <c r="DRK2477" s="54"/>
      <c r="DRL2477" s="54"/>
      <c r="DRM2477" s="60"/>
      <c r="DRN2477" s="60"/>
      <c r="DRO2477" s="60"/>
      <c r="DRP2477" s="60"/>
      <c r="DRQ2477" s="63"/>
      <c r="DRR2477" s="61"/>
      <c r="DRS2477" s="54"/>
      <c r="DRT2477" s="54"/>
      <c r="DRU2477" s="60"/>
      <c r="DRV2477" s="60"/>
      <c r="DRW2477" s="60"/>
      <c r="DRX2477" s="60"/>
      <c r="DRY2477" s="63"/>
      <c r="DRZ2477" s="61"/>
      <c r="DSA2477" s="54"/>
      <c r="DSB2477" s="54"/>
      <c r="DSC2477" s="60"/>
      <c r="DSD2477" s="60"/>
      <c r="DSE2477" s="60"/>
      <c r="DSF2477" s="60"/>
      <c r="DSG2477" s="63"/>
      <c r="DSH2477" s="61"/>
      <c r="DSI2477" s="54"/>
      <c r="DSJ2477" s="54"/>
      <c r="DSK2477" s="60"/>
      <c r="DSL2477" s="60"/>
      <c r="DSM2477" s="60"/>
      <c r="DSN2477" s="60"/>
      <c r="DSO2477" s="63"/>
      <c r="DSP2477" s="61"/>
      <c r="DSQ2477" s="54"/>
      <c r="DSR2477" s="54"/>
      <c r="DSS2477" s="60"/>
      <c r="DST2477" s="60"/>
      <c r="DSU2477" s="60"/>
      <c r="DSV2477" s="60"/>
      <c r="DSW2477" s="63"/>
      <c r="DSX2477" s="61"/>
      <c r="DSY2477" s="54"/>
      <c r="DSZ2477" s="54"/>
      <c r="DTA2477" s="60"/>
      <c r="DTB2477" s="60"/>
      <c r="DTC2477" s="60"/>
      <c r="DTD2477" s="60"/>
      <c r="DTE2477" s="63"/>
      <c r="DTF2477" s="61"/>
      <c r="DTG2477" s="54"/>
      <c r="DTH2477" s="54"/>
      <c r="DTI2477" s="60"/>
      <c r="DTJ2477" s="60"/>
      <c r="DTK2477" s="60"/>
      <c r="DTL2477" s="60"/>
      <c r="DTM2477" s="63"/>
      <c r="DTN2477" s="61"/>
      <c r="DTO2477" s="54"/>
      <c r="DTP2477" s="54"/>
      <c r="DTQ2477" s="60"/>
      <c r="DTR2477" s="60"/>
      <c r="DTS2477" s="60"/>
      <c r="DTT2477" s="60"/>
      <c r="DTU2477" s="63"/>
      <c r="DTV2477" s="61"/>
      <c r="DTW2477" s="54"/>
      <c r="DTX2477" s="54"/>
      <c r="DTY2477" s="60"/>
      <c r="DTZ2477" s="60"/>
      <c r="DUA2477" s="60"/>
      <c r="DUB2477" s="60"/>
      <c r="DUC2477" s="63"/>
      <c r="DUD2477" s="61"/>
      <c r="DUE2477" s="54"/>
      <c r="DUF2477" s="54"/>
      <c r="DUG2477" s="60"/>
      <c r="DUH2477" s="60"/>
      <c r="DUI2477" s="60"/>
      <c r="DUJ2477" s="60"/>
      <c r="DUK2477" s="63"/>
      <c r="DUL2477" s="61"/>
      <c r="DUM2477" s="54"/>
      <c r="DUN2477" s="54"/>
      <c r="DUO2477" s="60"/>
      <c r="DUP2477" s="60"/>
      <c r="DUQ2477" s="60"/>
      <c r="DUR2477" s="60"/>
      <c r="DUS2477" s="63"/>
      <c r="DUT2477" s="61"/>
      <c r="DUU2477" s="54"/>
      <c r="DUV2477" s="54"/>
      <c r="DUW2477" s="60"/>
      <c r="DUX2477" s="60"/>
      <c r="DUY2477" s="60"/>
      <c r="DUZ2477" s="60"/>
      <c r="DVA2477" s="63"/>
      <c r="DVB2477" s="61"/>
      <c r="DVC2477" s="54"/>
      <c r="DVD2477" s="54"/>
      <c r="DVE2477" s="60"/>
      <c r="DVF2477" s="60"/>
      <c r="DVG2477" s="60"/>
      <c r="DVH2477" s="60"/>
      <c r="DVI2477" s="63"/>
      <c r="DVJ2477" s="61"/>
      <c r="DVK2477" s="54"/>
      <c r="DVL2477" s="54"/>
      <c r="DVM2477" s="60"/>
      <c r="DVN2477" s="60"/>
      <c r="DVO2477" s="60"/>
      <c r="DVP2477" s="60"/>
      <c r="DVQ2477" s="63"/>
      <c r="DVR2477" s="61"/>
      <c r="DVS2477" s="54"/>
      <c r="DVT2477" s="54"/>
      <c r="DVU2477" s="60"/>
      <c r="DVV2477" s="60"/>
      <c r="DVW2477" s="60"/>
      <c r="DVX2477" s="60"/>
      <c r="DVY2477" s="63"/>
      <c r="DVZ2477" s="61"/>
      <c r="DWA2477" s="54"/>
      <c r="DWB2477" s="54"/>
      <c r="DWC2477" s="60"/>
      <c r="DWD2477" s="60"/>
      <c r="DWE2477" s="60"/>
      <c r="DWF2477" s="60"/>
      <c r="DWG2477" s="63"/>
      <c r="DWH2477" s="61"/>
      <c r="DWI2477" s="54"/>
      <c r="DWJ2477" s="54"/>
      <c r="DWK2477" s="60"/>
      <c r="DWL2477" s="60"/>
      <c r="DWM2477" s="60"/>
      <c r="DWN2477" s="60"/>
      <c r="DWO2477" s="63"/>
      <c r="DWP2477" s="61"/>
      <c r="DWQ2477" s="54"/>
      <c r="DWR2477" s="54"/>
      <c r="DWS2477" s="60"/>
      <c r="DWT2477" s="60"/>
      <c r="DWU2477" s="60"/>
      <c r="DWV2477" s="60"/>
      <c r="DWW2477" s="63"/>
      <c r="DWX2477" s="61"/>
      <c r="DWY2477" s="54"/>
      <c r="DWZ2477" s="54"/>
      <c r="DXA2477" s="60"/>
      <c r="DXB2477" s="60"/>
      <c r="DXC2477" s="60"/>
      <c r="DXD2477" s="60"/>
      <c r="DXE2477" s="63"/>
      <c r="DXF2477" s="61"/>
      <c r="DXG2477" s="54"/>
      <c r="DXH2477" s="54"/>
      <c r="DXI2477" s="60"/>
      <c r="DXJ2477" s="60"/>
      <c r="DXK2477" s="60"/>
      <c r="DXL2477" s="60"/>
      <c r="DXM2477" s="63"/>
      <c r="DXN2477" s="61"/>
      <c r="DXO2477" s="54"/>
      <c r="DXP2477" s="54"/>
      <c r="DXQ2477" s="60"/>
      <c r="DXR2477" s="60"/>
      <c r="DXS2477" s="60"/>
      <c r="DXT2477" s="60"/>
      <c r="DXU2477" s="63"/>
      <c r="DXV2477" s="61"/>
      <c r="DXW2477" s="54"/>
      <c r="DXX2477" s="54"/>
      <c r="DXY2477" s="60"/>
      <c r="DXZ2477" s="60"/>
      <c r="DYA2477" s="60"/>
      <c r="DYB2477" s="60"/>
      <c r="DYC2477" s="63"/>
      <c r="DYD2477" s="61"/>
      <c r="DYE2477" s="54"/>
      <c r="DYF2477" s="54"/>
      <c r="DYG2477" s="60"/>
      <c r="DYH2477" s="60"/>
      <c r="DYI2477" s="60"/>
      <c r="DYJ2477" s="60"/>
      <c r="DYK2477" s="63"/>
      <c r="DYL2477" s="61"/>
      <c r="DYM2477" s="54"/>
      <c r="DYN2477" s="54"/>
      <c r="DYO2477" s="60"/>
      <c r="DYP2477" s="60"/>
      <c r="DYQ2477" s="60"/>
      <c r="DYR2477" s="60"/>
      <c r="DYS2477" s="63"/>
      <c r="DYT2477" s="61"/>
      <c r="DYU2477" s="54"/>
      <c r="DYV2477" s="54"/>
      <c r="DYW2477" s="60"/>
      <c r="DYX2477" s="60"/>
      <c r="DYY2477" s="60"/>
      <c r="DYZ2477" s="60"/>
      <c r="DZA2477" s="63"/>
      <c r="DZB2477" s="61"/>
      <c r="DZC2477" s="54"/>
      <c r="DZD2477" s="54"/>
      <c r="DZE2477" s="60"/>
      <c r="DZF2477" s="60"/>
      <c r="DZG2477" s="60"/>
      <c r="DZH2477" s="60"/>
      <c r="DZI2477" s="63"/>
      <c r="DZJ2477" s="61"/>
      <c r="DZK2477" s="54"/>
      <c r="DZL2477" s="54"/>
      <c r="DZM2477" s="60"/>
      <c r="DZN2477" s="60"/>
      <c r="DZO2477" s="60"/>
      <c r="DZP2477" s="60"/>
      <c r="DZQ2477" s="63"/>
      <c r="DZR2477" s="61"/>
      <c r="DZS2477" s="54"/>
      <c r="DZT2477" s="54"/>
      <c r="DZU2477" s="60"/>
      <c r="DZV2477" s="60"/>
      <c r="DZW2477" s="60"/>
      <c r="DZX2477" s="60"/>
      <c r="DZY2477" s="63"/>
      <c r="DZZ2477" s="61"/>
      <c r="EAA2477" s="54"/>
      <c r="EAB2477" s="54"/>
      <c r="EAC2477" s="60"/>
      <c r="EAD2477" s="60"/>
      <c r="EAE2477" s="60"/>
      <c r="EAF2477" s="60"/>
      <c r="EAG2477" s="63"/>
      <c r="EAH2477" s="61"/>
      <c r="EAI2477" s="54"/>
      <c r="EAJ2477" s="54"/>
      <c r="EAK2477" s="60"/>
      <c r="EAL2477" s="60"/>
      <c r="EAM2477" s="60"/>
      <c r="EAN2477" s="60"/>
      <c r="EAO2477" s="63"/>
      <c r="EAP2477" s="61"/>
      <c r="EAQ2477" s="54"/>
      <c r="EAR2477" s="54"/>
      <c r="EAS2477" s="60"/>
      <c r="EAT2477" s="60"/>
      <c r="EAU2477" s="60"/>
      <c r="EAV2477" s="60"/>
      <c r="EAW2477" s="63"/>
      <c r="EAX2477" s="61"/>
      <c r="EAY2477" s="54"/>
      <c r="EAZ2477" s="54"/>
      <c r="EBA2477" s="60"/>
      <c r="EBB2477" s="60"/>
      <c r="EBC2477" s="60"/>
      <c r="EBD2477" s="60"/>
      <c r="EBE2477" s="63"/>
      <c r="EBF2477" s="61"/>
      <c r="EBG2477" s="54"/>
      <c r="EBH2477" s="54"/>
      <c r="EBI2477" s="60"/>
      <c r="EBJ2477" s="60"/>
      <c r="EBK2477" s="60"/>
      <c r="EBL2477" s="60"/>
      <c r="EBM2477" s="63"/>
      <c r="EBN2477" s="61"/>
      <c r="EBO2477" s="54"/>
      <c r="EBP2477" s="54"/>
      <c r="EBQ2477" s="60"/>
      <c r="EBR2477" s="60"/>
      <c r="EBS2477" s="60"/>
      <c r="EBT2477" s="60"/>
      <c r="EBU2477" s="63"/>
      <c r="EBV2477" s="61"/>
      <c r="EBW2477" s="54"/>
      <c r="EBX2477" s="54"/>
      <c r="EBY2477" s="60"/>
      <c r="EBZ2477" s="60"/>
      <c r="ECA2477" s="60"/>
      <c r="ECB2477" s="60"/>
      <c r="ECC2477" s="63"/>
      <c r="ECD2477" s="61"/>
      <c r="ECE2477" s="54"/>
      <c r="ECF2477" s="54"/>
      <c r="ECG2477" s="60"/>
      <c r="ECH2477" s="60"/>
      <c r="ECI2477" s="60"/>
      <c r="ECJ2477" s="60"/>
      <c r="ECK2477" s="63"/>
      <c r="ECL2477" s="61"/>
      <c r="ECM2477" s="54"/>
      <c r="ECN2477" s="54"/>
      <c r="ECO2477" s="60"/>
      <c r="ECP2477" s="60"/>
      <c r="ECQ2477" s="60"/>
      <c r="ECR2477" s="60"/>
      <c r="ECS2477" s="63"/>
      <c r="ECT2477" s="61"/>
      <c r="ECU2477" s="54"/>
      <c r="ECV2477" s="54"/>
      <c r="ECW2477" s="60"/>
      <c r="ECX2477" s="60"/>
      <c r="ECY2477" s="60"/>
      <c r="ECZ2477" s="60"/>
      <c r="EDA2477" s="63"/>
      <c r="EDB2477" s="61"/>
      <c r="EDC2477" s="54"/>
      <c r="EDD2477" s="54"/>
      <c r="EDE2477" s="60"/>
      <c r="EDF2477" s="60"/>
      <c r="EDG2477" s="60"/>
      <c r="EDH2477" s="60"/>
      <c r="EDI2477" s="63"/>
      <c r="EDJ2477" s="61"/>
      <c r="EDK2477" s="54"/>
      <c r="EDL2477" s="54"/>
      <c r="EDM2477" s="60"/>
      <c r="EDN2477" s="60"/>
      <c r="EDO2477" s="60"/>
      <c r="EDP2477" s="60"/>
      <c r="EDQ2477" s="63"/>
      <c r="EDR2477" s="61"/>
      <c r="EDS2477" s="54"/>
      <c r="EDT2477" s="54"/>
      <c r="EDU2477" s="60"/>
      <c r="EDV2477" s="60"/>
      <c r="EDW2477" s="60"/>
      <c r="EDX2477" s="60"/>
      <c r="EDY2477" s="63"/>
      <c r="EDZ2477" s="61"/>
      <c r="EEA2477" s="54"/>
      <c r="EEB2477" s="54"/>
      <c r="EEC2477" s="60"/>
      <c r="EED2477" s="60"/>
      <c r="EEE2477" s="60"/>
      <c r="EEF2477" s="60"/>
      <c r="EEG2477" s="63"/>
      <c r="EEH2477" s="61"/>
      <c r="EEI2477" s="54"/>
      <c r="EEJ2477" s="54"/>
      <c r="EEK2477" s="60"/>
      <c r="EEL2477" s="60"/>
      <c r="EEM2477" s="60"/>
      <c r="EEN2477" s="60"/>
      <c r="EEO2477" s="63"/>
      <c r="EEP2477" s="61"/>
      <c r="EEQ2477" s="54"/>
      <c r="EER2477" s="54"/>
      <c r="EES2477" s="60"/>
      <c r="EET2477" s="60"/>
      <c r="EEU2477" s="60"/>
      <c r="EEV2477" s="60"/>
      <c r="EEW2477" s="63"/>
      <c r="EEX2477" s="61"/>
      <c r="EEY2477" s="54"/>
      <c r="EEZ2477" s="54"/>
      <c r="EFA2477" s="60"/>
      <c r="EFB2477" s="60"/>
      <c r="EFC2477" s="60"/>
      <c r="EFD2477" s="60"/>
      <c r="EFE2477" s="63"/>
      <c r="EFF2477" s="61"/>
      <c r="EFG2477" s="54"/>
      <c r="EFH2477" s="54"/>
      <c r="EFI2477" s="60"/>
      <c r="EFJ2477" s="60"/>
      <c r="EFK2477" s="60"/>
      <c r="EFL2477" s="60"/>
      <c r="EFM2477" s="63"/>
      <c r="EFN2477" s="61"/>
      <c r="EFO2477" s="54"/>
      <c r="EFP2477" s="54"/>
      <c r="EFQ2477" s="60"/>
      <c r="EFR2477" s="60"/>
      <c r="EFS2477" s="60"/>
      <c r="EFT2477" s="60"/>
      <c r="EFU2477" s="63"/>
      <c r="EFV2477" s="61"/>
      <c r="EFW2477" s="54"/>
      <c r="EFX2477" s="54"/>
      <c r="EFY2477" s="60"/>
      <c r="EFZ2477" s="60"/>
      <c r="EGA2477" s="60"/>
      <c r="EGB2477" s="60"/>
      <c r="EGC2477" s="63"/>
      <c r="EGD2477" s="61"/>
      <c r="EGE2477" s="54"/>
      <c r="EGF2477" s="54"/>
      <c r="EGG2477" s="60"/>
      <c r="EGH2477" s="60"/>
      <c r="EGI2477" s="60"/>
      <c r="EGJ2477" s="60"/>
      <c r="EGK2477" s="63"/>
      <c r="EGL2477" s="61"/>
      <c r="EGM2477" s="54"/>
      <c r="EGN2477" s="54"/>
      <c r="EGO2477" s="60"/>
      <c r="EGP2477" s="60"/>
      <c r="EGQ2477" s="60"/>
      <c r="EGR2477" s="60"/>
      <c r="EGS2477" s="63"/>
      <c r="EGT2477" s="61"/>
      <c r="EGU2477" s="54"/>
      <c r="EGV2477" s="54"/>
      <c r="EGW2477" s="60"/>
      <c r="EGX2477" s="60"/>
      <c r="EGY2477" s="60"/>
      <c r="EGZ2477" s="60"/>
      <c r="EHA2477" s="63"/>
      <c r="EHB2477" s="61"/>
      <c r="EHC2477" s="54"/>
      <c r="EHD2477" s="54"/>
      <c r="EHE2477" s="60"/>
      <c r="EHF2477" s="60"/>
      <c r="EHG2477" s="60"/>
      <c r="EHH2477" s="60"/>
      <c r="EHI2477" s="63"/>
      <c r="EHJ2477" s="61"/>
      <c r="EHK2477" s="54"/>
      <c r="EHL2477" s="54"/>
      <c r="EHM2477" s="60"/>
      <c r="EHN2477" s="60"/>
      <c r="EHO2477" s="60"/>
      <c r="EHP2477" s="60"/>
      <c r="EHQ2477" s="63"/>
      <c r="EHR2477" s="61"/>
      <c r="EHS2477" s="54"/>
      <c r="EHT2477" s="54"/>
      <c r="EHU2477" s="60"/>
      <c r="EHV2477" s="60"/>
      <c r="EHW2477" s="60"/>
      <c r="EHX2477" s="60"/>
      <c r="EHY2477" s="63"/>
      <c r="EHZ2477" s="61"/>
      <c r="EIA2477" s="54"/>
      <c r="EIB2477" s="54"/>
      <c r="EIC2477" s="60"/>
      <c r="EID2477" s="60"/>
      <c r="EIE2477" s="60"/>
      <c r="EIF2477" s="60"/>
      <c r="EIG2477" s="63"/>
      <c r="EIH2477" s="61"/>
      <c r="EII2477" s="54"/>
      <c r="EIJ2477" s="54"/>
      <c r="EIK2477" s="60"/>
      <c r="EIL2477" s="60"/>
      <c r="EIM2477" s="60"/>
      <c r="EIN2477" s="60"/>
      <c r="EIO2477" s="63"/>
      <c r="EIP2477" s="61"/>
      <c r="EIQ2477" s="54"/>
      <c r="EIR2477" s="54"/>
      <c r="EIS2477" s="60"/>
      <c r="EIT2477" s="60"/>
      <c r="EIU2477" s="60"/>
      <c r="EIV2477" s="60"/>
      <c r="EIW2477" s="63"/>
      <c r="EIX2477" s="61"/>
      <c r="EIY2477" s="54"/>
      <c r="EIZ2477" s="54"/>
      <c r="EJA2477" s="60"/>
      <c r="EJB2477" s="60"/>
      <c r="EJC2477" s="60"/>
      <c r="EJD2477" s="60"/>
      <c r="EJE2477" s="63"/>
      <c r="EJF2477" s="61"/>
      <c r="EJG2477" s="54"/>
      <c r="EJH2477" s="54"/>
      <c r="EJI2477" s="60"/>
      <c r="EJJ2477" s="60"/>
      <c r="EJK2477" s="60"/>
      <c r="EJL2477" s="60"/>
      <c r="EJM2477" s="63"/>
      <c r="EJN2477" s="61"/>
      <c r="EJO2477" s="54"/>
      <c r="EJP2477" s="54"/>
      <c r="EJQ2477" s="60"/>
      <c r="EJR2477" s="60"/>
      <c r="EJS2477" s="60"/>
      <c r="EJT2477" s="60"/>
      <c r="EJU2477" s="63"/>
      <c r="EJV2477" s="61"/>
      <c r="EJW2477" s="54"/>
      <c r="EJX2477" s="54"/>
      <c r="EJY2477" s="60"/>
      <c r="EJZ2477" s="60"/>
      <c r="EKA2477" s="60"/>
      <c r="EKB2477" s="60"/>
      <c r="EKC2477" s="63"/>
      <c r="EKD2477" s="61"/>
      <c r="EKE2477" s="54"/>
      <c r="EKF2477" s="54"/>
      <c r="EKG2477" s="60"/>
      <c r="EKH2477" s="60"/>
      <c r="EKI2477" s="60"/>
      <c r="EKJ2477" s="60"/>
      <c r="EKK2477" s="63"/>
      <c r="EKL2477" s="61"/>
      <c r="EKM2477" s="54"/>
      <c r="EKN2477" s="54"/>
      <c r="EKO2477" s="60"/>
      <c r="EKP2477" s="60"/>
      <c r="EKQ2477" s="60"/>
      <c r="EKR2477" s="60"/>
      <c r="EKS2477" s="63"/>
      <c r="EKT2477" s="61"/>
      <c r="EKU2477" s="54"/>
      <c r="EKV2477" s="54"/>
      <c r="EKW2477" s="60"/>
      <c r="EKX2477" s="60"/>
      <c r="EKY2477" s="60"/>
      <c r="EKZ2477" s="60"/>
      <c r="ELA2477" s="63"/>
      <c r="ELB2477" s="61"/>
      <c r="ELC2477" s="54"/>
      <c r="ELD2477" s="54"/>
      <c r="ELE2477" s="60"/>
      <c r="ELF2477" s="60"/>
      <c r="ELG2477" s="60"/>
      <c r="ELH2477" s="60"/>
      <c r="ELI2477" s="63"/>
      <c r="ELJ2477" s="61"/>
      <c r="ELK2477" s="54"/>
      <c r="ELL2477" s="54"/>
      <c r="ELM2477" s="60"/>
      <c r="ELN2477" s="60"/>
      <c r="ELO2477" s="60"/>
      <c r="ELP2477" s="60"/>
      <c r="ELQ2477" s="63"/>
      <c r="ELR2477" s="61"/>
      <c r="ELS2477" s="54"/>
      <c r="ELT2477" s="54"/>
      <c r="ELU2477" s="60"/>
      <c r="ELV2477" s="60"/>
      <c r="ELW2477" s="60"/>
      <c r="ELX2477" s="60"/>
      <c r="ELY2477" s="63"/>
      <c r="ELZ2477" s="61"/>
      <c r="EMA2477" s="54"/>
      <c r="EMB2477" s="54"/>
      <c r="EMC2477" s="60"/>
      <c r="EMD2477" s="60"/>
      <c r="EME2477" s="60"/>
      <c r="EMF2477" s="60"/>
      <c r="EMG2477" s="63"/>
      <c r="EMH2477" s="61"/>
      <c r="EMI2477" s="54"/>
      <c r="EMJ2477" s="54"/>
      <c r="EMK2477" s="60"/>
      <c r="EML2477" s="60"/>
      <c r="EMM2477" s="60"/>
      <c r="EMN2477" s="60"/>
      <c r="EMO2477" s="63"/>
      <c r="EMP2477" s="61"/>
      <c r="EMQ2477" s="54"/>
      <c r="EMR2477" s="54"/>
      <c r="EMS2477" s="60"/>
      <c r="EMT2477" s="60"/>
      <c r="EMU2477" s="60"/>
      <c r="EMV2477" s="60"/>
      <c r="EMW2477" s="63"/>
      <c r="EMX2477" s="61"/>
      <c r="EMY2477" s="54"/>
      <c r="EMZ2477" s="54"/>
      <c r="ENA2477" s="60"/>
      <c r="ENB2477" s="60"/>
      <c r="ENC2477" s="60"/>
      <c r="END2477" s="60"/>
      <c r="ENE2477" s="63"/>
      <c r="ENF2477" s="61"/>
      <c r="ENG2477" s="54"/>
      <c r="ENH2477" s="54"/>
      <c r="ENI2477" s="60"/>
      <c r="ENJ2477" s="60"/>
      <c r="ENK2477" s="60"/>
      <c r="ENL2477" s="60"/>
      <c r="ENM2477" s="63"/>
      <c r="ENN2477" s="61"/>
      <c r="ENO2477" s="54"/>
      <c r="ENP2477" s="54"/>
      <c r="ENQ2477" s="60"/>
      <c r="ENR2477" s="60"/>
      <c r="ENS2477" s="60"/>
      <c r="ENT2477" s="60"/>
      <c r="ENU2477" s="63"/>
      <c r="ENV2477" s="61"/>
      <c r="ENW2477" s="54"/>
      <c r="ENX2477" s="54"/>
      <c r="ENY2477" s="60"/>
      <c r="ENZ2477" s="60"/>
      <c r="EOA2477" s="60"/>
      <c r="EOB2477" s="60"/>
      <c r="EOC2477" s="63"/>
      <c r="EOD2477" s="61"/>
      <c r="EOE2477" s="54"/>
      <c r="EOF2477" s="54"/>
      <c r="EOG2477" s="60"/>
      <c r="EOH2477" s="60"/>
      <c r="EOI2477" s="60"/>
      <c r="EOJ2477" s="60"/>
      <c r="EOK2477" s="63"/>
      <c r="EOL2477" s="61"/>
      <c r="EOM2477" s="54"/>
      <c r="EON2477" s="54"/>
      <c r="EOO2477" s="60"/>
      <c r="EOP2477" s="60"/>
      <c r="EOQ2477" s="60"/>
      <c r="EOR2477" s="60"/>
      <c r="EOS2477" s="63"/>
      <c r="EOT2477" s="61"/>
      <c r="EOU2477" s="54"/>
      <c r="EOV2477" s="54"/>
      <c r="EOW2477" s="60"/>
      <c r="EOX2477" s="60"/>
      <c r="EOY2477" s="60"/>
      <c r="EOZ2477" s="60"/>
      <c r="EPA2477" s="63"/>
      <c r="EPB2477" s="61"/>
      <c r="EPC2477" s="54"/>
      <c r="EPD2477" s="54"/>
      <c r="EPE2477" s="60"/>
      <c r="EPF2477" s="60"/>
      <c r="EPG2477" s="60"/>
      <c r="EPH2477" s="60"/>
      <c r="EPI2477" s="63"/>
      <c r="EPJ2477" s="61"/>
      <c r="EPK2477" s="54"/>
      <c r="EPL2477" s="54"/>
      <c r="EPM2477" s="60"/>
      <c r="EPN2477" s="60"/>
      <c r="EPO2477" s="60"/>
      <c r="EPP2477" s="60"/>
      <c r="EPQ2477" s="63"/>
      <c r="EPR2477" s="61"/>
      <c r="EPS2477" s="54"/>
      <c r="EPT2477" s="54"/>
      <c r="EPU2477" s="60"/>
      <c r="EPV2477" s="60"/>
      <c r="EPW2477" s="60"/>
      <c r="EPX2477" s="60"/>
      <c r="EPY2477" s="63"/>
      <c r="EPZ2477" s="61"/>
      <c r="EQA2477" s="54"/>
      <c r="EQB2477" s="54"/>
      <c r="EQC2477" s="60"/>
      <c r="EQD2477" s="60"/>
      <c r="EQE2477" s="60"/>
      <c r="EQF2477" s="60"/>
      <c r="EQG2477" s="63"/>
      <c r="EQH2477" s="61"/>
      <c r="EQI2477" s="54"/>
      <c r="EQJ2477" s="54"/>
      <c r="EQK2477" s="60"/>
      <c r="EQL2477" s="60"/>
      <c r="EQM2477" s="60"/>
      <c r="EQN2477" s="60"/>
      <c r="EQO2477" s="63"/>
      <c r="EQP2477" s="61"/>
      <c r="EQQ2477" s="54"/>
      <c r="EQR2477" s="54"/>
      <c r="EQS2477" s="60"/>
      <c r="EQT2477" s="60"/>
      <c r="EQU2477" s="60"/>
      <c r="EQV2477" s="60"/>
      <c r="EQW2477" s="63"/>
      <c r="EQX2477" s="61"/>
      <c r="EQY2477" s="54"/>
      <c r="EQZ2477" s="54"/>
      <c r="ERA2477" s="60"/>
      <c r="ERB2477" s="60"/>
      <c r="ERC2477" s="60"/>
      <c r="ERD2477" s="60"/>
      <c r="ERE2477" s="63"/>
      <c r="ERF2477" s="61"/>
      <c r="ERG2477" s="54"/>
      <c r="ERH2477" s="54"/>
      <c r="ERI2477" s="60"/>
      <c r="ERJ2477" s="60"/>
      <c r="ERK2477" s="60"/>
      <c r="ERL2477" s="60"/>
      <c r="ERM2477" s="63"/>
      <c r="ERN2477" s="61"/>
      <c r="ERO2477" s="54"/>
      <c r="ERP2477" s="54"/>
      <c r="ERQ2477" s="60"/>
      <c r="ERR2477" s="60"/>
      <c r="ERS2477" s="60"/>
      <c r="ERT2477" s="60"/>
      <c r="ERU2477" s="63"/>
      <c r="ERV2477" s="61"/>
      <c r="ERW2477" s="54"/>
      <c r="ERX2477" s="54"/>
      <c r="ERY2477" s="60"/>
      <c r="ERZ2477" s="60"/>
      <c r="ESA2477" s="60"/>
      <c r="ESB2477" s="60"/>
      <c r="ESC2477" s="63"/>
      <c r="ESD2477" s="61"/>
      <c r="ESE2477" s="54"/>
      <c r="ESF2477" s="54"/>
      <c r="ESG2477" s="60"/>
      <c r="ESH2477" s="60"/>
      <c r="ESI2477" s="60"/>
      <c r="ESJ2477" s="60"/>
      <c r="ESK2477" s="63"/>
      <c r="ESL2477" s="61"/>
      <c r="ESM2477" s="54"/>
      <c r="ESN2477" s="54"/>
      <c r="ESO2477" s="60"/>
      <c r="ESP2477" s="60"/>
      <c r="ESQ2477" s="60"/>
      <c r="ESR2477" s="60"/>
      <c r="ESS2477" s="63"/>
      <c r="EST2477" s="61"/>
      <c r="ESU2477" s="54"/>
      <c r="ESV2477" s="54"/>
      <c r="ESW2477" s="60"/>
      <c r="ESX2477" s="60"/>
      <c r="ESY2477" s="60"/>
      <c r="ESZ2477" s="60"/>
      <c r="ETA2477" s="63"/>
      <c r="ETB2477" s="61"/>
      <c r="ETC2477" s="54"/>
      <c r="ETD2477" s="54"/>
      <c r="ETE2477" s="60"/>
      <c r="ETF2477" s="60"/>
      <c r="ETG2477" s="60"/>
      <c r="ETH2477" s="60"/>
      <c r="ETI2477" s="63"/>
      <c r="ETJ2477" s="61"/>
      <c r="ETK2477" s="54"/>
      <c r="ETL2477" s="54"/>
      <c r="ETM2477" s="60"/>
      <c r="ETN2477" s="60"/>
      <c r="ETO2477" s="60"/>
      <c r="ETP2477" s="60"/>
      <c r="ETQ2477" s="63"/>
      <c r="ETR2477" s="61"/>
      <c r="ETS2477" s="54"/>
      <c r="ETT2477" s="54"/>
      <c r="ETU2477" s="60"/>
      <c r="ETV2477" s="60"/>
      <c r="ETW2477" s="60"/>
      <c r="ETX2477" s="60"/>
      <c r="ETY2477" s="63"/>
      <c r="ETZ2477" s="61"/>
      <c r="EUA2477" s="54"/>
      <c r="EUB2477" s="54"/>
      <c r="EUC2477" s="60"/>
      <c r="EUD2477" s="60"/>
      <c r="EUE2477" s="60"/>
      <c r="EUF2477" s="60"/>
      <c r="EUG2477" s="63"/>
      <c r="EUH2477" s="61"/>
      <c r="EUI2477" s="54"/>
      <c r="EUJ2477" s="54"/>
      <c r="EUK2477" s="60"/>
      <c r="EUL2477" s="60"/>
      <c r="EUM2477" s="60"/>
      <c r="EUN2477" s="60"/>
      <c r="EUO2477" s="63"/>
      <c r="EUP2477" s="61"/>
      <c r="EUQ2477" s="54"/>
      <c r="EUR2477" s="54"/>
      <c r="EUS2477" s="60"/>
      <c r="EUT2477" s="60"/>
      <c r="EUU2477" s="60"/>
      <c r="EUV2477" s="60"/>
      <c r="EUW2477" s="63"/>
      <c r="EUX2477" s="61"/>
      <c r="EUY2477" s="54"/>
      <c r="EUZ2477" s="54"/>
      <c r="EVA2477" s="60"/>
      <c r="EVB2477" s="60"/>
      <c r="EVC2477" s="60"/>
      <c r="EVD2477" s="60"/>
      <c r="EVE2477" s="63"/>
      <c r="EVF2477" s="61"/>
      <c r="EVG2477" s="54"/>
      <c r="EVH2477" s="54"/>
      <c r="EVI2477" s="60"/>
      <c r="EVJ2477" s="60"/>
      <c r="EVK2477" s="60"/>
      <c r="EVL2477" s="60"/>
      <c r="EVM2477" s="63"/>
      <c r="EVN2477" s="61"/>
      <c r="EVO2477" s="54"/>
      <c r="EVP2477" s="54"/>
      <c r="EVQ2477" s="60"/>
      <c r="EVR2477" s="60"/>
      <c r="EVS2477" s="60"/>
      <c r="EVT2477" s="60"/>
      <c r="EVU2477" s="63"/>
      <c r="EVV2477" s="61"/>
      <c r="EVW2477" s="54"/>
      <c r="EVX2477" s="54"/>
      <c r="EVY2477" s="60"/>
      <c r="EVZ2477" s="60"/>
      <c r="EWA2477" s="60"/>
      <c r="EWB2477" s="60"/>
      <c r="EWC2477" s="63"/>
      <c r="EWD2477" s="61"/>
      <c r="EWE2477" s="54"/>
      <c r="EWF2477" s="54"/>
      <c r="EWG2477" s="60"/>
      <c r="EWH2477" s="60"/>
      <c r="EWI2477" s="60"/>
      <c r="EWJ2477" s="60"/>
      <c r="EWK2477" s="63"/>
      <c r="EWL2477" s="61"/>
      <c r="EWM2477" s="54"/>
      <c r="EWN2477" s="54"/>
      <c r="EWO2477" s="60"/>
      <c r="EWP2477" s="60"/>
      <c r="EWQ2477" s="60"/>
      <c r="EWR2477" s="60"/>
      <c r="EWS2477" s="63"/>
      <c r="EWT2477" s="61"/>
      <c r="EWU2477" s="54"/>
      <c r="EWV2477" s="54"/>
      <c r="EWW2477" s="60"/>
      <c r="EWX2477" s="60"/>
      <c r="EWY2477" s="60"/>
      <c r="EWZ2477" s="60"/>
      <c r="EXA2477" s="63"/>
      <c r="EXB2477" s="61"/>
      <c r="EXC2477" s="54"/>
      <c r="EXD2477" s="54"/>
      <c r="EXE2477" s="60"/>
      <c r="EXF2477" s="60"/>
      <c r="EXG2477" s="60"/>
      <c r="EXH2477" s="60"/>
      <c r="EXI2477" s="63"/>
      <c r="EXJ2477" s="61"/>
      <c r="EXK2477" s="54"/>
      <c r="EXL2477" s="54"/>
      <c r="EXM2477" s="60"/>
      <c r="EXN2477" s="60"/>
      <c r="EXO2477" s="60"/>
      <c r="EXP2477" s="60"/>
      <c r="EXQ2477" s="63"/>
      <c r="EXR2477" s="61"/>
      <c r="EXS2477" s="54"/>
      <c r="EXT2477" s="54"/>
      <c r="EXU2477" s="60"/>
      <c r="EXV2477" s="60"/>
      <c r="EXW2477" s="60"/>
      <c r="EXX2477" s="60"/>
      <c r="EXY2477" s="63"/>
      <c r="EXZ2477" s="61"/>
      <c r="EYA2477" s="54"/>
      <c r="EYB2477" s="54"/>
      <c r="EYC2477" s="60"/>
      <c r="EYD2477" s="60"/>
      <c r="EYE2477" s="60"/>
      <c r="EYF2477" s="60"/>
      <c r="EYG2477" s="63"/>
      <c r="EYH2477" s="61"/>
      <c r="EYI2477" s="54"/>
      <c r="EYJ2477" s="54"/>
      <c r="EYK2477" s="60"/>
      <c r="EYL2477" s="60"/>
      <c r="EYM2477" s="60"/>
      <c r="EYN2477" s="60"/>
      <c r="EYO2477" s="63"/>
      <c r="EYP2477" s="61"/>
      <c r="EYQ2477" s="54"/>
      <c r="EYR2477" s="54"/>
      <c r="EYS2477" s="60"/>
      <c r="EYT2477" s="60"/>
      <c r="EYU2477" s="60"/>
      <c r="EYV2477" s="60"/>
      <c r="EYW2477" s="63"/>
      <c r="EYX2477" s="61"/>
      <c r="EYY2477" s="54"/>
      <c r="EYZ2477" s="54"/>
      <c r="EZA2477" s="60"/>
      <c r="EZB2477" s="60"/>
      <c r="EZC2477" s="60"/>
      <c r="EZD2477" s="60"/>
      <c r="EZE2477" s="63"/>
      <c r="EZF2477" s="61"/>
      <c r="EZG2477" s="54"/>
      <c r="EZH2477" s="54"/>
      <c r="EZI2477" s="60"/>
      <c r="EZJ2477" s="60"/>
      <c r="EZK2477" s="60"/>
      <c r="EZL2477" s="60"/>
      <c r="EZM2477" s="63"/>
      <c r="EZN2477" s="61"/>
      <c r="EZO2477" s="54"/>
      <c r="EZP2477" s="54"/>
      <c r="EZQ2477" s="60"/>
      <c r="EZR2477" s="60"/>
      <c r="EZS2477" s="60"/>
      <c r="EZT2477" s="60"/>
      <c r="EZU2477" s="63"/>
      <c r="EZV2477" s="61"/>
      <c r="EZW2477" s="54"/>
      <c r="EZX2477" s="54"/>
      <c r="EZY2477" s="60"/>
      <c r="EZZ2477" s="60"/>
      <c r="FAA2477" s="60"/>
      <c r="FAB2477" s="60"/>
      <c r="FAC2477" s="63"/>
      <c r="FAD2477" s="61"/>
      <c r="FAE2477" s="54"/>
      <c r="FAF2477" s="54"/>
      <c r="FAG2477" s="60"/>
      <c r="FAH2477" s="60"/>
      <c r="FAI2477" s="60"/>
      <c r="FAJ2477" s="60"/>
      <c r="FAK2477" s="63"/>
      <c r="FAL2477" s="61"/>
      <c r="FAM2477" s="54"/>
      <c r="FAN2477" s="54"/>
      <c r="FAO2477" s="60"/>
      <c r="FAP2477" s="60"/>
      <c r="FAQ2477" s="60"/>
      <c r="FAR2477" s="60"/>
      <c r="FAS2477" s="63"/>
      <c r="FAT2477" s="61"/>
      <c r="FAU2477" s="54"/>
      <c r="FAV2477" s="54"/>
      <c r="FAW2477" s="60"/>
      <c r="FAX2477" s="60"/>
      <c r="FAY2477" s="60"/>
      <c r="FAZ2477" s="60"/>
      <c r="FBA2477" s="63"/>
      <c r="FBB2477" s="61"/>
      <c r="FBC2477" s="54"/>
      <c r="FBD2477" s="54"/>
      <c r="FBE2477" s="60"/>
      <c r="FBF2477" s="60"/>
      <c r="FBG2477" s="60"/>
      <c r="FBH2477" s="60"/>
      <c r="FBI2477" s="63"/>
      <c r="FBJ2477" s="61"/>
      <c r="FBK2477" s="54"/>
      <c r="FBL2477" s="54"/>
      <c r="FBM2477" s="60"/>
      <c r="FBN2477" s="60"/>
      <c r="FBO2477" s="60"/>
      <c r="FBP2477" s="60"/>
      <c r="FBQ2477" s="63"/>
      <c r="FBR2477" s="61"/>
      <c r="FBS2477" s="54"/>
      <c r="FBT2477" s="54"/>
      <c r="FBU2477" s="60"/>
      <c r="FBV2477" s="60"/>
      <c r="FBW2477" s="60"/>
      <c r="FBX2477" s="60"/>
      <c r="FBY2477" s="63"/>
      <c r="FBZ2477" s="61"/>
      <c r="FCA2477" s="54"/>
      <c r="FCB2477" s="54"/>
      <c r="FCC2477" s="60"/>
      <c r="FCD2477" s="60"/>
      <c r="FCE2477" s="60"/>
      <c r="FCF2477" s="60"/>
      <c r="FCG2477" s="63"/>
      <c r="FCH2477" s="61"/>
      <c r="FCI2477" s="54"/>
      <c r="FCJ2477" s="54"/>
      <c r="FCK2477" s="60"/>
      <c r="FCL2477" s="60"/>
      <c r="FCM2477" s="60"/>
      <c r="FCN2477" s="60"/>
      <c r="FCO2477" s="63"/>
      <c r="FCP2477" s="61"/>
      <c r="FCQ2477" s="54"/>
      <c r="FCR2477" s="54"/>
      <c r="FCS2477" s="60"/>
      <c r="FCT2477" s="60"/>
      <c r="FCU2477" s="60"/>
      <c r="FCV2477" s="60"/>
      <c r="FCW2477" s="63"/>
      <c r="FCX2477" s="61"/>
      <c r="FCY2477" s="54"/>
      <c r="FCZ2477" s="54"/>
      <c r="FDA2477" s="60"/>
      <c r="FDB2477" s="60"/>
      <c r="FDC2477" s="60"/>
      <c r="FDD2477" s="60"/>
      <c r="FDE2477" s="63"/>
      <c r="FDF2477" s="61"/>
      <c r="FDG2477" s="54"/>
      <c r="FDH2477" s="54"/>
      <c r="FDI2477" s="60"/>
      <c r="FDJ2477" s="60"/>
      <c r="FDK2477" s="60"/>
      <c r="FDL2477" s="60"/>
      <c r="FDM2477" s="63"/>
      <c r="FDN2477" s="61"/>
      <c r="FDO2477" s="54"/>
      <c r="FDP2477" s="54"/>
      <c r="FDQ2477" s="60"/>
      <c r="FDR2477" s="60"/>
      <c r="FDS2477" s="60"/>
      <c r="FDT2477" s="60"/>
      <c r="FDU2477" s="63"/>
      <c r="FDV2477" s="61"/>
      <c r="FDW2477" s="54"/>
      <c r="FDX2477" s="54"/>
      <c r="FDY2477" s="60"/>
      <c r="FDZ2477" s="60"/>
      <c r="FEA2477" s="60"/>
      <c r="FEB2477" s="60"/>
      <c r="FEC2477" s="63"/>
      <c r="FED2477" s="61"/>
      <c r="FEE2477" s="54"/>
      <c r="FEF2477" s="54"/>
      <c r="FEG2477" s="60"/>
      <c r="FEH2477" s="60"/>
      <c r="FEI2477" s="60"/>
      <c r="FEJ2477" s="60"/>
      <c r="FEK2477" s="63"/>
      <c r="FEL2477" s="61"/>
      <c r="FEM2477" s="54"/>
      <c r="FEN2477" s="54"/>
      <c r="FEO2477" s="60"/>
      <c r="FEP2477" s="60"/>
      <c r="FEQ2477" s="60"/>
      <c r="FER2477" s="60"/>
      <c r="FES2477" s="63"/>
      <c r="FET2477" s="61"/>
      <c r="FEU2477" s="54"/>
      <c r="FEV2477" s="54"/>
      <c r="FEW2477" s="60"/>
      <c r="FEX2477" s="60"/>
      <c r="FEY2477" s="60"/>
      <c r="FEZ2477" s="60"/>
      <c r="FFA2477" s="63"/>
      <c r="FFB2477" s="61"/>
      <c r="FFC2477" s="54"/>
      <c r="FFD2477" s="54"/>
      <c r="FFE2477" s="60"/>
      <c r="FFF2477" s="60"/>
      <c r="FFG2477" s="60"/>
      <c r="FFH2477" s="60"/>
      <c r="FFI2477" s="63"/>
      <c r="FFJ2477" s="61"/>
      <c r="FFK2477" s="54"/>
      <c r="FFL2477" s="54"/>
      <c r="FFM2477" s="60"/>
      <c r="FFN2477" s="60"/>
      <c r="FFO2477" s="60"/>
      <c r="FFP2477" s="60"/>
      <c r="FFQ2477" s="63"/>
      <c r="FFR2477" s="61"/>
      <c r="FFS2477" s="54"/>
      <c r="FFT2477" s="54"/>
      <c r="FFU2477" s="60"/>
      <c r="FFV2477" s="60"/>
      <c r="FFW2477" s="60"/>
      <c r="FFX2477" s="60"/>
      <c r="FFY2477" s="63"/>
      <c r="FFZ2477" s="61"/>
      <c r="FGA2477" s="54"/>
      <c r="FGB2477" s="54"/>
      <c r="FGC2477" s="60"/>
      <c r="FGD2477" s="60"/>
      <c r="FGE2477" s="60"/>
      <c r="FGF2477" s="60"/>
      <c r="FGG2477" s="63"/>
      <c r="FGH2477" s="61"/>
      <c r="FGI2477" s="54"/>
      <c r="FGJ2477" s="54"/>
      <c r="FGK2477" s="60"/>
      <c r="FGL2477" s="60"/>
      <c r="FGM2477" s="60"/>
      <c r="FGN2477" s="60"/>
      <c r="FGO2477" s="63"/>
      <c r="FGP2477" s="61"/>
      <c r="FGQ2477" s="54"/>
      <c r="FGR2477" s="54"/>
      <c r="FGS2477" s="60"/>
      <c r="FGT2477" s="60"/>
      <c r="FGU2477" s="60"/>
      <c r="FGV2477" s="60"/>
      <c r="FGW2477" s="63"/>
      <c r="FGX2477" s="61"/>
      <c r="FGY2477" s="54"/>
      <c r="FGZ2477" s="54"/>
      <c r="FHA2477" s="60"/>
      <c r="FHB2477" s="60"/>
      <c r="FHC2477" s="60"/>
      <c r="FHD2477" s="60"/>
      <c r="FHE2477" s="63"/>
      <c r="FHF2477" s="61"/>
      <c r="FHG2477" s="54"/>
      <c r="FHH2477" s="54"/>
      <c r="FHI2477" s="60"/>
      <c r="FHJ2477" s="60"/>
      <c r="FHK2477" s="60"/>
      <c r="FHL2477" s="60"/>
      <c r="FHM2477" s="63"/>
      <c r="FHN2477" s="61"/>
      <c r="FHO2477" s="54"/>
      <c r="FHP2477" s="54"/>
      <c r="FHQ2477" s="60"/>
      <c r="FHR2477" s="60"/>
      <c r="FHS2477" s="60"/>
      <c r="FHT2477" s="60"/>
      <c r="FHU2477" s="63"/>
      <c r="FHV2477" s="61"/>
      <c r="FHW2477" s="54"/>
      <c r="FHX2477" s="54"/>
      <c r="FHY2477" s="60"/>
      <c r="FHZ2477" s="60"/>
      <c r="FIA2477" s="60"/>
      <c r="FIB2477" s="60"/>
      <c r="FIC2477" s="63"/>
      <c r="FID2477" s="61"/>
      <c r="FIE2477" s="54"/>
      <c r="FIF2477" s="54"/>
      <c r="FIG2477" s="60"/>
      <c r="FIH2477" s="60"/>
      <c r="FII2477" s="60"/>
      <c r="FIJ2477" s="60"/>
      <c r="FIK2477" s="63"/>
      <c r="FIL2477" s="61"/>
      <c r="FIM2477" s="54"/>
      <c r="FIN2477" s="54"/>
      <c r="FIO2477" s="60"/>
      <c r="FIP2477" s="60"/>
      <c r="FIQ2477" s="60"/>
      <c r="FIR2477" s="60"/>
      <c r="FIS2477" s="63"/>
      <c r="FIT2477" s="61"/>
      <c r="FIU2477" s="54"/>
      <c r="FIV2477" s="54"/>
      <c r="FIW2477" s="60"/>
      <c r="FIX2477" s="60"/>
      <c r="FIY2477" s="60"/>
      <c r="FIZ2477" s="60"/>
      <c r="FJA2477" s="63"/>
      <c r="FJB2477" s="61"/>
      <c r="FJC2477" s="54"/>
      <c r="FJD2477" s="54"/>
      <c r="FJE2477" s="60"/>
      <c r="FJF2477" s="60"/>
      <c r="FJG2477" s="60"/>
      <c r="FJH2477" s="60"/>
      <c r="FJI2477" s="63"/>
      <c r="FJJ2477" s="61"/>
      <c r="FJK2477" s="54"/>
      <c r="FJL2477" s="54"/>
      <c r="FJM2477" s="60"/>
      <c r="FJN2477" s="60"/>
      <c r="FJO2477" s="60"/>
      <c r="FJP2477" s="60"/>
      <c r="FJQ2477" s="63"/>
      <c r="FJR2477" s="61"/>
      <c r="FJS2477" s="54"/>
      <c r="FJT2477" s="54"/>
      <c r="FJU2477" s="60"/>
      <c r="FJV2477" s="60"/>
      <c r="FJW2477" s="60"/>
      <c r="FJX2477" s="60"/>
      <c r="FJY2477" s="63"/>
      <c r="FJZ2477" s="61"/>
      <c r="FKA2477" s="54"/>
      <c r="FKB2477" s="54"/>
      <c r="FKC2477" s="60"/>
      <c r="FKD2477" s="60"/>
      <c r="FKE2477" s="60"/>
      <c r="FKF2477" s="60"/>
      <c r="FKG2477" s="63"/>
      <c r="FKH2477" s="61"/>
      <c r="FKI2477" s="54"/>
      <c r="FKJ2477" s="54"/>
      <c r="FKK2477" s="60"/>
      <c r="FKL2477" s="60"/>
      <c r="FKM2477" s="60"/>
      <c r="FKN2477" s="60"/>
      <c r="FKO2477" s="63"/>
      <c r="FKP2477" s="61"/>
      <c r="FKQ2477" s="54"/>
      <c r="FKR2477" s="54"/>
      <c r="FKS2477" s="60"/>
      <c r="FKT2477" s="60"/>
      <c r="FKU2477" s="60"/>
      <c r="FKV2477" s="60"/>
      <c r="FKW2477" s="63"/>
      <c r="FKX2477" s="61"/>
      <c r="FKY2477" s="54"/>
      <c r="FKZ2477" s="54"/>
      <c r="FLA2477" s="60"/>
      <c r="FLB2477" s="60"/>
      <c r="FLC2477" s="60"/>
      <c r="FLD2477" s="60"/>
      <c r="FLE2477" s="63"/>
      <c r="FLF2477" s="61"/>
      <c r="FLG2477" s="54"/>
      <c r="FLH2477" s="54"/>
      <c r="FLI2477" s="60"/>
      <c r="FLJ2477" s="60"/>
      <c r="FLK2477" s="60"/>
      <c r="FLL2477" s="60"/>
      <c r="FLM2477" s="63"/>
      <c r="FLN2477" s="61"/>
      <c r="FLO2477" s="54"/>
      <c r="FLP2477" s="54"/>
      <c r="FLQ2477" s="60"/>
      <c r="FLR2477" s="60"/>
      <c r="FLS2477" s="60"/>
      <c r="FLT2477" s="60"/>
      <c r="FLU2477" s="63"/>
      <c r="FLV2477" s="61"/>
      <c r="FLW2477" s="54"/>
      <c r="FLX2477" s="54"/>
      <c r="FLY2477" s="60"/>
      <c r="FLZ2477" s="60"/>
      <c r="FMA2477" s="60"/>
      <c r="FMB2477" s="60"/>
      <c r="FMC2477" s="63"/>
      <c r="FMD2477" s="61"/>
      <c r="FME2477" s="54"/>
      <c r="FMF2477" s="54"/>
      <c r="FMG2477" s="60"/>
      <c r="FMH2477" s="60"/>
      <c r="FMI2477" s="60"/>
      <c r="FMJ2477" s="60"/>
      <c r="FMK2477" s="63"/>
      <c r="FML2477" s="61"/>
      <c r="FMM2477" s="54"/>
      <c r="FMN2477" s="54"/>
      <c r="FMO2477" s="60"/>
      <c r="FMP2477" s="60"/>
      <c r="FMQ2477" s="60"/>
      <c r="FMR2477" s="60"/>
      <c r="FMS2477" s="63"/>
      <c r="FMT2477" s="61"/>
      <c r="FMU2477" s="54"/>
      <c r="FMV2477" s="54"/>
      <c r="FMW2477" s="60"/>
      <c r="FMX2477" s="60"/>
      <c r="FMY2477" s="60"/>
      <c r="FMZ2477" s="60"/>
      <c r="FNA2477" s="63"/>
      <c r="FNB2477" s="61"/>
      <c r="FNC2477" s="54"/>
      <c r="FND2477" s="54"/>
      <c r="FNE2477" s="60"/>
      <c r="FNF2477" s="60"/>
      <c r="FNG2477" s="60"/>
      <c r="FNH2477" s="60"/>
      <c r="FNI2477" s="63"/>
      <c r="FNJ2477" s="61"/>
      <c r="FNK2477" s="54"/>
      <c r="FNL2477" s="54"/>
      <c r="FNM2477" s="60"/>
      <c r="FNN2477" s="60"/>
      <c r="FNO2477" s="60"/>
      <c r="FNP2477" s="60"/>
      <c r="FNQ2477" s="63"/>
      <c r="FNR2477" s="61"/>
      <c r="FNS2477" s="54"/>
      <c r="FNT2477" s="54"/>
      <c r="FNU2477" s="60"/>
      <c r="FNV2477" s="60"/>
      <c r="FNW2477" s="60"/>
      <c r="FNX2477" s="60"/>
      <c r="FNY2477" s="63"/>
      <c r="FNZ2477" s="61"/>
      <c r="FOA2477" s="54"/>
      <c r="FOB2477" s="54"/>
      <c r="FOC2477" s="60"/>
      <c r="FOD2477" s="60"/>
      <c r="FOE2477" s="60"/>
      <c r="FOF2477" s="60"/>
      <c r="FOG2477" s="63"/>
      <c r="FOH2477" s="61"/>
      <c r="FOI2477" s="54"/>
      <c r="FOJ2477" s="54"/>
      <c r="FOK2477" s="60"/>
      <c r="FOL2477" s="60"/>
      <c r="FOM2477" s="60"/>
      <c r="FON2477" s="60"/>
      <c r="FOO2477" s="63"/>
      <c r="FOP2477" s="61"/>
      <c r="FOQ2477" s="54"/>
      <c r="FOR2477" s="54"/>
      <c r="FOS2477" s="60"/>
      <c r="FOT2477" s="60"/>
      <c r="FOU2477" s="60"/>
      <c r="FOV2477" s="60"/>
      <c r="FOW2477" s="63"/>
      <c r="FOX2477" s="61"/>
      <c r="FOY2477" s="54"/>
      <c r="FOZ2477" s="54"/>
      <c r="FPA2477" s="60"/>
      <c r="FPB2477" s="60"/>
      <c r="FPC2477" s="60"/>
      <c r="FPD2477" s="60"/>
      <c r="FPE2477" s="63"/>
      <c r="FPF2477" s="61"/>
      <c r="FPG2477" s="54"/>
      <c r="FPH2477" s="54"/>
      <c r="FPI2477" s="60"/>
      <c r="FPJ2477" s="60"/>
      <c r="FPK2477" s="60"/>
      <c r="FPL2477" s="60"/>
      <c r="FPM2477" s="63"/>
      <c r="FPN2477" s="61"/>
      <c r="FPO2477" s="54"/>
      <c r="FPP2477" s="54"/>
      <c r="FPQ2477" s="60"/>
      <c r="FPR2477" s="60"/>
      <c r="FPS2477" s="60"/>
      <c r="FPT2477" s="60"/>
      <c r="FPU2477" s="63"/>
      <c r="FPV2477" s="61"/>
      <c r="FPW2477" s="54"/>
      <c r="FPX2477" s="54"/>
      <c r="FPY2477" s="60"/>
      <c r="FPZ2477" s="60"/>
      <c r="FQA2477" s="60"/>
      <c r="FQB2477" s="60"/>
      <c r="FQC2477" s="63"/>
      <c r="FQD2477" s="61"/>
      <c r="FQE2477" s="54"/>
      <c r="FQF2477" s="54"/>
      <c r="FQG2477" s="60"/>
      <c r="FQH2477" s="60"/>
      <c r="FQI2477" s="60"/>
      <c r="FQJ2477" s="60"/>
      <c r="FQK2477" s="63"/>
      <c r="FQL2477" s="61"/>
      <c r="FQM2477" s="54"/>
      <c r="FQN2477" s="54"/>
      <c r="FQO2477" s="60"/>
      <c r="FQP2477" s="60"/>
      <c r="FQQ2477" s="60"/>
      <c r="FQR2477" s="60"/>
      <c r="FQS2477" s="63"/>
      <c r="FQT2477" s="61"/>
      <c r="FQU2477" s="54"/>
      <c r="FQV2477" s="54"/>
      <c r="FQW2477" s="60"/>
      <c r="FQX2477" s="60"/>
      <c r="FQY2477" s="60"/>
      <c r="FQZ2477" s="60"/>
      <c r="FRA2477" s="63"/>
      <c r="FRB2477" s="61"/>
      <c r="FRC2477" s="54"/>
      <c r="FRD2477" s="54"/>
      <c r="FRE2477" s="60"/>
      <c r="FRF2477" s="60"/>
      <c r="FRG2477" s="60"/>
      <c r="FRH2477" s="60"/>
      <c r="FRI2477" s="63"/>
      <c r="FRJ2477" s="61"/>
      <c r="FRK2477" s="54"/>
      <c r="FRL2477" s="54"/>
      <c r="FRM2477" s="60"/>
      <c r="FRN2477" s="60"/>
      <c r="FRO2477" s="60"/>
      <c r="FRP2477" s="60"/>
      <c r="FRQ2477" s="63"/>
      <c r="FRR2477" s="61"/>
      <c r="FRS2477" s="54"/>
      <c r="FRT2477" s="54"/>
      <c r="FRU2477" s="60"/>
      <c r="FRV2477" s="60"/>
      <c r="FRW2477" s="60"/>
      <c r="FRX2477" s="60"/>
      <c r="FRY2477" s="63"/>
      <c r="FRZ2477" s="61"/>
      <c r="FSA2477" s="54"/>
      <c r="FSB2477" s="54"/>
      <c r="FSC2477" s="60"/>
      <c r="FSD2477" s="60"/>
      <c r="FSE2477" s="60"/>
      <c r="FSF2477" s="60"/>
      <c r="FSG2477" s="63"/>
      <c r="FSH2477" s="61"/>
      <c r="FSI2477" s="54"/>
      <c r="FSJ2477" s="54"/>
      <c r="FSK2477" s="60"/>
      <c r="FSL2477" s="60"/>
      <c r="FSM2477" s="60"/>
      <c r="FSN2477" s="60"/>
      <c r="FSO2477" s="63"/>
      <c r="FSP2477" s="61"/>
      <c r="FSQ2477" s="54"/>
      <c r="FSR2477" s="54"/>
      <c r="FSS2477" s="60"/>
      <c r="FST2477" s="60"/>
      <c r="FSU2477" s="60"/>
      <c r="FSV2477" s="60"/>
      <c r="FSW2477" s="63"/>
      <c r="FSX2477" s="61"/>
      <c r="FSY2477" s="54"/>
      <c r="FSZ2477" s="54"/>
      <c r="FTA2477" s="60"/>
      <c r="FTB2477" s="60"/>
      <c r="FTC2477" s="60"/>
      <c r="FTD2477" s="60"/>
      <c r="FTE2477" s="63"/>
      <c r="FTF2477" s="61"/>
      <c r="FTG2477" s="54"/>
      <c r="FTH2477" s="54"/>
      <c r="FTI2477" s="60"/>
      <c r="FTJ2477" s="60"/>
      <c r="FTK2477" s="60"/>
      <c r="FTL2477" s="60"/>
      <c r="FTM2477" s="63"/>
      <c r="FTN2477" s="61"/>
      <c r="FTO2477" s="54"/>
      <c r="FTP2477" s="54"/>
      <c r="FTQ2477" s="60"/>
      <c r="FTR2477" s="60"/>
      <c r="FTS2477" s="60"/>
      <c r="FTT2477" s="60"/>
      <c r="FTU2477" s="63"/>
      <c r="FTV2477" s="61"/>
      <c r="FTW2477" s="54"/>
      <c r="FTX2477" s="54"/>
      <c r="FTY2477" s="60"/>
      <c r="FTZ2477" s="60"/>
      <c r="FUA2477" s="60"/>
      <c r="FUB2477" s="60"/>
      <c r="FUC2477" s="63"/>
      <c r="FUD2477" s="61"/>
      <c r="FUE2477" s="54"/>
      <c r="FUF2477" s="54"/>
      <c r="FUG2477" s="60"/>
      <c r="FUH2477" s="60"/>
      <c r="FUI2477" s="60"/>
      <c r="FUJ2477" s="60"/>
      <c r="FUK2477" s="63"/>
      <c r="FUL2477" s="61"/>
      <c r="FUM2477" s="54"/>
      <c r="FUN2477" s="54"/>
      <c r="FUO2477" s="60"/>
      <c r="FUP2477" s="60"/>
      <c r="FUQ2477" s="60"/>
      <c r="FUR2477" s="60"/>
      <c r="FUS2477" s="63"/>
      <c r="FUT2477" s="61"/>
      <c r="FUU2477" s="54"/>
      <c r="FUV2477" s="54"/>
      <c r="FUW2477" s="60"/>
      <c r="FUX2477" s="60"/>
      <c r="FUY2477" s="60"/>
      <c r="FUZ2477" s="60"/>
      <c r="FVA2477" s="63"/>
      <c r="FVB2477" s="61"/>
      <c r="FVC2477" s="54"/>
      <c r="FVD2477" s="54"/>
      <c r="FVE2477" s="60"/>
      <c r="FVF2477" s="60"/>
      <c r="FVG2477" s="60"/>
      <c r="FVH2477" s="60"/>
      <c r="FVI2477" s="63"/>
      <c r="FVJ2477" s="61"/>
      <c r="FVK2477" s="54"/>
      <c r="FVL2477" s="54"/>
      <c r="FVM2477" s="60"/>
      <c r="FVN2477" s="60"/>
      <c r="FVO2477" s="60"/>
      <c r="FVP2477" s="60"/>
      <c r="FVQ2477" s="63"/>
      <c r="FVR2477" s="61"/>
      <c r="FVS2477" s="54"/>
      <c r="FVT2477" s="54"/>
      <c r="FVU2477" s="60"/>
      <c r="FVV2477" s="60"/>
      <c r="FVW2477" s="60"/>
      <c r="FVX2477" s="60"/>
      <c r="FVY2477" s="63"/>
      <c r="FVZ2477" s="61"/>
      <c r="FWA2477" s="54"/>
      <c r="FWB2477" s="54"/>
      <c r="FWC2477" s="60"/>
      <c r="FWD2477" s="60"/>
      <c r="FWE2477" s="60"/>
      <c r="FWF2477" s="60"/>
      <c r="FWG2477" s="63"/>
      <c r="FWH2477" s="61"/>
      <c r="FWI2477" s="54"/>
      <c r="FWJ2477" s="54"/>
      <c r="FWK2477" s="60"/>
      <c r="FWL2477" s="60"/>
      <c r="FWM2477" s="60"/>
      <c r="FWN2477" s="60"/>
      <c r="FWO2477" s="63"/>
      <c r="FWP2477" s="61"/>
      <c r="FWQ2477" s="54"/>
      <c r="FWR2477" s="54"/>
      <c r="FWS2477" s="60"/>
      <c r="FWT2477" s="60"/>
      <c r="FWU2477" s="60"/>
      <c r="FWV2477" s="60"/>
      <c r="FWW2477" s="63"/>
      <c r="FWX2477" s="61"/>
      <c r="FWY2477" s="54"/>
      <c r="FWZ2477" s="54"/>
      <c r="FXA2477" s="60"/>
      <c r="FXB2477" s="60"/>
      <c r="FXC2477" s="60"/>
      <c r="FXD2477" s="60"/>
      <c r="FXE2477" s="63"/>
      <c r="FXF2477" s="61"/>
      <c r="FXG2477" s="54"/>
      <c r="FXH2477" s="54"/>
      <c r="FXI2477" s="60"/>
      <c r="FXJ2477" s="60"/>
      <c r="FXK2477" s="60"/>
      <c r="FXL2477" s="60"/>
      <c r="FXM2477" s="63"/>
      <c r="FXN2477" s="61"/>
      <c r="FXO2477" s="54"/>
      <c r="FXP2477" s="54"/>
      <c r="FXQ2477" s="60"/>
      <c r="FXR2477" s="60"/>
      <c r="FXS2477" s="60"/>
      <c r="FXT2477" s="60"/>
      <c r="FXU2477" s="63"/>
      <c r="FXV2477" s="61"/>
      <c r="FXW2477" s="54"/>
      <c r="FXX2477" s="54"/>
      <c r="FXY2477" s="60"/>
      <c r="FXZ2477" s="60"/>
      <c r="FYA2477" s="60"/>
      <c r="FYB2477" s="60"/>
      <c r="FYC2477" s="63"/>
      <c r="FYD2477" s="61"/>
      <c r="FYE2477" s="54"/>
      <c r="FYF2477" s="54"/>
      <c r="FYG2477" s="60"/>
      <c r="FYH2477" s="60"/>
      <c r="FYI2477" s="60"/>
      <c r="FYJ2477" s="60"/>
      <c r="FYK2477" s="63"/>
      <c r="FYL2477" s="61"/>
      <c r="FYM2477" s="54"/>
      <c r="FYN2477" s="54"/>
      <c r="FYO2477" s="60"/>
      <c r="FYP2477" s="60"/>
      <c r="FYQ2477" s="60"/>
      <c r="FYR2477" s="60"/>
      <c r="FYS2477" s="63"/>
      <c r="FYT2477" s="61"/>
      <c r="FYU2477" s="54"/>
      <c r="FYV2477" s="54"/>
      <c r="FYW2477" s="60"/>
      <c r="FYX2477" s="60"/>
      <c r="FYY2477" s="60"/>
      <c r="FYZ2477" s="60"/>
      <c r="FZA2477" s="63"/>
      <c r="FZB2477" s="61"/>
      <c r="FZC2477" s="54"/>
      <c r="FZD2477" s="54"/>
      <c r="FZE2477" s="60"/>
      <c r="FZF2477" s="60"/>
      <c r="FZG2477" s="60"/>
      <c r="FZH2477" s="60"/>
      <c r="FZI2477" s="63"/>
      <c r="FZJ2477" s="61"/>
      <c r="FZK2477" s="54"/>
      <c r="FZL2477" s="54"/>
      <c r="FZM2477" s="60"/>
      <c r="FZN2477" s="60"/>
      <c r="FZO2477" s="60"/>
      <c r="FZP2477" s="60"/>
      <c r="FZQ2477" s="63"/>
      <c r="FZR2477" s="61"/>
      <c r="FZS2477" s="54"/>
      <c r="FZT2477" s="54"/>
      <c r="FZU2477" s="60"/>
      <c r="FZV2477" s="60"/>
      <c r="FZW2477" s="60"/>
      <c r="FZX2477" s="60"/>
      <c r="FZY2477" s="63"/>
      <c r="FZZ2477" s="61"/>
      <c r="GAA2477" s="54"/>
      <c r="GAB2477" s="54"/>
      <c r="GAC2477" s="60"/>
      <c r="GAD2477" s="60"/>
      <c r="GAE2477" s="60"/>
      <c r="GAF2477" s="60"/>
      <c r="GAG2477" s="63"/>
      <c r="GAH2477" s="61"/>
      <c r="GAI2477" s="54"/>
      <c r="GAJ2477" s="54"/>
      <c r="GAK2477" s="60"/>
      <c r="GAL2477" s="60"/>
      <c r="GAM2477" s="60"/>
      <c r="GAN2477" s="60"/>
      <c r="GAO2477" s="63"/>
      <c r="GAP2477" s="61"/>
      <c r="GAQ2477" s="54"/>
      <c r="GAR2477" s="54"/>
      <c r="GAS2477" s="60"/>
      <c r="GAT2477" s="60"/>
      <c r="GAU2477" s="60"/>
      <c r="GAV2477" s="60"/>
      <c r="GAW2477" s="63"/>
      <c r="GAX2477" s="61"/>
      <c r="GAY2477" s="54"/>
      <c r="GAZ2477" s="54"/>
      <c r="GBA2477" s="60"/>
      <c r="GBB2477" s="60"/>
      <c r="GBC2477" s="60"/>
      <c r="GBD2477" s="60"/>
      <c r="GBE2477" s="63"/>
      <c r="GBF2477" s="61"/>
      <c r="GBG2477" s="54"/>
      <c r="GBH2477" s="54"/>
      <c r="GBI2477" s="60"/>
      <c r="GBJ2477" s="60"/>
      <c r="GBK2477" s="60"/>
      <c r="GBL2477" s="60"/>
      <c r="GBM2477" s="63"/>
      <c r="GBN2477" s="61"/>
      <c r="GBO2477" s="54"/>
      <c r="GBP2477" s="54"/>
      <c r="GBQ2477" s="60"/>
      <c r="GBR2477" s="60"/>
      <c r="GBS2477" s="60"/>
      <c r="GBT2477" s="60"/>
      <c r="GBU2477" s="63"/>
      <c r="GBV2477" s="61"/>
      <c r="GBW2477" s="54"/>
      <c r="GBX2477" s="54"/>
      <c r="GBY2477" s="60"/>
      <c r="GBZ2477" s="60"/>
      <c r="GCA2477" s="60"/>
      <c r="GCB2477" s="60"/>
      <c r="GCC2477" s="63"/>
      <c r="GCD2477" s="61"/>
      <c r="GCE2477" s="54"/>
      <c r="GCF2477" s="54"/>
      <c r="GCG2477" s="60"/>
      <c r="GCH2477" s="60"/>
      <c r="GCI2477" s="60"/>
      <c r="GCJ2477" s="60"/>
      <c r="GCK2477" s="63"/>
      <c r="GCL2477" s="61"/>
      <c r="GCM2477" s="54"/>
      <c r="GCN2477" s="54"/>
      <c r="GCO2477" s="60"/>
      <c r="GCP2477" s="60"/>
      <c r="GCQ2477" s="60"/>
      <c r="GCR2477" s="60"/>
      <c r="GCS2477" s="63"/>
      <c r="GCT2477" s="61"/>
      <c r="GCU2477" s="54"/>
      <c r="GCV2477" s="54"/>
      <c r="GCW2477" s="60"/>
      <c r="GCX2477" s="60"/>
      <c r="GCY2477" s="60"/>
      <c r="GCZ2477" s="60"/>
      <c r="GDA2477" s="63"/>
      <c r="GDB2477" s="61"/>
      <c r="GDC2477" s="54"/>
      <c r="GDD2477" s="54"/>
      <c r="GDE2477" s="60"/>
      <c r="GDF2477" s="60"/>
      <c r="GDG2477" s="60"/>
      <c r="GDH2477" s="60"/>
      <c r="GDI2477" s="63"/>
      <c r="GDJ2477" s="61"/>
      <c r="GDK2477" s="54"/>
      <c r="GDL2477" s="54"/>
      <c r="GDM2477" s="60"/>
      <c r="GDN2477" s="60"/>
      <c r="GDO2477" s="60"/>
      <c r="GDP2477" s="60"/>
      <c r="GDQ2477" s="63"/>
      <c r="GDR2477" s="61"/>
      <c r="GDS2477" s="54"/>
      <c r="GDT2477" s="54"/>
      <c r="GDU2477" s="60"/>
      <c r="GDV2477" s="60"/>
      <c r="GDW2477" s="60"/>
      <c r="GDX2477" s="60"/>
      <c r="GDY2477" s="63"/>
      <c r="GDZ2477" s="61"/>
      <c r="GEA2477" s="54"/>
      <c r="GEB2477" s="54"/>
      <c r="GEC2477" s="60"/>
      <c r="GED2477" s="60"/>
      <c r="GEE2477" s="60"/>
      <c r="GEF2477" s="60"/>
      <c r="GEG2477" s="63"/>
      <c r="GEH2477" s="61"/>
      <c r="GEI2477" s="54"/>
      <c r="GEJ2477" s="54"/>
      <c r="GEK2477" s="60"/>
      <c r="GEL2477" s="60"/>
      <c r="GEM2477" s="60"/>
      <c r="GEN2477" s="60"/>
      <c r="GEO2477" s="63"/>
      <c r="GEP2477" s="61"/>
      <c r="GEQ2477" s="54"/>
      <c r="GER2477" s="54"/>
      <c r="GES2477" s="60"/>
      <c r="GET2477" s="60"/>
      <c r="GEU2477" s="60"/>
      <c r="GEV2477" s="60"/>
      <c r="GEW2477" s="63"/>
      <c r="GEX2477" s="61"/>
      <c r="GEY2477" s="54"/>
      <c r="GEZ2477" s="54"/>
      <c r="GFA2477" s="60"/>
      <c r="GFB2477" s="60"/>
      <c r="GFC2477" s="60"/>
      <c r="GFD2477" s="60"/>
      <c r="GFE2477" s="63"/>
      <c r="GFF2477" s="61"/>
      <c r="GFG2477" s="54"/>
      <c r="GFH2477" s="54"/>
      <c r="GFI2477" s="60"/>
      <c r="GFJ2477" s="60"/>
      <c r="GFK2477" s="60"/>
      <c r="GFL2477" s="60"/>
      <c r="GFM2477" s="63"/>
      <c r="GFN2477" s="61"/>
      <c r="GFO2477" s="54"/>
      <c r="GFP2477" s="54"/>
      <c r="GFQ2477" s="60"/>
      <c r="GFR2477" s="60"/>
      <c r="GFS2477" s="60"/>
      <c r="GFT2477" s="60"/>
      <c r="GFU2477" s="63"/>
      <c r="GFV2477" s="61"/>
      <c r="GFW2477" s="54"/>
      <c r="GFX2477" s="54"/>
      <c r="GFY2477" s="60"/>
      <c r="GFZ2477" s="60"/>
      <c r="GGA2477" s="60"/>
      <c r="GGB2477" s="60"/>
      <c r="GGC2477" s="63"/>
      <c r="GGD2477" s="61"/>
      <c r="GGE2477" s="54"/>
      <c r="GGF2477" s="54"/>
      <c r="GGG2477" s="60"/>
      <c r="GGH2477" s="60"/>
      <c r="GGI2477" s="60"/>
      <c r="GGJ2477" s="60"/>
      <c r="GGK2477" s="63"/>
      <c r="GGL2477" s="61"/>
      <c r="GGM2477" s="54"/>
      <c r="GGN2477" s="54"/>
      <c r="GGO2477" s="60"/>
      <c r="GGP2477" s="60"/>
      <c r="GGQ2477" s="60"/>
      <c r="GGR2477" s="60"/>
      <c r="GGS2477" s="63"/>
      <c r="GGT2477" s="61"/>
      <c r="GGU2477" s="54"/>
      <c r="GGV2477" s="54"/>
      <c r="GGW2477" s="60"/>
      <c r="GGX2477" s="60"/>
      <c r="GGY2477" s="60"/>
      <c r="GGZ2477" s="60"/>
      <c r="GHA2477" s="63"/>
      <c r="GHB2477" s="61"/>
      <c r="GHC2477" s="54"/>
      <c r="GHD2477" s="54"/>
      <c r="GHE2477" s="60"/>
      <c r="GHF2477" s="60"/>
      <c r="GHG2477" s="60"/>
      <c r="GHH2477" s="60"/>
      <c r="GHI2477" s="63"/>
      <c r="GHJ2477" s="61"/>
      <c r="GHK2477" s="54"/>
      <c r="GHL2477" s="54"/>
      <c r="GHM2477" s="60"/>
      <c r="GHN2477" s="60"/>
      <c r="GHO2477" s="60"/>
      <c r="GHP2477" s="60"/>
      <c r="GHQ2477" s="63"/>
      <c r="GHR2477" s="61"/>
      <c r="GHS2477" s="54"/>
      <c r="GHT2477" s="54"/>
      <c r="GHU2477" s="60"/>
      <c r="GHV2477" s="60"/>
      <c r="GHW2477" s="60"/>
      <c r="GHX2477" s="60"/>
      <c r="GHY2477" s="63"/>
      <c r="GHZ2477" s="61"/>
      <c r="GIA2477" s="54"/>
      <c r="GIB2477" s="54"/>
      <c r="GIC2477" s="60"/>
      <c r="GID2477" s="60"/>
      <c r="GIE2477" s="60"/>
      <c r="GIF2477" s="60"/>
      <c r="GIG2477" s="63"/>
      <c r="GIH2477" s="61"/>
      <c r="GII2477" s="54"/>
      <c r="GIJ2477" s="54"/>
      <c r="GIK2477" s="60"/>
      <c r="GIL2477" s="60"/>
      <c r="GIM2477" s="60"/>
      <c r="GIN2477" s="60"/>
      <c r="GIO2477" s="63"/>
      <c r="GIP2477" s="61"/>
      <c r="GIQ2477" s="54"/>
      <c r="GIR2477" s="54"/>
      <c r="GIS2477" s="60"/>
      <c r="GIT2477" s="60"/>
      <c r="GIU2477" s="60"/>
      <c r="GIV2477" s="60"/>
      <c r="GIW2477" s="63"/>
      <c r="GIX2477" s="61"/>
      <c r="GIY2477" s="54"/>
      <c r="GIZ2477" s="54"/>
      <c r="GJA2477" s="60"/>
      <c r="GJB2477" s="60"/>
      <c r="GJC2477" s="60"/>
      <c r="GJD2477" s="60"/>
      <c r="GJE2477" s="63"/>
      <c r="GJF2477" s="61"/>
      <c r="GJG2477" s="54"/>
      <c r="GJH2477" s="54"/>
      <c r="GJI2477" s="60"/>
      <c r="GJJ2477" s="60"/>
      <c r="GJK2477" s="60"/>
      <c r="GJL2477" s="60"/>
      <c r="GJM2477" s="63"/>
      <c r="GJN2477" s="61"/>
      <c r="GJO2477" s="54"/>
      <c r="GJP2477" s="54"/>
      <c r="GJQ2477" s="60"/>
      <c r="GJR2477" s="60"/>
      <c r="GJS2477" s="60"/>
      <c r="GJT2477" s="60"/>
      <c r="GJU2477" s="63"/>
      <c r="GJV2477" s="61"/>
      <c r="GJW2477" s="54"/>
      <c r="GJX2477" s="54"/>
      <c r="GJY2477" s="60"/>
      <c r="GJZ2477" s="60"/>
      <c r="GKA2477" s="60"/>
      <c r="GKB2477" s="60"/>
      <c r="GKC2477" s="63"/>
      <c r="GKD2477" s="61"/>
      <c r="GKE2477" s="54"/>
      <c r="GKF2477" s="54"/>
      <c r="GKG2477" s="60"/>
      <c r="GKH2477" s="60"/>
      <c r="GKI2477" s="60"/>
      <c r="GKJ2477" s="60"/>
      <c r="GKK2477" s="63"/>
      <c r="GKL2477" s="61"/>
      <c r="GKM2477" s="54"/>
      <c r="GKN2477" s="54"/>
      <c r="GKO2477" s="60"/>
      <c r="GKP2477" s="60"/>
      <c r="GKQ2477" s="60"/>
      <c r="GKR2477" s="60"/>
      <c r="GKS2477" s="63"/>
      <c r="GKT2477" s="61"/>
      <c r="GKU2477" s="54"/>
      <c r="GKV2477" s="54"/>
      <c r="GKW2477" s="60"/>
      <c r="GKX2477" s="60"/>
      <c r="GKY2477" s="60"/>
      <c r="GKZ2477" s="60"/>
      <c r="GLA2477" s="63"/>
      <c r="GLB2477" s="61"/>
      <c r="GLC2477" s="54"/>
      <c r="GLD2477" s="54"/>
      <c r="GLE2477" s="60"/>
      <c r="GLF2477" s="60"/>
      <c r="GLG2477" s="60"/>
      <c r="GLH2477" s="60"/>
      <c r="GLI2477" s="63"/>
      <c r="GLJ2477" s="61"/>
      <c r="GLK2477" s="54"/>
      <c r="GLL2477" s="54"/>
      <c r="GLM2477" s="60"/>
      <c r="GLN2477" s="60"/>
      <c r="GLO2477" s="60"/>
      <c r="GLP2477" s="60"/>
      <c r="GLQ2477" s="63"/>
      <c r="GLR2477" s="61"/>
      <c r="GLS2477" s="54"/>
      <c r="GLT2477" s="54"/>
      <c r="GLU2477" s="60"/>
      <c r="GLV2477" s="60"/>
      <c r="GLW2477" s="60"/>
      <c r="GLX2477" s="60"/>
      <c r="GLY2477" s="63"/>
      <c r="GLZ2477" s="61"/>
      <c r="GMA2477" s="54"/>
      <c r="GMB2477" s="54"/>
      <c r="GMC2477" s="60"/>
      <c r="GMD2477" s="60"/>
      <c r="GME2477" s="60"/>
      <c r="GMF2477" s="60"/>
      <c r="GMG2477" s="63"/>
      <c r="GMH2477" s="61"/>
      <c r="GMI2477" s="54"/>
      <c r="GMJ2477" s="54"/>
      <c r="GMK2477" s="60"/>
      <c r="GML2477" s="60"/>
      <c r="GMM2477" s="60"/>
      <c r="GMN2477" s="60"/>
      <c r="GMO2477" s="63"/>
      <c r="GMP2477" s="61"/>
      <c r="GMQ2477" s="54"/>
      <c r="GMR2477" s="54"/>
      <c r="GMS2477" s="60"/>
      <c r="GMT2477" s="60"/>
      <c r="GMU2477" s="60"/>
      <c r="GMV2477" s="60"/>
      <c r="GMW2477" s="63"/>
      <c r="GMX2477" s="61"/>
      <c r="GMY2477" s="54"/>
      <c r="GMZ2477" s="54"/>
      <c r="GNA2477" s="60"/>
      <c r="GNB2477" s="60"/>
      <c r="GNC2477" s="60"/>
      <c r="GND2477" s="60"/>
      <c r="GNE2477" s="63"/>
      <c r="GNF2477" s="61"/>
      <c r="GNG2477" s="54"/>
      <c r="GNH2477" s="54"/>
      <c r="GNI2477" s="60"/>
      <c r="GNJ2477" s="60"/>
      <c r="GNK2477" s="60"/>
      <c r="GNL2477" s="60"/>
      <c r="GNM2477" s="63"/>
      <c r="GNN2477" s="61"/>
      <c r="GNO2477" s="54"/>
      <c r="GNP2477" s="54"/>
      <c r="GNQ2477" s="60"/>
      <c r="GNR2477" s="60"/>
      <c r="GNS2477" s="60"/>
      <c r="GNT2477" s="60"/>
      <c r="GNU2477" s="63"/>
      <c r="GNV2477" s="61"/>
      <c r="GNW2477" s="54"/>
      <c r="GNX2477" s="54"/>
      <c r="GNY2477" s="60"/>
      <c r="GNZ2477" s="60"/>
      <c r="GOA2477" s="60"/>
      <c r="GOB2477" s="60"/>
      <c r="GOC2477" s="63"/>
      <c r="GOD2477" s="61"/>
      <c r="GOE2477" s="54"/>
      <c r="GOF2477" s="54"/>
      <c r="GOG2477" s="60"/>
      <c r="GOH2477" s="60"/>
      <c r="GOI2477" s="60"/>
      <c r="GOJ2477" s="60"/>
      <c r="GOK2477" s="63"/>
      <c r="GOL2477" s="61"/>
      <c r="GOM2477" s="54"/>
      <c r="GON2477" s="54"/>
      <c r="GOO2477" s="60"/>
      <c r="GOP2477" s="60"/>
      <c r="GOQ2477" s="60"/>
      <c r="GOR2477" s="60"/>
      <c r="GOS2477" s="63"/>
      <c r="GOT2477" s="61"/>
      <c r="GOU2477" s="54"/>
      <c r="GOV2477" s="54"/>
      <c r="GOW2477" s="60"/>
      <c r="GOX2477" s="60"/>
      <c r="GOY2477" s="60"/>
      <c r="GOZ2477" s="60"/>
      <c r="GPA2477" s="63"/>
      <c r="GPB2477" s="61"/>
      <c r="GPC2477" s="54"/>
      <c r="GPD2477" s="54"/>
      <c r="GPE2477" s="60"/>
      <c r="GPF2477" s="60"/>
      <c r="GPG2477" s="60"/>
      <c r="GPH2477" s="60"/>
      <c r="GPI2477" s="63"/>
      <c r="GPJ2477" s="61"/>
      <c r="GPK2477" s="54"/>
      <c r="GPL2477" s="54"/>
      <c r="GPM2477" s="60"/>
      <c r="GPN2477" s="60"/>
      <c r="GPO2477" s="60"/>
      <c r="GPP2477" s="60"/>
      <c r="GPQ2477" s="63"/>
      <c r="GPR2477" s="61"/>
      <c r="GPS2477" s="54"/>
      <c r="GPT2477" s="54"/>
      <c r="GPU2477" s="60"/>
      <c r="GPV2477" s="60"/>
      <c r="GPW2477" s="60"/>
      <c r="GPX2477" s="60"/>
      <c r="GPY2477" s="63"/>
      <c r="GPZ2477" s="61"/>
      <c r="GQA2477" s="54"/>
      <c r="GQB2477" s="54"/>
      <c r="GQC2477" s="60"/>
      <c r="GQD2477" s="60"/>
      <c r="GQE2477" s="60"/>
      <c r="GQF2477" s="60"/>
      <c r="GQG2477" s="63"/>
      <c r="GQH2477" s="61"/>
      <c r="GQI2477" s="54"/>
      <c r="GQJ2477" s="54"/>
      <c r="GQK2477" s="60"/>
      <c r="GQL2477" s="60"/>
      <c r="GQM2477" s="60"/>
      <c r="GQN2477" s="60"/>
      <c r="GQO2477" s="63"/>
      <c r="GQP2477" s="61"/>
      <c r="GQQ2477" s="54"/>
      <c r="GQR2477" s="54"/>
      <c r="GQS2477" s="60"/>
      <c r="GQT2477" s="60"/>
      <c r="GQU2477" s="60"/>
      <c r="GQV2477" s="60"/>
      <c r="GQW2477" s="63"/>
      <c r="GQX2477" s="61"/>
      <c r="GQY2477" s="54"/>
      <c r="GQZ2477" s="54"/>
      <c r="GRA2477" s="60"/>
      <c r="GRB2477" s="60"/>
      <c r="GRC2477" s="60"/>
      <c r="GRD2477" s="60"/>
      <c r="GRE2477" s="63"/>
      <c r="GRF2477" s="61"/>
      <c r="GRG2477" s="54"/>
      <c r="GRH2477" s="54"/>
      <c r="GRI2477" s="60"/>
      <c r="GRJ2477" s="60"/>
      <c r="GRK2477" s="60"/>
      <c r="GRL2477" s="60"/>
      <c r="GRM2477" s="63"/>
      <c r="GRN2477" s="61"/>
      <c r="GRO2477" s="54"/>
      <c r="GRP2477" s="54"/>
      <c r="GRQ2477" s="60"/>
      <c r="GRR2477" s="60"/>
      <c r="GRS2477" s="60"/>
      <c r="GRT2477" s="60"/>
      <c r="GRU2477" s="63"/>
      <c r="GRV2477" s="61"/>
      <c r="GRW2477" s="54"/>
      <c r="GRX2477" s="54"/>
      <c r="GRY2477" s="60"/>
      <c r="GRZ2477" s="60"/>
      <c r="GSA2477" s="60"/>
      <c r="GSB2477" s="60"/>
      <c r="GSC2477" s="63"/>
      <c r="GSD2477" s="61"/>
      <c r="GSE2477" s="54"/>
      <c r="GSF2477" s="54"/>
      <c r="GSG2477" s="60"/>
      <c r="GSH2477" s="60"/>
      <c r="GSI2477" s="60"/>
      <c r="GSJ2477" s="60"/>
      <c r="GSK2477" s="63"/>
      <c r="GSL2477" s="61"/>
      <c r="GSM2477" s="54"/>
      <c r="GSN2477" s="54"/>
      <c r="GSO2477" s="60"/>
      <c r="GSP2477" s="60"/>
      <c r="GSQ2477" s="60"/>
      <c r="GSR2477" s="60"/>
      <c r="GSS2477" s="63"/>
      <c r="GST2477" s="61"/>
      <c r="GSU2477" s="54"/>
      <c r="GSV2477" s="54"/>
      <c r="GSW2477" s="60"/>
      <c r="GSX2477" s="60"/>
      <c r="GSY2477" s="60"/>
      <c r="GSZ2477" s="60"/>
      <c r="GTA2477" s="63"/>
      <c r="GTB2477" s="61"/>
      <c r="GTC2477" s="54"/>
      <c r="GTD2477" s="54"/>
      <c r="GTE2477" s="60"/>
      <c r="GTF2477" s="60"/>
      <c r="GTG2477" s="60"/>
      <c r="GTH2477" s="60"/>
      <c r="GTI2477" s="63"/>
      <c r="GTJ2477" s="61"/>
      <c r="GTK2477" s="54"/>
      <c r="GTL2477" s="54"/>
      <c r="GTM2477" s="60"/>
      <c r="GTN2477" s="60"/>
      <c r="GTO2477" s="60"/>
      <c r="GTP2477" s="60"/>
      <c r="GTQ2477" s="63"/>
      <c r="GTR2477" s="61"/>
      <c r="GTS2477" s="54"/>
      <c r="GTT2477" s="54"/>
      <c r="GTU2477" s="60"/>
      <c r="GTV2477" s="60"/>
      <c r="GTW2477" s="60"/>
      <c r="GTX2477" s="60"/>
      <c r="GTY2477" s="63"/>
      <c r="GTZ2477" s="61"/>
      <c r="GUA2477" s="54"/>
      <c r="GUB2477" s="54"/>
      <c r="GUC2477" s="60"/>
      <c r="GUD2477" s="60"/>
      <c r="GUE2477" s="60"/>
      <c r="GUF2477" s="60"/>
      <c r="GUG2477" s="63"/>
      <c r="GUH2477" s="61"/>
      <c r="GUI2477" s="54"/>
      <c r="GUJ2477" s="54"/>
      <c r="GUK2477" s="60"/>
      <c r="GUL2477" s="60"/>
      <c r="GUM2477" s="60"/>
      <c r="GUN2477" s="60"/>
      <c r="GUO2477" s="63"/>
      <c r="GUP2477" s="61"/>
      <c r="GUQ2477" s="54"/>
      <c r="GUR2477" s="54"/>
      <c r="GUS2477" s="60"/>
      <c r="GUT2477" s="60"/>
      <c r="GUU2477" s="60"/>
      <c r="GUV2477" s="60"/>
      <c r="GUW2477" s="63"/>
      <c r="GUX2477" s="61"/>
      <c r="GUY2477" s="54"/>
      <c r="GUZ2477" s="54"/>
      <c r="GVA2477" s="60"/>
      <c r="GVB2477" s="60"/>
      <c r="GVC2477" s="60"/>
      <c r="GVD2477" s="60"/>
      <c r="GVE2477" s="63"/>
      <c r="GVF2477" s="61"/>
      <c r="GVG2477" s="54"/>
      <c r="GVH2477" s="54"/>
      <c r="GVI2477" s="60"/>
      <c r="GVJ2477" s="60"/>
      <c r="GVK2477" s="60"/>
      <c r="GVL2477" s="60"/>
      <c r="GVM2477" s="63"/>
      <c r="GVN2477" s="61"/>
      <c r="GVO2477" s="54"/>
      <c r="GVP2477" s="54"/>
      <c r="GVQ2477" s="60"/>
      <c r="GVR2477" s="60"/>
      <c r="GVS2477" s="60"/>
      <c r="GVT2477" s="60"/>
      <c r="GVU2477" s="63"/>
      <c r="GVV2477" s="61"/>
      <c r="GVW2477" s="54"/>
      <c r="GVX2477" s="54"/>
      <c r="GVY2477" s="60"/>
      <c r="GVZ2477" s="60"/>
      <c r="GWA2477" s="60"/>
      <c r="GWB2477" s="60"/>
      <c r="GWC2477" s="63"/>
      <c r="GWD2477" s="61"/>
      <c r="GWE2477" s="54"/>
      <c r="GWF2477" s="54"/>
      <c r="GWG2477" s="60"/>
      <c r="GWH2477" s="60"/>
      <c r="GWI2477" s="60"/>
      <c r="GWJ2477" s="60"/>
      <c r="GWK2477" s="63"/>
      <c r="GWL2477" s="61"/>
      <c r="GWM2477" s="54"/>
      <c r="GWN2477" s="54"/>
      <c r="GWO2477" s="60"/>
      <c r="GWP2477" s="60"/>
      <c r="GWQ2477" s="60"/>
      <c r="GWR2477" s="60"/>
      <c r="GWS2477" s="63"/>
      <c r="GWT2477" s="61"/>
      <c r="GWU2477" s="54"/>
      <c r="GWV2477" s="54"/>
      <c r="GWW2477" s="60"/>
      <c r="GWX2477" s="60"/>
      <c r="GWY2477" s="60"/>
      <c r="GWZ2477" s="60"/>
      <c r="GXA2477" s="63"/>
      <c r="GXB2477" s="61"/>
      <c r="GXC2477" s="54"/>
      <c r="GXD2477" s="54"/>
      <c r="GXE2477" s="60"/>
      <c r="GXF2477" s="60"/>
      <c r="GXG2477" s="60"/>
      <c r="GXH2477" s="60"/>
      <c r="GXI2477" s="63"/>
      <c r="GXJ2477" s="61"/>
      <c r="GXK2477" s="54"/>
      <c r="GXL2477" s="54"/>
      <c r="GXM2477" s="60"/>
      <c r="GXN2477" s="60"/>
      <c r="GXO2477" s="60"/>
      <c r="GXP2477" s="60"/>
      <c r="GXQ2477" s="63"/>
      <c r="GXR2477" s="61"/>
      <c r="GXS2477" s="54"/>
      <c r="GXT2477" s="54"/>
      <c r="GXU2477" s="60"/>
      <c r="GXV2477" s="60"/>
      <c r="GXW2477" s="60"/>
      <c r="GXX2477" s="60"/>
      <c r="GXY2477" s="63"/>
      <c r="GXZ2477" s="61"/>
      <c r="GYA2477" s="54"/>
      <c r="GYB2477" s="54"/>
      <c r="GYC2477" s="60"/>
      <c r="GYD2477" s="60"/>
      <c r="GYE2477" s="60"/>
      <c r="GYF2477" s="60"/>
      <c r="GYG2477" s="63"/>
      <c r="GYH2477" s="61"/>
      <c r="GYI2477" s="54"/>
      <c r="GYJ2477" s="54"/>
      <c r="GYK2477" s="60"/>
      <c r="GYL2477" s="60"/>
      <c r="GYM2477" s="60"/>
      <c r="GYN2477" s="60"/>
      <c r="GYO2477" s="63"/>
      <c r="GYP2477" s="61"/>
      <c r="GYQ2477" s="54"/>
      <c r="GYR2477" s="54"/>
      <c r="GYS2477" s="60"/>
      <c r="GYT2477" s="60"/>
      <c r="GYU2477" s="60"/>
      <c r="GYV2477" s="60"/>
      <c r="GYW2477" s="63"/>
      <c r="GYX2477" s="61"/>
      <c r="GYY2477" s="54"/>
      <c r="GYZ2477" s="54"/>
      <c r="GZA2477" s="60"/>
      <c r="GZB2477" s="60"/>
      <c r="GZC2477" s="60"/>
      <c r="GZD2477" s="60"/>
      <c r="GZE2477" s="63"/>
      <c r="GZF2477" s="61"/>
      <c r="GZG2477" s="54"/>
      <c r="GZH2477" s="54"/>
      <c r="GZI2477" s="60"/>
      <c r="GZJ2477" s="60"/>
      <c r="GZK2477" s="60"/>
      <c r="GZL2477" s="60"/>
      <c r="GZM2477" s="63"/>
      <c r="GZN2477" s="61"/>
      <c r="GZO2477" s="54"/>
      <c r="GZP2477" s="54"/>
      <c r="GZQ2477" s="60"/>
      <c r="GZR2477" s="60"/>
      <c r="GZS2477" s="60"/>
      <c r="GZT2477" s="60"/>
      <c r="GZU2477" s="63"/>
      <c r="GZV2477" s="61"/>
      <c r="GZW2477" s="54"/>
      <c r="GZX2477" s="54"/>
      <c r="GZY2477" s="60"/>
      <c r="GZZ2477" s="60"/>
      <c r="HAA2477" s="60"/>
      <c r="HAB2477" s="60"/>
      <c r="HAC2477" s="63"/>
      <c r="HAD2477" s="61"/>
      <c r="HAE2477" s="54"/>
      <c r="HAF2477" s="54"/>
      <c r="HAG2477" s="60"/>
      <c r="HAH2477" s="60"/>
      <c r="HAI2477" s="60"/>
      <c r="HAJ2477" s="60"/>
      <c r="HAK2477" s="63"/>
      <c r="HAL2477" s="61"/>
      <c r="HAM2477" s="54"/>
      <c r="HAN2477" s="54"/>
      <c r="HAO2477" s="60"/>
      <c r="HAP2477" s="60"/>
      <c r="HAQ2477" s="60"/>
      <c r="HAR2477" s="60"/>
      <c r="HAS2477" s="63"/>
      <c r="HAT2477" s="61"/>
      <c r="HAU2477" s="54"/>
      <c r="HAV2477" s="54"/>
      <c r="HAW2477" s="60"/>
      <c r="HAX2477" s="60"/>
      <c r="HAY2477" s="60"/>
      <c r="HAZ2477" s="60"/>
      <c r="HBA2477" s="63"/>
      <c r="HBB2477" s="61"/>
      <c r="HBC2477" s="54"/>
      <c r="HBD2477" s="54"/>
      <c r="HBE2477" s="60"/>
      <c r="HBF2477" s="60"/>
      <c r="HBG2477" s="60"/>
      <c r="HBH2477" s="60"/>
      <c r="HBI2477" s="63"/>
      <c r="HBJ2477" s="61"/>
      <c r="HBK2477" s="54"/>
      <c r="HBL2477" s="54"/>
      <c r="HBM2477" s="60"/>
      <c r="HBN2477" s="60"/>
      <c r="HBO2477" s="60"/>
      <c r="HBP2477" s="60"/>
      <c r="HBQ2477" s="63"/>
      <c r="HBR2477" s="61"/>
      <c r="HBS2477" s="54"/>
      <c r="HBT2477" s="54"/>
      <c r="HBU2477" s="60"/>
      <c r="HBV2477" s="60"/>
      <c r="HBW2477" s="60"/>
      <c r="HBX2477" s="60"/>
      <c r="HBY2477" s="63"/>
      <c r="HBZ2477" s="61"/>
      <c r="HCA2477" s="54"/>
      <c r="HCB2477" s="54"/>
      <c r="HCC2477" s="60"/>
      <c r="HCD2477" s="60"/>
      <c r="HCE2477" s="60"/>
      <c r="HCF2477" s="60"/>
      <c r="HCG2477" s="63"/>
      <c r="HCH2477" s="61"/>
      <c r="HCI2477" s="54"/>
      <c r="HCJ2477" s="54"/>
      <c r="HCK2477" s="60"/>
      <c r="HCL2477" s="60"/>
      <c r="HCM2477" s="60"/>
      <c r="HCN2477" s="60"/>
      <c r="HCO2477" s="63"/>
      <c r="HCP2477" s="61"/>
      <c r="HCQ2477" s="54"/>
      <c r="HCR2477" s="54"/>
      <c r="HCS2477" s="60"/>
      <c r="HCT2477" s="60"/>
      <c r="HCU2477" s="60"/>
      <c r="HCV2477" s="60"/>
      <c r="HCW2477" s="63"/>
      <c r="HCX2477" s="61"/>
      <c r="HCY2477" s="54"/>
      <c r="HCZ2477" s="54"/>
      <c r="HDA2477" s="60"/>
      <c r="HDB2477" s="60"/>
      <c r="HDC2477" s="60"/>
      <c r="HDD2477" s="60"/>
      <c r="HDE2477" s="63"/>
      <c r="HDF2477" s="61"/>
      <c r="HDG2477" s="54"/>
      <c r="HDH2477" s="54"/>
      <c r="HDI2477" s="60"/>
      <c r="HDJ2477" s="60"/>
      <c r="HDK2477" s="60"/>
      <c r="HDL2477" s="60"/>
      <c r="HDM2477" s="63"/>
      <c r="HDN2477" s="61"/>
      <c r="HDO2477" s="54"/>
      <c r="HDP2477" s="54"/>
      <c r="HDQ2477" s="60"/>
      <c r="HDR2477" s="60"/>
      <c r="HDS2477" s="60"/>
      <c r="HDT2477" s="60"/>
      <c r="HDU2477" s="63"/>
      <c r="HDV2477" s="61"/>
      <c r="HDW2477" s="54"/>
      <c r="HDX2477" s="54"/>
      <c r="HDY2477" s="60"/>
      <c r="HDZ2477" s="60"/>
      <c r="HEA2477" s="60"/>
      <c r="HEB2477" s="60"/>
      <c r="HEC2477" s="63"/>
      <c r="HED2477" s="61"/>
      <c r="HEE2477" s="54"/>
      <c r="HEF2477" s="54"/>
      <c r="HEG2477" s="60"/>
      <c r="HEH2477" s="60"/>
      <c r="HEI2477" s="60"/>
      <c r="HEJ2477" s="60"/>
      <c r="HEK2477" s="63"/>
      <c r="HEL2477" s="61"/>
      <c r="HEM2477" s="54"/>
      <c r="HEN2477" s="54"/>
      <c r="HEO2477" s="60"/>
      <c r="HEP2477" s="60"/>
      <c r="HEQ2477" s="60"/>
      <c r="HER2477" s="60"/>
      <c r="HES2477" s="63"/>
      <c r="HET2477" s="61"/>
      <c r="HEU2477" s="54"/>
      <c r="HEV2477" s="54"/>
      <c r="HEW2477" s="60"/>
      <c r="HEX2477" s="60"/>
      <c r="HEY2477" s="60"/>
      <c r="HEZ2477" s="60"/>
      <c r="HFA2477" s="63"/>
      <c r="HFB2477" s="61"/>
      <c r="HFC2477" s="54"/>
      <c r="HFD2477" s="54"/>
      <c r="HFE2477" s="60"/>
      <c r="HFF2477" s="60"/>
      <c r="HFG2477" s="60"/>
      <c r="HFH2477" s="60"/>
      <c r="HFI2477" s="63"/>
      <c r="HFJ2477" s="61"/>
      <c r="HFK2477" s="54"/>
      <c r="HFL2477" s="54"/>
      <c r="HFM2477" s="60"/>
      <c r="HFN2477" s="60"/>
      <c r="HFO2477" s="60"/>
      <c r="HFP2477" s="60"/>
      <c r="HFQ2477" s="63"/>
      <c r="HFR2477" s="61"/>
      <c r="HFS2477" s="54"/>
      <c r="HFT2477" s="54"/>
      <c r="HFU2477" s="60"/>
      <c r="HFV2477" s="60"/>
      <c r="HFW2477" s="60"/>
      <c r="HFX2477" s="60"/>
      <c r="HFY2477" s="63"/>
      <c r="HFZ2477" s="61"/>
      <c r="HGA2477" s="54"/>
      <c r="HGB2477" s="54"/>
      <c r="HGC2477" s="60"/>
      <c r="HGD2477" s="60"/>
      <c r="HGE2477" s="60"/>
      <c r="HGF2477" s="60"/>
      <c r="HGG2477" s="63"/>
      <c r="HGH2477" s="61"/>
      <c r="HGI2477" s="54"/>
      <c r="HGJ2477" s="54"/>
      <c r="HGK2477" s="60"/>
      <c r="HGL2477" s="60"/>
      <c r="HGM2477" s="60"/>
      <c r="HGN2477" s="60"/>
      <c r="HGO2477" s="63"/>
      <c r="HGP2477" s="61"/>
      <c r="HGQ2477" s="54"/>
      <c r="HGR2477" s="54"/>
      <c r="HGS2477" s="60"/>
      <c r="HGT2477" s="60"/>
      <c r="HGU2477" s="60"/>
      <c r="HGV2477" s="60"/>
      <c r="HGW2477" s="63"/>
      <c r="HGX2477" s="61"/>
      <c r="HGY2477" s="54"/>
      <c r="HGZ2477" s="54"/>
      <c r="HHA2477" s="60"/>
      <c r="HHB2477" s="60"/>
      <c r="HHC2477" s="60"/>
      <c r="HHD2477" s="60"/>
      <c r="HHE2477" s="63"/>
      <c r="HHF2477" s="61"/>
      <c r="HHG2477" s="54"/>
      <c r="HHH2477" s="54"/>
      <c r="HHI2477" s="60"/>
      <c r="HHJ2477" s="60"/>
      <c r="HHK2477" s="60"/>
      <c r="HHL2477" s="60"/>
      <c r="HHM2477" s="63"/>
      <c r="HHN2477" s="61"/>
      <c r="HHO2477" s="54"/>
      <c r="HHP2477" s="54"/>
      <c r="HHQ2477" s="60"/>
      <c r="HHR2477" s="60"/>
      <c r="HHS2477" s="60"/>
      <c r="HHT2477" s="60"/>
      <c r="HHU2477" s="63"/>
      <c r="HHV2477" s="61"/>
      <c r="HHW2477" s="54"/>
      <c r="HHX2477" s="54"/>
      <c r="HHY2477" s="60"/>
      <c r="HHZ2477" s="60"/>
      <c r="HIA2477" s="60"/>
      <c r="HIB2477" s="60"/>
      <c r="HIC2477" s="63"/>
      <c r="HID2477" s="61"/>
      <c r="HIE2477" s="54"/>
      <c r="HIF2477" s="54"/>
      <c r="HIG2477" s="60"/>
      <c r="HIH2477" s="60"/>
      <c r="HII2477" s="60"/>
      <c r="HIJ2477" s="60"/>
      <c r="HIK2477" s="63"/>
      <c r="HIL2477" s="61"/>
      <c r="HIM2477" s="54"/>
      <c r="HIN2477" s="54"/>
      <c r="HIO2477" s="60"/>
      <c r="HIP2477" s="60"/>
      <c r="HIQ2477" s="60"/>
      <c r="HIR2477" s="60"/>
      <c r="HIS2477" s="63"/>
      <c r="HIT2477" s="61"/>
      <c r="HIU2477" s="54"/>
      <c r="HIV2477" s="54"/>
      <c r="HIW2477" s="60"/>
      <c r="HIX2477" s="60"/>
      <c r="HIY2477" s="60"/>
      <c r="HIZ2477" s="60"/>
      <c r="HJA2477" s="63"/>
      <c r="HJB2477" s="61"/>
      <c r="HJC2477" s="54"/>
      <c r="HJD2477" s="54"/>
      <c r="HJE2477" s="60"/>
      <c r="HJF2477" s="60"/>
      <c r="HJG2477" s="60"/>
      <c r="HJH2477" s="60"/>
      <c r="HJI2477" s="63"/>
      <c r="HJJ2477" s="61"/>
      <c r="HJK2477" s="54"/>
      <c r="HJL2477" s="54"/>
      <c r="HJM2477" s="60"/>
      <c r="HJN2477" s="60"/>
      <c r="HJO2477" s="60"/>
      <c r="HJP2477" s="60"/>
      <c r="HJQ2477" s="63"/>
      <c r="HJR2477" s="61"/>
      <c r="HJS2477" s="54"/>
      <c r="HJT2477" s="54"/>
      <c r="HJU2477" s="60"/>
      <c r="HJV2477" s="60"/>
      <c r="HJW2477" s="60"/>
      <c r="HJX2477" s="60"/>
      <c r="HJY2477" s="63"/>
      <c r="HJZ2477" s="61"/>
      <c r="HKA2477" s="54"/>
      <c r="HKB2477" s="54"/>
      <c r="HKC2477" s="60"/>
      <c r="HKD2477" s="60"/>
      <c r="HKE2477" s="60"/>
      <c r="HKF2477" s="60"/>
      <c r="HKG2477" s="63"/>
      <c r="HKH2477" s="61"/>
      <c r="HKI2477" s="54"/>
      <c r="HKJ2477" s="54"/>
      <c r="HKK2477" s="60"/>
      <c r="HKL2477" s="60"/>
      <c r="HKM2477" s="60"/>
      <c r="HKN2477" s="60"/>
      <c r="HKO2477" s="63"/>
      <c r="HKP2477" s="61"/>
      <c r="HKQ2477" s="54"/>
      <c r="HKR2477" s="54"/>
      <c r="HKS2477" s="60"/>
      <c r="HKT2477" s="60"/>
      <c r="HKU2477" s="60"/>
      <c r="HKV2477" s="60"/>
      <c r="HKW2477" s="63"/>
      <c r="HKX2477" s="61"/>
      <c r="HKY2477" s="54"/>
      <c r="HKZ2477" s="54"/>
      <c r="HLA2477" s="60"/>
      <c r="HLB2477" s="60"/>
      <c r="HLC2477" s="60"/>
      <c r="HLD2477" s="60"/>
      <c r="HLE2477" s="63"/>
      <c r="HLF2477" s="61"/>
      <c r="HLG2477" s="54"/>
      <c r="HLH2477" s="54"/>
      <c r="HLI2477" s="60"/>
      <c r="HLJ2477" s="60"/>
      <c r="HLK2477" s="60"/>
      <c r="HLL2477" s="60"/>
      <c r="HLM2477" s="63"/>
      <c r="HLN2477" s="61"/>
      <c r="HLO2477" s="54"/>
      <c r="HLP2477" s="54"/>
      <c r="HLQ2477" s="60"/>
      <c r="HLR2477" s="60"/>
      <c r="HLS2477" s="60"/>
      <c r="HLT2477" s="60"/>
      <c r="HLU2477" s="63"/>
      <c r="HLV2477" s="61"/>
      <c r="HLW2477" s="54"/>
      <c r="HLX2477" s="54"/>
      <c r="HLY2477" s="60"/>
      <c r="HLZ2477" s="60"/>
      <c r="HMA2477" s="60"/>
      <c r="HMB2477" s="60"/>
      <c r="HMC2477" s="63"/>
      <c r="HMD2477" s="61"/>
      <c r="HME2477" s="54"/>
      <c r="HMF2477" s="54"/>
      <c r="HMG2477" s="60"/>
      <c r="HMH2477" s="60"/>
      <c r="HMI2477" s="60"/>
      <c r="HMJ2477" s="60"/>
      <c r="HMK2477" s="63"/>
      <c r="HML2477" s="61"/>
      <c r="HMM2477" s="54"/>
      <c r="HMN2477" s="54"/>
      <c r="HMO2477" s="60"/>
      <c r="HMP2477" s="60"/>
      <c r="HMQ2477" s="60"/>
      <c r="HMR2477" s="60"/>
      <c r="HMS2477" s="63"/>
      <c r="HMT2477" s="61"/>
      <c r="HMU2477" s="54"/>
      <c r="HMV2477" s="54"/>
      <c r="HMW2477" s="60"/>
      <c r="HMX2477" s="60"/>
      <c r="HMY2477" s="60"/>
      <c r="HMZ2477" s="60"/>
      <c r="HNA2477" s="63"/>
      <c r="HNB2477" s="61"/>
      <c r="HNC2477" s="54"/>
      <c r="HND2477" s="54"/>
      <c r="HNE2477" s="60"/>
      <c r="HNF2477" s="60"/>
      <c r="HNG2477" s="60"/>
      <c r="HNH2477" s="60"/>
      <c r="HNI2477" s="63"/>
      <c r="HNJ2477" s="61"/>
      <c r="HNK2477" s="54"/>
      <c r="HNL2477" s="54"/>
      <c r="HNM2477" s="60"/>
      <c r="HNN2477" s="60"/>
      <c r="HNO2477" s="60"/>
      <c r="HNP2477" s="60"/>
      <c r="HNQ2477" s="63"/>
      <c r="HNR2477" s="61"/>
      <c r="HNS2477" s="54"/>
      <c r="HNT2477" s="54"/>
      <c r="HNU2477" s="60"/>
      <c r="HNV2477" s="60"/>
      <c r="HNW2477" s="60"/>
      <c r="HNX2477" s="60"/>
      <c r="HNY2477" s="63"/>
      <c r="HNZ2477" s="61"/>
      <c r="HOA2477" s="54"/>
      <c r="HOB2477" s="54"/>
      <c r="HOC2477" s="60"/>
      <c r="HOD2477" s="60"/>
      <c r="HOE2477" s="60"/>
      <c r="HOF2477" s="60"/>
      <c r="HOG2477" s="63"/>
      <c r="HOH2477" s="61"/>
      <c r="HOI2477" s="54"/>
      <c r="HOJ2477" s="54"/>
      <c r="HOK2477" s="60"/>
      <c r="HOL2477" s="60"/>
      <c r="HOM2477" s="60"/>
      <c r="HON2477" s="60"/>
      <c r="HOO2477" s="63"/>
      <c r="HOP2477" s="61"/>
      <c r="HOQ2477" s="54"/>
      <c r="HOR2477" s="54"/>
      <c r="HOS2477" s="60"/>
      <c r="HOT2477" s="60"/>
      <c r="HOU2477" s="60"/>
      <c r="HOV2477" s="60"/>
      <c r="HOW2477" s="63"/>
      <c r="HOX2477" s="61"/>
      <c r="HOY2477" s="54"/>
      <c r="HOZ2477" s="54"/>
      <c r="HPA2477" s="60"/>
      <c r="HPB2477" s="60"/>
      <c r="HPC2477" s="60"/>
      <c r="HPD2477" s="60"/>
      <c r="HPE2477" s="63"/>
      <c r="HPF2477" s="61"/>
      <c r="HPG2477" s="54"/>
      <c r="HPH2477" s="54"/>
      <c r="HPI2477" s="60"/>
      <c r="HPJ2477" s="60"/>
      <c r="HPK2477" s="60"/>
      <c r="HPL2477" s="60"/>
      <c r="HPM2477" s="63"/>
      <c r="HPN2477" s="61"/>
      <c r="HPO2477" s="54"/>
      <c r="HPP2477" s="54"/>
      <c r="HPQ2477" s="60"/>
      <c r="HPR2477" s="60"/>
      <c r="HPS2477" s="60"/>
      <c r="HPT2477" s="60"/>
      <c r="HPU2477" s="63"/>
      <c r="HPV2477" s="61"/>
      <c r="HPW2477" s="54"/>
      <c r="HPX2477" s="54"/>
      <c r="HPY2477" s="60"/>
      <c r="HPZ2477" s="60"/>
      <c r="HQA2477" s="60"/>
      <c r="HQB2477" s="60"/>
      <c r="HQC2477" s="63"/>
      <c r="HQD2477" s="61"/>
      <c r="HQE2477" s="54"/>
      <c r="HQF2477" s="54"/>
      <c r="HQG2477" s="60"/>
      <c r="HQH2477" s="60"/>
      <c r="HQI2477" s="60"/>
      <c r="HQJ2477" s="60"/>
      <c r="HQK2477" s="63"/>
      <c r="HQL2477" s="61"/>
      <c r="HQM2477" s="54"/>
      <c r="HQN2477" s="54"/>
      <c r="HQO2477" s="60"/>
      <c r="HQP2477" s="60"/>
      <c r="HQQ2477" s="60"/>
      <c r="HQR2477" s="60"/>
      <c r="HQS2477" s="63"/>
      <c r="HQT2477" s="61"/>
      <c r="HQU2477" s="54"/>
      <c r="HQV2477" s="54"/>
      <c r="HQW2477" s="60"/>
      <c r="HQX2477" s="60"/>
      <c r="HQY2477" s="60"/>
      <c r="HQZ2477" s="60"/>
      <c r="HRA2477" s="63"/>
      <c r="HRB2477" s="61"/>
      <c r="HRC2477" s="54"/>
      <c r="HRD2477" s="54"/>
      <c r="HRE2477" s="60"/>
      <c r="HRF2477" s="60"/>
      <c r="HRG2477" s="60"/>
      <c r="HRH2477" s="60"/>
      <c r="HRI2477" s="63"/>
      <c r="HRJ2477" s="61"/>
      <c r="HRK2477" s="54"/>
      <c r="HRL2477" s="54"/>
      <c r="HRM2477" s="60"/>
      <c r="HRN2477" s="60"/>
      <c r="HRO2477" s="60"/>
      <c r="HRP2477" s="60"/>
      <c r="HRQ2477" s="63"/>
      <c r="HRR2477" s="61"/>
      <c r="HRS2477" s="54"/>
      <c r="HRT2477" s="54"/>
      <c r="HRU2477" s="60"/>
      <c r="HRV2477" s="60"/>
      <c r="HRW2477" s="60"/>
      <c r="HRX2477" s="60"/>
      <c r="HRY2477" s="63"/>
      <c r="HRZ2477" s="61"/>
      <c r="HSA2477" s="54"/>
      <c r="HSB2477" s="54"/>
      <c r="HSC2477" s="60"/>
      <c r="HSD2477" s="60"/>
      <c r="HSE2477" s="60"/>
      <c r="HSF2477" s="60"/>
      <c r="HSG2477" s="63"/>
      <c r="HSH2477" s="61"/>
      <c r="HSI2477" s="54"/>
      <c r="HSJ2477" s="54"/>
      <c r="HSK2477" s="60"/>
      <c r="HSL2477" s="60"/>
      <c r="HSM2477" s="60"/>
      <c r="HSN2477" s="60"/>
      <c r="HSO2477" s="63"/>
      <c r="HSP2477" s="61"/>
      <c r="HSQ2477" s="54"/>
      <c r="HSR2477" s="54"/>
      <c r="HSS2477" s="60"/>
      <c r="HST2477" s="60"/>
      <c r="HSU2477" s="60"/>
      <c r="HSV2477" s="60"/>
      <c r="HSW2477" s="63"/>
      <c r="HSX2477" s="61"/>
      <c r="HSY2477" s="54"/>
      <c r="HSZ2477" s="54"/>
      <c r="HTA2477" s="60"/>
      <c r="HTB2477" s="60"/>
      <c r="HTC2477" s="60"/>
      <c r="HTD2477" s="60"/>
      <c r="HTE2477" s="63"/>
      <c r="HTF2477" s="61"/>
      <c r="HTG2477" s="54"/>
      <c r="HTH2477" s="54"/>
      <c r="HTI2477" s="60"/>
      <c r="HTJ2477" s="60"/>
      <c r="HTK2477" s="60"/>
      <c r="HTL2477" s="60"/>
      <c r="HTM2477" s="63"/>
      <c r="HTN2477" s="61"/>
      <c r="HTO2477" s="54"/>
      <c r="HTP2477" s="54"/>
      <c r="HTQ2477" s="60"/>
      <c r="HTR2477" s="60"/>
      <c r="HTS2477" s="60"/>
      <c r="HTT2477" s="60"/>
      <c r="HTU2477" s="63"/>
      <c r="HTV2477" s="61"/>
      <c r="HTW2477" s="54"/>
      <c r="HTX2477" s="54"/>
      <c r="HTY2477" s="60"/>
      <c r="HTZ2477" s="60"/>
      <c r="HUA2477" s="60"/>
      <c r="HUB2477" s="60"/>
      <c r="HUC2477" s="63"/>
      <c r="HUD2477" s="61"/>
      <c r="HUE2477" s="54"/>
      <c r="HUF2477" s="54"/>
      <c r="HUG2477" s="60"/>
      <c r="HUH2477" s="60"/>
      <c r="HUI2477" s="60"/>
      <c r="HUJ2477" s="60"/>
      <c r="HUK2477" s="63"/>
      <c r="HUL2477" s="61"/>
      <c r="HUM2477" s="54"/>
      <c r="HUN2477" s="54"/>
      <c r="HUO2477" s="60"/>
      <c r="HUP2477" s="60"/>
      <c r="HUQ2477" s="60"/>
      <c r="HUR2477" s="60"/>
      <c r="HUS2477" s="63"/>
      <c r="HUT2477" s="61"/>
      <c r="HUU2477" s="54"/>
      <c r="HUV2477" s="54"/>
      <c r="HUW2477" s="60"/>
      <c r="HUX2477" s="60"/>
      <c r="HUY2477" s="60"/>
      <c r="HUZ2477" s="60"/>
      <c r="HVA2477" s="63"/>
      <c r="HVB2477" s="61"/>
      <c r="HVC2477" s="54"/>
      <c r="HVD2477" s="54"/>
      <c r="HVE2477" s="60"/>
      <c r="HVF2477" s="60"/>
      <c r="HVG2477" s="60"/>
      <c r="HVH2477" s="60"/>
      <c r="HVI2477" s="63"/>
      <c r="HVJ2477" s="61"/>
      <c r="HVK2477" s="54"/>
      <c r="HVL2477" s="54"/>
      <c r="HVM2477" s="60"/>
      <c r="HVN2477" s="60"/>
      <c r="HVO2477" s="60"/>
      <c r="HVP2477" s="60"/>
      <c r="HVQ2477" s="63"/>
      <c r="HVR2477" s="61"/>
      <c r="HVS2477" s="54"/>
      <c r="HVT2477" s="54"/>
      <c r="HVU2477" s="60"/>
      <c r="HVV2477" s="60"/>
      <c r="HVW2477" s="60"/>
      <c r="HVX2477" s="60"/>
      <c r="HVY2477" s="63"/>
      <c r="HVZ2477" s="61"/>
      <c r="HWA2477" s="54"/>
      <c r="HWB2477" s="54"/>
      <c r="HWC2477" s="60"/>
      <c r="HWD2477" s="60"/>
      <c r="HWE2477" s="60"/>
      <c r="HWF2477" s="60"/>
      <c r="HWG2477" s="63"/>
      <c r="HWH2477" s="61"/>
      <c r="HWI2477" s="54"/>
      <c r="HWJ2477" s="54"/>
      <c r="HWK2477" s="60"/>
      <c r="HWL2477" s="60"/>
      <c r="HWM2477" s="60"/>
      <c r="HWN2477" s="60"/>
      <c r="HWO2477" s="63"/>
      <c r="HWP2477" s="61"/>
      <c r="HWQ2477" s="54"/>
      <c r="HWR2477" s="54"/>
      <c r="HWS2477" s="60"/>
      <c r="HWT2477" s="60"/>
      <c r="HWU2477" s="60"/>
      <c r="HWV2477" s="60"/>
      <c r="HWW2477" s="63"/>
      <c r="HWX2477" s="61"/>
      <c r="HWY2477" s="54"/>
      <c r="HWZ2477" s="54"/>
      <c r="HXA2477" s="60"/>
      <c r="HXB2477" s="60"/>
      <c r="HXC2477" s="60"/>
      <c r="HXD2477" s="60"/>
      <c r="HXE2477" s="63"/>
      <c r="HXF2477" s="61"/>
      <c r="HXG2477" s="54"/>
      <c r="HXH2477" s="54"/>
      <c r="HXI2477" s="60"/>
      <c r="HXJ2477" s="60"/>
      <c r="HXK2477" s="60"/>
      <c r="HXL2477" s="60"/>
      <c r="HXM2477" s="63"/>
      <c r="HXN2477" s="61"/>
      <c r="HXO2477" s="54"/>
      <c r="HXP2477" s="54"/>
      <c r="HXQ2477" s="60"/>
      <c r="HXR2477" s="60"/>
      <c r="HXS2477" s="60"/>
      <c r="HXT2477" s="60"/>
      <c r="HXU2477" s="63"/>
      <c r="HXV2477" s="61"/>
      <c r="HXW2477" s="54"/>
      <c r="HXX2477" s="54"/>
      <c r="HXY2477" s="60"/>
      <c r="HXZ2477" s="60"/>
      <c r="HYA2477" s="60"/>
      <c r="HYB2477" s="60"/>
      <c r="HYC2477" s="63"/>
      <c r="HYD2477" s="61"/>
      <c r="HYE2477" s="54"/>
      <c r="HYF2477" s="54"/>
      <c r="HYG2477" s="60"/>
      <c r="HYH2477" s="60"/>
      <c r="HYI2477" s="60"/>
      <c r="HYJ2477" s="60"/>
      <c r="HYK2477" s="63"/>
      <c r="HYL2477" s="61"/>
      <c r="HYM2477" s="54"/>
      <c r="HYN2477" s="54"/>
      <c r="HYO2477" s="60"/>
      <c r="HYP2477" s="60"/>
      <c r="HYQ2477" s="60"/>
      <c r="HYR2477" s="60"/>
      <c r="HYS2477" s="63"/>
      <c r="HYT2477" s="61"/>
      <c r="HYU2477" s="54"/>
      <c r="HYV2477" s="54"/>
      <c r="HYW2477" s="60"/>
      <c r="HYX2477" s="60"/>
      <c r="HYY2477" s="60"/>
      <c r="HYZ2477" s="60"/>
      <c r="HZA2477" s="63"/>
      <c r="HZB2477" s="61"/>
      <c r="HZC2477" s="54"/>
      <c r="HZD2477" s="54"/>
      <c r="HZE2477" s="60"/>
      <c r="HZF2477" s="60"/>
      <c r="HZG2477" s="60"/>
      <c r="HZH2477" s="60"/>
      <c r="HZI2477" s="63"/>
      <c r="HZJ2477" s="61"/>
      <c r="HZK2477" s="54"/>
      <c r="HZL2477" s="54"/>
      <c r="HZM2477" s="60"/>
      <c r="HZN2477" s="60"/>
      <c r="HZO2477" s="60"/>
      <c r="HZP2477" s="60"/>
      <c r="HZQ2477" s="63"/>
      <c r="HZR2477" s="61"/>
      <c r="HZS2477" s="54"/>
      <c r="HZT2477" s="54"/>
      <c r="HZU2477" s="60"/>
      <c r="HZV2477" s="60"/>
      <c r="HZW2477" s="60"/>
      <c r="HZX2477" s="60"/>
      <c r="HZY2477" s="63"/>
      <c r="HZZ2477" s="61"/>
      <c r="IAA2477" s="54"/>
      <c r="IAB2477" s="54"/>
      <c r="IAC2477" s="60"/>
      <c r="IAD2477" s="60"/>
      <c r="IAE2477" s="60"/>
      <c r="IAF2477" s="60"/>
      <c r="IAG2477" s="63"/>
      <c r="IAH2477" s="61"/>
      <c r="IAI2477" s="54"/>
      <c r="IAJ2477" s="54"/>
      <c r="IAK2477" s="60"/>
      <c r="IAL2477" s="60"/>
      <c r="IAM2477" s="60"/>
      <c r="IAN2477" s="60"/>
      <c r="IAO2477" s="63"/>
      <c r="IAP2477" s="61"/>
      <c r="IAQ2477" s="54"/>
      <c r="IAR2477" s="54"/>
      <c r="IAS2477" s="60"/>
      <c r="IAT2477" s="60"/>
      <c r="IAU2477" s="60"/>
      <c r="IAV2477" s="60"/>
      <c r="IAW2477" s="63"/>
      <c r="IAX2477" s="61"/>
      <c r="IAY2477" s="54"/>
      <c r="IAZ2477" s="54"/>
      <c r="IBA2477" s="60"/>
      <c r="IBB2477" s="60"/>
      <c r="IBC2477" s="60"/>
      <c r="IBD2477" s="60"/>
      <c r="IBE2477" s="63"/>
      <c r="IBF2477" s="61"/>
      <c r="IBG2477" s="54"/>
      <c r="IBH2477" s="54"/>
      <c r="IBI2477" s="60"/>
      <c r="IBJ2477" s="60"/>
      <c r="IBK2477" s="60"/>
      <c r="IBL2477" s="60"/>
      <c r="IBM2477" s="63"/>
      <c r="IBN2477" s="61"/>
      <c r="IBO2477" s="54"/>
      <c r="IBP2477" s="54"/>
      <c r="IBQ2477" s="60"/>
      <c r="IBR2477" s="60"/>
      <c r="IBS2477" s="60"/>
      <c r="IBT2477" s="60"/>
      <c r="IBU2477" s="63"/>
      <c r="IBV2477" s="61"/>
      <c r="IBW2477" s="54"/>
      <c r="IBX2477" s="54"/>
      <c r="IBY2477" s="60"/>
      <c r="IBZ2477" s="60"/>
      <c r="ICA2477" s="60"/>
      <c r="ICB2477" s="60"/>
      <c r="ICC2477" s="63"/>
      <c r="ICD2477" s="61"/>
      <c r="ICE2477" s="54"/>
      <c r="ICF2477" s="54"/>
      <c r="ICG2477" s="60"/>
      <c r="ICH2477" s="60"/>
      <c r="ICI2477" s="60"/>
      <c r="ICJ2477" s="60"/>
      <c r="ICK2477" s="63"/>
      <c r="ICL2477" s="61"/>
      <c r="ICM2477" s="54"/>
      <c r="ICN2477" s="54"/>
      <c r="ICO2477" s="60"/>
      <c r="ICP2477" s="60"/>
      <c r="ICQ2477" s="60"/>
      <c r="ICR2477" s="60"/>
      <c r="ICS2477" s="63"/>
      <c r="ICT2477" s="61"/>
      <c r="ICU2477" s="54"/>
      <c r="ICV2477" s="54"/>
      <c r="ICW2477" s="60"/>
      <c r="ICX2477" s="60"/>
      <c r="ICY2477" s="60"/>
      <c r="ICZ2477" s="60"/>
      <c r="IDA2477" s="63"/>
      <c r="IDB2477" s="61"/>
      <c r="IDC2477" s="54"/>
      <c r="IDD2477" s="54"/>
      <c r="IDE2477" s="60"/>
      <c r="IDF2477" s="60"/>
      <c r="IDG2477" s="60"/>
      <c r="IDH2477" s="60"/>
      <c r="IDI2477" s="63"/>
      <c r="IDJ2477" s="61"/>
      <c r="IDK2477" s="54"/>
      <c r="IDL2477" s="54"/>
      <c r="IDM2477" s="60"/>
      <c r="IDN2477" s="60"/>
      <c r="IDO2477" s="60"/>
      <c r="IDP2477" s="60"/>
      <c r="IDQ2477" s="63"/>
      <c r="IDR2477" s="61"/>
      <c r="IDS2477" s="54"/>
      <c r="IDT2477" s="54"/>
      <c r="IDU2477" s="60"/>
      <c r="IDV2477" s="60"/>
      <c r="IDW2477" s="60"/>
      <c r="IDX2477" s="60"/>
      <c r="IDY2477" s="63"/>
      <c r="IDZ2477" s="61"/>
      <c r="IEA2477" s="54"/>
      <c r="IEB2477" s="54"/>
      <c r="IEC2477" s="60"/>
      <c r="IED2477" s="60"/>
      <c r="IEE2477" s="60"/>
      <c r="IEF2477" s="60"/>
      <c r="IEG2477" s="63"/>
      <c r="IEH2477" s="61"/>
      <c r="IEI2477" s="54"/>
      <c r="IEJ2477" s="54"/>
      <c r="IEK2477" s="60"/>
      <c r="IEL2477" s="60"/>
      <c r="IEM2477" s="60"/>
      <c r="IEN2477" s="60"/>
      <c r="IEO2477" s="63"/>
      <c r="IEP2477" s="61"/>
      <c r="IEQ2477" s="54"/>
      <c r="IER2477" s="54"/>
      <c r="IES2477" s="60"/>
      <c r="IET2477" s="60"/>
      <c r="IEU2477" s="60"/>
      <c r="IEV2477" s="60"/>
      <c r="IEW2477" s="63"/>
      <c r="IEX2477" s="61"/>
      <c r="IEY2477" s="54"/>
      <c r="IEZ2477" s="54"/>
      <c r="IFA2477" s="60"/>
      <c r="IFB2477" s="60"/>
      <c r="IFC2477" s="60"/>
      <c r="IFD2477" s="60"/>
      <c r="IFE2477" s="63"/>
      <c r="IFF2477" s="61"/>
      <c r="IFG2477" s="54"/>
      <c r="IFH2477" s="54"/>
      <c r="IFI2477" s="60"/>
      <c r="IFJ2477" s="60"/>
      <c r="IFK2477" s="60"/>
      <c r="IFL2477" s="60"/>
      <c r="IFM2477" s="63"/>
      <c r="IFN2477" s="61"/>
      <c r="IFO2477" s="54"/>
      <c r="IFP2477" s="54"/>
      <c r="IFQ2477" s="60"/>
      <c r="IFR2477" s="60"/>
      <c r="IFS2477" s="60"/>
      <c r="IFT2477" s="60"/>
      <c r="IFU2477" s="63"/>
      <c r="IFV2477" s="61"/>
      <c r="IFW2477" s="54"/>
      <c r="IFX2477" s="54"/>
      <c r="IFY2477" s="60"/>
      <c r="IFZ2477" s="60"/>
      <c r="IGA2477" s="60"/>
      <c r="IGB2477" s="60"/>
      <c r="IGC2477" s="63"/>
      <c r="IGD2477" s="61"/>
      <c r="IGE2477" s="54"/>
      <c r="IGF2477" s="54"/>
      <c r="IGG2477" s="60"/>
      <c r="IGH2477" s="60"/>
      <c r="IGI2477" s="60"/>
      <c r="IGJ2477" s="60"/>
      <c r="IGK2477" s="63"/>
      <c r="IGL2477" s="61"/>
      <c r="IGM2477" s="54"/>
      <c r="IGN2477" s="54"/>
      <c r="IGO2477" s="60"/>
      <c r="IGP2477" s="60"/>
      <c r="IGQ2477" s="60"/>
      <c r="IGR2477" s="60"/>
      <c r="IGS2477" s="63"/>
      <c r="IGT2477" s="61"/>
      <c r="IGU2477" s="54"/>
      <c r="IGV2477" s="54"/>
      <c r="IGW2477" s="60"/>
      <c r="IGX2477" s="60"/>
      <c r="IGY2477" s="60"/>
      <c r="IGZ2477" s="60"/>
      <c r="IHA2477" s="63"/>
      <c r="IHB2477" s="61"/>
      <c r="IHC2477" s="54"/>
      <c r="IHD2477" s="54"/>
      <c r="IHE2477" s="60"/>
      <c r="IHF2477" s="60"/>
      <c r="IHG2477" s="60"/>
      <c r="IHH2477" s="60"/>
      <c r="IHI2477" s="63"/>
      <c r="IHJ2477" s="61"/>
      <c r="IHK2477" s="54"/>
      <c r="IHL2477" s="54"/>
      <c r="IHM2477" s="60"/>
      <c r="IHN2477" s="60"/>
      <c r="IHO2477" s="60"/>
      <c r="IHP2477" s="60"/>
      <c r="IHQ2477" s="63"/>
      <c r="IHR2477" s="61"/>
      <c r="IHS2477" s="54"/>
      <c r="IHT2477" s="54"/>
      <c r="IHU2477" s="60"/>
      <c r="IHV2477" s="60"/>
      <c r="IHW2477" s="60"/>
      <c r="IHX2477" s="60"/>
      <c r="IHY2477" s="63"/>
      <c r="IHZ2477" s="61"/>
      <c r="IIA2477" s="54"/>
      <c r="IIB2477" s="54"/>
      <c r="IIC2477" s="60"/>
      <c r="IID2477" s="60"/>
      <c r="IIE2477" s="60"/>
      <c r="IIF2477" s="60"/>
      <c r="IIG2477" s="63"/>
      <c r="IIH2477" s="61"/>
      <c r="III2477" s="54"/>
      <c r="IIJ2477" s="54"/>
      <c r="IIK2477" s="60"/>
      <c r="IIL2477" s="60"/>
      <c r="IIM2477" s="60"/>
      <c r="IIN2477" s="60"/>
      <c r="IIO2477" s="63"/>
      <c r="IIP2477" s="61"/>
      <c r="IIQ2477" s="54"/>
      <c r="IIR2477" s="54"/>
      <c r="IIS2477" s="60"/>
      <c r="IIT2477" s="60"/>
      <c r="IIU2477" s="60"/>
      <c r="IIV2477" s="60"/>
      <c r="IIW2477" s="63"/>
      <c r="IIX2477" s="61"/>
      <c r="IIY2477" s="54"/>
      <c r="IIZ2477" s="54"/>
      <c r="IJA2477" s="60"/>
      <c r="IJB2477" s="60"/>
      <c r="IJC2477" s="60"/>
      <c r="IJD2477" s="60"/>
      <c r="IJE2477" s="63"/>
      <c r="IJF2477" s="61"/>
      <c r="IJG2477" s="54"/>
      <c r="IJH2477" s="54"/>
      <c r="IJI2477" s="60"/>
      <c r="IJJ2477" s="60"/>
      <c r="IJK2477" s="60"/>
      <c r="IJL2477" s="60"/>
      <c r="IJM2477" s="63"/>
      <c r="IJN2477" s="61"/>
      <c r="IJO2477" s="54"/>
      <c r="IJP2477" s="54"/>
      <c r="IJQ2477" s="60"/>
      <c r="IJR2477" s="60"/>
      <c r="IJS2477" s="60"/>
      <c r="IJT2477" s="60"/>
      <c r="IJU2477" s="63"/>
      <c r="IJV2477" s="61"/>
      <c r="IJW2477" s="54"/>
      <c r="IJX2477" s="54"/>
      <c r="IJY2477" s="60"/>
      <c r="IJZ2477" s="60"/>
      <c r="IKA2477" s="60"/>
      <c r="IKB2477" s="60"/>
      <c r="IKC2477" s="63"/>
      <c r="IKD2477" s="61"/>
      <c r="IKE2477" s="54"/>
      <c r="IKF2477" s="54"/>
      <c r="IKG2477" s="60"/>
      <c r="IKH2477" s="60"/>
      <c r="IKI2477" s="60"/>
      <c r="IKJ2477" s="60"/>
      <c r="IKK2477" s="63"/>
      <c r="IKL2477" s="61"/>
      <c r="IKM2477" s="54"/>
      <c r="IKN2477" s="54"/>
      <c r="IKO2477" s="60"/>
      <c r="IKP2477" s="60"/>
      <c r="IKQ2477" s="60"/>
      <c r="IKR2477" s="60"/>
      <c r="IKS2477" s="63"/>
      <c r="IKT2477" s="61"/>
      <c r="IKU2477" s="54"/>
      <c r="IKV2477" s="54"/>
      <c r="IKW2477" s="60"/>
      <c r="IKX2477" s="60"/>
      <c r="IKY2477" s="60"/>
      <c r="IKZ2477" s="60"/>
      <c r="ILA2477" s="63"/>
      <c r="ILB2477" s="61"/>
      <c r="ILC2477" s="54"/>
      <c r="ILD2477" s="54"/>
      <c r="ILE2477" s="60"/>
      <c r="ILF2477" s="60"/>
      <c r="ILG2477" s="60"/>
      <c r="ILH2477" s="60"/>
      <c r="ILI2477" s="63"/>
      <c r="ILJ2477" s="61"/>
      <c r="ILK2477" s="54"/>
      <c r="ILL2477" s="54"/>
      <c r="ILM2477" s="60"/>
      <c r="ILN2477" s="60"/>
      <c r="ILO2477" s="60"/>
      <c r="ILP2477" s="60"/>
      <c r="ILQ2477" s="63"/>
      <c r="ILR2477" s="61"/>
      <c r="ILS2477" s="54"/>
      <c r="ILT2477" s="54"/>
      <c r="ILU2477" s="60"/>
      <c r="ILV2477" s="60"/>
      <c r="ILW2477" s="60"/>
      <c r="ILX2477" s="60"/>
      <c r="ILY2477" s="63"/>
      <c r="ILZ2477" s="61"/>
      <c r="IMA2477" s="54"/>
      <c r="IMB2477" s="54"/>
      <c r="IMC2477" s="60"/>
      <c r="IMD2477" s="60"/>
      <c r="IME2477" s="60"/>
      <c r="IMF2477" s="60"/>
      <c r="IMG2477" s="63"/>
      <c r="IMH2477" s="61"/>
      <c r="IMI2477" s="54"/>
      <c r="IMJ2477" s="54"/>
      <c r="IMK2477" s="60"/>
      <c r="IML2477" s="60"/>
      <c r="IMM2477" s="60"/>
      <c r="IMN2477" s="60"/>
      <c r="IMO2477" s="63"/>
      <c r="IMP2477" s="61"/>
      <c r="IMQ2477" s="54"/>
      <c r="IMR2477" s="54"/>
      <c r="IMS2477" s="60"/>
      <c r="IMT2477" s="60"/>
      <c r="IMU2477" s="60"/>
      <c r="IMV2477" s="60"/>
      <c r="IMW2477" s="63"/>
      <c r="IMX2477" s="61"/>
      <c r="IMY2477" s="54"/>
      <c r="IMZ2477" s="54"/>
      <c r="INA2477" s="60"/>
      <c r="INB2477" s="60"/>
      <c r="INC2477" s="60"/>
      <c r="IND2477" s="60"/>
      <c r="INE2477" s="63"/>
      <c r="INF2477" s="61"/>
      <c r="ING2477" s="54"/>
      <c r="INH2477" s="54"/>
      <c r="INI2477" s="60"/>
      <c r="INJ2477" s="60"/>
      <c r="INK2477" s="60"/>
      <c r="INL2477" s="60"/>
      <c r="INM2477" s="63"/>
      <c r="INN2477" s="61"/>
      <c r="INO2477" s="54"/>
      <c r="INP2477" s="54"/>
      <c r="INQ2477" s="60"/>
      <c r="INR2477" s="60"/>
      <c r="INS2477" s="60"/>
      <c r="INT2477" s="60"/>
      <c r="INU2477" s="63"/>
      <c r="INV2477" s="61"/>
      <c r="INW2477" s="54"/>
      <c r="INX2477" s="54"/>
      <c r="INY2477" s="60"/>
      <c r="INZ2477" s="60"/>
      <c r="IOA2477" s="60"/>
      <c r="IOB2477" s="60"/>
      <c r="IOC2477" s="63"/>
      <c r="IOD2477" s="61"/>
      <c r="IOE2477" s="54"/>
      <c r="IOF2477" s="54"/>
      <c r="IOG2477" s="60"/>
      <c r="IOH2477" s="60"/>
      <c r="IOI2477" s="60"/>
      <c r="IOJ2477" s="60"/>
      <c r="IOK2477" s="63"/>
      <c r="IOL2477" s="61"/>
      <c r="IOM2477" s="54"/>
      <c r="ION2477" s="54"/>
      <c r="IOO2477" s="60"/>
      <c r="IOP2477" s="60"/>
      <c r="IOQ2477" s="60"/>
      <c r="IOR2477" s="60"/>
      <c r="IOS2477" s="63"/>
      <c r="IOT2477" s="61"/>
      <c r="IOU2477" s="54"/>
      <c r="IOV2477" s="54"/>
      <c r="IOW2477" s="60"/>
      <c r="IOX2477" s="60"/>
      <c r="IOY2477" s="60"/>
      <c r="IOZ2477" s="60"/>
      <c r="IPA2477" s="63"/>
      <c r="IPB2477" s="61"/>
      <c r="IPC2477" s="54"/>
      <c r="IPD2477" s="54"/>
      <c r="IPE2477" s="60"/>
      <c r="IPF2477" s="60"/>
      <c r="IPG2477" s="60"/>
      <c r="IPH2477" s="60"/>
      <c r="IPI2477" s="63"/>
      <c r="IPJ2477" s="61"/>
      <c r="IPK2477" s="54"/>
      <c r="IPL2477" s="54"/>
      <c r="IPM2477" s="60"/>
      <c r="IPN2477" s="60"/>
      <c r="IPO2477" s="60"/>
      <c r="IPP2477" s="60"/>
      <c r="IPQ2477" s="63"/>
      <c r="IPR2477" s="61"/>
      <c r="IPS2477" s="54"/>
      <c r="IPT2477" s="54"/>
      <c r="IPU2477" s="60"/>
      <c r="IPV2477" s="60"/>
      <c r="IPW2477" s="60"/>
      <c r="IPX2477" s="60"/>
      <c r="IPY2477" s="63"/>
      <c r="IPZ2477" s="61"/>
      <c r="IQA2477" s="54"/>
      <c r="IQB2477" s="54"/>
      <c r="IQC2477" s="60"/>
      <c r="IQD2477" s="60"/>
      <c r="IQE2477" s="60"/>
      <c r="IQF2477" s="60"/>
      <c r="IQG2477" s="63"/>
      <c r="IQH2477" s="61"/>
      <c r="IQI2477" s="54"/>
      <c r="IQJ2477" s="54"/>
      <c r="IQK2477" s="60"/>
      <c r="IQL2477" s="60"/>
      <c r="IQM2477" s="60"/>
      <c r="IQN2477" s="60"/>
      <c r="IQO2477" s="63"/>
      <c r="IQP2477" s="61"/>
      <c r="IQQ2477" s="54"/>
      <c r="IQR2477" s="54"/>
      <c r="IQS2477" s="60"/>
      <c r="IQT2477" s="60"/>
      <c r="IQU2477" s="60"/>
      <c r="IQV2477" s="60"/>
      <c r="IQW2477" s="63"/>
      <c r="IQX2477" s="61"/>
      <c r="IQY2477" s="54"/>
      <c r="IQZ2477" s="54"/>
      <c r="IRA2477" s="60"/>
      <c r="IRB2477" s="60"/>
      <c r="IRC2477" s="60"/>
      <c r="IRD2477" s="60"/>
      <c r="IRE2477" s="63"/>
      <c r="IRF2477" s="61"/>
      <c r="IRG2477" s="54"/>
      <c r="IRH2477" s="54"/>
      <c r="IRI2477" s="60"/>
      <c r="IRJ2477" s="60"/>
      <c r="IRK2477" s="60"/>
      <c r="IRL2477" s="60"/>
      <c r="IRM2477" s="63"/>
      <c r="IRN2477" s="61"/>
      <c r="IRO2477" s="54"/>
      <c r="IRP2477" s="54"/>
      <c r="IRQ2477" s="60"/>
      <c r="IRR2477" s="60"/>
      <c r="IRS2477" s="60"/>
      <c r="IRT2477" s="60"/>
      <c r="IRU2477" s="63"/>
      <c r="IRV2477" s="61"/>
      <c r="IRW2477" s="54"/>
      <c r="IRX2477" s="54"/>
      <c r="IRY2477" s="60"/>
      <c r="IRZ2477" s="60"/>
      <c r="ISA2477" s="60"/>
      <c r="ISB2477" s="60"/>
      <c r="ISC2477" s="63"/>
      <c r="ISD2477" s="61"/>
      <c r="ISE2477" s="54"/>
      <c r="ISF2477" s="54"/>
      <c r="ISG2477" s="60"/>
      <c r="ISH2477" s="60"/>
      <c r="ISI2477" s="60"/>
      <c r="ISJ2477" s="60"/>
      <c r="ISK2477" s="63"/>
      <c r="ISL2477" s="61"/>
      <c r="ISM2477" s="54"/>
      <c r="ISN2477" s="54"/>
      <c r="ISO2477" s="60"/>
      <c r="ISP2477" s="60"/>
      <c r="ISQ2477" s="60"/>
      <c r="ISR2477" s="60"/>
      <c r="ISS2477" s="63"/>
      <c r="IST2477" s="61"/>
      <c r="ISU2477" s="54"/>
      <c r="ISV2477" s="54"/>
      <c r="ISW2477" s="60"/>
      <c r="ISX2477" s="60"/>
      <c r="ISY2477" s="60"/>
      <c r="ISZ2477" s="60"/>
      <c r="ITA2477" s="63"/>
      <c r="ITB2477" s="61"/>
      <c r="ITC2477" s="54"/>
      <c r="ITD2477" s="54"/>
      <c r="ITE2477" s="60"/>
      <c r="ITF2477" s="60"/>
      <c r="ITG2477" s="60"/>
      <c r="ITH2477" s="60"/>
      <c r="ITI2477" s="63"/>
      <c r="ITJ2477" s="61"/>
      <c r="ITK2477" s="54"/>
      <c r="ITL2477" s="54"/>
      <c r="ITM2477" s="60"/>
      <c r="ITN2477" s="60"/>
      <c r="ITO2477" s="60"/>
      <c r="ITP2477" s="60"/>
      <c r="ITQ2477" s="63"/>
      <c r="ITR2477" s="61"/>
      <c r="ITS2477" s="54"/>
      <c r="ITT2477" s="54"/>
      <c r="ITU2477" s="60"/>
      <c r="ITV2477" s="60"/>
      <c r="ITW2477" s="60"/>
      <c r="ITX2477" s="60"/>
      <c r="ITY2477" s="63"/>
      <c r="ITZ2477" s="61"/>
      <c r="IUA2477" s="54"/>
      <c r="IUB2477" s="54"/>
      <c r="IUC2477" s="60"/>
      <c r="IUD2477" s="60"/>
      <c r="IUE2477" s="60"/>
      <c r="IUF2477" s="60"/>
      <c r="IUG2477" s="63"/>
      <c r="IUH2477" s="61"/>
      <c r="IUI2477" s="54"/>
      <c r="IUJ2477" s="54"/>
      <c r="IUK2477" s="60"/>
      <c r="IUL2477" s="60"/>
      <c r="IUM2477" s="60"/>
      <c r="IUN2477" s="60"/>
      <c r="IUO2477" s="63"/>
      <c r="IUP2477" s="61"/>
      <c r="IUQ2477" s="54"/>
      <c r="IUR2477" s="54"/>
      <c r="IUS2477" s="60"/>
      <c r="IUT2477" s="60"/>
      <c r="IUU2477" s="60"/>
      <c r="IUV2477" s="60"/>
      <c r="IUW2477" s="63"/>
      <c r="IUX2477" s="61"/>
      <c r="IUY2477" s="54"/>
      <c r="IUZ2477" s="54"/>
      <c r="IVA2477" s="60"/>
      <c r="IVB2477" s="60"/>
      <c r="IVC2477" s="60"/>
      <c r="IVD2477" s="60"/>
      <c r="IVE2477" s="63"/>
      <c r="IVF2477" s="61"/>
      <c r="IVG2477" s="54"/>
      <c r="IVH2477" s="54"/>
      <c r="IVI2477" s="60"/>
      <c r="IVJ2477" s="60"/>
      <c r="IVK2477" s="60"/>
      <c r="IVL2477" s="60"/>
      <c r="IVM2477" s="63"/>
      <c r="IVN2477" s="61"/>
      <c r="IVO2477" s="54"/>
      <c r="IVP2477" s="54"/>
      <c r="IVQ2477" s="60"/>
      <c r="IVR2477" s="60"/>
      <c r="IVS2477" s="60"/>
      <c r="IVT2477" s="60"/>
      <c r="IVU2477" s="63"/>
      <c r="IVV2477" s="61"/>
      <c r="IVW2477" s="54"/>
      <c r="IVX2477" s="54"/>
      <c r="IVY2477" s="60"/>
      <c r="IVZ2477" s="60"/>
      <c r="IWA2477" s="60"/>
      <c r="IWB2477" s="60"/>
      <c r="IWC2477" s="63"/>
      <c r="IWD2477" s="61"/>
      <c r="IWE2477" s="54"/>
      <c r="IWF2477" s="54"/>
      <c r="IWG2477" s="60"/>
      <c r="IWH2477" s="60"/>
      <c r="IWI2477" s="60"/>
      <c r="IWJ2477" s="60"/>
      <c r="IWK2477" s="63"/>
      <c r="IWL2477" s="61"/>
      <c r="IWM2477" s="54"/>
      <c r="IWN2477" s="54"/>
      <c r="IWO2477" s="60"/>
      <c r="IWP2477" s="60"/>
      <c r="IWQ2477" s="60"/>
      <c r="IWR2477" s="60"/>
      <c r="IWS2477" s="63"/>
      <c r="IWT2477" s="61"/>
      <c r="IWU2477" s="54"/>
      <c r="IWV2477" s="54"/>
      <c r="IWW2477" s="60"/>
      <c r="IWX2477" s="60"/>
      <c r="IWY2477" s="60"/>
      <c r="IWZ2477" s="60"/>
      <c r="IXA2477" s="63"/>
      <c r="IXB2477" s="61"/>
      <c r="IXC2477" s="54"/>
      <c r="IXD2477" s="54"/>
      <c r="IXE2477" s="60"/>
      <c r="IXF2477" s="60"/>
      <c r="IXG2477" s="60"/>
      <c r="IXH2477" s="60"/>
      <c r="IXI2477" s="63"/>
      <c r="IXJ2477" s="61"/>
      <c r="IXK2477" s="54"/>
      <c r="IXL2477" s="54"/>
      <c r="IXM2477" s="60"/>
      <c r="IXN2477" s="60"/>
      <c r="IXO2477" s="60"/>
      <c r="IXP2477" s="60"/>
      <c r="IXQ2477" s="63"/>
      <c r="IXR2477" s="61"/>
      <c r="IXS2477" s="54"/>
      <c r="IXT2477" s="54"/>
      <c r="IXU2477" s="60"/>
      <c r="IXV2477" s="60"/>
      <c r="IXW2477" s="60"/>
      <c r="IXX2477" s="60"/>
      <c r="IXY2477" s="63"/>
      <c r="IXZ2477" s="61"/>
      <c r="IYA2477" s="54"/>
      <c r="IYB2477" s="54"/>
      <c r="IYC2477" s="60"/>
      <c r="IYD2477" s="60"/>
      <c r="IYE2477" s="60"/>
      <c r="IYF2477" s="60"/>
      <c r="IYG2477" s="63"/>
      <c r="IYH2477" s="61"/>
      <c r="IYI2477" s="54"/>
      <c r="IYJ2477" s="54"/>
      <c r="IYK2477" s="60"/>
      <c r="IYL2477" s="60"/>
      <c r="IYM2477" s="60"/>
      <c r="IYN2477" s="60"/>
      <c r="IYO2477" s="63"/>
      <c r="IYP2477" s="61"/>
      <c r="IYQ2477" s="54"/>
      <c r="IYR2477" s="54"/>
      <c r="IYS2477" s="60"/>
      <c r="IYT2477" s="60"/>
      <c r="IYU2477" s="60"/>
      <c r="IYV2477" s="60"/>
      <c r="IYW2477" s="63"/>
      <c r="IYX2477" s="61"/>
      <c r="IYY2477" s="54"/>
      <c r="IYZ2477" s="54"/>
      <c r="IZA2477" s="60"/>
      <c r="IZB2477" s="60"/>
      <c r="IZC2477" s="60"/>
      <c r="IZD2477" s="60"/>
      <c r="IZE2477" s="63"/>
      <c r="IZF2477" s="61"/>
      <c r="IZG2477" s="54"/>
      <c r="IZH2477" s="54"/>
      <c r="IZI2477" s="60"/>
      <c r="IZJ2477" s="60"/>
      <c r="IZK2477" s="60"/>
      <c r="IZL2477" s="60"/>
      <c r="IZM2477" s="63"/>
      <c r="IZN2477" s="61"/>
      <c r="IZO2477" s="54"/>
      <c r="IZP2477" s="54"/>
      <c r="IZQ2477" s="60"/>
      <c r="IZR2477" s="60"/>
      <c r="IZS2477" s="60"/>
      <c r="IZT2477" s="60"/>
      <c r="IZU2477" s="63"/>
      <c r="IZV2477" s="61"/>
      <c r="IZW2477" s="54"/>
      <c r="IZX2477" s="54"/>
      <c r="IZY2477" s="60"/>
      <c r="IZZ2477" s="60"/>
      <c r="JAA2477" s="60"/>
      <c r="JAB2477" s="60"/>
      <c r="JAC2477" s="63"/>
      <c r="JAD2477" s="61"/>
      <c r="JAE2477" s="54"/>
      <c r="JAF2477" s="54"/>
      <c r="JAG2477" s="60"/>
      <c r="JAH2477" s="60"/>
      <c r="JAI2477" s="60"/>
      <c r="JAJ2477" s="60"/>
      <c r="JAK2477" s="63"/>
      <c r="JAL2477" s="61"/>
      <c r="JAM2477" s="54"/>
      <c r="JAN2477" s="54"/>
      <c r="JAO2477" s="60"/>
      <c r="JAP2477" s="60"/>
      <c r="JAQ2477" s="60"/>
      <c r="JAR2477" s="60"/>
      <c r="JAS2477" s="63"/>
      <c r="JAT2477" s="61"/>
      <c r="JAU2477" s="54"/>
      <c r="JAV2477" s="54"/>
      <c r="JAW2477" s="60"/>
      <c r="JAX2477" s="60"/>
      <c r="JAY2477" s="60"/>
      <c r="JAZ2477" s="60"/>
      <c r="JBA2477" s="63"/>
      <c r="JBB2477" s="61"/>
      <c r="JBC2477" s="54"/>
      <c r="JBD2477" s="54"/>
      <c r="JBE2477" s="60"/>
      <c r="JBF2477" s="60"/>
      <c r="JBG2477" s="60"/>
      <c r="JBH2477" s="60"/>
      <c r="JBI2477" s="63"/>
      <c r="JBJ2477" s="61"/>
      <c r="JBK2477" s="54"/>
      <c r="JBL2477" s="54"/>
      <c r="JBM2477" s="60"/>
      <c r="JBN2477" s="60"/>
      <c r="JBO2477" s="60"/>
      <c r="JBP2477" s="60"/>
      <c r="JBQ2477" s="63"/>
      <c r="JBR2477" s="61"/>
      <c r="JBS2477" s="54"/>
      <c r="JBT2477" s="54"/>
      <c r="JBU2477" s="60"/>
      <c r="JBV2477" s="60"/>
      <c r="JBW2477" s="60"/>
      <c r="JBX2477" s="60"/>
      <c r="JBY2477" s="63"/>
      <c r="JBZ2477" s="61"/>
      <c r="JCA2477" s="54"/>
      <c r="JCB2477" s="54"/>
      <c r="JCC2477" s="60"/>
      <c r="JCD2477" s="60"/>
      <c r="JCE2477" s="60"/>
      <c r="JCF2477" s="60"/>
      <c r="JCG2477" s="63"/>
      <c r="JCH2477" s="61"/>
      <c r="JCI2477" s="54"/>
      <c r="JCJ2477" s="54"/>
      <c r="JCK2477" s="60"/>
      <c r="JCL2477" s="60"/>
      <c r="JCM2477" s="60"/>
      <c r="JCN2477" s="60"/>
      <c r="JCO2477" s="63"/>
      <c r="JCP2477" s="61"/>
      <c r="JCQ2477" s="54"/>
      <c r="JCR2477" s="54"/>
      <c r="JCS2477" s="60"/>
      <c r="JCT2477" s="60"/>
      <c r="JCU2477" s="60"/>
      <c r="JCV2477" s="60"/>
      <c r="JCW2477" s="63"/>
      <c r="JCX2477" s="61"/>
      <c r="JCY2477" s="54"/>
      <c r="JCZ2477" s="54"/>
      <c r="JDA2477" s="60"/>
      <c r="JDB2477" s="60"/>
      <c r="JDC2477" s="60"/>
      <c r="JDD2477" s="60"/>
      <c r="JDE2477" s="63"/>
      <c r="JDF2477" s="61"/>
      <c r="JDG2477" s="54"/>
      <c r="JDH2477" s="54"/>
      <c r="JDI2477" s="60"/>
      <c r="JDJ2477" s="60"/>
      <c r="JDK2477" s="60"/>
      <c r="JDL2477" s="60"/>
      <c r="JDM2477" s="63"/>
      <c r="JDN2477" s="61"/>
      <c r="JDO2477" s="54"/>
      <c r="JDP2477" s="54"/>
      <c r="JDQ2477" s="60"/>
      <c r="JDR2477" s="60"/>
      <c r="JDS2477" s="60"/>
      <c r="JDT2477" s="60"/>
      <c r="JDU2477" s="63"/>
      <c r="JDV2477" s="61"/>
      <c r="JDW2477" s="54"/>
      <c r="JDX2477" s="54"/>
      <c r="JDY2477" s="60"/>
      <c r="JDZ2477" s="60"/>
      <c r="JEA2477" s="60"/>
      <c r="JEB2477" s="60"/>
      <c r="JEC2477" s="63"/>
      <c r="JED2477" s="61"/>
      <c r="JEE2477" s="54"/>
      <c r="JEF2477" s="54"/>
      <c r="JEG2477" s="60"/>
      <c r="JEH2477" s="60"/>
      <c r="JEI2477" s="60"/>
      <c r="JEJ2477" s="60"/>
      <c r="JEK2477" s="63"/>
      <c r="JEL2477" s="61"/>
      <c r="JEM2477" s="54"/>
      <c r="JEN2477" s="54"/>
      <c r="JEO2477" s="60"/>
      <c r="JEP2477" s="60"/>
      <c r="JEQ2477" s="60"/>
      <c r="JER2477" s="60"/>
      <c r="JES2477" s="63"/>
      <c r="JET2477" s="61"/>
      <c r="JEU2477" s="54"/>
      <c r="JEV2477" s="54"/>
      <c r="JEW2477" s="60"/>
      <c r="JEX2477" s="60"/>
      <c r="JEY2477" s="60"/>
      <c r="JEZ2477" s="60"/>
      <c r="JFA2477" s="63"/>
      <c r="JFB2477" s="61"/>
      <c r="JFC2477" s="54"/>
      <c r="JFD2477" s="54"/>
      <c r="JFE2477" s="60"/>
      <c r="JFF2477" s="60"/>
      <c r="JFG2477" s="60"/>
      <c r="JFH2477" s="60"/>
      <c r="JFI2477" s="63"/>
      <c r="JFJ2477" s="61"/>
      <c r="JFK2477" s="54"/>
      <c r="JFL2477" s="54"/>
      <c r="JFM2477" s="60"/>
      <c r="JFN2477" s="60"/>
      <c r="JFO2477" s="60"/>
      <c r="JFP2477" s="60"/>
      <c r="JFQ2477" s="63"/>
      <c r="JFR2477" s="61"/>
      <c r="JFS2477" s="54"/>
      <c r="JFT2477" s="54"/>
      <c r="JFU2477" s="60"/>
      <c r="JFV2477" s="60"/>
      <c r="JFW2477" s="60"/>
      <c r="JFX2477" s="60"/>
      <c r="JFY2477" s="63"/>
      <c r="JFZ2477" s="61"/>
      <c r="JGA2477" s="54"/>
      <c r="JGB2477" s="54"/>
      <c r="JGC2477" s="60"/>
      <c r="JGD2477" s="60"/>
      <c r="JGE2477" s="60"/>
      <c r="JGF2477" s="60"/>
      <c r="JGG2477" s="63"/>
      <c r="JGH2477" s="61"/>
      <c r="JGI2477" s="54"/>
      <c r="JGJ2477" s="54"/>
      <c r="JGK2477" s="60"/>
      <c r="JGL2477" s="60"/>
      <c r="JGM2477" s="60"/>
      <c r="JGN2477" s="60"/>
      <c r="JGO2477" s="63"/>
      <c r="JGP2477" s="61"/>
      <c r="JGQ2477" s="54"/>
      <c r="JGR2477" s="54"/>
      <c r="JGS2477" s="60"/>
      <c r="JGT2477" s="60"/>
      <c r="JGU2477" s="60"/>
      <c r="JGV2477" s="60"/>
      <c r="JGW2477" s="63"/>
      <c r="JGX2477" s="61"/>
      <c r="JGY2477" s="54"/>
      <c r="JGZ2477" s="54"/>
      <c r="JHA2477" s="60"/>
      <c r="JHB2477" s="60"/>
      <c r="JHC2477" s="60"/>
      <c r="JHD2477" s="60"/>
      <c r="JHE2477" s="63"/>
      <c r="JHF2477" s="61"/>
      <c r="JHG2477" s="54"/>
      <c r="JHH2477" s="54"/>
      <c r="JHI2477" s="60"/>
      <c r="JHJ2477" s="60"/>
      <c r="JHK2477" s="60"/>
      <c r="JHL2477" s="60"/>
      <c r="JHM2477" s="63"/>
      <c r="JHN2477" s="61"/>
      <c r="JHO2477" s="54"/>
      <c r="JHP2477" s="54"/>
      <c r="JHQ2477" s="60"/>
      <c r="JHR2477" s="60"/>
      <c r="JHS2477" s="60"/>
      <c r="JHT2477" s="60"/>
      <c r="JHU2477" s="63"/>
      <c r="JHV2477" s="61"/>
      <c r="JHW2477" s="54"/>
      <c r="JHX2477" s="54"/>
      <c r="JHY2477" s="60"/>
      <c r="JHZ2477" s="60"/>
      <c r="JIA2477" s="60"/>
      <c r="JIB2477" s="60"/>
      <c r="JIC2477" s="63"/>
      <c r="JID2477" s="61"/>
      <c r="JIE2477" s="54"/>
      <c r="JIF2477" s="54"/>
      <c r="JIG2477" s="60"/>
      <c r="JIH2477" s="60"/>
      <c r="JII2477" s="60"/>
      <c r="JIJ2477" s="60"/>
      <c r="JIK2477" s="63"/>
      <c r="JIL2477" s="61"/>
      <c r="JIM2477" s="54"/>
      <c r="JIN2477" s="54"/>
      <c r="JIO2477" s="60"/>
      <c r="JIP2477" s="60"/>
      <c r="JIQ2477" s="60"/>
      <c r="JIR2477" s="60"/>
      <c r="JIS2477" s="63"/>
      <c r="JIT2477" s="61"/>
      <c r="JIU2477" s="54"/>
      <c r="JIV2477" s="54"/>
      <c r="JIW2477" s="60"/>
      <c r="JIX2477" s="60"/>
      <c r="JIY2477" s="60"/>
      <c r="JIZ2477" s="60"/>
      <c r="JJA2477" s="63"/>
      <c r="JJB2477" s="61"/>
      <c r="JJC2477" s="54"/>
      <c r="JJD2477" s="54"/>
      <c r="JJE2477" s="60"/>
      <c r="JJF2477" s="60"/>
      <c r="JJG2477" s="60"/>
      <c r="JJH2477" s="60"/>
      <c r="JJI2477" s="63"/>
      <c r="JJJ2477" s="61"/>
      <c r="JJK2477" s="54"/>
      <c r="JJL2477" s="54"/>
      <c r="JJM2477" s="60"/>
      <c r="JJN2477" s="60"/>
      <c r="JJO2477" s="60"/>
      <c r="JJP2477" s="60"/>
      <c r="JJQ2477" s="63"/>
      <c r="JJR2477" s="61"/>
      <c r="JJS2477" s="54"/>
      <c r="JJT2477" s="54"/>
      <c r="JJU2477" s="60"/>
      <c r="JJV2477" s="60"/>
      <c r="JJW2477" s="60"/>
      <c r="JJX2477" s="60"/>
      <c r="JJY2477" s="63"/>
      <c r="JJZ2477" s="61"/>
      <c r="JKA2477" s="54"/>
      <c r="JKB2477" s="54"/>
      <c r="JKC2477" s="60"/>
      <c r="JKD2477" s="60"/>
      <c r="JKE2477" s="60"/>
      <c r="JKF2477" s="60"/>
      <c r="JKG2477" s="63"/>
      <c r="JKH2477" s="61"/>
      <c r="JKI2477" s="54"/>
      <c r="JKJ2477" s="54"/>
      <c r="JKK2477" s="60"/>
      <c r="JKL2477" s="60"/>
      <c r="JKM2477" s="60"/>
      <c r="JKN2477" s="60"/>
      <c r="JKO2477" s="63"/>
      <c r="JKP2477" s="61"/>
      <c r="JKQ2477" s="54"/>
      <c r="JKR2477" s="54"/>
      <c r="JKS2477" s="60"/>
      <c r="JKT2477" s="60"/>
      <c r="JKU2477" s="60"/>
      <c r="JKV2477" s="60"/>
      <c r="JKW2477" s="63"/>
      <c r="JKX2477" s="61"/>
      <c r="JKY2477" s="54"/>
      <c r="JKZ2477" s="54"/>
      <c r="JLA2477" s="60"/>
      <c r="JLB2477" s="60"/>
      <c r="JLC2477" s="60"/>
      <c r="JLD2477" s="60"/>
      <c r="JLE2477" s="63"/>
      <c r="JLF2477" s="61"/>
      <c r="JLG2477" s="54"/>
      <c r="JLH2477" s="54"/>
      <c r="JLI2477" s="60"/>
      <c r="JLJ2477" s="60"/>
      <c r="JLK2477" s="60"/>
      <c r="JLL2477" s="60"/>
      <c r="JLM2477" s="63"/>
      <c r="JLN2477" s="61"/>
      <c r="JLO2477" s="54"/>
      <c r="JLP2477" s="54"/>
      <c r="JLQ2477" s="60"/>
      <c r="JLR2477" s="60"/>
      <c r="JLS2477" s="60"/>
      <c r="JLT2477" s="60"/>
      <c r="JLU2477" s="63"/>
      <c r="JLV2477" s="61"/>
      <c r="JLW2477" s="54"/>
      <c r="JLX2477" s="54"/>
      <c r="JLY2477" s="60"/>
      <c r="JLZ2477" s="60"/>
      <c r="JMA2477" s="60"/>
      <c r="JMB2477" s="60"/>
      <c r="JMC2477" s="63"/>
      <c r="JMD2477" s="61"/>
      <c r="JME2477" s="54"/>
      <c r="JMF2477" s="54"/>
      <c r="JMG2477" s="60"/>
      <c r="JMH2477" s="60"/>
      <c r="JMI2477" s="60"/>
      <c r="JMJ2477" s="60"/>
      <c r="JMK2477" s="63"/>
      <c r="JML2477" s="61"/>
      <c r="JMM2477" s="54"/>
      <c r="JMN2477" s="54"/>
      <c r="JMO2477" s="60"/>
      <c r="JMP2477" s="60"/>
      <c r="JMQ2477" s="60"/>
      <c r="JMR2477" s="60"/>
      <c r="JMS2477" s="63"/>
      <c r="JMT2477" s="61"/>
      <c r="JMU2477" s="54"/>
      <c r="JMV2477" s="54"/>
      <c r="JMW2477" s="60"/>
      <c r="JMX2477" s="60"/>
      <c r="JMY2477" s="60"/>
      <c r="JMZ2477" s="60"/>
      <c r="JNA2477" s="63"/>
      <c r="JNB2477" s="61"/>
      <c r="JNC2477" s="54"/>
      <c r="JND2477" s="54"/>
      <c r="JNE2477" s="60"/>
      <c r="JNF2477" s="60"/>
      <c r="JNG2477" s="60"/>
      <c r="JNH2477" s="60"/>
      <c r="JNI2477" s="63"/>
      <c r="JNJ2477" s="61"/>
      <c r="JNK2477" s="54"/>
      <c r="JNL2477" s="54"/>
      <c r="JNM2477" s="60"/>
      <c r="JNN2477" s="60"/>
      <c r="JNO2477" s="60"/>
      <c r="JNP2477" s="60"/>
      <c r="JNQ2477" s="63"/>
      <c r="JNR2477" s="61"/>
      <c r="JNS2477" s="54"/>
      <c r="JNT2477" s="54"/>
      <c r="JNU2477" s="60"/>
      <c r="JNV2477" s="60"/>
      <c r="JNW2477" s="60"/>
      <c r="JNX2477" s="60"/>
      <c r="JNY2477" s="63"/>
      <c r="JNZ2477" s="61"/>
      <c r="JOA2477" s="54"/>
      <c r="JOB2477" s="54"/>
      <c r="JOC2477" s="60"/>
      <c r="JOD2477" s="60"/>
      <c r="JOE2477" s="60"/>
      <c r="JOF2477" s="60"/>
      <c r="JOG2477" s="63"/>
      <c r="JOH2477" s="61"/>
      <c r="JOI2477" s="54"/>
      <c r="JOJ2477" s="54"/>
      <c r="JOK2477" s="60"/>
      <c r="JOL2477" s="60"/>
      <c r="JOM2477" s="60"/>
      <c r="JON2477" s="60"/>
      <c r="JOO2477" s="63"/>
      <c r="JOP2477" s="61"/>
      <c r="JOQ2477" s="54"/>
      <c r="JOR2477" s="54"/>
      <c r="JOS2477" s="60"/>
      <c r="JOT2477" s="60"/>
      <c r="JOU2477" s="60"/>
      <c r="JOV2477" s="60"/>
      <c r="JOW2477" s="63"/>
      <c r="JOX2477" s="61"/>
      <c r="JOY2477" s="54"/>
      <c r="JOZ2477" s="54"/>
      <c r="JPA2477" s="60"/>
      <c r="JPB2477" s="60"/>
      <c r="JPC2477" s="60"/>
      <c r="JPD2477" s="60"/>
      <c r="JPE2477" s="63"/>
      <c r="JPF2477" s="61"/>
      <c r="JPG2477" s="54"/>
      <c r="JPH2477" s="54"/>
      <c r="JPI2477" s="60"/>
      <c r="JPJ2477" s="60"/>
      <c r="JPK2477" s="60"/>
      <c r="JPL2477" s="60"/>
      <c r="JPM2477" s="63"/>
      <c r="JPN2477" s="61"/>
      <c r="JPO2477" s="54"/>
      <c r="JPP2477" s="54"/>
      <c r="JPQ2477" s="60"/>
      <c r="JPR2477" s="60"/>
      <c r="JPS2477" s="60"/>
      <c r="JPT2477" s="60"/>
      <c r="JPU2477" s="63"/>
      <c r="JPV2477" s="61"/>
      <c r="JPW2477" s="54"/>
      <c r="JPX2477" s="54"/>
      <c r="JPY2477" s="60"/>
      <c r="JPZ2477" s="60"/>
      <c r="JQA2477" s="60"/>
      <c r="JQB2477" s="60"/>
      <c r="JQC2477" s="63"/>
      <c r="JQD2477" s="61"/>
      <c r="JQE2477" s="54"/>
      <c r="JQF2477" s="54"/>
      <c r="JQG2477" s="60"/>
      <c r="JQH2477" s="60"/>
      <c r="JQI2477" s="60"/>
      <c r="JQJ2477" s="60"/>
      <c r="JQK2477" s="63"/>
      <c r="JQL2477" s="61"/>
      <c r="JQM2477" s="54"/>
      <c r="JQN2477" s="54"/>
      <c r="JQO2477" s="60"/>
      <c r="JQP2477" s="60"/>
      <c r="JQQ2477" s="60"/>
      <c r="JQR2477" s="60"/>
      <c r="JQS2477" s="63"/>
      <c r="JQT2477" s="61"/>
      <c r="JQU2477" s="54"/>
      <c r="JQV2477" s="54"/>
      <c r="JQW2477" s="60"/>
      <c r="JQX2477" s="60"/>
      <c r="JQY2477" s="60"/>
      <c r="JQZ2477" s="60"/>
      <c r="JRA2477" s="63"/>
      <c r="JRB2477" s="61"/>
      <c r="JRC2477" s="54"/>
      <c r="JRD2477" s="54"/>
      <c r="JRE2477" s="60"/>
      <c r="JRF2477" s="60"/>
      <c r="JRG2477" s="60"/>
      <c r="JRH2477" s="60"/>
      <c r="JRI2477" s="63"/>
      <c r="JRJ2477" s="61"/>
      <c r="JRK2477" s="54"/>
      <c r="JRL2477" s="54"/>
      <c r="JRM2477" s="60"/>
      <c r="JRN2477" s="60"/>
      <c r="JRO2477" s="60"/>
      <c r="JRP2477" s="60"/>
      <c r="JRQ2477" s="63"/>
      <c r="JRR2477" s="61"/>
      <c r="JRS2477" s="54"/>
      <c r="JRT2477" s="54"/>
      <c r="JRU2477" s="60"/>
      <c r="JRV2477" s="60"/>
      <c r="JRW2477" s="60"/>
      <c r="JRX2477" s="60"/>
      <c r="JRY2477" s="63"/>
      <c r="JRZ2477" s="61"/>
      <c r="JSA2477" s="54"/>
      <c r="JSB2477" s="54"/>
      <c r="JSC2477" s="60"/>
      <c r="JSD2477" s="60"/>
      <c r="JSE2477" s="60"/>
      <c r="JSF2477" s="60"/>
      <c r="JSG2477" s="63"/>
      <c r="JSH2477" s="61"/>
      <c r="JSI2477" s="54"/>
      <c r="JSJ2477" s="54"/>
      <c r="JSK2477" s="60"/>
      <c r="JSL2477" s="60"/>
      <c r="JSM2477" s="60"/>
      <c r="JSN2477" s="60"/>
      <c r="JSO2477" s="63"/>
      <c r="JSP2477" s="61"/>
      <c r="JSQ2477" s="54"/>
      <c r="JSR2477" s="54"/>
      <c r="JSS2477" s="60"/>
      <c r="JST2477" s="60"/>
      <c r="JSU2477" s="60"/>
      <c r="JSV2477" s="60"/>
      <c r="JSW2477" s="63"/>
      <c r="JSX2477" s="61"/>
      <c r="JSY2477" s="54"/>
      <c r="JSZ2477" s="54"/>
      <c r="JTA2477" s="60"/>
      <c r="JTB2477" s="60"/>
      <c r="JTC2477" s="60"/>
      <c r="JTD2477" s="60"/>
      <c r="JTE2477" s="63"/>
      <c r="JTF2477" s="61"/>
      <c r="JTG2477" s="54"/>
      <c r="JTH2477" s="54"/>
      <c r="JTI2477" s="60"/>
      <c r="JTJ2477" s="60"/>
      <c r="JTK2477" s="60"/>
      <c r="JTL2477" s="60"/>
      <c r="JTM2477" s="63"/>
      <c r="JTN2477" s="61"/>
      <c r="JTO2477" s="54"/>
      <c r="JTP2477" s="54"/>
      <c r="JTQ2477" s="60"/>
      <c r="JTR2477" s="60"/>
      <c r="JTS2477" s="60"/>
      <c r="JTT2477" s="60"/>
      <c r="JTU2477" s="63"/>
      <c r="JTV2477" s="61"/>
      <c r="JTW2477" s="54"/>
      <c r="JTX2477" s="54"/>
      <c r="JTY2477" s="60"/>
      <c r="JTZ2477" s="60"/>
      <c r="JUA2477" s="60"/>
      <c r="JUB2477" s="60"/>
      <c r="JUC2477" s="63"/>
      <c r="JUD2477" s="61"/>
      <c r="JUE2477" s="54"/>
      <c r="JUF2477" s="54"/>
      <c r="JUG2477" s="60"/>
      <c r="JUH2477" s="60"/>
      <c r="JUI2477" s="60"/>
      <c r="JUJ2477" s="60"/>
      <c r="JUK2477" s="63"/>
      <c r="JUL2477" s="61"/>
      <c r="JUM2477" s="54"/>
      <c r="JUN2477" s="54"/>
      <c r="JUO2477" s="60"/>
      <c r="JUP2477" s="60"/>
      <c r="JUQ2477" s="60"/>
      <c r="JUR2477" s="60"/>
      <c r="JUS2477" s="63"/>
      <c r="JUT2477" s="61"/>
      <c r="JUU2477" s="54"/>
      <c r="JUV2477" s="54"/>
      <c r="JUW2477" s="60"/>
      <c r="JUX2477" s="60"/>
      <c r="JUY2477" s="60"/>
      <c r="JUZ2477" s="60"/>
      <c r="JVA2477" s="63"/>
      <c r="JVB2477" s="61"/>
      <c r="JVC2477" s="54"/>
      <c r="JVD2477" s="54"/>
      <c r="JVE2477" s="60"/>
      <c r="JVF2477" s="60"/>
      <c r="JVG2477" s="60"/>
      <c r="JVH2477" s="60"/>
      <c r="JVI2477" s="63"/>
      <c r="JVJ2477" s="61"/>
      <c r="JVK2477" s="54"/>
      <c r="JVL2477" s="54"/>
      <c r="JVM2477" s="60"/>
      <c r="JVN2477" s="60"/>
      <c r="JVO2477" s="60"/>
      <c r="JVP2477" s="60"/>
      <c r="JVQ2477" s="63"/>
      <c r="JVR2477" s="61"/>
      <c r="JVS2477" s="54"/>
      <c r="JVT2477" s="54"/>
      <c r="JVU2477" s="60"/>
      <c r="JVV2477" s="60"/>
      <c r="JVW2477" s="60"/>
      <c r="JVX2477" s="60"/>
      <c r="JVY2477" s="63"/>
      <c r="JVZ2477" s="61"/>
      <c r="JWA2477" s="54"/>
      <c r="JWB2477" s="54"/>
      <c r="JWC2477" s="60"/>
      <c r="JWD2477" s="60"/>
      <c r="JWE2477" s="60"/>
      <c r="JWF2477" s="60"/>
      <c r="JWG2477" s="63"/>
      <c r="JWH2477" s="61"/>
      <c r="JWI2477" s="54"/>
      <c r="JWJ2477" s="54"/>
      <c r="JWK2477" s="60"/>
      <c r="JWL2477" s="60"/>
      <c r="JWM2477" s="60"/>
      <c r="JWN2477" s="60"/>
      <c r="JWO2477" s="63"/>
      <c r="JWP2477" s="61"/>
      <c r="JWQ2477" s="54"/>
      <c r="JWR2477" s="54"/>
      <c r="JWS2477" s="60"/>
      <c r="JWT2477" s="60"/>
      <c r="JWU2477" s="60"/>
      <c r="JWV2477" s="60"/>
      <c r="JWW2477" s="63"/>
      <c r="JWX2477" s="61"/>
      <c r="JWY2477" s="54"/>
      <c r="JWZ2477" s="54"/>
      <c r="JXA2477" s="60"/>
      <c r="JXB2477" s="60"/>
      <c r="JXC2477" s="60"/>
      <c r="JXD2477" s="60"/>
      <c r="JXE2477" s="63"/>
      <c r="JXF2477" s="61"/>
      <c r="JXG2477" s="54"/>
      <c r="JXH2477" s="54"/>
      <c r="JXI2477" s="60"/>
      <c r="JXJ2477" s="60"/>
      <c r="JXK2477" s="60"/>
      <c r="JXL2477" s="60"/>
      <c r="JXM2477" s="63"/>
      <c r="JXN2477" s="61"/>
      <c r="JXO2477" s="54"/>
      <c r="JXP2477" s="54"/>
      <c r="JXQ2477" s="60"/>
      <c r="JXR2477" s="60"/>
      <c r="JXS2477" s="60"/>
      <c r="JXT2477" s="60"/>
      <c r="JXU2477" s="63"/>
      <c r="JXV2477" s="61"/>
      <c r="JXW2477" s="54"/>
      <c r="JXX2477" s="54"/>
      <c r="JXY2477" s="60"/>
      <c r="JXZ2477" s="60"/>
      <c r="JYA2477" s="60"/>
      <c r="JYB2477" s="60"/>
      <c r="JYC2477" s="63"/>
      <c r="JYD2477" s="61"/>
      <c r="JYE2477" s="54"/>
      <c r="JYF2477" s="54"/>
      <c r="JYG2477" s="60"/>
      <c r="JYH2477" s="60"/>
      <c r="JYI2477" s="60"/>
      <c r="JYJ2477" s="60"/>
      <c r="JYK2477" s="63"/>
      <c r="JYL2477" s="61"/>
      <c r="JYM2477" s="54"/>
      <c r="JYN2477" s="54"/>
      <c r="JYO2477" s="60"/>
      <c r="JYP2477" s="60"/>
      <c r="JYQ2477" s="60"/>
      <c r="JYR2477" s="60"/>
      <c r="JYS2477" s="63"/>
      <c r="JYT2477" s="61"/>
      <c r="JYU2477" s="54"/>
      <c r="JYV2477" s="54"/>
      <c r="JYW2477" s="60"/>
      <c r="JYX2477" s="60"/>
      <c r="JYY2477" s="60"/>
      <c r="JYZ2477" s="60"/>
      <c r="JZA2477" s="63"/>
      <c r="JZB2477" s="61"/>
      <c r="JZC2477" s="54"/>
      <c r="JZD2477" s="54"/>
      <c r="JZE2477" s="60"/>
      <c r="JZF2477" s="60"/>
      <c r="JZG2477" s="60"/>
      <c r="JZH2477" s="60"/>
      <c r="JZI2477" s="63"/>
      <c r="JZJ2477" s="61"/>
      <c r="JZK2477" s="54"/>
      <c r="JZL2477" s="54"/>
      <c r="JZM2477" s="60"/>
      <c r="JZN2477" s="60"/>
      <c r="JZO2477" s="60"/>
      <c r="JZP2477" s="60"/>
      <c r="JZQ2477" s="63"/>
      <c r="JZR2477" s="61"/>
      <c r="JZS2477" s="54"/>
      <c r="JZT2477" s="54"/>
      <c r="JZU2477" s="60"/>
      <c r="JZV2477" s="60"/>
      <c r="JZW2477" s="60"/>
      <c r="JZX2477" s="60"/>
      <c r="JZY2477" s="63"/>
      <c r="JZZ2477" s="61"/>
      <c r="KAA2477" s="54"/>
      <c r="KAB2477" s="54"/>
      <c r="KAC2477" s="60"/>
      <c r="KAD2477" s="60"/>
      <c r="KAE2477" s="60"/>
      <c r="KAF2477" s="60"/>
      <c r="KAG2477" s="63"/>
      <c r="KAH2477" s="61"/>
      <c r="KAI2477" s="54"/>
      <c r="KAJ2477" s="54"/>
      <c r="KAK2477" s="60"/>
      <c r="KAL2477" s="60"/>
      <c r="KAM2477" s="60"/>
      <c r="KAN2477" s="60"/>
      <c r="KAO2477" s="63"/>
      <c r="KAP2477" s="61"/>
      <c r="KAQ2477" s="54"/>
      <c r="KAR2477" s="54"/>
      <c r="KAS2477" s="60"/>
      <c r="KAT2477" s="60"/>
      <c r="KAU2477" s="60"/>
      <c r="KAV2477" s="60"/>
      <c r="KAW2477" s="63"/>
      <c r="KAX2477" s="61"/>
      <c r="KAY2477" s="54"/>
      <c r="KAZ2477" s="54"/>
      <c r="KBA2477" s="60"/>
      <c r="KBB2477" s="60"/>
      <c r="KBC2477" s="60"/>
      <c r="KBD2477" s="60"/>
      <c r="KBE2477" s="63"/>
      <c r="KBF2477" s="61"/>
      <c r="KBG2477" s="54"/>
      <c r="KBH2477" s="54"/>
      <c r="KBI2477" s="60"/>
      <c r="KBJ2477" s="60"/>
      <c r="KBK2477" s="60"/>
      <c r="KBL2477" s="60"/>
      <c r="KBM2477" s="63"/>
      <c r="KBN2477" s="61"/>
      <c r="KBO2477" s="54"/>
      <c r="KBP2477" s="54"/>
      <c r="KBQ2477" s="60"/>
      <c r="KBR2477" s="60"/>
      <c r="KBS2477" s="60"/>
      <c r="KBT2477" s="60"/>
      <c r="KBU2477" s="63"/>
      <c r="KBV2477" s="61"/>
      <c r="KBW2477" s="54"/>
      <c r="KBX2477" s="54"/>
      <c r="KBY2477" s="60"/>
      <c r="KBZ2477" s="60"/>
      <c r="KCA2477" s="60"/>
      <c r="KCB2477" s="60"/>
      <c r="KCC2477" s="63"/>
      <c r="KCD2477" s="61"/>
      <c r="KCE2477" s="54"/>
      <c r="KCF2477" s="54"/>
      <c r="KCG2477" s="60"/>
      <c r="KCH2477" s="60"/>
      <c r="KCI2477" s="60"/>
      <c r="KCJ2477" s="60"/>
      <c r="KCK2477" s="63"/>
      <c r="KCL2477" s="61"/>
      <c r="KCM2477" s="54"/>
      <c r="KCN2477" s="54"/>
      <c r="KCO2477" s="60"/>
      <c r="KCP2477" s="60"/>
      <c r="KCQ2477" s="60"/>
      <c r="KCR2477" s="60"/>
      <c r="KCS2477" s="63"/>
      <c r="KCT2477" s="61"/>
      <c r="KCU2477" s="54"/>
      <c r="KCV2477" s="54"/>
      <c r="KCW2477" s="60"/>
      <c r="KCX2477" s="60"/>
      <c r="KCY2477" s="60"/>
      <c r="KCZ2477" s="60"/>
      <c r="KDA2477" s="63"/>
      <c r="KDB2477" s="61"/>
      <c r="KDC2477" s="54"/>
      <c r="KDD2477" s="54"/>
      <c r="KDE2477" s="60"/>
      <c r="KDF2477" s="60"/>
      <c r="KDG2477" s="60"/>
      <c r="KDH2477" s="60"/>
      <c r="KDI2477" s="63"/>
      <c r="KDJ2477" s="61"/>
      <c r="KDK2477" s="54"/>
      <c r="KDL2477" s="54"/>
      <c r="KDM2477" s="60"/>
      <c r="KDN2477" s="60"/>
      <c r="KDO2477" s="60"/>
      <c r="KDP2477" s="60"/>
      <c r="KDQ2477" s="63"/>
      <c r="KDR2477" s="61"/>
      <c r="KDS2477" s="54"/>
      <c r="KDT2477" s="54"/>
      <c r="KDU2477" s="60"/>
      <c r="KDV2477" s="60"/>
      <c r="KDW2477" s="60"/>
      <c r="KDX2477" s="60"/>
      <c r="KDY2477" s="63"/>
      <c r="KDZ2477" s="61"/>
      <c r="KEA2477" s="54"/>
      <c r="KEB2477" s="54"/>
      <c r="KEC2477" s="60"/>
      <c r="KED2477" s="60"/>
      <c r="KEE2477" s="60"/>
      <c r="KEF2477" s="60"/>
      <c r="KEG2477" s="63"/>
      <c r="KEH2477" s="61"/>
      <c r="KEI2477" s="54"/>
      <c r="KEJ2477" s="54"/>
      <c r="KEK2477" s="60"/>
      <c r="KEL2477" s="60"/>
      <c r="KEM2477" s="60"/>
      <c r="KEN2477" s="60"/>
      <c r="KEO2477" s="63"/>
      <c r="KEP2477" s="61"/>
      <c r="KEQ2477" s="54"/>
      <c r="KER2477" s="54"/>
      <c r="KES2477" s="60"/>
      <c r="KET2477" s="60"/>
      <c r="KEU2477" s="60"/>
      <c r="KEV2477" s="60"/>
      <c r="KEW2477" s="63"/>
      <c r="KEX2477" s="61"/>
      <c r="KEY2477" s="54"/>
      <c r="KEZ2477" s="54"/>
      <c r="KFA2477" s="60"/>
      <c r="KFB2477" s="60"/>
      <c r="KFC2477" s="60"/>
      <c r="KFD2477" s="60"/>
      <c r="KFE2477" s="63"/>
      <c r="KFF2477" s="61"/>
      <c r="KFG2477" s="54"/>
      <c r="KFH2477" s="54"/>
      <c r="KFI2477" s="60"/>
      <c r="KFJ2477" s="60"/>
      <c r="KFK2477" s="60"/>
      <c r="KFL2477" s="60"/>
      <c r="KFM2477" s="63"/>
      <c r="KFN2477" s="61"/>
      <c r="KFO2477" s="54"/>
      <c r="KFP2477" s="54"/>
      <c r="KFQ2477" s="60"/>
      <c r="KFR2477" s="60"/>
      <c r="KFS2477" s="60"/>
      <c r="KFT2477" s="60"/>
      <c r="KFU2477" s="63"/>
      <c r="KFV2477" s="61"/>
      <c r="KFW2477" s="54"/>
      <c r="KFX2477" s="54"/>
      <c r="KFY2477" s="60"/>
      <c r="KFZ2477" s="60"/>
      <c r="KGA2477" s="60"/>
      <c r="KGB2477" s="60"/>
      <c r="KGC2477" s="63"/>
      <c r="KGD2477" s="61"/>
      <c r="KGE2477" s="54"/>
      <c r="KGF2477" s="54"/>
      <c r="KGG2477" s="60"/>
      <c r="KGH2477" s="60"/>
      <c r="KGI2477" s="60"/>
      <c r="KGJ2477" s="60"/>
      <c r="KGK2477" s="63"/>
      <c r="KGL2477" s="61"/>
      <c r="KGM2477" s="54"/>
      <c r="KGN2477" s="54"/>
      <c r="KGO2477" s="60"/>
      <c r="KGP2477" s="60"/>
      <c r="KGQ2477" s="60"/>
      <c r="KGR2477" s="60"/>
      <c r="KGS2477" s="63"/>
      <c r="KGT2477" s="61"/>
      <c r="KGU2477" s="54"/>
      <c r="KGV2477" s="54"/>
      <c r="KGW2477" s="60"/>
      <c r="KGX2477" s="60"/>
      <c r="KGY2477" s="60"/>
      <c r="KGZ2477" s="60"/>
      <c r="KHA2477" s="63"/>
      <c r="KHB2477" s="61"/>
      <c r="KHC2477" s="54"/>
      <c r="KHD2477" s="54"/>
      <c r="KHE2477" s="60"/>
      <c r="KHF2477" s="60"/>
      <c r="KHG2477" s="60"/>
      <c r="KHH2477" s="60"/>
      <c r="KHI2477" s="63"/>
      <c r="KHJ2477" s="61"/>
      <c r="KHK2477" s="54"/>
      <c r="KHL2477" s="54"/>
      <c r="KHM2477" s="60"/>
      <c r="KHN2477" s="60"/>
      <c r="KHO2477" s="60"/>
      <c r="KHP2477" s="60"/>
      <c r="KHQ2477" s="63"/>
      <c r="KHR2477" s="61"/>
      <c r="KHS2477" s="54"/>
      <c r="KHT2477" s="54"/>
      <c r="KHU2477" s="60"/>
      <c r="KHV2477" s="60"/>
      <c r="KHW2477" s="60"/>
      <c r="KHX2477" s="60"/>
      <c r="KHY2477" s="63"/>
      <c r="KHZ2477" s="61"/>
      <c r="KIA2477" s="54"/>
      <c r="KIB2477" s="54"/>
      <c r="KIC2477" s="60"/>
      <c r="KID2477" s="60"/>
      <c r="KIE2477" s="60"/>
      <c r="KIF2477" s="60"/>
      <c r="KIG2477" s="63"/>
      <c r="KIH2477" s="61"/>
      <c r="KII2477" s="54"/>
      <c r="KIJ2477" s="54"/>
      <c r="KIK2477" s="60"/>
      <c r="KIL2477" s="60"/>
      <c r="KIM2477" s="60"/>
      <c r="KIN2477" s="60"/>
      <c r="KIO2477" s="63"/>
      <c r="KIP2477" s="61"/>
      <c r="KIQ2477" s="54"/>
      <c r="KIR2477" s="54"/>
      <c r="KIS2477" s="60"/>
      <c r="KIT2477" s="60"/>
      <c r="KIU2477" s="60"/>
      <c r="KIV2477" s="60"/>
      <c r="KIW2477" s="63"/>
      <c r="KIX2477" s="61"/>
      <c r="KIY2477" s="54"/>
      <c r="KIZ2477" s="54"/>
      <c r="KJA2477" s="60"/>
      <c r="KJB2477" s="60"/>
      <c r="KJC2477" s="60"/>
      <c r="KJD2477" s="60"/>
      <c r="KJE2477" s="63"/>
      <c r="KJF2477" s="61"/>
      <c r="KJG2477" s="54"/>
      <c r="KJH2477" s="54"/>
      <c r="KJI2477" s="60"/>
      <c r="KJJ2477" s="60"/>
      <c r="KJK2477" s="60"/>
      <c r="KJL2477" s="60"/>
      <c r="KJM2477" s="63"/>
      <c r="KJN2477" s="61"/>
      <c r="KJO2477" s="54"/>
      <c r="KJP2477" s="54"/>
      <c r="KJQ2477" s="60"/>
      <c r="KJR2477" s="60"/>
      <c r="KJS2477" s="60"/>
      <c r="KJT2477" s="60"/>
      <c r="KJU2477" s="63"/>
      <c r="KJV2477" s="61"/>
      <c r="KJW2477" s="54"/>
      <c r="KJX2477" s="54"/>
      <c r="KJY2477" s="60"/>
      <c r="KJZ2477" s="60"/>
      <c r="KKA2477" s="60"/>
      <c r="KKB2477" s="60"/>
      <c r="KKC2477" s="63"/>
      <c r="KKD2477" s="61"/>
      <c r="KKE2477" s="54"/>
      <c r="KKF2477" s="54"/>
      <c r="KKG2477" s="60"/>
      <c r="KKH2477" s="60"/>
      <c r="KKI2477" s="60"/>
      <c r="KKJ2477" s="60"/>
      <c r="KKK2477" s="63"/>
      <c r="KKL2477" s="61"/>
      <c r="KKM2477" s="54"/>
      <c r="KKN2477" s="54"/>
      <c r="KKO2477" s="60"/>
      <c r="KKP2477" s="60"/>
      <c r="KKQ2477" s="60"/>
      <c r="KKR2477" s="60"/>
      <c r="KKS2477" s="63"/>
      <c r="KKT2477" s="61"/>
      <c r="KKU2477" s="54"/>
      <c r="KKV2477" s="54"/>
      <c r="KKW2477" s="60"/>
      <c r="KKX2477" s="60"/>
      <c r="KKY2477" s="60"/>
      <c r="KKZ2477" s="60"/>
      <c r="KLA2477" s="63"/>
      <c r="KLB2477" s="61"/>
      <c r="KLC2477" s="54"/>
      <c r="KLD2477" s="54"/>
      <c r="KLE2477" s="60"/>
      <c r="KLF2477" s="60"/>
      <c r="KLG2477" s="60"/>
      <c r="KLH2477" s="60"/>
      <c r="KLI2477" s="63"/>
      <c r="KLJ2477" s="61"/>
      <c r="KLK2477" s="54"/>
      <c r="KLL2477" s="54"/>
      <c r="KLM2477" s="60"/>
      <c r="KLN2477" s="60"/>
      <c r="KLO2477" s="60"/>
      <c r="KLP2477" s="60"/>
      <c r="KLQ2477" s="63"/>
      <c r="KLR2477" s="61"/>
      <c r="KLS2477" s="54"/>
      <c r="KLT2477" s="54"/>
      <c r="KLU2477" s="60"/>
      <c r="KLV2477" s="60"/>
      <c r="KLW2477" s="60"/>
      <c r="KLX2477" s="60"/>
      <c r="KLY2477" s="63"/>
      <c r="KLZ2477" s="61"/>
      <c r="KMA2477" s="54"/>
      <c r="KMB2477" s="54"/>
      <c r="KMC2477" s="60"/>
      <c r="KMD2477" s="60"/>
      <c r="KME2477" s="60"/>
      <c r="KMF2477" s="60"/>
      <c r="KMG2477" s="63"/>
      <c r="KMH2477" s="61"/>
      <c r="KMI2477" s="54"/>
      <c r="KMJ2477" s="54"/>
      <c r="KMK2477" s="60"/>
      <c r="KML2477" s="60"/>
      <c r="KMM2477" s="60"/>
      <c r="KMN2477" s="60"/>
      <c r="KMO2477" s="63"/>
      <c r="KMP2477" s="61"/>
      <c r="KMQ2477" s="54"/>
      <c r="KMR2477" s="54"/>
      <c r="KMS2477" s="60"/>
      <c r="KMT2477" s="60"/>
      <c r="KMU2477" s="60"/>
      <c r="KMV2477" s="60"/>
      <c r="KMW2477" s="63"/>
      <c r="KMX2477" s="61"/>
      <c r="KMY2477" s="54"/>
      <c r="KMZ2477" s="54"/>
      <c r="KNA2477" s="60"/>
      <c r="KNB2477" s="60"/>
      <c r="KNC2477" s="60"/>
      <c r="KND2477" s="60"/>
      <c r="KNE2477" s="63"/>
      <c r="KNF2477" s="61"/>
      <c r="KNG2477" s="54"/>
      <c r="KNH2477" s="54"/>
      <c r="KNI2477" s="60"/>
      <c r="KNJ2477" s="60"/>
      <c r="KNK2477" s="60"/>
      <c r="KNL2477" s="60"/>
      <c r="KNM2477" s="63"/>
      <c r="KNN2477" s="61"/>
      <c r="KNO2477" s="54"/>
      <c r="KNP2477" s="54"/>
      <c r="KNQ2477" s="60"/>
      <c r="KNR2477" s="60"/>
      <c r="KNS2477" s="60"/>
      <c r="KNT2477" s="60"/>
      <c r="KNU2477" s="63"/>
      <c r="KNV2477" s="61"/>
      <c r="KNW2477" s="54"/>
      <c r="KNX2477" s="54"/>
      <c r="KNY2477" s="60"/>
      <c r="KNZ2477" s="60"/>
      <c r="KOA2477" s="60"/>
      <c r="KOB2477" s="60"/>
      <c r="KOC2477" s="63"/>
      <c r="KOD2477" s="61"/>
      <c r="KOE2477" s="54"/>
      <c r="KOF2477" s="54"/>
      <c r="KOG2477" s="60"/>
      <c r="KOH2477" s="60"/>
      <c r="KOI2477" s="60"/>
      <c r="KOJ2477" s="60"/>
      <c r="KOK2477" s="63"/>
      <c r="KOL2477" s="61"/>
      <c r="KOM2477" s="54"/>
      <c r="KON2477" s="54"/>
      <c r="KOO2477" s="60"/>
      <c r="KOP2477" s="60"/>
      <c r="KOQ2477" s="60"/>
      <c r="KOR2477" s="60"/>
      <c r="KOS2477" s="63"/>
      <c r="KOT2477" s="61"/>
      <c r="KOU2477" s="54"/>
      <c r="KOV2477" s="54"/>
      <c r="KOW2477" s="60"/>
      <c r="KOX2477" s="60"/>
      <c r="KOY2477" s="60"/>
      <c r="KOZ2477" s="60"/>
      <c r="KPA2477" s="63"/>
      <c r="KPB2477" s="61"/>
      <c r="KPC2477" s="54"/>
      <c r="KPD2477" s="54"/>
      <c r="KPE2477" s="60"/>
      <c r="KPF2477" s="60"/>
      <c r="KPG2477" s="60"/>
      <c r="KPH2477" s="60"/>
      <c r="KPI2477" s="63"/>
      <c r="KPJ2477" s="61"/>
      <c r="KPK2477" s="54"/>
      <c r="KPL2477" s="54"/>
      <c r="KPM2477" s="60"/>
      <c r="KPN2477" s="60"/>
      <c r="KPO2477" s="60"/>
      <c r="KPP2477" s="60"/>
      <c r="KPQ2477" s="63"/>
      <c r="KPR2477" s="61"/>
      <c r="KPS2477" s="54"/>
      <c r="KPT2477" s="54"/>
      <c r="KPU2477" s="60"/>
      <c r="KPV2477" s="60"/>
      <c r="KPW2477" s="60"/>
      <c r="KPX2477" s="60"/>
      <c r="KPY2477" s="63"/>
      <c r="KPZ2477" s="61"/>
      <c r="KQA2477" s="54"/>
      <c r="KQB2477" s="54"/>
      <c r="KQC2477" s="60"/>
      <c r="KQD2477" s="60"/>
      <c r="KQE2477" s="60"/>
      <c r="KQF2477" s="60"/>
      <c r="KQG2477" s="63"/>
      <c r="KQH2477" s="61"/>
      <c r="KQI2477" s="54"/>
      <c r="KQJ2477" s="54"/>
      <c r="KQK2477" s="60"/>
      <c r="KQL2477" s="60"/>
      <c r="KQM2477" s="60"/>
      <c r="KQN2477" s="60"/>
      <c r="KQO2477" s="63"/>
      <c r="KQP2477" s="61"/>
      <c r="KQQ2477" s="54"/>
      <c r="KQR2477" s="54"/>
      <c r="KQS2477" s="60"/>
      <c r="KQT2477" s="60"/>
      <c r="KQU2477" s="60"/>
      <c r="KQV2477" s="60"/>
      <c r="KQW2477" s="63"/>
      <c r="KQX2477" s="61"/>
      <c r="KQY2477" s="54"/>
      <c r="KQZ2477" s="54"/>
      <c r="KRA2477" s="60"/>
      <c r="KRB2477" s="60"/>
      <c r="KRC2477" s="60"/>
      <c r="KRD2477" s="60"/>
      <c r="KRE2477" s="63"/>
      <c r="KRF2477" s="61"/>
      <c r="KRG2477" s="54"/>
      <c r="KRH2477" s="54"/>
      <c r="KRI2477" s="60"/>
      <c r="KRJ2477" s="60"/>
      <c r="KRK2477" s="60"/>
      <c r="KRL2477" s="60"/>
      <c r="KRM2477" s="63"/>
      <c r="KRN2477" s="61"/>
      <c r="KRO2477" s="54"/>
      <c r="KRP2477" s="54"/>
      <c r="KRQ2477" s="60"/>
      <c r="KRR2477" s="60"/>
      <c r="KRS2477" s="60"/>
      <c r="KRT2477" s="60"/>
      <c r="KRU2477" s="63"/>
      <c r="KRV2477" s="61"/>
      <c r="KRW2477" s="54"/>
      <c r="KRX2477" s="54"/>
      <c r="KRY2477" s="60"/>
      <c r="KRZ2477" s="60"/>
      <c r="KSA2477" s="60"/>
      <c r="KSB2477" s="60"/>
      <c r="KSC2477" s="63"/>
      <c r="KSD2477" s="61"/>
      <c r="KSE2477" s="54"/>
      <c r="KSF2477" s="54"/>
      <c r="KSG2477" s="60"/>
      <c r="KSH2477" s="60"/>
      <c r="KSI2477" s="60"/>
      <c r="KSJ2477" s="60"/>
      <c r="KSK2477" s="63"/>
      <c r="KSL2477" s="61"/>
      <c r="KSM2477" s="54"/>
      <c r="KSN2477" s="54"/>
      <c r="KSO2477" s="60"/>
      <c r="KSP2477" s="60"/>
      <c r="KSQ2477" s="60"/>
      <c r="KSR2477" s="60"/>
      <c r="KSS2477" s="63"/>
      <c r="KST2477" s="61"/>
      <c r="KSU2477" s="54"/>
      <c r="KSV2477" s="54"/>
      <c r="KSW2477" s="60"/>
      <c r="KSX2477" s="60"/>
      <c r="KSY2477" s="60"/>
      <c r="KSZ2477" s="60"/>
      <c r="KTA2477" s="63"/>
      <c r="KTB2477" s="61"/>
      <c r="KTC2477" s="54"/>
      <c r="KTD2477" s="54"/>
      <c r="KTE2477" s="60"/>
      <c r="KTF2477" s="60"/>
      <c r="KTG2477" s="60"/>
      <c r="KTH2477" s="60"/>
      <c r="KTI2477" s="63"/>
      <c r="KTJ2477" s="61"/>
      <c r="KTK2477" s="54"/>
      <c r="KTL2477" s="54"/>
      <c r="KTM2477" s="60"/>
      <c r="KTN2477" s="60"/>
      <c r="KTO2477" s="60"/>
      <c r="KTP2477" s="60"/>
      <c r="KTQ2477" s="63"/>
      <c r="KTR2477" s="61"/>
      <c r="KTS2477" s="54"/>
      <c r="KTT2477" s="54"/>
      <c r="KTU2477" s="60"/>
      <c r="KTV2477" s="60"/>
      <c r="KTW2477" s="60"/>
      <c r="KTX2477" s="60"/>
      <c r="KTY2477" s="63"/>
      <c r="KTZ2477" s="61"/>
      <c r="KUA2477" s="54"/>
      <c r="KUB2477" s="54"/>
      <c r="KUC2477" s="60"/>
      <c r="KUD2477" s="60"/>
      <c r="KUE2477" s="60"/>
      <c r="KUF2477" s="60"/>
      <c r="KUG2477" s="63"/>
      <c r="KUH2477" s="61"/>
      <c r="KUI2477" s="54"/>
      <c r="KUJ2477" s="54"/>
      <c r="KUK2477" s="60"/>
      <c r="KUL2477" s="60"/>
      <c r="KUM2477" s="60"/>
      <c r="KUN2477" s="60"/>
      <c r="KUO2477" s="63"/>
      <c r="KUP2477" s="61"/>
      <c r="KUQ2477" s="54"/>
      <c r="KUR2477" s="54"/>
      <c r="KUS2477" s="60"/>
      <c r="KUT2477" s="60"/>
      <c r="KUU2477" s="60"/>
      <c r="KUV2477" s="60"/>
      <c r="KUW2477" s="63"/>
      <c r="KUX2477" s="61"/>
      <c r="KUY2477" s="54"/>
      <c r="KUZ2477" s="54"/>
      <c r="KVA2477" s="60"/>
      <c r="KVB2477" s="60"/>
      <c r="KVC2477" s="60"/>
      <c r="KVD2477" s="60"/>
      <c r="KVE2477" s="63"/>
      <c r="KVF2477" s="61"/>
      <c r="KVG2477" s="54"/>
      <c r="KVH2477" s="54"/>
      <c r="KVI2477" s="60"/>
      <c r="KVJ2477" s="60"/>
      <c r="KVK2477" s="60"/>
      <c r="KVL2477" s="60"/>
      <c r="KVM2477" s="63"/>
      <c r="KVN2477" s="61"/>
      <c r="KVO2477" s="54"/>
      <c r="KVP2477" s="54"/>
      <c r="KVQ2477" s="60"/>
      <c r="KVR2477" s="60"/>
      <c r="KVS2477" s="60"/>
      <c r="KVT2477" s="60"/>
      <c r="KVU2477" s="63"/>
      <c r="KVV2477" s="61"/>
      <c r="KVW2477" s="54"/>
      <c r="KVX2477" s="54"/>
      <c r="KVY2477" s="60"/>
      <c r="KVZ2477" s="60"/>
      <c r="KWA2477" s="60"/>
      <c r="KWB2477" s="60"/>
      <c r="KWC2477" s="63"/>
      <c r="KWD2477" s="61"/>
      <c r="KWE2477" s="54"/>
      <c r="KWF2477" s="54"/>
      <c r="KWG2477" s="60"/>
      <c r="KWH2477" s="60"/>
      <c r="KWI2477" s="60"/>
      <c r="KWJ2477" s="60"/>
      <c r="KWK2477" s="63"/>
      <c r="KWL2477" s="61"/>
      <c r="KWM2477" s="54"/>
      <c r="KWN2477" s="54"/>
      <c r="KWO2477" s="60"/>
      <c r="KWP2477" s="60"/>
      <c r="KWQ2477" s="60"/>
      <c r="KWR2477" s="60"/>
      <c r="KWS2477" s="63"/>
      <c r="KWT2477" s="61"/>
      <c r="KWU2477" s="54"/>
      <c r="KWV2477" s="54"/>
      <c r="KWW2477" s="60"/>
      <c r="KWX2477" s="60"/>
      <c r="KWY2477" s="60"/>
      <c r="KWZ2477" s="60"/>
      <c r="KXA2477" s="63"/>
      <c r="KXB2477" s="61"/>
      <c r="KXC2477" s="54"/>
      <c r="KXD2477" s="54"/>
      <c r="KXE2477" s="60"/>
      <c r="KXF2477" s="60"/>
      <c r="KXG2477" s="60"/>
      <c r="KXH2477" s="60"/>
      <c r="KXI2477" s="63"/>
      <c r="KXJ2477" s="61"/>
      <c r="KXK2477" s="54"/>
      <c r="KXL2477" s="54"/>
      <c r="KXM2477" s="60"/>
      <c r="KXN2477" s="60"/>
      <c r="KXO2477" s="60"/>
      <c r="KXP2477" s="60"/>
      <c r="KXQ2477" s="63"/>
      <c r="KXR2477" s="61"/>
      <c r="KXS2477" s="54"/>
      <c r="KXT2477" s="54"/>
      <c r="KXU2477" s="60"/>
      <c r="KXV2477" s="60"/>
      <c r="KXW2477" s="60"/>
      <c r="KXX2477" s="60"/>
      <c r="KXY2477" s="63"/>
      <c r="KXZ2477" s="61"/>
      <c r="KYA2477" s="54"/>
      <c r="KYB2477" s="54"/>
      <c r="KYC2477" s="60"/>
      <c r="KYD2477" s="60"/>
      <c r="KYE2477" s="60"/>
      <c r="KYF2477" s="60"/>
      <c r="KYG2477" s="63"/>
      <c r="KYH2477" s="61"/>
      <c r="KYI2477" s="54"/>
      <c r="KYJ2477" s="54"/>
      <c r="KYK2477" s="60"/>
      <c r="KYL2477" s="60"/>
      <c r="KYM2477" s="60"/>
      <c r="KYN2477" s="60"/>
      <c r="KYO2477" s="63"/>
      <c r="KYP2477" s="61"/>
      <c r="KYQ2477" s="54"/>
      <c r="KYR2477" s="54"/>
      <c r="KYS2477" s="60"/>
      <c r="KYT2477" s="60"/>
      <c r="KYU2477" s="60"/>
      <c r="KYV2477" s="60"/>
      <c r="KYW2477" s="63"/>
      <c r="KYX2477" s="61"/>
      <c r="KYY2477" s="54"/>
      <c r="KYZ2477" s="54"/>
      <c r="KZA2477" s="60"/>
      <c r="KZB2477" s="60"/>
      <c r="KZC2477" s="60"/>
      <c r="KZD2477" s="60"/>
      <c r="KZE2477" s="63"/>
      <c r="KZF2477" s="61"/>
      <c r="KZG2477" s="54"/>
      <c r="KZH2477" s="54"/>
      <c r="KZI2477" s="60"/>
      <c r="KZJ2477" s="60"/>
      <c r="KZK2477" s="60"/>
      <c r="KZL2477" s="60"/>
      <c r="KZM2477" s="63"/>
      <c r="KZN2477" s="61"/>
      <c r="KZO2477" s="54"/>
      <c r="KZP2477" s="54"/>
      <c r="KZQ2477" s="60"/>
      <c r="KZR2477" s="60"/>
      <c r="KZS2477" s="60"/>
      <c r="KZT2477" s="60"/>
      <c r="KZU2477" s="63"/>
      <c r="KZV2477" s="61"/>
      <c r="KZW2477" s="54"/>
      <c r="KZX2477" s="54"/>
      <c r="KZY2477" s="60"/>
      <c r="KZZ2477" s="60"/>
      <c r="LAA2477" s="60"/>
      <c r="LAB2477" s="60"/>
      <c r="LAC2477" s="63"/>
      <c r="LAD2477" s="61"/>
      <c r="LAE2477" s="54"/>
      <c r="LAF2477" s="54"/>
      <c r="LAG2477" s="60"/>
      <c r="LAH2477" s="60"/>
      <c r="LAI2477" s="60"/>
      <c r="LAJ2477" s="60"/>
      <c r="LAK2477" s="63"/>
      <c r="LAL2477" s="61"/>
      <c r="LAM2477" s="54"/>
      <c r="LAN2477" s="54"/>
      <c r="LAO2477" s="60"/>
      <c r="LAP2477" s="60"/>
      <c r="LAQ2477" s="60"/>
      <c r="LAR2477" s="60"/>
      <c r="LAS2477" s="63"/>
      <c r="LAT2477" s="61"/>
      <c r="LAU2477" s="54"/>
      <c r="LAV2477" s="54"/>
      <c r="LAW2477" s="60"/>
      <c r="LAX2477" s="60"/>
      <c r="LAY2477" s="60"/>
      <c r="LAZ2477" s="60"/>
      <c r="LBA2477" s="63"/>
      <c r="LBB2477" s="61"/>
      <c r="LBC2477" s="54"/>
      <c r="LBD2477" s="54"/>
      <c r="LBE2477" s="60"/>
      <c r="LBF2477" s="60"/>
      <c r="LBG2477" s="60"/>
      <c r="LBH2477" s="60"/>
      <c r="LBI2477" s="63"/>
      <c r="LBJ2477" s="61"/>
      <c r="LBK2477" s="54"/>
      <c r="LBL2477" s="54"/>
      <c r="LBM2477" s="60"/>
      <c r="LBN2477" s="60"/>
      <c r="LBO2477" s="60"/>
      <c r="LBP2477" s="60"/>
      <c r="LBQ2477" s="63"/>
      <c r="LBR2477" s="61"/>
      <c r="LBS2477" s="54"/>
      <c r="LBT2477" s="54"/>
      <c r="LBU2477" s="60"/>
      <c r="LBV2477" s="60"/>
      <c r="LBW2477" s="60"/>
      <c r="LBX2477" s="60"/>
      <c r="LBY2477" s="63"/>
      <c r="LBZ2477" s="61"/>
      <c r="LCA2477" s="54"/>
      <c r="LCB2477" s="54"/>
      <c r="LCC2477" s="60"/>
      <c r="LCD2477" s="60"/>
      <c r="LCE2477" s="60"/>
      <c r="LCF2477" s="60"/>
      <c r="LCG2477" s="63"/>
      <c r="LCH2477" s="61"/>
      <c r="LCI2477" s="54"/>
      <c r="LCJ2477" s="54"/>
      <c r="LCK2477" s="60"/>
      <c r="LCL2477" s="60"/>
      <c r="LCM2477" s="60"/>
      <c r="LCN2477" s="60"/>
      <c r="LCO2477" s="63"/>
      <c r="LCP2477" s="61"/>
      <c r="LCQ2477" s="54"/>
      <c r="LCR2477" s="54"/>
      <c r="LCS2477" s="60"/>
      <c r="LCT2477" s="60"/>
      <c r="LCU2477" s="60"/>
      <c r="LCV2477" s="60"/>
      <c r="LCW2477" s="63"/>
      <c r="LCX2477" s="61"/>
      <c r="LCY2477" s="54"/>
      <c r="LCZ2477" s="54"/>
      <c r="LDA2477" s="60"/>
      <c r="LDB2477" s="60"/>
      <c r="LDC2477" s="60"/>
      <c r="LDD2477" s="60"/>
      <c r="LDE2477" s="63"/>
      <c r="LDF2477" s="61"/>
      <c r="LDG2477" s="54"/>
      <c r="LDH2477" s="54"/>
      <c r="LDI2477" s="60"/>
      <c r="LDJ2477" s="60"/>
      <c r="LDK2477" s="60"/>
      <c r="LDL2477" s="60"/>
      <c r="LDM2477" s="63"/>
      <c r="LDN2477" s="61"/>
      <c r="LDO2477" s="54"/>
      <c r="LDP2477" s="54"/>
      <c r="LDQ2477" s="60"/>
      <c r="LDR2477" s="60"/>
      <c r="LDS2477" s="60"/>
      <c r="LDT2477" s="60"/>
      <c r="LDU2477" s="63"/>
      <c r="LDV2477" s="61"/>
      <c r="LDW2477" s="54"/>
      <c r="LDX2477" s="54"/>
      <c r="LDY2477" s="60"/>
      <c r="LDZ2477" s="60"/>
      <c r="LEA2477" s="60"/>
      <c r="LEB2477" s="60"/>
      <c r="LEC2477" s="63"/>
      <c r="LED2477" s="61"/>
      <c r="LEE2477" s="54"/>
      <c r="LEF2477" s="54"/>
      <c r="LEG2477" s="60"/>
      <c r="LEH2477" s="60"/>
      <c r="LEI2477" s="60"/>
      <c r="LEJ2477" s="60"/>
      <c r="LEK2477" s="63"/>
      <c r="LEL2477" s="61"/>
      <c r="LEM2477" s="54"/>
      <c r="LEN2477" s="54"/>
      <c r="LEO2477" s="60"/>
      <c r="LEP2477" s="60"/>
      <c r="LEQ2477" s="60"/>
      <c r="LER2477" s="60"/>
      <c r="LES2477" s="63"/>
      <c r="LET2477" s="61"/>
      <c r="LEU2477" s="54"/>
      <c r="LEV2477" s="54"/>
      <c r="LEW2477" s="60"/>
      <c r="LEX2477" s="60"/>
      <c r="LEY2477" s="60"/>
      <c r="LEZ2477" s="60"/>
      <c r="LFA2477" s="63"/>
      <c r="LFB2477" s="61"/>
      <c r="LFC2477" s="54"/>
      <c r="LFD2477" s="54"/>
      <c r="LFE2477" s="60"/>
      <c r="LFF2477" s="60"/>
      <c r="LFG2477" s="60"/>
      <c r="LFH2477" s="60"/>
      <c r="LFI2477" s="63"/>
      <c r="LFJ2477" s="61"/>
      <c r="LFK2477" s="54"/>
      <c r="LFL2477" s="54"/>
      <c r="LFM2477" s="60"/>
      <c r="LFN2477" s="60"/>
      <c r="LFO2477" s="60"/>
      <c r="LFP2477" s="60"/>
      <c r="LFQ2477" s="63"/>
      <c r="LFR2477" s="61"/>
      <c r="LFS2477" s="54"/>
      <c r="LFT2477" s="54"/>
      <c r="LFU2477" s="60"/>
      <c r="LFV2477" s="60"/>
      <c r="LFW2477" s="60"/>
      <c r="LFX2477" s="60"/>
      <c r="LFY2477" s="63"/>
      <c r="LFZ2477" s="61"/>
      <c r="LGA2477" s="54"/>
      <c r="LGB2477" s="54"/>
      <c r="LGC2477" s="60"/>
      <c r="LGD2477" s="60"/>
      <c r="LGE2477" s="60"/>
      <c r="LGF2477" s="60"/>
      <c r="LGG2477" s="63"/>
      <c r="LGH2477" s="61"/>
      <c r="LGI2477" s="54"/>
      <c r="LGJ2477" s="54"/>
      <c r="LGK2477" s="60"/>
      <c r="LGL2477" s="60"/>
      <c r="LGM2477" s="60"/>
      <c r="LGN2477" s="60"/>
      <c r="LGO2477" s="63"/>
      <c r="LGP2477" s="61"/>
      <c r="LGQ2477" s="54"/>
      <c r="LGR2477" s="54"/>
      <c r="LGS2477" s="60"/>
      <c r="LGT2477" s="60"/>
      <c r="LGU2477" s="60"/>
      <c r="LGV2477" s="60"/>
      <c r="LGW2477" s="63"/>
      <c r="LGX2477" s="61"/>
      <c r="LGY2477" s="54"/>
      <c r="LGZ2477" s="54"/>
      <c r="LHA2477" s="60"/>
      <c r="LHB2477" s="60"/>
      <c r="LHC2477" s="60"/>
      <c r="LHD2477" s="60"/>
      <c r="LHE2477" s="63"/>
      <c r="LHF2477" s="61"/>
      <c r="LHG2477" s="54"/>
      <c r="LHH2477" s="54"/>
      <c r="LHI2477" s="60"/>
      <c r="LHJ2477" s="60"/>
      <c r="LHK2477" s="60"/>
      <c r="LHL2477" s="60"/>
      <c r="LHM2477" s="63"/>
      <c r="LHN2477" s="61"/>
      <c r="LHO2477" s="54"/>
      <c r="LHP2477" s="54"/>
      <c r="LHQ2477" s="60"/>
      <c r="LHR2477" s="60"/>
      <c r="LHS2477" s="60"/>
      <c r="LHT2477" s="60"/>
      <c r="LHU2477" s="63"/>
      <c r="LHV2477" s="61"/>
      <c r="LHW2477" s="54"/>
      <c r="LHX2477" s="54"/>
      <c r="LHY2477" s="60"/>
      <c r="LHZ2477" s="60"/>
      <c r="LIA2477" s="60"/>
      <c r="LIB2477" s="60"/>
      <c r="LIC2477" s="63"/>
      <c r="LID2477" s="61"/>
      <c r="LIE2477" s="54"/>
      <c r="LIF2477" s="54"/>
      <c r="LIG2477" s="60"/>
      <c r="LIH2477" s="60"/>
      <c r="LII2477" s="60"/>
      <c r="LIJ2477" s="60"/>
      <c r="LIK2477" s="63"/>
      <c r="LIL2477" s="61"/>
      <c r="LIM2477" s="54"/>
      <c r="LIN2477" s="54"/>
      <c r="LIO2477" s="60"/>
      <c r="LIP2477" s="60"/>
      <c r="LIQ2477" s="60"/>
      <c r="LIR2477" s="60"/>
      <c r="LIS2477" s="63"/>
      <c r="LIT2477" s="61"/>
      <c r="LIU2477" s="54"/>
      <c r="LIV2477" s="54"/>
      <c r="LIW2477" s="60"/>
      <c r="LIX2477" s="60"/>
      <c r="LIY2477" s="60"/>
      <c r="LIZ2477" s="60"/>
      <c r="LJA2477" s="63"/>
      <c r="LJB2477" s="61"/>
      <c r="LJC2477" s="54"/>
      <c r="LJD2477" s="54"/>
      <c r="LJE2477" s="60"/>
      <c r="LJF2477" s="60"/>
      <c r="LJG2477" s="60"/>
      <c r="LJH2477" s="60"/>
      <c r="LJI2477" s="63"/>
      <c r="LJJ2477" s="61"/>
      <c r="LJK2477" s="54"/>
      <c r="LJL2477" s="54"/>
      <c r="LJM2477" s="60"/>
      <c r="LJN2477" s="60"/>
      <c r="LJO2477" s="60"/>
      <c r="LJP2477" s="60"/>
      <c r="LJQ2477" s="63"/>
      <c r="LJR2477" s="61"/>
      <c r="LJS2477" s="54"/>
      <c r="LJT2477" s="54"/>
      <c r="LJU2477" s="60"/>
      <c r="LJV2477" s="60"/>
      <c r="LJW2477" s="60"/>
      <c r="LJX2477" s="60"/>
      <c r="LJY2477" s="63"/>
      <c r="LJZ2477" s="61"/>
      <c r="LKA2477" s="54"/>
      <c r="LKB2477" s="54"/>
      <c r="LKC2477" s="60"/>
      <c r="LKD2477" s="60"/>
      <c r="LKE2477" s="60"/>
      <c r="LKF2477" s="60"/>
      <c r="LKG2477" s="63"/>
      <c r="LKH2477" s="61"/>
      <c r="LKI2477" s="54"/>
      <c r="LKJ2477" s="54"/>
      <c r="LKK2477" s="60"/>
      <c r="LKL2477" s="60"/>
      <c r="LKM2477" s="60"/>
      <c r="LKN2477" s="60"/>
      <c r="LKO2477" s="63"/>
      <c r="LKP2477" s="61"/>
      <c r="LKQ2477" s="54"/>
      <c r="LKR2477" s="54"/>
      <c r="LKS2477" s="60"/>
      <c r="LKT2477" s="60"/>
      <c r="LKU2477" s="60"/>
      <c r="LKV2477" s="60"/>
      <c r="LKW2477" s="63"/>
      <c r="LKX2477" s="61"/>
      <c r="LKY2477" s="54"/>
      <c r="LKZ2477" s="54"/>
      <c r="LLA2477" s="60"/>
      <c r="LLB2477" s="60"/>
      <c r="LLC2477" s="60"/>
      <c r="LLD2477" s="60"/>
      <c r="LLE2477" s="63"/>
      <c r="LLF2477" s="61"/>
      <c r="LLG2477" s="54"/>
      <c r="LLH2477" s="54"/>
      <c r="LLI2477" s="60"/>
      <c r="LLJ2477" s="60"/>
      <c r="LLK2477" s="60"/>
      <c r="LLL2477" s="60"/>
      <c r="LLM2477" s="63"/>
      <c r="LLN2477" s="61"/>
      <c r="LLO2477" s="54"/>
      <c r="LLP2477" s="54"/>
      <c r="LLQ2477" s="60"/>
      <c r="LLR2477" s="60"/>
      <c r="LLS2477" s="60"/>
      <c r="LLT2477" s="60"/>
      <c r="LLU2477" s="63"/>
      <c r="LLV2477" s="61"/>
      <c r="LLW2477" s="54"/>
      <c r="LLX2477" s="54"/>
      <c r="LLY2477" s="60"/>
      <c r="LLZ2477" s="60"/>
      <c r="LMA2477" s="60"/>
      <c r="LMB2477" s="60"/>
      <c r="LMC2477" s="63"/>
      <c r="LMD2477" s="61"/>
      <c r="LME2477" s="54"/>
      <c r="LMF2477" s="54"/>
      <c r="LMG2477" s="60"/>
      <c r="LMH2477" s="60"/>
      <c r="LMI2477" s="60"/>
      <c r="LMJ2477" s="60"/>
      <c r="LMK2477" s="63"/>
      <c r="LML2477" s="61"/>
      <c r="LMM2477" s="54"/>
      <c r="LMN2477" s="54"/>
      <c r="LMO2477" s="60"/>
      <c r="LMP2477" s="60"/>
      <c r="LMQ2477" s="60"/>
      <c r="LMR2477" s="60"/>
      <c r="LMS2477" s="63"/>
      <c r="LMT2477" s="61"/>
      <c r="LMU2477" s="54"/>
      <c r="LMV2477" s="54"/>
      <c r="LMW2477" s="60"/>
      <c r="LMX2477" s="60"/>
      <c r="LMY2477" s="60"/>
      <c r="LMZ2477" s="60"/>
      <c r="LNA2477" s="63"/>
      <c r="LNB2477" s="61"/>
      <c r="LNC2477" s="54"/>
      <c r="LND2477" s="54"/>
      <c r="LNE2477" s="60"/>
      <c r="LNF2477" s="60"/>
      <c r="LNG2477" s="60"/>
      <c r="LNH2477" s="60"/>
      <c r="LNI2477" s="63"/>
      <c r="LNJ2477" s="61"/>
      <c r="LNK2477" s="54"/>
      <c r="LNL2477" s="54"/>
      <c r="LNM2477" s="60"/>
      <c r="LNN2477" s="60"/>
      <c r="LNO2477" s="60"/>
      <c r="LNP2477" s="60"/>
      <c r="LNQ2477" s="63"/>
      <c r="LNR2477" s="61"/>
      <c r="LNS2477" s="54"/>
      <c r="LNT2477" s="54"/>
      <c r="LNU2477" s="60"/>
      <c r="LNV2477" s="60"/>
      <c r="LNW2477" s="60"/>
      <c r="LNX2477" s="60"/>
      <c r="LNY2477" s="63"/>
      <c r="LNZ2477" s="61"/>
      <c r="LOA2477" s="54"/>
      <c r="LOB2477" s="54"/>
      <c r="LOC2477" s="60"/>
      <c r="LOD2477" s="60"/>
      <c r="LOE2477" s="60"/>
      <c r="LOF2477" s="60"/>
      <c r="LOG2477" s="63"/>
      <c r="LOH2477" s="61"/>
      <c r="LOI2477" s="54"/>
      <c r="LOJ2477" s="54"/>
      <c r="LOK2477" s="60"/>
      <c r="LOL2477" s="60"/>
      <c r="LOM2477" s="60"/>
      <c r="LON2477" s="60"/>
      <c r="LOO2477" s="63"/>
      <c r="LOP2477" s="61"/>
      <c r="LOQ2477" s="54"/>
      <c r="LOR2477" s="54"/>
      <c r="LOS2477" s="60"/>
      <c r="LOT2477" s="60"/>
      <c r="LOU2477" s="60"/>
      <c r="LOV2477" s="60"/>
      <c r="LOW2477" s="63"/>
      <c r="LOX2477" s="61"/>
      <c r="LOY2477" s="54"/>
      <c r="LOZ2477" s="54"/>
      <c r="LPA2477" s="60"/>
      <c r="LPB2477" s="60"/>
      <c r="LPC2477" s="60"/>
      <c r="LPD2477" s="60"/>
      <c r="LPE2477" s="63"/>
      <c r="LPF2477" s="61"/>
      <c r="LPG2477" s="54"/>
      <c r="LPH2477" s="54"/>
      <c r="LPI2477" s="60"/>
      <c r="LPJ2477" s="60"/>
      <c r="LPK2477" s="60"/>
      <c r="LPL2477" s="60"/>
      <c r="LPM2477" s="63"/>
      <c r="LPN2477" s="61"/>
      <c r="LPO2477" s="54"/>
      <c r="LPP2477" s="54"/>
      <c r="LPQ2477" s="60"/>
      <c r="LPR2477" s="60"/>
      <c r="LPS2477" s="60"/>
      <c r="LPT2477" s="60"/>
      <c r="LPU2477" s="63"/>
      <c r="LPV2477" s="61"/>
      <c r="LPW2477" s="54"/>
      <c r="LPX2477" s="54"/>
      <c r="LPY2477" s="60"/>
      <c r="LPZ2477" s="60"/>
      <c r="LQA2477" s="60"/>
      <c r="LQB2477" s="60"/>
      <c r="LQC2477" s="63"/>
      <c r="LQD2477" s="61"/>
      <c r="LQE2477" s="54"/>
      <c r="LQF2477" s="54"/>
      <c r="LQG2477" s="60"/>
      <c r="LQH2477" s="60"/>
      <c r="LQI2477" s="60"/>
      <c r="LQJ2477" s="60"/>
      <c r="LQK2477" s="63"/>
      <c r="LQL2477" s="61"/>
      <c r="LQM2477" s="54"/>
      <c r="LQN2477" s="54"/>
      <c r="LQO2477" s="60"/>
      <c r="LQP2477" s="60"/>
      <c r="LQQ2477" s="60"/>
      <c r="LQR2477" s="60"/>
      <c r="LQS2477" s="63"/>
      <c r="LQT2477" s="61"/>
      <c r="LQU2477" s="54"/>
      <c r="LQV2477" s="54"/>
      <c r="LQW2477" s="60"/>
      <c r="LQX2477" s="60"/>
      <c r="LQY2477" s="60"/>
      <c r="LQZ2477" s="60"/>
      <c r="LRA2477" s="63"/>
      <c r="LRB2477" s="61"/>
      <c r="LRC2477" s="54"/>
      <c r="LRD2477" s="54"/>
      <c r="LRE2477" s="60"/>
      <c r="LRF2477" s="60"/>
      <c r="LRG2477" s="60"/>
      <c r="LRH2477" s="60"/>
      <c r="LRI2477" s="63"/>
      <c r="LRJ2477" s="61"/>
      <c r="LRK2477" s="54"/>
      <c r="LRL2477" s="54"/>
      <c r="LRM2477" s="60"/>
      <c r="LRN2477" s="60"/>
      <c r="LRO2477" s="60"/>
      <c r="LRP2477" s="60"/>
      <c r="LRQ2477" s="63"/>
      <c r="LRR2477" s="61"/>
      <c r="LRS2477" s="54"/>
      <c r="LRT2477" s="54"/>
      <c r="LRU2477" s="60"/>
      <c r="LRV2477" s="60"/>
      <c r="LRW2477" s="60"/>
      <c r="LRX2477" s="60"/>
      <c r="LRY2477" s="63"/>
      <c r="LRZ2477" s="61"/>
      <c r="LSA2477" s="54"/>
      <c r="LSB2477" s="54"/>
      <c r="LSC2477" s="60"/>
      <c r="LSD2477" s="60"/>
      <c r="LSE2477" s="60"/>
      <c r="LSF2477" s="60"/>
      <c r="LSG2477" s="63"/>
      <c r="LSH2477" s="61"/>
      <c r="LSI2477" s="54"/>
      <c r="LSJ2477" s="54"/>
      <c r="LSK2477" s="60"/>
      <c r="LSL2477" s="60"/>
      <c r="LSM2477" s="60"/>
      <c r="LSN2477" s="60"/>
      <c r="LSO2477" s="63"/>
      <c r="LSP2477" s="61"/>
      <c r="LSQ2477" s="54"/>
      <c r="LSR2477" s="54"/>
      <c r="LSS2477" s="60"/>
      <c r="LST2477" s="60"/>
      <c r="LSU2477" s="60"/>
      <c r="LSV2477" s="60"/>
      <c r="LSW2477" s="63"/>
      <c r="LSX2477" s="61"/>
      <c r="LSY2477" s="54"/>
      <c r="LSZ2477" s="54"/>
      <c r="LTA2477" s="60"/>
      <c r="LTB2477" s="60"/>
      <c r="LTC2477" s="60"/>
      <c r="LTD2477" s="60"/>
      <c r="LTE2477" s="63"/>
      <c r="LTF2477" s="61"/>
      <c r="LTG2477" s="54"/>
      <c r="LTH2477" s="54"/>
      <c r="LTI2477" s="60"/>
      <c r="LTJ2477" s="60"/>
      <c r="LTK2477" s="60"/>
      <c r="LTL2477" s="60"/>
      <c r="LTM2477" s="63"/>
      <c r="LTN2477" s="61"/>
      <c r="LTO2477" s="54"/>
      <c r="LTP2477" s="54"/>
      <c r="LTQ2477" s="60"/>
      <c r="LTR2477" s="60"/>
      <c r="LTS2477" s="60"/>
      <c r="LTT2477" s="60"/>
      <c r="LTU2477" s="63"/>
      <c r="LTV2477" s="61"/>
      <c r="LTW2477" s="54"/>
      <c r="LTX2477" s="54"/>
      <c r="LTY2477" s="60"/>
      <c r="LTZ2477" s="60"/>
      <c r="LUA2477" s="60"/>
      <c r="LUB2477" s="60"/>
      <c r="LUC2477" s="63"/>
      <c r="LUD2477" s="61"/>
      <c r="LUE2477" s="54"/>
      <c r="LUF2477" s="54"/>
      <c r="LUG2477" s="60"/>
      <c r="LUH2477" s="60"/>
      <c r="LUI2477" s="60"/>
      <c r="LUJ2477" s="60"/>
      <c r="LUK2477" s="63"/>
      <c r="LUL2477" s="61"/>
      <c r="LUM2477" s="54"/>
      <c r="LUN2477" s="54"/>
      <c r="LUO2477" s="60"/>
      <c r="LUP2477" s="60"/>
      <c r="LUQ2477" s="60"/>
      <c r="LUR2477" s="60"/>
      <c r="LUS2477" s="63"/>
      <c r="LUT2477" s="61"/>
      <c r="LUU2477" s="54"/>
      <c r="LUV2477" s="54"/>
      <c r="LUW2477" s="60"/>
      <c r="LUX2477" s="60"/>
      <c r="LUY2477" s="60"/>
      <c r="LUZ2477" s="60"/>
      <c r="LVA2477" s="63"/>
      <c r="LVB2477" s="61"/>
      <c r="LVC2477" s="54"/>
      <c r="LVD2477" s="54"/>
      <c r="LVE2477" s="60"/>
      <c r="LVF2477" s="60"/>
      <c r="LVG2477" s="60"/>
      <c r="LVH2477" s="60"/>
      <c r="LVI2477" s="63"/>
      <c r="LVJ2477" s="61"/>
      <c r="LVK2477" s="54"/>
      <c r="LVL2477" s="54"/>
      <c r="LVM2477" s="60"/>
      <c r="LVN2477" s="60"/>
      <c r="LVO2477" s="60"/>
      <c r="LVP2477" s="60"/>
      <c r="LVQ2477" s="63"/>
      <c r="LVR2477" s="61"/>
      <c r="LVS2477" s="54"/>
      <c r="LVT2477" s="54"/>
      <c r="LVU2477" s="60"/>
      <c r="LVV2477" s="60"/>
      <c r="LVW2477" s="60"/>
      <c r="LVX2477" s="60"/>
      <c r="LVY2477" s="63"/>
      <c r="LVZ2477" s="61"/>
      <c r="LWA2477" s="54"/>
      <c r="LWB2477" s="54"/>
      <c r="LWC2477" s="60"/>
      <c r="LWD2477" s="60"/>
      <c r="LWE2477" s="60"/>
      <c r="LWF2477" s="60"/>
      <c r="LWG2477" s="63"/>
      <c r="LWH2477" s="61"/>
      <c r="LWI2477" s="54"/>
      <c r="LWJ2477" s="54"/>
      <c r="LWK2477" s="60"/>
      <c r="LWL2477" s="60"/>
      <c r="LWM2477" s="60"/>
      <c r="LWN2477" s="60"/>
      <c r="LWO2477" s="63"/>
      <c r="LWP2477" s="61"/>
      <c r="LWQ2477" s="54"/>
      <c r="LWR2477" s="54"/>
      <c r="LWS2477" s="60"/>
      <c r="LWT2477" s="60"/>
      <c r="LWU2477" s="60"/>
      <c r="LWV2477" s="60"/>
      <c r="LWW2477" s="63"/>
      <c r="LWX2477" s="61"/>
      <c r="LWY2477" s="54"/>
      <c r="LWZ2477" s="54"/>
      <c r="LXA2477" s="60"/>
      <c r="LXB2477" s="60"/>
      <c r="LXC2477" s="60"/>
      <c r="LXD2477" s="60"/>
      <c r="LXE2477" s="63"/>
      <c r="LXF2477" s="61"/>
      <c r="LXG2477" s="54"/>
      <c r="LXH2477" s="54"/>
      <c r="LXI2477" s="60"/>
      <c r="LXJ2477" s="60"/>
      <c r="LXK2477" s="60"/>
      <c r="LXL2477" s="60"/>
      <c r="LXM2477" s="63"/>
      <c r="LXN2477" s="61"/>
      <c r="LXO2477" s="54"/>
      <c r="LXP2477" s="54"/>
      <c r="LXQ2477" s="60"/>
      <c r="LXR2477" s="60"/>
      <c r="LXS2477" s="60"/>
      <c r="LXT2477" s="60"/>
      <c r="LXU2477" s="63"/>
      <c r="LXV2477" s="61"/>
      <c r="LXW2477" s="54"/>
      <c r="LXX2477" s="54"/>
      <c r="LXY2477" s="60"/>
      <c r="LXZ2477" s="60"/>
      <c r="LYA2477" s="60"/>
      <c r="LYB2477" s="60"/>
      <c r="LYC2477" s="63"/>
      <c r="LYD2477" s="61"/>
      <c r="LYE2477" s="54"/>
      <c r="LYF2477" s="54"/>
      <c r="LYG2477" s="60"/>
      <c r="LYH2477" s="60"/>
      <c r="LYI2477" s="60"/>
      <c r="LYJ2477" s="60"/>
      <c r="LYK2477" s="63"/>
      <c r="LYL2477" s="61"/>
      <c r="LYM2477" s="54"/>
      <c r="LYN2477" s="54"/>
      <c r="LYO2477" s="60"/>
      <c r="LYP2477" s="60"/>
      <c r="LYQ2477" s="60"/>
      <c r="LYR2477" s="60"/>
      <c r="LYS2477" s="63"/>
      <c r="LYT2477" s="61"/>
      <c r="LYU2477" s="54"/>
      <c r="LYV2477" s="54"/>
      <c r="LYW2477" s="60"/>
      <c r="LYX2477" s="60"/>
      <c r="LYY2477" s="60"/>
      <c r="LYZ2477" s="60"/>
      <c r="LZA2477" s="63"/>
      <c r="LZB2477" s="61"/>
      <c r="LZC2477" s="54"/>
      <c r="LZD2477" s="54"/>
      <c r="LZE2477" s="60"/>
      <c r="LZF2477" s="60"/>
      <c r="LZG2477" s="60"/>
      <c r="LZH2477" s="60"/>
      <c r="LZI2477" s="63"/>
      <c r="LZJ2477" s="61"/>
      <c r="LZK2477" s="54"/>
      <c r="LZL2477" s="54"/>
      <c r="LZM2477" s="60"/>
      <c r="LZN2477" s="60"/>
      <c r="LZO2477" s="60"/>
      <c r="LZP2477" s="60"/>
      <c r="LZQ2477" s="63"/>
      <c r="LZR2477" s="61"/>
      <c r="LZS2477" s="54"/>
      <c r="LZT2477" s="54"/>
      <c r="LZU2477" s="60"/>
      <c r="LZV2477" s="60"/>
      <c r="LZW2477" s="60"/>
      <c r="LZX2477" s="60"/>
      <c r="LZY2477" s="63"/>
      <c r="LZZ2477" s="61"/>
      <c r="MAA2477" s="54"/>
      <c r="MAB2477" s="54"/>
      <c r="MAC2477" s="60"/>
      <c r="MAD2477" s="60"/>
      <c r="MAE2477" s="60"/>
      <c r="MAF2477" s="60"/>
      <c r="MAG2477" s="63"/>
      <c r="MAH2477" s="61"/>
      <c r="MAI2477" s="54"/>
      <c r="MAJ2477" s="54"/>
      <c r="MAK2477" s="60"/>
      <c r="MAL2477" s="60"/>
      <c r="MAM2477" s="60"/>
      <c r="MAN2477" s="60"/>
      <c r="MAO2477" s="63"/>
      <c r="MAP2477" s="61"/>
      <c r="MAQ2477" s="54"/>
      <c r="MAR2477" s="54"/>
      <c r="MAS2477" s="60"/>
      <c r="MAT2477" s="60"/>
      <c r="MAU2477" s="60"/>
      <c r="MAV2477" s="60"/>
      <c r="MAW2477" s="63"/>
      <c r="MAX2477" s="61"/>
      <c r="MAY2477" s="54"/>
      <c r="MAZ2477" s="54"/>
      <c r="MBA2477" s="60"/>
      <c r="MBB2477" s="60"/>
      <c r="MBC2477" s="60"/>
      <c r="MBD2477" s="60"/>
      <c r="MBE2477" s="63"/>
      <c r="MBF2477" s="61"/>
      <c r="MBG2477" s="54"/>
      <c r="MBH2477" s="54"/>
      <c r="MBI2477" s="60"/>
      <c r="MBJ2477" s="60"/>
      <c r="MBK2477" s="60"/>
      <c r="MBL2477" s="60"/>
      <c r="MBM2477" s="63"/>
      <c r="MBN2477" s="61"/>
      <c r="MBO2477" s="54"/>
      <c r="MBP2477" s="54"/>
      <c r="MBQ2477" s="60"/>
      <c r="MBR2477" s="60"/>
      <c r="MBS2477" s="60"/>
      <c r="MBT2477" s="60"/>
      <c r="MBU2477" s="63"/>
      <c r="MBV2477" s="61"/>
      <c r="MBW2477" s="54"/>
      <c r="MBX2477" s="54"/>
      <c r="MBY2477" s="60"/>
      <c r="MBZ2477" s="60"/>
      <c r="MCA2477" s="60"/>
      <c r="MCB2477" s="60"/>
      <c r="MCC2477" s="63"/>
      <c r="MCD2477" s="61"/>
      <c r="MCE2477" s="54"/>
      <c r="MCF2477" s="54"/>
      <c r="MCG2477" s="60"/>
      <c r="MCH2477" s="60"/>
      <c r="MCI2477" s="60"/>
      <c r="MCJ2477" s="60"/>
      <c r="MCK2477" s="63"/>
      <c r="MCL2477" s="61"/>
      <c r="MCM2477" s="54"/>
      <c r="MCN2477" s="54"/>
      <c r="MCO2477" s="60"/>
      <c r="MCP2477" s="60"/>
      <c r="MCQ2477" s="60"/>
      <c r="MCR2477" s="60"/>
      <c r="MCS2477" s="63"/>
      <c r="MCT2477" s="61"/>
      <c r="MCU2477" s="54"/>
      <c r="MCV2477" s="54"/>
      <c r="MCW2477" s="60"/>
      <c r="MCX2477" s="60"/>
      <c r="MCY2477" s="60"/>
      <c r="MCZ2477" s="60"/>
      <c r="MDA2477" s="63"/>
      <c r="MDB2477" s="61"/>
      <c r="MDC2477" s="54"/>
      <c r="MDD2477" s="54"/>
      <c r="MDE2477" s="60"/>
      <c r="MDF2477" s="60"/>
      <c r="MDG2477" s="60"/>
      <c r="MDH2477" s="60"/>
      <c r="MDI2477" s="63"/>
      <c r="MDJ2477" s="61"/>
      <c r="MDK2477" s="54"/>
      <c r="MDL2477" s="54"/>
      <c r="MDM2477" s="60"/>
      <c r="MDN2477" s="60"/>
      <c r="MDO2477" s="60"/>
      <c r="MDP2477" s="60"/>
      <c r="MDQ2477" s="63"/>
      <c r="MDR2477" s="61"/>
      <c r="MDS2477" s="54"/>
      <c r="MDT2477" s="54"/>
      <c r="MDU2477" s="60"/>
      <c r="MDV2477" s="60"/>
      <c r="MDW2477" s="60"/>
      <c r="MDX2477" s="60"/>
      <c r="MDY2477" s="63"/>
      <c r="MDZ2477" s="61"/>
      <c r="MEA2477" s="54"/>
      <c r="MEB2477" s="54"/>
      <c r="MEC2477" s="60"/>
      <c r="MED2477" s="60"/>
      <c r="MEE2477" s="60"/>
      <c r="MEF2477" s="60"/>
      <c r="MEG2477" s="63"/>
      <c r="MEH2477" s="61"/>
      <c r="MEI2477" s="54"/>
      <c r="MEJ2477" s="54"/>
      <c r="MEK2477" s="60"/>
      <c r="MEL2477" s="60"/>
      <c r="MEM2477" s="60"/>
      <c r="MEN2477" s="60"/>
      <c r="MEO2477" s="63"/>
      <c r="MEP2477" s="61"/>
      <c r="MEQ2477" s="54"/>
      <c r="MER2477" s="54"/>
      <c r="MES2477" s="60"/>
      <c r="MET2477" s="60"/>
      <c r="MEU2477" s="60"/>
      <c r="MEV2477" s="60"/>
      <c r="MEW2477" s="63"/>
      <c r="MEX2477" s="61"/>
      <c r="MEY2477" s="54"/>
      <c r="MEZ2477" s="54"/>
      <c r="MFA2477" s="60"/>
      <c r="MFB2477" s="60"/>
      <c r="MFC2477" s="60"/>
      <c r="MFD2477" s="60"/>
      <c r="MFE2477" s="63"/>
      <c r="MFF2477" s="61"/>
      <c r="MFG2477" s="54"/>
      <c r="MFH2477" s="54"/>
      <c r="MFI2477" s="60"/>
      <c r="MFJ2477" s="60"/>
      <c r="MFK2477" s="60"/>
      <c r="MFL2477" s="60"/>
      <c r="MFM2477" s="63"/>
      <c r="MFN2477" s="61"/>
      <c r="MFO2477" s="54"/>
      <c r="MFP2477" s="54"/>
      <c r="MFQ2477" s="60"/>
      <c r="MFR2477" s="60"/>
      <c r="MFS2477" s="60"/>
      <c r="MFT2477" s="60"/>
      <c r="MFU2477" s="63"/>
      <c r="MFV2477" s="61"/>
      <c r="MFW2477" s="54"/>
      <c r="MFX2477" s="54"/>
      <c r="MFY2477" s="60"/>
      <c r="MFZ2477" s="60"/>
      <c r="MGA2477" s="60"/>
      <c r="MGB2477" s="60"/>
      <c r="MGC2477" s="63"/>
      <c r="MGD2477" s="61"/>
      <c r="MGE2477" s="54"/>
      <c r="MGF2477" s="54"/>
      <c r="MGG2477" s="60"/>
      <c r="MGH2477" s="60"/>
      <c r="MGI2477" s="60"/>
      <c r="MGJ2477" s="60"/>
      <c r="MGK2477" s="63"/>
      <c r="MGL2477" s="61"/>
      <c r="MGM2477" s="54"/>
      <c r="MGN2477" s="54"/>
      <c r="MGO2477" s="60"/>
      <c r="MGP2477" s="60"/>
      <c r="MGQ2477" s="60"/>
      <c r="MGR2477" s="60"/>
      <c r="MGS2477" s="63"/>
      <c r="MGT2477" s="61"/>
      <c r="MGU2477" s="54"/>
      <c r="MGV2477" s="54"/>
      <c r="MGW2477" s="60"/>
      <c r="MGX2477" s="60"/>
      <c r="MGY2477" s="60"/>
      <c r="MGZ2477" s="60"/>
      <c r="MHA2477" s="63"/>
      <c r="MHB2477" s="61"/>
      <c r="MHC2477" s="54"/>
      <c r="MHD2477" s="54"/>
      <c r="MHE2477" s="60"/>
      <c r="MHF2477" s="60"/>
      <c r="MHG2477" s="60"/>
      <c r="MHH2477" s="60"/>
      <c r="MHI2477" s="63"/>
      <c r="MHJ2477" s="61"/>
      <c r="MHK2477" s="54"/>
      <c r="MHL2477" s="54"/>
      <c r="MHM2477" s="60"/>
      <c r="MHN2477" s="60"/>
      <c r="MHO2477" s="60"/>
      <c r="MHP2477" s="60"/>
      <c r="MHQ2477" s="63"/>
      <c r="MHR2477" s="61"/>
      <c r="MHS2477" s="54"/>
      <c r="MHT2477" s="54"/>
      <c r="MHU2477" s="60"/>
      <c r="MHV2477" s="60"/>
      <c r="MHW2477" s="60"/>
      <c r="MHX2477" s="60"/>
      <c r="MHY2477" s="63"/>
      <c r="MHZ2477" s="61"/>
      <c r="MIA2477" s="54"/>
      <c r="MIB2477" s="54"/>
      <c r="MIC2477" s="60"/>
      <c r="MID2477" s="60"/>
      <c r="MIE2477" s="60"/>
      <c r="MIF2477" s="60"/>
      <c r="MIG2477" s="63"/>
      <c r="MIH2477" s="61"/>
      <c r="MII2477" s="54"/>
      <c r="MIJ2477" s="54"/>
      <c r="MIK2477" s="60"/>
      <c r="MIL2477" s="60"/>
      <c r="MIM2477" s="60"/>
      <c r="MIN2477" s="60"/>
      <c r="MIO2477" s="63"/>
      <c r="MIP2477" s="61"/>
      <c r="MIQ2477" s="54"/>
      <c r="MIR2477" s="54"/>
      <c r="MIS2477" s="60"/>
      <c r="MIT2477" s="60"/>
      <c r="MIU2477" s="60"/>
      <c r="MIV2477" s="60"/>
      <c r="MIW2477" s="63"/>
      <c r="MIX2477" s="61"/>
      <c r="MIY2477" s="54"/>
      <c r="MIZ2477" s="54"/>
      <c r="MJA2477" s="60"/>
      <c r="MJB2477" s="60"/>
      <c r="MJC2477" s="60"/>
      <c r="MJD2477" s="60"/>
      <c r="MJE2477" s="63"/>
      <c r="MJF2477" s="61"/>
      <c r="MJG2477" s="54"/>
      <c r="MJH2477" s="54"/>
      <c r="MJI2477" s="60"/>
      <c r="MJJ2477" s="60"/>
      <c r="MJK2477" s="60"/>
      <c r="MJL2477" s="60"/>
      <c r="MJM2477" s="63"/>
      <c r="MJN2477" s="61"/>
      <c r="MJO2477" s="54"/>
      <c r="MJP2477" s="54"/>
      <c r="MJQ2477" s="60"/>
      <c r="MJR2477" s="60"/>
      <c r="MJS2477" s="60"/>
      <c r="MJT2477" s="60"/>
      <c r="MJU2477" s="63"/>
      <c r="MJV2477" s="61"/>
      <c r="MJW2477" s="54"/>
      <c r="MJX2477" s="54"/>
      <c r="MJY2477" s="60"/>
      <c r="MJZ2477" s="60"/>
      <c r="MKA2477" s="60"/>
      <c r="MKB2477" s="60"/>
      <c r="MKC2477" s="63"/>
      <c r="MKD2477" s="61"/>
      <c r="MKE2477" s="54"/>
      <c r="MKF2477" s="54"/>
      <c r="MKG2477" s="60"/>
      <c r="MKH2477" s="60"/>
      <c r="MKI2477" s="60"/>
      <c r="MKJ2477" s="60"/>
      <c r="MKK2477" s="63"/>
      <c r="MKL2477" s="61"/>
      <c r="MKM2477" s="54"/>
      <c r="MKN2477" s="54"/>
      <c r="MKO2477" s="60"/>
      <c r="MKP2477" s="60"/>
      <c r="MKQ2477" s="60"/>
      <c r="MKR2477" s="60"/>
      <c r="MKS2477" s="63"/>
      <c r="MKT2477" s="61"/>
      <c r="MKU2477" s="54"/>
      <c r="MKV2477" s="54"/>
      <c r="MKW2477" s="60"/>
      <c r="MKX2477" s="60"/>
      <c r="MKY2477" s="60"/>
      <c r="MKZ2477" s="60"/>
      <c r="MLA2477" s="63"/>
      <c r="MLB2477" s="61"/>
      <c r="MLC2477" s="54"/>
      <c r="MLD2477" s="54"/>
      <c r="MLE2477" s="60"/>
      <c r="MLF2477" s="60"/>
      <c r="MLG2477" s="60"/>
      <c r="MLH2477" s="60"/>
      <c r="MLI2477" s="63"/>
      <c r="MLJ2477" s="61"/>
      <c r="MLK2477" s="54"/>
      <c r="MLL2477" s="54"/>
      <c r="MLM2477" s="60"/>
      <c r="MLN2477" s="60"/>
      <c r="MLO2477" s="60"/>
      <c r="MLP2477" s="60"/>
      <c r="MLQ2477" s="63"/>
      <c r="MLR2477" s="61"/>
      <c r="MLS2477" s="54"/>
      <c r="MLT2477" s="54"/>
      <c r="MLU2477" s="60"/>
      <c r="MLV2477" s="60"/>
      <c r="MLW2477" s="60"/>
      <c r="MLX2477" s="60"/>
      <c r="MLY2477" s="63"/>
      <c r="MLZ2477" s="61"/>
      <c r="MMA2477" s="54"/>
      <c r="MMB2477" s="54"/>
      <c r="MMC2477" s="60"/>
      <c r="MMD2477" s="60"/>
      <c r="MME2477" s="60"/>
      <c r="MMF2477" s="60"/>
      <c r="MMG2477" s="63"/>
      <c r="MMH2477" s="61"/>
      <c r="MMI2477" s="54"/>
      <c r="MMJ2477" s="54"/>
      <c r="MMK2477" s="60"/>
      <c r="MML2477" s="60"/>
      <c r="MMM2477" s="60"/>
      <c r="MMN2477" s="60"/>
      <c r="MMO2477" s="63"/>
      <c r="MMP2477" s="61"/>
      <c r="MMQ2477" s="54"/>
      <c r="MMR2477" s="54"/>
      <c r="MMS2477" s="60"/>
      <c r="MMT2477" s="60"/>
      <c r="MMU2477" s="60"/>
      <c r="MMV2477" s="60"/>
      <c r="MMW2477" s="63"/>
      <c r="MMX2477" s="61"/>
      <c r="MMY2477" s="54"/>
      <c r="MMZ2477" s="54"/>
      <c r="MNA2477" s="60"/>
      <c r="MNB2477" s="60"/>
      <c r="MNC2477" s="60"/>
      <c r="MND2477" s="60"/>
      <c r="MNE2477" s="63"/>
      <c r="MNF2477" s="61"/>
      <c r="MNG2477" s="54"/>
      <c r="MNH2477" s="54"/>
      <c r="MNI2477" s="60"/>
      <c r="MNJ2477" s="60"/>
      <c r="MNK2477" s="60"/>
      <c r="MNL2477" s="60"/>
      <c r="MNM2477" s="63"/>
      <c r="MNN2477" s="61"/>
      <c r="MNO2477" s="54"/>
      <c r="MNP2477" s="54"/>
      <c r="MNQ2477" s="60"/>
      <c r="MNR2477" s="60"/>
      <c r="MNS2477" s="60"/>
      <c r="MNT2477" s="60"/>
      <c r="MNU2477" s="63"/>
      <c r="MNV2477" s="61"/>
      <c r="MNW2477" s="54"/>
      <c r="MNX2477" s="54"/>
      <c r="MNY2477" s="60"/>
      <c r="MNZ2477" s="60"/>
      <c r="MOA2477" s="60"/>
      <c r="MOB2477" s="60"/>
      <c r="MOC2477" s="63"/>
      <c r="MOD2477" s="61"/>
      <c r="MOE2477" s="54"/>
      <c r="MOF2477" s="54"/>
      <c r="MOG2477" s="60"/>
      <c r="MOH2477" s="60"/>
      <c r="MOI2477" s="60"/>
      <c r="MOJ2477" s="60"/>
      <c r="MOK2477" s="63"/>
      <c r="MOL2477" s="61"/>
      <c r="MOM2477" s="54"/>
      <c r="MON2477" s="54"/>
      <c r="MOO2477" s="60"/>
      <c r="MOP2477" s="60"/>
      <c r="MOQ2477" s="60"/>
      <c r="MOR2477" s="60"/>
      <c r="MOS2477" s="63"/>
      <c r="MOT2477" s="61"/>
      <c r="MOU2477" s="54"/>
      <c r="MOV2477" s="54"/>
      <c r="MOW2477" s="60"/>
      <c r="MOX2477" s="60"/>
      <c r="MOY2477" s="60"/>
      <c r="MOZ2477" s="60"/>
      <c r="MPA2477" s="63"/>
      <c r="MPB2477" s="61"/>
      <c r="MPC2477" s="54"/>
      <c r="MPD2477" s="54"/>
      <c r="MPE2477" s="60"/>
      <c r="MPF2477" s="60"/>
      <c r="MPG2477" s="60"/>
      <c r="MPH2477" s="60"/>
      <c r="MPI2477" s="63"/>
      <c r="MPJ2477" s="61"/>
      <c r="MPK2477" s="54"/>
      <c r="MPL2477" s="54"/>
      <c r="MPM2477" s="60"/>
      <c r="MPN2477" s="60"/>
      <c r="MPO2477" s="60"/>
      <c r="MPP2477" s="60"/>
      <c r="MPQ2477" s="63"/>
      <c r="MPR2477" s="61"/>
      <c r="MPS2477" s="54"/>
      <c r="MPT2477" s="54"/>
      <c r="MPU2477" s="60"/>
      <c r="MPV2477" s="60"/>
      <c r="MPW2477" s="60"/>
      <c r="MPX2477" s="60"/>
      <c r="MPY2477" s="63"/>
      <c r="MPZ2477" s="61"/>
      <c r="MQA2477" s="54"/>
      <c r="MQB2477" s="54"/>
      <c r="MQC2477" s="60"/>
      <c r="MQD2477" s="60"/>
      <c r="MQE2477" s="60"/>
      <c r="MQF2477" s="60"/>
      <c r="MQG2477" s="63"/>
      <c r="MQH2477" s="61"/>
      <c r="MQI2477" s="54"/>
      <c r="MQJ2477" s="54"/>
      <c r="MQK2477" s="60"/>
      <c r="MQL2477" s="60"/>
      <c r="MQM2477" s="60"/>
      <c r="MQN2477" s="60"/>
      <c r="MQO2477" s="63"/>
      <c r="MQP2477" s="61"/>
      <c r="MQQ2477" s="54"/>
      <c r="MQR2477" s="54"/>
      <c r="MQS2477" s="60"/>
      <c r="MQT2477" s="60"/>
      <c r="MQU2477" s="60"/>
      <c r="MQV2477" s="60"/>
      <c r="MQW2477" s="63"/>
      <c r="MQX2477" s="61"/>
      <c r="MQY2477" s="54"/>
      <c r="MQZ2477" s="54"/>
      <c r="MRA2477" s="60"/>
      <c r="MRB2477" s="60"/>
      <c r="MRC2477" s="60"/>
      <c r="MRD2477" s="60"/>
      <c r="MRE2477" s="63"/>
      <c r="MRF2477" s="61"/>
      <c r="MRG2477" s="54"/>
      <c r="MRH2477" s="54"/>
      <c r="MRI2477" s="60"/>
      <c r="MRJ2477" s="60"/>
      <c r="MRK2477" s="60"/>
      <c r="MRL2477" s="60"/>
      <c r="MRM2477" s="63"/>
      <c r="MRN2477" s="61"/>
      <c r="MRO2477" s="54"/>
      <c r="MRP2477" s="54"/>
      <c r="MRQ2477" s="60"/>
      <c r="MRR2477" s="60"/>
      <c r="MRS2477" s="60"/>
      <c r="MRT2477" s="60"/>
      <c r="MRU2477" s="63"/>
      <c r="MRV2477" s="61"/>
      <c r="MRW2477" s="54"/>
      <c r="MRX2477" s="54"/>
      <c r="MRY2477" s="60"/>
      <c r="MRZ2477" s="60"/>
      <c r="MSA2477" s="60"/>
      <c r="MSB2477" s="60"/>
      <c r="MSC2477" s="63"/>
      <c r="MSD2477" s="61"/>
      <c r="MSE2477" s="54"/>
      <c r="MSF2477" s="54"/>
      <c r="MSG2477" s="60"/>
      <c r="MSH2477" s="60"/>
      <c r="MSI2477" s="60"/>
      <c r="MSJ2477" s="60"/>
      <c r="MSK2477" s="63"/>
      <c r="MSL2477" s="61"/>
      <c r="MSM2477" s="54"/>
      <c r="MSN2477" s="54"/>
      <c r="MSO2477" s="60"/>
      <c r="MSP2477" s="60"/>
      <c r="MSQ2477" s="60"/>
      <c r="MSR2477" s="60"/>
      <c r="MSS2477" s="63"/>
      <c r="MST2477" s="61"/>
      <c r="MSU2477" s="54"/>
      <c r="MSV2477" s="54"/>
      <c r="MSW2477" s="60"/>
      <c r="MSX2477" s="60"/>
      <c r="MSY2477" s="60"/>
      <c r="MSZ2477" s="60"/>
      <c r="MTA2477" s="63"/>
      <c r="MTB2477" s="61"/>
      <c r="MTC2477" s="54"/>
      <c r="MTD2477" s="54"/>
      <c r="MTE2477" s="60"/>
      <c r="MTF2477" s="60"/>
      <c r="MTG2477" s="60"/>
      <c r="MTH2477" s="60"/>
      <c r="MTI2477" s="63"/>
      <c r="MTJ2477" s="61"/>
      <c r="MTK2477" s="54"/>
      <c r="MTL2477" s="54"/>
      <c r="MTM2477" s="60"/>
      <c r="MTN2477" s="60"/>
      <c r="MTO2477" s="60"/>
      <c r="MTP2477" s="60"/>
      <c r="MTQ2477" s="63"/>
      <c r="MTR2477" s="61"/>
      <c r="MTS2477" s="54"/>
      <c r="MTT2477" s="54"/>
      <c r="MTU2477" s="60"/>
      <c r="MTV2477" s="60"/>
      <c r="MTW2477" s="60"/>
      <c r="MTX2477" s="60"/>
      <c r="MTY2477" s="63"/>
      <c r="MTZ2477" s="61"/>
      <c r="MUA2477" s="54"/>
      <c r="MUB2477" s="54"/>
      <c r="MUC2477" s="60"/>
      <c r="MUD2477" s="60"/>
      <c r="MUE2477" s="60"/>
      <c r="MUF2477" s="60"/>
      <c r="MUG2477" s="63"/>
      <c r="MUH2477" s="61"/>
      <c r="MUI2477" s="54"/>
      <c r="MUJ2477" s="54"/>
      <c r="MUK2477" s="60"/>
      <c r="MUL2477" s="60"/>
      <c r="MUM2477" s="60"/>
      <c r="MUN2477" s="60"/>
      <c r="MUO2477" s="63"/>
      <c r="MUP2477" s="61"/>
      <c r="MUQ2477" s="54"/>
      <c r="MUR2477" s="54"/>
      <c r="MUS2477" s="60"/>
      <c r="MUT2477" s="60"/>
      <c r="MUU2477" s="60"/>
      <c r="MUV2477" s="60"/>
      <c r="MUW2477" s="63"/>
      <c r="MUX2477" s="61"/>
      <c r="MUY2477" s="54"/>
      <c r="MUZ2477" s="54"/>
      <c r="MVA2477" s="60"/>
      <c r="MVB2477" s="60"/>
      <c r="MVC2477" s="60"/>
      <c r="MVD2477" s="60"/>
      <c r="MVE2477" s="63"/>
      <c r="MVF2477" s="61"/>
      <c r="MVG2477" s="54"/>
      <c r="MVH2477" s="54"/>
      <c r="MVI2477" s="60"/>
      <c r="MVJ2477" s="60"/>
      <c r="MVK2477" s="60"/>
      <c r="MVL2477" s="60"/>
      <c r="MVM2477" s="63"/>
      <c r="MVN2477" s="61"/>
      <c r="MVO2477" s="54"/>
      <c r="MVP2477" s="54"/>
      <c r="MVQ2477" s="60"/>
      <c r="MVR2477" s="60"/>
      <c r="MVS2477" s="60"/>
      <c r="MVT2477" s="60"/>
      <c r="MVU2477" s="63"/>
      <c r="MVV2477" s="61"/>
      <c r="MVW2477" s="54"/>
      <c r="MVX2477" s="54"/>
      <c r="MVY2477" s="60"/>
      <c r="MVZ2477" s="60"/>
      <c r="MWA2477" s="60"/>
      <c r="MWB2477" s="60"/>
      <c r="MWC2477" s="63"/>
      <c r="MWD2477" s="61"/>
      <c r="MWE2477" s="54"/>
      <c r="MWF2477" s="54"/>
      <c r="MWG2477" s="60"/>
      <c r="MWH2477" s="60"/>
      <c r="MWI2477" s="60"/>
      <c r="MWJ2477" s="60"/>
      <c r="MWK2477" s="63"/>
      <c r="MWL2477" s="61"/>
      <c r="MWM2477" s="54"/>
      <c r="MWN2477" s="54"/>
      <c r="MWO2477" s="60"/>
      <c r="MWP2477" s="60"/>
      <c r="MWQ2477" s="60"/>
      <c r="MWR2477" s="60"/>
      <c r="MWS2477" s="63"/>
      <c r="MWT2477" s="61"/>
      <c r="MWU2477" s="54"/>
      <c r="MWV2477" s="54"/>
      <c r="MWW2477" s="60"/>
      <c r="MWX2477" s="60"/>
      <c r="MWY2477" s="60"/>
      <c r="MWZ2477" s="60"/>
      <c r="MXA2477" s="63"/>
      <c r="MXB2477" s="61"/>
      <c r="MXC2477" s="54"/>
      <c r="MXD2477" s="54"/>
      <c r="MXE2477" s="60"/>
      <c r="MXF2477" s="60"/>
      <c r="MXG2477" s="60"/>
      <c r="MXH2477" s="60"/>
      <c r="MXI2477" s="63"/>
      <c r="MXJ2477" s="61"/>
      <c r="MXK2477" s="54"/>
      <c r="MXL2477" s="54"/>
      <c r="MXM2477" s="60"/>
      <c r="MXN2477" s="60"/>
      <c r="MXO2477" s="60"/>
      <c r="MXP2477" s="60"/>
      <c r="MXQ2477" s="63"/>
      <c r="MXR2477" s="61"/>
      <c r="MXS2477" s="54"/>
      <c r="MXT2477" s="54"/>
      <c r="MXU2477" s="60"/>
      <c r="MXV2477" s="60"/>
      <c r="MXW2477" s="60"/>
      <c r="MXX2477" s="60"/>
      <c r="MXY2477" s="63"/>
      <c r="MXZ2477" s="61"/>
      <c r="MYA2477" s="54"/>
      <c r="MYB2477" s="54"/>
      <c r="MYC2477" s="60"/>
      <c r="MYD2477" s="60"/>
      <c r="MYE2477" s="60"/>
      <c r="MYF2477" s="60"/>
      <c r="MYG2477" s="63"/>
      <c r="MYH2477" s="61"/>
      <c r="MYI2477" s="54"/>
      <c r="MYJ2477" s="54"/>
      <c r="MYK2477" s="60"/>
      <c r="MYL2477" s="60"/>
      <c r="MYM2477" s="60"/>
      <c r="MYN2477" s="60"/>
      <c r="MYO2477" s="63"/>
      <c r="MYP2477" s="61"/>
      <c r="MYQ2477" s="54"/>
      <c r="MYR2477" s="54"/>
      <c r="MYS2477" s="60"/>
      <c r="MYT2477" s="60"/>
      <c r="MYU2477" s="60"/>
      <c r="MYV2477" s="60"/>
      <c r="MYW2477" s="63"/>
      <c r="MYX2477" s="61"/>
      <c r="MYY2477" s="54"/>
      <c r="MYZ2477" s="54"/>
      <c r="MZA2477" s="60"/>
      <c r="MZB2477" s="60"/>
      <c r="MZC2477" s="60"/>
      <c r="MZD2477" s="60"/>
      <c r="MZE2477" s="63"/>
      <c r="MZF2477" s="61"/>
      <c r="MZG2477" s="54"/>
      <c r="MZH2477" s="54"/>
      <c r="MZI2477" s="60"/>
      <c r="MZJ2477" s="60"/>
      <c r="MZK2477" s="60"/>
      <c r="MZL2477" s="60"/>
      <c r="MZM2477" s="63"/>
      <c r="MZN2477" s="61"/>
      <c r="MZO2477" s="54"/>
      <c r="MZP2477" s="54"/>
      <c r="MZQ2477" s="60"/>
      <c r="MZR2477" s="60"/>
      <c r="MZS2477" s="60"/>
      <c r="MZT2477" s="60"/>
      <c r="MZU2477" s="63"/>
      <c r="MZV2477" s="61"/>
      <c r="MZW2477" s="54"/>
      <c r="MZX2477" s="54"/>
      <c r="MZY2477" s="60"/>
      <c r="MZZ2477" s="60"/>
      <c r="NAA2477" s="60"/>
      <c r="NAB2477" s="60"/>
      <c r="NAC2477" s="63"/>
      <c r="NAD2477" s="61"/>
      <c r="NAE2477" s="54"/>
      <c r="NAF2477" s="54"/>
      <c r="NAG2477" s="60"/>
      <c r="NAH2477" s="60"/>
      <c r="NAI2477" s="60"/>
      <c r="NAJ2477" s="60"/>
      <c r="NAK2477" s="63"/>
      <c r="NAL2477" s="61"/>
      <c r="NAM2477" s="54"/>
      <c r="NAN2477" s="54"/>
      <c r="NAO2477" s="60"/>
      <c r="NAP2477" s="60"/>
      <c r="NAQ2477" s="60"/>
      <c r="NAR2477" s="60"/>
      <c r="NAS2477" s="63"/>
      <c r="NAT2477" s="61"/>
      <c r="NAU2477" s="54"/>
      <c r="NAV2477" s="54"/>
      <c r="NAW2477" s="60"/>
      <c r="NAX2477" s="60"/>
      <c r="NAY2477" s="60"/>
      <c r="NAZ2477" s="60"/>
      <c r="NBA2477" s="63"/>
      <c r="NBB2477" s="61"/>
      <c r="NBC2477" s="54"/>
      <c r="NBD2477" s="54"/>
      <c r="NBE2477" s="60"/>
      <c r="NBF2477" s="60"/>
      <c r="NBG2477" s="60"/>
      <c r="NBH2477" s="60"/>
      <c r="NBI2477" s="63"/>
      <c r="NBJ2477" s="61"/>
      <c r="NBK2477" s="54"/>
      <c r="NBL2477" s="54"/>
      <c r="NBM2477" s="60"/>
      <c r="NBN2477" s="60"/>
      <c r="NBO2477" s="60"/>
      <c r="NBP2477" s="60"/>
      <c r="NBQ2477" s="63"/>
      <c r="NBR2477" s="61"/>
      <c r="NBS2477" s="54"/>
      <c r="NBT2477" s="54"/>
      <c r="NBU2477" s="60"/>
      <c r="NBV2477" s="60"/>
      <c r="NBW2477" s="60"/>
      <c r="NBX2477" s="60"/>
      <c r="NBY2477" s="63"/>
      <c r="NBZ2477" s="61"/>
      <c r="NCA2477" s="54"/>
      <c r="NCB2477" s="54"/>
      <c r="NCC2477" s="60"/>
      <c r="NCD2477" s="60"/>
      <c r="NCE2477" s="60"/>
      <c r="NCF2477" s="60"/>
      <c r="NCG2477" s="63"/>
      <c r="NCH2477" s="61"/>
      <c r="NCI2477" s="54"/>
      <c r="NCJ2477" s="54"/>
      <c r="NCK2477" s="60"/>
      <c r="NCL2477" s="60"/>
      <c r="NCM2477" s="60"/>
      <c r="NCN2477" s="60"/>
      <c r="NCO2477" s="63"/>
      <c r="NCP2477" s="61"/>
      <c r="NCQ2477" s="54"/>
      <c r="NCR2477" s="54"/>
      <c r="NCS2477" s="60"/>
      <c r="NCT2477" s="60"/>
      <c r="NCU2477" s="60"/>
      <c r="NCV2477" s="60"/>
      <c r="NCW2477" s="63"/>
      <c r="NCX2477" s="61"/>
      <c r="NCY2477" s="54"/>
      <c r="NCZ2477" s="54"/>
      <c r="NDA2477" s="60"/>
      <c r="NDB2477" s="60"/>
      <c r="NDC2477" s="60"/>
      <c r="NDD2477" s="60"/>
      <c r="NDE2477" s="63"/>
      <c r="NDF2477" s="61"/>
      <c r="NDG2477" s="54"/>
      <c r="NDH2477" s="54"/>
      <c r="NDI2477" s="60"/>
      <c r="NDJ2477" s="60"/>
      <c r="NDK2477" s="60"/>
      <c r="NDL2477" s="60"/>
      <c r="NDM2477" s="63"/>
      <c r="NDN2477" s="61"/>
      <c r="NDO2477" s="54"/>
      <c r="NDP2477" s="54"/>
      <c r="NDQ2477" s="60"/>
      <c r="NDR2477" s="60"/>
      <c r="NDS2477" s="60"/>
      <c r="NDT2477" s="60"/>
      <c r="NDU2477" s="63"/>
      <c r="NDV2477" s="61"/>
      <c r="NDW2477" s="54"/>
      <c r="NDX2477" s="54"/>
      <c r="NDY2477" s="60"/>
      <c r="NDZ2477" s="60"/>
      <c r="NEA2477" s="60"/>
      <c r="NEB2477" s="60"/>
      <c r="NEC2477" s="63"/>
      <c r="NED2477" s="61"/>
      <c r="NEE2477" s="54"/>
      <c r="NEF2477" s="54"/>
      <c r="NEG2477" s="60"/>
      <c r="NEH2477" s="60"/>
      <c r="NEI2477" s="60"/>
      <c r="NEJ2477" s="60"/>
      <c r="NEK2477" s="63"/>
      <c r="NEL2477" s="61"/>
      <c r="NEM2477" s="54"/>
      <c r="NEN2477" s="54"/>
      <c r="NEO2477" s="60"/>
      <c r="NEP2477" s="60"/>
      <c r="NEQ2477" s="60"/>
      <c r="NER2477" s="60"/>
      <c r="NES2477" s="63"/>
      <c r="NET2477" s="61"/>
      <c r="NEU2477" s="54"/>
      <c r="NEV2477" s="54"/>
      <c r="NEW2477" s="60"/>
      <c r="NEX2477" s="60"/>
      <c r="NEY2477" s="60"/>
      <c r="NEZ2477" s="60"/>
      <c r="NFA2477" s="63"/>
      <c r="NFB2477" s="61"/>
      <c r="NFC2477" s="54"/>
      <c r="NFD2477" s="54"/>
      <c r="NFE2477" s="60"/>
      <c r="NFF2477" s="60"/>
      <c r="NFG2477" s="60"/>
      <c r="NFH2477" s="60"/>
      <c r="NFI2477" s="63"/>
      <c r="NFJ2477" s="61"/>
      <c r="NFK2477" s="54"/>
      <c r="NFL2477" s="54"/>
      <c r="NFM2477" s="60"/>
      <c r="NFN2477" s="60"/>
      <c r="NFO2477" s="60"/>
      <c r="NFP2477" s="60"/>
      <c r="NFQ2477" s="63"/>
      <c r="NFR2477" s="61"/>
      <c r="NFS2477" s="54"/>
      <c r="NFT2477" s="54"/>
      <c r="NFU2477" s="60"/>
      <c r="NFV2477" s="60"/>
      <c r="NFW2477" s="60"/>
      <c r="NFX2477" s="60"/>
      <c r="NFY2477" s="63"/>
      <c r="NFZ2477" s="61"/>
      <c r="NGA2477" s="54"/>
      <c r="NGB2477" s="54"/>
      <c r="NGC2477" s="60"/>
      <c r="NGD2477" s="60"/>
      <c r="NGE2477" s="60"/>
      <c r="NGF2477" s="60"/>
      <c r="NGG2477" s="63"/>
      <c r="NGH2477" s="61"/>
      <c r="NGI2477" s="54"/>
      <c r="NGJ2477" s="54"/>
      <c r="NGK2477" s="60"/>
      <c r="NGL2477" s="60"/>
      <c r="NGM2477" s="60"/>
      <c r="NGN2477" s="60"/>
      <c r="NGO2477" s="63"/>
      <c r="NGP2477" s="61"/>
      <c r="NGQ2477" s="54"/>
      <c r="NGR2477" s="54"/>
      <c r="NGS2477" s="60"/>
      <c r="NGT2477" s="60"/>
      <c r="NGU2477" s="60"/>
      <c r="NGV2477" s="60"/>
      <c r="NGW2477" s="63"/>
      <c r="NGX2477" s="61"/>
      <c r="NGY2477" s="54"/>
      <c r="NGZ2477" s="54"/>
      <c r="NHA2477" s="60"/>
      <c r="NHB2477" s="60"/>
      <c r="NHC2477" s="60"/>
      <c r="NHD2477" s="60"/>
      <c r="NHE2477" s="63"/>
      <c r="NHF2477" s="61"/>
      <c r="NHG2477" s="54"/>
      <c r="NHH2477" s="54"/>
      <c r="NHI2477" s="60"/>
      <c r="NHJ2477" s="60"/>
      <c r="NHK2477" s="60"/>
      <c r="NHL2477" s="60"/>
      <c r="NHM2477" s="63"/>
      <c r="NHN2477" s="61"/>
      <c r="NHO2477" s="54"/>
      <c r="NHP2477" s="54"/>
      <c r="NHQ2477" s="60"/>
      <c r="NHR2477" s="60"/>
      <c r="NHS2477" s="60"/>
      <c r="NHT2477" s="60"/>
      <c r="NHU2477" s="63"/>
      <c r="NHV2477" s="61"/>
      <c r="NHW2477" s="54"/>
      <c r="NHX2477" s="54"/>
      <c r="NHY2477" s="60"/>
      <c r="NHZ2477" s="60"/>
      <c r="NIA2477" s="60"/>
      <c r="NIB2477" s="60"/>
      <c r="NIC2477" s="63"/>
      <c r="NID2477" s="61"/>
      <c r="NIE2477" s="54"/>
      <c r="NIF2477" s="54"/>
      <c r="NIG2477" s="60"/>
      <c r="NIH2477" s="60"/>
      <c r="NII2477" s="60"/>
      <c r="NIJ2477" s="60"/>
      <c r="NIK2477" s="63"/>
      <c r="NIL2477" s="61"/>
      <c r="NIM2477" s="54"/>
      <c r="NIN2477" s="54"/>
      <c r="NIO2477" s="60"/>
      <c r="NIP2477" s="60"/>
      <c r="NIQ2477" s="60"/>
      <c r="NIR2477" s="60"/>
      <c r="NIS2477" s="63"/>
      <c r="NIT2477" s="61"/>
      <c r="NIU2477" s="54"/>
      <c r="NIV2477" s="54"/>
      <c r="NIW2477" s="60"/>
      <c r="NIX2477" s="60"/>
      <c r="NIY2477" s="60"/>
      <c r="NIZ2477" s="60"/>
      <c r="NJA2477" s="63"/>
      <c r="NJB2477" s="61"/>
      <c r="NJC2477" s="54"/>
      <c r="NJD2477" s="54"/>
      <c r="NJE2477" s="60"/>
      <c r="NJF2477" s="60"/>
      <c r="NJG2477" s="60"/>
      <c r="NJH2477" s="60"/>
      <c r="NJI2477" s="63"/>
      <c r="NJJ2477" s="61"/>
      <c r="NJK2477" s="54"/>
      <c r="NJL2477" s="54"/>
      <c r="NJM2477" s="60"/>
      <c r="NJN2477" s="60"/>
      <c r="NJO2477" s="60"/>
      <c r="NJP2477" s="60"/>
      <c r="NJQ2477" s="63"/>
      <c r="NJR2477" s="61"/>
      <c r="NJS2477" s="54"/>
      <c r="NJT2477" s="54"/>
      <c r="NJU2477" s="60"/>
      <c r="NJV2477" s="60"/>
      <c r="NJW2477" s="60"/>
      <c r="NJX2477" s="60"/>
      <c r="NJY2477" s="63"/>
      <c r="NJZ2477" s="61"/>
      <c r="NKA2477" s="54"/>
      <c r="NKB2477" s="54"/>
      <c r="NKC2477" s="60"/>
      <c r="NKD2477" s="60"/>
      <c r="NKE2477" s="60"/>
      <c r="NKF2477" s="60"/>
      <c r="NKG2477" s="63"/>
      <c r="NKH2477" s="61"/>
      <c r="NKI2477" s="54"/>
      <c r="NKJ2477" s="54"/>
      <c r="NKK2477" s="60"/>
      <c r="NKL2477" s="60"/>
      <c r="NKM2477" s="60"/>
      <c r="NKN2477" s="60"/>
      <c r="NKO2477" s="63"/>
      <c r="NKP2477" s="61"/>
      <c r="NKQ2477" s="54"/>
      <c r="NKR2477" s="54"/>
      <c r="NKS2477" s="60"/>
      <c r="NKT2477" s="60"/>
      <c r="NKU2477" s="60"/>
      <c r="NKV2477" s="60"/>
      <c r="NKW2477" s="63"/>
      <c r="NKX2477" s="61"/>
      <c r="NKY2477" s="54"/>
      <c r="NKZ2477" s="54"/>
      <c r="NLA2477" s="60"/>
      <c r="NLB2477" s="60"/>
      <c r="NLC2477" s="60"/>
      <c r="NLD2477" s="60"/>
      <c r="NLE2477" s="63"/>
      <c r="NLF2477" s="61"/>
      <c r="NLG2477" s="54"/>
      <c r="NLH2477" s="54"/>
      <c r="NLI2477" s="60"/>
      <c r="NLJ2477" s="60"/>
      <c r="NLK2477" s="60"/>
      <c r="NLL2477" s="60"/>
      <c r="NLM2477" s="63"/>
      <c r="NLN2477" s="61"/>
      <c r="NLO2477" s="54"/>
      <c r="NLP2477" s="54"/>
      <c r="NLQ2477" s="60"/>
      <c r="NLR2477" s="60"/>
      <c r="NLS2477" s="60"/>
      <c r="NLT2477" s="60"/>
      <c r="NLU2477" s="63"/>
      <c r="NLV2477" s="61"/>
      <c r="NLW2477" s="54"/>
      <c r="NLX2477" s="54"/>
      <c r="NLY2477" s="60"/>
      <c r="NLZ2477" s="60"/>
      <c r="NMA2477" s="60"/>
      <c r="NMB2477" s="60"/>
      <c r="NMC2477" s="63"/>
      <c r="NMD2477" s="61"/>
      <c r="NME2477" s="54"/>
      <c r="NMF2477" s="54"/>
      <c r="NMG2477" s="60"/>
      <c r="NMH2477" s="60"/>
      <c r="NMI2477" s="60"/>
      <c r="NMJ2477" s="60"/>
      <c r="NMK2477" s="63"/>
      <c r="NML2477" s="61"/>
      <c r="NMM2477" s="54"/>
      <c r="NMN2477" s="54"/>
      <c r="NMO2477" s="60"/>
      <c r="NMP2477" s="60"/>
      <c r="NMQ2477" s="60"/>
      <c r="NMR2477" s="60"/>
      <c r="NMS2477" s="63"/>
      <c r="NMT2477" s="61"/>
      <c r="NMU2477" s="54"/>
      <c r="NMV2477" s="54"/>
      <c r="NMW2477" s="60"/>
      <c r="NMX2477" s="60"/>
      <c r="NMY2477" s="60"/>
      <c r="NMZ2477" s="60"/>
      <c r="NNA2477" s="63"/>
      <c r="NNB2477" s="61"/>
      <c r="NNC2477" s="54"/>
      <c r="NND2477" s="54"/>
      <c r="NNE2477" s="60"/>
      <c r="NNF2477" s="60"/>
      <c r="NNG2477" s="60"/>
      <c r="NNH2477" s="60"/>
      <c r="NNI2477" s="63"/>
      <c r="NNJ2477" s="61"/>
      <c r="NNK2477" s="54"/>
      <c r="NNL2477" s="54"/>
      <c r="NNM2477" s="60"/>
      <c r="NNN2477" s="60"/>
      <c r="NNO2477" s="60"/>
      <c r="NNP2477" s="60"/>
      <c r="NNQ2477" s="63"/>
      <c r="NNR2477" s="61"/>
      <c r="NNS2477" s="54"/>
      <c r="NNT2477" s="54"/>
      <c r="NNU2477" s="60"/>
      <c r="NNV2477" s="60"/>
      <c r="NNW2477" s="60"/>
      <c r="NNX2477" s="60"/>
      <c r="NNY2477" s="63"/>
      <c r="NNZ2477" s="61"/>
      <c r="NOA2477" s="54"/>
      <c r="NOB2477" s="54"/>
      <c r="NOC2477" s="60"/>
      <c r="NOD2477" s="60"/>
      <c r="NOE2477" s="60"/>
      <c r="NOF2477" s="60"/>
      <c r="NOG2477" s="63"/>
      <c r="NOH2477" s="61"/>
      <c r="NOI2477" s="54"/>
      <c r="NOJ2477" s="54"/>
      <c r="NOK2477" s="60"/>
      <c r="NOL2477" s="60"/>
      <c r="NOM2477" s="60"/>
      <c r="NON2477" s="60"/>
      <c r="NOO2477" s="63"/>
      <c r="NOP2477" s="61"/>
      <c r="NOQ2477" s="54"/>
      <c r="NOR2477" s="54"/>
      <c r="NOS2477" s="60"/>
      <c r="NOT2477" s="60"/>
      <c r="NOU2477" s="60"/>
      <c r="NOV2477" s="60"/>
      <c r="NOW2477" s="63"/>
      <c r="NOX2477" s="61"/>
      <c r="NOY2477" s="54"/>
      <c r="NOZ2477" s="54"/>
      <c r="NPA2477" s="60"/>
      <c r="NPB2477" s="60"/>
      <c r="NPC2477" s="60"/>
      <c r="NPD2477" s="60"/>
      <c r="NPE2477" s="63"/>
      <c r="NPF2477" s="61"/>
      <c r="NPG2477" s="54"/>
      <c r="NPH2477" s="54"/>
      <c r="NPI2477" s="60"/>
      <c r="NPJ2477" s="60"/>
      <c r="NPK2477" s="60"/>
      <c r="NPL2477" s="60"/>
      <c r="NPM2477" s="63"/>
      <c r="NPN2477" s="61"/>
      <c r="NPO2477" s="54"/>
      <c r="NPP2477" s="54"/>
      <c r="NPQ2477" s="60"/>
      <c r="NPR2477" s="60"/>
      <c r="NPS2477" s="60"/>
      <c r="NPT2477" s="60"/>
      <c r="NPU2477" s="63"/>
      <c r="NPV2477" s="61"/>
      <c r="NPW2477" s="54"/>
      <c r="NPX2477" s="54"/>
      <c r="NPY2477" s="60"/>
      <c r="NPZ2477" s="60"/>
      <c r="NQA2477" s="60"/>
      <c r="NQB2477" s="60"/>
      <c r="NQC2477" s="63"/>
      <c r="NQD2477" s="61"/>
      <c r="NQE2477" s="54"/>
      <c r="NQF2477" s="54"/>
      <c r="NQG2477" s="60"/>
      <c r="NQH2477" s="60"/>
      <c r="NQI2477" s="60"/>
      <c r="NQJ2477" s="60"/>
      <c r="NQK2477" s="63"/>
      <c r="NQL2477" s="61"/>
      <c r="NQM2477" s="54"/>
      <c r="NQN2477" s="54"/>
      <c r="NQO2477" s="60"/>
      <c r="NQP2477" s="60"/>
      <c r="NQQ2477" s="60"/>
      <c r="NQR2477" s="60"/>
      <c r="NQS2477" s="63"/>
      <c r="NQT2477" s="61"/>
      <c r="NQU2477" s="54"/>
      <c r="NQV2477" s="54"/>
      <c r="NQW2477" s="60"/>
      <c r="NQX2477" s="60"/>
      <c r="NQY2477" s="60"/>
      <c r="NQZ2477" s="60"/>
      <c r="NRA2477" s="63"/>
      <c r="NRB2477" s="61"/>
      <c r="NRC2477" s="54"/>
      <c r="NRD2477" s="54"/>
      <c r="NRE2477" s="60"/>
      <c r="NRF2477" s="60"/>
      <c r="NRG2477" s="60"/>
      <c r="NRH2477" s="60"/>
      <c r="NRI2477" s="63"/>
      <c r="NRJ2477" s="61"/>
      <c r="NRK2477" s="54"/>
      <c r="NRL2477" s="54"/>
      <c r="NRM2477" s="60"/>
      <c r="NRN2477" s="60"/>
      <c r="NRO2477" s="60"/>
      <c r="NRP2477" s="60"/>
      <c r="NRQ2477" s="63"/>
      <c r="NRR2477" s="61"/>
      <c r="NRS2477" s="54"/>
      <c r="NRT2477" s="54"/>
      <c r="NRU2477" s="60"/>
      <c r="NRV2477" s="60"/>
      <c r="NRW2477" s="60"/>
      <c r="NRX2477" s="60"/>
      <c r="NRY2477" s="63"/>
      <c r="NRZ2477" s="61"/>
      <c r="NSA2477" s="54"/>
      <c r="NSB2477" s="54"/>
      <c r="NSC2477" s="60"/>
      <c r="NSD2477" s="60"/>
      <c r="NSE2477" s="60"/>
      <c r="NSF2477" s="60"/>
      <c r="NSG2477" s="63"/>
      <c r="NSH2477" s="61"/>
      <c r="NSI2477" s="54"/>
      <c r="NSJ2477" s="54"/>
      <c r="NSK2477" s="60"/>
      <c r="NSL2477" s="60"/>
      <c r="NSM2477" s="60"/>
      <c r="NSN2477" s="60"/>
      <c r="NSO2477" s="63"/>
      <c r="NSP2477" s="61"/>
      <c r="NSQ2477" s="54"/>
      <c r="NSR2477" s="54"/>
      <c r="NSS2477" s="60"/>
      <c r="NST2477" s="60"/>
      <c r="NSU2477" s="60"/>
      <c r="NSV2477" s="60"/>
      <c r="NSW2477" s="63"/>
      <c r="NSX2477" s="61"/>
      <c r="NSY2477" s="54"/>
      <c r="NSZ2477" s="54"/>
      <c r="NTA2477" s="60"/>
      <c r="NTB2477" s="60"/>
      <c r="NTC2477" s="60"/>
      <c r="NTD2477" s="60"/>
      <c r="NTE2477" s="63"/>
      <c r="NTF2477" s="61"/>
      <c r="NTG2477" s="54"/>
      <c r="NTH2477" s="54"/>
      <c r="NTI2477" s="60"/>
      <c r="NTJ2477" s="60"/>
      <c r="NTK2477" s="60"/>
      <c r="NTL2477" s="60"/>
      <c r="NTM2477" s="63"/>
      <c r="NTN2477" s="61"/>
      <c r="NTO2477" s="54"/>
      <c r="NTP2477" s="54"/>
      <c r="NTQ2477" s="60"/>
      <c r="NTR2477" s="60"/>
      <c r="NTS2477" s="60"/>
      <c r="NTT2477" s="60"/>
      <c r="NTU2477" s="63"/>
      <c r="NTV2477" s="61"/>
      <c r="NTW2477" s="54"/>
      <c r="NTX2477" s="54"/>
      <c r="NTY2477" s="60"/>
      <c r="NTZ2477" s="60"/>
      <c r="NUA2477" s="60"/>
      <c r="NUB2477" s="60"/>
      <c r="NUC2477" s="63"/>
      <c r="NUD2477" s="61"/>
      <c r="NUE2477" s="54"/>
      <c r="NUF2477" s="54"/>
      <c r="NUG2477" s="60"/>
      <c r="NUH2477" s="60"/>
      <c r="NUI2477" s="60"/>
      <c r="NUJ2477" s="60"/>
      <c r="NUK2477" s="63"/>
      <c r="NUL2477" s="61"/>
      <c r="NUM2477" s="54"/>
      <c r="NUN2477" s="54"/>
      <c r="NUO2477" s="60"/>
      <c r="NUP2477" s="60"/>
      <c r="NUQ2477" s="60"/>
      <c r="NUR2477" s="60"/>
      <c r="NUS2477" s="63"/>
      <c r="NUT2477" s="61"/>
      <c r="NUU2477" s="54"/>
      <c r="NUV2477" s="54"/>
      <c r="NUW2477" s="60"/>
      <c r="NUX2477" s="60"/>
      <c r="NUY2477" s="60"/>
      <c r="NUZ2477" s="60"/>
      <c r="NVA2477" s="63"/>
      <c r="NVB2477" s="61"/>
      <c r="NVC2477" s="54"/>
      <c r="NVD2477" s="54"/>
      <c r="NVE2477" s="60"/>
      <c r="NVF2477" s="60"/>
      <c r="NVG2477" s="60"/>
      <c r="NVH2477" s="60"/>
      <c r="NVI2477" s="63"/>
      <c r="NVJ2477" s="61"/>
      <c r="NVK2477" s="54"/>
      <c r="NVL2477" s="54"/>
      <c r="NVM2477" s="60"/>
      <c r="NVN2477" s="60"/>
      <c r="NVO2477" s="60"/>
      <c r="NVP2477" s="60"/>
      <c r="NVQ2477" s="63"/>
      <c r="NVR2477" s="61"/>
      <c r="NVS2477" s="54"/>
      <c r="NVT2477" s="54"/>
      <c r="NVU2477" s="60"/>
      <c r="NVV2477" s="60"/>
      <c r="NVW2477" s="60"/>
      <c r="NVX2477" s="60"/>
      <c r="NVY2477" s="63"/>
      <c r="NVZ2477" s="61"/>
      <c r="NWA2477" s="54"/>
      <c r="NWB2477" s="54"/>
      <c r="NWC2477" s="60"/>
      <c r="NWD2477" s="60"/>
      <c r="NWE2477" s="60"/>
      <c r="NWF2477" s="60"/>
      <c r="NWG2477" s="63"/>
      <c r="NWH2477" s="61"/>
      <c r="NWI2477" s="54"/>
      <c r="NWJ2477" s="54"/>
      <c r="NWK2477" s="60"/>
      <c r="NWL2477" s="60"/>
      <c r="NWM2477" s="60"/>
      <c r="NWN2477" s="60"/>
      <c r="NWO2477" s="63"/>
      <c r="NWP2477" s="61"/>
      <c r="NWQ2477" s="54"/>
      <c r="NWR2477" s="54"/>
      <c r="NWS2477" s="60"/>
      <c r="NWT2477" s="60"/>
      <c r="NWU2477" s="60"/>
      <c r="NWV2477" s="60"/>
      <c r="NWW2477" s="63"/>
      <c r="NWX2477" s="61"/>
      <c r="NWY2477" s="54"/>
      <c r="NWZ2477" s="54"/>
      <c r="NXA2477" s="60"/>
      <c r="NXB2477" s="60"/>
      <c r="NXC2477" s="60"/>
      <c r="NXD2477" s="60"/>
      <c r="NXE2477" s="63"/>
      <c r="NXF2477" s="61"/>
      <c r="NXG2477" s="54"/>
      <c r="NXH2477" s="54"/>
      <c r="NXI2477" s="60"/>
      <c r="NXJ2477" s="60"/>
      <c r="NXK2477" s="60"/>
      <c r="NXL2477" s="60"/>
      <c r="NXM2477" s="63"/>
      <c r="NXN2477" s="61"/>
      <c r="NXO2477" s="54"/>
      <c r="NXP2477" s="54"/>
      <c r="NXQ2477" s="60"/>
      <c r="NXR2477" s="60"/>
      <c r="NXS2477" s="60"/>
      <c r="NXT2477" s="60"/>
      <c r="NXU2477" s="63"/>
      <c r="NXV2477" s="61"/>
      <c r="NXW2477" s="54"/>
      <c r="NXX2477" s="54"/>
      <c r="NXY2477" s="60"/>
      <c r="NXZ2477" s="60"/>
      <c r="NYA2477" s="60"/>
      <c r="NYB2477" s="60"/>
      <c r="NYC2477" s="63"/>
      <c r="NYD2477" s="61"/>
      <c r="NYE2477" s="54"/>
      <c r="NYF2477" s="54"/>
      <c r="NYG2477" s="60"/>
      <c r="NYH2477" s="60"/>
      <c r="NYI2477" s="60"/>
      <c r="NYJ2477" s="60"/>
      <c r="NYK2477" s="63"/>
      <c r="NYL2477" s="61"/>
      <c r="NYM2477" s="54"/>
      <c r="NYN2477" s="54"/>
      <c r="NYO2477" s="60"/>
      <c r="NYP2477" s="60"/>
      <c r="NYQ2477" s="60"/>
      <c r="NYR2477" s="60"/>
      <c r="NYS2477" s="63"/>
      <c r="NYT2477" s="61"/>
      <c r="NYU2477" s="54"/>
      <c r="NYV2477" s="54"/>
      <c r="NYW2477" s="60"/>
      <c r="NYX2477" s="60"/>
      <c r="NYY2477" s="60"/>
      <c r="NYZ2477" s="60"/>
      <c r="NZA2477" s="63"/>
      <c r="NZB2477" s="61"/>
      <c r="NZC2477" s="54"/>
      <c r="NZD2477" s="54"/>
      <c r="NZE2477" s="60"/>
      <c r="NZF2477" s="60"/>
      <c r="NZG2477" s="60"/>
      <c r="NZH2477" s="60"/>
      <c r="NZI2477" s="63"/>
      <c r="NZJ2477" s="61"/>
      <c r="NZK2477" s="54"/>
      <c r="NZL2477" s="54"/>
      <c r="NZM2477" s="60"/>
      <c r="NZN2477" s="60"/>
      <c r="NZO2477" s="60"/>
      <c r="NZP2477" s="60"/>
      <c r="NZQ2477" s="63"/>
      <c r="NZR2477" s="61"/>
      <c r="NZS2477" s="54"/>
      <c r="NZT2477" s="54"/>
      <c r="NZU2477" s="60"/>
      <c r="NZV2477" s="60"/>
      <c r="NZW2477" s="60"/>
      <c r="NZX2477" s="60"/>
      <c r="NZY2477" s="63"/>
      <c r="NZZ2477" s="61"/>
      <c r="OAA2477" s="54"/>
      <c r="OAB2477" s="54"/>
      <c r="OAC2477" s="60"/>
      <c r="OAD2477" s="60"/>
      <c r="OAE2477" s="60"/>
      <c r="OAF2477" s="60"/>
      <c r="OAG2477" s="63"/>
      <c r="OAH2477" s="61"/>
      <c r="OAI2477" s="54"/>
      <c r="OAJ2477" s="54"/>
      <c r="OAK2477" s="60"/>
      <c r="OAL2477" s="60"/>
      <c r="OAM2477" s="60"/>
      <c r="OAN2477" s="60"/>
      <c r="OAO2477" s="63"/>
      <c r="OAP2477" s="61"/>
      <c r="OAQ2477" s="54"/>
      <c r="OAR2477" s="54"/>
      <c r="OAS2477" s="60"/>
      <c r="OAT2477" s="60"/>
      <c r="OAU2477" s="60"/>
      <c r="OAV2477" s="60"/>
      <c r="OAW2477" s="63"/>
      <c r="OAX2477" s="61"/>
      <c r="OAY2477" s="54"/>
      <c r="OAZ2477" s="54"/>
      <c r="OBA2477" s="60"/>
      <c r="OBB2477" s="60"/>
      <c r="OBC2477" s="60"/>
      <c r="OBD2477" s="60"/>
      <c r="OBE2477" s="63"/>
      <c r="OBF2477" s="61"/>
      <c r="OBG2477" s="54"/>
      <c r="OBH2477" s="54"/>
      <c r="OBI2477" s="60"/>
      <c r="OBJ2477" s="60"/>
      <c r="OBK2477" s="60"/>
      <c r="OBL2477" s="60"/>
      <c r="OBM2477" s="63"/>
      <c r="OBN2477" s="61"/>
      <c r="OBO2477" s="54"/>
      <c r="OBP2477" s="54"/>
      <c r="OBQ2477" s="60"/>
      <c r="OBR2477" s="60"/>
      <c r="OBS2477" s="60"/>
      <c r="OBT2477" s="60"/>
      <c r="OBU2477" s="63"/>
      <c r="OBV2477" s="61"/>
      <c r="OBW2477" s="54"/>
      <c r="OBX2477" s="54"/>
      <c r="OBY2477" s="60"/>
      <c r="OBZ2477" s="60"/>
      <c r="OCA2477" s="60"/>
      <c r="OCB2477" s="60"/>
      <c r="OCC2477" s="63"/>
      <c r="OCD2477" s="61"/>
      <c r="OCE2477" s="54"/>
      <c r="OCF2477" s="54"/>
      <c r="OCG2477" s="60"/>
      <c r="OCH2477" s="60"/>
      <c r="OCI2477" s="60"/>
      <c r="OCJ2477" s="60"/>
      <c r="OCK2477" s="63"/>
      <c r="OCL2477" s="61"/>
      <c r="OCM2477" s="54"/>
      <c r="OCN2477" s="54"/>
      <c r="OCO2477" s="60"/>
      <c r="OCP2477" s="60"/>
      <c r="OCQ2477" s="60"/>
      <c r="OCR2477" s="60"/>
      <c r="OCS2477" s="63"/>
      <c r="OCT2477" s="61"/>
      <c r="OCU2477" s="54"/>
      <c r="OCV2477" s="54"/>
      <c r="OCW2477" s="60"/>
      <c r="OCX2477" s="60"/>
      <c r="OCY2477" s="60"/>
      <c r="OCZ2477" s="60"/>
      <c r="ODA2477" s="63"/>
      <c r="ODB2477" s="61"/>
      <c r="ODC2477" s="54"/>
      <c r="ODD2477" s="54"/>
      <c r="ODE2477" s="60"/>
      <c r="ODF2477" s="60"/>
      <c r="ODG2477" s="60"/>
      <c r="ODH2477" s="60"/>
      <c r="ODI2477" s="63"/>
      <c r="ODJ2477" s="61"/>
      <c r="ODK2477" s="54"/>
      <c r="ODL2477" s="54"/>
      <c r="ODM2477" s="60"/>
      <c r="ODN2477" s="60"/>
      <c r="ODO2477" s="60"/>
      <c r="ODP2477" s="60"/>
      <c r="ODQ2477" s="63"/>
      <c r="ODR2477" s="61"/>
      <c r="ODS2477" s="54"/>
      <c r="ODT2477" s="54"/>
      <c r="ODU2477" s="60"/>
      <c r="ODV2477" s="60"/>
      <c r="ODW2477" s="60"/>
      <c r="ODX2477" s="60"/>
      <c r="ODY2477" s="63"/>
      <c r="ODZ2477" s="61"/>
      <c r="OEA2477" s="54"/>
      <c r="OEB2477" s="54"/>
      <c r="OEC2477" s="60"/>
      <c r="OED2477" s="60"/>
      <c r="OEE2477" s="60"/>
      <c r="OEF2477" s="60"/>
      <c r="OEG2477" s="63"/>
      <c r="OEH2477" s="61"/>
      <c r="OEI2477" s="54"/>
      <c r="OEJ2477" s="54"/>
      <c r="OEK2477" s="60"/>
      <c r="OEL2477" s="60"/>
      <c r="OEM2477" s="60"/>
      <c r="OEN2477" s="60"/>
      <c r="OEO2477" s="63"/>
      <c r="OEP2477" s="61"/>
      <c r="OEQ2477" s="54"/>
      <c r="OER2477" s="54"/>
      <c r="OES2477" s="60"/>
      <c r="OET2477" s="60"/>
      <c r="OEU2477" s="60"/>
      <c r="OEV2477" s="60"/>
      <c r="OEW2477" s="63"/>
      <c r="OEX2477" s="61"/>
      <c r="OEY2477" s="54"/>
      <c r="OEZ2477" s="54"/>
      <c r="OFA2477" s="60"/>
      <c r="OFB2477" s="60"/>
      <c r="OFC2477" s="60"/>
      <c r="OFD2477" s="60"/>
      <c r="OFE2477" s="63"/>
      <c r="OFF2477" s="61"/>
      <c r="OFG2477" s="54"/>
      <c r="OFH2477" s="54"/>
      <c r="OFI2477" s="60"/>
      <c r="OFJ2477" s="60"/>
      <c r="OFK2477" s="60"/>
      <c r="OFL2477" s="60"/>
      <c r="OFM2477" s="63"/>
      <c r="OFN2477" s="61"/>
      <c r="OFO2477" s="54"/>
      <c r="OFP2477" s="54"/>
      <c r="OFQ2477" s="60"/>
      <c r="OFR2477" s="60"/>
      <c r="OFS2477" s="60"/>
      <c r="OFT2477" s="60"/>
      <c r="OFU2477" s="63"/>
      <c r="OFV2477" s="61"/>
      <c r="OFW2477" s="54"/>
      <c r="OFX2477" s="54"/>
      <c r="OFY2477" s="60"/>
      <c r="OFZ2477" s="60"/>
      <c r="OGA2477" s="60"/>
      <c r="OGB2477" s="60"/>
      <c r="OGC2477" s="63"/>
      <c r="OGD2477" s="61"/>
      <c r="OGE2477" s="54"/>
      <c r="OGF2477" s="54"/>
      <c r="OGG2477" s="60"/>
      <c r="OGH2477" s="60"/>
      <c r="OGI2477" s="60"/>
      <c r="OGJ2477" s="60"/>
      <c r="OGK2477" s="63"/>
      <c r="OGL2477" s="61"/>
      <c r="OGM2477" s="54"/>
      <c r="OGN2477" s="54"/>
      <c r="OGO2477" s="60"/>
      <c r="OGP2477" s="60"/>
      <c r="OGQ2477" s="60"/>
      <c r="OGR2477" s="60"/>
      <c r="OGS2477" s="63"/>
      <c r="OGT2477" s="61"/>
      <c r="OGU2477" s="54"/>
      <c r="OGV2477" s="54"/>
      <c r="OGW2477" s="60"/>
      <c r="OGX2477" s="60"/>
      <c r="OGY2477" s="60"/>
      <c r="OGZ2477" s="60"/>
      <c r="OHA2477" s="63"/>
      <c r="OHB2477" s="61"/>
      <c r="OHC2477" s="54"/>
      <c r="OHD2477" s="54"/>
      <c r="OHE2477" s="60"/>
      <c r="OHF2477" s="60"/>
      <c r="OHG2477" s="60"/>
      <c r="OHH2477" s="60"/>
      <c r="OHI2477" s="63"/>
      <c r="OHJ2477" s="61"/>
      <c r="OHK2477" s="54"/>
      <c r="OHL2477" s="54"/>
      <c r="OHM2477" s="60"/>
      <c r="OHN2477" s="60"/>
      <c r="OHO2477" s="60"/>
      <c r="OHP2477" s="60"/>
      <c r="OHQ2477" s="63"/>
      <c r="OHR2477" s="61"/>
      <c r="OHS2477" s="54"/>
      <c r="OHT2477" s="54"/>
      <c r="OHU2477" s="60"/>
      <c r="OHV2477" s="60"/>
      <c r="OHW2477" s="60"/>
      <c r="OHX2477" s="60"/>
      <c r="OHY2477" s="63"/>
      <c r="OHZ2477" s="61"/>
      <c r="OIA2477" s="54"/>
      <c r="OIB2477" s="54"/>
      <c r="OIC2477" s="60"/>
      <c r="OID2477" s="60"/>
      <c r="OIE2477" s="60"/>
      <c r="OIF2477" s="60"/>
      <c r="OIG2477" s="63"/>
      <c r="OIH2477" s="61"/>
      <c r="OII2477" s="54"/>
      <c r="OIJ2477" s="54"/>
      <c r="OIK2477" s="60"/>
      <c r="OIL2477" s="60"/>
      <c r="OIM2477" s="60"/>
      <c r="OIN2477" s="60"/>
      <c r="OIO2477" s="63"/>
      <c r="OIP2477" s="61"/>
      <c r="OIQ2477" s="54"/>
      <c r="OIR2477" s="54"/>
      <c r="OIS2477" s="60"/>
      <c r="OIT2477" s="60"/>
      <c r="OIU2477" s="60"/>
      <c r="OIV2477" s="60"/>
      <c r="OIW2477" s="63"/>
      <c r="OIX2477" s="61"/>
      <c r="OIY2477" s="54"/>
      <c r="OIZ2477" s="54"/>
      <c r="OJA2477" s="60"/>
      <c r="OJB2477" s="60"/>
      <c r="OJC2477" s="60"/>
      <c r="OJD2477" s="60"/>
      <c r="OJE2477" s="63"/>
      <c r="OJF2477" s="61"/>
      <c r="OJG2477" s="54"/>
      <c r="OJH2477" s="54"/>
      <c r="OJI2477" s="60"/>
      <c r="OJJ2477" s="60"/>
      <c r="OJK2477" s="60"/>
      <c r="OJL2477" s="60"/>
      <c r="OJM2477" s="63"/>
      <c r="OJN2477" s="61"/>
      <c r="OJO2477" s="54"/>
      <c r="OJP2477" s="54"/>
      <c r="OJQ2477" s="60"/>
      <c r="OJR2477" s="60"/>
      <c r="OJS2477" s="60"/>
      <c r="OJT2477" s="60"/>
      <c r="OJU2477" s="63"/>
      <c r="OJV2477" s="61"/>
      <c r="OJW2477" s="54"/>
      <c r="OJX2477" s="54"/>
      <c r="OJY2477" s="60"/>
      <c r="OJZ2477" s="60"/>
      <c r="OKA2477" s="60"/>
      <c r="OKB2477" s="60"/>
      <c r="OKC2477" s="63"/>
      <c r="OKD2477" s="61"/>
      <c r="OKE2477" s="54"/>
      <c r="OKF2477" s="54"/>
      <c r="OKG2477" s="60"/>
      <c r="OKH2477" s="60"/>
      <c r="OKI2477" s="60"/>
      <c r="OKJ2477" s="60"/>
      <c r="OKK2477" s="63"/>
      <c r="OKL2477" s="61"/>
      <c r="OKM2477" s="54"/>
      <c r="OKN2477" s="54"/>
      <c r="OKO2477" s="60"/>
      <c r="OKP2477" s="60"/>
      <c r="OKQ2477" s="60"/>
      <c r="OKR2477" s="60"/>
      <c r="OKS2477" s="63"/>
      <c r="OKT2477" s="61"/>
      <c r="OKU2477" s="54"/>
      <c r="OKV2477" s="54"/>
      <c r="OKW2477" s="60"/>
      <c r="OKX2477" s="60"/>
      <c r="OKY2477" s="60"/>
      <c r="OKZ2477" s="60"/>
      <c r="OLA2477" s="63"/>
      <c r="OLB2477" s="61"/>
      <c r="OLC2477" s="54"/>
      <c r="OLD2477" s="54"/>
      <c r="OLE2477" s="60"/>
      <c r="OLF2477" s="60"/>
      <c r="OLG2477" s="60"/>
      <c r="OLH2477" s="60"/>
      <c r="OLI2477" s="63"/>
      <c r="OLJ2477" s="61"/>
      <c r="OLK2477" s="54"/>
      <c r="OLL2477" s="54"/>
      <c r="OLM2477" s="60"/>
      <c r="OLN2477" s="60"/>
      <c r="OLO2477" s="60"/>
      <c r="OLP2477" s="60"/>
      <c r="OLQ2477" s="63"/>
      <c r="OLR2477" s="61"/>
      <c r="OLS2477" s="54"/>
      <c r="OLT2477" s="54"/>
      <c r="OLU2477" s="60"/>
      <c r="OLV2477" s="60"/>
      <c r="OLW2477" s="60"/>
      <c r="OLX2477" s="60"/>
      <c r="OLY2477" s="63"/>
      <c r="OLZ2477" s="61"/>
      <c r="OMA2477" s="54"/>
      <c r="OMB2477" s="54"/>
      <c r="OMC2477" s="60"/>
      <c r="OMD2477" s="60"/>
      <c r="OME2477" s="60"/>
      <c r="OMF2477" s="60"/>
      <c r="OMG2477" s="63"/>
      <c r="OMH2477" s="61"/>
      <c r="OMI2477" s="54"/>
      <c r="OMJ2477" s="54"/>
      <c r="OMK2477" s="60"/>
      <c r="OML2477" s="60"/>
      <c r="OMM2477" s="60"/>
      <c r="OMN2477" s="60"/>
      <c r="OMO2477" s="63"/>
      <c r="OMP2477" s="61"/>
      <c r="OMQ2477" s="54"/>
      <c r="OMR2477" s="54"/>
      <c r="OMS2477" s="60"/>
      <c r="OMT2477" s="60"/>
      <c r="OMU2477" s="60"/>
      <c r="OMV2477" s="60"/>
      <c r="OMW2477" s="63"/>
      <c r="OMX2477" s="61"/>
      <c r="OMY2477" s="54"/>
      <c r="OMZ2477" s="54"/>
      <c r="ONA2477" s="60"/>
      <c r="ONB2477" s="60"/>
      <c r="ONC2477" s="60"/>
      <c r="OND2477" s="60"/>
      <c r="ONE2477" s="63"/>
      <c r="ONF2477" s="61"/>
      <c r="ONG2477" s="54"/>
      <c r="ONH2477" s="54"/>
      <c r="ONI2477" s="60"/>
      <c r="ONJ2477" s="60"/>
      <c r="ONK2477" s="60"/>
      <c r="ONL2477" s="60"/>
      <c r="ONM2477" s="63"/>
      <c r="ONN2477" s="61"/>
      <c r="ONO2477" s="54"/>
      <c r="ONP2477" s="54"/>
      <c r="ONQ2477" s="60"/>
      <c r="ONR2477" s="60"/>
      <c r="ONS2477" s="60"/>
      <c r="ONT2477" s="60"/>
      <c r="ONU2477" s="63"/>
      <c r="ONV2477" s="61"/>
      <c r="ONW2477" s="54"/>
      <c r="ONX2477" s="54"/>
      <c r="ONY2477" s="60"/>
      <c r="ONZ2477" s="60"/>
      <c r="OOA2477" s="60"/>
      <c r="OOB2477" s="60"/>
      <c r="OOC2477" s="63"/>
      <c r="OOD2477" s="61"/>
      <c r="OOE2477" s="54"/>
      <c r="OOF2477" s="54"/>
      <c r="OOG2477" s="60"/>
      <c r="OOH2477" s="60"/>
      <c r="OOI2477" s="60"/>
      <c r="OOJ2477" s="60"/>
      <c r="OOK2477" s="63"/>
      <c r="OOL2477" s="61"/>
      <c r="OOM2477" s="54"/>
      <c r="OON2477" s="54"/>
      <c r="OOO2477" s="60"/>
      <c r="OOP2477" s="60"/>
      <c r="OOQ2477" s="60"/>
      <c r="OOR2477" s="60"/>
      <c r="OOS2477" s="63"/>
      <c r="OOT2477" s="61"/>
      <c r="OOU2477" s="54"/>
      <c r="OOV2477" s="54"/>
      <c r="OOW2477" s="60"/>
      <c r="OOX2477" s="60"/>
      <c r="OOY2477" s="60"/>
      <c r="OOZ2477" s="60"/>
      <c r="OPA2477" s="63"/>
      <c r="OPB2477" s="61"/>
      <c r="OPC2477" s="54"/>
      <c r="OPD2477" s="54"/>
      <c r="OPE2477" s="60"/>
      <c r="OPF2477" s="60"/>
      <c r="OPG2477" s="60"/>
      <c r="OPH2477" s="60"/>
      <c r="OPI2477" s="63"/>
      <c r="OPJ2477" s="61"/>
      <c r="OPK2477" s="54"/>
      <c r="OPL2477" s="54"/>
      <c r="OPM2477" s="60"/>
      <c r="OPN2477" s="60"/>
      <c r="OPO2477" s="60"/>
      <c r="OPP2477" s="60"/>
      <c r="OPQ2477" s="63"/>
      <c r="OPR2477" s="61"/>
      <c r="OPS2477" s="54"/>
      <c r="OPT2477" s="54"/>
      <c r="OPU2477" s="60"/>
      <c r="OPV2477" s="60"/>
      <c r="OPW2477" s="60"/>
      <c r="OPX2477" s="60"/>
      <c r="OPY2477" s="63"/>
      <c r="OPZ2477" s="61"/>
      <c r="OQA2477" s="54"/>
      <c r="OQB2477" s="54"/>
      <c r="OQC2477" s="60"/>
      <c r="OQD2477" s="60"/>
      <c r="OQE2477" s="60"/>
      <c r="OQF2477" s="60"/>
      <c r="OQG2477" s="63"/>
      <c r="OQH2477" s="61"/>
      <c r="OQI2477" s="54"/>
      <c r="OQJ2477" s="54"/>
      <c r="OQK2477" s="60"/>
      <c r="OQL2477" s="60"/>
      <c r="OQM2477" s="60"/>
      <c r="OQN2477" s="60"/>
      <c r="OQO2477" s="63"/>
      <c r="OQP2477" s="61"/>
      <c r="OQQ2477" s="54"/>
      <c r="OQR2477" s="54"/>
      <c r="OQS2477" s="60"/>
      <c r="OQT2477" s="60"/>
      <c r="OQU2477" s="60"/>
      <c r="OQV2477" s="60"/>
      <c r="OQW2477" s="63"/>
      <c r="OQX2477" s="61"/>
      <c r="OQY2477" s="54"/>
      <c r="OQZ2477" s="54"/>
      <c r="ORA2477" s="60"/>
      <c r="ORB2477" s="60"/>
      <c r="ORC2477" s="60"/>
      <c r="ORD2477" s="60"/>
      <c r="ORE2477" s="63"/>
      <c r="ORF2477" s="61"/>
      <c r="ORG2477" s="54"/>
      <c r="ORH2477" s="54"/>
      <c r="ORI2477" s="60"/>
      <c r="ORJ2477" s="60"/>
      <c r="ORK2477" s="60"/>
      <c r="ORL2477" s="60"/>
      <c r="ORM2477" s="63"/>
      <c r="ORN2477" s="61"/>
      <c r="ORO2477" s="54"/>
      <c r="ORP2477" s="54"/>
      <c r="ORQ2477" s="60"/>
      <c r="ORR2477" s="60"/>
      <c r="ORS2477" s="60"/>
      <c r="ORT2477" s="60"/>
      <c r="ORU2477" s="63"/>
      <c r="ORV2477" s="61"/>
      <c r="ORW2477" s="54"/>
      <c r="ORX2477" s="54"/>
      <c r="ORY2477" s="60"/>
      <c r="ORZ2477" s="60"/>
      <c r="OSA2477" s="60"/>
      <c r="OSB2477" s="60"/>
      <c r="OSC2477" s="63"/>
      <c r="OSD2477" s="61"/>
      <c r="OSE2477" s="54"/>
      <c r="OSF2477" s="54"/>
      <c r="OSG2477" s="60"/>
      <c r="OSH2477" s="60"/>
      <c r="OSI2477" s="60"/>
      <c r="OSJ2477" s="60"/>
      <c r="OSK2477" s="63"/>
      <c r="OSL2477" s="61"/>
      <c r="OSM2477" s="54"/>
      <c r="OSN2477" s="54"/>
      <c r="OSO2477" s="60"/>
      <c r="OSP2477" s="60"/>
      <c r="OSQ2477" s="60"/>
      <c r="OSR2477" s="60"/>
      <c r="OSS2477" s="63"/>
      <c r="OST2477" s="61"/>
      <c r="OSU2477" s="54"/>
      <c r="OSV2477" s="54"/>
      <c r="OSW2477" s="60"/>
      <c r="OSX2477" s="60"/>
      <c r="OSY2477" s="60"/>
      <c r="OSZ2477" s="60"/>
      <c r="OTA2477" s="63"/>
      <c r="OTB2477" s="61"/>
      <c r="OTC2477" s="54"/>
      <c r="OTD2477" s="54"/>
      <c r="OTE2477" s="60"/>
      <c r="OTF2477" s="60"/>
      <c r="OTG2477" s="60"/>
      <c r="OTH2477" s="60"/>
      <c r="OTI2477" s="63"/>
      <c r="OTJ2477" s="61"/>
      <c r="OTK2477" s="54"/>
      <c r="OTL2477" s="54"/>
      <c r="OTM2477" s="60"/>
      <c r="OTN2477" s="60"/>
      <c r="OTO2477" s="60"/>
      <c r="OTP2477" s="60"/>
      <c r="OTQ2477" s="63"/>
      <c r="OTR2477" s="61"/>
      <c r="OTS2477" s="54"/>
      <c r="OTT2477" s="54"/>
      <c r="OTU2477" s="60"/>
      <c r="OTV2477" s="60"/>
      <c r="OTW2477" s="60"/>
      <c r="OTX2477" s="60"/>
      <c r="OTY2477" s="63"/>
      <c r="OTZ2477" s="61"/>
      <c r="OUA2477" s="54"/>
      <c r="OUB2477" s="54"/>
      <c r="OUC2477" s="60"/>
      <c r="OUD2477" s="60"/>
      <c r="OUE2477" s="60"/>
      <c r="OUF2477" s="60"/>
      <c r="OUG2477" s="63"/>
      <c r="OUH2477" s="61"/>
      <c r="OUI2477" s="54"/>
      <c r="OUJ2477" s="54"/>
      <c r="OUK2477" s="60"/>
      <c r="OUL2477" s="60"/>
      <c r="OUM2477" s="60"/>
      <c r="OUN2477" s="60"/>
      <c r="OUO2477" s="63"/>
      <c r="OUP2477" s="61"/>
      <c r="OUQ2477" s="54"/>
      <c r="OUR2477" s="54"/>
      <c r="OUS2477" s="60"/>
      <c r="OUT2477" s="60"/>
      <c r="OUU2477" s="60"/>
      <c r="OUV2477" s="60"/>
      <c r="OUW2477" s="63"/>
      <c r="OUX2477" s="61"/>
      <c r="OUY2477" s="54"/>
      <c r="OUZ2477" s="54"/>
      <c r="OVA2477" s="60"/>
      <c r="OVB2477" s="60"/>
      <c r="OVC2477" s="60"/>
      <c r="OVD2477" s="60"/>
      <c r="OVE2477" s="63"/>
      <c r="OVF2477" s="61"/>
      <c r="OVG2477" s="54"/>
      <c r="OVH2477" s="54"/>
      <c r="OVI2477" s="60"/>
      <c r="OVJ2477" s="60"/>
      <c r="OVK2477" s="60"/>
      <c r="OVL2477" s="60"/>
      <c r="OVM2477" s="63"/>
      <c r="OVN2477" s="61"/>
      <c r="OVO2477" s="54"/>
      <c r="OVP2477" s="54"/>
      <c r="OVQ2477" s="60"/>
      <c r="OVR2477" s="60"/>
      <c r="OVS2477" s="60"/>
      <c r="OVT2477" s="60"/>
      <c r="OVU2477" s="63"/>
      <c r="OVV2477" s="61"/>
      <c r="OVW2477" s="54"/>
      <c r="OVX2477" s="54"/>
      <c r="OVY2477" s="60"/>
      <c r="OVZ2477" s="60"/>
      <c r="OWA2477" s="60"/>
      <c r="OWB2477" s="60"/>
      <c r="OWC2477" s="63"/>
      <c r="OWD2477" s="61"/>
      <c r="OWE2477" s="54"/>
      <c r="OWF2477" s="54"/>
      <c r="OWG2477" s="60"/>
      <c r="OWH2477" s="60"/>
      <c r="OWI2477" s="60"/>
      <c r="OWJ2477" s="60"/>
      <c r="OWK2477" s="63"/>
      <c r="OWL2477" s="61"/>
      <c r="OWM2477" s="54"/>
      <c r="OWN2477" s="54"/>
      <c r="OWO2477" s="60"/>
      <c r="OWP2477" s="60"/>
      <c r="OWQ2477" s="60"/>
      <c r="OWR2477" s="60"/>
      <c r="OWS2477" s="63"/>
      <c r="OWT2477" s="61"/>
      <c r="OWU2477" s="54"/>
      <c r="OWV2477" s="54"/>
      <c r="OWW2477" s="60"/>
      <c r="OWX2477" s="60"/>
      <c r="OWY2477" s="60"/>
      <c r="OWZ2477" s="60"/>
      <c r="OXA2477" s="63"/>
      <c r="OXB2477" s="61"/>
      <c r="OXC2477" s="54"/>
      <c r="OXD2477" s="54"/>
      <c r="OXE2477" s="60"/>
      <c r="OXF2477" s="60"/>
      <c r="OXG2477" s="60"/>
      <c r="OXH2477" s="60"/>
      <c r="OXI2477" s="63"/>
      <c r="OXJ2477" s="61"/>
      <c r="OXK2477" s="54"/>
      <c r="OXL2477" s="54"/>
      <c r="OXM2477" s="60"/>
      <c r="OXN2477" s="60"/>
      <c r="OXO2477" s="60"/>
      <c r="OXP2477" s="60"/>
      <c r="OXQ2477" s="63"/>
      <c r="OXR2477" s="61"/>
      <c r="OXS2477" s="54"/>
      <c r="OXT2477" s="54"/>
      <c r="OXU2477" s="60"/>
      <c r="OXV2477" s="60"/>
      <c r="OXW2477" s="60"/>
      <c r="OXX2477" s="60"/>
      <c r="OXY2477" s="63"/>
      <c r="OXZ2477" s="61"/>
      <c r="OYA2477" s="54"/>
      <c r="OYB2477" s="54"/>
      <c r="OYC2477" s="60"/>
      <c r="OYD2477" s="60"/>
      <c r="OYE2477" s="60"/>
      <c r="OYF2477" s="60"/>
      <c r="OYG2477" s="63"/>
      <c r="OYH2477" s="61"/>
      <c r="OYI2477" s="54"/>
      <c r="OYJ2477" s="54"/>
      <c r="OYK2477" s="60"/>
      <c r="OYL2477" s="60"/>
      <c r="OYM2477" s="60"/>
      <c r="OYN2477" s="60"/>
      <c r="OYO2477" s="63"/>
      <c r="OYP2477" s="61"/>
      <c r="OYQ2477" s="54"/>
      <c r="OYR2477" s="54"/>
      <c r="OYS2477" s="60"/>
      <c r="OYT2477" s="60"/>
      <c r="OYU2477" s="60"/>
      <c r="OYV2477" s="60"/>
      <c r="OYW2477" s="63"/>
      <c r="OYX2477" s="61"/>
      <c r="OYY2477" s="54"/>
      <c r="OYZ2477" s="54"/>
      <c r="OZA2477" s="60"/>
      <c r="OZB2477" s="60"/>
      <c r="OZC2477" s="60"/>
      <c r="OZD2477" s="60"/>
      <c r="OZE2477" s="63"/>
      <c r="OZF2477" s="61"/>
      <c r="OZG2477" s="54"/>
      <c r="OZH2477" s="54"/>
      <c r="OZI2477" s="60"/>
      <c r="OZJ2477" s="60"/>
      <c r="OZK2477" s="60"/>
      <c r="OZL2477" s="60"/>
      <c r="OZM2477" s="63"/>
      <c r="OZN2477" s="61"/>
      <c r="OZO2477" s="54"/>
      <c r="OZP2477" s="54"/>
      <c r="OZQ2477" s="60"/>
      <c r="OZR2477" s="60"/>
      <c r="OZS2477" s="60"/>
      <c r="OZT2477" s="60"/>
      <c r="OZU2477" s="63"/>
      <c r="OZV2477" s="61"/>
      <c r="OZW2477" s="54"/>
      <c r="OZX2477" s="54"/>
      <c r="OZY2477" s="60"/>
      <c r="OZZ2477" s="60"/>
      <c r="PAA2477" s="60"/>
      <c r="PAB2477" s="60"/>
      <c r="PAC2477" s="63"/>
      <c r="PAD2477" s="61"/>
      <c r="PAE2477" s="54"/>
      <c r="PAF2477" s="54"/>
      <c r="PAG2477" s="60"/>
      <c r="PAH2477" s="60"/>
      <c r="PAI2477" s="60"/>
      <c r="PAJ2477" s="60"/>
      <c r="PAK2477" s="63"/>
      <c r="PAL2477" s="61"/>
      <c r="PAM2477" s="54"/>
      <c r="PAN2477" s="54"/>
      <c r="PAO2477" s="60"/>
      <c r="PAP2477" s="60"/>
      <c r="PAQ2477" s="60"/>
      <c r="PAR2477" s="60"/>
      <c r="PAS2477" s="63"/>
      <c r="PAT2477" s="61"/>
      <c r="PAU2477" s="54"/>
      <c r="PAV2477" s="54"/>
      <c r="PAW2477" s="60"/>
      <c r="PAX2477" s="60"/>
      <c r="PAY2477" s="60"/>
      <c r="PAZ2477" s="60"/>
      <c r="PBA2477" s="63"/>
      <c r="PBB2477" s="61"/>
      <c r="PBC2477" s="54"/>
      <c r="PBD2477" s="54"/>
      <c r="PBE2477" s="60"/>
      <c r="PBF2477" s="60"/>
      <c r="PBG2477" s="60"/>
      <c r="PBH2477" s="60"/>
      <c r="PBI2477" s="63"/>
      <c r="PBJ2477" s="61"/>
      <c r="PBK2477" s="54"/>
      <c r="PBL2477" s="54"/>
      <c r="PBM2477" s="60"/>
      <c r="PBN2477" s="60"/>
      <c r="PBO2477" s="60"/>
      <c r="PBP2477" s="60"/>
      <c r="PBQ2477" s="63"/>
      <c r="PBR2477" s="61"/>
      <c r="PBS2477" s="54"/>
      <c r="PBT2477" s="54"/>
      <c r="PBU2477" s="60"/>
      <c r="PBV2477" s="60"/>
      <c r="PBW2477" s="60"/>
      <c r="PBX2477" s="60"/>
      <c r="PBY2477" s="63"/>
      <c r="PBZ2477" s="61"/>
      <c r="PCA2477" s="54"/>
      <c r="PCB2477" s="54"/>
      <c r="PCC2477" s="60"/>
      <c r="PCD2477" s="60"/>
      <c r="PCE2477" s="60"/>
      <c r="PCF2477" s="60"/>
      <c r="PCG2477" s="63"/>
      <c r="PCH2477" s="61"/>
      <c r="PCI2477" s="54"/>
      <c r="PCJ2477" s="54"/>
      <c r="PCK2477" s="60"/>
      <c r="PCL2477" s="60"/>
      <c r="PCM2477" s="60"/>
      <c r="PCN2477" s="60"/>
      <c r="PCO2477" s="63"/>
      <c r="PCP2477" s="61"/>
      <c r="PCQ2477" s="54"/>
      <c r="PCR2477" s="54"/>
      <c r="PCS2477" s="60"/>
      <c r="PCT2477" s="60"/>
      <c r="PCU2477" s="60"/>
      <c r="PCV2477" s="60"/>
      <c r="PCW2477" s="63"/>
      <c r="PCX2477" s="61"/>
      <c r="PCY2477" s="54"/>
      <c r="PCZ2477" s="54"/>
      <c r="PDA2477" s="60"/>
      <c r="PDB2477" s="60"/>
      <c r="PDC2477" s="60"/>
      <c r="PDD2477" s="60"/>
      <c r="PDE2477" s="63"/>
      <c r="PDF2477" s="61"/>
      <c r="PDG2477" s="54"/>
      <c r="PDH2477" s="54"/>
      <c r="PDI2477" s="60"/>
      <c r="PDJ2477" s="60"/>
      <c r="PDK2477" s="60"/>
      <c r="PDL2477" s="60"/>
      <c r="PDM2477" s="63"/>
      <c r="PDN2477" s="61"/>
      <c r="PDO2477" s="54"/>
      <c r="PDP2477" s="54"/>
      <c r="PDQ2477" s="60"/>
      <c r="PDR2477" s="60"/>
      <c r="PDS2477" s="60"/>
      <c r="PDT2477" s="60"/>
      <c r="PDU2477" s="63"/>
      <c r="PDV2477" s="61"/>
      <c r="PDW2477" s="54"/>
      <c r="PDX2477" s="54"/>
      <c r="PDY2477" s="60"/>
      <c r="PDZ2477" s="60"/>
      <c r="PEA2477" s="60"/>
      <c r="PEB2477" s="60"/>
      <c r="PEC2477" s="63"/>
      <c r="PED2477" s="61"/>
      <c r="PEE2477" s="54"/>
      <c r="PEF2477" s="54"/>
      <c r="PEG2477" s="60"/>
      <c r="PEH2477" s="60"/>
      <c r="PEI2477" s="60"/>
      <c r="PEJ2477" s="60"/>
      <c r="PEK2477" s="63"/>
      <c r="PEL2477" s="61"/>
      <c r="PEM2477" s="54"/>
      <c r="PEN2477" s="54"/>
      <c r="PEO2477" s="60"/>
      <c r="PEP2477" s="60"/>
      <c r="PEQ2477" s="60"/>
      <c r="PER2477" s="60"/>
      <c r="PES2477" s="63"/>
      <c r="PET2477" s="61"/>
      <c r="PEU2477" s="54"/>
      <c r="PEV2477" s="54"/>
      <c r="PEW2477" s="60"/>
      <c r="PEX2477" s="60"/>
      <c r="PEY2477" s="60"/>
      <c r="PEZ2477" s="60"/>
      <c r="PFA2477" s="63"/>
      <c r="PFB2477" s="61"/>
      <c r="PFC2477" s="54"/>
      <c r="PFD2477" s="54"/>
      <c r="PFE2477" s="60"/>
      <c r="PFF2477" s="60"/>
      <c r="PFG2477" s="60"/>
      <c r="PFH2477" s="60"/>
      <c r="PFI2477" s="63"/>
      <c r="PFJ2477" s="61"/>
      <c r="PFK2477" s="54"/>
      <c r="PFL2477" s="54"/>
      <c r="PFM2477" s="60"/>
      <c r="PFN2477" s="60"/>
      <c r="PFO2477" s="60"/>
      <c r="PFP2477" s="60"/>
      <c r="PFQ2477" s="63"/>
      <c r="PFR2477" s="61"/>
      <c r="PFS2477" s="54"/>
      <c r="PFT2477" s="54"/>
      <c r="PFU2477" s="60"/>
      <c r="PFV2477" s="60"/>
      <c r="PFW2477" s="60"/>
      <c r="PFX2477" s="60"/>
      <c r="PFY2477" s="63"/>
      <c r="PFZ2477" s="61"/>
      <c r="PGA2477" s="54"/>
      <c r="PGB2477" s="54"/>
      <c r="PGC2477" s="60"/>
      <c r="PGD2477" s="60"/>
      <c r="PGE2477" s="60"/>
      <c r="PGF2477" s="60"/>
      <c r="PGG2477" s="63"/>
      <c r="PGH2477" s="61"/>
      <c r="PGI2477" s="54"/>
      <c r="PGJ2477" s="54"/>
      <c r="PGK2477" s="60"/>
      <c r="PGL2477" s="60"/>
      <c r="PGM2477" s="60"/>
      <c r="PGN2477" s="60"/>
      <c r="PGO2477" s="63"/>
      <c r="PGP2477" s="61"/>
      <c r="PGQ2477" s="54"/>
      <c r="PGR2477" s="54"/>
      <c r="PGS2477" s="60"/>
      <c r="PGT2477" s="60"/>
      <c r="PGU2477" s="60"/>
      <c r="PGV2477" s="60"/>
      <c r="PGW2477" s="63"/>
      <c r="PGX2477" s="61"/>
      <c r="PGY2477" s="54"/>
      <c r="PGZ2477" s="54"/>
      <c r="PHA2477" s="60"/>
      <c r="PHB2477" s="60"/>
      <c r="PHC2477" s="60"/>
      <c r="PHD2477" s="60"/>
      <c r="PHE2477" s="63"/>
      <c r="PHF2477" s="61"/>
      <c r="PHG2477" s="54"/>
      <c r="PHH2477" s="54"/>
      <c r="PHI2477" s="60"/>
      <c r="PHJ2477" s="60"/>
      <c r="PHK2477" s="60"/>
      <c r="PHL2477" s="60"/>
      <c r="PHM2477" s="63"/>
      <c r="PHN2477" s="61"/>
      <c r="PHO2477" s="54"/>
      <c r="PHP2477" s="54"/>
      <c r="PHQ2477" s="60"/>
      <c r="PHR2477" s="60"/>
      <c r="PHS2477" s="60"/>
      <c r="PHT2477" s="60"/>
      <c r="PHU2477" s="63"/>
      <c r="PHV2477" s="61"/>
      <c r="PHW2477" s="54"/>
      <c r="PHX2477" s="54"/>
      <c r="PHY2477" s="60"/>
      <c r="PHZ2477" s="60"/>
      <c r="PIA2477" s="60"/>
      <c r="PIB2477" s="60"/>
      <c r="PIC2477" s="63"/>
      <c r="PID2477" s="61"/>
      <c r="PIE2477" s="54"/>
      <c r="PIF2477" s="54"/>
      <c r="PIG2477" s="60"/>
      <c r="PIH2477" s="60"/>
      <c r="PII2477" s="60"/>
      <c r="PIJ2477" s="60"/>
      <c r="PIK2477" s="63"/>
      <c r="PIL2477" s="61"/>
      <c r="PIM2477" s="54"/>
      <c r="PIN2477" s="54"/>
      <c r="PIO2477" s="60"/>
      <c r="PIP2477" s="60"/>
      <c r="PIQ2477" s="60"/>
      <c r="PIR2477" s="60"/>
      <c r="PIS2477" s="63"/>
      <c r="PIT2477" s="61"/>
      <c r="PIU2477" s="54"/>
      <c r="PIV2477" s="54"/>
      <c r="PIW2477" s="60"/>
      <c r="PIX2477" s="60"/>
      <c r="PIY2477" s="60"/>
      <c r="PIZ2477" s="60"/>
      <c r="PJA2477" s="63"/>
      <c r="PJB2477" s="61"/>
      <c r="PJC2477" s="54"/>
      <c r="PJD2477" s="54"/>
      <c r="PJE2477" s="60"/>
      <c r="PJF2477" s="60"/>
      <c r="PJG2477" s="60"/>
      <c r="PJH2477" s="60"/>
      <c r="PJI2477" s="63"/>
      <c r="PJJ2477" s="61"/>
      <c r="PJK2477" s="54"/>
      <c r="PJL2477" s="54"/>
      <c r="PJM2477" s="60"/>
      <c r="PJN2477" s="60"/>
      <c r="PJO2477" s="60"/>
      <c r="PJP2477" s="60"/>
      <c r="PJQ2477" s="63"/>
      <c r="PJR2477" s="61"/>
      <c r="PJS2477" s="54"/>
      <c r="PJT2477" s="54"/>
      <c r="PJU2477" s="60"/>
      <c r="PJV2477" s="60"/>
      <c r="PJW2477" s="60"/>
      <c r="PJX2477" s="60"/>
      <c r="PJY2477" s="63"/>
      <c r="PJZ2477" s="61"/>
      <c r="PKA2477" s="54"/>
      <c r="PKB2477" s="54"/>
      <c r="PKC2477" s="60"/>
      <c r="PKD2477" s="60"/>
      <c r="PKE2477" s="60"/>
      <c r="PKF2477" s="60"/>
      <c r="PKG2477" s="63"/>
      <c r="PKH2477" s="61"/>
      <c r="PKI2477" s="54"/>
      <c r="PKJ2477" s="54"/>
      <c r="PKK2477" s="60"/>
      <c r="PKL2477" s="60"/>
      <c r="PKM2477" s="60"/>
      <c r="PKN2477" s="60"/>
      <c r="PKO2477" s="63"/>
      <c r="PKP2477" s="61"/>
      <c r="PKQ2477" s="54"/>
      <c r="PKR2477" s="54"/>
      <c r="PKS2477" s="60"/>
      <c r="PKT2477" s="60"/>
      <c r="PKU2477" s="60"/>
      <c r="PKV2477" s="60"/>
      <c r="PKW2477" s="63"/>
      <c r="PKX2477" s="61"/>
      <c r="PKY2477" s="54"/>
      <c r="PKZ2477" s="54"/>
      <c r="PLA2477" s="60"/>
      <c r="PLB2477" s="60"/>
      <c r="PLC2477" s="60"/>
      <c r="PLD2477" s="60"/>
      <c r="PLE2477" s="63"/>
      <c r="PLF2477" s="61"/>
      <c r="PLG2477" s="54"/>
      <c r="PLH2477" s="54"/>
      <c r="PLI2477" s="60"/>
      <c r="PLJ2477" s="60"/>
      <c r="PLK2477" s="60"/>
      <c r="PLL2477" s="60"/>
      <c r="PLM2477" s="63"/>
      <c r="PLN2477" s="61"/>
      <c r="PLO2477" s="54"/>
      <c r="PLP2477" s="54"/>
      <c r="PLQ2477" s="60"/>
      <c r="PLR2477" s="60"/>
      <c r="PLS2477" s="60"/>
      <c r="PLT2477" s="60"/>
      <c r="PLU2477" s="63"/>
      <c r="PLV2477" s="61"/>
      <c r="PLW2477" s="54"/>
      <c r="PLX2477" s="54"/>
      <c r="PLY2477" s="60"/>
      <c r="PLZ2477" s="60"/>
      <c r="PMA2477" s="60"/>
      <c r="PMB2477" s="60"/>
      <c r="PMC2477" s="63"/>
      <c r="PMD2477" s="61"/>
      <c r="PME2477" s="54"/>
      <c r="PMF2477" s="54"/>
      <c r="PMG2477" s="60"/>
      <c r="PMH2477" s="60"/>
      <c r="PMI2477" s="60"/>
      <c r="PMJ2477" s="60"/>
      <c r="PMK2477" s="63"/>
      <c r="PML2477" s="61"/>
      <c r="PMM2477" s="54"/>
      <c r="PMN2477" s="54"/>
      <c r="PMO2477" s="60"/>
      <c r="PMP2477" s="60"/>
      <c r="PMQ2477" s="60"/>
      <c r="PMR2477" s="60"/>
      <c r="PMS2477" s="63"/>
      <c r="PMT2477" s="61"/>
      <c r="PMU2477" s="54"/>
      <c r="PMV2477" s="54"/>
      <c r="PMW2477" s="60"/>
      <c r="PMX2477" s="60"/>
      <c r="PMY2477" s="60"/>
      <c r="PMZ2477" s="60"/>
      <c r="PNA2477" s="63"/>
      <c r="PNB2477" s="61"/>
      <c r="PNC2477" s="54"/>
      <c r="PND2477" s="54"/>
      <c r="PNE2477" s="60"/>
      <c r="PNF2477" s="60"/>
      <c r="PNG2477" s="60"/>
      <c r="PNH2477" s="60"/>
      <c r="PNI2477" s="63"/>
      <c r="PNJ2477" s="61"/>
      <c r="PNK2477" s="54"/>
      <c r="PNL2477" s="54"/>
      <c r="PNM2477" s="60"/>
      <c r="PNN2477" s="60"/>
      <c r="PNO2477" s="60"/>
      <c r="PNP2477" s="60"/>
      <c r="PNQ2477" s="63"/>
      <c r="PNR2477" s="61"/>
      <c r="PNS2477" s="54"/>
      <c r="PNT2477" s="54"/>
      <c r="PNU2477" s="60"/>
      <c r="PNV2477" s="60"/>
      <c r="PNW2477" s="60"/>
      <c r="PNX2477" s="60"/>
      <c r="PNY2477" s="63"/>
      <c r="PNZ2477" s="61"/>
      <c r="POA2477" s="54"/>
      <c r="POB2477" s="54"/>
      <c r="POC2477" s="60"/>
      <c r="POD2477" s="60"/>
      <c r="POE2477" s="60"/>
      <c r="POF2477" s="60"/>
      <c r="POG2477" s="63"/>
      <c r="POH2477" s="61"/>
      <c r="POI2477" s="54"/>
      <c r="POJ2477" s="54"/>
      <c r="POK2477" s="60"/>
      <c r="POL2477" s="60"/>
      <c r="POM2477" s="60"/>
      <c r="PON2477" s="60"/>
      <c r="POO2477" s="63"/>
      <c r="POP2477" s="61"/>
      <c r="POQ2477" s="54"/>
      <c r="POR2477" s="54"/>
      <c r="POS2477" s="60"/>
      <c r="POT2477" s="60"/>
      <c r="POU2477" s="60"/>
      <c r="POV2477" s="60"/>
      <c r="POW2477" s="63"/>
      <c r="POX2477" s="61"/>
      <c r="POY2477" s="54"/>
      <c r="POZ2477" s="54"/>
      <c r="PPA2477" s="60"/>
      <c r="PPB2477" s="60"/>
      <c r="PPC2477" s="60"/>
      <c r="PPD2477" s="60"/>
      <c r="PPE2477" s="63"/>
      <c r="PPF2477" s="61"/>
      <c r="PPG2477" s="54"/>
      <c r="PPH2477" s="54"/>
      <c r="PPI2477" s="60"/>
      <c r="PPJ2477" s="60"/>
      <c r="PPK2477" s="60"/>
      <c r="PPL2477" s="60"/>
      <c r="PPM2477" s="63"/>
      <c r="PPN2477" s="61"/>
      <c r="PPO2477" s="54"/>
      <c r="PPP2477" s="54"/>
      <c r="PPQ2477" s="60"/>
      <c r="PPR2477" s="60"/>
      <c r="PPS2477" s="60"/>
      <c r="PPT2477" s="60"/>
      <c r="PPU2477" s="63"/>
      <c r="PPV2477" s="61"/>
      <c r="PPW2477" s="54"/>
      <c r="PPX2477" s="54"/>
      <c r="PPY2477" s="60"/>
      <c r="PPZ2477" s="60"/>
      <c r="PQA2477" s="60"/>
      <c r="PQB2477" s="60"/>
      <c r="PQC2477" s="63"/>
      <c r="PQD2477" s="61"/>
      <c r="PQE2477" s="54"/>
      <c r="PQF2477" s="54"/>
      <c r="PQG2477" s="60"/>
      <c r="PQH2477" s="60"/>
      <c r="PQI2477" s="60"/>
      <c r="PQJ2477" s="60"/>
      <c r="PQK2477" s="63"/>
      <c r="PQL2477" s="61"/>
      <c r="PQM2477" s="54"/>
      <c r="PQN2477" s="54"/>
      <c r="PQO2477" s="60"/>
      <c r="PQP2477" s="60"/>
      <c r="PQQ2477" s="60"/>
      <c r="PQR2477" s="60"/>
      <c r="PQS2477" s="63"/>
      <c r="PQT2477" s="61"/>
      <c r="PQU2477" s="54"/>
      <c r="PQV2477" s="54"/>
      <c r="PQW2477" s="60"/>
      <c r="PQX2477" s="60"/>
      <c r="PQY2477" s="60"/>
      <c r="PQZ2477" s="60"/>
      <c r="PRA2477" s="63"/>
      <c r="PRB2477" s="61"/>
      <c r="PRC2477" s="54"/>
      <c r="PRD2477" s="54"/>
      <c r="PRE2477" s="60"/>
      <c r="PRF2477" s="60"/>
      <c r="PRG2477" s="60"/>
      <c r="PRH2477" s="60"/>
      <c r="PRI2477" s="63"/>
      <c r="PRJ2477" s="61"/>
      <c r="PRK2477" s="54"/>
      <c r="PRL2477" s="54"/>
      <c r="PRM2477" s="60"/>
      <c r="PRN2477" s="60"/>
      <c r="PRO2477" s="60"/>
      <c r="PRP2477" s="60"/>
      <c r="PRQ2477" s="63"/>
      <c r="PRR2477" s="61"/>
      <c r="PRS2477" s="54"/>
      <c r="PRT2477" s="54"/>
      <c r="PRU2477" s="60"/>
      <c r="PRV2477" s="60"/>
      <c r="PRW2477" s="60"/>
      <c r="PRX2477" s="60"/>
      <c r="PRY2477" s="63"/>
      <c r="PRZ2477" s="61"/>
      <c r="PSA2477" s="54"/>
      <c r="PSB2477" s="54"/>
      <c r="PSC2477" s="60"/>
      <c r="PSD2477" s="60"/>
      <c r="PSE2477" s="60"/>
      <c r="PSF2477" s="60"/>
      <c r="PSG2477" s="63"/>
      <c r="PSH2477" s="61"/>
      <c r="PSI2477" s="54"/>
      <c r="PSJ2477" s="54"/>
      <c r="PSK2477" s="60"/>
      <c r="PSL2477" s="60"/>
      <c r="PSM2477" s="60"/>
      <c r="PSN2477" s="60"/>
      <c r="PSO2477" s="63"/>
      <c r="PSP2477" s="61"/>
      <c r="PSQ2477" s="54"/>
      <c r="PSR2477" s="54"/>
      <c r="PSS2477" s="60"/>
      <c r="PST2477" s="60"/>
      <c r="PSU2477" s="60"/>
      <c r="PSV2477" s="60"/>
      <c r="PSW2477" s="63"/>
      <c r="PSX2477" s="61"/>
      <c r="PSY2477" s="54"/>
      <c r="PSZ2477" s="54"/>
      <c r="PTA2477" s="60"/>
      <c r="PTB2477" s="60"/>
      <c r="PTC2477" s="60"/>
      <c r="PTD2477" s="60"/>
      <c r="PTE2477" s="63"/>
      <c r="PTF2477" s="61"/>
      <c r="PTG2477" s="54"/>
      <c r="PTH2477" s="54"/>
      <c r="PTI2477" s="60"/>
      <c r="PTJ2477" s="60"/>
      <c r="PTK2477" s="60"/>
      <c r="PTL2477" s="60"/>
      <c r="PTM2477" s="63"/>
      <c r="PTN2477" s="61"/>
      <c r="PTO2477" s="54"/>
      <c r="PTP2477" s="54"/>
      <c r="PTQ2477" s="60"/>
      <c r="PTR2477" s="60"/>
      <c r="PTS2477" s="60"/>
      <c r="PTT2477" s="60"/>
      <c r="PTU2477" s="63"/>
      <c r="PTV2477" s="61"/>
      <c r="PTW2477" s="54"/>
      <c r="PTX2477" s="54"/>
      <c r="PTY2477" s="60"/>
      <c r="PTZ2477" s="60"/>
      <c r="PUA2477" s="60"/>
      <c r="PUB2477" s="60"/>
      <c r="PUC2477" s="63"/>
      <c r="PUD2477" s="61"/>
      <c r="PUE2477" s="54"/>
      <c r="PUF2477" s="54"/>
      <c r="PUG2477" s="60"/>
      <c r="PUH2477" s="60"/>
      <c r="PUI2477" s="60"/>
      <c r="PUJ2477" s="60"/>
      <c r="PUK2477" s="63"/>
      <c r="PUL2477" s="61"/>
      <c r="PUM2477" s="54"/>
      <c r="PUN2477" s="54"/>
      <c r="PUO2477" s="60"/>
      <c r="PUP2477" s="60"/>
      <c r="PUQ2477" s="60"/>
      <c r="PUR2477" s="60"/>
      <c r="PUS2477" s="63"/>
      <c r="PUT2477" s="61"/>
      <c r="PUU2477" s="54"/>
      <c r="PUV2477" s="54"/>
      <c r="PUW2477" s="60"/>
      <c r="PUX2477" s="60"/>
      <c r="PUY2477" s="60"/>
      <c r="PUZ2477" s="60"/>
      <c r="PVA2477" s="63"/>
      <c r="PVB2477" s="61"/>
      <c r="PVC2477" s="54"/>
      <c r="PVD2477" s="54"/>
      <c r="PVE2477" s="60"/>
      <c r="PVF2477" s="60"/>
      <c r="PVG2477" s="60"/>
      <c r="PVH2477" s="60"/>
      <c r="PVI2477" s="63"/>
      <c r="PVJ2477" s="61"/>
      <c r="PVK2477" s="54"/>
      <c r="PVL2477" s="54"/>
      <c r="PVM2477" s="60"/>
      <c r="PVN2477" s="60"/>
      <c r="PVO2477" s="60"/>
      <c r="PVP2477" s="60"/>
      <c r="PVQ2477" s="63"/>
      <c r="PVR2477" s="61"/>
      <c r="PVS2477" s="54"/>
      <c r="PVT2477" s="54"/>
      <c r="PVU2477" s="60"/>
      <c r="PVV2477" s="60"/>
      <c r="PVW2477" s="60"/>
      <c r="PVX2477" s="60"/>
      <c r="PVY2477" s="63"/>
      <c r="PVZ2477" s="61"/>
      <c r="PWA2477" s="54"/>
      <c r="PWB2477" s="54"/>
      <c r="PWC2477" s="60"/>
      <c r="PWD2477" s="60"/>
      <c r="PWE2477" s="60"/>
      <c r="PWF2477" s="60"/>
      <c r="PWG2477" s="63"/>
      <c r="PWH2477" s="61"/>
      <c r="PWI2477" s="54"/>
      <c r="PWJ2477" s="54"/>
      <c r="PWK2477" s="60"/>
      <c r="PWL2477" s="60"/>
      <c r="PWM2477" s="60"/>
      <c r="PWN2477" s="60"/>
      <c r="PWO2477" s="63"/>
      <c r="PWP2477" s="61"/>
      <c r="PWQ2477" s="54"/>
      <c r="PWR2477" s="54"/>
      <c r="PWS2477" s="60"/>
      <c r="PWT2477" s="60"/>
      <c r="PWU2477" s="60"/>
      <c r="PWV2477" s="60"/>
      <c r="PWW2477" s="63"/>
      <c r="PWX2477" s="61"/>
      <c r="PWY2477" s="54"/>
      <c r="PWZ2477" s="54"/>
      <c r="PXA2477" s="60"/>
      <c r="PXB2477" s="60"/>
      <c r="PXC2477" s="60"/>
      <c r="PXD2477" s="60"/>
      <c r="PXE2477" s="63"/>
      <c r="PXF2477" s="61"/>
      <c r="PXG2477" s="54"/>
      <c r="PXH2477" s="54"/>
      <c r="PXI2477" s="60"/>
      <c r="PXJ2477" s="60"/>
      <c r="PXK2477" s="60"/>
      <c r="PXL2477" s="60"/>
      <c r="PXM2477" s="63"/>
      <c r="PXN2477" s="61"/>
      <c r="PXO2477" s="54"/>
      <c r="PXP2477" s="54"/>
      <c r="PXQ2477" s="60"/>
      <c r="PXR2477" s="60"/>
      <c r="PXS2477" s="60"/>
      <c r="PXT2477" s="60"/>
      <c r="PXU2477" s="63"/>
      <c r="PXV2477" s="61"/>
      <c r="PXW2477" s="54"/>
      <c r="PXX2477" s="54"/>
      <c r="PXY2477" s="60"/>
      <c r="PXZ2477" s="60"/>
      <c r="PYA2477" s="60"/>
      <c r="PYB2477" s="60"/>
      <c r="PYC2477" s="63"/>
      <c r="PYD2477" s="61"/>
      <c r="PYE2477" s="54"/>
      <c r="PYF2477" s="54"/>
      <c r="PYG2477" s="60"/>
      <c r="PYH2477" s="60"/>
      <c r="PYI2477" s="60"/>
      <c r="PYJ2477" s="60"/>
      <c r="PYK2477" s="63"/>
      <c r="PYL2477" s="61"/>
      <c r="PYM2477" s="54"/>
      <c r="PYN2477" s="54"/>
      <c r="PYO2477" s="60"/>
      <c r="PYP2477" s="60"/>
      <c r="PYQ2477" s="60"/>
      <c r="PYR2477" s="60"/>
      <c r="PYS2477" s="63"/>
      <c r="PYT2477" s="61"/>
      <c r="PYU2477" s="54"/>
      <c r="PYV2477" s="54"/>
      <c r="PYW2477" s="60"/>
      <c r="PYX2477" s="60"/>
      <c r="PYY2477" s="60"/>
      <c r="PYZ2477" s="60"/>
      <c r="PZA2477" s="63"/>
      <c r="PZB2477" s="61"/>
      <c r="PZC2477" s="54"/>
      <c r="PZD2477" s="54"/>
      <c r="PZE2477" s="60"/>
      <c r="PZF2477" s="60"/>
      <c r="PZG2477" s="60"/>
      <c r="PZH2477" s="60"/>
      <c r="PZI2477" s="63"/>
      <c r="PZJ2477" s="61"/>
      <c r="PZK2477" s="54"/>
      <c r="PZL2477" s="54"/>
      <c r="PZM2477" s="60"/>
      <c r="PZN2477" s="60"/>
      <c r="PZO2477" s="60"/>
      <c r="PZP2477" s="60"/>
      <c r="PZQ2477" s="63"/>
      <c r="PZR2477" s="61"/>
      <c r="PZS2477" s="54"/>
      <c r="PZT2477" s="54"/>
      <c r="PZU2477" s="60"/>
      <c r="PZV2477" s="60"/>
      <c r="PZW2477" s="60"/>
      <c r="PZX2477" s="60"/>
      <c r="PZY2477" s="63"/>
      <c r="PZZ2477" s="61"/>
      <c r="QAA2477" s="54"/>
      <c r="QAB2477" s="54"/>
      <c r="QAC2477" s="60"/>
      <c r="QAD2477" s="60"/>
      <c r="QAE2477" s="60"/>
      <c r="QAF2477" s="60"/>
      <c r="QAG2477" s="63"/>
      <c r="QAH2477" s="61"/>
      <c r="QAI2477" s="54"/>
      <c r="QAJ2477" s="54"/>
      <c r="QAK2477" s="60"/>
      <c r="QAL2477" s="60"/>
      <c r="QAM2477" s="60"/>
      <c r="QAN2477" s="60"/>
      <c r="QAO2477" s="63"/>
      <c r="QAP2477" s="61"/>
      <c r="QAQ2477" s="54"/>
      <c r="QAR2477" s="54"/>
      <c r="QAS2477" s="60"/>
      <c r="QAT2477" s="60"/>
      <c r="QAU2477" s="60"/>
      <c r="QAV2477" s="60"/>
      <c r="QAW2477" s="63"/>
      <c r="QAX2477" s="61"/>
      <c r="QAY2477" s="54"/>
      <c r="QAZ2477" s="54"/>
      <c r="QBA2477" s="60"/>
      <c r="QBB2477" s="60"/>
      <c r="QBC2477" s="60"/>
      <c r="QBD2477" s="60"/>
      <c r="QBE2477" s="63"/>
      <c r="QBF2477" s="61"/>
      <c r="QBG2477" s="54"/>
      <c r="QBH2477" s="54"/>
      <c r="QBI2477" s="60"/>
      <c r="QBJ2477" s="60"/>
      <c r="QBK2477" s="60"/>
      <c r="QBL2477" s="60"/>
      <c r="QBM2477" s="63"/>
      <c r="QBN2477" s="61"/>
      <c r="QBO2477" s="54"/>
      <c r="QBP2477" s="54"/>
      <c r="QBQ2477" s="60"/>
      <c r="QBR2477" s="60"/>
      <c r="QBS2477" s="60"/>
      <c r="QBT2477" s="60"/>
      <c r="QBU2477" s="63"/>
      <c r="QBV2477" s="61"/>
      <c r="QBW2477" s="54"/>
      <c r="QBX2477" s="54"/>
      <c r="QBY2477" s="60"/>
      <c r="QBZ2477" s="60"/>
      <c r="QCA2477" s="60"/>
      <c r="QCB2477" s="60"/>
      <c r="QCC2477" s="63"/>
      <c r="QCD2477" s="61"/>
      <c r="QCE2477" s="54"/>
      <c r="QCF2477" s="54"/>
      <c r="QCG2477" s="60"/>
      <c r="QCH2477" s="60"/>
      <c r="QCI2477" s="60"/>
      <c r="QCJ2477" s="60"/>
      <c r="QCK2477" s="63"/>
      <c r="QCL2477" s="61"/>
      <c r="QCM2477" s="54"/>
      <c r="QCN2477" s="54"/>
      <c r="QCO2477" s="60"/>
      <c r="QCP2477" s="60"/>
      <c r="QCQ2477" s="60"/>
      <c r="QCR2477" s="60"/>
      <c r="QCS2477" s="63"/>
      <c r="QCT2477" s="61"/>
      <c r="QCU2477" s="54"/>
      <c r="QCV2477" s="54"/>
      <c r="QCW2477" s="60"/>
      <c r="QCX2477" s="60"/>
      <c r="QCY2477" s="60"/>
      <c r="QCZ2477" s="60"/>
      <c r="QDA2477" s="63"/>
      <c r="QDB2477" s="61"/>
      <c r="QDC2477" s="54"/>
      <c r="QDD2477" s="54"/>
      <c r="QDE2477" s="60"/>
      <c r="QDF2477" s="60"/>
      <c r="QDG2477" s="60"/>
      <c r="QDH2477" s="60"/>
      <c r="QDI2477" s="63"/>
      <c r="QDJ2477" s="61"/>
      <c r="QDK2477" s="54"/>
      <c r="QDL2477" s="54"/>
      <c r="QDM2477" s="60"/>
      <c r="QDN2477" s="60"/>
      <c r="QDO2477" s="60"/>
      <c r="QDP2477" s="60"/>
      <c r="QDQ2477" s="63"/>
      <c r="QDR2477" s="61"/>
      <c r="QDS2477" s="54"/>
      <c r="QDT2477" s="54"/>
      <c r="QDU2477" s="60"/>
      <c r="QDV2477" s="60"/>
      <c r="QDW2477" s="60"/>
      <c r="QDX2477" s="60"/>
      <c r="QDY2477" s="63"/>
      <c r="QDZ2477" s="61"/>
      <c r="QEA2477" s="54"/>
      <c r="QEB2477" s="54"/>
      <c r="QEC2477" s="60"/>
      <c r="QED2477" s="60"/>
      <c r="QEE2477" s="60"/>
      <c r="QEF2477" s="60"/>
      <c r="QEG2477" s="63"/>
      <c r="QEH2477" s="61"/>
      <c r="QEI2477" s="54"/>
      <c r="QEJ2477" s="54"/>
      <c r="QEK2477" s="60"/>
      <c r="QEL2477" s="60"/>
      <c r="QEM2477" s="60"/>
      <c r="QEN2477" s="60"/>
      <c r="QEO2477" s="63"/>
      <c r="QEP2477" s="61"/>
      <c r="QEQ2477" s="54"/>
      <c r="QER2477" s="54"/>
      <c r="QES2477" s="60"/>
      <c r="QET2477" s="60"/>
      <c r="QEU2477" s="60"/>
      <c r="QEV2477" s="60"/>
      <c r="QEW2477" s="63"/>
      <c r="QEX2477" s="61"/>
      <c r="QEY2477" s="54"/>
      <c r="QEZ2477" s="54"/>
      <c r="QFA2477" s="60"/>
      <c r="QFB2477" s="60"/>
      <c r="QFC2477" s="60"/>
      <c r="QFD2477" s="60"/>
      <c r="QFE2477" s="63"/>
      <c r="QFF2477" s="61"/>
      <c r="QFG2477" s="54"/>
      <c r="QFH2477" s="54"/>
      <c r="QFI2477" s="60"/>
      <c r="QFJ2477" s="60"/>
      <c r="QFK2477" s="60"/>
      <c r="QFL2477" s="60"/>
      <c r="QFM2477" s="63"/>
      <c r="QFN2477" s="61"/>
      <c r="QFO2477" s="54"/>
      <c r="QFP2477" s="54"/>
      <c r="QFQ2477" s="60"/>
      <c r="QFR2477" s="60"/>
      <c r="QFS2477" s="60"/>
      <c r="QFT2477" s="60"/>
      <c r="QFU2477" s="63"/>
      <c r="QFV2477" s="61"/>
      <c r="QFW2477" s="54"/>
      <c r="QFX2477" s="54"/>
      <c r="QFY2477" s="60"/>
      <c r="QFZ2477" s="60"/>
      <c r="QGA2477" s="60"/>
      <c r="QGB2477" s="60"/>
      <c r="QGC2477" s="63"/>
      <c r="QGD2477" s="61"/>
      <c r="QGE2477" s="54"/>
      <c r="QGF2477" s="54"/>
      <c r="QGG2477" s="60"/>
      <c r="QGH2477" s="60"/>
      <c r="QGI2477" s="60"/>
      <c r="QGJ2477" s="60"/>
      <c r="QGK2477" s="63"/>
      <c r="QGL2477" s="61"/>
      <c r="QGM2477" s="54"/>
      <c r="QGN2477" s="54"/>
      <c r="QGO2477" s="60"/>
      <c r="QGP2477" s="60"/>
      <c r="QGQ2477" s="60"/>
      <c r="QGR2477" s="60"/>
      <c r="QGS2477" s="63"/>
      <c r="QGT2477" s="61"/>
      <c r="QGU2477" s="54"/>
      <c r="QGV2477" s="54"/>
      <c r="QGW2477" s="60"/>
      <c r="QGX2477" s="60"/>
      <c r="QGY2477" s="60"/>
      <c r="QGZ2477" s="60"/>
      <c r="QHA2477" s="63"/>
      <c r="QHB2477" s="61"/>
      <c r="QHC2477" s="54"/>
      <c r="QHD2477" s="54"/>
      <c r="QHE2477" s="60"/>
      <c r="QHF2477" s="60"/>
      <c r="QHG2477" s="60"/>
      <c r="QHH2477" s="60"/>
      <c r="QHI2477" s="63"/>
      <c r="QHJ2477" s="61"/>
      <c r="QHK2477" s="54"/>
      <c r="QHL2477" s="54"/>
      <c r="QHM2477" s="60"/>
      <c r="QHN2477" s="60"/>
      <c r="QHO2477" s="60"/>
      <c r="QHP2477" s="60"/>
      <c r="QHQ2477" s="63"/>
      <c r="QHR2477" s="61"/>
      <c r="QHS2477" s="54"/>
      <c r="QHT2477" s="54"/>
      <c r="QHU2477" s="60"/>
      <c r="QHV2477" s="60"/>
      <c r="QHW2477" s="60"/>
      <c r="QHX2477" s="60"/>
      <c r="QHY2477" s="63"/>
      <c r="QHZ2477" s="61"/>
      <c r="QIA2477" s="54"/>
      <c r="QIB2477" s="54"/>
      <c r="QIC2477" s="60"/>
      <c r="QID2477" s="60"/>
      <c r="QIE2477" s="60"/>
      <c r="QIF2477" s="60"/>
      <c r="QIG2477" s="63"/>
      <c r="QIH2477" s="61"/>
      <c r="QII2477" s="54"/>
      <c r="QIJ2477" s="54"/>
      <c r="QIK2477" s="60"/>
      <c r="QIL2477" s="60"/>
      <c r="QIM2477" s="60"/>
      <c r="QIN2477" s="60"/>
      <c r="QIO2477" s="63"/>
      <c r="QIP2477" s="61"/>
      <c r="QIQ2477" s="54"/>
      <c r="QIR2477" s="54"/>
      <c r="QIS2477" s="60"/>
      <c r="QIT2477" s="60"/>
      <c r="QIU2477" s="60"/>
      <c r="QIV2477" s="60"/>
      <c r="QIW2477" s="63"/>
      <c r="QIX2477" s="61"/>
      <c r="QIY2477" s="54"/>
      <c r="QIZ2477" s="54"/>
      <c r="QJA2477" s="60"/>
      <c r="QJB2477" s="60"/>
      <c r="QJC2477" s="60"/>
      <c r="QJD2477" s="60"/>
      <c r="QJE2477" s="63"/>
      <c r="QJF2477" s="61"/>
      <c r="QJG2477" s="54"/>
      <c r="QJH2477" s="54"/>
      <c r="QJI2477" s="60"/>
      <c r="QJJ2477" s="60"/>
      <c r="QJK2477" s="60"/>
      <c r="QJL2477" s="60"/>
      <c r="QJM2477" s="63"/>
      <c r="QJN2477" s="61"/>
      <c r="QJO2477" s="54"/>
      <c r="QJP2477" s="54"/>
      <c r="QJQ2477" s="60"/>
      <c r="QJR2477" s="60"/>
      <c r="QJS2477" s="60"/>
      <c r="QJT2477" s="60"/>
      <c r="QJU2477" s="63"/>
      <c r="QJV2477" s="61"/>
      <c r="QJW2477" s="54"/>
      <c r="QJX2477" s="54"/>
      <c r="QJY2477" s="60"/>
      <c r="QJZ2477" s="60"/>
      <c r="QKA2477" s="60"/>
      <c r="QKB2477" s="60"/>
      <c r="QKC2477" s="63"/>
      <c r="QKD2477" s="61"/>
      <c r="QKE2477" s="54"/>
      <c r="QKF2477" s="54"/>
      <c r="QKG2477" s="60"/>
      <c r="QKH2477" s="60"/>
      <c r="QKI2477" s="60"/>
      <c r="QKJ2477" s="60"/>
      <c r="QKK2477" s="63"/>
      <c r="QKL2477" s="61"/>
      <c r="QKM2477" s="54"/>
      <c r="QKN2477" s="54"/>
      <c r="QKO2477" s="60"/>
      <c r="QKP2477" s="60"/>
      <c r="QKQ2477" s="60"/>
      <c r="QKR2477" s="60"/>
      <c r="QKS2477" s="63"/>
      <c r="QKT2477" s="61"/>
      <c r="QKU2477" s="54"/>
      <c r="QKV2477" s="54"/>
      <c r="QKW2477" s="60"/>
      <c r="QKX2477" s="60"/>
      <c r="QKY2477" s="60"/>
      <c r="QKZ2477" s="60"/>
      <c r="QLA2477" s="63"/>
      <c r="QLB2477" s="61"/>
      <c r="QLC2477" s="54"/>
      <c r="QLD2477" s="54"/>
      <c r="QLE2477" s="60"/>
      <c r="QLF2477" s="60"/>
      <c r="QLG2477" s="60"/>
      <c r="QLH2477" s="60"/>
      <c r="QLI2477" s="63"/>
      <c r="QLJ2477" s="61"/>
      <c r="QLK2477" s="54"/>
      <c r="QLL2477" s="54"/>
      <c r="QLM2477" s="60"/>
      <c r="QLN2477" s="60"/>
      <c r="QLO2477" s="60"/>
      <c r="QLP2477" s="60"/>
      <c r="QLQ2477" s="63"/>
      <c r="QLR2477" s="61"/>
      <c r="QLS2477" s="54"/>
      <c r="QLT2477" s="54"/>
      <c r="QLU2477" s="60"/>
      <c r="QLV2477" s="60"/>
      <c r="QLW2477" s="60"/>
      <c r="QLX2477" s="60"/>
      <c r="QLY2477" s="63"/>
      <c r="QLZ2477" s="61"/>
      <c r="QMA2477" s="54"/>
      <c r="QMB2477" s="54"/>
      <c r="QMC2477" s="60"/>
      <c r="QMD2477" s="60"/>
      <c r="QME2477" s="60"/>
      <c r="QMF2477" s="60"/>
      <c r="QMG2477" s="63"/>
      <c r="QMH2477" s="61"/>
      <c r="QMI2477" s="54"/>
      <c r="QMJ2477" s="54"/>
      <c r="QMK2477" s="60"/>
      <c r="QML2477" s="60"/>
      <c r="QMM2477" s="60"/>
      <c r="QMN2477" s="60"/>
      <c r="QMO2477" s="63"/>
      <c r="QMP2477" s="61"/>
      <c r="QMQ2477" s="54"/>
      <c r="QMR2477" s="54"/>
      <c r="QMS2477" s="60"/>
      <c r="QMT2477" s="60"/>
      <c r="QMU2477" s="60"/>
      <c r="QMV2477" s="60"/>
      <c r="QMW2477" s="63"/>
      <c r="QMX2477" s="61"/>
      <c r="QMY2477" s="54"/>
      <c r="QMZ2477" s="54"/>
      <c r="QNA2477" s="60"/>
      <c r="QNB2477" s="60"/>
      <c r="QNC2477" s="60"/>
      <c r="QND2477" s="60"/>
      <c r="QNE2477" s="63"/>
      <c r="QNF2477" s="61"/>
      <c r="QNG2477" s="54"/>
      <c r="QNH2477" s="54"/>
      <c r="QNI2477" s="60"/>
      <c r="QNJ2477" s="60"/>
      <c r="QNK2477" s="60"/>
      <c r="QNL2477" s="60"/>
      <c r="QNM2477" s="63"/>
      <c r="QNN2477" s="61"/>
      <c r="QNO2477" s="54"/>
      <c r="QNP2477" s="54"/>
      <c r="QNQ2477" s="60"/>
      <c r="QNR2477" s="60"/>
      <c r="QNS2477" s="60"/>
      <c r="QNT2477" s="60"/>
      <c r="QNU2477" s="63"/>
      <c r="QNV2477" s="61"/>
      <c r="QNW2477" s="54"/>
      <c r="QNX2477" s="54"/>
      <c r="QNY2477" s="60"/>
      <c r="QNZ2477" s="60"/>
      <c r="QOA2477" s="60"/>
      <c r="QOB2477" s="60"/>
      <c r="QOC2477" s="63"/>
      <c r="QOD2477" s="61"/>
      <c r="QOE2477" s="54"/>
      <c r="QOF2477" s="54"/>
      <c r="QOG2477" s="60"/>
      <c r="QOH2477" s="60"/>
      <c r="QOI2477" s="60"/>
      <c r="QOJ2477" s="60"/>
      <c r="QOK2477" s="63"/>
      <c r="QOL2477" s="61"/>
      <c r="QOM2477" s="54"/>
      <c r="QON2477" s="54"/>
      <c r="QOO2477" s="60"/>
      <c r="QOP2477" s="60"/>
      <c r="QOQ2477" s="60"/>
      <c r="QOR2477" s="60"/>
      <c r="QOS2477" s="63"/>
      <c r="QOT2477" s="61"/>
      <c r="QOU2477" s="54"/>
      <c r="QOV2477" s="54"/>
      <c r="QOW2477" s="60"/>
      <c r="QOX2477" s="60"/>
      <c r="QOY2477" s="60"/>
      <c r="QOZ2477" s="60"/>
      <c r="QPA2477" s="63"/>
      <c r="QPB2477" s="61"/>
      <c r="QPC2477" s="54"/>
      <c r="QPD2477" s="54"/>
      <c r="QPE2477" s="60"/>
      <c r="QPF2477" s="60"/>
      <c r="QPG2477" s="60"/>
      <c r="QPH2477" s="60"/>
      <c r="QPI2477" s="63"/>
      <c r="QPJ2477" s="61"/>
      <c r="QPK2477" s="54"/>
      <c r="QPL2477" s="54"/>
      <c r="QPM2477" s="60"/>
      <c r="QPN2477" s="60"/>
      <c r="QPO2477" s="60"/>
      <c r="QPP2477" s="60"/>
      <c r="QPQ2477" s="63"/>
      <c r="QPR2477" s="61"/>
      <c r="QPS2477" s="54"/>
      <c r="QPT2477" s="54"/>
      <c r="QPU2477" s="60"/>
      <c r="QPV2477" s="60"/>
      <c r="QPW2477" s="60"/>
      <c r="QPX2477" s="60"/>
      <c r="QPY2477" s="63"/>
      <c r="QPZ2477" s="61"/>
      <c r="QQA2477" s="54"/>
      <c r="QQB2477" s="54"/>
      <c r="QQC2477" s="60"/>
      <c r="QQD2477" s="60"/>
      <c r="QQE2477" s="60"/>
      <c r="QQF2477" s="60"/>
      <c r="QQG2477" s="63"/>
      <c r="QQH2477" s="61"/>
      <c r="QQI2477" s="54"/>
      <c r="QQJ2477" s="54"/>
      <c r="QQK2477" s="60"/>
      <c r="QQL2477" s="60"/>
      <c r="QQM2477" s="60"/>
      <c r="QQN2477" s="60"/>
      <c r="QQO2477" s="63"/>
      <c r="QQP2477" s="61"/>
      <c r="QQQ2477" s="54"/>
      <c r="QQR2477" s="54"/>
      <c r="QQS2477" s="60"/>
      <c r="QQT2477" s="60"/>
      <c r="QQU2477" s="60"/>
      <c r="QQV2477" s="60"/>
      <c r="QQW2477" s="63"/>
      <c r="QQX2477" s="61"/>
      <c r="QQY2477" s="54"/>
      <c r="QQZ2477" s="54"/>
      <c r="QRA2477" s="60"/>
      <c r="QRB2477" s="60"/>
      <c r="QRC2477" s="60"/>
      <c r="QRD2477" s="60"/>
      <c r="QRE2477" s="63"/>
      <c r="QRF2477" s="61"/>
      <c r="QRG2477" s="54"/>
      <c r="QRH2477" s="54"/>
      <c r="QRI2477" s="60"/>
      <c r="QRJ2477" s="60"/>
      <c r="QRK2477" s="60"/>
      <c r="QRL2477" s="60"/>
      <c r="QRM2477" s="63"/>
      <c r="QRN2477" s="61"/>
      <c r="QRO2477" s="54"/>
      <c r="QRP2477" s="54"/>
      <c r="QRQ2477" s="60"/>
      <c r="QRR2477" s="60"/>
      <c r="QRS2477" s="60"/>
      <c r="QRT2477" s="60"/>
      <c r="QRU2477" s="63"/>
      <c r="QRV2477" s="61"/>
      <c r="QRW2477" s="54"/>
      <c r="QRX2477" s="54"/>
      <c r="QRY2477" s="60"/>
      <c r="QRZ2477" s="60"/>
      <c r="QSA2477" s="60"/>
      <c r="QSB2477" s="60"/>
      <c r="QSC2477" s="63"/>
      <c r="QSD2477" s="61"/>
      <c r="QSE2477" s="54"/>
      <c r="QSF2477" s="54"/>
      <c r="QSG2477" s="60"/>
      <c r="QSH2477" s="60"/>
      <c r="QSI2477" s="60"/>
      <c r="QSJ2477" s="60"/>
      <c r="QSK2477" s="63"/>
      <c r="QSL2477" s="61"/>
      <c r="QSM2477" s="54"/>
      <c r="QSN2477" s="54"/>
      <c r="QSO2477" s="60"/>
      <c r="QSP2477" s="60"/>
      <c r="QSQ2477" s="60"/>
      <c r="QSR2477" s="60"/>
      <c r="QSS2477" s="63"/>
      <c r="QST2477" s="61"/>
      <c r="QSU2477" s="54"/>
      <c r="QSV2477" s="54"/>
      <c r="QSW2477" s="60"/>
      <c r="QSX2477" s="60"/>
      <c r="QSY2477" s="60"/>
      <c r="QSZ2477" s="60"/>
      <c r="QTA2477" s="63"/>
      <c r="QTB2477" s="61"/>
      <c r="QTC2477" s="54"/>
      <c r="QTD2477" s="54"/>
      <c r="QTE2477" s="60"/>
      <c r="QTF2477" s="60"/>
      <c r="QTG2477" s="60"/>
      <c r="QTH2477" s="60"/>
      <c r="QTI2477" s="63"/>
      <c r="QTJ2477" s="61"/>
      <c r="QTK2477" s="54"/>
      <c r="QTL2477" s="54"/>
      <c r="QTM2477" s="60"/>
      <c r="QTN2477" s="60"/>
      <c r="QTO2477" s="60"/>
      <c r="QTP2477" s="60"/>
      <c r="QTQ2477" s="63"/>
      <c r="QTR2477" s="61"/>
      <c r="QTS2477" s="54"/>
      <c r="QTT2477" s="54"/>
      <c r="QTU2477" s="60"/>
      <c r="QTV2477" s="60"/>
      <c r="QTW2477" s="60"/>
      <c r="QTX2477" s="60"/>
      <c r="QTY2477" s="63"/>
      <c r="QTZ2477" s="61"/>
      <c r="QUA2477" s="54"/>
      <c r="QUB2477" s="54"/>
      <c r="QUC2477" s="60"/>
      <c r="QUD2477" s="60"/>
      <c r="QUE2477" s="60"/>
      <c r="QUF2477" s="60"/>
      <c r="QUG2477" s="63"/>
      <c r="QUH2477" s="61"/>
      <c r="QUI2477" s="54"/>
      <c r="QUJ2477" s="54"/>
      <c r="QUK2477" s="60"/>
      <c r="QUL2477" s="60"/>
      <c r="QUM2477" s="60"/>
      <c r="QUN2477" s="60"/>
      <c r="QUO2477" s="63"/>
      <c r="QUP2477" s="61"/>
      <c r="QUQ2477" s="54"/>
      <c r="QUR2477" s="54"/>
      <c r="QUS2477" s="60"/>
      <c r="QUT2477" s="60"/>
      <c r="QUU2477" s="60"/>
      <c r="QUV2477" s="60"/>
      <c r="QUW2477" s="63"/>
      <c r="QUX2477" s="61"/>
      <c r="QUY2477" s="54"/>
      <c r="QUZ2477" s="54"/>
      <c r="QVA2477" s="60"/>
      <c r="QVB2477" s="60"/>
      <c r="QVC2477" s="60"/>
      <c r="QVD2477" s="60"/>
      <c r="QVE2477" s="63"/>
      <c r="QVF2477" s="61"/>
      <c r="QVG2477" s="54"/>
      <c r="QVH2477" s="54"/>
      <c r="QVI2477" s="60"/>
      <c r="QVJ2477" s="60"/>
      <c r="QVK2477" s="60"/>
      <c r="QVL2477" s="60"/>
      <c r="QVM2477" s="63"/>
      <c r="QVN2477" s="61"/>
      <c r="QVO2477" s="54"/>
      <c r="QVP2477" s="54"/>
      <c r="QVQ2477" s="60"/>
      <c r="QVR2477" s="60"/>
      <c r="QVS2477" s="60"/>
      <c r="QVT2477" s="60"/>
      <c r="QVU2477" s="63"/>
      <c r="QVV2477" s="61"/>
      <c r="QVW2477" s="54"/>
      <c r="QVX2477" s="54"/>
      <c r="QVY2477" s="60"/>
      <c r="QVZ2477" s="60"/>
      <c r="QWA2477" s="60"/>
      <c r="QWB2477" s="60"/>
      <c r="QWC2477" s="63"/>
      <c r="QWD2477" s="61"/>
      <c r="QWE2477" s="54"/>
      <c r="QWF2477" s="54"/>
      <c r="QWG2477" s="60"/>
      <c r="QWH2477" s="60"/>
      <c r="QWI2477" s="60"/>
      <c r="QWJ2477" s="60"/>
      <c r="QWK2477" s="63"/>
      <c r="QWL2477" s="61"/>
      <c r="QWM2477" s="54"/>
      <c r="QWN2477" s="54"/>
      <c r="QWO2477" s="60"/>
      <c r="QWP2477" s="60"/>
      <c r="QWQ2477" s="60"/>
      <c r="QWR2477" s="60"/>
      <c r="QWS2477" s="63"/>
      <c r="QWT2477" s="61"/>
      <c r="QWU2477" s="54"/>
      <c r="QWV2477" s="54"/>
      <c r="QWW2477" s="60"/>
      <c r="QWX2477" s="60"/>
      <c r="QWY2477" s="60"/>
      <c r="QWZ2477" s="60"/>
      <c r="QXA2477" s="63"/>
      <c r="QXB2477" s="61"/>
      <c r="QXC2477" s="54"/>
      <c r="QXD2477" s="54"/>
      <c r="QXE2477" s="60"/>
      <c r="QXF2477" s="60"/>
      <c r="QXG2477" s="60"/>
      <c r="QXH2477" s="60"/>
      <c r="QXI2477" s="63"/>
      <c r="QXJ2477" s="61"/>
      <c r="QXK2477" s="54"/>
      <c r="QXL2477" s="54"/>
      <c r="QXM2477" s="60"/>
      <c r="QXN2477" s="60"/>
      <c r="QXO2477" s="60"/>
      <c r="QXP2477" s="60"/>
      <c r="QXQ2477" s="63"/>
      <c r="QXR2477" s="61"/>
      <c r="QXS2477" s="54"/>
      <c r="QXT2477" s="54"/>
      <c r="QXU2477" s="60"/>
      <c r="QXV2477" s="60"/>
      <c r="QXW2477" s="60"/>
      <c r="QXX2477" s="60"/>
      <c r="QXY2477" s="63"/>
      <c r="QXZ2477" s="61"/>
      <c r="QYA2477" s="54"/>
      <c r="QYB2477" s="54"/>
      <c r="QYC2477" s="60"/>
      <c r="QYD2477" s="60"/>
      <c r="QYE2477" s="60"/>
      <c r="QYF2477" s="60"/>
      <c r="QYG2477" s="63"/>
      <c r="QYH2477" s="61"/>
      <c r="QYI2477" s="54"/>
      <c r="QYJ2477" s="54"/>
      <c r="QYK2477" s="60"/>
      <c r="QYL2477" s="60"/>
      <c r="QYM2477" s="60"/>
      <c r="QYN2477" s="60"/>
      <c r="QYO2477" s="63"/>
      <c r="QYP2477" s="61"/>
      <c r="QYQ2477" s="54"/>
      <c r="QYR2477" s="54"/>
      <c r="QYS2477" s="60"/>
      <c r="QYT2477" s="60"/>
      <c r="QYU2477" s="60"/>
      <c r="QYV2477" s="60"/>
      <c r="QYW2477" s="63"/>
      <c r="QYX2477" s="61"/>
      <c r="QYY2477" s="54"/>
      <c r="QYZ2477" s="54"/>
      <c r="QZA2477" s="60"/>
      <c r="QZB2477" s="60"/>
      <c r="QZC2477" s="60"/>
      <c r="QZD2477" s="60"/>
      <c r="QZE2477" s="63"/>
      <c r="QZF2477" s="61"/>
      <c r="QZG2477" s="54"/>
      <c r="QZH2477" s="54"/>
      <c r="QZI2477" s="60"/>
      <c r="QZJ2477" s="60"/>
      <c r="QZK2477" s="60"/>
      <c r="QZL2477" s="60"/>
      <c r="QZM2477" s="63"/>
      <c r="QZN2477" s="61"/>
      <c r="QZO2477" s="54"/>
      <c r="QZP2477" s="54"/>
      <c r="QZQ2477" s="60"/>
      <c r="QZR2477" s="60"/>
      <c r="QZS2477" s="60"/>
      <c r="QZT2477" s="60"/>
      <c r="QZU2477" s="63"/>
      <c r="QZV2477" s="61"/>
      <c r="QZW2477" s="54"/>
      <c r="QZX2477" s="54"/>
      <c r="QZY2477" s="60"/>
      <c r="QZZ2477" s="60"/>
      <c r="RAA2477" s="60"/>
      <c r="RAB2477" s="60"/>
      <c r="RAC2477" s="63"/>
      <c r="RAD2477" s="61"/>
      <c r="RAE2477" s="54"/>
      <c r="RAF2477" s="54"/>
      <c r="RAG2477" s="60"/>
      <c r="RAH2477" s="60"/>
      <c r="RAI2477" s="60"/>
      <c r="RAJ2477" s="60"/>
      <c r="RAK2477" s="63"/>
      <c r="RAL2477" s="61"/>
      <c r="RAM2477" s="54"/>
      <c r="RAN2477" s="54"/>
      <c r="RAO2477" s="60"/>
      <c r="RAP2477" s="60"/>
      <c r="RAQ2477" s="60"/>
      <c r="RAR2477" s="60"/>
      <c r="RAS2477" s="63"/>
      <c r="RAT2477" s="61"/>
      <c r="RAU2477" s="54"/>
      <c r="RAV2477" s="54"/>
      <c r="RAW2477" s="60"/>
      <c r="RAX2477" s="60"/>
      <c r="RAY2477" s="60"/>
      <c r="RAZ2477" s="60"/>
      <c r="RBA2477" s="63"/>
      <c r="RBB2477" s="61"/>
      <c r="RBC2477" s="54"/>
      <c r="RBD2477" s="54"/>
      <c r="RBE2477" s="60"/>
      <c r="RBF2477" s="60"/>
      <c r="RBG2477" s="60"/>
      <c r="RBH2477" s="60"/>
      <c r="RBI2477" s="63"/>
      <c r="RBJ2477" s="61"/>
      <c r="RBK2477" s="54"/>
      <c r="RBL2477" s="54"/>
      <c r="RBM2477" s="60"/>
      <c r="RBN2477" s="60"/>
      <c r="RBO2477" s="60"/>
      <c r="RBP2477" s="60"/>
      <c r="RBQ2477" s="63"/>
      <c r="RBR2477" s="61"/>
      <c r="RBS2477" s="54"/>
      <c r="RBT2477" s="54"/>
      <c r="RBU2477" s="60"/>
      <c r="RBV2477" s="60"/>
      <c r="RBW2477" s="60"/>
      <c r="RBX2477" s="60"/>
      <c r="RBY2477" s="63"/>
      <c r="RBZ2477" s="61"/>
      <c r="RCA2477" s="54"/>
      <c r="RCB2477" s="54"/>
      <c r="RCC2477" s="60"/>
      <c r="RCD2477" s="60"/>
      <c r="RCE2477" s="60"/>
      <c r="RCF2477" s="60"/>
      <c r="RCG2477" s="63"/>
      <c r="RCH2477" s="61"/>
      <c r="RCI2477" s="54"/>
      <c r="RCJ2477" s="54"/>
      <c r="RCK2477" s="60"/>
      <c r="RCL2477" s="60"/>
      <c r="RCM2477" s="60"/>
      <c r="RCN2477" s="60"/>
      <c r="RCO2477" s="63"/>
      <c r="RCP2477" s="61"/>
      <c r="RCQ2477" s="54"/>
      <c r="RCR2477" s="54"/>
      <c r="RCS2477" s="60"/>
      <c r="RCT2477" s="60"/>
      <c r="RCU2477" s="60"/>
      <c r="RCV2477" s="60"/>
      <c r="RCW2477" s="63"/>
      <c r="RCX2477" s="61"/>
      <c r="RCY2477" s="54"/>
      <c r="RCZ2477" s="54"/>
      <c r="RDA2477" s="60"/>
      <c r="RDB2477" s="60"/>
      <c r="RDC2477" s="60"/>
      <c r="RDD2477" s="60"/>
      <c r="RDE2477" s="63"/>
      <c r="RDF2477" s="61"/>
      <c r="RDG2477" s="54"/>
      <c r="RDH2477" s="54"/>
      <c r="RDI2477" s="60"/>
      <c r="RDJ2477" s="60"/>
      <c r="RDK2477" s="60"/>
      <c r="RDL2477" s="60"/>
      <c r="RDM2477" s="63"/>
      <c r="RDN2477" s="61"/>
      <c r="RDO2477" s="54"/>
      <c r="RDP2477" s="54"/>
      <c r="RDQ2477" s="60"/>
      <c r="RDR2477" s="60"/>
      <c r="RDS2477" s="60"/>
      <c r="RDT2477" s="60"/>
      <c r="RDU2477" s="63"/>
      <c r="RDV2477" s="61"/>
      <c r="RDW2477" s="54"/>
      <c r="RDX2477" s="54"/>
      <c r="RDY2477" s="60"/>
      <c r="RDZ2477" s="60"/>
      <c r="REA2477" s="60"/>
      <c r="REB2477" s="60"/>
      <c r="REC2477" s="63"/>
      <c r="RED2477" s="61"/>
      <c r="REE2477" s="54"/>
      <c r="REF2477" s="54"/>
      <c r="REG2477" s="60"/>
      <c r="REH2477" s="60"/>
      <c r="REI2477" s="60"/>
      <c r="REJ2477" s="60"/>
      <c r="REK2477" s="63"/>
      <c r="REL2477" s="61"/>
      <c r="REM2477" s="54"/>
      <c r="REN2477" s="54"/>
      <c r="REO2477" s="60"/>
      <c r="REP2477" s="60"/>
      <c r="REQ2477" s="60"/>
      <c r="RER2477" s="60"/>
      <c r="RES2477" s="63"/>
      <c r="RET2477" s="61"/>
      <c r="REU2477" s="54"/>
      <c r="REV2477" s="54"/>
      <c r="REW2477" s="60"/>
      <c r="REX2477" s="60"/>
      <c r="REY2477" s="60"/>
      <c r="REZ2477" s="60"/>
      <c r="RFA2477" s="63"/>
      <c r="RFB2477" s="61"/>
      <c r="RFC2477" s="54"/>
      <c r="RFD2477" s="54"/>
      <c r="RFE2477" s="60"/>
      <c r="RFF2477" s="60"/>
      <c r="RFG2477" s="60"/>
      <c r="RFH2477" s="60"/>
      <c r="RFI2477" s="63"/>
      <c r="RFJ2477" s="61"/>
      <c r="RFK2477" s="54"/>
      <c r="RFL2477" s="54"/>
      <c r="RFM2477" s="60"/>
      <c r="RFN2477" s="60"/>
      <c r="RFO2477" s="60"/>
      <c r="RFP2477" s="60"/>
      <c r="RFQ2477" s="63"/>
      <c r="RFR2477" s="61"/>
      <c r="RFS2477" s="54"/>
      <c r="RFT2477" s="54"/>
      <c r="RFU2477" s="60"/>
      <c r="RFV2477" s="60"/>
      <c r="RFW2477" s="60"/>
      <c r="RFX2477" s="60"/>
      <c r="RFY2477" s="63"/>
      <c r="RFZ2477" s="61"/>
      <c r="RGA2477" s="54"/>
      <c r="RGB2477" s="54"/>
      <c r="RGC2477" s="60"/>
      <c r="RGD2477" s="60"/>
      <c r="RGE2477" s="60"/>
      <c r="RGF2477" s="60"/>
      <c r="RGG2477" s="63"/>
      <c r="RGH2477" s="61"/>
      <c r="RGI2477" s="54"/>
      <c r="RGJ2477" s="54"/>
      <c r="RGK2477" s="60"/>
      <c r="RGL2477" s="60"/>
      <c r="RGM2477" s="60"/>
      <c r="RGN2477" s="60"/>
      <c r="RGO2477" s="63"/>
      <c r="RGP2477" s="61"/>
      <c r="RGQ2477" s="54"/>
      <c r="RGR2477" s="54"/>
      <c r="RGS2477" s="60"/>
      <c r="RGT2477" s="60"/>
      <c r="RGU2477" s="60"/>
      <c r="RGV2477" s="60"/>
      <c r="RGW2477" s="63"/>
      <c r="RGX2477" s="61"/>
      <c r="RGY2477" s="54"/>
      <c r="RGZ2477" s="54"/>
      <c r="RHA2477" s="60"/>
      <c r="RHB2477" s="60"/>
      <c r="RHC2477" s="60"/>
      <c r="RHD2477" s="60"/>
      <c r="RHE2477" s="63"/>
      <c r="RHF2477" s="61"/>
      <c r="RHG2477" s="54"/>
      <c r="RHH2477" s="54"/>
      <c r="RHI2477" s="60"/>
      <c r="RHJ2477" s="60"/>
      <c r="RHK2477" s="60"/>
      <c r="RHL2477" s="60"/>
      <c r="RHM2477" s="63"/>
      <c r="RHN2477" s="61"/>
      <c r="RHO2477" s="54"/>
      <c r="RHP2477" s="54"/>
      <c r="RHQ2477" s="60"/>
      <c r="RHR2477" s="60"/>
      <c r="RHS2477" s="60"/>
      <c r="RHT2477" s="60"/>
      <c r="RHU2477" s="63"/>
      <c r="RHV2477" s="61"/>
      <c r="RHW2477" s="54"/>
      <c r="RHX2477" s="54"/>
      <c r="RHY2477" s="60"/>
      <c r="RHZ2477" s="60"/>
      <c r="RIA2477" s="60"/>
      <c r="RIB2477" s="60"/>
      <c r="RIC2477" s="63"/>
      <c r="RID2477" s="61"/>
      <c r="RIE2477" s="54"/>
      <c r="RIF2477" s="54"/>
      <c r="RIG2477" s="60"/>
      <c r="RIH2477" s="60"/>
      <c r="RII2477" s="60"/>
      <c r="RIJ2477" s="60"/>
      <c r="RIK2477" s="63"/>
      <c r="RIL2477" s="61"/>
      <c r="RIM2477" s="54"/>
      <c r="RIN2477" s="54"/>
      <c r="RIO2477" s="60"/>
      <c r="RIP2477" s="60"/>
      <c r="RIQ2477" s="60"/>
      <c r="RIR2477" s="60"/>
      <c r="RIS2477" s="63"/>
      <c r="RIT2477" s="61"/>
      <c r="RIU2477" s="54"/>
      <c r="RIV2477" s="54"/>
      <c r="RIW2477" s="60"/>
      <c r="RIX2477" s="60"/>
      <c r="RIY2477" s="60"/>
      <c r="RIZ2477" s="60"/>
      <c r="RJA2477" s="63"/>
      <c r="RJB2477" s="61"/>
      <c r="RJC2477" s="54"/>
      <c r="RJD2477" s="54"/>
      <c r="RJE2477" s="60"/>
      <c r="RJF2477" s="60"/>
      <c r="RJG2477" s="60"/>
      <c r="RJH2477" s="60"/>
      <c r="RJI2477" s="63"/>
      <c r="RJJ2477" s="61"/>
      <c r="RJK2477" s="54"/>
      <c r="RJL2477" s="54"/>
      <c r="RJM2477" s="60"/>
      <c r="RJN2477" s="60"/>
      <c r="RJO2477" s="60"/>
      <c r="RJP2477" s="60"/>
      <c r="RJQ2477" s="63"/>
      <c r="RJR2477" s="61"/>
      <c r="RJS2477" s="54"/>
      <c r="RJT2477" s="54"/>
      <c r="RJU2477" s="60"/>
      <c r="RJV2477" s="60"/>
      <c r="RJW2477" s="60"/>
      <c r="RJX2477" s="60"/>
      <c r="RJY2477" s="63"/>
      <c r="RJZ2477" s="61"/>
      <c r="RKA2477" s="54"/>
      <c r="RKB2477" s="54"/>
      <c r="RKC2477" s="60"/>
      <c r="RKD2477" s="60"/>
      <c r="RKE2477" s="60"/>
      <c r="RKF2477" s="60"/>
      <c r="RKG2477" s="63"/>
      <c r="RKH2477" s="61"/>
      <c r="RKI2477" s="54"/>
      <c r="RKJ2477" s="54"/>
      <c r="RKK2477" s="60"/>
      <c r="RKL2477" s="60"/>
      <c r="RKM2477" s="60"/>
      <c r="RKN2477" s="60"/>
      <c r="RKO2477" s="63"/>
      <c r="RKP2477" s="61"/>
      <c r="RKQ2477" s="54"/>
      <c r="RKR2477" s="54"/>
      <c r="RKS2477" s="60"/>
      <c r="RKT2477" s="60"/>
      <c r="RKU2477" s="60"/>
      <c r="RKV2477" s="60"/>
      <c r="RKW2477" s="63"/>
      <c r="RKX2477" s="61"/>
      <c r="RKY2477" s="54"/>
      <c r="RKZ2477" s="54"/>
      <c r="RLA2477" s="60"/>
      <c r="RLB2477" s="60"/>
      <c r="RLC2477" s="60"/>
      <c r="RLD2477" s="60"/>
      <c r="RLE2477" s="63"/>
      <c r="RLF2477" s="61"/>
      <c r="RLG2477" s="54"/>
      <c r="RLH2477" s="54"/>
      <c r="RLI2477" s="60"/>
      <c r="RLJ2477" s="60"/>
      <c r="RLK2477" s="60"/>
      <c r="RLL2477" s="60"/>
      <c r="RLM2477" s="63"/>
      <c r="RLN2477" s="61"/>
      <c r="RLO2477" s="54"/>
      <c r="RLP2477" s="54"/>
      <c r="RLQ2477" s="60"/>
      <c r="RLR2477" s="60"/>
      <c r="RLS2477" s="60"/>
      <c r="RLT2477" s="60"/>
      <c r="RLU2477" s="63"/>
      <c r="RLV2477" s="61"/>
      <c r="RLW2477" s="54"/>
      <c r="RLX2477" s="54"/>
      <c r="RLY2477" s="60"/>
      <c r="RLZ2477" s="60"/>
      <c r="RMA2477" s="60"/>
      <c r="RMB2477" s="60"/>
      <c r="RMC2477" s="63"/>
      <c r="RMD2477" s="61"/>
      <c r="RME2477" s="54"/>
      <c r="RMF2477" s="54"/>
      <c r="RMG2477" s="60"/>
      <c r="RMH2477" s="60"/>
      <c r="RMI2477" s="60"/>
      <c r="RMJ2477" s="60"/>
      <c r="RMK2477" s="63"/>
      <c r="RML2477" s="61"/>
      <c r="RMM2477" s="54"/>
      <c r="RMN2477" s="54"/>
      <c r="RMO2477" s="60"/>
      <c r="RMP2477" s="60"/>
      <c r="RMQ2477" s="60"/>
      <c r="RMR2477" s="60"/>
      <c r="RMS2477" s="63"/>
      <c r="RMT2477" s="61"/>
      <c r="RMU2477" s="54"/>
      <c r="RMV2477" s="54"/>
      <c r="RMW2477" s="60"/>
      <c r="RMX2477" s="60"/>
      <c r="RMY2477" s="60"/>
      <c r="RMZ2477" s="60"/>
      <c r="RNA2477" s="63"/>
      <c r="RNB2477" s="61"/>
      <c r="RNC2477" s="54"/>
      <c r="RND2477" s="54"/>
      <c r="RNE2477" s="60"/>
      <c r="RNF2477" s="60"/>
      <c r="RNG2477" s="60"/>
      <c r="RNH2477" s="60"/>
      <c r="RNI2477" s="63"/>
      <c r="RNJ2477" s="61"/>
      <c r="RNK2477" s="54"/>
      <c r="RNL2477" s="54"/>
      <c r="RNM2477" s="60"/>
      <c r="RNN2477" s="60"/>
      <c r="RNO2477" s="60"/>
      <c r="RNP2477" s="60"/>
      <c r="RNQ2477" s="63"/>
      <c r="RNR2477" s="61"/>
      <c r="RNS2477" s="54"/>
      <c r="RNT2477" s="54"/>
      <c r="RNU2477" s="60"/>
      <c r="RNV2477" s="60"/>
      <c r="RNW2477" s="60"/>
      <c r="RNX2477" s="60"/>
      <c r="RNY2477" s="63"/>
      <c r="RNZ2477" s="61"/>
      <c r="ROA2477" s="54"/>
      <c r="ROB2477" s="54"/>
      <c r="ROC2477" s="60"/>
      <c r="ROD2477" s="60"/>
      <c r="ROE2477" s="60"/>
      <c r="ROF2477" s="60"/>
      <c r="ROG2477" s="63"/>
      <c r="ROH2477" s="61"/>
      <c r="ROI2477" s="54"/>
      <c r="ROJ2477" s="54"/>
      <c r="ROK2477" s="60"/>
      <c r="ROL2477" s="60"/>
      <c r="ROM2477" s="60"/>
      <c r="RON2477" s="60"/>
      <c r="ROO2477" s="63"/>
      <c r="ROP2477" s="61"/>
      <c r="ROQ2477" s="54"/>
      <c r="ROR2477" s="54"/>
      <c r="ROS2477" s="60"/>
      <c r="ROT2477" s="60"/>
      <c r="ROU2477" s="60"/>
      <c r="ROV2477" s="60"/>
      <c r="ROW2477" s="63"/>
      <c r="ROX2477" s="61"/>
      <c r="ROY2477" s="54"/>
      <c r="ROZ2477" s="54"/>
      <c r="RPA2477" s="60"/>
      <c r="RPB2477" s="60"/>
      <c r="RPC2477" s="60"/>
      <c r="RPD2477" s="60"/>
      <c r="RPE2477" s="63"/>
      <c r="RPF2477" s="61"/>
      <c r="RPG2477" s="54"/>
      <c r="RPH2477" s="54"/>
      <c r="RPI2477" s="60"/>
      <c r="RPJ2477" s="60"/>
      <c r="RPK2477" s="60"/>
      <c r="RPL2477" s="60"/>
      <c r="RPM2477" s="63"/>
      <c r="RPN2477" s="61"/>
      <c r="RPO2477" s="54"/>
      <c r="RPP2477" s="54"/>
      <c r="RPQ2477" s="60"/>
      <c r="RPR2477" s="60"/>
      <c r="RPS2477" s="60"/>
      <c r="RPT2477" s="60"/>
      <c r="RPU2477" s="63"/>
      <c r="RPV2477" s="61"/>
      <c r="RPW2477" s="54"/>
      <c r="RPX2477" s="54"/>
      <c r="RPY2477" s="60"/>
      <c r="RPZ2477" s="60"/>
      <c r="RQA2477" s="60"/>
      <c r="RQB2477" s="60"/>
      <c r="RQC2477" s="63"/>
      <c r="RQD2477" s="61"/>
      <c r="RQE2477" s="54"/>
      <c r="RQF2477" s="54"/>
      <c r="RQG2477" s="60"/>
      <c r="RQH2477" s="60"/>
      <c r="RQI2477" s="60"/>
      <c r="RQJ2477" s="60"/>
      <c r="RQK2477" s="63"/>
      <c r="RQL2477" s="61"/>
      <c r="RQM2477" s="54"/>
      <c r="RQN2477" s="54"/>
      <c r="RQO2477" s="60"/>
      <c r="RQP2477" s="60"/>
      <c r="RQQ2477" s="60"/>
      <c r="RQR2477" s="60"/>
      <c r="RQS2477" s="63"/>
      <c r="RQT2477" s="61"/>
      <c r="RQU2477" s="54"/>
      <c r="RQV2477" s="54"/>
      <c r="RQW2477" s="60"/>
      <c r="RQX2477" s="60"/>
      <c r="RQY2477" s="60"/>
      <c r="RQZ2477" s="60"/>
      <c r="RRA2477" s="63"/>
      <c r="RRB2477" s="61"/>
      <c r="RRC2477" s="54"/>
      <c r="RRD2477" s="54"/>
      <c r="RRE2477" s="60"/>
      <c r="RRF2477" s="60"/>
      <c r="RRG2477" s="60"/>
      <c r="RRH2477" s="60"/>
      <c r="RRI2477" s="63"/>
      <c r="RRJ2477" s="61"/>
      <c r="RRK2477" s="54"/>
      <c r="RRL2477" s="54"/>
      <c r="RRM2477" s="60"/>
      <c r="RRN2477" s="60"/>
      <c r="RRO2477" s="60"/>
      <c r="RRP2477" s="60"/>
      <c r="RRQ2477" s="63"/>
      <c r="RRR2477" s="61"/>
      <c r="RRS2477" s="54"/>
      <c r="RRT2477" s="54"/>
      <c r="RRU2477" s="60"/>
      <c r="RRV2477" s="60"/>
      <c r="RRW2477" s="60"/>
      <c r="RRX2477" s="60"/>
      <c r="RRY2477" s="63"/>
      <c r="RRZ2477" s="61"/>
      <c r="RSA2477" s="54"/>
      <c r="RSB2477" s="54"/>
      <c r="RSC2477" s="60"/>
      <c r="RSD2477" s="60"/>
      <c r="RSE2477" s="60"/>
      <c r="RSF2477" s="60"/>
      <c r="RSG2477" s="63"/>
      <c r="RSH2477" s="61"/>
      <c r="RSI2477" s="54"/>
      <c r="RSJ2477" s="54"/>
      <c r="RSK2477" s="60"/>
      <c r="RSL2477" s="60"/>
      <c r="RSM2477" s="60"/>
      <c r="RSN2477" s="60"/>
      <c r="RSO2477" s="63"/>
      <c r="RSP2477" s="61"/>
      <c r="RSQ2477" s="54"/>
      <c r="RSR2477" s="54"/>
      <c r="RSS2477" s="60"/>
      <c r="RST2477" s="60"/>
      <c r="RSU2477" s="60"/>
      <c r="RSV2477" s="60"/>
      <c r="RSW2477" s="63"/>
      <c r="RSX2477" s="61"/>
      <c r="RSY2477" s="54"/>
      <c r="RSZ2477" s="54"/>
      <c r="RTA2477" s="60"/>
      <c r="RTB2477" s="60"/>
      <c r="RTC2477" s="60"/>
      <c r="RTD2477" s="60"/>
      <c r="RTE2477" s="63"/>
      <c r="RTF2477" s="61"/>
      <c r="RTG2477" s="54"/>
      <c r="RTH2477" s="54"/>
      <c r="RTI2477" s="60"/>
      <c r="RTJ2477" s="60"/>
      <c r="RTK2477" s="60"/>
      <c r="RTL2477" s="60"/>
      <c r="RTM2477" s="63"/>
      <c r="RTN2477" s="61"/>
      <c r="RTO2477" s="54"/>
      <c r="RTP2477" s="54"/>
      <c r="RTQ2477" s="60"/>
      <c r="RTR2477" s="60"/>
      <c r="RTS2477" s="60"/>
      <c r="RTT2477" s="60"/>
      <c r="RTU2477" s="63"/>
      <c r="RTV2477" s="61"/>
      <c r="RTW2477" s="54"/>
      <c r="RTX2477" s="54"/>
      <c r="RTY2477" s="60"/>
      <c r="RTZ2477" s="60"/>
      <c r="RUA2477" s="60"/>
      <c r="RUB2477" s="60"/>
      <c r="RUC2477" s="63"/>
      <c r="RUD2477" s="61"/>
      <c r="RUE2477" s="54"/>
      <c r="RUF2477" s="54"/>
      <c r="RUG2477" s="60"/>
      <c r="RUH2477" s="60"/>
      <c r="RUI2477" s="60"/>
      <c r="RUJ2477" s="60"/>
      <c r="RUK2477" s="63"/>
      <c r="RUL2477" s="61"/>
      <c r="RUM2477" s="54"/>
      <c r="RUN2477" s="54"/>
      <c r="RUO2477" s="60"/>
      <c r="RUP2477" s="60"/>
      <c r="RUQ2477" s="60"/>
      <c r="RUR2477" s="60"/>
      <c r="RUS2477" s="63"/>
      <c r="RUT2477" s="61"/>
      <c r="RUU2477" s="54"/>
      <c r="RUV2477" s="54"/>
      <c r="RUW2477" s="60"/>
      <c r="RUX2477" s="60"/>
      <c r="RUY2477" s="60"/>
      <c r="RUZ2477" s="60"/>
      <c r="RVA2477" s="63"/>
      <c r="RVB2477" s="61"/>
      <c r="RVC2477" s="54"/>
      <c r="RVD2477" s="54"/>
      <c r="RVE2477" s="60"/>
      <c r="RVF2477" s="60"/>
      <c r="RVG2477" s="60"/>
      <c r="RVH2477" s="60"/>
      <c r="RVI2477" s="63"/>
      <c r="RVJ2477" s="61"/>
      <c r="RVK2477" s="54"/>
      <c r="RVL2477" s="54"/>
      <c r="RVM2477" s="60"/>
      <c r="RVN2477" s="60"/>
      <c r="RVO2477" s="60"/>
      <c r="RVP2477" s="60"/>
      <c r="RVQ2477" s="63"/>
      <c r="RVR2477" s="61"/>
      <c r="RVS2477" s="54"/>
      <c r="RVT2477" s="54"/>
      <c r="RVU2477" s="60"/>
      <c r="RVV2477" s="60"/>
      <c r="RVW2477" s="60"/>
      <c r="RVX2477" s="60"/>
      <c r="RVY2477" s="63"/>
      <c r="RVZ2477" s="61"/>
      <c r="RWA2477" s="54"/>
      <c r="RWB2477" s="54"/>
      <c r="RWC2477" s="60"/>
      <c r="RWD2477" s="60"/>
      <c r="RWE2477" s="60"/>
      <c r="RWF2477" s="60"/>
      <c r="RWG2477" s="63"/>
      <c r="RWH2477" s="61"/>
      <c r="RWI2477" s="54"/>
      <c r="RWJ2477" s="54"/>
      <c r="RWK2477" s="60"/>
      <c r="RWL2477" s="60"/>
      <c r="RWM2477" s="60"/>
      <c r="RWN2477" s="60"/>
      <c r="RWO2477" s="63"/>
      <c r="RWP2477" s="61"/>
      <c r="RWQ2477" s="54"/>
      <c r="RWR2477" s="54"/>
      <c r="RWS2477" s="60"/>
      <c r="RWT2477" s="60"/>
      <c r="RWU2477" s="60"/>
      <c r="RWV2477" s="60"/>
      <c r="RWW2477" s="63"/>
      <c r="RWX2477" s="61"/>
      <c r="RWY2477" s="54"/>
      <c r="RWZ2477" s="54"/>
      <c r="RXA2477" s="60"/>
      <c r="RXB2477" s="60"/>
      <c r="RXC2477" s="60"/>
      <c r="RXD2477" s="60"/>
      <c r="RXE2477" s="63"/>
      <c r="RXF2477" s="61"/>
      <c r="RXG2477" s="54"/>
      <c r="RXH2477" s="54"/>
      <c r="RXI2477" s="60"/>
      <c r="RXJ2477" s="60"/>
      <c r="RXK2477" s="60"/>
      <c r="RXL2477" s="60"/>
      <c r="RXM2477" s="63"/>
      <c r="RXN2477" s="61"/>
      <c r="RXO2477" s="54"/>
      <c r="RXP2477" s="54"/>
      <c r="RXQ2477" s="60"/>
      <c r="RXR2477" s="60"/>
      <c r="RXS2477" s="60"/>
      <c r="RXT2477" s="60"/>
      <c r="RXU2477" s="63"/>
      <c r="RXV2477" s="61"/>
      <c r="RXW2477" s="54"/>
      <c r="RXX2477" s="54"/>
      <c r="RXY2477" s="60"/>
      <c r="RXZ2477" s="60"/>
      <c r="RYA2477" s="60"/>
      <c r="RYB2477" s="60"/>
      <c r="RYC2477" s="63"/>
      <c r="RYD2477" s="61"/>
      <c r="RYE2477" s="54"/>
      <c r="RYF2477" s="54"/>
      <c r="RYG2477" s="60"/>
      <c r="RYH2477" s="60"/>
      <c r="RYI2477" s="60"/>
      <c r="RYJ2477" s="60"/>
      <c r="RYK2477" s="63"/>
      <c r="RYL2477" s="61"/>
      <c r="RYM2477" s="54"/>
      <c r="RYN2477" s="54"/>
      <c r="RYO2477" s="60"/>
      <c r="RYP2477" s="60"/>
      <c r="RYQ2477" s="60"/>
      <c r="RYR2477" s="60"/>
      <c r="RYS2477" s="63"/>
      <c r="RYT2477" s="61"/>
      <c r="RYU2477" s="54"/>
      <c r="RYV2477" s="54"/>
      <c r="RYW2477" s="60"/>
      <c r="RYX2477" s="60"/>
      <c r="RYY2477" s="60"/>
      <c r="RYZ2477" s="60"/>
      <c r="RZA2477" s="63"/>
      <c r="RZB2477" s="61"/>
      <c r="RZC2477" s="54"/>
      <c r="RZD2477" s="54"/>
      <c r="RZE2477" s="60"/>
      <c r="RZF2477" s="60"/>
      <c r="RZG2477" s="60"/>
      <c r="RZH2477" s="60"/>
      <c r="RZI2477" s="63"/>
      <c r="RZJ2477" s="61"/>
      <c r="RZK2477" s="54"/>
      <c r="RZL2477" s="54"/>
      <c r="RZM2477" s="60"/>
      <c r="RZN2477" s="60"/>
      <c r="RZO2477" s="60"/>
      <c r="RZP2477" s="60"/>
      <c r="RZQ2477" s="63"/>
      <c r="RZR2477" s="61"/>
      <c r="RZS2477" s="54"/>
      <c r="RZT2477" s="54"/>
      <c r="RZU2477" s="60"/>
      <c r="RZV2477" s="60"/>
      <c r="RZW2477" s="60"/>
      <c r="RZX2477" s="60"/>
      <c r="RZY2477" s="63"/>
      <c r="RZZ2477" s="61"/>
      <c r="SAA2477" s="54"/>
      <c r="SAB2477" s="54"/>
      <c r="SAC2477" s="60"/>
      <c r="SAD2477" s="60"/>
      <c r="SAE2477" s="60"/>
      <c r="SAF2477" s="60"/>
      <c r="SAG2477" s="63"/>
      <c r="SAH2477" s="61"/>
      <c r="SAI2477" s="54"/>
      <c r="SAJ2477" s="54"/>
      <c r="SAK2477" s="60"/>
      <c r="SAL2477" s="60"/>
      <c r="SAM2477" s="60"/>
      <c r="SAN2477" s="60"/>
      <c r="SAO2477" s="63"/>
      <c r="SAP2477" s="61"/>
      <c r="SAQ2477" s="54"/>
      <c r="SAR2477" s="54"/>
      <c r="SAS2477" s="60"/>
      <c r="SAT2477" s="60"/>
      <c r="SAU2477" s="60"/>
      <c r="SAV2477" s="60"/>
      <c r="SAW2477" s="63"/>
      <c r="SAX2477" s="61"/>
      <c r="SAY2477" s="54"/>
      <c r="SAZ2477" s="54"/>
      <c r="SBA2477" s="60"/>
      <c r="SBB2477" s="60"/>
      <c r="SBC2477" s="60"/>
      <c r="SBD2477" s="60"/>
      <c r="SBE2477" s="63"/>
      <c r="SBF2477" s="61"/>
      <c r="SBG2477" s="54"/>
      <c r="SBH2477" s="54"/>
      <c r="SBI2477" s="60"/>
      <c r="SBJ2477" s="60"/>
      <c r="SBK2477" s="60"/>
      <c r="SBL2477" s="60"/>
      <c r="SBM2477" s="63"/>
      <c r="SBN2477" s="61"/>
      <c r="SBO2477" s="54"/>
      <c r="SBP2477" s="54"/>
      <c r="SBQ2477" s="60"/>
      <c r="SBR2477" s="60"/>
      <c r="SBS2477" s="60"/>
      <c r="SBT2477" s="60"/>
      <c r="SBU2477" s="63"/>
      <c r="SBV2477" s="61"/>
      <c r="SBW2477" s="54"/>
      <c r="SBX2477" s="54"/>
      <c r="SBY2477" s="60"/>
      <c r="SBZ2477" s="60"/>
      <c r="SCA2477" s="60"/>
      <c r="SCB2477" s="60"/>
      <c r="SCC2477" s="63"/>
      <c r="SCD2477" s="61"/>
      <c r="SCE2477" s="54"/>
      <c r="SCF2477" s="54"/>
      <c r="SCG2477" s="60"/>
      <c r="SCH2477" s="60"/>
      <c r="SCI2477" s="60"/>
      <c r="SCJ2477" s="60"/>
      <c r="SCK2477" s="63"/>
      <c r="SCL2477" s="61"/>
      <c r="SCM2477" s="54"/>
      <c r="SCN2477" s="54"/>
      <c r="SCO2477" s="60"/>
      <c r="SCP2477" s="60"/>
      <c r="SCQ2477" s="60"/>
      <c r="SCR2477" s="60"/>
      <c r="SCS2477" s="63"/>
      <c r="SCT2477" s="61"/>
      <c r="SCU2477" s="54"/>
      <c r="SCV2477" s="54"/>
      <c r="SCW2477" s="60"/>
      <c r="SCX2477" s="60"/>
      <c r="SCY2477" s="60"/>
      <c r="SCZ2477" s="60"/>
      <c r="SDA2477" s="63"/>
      <c r="SDB2477" s="61"/>
      <c r="SDC2477" s="54"/>
      <c r="SDD2477" s="54"/>
      <c r="SDE2477" s="60"/>
      <c r="SDF2477" s="60"/>
      <c r="SDG2477" s="60"/>
      <c r="SDH2477" s="60"/>
      <c r="SDI2477" s="63"/>
      <c r="SDJ2477" s="61"/>
      <c r="SDK2477" s="54"/>
      <c r="SDL2477" s="54"/>
      <c r="SDM2477" s="60"/>
      <c r="SDN2477" s="60"/>
      <c r="SDO2477" s="60"/>
      <c r="SDP2477" s="60"/>
      <c r="SDQ2477" s="63"/>
      <c r="SDR2477" s="61"/>
      <c r="SDS2477" s="54"/>
      <c r="SDT2477" s="54"/>
      <c r="SDU2477" s="60"/>
      <c r="SDV2477" s="60"/>
      <c r="SDW2477" s="60"/>
      <c r="SDX2477" s="60"/>
      <c r="SDY2477" s="63"/>
      <c r="SDZ2477" s="61"/>
      <c r="SEA2477" s="54"/>
      <c r="SEB2477" s="54"/>
      <c r="SEC2477" s="60"/>
      <c r="SED2477" s="60"/>
      <c r="SEE2477" s="60"/>
      <c r="SEF2477" s="60"/>
      <c r="SEG2477" s="63"/>
      <c r="SEH2477" s="61"/>
      <c r="SEI2477" s="54"/>
      <c r="SEJ2477" s="54"/>
      <c r="SEK2477" s="60"/>
      <c r="SEL2477" s="60"/>
      <c r="SEM2477" s="60"/>
      <c r="SEN2477" s="60"/>
      <c r="SEO2477" s="63"/>
      <c r="SEP2477" s="61"/>
      <c r="SEQ2477" s="54"/>
      <c r="SER2477" s="54"/>
      <c r="SES2477" s="60"/>
      <c r="SET2477" s="60"/>
      <c r="SEU2477" s="60"/>
      <c r="SEV2477" s="60"/>
      <c r="SEW2477" s="63"/>
      <c r="SEX2477" s="61"/>
      <c r="SEY2477" s="54"/>
      <c r="SEZ2477" s="54"/>
      <c r="SFA2477" s="60"/>
      <c r="SFB2477" s="60"/>
      <c r="SFC2477" s="60"/>
      <c r="SFD2477" s="60"/>
      <c r="SFE2477" s="63"/>
      <c r="SFF2477" s="61"/>
      <c r="SFG2477" s="54"/>
      <c r="SFH2477" s="54"/>
      <c r="SFI2477" s="60"/>
      <c r="SFJ2477" s="60"/>
      <c r="SFK2477" s="60"/>
      <c r="SFL2477" s="60"/>
      <c r="SFM2477" s="63"/>
      <c r="SFN2477" s="61"/>
      <c r="SFO2477" s="54"/>
      <c r="SFP2477" s="54"/>
      <c r="SFQ2477" s="60"/>
      <c r="SFR2477" s="60"/>
      <c r="SFS2477" s="60"/>
      <c r="SFT2477" s="60"/>
      <c r="SFU2477" s="63"/>
      <c r="SFV2477" s="61"/>
      <c r="SFW2477" s="54"/>
      <c r="SFX2477" s="54"/>
      <c r="SFY2477" s="60"/>
      <c r="SFZ2477" s="60"/>
      <c r="SGA2477" s="60"/>
      <c r="SGB2477" s="60"/>
      <c r="SGC2477" s="63"/>
      <c r="SGD2477" s="61"/>
      <c r="SGE2477" s="54"/>
      <c r="SGF2477" s="54"/>
      <c r="SGG2477" s="60"/>
      <c r="SGH2477" s="60"/>
      <c r="SGI2477" s="60"/>
      <c r="SGJ2477" s="60"/>
      <c r="SGK2477" s="63"/>
      <c r="SGL2477" s="61"/>
      <c r="SGM2477" s="54"/>
      <c r="SGN2477" s="54"/>
      <c r="SGO2477" s="60"/>
      <c r="SGP2477" s="60"/>
      <c r="SGQ2477" s="60"/>
      <c r="SGR2477" s="60"/>
      <c r="SGS2477" s="63"/>
      <c r="SGT2477" s="61"/>
      <c r="SGU2477" s="54"/>
      <c r="SGV2477" s="54"/>
      <c r="SGW2477" s="60"/>
      <c r="SGX2477" s="60"/>
      <c r="SGY2477" s="60"/>
      <c r="SGZ2477" s="60"/>
      <c r="SHA2477" s="63"/>
      <c r="SHB2477" s="61"/>
      <c r="SHC2477" s="54"/>
      <c r="SHD2477" s="54"/>
      <c r="SHE2477" s="60"/>
      <c r="SHF2477" s="60"/>
      <c r="SHG2477" s="60"/>
      <c r="SHH2477" s="60"/>
      <c r="SHI2477" s="63"/>
      <c r="SHJ2477" s="61"/>
      <c r="SHK2477" s="54"/>
      <c r="SHL2477" s="54"/>
      <c r="SHM2477" s="60"/>
      <c r="SHN2477" s="60"/>
      <c r="SHO2477" s="60"/>
      <c r="SHP2477" s="60"/>
      <c r="SHQ2477" s="63"/>
      <c r="SHR2477" s="61"/>
      <c r="SHS2477" s="54"/>
      <c r="SHT2477" s="54"/>
      <c r="SHU2477" s="60"/>
      <c r="SHV2477" s="60"/>
      <c r="SHW2477" s="60"/>
      <c r="SHX2477" s="60"/>
      <c r="SHY2477" s="63"/>
      <c r="SHZ2477" s="61"/>
      <c r="SIA2477" s="54"/>
      <c r="SIB2477" s="54"/>
      <c r="SIC2477" s="60"/>
      <c r="SID2477" s="60"/>
      <c r="SIE2477" s="60"/>
      <c r="SIF2477" s="60"/>
      <c r="SIG2477" s="63"/>
      <c r="SIH2477" s="61"/>
      <c r="SII2477" s="54"/>
      <c r="SIJ2477" s="54"/>
      <c r="SIK2477" s="60"/>
      <c r="SIL2477" s="60"/>
      <c r="SIM2477" s="60"/>
      <c r="SIN2477" s="60"/>
      <c r="SIO2477" s="63"/>
      <c r="SIP2477" s="61"/>
      <c r="SIQ2477" s="54"/>
      <c r="SIR2477" s="54"/>
      <c r="SIS2477" s="60"/>
      <c r="SIT2477" s="60"/>
      <c r="SIU2477" s="60"/>
      <c r="SIV2477" s="60"/>
      <c r="SIW2477" s="63"/>
      <c r="SIX2477" s="61"/>
      <c r="SIY2477" s="54"/>
      <c r="SIZ2477" s="54"/>
      <c r="SJA2477" s="60"/>
      <c r="SJB2477" s="60"/>
      <c r="SJC2477" s="60"/>
      <c r="SJD2477" s="60"/>
      <c r="SJE2477" s="63"/>
      <c r="SJF2477" s="61"/>
      <c r="SJG2477" s="54"/>
      <c r="SJH2477" s="54"/>
      <c r="SJI2477" s="60"/>
      <c r="SJJ2477" s="60"/>
      <c r="SJK2477" s="60"/>
      <c r="SJL2477" s="60"/>
      <c r="SJM2477" s="63"/>
      <c r="SJN2477" s="61"/>
      <c r="SJO2477" s="54"/>
      <c r="SJP2477" s="54"/>
      <c r="SJQ2477" s="60"/>
      <c r="SJR2477" s="60"/>
      <c r="SJS2477" s="60"/>
      <c r="SJT2477" s="60"/>
      <c r="SJU2477" s="63"/>
      <c r="SJV2477" s="61"/>
      <c r="SJW2477" s="54"/>
      <c r="SJX2477" s="54"/>
      <c r="SJY2477" s="60"/>
      <c r="SJZ2477" s="60"/>
      <c r="SKA2477" s="60"/>
      <c r="SKB2477" s="60"/>
      <c r="SKC2477" s="63"/>
      <c r="SKD2477" s="61"/>
      <c r="SKE2477" s="54"/>
      <c r="SKF2477" s="54"/>
      <c r="SKG2477" s="60"/>
      <c r="SKH2477" s="60"/>
      <c r="SKI2477" s="60"/>
      <c r="SKJ2477" s="60"/>
      <c r="SKK2477" s="63"/>
      <c r="SKL2477" s="61"/>
      <c r="SKM2477" s="54"/>
      <c r="SKN2477" s="54"/>
      <c r="SKO2477" s="60"/>
      <c r="SKP2477" s="60"/>
      <c r="SKQ2477" s="60"/>
      <c r="SKR2477" s="60"/>
      <c r="SKS2477" s="63"/>
      <c r="SKT2477" s="61"/>
      <c r="SKU2477" s="54"/>
      <c r="SKV2477" s="54"/>
      <c r="SKW2477" s="60"/>
      <c r="SKX2477" s="60"/>
      <c r="SKY2477" s="60"/>
      <c r="SKZ2477" s="60"/>
      <c r="SLA2477" s="63"/>
      <c r="SLB2477" s="61"/>
      <c r="SLC2477" s="54"/>
      <c r="SLD2477" s="54"/>
      <c r="SLE2477" s="60"/>
      <c r="SLF2477" s="60"/>
      <c r="SLG2477" s="60"/>
      <c r="SLH2477" s="60"/>
      <c r="SLI2477" s="63"/>
      <c r="SLJ2477" s="61"/>
      <c r="SLK2477" s="54"/>
      <c r="SLL2477" s="54"/>
      <c r="SLM2477" s="60"/>
      <c r="SLN2477" s="60"/>
      <c r="SLO2477" s="60"/>
      <c r="SLP2477" s="60"/>
      <c r="SLQ2477" s="63"/>
      <c r="SLR2477" s="61"/>
      <c r="SLS2477" s="54"/>
      <c r="SLT2477" s="54"/>
      <c r="SLU2477" s="60"/>
      <c r="SLV2477" s="60"/>
      <c r="SLW2477" s="60"/>
      <c r="SLX2477" s="60"/>
      <c r="SLY2477" s="63"/>
      <c r="SLZ2477" s="61"/>
      <c r="SMA2477" s="54"/>
      <c r="SMB2477" s="54"/>
      <c r="SMC2477" s="60"/>
      <c r="SMD2477" s="60"/>
      <c r="SME2477" s="60"/>
      <c r="SMF2477" s="60"/>
      <c r="SMG2477" s="63"/>
      <c r="SMH2477" s="61"/>
      <c r="SMI2477" s="54"/>
      <c r="SMJ2477" s="54"/>
      <c r="SMK2477" s="60"/>
      <c r="SML2477" s="60"/>
      <c r="SMM2477" s="60"/>
      <c r="SMN2477" s="60"/>
      <c r="SMO2477" s="63"/>
      <c r="SMP2477" s="61"/>
      <c r="SMQ2477" s="54"/>
      <c r="SMR2477" s="54"/>
      <c r="SMS2477" s="60"/>
      <c r="SMT2477" s="60"/>
      <c r="SMU2477" s="60"/>
      <c r="SMV2477" s="60"/>
      <c r="SMW2477" s="63"/>
      <c r="SMX2477" s="61"/>
      <c r="SMY2477" s="54"/>
      <c r="SMZ2477" s="54"/>
      <c r="SNA2477" s="60"/>
      <c r="SNB2477" s="60"/>
      <c r="SNC2477" s="60"/>
      <c r="SND2477" s="60"/>
      <c r="SNE2477" s="63"/>
      <c r="SNF2477" s="61"/>
      <c r="SNG2477" s="54"/>
      <c r="SNH2477" s="54"/>
      <c r="SNI2477" s="60"/>
      <c r="SNJ2477" s="60"/>
      <c r="SNK2477" s="60"/>
      <c r="SNL2477" s="60"/>
      <c r="SNM2477" s="63"/>
      <c r="SNN2477" s="61"/>
      <c r="SNO2477" s="54"/>
      <c r="SNP2477" s="54"/>
      <c r="SNQ2477" s="60"/>
      <c r="SNR2477" s="60"/>
      <c r="SNS2477" s="60"/>
      <c r="SNT2477" s="60"/>
      <c r="SNU2477" s="63"/>
      <c r="SNV2477" s="61"/>
      <c r="SNW2477" s="54"/>
      <c r="SNX2477" s="54"/>
      <c r="SNY2477" s="60"/>
      <c r="SNZ2477" s="60"/>
      <c r="SOA2477" s="60"/>
      <c r="SOB2477" s="60"/>
      <c r="SOC2477" s="63"/>
      <c r="SOD2477" s="61"/>
      <c r="SOE2477" s="54"/>
      <c r="SOF2477" s="54"/>
      <c r="SOG2477" s="60"/>
      <c r="SOH2477" s="60"/>
      <c r="SOI2477" s="60"/>
      <c r="SOJ2477" s="60"/>
      <c r="SOK2477" s="63"/>
      <c r="SOL2477" s="61"/>
      <c r="SOM2477" s="54"/>
      <c r="SON2477" s="54"/>
      <c r="SOO2477" s="60"/>
      <c r="SOP2477" s="60"/>
      <c r="SOQ2477" s="60"/>
      <c r="SOR2477" s="60"/>
      <c r="SOS2477" s="63"/>
      <c r="SOT2477" s="61"/>
      <c r="SOU2477" s="54"/>
      <c r="SOV2477" s="54"/>
      <c r="SOW2477" s="60"/>
      <c r="SOX2477" s="60"/>
      <c r="SOY2477" s="60"/>
      <c r="SOZ2477" s="60"/>
      <c r="SPA2477" s="63"/>
      <c r="SPB2477" s="61"/>
      <c r="SPC2477" s="54"/>
      <c r="SPD2477" s="54"/>
      <c r="SPE2477" s="60"/>
      <c r="SPF2477" s="60"/>
      <c r="SPG2477" s="60"/>
      <c r="SPH2477" s="60"/>
      <c r="SPI2477" s="63"/>
      <c r="SPJ2477" s="61"/>
      <c r="SPK2477" s="54"/>
      <c r="SPL2477" s="54"/>
      <c r="SPM2477" s="60"/>
      <c r="SPN2477" s="60"/>
      <c r="SPO2477" s="60"/>
      <c r="SPP2477" s="60"/>
      <c r="SPQ2477" s="63"/>
      <c r="SPR2477" s="61"/>
      <c r="SPS2477" s="54"/>
      <c r="SPT2477" s="54"/>
      <c r="SPU2477" s="60"/>
      <c r="SPV2477" s="60"/>
      <c r="SPW2477" s="60"/>
      <c r="SPX2477" s="60"/>
      <c r="SPY2477" s="63"/>
      <c r="SPZ2477" s="61"/>
      <c r="SQA2477" s="54"/>
      <c r="SQB2477" s="54"/>
      <c r="SQC2477" s="60"/>
      <c r="SQD2477" s="60"/>
      <c r="SQE2477" s="60"/>
      <c r="SQF2477" s="60"/>
      <c r="SQG2477" s="63"/>
      <c r="SQH2477" s="61"/>
      <c r="SQI2477" s="54"/>
      <c r="SQJ2477" s="54"/>
      <c r="SQK2477" s="60"/>
      <c r="SQL2477" s="60"/>
      <c r="SQM2477" s="60"/>
      <c r="SQN2477" s="60"/>
      <c r="SQO2477" s="63"/>
      <c r="SQP2477" s="61"/>
      <c r="SQQ2477" s="54"/>
      <c r="SQR2477" s="54"/>
      <c r="SQS2477" s="60"/>
      <c r="SQT2477" s="60"/>
      <c r="SQU2477" s="60"/>
      <c r="SQV2477" s="60"/>
      <c r="SQW2477" s="63"/>
      <c r="SQX2477" s="61"/>
      <c r="SQY2477" s="54"/>
      <c r="SQZ2477" s="54"/>
      <c r="SRA2477" s="60"/>
      <c r="SRB2477" s="60"/>
      <c r="SRC2477" s="60"/>
      <c r="SRD2477" s="60"/>
      <c r="SRE2477" s="63"/>
      <c r="SRF2477" s="61"/>
      <c r="SRG2477" s="54"/>
      <c r="SRH2477" s="54"/>
      <c r="SRI2477" s="60"/>
      <c r="SRJ2477" s="60"/>
      <c r="SRK2477" s="60"/>
      <c r="SRL2477" s="60"/>
      <c r="SRM2477" s="63"/>
      <c r="SRN2477" s="61"/>
      <c r="SRO2477" s="54"/>
      <c r="SRP2477" s="54"/>
      <c r="SRQ2477" s="60"/>
      <c r="SRR2477" s="60"/>
      <c r="SRS2477" s="60"/>
      <c r="SRT2477" s="60"/>
      <c r="SRU2477" s="63"/>
      <c r="SRV2477" s="61"/>
      <c r="SRW2477" s="54"/>
      <c r="SRX2477" s="54"/>
      <c r="SRY2477" s="60"/>
      <c r="SRZ2477" s="60"/>
      <c r="SSA2477" s="60"/>
      <c r="SSB2477" s="60"/>
      <c r="SSC2477" s="63"/>
      <c r="SSD2477" s="61"/>
      <c r="SSE2477" s="54"/>
      <c r="SSF2477" s="54"/>
      <c r="SSG2477" s="60"/>
      <c r="SSH2477" s="60"/>
      <c r="SSI2477" s="60"/>
      <c r="SSJ2477" s="60"/>
      <c r="SSK2477" s="63"/>
      <c r="SSL2477" s="61"/>
      <c r="SSM2477" s="54"/>
      <c r="SSN2477" s="54"/>
      <c r="SSO2477" s="60"/>
      <c r="SSP2477" s="60"/>
      <c r="SSQ2477" s="60"/>
      <c r="SSR2477" s="60"/>
      <c r="SSS2477" s="63"/>
      <c r="SST2477" s="61"/>
      <c r="SSU2477" s="54"/>
      <c r="SSV2477" s="54"/>
      <c r="SSW2477" s="60"/>
      <c r="SSX2477" s="60"/>
      <c r="SSY2477" s="60"/>
      <c r="SSZ2477" s="60"/>
      <c r="STA2477" s="63"/>
      <c r="STB2477" s="61"/>
      <c r="STC2477" s="54"/>
      <c r="STD2477" s="54"/>
      <c r="STE2477" s="60"/>
      <c r="STF2477" s="60"/>
      <c r="STG2477" s="60"/>
      <c r="STH2477" s="60"/>
      <c r="STI2477" s="63"/>
      <c r="STJ2477" s="61"/>
      <c r="STK2477" s="54"/>
      <c r="STL2477" s="54"/>
      <c r="STM2477" s="60"/>
      <c r="STN2477" s="60"/>
      <c r="STO2477" s="60"/>
      <c r="STP2477" s="60"/>
      <c r="STQ2477" s="63"/>
      <c r="STR2477" s="61"/>
      <c r="STS2477" s="54"/>
      <c r="STT2477" s="54"/>
      <c r="STU2477" s="60"/>
      <c r="STV2477" s="60"/>
      <c r="STW2477" s="60"/>
      <c r="STX2477" s="60"/>
      <c r="STY2477" s="63"/>
      <c r="STZ2477" s="61"/>
      <c r="SUA2477" s="54"/>
      <c r="SUB2477" s="54"/>
      <c r="SUC2477" s="60"/>
      <c r="SUD2477" s="60"/>
      <c r="SUE2477" s="60"/>
      <c r="SUF2477" s="60"/>
      <c r="SUG2477" s="63"/>
      <c r="SUH2477" s="61"/>
      <c r="SUI2477" s="54"/>
      <c r="SUJ2477" s="54"/>
      <c r="SUK2477" s="60"/>
      <c r="SUL2477" s="60"/>
      <c r="SUM2477" s="60"/>
      <c r="SUN2477" s="60"/>
      <c r="SUO2477" s="63"/>
      <c r="SUP2477" s="61"/>
      <c r="SUQ2477" s="54"/>
      <c r="SUR2477" s="54"/>
      <c r="SUS2477" s="60"/>
      <c r="SUT2477" s="60"/>
      <c r="SUU2477" s="60"/>
      <c r="SUV2477" s="60"/>
      <c r="SUW2477" s="63"/>
      <c r="SUX2477" s="61"/>
      <c r="SUY2477" s="54"/>
      <c r="SUZ2477" s="54"/>
      <c r="SVA2477" s="60"/>
      <c r="SVB2477" s="60"/>
      <c r="SVC2477" s="60"/>
      <c r="SVD2477" s="60"/>
      <c r="SVE2477" s="63"/>
      <c r="SVF2477" s="61"/>
      <c r="SVG2477" s="54"/>
      <c r="SVH2477" s="54"/>
      <c r="SVI2477" s="60"/>
      <c r="SVJ2477" s="60"/>
      <c r="SVK2477" s="60"/>
      <c r="SVL2477" s="60"/>
      <c r="SVM2477" s="63"/>
      <c r="SVN2477" s="61"/>
      <c r="SVO2477" s="54"/>
      <c r="SVP2477" s="54"/>
      <c r="SVQ2477" s="60"/>
      <c r="SVR2477" s="60"/>
      <c r="SVS2477" s="60"/>
      <c r="SVT2477" s="60"/>
      <c r="SVU2477" s="63"/>
      <c r="SVV2477" s="61"/>
      <c r="SVW2477" s="54"/>
      <c r="SVX2477" s="54"/>
      <c r="SVY2477" s="60"/>
      <c r="SVZ2477" s="60"/>
      <c r="SWA2477" s="60"/>
      <c r="SWB2477" s="60"/>
      <c r="SWC2477" s="63"/>
      <c r="SWD2477" s="61"/>
      <c r="SWE2477" s="54"/>
      <c r="SWF2477" s="54"/>
      <c r="SWG2477" s="60"/>
      <c r="SWH2477" s="60"/>
      <c r="SWI2477" s="60"/>
      <c r="SWJ2477" s="60"/>
      <c r="SWK2477" s="63"/>
      <c r="SWL2477" s="61"/>
      <c r="SWM2477" s="54"/>
      <c r="SWN2477" s="54"/>
      <c r="SWO2477" s="60"/>
      <c r="SWP2477" s="60"/>
      <c r="SWQ2477" s="60"/>
      <c r="SWR2477" s="60"/>
      <c r="SWS2477" s="63"/>
      <c r="SWT2477" s="61"/>
      <c r="SWU2477" s="54"/>
      <c r="SWV2477" s="54"/>
      <c r="SWW2477" s="60"/>
      <c r="SWX2477" s="60"/>
      <c r="SWY2477" s="60"/>
      <c r="SWZ2477" s="60"/>
      <c r="SXA2477" s="63"/>
      <c r="SXB2477" s="61"/>
      <c r="SXC2477" s="54"/>
      <c r="SXD2477" s="54"/>
      <c r="SXE2477" s="60"/>
      <c r="SXF2477" s="60"/>
      <c r="SXG2477" s="60"/>
      <c r="SXH2477" s="60"/>
      <c r="SXI2477" s="63"/>
      <c r="SXJ2477" s="61"/>
      <c r="SXK2477" s="54"/>
      <c r="SXL2477" s="54"/>
      <c r="SXM2477" s="60"/>
      <c r="SXN2477" s="60"/>
      <c r="SXO2477" s="60"/>
      <c r="SXP2477" s="60"/>
      <c r="SXQ2477" s="63"/>
      <c r="SXR2477" s="61"/>
      <c r="SXS2477" s="54"/>
      <c r="SXT2477" s="54"/>
      <c r="SXU2477" s="60"/>
      <c r="SXV2477" s="60"/>
      <c r="SXW2477" s="60"/>
      <c r="SXX2477" s="60"/>
      <c r="SXY2477" s="63"/>
      <c r="SXZ2477" s="61"/>
      <c r="SYA2477" s="54"/>
      <c r="SYB2477" s="54"/>
      <c r="SYC2477" s="60"/>
      <c r="SYD2477" s="60"/>
      <c r="SYE2477" s="60"/>
      <c r="SYF2477" s="60"/>
      <c r="SYG2477" s="63"/>
      <c r="SYH2477" s="61"/>
      <c r="SYI2477" s="54"/>
      <c r="SYJ2477" s="54"/>
      <c r="SYK2477" s="60"/>
      <c r="SYL2477" s="60"/>
      <c r="SYM2477" s="60"/>
      <c r="SYN2477" s="60"/>
      <c r="SYO2477" s="63"/>
      <c r="SYP2477" s="61"/>
      <c r="SYQ2477" s="54"/>
      <c r="SYR2477" s="54"/>
      <c r="SYS2477" s="60"/>
      <c r="SYT2477" s="60"/>
      <c r="SYU2477" s="60"/>
      <c r="SYV2477" s="60"/>
      <c r="SYW2477" s="63"/>
      <c r="SYX2477" s="61"/>
      <c r="SYY2477" s="54"/>
      <c r="SYZ2477" s="54"/>
      <c r="SZA2477" s="60"/>
      <c r="SZB2477" s="60"/>
      <c r="SZC2477" s="60"/>
      <c r="SZD2477" s="60"/>
      <c r="SZE2477" s="63"/>
      <c r="SZF2477" s="61"/>
      <c r="SZG2477" s="54"/>
      <c r="SZH2477" s="54"/>
      <c r="SZI2477" s="60"/>
      <c r="SZJ2477" s="60"/>
      <c r="SZK2477" s="60"/>
      <c r="SZL2477" s="60"/>
      <c r="SZM2477" s="63"/>
      <c r="SZN2477" s="61"/>
      <c r="SZO2477" s="54"/>
      <c r="SZP2477" s="54"/>
      <c r="SZQ2477" s="60"/>
      <c r="SZR2477" s="60"/>
      <c r="SZS2477" s="60"/>
      <c r="SZT2477" s="60"/>
      <c r="SZU2477" s="63"/>
      <c r="SZV2477" s="61"/>
      <c r="SZW2477" s="54"/>
      <c r="SZX2477" s="54"/>
      <c r="SZY2477" s="60"/>
      <c r="SZZ2477" s="60"/>
      <c r="TAA2477" s="60"/>
      <c r="TAB2477" s="60"/>
      <c r="TAC2477" s="63"/>
      <c r="TAD2477" s="61"/>
      <c r="TAE2477" s="54"/>
      <c r="TAF2477" s="54"/>
      <c r="TAG2477" s="60"/>
      <c r="TAH2477" s="60"/>
      <c r="TAI2477" s="60"/>
      <c r="TAJ2477" s="60"/>
      <c r="TAK2477" s="63"/>
      <c r="TAL2477" s="61"/>
      <c r="TAM2477" s="54"/>
      <c r="TAN2477" s="54"/>
      <c r="TAO2477" s="60"/>
      <c r="TAP2477" s="60"/>
      <c r="TAQ2477" s="60"/>
      <c r="TAR2477" s="60"/>
      <c r="TAS2477" s="63"/>
      <c r="TAT2477" s="61"/>
      <c r="TAU2477" s="54"/>
      <c r="TAV2477" s="54"/>
      <c r="TAW2477" s="60"/>
      <c r="TAX2477" s="60"/>
      <c r="TAY2477" s="60"/>
      <c r="TAZ2477" s="60"/>
      <c r="TBA2477" s="63"/>
      <c r="TBB2477" s="61"/>
      <c r="TBC2477" s="54"/>
      <c r="TBD2477" s="54"/>
      <c r="TBE2477" s="60"/>
      <c r="TBF2477" s="60"/>
      <c r="TBG2477" s="60"/>
      <c r="TBH2477" s="60"/>
      <c r="TBI2477" s="63"/>
      <c r="TBJ2477" s="61"/>
      <c r="TBK2477" s="54"/>
      <c r="TBL2477" s="54"/>
      <c r="TBM2477" s="60"/>
      <c r="TBN2477" s="60"/>
      <c r="TBO2477" s="60"/>
      <c r="TBP2477" s="60"/>
      <c r="TBQ2477" s="63"/>
      <c r="TBR2477" s="61"/>
      <c r="TBS2477" s="54"/>
      <c r="TBT2477" s="54"/>
      <c r="TBU2477" s="60"/>
      <c r="TBV2477" s="60"/>
      <c r="TBW2477" s="60"/>
      <c r="TBX2477" s="60"/>
      <c r="TBY2477" s="63"/>
      <c r="TBZ2477" s="61"/>
      <c r="TCA2477" s="54"/>
      <c r="TCB2477" s="54"/>
      <c r="TCC2477" s="60"/>
      <c r="TCD2477" s="60"/>
      <c r="TCE2477" s="60"/>
      <c r="TCF2477" s="60"/>
      <c r="TCG2477" s="63"/>
      <c r="TCH2477" s="61"/>
      <c r="TCI2477" s="54"/>
      <c r="TCJ2477" s="54"/>
      <c r="TCK2477" s="60"/>
      <c r="TCL2477" s="60"/>
      <c r="TCM2477" s="60"/>
      <c r="TCN2477" s="60"/>
      <c r="TCO2477" s="63"/>
      <c r="TCP2477" s="61"/>
      <c r="TCQ2477" s="54"/>
      <c r="TCR2477" s="54"/>
      <c r="TCS2477" s="60"/>
      <c r="TCT2477" s="60"/>
      <c r="TCU2477" s="60"/>
      <c r="TCV2477" s="60"/>
      <c r="TCW2477" s="63"/>
      <c r="TCX2477" s="61"/>
      <c r="TCY2477" s="54"/>
      <c r="TCZ2477" s="54"/>
      <c r="TDA2477" s="60"/>
      <c r="TDB2477" s="60"/>
      <c r="TDC2477" s="60"/>
      <c r="TDD2477" s="60"/>
      <c r="TDE2477" s="63"/>
      <c r="TDF2477" s="61"/>
      <c r="TDG2477" s="54"/>
      <c r="TDH2477" s="54"/>
      <c r="TDI2477" s="60"/>
      <c r="TDJ2477" s="60"/>
      <c r="TDK2477" s="60"/>
      <c r="TDL2477" s="60"/>
      <c r="TDM2477" s="63"/>
      <c r="TDN2477" s="61"/>
      <c r="TDO2477" s="54"/>
      <c r="TDP2477" s="54"/>
      <c r="TDQ2477" s="60"/>
      <c r="TDR2477" s="60"/>
      <c r="TDS2477" s="60"/>
      <c r="TDT2477" s="60"/>
      <c r="TDU2477" s="63"/>
      <c r="TDV2477" s="61"/>
      <c r="TDW2477" s="54"/>
      <c r="TDX2477" s="54"/>
      <c r="TDY2477" s="60"/>
      <c r="TDZ2477" s="60"/>
      <c r="TEA2477" s="60"/>
      <c r="TEB2477" s="60"/>
      <c r="TEC2477" s="63"/>
      <c r="TED2477" s="61"/>
      <c r="TEE2477" s="54"/>
      <c r="TEF2477" s="54"/>
      <c r="TEG2477" s="60"/>
      <c r="TEH2477" s="60"/>
      <c r="TEI2477" s="60"/>
      <c r="TEJ2477" s="60"/>
      <c r="TEK2477" s="63"/>
      <c r="TEL2477" s="61"/>
      <c r="TEM2477" s="54"/>
      <c r="TEN2477" s="54"/>
      <c r="TEO2477" s="60"/>
      <c r="TEP2477" s="60"/>
      <c r="TEQ2477" s="60"/>
      <c r="TER2477" s="60"/>
      <c r="TES2477" s="63"/>
      <c r="TET2477" s="61"/>
      <c r="TEU2477" s="54"/>
      <c r="TEV2477" s="54"/>
      <c r="TEW2477" s="60"/>
      <c r="TEX2477" s="60"/>
      <c r="TEY2477" s="60"/>
      <c r="TEZ2477" s="60"/>
      <c r="TFA2477" s="63"/>
      <c r="TFB2477" s="61"/>
      <c r="TFC2477" s="54"/>
      <c r="TFD2477" s="54"/>
      <c r="TFE2477" s="60"/>
      <c r="TFF2477" s="60"/>
      <c r="TFG2477" s="60"/>
      <c r="TFH2477" s="60"/>
      <c r="TFI2477" s="63"/>
      <c r="TFJ2477" s="61"/>
      <c r="TFK2477" s="54"/>
      <c r="TFL2477" s="54"/>
      <c r="TFM2477" s="60"/>
      <c r="TFN2477" s="60"/>
      <c r="TFO2477" s="60"/>
      <c r="TFP2477" s="60"/>
      <c r="TFQ2477" s="63"/>
      <c r="TFR2477" s="61"/>
      <c r="TFS2477" s="54"/>
      <c r="TFT2477" s="54"/>
      <c r="TFU2477" s="60"/>
      <c r="TFV2477" s="60"/>
      <c r="TFW2477" s="60"/>
      <c r="TFX2477" s="60"/>
      <c r="TFY2477" s="63"/>
      <c r="TFZ2477" s="61"/>
      <c r="TGA2477" s="54"/>
      <c r="TGB2477" s="54"/>
      <c r="TGC2477" s="60"/>
      <c r="TGD2477" s="60"/>
      <c r="TGE2477" s="60"/>
      <c r="TGF2477" s="60"/>
      <c r="TGG2477" s="63"/>
      <c r="TGH2477" s="61"/>
      <c r="TGI2477" s="54"/>
      <c r="TGJ2477" s="54"/>
      <c r="TGK2477" s="60"/>
      <c r="TGL2477" s="60"/>
      <c r="TGM2477" s="60"/>
      <c r="TGN2477" s="60"/>
      <c r="TGO2477" s="63"/>
      <c r="TGP2477" s="61"/>
      <c r="TGQ2477" s="54"/>
      <c r="TGR2477" s="54"/>
      <c r="TGS2477" s="60"/>
      <c r="TGT2477" s="60"/>
      <c r="TGU2477" s="60"/>
      <c r="TGV2477" s="60"/>
      <c r="TGW2477" s="63"/>
      <c r="TGX2477" s="61"/>
      <c r="TGY2477" s="54"/>
      <c r="TGZ2477" s="54"/>
      <c r="THA2477" s="60"/>
      <c r="THB2477" s="60"/>
      <c r="THC2477" s="60"/>
      <c r="THD2477" s="60"/>
      <c r="THE2477" s="63"/>
      <c r="THF2477" s="61"/>
      <c r="THG2477" s="54"/>
      <c r="THH2477" s="54"/>
      <c r="THI2477" s="60"/>
      <c r="THJ2477" s="60"/>
      <c r="THK2477" s="60"/>
      <c r="THL2477" s="60"/>
      <c r="THM2477" s="63"/>
      <c r="THN2477" s="61"/>
      <c r="THO2477" s="54"/>
      <c r="THP2477" s="54"/>
      <c r="THQ2477" s="60"/>
      <c r="THR2477" s="60"/>
      <c r="THS2477" s="60"/>
      <c r="THT2477" s="60"/>
      <c r="THU2477" s="63"/>
      <c r="THV2477" s="61"/>
      <c r="THW2477" s="54"/>
      <c r="THX2477" s="54"/>
      <c r="THY2477" s="60"/>
      <c r="THZ2477" s="60"/>
      <c r="TIA2477" s="60"/>
      <c r="TIB2477" s="60"/>
      <c r="TIC2477" s="63"/>
      <c r="TID2477" s="61"/>
      <c r="TIE2477" s="54"/>
      <c r="TIF2477" s="54"/>
      <c r="TIG2477" s="60"/>
      <c r="TIH2477" s="60"/>
      <c r="TII2477" s="60"/>
      <c r="TIJ2477" s="60"/>
      <c r="TIK2477" s="63"/>
      <c r="TIL2477" s="61"/>
      <c r="TIM2477" s="54"/>
      <c r="TIN2477" s="54"/>
      <c r="TIO2477" s="60"/>
      <c r="TIP2477" s="60"/>
      <c r="TIQ2477" s="60"/>
      <c r="TIR2477" s="60"/>
      <c r="TIS2477" s="63"/>
      <c r="TIT2477" s="61"/>
      <c r="TIU2477" s="54"/>
      <c r="TIV2477" s="54"/>
      <c r="TIW2477" s="60"/>
      <c r="TIX2477" s="60"/>
      <c r="TIY2477" s="60"/>
      <c r="TIZ2477" s="60"/>
      <c r="TJA2477" s="63"/>
      <c r="TJB2477" s="61"/>
      <c r="TJC2477" s="54"/>
      <c r="TJD2477" s="54"/>
      <c r="TJE2477" s="60"/>
      <c r="TJF2477" s="60"/>
      <c r="TJG2477" s="60"/>
      <c r="TJH2477" s="60"/>
      <c r="TJI2477" s="63"/>
      <c r="TJJ2477" s="61"/>
      <c r="TJK2477" s="54"/>
      <c r="TJL2477" s="54"/>
      <c r="TJM2477" s="60"/>
      <c r="TJN2477" s="60"/>
      <c r="TJO2477" s="60"/>
      <c r="TJP2477" s="60"/>
      <c r="TJQ2477" s="63"/>
      <c r="TJR2477" s="61"/>
      <c r="TJS2477" s="54"/>
      <c r="TJT2477" s="54"/>
      <c r="TJU2477" s="60"/>
      <c r="TJV2477" s="60"/>
      <c r="TJW2477" s="60"/>
      <c r="TJX2477" s="60"/>
      <c r="TJY2477" s="63"/>
      <c r="TJZ2477" s="61"/>
      <c r="TKA2477" s="54"/>
      <c r="TKB2477" s="54"/>
      <c r="TKC2477" s="60"/>
      <c r="TKD2477" s="60"/>
      <c r="TKE2477" s="60"/>
      <c r="TKF2477" s="60"/>
      <c r="TKG2477" s="63"/>
      <c r="TKH2477" s="61"/>
      <c r="TKI2477" s="54"/>
      <c r="TKJ2477" s="54"/>
      <c r="TKK2477" s="60"/>
      <c r="TKL2477" s="60"/>
      <c r="TKM2477" s="60"/>
      <c r="TKN2477" s="60"/>
      <c r="TKO2477" s="63"/>
      <c r="TKP2477" s="61"/>
      <c r="TKQ2477" s="54"/>
      <c r="TKR2477" s="54"/>
      <c r="TKS2477" s="60"/>
      <c r="TKT2477" s="60"/>
      <c r="TKU2477" s="60"/>
      <c r="TKV2477" s="60"/>
      <c r="TKW2477" s="63"/>
      <c r="TKX2477" s="61"/>
      <c r="TKY2477" s="54"/>
      <c r="TKZ2477" s="54"/>
      <c r="TLA2477" s="60"/>
      <c r="TLB2477" s="60"/>
      <c r="TLC2477" s="60"/>
      <c r="TLD2477" s="60"/>
      <c r="TLE2477" s="63"/>
      <c r="TLF2477" s="61"/>
      <c r="TLG2477" s="54"/>
      <c r="TLH2477" s="54"/>
      <c r="TLI2477" s="60"/>
      <c r="TLJ2477" s="60"/>
      <c r="TLK2477" s="60"/>
      <c r="TLL2477" s="60"/>
      <c r="TLM2477" s="63"/>
      <c r="TLN2477" s="61"/>
      <c r="TLO2477" s="54"/>
      <c r="TLP2477" s="54"/>
      <c r="TLQ2477" s="60"/>
      <c r="TLR2477" s="60"/>
      <c r="TLS2477" s="60"/>
      <c r="TLT2477" s="60"/>
      <c r="TLU2477" s="63"/>
      <c r="TLV2477" s="61"/>
      <c r="TLW2477" s="54"/>
      <c r="TLX2477" s="54"/>
      <c r="TLY2477" s="60"/>
      <c r="TLZ2477" s="60"/>
      <c r="TMA2477" s="60"/>
      <c r="TMB2477" s="60"/>
      <c r="TMC2477" s="63"/>
      <c r="TMD2477" s="61"/>
      <c r="TME2477" s="54"/>
      <c r="TMF2477" s="54"/>
      <c r="TMG2477" s="60"/>
      <c r="TMH2477" s="60"/>
      <c r="TMI2477" s="60"/>
      <c r="TMJ2477" s="60"/>
      <c r="TMK2477" s="63"/>
      <c r="TML2477" s="61"/>
      <c r="TMM2477" s="54"/>
      <c r="TMN2477" s="54"/>
      <c r="TMO2477" s="60"/>
      <c r="TMP2477" s="60"/>
      <c r="TMQ2477" s="60"/>
      <c r="TMR2477" s="60"/>
      <c r="TMS2477" s="63"/>
      <c r="TMT2477" s="61"/>
      <c r="TMU2477" s="54"/>
      <c r="TMV2477" s="54"/>
      <c r="TMW2477" s="60"/>
      <c r="TMX2477" s="60"/>
      <c r="TMY2477" s="60"/>
      <c r="TMZ2477" s="60"/>
      <c r="TNA2477" s="63"/>
      <c r="TNB2477" s="61"/>
      <c r="TNC2477" s="54"/>
      <c r="TND2477" s="54"/>
      <c r="TNE2477" s="60"/>
      <c r="TNF2477" s="60"/>
      <c r="TNG2477" s="60"/>
      <c r="TNH2477" s="60"/>
      <c r="TNI2477" s="63"/>
      <c r="TNJ2477" s="61"/>
      <c r="TNK2477" s="54"/>
      <c r="TNL2477" s="54"/>
      <c r="TNM2477" s="60"/>
      <c r="TNN2477" s="60"/>
      <c r="TNO2477" s="60"/>
      <c r="TNP2477" s="60"/>
      <c r="TNQ2477" s="63"/>
      <c r="TNR2477" s="61"/>
      <c r="TNS2477" s="54"/>
      <c r="TNT2477" s="54"/>
      <c r="TNU2477" s="60"/>
      <c r="TNV2477" s="60"/>
      <c r="TNW2477" s="60"/>
      <c r="TNX2477" s="60"/>
      <c r="TNY2477" s="63"/>
      <c r="TNZ2477" s="61"/>
      <c r="TOA2477" s="54"/>
      <c r="TOB2477" s="54"/>
      <c r="TOC2477" s="60"/>
      <c r="TOD2477" s="60"/>
      <c r="TOE2477" s="60"/>
      <c r="TOF2477" s="60"/>
      <c r="TOG2477" s="63"/>
      <c r="TOH2477" s="61"/>
      <c r="TOI2477" s="54"/>
      <c r="TOJ2477" s="54"/>
      <c r="TOK2477" s="60"/>
      <c r="TOL2477" s="60"/>
      <c r="TOM2477" s="60"/>
      <c r="TON2477" s="60"/>
      <c r="TOO2477" s="63"/>
      <c r="TOP2477" s="61"/>
      <c r="TOQ2477" s="54"/>
      <c r="TOR2477" s="54"/>
      <c r="TOS2477" s="60"/>
      <c r="TOT2477" s="60"/>
      <c r="TOU2477" s="60"/>
      <c r="TOV2477" s="60"/>
      <c r="TOW2477" s="63"/>
      <c r="TOX2477" s="61"/>
      <c r="TOY2477" s="54"/>
      <c r="TOZ2477" s="54"/>
      <c r="TPA2477" s="60"/>
      <c r="TPB2477" s="60"/>
      <c r="TPC2477" s="60"/>
      <c r="TPD2477" s="60"/>
      <c r="TPE2477" s="63"/>
      <c r="TPF2477" s="61"/>
      <c r="TPG2477" s="54"/>
      <c r="TPH2477" s="54"/>
      <c r="TPI2477" s="60"/>
      <c r="TPJ2477" s="60"/>
      <c r="TPK2477" s="60"/>
      <c r="TPL2477" s="60"/>
      <c r="TPM2477" s="63"/>
      <c r="TPN2477" s="61"/>
      <c r="TPO2477" s="54"/>
      <c r="TPP2477" s="54"/>
      <c r="TPQ2477" s="60"/>
      <c r="TPR2477" s="60"/>
      <c r="TPS2477" s="60"/>
      <c r="TPT2477" s="60"/>
      <c r="TPU2477" s="63"/>
      <c r="TPV2477" s="61"/>
      <c r="TPW2477" s="54"/>
      <c r="TPX2477" s="54"/>
      <c r="TPY2477" s="60"/>
      <c r="TPZ2477" s="60"/>
      <c r="TQA2477" s="60"/>
      <c r="TQB2477" s="60"/>
      <c r="TQC2477" s="63"/>
      <c r="TQD2477" s="61"/>
      <c r="TQE2477" s="54"/>
      <c r="TQF2477" s="54"/>
      <c r="TQG2477" s="60"/>
      <c r="TQH2477" s="60"/>
      <c r="TQI2477" s="60"/>
      <c r="TQJ2477" s="60"/>
      <c r="TQK2477" s="63"/>
      <c r="TQL2477" s="61"/>
      <c r="TQM2477" s="54"/>
      <c r="TQN2477" s="54"/>
      <c r="TQO2477" s="60"/>
      <c r="TQP2477" s="60"/>
      <c r="TQQ2477" s="60"/>
      <c r="TQR2477" s="60"/>
      <c r="TQS2477" s="63"/>
      <c r="TQT2477" s="61"/>
      <c r="TQU2477" s="54"/>
      <c r="TQV2477" s="54"/>
      <c r="TQW2477" s="60"/>
      <c r="TQX2477" s="60"/>
      <c r="TQY2477" s="60"/>
      <c r="TQZ2477" s="60"/>
      <c r="TRA2477" s="63"/>
      <c r="TRB2477" s="61"/>
      <c r="TRC2477" s="54"/>
      <c r="TRD2477" s="54"/>
      <c r="TRE2477" s="60"/>
      <c r="TRF2477" s="60"/>
      <c r="TRG2477" s="60"/>
      <c r="TRH2477" s="60"/>
      <c r="TRI2477" s="63"/>
      <c r="TRJ2477" s="61"/>
      <c r="TRK2477" s="54"/>
      <c r="TRL2477" s="54"/>
      <c r="TRM2477" s="60"/>
      <c r="TRN2477" s="60"/>
      <c r="TRO2477" s="60"/>
      <c r="TRP2477" s="60"/>
      <c r="TRQ2477" s="63"/>
      <c r="TRR2477" s="61"/>
      <c r="TRS2477" s="54"/>
      <c r="TRT2477" s="54"/>
      <c r="TRU2477" s="60"/>
      <c r="TRV2477" s="60"/>
      <c r="TRW2477" s="60"/>
      <c r="TRX2477" s="60"/>
      <c r="TRY2477" s="63"/>
      <c r="TRZ2477" s="61"/>
      <c r="TSA2477" s="54"/>
      <c r="TSB2477" s="54"/>
      <c r="TSC2477" s="60"/>
      <c r="TSD2477" s="60"/>
      <c r="TSE2477" s="60"/>
      <c r="TSF2477" s="60"/>
      <c r="TSG2477" s="63"/>
      <c r="TSH2477" s="61"/>
      <c r="TSI2477" s="54"/>
      <c r="TSJ2477" s="54"/>
      <c r="TSK2477" s="60"/>
      <c r="TSL2477" s="60"/>
      <c r="TSM2477" s="60"/>
      <c r="TSN2477" s="60"/>
      <c r="TSO2477" s="63"/>
      <c r="TSP2477" s="61"/>
      <c r="TSQ2477" s="54"/>
      <c r="TSR2477" s="54"/>
      <c r="TSS2477" s="60"/>
      <c r="TST2477" s="60"/>
      <c r="TSU2477" s="60"/>
      <c r="TSV2477" s="60"/>
      <c r="TSW2477" s="63"/>
      <c r="TSX2477" s="61"/>
      <c r="TSY2477" s="54"/>
      <c r="TSZ2477" s="54"/>
      <c r="TTA2477" s="60"/>
      <c r="TTB2477" s="60"/>
      <c r="TTC2477" s="60"/>
      <c r="TTD2477" s="60"/>
      <c r="TTE2477" s="63"/>
      <c r="TTF2477" s="61"/>
      <c r="TTG2477" s="54"/>
      <c r="TTH2477" s="54"/>
      <c r="TTI2477" s="60"/>
      <c r="TTJ2477" s="60"/>
      <c r="TTK2477" s="60"/>
      <c r="TTL2477" s="60"/>
      <c r="TTM2477" s="63"/>
      <c r="TTN2477" s="61"/>
      <c r="TTO2477" s="54"/>
      <c r="TTP2477" s="54"/>
      <c r="TTQ2477" s="60"/>
      <c r="TTR2477" s="60"/>
      <c r="TTS2477" s="60"/>
      <c r="TTT2477" s="60"/>
      <c r="TTU2477" s="63"/>
      <c r="TTV2477" s="61"/>
      <c r="TTW2477" s="54"/>
      <c r="TTX2477" s="54"/>
      <c r="TTY2477" s="60"/>
      <c r="TTZ2477" s="60"/>
      <c r="TUA2477" s="60"/>
      <c r="TUB2477" s="60"/>
      <c r="TUC2477" s="63"/>
      <c r="TUD2477" s="61"/>
      <c r="TUE2477" s="54"/>
      <c r="TUF2477" s="54"/>
      <c r="TUG2477" s="60"/>
      <c r="TUH2477" s="60"/>
      <c r="TUI2477" s="60"/>
      <c r="TUJ2477" s="60"/>
      <c r="TUK2477" s="63"/>
      <c r="TUL2477" s="61"/>
      <c r="TUM2477" s="54"/>
      <c r="TUN2477" s="54"/>
      <c r="TUO2477" s="60"/>
      <c r="TUP2477" s="60"/>
      <c r="TUQ2477" s="60"/>
      <c r="TUR2477" s="60"/>
      <c r="TUS2477" s="63"/>
      <c r="TUT2477" s="61"/>
      <c r="TUU2477" s="54"/>
      <c r="TUV2477" s="54"/>
      <c r="TUW2477" s="60"/>
      <c r="TUX2477" s="60"/>
      <c r="TUY2477" s="60"/>
      <c r="TUZ2477" s="60"/>
      <c r="TVA2477" s="63"/>
      <c r="TVB2477" s="61"/>
      <c r="TVC2477" s="54"/>
      <c r="TVD2477" s="54"/>
      <c r="TVE2477" s="60"/>
      <c r="TVF2477" s="60"/>
      <c r="TVG2477" s="60"/>
      <c r="TVH2477" s="60"/>
      <c r="TVI2477" s="63"/>
      <c r="TVJ2477" s="61"/>
      <c r="TVK2477" s="54"/>
      <c r="TVL2477" s="54"/>
      <c r="TVM2477" s="60"/>
      <c r="TVN2477" s="60"/>
      <c r="TVO2477" s="60"/>
      <c r="TVP2477" s="60"/>
      <c r="TVQ2477" s="63"/>
      <c r="TVR2477" s="61"/>
      <c r="TVS2477" s="54"/>
      <c r="TVT2477" s="54"/>
      <c r="TVU2477" s="60"/>
      <c r="TVV2477" s="60"/>
      <c r="TVW2477" s="60"/>
      <c r="TVX2477" s="60"/>
      <c r="TVY2477" s="63"/>
      <c r="TVZ2477" s="61"/>
      <c r="TWA2477" s="54"/>
      <c r="TWB2477" s="54"/>
      <c r="TWC2477" s="60"/>
      <c r="TWD2477" s="60"/>
      <c r="TWE2477" s="60"/>
      <c r="TWF2477" s="60"/>
      <c r="TWG2477" s="63"/>
      <c r="TWH2477" s="61"/>
      <c r="TWI2477" s="54"/>
      <c r="TWJ2477" s="54"/>
      <c r="TWK2477" s="60"/>
      <c r="TWL2477" s="60"/>
      <c r="TWM2477" s="60"/>
      <c r="TWN2477" s="60"/>
      <c r="TWO2477" s="63"/>
      <c r="TWP2477" s="61"/>
      <c r="TWQ2477" s="54"/>
      <c r="TWR2477" s="54"/>
      <c r="TWS2477" s="60"/>
      <c r="TWT2477" s="60"/>
      <c r="TWU2477" s="60"/>
      <c r="TWV2477" s="60"/>
      <c r="TWW2477" s="63"/>
      <c r="TWX2477" s="61"/>
      <c r="TWY2477" s="54"/>
      <c r="TWZ2477" s="54"/>
      <c r="TXA2477" s="60"/>
      <c r="TXB2477" s="60"/>
      <c r="TXC2477" s="60"/>
      <c r="TXD2477" s="60"/>
      <c r="TXE2477" s="63"/>
      <c r="TXF2477" s="61"/>
      <c r="TXG2477" s="54"/>
      <c r="TXH2477" s="54"/>
      <c r="TXI2477" s="60"/>
      <c r="TXJ2477" s="60"/>
      <c r="TXK2477" s="60"/>
      <c r="TXL2477" s="60"/>
      <c r="TXM2477" s="63"/>
      <c r="TXN2477" s="61"/>
      <c r="TXO2477" s="54"/>
      <c r="TXP2477" s="54"/>
      <c r="TXQ2477" s="60"/>
      <c r="TXR2477" s="60"/>
      <c r="TXS2477" s="60"/>
      <c r="TXT2477" s="60"/>
      <c r="TXU2477" s="63"/>
      <c r="TXV2477" s="61"/>
      <c r="TXW2477" s="54"/>
      <c r="TXX2477" s="54"/>
      <c r="TXY2477" s="60"/>
      <c r="TXZ2477" s="60"/>
      <c r="TYA2477" s="60"/>
      <c r="TYB2477" s="60"/>
      <c r="TYC2477" s="63"/>
      <c r="TYD2477" s="61"/>
      <c r="TYE2477" s="54"/>
      <c r="TYF2477" s="54"/>
      <c r="TYG2477" s="60"/>
      <c r="TYH2477" s="60"/>
      <c r="TYI2477" s="60"/>
      <c r="TYJ2477" s="60"/>
      <c r="TYK2477" s="63"/>
      <c r="TYL2477" s="61"/>
      <c r="TYM2477" s="54"/>
      <c r="TYN2477" s="54"/>
      <c r="TYO2477" s="60"/>
      <c r="TYP2477" s="60"/>
      <c r="TYQ2477" s="60"/>
      <c r="TYR2477" s="60"/>
      <c r="TYS2477" s="63"/>
      <c r="TYT2477" s="61"/>
      <c r="TYU2477" s="54"/>
      <c r="TYV2477" s="54"/>
      <c r="TYW2477" s="60"/>
      <c r="TYX2477" s="60"/>
      <c r="TYY2477" s="60"/>
      <c r="TYZ2477" s="60"/>
      <c r="TZA2477" s="63"/>
      <c r="TZB2477" s="61"/>
      <c r="TZC2477" s="54"/>
      <c r="TZD2477" s="54"/>
      <c r="TZE2477" s="60"/>
      <c r="TZF2477" s="60"/>
      <c r="TZG2477" s="60"/>
      <c r="TZH2477" s="60"/>
      <c r="TZI2477" s="63"/>
      <c r="TZJ2477" s="61"/>
      <c r="TZK2477" s="54"/>
      <c r="TZL2477" s="54"/>
      <c r="TZM2477" s="60"/>
      <c r="TZN2477" s="60"/>
      <c r="TZO2477" s="60"/>
      <c r="TZP2477" s="60"/>
      <c r="TZQ2477" s="63"/>
      <c r="TZR2477" s="61"/>
      <c r="TZS2477" s="54"/>
      <c r="TZT2477" s="54"/>
      <c r="TZU2477" s="60"/>
      <c r="TZV2477" s="60"/>
      <c r="TZW2477" s="60"/>
      <c r="TZX2477" s="60"/>
      <c r="TZY2477" s="63"/>
      <c r="TZZ2477" s="61"/>
      <c r="UAA2477" s="54"/>
      <c r="UAB2477" s="54"/>
      <c r="UAC2477" s="60"/>
      <c r="UAD2477" s="60"/>
      <c r="UAE2477" s="60"/>
      <c r="UAF2477" s="60"/>
      <c r="UAG2477" s="63"/>
      <c r="UAH2477" s="61"/>
      <c r="UAI2477" s="54"/>
      <c r="UAJ2477" s="54"/>
      <c r="UAK2477" s="60"/>
      <c r="UAL2477" s="60"/>
      <c r="UAM2477" s="60"/>
      <c r="UAN2477" s="60"/>
      <c r="UAO2477" s="63"/>
      <c r="UAP2477" s="61"/>
      <c r="UAQ2477" s="54"/>
      <c r="UAR2477" s="54"/>
      <c r="UAS2477" s="60"/>
      <c r="UAT2477" s="60"/>
      <c r="UAU2477" s="60"/>
      <c r="UAV2477" s="60"/>
      <c r="UAW2477" s="63"/>
      <c r="UAX2477" s="61"/>
      <c r="UAY2477" s="54"/>
      <c r="UAZ2477" s="54"/>
      <c r="UBA2477" s="60"/>
      <c r="UBB2477" s="60"/>
      <c r="UBC2477" s="60"/>
      <c r="UBD2477" s="60"/>
      <c r="UBE2477" s="63"/>
      <c r="UBF2477" s="61"/>
      <c r="UBG2477" s="54"/>
      <c r="UBH2477" s="54"/>
      <c r="UBI2477" s="60"/>
      <c r="UBJ2477" s="60"/>
      <c r="UBK2477" s="60"/>
      <c r="UBL2477" s="60"/>
      <c r="UBM2477" s="63"/>
      <c r="UBN2477" s="61"/>
      <c r="UBO2477" s="54"/>
      <c r="UBP2477" s="54"/>
      <c r="UBQ2477" s="60"/>
      <c r="UBR2477" s="60"/>
      <c r="UBS2477" s="60"/>
      <c r="UBT2477" s="60"/>
      <c r="UBU2477" s="63"/>
      <c r="UBV2477" s="61"/>
      <c r="UBW2477" s="54"/>
      <c r="UBX2477" s="54"/>
      <c r="UBY2477" s="60"/>
      <c r="UBZ2477" s="60"/>
      <c r="UCA2477" s="60"/>
      <c r="UCB2477" s="60"/>
      <c r="UCC2477" s="63"/>
      <c r="UCD2477" s="61"/>
      <c r="UCE2477" s="54"/>
      <c r="UCF2477" s="54"/>
      <c r="UCG2477" s="60"/>
      <c r="UCH2477" s="60"/>
      <c r="UCI2477" s="60"/>
      <c r="UCJ2477" s="60"/>
      <c r="UCK2477" s="63"/>
      <c r="UCL2477" s="61"/>
      <c r="UCM2477" s="54"/>
      <c r="UCN2477" s="54"/>
      <c r="UCO2477" s="60"/>
      <c r="UCP2477" s="60"/>
      <c r="UCQ2477" s="60"/>
      <c r="UCR2477" s="60"/>
      <c r="UCS2477" s="63"/>
      <c r="UCT2477" s="61"/>
      <c r="UCU2477" s="54"/>
      <c r="UCV2477" s="54"/>
      <c r="UCW2477" s="60"/>
      <c r="UCX2477" s="60"/>
      <c r="UCY2477" s="60"/>
      <c r="UCZ2477" s="60"/>
      <c r="UDA2477" s="63"/>
      <c r="UDB2477" s="61"/>
      <c r="UDC2477" s="54"/>
      <c r="UDD2477" s="54"/>
      <c r="UDE2477" s="60"/>
      <c r="UDF2477" s="60"/>
      <c r="UDG2477" s="60"/>
      <c r="UDH2477" s="60"/>
      <c r="UDI2477" s="63"/>
      <c r="UDJ2477" s="61"/>
      <c r="UDK2477" s="54"/>
      <c r="UDL2477" s="54"/>
      <c r="UDM2477" s="60"/>
      <c r="UDN2477" s="60"/>
      <c r="UDO2477" s="60"/>
      <c r="UDP2477" s="60"/>
      <c r="UDQ2477" s="63"/>
      <c r="UDR2477" s="61"/>
      <c r="UDS2477" s="54"/>
      <c r="UDT2477" s="54"/>
      <c r="UDU2477" s="60"/>
      <c r="UDV2477" s="60"/>
      <c r="UDW2477" s="60"/>
      <c r="UDX2477" s="60"/>
      <c r="UDY2477" s="63"/>
      <c r="UDZ2477" s="61"/>
      <c r="UEA2477" s="54"/>
      <c r="UEB2477" s="54"/>
      <c r="UEC2477" s="60"/>
      <c r="UED2477" s="60"/>
      <c r="UEE2477" s="60"/>
      <c r="UEF2477" s="60"/>
      <c r="UEG2477" s="63"/>
      <c r="UEH2477" s="61"/>
      <c r="UEI2477" s="54"/>
      <c r="UEJ2477" s="54"/>
      <c r="UEK2477" s="60"/>
      <c r="UEL2477" s="60"/>
      <c r="UEM2477" s="60"/>
      <c r="UEN2477" s="60"/>
      <c r="UEO2477" s="63"/>
      <c r="UEP2477" s="61"/>
      <c r="UEQ2477" s="54"/>
      <c r="UER2477" s="54"/>
      <c r="UES2477" s="60"/>
      <c r="UET2477" s="60"/>
      <c r="UEU2477" s="60"/>
      <c r="UEV2477" s="60"/>
      <c r="UEW2477" s="63"/>
      <c r="UEX2477" s="61"/>
      <c r="UEY2477" s="54"/>
      <c r="UEZ2477" s="54"/>
      <c r="UFA2477" s="60"/>
      <c r="UFB2477" s="60"/>
      <c r="UFC2477" s="60"/>
      <c r="UFD2477" s="60"/>
      <c r="UFE2477" s="63"/>
      <c r="UFF2477" s="61"/>
      <c r="UFG2477" s="54"/>
      <c r="UFH2477" s="54"/>
      <c r="UFI2477" s="60"/>
      <c r="UFJ2477" s="60"/>
      <c r="UFK2477" s="60"/>
      <c r="UFL2477" s="60"/>
      <c r="UFM2477" s="63"/>
      <c r="UFN2477" s="61"/>
      <c r="UFO2477" s="54"/>
      <c r="UFP2477" s="54"/>
      <c r="UFQ2477" s="60"/>
      <c r="UFR2477" s="60"/>
      <c r="UFS2477" s="60"/>
      <c r="UFT2477" s="60"/>
      <c r="UFU2477" s="63"/>
      <c r="UFV2477" s="61"/>
      <c r="UFW2477" s="54"/>
      <c r="UFX2477" s="54"/>
      <c r="UFY2477" s="60"/>
      <c r="UFZ2477" s="60"/>
      <c r="UGA2477" s="60"/>
      <c r="UGB2477" s="60"/>
      <c r="UGC2477" s="63"/>
      <c r="UGD2477" s="61"/>
      <c r="UGE2477" s="54"/>
      <c r="UGF2477" s="54"/>
      <c r="UGG2477" s="60"/>
      <c r="UGH2477" s="60"/>
      <c r="UGI2477" s="60"/>
      <c r="UGJ2477" s="60"/>
      <c r="UGK2477" s="63"/>
      <c r="UGL2477" s="61"/>
      <c r="UGM2477" s="54"/>
      <c r="UGN2477" s="54"/>
      <c r="UGO2477" s="60"/>
      <c r="UGP2477" s="60"/>
      <c r="UGQ2477" s="60"/>
      <c r="UGR2477" s="60"/>
      <c r="UGS2477" s="63"/>
      <c r="UGT2477" s="61"/>
      <c r="UGU2477" s="54"/>
      <c r="UGV2477" s="54"/>
      <c r="UGW2477" s="60"/>
      <c r="UGX2477" s="60"/>
      <c r="UGY2477" s="60"/>
      <c r="UGZ2477" s="60"/>
      <c r="UHA2477" s="63"/>
      <c r="UHB2477" s="61"/>
      <c r="UHC2477" s="54"/>
      <c r="UHD2477" s="54"/>
      <c r="UHE2477" s="60"/>
      <c r="UHF2477" s="60"/>
      <c r="UHG2477" s="60"/>
      <c r="UHH2477" s="60"/>
      <c r="UHI2477" s="63"/>
      <c r="UHJ2477" s="61"/>
      <c r="UHK2477" s="54"/>
      <c r="UHL2477" s="54"/>
      <c r="UHM2477" s="60"/>
      <c r="UHN2477" s="60"/>
      <c r="UHO2477" s="60"/>
      <c r="UHP2477" s="60"/>
      <c r="UHQ2477" s="63"/>
      <c r="UHR2477" s="61"/>
      <c r="UHS2477" s="54"/>
      <c r="UHT2477" s="54"/>
      <c r="UHU2477" s="60"/>
      <c r="UHV2477" s="60"/>
      <c r="UHW2477" s="60"/>
      <c r="UHX2477" s="60"/>
      <c r="UHY2477" s="63"/>
      <c r="UHZ2477" s="61"/>
      <c r="UIA2477" s="54"/>
      <c r="UIB2477" s="54"/>
      <c r="UIC2477" s="60"/>
      <c r="UID2477" s="60"/>
      <c r="UIE2477" s="60"/>
      <c r="UIF2477" s="60"/>
      <c r="UIG2477" s="63"/>
      <c r="UIH2477" s="61"/>
      <c r="UII2477" s="54"/>
      <c r="UIJ2477" s="54"/>
      <c r="UIK2477" s="60"/>
      <c r="UIL2477" s="60"/>
      <c r="UIM2477" s="60"/>
      <c r="UIN2477" s="60"/>
      <c r="UIO2477" s="63"/>
      <c r="UIP2477" s="61"/>
      <c r="UIQ2477" s="54"/>
      <c r="UIR2477" s="54"/>
      <c r="UIS2477" s="60"/>
      <c r="UIT2477" s="60"/>
      <c r="UIU2477" s="60"/>
      <c r="UIV2477" s="60"/>
      <c r="UIW2477" s="63"/>
      <c r="UIX2477" s="61"/>
      <c r="UIY2477" s="54"/>
      <c r="UIZ2477" s="54"/>
      <c r="UJA2477" s="60"/>
      <c r="UJB2477" s="60"/>
      <c r="UJC2477" s="60"/>
      <c r="UJD2477" s="60"/>
      <c r="UJE2477" s="63"/>
      <c r="UJF2477" s="61"/>
      <c r="UJG2477" s="54"/>
      <c r="UJH2477" s="54"/>
      <c r="UJI2477" s="60"/>
      <c r="UJJ2477" s="60"/>
      <c r="UJK2477" s="60"/>
      <c r="UJL2477" s="60"/>
      <c r="UJM2477" s="63"/>
      <c r="UJN2477" s="61"/>
      <c r="UJO2477" s="54"/>
      <c r="UJP2477" s="54"/>
      <c r="UJQ2477" s="60"/>
      <c r="UJR2477" s="60"/>
      <c r="UJS2477" s="60"/>
      <c r="UJT2477" s="60"/>
      <c r="UJU2477" s="63"/>
      <c r="UJV2477" s="61"/>
      <c r="UJW2477" s="54"/>
      <c r="UJX2477" s="54"/>
      <c r="UJY2477" s="60"/>
      <c r="UJZ2477" s="60"/>
      <c r="UKA2477" s="60"/>
      <c r="UKB2477" s="60"/>
      <c r="UKC2477" s="63"/>
      <c r="UKD2477" s="61"/>
      <c r="UKE2477" s="54"/>
      <c r="UKF2477" s="54"/>
      <c r="UKG2477" s="60"/>
      <c r="UKH2477" s="60"/>
      <c r="UKI2477" s="60"/>
      <c r="UKJ2477" s="60"/>
      <c r="UKK2477" s="63"/>
      <c r="UKL2477" s="61"/>
      <c r="UKM2477" s="54"/>
      <c r="UKN2477" s="54"/>
      <c r="UKO2477" s="60"/>
      <c r="UKP2477" s="60"/>
      <c r="UKQ2477" s="60"/>
      <c r="UKR2477" s="60"/>
      <c r="UKS2477" s="63"/>
      <c r="UKT2477" s="61"/>
      <c r="UKU2477" s="54"/>
      <c r="UKV2477" s="54"/>
      <c r="UKW2477" s="60"/>
      <c r="UKX2477" s="60"/>
      <c r="UKY2477" s="60"/>
      <c r="UKZ2477" s="60"/>
      <c r="ULA2477" s="63"/>
      <c r="ULB2477" s="61"/>
      <c r="ULC2477" s="54"/>
      <c r="ULD2477" s="54"/>
      <c r="ULE2477" s="60"/>
      <c r="ULF2477" s="60"/>
      <c r="ULG2477" s="60"/>
      <c r="ULH2477" s="60"/>
      <c r="ULI2477" s="63"/>
      <c r="ULJ2477" s="61"/>
      <c r="ULK2477" s="54"/>
      <c r="ULL2477" s="54"/>
      <c r="ULM2477" s="60"/>
      <c r="ULN2477" s="60"/>
      <c r="ULO2477" s="60"/>
      <c r="ULP2477" s="60"/>
      <c r="ULQ2477" s="63"/>
      <c r="ULR2477" s="61"/>
      <c r="ULS2477" s="54"/>
      <c r="ULT2477" s="54"/>
      <c r="ULU2477" s="60"/>
      <c r="ULV2477" s="60"/>
      <c r="ULW2477" s="60"/>
      <c r="ULX2477" s="60"/>
      <c r="ULY2477" s="63"/>
      <c r="ULZ2477" s="61"/>
      <c r="UMA2477" s="54"/>
      <c r="UMB2477" s="54"/>
      <c r="UMC2477" s="60"/>
      <c r="UMD2477" s="60"/>
      <c r="UME2477" s="60"/>
      <c r="UMF2477" s="60"/>
      <c r="UMG2477" s="63"/>
      <c r="UMH2477" s="61"/>
      <c r="UMI2477" s="54"/>
      <c r="UMJ2477" s="54"/>
      <c r="UMK2477" s="60"/>
      <c r="UML2477" s="60"/>
      <c r="UMM2477" s="60"/>
      <c r="UMN2477" s="60"/>
      <c r="UMO2477" s="63"/>
      <c r="UMP2477" s="61"/>
      <c r="UMQ2477" s="54"/>
      <c r="UMR2477" s="54"/>
      <c r="UMS2477" s="60"/>
      <c r="UMT2477" s="60"/>
      <c r="UMU2477" s="60"/>
      <c r="UMV2477" s="60"/>
      <c r="UMW2477" s="63"/>
      <c r="UMX2477" s="61"/>
      <c r="UMY2477" s="54"/>
      <c r="UMZ2477" s="54"/>
      <c r="UNA2477" s="60"/>
      <c r="UNB2477" s="60"/>
      <c r="UNC2477" s="60"/>
      <c r="UND2477" s="60"/>
      <c r="UNE2477" s="63"/>
      <c r="UNF2477" s="61"/>
      <c r="UNG2477" s="54"/>
      <c r="UNH2477" s="54"/>
      <c r="UNI2477" s="60"/>
      <c r="UNJ2477" s="60"/>
      <c r="UNK2477" s="60"/>
      <c r="UNL2477" s="60"/>
      <c r="UNM2477" s="63"/>
      <c r="UNN2477" s="61"/>
      <c r="UNO2477" s="54"/>
      <c r="UNP2477" s="54"/>
      <c r="UNQ2477" s="60"/>
      <c r="UNR2477" s="60"/>
      <c r="UNS2477" s="60"/>
      <c r="UNT2477" s="60"/>
      <c r="UNU2477" s="63"/>
      <c r="UNV2477" s="61"/>
      <c r="UNW2477" s="54"/>
      <c r="UNX2477" s="54"/>
      <c r="UNY2477" s="60"/>
      <c r="UNZ2477" s="60"/>
      <c r="UOA2477" s="60"/>
      <c r="UOB2477" s="60"/>
      <c r="UOC2477" s="63"/>
      <c r="UOD2477" s="61"/>
      <c r="UOE2477" s="54"/>
      <c r="UOF2477" s="54"/>
      <c r="UOG2477" s="60"/>
      <c r="UOH2477" s="60"/>
      <c r="UOI2477" s="60"/>
      <c r="UOJ2477" s="60"/>
      <c r="UOK2477" s="63"/>
      <c r="UOL2477" s="61"/>
      <c r="UOM2477" s="54"/>
      <c r="UON2477" s="54"/>
      <c r="UOO2477" s="60"/>
      <c r="UOP2477" s="60"/>
      <c r="UOQ2477" s="60"/>
      <c r="UOR2477" s="60"/>
      <c r="UOS2477" s="63"/>
      <c r="UOT2477" s="61"/>
      <c r="UOU2477" s="54"/>
      <c r="UOV2477" s="54"/>
      <c r="UOW2477" s="60"/>
      <c r="UOX2477" s="60"/>
      <c r="UOY2477" s="60"/>
      <c r="UOZ2477" s="60"/>
      <c r="UPA2477" s="63"/>
      <c r="UPB2477" s="61"/>
      <c r="UPC2477" s="54"/>
      <c r="UPD2477" s="54"/>
      <c r="UPE2477" s="60"/>
      <c r="UPF2477" s="60"/>
      <c r="UPG2477" s="60"/>
      <c r="UPH2477" s="60"/>
      <c r="UPI2477" s="63"/>
      <c r="UPJ2477" s="61"/>
      <c r="UPK2477" s="54"/>
      <c r="UPL2477" s="54"/>
      <c r="UPM2477" s="60"/>
      <c r="UPN2477" s="60"/>
      <c r="UPO2477" s="60"/>
      <c r="UPP2477" s="60"/>
      <c r="UPQ2477" s="63"/>
      <c r="UPR2477" s="61"/>
      <c r="UPS2477" s="54"/>
      <c r="UPT2477" s="54"/>
      <c r="UPU2477" s="60"/>
      <c r="UPV2477" s="60"/>
      <c r="UPW2477" s="60"/>
      <c r="UPX2477" s="60"/>
      <c r="UPY2477" s="63"/>
      <c r="UPZ2477" s="61"/>
      <c r="UQA2477" s="54"/>
      <c r="UQB2477" s="54"/>
      <c r="UQC2477" s="60"/>
      <c r="UQD2477" s="60"/>
      <c r="UQE2477" s="60"/>
      <c r="UQF2477" s="60"/>
      <c r="UQG2477" s="63"/>
      <c r="UQH2477" s="61"/>
      <c r="UQI2477" s="54"/>
      <c r="UQJ2477" s="54"/>
      <c r="UQK2477" s="60"/>
      <c r="UQL2477" s="60"/>
      <c r="UQM2477" s="60"/>
      <c r="UQN2477" s="60"/>
      <c r="UQO2477" s="63"/>
      <c r="UQP2477" s="61"/>
      <c r="UQQ2477" s="54"/>
      <c r="UQR2477" s="54"/>
      <c r="UQS2477" s="60"/>
      <c r="UQT2477" s="60"/>
      <c r="UQU2477" s="60"/>
      <c r="UQV2477" s="60"/>
      <c r="UQW2477" s="63"/>
      <c r="UQX2477" s="61"/>
      <c r="UQY2477" s="54"/>
      <c r="UQZ2477" s="54"/>
      <c r="URA2477" s="60"/>
      <c r="URB2477" s="60"/>
      <c r="URC2477" s="60"/>
      <c r="URD2477" s="60"/>
      <c r="URE2477" s="63"/>
      <c r="URF2477" s="61"/>
      <c r="URG2477" s="54"/>
      <c r="URH2477" s="54"/>
      <c r="URI2477" s="60"/>
      <c r="URJ2477" s="60"/>
      <c r="URK2477" s="60"/>
      <c r="URL2477" s="60"/>
      <c r="URM2477" s="63"/>
      <c r="URN2477" s="61"/>
      <c r="URO2477" s="54"/>
      <c r="URP2477" s="54"/>
      <c r="URQ2477" s="60"/>
      <c r="URR2477" s="60"/>
      <c r="URS2477" s="60"/>
      <c r="URT2477" s="60"/>
      <c r="URU2477" s="63"/>
      <c r="URV2477" s="61"/>
      <c r="URW2477" s="54"/>
      <c r="URX2477" s="54"/>
      <c r="URY2477" s="60"/>
      <c r="URZ2477" s="60"/>
      <c r="USA2477" s="60"/>
      <c r="USB2477" s="60"/>
      <c r="USC2477" s="63"/>
      <c r="USD2477" s="61"/>
      <c r="USE2477" s="54"/>
      <c r="USF2477" s="54"/>
      <c r="USG2477" s="60"/>
      <c r="USH2477" s="60"/>
      <c r="USI2477" s="60"/>
      <c r="USJ2477" s="60"/>
      <c r="USK2477" s="63"/>
      <c r="USL2477" s="61"/>
      <c r="USM2477" s="54"/>
      <c r="USN2477" s="54"/>
      <c r="USO2477" s="60"/>
      <c r="USP2477" s="60"/>
      <c r="USQ2477" s="60"/>
      <c r="USR2477" s="60"/>
      <c r="USS2477" s="63"/>
      <c r="UST2477" s="61"/>
      <c r="USU2477" s="54"/>
      <c r="USV2477" s="54"/>
      <c r="USW2477" s="60"/>
      <c r="USX2477" s="60"/>
      <c r="USY2477" s="60"/>
      <c r="USZ2477" s="60"/>
      <c r="UTA2477" s="63"/>
      <c r="UTB2477" s="61"/>
      <c r="UTC2477" s="54"/>
      <c r="UTD2477" s="54"/>
      <c r="UTE2477" s="60"/>
      <c r="UTF2477" s="60"/>
      <c r="UTG2477" s="60"/>
      <c r="UTH2477" s="60"/>
      <c r="UTI2477" s="63"/>
      <c r="UTJ2477" s="61"/>
      <c r="UTK2477" s="54"/>
      <c r="UTL2477" s="54"/>
      <c r="UTM2477" s="60"/>
      <c r="UTN2477" s="60"/>
      <c r="UTO2477" s="60"/>
      <c r="UTP2477" s="60"/>
      <c r="UTQ2477" s="63"/>
      <c r="UTR2477" s="61"/>
      <c r="UTS2477" s="54"/>
      <c r="UTT2477" s="54"/>
      <c r="UTU2477" s="60"/>
      <c r="UTV2477" s="60"/>
      <c r="UTW2477" s="60"/>
      <c r="UTX2477" s="60"/>
      <c r="UTY2477" s="63"/>
      <c r="UTZ2477" s="61"/>
      <c r="UUA2477" s="54"/>
      <c r="UUB2477" s="54"/>
      <c r="UUC2477" s="60"/>
      <c r="UUD2477" s="60"/>
      <c r="UUE2477" s="60"/>
      <c r="UUF2477" s="60"/>
      <c r="UUG2477" s="63"/>
      <c r="UUH2477" s="61"/>
      <c r="UUI2477" s="54"/>
      <c r="UUJ2477" s="54"/>
      <c r="UUK2477" s="60"/>
      <c r="UUL2477" s="60"/>
      <c r="UUM2477" s="60"/>
      <c r="UUN2477" s="60"/>
      <c r="UUO2477" s="63"/>
      <c r="UUP2477" s="61"/>
      <c r="UUQ2477" s="54"/>
      <c r="UUR2477" s="54"/>
      <c r="UUS2477" s="60"/>
      <c r="UUT2477" s="60"/>
      <c r="UUU2477" s="60"/>
      <c r="UUV2477" s="60"/>
      <c r="UUW2477" s="63"/>
      <c r="UUX2477" s="61"/>
      <c r="UUY2477" s="54"/>
      <c r="UUZ2477" s="54"/>
      <c r="UVA2477" s="60"/>
      <c r="UVB2477" s="60"/>
      <c r="UVC2477" s="60"/>
      <c r="UVD2477" s="60"/>
      <c r="UVE2477" s="63"/>
      <c r="UVF2477" s="61"/>
      <c r="UVG2477" s="54"/>
      <c r="UVH2477" s="54"/>
      <c r="UVI2477" s="60"/>
      <c r="UVJ2477" s="60"/>
      <c r="UVK2477" s="60"/>
      <c r="UVL2477" s="60"/>
      <c r="UVM2477" s="63"/>
      <c r="UVN2477" s="61"/>
      <c r="UVO2477" s="54"/>
      <c r="UVP2477" s="54"/>
      <c r="UVQ2477" s="60"/>
      <c r="UVR2477" s="60"/>
      <c r="UVS2477" s="60"/>
      <c r="UVT2477" s="60"/>
      <c r="UVU2477" s="63"/>
      <c r="UVV2477" s="61"/>
      <c r="UVW2477" s="54"/>
      <c r="UVX2477" s="54"/>
      <c r="UVY2477" s="60"/>
      <c r="UVZ2477" s="60"/>
      <c r="UWA2477" s="60"/>
      <c r="UWB2477" s="60"/>
      <c r="UWC2477" s="63"/>
      <c r="UWD2477" s="61"/>
      <c r="UWE2477" s="54"/>
      <c r="UWF2477" s="54"/>
      <c r="UWG2477" s="60"/>
      <c r="UWH2477" s="60"/>
      <c r="UWI2477" s="60"/>
      <c r="UWJ2477" s="60"/>
      <c r="UWK2477" s="63"/>
      <c r="UWL2477" s="61"/>
      <c r="UWM2477" s="54"/>
      <c r="UWN2477" s="54"/>
      <c r="UWO2477" s="60"/>
      <c r="UWP2477" s="60"/>
      <c r="UWQ2477" s="60"/>
      <c r="UWR2477" s="60"/>
      <c r="UWS2477" s="63"/>
      <c r="UWT2477" s="61"/>
      <c r="UWU2477" s="54"/>
      <c r="UWV2477" s="54"/>
      <c r="UWW2477" s="60"/>
      <c r="UWX2477" s="60"/>
      <c r="UWY2477" s="60"/>
      <c r="UWZ2477" s="60"/>
      <c r="UXA2477" s="63"/>
      <c r="UXB2477" s="61"/>
      <c r="UXC2477" s="54"/>
      <c r="UXD2477" s="54"/>
      <c r="UXE2477" s="60"/>
      <c r="UXF2477" s="60"/>
      <c r="UXG2477" s="60"/>
      <c r="UXH2477" s="60"/>
      <c r="UXI2477" s="63"/>
      <c r="UXJ2477" s="61"/>
      <c r="UXK2477" s="54"/>
      <c r="UXL2477" s="54"/>
      <c r="UXM2477" s="60"/>
      <c r="UXN2477" s="60"/>
      <c r="UXO2477" s="60"/>
      <c r="UXP2477" s="60"/>
      <c r="UXQ2477" s="63"/>
      <c r="UXR2477" s="61"/>
      <c r="UXS2477" s="54"/>
      <c r="UXT2477" s="54"/>
      <c r="UXU2477" s="60"/>
      <c r="UXV2477" s="60"/>
      <c r="UXW2477" s="60"/>
      <c r="UXX2477" s="60"/>
      <c r="UXY2477" s="63"/>
      <c r="UXZ2477" s="61"/>
      <c r="UYA2477" s="54"/>
      <c r="UYB2477" s="54"/>
      <c r="UYC2477" s="60"/>
      <c r="UYD2477" s="60"/>
      <c r="UYE2477" s="60"/>
      <c r="UYF2477" s="60"/>
      <c r="UYG2477" s="63"/>
      <c r="UYH2477" s="61"/>
      <c r="UYI2477" s="54"/>
      <c r="UYJ2477" s="54"/>
      <c r="UYK2477" s="60"/>
      <c r="UYL2477" s="60"/>
      <c r="UYM2477" s="60"/>
      <c r="UYN2477" s="60"/>
      <c r="UYO2477" s="63"/>
      <c r="UYP2477" s="61"/>
      <c r="UYQ2477" s="54"/>
      <c r="UYR2477" s="54"/>
      <c r="UYS2477" s="60"/>
      <c r="UYT2477" s="60"/>
      <c r="UYU2477" s="60"/>
      <c r="UYV2477" s="60"/>
      <c r="UYW2477" s="63"/>
      <c r="UYX2477" s="61"/>
      <c r="UYY2477" s="54"/>
      <c r="UYZ2477" s="54"/>
      <c r="UZA2477" s="60"/>
      <c r="UZB2477" s="60"/>
      <c r="UZC2477" s="60"/>
      <c r="UZD2477" s="60"/>
      <c r="UZE2477" s="63"/>
      <c r="UZF2477" s="61"/>
      <c r="UZG2477" s="54"/>
      <c r="UZH2477" s="54"/>
      <c r="UZI2477" s="60"/>
      <c r="UZJ2477" s="60"/>
      <c r="UZK2477" s="60"/>
      <c r="UZL2477" s="60"/>
      <c r="UZM2477" s="63"/>
      <c r="UZN2477" s="61"/>
      <c r="UZO2477" s="54"/>
      <c r="UZP2477" s="54"/>
      <c r="UZQ2477" s="60"/>
      <c r="UZR2477" s="60"/>
      <c r="UZS2477" s="60"/>
      <c r="UZT2477" s="60"/>
      <c r="UZU2477" s="63"/>
      <c r="UZV2477" s="61"/>
      <c r="UZW2477" s="54"/>
      <c r="UZX2477" s="54"/>
      <c r="UZY2477" s="60"/>
      <c r="UZZ2477" s="60"/>
      <c r="VAA2477" s="60"/>
      <c r="VAB2477" s="60"/>
      <c r="VAC2477" s="63"/>
      <c r="VAD2477" s="61"/>
      <c r="VAE2477" s="54"/>
      <c r="VAF2477" s="54"/>
      <c r="VAG2477" s="60"/>
      <c r="VAH2477" s="60"/>
      <c r="VAI2477" s="60"/>
      <c r="VAJ2477" s="60"/>
      <c r="VAK2477" s="63"/>
      <c r="VAL2477" s="61"/>
      <c r="VAM2477" s="54"/>
      <c r="VAN2477" s="54"/>
      <c r="VAO2477" s="60"/>
      <c r="VAP2477" s="60"/>
      <c r="VAQ2477" s="60"/>
      <c r="VAR2477" s="60"/>
      <c r="VAS2477" s="63"/>
      <c r="VAT2477" s="61"/>
      <c r="VAU2477" s="54"/>
      <c r="VAV2477" s="54"/>
      <c r="VAW2477" s="60"/>
      <c r="VAX2477" s="60"/>
      <c r="VAY2477" s="60"/>
      <c r="VAZ2477" s="60"/>
      <c r="VBA2477" s="63"/>
      <c r="VBB2477" s="61"/>
      <c r="VBC2477" s="54"/>
      <c r="VBD2477" s="54"/>
      <c r="VBE2477" s="60"/>
      <c r="VBF2477" s="60"/>
      <c r="VBG2477" s="60"/>
      <c r="VBH2477" s="60"/>
      <c r="VBI2477" s="63"/>
      <c r="VBJ2477" s="61"/>
      <c r="VBK2477" s="54"/>
      <c r="VBL2477" s="54"/>
      <c r="VBM2477" s="60"/>
      <c r="VBN2477" s="60"/>
      <c r="VBO2477" s="60"/>
      <c r="VBP2477" s="60"/>
      <c r="VBQ2477" s="63"/>
      <c r="VBR2477" s="61"/>
      <c r="VBS2477" s="54"/>
      <c r="VBT2477" s="54"/>
      <c r="VBU2477" s="60"/>
      <c r="VBV2477" s="60"/>
      <c r="VBW2477" s="60"/>
      <c r="VBX2477" s="60"/>
      <c r="VBY2477" s="63"/>
      <c r="VBZ2477" s="61"/>
      <c r="VCA2477" s="54"/>
      <c r="VCB2477" s="54"/>
      <c r="VCC2477" s="60"/>
      <c r="VCD2477" s="60"/>
      <c r="VCE2477" s="60"/>
      <c r="VCF2477" s="60"/>
      <c r="VCG2477" s="63"/>
      <c r="VCH2477" s="61"/>
      <c r="VCI2477" s="54"/>
      <c r="VCJ2477" s="54"/>
      <c r="VCK2477" s="60"/>
      <c r="VCL2477" s="60"/>
      <c r="VCM2477" s="60"/>
      <c r="VCN2477" s="60"/>
      <c r="VCO2477" s="63"/>
      <c r="VCP2477" s="61"/>
      <c r="VCQ2477" s="54"/>
      <c r="VCR2477" s="54"/>
      <c r="VCS2477" s="60"/>
      <c r="VCT2477" s="60"/>
      <c r="VCU2477" s="60"/>
      <c r="VCV2477" s="60"/>
      <c r="VCW2477" s="63"/>
      <c r="VCX2477" s="61"/>
      <c r="VCY2477" s="54"/>
      <c r="VCZ2477" s="54"/>
      <c r="VDA2477" s="60"/>
      <c r="VDB2477" s="60"/>
      <c r="VDC2477" s="60"/>
      <c r="VDD2477" s="60"/>
      <c r="VDE2477" s="63"/>
      <c r="VDF2477" s="61"/>
      <c r="VDG2477" s="54"/>
      <c r="VDH2477" s="54"/>
      <c r="VDI2477" s="60"/>
      <c r="VDJ2477" s="60"/>
      <c r="VDK2477" s="60"/>
      <c r="VDL2477" s="60"/>
      <c r="VDM2477" s="63"/>
      <c r="VDN2477" s="61"/>
      <c r="VDO2477" s="54"/>
      <c r="VDP2477" s="54"/>
      <c r="VDQ2477" s="60"/>
      <c r="VDR2477" s="60"/>
      <c r="VDS2477" s="60"/>
      <c r="VDT2477" s="60"/>
      <c r="VDU2477" s="63"/>
      <c r="VDV2477" s="61"/>
      <c r="VDW2477" s="54"/>
      <c r="VDX2477" s="54"/>
      <c r="VDY2477" s="60"/>
      <c r="VDZ2477" s="60"/>
      <c r="VEA2477" s="60"/>
      <c r="VEB2477" s="60"/>
      <c r="VEC2477" s="63"/>
      <c r="VED2477" s="61"/>
      <c r="VEE2477" s="54"/>
      <c r="VEF2477" s="54"/>
      <c r="VEG2477" s="60"/>
      <c r="VEH2477" s="60"/>
      <c r="VEI2477" s="60"/>
      <c r="VEJ2477" s="60"/>
      <c r="VEK2477" s="63"/>
      <c r="VEL2477" s="61"/>
      <c r="VEM2477" s="54"/>
      <c r="VEN2477" s="54"/>
      <c r="VEO2477" s="60"/>
      <c r="VEP2477" s="60"/>
      <c r="VEQ2477" s="60"/>
      <c r="VER2477" s="60"/>
      <c r="VES2477" s="63"/>
      <c r="VET2477" s="61"/>
      <c r="VEU2477" s="54"/>
      <c r="VEV2477" s="54"/>
      <c r="VEW2477" s="60"/>
      <c r="VEX2477" s="60"/>
      <c r="VEY2477" s="60"/>
      <c r="VEZ2477" s="60"/>
      <c r="VFA2477" s="63"/>
      <c r="VFB2477" s="61"/>
      <c r="VFC2477" s="54"/>
      <c r="VFD2477" s="54"/>
      <c r="VFE2477" s="60"/>
      <c r="VFF2477" s="60"/>
      <c r="VFG2477" s="60"/>
      <c r="VFH2477" s="60"/>
      <c r="VFI2477" s="63"/>
      <c r="VFJ2477" s="61"/>
      <c r="VFK2477" s="54"/>
      <c r="VFL2477" s="54"/>
      <c r="VFM2477" s="60"/>
      <c r="VFN2477" s="60"/>
      <c r="VFO2477" s="60"/>
      <c r="VFP2477" s="60"/>
      <c r="VFQ2477" s="63"/>
      <c r="VFR2477" s="61"/>
      <c r="VFS2477" s="54"/>
      <c r="VFT2477" s="54"/>
      <c r="VFU2477" s="60"/>
      <c r="VFV2477" s="60"/>
      <c r="VFW2477" s="60"/>
      <c r="VFX2477" s="60"/>
      <c r="VFY2477" s="63"/>
      <c r="VFZ2477" s="61"/>
      <c r="VGA2477" s="54"/>
      <c r="VGB2477" s="54"/>
      <c r="VGC2477" s="60"/>
      <c r="VGD2477" s="60"/>
      <c r="VGE2477" s="60"/>
      <c r="VGF2477" s="60"/>
      <c r="VGG2477" s="63"/>
      <c r="VGH2477" s="61"/>
      <c r="VGI2477" s="54"/>
      <c r="VGJ2477" s="54"/>
      <c r="VGK2477" s="60"/>
      <c r="VGL2477" s="60"/>
      <c r="VGM2477" s="60"/>
      <c r="VGN2477" s="60"/>
      <c r="VGO2477" s="63"/>
      <c r="VGP2477" s="61"/>
      <c r="VGQ2477" s="54"/>
      <c r="VGR2477" s="54"/>
      <c r="VGS2477" s="60"/>
      <c r="VGT2477" s="60"/>
      <c r="VGU2477" s="60"/>
      <c r="VGV2477" s="60"/>
      <c r="VGW2477" s="63"/>
      <c r="VGX2477" s="61"/>
      <c r="VGY2477" s="54"/>
      <c r="VGZ2477" s="54"/>
      <c r="VHA2477" s="60"/>
      <c r="VHB2477" s="60"/>
      <c r="VHC2477" s="60"/>
      <c r="VHD2477" s="60"/>
      <c r="VHE2477" s="63"/>
      <c r="VHF2477" s="61"/>
      <c r="VHG2477" s="54"/>
      <c r="VHH2477" s="54"/>
      <c r="VHI2477" s="60"/>
      <c r="VHJ2477" s="60"/>
      <c r="VHK2477" s="60"/>
      <c r="VHL2477" s="60"/>
      <c r="VHM2477" s="63"/>
      <c r="VHN2477" s="61"/>
      <c r="VHO2477" s="54"/>
      <c r="VHP2477" s="54"/>
      <c r="VHQ2477" s="60"/>
      <c r="VHR2477" s="60"/>
      <c r="VHS2477" s="60"/>
      <c r="VHT2477" s="60"/>
      <c r="VHU2477" s="63"/>
      <c r="VHV2477" s="61"/>
      <c r="VHW2477" s="54"/>
      <c r="VHX2477" s="54"/>
      <c r="VHY2477" s="60"/>
      <c r="VHZ2477" s="60"/>
      <c r="VIA2477" s="60"/>
      <c r="VIB2477" s="60"/>
      <c r="VIC2477" s="63"/>
      <c r="VID2477" s="61"/>
      <c r="VIE2477" s="54"/>
      <c r="VIF2477" s="54"/>
      <c r="VIG2477" s="60"/>
      <c r="VIH2477" s="60"/>
      <c r="VII2477" s="60"/>
      <c r="VIJ2477" s="60"/>
      <c r="VIK2477" s="63"/>
      <c r="VIL2477" s="61"/>
      <c r="VIM2477" s="54"/>
      <c r="VIN2477" s="54"/>
      <c r="VIO2477" s="60"/>
      <c r="VIP2477" s="60"/>
      <c r="VIQ2477" s="60"/>
      <c r="VIR2477" s="60"/>
      <c r="VIS2477" s="63"/>
      <c r="VIT2477" s="61"/>
      <c r="VIU2477" s="54"/>
      <c r="VIV2477" s="54"/>
      <c r="VIW2477" s="60"/>
      <c r="VIX2477" s="60"/>
      <c r="VIY2477" s="60"/>
      <c r="VIZ2477" s="60"/>
      <c r="VJA2477" s="63"/>
      <c r="VJB2477" s="61"/>
      <c r="VJC2477" s="54"/>
      <c r="VJD2477" s="54"/>
      <c r="VJE2477" s="60"/>
      <c r="VJF2477" s="60"/>
      <c r="VJG2477" s="60"/>
      <c r="VJH2477" s="60"/>
      <c r="VJI2477" s="63"/>
      <c r="VJJ2477" s="61"/>
      <c r="VJK2477" s="54"/>
      <c r="VJL2477" s="54"/>
      <c r="VJM2477" s="60"/>
      <c r="VJN2477" s="60"/>
      <c r="VJO2477" s="60"/>
      <c r="VJP2477" s="60"/>
      <c r="VJQ2477" s="63"/>
      <c r="VJR2477" s="61"/>
      <c r="VJS2477" s="54"/>
      <c r="VJT2477" s="54"/>
      <c r="VJU2477" s="60"/>
      <c r="VJV2477" s="60"/>
      <c r="VJW2477" s="60"/>
      <c r="VJX2477" s="60"/>
      <c r="VJY2477" s="63"/>
      <c r="VJZ2477" s="61"/>
      <c r="VKA2477" s="54"/>
      <c r="VKB2477" s="54"/>
      <c r="VKC2477" s="60"/>
      <c r="VKD2477" s="60"/>
      <c r="VKE2477" s="60"/>
      <c r="VKF2477" s="60"/>
      <c r="VKG2477" s="63"/>
      <c r="VKH2477" s="61"/>
      <c r="VKI2477" s="54"/>
      <c r="VKJ2477" s="54"/>
      <c r="VKK2477" s="60"/>
      <c r="VKL2477" s="60"/>
      <c r="VKM2477" s="60"/>
      <c r="VKN2477" s="60"/>
      <c r="VKO2477" s="63"/>
      <c r="VKP2477" s="61"/>
      <c r="VKQ2477" s="54"/>
      <c r="VKR2477" s="54"/>
      <c r="VKS2477" s="60"/>
      <c r="VKT2477" s="60"/>
      <c r="VKU2477" s="60"/>
      <c r="VKV2477" s="60"/>
      <c r="VKW2477" s="63"/>
      <c r="VKX2477" s="61"/>
      <c r="VKY2477" s="54"/>
      <c r="VKZ2477" s="54"/>
      <c r="VLA2477" s="60"/>
      <c r="VLB2477" s="60"/>
      <c r="VLC2477" s="60"/>
      <c r="VLD2477" s="60"/>
      <c r="VLE2477" s="63"/>
      <c r="VLF2477" s="61"/>
      <c r="VLG2477" s="54"/>
      <c r="VLH2477" s="54"/>
      <c r="VLI2477" s="60"/>
      <c r="VLJ2477" s="60"/>
      <c r="VLK2477" s="60"/>
      <c r="VLL2477" s="60"/>
      <c r="VLM2477" s="63"/>
      <c r="VLN2477" s="61"/>
      <c r="VLO2477" s="54"/>
      <c r="VLP2477" s="54"/>
      <c r="VLQ2477" s="60"/>
      <c r="VLR2477" s="60"/>
      <c r="VLS2477" s="60"/>
      <c r="VLT2477" s="60"/>
      <c r="VLU2477" s="63"/>
      <c r="VLV2477" s="61"/>
      <c r="VLW2477" s="54"/>
      <c r="VLX2477" s="54"/>
      <c r="VLY2477" s="60"/>
      <c r="VLZ2477" s="60"/>
      <c r="VMA2477" s="60"/>
      <c r="VMB2477" s="60"/>
      <c r="VMC2477" s="63"/>
      <c r="VMD2477" s="61"/>
      <c r="VME2477" s="54"/>
      <c r="VMF2477" s="54"/>
      <c r="VMG2477" s="60"/>
      <c r="VMH2477" s="60"/>
      <c r="VMI2477" s="60"/>
      <c r="VMJ2477" s="60"/>
      <c r="VMK2477" s="63"/>
      <c r="VML2477" s="61"/>
      <c r="VMM2477" s="54"/>
      <c r="VMN2477" s="54"/>
      <c r="VMO2477" s="60"/>
      <c r="VMP2477" s="60"/>
      <c r="VMQ2477" s="60"/>
      <c r="VMR2477" s="60"/>
      <c r="VMS2477" s="63"/>
      <c r="VMT2477" s="61"/>
      <c r="VMU2477" s="54"/>
      <c r="VMV2477" s="54"/>
      <c r="VMW2477" s="60"/>
      <c r="VMX2477" s="60"/>
      <c r="VMY2477" s="60"/>
      <c r="VMZ2477" s="60"/>
      <c r="VNA2477" s="63"/>
      <c r="VNB2477" s="61"/>
      <c r="VNC2477" s="54"/>
      <c r="VND2477" s="54"/>
      <c r="VNE2477" s="60"/>
      <c r="VNF2477" s="60"/>
      <c r="VNG2477" s="60"/>
      <c r="VNH2477" s="60"/>
      <c r="VNI2477" s="63"/>
      <c r="VNJ2477" s="61"/>
      <c r="VNK2477" s="54"/>
      <c r="VNL2477" s="54"/>
      <c r="VNM2477" s="60"/>
      <c r="VNN2477" s="60"/>
      <c r="VNO2477" s="60"/>
      <c r="VNP2477" s="60"/>
      <c r="VNQ2477" s="63"/>
      <c r="VNR2477" s="61"/>
      <c r="VNS2477" s="54"/>
      <c r="VNT2477" s="54"/>
      <c r="VNU2477" s="60"/>
      <c r="VNV2477" s="60"/>
      <c r="VNW2477" s="60"/>
      <c r="VNX2477" s="60"/>
      <c r="VNY2477" s="63"/>
      <c r="VNZ2477" s="61"/>
      <c r="VOA2477" s="54"/>
      <c r="VOB2477" s="54"/>
      <c r="VOC2477" s="60"/>
      <c r="VOD2477" s="60"/>
      <c r="VOE2477" s="60"/>
      <c r="VOF2477" s="60"/>
      <c r="VOG2477" s="63"/>
      <c r="VOH2477" s="61"/>
      <c r="VOI2477" s="54"/>
      <c r="VOJ2477" s="54"/>
      <c r="VOK2477" s="60"/>
      <c r="VOL2477" s="60"/>
      <c r="VOM2477" s="60"/>
      <c r="VON2477" s="60"/>
      <c r="VOO2477" s="63"/>
      <c r="VOP2477" s="61"/>
      <c r="VOQ2477" s="54"/>
      <c r="VOR2477" s="54"/>
      <c r="VOS2477" s="60"/>
      <c r="VOT2477" s="60"/>
      <c r="VOU2477" s="60"/>
      <c r="VOV2477" s="60"/>
      <c r="VOW2477" s="63"/>
      <c r="VOX2477" s="61"/>
      <c r="VOY2477" s="54"/>
      <c r="VOZ2477" s="54"/>
      <c r="VPA2477" s="60"/>
      <c r="VPB2477" s="60"/>
      <c r="VPC2477" s="60"/>
      <c r="VPD2477" s="60"/>
      <c r="VPE2477" s="63"/>
      <c r="VPF2477" s="61"/>
      <c r="VPG2477" s="54"/>
      <c r="VPH2477" s="54"/>
      <c r="VPI2477" s="60"/>
      <c r="VPJ2477" s="60"/>
      <c r="VPK2477" s="60"/>
      <c r="VPL2477" s="60"/>
      <c r="VPM2477" s="63"/>
      <c r="VPN2477" s="61"/>
      <c r="VPO2477" s="54"/>
      <c r="VPP2477" s="54"/>
      <c r="VPQ2477" s="60"/>
      <c r="VPR2477" s="60"/>
      <c r="VPS2477" s="60"/>
      <c r="VPT2477" s="60"/>
      <c r="VPU2477" s="63"/>
      <c r="VPV2477" s="61"/>
      <c r="VPW2477" s="54"/>
      <c r="VPX2477" s="54"/>
      <c r="VPY2477" s="60"/>
      <c r="VPZ2477" s="60"/>
      <c r="VQA2477" s="60"/>
      <c r="VQB2477" s="60"/>
      <c r="VQC2477" s="63"/>
      <c r="VQD2477" s="61"/>
      <c r="VQE2477" s="54"/>
      <c r="VQF2477" s="54"/>
      <c r="VQG2477" s="60"/>
      <c r="VQH2477" s="60"/>
      <c r="VQI2477" s="60"/>
      <c r="VQJ2477" s="60"/>
      <c r="VQK2477" s="63"/>
      <c r="VQL2477" s="61"/>
      <c r="VQM2477" s="54"/>
      <c r="VQN2477" s="54"/>
      <c r="VQO2477" s="60"/>
      <c r="VQP2477" s="60"/>
      <c r="VQQ2477" s="60"/>
      <c r="VQR2477" s="60"/>
      <c r="VQS2477" s="63"/>
      <c r="VQT2477" s="61"/>
      <c r="VQU2477" s="54"/>
      <c r="VQV2477" s="54"/>
      <c r="VQW2477" s="60"/>
      <c r="VQX2477" s="60"/>
      <c r="VQY2477" s="60"/>
      <c r="VQZ2477" s="60"/>
      <c r="VRA2477" s="63"/>
      <c r="VRB2477" s="61"/>
      <c r="VRC2477" s="54"/>
      <c r="VRD2477" s="54"/>
      <c r="VRE2477" s="60"/>
      <c r="VRF2477" s="60"/>
      <c r="VRG2477" s="60"/>
      <c r="VRH2477" s="60"/>
      <c r="VRI2477" s="63"/>
      <c r="VRJ2477" s="61"/>
      <c r="VRK2477" s="54"/>
      <c r="VRL2477" s="54"/>
      <c r="VRM2477" s="60"/>
      <c r="VRN2477" s="60"/>
      <c r="VRO2477" s="60"/>
      <c r="VRP2477" s="60"/>
      <c r="VRQ2477" s="63"/>
      <c r="VRR2477" s="61"/>
      <c r="VRS2477" s="54"/>
      <c r="VRT2477" s="54"/>
      <c r="VRU2477" s="60"/>
      <c r="VRV2477" s="60"/>
      <c r="VRW2477" s="60"/>
      <c r="VRX2477" s="60"/>
      <c r="VRY2477" s="63"/>
      <c r="VRZ2477" s="61"/>
      <c r="VSA2477" s="54"/>
      <c r="VSB2477" s="54"/>
      <c r="VSC2477" s="60"/>
      <c r="VSD2477" s="60"/>
      <c r="VSE2477" s="60"/>
      <c r="VSF2477" s="60"/>
      <c r="VSG2477" s="63"/>
      <c r="VSH2477" s="61"/>
      <c r="VSI2477" s="54"/>
      <c r="VSJ2477" s="54"/>
      <c r="VSK2477" s="60"/>
      <c r="VSL2477" s="60"/>
      <c r="VSM2477" s="60"/>
      <c r="VSN2477" s="60"/>
      <c r="VSO2477" s="63"/>
      <c r="VSP2477" s="61"/>
      <c r="VSQ2477" s="54"/>
      <c r="VSR2477" s="54"/>
      <c r="VSS2477" s="60"/>
      <c r="VST2477" s="60"/>
      <c r="VSU2477" s="60"/>
      <c r="VSV2477" s="60"/>
      <c r="VSW2477" s="63"/>
      <c r="VSX2477" s="61"/>
      <c r="VSY2477" s="54"/>
      <c r="VSZ2477" s="54"/>
      <c r="VTA2477" s="60"/>
      <c r="VTB2477" s="60"/>
      <c r="VTC2477" s="60"/>
      <c r="VTD2477" s="60"/>
      <c r="VTE2477" s="63"/>
      <c r="VTF2477" s="61"/>
      <c r="VTG2477" s="54"/>
      <c r="VTH2477" s="54"/>
      <c r="VTI2477" s="60"/>
      <c r="VTJ2477" s="60"/>
      <c r="VTK2477" s="60"/>
      <c r="VTL2477" s="60"/>
      <c r="VTM2477" s="63"/>
      <c r="VTN2477" s="61"/>
      <c r="VTO2477" s="54"/>
      <c r="VTP2477" s="54"/>
      <c r="VTQ2477" s="60"/>
      <c r="VTR2477" s="60"/>
      <c r="VTS2477" s="60"/>
      <c r="VTT2477" s="60"/>
      <c r="VTU2477" s="63"/>
      <c r="VTV2477" s="61"/>
      <c r="VTW2477" s="54"/>
      <c r="VTX2477" s="54"/>
      <c r="VTY2477" s="60"/>
      <c r="VTZ2477" s="60"/>
      <c r="VUA2477" s="60"/>
      <c r="VUB2477" s="60"/>
      <c r="VUC2477" s="63"/>
      <c r="VUD2477" s="61"/>
      <c r="VUE2477" s="54"/>
      <c r="VUF2477" s="54"/>
      <c r="VUG2477" s="60"/>
      <c r="VUH2477" s="60"/>
      <c r="VUI2477" s="60"/>
      <c r="VUJ2477" s="60"/>
      <c r="VUK2477" s="63"/>
      <c r="VUL2477" s="61"/>
      <c r="VUM2477" s="54"/>
      <c r="VUN2477" s="54"/>
      <c r="VUO2477" s="60"/>
      <c r="VUP2477" s="60"/>
      <c r="VUQ2477" s="60"/>
      <c r="VUR2477" s="60"/>
      <c r="VUS2477" s="63"/>
      <c r="VUT2477" s="61"/>
      <c r="VUU2477" s="54"/>
      <c r="VUV2477" s="54"/>
      <c r="VUW2477" s="60"/>
      <c r="VUX2477" s="60"/>
      <c r="VUY2477" s="60"/>
      <c r="VUZ2477" s="60"/>
      <c r="VVA2477" s="63"/>
      <c r="VVB2477" s="61"/>
      <c r="VVC2477" s="54"/>
      <c r="VVD2477" s="54"/>
      <c r="VVE2477" s="60"/>
      <c r="VVF2477" s="60"/>
      <c r="VVG2477" s="60"/>
      <c r="VVH2477" s="60"/>
      <c r="VVI2477" s="63"/>
      <c r="VVJ2477" s="61"/>
      <c r="VVK2477" s="54"/>
      <c r="VVL2477" s="54"/>
      <c r="VVM2477" s="60"/>
      <c r="VVN2477" s="60"/>
      <c r="VVO2477" s="60"/>
      <c r="VVP2477" s="60"/>
      <c r="VVQ2477" s="63"/>
      <c r="VVR2477" s="61"/>
      <c r="VVS2477" s="54"/>
      <c r="VVT2477" s="54"/>
      <c r="VVU2477" s="60"/>
      <c r="VVV2477" s="60"/>
      <c r="VVW2477" s="60"/>
      <c r="VVX2477" s="60"/>
      <c r="VVY2477" s="63"/>
      <c r="VVZ2477" s="61"/>
      <c r="VWA2477" s="54"/>
      <c r="VWB2477" s="54"/>
      <c r="VWC2477" s="60"/>
      <c r="VWD2477" s="60"/>
      <c r="VWE2477" s="60"/>
      <c r="VWF2477" s="60"/>
      <c r="VWG2477" s="63"/>
      <c r="VWH2477" s="61"/>
      <c r="VWI2477" s="54"/>
      <c r="VWJ2477" s="54"/>
      <c r="VWK2477" s="60"/>
      <c r="VWL2477" s="60"/>
      <c r="VWM2477" s="60"/>
      <c r="VWN2477" s="60"/>
      <c r="VWO2477" s="63"/>
      <c r="VWP2477" s="61"/>
      <c r="VWQ2477" s="54"/>
      <c r="VWR2477" s="54"/>
      <c r="VWS2477" s="60"/>
      <c r="VWT2477" s="60"/>
      <c r="VWU2477" s="60"/>
      <c r="VWV2477" s="60"/>
      <c r="VWW2477" s="63"/>
      <c r="VWX2477" s="61"/>
      <c r="VWY2477" s="54"/>
      <c r="VWZ2477" s="54"/>
      <c r="VXA2477" s="60"/>
      <c r="VXB2477" s="60"/>
      <c r="VXC2477" s="60"/>
      <c r="VXD2477" s="60"/>
      <c r="VXE2477" s="63"/>
      <c r="VXF2477" s="61"/>
      <c r="VXG2477" s="54"/>
      <c r="VXH2477" s="54"/>
      <c r="VXI2477" s="60"/>
      <c r="VXJ2477" s="60"/>
      <c r="VXK2477" s="60"/>
      <c r="VXL2477" s="60"/>
      <c r="VXM2477" s="63"/>
      <c r="VXN2477" s="61"/>
      <c r="VXO2477" s="54"/>
      <c r="VXP2477" s="54"/>
      <c r="VXQ2477" s="60"/>
      <c r="VXR2477" s="60"/>
      <c r="VXS2477" s="60"/>
      <c r="VXT2477" s="60"/>
      <c r="VXU2477" s="63"/>
      <c r="VXV2477" s="61"/>
      <c r="VXW2477" s="54"/>
      <c r="VXX2477" s="54"/>
      <c r="VXY2477" s="60"/>
      <c r="VXZ2477" s="60"/>
      <c r="VYA2477" s="60"/>
      <c r="VYB2477" s="60"/>
      <c r="VYC2477" s="63"/>
      <c r="VYD2477" s="61"/>
      <c r="VYE2477" s="54"/>
      <c r="VYF2477" s="54"/>
      <c r="VYG2477" s="60"/>
      <c r="VYH2477" s="60"/>
      <c r="VYI2477" s="60"/>
      <c r="VYJ2477" s="60"/>
      <c r="VYK2477" s="63"/>
      <c r="VYL2477" s="61"/>
      <c r="VYM2477" s="54"/>
      <c r="VYN2477" s="54"/>
      <c r="VYO2477" s="60"/>
      <c r="VYP2477" s="60"/>
      <c r="VYQ2477" s="60"/>
      <c r="VYR2477" s="60"/>
      <c r="VYS2477" s="63"/>
      <c r="VYT2477" s="61"/>
      <c r="VYU2477" s="54"/>
      <c r="VYV2477" s="54"/>
      <c r="VYW2477" s="60"/>
      <c r="VYX2477" s="60"/>
      <c r="VYY2477" s="60"/>
      <c r="VYZ2477" s="60"/>
      <c r="VZA2477" s="63"/>
      <c r="VZB2477" s="61"/>
      <c r="VZC2477" s="54"/>
      <c r="VZD2477" s="54"/>
      <c r="VZE2477" s="60"/>
      <c r="VZF2477" s="60"/>
      <c r="VZG2477" s="60"/>
      <c r="VZH2477" s="60"/>
      <c r="VZI2477" s="63"/>
      <c r="VZJ2477" s="61"/>
      <c r="VZK2477" s="54"/>
      <c r="VZL2477" s="54"/>
      <c r="VZM2477" s="60"/>
      <c r="VZN2477" s="60"/>
      <c r="VZO2477" s="60"/>
      <c r="VZP2477" s="60"/>
      <c r="VZQ2477" s="63"/>
      <c r="VZR2477" s="61"/>
      <c r="VZS2477" s="54"/>
      <c r="VZT2477" s="54"/>
      <c r="VZU2477" s="60"/>
      <c r="VZV2477" s="60"/>
      <c r="VZW2477" s="60"/>
      <c r="VZX2477" s="60"/>
      <c r="VZY2477" s="63"/>
      <c r="VZZ2477" s="61"/>
      <c r="WAA2477" s="54"/>
      <c r="WAB2477" s="54"/>
      <c r="WAC2477" s="60"/>
      <c r="WAD2477" s="60"/>
      <c r="WAE2477" s="60"/>
      <c r="WAF2477" s="60"/>
      <c r="WAG2477" s="63"/>
      <c r="WAH2477" s="61"/>
      <c r="WAI2477" s="54"/>
      <c r="WAJ2477" s="54"/>
      <c r="WAK2477" s="60"/>
      <c r="WAL2477" s="60"/>
      <c r="WAM2477" s="60"/>
      <c r="WAN2477" s="60"/>
      <c r="WAO2477" s="63"/>
      <c r="WAP2477" s="61"/>
      <c r="WAQ2477" s="54"/>
      <c r="WAR2477" s="54"/>
      <c r="WAS2477" s="60"/>
      <c r="WAT2477" s="60"/>
      <c r="WAU2477" s="60"/>
      <c r="WAV2477" s="60"/>
      <c r="WAW2477" s="63"/>
      <c r="WAX2477" s="61"/>
      <c r="WAY2477" s="54"/>
      <c r="WAZ2477" s="54"/>
      <c r="WBA2477" s="60"/>
      <c r="WBB2477" s="60"/>
      <c r="WBC2477" s="60"/>
      <c r="WBD2477" s="60"/>
      <c r="WBE2477" s="63"/>
      <c r="WBF2477" s="61"/>
      <c r="WBG2477" s="54"/>
      <c r="WBH2477" s="54"/>
      <c r="WBI2477" s="60"/>
      <c r="WBJ2477" s="60"/>
      <c r="WBK2477" s="60"/>
      <c r="WBL2477" s="60"/>
      <c r="WBM2477" s="63"/>
      <c r="WBN2477" s="61"/>
      <c r="WBO2477" s="54"/>
      <c r="WBP2477" s="54"/>
      <c r="WBQ2477" s="60"/>
      <c r="WBR2477" s="60"/>
      <c r="WBS2477" s="60"/>
      <c r="WBT2477" s="60"/>
      <c r="WBU2477" s="63"/>
      <c r="WBV2477" s="61"/>
      <c r="WBW2477" s="54"/>
      <c r="WBX2477" s="54"/>
      <c r="WBY2477" s="60"/>
      <c r="WBZ2477" s="60"/>
      <c r="WCA2477" s="60"/>
      <c r="WCB2477" s="60"/>
      <c r="WCC2477" s="63"/>
      <c r="WCD2477" s="61"/>
      <c r="WCE2477" s="54"/>
      <c r="WCF2477" s="54"/>
      <c r="WCG2477" s="60"/>
      <c r="WCH2477" s="60"/>
      <c r="WCI2477" s="60"/>
      <c r="WCJ2477" s="60"/>
      <c r="WCK2477" s="63"/>
      <c r="WCL2477" s="61"/>
      <c r="WCM2477" s="54"/>
      <c r="WCN2477" s="54"/>
      <c r="WCO2477" s="60"/>
      <c r="WCP2477" s="60"/>
      <c r="WCQ2477" s="60"/>
      <c r="WCR2477" s="60"/>
      <c r="WCS2477" s="63"/>
      <c r="WCT2477" s="61"/>
      <c r="WCU2477" s="54"/>
      <c r="WCV2477" s="54"/>
      <c r="WCW2477" s="60"/>
      <c r="WCX2477" s="60"/>
      <c r="WCY2477" s="60"/>
      <c r="WCZ2477" s="60"/>
      <c r="WDA2477" s="63"/>
      <c r="WDB2477" s="61"/>
      <c r="WDC2477" s="54"/>
      <c r="WDD2477" s="54"/>
      <c r="WDE2477" s="60"/>
      <c r="WDF2477" s="60"/>
      <c r="WDG2477" s="60"/>
      <c r="WDH2477" s="60"/>
      <c r="WDI2477" s="63"/>
      <c r="WDJ2477" s="61"/>
      <c r="WDK2477" s="54"/>
      <c r="WDL2477" s="54"/>
      <c r="WDM2477" s="60"/>
      <c r="WDN2477" s="60"/>
      <c r="WDO2477" s="60"/>
      <c r="WDP2477" s="60"/>
      <c r="WDQ2477" s="63"/>
      <c r="WDR2477" s="61"/>
      <c r="WDS2477" s="54"/>
      <c r="WDT2477" s="54"/>
      <c r="WDU2477" s="60"/>
      <c r="WDV2477" s="60"/>
      <c r="WDW2477" s="60"/>
      <c r="WDX2477" s="60"/>
      <c r="WDY2477" s="63"/>
      <c r="WDZ2477" s="61"/>
      <c r="WEA2477" s="54"/>
      <c r="WEB2477" s="54"/>
      <c r="WEC2477" s="60"/>
      <c r="WED2477" s="60"/>
      <c r="WEE2477" s="60"/>
      <c r="WEF2477" s="60"/>
      <c r="WEG2477" s="63"/>
      <c r="WEH2477" s="61"/>
      <c r="WEI2477" s="54"/>
      <c r="WEJ2477" s="54"/>
      <c r="WEK2477" s="60"/>
      <c r="WEL2477" s="60"/>
      <c r="WEM2477" s="60"/>
      <c r="WEN2477" s="60"/>
      <c r="WEO2477" s="63"/>
      <c r="WEP2477" s="61"/>
      <c r="WEQ2477" s="54"/>
      <c r="WER2477" s="54"/>
      <c r="WES2477" s="60"/>
      <c r="WET2477" s="60"/>
      <c r="WEU2477" s="60"/>
      <c r="WEV2477" s="60"/>
      <c r="WEW2477" s="63"/>
      <c r="WEX2477" s="61"/>
      <c r="WEY2477" s="54"/>
      <c r="WEZ2477" s="54"/>
      <c r="WFA2477" s="60"/>
      <c r="WFB2477" s="60"/>
      <c r="WFC2477" s="60"/>
      <c r="WFD2477" s="60"/>
      <c r="WFE2477" s="63"/>
      <c r="WFF2477" s="61"/>
      <c r="WFG2477" s="54"/>
      <c r="WFH2477" s="54"/>
      <c r="WFI2477" s="60"/>
      <c r="WFJ2477" s="60"/>
      <c r="WFK2477" s="60"/>
      <c r="WFL2477" s="60"/>
      <c r="WFM2477" s="63"/>
      <c r="WFN2477" s="61"/>
      <c r="WFO2477" s="54"/>
      <c r="WFP2477" s="54"/>
      <c r="WFQ2477" s="60"/>
      <c r="WFR2477" s="60"/>
      <c r="WFS2477" s="60"/>
      <c r="WFT2477" s="60"/>
      <c r="WFU2477" s="63"/>
      <c r="WFV2477" s="61"/>
      <c r="WFW2477" s="54"/>
      <c r="WFX2477" s="54"/>
      <c r="WFY2477" s="60"/>
      <c r="WFZ2477" s="60"/>
      <c r="WGA2477" s="60"/>
      <c r="WGB2477" s="60"/>
      <c r="WGC2477" s="63"/>
      <c r="WGD2477" s="61"/>
      <c r="WGE2477" s="54"/>
      <c r="WGF2477" s="54"/>
      <c r="WGG2477" s="60"/>
      <c r="WGH2477" s="60"/>
      <c r="WGI2477" s="60"/>
      <c r="WGJ2477" s="60"/>
      <c r="WGK2477" s="63"/>
      <c r="WGL2477" s="61"/>
      <c r="WGM2477" s="54"/>
      <c r="WGN2477" s="54"/>
      <c r="WGO2477" s="60"/>
      <c r="WGP2477" s="60"/>
      <c r="WGQ2477" s="60"/>
      <c r="WGR2477" s="60"/>
      <c r="WGS2477" s="63"/>
      <c r="WGT2477" s="61"/>
      <c r="WGU2477" s="54"/>
      <c r="WGV2477" s="54"/>
      <c r="WGW2477" s="60"/>
      <c r="WGX2477" s="60"/>
      <c r="WGY2477" s="60"/>
      <c r="WGZ2477" s="60"/>
      <c r="WHA2477" s="63"/>
      <c r="WHB2477" s="61"/>
      <c r="WHC2477" s="54"/>
      <c r="WHD2477" s="54"/>
      <c r="WHE2477" s="60"/>
      <c r="WHF2477" s="60"/>
      <c r="WHG2477" s="60"/>
      <c r="WHH2477" s="60"/>
      <c r="WHI2477" s="63"/>
      <c r="WHJ2477" s="61"/>
      <c r="WHK2477" s="54"/>
      <c r="WHL2477" s="54"/>
      <c r="WHM2477" s="60"/>
      <c r="WHN2477" s="60"/>
      <c r="WHO2477" s="60"/>
      <c r="WHP2477" s="60"/>
      <c r="WHQ2477" s="63"/>
      <c r="WHR2477" s="61"/>
      <c r="WHS2477" s="54"/>
      <c r="WHT2477" s="54"/>
      <c r="WHU2477" s="60"/>
      <c r="WHV2477" s="60"/>
      <c r="WHW2477" s="60"/>
      <c r="WHX2477" s="60"/>
      <c r="WHY2477" s="63"/>
      <c r="WHZ2477" s="61"/>
      <c r="WIA2477" s="54"/>
      <c r="WIB2477" s="54"/>
      <c r="WIC2477" s="60"/>
      <c r="WID2477" s="60"/>
      <c r="WIE2477" s="60"/>
      <c r="WIF2477" s="60"/>
      <c r="WIG2477" s="63"/>
      <c r="WIH2477" s="61"/>
      <c r="WII2477" s="54"/>
      <c r="WIJ2477" s="54"/>
      <c r="WIK2477" s="60"/>
      <c r="WIL2477" s="60"/>
      <c r="WIM2477" s="60"/>
      <c r="WIN2477" s="60"/>
      <c r="WIO2477" s="63"/>
      <c r="WIP2477" s="61"/>
      <c r="WIQ2477" s="54"/>
      <c r="WIR2477" s="54"/>
      <c r="WIS2477" s="60"/>
      <c r="WIT2477" s="60"/>
      <c r="WIU2477" s="60"/>
      <c r="WIV2477" s="60"/>
      <c r="WIW2477" s="63"/>
      <c r="WIX2477" s="61"/>
      <c r="WIY2477" s="54"/>
      <c r="WIZ2477" s="54"/>
      <c r="WJA2477" s="60"/>
      <c r="WJB2477" s="60"/>
      <c r="WJC2477" s="60"/>
      <c r="WJD2477" s="60"/>
      <c r="WJE2477" s="63"/>
      <c r="WJF2477" s="61"/>
      <c r="WJG2477" s="54"/>
      <c r="WJH2477" s="54"/>
      <c r="WJI2477" s="60"/>
      <c r="WJJ2477" s="60"/>
      <c r="WJK2477" s="60"/>
      <c r="WJL2477" s="60"/>
      <c r="WJM2477" s="63"/>
      <c r="WJN2477" s="61"/>
      <c r="WJO2477" s="54"/>
      <c r="WJP2477" s="54"/>
      <c r="WJQ2477" s="60"/>
      <c r="WJR2477" s="60"/>
      <c r="WJS2477" s="60"/>
      <c r="WJT2477" s="60"/>
      <c r="WJU2477" s="63"/>
      <c r="WJV2477" s="61"/>
      <c r="WJW2477" s="54"/>
      <c r="WJX2477" s="54"/>
      <c r="WJY2477" s="60"/>
      <c r="WJZ2477" s="60"/>
      <c r="WKA2477" s="60"/>
      <c r="WKB2477" s="60"/>
      <c r="WKC2477" s="63"/>
      <c r="WKD2477" s="61"/>
      <c r="WKE2477" s="54"/>
      <c r="WKF2477" s="54"/>
      <c r="WKG2477" s="60"/>
      <c r="WKH2477" s="60"/>
      <c r="WKI2477" s="60"/>
      <c r="WKJ2477" s="60"/>
      <c r="WKK2477" s="63"/>
      <c r="WKL2477" s="61"/>
      <c r="WKM2477" s="54"/>
      <c r="WKN2477" s="54"/>
      <c r="WKO2477" s="60"/>
      <c r="WKP2477" s="60"/>
      <c r="WKQ2477" s="60"/>
      <c r="WKR2477" s="60"/>
      <c r="WKS2477" s="63"/>
      <c r="WKT2477" s="61"/>
      <c r="WKU2477" s="54"/>
      <c r="WKV2477" s="54"/>
      <c r="WKW2477" s="60"/>
      <c r="WKX2477" s="60"/>
      <c r="WKY2477" s="60"/>
      <c r="WKZ2477" s="60"/>
      <c r="WLA2477" s="63"/>
      <c r="WLB2477" s="61"/>
      <c r="WLC2477" s="54"/>
      <c r="WLD2477" s="54"/>
      <c r="WLE2477" s="60"/>
      <c r="WLF2477" s="60"/>
      <c r="WLG2477" s="60"/>
      <c r="WLH2477" s="60"/>
      <c r="WLI2477" s="63"/>
      <c r="WLJ2477" s="61"/>
      <c r="WLK2477" s="54"/>
      <c r="WLL2477" s="54"/>
      <c r="WLM2477" s="60"/>
      <c r="WLN2477" s="60"/>
      <c r="WLO2477" s="60"/>
      <c r="WLP2477" s="60"/>
      <c r="WLQ2477" s="63"/>
      <c r="WLR2477" s="61"/>
      <c r="WLS2477" s="54"/>
      <c r="WLT2477" s="54"/>
      <c r="WLU2477" s="60"/>
      <c r="WLV2477" s="60"/>
      <c r="WLW2477" s="60"/>
      <c r="WLX2477" s="60"/>
      <c r="WLY2477" s="63"/>
      <c r="WLZ2477" s="61"/>
      <c r="WMA2477" s="54"/>
      <c r="WMB2477" s="54"/>
      <c r="WMC2477" s="60"/>
      <c r="WMD2477" s="60"/>
      <c r="WME2477" s="60"/>
      <c r="WMF2477" s="60"/>
      <c r="WMG2477" s="63"/>
      <c r="WMH2477" s="61"/>
      <c r="WMI2477" s="54"/>
      <c r="WMJ2477" s="54"/>
      <c r="WMK2477" s="60"/>
      <c r="WML2477" s="60"/>
      <c r="WMM2477" s="60"/>
      <c r="WMN2477" s="60"/>
      <c r="WMO2477" s="63"/>
      <c r="WMP2477" s="61"/>
      <c r="WMQ2477" s="54"/>
      <c r="WMR2477" s="54"/>
      <c r="WMS2477" s="60"/>
      <c r="WMT2477" s="60"/>
      <c r="WMU2477" s="60"/>
      <c r="WMV2477" s="60"/>
      <c r="WMW2477" s="63"/>
      <c r="WMX2477" s="61"/>
      <c r="WMY2477" s="54"/>
      <c r="WMZ2477" s="54"/>
      <c r="WNA2477" s="60"/>
      <c r="WNB2477" s="60"/>
      <c r="WNC2477" s="60"/>
      <c r="WND2477" s="60"/>
      <c r="WNE2477" s="63"/>
      <c r="WNF2477" s="61"/>
      <c r="WNG2477" s="54"/>
      <c r="WNH2477" s="54"/>
      <c r="WNI2477" s="60"/>
      <c r="WNJ2477" s="60"/>
      <c r="WNK2477" s="60"/>
      <c r="WNL2477" s="60"/>
      <c r="WNM2477" s="63"/>
      <c r="WNN2477" s="61"/>
      <c r="WNO2477" s="54"/>
      <c r="WNP2477" s="54"/>
      <c r="WNQ2477" s="60"/>
      <c r="WNR2477" s="60"/>
      <c r="WNS2477" s="60"/>
      <c r="WNT2477" s="60"/>
      <c r="WNU2477" s="63"/>
      <c r="WNV2477" s="61"/>
      <c r="WNW2477" s="54"/>
      <c r="WNX2477" s="54"/>
      <c r="WNY2477" s="60"/>
      <c r="WNZ2477" s="60"/>
      <c r="WOA2477" s="60"/>
      <c r="WOB2477" s="60"/>
      <c r="WOC2477" s="63"/>
      <c r="WOD2477" s="61"/>
      <c r="WOE2477" s="54"/>
      <c r="WOF2477" s="54"/>
      <c r="WOG2477" s="60"/>
      <c r="WOH2477" s="60"/>
      <c r="WOI2477" s="60"/>
      <c r="WOJ2477" s="60"/>
      <c r="WOK2477" s="63"/>
      <c r="WOL2477" s="61"/>
      <c r="WOM2477" s="54"/>
      <c r="WON2477" s="54"/>
      <c r="WOO2477" s="60"/>
      <c r="WOP2477" s="60"/>
      <c r="WOQ2477" s="60"/>
      <c r="WOR2477" s="60"/>
      <c r="WOS2477" s="63"/>
      <c r="WOT2477" s="61"/>
      <c r="WOU2477" s="54"/>
      <c r="WOV2477" s="54"/>
      <c r="WOW2477" s="60"/>
      <c r="WOX2477" s="60"/>
      <c r="WOY2477" s="60"/>
      <c r="WOZ2477" s="60"/>
      <c r="WPA2477" s="63"/>
      <c r="WPB2477" s="61"/>
      <c r="WPC2477" s="54"/>
      <c r="WPD2477" s="54"/>
      <c r="WPE2477" s="60"/>
      <c r="WPF2477" s="60"/>
      <c r="WPG2477" s="60"/>
      <c r="WPH2477" s="60"/>
      <c r="WPI2477" s="63"/>
      <c r="WPJ2477" s="61"/>
      <c r="WPK2477" s="54"/>
      <c r="WPL2477" s="54"/>
      <c r="WPM2477" s="60"/>
      <c r="WPN2477" s="60"/>
      <c r="WPO2477" s="60"/>
      <c r="WPP2477" s="60"/>
      <c r="WPQ2477" s="63"/>
      <c r="WPR2477" s="61"/>
      <c r="WPS2477" s="54"/>
      <c r="WPT2477" s="54"/>
      <c r="WPU2477" s="60"/>
      <c r="WPV2477" s="60"/>
      <c r="WPW2477" s="60"/>
      <c r="WPX2477" s="60"/>
      <c r="WPY2477" s="63"/>
      <c r="WPZ2477" s="61"/>
      <c r="WQA2477" s="54"/>
      <c r="WQB2477" s="54"/>
      <c r="WQC2477" s="60"/>
      <c r="WQD2477" s="60"/>
      <c r="WQE2477" s="60"/>
      <c r="WQF2477" s="60"/>
      <c r="WQG2477" s="63"/>
      <c r="WQH2477" s="61"/>
      <c r="WQI2477" s="54"/>
      <c r="WQJ2477" s="54"/>
      <c r="WQK2477" s="60"/>
      <c r="WQL2477" s="60"/>
      <c r="WQM2477" s="60"/>
      <c r="WQN2477" s="60"/>
      <c r="WQO2477" s="63"/>
      <c r="WQP2477" s="61"/>
      <c r="WQQ2477" s="54"/>
      <c r="WQR2477" s="54"/>
      <c r="WQS2477" s="60"/>
      <c r="WQT2477" s="60"/>
      <c r="WQU2477" s="60"/>
      <c r="WQV2477" s="60"/>
      <c r="WQW2477" s="63"/>
      <c r="WQX2477" s="61"/>
      <c r="WQY2477" s="54"/>
      <c r="WQZ2477" s="54"/>
      <c r="WRA2477" s="60"/>
      <c r="WRB2477" s="60"/>
      <c r="WRC2477" s="60"/>
      <c r="WRD2477" s="60"/>
      <c r="WRE2477" s="63"/>
      <c r="WRF2477" s="61"/>
      <c r="WRG2477" s="54"/>
      <c r="WRH2477" s="54"/>
      <c r="WRI2477" s="60"/>
      <c r="WRJ2477" s="60"/>
      <c r="WRK2477" s="60"/>
      <c r="WRL2477" s="60"/>
      <c r="WRM2477" s="63"/>
      <c r="WRN2477" s="61"/>
      <c r="WRO2477" s="54"/>
      <c r="WRP2477" s="54"/>
      <c r="WRQ2477" s="60"/>
      <c r="WRR2477" s="60"/>
      <c r="WRS2477" s="60"/>
      <c r="WRT2477" s="60"/>
      <c r="WRU2477" s="63"/>
      <c r="WRV2477" s="61"/>
      <c r="WRW2477" s="54"/>
      <c r="WRX2477" s="54"/>
      <c r="WRY2477" s="60"/>
      <c r="WRZ2477" s="60"/>
      <c r="WSA2477" s="60"/>
      <c r="WSB2477" s="60"/>
      <c r="WSC2477" s="63"/>
      <c r="WSD2477" s="61"/>
      <c r="WSE2477" s="54"/>
      <c r="WSF2477" s="54"/>
      <c r="WSG2477" s="60"/>
      <c r="WSH2477" s="60"/>
      <c r="WSI2477" s="60"/>
      <c r="WSJ2477" s="60"/>
      <c r="WSK2477" s="63"/>
      <c r="WSL2477" s="61"/>
      <c r="WSM2477" s="54"/>
      <c r="WSN2477" s="54"/>
      <c r="WSO2477" s="60"/>
      <c r="WSP2477" s="60"/>
      <c r="WSQ2477" s="60"/>
      <c r="WSR2477" s="60"/>
      <c r="WSS2477" s="63"/>
      <c r="WST2477" s="61"/>
      <c r="WSU2477" s="54"/>
      <c r="WSV2477" s="54"/>
      <c r="WSW2477" s="60"/>
      <c r="WSX2477" s="60"/>
      <c r="WSY2477" s="60"/>
      <c r="WSZ2477" s="60"/>
      <c r="WTA2477" s="63"/>
      <c r="WTB2477" s="61"/>
      <c r="WTC2477" s="54"/>
      <c r="WTD2477" s="54"/>
      <c r="WTE2477" s="60"/>
      <c r="WTF2477" s="60"/>
      <c r="WTG2477" s="60"/>
      <c r="WTH2477" s="60"/>
      <c r="WTI2477" s="63"/>
      <c r="WTJ2477" s="61"/>
      <c r="WTK2477" s="54"/>
      <c r="WTL2477" s="54"/>
      <c r="WTM2477" s="60"/>
      <c r="WTN2477" s="60"/>
      <c r="WTO2477" s="60"/>
      <c r="WTP2477" s="60"/>
      <c r="WTQ2477" s="63"/>
      <c r="WTR2477" s="61"/>
      <c r="WTS2477" s="54"/>
      <c r="WTT2477" s="54"/>
      <c r="WTU2477" s="60"/>
      <c r="WTV2477" s="60"/>
      <c r="WTW2477" s="60"/>
      <c r="WTX2477" s="60"/>
      <c r="WTY2477" s="63"/>
      <c r="WTZ2477" s="61"/>
      <c r="WUA2477" s="54"/>
      <c r="WUB2477" s="54"/>
      <c r="WUC2477" s="60"/>
      <c r="WUD2477" s="60"/>
      <c r="WUE2477" s="60"/>
      <c r="WUF2477" s="60"/>
      <c r="WUG2477" s="63"/>
      <c r="WUH2477" s="61"/>
      <c r="WUI2477" s="54"/>
      <c r="WUJ2477" s="54"/>
      <c r="WUK2477" s="60"/>
      <c r="WUL2477" s="60"/>
      <c r="WUM2477" s="60"/>
      <c r="WUN2477" s="60"/>
      <c r="WUO2477" s="63"/>
      <c r="WUP2477" s="61"/>
      <c r="WUQ2477" s="54"/>
      <c r="WUR2477" s="54"/>
      <c r="WUS2477" s="60"/>
      <c r="WUT2477" s="60"/>
      <c r="WUU2477" s="60"/>
      <c r="WUV2477" s="60"/>
      <c r="WUW2477" s="63"/>
      <c r="WUX2477" s="61"/>
      <c r="WUY2477" s="54"/>
      <c r="WUZ2477" s="54"/>
      <c r="WVA2477" s="60"/>
      <c r="WVB2477" s="60"/>
      <c r="WVC2477" s="60"/>
      <c r="WVD2477" s="60"/>
      <c r="WVE2477" s="63"/>
      <c r="WVF2477" s="61"/>
      <c r="WVG2477" s="54"/>
      <c r="WVH2477" s="54"/>
      <c r="WVI2477" s="60"/>
      <c r="WVJ2477" s="60"/>
      <c r="WVK2477" s="60"/>
      <c r="WVL2477" s="60"/>
      <c r="WVM2477" s="63"/>
      <c r="WVN2477" s="61"/>
      <c r="WVO2477" s="54"/>
      <c r="WVP2477" s="54"/>
      <c r="WVQ2477" s="60"/>
      <c r="WVR2477" s="60"/>
      <c r="WVS2477" s="60"/>
      <c r="WVT2477" s="60"/>
      <c r="WVU2477" s="63"/>
      <c r="WVV2477" s="61"/>
      <c r="WVW2477" s="54"/>
      <c r="WVX2477" s="54"/>
      <c r="WVY2477" s="60"/>
      <c r="WVZ2477" s="60"/>
      <c r="WWA2477" s="60"/>
      <c r="WWB2477" s="60"/>
      <c r="WWC2477" s="63"/>
      <c r="WWD2477" s="61"/>
      <c r="WWE2477" s="54"/>
      <c r="WWF2477" s="54"/>
      <c r="WWG2477" s="60"/>
      <c r="WWH2477" s="60"/>
      <c r="WWI2477" s="60"/>
      <c r="WWJ2477" s="60"/>
      <c r="WWK2477" s="63"/>
      <c r="WWL2477" s="61"/>
      <c r="WWM2477" s="54"/>
      <c r="WWN2477" s="54"/>
      <c r="WWO2477" s="60"/>
      <c r="WWP2477" s="60"/>
      <c r="WWQ2477" s="60"/>
      <c r="WWR2477" s="60"/>
      <c r="WWS2477" s="63"/>
      <c r="WWT2477" s="61"/>
      <c r="WWU2477" s="54"/>
      <c r="WWV2477" s="54"/>
      <c r="WWW2477" s="60"/>
      <c r="WWX2477" s="60"/>
      <c r="WWY2477" s="60"/>
      <c r="WWZ2477" s="60"/>
      <c r="WXA2477" s="63"/>
      <c r="WXB2477" s="61"/>
      <c r="WXC2477" s="54"/>
      <c r="WXD2477" s="54"/>
      <c r="WXE2477" s="60"/>
      <c r="WXF2477" s="60"/>
      <c r="WXG2477" s="60"/>
      <c r="WXH2477" s="60"/>
      <c r="WXI2477" s="63"/>
      <c r="WXJ2477" s="61"/>
      <c r="WXK2477" s="54"/>
      <c r="WXL2477" s="54"/>
      <c r="WXM2477" s="60"/>
      <c r="WXN2477" s="60"/>
      <c r="WXO2477" s="60"/>
      <c r="WXP2477" s="60"/>
      <c r="WXQ2477" s="63"/>
      <c r="WXR2477" s="61"/>
      <c r="WXS2477" s="54"/>
      <c r="WXT2477" s="54"/>
      <c r="WXU2477" s="60"/>
      <c r="WXV2477" s="60"/>
      <c r="WXW2477" s="60"/>
      <c r="WXX2477" s="60"/>
      <c r="WXY2477" s="63"/>
      <c r="WXZ2477" s="61"/>
      <c r="WYA2477" s="54"/>
      <c r="WYB2477" s="54"/>
      <c r="WYC2477" s="60"/>
      <c r="WYD2477" s="60"/>
      <c r="WYE2477" s="60"/>
      <c r="WYF2477" s="60"/>
      <c r="WYG2477" s="63"/>
      <c r="WYH2477" s="61"/>
      <c r="WYI2477" s="54"/>
      <c r="WYJ2477" s="54"/>
      <c r="WYK2477" s="60"/>
      <c r="WYL2477" s="60"/>
      <c r="WYM2477" s="60"/>
      <c r="WYN2477" s="60"/>
      <c r="WYO2477" s="63"/>
      <c r="WYP2477" s="61"/>
      <c r="WYQ2477" s="54"/>
      <c r="WYR2477" s="54"/>
      <c r="WYS2477" s="60"/>
      <c r="WYT2477" s="60"/>
      <c r="WYU2477" s="60"/>
      <c r="WYV2477" s="60"/>
      <c r="WYW2477" s="63"/>
      <c r="WYX2477" s="61"/>
      <c r="WYY2477" s="54"/>
      <c r="WYZ2477" s="54"/>
      <c r="WZA2477" s="60"/>
      <c r="WZB2477" s="60"/>
      <c r="WZC2477" s="60"/>
      <c r="WZD2477" s="60"/>
      <c r="WZE2477" s="63"/>
      <c r="WZF2477" s="61"/>
      <c r="WZG2477" s="54"/>
      <c r="WZH2477" s="54"/>
      <c r="WZI2477" s="60"/>
      <c r="WZJ2477" s="60"/>
      <c r="WZK2477" s="60"/>
      <c r="WZL2477" s="60"/>
      <c r="WZM2477" s="63"/>
      <c r="WZN2477" s="61"/>
      <c r="WZO2477" s="54"/>
      <c r="WZP2477" s="54"/>
      <c r="WZQ2477" s="60"/>
      <c r="WZR2477" s="60"/>
      <c r="WZS2477" s="60"/>
      <c r="WZT2477" s="60"/>
      <c r="WZU2477" s="63"/>
      <c r="WZV2477" s="61"/>
      <c r="WZW2477" s="54"/>
      <c r="WZX2477" s="54"/>
      <c r="WZY2477" s="60"/>
      <c r="WZZ2477" s="60"/>
      <c r="XAA2477" s="60"/>
      <c r="XAB2477" s="60"/>
      <c r="XAC2477" s="63"/>
      <c r="XAD2477" s="61"/>
      <c r="XAE2477" s="54"/>
      <c r="XAF2477" s="54"/>
      <c r="XAG2477" s="60"/>
      <c r="XAH2477" s="60"/>
      <c r="XAI2477" s="60"/>
      <c r="XAJ2477" s="60"/>
      <c r="XAK2477" s="63"/>
      <c r="XAL2477" s="61"/>
      <c r="XAM2477" s="54"/>
      <c r="XAN2477" s="54"/>
      <c r="XAO2477" s="60"/>
      <c r="XAP2477" s="60"/>
      <c r="XAQ2477" s="60"/>
      <c r="XAR2477" s="60"/>
      <c r="XAS2477" s="63"/>
      <c r="XAT2477" s="61"/>
      <c r="XAU2477" s="54"/>
      <c r="XAV2477" s="54"/>
      <c r="XAW2477" s="60"/>
      <c r="XAX2477" s="60"/>
      <c r="XAY2477" s="60"/>
      <c r="XAZ2477" s="60"/>
      <c r="XBA2477" s="63"/>
      <c r="XBB2477" s="61"/>
      <c r="XBC2477" s="54"/>
      <c r="XBD2477" s="54"/>
      <c r="XBE2477" s="60"/>
      <c r="XBF2477" s="60"/>
      <c r="XBG2477" s="60"/>
      <c r="XBH2477" s="60"/>
      <c r="XBI2477" s="63"/>
      <c r="XBJ2477" s="61"/>
      <c r="XBK2477" s="54"/>
      <c r="XBL2477" s="54"/>
      <c r="XBM2477" s="60"/>
      <c r="XBN2477" s="60"/>
      <c r="XBO2477" s="60"/>
      <c r="XBP2477" s="60"/>
      <c r="XBQ2477" s="63"/>
      <c r="XBR2477" s="61"/>
      <c r="XBS2477" s="54"/>
      <c r="XBT2477" s="54"/>
      <c r="XBU2477" s="60"/>
      <c r="XBV2477" s="60"/>
      <c r="XBW2477" s="60"/>
      <c r="XBX2477" s="60"/>
      <c r="XBY2477" s="63"/>
      <c r="XBZ2477" s="61"/>
      <c r="XCA2477" s="54"/>
      <c r="XCB2477" s="54"/>
      <c r="XCC2477" s="60"/>
      <c r="XCD2477" s="60"/>
      <c r="XCE2477" s="60"/>
      <c r="XCF2477" s="60"/>
      <c r="XCG2477" s="63"/>
      <c r="XCH2477" s="61"/>
      <c r="XCI2477" s="54"/>
      <c r="XCJ2477" s="54"/>
      <c r="XCK2477" s="60"/>
      <c r="XCL2477" s="60"/>
      <c r="XCM2477" s="60"/>
      <c r="XCN2477" s="60"/>
      <c r="XCO2477" s="63"/>
      <c r="XCP2477" s="61"/>
      <c r="XCQ2477" s="54"/>
      <c r="XCR2477" s="54"/>
      <c r="XCS2477" s="60"/>
      <c r="XCT2477" s="60"/>
      <c r="XCU2477" s="60"/>
      <c r="XCV2477" s="60"/>
      <c r="XCW2477" s="63"/>
      <c r="XCX2477" s="61"/>
      <c r="XCY2477" s="54"/>
      <c r="XCZ2477" s="54"/>
      <c r="XDA2477" s="60"/>
      <c r="XDB2477" s="60"/>
      <c r="XDC2477" s="60"/>
      <c r="XDD2477" s="60"/>
      <c r="XDE2477" s="63"/>
      <c r="XDF2477" s="61"/>
      <c r="XDG2477" s="54"/>
      <c r="XDH2477" s="54"/>
      <c r="XDI2477" s="60"/>
      <c r="XDJ2477" s="60"/>
      <c r="XDK2477" s="60"/>
      <c r="XDL2477" s="60"/>
      <c r="XDM2477" s="63"/>
      <c r="XDN2477" s="61"/>
      <c r="XDO2477" s="54"/>
      <c r="XDP2477" s="54"/>
      <c r="XDQ2477" s="60"/>
      <c r="XDR2477" s="60"/>
      <c r="XDS2477" s="60"/>
      <c r="XDT2477" s="60"/>
      <c r="XDU2477" s="63"/>
      <c r="XDV2477" s="61"/>
      <c r="XDW2477" s="54"/>
      <c r="XDX2477" s="54"/>
      <c r="XDY2477" s="60"/>
      <c r="XDZ2477" s="60"/>
      <c r="XEA2477" s="60"/>
      <c r="XEB2477" s="60"/>
      <c r="XEC2477" s="63"/>
      <c r="XED2477" s="61"/>
      <c r="XEE2477" s="54"/>
      <c r="XEF2477" s="54"/>
      <c r="XEG2477" s="60"/>
      <c r="XEH2477" s="60"/>
      <c r="XEI2477" s="60"/>
      <c r="XEJ2477" s="60"/>
      <c r="XEK2477" s="63"/>
      <c r="XEL2477" s="61"/>
      <c r="XEM2477" s="54"/>
      <c r="XEN2477" s="54"/>
      <c r="XEO2477" s="60"/>
      <c r="XEP2477" s="60"/>
      <c r="XEQ2477" s="60"/>
      <c r="XER2477" s="60"/>
      <c r="XES2477" s="63"/>
      <c r="XET2477" s="61"/>
      <c r="XEU2477" s="54"/>
      <c r="XEV2477" s="54"/>
      <c r="XEW2477" s="60"/>
    </row>
    <row r="2478" ht="18" customHeight="1" spans="1:16377">
      <c r="A2478" s="6" t="s">
        <v>8209</v>
      </c>
      <c r="B2478" s="6" t="s">
        <v>8540</v>
      </c>
      <c r="C2478" s="11" t="s">
        <v>16409</v>
      </c>
      <c r="D2478" s="5" t="s">
        <v>16374</v>
      </c>
      <c r="E2478" s="11" t="s">
        <v>16410</v>
      </c>
      <c r="F2478" s="7" t="s">
        <v>11535</v>
      </c>
      <c r="G2478" s="54"/>
      <c r="H2478" s="54"/>
      <c r="I2478" s="60"/>
      <c r="J2478" s="60"/>
      <c r="K2478" s="60"/>
      <c r="L2478" s="60"/>
      <c r="M2478" s="63"/>
      <c r="N2478" s="61"/>
      <c r="O2478" s="54"/>
      <c r="P2478" s="54"/>
      <c r="Q2478" s="60"/>
      <c r="R2478" s="60"/>
      <c r="S2478" s="60"/>
      <c r="T2478" s="60"/>
      <c r="U2478" s="63"/>
      <c r="V2478" s="61"/>
      <c r="W2478" s="54"/>
      <c r="X2478" s="54"/>
      <c r="Y2478" s="60"/>
      <c r="Z2478" s="60"/>
      <c r="AA2478" s="60"/>
      <c r="AB2478" s="60"/>
      <c r="AC2478" s="63"/>
      <c r="AD2478" s="61"/>
      <c r="AE2478" s="54"/>
      <c r="AF2478" s="54"/>
      <c r="AG2478" s="60"/>
      <c r="AH2478" s="60"/>
      <c r="AI2478" s="60"/>
      <c r="AJ2478" s="60"/>
      <c r="AK2478" s="63"/>
      <c r="AL2478" s="61"/>
      <c r="AM2478" s="54"/>
      <c r="AN2478" s="54"/>
      <c r="AO2478" s="60"/>
      <c r="AP2478" s="60"/>
      <c r="AQ2478" s="60"/>
      <c r="AR2478" s="60"/>
      <c r="AS2478" s="63"/>
      <c r="AT2478" s="61"/>
      <c r="AU2478" s="54"/>
      <c r="AV2478" s="54"/>
      <c r="AW2478" s="60"/>
      <c r="AX2478" s="60"/>
      <c r="AY2478" s="60"/>
      <c r="AZ2478" s="60"/>
      <c r="BA2478" s="63"/>
      <c r="BB2478" s="61"/>
      <c r="BC2478" s="54"/>
      <c r="BD2478" s="54"/>
      <c r="BE2478" s="60"/>
      <c r="BF2478" s="60"/>
      <c r="BG2478" s="60"/>
      <c r="BH2478" s="60"/>
      <c r="BI2478" s="63"/>
      <c r="BJ2478" s="61"/>
      <c r="BK2478" s="54"/>
      <c r="BL2478" s="54"/>
      <c r="BM2478" s="60"/>
      <c r="BN2478" s="60"/>
      <c r="BO2478" s="60"/>
      <c r="BP2478" s="60"/>
      <c r="BQ2478" s="63"/>
      <c r="BR2478" s="61"/>
      <c r="BS2478" s="54"/>
      <c r="BT2478" s="54"/>
      <c r="BU2478" s="60"/>
      <c r="BV2478" s="60"/>
      <c r="BW2478" s="60"/>
      <c r="BX2478" s="60"/>
      <c r="BY2478" s="63"/>
      <c r="BZ2478" s="61"/>
      <c r="CA2478" s="54"/>
      <c r="CB2478" s="54"/>
      <c r="CC2478" s="60"/>
      <c r="CD2478" s="60"/>
      <c r="CE2478" s="60"/>
      <c r="CF2478" s="60"/>
      <c r="CG2478" s="63"/>
      <c r="CH2478" s="61"/>
      <c r="CI2478" s="54"/>
      <c r="CJ2478" s="54"/>
      <c r="CK2478" s="60"/>
      <c r="CL2478" s="60"/>
      <c r="CM2478" s="60"/>
      <c r="CN2478" s="60"/>
      <c r="CO2478" s="63"/>
      <c r="CP2478" s="61"/>
      <c r="CQ2478" s="54"/>
      <c r="CR2478" s="54"/>
      <c r="CS2478" s="60"/>
      <c r="CT2478" s="60"/>
      <c r="CU2478" s="60"/>
      <c r="CV2478" s="60"/>
      <c r="CW2478" s="63"/>
      <c r="CX2478" s="61"/>
      <c r="CY2478" s="54"/>
      <c r="CZ2478" s="54"/>
      <c r="DA2478" s="60"/>
      <c r="DB2478" s="60"/>
      <c r="DC2478" s="60"/>
      <c r="DD2478" s="60"/>
      <c r="DE2478" s="63"/>
      <c r="DF2478" s="61"/>
      <c r="DG2478" s="54"/>
      <c r="DH2478" s="54"/>
      <c r="DI2478" s="60"/>
      <c r="DJ2478" s="60"/>
      <c r="DK2478" s="60"/>
      <c r="DL2478" s="60"/>
      <c r="DM2478" s="63"/>
      <c r="DN2478" s="61"/>
      <c r="DO2478" s="54"/>
      <c r="DP2478" s="54"/>
      <c r="DQ2478" s="60"/>
      <c r="DR2478" s="60"/>
      <c r="DS2478" s="60"/>
      <c r="DT2478" s="60"/>
      <c r="DU2478" s="63"/>
      <c r="DV2478" s="61"/>
      <c r="DW2478" s="54"/>
      <c r="DX2478" s="54"/>
      <c r="DY2478" s="60"/>
      <c r="DZ2478" s="60"/>
      <c r="EA2478" s="60"/>
      <c r="EB2478" s="60"/>
      <c r="EC2478" s="63"/>
      <c r="ED2478" s="61"/>
      <c r="EE2478" s="54"/>
      <c r="EF2478" s="54"/>
      <c r="EG2478" s="60"/>
      <c r="EH2478" s="60"/>
      <c r="EI2478" s="60"/>
      <c r="EJ2478" s="60"/>
      <c r="EK2478" s="63"/>
      <c r="EL2478" s="61"/>
      <c r="EM2478" s="54"/>
      <c r="EN2478" s="54"/>
      <c r="EO2478" s="60"/>
      <c r="EP2478" s="60"/>
      <c r="EQ2478" s="60"/>
      <c r="ER2478" s="60"/>
      <c r="ES2478" s="63"/>
      <c r="ET2478" s="61"/>
      <c r="EU2478" s="54"/>
      <c r="EV2478" s="54"/>
      <c r="EW2478" s="60"/>
      <c r="EX2478" s="60"/>
      <c r="EY2478" s="60"/>
      <c r="EZ2478" s="60"/>
      <c r="FA2478" s="63"/>
      <c r="FB2478" s="61"/>
      <c r="FC2478" s="54"/>
      <c r="FD2478" s="54"/>
      <c r="FE2478" s="60"/>
      <c r="FF2478" s="60"/>
      <c r="FG2478" s="60"/>
      <c r="FH2478" s="60"/>
      <c r="FI2478" s="63"/>
      <c r="FJ2478" s="61"/>
      <c r="FK2478" s="54"/>
      <c r="FL2478" s="54"/>
      <c r="FM2478" s="60"/>
      <c r="FN2478" s="60"/>
      <c r="FO2478" s="60"/>
      <c r="FP2478" s="60"/>
      <c r="FQ2478" s="63"/>
      <c r="FR2478" s="61"/>
      <c r="FS2478" s="54"/>
      <c r="FT2478" s="54"/>
      <c r="FU2478" s="60"/>
      <c r="FV2478" s="60"/>
      <c r="FW2478" s="60"/>
      <c r="FX2478" s="60"/>
      <c r="FY2478" s="63"/>
      <c r="FZ2478" s="61"/>
      <c r="GA2478" s="54"/>
      <c r="GB2478" s="54"/>
      <c r="GC2478" s="60"/>
      <c r="GD2478" s="60"/>
      <c r="GE2478" s="60"/>
      <c r="GF2478" s="60"/>
      <c r="GG2478" s="63"/>
      <c r="GH2478" s="61"/>
      <c r="GI2478" s="54"/>
      <c r="GJ2478" s="54"/>
      <c r="GK2478" s="60"/>
      <c r="GL2478" s="60"/>
      <c r="GM2478" s="60"/>
      <c r="GN2478" s="60"/>
      <c r="GO2478" s="63"/>
      <c r="GP2478" s="61"/>
      <c r="GQ2478" s="54"/>
      <c r="GR2478" s="54"/>
      <c r="GS2478" s="60"/>
      <c r="GT2478" s="60"/>
      <c r="GU2478" s="60"/>
      <c r="GV2478" s="60"/>
      <c r="GW2478" s="63"/>
      <c r="GX2478" s="61"/>
      <c r="GY2478" s="54"/>
      <c r="GZ2478" s="54"/>
      <c r="HA2478" s="60"/>
      <c r="HB2478" s="60"/>
      <c r="HC2478" s="60"/>
      <c r="HD2478" s="60"/>
      <c r="HE2478" s="63"/>
      <c r="HF2478" s="61"/>
      <c r="HG2478" s="54"/>
      <c r="HH2478" s="54"/>
      <c r="HI2478" s="60"/>
      <c r="HJ2478" s="60"/>
      <c r="HK2478" s="60"/>
      <c r="HL2478" s="60"/>
      <c r="HM2478" s="63"/>
      <c r="HN2478" s="61"/>
      <c r="HO2478" s="54"/>
      <c r="HP2478" s="54"/>
      <c r="HQ2478" s="60"/>
      <c r="HR2478" s="60"/>
      <c r="HS2478" s="60"/>
      <c r="HT2478" s="60"/>
      <c r="HU2478" s="63"/>
      <c r="HV2478" s="61"/>
      <c r="HW2478" s="54"/>
      <c r="HX2478" s="54"/>
      <c r="HY2478" s="60"/>
      <c r="HZ2478" s="60"/>
      <c r="IA2478" s="60"/>
      <c r="IB2478" s="60"/>
      <c r="IC2478" s="63"/>
      <c r="ID2478" s="61"/>
      <c r="IE2478" s="54"/>
      <c r="IF2478" s="54"/>
      <c r="IG2478" s="60"/>
      <c r="IH2478" s="60"/>
      <c r="II2478" s="60"/>
      <c r="IJ2478" s="60"/>
      <c r="IK2478" s="63"/>
      <c r="IL2478" s="61"/>
      <c r="IM2478" s="54"/>
      <c r="IN2478" s="54"/>
      <c r="IO2478" s="60"/>
      <c r="IP2478" s="60"/>
      <c r="IQ2478" s="60"/>
      <c r="IR2478" s="60"/>
      <c r="IS2478" s="63"/>
      <c r="IT2478" s="61"/>
      <c r="IU2478" s="54"/>
      <c r="IV2478" s="54"/>
      <c r="IW2478" s="60"/>
      <c r="IX2478" s="60"/>
      <c r="IY2478" s="60"/>
      <c r="IZ2478" s="60"/>
      <c r="JA2478" s="63"/>
      <c r="JB2478" s="61"/>
      <c r="JC2478" s="54"/>
      <c r="JD2478" s="54"/>
      <c r="JE2478" s="60"/>
      <c r="JF2478" s="60"/>
      <c r="JG2478" s="60"/>
      <c r="JH2478" s="60"/>
      <c r="JI2478" s="63"/>
      <c r="JJ2478" s="61"/>
      <c r="JK2478" s="54"/>
      <c r="JL2478" s="54"/>
      <c r="JM2478" s="60"/>
      <c r="JN2478" s="60"/>
      <c r="JO2478" s="60"/>
      <c r="JP2478" s="60"/>
      <c r="JQ2478" s="63"/>
      <c r="JR2478" s="61"/>
      <c r="JS2478" s="54"/>
      <c r="JT2478" s="54"/>
      <c r="JU2478" s="60"/>
      <c r="JV2478" s="60"/>
      <c r="JW2478" s="60"/>
      <c r="JX2478" s="60"/>
      <c r="JY2478" s="63"/>
      <c r="JZ2478" s="61"/>
      <c r="KA2478" s="54"/>
      <c r="KB2478" s="54"/>
      <c r="KC2478" s="60"/>
      <c r="KD2478" s="60"/>
      <c r="KE2478" s="60"/>
      <c r="KF2478" s="60"/>
      <c r="KG2478" s="63"/>
      <c r="KH2478" s="61"/>
      <c r="KI2478" s="54"/>
      <c r="KJ2478" s="54"/>
      <c r="KK2478" s="60"/>
      <c r="KL2478" s="60"/>
      <c r="KM2478" s="60"/>
      <c r="KN2478" s="60"/>
      <c r="KO2478" s="63"/>
      <c r="KP2478" s="61"/>
      <c r="KQ2478" s="54"/>
      <c r="KR2478" s="54"/>
      <c r="KS2478" s="60"/>
      <c r="KT2478" s="60"/>
      <c r="KU2478" s="60"/>
      <c r="KV2478" s="60"/>
      <c r="KW2478" s="63"/>
      <c r="KX2478" s="61"/>
      <c r="KY2478" s="54"/>
      <c r="KZ2478" s="54"/>
      <c r="LA2478" s="60"/>
      <c r="LB2478" s="60"/>
      <c r="LC2478" s="60"/>
      <c r="LD2478" s="60"/>
      <c r="LE2478" s="63"/>
      <c r="LF2478" s="61"/>
      <c r="LG2478" s="54"/>
      <c r="LH2478" s="54"/>
      <c r="LI2478" s="60"/>
      <c r="LJ2478" s="60"/>
      <c r="LK2478" s="60"/>
      <c r="LL2478" s="60"/>
      <c r="LM2478" s="63"/>
      <c r="LN2478" s="61"/>
      <c r="LO2478" s="54"/>
      <c r="LP2478" s="54"/>
      <c r="LQ2478" s="60"/>
      <c r="LR2478" s="60"/>
      <c r="LS2478" s="60"/>
      <c r="LT2478" s="60"/>
      <c r="LU2478" s="63"/>
      <c r="LV2478" s="61"/>
      <c r="LW2478" s="54"/>
      <c r="LX2478" s="54"/>
      <c r="LY2478" s="60"/>
      <c r="LZ2478" s="60"/>
      <c r="MA2478" s="60"/>
      <c r="MB2478" s="60"/>
      <c r="MC2478" s="63"/>
      <c r="MD2478" s="61"/>
      <c r="ME2478" s="54"/>
      <c r="MF2478" s="54"/>
      <c r="MG2478" s="60"/>
      <c r="MH2478" s="60"/>
      <c r="MI2478" s="60"/>
      <c r="MJ2478" s="60"/>
      <c r="MK2478" s="63"/>
      <c r="ML2478" s="61"/>
      <c r="MM2478" s="54"/>
      <c r="MN2478" s="54"/>
      <c r="MO2478" s="60"/>
      <c r="MP2478" s="60"/>
      <c r="MQ2478" s="60"/>
      <c r="MR2478" s="60"/>
      <c r="MS2478" s="63"/>
      <c r="MT2478" s="61"/>
      <c r="MU2478" s="54"/>
      <c r="MV2478" s="54"/>
      <c r="MW2478" s="60"/>
      <c r="MX2478" s="60"/>
      <c r="MY2478" s="60"/>
      <c r="MZ2478" s="60"/>
      <c r="NA2478" s="63"/>
      <c r="NB2478" s="61"/>
      <c r="NC2478" s="54"/>
      <c r="ND2478" s="54"/>
      <c r="NE2478" s="60"/>
      <c r="NF2478" s="60"/>
      <c r="NG2478" s="60"/>
      <c r="NH2478" s="60"/>
      <c r="NI2478" s="63"/>
      <c r="NJ2478" s="61"/>
      <c r="NK2478" s="54"/>
      <c r="NL2478" s="54"/>
      <c r="NM2478" s="60"/>
      <c r="NN2478" s="60"/>
      <c r="NO2478" s="60"/>
      <c r="NP2478" s="60"/>
      <c r="NQ2478" s="63"/>
      <c r="NR2478" s="61"/>
      <c r="NS2478" s="54"/>
      <c r="NT2478" s="54"/>
      <c r="NU2478" s="60"/>
      <c r="NV2478" s="60"/>
      <c r="NW2478" s="60"/>
      <c r="NX2478" s="60"/>
      <c r="NY2478" s="63"/>
      <c r="NZ2478" s="61"/>
      <c r="OA2478" s="54"/>
      <c r="OB2478" s="54"/>
      <c r="OC2478" s="60"/>
      <c r="OD2478" s="60"/>
      <c r="OE2478" s="60"/>
      <c r="OF2478" s="60"/>
      <c r="OG2478" s="63"/>
      <c r="OH2478" s="61"/>
      <c r="OI2478" s="54"/>
      <c r="OJ2478" s="54"/>
      <c r="OK2478" s="60"/>
      <c r="OL2478" s="60"/>
      <c r="OM2478" s="60"/>
      <c r="ON2478" s="60"/>
      <c r="OO2478" s="63"/>
      <c r="OP2478" s="61"/>
      <c r="OQ2478" s="54"/>
      <c r="OR2478" s="54"/>
      <c r="OS2478" s="60"/>
      <c r="OT2478" s="60"/>
      <c r="OU2478" s="60"/>
      <c r="OV2478" s="60"/>
      <c r="OW2478" s="63"/>
      <c r="OX2478" s="61"/>
      <c r="OY2478" s="54"/>
      <c r="OZ2478" s="54"/>
      <c r="PA2478" s="60"/>
      <c r="PB2478" s="60"/>
      <c r="PC2478" s="60"/>
      <c r="PD2478" s="60"/>
      <c r="PE2478" s="63"/>
      <c r="PF2478" s="61"/>
      <c r="PG2478" s="54"/>
      <c r="PH2478" s="54"/>
      <c r="PI2478" s="60"/>
      <c r="PJ2478" s="60"/>
      <c r="PK2478" s="60"/>
      <c r="PL2478" s="60"/>
      <c r="PM2478" s="63"/>
      <c r="PN2478" s="61"/>
      <c r="PO2478" s="54"/>
      <c r="PP2478" s="54"/>
      <c r="PQ2478" s="60"/>
      <c r="PR2478" s="60"/>
      <c r="PS2478" s="60"/>
      <c r="PT2478" s="60"/>
      <c r="PU2478" s="63"/>
      <c r="PV2478" s="61"/>
      <c r="PW2478" s="54"/>
      <c r="PX2478" s="54"/>
      <c r="PY2478" s="60"/>
      <c r="PZ2478" s="60"/>
      <c r="QA2478" s="60"/>
      <c r="QB2478" s="60"/>
      <c r="QC2478" s="63"/>
      <c r="QD2478" s="61"/>
      <c r="QE2478" s="54"/>
      <c r="QF2478" s="54"/>
      <c r="QG2478" s="60"/>
      <c r="QH2478" s="60"/>
      <c r="QI2478" s="60"/>
      <c r="QJ2478" s="60"/>
      <c r="QK2478" s="63"/>
      <c r="QL2478" s="61"/>
      <c r="QM2478" s="54"/>
      <c r="QN2478" s="54"/>
      <c r="QO2478" s="60"/>
      <c r="QP2478" s="60"/>
      <c r="QQ2478" s="60"/>
      <c r="QR2478" s="60"/>
      <c r="QS2478" s="63"/>
      <c r="QT2478" s="61"/>
      <c r="QU2478" s="54"/>
      <c r="QV2478" s="54"/>
      <c r="QW2478" s="60"/>
      <c r="QX2478" s="60"/>
      <c r="QY2478" s="60"/>
      <c r="QZ2478" s="60"/>
      <c r="RA2478" s="63"/>
      <c r="RB2478" s="61"/>
      <c r="RC2478" s="54"/>
      <c r="RD2478" s="54"/>
      <c r="RE2478" s="60"/>
      <c r="RF2478" s="60"/>
      <c r="RG2478" s="60"/>
      <c r="RH2478" s="60"/>
      <c r="RI2478" s="63"/>
      <c r="RJ2478" s="61"/>
      <c r="RK2478" s="54"/>
      <c r="RL2478" s="54"/>
      <c r="RM2478" s="60"/>
      <c r="RN2478" s="60"/>
      <c r="RO2478" s="60"/>
      <c r="RP2478" s="60"/>
      <c r="RQ2478" s="63"/>
      <c r="RR2478" s="61"/>
      <c r="RS2478" s="54"/>
      <c r="RT2478" s="54"/>
      <c r="RU2478" s="60"/>
      <c r="RV2478" s="60"/>
      <c r="RW2478" s="60"/>
      <c r="RX2478" s="60"/>
      <c r="RY2478" s="63"/>
      <c r="RZ2478" s="61"/>
      <c r="SA2478" s="54"/>
      <c r="SB2478" s="54"/>
      <c r="SC2478" s="60"/>
      <c r="SD2478" s="60"/>
      <c r="SE2478" s="60"/>
      <c r="SF2478" s="60"/>
      <c r="SG2478" s="63"/>
      <c r="SH2478" s="61"/>
      <c r="SI2478" s="54"/>
      <c r="SJ2478" s="54"/>
      <c r="SK2478" s="60"/>
      <c r="SL2478" s="60"/>
      <c r="SM2478" s="60"/>
      <c r="SN2478" s="60"/>
      <c r="SO2478" s="63"/>
      <c r="SP2478" s="61"/>
      <c r="SQ2478" s="54"/>
      <c r="SR2478" s="54"/>
      <c r="SS2478" s="60"/>
      <c r="ST2478" s="60"/>
      <c r="SU2478" s="60"/>
      <c r="SV2478" s="60"/>
      <c r="SW2478" s="63"/>
      <c r="SX2478" s="61"/>
      <c r="SY2478" s="54"/>
      <c r="SZ2478" s="54"/>
      <c r="TA2478" s="60"/>
      <c r="TB2478" s="60"/>
      <c r="TC2478" s="60"/>
      <c r="TD2478" s="60"/>
      <c r="TE2478" s="63"/>
      <c r="TF2478" s="61"/>
      <c r="TG2478" s="54"/>
      <c r="TH2478" s="54"/>
      <c r="TI2478" s="60"/>
      <c r="TJ2478" s="60"/>
      <c r="TK2478" s="60"/>
      <c r="TL2478" s="60"/>
      <c r="TM2478" s="63"/>
      <c r="TN2478" s="61"/>
      <c r="TO2478" s="54"/>
      <c r="TP2478" s="54"/>
      <c r="TQ2478" s="60"/>
      <c r="TR2478" s="60"/>
      <c r="TS2478" s="60"/>
      <c r="TT2478" s="60"/>
      <c r="TU2478" s="63"/>
      <c r="TV2478" s="61"/>
      <c r="TW2478" s="54"/>
      <c r="TX2478" s="54"/>
      <c r="TY2478" s="60"/>
      <c r="TZ2478" s="60"/>
      <c r="UA2478" s="60"/>
      <c r="UB2478" s="60"/>
      <c r="UC2478" s="63"/>
      <c r="UD2478" s="61"/>
      <c r="UE2478" s="54"/>
      <c r="UF2478" s="54"/>
      <c r="UG2478" s="60"/>
      <c r="UH2478" s="60"/>
      <c r="UI2478" s="60"/>
      <c r="UJ2478" s="60"/>
      <c r="UK2478" s="63"/>
      <c r="UL2478" s="61"/>
      <c r="UM2478" s="54"/>
      <c r="UN2478" s="54"/>
      <c r="UO2478" s="60"/>
      <c r="UP2478" s="60"/>
      <c r="UQ2478" s="60"/>
      <c r="UR2478" s="60"/>
      <c r="US2478" s="63"/>
      <c r="UT2478" s="61"/>
      <c r="UU2478" s="54"/>
      <c r="UV2478" s="54"/>
      <c r="UW2478" s="60"/>
      <c r="UX2478" s="60"/>
      <c r="UY2478" s="60"/>
      <c r="UZ2478" s="60"/>
      <c r="VA2478" s="63"/>
      <c r="VB2478" s="61"/>
      <c r="VC2478" s="54"/>
      <c r="VD2478" s="54"/>
      <c r="VE2478" s="60"/>
      <c r="VF2478" s="60"/>
      <c r="VG2478" s="60"/>
      <c r="VH2478" s="60"/>
      <c r="VI2478" s="63"/>
      <c r="VJ2478" s="61"/>
      <c r="VK2478" s="54"/>
      <c r="VL2478" s="54"/>
      <c r="VM2478" s="60"/>
      <c r="VN2478" s="60"/>
      <c r="VO2478" s="60"/>
      <c r="VP2478" s="60"/>
      <c r="VQ2478" s="63"/>
      <c r="VR2478" s="61"/>
      <c r="VS2478" s="54"/>
      <c r="VT2478" s="54"/>
      <c r="VU2478" s="60"/>
      <c r="VV2478" s="60"/>
      <c r="VW2478" s="60"/>
      <c r="VX2478" s="60"/>
      <c r="VY2478" s="63"/>
      <c r="VZ2478" s="61"/>
      <c r="WA2478" s="54"/>
      <c r="WB2478" s="54"/>
      <c r="WC2478" s="60"/>
      <c r="WD2478" s="60"/>
      <c r="WE2478" s="60"/>
      <c r="WF2478" s="60"/>
      <c r="WG2478" s="63"/>
      <c r="WH2478" s="61"/>
      <c r="WI2478" s="54"/>
      <c r="WJ2478" s="54"/>
      <c r="WK2478" s="60"/>
      <c r="WL2478" s="60"/>
      <c r="WM2478" s="60"/>
      <c r="WN2478" s="60"/>
      <c r="WO2478" s="63"/>
      <c r="WP2478" s="61"/>
      <c r="WQ2478" s="54"/>
      <c r="WR2478" s="54"/>
      <c r="WS2478" s="60"/>
      <c r="WT2478" s="60"/>
      <c r="WU2478" s="60"/>
      <c r="WV2478" s="60"/>
      <c r="WW2478" s="63"/>
      <c r="WX2478" s="61"/>
      <c r="WY2478" s="54"/>
      <c r="WZ2478" s="54"/>
      <c r="XA2478" s="60"/>
      <c r="XB2478" s="60"/>
      <c r="XC2478" s="60"/>
      <c r="XD2478" s="60"/>
      <c r="XE2478" s="63"/>
      <c r="XF2478" s="61"/>
      <c r="XG2478" s="54"/>
      <c r="XH2478" s="54"/>
      <c r="XI2478" s="60"/>
      <c r="XJ2478" s="60"/>
      <c r="XK2478" s="60"/>
      <c r="XL2478" s="60"/>
      <c r="XM2478" s="63"/>
      <c r="XN2478" s="61"/>
      <c r="XO2478" s="54"/>
      <c r="XP2478" s="54"/>
      <c r="XQ2478" s="60"/>
      <c r="XR2478" s="60"/>
      <c r="XS2478" s="60"/>
      <c r="XT2478" s="60"/>
      <c r="XU2478" s="63"/>
      <c r="XV2478" s="61"/>
      <c r="XW2478" s="54"/>
      <c r="XX2478" s="54"/>
      <c r="XY2478" s="60"/>
      <c r="XZ2478" s="60"/>
      <c r="YA2478" s="60"/>
      <c r="YB2478" s="60"/>
      <c r="YC2478" s="63"/>
      <c r="YD2478" s="61"/>
      <c r="YE2478" s="54"/>
      <c r="YF2478" s="54"/>
      <c r="YG2478" s="60"/>
      <c r="YH2478" s="60"/>
      <c r="YI2478" s="60"/>
      <c r="YJ2478" s="60"/>
      <c r="YK2478" s="63"/>
      <c r="YL2478" s="61"/>
      <c r="YM2478" s="54"/>
      <c r="YN2478" s="54"/>
      <c r="YO2478" s="60"/>
      <c r="YP2478" s="60"/>
      <c r="YQ2478" s="60"/>
      <c r="YR2478" s="60"/>
      <c r="YS2478" s="63"/>
      <c r="YT2478" s="61"/>
      <c r="YU2478" s="54"/>
      <c r="YV2478" s="54"/>
      <c r="YW2478" s="60"/>
      <c r="YX2478" s="60"/>
      <c r="YY2478" s="60"/>
      <c r="YZ2478" s="60"/>
      <c r="ZA2478" s="63"/>
      <c r="ZB2478" s="61"/>
      <c r="ZC2478" s="54"/>
      <c r="ZD2478" s="54"/>
      <c r="ZE2478" s="60"/>
      <c r="ZF2478" s="60"/>
      <c r="ZG2478" s="60"/>
      <c r="ZH2478" s="60"/>
      <c r="ZI2478" s="63"/>
      <c r="ZJ2478" s="61"/>
      <c r="ZK2478" s="54"/>
      <c r="ZL2478" s="54"/>
      <c r="ZM2478" s="60"/>
      <c r="ZN2478" s="60"/>
      <c r="ZO2478" s="60"/>
      <c r="ZP2478" s="60"/>
      <c r="ZQ2478" s="63"/>
      <c r="ZR2478" s="61"/>
      <c r="ZS2478" s="54"/>
      <c r="ZT2478" s="54"/>
      <c r="ZU2478" s="60"/>
      <c r="ZV2478" s="60"/>
      <c r="ZW2478" s="60"/>
      <c r="ZX2478" s="60"/>
      <c r="ZY2478" s="63"/>
      <c r="ZZ2478" s="61"/>
      <c r="AAA2478" s="54"/>
      <c r="AAB2478" s="54"/>
      <c r="AAC2478" s="60"/>
      <c r="AAD2478" s="60"/>
      <c r="AAE2478" s="60"/>
      <c r="AAF2478" s="60"/>
      <c r="AAG2478" s="63"/>
      <c r="AAH2478" s="61"/>
      <c r="AAI2478" s="54"/>
      <c r="AAJ2478" s="54"/>
      <c r="AAK2478" s="60"/>
      <c r="AAL2478" s="60"/>
      <c r="AAM2478" s="60"/>
      <c r="AAN2478" s="60"/>
      <c r="AAO2478" s="63"/>
      <c r="AAP2478" s="61"/>
      <c r="AAQ2478" s="54"/>
      <c r="AAR2478" s="54"/>
      <c r="AAS2478" s="60"/>
      <c r="AAT2478" s="60"/>
      <c r="AAU2478" s="60"/>
      <c r="AAV2478" s="60"/>
      <c r="AAW2478" s="63"/>
      <c r="AAX2478" s="61"/>
      <c r="AAY2478" s="54"/>
      <c r="AAZ2478" s="54"/>
      <c r="ABA2478" s="60"/>
      <c r="ABB2478" s="60"/>
      <c r="ABC2478" s="60"/>
      <c r="ABD2478" s="60"/>
      <c r="ABE2478" s="63"/>
      <c r="ABF2478" s="61"/>
      <c r="ABG2478" s="54"/>
      <c r="ABH2478" s="54"/>
      <c r="ABI2478" s="60"/>
      <c r="ABJ2478" s="60"/>
      <c r="ABK2478" s="60"/>
      <c r="ABL2478" s="60"/>
      <c r="ABM2478" s="63"/>
      <c r="ABN2478" s="61"/>
      <c r="ABO2478" s="54"/>
      <c r="ABP2478" s="54"/>
      <c r="ABQ2478" s="60"/>
      <c r="ABR2478" s="60"/>
      <c r="ABS2478" s="60"/>
      <c r="ABT2478" s="60"/>
      <c r="ABU2478" s="63"/>
      <c r="ABV2478" s="61"/>
      <c r="ABW2478" s="54"/>
      <c r="ABX2478" s="54"/>
      <c r="ABY2478" s="60"/>
      <c r="ABZ2478" s="60"/>
      <c r="ACA2478" s="60"/>
      <c r="ACB2478" s="60"/>
      <c r="ACC2478" s="63"/>
      <c r="ACD2478" s="61"/>
      <c r="ACE2478" s="54"/>
      <c r="ACF2478" s="54"/>
      <c r="ACG2478" s="60"/>
      <c r="ACH2478" s="60"/>
      <c r="ACI2478" s="60"/>
      <c r="ACJ2478" s="60"/>
      <c r="ACK2478" s="63"/>
      <c r="ACL2478" s="61"/>
      <c r="ACM2478" s="54"/>
      <c r="ACN2478" s="54"/>
      <c r="ACO2478" s="60"/>
      <c r="ACP2478" s="60"/>
      <c r="ACQ2478" s="60"/>
      <c r="ACR2478" s="60"/>
      <c r="ACS2478" s="63"/>
      <c r="ACT2478" s="61"/>
      <c r="ACU2478" s="54"/>
      <c r="ACV2478" s="54"/>
      <c r="ACW2478" s="60"/>
      <c r="ACX2478" s="60"/>
      <c r="ACY2478" s="60"/>
      <c r="ACZ2478" s="60"/>
      <c r="ADA2478" s="63"/>
      <c r="ADB2478" s="61"/>
      <c r="ADC2478" s="54"/>
      <c r="ADD2478" s="54"/>
      <c r="ADE2478" s="60"/>
      <c r="ADF2478" s="60"/>
      <c r="ADG2478" s="60"/>
      <c r="ADH2478" s="60"/>
      <c r="ADI2478" s="63"/>
      <c r="ADJ2478" s="61"/>
      <c r="ADK2478" s="54"/>
      <c r="ADL2478" s="54"/>
      <c r="ADM2478" s="60"/>
      <c r="ADN2478" s="60"/>
      <c r="ADO2478" s="60"/>
      <c r="ADP2478" s="60"/>
      <c r="ADQ2478" s="63"/>
      <c r="ADR2478" s="61"/>
      <c r="ADS2478" s="54"/>
      <c r="ADT2478" s="54"/>
      <c r="ADU2478" s="60"/>
      <c r="ADV2478" s="60"/>
      <c r="ADW2478" s="60"/>
      <c r="ADX2478" s="60"/>
      <c r="ADY2478" s="63"/>
      <c r="ADZ2478" s="61"/>
      <c r="AEA2478" s="54"/>
      <c r="AEB2478" s="54"/>
      <c r="AEC2478" s="60"/>
      <c r="AED2478" s="60"/>
      <c r="AEE2478" s="60"/>
      <c r="AEF2478" s="60"/>
      <c r="AEG2478" s="63"/>
      <c r="AEH2478" s="61"/>
      <c r="AEI2478" s="54"/>
      <c r="AEJ2478" s="54"/>
      <c r="AEK2478" s="60"/>
      <c r="AEL2478" s="60"/>
      <c r="AEM2478" s="60"/>
      <c r="AEN2478" s="60"/>
      <c r="AEO2478" s="63"/>
      <c r="AEP2478" s="61"/>
      <c r="AEQ2478" s="54"/>
      <c r="AER2478" s="54"/>
      <c r="AES2478" s="60"/>
      <c r="AET2478" s="60"/>
      <c r="AEU2478" s="60"/>
      <c r="AEV2478" s="60"/>
      <c r="AEW2478" s="63"/>
      <c r="AEX2478" s="61"/>
      <c r="AEY2478" s="54"/>
      <c r="AEZ2478" s="54"/>
      <c r="AFA2478" s="60"/>
      <c r="AFB2478" s="60"/>
      <c r="AFC2478" s="60"/>
      <c r="AFD2478" s="60"/>
      <c r="AFE2478" s="63"/>
      <c r="AFF2478" s="61"/>
      <c r="AFG2478" s="54"/>
      <c r="AFH2478" s="54"/>
      <c r="AFI2478" s="60"/>
      <c r="AFJ2478" s="60"/>
      <c r="AFK2478" s="60"/>
      <c r="AFL2478" s="60"/>
      <c r="AFM2478" s="63"/>
      <c r="AFN2478" s="61"/>
      <c r="AFO2478" s="54"/>
      <c r="AFP2478" s="54"/>
      <c r="AFQ2478" s="60"/>
      <c r="AFR2478" s="60"/>
      <c r="AFS2478" s="60"/>
      <c r="AFT2478" s="60"/>
      <c r="AFU2478" s="63"/>
      <c r="AFV2478" s="61"/>
      <c r="AFW2478" s="54"/>
      <c r="AFX2478" s="54"/>
      <c r="AFY2478" s="60"/>
      <c r="AFZ2478" s="60"/>
      <c r="AGA2478" s="60"/>
      <c r="AGB2478" s="60"/>
      <c r="AGC2478" s="63"/>
      <c r="AGD2478" s="61"/>
      <c r="AGE2478" s="54"/>
      <c r="AGF2478" s="54"/>
      <c r="AGG2478" s="60"/>
      <c r="AGH2478" s="60"/>
      <c r="AGI2478" s="60"/>
      <c r="AGJ2478" s="60"/>
      <c r="AGK2478" s="63"/>
      <c r="AGL2478" s="61"/>
      <c r="AGM2478" s="54"/>
      <c r="AGN2478" s="54"/>
      <c r="AGO2478" s="60"/>
      <c r="AGP2478" s="60"/>
      <c r="AGQ2478" s="60"/>
      <c r="AGR2478" s="60"/>
      <c r="AGS2478" s="63"/>
      <c r="AGT2478" s="61"/>
      <c r="AGU2478" s="54"/>
      <c r="AGV2478" s="54"/>
      <c r="AGW2478" s="60"/>
      <c r="AGX2478" s="60"/>
      <c r="AGY2478" s="60"/>
      <c r="AGZ2478" s="60"/>
      <c r="AHA2478" s="63"/>
      <c r="AHB2478" s="61"/>
      <c r="AHC2478" s="54"/>
      <c r="AHD2478" s="54"/>
      <c r="AHE2478" s="60"/>
      <c r="AHF2478" s="60"/>
      <c r="AHG2478" s="60"/>
      <c r="AHH2478" s="60"/>
      <c r="AHI2478" s="63"/>
      <c r="AHJ2478" s="61"/>
      <c r="AHK2478" s="54"/>
      <c r="AHL2478" s="54"/>
      <c r="AHM2478" s="60"/>
      <c r="AHN2478" s="60"/>
      <c r="AHO2478" s="60"/>
      <c r="AHP2478" s="60"/>
      <c r="AHQ2478" s="63"/>
      <c r="AHR2478" s="61"/>
      <c r="AHS2478" s="54"/>
      <c r="AHT2478" s="54"/>
      <c r="AHU2478" s="60"/>
      <c r="AHV2478" s="60"/>
      <c r="AHW2478" s="60"/>
      <c r="AHX2478" s="60"/>
      <c r="AHY2478" s="63"/>
      <c r="AHZ2478" s="61"/>
      <c r="AIA2478" s="54"/>
      <c r="AIB2478" s="54"/>
      <c r="AIC2478" s="60"/>
      <c r="AID2478" s="60"/>
      <c r="AIE2478" s="60"/>
      <c r="AIF2478" s="60"/>
      <c r="AIG2478" s="63"/>
      <c r="AIH2478" s="61"/>
      <c r="AII2478" s="54"/>
      <c r="AIJ2478" s="54"/>
      <c r="AIK2478" s="60"/>
      <c r="AIL2478" s="60"/>
      <c r="AIM2478" s="60"/>
      <c r="AIN2478" s="60"/>
      <c r="AIO2478" s="63"/>
      <c r="AIP2478" s="61"/>
      <c r="AIQ2478" s="54"/>
      <c r="AIR2478" s="54"/>
      <c r="AIS2478" s="60"/>
      <c r="AIT2478" s="60"/>
      <c r="AIU2478" s="60"/>
      <c r="AIV2478" s="60"/>
      <c r="AIW2478" s="63"/>
      <c r="AIX2478" s="61"/>
      <c r="AIY2478" s="54"/>
      <c r="AIZ2478" s="54"/>
      <c r="AJA2478" s="60"/>
      <c r="AJB2478" s="60"/>
      <c r="AJC2478" s="60"/>
      <c r="AJD2478" s="60"/>
      <c r="AJE2478" s="63"/>
      <c r="AJF2478" s="61"/>
      <c r="AJG2478" s="54"/>
      <c r="AJH2478" s="54"/>
      <c r="AJI2478" s="60"/>
      <c r="AJJ2478" s="60"/>
      <c r="AJK2478" s="60"/>
      <c r="AJL2478" s="60"/>
      <c r="AJM2478" s="63"/>
      <c r="AJN2478" s="61"/>
      <c r="AJO2478" s="54"/>
      <c r="AJP2478" s="54"/>
      <c r="AJQ2478" s="60"/>
      <c r="AJR2478" s="60"/>
      <c r="AJS2478" s="60"/>
      <c r="AJT2478" s="60"/>
      <c r="AJU2478" s="63"/>
      <c r="AJV2478" s="61"/>
      <c r="AJW2478" s="54"/>
      <c r="AJX2478" s="54"/>
      <c r="AJY2478" s="60"/>
      <c r="AJZ2478" s="60"/>
      <c r="AKA2478" s="60"/>
      <c r="AKB2478" s="60"/>
      <c r="AKC2478" s="63"/>
      <c r="AKD2478" s="61"/>
      <c r="AKE2478" s="54"/>
      <c r="AKF2478" s="54"/>
      <c r="AKG2478" s="60"/>
      <c r="AKH2478" s="60"/>
      <c r="AKI2478" s="60"/>
      <c r="AKJ2478" s="60"/>
      <c r="AKK2478" s="63"/>
      <c r="AKL2478" s="61"/>
      <c r="AKM2478" s="54"/>
      <c r="AKN2478" s="54"/>
      <c r="AKO2478" s="60"/>
      <c r="AKP2478" s="60"/>
      <c r="AKQ2478" s="60"/>
      <c r="AKR2478" s="60"/>
      <c r="AKS2478" s="63"/>
      <c r="AKT2478" s="61"/>
      <c r="AKU2478" s="54"/>
      <c r="AKV2478" s="54"/>
      <c r="AKW2478" s="60"/>
      <c r="AKX2478" s="60"/>
      <c r="AKY2478" s="60"/>
      <c r="AKZ2478" s="60"/>
      <c r="ALA2478" s="63"/>
      <c r="ALB2478" s="61"/>
      <c r="ALC2478" s="54"/>
      <c r="ALD2478" s="54"/>
      <c r="ALE2478" s="60"/>
      <c r="ALF2478" s="60"/>
      <c r="ALG2478" s="60"/>
      <c r="ALH2478" s="60"/>
      <c r="ALI2478" s="63"/>
      <c r="ALJ2478" s="61"/>
      <c r="ALK2478" s="54"/>
      <c r="ALL2478" s="54"/>
      <c r="ALM2478" s="60"/>
      <c r="ALN2478" s="60"/>
      <c r="ALO2478" s="60"/>
      <c r="ALP2478" s="60"/>
      <c r="ALQ2478" s="63"/>
      <c r="ALR2478" s="61"/>
      <c r="ALS2478" s="54"/>
      <c r="ALT2478" s="54"/>
      <c r="ALU2478" s="60"/>
      <c r="ALV2478" s="60"/>
      <c r="ALW2478" s="60"/>
      <c r="ALX2478" s="60"/>
      <c r="ALY2478" s="63"/>
      <c r="ALZ2478" s="61"/>
      <c r="AMA2478" s="54"/>
      <c r="AMB2478" s="54"/>
      <c r="AMC2478" s="60"/>
      <c r="AMD2478" s="60"/>
      <c r="AME2478" s="60"/>
      <c r="AMF2478" s="60"/>
      <c r="AMG2478" s="63"/>
      <c r="AMH2478" s="61"/>
      <c r="AMI2478" s="54"/>
      <c r="AMJ2478" s="54"/>
      <c r="AMK2478" s="60"/>
      <c r="AML2478" s="60"/>
      <c r="AMM2478" s="60"/>
      <c r="AMN2478" s="60"/>
      <c r="AMO2478" s="63"/>
      <c r="AMP2478" s="61"/>
      <c r="AMQ2478" s="54"/>
      <c r="AMR2478" s="54"/>
      <c r="AMS2478" s="60"/>
      <c r="AMT2478" s="60"/>
      <c r="AMU2478" s="60"/>
      <c r="AMV2478" s="60"/>
      <c r="AMW2478" s="63"/>
      <c r="AMX2478" s="61"/>
      <c r="AMY2478" s="54"/>
      <c r="AMZ2478" s="54"/>
      <c r="ANA2478" s="60"/>
      <c r="ANB2478" s="60"/>
      <c r="ANC2478" s="60"/>
      <c r="AND2478" s="60"/>
      <c r="ANE2478" s="63"/>
      <c r="ANF2478" s="61"/>
      <c r="ANG2478" s="54"/>
      <c r="ANH2478" s="54"/>
      <c r="ANI2478" s="60"/>
      <c r="ANJ2478" s="60"/>
      <c r="ANK2478" s="60"/>
      <c r="ANL2478" s="60"/>
      <c r="ANM2478" s="63"/>
      <c r="ANN2478" s="61"/>
      <c r="ANO2478" s="54"/>
      <c r="ANP2478" s="54"/>
      <c r="ANQ2478" s="60"/>
      <c r="ANR2478" s="60"/>
      <c r="ANS2478" s="60"/>
      <c r="ANT2478" s="60"/>
      <c r="ANU2478" s="63"/>
      <c r="ANV2478" s="61"/>
      <c r="ANW2478" s="54"/>
      <c r="ANX2478" s="54"/>
      <c r="ANY2478" s="60"/>
      <c r="ANZ2478" s="60"/>
      <c r="AOA2478" s="60"/>
      <c r="AOB2478" s="60"/>
      <c r="AOC2478" s="63"/>
      <c r="AOD2478" s="61"/>
      <c r="AOE2478" s="54"/>
      <c r="AOF2478" s="54"/>
      <c r="AOG2478" s="60"/>
      <c r="AOH2478" s="60"/>
      <c r="AOI2478" s="60"/>
      <c r="AOJ2478" s="60"/>
      <c r="AOK2478" s="63"/>
      <c r="AOL2478" s="61"/>
      <c r="AOM2478" s="54"/>
      <c r="AON2478" s="54"/>
      <c r="AOO2478" s="60"/>
      <c r="AOP2478" s="60"/>
      <c r="AOQ2478" s="60"/>
      <c r="AOR2478" s="60"/>
      <c r="AOS2478" s="63"/>
      <c r="AOT2478" s="61"/>
      <c r="AOU2478" s="54"/>
      <c r="AOV2478" s="54"/>
      <c r="AOW2478" s="60"/>
      <c r="AOX2478" s="60"/>
      <c r="AOY2478" s="60"/>
      <c r="AOZ2478" s="60"/>
      <c r="APA2478" s="63"/>
      <c r="APB2478" s="61"/>
      <c r="APC2478" s="54"/>
      <c r="APD2478" s="54"/>
      <c r="APE2478" s="60"/>
      <c r="APF2478" s="60"/>
      <c r="APG2478" s="60"/>
      <c r="APH2478" s="60"/>
      <c r="API2478" s="63"/>
      <c r="APJ2478" s="61"/>
      <c r="APK2478" s="54"/>
      <c r="APL2478" s="54"/>
      <c r="APM2478" s="60"/>
      <c r="APN2478" s="60"/>
      <c r="APO2478" s="60"/>
      <c r="APP2478" s="60"/>
      <c r="APQ2478" s="63"/>
      <c r="APR2478" s="61"/>
      <c r="APS2478" s="54"/>
      <c r="APT2478" s="54"/>
      <c r="APU2478" s="60"/>
      <c r="APV2478" s="60"/>
      <c r="APW2478" s="60"/>
      <c r="APX2478" s="60"/>
      <c r="APY2478" s="63"/>
      <c r="APZ2478" s="61"/>
      <c r="AQA2478" s="54"/>
      <c r="AQB2478" s="54"/>
      <c r="AQC2478" s="60"/>
      <c r="AQD2478" s="60"/>
      <c r="AQE2478" s="60"/>
      <c r="AQF2478" s="60"/>
      <c r="AQG2478" s="63"/>
      <c r="AQH2478" s="61"/>
      <c r="AQI2478" s="54"/>
      <c r="AQJ2478" s="54"/>
      <c r="AQK2478" s="60"/>
      <c r="AQL2478" s="60"/>
      <c r="AQM2478" s="60"/>
      <c r="AQN2478" s="60"/>
      <c r="AQO2478" s="63"/>
      <c r="AQP2478" s="61"/>
      <c r="AQQ2478" s="54"/>
      <c r="AQR2478" s="54"/>
      <c r="AQS2478" s="60"/>
      <c r="AQT2478" s="60"/>
      <c r="AQU2478" s="60"/>
      <c r="AQV2478" s="60"/>
      <c r="AQW2478" s="63"/>
      <c r="AQX2478" s="61"/>
      <c r="AQY2478" s="54"/>
      <c r="AQZ2478" s="54"/>
      <c r="ARA2478" s="60"/>
      <c r="ARB2478" s="60"/>
      <c r="ARC2478" s="60"/>
      <c r="ARD2478" s="60"/>
      <c r="ARE2478" s="63"/>
      <c r="ARF2478" s="61"/>
      <c r="ARG2478" s="54"/>
      <c r="ARH2478" s="54"/>
      <c r="ARI2478" s="60"/>
      <c r="ARJ2478" s="60"/>
      <c r="ARK2478" s="60"/>
      <c r="ARL2478" s="60"/>
      <c r="ARM2478" s="63"/>
      <c r="ARN2478" s="61"/>
      <c r="ARO2478" s="54"/>
      <c r="ARP2478" s="54"/>
      <c r="ARQ2478" s="60"/>
      <c r="ARR2478" s="60"/>
      <c r="ARS2478" s="60"/>
      <c r="ART2478" s="60"/>
      <c r="ARU2478" s="63"/>
      <c r="ARV2478" s="61"/>
      <c r="ARW2478" s="54"/>
      <c r="ARX2478" s="54"/>
      <c r="ARY2478" s="60"/>
      <c r="ARZ2478" s="60"/>
      <c r="ASA2478" s="60"/>
      <c r="ASB2478" s="60"/>
      <c r="ASC2478" s="63"/>
      <c r="ASD2478" s="61"/>
      <c r="ASE2478" s="54"/>
      <c r="ASF2478" s="54"/>
      <c r="ASG2478" s="60"/>
      <c r="ASH2478" s="60"/>
      <c r="ASI2478" s="60"/>
      <c r="ASJ2478" s="60"/>
      <c r="ASK2478" s="63"/>
      <c r="ASL2478" s="61"/>
      <c r="ASM2478" s="54"/>
      <c r="ASN2478" s="54"/>
      <c r="ASO2478" s="60"/>
      <c r="ASP2478" s="60"/>
      <c r="ASQ2478" s="60"/>
      <c r="ASR2478" s="60"/>
      <c r="ASS2478" s="63"/>
      <c r="AST2478" s="61"/>
      <c r="ASU2478" s="54"/>
      <c r="ASV2478" s="54"/>
      <c r="ASW2478" s="60"/>
      <c r="ASX2478" s="60"/>
      <c r="ASY2478" s="60"/>
      <c r="ASZ2478" s="60"/>
      <c r="ATA2478" s="63"/>
      <c r="ATB2478" s="61"/>
      <c r="ATC2478" s="54"/>
      <c r="ATD2478" s="54"/>
      <c r="ATE2478" s="60"/>
      <c r="ATF2478" s="60"/>
      <c r="ATG2478" s="60"/>
      <c r="ATH2478" s="60"/>
      <c r="ATI2478" s="63"/>
      <c r="ATJ2478" s="61"/>
      <c r="ATK2478" s="54"/>
      <c r="ATL2478" s="54"/>
      <c r="ATM2478" s="60"/>
      <c r="ATN2478" s="60"/>
      <c r="ATO2478" s="60"/>
      <c r="ATP2478" s="60"/>
      <c r="ATQ2478" s="63"/>
      <c r="ATR2478" s="61"/>
      <c r="ATS2478" s="54"/>
      <c r="ATT2478" s="54"/>
      <c r="ATU2478" s="60"/>
      <c r="ATV2478" s="60"/>
      <c r="ATW2478" s="60"/>
      <c r="ATX2478" s="60"/>
      <c r="ATY2478" s="63"/>
      <c r="ATZ2478" s="61"/>
      <c r="AUA2478" s="54"/>
      <c r="AUB2478" s="54"/>
      <c r="AUC2478" s="60"/>
      <c r="AUD2478" s="60"/>
      <c r="AUE2478" s="60"/>
      <c r="AUF2478" s="60"/>
      <c r="AUG2478" s="63"/>
      <c r="AUH2478" s="61"/>
      <c r="AUI2478" s="54"/>
      <c r="AUJ2478" s="54"/>
      <c r="AUK2478" s="60"/>
      <c r="AUL2478" s="60"/>
      <c r="AUM2478" s="60"/>
      <c r="AUN2478" s="60"/>
      <c r="AUO2478" s="63"/>
      <c r="AUP2478" s="61"/>
      <c r="AUQ2478" s="54"/>
      <c r="AUR2478" s="54"/>
      <c r="AUS2478" s="60"/>
      <c r="AUT2478" s="60"/>
      <c r="AUU2478" s="60"/>
      <c r="AUV2478" s="60"/>
      <c r="AUW2478" s="63"/>
      <c r="AUX2478" s="61"/>
      <c r="AUY2478" s="54"/>
      <c r="AUZ2478" s="54"/>
      <c r="AVA2478" s="60"/>
      <c r="AVB2478" s="60"/>
      <c r="AVC2478" s="60"/>
      <c r="AVD2478" s="60"/>
      <c r="AVE2478" s="63"/>
      <c r="AVF2478" s="61"/>
      <c r="AVG2478" s="54"/>
      <c r="AVH2478" s="54"/>
      <c r="AVI2478" s="60"/>
      <c r="AVJ2478" s="60"/>
      <c r="AVK2478" s="60"/>
      <c r="AVL2478" s="60"/>
      <c r="AVM2478" s="63"/>
      <c r="AVN2478" s="61"/>
      <c r="AVO2478" s="54"/>
      <c r="AVP2478" s="54"/>
      <c r="AVQ2478" s="60"/>
      <c r="AVR2478" s="60"/>
      <c r="AVS2478" s="60"/>
      <c r="AVT2478" s="60"/>
      <c r="AVU2478" s="63"/>
      <c r="AVV2478" s="61"/>
      <c r="AVW2478" s="54"/>
      <c r="AVX2478" s="54"/>
      <c r="AVY2478" s="60"/>
      <c r="AVZ2478" s="60"/>
      <c r="AWA2478" s="60"/>
      <c r="AWB2478" s="60"/>
      <c r="AWC2478" s="63"/>
      <c r="AWD2478" s="61"/>
      <c r="AWE2478" s="54"/>
      <c r="AWF2478" s="54"/>
      <c r="AWG2478" s="60"/>
      <c r="AWH2478" s="60"/>
      <c r="AWI2478" s="60"/>
      <c r="AWJ2478" s="60"/>
      <c r="AWK2478" s="63"/>
      <c r="AWL2478" s="61"/>
      <c r="AWM2478" s="54"/>
      <c r="AWN2478" s="54"/>
      <c r="AWO2478" s="60"/>
      <c r="AWP2478" s="60"/>
      <c r="AWQ2478" s="60"/>
      <c r="AWR2478" s="60"/>
      <c r="AWS2478" s="63"/>
      <c r="AWT2478" s="61"/>
      <c r="AWU2478" s="54"/>
      <c r="AWV2478" s="54"/>
      <c r="AWW2478" s="60"/>
      <c r="AWX2478" s="60"/>
      <c r="AWY2478" s="60"/>
      <c r="AWZ2478" s="60"/>
      <c r="AXA2478" s="63"/>
      <c r="AXB2478" s="61"/>
      <c r="AXC2478" s="54"/>
      <c r="AXD2478" s="54"/>
      <c r="AXE2478" s="60"/>
      <c r="AXF2478" s="60"/>
      <c r="AXG2478" s="60"/>
      <c r="AXH2478" s="60"/>
      <c r="AXI2478" s="63"/>
      <c r="AXJ2478" s="61"/>
      <c r="AXK2478" s="54"/>
      <c r="AXL2478" s="54"/>
      <c r="AXM2478" s="60"/>
      <c r="AXN2478" s="60"/>
      <c r="AXO2478" s="60"/>
      <c r="AXP2478" s="60"/>
      <c r="AXQ2478" s="63"/>
      <c r="AXR2478" s="61"/>
      <c r="AXS2478" s="54"/>
      <c r="AXT2478" s="54"/>
      <c r="AXU2478" s="60"/>
      <c r="AXV2478" s="60"/>
      <c r="AXW2478" s="60"/>
      <c r="AXX2478" s="60"/>
      <c r="AXY2478" s="63"/>
      <c r="AXZ2478" s="61"/>
      <c r="AYA2478" s="54"/>
      <c r="AYB2478" s="54"/>
      <c r="AYC2478" s="60"/>
      <c r="AYD2478" s="60"/>
      <c r="AYE2478" s="60"/>
      <c r="AYF2478" s="60"/>
      <c r="AYG2478" s="63"/>
      <c r="AYH2478" s="61"/>
      <c r="AYI2478" s="54"/>
      <c r="AYJ2478" s="54"/>
      <c r="AYK2478" s="60"/>
      <c r="AYL2478" s="60"/>
      <c r="AYM2478" s="60"/>
      <c r="AYN2478" s="60"/>
      <c r="AYO2478" s="63"/>
      <c r="AYP2478" s="61"/>
      <c r="AYQ2478" s="54"/>
      <c r="AYR2478" s="54"/>
      <c r="AYS2478" s="60"/>
      <c r="AYT2478" s="60"/>
      <c r="AYU2478" s="60"/>
      <c r="AYV2478" s="60"/>
      <c r="AYW2478" s="63"/>
      <c r="AYX2478" s="61"/>
      <c r="AYY2478" s="54"/>
      <c r="AYZ2478" s="54"/>
      <c r="AZA2478" s="60"/>
      <c r="AZB2478" s="60"/>
      <c r="AZC2478" s="60"/>
      <c r="AZD2478" s="60"/>
      <c r="AZE2478" s="63"/>
      <c r="AZF2478" s="61"/>
      <c r="AZG2478" s="54"/>
      <c r="AZH2478" s="54"/>
      <c r="AZI2478" s="60"/>
      <c r="AZJ2478" s="60"/>
      <c r="AZK2478" s="60"/>
      <c r="AZL2478" s="60"/>
      <c r="AZM2478" s="63"/>
      <c r="AZN2478" s="61"/>
      <c r="AZO2478" s="54"/>
      <c r="AZP2478" s="54"/>
      <c r="AZQ2478" s="60"/>
      <c r="AZR2478" s="60"/>
      <c r="AZS2478" s="60"/>
      <c r="AZT2478" s="60"/>
      <c r="AZU2478" s="63"/>
      <c r="AZV2478" s="61"/>
      <c r="AZW2478" s="54"/>
      <c r="AZX2478" s="54"/>
      <c r="AZY2478" s="60"/>
      <c r="AZZ2478" s="60"/>
      <c r="BAA2478" s="60"/>
      <c r="BAB2478" s="60"/>
      <c r="BAC2478" s="63"/>
      <c r="BAD2478" s="61"/>
      <c r="BAE2478" s="54"/>
      <c r="BAF2478" s="54"/>
      <c r="BAG2478" s="60"/>
      <c r="BAH2478" s="60"/>
      <c r="BAI2478" s="60"/>
      <c r="BAJ2478" s="60"/>
      <c r="BAK2478" s="63"/>
      <c r="BAL2478" s="61"/>
      <c r="BAM2478" s="54"/>
      <c r="BAN2478" s="54"/>
      <c r="BAO2478" s="60"/>
      <c r="BAP2478" s="60"/>
      <c r="BAQ2478" s="60"/>
      <c r="BAR2478" s="60"/>
      <c r="BAS2478" s="63"/>
      <c r="BAT2478" s="61"/>
      <c r="BAU2478" s="54"/>
      <c r="BAV2478" s="54"/>
      <c r="BAW2478" s="60"/>
      <c r="BAX2478" s="60"/>
      <c r="BAY2478" s="60"/>
      <c r="BAZ2478" s="60"/>
      <c r="BBA2478" s="63"/>
      <c r="BBB2478" s="61"/>
      <c r="BBC2478" s="54"/>
      <c r="BBD2478" s="54"/>
      <c r="BBE2478" s="60"/>
      <c r="BBF2478" s="60"/>
      <c r="BBG2478" s="60"/>
      <c r="BBH2478" s="60"/>
      <c r="BBI2478" s="63"/>
      <c r="BBJ2478" s="61"/>
      <c r="BBK2478" s="54"/>
      <c r="BBL2478" s="54"/>
      <c r="BBM2478" s="60"/>
      <c r="BBN2478" s="60"/>
      <c r="BBO2478" s="60"/>
      <c r="BBP2478" s="60"/>
      <c r="BBQ2478" s="63"/>
      <c r="BBR2478" s="61"/>
      <c r="BBS2478" s="54"/>
      <c r="BBT2478" s="54"/>
      <c r="BBU2478" s="60"/>
      <c r="BBV2478" s="60"/>
      <c r="BBW2478" s="60"/>
      <c r="BBX2478" s="60"/>
      <c r="BBY2478" s="63"/>
      <c r="BBZ2478" s="61"/>
      <c r="BCA2478" s="54"/>
      <c r="BCB2478" s="54"/>
      <c r="BCC2478" s="60"/>
      <c r="BCD2478" s="60"/>
      <c r="BCE2478" s="60"/>
      <c r="BCF2478" s="60"/>
      <c r="BCG2478" s="63"/>
      <c r="BCH2478" s="61"/>
      <c r="BCI2478" s="54"/>
      <c r="BCJ2478" s="54"/>
      <c r="BCK2478" s="60"/>
      <c r="BCL2478" s="60"/>
      <c r="BCM2478" s="60"/>
      <c r="BCN2478" s="60"/>
      <c r="BCO2478" s="63"/>
      <c r="BCP2478" s="61"/>
      <c r="BCQ2478" s="54"/>
      <c r="BCR2478" s="54"/>
      <c r="BCS2478" s="60"/>
      <c r="BCT2478" s="60"/>
      <c r="BCU2478" s="60"/>
      <c r="BCV2478" s="60"/>
      <c r="BCW2478" s="63"/>
      <c r="BCX2478" s="61"/>
      <c r="BCY2478" s="54"/>
      <c r="BCZ2478" s="54"/>
      <c r="BDA2478" s="60"/>
      <c r="BDB2478" s="60"/>
      <c r="BDC2478" s="60"/>
      <c r="BDD2478" s="60"/>
      <c r="BDE2478" s="63"/>
      <c r="BDF2478" s="61"/>
      <c r="BDG2478" s="54"/>
      <c r="BDH2478" s="54"/>
      <c r="BDI2478" s="60"/>
      <c r="BDJ2478" s="60"/>
      <c r="BDK2478" s="60"/>
      <c r="BDL2478" s="60"/>
      <c r="BDM2478" s="63"/>
      <c r="BDN2478" s="61"/>
      <c r="BDO2478" s="54"/>
      <c r="BDP2478" s="54"/>
      <c r="BDQ2478" s="60"/>
      <c r="BDR2478" s="60"/>
      <c r="BDS2478" s="60"/>
      <c r="BDT2478" s="60"/>
      <c r="BDU2478" s="63"/>
      <c r="BDV2478" s="61"/>
      <c r="BDW2478" s="54"/>
      <c r="BDX2478" s="54"/>
      <c r="BDY2478" s="60"/>
      <c r="BDZ2478" s="60"/>
      <c r="BEA2478" s="60"/>
      <c r="BEB2478" s="60"/>
      <c r="BEC2478" s="63"/>
      <c r="BED2478" s="61"/>
      <c r="BEE2478" s="54"/>
      <c r="BEF2478" s="54"/>
      <c r="BEG2478" s="60"/>
      <c r="BEH2478" s="60"/>
      <c r="BEI2478" s="60"/>
      <c r="BEJ2478" s="60"/>
      <c r="BEK2478" s="63"/>
      <c r="BEL2478" s="61"/>
      <c r="BEM2478" s="54"/>
      <c r="BEN2478" s="54"/>
      <c r="BEO2478" s="60"/>
      <c r="BEP2478" s="60"/>
      <c r="BEQ2478" s="60"/>
      <c r="BER2478" s="60"/>
      <c r="BES2478" s="63"/>
      <c r="BET2478" s="61"/>
      <c r="BEU2478" s="54"/>
      <c r="BEV2478" s="54"/>
      <c r="BEW2478" s="60"/>
      <c r="BEX2478" s="60"/>
      <c r="BEY2478" s="60"/>
      <c r="BEZ2478" s="60"/>
      <c r="BFA2478" s="63"/>
      <c r="BFB2478" s="61"/>
      <c r="BFC2478" s="54"/>
      <c r="BFD2478" s="54"/>
      <c r="BFE2478" s="60"/>
      <c r="BFF2478" s="60"/>
      <c r="BFG2478" s="60"/>
      <c r="BFH2478" s="60"/>
      <c r="BFI2478" s="63"/>
      <c r="BFJ2478" s="61"/>
      <c r="BFK2478" s="54"/>
      <c r="BFL2478" s="54"/>
      <c r="BFM2478" s="60"/>
      <c r="BFN2478" s="60"/>
      <c r="BFO2478" s="60"/>
      <c r="BFP2478" s="60"/>
      <c r="BFQ2478" s="63"/>
      <c r="BFR2478" s="61"/>
      <c r="BFS2478" s="54"/>
      <c r="BFT2478" s="54"/>
      <c r="BFU2478" s="60"/>
      <c r="BFV2478" s="60"/>
      <c r="BFW2478" s="60"/>
      <c r="BFX2478" s="60"/>
      <c r="BFY2478" s="63"/>
      <c r="BFZ2478" s="61"/>
      <c r="BGA2478" s="54"/>
      <c r="BGB2478" s="54"/>
      <c r="BGC2478" s="60"/>
      <c r="BGD2478" s="60"/>
      <c r="BGE2478" s="60"/>
      <c r="BGF2478" s="60"/>
      <c r="BGG2478" s="63"/>
      <c r="BGH2478" s="61"/>
      <c r="BGI2478" s="54"/>
      <c r="BGJ2478" s="54"/>
      <c r="BGK2478" s="60"/>
      <c r="BGL2478" s="60"/>
      <c r="BGM2478" s="60"/>
      <c r="BGN2478" s="60"/>
      <c r="BGO2478" s="63"/>
      <c r="BGP2478" s="61"/>
      <c r="BGQ2478" s="54"/>
      <c r="BGR2478" s="54"/>
      <c r="BGS2478" s="60"/>
      <c r="BGT2478" s="60"/>
      <c r="BGU2478" s="60"/>
      <c r="BGV2478" s="60"/>
      <c r="BGW2478" s="63"/>
      <c r="BGX2478" s="61"/>
      <c r="BGY2478" s="54"/>
      <c r="BGZ2478" s="54"/>
      <c r="BHA2478" s="60"/>
      <c r="BHB2478" s="60"/>
      <c r="BHC2478" s="60"/>
      <c r="BHD2478" s="60"/>
      <c r="BHE2478" s="63"/>
      <c r="BHF2478" s="61"/>
      <c r="BHG2478" s="54"/>
      <c r="BHH2478" s="54"/>
      <c r="BHI2478" s="60"/>
      <c r="BHJ2478" s="60"/>
      <c r="BHK2478" s="60"/>
      <c r="BHL2478" s="60"/>
      <c r="BHM2478" s="63"/>
      <c r="BHN2478" s="61"/>
      <c r="BHO2478" s="54"/>
      <c r="BHP2478" s="54"/>
      <c r="BHQ2478" s="60"/>
      <c r="BHR2478" s="60"/>
      <c r="BHS2478" s="60"/>
      <c r="BHT2478" s="60"/>
      <c r="BHU2478" s="63"/>
      <c r="BHV2478" s="61"/>
      <c r="BHW2478" s="54"/>
      <c r="BHX2478" s="54"/>
      <c r="BHY2478" s="60"/>
      <c r="BHZ2478" s="60"/>
      <c r="BIA2478" s="60"/>
      <c r="BIB2478" s="60"/>
      <c r="BIC2478" s="63"/>
      <c r="BID2478" s="61"/>
      <c r="BIE2478" s="54"/>
      <c r="BIF2478" s="54"/>
      <c r="BIG2478" s="60"/>
      <c r="BIH2478" s="60"/>
      <c r="BII2478" s="60"/>
      <c r="BIJ2478" s="60"/>
      <c r="BIK2478" s="63"/>
      <c r="BIL2478" s="61"/>
      <c r="BIM2478" s="54"/>
      <c r="BIN2478" s="54"/>
      <c r="BIO2478" s="60"/>
      <c r="BIP2478" s="60"/>
      <c r="BIQ2478" s="60"/>
      <c r="BIR2478" s="60"/>
      <c r="BIS2478" s="63"/>
      <c r="BIT2478" s="61"/>
      <c r="BIU2478" s="54"/>
      <c r="BIV2478" s="54"/>
      <c r="BIW2478" s="60"/>
      <c r="BIX2478" s="60"/>
      <c r="BIY2478" s="60"/>
      <c r="BIZ2478" s="60"/>
      <c r="BJA2478" s="63"/>
      <c r="BJB2478" s="61"/>
      <c r="BJC2478" s="54"/>
      <c r="BJD2478" s="54"/>
      <c r="BJE2478" s="60"/>
      <c r="BJF2478" s="60"/>
      <c r="BJG2478" s="60"/>
      <c r="BJH2478" s="60"/>
      <c r="BJI2478" s="63"/>
      <c r="BJJ2478" s="61"/>
      <c r="BJK2478" s="54"/>
      <c r="BJL2478" s="54"/>
      <c r="BJM2478" s="60"/>
      <c r="BJN2478" s="60"/>
      <c r="BJO2478" s="60"/>
      <c r="BJP2478" s="60"/>
      <c r="BJQ2478" s="63"/>
      <c r="BJR2478" s="61"/>
      <c r="BJS2478" s="54"/>
      <c r="BJT2478" s="54"/>
      <c r="BJU2478" s="60"/>
      <c r="BJV2478" s="60"/>
      <c r="BJW2478" s="60"/>
      <c r="BJX2478" s="60"/>
      <c r="BJY2478" s="63"/>
      <c r="BJZ2478" s="61"/>
      <c r="BKA2478" s="54"/>
      <c r="BKB2478" s="54"/>
      <c r="BKC2478" s="60"/>
      <c r="BKD2478" s="60"/>
      <c r="BKE2478" s="60"/>
      <c r="BKF2478" s="60"/>
      <c r="BKG2478" s="63"/>
      <c r="BKH2478" s="61"/>
      <c r="BKI2478" s="54"/>
      <c r="BKJ2478" s="54"/>
      <c r="BKK2478" s="60"/>
      <c r="BKL2478" s="60"/>
      <c r="BKM2478" s="60"/>
      <c r="BKN2478" s="60"/>
      <c r="BKO2478" s="63"/>
      <c r="BKP2478" s="61"/>
      <c r="BKQ2478" s="54"/>
      <c r="BKR2478" s="54"/>
      <c r="BKS2478" s="60"/>
      <c r="BKT2478" s="60"/>
      <c r="BKU2478" s="60"/>
      <c r="BKV2478" s="60"/>
      <c r="BKW2478" s="63"/>
      <c r="BKX2478" s="61"/>
      <c r="BKY2478" s="54"/>
      <c r="BKZ2478" s="54"/>
      <c r="BLA2478" s="60"/>
      <c r="BLB2478" s="60"/>
      <c r="BLC2478" s="60"/>
      <c r="BLD2478" s="60"/>
      <c r="BLE2478" s="63"/>
      <c r="BLF2478" s="61"/>
      <c r="BLG2478" s="54"/>
      <c r="BLH2478" s="54"/>
      <c r="BLI2478" s="60"/>
      <c r="BLJ2478" s="60"/>
      <c r="BLK2478" s="60"/>
      <c r="BLL2478" s="60"/>
      <c r="BLM2478" s="63"/>
      <c r="BLN2478" s="61"/>
      <c r="BLO2478" s="54"/>
      <c r="BLP2478" s="54"/>
      <c r="BLQ2478" s="60"/>
      <c r="BLR2478" s="60"/>
      <c r="BLS2478" s="60"/>
      <c r="BLT2478" s="60"/>
      <c r="BLU2478" s="63"/>
      <c r="BLV2478" s="61"/>
      <c r="BLW2478" s="54"/>
      <c r="BLX2478" s="54"/>
      <c r="BLY2478" s="60"/>
      <c r="BLZ2478" s="60"/>
      <c r="BMA2478" s="60"/>
      <c r="BMB2478" s="60"/>
      <c r="BMC2478" s="63"/>
      <c r="BMD2478" s="61"/>
      <c r="BME2478" s="54"/>
      <c r="BMF2478" s="54"/>
      <c r="BMG2478" s="60"/>
      <c r="BMH2478" s="60"/>
      <c r="BMI2478" s="60"/>
      <c r="BMJ2478" s="60"/>
      <c r="BMK2478" s="63"/>
      <c r="BML2478" s="61"/>
      <c r="BMM2478" s="54"/>
      <c r="BMN2478" s="54"/>
      <c r="BMO2478" s="60"/>
      <c r="BMP2478" s="60"/>
      <c r="BMQ2478" s="60"/>
      <c r="BMR2478" s="60"/>
      <c r="BMS2478" s="63"/>
      <c r="BMT2478" s="61"/>
      <c r="BMU2478" s="54"/>
      <c r="BMV2478" s="54"/>
      <c r="BMW2478" s="60"/>
      <c r="BMX2478" s="60"/>
      <c r="BMY2478" s="60"/>
      <c r="BMZ2478" s="60"/>
      <c r="BNA2478" s="63"/>
      <c r="BNB2478" s="61"/>
      <c r="BNC2478" s="54"/>
      <c r="BND2478" s="54"/>
      <c r="BNE2478" s="60"/>
      <c r="BNF2478" s="60"/>
      <c r="BNG2478" s="60"/>
      <c r="BNH2478" s="60"/>
      <c r="BNI2478" s="63"/>
      <c r="BNJ2478" s="61"/>
      <c r="BNK2478" s="54"/>
      <c r="BNL2478" s="54"/>
      <c r="BNM2478" s="60"/>
      <c r="BNN2478" s="60"/>
      <c r="BNO2478" s="60"/>
      <c r="BNP2478" s="60"/>
      <c r="BNQ2478" s="63"/>
      <c r="BNR2478" s="61"/>
      <c r="BNS2478" s="54"/>
      <c r="BNT2478" s="54"/>
      <c r="BNU2478" s="60"/>
      <c r="BNV2478" s="60"/>
      <c r="BNW2478" s="60"/>
      <c r="BNX2478" s="60"/>
      <c r="BNY2478" s="63"/>
      <c r="BNZ2478" s="61"/>
      <c r="BOA2478" s="54"/>
      <c r="BOB2478" s="54"/>
      <c r="BOC2478" s="60"/>
      <c r="BOD2478" s="60"/>
      <c r="BOE2478" s="60"/>
      <c r="BOF2478" s="60"/>
      <c r="BOG2478" s="63"/>
      <c r="BOH2478" s="61"/>
      <c r="BOI2478" s="54"/>
      <c r="BOJ2478" s="54"/>
      <c r="BOK2478" s="60"/>
      <c r="BOL2478" s="60"/>
      <c r="BOM2478" s="60"/>
      <c r="BON2478" s="60"/>
      <c r="BOO2478" s="63"/>
      <c r="BOP2478" s="61"/>
      <c r="BOQ2478" s="54"/>
      <c r="BOR2478" s="54"/>
      <c r="BOS2478" s="60"/>
      <c r="BOT2478" s="60"/>
      <c r="BOU2478" s="60"/>
      <c r="BOV2478" s="60"/>
      <c r="BOW2478" s="63"/>
      <c r="BOX2478" s="61"/>
      <c r="BOY2478" s="54"/>
      <c r="BOZ2478" s="54"/>
      <c r="BPA2478" s="60"/>
      <c r="BPB2478" s="60"/>
      <c r="BPC2478" s="60"/>
      <c r="BPD2478" s="60"/>
      <c r="BPE2478" s="63"/>
      <c r="BPF2478" s="61"/>
      <c r="BPG2478" s="54"/>
      <c r="BPH2478" s="54"/>
      <c r="BPI2478" s="60"/>
      <c r="BPJ2478" s="60"/>
      <c r="BPK2478" s="60"/>
      <c r="BPL2478" s="60"/>
      <c r="BPM2478" s="63"/>
      <c r="BPN2478" s="61"/>
      <c r="BPO2478" s="54"/>
      <c r="BPP2478" s="54"/>
      <c r="BPQ2478" s="60"/>
      <c r="BPR2478" s="60"/>
      <c r="BPS2478" s="60"/>
      <c r="BPT2478" s="60"/>
      <c r="BPU2478" s="63"/>
      <c r="BPV2478" s="61"/>
      <c r="BPW2478" s="54"/>
      <c r="BPX2478" s="54"/>
      <c r="BPY2478" s="60"/>
      <c r="BPZ2478" s="60"/>
      <c r="BQA2478" s="60"/>
      <c r="BQB2478" s="60"/>
      <c r="BQC2478" s="63"/>
      <c r="BQD2478" s="61"/>
      <c r="BQE2478" s="54"/>
      <c r="BQF2478" s="54"/>
      <c r="BQG2478" s="60"/>
      <c r="BQH2478" s="60"/>
      <c r="BQI2478" s="60"/>
      <c r="BQJ2478" s="60"/>
      <c r="BQK2478" s="63"/>
      <c r="BQL2478" s="61"/>
      <c r="BQM2478" s="54"/>
      <c r="BQN2478" s="54"/>
      <c r="BQO2478" s="60"/>
      <c r="BQP2478" s="60"/>
      <c r="BQQ2478" s="60"/>
      <c r="BQR2478" s="60"/>
      <c r="BQS2478" s="63"/>
      <c r="BQT2478" s="61"/>
      <c r="BQU2478" s="54"/>
      <c r="BQV2478" s="54"/>
      <c r="BQW2478" s="60"/>
      <c r="BQX2478" s="60"/>
      <c r="BQY2478" s="60"/>
      <c r="BQZ2478" s="60"/>
      <c r="BRA2478" s="63"/>
      <c r="BRB2478" s="61"/>
      <c r="BRC2478" s="54"/>
      <c r="BRD2478" s="54"/>
      <c r="BRE2478" s="60"/>
      <c r="BRF2478" s="60"/>
      <c r="BRG2478" s="60"/>
      <c r="BRH2478" s="60"/>
      <c r="BRI2478" s="63"/>
      <c r="BRJ2478" s="61"/>
      <c r="BRK2478" s="54"/>
      <c r="BRL2478" s="54"/>
      <c r="BRM2478" s="60"/>
      <c r="BRN2478" s="60"/>
      <c r="BRO2478" s="60"/>
      <c r="BRP2478" s="60"/>
      <c r="BRQ2478" s="63"/>
      <c r="BRR2478" s="61"/>
      <c r="BRS2478" s="54"/>
      <c r="BRT2478" s="54"/>
      <c r="BRU2478" s="60"/>
      <c r="BRV2478" s="60"/>
      <c r="BRW2478" s="60"/>
      <c r="BRX2478" s="60"/>
      <c r="BRY2478" s="63"/>
      <c r="BRZ2478" s="61"/>
      <c r="BSA2478" s="54"/>
      <c r="BSB2478" s="54"/>
      <c r="BSC2478" s="60"/>
      <c r="BSD2478" s="60"/>
      <c r="BSE2478" s="60"/>
      <c r="BSF2478" s="60"/>
      <c r="BSG2478" s="63"/>
      <c r="BSH2478" s="61"/>
      <c r="BSI2478" s="54"/>
      <c r="BSJ2478" s="54"/>
      <c r="BSK2478" s="60"/>
      <c r="BSL2478" s="60"/>
      <c r="BSM2478" s="60"/>
      <c r="BSN2478" s="60"/>
      <c r="BSO2478" s="63"/>
      <c r="BSP2478" s="61"/>
      <c r="BSQ2478" s="54"/>
      <c r="BSR2478" s="54"/>
      <c r="BSS2478" s="60"/>
      <c r="BST2478" s="60"/>
      <c r="BSU2478" s="60"/>
      <c r="BSV2478" s="60"/>
      <c r="BSW2478" s="63"/>
      <c r="BSX2478" s="61"/>
      <c r="BSY2478" s="54"/>
      <c r="BSZ2478" s="54"/>
      <c r="BTA2478" s="60"/>
      <c r="BTB2478" s="60"/>
      <c r="BTC2478" s="60"/>
      <c r="BTD2478" s="60"/>
      <c r="BTE2478" s="63"/>
      <c r="BTF2478" s="61"/>
      <c r="BTG2478" s="54"/>
      <c r="BTH2478" s="54"/>
      <c r="BTI2478" s="60"/>
      <c r="BTJ2478" s="60"/>
      <c r="BTK2478" s="60"/>
      <c r="BTL2478" s="60"/>
      <c r="BTM2478" s="63"/>
      <c r="BTN2478" s="61"/>
      <c r="BTO2478" s="54"/>
      <c r="BTP2478" s="54"/>
      <c r="BTQ2478" s="60"/>
      <c r="BTR2478" s="60"/>
      <c r="BTS2478" s="60"/>
      <c r="BTT2478" s="60"/>
      <c r="BTU2478" s="63"/>
      <c r="BTV2478" s="61"/>
      <c r="BTW2478" s="54"/>
      <c r="BTX2478" s="54"/>
      <c r="BTY2478" s="60"/>
      <c r="BTZ2478" s="60"/>
      <c r="BUA2478" s="60"/>
      <c r="BUB2478" s="60"/>
      <c r="BUC2478" s="63"/>
      <c r="BUD2478" s="61"/>
      <c r="BUE2478" s="54"/>
      <c r="BUF2478" s="54"/>
      <c r="BUG2478" s="60"/>
      <c r="BUH2478" s="60"/>
      <c r="BUI2478" s="60"/>
      <c r="BUJ2478" s="60"/>
      <c r="BUK2478" s="63"/>
      <c r="BUL2478" s="61"/>
      <c r="BUM2478" s="54"/>
      <c r="BUN2478" s="54"/>
      <c r="BUO2478" s="60"/>
      <c r="BUP2478" s="60"/>
      <c r="BUQ2478" s="60"/>
      <c r="BUR2478" s="60"/>
      <c r="BUS2478" s="63"/>
      <c r="BUT2478" s="61"/>
      <c r="BUU2478" s="54"/>
      <c r="BUV2478" s="54"/>
      <c r="BUW2478" s="60"/>
      <c r="BUX2478" s="60"/>
      <c r="BUY2478" s="60"/>
      <c r="BUZ2478" s="60"/>
      <c r="BVA2478" s="63"/>
      <c r="BVB2478" s="61"/>
      <c r="BVC2478" s="54"/>
      <c r="BVD2478" s="54"/>
      <c r="BVE2478" s="60"/>
      <c r="BVF2478" s="60"/>
      <c r="BVG2478" s="60"/>
      <c r="BVH2478" s="60"/>
      <c r="BVI2478" s="63"/>
      <c r="BVJ2478" s="61"/>
      <c r="BVK2478" s="54"/>
      <c r="BVL2478" s="54"/>
      <c r="BVM2478" s="60"/>
      <c r="BVN2478" s="60"/>
      <c r="BVO2478" s="60"/>
      <c r="BVP2478" s="60"/>
      <c r="BVQ2478" s="63"/>
      <c r="BVR2478" s="61"/>
      <c r="BVS2478" s="54"/>
      <c r="BVT2478" s="54"/>
      <c r="BVU2478" s="60"/>
      <c r="BVV2478" s="60"/>
      <c r="BVW2478" s="60"/>
      <c r="BVX2478" s="60"/>
      <c r="BVY2478" s="63"/>
      <c r="BVZ2478" s="61"/>
      <c r="BWA2478" s="54"/>
      <c r="BWB2478" s="54"/>
      <c r="BWC2478" s="60"/>
      <c r="BWD2478" s="60"/>
      <c r="BWE2478" s="60"/>
      <c r="BWF2478" s="60"/>
      <c r="BWG2478" s="63"/>
      <c r="BWH2478" s="61"/>
      <c r="BWI2478" s="54"/>
      <c r="BWJ2478" s="54"/>
      <c r="BWK2478" s="60"/>
      <c r="BWL2478" s="60"/>
      <c r="BWM2478" s="60"/>
      <c r="BWN2478" s="60"/>
      <c r="BWO2478" s="63"/>
      <c r="BWP2478" s="61"/>
      <c r="BWQ2478" s="54"/>
      <c r="BWR2478" s="54"/>
      <c r="BWS2478" s="60"/>
      <c r="BWT2478" s="60"/>
      <c r="BWU2478" s="60"/>
      <c r="BWV2478" s="60"/>
      <c r="BWW2478" s="63"/>
      <c r="BWX2478" s="61"/>
      <c r="BWY2478" s="54"/>
      <c r="BWZ2478" s="54"/>
      <c r="BXA2478" s="60"/>
      <c r="BXB2478" s="60"/>
      <c r="BXC2478" s="60"/>
      <c r="BXD2478" s="60"/>
      <c r="BXE2478" s="63"/>
      <c r="BXF2478" s="61"/>
      <c r="BXG2478" s="54"/>
      <c r="BXH2478" s="54"/>
      <c r="BXI2478" s="60"/>
      <c r="BXJ2478" s="60"/>
      <c r="BXK2478" s="60"/>
      <c r="BXL2478" s="60"/>
      <c r="BXM2478" s="63"/>
      <c r="BXN2478" s="61"/>
      <c r="BXO2478" s="54"/>
      <c r="BXP2478" s="54"/>
      <c r="BXQ2478" s="60"/>
      <c r="BXR2478" s="60"/>
      <c r="BXS2478" s="60"/>
      <c r="BXT2478" s="60"/>
      <c r="BXU2478" s="63"/>
      <c r="BXV2478" s="61"/>
      <c r="BXW2478" s="54"/>
      <c r="BXX2478" s="54"/>
      <c r="BXY2478" s="60"/>
      <c r="BXZ2478" s="60"/>
      <c r="BYA2478" s="60"/>
      <c r="BYB2478" s="60"/>
      <c r="BYC2478" s="63"/>
      <c r="BYD2478" s="61"/>
      <c r="BYE2478" s="54"/>
      <c r="BYF2478" s="54"/>
      <c r="BYG2478" s="60"/>
      <c r="BYH2478" s="60"/>
      <c r="BYI2478" s="60"/>
      <c r="BYJ2478" s="60"/>
      <c r="BYK2478" s="63"/>
      <c r="BYL2478" s="61"/>
      <c r="BYM2478" s="54"/>
      <c r="BYN2478" s="54"/>
      <c r="BYO2478" s="60"/>
      <c r="BYP2478" s="60"/>
      <c r="BYQ2478" s="60"/>
      <c r="BYR2478" s="60"/>
      <c r="BYS2478" s="63"/>
      <c r="BYT2478" s="61"/>
      <c r="BYU2478" s="54"/>
      <c r="BYV2478" s="54"/>
      <c r="BYW2478" s="60"/>
      <c r="BYX2478" s="60"/>
      <c r="BYY2478" s="60"/>
      <c r="BYZ2478" s="60"/>
      <c r="BZA2478" s="63"/>
      <c r="BZB2478" s="61"/>
      <c r="BZC2478" s="54"/>
      <c r="BZD2478" s="54"/>
      <c r="BZE2478" s="60"/>
      <c r="BZF2478" s="60"/>
      <c r="BZG2478" s="60"/>
      <c r="BZH2478" s="60"/>
      <c r="BZI2478" s="63"/>
      <c r="BZJ2478" s="61"/>
      <c r="BZK2478" s="54"/>
      <c r="BZL2478" s="54"/>
      <c r="BZM2478" s="60"/>
      <c r="BZN2478" s="60"/>
      <c r="BZO2478" s="60"/>
      <c r="BZP2478" s="60"/>
      <c r="BZQ2478" s="63"/>
      <c r="BZR2478" s="61"/>
      <c r="BZS2478" s="54"/>
      <c r="BZT2478" s="54"/>
      <c r="BZU2478" s="60"/>
      <c r="BZV2478" s="60"/>
      <c r="BZW2478" s="60"/>
      <c r="BZX2478" s="60"/>
      <c r="BZY2478" s="63"/>
      <c r="BZZ2478" s="61"/>
      <c r="CAA2478" s="54"/>
      <c r="CAB2478" s="54"/>
      <c r="CAC2478" s="60"/>
      <c r="CAD2478" s="60"/>
      <c r="CAE2478" s="60"/>
      <c r="CAF2478" s="60"/>
      <c r="CAG2478" s="63"/>
      <c r="CAH2478" s="61"/>
      <c r="CAI2478" s="54"/>
      <c r="CAJ2478" s="54"/>
      <c r="CAK2478" s="60"/>
      <c r="CAL2478" s="60"/>
      <c r="CAM2478" s="60"/>
      <c r="CAN2478" s="60"/>
      <c r="CAO2478" s="63"/>
      <c r="CAP2478" s="61"/>
      <c r="CAQ2478" s="54"/>
      <c r="CAR2478" s="54"/>
      <c r="CAS2478" s="60"/>
      <c r="CAT2478" s="60"/>
      <c r="CAU2478" s="60"/>
      <c r="CAV2478" s="60"/>
      <c r="CAW2478" s="63"/>
      <c r="CAX2478" s="61"/>
      <c r="CAY2478" s="54"/>
      <c r="CAZ2478" s="54"/>
      <c r="CBA2478" s="60"/>
      <c r="CBB2478" s="60"/>
      <c r="CBC2478" s="60"/>
      <c r="CBD2478" s="60"/>
      <c r="CBE2478" s="63"/>
      <c r="CBF2478" s="61"/>
      <c r="CBG2478" s="54"/>
      <c r="CBH2478" s="54"/>
      <c r="CBI2478" s="60"/>
      <c r="CBJ2478" s="60"/>
      <c r="CBK2478" s="60"/>
      <c r="CBL2478" s="60"/>
      <c r="CBM2478" s="63"/>
      <c r="CBN2478" s="61"/>
      <c r="CBO2478" s="54"/>
      <c r="CBP2478" s="54"/>
      <c r="CBQ2478" s="60"/>
      <c r="CBR2478" s="60"/>
      <c r="CBS2478" s="60"/>
      <c r="CBT2478" s="60"/>
      <c r="CBU2478" s="63"/>
      <c r="CBV2478" s="61"/>
      <c r="CBW2478" s="54"/>
      <c r="CBX2478" s="54"/>
      <c r="CBY2478" s="60"/>
      <c r="CBZ2478" s="60"/>
      <c r="CCA2478" s="60"/>
      <c r="CCB2478" s="60"/>
      <c r="CCC2478" s="63"/>
      <c r="CCD2478" s="61"/>
      <c r="CCE2478" s="54"/>
      <c r="CCF2478" s="54"/>
      <c r="CCG2478" s="60"/>
      <c r="CCH2478" s="60"/>
      <c r="CCI2478" s="60"/>
      <c r="CCJ2478" s="60"/>
      <c r="CCK2478" s="63"/>
      <c r="CCL2478" s="61"/>
      <c r="CCM2478" s="54"/>
      <c r="CCN2478" s="54"/>
      <c r="CCO2478" s="60"/>
      <c r="CCP2478" s="60"/>
      <c r="CCQ2478" s="60"/>
      <c r="CCR2478" s="60"/>
      <c r="CCS2478" s="63"/>
      <c r="CCT2478" s="61"/>
      <c r="CCU2478" s="54"/>
      <c r="CCV2478" s="54"/>
      <c r="CCW2478" s="60"/>
      <c r="CCX2478" s="60"/>
      <c r="CCY2478" s="60"/>
      <c r="CCZ2478" s="60"/>
      <c r="CDA2478" s="63"/>
      <c r="CDB2478" s="61"/>
      <c r="CDC2478" s="54"/>
      <c r="CDD2478" s="54"/>
      <c r="CDE2478" s="60"/>
      <c r="CDF2478" s="60"/>
      <c r="CDG2478" s="60"/>
      <c r="CDH2478" s="60"/>
      <c r="CDI2478" s="63"/>
      <c r="CDJ2478" s="61"/>
      <c r="CDK2478" s="54"/>
      <c r="CDL2478" s="54"/>
      <c r="CDM2478" s="60"/>
      <c r="CDN2478" s="60"/>
      <c r="CDO2478" s="60"/>
      <c r="CDP2478" s="60"/>
      <c r="CDQ2478" s="63"/>
      <c r="CDR2478" s="61"/>
      <c r="CDS2478" s="54"/>
      <c r="CDT2478" s="54"/>
      <c r="CDU2478" s="60"/>
      <c r="CDV2478" s="60"/>
      <c r="CDW2478" s="60"/>
      <c r="CDX2478" s="60"/>
      <c r="CDY2478" s="63"/>
      <c r="CDZ2478" s="61"/>
      <c r="CEA2478" s="54"/>
      <c r="CEB2478" s="54"/>
      <c r="CEC2478" s="60"/>
      <c r="CED2478" s="60"/>
      <c r="CEE2478" s="60"/>
      <c r="CEF2478" s="60"/>
      <c r="CEG2478" s="63"/>
      <c r="CEH2478" s="61"/>
      <c r="CEI2478" s="54"/>
      <c r="CEJ2478" s="54"/>
      <c r="CEK2478" s="60"/>
      <c r="CEL2478" s="60"/>
      <c r="CEM2478" s="60"/>
      <c r="CEN2478" s="60"/>
      <c r="CEO2478" s="63"/>
      <c r="CEP2478" s="61"/>
      <c r="CEQ2478" s="54"/>
      <c r="CER2478" s="54"/>
      <c r="CES2478" s="60"/>
      <c r="CET2478" s="60"/>
      <c r="CEU2478" s="60"/>
      <c r="CEV2478" s="60"/>
      <c r="CEW2478" s="63"/>
      <c r="CEX2478" s="61"/>
      <c r="CEY2478" s="54"/>
      <c r="CEZ2478" s="54"/>
      <c r="CFA2478" s="60"/>
      <c r="CFB2478" s="60"/>
      <c r="CFC2478" s="60"/>
      <c r="CFD2478" s="60"/>
      <c r="CFE2478" s="63"/>
      <c r="CFF2478" s="61"/>
      <c r="CFG2478" s="54"/>
      <c r="CFH2478" s="54"/>
      <c r="CFI2478" s="60"/>
      <c r="CFJ2478" s="60"/>
      <c r="CFK2478" s="60"/>
      <c r="CFL2478" s="60"/>
      <c r="CFM2478" s="63"/>
      <c r="CFN2478" s="61"/>
      <c r="CFO2478" s="54"/>
      <c r="CFP2478" s="54"/>
      <c r="CFQ2478" s="60"/>
      <c r="CFR2478" s="60"/>
      <c r="CFS2478" s="60"/>
      <c r="CFT2478" s="60"/>
      <c r="CFU2478" s="63"/>
      <c r="CFV2478" s="61"/>
      <c r="CFW2478" s="54"/>
      <c r="CFX2478" s="54"/>
      <c r="CFY2478" s="60"/>
      <c r="CFZ2478" s="60"/>
      <c r="CGA2478" s="60"/>
      <c r="CGB2478" s="60"/>
      <c r="CGC2478" s="63"/>
      <c r="CGD2478" s="61"/>
      <c r="CGE2478" s="54"/>
      <c r="CGF2478" s="54"/>
      <c r="CGG2478" s="60"/>
      <c r="CGH2478" s="60"/>
      <c r="CGI2478" s="60"/>
      <c r="CGJ2478" s="60"/>
      <c r="CGK2478" s="63"/>
      <c r="CGL2478" s="61"/>
      <c r="CGM2478" s="54"/>
      <c r="CGN2478" s="54"/>
      <c r="CGO2478" s="60"/>
      <c r="CGP2478" s="60"/>
      <c r="CGQ2478" s="60"/>
      <c r="CGR2478" s="60"/>
      <c r="CGS2478" s="63"/>
      <c r="CGT2478" s="61"/>
      <c r="CGU2478" s="54"/>
      <c r="CGV2478" s="54"/>
      <c r="CGW2478" s="60"/>
      <c r="CGX2478" s="60"/>
      <c r="CGY2478" s="60"/>
      <c r="CGZ2478" s="60"/>
      <c r="CHA2478" s="63"/>
      <c r="CHB2478" s="61"/>
      <c r="CHC2478" s="54"/>
      <c r="CHD2478" s="54"/>
      <c r="CHE2478" s="60"/>
      <c r="CHF2478" s="60"/>
      <c r="CHG2478" s="60"/>
      <c r="CHH2478" s="60"/>
      <c r="CHI2478" s="63"/>
      <c r="CHJ2478" s="61"/>
      <c r="CHK2478" s="54"/>
      <c r="CHL2478" s="54"/>
      <c r="CHM2478" s="60"/>
      <c r="CHN2478" s="60"/>
      <c r="CHO2478" s="60"/>
      <c r="CHP2478" s="60"/>
      <c r="CHQ2478" s="63"/>
      <c r="CHR2478" s="61"/>
      <c r="CHS2478" s="54"/>
      <c r="CHT2478" s="54"/>
      <c r="CHU2478" s="60"/>
      <c r="CHV2478" s="60"/>
      <c r="CHW2478" s="60"/>
      <c r="CHX2478" s="60"/>
      <c r="CHY2478" s="63"/>
      <c r="CHZ2478" s="61"/>
      <c r="CIA2478" s="54"/>
      <c r="CIB2478" s="54"/>
      <c r="CIC2478" s="60"/>
      <c r="CID2478" s="60"/>
      <c r="CIE2478" s="60"/>
      <c r="CIF2478" s="60"/>
      <c r="CIG2478" s="63"/>
      <c r="CIH2478" s="61"/>
      <c r="CII2478" s="54"/>
      <c r="CIJ2478" s="54"/>
      <c r="CIK2478" s="60"/>
      <c r="CIL2478" s="60"/>
      <c r="CIM2478" s="60"/>
      <c r="CIN2478" s="60"/>
      <c r="CIO2478" s="63"/>
      <c r="CIP2478" s="61"/>
      <c r="CIQ2478" s="54"/>
      <c r="CIR2478" s="54"/>
      <c r="CIS2478" s="60"/>
      <c r="CIT2478" s="60"/>
      <c r="CIU2478" s="60"/>
      <c r="CIV2478" s="60"/>
      <c r="CIW2478" s="63"/>
      <c r="CIX2478" s="61"/>
      <c r="CIY2478" s="54"/>
      <c r="CIZ2478" s="54"/>
      <c r="CJA2478" s="60"/>
      <c r="CJB2478" s="60"/>
      <c r="CJC2478" s="60"/>
      <c r="CJD2478" s="60"/>
      <c r="CJE2478" s="63"/>
      <c r="CJF2478" s="61"/>
      <c r="CJG2478" s="54"/>
      <c r="CJH2478" s="54"/>
      <c r="CJI2478" s="60"/>
      <c r="CJJ2478" s="60"/>
      <c r="CJK2478" s="60"/>
      <c r="CJL2478" s="60"/>
      <c r="CJM2478" s="63"/>
      <c r="CJN2478" s="61"/>
      <c r="CJO2478" s="54"/>
      <c r="CJP2478" s="54"/>
      <c r="CJQ2478" s="60"/>
      <c r="CJR2478" s="60"/>
      <c r="CJS2478" s="60"/>
      <c r="CJT2478" s="60"/>
      <c r="CJU2478" s="63"/>
      <c r="CJV2478" s="61"/>
      <c r="CJW2478" s="54"/>
      <c r="CJX2478" s="54"/>
      <c r="CJY2478" s="60"/>
      <c r="CJZ2478" s="60"/>
      <c r="CKA2478" s="60"/>
      <c r="CKB2478" s="60"/>
      <c r="CKC2478" s="63"/>
      <c r="CKD2478" s="61"/>
      <c r="CKE2478" s="54"/>
      <c r="CKF2478" s="54"/>
      <c r="CKG2478" s="60"/>
      <c r="CKH2478" s="60"/>
      <c r="CKI2478" s="60"/>
      <c r="CKJ2478" s="60"/>
      <c r="CKK2478" s="63"/>
      <c r="CKL2478" s="61"/>
      <c r="CKM2478" s="54"/>
      <c r="CKN2478" s="54"/>
      <c r="CKO2478" s="60"/>
      <c r="CKP2478" s="60"/>
      <c r="CKQ2478" s="60"/>
      <c r="CKR2478" s="60"/>
      <c r="CKS2478" s="63"/>
      <c r="CKT2478" s="61"/>
      <c r="CKU2478" s="54"/>
      <c r="CKV2478" s="54"/>
      <c r="CKW2478" s="60"/>
      <c r="CKX2478" s="60"/>
      <c r="CKY2478" s="60"/>
      <c r="CKZ2478" s="60"/>
      <c r="CLA2478" s="63"/>
      <c r="CLB2478" s="61"/>
      <c r="CLC2478" s="54"/>
      <c r="CLD2478" s="54"/>
      <c r="CLE2478" s="60"/>
      <c r="CLF2478" s="60"/>
      <c r="CLG2478" s="60"/>
      <c r="CLH2478" s="60"/>
      <c r="CLI2478" s="63"/>
      <c r="CLJ2478" s="61"/>
      <c r="CLK2478" s="54"/>
      <c r="CLL2478" s="54"/>
      <c r="CLM2478" s="60"/>
      <c r="CLN2478" s="60"/>
      <c r="CLO2478" s="60"/>
      <c r="CLP2478" s="60"/>
      <c r="CLQ2478" s="63"/>
      <c r="CLR2478" s="61"/>
      <c r="CLS2478" s="54"/>
      <c r="CLT2478" s="54"/>
      <c r="CLU2478" s="60"/>
      <c r="CLV2478" s="60"/>
      <c r="CLW2478" s="60"/>
      <c r="CLX2478" s="60"/>
      <c r="CLY2478" s="63"/>
      <c r="CLZ2478" s="61"/>
      <c r="CMA2478" s="54"/>
      <c r="CMB2478" s="54"/>
      <c r="CMC2478" s="60"/>
      <c r="CMD2478" s="60"/>
      <c r="CME2478" s="60"/>
      <c r="CMF2478" s="60"/>
      <c r="CMG2478" s="63"/>
      <c r="CMH2478" s="61"/>
      <c r="CMI2478" s="54"/>
      <c r="CMJ2478" s="54"/>
      <c r="CMK2478" s="60"/>
      <c r="CML2478" s="60"/>
      <c r="CMM2478" s="60"/>
      <c r="CMN2478" s="60"/>
      <c r="CMO2478" s="63"/>
      <c r="CMP2478" s="61"/>
      <c r="CMQ2478" s="54"/>
      <c r="CMR2478" s="54"/>
      <c r="CMS2478" s="60"/>
      <c r="CMT2478" s="60"/>
      <c r="CMU2478" s="60"/>
      <c r="CMV2478" s="60"/>
      <c r="CMW2478" s="63"/>
      <c r="CMX2478" s="61"/>
      <c r="CMY2478" s="54"/>
      <c r="CMZ2478" s="54"/>
      <c r="CNA2478" s="60"/>
      <c r="CNB2478" s="60"/>
      <c r="CNC2478" s="60"/>
      <c r="CND2478" s="60"/>
      <c r="CNE2478" s="63"/>
      <c r="CNF2478" s="61"/>
      <c r="CNG2478" s="54"/>
      <c r="CNH2478" s="54"/>
      <c r="CNI2478" s="60"/>
      <c r="CNJ2478" s="60"/>
      <c r="CNK2478" s="60"/>
      <c r="CNL2478" s="60"/>
      <c r="CNM2478" s="63"/>
      <c r="CNN2478" s="61"/>
      <c r="CNO2478" s="54"/>
      <c r="CNP2478" s="54"/>
      <c r="CNQ2478" s="60"/>
      <c r="CNR2478" s="60"/>
      <c r="CNS2478" s="60"/>
      <c r="CNT2478" s="60"/>
      <c r="CNU2478" s="63"/>
      <c r="CNV2478" s="61"/>
      <c r="CNW2478" s="54"/>
      <c r="CNX2478" s="54"/>
      <c r="CNY2478" s="60"/>
      <c r="CNZ2478" s="60"/>
      <c r="COA2478" s="60"/>
      <c r="COB2478" s="60"/>
      <c r="COC2478" s="63"/>
      <c r="COD2478" s="61"/>
      <c r="COE2478" s="54"/>
      <c r="COF2478" s="54"/>
      <c r="COG2478" s="60"/>
      <c r="COH2478" s="60"/>
      <c r="COI2478" s="60"/>
      <c r="COJ2478" s="60"/>
      <c r="COK2478" s="63"/>
      <c r="COL2478" s="61"/>
      <c r="COM2478" s="54"/>
      <c r="CON2478" s="54"/>
      <c r="COO2478" s="60"/>
      <c r="COP2478" s="60"/>
      <c r="COQ2478" s="60"/>
      <c r="COR2478" s="60"/>
      <c r="COS2478" s="63"/>
      <c r="COT2478" s="61"/>
      <c r="COU2478" s="54"/>
      <c r="COV2478" s="54"/>
      <c r="COW2478" s="60"/>
      <c r="COX2478" s="60"/>
      <c r="COY2478" s="60"/>
      <c r="COZ2478" s="60"/>
      <c r="CPA2478" s="63"/>
      <c r="CPB2478" s="61"/>
      <c r="CPC2478" s="54"/>
      <c r="CPD2478" s="54"/>
      <c r="CPE2478" s="60"/>
      <c r="CPF2478" s="60"/>
      <c r="CPG2478" s="60"/>
      <c r="CPH2478" s="60"/>
      <c r="CPI2478" s="63"/>
      <c r="CPJ2478" s="61"/>
      <c r="CPK2478" s="54"/>
      <c r="CPL2478" s="54"/>
      <c r="CPM2478" s="60"/>
      <c r="CPN2478" s="60"/>
      <c r="CPO2478" s="60"/>
      <c r="CPP2478" s="60"/>
      <c r="CPQ2478" s="63"/>
      <c r="CPR2478" s="61"/>
      <c r="CPS2478" s="54"/>
      <c r="CPT2478" s="54"/>
      <c r="CPU2478" s="60"/>
      <c r="CPV2478" s="60"/>
      <c r="CPW2478" s="60"/>
      <c r="CPX2478" s="60"/>
      <c r="CPY2478" s="63"/>
      <c r="CPZ2478" s="61"/>
      <c r="CQA2478" s="54"/>
      <c r="CQB2478" s="54"/>
      <c r="CQC2478" s="60"/>
      <c r="CQD2478" s="60"/>
      <c r="CQE2478" s="60"/>
      <c r="CQF2478" s="60"/>
      <c r="CQG2478" s="63"/>
      <c r="CQH2478" s="61"/>
      <c r="CQI2478" s="54"/>
      <c r="CQJ2478" s="54"/>
      <c r="CQK2478" s="60"/>
      <c r="CQL2478" s="60"/>
      <c r="CQM2478" s="60"/>
      <c r="CQN2478" s="60"/>
      <c r="CQO2478" s="63"/>
      <c r="CQP2478" s="61"/>
      <c r="CQQ2478" s="54"/>
      <c r="CQR2478" s="54"/>
      <c r="CQS2478" s="60"/>
      <c r="CQT2478" s="60"/>
      <c r="CQU2478" s="60"/>
      <c r="CQV2478" s="60"/>
      <c r="CQW2478" s="63"/>
      <c r="CQX2478" s="61"/>
      <c r="CQY2478" s="54"/>
      <c r="CQZ2478" s="54"/>
      <c r="CRA2478" s="60"/>
      <c r="CRB2478" s="60"/>
      <c r="CRC2478" s="60"/>
      <c r="CRD2478" s="60"/>
      <c r="CRE2478" s="63"/>
      <c r="CRF2478" s="61"/>
      <c r="CRG2478" s="54"/>
      <c r="CRH2478" s="54"/>
      <c r="CRI2478" s="60"/>
      <c r="CRJ2478" s="60"/>
      <c r="CRK2478" s="60"/>
      <c r="CRL2478" s="60"/>
      <c r="CRM2478" s="63"/>
      <c r="CRN2478" s="61"/>
      <c r="CRO2478" s="54"/>
      <c r="CRP2478" s="54"/>
      <c r="CRQ2478" s="60"/>
      <c r="CRR2478" s="60"/>
      <c r="CRS2478" s="60"/>
      <c r="CRT2478" s="60"/>
      <c r="CRU2478" s="63"/>
      <c r="CRV2478" s="61"/>
      <c r="CRW2478" s="54"/>
      <c r="CRX2478" s="54"/>
      <c r="CRY2478" s="60"/>
      <c r="CRZ2478" s="60"/>
      <c r="CSA2478" s="60"/>
      <c r="CSB2478" s="60"/>
      <c r="CSC2478" s="63"/>
      <c r="CSD2478" s="61"/>
      <c r="CSE2478" s="54"/>
      <c r="CSF2478" s="54"/>
      <c r="CSG2478" s="60"/>
      <c r="CSH2478" s="60"/>
      <c r="CSI2478" s="60"/>
      <c r="CSJ2478" s="60"/>
      <c r="CSK2478" s="63"/>
      <c r="CSL2478" s="61"/>
      <c r="CSM2478" s="54"/>
      <c r="CSN2478" s="54"/>
      <c r="CSO2478" s="60"/>
      <c r="CSP2478" s="60"/>
      <c r="CSQ2478" s="60"/>
      <c r="CSR2478" s="60"/>
      <c r="CSS2478" s="63"/>
      <c r="CST2478" s="61"/>
      <c r="CSU2478" s="54"/>
      <c r="CSV2478" s="54"/>
      <c r="CSW2478" s="60"/>
      <c r="CSX2478" s="60"/>
      <c r="CSY2478" s="60"/>
      <c r="CSZ2478" s="60"/>
      <c r="CTA2478" s="63"/>
      <c r="CTB2478" s="61"/>
      <c r="CTC2478" s="54"/>
      <c r="CTD2478" s="54"/>
      <c r="CTE2478" s="60"/>
      <c r="CTF2478" s="60"/>
      <c r="CTG2478" s="60"/>
      <c r="CTH2478" s="60"/>
      <c r="CTI2478" s="63"/>
      <c r="CTJ2478" s="61"/>
      <c r="CTK2478" s="54"/>
      <c r="CTL2478" s="54"/>
      <c r="CTM2478" s="60"/>
      <c r="CTN2478" s="60"/>
      <c r="CTO2478" s="60"/>
      <c r="CTP2478" s="60"/>
      <c r="CTQ2478" s="63"/>
      <c r="CTR2478" s="61"/>
      <c r="CTS2478" s="54"/>
      <c r="CTT2478" s="54"/>
      <c r="CTU2478" s="60"/>
      <c r="CTV2478" s="60"/>
      <c r="CTW2478" s="60"/>
      <c r="CTX2478" s="60"/>
      <c r="CTY2478" s="63"/>
      <c r="CTZ2478" s="61"/>
      <c r="CUA2478" s="54"/>
      <c r="CUB2478" s="54"/>
      <c r="CUC2478" s="60"/>
      <c r="CUD2478" s="60"/>
      <c r="CUE2478" s="60"/>
      <c r="CUF2478" s="60"/>
      <c r="CUG2478" s="63"/>
      <c r="CUH2478" s="61"/>
      <c r="CUI2478" s="54"/>
      <c r="CUJ2478" s="54"/>
      <c r="CUK2478" s="60"/>
      <c r="CUL2478" s="60"/>
      <c r="CUM2478" s="60"/>
      <c r="CUN2478" s="60"/>
      <c r="CUO2478" s="63"/>
      <c r="CUP2478" s="61"/>
      <c r="CUQ2478" s="54"/>
      <c r="CUR2478" s="54"/>
      <c r="CUS2478" s="60"/>
      <c r="CUT2478" s="60"/>
      <c r="CUU2478" s="60"/>
      <c r="CUV2478" s="60"/>
      <c r="CUW2478" s="63"/>
      <c r="CUX2478" s="61"/>
      <c r="CUY2478" s="54"/>
      <c r="CUZ2478" s="54"/>
      <c r="CVA2478" s="60"/>
      <c r="CVB2478" s="60"/>
      <c r="CVC2478" s="60"/>
      <c r="CVD2478" s="60"/>
      <c r="CVE2478" s="63"/>
      <c r="CVF2478" s="61"/>
      <c r="CVG2478" s="54"/>
      <c r="CVH2478" s="54"/>
      <c r="CVI2478" s="60"/>
      <c r="CVJ2478" s="60"/>
      <c r="CVK2478" s="60"/>
      <c r="CVL2478" s="60"/>
      <c r="CVM2478" s="63"/>
      <c r="CVN2478" s="61"/>
      <c r="CVO2478" s="54"/>
      <c r="CVP2478" s="54"/>
      <c r="CVQ2478" s="60"/>
      <c r="CVR2478" s="60"/>
      <c r="CVS2478" s="60"/>
      <c r="CVT2478" s="60"/>
      <c r="CVU2478" s="63"/>
      <c r="CVV2478" s="61"/>
      <c r="CVW2478" s="54"/>
      <c r="CVX2478" s="54"/>
      <c r="CVY2478" s="60"/>
      <c r="CVZ2478" s="60"/>
      <c r="CWA2478" s="60"/>
      <c r="CWB2478" s="60"/>
      <c r="CWC2478" s="63"/>
      <c r="CWD2478" s="61"/>
      <c r="CWE2478" s="54"/>
      <c r="CWF2478" s="54"/>
      <c r="CWG2478" s="60"/>
      <c r="CWH2478" s="60"/>
      <c r="CWI2478" s="60"/>
      <c r="CWJ2478" s="60"/>
      <c r="CWK2478" s="63"/>
      <c r="CWL2478" s="61"/>
      <c r="CWM2478" s="54"/>
      <c r="CWN2478" s="54"/>
      <c r="CWO2478" s="60"/>
      <c r="CWP2478" s="60"/>
      <c r="CWQ2478" s="60"/>
      <c r="CWR2478" s="60"/>
      <c r="CWS2478" s="63"/>
      <c r="CWT2478" s="61"/>
      <c r="CWU2478" s="54"/>
      <c r="CWV2478" s="54"/>
      <c r="CWW2478" s="60"/>
      <c r="CWX2478" s="60"/>
      <c r="CWY2478" s="60"/>
      <c r="CWZ2478" s="60"/>
      <c r="CXA2478" s="63"/>
      <c r="CXB2478" s="61"/>
      <c r="CXC2478" s="54"/>
      <c r="CXD2478" s="54"/>
      <c r="CXE2478" s="60"/>
      <c r="CXF2478" s="60"/>
      <c r="CXG2478" s="60"/>
      <c r="CXH2478" s="60"/>
      <c r="CXI2478" s="63"/>
      <c r="CXJ2478" s="61"/>
      <c r="CXK2478" s="54"/>
      <c r="CXL2478" s="54"/>
      <c r="CXM2478" s="60"/>
      <c r="CXN2478" s="60"/>
      <c r="CXO2478" s="60"/>
      <c r="CXP2478" s="60"/>
      <c r="CXQ2478" s="63"/>
      <c r="CXR2478" s="61"/>
      <c r="CXS2478" s="54"/>
      <c r="CXT2478" s="54"/>
      <c r="CXU2478" s="60"/>
      <c r="CXV2478" s="60"/>
      <c r="CXW2478" s="60"/>
      <c r="CXX2478" s="60"/>
      <c r="CXY2478" s="63"/>
      <c r="CXZ2478" s="61"/>
      <c r="CYA2478" s="54"/>
      <c r="CYB2478" s="54"/>
      <c r="CYC2478" s="60"/>
      <c r="CYD2478" s="60"/>
      <c r="CYE2478" s="60"/>
      <c r="CYF2478" s="60"/>
      <c r="CYG2478" s="63"/>
      <c r="CYH2478" s="61"/>
      <c r="CYI2478" s="54"/>
      <c r="CYJ2478" s="54"/>
      <c r="CYK2478" s="60"/>
      <c r="CYL2478" s="60"/>
      <c r="CYM2478" s="60"/>
      <c r="CYN2478" s="60"/>
      <c r="CYO2478" s="63"/>
      <c r="CYP2478" s="61"/>
      <c r="CYQ2478" s="54"/>
      <c r="CYR2478" s="54"/>
      <c r="CYS2478" s="60"/>
      <c r="CYT2478" s="60"/>
      <c r="CYU2478" s="60"/>
      <c r="CYV2478" s="60"/>
      <c r="CYW2478" s="63"/>
      <c r="CYX2478" s="61"/>
      <c r="CYY2478" s="54"/>
      <c r="CYZ2478" s="54"/>
      <c r="CZA2478" s="60"/>
      <c r="CZB2478" s="60"/>
      <c r="CZC2478" s="60"/>
      <c r="CZD2478" s="60"/>
      <c r="CZE2478" s="63"/>
      <c r="CZF2478" s="61"/>
      <c r="CZG2478" s="54"/>
      <c r="CZH2478" s="54"/>
      <c r="CZI2478" s="60"/>
      <c r="CZJ2478" s="60"/>
      <c r="CZK2478" s="60"/>
      <c r="CZL2478" s="60"/>
      <c r="CZM2478" s="63"/>
      <c r="CZN2478" s="61"/>
      <c r="CZO2478" s="54"/>
      <c r="CZP2478" s="54"/>
      <c r="CZQ2478" s="60"/>
      <c r="CZR2478" s="60"/>
      <c r="CZS2478" s="60"/>
      <c r="CZT2478" s="60"/>
      <c r="CZU2478" s="63"/>
      <c r="CZV2478" s="61"/>
      <c r="CZW2478" s="54"/>
      <c r="CZX2478" s="54"/>
      <c r="CZY2478" s="60"/>
      <c r="CZZ2478" s="60"/>
      <c r="DAA2478" s="60"/>
      <c r="DAB2478" s="60"/>
      <c r="DAC2478" s="63"/>
      <c r="DAD2478" s="61"/>
      <c r="DAE2478" s="54"/>
      <c r="DAF2478" s="54"/>
      <c r="DAG2478" s="60"/>
      <c r="DAH2478" s="60"/>
      <c r="DAI2478" s="60"/>
      <c r="DAJ2478" s="60"/>
      <c r="DAK2478" s="63"/>
      <c r="DAL2478" s="61"/>
      <c r="DAM2478" s="54"/>
      <c r="DAN2478" s="54"/>
      <c r="DAO2478" s="60"/>
      <c r="DAP2478" s="60"/>
      <c r="DAQ2478" s="60"/>
      <c r="DAR2478" s="60"/>
      <c r="DAS2478" s="63"/>
      <c r="DAT2478" s="61"/>
      <c r="DAU2478" s="54"/>
      <c r="DAV2478" s="54"/>
      <c r="DAW2478" s="60"/>
      <c r="DAX2478" s="60"/>
      <c r="DAY2478" s="60"/>
      <c r="DAZ2478" s="60"/>
      <c r="DBA2478" s="63"/>
      <c r="DBB2478" s="61"/>
      <c r="DBC2478" s="54"/>
      <c r="DBD2478" s="54"/>
      <c r="DBE2478" s="60"/>
      <c r="DBF2478" s="60"/>
      <c r="DBG2478" s="60"/>
      <c r="DBH2478" s="60"/>
      <c r="DBI2478" s="63"/>
      <c r="DBJ2478" s="61"/>
      <c r="DBK2478" s="54"/>
      <c r="DBL2478" s="54"/>
      <c r="DBM2478" s="60"/>
      <c r="DBN2478" s="60"/>
      <c r="DBO2478" s="60"/>
      <c r="DBP2478" s="60"/>
      <c r="DBQ2478" s="63"/>
      <c r="DBR2478" s="61"/>
      <c r="DBS2478" s="54"/>
      <c r="DBT2478" s="54"/>
      <c r="DBU2478" s="60"/>
      <c r="DBV2478" s="60"/>
      <c r="DBW2478" s="60"/>
      <c r="DBX2478" s="60"/>
      <c r="DBY2478" s="63"/>
      <c r="DBZ2478" s="61"/>
      <c r="DCA2478" s="54"/>
      <c r="DCB2478" s="54"/>
      <c r="DCC2478" s="60"/>
      <c r="DCD2478" s="60"/>
      <c r="DCE2478" s="60"/>
      <c r="DCF2478" s="60"/>
      <c r="DCG2478" s="63"/>
      <c r="DCH2478" s="61"/>
      <c r="DCI2478" s="54"/>
      <c r="DCJ2478" s="54"/>
      <c r="DCK2478" s="60"/>
      <c r="DCL2478" s="60"/>
      <c r="DCM2478" s="60"/>
      <c r="DCN2478" s="60"/>
      <c r="DCO2478" s="63"/>
      <c r="DCP2478" s="61"/>
      <c r="DCQ2478" s="54"/>
      <c r="DCR2478" s="54"/>
      <c r="DCS2478" s="60"/>
      <c r="DCT2478" s="60"/>
      <c r="DCU2478" s="60"/>
      <c r="DCV2478" s="60"/>
      <c r="DCW2478" s="63"/>
      <c r="DCX2478" s="61"/>
      <c r="DCY2478" s="54"/>
      <c r="DCZ2478" s="54"/>
      <c r="DDA2478" s="60"/>
      <c r="DDB2478" s="60"/>
      <c r="DDC2478" s="60"/>
      <c r="DDD2478" s="60"/>
      <c r="DDE2478" s="63"/>
      <c r="DDF2478" s="61"/>
      <c r="DDG2478" s="54"/>
      <c r="DDH2478" s="54"/>
      <c r="DDI2478" s="60"/>
      <c r="DDJ2478" s="60"/>
      <c r="DDK2478" s="60"/>
      <c r="DDL2478" s="60"/>
      <c r="DDM2478" s="63"/>
      <c r="DDN2478" s="61"/>
      <c r="DDO2478" s="54"/>
      <c r="DDP2478" s="54"/>
      <c r="DDQ2478" s="60"/>
      <c r="DDR2478" s="60"/>
      <c r="DDS2478" s="60"/>
      <c r="DDT2478" s="60"/>
      <c r="DDU2478" s="63"/>
      <c r="DDV2478" s="61"/>
      <c r="DDW2478" s="54"/>
      <c r="DDX2478" s="54"/>
      <c r="DDY2478" s="60"/>
      <c r="DDZ2478" s="60"/>
      <c r="DEA2478" s="60"/>
      <c r="DEB2478" s="60"/>
      <c r="DEC2478" s="63"/>
      <c r="DED2478" s="61"/>
      <c r="DEE2478" s="54"/>
      <c r="DEF2478" s="54"/>
      <c r="DEG2478" s="60"/>
      <c r="DEH2478" s="60"/>
      <c r="DEI2478" s="60"/>
      <c r="DEJ2478" s="60"/>
      <c r="DEK2478" s="63"/>
      <c r="DEL2478" s="61"/>
      <c r="DEM2478" s="54"/>
      <c r="DEN2478" s="54"/>
      <c r="DEO2478" s="60"/>
      <c r="DEP2478" s="60"/>
      <c r="DEQ2478" s="60"/>
      <c r="DER2478" s="60"/>
      <c r="DES2478" s="63"/>
      <c r="DET2478" s="61"/>
      <c r="DEU2478" s="54"/>
      <c r="DEV2478" s="54"/>
      <c r="DEW2478" s="60"/>
      <c r="DEX2478" s="60"/>
      <c r="DEY2478" s="60"/>
      <c r="DEZ2478" s="60"/>
      <c r="DFA2478" s="63"/>
      <c r="DFB2478" s="61"/>
      <c r="DFC2478" s="54"/>
      <c r="DFD2478" s="54"/>
      <c r="DFE2478" s="60"/>
      <c r="DFF2478" s="60"/>
      <c r="DFG2478" s="60"/>
      <c r="DFH2478" s="60"/>
      <c r="DFI2478" s="63"/>
      <c r="DFJ2478" s="61"/>
      <c r="DFK2478" s="54"/>
      <c r="DFL2478" s="54"/>
      <c r="DFM2478" s="60"/>
      <c r="DFN2478" s="60"/>
      <c r="DFO2478" s="60"/>
      <c r="DFP2478" s="60"/>
      <c r="DFQ2478" s="63"/>
      <c r="DFR2478" s="61"/>
      <c r="DFS2478" s="54"/>
      <c r="DFT2478" s="54"/>
      <c r="DFU2478" s="60"/>
      <c r="DFV2478" s="60"/>
      <c r="DFW2478" s="60"/>
      <c r="DFX2478" s="60"/>
      <c r="DFY2478" s="63"/>
      <c r="DFZ2478" s="61"/>
      <c r="DGA2478" s="54"/>
      <c r="DGB2478" s="54"/>
      <c r="DGC2478" s="60"/>
      <c r="DGD2478" s="60"/>
      <c r="DGE2478" s="60"/>
      <c r="DGF2478" s="60"/>
      <c r="DGG2478" s="63"/>
      <c r="DGH2478" s="61"/>
      <c r="DGI2478" s="54"/>
      <c r="DGJ2478" s="54"/>
      <c r="DGK2478" s="60"/>
      <c r="DGL2478" s="60"/>
      <c r="DGM2478" s="60"/>
      <c r="DGN2478" s="60"/>
      <c r="DGO2478" s="63"/>
      <c r="DGP2478" s="61"/>
      <c r="DGQ2478" s="54"/>
      <c r="DGR2478" s="54"/>
      <c r="DGS2478" s="60"/>
      <c r="DGT2478" s="60"/>
      <c r="DGU2478" s="60"/>
      <c r="DGV2478" s="60"/>
      <c r="DGW2478" s="63"/>
      <c r="DGX2478" s="61"/>
      <c r="DGY2478" s="54"/>
      <c r="DGZ2478" s="54"/>
      <c r="DHA2478" s="60"/>
      <c r="DHB2478" s="60"/>
      <c r="DHC2478" s="60"/>
      <c r="DHD2478" s="60"/>
      <c r="DHE2478" s="63"/>
      <c r="DHF2478" s="61"/>
      <c r="DHG2478" s="54"/>
      <c r="DHH2478" s="54"/>
      <c r="DHI2478" s="60"/>
      <c r="DHJ2478" s="60"/>
      <c r="DHK2478" s="60"/>
      <c r="DHL2478" s="60"/>
      <c r="DHM2478" s="63"/>
      <c r="DHN2478" s="61"/>
      <c r="DHO2478" s="54"/>
      <c r="DHP2478" s="54"/>
      <c r="DHQ2478" s="60"/>
      <c r="DHR2478" s="60"/>
      <c r="DHS2478" s="60"/>
      <c r="DHT2478" s="60"/>
      <c r="DHU2478" s="63"/>
      <c r="DHV2478" s="61"/>
      <c r="DHW2478" s="54"/>
      <c r="DHX2478" s="54"/>
      <c r="DHY2478" s="60"/>
      <c r="DHZ2478" s="60"/>
      <c r="DIA2478" s="60"/>
      <c r="DIB2478" s="60"/>
      <c r="DIC2478" s="63"/>
      <c r="DID2478" s="61"/>
      <c r="DIE2478" s="54"/>
      <c r="DIF2478" s="54"/>
      <c r="DIG2478" s="60"/>
      <c r="DIH2478" s="60"/>
      <c r="DII2478" s="60"/>
      <c r="DIJ2478" s="60"/>
      <c r="DIK2478" s="63"/>
      <c r="DIL2478" s="61"/>
      <c r="DIM2478" s="54"/>
      <c r="DIN2478" s="54"/>
      <c r="DIO2478" s="60"/>
      <c r="DIP2478" s="60"/>
      <c r="DIQ2478" s="60"/>
      <c r="DIR2478" s="60"/>
      <c r="DIS2478" s="63"/>
      <c r="DIT2478" s="61"/>
      <c r="DIU2478" s="54"/>
      <c r="DIV2478" s="54"/>
      <c r="DIW2478" s="60"/>
      <c r="DIX2478" s="60"/>
      <c r="DIY2478" s="60"/>
      <c r="DIZ2478" s="60"/>
      <c r="DJA2478" s="63"/>
      <c r="DJB2478" s="61"/>
      <c r="DJC2478" s="54"/>
      <c r="DJD2478" s="54"/>
      <c r="DJE2478" s="60"/>
      <c r="DJF2478" s="60"/>
      <c r="DJG2478" s="60"/>
      <c r="DJH2478" s="60"/>
      <c r="DJI2478" s="63"/>
      <c r="DJJ2478" s="61"/>
      <c r="DJK2478" s="54"/>
      <c r="DJL2478" s="54"/>
      <c r="DJM2478" s="60"/>
      <c r="DJN2478" s="60"/>
      <c r="DJO2478" s="60"/>
      <c r="DJP2478" s="60"/>
      <c r="DJQ2478" s="63"/>
      <c r="DJR2478" s="61"/>
      <c r="DJS2478" s="54"/>
      <c r="DJT2478" s="54"/>
      <c r="DJU2478" s="60"/>
      <c r="DJV2478" s="60"/>
      <c r="DJW2478" s="60"/>
      <c r="DJX2478" s="60"/>
      <c r="DJY2478" s="63"/>
      <c r="DJZ2478" s="61"/>
      <c r="DKA2478" s="54"/>
      <c r="DKB2478" s="54"/>
      <c r="DKC2478" s="60"/>
      <c r="DKD2478" s="60"/>
      <c r="DKE2478" s="60"/>
      <c r="DKF2478" s="60"/>
      <c r="DKG2478" s="63"/>
      <c r="DKH2478" s="61"/>
      <c r="DKI2478" s="54"/>
      <c r="DKJ2478" s="54"/>
      <c r="DKK2478" s="60"/>
      <c r="DKL2478" s="60"/>
      <c r="DKM2478" s="60"/>
      <c r="DKN2478" s="60"/>
      <c r="DKO2478" s="63"/>
      <c r="DKP2478" s="61"/>
      <c r="DKQ2478" s="54"/>
      <c r="DKR2478" s="54"/>
      <c r="DKS2478" s="60"/>
      <c r="DKT2478" s="60"/>
      <c r="DKU2478" s="60"/>
      <c r="DKV2478" s="60"/>
      <c r="DKW2478" s="63"/>
      <c r="DKX2478" s="61"/>
      <c r="DKY2478" s="54"/>
      <c r="DKZ2478" s="54"/>
      <c r="DLA2478" s="60"/>
      <c r="DLB2478" s="60"/>
      <c r="DLC2478" s="60"/>
      <c r="DLD2478" s="60"/>
      <c r="DLE2478" s="63"/>
      <c r="DLF2478" s="61"/>
      <c r="DLG2478" s="54"/>
      <c r="DLH2478" s="54"/>
      <c r="DLI2478" s="60"/>
      <c r="DLJ2478" s="60"/>
      <c r="DLK2478" s="60"/>
      <c r="DLL2478" s="60"/>
      <c r="DLM2478" s="63"/>
      <c r="DLN2478" s="61"/>
      <c r="DLO2478" s="54"/>
      <c r="DLP2478" s="54"/>
      <c r="DLQ2478" s="60"/>
      <c r="DLR2478" s="60"/>
      <c r="DLS2478" s="60"/>
      <c r="DLT2478" s="60"/>
      <c r="DLU2478" s="63"/>
      <c r="DLV2478" s="61"/>
      <c r="DLW2478" s="54"/>
      <c r="DLX2478" s="54"/>
      <c r="DLY2478" s="60"/>
      <c r="DLZ2478" s="60"/>
      <c r="DMA2478" s="60"/>
      <c r="DMB2478" s="60"/>
      <c r="DMC2478" s="63"/>
      <c r="DMD2478" s="61"/>
      <c r="DME2478" s="54"/>
      <c r="DMF2478" s="54"/>
      <c r="DMG2478" s="60"/>
      <c r="DMH2478" s="60"/>
      <c r="DMI2478" s="60"/>
      <c r="DMJ2478" s="60"/>
      <c r="DMK2478" s="63"/>
      <c r="DML2478" s="61"/>
      <c r="DMM2478" s="54"/>
      <c r="DMN2478" s="54"/>
      <c r="DMO2478" s="60"/>
      <c r="DMP2478" s="60"/>
      <c r="DMQ2478" s="60"/>
      <c r="DMR2478" s="60"/>
      <c r="DMS2478" s="63"/>
      <c r="DMT2478" s="61"/>
      <c r="DMU2478" s="54"/>
      <c r="DMV2478" s="54"/>
      <c r="DMW2478" s="60"/>
      <c r="DMX2478" s="60"/>
      <c r="DMY2478" s="60"/>
      <c r="DMZ2478" s="60"/>
      <c r="DNA2478" s="63"/>
      <c r="DNB2478" s="61"/>
      <c r="DNC2478" s="54"/>
      <c r="DND2478" s="54"/>
      <c r="DNE2478" s="60"/>
      <c r="DNF2478" s="60"/>
      <c r="DNG2478" s="60"/>
      <c r="DNH2478" s="60"/>
      <c r="DNI2478" s="63"/>
      <c r="DNJ2478" s="61"/>
      <c r="DNK2478" s="54"/>
      <c r="DNL2478" s="54"/>
      <c r="DNM2478" s="60"/>
      <c r="DNN2478" s="60"/>
      <c r="DNO2478" s="60"/>
      <c r="DNP2478" s="60"/>
      <c r="DNQ2478" s="63"/>
      <c r="DNR2478" s="61"/>
      <c r="DNS2478" s="54"/>
      <c r="DNT2478" s="54"/>
      <c r="DNU2478" s="60"/>
      <c r="DNV2478" s="60"/>
      <c r="DNW2478" s="60"/>
      <c r="DNX2478" s="60"/>
      <c r="DNY2478" s="63"/>
      <c r="DNZ2478" s="61"/>
      <c r="DOA2478" s="54"/>
      <c r="DOB2478" s="54"/>
      <c r="DOC2478" s="60"/>
      <c r="DOD2478" s="60"/>
      <c r="DOE2478" s="60"/>
      <c r="DOF2478" s="60"/>
      <c r="DOG2478" s="63"/>
      <c r="DOH2478" s="61"/>
      <c r="DOI2478" s="54"/>
      <c r="DOJ2478" s="54"/>
      <c r="DOK2478" s="60"/>
      <c r="DOL2478" s="60"/>
      <c r="DOM2478" s="60"/>
      <c r="DON2478" s="60"/>
      <c r="DOO2478" s="63"/>
      <c r="DOP2478" s="61"/>
      <c r="DOQ2478" s="54"/>
      <c r="DOR2478" s="54"/>
      <c r="DOS2478" s="60"/>
      <c r="DOT2478" s="60"/>
      <c r="DOU2478" s="60"/>
      <c r="DOV2478" s="60"/>
      <c r="DOW2478" s="63"/>
      <c r="DOX2478" s="61"/>
      <c r="DOY2478" s="54"/>
      <c r="DOZ2478" s="54"/>
      <c r="DPA2478" s="60"/>
      <c r="DPB2478" s="60"/>
      <c r="DPC2478" s="60"/>
      <c r="DPD2478" s="60"/>
      <c r="DPE2478" s="63"/>
      <c r="DPF2478" s="61"/>
      <c r="DPG2478" s="54"/>
      <c r="DPH2478" s="54"/>
      <c r="DPI2478" s="60"/>
      <c r="DPJ2478" s="60"/>
      <c r="DPK2478" s="60"/>
      <c r="DPL2478" s="60"/>
      <c r="DPM2478" s="63"/>
      <c r="DPN2478" s="61"/>
      <c r="DPO2478" s="54"/>
      <c r="DPP2478" s="54"/>
      <c r="DPQ2478" s="60"/>
      <c r="DPR2478" s="60"/>
      <c r="DPS2478" s="60"/>
      <c r="DPT2478" s="60"/>
      <c r="DPU2478" s="63"/>
      <c r="DPV2478" s="61"/>
      <c r="DPW2478" s="54"/>
      <c r="DPX2478" s="54"/>
      <c r="DPY2478" s="60"/>
      <c r="DPZ2478" s="60"/>
      <c r="DQA2478" s="60"/>
      <c r="DQB2478" s="60"/>
      <c r="DQC2478" s="63"/>
      <c r="DQD2478" s="61"/>
      <c r="DQE2478" s="54"/>
      <c r="DQF2478" s="54"/>
      <c r="DQG2478" s="60"/>
      <c r="DQH2478" s="60"/>
      <c r="DQI2478" s="60"/>
      <c r="DQJ2478" s="60"/>
      <c r="DQK2478" s="63"/>
      <c r="DQL2478" s="61"/>
      <c r="DQM2478" s="54"/>
      <c r="DQN2478" s="54"/>
      <c r="DQO2478" s="60"/>
      <c r="DQP2478" s="60"/>
      <c r="DQQ2478" s="60"/>
      <c r="DQR2478" s="60"/>
      <c r="DQS2478" s="63"/>
      <c r="DQT2478" s="61"/>
      <c r="DQU2478" s="54"/>
      <c r="DQV2478" s="54"/>
      <c r="DQW2478" s="60"/>
      <c r="DQX2478" s="60"/>
      <c r="DQY2478" s="60"/>
      <c r="DQZ2478" s="60"/>
      <c r="DRA2478" s="63"/>
      <c r="DRB2478" s="61"/>
      <c r="DRC2478" s="54"/>
      <c r="DRD2478" s="54"/>
      <c r="DRE2478" s="60"/>
      <c r="DRF2478" s="60"/>
      <c r="DRG2478" s="60"/>
      <c r="DRH2478" s="60"/>
      <c r="DRI2478" s="63"/>
      <c r="DRJ2478" s="61"/>
      <c r="DRK2478" s="54"/>
      <c r="DRL2478" s="54"/>
      <c r="DRM2478" s="60"/>
      <c r="DRN2478" s="60"/>
      <c r="DRO2478" s="60"/>
      <c r="DRP2478" s="60"/>
      <c r="DRQ2478" s="63"/>
      <c r="DRR2478" s="61"/>
      <c r="DRS2478" s="54"/>
      <c r="DRT2478" s="54"/>
      <c r="DRU2478" s="60"/>
      <c r="DRV2478" s="60"/>
      <c r="DRW2478" s="60"/>
      <c r="DRX2478" s="60"/>
      <c r="DRY2478" s="63"/>
      <c r="DRZ2478" s="61"/>
      <c r="DSA2478" s="54"/>
      <c r="DSB2478" s="54"/>
      <c r="DSC2478" s="60"/>
      <c r="DSD2478" s="60"/>
      <c r="DSE2478" s="60"/>
      <c r="DSF2478" s="60"/>
      <c r="DSG2478" s="63"/>
      <c r="DSH2478" s="61"/>
      <c r="DSI2478" s="54"/>
      <c r="DSJ2478" s="54"/>
      <c r="DSK2478" s="60"/>
      <c r="DSL2478" s="60"/>
      <c r="DSM2478" s="60"/>
      <c r="DSN2478" s="60"/>
      <c r="DSO2478" s="63"/>
      <c r="DSP2478" s="61"/>
      <c r="DSQ2478" s="54"/>
      <c r="DSR2478" s="54"/>
      <c r="DSS2478" s="60"/>
      <c r="DST2478" s="60"/>
      <c r="DSU2478" s="60"/>
      <c r="DSV2478" s="60"/>
      <c r="DSW2478" s="63"/>
      <c r="DSX2478" s="61"/>
      <c r="DSY2478" s="54"/>
      <c r="DSZ2478" s="54"/>
      <c r="DTA2478" s="60"/>
      <c r="DTB2478" s="60"/>
      <c r="DTC2478" s="60"/>
      <c r="DTD2478" s="60"/>
      <c r="DTE2478" s="63"/>
      <c r="DTF2478" s="61"/>
      <c r="DTG2478" s="54"/>
      <c r="DTH2478" s="54"/>
      <c r="DTI2478" s="60"/>
      <c r="DTJ2478" s="60"/>
      <c r="DTK2478" s="60"/>
      <c r="DTL2478" s="60"/>
      <c r="DTM2478" s="63"/>
      <c r="DTN2478" s="61"/>
      <c r="DTO2478" s="54"/>
      <c r="DTP2478" s="54"/>
      <c r="DTQ2478" s="60"/>
      <c r="DTR2478" s="60"/>
      <c r="DTS2478" s="60"/>
      <c r="DTT2478" s="60"/>
      <c r="DTU2478" s="63"/>
      <c r="DTV2478" s="61"/>
      <c r="DTW2478" s="54"/>
      <c r="DTX2478" s="54"/>
      <c r="DTY2478" s="60"/>
      <c r="DTZ2478" s="60"/>
      <c r="DUA2478" s="60"/>
      <c r="DUB2478" s="60"/>
      <c r="DUC2478" s="63"/>
      <c r="DUD2478" s="61"/>
      <c r="DUE2478" s="54"/>
      <c r="DUF2478" s="54"/>
      <c r="DUG2478" s="60"/>
      <c r="DUH2478" s="60"/>
      <c r="DUI2478" s="60"/>
      <c r="DUJ2478" s="60"/>
      <c r="DUK2478" s="63"/>
      <c r="DUL2478" s="61"/>
      <c r="DUM2478" s="54"/>
      <c r="DUN2478" s="54"/>
      <c r="DUO2478" s="60"/>
      <c r="DUP2478" s="60"/>
      <c r="DUQ2478" s="60"/>
      <c r="DUR2478" s="60"/>
      <c r="DUS2478" s="63"/>
      <c r="DUT2478" s="61"/>
      <c r="DUU2478" s="54"/>
      <c r="DUV2478" s="54"/>
      <c r="DUW2478" s="60"/>
      <c r="DUX2478" s="60"/>
      <c r="DUY2478" s="60"/>
      <c r="DUZ2478" s="60"/>
      <c r="DVA2478" s="63"/>
      <c r="DVB2478" s="61"/>
      <c r="DVC2478" s="54"/>
      <c r="DVD2478" s="54"/>
      <c r="DVE2478" s="60"/>
      <c r="DVF2478" s="60"/>
      <c r="DVG2478" s="60"/>
      <c r="DVH2478" s="60"/>
      <c r="DVI2478" s="63"/>
      <c r="DVJ2478" s="61"/>
      <c r="DVK2478" s="54"/>
      <c r="DVL2478" s="54"/>
      <c r="DVM2478" s="60"/>
      <c r="DVN2478" s="60"/>
      <c r="DVO2478" s="60"/>
      <c r="DVP2478" s="60"/>
      <c r="DVQ2478" s="63"/>
      <c r="DVR2478" s="61"/>
      <c r="DVS2478" s="54"/>
      <c r="DVT2478" s="54"/>
      <c r="DVU2478" s="60"/>
      <c r="DVV2478" s="60"/>
      <c r="DVW2478" s="60"/>
      <c r="DVX2478" s="60"/>
      <c r="DVY2478" s="63"/>
      <c r="DVZ2478" s="61"/>
      <c r="DWA2478" s="54"/>
      <c r="DWB2478" s="54"/>
      <c r="DWC2478" s="60"/>
      <c r="DWD2478" s="60"/>
      <c r="DWE2478" s="60"/>
      <c r="DWF2478" s="60"/>
      <c r="DWG2478" s="63"/>
      <c r="DWH2478" s="61"/>
      <c r="DWI2478" s="54"/>
      <c r="DWJ2478" s="54"/>
      <c r="DWK2478" s="60"/>
      <c r="DWL2478" s="60"/>
      <c r="DWM2478" s="60"/>
      <c r="DWN2478" s="60"/>
      <c r="DWO2478" s="63"/>
      <c r="DWP2478" s="61"/>
      <c r="DWQ2478" s="54"/>
      <c r="DWR2478" s="54"/>
      <c r="DWS2478" s="60"/>
      <c r="DWT2478" s="60"/>
      <c r="DWU2478" s="60"/>
      <c r="DWV2478" s="60"/>
      <c r="DWW2478" s="63"/>
      <c r="DWX2478" s="61"/>
      <c r="DWY2478" s="54"/>
      <c r="DWZ2478" s="54"/>
      <c r="DXA2478" s="60"/>
      <c r="DXB2478" s="60"/>
      <c r="DXC2478" s="60"/>
      <c r="DXD2478" s="60"/>
      <c r="DXE2478" s="63"/>
      <c r="DXF2478" s="61"/>
      <c r="DXG2478" s="54"/>
      <c r="DXH2478" s="54"/>
      <c r="DXI2478" s="60"/>
      <c r="DXJ2478" s="60"/>
      <c r="DXK2478" s="60"/>
      <c r="DXL2478" s="60"/>
      <c r="DXM2478" s="63"/>
      <c r="DXN2478" s="61"/>
      <c r="DXO2478" s="54"/>
      <c r="DXP2478" s="54"/>
      <c r="DXQ2478" s="60"/>
      <c r="DXR2478" s="60"/>
      <c r="DXS2478" s="60"/>
      <c r="DXT2478" s="60"/>
      <c r="DXU2478" s="63"/>
      <c r="DXV2478" s="61"/>
      <c r="DXW2478" s="54"/>
      <c r="DXX2478" s="54"/>
      <c r="DXY2478" s="60"/>
      <c r="DXZ2478" s="60"/>
      <c r="DYA2478" s="60"/>
      <c r="DYB2478" s="60"/>
      <c r="DYC2478" s="63"/>
      <c r="DYD2478" s="61"/>
      <c r="DYE2478" s="54"/>
      <c r="DYF2478" s="54"/>
      <c r="DYG2478" s="60"/>
      <c r="DYH2478" s="60"/>
      <c r="DYI2478" s="60"/>
      <c r="DYJ2478" s="60"/>
      <c r="DYK2478" s="63"/>
      <c r="DYL2478" s="61"/>
      <c r="DYM2478" s="54"/>
      <c r="DYN2478" s="54"/>
      <c r="DYO2478" s="60"/>
      <c r="DYP2478" s="60"/>
      <c r="DYQ2478" s="60"/>
      <c r="DYR2478" s="60"/>
      <c r="DYS2478" s="63"/>
      <c r="DYT2478" s="61"/>
      <c r="DYU2478" s="54"/>
      <c r="DYV2478" s="54"/>
      <c r="DYW2478" s="60"/>
      <c r="DYX2478" s="60"/>
      <c r="DYY2478" s="60"/>
      <c r="DYZ2478" s="60"/>
      <c r="DZA2478" s="63"/>
      <c r="DZB2478" s="61"/>
      <c r="DZC2478" s="54"/>
      <c r="DZD2478" s="54"/>
      <c r="DZE2478" s="60"/>
      <c r="DZF2478" s="60"/>
      <c r="DZG2478" s="60"/>
      <c r="DZH2478" s="60"/>
      <c r="DZI2478" s="63"/>
      <c r="DZJ2478" s="61"/>
      <c r="DZK2478" s="54"/>
      <c r="DZL2478" s="54"/>
      <c r="DZM2478" s="60"/>
      <c r="DZN2478" s="60"/>
      <c r="DZO2478" s="60"/>
      <c r="DZP2478" s="60"/>
      <c r="DZQ2478" s="63"/>
      <c r="DZR2478" s="61"/>
      <c r="DZS2478" s="54"/>
      <c r="DZT2478" s="54"/>
      <c r="DZU2478" s="60"/>
      <c r="DZV2478" s="60"/>
      <c r="DZW2478" s="60"/>
      <c r="DZX2478" s="60"/>
      <c r="DZY2478" s="63"/>
      <c r="DZZ2478" s="61"/>
      <c r="EAA2478" s="54"/>
      <c r="EAB2478" s="54"/>
      <c r="EAC2478" s="60"/>
      <c r="EAD2478" s="60"/>
      <c r="EAE2478" s="60"/>
      <c r="EAF2478" s="60"/>
      <c r="EAG2478" s="63"/>
      <c r="EAH2478" s="61"/>
      <c r="EAI2478" s="54"/>
      <c r="EAJ2478" s="54"/>
      <c r="EAK2478" s="60"/>
      <c r="EAL2478" s="60"/>
      <c r="EAM2478" s="60"/>
      <c r="EAN2478" s="60"/>
      <c r="EAO2478" s="63"/>
      <c r="EAP2478" s="61"/>
      <c r="EAQ2478" s="54"/>
      <c r="EAR2478" s="54"/>
      <c r="EAS2478" s="60"/>
      <c r="EAT2478" s="60"/>
      <c r="EAU2478" s="60"/>
      <c r="EAV2478" s="60"/>
      <c r="EAW2478" s="63"/>
      <c r="EAX2478" s="61"/>
      <c r="EAY2478" s="54"/>
      <c r="EAZ2478" s="54"/>
      <c r="EBA2478" s="60"/>
      <c r="EBB2478" s="60"/>
      <c r="EBC2478" s="60"/>
      <c r="EBD2478" s="60"/>
      <c r="EBE2478" s="63"/>
      <c r="EBF2478" s="61"/>
      <c r="EBG2478" s="54"/>
      <c r="EBH2478" s="54"/>
      <c r="EBI2478" s="60"/>
      <c r="EBJ2478" s="60"/>
      <c r="EBK2478" s="60"/>
      <c r="EBL2478" s="60"/>
      <c r="EBM2478" s="63"/>
      <c r="EBN2478" s="61"/>
      <c r="EBO2478" s="54"/>
      <c r="EBP2478" s="54"/>
      <c r="EBQ2478" s="60"/>
      <c r="EBR2478" s="60"/>
      <c r="EBS2478" s="60"/>
      <c r="EBT2478" s="60"/>
      <c r="EBU2478" s="63"/>
      <c r="EBV2478" s="61"/>
      <c r="EBW2478" s="54"/>
      <c r="EBX2478" s="54"/>
      <c r="EBY2478" s="60"/>
      <c r="EBZ2478" s="60"/>
      <c r="ECA2478" s="60"/>
      <c r="ECB2478" s="60"/>
      <c r="ECC2478" s="63"/>
      <c r="ECD2478" s="61"/>
      <c r="ECE2478" s="54"/>
      <c r="ECF2478" s="54"/>
      <c r="ECG2478" s="60"/>
      <c r="ECH2478" s="60"/>
      <c r="ECI2478" s="60"/>
      <c r="ECJ2478" s="60"/>
      <c r="ECK2478" s="63"/>
      <c r="ECL2478" s="61"/>
      <c r="ECM2478" s="54"/>
      <c r="ECN2478" s="54"/>
      <c r="ECO2478" s="60"/>
      <c r="ECP2478" s="60"/>
      <c r="ECQ2478" s="60"/>
      <c r="ECR2478" s="60"/>
      <c r="ECS2478" s="63"/>
      <c r="ECT2478" s="61"/>
      <c r="ECU2478" s="54"/>
      <c r="ECV2478" s="54"/>
      <c r="ECW2478" s="60"/>
      <c r="ECX2478" s="60"/>
      <c r="ECY2478" s="60"/>
      <c r="ECZ2478" s="60"/>
      <c r="EDA2478" s="63"/>
      <c r="EDB2478" s="61"/>
      <c r="EDC2478" s="54"/>
      <c r="EDD2478" s="54"/>
      <c r="EDE2478" s="60"/>
      <c r="EDF2478" s="60"/>
      <c r="EDG2478" s="60"/>
      <c r="EDH2478" s="60"/>
      <c r="EDI2478" s="63"/>
      <c r="EDJ2478" s="61"/>
      <c r="EDK2478" s="54"/>
      <c r="EDL2478" s="54"/>
      <c r="EDM2478" s="60"/>
      <c r="EDN2478" s="60"/>
      <c r="EDO2478" s="60"/>
      <c r="EDP2478" s="60"/>
      <c r="EDQ2478" s="63"/>
      <c r="EDR2478" s="61"/>
      <c r="EDS2478" s="54"/>
      <c r="EDT2478" s="54"/>
      <c r="EDU2478" s="60"/>
      <c r="EDV2478" s="60"/>
      <c r="EDW2478" s="60"/>
      <c r="EDX2478" s="60"/>
      <c r="EDY2478" s="63"/>
      <c r="EDZ2478" s="61"/>
      <c r="EEA2478" s="54"/>
      <c r="EEB2478" s="54"/>
      <c r="EEC2478" s="60"/>
      <c r="EED2478" s="60"/>
      <c r="EEE2478" s="60"/>
      <c r="EEF2478" s="60"/>
      <c r="EEG2478" s="63"/>
      <c r="EEH2478" s="61"/>
      <c r="EEI2478" s="54"/>
      <c r="EEJ2478" s="54"/>
      <c r="EEK2478" s="60"/>
      <c r="EEL2478" s="60"/>
      <c r="EEM2478" s="60"/>
      <c r="EEN2478" s="60"/>
      <c r="EEO2478" s="63"/>
      <c r="EEP2478" s="61"/>
      <c r="EEQ2478" s="54"/>
      <c r="EER2478" s="54"/>
      <c r="EES2478" s="60"/>
      <c r="EET2478" s="60"/>
      <c r="EEU2478" s="60"/>
      <c r="EEV2478" s="60"/>
      <c r="EEW2478" s="63"/>
      <c r="EEX2478" s="61"/>
      <c r="EEY2478" s="54"/>
      <c r="EEZ2478" s="54"/>
      <c r="EFA2478" s="60"/>
      <c r="EFB2478" s="60"/>
      <c r="EFC2478" s="60"/>
      <c r="EFD2478" s="60"/>
      <c r="EFE2478" s="63"/>
      <c r="EFF2478" s="61"/>
      <c r="EFG2478" s="54"/>
      <c r="EFH2478" s="54"/>
      <c r="EFI2478" s="60"/>
      <c r="EFJ2478" s="60"/>
      <c r="EFK2478" s="60"/>
      <c r="EFL2478" s="60"/>
      <c r="EFM2478" s="63"/>
      <c r="EFN2478" s="61"/>
      <c r="EFO2478" s="54"/>
      <c r="EFP2478" s="54"/>
      <c r="EFQ2478" s="60"/>
      <c r="EFR2478" s="60"/>
      <c r="EFS2478" s="60"/>
      <c r="EFT2478" s="60"/>
      <c r="EFU2478" s="63"/>
      <c r="EFV2478" s="61"/>
      <c r="EFW2478" s="54"/>
      <c r="EFX2478" s="54"/>
      <c r="EFY2478" s="60"/>
      <c r="EFZ2478" s="60"/>
      <c r="EGA2478" s="60"/>
      <c r="EGB2478" s="60"/>
      <c r="EGC2478" s="63"/>
      <c r="EGD2478" s="61"/>
      <c r="EGE2478" s="54"/>
      <c r="EGF2478" s="54"/>
      <c r="EGG2478" s="60"/>
      <c r="EGH2478" s="60"/>
      <c r="EGI2478" s="60"/>
      <c r="EGJ2478" s="60"/>
      <c r="EGK2478" s="63"/>
      <c r="EGL2478" s="61"/>
      <c r="EGM2478" s="54"/>
      <c r="EGN2478" s="54"/>
      <c r="EGO2478" s="60"/>
      <c r="EGP2478" s="60"/>
      <c r="EGQ2478" s="60"/>
      <c r="EGR2478" s="60"/>
      <c r="EGS2478" s="63"/>
      <c r="EGT2478" s="61"/>
      <c r="EGU2478" s="54"/>
      <c r="EGV2478" s="54"/>
      <c r="EGW2478" s="60"/>
      <c r="EGX2478" s="60"/>
      <c r="EGY2478" s="60"/>
      <c r="EGZ2478" s="60"/>
      <c r="EHA2478" s="63"/>
      <c r="EHB2478" s="61"/>
      <c r="EHC2478" s="54"/>
      <c r="EHD2478" s="54"/>
      <c r="EHE2478" s="60"/>
      <c r="EHF2478" s="60"/>
      <c r="EHG2478" s="60"/>
      <c r="EHH2478" s="60"/>
      <c r="EHI2478" s="63"/>
      <c r="EHJ2478" s="61"/>
      <c r="EHK2478" s="54"/>
      <c r="EHL2478" s="54"/>
      <c r="EHM2478" s="60"/>
      <c r="EHN2478" s="60"/>
      <c r="EHO2478" s="60"/>
      <c r="EHP2478" s="60"/>
      <c r="EHQ2478" s="63"/>
      <c r="EHR2478" s="61"/>
      <c r="EHS2478" s="54"/>
      <c r="EHT2478" s="54"/>
      <c r="EHU2478" s="60"/>
      <c r="EHV2478" s="60"/>
      <c r="EHW2478" s="60"/>
      <c r="EHX2478" s="60"/>
      <c r="EHY2478" s="63"/>
      <c r="EHZ2478" s="61"/>
      <c r="EIA2478" s="54"/>
      <c r="EIB2478" s="54"/>
      <c r="EIC2478" s="60"/>
      <c r="EID2478" s="60"/>
      <c r="EIE2478" s="60"/>
      <c r="EIF2478" s="60"/>
      <c r="EIG2478" s="63"/>
      <c r="EIH2478" s="61"/>
      <c r="EII2478" s="54"/>
      <c r="EIJ2478" s="54"/>
      <c r="EIK2478" s="60"/>
      <c r="EIL2478" s="60"/>
      <c r="EIM2478" s="60"/>
      <c r="EIN2478" s="60"/>
      <c r="EIO2478" s="63"/>
      <c r="EIP2478" s="61"/>
      <c r="EIQ2478" s="54"/>
      <c r="EIR2478" s="54"/>
      <c r="EIS2478" s="60"/>
      <c r="EIT2478" s="60"/>
      <c r="EIU2478" s="60"/>
      <c r="EIV2478" s="60"/>
      <c r="EIW2478" s="63"/>
      <c r="EIX2478" s="61"/>
      <c r="EIY2478" s="54"/>
      <c r="EIZ2478" s="54"/>
      <c r="EJA2478" s="60"/>
      <c r="EJB2478" s="60"/>
      <c r="EJC2478" s="60"/>
      <c r="EJD2478" s="60"/>
      <c r="EJE2478" s="63"/>
      <c r="EJF2478" s="61"/>
      <c r="EJG2478" s="54"/>
      <c r="EJH2478" s="54"/>
      <c r="EJI2478" s="60"/>
      <c r="EJJ2478" s="60"/>
      <c r="EJK2478" s="60"/>
      <c r="EJL2478" s="60"/>
      <c r="EJM2478" s="63"/>
      <c r="EJN2478" s="61"/>
      <c r="EJO2478" s="54"/>
      <c r="EJP2478" s="54"/>
      <c r="EJQ2478" s="60"/>
      <c r="EJR2478" s="60"/>
      <c r="EJS2478" s="60"/>
      <c r="EJT2478" s="60"/>
      <c r="EJU2478" s="63"/>
      <c r="EJV2478" s="61"/>
      <c r="EJW2478" s="54"/>
      <c r="EJX2478" s="54"/>
      <c r="EJY2478" s="60"/>
      <c r="EJZ2478" s="60"/>
      <c r="EKA2478" s="60"/>
      <c r="EKB2478" s="60"/>
      <c r="EKC2478" s="63"/>
      <c r="EKD2478" s="61"/>
      <c r="EKE2478" s="54"/>
      <c r="EKF2478" s="54"/>
      <c r="EKG2478" s="60"/>
      <c r="EKH2478" s="60"/>
      <c r="EKI2478" s="60"/>
      <c r="EKJ2478" s="60"/>
      <c r="EKK2478" s="63"/>
      <c r="EKL2478" s="61"/>
      <c r="EKM2478" s="54"/>
      <c r="EKN2478" s="54"/>
      <c r="EKO2478" s="60"/>
      <c r="EKP2478" s="60"/>
      <c r="EKQ2478" s="60"/>
      <c r="EKR2478" s="60"/>
      <c r="EKS2478" s="63"/>
      <c r="EKT2478" s="61"/>
      <c r="EKU2478" s="54"/>
      <c r="EKV2478" s="54"/>
      <c r="EKW2478" s="60"/>
      <c r="EKX2478" s="60"/>
      <c r="EKY2478" s="60"/>
      <c r="EKZ2478" s="60"/>
      <c r="ELA2478" s="63"/>
      <c r="ELB2478" s="61"/>
      <c r="ELC2478" s="54"/>
      <c r="ELD2478" s="54"/>
      <c r="ELE2478" s="60"/>
      <c r="ELF2478" s="60"/>
      <c r="ELG2478" s="60"/>
      <c r="ELH2478" s="60"/>
      <c r="ELI2478" s="63"/>
      <c r="ELJ2478" s="61"/>
      <c r="ELK2478" s="54"/>
      <c r="ELL2478" s="54"/>
      <c r="ELM2478" s="60"/>
      <c r="ELN2478" s="60"/>
      <c r="ELO2478" s="60"/>
      <c r="ELP2478" s="60"/>
      <c r="ELQ2478" s="63"/>
      <c r="ELR2478" s="61"/>
      <c r="ELS2478" s="54"/>
      <c r="ELT2478" s="54"/>
      <c r="ELU2478" s="60"/>
      <c r="ELV2478" s="60"/>
      <c r="ELW2478" s="60"/>
      <c r="ELX2478" s="60"/>
      <c r="ELY2478" s="63"/>
      <c r="ELZ2478" s="61"/>
      <c r="EMA2478" s="54"/>
      <c r="EMB2478" s="54"/>
      <c r="EMC2478" s="60"/>
      <c r="EMD2478" s="60"/>
      <c r="EME2478" s="60"/>
      <c r="EMF2478" s="60"/>
      <c r="EMG2478" s="63"/>
      <c r="EMH2478" s="61"/>
      <c r="EMI2478" s="54"/>
      <c r="EMJ2478" s="54"/>
      <c r="EMK2478" s="60"/>
      <c r="EML2478" s="60"/>
      <c r="EMM2478" s="60"/>
      <c r="EMN2478" s="60"/>
      <c r="EMO2478" s="63"/>
      <c r="EMP2478" s="61"/>
      <c r="EMQ2478" s="54"/>
      <c r="EMR2478" s="54"/>
      <c r="EMS2478" s="60"/>
      <c r="EMT2478" s="60"/>
      <c r="EMU2478" s="60"/>
      <c r="EMV2478" s="60"/>
      <c r="EMW2478" s="63"/>
      <c r="EMX2478" s="61"/>
      <c r="EMY2478" s="54"/>
      <c r="EMZ2478" s="54"/>
      <c r="ENA2478" s="60"/>
      <c r="ENB2478" s="60"/>
      <c r="ENC2478" s="60"/>
      <c r="END2478" s="60"/>
      <c r="ENE2478" s="63"/>
      <c r="ENF2478" s="61"/>
      <c r="ENG2478" s="54"/>
      <c r="ENH2478" s="54"/>
      <c r="ENI2478" s="60"/>
      <c r="ENJ2478" s="60"/>
      <c r="ENK2478" s="60"/>
      <c r="ENL2478" s="60"/>
      <c r="ENM2478" s="63"/>
      <c r="ENN2478" s="61"/>
      <c r="ENO2478" s="54"/>
      <c r="ENP2478" s="54"/>
      <c r="ENQ2478" s="60"/>
      <c r="ENR2478" s="60"/>
      <c r="ENS2478" s="60"/>
      <c r="ENT2478" s="60"/>
      <c r="ENU2478" s="63"/>
      <c r="ENV2478" s="61"/>
      <c r="ENW2478" s="54"/>
      <c r="ENX2478" s="54"/>
      <c r="ENY2478" s="60"/>
      <c r="ENZ2478" s="60"/>
      <c r="EOA2478" s="60"/>
      <c r="EOB2478" s="60"/>
      <c r="EOC2478" s="63"/>
      <c r="EOD2478" s="61"/>
      <c r="EOE2478" s="54"/>
      <c r="EOF2478" s="54"/>
      <c r="EOG2478" s="60"/>
      <c r="EOH2478" s="60"/>
      <c r="EOI2478" s="60"/>
      <c r="EOJ2478" s="60"/>
      <c r="EOK2478" s="63"/>
      <c r="EOL2478" s="61"/>
      <c r="EOM2478" s="54"/>
      <c r="EON2478" s="54"/>
      <c r="EOO2478" s="60"/>
      <c r="EOP2478" s="60"/>
      <c r="EOQ2478" s="60"/>
      <c r="EOR2478" s="60"/>
      <c r="EOS2478" s="63"/>
      <c r="EOT2478" s="61"/>
      <c r="EOU2478" s="54"/>
      <c r="EOV2478" s="54"/>
      <c r="EOW2478" s="60"/>
      <c r="EOX2478" s="60"/>
      <c r="EOY2478" s="60"/>
      <c r="EOZ2478" s="60"/>
      <c r="EPA2478" s="63"/>
      <c r="EPB2478" s="61"/>
      <c r="EPC2478" s="54"/>
      <c r="EPD2478" s="54"/>
      <c r="EPE2478" s="60"/>
      <c r="EPF2478" s="60"/>
      <c r="EPG2478" s="60"/>
      <c r="EPH2478" s="60"/>
      <c r="EPI2478" s="63"/>
      <c r="EPJ2478" s="61"/>
      <c r="EPK2478" s="54"/>
      <c r="EPL2478" s="54"/>
      <c r="EPM2478" s="60"/>
      <c r="EPN2478" s="60"/>
      <c r="EPO2478" s="60"/>
      <c r="EPP2478" s="60"/>
      <c r="EPQ2478" s="63"/>
      <c r="EPR2478" s="61"/>
      <c r="EPS2478" s="54"/>
      <c r="EPT2478" s="54"/>
      <c r="EPU2478" s="60"/>
      <c r="EPV2478" s="60"/>
      <c r="EPW2478" s="60"/>
      <c r="EPX2478" s="60"/>
      <c r="EPY2478" s="63"/>
      <c r="EPZ2478" s="61"/>
      <c r="EQA2478" s="54"/>
      <c r="EQB2478" s="54"/>
      <c r="EQC2478" s="60"/>
      <c r="EQD2478" s="60"/>
      <c r="EQE2478" s="60"/>
      <c r="EQF2478" s="60"/>
      <c r="EQG2478" s="63"/>
      <c r="EQH2478" s="61"/>
      <c r="EQI2478" s="54"/>
      <c r="EQJ2478" s="54"/>
      <c r="EQK2478" s="60"/>
      <c r="EQL2478" s="60"/>
      <c r="EQM2478" s="60"/>
      <c r="EQN2478" s="60"/>
      <c r="EQO2478" s="63"/>
      <c r="EQP2478" s="61"/>
      <c r="EQQ2478" s="54"/>
      <c r="EQR2478" s="54"/>
      <c r="EQS2478" s="60"/>
      <c r="EQT2478" s="60"/>
      <c r="EQU2478" s="60"/>
      <c r="EQV2478" s="60"/>
      <c r="EQW2478" s="63"/>
      <c r="EQX2478" s="61"/>
      <c r="EQY2478" s="54"/>
      <c r="EQZ2478" s="54"/>
      <c r="ERA2478" s="60"/>
      <c r="ERB2478" s="60"/>
      <c r="ERC2478" s="60"/>
      <c r="ERD2478" s="60"/>
      <c r="ERE2478" s="63"/>
      <c r="ERF2478" s="61"/>
      <c r="ERG2478" s="54"/>
      <c r="ERH2478" s="54"/>
      <c r="ERI2478" s="60"/>
      <c r="ERJ2478" s="60"/>
      <c r="ERK2478" s="60"/>
      <c r="ERL2478" s="60"/>
      <c r="ERM2478" s="63"/>
      <c r="ERN2478" s="61"/>
      <c r="ERO2478" s="54"/>
      <c r="ERP2478" s="54"/>
      <c r="ERQ2478" s="60"/>
      <c r="ERR2478" s="60"/>
      <c r="ERS2478" s="60"/>
      <c r="ERT2478" s="60"/>
      <c r="ERU2478" s="63"/>
      <c r="ERV2478" s="61"/>
      <c r="ERW2478" s="54"/>
      <c r="ERX2478" s="54"/>
      <c r="ERY2478" s="60"/>
      <c r="ERZ2478" s="60"/>
      <c r="ESA2478" s="60"/>
      <c r="ESB2478" s="60"/>
      <c r="ESC2478" s="63"/>
      <c r="ESD2478" s="61"/>
      <c r="ESE2478" s="54"/>
      <c r="ESF2478" s="54"/>
      <c r="ESG2478" s="60"/>
      <c r="ESH2478" s="60"/>
      <c r="ESI2478" s="60"/>
      <c r="ESJ2478" s="60"/>
      <c r="ESK2478" s="63"/>
      <c r="ESL2478" s="61"/>
      <c r="ESM2478" s="54"/>
      <c r="ESN2478" s="54"/>
      <c r="ESO2478" s="60"/>
      <c r="ESP2478" s="60"/>
      <c r="ESQ2478" s="60"/>
      <c r="ESR2478" s="60"/>
      <c r="ESS2478" s="63"/>
      <c r="EST2478" s="61"/>
      <c r="ESU2478" s="54"/>
      <c r="ESV2478" s="54"/>
      <c r="ESW2478" s="60"/>
      <c r="ESX2478" s="60"/>
      <c r="ESY2478" s="60"/>
      <c r="ESZ2478" s="60"/>
      <c r="ETA2478" s="63"/>
      <c r="ETB2478" s="61"/>
      <c r="ETC2478" s="54"/>
      <c r="ETD2478" s="54"/>
      <c r="ETE2478" s="60"/>
      <c r="ETF2478" s="60"/>
      <c r="ETG2478" s="60"/>
      <c r="ETH2478" s="60"/>
      <c r="ETI2478" s="63"/>
      <c r="ETJ2478" s="61"/>
      <c r="ETK2478" s="54"/>
      <c r="ETL2478" s="54"/>
      <c r="ETM2478" s="60"/>
      <c r="ETN2478" s="60"/>
      <c r="ETO2478" s="60"/>
      <c r="ETP2478" s="60"/>
      <c r="ETQ2478" s="63"/>
      <c r="ETR2478" s="61"/>
      <c r="ETS2478" s="54"/>
      <c r="ETT2478" s="54"/>
      <c r="ETU2478" s="60"/>
      <c r="ETV2478" s="60"/>
      <c r="ETW2478" s="60"/>
      <c r="ETX2478" s="60"/>
      <c r="ETY2478" s="63"/>
      <c r="ETZ2478" s="61"/>
      <c r="EUA2478" s="54"/>
      <c r="EUB2478" s="54"/>
      <c r="EUC2478" s="60"/>
      <c r="EUD2478" s="60"/>
      <c r="EUE2478" s="60"/>
      <c r="EUF2478" s="60"/>
      <c r="EUG2478" s="63"/>
      <c r="EUH2478" s="61"/>
      <c r="EUI2478" s="54"/>
      <c r="EUJ2478" s="54"/>
      <c r="EUK2478" s="60"/>
      <c r="EUL2478" s="60"/>
      <c r="EUM2478" s="60"/>
      <c r="EUN2478" s="60"/>
      <c r="EUO2478" s="63"/>
      <c r="EUP2478" s="61"/>
      <c r="EUQ2478" s="54"/>
      <c r="EUR2478" s="54"/>
      <c r="EUS2478" s="60"/>
      <c r="EUT2478" s="60"/>
      <c r="EUU2478" s="60"/>
      <c r="EUV2478" s="60"/>
      <c r="EUW2478" s="63"/>
      <c r="EUX2478" s="61"/>
      <c r="EUY2478" s="54"/>
      <c r="EUZ2478" s="54"/>
      <c r="EVA2478" s="60"/>
      <c r="EVB2478" s="60"/>
      <c r="EVC2478" s="60"/>
      <c r="EVD2478" s="60"/>
      <c r="EVE2478" s="63"/>
      <c r="EVF2478" s="61"/>
      <c r="EVG2478" s="54"/>
      <c r="EVH2478" s="54"/>
      <c r="EVI2478" s="60"/>
      <c r="EVJ2478" s="60"/>
      <c r="EVK2478" s="60"/>
      <c r="EVL2478" s="60"/>
      <c r="EVM2478" s="63"/>
      <c r="EVN2478" s="61"/>
      <c r="EVO2478" s="54"/>
      <c r="EVP2478" s="54"/>
      <c r="EVQ2478" s="60"/>
      <c r="EVR2478" s="60"/>
      <c r="EVS2478" s="60"/>
      <c r="EVT2478" s="60"/>
      <c r="EVU2478" s="63"/>
      <c r="EVV2478" s="61"/>
      <c r="EVW2478" s="54"/>
      <c r="EVX2478" s="54"/>
      <c r="EVY2478" s="60"/>
      <c r="EVZ2478" s="60"/>
      <c r="EWA2478" s="60"/>
      <c r="EWB2478" s="60"/>
      <c r="EWC2478" s="63"/>
      <c r="EWD2478" s="61"/>
      <c r="EWE2478" s="54"/>
      <c r="EWF2478" s="54"/>
      <c r="EWG2478" s="60"/>
      <c r="EWH2478" s="60"/>
      <c r="EWI2478" s="60"/>
      <c r="EWJ2478" s="60"/>
      <c r="EWK2478" s="63"/>
      <c r="EWL2478" s="61"/>
      <c r="EWM2478" s="54"/>
      <c r="EWN2478" s="54"/>
      <c r="EWO2478" s="60"/>
      <c r="EWP2478" s="60"/>
      <c r="EWQ2478" s="60"/>
      <c r="EWR2478" s="60"/>
      <c r="EWS2478" s="63"/>
      <c r="EWT2478" s="61"/>
      <c r="EWU2478" s="54"/>
      <c r="EWV2478" s="54"/>
      <c r="EWW2478" s="60"/>
      <c r="EWX2478" s="60"/>
      <c r="EWY2478" s="60"/>
      <c r="EWZ2478" s="60"/>
      <c r="EXA2478" s="63"/>
      <c r="EXB2478" s="61"/>
      <c r="EXC2478" s="54"/>
      <c r="EXD2478" s="54"/>
      <c r="EXE2478" s="60"/>
      <c r="EXF2478" s="60"/>
      <c r="EXG2478" s="60"/>
      <c r="EXH2478" s="60"/>
      <c r="EXI2478" s="63"/>
      <c r="EXJ2478" s="61"/>
      <c r="EXK2478" s="54"/>
      <c r="EXL2478" s="54"/>
      <c r="EXM2478" s="60"/>
      <c r="EXN2478" s="60"/>
      <c r="EXO2478" s="60"/>
      <c r="EXP2478" s="60"/>
      <c r="EXQ2478" s="63"/>
      <c r="EXR2478" s="61"/>
      <c r="EXS2478" s="54"/>
      <c r="EXT2478" s="54"/>
      <c r="EXU2478" s="60"/>
      <c r="EXV2478" s="60"/>
      <c r="EXW2478" s="60"/>
      <c r="EXX2478" s="60"/>
      <c r="EXY2478" s="63"/>
      <c r="EXZ2478" s="61"/>
      <c r="EYA2478" s="54"/>
      <c r="EYB2478" s="54"/>
      <c r="EYC2478" s="60"/>
      <c r="EYD2478" s="60"/>
      <c r="EYE2478" s="60"/>
      <c r="EYF2478" s="60"/>
      <c r="EYG2478" s="63"/>
      <c r="EYH2478" s="61"/>
      <c r="EYI2478" s="54"/>
      <c r="EYJ2478" s="54"/>
      <c r="EYK2478" s="60"/>
      <c r="EYL2478" s="60"/>
      <c r="EYM2478" s="60"/>
      <c r="EYN2478" s="60"/>
      <c r="EYO2478" s="63"/>
      <c r="EYP2478" s="61"/>
      <c r="EYQ2478" s="54"/>
      <c r="EYR2478" s="54"/>
      <c r="EYS2478" s="60"/>
      <c r="EYT2478" s="60"/>
      <c r="EYU2478" s="60"/>
      <c r="EYV2478" s="60"/>
      <c r="EYW2478" s="63"/>
      <c r="EYX2478" s="61"/>
      <c r="EYY2478" s="54"/>
      <c r="EYZ2478" s="54"/>
      <c r="EZA2478" s="60"/>
      <c r="EZB2478" s="60"/>
      <c r="EZC2478" s="60"/>
      <c r="EZD2478" s="60"/>
      <c r="EZE2478" s="63"/>
      <c r="EZF2478" s="61"/>
      <c r="EZG2478" s="54"/>
      <c r="EZH2478" s="54"/>
      <c r="EZI2478" s="60"/>
      <c r="EZJ2478" s="60"/>
      <c r="EZK2478" s="60"/>
      <c r="EZL2478" s="60"/>
      <c r="EZM2478" s="63"/>
      <c r="EZN2478" s="61"/>
      <c r="EZO2478" s="54"/>
      <c r="EZP2478" s="54"/>
      <c r="EZQ2478" s="60"/>
      <c r="EZR2478" s="60"/>
      <c r="EZS2478" s="60"/>
      <c r="EZT2478" s="60"/>
      <c r="EZU2478" s="63"/>
      <c r="EZV2478" s="61"/>
      <c r="EZW2478" s="54"/>
      <c r="EZX2478" s="54"/>
      <c r="EZY2478" s="60"/>
      <c r="EZZ2478" s="60"/>
      <c r="FAA2478" s="60"/>
      <c r="FAB2478" s="60"/>
      <c r="FAC2478" s="63"/>
      <c r="FAD2478" s="61"/>
      <c r="FAE2478" s="54"/>
      <c r="FAF2478" s="54"/>
      <c r="FAG2478" s="60"/>
      <c r="FAH2478" s="60"/>
      <c r="FAI2478" s="60"/>
      <c r="FAJ2478" s="60"/>
      <c r="FAK2478" s="63"/>
      <c r="FAL2478" s="61"/>
      <c r="FAM2478" s="54"/>
      <c r="FAN2478" s="54"/>
      <c r="FAO2478" s="60"/>
      <c r="FAP2478" s="60"/>
      <c r="FAQ2478" s="60"/>
      <c r="FAR2478" s="60"/>
      <c r="FAS2478" s="63"/>
      <c r="FAT2478" s="61"/>
      <c r="FAU2478" s="54"/>
      <c r="FAV2478" s="54"/>
      <c r="FAW2478" s="60"/>
      <c r="FAX2478" s="60"/>
      <c r="FAY2478" s="60"/>
      <c r="FAZ2478" s="60"/>
      <c r="FBA2478" s="63"/>
      <c r="FBB2478" s="61"/>
      <c r="FBC2478" s="54"/>
      <c r="FBD2478" s="54"/>
      <c r="FBE2478" s="60"/>
      <c r="FBF2478" s="60"/>
      <c r="FBG2478" s="60"/>
      <c r="FBH2478" s="60"/>
      <c r="FBI2478" s="63"/>
      <c r="FBJ2478" s="61"/>
      <c r="FBK2478" s="54"/>
      <c r="FBL2478" s="54"/>
      <c r="FBM2478" s="60"/>
      <c r="FBN2478" s="60"/>
      <c r="FBO2478" s="60"/>
      <c r="FBP2478" s="60"/>
      <c r="FBQ2478" s="63"/>
      <c r="FBR2478" s="61"/>
      <c r="FBS2478" s="54"/>
      <c r="FBT2478" s="54"/>
      <c r="FBU2478" s="60"/>
      <c r="FBV2478" s="60"/>
      <c r="FBW2478" s="60"/>
      <c r="FBX2478" s="60"/>
      <c r="FBY2478" s="63"/>
      <c r="FBZ2478" s="61"/>
      <c r="FCA2478" s="54"/>
      <c r="FCB2478" s="54"/>
      <c r="FCC2478" s="60"/>
      <c r="FCD2478" s="60"/>
      <c r="FCE2478" s="60"/>
      <c r="FCF2478" s="60"/>
      <c r="FCG2478" s="63"/>
      <c r="FCH2478" s="61"/>
      <c r="FCI2478" s="54"/>
      <c r="FCJ2478" s="54"/>
      <c r="FCK2478" s="60"/>
      <c r="FCL2478" s="60"/>
      <c r="FCM2478" s="60"/>
      <c r="FCN2478" s="60"/>
      <c r="FCO2478" s="63"/>
      <c r="FCP2478" s="61"/>
      <c r="FCQ2478" s="54"/>
      <c r="FCR2478" s="54"/>
      <c r="FCS2478" s="60"/>
      <c r="FCT2478" s="60"/>
      <c r="FCU2478" s="60"/>
      <c r="FCV2478" s="60"/>
      <c r="FCW2478" s="63"/>
      <c r="FCX2478" s="61"/>
      <c r="FCY2478" s="54"/>
      <c r="FCZ2478" s="54"/>
      <c r="FDA2478" s="60"/>
      <c r="FDB2478" s="60"/>
      <c r="FDC2478" s="60"/>
      <c r="FDD2478" s="60"/>
      <c r="FDE2478" s="63"/>
      <c r="FDF2478" s="61"/>
      <c r="FDG2478" s="54"/>
      <c r="FDH2478" s="54"/>
      <c r="FDI2478" s="60"/>
      <c r="FDJ2478" s="60"/>
      <c r="FDK2478" s="60"/>
      <c r="FDL2478" s="60"/>
      <c r="FDM2478" s="63"/>
      <c r="FDN2478" s="61"/>
      <c r="FDO2478" s="54"/>
      <c r="FDP2478" s="54"/>
      <c r="FDQ2478" s="60"/>
      <c r="FDR2478" s="60"/>
      <c r="FDS2478" s="60"/>
      <c r="FDT2478" s="60"/>
      <c r="FDU2478" s="63"/>
      <c r="FDV2478" s="61"/>
      <c r="FDW2478" s="54"/>
      <c r="FDX2478" s="54"/>
      <c r="FDY2478" s="60"/>
      <c r="FDZ2478" s="60"/>
      <c r="FEA2478" s="60"/>
      <c r="FEB2478" s="60"/>
      <c r="FEC2478" s="63"/>
      <c r="FED2478" s="61"/>
      <c r="FEE2478" s="54"/>
      <c r="FEF2478" s="54"/>
      <c r="FEG2478" s="60"/>
      <c r="FEH2478" s="60"/>
      <c r="FEI2478" s="60"/>
      <c r="FEJ2478" s="60"/>
      <c r="FEK2478" s="63"/>
      <c r="FEL2478" s="61"/>
      <c r="FEM2478" s="54"/>
      <c r="FEN2478" s="54"/>
      <c r="FEO2478" s="60"/>
      <c r="FEP2478" s="60"/>
      <c r="FEQ2478" s="60"/>
      <c r="FER2478" s="60"/>
      <c r="FES2478" s="63"/>
      <c r="FET2478" s="61"/>
      <c r="FEU2478" s="54"/>
      <c r="FEV2478" s="54"/>
      <c r="FEW2478" s="60"/>
      <c r="FEX2478" s="60"/>
      <c r="FEY2478" s="60"/>
      <c r="FEZ2478" s="60"/>
      <c r="FFA2478" s="63"/>
      <c r="FFB2478" s="61"/>
      <c r="FFC2478" s="54"/>
      <c r="FFD2478" s="54"/>
      <c r="FFE2478" s="60"/>
      <c r="FFF2478" s="60"/>
      <c r="FFG2478" s="60"/>
      <c r="FFH2478" s="60"/>
      <c r="FFI2478" s="63"/>
      <c r="FFJ2478" s="61"/>
      <c r="FFK2478" s="54"/>
      <c r="FFL2478" s="54"/>
      <c r="FFM2478" s="60"/>
      <c r="FFN2478" s="60"/>
      <c r="FFO2478" s="60"/>
      <c r="FFP2478" s="60"/>
      <c r="FFQ2478" s="63"/>
      <c r="FFR2478" s="61"/>
      <c r="FFS2478" s="54"/>
      <c r="FFT2478" s="54"/>
      <c r="FFU2478" s="60"/>
      <c r="FFV2478" s="60"/>
      <c r="FFW2478" s="60"/>
      <c r="FFX2478" s="60"/>
      <c r="FFY2478" s="63"/>
      <c r="FFZ2478" s="61"/>
      <c r="FGA2478" s="54"/>
      <c r="FGB2478" s="54"/>
      <c r="FGC2478" s="60"/>
      <c r="FGD2478" s="60"/>
      <c r="FGE2478" s="60"/>
      <c r="FGF2478" s="60"/>
      <c r="FGG2478" s="63"/>
      <c r="FGH2478" s="61"/>
      <c r="FGI2478" s="54"/>
      <c r="FGJ2478" s="54"/>
      <c r="FGK2478" s="60"/>
      <c r="FGL2478" s="60"/>
      <c r="FGM2478" s="60"/>
      <c r="FGN2478" s="60"/>
      <c r="FGO2478" s="63"/>
      <c r="FGP2478" s="61"/>
      <c r="FGQ2478" s="54"/>
      <c r="FGR2478" s="54"/>
      <c r="FGS2478" s="60"/>
      <c r="FGT2478" s="60"/>
      <c r="FGU2478" s="60"/>
      <c r="FGV2478" s="60"/>
      <c r="FGW2478" s="63"/>
      <c r="FGX2478" s="61"/>
      <c r="FGY2478" s="54"/>
      <c r="FGZ2478" s="54"/>
      <c r="FHA2478" s="60"/>
      <c r="FHB2478" s="60"/>
      <c r="FHC2478" s="60"/>
      <c r="FHD2478" s="60"/>
      <c r="FHE2478" s="63"/>
      <c r="FHF2478" s="61"/>
      <c r="FHG2478" s="54"/>
      <c r="FHH2478" s="54"/>
      <c r="FHI2478" s="60"/>
      <c r="FHJ2478" s="60"/>
      <c r="FHK2478" s="60"/>
      <c r="FHL2478" s="60"/>
      <c r="FHM2478" s="63"/>
      <c r="FHN2478" s="61"/>
      <c r="FHO2478" s="54"/>
      <c r="FHP2478" s="54"/>
      <c r="FHQ2478" s="60"/>
      <c r="FHR2478" s="60"/>
      <c r="FHS2478" s="60"/>
      <c r="FHT2478" s="60"/>
      <c r="FHU2478" s="63"/>
      <c r="FHV2478" s="61"/>
      <c r="FHW2478" s="54"/>
      <c r="FHX2478" s="54"/>
      <c r="FHY2478" s="60"/>
      <c r="FHZ2478" s="60"/>
      <c r="FIA2478" s="60"/>
      <c r="FIB2478" s="60"/>
      <c r="FIC2478" s="63"/>
      <c r="FID2478" s="61"/>
      <c r="FIE2478" s="54"/>
      <c r="FIF2478" s="54"/>
      <c r="FIG2478" s="60"/>
      <c r="FIH2478" s="60"/>
      <c r="FII2478" s="60"/>
      <c r="FIJ2478" s="60"/>
      <c r="FIK2478" s="63"/>
      <c r="FIL2478" s="61"/>
      <c r="FIM2478" s="54"/>
      <c r="FIN2478" s="54"/>
      <c r="FIO2478" s="60"/>
      <c r="FIP2478" s="60"/>
      <c r="FIQ2478" s="60"/>
      <c r="FIR2478" s="60"/>
      <c r="FIS2478" s="63"/>
      <c r="FIT2478" s="61"/>
      <c r="FIU2478" s="54"/>
      <c r="FIV2478" s="54"/>
      <c r="FIW2478" s="60"/>
      <c r="FIX2478" s="60"/>
      <c r="FIY2478" s="60"/>
      <c r="FIZ2478" s="60"/>
      <c r="FJA2478" s="63"/>
      <c r="FJB2478" s="61"/>
      <c r="FJC2478" s="54"/>
      <c r="FJD2478" s="54"/>
      <c r="FJE2478" s="60"/>
      <c r="FJF2478" s="60"/>
      <c r="FJG2478" s="60"/>
      <c r="FJH2478" s="60"/>
      <c r="FJI2478" s="63"/>
      <c r="FJJ2478" s="61"/>
      <c r="FJK2478" s="54"/>
      <c r="FJL2478" s="54"/>
      <c r="FJM2478" s="60"/>
      <c r="FJN2478" s="60"/>
      <c r="FJO2478" s="60"/>
      <c r="FJP2478" s="60"/>
      <c r="FJQ2478" s="63"/>
      <c r="FJR2478" s="61"/>
      <c r="FJS2478" s="54"/>
      <c r="FJT2478" s="54"/>
      <c r="FJU2478" s="60"/>
      <c r="FJV2478" s="60"/>
      <c r="FJW2478" s="60"/>
      <c r="FJX2478" s="60"/>
      <c r="FJY2478" s="63"/>
      <c r="FJZ2478" s="61"/>
      <c r="FKA2478" s="54"/>
      <c r="FKB2478" s="54"/>
      <c r="FKC2478" s="60"/>
      <c r="FKD2478" s="60"/>
      <c r="FKE2478" s="60"/>
      <c r="FKF2478" s="60"/>
      <c r="FKG2478" s="63"/>
      <c r="FKH2478" s="61"/>
      <c r="FKI2478" s="54"/>
      <c r="FKJ2478" s="54"/>
      <c r="FKK2478" s="60"/>
      <c r="FKL2478" s="60"/>
      <c r="FKM2478" s="60"/>
      <c r="FKN2478" s="60"/>
      <c r="FKO2478" s="63"/>
      <c r="FKP2478" s="61"/>
      <c r="FKQ2478" s="54"/>
      <c r="FKR2478" s="54"/>
      <c r="FKS2478" s="60"/>
      <c r="FKT2478" s="60"/>
      <c r="FKU2478" s="60"/>
      <c r="FKV2478" s="60"/>
      <c r="FKW2478" s="63"/>
      <c r="FKX2478" s="61"/>
      <c r="FKY2478" s="54"/>
      <c r="FKZ2478" s="54"/>
      <c r="FLA2478" s="60"/>
      <c r="FLB2478" s="60"/>
      <c r="FLC2478" s="60"/>
      <c r="FLD2478" s="60"/>
      <c r="FLE2478" s="63"/>
      <c r="FLF2478" s="61"/>
      <c r="FLG2478" s="54"/>
      <c r="FLH2478" s="54"/>
      <c r="FLI2478" s="60"/>
      <c r="FLJ2478" s="60"/>
      <c r="FLK2478" s="60"/>
      <c r="FLL2478" s="60"/>
      <c r="FLM2478" s="63"/>
      <c r="FLN2478" s="61"/>
      <c r="FLO2478" s="54"/>
      <c r="FLP2478" s="54"/>
      <c r="FLQ2478" s="60"/>
      <c r="FLR2478" s="60"/>
      <c r="FLS2478" s="60"/>
      <c r="FLT2478" s="60"/>
      <c r="FLU2478" s="63"/>
      <c r="FLV2478" s="61"/>
      <c r="FLW2478" s="54"/>
      <c r="FLX2478" s="54"/>
      <c r="FLY2478" s="60"/>
      <c r="FLZ2478" s="60"/>
      <c r="FMA2478" s="60"/>
      <c r="FMB2478" s="60"/>
      <c r="FMC2478" s="63"/>
      <c r="FMD2478" s="61"/>
      <c r="FME2478" s="54"/>
      <c r="FMF2478" s="54"/>
      <c r="FMG2478" s="60"/>
      <c r="FMH2478" s="60"/>
      <c r="FMI2478" s="60"/>
      <c r="FMJ2478" s="60"/>
      <c r="FMK2478" s="63"/>
      <c r="FML2478" s="61"/>
      <c r="FMM2478" s="54"/>
      <c r="FMN2478" s="54"/>
      <c r="FMO2478" s="60"/>
      <c r="FMP2478" s="60"/>
      <c r="FMQ2478" s="60"/>
      <c r="FMR2478" s="60"/>
      <c r="FMS2478" s="63"/>
      <c r="FMT2478" s="61"/>
      <c r="FMU2478" s="54"/>
      <c r="FMV2478" s="54"/>
      <c r="FMW2478" s="60"/>
      <c r="FMX2478" s="60"/>
      <c r="FMY2478" s="60"/>
      <c r="FMZ2478" s="60"/>
      <c r="FNA2478" s="63"/>
      <c r="FNB2478" s="61"/>
      <c r="FNC2478" s="54"/>
      <c r="FND2478" s="54"/>
      <c r="FNE2478" s="60"/>
      <c r="FNF2478" s="60"/>
      <c r="FNG2478" s="60"/>
      <c r="FNH2478" s="60"/>
      <c r="FNI2478" s="63"/>
      <c r="FNJ2478" s="61"/>
      <c r="FNK2478" s="54"/>
      <c r="FNL2478" s="54"/>
      <c r="FNM2478" s="60"/>
      <c r="FNN2478" s="60"/>
      <c r="FNO2478" s="60"/>
      <c r="FNP2478" s="60"/>
      <c r="FNQ2478" s="63"/>
      <c r="FNR2478" s="61"/>
      <c r="FNS2478" s="54"/>
      <c r="FNT2478" s="54"/>
      <c r="FNU2478" s="60"/>
      <c r="FNV2478" s="60"/>
      <c r="FNW2478" s="60"/>
      <c r="FNX2478" s="60"/>
      <c r="FNY2478" s="63"/>
      <c r="FNZ2478" s="61"/>
      <c r="FOA2478" s="54"/>
      <c r="FOB2478" s="54"/>
      <c r="FOC2478" s="60"/>
      <c r="FOD2478" s="60"/>
      <c r="FOE2478" s="60"/>
      <c r="FOF2478" s="60"/>
      <c r="FOG2478" s="63"/>
      <c r="FOH2478" s="61"/>
      <c r="FOI2478" s="54"/>
      <c r="FOJ2478" s="54"/>
      <c r="FOK2478" s="60"/>
      <c r="FOL2478" s="60"/>
      <c r="FOM2478" s="60"/>
      <c r="FON2478" s="60"/>
      <c r="FOO2478" s="63"/>
      <c r="FOP2478" s="61"/>
      <c r="FOQ2478" s="54"/>
      <c r="FOR2478" s="54"/>
      <c r="FOS2478" s="60"/>
      <c r="FOT2478" s="60"/>
      <c r="FOU2478" s="60"/>
      <c r="FOV2478" s="60"/>
      <c r="FOW2478" s="63"/>
      <c r="FOX2478" s="61"/>
      <c r="FOY2478" s="54"/>
      <c r="FOZ2478" s="54"/>
      <c r="FPA2478" s="60"/>
      <c r="FPB2478" s="60"/>
      <c r="FPC2478" s="60"/>
      <c r="FPD2478" s="60"/>
      <c r="FPE2478" s="63"/>
      <c r="FPF2478" s="61"/>
      <c r="FPG2478" s="54"/>
      <c r="FPH2478" s="54"/>
      <c r="FPI2478" s="60"/>
      <c r="FPJ2478" s="60"/>
      <c r="FPK2478" s="60"/>
      <c r="FPL2478" s="60"/>
      <c r="FPM2478" s="63"/>
      <c r="FPN2478" s="61"/>
      <c r="FPO2478" s="54"/>
      <c r="FPP2478" s="54"/>
      <c r="FPQ2478" s="60"/>
      <c r="FPR2478" s="60"/>
      <c r="FPS2478" s="60"/>
      <c r="FPT2478" s="60"/>
      <c r="FPU2478" s="63"/>
      <c r="FPV2478" s="61"/>
      <c r="FPW2478" s="54"/>
      <c r="FPX2478" s="54"/>
      <c r="FPY2478" s="60"/>
      <c r="FPZ2478" s="60"/>
      <c r="FQA2478" s="60"/>
      <c r="FQB2478" s="60"/>
      <c r="FQC2478" s="63"/>
      <c r="FQD2478" s="61"/>
      <c r="FQE2478" s="54"/>
      <c r="FQF2478" s="54"/>
      <c r="FQG2478" s="60"/>
      <c r="FQH2478" s="60"/>
      <c r="FQI2478" s="60"/>
      <c r="FQJ2478" s="60"/>
      <c r="FQK2478" s="63"/>
      <c r="FQL2478" s="61"/>
      <c r="FQM2478" s="54"/>
      <c r="FQN2478" s="54"/>
      <c r="FQO2478" s="60"/>
      <c r="FQP2478" s="60"/>
      <c r="FQQ2478" s="60"/>
      <c r="FQR2478" s="60"/>
      <c r="FQS2478" s="63"/>
      <c r="FQT2478" s="61"/>
      <c r="FQU2478" s="54"/>
      <c r="FQV2478" s="54"/>
      <c r="FQW2478" s="60"/>
      <c r="FQX2478" s="60"/>
      <c r="FQY2478" s="60"/>
      <c r="FQZ2478" s="60"/>
      <c r="FRA2478" s="63"/>
      <c r="FRB2478" s="61"/>
      <c r="FRC2478" s="54"/>
      <c r="FRD2478" s="54"/>
      <c r="FRE2478" s="60"/>
      <c r="FRF2478" s="60"/>
      <c r="FRG2478" s="60"/>
      <c r="FRH2478" s="60"/>
      <c r="FRI2478" s="63"/>
      <c r="FRJ2478" s="61"/>
      <c r="FRK2478" s="54"/>
      <c r="FRL2478" s="54"/>
      <c r="FRM2478" s="60"/>
      <c r="FRN2478" s="60"/>
      <c r="FRO2478" s="60"/>
      <c r="FRP2478" s="60"/>
      <c r="FRQ2478" s="63"/>
      <c r="FRR2478" s="61"/>
      <c r="FRS2478" s="54"/>
      <c r="FRT2478" s="54"/>
      <c r="FRU2478" s="60"/>
      <c r="FRV2478" s="60"/>
      <c r="FRW2478" s="60"/>
      <c r="FRX2478" s="60"/>
      <c r="FRY2478" s="63"/>
      <c r="FRZ2478" s="61"/>
      <c r="FSA2478" s="54"/>
      <c r="FSB2478" s="54"/>
      <c r="FSC2478" s="60"/>
      <c r="FSD2478" s="60"/>
      <c r="FSE2478" s="60"/>
      <c r="FSF2478" s="60"/>
      <c r="FSG2478" s="63"/>
      <c r="FSH2478" s="61"/>
      <c r="FSI2478" s="54"/>
      <c r="FSJ2478" s="54"/>
      <c r="FSK2478" s="60"/>
      <c r="FSL2478" s="60"/>
      <c r="FSM2478" s="60"/>
      <c r="FSN2478" s="60"/>
      <c r="FSO2478" s="63"/>
      <c r="FSP2478" s="61"/>
      <c r="FSQ2478" s="54"/>
      <c r="FSR2478" s="54"/>
      <c r="FSS2478" s="60"/>
      <c r="FST2478" s="60"/>
      <c r="FSU2478" s="60"/>
      <c r="FSV2478" s="60"/>
      <c r="FSW2478" s="63"/>
      <c r="FSX2478" s="61"/>
      <c r="FSY2478" s="54"/>
      <c r="FSZ2478" s="54"/>
      <c r="FTA2478" s="60"/>
      <c r="FTB2478" s="60"/>
      <c r="FTC2478" s="60"/>
      <c r="FTD2478" s="60"/>
      <c r="FTE2478" s="63"/>
      <c r="FTF2478" s="61"/>
      <c r="FTG2478" s="54"/>
      <c r="FTH2478" s="54"/>
      <c r="FTI2478" s="60"/>
      <c r="FTJ2478" s="60"/>
      <c r="FTK2478" s="60"/>
      <c r="FTL2478" s="60"/>
      <c r="FTM2478" s="63"/>
      <c r="FTN2478" s="61"/>
      <c r="FTO2478" s="54"/>
      <c r="FTP2478" s="54"/>
      <c r="FTQ2478" s="60"/>
      <c r="FTR2478" s="60"/>
      <c r="FTS2478" s="60"/>
      <c r="FTT2478" s="60"/>
      <c r="FTU2478" s="63"/>
      <c r="FTV2478" s="61"/>
      <c r="FTW2478" s="54"/>
      <c r="FTX2478" s="54"/>
      <c r="FTY2478" s="60"/>
      <c r="FTZ2478" s="60"/>
      <c r="FUA2478" s="60"/>
      <c r="FUB2478" s="60"/>
      <c r="FUC2478" s="63"/>
      <c r="FUD2478" s="61"/>
      <c r="FUE2478" s="54"/>
      <c r="FUF2478" s="54"/>
      <c r="FUG2478" s="60"/>
      <c r="FUH2478" s="60"/>
      <c r="FUI2478" s="60"/>
      <c r="FUJ2478" s="60"/>
      <c r="FUK2478" s="63"/>
      <c r="FUL2478" s="61"/>
      <c r="FUM2478" s="54"/>
      <c r="FUN2478" s="54"/>
      <c r="FUO2478" s="60"/>
      <c r="FUP2478" s="60"/>
      <c r="FUQ2478" s="60"/>
      <c r="FUR2478" s="60"/>
      <c r="FUS2478" s="63"/>
      <c r="FUT2478" s="61"/>
      <c r="FUU2478" s="54"/>
      <c r="FUV2478" s="54"/>
      <c r="FUW2478" s="60"/>
      <c r="FUX2478" s="60"/>
      <c r="FUY2478" s="60"/>
      <c r="FUZ2478" s="60"/>
      <c r="FVA2478" s="63"/>
      <c r="FVB2478" s="61"/>
      <c r="FVC2478" s="54"/>
      <c r="FVD2478" s="54"/>
      <c r="FVE2478" s="60"/>
      <c r="FVF2478" s="60"/>
      <c r="FVG2478" s="60"/>
      <c r="FVH2478" s="60"/>
      <c r="FVI2478" s="63"/>
      <c r="FVJ2478" s="61"/>
      <c r="FVK2478" s="54"/>
      <c r="FVL2478" s="54"/>
      <c r="FVM2478" s="60"/>
      <c r="FVN2478" s="60"/>
      <c r="FVO2478" s="60"/>
      <c r="FVP2478" s="60"/>
      <c r="FVQ2478" s="63"/>
      <c r="FVR2478" s="61"/>
      <c r="FVS2478" s="54"/>
      <c r="FVT2478" s="54"/>
      <c r="FVU2478" s="60"/>
      <c r="FVV2478" s="60"/>
      <c r="FVW2478" s="60"/>
      <c r="FVX2478" s="60"/>
      <c r="FVY2478" s="63"/>
      <c r="FVZ2478" s="61"/>
      <c r="FWA2478" s="54"/>
      <c r="FWB2478" s="54"/>
      <c r="FWC2478" s="60"/>
      <c r="FWD2478" s="60"/>
      <c r="FWE2478" s="60"/>
      <c r="FWF2478" s="60"/>
      <c r="FWG2478" s="63"/>
      <c r="FWH2478" s="61"/>
      <c r="FWI2478" s="54"/>
      <c r="FWJ2478" s="54"/>
      <c r="FWK2478" s="60"/>
      <c r="FWL2478" s="60"/>
      <c r="FWM2478" s="60"/>
      <c r="FWN2478" s="60"/>
      <c r="FWO2478" s="63"/>
      <c r="FWP2478" s="61"/>
      <c r="FWQ2478" s="54"/>
      <c r="FWR2478" s="54"/>
      <c r="FWS2478" s="60"/>
      <c r="FWT2478" s="60"/>
      <c r="FWU2478" s="60"/>
      <c r="FWV2478" s="60"/>
      <c r="FWW2478" s="63"/>
      <c r="FWX2478" s="61"/>
      <c r="FWY2478" s="54"/>
      <c r="FWZ2478" s="54"/>
      <c r="FXA2478" s="60"/>
      <c r="FXB2478" s="60"/>
      <c r="FXC2478" s="60"/>
      <c r="FXD2478" s="60"/>
      <c r="FXE2478" s="63"/>
      <c r="FXF2478" s="61"/>
      <c r="FXG2478" s="54"/>
      <c r="FXH2478" s="54"/>
      <c r="FXI2478" s="60"/>
      <c r="FXJ2478" s="60"/>
      <c r="FXK2478" s="60"/>
      <c r="FXL2478" s="60"/>
      <c r="FXM2478" s="63"/>
      <c r="FXN2478" s="61"/>
      <c r="FXO2478" s="54"/>
      <c r="FXP2478" s="54"/>
      <c r="FXQ2478" s="60"/>
      <c r="FXR2478" s="60"/>
      <c r="FXS2478" s="60"/>
      <c r="FXT2478" s="60"/>
      <c r="FXU2478" s="63"/>
      <c r="FXV2478" s="61"/>
      <c r="FXW2478" s="54"/>
      <c r="FXX2478" s="54"/>
      <c r="FXY2478" s="60"/>
      <c r="FXZ2478" s="60"/>
      <c r="FYA2478" s="60"/>
      <c r="FYB2478" s="60"/>
      <c r="FYC2478" s="63"/>
      <c r="FYD2478" s="61"/>
      <c r="FYE2478" s="54"/>
      <c r="FYF2478" s="54"/>
      <c r="FYG2478" s="60"/>
      <c r="FYH2478" s="60"/>
      <c r="FYI2478" s="60"/>
      <c r="FYJ2478" s="60"/>
      <c r="FYK2478" s="63"/>
      <c r="FYL2478" s="61"/>
      <c r="FYM2478" s="54"/>
      <c r="FYN2478" s="54"/>
      <c r="FYO2478" s="60"/>
      <c r="FYP2478" s="60"/>
      <c r="FYQ2478" s="60"/>
      <c r="FYR2478" s="60"/>
      <c r="FYS2478" s="63"/>
      <c r="FYT2478" s="61"/>
      <c r="FYU2478" s="54"/>
      <c r="FYV2478" s="54"/>
      <c r="FYW2478" s="60"/>
      <c r="FYX2478" s="60"/>
      <c r="FYY2478" s="60"/>
      <c r="FYZ2478" s="60"/>
      <c r="FZA2478" s="63"/>
      <c r="FZB2478" s="61"/>
      <c r="FZC2478" s="54"/>
      <c r="FZD2478" s="54"/>
      <c r="FZE2478" s="60"/>
      <c r="FZF2478" s="60"/>
      <c r="FZG2478" s="60"/>
      <c r="FZH2478" s="60"/>
      <c r="FZI2478" s="63"/>
      <c r="FZJ2478" s="61"/>
      <c r="FZK2478" s="54"/>
      <c r="FZL2478" s="54"/>
      <c r="FZM2478" s="60"/>
      <c r="FZN2478" s="60"/>
      <c r="FZO2478" s="60"/>
      <c r="FZP2478" s="60"/>
      <c r="FZQ2478" s="63"/>
      <c r="FZR2478" s="61"/>
      <c r="FZS2478" s="54"/>
      <c r="FZT2478" s="54"/>
      <c r="FZU2478" s="60"/>
      <c r="FZV2478" s="60"/>
      <c r="FZW2478" s="60"/>
      <c r="FZX2478" s="60"/>
      <c r="FZY2478" s="63"/>
      <c r="FZZ2478" s="61"/>
      <c r="GAA2478" s="54"/>
      <c r="GAB2478" s="54"/>
      <c r="GAC2478" s="60"/>
      <c r="GAD2478" s="60"/>
      <c r="GAE2478" s="60"/>
      <c r="GAF2478" s="60"/>
      <c r="GAG2478" s="63"/>
      <c r="GAH2478" s="61"/>
      <c r="GAI2478" s="54"/>
      <c r="GAJ2478" s="54"/>
      <c r="GAK2478" s="60"/>
      <c r="GAL2478" s="60"/>
      <c r="GAM2478" s="60"/>
      <c r="GAN2478" s="60"/>
      <c r="GAO2478" s="63"/>
      <c r="GAP2478" s="61"/>
      <c r="GAQ2478" s="54"/>
      <c r="GAR2478" s="54"/>
      <c r="GAS2478" s="60"/>
      <c r="GAT2478" s="60"/>
      <c r="GAU2478" s="60"/>
      <c r="GAV2478" s="60"/>
      <c r="GAW2478" s="63"/>
      <c r="GAX2478" s="61"/>
      <c r="GAY2478" s="54"/>
      <c r="GAZ2478" s="54"/>
      <c r="GBA2478" s="60"/>
      <c r="GBB2478" s="60"/>
      <c r="GBC2478" s="60"/>
      <c r="GBD2478" s="60"/>
      <c r="GBE2478" s="63"/>
      <c r="GBF2478" s="61"/>
      <c r="GBG2478" s="54"/>
      <c r="GBH2478" s="54"/>
      <c r="GBI2478" s="60"/>
      <c r="GBJ2478" s="60"/>
      <c r="GBK2478" s="60"/>
      <c r="GBL2478" s="60"/>
      <c r="GBM2478" s="63"/>
      <c r="GBN2478" s="61"/>
      <c r="GBO2478" s="54"/>
      <c r="GBP2478" s="54"/>
      <c r="GBQ2478" s="60"/>
      <c r="GBR2478" s="60"/>
      <c r="GBS2478" s="60"/>
      <c r="GBT2478" s="60"/>
      <c r="GBU2478" s="63"/>
      <c r="GBV2478" s="61"/>
      <c r="GBW2478" s="54"/>
      <c r="GBX2478" s="54"/>
      <c r="GBY2478" s="60"/>
      <c r="GBZ2478" s="60"/>
      <c r="GCA2478" s="60"/>
      <c r="GCB2478" s="60"/>
      <c r="GCC2478" s="63"/>
      <c r="GCD2478" s="61"/>
      <c r="GCE2478" s="54"/>
      <c r="GCF2478" s="54"/>
      <c r="GCG2478" s="60"/>
      <c r="GCH2478" s="60"/>
      <c r="GCI2478" s="60"/>
      <c r="GCJ2478" s="60"/>
      <c r="GCK2478" s="63"/>
      <c r="GCL2478" s="61"/>
      <c r="GCM2478" s="54"/>
      <c r="GCN2478" s="54"/>
      <c r="GCO2478" s="60"/>
      <c r="GCP2478" s="60"/>
      <c r="GCQ2478" s="60"/>
      <c r="GCR2478" s="60"/>
      <c r="GCS2478" s="63"/>
      <c r="GCT2478" s="61"/>
      <c r="GCU2478" s="54"/>
      <c r="GCV2478" s="54"/>
      <c r="GCW2478" s="60"/>
      <c r="GCX2478" s="60"/>
      <c r="GCY2478" s="60"/>
      <c r="GCZ2478" s="60"/>
      <c r="GDA2478" s="63"/>
      <c r="GDB2478" s="61"/>
      <c r="GDC2478" s="54"/>
      <c r="GDD2478" s="54"/>
      <c r="GDE2478" s="60"/>
      <c r="GDF2478" s="60"/>
      <c r="GDG2478" s="60"/>
      <c r="GDH2478" s="60"/>
      <c r="GDI2478" s="63"/>
      <c r="GDJ2478" s="61"/>
      <c r="GDK2478" s="54"/>
      <c r="GDL2478" s="54"/>
      <c r="GDM2478" s="60"/>
      <c r="GDN2478" s="60"/>
      <c r="GDO2478" s="60"/>
      <c r="GDP2478" s="60"/>
      <c r="GDQ2478" s="63"/>
      <c r="GDR2478" s="61"/>
      <c r="GDS2478" s="54"/>
      <c r="GDT2478" s="54"/>
      <c r="GDU2478" s="60"/>
      <c r="GDV2478" s="60"/>
      <c r="GDW2478" s="60"/>
      <c r="GDX2478" s="60"/>
      <c r="GDY2478" s="63"/>
      <c r="GDZ2478" s="61"/>
      <c r="GEA2478" s="54"/>
      <c r="GEB2478" s="54"/>
      <c r="GEC2478" s="60"/>
      <c r="GED2478" s="60"/>
      <c r="GEE2478" s="60"/>
      <c r="GEF2478" s="60"/>
      <c r="GEG2478" s="63"/>
      <c r="GEH2478" s="61"/>
      <c r="GEI2478" s="54"/>
      <c r="GEJ2478" s="54"/>
      <c r="GEK2478" s="60"/>
      <c r="GEL2478" s="60"/>
      <c r="GEM2478" s="60"/>
      <c r="GEN2478" s="60"/>
      <c r="GEO2478" s="63"/>
      <c r="GEP2478" s="61"/>
      <c r="GEQ2478" s="54"/>
      <c r="GER2478" s="54"/>
      <c r="GES2478" s="60"/>
      <c r="GET2478" s="60"/>
      <c r="GEU2478" s="60"/>
      <c r="GEV2478" s="60"/>
      <c r="GEW2478" s="63"/>
      <c r="GEX2478" s="61"/>
      <c r="GEY2478" s="54"/>
      <c r="GEZ2478" s="54"/>
      <c r="GFA2478" s="60"/>
      <c r="GFB2478" s="60"/>
      <c r="GFC2478" s="60"/>
      <c r="GFD2478" s="60"/>
      <c r="GFE2478" s="63"/>
      <c r="GFF2478" s="61"/>
      <c r="GFG2478" s="54"/>
      <c r="GFH2478" s="54"/>
      <c r="GFI2478" s="60"/>
      <c r="GFJ2478" s="60"/>
      <c r="GFK2478" s="60"/>
      <c r="GFL2478" s="60"/>
      <c r="GFM2478" s="63"/>
      <c r="GFN2478" s="61"/>
      <c r="GFO2478" s="54"/>
      <c r="GFP2478" s="54"/>
      <c r="GFQ2478" s="60"/>
      <c r="GFR2478" s="60"/>
      <c r="GFS2478" s="60"/>
      <c r="GFT2478" s="60"/>
      <c r="GFU2478" s="63"/>
      <c r="GFV2478" s="61"/>
      <c r="GFW2478" s="54"/>
      <c r="GFX2478" s="54"/>
      <c r="GFY2478" s="60"/>
      <c r="GFZ2478" s="60"/>
      <c r="GGA2478" s="60"/>
      <c r="GGB2478" s="60"/>
      <c r="GGC2478" s="63"/>
      <c r="GGD2478" s="61"/>
      <c r="GGE2478" s="54"/>
      <c r="GGF2478" s="54"/>
      <c r="GGG2478" s="60"/>
      <c r="GGH2478" s="60"/>
      <c r="GGI2478" s="60"/>
      <c r="GGJ2478" s="60"/>
      <c r="GGK2478" s="63"/>
      <c r="GGL2478" s="61"/>
      <c r="GGM2478" s="54"/>
      <c r="GGN2478" s="54"/>
      <c r="GGO2478" s="60"/>
      <c r="GGP2478" s="60"/>
      <c r="GGQ2478" s="60"/>
      <c r="GGR2478" s="60"/>
      <c r="GGS2478" s="63"/>
      <c r="GGT2478" s="61"/>
      <c r="GGU2478" s="54"/>
      <c r="GGV2478" s="54"/>
      <c r="GGW2478" s="60"/>
      <c r="GGX2478" s="60"/>
      <c r="GGY2478" s="60"/>
      <c r="GGZ2478" s="60"/>
      <c r="GHA2478" s="63"/>
      <c r="GHB2478" s="61"/>
      <c r="GHC2478" s="54"/>
      <c r="GHD2478" s="54"/>
      <c r="GHE2478" s="60"/>
      <c r="GHF2478" s="60"/>
      <c r="GHG2478" s="60"/>
      <c r="GHH2478" s="60"/>
      <c r="GHI2478" s="63"/>
      <c r="GHJ2478" s="61"/>
      <c r="GHK2478" s="54"/>
      <c r="GHL2478" s="54"/>
      <c r="GHM2478" s="60"/>
      <c r="GHN2478" s="60"/>
      <c r="GHO2478" s="60"/>
      <c r="GHP2478" s="60"/>
      <c r="GHQ2478" s="63"/>
      <c r="GHR2478" s="61"/>
      <c r="GHS2478" s="54"/>
      <c r="GHT2478" s="54"/>
      <c r="GHU2478" s="60"/>
      <c r="GHV2478" s="60"/>
      <c r="GHW2478" s="60"/>
      <c r="GHX2478" s="60"/>
      <c r="GHY2478" s="63"/>
      <c r="GHZ2478" s="61"/>
      <c r="GIA2478" s="54"/>
      <c r="GIB2478" s="54"/>
      <c r="GIC2478" s="60"/>
      <c r="GID2478" s="60"/>
      <c r="GIE2478" s="60"/>
      <c r="GIF2478" s="60"/>
      <c r="GIG2478" s="63"/>
      <c r="GIH2478" s="61"/>
      <c r="GII2478" s="54"/>
      <c r="GIJ2478" s="54"/>
      <c r="GIK2478" s="60"/>
      <c r="GIL2478" s="60"/>
      <c r="GIM2478" s="60"/>
      <c r="GIN2478" s="60"/>
      <c r="GIO2478" s="63"/>
      <c r="GIP2478" s="61"/>
      <c r="GIQ2478" s="54"/>
      <c r="GIR2478" s="54"/>
      <c r="GIS2478" s="60"/>
      <c r="GIT2478" s="60"/>
      <c r="GIU2478" s="60"/>
      <c r="GIV2478" s="60"/>
      <c r="GIW2478" s="63"/>
      <c r="GIX2478" s="61"/>
      <c r="GIY2478" s="54"/>
      <c r="GIZ2478" s="54"/>
      <c r="GJA2478" s="60"/>
      <c r="GJB2478" s="60"/>
      <c r="GJC2478" s="60"/>
      <c r="GJD2478" s="60"/>
      <c r="GJE2478" s="63"/>
      <c r="GJF2478" s="61"/>
      <c r="GJG2478" s="54"/>
      <c r="GJH2478" s="54"/>
      <c r="GJI2478" s="60"/>
      <c r="GJJ2478" s="60"/>
      <c r="GJK2478" s="60"/>
      <c r="GJL2478" s="60"/>
      <c r="GJM2478" s="63"/>
      <c r="GJN2478" s="61"/>
      <c r="GJO2478" s="54"/>
      <c r="GJP2478" s="54"/>
      <c r="GJQ2478" s="60"/>
      <c r="GJR2478" s="60"/>
      <c r="GJS2478" s="60"/>
      <c r="GJT2478" s="60"/>
      <c r="GJU2478" s="63"/>
      <c r="GJV2478" s="61"/>
      <c r="GJW2478" s="54"/>
      <c r="GJX2478" s="54"/>
      <c r="GJY2478" s="60"/>
      <c r="GJZ2478" s="60"/>
      <c r="GKA2478" s="60"/>
      <c r="GKB2478" s="60"/>
      <c r="GKC2478" s="63"/>
      <c r="GKD2478" s="61"/>
      <c r="GKE2478" s="54"/>
      <c r="GKF2478" s="54"/>
      <c r="GKG2478" s="60"/>
      <c r="GKH2478" s="60"/>
      <c r="GKI2478" s="60"/>
      <c r="GKJ2478" s="60"/>
      <c r="GKK2478" s="63"/>
      <c r="GKL2478" s="61"/>
      <c r="GKM2478" s="54"/>
      <c r="GKN2478" s="54"/>
      <c r="GKO2478" s="60"/>
      <c r="GKP2478" s="60"/>
      <c r="GKQ2478" s="60"/>
      <c r="GKR2478" s="60"/>
      <c r="GKS2478" s="63"/>
      <c r="GKT2478" s="61"/>
      <c r="GKU2478" s="54"/>
      <c r="GKV2478" s="54"/>
      <c r="GKW2478" s="60"/>
      <c r="GKX2478" s="60"/>
      <c r="GKY2478" s="60"/>
      <c r="GKZ2478" s="60"/>
      <c r="GLA2478" s="63"/>
      <c r="GLB2478" s="61"/>
      <c r="GLC2478" s="54"/>
      <c r="GLD2478" s="54"/>
      <c r="GLE2478" s="60"/>
      <c r="GLF2478" s="60"/>
      <c r="GLG2478" s="60"/>
      <c r="GLH2478" s="60"/>
      <c r="GLI2478" s="63"/>
      <c r="GLJ2478" s="61"/>
      <c r="GLK2478" s="54"/>
      <c r="GLL2478" s="54"/>
      <c r="GLM2478" s="60"/>
      <c r="GLN2478" s="60"/>
      <c r="GLO2478" s="60"/>
      <c r="GLP2478" s="60"/>
      <c r="GLQ2478" s="63"/>
      <c r="GLR2478" s="61"/>
      <c r="GLS2478" s="54"/>
      <c r="GLT2478" s="54"/>
      <c r="GLU2478" s="60"/>
      <c r="GLV2478" s="60"/>
      <c r="GLW2478" s="60"/>
      <c r="GLX2478" s="60"/>
      <c r="GLY2478" s="63"/>
      <c r="GLZ2478" s="61"/>
      <c r="GMA2478" s="54"/>
      <c r="GMB2478" s="54"/>
      <c r="GMC2478" s="60"/>
      <c r="GMD2478" s="60"/>
      <c r="GME2478" s="60"/>
      <c r="GMF2478" s="60"/>
      <c r="GMG2478" s="63"/>
      <c r="GMH2478" s="61"/>
      <c r="GMI2478" s="54"/>
      <c r="GMJ2478" s="54"/>
      <c r="GMK2478" s="60"/>
      <c r="GML2478" s="60"/>
      <c r="GMM2478" s="60"/>
      <c r="GMN2478" s="60"/>
      <c r="GMO2478" s="63"/>
      <c r="GMP2478" s="61"/>
      <c r="GMQ2478" s="54"/>
      <c r="GMR2478" s="54"/>
      <c r="GMS2478" s="60"/>
      <c r="GMT2478" s="60"/>
      <c r="GMU2478" s="60"/>
      <c r="GMV2478" s="60"/>
      <c r="GMW2478" s="63"/>
      <c r="GMX2478" s="61"/>
      <c r="GMY2478" s="54"/>
      <c r="GMZ2478" s="54"/>
      <c r="GNA2478" s="60"/>
      <c r="GNB2478" s="60"/>
      <c r="GNC2478" s="60"/>
      <c r="GND2478" s="60"/>
      <c r="GNE2478" s="63"/>
      <c r="GNF2478" s="61"/>
      <c r="GNG2478" s="54"/>
      <c r="GNH2478" s="54"/>
      <c r="GNI2478" s="60"/>
      <c r="GNJ2478" s="60"/>
      <c r="GNK2478" s="60"/>
      <c r="GNL2478" s="60"/>
      <c r="GNM2478" s="63"/>
      <c r="GNN2478" s="61"/>
      <c r="GNO2478" s="54"/>
      <c r="GNP2478" s="54"/>
      <c r="GNQ2478" s="60"/>
      <c r="GNR2478" s="60"/>
      <c r="GNS2478" s="60"/>
      <c r="GNT2478" s="60"/>
      <c r="GNU2478" s="63"/>
      <c r="GNV2478" s="61"/>
      <c r="GNW2478" s="54"/>
      <c r="GNX2478" s="54"/>
      <c r="GNY2478" s="60"/>
      <c r="GNZ2478" s="60"/>
      <c r="GOA2478" s="60"/>
      <c r="GOB2478" s="60"/>
      <c r="GOC2478" s="63"/>
      <c r="GOD2478" s="61"/>
      <c r="GOE2478" s="54"/>
      <c r="GOF2478" s="54"/>
      <c r="GOG2478" s="60"/>
      <c r="GOH2478" s="60"/>
      <c r="GOI2478" s="60"/>
      <c r="GOJ2478" s="60"/>
      <c r="GOK2478" s="63"/>
      <c r="GOL2478" s="61"/>
      <c r="GOM2478" s="54"/>
      <c r="GON2478" s="54"/>
      <c r="GOO2478" s="60"/>
      <c r="GOP2478" s="60"/>
      <c r="GOQ2478" s="60"/>
      <c r="GOR2478" s="60"/>
      <c r="GOS2478" s="63"/>
      <c r="GOT2478" s="61"/>
      <c r="GOU2478" s="54"/>
      <c r="GOV2478" s="54"/>
      <c r="GOW2478" s="60"/>
      <c r="GOX2478" s="60"/>
      <c r="GOY2478" s="60"/>
      <c r="GOZ2478" s="60"/>
      <c r="GPA2478" s="63"/>
      <c r="GPB2478" s="61"/>
      <c r="GPC2478" s="54"/>
      <c r="GPD2478" s="54"/>
      <c r="GPE2478" s="60"/>
      <c r="GPF2478" s="60"/>
      <c r="GPG2478" s="60"/>
      <c r="GPH2478" s="60"/>
      <c r="GPI2478" s="63"/>
      <c r="GPJ2478" s="61"/>
      <c r="GPK2478" s="54"/>
      <c r="GPL2478" s="54"/>
      <c r="GPM2478" s="60"/>
      <c r="GPN2478" s="60"/>
      <c r="GPO2478" s="60"/>
      <c r="GPP2478" s="60"/>
      <c r="GPQ2478" s="63"/>
      <c r="GPR2478" s="61"/>
      <c r="GPS2478" s="54"/>
      <c r="GPT2478" s="54"/>
      <c r="GPU2478" s="60"/>
      <c r="GPV2478" s="60"/>
      <c r="GPW2478" s="60"/>
      <c r="GPX2478" s="60"/>
      <c r="GPY2478" s="63"/>
      <c r="GPZ2478" s="61"/>
      <c r="GQA2478" s="54"/>
      <c r="GQB2478" s="54"/>
      <c r="GQC2478" s="60"/>
      <c r="GQD2478" s="60"/>
      <c r="GQE2478" s="60"/>
      <c r="GQF2478" s="60"/>
      <c r="GQG2478" s="63"/>
      <c r="GQH2478" s="61"/>
      <c r="GQI2478" s="54"/>
      <c r="GQJ2478" s="54"/>
      <c r="GQK2478" s="60"/>
      <c r="GQL2478" s="60"/>
      <c r="GQM2478" s="60"/>
      <c r="GQN2478" s="60"/>
      <c r="GQO2478" s="63"/>
      <c r="GQP2478" s="61"/>
      <c r="GQQ2478" s="54"/>
      <c r="GQR2478" s="54"/>
      <c r="GQS2478" s="60"/>
      <c r="GQT2478" s="60"/>
      <c r="GQU2478" s="60"/>
      <c r="GQV2478" s="60"/>
      <c r="GQW2478" s="63"/>
      <c r="GQX2478" s="61"/>
      <c r="GQY2478" s="54"/>
      <c r="GQZ2478" s="54"/>
      <c r="GRA2478" s="60"/>
      <c r="GRB2478" s="60"/>
      <c r="GRC2478" s="60"/>
      <c r="GRD2478" s="60"/>
      <c r="GRE2478" s="63"/>
      <c r="GRF2478" s="61"/>
      <c r="GRG2478" s="54"/>
      <c r="GRH2478" s="54"/>
      <c r="GRI2478" s="60"/>
      <c r="GRJ2478" s="60"/>
      <c r="GRK2478" s="60"/>
      <c r="GRL2478" s="60"/>
      <c r="GRM2478" s="63"/>
      <c r="GRN2478" s="61"/>
      <c r="GRO2478" s="54"/>
      <c r="GRP2478" s="54"/>
      <c r="GRQ2478" s="60"/>
      <c r="GRR2478" s="60"/>
      <c r="GRS2478" s="60"/>
      <c r="GRT2478" s="60"/>
      <c r="GRU2478" s="63"/>
      <c r="GRV2478" s="61"/>
      <c r="GRW2478" s="54"/>
      <c r="GRX2478" s="54"/>
      <c r="GRY2478" s="60"/>
      <c r="GRZ2478" s="60"/>
      <c r="GSA2478" s="60"/>
      <c r="GSB2478" s="60"/>
      <c r="GSC2478" s="63"/>
      <c r="GSD2478" s="61"/>
      <c r="GSE2478" s="54"/>
      <c r="GSF2478" s="54"/>
      <c r="GSG2478" s="60"/>
      <c r="GSH2478" s="60"/>
      <c r="GSI2478" s="60"/>
      <c r="GSJ2478" s="60"/>
      <c r="GSK2478" s="63"/>
      <c r="GSL2478" s="61"/>
      <c r="GSM2478" s="54"/>
      <c r="GSN2478" s="54"/>
      <c r="GSO2478" s="60"/>
      <c r="GSP2478" s="60"/>
      <c r="GSQ2478" s="60"/>
      <c r="GSR2478" s="60"/>
      <c r="GSS2478" s="63"/>
      <c r="GST2478" s="61"/>
      <c r="GSU2478" s="54"/>
      <c r="GSV2478" s="54"/>
      <c r="GSW2478" s="60"/>
      <c r="GSX2478" s="60"/>
      <c r="GSY2478" s="60"/>
      <c r="GSZ2478" s="60"/>
      <c r="GTA2478" s="63"/>
      <c r="GTB2478" s="61"/>
      <c r="GTC2478" s="54"/>
      <c r="GTD2478" s="54"/>
      <c r="GTE2478" s="60"/>
      <c r="GTF2478" s="60"/>
      <c r="GTG2478" s="60"/>
      <c r="GTH2478" s="60"/>
      <c r="GTI2478" s="63"/>
      <c r="GTJ2478" s="61"/>
      <c r="GTK2478" s="54"/>
      <c r="GTL2478" s="54"/>
      <c r="GTM2478" s="60"/>
      <c r="GTN2478" s="60"/>
      <c r="GTO2478" s="60"/>
      <c r="GTP2478" s="60"/>
      <c r="GTQ2478" s="63"/>
      <c r="GTR2478" s="61"/>
      <c r="GTS2478" s="54"/>
      <c r="GTT2478" s="54"/>
      <c r="GTU2478" s="60"/>
      <c r="GTV2478" s="60"/>
      <c r="GTW2478" s="60"/>
      <c r="GTX2478" s="60"/>
      <c r="GTY2478" s="63"/>
      <c r="GTZ2478" s="61"/>
      <c r="GUA2478" s="54"/>
      <c r="GUB2478" s="54"/>
      <c r="GUC2478" s="60"/>
      <c r="GUD2478" s="60"/>
      <c r="GUE2478" s="60"/>
      <c r="GUF2478" s="60"/>
      <c r="GUG2478" s="63"/>
      <c r="GUH2478" s="61"/>
      <c r="GUI2478" s="54"/>
      <c r="GUJ2478" s="54"/>
      <c r="GUK2478" s="60"/>
      <c r="GUL2478" s="60"/>
      <c r="GUM2478" s="60"/>
      <c r="GUN2478" s="60"/>
      <c r="GUO2478" s="63"/>
      <c r="GUP2478" s="61"/>
      <c r="GUQ2478" s="54"/>
      <c r="GUR2478" s="54"/>
      <c r="GUS2478" s="60"/>
      <c r="GUT2478" s="60"/>
      <c r="GUU2478" s="60"/>
      <c r="GUV2478" s="60"/>
      <c r="GUW2478" s="63"/>
      <c r="GUX2478" s="61"/>
      <c r="GUY2478" s="54"/>
      <c r="GUZ2478" s="54"/>
      <c r="GVA2478" s="60"/>
      <c r="GVB2478" s="60"/>
      <c r="GVC2478" s="60"/>
      <c r="GVD2478" s="60"/>
      <c r="GVE2478" s="63"/>
      <c r="GVF2478" s="61"/>
      <c r="GVG2478" s="54"/>
      <c r="GVH2478" s="54"/>
      <c r="GVI2478" s="60"/>
      <c r="GVJ2478" s="60"/>
      <c r="GVK2478" s="60"/>
      <c r="GVL2478" s="60"/>
      <c r="GVM2478" s="63"/>
      <c r="GVN2478" s="61"/>
      <c r="GVO2478" s="54"/>
      <c r="GVP2478" s="54"/>
      <c r="GVQ2478" s="60"/>
      <c r="GVR2478" s="60"/>
      <c r="GVS2478" s="60"/>
      <c r="GVT2478" s="60"/>
      <c r="GVU2478" s="63"/>
      <c r="GVV2478" s="61"/>
      <c r="GVW2478" s="54"/>
      <c r="GVX2478" s="54"/>
      <c r="GVY2478" s="60"/>
      <c r="GVZ2478" s="60"/>
      <c r="GWA2478" s="60"/>
      <c r="GWB2478" s="60"/>
      <c r="GWC2478" s="63"/>
      <c r="GWD2478" s="61"/>
      <c r="GWE2478" s="54"/>
      <c r="GWF2478" s="54"/>
      <c r="GWG2478" s="60"/>
      <c r="GWH2478" s="60"/>
      <c r="GWI2478" s="60"/>
      <c r="GWJ2478" s="60"/>
      <c r="GWK2478" s="63"/>
      <c r="GWL2478" s="61"/>
      <c r="GWM2478" s="54"/>
      <c r="GWN2478" s="54"/>
      <c r="GWO2478" s="60"/>
      <c r="GWP2478" s="60"/>
      <c r="GWQ2478" s="60"/>
      <c r="GWR2478" s="60"/>
      <c r="GWS2478" s="63"/>
      <c r="GWT2478" s="61"/>
      <c r="GWU2478" s="54"/>
      <c r="GWV2478" s="54"/>
      <c r="GWW2478" s="60"/>
      <c r="GWX2478" s="60"/>
      <c r="GWY2478" s="60"/>
      <c r="GWZ2478" s="60"/>
      <c r="GXA2478" s="63"/>
      <c r="GXB2478" s="61"/>
      <c r="GXC2478" s="54"/>
      <c r="GXD2478" s="54"/>
      <c r="GXE2478" s="60"/>
      <c r="GXF2478" s="60"/>
      <c r="GXG2478" s="60"/>
      <c r="GXH2478" s="60"/>
      <c r="GXI2478" s="63"/>
      <c r="GXJ2478" s="61"/>
      <c r="GXK2478" s="54"/>
      <c r="GXL2478" s="54"/>
      <c r="GXM2478" s="60"/>
      <c r="GXN2478" s="60"/>
      <c r="GXO2478" s="60"/>
      <c r="GXP2478" s="60"/>
      <c r="GXQ2478" s="63"/>
      <c r="GXR2478" s="61"/>
      <c r="GXS2478" s="54"/>
      <c r="GXT2478" s="54"/>
      <c r="GXU2478" s="60"/>
      <c r="GXV2478" s="60"/>
      <c r="GXW2478" s="60"/>
      <c r="GXX2478" s="60"/>
      <c r="GXY2478" s="63"/>
      <c r="GXZ2478" s="61"/>
      <c r="GYA2478" s="54"/>
      <c r="GYB2478" s="54"/>
      <c r="GYC2478" s="60"/>
      <c r="GYD2478" s="60"/>
      <c r="GYE2478" s="60"/>
      <c r="GYF2478" s="60"/>
      <c r="GYG2478" s="63"/>
      <c r="GYH2478" s="61"/>
      <c r="GYI2478" s="54"/>
      <c r="GYJ2478" s="54"/>
      <c r="GYK2478" s="60"/>
      <c r="GYL2478" s="60"/>
      <c r="GYM2478" s="60"/>
      <c r="GYN2478" s="60"/>
      <c r="GYO2478" s="63"/>
      <c r="GYP2478" s="61"/>
      <c r="GYQ2478" s="54"/>
      <c r="GYR2478" s="54"/>
      <c r="GYS2478" s="60"/>
      <c r="GYT2478" s="60"/>
      <c r="GYU2478" s="60"/>
      <c r="GYV2478" s="60"/>
      <c r="GYW2478" s="63"/>
      <c r="GYX2478" s="61"/>
      <c r="GYY2478" s="54"/>
      <c r="GYZ2478" s="54"/>
      <c r="GZA2478" s="60"/>
      <c r="GZB2478" s="60"/>
      <c r="GZC2478" s="60"/>
      <c r="GZD2478" s="60"/>
      <c r="GZE2478" s="63"/>
      <c r="GZF2478" s="61"/>
      <c r="GZG2478" s="54"/>
      <c r="GZH2478" s="54"/>
      <c r="GZI2478" s="60"/>
      <c r="GZJ2478" s="60"/>
      <c r="GZK2478" s="60"/>
      <c r="GZL2478" s="60"/>
      <c r="GZM2478" s="63"/>
      <c r="GZN2478" s="61"/>
      <c r="GZO2478" s="54"/>
      <c r="GZP2478" s="54"/>
      <c r="GZQ2478" s="60"/>
      <c r="GZR2478" s="60"/>
      <c r="GZS2478" s="60"/>
      <c r="GZT2478" s="60"/>
      <c r="GZU2478" s="63"/>
      <c r="GZV2478" s="61"/>
      <c r="GZW2478" s="54"/>
      <c r="GZX2478" s="54"/>
      <c r="GZY2478" s="60"/>
      <c r="GZZ2478" s="60"/>
      <c r="HAA2478" s="60"/>
      <c r="HAB2478" s="60"/>
      <c r="HAC2478" s="63"/>
      <c r="HAD2478" s="61"/>
      <c r="HAE2478" s="54"/>
      <c r="HAF2478" s="54"/>
      <c r="HAG2478" s="60"/>
      <c r="HAH2478" s="60"/>
      <c r="HAI2478" s="60"/>
      <c r="HAJ2478" s="60"/>
      <c r="HAK2478" s="63"/>
      <c r="HAL2478" s="61"/>
      <c r="HAM2478" s="54"/>
      <c r="HAN2478" s="54"/>
      <c r="HAO2478" s="60"/>
      <c r="HAP2478" s="60"/>
      <c r="HAQ2478" s="60"/>
      <c r="HAR2478" s="60"/>
      <c r="HAS2478" s="63"/>
      <c r="HAT2478" s="61"/>
      <c r="HAU2478" s="54"/>
      <c r="HAV2478" s="54"/>
      <c r="HAW2478" s="60"/>
      <c r="HAX2478" s="60"/>
      <c r="HAY2478" s="60"/>
      <c r="HAZ2478" s="60"/>
      <c r="HBA2478" s="63"/>
      <c r="HBB2478" s="61"/>
      <c r="HBC2478" s="54"/>
      <c r="HBD2478" s="54"/>
      <c r="HBE2478" s="60"/>
      <c r="HBF2478" s="60"/>
      <c r="HBG2478" s="60"/>
      <c r="HBH2478" s="60"/>
      <c r="HBI2478" s="63"/>
      <c r="HBJ2478" s="61"/>
      <c r="HBK2478" s="54"/>
      <c r="HBL2478" s="54"/>
      <c r="HBM2478" s="60"/>
      <c r="HBN2478" s="60"/>
      <c r="HBO2478" s="60"/>
      <c r="HBP2478" s="60"/>
      <c r="HBQ2478" s="63"/>
      <c r="HBR2478" s="61"/>
      <c r="HBS2478" s="54"/>
      <c r="HBT2478" s="54"/>
      <c r="HBU2478" s="60"/>
      <c r="HBV2478" s="60"/>
      <c r="HBW2478" s="60"/>
      <c r="HBX2478" s="60"/>
      <c r="HBY2478" s="63"/>
      <c r="HBZ2478" s="61"/>
      <c r="HCA2478" s="54"/>
      <c r="HCB2478" s="54"/>
      <c r="HCC2478" s="60"/>
      <c r="HCD2478" s="60"/>
      <c r="HCE2478" s="60"/>
      <c r="HCF2478" s="60"/>
      <c r="HCG2478" s="63"/>
      <c r="HCH2478" s="61"/>
      <c r="HCI2478" s="54"/>
      <c r="HCJ2478" s="54"/>
      <c r="HCK2478" s="60"/>
      <c r="HCL2478" s="60"/>
      <c r="HCM2478" s="60"/>
      <c r="HCN2478" s="60"/>
      <c r="HCO2478" s="63"/>
      <c r="HCP2478" s="61"/>
      <c r="HCQ2478" s="54"/>
      <c r="HCR2478" s="54"/>
      <c r="HCS2478" s="60"/>
      <c r="HCT2478" s="60"/>
      <c r="HCU2478" s="60"/>
      <c r="HCV2478" s="60"/>
      <c r="HCW2478" s="63"/>
      <c r="HCX2478" s="61"/>
      <c r="HCY2478" s="54"/>
      <c r="HCZ2478" s="54"/>
      <c r="HDA2478" s="60"/>
      <c r="HDB2478" s="60"/>
      <c r="HDC2478" s="60"/>
      <c r="HDD2478" s="60"/>
      <c r="HDE2478" s="63"/>
      <c r="HDF2478" s="61"/>
      <c r="HDG2478" s="54"/>
      <c r="HDH2478" s="54"/>
      <c r="HDI2478" s="60"/>
      <c r="HDJ2478" s="60"/>
      <c r="HDK2478" s="60"/>
      <c r="HDL2478" s="60"/>
      <c r="HDM2478" s="63"/>
      <c r="HDN2478" s="61"/>
      <c r="HDO2478" s="54"/>
      <c r="HDP2478" s="54"/>
      <c r="HDQ2478" s="60"/>
      <c r="HDR2478" s="60"/>
      <c r="HDS2478" s="60"/>
      <c r="HDT2478" s="60"/>
      <c r="HDU2478" s="63"/>
      <c r="HDV2478" s="61"/>
      <c r="HDW2478" s="54"/>
      <c r="HDX2478" s="54"/>
      <c r="HDY2478" s="60"/>
      <c r="HDZ2478" s="60"/>
      <c r="HEA2478" s="60"/>
      <c r="HEB2478" s="60"/>
      <c r="HEC2478" s="63"/>
      <c r="HED2478" s="61"/>
      <c r="HEE2478" s="54"/>
      <c r="HEF2478" s="54"/>
      <c r="HEG2478" s="60"/>
      <c r="HEH2478" s="60"/>
      <c r="HEI2478" s="60"/>
      <c r="HEJ2478" s="60"/>
      <c r="HEK2478" s="63"/>
      <c r="HEL2478" s="61"/>
      <c r="HEM2478" s="54"/>
      <c r="HEN2478" s="54"/>
      <c r="HEO2478" s="60"/>
      <c r="HEP2478" s="60"/>
      <c r="HEQ2478" s="60"/>
      <c r="HER2478" s="60"/>
      <c r="HES2478" s="63"/>
      <c r="HET2478" s="61"/>
      <c r="HEU2478" s="54"/>
      <c r="HEV2478" s="54"/>
      <c r="HEW2478" s="60"/>
      <c r="HEX2478" s="60"/>
      <c r="HEY2478" s="60"/>
      <c r="HEZ2478" s="60"/>
      <c r="HFA2478" s="63"/>
      <c r="HFB2478" s="61"/>
      <c r="HFC2478" s="54"/>
      <c r="HFD2478" s="54"/>
      <c r="HFE2478" s="60"/>
      <c r="HFF2478" s="60"/>
      <c r="HFG2478" s="60"/>
      <c r="HFH2478" s="60"/>
      <c r="HFI2478" s="63"/>
      <c r="HFJ2478" s="61"/>
      <c r="HFK2478" s="54"/>
      <c r="HFL2478" s="54"/>
      <c r="HFM2478" s="60"/>
      <c r="HFN2478" s="60"/>
      <c r="HFO2478" s="60"/>
      <c r="HFP2478" s="60"/>
      <c r="HFQ2478" s="63"/>
      <c r="HFR2478" s="61"/>
      <c r="HFS2478" s="54"/>
      <c r="HFT2478" s="54"/>
      <c r="HFU2478" s="60"/>
      <c r="HFV2478" s="60"/>
      <c r="HFW2478" s="60"/>
      <c r="HFX2478" s="60"/>
      <c r="HFY2478" s="63"/>
      <c r="HFZ2478" s="61"/>
      <c r="HGA2478" s="54"/>
      <c r="HGB2478" s="54"/>
      <c r="HGC2478" s="60"/>
      <c r="HGD2478" s="60"/>
      <c r="HGE2478" s="60"/>
      <c r="HGF2478" s="60"/>
      <c r="HGG2478" s="63"/>
      <c r="HGH2478" s="61"/>
      <c r="HGI2478" s="54"/>
      <c r="HGJ2478" s="54"/>
      <c r="HGK2478" s="60"/>
      <c r="HGL2478" s="60"/>
      <c r="HGM2478" s="60"/>
      <c r="HGN2478" s="60"/>
      <c r="HGO2478" s="63"/>
      <c r="HGP2478" s="61"/>
      <c r="HGQ2478" s="54"/>
      <c r="HGR2478" s="54"/>
      <c r="HGS2478" s="60"/>
      <c r="HGT2478" s="60"/>
      <c r="HGU2478" s="60"/>
      <c r="HGV2478" s="60"/>
      <c r="HGW2478" s="63"/>
      <c r="HGX2478" s="61"/>
      <c r="HGY2478" s="54"/>
      <c r="HGZ2478" s="54"/>
      <c r="HHA2478" s="60"/>
      <c r="HHB2478" s="60"/>
      <c r="HHC2478" s="60"/>
      <c r="HHD2478" s="60"/>
      <c r="HHE2478" s="63"/>
      <c r="HHF2478" s="61"/>
      <c r="HHG2478" s="54"/>
      <c r="HHH2478" s="54"/>
      <c r="HHI2478" s="60"/>
      <c r="HHJ2478" s="60"/>
      <c r="HHK2478" s="60"/>
      <c r="HHL2478" s="60"/>
      <c r="HHM2478" s="63"/>
      <c r="HHN2478" s="61"/>
      <c r="HHO2478" s="54"/>
      <c r="HHP2478" s="54"/>
      <c r="HHQ2478" s="60"/>
      <c r="HHR2478" s="60"/>
      <c r="HHS2478" s="60"/>
      <c r="HHT2478" s="60"/>
      <c r="HHU2478" s="63"/>
      <c r="HHV2478" s="61"/>
      <c r="HHW2478" s="54"/>
      <c r="HHX2478" s="54"/>
      <c r="HHY2478" s="60"/>
      <c r="HHZ2478" s="60"/>
      <c r="HIA2478" s="60"/>
      <c r="HIB2478" s="60"/>
      <c r="HIC2478" s="63"/>
      <c r="HID2478" s="61"/>
      <c r="HIE2478" s="54"/>
      <c r="HIF2478" s="54"/>
      <c r="HIG2478" s="60"/>
      <c r="HIH2478" s="60"/>
      <c r="HII2478" s="60"/>
      <c r="HIJ2478" s="60"/>
      <c r="HIK2478" s="63"/>
      <c r="HIL2478" s="61"/>
      <c r="HIM2478" s="54"/>
      <c r="HIN2478" s="54"/>
      <c r="HIO2478" s="60"/>
      <c r="HIP2478" s="60"/>
      <c r="HIQ2478" s="60"/>
      <c r="HIR2478" s="60"/>
      <c r="HIS2478" s="63"/>
      <c r="HIT2478" s="61"/>
      <c r="HIU2478" s="54"/>
      <c r="HIV2478" s="54"/>
      <c r="HIW2478" s="60"/>
      <c r="HIX2478" s="60"/>
      <c r="HIY2478" s="60"/>
      <c r="HIZ2478" s="60"/>
      <c r="HJA2478" s="63"/>
      <c r="HJB2478" s="61"/>
      <c r="HJC2478" s="54"/>
      <c r="HJD2478" s="54"/>
      <c r="HJE2478" s="60"/>
      <c r="HJF2478" s="60"/>
      <c r="HJG2478" s="60"/>
      <c r="HJH2478" s="60"/>
      <c r="HJI2478" s="63"/>
      <c r="HJJ2478" s="61"/>
      <c r="HJK2478" s="54"/>
      <c r="HJL2478" s="54"/>
      <c r="HJM2478" s="60"/>
      <c r="HJN2478" s="60"/>
      <c r="HJO2478" s="60"/>
      <c r="HJP2478" s="60"/>
      <c r="HJQ2478" s="63"/>
      <c r="HJR2478" s="61"/>
      <c r="HJS2478" s="54"/>
      <c r="HJT2478" s="54"/>
      <c r="HJU2478" s="60"/>
      <c r="HJV2478" s="60"/>
      <c r="HJW2478" s="60"/>
      <c r="HJX2478" s="60"/>
      <c r="HJY2478" s="63"/>
      <c r="HJZ2478" s="61"/>
      <c r="HKA2478" s="54"/>
      <c r="HKB2478" s="54"/>
      <c r="HKC2478" s="60"/>
      <c r="HKD2478" s="60"/>
      <c r="HKE2478" s="60"/>
      <c r="HKF2478" s="60"/>
      <c r="HKG2478" s="63"/>
      <c r="HKH2478" s="61"/>
      <c r="HKI2478" s="54"/>
      <c r="HKJ2478" s="54"/>
      <c r="HKK2478" s="60"/>
      <c r="HKL2478" s="60"/>
      <c r="HKM2478" s="60"/>
      <c r="HKN2478" s="60"/>
      <c r="HKO2478" s="63"/>
      <c r="HKP2478" s="61"/>
      <c r="HKQ2478" s="54"/>
      <c r="HKR2478" s="54"/>
      <c r="HKS2478" s="60"/>
      <c r="HKT2478" s="60"/>
      <c r="HKU2478" s="60"/>
      <c r="HKV2478" s="60"/>
      <c r="HKW2478" s="63"/>
      <c r="HKX2478" s="61"/>
      <c r="HKY2478" s="54"/>
      <c r="HKZ2478" s="54"/>
      <c r="HLA2478" s="60"/>
      <c r="HLB2478" s="60"/>
      <c r="HLC2478" s="60"/>
      <c r="HLD2478" s="60"/>
      <c r="HLE2478" s="63"/>
      <c r="HLF2478" s="61"/>
      <c r="HLG2478" s="54"/>
      <c r="HLH2478" s="54"/>
      <c r="HLI2478" s="60"/>
      <c r="HLJ2478" s="60"/>
      <c r="HLK2478" s="60"/>
      <c r="HLL2478" s="60"/>
      <c r="HLM2478" s="63"/>
      <c r="HLN2478" s="61"/>
      <c r="HLO2478" s="54"/>
      <c r="HLP2478" s="54"/>
      <c r="HLQ2478" s="60"/>
      <c r="HLR2478" s="60"/>
      <c r="HLS2478" s="60"/>
      <c r="HLT2478" s="60"/>
      <c r="HLU2478" s="63"/>
      <c r="HLV2478" s="61"/>
      <c r="HLW2478" s="54"/>
      <c r="HLX2478" s="54"/>
      <c r="HLY2478" s="60"/>
      <c r="HLZ2478" s="60"/>
      <c r="HMA2478" s="60"/>
      <c r="HMB2478" s="60"/>
      <c r="HMC2478" s="63"/>
      <c r="HMD2478" s="61"/>
      <c r="HME2478" s="54"/>
      <c r="HMF2478" s="54"/>
      <c r="HMG2478" s="60"/>
      <c r="HMH2478" s="60"/>
      <c r="HMI2478" s="60"/>
      <c r="HMJ2478" s="60"/>
      <c r="HMK2478" s="63"/>
      <c r="HML2478" s="61"/>
      <c r="HMM2478" s="54"/>
      <c r="HMN2478" s="54"/>
      <c r="HMO2478" s="60"/>
      <c r="HMP2478" s="60"/>
      <c r="HMQ2478" s="60"/>
      <c r="HMR2478" s="60"/>
      <c r="HMS2478" s="63"/>
      <c r="HMT2478" s="61"/>
      <c r="HMU2478" s="54"/>
      <c r="HMV2478" s="54"/>
      <c r="HMW2478" s="60"/>
      <c r="HMX2478" s="60"/>
      <c r="HMY2478" s="60"/>
      <c r="HMZ2478" s="60"/>
      <c r="HNA2478" s="63"/>
      <c r="HNB2478" s="61"/>
      <c r="HNC2478" s="54"/>
      <c r="HND2478" s="54"/>
      <c r="HNE2478" s="60"/>
      <c r="HNF2478" s="60"/>
      <c r="HNG2478" s="60"/>
      <c r="HNH2478" s="60"/>
      <c r="HNI2478" s="63"/>
      <c r="HNJ2478" s="61"/>
      <c r="HNK2478" s="54"/>
      <c r="HNL2478" s="54"/>
      <c r="HNM2478" s="60"/>
      <c r="HNN2478" s="60"/>
      <c r="HNO2478" s="60"/>
      <c r="HNP2478" s="60"/>
      <c r="HNQ2478" s="63"/>
      <c r="HNR2478" s="61"/>
      <c r="HNS2478" s="54"/>
      <c r="HNT2478" s="54"/>
      <c r="HNU2478" s="60"/>
      <c r="HNV2478" s="60"/>
      <c r="HNW2478" s="60"/>
      <c r="HNX2478" s="60"/>
      <c r="HNY2478" s="63"/>
      <c r="HNZ2478" s="61"/>
      <c r="HOA2478" s="54"/>
      <c r="HOB2478" s="54"/>
      <c r="HOC2478" s="60"/>
      <c r="HOD2478" s="60"/>
      <c r="HOE2478" s="60"/>
      <c r="HOF2478" s="60"/>
      <c r="HOG2478" s="63"/>
      <c r="HOH2478" s="61"/>
      <c r="HOI2478" s="54"/>
      <c r="HOJ2478" s="54"/>
      <c r="HOK2478" s="60"/>
      <c r="HOL2478" s="60"/>
      <c r="HOM2478" s="60"/>
      <c r="HON2478" s="60"/>
      <c r="HOO2478" s="63"/>
      <c r="HOP2478" s="61"/>
      <c r="HOQ2478" s="54"/>
      <c r="HOR2478" s="54"/>
      <c r="HOS2478" s="60"/>
      <c r="HOT2478" s="60"/>
      <c r="HOU2478" s="60"/>
      <c r="HOV2478" s="60"/>
      <c r="HOW2478" s="63"/>
      <c r="HOX2478" s="61"/>
      <c r="HOY2478" s="54"/>
      <c r="HOZ2478" s="54"/>
      <c r="HPA2478" s="60"/>
      <c r="HPB2478" s="60"/>
      <c r="HPC2478" s="60"/>
      <c r="HPD2478" s="60"/>
      <c r="HPE2478" s="63"/>
      <c r="HPF2478" s="61"/>
      <c r="HPG2478" s="54"/>
      <c r="HPH2478" s="54"/>
      <c r="HPI2478" s="60"/>
      <c r="HPJ2478" s="60"/>
      <c r="HPK2478" s="60"/>
      <c r="HPL2478" s="60"/>
      <c r="HPM2478" s="63"/>
      <c r="HPN2478" s="61"/>
      <c r="HPO2478" s="54"/>
      <c r="HPP2478" s="54"/>
      <c r="HPQ2478" s="60"/>
      <c r="HPR2478" s="60"/>
      <c r="HPS2478" s="60"/>
      <c r="HPT2478" s="60"/>
      <c r="HPU2478" s="63"/>
      <c r="HPV2478" s="61"/>
      <c r="HPW2478" s="54"/>
      <c r="HPX2478" s="54"/>
      <c r="HPY2478" s="60"/>
      <c r="HPZ2478" s="60"/>
      <c r="HQA2478" s="60"/>
      <c r="HQB2478" s="60"/>
      <c r="HQC2478" s="63"/>
      <c r="HQD2478" s="61"/>
      <c r="HQE2478" s="54"/>
      <c r="HQF2478" s="54"/>
      <c r="HQG2478" s="60"/>
      <c r="HQH2478" s="60"/>
      <c r="HQI2478" s="60"/>
      <c r="HQJ2478" s="60"/>
      <c r="HQK2478" s="63"/>
      <c r="HQL2478" s="61"/>
      <c r="HQM2478" s="54"/>
      <c r="HQN2478" s="54"/>
      <c r="HQO2478" s="60"/>
      <c r="HQP2478" s="60"/>
      <c r="HQQ2478" s="60"/>
      <c r="HQR2478" s="60"/>
      <c r="HQS2478" s="63"/>
      <c r="HQT2478" s="61"/>
      <c r="HQU2478" s="54"/>
      <c r="HQV2478" s="54"/>
      <c r="HQW2478" s="60"/>
      <c r="HQX2478" s="60"/>
      <c r="HQY2478" s="60"/>
      <c r="HQZ2478" s="60"/>
      <c r="HRA2478" s="63"/>
      <c r="HRB2478" s="61"/>
      <c r="HRC2478" s="54"/>
      <c r="HRD2478" s="54"/>
      <c r="HRE2478" s="60"/>
      <c r="HRF2478" s="60"/>
      <c r="HRG2478" s="60"/>
      <c r="HRH2478" s="60"/>
      <c r="HRI2478" s="63"/>
      <c r="HRJ2478" s="61"/>
      <c r="HRK2478" s="54"/>
      <c r="HRL2478" s="54"/>
      <c r="HRM2478" s="60"/>
      <c r="HRN2478" s="60"/>
      <c r="HRO2478" s="60"/>
      <c r="HRP2478" s="60"/>
      <c r="HRQ2478" s="63"/>
      <c r="HRR2478" s="61"/>
      <c r="HRS2478" s="54"/>
      <c r="HRT2478" s="54"/>
      <c r="HRU2478" s="60"/>
      <c r="HRV2478" s="60"/>
      <c r="HRW2478" s="60"/>
      <c r="HRX2478" s="60"/>
      <c r="HRY2478" s="63"/>
      <c r="HRZ2478" s="61"/>
      <c r="HSA2478" s="54"/>
      <c r="HSB2478" s="54"/>
      <c r="HSC2478" s="60"/>
      <c r="HSD2478" s="60"/>
      <c r="HSE2478" s="60"/>
      <c r="HSF2478" s="60"/>
      <c r="HSG2478" s="63"/>
      <c r="HSH2478" s="61"/>
      <c r="HSI2478" s="54"/>
      <c r="HSJ2478" s="54"/>
      <c r="HSK2478" s="60"/>
      <c r="HSL2478" s="60"/>
      <c r="HSM2478" s="60"/>
      <c r="HSN2478" s="60"/>
      <c r="HSO2478" s="63"/>
      <c r="HSP2478" s="61"/>
      <c r="HSQ2478" s="54"/>
      <c r="HSR2478" s="54"/>
      <c r="HSS2478" s="60"/>
      <c r="HST2478" s="60"/>
      <c r="HSU2478" s="60"/>
      <c r="HSV2478" s="60"/>
      <c r="HSW2478" s="63"/>
      <c r="HSX2478" s="61"/>
      <c r="HSY2478" s="54"/>
      <c r="HSZ2478" s="54"/>
      <c r="HTA2478" s="60"/>
      <c r="HTB2478" s="60"/>
      <c r="HTC2478" s="60"/>
      <c r="HTD2478" s="60"/>
      <c r="HTE2478" s="63"/>
      <c r="HTF2478" s="61"/>
      <c r="HTG2478" s="54"/>
      <c r="HTH2478" s="54"/>
      <c r="HTI2478" s="60"/>
      <c r="HTJ2478" s="60"/>
      <c r="HTK2478" s="60"/>
      <c r="HTL2478" s="60"/>
      <c r="HTM2478" s="63"/>
      <c r="HTN2478" s="61"/>
      <c r="HTO2478" s="54"/>
      <c r="HTP2478" s="54"/>
      <c r="HTQ2478" s="60"/>
      <c r="HTR2478" s="60"/>
      <c r="HTS2478" s="60"/>
      <c r="HTT2478" s="60"/>
      <c r="HTU2478" s="63"/>
      <c r="HTV2478" s="61"/>
      <c r="HTW2478" s="54"/>
      <c r="HTX2478" s="54"/>
      <c r="HTY2478" s="60"/>
      <c r="HTZ2478" s="60"/>
      <c r="HUA2478" s="60"/>
      <c r="HUB2478" s="60"/>
      <c r="HUC2478" s="63"/>
      <c r="HUD2478" s="61"/>
      <c r="HUE2478" s="54"/>
      <c r="HUF2478" s="54"/>
      <c r="HUG2478" s="60"/>
      <c r="HUH2478" s="60"/>
      <c r="HUI2478" s="60"/>
      <c r="HUJ2478" s="60"/>
      <c r="HUK2478" s="63"/>
      <c r="HUL2478" s="61"/>
      <c r="HUM2478" s="54"/>
      <c r="HUN2478" s="54"/>
      <c r="HUO2478" s="60"/>
      <c r="HUP2478" s="60"/>
      <c r="HUQ2478" s="60"/>
      <c r="HUR2478" s="60"/>
      <c r="HUS2478" s="63"/>
      <c r="HUT2478" s="61"/>
      <c r="HUU2478" s="54"/>
      <c r="HUV2478" s="54"/>
      <c r="HUW2478" s="60"/>
      <c r="HUX2478" s="60"/>
      <c r="HUY2478" s="60"/>
      <c r="HUZ2478" s="60"/>
      <c r="HVA2478" s="63"/>
      <c r="HVB2478" s="61"/>
      <c r="HVC2478" s="54"/>
      <c r="HVD2478" s="54"/>
      <c r="HVE2478" s="60"/>
      <c r="HVF2478" s="60"/>
      <c r="HVG2478" s="60"/>
      <c r="HVH2478" s="60"/>
      <c r="HVI2478" s="63"/>
      <c r="HVJ2478" s="61"/>
      <c r="HVK2478" s="54"/>
      <c r="HVL2478" s="54"/>
      <c r="HVM2478" s="60"/>
      <c r="HVN2478" s="60"/>
      <c r="HVO2478" s="60"/>
      <c r="HVP2478" s="60"/>
      <c r="HVQ2478" s="63"/>
      <c r="HVR2478" s="61"/>
      <c r="HVS2478" s="54"/>
      <c r="HVT2478" s="54"/>
      <c r="HVU2478" s="60"/>
      <c r="HVV2478" s="60"/>
      <c r="HVW2478" s="60"/>
      <c r="HVX2478" s="60"/>
      <c r="HVY2478" s="63"/>
      <c r="HVZ2478" s="61"/>
      <c r="HWA2478" s="54"/>
      <c r="HWB2478" s="54"/>
      <c r="HWC2478" s="60"/>
      <c r="HWD2478" s="60"/>
      <c r="HWE2478" s="60"/>
      <c r="HWF2478" s="60"/>
      <c r="HWG2478" s="63"/>
      <c r="HWH2478" s="61"/>
      <c r="HWI2478" s="54"/>
      <c r="HWJ2478" s="54"/>
      <c r="HWK2478" s="60"/>
      <c r="HWL2478" s="60"/>
      <c r="HWM2478" s="60"/>
      <c r="HWN2478" s="60"/>
      <c r="HWO2478" s="63"/>
      <c r="HWP2478" s="61"/>
      <c r="HWQ2478" s="54"/>
      <c r="HWR2478" s="54"/>
      <c r="HWS2478" s="60"/>
      <c r="HWT2478" s="60"/>
      <c r="HWU2478" s="60"/>
      <c r="HWV2478" s="60"/>
      <c r="HWW2478" s="63"/>
      <c r="HWX2478" s="61"/>
      <c r="HWY2478" s="54"/>
      <c r="HWZ2478" s="54"/>
      <c r="HXA2478" s="60"/>
      <c r="HXB2478" s="60"/>
      <c r="HXC2478" s="60"/>
      <c r="HXD2478" s="60"/>
      <c r="HXE2478" s="63"/>
      <c r="HXF2478" s="61"/>
      <c r="HXG2478" s="54"/>
      <c r="HXH2478" s="54"/>
      <c r="HXI2478" s="60"/>
      <c r="HXJ2478" s="60"/>
      <c r="HXK2478" s="60"/>
      <c r="HXL2478" s="60"/>
      <c r="HXM2478" s="63"/>
      <c r="HXN2478" s="61"/>
      <c r="HXO2478" s="54"/>
      <c r="HXP2478" s="54"/>
      <c r="HXQ2478" s="60"/>
      <c r="HXR2478" s="60"/>
      <c r="HXS2478" s="60"/>
      <c r="HXT2478" s="60"/>
      <c r="HXU2478" s="63"/>
      <c r="HXV2478" s="61"/>
      <c r="HXW2478" s="54"/>
      <c r="HXX2478" s="54"/>
      <c r="HXY2478" s="60"/>
      <c r="HXZ2478" s="60"/>
      <c r="HYA2478" s="60"/>
      <c r="HYB2478" s="60"/>
      <c r="HYC2478" s="63"/>
      <c r="HYD2478" s="61"/>
      <c r="HYE2478" s="54"/>
      <c r="HYF2478" s="54"/>
      <c r="HYG2478" s="60"/>
      <c r="HYH2478" s="60"/>
      <c r="HYI2478" s="60"/>
      <c r="HYJ2478" s="60"/>
      <c r="HYK2478" s="63"/>
      <c r="HYL2478" s="61"/>
      <c r="HYM2478" s="54"/>
      <c r="HYN2478" s="54"/>
      <c r="HYO2478" s="60"/>
      <c r="HYP2478" s="60"/>
      <c r="HYQ2478" s="60"/>
      <c r="HYR2478" s="60"/>
      <c r="HYS2478" s="63"/>
      <c r="HYT2478" s="61"/>
      <c r="HYU2478" s="54"/>
      <c r="HYV2478" s="54"/>
      <c r="HYW2478" s="60"/>
      <c r="HYX2478" s="60"/>
      <c r="HYY2478" s="60"/>
      <c r="HYZ2478" s="60"/>
      <c r="HZA2478" s="63"/>
      <c r="HZB2478" s="61"/>
      <c r="HZC2478" s="54"/>
      <c r="HZD2478" s="54"/>
      <c r="HZE2478" s="60"/>
      <c r="HZF2478" s="60"/>
      <c r="HZG2478" s="60"/>
      <c r="HZH2478" s="60"/>
      <c r="HZI2478" s="63"/>
      <c r="HZJ2478" s="61"/>
      <c r="HZK2478" s="54"/>
      <c r="HZL2478" s="54"/>
      <c r="HZM2478" s="60"/>
      <c r="HZN2478" s="60"/>
      <c r="HZO2478" s="60"/>
      <c r="HZP2478" s="60"/>
      <c r="HZQ2478" s="63"/>
      <c r="HZR2478" s="61"/>
      <c r="HZS2478" s="54"/>
      <c r="HZT2478" s="54"/>
      <c r="HZU2478" s="60"/>
      <c r="HZV2478" s="60"/>
      <c r="HZW2478" s="60"/>
      <c r="HZX2478" s="60"/>
      <c r="HZY2478" s="63"/>
      <c r="HZZ2478" s="61"/>
      <c r="IAA2478" s="54"/>
      <c r="IAB2478" s="54"/>
      <c r="IAC2478" s="60"/>
      <c r="IAD2478" s="60"/>
      <c r="IAE2478" s="60"/>
      <c r="IAF2478" s="60"/>
      <c r="IAG2478" s="63"/>
      <c r="IAH2478" s="61"/>
      <c r="IAI2478" s="54"/>
      <c r="IAJ2478" s="54"/>
      <c r="IAK2478" s="60"/>
      <c r="IAL2478" s="60"/>
      <c r="IAM2478" s="60"/>
      <c r="IAN2478" s="60"/>
      <c r="IAO2478" s="63"/>
      <c r="IAP2478" s="61"/>
      <c r="IAQ2478" s="54"/>
      <c r="IAR2478" s="54"/>
      <c r="IAS2478" s="60"/>
      <c r="IAT2478" s="60"/>
      <c r="IAU2478" s="60"/>
      <c r="IAV2478" s="60"/>
      <c r="IAW2478" s="63"/>
      <c r="IAX2478" s="61"/>
      <c r="IAY2478" s="54"/>
      <c r="IAZ2478" s="54"/>
      <c r="IBA2478" s="60"/>
      <c r="IBB2478" s="60"/>
      <c r="IBC2478" s="60"/>
      <c r="IBD2478" s="60"/>
      <c r="IBE2478" s="63"/>
      <c r="IBF2478" s="61"/>
      <c r="IBG2478" s="54"/>
      <c r="IBH2478" s="54"/>
      <c r="IBI2478" s="60"/>
      <c r="IBJ2478" s="60"/>
      <c r="IBK2478" s="60"/>
      <c r="IBL2478" s="60"/>
      <c r="IBM2478" s="63"/>
      <c r="IBN2478" s="61"/>
      <c r="IBO2478" s="54"/>
      <c r="IBP2478" s="54"/>
      <c r="IBQ2478" s="60"/>
      <c r="IBR2478" s="60"/>
      <c r="IBS2478" s="60"/>
      <c r="IBT2478" s="60"/>
      <c r="IBU2478" s="63"/>
      <c r="IBV2478" s="61"/>
      <c r="IBW2478" s="54"/>
      <c r="IBX2478" s="54"/>
      <c r="IBY2478" s="60"/>
      <c r="IBZ2478" s="60"/>
      <c r="ICA2478" s="60"/>
      <c r="ICB2478" s="60"/>
      <c r="ICC2478" s="63"/>
      <c r="ICD2478" s="61"/>
      <c r="ICE2478" s="54"/>
      <c r="ICF2478" s="54"/>
      <c r="ICG2478" s="60"/>
      <c r="ICH2478" s="60"/>
      <c r="ICI2478" s="60"/>
      <c r="ICJ2478" s="60"/>
      <c r="ICK2478" s="63"/>
      <c r="ICL2478" s="61"/>
      <c r="ICM2478" s="54"/>
      <c r="ICN2478" s="54"/>
      <c r="ICO2478" s="60"/>
      <c r="ICP2478" s="60"/>
      <c r="ICQ2478" s="60"/>
      <c r="ICR2478" s="60"/>
      <c r="ICS2478" s="63"/>
      <c r="ICT2478" s="61"/>
      <c r="ICU2478" s="54"/>
      <c r="ICV2478" s="54"/>
      <c r="ICW2478" s="60"/>
      <c r="ICX2478" s="60"/>
      <c r="ICY2478" s="60"/>
      <c r="ICZ2478" s="60"/>
      <c r="IDA2478" s="63"/>
      <c r="IDB2478" s="61"/>
      <c r="IDC2478" s="54"/>
      <c r="IDD2478" s="54"/>
      <c r="IDE2478" s="60"/>
      <c r="IDF2478" s="60"/>
      <c r="IDG2478" s="60"/>
      <c r="IDH2478" s="60"/>
      <c r="IDI2478" s="63"/>
      <c r="IDJ2478" s="61"/>
      <c r="IDK2478" s="54"/>
      <c r="IDL2478" s="54"/>
      <c r="IDM2478" s="60"/>
      <c r="IDN2478" s="60"/>
      <c r="IDO2478" s="60"/>
      <c r="IDP2478" s="60"/>
      <c r="IDQ2478" s="63"/>
      <c r="IDR2478" s="61"/>
      <c r="IDS2478" s="54"/>
      <c r="IDT2478" s="54"/>
      <c r="IDU2478" s="60"/>
      <c r="IDV2478" s="60"/>
      <c r="IDW2478" s="60"/>
      <c r="IDX2478" s="60"/>
      <c r="IDY2478" s="63"/>
      <c r="IDZ2478" s="61"/>
      <c r="IEA2478" s="54"/>
      <c r="IEB2478" s="54"/>
      <c r="IEC2478" s="60"/>
      <c r="IED2478" s="60"/>
      <c r="IEE2478" s="60"/>
      <c r="IEF2478" s="60"/>
      <c r="IEG2478" s="63"/>
      <c r="IEH2478" s="61"/>
      <c r="IEI2478" s="54"/>
      <c r="IEJ2478" s="54"/>
      <c r="IEK2478" s="60"/>
      <c r="IEL2478" s="60"/>
      <c r="IEM2478" s="60"/>
      <c r="IEN2478" s="60"/>
      <c r="IEO2478" s="63"/>
      <c r="IEP2478" s="61"/>
      <c r="IEQ2478" s="54"/>
      <c r="IER2478" s="54"/>
      <c r="IES2478" s="60"/>
      <c r="IET2478" s="60"/>
      <c r="IEU2478" s="60"/>
      <c r="IEV2478" s="60"/>
      <c r="IEW2478" s="63"/>
      <c r="IEX2478" s="61"/>
      <c r="IEY2478" s="54"/>
      <c r="IEZ2478" s="54"/>
      <c r="IFA2478" s="60"/>
      <c r="IFB2478" s="60"/>
      <c r="IFC2478" s="60"/>
      <c r="IFD2478" s="60"/>
      <c r="IFE2478" s="63"/>
      <c r="IFF2478" s="61"/>
      <c r="IFG2478" s="54"/>
      <c r="IFH2478" s="54"/>
      <c r="IFI2478" s="60"/>
      <c r="IFJ2478" s="60"/>
      <c r="IFK2478" s="60"/>
      <c r="IFL2478" s="60"/>
      <c r="IFM2478" s="63"/>
      <c r="IFN2478" s="61"/>
      <c r="IFO2478" s="54"/>
      <c r="IFP2478" s="54"/>
      <c r="IFQ2478" s="60"/>
      <c r="IFR2478" s="60"/>
      <c r="IFS2478" s="60"/>
      <c r="IFT2478" s="60"/>
      <c r="IFU2478" s="63"/>
      <c r="IFV2478" s="61"/>
      <c r="IFW2478" s="54"/>
      <c r="IFX2478" s="54"/>
      <c r="IFY2478" s="60"/>
      <c r="IFZ2478" s="60"/>
      <c r="IGA2478" s="60"/>
      <c r="IGB2478" s="60"/>
      <c r="IGC2478" s="63"/>
      <c r="IGD2478" s="61"/>
      <c r="IGE2478" s="54"/>
      <c r="IGF2478" s="54"/>
      <c r="IGG2478" s="60"/>
      <c r="IGH2478" s="60"/>
      <c r="IGI2478" s="60"/>
      <c r="IGJ2478" s="60"/>
      <c r="IGK2478" s="63"/>
      <c r="IGL2478" s="61"/>
      <c r="IGM2478" s="54"/>
      <c r="IGN2478" s="54"/>
      <c r="IGO2478" s="60"/>
      <c r="IGP2478" s="60"/>
      <c r="IGQ2478" s="60"/>
      <c r="IGR2478" s="60"/>
      <c r="IGS2478" s="63"/>
      <c r="IGT2478" s="61"/>
      <c r="IGU2478" s="54"/>
      <c r="IGV2478" s="54"/>
      <c r="IGW2478" s="60"/>
      <c r="IGX2478" s="60"/>
      <c r="IGY2478" s="60"/>
      <c r="IGZ2478" s="60"/>
      <c r="IHA2478" s="63"/>
      <c r="IHB2478" s="61"/>
      <c r="IHC2478" s="54"/>
      <c r="IHD2478" s="54"/>
      <c r="IHE2478" s="60"/>
      <c r="IHF2478" s="60"/>
      <c r="IHG2478" s="60"/>
      <c r="IHH2478" s="60"/>
      <c r="IHI2478" s="63"/>
      <c r="IHJ2478" s="61"/>
      <c r="IHK2478" s="54"/>
      <c r="IHL2478" s="54"/>
      <c r="IHM2478" s="60"/>
      <c r="IHN2478" s="60"/>
      <c r="IHO2478" s="60"/>
      <c r="IHP2478" s="60"/>
      <c r="IHQ2478" s="63"/>
      <c r="IHR2478" s="61"/>
      <c r="IHS2478" s="54"/>
      <c r="IHT2478" s="54"/>
      <c r="IHU2478" s="60"/>
      <c r="IHV2478" s="60"/>
      <c r="IHW2478" s="60"/>
      <c r="IHX2478" s="60"/>
      <c r="IHY2478" s="63"/>
      <c r="IHZ2478" s="61"/>
      <c r="IIA2478" s="54"/>
      <c r="IIB2478" s="54"/>
      <c r="IIC2478" s="60"/>
      <c r="IID2478" s="60"/>
      <c r="IIE2478" s="60"/>
      <c r="IIF2478" s="60"/>
      <c r="IIG2478" s="63"/>
      <c r="IIH2478" s="61"/>
      <c r="III2478" s="54"/>
      <c r="IIJ2478" s="54"/>
      <c r="IIK2478" s="60"/>
      <c r="IIL2478" s="60"/>
      <c r="IIM2478" s="60"/>
      <c r="IIN2478" s="60"/>
      <c r="IIO2478" s="63"/>
      <c r="IIP2478" s="61"/>
      <c r="IIQ2478" s="54"/>
      <c r="IIR2478" s="54"/>
      <c r="IIS2478" s="60"/>
      <c r="IIT2478" s="60"/>
      <c r="IIU2478" s="60"/>
      <c r="IIV2478" s="60"/>
      <c r="IIW2478" s="63"/>
      <c r="IIX2478" s="61"/>
      <c r="IIY2478" s="54"/>
      <c r="IIZ2478" s="54"/>
      <c r="IJA2478" s="60"/>
      <c r="IJB2478" s="60"/>
      <c r="IJC2478" s="60"/>
      <c r="IJD2478" s="60"/>
      <c r="IJE2478" s="63"/>
      <c r="IJF2478" s="61"/>
      <c r="IJG2478" s="54"/>
      <c r="IJH2478" s="54"/>
      <c r="IJI2478" s="60"/>
      <c r="IJJ2478" s="60"/>
      <c r="IJK2478" s="60"/>
      <c r="IJL2478" s="60"/>
      <c r="IJM2478" s="63"/>
      <c r="IJN2478" s="61"/>
      <c r="IJO2478" s="54"/>
      <c r="IJP2478" s="54"/>
      <c r="IJQ2478" s="60"/>
      <c r="IJR2478" s="60"/>
      <c r="IJS2478" s="60"/>
      <c r="IJT2478" s="60"/>
      <c r="IJU2478" s="63"/>
      <c r="IJV2478" s="61"/>
      <c r="IJW2478" s="54"/>
      <c r="IJX2478" s="54"/>
      <c r="IJY2478" s="60"/>
      <c r="IJZ2478" s="60"/>
      <c r="IKA2478" s="60"/>
      <c r="IKB2478" s="60"/>
      <c r="IKC2478" s="63"/>
      <c r="IKD2478" s="61"/>
      <c r="IKE2478" s="54"/>
      <c r="IKF2478" s="54"/>
      <c r="IKG2478" s="60"/>
      <c r="IKH2478" s="60"/>
      <c r="IKI2478" s="60"/>
      <c r="IKJ2478" s="60"/>
      <c r="IKK2478" s="63"/>
      <c r="IKL2478" s="61"/>
      <c r="IKM2478" s="54"/>
      <c r="IKN2478" s="54"/>
      <c r="IKO2478" s="60"/>
      <c r="IKP2478" s="60"/>
      <c r="IKQ2478" s="60"/>
      <c r="IKR2478" s="60"/>
      <c r="IKS2478" s="63"/>
      <c r="IKT2478" s="61"/>
      <c r="IKU2478" s="54"/>
      <c r="IKV2478" s="54"/>
      <c r="IKW2478" s="60"/>
      <c r="IKX2478" s="60"/>
      <c r="IKY2478" s="60"/>
      <c r="IKZ2478" s="60"/>
      <c r="ILA2478" s="63"/>
      <c r="ILB2478" s="61"/>
      <c r="ILC2478" s="54"/>
      <c r="ILD2478" s="54"/>
      <c r="ILE2478" s="60"/>
      <c r="ILF2478" s="60"/>
      <c r="ILG2478" s="60"/>
      <c r="ILH2478" s="60"/>
      <c r="ILI2478" s="63"/>
      <c r="ILJ2478" s="61"/>
      <c r="ILK2478" s="54"/>
      <c r="ILL2478" s="54"/>
      <c r="ILM2478" s="60"/>
      <c r="ILN2478" s="60"/>
      <c r="ILO2478" s="60"/>
      <c r="ILP2478" s="60"/>
      <c r="ILQ2478" s="63"/>
      <c r="ILR2478" s="61"/>
      <c r="ILS2478" s="54"/>
      <c r="ILT2478" s="54"/>
      <c r="ILU2478" s="60"/>
      <c r="ILV2478" s="60"/>
      <c r="ILW2478" s="60"/>
      <c r="ILX2478" s="60"/>
      <c r="ILY2478" s="63"/>
      <c r="ILZ2478" s="61"/>
      <c r="IMA2478" s="54"/>
      <c r="IMB2478" s="54"/>
      <c r="IMC2478" s="60"/>
      <c r="IMD2478" s="60"/>
      <c r="IME2478" s="60"/>
      <c r="IMF2478" s="60"/>
      <c r="IMG2478" s="63"/>
      <c r="IMH2478" s="61"/>
      <c r="IMI2478" s="54"/>
      <c r="IMJ2478" s="54"/>
      <c r="IMK2478" s="60"/>
      <c r="IML2478" s="60"/>
      <c r="IMM2478" s="60"/>
      <c r="IMN2478" s="60"/>
      <c r="IMO2478" s="63"/>
      <c r="IMP2478" s="61"/>
      <c r="IMQ2478" s="54"/>
      <c r="IMR2478" s="54"/>
      <c r="IMS2478" s="60"/>
      <c r="IMT2478" s="60"/>
      <c r="IMU2478" s="60"/>
      <c r="IMV2478" s="60"/>
      <c r="IMW2478" s="63"/>
      <c r="IMX2478" s="61"/>
      <c r="IMY2478" s="54"/>
      <c r="IMZ2478" s="54"/>
      <c r="INA2478" s="60"/>
      <c r="INB2478" s="60"/>
      <c r="INC2478" s="60"/>
      <c r="IND2478" s="60"/>
      <c r="INE2478" s="63"/>
      <c r="INF2478" s="61"/>
      <c r="ING2478" s="54"/>
      <c r="INH2478" s="54"/>
      <c r="INI2478" s="60"/>
      <c r="INJ2478" s="60"/>
      <c r="INK2478" s="60"/>
      <c r="INL2478" s="60"/>
      <c r="INM2478" s="63"/>
      <c r="INN2478" s="61"/>
      <c r="INO2478" s="54"/>
      <c r="INP2478" s="54"/>
      <c r="INQ2478" s="60"/>
      <c r="INR2478" s="60"/>
      <c r="INS2478" s="60"/>
      <c r="INT2478" s="60"/>
      <c r="INU2478" s="63"/>
      <c r="INV2478" s="61"/>
      <c r="INW2478" s="54"/>
      <c r="INX2478" s="54"/>
      <c r="INY2478" s="60"/>
      <c r="INZ2478" s="60"/>
      <c r="IOA2478" s="60"/>
      <c r="IOB2478" s="60"/>
      <c r="IOC2478" s="63"/>
      <c r="IOD2478" s="61"/>
      <c r="IOE2478" s="54"/>
      <c r="IOF2478" s="54"/>
      <c r="IOG2478" s="60"/>
      <c r="IOH2478" s="60"/>
      <c r="IOI2478" s="60"/>
      <c r="IOJ2478" s="60"/>
      <c r="IOK2478" s="63"/>
      <c r="IOL2478" s="61"/>
      <c r="IOM2478" s="54"/>
      <c r="ION2478" s="54"/>
      <c r="IOO2478" s="60"/>
      <c r="IOP2478" s="60"/>
      <c r="IOQ2478" s="60"/>
      <c r="IOR2478" s="60"/>
      <c r="IOS2478" s="63"/>
      <c r="IOT2478" s="61"/>
      <c r="IOU2478" s="54"/>
      <c r="IOV2478" s="54"/>
      <c r="IOW2478" s="60"/>
      <c r="IOX2478" s="60"/>
      <c r="IOY2478" s="60"/>
      <c r="IOZ2478" s="60"/>
      <c r="IPA2478" s="63"/>
      <c r="IPB2478" s="61"/>
      <c r="IPC2478" s="54"/>
      <c r="IPD2478" s="54"/>
      <c r="IPE2478" s="60"/>
      <c r="IPF2478" s="60"/>
      <c r="IPG2478" s="60"/>
      <c r="IPH2478" s="60"/>
      <c r="IPI2478" s="63"/>
      <c r="IPJ2478" s="61"/>
      <c r="IPK2478" s="54"/>
      <c r="IPL2478" s="54"/>
      <c r="IPM2478" s="60"/>
      <c r="IPN2478" s="60"/>
      <c r="IPO2478" s="60"/>
      <c r="IPP2478" s="60"/>
      <c r="IPQ2478" s="63"/>
      <c r="IPR2478" s="61"/>
      <c r="IPS2478" s="54"/>
      <c r="IPT2478" s="54"/>
      <c r="IPU2478" s="60"/>
      <c r="IPV2478" s="60"/>
      <c r="IPW2478" s="60"/>
      <c r="IPX2478" s="60"/>
      <c r="IPY2478" s="63"/>
      <c r="IPZ2478" s="61"/>
      <c r="IQA2478" s="54"/>
      <c r="IQB2478" s="54"/>
      <c r="IQC2478" s="60"/>
      <c r="IQD2478" s="60"/>
      <c r="IQE2478" s="60"/>
      <c r="IQF2478" s="60"/>
      <c r="IQG2478" s="63"/>
      <c r="IQH2478" s="61"/>
      <c r="IQI2478" s="54"/>
      <c r="IQJ2478" s="54"/>
      <c r="IQK2478" s="60"/>
      <c r="IQL2478" s="60"/>
      <c r="IQM2478" s="60"/>
      <c r="IQN2478" s="60"/>
      <c r="IQO2478" s="63"/>
      <c r="IQP2478" s="61"/>
      <c r="IQQ2478" s="54"/>
      <c r="IQR2478" s="54"/>
      <c r="IQS2478" s="60"/>
      <c r="IQT2478" s="60"/>
      <c r="IQU2478" s="60"/>
      <c r="IQV2478" s="60"/>
      <c r="IQW2478" s="63"/>
      <c r="IQX2478" s="61"/>
      <c r="IQY2478" s="54"/>
      <c r="IQZ2478" s="54"/>
      <c r="IRA2478" s="60"/>
      <c r="IRB2478" s="60"/>
      <c r="IRC2478" s="60"/>
      <c r="IRD2478" s="60"/>
      <c r="IRE2478" s="63"/>
      <c r="IRF2478" s="61"/>
      <c r="IRG2478" s="54"/>
      <c r="IRH2478" s="54"/>
      <c r="IRI2478" s="60"/>
      <c r="IRJ2478" s="60"/>
      <c r="IRK2478" s="60"/>
      <c r="IRL2478" s="60"/>
      <c r="IRM2478" s="63"/>
      <c r="IRN2478" s="61"/>
      <c r="IRO2478" s="54"/>
      <c r="IRP2478" s="54"/>
      <c r="IRQ2478" s="60"/>
      <c r="IRR2478" s="60"/>
      <c r="IRS2478" s="60"/>
      <c r="IRT2478" s="60"/>
      <c r="IRU2478" s="63"/>
      <c r="IRV2478" s="61"/>
      <c r="IRW2478" s="54"/>
      <c r="IRX2478" s="54"/>
      <c r="IRY2478" s="60"/>
      <c r="IRZ2478" s="60"/>
      <c r="ISA2478" s="60"/>
      <c r="ISB2478" s="60"/>
      <c r="ISC2478" s="63"/>
      <c r="ISD2478" s="61"/>
      <c r="ISE2478" s="54"/>
      <c r="ISF2478" s="54"/>
      <c r="ISG2478" s="60"/>
      <c r="ISH2478" s="60"/>
      <c r="ISI2478" s="60"/>
      <c r="ISJ2478" s="60"/>
      <c r="ISK2478" s="63"/>
      <c r="ISL2478" s="61"/>
      <c r="ISM2478" s="54"/>
      <c r="ISN2478" s="54"/>
      <c r="ISO2478" s="60"/>
      <c r="ISP2478" s="60"/>
      <c r="ISQ2478" s="60"/>
      <c r="ISR2478" s="60"/>
      <c r="ISS2478" s="63"/>
      <c r="IST2478" s="61"/>
      <c r="ISU2478" s="54"/>
      <c r="ISV2478" s="54"/>
      <c r="ISW2478" s="60"/>
      <c r="ISX2478" s="60"/>
      <c r="ISY2478" s="60"/>
      <c r="ISZ2478" s="60"/>
      <c r="ITA2478" s="63"/>
      <c r="ITB2478" s="61"/>
      <c r="ITC2478" s="54"/>
      <c r="ITD2478" s="54"/>
      <c r="ITE2478" s="60"/>
      <c r="ITF2478" s="60"/>
      <c r="ITG2478" s="60"/>
      <c r="ITH2478" s="60"/>
      <c r="ITI2478" s="63"/>
      <c r="ITJ2478" s="61"/>
      <c r="ITK2478" s="54"/>
      <c r="ITL2478" s="54"/>
      <c r="ITM2478" s="60"/>
      <c r="ITN2478" s="60"/>
      <c r="ITO2478" s="60"/>
      <c r="ITP2478" s="60"/>
      <c r="ITQ2478" s="63"/>
      <c r="ITR2478" s="61"/>
      <c r="ITS2478" s="54"/>
      <c r="ITT2478" s="54"/>
      <c r="ITU2478" s="60"/>
      <c r="ITV2478" s="60"/>
      <c r="ITW2478" s="60"/>
      <c r="ITX2478" s="60"/>
      <c r="ITY2478" s="63"/>
      <c r="ITZ2478" s="61"/>
      <c r="IUA2478" s="54"/>
      <c r="IUB2478" s="54"/>
      <c r="IUC2478" s="60"/>
      <c r="IUD2478" s="60"/>
      <c r="IUE2478" s="60"/>
      <c r="IUF2478" s="60"/>
      <c r="IUG2478" s="63"/>
      <c r="IUH2478" s="61"/>
      <c r="IUI2478" s="54"/>
      <c r="IUJ2478" s="54"/>
      <c r="IUK2478" s="60"/>
      <c r="IUL2478" s="60"/>
      <c r="IUM2478" s="60"/>
      <c r="IUN2478" s="60"/>
      <c r="IUO2478" s="63"/>
      <c r="IUP2478" s="61"/>
      <c r="IUQ2478" s="54"/>
      <c r="IUR2478" s="54"/>
      <c r="IUS2478" s="60"/>
      <c r="IUT2478" s="60"/>
      <c r="IUU2478" s="60"/>
      <c r="IUV2478" s="60"/>
      <c r="IUW2478" s="63"/>
      <c r="IUX2478" s="61"/>
      <c r="IUY2478" s="54"/>
      <c r="IUZ2478" s="54"/>
      <c r="IVA2478" s="60"/>
      <c r="IVB2478" s="60"/>
      <c r="IVC2478" s="60"/>
      <c r="IVD2478" s="60"/>
      <c r="IVE2478" s="63"/>
      <c r="IVF2478" s="61"/>
      <c r="IVG2478" s="54"/>
      <c r="IVH2478" s="54"/>
      <c r="IVI2478" s="60"/>
      <c r="IVJ2478" s="60"/>
      <c r="IVK2478" s="60"/>
      <c r="IVL2478" s="60"/>
      <c r="IVM2478" s="63"/>
      <c r="IVN2478" s="61"/>
      <c r="IVO2478" s="54"/>
      <c r="IVP2478" s="54"/>
      <c r="IVQ2478" s="60"/>
      <c r="IVR2478" s="60"/>
      <c r="IVS2478" s="60"/>
      <c r="IVT2478" s="60"/>
      <c r="IVU2478" s="63"/>
      <c r="IVV2478" s="61"/>
      <c r="IVW2478" s="54"/>
      <c r="IVX2478" s="54"/>
      <c r="IVY2478" s="60"/>
      <c r="IVZ2478" s="60"/>
      <c r="IWA2478" s="60"/>
      <c r="IWB2478" s="60"/>
      <c r="IWC2478" s="63"/>
      <c r="IWD2478" s="61"/>
      <c r="IWE2478" s="54"/>
      <c r="IWF2478" s="54"/>
      <c r="IWG2478" s="60"/>
      <c r="IWH2478" s="60"/>
      <c r="IWI2478" s="60"/>
      <c r="IWJ2478" s="60"/>
      <c r="IWK2478" s="63"/>
      <c r="IWL2478" s="61"/>
      <c r="IWM2478" s="54"/>
      <c r="IWN2478" s="54"/>
      <c r="IWO2478" s="60"/>
      <c r="IWP2478" s="60"/>
      <c r="IWQ2478" s="60"/>
      <c r="IWR2478" s="60"/>
      <c r="IWS2478" s="63"/>
      <c r="IWT2478" s="61"/>
      <c r="IWU2478" s="54"/>
      <c r="IWV2478" s="54"/>
      <c r="IWW2478" s="60"/>
      <c r="IWX2478" s="60"/>
      <c r="IWY2478" s="60"/>
      <c r="IWZ2478" s="60"/>
      <c r="IXA2478" s="63"/>
      <c r="IXB2478" s="61"/>
      <c r="IXC2478" s="54"/>
      <c r="IXD2478" s="54"/>
      <c r="IXE2478" s="60"/>
      <c r="IXF2478" s="60"/>
      <c r="IXG2478" s="60"/>
      <c r="IXH2478" s="60"/>
      <c r="IXI2478" s="63"/>
      <c r="IXJ2478" s="61"/>
      <c r="IXK2478" s="54"/>
      <c r="IXL2478" s="54"/>
      <c r="IXM2478" s="60"/>
      <c r="IXN2478" s="60"/>
      <c r="IXO2478" s="60"/>
      <c r="IXP2478" s="60"/>
      <c r="IXQ2478" s="63"/>
      <c r="IXR2478" s="61"/>
      <c r="IXS2478" s="54"/>
      <c r="IXT2478" s="54"/>
      <c r="IXU2478" s="60"/>
      <c r="IXV2478" s="60"/>
      <c r="IXW2478" s="60"/>
      <c r="IXX2478" s="60"/>
      <c r="IXY2478" s="63"/>
      <c r="IXZ2478" s="61"/>
      <c r="IYA2478" s="54"/>
      <c r="IYB2478" s="54"/>
      <c r="IYC2478" s="60"/>
      <c r="IYD2478" s="60"/>
      <c r="IYE2478" s="60"/>
      <c r="IYF2478" s="60"/>
      <c r="IYG2478" s="63"/>
      <c r="IYH2478" s="61"/>
      <c r="IYI2478" s="54"/>
      <c r="IYJ2478" s="54"/>
      <c r="IYK2478" s="60"/>
      <c r="IYL2478" s="60"/>
      <c r="IYM2478" s="60"/>
      <c r="IYN2478" s="60"/>
      <c r="IYO2478" s="63"/>
      <c r="IYP2478" s="61"/>
      <c r="IYQ2478" s="54"/>
      <c r="IYR2478" s="54"/>
      <c r="IYS2478" s="60"/>
      <c r="IYT2478" s="60"/>
      <c r="IYU2478" s="60"/>
      <c r="IYV2478" s="60"/>
      <c r="IYW2478" s="63"/>
      <c r="IYX2478" s="61"/>
      <c r="IYY2478" s="54"/>
      <c r="IYZ2478" s="54"/>
      <c r="IZA2478" s="60"/>
      <c r="IZB2478" s="60"/>
      <c r="IZC2478" s="60"/>
      <c r="IZD2478" s="60"/>
      <c r="IZE2478" s="63"/>
      <c r="IZF2478" s="61"/>
      <c r="IZG2478" s="54"/>
      <c r="IZH2478" s="54"/>
      <c r="IZI2478" s="60"/>
      <c r="IZJ2478" s="60"/>
      <c r="IZK2478" s="60"/>
      <c r="IZL2478" s="60"/>
      <c r="IZM2478" s="63"/>
      <c r="IZN2478" s="61"/>
      <c r="IZO2478" s="54"/>
      <c r="IZP2478" s="54"/>
      <c r="IZQ2478" s="60"/>
      <c r="IZR2478" s="60"/>
      <c r="IZS2478" s="60"/>
      <c r="IZT2478" s="60"/>
      <c r="IZU2478" s="63"/>
      <c r="IZV2478" s="61"/>
      <c r="IZW2478" s="54"/>
      <c r="IZX2478" s="54"/>
      <c r="IZY2478" s="60"/>
      <c r="IZZ2478" s="60"/>
      <c r="JAA2478" s="60"/>
      <c r="JAB2478" s="60"/>
      <c r="JAC2478" s="63"/>
      <c r="JAD2478" s="61"/>
      <c r="JAE2478" s="54"/>
      <c r="JAF2478" s="54"/>
      <c r="JAG2478" s="60"/>
      <c r="JAH2478" s="60"/>
      <c r="JAI2478" s="60"/>
      <c r="JAJ2478" s="60"/>
      <c r="JAK2478" s="63"/>
      <c r="JAL2478" s="61"/>
      <c r="JAM2478" s="54"/>
      <c r="JAN2478" s="54"/>
      <c r="JAO2478" s="60"/>
      <c r="JAP2478" s="60"/>
      <c r="JAQ2478" s="60"/>
      <c r="JAR2478" s="60"/>
      <c r="JAS2478" s="63"/>
      <c r="JAT2478" s="61"/>
      <c r="JAU2478" s="54"/>
      <c r="JAV2478" s="54"/>
      <c r="JAW2478" s="60"/>
      <c r="JAX2478" s="60"/>
      <c r="JAY2478" s="60"/>
      <c r="JAZ2478" s="60"/>
      <c r="JBA2478" s="63"/>
      <c r="JBB2478" s="61"/>
      <c r="JBC2478" s="54"/>
      <c r="JBD2478" s="54"/>
      <c r="JBE2478" s="60"/>
      <c r="JBF2478" s="60"/>
      <c r="JBG2478" s="60"/>
      <c r="JBH2478" s="60"/>
      <c r="JBI2478" s="63"/>
      <c r="JBJ2478" s="61"/>
      <c r="JBK2478" s="54"/>
      <c r="JBL2478" s="54"/>
      <c r="JBM2478" s="60"/>
      <c r="JBN2478" s="60"/>
      <c r="JBO2478" s="60"/>
      <c r="JBP2478" s="60"/>
      <c r="JBQ2478" s="63"/>
      <c r="JBR2478" s="61"/>
      <c r="JBS2478" s="54"/>
      <c r="JBT2478" s="54"/>
      <c r="JBU2478" s="60"/>
      <c r="JBV2478" s="60"/>
      <c r="JBW2478" s="60"/>
      <c r="JBX2478" s="60"/>
      <c r="JBY2478" s="63"/>
      <c r="JBZ2478" s="61"/>
      <c r="JCA2478" s="54"/>
      <c r="JCB2478" s="54"/>
      <c r="JCC2478" s="60"/>
      <c r="JCD2478" s="60"/>
      <c r="JCE2478" s="60"/>
      <c r="JCF2478" s="60"/>
      <c r="JCG2478" s="63"/>
      <c r="JCH2478" s="61"/>
      <c r="JCI2478" s="54"/>
      <c r="JCJ2478" s="54"/>
      <c r="JCK2478" s="60"/>
      <c r="JCL2478" s="60"/>
      <c r="JCM2478" s="60"/>
      <c r="JCN2478" s="60"/>
      <c r="JCO2478" s="63"/>
      <c r="JCP2478" s="61"/>
      <c r="JCQ2478" s="54"/>
      <c r="JCR2478" s="54"/>
      <c r="JCS2478" s="60"/>
      <c r="JCT2478" s="60"/>
      <c r="JCU2478" s="60"/>
      <c r="JCV2478" s="60"/>
      <c r="JCW2478" s="63"/>
      <c r="JCX2478" s="61"/>
      <c r="JCY2478" s="54"/>
      <c r="JCZ2478" s="54"/>
      <c r="JDA2478" s="60"/>
      <c r="JDB2478" s="60"/>
      <c r="JDC2478" s="60"/>
      <c r="JDD2478" s="60"/>
      <c r="JDE2478" s="63"/>
      <c r="JDF2478" s="61"/>
      <c r="JDG2478" s="54"/>
      <c r="JDH2478" s="54"/>
      <c r="JDI2478" s="60"/>
      <c r="JDJ2478" s="60"/>
      <c r="JDK2478" s="60"/>
      <c r="JDL2478" s="60"/>
      <c r="JDM2478" s="63"/>
      <c r="JDN2478" s="61"/>
      <c r="JDO2478" s="54"/>
      <c r="JDP2478" s="54"/>
      <c r="JDQ2478" s="60"/>
      <c r="JDR2478" s="60"/>
      <c r="JDS2478" s="60"/>
      <c r="JDT2478" s="60"/>
      <c r="JDU2478" s="63"/>
      <c r="JDV2478" s="61"/>
      <c r="JDW2478" s="54"/>
      <c r="JDX2478" s="54"/>
      <c r="JDY2478" s="60"/>
      <c r="JDZ2478" s="60"/>
      <c r="JEA2478" s="60"/>
      <c r="JEB2478" s="60"/>
      <c r="JEC2478" s="63"/>
      <c r="JED2478" s="61"/>
      <c r="JEE2478" s="54"/>
      <c r="JEF2478" s="54"/>
      <c r="JEG2478" s="60"/>
      <c r="JEH2478" s="60"/>
      <c r="JEI2478" s="60"/>
      <c r="JEJ2478" s="60"/>
      <c r="JEK2478" s="63"/>
      <c r="JEL2478" s="61"/>
      <c r="JEM2478" s="54"/>
      <c r="JEN2478" s="54"/>
      <c r="JEO2478" s="60"/>
      <c r="JEP2478" s="60"/>
      <c r="JEQ2478" s="60"/>
      <c r="JER2478" s="60"/>
      <c r="JES2478" s="63"/>
      <c r="JET2478" s="61"/>
      <c r="JEU2478" s="54"/>
      <c r="JEV2478" s="54"/>
      <c r="JEW2478" s="60"/>
      <c r="JEX2478" s="60"/>
      <c r="JEY2478" s="60"/>
      <c r="JEZ2478" s="60"/>
      <c r="JFA2478" s="63"/>
      <c r="JFB2478" s="61"/>
      <c r="JFC2478" s="54"/>
      <c r="JFD2478" s="54"/>
      <c r="JFE2478" s="60"/>
      <c r="JFF2478" s="60"/>
      <c r="JFG2478" s="60"/>
      <c r="JFH2478" s="60"/>
      <c r="JFI2478" s="63"/>
      <c r="JFJ2478" s="61"/>
      <c r="JFK2478" s="54"/>
      <c r="JFL2478" s="54"/>
      <c r="JFM2478" s="60"/>
      <c r="JFN2478" s="60"/>
      <c r="JFO2478" s="60"/>
      <c r="JFP2478" s="60"/>
      <c r="JFQ2478" s="63"/>
      <c r="JFR2478" s="61"/>
      <c r="JFS2478" s="54"/>
      <c r="JFT2478" s="54"/>
      <c r="JFU2478" s="60"/>
      <c r="JFV2478" s="60"/>
      <c r="JFW2478" s="60"/>
      <c r="JFX2478" s="60"/>
      <c r="JFY2478" s="63"/>
      <c r="JFZ2478" s="61"/>
      <c r="JGA2478" s="54"/>
      <c r="JGB2478" s="54"/>
      <c r="JGC2478" s="60"/>
      <c r="JGD2478" s="60"/>
      <c r="JGE2478" s="60"/>
      <c r="JGF2478" s="60"/>
      <c r="JGG2478" s="63"/>
      <c r="JGH2478" s="61"/>
      <c r="JGI2478" s="54"/>
      <c r="JGJ2478" s="54"/>
      <c r="JGK2478" s="60"/>
      <c r="JGL2478" s="60"/>
      <c r="JGM2478" s="60"/>
      <c r="JGN2478" s="60"/>
      <c r="JGO2478" s="63"/>
      <c r="JGP2478" s="61"/>
      <c r="JGQ2478" s="54"/>
      <c r="JGR2478" s="54"/>
      <c r="JGS2478" s="60"/>
      <c r="JGT2478" s="60"/>
      <c r="JGU2478" s="60"/>
      <c r="JGV2478" s="60"/>
      <c r="JGW2478" s="63"/>
      <c r="JGX2478" s="61"/>
      <c r="JGY2478" s="54"/>
      <c r="JGZ2478" s="54"/>
      <c r="JHA2478" s="60"/>
      <c r="JHB2478" s="60"/>
      <c r="JHC2478" s="60"/>
      <c r="JHD2478" s="60"/>
      <c r="JHE2478" s="63"/>
      <c r="JHF2478" s="61"/>
      <c r="JHG2478" s="54"/>
      <c r="JHH2478" s="54"/>
      <c r="JHI2478" s="60"/>
      <c r="JHJ2478" s="60"/>
      <c r="JHK2478" s="60"/>
      <c r="JHL2478" s="60"/>
      <c r="JHM2478" s="63"/>
      <c r="JHN2478" s="61"/>
      <c r="JHO2478" s="54"/>
      <c r="JHP2478" s="54"/>
      <c r="JHQ2478" s="60"/>
      <c r="JHR2478" s="60"/>
      <c r="JHS2478" s="60"/>
      <c r="JHT2478" s="60"/>
      <c r="JHU2478" s="63"/>
      <c r="JHV2478" s="61"/>
      <c r="JHW2478" s="54"/>
      <c r="JHX2478" s="54"/>
      <c r="JHY2478" s="60"/>
      <c r="JHZ2478" s="60"/>
      <c r="JIA2478" s="60"/>
      <c r="JIB2478" s="60"/>
      <c r="JIC2478" s="63"/>
      <c r="JID2478" s="61"/>
      <c r="JIE2478" s="54"/>
      <c r="JIF2478" s="54"/>
      <c r="JIG2478" s="60"/>
      <c r="JIH2478" s="60"/>
      <c r="JII2478" s="60"/>
      <c r="JIJ2478" s="60"/>
      <c r="JIK2478" s="63"/>
      <c r="JIL2478" s="61"/>
      <c r="JIM2478" s="54"/>
      <c r="JIN2478" s="54"/>
      <c r="JIO2478" s="60"/>
      <c r="JIP2478" s="60"/>
      <c r="JIQ2478" s="60"/>
      <c r="JIR2478" s="60"/>
      <c r="JIS2478" s="63"/>
      <c r="JIT2478" s="61"/>
      <c r="JIU2478" s="54"/>
      <c r="JIV2478" s="54"/>
      <c r="JIW2478" s="60"/>
      <c r="JIX2478" s="60"/>
      <c r="JIY2478" s="60"/>
      <c r="JIZ2478" s="60"/>
      <c r="JJA2478" s="63"/>
      <c r="JJB2478" s="61"/>
      <c r="JJC2478" s="54"/>
      <c r="JJD2478" s="54"/>
      <c r="JJE2478" s="60"/>
      <c r="JJF2478" s="60"/>
      <c r="JJG2478" s="60"/>
      <c r="JJH2478" s="60"/>
      <c r="JJI2478" s="63"/>
      <c r="JJJ2478" s="61"/>
      <c r="JJK2478" s="54"/>
      <c r="JJL2478" s="54"/>
      <c r="JJM2478" s="60"/>
      <c r="JJN2478" s="60"/>
      <c r="JJO2478" s="60"/>
      <c r="JJP2478" s="60"/>
      <c r="JJQ2478" s="63"/>
      <c r="JJR2478" s="61"/>
      <c r="JJS2478" s="54"/>
      <c r="JJT2478" s="54"/>
      <c r="JJU2478" s="60"/>
      <c r="JJV2478" s="60"/>
      <c r="JJW2478" s="60"/>
      <c r="JJX2478" s="60"/>
      <c r="JJY2478" s="63"/>
      <c r="JJZ2478" s="61"/>
      <c r="JKA2478" s="54"/>
      <c r="JKB2478" s="54"/>
      <c r="JKC2478" s="60"/>
      <c r="JKD2478" s="60"/>
      <c r="JKE2478" s="60"/>
      <c r="JKF2478" s="60"/>
      <c r="JKG2478" s="63"/>
      <c r="JKH2478" s="61"/>
      <c r="JKI2478" s="54"/>
      <c r="JKJ2478" s="54"/>
      <c r="JKK2478" s="60"/>
      <c r="JKL2478" s="60"/>
      <c r="JKM2478" s="60"/>
      <c r="JKN2478" s="60"/>
      <c r="JKO2478" s="63"/>
      <c r="JKP2478" s="61"/>
      <c r="JKQ2478" s="54"/>
      <c r="JKR2478" s="54"/>
      <c r="JKS2478" s="60"/>
      <c r="JKT2478" s="60"/>
      <c r="JKU2478" s="60"/>
      <c r="JKV2478" s="60"/>
      <c r="JKW2478" s="63"/>
      <c r="JKX2478" s="61"/>
      <c r="JKY2478" s="54"/>
      <c r="JKZ2478" s="54"/>
      <c r="JLA2478" s="60"/>
      <c r="JLB2478" s="60"/>
      <c r="JLC2478" s="60"/>
      <c r="JLD2478" s="60"/>
      <c r="JLE2478" s="63"/>
      <c r="JLF2478" s="61"/>
      <c r="JLG2478" s="54"/>
      <c r="JLH2478" s="54"/>
      <c r="JLI2478" s="60"/>
      <c r="JLJ2478" s="60"/>
      <c r="JLK2478" s="60"/>
      <c r="JLL2478" s="60"/>
      <c r="JLM2478" s="63"/>
      <c r="JLN2478" s="61"/>
      <c r="JLO2478" s="54"/>
      <c r="JLP2478" s="54"/>
      <c r="JLQ2478" s="60"/>
      <c r="JLR2478" s="60"/>
      <c r="JLS2478" s="60"/>
      <c r="JLT2478" s="60"/>
      <c r="JLU2478" s="63"/>
      <c r="JLV2478" s="61"/>
      <c r="JLW2478" s="54"/>
      <c r="JLX2478" s="54"/>
      <c r="JLY2478" s="60"/>
      <c r="JLZ2478" s="60"/>
      <c r="JMA2478" s="60"/>
      <c r="JMB2478" s="60"/>
      <c r="JMC2478" s="63"/>
      <c r="JMD2478" s="61"/>
      <c r="JME2478" s="54"/>
      <c r="JMF2478" s="54"/>
      <c r="JMG2478" s="60"/>
      <c r="JMH2478" s="60"/>
      <c r="JMI2478" s="60"/>
      <c r="JMJ2478" s="60"/>
      <c r="JMK2478" s="63"/>
      <c r="JML2478" s="61"/>
      <c r="JMM2478" s="54"/>
      <c r="JMN2478" s="54"/>
      <c r="JMO2478" s="60"/>
      <c r="JMP2478" s="60"/>
      <c r="JMQ2478" s="60"/>
      <c r="JMR2478" s="60"/>
      <c r="JMS2478" s="63"/>
      <c r="JMT2478" s="61"/>
      <c r="JMU2478" s="54"/>
      <c r="JMV2478" s="54"/>
      <c r="JMW2478" s="60"/>
      <c r="JMX2478" s="60"/>
      <c r="JMY2478" s="60"/>
      <c r="JMZ2478" s="60"/>
      <c r="JNA2478" s="63"/>
      <c r="JNB2478" s="61"/>
      <c r="JNC2478" s="54"/>
      <c r="JND2478" s="54"/>
      <c r="JNE2478" s="60"/>
      <c r="JNF2478" s="60"/>
      <c r="JNG2478" s="60"/>
      <c r="JNH2478" s="60"/>
      <c r="JNI2478" s="63"/>
      <c r="JNJ2478" s="61"/>
      <c r="JNK2478" s="54"/>
      <c r="JNL2478" s="54"/>
      <c r="JNM2478" s="60"/>
      <c r="JNN2478" s="60"/>
      <c r="JNO2478" s="60"/>
      <c r="JNP2478" s="60"/>
      <c r="JNQ2478" s="63"/>
      <c r="JNR2478" s="61"/>
      <c r="JNS2478" s="54"/>
      <c r="JNT2478" s="54"/>
      <c r="JNU2478" s="60"/>
      <c r="JNV2478" s="60"/>
      <c r="JNW2478" s="60"/>
      <c r="JNX2478" s="60"/>
      <c r="JNY2478" s="63"/>
      <c r="JNZ2478" s="61"/>
      <c r="JOA2478" s="54"/>
      <c r="JOB2478" s="54"/>
      <c r="JOC2478" s="60"/>
      <c r="JOD2478" s="60"/>
      <c r="JOE2478" s="60"/>
      <c r="JOF2478" s="60"/>
      <c r="JOG2478" s="63"/>
      <c r="JOH2478" s="61"/>
      <c r="JOI2478" s="54"/>
      <c r="JOJ2478" s="54"/>
      <c r="JOK2478" s="60"/>
      <c r="JOL2478" s="60"/>
      <c r="JOM2478" s="60"/>
      <c r="JON2478" s="60"/>
      <c r="JOO2478" s="63"/>
      <c r="JOP2478" s="61"/>
      <c r="JOQ2478" s="54"/>
      <c r="JOR2478" s="54"/>
      <c r="JOS2478" s="60"/>
      <c r="JOT2478" s="60"/>
      <c r="JOU2478" s="60"/>
      <c r="JOV2478" s="60"/>
      <c r="JOW2478" s="63"/>
      <c r="JOX2478" s="61"/>
      <c r="JOY2478" s="54"/>
      <c r="JOZ2478" s="54"/>
      <c r="JPA2478" s="60"/>
      <c r="JPB2478" s="60"/>
      <c r="JPC2478" s="60"/>
      <c r="JPD2478" s="60"/>
      <c r="JPE2478" s="63"/>
      <c r="JPF2478" s="61"/>
      <c r="JPG2478" s="54"/>
      <c r="JPH2478" s="54"/>
      <c r="JPI2478" s="60"/>
      <c r="JPJ2478" s="60"/>
      <c r="JPK2478" s="60"/>
      <c r="JPL2478" s="60"/>
      <c r="JPM2478" s="63"/>
      <c r="JPN2478" s="61"/>
      <c r="JPO2478" s="54"/>
      <c r="JPP2478" s="54"/>
      <c r="JPQ2478" s="60"/>
      <c r="JPR2478" s="60"/>
      <c r="JPS2478" s="60"/>
      <c r="JPT2478" s="60"/>
      <c r="JPU2478" s="63"/>
      <c r="JPV2478" s="61"/>
      <c r="JPW2478" s="54"/>
      <c r="JPX2478" s="54"/>
      <c r="JPY2478" s="60"/>
      <c r="JPZ2478" s="60"/>
      <c r="JQA2478" s="60"/>
      <c r="JQB2478" s="60"/>
      <c r="JQC2478" s="63"/>
      <c r="JQD2478" s="61"/>
      <c r="JQE2478" s="54"/>
      <c r="JQF2478" s="54"/>
      <c r="JQG2478" s="60"/>
      <c r="JQH2478" s="60"/>
      <c r="JQI2478" s="60"/>
      <c r="JQJ2478" s="60"/>
      <c r="JQK2478" s="63"/>
      <c r="JQL2478" s="61"/>
      <c r="JQM2478" s="54"/>
      <c r="JQN2478" s="54"/>
      <c r="JQO2478" s="60"/>
      <c r="JQP2478" s="60"/>
      <c r="JQQ2478" s="60"/>
      <c r="JQR2478" s="60"/>
      <c r="JQS2478" s="63"/>
      <c r="JQT2478" s="61"/>
      <c r="JQU2478" s="54"/>
      <c r="JQV2478" s="54"/>
      <c r="JQW2478" s="60"/>
      <c r="JQX2478" s="60"/>
      <c r="JQY2478" s="60"/>
      <c r="JQZ2478" s="60"/>
      <c r="JRA2478" s="63"/>
      <c r="JRB2478" s="61"/>
      <c r="JRC2478" s="54"/>
      <c r="JRD2478" s="54"/>
      <c r="JRE2478" s="60"/>
      <c r="JRF2478" s="60"/>
      <c r="JRG2478" s="60"/>
      <c r="JRH2478" s="60"/>
      <c r="JRI2478" s="63"/>
      <c r="JRJ2478" s="61"/>
      <c r="JRK2478" s="54"/>
      <c r="JRL2478" s="54"/>
      <c r="JRM2478" s="60"/>
      <c r="JRN2478" s="60"/>
      <c r="JRO2478" s="60"/>
      <c r="JRP2478" s="60"/>
      <c r="JRQ2478" s="63"/>
      <c r="JRR2478" s="61"/>
      <c r="JRS2478" s="54"/>
      <c r="JRT2478" s="54"/>
      <c r="JRU2478" s="60"/>
      <c r="JRV2478" s="60"/>
      <c r="JRW2478" s="60"/>
      <c r="JRX2478" s="60"/>
      <c r="JRY2478" s="63"/>
      <c r="JRZ2478" s="61"/>
      <c r="JSA2478" s="54"/>
      <c r="JSB2478" s="54"/>
      <c r="JSC2478" s="60"/>
      <c r="JSD2478" s="60"/>
      <c r="JSE2478" s="60"/>
      <c r="JSF2478" s="60"/>
      <c r="JSG2478" s="63"/>
      <c r="JSH2478" s="61"/>
      <c r="JSI2478" s="54"/>
      <c r="JSJ2478" s="54"/>
      <c r="JSK2478" s="60"/>
      <c r="JSL2478" s="60"/>
      <c r="JSM2478" s="60"/>
      <c r="JSN2478" s="60"/>
      <c r="JSO2478" s="63"/>
      <c r="JSP2478" s="61"/>
      <c r="JSQ2478" s="54"/>
      <c r="JSR2478" s="54"/>
      <c r="JSS2478" s="60"/>
      <c r="JST2478" s="60"/>
      <c r="JSU2478" s="60"/>
      <c r="JSV2478" s="60"/>
      <c r="JSW2478" s="63"/>
      <c r="JSX2478" s="61"/>
      <c r="JSY2478" s="54"/>
      <c r="JSZ2478" s="54"/>
      <c r="JTA2478" s="60"/>
      <c r="JTB2478" s="60"/>
      <c r="JTC2478" s="60"/>
      <c r="JTD2478" s="60"/>
      <c r="JTE2478" s="63"/>
      <c r="JTF2478" s="61"/>
      <c r="JTG2478" s="54"/>
      <c r="JTH2478" s="54"/>
      <c r="JTI2478" s="60"/>
      <c r="JTJ2478" s="60"/>
      <c r="JTK2478" s="60"/>
      <c r="JTL2478" s="60"/>
      <c r="JTM2478" s="63"/>
      <c r="JTN2478" s="61"/>
      <c r="JTO2478" s="54"/>
      <c r="JTP2478" s="54"/>
      <c r="JTQ2478" s="60"/>
      <c r="JTR2478" s="60"/>
      <c r="JTS2478" s="60"/>
      <c r="JTT2478" s="60"/>
      <c r="JTU2478" s="63"/>
      <c r="JTV2478" s="61"/>
      <c r="JTW2478" s="54"/>
      <c r="JTX2478" s="54"/>
      <c r="JTY2478" s="60"/>
      <c r="JTZ2478" s="60"/>
      <c r="JUA2478" s="60"/>
      <c r="JUB2478" s="60"/>
      <c r="JUC2478" s="63"/>
      <c r="JUD2478" s="61"/>
      <c r="JUE2478" s="54"/>
      <c r="JUF2478" s="54"/>
      <c r="JUG2478" s="60"/>
      <c r="JUH2478" s="60"/>
      <c r="JUI2478" s="60"/>
      <c r="JUJ2478" s="60"/>
      <c r="JUK2478" s="63"/>
      <c r="JUL2478" s="61"/>
      <c r="JUM2478" s="54"/>
      <c r="JUN2478" s="54"/>
      <c r="JUO2478" s="60"/>
      <c r="JUP2478" s="60"/>
      <c r="JUQ2478" s="60"/>
      <c r="JUR2478" s="60"/>
      <c r="JUS2478" s="63"/>
      <c r="JUT2478" s="61"/>
      <c r="JUU2478" s="54"/>
      <c r="JUV2478" s="54"/>
      <c r="JUW2478" s="60"/>
      <c r="JUX2478" s="60"/>
      <c r="JUY2478" s="60"/>
      <c r="JUZ2478" s="60"/>
      <c r="JVA2478" s="63"/>
      <c r="JVB2478" s="61"/>
      <c r="JVC2478" s="54"/>
      <c r="JVD2478" s="54"/>
      <c r="JVE2478" s="60"/>
      <c r="JVF2478" s="60"/>
      <c r="JVG2478" s="60"/>
      <c r="JVH2478" s="60"/>
      <c r="JVI2478" s="63"/>
      <c r="JVJ2478" s="61"/>
      <c r="JVK2478" s="54"/>
      <c r="JVL2478" s="54"/>
      <c r="JVM2478" s="60"/>
      <c r="JVN2478" s="60"/>
      <c r="JVO2478" s="60"/>
      <c r="JVP2478" s="60"/>
      <c r="JVQ2478" s="63"/>
      <c r="JVR2478" s="61"/>
      <c r="JVS2478" s="54"/>
      <c r="JVT2478" s="54"/>
      <c r="JVU2478" s="60"/>
      <c r="JVV2478" s="60"/>
      <c r="JVW2478" s="60"/>
      <c r="JVX2478" s="60"/>
      <c r="JVY2478" s="63"/>
      <c r="JVZ2478" s="61"/>
      <c r="JWA2478" s="54"/>
      <c r="JWB2478" s="54"/>
      <c r="JWC2478" s="60"/>
      <c r="JWD2478" s="60"/>
      <c r="JWE2478" s="60"/>
      <c r="JWF2478" s="60"/>
      <c r="JWG2478" s="63"/>
      <c r="JWH2478" s="61"/>
      <c r="JWI2478" s="54"/>
      <c r="JWJ2478" s="54"/>
      <c r="JWK2478" s="60"/>
      <c r="JWL2478" s="60"/>
      <c r="JWM2478" s="60"/>
      <c r="JWN2478" s="60"/>
      <c r="JWO2478" s="63"/>
      <c r="JWP2478" s="61"/>
      <c r="JWQ2478" s="54"/>
      <c r="JWR2478" s="54"/>
      <c r="JWS2478" s="60"/>
      <c r="JWT2478" s="60"/>
      <c r="JWU2478" s="60"/>
      <c r="JWV2478" s="60"/>
      <c r="JWW2478" s="63"/>
      <c r="JWX2478" s="61"/>
      <c r="JWY2478" s="54"/>
      <c r="JWZ2478" s="54"/>
      <c r="JXA2478" s="60"/>
      <c r="JXB2478" s="60"/>
      <c r="JXC2478" s="60"/>
      <c r="JXD2478" s="60"/>
      <c r="JXE2478" s="63"/>
      <c r="JXF2478" s="61"/>
      <c r="JXG2478" s="54"/>
      <c r="JXH2478" s="54"/>
      <c r="JXI2478" s="60"/>
      <c r="JXJ2478" s="60"/>
      <c r="JXK2478" s="60"/>
      <c r="JXL2478" s="60"/>
      <c r="JXM2478" s="63"/>
      <c r="JXN2478" s="61"/>
      <c r="JXO2478" s="54"/>
      <c r="JXP2478" s="54"/>
      <c r="JXQ2478" s="60"/>
      <c r="JXR2478" s="60"/>
      <c r="JXS2478" s="60"/>
      <c r="JXT2478" s="60"/>
      <c r="JXU2478" s="63"/>
      <c r="JXV2478" s="61"/>
      <c r="JXW2478" s="54"/>
      <c r="JXX2478" s="54"/>
      <c r="JXY2478" s="60"/>
      <c r="JXZ2478" s="60"/>
      <c r="JYA2478" s="60"/>
      <c r="JYB2478" s="60"/>
      <c r="JYC2478" s="63"/>
      <c r="JYD2478" s="61"/>
      <c r="JYE2478" s="54"/>
      <c r="JYF2478" s="54"/>
      <c r="JYG2478" s="60"/>
      <c r="JYH2478" s="60"/>
      <c r="JYI2478" s="60"/>
      <c r="JYJ2478" s="60"/>
      <c r="JYK2478" s="63"/>
      <c r="JYL2478" s="61"/>
      <c r="JYM2478" s="54"/>
      <c r="JYN2478" s="54"/>
      <c r="JYO2478" s="60"/>
      <c r="JYP2478" s="60"/>
      <c r="JYQ2478" s="60"/>
      <c r="JYR2478" s="60"/>
      <c r="JYS2478" s="63"/>
      <c r="JYT2478" s="61"/>
      <c r="JYU2478" s="54"/>
      <c r="JYV2478" s="54"/>
      <c r="JYW2478" s="60"/>
      <c r="JYX2478" s="60"/>
      <c r="JYY2478" s="60"/>
      <c r="JYZ2478" s="60"/>
      <c r="JZA2478" s="63"/>
      <c r="JZB2478" s="61"/>
      <c r="JZC2478" s="54"/>
      <c r="JZD2478" s="54"/>
      <c r="JZE2478" s="60"/>
      <c r="JZF2478" s="60"/>
      <c r="JZG2478" s="60"/>
      <c r="JZH2478" s="60"/>
      <c r="JZI2478" s="63"/>
      <c r="JZJ2478" s="61"/>
      <c r="JZK2478" s="54"/>
      <c r="JZL2478" s="54"/>
      <c r="JZM2478" s="60"/>
      <c r="JZN2478" s="60"/>
      <c r="JZO2478" s="60"/>
      <c r="JZP2478" s="60"/>
      <c r="JZQ2478" s="63"/>
      <c r="JZR2478" s="61"/>
      <c r="JZS2478" s="54"/>
      <c r="JZT2478" s="54"/>
      <c r="JZU2478" s="60"/>
      <c r="JZV2478" s="60"/>
      <c r="JZW2478" s="60"/>
      <c r="JZX2478" s="60"/>
      <c r="JZY2478" s="63"/>
      <c r="JZZ2478" s="61"/>
      <c r="KAA2478" s="54"/>
      <c r="KAB2478" s="54"/>
      <c r="KAC2478" s="60"/>
      <c r="KAD2478" s="60"/>
      <c r="KAE2478" s="60"/>
      <c r="KAF2478" s="60"/>
      <c r="KAG2478" s="63"/>
      <c r="KAH2478" s="61"/>
      <c r="KAI2478" s="54"/>
      <c r="KAJ2478" s="54"/>
      <c r="KAK2478" s="60"/>
      <c r="KAL2478" s="60"/>
      <c r="KAM2478" s="60"/>
      <c r="KAN2478" s="60"/>
      <c r="KAO2478" s="63"/>
      <c r="KAP2478" s="61"/>
      <c r="KAQ2478" s="54"/>
      <c r="KAR2478" s="54"/>
      <c r="KAS2478" s="60"/>
      <c r="KAT2478" s="60"/>
      <c r="KAU2478" s="60"/>
      <c r="KAV2478" s="60"/>
      <c r="KAW2478" s="63"/>
      <c r="KAX2478" s="61"/>
      <c r="KAY2478" s="54"/>
      <c r="KAZ2478" s="54"/>
      <c r="KBA2478" s="60"/>
      <c r="KBB2478" s="60"/>
      <c r="KBC2478" s="60"/>
      <c r="KBD2478" s="60"/>
      <c r="KBE2478" s="63"/>
      <c r="KBF2478" s="61"/>
      <c r="KBG2478" s="54"/>
      <c r="KBH2478" s="54"/>
      <c r="KBI2478" s="60"/>
      <c r="KBJ2478" s="60"/>
      <c r="KBK2478" s="60"/>
      <c r="KBL2478" s="60"/>
      <c r="KBM2478" s="63"/>
      <c r="KBN2478" s="61"/>
      <c r="KBO2478" s="54"/>
      <c r="KBP2478" s="54"/>
      <c r="KBQ2478" s="60"/>
      <c r="KBR2478" s="60"/>
      <c r="KBS2478" s="60"/>
      <c r="KBT2478" s="60"/>
      <c r="KBU2478" s="63"/>
      <c r="KBV2478" s="61"/>
      <c r="KBW2478" s="54"/>
      <c r="KBX2478" s="54"/>
      <c r="KBY2478" s="60"/>
      <c r="KBZ2478" s="60"/>
      <c r="KCA2478" s="60"/>
      <c r="KCB2478" s="60"/>
      <c r="KCC2478" s="63"/>
      <c r="KCD2478" s="61"/>
      <c r="KCE2478" s="54"/>
      <c r="KCF2478" s="54"/>
      <c r="KCG2478" s="60"/>
      <c r="KCH2478" s="60"/>
      <c r="KCI2478" s="60"/>
      <c r="KCJ2478" s="60"/>
      <c r="KCK2478" s="63"/>
      <c r="KCL2478" s="61"/>
      <c r="KCM2478" s="54"/>
      <c r="KCN2478" s="54"/>
      <c r="KCO2478" s="60"/>
      <c r="KCP2478" s="60"/>
      <c r="KCQ2478" s="60"/>
      <c r="KCR2478" s="60"/>
      <c r="KCS2478" s="63"/>
      <c r="KCT2478" s="61"/>
      <c r="KCU2478" s="54"/>
      <c r="KCV2478" s="54"/>
      <c r="KCW2478" s="60"/>
      <c r="KCX2478" s="60"/>
      <c r="KCY2478" s="60"/>
      <c r="KCZ2478" s="60"/>
      <c r="KDA2478" s="63"/>
      <c r="KDB2478" s="61"/>
      <c r="KDC2478" s="54"/>
      <c r="KDD2478" s="54"/>
      <c r="KDE2478" s="60"/>
      <c r="KDF2478" s="60"/>
      <c r="KDG2478" s="60"/>
      <c r="KDH2478" s="60"/>
      <c r="KDI2478" s="63"/>
      <c r="KDJ2478" s="61"/>
      <c r="KDK2478" s="54"/>
      <c r="KDL2478" s="54"/>
      <c r="KDM2478" s="60"/>
      <c r="KDN2478" s="60"/>
      <c r="KDO2478" s="60"/>
      <c r="KDP2478" s="60"/>
      <c r="KDQ2478" s="63"/>
      <c r="KDR2478" s="61"/>
      <c r="KDS2478" s="54"/>
      <c r="KDT2478" s="54"/>
      <c r="KDU2478" s="60"/>
      <c r="KDV2478" s="60"/>
      <c r="KDW2478" s="60"/>
      <c r="KDX2478" s="60"/>
      <c r="KDY2478" s="63"/>
      <c r="KDZ2478" s="61"/>
      <c r="KEA2478" s="54"/>
      <c r="KEB2478" s="54"/>
      <c r="KEC2478" s="60"/>
      <c r="KED2478" s="60"/>
      <c r="KEE2478" s="60"/>
      <c r="KEF2478" s="60"/>
      <c r="KEG2478" s="63"/>
      <c r="KEH2478" s="61"/>
      <c r="KEI2478" s="54"/>
      <c r="KEJ2478" s="54"/>
      <c r="KEK2478" s="60"/>
      <c r="KEL2478" s="60"/>
      <c r="KEM2478" s="60"/>
      <c r="KEN2478" s="60"/>
      <c r="KEO2478" s="63"/>
      <c r="KEP2478" s="61"/>
      <c r="KEQ2478" s="54"/>
      <c r="KER2478" s="54"/>
      <c r="KES2478" s="60"/>
      <c r="KET2478" s="60"/>
      <c r="KEU2478" s="60"/>
      <c r="KEV2478" s="60"/>
      <c r="KEW2478" s="63"/>
      <c r="KEX2478" s="61"/>
      <c r="KEY2478" s="54"/>
      <c r="KEZ2478" s="54"/>
      <c r="KFA2478" s="60"/>
      <c r="KFB2478" s="60"/>
      <c r="KFC2478" s="60"/>
      <c r="KFD2478" s="60"/>
      <c r="KFE2478" s="63"/>
      <c r="KFF2478" s="61"/>
      <c r="KFG2478" s="54"/>
      <c r="KFH2478" s="54"/>
      <c r="KFI2478" s="60"/>
      <c r="KFJ2478" s="60"/>
      <c r="KFK2478" s="60"/>
      <c r="KFL2478" s="60"/>
      <c r="KFM2478" s="63"/>
      <c r="KFN2478" s="61"/>
      <c r="KFO2478" s="54"/>
      <c r="KFP2478" s="54"/>
      <c r="KFQ2478" s="60"/>
      <c r="KFR2478" s="60"/>
      <c r="KFS2478" s="60"/>
      <c r="KFT2478" s="60"/>
      <c r="KFU2478" s="63"/>
      <c r="KFV2478" s="61"/>
      <c r="KFW2478" s="54"/>
      <c r="KFX2478" s="54"/>
      <c r="KFY2478" s="60"/>
      <c r="KFZ2478" s="60"/>
      <c r="KGA2478" s="60"/>
      <c r="KGB2478" s="60"/>
      <c r="KGC2478" s="63"/>
      <c r="KGD2478" s="61"/>
      <c r="KGE2478" s="54"/>
      <c r="KGF2478" s="54"/>
      <c r="KGG2478" s="60"/>
      <c r="KGH2478" s="60"/>
      <c r="KGI2478" s="60"/>
      <c r="KGJ2478" s="60"/>
      <c r="KGK2478" s="63"/>
      <c r="KGL2478" s="61"/>
      <c r="KGM2478" s="54"/>
      <c r="KGN2478" s="54"/>
      <c r="KGO2478" s="60"/>
      <c r="KGP2478" s="60"/>
      <c r="KGQ2478" s="60"/>
      <c r="KGR2478" s="60"/>
      <c r="KGS2478" s="63"/>
      <c r="KGT2478" s="61"/>
      <c r="KGU2478" s="54"/>
      <c r="KGV2478" s="54"/>
      <c r="KGW2478" s="60"/>
      <c r="KGX2478" s="60"/>
      <c r="KGY2478" s="60"/>
      <c r="KGZ2478" s="60"/>
      <c r="KHA2478" s="63"/>
      <c r="KHB2478" s="61"/>
      <c r="KHC2478" s="54"/>
      <c r="KHD2478" s="54"/>
      <c r="KHE2478" s="60"/>
      <c r="KHF2478" s="60"/>
      <c r="KHG2478" s="60"/>
      <c r="KHH2478" s="60"/>
      <c r="KHI2478" s="63"/>
      <c r="KHJ2478" s="61"/>
      <c r="KHK2478" s="54"/>
      <c r="KHL2478" s="54"/>
      <c r="KHM2478" s="60"/>
      <c r="KHN2478" s="60"/>
      <c r="KHO2478" s="60"/>
      <c r="KHP2478" s="60"/>
      <c r="KHQ2478" s="63"/>
      <c r="KHR2478" s="61"/>
      <c r="KHS2478" s="54"/>
      <c r="KHT2478" s="54"/>
      <c r="KHU2478" s="60"/>
      <c r="KHV2478" s="60"/>
      <c r="KHW2478" s="60"/>
      <c r="KHX2478" s="60"/>
      <c r="KHY2478" s="63"/>
      <c r="KHZ2478" s="61"/>
      <c r="KIA2478" s="54"/>
      <c r="KIB2478" s="54"/>
      <c r="KIC2478" s="60"/>
      <c r="KID2478" s="60"/>
      <c r="KIE2478" s="60"/>
      <c r="KIF2478" s="60"/>
      <c r="KIG2478" s="63"/>
      <c r="KIH2478" s="61"/>
      <c r="KII2478" s="54"/>
      <c r="KIJ2478" s="54"/>
      <c r="KIK2478" s="60"/>
      <c r="KIL2478" s="60"/>
      <c r="KIM2478" s="60"/>
      <c r="KIN2478" s="60"/>
      <c r="KIO2478" s="63"/>
      <c r="KIP2478" s="61"/>
      <c r="KIQ2478" s="54"/>
      <c r="KIR2478" s="54"/>
      <c r="KIS2478" s="60"/>
      <c r="KIT2478" s="60"/>
      <c r="KIU2478" s="60"/>
      <c r="KIV2478" s="60"/>
      <c r="KIW2478" s="63"/>
      <c r="KIX2478" s="61"/>
      <c r="KIY2478" s="54"/>
      <c r="KIZ2478" s="54"/>
      <c r="KJA2478" s="60"/>
      <c r="KJB2478" s="60"/>
      <c r="KJC2478" s="60"/>
      <c r="KJD2478" s="60"/>
      <c r="KJE2478" s="63"/>
      <c r="KJF2478" s="61"/>
      <c r="KJG2478" s="54"/>
      <c r="KJH2478" s="54"/>
      <c r="KJI2478" s="60"/>
      <c r="KJJ2478" s="60"/>
      <c r="KJK2478" s="60"/>
      <c r="KJL2478" s="60"/>
      <c r="KJM2478" s="63"/>
      <c r="KJN2478" s="61"/>
      <c r="KJO2478" s="54"/>
      <c r="KJP2478" s="54"/>
      <c r="KJQ2478" s="60"/>
      <c r="KJR2478" s="60"/>
      <c r="KJS2478" s="60"/>
      <c r="KJT2478" s="60"/>
      <c r="KJU2478" s="63"/>
      <c r="KJV2478" s="61"/>
      <c r="KJW2478" s="54"/>
      <c r="KJX2478" s="54"/>
      <c r="KJY2478" s="60"/>
      <c r="KJZ2478" s="60"/>
      <c r="KKA2478" s="60"/>
      <c r="KKB2478" s="60"/>
      <c r="KKC2478" s="63"/>
      <c r="KKD2478" s="61"/>
      <c r="KKE2478" s="54"/>
      <c r="KKF2478" s="54"/>
      <c r="KKG2478" s="60"/>
      <c r="KKH2478" s="60"/>
      <c r="KKI2478" s="60"/>
      <c r="KKJ2478" s="60"/>
      <c r="KKK2478" s="63"/>
      <c r="KKL2478" s="61"/>
      <c r="KKM2478" s="54"/>
      <c r="KKN2478" s="54"/>
      <c r="KKO2478" s="60"/>
      <c r="KKP2478" s="60"/>
      <c r="KKQ2478" s="60"/>
      <c r="KKR2478" s="60"/>
      <c r="KKS2478" s="63"/>
      <c r="KKT2478" s="61"/>
      <c r="KKU2478" s="54"/>
      <c r="KKV2478" s="54"/>
      <c r="KKW2478" s="60"/>
      <c r="KKX2478" s="60"/>
      <c r="KKY2478" s="60"/>
      <c r="KKZ2478" s="60"/>
      <c r="KLA2478" s="63"/>
      <c r="KLB2478" s="61"/>
      <c r="KLC2478" s="54"/>
      <c r="KLD2478" s="54"/>
      <c r="KLE2478" s="60"/>
      <c r="KLF2478" s="60"/>
      <c r="KLG2478" s="60"/>
      <c r="KLH2478" s="60"/>
      <c r="KLI2478" s="63"/>
      <c r="KLJ2478" s="61"/>
      <c r="KLK2478" s="54"/>
      <c r="KLL2478" s="54"/>
      <c r="KLM2478" s="60"/>
      <c r="KLN2478" s="60"/>
      <c r="KLO2478" s="60"/>
      <c r="KLP2478" s="60"/>
      <c r="KLQ2478" s="63"/>
      <c r="KLR2478" s="61"/>
      <c r="KLS2478" s="54"/>
      <c r="KLT2478" s="54"/>
      <c r="KLU2478" s="60"/>
      <c r="KLV2478" s="60"/>
      <c r="KLW2478" s="60"/>
      <c r="KLX2478" s="60"/>
      <c r="KLY2478" s="63"/>
      <c r="KLZ2478" s="61"/>
      <c r="KMA2478" s="54"/>
      <c r="KMB2478" s="54"/>
      <c r="KMC2478" s="60"/>
      <c r="KMD2478" s="60"/>
      <c r="KME2478" s="60"/>
      <c r="KMF2478" s="60"/>
      <c r="KMG2478" s="63"/>
      <c r="KMH2478" s="61"/>
      <c r="KMI2478" s="54"/>
      <c r="KMJ2478" s="54"/>
      <c r="KMK2478" s="60"/>
      <c r="KML2478" s="60"/>
      <c r="KMM2478" s="60"/>
      <c r="KMN2478" s="60"/>
      <c r="KMO2478" s="63"/>
      <c r="KMP2478" s="61"/>
      <c r="KMQ2478" s="54"/>
      <c r="KMR2478" s="54"/>
      <c r="KMS2478" s="60"/>
      <c r="KMT2478" s="60"/>
      <c r="KMU2478" s="60"/>
      <c r="KMV2478" s="60"/>
      <c r="KMW2478" s="63"/>
      <c r="KMX2478" s="61"/>
      <c r="KMY2478" s="54"/>
      <c r="KMZ2478" s="54"/>
      <c r="KNA2478" s="60"/>
      <c r="KNB2478" s="60"/>
      <c r="KNC2478" s="60"/>
      <c r="KND2478" s="60"/>
      <c r="KNE2478" s="63"/>
      <c r="KNF2478" s="61"/>
      <c r="KNG2478" s="54"/>
      <c r="KNH2478" s="54"/>
      <c r="KNI2478" s="60"/>
      <c r="KNJ2478" s="60"/>
      <c r="KNK2478" s="60"/>
      <c r="KNL2478" s="60"/>
      <c r="KNM2478" s="63"/>
      <c r="KNN2478" s="61"/>
      <c r="KNO2478" s="54"/>
      <c r="KNP2478" s="54"/>
      <c r="KNQ2478" s="60"/>
      <c r="KNR2478" s="60"/>
      <c r="KNS2478" s="60"/>
      <c r="KNT2478" s="60"/>
      <c r="KNU2478" s="63"/>
      <c r="KNV2478" s="61"/>
      <c r="KNW2478" s="54"/>
      <c r="KNX2478" s="54"/>
      <c r="KNY2478" s="60"/>
      <c r="KNZ2478" s="60"/>
      <c r="KOA2478" s="60"/>
      <c r="KOB2478" s="60"/>
      <c r="KOC2478" s="63"/>
      <c r="KOD2478" s="61"/>
      <c r="KOE2478" s="54"/>
      <c r="KOF2478" s="54"/>
      <c r="KOG2478" s="60"/>
      <c r="KOH2478" s="60"/>
      <c r="KOI2478" s="60"/>
      <c r="KOJ2478" s="60"/>
      <c r="KOK2478" s="63"/>
      <c r="KOL2478" s="61"/>
      <c r="KOM2478" s="54"/>
      <c r="KON2478" s="54"/>
      <c r="KOO2478" s="60"/>
      <c r="KOP2478" s="60"/>
      <c r="KOQ2478" s="60"/>
      <c r="KOR2478" s="60"/>
      <c r="KOS2478" s="63"/>
      <c r="KOT2478" s="61"/>
      <c r="KOU2478" s="54"/>
      <c r="KOV2478" s="54"/>
      <c r="KOW2478" s="60"/>
      <c r="KOX2478" s="60"/>
      <c r="KOY2478" s="60"/>
      <c r="KOZ2478" s="60"/>
      <c r="KPA2478" s="63"/>
      <c r="KPB2478" s="61"/>
      <c r="KPC2478" s="54"/>
      <c r="KPD2478" s="54"/>
      <c r="KPE2478" s="60"/>
      <c r="KPF2478" s="60"/>
      <c r="KPG2478" s="60"/>
      <c r="KPH2478" s="60"/>
      <c r="KPI2478" s="63"/>
      <c r="KPJ2478" s="61"/>
      <c r="KPK2478" s="54"/>
      <c r="KPL2478" s="54"/>
      <c r="KPM2478" s="60"/>
      <c r="KPN2478" s="60"/>
      <c r="KPO2478" s="60"/>
      <c r="KPP2478" s="60"/>
      <c r="KPQ2478" s="63"/>
      <c r="KPR2478" s="61"/>
      <c r="KPS2478" s="54"/>
      <c r="KPT2478" s="54"/>
      <c r="KPU2478" s="60"/>
      <c r="KPV2478" s="60"/>
      <c r="KPW2478" s="60"/>
      <c r="KPX2478" s="60"/>
      <c r="KPY2478" s="63"/>
      <c r="KPZ2478" s="61"/>
      <c r="KQA2478" s="54"/>
      <c r="KQB2478" s="54"/>
      <c r="KQC2478" s="60"/>
      <c r="KQD2478" s="60"/>
      <c r="KQE2478" s="60"/>
      <c r="KQF2478" s="60"/>
      <c r="KQG2478" s="63"/>
      <c r="KQH2478" s="61"/>
      <c r="KQI2478" s="54"/>
      <c r="KQJ2478" s="54"/>
      <c r="KQK2478" s="60"/>
      <c r="KQL2478" s="60"/>
      <c r="KQM2478" s="60"/>
      <c r="KQN2478" s="60"/>
      <c r="KQO2478" s="63"/>
      <c r="KQP2478" s="61"/>
      <c r="KQQ2478" s="54"/>
      <c r="KQR2478" s="54"/>
      <c r="KQS2478" s="60"/>
      <c r="KQT2478" s="60"/>
      <c r="KQU2478" s="60"/>
      <c r="KQV2478" s="60"/>
      <c r="KQW2478" s="63"/>
      <c r="KQX2478" s="61"/>
      <c r="KQY2478" s="54"/>
      <c r="KQZ2478" s="54"/>
      <c r="KRA2478" s="60"/>
      <c r="KRB2478" s="60"/>
      <c r="KRC2478" s="60"/>
      <c r="KRD2478" s="60"/>
      <c r="KRE2478" s="63"/>
      <c r="KRF2478" s="61"/>
      <c r="KRG2478" s="54"/>
      <c r="KRH2478" s="54"/>
      <c r="KRI2478" s="60"/>
      <c r="KRJ2478" s="60"/>
      <c r="KRK2478" s="60"/>
      <c r="KRL2478" s="60"/>
      <c r="KRM2478" s="63"/>
      <c r="KRN2478" s="61"/>
      <c r="KRO2478" s="54"/>
      <c r="KRP2478" s="54"/>
      <c r="KRQ2478" s="60"/>
      <c r="KRR2478" s="60"/>
      <c r="KRS2478" s="60"/>
      <c r="KRT2478" s="60"/>
      <c r="KRU2478" s="63"/>
      <c r="KRV2478" s="61"/>
      <c r="KRW2478" s="54"/>
      <c r="KRX2478" s="54"/>
      <c r="KRY2478" s="60"/>
      <c r="KRZ2478" s="60"/>
      <c r="KSA2478" s="60"/>
      <c r="KSB2478" s="60"/>
      <c r="KSC2478" s="63"/>
      <c r="KSD2478" s="61"/>
      <c r="KSE2478" s="54"/>
      <c r="KSF2478" s="54"/>
      <c r="KSG2478" s="60"/>
      <c r="KSH2478" s="60"/>
      <c r="KSI2478" s="60"/>
      <c r="KSJ2478" s="60"/>
      <c r="KSK2478" s="63"/>
      <c r="KSL2478" s="61"/>
      <c r="KSM2478" s="54"/>
      <c r="KSN2478" s="54"/>
      <c r="KSO2478" s="60"/>
      <c r="KSP2478" s="60"/>
      <c r="KSQ2478" s="60"/>
      <c r="KSR2478" s="60"/>
      <c r="KSS2478" s="63"/>
      <c r="KST2478" s="61"/>
      <c r="KSU2478" s="54"/>
      <c r="KSV2478" s="54"/>
      <c r="KSW2478" s="60"/>
      <c r="KSX2478" s="60"/>
      <c r="KSY2478" s="60"/>
      <c r="KSZ2478" s="60"/>
      <c r="KTA2478" s="63"/>
      <c r="KTB2478" s="61"/>
      <c r="KTC2478" s="54"/>
      <c r="KTD2478" s="54"/>
      <c r="KTE2478" s="60"/>
      <c r="KTF2478" s="60"/>
      <c r="KTG2478" s="60"/>
      <c r="KTH2478" s="60"/>
      <c r="KTI2478" s="63"/>
      <c r="KTJ2478" s="61"/>
      <c r="KTK2478" s="54"/>
      <c r="KTL2478" s="54"/>
      <c r="KTM2478" s="60"/>
      <c r="KTN2478" s="60"/>
      <c r="KTO2478" s="60"/>
      <c r="KTP2478" s="60"/>
      <c r="KTQ2478" s="63"/>
      <c r="KTR2478" s="61"/>
      <c r="KTS2478" s="54"/>
      <c r="KTT2478" s="54"/>
      <c r="KTU2478" s="60"/>
      <c r="KTV2478" s="60"/>
      <c r="KTW2478" s="60"/>
      <c r="KTX2478" s="60"/>
      <c r="KTY2478" s="63"/>
      <c r="KTZ2478" s="61"/>
      <c r="KUA2478" s="54"/>
      <c r="KUB2478" s="54"/>
      <c r="KUC2478" s="60"/>
      <c r="KUD2478" s="60"/>
      <c r="KUE2478" s="60"/>
      <c r="KUF2478" s="60"/>
      <c r="KUG2478" s="63"/>
      <c r="KUH2478" s="61"/>
      <c r="KUI2478" s="54"/>
      <c r="KUJ2478" s="54"/>
      <c r="KUK2478" s="60"/>
      <c r="KUL2478" s="60"/>
      <c r="KUM2478" s="60"/>
      <c r="KUN2478" s="60"/>
      <c r="KUO2478" s="63"/>
      <c r="KUP2478" s="61"/>
      <c r="KUQ2478" s="54"/>
      <c r="KUR2478" s="54"/>
      <c r="KUS2478" s="60"/>
      <c r="KUT2478" s="60"/>
      <c r="KUU2478" s="60"/>
      <c r="KUV2478" s="60"/>
      <c r="KUW2478" s="63"/>
      <c r="KUX2478" s="61"/>
      <c r="KUY2478" s="54"/>
      <c r="KUZ2478" s="54"/>
      <c r="KVA2478" s="60"/>
      <c r="KVB2478" s="60"/>
      <c r="KVC2478" s="60"/>
      <c r="KVD2478" s="60"/>
      <c r="KVE2478" s="63"/>
      <c r="KVF2478" s="61"/>
      <c r="KVG2478" s="54"/>
      <c r="KVH2478" s="54"/>
      <c r="KVI2478" s="60"/>
      <c r="KVJ2478" s="60"/>
      <c r="KVK2478" s="60"/>
      <c r="KVL2478" s="60"/>
      <c r="KVM2478" s="63"/>
      <c r="KVN2478" s="61"/>
      <c r="KVO2478" s="54"/>
      <c r="KVP2478" s="54"/>
      <c r="KVQ2478" s="60"/>
      <c r="KVR2478" s="60"/>
      <c r="KVS2478" s="60"/>
      <c r="KVT2478" s="60"/>
      <c r="KVU2478" s="63"/>
      <c r="KVV2478" s="61"/>
      <c r="KVW2478" s="54"/>
      <c r="KVX2478" s="54"/>
      <c r="KVY2478" s="60"/>
      <c r="KVZ2478" s="60"/>
      <c r="KWA2478" s="60"/>
      <c r="KWB2478" s="60"/>
      <c r="KWC2478" s="63"/>
      <c r="KWD2478" s="61"/>
      <c r="KWE2478" s="54"/>
      <c r="KWF2478" s="54"/>
      <c r="KWG2478" s="60"/>
      <c r="KWH2478" s="60"/>
      <c r="KWI2478" s="60"/>
      <c r="KWJ2478" s="60"/>
      <c r="KWK2478" s="63"/>
      <c r="KWL2478" s="61"/>
      <c r="KWM2478" s="54"/>
      <c r="KWN2478" s="54"/>
      <c r="KWO2478" s="60"/>
      <c r="KWP2478" s="60"/>
      <c r="KWQ2478" s="60"/>
      <c r="KWR2478" s="60"/>
      <c r="KWS2478" s="63"/>
      <c r="KWT2478" s="61"/>
      <c r="KWU2478" s="54"/>
      <c r="KWV2478" s="54"/>
      <c r="KWW2478" s="60"/>
      <c r="KWX2478" s="60"/>
      <c r="KWY2478" s="60"/>
      <c r="KWZ2478" s="60"/>
      <c r="KXA2478" s="63"/>
      <c r="KXB2478" s="61"/>
      <c r="KXC2478" s="54"/>
      <c r="KXD2478" s="54"/>
      <c r="KXE2478" s="60"/>
      <c r="KXF2478" s="60"/>
      <c r="KXG2478" s="60"/>
      <c r="KXH2478" s="60"/>
      <c r="KXI2478" s="63"/>
      <c r="KXJ2478" s="61"/>
      <c r="KXK2478" s="54"/>
      <c r="KXL2478" s="54"/>
      <c r="KXM2478" s="60"/>
      <c r="KXN2478" s="60"/>
      <c r="KXO2478" s="60"/>
      <c r="KXP2478" s="60"/>
      <c r="KXQ2478" s="63"/>
      <c r="KXR2478" s="61"/>
      <c r="KXS2478" s="54"/>
      <c r="KXT2478" s="54"/>
      <c r="KXU2478" s="60"/>
      <c r="KXV2478" s="60"/>
      <c r="KXW2478" s="60"/>
      <c r="KXX2478" s="60"/>
      <c r="KXY2478" s="63"/>
      <c r="KXZ2478" s="61"/>
      <c r="KYA2478" s="54"/>
      <c r="KYB2478" s="54"/>
      <c r="KYC2478" s="60"/>
      <c r="KYD2478" s="60"/>
      <c r="KYE2478" s="60"/>
      <c r="KYF2478" s="60"/>
      <c r="KYG2478" s="63"/>
      <c r="KYH2478" s="61"/>
      <c r="KYI2478" s="54"/>
      <c r="KYJ2478" s="54"/>
      <c r="KYK2478" s="60"/>
      <c r="KYL2478" s="60"/>
      <c r="KYM2478" s="60"/>
      <c r="KYN2478" s="60"/>
      <c r="KYO2478" s="63"/>
      <c r="KYP2478" s="61"/>
      <c r="KYQ2478" s="54"/>
      <c r="KYR2478" s="54"/>
      <c r="KYS2478" s="60"/>
      <c r="KYT2478" s="60"/>
      <c r="KYU2478" s="60"/>
      <c r="KYV2478" s="60"/>
      <c r="KYW2478" s="63"/>
      <c r="KYX2478" s="61"/>
      <c r="KYY2478" s="54"/>
      <c r="KYZ2478" s="54"/>
      <c r="KZA2478" s="60"/>
      <c r="KZB2478" s="60"/>
      <c r="KZC2478" s="60"/>
      <c r="KZD2478" s="60"/>
      <c r="KZE2478" s="63"/>
      <c r="KZF2478" s="61"/>
      <c r="KZG2478" s="54"/>
      <c r="KZH2478" s="54"/>
      <c r="KZI2478" s="60"/>
      <c r="KZJ2478" s="60"/>
      <c r="KZK2478" s="60"/>
      <c r="KZL2478" s="60"/>
      <c r="KZM2478" s="63"/>
      <c r="KZN2478" s="61"/>
      <c r="KZO2478" s="54"/>
      <c r="KZP2478" s="54"/>
      <c r="KZQ2478" s="60"/>
      <c r="KZR2478" s="60"/>
      <c r="KZS2478" s="60"/>
      <c r="KZT2478" s="60"/>
      <c r="KZU2478" s="63"/>
      <c r="KZV2478" s="61"/>
      <c r="KZW2478" s="54"/>
      <c r="KZX2478" s="54"/>
      <c r="KZY2478" s="60"/>
      <c r="KZZ2478" s="60"/>
      <c r="LAA2478" s="60"/>
      <c r="LAB2478" s="60"/>
      <c r="LAC2478" s="63"/>
      <c r="LAD2478" s="61"/>
      <c r="LAE2478" s="54"/>
      <c r="LAF2478" s="54"/>
      <c r="LAG2478" s="60"/>
      <c r="LAH2478" s="60"/>
      <c r="LAI2478" s="60"/>
      <c r="LAJ2478" s="60"/>
      <c r="LAK2478" s="63"/>
      <c r="LAL2478" s="61"/>
      <c r="LAM2478" s="54"/>
      <c r="LAN2478" s="54"/>
      <c r="LAO2478" s="60"/>
      <c r="LAP2478" s="60"/>
      <c r="LAQ2478" s="60"/>
      <c r="LAR2478" s="60"/>
      <c r="LAS2478" s="63"/>
      <c r="LAT2478" s="61"/>
      <c r="LAU2478" s="54"/>
      <c r="LAV2478" s="54"/>
      <c r="LAW2478" s="60"/>
      <c r="LAX2478" s="60"/>
      <c r="LAY2478" s="60"/>
      <c r="LAZ2478" s="60"/>
      <c r="LBA2478" s="63"/>
      <c r="LBB2478" s="61"/>
      <c r="LBC2478" s="54"/>
      <c r="LBD2478" s="54"/>
      <c r="LBE2478" s="60"/>
      <c r="LBF2478" s="60"/>
      <c r="LBG2478" s="60"/>
      <c r="LBH2478" s="60"/>
      <c r="LBI2478" s="63"/>
      <c r="LBJ2478" s="61"/>
      <c r="LBK2478" s="54"/>
      <c r="LBL2478" s="54"/>
      <c r="LBM2478" s="60"/>
      <c r="LBN2478" s="60"/>
      <c r="LBO2478" s="60"/>
      <c r="LBP2478" s="60"/>
      <c r="LBQ2478" s="63"/>
      <c r="LBR2478" s="61"/>
      <c r="LBS2478" s="54"/>
      <c r="LBT2478" s="54"/>
      <c r="LBU2478" s="60"/>
      <c r="LBV2478" s="60"/>
      <c r="LBW2478" s="60"/>
      <c r="LBX2478" s="60"/>
      <c r="LBY2478" s="63"/>
      <c r="LBZ2478" s="61"/>
      <c r="LCA2478" s="54"/>
      <c r="LCB2478" s="54"/>
      <c r="LCC2478" s="60"/>
      <c r="LCD2478" s="60"/>
      <c r="LCE2478" s="60"/>
      <c r="LCF2478" s="60"/>
      <c r="LCG2478" s="63"/>
      <c r="LCH2478" s="61"/>
      <c r="LCI2478" s="54"/>
      <c r="LCJ2478" s="54"/>
      <c r="LCK2478" s="60"/>
      <c r="LCL2478" s="60"/>
      <c r="LCM2478" s="60"/>
      <c r="LCN2478" s="60"/>
      <c r="LCO2478" s="63"/>
      <c r="LCP2478" s="61"/>
      <c r="LCQ2478" s="54"/>
      <c r="LCR2478" s="54"/>
      <c r="LCS2478" s="60"/>
      <c r="LCT2478" s="60"/>
      <c r="LCU2478" s="60"/>
      <c r="LCV2478" s="60"/>
      <c r="LCW2478" s="63"/>
      <c r="LCX2478" s="61"/>
      <c r="LCY2478" s="54"/>
      <c r="LCZ2478" s="54"/>
      <c r="LDA2478" s="60"/>
      <c r="LDB2478" s="60"/>
      <c r="LDC2478" s="60"/>
      <c r="LDD2478" s="60"/>
      <c r="LDE2478" s="63"/>
      <c r="LDF2478" s="61"/>
      <c r="LDG2478" s="54"/>
      <c r="LDH2478" s="54"/>
      <c r="LDI2478" s="60"/>
      <c r="LDJ2478" s="60"/>
      <c r="LDK2478" s="60"/>
      <c r="LDL2478" s="60"/>
      <c r="LDM2478" s="63"/>
      <c r="LDN2478" s="61"/>
      <c r="LDO2478" s="54"/>
      <c r="LDP2478" s="54"/>
      <c r="LDQ2478" s="60"/>
      <c r="LDR2478" s="60"/>
      <c r="LDS2478" s="60"/>
      <c r="LDT2478" s="60"/>
      <c r="LDU2478" s="63"/>
      <c r="LDV2478" s="61"/>
      <c r="LDW2478" s="54"/>
      <c r="LDX2478" s="54"/>
      <c r="LDY2478" s="60"/>
      <c r="LDZ2478" s="60"/>
      <c r="LEA2478" s="60"/>
      <c r="LEB2478" s="60"/>
      <c r="LEC2478" s="63"/>
      <c r="LED2478" s="61"/>
      <c r="LEE2478" s="54"/>
      <c r="LEF2478" s="54"/>
      <c r="LEG2478" s="60"/>
      <c r="LEH2478" s="60"/>
      <c r="LEI2478" s="60"/>
      <c r="LEJ2478" s="60"/>
      <c r="LEK2478" s="63"/>
      <c r="LEL2478" s="61"/>
      <c r="LEM2478" s="54"/>
      <c r="LEN2478" s="54"/>
      <c r="LEO2478" s="60"/>
      <c r="LEP2478" s="60"/>
      <c r="LEQ2478" s="60"/>
      <c r="LER2478" s="60"/>
      <c r="LES2478" s="63"/>
      <c r="LET2478" s="61"/>
      <c r="LEU2478" s="54"/>
      <c r="LEV2478" s="54"/>
      <c r="LEW2478" s="60"/>
      <c r="LEX2478" s="60"/>
      <c r="LEY2478" s="60"/>
      <c r="LEZ2478" s="60"/>
      <c r="LFA2478" s="63"/>
      <c r="LFB2478" s="61"/>
      <c r="LFC2478" s="54"/>
      <c r="LFD2478" s="54"/>
      <c r="LFE2478" s="60"/>
      <c r="LFF2478" s="60"/>
      <c r="LFG2478" s="60"/>
      <c r="LFH2478" s="60"/>
      <c r="LFI2478" s="63"/>
      <c r="LFJ2478" s="61"/>
      <c r="LFK2478" s="54"/>
      <c r="LFL2478" s="54"/>
      <c r="LFM2478" s="60"/>
      <c r="LFN2478" s="60"/>
      <c r="LFO2478" s="60"/>
      <c r="LFP2478" s="60"/>
      <c r="LFQ2478" s="63"/>
      <c r="LFR2478" s="61"/>
      <c r="LFS2478" s="54"/>
      <c r="LFT2478" s="54"/>
      <c r="LFU2478" s="60"/>
      <c r="LFV2478" s="60"/>
      <c r="LFW2478" s="60"/>
      <c r="LFX2478" s="60"/>
      <c r="LFY2478" s="63"/>
      <c r="LFZ2478" s="61"/>
      <c r="LGA2478" s="54"/>
      <c r="LGB2478" s="54"/>
      <c r="LGC2478" s="60"/>
      <c r="LGD2478" s="60"/>
      <c r="LGE2478" s="60"/>
      <c r="LGF2478" s="60"/>
      <c r="LGG2478" s="63"/>
      <c r="LGH2478" s="61"/>
      <c r="LGI2478" s="54"/>
      <c r="LGJ2478" s="54"/>
      <c r="LGK2478" s="60"/>
      <c r="LGL2478" s="60"/>
      <c r="LGM2478" s="60"/>
      <c r="LGN2478" s="60"/>
      <c r="LGO2478" s="63"/>
      <c r="LGP2478" s="61"/>
      <c r="LGQ2478" s="54"/>
      <c r="LGR2478" s="54"/>
      <c r="LGS2478" s="60"/>
      <c r="LGT2478" s="60"/>
      <c r="LGU2478" s="60"/>
      <c r="LGV2478" s="60"/>
      <c r="LGW2478" s="63"/>
      <c r="LGX2478" s="61"/>
      <c r="LGY2478" s="54"/>
      <c r="LGZ2478" s="54"/>
      <c r="LHA2478" s="60"/>
      <c r="LHB2478" s="60"/>
      <c r="LHC2478" s="60"/>
      <c r="LHD2478" s="60"/>
      <c r="LHE2478" s="63"/>
      <c r="LHF2478" s="61"/>
      <c r="LHG2478" s="54"/>
      <c r="LHH2478" s="54"/>
      <c r="LHI2478" s="60"/>
      <c r="LHJ2478" s="60"/>
      <c r="LHK2478" s="60"/>
      <c r="LHL2478" s="60"/>
      <c r="LHM2478" s="63"/>
      <c r="LHN2478" s="61"/>
      <c r="LHO2478" s="54"/>
      <c r="LHP2478" s="54"/>
      <c r="LHQ2478" s="60"/>
      <c r="LHR2478" s="60"/>
      <c r="LHS2478" s="60"/>
      <c r="LHT2478" s="60"/>
      <c r="LHU2478" s="63"/>
      <c r="LHV2478" s="61"/>
      <c r="LHW2478" s="54"/>
      <c r="LHX2478" s="54"/>
      <c r="LHY2478" s="60"/>
      <c r="LHZ2478" s="60"/>
      <c r="LIA2478" s="60"/>
      <c r="LIB2478" s="60"/>
      <c r="LIC2478" s="63"/>
      <c r="LID2478" s="61"/>
      <c r="LIE2478" s="54"/>
      <c r="LIF2478" s="54"/>
      <c r="LIG2478" s="60"/>
      <c r="LIH2478" s="60"/>
      <c r="LII2478" s="60"/>
      <c r="LIJ2478" s="60"/>
      <c r="LIK2478" s="63"/>
      <c r="LIL2478" s="61"/>
      <c r="LIM2478" s="54"/>
      <c r="LIN2478" s="54"/>
      <c r="LIO2478" s="60"/>
      <c r="LIP2478" s="60"/>
      <c r="LIQ2478" s="60"/>
      <c r="LIR2478" s="60"/>
      <c r="LIS2478" s="63"/>
      <c r="LIT2478" s="61"/>
      <c r="LIU2478" s="54"/>
      <c r="LIV2478" s="54"/>
      <c r="LIW2478" s="60"/>
      <c r="LIX2478" s="60"/>
      <c r="LIY2478" s="60"/>
      <c r="LIZ2478" s="60"/>
      <c r="LJA2478" s="63"/>
      <c r="LJB2478" s="61"/>
      <c r="LJC2478" s="54"/>
      <c r="LJD2478" s="54"/>
      <c r="LJE2478" s="60"/>
      <c r="LJF2478" s="60"/>
      <c r="LJG2478" s="60"/>
      <c r="LJH2478" s="60"/>
      <c r="LJI2478" s="63"/>
      <c r="LJJ2478" s="61"/>
      <c r="LJK2478" s="54"/>
      <c r="LJL2478" s="54"/>
      <c r="LJM2478" s="60"/>
      <c r="LJN2478" s="60"/>
      <c r="LJO2478" s="60"/>
      <c r="LJP2478" s="60"/>
      <c r="LJQ2478" s="63"/>
      <c r="LJR2478" s="61"/>
      <c r="LJS2478" s="54"/>
      <c r="LJT2478" s="54"/>
      <c r="LJU2478" s="60"/>
      <c r="LJV2478" s="60"/>
      <c r="LJW2478" s="60"/>
      <c r="LJX2478" s="60"/>
      <c r="LJY2478" s="63"/>
      <c r="LJZ2478" s="61"/>
      <c r="LKA2478" s="54"/>
      <c r="LKB2478" s="54"/>
      <c r="LKC2478" s="60"/>
      <c r="LKD2478" s="60"/>
      <c r="LKE2478" s="60"/>
      <c r="LKF2478" s="60"/>
      <c r="LKG2478" s="63"/>
      <c r="LKH2478" s="61"/>
      <c r="LKI2478" s="54"/>
      <c r="LKJ2478" s="54"/>
      <c r="LKK2478" s="60"/>
      <c r="LKL2478" s="60"/>
      <c r="LKM2478" s="60"/>
      <c r="LKN2478" s="60"/>
      <c r="LKO2478" s="63"/>
      <c r="LKP2478" s="61"/>
      <c r="LKQ2478" s="54"/>
      <c r="LKR2478" s="54"/>
      <c r="LKS2478" s="60"/>
      <c r="LKT2478" s="60"/>
      <c r="LKU2478" s="60"/>
      <c r="LKV2478" s="60"/>
      <c r="LKW2478" s="63"/>
      <c r="LKX2478" s="61"/>
      <c r="LKY2478" s="54"/>
      <c r="LKZ2478" s="54"/>
      <c r="LLA2478" s="60"/>
      <c r="LLB2478" s="60"/>
      <c r="LLC2478" s="60"/>
      <c r="LLD2478" s="60"/>
      <c r="LLE2478" s="63"/>
      <c r="LLF2478" s="61"/>
      <c r="LLG2478" s="54"/>
      <c r="LLH2478" s="54"/>
      <c r="LLI2478" s="60"/>
      <c r="LLJ2478" s="60"/>
      <c r="LLK2478" s="60"/>
      <c r="LLL2478" s="60"/>
      <c r="LLM2478" s="63"/>
      <c r="LLN2478" s="61"/>
      <c r="LLO2478" s="54"/>
      <c r="LLP2478" s="54"/>
      <c r="LLQ2478" s="60"/>
      <c r="LLR2478" s="60"/>
      <c r="LLS2478" s="60"/>
      <c r="LLT2478" s="60"/>
      <c r="LLU2478" s="63"/>
      <c r="LLV2478" s="61"/>
      <c r="LLW2478" s="54"/>
      <c r="LLX2478" s="54"/>
      <c r="LLY2478" s="60"/>
      <c r="LLZ2478" s="60"/>
      <c r="LMA2478" s="60"/>
      <c r="LMB2478" s="60"/>
      <c r="LMC2478" s="63"/>
      <c r="LMD2478" s="61"/>
      <c r="LME2478" s="54"/>
      <c r="LMF2478" s="54"/>
      <c r="LMG2478" s="60"/>
      <c r="LMH2478" s="60"/>
      <c r="LMI2478" s="60"/>
      <c r="LMJ2478" s="60"/>
      <c r="LMK2478" s="63"/>
      <c r="LML2478" s="61"/>
      <c r="LMM2478" s="54"/>
      <c r="LMN2478" s="54"/>
      <c r="LMO2478" s="60"/>
      <c r="LMP2478" s="60"/>
      <c r="LMQ2478" s="60"/>
      <c r="LMR2478" s="60"/>
      <c r="LMS2478" s="63"/>
      <c r="LMT2478" s="61"/>
      <c r="LMU2478" s="54"/>
      <c r="LMV2478" s="54"/>
      <c r="LMW2478" s="60"/>
      <c r="LMX2478" s="60"/>
      <c r="LMY2478" s="60"/>
      <c r="LMZ2478" s="60"/>
      <c r="LNA2478" s="63"/>
      <c r="LNB2478" s="61"/>
      <c r="LNC2478" s="54"/>
      <c r="LND2478" s="54"/>
      <c r="LNE2478" s="60"/>
      <c r="LNF2478" s="60"/>
      <c r="LNG2478" s="60"/>
      <c r="LNH2478" s="60"/>
      <c r="LNI2478" s="63"/>
      <c r="LNJ2478" s="61"/>
      <c r="LNK2478" s="54"/>
      <c r="LNL2478" s="54"/>
      <c r="LNM2478" s="60"/>
      <c r="LNN2478" s="60"/>
      <c r="LNO2478" s="60"/>
      <c r="LNP2478" s="60"/>
      <c r="LNQ2478" s="63"/>
      <c r="LNR2478" s="61"/>
      <c r="LNS2478" s="54"/>
      <c r="LNT2478" s="54"/>
      <c r="LNU2478" s="60"/>
      <c r="LNV2478" s="60"/>
      <c r="LNW2478" s="60"/>
      <c r="LNX2478" s="60"/>
      <c r="LNY2478" s="63"/>
      <c r="LNZ2478" s="61"/>
      <c r="LOA2478" s="54"/>
      <c r="LOB2478" s="54"/>
      <c r="LOC2478" s="60"/>
      <c r="LOD2478" s="60"/>
      <c r="LOE2478" s="60"/>
      <c r="LOF2478" s="60"/>
      <c r="LOG2478" s="63"/>
      <c r="LOH2478" s="61"/>
      <c r="LOI2478" s="54"/>
      <c r="LOJ2478" s="54"/>
      <c r="LOK2478" s="60"/>
      <c r="LOL2478" s="60"/>
      <c r="LOM2478" s="60"/>
      <c r="LON2478" s="60"/>
      <c r="LOO2478" s="63"/>
      <c r="LOP2478" s="61"/>
      <c r="LOQ2478" s="54"/>
      <c r="LOR2478" s="54"/>
      <c r="LOS2478" s="60"/>
      <c r="LOT2478" s="60"/>
      <c r="LOU2478" s="60"/>
      <c r="LOV2478" s="60"/>
      <c r="LOW2478" s="63"/>
      <c r="LOX2478" s="61"/>
      <c r="LOY2478" s="54"/>
      <c r="LOZ2478" s="54"/>
      <c r="LPA2478" s="60"/>
      <c r="LPB2478" s="60"/>
      <c r="LPC2478" s="60"/>
      <c r="LPD2478" s="60"/>
      <c r="LPE2478" s="63"/>
      <c r="LPF2478" s="61"/>
      <c r="LPG2478" s="54"/>
      <c r="LPH2478" s="54"/>
      <c r="LPI2478" s="60"/>
      <c r="LPJ2478" s="60"/>
      <c r="LPK2478" s="60"/>
      <c r="LPL2478" s="60"/>
      <c r="LPM2478" s="63"/>
      <c r="LPN2478" s="61"/>
      <c r="LPO2478" s="54"/>
      <c r="LPP2478" s="54"/>
      <c r="LPQ2478" s="60"/>
      <c r="LPR2478" s="60"/>
      <c r="LPS2478" s="60"/>
      <c r="LPT2478" s="60"/>
      <c r="LPU2478" s="63"/>
      <c r="LPV2478" s="61"/>
      <c r="LPW2478" s="54"/>
      <c r="LPX2478" s="54"/>
      <c r="LPY2478" s="60"/>
      <c r="LPZ2478" s="60"/>
      <c r="LQA2478" s="60"/>
      <c r="LQB2478" s="60"/>
      <c r="LQC2478" s="63"/>
      <c r="LQD2478" s="61"/>
      <c r="LQE2478" s="54"/>
      <c r="LQF2478" s="54"/>
      <c r="LQG2478" s="60"/>
      <c r="LQH2478" s="60"/>
      <c r="LQI2478" s="60"/>
      <c r="LQJ2478" s="60"/>
      <c r="LQK2478" s="63"/>
      <c r="LQL2478" s="61"/>
      <c r="LQM2478" s="54"/>
      <c r="LQN2478" s="54"/>
      <c r="LQO2478" s="60"/>
      <c r="LQP2478" s="60"/>
      <c r="LQQ2478" s="60"/>
      <c r="LQR2478" s="60"/>
      <c r="LQS2478" s="63"/>
      <c r="LQT2478" s="61"/>
      <c r="LQU2478" s="54"/>
      <c r="LQV2478" s="54"/>
      <c r="LQW2478" s="60"/>
      <c r="LQX2478" s="60"/>
      <c r="LQY2478" s="60"/>
      <c r="LQZ2478" s="60"/>
      <c r="LRA2478" s="63"/>
      <c r="LRB2478" s="61"/>
      <c r="LRC2478" s="54"/>
      <c r="LRD2478" s="54"/>
      <c r="LRE2478" s="60"/>
      <c r="LRF2478" s="60"/>
      <c r="LRG2478" s="60"/>
      <c r="LRH2478" s="60"/>
      <c r="LRI2478" s="63"/>
      <c r="LRJ2478" s="61"/>
      <c r="LRK2478" s="54"/>
      <c r="LRL2478" s="54"/>
      <c r="LRM2478" s="60"/>
      <c r="LRN2478" s="60"/>
      <c r="LRO2478" s="60"/>
      <c r="LRP2478" s="60"/>
      <c r="LRQ2478" s="63"/>
      <c r="LRR2478" s="61"/>
      <c r="LRS2478" s="54"/>
      <c r="LRT2478" s="54"/>
      <c r="LRU2478" s="60"/>
      <c r="LRV2478" s="60"/>
      <c r="LRW2478" s="60"/>
      <c r="LRX2478" s="60"/>
      <c r="LRY2478" s="63"/>
      <c r="LRZ2478" s="61"/>
      <c r="LSA2478" s="54"/>
      <c r="LSB2478" s="54"/>
      <c r="LSC2478" s="60"/>
      <c r="LSD2478" s="60"/>
      <c r="LSE2478" s="60"/>
      <c r="LSF2478" s="60"/>
      <c r="LSG2478" s="63"/>
      <c r="LSH2478" s="61"/>
      <c r="LSI2478" s="54"/>
      <c r="LSJ2478" s="54"/>
      <c r="LSK2478" s="60"/>
      <c r="LSL2478" s="60"/>
      <c r="LSM2478" s="60"/>
      <c r="LSN2478" s="60"/>
      <c r="LSO2478" s="63"/>
      <c r="LSP2478" s="61"/>
      <c r="LSQ2478" s="54"/>
      <c r="LSR2478" s="54"/>
      <c r="LSS2478" s="60"/>
      <c r="LST2478" s="60"/>
      <c r="LSU2478" s="60"/>
      <c r="LSV2478" s="60"/>
      <c r="LSW2478" s="63"/>
      <c r="LSX2478" s="61"/>
      <c r="LSY2478" s="54"/>
      <c r="LSZ2478" s="54"/>
      <c r="LTA2478" s="60"/>
      <c r="LTB2478" s="60"/>
      <c r="LTC2478" s="60"/>
      <c r="LTD2478" s="60"/>
      <c r="LTE2478" s="63"/>
      <c r="LTF2478" s="61"/>
      <c r="LTG2478" s="54"/>
      <c r="LTH2478" s="54"/>
      <c r="LTI2478" s="60"/>
      <c r="LTJ2478" s="60"/>
      <c r="LTK2478" s="60"/>
      <c r="LTL2478" s="60"/>
      <c r="LTM2478" s="63"/>
      <c r="LTN2478" s="61"/>
      <c r="LTO2478" s="54"/>
      <c r="LTP2478" s="54"/>
      <c r="LTQ2478" s="60"/>
      <c r="LTR2478" s="60"/>
      <c r="LTS2478" s="60"/>
      <c r="LTT2478" s="60"/>
      <c r="LTU2478" s="63"/>
      <c r="LTV2478" s="61"/>
      <c r="LTW2478" s="54"/>
      <c r="LTX2478" s="54"/>
      <c r="LTY2478" s="60"/>
      <c r="LTZ2478" s="60"/>
      <c r="LUA2478" s="60"/>
      <c r="LUB2478" s="60"/>
      <c r="LUC2478" s="63"/>
      <c r="LUD2478" s="61"/>
      <c r="LUE2478" s="54"/>
      <c r="LUF2478" s="54"/>
      <c r="LUG2478" s="60"/>
      <c r="LUH2478" s="60"/>
      <c r="LUI2478" s="60"/>
      <c r="LUJ2478" s="60"/>
      <c r="LUK2478" s="63"/>
      <c r="LUL2478" s="61"/>
      <c r="LUM2478" s="54"/>
      <c r="LUN2478" s="54"/>
      <c r="LUO2478" s="60"/>
      <c r="LUP2478" s="60"/>
      <c r="LUQ2478" s="60"/>
      <c r="LUR2478" s="60"/>
      <c r="LUS2478" s="63"/>
      <c r="LUT2478" s="61"/>
      <c r="LUU2478" s="54"/>
      <c r="LUV2478" s="54"/>
      <c r="LUW2478" s="60"/>
      <c r="LUX2478" s="60"/>
      <c r="LUY2478" s="60"/>
      <c r="LUZ2478" s="60"/>
      <c r="LVA2478" s="63"/>
      <c r="LVB2478" s="61"/>
      <c r="LVC2478" s="54"/>
      <c r="LVD2478" s="54"/>
      <c r="LVE2478" s="60"/>
      <c r="LVF2478" s="60"/>
      <c r="LVG2478" s="60"/>
      <c r="LVH2478" s="60"/>
      <c r="LVI2478" s="63"/>
      <c r="LVJ2478" s="61"/>
      <c r="LVK2478" s="54"/>
      <c r="LVL2478" s="54"/>
      <c r="LVM2478" s="60"/>
      <c r="LVN2478" s="60"/>
      <c r="LVO2478" s="60"/>
      <c r="LVP2478" s="60"/>
      <c r="LVQ2478" s="63"/>
      <c r="LVR2478" s="61"/>
      <c r="LVS2478" s="54"/>
      <c r="LVT2478" s="54"/>
      <c r="LVU2478" s="60"/>
      <c r="LVV2478" s="60"/>
      <c r="LVW2478" s="60"/>
      <c r="LVX2478" s="60"/>
      <c r="LVY2478" s="63"/>
      <c r="LVZ2478" s="61"/>
      <c r="LWA2478" s="54"/>
      <c r="LWB2478" s="54"/>
      <c r="LWC2478" s="60"/>
      <c r="LWD2478" s="60"/>
      <c r="LWE2478" s="60"/>
      <c r="LWF2478" s="60"/>
      <c r="LWG2478" s="63"/>
      <c r="LWH2478" s="61"/>
      <c r="LWI2478" s="54"/>
      <c r="LWJ2478" s="54"/>
      <c r="LWK2478" s="60"/>
      <c r="LWL2478" s="60"/>
      <c r="LWM2478" s="60"/>
      <c r="LWN2478" s="60"/>
      <c r="LWO2478" s="63"/>
      <c r="LWP2478" s="61"/>
      <c r="LWQ2478" s="54"/>
      <c r="LWR2478" s="54"/>
      <c r="LWS2478" s="60"/>
      <c r="LWT2478" s="60"/>
      <c r="LWU2478" s="60"/>
      <c r="LWV2478" s="60"/>
      <c r="LWW2478" s="63"/>
      <c r="LWX2478" s="61"/>
      <c r="LWY2478" s="54"/>
      <c r="LWZ2478" s="54"/>
      <c r="LXA2478" s="60"/>
      <c r="LXB2478" s="60"/>
      <c r="LXC2478" s="60"/>
      <c r="LXD2478" s="60"/>
      <c r="LXE2478" s="63"/>
      <c r="LXF2478" s="61"/>
      <c r="LXG2478" s="54"/>
      <c r="LXH2478" s="54"/>
      <c r="LXI2478" s="60"/>
      <c r="LXJ2478" s="60"/>
      <c r="LXK2478" s="60"/>
      <c r="LXL2478" s="60"/>
      <c r="LXM2478" s="63"/>
      <c r="LXN2478" s="61"/>
      <c r="LXO2478" s="54"/>
      <c r="LXP2478" s="54"/>
      <c r="LXQ2478" s="60"/>
      <c r="LXR2478" s="60"/>
      <c r="LXS2478" s="60"/>
      <c r="LXT2478" s="60"/>
      <c r="LXU2478" s="63"/>
      <c r="LXV2478" s="61"/>
      <c r="LXW2478" s="54"/>
      <c r="LXX2478" s="54"/>
      <c r="LXY2478" s="60"/>
      <c r="LXZ2478" s="60"/>
      <c r="LYA2478" s="60"/>
      <c r="LYB2478" s="60"/>
      <c r="LYC2478" s="63"/>
      <c r="LYD2478" s="61"/>
      <c r="LYE2478" s="54"/>
      <c r="LYF2478" s="54"/>
      <c r="LYG2478" s="60"/>
      <c r="LYH2478" s="60"/>
      <c r="LYI2478" s="60"/>
      <c r="LYJ2478" s="60"/>
      <c r="LYK2478" s="63"/>
      <c r="LYL2478" s="61"/>
      <c r="LYM2478" s="54"/>
      <c r="LYN2478" s="54"/>
      <c r="LYO2478" s="60"/>
      <c r="LYP2478" s="60"/>
      <c r="LYQ2478" s="60"/>
      <c r="LYR2478" s="60"/>
      <c r="LYS2478" s="63"/>
      <c r="LYT2478" s="61"/>
      <c r="LYU2478" s="54"/>
      <c r="LYV2478" s="54"/>
      <c r="LYW2478" s="60"/>
      <c r="LYX2478" s="60"/>
      <c r="LYY2478" s="60"/>
      <c r="LYZ2478" s="60"/>
      <c r="LZA2478" s="63"/>
      <c r="LZB2478" s="61"/>
      <c r="LZC2478" s="54"/>
      <c r="LZD2478" s="54"/>
      <c r="LZE2478" s="60"/>
      <c r="LZF2478" s="60"/>
      <c r="LZG2478" s="60"/>
      <c r="LZH2478" s="60"/>
      <c r="LZI2478" s="63"/>
      <c r="LZJ2478" s="61"/>
      <c r="LZK2478" s="54"/>
      <c r="LZL2478" s="54"/>
      <c r="LZM2478" s="60"/>
      <c r="LZN2478" s="60"/>
      <c r="LZO2478" s="60"/>
      <c r="LZP2478" s="60"/>
      <c r="LZQ2478" s="63"/>
      <c r="LZR2478" s="61"/>
      <c r="LZS2478" s="54"/>
      <c r="LZT2478" s="54"/>
      <c r="LZU2478" s="60"/>
      <c r="LZV2478" s="60"/>
      <c r="LZW2478" s="60"/>
      <c r="LZX2478" s="60"/>
      <c r="LZY2478" s="63"/>
      <c r="LZZ2478" s="61"/>
      <c r="MAA2478" s="54"/>
      <c r="MAB2478" s="54"/>
      <c r="MAC2478" s="60"/>
      <c r="MAD2478" s="60"/>
      <c r="MAE2478" s="60"/>
      <c r="MAF2478" s="60"/>
      <c r="MAG2478" s="63"/>
      <c r="MAH2478" s="61"/>
      <c r="MAI2478" s="54"/>
      <c r="MAJ2478" s="54"/>
      <c r="MAK2478" s="60"/>
      <c r="MAL2478" s="60"/>
      <c r="MAM2478" s="60"/>
      <c r="MAN2478" s="60"/>
      <c r="MAO2478" s="63"/>
      <c r="MAP2478" s="61"/>
      <c r="MAQ2478" s="54"/>
      <c r="MAR2478" s="54"/>
      <c r="MAS2478" s="60"/>
      <c r="MAT2478" s="60"/>
      <c r="MAU2478" s="60"/>
      <c r="MAV2478" s="60"/>
      <c r="MAW2478" s="63"/>
      <c r="MAX2478" s="61"/>
      <c r="MAY2478" s="54"/>
      <c r="MAZ2478" s="54"/>
      <c r="MBA2478" s="60"/>
      <c r="MBB2478" s="60"/>
      <c r="MBC2478" s="60"/>
      <c r="MBD2478" s="60"/>
      <c r="MBE2478" s="63"/>
      <c r="MBF2478" s="61"/>
      <c r="MBG2478" s="54"/>
      <c r="MBH2478" s="54"/>
      <c r="MBI2478" s="60"/>
      <c r="MBJ2478" s="60"/>
      <c r="MBK2478" s="60"/>
      <c r="MBL2478" s="60"/>
      <c r="MBM2478" s="63"/>
      <c r="MBN2478" s="61"/>
      <c r="MBO2478" s="54"/>
      <c r="MBP2478" s="54"/>
      <c r="MBQ2478" s="60"/>
      <c r="MBR2478" s="60"/>
      <c r="MBS2478" s="60"/>
      <c r="MBT2478" s="60"/>
      <c r="MBU2478" s="63"/>
      <c r="MBV2478" s="61"/>
      <c r="MBW2478" s="54"/>
      <c r="MBX2478" s="54"/>
      <c r="MBY2478" s="60"/>
      <c r="MBZ2478" s="60"/>
      <c r="MCA2478" s="60"/>
      <c r="MCB2478" s="60"/>
      <c r="MCC2478" s="63"/>
      <c r="MCD2478" s="61"/>
      <c r="MCE2478" s="54"/>
      <c r="MCF2478" s="54"/>
      <c r="MCG2478" s="60"/>
      <c r="MCH2478" s="60"/>
      <c r="MCI2478" s="60"/>
      <c r="MCJ2478" s="60"/>
      <c r="MCK2478" s="63"/>
      <c r="MCL2478" s="61"/>
      <c r="MCM2478" s="54"/>
      <c r="MCN2478" s="54"/>
      <c r="MCO2478" s="60"/>
      <c r="MCP2478" s="60"/>
      <c r="MCQ2478" s="60"/>
      <c r="MCR2478" s="60"/>
      <c r="MCS2478" s="63"/>
      <c r="MCT2478" s="61"/>
      <c r="MCU2478" s="54"/>
      <c r="MCV2478" s="54"/>
      <c r="MCW2478" s="60"/>
      <c r="MCX2478" s="60"/>
      <c r="MCY2478" s="60"/>
      <c r="MCZ2478" s="60"/>
      <c r="MDA2478" s="63"/>
      <c r="MDB2478" s="61"/>
      <c r="MDC2478" s="54"/>
      <c r="MDD2478" s="54"/>
      <c r="MDE2478" s="60"/>
      <c r="MDF2478" s="60"/>
      <c r="MDG2478" s="60"/>
      <c r="MDH2478" s="60"/>
      <c r="MDI2478" s="63"/>
      <c r="MDJ2478" s="61"/>
      <c r="MDK2478" s="54"/>
      <c r="MDL2478" s="54"/>
      <c r="MDM2478" s="60"/>
      <c r="MDN2478" s="60"/>
      <c r="MDO2478" s="60"/>
      <c r="MDP2478" s="60"/>
      <c r="MDQ2478" s="63"/>
      <c r="MDR2478" s="61"/>
      <c r="MDS2478" s="54"/>
      <c r="MDT2478" s="54"/>
      <c r="MDU2478" s="60"/>
      <c r="MDV2478" s="60"/>
      <c r="MDW2478" s="60"/>
      <c r="MDX2478" s="60"/>
      <c r="MDY2478" s="63"/>
      <c r="MDZ2478" s="61"/>
      <c r="MEA2478" s="54"/>
      <c r="MEB2478" s="54"/>
      <c r="MEC2478" s="60"/>
      <c r="MED2478" s="60"/>
      <c r="MEE2478" s="60"/>
      <c r="MEF2478" s="60"/>
      <c r="MEG2478" s="63"/>
      <c r="MEH2478" s="61"/>
      <c r="MEI2478" s="54"/>
      <c r="MEJ2478" s="54"/>
      <c r="MEK2478" s="60"/>
      <c r="MEL2478" s="60"/>
      <c r="MEM2478" s="60"/>
      <c r="MEN2478" s="60"/>
      <c r="MEO2478" s="63"/>
      <c r="MEP2478" s="61"/>
      <c r="MEQ2478" s="54"/>
      <c r="MER2478" s="54"/>
      <c r="MES2478" s="60"/>
      <c r="MET2478" s="60"/>
      <c r="MEU2478" s="60"/>
      <c r="MEV2478" s="60"/>
      <c r="MEW2478" s="63"/>
      <c r="MEX2478" s="61"/>
      <c r="MEY2478" s="54"/>
      <c r="MEZ2478" s="54"/>
      <c r="MFA2478" s="60"/>
      <c r="MFB2478" s="60"/>
      <c r="MFC2478" s="60"/>
      <c r="MFD2478" s="60"/>
      <c r="MFE2478" s="63"/>
      <c r="MFF2478" s="61"/>
      <c r="MFG2478" s="54"/>
      <c r="MFH2478" s="54"/>
      <c r="MFI2478" s="60"/>
      <c r="MFJ2478" s="60"/>
      <c r="MFK2478" s="60"/>
      <c r="MFL2478" s="60"/>
      <c r="MFM2478" s="63"/>
      <c r="MFN2478" s="61"/>
      <c r="MFO2478" s="54"/>
      <c r="MFP2478" s="54"/>
      <c r="MFQ2478" s="60"/>
      <c r="MFR2478" s="60"/>
      <c r="MFS2478" s="60"/>
      <c r="MFT2478" s="60"/>
      <c r="MFU2478" s="63"/>
      <c r="MFV2478" s="61"/>
      <c r="MFW2478" s="54"/>
      <c r="MFX2478" s="54"/>
      <c r="MFY2478" s="60"/>
      <c r="MFZ2478" s="60"/>
      <c r="MGA2478" s="60"/>
      <c r="MGB2478" s="60"/>
      <c r="MGC2478" s="63"/>
      <c r="MGD2478" s="61"/>
      <c r="MGE2478" s="54"/>
      <c r="MGF2478" s="54"/>
      <c r="MGG2478" s="60"/>
      <c r="MGH2478" s="60"/>
      <c r="MGI2478" s="60"/>
      <c r="MGJ2478" s="60"/>
      <c r="MGK2478" s="63"/>
      <c r="MGL2478" s="61"/>
      <c r="MGM2478" s="54"/>
      <c r="MGN2478" s="54"/>
      <c r="MGO2478" s="60"/>
      <c r="MGP2478" s="60"/>
      <c r="MGQ2478" s="60"/>
      <c r="MGR2478" s="60"/>
      <c r="MGS2478" s="63"/>
      <c r="MGT2478" s="61"/>
      <c r="MGU2478" s="54"/>
      <c r="MGV2478" s="54"/>
      <c r="MGW2478" s="60"/>
      <c r="MGX2478" s="60"/>
      <c r="MGY2478" s="60"/>
      <c r="MGZ2478" s="60"/>
      <c r="MHA2478" s="63"/>
      <c r="MHB2478" s="61"/>
      <c r="MHC2478" s="54"/>
      <c r="MHD2478" s="54"/>
      <c r="MHE2478" s="60"/>
      <c r="MHF2478" s="60"/>
      <c r="MHG2478" s="60"/>
      <c r="MHH2478" s="60"/>
      <c r="MHI2478" s="63"/>
      <c r="MHJ2478" s="61"/>
      <c r="MHK2478" s="54"/>
      <c r="MHL2478" s="54"/>
      <c r="MHM2478" s="60"/>
      <c r="MHN2478" s="60"/>
      <c r="MHO2478" s="60"/>
      <c r="MHP2478" s="60"/>
      <c r="MHQ2478" s="63"/>
      <c r="MHR2478" s="61"/>
      <c r="MHS2478" s="54"/>
      <c r="MHT2478" s="54"/>
      <c r="MHU2478" s="60"/>
      <c r="MHV2478" s="60"/>
      <c r="MHW2478" s="60"/>
      <c r="MHX2478" s="60"/>
      <c r="MHY2478" s="63"/>
      <c r="MHZ2478" s="61"/>
      <c r="MIA2478" s="54"/>
      <c r="MIB2478" s="54"/>
      <c r="MIC2478" s="60"/>
      <c r="MID2478" s="60"/>
      <c r="MIE2478" s="60"/>
      <c r="MIF2478" s="60"/>
      <c r="MIG2478" s="63"/>
      <c r="MIH2478" s="61"/>
      <c r="MII2478" s="54"/>
      <c r="MIJ2478" s="54"/>
      <c r="MIK2478" s="60"/>
      <c r="MIL2478" s="60"/>
      <c r="MIM2478" s="60"/>
      <c r="MIN2478" s="60"/>
      <c r="MIO2478" s="63"/>
      <c r="MIP2478" s="61"/>
      <c r="MIQ2478" s="54"/>
      <c r="MIR2478" s="54"/>
      <c r="MIS2478" s="60"/>
      <c r="MIT2478" s="60"/>
      <c r="MIU2478" s="60"/>
      <c r="MIV2478" s="60"/>
      <c r="MIW2478" s="63"/>
      <c r="MIX2478" s="61"/>
      <c r="MIY2478" s="54"/>
      <c r="MIZ2478" s="54"/>
      <c r="MJA2478" s="60"/>
      <c r="MJB2478" s="60"/>
      <c r="MJC2478" s="60"/>
      <c r="MJD2478" s="60"/>
      <c r="MJE2478" s="63"/>
      <c r="MJF2478" s="61"/>
      <c r="MJG2478" s="54"/>
      <c r="MJH2478" s="54"/>
      <c r="MJI2478" s="60"/>
      <c r="MJJ2478" s="60"/>
      <c r="MJK2478" s="60"/>
      <c r="MJL2478" s="60"/>
      <c r="MJM2478" s="63"/>
      <c r="MJN2478" s="61"/>
      <c r="MJO2478" s="54"/>
      <c r="MJP2478" s="54"/>
      <c r="MJQ2478" s="60"/>
      <c r="MJR2478" s="60"/>
      <c r="MJS2478" s="60"/>
      <c r="MJT2478" s="60"/>
      <c r="MJU2478" s="63"/>
      <c r="MJV2478" s="61"/>
      <c r="MJW2478" s="54"/>
      <c r="MJX2478" s="54"/>
      <c r="MJY2478" s="60"/>
      <c r="MJZ2478" s="60"/>
      <c r="MKA2478" s="60"/>
      <c r="MKB2478" s="60"/>
      <c r="MKC2478" s="63"/>
      <c r="MKD2478" s="61"/>
      <c r="MKE2478" s="54"/>
      <c r="MKF2478" s="54"/>
      <c r="MKG2478" s="60"/>
      <c r="MKH2478" s="60"/>
      <c r="MKI2478" s="60"/>
      <c r="MKJ2478" s="60"/>
      <c r="MKK2478" s="63"/>
      <c r="MKL2478" s="61"/>
      <c r="MKM2478" s="54"/>
      <c r="MKN2478" s="54"/>
      <c r="MKO2478" s="60"/>
      <c r="MKP2478" s="60"/>
      <c r="MKQ2478" s="60"/>
      <c r="MKR2478" s="60"/>
      <c r="MKS2478" s="63"/>
      <c r="MKT2478" s="61"/>
      <c r="MKU2478" s="54"/>
      <c r="MKV2478" s="54"/>
      <c r="MKW2478" s="60"/>
      <c r="MKX2478" s="60"/>
      <c r="MKY2478" s="60"/>
      <c r="MKZ2478" s="60"/>
      <c r="MLA2478" s="63"/>
      <c r="MLB2478" s="61"/>
      <c r="MLC2478" s="54"/>
      <c r="MLD2478" s="54"/>
      <c r="MLE2478" s="60"/>
      <c r="MLF2478" s="60"/>
      <c r="MLG2478" s="60"/>
      <c r="MLH2478" s="60"/>
      <c r="MLI2478" s="63"/>
      <c r="MLJ2478" s="61"/>
      <c r="MLK2478" s="54"/>
      <c r="MLL2478" s="54"/>
      <c r="MLM2478" s="60"/>
      <c r="MLN2478" s="60"/>
      <c r="MLO2478" s="60"/>
      <c r="MLP2478" s="60"/>
      <c r="MLQ2478" s="63"/>
      <c r="MLR2478" s="61"/>
      <c r="MLS2478" s="54"/>
      <c r="MLT2478" s="54"/>
      <c r="MLU2478" s="60"/>
      <c r="MLV2478" s="60"/>
      <c r="MLW2478" s="60"/>
      <c r="MLX2478" s="60"/>
      <c r="MLY2478" s="63"/>
      <c r="MLZ2478" s="61"/>
      <c r="MMA2478" s="54"/>
      <c r="MMB2478" s="54"/>
      <c r="MMC2478" s="60"/>
      <c r="MMD2478" s="60"/>
      <c r="MME2478" s="60"/>
      <c r="MMF2478" s="60"/>
      <c r="MMG2478" s="63"/>
      <c r="MMH2478" s="61"/>
      <c r="MMI2478" s="54"/>
      <c r="MMJ2478" s="54"/>
      <c r="MMK2478" s="60"/>
      <c r="MML2478" s="60"/>
      <c r="MMM2478" s="60"/>
      <c r="MMN2478" s="60"/>
      <c r="MMO2478" s="63"/>
      <c r="MMP2478" s="61"/>
      <c r="MMQ2478" s="54"/>
      <c r="MMR2478" s="54"/>
      <c r="MMS2478" s="60"/>
      <c r="MMT2478" s="60"/>
      <c r="MMU2478" s="60"/>
      <c r="MMV2478" s="60"/>
      <c r="MMW2478" s="63"/>
      <c r="MMX2478" s="61"/>
      <c r="MMY2478" s="54"/>
      <c r="MMZ2478" s="54"/>
      <c r="MNA2478" s="60"/>
      <c r="MNB2478" s="60"/>
      <c r="MNC2478" s="60"/>
      <c r="MND2478" s="60"/>
      <c r="MNE2478" s="63"/>
      <c r="MNF2478" s="61"/>
      <c r="MNG2478" s="54"/>
      <c r="MNH2478" s="54"/>
      <c r="MNI2478" s="60"/>
      <c r="MNJ2478" s="60"/>
      <c r="MNK2478" s="60"/>
      <c r="MNL2478" s="60"/>
      <c r="MNM2478" s="63"/>
      <c r="MNN2478" s="61"/>
      <c r="MNO2478" s="54"/>
      <c r="MNP2478" s="54"/>
      <c r="MNQ2478" s="60"/>
      <c r="MNR2478" s="60"/>
      <c r="MNS2478" s="60"/>
      <c r="MNT2478" s="60"/>
      <c r="MNU2478" s="63"/>
      <c r="MNV2478" s="61"/>
      <c r="MNW2478" s="54"/>
      <c r="MNX2478" s="54"/>
      <c r="MNY2478" s="60"/>
      <c r="MNZ2478" s="60"/>
      <c r="MOA2478" s="60"/>
      <c r="MOB2478" s="60"/>
      <c r="MOC2478" s="63"/>
      <c r="MOD2478" s="61"/>
      <c r="MOE2478" s="54"/>
      <c r="MOF2478" s="54"/>
      <c r="MOG2478" s="60"/>
      <c r="MOH2478" s="60"/>
      <c r="MOI2478" s="60"/>
      <c r="MOJ2478" s="60"/>
      <c r="MOK2478" s="63"/>
      <c r="MOL2478" s="61"/>
      <c r="MOM2478" s="54"/>
      <c r="MON2478" s="54"/>
      <c r="MOO2478" s="60"/>
      <c r="MOP2478" s="60"/>
      <c r="MOQ2478" s="60"/>
      <c r="MOR2478" s="60"/>
      <c r="MOS2478" s="63"/>
      <c r="MOT2478" s="61"/>
      <c r="MOU2478" s="54"/>
      <c r="MOV2478" s="54"/>
      <c r="MOW2478" s="60"/>
      <c r="MOX2478" s="60"/>
      <c r="MOY2478" s="60"/>
      <c r="MOZ2478" s="60"/>
      <c r="MPA2478" s="63"/>
      <c r="MPB2478" s="61"/>
      <c r="MPC2478" s="54"/>
      <c r="MPD2478" s="54"/>
      <c r="MPE2478" s="60"/>
      <c r="MPF2478" s="60"/>
      <c r="MPG2478" s="60"/>
      <c r="MPH2478" s="60"/>
      <c r="MPI2478" s="63"/>
      <c r="MPJ2478" s="61"/>
      <c r="MPK2478" s="54"/>
      <c r="MPL2478" s="54"/>
      <c r="MPM2478" s="60"/>
      <c r="MPN2478" s="60"/>
      <c r="MPO2478" s="60"/>
      <c r="MPP2478" s="60"/>
      <c r="MPQ2478" s="63"/>
      <c r="MPR2478" s="61"/>
      <c r="MPS2478" s="54"/>
      <c r="MPT2478" s="54"/>
      <c r="MPU2478" s="60"/>
      <c r="MPV2478" s="60"/>
      <c r="MPW2478" s="60"/>
      <c r="MPX2478" s="60"/>
      <c r="MPY2478" s="63"/>
      <c r="MPZ2478" s="61"/>
      <c r="MQA2478" s="54"/>
      <c r="MQB2478" s="54"/>
      <c r="MQC2478" s="60"/>
      <c r="MQD2478" s="60"/>
      <c r="MQE2478" s="60"/>
      <c r="MQF2478" s="60"/>
      <c r="MQG2478" s="63"/>
      <c r="MQH2478" s="61"/>
      <c r="MQI2478" s="54"/>
      <c r="MQJ2478" s="54"/>
      <c r="MQK2478" s="60"/>
      <c r="MQL2478" s="60"/>
      <c r="MQM2478" s="60"/>
      <c r="MQN2478" s="60"/>
      <c r="MQO2478" s="63"/>
      <c r="MQP2478" s="61"/>
      <c r="MQQ2478" s="54"/>
      <c r="MQR2478" s="54"/>
      <c r="MQS2478" s="60"/>
      <c r="MQT2478" s="60"/>
      <c r="MQU2478" s="60"/>
      <c r="MQV2478" s="60"/>
      <c r="MQW2478" s="63"/>
      <c r="MQX2478" s="61"/>
      <c r="MQY2478" s="54"/>
      <c r="MQZ2478" s="54"/>
      <c r="MRA2478" s="60"/>
      <c r="MRB2478" s="60"/>
      <c r="MRC2478" s="60"/>
      <c r="MRD2478" s="60"/>
      <c r="MRE2478" s="63"/>
      <c r="MRF2478" s="61"/>
      <c r="MRG2478" s="54"/>
      <c r="MRH2478" s="54"/>
      <c r="MRI2478" s="60"/>
      <c r="MRJ2478" s="60"/>
      <c r="MRK2478" s="60"/>
      <c r="MRL2478" s="60"/>
      <c r="MRM2478" s="63"/>
      <c r="MRN2478" s="61"/>
      <c r="MRO2478" s="54"/>
      <c r="MRP2478" s="54"/>
      <c r="MRQ2478" s="60"/>
      <c r="MRR2478" s="60"/>
      <c r="MRS2478" s="60"/>
      <c r="MRT2478" s="60"/>
      <c r="MRU2478" s="63"/>
      <c r="MRV2478" s="61"/>
      <c r="MRW2478" s="54"/>
      <c r="MRX2478" s="54"/>
      <c r="MRY2478" s="60"/>
      <c r="MRZ2478" s="60"/>
      <c r="MSA2478" s="60"/>
      <c r="MSB2478" s="60"/>
      <c r="MSC2478" s="63"/>
      <c r="MSD2478" s="61"/>
      <c r="MSE2478" s="54"/>
      <c r="MSF2478" s="54"/>
      <c r="MSG2478" s="60"/>
      <c r="MSH2478" s="60"/>
      <c r="MSI2478" s="60"/>
      <c r="MSJ2478" s="60"/>
      <c r="MSK2478" s="63"/>
      <c r="MSL2478" s="61"/>
      <c r="MSM2478" s="54"/>
      <c r="MSN2478" s="54"/>
      <c r="MSO2478" s="60"/>
      <c r="MSP2478" s="60"/>
      <c r="MSQ2478" s="60"/>
      <c r="MSR2478" s="60"/>
      <c r="MSS2478" s="63"/>
      <c r="MST2478" s="61"/>
      <c r="MSU2478" s="54"/>
      <c r="MSV2478" s="54"/>
      <c r="MSW2478" s="60"/>
      <c r="MSX2478" s="60"/>
      <c r="MSY2478" s="60"/>
      <c r="MSZ2478" s="60"/>
      <c r="MTA2478" s="63"/>
      <c r="MTB2478" s="61"/>
      <c r="MTC2478" s="54"/>
      <c r="MTD2478" s="54"/>
      <c r="MTE2478" s="60"/>
      <c r="MTF2478" s="60"/>
      <c r="MTG2478" s="60"/>
      <c r="MTH2478" s="60"/>
      <c r="MTI2478" s="63"/>
      <c r="MTJ2478" s="61"/>
      <c r="MTK2478" s="54"/>
      <c r="MTL2478" s="54"/>
      <c r="MTM2478" s="60"/>
      <c r="MTN2478" s="60"/>
      <c r="MTO2478" s="60"/>
      <c r="MTP2478" s="60"/>
      <c r="MTQ2478" s="63"/>
      <c r="MTR2478" s="61"/>
      <c r="MTS2478" s="54"/>
      <c r="MTT2478" s="54"/>
      <c r="MTU2478" s="60"/>
      <c r="MTV2478" s="60"/>
      <c r="MTW2478" s="60"/>
      <c r="MTX2478" s="60"/>
      <c r="MTY2478" s="63"/>
      <c r="MTZ2478" s="61"/>
      <c r="MUA2478" s="54"/>
      <c r="MUB2478" s="54"/>
      <c r="MUC2478" s="60"/>
      <c r="MUD2478" s="60"/>
      <c r="MUE2478" s="60"/>
      <c r="MUF2478" s="60"/>
      <c r="MUG2478" s="63"/>
      <c r="MUH2478" s="61"/>
      <c r="MUI2478" s="54"/>
      <c r="MUJ2478" s="54"/>
      <c r="MUK2478" s="60"/>
      <c r="MUL2478" s="60"/>
      <c r="MUM2478" s="60"/>
      <c r="MUN2478" s="60"/>
      <c r="MUO2478" s="63"/>
      <c r="MUP2478" s="61"/>
      <c r="MUQ2478" s="54"/>
      <c r="MUR2478" s="54"/>
      <c r="MUS2478" s="60"/>
      <c r="MUT2478" s="60"/>
      <c r="MUU2478" s="60"/>
      <c r="MUV2478" s="60"/>
      <c r="MUW2478" s="63"/>
      <c r="MUX2478" s="61"/>
      <c r="MUY2478" s="54"/>
      <c r="MUZ2478" s="54"/>
      <c r="MVA2478" s="60"/>
      <c r="MVB2478" s="60"/>
      <c r="MVC2478" s="60"/>
      <c r="MVD2478" s="60"/>
      <c r="MVE2478" s="63"/>
      <c r="MVF2478" s="61"/>
      <c r="MVG2478" s="54"/>
      <c r="MVH2478" s="54"/>
      <c r="MVI2478" s="60"/>
      <c r="MVJ2478" s="60"/>
      <c r="MVK2478" s="60"/>
      <c r="MVL2478" s="60"/>
      <c r="MVM2478" s="63"/>
      <c r="MVN2478" s="61"/>
      <c r="MVO2478" s="54"/>
      <c r="MVP2478" s="54"/>
      <c r="MVQ2478" s="60"/>
      <c r="MVR2478" s="60"/>
      <c r="MVS2478" s="60"/>
      <c r="MVT2478" s="60"/>
      <c r="MVU2478" s="63"/>
      <c r="MVV2478" s="61"/>
      <c r="MVW2478" s="54"/>
      <c r="MVX2478" s="54"/>
      <c r="MVY2478" s="60"/>
      <c r="MVZ2478" s="60"/>
      <c r="MWA2478" s="60"/>
      <c r="MWB2478" s="60"/>
      <c r="MWC2478" s="63"/>
      <c r="MWD2478" s="61"/>
      <c r="MWE2478" s="54"/>
      <c r="MWF2478" s="54"/>
      <c r="MWG2478" s="60"/>
      <c r="MWH2478" s="60"/>
      <c r="MWI2478" s="60"/>
      <c r="MWJ2478" s="60"/>
      <c r="MWK2478" s="63"/>
      <c r="MWL2478" s="61"/>
      <c r="MWM2478" s="54"/>
      <c r="MWN2478" s="54"/>
      <c r="MWO2478" s="60"/>
      <c r="MWP2478" s="60"/>
      <c r="MWQ2478" s="60"/>
      <c r="MWR2478" s="60"/>
      <c r="MWS2478" s="63"/>
      <c r="MWT2478" s="61"/>
      <c r="MWU2478" s="54"/>
      <c r="MWV2478" s="54"/>
      <c r="MWW2478" s="60"/>
      <c r="MWX2478" s="60"/>
      <c r="MWY2478" s="60"/>
      <c r="MWZ2478" s="60"/>
      <c r="MXA2478" s="63"/>
      <c r="MXB2478" s="61"/>
      <c r="MXC2478" s="54"/>
      <c r="MXD2478" s="54"/>
      <c r="MXE2478" s="60"/>
      <c r="MXF2478" s="60"/>
      <c r="MXG2478" s="60"/>
      <c r="MXH2478" s="60"/>
      <c r="MXI2478" s="63"/>
      <c r="MXJ2478" s="61"/>
      <c r="MXK2478" s="54"/>
      <c r="MXL2478" s="54"/>
      <c r="MXM2478" s="60"/>
      <c r="MXN2478" s="60"/>
      <c r="MXO2478" s="60"/>
      <c r="MXP2478" s="60"/>
      <c r="MXQ2478" s="63"/>
      <c r="MXR2478" s="61"/>
      <c r="MXS2478" s="54"/>
      <c r="MXT2478" s="54"/>
      <c r="MXU2478" s="60"/>
      <c r="MXV2478" s="60"/>
      <c r="MXW2478" s="60"/>
      <c r="MXX2478" s="60"/>
      <c r="MXY2478" s="63"/>
      <c r="MXZ2478" s="61"/>
      <c r="MYA2478" s="54"/>
      <c r="MYB2478" s="54"/>
      <c r="MYC2478" s="60"/>
      <c r="MYD2478" s="60"/>
      <c r="MYE2478" s="60"/>
      <c r="MYF2478" s="60"/>
      <c r="MYG2478" s="63"/>
      <c r="MYH2478" s="61"/>
      <c r="MYI2478" s="54"/>
      <c r="MYJ2478" s="54"/>
      <c r="MYK2478" s="60"/>
      <c r="MYL2478" s="60"/>
      <c r="MYM2478" s="60"/>
      <c r="MYN2478" s="60"/>
      <c r="MYO2478" s="63"/>
      <c r="MYP2478" s="61"/>
      <c r="MYQ2478" s="54"/>
      <c r="MYR2478" s="54"/>
      <c r="MYS2478" s="60"/>
      <c r="MYT2478" s="60"/>
      <c r="MYU2478" s="60"/>
      <c r="MYV2478" s="60"/>
      <c r="MYW2478" s="63"/>
      <c r="MYX2478" s="61"/>
      <c r="MYY2478" s="54"/>
      <c r="MYZ2478" s="54"/>
      <c r="MZA2478" s="60"/>
      <c r="MZB2478" s="60"/>
      <c r="MZC2478" s="60"/>
      <c r="MZD2478" s="60"/>
      <c r="MZE2478" s="63"/>
      <c r="MZF2478" s="61"/>
      <c r="MZG2478" s="54"/>
      <c r="MZH2478" s="54"/>
      <c r="MZI2478" s="60"/>
      <c r="MZJ2478" s="60"/>
      <c r="MZK2478" s="60"/>
      <c r="MZL2478" s="60"/>
      <c r="MZM2478" s="63"/>
      <c r="MZN2478" s="61"/>
      <c r="MZO2478" s="54"/>
      <c r="MZP2478" s="54"/>
      <c r="MZQ2478" s="60"/>
      <c r="MZR2478" s="60"/>
      <c r="MZS2478" s="60"/>
      <c r="MZT2478" s="60"/>
      <c r="MZU2478" s="63"/>
      <c r="MZV2478" s="61"/>
      <c r="MZW2478" s="54"/>
      <c r="MZX2478" s="54"/>
      <c r="MZY2478" s="60"/>
      <c r="MZZ2478" s="60"/>
      <c r="NAA2478" s="60"/>
      <c r="NAB2478" s="60"/>
      <c r="NAC2478" s="63"/>
      <c r="NAD2478" s="61"/>
      <c r="NAE2478" s="54"/>
      <c r="NAF2478" s="54"/>
      <c r="NAG2478" s="60"/>
      <c r="NAH2478" s="60"/>
      <c r="NAI2478" s="60"/>
      <c r="NAJ2478" s="60"/>
      <c r="NAK2478" s="63"/>
      <c r="NAL2478" s="61"/>
      <c r="NAM2478" s="54"/>
      <c r="NAN2478" s="54"/>
      <c r="NAO2478" s="60"/>
      <c r="NAP2478" s="60"/>
      <c r="NAQ2478" s="60"/>
      <c r="NAR2478" s="60"/>
      <c r="NAS2478" s="63"/>
      <c r="NAT2478" s="61"/>
      <c r="NAU2478" s="54"/>
      <c r="NAV2478" s="54"/>
      <c r="NAW2478" s="60"/>
      <c r="NAX2478" s="60"/>
      <c r="NAY2478" s="60"/>
      <c r="NAZ2478" s="60"/>
      <c r="NBA2478" s="63"/>
      <c r="NBB2478" s="61"/>
      <c r="NBC2478" s="54"/>
      <c r="NBD2478" s="54"/>
      <c r="NBE2478" s="60"/>
      <c r="NBF2478" s="60"/>
      <c r="NBG2478" s="60"/>
      <c r="NBH2478" s="60"/>
      <c r="NBI2478" s="63"/>
      <c r="NBJ2478" s="61"/>
      <c r="NBK2478" s="54"/>
      <c r="NBL2478" s="54"/>
      <c r="NBM2478" s="60"/>
      <c r="NBN2478" s="60"/>
      <c r="NBO2478" s="60"/>
      <c r="NBP2478" s="60"/>
      <c r="NBQ2478" s="63"/>
      <c r="NBR2478" s="61"/>
      <c r="NBS2478" s="54"/>
      <c r="NBT2478" s="54"/>
      <c r="NBU2478" s="60"/>
      <c r="NBV2478" s="60"/>
      <c r="NBW2478" s="60"/>
      <c r="NBX2478" s="60"/>
      <c r="NBY2478" s="63"/>
      <c r="NBZ2478" s="61"/>
      <c r="NCA2478" s="54"/>
      <c r="NCB2478" s="54"/>
      <c r="NCC2478" s="60"/>
      <c r="NCD2478" s="60"/>
      <c r="NCE2478" s="60"/>
      <c r="NCF2478" s="60"/>
      <c r="NCG2478" s="63"/>
      <c r="NCH2478" s="61"/>
      <c r="NCI2478" s="54"/>
      <c r="NCJ2478" s="54"/>
      <c r="NCK2478" s="60"/>
      <c r="NCL2478" s="60"/>
      <c r="NCM2478" s="60"/>
      <c r="NCN2478" s="60"/>
      <c r="NCO2478" s="63"/>
      <c r="NCP2478" s="61"/>
      <c r="NCQ2478" s="54"/>
      <c r="NCR2478" s="54"/>
      <c r="NCS2478" s="60"/>
      <c r="NCT2478" s="60"/>
      <c r="NCU2478" s="60"/>
      <c r="NCV2478" s="60"/>
      <c r="NCW2478" s="63"/>
      <c r="NCX2478" s="61"/>
      <c r="NCY2478" s="54"/>
      <c r="NCZ2478" s="54"/>
      <c r="NDA2478" s="60"/>
      <c r="NDB2478" s="60"/>
      <c r="NDC2478" s="60"/>
      <c r="NDD2478" s="60"/>
      <c r="NDE2478" s="63"/>
      <c r="NDF2478" s="61"/>
      <c r="NDG2478" s="54"/>
      <c r="NDH2478" s="54"/>
      <c r="NDI2478" s="60"/>
      <c r="NDJ2478" s="60"/>
      <c r="NDK2478" s="60"/>
      <c r="NDL2478" s="60"/>
      <c r="NDM2478" s="63"/>
      <c r="NDN2478" s="61"/>
      <c r="NDO2478" s="54"/>
      <c r="NDP2478" s="54"/>
      <c r="NDQ2478" s="60"/>
      <c r="NDR2478" s="60"/>
      <c r="NDS2478" s="60"/>
      <c r="NDT2478" s="60"/>
      <c r="NDU2478" s="63"/>
      <c r="NDV2478" s="61"/>
      <c r="NDW2478" s="54"/>
      <c r="NDX2478" s="54"/>
      <c r="NDY2478" s="60"/>
      <c r="NDZ2478" s="60"/>
      <c r="NEA2478" s="60"/>
      <c r="NEB2478" s="60"/>
      <c r="NEC2478" s="63"/>
      <c r="NED2478" s="61"/>
      <c r="NEE2478" s="54"/>
      <c r="NEF2478" s="54"/>
      <c r="NEG2478" s="60"/>
      <c r="NEH2478" s="60"/>
      <c r="NEI2478" s="60"/>
      <c r="NEJ2478" s="60"/>
      <c r="NEK2478" s="63"/>
      <c r="NEL2478" s="61"/>
      <c r="NEM2478" s="54"/>
      <c r="NEN2478" s="54"/>
      <c r="NEO2478" s="60"/>
      <c r="NEP2478" s="60"/>
      <c r="NEQ2478" s="60"/>
      <c r="NER2478" s="60"/>
      <c r="NES2478" s="63"/>
      <c r="NET2478" s="61"/>
      <c r="NEU2478" s="54"/>
      <c r="NEV2478" s="54"/>
      <c r="NEW2478" s="60"/>
      <c r="NEX2478" s="60"/>
      <c r="NEY2478" s="60"/>
      <c r="NEZ2478" s="60"/>
      <c r="NFA2478" s="63"/>
      <c r="NFB2478" s="61"/>
      <c r="NFC2478" s="54"/>
      <c r="NFD2478" s="54"/>
      <c r="NFE2478" s="60"/>
      <c r="NFF2478" s="60"/>
      <c r="NFG2478" s="60"/>
      <c r="NFH2478" s="60"/>
      <c r="NFI2478" s="63"/>
      <c r="NFJ2478" s="61"/>
      <c r="NFK2478" s="54"/>
      <c r="NFL2478" s="54"/>
      <c r="NFM2478" s="60"/>
      <c r="NFN2478" s="60"/>
      <c r="NFO2478" s="60"/>
      <c r="NFP2478" s="60"/>
      <c r="NFQ2478" s="63"/>
      <c r="NFR2478" s="61"/>
      <c r="NFS2478" s="54"/>
      <c r="NFT2478" s="54"/>
      <c r="NFU2478" s="60"/>
      <c r="NFV2478" s="60"/>
      <c r="NFW2478" s="60"/>
      <c r="NFX2478" s="60"/>
      <c r="NFY2478" s="63"/>
      <c r="NFZ2478" s="61"/>
      <c r="NGA2478" s="54"/>
      <c r="NGB2478" s="54"/>
      <c r="NGC2478" s="60"/>
      <c r="NGD2478" s="60"/>
      <c r="NGE2478" s="60"/>
      <c r="NGF2478" s="60"/>
      <c r="NGG2478" s="63"/>
      <c r="NGH2478" s="61"/>
      <c r="NGI2478" s="54"/>
      <c r="NGJ2478" s="54"/>
      <c r="NGK2478" s="60"/>
      <c r="NGL2478" s="60"/>
      <c r="NGM2478" s="60"/>
      <c r="NGN2478" s="60"/>
      <c r="NGO2478" s="63"/>
      <c r="NGP2478" s="61"/>
      <c r="NGQ2478" s="54"/>
      <c r="NGR2478" s="54"/>
      <c r="NGS2478" s="60"/>
      <c r="NGT2478" s="60"/>
      <c r="NGU2478" s="60"/>
      <c r="NGV2478" s="60"/>
      <c r="NGW2478" s="63"/>
      <c r="NGX2478" s="61"/>
      <c r="NGY2478" s="54"/>
      <c r="NGZ2478" s="54"/>
      <c r="NHA2478" s="60"/>
      <c r="NHB2478" s="60"/>
      <c r="NHC2478" s="60"/>
      <c r="NHD2478" s="60"/>
      <c r="NHE2478" s="63"/>
      <c r="NHF2478" s="61"/>
      <c r="NHG2478" s="54"/>
      <c r="NHH2478" s="54"/>
      <c r="NHI2478" s="60"/>
      <c r="NHJ2478" s="60"/>
      <c r="NHK2478" s="60"/>
      <c r="NHL2478" s="60"/>
      <c r="NHM2478" s="63"/>
      <c r="NHN2478" s="61"/>
      <c r="NHO2478" s="54"/>
      <c r="NHP2478" s="54"/>
      <c r="NHQ2478" s="60"/>
      <c r="NHR2478" s="60"/>
      <c r="NHS2478" s="60"/>
      <c r="NHT2478" s="60"/>
      <c r="NHU2478" s="63"/>
      <c r="NHV2478" s="61"/>
      <c r="NHW2478" s="54"/>
      <c r="NHX2478" s="54"/>
      <c r="NHY2478" s="60"/>
      <c r="NHZ2478" s="60"/>
      <c r="NIA2478" s="60"/>
      <c r="NIB2478" s="60"/>
      <c r="NIC2478" s="63"/>
      <c r="NID2478" s="61"/>
      <c r="NIE2478" s="54"/>
      <c r="NIF2478" s="54"/>
      <c r="NIG2478" s="60"/>
      <c r="NIH2478" s="60"/>
      <c r="NII2478" s="60"/>
      <c r="NIJ2478" s="60"/>
      <c r="NIK2478" s="63"/>
      <c r="NIL2478" s="61"/>
      <c r="NIM2478" s="54"/>
      <c r="NIN2478" s="54"/>
      <c r="NIO2478" s="60"/>
      <c r="NIP2478" s="60"/>
      <c r="NIQ2478" s="60"/>
      <c r="NIR2478" s="60"/>
      <c r="NIS2478" s="63"/>
      <c r="NIT2478" s="61"/>
      <c r="NIU2478" s="54"/>
      <c r="NIV2478" s="54"/>
      <c r="NIW2478" s="60"/>
      <c r="NIX2478" s="60"/>
      <c r="NIY2478" s="60"/>
      <c r="NIZ2478" s="60"/>
      <c r="NJA2478" s="63"/>
      <c r="NJB2478" s="61"/>
      <c r="NJC2478" s="54"/>
      <c r="NJD2478" s="54"/>
      <c r="NJE2478" s="60"/>
      <c r="NJF2478" s="60"/>
      <c r="NJG2478" s="60"/>
      <c r="NJH2478" s="60"/>
      <c r="NJI2478" s="63"/>
      <c r="NJJ2478" s="61"/>
      <c r="NJK2478" s="54"/>
      <c r="NJL2478" s="54"/>
      <c r="NJM2478" s="60"/>
      <c r="NJN2478" s="60"/>
      <c r="NJO2478" s="60"/>
      <c r="NJP2478" s="60"/>
      <c r="NJQ2478" s="63"/>
      <c r="NJR2478" s="61"/>
      <c r="NJS2478" s="54"/>
      <c r="NJT2478" s="54"/>
      <c r="NJU2478" s="60"/>
      <c r="NJV2478" s="60"/>
      <c r="NJW2478" s="60"/>
      <c r="NJX2478" s="60"/>
      <c r="NJY2478" s="63"/>
      <c r="NJZ2478" s="61"/>
      <c r="NKA2478" s="54"/>
      <c r="NKB2478" s="54"/>
      <c r="NKC2478" s="60"/>
      <c r="NKD2478" s="60"/>
      <c r="NKE2478" s="60"/>
      <c r="NKF2478" s="60"/>
      <c r="NKG2478" s="63"/>
      <c r="NKH2478" s="61"/>
      <c r="NKI2478" s="54"/>
      <c r="NKJ2478" s="54"/>
      <c r="NKK2478" s="60"/>
      <c r="NKL2478" s="60"/>
      <c r="NKM2478" s="60"/>
      <c r="NKN2478" s="60"/>
      <c r="NKO2478" s="63"/>
      <c r="NKP2478" s="61"/>
      <c r="NKQ2478" s="54"/>
      <c r="NKR2478" s="54"/>
      <c r="NKS2478" s="60"/>
      <c r="NKT2478" s="60"/>
      <c r="NKU2478" s="60"/>
      <c r="NKV2478" s="60"/>
      <c r="NKW2478" s="63"/>
      <c r="NKX2478" s="61"/>
      <c r="NKY2478" s="54"/>
      <c r="NKZ2478" s="54"/>
      <c r="NLA2478" s="60"/>
      <c r="NLB2478" s="60"/>
      <c r="NLC2478" s="60"/>
      <c r="NLD2478" s="60"/>
      <c r="NLE2478" s="63"/>
      <c r="NLF2478" s="61"/>
      <c r="NLG2478" s="54"/>
      <c r="NLH2478" s="54"/>
      <c r="NLI2478" s="60"/>
      <c r="NLJ2478" s="60"/>
      <c r="NLK2478" s="60"/>
      <c r="NLL2478" s="60"/>
      <c r="NLM2478" s="63"/>
      <c r="NLN2478" s="61"/>
      <c r="NLO2478" s="54"/>
      <c r="NLP2478" s="54"/>
      <c r="NLQ2478" s="60"/>
      <c r="NLR2478" s="60"/>
      <c r="NLS2478" s="60"/>
      <c r="NLT2478" s="60"/>
      <c r="NLU2478" s="63"/>
      <c r="NLV2478" s="61"/>
      <c r="NLW2478" s="54"/>
      <c r="NLX2478" s="54"/>
      <c r="NLY2478" s="60"/>
      <c r="NLZ2478" s="60"/>
      <c r="NMA2478" s="60"/>
      <c r="NMB2478" s="60"/>
      <c r="NMC2478" s="63"/>
      <c r="NMD2478" s="61"/>
      <c r="NME2478" s="54"/>
      <c r="NMF2478" s="54"/>
      <c r="NMG2478" s="60"/>
      <c r="NMH2478" s="60"/>
      <c r="NMI2478" s="60"/>
      <c r="NMJ2478" s="60"/>
      <c r="NMK2478" s="63"/>
      <c r="NML2478" s="61"/>
      <c r="NMM2478" s="54"/>
      <c r="NMN2478" s="54"/>
      <c r="NMO2478" s="60"/>
      <c r="NMP2478" s="60"/>
      <c r="NMQ2478" s="60"/>
      <c r="NMR2478" s="60"/>
      <c r="NMS2478" s="63"/>
      <c r="NMT2478" s="61"/>
      <c r="NMU2478" s="54"/>
      <c r="NMV2478" s="54"/>
      <c r="NMW2478" s="60"/>
      <c r="NMX2478" s="60"/>
      <c r="NMY2478" s="60"/>
      <c r="NMZ2478" s="60"/>
      <c r="NNA2478" s="63"/>
      <c r="NNB2478" s="61"/>
      <c r="NNC2478" s="54"/>
      <c r="NND2478" s="54"/>
      <c r="NNE2478" s="60"/>
      <c r="NNF2478" s="60"/>
      <c r="NNG2478" s="60"/>
      <c r="NNH2478" s="60"/>
      <c r="NNI2478" s="63"/>
      <c r="NNJ2478" s="61"/>
      <c r="NNK2478" s="54"/>
      <c r="NNL2478" s="54"/>
      <c r="NNM2478" s="60"/>
      <c r="NNN2478" s="60"/>
      <c r="NNO2478" s="60"/>
      <c r="NNP2478" s="60"/>
      <c r="NNQ2478" s="63"/>
      <c r="NNR2478" s="61"/>
      <c r="NNS2478" s="54"/>
      <c r="NNT2478" s="54"/>
      <c r="NNU2478" s="60"/>
      <c r="NNV2478" s="60"/>
      <c r="NNW2478" s="60"/>
      <c r="NNX2478" s="60"/>
      <c r="NNY2478" s="63"/>
      <c r="NNZ2478" s="61"/>
      <c r="NOA2478" s="54"/>
      <c r="NOB2478" s="54"/>
      <c r="NOC2478" s="60"/>
      <c r="NOD2478" s="60"/>
      <c r="NOE2478" s="60"/>
      <c r="NOF2478" s="60"/>
      <c r="NOG2478" s="63"/>
      <c r="NOH2478" s="61"/>
      <c r="NOI2478" s="54"/>
      <c r="NOJ2478" s="54"/>
      <c r="NOK2478" s="60"/>
      <c r="NOL2478" s="60"/>
      <c r="NOM2478" s="60"/>
      <c r="NON2478" s="60"/>
      <c r="NOO2478" s="63"/>
      <c r="NOP2478" s="61"/>
      <c r="NOQ2478" s="54"/>
      <c r="NOR2478" s="54"/>
      <c r="NOS2478" s="60"/>
      <c r="NOT2478" s="60"/>
      <c r="NOU2478" s="60"/>
      <c r="NOV2478" s="60"/>
      <c r="NOW2478" s="63"/>
      <c r="NOX2478" s="61"/>
      <c r="NOY2478" s="54"/>
      <c r="NOZ2478" s="54"/>
      <c r="NPA2478" s="60"/>
      <c r="NPB2478" s="60"/>
      <c r="NPC2478" s="60"/>
      <c r="NPD2478" s="60"/>
      <c r="NPE2478" s="63"/>
      <c r="NPF2478" s="61"/>
      <c r="NPG2478" s="54"/>
      <c r="NPH2478" s="54"/>
      <c r="NPI2478" s="60"/>
      <c r="NPJ2478" s="60"/>
      <c r="NPK2478" s="60"/>
      <c r="NPL2478" s="60"/>
      <c r="NPM2478" s="63"/>
      <c r="NPN2478" s="61"/>
      <c r="NPO2478" s="54"/>
      <c r="NPP2478" s="54"/>
      <c r="NPQ2478" s="60"/>
      <c r="NPR2478" s="60"/>
      <c r="NPS2478" s="60"/>
      <c r="NPT2478" s="60"/>
      <c r="NPU2478" s="63"/>
      <c r="NPV2478" s="61"/>
      <c r="NPW2478" s="54"/>
      <c r="NPX2478" s="54"/>
      <c r="NPY2478" s="60"/>
      <c r="NPZ2478" s="60"/>
      <c r="NQA2478" s="60"/>
      <c r="NQB2478" s="60"/>
      <c r="NQC2478" s="63"/>
      <c r="NQD2478" s="61"/>
      <c r="NQE2478" s="54"/>
      <c r="NQF2478" s="54"/>
      <c r="NQG2478" s="60"/>
      <c r="NQH2478" s="60"/>
      <c r="NQI2478" s="60"/>
      <c r="NQJ2478" s="60"/>
      <c r="NQK2478" s="63"/>
      <c r="NQL2478" s="61"/>
      <c r="NQM2478" s="54"/>
      <c r="NQN2478" s="54"/>
      <c r="NQO2478" s="60"/>
      <c r="NQP2478" s="60"/>
      <c r="NQQ2478" s="60"/>
      <c r="NQR2478" s="60"/>
      <c r="NQS2478" s="63"/>
      <c r="NQT2478" s="61"/>
      <c r="NQU2478" s="54"/>
      <c r="NQV2478" s="54"/>
      <c r="NQW2478" s="60"/>
      <c r="NQX2478" s="60"/>
      <c r="NQY2478" s="60"/>
      <c r="NQZ2478" s="60"/>
      <c r="NRA2478" s="63"/>
      <c r="NRB2478" s="61"/>
      <c r="NRC2478" s="54"/>
      <c r="NRD2478" s="54"/>
      <c r="NRE2478" s="60"/>
      <c r="NRF2478" s="60"/>
      <c r="NRG2478" s="60"/>
      <c r="NRH2478" s="60"/>
      <c r="NRI2478" s="63"/>
      <c r="NRJ2478" s="61"/>
      <c r="NRK2478" s="54"/>
      <c r="NRL2478" s="54"/>
      <c r="NRM2478" s="60"/>
      <c r="NRN2478" s="60"/>
      <c r="NRO2478" s="60"/>
      <c r="NRP2478" s="60"/>
      <c r="NRQ2478" s="63"/>
      <c r="NRR2478" s="61"/>
      <c r="NRS2478" s="54"/>
      <c r="NRT2478" s="54"/>
      <c r="NRU2478" s="60"/>
      <c r="NRV2478" s="60"/>
      <c r="NRW2478" s="60"/>
      <c r="NRX2478" s="60"/>
      <c r="NRY2478" s="63"/>
      <c r="NRZ2478" s="61"/>
      <c r="NSA2478" s="54"/>
      <c r="NSB2478" s="54"/>
      <c r="NSC2478" s="60"/>
      <c r="NSD2478" s="60"/>
      <c r="NSE2478" s="60"/>
      <c r="NSF2478" s="60"/>
      <c r="NSG2478" s="63"/>
      <c r="NSH2478" s="61"/>
      <c r="NSI2478" s="54"/>
      <c r="NSJ2478" s="54"/>
      <c r="NSK2478" s="60"/>
      <c r="NSL2478" s="60"/>
      <c r="NSM2478" s="60"/>
      <c r="NSN2478" s="60"/>
      <c r="NSO2478" s="63"/>
      <c r="NSP2478" s="61"/>
      <c r="NSQ2478" s="54"/>
      <c r="NSR2478" s="54"/>
      <c r="NSS2478" s="60"/>
      <c r="NST2478" s="60"/>
      <c r="NSU2478" s="60"/>
      <c r="NSV2478" s="60"/>
      <c r="NSW2478" s="63"/>
      <c r="NSX2478" s="61"/>
      <c r="NSY2478" s="54"/>
      <c r="NSZ2478" s="54"/>
      <c r="NTA2478" s="60"/>
      <c r="NTB2478" s="60"/>
      <c r="NTC2478" s="60"/>
      <c r="NTD2478" s="60"/>
      <c r="NTE2478" s="63"/>
      <c r="NTF2478" s="61"/>
      <c r="NTG2478" s="54"/>
      <c r="NTH2478" s="54"/>
      <c r="NTI2478" s="60"/>
      <c r="NTJ2478" s="60"/>
      <c r="NTK2478" s="60"/>
      <c r="NTL2478" s="60"/>
      <c r="NTM2478" s="63"/>
      <c r="NTN2478" s="61"/>
      <c r="NTO2478" s="54"/>
      <c r="NTP2478" s="54"/>
      <c r="NTQ2478" s="60"/>
      <c r="NTR2478" s="60"/>
      <c r="NTS2478" s="60"/>
      <c r="NTT2478" s="60"/>
      <c r="NTU2478" s="63"/>
      <c r="NTV2478" s="61"/>
      <c r="NTW2478" s="54"/>
      <c r="NTX2478" s="54"/>
      <c r="NTY2478" s="60"/>
      <c r="NTZ2478" s="60"/>
      <c r="NUA2478" s="60"/>
      <c r="NUB2478" s="60"/>
      <c r="NUC2478" s="63"/>
      <c r="NUD2478" s="61"/>
      <c r="NUE2478" s="54"/>
      <c r="NUF2478" s="54"/>
      <c r="NUG2478" s="60"/>
      <c r="NUH2478" s="60"/>
      <c r="NUI2478" s="60"/>
      <c r="NUJ2478" s="60"/>
      <c r="NUK2478" s="63"/>
      <c r="NUL2478" s="61"/>
      <c r="NUM2478" s="54"/>
      <c r="NUN2478" s="54"/>
      <c r="NUO2478" s="60"/>
      <c r="NUP2478" s="60"/>
      <c r="NUQ2478" s="60"/>
      <c r="NUR2478" s="60"/>
      <c r="NUS2478" s="63"/>
      <c r="NUT2478" s="61"/>
      <c r="NUU2478" s="54"/>
      <c r="NUV2478" s="54"/>
      <c r="NUW2478" s="60"/>
      <c r="NUX2478" s="60"/>
      <c r="NUY2478" s="60"/>
      <c r="NUZ2478" s="60"/>
      <c r="NVA2478" s="63"/>
      <c r="NVB2478" s="61"/>
      <c r="NVC2478" s="54"/>
      <c r="NVD2478" s="54"/>
      <c r="NVE2478" s="60"/>
      <c r="NVF2478" s="60"/>
      <c r="NVG2478" s="60"/>
      <c r="NVH2478" s="60"/>
      <c r="NVI2478" s="63"/>
      <c r="NVJ2478" s="61"/>
      <c r="NVK2478" s="54"/>
      <c r="NVL2478" s="54"/>
      <c r="NVM2478" s="60"/>
      <c r="NVN2478" s="60"/>
      <c r="NVO2478" s="60"/>
      <c r="NVP2478" s="60"/>
      <c r="NVQ2478" s="63"/>
      <c r="NVR2478" s="61"/>
      <c r="NVS2478" s="54"/>
      <c r="NVT2478" s="54"/>
      <c r="NVU2478" s="60"/>
      <c r="NVV2478" s="60"/>
      <c r="NVW2478" s="60"/>
      <c r="NVX2478" s="60"/>
      <c r="NVY2478" s="63"/>
      <c r="NVZ2478" s="61"/>
      <c r="NWA2478" s="54"/>
      <c r="NWB2478" s="54"/>
      <c r="NWC2478" s="60"/>
      <c r="NWD2478" s="60"/>
      <c r="NWE2478" s="60"/>
      <c r="NWF2478" s="60"/>
      <c r="NWG2478" s="63"/>
      <c r="NWH2478" s="61"/>
      <c r="NWI2478" s="54"/>
      <c r="NWJ2478" s="54"/>
      <c r="NWK2478" s="60"/>
      <c r="NWL2478" s="60"/>
      <c r="NWM2478" s="60"/>
      <c r="NWN2478" s="60"/>
      <c r="NWO2478" s="63"/>
      <c r="NWP2478" s="61"/>
      <c r="NWQ2478" s="54"/>
      <c r="NWR2478" s="54"/>
      <c r="NWS2478" s="60"/>
      <c r="NWT2478" s="60"/>
      <c r="NWU2478" s="60"/>
      <c r="NWV2478" s="60"/>
      <c r="NWW2478" s="63"/>
      <c r="NWX2478" s="61"/>
      <c r="NWY2478" s="54"/>
      <c r="NWZ2478" s="54"/>
      <c r="NXA2478" s="60"/>
      <c r="NXB2478" s="60"/>
      <c r="NXC2478" s="60"/>
      <c r="NXD2478" s="60"/>
      <c r="NXE2478" s="63"/>
      <c r="NXF2478" s="61"/>
      <c r="NXG2478" s="54"/>
      <c r="NXH2478" s="54"/>
      <c r="NXI2478" s="60"/>
      <c r="NXJ2478" s="60"/>
      <c r="NXK2478" s="60"/>
      <c r="NXL2478" s="60"/>
      <c r="NXM2478" s="63"/>
      <c r="NXN2478" s="61"/>
      <c r="NXO2478" s="54"/>
      <c r="NXP2478" s="54"/>
      <c r="NXQ2478" s="60"/>
      <c r="NXR2478" s="60"/>
      <c r="NXS2478" s="60"/>
      <c r="NXT2478" s="60"/>
      <c r="NXU2478" s="63"/>
      <c r="NXV2478" s="61"/>
      <c r="NXW2478" s="54"/>
      <c r="NXX2478" s="54"/>
      <c r="NXY2478" s="60"/>
      <c r="NXZ2478" s="60"/>
      <c r="NYA2478" s="60"/>
      <c r="NYB2478" s="60"/>
      <c r="NYC2478" s="63"/>
      <c r="NYD2478" s="61"/>
      <c r="NYE2478" s="54"/>
      <c r="NYF2478" s="54"/>
      <c r="NYG2478" s="60"/>
      <c r="NYH2478" s="60"/>
      <c r="NYI2478" s="60"/>
      <c r="NYJ2478" s="60"/>
      <c r="NYK2478" s="63"/>
      <c r="NYL2478" s="61"/>
      <c r="NYM2478" s="54"/>
      <c r="NYN2478" s="54"/>
      <c r="NYO2478" s="60"/>
      <c r="NYP2478" s="60"/>
      <c r="NYQ2478" s="60"/>
      <c r="NYR2478" s="60"/>
      <c r="NYS2478" s="63"/>
      <c r="NYT2478" s="61"/>
      <c r="NYU2478" s="54"/>
      <c r="NYV2478" s="54"/>
      <c r="NYW2478" s="60"/>
      <c r="NYX2478" s="60"/>
      <c r="NYY2478" s="60"/>
      <c r="NYZ2478" s="60"/>
      <c r="NZA2478" s="63"/>
      <c r="NZB2478" s="61"/>
      <c r="NZC2478" s="54"/>
      <c r="NZD2478" s="54"/>
      <c r="NZE2478" s="60"/>
      <c r="NZF2478" s="60"/>
      <c r="NZG2478" s="60"/>
      <c r="NZH2478" s="60"/>
      <c r="NZI2478" s="63"/>
      <c r="NZJ2478" s="61"/>
      <c r="NZK2478" s="54"/>
      <c r="NZL2478" s="54"/>
      <c r="NZM2478" s="60"/>
      <c r="NZN2478" s="60"/>
      <c r="NZO2478" s="60"/>
      <c r="NZP2478" s="60"/>
      <c r="NZQ2478" s="63"/>
      <c r="NZR2478" s="61"/>
      <c r="NZS2478" s="54"/>
      <c r="NZT2478" s="54"/>
      <c r="NZU2478" s="60"/>
      <c r="NZV2478" s="60"/>
      <c r="NZW2478" s="60"/>
      <c r="NZX2478" s="60"/>
      <c r="NZY2478" s="63"/>
      <c r="NZZ2478" s="61"/>
      <c r="OAA2478" s="54"/>
      <c r="OAB2478" s="54"/>
      <c r="OAC2478" s="60"/>
      <c r="OAD2478" s="60"/>
      <c r="OAE2478" s="60"/>
      <c r="OAF2478" s="60"/>
      <c r="OAG2478" s="63"/>
      <c r="OAH2478" s="61"/>
      <c r="OAI2478" s="54"/>
      <c r="OAJ2478" s="54"/>
      <c r="OAK2478" s="60"/>
      <c r="OAL2478" s="60"/>
      <c r="OAM2478" s="60"/>
      <c r="OAN2478" s="60"/>
      <c r="OAO2478" s="63"/>
      <c r="OAP2478" s="61"/>
      <c r="OAQ2478" s="54"/>
      <c r="OAR2478" s="54"/>
      <c r="OAS2478" s="60"/>
      <c r="OAT2478" s="60"/>
      <c r="OAU2478" s="60"/>
      <c r="OAV2478" s="60"/>
      <c r="OAW2478" s="63"/>
      <c r="OAX2478" s="61"/>
      <c r="OAY2478" s="54"/>
      <c r="OAZ2478" s="54"/>
      <c r="OBA2478" s="60"/>
      <c r="OBB2478" s="60"/>
      <c r="OBC2478" s="60"/>
      <c r="OBD2478" s="60"/>
      <c r="OBE2478" s="63"/>
      <c r="OBF2478" s="61"/>
      <c r="OBG2478" s="54"/>
      <c r="OBH2478" s="54"/>
      <c r="OBI2478" s="60"/>
      <c r="OBJ2478" s="60"/>
      <c r="OBK2478" s="60"/>
      <c r="OBL2478" s="60"/>
      <c r="OBM2478" s="63"/>
      <c r="OBN2478" s="61"/>
      <c r="OBO2478" s="54"/>
      <c r="OBP2478" s="54"/>
      <c r="OBQ2478" s="60"/>
      <c r="OBR2478" s="60"/>
      <c r="OBS2478" s="60"/>
      <c r="OBT2478" s="60"/>
      <c r="OBU2478" s="63"/>
      <c r="OBV2478" s="61"/>
      <c r="OBW2478" s="54"/>
      <c r="OBX2478" s="54"/>
      <c r="OBY2478" s="60"/>
      <c r="OBZ2478" s="60"/>
      <c r="OCA2478" s="60"/>
      <c r="OCB2478" s="60"/>
      <c r="OCC2478" s="63"/>
      <c r="OCD2478" s="61"/>
      <c r="OCE2478" s="54"/>
      <c r="OCF2478" s="54"/>
      <c r="OCG2478" s="60"/>
      <c r="OCH2478" s="60"/>
      <c r="OCI2478" s="60"/>
      <c r="OCJ2478" s="60"/>
      <c r="OCK2478" s="63"/>
      <c r="OCL2478" s="61"/>
      <c r="OCM2478" s="54"/>
      <c r="OCN2478" s="54"/>
      <c r="OCO2478" s="60"/>
      <c r="OCP2478" s="60"/>
      <c r="OCQ2478" s="60"/>
      <c r="OCR2478" s="60"/>
      <c r="OCS2478" s="63"/>
      <c r="OCT2478" s="61"/>
      <c r="OCU2478" s="54"/>
      <c r="OCV2478" s="54"/>
      <c r="OCW2478" s="60"/>
      <c r="OCX2478" s="60"/>
      <c r="OCY2478" s="60"/>
      <c r="OCZ2478" s="60"/>
      <c r="ODA2478" s="63"/>
      <c r="ODB2478" s="61"/>
      <c r="ODC2478" s="54"/>
      <c r="ODD2478" s="54"/>
      <c r="ODE2478" s="60"/>
      <c r="ODF2478" s="60"/>
      <c r="ODG2478" s="60"/>
      <c r="ODH2478" s="60"/>
      <c r="ODI2478" s="63"/>
      <c r="ODJ2478" s="61"/>
      <c r="ODK2478" s="54"/>
      <c r="ODL2478" s="54"/>
      <c r="ODM2478" s="60"/>
      <c r="ODN2478" s="60"/>
      <c r="ODO2478" s="60"/>
      <c r="ODP2478" s="60"/>
      <c r="ODQ2478" s="63"/>
      <c r="ODR2478" s="61"/>
      <c r="ODS2478" s="54"/>
      <c r="ODT2478" s="54"/>
      <c r="ODU2478" s="60"/>
      <c r="ODV2478" s="60"/>
      <c r="ODW2478" s="60"/>
      <c r="ODX2478" s="60"/>
      <c r="ODY2478" s="63"/>
      <c r="ODZ2478" s="61"/>
      <c r="OEA2478" s="54"/>
      <c r="OEB2478" s="54"/>
      <c r="OEC2478" s="60"/>
      <c r="OED2478" s="60"/>
      <c r="OEE2478" s="60"/>
      <c r="OEF2478" s="60"/>
      <c r="OEG2478" s="63"/>
      <c r="OEH2478" s="61"/>
      <c r="OEI2478" s="54"/>
      <c r="OEJ2478" s="54"/>
      <c r="OEK2478" s="60"/>
      <c r="OEL2478" s="60"/>
      <c r="OEM2478" s="60"/>
      <c r="OEN2478" s="60"/>
      <c r="OEO2478" s="63"/>
      <c r="OEP2478" s="61"/>
      <c r="OEQ2478" s="54"/>
      <c r="OER2478" s="54"/>
      <c r="OES2478" s="60"/>
      <c r="OET2478" s="60"/>
      <c r="OEU2478" s="60"/>
      <c r="OEV2478" s="60"/>
      <c r="OEW2478" s="63"/>
      <c r="OEX2478" s="61"/>
      <c r="OEY2478" s="54"/>
      <c r="OEZ2478" s="54"/>
      <c r="OFA2478" s="60"/>
      <c r="OFB2478" s="60"/>
      <c r="OFC2478" s="60"/>
      <c r="OFD2478" s="60"/>
      <c r="OFE2478" s="63"/>
      <c r="OFF2478" s="61"/>
      <c r="OFG2478" s="54"/>
      <c r="OFH2478" s="54"/>
      <c r="OFI2478" s="60"/>
      <c r="OFJ2478" s="60"/>
      <c r="OFK2478" s="60"/>
      <c r="OFL2478" s="60"/>
      <c r="OFM2478" s="63"/>
      <c r="OFN2478" s="61"/>
      <c r="OFO2478" s="54"/>
      <c r="OFP2478" s="54"/>
      <c r="OFQ2478" s="60"/>
      <c r="OFR2478" s="60"/>
      <c r="OFS2478" s="60"/>
      <c r="OFT2478" s="60"/>
      <c r="OFU2478" s="63"/>
      <c r="OFV2478" s="61"/>
      <c r="OFW2478" s="54"/>
      <c r="OFX2478" s="54"/>
      <c r="OFY2478" s="60"/>
      <c r="OFZ2478" s="60"/>
      <c r="OGA2478" s="60"/>
      <c r="OGB2478" s="60"/>
      <c r="OGC2478" s="63"/>
      <c r="OGD2478" s="61"/>
      <c r="OGE2478" s="54"/>
      <c r="OGF2478" s="54"/>
      <c r="OGG2478" s="60"/>
      <c r="OGH2478" s="60"/>
      <c r="OGI2478" s="60"/>
      <c r="OGJ2478" s="60"/>
      <c r="OGK2478" s="63"/>
      <c r="OGL2478" s="61"/>
      <c r="OGM2478" s="54"/>
      <c r="OGN2478" s="54"/>
      <c r="OGO2478" s="60"/>
      <c r="OGP2478" s="60"/>
      <c r="OGQ2478" s="60"/>
      <c r="OGR2478" s="60"/>
      <c r="OGS2478" s="63"/>
      <c r="OGT2478" s="61"/>
      <c r="OGU2478" s="54"/>
      <c r="OGV2478" s="54"/>
      <c r="OGW2478" s="60"/>
      <c r="OGX2478" s="60"/>
      <c r="OGY2478" s="60"/>
      <c r="OGZ2478" s="60"/>
      <c r="OHA2478" s="63"/>
      <c r="OHB2478" s="61"/>
      <c r="OHC2478" s="54"/>
      <c r="OHD2478" s="54"/>
      <c r="OHE2478" s="60"/>
      <c r="OHF2478" s="60"/>
      <c r="OHG2478" s="60"/>
      <c r="OHH2478" s="60"/>
      <c r="OHI2478" s="63"/>
      <c r="OHJ2478" s="61"/>
      <c r="OHK2478" s="54"/>
      <c r="OHL2478" s="54"/>
      <c r="OHM2478" s="60"/>
      <c r="OHN2478" s="60"/>
      <c r="OHO2478" s="60"/>
      <c r="OHP2478" s="60"/>
      <c r="OHQ2478" s="63"/>
      <c r="OHR2478" s="61"/>
      <c r="OHS2478" s="54"/>
      <c r="OHT2478" s="54"/>
      <c r="OHU2478" s="60"/>
      <c r="OHV2478" s="60"/>
      <c r="OHW2478" s="60"/>
      <c r="OHX2478" s="60"/>
      <c r="OHY2478" s="63"/>
      <c r="OHZ2478" s="61"/>
      <c r="OIA2478" s="54"/>
      <c r="OIB2478" s="54"/>
      <c r="OIC2478" s="60"/>
      <c r="OID2478" s="60"/>
      <c r="OIE2478" s="60"/>
      <c r="OIF2478" s="60"/>
      <c r="OIG2478" s="63"/>
      <c r="OIH2478" s="61"/>
      <c r="OII2478" s="54"/>
      <c r="OIJ2478" s="54"/>
      <c r="OIK2478" s="60"/>
      <c r="OIL2478" s="60"/>
      <c r="OIM2478" s="60"/>
      <c r="OIN2478" s="60"/>
      <c r="OIO2478" s="63"/>
      <c r="OIP2478" s="61"/>
      <c r="OIQ2478" s="54"/>
      <c r="OIR2478" s="54"/>
      <c r="OIS2478" s="60"/>
      <c r="OIT2478" s="60"/>
      <c r="OIU2478" s="60"/>
      <c r="OIV2478" s="60"/>
      <c r="OIW2478" s="63"/>
      <c r="OIX2478" s="61"/>
      <c r="OIY2478" s="54"/>
      <c r="OIZ2478" s="54"/>
      <c r="OJA2478" s="60"/>
      <c r="OJB2478" s="60"/>
      <c r="OJC2478" s="60"/>
      <c r="OJD2478" s="60"/>
      <c r="OJE2478" s="63"/>
      <c r="OJF2478" s="61"/>
      <c r="OJG2478" s="54"/>
      <c r="OJH2478" s="54"/>
      <c r="OJI2478" s="60"/>
      <c r="OJJ2478" s="60"/>
      <c r="OJK2478" s="60"/>
      <c r="OJL2478" s="60"/>
      <c r="OJM2478" s="63"/>
      <c r="OJN2478" s="61"/>
      <c r="OJO2478" s="54"/>
      <c r="OJP2478" s="54"/>
      <c r="OJQ2478" s="60"/>
      <c r="OJR2478" s="60"/>
      <c r="OJS2478" s="60"/>
      <c r="OJT2478" s="60"/>
      <c r="OJU2478" s="63"/>
      <c r="OJV2478" s="61"/>
      <c r="OJW2478" s="54"/>
      <c r="OJX2478" s="54"/>
      <c r="OJY2478" s="60"/>
      <c r="OJZ2478" s="60"/>
      <c r="OKA2478" s="60"/>
      <c r="OKB2478" s="60"/>
      <c r="OKC2478" s="63"/>
      <c r="OKD2478" s="61"/>
      <c r="OKE2478" s="54"/>
      <c r="OKF2478" s="54"/>
      <c r="OKG2478" s="60"/>
      <c r="OKH2478" s="60"/>
      <c r="OKI2478" s="60"/>
      <c r="OKJ2478" s="60"/>
      <c r="OKK2478" s="63"/>
      <c r="OKL2478" s="61"/>
      <c r="OKM2478" s="54"/>
      <c r="OKN2478" s="54"/>
      <c r="OKO2478" s="60"/>
      <c r="OKP2478" s="60"/>
      <c r="OKQ2478" s="60"/>
      <c r="OKR2478" s="60"/>
      <c r="OKS2478" s="63"/>
      <c r="OKT2478" s="61"/>
      <c r="OKU2478" s="54"/>
      <c r="OKV2478" s="54"/>
      <c r="OKW2478" s="60"/>
      <c r="OKX2478" s="60"/>
      <c r="OKY2478" s="60"/>
      <c r="OKZ2478" s="60"/>
      <c r="OLA2478" s="63"/>
      <c r="OLB2478" s="61"/>
      <c r="OLC2478" s="54"/>
      <c r="OLD2478" s="54"/>
      <c r="OLE2478" s="60"/>
      <c r="OLF2478" s="60"/>
      <c r="OLG2478" s="60"/>
      <c r="OLH2478" s="60"/>
      <c r="OLI2478" s="63"/>
      <c r="OLJ2478" s="61"/>
      <c r="OLK2478" s="54"/>
      <c r="OLL2478" s="54"/>
      <c r="OLM2478" s="60"/>
      <c r="OLN2478" s="60"/>
      <c r="OLO2478" s="60"/>
      <c r="OLP2478" s="60"/>
      <c r="OLQ2478" s="63"/>
      <c r="OLR2478" s="61"/>
      <c r="OLS2478" s="54"/>
      <c r="OLT2478" s="54"/>
      <c r="OLU2478" s="60"/>
      <c r="OLV2478" s="60"/>
      <c r="OLW2478" s="60"/>
      <c r="OLX2478" s="60"/>
      <c r="OLY2478" s="63"/>
      <c r="OLZ2478" s="61"/>
      <c r="OMA2478" s="54"/>
      <c r="OMB2478" s="54"/>
      <c r="OMC2478" s="60"/>
      <c r="OMD2478" s="60"/>
      <c r="OME2478" s="60"/>
      <c r="OMF2478" s="60"/>
      <c r="OMG2478" s="63"/>
      <c r="OMH2478" s="61"/>
      <c r="OMI2478" s="54"/>
      <c r="OMJ2478" s="54"/>
      <c r="OMK2478" s="60"/>
      <c r="OML2478" s="60"/>
      <c r="OMM2478" s="60"/>
      <c r="OMN2478" s="60"/>
      <c r="OMO2478" s="63"/>
      <c r="OMP2478" s="61"/>
      <c r="OMQ2478" s="54"/>
      <c r="OMR2478" s="54"/>
      <c r="OMS2478" s="60"/>
      <c r="OMT2478" s="60"/>
      <c r="OMU2478" s="60"/>
      <c r="OMV2478" s="60"/>
      <c r="OMW2478" s="63"/>
      <c r="OMX2478" s="61"/>
      <c r="OMY2478" s="54"/>
      <c r="OMZ2478" s="54"/>
      <c r="ONA2478" s="60"/>
      <c r="ONB2478" s="60"/>
      <c r="ONC2478" s="60"/>
      <c r="OND2478" s="60"/>
      <c r="ONE2478" s="63"/>
      <c r="ONF2478" s="61"/>
      <c r="ONG2478" s="54"/>
      <c r="ONH2478" s="54"/>
      <c r="ONI2478" s="60"/>
      <c r="ONJ2478" s="60"/>
      <c r="ONK2478" s="60"/>
      <c r="ONL2478" s="60"/>
      <c r="ONM2478" s="63"/>
      <c r="ONN2478" s="61"/>
      <c r="ONO2478" s="54"/>
      <c r="ONP2478" s="54"/>
      <c r="ONQ2478" s="60"/>
      <c r="ONR2478" s="60"/>
      <c r="ONS2478" s="60"/>
      <c r="ONT2478" s="60"/>
      <c r="ONU2478" s="63"/>
      <c r="ONV2478" s="61"/>
      <c r="ONW2478" s="54"/>
      <c r="ONX2478" s="54"/>
      <c r="ONY2478" s="60"/>
      <c r="ONZ2478" s="60"/>
      <c r="OOA2478" s="60"/>
      <c r="OOB2478" s="60"/>
      <c r="OOC2478" s="63"/>
      <c r="OOD2478" s="61"/>
      <c r="OOE2478" s="54"/>
      <c r="OOF2478" s="54"/>
      <c r="OOG2478" s="60"/>
      <c r="OOH2478" s="60"/>
      <c r="OOI2478" s="60"/>
      <c r="OOJ2478" s="60"/>
      <c r="OOK2478" s="63"/>
      <c r="OOL2478" s="61"/>
      <c r="OOM2478" s="54"/>
      <c r="OON2478" s="54"/>
      <c r="OOO2478" s="60"/>
      <c r="OOP2478" s="60"/>
      <c r="OOQ2478" s="60"/>
      <c r="OOR2478" s="60"/>
      <c r="OOS2478" s="63"/>
      <c r="OOT2478" s="61"/>
      <c r="OOU2478" s="54"/>
      <c r="OOV2478" s="54"/>
      <c r="OOW2478" s="60"/>
      <c r="OOX2478" s="60"/>
      <c r="OOY2478" s="60"/>
      <c r="OOZ2478" s="60"/>
      <c r="OPA2478" s="63"/>
      <c r="OPB2478" s="61"/>
      <c r="OPC2478" s="54"/>
      <c r="OPD2478" s="54"/>
      <c r="OPE2478" s="60"/>
      <c r="OPF2478" s="60"/>
      <c r="OPG2478" s="60"/>
      <c r="OPH2478" s="60"/>
      <c r="OPI2478" s="63"/>
      <c r="OPJ2478" s="61"/>
      <c r="OPK2478" s="54"/>
      <c r="OPL2478" s="54"/>
      <c r="OPM2478" s="60"/>
      <c r="OPN2478" s="60"/>
      <c r="OPO2478" s="60"/>
      <c r="OPP2478" s="60"/>
      <c r="OPQ2478" s="63"/>
      <c r="OPR2478" s="61"/>
      <c r="OPS2478" s="54"/>
      <c r="OPT2478" s="54"/>
      <c r="OPU2478" s="60"/>
      <c r="OPV2478" s="60"/>
      <c r="OPW2478" s="60"/>
      <c r="OPX2478" s="60"/>
      <c r="OPY2478" s="63"/>
      <c r="OPZ2478" s="61"/>
      <c r="OQA2478" s="54"/>
      <c r="OQB2478" s="54"/>
      <c r="OQC2478" s="60"/>
      <c r="OQD2478" s="60"/>
      <c r="OQE2478" s="60"/>
      <c r="OQF2478" s="60"/>
      <c r="OQG2478" s="63"/>
      <c r="OQH2478" s="61"/>
      <c r="OQI2478" s="54"/>
      <c r="OQJ2478" s="54"/>
      <c r="OQK2478" s="60"/>
      <c r="OQL2478" s="60"/>
      <c r="OQM2478" s="60"/>
      <c r="OQN2478" s="60"/>
      <c r="OQO2478" s="63"/>
      <c r="OQP2478" s="61"/>
      <c r="OQQ2478" s="54"/>
      <c r="OQR2478" s="54"/>
      <c r="OQS2478" s="60"/>
      <c r="OQT2478" s="60"/>
      <c r="OQU2478" s="60"/>
      <c r="OQV2478" s="60"/>
      <c r="OQW2478" s="63"/>
      <c r="OQX2478" s="61"/>
      <c r="OQY2478" s="54"/>
      <c r="OQZ2478" s="54"/>
      <c r="ORA2478" s="60"/>
      <c r="ORB2478" s="60"/>
      <c r="ORC2478" s="60"/>
      <c r="ORD2478" s="60"/>
      <c r="ORE2478" s="63"/>
      <c r="ORF2478" s="61"/>
      <c r="ORG2478" s="54"/>
      <c r="ORH2478" s="54"/>
      <c r="ORI2478" s="60"/>
      <c r="ORJ2478" s="60"/>
      <c r="ORK2478" s="60"/>
      <c r="ORL2478" s="60"/>
      <c r="ORM2478" s="63"/>
      <c r="ORN2478" s="61"/>
      <c r="ORO2478" s="54"/>
      <c r="ORP2478" s="54"/>
      <c r="ORQ2478" s="60"/>
      <c r="ORR2478" s="60"/>
      <c r="ORS2478" s="60"/>
      <c r="ORT2478" s="60"/>
      <c r="ORU2478" s="63"/>
      <c r="ORV2478" s="61"/>
      <c r="ORW2478" s="54"/>
      <c r="ORX2478" s="54"/>
      <c r="ORY2478" s="60"/>
      <c r="ORZ2478" s="60"/>
      <c r="OSA2478" s="60"/>
      <c r="OSB2478" s="60"/>
      <c r="OSC2478" s="63"/>
      <c r="OSD2478" s="61"/>
      <c r="OSE2478" s="54"/>
      <c r="OSF2478" s="54"/>
      <c r="OSG2478" s="60"/>
      <c r="OSH2478" s="60"/>
      <c r="OSI2478" s="60"/>
      <c r="OSJ2478" s="60"/>
      <c r="OSK2478" s="63"/>
      <c r="OSL2478" s="61"/>
      <c r="OSM2478" s="54"/>
      <c r="OSN2478" s="54"/>
      <c r="OSO2478" s="60"/>
      <c r="OSP2478" s="60"/>
      <c r="OSQ2478" s="60"/>
      <c r="OSR2478" s="60"/>
      <c r="OSS2478" s="63"/>
      <c r="OST2478" s="61"/>
      <c r="OSU2478" s="54"/>
      <c r="OSV2478" s="54"/>
      <c r="OSW2478" s="60"/>
      <c r="OSX2478" s="60"/>
      <c r="OSY2478" s="60"/>
      <c r="OSZ2478" s="60"/>
      <c r="OTA2478" s="63"/>
      <c r="OTB2478" s="61"/>
      <c r="OTC2478" s="54"/>
      <c r="OTD2478" s="54"/>
      <c r="OTE2478" s="60"/>
      <c r="OTF2478" s="60"/>
      <c r="OTG2478" s="60"/>
      <c r="OTH2478" s="60"/>
      <c r="OTI2478" s="63"/>
      <c r="OTJ2478" s="61"/>
      <c r="OTK2478" s="54"/>
      <c r="OTL2478" s="54"/>
      <c r="OTM2478" s="60"/>
      <c r="OTN2478" s="60"/>
      <c r="OTO2478" s="60"/>
      <c r="OTP2478" s="60"/>
      <c r="OTQ2478" s="63"/>
      <c r="OTR2478" s="61"/>
      <c r="OTS2478" s="54"/>
      <c r="OTT2478" s="54"/>
      <c r="OTU2478" s="60"/>
      <c r="OTV2478" s="60"/>
      <c r="OTW2478" s="60"/>
      <c r="OTX2478" s="60"/>
      <c r="OTY2478" s="63"/>
      <c r="OTZ2478" s="61"/>
      <c r="OUA2478" s="54"/>
      <c r="OUB2478" s="54"/>
      <c r="OUC2478" s="60"/>
      <c r="OUD2478" s="60"/>
      <c r="OUE2478" s="60"/>
      <c r="OUF2478" s="60"/>
      <c r="OUG2478" s="63"/>
      <c r="OUH2478" s="61"/>
      <c r="OUI2478" s="54"/>
      <c r="OUJ2478" s="54"/>
      <c r="OUK2478" s="60"/>
      <c r="OUL2478" s="60"/>
      <c r="OUM2478" s="60"/>
      <c r="OUN2478" s="60"/>
      <c r="OUO2478" s="63"/>
      <c r="OUP2478" s="61"/>
      <c r="OUQ2478" s="54"/>
      <c r="OUR2478" s="54"/>
      <c r="OUS2478" s="60"/>
      <c r="OUT2478" s="60"/>
      <c r="OUU2478" s="60"/>
      <c r="OUV2478" s="60"/>
      <c r="OUW2478" s="63"/>
      <c r="OUX2478" s="61"/>
      <c r="OUY2478" s="54"/>
      <c r="OUZ2478" s="54"/>
      <c r="OVA2478" s="60"/>
      <c r="OVB2478" s="60"/>
      <c r="OVC2478" s="60"/>
      <c r="OVD2478" s="60"/>
      <c r="OVE2478" s="63"/>
      <c r="OVF2478" s="61"/>
      <c r="OVG2478" s="54"/>
      <c r="OVH2478" s="54"/>
      <c r="OVI2478" s="60"/>
      <c r="OVJ2478" s="60"/>
      <c r="OVK2478" s="60"/>
      <c r="OVL2478" s="60"/>
      <c r="OVM2478" s="63"/>
      <c r="OVN2478" s="61"/>
      <c r="OVO2478" s="54"/>
      <c r="OVP2478" s="54"/>
      <c r="OVQ2478" s="60"/>
      <c r="OVR2478" s="60"/>
      <c r="OVS2478" s="60"/>
      <c r="OVT2478" s="60"/>
      <c r="OVU2478" s="63"/>
      <c r="OVV2478" s="61"/>
      <c r="OVW2478" s="54"/>
      <c r="OVX2478" s="54"/>
      <c r="OVY2478" s="60"/>
      <c r="OVZ2478" s="60"/>
      <c r="OWA2478" s="60"/>
      <c r="OWB2478" s="60"/>
      <c r="OWC2478" s="63"/>
      <c r="OWD2478" s="61"/>
      <c r="OWE2478" s="54"/>
      <c r="OWF2478" s="54"/>
      <c r="OWG2478" s="60"/>
      <c r="OWH2478" s="60"/>
      <c r="OWI2478" s="60"/>
      <c r="OWJ2478" s="60"/>
      <c r="OWK2478" s="63"/>
      <c r="OWL2478" s="61"/>
      <c r="OWM2478" s="54"/>
      <c r="OWN2478" s="54"/>
      <c r="OWO2478" s="60"/>
      <c r="OWP2478" s="60"/>
      <c r="OWQ2478" s="60"/>
      <c r="OWR2478" s="60"/>
      <c r="OWS2478" s="63"/>
      <c r="OWT2478" s="61"/>
      <c r="OWU2478" s="54"/>
      <c r="OWV2478" s="54"/>
      <c r="OWW2478" s="60"/>
      <c r="OWX2478" s="60"/>
      <c r="OWY2478" s="60"/>
      <c r="OWZ2478" s="60"/>
      <c r="OXA2478" s="63"/>
      <c r="OXB2478" s="61"/>
      <c r="OXC2478" s="54"/>
      <c r="OXD2478" s="54"/>
      <c r="OXE2478" s="60"/>
      <c r="OXF2478" s="60"/>
      <c r="OXG2478" s="60"/>
      <c r="OXH2478" s="60"/>
      <c r="OXI2478" s="63"/>
      <c r="OXJ2478" s="61"/>
      <c r="OXK2478" s="54"/>
      <c r="OXL2478" s="54"/>
      <c r="OXM2478" s="60"/>
      <c r="OXN2478" s="60"/>
      <c r="OXO2478" s="60"/>
      <c r="OXP2478" s="60"/>
      <c r="OXQ2478" s="63"/>
      <c r="OXR2478" s="61"/>
      <c r="OXS2478" s="54"/>
      <c r="OXT2478" s="54"/>
      <c r="OXU2478" s="60"/>
      <c r="OXV2478" s="60"/>
      <c r="OXW2478" s="60"/>
      <c r="OXX2478" s="60"/>
      <c r="OXY2478" s="63"/>
      <c r="OXZ2478" s="61"/>
      <c r="OYA2478" s="54"/>
      <c r="OYB2478" s="54"/>
      <c r="OYC2478" s="60"/>
      <c r="OYD2478" s="60"/>
      <c r="OYE2478" s="60"/>
      <c r="OYF2478" s="60"/>
      <c r="OYG2478" s="63"/>
      <c r="OYH2478" s="61"/>
      <c r="OYI2478" s="54"/>
      <c r="OYJ2478" s="54"/>
      <c r="OYK2478" s="60"/>
      <c r="OYL2478" s="60"/>
      <c r="OYM2478" s="60"/>
      <c r="OYN2478" s="60"/>
      <c r="OYO2478" s="63"/>
      <c r="OYP2478" s="61"/>
      <c r="OYQ2478" s="54"/>
      <c r="OYR2478" s="54"/>
      <c r="OYS2478" s="60"/>
      <c r="OYT2478" s="60"/>
      <c r="OYU2478" s="60"/>
      <c r="OYV2478" s="60"/>
      <c r="OYW2478" s="63"/>
      <c r="OYX2478" s="61"/>
      <c r="OYY2478" s="54"/>
      <c r="OYZ2478" s="54"/>
      <c r="OZA2478" s="60"/>
      <c r="OZB2478" s="60"/>
      <c r="OZC2478" s="60"/>
      <c r="OZD2478" s="60"/>
      <c r="OZE2478" s="63"/>
      <c r="OZF2478" s="61"/>
      <c r="OZG2478" s="54"/>
      <c r="OZH2478" s="54"/>
      <c r="OZI2478" s="60"/>
      <c r="OZJ2478" s="60"/>
      <c r="OZK2478" s="60"/>
      <c r="OZL2478" s="60"/>
      <c r="OZM2478" s="63"/>
      <c r="OZN2478" s="61"/>
      <c r="OZO2478" s="54"/>
      <c r="OZP2478" s="54"/>
      <c r="OZQ2478" s="60"/>
      <c r="OZR2478" s="60"/>
      <c r="OZS2478" s="60"/>
      <c r="OZT2478" s="60"/>
      <c r="OZU2478" s="63"/>
      <c r="OZV2478" s="61"/>
      <c r="OZW2478" s="54"/>
      <c r="OZX2478" s="54"/>
      <c r="OZY2478" s="60"/>
      <c r="OZZ2478" s="60"/>
      <c r="PAA2478" s="60"/>
      <c r="PAB2478" s="60"/>
      <c r="PAC2478" s="63"/>
      <c r="PAD2478" s="61"/>
      <c r="PAE2478" s="54"/>
      <c r="PAF2478" s="54"/>
      <c r="PAG2478" s="60"/>
      <c r="PAH2478" s="60"/>
      <c r="PAI2478" s="60"/>
      <c r="PAJ2478" s="60"/>
      <c r="PAK2478" s="63"/>
      <c r="PAL2478" s="61"/>
      <c r="PAM2478" s="54"/>
      <c r="PAN2478" s="54"/>
      <c r="PAO2478" s="60"/>
      <c r="PAP2478" s="60"/>
      <c r="PAQ2478" s="60"/>
      <c r="PAR2478" s="60"/>
      <c r="PAS2478" s="63"/>
      <c r="PAT2478" s="61"/>
      <c r="PAU2478" s="54"/>
      <c r="PAV2478" s="54"/>
      <c r="PAW2478" s="60"/>
      <c r="PAX2478" s="60"/>
      <c r="PAY2478" s="60"/>
      <c r="PAZ2478" s="60"/>
      <c r="PBA2478" s="63"/>
      <c r="PBB2478" s="61"/>
      <c r="PBC2478" s="54"/>
      <c r="PBD2478" s="54"/>
      <c r="PBE2478" s="60"/>
      <c r="PBF2478" s="60"/>
      <c r="PBG2478" s="60"/>
      <c r="PBH2478" s="60"/>
      <c r="PBI2478" s="63"/>
      <c r="PBJ2478" s="61"/>
      <c r="PBK2478" s="54"/>
      <c r="PBL2478" s="54"/>
      <c r="PBM2478" s="60"/>
      <c r="PBN2478" s="60"/>
      <c r="PBO2478" s="60"/>
      <c r="PBP2478" s="60"/>
      <c r="PBQ2478" s="63"/>
      <c r="PBR2478" s="61"/>
      <c r="PBS2478" s="54"/>
      <c r="PBT2478" s="54"/>
      <c r="PBU2478" s="60"/>
      <c r="PBV2478" s="60"/>
      <c r="PBW2478" s="60"/>
      <c r="PBX2478" s="60"/>
      <c r="PBY2478" s="63"/>
      <c r="PBZ2478" s="61"/>
      <c r="PCA2478" s="54"/>
      <c r="PCB2478" s="54"/>
      <c r="PCC2478" s="60"/>
      <c r="PCD2478" s="60"/>
      <c r="PCE2478" s="60"/>
      <c r="PCF2478" s="60"/>
      <c r="PCG2478" s="63"/>
      <c r="PCH2478" s="61"/>
      <c r="PCI2478" s="54"/>
      <c r="PCJ2478" s="54"/>
      <c r="PCK2478" s="60"/>
      <c r="PCL2478" s="60"/>
      <c r="PCM2478" s="60"/>
      <c r="PCN2478" s="60"/>
      <c r="PCO2478" s="63"/>
      <c r="PCP2478" s="61"/>
      <c r="PCQ2478" s="54"/>
      <c r="PCR2478" s="54"/>
      <c r="PCS2478" s="60"/>
      <c r="PCT2478" s="60"/>
      <c r="PCU2478" s="60"/>
      <c r="PCV2478" s="60"/>
      <c r="PCW2478" s="63"/>
      <c r="PCX2478" s="61"/>
      <c r="PCY2478" s="54"/>
      <c r="PCZ2478" s="54"/>
      <c r="PDA2478" s="60"/>
      <c r="PDB2478" s="60"/>
      <c r="PDC2478" s="60"/>
      <c r="PDD2478" s="60"/>
      <c r="PDE2478" s="63"/>
      <c r="PDF2478" s="61"/>
      <c r="PDG2478" s="54"/>
      <c r="PDH2478" s="54"/>
      <c r="PDI2478" s="60"/>
      <c r="PDJ2478" s="60"/>
      <c r="PDK2478" s="60"/>
      <c r="PDL2478" s="60"/>
      <c r="PDM2478" s="63"/>
      <c r="PDN2478" s="61"/>
      <c r="PDO2478" s="54"/>
      <c r="PDP2478" s="54"/>
      <c r="PDQ2478" s="60"/>
      <c r="PDR2478" s="60"/>
      <c r="PDS2478" s="60"/>
      <c r="PDT2478" s="60"/>
      <c r="PDU2478" s="63"/>
      <c r="PDV2478" s="61"/>
      <c r="PDW2478" s="54"/>
      <c r="PDX2478" s="54"/>
      <c r="PDY2478" s="60"/>
      <c r="PDZ2478" s="60"/>
      <c r="PEA2478" s="60"/>
      <c r="PEB2478" s="60"/>
      <c r="PEC2478" s="63"/>
      <c r="PED2478" s="61"/>
      <c r="PEE2478" s="54"/>
      <c r="PEF2478" s="54"/>
      <c r="PEG2478" s="60"/>
      <c r="PEH2478" s="60"/>
      <c r="PEI2478" s="60"/>
      <c r="PEJ2478" s="60"/>
      <c r="PEK2478" s="63"/>
      <c r="PEL2478" s="61"/>
      <c r="PEM2478" s="54"/>
      <c r="PEN2478" s="54"/>
      <c r="PEO2478" s="60"/>
      <c r="PEP2478" s="60"/>
      <c r="PEQ2478" s="60"/>
      <c r="PER2478" s="60"/>
      <c r="PES2478" s="63"/>
      <c r="PET2478" s="61"/>
      <c r="PEU2478" s="54"/>
      <c r="PEV2478" s="54"/>
      <c r="PEW2478" s="60"/>
      <c r="PEX2478" s="60"/>
      <c r="PEY2478" s="60"/>
      <c r="PEZ2478" s="60"/>
      <c r="PFA2478" s="63"/>
      <c r="PFB2478" s="61"/>
      <c r="PFC2478" s="54"/>
      <c r="PFD2478" s="54"/>
      <c r="PFE2478" s="60"/>
      <c r="PFF2478" s="60"/>
      <c r="PFG2478" s="60"/>
      <c r="PFH2478" s="60"/>
      <c r="PFI2478" s="63"/>
      <c r="PFJ2478" s="61"/>
      <c r="PFK2478" s="54"/>
      <c r="PFL2478" s="54"/>
      <c r="PFM2478" s="60"/>
      <c r="PFN2478" s="60"/>
      <c r="PFO2478" s="60"/>
      <c r="PFP2478" s="60"/>
      <c r="PFQ2478" s="63"/>
      <c r="PFR2478" s="61"/>
      <c r="PFS2478" s="54"/>
      <c r="PFT2478" s="54"/>
      <c r="PFU2478" s="60"/>
      <c r="PFV2478" s="60"/>
      <c r="PFW2478" s="60"/>
      <c r="PFX2478" s="60"/>
      <c r="PFY2478" s="63"/>
      <c r="PFZ2478" s="61"/>
      <c r="PGA2478" s="54"/>
      <c r="PGB2478" s="54"/>
      <c r="PGC2478" s="60"/>
      <c r="PGD2478" s="60"/>
      <c r="PGE2478" s="60"/>
      <c r="PGF2478" s="60"/>
      <c r="PGG2478" s="63"/>
      <c r="PGH2478" s="61"/>
      <c r="PGI2478" s="54"/>
      <c r="PGJ2478" s="54"/>
      <c r="PGK2478" s="60"/>
      <c r="PGL2478" s="60"/>
      <c r="PGM2478" s="60"/>
      <c r="PGN2478" s="60"/>
      <c r="PGO2478" s="63"/>
      <c r="PGP2478" s="61"/>
      <c r="PGQ2478" s="54"/>
      <c r="PGR2478" s="54"/>
      <c r="PGS2478" s="60"/>
      <c r="PGT2478" s="60"/>
      <c r="PGU2478" s="60"/>
      <c r="PGV2478" s="60"/>
      <c r="PGW2478" s="63"/>
      <c r="PGX2478" s="61"/>
      <c r="PGY2478" s="54"/>
      <c r="PGZ2478" s="54"/>
      <c r="PHA2478" s="60"/>
      <c r="PHB2478" s="60"/>
      <c r="PHC2478" s="60"/>
      <c r="PHD2478" s="60"/>
      <c r="PHE2478" s="63"/>
      <c r="PHF2478" s="61"/>
      <c r="PHG2478" s="54"/>
      <c r="PHH2478" s="54"/>
      <c r="PHI2478" s="60"/>
      <c r="PHJ2478" s="60"/>
      <c r="PHK2478" s="60"/>
      <c r="PHL2478" s="60"/>
      <c r="PHM2478" s="63"/>
      <c r="PHN2478" s="61"/>
      <c r="PHO2478" s="54"/>
      <c r="PHP2478" s="54"/>
      <c r="PHQ2478" s="60"/>
      <c r="PHR2478" s="60"/>
      <c r="PHS2478" s="60"/>
      <c r="PHT2478" s="60"/>
      <c r="PHU2478" s="63"/>
      <c r="PHV2478" s="61"/>
      <c r="PHW2478" s="54"/>
      <c r="PHX2478" s="54"/>
      <c r="PHY2478" s="60"/>
      <c r="PHZ2478" s="60"/>
      <c r="PIA2478" s="60"/>
      <c r="PIB2478" s="60"/>
      <c r="PIC2478" s="63"/>
      <c r="PID2478" s="61"/>
      <c r="PIE2478" s="54"/>
      <c r="PIF2478" s="54"/>
      <c r="PIG2478" s="60"/>
      <c r="PIH2478" s="60"/>
      <c r="PII2478" s="60"/>
      <c r="PIJ2478" s="60"/>
      <c r="PIK2478" s="63"/>
      <c r="PIL2478" s="61"/>
      <c r="PIM2478" s="54"/>
      <c r="PIN2478" s="54"/>
      <c r="PIO2478" s="60"/>
      <c r="PIP2478" s="60"/>
      <c r="PIQ2478" s="60"/>
      <c r="PIR2478" s="60"/>
      <c r="PIS2478" s="63"/>
      <c r="PIT2478" s="61"/>
      <c r="PIU2478" s="54"/>
      <c r="PIV2478" s="54"/>
      <c r="PIW2478" s="60"/>
      <c r="PIX2478" s="60"/>
      <c r="PIY2478" s="60"/>
      <c r="PIZ2478" s="60"/>
      <c r="PJA2478" s="63"/>
      <c r="PJB2478" s="61"/>
      <c r="PJC2478" s="54"/>
      <c r="PJD2478" s="54"/>
      <c r="PJE2478" s="60"/>
      <c r="PJF2478" s="60"/>
      <c r="PJG2478" s="60"/>
      <c r="PJH2478" s="60"/>
      <c r="PJI2478" s="63"/>
      <c r="PJJ2478" s="61"/>
      <c r="PJK2478" s="54"/>
      <c r="PJL2478" s="54"/>
      <c r="PJM2478" s="60"/>
      <c r="PJN2478" s="60"/>
      <c r="PJO2478" s="60"/>
      <c r="PJP2478" s="60"/>
      <c r="PJQ2478" s="63"/>
      <c r="PJR2478" s="61"/>
      <c r="PJS2478" s="54"/>
      <c r="PJT2478" s="54"/>
      <c r="PJU2478" s="60"/>
      <c r="PJV2478" s="60"/>
      <c r="PJW2478" s="60"/>
      <c r="PJX2478" s="60"/>
      <c r="PJY2478" s="63"/>
      <c r="PJZ2478" s="61"/>
      <c r="PKA2478" s="54"/>
      <c r="PKB2478" s="54"/>
      <c r="PKC2478" s="60"/>
      <c r="PKD2478" s="60"/>
      <c r="PKE2478" s="60"/>
      <c r="PKF2478" s="60"/>
      <c r="PKG2478" s="63"/>
      <c r="PKH2478" s="61"/>
      <c r="PKI2478" s="54"/>
      <c r="PKJ2478" s="54"/>
      <c r="PKK2478" s="60"/>
      <c r="PKL2478" s="60"/>
      <c r="PKM2478" s="60"/>
      <c r="PKN2478" s="60"/>
      <c r="PKO2478" s="63"/>
      <c r="PKP2478" s="61"/>
      <c r="PKQ2478" s="54"/>
      <c r="PKR2478" s="54"/>
      <c r="PKS2478" s="60"/>
      <c r="PKT2478" s="60"/>
      <c r="PKU2478" s="60"/>
      <c r="PKV2478" s="60"/>
      <c r="PKW2478" s="63"/>
      <c r="PKX2478" s="61"/>
      <c r="PKY2478" s="54"/>
      <c r="PKZ2478" s="54"/>
      <c r="PLA2478" s="60"/>
      <c r="PLB2478" s="60"/>
      <c r="PLC2478" s="60"/>
      <c r="PLD2478" s="60"/>
      <c r="PLE2478" s="63"/>
      <c r="PLF2478" s="61"/>
      <c r="PLG2478" s="54"/>
      <c r="PLH2478" s="54"/>
      <c r="PLI2478" s="60"/>
      <c r="PLJ2478" s="60"/>
      <c r="PLK2478" s="60"/>
      <c r="PLL2478" s="60"/>
      <c r="PLM2478" s="63"/>
      <c r="PLN2478" s="61"/>
      <c r="PLO2478" s="54"/>
      <c r="PLP2478" s="54"/>
      <c r="PLQ2478" s="60"/>
      <c r="PLR2478" s="60"/>
      <c r="PLS2478" s="60"/>
      <c r="PLT2478" s="60"/>
      <c r="PLU2478" s="63"/>
      <c r="PLV2478" s="61"/>
      <c r="PLW2478" s="54"/>
      <c r="PLX2478" s="54"/>
      <c r="PLY2478" s="60"/>
      <c r="PLZ2478" s="60"/>
      <c r="PMA2478" s="60"/>
      <c r="PMB2478" s="60"/>
      <c r="PMC2478" s="63"/>
      <c r="PMD2478" s="61"/>
      <c r="PME2478" s="54"/>
      <c r="PMF2478" s="54"/>
      <c r="PMG2478" s="60"/>
      <c r="PMH2478" s="60"/>
      <c r="PMI2478" s="60"/>
      <c r="PMJ2478" s="60"/>
      <c r="PMK2478" s="63"/>
      <c r="PML2478" s="61"/>
      <c r="PMM2478" s="54"/>
      <c r="PMN2478" s="54"/>
      <c r="PMO2478" s="60"/>
      <c r="PMP2478" s="60"/>
      <c r="PMQ2478" s="60"/>
      <c r="PMR2478" s="60"/>
      <c r="PMS2478" s="63"/>
      <c r="PMT2478" s="61"/>
      <c r="PMU2478" s="54"/>
      <c r="PMV2478" s="54"/>
      <c r="PMW2478" s="60"/>
      <c r="PMX2478" s="60"/>
      <c r="PMY2478" s="60"/>
      <c r="PMZ2478" s="60"/>
      <c r="PNA2478" s="63"/>
      <c r="PNB2478" s="61"/>
      <c r="PNC2478" s="54"/>
      <c r="PND2478" s="54"/>
      <c r="PNE2478" s="60"/>
      <c r="PNF2478" s="60"/>
      <c r="PNG2478" s="60"/>
      <c r="PNH2478" s="60"/>
      <c r="PNI2478" s="63"/>
      <c r="PNJ2478" s="61"/>
      <c r="PNK2478" s="54"/>
      <c r="PNL2478" s="54"/>
      <c r="PNM2478" s="60"/>
      <c r="PNN2478" s="60"/>
      <c r="PNO2478" s="60"/>
      <c r="PNP2478" s="60"/>
      <c r="PNQ2478" s="63"/>
      <c r="PNR2478" s="61"/>
      <c r="PNS2478" s="54"/>
      <c r="PNT2478" s="54"/>
      <c r="PNU2478" s="60"/>
      <c r="PNV2478" s="60"/>
      <c r="PNW2478" s="60"/>
      <c r="PNX2478" s="60"/>
      <c r="PNY2478" s="63"/>
      <c r="PNZ2478" s="61"/>
      <c r="POA2478" s="54"/>
      <c r="POB2478" s="54"/>
      <c r="POC2478" s="60"/>
      <c r="POD2478" s="60"/>
      <c r="POE2478" s="60"/>
      <c r="POF2478" s="60"/>
      <c r="POG2478" s="63"/>
      <c r="POH2478" s="61"/>
      <c r="POI2478" s="54"/>
      <c r="POJ2478" s="54"/>
      <c r="POK2478" s="60"/>
      <c r="POL2478" s="60"/>
      <c r="POM2478" s="60"/>
      <c r="PON2478" s="60"/>
      <c r="POO2478" s="63"/>
      <c r="POP2478" s="61"/>
      <c r="POQ2478" s="54"/>
      <c r="POR2478" s="54"/>
      <c r="POS2478" s="60"/>
      <c r="POT2478" s="60"/>
      <c r="POU2478" s="60"/>
      <c r="POV2478" s="60"/>
      <c r="POW2478" s="63"/>
      <c r="POX2478" s="61"/>
      <c r="POY2478" s="54"/>
      <c r="POZ2478" s="54"/>
      <c r="PPA2478" s="60"/>
      <c r="PPB2478" s="60"/>
      <c r="PPC2478" s="60"/>
      <c r="PPD2478" s="60"/>
      <c r="PPE2478" s="63"/>
      <c r="PPF2478" s="61"/>
      <c r="PPG2478" s="54"/>
      <c r="PPH2478" s="54"/>
      <c r="PPI2478" s="60"/>
      <c r="PPJ2478" s="60"/>
      <c r="PPK2478" s="60"/>
      <c r="PPL2478" s="60"/>
      <c r="PPM2478" s="63"/>
      <c r="PPN2478" s="61"/>
      <c r="PPO2478" s="54"/>
      <c r="PPP2478" s="54"/>
      <c r="PPQ2478" s="60"/>
      <c r="PPR2478" s="60"/>
      <c r="PPS2478" s="60"/>
      <c r="PPT2478" s="60"/>
      <c r="PPU2478" s="63"/>
      <c r="PPV2478" s="61"/>
      <c r="PPW2478" s="54"/>
      <c r="PPX2478" s="54"/>
      <c r="PPY2478" s="60"/>
      <c r="PPZ2478" s="60"/>
      <c r="PQA2478" s="60"/>
      <c r="PQB2478" s="60"/>
      <c r="PQC2478" s="63"/>
      <c r="PQD2478" s="61"/>
      <c r="PQE2478" s="54"/>
      <c r="PQF2478" s="54"/>
      <c r="PQG2478" s="60"/>
      <c r="PQH2478" s="60"/>
      <c r="PQI2478" s="60"/>
      <c r="PQJ2478" s="60"/>
      <c r="PQK2478" s="63"/>
      <c r="PQL2478" s="61"/>
      <c r="PQM2478" s="54"/>
      <c r="PQN2478" s="54"/>
      <c r="PQO2478" s="60"/>
      <c r="PQP2478" s="60"/>
      <c r="PQQ2478" s="60"/>
      <c r="PQR2478" s="60"/>
      <c r="PQS2478" s="63"/>
      <c r="PQT2478" s="61"/>
      <c r="PQU2478" s="54"/>
      <c r="PQV2478" s="54"/>
      <c r="PQW2478" s="60"/>
      <c r="PQX2478" s="60"/>
      <c r="PQY2478" s="60"/>
      <c r="PQZ2478" s="60"/>
      <c r="PRA2478" s="63"/>
      <c r="PRB2478" s="61"/>
      <c r="PRC2478" s="54"/>
      <c r="PRD2478" s="54"/>
      <c r="PRE2478" s="60"/>
      <c r="PRF2478" s="60"/>
      <c r="PRG2478" s="60"/>
      <c r="PRH2478" s="60"/>
      <c r="PRI2478" s="63"/>
      <c r="PRJ2478" s="61"/>
      <c r="PRK2478" s="54"/>
      <c r="PRL2478" s="54"/>
      <c r="PRM2478" s="60"/>
      <c r="PRN2478" s="60"/>
      <c r="PRO2478" s="60"/>
      <c r="PRP2478" s="60"/>
      <c r="PRQ2478" s="63"/>
      <c r="PRR2478" s="61"/>
      <c r="PRS2478" s="54"/>
      <c r="PRT2478" s="54"/>
      <c r="PRU2478" s="60"/>
      <c r="PRV2478" s="60"/>
      <c r="PRW2478" s="60"/>
      <c r="PRX2478" s="60"/>
      <c r="PRY2478" s="63"/>
      <c r="PRZ2478" s="61"/>
      <c r="PSA2478" s="54"/>
      <c r="PSB2478" s="54"/>
      <c r="PSC2478" s="60"/>
      <c r="PSD2478" s="60"/>
      <c r="PSE2478" s="60"/>
      <c r="PSF2478" s="60"/>
      <c r="PSG2478" s="63"/>
      <c r="PSH2478" s="61"/>
      <c r="PSI2478" s="54"/>
      <c r="PSJ2478" s="54"/>
      <c r="PSK2478" s="60"/>
      <c r="PSL2478" s="60"/>
      <c r="PSM2478" s="60"/>
      <c r="PSN2478" s="60"/>
      <c r="PSO2478" s="63"/>
      <c r="PSP2478" s="61"/>
      <c r="PSQ2478" s="54"/>
      <c r="PSR2478" s="54"/>
      <c r="PSS2478" s="60"/>
      <c r="PST2478" s="60"/>
      <c r="PSU2478" s="60"/>
      <c r="PSV2478" s="60"/>
      <c r="PSW2478" s="63"/>
      <c r="PSX2478" s="61"/>
      <c r="PSY2478" s="54"/>
      <c r="PSZ2478" s="54"/>
      <c r="PTA2478" s="60"/>
      <c r="PTB2478" s="60"/>
      <c r="PTC2478" s="60"/>
      <c r="PTD2478" s="60"/>
      <c r="PTE2478" s="63"/>
      <c r="PTF2478" s="61"/>
      <c r="PTG2478" s="54"/>
      <c r="PTH2478" s="54"/>
      <c r="PTI2478" s="60"/>
      <c r="PTJ2478" s="60"/>
      <c r="PTK2478" s="60"/>
      <c r="PTL2478" s="60"/>
      <c r="PTM2478" s="63"/>
      <c r="PTN2478" s="61"/>
      <c r="PTO2478" s="54"/>
      <c r="PTP2478" s="54"/>
      <c r="PTQ2478" s="60"/>
      <c r="PTR2478" s="60"/>
      <c r="PTS2478" s="60"/>
      <c r="PTT2478" s="60"/>
      <c r="PTU2478" s="63"/>
      <c r="PTV2478" s="61"/>
      <c r="PTW2478" s="54"/>
      <c r="PTX2478" s="54"/>
      <c r="PTY2478" s="60"/>
      <c r="PTZ2478" s="60"/>
      <c r="PUA2478" s="60"/>
      <c r="PUB2478" s="60"/>
      <c r="PUC2478" s="63"/>
      <c r="PUD2478" s="61"/>
      <c r="PUE2478" s="54"/>
      <c r="PUF2478" s="54"/>
      <c r="PUG2478" s="60"/>
      <c r="PUH2478" s="60"/>
      <c r="PUI2478" s="60"/>
      <c r="PUJ2478" s="60"/>
      <c r="PUK2478" s="63"/>
      <c r="PUL2478" s="61"/>
      <c r="PUM2478" s="54"/>
      <c r="PUN2478" s="54"/>
      <c r="PUO2478" s="60"/>
      <c r="PUP2478" s="60"/>
      <c r="PUQ2478" s="60"/>
      <c r="PUR2478" s="60"/>
      <c r="PUS2478" s="63"/>
      <c r="PUT2478" s="61"/>
      <c r="PUU2478" s="54"/>
      <c r="PUV2478" s="54"/>
      <c r="PUW2478" s="60"/>
      <c r="PUX2478" s="60"/>
      <c r="PUY2478" s="60"/>
      <c r="PUZ2478" s="60"/>
      <c r="PVA2478" s="63"/>
      <c r="PVB2478" s="61"/>
      <c r="PVC2478" s="54"/>
      <c r="PVD2478" s="54"/>
      <c r="PVE2478" s="60"/>
      <c r="PVF2478" s="60"/>
      <c r="PVG2478" s="60"/>
      <c r="PVH2478" s="60"/>
      <c r="PVI2478" s="63"/>
      <c r="PVJ2478" s="61"/>
      <c r="PVK2478" s="54"/>
      <c r="PVL2478" s="54"/>
      <c r="PVM2478" s="60"/>
      <c r="PVN2478" s="60"/>
      <c r="PVO2478" s="60"/>
      <c r="PVP2478" s="60"/>
      <c r="PVQ2478" s="63"/>
      <c r="PVR2478" s="61"/>
      <c r="PVS2478" s="54"/>
      <c r="PVT2478" s="54"/>
      <c r="PVU2478" s="60"/>
      <c r="PVV2478" s="60"/>
      <c r="PVW2478" s="60"/>
      <c r="PVX2478" s="60"/>
      <c r="PVY2478" s="63"/>
      <c r="PVZ2478" s="61"/>
      <c r="PWA2478" s="54"/>
      <c r="PWB2478" s="54"/>
      <c r="PWC2478" s="60"/>
      <c r="PWD2478" s="60"/>
      <c r="PWE2478" s="60"/>
      <c r="PWF2478" s="60"/>
      <c r="PWG2478" s="63"/>
      <c r="PWH2478" s="61"/>
      <c r="PWI2478" s="54"/>
      <c r="PWJ2478" s="54"/>
      <c r="PWK2478" s="60"/>
      <c r="PWL2478" s="60"/>
      <c r="PWM2478" s="60"/>
      <c r="PWN2478" s="60"/>
      <c r="PWO2478" s="63"/>
      <c r="PWP2478" s="61"/>
      <c r="PWQ2478" s="54"/>
      <c r="PWR2478" s="54"/>
      <c r="PWS2478" s="60"/>
      <c r="PWT2478" s="60"/>
      <c r="PWU2478" s="60"/>
      <c r="PWV2478" s="60"/>
      <c r="PWW2478" s="63"/>
      <c r="PWX2478" s="61"/>
      <c r="PWY2478" s="54"/>
      <c r="PWZ2478" s="54"/>
      <c r="PXA2478" s="60"/>
      <c r="PXB2478" s="60"/>
      <c r="PXC2478" s="60"/>
      <c r="PXD2478" s="60"/>
      <c r="PXE2478" s="63"/>
      <c r="PXF2478" s="61"/>
      <c r="PXG2478" s="54"/>
      <c r="PXH2478" s="54"/>
      <c r="PXI2478" s="60"/>
      <c r="PXJ2478" s="60"/>
      <c r="PXK2478" s="60"/>
      <c r="PXL2478" s="60"/>
      <c r="PXM2478" s="63"/>
      <c r="PXN2478" s="61"/>
      <c r="PXO2478" s="54"/>
      <c r="PXP2478" s="54"/>
      <c r="PXQ2478" s="60"/>
      <c r="PXR2478" s="60"/>
      <c r="PXS2478" s="60"/>
      <c r="PXT2478" s="60"/>
      <c r="PXU2478" s="63"/>
      <c r="PXV2478" s="61"/>
      <c r="PXW2478" s="54"/>
      <c r="PXX2478" s="54"/>
      <c r="PXY2478" s="60"/>
      <c r="PXZ2478" s="60"/>
      <c r="PYA2478" s="60"/>
      <c r="PYB2478" s="60"/>
      <c r="PYC2478" s="63"/>
      <c r="PYD2478" s="61"/>
      <c r="PYE2478" s="54"/>
      <c r="PYF2478" s="54"/>
      <c r="PYG2478" s="60"/>
      <c r="PYH2478" s="60"/>
      <c r="PYI2478" s="60"/>
      <c r="PYJ2478" s="60"/>
      <c r="PYK2478" s="63"/>
      <c r="PYL2478" s="61"/>
      <c r="PYM2478" s="54"/>
      <c r="PYN2478" s="54"/>
      <c r="PYO2478" s="60"/>
      <c r="PYP2478" s="60"/>
      <c r="PYQ2478" s="60"/>
      <c r="PYR2478" s="60"/>
      <c r="PYS2478" s="63"/>
      <c r="PYT2478" s="61"/>
      <c r="PYU2478" s="54"/>
      <c r="PYV2478" s="54"/>
      <c r="PYW2478" s="60"/>
      <c r="PYX2478" s="60"/>
      <c r="PYY2478" s="60"/>
      <c r="PYZ2478" s="60"/>
      <c r="PZA2478" s="63"/>
      <c r="PZB2478" s="61"/>
      <c r="PZC2478" s="54"/>
      <c r="PZD2478" s="54"/>
      <c r="PZE2478" s="60"/>
      <c r="PZF2478" s="60"/>
      <c r="PZG2478" s="60"/>
      <c r="PZH2478" s="60"/>
      <c r="PZI2478" s="63"/>
      <c r="PZJ2478" s="61"/>
      <c r="PZK2478" s="54"/>
      <c r="PZL2478" s="54"/>
      <c r="PZM2478" s="60"/>
      <c r="PZN2478" s="60"/>
      <c r="PZO2478" s="60"/>
      <c r="PZP2478" s="60"/>
      <c r="PZQ2478" s="63"/>
      <c r="PZR2478" s="61"/>
      <c r="PZS2478" s="54"/>
      <c r="PZT2478" s="54"/>
      <c r="PZU2478" s="60"/>
      <c r="PZV2478" s="60"/>
      <c r="PZW2478" s="60"/>
      <c r="PZX2478" s="60"/>
      <c r="PZY2478" s="63"/>
      <c r="PZZ2478" s="61"/>
      <c r="QAA2478" s="54"/>
      <c r="QAB2478" s="54"/>
      <c r="QAC2478" s="60"/>
      <c r="QAD2478" s="60"/>
      <c r="QAE2478" s="60"/>
      <c r="QAF2478" s="60"/>
      <c r="QAG2478" s="63"/>
      <c r="QAH2478" s="61"/>
      <c r="QAI2478" s="54"/>
      <c r="QAJ2478" s="54"/>
      <c r="QAK2478" s="60"/>
      <c r="QAL2478" s="60"/>
      <c r="QAM2478" s="60"/>
      <c r="QAN2478" s="60"/>
      <c r="QAO2478" s="63"/>
      <c r="QAP2478" s="61"/>
      <c r="QAQ2478" s="54"/>
      <c r="QAR2478" s="54"/>
      <c r="QAS2478" s="60"/>
      <c r="QAT2478" s="60"/>
      <c r="QAU2478" s="60"/>
      <c r="QAV2478" s="60"/>
      <c r="QAW2478" s="63"/>
      <c r="QAX2478" s="61"/>
      <c r="QAY2478" s="54"/>
      <c r="QAZ2478" s="54"/>
      <c r="QBA2478" s="60"/>
      <c r="QBB2478" s="60"/>
      <c r="QBC2478" s="60"/>
      <c r="QBD2478" s="60"/>
      <c r="QBE2478" s="63"/>
      <c r="QBF2478" s="61"/>
      <c r="QBG2478" s="54"/>
      <c r="QBH2478" s="54"/>
      <c r="QBI2478" s="60"/>
      <c r="QBJ2478" s="60"/>
      <c r="QBK2478" s="60"/>
      <c r="QBL2478" s="60"/>
      <c r="QBM2478" s="63"/>
      <c r="QBN2478" s="61"/>
      <c r="QBO2478" s="54"/>
      <c r="QBP2478" s="54"/>
      <c r="QBQ2478" s="60"/>
      <c r="QBR2478" s="60"/>
      <c r="QBS2478" s="60"/>
      <c r="QBT2478" s="60"/>
      <c r="QBU2478" s="63"/>
      <c r="QBV2478" s="61"/>
      <c r="QBW2478" s="54"/>
      <c r="QBX2478" s="54"/>
      <c r="QBY2478" s="60"/>
      <c r="QBZ2478" s="60"/>
      <c r="QCA2478" s="60"/>
      <c r="QCB2478" s="60"/>
      <c r="QCC2478" s="63"/>
      <c r="QCD2478" s="61"/>
      <c r="QCE2478" s="54"/>
      <c r="QCF2478" s="54"/>
      <c r="QCG2478" s="60"/>
      <c r="QCH2478" s="60"/>
      <c r="QCI2478" s="60"/>
      <c r="QCJ2478" s="60"/>
      <c r="QCK2478" s="63"/>
      <c r="QCL2478" s="61"/>
      <c r="QCM2478" s="54"/>
      <c r="QCN2478" s="54"/>
      <c r="QCO2478" s="60"/>
      <c r="QCP2478" s="60"/>
      <c r="QCQ2478" s="60"/>
      <c r="QCR2478" s="60"/>
      <c r="QCS2478" s="63"/>
      <c r="QCT2478" s="61"/>
      <c r="QCU2478" s="54"/>
      <c r="QCV2478" s="54"/>
      <c r="QCW2478" s="60"/>
      <c r="QCX2478" s="60"/>
      <c r="QCY2478" s="60"/>
      <c r="QCZ2478" s="60"/>
      <c r="QDA2478" s="63"/>
      <c r="QDB2478" s="61"/>
      <c r="QDC2478" s="54"/>
      <c r="QDD2478" s="54"/>
      <c r="QDE2478" s="60"/>
      <c r="QDF2478" s="60"/>
      <c r="QDG2478" s="60"/>
      <c r="QDH2478" s="60"/>
      <c r="QDI2478" s="63"/>
      <c r="QDJ2478" s="61"/>
      <c r="QDK2478" s="54"/>
      <c r="QDL2478" s="54"/>
      <c r="QDM2478" s="60"/>
      <c r="QDN2478" s="60"/>
      <c r="QDO2478" s="60"/>
      <c r="QDP2478" s="60"/>
      <c r="QDQ2478" s="63"/>
      <c r="QDR2478" s="61"/>
      <c r="QDS2478" s="54"/>
      <c r="QDT2478" s="54"/>
      <c r="QDU2478" s="60"/>
      <c r="QDV2478" s="60"/>
      <c r="QDW2478" s="60"/>
      <c r="QDX2478" s="60"/>
      <c r="QDY2478" s="63"/>
      <c r="QDZ2478" s="61"/>
      <c r="QEA2478" s="54"/>
      <c r="QEB2478" s="54"/>
      <c r="QEC2478" s="60"/>
      <c r="QED2478" s="60"/>
      <c r="QEE2478" s="60"/>
      <c r="QEF2478" s="60"/>
      <c r="QEG2478" s="63"/>
      <c r="QEH2478" s="61"/>
      <c r="QEI2478" s="54"/>
      <c r="QEJ2478" s="54"/>
      <c r="QEK2478" s="60"/>
      <c r="QEL2478" s="60"/>
      <c r="QEM2478" s="60"/>
      <c r="QEN2478" s="60"/>
      <c r="QEO2478" s="63"/>
      <c r="QEP2478" s="61"/>
      <c r="QEQ2478" s="54"/>
      <c r="QER2478" s="54"/>
      <c r="QES2478" s="60"/>
      <c r="QET2478" s="60"/>
      <c r="QEU2478" s="60"/>
      <c r="QEV2478" s="60"/>
      <c r="QEW2478" s="63"/>
      <c r="QEX2478" s="61"/>
      <c r="QEY2478" s="54"/>
      <c r="QEZ2478" s="54"/>
      <c r="QFA2478" s="60"/>
      <c r="QFB2478" s="60"/>
      <c r="QFC2478" s="60"/>
      <c r="QFD2478" s="60"/>
      <c r="QFE2478" s="63"/>
      <c r="QFF2478" s="61"/>
      <c r="QFG2478" s="54"/>
      <c r="QFH2478" s="54"/>
      <c r="QFI2478" s="60"/>
      <c r="QFJ2478" s="60"/>
      <c r="QFK2478" s="60"/>
      <c r="QFL2478" s="60"/>
      <c r="QFM2478" s="63"/>
      <c r="QFN2478" s="61"/>
      <c r="QFO2478" s="54"/>
      <c r="QFP2478" s="54"/>
      <c r="QFQ2478" s="60"/>
      <c r="QFR2478" s="60"/>
      <c r="QFS2478" s="60"/>
      <c r="QFT2478" s="60"/>
      <c r="QFU2478" s="63"/>
      <c r="QFV2478" s="61"/>
      <c r="QFW2478" s="54"/>
      <c r="QFX2478" s="54"/>
      <c r="QFY2478" s="60"/>
      <c r="QFZ2478" s="60"/>
      <c r="QGA2478" s="60"/>
      <c r="QGB2478" s="60"/>
      <c r="QGC2478" s="63"/>
      <c r="QGD2478" s="61"/>
      <c r="QGE2478" s="54"/>
      <c r="QGF2478" s="54"/>
      <c r="QGG2478" s="60"/>
      <c r="QGH2478" s="60"/>
      <c r="QGI2478" s="60"/>
      <c r="QGJ2478" s="60"/>
      <c r="QGK2478" s="63"/>
      <c r="QGL2478" s="61"/>
      <c r="QGM2478" s="54"/>
      <c r="QGN2478" s="54"/>
      <c r="QGO2478" s="60"/>
      <c r="QGP2478" s="60"/>
      <c r="QGQ2478" s="60"/>
      <c r="QGR2478" s="60"/>
      <c r="QGS2478" s="63"/>
      <c r="QGT2478" s="61"/>
      <c r="QGU2478" s="54"/>
      <c r="QGV2478" s="54"/>
      <c r="QGW2478" s="60"/>
      <c r="QGX2478" s="60"/>
      <c r="QGY2478" s="60"/>
      <c r="QGZ2478" s="60"/>
      <c r="QHA2478" s="63"/>
      <c r="QHB2478" s="61"/>
      <c r="QHC2478" s="54"/>
      <c r="QHD2478" s="54"/>
      <c r="QHE2478" s="60"/>
      <c r="QHF2478" s="60"/>
      <c r="QHG2478" s="60"/>
      <c r="QHH2478" s="60"/>
      <c r="QHI2478" s="63"/>
      <c r="QHJ2478" s="61"/>
      <c r="QHK2478" s="54"/>
      <c r="QHL2478" s="54"/>
      <c r="QHM2478" s="60"/>
      <c r="QHN2478" s="60"/>
      <c r="QHO2478" s="60"/>
      <c r="QHP2478" s="60"/>
      <c r="QHQ2478" s="63"/>
      <c r="QHR2478" s="61"/>
      <c r="QHS2478" s="54"/>
      <c r="QHT2478" s="54"/>
      <c r="QHU2478" s="60"/>
      <c r="QHV2478" s="60"/>
      <c r="QHW2478" s="60"/>
      <c r="QHX2478" s="60"/>
      <c r="QHY2478" s="63"/>
      <c r="QHZ2478" s="61"/>
      <c r="QIA2478" s="54"/>
      <c r="QIB2478" s="54"/>
      <c r="QIC2478" s="60"/>
      <c r="QID2478" s="60"/>
      <c r="QIE2478" s="60"/>
      <c r="QIF2478" s="60"/>
      <c r="QIG2478" s="63"/>
      <c r="QIH2478" s="61"/>
      <c r="QII2478" s="54"/>
      <c r="QIJ2478" s="54"/>
      <c r="QIK2478" s="60"/>
      <c r="QIL2478" s="60"/>
      <c r="QIM2478" s="60"/>
      <c r="QIN2478" s="60"/>
      <c r="QIO2478" s="63"/>
      <c r="QIP2478" s="61"/>
      <c r="QIQ2478" s="54"/>
      <c r="QIR2478" s="54"/>
      <c r="QIS2478" s="60"/>
      <c r="QIT2478" s="60"/>
      <c r="QIU2478" s="60"/>
      <c r="QIV2478" s="60"/>
      <c r="QIW2478" s="63"/>
      <c r="QIX2478" s="61"/>
      <c r="QIY2478" s="54"/>
      <c r="QIZ2478" s="54"/>
      <c r="QJA2478" s="60"/>
      <c r="QJB2478" s="60"/>
      <c r="QJC2478" s="60"/>
      <c r="QJD2478" s="60"/>
      <c r="QJE2478" s="63"/>
      <c r="QJF2478" s="61"/>
      <c r="QJG2478" s="54"/>
      <c r="QJH2478" s="54"/>
      <c r="QJI2478" s="60"/>
      <c r="QJJ2478" s="60"/>
      <c r="QJK2478" s="60"/>
      <c r="QJL2478" s="60"/>
      <c r="QJM2478" s="63"/>
      <c r="QJN2478" s="61"/>
      <c r="QJO2478" s="54"/>
      <c r="QJP2478" s="54"/>
      <c r="QJQ2478" s="60"/>
      <c r="QJR2478" s="60"/>
      <c r="QJS2478" s="60"/>
      <c r="QJT2478" s="60"/>
      <c r="QJU2478" s="63"/>
      <c r="QJV2478" s="61"/>
      <c r="QJW2478" s="54"/>
      <c r="QJX2478" s="54"/>
      <c r="QJY2478" s="60"/>
      <c r="QJZ2478" s="60"/>
      <c r="QKA2478" s="60"/>
      <c r="QKB2478" s="60"/>
      <c r="QKC2478" s="63"/>
      <c r="QKD2478" s="61"/>
      <c r="QKE2478" s="54"/>
      <c r="QKF2478" s="54"/>
      <c r="QKG2478" s="60"/>
      <c r="QKH2478" s="60"/>
      <c r="QKI2478" s="60"/>
      <c r="QKJ2478" s="60"/>
      <c r="QKK2478" s="63"/>
      <c r="QKL2478" s="61"/>
      <c r="QKM2478" s="54"/>
      <c r="QKN2478" s="54"/>
      <c r="QKO2478" s="60"/>
      <c r="QKP2478" s="60"/>
      <c r="QKQ2478" s="60"/>
      <c r="QKR2478" s="60"/>
      <c r="QKS2478" s="63"/>
      <c r="QKT2478" s="61"/>
      <c r="QKU2478" s="54"/>
      <c r="QKV2478" s="54"/>
      <c r="QKW2478" s="60"/>
      <c r="QKX2478" s="60"/>
      <c r="QKY2478" s="60"/>
      <c r="QKZ2478" s="60"/>
      <c r="QLA2478" s="63"/>
      <c r="QLB2478" s="61"/>
      <c r="QLC2478" s="54"/>
      <c r="QLD2478" s="54"/>
      <c r="QLE2478" s="60"/>
      <c r="QLF2478" s="60"/>
      <c r="QLG2478" s="60"/>
      <c r="QLH2478" s="60"/>
      <c r="QLI2478" s="63"/>
      <c r="QLJ2478" s="61"/>
      <c r="QLK2478" s="54"/>
      <c r="QLL2478" s="54"/>
      <c r="QLM2478" s="60"/>
      <c r="QLN2478" s="60"/>
      <c r="QLO2478" s="60"/>
      <c r="QLP2478" s="60"/>
      <c r="QLQ2478" s="63"/>
      <c r="QLR2478" s="61"/>
      <c r="QLS2478" s="54"/>
      <c r="QLT2478" s="54"/>
      <c r="QLU2478" s="60"/>
      <c r="QLV2478" s="60"/>
      <c r="QLW2478" s="60"/>
      <c r="QLX2478" s="60"/>
      <c r="QLY2478" s="63"/>
      <c r="QLZ2478" s="61"/>
      <c r="QMA2478" s="54"/>
      <c r="QMB2478" s="54"/>
      <c r="QMC2478" s="60"/>
      <c r="QMD2478" s="60"/>
      <c r="QME2478" s="60"/>
      <c r="QMF2478" s="60"/>
      <c r="QMG2478" s="63"/>
      <c r="QMH2478" s="61"/>
      <c r="QMI2478" s="54"/>
      <c r="QMJ2478" s="54"/>
      <c r="QMK2478" s="60"/>
      <c r="QML2478" s="60"/>
      <c r="QMM2478" s="60"/>
      <c r="QMN2478" s="60"/>
      <c r="QMO2478" s="63"/>
      <c r="QMP2478" s="61"/>
      <c r="QMQ2478" s="54"/>
      <c r="QMR2478" s="54"/>
      <c r="QMS2478" s="60"/>
      <c r="QMT2478" s="60"/>
      <c r="QMU2478" s="60"/>
      <c r="QMV2478" s="60"/>
      <c r="QMW2478" s="63"/>
      <c r="QMX2478" s="61"/>
      <c r="QMY2478" s="54"/>
      <c r="QMZ2478" s="54"/>
      <c r="QNA2478" s="60"/>
      <c r="QNB2478" s="60"/>
      <c r="QNC2478" s="60"/>
      <c r="QND2478" s="60"/>
      <c r="QNE2478" s="63"/>
      <c r="QNF2478" s="61"/>
      <c r="QNG2478" s="54"/>
      <c r="QNH2478" s="54"/>
      <c r="QNI2478" s="60"/>
      <c r="QNJ2478" s="60"/>
      <c r="QNK2478" s="60"/>
      <c r="QNL2478" s="60"/>
      <c r="QNM2478" s="63"/>
      <c r="QNN2478" s="61"/>
      <c r="QNO2478" s="54"/>
      <c r="QNP2478" s="54"/>
      <c r="QNQ2478" s="60"/>
      <c r="QNR2478" s="60"/>
      <c r="QNS2478" s="60"/>
      <c r="QNT2478" s="60"/>
      <c r="QNU2478" s="63"/>
      <c r="QNV2478" s="61"/>
      <c r="QNW2478" s="54"/>
      <c r="QNX2478" s="54"/>
      <c r="QNY2478" s="60"/>
      <c r="QNZ2478" s="60"/>
      <c r="QOA2478" s="60"/>
      <c r="QOB2478" s="60"/>
      <c r="QOC2478" s="63"/>
      <c r="QOD2478" s="61"/>
      <c r="QOE2478" s="54"/>
      <c r="QOF2478" s="54"/>
      <c r="QOG2478" s="60"/>
      <c r="QOH2478" s="60"/>
      <c r="QOI2478" s="60"/>
      <c r="QOJ2478" s="60"/>
      <c r="QOK2478" s="63"/>
      <c r="QOL2478" s="61"/>
      <c r="QOM2478" s="54"/>
      <c r="QON2478" s="54"/>
      <c r="QOO2478" s="60"/>
      <c r="QOP2478" s="60"/>
      <c r="QOQ2478" s="60"/>
      <c r="QOR2478" s="60"/>
      <c r="QOS2478" s="63"/>
      <c r="QOT2478" s="61"/>
      <c r="QOU2478" s="54"/>
      <c r="QOV2478" s="54"/>
      <c r="QOW2478" s="60"/>
      <c r="QOX2478" s="60"/>
      <c r="QOY2478" s="60"/>
      <c r="QOZ2478" s="60"/>
      <c r="QPA2478" s="63"/>
      <c r="QPB2478" s="61"/>
      <c r="QPC2478" s="54"/>
      <c r="QPD2478" s="54"/>
      <c r="QPE2478" s="60"/>
      <c r="QPF2478" s="60"/>
      <c r="QPG2478" s="60"/>
      <c r="QPH2478" s="60"/>
      <c r="QPI2478" s="63"/>
      <c r="QPJ2478" s="61"/>
      <c r="QPK2478" s="54"/>
      <c r="QPL2478" s="54"/>
      <c r="QPM2478" s="60"/>
      <c r="QPN2478" s="60"/>
      <c r="QPO2478" s="60"/>
      <c r="QPP2478" s="60"/>
      <c r="QPQ2478" s="63"/>
      <c r="QPR2478" s="61"/>
      <c r="QPS2478" s="54"/>
      <c r="QPT2478" s="54"/>
      <c r="QPU2478" s="60"/>
      <c r="QPV2478" s="60"/>
      <c r="QPW2478" s="60"/>
      <c r="QPX2478" s="60"/>
      <c r="QPY2478" s="63"/>
      <c r="QPZ2478" s="61"/>
      <c r="QQA2478" s="54"/>
      <c r="QQB2478" s="54"/>
      <c r="QQC2478" s="60"/>
      <c r="QQD2478" s="60"/>
      <c r="QQE2478" s="60"/>
      <c r="QQF2478" s="60"/>
      <c r="QQG2478" s="63"/>
      <c r="QQH2478" s="61"/>
      <c r="QQI2478" s="54"/>
      <c r="QQJ2478" s="54"/>
      <c r="QQK2478" s="60"/>
      <c r="QQL2478" s="60"/>
      <c r="QQM2478" s="60"/>
      <c r="QQN2478" s="60"/>
      <c r="QQO2478" s="63"/>
      <c r="QQP2478" s="61"/>
      <c r="QQQ2478" s="54"/>
      <c r="QQR2478" s="54"/>
      <c r="QQS2478" s="60"/>
      <c r="QQT2478" s="60"/>
      <c r="QQU2478" s="60"/>
      <c r="QQV2478" s="60"/>
      <c r="QQW2478" s="63"/>
      <c r="QQX2478" s="61"/>
      <c r="QQY2478" s="54"/>
      <c r="QQZ2478" s="54"/>
      <c r="QRA2478" s="60"/>
      <c r="QRB2478" s="60"/>
      <c r="QRC2478" s="60"/>
      <c r="QRD2478" s="60"/>
      <c r="QRE2478" s="63"/>
      <c r="QRF2478" s="61"/>
      <c r="QRG2478" s="54"/>
      <c r="QRH2478" s="54"/>
      <c r="QRI2478" s="60"/>
      <c r="QRJ2478" s="60"/>
      <c r="QRK2478" s="60"/>
      <c r="QRL2478" s="60"/>
      <c r="QRM2478" s="63"/>
      <c r="QRN2478" s="61"/>
      <c r="QRO2478" s="54"/>
      <c r="QRP2478" s="54"/>
      <c r="QRQ2478" s="60"/>
      <c r="QRR2478" s="60"/>
      <c r="QRS2478" s="60"/>
      <c r="QRT2478" s="60"/>
      <c r="QRU2478" s="63"/>
      <c r="QRV2478" s="61"/>
      <c r="QRW2478" s="54"/>
      <c r="QRX2478" s="54"/>
      <c r="QRY2478" s="60"/>
      <c r="QRZ2478" s="60"/>
      <c r="QSA2478" s="60"/>
      <c r="QSB2478" s="60"/>
      <c r="QSC2478" s="63"/>
      <c r="QSD2478" s="61"/>
      <c r="QSE2478" s="54"/>
      <c r="QSF2478" s="54"/>
      <c r="QSG2478" s="60"/>
      <c r="QSH2478" s="60"/>
      <c r="QSI2478" s="60"/>
      <c r="QSJ2478" s="60"/>
      <c r="QSK2478" s="63"/>
      <c r="QSL2478" s="61"/>
      <c r="QSM2478" s="54"/>
      <c r="QSN2478" s="54"/>
      <c r="QSO2478" s="60"/>
      <c r="QSP2478" s="60"/>
      <c r="QSQ2478" s="60"/>
      <c r="QSR2478" s="60"/>
      <c r="QSS2478" s="63"/>
      <c r="QST2478" s="61"/>
      <c r="QSU2478" s="54"/>
      <c r="QSV2478" s="54"/>
      <c r="QSW2478" s="60"/>
      <c r="QSX2478" s="60"/>
      <c r="QSY2478" s="60"/>
      <c r="QSZ2478" s="60"/>
      <c r="QTA2478" s="63"/>
      <c r="QTB2478" s="61"/>
      <c r="QTC2478" s="54"/>
      <c r="QTD2478" s="54"/>
      <c r="QTE2478" s="60"/>
      <c r="QTF2478" s="60"/>
      <c r="QTG2478" s="60"/>
      <c r="QTH2478" s="60"/>
      <c r="QTI2478" s="63"/>
      <c r="QTJ2478" s="61"/>
      <c r="QTK2478" s="54"/>
      <c r="QTL2478" s="54"/>
      <c r="QTM2478" s="60"/>
      <c r="QTN2478" s="60"/>
      <c r="QTO2478" s="60"/>
      <c r="QTP2478" s="60"/>
      <c r="QTQ2478" s="63"/>
      <c r="QTR2478" s="61"/>
      <c r="QTS2478" s="54"/>
      <c r="QTT2478" s="54"/>
      <c r="QTU2478" s="60"/>
      <c r="QTV2478" s="60"/>
      <c r="QTW2478" s="60"/>
      <c r="QTX2478" s="60"/>
      <c r="QTY2478" s="63"/>
      <c r="QTZ2478" s="61"/>
      <c r="QUA2478" s="54"/>
      <c r="QUB2478" s="54"/>
      <c r="QUC2478" s="60"/>
      <c r="QUD2478" s="60"/>
      <c r="QUE2478" s="60"/>
      <c r="QUF2478" s="60"/>
      <c r="QUG2478" s="63"/>
      <c r="QUH2478" s="61"/>
      <c r="QUI2478" s="54"/>
      <c r="QUJ2478" s="54"/>
      <c r="QUK2478" s="60"/>
      <c r="QUL2478" s="60"/>
      <c r="QUM2478" s="60"/>
      <c r="QUN2478" s="60"/>
      <c r="QUO2478" s="63"/>
      <c r="QUP2478" s="61"/>
      <c r="QUQ2478" s="54"/>
      <c r="QUR2478" s="54"/>
      <c r="QUS2478" s="60"/>
      <c r="QUT2478" s="60"/>
      <c r="QUU2478" s="60"/>
      <c r="QUV2478" s="60"/>
      <c r="QUW2478" s="63"/>
      <c r="QUX2478" s="61"/>
      <c r="QUY2478" s="54"/>
      <c r="QUZ2478" s="54"/>
      <c r="QVA2478" s="60"/>
      <c r="QVB2478" s="60"/>
      <c r="QVC2478" s="60"/>
      <c r="QVD2478" s="60"/>
      <c r="QVE2478" s="63"/>
      <c r="QVF2478" s="61"/>
      <c r="QVG2478" s="54"/>
      <c r="QVH2478" s="54"/>
      <c r="QVI2478" s="60"/>
      <c r="QVJ2478" s="60"/>
      <c r="QVK2478" s="60"/>
      <c r="QVL2478" s="60"/>
      <c r="QVM2478" s="63"/>
      <c r="QVN2478" s="61"/>
      <c r="QVO2478" s="54"/>
      <c r="QVP2478" s="54"/>
      <c r="QVQ2478" s="60"/>
      <c r="QVR2478" s="60"/>
      <c r="QVS2478" s="60"/>
      <c r="QVT2478" s="60"/>
      <c r="QVU2478" s="63"/>
      <c r="QVV2478" s="61"/>
      <c r="QVW2478" s="54"/>
      <c r="QVX2478" s="54"/>
      <c r="QVY2478" s="60"/>
      <c r="QVZ2478" s="60"/>
      <c r="QWA2478" s="60"/>
      <c r="QWB2478" s="60"/>
      <c r="QWC2478" s="63"/>
      <c r="QWD2478" s="61"/>
      <c r="QWE2478" s="54"/>
      <c r="QWF2478" s="54"/>
      <c r="QWG2478" s="60"/>
      <c r="QWH2478" s="60"/>
      <c r="QWI2478" s="60"/>
      <c r="QWJ2478" s="60"/>
      <c r="QWK2478" s="63"/>
      <c r="QWL2478" s="61"/>
      <c r="QWM2478" s="54"/>
      <c r="QWN2478" s="54"/>
      <c r="QWO2478" s="60"/>
      <c r="QWP2478" s="60"/>
      <c r="QWQ2478" s="60"/>
      <c r="QWR2478" s="60"/>
      <c r="QWS2478" s="63"/>
      <c r="QWT2478" s="61"/>
      <c r="QWU2478" s="54"/>
      <c r="QWV2478" s="54"/>
      <c r="QWW2478" s="60"/>
      <c r="QWX2478" s="60"/>
      <c r="QWY2478" s="60"/>
      <c r="QWZ2478" s="60"/>
      <c r="QXA2478" s="63"/>
      <c r="QXB2478" s="61"/>
      <c r="QXC2478" s="54"/>
      <c r="QXD2478" s="54"/>
      <c r="QXE2478" s="60"/>
      <c r="QXF2478" s="60"/>
      <c r="QXG2478" s="60"/>
      <c r="QXH2478" s="60"/>
      <c r="QXI2478" s="63"/>
      <c r="QXJ2478" s="61"/>
      <c r="QXK2478" s="54"/>
      <c r="QXL2478" s="54"/>
      <c r="QXM2478" s="60"/>
      <c r="QXN2478" s="60"/>
      <c r="QXO2478" s="60"/>
      <c r="QXP2478" s="60"/>
      <c r="QXQ2478" s="63"/>
      <c r="QXR2478" s="61"/>
      <c r="QXS2478" s="54"/>
      <c r="QXT2478" s="54"/>
      <c r="QXU2478" s="60"/>
      <c r="QXV2478" s="60"/>
      <c r="QXW2478" s="60"/>
      <c r="QXX2478" s="60"/>
      <c r="QXY2478" s="63"/>
      <c r="QXZ2478" s="61"/>
      <c r="QYA2478" s="54"/>
      <c r="QYB2478" s="54"/>
      <c r="QYC2478" s="60"/>
      <c r="QYD2478" s="60"/>
      <c r="QYE2478" s="60"/>
      <c r="QYF2478" s="60"/>
      <c r="QYG2478" s="63"/>
      <c r="QYH2478" s="61"/>
      <c r="QYI2478" s="54"/>
      <c r="QYJ2478" s="54"/>
      <c r="QYK2478" s="60"/>
      <c r="QYL2478" s="60"/>
      <c r="QYM2478" s="60"/>
      <c r="QYN2478" s="60"/>
      <c r="QYO2478" s="63"/>
      <c r="QYP2478" s="61"/>
      <c r="QYQ2478" s="54"/>
      <c r="QYR2478" s="54"/>
      <c r="QYS2478" s="60"/>
      <c r="QYT2478" s="60"/>
      <c r="QYU2478" s="60"/>
      <c r="QYV2478" s="60"/>
      <c r="QYW2478" s="63"/>
      <c r="QYX2478" s="61"/>
      <c r="QYY2478" s="54"/>
      <c r="QYZ2478" s="54"/>
      <c r="QZA2478" s="60"/>
      <c r="QZB2478" s="60"/>
      <c r="QZC2478" s="60"/>
      <c r="QZD2478" s="60"/>
      <c r="QZE2478" s="63"/>
      <c r="QZF2478" s="61"/>
      <c r="QZG2478" s="54"/>
      <c r="QZH2478" s="54"/>
      <c r="QZI2478" s="60"/>
      <c r="QZJ2478" s="60"/>
      <c r="QZK2478" s="60"/>
      <c r="QZL2478" s="60"/>
      <c r="QZM2478" s="63"/>
      <c r="QZN2478" s="61"/>
      <c r="QZO2478" s="54"/>
      <c r="QZP2478" s="54"/>
      <c r="QZQ2478" s="60"/>
      <c r="QZR2478" s="60"/>
      <c r="QZS2478" s="60"/>
      <c r="QZT2478" s="60"/>
      <c r="QZU2478" s="63"/>
      <c r="QZV2478" s="61"/>
      <c r="QZW2478" s="54"/>
      <c r="QZX2478" s="54"/>
      <c r="QZY2478" s="60"/>
      <c r="QZZ2478" s="60"/>
      <c r="RAA2478" s="60"/>
      <c r="RAB2478" s="60"/>
      <c r="RAC2478" s="63"/>
      <c r="RAD2478" s="61"/>
      <c r="RAE2478" s="54"/>
      <c r="RAF2478" s="54"/>
      <c r="RAG2478" s="60"/>
      <c r="RAH2478" s="60"/>
      <c r="RAI2478" s="60"/>
      <c r="RAJ2478" s="60"/>
      <c r="RAK2478" s="63"/>
      <c r="RAL2478" s="61"/>
      <c r="RAM2478" s="54"/>
      <c r="RAN2478" s="54"/>
      <c r="RAO2478" s="60"/>
      <c r="RAP2478" s="60"/>
      <c r="RAQ2478" s="60"/>
      <c r="RAR2478" s="60"/>
      <c r="RAS2478" s="63"/>
      <c r="RAT2478" s="61"/>
      <c r="RAU2478" s="54"/>
      <c r="RAV2478" s="54"/>
      <c r="RAW2478" s="60"/>
      <c r="RAX2478" s="60"/>
      <c r="RAY2478" s="60"/>
      <c r="RAZ2478" s="60"/>
      <c r="RBA2478" s="63"/>
      <c r="RBB2478" s="61"/>
      <c r="RBC2478" s="54"/>
      <c r="RBD2478" s="54"/>
      <c r="RBE2478" s="60"/>
      <c r="RBF2478" s="60"/>
      <c r="RBG2478" s="60"/>
      <c r="RBH2478" s="60"/>
      <c r="RBI2478" s="63"/>
      <c r="RBJ2478" s="61"/>
      <c r="RBK2478" s="54"/>
      <c r="RBL2478" s="54"/>
      <c r="RBM2478" s="60"/>
      <c r="RBN2478" s="60"/>
      <c r="RBO2478" s="60"/>
      <c r="RBP2478" s="60"/>
      <c r="RBQ2478" s="63"/>
      <c r="RBR2478" s="61"/>
      <c r="RBS2478" s="54"/>
      <c r="RBT2478" s="54"/>
      <c r="RBU2478" s="60"/>
      <c r="RBV2478" s="60"/>
      <c r="RBW2478" s="60"/>
      <c r="RBX2478" s="60"/>
      <c r="RBY2478" s="63"/>
      <c r="RBZ2478" s="61"/>
      <c r="RCA2478" s="54"/>
      <c r="RCB2478" s="54"/>
      <c r="RCC2478" s="60"/>
      <c r="RCD2478" s="60"/>
      <c r="RCE2478" s="60"/>
      <c r="RCF2478" s="60"/>
      <c r="RCG2478" s="63"/>
      <c r="RCH2478" s="61"/>
      <c r="RCI2478" s="54"/>
      <c r="RCJ2478" s="54"/>
      <c r="RCK2478" s="60"/>
      <c r="RCL2478" s="60"/>
      <c r="RCM2478" s="60"/>
      <c r="RCN2478" s="60"/>
      <c r="RCO2478" s="63"/>
      <c r="RCP2478" s="61"/>
      <c r="RCQ2478" s="54"/>
      <c r="RCR2478" s="54"/>
      <c r="RCS2478" s="60"/>
      <c r="RCT2478" s="60"/>
      <c r="RCU2478" s="60"/>
      <c r="RCV2478" s="60"/>
      <c r="RCW2478" s="63"/>
      <c r="RCX2478" s="61"/>
      <c r="RCY2478" s="54"/>
      <c r="RCZ2478" s="54"/>
      <c r="RDA2478" s="60"/>
      <c r="RDB2478" s="60"/>
      <c r="RDC2478" s="60"/>
      <c r="RDD2478" s="60"/>
      <c r="RDE2478" s="63"/>
      <c r="RDF2478" s="61"/>
      <c r="RDG2478" s="54"/>
      <c r="RDH2478" s="54"/>
      <c r="RDI2478" s="60"/>
      <c r="RDJ2478" s="60"/>
      <c r="RDK2478" s="60"/>
      <c r="RDL2478" s="60"/>
      <c r="RDM2478" s="63"/>
      <c r="RDN2478" s="61"/>
      <c r="RDO2478" s="54"/>
      <c r="RDP2478" s="54"/>
      <c r="RDQ2478" s="60"/>
      <c r="RDR2478" s="60"/>
      <c r="RDS2478" s="60"/>
      <c r="RDT2478" s="60"/>
      <c r="RDU2478" s="63"/>
      <c r="RDV2478" s="61"/>
      <c r="RDW2478" s="54"/>
      <c r="RDX2478" s="54"/>
      <c r="RDY2478" s="60"/>
      <c r="RDZ2478" s="60"/>
      <c r="REA2478" s="60"/>
      <c r="REB2478" s="60"/>
      <c r="REC2478" s="63"/>
      <c r="RED2478" s="61"/>
      <c r="REE2478" s="54"/>
      <c r="REF2478" s="54"/>
      <c r="REG2478" s="60"/>
      <c r="REH2478" s="60"/>
      <c r="REI2478" s="60"/>
      <c r="REJ2478" s="60"/>
      <c r="REK2478" s="63"/>
      <c r="REL2478" s="61"/>
      <c r="REM2478" s="54"/>
      <c r="REN2478" s="54"/>
      <c r="REO2478" s="60"/>
      <c r="REP2478" s="60"/>
      <c r="REQ2478" s="60"/>
      <c r="RER2478" s="60"/>
      <c r="RES2478" s="63"/>
      <c r="RET2478" s="61"/>
      <c r="REU2478" s="54"/>
      <c r="REV2478" s="54"/>
      <c r="REW2478" s="60"/>
      <c r="REX2478" s="60"/>
      <c r="REY2478" s="60"/>
      <c r="REZ2478" s="60"/>
      <c r="RFA2478" s="63"/>
      <c r="RFB2478" s="61"/>
      <c r="RFC2478" s="54"/>
      <c r="RFD2478" s="54"/>
      <c r="RFE2478" s="60"/>
      <c r="RFF2478" s="60"/>
      <c r="RFG2478" s="60"/>
      <c r="RFH2478" s="60"/>
      <c r="RFI2478" s="63"/>
      <c r="RFJ2478" s="61"/>
      <c r="RFK2478" s="54"/>
      <c r="RFL2478" s="54"/>
      <c r="RFM2478" s="60"/>
      <c r="RFN2478" s="60"/>
      <c r="RFO2478" s="60"/>
      <c r="RFP2478" s="60"/>
      <c r="RFQ2478" s="63"/>
      <c r="RFR2478" s="61"/>
      <c r="RFS2478" s="54"/>
      <c r="RFT2478" s="54"/>
      <c r="RFU2478" s="60"/>
      <c r="RFV2478" s="60"/>
      <c r="RFW2478" s="60"/>
      <c r="RFX2478" s="60"/>
      <c r="RFY2478" s="63"/>
      <c r="RFZ2478" s="61"/>
      <c r="RGA2478" s="54"/>
      <c r="RGB2478" s="54"/>
      <c r="RGC2478" s="60"/>
      <c r="RGD2478" s="60"/>
      <c r="RGE2478" s="60"/>
      <c r="RGF2478" s="60"/>
      <c r="RGG2478" s="63"/>
      <c r="RGH2478" s="61"/>
      <c r="RGI2478" s="54"/>
      <c r="RGJ2478" s="54"/>
      <c r="RGK2478" s="60"/>
      <c r="RGL2478" s="60"/>
      <c r="RGM2478" s="60"/>
      <c r="RGN2478" s="60"/>
      <c r="RGO2478" s="63"/>
      <c r="RGP2478" s="61"/>
      <c r="RGQ2478" s="54"/>
      <c r="RGR2478" s="54"/>
      <c r="RGS2478" s="60"/>
      <c r="RGT2478" s="60"/>
      <c r="RGU2478" s="60"/>
      <c r="RGV2478" s="60"/>
      <c r="RGW2478" s="63"/>
      <c r="RGX2478" s="61"/>
      <c r="RGY2478" s="54"/>
      <c r="RGZ2478" s="54"/>
      <c r="RHA2478" s="60"/>
      <c r="RHB2478" s="60"/>
      <c r="RHC2478" s="60"/>
      <c r="RHD2478" s="60"/>
      <c r="RHE2478" s="63"/>
      <c r="RHF2478" s="61"/>
      <c r="RHG2478" s="54"/>
      <c r="RHH2478" s="54"/>
      <c r="RHI2478" s="60"/>
      <c r="RHJ2478" s="60"/>
      <c r="RHK2478" s="60"/>
      <c r="RHL2478" s="60"/>
      <c r="RHM2478" s="63"/>
      <c r="RHN2478" s="61"/>
      <c r="RHO2478" s="54"/>
      <c r="RHP2478" s="54"/>
      <c r="RHQ2478" s="60"/>
      <c r="RHR2478" s="60"/>
      <c r="RHS2478" s="60"/>
      <c r="RHT2478" s="60"/>
      <c r="RHU2478" s="63"/>
      <c r="RHV2478" s="61"/>
      <c r="RHW2478" s="54"/>
      <c r="RHX2478" s="54"/>
      <c r="RHY2478" s="60"/>
      <c r="RHZ2478" s="60"/>
      <c r="RIA2478" s="60"/>
      <c r="RIB2478" s="60"/>
      <c r="RIC2478" s="63"/>
      <c r="RID2478" s="61"/>
      <c r="RIE2478" s="54"/>
      <c r="RIF2478" s="54"/>
      <c r="RIG2478" s="60"/>
      <c r="RIH2478" s="60"/>
      <c r="RII2478" s="60"/>
      <c r="RIJ2478" s="60"/>
      <c r="RIK2478" s="63"/>
      <c r="RIL2478" s="61"/>
      <c r="RIM2478" s="54"/>
      <c r="RIN2478" s="54"/>
      <c r="RIO2478" s="60"/>
      <c r="RIP2478" s="60"/>
      <c r="RIQ2478" s="60"/>
      <c r="RIR2478" s="60"/>
      <c r="RIS2478" s="63"/>
      <c r="RIT2478" s="61"/>
      <c r="RIU2478" s="54"/>
      <c r="RIV2478" s="54"/>
      <c r="RIW2478" s="60"/>
      <c r="RIX2478" s="60"/>
      <c r="RIY2478" s="60"/>
      <c r="RIZ2478" s="60"/>
      <c r="RJA2478" s="63"/>
      <c r="RJB2478" s="61"/>
      <c r="RJC2478" s="54"/>
      <c r="RJD2478" s="54"/>
      <c r="RJE2478" s="60"/>
      <c r="RJF2478" s="60"/>
      <c r="RJG2478" s="60"/>
      <c r="RJH2478" s="60"/>
      <c r="RJI2478" s="63"/>
      <c r="RJJ2478" s="61"/>
      <c r="RJK2478" s="54"/>
      <c r="RJL2478" s="54"/>
      <c r="RJM2478" s="60"/>
      <c r="RJN2478" s="60"/>
      <c r="RJO2478" s="60"/>
      <c r="RJP2478" s="60"/>
      <c r="RJQ2478" s="63"/>
      <c r="RJR2478" s="61"/>
      <c r="RJS2478" s="54"/>
      <c r="RJT2478" s="54"/>
      <c r="RJU2478" s="60"/>
      <c r="RJV2478" s="60"/>
      <c r="RJW2478" s="60"/>
      <c r="RJX2478" s="60"/>
      <c r="RJY2478" s="63"/>
      <c r="RJZ2478" s="61"/>
      <c r="RKA2478" s="54"/>
      <c r="RKB2478" s="54"/>
      <c r="RKC2478" s="60"/>
      <c r="RKD2478" s="60"/>
      <c r="RKE2478" s="60"/>
      <c r="RKF2478" s="60"/>
      <c r="RKG2478" s="63"/>
      <c r="RKH2478" s="61"/>
      <c r="RKI2478" s="54"/>
      <c r="RKJ2478" s="54"/>
      <c r="RKK2478" s="60"/>
      <c r="RKL2478" s="60"/>
      <c r="RKM2478" s="60"/>
      <c r="RKN2478" s="60"/>
      <c r="RKO2478" s="63"/>
      <c r="RKP2478" s="61"/>
      <c r="RKQ2478" s="54"/>
      <c r="RKR2478" s="54"/>
      <c r="RKS2478" s="60"/>
      <c r="RKT2478" s="60"/>
      <c r="RKU2478" s="60"/>
      <c r="RKV2478" s="60"/>
      <c r="RKW2478" s="63"/>
      <c r="RKX2478" s="61"/>
      <c r="RKY2478" s="54"/>
      <c r="RKZ2478" s="54"/>
      <c r="RLA2478" s="60"/>
      <c r="RLB2478" s="60"/>
      <c r="RLC2478" s="60"/>
      <c r="RLD2478" s="60"/>
      <c r="RLE2478" s="63"/>
      <c r="RLF2478" s="61"/>
      <c r="RLG2478" s="54"/>
      <c r="RLH2478" s="54"/>
      <c r="RLI2478" s="60"/>
      <c r="RLJ2478" s="60"/>
      <c r="RLK2478" s="60"/>
      <c r="RLL2478" s="60"/>
      <c r="RLM2478" s="63"/>
      <c r="RLN2478" s="61"/>
      <c r="RLO2478" s="54"/>
      <c r="RLP2478" s="54"/>
      <c r="RLQ2478" s="60"/>
      <c r="RLR2478" s="60"/>
      <c r="RLS2478" s="60"/>
      <c r="RLT2478" s="60"/>
      <c r="RLU2478" s="63"/>
      <c r="RLV2478" s="61"/>
      <c r="RLW2478" s="54"/>
      <c r="RLX2478" s="54"/>
      <c r="RLY2478" s="60"/>
      <c r="RLZ2478" s="60"/>
      <c r="RMA2478" s="60"/>
      <c r="RMB2478" s="60"/>
      <c r="RMC2478" s="63"/>
      <c r="RMD2478" s="61"/>
      <c r="RME2478" s="54"/>
      <c r="RMF2478" s="54"/>
      <c r="RMG2478" s="60"/>
      <c r="RMH2478" s="60"/>
      <c r="RMI2478" s="60"/>
      <c r="RMJ2478" s="60"/>
      <c r="RMK2478" s="63"/>
      <c r="RML2478" s="61"/>
      <c r="RMM2478" s="54"/>
      <c r="RMN2478" s="54"/>
      <c r="RMO2478" s="60"/>
      <c r="RMP2478" s="60"/>
      <c r="RMQ2478" s="60"/>
      <c r="RMR2478" s="60"/>
      <c r="RMS2478" s="63"/>
      <c r="RMT2478" s="61"/>
      <c r="RMU2478" s="54"/>
      <c r="RMV2478" s="54"/>
      <c r="RMW2478" s="60"/>
      <c r="RMX2478" s="60"/>
      <c r="RMY2478" s="60"/>
      <c r="RMZ2478" s="60"/>
      <c r="RNA2478" s="63"/>
      <c r="RNB2478" s="61"/>
      <c r="RNC2478" s="54"/>
      <c r="RND2478" s="54"/>
      <c r="RNE2478" s="60"/>
      <c r="RNF2478" s="60"/>
      <c r="RNG2478" s="60"/>
      <c r="RNH2478" s="60"/>
      <c r="RNI2478" s="63"/>
      <c r="RNJ2478" s="61"/>
      <c r="RNK2478" s="54"/>
      <c r="RNL2478" s="54"/>
      <c r="RNM2478" s="60"/>
      <c r="RNN2478" s="60"/>
      <c r="RNO2478" s="60"/>
      <c r="RNP2478" s="60"/>
      <c r="RNQ2478" s="63"/>
      <c r="RNR2478" s="61"/>
      <c r="RNS2478" s="54"/>
      <c r="RNT2478" s="54"/>
      <c r="RNU2478" s="60"/>
      <c r="RNV2478" s="60"/>
      <c r="RNW2478" s="60"/>
      <c r="RNX2478" s="60"/>
      <c r="RNY2478" s="63"/>
      <c r="RNZ2478" s="61"/>
      <c r="ROA2478" s="54"/>
      <c r="ROB2478" s="54"/>
      <c r="ROC2478" s="60"/>
      <c r="ROD2478" s="60"/>
      <c r="ROE2478" s="60"/>
      <c r="ROF2478" s="60"/>
      <c r="ROG2478" s="63"/>
      <c r="ROH2478" s="61"/>
      <c r="ROI2478" s="54"/>
      <c r="ROJ2478" s="54"/>
      <c r="ROK2478" s="60"/>
      <c r="ROL2478" s="60"/>
      <c r="ROM2478" s="60"/>
      <c r="RON2478" s="60"/>
      <c r="ROO2478" s="63"/>
      <c r="ROP2478" s="61"/>
      <c r="ROQ2478" s="54"/>
      <c r="ROR2478" s="54"/>
      <c r="ROS2478" s="60"/>
      <c r="ROT2478" s="60"/>
      <c r="ROU2478" s="60"/>
      <c r="ROV2478" s="60"/>
      <c r="ROW2478" s="63"/>
      <c r="ROX2478" s="61"/>
      <c r="ROY2478" s="54"/>
      <c r="ROZ2478" s="54"/>
      <c r="RPA2478" s="60"/>
      <c r="RPB2478" s="60"/>
      <c r="RPC2478" s="60"/>
      <c r="RPD2478" s="60"/>
      <c r="RPE2478" s="63"/>
      <c r="RPF2478" s="61"/>
      <c r="RPG2478" s="54"/>
      <c r="RPH2478" s="54"/>
      <c r="RPI2478" s="60"/>
      <c r="RPJ2478" s="60"/>
      <c r="RPK2478" s="60"/>
      <c r="RPL2478" s="60"/>
      <c r="RPM2478" s="63"/>
      <c r="RPN2478" s="61"/>
      <c r="RPO2478" s="54"/>
      <c r="RPP2478" s="54"/>
      <c r="RPQ2478" s="60"/>
      <c r="RPR2478" s="60"/>
      <c r="RPS2478" s="60"/>
      <c r="RPT2478" s="60"/>
      <c r="RPU2478" s="63"/>
      <c r="RPV2478" s="61"/>
      <c r="RPW2478" s="54"/>
      <c r="RPX2478" s="54"/>
      <c r="RPY2478" s="60"/>
      <c r="RPZ2478" s="60"/>
      <c r="RQA2478" s="60"/>
      <c r="RQB2478" s="60"/>
      <c r="RQC2478" s="63"/>
      <c r="RQD2478" s="61"/>
      <c r="RQE2478" s="54"/>
      <c r="RQF2478" s="54"/>
      <c r="RQG2478" s="60"/>
      <c r="RQH2478" s="60"/>
      <c r="RQI2478" s="60"/>
      <c r="RQJ2478" s="60"/>
      <c r="RQK2478" s="63"/>
      <c r="RQL2478" s="61"/>
      <c r="RQM2478" s="54"/>
      <c r="RQN2478" s="54"/>
      <c r="RQO2478" s="60"/>
      <c r="RQP2478" s="60"/>
      <c r="RQQ2478" s="60"/>
      <c r="RQR2478" s="60"/>
      <c r="RQS2478" s="63"/>
      <c r="RQT2478" s="61"/>
      <c r="RQU2478" s="54"/>
      <c r="RQV2478" s="54"/>
      <c r="RQW2478" s="60"/>
      <c r="RQX2478" s="60"/>
      <c r="RQY2478" s="60"/>
      <c r="RQZ2478" s="60"/>
      <c r="RRA2478" s="63"/>
      <c r="RRB2478" s="61"/>
      <c r="RRC2478" s="54"/>
      <c r="RRD2478" s="54"/>
      <c r="RRE2478" s="60"/>
      <c r="RRF2478" s="60"/>
      <c r="RRG2478" s="60"/>
      <c r="RRH2478" s="60"/>
      <c r="RRI2478" s="63"/>
      <c r="RRJ2478" s="61"/>
      <c r="RRK2478" s="54"/>
      <c r="RRL2478" s="54"/>
      <c r="RRM2478" s="60"/>
      <c r="RRN2478" s="60"/>
      <c r="RRO2478" s="60"/>
      <c r="RRP2478" s="60"/>
      <c r="RRQ2478" s="63"/>
      <c r="RRR2478" s="61"/>
      <c r="RRS2478" s="54"/>
      <c r="RRT2478" s="54"/>
      <c r="RRU2478" s="60"/>
      <c r="RRV2478" s="60"/>
      <c r="RRW2478" s="60"/>
      <c r="RRX2478" s="60"/>
      <c r="RRY2478" s="63"/>
      <c r="RRZ2478" s="61"/>
      <c r="RSA2478" s="54"/>
      <c r="RSB2478" s="54"/>
      <c r="RSC2478" s="60"/>
      <c r="RSD2478" s="60"/>
      <c r="RSE2478" s="60"/>
      <c r="RSF2478" s="60"/>
      <c r="RSG2478" s="63"/>
      <c r="RSH2478" s="61"/>
      <c r="RSI2478" s="54"/>
      <c r="RSJ2478" s="54"/>
      <c r="RSK2478" s="60"/>
      <c r="RSL2478" s="60"/>
      <c r="RSM2478" s="60"/>
      <c r="RSN2478" s="60"/>
      <c r="RSO2478" s="63"/>
      <c r="RSP2478" s="61"/>
      <c r="RSQ2478" s="54"/>
      <c r="RSR2478" s="54"/>
      <c r="RSS2478" s="60"/>
      <c r="RST2478" s="60"/>
      <c r="RSU2478" s="60"/>
      <c r="RSV2478" s="60"/>
      <c r="RSW2478" s="63"/>
      <c r="RSX2478" s="61"/>
      <c r="RSY2478" s="54"/>
      <c r="RSZ2478" s="54"/>
      <c r="RTA2478" s="60"/>
      <c r="RTB2478" s="60"/>
      <c r="RTC2478" s="60"/>
      <c r="RTD2478" s="60"/>
      <c r="RTE2478" s="63"/>
      <c r="RTF2478" s="61"/>
      <c r="RTG2478" s="54"/>
      <c r="RTH2478" s="54"/>
      <c r="RTI2478" s="60"/>
      <c r="RTJ2478" s="60"/>
      <c r="RTK2478" s="60"/>
      <c r="RTL2478" s="60"/>
      <c r="RTM2478" s="63"/>
      <c r="RTN2478" s="61"/>
      <c r="RTO2478" s="54"/>
      <c r="RTP2478" s="54"/>
      <c r="RTQ2478" s="60"/>
      <c r="RTR2478" s="60"/>
      <c r="RTS2478" s="60"/>
      <c r="RTT2478" s="60"/>
      <c r="RTU2478" s="63"/>
      <c r="RTV2478" s="61"/>
      <c r="RTW2478" s="54"/>
      <c r="RTX2478" s="54"/>
      <c r="RTY2478" s="60"/>
      <c r="RTZ2478" s="60"/>
      <c r="RUA2478" s="60"/>
      <c r="RUB2478" s="60"/>
      <c r="RUC2478" s="63"/>
      <c r="RUD2478" s="61"/>
      <c r="RUE2478" s="54"/>
      <c r="RUF2478" s="54"/>
      <c r="RUG2478" s="60"/>
      <c r="RUH2478" s="60"/>
      <c r="RUI2478" s="60"/>
      <c r="RUJ2478" s="60"/>
      <c r="RUK2478" s="63"/>
      <c r="RUL2478" s="61"/>
      <c r="RUM2478" s="54"/>
      <c r="RUN2478" s="54"/>
      <c r="RUO2478" s="60"/>
      <c r="RUP2478" s="60"/>
      <c r="RUQ2478" s="60"/>
      <c r="RUR2478" s="60"/>
      <c r="RUS2478" s="63"/>
      <c r="RUT2478" s="61"/>
      <c r="RUU2478" s="54"/>
      <c r="RUV2478" s="54"/>
      <c r="RUW2478" s="60"/>
      <c r="RUX2478" s="60"/>
      <c r="RUY2478" s="60"/>
      <c r="RUZ2478" s="60"/>
      <c r="RVA2478" s="63"/>
      <c r="RVB2478" s="61"/>
      <c r="RVC2478" s="54"/>
      <c r="RVD2478" s="54"/>
      <c r="RVE2478" s="60"/>
      <c r="RVF2478" s="60"/>
      <c r="RVG2478" s="60"/>
      <c r="RVH2478" s="60"/>
      <c r="RVI2478" s="63"/>
      <c r="RVJ2478" s="61"/>
      <c r="RVK2478" s="54"/>
      <c r="RVL2478" s="54"/>
      <c r="RVM2478" s="60"/>
      <c r="RVN2478" s="60"/>
      <c r="RVO2478" s="60"/>
      <c r="RVP2478" s="60"/>
      <c r="RVQ2478" s="63"/>
      <c r="RVR2478" s="61"/>
      <c r="RVS2478" s="54"/>
      <c r="RVT2478" s="54"/>
      <c r="RVU2478" s="60"/>
      <c r="RVV2478" s="60"/>
      <c r="RVW2478" s="60"/>
      <c r="RVX2478" s="60"/>
      <c r="RVY2478" s="63"/>
      <c r="RVZ2478" s="61"/>
      <c r="RWA2478" s="54"/>
      <c r="RWB2478" s="54"/>
      <c r="RWC2478" s="60"/>
      <c r="RWD2478" s="60"/>
      <c r="RWE2478" s="60"/>
      <c r="RWF2478" s="60"/>
      <c r="RWG2478" s="63"/>
      <c r="RWH2478" s="61"/>
      <c r="RWI2478" s="54"/>
      <c r="RWJ2478" s="54"/>
      <c r="RWK2478" s="60"/>
      <c r="RWL2478" s="60"/>
      <c r="RWM2478" s="60"/>
      <c r="RWN2478" s="60"/>
      <c r="RWO2478" s="63"/>
      <c r="RWP2478" s="61"/>
      <c r="RWQ2478" s="54"/>
      <c r="RWR2478" s="54"/>
      <c r="RWS2478" s="60"/>
      <c r="RWT2478" s="60"/>
      <c r="RWU2478" s="60"/>
      <c r="RWV2478" s="60"/>
      <c r="RWW2478" s="63"/>
      <c r="RWX2478" s="61"/>
      <c r="RWY2478" s="54"/>
      <c r="RWZ2478" s="54"/>
      <c r="RXA2478" s="60"/>
      <c r="RXB2478" s="60"/>
      <c r="RXC2478" s="60"/>
      <c r="RXD2478" s="60"/>
      <c r="RXE2478" s="63"/>
      <c r="RXF2478" s="61"/>
      <c r="RXG2478" s="54"/>
      <c r="RXH2478" s="54"/>
      <c r="RXI2478" s="60"/>
      <c r="RXJ2478" s="60"/>
      <c r="RXK2478" s="60"/>
      <c r="RXL2478" s="60"/>
      <c r="RXM2478" s="63"/>
      <c r="RXN2478" s="61"/>
      <c r="RXO2478" s="54"/>
      <c r="RXP2478" s="54"/>
      <c r="RXQ2478" s="60"/>
      <c r="RXR2478" s="60"/>
      <c r="RXS2478" s="60"/>
      <c r="RXT2478" s="60"/>
      <c r="RXU2478" s="63"/>
      <c r="RXV2478" s="61"/>
      <c r="RXW2478" s="54"/>
      <c r="RXX2478" s="54"/>
      <c r="RXY2478" s="60"/>
      <c r="RXZ2478" s="60"/>
      <c r="RYA2478" s="60"/>
      <c r="RYB2478" s="60"/>
      <c r="RYC2478" s="63"/>
      <c r="RYD2478" s="61"/>
      <c r="RYE2478" s="54"/>
      <c r="RYF2478" s="54"/>
      <c r="RYG2478" s="60"/>
      <c r="RYH2478" s="60"/>
      <c r="RYI2478" s="60"/>
      <c r="RYJ2478" s="60"/>
      <c r="RYK2478" s="63"/>
      <c r="RYL2478" s="61"/>
      <c r="RYM2478" s="54"/>
      <c r="RYN2478" s="54"/>
      <c r="RYO2478" s="60"/>
      <c r="RYP2478" s="60"/>
      <c r="RYQ2478" s="60"/>
      <c r="RYR2478" s="60"/>
      <c r="RYS2478" s="63"/>
      <c r="RYT2478" s="61"/>
      <c r="RYU2478" s="54"/>
      <c r="RYV2478" s="54"/>
      <c r="RYW2478" s="60"/>
      <c r="RYX2478" s="60"/>
      <c r="RYY2478" s="60"/>
      <c r="RYZ2478" s="60"/>
      <c r="RZA2478" s="63"/>
      <c r="RZB2478" s="61"/>
      <c r="RZC2478" s="54"/>
      <c r="RZD2478" s="54"/>
      <c r="RZE2478" s="60"/>
      <c r="RZF2478" s="60"/>
      <c r="RZG2478" s="60"/>
      <c r="RZH2478" s="60"/>
      <c r="RZI2478" s="63"/>
      <c r="RZJ2478" s="61"/>
      <c r="RZK2478" s="54"/>
      <c r="RZL2478" s="54"/>
      <c r="RZM2478" s="60"/>
      <c r="RZN2478" s="60"/>
      <c r="RZO2478" s="60"/>
      <c r="RZP2478" s="60"/>
      <c r="RZQ2478" s="63"/>
      <c r="RZR2478" s="61"/>
      <c r="RZS2478" s="54"/>
      <c r="RZT2478" s="54"/>
      <c r="RZU2478" s="60"/>
      <c r="RZV2478" s="60"/>
      <c r="RZW2478" s="60"/>
      <c r="RZX2478" s="60"/>
      <c r="RZY2478" s="63"/>
      <c r="RZZ2478" s="61"/>
      <c r="SAA2478" s="54"/>
      <c r="SAB2478" s="54"/>
      <c r="SAC2478" s="60"/>
      <c r="SAD2478" s="60"/>
      <c r="SAE2478" s="60"/>
      <c r="SAF2478" s="60"/>
      <c r="SAG2478" s="63"/>
      <c r="SAH2478" s="61"/>
      <c r="SAI2478" s="54"/>
      <c r="SAJ2478" s="54"/>
      <c r="SAK2478" s="60"/>
      <c r="SAL2478" s="60"/>
      <c r="SAM2478" s="60"/>
      <c r="SAN2478" s="60"/>
      <c r="SAO2478" s="63"/>
      <c r="SAP2478" s="61"/>
      <c r="SAQ2478" s="54"/>
      <c r="SAR2478" s="54"/>
      <c r="SAS2478" s="60"/>
      <c r="SAT2478" s="60"/>
      <c r="SAU2478" s="60"/>
      <c r="SAV2478" s="60"/>
      <c r="SAW2478" s="63"/>
      <c r="SAX2478" s="61"/>
      <c r="SAY2478" s="54"/>
      <c r="SAZ2478" s="54"/>
      <c r="SBA2478" s="60"/>
      <c r="SBB2478" s="60"/>
      <c r="SBC2478" s="60"/>
      <c r="SBD2478" s="60"/>
      <c r="SBE2478" s="63"/>
      <c r="SBF2478" s="61"/>
      <c r="SBG2478" s="54"/>
      <c r="SBH2478" s="54"/>
      <c r="SBI2478" s="60"/>
      <c r="SBJ2478" s="60"/>
      <c r="SBK2478" s="60"/>
      <c r="SBL2478" s="60"/>
      <c r="SBM2478" s="63"/>
      <c r="SBN2478" s="61"/>
      <c r="SBO2478" s="54"/>
      <c r="SBP2478" s="54"/>
      <c r="SBQ2478" s="60"/>
      <c r="SBR2478" s="60"/>
      <c r="SBS2478" s="60"/>
      <c r="SBT2478" s="60"/>
      <c r="SBU2478" s="63"/>
      <c r="SBV2478" s="61"/>
      <c r="SBW2478" s="54"/>
      <c r="SBX2478" s="54"/>
      <c r="SBY2478" s="60"/>
      <c r="SBZ2478" s="60"/>
      <c r="SCA2478" s="60"/>
      <c r="SCB2478" s="60"/>
      <c r="SCC2478" s="63"/>
      <c r="SCD2478" s="61"/>
      <c r="SCE2478" s="54"/>
      <c r="SCF2478" s="54"/>
      <c r="SCG2478" s="60"/>
      <c r="SCH2478" s="60"/>
      <c r="SCI2478" s="60"/>
      <c r="SCJ2478" s="60"/>
      <c r="SCK2478" s="63"/>
      <c r="SCL2478" s="61"/>
      <c r="SCM2478" s="54"/>
      <c r="SCN2478" s="54"/>
      <c r="SCO2478" s="60"/>
      <c r="SCP2478" s="60"/>
      <c r="SCQ2478" s="60"/>
      <c r="SCR2478" s="60"/>
      <c r="SCS2478" s="63"/>
      <c r="SCT2478" s="61"/>
      <c r="SCU2478" s="54"/>
      <c r="SCV2478" s="54"/>
      <c r="SCW2478" s="60"/>
      <c r="SCX2478" s="60"/>
      <c r="SCY2478" s="60"/>
      <c r="SCZ2478" s="60"/>
      <c r="SDA2478" s="63"/>
      <c r="SDB2478" s="61"/>
      <c r="SDC2478" s="54"/>
      <c r="SDD2478" s="54"/>
      <c r="SDE2478" s="60"/>
      <c r="SDF2478" s="60"/>
      <c r="SDG2478" s="60"/>
      <c r="SDH2478" s="60"/>
      <c r="SDI2478" s="63"/>
      <c r="SDJ2478" s="61"/>
      <c r="SDK2478" s="54"/>
      <c r="SDL2478" s="54"/>
      <c r="SDM2478" s="60"/>
      <c r="SDN2478" s="60"/>
      <c r="SDO2478" s="60"/>
      <c r="SDP2478" s="60"/>
      <c r="SDQ2478" s="63"/>
      <c r="SDR2478" s="61"/>
      <c r="SDS2478" s="54"/>
      <c r="SDT2478" s="54"/>
      <c r="SDU2478" s="60"/>
      <c r="SDV2478" s="60"/>
      <c r="SDW2478" s="60"/>
      <c r="SDX2478" s="60"/>
      <c r="SDY2478" s="63"/>
      <c r="SDZ2478" s="61"/>
      <c r="SEA2478" s="54"/>
      <c r="SEB2478" s="54"/>
      <c r="SEC2478" s="60"/>
      <c r="SED2478" s="60"/>
      <c r="SEE2478" s="60"/>
      <c r="SEF2478" s="60"/>
      <c r="SEG2478" s="63"/>
      <c r="SEH2478" s="61"/>
      <c r="SEI2478" s="54"/>
      <c r="SEJ2478" s="54"/>
      <c r="SEK2478" s="60"/>
      <c r="SEL2478" s="60"/>
      <c r="SEM2478" s="60"/>
      <c r="SEN2478" s="60"/>
      <c r="SEO2478" s="63"/>
      <c r="SEP2478" s="61"/>
      <c r="SEQ2478" s="54"/>
      <c r="SER2478" s="54"/>
      <c r="SES2478" s="60"/>
      <c r="SET2478" s="60"/>
      <c r="SEU2478" s="60"/>
      <c r="SEV2478" s="60"/>
      <c r="SEW2478" s="63"/>
      <c r="SEX2478" s="61"/>
      <c r="SEY2478" s="54"/>
      <c r="SEZ2478" s="54"/>
      <c r="SFA2478" s="60"/>
      <c r="SFB2478" s="60"/>
      <c r="SFC2478" s="60"/>
      <c r="SFD2478" s="60"/>
      <c r="SFE2478" s="63"/>
      <c r="SFF2478" s="61"/>
      <c r="SFG2478" s="54"/>
      <c r="SFH2478" s="54"/>
      <c r="SFI2478" s="60"/>
      <c r="SFJ2478" s="60"/>
      <c r="SFK2478" s="60"/>
      <c r="SFL2478" s="60"/>
      <c r="SFM2478" s="63"/>
      <c r="SFN2478" s="61"/>
      <c r="SFO2478" s="54"/>
      <c r="SFP2478" s="54"/>
      <c r="SFQ2478" s="60"/>
      <c r="SFR2478" s="60"/>
      <c r="SFS2478" s="60"/>
      <c r="SFT2478" s="60"/>
      <c r="SFU2478" s="63"/>
      <c r="SFV2478" s="61"/>
      <c r="SFW2478" s="54"/>
      <c r="SFX2478" s="54"/>
      <c r="SFY2478" s="60"/>
      <c r="SFZ2478" s="60"/>
      <c r="SGA2478" s="60"/>
      <c r="SGB2478" s="60"/>
      <c r="SGC2478" s="63"/>
      <c r="SGD2478" s="61"/>
      <c r="SGE2478" s="54"/>
      <c r="SGF2478" s="54"/>
      <c r="SGG2478" s="60"/>
      <c r="SGH2478" s="60"/>
      <c r="SGI2478" s="60"/>
      <c r="SGJ2478" s="60"/>
      <c r="SGK2478" s="63"/>
      <c r="SGL2478" s="61"/>
      <c r="SGM2478" s="54"/>
      <c r="SGN2478" s="54"/>
      <c r="SGO2478" s="60"/>
      <c r="SGP2478" s="60"/>
      <c r="SGQ2478" s="60"/>
      <c r="SGR2478" s="60"/>
      <c r="SGS2478" s="63"/>
      <c r="SGT2478" s="61"/>
      <c r="SGU2478" s="54"/>
      <c r="SGV2478" s="54"/>
      <c r="SGW2478" s="60"/>
      <c r="SGX2478" s="60"/>
      <c r="SGY2478" s="60"/>
      <c r="SGZ2478" s="60"/>
      <c r="SHA2478" s="63"/>
      <c r="SHB2478" s="61"/>
      <c r="SHC2478" s="54"/>
      <c r="SHD2478" s="54"/>
      <c r="SHE2478" s="60"/>
      <c r="SHF2478" s="60"/>
      <c r="SHG2478" s="60"/>
      <c r="SHH2478" s="60"/>
      <c r="SHI2478" s="63"/>
      <c r="SHJ2478" s="61"/>
      <c r="SHK2478" s="54"/>
      <c r="SHL2478" s="54"/>
      <c r="SHM2478" s="60"/>
      <c r="SHN2478" s="60"/>
      <c r="SHO2478" s="60"/>
      <c r="SHP2478" s="60"/>
      <c r="SHQ2478" s="63"/>
      <c r="SHR2478" s="61"/>
      <c r="SHS2478" s="54"/>
      <c r="SHT2478" s="54"/>
      <c r="SHU2478" s="60"/>
      <c r="SHV2478" s="60"/>
      <c r="SHW2478" s="60"/>
      <c r="SHX2478" s="60"/>
      <c r="SHY2478" s="63"/>
      <c r="SHZ2478" s="61"/>
      <c r="SIA2478" s="54"/>
      <c r="SIB2478" s="54"/>
      <c r="SIC2478" s="60"/>
      <c r="SID2478" s="60"/>
      <c r="SIE2478" s="60"/>
      <c r="SIF2478" s="60"/>
      <c r="SIG2478" s="63"/>
      <c r="SIH2478" s="61"/>
      <c r="SII2478" s="54"/>
      <c r="SIJ2478" s="54"/>
      <c r="SIK2478" s="60"/>
      <c r="SIL2478" s="60"/>
      <c r="SIM2478" s="60"/>
      <c r="SIN2478" s="60"/>
      <c r="SIO2478" s="63"/>
      <c r="SIP2478" s="61"/>
      <c r="SIQ2478" s="54"/>
      <c r="SIR2478" s="54"/>
      <c r="SIS2478" s="60"/>
      <c r="SIT2478" s="60"/>
      <c r="SIU2478" s="60"/>
      <c r="SIV2478" s="60"/>
      <c r="SIW2478" s="63"/>
      <c r="SIX2478" s="61"/>
      <c r="SIY2478" s="54"/>
      <c r="SIZ2478" s="54"/>
      <c r="SJA2478" s="60"/>
      <c r="SJB2478" s="60"/>
      <c r="SJC2478" s="60"/>
      <c r="SJD2478" s="60"/>
      <c r="SJE2478" s="63"/>
      <c r="SJF2478" s="61"/>
      <c r="SJG2478" s="54"/>
      <c r="SJH2478" s="54"/>
      <c r="SJI2478" s="60"/>
      <c r="SJJ2478" s="60"/>
      <c r="SJK2478" s="60"/>
      <c r="SJL2478" s="60"/>
      <c r="SJM2478" s="63"/>
      <c r="SJN2478" s="61"/>
      <c r="SJO2478" s="54"/>
      <c r="SJP2478" s="54"/>
      <c r="SJQ2478" s="60"/>
      <c r="SJR2478" s="60"/>
      <c r="SJS2478" s="60"/>
      <c r="SJT2478" s="60"/>
      <c r="SJU2478" s="63"/>
      <c r="SJV2478" s="61"/>
      <c r="SJW2478" s="54"/>
      <c r="SJX2478" s="54"/>
      <c r="SJY2478" s="60"/>
      <c r="SJZ2478" s="60"/>
      <c r="SKA2478" s="60"/>
      <c r="SKB2478" s="60"/>
      <c r="SKC2478" s="63"/>
      <c r="SKD2478" s="61"/>
      <c r="SKE2478" s="54"/>
      <c r="SKF2478" s="54"/>
      <c r="SKG2478" s="60"/>
      <c r="SKH2478" s="60"/>
      <c r="SKI2478" s="60"/>
      <c r="SKJ2478" s="60"/>
      <c r="SKK2478" s="63"/>
      <c r="SKL2478" s="61"/>
      <c r="SKM2478" s="54"/>
      <c r="SKN2478" s="54"/>
      <c r="SKO2478" s="60"/>
      <c r="SKP2478" s="60"/>
      <c r="SKQ2478" s="60"/>
      <c r="SKR2478" s="60"/>
      <c r="SKS2478" s="63"/>
      <c r="SKT2478" s="61"/>
      <c r="SKU2478" s="54"/>
      <c r="SKV2478" s="54"/>
      <c r="SKW2478" s="60"/>
      <c r="SKX2478" s="60"/>
      <c r="SKY2478" s="60"/>
      <c r="SKZ2478" s="60"/>
      <c r="SLA2478" s="63"/>
      <c r="SLB2478" s="61"/>
      <c r="SLC2478" s="54"/>
      <c r="SLD2478" s="54"/>
      <c r="SLE2478" s="60"/>
      <c r="SLF2478" s="60"/>
      <c r="SLG2478" s="60"/>
      <c r="SLH2478" s="60"/>
      <c r="SLI2478" s="63"/>
      <c r="SLJ2478" s="61"/>
      <c r="SLK2478" s="54"/>
      <c r="SLL2478" s="54"/>
      <c r="SLM2478" s="60"/>
      <c r="SLN2478" s="60"/>
      <c r="SLO2478" s="60"/>
      <c r="SLP2478" s="60"/>
      <c r="SLQ2478" s="63"/>
      <c r="SLR2478" s="61"/>
      <c r="SLS2478" s="54"/>
      <c r="SLT2478" s="54"/>
      <c r="SLU2478" s="60"/>
      <c r="SLV2478" s="60"/>
      <c r="SLW2478" s="60"/>
      <c r="SLX2478" s="60"/>
      <c r="SLY2478" s="63"/>
      <c r="SLZ2478" s="61"/>
      <c r="SMA2478" s="54"/>
      <c r="SMB2478" s="54"/>
      <c r="SMC2478" s="60"/>
      <c r="SMD2478" s="60"/>
      <c r="SME2478" s="60"/>
      <c r="SMF2478" s="60"/>
      <c r="SMG2478" s="63"/>
      <c r="SMH2478" s="61"/>
      <c r="SMI2478" s="54"/>
      <c r="SMJ2478" s="54"/>
      <c r="SMK2478" s="60"/>
      <c r="SML2478" s="60"/>
      <c r="SMM2478" s="60"/>
      <c r="SMN2478" s="60"/>
      <c r="SMO2478" s="63"/>
      <c r="SMP2478" s="61"/>
      <c r="SMQ2478" s="54"/>
      <c r="SMR2478" s="54"/>
      <c r="SMS2478" s="60"/>
      <c r="SMT2478" s="60"/>
      <c r="SMU2478" s="60"/>
      <c r="SMV2478" s="60"/>
      <c r="SMW2478" s="63"/>
      <c r="SMX2478" s="61"/>
      <c r="SMY2478" s="54"/>
      <c r="SMZ2478" s="54"/>
      <c r="SNA2478" s="60"/>
      <c r="SNB2478" s="60"/>
      <c r="SNC2478" s="60"/>
      <c r="SND2478" s="60"/>
      <c r="SNE2478" s="63"/>
      <c r="SNF2478" s="61"/>
      <c r="SNG2478" s="54"/>
      <c r="SNH2478" s="54"/>
      <c r="SNI2478" s="60"/>
      <c r="SNJ2478" s="60"/>
      <c r="SNK2478" s="60"/>
      <c r="SNL2478" s="60"/>
      <c r="SNM2478" s="63"/>
      <c r="SNN2478" s="61"/>
      <c r="SNO2478" s="54"/>
      <c r="SNP2478" s="54"/>
      <c r="SNQ2478" s="60"/>
      <c r="SNR2478" s="60"/>
      <c r="SNS2478" s="60"/>
      <c r="SNT2478" s="60"/>
      <c r="SNU2478" s="63"/>
      <c r="SNV2478" s="61"/>
      <c r="SNW2478" s="54"/>
      <c r="SNX2478" s="54"/>
      <c r="SNY2478" s="60"/>
      <c r="SNZ2478" s="60"/>
      <c r="SOA2478" s="60"/>
      <c r="SOB2478" s="60"/>
      <c r="SOC2478" s="63"/>
      <c r="SOD2478" s="61"/>
      <c r="SOE2478" s="54"/>
      <c r="SOF2478" s="54"/>
      <c r="SOG2478" s="60"/>
      <c r="SOH2478" s="60"/>
      <c r="SOI2478" s="60"/>
      <c r="SOJ2478" s="60"/>
      <c r="SOK2478" s="63"/>
      <c r="SOL2478" s="61"/>
      <c r="SOM2478" s="54"/>
      <c r="SON2478" s="54"/>
      <c r="SOO2478" s="60"/>
      <c r="SOP2478" s="60"/>
      <c r="SOQ2478" s="60"/>
      <c r="SOR2478" s="60"/>
      <c r="SOS2478" s="63"/>
      <c r="SOT2478" s="61"/>
      <c r="SOU2478" s="54"/>
      <c r="SOV2478" s="54"/>
      <c r="SOW2478" s="60"/>
      <c r="SOX2478" s="60"/>
      <c r="SOY2478" s="60"/>
      <c r="SOZ2478" s="60"/>
      <c r="SPA2478" s="63"/>
      <c r="SPB2478" s="61"/>
      <c r="SPC2478" s="54"/>
      <c r="SPD2478" s="54"/>
      <c r="SPE2478" s="60"/>
      <c r="SPF2478" s="60"/>
      <c r="SPG2478" s="60"/>
      <c r="SPH2478" s="60"/>
      <c r="SPI2478" s="63"/>
      <c r="SPJ2478" s="61"/>
      <c r="SPK2478" s="54"/>
      <c r="SPL2478" s="54"/>
      <c r="SPM2478" s="60"/>
      <c r="SPN2478" s="60"/>
      <c r="SPO2478" s="60"/>
      <c r="SPP2478" s="60"/>
      <c r="SPQ2478" s="63"/>
      <c r="SPR2478" s="61"/>
      <c r="SPS2478" s="54"/>
      <c r="SPT2478" s="54"/>
      <c r="SPU2478" s="60"/>
      <c r="SPV2478" s="60"/>
      <c r="SPW2478" s="60"/>
      <c r="SPX2478" s="60"/>
      <c r="SPY2478" s="63"/>
      <c r="SPZ2478" s="61"/>
      <c r="SQA2478" s="54"/>
      <c r="SQB2478" s="54"/>
      <c r="SQC2478" s="60"/>
      <c r="SQD2478" s="60"/>
      <c r="SQE2478" s="60"/>
      <c r="SQF2478" s="60"/>
      <c r="SQG2478" s="63"/>
      <c r="SQH2478" s="61"/>
      <c r="SQI2478" s="54"/>
      <c r="SQJ2478" s="54"/>
      <c r="SQK2478" s="60"/>
      <c r="SQL2478" s="60"/>
      <c r="SQM2478" s="60"/>
      <c r="SQN2478" s="60"/>
      <c r="SQO2478" s="63"/>
      <c r="SQP2478" s="61"/>
      <c r="SQQ2478" s="54"/>
      <c r="SQR2478" s="54"/>
      <c r="SQS2478" s="60"/>
      <c r="SQT2478" s="60"/>
      <c r="SQU2478" s="60"/>
      <c r="SQV2478" s="60"/>
      <c r="SQW2478" s="63"/>
      <c r="SQX2478" s="61"/>
      <c r="SQY2478" s="54"/>
      <c r="SQZ2478" s="54"/>
      <c r="SRA2478" s="60"/>
      <c r="SRB2478" s="60"/>
      <c r="SRC2478" s="60"/>
      <c r="SRD2478" s="60"/>
      <c r="SRE2478" s="63"/>
      <c r="SRF2478" s="61"/>
      <c r="SRG2478" s="54"/>
      <c r="SRH2478" s="54"/>
      <c r="SRI2478" s="60"/>
      <c r="SRJ2478" s="60"/>
      <c r="SRK2478" s="60"/>
      <c r="SRL2478" s="60"/>
      <c r="SRM2478" s="63"/>
      <c r="SRN2478" s="61"/>
      <c r="SRO2478" s="54"/>
      <c r="SRP2478" s="54"/>
      <c r="SRQ2478" s="60"/>
      <c r="SRR2478" s="60"/>
      <c r="SRS2478" s="60"/>
      <c r="SRT2478" s="60"/>
      <c r="SRU2478" s="63"/>
      <c r="SRV2478" s="61"/>
      <c r="SRW2478" s="54"/>
      <c r="SRX2478" s="54"/>
      <c r="SRY2478" s="60"/>
      <c r="SRZ2478" s="60"/>
      <c r="SSA2478" s="60"/>
      <c r="SSB2478" s="60"/>
      <c r="SSC2478" s="63"/>
      <c r="SSD2478" s="61"/>
      <c r="SSE2478" s="54"/>
      <c r="SSF2478" s="54"/>
      <c r="SSG2478" s="60"/>
      <c r="SSH2478" s="60"/>
      <c r="SSI2478" s="60"/>
      <c r="SSJ2478" s="60"/>
      <c r="SSK2478" s="63"/>
      <c r="SSL2478" s="61"/>
      <c r="SSM2478" s="54"/>
      <c r="SSN2478" s="54"/>
      <c r="SSO2478" s="60"/>
      <c r="SSP2478" s="60"/>
      <c r="SSQ2478" s="60"/>
      <c r="SSR2478" s="60"/>
      <c r="SSS2478" s="63"/>
      <c r="SST2478" s="61"/>
      <c r="SSU2478" s="54"/>
      <c r="SSV2478" s="54"/>
      <c r="SSW2478" s="60"/>
      <c r="SSX2478" s="60"/>
      <c r="SSY2478" s="60"/>
      <c r="SSZ2478" s="60"/>
      <c r="STA2478" s="63"/>
      <c r="STB2478" s="61"/>
      <c r="STC2478" s="54"/>
      <c r="STD2478" s="54"/>
      <c r="STE2478" s="60"/>
      <c r="STF2478" s="60"/>
      <c r="STG2478" s="60"/>
      <c r="STH2478" s="60"/>
      <c r="STI2478" s="63"/>
      <c r="STJ2478" s="61"/>
      <c r="STK2478" s="54"/>
      <c r="STL2478" s="54"/>
      <c r="STM2478" s="60"/>
      <c r="STN2478" s="60"/>
      <c r="STO2478" s="60"/>
      <c r="STP2478" s="60"/>
      <c r="STQ2478" s="63"/>
      <c r="STR2478" s="61"/>
      <c r="STS2478" s="54"/>
      <c r="STT2478" s="54"/>
      <c r="STU2478" s="60"/>
      <c r="STV2478" s="60"/>
      <c r="STW2478" s="60"/>
      <c r="STX2478" s="60"/>
      <c r="STY2478" s="63"/>
      <c r="STZ2478" s="61"/>
      <c r="SUA2478" s="54"/>
      <c r="SUB2478" s="54"/>
      <c r="SUC2478" s="60"/>
      <c r="SUD2478" s="60"/>
      <c r="SUE2478" s="60"/>
      <c r="SUF2478" s="60"/>
      <c r="SUG2478" s="63"/>
      <c r="SUH2478" s="61"/>
      <c r="SUI2478" s="54"/>
      <c r="SUJ2478" s="54"/>
      <c r="SUK2478" s="60"/>
      <c r="SUL2478" s="60"/>
      <c r="SUM2478" s="60"/>
      <c r="SUN2478" s="60"/>
      <c r="SUO2478" s="63"/>
      <c r="SUP2478" s="61"/>
      <c r="SUQ2478" s="54"/>
      <c r="SUR2478" s="54"/>
      <c r="SUS2478" s="60"/>
      <c r="SUT2478" s="60"/>
      <c r="SUU2478" s="60"/>
      <c r="SUV2478" s="60"/>
      <c r="SUW2478" s="63"/>
      <c r="SUX2478" s="61"/>
      <c r="SUY2478" s="54"/>
      <c r="SUZ2478" s="54"/>
      <c r="SVA2478" s="60"/>
      <c r="SVB2478" s="60"/>
      <c r="SVC2478" s="60"/>
      <c r="SVD2478" s="60"/>
      <c r="SVE2478" s="63"/>
      <c r="SVF2478" s="61"/>
      <c r="SVG2478" s="54"/>
      <c r="SVH2478" s="54"/>
      <c r="SVI2478" s="60"/>
      <c r="SVJ2478" s="60"/>
      <c r="SVK2478" s="60"/>
      <c r="SVL2478" s="60"/>
      <c r="SVM2478" s="63"/>
      <c r="SVN2478" s="61"/>
      <c r="SVO2478" s="54"/>
      <c r="SVP2478" s="54"/>
      <c r="SVQ2478" s="60"/>
      <c r="SVR2478" s="60"/>
      <c r="SVS2478" s="60"/>
      <c r="SVT2478" s="60"/>
      <c r="SVU2478" s="63"/>
      <c r="SVV2478" s="61"/>
      <c r="SVW2478" s="54"/>
      <c r="SVX2478" s="54"/>
      <c r="SVY2478" s="60"/>
      <c r="SVZ2478" s="60"/>
      <c r="SWA2478" s="60"/>
      <c r="SWB2478" s="60"/>
      <c r="SWC2478" s="63"/>
      <c r="SWD2478" s="61"/>
      <c r="SWE2478" s="54"/>
      <c r="SWF2478" s="54"/>
      <c r="SWG2478" s="60"/>
      <c r="SWH2478" s="60"/>
      <c r="SWI2478" s="60"/>
      <c r="SWJ2478" s="60"/>
      <c r="SWK2478" s="63"/>
      <c r="SWL2478" s="61"/>
      <c r="SWM2478" s="54"/>
      <c r="SWN2478" s="54"/>
      <c r="SWO2478" s="60"/>
      <c r="SWP2478" s="60"/>
      <c r="SWQ2478" s="60"/>
      <c r="SWR2478" s="60"/>
      <c r="SWS2478" s="63"/>
      <c r="SWT2478" s="61"/>
      <c r="SWU2478" s="54"/>
      <c r="SWV2478" s="54"/>
      <c r="SWW2478" s="60"/>
      <c r="SWX2478" s="60"/>
      <c r="SWY2478" s="60"/>
      <c r="SWZ2478" s="60"/>
      <c r="SXA2478" s="63"/>
      <c r="SXB2478" s="61"/>
      <c r="SXC2478" s="54"/>
      <c r="SXD2478" s="54"/>
      <c r="SXE2478" s="60"/>
      <c r="SXF2478" s="60"/>
      <c r="SXG2478" s="60"/>
      <c r="SXH2478" s="60"/>
      <c r="SXI2478" s="63"/>
      <c r="SXJ2478" s="61"/>
      <c r="SXK2478" s="54"/>
      <c r="SXL2478" s="54"/>
      <c r="SXM2478" s="60"/>
      <c r="SXN2478" s="60"/>
      <c r="SXO2478" s="60"/>
      <c r="SXP2478" s="60"/>
      <c r="SXQ2478" s="63"/>
      <c r="SXR2478" s="61"/>
      <c r="SXS2478" s="54"/>
      <c r="SXT2478" s="54"/>
      <c r="SXU2478" s="60"/>
      <c r="SXV2478" s="60"/>
      <c r="SXW2478" s="60"/>
      <c r="SXX2478" s="60"/>
      <c r="SXY2478" s="63"/>
      <c r="SXZ2478" s="61"/>
      <c r="SYA2478" s="54"/>
      <c r="SYB2478" s="54"/>
      <c r="SYC2478" s="60"/>
      <c r="SYD2478" s="60"/>
      <c r="SYE2478" s="60"/>
      <c r="SYF2478" s="60"/>
      <c r="SYG2478" s="63"/>
      <c r="SYH2478" s="61"/>
      <c r="SYI2478" s="54"/>
      <c r="SYJ2478" s="54"/>
      <c r="SYK2478" s="60"/>
      <c r="SYL2478" s="60"/>
      <c r="SYM2478" s="60"/>
      <c r="SYN2478" s="60"/>
      <c r="SYO2478" s="63"/>
      <c r="SYP2478" s="61"/>
      <c r="SYQ2478" s="54"/>
      <c r="SYR2478" s="54"/>
      <c r="SYS2478" s="60"/>
      <c r="SYT2478" s="60"/>
      <c r="SYU2478" s="60"/>
      <c r="SYV2478" s="60"/>
      <c r="SYW2478" s="63"/>
      <c r="SYX2478" s="61"/>
      <c r="SYY2478" s="54"/>
      <c r="SYZ2478" s="54"/>
      <c r="SZA2478" s="60"/>
      <c r="SZB2478" s="60"/>
      <c r="SZC2478" s="60"/>
      <c r="SZD2478" s="60"/>
      <c r="SZE2478" s="63"/>
      <c r="SZF2478" s="61"/>
      <c r="SZG2478" s="54"/>
      <c r="SZH2478" s="54"/>
      <c r="SZI2478" s="60"/>
      <c r="SZJ2478" s="60"/>
      <c r="SZK2478" s="60"/>
      <c r="SZL2478" s="60"/>
      <c r="SZM2478" s="63"/>
      <c r="SZN2478" s="61"/>
      <c r="SZO2478" s="54"/>
      <c r="SZP2478" s="54"/>
      <c r="SZQ2478" s="60"/>
      <c r="SZR2478" s="60"/>
      <c r="SZS2478" s="60"/>
      <c r="SZT2478" s="60"/>
      <c r="SZU2478" s="63"/>
      <c r="SZV2478" s="61"/>
      <c r="SZW2478" s="54"/>
      <c r="SZX2478" s="54"/>
      <c r="SZY2478" s="60"/>
      <c r="SZZ2478" s="60"/>
      <c r="TAA2478" s="60"/>
      <c r="TAB2478" s="60"/>
      <c r="TAC2478" s="63"/>
      <c r="TAD2478" s="61"/>
      <c r="TAE2478" s="54"/>
      <c r="TAF2478" s="54"/>
      <c r="TAG2478" s="60"/>
      <c r="TAH2478" s="60"/>
      <c r="TAI2478" s="60"/>
      <c r="TAJ2478" s="60"/>
      <c r="TAK2478" s="63"/>
      <c r="TAL2478" s="61"/>
      <c r="TAM2478" s="54"/>
      <c r="TAN2478" s="54"/>
      <c r="TAO2478" s="60"/>
      <c r="TAP2478" s="60"/>
      <c r="TAQ2478" s="60"/>
      <c r="TAR2478" s="60"/>
      <c r="TAS2478" s="63"/>
      <c r="TAT2478" s="61"/>
      <c r="TAU2478" s="54"/>
      <c r="TAV2478" s="54"/>
      <c r="TAW2478" s="60"/>
      <c r="TAX2478" s="60"/>
      <c r="TAY2478" s="60"/>
      <c r="TAZ2478" s="60"/>
      <c r="TBA2478" s="63"/>
      <c r="TBB2478" s="61"/>
      <c r="TBC2478" s="54"/>
      <c r="TBD2478" s="54"/>
      <c r="TBE2478" s="60"/>
      <c r="TBF2478" s="60"/>
      <c r="TBG2478" s="60"/>
      <c r="TBH2478" s="60"/>
      <c r="TBI2478" s="63"/>
      <c r="TBJ2478" s="61"/>
      <c r="TBK2478" s="54"/>
      <c r="TBL2478" s="54"/>
      <c r="TBM2478" s="60"/>
      <c r="TBN2478" s="60"/>
      <c r="TBO2478" s="60"/>
      <c r="TBP2478" s="60"/>
      <c r="TBQ2478" s="63"/>
      <c r="TBR2478" s="61"/>
      <c r="TBS2478" s="54"/>
      <c r="TBT2478" s="54"/>
      <c r="TBU2478" s="60"/>
      <c r="TBV2478" s="60"/>
      <c r="TBW2478" s="60"/>
      <c r="TBX2478" s="60"/>
      <c r="TBY2478" s="63"/>
      <c r="TBZ2478" s="61"/>
      <c r="TCA2478" s="54"/>
      <c r="TCB2478" s="54"/>
      <c r="TCC2478" s="60"/>
      <c r="TCD2478" s="60"/>
      <c r="TCE2478" s="60"/>
      <c r="TCF2478" s="60"/>
      <c r="TCG2478" s="63"/>
      <c r="TCH2478" s="61"/>
      <c r="TCI2478" s="54"/>
      <c r="TCJ2478" s="54"/>
      <c r="TCK2478" s="60"/>
      <c r="TCL2478" s="60"/>
      <c r="TCM2478" s="60"/>
      <c r="TCN2478" s="60"/>
      <c r="TCO2478" s="63"/>
      <c r="TCP2478" s="61"/>
      <c r="TCQ2478" s="54"/>
      <c r="TCR2478" s="54"/>
      <c r="TCS2478" s="60"/>
      <c r="TCT2478" s="60"/>
      <c r="TCU2478" s="60"/>
      <c r="TCV2478" s="60"/>
      <c r="TCW2478" s="63"/>
      <c r="TCX2478" s="61"/>
      <c r="TCY2478" s="54"/>
      <c r="TCZ2478" s="54"/>
      <c r="TDA2478" s="60"/>
      <c r="TDB2478" s="60"/>
      <c r="TDC2478" s="60"/>
      <c r="TDD2478" s="60"/>
      <c r="TDE2478" s="63"/>
      <c r="TDF2478" s="61"/>
      <c r="TDG2478" s="54"/>
      <c r="TDH2478" s="54"/>
      <c r="TDI2478" s="60"/>
      <c r="TDJ2478" s="60"/>
      <c r="TDK2478" s="60"/>
      <c r="TDL2478" s="60"/>
      <c r="TDM2478" s="63"/>
      <c r="TDN2478" s="61"/>
      <c r="TDO2478" s="54"/>
      <c r="TDP2478" s="54"/>
      <c r="TDQ2478" s="60"/>
      <c r="TDR2478" s="60"/>
      <c r="TDS2478" s="60"/>
      <c r="TDT2478" s="60"/>
      <c r="TDU2478" s="63"/>
      <c r="TDV2478" s="61"/>
      <c r="TDW2478" s="54"/>
      <c r="TDX2478" s="54"/>
      <c r="TDY2478" s="60"/>
      <c r="TDZ2478" s="60"/>
      <c r="TEA2478" s="60"/>
      <c r="TEB2478" s="60"/>
      <c r="TEC2478" s="63"/>
      <c r="TED2478" s="61"/>
      <c r="TEE2478" s="54"/>
      <c r="TEF2478" s="54"/>
      <c r="TEG2478" s="60"/>
      <c r="TEH2478" s="60"/>
      <c r="TEI2478" s="60"/>
      <c r="TEJ2478" s="60"/>
      <c r="TEK2478" s="63"/>
      <c r="TEL2478" s="61"/>
      <c r="TEM2478" s="54"/>
      <c r="TEN2478" s="54"/>
      <c r="TEO2478" s="60"/>
      <c r="TEP2478" s="60"/>
      <c r="TEQ2478" s="60"/>
      <c r="TER2478" s="60"/>
      <c r="TES2478" s="63"/>
      <c r="TET2478" s="61"/>
      <c r="TEU2478" s="54"/>
      <c r="TEV2478" s="54"/>
      <c r="TEW2478" s="60"/>
      <c r="TEX2478" s="60"/>
      <c r="TEY2478" s="60"/>
      <c r="TEZ2478" s="60"/>
      <c r="TFA2478" s="63"/>
      <c r="TFB2478" s="61"/>
      <c r="TFC2478" s="54"/>
      <c r="TFD2478" s="54"/>
      <c r="TFE2478" s="60"/>
      <c r="TFF2478" s="60"/>
      <c r="TFG2478" s="60"/>
      <c r="TFH2478" s="60"/>
      <c r="TFI2478" s="63"/>
      <c r="TFJ2478" s="61"/>
      <c r="TFK2478" s="54"/>
      <c r="TFL2478" s="54"/>
      <c r="TFM2478" s="60"/>
      <c r="TFN2478" s="60"/>
      <c r="TFO2478" s="60"/>
      <c r="TFP2478" s="60"/>
      <c r="TFQ2478" s="63"/>
      <c r="TFR2478" s="61"/>
      <c r="TFS2478" s="54"/>
      <c r="TFT2478" s="54"/>
      <c r="TFU2478" s="60"/>
      <c r="TFV2478" s="60"/>
      <c r="TFW2478" s="60"/>
      <c r="TFX2478" s="60"/>
      <c r="TFY2478" s="63"/>
      <c r="TFZ2478" s="61"/>
      <c r="TGA2478" s="54"/>
      <c r="TGB2478" s="54"/>
      <c r="TGC2478" s="60"/>
      <c r="TGD2478" s="60"/>
      <c r="TGE2478" s="60"/>
      <c r="TGF2478" s="60"/>
      <c r="TGG2478" s="63"/>
      <c r="TGH2478" s="61"/>
      <c r="TGI2478" s="54"/>
      <c r="TGJ2478" s="54"/>
      <c r="TGK2478" s="60"/>
      <c r="TGL2478" s="60"/>
      <c r="TGM2478" s="60"/>
      <c r="TGN2478" s="60"/>
      <c r="TGO2478" s="63"/>
      <c r="TGP2478" s="61"/>
      <c r="TGQ2478" s="54"/>
      <c r="TGR2478" s="54"/>
      <c r="TGS2478" s="60"/>
      <c r="TGT2478" s="60"/>
      <c r="TGU2478" s="60"/>
      <c r="TGV2478" s="60"/>
      <c r="TGW2478" s="63"/>
      <c r="TGX2478" s="61"/>
      <c r="TGY2478" s="54"/>
      <c r="TGZ2478" s="54"/>
      <c r="THA2478" s="60"/>
      <c r="THB2478" s="60"/>
      <c r="THC2478" s="60"/>
      <c r="THD2478" s="60"/>
      <c r="THE2478" s="63"/>
      <c r="THF2478" s="61"/>
      <c r="THG2478" s="54"/>
      <c r="THH2478" s="54"/>
      <c r="THI2478" s="60"/>
      <c r="THJ2478" s="60"/>
      <c r="THK2478" s="60"/>
      <c r="THL2478" s="60"/>
      <c r="THM2478" s="63"/>
      <c r="THN2478" s="61"/>
      <c r="THO2478" s="54"/>
      <c r="THP2478" s="54"/>
      <c r="THQ2478" s="60"/>
      <c r="THR2478" s="60"/>
      <c r="THS2478" s="60"/>
      <c r="THT2478" s="60"/>
      <c r="THU2478" s="63"/>
      <c r="THV2478" s="61"/>
      <c r="THW2478" s="54"/>
      <c r="THX2478" s="54"/>
      <c r="THY2478" s="60"/>
      <c r="THZ2478" s="60"/>
      <c r="TIA2478" s="60"/>
      <c r="TIB2478" s="60"/>
      <c r="TIC2478" s="63"/>
      <c r="TID2478" s="61"/>
      <c r="TIE2478" s="54"/>
      <c r="TIF2478" s="54"/>
      <c r="TIG2478" s="60"/>
      <c r="TIH2478" s="60"/>
      <c r="TII2478" s="60"/>
      <c r="TIJ2478" s="60"/>
      <c r="TIK2478" s="63"/>
      <c r="TIL2478" s="61"/>
      <c r="TIM2478" s="54"/>
      <c r="TIN2478" s="54"/>
      <c r="TIO2478" s="60"/>
      <c r="TIP2478" s="60"/>
      <c r="TIQ2478" s="60"/>
      <c r="TIR2478" s="60"/>
      <c r="TIS2478" s="63"/>
      <c r="TIT2478" s="61"/>
      <c r="TIU2478" s="54"/>
      <c r="TIV2478" s="54"/>
      <c r="TIW2478" s="60"/>
      <c r="TIX2478" s="60"/>
      <c r="TIY2478" s="60"/>
      <c r="TIZ2478" s="60"/>
      <c r="TJA2478" s="63"/>
      <c r="TJB2478" s="61"/>
      <c r="TJC2478" s="54"/>
      <c r="TJD2478" s="54"/>
      <c r="TJE2478" s="60"/>
      <c r="TJF2478" s="60"/>
      <c r="TJG2478" s="60"/>
      <c r="TJH2478" s="60"/>
      <c r="TJI2478" s="63"/>
      <c r="TJJ2478" s="61"/>
      <c r="TJK2478" s="54"/>
      <c r="TJL2478" s="54"/>
      <c r="TJM2478" s="60"/>
      <c r="TJN2478" s="60"/>
      <c r="TJO2478" s="60"/>
      <c r="TJP2478" s="60"/>
      <c r="TJQ2478" s="63"/>
      <c r="TJR2478" s="61"/>
      <c r="TJS2478" s="54"/>
      <c r="TJT2478" s="54"/>
      <c r="TJU2478" s="60"/>
      <c r="TJV2478" s="60"/>
      <c r="TJW2478" s="60"/>
      <c r="TJX2478" s="60"/>
      <c r="TJY2478" s="63"/>
      <c r="TJZ2478" s="61"/>
      <c r="TKA2478" s="54"/>
      <c r="TKB2478" s="54"/>
      <c r="TKC2478" s="60"/>
      <c r="TKD2478" s="60"/>
      <c r="TKE2478" s="60"/>
      <c r="TKF2478" s="60"/>
      <c r="TKG2478" s="63"/>
      <c r="TKH2478" s="61"/>
      <c r="TKI2478" s="54"/>
      <c r="TKJ2478" s="54"/>
      <c r="TKK2478" s="60"/>
      <c r="TKL2478" s="60"/>
      <c r="TKM2478" s="60"/>
      <c r="TKN2478" s="60"/>
      <c r="TKO2478" s="63"/>
      <c r="TKP2478" s="61"/>
      <c r="TKQ2478" s="54"/>
      <c r="TKR2478" s="54"/>
      <c r="TKS2478" s="60"/>
      <c r="TKT2478" s="60"/>
      <c r="TKU2478" s="60"/>
      <c r="TKV2478" s="60"/>
      <c r="TKW2478" s="63"/>
      <c r="TKX2478" s="61"/>
      <c r="TKY2478" s="54"/>
      <c r="TKZ2478" s="54"/>
      <c r="TLA2478" s="60"/>
      <c r="TLB2478" s="60"/>
      <c r="TLC2478" s="60"/>
      <c r="TLD2478" s="60"/>
      <c r="TLE2478" s="63"/>
      <c r="TLF2478" s="61"/>
      <c r="TLG2478" s="54"/>
      <c r="TLH2478" s="54"/>
      <c r="TLI2478" s="60"/>
      <c r="TLJ2478" s="60"/>
      <c r="TLK2478" s="60"/>
      <c r="TLL2478" s="60"/>
      <c r="TLM2478" s="63"/>
      <c r="TLN2478" s="61"/>
      <c r="TLO2478" s="54"/>
      <c r="TLP2478" s="54"/>
      <c r="TLQ2478" s="60"/>
      <c r="TLR2478" s="60"/>
      <c r="TLS2478" s="60"/>
      <c r="TLT2478" s="60"/>
      <c r="TLU2478" s="63"/>
      <c r="TLV2478" s="61"/>
      <c r="TLW2478" s="54"/>
      <c r="TLX2478" s="54"/>
      <c r="TLY2478" s="60"/>
      <c r="TLZ2478" s="60"/>
      <c r="TMA2478" s="60"/>
      <c r="TMB2478" s="60"/>
      <c r="TMC2478" s="63"/>
      <c r="TMD2478" s="61"/>
      <c r="TME2478" s="54"/>
      <c r="TMF2478" s="54"/>
      <c r="TMG2478" s="60"/>
      <c r="TMH2478" s="60"/>
      <c r="TMI2478" s="60"/>
      <c r="TMJ2478" s="60"/>
      <c r="TMK2478" s="63"/>
      <c r="TML2478" s="61"/>
      <c r="TMM2478" s="54"/>
      <c r="TMN2478" s="54"/>
      <c r="TMO2478" s="60"/>
      <c r="TMP2478" s="60"/>
      <c r="TMQ2478" s="60"/>
      <c r="TMR2478" s="60"/>
      <c r="TMS2478" s="63"/>
      <c r="TMT2478" s="61"/>
      <c r="TMU2478" s="54"/>
      <c r="TMV2478" s="54"/>
      <c r="TMW2478" s="60"/>
      <c r="TMX2478" s="60"/>
      <c r="TMY2478" s="60"/>
      <c r="TMZ2478" s="60"/>
      <c r="TNA2478" s="63"/>
      <c r="TNB2478" s="61"/>
      <c r="TNC2478" s="54"/>
      <c r="TND2478" s="54"/>
      <c r="TNE2478" s="60"/>
      <c r="TNF2478" s="60"/>
      <c r="TNG2478" s="60"/>
      <c r="TNH2478" s="60"/>
      <c r="TNI2478" s="63"/>
      <c r="TNJ2478" s="61"/>
      <c r="TNK2478" s="54"/>
      <c r="TNL2478" s="54"/>
      <c r="TNM2478" s="60"/>
      <c r="TNN2478" s="60"/>
      <c r="TNO2478" s="60"/>
      <c r="TNP2478" s="60"/>
      <c r="TNQ2478" s="63"/>
      <c r="TNR2478" s="61"/>
      <c r="TNS2478" s="54"/>
      <c r="TNT2478" s="54"/>
      <c r="TNU2478" s="60"/>
      <c r="TNV2478" s="60"/>
      <c r="TNW2478" s="60"/>
      <c r="TNX2478" s="60"/>
      <c r="TNY2478" s="63"/>
      <c r="TNZ2478" s="61"/>
      <c r="TOA2478" s="54"/>
      <c r="TOB2478" s="54"/>
      <c r="TOC2478" s="60"/>
      <c r="TOD2478" s="60"/>
      <c r="TOE2478" s="60"/>
      <c r="TOF2478" s="60"/>
      <c r="TOG2478" s="63"/>
      <c r="TOH2478" s="61"/>
      <c r="TOI2478" s="54"/>
      <c r="TOJ2478" s="54"/>
      <c r="TOK2478" s="60"/>
      <c r="TOL2478" s="60"/>
      <c r="TOM2478" s="60"/>
      <c r="TON2478" s="60"/>
      <c r="TOO2478" s="63"/>
      <c r="TOP2478" s="61"/>
      <c r="TOQ2478" s="54"/>
      <c r="TOR2478" s="54"/>
      <c r="TOS2478" s="60"/>
      <c r="TOT2478" s="60"/>
      <c r="TOU2478" s="60"/>
      <c r="TOV2478" s="60"/>
      <c r="TOW2478" s="63"/>
      <c r="TOX2478" s="61"/>
      <c r="TOY2478" s="54"/>
      <c r="TOZ2478" s="54"/>
      <c r="TPA2478" s="60"/>
      <c r="TPB2478" s="60"/>
      <c r="TPC2478" s="60"/>
      <c r="TPD2478" s="60"/>
      <c r="TPE2478" s="63"/>
      <c r="TPF2478" s="61"/>
      <c r="TPG2478" s="54"/>
      <c r="TPH2478" s="54"/>
      <c r="TPI2478" s="60"/>
      <c r="TPJ2478" s="60"/>
      <c r="TPK2478" s="60"/>
      <c r="TPL2478" s="60"/>
      <c r="TPM2478" s="63"/>
      <c r="TPN2478" s="61"/>
      <c r="TPO2478" s="54"/>
      <c r="TPP2478" s="54"/>
      <c r="TPQ2478" s="60"/>
      <c r="TPR2478" s="60"/>
      <c r="TPS2478" s="60"/>
      <c r="TPT2478" s="60"/>
      <c r="TPU2478" s="63"/>
      <c r="TPV2478" s="61"/>
      <c r="TPW2478" s="54"/>
      <c r="TPX2478" s="54"/>
      <c r="TPY2478" s="60"/>
      <c r="TPZ2478" s="60"/>
      <c r="TQA2478" s="60"/>
      <c r="TQB2478" s="60"/>
      <c r="TQC2478" s="63"/>
      <c r="TQD2478" s="61"/>
      <c r="TQE2478" s="54"/>
      <c r="TQF2478" s="54"/>
      <c r="TQG2478" s="60"/>
      <c r="TQH2478" s="60"/>
      <c r="TQI2478" s="60"/>
      <c r="TQJ2478" s="60"/>
      <c r="TQK2478" s="63"/>
      <c r="TQL2478" s="61"/>
      <c r="TQM2478" s="54"/>
      <c r="TQN2478" s="54"/>
      <c r="TQO2478" s="60"/>
      <c r="TQP2478" s="60"/>
      <c r="TQQ2478" s="60"/>
      <c r="TQR2478" s="60"/>
      <c r="TQS2478" s="63"/>
      <c r="TQT2478" s="61"/>
      <c r="TQU2478" s="54"/>
      <c r="TQV2478" s="54"/>
      <c r="TQW2478" s="60"/>
      <c r="TQX2478" s="60"/>
      <c r="TQY2478" s="60"/>
      <c r="TQZ2478" s="60"/>
      <c r="TRA2478" s="63"/>
      <c r="TRB2478" s="61"/>
      <c r="TRC2478" s="54"/>
      <c r="TRD2478" s="54"/>
      <c r="TRE2478" s="60"/>
      <c r="TRF2478" s="60"/>
      <c r="TRG2478" s="60"/>
      <c r="TRH2478" s="60"/>
      <c r="TRI2478" s="63"/>
      <c r="TRJ2478" s="61"/>
      <c r="TRK2478" s="54"/>
      <c r="TRL2478" s="54"/>
      <c r="TRM2478" s="60"/>
      <c r="TRN2478" s="60"/>
      <c r="TRO2478" s="60"/>
      <c r="TRP2478" s="60"/>
      <c r="TRQ2478" s="63"/>
      <c r="TRR2478" s="61"/>
      <c r="TRS2478" s="54"/>
      <c r="TRT2478" s="54"/>
      <c r="TRU2478" s="60"/>
      <c r="TRV2478" s="60"/>
      <c r="TRW2478" s="60"/>
      <c r="TRX2478" s="60"/>
      <c r="TRY2478" s="63"/>
      <c r="TRZ2478" s="61"/>
      <c r="TSA2478" s="54"/>
      <c r="TSB2478" s="54"/>
      <c r="TSC2478" s="60"/>
      <c r="TSD2478" s="60"/>
      <c r="TSE2478" s="60"/>
      <c r="TSF2478" s="60"/>
      <c r="TSG2478" s="63"/>
      <c r="TSH2478" s="61"/>
      <c r="TSI2478" s="54"/>
      <c r="TSJ2478" s="54"/>
      <c r="TSK2478" s="60"/>
      <c r="TSL2478" s="60"/>
      <c r="TSM2478" s="60"/>
      <c r="TSN2478" s="60"/>
      <c r="TSO2478" s="63"/>
      <c r="TSP2478" s="61"/>
      <c r="TSQ2478" s="54"/>
      <c r="TSR2478" s="54"/>
      <c r="TSS2478" s="60"/>
      <c r="TST2478" s="60"/>
      <c r="TSU2478" s="60"/>
      <c r="TSV2478" s="60"/>
      <c r="TSW2478" s="63"/>
      <c r="TSX2478" s="61"/>
      <c r="TSY2478" s="54"/>
      <c r="TSZ2478" s="54"/>
      <c r="TTA2478" s="60"/>
      <c r="TTB2478" s="60"/>
      <c r="TTC2478" s="60"/>
      <c r="TTD2478" s="60"/>
      <c r="TTE2478" s="63"/>
      <c r="TTF2478" s="61"/>
      <c r="TTG2478" s="54"/>
      <c r="TTH2478" s="54"/>
      <c r="TTI2478" s="60"/>
      <c r="TTJ2478" s="60"/>
      <c r="TTK2478" s="60"/>
      <c r="TTL2478" s="60"/>
      <c r="TTM2478" s="63"/>
      <c r="TTN2478" s="61"/>
      <c r="TTO2478" s="54"/>
      <c r="TTP2478" s="54"/>
      <c r="TTQ2478" s="60"/>
      <c r="TTR2478" s="60"/>
      <c r="TTS2478" s="60"/>
      <c r="TTT2478" s="60"/>
      <c r="TTU2478" s="63"/>
      <c r="TTV2478" s="61"/>
      <c r="TTW2478" s="54"/>
      <c r="TTX2478" s="54"/>
      <c r="TTY2478" s="60"/>
      <c r="TTZ2478" s="60"/>
      <c r="TUA2478" s="60"/>
      <c r="TUB2478" s="60"/>
      <c r="TUC2478" s="63"/>
      <c r="TUD2478" s="61"/>
      <c r="TUE2478" s="54"/>
      <c r="TUF2478" s="54"/>
      <c r="TUG2478" s="60"/>
      <c r="TUH2478" s="60"/>
      <c r="TUI2478" s="60"/>
      <c r="TUJ2478" s="60"/>
      <c r="TUK2478" s="63"/>
      <c r="TUL2478" s="61"/>
      <c r="TUM2478" s="54"/>
      <c r="TUN2478" s="54"/>
      <c r="TUO2478" s="60"/>
      <c r="TUP2478" s="60"/>
      <c r="TUQ2478" s="60"/>
      <c r="TUR2478" s="60"/>
      <c r="TUS2478" s="63"/>
      <c r="TUT2478" s="61"/>
      <c r="TUU2478" s="54"/>
      <c r="TUV2478" s="54"/>
      <c r="TUW2478" s="60"/>
      <c r="TUX2478" s="60"/>
      <c r="TUY2478" s="60"/>
      <c r="TUZ2478" s="60"/>
      <c r="TVA2478" s="63"/>
      <c r="TVB2478" s="61"/>
      <c r="TVC2478" s="54"/>
      <c r="TVD2478" s="54"/>
      <c r="TVE2478" s="60"/>
      <c r="TVF2478" s="60"/>
      <c r="TVG2478" s="60"/>
      <c r="TVH2478" s="60"/>
      <c r="TVI2478" s="63"/>
      <c r="TVJ2478" s="61"/>
      <c r="TVK2478" s="54"/>
      <c r="TVL2478" s="54"/>
      <c r="TVM2478" s="60"/>
      <c r="TVN2478" s="60"/>
      <c r="TVO2478" s="60"/>
      <c r="TVP2478" s="60"/>
      <c r="TVQ2478" s="63"/>
      <c r="TVR2478" s="61"/>
      <c r="TVS2478" s="54"/>
      <c r="TVT2478" s="54"/>
      <c r="TVU2478" s="60"/>
      <c r="TVV2478" s="60"/>
      <c r="TVW2478" s="60"/>
      <c r="TVX2478" s="60"/>
      <c r="TVY2478" s="63"/>
      <c r="TVZ2478" s="61"/>
      <c r="TWA2478" s="54"/>
      <c r="TWB2478" s="54"/>
      <c r="TWC2478" s="60"/>
      <c r="TWD2478" s="60"/>
      <c r="TWE2478" s="60"/>
      <c r="TWF2478" s="60"/>
      <c r="TWG2478" s="63"/>
      <c r="TWH2478" s="61"/>
      <c r="TWI2478" s="54"/>
      <c r="TWJ2478" s="54"/>
      <c r="TWK2478" s="60"/>
      <c r="TWL2478" s="60"/>
      <c r="TWM2478" s="60"/>
      <c r="TWN2478" s="60"/>
      <c r="TWO2478" s="63"/>
      <c r="TWP2478" s="61"/>
      <c r="TWQ2478" s="54"/>
      <c r="TWR2478" s="54"/>
      <c r="TWS2478" s="60"/>
      <c r="TWT2478" s="60"/>
      <c r="TWU2478" s="60"/>
      <c r="TWV2478" s="60"/>
      <c r="TWW2478" s="63"/>
      <c r="TWX2478" s="61"/>
      <c r="TWY2478" s="54"/>
      <c r="TWZ2478" s="54"/>
      <c r="TXA2478" s="60"/>
      <c r="TXB2478" s="60"/>
      <c r="TXC2478" s="60"/>
      <c r="TXD2478" s="60"/>
      <c r="TXE2478" s="63"/>
      <c r="TXF2478" s="61"/>
      <c r="TXG2478" s="54"/>
      <c r="TXH2478" s="54"/>
      <c r="TXI2478" s="60"/>
      <c r="TXJ2478" s="60"/>
      <c r="TXK2478" s="60"/>
      <c r="TXL2478" s="60"/>
      <c r="TXM2478" s="63"/>
      <c r="TXN2478" s="61"/>
      <c r="TXO2478" s="54"/>
      <c r="TXP2478" s="54"/>
      <c r="TXQ2478" s="60"/>
      <c r="TXR2478" s="60"/>
      <c r="TXS2478" s="60"/>
      <c r="TXT2478" s="60"/>
      <c r="TXU2478" s="63"/>
      <c r="TXV2478" s="61"/>
      <c r="TXW2478" s="54"/>
      <c r="TXX2478" s="54"/>
      <c r="TXY2478" s="60"/>
      <c r="TXZ2478" s="60"/>
      <c r="TYA2478" s="60"/>
      <c r="TYB2478" s="60"/>
      <c r="TYC2478" s="63"/>
      <c r="TYD2478" s="61"/>
      <c r="TYE2478" s="54"/>
      <c r="TYF2478" s="54"/>
      <c r="TYG2478" s="60"/>
      <c r="TYH2478" s="60"/>
      <c r="TYI2478" s="60"/>
      <c r="TYJ2478" s="60"/>
      <c r="TYK2478" s="63"/>
      <c r="TYL2478" s="61"/>
      <c r="TYM2478" s="54"/>
      <c r="TYN2478" s="54"/>
      <c r="TYO2478" s="60"/>
      <c r="TYP2478" s="60"/>
      <c r="TYQ2478" s="60"/>
      <c r="TYR2478" s="60"/>
      <c r="TYS2478" s="63"/>
      <c r="TYT2478" s="61"/>
      <c r="TYU2478" s="54"/>
      <c r="TYV2478" s="54"/>
      <c r="TYW2478" s="60"/>
      <c r="TYX2478" s="60"/>
      <c r="TYY2478" s="60"/>
      <c r="TYZ2478" s="60"/>
      <c r="TZA2478" s="63"/>
      <c r="TZB2478" s="61"/>
      <c r="TZC2478" s="54"/>
      <c r="TZD2478" s="54"/>
      <c r="TZE2478" s="60"/>
      <c r="TZF2478" s="60"/>
      <c r="TZG2478" s="60"/>
      <c r="TZH2478" s="60"/>
      <c r="TZI2478" s="63"/>
      <c r="TZJ2478" s="61"/>
      <c r="TZK2478" s="54"/>
      <c r="TZL2478" s="54"/>
      <c r="TZM2478" s="60"/>
      <c r="TZN2478" s="60"/>
      <c r="TZO2478" s="60"/>
      <c r="TZP2478" s="60"/>
      <c r="TZQ2478" s="63"/>
      <c r="TZR2478" s="61"/>
      <c r="TZS2478" s="54"/>
      <c r="TZT2478" s="54"/>
      <c r="TZU2478" s="60"/>
      <c r="TZV2478" s="60"/>
      <c r="TZW2478" s="60"/>
      <c r="TZX2478" s="60"/>
      <c r="TZY2478" s="63"/>
      <c r="TZZ2478" s="61"/>
      <c r="UAA2478" s="54"/>
      <c r="UAB2478" s="54"/>
      <c r="UAC2478" s="60"/>
      <c r="UAD2478" s="60"/>
      <c r="UAE2478" s="60"/>
      <c r="UAF2478" s="60"/>
      <c r="UAG2478" s="63"/>
      <c r="UAH2478" s="61"/>
      <c r="UAI2478" s="54"/>
      <c r="UAJ2478" s="54"/>
      <c r="UAK2478" s="60"/>
      <c r="UAL2478" s="60"/>
      <c r="UAM2478" s="60"/>
      <c r="UAN2478" s="60"/>
      <c r="UAO2478" s="63"/>
      <c r="UAP2478" s="61"/>
      <c r="UAQ2478" s="54"/>
      <c r="UAR2478" s="54"/>
      <c r="UAS2478" s="60"/>
      <c r="UAT2478" s="60"/>
      <c r="UAU2478" s="60"/>
      <c r="UAV2478" s="60"/>
      <c r="UAW2478" s="63"/>
      <c r="UAX2478" s="61"/>
      <c r="UAY2478" s="54"/>
      <c r="UAZ2478" s="54"/>
      <c r="UBA2478" s="60"/>
      <c r="UBB2478" s="60"/>
      <c r="UBC2478" s="60"/>
      <c r="UBD2478" s="60"/>
      <c r="UBE2478" s="63"/>
      <c r="UBF2478" s="61"/>
      <c r="UBG2478" s="54"/>
      <c r="UBH2478" s="54"/>
      <c r="UBI2478" s="60"/>
      <c r="UBJ2478" s="60"/>
      <c r="UBK2478" s="60"/>
      <c r="UBL2478" s="60"/>
      <c r="UBM2478" s="63"/>
      <c r="UBN2478" s="61"/>
      <c r="UBO2478" s="54"/>
      <c r="UBP2478" s="54"/>
      <c r="UBQ2478" s="60"/>
      <c r="UBR2478" s="60"/>
      <c r="UBS2478" s="60"/>
      <c r="UBT2478" s="60"/>
      <c r="UBU2478" s="63"/>
      <c r="UBV2478" s="61"/>
      <c r="UBW2478" s="54"/>
      <c r="UBX2478" s="54"/>
      <c r="UBY2478" s="60"/>
      <c r="UBZ2478" s="60"/>
      <c r="UCA2478" s="60"/>
      <c r="UCB2478" s="60"/>
      <c r="UCC2478" s="63"/>
      <c r="UCD2478" s="61"/>
      <c r="UCE2478" s="54"/>
      <c r="UCF2478" s="54"/>
      <c r="UCG2478" s="60"/>
      <c r="UCH2478" s="60"/>
      <c r="UCI2478" s="60"/>
      <c r="UCJ2478" s="60"/>
      <c r="UCK2478" s="63"/>
      <c r="UCL2478" s="61"/>
      <c r="UCM2478" s="54"/>
      <c r="UCN2478" s="54"/>
      <c r="UCO2478" s="60"/>
      <c r="UCP2478" s="60"/>
      <c r="UCQ2478" s="60"/>
      <c r="UCR2478" s="60"/>
      <c r="UCS2478" s="63"/>
      <c r="UCT2478" s="61"/>
      <c r="UCU2478" s="54"/>
      <c r="UCV2478" s="54"/>
      <c r="UCW2478" s="60"/>
      <c r="UCX2478" s="60"/>
      <c r="UCY2478" s="60"/>
      <c r="UCZ2478" s="60"/>
      <c r="UDA2478" s="63"/>
      <c r="UDB2478" s="61"/>
      <c r="UDC2478" s="54"/>
      <c r="UDD2478" s="54"/>
      <c r="UDE2478" s="60"/>
      <c r="UDF2478" s="60"/>
      <c r="UDG2478" s="60"/>
      <c r="UDH2478" s="60"/>
      <c r="UDI2478" s="63"/>
      <c r="UDJ2478" s="61"/>
      <c r="UDK2478" s="54"/>
      <c r="UDL2478" s="54"/>
      <c r="UDM2478" s="60"/>
      <c r="UDN2478" s="60"/>
      <c r="UDO2478" s="60"/>
      <c r="UDP2478" s="60"/>
      <c r="UDQ2478" s="63"/>
      <c r="UDR2478" s="61"/>
      <c r="UDS2478" s="54"/>
      <c r="UDT2478" s="54"/>
      <c r="UDU2478" s="60"/>
      <c r="UDV2478" s="60"/>
      <c r="UDW2478" s="60"/>
      <c r="UDX2478" s="60"/>
      <c r="UDY2478" s="63"/>
      <c r="UDZ2478" s="61"/>
      <c r="UEA2478" s="54"/>
      <c r="UEB2478" s="54"/>
      <c r="UEC2478" s="60"/>
      <c r="UED2478" s="60"/>
      <c r="UEE2478" s="60"/>
      <c r="UEF2478" s="60"/>
      <c r="UEG2478" s="63"/>
      <c r="UEH2478" s="61"/>
      <c r="UEI2478" s="54"/>
      <c r="UEJ2478" s="54"/>
      <c r="UEK2478" s="60"/>
      <c r="UEL2478" s="60"/>
      <c r="UEM2478" s="60"/>
      <c r="UEN2478" s="60"/>
      <c r="UEO2478" s="63"/>
      <c r="UEP2478" s="61"/>
      <c r="UEQ2478" s="54"/>
      <c r="UER2478" s="54"/>
      <c r="UES2478" s="60"/>
      <c r="UET2478" s="60"/>
      <c r="UEU2478" s="60"/>
      <c r="UEV2478" s="60"/>
      <c r="UEW2478" s="63"/>
      <c r="UEX2478" s="61"/>
      <c r="UEY2478" s="54"/>
      <c r="UEZ2478" s="54"/>
      <c r="UFA2478" s="60"/>
      <c r="UFB2478" s="60"/>
      <c r="UFC2478" s="60"/>
      <c r="UFD2478" s="60"/>
      <c r="UFE2478" s="63"/>
      <c r="UFF2478" s="61"/>
      <c r="UFG2478" s="54"/>
      <c r="UFH2478" s="54"/>
      <c r="UFI2478" s="60"/>
      <c r="UFJ2478" s="60"/>
      <c r="UFK2478" s="60"/>
      <c r="UFL2478" s="60"/>
      <c r="UFM2478" s="63"/>
      <c r="UFN2478" s="61"/>
      <c r="UFO2478" s="54"/>
      <c r="UFP2478" s="54"/>
      <c r="UFQ2478" s="60"/>
      <c r="UFR2478" s="60"/>
      <c r="UFS2478" s="60"/>
      <c r="UFT2478" s="60"/>
      <c r="UFU2478" s="63"/>
      <c r="UFV2478" s="61"/>
      <c r="UFW2478" s="54"/>
      <c r="UFX2478" s="54"/>
      <c r="UFY2478" s="60"/>
      <c r="UFZ2478" s="60"/>
      <c r="UGA2478" s="60"/>
      <c r="UGB2478" s="60"/>
      <c r="UGC2478" s="63"/>
      <c r="UGD2478" s="61"/>
      <c r="UGE2478" s="54"/>
      <c r="UGF2478" s="54"/>
      <c r="UGG2478" s="60"/>
      <c r="UGH2478" s="60"/>
      <c r="UGI2478" s="60"/>
      <c r="UGJ2478" s="60"/>
      <c r="UGK2478" s="63"/>
      <c r="UGL2478" s="61"/>
      <c r="UGM2478" s="54"/>
      <c r="UGN2478" s="54"/>
      <c r="UGO2478" s="60"/>
      <c r="UGP2478" s="60"/>
      <c r="UGQ2478" s="60"/>
      <c r="UGR2478" s="60"/>
      <c r="UGS2478" s="63"/>
      <c r="UGT2478" s="61"/>
      <c r="UGU2478" s="54"/>
      <c r="UGV2478" s="54"/>
      <c r="UGW2478" s="60"/>
      <c r="UGX2478" s="60"/>
      <c r="UGY2478" s="60"/>
      <c r="UGZ2478" s="60"/>
      <c r="UHA2478" s="63"/>
      <c r="UHB2478" s="61"/>
      <c r="UHC2478" s="54"/>
      <c r="UHD2478" s="54"/>
      <c r="UHE2478" s="60"/>
      <c r="UHF2478" s="60"/>
      <c r="UHG2478" s="60"/>
      <c r="UHH2478" s="60"/>
      <c r="UHI2478" s="63"/>
      <c r="UHJ2478" s="61"/>
      <c r="UHK2478" s="54"/>
      <c r="UHL2478" s="54"/>
      <c r="UHM2478" s="60"/>
      <c r="UHN2478" s="60"/>
      <c r="UHO2478" s="60"/>
      <c r="UHP2478" s="60"/>
      <c r="UHQ2478" s="63"/>
      <c r="UHR2478" s="61"/>
      <c r="UHS2478" s="54"/>
      <c r="UHT2478" s="54"/>
      <c r="UHU2478" s="60"/>
      <c r="UHV2478" s="60"/>
      <c r="UHW2478" s="60"/>
      <c r="UHX2478" s="60"/>
      <c r="UHY2478" s="63"/>
      <c r="UHZ2478" s="61"/>
      <c r="UIA2478" s="54"/>
      <c r="UIB2478" s="54"/>
      <c r="UIC2478" s="60"/>
      <c r="UID2478" s="60"/>
      <c r="UIE2478" s="60"/>
      <c r="UIF2478" s="60"/>
      <c r="UIG2478" s="63"/>
      <c r="UIH2478" s="61"/>
      <c r="UII2478" s="54"/>
      <c r="UIJ2478" s="54"/>
      <c r="UIK2478" s="60"/>
      <c r="UIL2478" s="60"/>
      <c r="UIM2478" s="60"/>
      <c r="UIN2478" s="60"/>
      <c r="UIO2478" s="63"/>
      <c r="UIP2478" s="61"/>
      <c r="UIQ2478" s="54"/>
      <c r="UIR2478" s="54"/>
      <c r="UIS2478" s="60"/>
      <c r="UIT2478" s="60"/>
      <c r="UIU2478" s="60"/>
      <c r="UIV2478" s="60"/>
      <c r="UIW2478" s="63"/>
      <c r="UIX2478" s="61"/>
      <c r="UIY2478" s="54"/>
      <c r="UIZ2478" s="54"/>
      <c r="UJA2478" s="60"/>
      <c r="UJB2478" s="60"/>
      <c r="UJC2478" s="60"/>
      <c r="UJD2478" s="60"/>
      <c r="UJE2478" s="63"/>
      <c r="UJF2478" s="61"/>
      <c r="UJG2478" s="54"/>
      <c r="UJH2478" s="54"/>
      <c r="UJI2478" s="60"/>
      <c r="UJJ2478" s="60"/>
      <c r="UJK2478" s="60"/>
      <c r="UJL2478" s="60"/>
      <c r="UJM2478" s="63"/>
      <c r="UJN2478" s="61"/>
      <c r="UJO2478" s="54"/>
      <c r="UJP2478" s="54"/>
      <c r="UJQ2478" s="60"/>
      <c r="UJR2478" s="60"/>
      <c r="UJS2478" s="60"/>
      <c r="UJT2478" s="60"/>
      <c r="UJU2478" s="63"/>
      <c r="UJV2478" s="61"/>
      <c r="UJW2478" s="54"/>
      <c r="UJX2478" s="54"/>
      <c r="UJY2478" s="60"/>
      <c r="UJZ2478" s="60"/>
      <c r="UKA2478" s="60"/>
      <c r="UKB2478" s="60"/>
      <c r="UKC2478" s="63"/>
      <c r="UKD2478" s="61"/>
      <c r="UKE2478" s="54"/>
      <c r="UKF2478" s="54"/>
      <c r="UKG2478" s="60"/>
      <c r="UKH2478" s="60"/>
      <c r="UKI2478" s="60"/>
      <c r="UKJ2478" s="60"/>
      <c r="UKK2478" s="63"/>
      <c r="UKL2478" s="61"/>
      <c r="UKM2478" s="54"/>
      <c r="UKN2478" s="54"/>
      <c r="UKO2478" s="60"/>
      <c r="UKP2478" s="60"/>
      <c r="UKQ2478" s="60"/>
      <c r="UKR2478" s="60"/>
      <c r="UKS2478" s="63"/>
      <c r="UKT2478" s="61"/>
      <c r="UKU2478" s="54"/>
      <c r="UKV2478" s="54"/>
      <c r="UKW2478" s="60"/>
      <c r="UKX2478" s="60"/>
      <c r="UKY2478" s="60"/>
      <c r="UKZ2478" s="60"/>
      <c r="ULA2478" s="63"/>
      <c r="ULB2478" s="61"/>
      <c r="ULC2478" s="54"/>
      <c r="ULD2478" s="54"/>
      <c r="ULE2478" s="60"/>
      <c r="ULF2478" s="60"/>
      <c r="ULG2478" s="60"/>
      <c r="ULH2478" s="60"/>
      <c r="ULI2478" s="63"/>
      <c r="ULJ2478" s="61"/>
      <c r="ULK2478" s="54"/>
      <c r="ULL2478" s="54"/>
      <c r="ULM2478" s="60"/>
      <c r="ULN2478" s="60"/>
      <c r="ULO2478" s="60"/>
      <c r="ULP2478" s="60"/>
      <c r="ULQ2478" s="63"/>
      <c r="ULR2478" s="61"/>
      <c r="ULS2478" s="54"/>
      <c r="ULT2478" s="54"/>
      <c r="ULU2478" s="60"/>
      <c r="ULV2478" s="60"/>
      <c r="ULW2478" s="60"/>
      <c r="ULX2478" s="60"/>
      <c r="ULY2478" s="63"/>
      <c r="ULZ2478" s="61"/>
      <c r="UMA2478" s="54"/>
      <c r="UMB2478" s="54"/>
      <c r="UMC2478" s="60"/>
      <c r="UMD2478" s="60"/>
      <c r="UME2478" s="60"/>
      <c r="UMF2478" s="60"/>
      <c r="UMG2478" s="63"/>
      <c r="UMH2478" s="61"/>
      <c r="UMI2478" s="54"/>
      <c r="UMJ2478" s="54"/>
      <c r="UMK2478" s="60"/>
      <c r="UML2478" s="60"/>
      <c r="UMM2478" s="60"/>
      <c r="UMN2478" s="60"/>
      <c r="UMO2478" s="63"/>
      <c r="UMP2478" s="61"/>
      <c r="UMQ2478" s="54"/>
      <c r="UMR2478" s="54"/>
      <c r="UMS2478" s="60"/>
      <c r="UMT2478" s="60"/>
      <c r="UMU2478" s="60"/>
      <c r="UMV2478" s="60"/>
      <c r="UMW2478" s="63"/>
      <c r="UMX2478" s="61"/>
      <c r="UMY2478" s="54"/>
      <c r="UMZ2478" s="54"/>
      <c r="UNA2478" s="60"/>
      <c r="UNB2478" s="60"/>
      <c r="UNC2478" s="60"/>
      <c r="UND2478" s="60"/>
      <c r="UNE2478" s="63"/>
      <c r="UNF2478" s="61"/>
      <c r="UNG2478" s="54"/>
      <c r="UNH2478" s="54"/>
      <c r="UNI2478" s="60"/>
      <c r="UNJ2478" s="60"/>
      <c r="UNK2478" s="60"/>
      <c r="UNL2478" s="60"/>
      <c r="UNM2478" s="63"/>
      <c r="UNN2478" s="61"/>
      <c r="UNO2478" s="54"/>
      <c r="UNP2478" s="54"/>
      <c r="UNQ2478" s="60"/>
      <c r="UNR2478" s="60"/>
      <c r="UNS2478" s="60"/>
      <c r="UNT2478" s="60"/>
      <c r="UNU2478" s="63"/>
      <c r="UNV2478" s="61"/>
      <c r="UNW2478" s="54"/>
      <c r="UNX2478" s="54"/>
      <c r="UNY2478" s="60"/>
      <c r="UNZ2478" s="60"/>
      <c r="UOA2478" s="60"/>
      <c r="UOB2478" s="60"/>
      <c r="UOC2478" s="63"/>
      <c r="UOD2478" s="61"/>
      <c r="UOE2478" s="54"/>
      <c r="UOF2478" s="54"/>
      <c r="UOG2478" s="60"/>
      <c r="UOH2478" s="60"/>
      <c r="UOI2478" s="60"/>
      <c r="UOJ2478" s="60"/>
      <c r="UOK2478" s="63"/>
      <c r="UOL2478" s="61"/>
      <c r="UOM2478" s="54"/>
      <c r="UON2478" s="54"/>
      <c r="UOO2478" s="60"/>
      <c r="UOP2478" s="60"/>
      <c r="UOQ2478" s="60"/>
      <c r="UOR2478" s="60"/>
      <c r="UOS2478" s="63"/>
      <c r="UOT2478" s="61"/>
      <c r="UOU2478" s="54"/>
      <c r="UOV2478" s="54"/>
      <c r="UOW2478" s="60"/>
      <c r="UOX2478" s="60"/>
      <c r="UOY2478" s="60"/>
      <c r="UOZ2478" s="60"/>
      <c r="UPA2478" s="63"/>
      <c r="UPB2478" s="61"/>
      <c r="UPC2478" s="54"/>
      <c r="UPD2478" s="54"/>
      <c r="UPE2478" s="60"/>
      <c r="UPF2478" s="60"/>
      <c r="UPG2478" s="60"/>
      <c r="UPH2478" s="60"/>
      <c r="UPI2478" s="63"/>
      <c r="UPJ2478" s="61"/>
      <c r="UPK2478" s="54"/>
      <c r="UPL2478" s="54"/>
      <c r="UPM2478" s="60"/>
      <c r="UPN2478" s="60"/>
      <c r="UPO2478" s="60"/>
      <c r="UPP2478" s="60"/>
      <c r="UPQ2478" s="63"/>
      <c r="UPR2478" s="61"/>
      <c r="UPS2478" s="54"/>
      <c r="UPT2478" s="54"/>
      <c r="UPU2478" s="60"/>
      <c r="UPV2478" s="60"/>
      <c r="UPW2478" s="60"/>
      <c r="UPX2478" s="60"/>
      <c r="UPY2478" s="63"/>
      <c r="UPZ2478" s="61"/>
      <c r="UQA2478" s="54"/>
      <c r="UQB2478" s="54"/>
      <c r="UQC2478" s="60"/>
      <c r="UQD2478" s="60"/>
      <c r="UQE2478" s="60"/>
      <c r="UQF2478" s="60"/>
      <c r="UQG2478" s="63"/>
      <c r="UQH2478" s="61"/>
      <c r="UQI2478" s="54"/>
      <c r="UQJ2478" s="54"/>
      <c r="UQK2478" s="60"/>
      <c r="UQL2478" s="60"/>
      <c r="UQM2478" s="60"/>
      <c r="UQN2478" s="60"/>
      <c r="UQO2478" s="63"/>
      <c r="UQP2478" s="61"/>
      <c r="UQQ2478" s="54"/>
      <c r="UQR2478" s="54"/>
      <c r="UQS2478" s="60"/>
      <c r="UQT2478" s="60"/>
      <c r="UQU2478" s="60"/>
      <c r="UQV2478" s="60"/>
      <c r="UQW2478" s="63"/>
      <c r="UQX2478" s="61"/>
      <c r="UQY2478" s="54"/>
      <c r="UQZ2478" s="54"/>
      <c r="URA2478" s="60"/>
      <c r="URB2478" s="60"/>
      <c r="URC2478" s="60"/>
      <c r="URD2478" s="60"/>
      <c r="URE2478" s="63"/>
      <c r="URF2478" s="61"/>
      <c r="URG2478" s="54"/>
      <c r="URH2478" s="54"/>
      <c r="URI2478" s="60"/>
      <c r="URJ2478" s="60"/>
      <c r="URK2478" s="60"/>
      <c r="URL2478" s="60"/>
      <c r="URM2478" s="63"/>
      <c r="URN2478" s="61"/>
      <c r="URO2478" s="54"/>
      <c r="URP2478" s="54"/>
      <c r="URQ2478" s="60"/>
      <c r="URR2478" s="60"/>
      <c r="URS2478" s="60"/>
      <c r="URT2478" s="60"/>
      <c r="URU2478" s="63"/>
      <c r="URV2478" s="61"/>
      <c r="URW2478" s="54"/>
      <c r="URX2478" s="54"/>
      <c r="URY2478" s="60"/>
      <c r="URZ2478" s="60"/>
      <c r="USA2478" s="60"/>
      <c r="USB2478" s="60"/>
      <c r="USC2478" s="63"/>
      <c r="USD2478" s="61"/>
      <c r="USE2478" s="54"/>
      <c r="USF2478" s="54"/>
      <c r="USG2478" s="60"/>
      <c r="USH2478" s="60"/>
      <c r="USI2478" s="60"/>
      <c r="USJ2478" s="60"/>
      <c r="USK2478" s="63"/>
      <c r="USL2478" s="61"/>
      <c r="USM2478" s="54"/>
      <c r="USN2478" s="54"/>
      <c r="USO2478" s="60"/>
      <c r="USP2478" s="60"/>
      <c r="USQ2478" s="60"/>
      <c r="USR2478" s="60"/>
      <c r="USS2478" s="63"/>
      <c r="UST2478" s="61"/>
      <c r="USU2478" s="54"/>
      <c r="USV2478" s="54"/>
      <c r="USW2478" s="60"/>
      <c r="USX2478" s="60"/>
      <c r="USY2478" s="60"/>
      <c r="USZ2478" s="60"/>
      <c r="UTA2478" s="63"/>
      <c r="UTB2478" s="61"/>
      <c r="UTC2478" s="54"/>
      <c r="UTD2478" s="54"/>
      <c r="UTE2478" s="60"/>
      <c r="UTF2478" s="60"/>
      <c r="UTG2478" s="60"/>
      <c r="UTH2478" s="60"/>
      <c r="UTI2478" s="63"/>
      <c r="UTJ2478" s="61"/>
      <c r="UTK2478" s="54"/>
      <c r="UTL2478" s="54"/>
      <c r="UTM2478" s="60"/>
      <c r="UTN2478" s="60"/>
      <c r="UTO2478" s="60"/>
      <c r="UTP2478" s="60"/>
      <c r="UTQ2478" s="63"/>
      <c r="UTR2478" s="61"/>
      <c r="UTS2478" s="54"/>
      <c r="UTT2478" s="54"/>
      <c r="UTU2478" s="60"/>
      <c r="UTV2478" s="60"/>
      <c r="UTW2478" s="60"/>
      <c r="UTX2478" s="60"/>
      <c r="UTY2478" s="63"/>
      <c r="UTZ2478" s="61"/>
      <c r="UUA2478" s="54"/>
      <c r="UUB2478" s="54"/>
      <c r="UUC2478" s="60"/>
      <c r="UUD2478" s="60"/>
      <c r="UUE2478" s="60"/>
      <c r="UUF2478" s="60"/>
      <c r="UUG2478" s="63"/>
      <c r="UUH2478" s="61"/>
      <c r="UUI2478" s="54"/>
      <c r="UUJ2478" s="54"/>
      <c r="UUK2478" s="60"/>
      <c r="UUL2478" s="60"/>
      <c r="UUM2478" s="60"/>
      <c r="UUN2478" s="60"/>
      <c r="UUO2478" s="63"/>
      <c r="UUP2478" s="61"/>
      <c r="UUQ2478" s="54"/>
      <c r="UUR2478" s="54"/>
      <c r="UUS2478" s="60"/>
      <c r="UUT2478" s="60"/>
      <c r="UUU2478" s="60"/>
      <c r="UUV2478" s="60"/>
      <c r="UUW2478" s="63"/>
      <c r="UUX2478" s="61"/>
      <c r="UUY2478" s="54"/>
      <c r="UUZ2478" s="54"/>
      <c r="UVA2478" s="60"/>
      <c r="UVB2478" s="60"/>
      <c r="UVC2478" s="60"/>
      <c r="UVD2478" s="60"/>
      <c r="UVE2478" s="63"/>
      <c r="UVF2478" s="61"/>
      <c r="UVG2478" s="54"/>
      <c r="UVH2478" s="54"/>
      <c r="UVI2478" s="60"/>
      <c r="UVJ2478" s="60"/>
      <c r="UVK2478" s="60"/>
      <c r="UVL2478" s="60"/>
      <c r="UVM2478" s="63"/>
      <c r="UVN2478" s="61"/>
      <c r="UVO2478" s="54"/>
      <c r="UVP2478" s="54"/>
      <c r="UVQ2478" s="60"/>
      <c r="UVR2478" s="60"/>
      <c r="UVS2478" s="60"/>
      <c r="UVT2478" s="60"/>
      <c r="UVU2478" s="63"/>
      <c r="UVV2478" s="61"/>
      <c r="UVW2478" s="54"/>
      <c r="UVX2478" s="54"/>
      <c r="UVY2478" s="60"/>
      <c r="UVZ2478" s="60"/>
      <c r="UWA2478" s="60"/>
      <c r="UWB2478" s="60"/>
      <c r="UWC2478" s="63"/>
      <c r="UWD2478" s="61"/>
      <c r="UWE2478" s="54"/>
      <c r="UWF2478" s="54"/>
      <c r="UWG2478" s="60"/>
      <c r="UWH2478" s="60"/>
      <c r="UWI2478" s="60"/>
      <c r="UWJ2478" s="60"/>
      <c r="UWK2478" s="63"/>
      <c r="UWL2478" s="61"/>
      <c r="UWM2478" s="54"/>
      <c r="UWN2478" s="54"/>
      <c r="UWO2478" s="60"/>
      <c r="UWP2478" s="60"/>
      <c r="UWQ2478" s="60"/>
      <c r="UWR2478" s="60"/>
      <c r="UWS2478" s="63"/>
      <c r="UWT2478" s="61"/>
      <c r="UWU2478" s="54"/>
      <c r="UWV2478" s="54"/>
      <c r="UWW2478" s="60"/>
      <c r="UWX2478" s="60"/>
      <c r="UWY2478" s="60"/>
      <c r="UWZ2478" s="60"/>
      <c r="UXA2478" s="63"/>
      <c r="UXB2478" s="61"/>
      <c r="UXC2478" s="54"/>
      <c r="UXD2478" s="54"/>
      <c r="UXE2478" s="60"/>
      <c r="UXF2478" s="60"/>
      <c r="UXG2478" s="60"/>
      <c r="UXH2478" s="60"/>
      <c r="UXI2478" s="63"/>
      <c r="UXJ2478" s="61"/>
      <c r="UXK2478" s="54"/>
      <c r="UXL2478" s="54"/>
      <c r="UXM2478" s="60"/>
      <c r="UXN2478" s="60"/>
      <c r="UXO2478" s="60"/>
      <c r="UXP2478" s="60"/>
      <c r="UXQ2478" s="63"/>
      <c r="UXR2478" s="61"/>
      <c r="UXS2478" s="54"/>
      <c r="UXT2478" s="54"/>
      <c r="UXU2478" s="60"/>
      <c r="UXV2478" s="60"/>
      <c r="UXW2478" s="60"/>
      <c r="UXX2478" s="60"/>
      <c r="UXY2478" s="63"/>
      <c r="UXZ2478" s="61"/>
      <c r="UYA2478" s="54"/>
      <c r="UYB2478" s="54"/>
      <c r="UYC2478" s="60"/>
      <c r="UYD2478" s="60"/>
      <c r="UYE2478" s="60"/>
      <c r="UYF2478" s="60"/>
      <c r="UYG2478" s="63"/>
      <c r="UYH2478" s="61"/>
      <c r="UYI2478" s="54"/>
      <c r="UYJ2478" s="54"/>
      <c r="UYK2478" s="60"/>
      <c r="UYL2478" s="60"/>
      <c r="UYM2478" s="60"/>
      <c r="UYN2478" s="60"/>
      <c r="UYO2478" s="63"/>
      <c r="UYP2478" s="61"/>
      <c r="UYQ2478" s="54"/>
      <c r="UYR2478" s="54"/>
      <c r="UYS2478" s="60"/>
      <c r="UYT2478" s="60"/>
      <c r="UYU2478" s="60"/>
      <c r="UYV2478" s="60"/>
      <c r="UYW2478" s="63"/>
      <c r="UYX2478" s="61"/>
      <c r="UYY2478" s="54"/>
      <c r="UYZ2478" s="54"/>
      <c r="UZA2478" s="60"/>
      <c r="UZB2478" s="60"/>
      <c r="UZC2478" s="60"/>
      <c r="UZD2478" s="60"/>
      <c r="UZE2478" s="63"/>
      <c r="UZF2478" s="61"/>
      <c r="UZG2478" s="54"/>
      <c r="UZH2478" s="54"/>
      <c r="UZI2478" s="60"/>
      <c r="UZJ2478" s="60"/>
      <c r="UZK2478" s="60"/>
      <c r="UZL2478" s="60"/>
      <c r="UZM2478" s="63"/>
      <c r="UZN2478" s="61"/>
      <c r="UZO2478" s="54"/>
      <c r="UZP2478" s="54"/>
      <c r="UZQ2478" s="60"/>
      <c r="UZR2478" s="60"/>
      <c r="UZS2478" s="60"/>
      <c r="UZT2478" s="60"/>
      <c r="UZU2478" s="63"/>
      <c r="UZV2478" s="61"/>
      <c r="UZW2478" s="54"/>
      <c r="UZX2478" s="54"/>
      <c r="UZY2478" s="60"/>
      <c r="UZZ2478" s="60"/>
      <c r="VAA2478" s="60"/>
      <c r="VAB2478" s="60"/>
      <c r="VAC2478" s="63"/>
      <c r="VAD2478" s="61"/>
      <c r="VAE2478" s="54"/>
      <c r="VAF2478" s="54"/>
      <c r="VAG2478" s="60"/>
      <c r="VAH2478" s="60"/>
      <c r="VAI2478" s="60"/>
      <c r="VAJ2478" s="60"/>
      <c r="VAK2478" s="63"/>
      <c r="VAL2478" s="61"/>
      <c r="VAM2478" s="54"/>
      <c r="VAN2478" s="54"/>
      <c r="VAO2478" s="60"/>
      <c r="VAP2478" s="60"/>
      <c r="VAQ2478" s="60"/>
      <c r="VAR2478" s="60"/>
      <c r="VAS2478" s="63"/>
      <c r="VAT2478" s="61"/>
      <c r="VAU2478" s="54"/>
      <c r="VAV2478" s="54"/>
      <c r="VAW2478" s="60"/>
      <c r="VAX2478" s="60"/>
      <c r="VAY2478" s="60"/>
      <c r="VAZ2478" s="60"/>
      <c r="VBA2478" s="63"/>
      <c r="VBB2478" s="61"/>
      <c r="VBC2478" s="54"/>
      <c r="VBD2478" s="54"/>
      <c r="VBE2478" s="60"/>
      <c r="VBF2478" s="60"/>
      <c r="VBG2478" s="60"/>
      <c r="VBH2478" s="60"/>
      <c r="VBI2478" s="63"/>
      <c r="VBJ2478" s="61"/>
      <c r="VBK2478" s="54"/>
      <c r="VBL2478" s="54"/>
      <c r="VBM2478" s="60"/>
      <c r="VBN2478" s="60"/>
      <c r="VBO2478" s="60"/>
      <c r="VBP2478" s="60"/>
      <c r="VBQ2478" s="63"/>
      <c r="VBR2478" s="61"/>
      <c r="VBS2478" s="54"/>
      <c r="VBT2478" s="54"/>
      <c r="VBU2478" s="60"/>
      <c r="VBV2478" s="60"/>
      <c r="VBW2478" s="60"/>
      <c r="VBX2478" s="60"/>
      <c r="VBY2478" s="63"/>
      <c r="VBZ2478" s="61"/>
      <c r="VCA2478" s="54"/>
      <c r="VCB2478" s="54"/>
      <c r="VCC2478" s="60"/>
      <c r="VCD2478" s="60"/>
      <c r="VCE2478" s="60"/>
      <c r="VCF2478" s="60"/>
      <c r="VCG2478" s="63"/>
      <c r="VCH2478" s="61"/>
      <c r="VCI2478" s="54"/>
      <c r="VCJ2478" s="54"/>
      <c r="VCK2478" s="60"/>
      <c r="VCL2478" s="60"/>
      <c r="VCM2478" s="60"/>
      <c r="VCN2478" s="60"/>
      <c r="VCO2478" s="63"/>
      <c r="VCP2478" s="61"/>
      <c r="VCQ2478" s="54"/>
      <c r="VCR2478" s="54"/>
      <c r="VCS2478" s="60"/>
      <c r="VCT2478" s="60"/>
      <c r="VCU2478" s="60"/>
      <c r="VCV2478" s="60"/>
      <c r="VCW2478" s="63"/>
      <c r="VCX2478" s="61"/>
      <c r="VCY2478" s="54"/>
      <c r="VCZ2478" s="54"/>
      <c r="VDA2478" s="60"/>
      <c r="VDB2478" s="60"/>
      <c r="VDC2478" s="60"/>
      <c r="VDD2478" s="60"/>
      <c r="VDE2478" s="63"/>
      <c r="VDF2478" s="61"/>
      <c r="VDG2478" s="54"/>
      <c r="VDH2478" s="54"/>
      <c r="VDI2478" s="60"/>
      <c r="VDJ2478" s="60"/>
      <c r="VDK2478" s="60"/>
      <c r="VDL2478" s="60"/>
      <c r="VDM2478" s="63"/>
      <c r="VDN2478" s="61"/>
      <c r="VDO2478" s="54"/>
      <c r="VDP2478" s="54"/>
      <c r="VDQ2478" s="60"/>
      <c r="VDR2478" s="60"/>
      <c r="VDS2478" s="60"/>
      <c r="VDT2478" s="60"/>
      <c r="VDU2478" s="63"/>
      <c r="VDV2478" s="61"/>
      <c r="VDW2478" s="54"/>
      <c r="VDX2478" s="54"/>
      <c r="VDY2478" s="60"/>
      <c r="VDZ2478" s="60"/>
      <c r="VEA2478" s="60"/>
      <c r="VEB2478" s="60"/>
      <c r="VEC2478" s="63"/>
      <c r="VED2478" s="61"/>
      <c r="VEE2478" s="54"/>
      <c r="VEF2478" s="54"/>
      <c r="VEG2478" s="60"/>
      <c r="VEH2478" s="60"/>
      <c r="VEI2478" s="60"/>
      <c r="VEJ2478" s="60"/>
      <c r="VEK2478" s="63"/>
      <c r="VEL2478" s="61"/>
      <c r="VEM2478" s="54"/>
      <c r="VEN2478" s="54"/>
      <c r="VEO2478" s="60"/>
      <c r="VEP2478" s="60"/>
      <c r="VEQ2478" s="60"/>
      <c r="VER2478" s="60"/>
      <c r="VES2478" s="63"/>
      <c r="VET2478" s="61"/>
      <c r="VEU2478" s="54"/>
      <c r="VEV2478" s="54"/>
      <c r="VEW2478" s="60"/>
      <c r="VEX2478" s="60"/>
      <c r="VEY2478" s="60"/>
      <c r="VEZ2478" s="60"/>
      <c r="VFA2478" s="63"/>
      <c r="VFB2478" s="61"/>
      <c r="VFC2478" s="54"/>
      <c r="VFD2478" s="54"/>
      <c r="VFE2478" s="60"/>
      <c r="VFF2478" s="60"/>
      <c r="VFG2478" s="60"/>
      <c r="VFH2478" s="60"/>
      <c r="VFI2478" s="63"/>
      <c r="VFJ2478" s="61"/>
      <c r="VFK2478" s="54"/>
      <c r="VFL2478" s="54"/>
      <c r="VFM2478" s="60"/>
      <c r="VFN2478" s="60"/>
      <c r="VFO2478" s="60"/>
      <c r="VFP2478" s="60"/>
      <c r="VFQ2478" s="63"/>
      <c r="VFR2478" s="61"/>
      <c r="VFS2478" s="54"/>
      <c r="VFT2478" s="54"/>
      <c r="VFU2478" s="60"/>
      <c r="VFV2478" s="60"/>
      <c r="VFW2478" s="60"/>
      <c r="VFX2478" s="60"/>
      <c r="VFY2478" s="63"/>
      <c r="VFZ2478" s="61"/>
      <c r="VGA2478" s="54"/>
      <c r="VGB2478" s="54"/>
      <c r="VGC2478" s="60"/>
      <c r="VGD2478" s="60"/>
      <c r="VGE2478" s="60"/>
      <c r="VGF2478" s="60"/>
      <c r="VGG2478" s="63"/>
      <c r="VGH2478" s="61"/>
      <c r="VGI2478" s="54"/>
      <c r="VGJ2478" s="54"/>
      <c r="VGK2478" s="60"/>
      <c r="VGL2478" s="60"/>
      <c r="VGM2478" s="60"/>
      <c r="VGN2478" s="60"/>
      <c r="VGO2478" s="63"/>
      <c r="VGP2478" s="61"/>
      <c r="VGQ2478" s="54"/>
      <c r="VGR2478" s="54"/>
      <c r="VGS2478" s="60"/>
      <c r="VGT2478" s="60"/>
      <c r="VGU2478" s="60"/>
      <c r="VGV2478" s="60"/>
      <c r="VGW2478" s="63"/>
      <c r="VGX2478" s="61"/>
      <c r="VGY2478" s="54"/>
      <c r="VGZ2478" s="54"/>
      <c r="VHA2478" s="60"/>
      <c r="VHB2478" s="60"/>
      <c r="VHC2478" s="60"/>
      <c r="VHD2478" s="60"/>
      <c r="VHE2478" s="63"/>
      <c r="VHF2478" s="61"/>
      <c r="VHG2478" s="54"/>
      <c r="VHH2478" s="54"/>
      <c r="VHI2478" s="60"/>
      <c r="VHJ2478" s="60"/>
      <c r="VHK2478" s="60"/>
      <c r="VHL2478" s="60"/>
      <c r="VHM2478" s="63"/>
      <c r="VHN2478" s="61"/>
      <c r="VHO2478" s="54"/>
      <c r="VHP2478" s="54"/>
      <c r="VHQ2478" s="60"/>
      <c r="VHR2478" s="60"/>
      <c r="VHS2478" s="60"/>
      <c r="VHT2478" s="60"/>
      <c r="VHU2478" s="63"/>
      <c r="VHV2478" s="61"/>
      <c r="VHW2478" s="54"/>
      <c r="VHX2478" s="54"/>
      <c r="VHY2478" s="60"/>
      <c r="VHZ2478" s="60"/>
      <c r="VIA2478" s="60"/>
      <c r="VIB2478" s="60"/>
      <c r="VIC2478" s="63"/>
      <c r="VID2478" s="61"/>
      <c r="VIE2478" s="54"/>
      <c r="VIF2478" s="54"/>
      <c r="VIG2478" s="60"/>
      <c r="VIH2478" s="60"/>
      <c r="VII2478" s="60"/>
      <c r="VIJ2478" s="60"/>
      <c r="VIK2478" s="63"/>
      <c r="VIL2478" s="61"/>
      <c r="VIM2478" s="54"/>
      <c r="VIN2478" s="54"/>
      <c r="VIO2478" s="60"/>
      <c r="VIP2478" s="60"/>
      <c r="VIQ2478" s="60"/>
      <c r="VIR2478" s="60"/>
      <c r="VIS2478" s="63"/>
      <c r="VIT2478" s="61"/>
      <c r="VIU2478" s="54"/>
      <c r="VIV2478" s="54"/>
      <c r="VIW2478" s="60"/>
      <c r="VIX2478" s="60"/>
      <c r="VIY2478" s="60"/>
      <c r="VIZ2478" s="60"/>
      <c r="VJA2478" s="63"/>
      <c r="VJB2478" s="61"/>
      <c r="VJC2478" s="54"/>
      <c r="VJD2478" s="54"/>
      <c r="VJE2478" s="60"/>
      <c r="VJF2478" s="60"/>
      <c r="VJG2478" s="60"/>
      <c r="VJH2478" s="60"/>
      <c r="VJI2478" s="63"/>
      <c r="VJJ2478" s="61"/>
      <c r="VJK2478" s="54"/>
      <c r="VJL2478" s="54"/>
      <c r="VJM2478" s="60"/>
      <c r="VJN2478" s="60"/>
      <c r="VJO2478" s="60"/>
      <c r="VJP2478" s="60"/>
      <c r="VJQ2478" s="63"/>
      <c r="VJR2478" s="61"/>
      <c r="VJS2478" s="54"/>
      <c r="VJT2478" s="54"/>
      <c r="VJU2478" s="60"/>
      <c r="VJV2478" s="60"/>
      <c r="VJW2478" s="60"/>
      <c r="VJX2478" s="60"/>
      <c r="VJY2478" s="63"/>
      <c r="VJZ2478" s="61"/>
      <c r="VKA2478" s="54"/>
      <c r="VKB2478" s="54"/>
      <c r="VKC2478" s="60"/>
      <c r="VKD2478" s="60"/>
      <c r="VKE2478" s="60"/>
      <c r="VKF2478" s="60"/>
      <c r="VKG2478" s="63"/>
      <c r="VKH2478" s="61"/>
      <c r="VKI2478" s="54"/>
      <c r="VKJ2478" s="54"/>
      <c r="VKK2478" s="60"/>
      <c r="VKL2478" s="60"/>
      <c r="VKM2478" s="60"/>
      <c r="VKN2478" s="60"/>
      <c r="VKO2478" s="63"/>
      <c r="VKP2478" s="61"/>
      <c r="VKQ2478" s="54"/>
      <c r="VKR2478" s="54"/>
      <c r="VKS2478" s="60"/>
      <c r="VKT2478" s="60"/>
      <c r="VKU2478" s="60"/>
      <c r="VKV2478" s="60"/>
      <c r="VKW2478" s="63"/>
      <c r="VKX2478" s="61"/>
      <c r="VKY2478" s="54"/>
      <c r="VKZ2478" s="54"/>
      <c r="VLA2478" s="60"/>
      <c r="VLB2478" s="60"/>
      <c r="VLC2478" s="60"/>
      <c r="VLD2478" s="60"/>
      <c r="VLE2478" s="63"/>
      <c r="VLF2478" s="61"/>
      <c r="VLG2478" s="54"/>
      <c r="VLH2478" s="54"/>
      <c r="VLI2478" s="60"/>
      <c r="VLJ2478" s="60"/>
      <c r="VLK2478" s="60"/>
      <c r="VLL2478" s="60"/>
      <c r="VLM2478" s="63"/>
      <c r="VLN2478" s="61"/>
      <c r="VLO2478" s="54"/>
      <c r="VLP2478" s="54"/>
      <c r="VLQ2478" s="60"/>
      <c r="VLR2478" s="60"/>
      <c r="VLS2478" s="60"/>
      <c r="VLT2478" s="60"/>
      <c r="VLU2478" s="63"/>
      <c r="VLV2478" s="61"/>
      <c r="VLW2478" s="54"/>
      <c r="VLX2478" s="54"/>
      <c r="VLY2478" s="60"/>
      <c r="VLZ2478" s="60"/>
      <c r="VMA2478" s="60"/>
      <c r="VMB2478" s="60"/>
      <c r="VMC2478" s="63"/>
      <c r="VMD2478" s="61"/>
      <c r="VME2478" s="54"/>
      <c r="VMF2478" s="54"/>
      <c r="VMG2478" s="60"/>
      <c r="VMH2478" s="60"/>
      <c r="VMI2478" s="60"/>
      <c r="VMJ2478" s="60"/>
      <c r="VMK2478" s="63"/>
      <c r="VML2478" s="61"/>
      <c r="VMM2478" s="54"/>
      <c r="VMN2478" s="54"/>
      <c r="VMO2478" s="60"/>
      <c r="VMP2478" s="60"/>
      <c r="VMQ2478" s="60"/>
      <c r="VMR2478" s="60"/>
      <c r="VMS2478" s="63"/>
      <c r="VMT2478" s="61"/>
      <c r="VMU2478" s="54"/>
      <c r="VMV2478" s="54"/>
      <c r="VMW2478" s="60"/>
      <c r="VMX2478" s="60"/>
      <c r="VMY2478" s="60"/>
      <c r="VMZ2478" s="60"/>
      <c r="VNA2478" s="63"/>
      <c r="VNB2478" s="61"/>
      <c r="VNC2478" s="54"/>
      <c r="VND2478" s="54"/>
      <c r="VNE2478" s="60"/>
      <c r="VNF2478" s="60"/>
      <c r="VNG2478" s="60"/>
      <c r="VNH2478" s="60"/>
      <c r="VNI2478" s="63"/>
      <c r="VNJ2478" s="61"/>
      <c r="VNK2478" s="54"/>
      <c r="VNL2478" s="54"/>
      <c r="VNM2478" s="60"/>
      <c r="VNN2478" s="60"/>
      <c r="VNO2478" s="60"/>
      <c r="VNP2478" s="60"/>
      <c r="VNQ2478" s="63"/>
      <c r="VNR2478" s="61"/>
      <c r="VNS2478" s="54"/>
      <c r="VNT2478" s="54"/>
      <c r="VNU2478" s="60"/>
      <c r="VNV2478" s="60"/>
      <c r="VNW2478" s="60"/>
      <c r="VNX2478" s="60"/>
      <c r="VNY2478" s="63"/>
      <c r="VNZ2478" s="61"/>
      <c r="VOA2478" s="54"/>
      <c r="VOB2478" s="54"/>
      <c r="VOC2478" s="60"/>
      <c r="VOD2478" s="60"/>
      <c r="VOE2478" s="60"/>
      <c r="VOF2478" s="60"/>
      <c r="VOG2478" s="63"/>
      <c r="VOH2478" s="61"/>
      <c r="VOI2478" s="54"/>
      <c r="VOJ2478" s="54"/>
      <c r="VOK2478" s="60"/>
      <c r="VOL2478" s="60"/>
      <c r="VOM2478" s="60"/>
      <c r="VON2478" s="60"/>
      <c r="VOO2478" s="63"/>
      <c r="VOP2478" s="61"/>
      <c r="VOQ2478" s="54"/>
      <c r="VOR2478" s="54"/>
      <c r="VOS2478" s="60"/>
      <c r="VOT2478" s="60"/>
      <c r="VOU2478" s="60"/>
      <c r="VOV2478" s="60"/>
      <c r="VOW2478" s="63"/>
      <c r="VOX2478" s="61"/>
      <c r="VOY2478" s="54"/>
      <c r="VOZ2478" s="54"/>
      <c r="VPA2478" s="60"/>
      <c r="VPB2478" s="60"/>
      <c r="VPC2478" s="60"/>
      <c r="VPD2478" s="60"/>
      <c r="VPE2478" s="63"/>
      <c r="VPF2478" s="61"/>
      <c r="VPG2478" s="54"/>
      <c r="VPH2478" s="54"/>
      <c r="VPI2478" s="60"/>
      <c r="VPJ2478" s="60"/>
      <c r="VPK2478" s="60"/>
      <c r="VPL2478" s="60"/>
      <c r="VPM2478" s="63"/>
      <c r="VPN2478" s="61"/>
      <c r="VPO2478" s="54"/>
      <c r="VPP2478" s="54"/>
      <c r="VPQ2478" s="60"/>
      <c r="VPR2478" s="60"/>
      <c r="VPS2478" s="60"/>
      <c r="VPT2478" s="60"/>
      <c r="VPU2478" s="63"/>
      <c r="VPV2478" s="61"/>
      <c r="VPW2478" s="54"/>
      <c r="VPX2478" s="54"/>
      <c r="VPY2478" s="60"/>
      <c r="VPZ2478" s="60"/>
      <c r="VQA2478" s="60"/>
      <c r="VQB2478" s="60"/>
      <c r="VQC2478" s="63"/>
      <c r="VQD2478" s="61"/>
      <c r="VQE2478" s="54"/>
      <c r="VQF2478" s="54"/>
      <c r="VQG2478" s="60"/>
      <c r="VQH2478" s="60"/>
      <c r="VQI2478" s="60"/>
      <c r="VQJ2478" s="60"/>
      <c r="VQK2478" s="63"/>
      <c r="VQL2478" s="61"/>
      <c r="VQM2478" s="54"/>
      <c r="VQN2478" s="54"/>
      <c r="VQO2478" s="60"/>
      <c r="VQP2478" s="60"/>
      <c r="VQQ2478" s="60"/>
      <c r="VQR2478" s="60"/>
      <c r="VQS2478" s="63"/>
      <c r="VQT2478" s="61"/>
      <c r="VQU2478" s="54"/>
      <c r="VQV2478" s="54"/>
      <c r="VQW2478" s="60"/>
      <c r="VQX2478" s="60"/>
      <c r="VQY2478" s="60"/>
      <c r="VQZ2478" s="60"/>
      <c r="VRA2478" s="63"/>
      <c r="VRB2478" s="61"/>
      <c r="VRC2478" s="54"/>
      <c r="VRD2478" s="54"/>
      <c r="VRE2478" s="60"/>
      <c r="VRF2478" s="60"/>
      <c r="VRG2478" s="60"/>
      <c r="VRH2478" s="60"/>
      <c r="VRI2478" s="63"/>
      <c r="VRJ2478" s="61"/>
      <c r="VRK2478" s="54"/>
      <c r="VRL2478" s="54"/>
      <c r="VRM2478" s="60"/>
      <c r="VRN2478" s="60"/>
      <c r="VRO2478" s="60"/>
      <c r="VRP2478" s="60"/>
      <c r="VRQ2478" s="63"/>
      <c r="VRR2478" s="61"/>
      <c r="VRS2478" s="54"/>
      <c r="VRT2478" s="54"/>
      <c r="VRU2478" s="60"/>
      <c r="VRV2478" s="60"/>
      <c r="VRW2478" s="60"/>
      <c r="VRX2478" s="60"/>
      <c r="VRY2478" s="63"/>
      <c r="VRZ2478" s="61"/>
      <c r="VSA2478" s="54"/>
      <c r="VSB2478" s="54"/>
      <c r="VSC2478" s="60"/>
      <c r="VSD2478" s="60"/>
      <c r="VSE2478" s="60"/>
      <c r="VSF2478" s="60"/>
      <c r="VSG2478" s="63"/>
      <c r="VSH2478" s="61"/>
      <c r="VSI2478" s="54"/>
      <c r="VSJ2478" s="54"/>
      <c r="VSK2478" s="60"/>
      <c r="VSL2478" s="60"/>
      <c r="VSM2478" s="60"/>
      <c r="VSN2478" s="60"/>
      <c r="VSO2478" s="63"/>
      <c r="VSP2478" s="61"/>
      <c r="VSQ2478" s="54"/>
      <c r="VSR2478" s="54"/>
      <c r="VSS2478" s="60"/>
      <c r="VST2478" s="60"/>
      <c r="VSU2478" s="60"/>
      <c r="VSV2478" s="60"/>
      <c r="VSW2478" s="63"/>
      <c r="VSX2478" s="61"/>
      <c r="VSY2478" s="54"/>
      <c r="VSZ2478" s="54"/>
      <c r="VTA2478" s="60"/>
      <c r="VTB2478" s="60"/>
      <c r="VTC2478" s="60"/>
      <c r="VTD2478" s="60"/>
      <c r="VTE2478" s="63"/>
      <c r="VTF2478" s="61"/>
      <c r="VTG2478" s="54"/>
      <c r="VTH2478" s="54"/>
      <c r="VTI2478" s="60"/>
      <c r="VTJ2478" s="60"/>
      <c r="VTK2478" s="60"/>
      <c r="VTL2478" s="60"/>
      <c r="VTM2478" s="63"/>
      <c r="VTN2478" s="61"/>
      <c r="VTO2478" s="54"/>
      <c r="VTP2478" s="54"/>
      <c r="VTQ2478" s="60"/>
      <c r="VTR2478" s="60"/>
      <c r="VTS2478" s="60"/>
      <c r="VTT2478" s="60"/>
      <c r="VTU2478" s="63"/>
      <c r="VTV2478" s="61"/>
      <c r="VTW2478" s="54"/>
      <c r="VTX2478" s="54"/>
      <c r="VTY2478" s="60"/>
      <c r="VTZ2478" s="60"/>
      <c r="VUA2478" s="60"/>
      <c r="VUB2478" s="60"/>
      <c r="VUC2478" s="63"/>
      <c r="VUD2478" s="61"/>
      <c r="VUE2478" s="54"/>
      <c r="VUF2478" s="54"/>
      <c r="VUG2478" s="60"/>
      <c r="VUH2478" s="60"/>
      <c r="VUI2478" s="60"/>
      <c r="VUJ2478" s="60"/>
      <c r="VUK2478" s="63"/>
      <c r="VUL2478" s="61"/>
      <c r="VUM2478" s="54"/>
      <c r="VUN2478" s="54"/>
      <c r="VUO2478" s="60"/>
      <c r="VUP2478" s="60"/>
      <c r="VUQ2478" s="60"/>
      <c r="VUR2478" s="60"/>
      <c r="VUS2478" s="63"/>
      <c r="VUT2478" s="61"/>
      <c r="VUU2478" s="54"/>
      <c r="VUV2478" s="54"/>
      <c r="VUW2478" s="60"/>
      <c r="VUX2478" s="60"/>
      <c r="VUY2478" s="60"/>
      <c r="VUZ2478" s="60"/>
      <c r="VVA2478" s="63"/>
      <c r="VVB2478" s="61"/>
      <c r="VVC2478" s="54"/>
      <c r="VVD2478" s="54"/>
      <c r="VVE2478" s="60"/>
      <c r="VVF2478" s="60"/>
      <c r="VVG2478" s="60"/>
      <c r="VVH2478" s="60"/>
      <c r="VVI2478" s="63"/>
      <c r="VVJ2478" s="61"/>
      <c r="VVK2478" s="54"/>
      <c r="VVL2478" s="54"/>
      <c r="VVM2478" s="60"/>
      <c r="VVN2478" s="60"/>
      <c r="VVO2478" s="60"/>
      <c r="VVP2478" s="60"/>
      <c r="VVQ2478" s="63"/>
      <c r="VVR2478" s="61"/>
      <c r="VVS2478" s="54"/>
      <c r="VVT2478" s="54"/>
      <c r="VVU2478" s="60"/>
      <c r="VVV2478" s="60"/>
      <c r="VVW2478" s="60"/>
      <c r="VVX2478" s="60"/>
      <c r="VVY2478" s="63"/>
      <c r="VVZ2478" s="61"/>
      <c r="VWA2478" s="54"/>
      <c r="VWB2478" s="54"/>
      <c r="VWC2478" s="60"/>
      <c r="VWD2478" s="60"/>
      <c r="VWE2478" s="60"/>
      <c r="VWF2478" s="60"/>
      <c r="VWG2478" s="63"/>
      <c r="VWH2478" s="61"/>
      <c r="VWI2478" s="54"/>
      <c r="VWJ2478" s="54"/>
      <c r="VWK2478" s="60"/>
      <c r="VWL2478" s="60"/>
      <c r="VWM2478" s="60"/>
      <c r="VWN2478" s="60"/>
      <c r="VWO2478" s="63"/>
      <c r="VWP2478" s="61"/>
      <c r="VWQ2478" s="54"/>
      <c r="VWR2478" s="54"/>
      <c r="VWS2478" s="60"/>
      <c r="VWT2478" s="60"/>
      <c r="VWU2478" s="60"/>
      <c r="VWV2478" s="60"/>
      <c r="VWW2478" s="63"/>
      <c r="VWX2478" s="61"/>
      <c r="VWY2478" s="54"/>
      <c r="VWZ2478" s="54"/>
      <c r="VXA2478" s="60"/>
      <c r="VXB2478" s="60"/>
      <c r="VXC2478" s="60"/>
      <c r="VXD2478" s="60"/>
      <c r="VXE2478" s="63"/>
      <c r="VXF2478" s="61"/>
      <c r="VXG2478" s="54"/>
      <c r="VXH2478" s="54"/>
      <c r="VXI2478" s="60"/>
      <c r="VXJ2478" s="60"/>
      <c r="VXK2478" s="60"/>
      <c r="VXL2478" s="60"/>
      <c r="VXM2478" s="63"/>
      <c r="VXN2478" s="61"/>
      <c r="VXO2478" s="54"/>
      <c r="VXP2478" s="54"/>
      <c r="VXQ2478" s="60"/>
      <c r="VXR2478" s="60"/>
      <c r="VXS2478" s="60"/>
      <c r="VXT2478" s="60"/>
      <c r="VXU2478" s="63"/>
      <c r="VXV2478" s="61"/>
      <c r="VXW2478" s="54"/>
      <c r="VXX2478" s="54"/>
      <c r="VXY2478" s="60"/>
      <c r="VXZ2478" s="60"/>
      <c r="VYA2478" s="60"/>
      <c r="VYB2478" s="60"/>
      <c r="VYC2478" s="63"/>
      <c r="VYD2478" s="61"/>
      <c r="VYE2478" s="54"/>
      <c r="VYF2478" s="54"/>
      <c r="VYG2478" s="60"/>
      <c r="VYH2478" s="60"/>
      <c r="VYI2478" s="60"/>
      <c r="VYJ2478" s="60"/>
      <c r="VYK2478" s="63"/>
      <c r="VYL2478" s="61"/>
      <c r="VYM2478" s="54"/>
      <c r="VYN2478" s="54"/>
      <c r="VYO2478" s="60"/>
      <c r="VYP2478" s="60"/>
      <c r="VYQ2478" s="60"/>
      <c r="VYR2478" s="60"/>
      <c r="VYS2478" s="63"/>
      <c r="VYT2478" s="61"/>
      <c r="VYU2478" s="54"/>
      <c r="VYV2478" s="54"/>
      <c r="VYW2478" s="60"/>
      <c r="VYX2478" s="60"/>
      <c r="VYY2478" s="60"/>
      <c r="VYZ2478" s="60"/>
      <c r="VZA2478" s="63"/>
      <c r="VZB2478" s="61"/>
      <c r="VZC2478" s="54"/>
      <c r="VZD2478" s="54"/>
      <c r="VZE2478" s="60"/>
      <c r="VZF2478" s="60"/>
      <c r="VZG2478" s="60"/>
      <c r="VZH2478" s="60"/>
      <c r="VZI2478" s="63"/>
      <c r="VZJ2478" s="61"/>
      <c r="VZK2478" s="54"/>
      <c r="VZL2478" s="54"/>
      <c r="VZM2478" s="60"/>
      <c r="VZN2478" s="60"/>
      <c r="VZO2478" s="60"/>
      <c r="VZP2478" s="60"/>
      <c r="VZQ2478" s="63"/>
      <c r="VZR2478" s="61"/>
      <c r="VZS2478" s="54"/>
      <c r="VZT2478" s="54"/>
      <c r="VZU2478" s="60"/>
      <c r="VZV2478" s="60"/>
      <c r="VZW2478" s="60"/>
      <c r="VZX2478" s="60"/>
      <c r="VZY2478" s="63"/>
      <c r="VZZ2478" s="61"/>
      <c r="WAA2478" s="54"/>
      <c r="WAB2478" s="54"/>
      <c r="WAC2478" s="60"/>
      <c r="WAD2478" s="60"/>
      <c r="WAE2478" s="60"/>
      <c r="WAF2478" s="60"/>
      <c r="WAG2478" s="63"/>
      <c r="WAH2478" s="61"/>
      <c r="WAI2478" s="54"/>
      <c r="WAJ2478" s="54"/>
      <c r="WAK2478" s="60"/>
      <c r="WAL2478" s="60"/>
      <c r="WAM2478" s="60"/>
      <c r="WAN2478" s="60"/>
      <c r="WAO2478" s="63"/>
      <c r="WAP2478" s="61"/>
      <c r="WAQ2478" s="54"/>
      <c r="WAR2478" s="54"/>
      <c r="WAS2478" s="60"/>
      <c r="WAT2478" s="60"/>
      <c r="WAU2478" s="60"/>
      <c r="WAV2478" s="60"/>
      <c r="WAW2478" s="63"/>
      <c r="WAX2478" s="61"/>
      <c r="WAY2478" s="54"/>
      <c r="WAZ2478" s="54"/>
      <c r="WBA2478" s="60"/>
      <c r="WBB2478" s="60"/>
      <c r="WBC2478" s="60"/>
      <c r="WBD2478" s="60"/>
      <c r="WBE2478" s="63"/>
      <c r="WBF2478" s="61"/>
      <c r="WBG2478" s="54"/>
      <c r="WBH2478" s="54"/>
      <c r="WBI2478" s="60"/>
      <c r="WBJ2478" s="60"/>
      <c r="WBK2478" s="60"/>
      <c r="WBL2478" s="60"/>
      <c r="WBM2478" s="63"/>
      <c r="WBN2478" s="61"/>
      <c r="WBO2478" s="54"/>
      <c r="WBP2478" s="54"/>
      <c r="WBQ2478" s="60"/>
      <c r="WBR2478" s="60"/>
      <c r="WBS2478" s="60"/>
      <c r="WBT2478" s="60"/>
      <c r="WBU2478" s="63"/>
      <c r="WBV2478" s="61"/>
      <c r="WBW2478" s="54"/>
      <c r="WBX2478" s="54"/>
      <c r="WBY2478" s="60"/>
      <c r="WBZ2478" s="60"/>
      <c r="WCA2478" s="60"/>
      <c r="WCB2478" s="60"/>
      <c r="WCC2478" s="63"/>
      <c r="WCD2478" s="61"/>
      <c r="WCE2478" s="54"/>
      <c r="WCF2478" s="54"/>
      <c r="WCG2478" s="60"/>
      <c r="WCH2478" s="60"/>
      <c r="WCI2478" s="60"/>
      <c r="WCJ2478" s="60"/>
      <c r="WCK2478" s="63"/>
      <c r="WCL2478" s="61"/>
      <c r="WCM2478" s="54"/>
      <c r="WCN2478" s="54"/>
      <c r="WCO2478" s="60"/>
      <c r="WCP2478" s="60"/>
      <c r="WCQ2478" s="60"/>
      <c r="WCR2478" s="60"/>
      <c r="WCS2478" s="63"/>
      <c r="WCT2478" s="61"/>
      <c r="WCU2478" s="54"/>
      <c r="WCV2478" s="54"/>
      <c r="WCW2478" s="60"/>
      <c r="WCX2478" s="60"/>
      <c r="WCY2478" s="60"/>
      <c r="WCZ2478" s="60"/>
      <c r="WDA2478" s="63"/>
      <c r="WDB2478" s="61"/>
      <c r="WDC2478" s="54"/>
      <c r="WDD2478" s="54"/>
      <c r="WDE2478" s="60"/>
      <c r="WDF2478" s="60"/>
      <c r="WDG2478" s="60"/>
      <c r="WDH2478" s="60"/>
      <c r="WDI2478" s="63"/>
      <c r="WDJ2478" s="61"/>
      <c r="WDK2478" s="54"/>
      <c r="WDL2478" s="54"/>
      <c r="WDM2478" s="60"/>
      <c r="WDN2478" s="60"/>
      <c r="WDO2478" s="60"/>
      <c r="WDP2478" s="60"/>
      <c r="WDQ2478" s="63"/>
      <c r="WDR2478" s="61"/>
      <c r="WDS2478" s="54"/>
      <c r="WDT2478" s="54"/>
      <c r="WDU2478" s="60"/>
      <c r="WDV2478" s="60"/>
      <c r="WDW2478" s="60"/>
      <c r="WDX2478" s="60"/>
      <c r="WDY2478" s="63"/>
      <c r="WDZ2478" s="61"/>
      <c r="WEA2478" s="54"/>
      <c r="WEB2478" s="54"/>
      <c r="WEC2478" s="60"/>
      <c r="WED2478" s="60"/>
      <c r="WEE2478" s="60"/>
      <c r="WEF2478" s="60"/>
      <c r="WEG2478" s="63"/>
      <c r="WEH2478" s="61"/>
      <c r="WEI2478" s="54"/>
      <c r="WEJ2478" s="54"/>
      <c r="WEK2478" s="60"/>
      <c r="WEL2478" s="60"/>
      <c r="WEM2478" s="60"/>
      <c r="WEN2478" s="60"/>
      <c r="WEO2478" s="63"/>
      <c r="WEP2478" s="61"/>
      <c r="WEQ2478" s="54"/>
      <c r="WER2478" s="54"/>
      <c r="WES2478" s="60"/>
      <c r="WET2478" s="60"/>
      <c r="WEU2478" s="60"/>
      <c r="WEV2478" s="60"/>
      <c r="WEW2478" s="63"/>
      <c r="WEX2478" s="61"/>
      <c r="WEY2478" s="54"/>
      <c r="WEZ2478" s="54"/>
      <c r="WFA2478" s="60"/>
      <c r="WFB2478" s="60"/>
      <c r="WFC2478" s="60"/>
      <c r="WFD2478" s="60"/>
      <c r="WFE2478" s="63"/>
      <c r="WFF2478" s="61"/>
      <c r="WFG2478" s="54"/>
      <c r="WFH2478" s="54"/>
      <c r="WFI2478" s="60"/>
      <c r="WFJ2478" s="60"/>
      <c r="WFK2478" s="60"/>
      <c r="WFL2478" s="60"/>
      <c r="WFM2478" s="63"/>
      <c r="WFN2478" s="61"/>
      <c r="WFO2478" s="54"/>
      <c r="WFP2478" s="54"/>
      <c r="WFQ2478" s="60"/>
      <c r="WFR2478" s="60"/>
      <c r="WFS2478" s="60"/>
      <c r="WFT2478" s="60"/>
      <c r="WFU2478" s="63"/>
      <c r="WFV2478" s="61"/>
      <c r="WFW2478" s="54"/>
      <c r="WFX2478" s="54"/>
      <c r="WFY2478" s="60"/>
      <c r="WFZ2478" s="60"/>
      <c r="WGA2478" s="60"/>
      <c r="WGB2478" s="60"/>
      <c r="WGC2478" s="63"/>
      <c r="WGD2478" s="61"/>
      <c r="WGE2478" s="54"/>
      <c r="WGF2478" s="54"/>
      <c r="WGG2478" s="60"/>
      <c r="WGH2478" s="60"/>
      <c r="WGI2478" s="60"/>
      <c r="WGJ2478" s="60"/>
      <c r="WGK2478" s="63"/>
      <c r="WGL2478" s="61"/>
      <c r="WGM2478" s="54"/>
      <c r="WGN2478" s="54"/>
      <c r="WGO2478" s="60"/>
      <c r="WGP2478" s="60"/>
      <c r="WGQ2478" s="60"/>
      <c r="WGR2478" s="60"/>
      <c r="WGS2478" s="63"/>
      <c r="WGT2478" s="61"/>
      <c r="WGU2478" s="54"/>
      <c r="WGV2478" s="54"/>
      <c r="WGW2478" s="60"/>
      <c r="WGX2478" s="60"/>
      <c r="WGY2478" s="60"/>
      <c r="WGZ2478" s="60"/>
      <c r="WHA2478" s="63"/>
      <c r="WHB2478" s="61"/>
      <c r="WHC2478" s="54"/>
      <c r="WHD2478" s="54"/>
      <c r="WHE2478" s="60"/>
      <c r="WHF2478" s="60"/>
      <c r="WHG2478" s="60"/>
      <c r="WHH2478" s="60"/>
      <c r="WHI2478" s="63"/>
      <c r="WHJ2478" s="61"/>
      <c r="WHK2478" s="54"/>
      <c r="WHL2478" s="54"/>
      <c r="WHM2478" s="60"/>
      <c r="WHN2478" s="60"/>
      <c r="WHO2478" s="60"/>
      <c r="WHP2478" s="60"/>
      <c r="WHQ2478" s="63"/>
      <c r="WHR2478" s="61"/>
      <c r="WHS2478" s="54"/>
      <c r="WHT2478" s="54"/>
      <c r="WHU2478" s="60"/>
      <c r="WHV2478" s="60"/>
      <c r="WHW2478" s="60"/>
      <c r="WHX2478" s="60"/>
      <c r="WHY2478" s="63"/>
      <c r="WHZ2478" s="61"/>
      <c r="WIA2478" s="54"/>
      <c r="WIB2478" s="54"/>
      <c r="WIC2478" s="60"/>
      <c r="WID2478" s="60"/>
      <c r="WIE2478" s="60"/>
      <c r="WIF2478" s="60"/>
      <c r="WIG2478" s="63"/>
      <c r="WIH2478" s="61"/>
      <c r="WII2478" s="54"/>
      <c r="WIJ2478" s="54"/>
      <c r="WIK2478" s="60"/>
      <c r="WIL2478" s="60"/>
      <c r="WIM2478" s="60"/>
      <c r="WIN2478" s="60"/>
      <c r="WIO2478" s="63"/>
      <c r="WIP2478" s="61"/>
      <c r="WIQ2478" s="54"/>
      <c r="WIR2478" s="54"/>
      <c r="WIS2478" s="60"/>
      <c r="WIT2478" s="60"/>
      <c r="WIU2478" s="60"/>
      <c r="WIV2478" s="60"/>
      <c r="WIW2478" s="63"/>
      <c r="WIX2478" s="61"/>
      <c r="WIY2478" s="54"/>
      <c r="WIZ2478" s="54"/>
      <c r="WJA2478" s="60"/>
      <c r="WJB2478" s="60"/>
      <c r="WJC2478" s="60"/>
      <c r="WJD2478" s="60"/>
      <c r="WJE2478" s="63"/>
      <c r="WJF2478" s="61"/>
      <c r="WJG2478" s="54"/>
      <c r="WJH2478" s="54"/>
      <c r="WJI2478" s="60"/>
      <c r="WJJ2478" s="60"/>
      <c r="WJK2478" s="60"/>
      <c r="WJL2478" s="60"/>
      <c r="WJM2478" s="63"/>
      <c r="WJN2478" s="61"/>
      <c r="WJO2478" s="54"/>
      <c r="WJP2478" s="54"/>
      <c r="WJQ2478" s="60"/>
      <c r="WJR2478" s="60"/>
      <c r="WJS2478" s="60"/>
      <c r="WJT2478" s="60"/>
      <c r="WJU2478" s="63"/>
      <c r="WJV2478" s="61"/>
      <c r="WJW2478" s="54"/>
      <c r="WJX2478" s="54"/>
      <c r="WJY2478" s="60"/>
      <c r="WJZ2478" s="60"/>
      <c r="WKA2478" s="60"/>
      <c r="WKB2478" s="60"/>
      <c r="WKC2478" s="63"/>
      <c r="WKD2478" s="61"/>
      <c r="WKE2478" s="54"/>
      <c r="WKF2478" s="54"/>
      <c r="WKG2478" s="60"/>
      <c r="WKH2478" s="60"/>
      <c r="WKI2478" s="60"/>
      <c r="WKJ2478" s="60"/>
      <c r="WKK2478" s="63"/>
      <c r="WKL2478" s="61"/>
      <c r="WKM2478" s="54"/>
      <c r="WKN2478" s="54"/>
      <c r="WKO2478" s="60"/>
      <c r="WKP2478" s="60"/>
      <c r="WKQ2478" s="60"/>
      <c r="WKR2478" s="60"/>
      <c r="WKS2478" s="63"/>
      <c r="WKT2478" s="61"/>
      <c r="WKU2478" s="54"/>
      <c r="WKV2478" s="54"/>
      <c r="WKW2478" s="60"/>
      <c r="WKX2478" s="60"/>
      <c r="WKY2478" s="60"/>
      <c r="WKZ2478" s="60"/>
      <c r="WLA2478" s="63"/>
      <c r="WLB2478" s="61"/>
      <c r="WLC2478" s="54"/>
      <c r="WLD2478" s="54"/>
      <c r="WLE2478" s="60"/>
      <c r="WLF2478" s="60"/>
      <c r="WLG2478" s="60"/>
      <c r="WLH2478" s="60"/>
      <c r="WLI2478" s="63"/>
      <c r="WLJ2478" s="61"/>
      <c r="WLK2478" s="54"/>
      <c r="WLL2478" s="54"/>
      <c r="WLM2478" s="60"/>
      <c r="WLN2478" s="60"/>
      <c r="WLO2478" s="60"/>
      <c r="WLP2478" s="60"/>
      <c r="WLQ2478" s="63"/>
      <c r="WLR2478" s="61"/>
      <c r="WLS2478" s="54"/>
      <c r="WLT2478" s="54"/>
      <c r="WLU2478" s="60"/>
      <c r="WLV2478" s="60"/>
      <c r="WLW2478" s="60"/>
      <c r="WLX2478" s="60"/>
      <c r="WLY2478" s="63"/>
      <c r="WLZ2478" s="61"/>
      <c r="WMA2478" s="54"/>
      <c r="WMB2478" s="54"/>
      <c r="WMC2478" s="60"/>
      <c r="WMD2478" s="60"/>
      <c r="WME2478" s="60"/>
      <c r="WMF2478" s="60"/>
      <c r="WMG2478" s="63"/>
      <c r="WMH2478" s="61"/>
      <c r="WMI2478" s="54"/>
      <c r="WMJ2478" s="54"/>
      <c r="WMK2478" s="60"/>
      <c r="WML2478" s="60"/>
      <c r="WMM2478" s="60"/>
      <c r="WMN2478" s="60"/>
      <c r="WMO2478" s="63"/>
      <c r="WMP2478" s="61"/>
      <c r="WMQ2478" s="54"/>
      <c r="WMR2478" s="54"/>
      <c r="WMS2478" s="60"/>
      <c r="WMT2478" s="60"/>
      <c r="WMU2478" s="60"/>
      <c r="WMV2478" s="60"/>
      <c r="WMW2478" s="63"/>
      <c r="WMX2478" s="61"/>
      <c r="WMY2478" s="54"/>
      <c r="WMZ2478" s="54"/>
      <c r="WNA2478" s="60"/>
      <c r="WNB2478" s="60"/>
      <c r="WNC2478" s="60"/>
      <c r="WND2478" s="60"/>
      <c r="WNE2478" s="63"/>
      <c r="WNF2478" s="61"/>
      <c r="WNG2478" s="54"/>
      <c r="WNH2478" s="54"/>
      <c r="WNI2478" s="60"/>
      <c r="WNJ2478" s="60"/>
      <c r="WNK2478" s="60"/>
      <c r="WNL2478" s="60"/>
      <c r="WNM2478" s="63"/>
      <c r="WNN2478" s="61"/>
      <c r="WNO2478" s="54"/>
      <c r="WNP2478" s="54"/>
      <c r="WNQ2478" s="60"/>
      <c r="WNR2478" s="60"/>
      <c r="WNS2478" s="60"/>
      <c r="WNT2478" s="60"/>
      <c r="WNU2478" s="63"/>
      <c r="WNV2478" s="61"/>
      <c r="WNW2478" s="54"/>
      <c r="WNX2478" s="54"/>
      <c r="WNY2478" s="60"/>
      <c r="WNZ2478" s="60"/>
      <c r="WOA2478" s="60"/>
      <c r="WOB2478" s="60"/>
      <c r="WOC2478" s="63"/>
      <c r="WOD2478" s="61"/>
      <c r="WOE2478" s="54"/>
      <c r="WOF2478" s="54"/>
      <c r="WOG2478" s="60"/>
      <c r="WOH2478" s="60"/>
      <c r="WOI2478" s="60"/>
      <c r="WOJ2478" s="60"/>
      <c r="WOK2478" s="63"/>
      <c r="WOL2478" s="61"/>
      <c r="WOM2478" s="54"/>
      <c r="WON2478" s="54"/>
      <c r="WOO2478" s="60"/>
      <c r="WOP2478" s="60"/>
      <c r="WOQ2478" s="60"/>
      <c r="WOR2478" s="60"/>
      <c r="WOS2478" s="63"/>
      <c r="WOT2478" s="61"/>
      <c r="WOU2478" s="54"/>
      <c r="WOV2478" s="54"/>
      <c r="WOW2478" s="60"/>
      <c r="WOX2478" s="60"/>
      <c r="WOY2478" s="60"/>
      <c r="WOZ2478" s="60"/>
      <c r="WPA2478" s="63"/>
      <c r="WPB2478" s="61"/>
      <c r="WPC2478" s="54"/>
      <c r="WPD2478" s="54"/>
      <c r="WPE2478" s="60"/>
      <c r="WPF2478" s="60"/>
      <c r="WPG2478" s="60"/>
      <c r="WPH2478" s="60"/>
      <c r="WPI2478" s="63"/>
      <c r="WPJ2478" s="61"/>
      <c r="WPK2478" s="54"/>
      <c r="WPL2478" s="54"/>
      <c r="WPM2478" s="60"/>
      <c r="WPN2478" s="60"/>
      <c r="WPO2478" s="60"/>
      <c r="WPP2478" s="60"/>
      <c r="WPQ2478" s="63"/>
      <c r="WPR2478" s="61"/>
      <c r="WPS2478" s="54"/>
      <c r="WPT2478" s="54"/>
      <c r="WPU2478" s="60"/>
      <c r="WPV2478" s="60"/>
      <c r="WPW2478" s="60"/>
      <c r="WPX2478" s="60"/>
      <c r="WPY2478" s="63"/>
      <c r="WPZ2478" s="61"/>
      <c r="WQA2478" s="54"/>
      <c r="WQB2478" s="54"/>
      <c r="WQC2478" s="60"/>
      <c r="WQD2478" s="60"/>
      <c r="WQE2478" s="60"/>
      <c r="WQF2478" s="60"/>
      <c r="WQG2478" s="63"/>
      <c r="WQH2478" s="61"/>
      <c r="WQI2478" s="54"/>
      <c r="WQJ2478" s="54"/>
      <c r="WQK2478" s="60"/>
      <c r="WQL2478" s="60"/>
      <c r="WQM2478" s="60"/>
      <c r="WQN2478" s="60"/>
      <c r="WQO2478" s="63"/>
      <c r="WQP2478" s="61"/>
      <c r="WQQ2478" s="54"/>
      <c r="WQR2478" s="54"/>
      <c r="WQS2478" s="60"/>
      <c r="WQT2478" s="60"/>
      <c r="WQU2478" s="60"/>
      <c r="WQV2478" s="60"/>
      <c r="WQW2478" s="63"/>
      <c r="WQX2478" s="61"/>
      <c r="WQY2478" s="54"/>
      <c r="WQZ2478" s="54"/>
      <c r="WRA2478" s="60"/>
      <c r="WRB2478" s="60"/>
      <c r="WRC2478" s="60"/>
      <c r="WRD2478" s="60"/>
      <c r="WRE2478" s="63"/>
      <c r="WRF2478" s="61"/>
      <c r="WRG2478" s="54"/>
      <c r="WRH2478" s="54"/>
      <c r="WRI2478" s="60"/>
      <c r="WRJ2478" s="60"/>
      <c r="WRK2478" s="60"/>
      <c r="WRL2478" s="60"/>
      <c r="WRM2478" s="63"/>
      <c r="WRN2478" s="61"/>
      <c r="WRO2478" s="54"/>
      <c r="WRP2478" s="54"/>
      <c r="WRQ2478" s="60"/>
      <c r="WRR2478" s="60"/>
      <c r="WRS2478" s="60"/>
      <c r="WRT2478" s="60"/>
      <c r="WRU2478" s="63"/>
      <c r="WRV2478" s="61"/>
      <c r="WRW2478" s="54"/>
      <c r="WRX2478" s="54"/>
      <c r="WRY2478" s="60"/>
      <c r="WRZ2478" s="60"/>
      <c r="WSA2478" s="60"/>
      <c r="WSB2478" s="60"/>
      <c r="WSC2478" s="63"/>
      <c r="WSD2478" s="61"/>
      <c r="WSE2478" s="54"/>
      <c r="WSF2478" s="54"/>
      <c r="WSG2478" s="60"/>
      <c r="WSH2478" s="60"/>
      <c r="WSI2478" s="60"/>
      <c r="WSJ2478" s="60"/>
      <c r="WSK2478" s="63"/>
      <c r="WSL2478" s="61"/>
      <c r="WSM2478" s="54"/>
      <c r="WSN2478" s="54"/>
      <c r="WSO2478" s="60"/>
      <c r="WSP2478" s="60"/>
      <c r="WSQ2478" s="60"/>
      <c r="WSR2478" s="60"/>
      <c r="WSS2478" s="63"/>
      <c r="WST2478" s="61"/>
      <c r="WSU2478" s="54"/>
      <c r="WSV2478" s="54"/>
      <c r="WSW2478" s="60"/>
      <c r="WSX2478" s="60"/>
      <c r="WSY2478" s="60"/>
      <c r="WSZ2478" s="60"/>
      <c r="WTA2478" s="63"/>
      <c r="WTB2478" s="61"/>
      <c r="WTC2478" s="54"/>
      <c r="WTD2478" s="54"/>
      <c r="WTE2478" s="60"/>
      <c r="WTF2478" s="60"/>
      <c r="WTG2478" s="60"/>
      <c r="WTH2478" s="60"/>
      <c r="WTI2478" s="63"/>
      <c r="WTJ2478" s="61"/>
      <c r="WTK2478" s="54"/>
      <c r="WTL2478" s="54"/>
      <c r="WTM2478" s="60"/>
      <c r="WTN2478" s="60"/>
      <c r="WTO2478" s="60"/>
      <c r="WTP2478" s="60"/>
      <c r="WTQ2478" s="63"/>
      <c r="WTR2478" s="61"/>
      <c r="WTS2478" s="54"/>
      <c r="WTT2478" s="54"/>
      <c r="WTU2478" s="60"/>
      <c r="WTV2478" s="60"/>
      <c r="WTW2478" s="60"/>
      <c r="WTX2478" s="60"/>
      <c r="WTY2478" s="63"/>
      <c r="WTZ2478" s="61"/>
      <c r="WUA2478" s="54"/>
      <c r="WUB2478" s="54"/>
      <c r="WUC2478" s="60"/>
      <c r="WUD2478" s="60"/>
      <c r="WUE2478" s="60"/>
      <c r="WUF2478" s="60"/>
      <c r="WUG2478" s="63"/>
      <c r="WUH2478" s="61"/>
      <c r="WUI2478" s="54"/>
      <c r="WUJ2478" s="54"/>
      <c r="WUK2478" s="60"/>
      <c r="WUL2478" s="60"/>
      <c r="WUM2478" s="60"/>
      <c r="WUN2478" s="60"/>
      <c r="WUO2478" s="63"/>
      <c r="WUP2478" s="61"/>
      <c r="WUQ2478" s="54"/>
      <c r="WUR2478" s="54"/>
      <c r="WUS2478" s="60"/>
      <c r="WUT2478" s="60"/>
      <c r="WUU2478" s="60"/>
      <c r="WUV2478" s="60"/>
      <c r="WUW2478" s="63"/>
      <c r="WUX2478" s="61"/>
      <c r="WUY2478" s="54"/>
      <c r="WUZ2478" s="54"/>
      <c r="WVA2478" s="60"/>
      <c r="WVB2478" s="60"/>
      <c r="WVC2478" s="60"/>
      <c r="WVD2478" s="60"/>
      <c r="WVE2478" s="63"/>
      <c r="WVF2478" s="61"/>
      <c r="WVG2478" s="54"/>
      <c r="WVH2478" s="54"/>
      <c r="WVI2478" s="60"/>
      <c r="WVJ2478" s="60"/>
      <c r="WVK2478" s="60"/>
      <c r="WVL2478" s="60"/>
      <c r="WVM2478" s="63"/>
      <c r="WVN2478" s="61"/>
      <c r="WVO2478" s="54"/>
      <c r="WVP2478" s="54"/>
      <c r="WVQ2478" s="60"/>
      <c r="WVR2478" s="60"/>
      <c r="WVS2478" s="60"/>
      <c r="WVT2478" s="60"/>
      <c r="WVU2478" s="63"/>
      <c r="WVV2478" s="61"/>
      <c r="WVW2478" s="54"/>
      <c r="WVX2478" s="54"/>
      <c r="WVY2478" s="60"/>
      <c r="WVZ2478" s="60"/>
      <c r="WWA2478" s="60"/>
      <c r="WWB2478" s="60"/>
      <c r="WWC2478" s="63"/>
      <c r="WWD2478" s="61"/>
      <c r="WWE2478" s="54"/>
      <c r="WWF2478" s="54"/>
      <c r="WWG2478" s="60"/>
      <c r="WWH2478" s="60"/>
      <c r="WWI2478" s="60"/>
      <c r="WWJ2478" s="60"/>
      <c r="WWK2478" s="63"/>
      <c r="WWL2478" s="61"/>
      <c r="WWM2478" s="54"/>
      <c r="WWN2478" s="54"/>
      <c r="WWO2478" s="60"/>
      <c r="WWP2478" s="60"/>
      <c r="WWQ2478" s="60"/>
      <c r="WWR2478" s="60"/>
      <c r="WWS2478" s="63"/>
      <c r="WWT2478" s="61"/>
      <c r="WWU2478" s="54"/>
      <c r="WWV2478" s="54"/>
      <c r="WWW2478" s="60"/>
      <c r="WWX2478" s="60"/>
      <c r="WWY2478" s="60"/>
      <c r="WWZ2478" s="60"/>
      <c r="WXA2478" s="63"/>
      <c r="WXB2478" s="61"/>
      <c r="WXC2478" s="54"/>
      <c r="WXD2478" s="54"/>
      <c r="WXE2478" s="60"/>
      <c r="WXF2478" s="60"/>
      <c r="WXG2478" s="60"/>
      <c r="WXH2478" s="60"/>
      <c r="WXI2478" s="63"/>
      <c r="WXJ2478" s="61"/>
      <c r="WXK2478" s="54"/>
      <c r="WXL2478" s="54"/>
      <c r="WXM2478" s="60"/>
      <c r="WXN2478" s="60"/>
      <c r="WXO2478" s="60"/>
      <c r="WXP2478" s="60"/>
      <c r="WXQ2478" s="63"/>
      <c r="WXR2478" s="61"/>
      <c r="WXS2478" s="54"/>
      <c r="WXT2478" s="54"/>
      <c r="WXU2478" s="60"/>
      <c r="WXV2478" s="60"/>
      <c r="WXW2478" s="60"/>
      <c r="WXX2478" s="60"/>
      <c r="WXY2478" s="63"/>
      <c r="WXZ2478" s="61"/>
      <c r="WYA2478" s="54"/>
      <c r="WYB2478" s="54"/>
      <c r="WYC2478" s="60"/>
      <c r="WYD2478" s="60"/>
      <c r="WYE2478" s="60"/>
      <c r="WYF2478" s="60"/>
      <c r="WYG2478" s="63"/>
      <c r="WYH2478" s="61"/>
      <c r="WYI2478" s="54"/>
      <c r="WYJ2478" s="54"/>
      <c r="WYK2478" s="60"/>
      <c r="WYL2478" s="60"/>
      <c r="WYM2478" s="60"/>
      <c r="WYN2478" s="60"/>
      <c r="WYO2478" s="63"/>
      <c r="WYP2478" s="61"/>
      <c r="WYQ2478" s="54"/>
      <c r="WYR2478" s="54"/>
      <c r="WYS2478" s="60"/>
      <c r="WYT2478" s="60"/>
      <c r="WYU2478" s="60"/>
      <c r="WYV2478" s="60"/>
      <c r="WYW2478" s="63"/>
      <c r="WYX2478" s="61"/>
      <c r="WYY2478" s="54"/>
      <c r="WYZ2478" s="54"/>
      <c r="WZA2478" s="60"/>
      <c r="WZB2478" s="60"/>
      <c r="WZC2478" s="60"/>
      <c r="WZD2478" s="60"/>
      <c r="WZE2478" s="63"/>
      <c r="WZF2478" s="61"/>
      <c r="WZG2478" s="54"/>
      <c r="WZH2478" s="54"/>
      <c r="WZI2478" s="60"/>
      <c r="WZJ2478" s="60"/>
      <c r="WZK2478" s="60"/>
      <c r="WZL2478" s="60"/>
      <c r="WZM2478" s="63"/>
      <c r="WZN2478" s="61"/>
      <c r="WZO2478" s="54"/>
      <c r="WZP2478" s="54"/>
      <c r="WZQ2478" s="60"/>
      <c r="WZR2478" s="60"/>
      <c r="WZS2478" s="60"/>
      <c r="WZT2478" s="60"/>
      <c r="WZU2478" s="63"/>
      <c r="WZV2478" s="61"/>
      <c r="WZW2478" s="54"/>
      <c r="WZX2478" s="54"/>
      <c r="WZY2478" s="60"/>
      <c r="WZZ2478" s="60"/>
      <c r="XAA2478" s="60"/>
      <c r="XAB2478" s="60"/>
      <c r="XAC2478" s="63"/>
      <c r="XAD2478" s="61"/>
      <c r="XAE2478" s="54"/>
      <c r="XAF2478" s="54"/>
      <c r="XAG2478" s="60"/>
      <c r="XAH2478" s="60"/>
      <c r="XAI2478" s="60"/>
      <c r="XAJ2478" s="60"/>
      <c r="XAK2478" s="63"/>
      <c r="XAL2478" s="61"/>
      <c r="XAM2478" s="54"/>
      <c r="XAN2478" s="54"/>
      <c r="XAO2478" s="60"/>
      <c r="XAP2478" s="60"/>
      <c r="XAQ2478" s="60"/>
      <c r="XAR2478" s="60"/>
      <c r="XAS2478" s="63"/>
      <c r="XAT2478" s="61"/>
      <c r="XAU2478" s="54"/>
      <c r="XAV2478" s="54"/>
      <c r="XAW2478" s="60"/>
      <c r="XAX2478" s="60"/>
      <c r="XAY2478" s="60"/>
      <c r="XAZ2478" s="60"/>
      <c r="XBA2478" s="63"/>
      <c r="XBB2478" s="61"/>
      <c r="XBC2478" s="54"/>
      <c r="XBD2478" s="54"/>
      <c r="XBE2478" s="60"/>
      <c r="XBF2478" s="60"/>
      <c r="XBG2478" s="60"/>
      <c r="XBH2478" s="60"/>
      <c r="XBI2478" s="63"/>
      <c r="XBJ2478" s="61"/>
      <c r="XBK2478" s="54"/>
      <c r="XBL2478" s="54"/>
      <c r="XBM2478" s="60"/>
      <c r="XBN2478" s="60"/>
      <c r="XBO2478" s="60"/>
      <c r="XBP2478" s="60"/>
      <c r="XBQ2478" s="63"/>
      <c r="XBR2478" s="61"/>
      <c r="XBS2478" s="54"/>
      <c r="XBT2478" s="54"/>
      <c r="XBU2478" s="60"/>
      <c r="XBV2478" s="60"/>
      <c r="XBW2478" s="60"/>
      <c r="XBX2478" s="60"/>
      <c r="XBY2478" s="63"/>
      <c r="XBZ2478" s="61"/>
      <c r="XCA2478" s="54"/>
      <c r="XCB2478" s="54"/>
      <c r="XCC2478" s="60"/>
      <c r="XCD2478" s="60"/>
      <c r="XCE2478" s="60"/>
      <c r="XCF2478" s="60"/>
      <c r="XCG2478" s="63"/>
      <c r="XCH2478" s="61"/>
      <c r="XCI2478" s="54"/>
      <c r="XCJ2478" s="54"/>
      <c r="XCK2478" s="60"/>
      <c r="XCL2478" s="60"/>
      <c r="XCM2478" s="60"/>
      <c r="XCN2478" s="60"/>
      <c r="XCO2478" s="63"/>
      <c r="XCP2478" s="61"/>
      <c r="XCQ2478" s="54"/>
      <c r="XCR2478" s="54"/>
      <c r="XCS2478" s="60"/>
      <c r="XCT2478" s="60"/>
      <c r="XCU2478" s="60"/>
      <c r="XCV2478" s="60"/>
      <c r="XCW2478" s="63"/>
      <c r="XCX2478" s="61"/>
      <c r="XCY2478" s="54"/>
      <c r="XCZ2478" s="54"/>
      <c r="XDA2478" s="60"/>
      <c r="XDB2478" s="60"/>
      <c r="XDC2478" s="60"/>
      <c r="XDD2478" s="60"/>
      <c r="XDE2478" s="63"/>
      <c r="XDF2478" s="61"/>
      <c r="XDG2478" s="54"/>
      <c r="XDH2478" s="54"/>
      <c r="XDI2478" s="60"/>
      <c r="XDJ2478" s="60"/>
      <c r="XDK2478" s="60"/>
      <c r="XDL2478" s="60"/>
      <c r="XDM2478" s="63"/>
      <c r="XDN2478" s="61"/>
      <c r="XDO2478" s="54"/>
      <c r="XDP2478" s="54"/>
      <c r="XDQ2478" s="60"/>
      <c r="XDR2478" s="60"/>
      <c r="XDS2478" s="60"/>
      <c r="XDT2478" s="60"/>
      <c r="XDU2478" s="63"/>
      <c r="XDV2478" s="61"/>
      <c r="XDW2478" s="54"/>
      <c r="XDX2478" s="54"/>
      <c r="XDY2478" s="60"/>
      <c r="XDZ2478" s="60"/>
      <c r="XEA2478" s="60"/>
      <c r="XEB2478" s="60"/>
      <c r="XEC2478" s="63"/>
      <c r="XED2478" s="61"/>
      <c r="XEE2478" s="54"/>
      <c r="XEF2478" s="54"/>
      <c r="XEG2478" s="60"/>
      <c r="XEH2478" s="60"/>
      <c r="XEI2478" s="60"/>
      <c r="XEJ2478" s="60"/>
      <c r="XEK2478" s="63"/>
      <c r="XEL2478" s="61"/>
      <c r="XEM2478" s="54"/>
      <c r="XEN2478" s="54"/>
      <c r="XEO2478" s="60"/>
      <c r="XEP2478" s="60"/>
      <c r="XEQ2478" s="60"/>
      <c r="XER2478" s="60"/>
      <c r="XES2478" s="63"/>
      <c r="XET2478" s="61"/>
      <c r="XEU2478" s="54"/>
      <c r="XEV2478" s="54"/>
      <c r="XEW2478" s="60"/>
    </row>
    <row r="2479" ht="18" customHeight="1" spans="1:16377">
      <c r="A2479" s="6" t="s">
        <v>8209</v>
      </c>
      <c r="B2479" s="6" t="s">
        <v>8540</v>
      </c>
      <c r="C2479" s="6" t="s">
        <v>16411</v>
      </c>
      <c r="D2479" s="5" t="s">
        <v>16379</v>
      </c>
      <c r="E2479" s="11" t="s">
        <v>16412</v>
      </c>
      <c r="F2479" s="7" t="s">
        <v>11535</v>
      </c>
      <c r="G2479" s="54"/>
      <c r="H2479" s="54"/>
      <c r="I2479" s="60"/>
      <c r="J2479" s="60"/>
      <c r="K2479" s="60"/>
      <c r="L2479" s="60"/>
      <c r="M2479" s="64"/>
      <c r="N2479" s="61"/>
      <c r="O2479" s="54"/>
      <c r="P2479" s="54"/>
      <c r="Q2479" s="60"/>
      <c r="R2479" s="60"/>
      <c r="S2479" s="60"/>
      <c r="T2479" s="60"/>
      <c r="U2479" s="64"/>
      <c r="V2479" s="61"/>
      <c r="W2479" s="54"/>
      <c r="X2479" s="54"/>
      <c r="Y2479" s="60"/>
      <c r="Z2479" s="60"/>
      <c r="AA2479" s="60"/>
      <c r="AB2479" s="60"/>
      <c r="AC2479" s="64"/>
      <c r="AD2479" s="61"/>
      <c r="AE2479" s="54"/>
      <c r="AF2479" s="54"/>
      <c r="AG2479" s="60"/>
      <c r="AH2479" s="60"/>
      <c r="AI2479" s="60"/>
      <c r="AJ2479" s="60"/>
      <c r="AK2479" s="64"/>
      <c r="AL2479" s="61"/>
      <c r="AM2479" s="54"/>
      <c r="AN2479" s="54"/>
      <c r="AO2479" s="60"/>
      <c r="AP2479" s="60"/>
      <c r="AQ2479" s="60"/>
      <c r="AR2479" s="60"/>
      <c r="AS2479" s="64"/>
      <c r="AT2479" s="61"/>
      <c r="AU2479" s="54"/>
      <c r="AV2479" s="54"/>
      <c r="AW2479" s="60"/>
      <c r="AX2479" s="60"/>
      <c r="AY2479" s="60"/>
      <c r="AZ2479" s="60"/>
      <c r="BA2479" s="64"/>
      <c r="BB2479" s="61"/>
      <c r="BC2479" s="54"/>
      <c r="BD2479" s="54"/>
      <c r="BE2479" s="60"/>
      <c r="BF2479" s="60"/>
      <c r="BG2479" s="60"/>
      <c r="BH2479" s="60"/>
      <c r="BI2479" s="64"/>
      <c r="BJ2479" s="61"/>
      <c r="BK2479" s="54"/>
      <c r="BL2479" s="54"/>
      <c r="BM2479" s="60"/>
      <c r="BN2479" s="60"/>
      <c r="BO2479" s="60"/>
      <c r="BP2479" s="60"/>
      <c r="BQ2479" s="64"/>
      <c r="BR2479" s="61"/>
      <c r="BS2479" s="54"/>
      <c r="BT2479" s="54"/>
      <c r="BU2479" s="60"/>
      <c r="BV2479" s="60"/>
      <c r="BW2479" s="60"/>
      <c r="BX2479" s="60"/>
      <c r="BY2479" s="64"/>
      <c r="BZ2479" s="61"/>
      <c r="CA2479" s="54"/>
      <c r="CB2479" s="54"/>
      <c r="CC2479" s="60"/>
      <c r="CD2479" s="60"/>
      <c r="CE2479" s="60"/>
      <c r="CF2479" s="60"/>
      <c r="CG2479" s="64"/>
      <c r="CH2479" s="61"/>
      <c r="CI2479" s="54"/>
      <c r="CJ2479" s="54"/>
      <c r="CK2479" s="60"/>
      <c r="CL2479" s="60"/>
      <c r="CM2479" s="60"/>
      <c r="CN2479" s="60"/>
      <c r="CO2479" s="64"/>
      <c r="CP2479" s="61"/>
      <c r="CQ2479" s="54"/>
      <c r="CR2479" s="54"/>
      <c r="CS2479" s="60"/>
      <c r="CT2479" s="60"/>
      <c r="CU2479" s="60"/>
      <c r="CV2479" s="60"/>
      <c r="CW2479" s="64"/>
      <c r="CX2479" s="61"/>
      <c r="CY2479" s="54"/>
      <c r="CZ2479" s="54"/>
      <c r="DA2479" s="60"/>
      <c r="DB2479" s="60"/>
      <c r="DC2479" s="60"/>
      <c r="DD2479" s="60"/>
      <c r="DE2479" s="64"/>
      <c r="DF2479" s="61"/>
      <c r="DG2479" s="54"/>
      <c r="DH2479" s="54"/>
      <c r="DI2479" s="60"/>
      <c r="DJ2479" s="60"/>
      <c r="DK2479" s="60"/>
      <c r="DL2479" s="60"/>
      <c r="DM2479" s="64"/>
      <c r="DN2479" s="61"/>
      <c r="DO2479" s="54"/>
      <c r="DP2479" s="54"/>
      <c r="DQ2479" s="60"/>
      <c r="DR2479" s="60"/>
      <c r="DS2479" s="60"/>
      <c r="DT2479" s="60"/>
      <c r="DU2479" s="64"/>
      <c r="DV2479" s="61"/>
      <c r="DW2479" s="54"/>
      <c r="DX2479" s="54"/>
      <c r="DY2479" s="60"/>
      <c r="DZ2479" s="60"/>
      <c r="EA2479" s="60"/>
      <c r="EB2479" s="60"/>
      <c r="EC2479" s="64"/>
      <c r="ED2479" s="61"/>
      <c r="EE2479" s="54"/>
      <c r="EF2479" s="54"/>
      <c r="EG2479" s="60"/>
      <c r="EH2479" s="60"/>
      <c r="EI2479" s="60"/>
      <c r="EJ2479" s="60"/>
      <c r="EK2479" s="64"/>
      <c r="EL2479" s="61"/>
      <c r="EM2479" s="54"/>
      <c r="EN2479" s="54"/>
      <c r="EO2479" s="60"/>
      <c r="EP2479" s="60"/>
      <c r="EQ2479" s="60"/>
      <c r="ER2479" s="60"/>
      <c r="ES2479" s="64"/>
      <c r="ET2479" s="61"/>
      <c r="EU2479" s="54"/>
      <c r="EV2479" s="54"/>
      <c r="EW2479" s="60"/>
      <c r="EX2479" s="60"/>
      <c r="EY2479" s="60"/>
      <c r="EZ2479" s="60"/>
      <c r="FA2479" s="64"/>
      <c r="FB2479" s="61"/>
      <c r="FC2479" s="54"/>
      <c r="FD2479" s="54"/>
      <c r="FE2479" s="60"/>
      <c r="FF2479" s="60"/>
      <c r="FG2479" s="60"/>
      <c r="FH2479" s="60"/>
      <c r="FI2479" s="64"/>
      <c r="FJ2479" s="61"/>
      <c r="FK2479" s="54"/>
      <c r="FL2479" s="54"/>
      <c r="FM2479" s="60"/>
      <c r="FN2479" s="60"/>
      <c r="FO2479" s="60"/>
      <c r="FP2479" s="60"/>
      <c r="FQ2479" s="64"/>
      <c r="FR2479" s="61"/>
      <c r="FS2479" s="54"/>
      <c r="FT2479" s="54"/>
      <c r="FU2479" s="60"/>
      <c r="FV2479" s="60"/>
      <c r="FW2479" s="60"/>
      <c r="FX2479" s="60"/>
      <c r="FY2479" s="64"/>
      <c r="FZ2479" s="61"/>
      <c r="GA2479" s="54"/>
      <c r="GB2479" s="54"/>
      <c r="GC2479" s="60"/>
      <c r="GD2479" s="60"/>
      <c r="GE2479" s="60"/>
      <c r="GF2479" s="60"/>
      <c r="GG2479" s="64"/>
      <c r="GH2479" s="61"/>
      <c r="GI2479" s="54"/>
      <c r="GJ2479" s="54"/>
      <c r="GK2479" s="60"/>
      <c r="GL2479" s="60"/>
      <c r="GM2479" s="60"/>
      <c r="GN2479" s="60"/>
      <c r="GO2479" s="64"/>
      <c r="GP2479" s="61"/>
      <c r="GQ2479" s="54"/>
      <c r="GR2479" s="54"/>
      <c r="GS2479" s="60"/>
      <c r="GT2479" s="60"/>
      <c r="GU2479" s="60"/>
      <c r="GV2479" s="60"/>
      <c r="GW2479" s="64"/>
      <c r="GX2479" s="61"/>
      <c r="GY2479" s="54"/>
      <c r="GZ2479" s="54"/>
      <c r="HA2479" s="60"/>
      <c r="HB2479" s="60"/>
      <c r="HC2479" s="60"/>
      <c r="HD2479" s="60"/>
      <c r="HE2479" s="64"/>
      <c r="HF2479" s="61"/>
      <c r="HG2479" s="54"/>
      <c r="HH2479" s="54"/>
      <c r="HI2479" s="60"/>
      <c r="HJ2479" s="60"/>
      <c r="HK2479" s="60"/>
      <c r="HL2479" s="60"/>
      <c r="HM2479" s="64"/>
      <c r="HN2479" s="61"/>
      <c r="HO2479" s="54"/>
      <c r="HP2479" s="54"/>
      <c r="HQ2479" s="60"/>
      <c r="HR2479" s="60"/>
      <c r="HS2479" s="60"/>
      <c r="HT2479" s="60"/>
      <c r="HU2479" s="64"/>
      <c r="HV2479" s="61"/>
      <c r="HW2479" s="54"/>
      <c r="HX2479" s="54"/>
      <c r="HY2479" s="60"/>
      <c r="HZ2479" s="60"/>
      <c r="IA2479" s="60"/>
      <c r="IB2479" s="60"/>
      <c r="IC2479" s="64"/>
      <c r="ID2479" s="61"/>
      <c r="IE2479" s="54"/>
      <c r="IF2479" s="54"/>
      <c r="IG2479" s="60"/>
      <c r="IH2479" s="60"/>
      <c r="II2479" s="60"/>
      <c r="IJ2479" s="60"/>
      <c r="IK2479" s="64"/>
      <c r="IL2479" s="61"/>
      <c r="IM2479" s="54"/>
      <c r="IN2479" s="54"/>
      <c r="IO2479" s="60"/>
      <c r="IP2479" s="60"/>
      <c r="IQ2479" s="60"/>
      <c r="IR2479" s="60"/>
      <c r="IS2479" s="64"/>
      <c r="IT2479" s="61"/>
      <c r="IU2479" s="54"/>
      <c r="IV2479" s="54"/>
      <c r="IW2479" s="60"/>
      <c r="IX2479" s="60"/>
      <c r="IY2479" s="60"/>
      <c r="IZ2479" s="60"/>
      <c r="JA2479" s="64"/>
      <c r="JB2479" s="61"/>
      <c r="JC2479" s="54"/>
      <c r="JD2479" s="54"/>
      <c r="JE2479" s="60"/>
      <c r="JF2479" s="60"/>
      <c r="JG2479" s="60"/>
      <c r="JH2479" s="60"/>
      <c r="JI2479" s="64"/>
      <c r="JJ2479" s="61"/>
      <c r="JK2479" s="54"/>
      <c r="JL2479" s="54"/>
      <c r="JM2479" s="60"/>
      <c r="JN2479" s="60"/>
      <c r="JO2479" s="60"/>
      <c r="JP2479" s="60"/>
      <c r="JQ2479" s="64"/>
      <c r="JR2479" s="61"/>
      <c r="JS2479" s="54"/>
      <c r="JT2479" s="54"/>
      <c r="JU2479" s="60"/>
      <c r="JV2479" s="60"/>
      <c r="JW2479" s="60"/>
      <c r="JX2479" s="60"/>
      <c r="JY2479" s="64"/>
      <c r="JZ2479" s="61"/>
      <c r="KA2479" s="54"/>
      <c r="KB2479" s="54"/>
      <c r="KC2479" s="60"/>
      <c r="KD2479" s="60"/>
      <c r="KE2479" s="60"/>
      <c r="KF2479" s="60"/>
      <c r="KG2479" s="64"/>
      <c r="KH2479" s="61"/>
      <c r="KI2479" s="54"/>
      <c r="KJ2479" s="54"/>
      <c r="KK2479" s="60"/>
      <c r="KL2479" s="60"/>
      <c r="KM2479" s="60"/>
      <c r="KN2479" s="60"/>
      <c r="KO2479" s="64"/>
      <c r="KP2479" s="61"/>
      <c r="KQ2479" s="54"/>
      <c r="KR2479" s="54"/>
      <c r="KS2479" s="60"/>
      <c r="KT2479" s="60"/>
      <c r="KU2479" s="60"/>
      <c r="KV2479" s="60"/>
      <c r="KW2479" s="64"/>
      <c r="KX2479" s="61"/>
      <c r="KY2479" s="54"/>
      <c r="KZ2479" s="54"/>
      <c r="LA2479" s="60"/>
      <c r="LB2479" s="60"/>
      <c r="LC2479" s="60"/>
      <c r="LD2479" s="60"/>
      <c r="LE2479" s="64"/>
      <c r="LF2479" s="61"/>
      <c r="LG2479" s="54"/>
      <c r="LH2479" s="54"/>
      <c r="LI2479" s="60"/>
      <c r="LJ2479" s="60"/>
      <c r="LK2479" s="60"/>
      <c r="LL2479" s="60"/>
      <c r="LM2479" s="64"/>
      <c r="LN2479" s="61"/>
      <c r="LO2479" s="54"/>
      <c r="LP2479" s="54"/>
      <c r="LQ2479" s="60"/>
      <c r="LR2479" s="60"/>
      <c r="LS2479" s="60"/>
      <c r="LT2479" s="60"/>
      <c r="LU2479" s="64"/>
      <c r="LV2479" s="61"/>
      <c r="LW2479" s="54"/>
      <c r="LX2479" s="54"/>
      <c r="LY2479" s="60"/>
      <c r="LZ2479" s="60"/>
      <c r="MA2479" s="60"/>
      <c r="MB2479" s="60"/>
      <c r="MC2479" s="64"/>
      <c r="MD2479" s="61"/>
      <c r="ME2479" s="54"/>
      <c r="MF2479" s="54"/>
      <c r="MG2479" s="60"/>
      <c r="MH2479" s="60"/>
      <c r="MI2479" s="60"/>
      <c r="MJ2479" s="60"/>
      <c r="MK2479" s="64"/>
      <c r="ML2479" s="61"/>
      <c r="MM2479" s="54"/>
      <c r="MN2479" s="54"/>
      <c r="MO2479" s="60"/>
      <c r="MP2479" s="60"/>
      <c r="MQ2479" s="60"/>
      <c r="MR2479" s="60"/>
      <c r="MS2479" s="64"/>
      <c r="MT2479" s="61"/>
      <c r="MU2479" s="54"/>
      <c r="MV2479" s="54"/>
      <c r="MW2479" s="60"/>
      <c r="MX2479" s="60"/>
      <c r="MY2479" s="60"/>
      <c r="MZ2479" s="60"/>
      <c r="NA2479" s="64"/>
      <c r="NB2479" s="61"/>
      <c r="NC2479" s="54"/>
      <c r="ND2479" s="54"/>
      <c r="NE2479" s="60"/>
      <c r="NF2479" s="60"/>
      <c r="NG2479" s="60"/>
      <c r="NH2479" s="60"/>
      <c r="NI2479" s="64"/>
      <c r="NJ2479" s="61"/>
      <c r="NK2479" s="54"/>
      <c r="NL2479" s="54"/>
      <c r="NM2479" s="60"/>
      <c r="NN2479" s="60"/>
      <c r="NO2479" s="60"/>
      <c r="NP2479" s="60"/>
      <c r="NQ2479" s="64"/>
      <c r="NR2479" s="61"/>
      <c r="NS2479" s="54"/>
      <c r="NT2479" s="54"/>
      <c r="NU2479" s="60"/>
      <c r="NV2479" s="60"/>
      <c r="NW2479" s="60"/>
      <c r="NX2479" s="60"/>
      <c r="NY2479" s="64"/>
      <c r="NZ2479" s="61"/>
      <c r="OA2479" s="54"/>
      <c r="OB2479" s="54"/>
      <c r="OC2479" s="60"/>
      <c r="OD2479" s="60"/>
      <c r="OE2479" s="60"/>
      <c r="OF2479" s="60"/>
      <c r="OG2479" s="64"/>
      <c r="OH2479" s="61"/>
      <c r="OI2479" s="54"/>
      <c r="OJ2479" s="54"/>
      <c r="OK2479" s="60"/>
      <c r="OL2479" s="60"/>
      <c r="OM2479" s="60"/>
      <c r="ON2479" s="60"/>
      <c r="OO2479" s="64"/>
      <c r="OP2479" s="61"/>
      <c r="OQ2479" s="54"/>
      <c r="OR2479" s="54"/>
      <c r="OS2479" s="60"/>
      <c r="OT2479" s="60"/>
      <c r="OU2479" s="60"/>
      <c r="OV2479" s="60"/>
      <c r="OW2479" s="64"/>
      <c r="OX2479" s="61"/>
      <c r="OY2479" s="54"/>
      <c r="OZ2479" s="54"/>
      <c r="PA2479" s="60"/>
      <c r="PB2479" s="60"/>
      <c r="PC2479" s="60"/>
      <c r="PD2479" s="60"/>
      <c r="PE2479" s="64"/>
      <c r="PF2479" s="61"/>
      <c r="PG2479" s="54"/>
      <c r="PH2479" s="54"/>
      <c r="PI2479" s="60"/>
      <c r="PJ2479" s="60"/>
      <c r="PK2479" s="60"/>
      <c r="PL2479" s="60"/>
      <c r="PM2479" s="64"/>
      <c r="PN2479" s="61"/>
      <c r="PO2479" s="54"/>
      <c r="PP2479" s="54"/>
      <c r="PQ2479" s="60"/>
      <c r="PR2479" s="60"/>
      <c r="PS2479" s="60"/>
      <c r="PT2479" s="60"/>
      <c r="PU2479" s="64"/>
      <c r="PV2479" s="61"/>
      <c r="PW2479" s="54"/>
      <c r="PX2479" s="54"/>
      <c r="PY2479" s="60"/>
      <c r="PZ2479" s="60"/>
      <c r="QA2479" s="60"/>
      <c r="QB2479" s="60"/>
      <c r="QC2479" s="64"/>
      <c r="QD2479" s="61"/>
      <c r="QE2479" s="54"/>
      <c r="QF2479" s="54"/>
      <c r="QG2479" s="60"/>
      <c r="QH2479" s="60"/>
      <c r="QI2479" s="60"/>
      <c r="QJ2479" s="60"/>
      <c r="QK2479" s="64"/>
      <c r="QL2479" s="61"/>
      <c r="QM2479" s="54"/>
      <c r="QN2479" s="54"/>
      <c r="QO2479" s="60"/>
      <c r="QP2479" s="60"/>
      <c r="QQ2479" s="60"/>
      <c r="QR2479" s="60"/>
      <c r="QS2479" s="64"/>
      <c r="QT2479" s="61"/>
      <c r="QU2479" s="54"/>
      <c r="QV2479" s="54"/>
      <c r="QW2479" s="60"/>
      <c r="QX2479" s="60"/>
      <c r="QY2479" s="60"/>
      <c r="QZ2479" s="60"/>
      <c r="RA2479" s="64"/>
      <c r="RB2479" s="61"/>
      <c r="RC2479" s="54"/>
      <c r="RD2479" s="54"/>
      <c r="RE2479" s="60"/>
      <c r="RF2479" s="60"/>
      <c r="RG2479" s="60"/>
      <c r="RH2479" s="60"/>
      <c r="RI2479" s="64"/>
      <c r="RJ2479" s="61"/>
      <c r="RK2479" s="54"/>
      <c r="RL2479" s="54"/>
      <c r="RM2479" s="60"/>
      <c r="RN2479" s="60"/>
      <c r="RO2479" s="60"/>
      <c r="RP2479" s="60"/>
      <c r="RQ2479" s="64"/>
      <c r="RR2479" s="61"/>
      <c r="RS2479" s="54"/>
      <c r="RT2479" s="54"/>
      <c r="RU2479" s="60"/>
      <c r="RV2479" s="60"/>
      <c r="RW2479" s="60"/>
      <c r="RX2479" s="60"/>
      <c r="RY2479" s="64"/>
      <c r="RZ2479" s="61"/>
      <c r="SA2479" s="54"/>
      <c r="SB2479" s="54"/>
      <c r="SC2479" s="60"/>
      <c r="SD2479" s="60"/>
      <c r="SE2479" s="60"/>
      <c r="SF2479" s="60"/>
      <c r="SG2479" s="64"/>
      <c r="SH2479" s="61"/>
      <c r="SI2479" s="54"/>
      <c r="SJ2479" s="54"/>
      <c r="SK2479" s="60"/>
      <c r="SL2479" s="60"/>
      <c r="SM2479" s="60"/>
      <c r="SN2479" s="60"/>
      <c r="SO2479" s="64"/>
      <c r="SP2479" s="61"/>
      <c r="SQ2479" s="54"/>
      <c r="SR2479" s="54"/>
      <c r="SS2479" s="60"/>
      <c r="ST2479" s="60"/>
      <c r="SU2479" s="60"/>
      <c r="SV2479" s="60"/>
      <c r="SW2479" s="64"/>
      <c r="SX2479" s="61"/>
      <c r="SY2479" s="54"/>
      <c r="SZ2479" s="54"/>
      <c r="TA2479" s="60"/>
      <c r="TB2479" s="60"/>
      <c r="TC2479" s="60"/>
      <c r="TD2479" s="60"/>
      <c r="TE2479" s="64"/>
      <c r="TF2479" s="61"/>
      <c r="TG2479" s="54"/>
      <c r="TH2479" s="54"/>
      <c r="TI2479" s="60"/>
      <c r="TJ2479" s="60"/>
      <c r="TK2479" s="60"/>
      <c r="TL2479" s="60"/>
      <c r="TM2479" s="64"/>
      <c r="TN2479" s="61"/>
      <c r="TO2479" s="54"/>
      <c r="TP2479" s="54"/>
      <c r="TQ2479" s="60"/>
      <c r="TR2479" s="60"/>
      <c r="TS2479" s="60"/>
      <c r="TT2479" s="60"/>
      <c r="TU2479" s="64"/>
      <c r="TV2479" s="61"/>
      <c r="TW2479" s="54"/>
      <c r="TX2479" s="54"/>
      <c r="TY2479" s="60"/>
      <c r="TZ2479" s="60"/>
      <c r="UA2479" s="60"/>
      <c r="UB2479" s="60"/>
      <c r="UC2479" s="64"/>
      <c r="UD2479" s="61"/>
      <c r="UE2479" s="54"/>
      <c r="UF2479" s="54"/>
      <c r="UG2479" s="60"/>
      <c r="UH2479" s="60"/>
      <c r="UI2479" s="60"/>
      <c r="UJ2479" s="60"/>
      <c r="UK2479" s="64"/>
      <c r="UL2479" s="61"/>
      <c r="UM2479" s="54"/>
      <c r="UN2479" s="54"/>
      <c r="UO2479" s="60"/>
      <c r="UP2479" s="60"/>
      <c r="UQ2479" s="60"/>
      <c r="UR2479" s="60"/>
      <c r="US2479" s="64"/>
      <c r="UT2479" s="61"/>
      <c r="UU2479" s="54"/>
      <c r="UV2479" s="54"/>
      <c r="UW2479" s="60"/>
      <c r="UX2479" s="60"/>
      <c r="UY2479" s="60"/>
      <c r="UZ2479" s="60"/>
      <c r="VA2479" s="64"/>
      <c r="VB2479" s="61"/>
      <c r="VC2479" s="54"/>
      <c r="VD2479" s="54"/>
      <c r="VE2479" s="60"/>
      <c r="VF2479" s="60"/>
      <c r="VG2479" s="60"/>
      <c r="VH2479" s="60"/>
      <c r="VI2479" s="64"/>
      <c r="VJ2479" s="61"/>
      <c r="VK2479" s="54"/>
      <c r="VL2479" s="54"/>
      <c r="VM2479" s="60"/>
      <c r="VN2479" s="60"/>
      <c r="VO2479" s="60"/>
      <c r="VP2479" s="60"/>
      <c r="VQ2479" s="64"/>
      <c r="VR2479" s="61"/>
      <c r="VS2479" s="54"/>
      <c r="VT2479" s="54"/>
      <c r="VU2479" s="60"/>
      <c r="VV2479" s="60"/>
      <c r="VW2479" s="60"/>
      <c r="VX2479" s="60"/>
      <c r="VY2479" s="64"/>
      <c r="VZ2479" s="61"/>
      <c r="WA2479" s="54"/>
      <c r="WB2479" s="54"/>
      <c r="WC2479" s="60"/>
      <c r="WD2479" s="60"/>
      <c r="WE2479" s="60"/>
      <c r="WF2479" s="60"/>
      <c r="WG2479" s="64"/>
      <c r="WH2479" s="61"/>
      <c r="WI2479" s="54"/>
      <c r="WJ2479" s="54"/>
      <c r="WK2479" s="60"/>
      <c r="WL2479" s="60"/>
      <c r="WM2479" s="60"/>
      <c r="WN2479" s="60"/>
      <c r="WO2479" s="64"/>
      <c r="WP2479" s="61"/>
      <c r="WQ2479" s="54"/>
      <c r="WR2479" s="54"/>
      <c r="WS2479" s="60"/>
      <c r="WT2479" s="60"/>
      <c r="WU2479" s="60"/>
      <c r="WV2479" s="60"/>
      <c r="WW2479" s="64"/>
      <c r="WX2479" s="61"/>
      <c r="WY2479" s="54"/>
      <c r="WZ2479" s="54"/>
      <c r="XA2479" s="60"/>
      <c r="XB2479" s="60"/>
      <c r="XC2479" s="60"/>
      <c r="XD2479" s="60"/>
      <c r="XE2479" s="64"/>
      <c r="XF2479" s="61"/>
      <c r="XG2479" s="54"/>
      <c r="XH2479" s="54"/>
      <c r="XI2479" s="60"/>
      <c r="XJ2479" s="60"/>
      <c r="XK2479" s="60"/>
      <c r="XL2479" s="60"/>
      <c r="XM2479" s="64"/>
      <c r="XN2479" s="61"/>
      <c r="XO2479" s="54"/>
      <c r="XP2479" s="54"/>
      <c r="XQ2479" s="60"/>
      <c r="XR2479" s="60"/>
      <c r="XS2479" s="60"/>
      <c r="XT2479" s="60"/>
      <c r="XU2479" s="64"/>
      <c r="XV2479" s="61"/>
      <c r="XW2479" s="54"/>
      <c r="XX2479" s="54"/>
      <c r="XY2479" s="60"/>
      <c r="XZ2479" s="60"/>
      <c r="YA2479" s="60"/>
      <c r="YB2479" s="60"/>
      <c r="YC2479" s="64"/>
      <c r="YD2479" s="61"/>
      <c r="YE2479" s="54"/>
      <c r="YF2479" s="54"/>
      <c r="YG2479" s="60"/>
      <c r="YH2479" s="60"/>
      <c r="YI2479" s="60"/>
      <c r="YJ2479" s="60"/>
      <c r="YK2479" s="64"/>
      <c r="YL2479" s="61"/>
      <c r="YM2479" s="54"/>
      <c r="YN2479" s="54"/>
      <c r="YO2479" s="60"/>
      <c r="YP2479" s="60"/>
      <c r="YQ2479" s="60"/>
      <c r="YR2479" s="60"/>
      <c r="YS2479" s="64"/>
      <c r="YT2479" s="61"/>
      <c r="YU2479" s="54"/>
      <c r="YV2479" s="54"/>
      <c r="YW2479" s="60"/>
      <c r="YX2479" s="60"/>
      <c r="YY2479" s="60"/>
      <c r="YZ2479" s="60"/>
      <c r="ZA2479" s="64"/>
      <c r="ZB2479" s="61"/>
      <c r="ZC2479" s="54"/>
      <c r="ZD2479" s="54"/>
      <c r="ZE2479" s="60"/>
      <c r="ZF2479" s="60"/>
      <c r="ZG2479" s="60"/>
      <c r="ZH2479" s="60"/>
      <c r="ZI2479" s="64"/>
      <c r="ZJ2479" s="61"/>
      <c r="ZK2479" s="54"/>
      <c r="ZL2479" s="54"/>
      <c r="ZM2479" s="60"/>
      <c r="ZN2479" s="60"/>
      <c r="ZO2479" s="60"/>
      <c r="ZP2479" s="60"/>
      <c r="ZQ2479" s="64"/>
      <c r="ZR2479" s="61"/>
      <c r="ZS2479" s="54"/>
      <c r="ZT2479" s="54"/>
      <c r="ZU2479" s="60"/>
      <c r="ZV2479" s="60"/>
      <c r="ZW2479" s="60"/>
      <c r="ZX2479" s="60"/>
      <c r="ZY2479" s="64"/>
      <c r="ZZ2479" s="61"/>
      <c r="AAA2479" s="54"/>
      <c r="AAB2479" s="54"/>
      <c r="AAC2479" s="60"/>
      <c r="AAD2479" s="60"/>
      <c r="AAE2479" s="60"/>
      <c r="AAF2479" s="60"/>
      <c r="AAG2479" s="64"/>
      <c r="AAH2479" s="61"/>
      <c r="AAI2479" s="54"/>
      <c r="AAJ2479" s="54"/>
      <c r="AAK2479" s="60"/>
      <c r="AAL2479" s="60"/>
      <c r="AAM2479" s="60"/>
      <c r="AAN2479" s="60"/>
      <c r="AAO2479" s="64"/>
      <c r="AAP2479" s="61"/>
      <c r="AAQ2479" s="54"/>
      <c r="AAR2479" s="54"/>
      <c r="AAS2479" s="60"/>
      <c r="AAT2479" s="60"/>
      <c r="AAU2479" s="60"/>
      <c r="AAV2479" s="60"/>
      <c r="AAW2479" s="64"/>
      <c r="AAX2479" s="61"/>
      <c r="AAY2479" s="54"/>
      <c r="AAZ2479" s="54"/>
      <c r="ABA2479" s="60"/>
      <c r="ABB2479" s="60"/>
      <c r="ABC2479" s="60"/>
      <c r="ABD2479" s="60"/>
      <c r="ABE2479" s="64"/>
      <c r="ABF2479" s="61"/>
      <c r="ABG2479" s="54"/>
      <c r="ABH2479" s="54"/>
      <c r="ABI2479" s="60"/>
      <c r="ABJ2479" s="60"/>
      <c r="ABK2479" s="60"/>
      <c r="ABL2479" s="60"/>
      <c r="ABM2479" s="64"/>
      <c r="ABN2479" s="61"/>
      <c r="ABO2479" s="54"/>
      <c r="ABP2479" s="54"/>
      <c r="ABQ2479" s="60"/>
      <c r="ABR2479" s="60"/>
      <c r="ABS2479" s="60"/>
      <c r="ABT2479" s="60"/>
      <c r="ABU2479" s="64"/>
      <c r="ABV2479" s="61"/>
      <c r="ABW2479" s="54"/>
      <c r="ABX2479" s="54"/>
      <c r="ABY2479" s="60"/>
      <c r="ABZ2479" s="60"/>
      <c r="ACA2479" s="60"/>
      <c r="ACB2479" s="60"/>
      <c r="ACC2479" s="64"/>
      <c r="ACD2479" s="61"/>
      <c r="ACE2479" s="54"/>
      <c r="ACF2479" s="54"/>
      <c r="ACG2479" s="60"/>
      <c r="ACH2479" s="60"/>
      <c r="ACI2479" s="60"/>
      <c r="ACJ2479" s="60"/>
      <c r="ACK2479" s="64"/>
      <c r="ACL2479" s="61"/>
      <c r="ACM2479" s="54"/>
      <c r="ACN2479" s="54"/>
      <c r="ACO2479" s="60"/>
      <c r="ACP2479" s="60"/>
      <c r="ACQ2479" s="60"/>
      <c r="ACR2479" s="60"/>
      <c r="ACS2479" s="64"/>
      <c r="ACT2479" s="61"/>
      <c r="ACU2479" s="54"/>
      <c r="ACV2479" s="54"/>
      <c r="ACW2479" s="60"/>
      <c r="ACX2479" s="60"/>
      <c r="ACY2479" s="60"/>
      <c r="ACZ2479" s="60"/>
      <c r="ADA2479" s="64"/>
      <c r="ADB2479" s="61"/>
      <c r="ADC2479" s="54"/>
      <c r="ADD2479" s="54"/>
      <c r="ADE2479" s="60"/>
      <c r="ADF2479" s="60"/>
      <c r="ADG2479" s="60"/>
      <c r="ADH2479" s="60"/>
      <c r="ADI2479" s="64"/>
      <c r="ADJ2479" s="61"/>
      <c r="ADK2479" s="54"/>
      <c r="ADL2479" s="54"/>
      <c r="ADM2479" s="60"/>
      <c r="ADN2479" s="60"/>
      <c r="ADO2479" s="60"/>
      <c r="ADP2479" s="60"/>
      <c r="ADQ2479" s="64"/>
      <c r="ADR2479" s="61"/>
      <c r="ADS2479" s="54"/>
      <c r="ADT2479" s="54"/>
      <c r="ADU2479" s="60"/>
      <c r="ADV2479" s="60"/>
      <c r="ADW2479" s="60"/>
      <c r="ADX2479" s="60"/>
      <c r="ADY2479" s="64"/>
      <c r="ADZ2479" s="61"/>
      <c r="AEA2479" s="54"/>
      <c r="AEB2479" s="54"/>
      <c r="AEC2479" s="60"/>
      <c r="AED2479" s="60"/>
      <c r="AEE2479" s="60"/>
      <c r="AEF2479" s="60"/>
      <c r="AEG2479" s="64"/>
      <c r="AEH2479" s="61"/>
      <c r="AEI2479" s="54"/>
      <c r="AEJ2479" s="54"/>
      <c r="AEK2479" s="60"/>
      <c r="AEL2479" s="60"/>
      <c r="AEM2479" s="60"/>
      <c r="AEN2479" s="60"/>
      <c r="AEO2479" s="64"/>
      <c r="AEP2479" s="61"/>
      <c r="AEQ2479" s="54"/>
      <c r="AER2479" s="54"/>
      <c r="AES2479" s="60"/>
      <c r="AET2479" s="60"/>
      <c r="AEU2479" s="60"/>
      <c r="AEV2479" s="60"/>
      <c r="AEW2479" s="64"/>
      <c r="AEX2479" s="61"/>
      <c r="AEY2479" s="54"/>
      <c r="AEZ2479" s="54"/>
      <c r="AFA2479" s="60"/>
      <c r="AFB2479" s="60"/>
      <c r="AFC2479" s="60"/>
      <c r="AFD2479" s="60"/>
      <c r="AFE2479" s="64"/>
      <c r="AFF2479" s="61"/>
      <c r="AFG2479" s="54"/>
      <c r="AFH2479" s="54"/>
      <c r="AFI2479" s="60"/>
      <c r="AFJ2479" s="60"/>
      <c r="AFK2479" s="60"/>
      <c r="AFL2479" s="60"/>
      <c r="AFM2479" s="64"/>
      <c r="AFN2479" s="61"/>
      <c r="AFO2479" s="54"/>
      <c r="AFP2479" s="54"/>
      <c r="AFQ2479" s="60"/>
      <c r="AFR2479" s="60"/>
      <c r="AFS2479" s="60"/>
      <c r="AFT2479" s="60"/>
      <c r="AFU2479" s="64"/>
      <c r="AFV2479" s="61"/>
      <c r="AFW2479" s="54"/>
      <c r="AFX2479" s="54"/>
      <c r="AFY2479" s="60"/>
      <c r="AFZ2479" s="60"/>
      <c r="AGA2479" s="60"/>
      <c r="AGB2479" s="60"/>
      <c r="AGC2479" s="64"/>
      <c r="AGD2479" s="61"/>
      <c r="AGE2479" s="54"/>
      <c r="AGF2479" s="54"/>
      <c r="AGG2479" s="60"/>
      <c r="AGH2479" s="60"/>
      <c r="AGI2479" s="60"/>
      <c r="AGJ2479" s="60"/>
      <c r="AGK2479" s="64"/>
      <c r="AGL2479" s="61"/>
      <c r="AGM2479" s="54"/>
      <c r="AGN2479" s="54"/>
      <c r="AGO2479" s="60"/>
      <c r="AGP2479" s="60"/>
      <c r="AGQ2479" s="60"/>
      <c r="AGR2479" s="60"/>
      <c r="AGS2479" s="64"/>
      <c r="AGT2479" s="61"/>
      <c r="AGU2479" s="54"/>
      <c r="AGV2479" s="54"/>
      <c r="AGW2479" s="60"/>
      <c r="AGX2479" s="60"/>
      <c r="AGY2479" s="60"/>
      <c r="AGZ2479" s="60"/>
      <c r="AHA2479" s="64"/>
      <c r="AHB2479" s="61"/>
      <c r="AHC2479" s="54"/>
      <c r="AHD2479" s="54"/>
      <c r="AHE2479" s="60"/>
      <c r="AHF2479" s="60"/>
      <c r="AHG2479" s="60"/>
      <c r="AHH2479" s="60"/>
      <c r="AHI2479" s="64"/>
      <c r="AHJ2479" s="61"/>
      <c r="AHK2479" s="54"/>
      <c r="AHL2479" s="54"/>
      <c r="AHM2479" s="60"/>
      <c r="AHN2479" s="60"/>
      <c r="AHO2479" s="60"/>
      <c r="AHP2479" s="60"/>
      <c r="AHQ2479" s="64"/>
      <c r="AHR2479" s="61"/>
      <c r="AHS2479" s="54"/>
      <c r="AHT2479" s="54"/>
      <c r="AHU2479" s="60"/>
      <c r="AHV2479" s="60"/>
      <c r="AHW2479" s="60"/>
      <c r="AHX2479" s="60"/>
      <c r="AHY2479" s="64"/>
      <c r="AHZ2479" s="61"/>
      <c r="AIA2479" s="54"/>
      <c r="AIB2479" s="54"/>
      <c r="AIC2479" s="60"/>
      <c r="AID2479" s="60"/>
      <c r="AIE2479" s="60"/>
      <c r="AIF2479" s="60"/>
      <c r="AIG2479" s="64"/>
      <c r="AIH2479" s="61"/>
      <c r="AII2479" s="54"/>
      <c r="AIJ2479" s="54"/>
      <c r="AIK2479" s="60"/>
      <c r="AIL2479" s="60"/>
      <c r="AIM2479" s="60"/>
      <c r="AIN2479" s="60"/>
      <c r="AIO2479" s="64"/>
      <c r="AIP2479" s="61"/>
      <c r="AIQ2479" s="54"/>
      <c r="AIR2479" s="54"/>
      <c r="AIS2479" s="60"/>
      <c r="AIT2479" s="60"/>
      <c r="AIU2479" s="60"/>
      <c r="AIV2479" s="60"/>
      <c r="AIW2479" s="64"/>
      <c r="AIX2479" s="61"/>
      <c r="AIY2479" s="54"/>
      <c r="AIZ2479" s="54"/>
      <c r="AJA2479" s="60"/>
      <c r="AJB2479" s="60"/>
      <c r="AJC2479" s="60"/>
      <c r="AJD2479" s="60"/>
      <c r="AJE2479" s="64"/>
      <c r="AJF2479" s="61"/>
      <c r="AJG2479" s="54"/>
      <c r="AJH2479" s="54"/>
      <c r="AJI2479" s="60"/>
      <c r="AJJ2479" s="60"/>
      <c r="AJK2479" s="60"/>
      <c r="AJL2479" s="60"/>
      <c r="AJM2479" s="64"/>
      <c r="AJN2479" s="61"/>
      <c r="AJO2479" s="54"/>
      <c r="AJP2479" s="54"/>
      <c r="AJQ2479" s="60"/>
      <c r="AJR2479" s="60"/>
      <c r="AJS2479" s="60"/>
      <c r="AJT2479" s="60"/>
      <c r="AJU2479" s="64"/>
      <c r="AJV2479" s="61"/>
      <c r="AJW2479" s="54"/>
      <c r="AJX2479" s="54"/>
      <c r="AJY2479" s="60"/>
      <c r="AJZ2479" s="60"/>
      <c r="AKA2479" s="60"/>
      <c r="AKB2479" s="60"/>
      <c r="AKC2479" s="64"/>
      <c r="AKD2479" s="61"/>
      <c r="AKE2479" s="54"/>
      <c r="AKF2479" s="54"/>
      <c r="AKG2479" s="60"/>
      <c r="AKH2479" s="60"/>
      <c r="AKI2479" s="60"/>
      <c r="AKJ2479" s="60"/>
      <c r="AKK2479" s="64"/>
      <c r="AKL2479" s="61"/>
      <c r="AKM2479" s="54"/>
      <c r="AKN2479" s="54"/>
      <c r="AKO2479" s="60"/>
      <c r="AKP2479" s="60"/>
      <c r="AKQ2479" s="60"/>
      <c r="AKR2479" s="60"/>
      <c r="AKS2479" s="64"/>
      <c r="AKT2479" s="61"/>
      <c r="AKU2479" s="54"/>
      <c r="AKV2479" s="54"/>
      <c r="AKW2479" s="60"/>
      <c r="AKX2479" s="60"/>
      <c r="AKY2479" s="60"/>
      <c r="AKZ2479" s="60"/>
      <c r="ALA2479" s="64"/>
      <c r="ALB2479" s="61"/>
      <c r="ALC2479" s="54"/>
      <c r="ALD2479" s="54"/>
      <c r="ALE2479" s="60"/>
      <c r="ALF2479" s="60"/>
      <c r="ALG2479" s="60"/>
      <c r="ALH2479" s="60"/>
      <c r="ALI2479" s="64"/>
      <c r="ALJ2479" s="61"/>
      <c r="ALK2479" s="54"/>
      <c r="ALL2479" s="54"/>
      <c r="ALM2479" s="60"/>
      <c r="ALN2479" s="60"/>
      <c r="ALO2479" s="60"/>
      <c r="ALP2479" s="60"/>
      <c r="ALQ2479" s="64"/>
      <c r="ALR2479" s="61"/>
      <c r="ALS2479" s="54"/>
      <c r="ALT2479" s="54"/>
      <c r="ALU2479" s="60"/>
      <c r="ALV2479" s="60"/>
      <c r="ALW2479" s="60"/>
      <c r="ALX2479" s="60"/>
      <c r="ALY2479" s="64"/>
      <c r="ALZ2479" s="61"/>
      <c r="AMA2479" s="54"/>
      <c r="AMB2479" s="54"/>
      <c r="AMC2479" s="60"/>
      <c r="AMD2479" s="60"/>
      <c r="AME2479" s="60"/>
      <c r="AMF2479" s="60"/>
      <c r="AMG2479" s="64"/>
      <c r="AMH2479" s="61"/>
      <c r="AMI2479" s="54"/>
      <c r="AMJ2479" s="54"/>
      <c r="AMK2479" s="60"/>
      <c r="AML2479" s="60"/>
      <c r="AMM2479" s="60"/>
      <c r="AMN2479" s="60"/>
      <c r="AMO2479" s="64"/>
      <c r="AMP2479" s="61"/>
      <c r="AMQ2479" s="54"/>
      <c r="AMR2479" s="54"/>
      <c r="AMS2479" s="60"/>
      <c r="AMT2479" s="60"/>
      <c r="AMU2479" s="60"/>
      <c r="AMV2479" s="60"/>
      <c r="AMW2479" s="64"/>
      <c r="AMX2479" s="61"/>
      <c r="AMY2479" s="54"/>
      <c r="AMZ2479" s="54"/>
      <c r="ANA2479" s="60"/>
      <c r="ANB2479" s="60"/>
      <c r="ANC2479" s="60"/>
      <c r="AND2479" s="60"/>
      <c r="ANE2479" s="64"/>
      <c r="ANF2479" s="61"/>
      <c r="ANG2479" s="54"/>
      <c r="ANH2479" s="54"/>
      <c r="ANI2479" s="60"/>
      <c r="ANJ2479" s="60"/>
      <c r="ANK2479" s="60"/>
      <c r="ANL2479" s="60"/>
      <c r="ANM2479" s="64"/>
      <c r="ANN2479" s="61"/>
      <c r="ANO2479" s="54"/>
      <c r="ANP2479" s="54"/>
      <c r="ANQ2479" s="60"/>
      <c r="ANR2479" s="60"/>
      <c r="ANS2479" s="60"/>
      <c r="ANT2479" s="60"/>
      <c r="ANU2479" s="64"/>
      <c r="ANV2479" s="61"/>
      <c r="ANW2479" s="54"/>
      <c r="ANX2479" s="54"/>
      <c r="ANY2479" s="60"/>
      <c r="ANZ2479" s="60"/>
      <c r="AOA2479" s="60"/>
      <c r="AOB2479" s="60"/>
      <c r="AOC2479" s="64"/>
      <c r="AOD2479" s="61"/>
      <c r="AOE2479" s="54"/>
      <c r="AOF2479" s="54"/>
      <c r="AOG2479" s="60"/>
      <c r="AOH2479" s="60"/>
      <c r="AOI2479" s="60"/>
      <c r="AOJ2479" s="60"/>
      <c r="AOK2479" s="64"/>
      <c r="AOL2479" s="61"/>
      <c r="AOM2479" s="54"/>
      <c r="AON2479" s="54"/>
      <c r="AOO2479" s="60"/>
      <c r="AOP2479" s="60"/>
      <c r="AOQ2479" s="60"/>
      <c r="AOR2479" s="60"/>
      <c r="AOS2479" s="64"/>
      <c r="AOT2479" s="61"/>
      <c r="AOU2479" s="54"/>
      <c r="AOV2479" s="54"/>
      <c r="AOW2479" s="60"/>
      <c r="AOX2479" s="60"/>
      <c r="AOY2479" s="60"/>
      <c r="AOZ2479" s="60"/>
      <c r="APA2479" s="64"/>
      <c r="APB2479" s="61"/>
      <c r="APC2479" s="54"/>
      <c r="APD2479" s="54"/>
      <c r="APE2479" s="60"/>
      <c r="APF2479" s="60"/>
      <c r="APG2479" s="60"/>
      <c r="APH2479" s="60"/>
      <c r="API2479" s="64"/>
      <c r="APJ2479" s="61"/>
      <c r="APK2479" s="54"/>
      <c r="APL2479" s="54"/>
      <c r="APM2479" s="60"/>
      <c r="APN2479" s="60"/>
      <c r="APO2479" s="60"/>
      <c r="APP2479" s="60"/>
      <c r="APQ2479" s="64"/>
      <c r="APR2479" s="61"/>
      <c r="APS2479" s="54"/>
      <c r="APT2479" s="54"/>
      <c r="APU2479" s="60"/>
      <c r="APV2479" s="60"/>
      <c r="APW2479" s="60"/>
      <c r="APX2479" s="60"/>
      <c r="APY2479" s="64"/>
      <c r="APZ2479" s="61"/>
      <c r="AQA2479" s="54"/>
      <c r="AQB2479" s="54"/>
      <c r="AQC2479" s="60"/>
      <c r="AQD2479" s="60"/>
      <c r="AQE2479" s="60"/>
      <c r="AQF2479" s="60"/>
      <c r="AQG2479" s="64"/>
      <c r="AQH2479" s="61"/>
      <c r="AQI2479" s="54"/>
      <c r="AQJ2479" s="54"/>
      <c r="AQK2479" s="60"/>
      <c r="AQL2479" s="60"/>
      <c r="AQM2479" s="60"/>
      <c r="AQN2479" s="60"/>
      <c r="AQO2479" s="64"/>
      <c r="AQP2479" s="61"/>
      <c r="AQQ2479" s="54"/>
      <c r="AQR2479" s="54"/>
      <c r="AQS2479" s="60"/>
      <c r="AQT2479" s="60"/>
      <c r="AQU2479" s="60"/>
      <c r="AQV2479" s="60"/>
      <c r="AQW2479" s="64"/>
      <c r="AQX2479" s="61"/>
      <c r="AQY2479" s="54"/>
      <c r="AQZ2479" s="54"/>
      <c r="ARA2479" s="60"/>
      <c r="ARB2479" s="60"/>
      <c r="ARC2479" s="60"/>
      <c r="ARD2479" s="60"/>
      <c r="ARE2479" s="64"/>
      <c r="ARF2479" s="61"/>
      <c r="ARG2479" s="54"/>
      <c r="ARH2479" s="54"/>
      <c r="ARI2479" s="60"/>
      <c r="ARJ2479" s="60"/>
      <c r="ARK2479" s="60"/>
      <c r="ARL2479" s="60"/>
      <c r="ARM2479" s="64"/>
      <c r="ARN2479" s="61"/>
      <c r="ARO2479" s="54"/>
      <c r="ARP2479" s="54"/>
      <c r="ARQ2479" s="60"/>
      <c r="ARR2479" s="60"/>
      <c r="ARS2479" s="60"/>
      <c r="ART2479" s="60"/>
      <c r="ARU2479" s="64"/>
      <c r="ARV2479" s="61"/>
      <c r="ARW2479" s="54"/>
      <c r="ARX2479" s="54"/>
      <c r="ARY2479" s="60"/>
      <c r="ARZ2479" s="60"/>
      <c r="ASA2479" s="60"/>
      <c r="ASB2479" s="60"/>
      <c r="ASC2479" s="64"/>
      <c r="ASD2479" s="61"/>
      <c r="ASE2479" s="54"/>
      <c r="ASF2479" s="54"/>
      <c r="ASG2479" s="60"/>
      <c r="ASH2479" s="60"/>
      <c r="ASI2479" s="60"/>
      <c r="ASJ2479" s="60"/>
      <c r="ASK2479" s="64"/>
      <c r="ASL2479" s="61"/>
      <c r="ASM2479" s="54"/>
      <c r="ASN2479" s="54"/>
      <c r="ASO2479" s="60"/>
      <c r="ASP2479" s="60"/>
      <c r="ASQ2479" s="60"/>
      <c r="ASR2479" s="60"/>
      <c r="ASS2479" s="64"/>
      <c r="AST2479" s="61"/>
      <c r="ASU2479" s="54"/>
      <c r="ASV2479" s="54"/>
      <c r="ASW2479" s="60"/>
      <c r="ASX2479" s="60"/>
      <c r="ASY2479" s="60"/>
      <c r="ASZ2479" s="60"/>
      <c r="ATA2479" s="64"/>
      <c r="ATB2479" s="61"/>
      <c r="ATC2479" s="54"/>
      <c r="ATD2479" s="54"/>
      <c r="ATE2479" s="60"/>
      <c r="ATF2479" s="60"/>
      <c r="ATG2479" s="60"/>
      <c r="ATH2479" s="60"/>
      <c r="ATI2479" s="64"/>
      <c r="ATJ2479" s="61"/>
      <c r="ATK2479" s="54"/>
      <c r="ATL2479" s="54"/>
      <c r="ATM2479" s="60"/>
      <c r="ATN2479" s="60"/>
      <c r="ATO2479" s="60"/>
      <c r="ATP2479" s="60"/>
      <c r="ATQ2479" s="64"/>
      <c r="ATR2479" s="61"/>
      <c r="ATS2479" s="54"/>
      <c r="ATT2479" s="54"/>
      <c r="ATU2479" s="60"/>
      <c r="ATV2479" s="60"/>
      <c r="ATW2479" s="60"/>
      <c r="ATX2479" s="60"/>
      <c r="ATY2479" s="64"/>
      <c r="ATZ2479" s="61"/>
      <c r="AUA2479" s="54"/>
      <c r="AUB2479" s="54"/>
      <c r="AUC2479" s="60"/>
      <c r="AUD2479" s="60"/>
      <c r="AUE2479" s="60"/>
      <c r="AUF2479" s="60"/>
      <c r="AUG2479" s="64"/>
      <c r="AUH2479" s="61"/>
      <c r="AUI2479" s="54"/>
      <c r="AUJ2479" s="54"/>
      <c r="AUK2479" s="60"/>
      <c r="AUL2479" s="60"/>
      <c r="AUM2479" s="60"/>
      <c r="AUN2479" s="60"/>
      <c r="AUO2479" s="64"/>
      <c r="AUP2479" s="61"/>
      <c r="AUQ2479" s="54"/>
      <c r="AUR2479" s="54"/>
      <c r="AUS2479" s="60"/>
      <c r="AUT2479" s="60"/>
      <c r="AUU2479" s="60"/>
      <c r="AUV2479" s="60"/>
      <c r="AUW2479" s="64"/>
      <c r="AUX2479" s="61"/>
      <c r="AUY2479" s="54"/>
      <c r="AUZ2479" s="54"/>
      <c r="AVA2479" s="60"/>
      <c r="AVB2479" s="60"/>
      <c r="AVC2479" s="60"/>
      <c r="AVD2479" s="60"/>
      <c r="AVE2479" s="64"/>
      <c r="AVF2479" s="61"/>
      <c r="AVG2479" s="54"/>
      <c r="AVH2479" s="54"/>
      <c r="AVI2479" s="60"/>
      <c r="AVJ2479" s="60"/>
      <c r="AVK2479" s="60"/>
      <c r="AVL2479" s="60"/>
      <c r="AVM2479" s="64"/>
      <c r="AVN2479" s="61"/>
      <c r="AVO2479" s="54"/>
      <c r="AVP2479" s="54"/>
      <c r="AVQ2479" s="60"/>
      <c r="AVR2479" s="60"/>
      <c r="AVS2479" s="60"/>
      <c r="AVT2479" s="60"/>
      <c r="AVU2479" s="64"/>
      <c r="AVV2479" s="61"/>
      <c r="AVW2479" s="54"/>
      <c r="AVX2479" s="54"/>
      <c r="AVY2479" s="60"/>
      <c r="AVZ2479" s="60"/>
      <c r="AWA2479" s="60"/>
      <c r="AWB2479" s="60"/>
      <c r="AWC2479" s="64"/>
      <c r="AWD2479" s="61"/>
      <c r="AWE2479" s="54"/>
      <c r="AWF2479" s="54"/>
      <c r="AWG2479" s="60"/>
      <c r="AWH2479" s="60"/>
      <c r="AWI2479" s="60"/>
      <c r="AWJ2479" s="60"/>
      <c r="AWK2479" s="64"/>
      <c r="AWL2479" s="61"/>
      <c r="AWM2479" s="54"/>
      <c r="AWN2479" s="54"/>
      <c r="AWO2479" s="60"/>
      <c r="AWP2479" s="60"/>
      <c r="AWQ2479" s="60"/>
      <c r="AWR2479" s="60"/>
      <c r="AWS2479" s="64"/>
      <c r="AWT2479" s="61"/>
      <c r="AWU2479" s="54"/>
      <c r="AWV2479" s="54"/>
      <c r="AWW2479" s="60"/>
      <c r="AWX2479" s="60"/>
      <c r="AWY2479" s="60"/>
      <c r="AWZ2479" s="60"/>
      <c r="AXA2479" s="64"/>
      <c r="AXB2479" s="61"/>
      <c r="AXC2479" s="54"/>
      <c r="AXD2479" s="54"/>
      <c r="AXE2479" s="60"/>
      <c r="AXF2479" s="60"/>
      <c r="AXG2479" s="60"/>
      <c r="AXH2479" s="60"/>
      <c r="AXI2479" s="64"/>
      <c r="AXJ2479" s="61"/>
      <c r="AXK2479" s="54"/>
      <c r="AXL2479" s="54"/>
      <c r="AXM2479" s="60"/>
      <c r="AXN2479" s="60"/>
      <c r="AXO2479" s="60"/>
      <c r="AXP2479" s="60"/>
      <c r="AXQ2479" s="64"/>
      <c r="AXR2479" s="61"/>
      <c r="AXS2479" s="54"/>
      <c r="AXT2479" s="54"/>
      <c r="AXU2479" s="60"/>
      <c r="AXV2479" s="60"/>
      <c r="AXW2479" s="60"/>
      <c r="AXX2479" s="60"/>
      <c r="AXY2479" s="64"/>
      <c r="AXZ2479" s="61"/>
      <c r="AYA2479" s="54"/>
      <c r="AYB2479" s="54"/>
      <c r="AYC2479" s="60"/>
      <c r="AYD2479" s="60"/>
      <c r="AYE2479" s="60"/>
      <c r="AYF2479" s="60"/>
      <c r="AYG2479" s="64"/>
      <c r="AYH2479" s="61"/>
      <c r="AYI2479" s="54"/>
      <c r="AYJ2479" s="54"/>
      <c r="AYK2479" s="60"/>
      <c r="AYL2479" s="60"/>
      <c r="AYM2479" s="60"/>
      <c r="AYN2479" s="60"/>
      <c r="AYO2479" s="64"/>
      <c r="AYP2479" s="61"/>
      <c r="AYQ2479" s="54"/>
      <c r="AYR2479" s="54"/>
      <c r="AYS2479" s="60"/>
      <c r="AYT2479" s="60"/>
      <c r="AYU2479" s="60"/>
      <c r="AYV2479" s="60"/>
      <c r="AYW2479" s="64"/>
      <c r="AYX2479" s="61"/>
      <c r="AYY2479" s="54"/>
      <c r="AYZ2479" s="54"/>
      <c r="AZA2479" s="60"/>
      <c r="AZB2479" s="60"/>
      <c r="AZC2479" s="60"/>
      <c r="AZD2479" s="60"/>
      <c r="AZE2479" s="64"/>
      <c r="AZF2479" s="61"/>
      <c r="AZG2479" s="54"/>
      <c r="AZH2479" s="54"/>
      <c r="AZI2479" s="60"/>
      <c r="AZJ2479" s="60"/>
      <c r="AZK2479" s="60"/>
      <c r="AZL2479" s="60"/>
      <c r="AZM2479" s="64"/>
      <c r="AZN2479" s="61"/>
      <c r="AZO2479" s="54"/>
      <c r="AZP2479" s="54"/>
      <c r="AZQ2479" s="60"/>
      <c r="AZR2479" s="60"/>
      <c r="AZS2479" s="60"/>
      <c r="AZT2479" s="60"/>
      <c r="AZU2479" s="64"/>
      <c r="AZV2479" s="61"/>
      <c r="AZW2479" s="54"/>
      <c r="AZX2479" s="54"/>
      <c r="AZY2479" s="60"/>
      <c r="AZZ2479" s="60"/>
      <c r="BAA2479" s="60"/>
      <c r="BAB2479" s="60"/>
      <c r="BAC2479" s="64"/>
      <c r="BAD2479" s="61"/>
      <c r="BAE2479" s="54"/>
      <c r="BAF2479" s="54"/>
      <c r="BAG2479" s="60"/>
      <c r="BAH2479" s="60"/>
      <c r="BAI2479" s="60"/>
      <c r="BAJ2479" s="60"/>
      <c r="BAK2479" s="64"/>
      <c r="BAL2479" s="61"/>
      <c r="BAM2479" s="54"/>
      <c r="BAN2479" s="54"/>
      <c r="BAO2479" s="60"/>
      <c r="BAP2479" s="60"/>
      <c r="BAQ2479" s="60"/>
      <c r="BAR2479" s="60"/>
      <c r="BAS2479" s="64"/>
      <c r="BAT2479" s="61"/>
      <c r="BAU2479" s="54"/>
      <c r="BAV2479" s="54"/>
      <c r="BAW2479" s="60"/>
      <c r="BAX2479" s="60"/>
      <c r="BAY2479" s="60"/>
      <c r="BAZ2479" s="60"/>
      <c r="BBA2479" s="64"/>
      <c r="BBB2479" s="61"/>
      <c r="BBC2479" s="54"/>
      <c r="BBD2479" s="54"/>
      <c r="BBE2479" s="60"/>
      <c r="BBF2479" s="60"/>
      <c r="BBG2479" s="60"/>
      <c r="BBH2479" s="60"/>
      <c r="BBI2479" s="64"/>
      <c r="BBJ2479" s="61"/>
      <c r="BBK2479" s="54"/>
      <c r="BBL2479" s="54"/>
      <c r="BBM2479" s="60"/>
      <c r="BBN2479" s="60"/>
      <c r="BBO2479" s="60"/>
      <c r="BBP2479" s="60"/>
      <c r="BBQ2479" s="64"/>
      <c r="BBR2479" s="61"/>
      <c r="BBS2479" s="54"/>
      <c r="BBT2479" s="54"/>
      <c r="BBU2479" s="60"/>
      <c r="BBV2479" s="60"/>
      <c r="BBW2479" s="60"/>
      <c r="BBX2479" s="60"/>
      <c r="BBY2479" s="64"/>
      <c r="BBZ2479" s="61"/>
      <c r="BCA2479" s="54"/>
      <c r="BCB2479" s="54"/>
      <c r="BCC2479" s="60"/>
      <c r="BCD2479" s="60"/>
      <c r="BCE2479" s="60"/>
      <c r="BCF2479" s="60"/>
      <c r="BCG2479" s="64"/>
      <c r="BCH2479" s="61"/>
      <c r="BCI2479" s="54"/>
      <c r="BCJ2479" s="54"/>
      <c r="BCK2479" s="60"/>
      <c r="BCL2479" s="60"/>
      <c r="BCM2479" s="60"/>
      <c r="BCN2479" s="60"/>
      <c r="BCO2479" s="64"/>
      <c r="BCP2479" s="61"/>
      <c r="BCQ2479" s="54"/>
      <c r="BCR2479" s="54"/>
      <c r="BCS2479" s="60"/>
      <c r="BCT2479" s="60"/>
      <c r="BCU2479" s="60"/>
      <c r="BCV2479" s="60"/>
      <c r="BCW2479" s="64"/>
      <c r="BCX2479" s="61"/>
      <c r="BCY2479" s="54"/>
      <c r="BCZ2479" s="54"/>
      <c r="BDA2479" s="60"/>
      <c r="BDB2479" s="60"/>
      <c r="BDC2479" s="60"/>
      <c r="BDD2479" s="60"/>
      <c r="BDE2479" s="64"/>
      <c r="BDF2479" s="61"/>
      <c r="BDG2479" s="54"/>
      <c r="BDH2479" s="54"/>
      <c r="BDI2479" s="60"/>
      <c r="BDJ2479" s="60"/>
      <c r="BDK2479" s="60"/>
      <c r="BDL2479" s="60"/>
      <c r="BDM2479" s="64"/>
      <c r="BDN2479" s="61"/>
      <c r="BDO2479" s="54"/>
      <c r="BDP2479" s="54"/>
      <c r="BDQ2479" s="60"/>
      <c r="BDR2479" s="60"/>
      <c r="BDS2479" s="60"/>
      <c r="BDT2479" s="60"/>
      <c r="BDU2479" s="64"/>
      <c r="BDV2479" s="61"/>
      <c r="BDW2479" s="54"/>
      <c r="BDX2479" s="54"/>
      <c r="BDY2479" s="60"/>
      <c r="BDZ2479" s="60"/>
      <c r="BEA2479" s="60"/>
      <c r="BEB2479" s="60"/>
      <c r="BEC2479" s="64"/>
      <c r="BED2479" s="61"/>
      <c r="BEE2479" s="54"/>
      <c r="BEF2479" s="54"/>
      <c r="BEG2479" s="60"/>
      <c r="BEH2479" s="60"/>
      <c r="BEI2479" s="60"/>
      <c r="BEJ2479" s="60"/>
      <c r="BEK2479" s="64"/>
      <c r="BEL2479" s="61"/>
      <c r="BEM2479" s="54"/>
      <c r="BEN2479" s="54"/>
      <c r="BEO2479" s="60"/>
      <c r="BEP2479" s="60"/>
      <c r="BEQ2479" s="60"/>
      <c r="BER2479" s="60"/>
      <c r="BES2479" s="64"/>
      <c r="BET2479" s="61"/>
      <c r="BEU2479" s="54"/>
      <c r="BEV2479" s="54"/>
      <c r="BEW2479" s="60"/>
      <c r="BEX2479" s="60"/>
      <c r="BEY2479" s="60"/>
      <c r="BEZ2479" s="60"/>
      <c r="BFA2479" s="64"/>
      <c r="BFB2479" s="61"/>
      <c r="BFC2479" s="54"/>
      <c r="BFD2479" s="54"/>
      <c r="BFE2479" s="60"/>
      <c r="BFF2479" s="60"/>
      <c r="BFG2479" s="60"/>
      <c r="BFH2479" s="60"/>
      <c r="BFI2479" s="64"/>
      <c r="BFJ2479" s="61"/>
      <c r="BFK2479" s="54"/>
      <c r="BFL2479" s="54"/>
      <c r="BFM2479" s="60"/>
      <c r="BFN2479" s="60"/>
      <c r="BFO2479" s="60"/>
      <c r="BFP2479" s="60"/>
      <c r="BFQ2479" s="64"/>
      <c r="BFR2479" s="61"/>
      <c r="BFS2479" s="54"/>
      <c r="BFT2479" s="54"/>
      <c r="BFU2479" s="60"/>
      <c r="BFV2479" s="60"/>
      <c r="BFW2479" s="60"/>
      <c r="BFX2479" s="60"/>
      <c r="BFY2479" s="64"/>
      <c r="BFZ2479" s="61"/>
      <c r="BGA2479" s="54"/>
      <c r="BGB2479" s="54"/>
      <c r="BGC2479" s="60"/>
      <c r="BGD2479" s="60"/>
      <c r="BGE2479" s="60"/>
      <c r="BGF2479" s="60"/>
      <c r="BGG2479" s="64"/>
      <c r="BGH2479" s="61"/>
      <c r="BGI2479" s="54"/>
      <c r="BGJ2479" s="54"/>
      <c r="BGK2479" s="60"/>
      <c r="BGL2479" s="60"/>
      <c r="BGM2479" s="60"/>
      <c r="BGN2479" s="60"/>
      <c r="BGO2479" s="64"/>
      <c r="BGP2479" s="61"/>
      <c r="BGQ2479" s="54"/>
      <c r="BGR2479" s="54"/>
      <c r="BGS2479" s="60"/>
      <c r="BGT2479" s="60"/>
      <c r="BGU2479" s="60"/>
      <c r="BGV2479" s="60"/>
      <c r="BGW2479" s="64"/>
      <c r="BGX2479" s="61"/>
      <c r="BGY2479" s="54"/>
      <c r="BGZ2479" s="54"/>
      <c r="BHA2479" s="60"/>
      <c r="BHB2479" s="60"/>
      <c r="BHC2479" s="60"/>
      <c r="BHD2479" s="60"/>
      <c r="BHE2479" s="64"/>
      <c r="BHF2479" s="61"/>
      <c r="BHG2479" s="54"/>
      <c r="BHH2479" s="54"/>
      <c r="BHI2479" s="60"/>
      <c r="BHJ2479" s="60"/>
      <c r="BHK2479" s="60"/>
      <c r="BHL2479" s="60"/>
      <c r="BHM2479" s="64"/>
      <c r="BHN2479" s="61"/>
      <c r="BHO2479" s="54"/>
      <c r="BHP2479" s="54"/>
      <c r="BHQ2479" s="60"/>
      <c r="BHR2479" s="60"/>
      <c r="BHS2479" s="60"/>
      <c r="BHT2479" s="60"/>
      <c r="BHU2479" s="64"/>
      <c r="BHV2479" s="61"/>
      <c r="BHW2479" s="54"/>
      <c r="BHX2479" s="54"/>
      <c r="BHY2479" s="60"/>
      <c r="BHZ2479" s="60"/>
      <c r="BIA2479" s="60"/>
      <c r="BIB2479" s="60"/>
      <c r="BIC2479" s="64"/>
      <c r="BID2479" s="61"/>
      <c r="BIE2479" s="54"/>
      <c r="BIF2479" s="54"/>
      <c r="BIG2479" s="60"/>
      <c r="BIH2479" s="60"/>
      <c r="BII2479" s="60"/>
      <c r="BIJ2479" s="60"/>
      <c r="BIK2479" s="64"/>
      <c r="BIL2479" s="61"/>
      <c r="BIM2479" s="54"/>
      <c r="BIN2479" s="54"/>
      <c r="BIO2479" s="60"/>
      <c r="BIP2479" s="60"/>
      <c r="BIQ2479" s="60"/>
      <c r="BIR2479" s="60"/>
      <c r="BIS2479" s="64"/>
      <c r="BIT2479" s="61"/>
      <c r="BIU2479" s="54"/>
      <c r="BIV2479" s="54"/>
      <c r="BIW2479" s="60"/>
      <c r="BIX2479" s="60"/>
      <c r="BIY2479" s="60"/>
      <c r="BIZ2479" s="60"/>
      <c r="BJA2479" s="64"/>
      <c r="BJB2479" s="61"/>
      <c r="BJC2479" s="54"/>
      <c r="BJD2479" s="54"/>
      <c r="BJE2479" s="60"/>
      <c r="BJF2479" s="60"/>
      <c r="BJG2479" s="60"/>
      <c r="BJH2479" s="60"/>
      <c r="BJI2479" s="64"/>
      <c r="BJJ2479" s="61"/>
      <c r="BJK2479" s="54"/>
      <c r="BJL2479" s="54"/>
      <c r="BJM2479" s="60"/>
      <c r="BJN2479" s="60"/>
      <c r="BJO2479" s="60"/>
      <c r="BJP2479" s="60"/>
      <c r="BJQ2479" s="64"/>
      <c r="BJR2479" s="61"/>
      <c r="BJS2479" s="54"/>
      <c r="BJT2479" s="54"/>
      <c r="BJU2479" s="60"/>
      <c r="BJV2479" s="60"/>
      <c r="BJW2479" s="60"/>
      <c r="BJX2479" s="60"/>
      <c r="BJY2479" s="64"/>
      <c r="BJZ2479" s="61"/>
      <c r="BKA2479" s="54"/>
      <c r="BKB2479" s="54"/>
      <c r="BKC2479" s="60"/>
      <c r="BKD2479" s="60"/>
      <c r="BKE2479" s="60"/>
      <c r="BKF2479" s="60"/>
      <c r="BKG2479" s="64"/>
      <c r="BKH2479" s="61"/>
      <c r="BKI2479" s="54"/>
      <c r="BKJ2479" s="54"/>
      <c r="BKK2479" s="60"/>
      <c r="BKL2479" s="60"/>
      <c r="BKM2479" s="60"/>
      <c r="BKN2479" s="60"/>
      <c r="BKO2479" s="64"/>
      <c r="BKP2479" s="61"/>
      <c r="BKQ2479" s="54"/>
      <c r="BKR2479" s="54"/>
      <c r="BKS2479" s="60"/>
      <c r="BKT2479" s="60"/>
      <c r="BKU2479" s="60"/>
      <c r="BKV2479" s="60"/>
      <c r="BKW2479" s="64"/>
      <c r="BKX2479" s="61"/>
      <c r="BKY2479" s="54"/>
      <c r="BKZ2479" s="54"/>
      <c r="BLA2479" s="60"/>
      <c r="BLB2479" s="60"/>
      <c r="BLC2479" s="60"/>
      <c r="BLD2479" s="60"/>
      <c r="BLE2479" s="64"/>
      <c r="BLF2479" s="61"/>
      <c r="BLG2479" s="54"/>
      <c r="BLH2479" s="54"/>
      <c r="BLI2479" s="60"/>
      <c r="BLJ2479" s="60"/>
      <c r="BLK2479" s="60"/>
      <c r="BLL2479" s="60"/>
      <c r="BLM2479" s="64"/>
      <c r="BLN2479" s="61"/>
      <c r="BLO2479" s="54"/>
      <c r="BLP2479" s="54"/>
      <c r="BLQ2479" s="60"/>
      <c r="BLR2479" s="60"/>
      <c r="BLS2479" s="60"/>
      <c r="BLT2479" s="60"/>
      <c r="BLU2479" s="64"/>
      <c r="BLV2479" s="61"/>
      <c r="BLW2479" s="54"/>
      <c r="BLX2479" s="54"/>
      <c r="BLY2479" s="60"/>
      <c r="BLZ2479" s="60"/>
      <c r="BMA2479" s="60"/>
      <c r="BMB2479" s="60"/>
      <c r="BMC2479" s="64"/>
      <c r="BMD2479" s="61"/>
      <c r="BME2479" s="54"/>
      <c r="BMF2479" s="54"/>
      <c r="BMG2479" s="60"/>
      <c r="BMH2479" s="60"/>
      <c r="BMI2479" s="60"/>
      <c r="BMJ2479" s="60"/>
      <c r="BMK2479" s="64"/>
      <c r="BML2479" s="61"/>
      <c r="BMM2479" s="54"/>
      <c r="BMN2479" s="54"/>
      <c r="BMO2479" s="60"/>
      <c r="BMP2479" s="60"/>
      <c r="BMQ2479" s="60"/>
      <c r="BMR2479" s="60"/>
      <c r="BMS2479" s="64"/>
      <c r="BMT2479" s="61"/>
      <c r="BMU2479" s="54"/>
      <c r="BMV2479" s="54"/>
      <c r="BMW2479" s="60"/>
      <c r="BMX2479" s="60"/>
      <c r="BMY2479" s="60"/>
      <c r="BMZ2479" s="60"/>
      <c r="BNA2479" s="64"/>
      <c r="BNB2479" s="61"/>
      <c r="BNC2479" s="54"/>
      <c r="BND2479" s="54"/>
      <c r="BNE2479" s="60"/>
      <c r="BNF2479" s="60"/>
      <c r="BNG2479" s="60"/>
      <c r="BNH2479" s="60"/>
      <c r="BNI2479" s="64"/>
      <c r="BNJ2479" s="61"/>
      <c r="BNK2479" s="54"/>
      <c r="BNL2479" s="54"/>
      <c r="BNM2479" s="60"/>
      <c r="BNN2479" s="60"/>
      <c r="BNO2479" s="60"/>
      <c r="BNP2479" s="60"/>
      <c r="BNQ2479" s="64"/>
      <c r="BNR2479" s="61"/>
      <c r="BNS2479" s="54"/>
      <c r="BNT2479" s="54"/>
      <c r="BNU2479" s="60"/>
      <c r="BNV2479" s="60"/>
      <c r="BNW2479" s="60"/>
      <c r="BNX2479" s="60"/>
      <c r="BNY2479" s="64"/>
      <c r="BNZ2479" s="61"/>
      <c r="BOA2479" s="54"/>
      <c r="BOB2479" s="54"/>
      <c r="BOC2479" s="60"/>
      <c r="BOD2479" s="60"/>
      <c r="BOE2479" s="60"/>
      <c r="BOF2479" s="60"/>
      <c r="BOG2479" s="64"/>
      <c r="BOH2479" s="61"/>
      <c r="BOI2479" s="54"/>
      <c r="BOJ2479" s="54"/>
      <c r="BOK2479" s="60"/>
      <c r="BOL2479" s="60"/>
      <c r="BOM2479" s="60"/>
      <c r="BON2479" s="60"/>
      <c r="BOO2479" s="64"/>
      <c r="BOP2479" s="61"/>
      <c r="BOQ2479" s="54"/>
      <c r="BOR2479" s="54"/>
      <c r="BOS2479" s="60"/>
      <c r="BOT2479" s="60"/>
      <c r="BOU2479" s="60"/>
      <c r="BOV2479" s="60"/>
      <c r="BOW2479" s="64"/>
      <c r="BOX2479" s="61"/>
      <c r="BOY2479" s="54"/>
      <c r="BOZ2479" s="54"/>
      <c r="BPA2479" s="60"/>
      <c r="BPB2479" s="60"/>
      <c r="BPC2479" s="60"/>
      <c r="BPD2479" s="60"/>
      <c r="BPE2479" s="64"/>
      <c r="BPF2479" s="61"/>
      <c r="BPG2479" s="54"/>
      <c r="BPH2479" s="54"/>
      <c r="BPI2479" s="60"/>
      <c r="BPJ2479" s="60"/>
      <c r="BPK2479" s="60"/>
      <c r="BPL2479" s="60"/>
      <c r="BPM2479" s="64"/>
      <c r="BPN2479" s="61"/>
      <c r="BPO2479" s="54"/>
      <c r="BPP2479" s="54"/>
      <c r="BPQ2479" s="60"/>
      <c r="BPR2479" s="60"/>
      <c r="BPS2479" s="60"/>
      <c r="BPT2479" s="60"/>
      <c r="BPU2479" s="64"/>
      <c r="BPV2479" s="61"/>
      <c r="BPW2479" s="54"/>
      <c r="BPX2479" s="54"/>
      <c r="BPY2479" s="60"/>
      <c r="BPZ2479" s="60"/>
      <c r="BQA2479" s="60"/>
      <c r="BQB2479" s="60"/>
      <c r="BQC2479" s="64"/>
      <c r="BQD2479" s="61"/>
      <c r="BQE2479" s="54"/>
      <c r="BQF2479" s="54"/>
      <c r="BQG2479" s="60"/>
      <c r="BQH2479" s="60"/>
      <c r="BQI2479" s="60"/>
      <c r="BQJ2479" s="60"/>
      <c r="BQK2479" s="64"/>
      <c r="BQL2479" s="61"/>
      <c r="BQM2479" s="54"/>
      <c r="BQN2479" s="54"/>
      <c r="BQO2479" s="60"/>
      <c r="BQP2479" s="60"/>
      <c r="BQQ2479" s="60"/>
      <c r="BQR2479" s="60"/>
      <c r="BQS2479" s="64"/>
      <c r="BQT2479" s="61"/>
      <c r="BQU2479" s="54"/>
      <c r="BQV2479" s="54"/>
      <c r="BQW2479" s="60"/>
      <c r="BQX2479" s="60"/>
      <c r="BQY2479" s="60"/>
      <c r="BQZ2479" s="60"/>
      <c r="BRA2479" s="64"/>
      <c r="BRB2479" s="61"/>
      <c r="BRC2479" s="54"/>
      <c r="BRD2479" s="54"/>
      <c r="BRE2479" s="60"/>
      <c r="BRF2479" s="60"/>
      <c r="BRG2479" s="60"/>
      <c r="BRH2479" s="60"/>
      <c r="BRI2479" s="64"/>
      <c r="BRJ2479" s="61"/>
      <c r="BRK2479" s="54"/>
      <c r="BRL2479" s="54"/>
      <c r="BRM2479" s="60"/>
      <c r="BRN2479" s="60"/>
      <c r="BRO2479" s="60"/>
      <c r="BRP2479" s="60"/>
      <c r="BRQ2479" s="64"/>
      <c r="BRR2479" s="61"/>
      <c r="BRS2479" s="54"/>
      <c r="BRT2479" s="54"/>
      <c r="BRU2479" s="60"/>
      <c r="BRV2479" s="60"/>
      <c r="BRW2479" s="60"/>
      <c r="BRX2479" s="60"/>
      <c r="BRY2479" s="64"/>
      <c r="BRZ2479" s="61"/>
      <c r="BSA2479" s="54"/>
      <c r="BSB2479" s="54"/>
      <c r="BSC2479" s="60"/>
      <c r="BSD2479" s="60"/>
      <c r="BSE2479" s="60"/>
      <c r="BSF2479" s="60"/>
      <c r="BSG2479" s="64"/>
      <c r="BSH2479" s="61"/>
      <c r="BSI2479" s="54"/>
      <c r="BSJ2479" s="54"/>
      <c r="BSK2479" s="60"/>
      <c r="BSL2479" s="60"/>
      <c r="BSM2479" s="60"/>
      <c r="BSN2479" s="60"/>
      <c r="BSO2479" s="64"/>
      <c r="BSP2479" s="61"/>
      <c r="BSQ2479" s="54"/>
      <c r="BSR2479" s="54"/>
      <c r="BSS2479" s="60"/>
      <c r="BST2479" s="60"/>
      <c r="BSU2479" s="60"/>
      <c r="BSV2479" s="60"/>
      <c r="BSW2479" s="64"/>
      <c r="BSX2479" s="61"/>
      <c r="BSY2479" s="54"/>
      <c r="BSZ2479" s="54"/>
      <c r="BTA2479" s="60"/>
      <c r="BTB2479" s="60"/>
      <c r="BTC2479" s="60"/>
      <c r="BTD2479" s="60"/>
      <c r="BTE2479" s="64"/>
      <c r="BTF2479" s="61"/>
      <c r="BTG2479" s="54"/>
      <c r="BTH2479" s="54"/>
      <c r="BTI2479" s="60"/>
      <c r="BTJ2479" s="60"/>
      <c r="BTK2479" s="60"/>
      <c r="BTL2479" s="60"/>
      <c r="BTM2479" s="64"/>
      <c r="BTN2479" s="61"/>
      <c r="BTO2479" s="54"/>
      <c r="BTP2479" s="54"/>
      <c r="BTQ2479" s="60"/>
      <c r="BTR2479" s="60"/>
      <c r="BTS2479" s="60"/>
      <c r="BTT2479" s="60"/>
      <c r="BTU2479" s="64"/>
      <c r="BTV2479" s="61"/>
      <c r="BTW2479" s="54"/>
      <c r="BTX2479" s="54"/>
      <c r="BTY2479" s="60"/>
      <c r="BTZ2479" s="60"/>
      <c r="BUA2479" s="60"/>
      <c r="BUB2479" s="60"/>
      <c r="BUC2479" s="64"/>
      <c r="BUD2479" s="61"/>
      <c r="BUE2479" s="54"/>
      <c r="BUF2479" s="54"/>
      <c r="BUG2479" s="60"/>
      <c r="BUH2479" s="60"/>
      <c r="BUI2479" s="60"/>
      <c r="BUJ2479" s="60"/>
      <c r="BUK2479" s="64"/>
      <c r="BUL2479" s="61"/>
      <c r="BUM2479" s="54"/>
      <c r="BUN2479" s="54"/>
      <c r="BUO2479" s="60"/>
      <c r="BUP2479" s="60"/>
      <c r="BUQ2479" s="60"/>
      <c r="BUR2479" s="60"/>
      <c r="BUS2479" s="64"/>
      <c r="BUT2479" s="61"/>
      <c r="BUU2479" s="54"/>
      <c r="BUV2479" s="54"/>
      <c r="BUW2479" s="60"/>
      <c r="BUX2479" s="60"/>
      <c r="BUY2479" s="60"/>
      <c r="BUZ2479" s="60"/>
      <c r="BVA2479" s="64"/>
      <c r="BVB2479" s="61"/>
      <c r="BVC2479" s="54"/>
      <c r="BVD2479" s="54"/>
      <c r="BVE2479" s="60"/>
      <c r="BVF2479" s="60"/>
      <c r="BVG2479" s="60"/>
      <c r="BVH2479" s="60"/>
      <c r="BVI2479" s="64"/>
      <c r="BVJ2479" s="61"/>
      <c r="BVK2479" s="54"/>
      <c r="BVL2479" s="54"/>
      <c r="BVM2479" s="60"/>
      <c r="BVN2479" s="60"/>
      <c r="BVO2479" s="60"/>
      <c r="BVP2479" s="60"/>
      <c r="BVQ2479" s="64"/>
      <c r="BVR2479" s="61"/>
      <c r="BVS2479" s="54"/>
      <c r="BVT2479" s="54"/>
      <c r="BVU2479" s="60"/>
      <c r="BVV2479" s="60"/>
      <c r="BVW2479" s="60"/>
      <c r="BVX2479" s="60"/>
      <c r="BVY2479" s="64"/>
      <c r="BVZ2479" s="61"/>
      <c r="BWA2479" s="54"/>
      <c r="BWB2479" s="54"/>
      <c r="BWC2479" s="60"/>
      <c r="BWD2479" s="60"/>
      <c r="BWE2479" s="60"/>
      <c r="BWF2479" s="60"/>
      <c r="BWG2479" s="64"/>
      <c r="BWH2479" s="61"/>
      <c r="BWI2479" s="54"/>
      <c r="BWJ2479" s="54"/>
      <c r="BWK2479" s="60"/>
      <c r="BWL2479" s="60"/>
      <c r="BWM2479" s="60"/>
      <c r="BWN2479" s="60"/>
      <c r="BWO2479" s="64"/>
      <c r="BWP2479" s="61"/>
      <c r="BWQ2479" s="54"/>
      <c r="BWR2479" s="54"/>
      <c r="BWS2479" s="60"/>
      <c r="BWT2479" s="60"/>
      <c r="BWU2479" s="60"/>
      <c r="BWV2479" s="60"/>
      <c r="BWW2479" s="64"/>
      <c r="BWX2479" s="61"/>
      <c r="BWY2479" s="54"/>
      <c r="BWZ2479" s="54"/>
      <c r="BXA2479" s="60"/>
      <c r="BXB2479" s="60"/>
      <c r="BXC2479" s="60"/>
      <c r="BXD2479" s="60"/>
      <c r="BXE2479" s="64"/>
      <c r="BXF2479" s="61"/>
      <c r="BXG2479" s="54"/>
      <c r="BXH2479" s="54"/>
      <c r="BXI2479" s="60"/>
      <c r="BXJ2479" s="60"/>
      <c r="BXK2479" s="60"/>
      <c r="BXL2479" s="60"/>
      <c r="BXM2479" s="64"/>
      <c r="BXN2479" s="61"/>
      <c r="BXO2479" s="54"/>
      <c r="BXP2479" s="54"/>
      <c r="BXQ2479" s="60"/>
      <c r="BXR2479" s="60"/>
      <c r="BXS2479" s="60"/>
      <c r="BXT2479" s="60"/>
      <c r="BXU2479" s="64"/>
      <c r="BXV2479" s="61"/>
      <c r="BXW2479" s="54"/>
      <c r="BXX2479" s="54"/>
      <c r="BXY2479" s="60"/>
      <c r="BXZ2479" s="60"/>
      <c r="BYA2479" s="60"/>
      <c r="BYB2479" s="60"/>
      <c r="BYC2479" s="64"/>
      <c r="BYD2479" s="61"/>
      <c r="BYE2479" s="54"/>
      <c r="BYF2479" s="54"/>
      <c r="BYG2479" s="60"/>
      <c r="BYH2479" s="60"/>
      <c r="BYI2479" s="60"/>
      <c r="BYJ2479" s="60"/>
      <c r="BYK2479" s="64"/>
      <c r="BYL2479" s="61"/>
      <c r="BYM2479" s="54"/>
      <c r="BYN2479" s="54"/>
      <c r="BYO2479" s="60"/>
      <c r="BYP2479" s="60"/>
      <c r="BYQ2479" s="60"/>
      <c r="BYR2479" s="60"/>
      <c r="BYS2479" s="64"/>
      <c r="BYT2479" s="61"/>
      <c r="BYU2479" s="54"/>
      <c r="BYV2479" s="54"/>
      <c r="BYW2479" s="60"/>
      <c r="BYX2479" s="60"/>
      <c r="BYY2479" s="60"/>
      <c r="BYZ2479" s="60"/>
      <c r="BZA2479" s="64"/>
      <c r="BZB2479" s="61"/>
      <c r="BZC2479" s="54"/>
      <c r="BZD2479" s="54"/>
      <c r="BZE2479" s="60"/>
      <c r="BZF2479" s="60"/>
      <c r="BZG2479" s="60"/>
      <c r="BZH2479" s="60"/>
      <c r="BZI2479" s="64"/>
      <c r="BZJ2479" s="61"/>
      <c r="BZK2479" s="54"/>
      <c r="BZL2479" s="54"/>
      <c r="BZM2479" s="60"/>
      <c r="BZN2479" s="60"/>
      <c r="BZO2479" s="60"/>
      <c r="BZP2479" s="60"/>
      <c r="BZQ2479" s="64"/>
      <c r="BZR2479" s="61"/>
      <c r="BZS2479" s="54"/>
      <c r="BZT2479" s="54"/>
      <c r="BZU2479" s="60"/>
      <c r="BZV2479" s="60"/>
      <c r="BZW2479" s="60"/>
      <c r="BZX2479" s="60"/>
      <c r="BZY2479" s="64"/>
      <c r="BZZ2479" s="61"/>
      <c r="CAA2479" s="54"/>
      <c r="CAB2479" s="54"/>
      <c r="CAC2479" s="60"/>
      <c r="CAD2479" s="60"/>
      <c r="CAE2479" s="60"/>
      <c r="CAF2479" s="60"/>
      <c r="CAG2479" s="64"/>
      <c r="CAH2479" s="61"/>
      <c r="CAI2479" s="54"/>
      <c r="CAJ2479" s="54"/>
      <c r="CAK2479" s="60"/>
      <c r="CAL2479" s="60"/>
      <c r="CAM2479" s="60"/>
      <c r="CAN2479" s="60"/>
      <c r="CAO2479" s="64"/>
      <c r="CAP2479" s="61"/>
      <c r="CAQ2479" s="54"/>
      <c r="CAR2479" s="54"/>
      <c r="CAS2479" s="60"/>
      <c r="CAT2479" s="60"/>
      <c r="CAU2479" s="60"/>
      <c r="CAV2479" s="60"/>
      <c r="CAW2479" s="64"/>
      <c r="CAX2479" s="61"/>
      <c r="CAY2479" s="54"/>
      <c r="CAZ2479" s="54"/>
      <c r="CBA2479" s="60"/>
      <c r="CBB2479" s="60"/>
      <c r="CBC2479" s="60"/>
      <c r="CBD2479" s="60"/>
      <c r="CBE2479" s="64"/>
      <c r="CBF2479" s="61"/>
      <c r="CBG2479" s="54"/>
      <c r="CBH2479" s="54"/>
      <c r="CBI2479" s="60"/>
      <c r="CBJ2479" s="60"/>
      <c r="CBK2479" s="60"/>
      <c r="CBL2479" s="60"/>
      <c r="CBM2479" s="64"/>
      <c r="CBN2479" s="61"/>
      <c r="CBO2479" s="54"/>
      <c r="CBP2479" s="54"/>
      <c r="CBQ2479" s="60"/>
      <c r="CBR2479" s="60"/>
      <c r="CBS2479" s="60"/>
      <c r="CBT2479" s="60"/>
      <c r="CBU2479" s="64"/>
      <c r="CBV2479" s="61"/>
      <c r="CBW2479" s="54"/>
      <c r="CBX2479" s="54"/>
      <c r="CBY2479" s="60"/>
      <c r="CBZ2479" s="60"/>
      <c r="CCA2479" s="60"/>
      <c r="CCB2479" s="60"/>
      <c r="CCC2479" s="64"/>
      <c r="CCD2479" s="61"/>
      <c r="CCE2479" s="54"/>
      <c r="CCF2479" s="54"/>
      <c r="CCG2479" s="60"/>
      <c r="CCH2479" s="60"/>
      <c r="CCI2479" s="60"/>
      <c r="CCJ2479" s="60"/>
      <c r="CCK2479" s="64"/>
      <c r="CCL2479" s="61"/>
      <c r="CCM2479" s="54"/>
      <c r="CCN2479" s="54"/>
      <c r="CCO2479" s="60"/>
      <c r="CCP2479" s="60"/>
      <c r="CCQ2479" s="60"/>
      <c r="CCR2479" s="60"/>
      <c r="CCS2479" s="64"/>
      <c r="CCT2479" s="61"/>
      <c r="CCU2479" s="54"/>
      <c r="CCV2479" s="54"/>
      <c r="CCW2479" s="60"/>
      <c r="CCX2479" s="60"/>
      <c r="CCY2479" s="60"/>
      <c r="CCZ2479" s="60"/>
      <c r="CDA2479" s="64"/>
      <c r="CDB2479" s="61"/>
      <c r="CDC2479" s="54"/>
      <c r="CDD2479" s="54"/>
      <c r="CDE2479" s="60"/>
      <c r="CDF2479" s="60"/>
      <c r="CDG2479" s="60"/>
      <c r="CDH2479" s="60"/>
      <c r="CDI2479" s="64"/>
      <c r="CDJ2479" s="61"/>
      <c r="CDK2479" s="54"/>
      <c r="CDL2479" s="54"/>
      <c r="CDM2479" s="60"/>
      <c r="CDN2479" s="60"/>
      <c r="CDO2479" s="60"/>
      <c r="CDP2479" s="60"/>
      <c r="CDQ2479" s="64"/>
      <c r="CDR2479" s="61"/>
      <c r="CDS2479" s="54"/>
      <c r="CDT2479" s="54"/>
      <c r="CDU2479" s="60"/>
      <c r="CDV2479" s="60"/>
      <c r="CDW2479" s="60"/>
      <c r="CDX2479" s="60"/>
      <c r="CDY2479" s="64"/>
      <c r="CDZ2479" s="61"/>
      <c r="CEA2479" s="54"/>
      <c r="CEB2479" s="54"/>
      <c r="CEC2479" s="60"/>
      <c r="CED2479" s="60"/>
      <c r="CEE2479" s="60"/>
      <c r="CEF2479" s="60"/>
      <c r="CEG2479" s="64"/>
      <c r="CEH2479" s="61"/>
      <c r="CEI2479" s="54"/>
      <c r="CEJ2479" s="54"/>
      <c r="CEK2479" s="60"/>
      <c r="CEL2479" s="60"/>
      <c r="CEM2479" s="60"/>
      <c r="CEN2479" s="60"/>
      <c r="CEO2479" s="64"/>
      <c r="CEP2479" s="61"/>
      <c r="CEQ2479" s="54"/>
      <c r="CER2479" s="54"/>
      <c r="CES2479" s="60"/>
      <c r="CET2479" s="60"/>
      <c r="CEU2479" s="60"/>
      <c r="CEV2479" s="60"/>
      <c r="CEW2479" s="64"/>
      <c r="CEX2479" s="61"/>
      <c r="CEY2479" s="54"/>
      <c r="CEZ2479" s="54"/>
      <c r="CFA2479" s="60"/>
      <c r="CFB2479" s="60"/>
      <c r="CFC2479" s="60"/>
      <c r="CFD2479" s="60"/>
      <c r="CFE2479" s="64"/>
      <c r="CFF2479" s="61"/>
      <c r="CFG2479" s="54"/>
      <c r="CFH2479" s="54"/>
      <c r="CFI2479" s="60"/>
      <c r="CFJ2479" s="60"/>
      <c r="CFK2479" s="60"/>
      <c r="CFL2479" s="60"/>
      <c r="CFM2479" s="64"/>
      <c r="CFN2479" s="61"/>
      <c r="CFO2479" s="54"/>
      <c r="CFP2479" s="54"/>
      <c r="CFQ2479" s="60"/>
      <c r="CFR2479" s="60"/>
      <c r="CFS2479" s="60"/>
      <c r="CFT2479" s="60"/>
      <c r="CFU2479" s="64"/>
      <c r="CFV2479" s="61"/>
      <c r="CFW2479" s="54"/>
      <c r="CFX2479" s="54"/>
      <c r="CFY2479" s="60"/>
      <c r="CFZ2479" s="60"/>
      <c r="CGA2479" s="60"/>
      <c r="CGB2479" s="60"/>
      <c r="CGC2479" s="64"/>
      <c r="CGD2479" s="61"/>
      <c r="CGE2479" s="54"/>
      <c r="CGF2479" s="54"/>
      <c r="CGG2479" s="60"/>
      <c r="CGH2479" s="60"/>
      <c r="CGI2479" s="60"/>
      <c r="CGJ2479" s="60"/>
      <c r="CGK2479" s="64"/>
      <c r="CGL2479" s="61"/>
      <c r="CGM2479" s="54"/>
      <c r="CGN2479" s="54"/>
      <c r="CGO2479" s="60"/>
      <c r="CGP2479" s="60"/>
      <c r="CGQ2479" s="60"/>
      <c r="CGR2479" s="60"/>
      <c r="CGS2479" s="64"/>
      <c r="CGT2479" s="61"/>
      <c r="CGU2479" s="54"/>
      <c r="CGV2479" s="54"/>
      <c r="CGW2479" s="60"/>
      <c r="CGX2479" s="60"/>
      <c r="CGY2479" s="60"/>
      <c r="CGZ2479" s="60"/>
      <c r="CHA2479" s="64"/>
      <c r="CHB2479" s="61"/>
      <c r="CHC2479" s="54"/>
      <c r="CHD2479" s="54"/>
      <c r="CHE2479" s="60"/>
      <c r="CHF2479" s="60"/>
      <c r="CHG2479" s="60"/>
      <c r="CHH2479" s="60"/>
      <c r="CHI2479" s="64"/>
      <c r="CHJ2479" s="61"/>
      <c r="CHK2479" s="54"/>
      <c r="CHL2479" s="54"/>
      <c r="CHM2479" s="60"/>
      <c r="CHN2479" s="60"/>
      <c r="CHO2479" s="60"/>
      <c r="CHP2479" s="60"/>
      <c r="CHQ2479" s="64"/>
      <c r="CHR2479" s="61"/>
      <c r="CHS2479" s="54"/>
      <c r="CHT2479" s="54"/>
      <c r="CHU2479" s="60"/>
      <c r="CHV2479" s="60"/>
      <c r="CHW2479" s="60"/>
      <c r="CHX2479" s="60"/>
      <c r="CHY2479" s="64"/>
      <c r="CHZ2479" s="61"/>
      <c r="CIA2479" s="54"/>
      <c r="CIB2479" s="54"/>
      <c r="CIC2479" s="60"/>
      <c r="CID2479" s="60"/>
      <c r="CIE2479" s="60"/>
      <c r="CIF2479" s="60"/>
      <c r="CIG2479" s="64"/>
      <c r="CIH2479" s="61"/>
      <c r="CII2479" s="54"/>
      <c r="CIJ2479" s="54"/>
      <c r="CIK2479" s="60"/>
      <c r="CIL2479" s="60"/>
      <c r="CIM2479" s="60"/>
      <c r="CIN2479" s="60"/>
      <c r="CIO2479" s="64"/>
      <c r="CIP2479" s="61"/>
      <c r="CIQ2479" s="54"/>
      <c r="CIR2479" s="54"/>
      <c r="CIS2479" s="60"/>
      <c r="CIT2479" s="60"/>
      <c r="CIU2479" s="60"/>
      <c r="CIV2479" s="60"/>
      <c r="CIW2479" s="64"/>
      <c r="CIX2479" s="61"/>
      <c r="CIY2479" s="54"/>
      <c r="CIZ2479" s="54"/>
      <c r="CJA2479" s="60"/>
      <c r="CJB2479" s="60"/>
      <c r="CJC2479" s="60"/>
      <c r="CJD2479" s="60"/>
      <c r="CJE2479" s="64"/>
      <c r="CJF2479" s="61"/>
      <c r="CJG2479" s="54"/>
      <c r="CJH2479" s="54"/>
      <c r="CJI2479" s="60"/>
      <c r="CJJ2479" s="60"/>
      <c r="CJK2479" s="60"/>
      <c r="CJL2479" s="60"/>
      <c r="CJM2479" s="64"/>
      <c r="CJN2479" s="61"/>
      <c r="CJO2479" s="54"/>
      <c r="CJP2479" s="54"/>
      <c r="CJQ2479" s="60"/>
      <c r="CJR2479" s="60"/>
      <c r="CJS2479" s="60"/>
      <c r="CJT2479" s="60"/>
      <c r="CJU2479" s="64"/>
      <c r="CJV2479" s="61"/>
      <c r="CJW2479" s="54"/>
      <c r="CJX2479" s="54"/>
      <c r="CJY2479" s="60"/>
      <c r="CJZ2479" s="60"/>
      <c r="CKA2479" s="60"/>
      <c r="CKB2479" s="60"/>
      <c r="CKC2479" s="64"/>
      <c r="CKD2479" s="61"/>
      <c r="CKE2479" s="54"/>
      <c r="CKF2479" s="54"/>
      <c r="CKG2479" s="60"/>
      <c r="CKH2479" s="60"/>
      <c r="CKI2479" s="60"/>
      <c r="CKJ2479" s="60"/>
      <c r="CKK2479" s="64"/>
      <c r="CKL2479" s="61"/>
      <c r="CKM2479" s="54"/>
      <c r="CKN2479" s="54"/>
      <c r="CKO2479" s="60"/>
      <c r="CKP2479" s="60"/>
      <c r="CKQ2479" s="60"/>
      <c r="CKR2479" s="60"/>
      <c r="CKS2479" s="64"/>
      <c r="CKT2479" s="61"/>
      <c r="CKU2479" s="54"/>
      <c r="CKV2479" s="54"/>
      <c r="CKW2479" s="60"/>
      <c r="CKX2479" s="60"/>
      <c r="CKY2479" s="60"/>
      <c r="CKZ2479" s="60"/>
      <c r="CLA2479" s="64"/>
      <c r="CLB2479" s="61"/>
      <c r="CLC2479" s="54"/>
      <c r="CLD2479" s="54"/>
      <c r="CLE2479" s="60"/>
      <c r="CLF2479" s="60"/>
      <c r="CLG2479" s="60"/>
      <c r="CLH2479" s="60"/>
      <c r="CLI2479" s="64"/>
      <c r="CLJ2479" s="61"/>
      <c r="CLK2479" s="54"/>
      <c r="CLL2479" s="54"/>
      <c r="CLM2479" s="60"/>
      <c r="CLN2479" s="60"/>
      <c r="CLO2479" s="60"/>
      <c r="CLP2479" s="60"/>
      <c r="CLQ2479" s="64"/>
      <c r="CLR2479" s="61"/>
      <c r="CLS2479" s="54"/>
      <c r="CLT2479" s="54"/>
      <c r="CLU2479" s="60"/>
      <c r="CLV2479" s="60"/>
      <c r="CLW2479" s="60"/>
      <c r="CLX2479" s="60"/>
      <c r="CLY2479" s="64"/>
      <c r="CLZ2479" s="61"/>
      <c r="CMA2479" s="54"/>
      <c r="CMB2479" s="54"/>
      <c r="CMC2479" s="60"/>
      <c r="CMD2479" s="60"/>
      <c r="CME2479" s="60"/>
      <c r="CMF2479" s="60"/>
      <c r="CMG2479" s="64"/>
      <c r="CMH2479" s="61"/>
      <c r="CMI2479" s="54"/>
      <c r="CMJ2479" s="54"/>
      <c r="CMK2479" s="60"/>
      <c r="CML2479" s="60"/>
      <c r="CMM2479" s="60"/>
      <c r="CMN2479" s="60"/>
      <c r="CMO2479" s="64"/>
      <c r="CMP2479" s="61"/>
      <c r="CMQ2479" s="54"/>
      <c r="CMR2479" s="54"/>
      <c r="CMS2479" s="60"/>
      <c r="CMT2479" s="60"/>
      <c r="CMU2479" s="60"/>
      <c r="CMV2479" s="60"/>
      <c r="CMW2479" s="64"/>
      <c r="CMX2479" s="61"/>
      <c r="CMY2479" s="54"/>
      <c r="CMZ2479" s="54"/>
      <c r="CNA2479" s="60"/>
      <c r="CNB2479" s="60"/>
      <c r="CNC2479" s="60"/>
      <c r="CND2479" s="60"/>
      <c r="CNE2479" s="64"/>
      <c r="CNF2479" s="61"/>
      <c r="CNG2479" s="54"/>
      <c r="CNH2479" s="54"/>
      <c r="CNI2479" s="60"/>
      <c r="CNJ2479" s="60"/>
      <c r="CNK2479" s="60"/>
      <c r="CNL2479" s="60"/>
      <c r="CNM2479" s="64"/>
      <c r="CNN2479" s="61"/>
      <c r="CNO2479" s="54"/>
      <c r="CNP2479" s="54"/>
      <c r="CNQ2479" s="60"/>
      <c r="CNR2479" s="60"/>
      <c r="CNS2479" s="60"/>
      <c r="CNT2479" s="60"/>
      <c r="CNU2479" s="64"/>
      <c r="CNV2479" s="61"/>
      <c r="CNW2479" s="54"/>
      <c r="CNX2479" s="54"/>
      <c r="CNY2479" s="60"/>
      <c r="CNZ2479" s="60"/>
      <c r="COA2479" s="60"/>
      <c r="COB2479" s="60"/>
      <c r="COC2479" s="64"/>
      <c r="COD2479" s="61"/>
      <c r="COE2479" s="54"/>
      <c r="COF2479" s="54"/>
      <c r="COG2479" s="60"/>
      <c r="COH2479" s="60"/>
      <c r="COI2479" s="60"/>
      <c r="COJ2479" s="60"/>
      <c r="COK2479" s="64"/>
      <c r="COL2479" s="61"/>
      <c r="COM2479" s="54"/>
      <c r="CON2479" s="54"/>
      <c r="COO2479" s="60"/>
      <c r="COP2479" s="60"/>
      <c r="COQ2479" s="60"/>
      <c r="COR2479" s="60"/>
      <c r="COS2479" s="64"/>
      <c r="COT2479" s="61"/>
      <c r="COU2479" s="54"/>
      <c r="COV2479" s="54"/>
      <c r="COW2479" s="60"/>
      <c r="COX2479" s="60"/>
      <c r="COY2479" s="60"/>
      <c r="COZ2479" s="60"/>
      <c r="CPA2479" s="64"/>
      <c r="CPB2479" s="61"/>
      <c r="CPC2479" s="54"/>
      <c r="CPD2479" s="54"/>
      <c r="CPE2479" s="60"/>
      <c r="CPF2479" s="60"/>
      <c r="CPG2479" s="60"/>
      <c r="CPH2479" s="60"/>
      <c r="CPI2479" s="64"/>
      <c r="CPJ2479" s="61"/>
      <c r="CPK2479" s="54"/>
      <c r="CPL2479" s="54"/>
      <c r="CPM2479" s="60"/>
      <c r="CPN2479" s="60"/>
      <c r="CPO2479" s="60"/>
      <c r="CPP2479" s="60"/>
      <c r="CPQ2479" s="64"/>
      <c r="CPR2479" s="61"/>
      <c r="CPS2479" s="54"/>
      <c r="CPT2479" s="54"/>
      <c r="CPU2479" s="60"/>
      <c r="CPV2479" s="60"/>
      <c r="CPW2479" s="60"/>
      <c r="CPX2479" s="60"/>
      <c r="CPY2479" s="64"/>
      <c r="CPZ2479" s="61"/>
      <c r="CQA2479" s="54"/>
      <c r="CQB2479" s="54"/>
      <c r="CQC2479" s="60"/>
      <c r="CQD2479" s="60"/>
      <c r="CQE2479" s="60"/>
      <c r="CQF2479" s="60"/>
      <c r="CQG2479" s="64"/>
      <c r="CQH2479" s="61"/>
      <c r="CQI2479" s="54"/>
      <c r="CQJ2479" s="54"/>
      <c r="CQK2479" s="60"/>
      <c r="CQL2479" s="60"/>
      <c r="CQM2479" s="60"/>
      <c r="CQN2479" s="60"/>
      <c r="CQO2479" s="64"/>
      <c r="CQP2479" s="61"/>
      <c r="CQQ2479" s="54"/>
      <c r="CQR2479" s="54"/>
      <c r="CQS2479" s="60"/>
      <c r="CQT2479" s="60"/>
      <c r="CQU2479" s="60"/>
      <c r="CQV2479" s="60"/>
      <c r="CQW2479" s="64"/>
      <c r="CQX2479" s="61"/>
      <c r="CQY2479" s="54"/>
      <c r="CQZ2479" s="54"/>
      <c r="CRA2479" s="60"/>
      <c r="CRB2479" s="60"/>
      <c r="CRC2479" s="60"/>
      <c r="CRD2479" s="60"/>
      <c r="CRE2479" s="64"/>
      <c r="CRF2479" s="61"/>
      <c r="CRG2479" s="54"/>
      <c r="CRH2479" s="54"/>
      <c r="CRI2479" s="60"/>
      <c r="CRJ2479" s="60"/>
      <c r="CRK2479" s="60"/>
      <c r="CRL2479" s="60"/>
      <c r="CRM2479" s="64"/>
      <c r="CRN2479" s="61"/>
      <c r="CRO2479" s="54"/>
      <c r="CRP2479" s="54"/>
      <c r="CRQ2479" s="60"/>
      <c r="CRR2479" s="60"/>
      <c r="CRS2479" s="60"/>
      <c r="CRT2479" s="60"/>
      <c r="CRU2479" s="64"/>
      <c r="CRV2479" s="61"/>
      <c r="CRW2479" s="54"/>
      <c r="CRX2479" s="54"/>
      <c r="CRY2479" s="60"/>
      <c r="CRZ2479" s="60"/>
      <c r="CSA2479" s="60"/>
      <c r="CSB2479" s="60"/>
      <c r="CSC2479" s="64"/>
      <c r="CSD2479" s="61"/>
      <c r="CSE2479" s="54"/>
      <c r="CSF2479" s="54"/>
      <c r="CSG2479" s="60"/>
      <c r="CSH2479" s="60"/>
      <c r="CSI2479" s="60"/>
      <c r="CSJ2479" s="60"/>
      <c r="CSK2479" s="64"/>
      <c r="CSL2479" s="61"/>
      <c r="CSM2479" s="54"/>
      <c r="CSN2479" s="54"/>
      <c r="CSO2479" s="60"/>
      <c r="CSP2479" s="60"/>
      <c r="CSQ2479" s="60"/>
      <c r="CSR2479" s="60"/>
      <c r="CSS2479" s="64"/>
      <c r="CST2479" s="61"/>
      <c r="CSU2479" s="54"/>
      <c r="CSV2479" s="54"/>
      <c r="CSW2479" s="60"/>
      <c r="CSX2479" s="60"/>
      <c r="CSY2479" s="60"/>
      <c r="CSZ2479" s="60"/>
      <c r="CTA2479" s="64"/>
      <c r="CTB2479" s="61"/>
      <c r="CTC2479" s="54"/>
      <c r="CTD2479" s="54"/>
      <c r="CTE2479" s="60"/>
      <c r="CTF2479" s="60"/>
      <c r="CTG2479" s="60"/>
      <c r="CTH2479" s="60"/>
      <c r="CTI2479" s="64"/>
      <c r="CTJ2479" s="61"/>
      <c r="CTK2479" s="54"/>
      <c r="CTL2479" s="54"/>
      <c r="CTM2479" s="60"/>
      <c r="CTN2479" s="60"/>
      <c r="CTO2479" s="60"/>
      <c r="CTP2479" s="60"/>
      <c r="CTQ2479" s="64"/>
      <c r="CTR2479" s="61"/>
      <c r="CTS2479" s="54"/>
      <c r="CTT2479" s="54"/>
      <c r="CTU2479" s="60"/>
      <c r="CTV2479" s="60"/>
      <c r="CTW2479" s="60"/>
      <c r="CTX2479" s="60"/>
      <c r="CTY2479" s="64"/>
      <c r="CTZ2479" s="61"/>
      <c r="CUA2479" s="54"/>
      <c r="CUB2479" s="54"/>
      <c r="CUC2479" s="60"/>
      <c r="CUD2479" s="60"/>
      <c r="CUE2479" s="60"/>
      <c r="CUF2479" s="60"/>
      <c r="CUG2479" s="64"/>
      <c r="CUH2479" s="61"/>
      <c r="CUI2479" s="54"/>
      <c r="CUJ2479" s="54"/>
      <c r="CUK2479" s="60"/>
      <c r="CUL2479" s="60"/>
      <c r="CUM2479" s="60"/>
      <c r="CUN2479" s="60"/>
      <c r="CUO2479" s="64"/>
      <c r="CUP2479" s="61"/>
      <c r="CUQ2479" s="54"/>
      <c r="CUR2479" s="54"/>
      <c r="CUS2479" s="60"/>
      <c r="CUT2479" s="60"/>
      <c r="CUU2479" s="60"/>
      <c r="CUV2479" s="60"/>
      <c r="CUW2479" s="64"/>
      <c r="CUX2479" s="61"/>
      <c r="CUY2479" s="54"/>
      <c r="CUZ2479" s="54"/>
      <c r="CVA2479" s="60"/>
      <c r="CVB2479" s="60"/>
      <c r="CVC2479" s="60"/>
      <c r="CVD2479" s="60"/>
      <c r="CVE2479" s="64"/>
      <c r="CVF2479" s="61"/>
      <c r="CVG2479" s="54"/>
      <c r="CVH2479" s="54"/>
      <c r="CVI2479" s="60"/>
      <c r="CVJ2479" s="60"/>
      <c r="CVK2479" s="60"/>
      <c r="CVL2479" s="60"/>
      <c r="CVM2479" s="64"/>
      <c r="CVN2479" s="61"/>
      <c r="CVO2479" s="54"/>
      <c r="CVP2479" s="54"/>
      <c r="CVQ2479" s="60"/>
      <c r="CVR2479" s="60"/>
      <c r="CVS2479" s="60"/>
      <c r="CVT2479" s="60"/>
      <c r="CVU2479" s="64"/>
      <c r="CVV2479" s="61"/>
      <c r="CVW2479" s="54"/>
      <c r="CVX2479" s="54"/>
      <c r="CVY2479" s="60"/>
      <c r="CVZ2479" s="60"/>
      <c r="CWA2479" s="60"/>
      <c r="CWB2479" s="60"/>
      <c r="CWC2479" s="64"/>
      <c r="CWD2479" s="61"/>
      <c r="CWE2479" s="54"/>
      <c r="CWF2479" s="54"/>
      <c r="CWG2479" s="60"/>
      <c r="CWH2479" s="60"/>
      <c r="CWI2479" s="60"/>
      <c r="CWJ2479" s="60"/>
      <c r="CWK2479" s="64"/>
      <c r="CWL2479" s="61"/>
      <c r="CWM2479" s="54"/>
      <c r="CWN2479" s="54"/>
      <c r="CWO2479" s="60"/>
      <c r="CWP2479" s="60"/>
      <c r="CWQ2479" s="60"/>
      <c r="CWR2479" s="60"/>
      <c r="CWS2479" s="64"/>
      <c r="CWT2479" s="61"/>
      <c r="CWU2479" s="54"/>
      <c r="CWV2479" s="54"/>
      <c r="CWW2479" s="60"/>
      <c r="CWX2479" s="60"/>
      <c r="CWY2479" s="60"/>
      <c r="CWZ2479" s="60"/>
      <c r="CXA2479" s="64"/>
      <c r="CXB2479" s="61"/>
      <c r="CXC2479" s="54"/>
      <c r="CXD2479" s="54"/>
      <c r="CXE2479" s="60"/>
      <c r="CXF2479" s="60"/>
      <c r="CXG2479" s="60"/>
      <c r="CXH2479" s="60"/>
      <c r="CXI2479" s="64"/>
      <c r="CXJ2479" s="61"/>
      <c r="CXK2479" s="54"/>
      <c r="CXL2479" s="54"/>
      <c r="CXM2479" s="60"/>
      <c r="CXN2479" s="60"/>
      <c r="CXO2479" s="60"/>
      <c r="CXP2479" s="60"/>
      <c r="CXQ2479" s="64"/>
      <c r="CXR2479" s="61"/>
      <c r="CXS2479" s="54"/>
      <c r="CXT2479" s="54"/>
      <c r="CXU2479" s="60"/>
      <c r="CXV2479" s="60"/>
      <c r="CXW2479" s="60"/>
      <c r="CXX2479" s="60"/>
      <c r="CXY2479" s="64"/>
      <c r="CXZ2479" s="61"/>
      <c r="CYA2479" s="54"/>
      <c r="CYB2479" s="54"/>
      <c r="CYC2479" s="60"/>
      <c r="CYD2479" s="60"/>
      <c r="CYE2479" s="60"/>
      <c r="CYF2479" s="60"/>
      <c r="CYG2479" s="64"/>
      <c r="CYH2479" s="61"/>
      <c r="CYI2479" s="54"/>
      <c r="CYJ2479" s="54"/>
      <c r="CYK2479" s="60"/>
      <c r="CYL2479" s="60"/>
      <c r="CYM2479" s="60"/>
      <c r="CYN2479" s="60"/>
      <c r="CYO2479" s="64"/>
      <c r="CYP2479" s="61"/>
      <c r="CYQ2479" s="54"/>
      <c r="CYR2479" s="54"/>
      <c r="CYS2479" s="60"/>
      <c r="CYT2479" s="60"/>
      <c r="CYU2479" s="60"/>
      <c r="CYV2479" s="60"/>
      <c r="CYW2479" s="64"/>
      <c r="CYX2479" s="61"/>
      <c r="CYY2479" s="54"/>
      <c r="CYZ2479" s="54"/>
      <c r="CZA2479" s="60"/>
      <c r="CZB2479" s="60"/>
      <c r="CZC2479" s="60"/>
      <c r="CZD2479" s="60"/>
      <c r="CZE2479" s="64"/>
      <c r="CZF2479" s="61"/>
      <c r="CZG2479" s="54"/>
      <c r="CZH2479" s="54"/>
      <c r="CZI2479" s="60"/>
      <c r="CZJ2479" s="60"/>
      <c r="CZK2479" s="60"/>
      <c r="CZL2479" s="60"/>
      <c r="CZM2479" s="64"/>
      <c r="CZN2479" s="61"/>
      <c r="CZO2479" s="54"/>
      <c r="CZP2479" s="54"/>
      <c r="CZQ2479" s="60"/>
      <c r="CZR2479" s="60"/>
      <c r="CZS2479" s="60"/>
      <c r="CZT2479" s="60"/>
      <c r="CZU2479" s="64"/>
      <c r="CZV2479" s="61"/>
      <c r="CZW2479" s="54"/>
      <c r="CZX2479" s="54"/>
      <c r="CZY2479" s="60"/>
      <c r="CZZ2479" s="60"/>
      <c r="DAA2479" s="60"/>
      <c r="DAB2479" s="60"/>
      <c r="DAC2479" s="64"/>
      <c r="DAD2479" s="61"/>
      <c r="DAE2479" s="54"/>
      <c r="DAF2479" s="54"/>
      <c r="DAG2479" s="60"/>
      <c r="DAH2479" s="60"/>
      <c r="DAI2479" s="60"/>
      <c r="DAJ2479" s="60"/>
      <c r="DAK2479" s="64"/>
      <c r="DAL2479" s="61"/>
      <c r="DAM2479" s="54"/>
      <c r="DAN2479" s="54"/>
      <c r="DAO2479" s="60"/>
      <c r="DAP2479" s="60"/>
      <c r="DAQ2479" s="60"/>
      <c r="DAR2479" s="60"/>
      <c r="DAS2479" s="64"/>
      <c r="DAT2479" s="61"/>
      <c r="DAU2479" s="54"/>
      <c r="DAV2479" s="54"/>
      <c r="DAW2479" s="60"/>
      <c r="DAX2479" s="60"/>
      <c r="DAY2479" s="60"/>
      <c r="DAZ2479" s="60"/>
      <c r="DBA2479" s="64"/>
      <c r="DBB2479" s="61"/>
      <c r="DBC2479" s="54"/>
      <c r="DBD2479" s="54"/>
      <c r="DBE2479" s="60"/>
      <c r="DBF2479" s="60"/>
      <c r="DBG2479" s="60"/>
      <c r="DBH2479" s="60"/>
      <c r="DBI2479" s="64"/>
      <c r="DBJ2479" s="61"/>
      <c r="DBK2479" s="54"/>
      <c r="DBL2479" s="54"/>
      <c r="DBM2479" s="60"/>
      <c r="DBN2479" s="60"/>
      <c r="DBO2479" s="60"/>
      <c r="DBP2479" s="60"/>
      <c r="DBQ2479" s="64"/>
      <c r="DBR2479" s="61"/>
      <c r="DBS2479" s="54"/>
      <c r="DBT2479" s="54"/>
      <c r="DBU2479" s="60"/>
      <c r="DBV2479" s="60"/>
      <c r="DBW2479" s="60"/>
      <c r="DBX2479" s="60"/>
      <c r="DBY2479" s="64"/>
      <c r="DBZ2479" s="61"/>
      <c r="DCA2479" s="54"/>
      <c r="DCB2479" s="54"/>
      <c r="DCC2479" s="60"/>
      <c r="DCD2479" s="60"/>
      <c r="DCE2479" s="60"/>
      <c r="DCF2479" s="60"/>
      <c r="DCG2479" s="64"/>
      <c r="DCH2479" s="61"/>
      <c r="DCI2479" s="54"/>
      <c r="DCJ2479" s="54"/>
      <c r="DCK2479" s="60"/>
      <c r="DCL2479" s="60"/>
      <c r="DCM2479" s="60"/>
      <c r="DCN2479" s="60"/>
      <c r="DCO2479" s="64"/>
      <c r="DCP2479" s="61"/>
      <c r="DCQ2479" s="54"/>
      <c r="DCR2479" s="54"/>
      <c r="DCS2479" s="60"/>
      <c r="DCT2479" s="60"/>
      <c r="DCU2479" s="60"/>
      <c r="DCV2479" s="60"/>
      <c r="DCW2479" s="64"/>
      <c r="DCX2479" s="61"/>
      <c r="DCY2479" s="54"/>
      <c r="DCZ2479" s="54"/>
      <c r="DDA2479" s="60"/>
      <c r="DDB2479" s="60"/>
      <c r="DDC2479" s="60"/>
      <c r="DDD2479" s="60"/>
      <c r="DDE2479" s="64"/>
      <c r="DDF2479" s="61"/>
      <c r="DDG2479" s="54"/>
      <c r="DDH2479" s="54"/>
      <c r="DDI2479" s="60"/>
      <c r="DDJ2479" s="60"/>
      <c r="DDK2479" s="60"/>
      <c r="DDL2479" s="60"/>
      <c r="DDM2479" s="64"/>
      <c r="DDN2479" s="61"/>
      <c r="DDO2479" s="54"/>
      <c r="DDP2479" s="54"/>
      <c r="DDQ2479" s="60"/>
      <c r="DDR2479" s="60"/>
      <c r="DDS2479" s="60"/>
      <c r="DDT2479" s="60"/>
      <c r="DDU2479" s="64"/>
      <c r="DDV2479" s="61"/>
      <c r="DDW2479" s="54"/>
      <c r="DDX2479" s="54"/>
      <c r="DDY2479" s="60"/>
      <c r="DDZ2479" s="60"/>
      <c r="DEA2479" s="60"/>
      <c r="DEB2479" s="60"/>
      <c r="DEC2479" s="64"/>
      <c r="DED2479" s="61"/>
      <c r="DEE2479" s="54"/>
      <c r="DEF2479" s="54"/>
      <c r="DEG2479" s="60"/>
      <c r="DEH2479" s="60"/>
      <c r="DEI2479" s="60"/>
      <c r="DEJ2479" s="60"/>
      <c r="DEK2479" s="64"/>
      <c r="DEL2479" s="61"/>
      <c r="DEM2479" s="54"/>
      <c r="DEN2479" s="54"/>
      <c r="DEO2479" s="60"/>
      <c r="DEP2479" s="60"/>
      <c r="DEQ2479" s="60"/>
      <c r="DER2479" s="60"/>
      <c r="DES2479" s="64"/>
      <c r="DET2479" s="61"/>
      <c r="DEU2479" s="54"/>
      <c r="DEV2479" s="54"/>
      <c r="DEW2479" s="60"/>
      <c r="DEX2479" s="60"/>
      <c r="DEY2479" s="60"/>
      <c r="DEZ2479" s="60"/>
      <c r="DFA2479" s="64"/>
      <c r="DFB2479" s="61"/>
      <c r="DFC2479" s="54"/>
      <c r="DFD2479" s="54"/>
      <c r="DFE2479" s="60"/>
      <c r="DFF2479" s="60"/>
      <c r="DFG2479" s="60"/>
      <c r="DFH2479" s="60"/>
      <c r="DFI2479" s="64"/>
      <c r="DFJ2479" s="61"/>
      <c r="DFK2479" s="54"/>
      <c r="DFL2479" s="54"/>
      <c r="DFM2479" s="60"/>
      <c r="DFN2479" s="60"/>
      <c r="DFO2479" s="60"/>
      <c r="DFP2479" s="60"/>
      <c r="DFQ2479" s="64"/>
      <c r="DFR2479" s="61"/>
      <c r="DFS2479" s="54"/>
      <c r="DFT2479" s="54"/>
      <c r="DFU2479" s="60"/>
      <c r="DFV2479" s="60"/>
      <c r="DFW2479" s="60"/>
      <c r="DFX2479" s="60"/>
      <c r="DFY2479" s="64"/>
      <c r="DFZ2479" s="61"/>
      <c r="DGA2479" s="54"/>
      <c r="DGB2479" s="54"/>
      <c r="DGC2479" s="60"/>
      <c r="DGD2479" s="60"/>
      <c r="DGE2479" s="60"/>
      <c r="DGF2479" s="60"/>
      <c r="DGG2479" s="64"/>
      <c r="DGH2479" s="61"/>
      <c r="DGI2479" s="54"/>
      <c r="DGJ2479" s="54"/>
      <c r="DGK2479" s="60"/>
      <c r="DGL2479" s="60"/>
      <c r="DGM2479" s="60"/>
      <c r="DGN2479" s="60"/>
      <c r="DGO2479" s="64"/>
      <c r="DGP2479" s="61"/>
      <c r="DGQ2479" s="54"/>
      <c r="DGR2479" s="54"/>
      <c r="DGS2479" s="60"/>
      <c r="DGT2479" s="60"/>
      <c r="DGU2479" s="60"/>
      <c r="DGV2479" s="60"/>
      <c r="DGW2479" s="64"/>
      <c r="DGX2479" s="61"/>
      <c r="DGY2479" s="54"/>
      <c r="DGZ2479" s="54"/>
      <c r="DHA2479" s="60"/>
      <c r="DHB2479" s="60"/>
      <c r="DHC2479" s="60"/>
      <c r="DHD2479" s="60"/>
      <c r="DHE2479" s="64"/>
      <c r="DHF2479" s="61"/>
      <c r="DHG2479" s="54"/>
      <c r="DHH2479" s="54"/>
      <c r="DHI2479" s="60"/>
      <c r="DHJ2479" s="60"/>
      <c r="DHK2479" s="60"/>
      <c r="DHL2479" s="60"/>
      <c r="DHM2479" s="64"/>
      <c r="DHN2479" s="61"/>
      <c r="DHO2479" s="54"/>
      <c r="DHP2479" s="54"/>
      <c r="DHQ2479" s="60"/>
      <c r="DHR2479" s="60"/>
      <c r="DHS2479" s="60"/>
      <c r="DHT2479" s="60"/>
      <c r="DHU2479" s="64"/>
      <c r="DHV2479" s="61"/>
      <c r="DHW2479" s="54"/>
      <c r="DHX2479" s="54"/>
      <c r="DHY2479" s="60"/>
      <c r="DHZ2479" s="60"/>
      <c r="DIA2479" s="60"/>
      <c r="DIB2479" s="60"/>
      <c r="DIC2479" s="64"/>
      <c r="DID2479" s="61"/>
      <c r="DIE2479" s="54"/>
      <c r="DIF2479" s="54"/>
      <c r="DIG2479" s="60"/>
      <c r="DIH2479" s="60"/>
      <c r="DII2479" s="60"/>
      <c r="DIJ2479" s="60"/>
      <c r="DIK2479" s="64"/>
      <c r="DIL2479" s="61"/>
      <c r="DIM2479" s="54"/>
      <c r="DIN2479" s="54"/>
      <c r="DIO2479" s="60"/>
      <c r="DIP2479" s="60"/>
      <c r="DIQ2479" s="60"/>
      <c r="DIR2479" s="60"/>
      <c r="DIS2479" s="64"/>
      <c r="DIT2479" s="61"/>
      <c r="DIU2479" s="54"/>
      <c r="DIV2479" s="54"/>
      <c r="DIW2479" s="60"/>
      <c r="DIX2479" s="60"/>
      <c r="DIY2479" s="60"/>
      <c r="DIZ2479" s="60"/>
      <c r="DJA2479" s="64"/>
      <c r="DJB2479" s="61"/>
      <c r="DJC2479" s="54"/>
      <c r="DJD2479" s="54"/>
      <c r="DJE2479" s="60"/>
      <c r="DJF2479" s="60"/>
      <c r="DJG2479" s="60"/>
      <c r="DJH2479" s="60"/>
      <c r="DJI2479" s="64"/>
      <c r="DJJ2479" s="61"/>
      <c r="DJK2479" s="54"/>
      <c r="DJL2479" s="54"/>
      <c r="DJM2479" s="60"/>
      <c r="DJN2479" s="60"/>
      <c r="DJO2479" s="60"/>
      <c r="DJP2479" s="60"/>
      <c r="DJQ2479" s="64"/>
      <c r="DJR2479" s="61"/>
      <c r="DJS2479" s="54"/>
      <c r="DJT2479" s="54"/>
      <c r="DJU2479" s="60"/>
      <c r="DJV2479" s="60"/>
      <c r="DJW2479" s="60"/>
      <c r="DJX2479" s="60"/>
      <c r="DJY2479" s="64"/>
      <c r="DJZ2479" s="61"/>
      <c r="DKA2479" s="54"/>
      <c r="DKB2479" s="54"/>
      <c r="DKC2479" s="60"/>
      <c r="DKD2479" s="60"/>
      <c r="DKE2479" s="60"/>
      <c r="DKF2479" s="60"/>
      <c r="DKG2479" s="64"/>
      <c r="DKH2479" s="61"/>
      <c r="DKI2479" s="54"/>
      <c r="DKJ2479" s="54"/>
      <c r="DKK2479" s="60"/>
      <c r="DKL2479" s="60"/>
      <c r="DKM2479" s="60"/>
      <c r="DKN2479" s="60"/>
      <c r="DKO2479" s="64"/>
      <c r="DKP2479" s="61"/>
      <c r="DKQ2479" s="54"/>
      <c r="DKR2479" s="54"/>
      <c r="DKS2479" s="60"/>
      <c r="DKT2479" s="60"/>
      <c r="DKU2479" s="60"/>
      <c r="DKV2479" s="60"/>
      <c r="DKW2479" s="64"/>
      <c r="DKX2479" s="61"/>
      <c r="DKY2479" s="54"/>
      <c r="DKZ2479" s="54"/>
      <c r="DLA2479" s="60"/>
      <c r="DLB2479" s="60"/>
      <c r="DLC2479" s="60"/>
      <c r="DLD2479" s="60"/>
      <c r="DLE2479" s="64"/>
      <c r="DLF2479" s="61"/>
      <c r="DLG2479" s="54"/>
      <c r="DLH2479" s="54"/>
      <c r="DLI2479" s="60"/>
      <c r="DLJ2479" s="60"/>
      <c r="DLK2479" s="60"/>
      <c r="DLL2479" s="60"/>
      <c r="DLM2479" s="64"/>
      <c r="DLN2479" s="61"/>
      <c r="DLO2479" s="54"/>
      <c r="DLP2479" s="54"/>
      <c r="DLQ2479" s="60"/>
      <c r="DLR2479" s="60"/>
      <c r="DLS2479" s="60"/>
      <c r="DLT2479" s="60"/>
      <c r="DLU2479" s="64"/>
      <c r="DLV2479" s="61"/>
      <c r="DLW2479" s="54"/>
      <c r="DLX2479" s="54"/>
      <c r="DLY2479" s="60"/>
      <c r="DLZ2479" s="60"/>
      <c r="DMA2479" s="60"/>
      <c r="DMB2479" s="60"/>
      <c r="DMC2479" s="64"/>
      <c r="DMD2479" s="61"/>
      <c r="DME2479" s="54"/>
      <c r="DMF2479" s="54"/>
      <c r="DMG2479" s="60"/>
      <c r="DMH2479" s="60"/>
      <c r="DMI2479" s="60"/>
      <c r="DMJ2479" s="60"/>
      <c r="DMK2479" s="64"/>
      <c r="DML2479" s="61"/>
      <c r="DMM2479" s="54"/>
      <c r="DMN2479" s="54"/>
      <c r="DMO2479" s="60"/>
      <c r="DMP2479" s="60"/>
      <c r="DMQ2479" s="60"/>
      <c r="DMR2479" s="60"/>
      <c r="DMS2479" s="64"/>
      <c r="DMT2479" s="61"/>
      <c r="DMU2479" s="54"/>
      <c r="DMV2479" s="54"/>
      <c r="DMW2479" s="60"/>
      <c r="DMX2479" s="60"/>
      <c r="DMY2479" s="60"/>
      <c r="DMZ2479" s="60"/>
      <c r="DNA2479" s="64"/>
      <c r="DNB2479" s="61"/>
      <c r="DNC2479" s="54"/>
      <c r="DND2479" s="54"/>
      <c r="DNE2479" s="60"/>
      <c r="DNF2479" s="60"/>
      <c r="DNG2479" s="60"/>
      <c r="DNH2479" s="60"/>
      <c r="DNI2479" s="64"/>
      <c r="DNJ2479" s="61"/>
      <c r="DNK2479" s="54"/>
      <c r="DNL2479" s="54"/>
      <c r="DNM2479" s="60"/>
      <c r="DNN2479" s="60"/>
      <c r="DNO2479" s="60"/>
      <c r="DNP2479" s="60"/>
      <c r="DNQ2479" s="64"/>
      <c r="DNR2479" s="61"/>
      <c r="DNS2479" s="54"/>
      <c r="DNT2479" s="54"/>
      <c r="DNU2479" s="60"/>
      <c r="DNV2479" s="60"/>
      <c r="DNW2479" s="60"/>
      <c r="DNX2479" s="60"/>
      <c r="DNY2479" s="64"/>
      <c r="DNZ2479" s="61"/>
      <c r="DOA2479" s="54"/>
      <c r="DOB2479" s="54"/>
      <c r="DOC2479" s="60"/>
      <c r="DOD2479" s="60"/>
      <c r="DOE2479" s="60"/>
      <c r="DOF2479" s="60"/>
      <c r="DOG2479" s="64"/>
      <c r="DOH2479" s="61"/>
      <c r="DOI2479" s="54"/>
      <c r="DOJ2479" s="54"/>
      <c r="DOK2479" s="60"/>
      <c r="DOL2479" s="60"/>
      <c r="DOM2479" s="60"/>
      <c r="DON2479" s="60"/>
      <c r="DOO2479" s="64"/>
      <c r="DOP2479" s="61"/>
      <c r="DOQ2479" s="54"/>
      <c r="DOR2479" s="54"/>
      <c r="DOS2479" s="60"/>
      <c r="DOT2479" s="60"/>
      <c r="DOU2479" s="60"/>
      <c r="DOV2479" s="60"/>
      <c r="DOW2479" s="64"/>
      <c r="DOX2479" s="61"/>
      <c r="DOY2479" s="54"/>
      <c r="DOZ2479" s="54"/>
      <c r="DPA2479" s="60"/>
      <c r="DPB2479" s="60"/>
      <c r="DPC2479" s="60"/>
      <c r="DPD2479" s="60"/>
      <c r="DPE2479" s="64"/>
      <c r="DPF2479" s="61"/>
      <c r="DPG2479" s="54"/>
      <c r="DPH2479" s="54"/>
      <c r="DPI2479" s="60"/>
      <c r="DPJ2479" s="60"/>
      <c r="DPK2479" s="60"/>
      <c r="DPL2479" s="60"/>
      <c r="DPM2479" s="64"/>
      <c r="DPN2479" s="61"/>
      <c r="DPO2479" s="54"/>
      <c r="DPP2479" s="54"/>
      <c r="DPQ2479" s="60"/>
      <c r="DPR2479" s="60"/>
      <c r="DPS2479" s="60"/>
      <c r="DPT2479" s="60"/>
      <c r="DPU2479" s="64"/>
      <c r="DPV2479" s="61"/>
      <c r="DPW2479" s="54"/>
      <c r="DPX2479" s="54"/>
      <c r="DPY2479" s="60"/>
      <c r="DPZ2479" s="60"/>
      <c r="DQA2479" s="60"/>
      <c r="DQB2479" s="60"/>
      <c r="DQC2479" s="64"/>
      <c r="DQD2479" s="61"/>
      <c r="DQE2479" s="54"/>
      <c r="DQF2479" s="54"/>
      <c r="DQG2479" s="60"/>
      <c r="DQH2479" s="60"/>
      <c r="DQI2479" s="60"/>
      <c r="DQJ2479" s="60"/>
      <c r="DQK2479" s="64"/>
      <c r="DQL2479" s="61"/>
      <c r="DQM2479" s="54"/>
      <c r="DQN2479" s="54"/>
      <c r="DQO2479" s="60"/>
      <c r="DQP2479" s="60"/>
      <c r="DQQ2479" s="60"/>
      <c r="DQR2479" s="60"/>
      <c r="DQS2479" s="64"/>
      <c r="DQT2479" s="61"/>
      <c r="DQU2479" s="54"/>
      <c r="DQV2479" s="54"/>
      <c r="DQW2479" s="60"/>
      <c r="DQX2479" s="60"/>
      <c r="DQY2479" s="60"/>
      <c r="DQZ2479" s="60"/>
      <c r="DRA2479" s="64"/>
      <c r="DRB2479" s="61"/>
      <c r="DRC2479" s="54"/>
      <c r="DRD2479" s="54"/>
      <c r="DRE2479" s="60"/>
      <c r="DRF2479" s="60"/>
      <c r="DRG2479" s="60"/>
      <c r="DRH2479" s="60"/>
      <c r="DRI2479" s="64"/>
      <c r="DRJ2479" s="61"/>
      <c r="DRK2479" s="54"/>
      <c r="DRL2479" s="54"/>
      <c r="DRM2479" s="60"/>
      <c r="DRN2479" s="60"/>
      <c r="DRO2479" s="60"/>
      <c r="DRP2479" s="60"/>
      <c r="DRQ2479" s="64"/>
      <c r="DRR2479" s="61"/>
      <c r="DRS2479" s="54"/>
      <c r="DRT2479" s="54"/>
      <c r="DRU2479" s="60"/>
      <c r="DRV2479" s="60"/>
      <c r="DRW2479" s="60"/>
      <c r="DRX2479" s="60"/>
      <c r="DRY2479" s="64"/>
      <c r="DRZ2479" s="61"/>
      <c r="DSA2479" s="54"/>
      <c r="DSB2479" s="54"/>
      <c r="DSC2479" s="60"/>
      <c r="DSD2479" s="60"/>
      <c r="DSE2479" s="60"/>
      <c r="DSF2479" s="60"/>
      <c r="DSG2479" s="64"/>
      <c r="DSH2479" s="61"/>
      <c r="DSI2479" s="54"/>
      <c r="DSJ2479" s="54"/>
      <c r="DSK2479" s="60"/>
      <c r="DSL2479" s="60"/>
      <c r="DSM2479" s="60"/>
      <c r="DSN2479" s="60"/>
      <c r="DSO2479" s="64"/>
      <c r="DSP2479" s="61"/>
      <c r="DSQ2479" s="54"/>
      <c r="DSR2479" s="54"/>
      <c r="DSS2479" s="60"/>
      <c r="DST2479" s="60"/>
      <c r="DSU2479" s="60"/>
      <c r="DSV2479" s="60"/>
      <c r="DSW2479" s="64"/>
      <c r="DSX2479" s="61"/>
      <c r="DSY2479" s="54"/>
      <c r="DSZ2479" s="54"/>
      <c r="DTA2479" s="60"/>
      <c r="DTB2479" s="60"/>
      <c r="DTC2479" s="60"/>
      <c r="DTD2479" s="60"/>
      <c r="DTE2479" s="64"/>
      <c r="DTF2479" s="61"/>
      <c r="DTG2479" s="54"/>
      <c r="DTH2479" s="54"/>
      <c r="DTI2479" s="60"/>
      <c r="DTJ2479" s="60"/>
      <c r="DTK2479" s="60"/>
      <c r="DTL2479" s="60"/>
      <c r="DTM2479" s="64"/>
      <c r="DTN2479" s="61"/>
      <c r="DTO2479" s="54"/>
      <c r="DTP2479" s="54"/>
      <c r="DTQ2479" s="60"/>
      <c r="DTR2479" s="60"/>
      <c r="DTS2479" s="60"/>
      <c r="DTT2479" s="60"/>
      <c r="DTU2479" s="64"/>
      <c r="DTV2479" s="61"/>
      <c r="DTW2479" s="54"/>
      <c r="DTX2479" s="54"/>
      <c r="DTY2479" s="60"/>
      <c r="DTZ2479" s="60"/>
      <c r="DUA2479" s="60"/>
      <c r="DUB2479" s="60"/>
      <c r="DUC2479" s="64"/>
      <c r="DUD2479" s="61"/>
      <c r="DUE2479" s="54"/>
      <c r="DUF2479" s="54"/>
      <c r="DUG2479" s="60"/>
      <c r="DUH2479" s="60"/>
      <c r="DUI2479" s="60"/>
      <c r="DUJ2479" s="60"/>
      <c r="DUK2479" s="64"/>
      <c r="DUL2479" s="61"/>
      <c r="DUM2479" s="54"/>
      <c r="DUN2479" s="54"/>
      <c r="DUO2479" s="60"/>
      <c r="DUP2479" s="60"/>
      <c r="DUQ2479" s="60"/>
      <c r="DUR2479" s="60"/>
      <c r="DUS2479" s="64"/>
      <c r="DUT2479" s="61"/>
      <c r="DUU2479" s="54"/>
      <c r="DUV2479" s="54"/>
      <c r="DUW2479" s="60"/>
      <c r="DUX2479" s="60"/>
      <c r="DUY2479" s="60"/>
      <c r="DUZ2479" s="60"/>
      <c r="DVA2479" s="64"/>
      <c r="DVB2479" s="61"/>
      <c r="DVC2479" s="54"/>
      <c r="DVD2479" s="54"/>
      <c r="DVE2479" s="60"/>
      <c r="DVF2479" s="60"/>
      <c r="DVG2479" s="60"/>
      <c r="DVH2479" s="60"/>
      <c r="DVI2479" s="64"/>
      <c r="DVJ2479" s="61"/>
      <c r="DVK2479" s="54"/>
      <c r="DVL2479" s="54"/>
      <c r="DVM2479" s="60"/>
      <c r="DVN2479" s="60"/>
      <c r="DVO2479" s="60"/>
      <c r="DVP2479" s="60"/>
      <c r="DVQ2479" s="64"/>
      <c r="DVR2479" s="61"/>
      <c r="DVS2479" s="54"/>
      <c r="DVT2479" s="54"/>
      <c r="DVU2479" s="60"/>
      <c r="DVV2479" s="60"/>
      <c r="DVW2479" s="60"/>
      <c r="DVX2479" s="60"/>
      <c r="DVY2479" s="64"/>
      <c r="DVZ2479" s="61"/>
      <c r="DWA2479" s="54"/>
      <c r="DWB2479" s="54"/>
      <c r="DWC2479" s="60"/>
      <c r="DWD2479" s="60"/>
      <c r="DWE2479" s="60"/>
      <c r="DWF2479" s="60"/>
      <c r="DWG2479" s="64"/>
      <c r="DWH2479" s="61"/>
      <c r="DWI2479" s="54"/>
      <c r="DWJ2479" s="54"/>
      <c r="DWK2479" s="60"/>
      <c r="DWL2479" s="60"/>
      <c r="DWM2479" s="60"/>
      <c r="DWN2479" s="60"/>
      <c r="DWO2479" s="64"/>
      <c r="DWP2479" s="61"/>
      <c r="DWQ2479" s="54"/>
      <c r="DWR2479" s="54"/>
      <c r="DWS2479" s="60"/>
      <c r="DWT2479" s="60"/>
      <c r="DWU2479" s="60"/>
      <c r="DWV2479" s="60"/>
      <c r="DWW2479" s="64"/>
      <c r="DWX2479" s="61"/>
      <c r="DWY2479" s="54"/>
      <c r="DWZ2479" s="54"/>
      <c r="DXA2479" s="60"/>
      <c r="DXB2479" s="60"/>
      <c r="DXC2479" s="60"/>
      <c r="DXD2479" s="60"/>
      <c r="DXE2479" s="64"/>
      <c r="DXF2479" s="61"/>
      <c r="DXG2479" s="54"/>
      <c r="DXH2479" s="54"/>
      <c r="DXI2479" s="60"/>
      <c r="DXJ2479" s="60"/>
      <c r="DXK2479" s="60"/>
      <c r="DXL2479" s="60"/>
      <c r="DXM2479" s="64"/>
      <c r="DXN2479" s="61"/>
      <c r="DXO2479" s="54"/>
      <c r="DXP2479" s="54"/>
      <c r="DXQ2479" s="60"/>
      <c r="DXR2479" s="60"/>
      <c r="DXS2479" s="60"/>
      <c r="DXT2479" s="60"/>
      <c r="DXU2479" s="64"/>
      <c r="DXV2479" s="61"/>
      <c r="DXW2479" s="54"/>
      <c r="DXX2479" s="54"/>
      <c r="DXY2479" s="60"/>
      <c r="DXZ2479" s="60"/>
      <c r="DYA2479" s="60"/>
      <c r="DYB2479" s="60"/>
      <c r="DYC2479" s="64"/>
      <c r="DYD2479" s="61"/>
      <c r="DYE2479" s="54"/>
      <c r="DYF2479" s="54"/>
      <c r="DYG2479" s="60"/>
      <c r="DYH2479" s="60"/>
      <c r="DYI2479" s="60"/>
      <c r="DYJ2479" s="60"/>
      <c r="DYK2479" s="64"/>
      <c r="DYL2479" s="61"/>
      <c r="DYM2479" s="54"/>
      <c r="DYN2479" s="54"/>
      <c r="DYO2479" s="60"/>
      <c r="DYP2479" s="60"/>
      <c r="DYQ2479" s="60"/>
      <c r="DYR2479" s="60"/>
      <c r="DYS2479" s="64"/>
      <c r="DYT2479" s="61"/>
      <c r="DYU2479" s="54"/>
      <c r="DYV2479" s="54"/>
      <c r="DYW2479" s="60"/>
      <c r="DYX2479" s="60"/>
      <c r="DYY2479" s="60"/>
      <c r="DYZ2479" s="60"/>
      <c r="DZA2479" s="64"/>
      <c r="DZB2479" s="61"/>
      <c r="DZC2479" s="54"/>
      <c r="DZD2479" s="54"/>
      <c r="DZE2479" s="60"/>
      <c r="DZF2479" s="60"/>
      <c r="DZG2479" s="60"/>
      <c r="DZH2479" s="60"/>
      <c r="DZI2479" s="64"/>
      <c r="DZJ2479" s="61"/>
      <c r="DZK2479" s="54"/>
      <c r="DZL2479" s="54"/>
      <c r="DZM2479" s="60"/>
      <c r="DZN2479" s="60"/>
      <c r="DZO2479" s="60"/>
      <c r="DZP2479" s="60"/>
      <c r="DZQ2479" s="64"/>
      <c r="DZR2479" s="61"/>
      <c r="DZS2479" s="54"/>
      <c r="DZT2479" s="54"/>
      <c r="DZU2479" s="60"/>
      <c r="DZV2479" s="60"/>
      <c r="DZW2479" s="60"/>
      <c r="DZX2479" s="60"/>
      <c r="DZY2479" s="64"/>
      <c r="DZZ2479" s="61"/>
      <c r="EAA2479" s="54"/>
      <c r="EAB2479" s="54"/>
      <c r="EAC2479" s="60"/>
      <c r="EAD2479" s="60"/>
      <c r="EAE2479" s="60"/>
      <c r="EAF2479" s="60"/>
      <c r="EAG2479" s="64"/>
      <c r="EAH2479" s="61"/>
      <c r="EAI2479" s="54"/>
      <c r="EAJ2479" s="54"/>
      <c r="EAK2479" s="60"/>
      <c r="EAL2479" s="60"/>
      <c r="EAM2479" s="60"/>
      <c r="EAN2479" s="60"/>
      <c r="EAO2479" s="64"/>
      <c r="EAP2479" s="61"/>
      <c r="EAQ2479" s="54"/>
      <c r="EAR2479" s="54"/>
      <c r="EAS2479" s="60"/>
      <c r="EAT2479" s="60"/>
      <c r="EAU2479" s="60"/>
      <c r="EAV2479" s="60"/>
      <c r="EAW2479" s="64"/>
      <c r="EAX2479" s="61"/>
      <c r="EAY2479" s="54"/>
      <c r="EAZ2479" s="54"/>
      <c r="EBA2479" s="60"/>
      <c r="EBB2479" s="60"/>
      <c r="EBC2479" s="60"/>
      <c r="EBD2479" s="60"/>
      <c r="EBE2479" s="64"/>
      <c r="EBF2479" s="61"/>
      <c r="EBG2479" s="54"/>
      <c r="EBH2479" s="54"/>
      <c r="EBI2479" s="60"/>
      <c r="EBJ2479" s="60"/>
      <c r="EBK2479" s="60"/>
      <c r="EBL2479" s="60"/>
      <c r="EBM2479" s="64"/>
      <c r="EBN2479" s="61"/>
      <c r="EBO2479" s="54"/>
      <c r="EBP2479" s="54"/>
      <c r="EBQ2479" s="60"/>
      <c r="EBR2479" s="60"/>
      <c r="EBS2479" s="60"/>
      <c r="EBT2479" s="60"/>
      <c r="EBU2479" s="64"/>
      <c r="EBV2479" s="61"/>
      <c r="EBW2479" s="54"/>
      <c r="EBX2479" s="54"/>
      <c r="EBY2479" s="60"/>
      <c r="EBZ2479" s="60"/>
      <c r="ECA2479" s="60"/>
      <c r="ECB2479" s="60"/>
      <c r="ECC2479" s="64"/>
      <c r="ECD2479" s="61"/>
      <c r="ECE2479" s="54"/>
      <c r="ECF2479" s="54"/>
      <c r="ECG2479" s="60"/>
      <c r="ECH2479" s="60"/>
      <c r="ECI2479" s="60"/>
      <c r="ECJ2479" s="60"/>
      <c r="ECK2479" s="64"/>
      <c r="ECL2479" s="61"/>
      <c r="ECM2479" s="54"/>
      <c r="ECN2479" s="54"/>
      <c r="ECO2479" s="60"/>
      <c r="ECP2479" s="60"/>
      <c r="ECQ2479" s="60"/>
      <c r="ECR2479" s="60"/>
      <c r="ECS2479" s="64"/>
      <c r="ECT2479" s="61"/>
      <c r="ECU2479" s="54"/>
      <c r="ECV2479" s="54"/>
      <c r="ECW2479" s="60"/>
      <c r="ECX2479" s="60"/>
      <c r="ECY2479" s="60"/>
      <c r="ECZ2479" s="60"/>
      <c r="EDA2479" s="64"/>
      <c r="EDB2479" s="61"/>
      <c r="EDC2479" s="54"/>
      <c r="EDD2479" s="54"/>
      <c r="EDE2479" s="60"/>
      <c r="EDF2479" s="60"/>
      <c r="EDG2479" s="60"/>
      <c r="EDH2479" s="60"/>
      <c r="EDI2479" s="64"/>
      <c r="EDJ2479" s="61"/>
      <c r="EDK2479" s="54"/>
      <c r="EDL2479" s="54"/>
      <c r="EDM2479" s="60"/>
      <c r="EDN2479" s="60"/>
      <c r="EDO2479" s="60"/>
      <c r="EDP2479" s="60"/>
      <c r="EDQ2479" s="64"/>
      <c r="EDR2479" s="61"/>
      <c r="EDS2479" s="54"/>
      <c r="EDT2479" s="54"/>
      <c r="EDU2479" s="60"/>
      <c r="EDV2479" s="60"/>
      <c r="EDW2479" s="60"/>
      <c r="EDX2479" s="60"/>
      <c r="EDY2479" s="64"/>
      <c r="EDZ2479" s="61"/>
      <c r="EEA2479" s="54"/>
      <c r="EEB2479" s="54"/>
      <c r="EEC2479" s="60"/>
      <c r="EED2479" s="60"/>
      <c r="EEE2479" s="60"/>
      <c r="EEF2479" s="60"/>
      <c r="EEG2479" s="64"/>
      <c r="EEH2479" s="61"/>
      <c r="EEI2479" s="54"/>
      <c r="EEJ2479" s="54"/>
      <c r="EEK2479" s="60"/>
      <c r="EEL2479" s="60"/>
      <c r="EEM2479" s="60"/>
      <c r="EEN2479" s="60"/>
      <c r="EEO2479" s="64"/>
      <c r="EEP2479" s="61"/>
      <c r="EEQ2479" s="54"/>
      <c r="EER2479" s="54"/>
      <c r="EES2479" s="60"/>
      <c r="EET2479" s="60"/>
      <c r="EEU2479" s="60"/>
      <c r="EEV2479" s="60"/>
      <c r="EEW2479" s="64"/>
      <c r="EEX2479" s="61"/>
      <c r="EEY2479" s="54"/>
      <c r="EEZ2479" s="54"/>
      <c r="EFA2479" s="60"/>
      <c r="EFB2479" s="60"/>
      <c r="EFC2479" s="60"/>
      <c r="EFD2479" s="60"/>
      <c r="EFE2479" s="64"/>
      <c r="EFF2479" s="61"/>
      <c r="EFG2479" s="54"/>
      <c r="EFH2479" s="54"/>
      <c r="EFI2479" s="60"/>
      <c r="EFJ2479" s="60"/>
      <c r="EFK2479" s="60"/>
      <c r="EFL2479" s="60"/>
      <c r="EFM2479" s="64"/>
      <c r="EFN2479" s="61"/>
      <c r="EFO2479" s="54"/>
      <c r="EFP2479" s="54"/>
      <c r="EFQ2479" s="60"/>
      <c r="EFR2479" s="60"/>
      <c r="EFS2479" s="60"/>
      <c r="EFT2479" s="60"/>
      <c r="EFU2479" s="64"/>
      <c r="EFV2479" s="61"/>
      <c r="EFW2479" s="54"/>
      <c r="EFX2479" s="54"/>
      <c r="EFY2479" s="60"/>
      <c r="EFZ2479" s="60"/>
      <c r="EGA2479" s="60"/>
      <c r="EGB2479" s="60"/>
      <c r="EGC2479" s="64"/>
      <c r="EGD2479" s="61"/>
      <c r="EGE2479" s="54"/>
      <c r="EGF2479" s="54"/>
      <c r="EGG2479" s="60"/>
      <c r="EGH2479" s="60"/>
      <c r="EGI2479" s="60"/>
      <c r="EGJ2479" s="60"/>
      <c r="EGK2479" s="64"/>
      <c r="EGL2479" s="61"/>
      <c r="EGM2479" s="54"/>
      <c r="EGN2479" s="54"/>
      <c r="EGO2479" s="60"/>
      <c r="EGP2479" s="60"/>
      <c r="EGQ2479" s="60"/>
      <c r="EGR2479" s="60"/>
      <c r="EGS2479" s="64"/>
      <c r="EGT2479" s="61"/>
      <c r="EGU2479" s="54"/>
      <c r="EGV2479" s="54"/>
      <c r="EGW2479" s="60"/>
      <c r="EGX2479" s="60"/>
      <c r="EGY2479" s="60"/>
      <c r="EGZ2479" s="60"/>
      <c r="EHA2479" s="64"/>
      <c r="EHB2479" s="61"/>
      <c r="EHC2479" s="54"/>
      <c r="EHD2479" s="54"/>
      <c r="EHE2479" s="60"/>
      <c r="EHF2479" s="60"/>
      <c r="EHG2479" s="60"/>
      <c r="EHH2479" s="60"/>
      <c r="EHI2479" s="64"/>
      <c r="EHJ2479" s="61"/>
      <c r="EHK2479" s="54"/>
      <c r="EHL2479" s="54"/>
      <c r="EHM2479" s="60"/>
      <c r="EHN2479" s="60"/>
      <c r="EHO2479" s="60"/>
      <c r="EHP2479" s="60"/>
      <c r="EHQ2479" s="64"/>
      <c r="EHR2479" s="61"/>
      <c r="EHS2479" s="54"/>
      <c r="EHT2479" s="54"/>
      <c r="EHU2479" s="60"/>
      <c r="EHV2479" s="60"/>
      <c r="EHW2479" s="60"/>
      <c r="EHX2479" s="60"/>
      <c r="EHY2479" s="64"/>
      <c r="EHZ2479" s="61"/>
      <c r="EIA2479" s="54"/>
      <c r="EIB2479" s="54"/>
      <c r="EIC2479" s="60"/>
      <c r="EID2479" s="60"/>
      <c r="EIE2479" s="60"/>
      <c r="EIF2479" s="60"/>
      <c r="EIG2479" s="64"/>
      <c r="EIH2479" s="61"/>
      <c r="EII2479" s="54"/>
      <c r="EIJ2479" s="54"/>
      <c r="EIK2479" s="60"/>
      <c r="EIL2479" s="60"/>
      <c r="EIM2479" s="60"/>
      <c r="EIN2479" s="60"/>
      <c r="EIO2479" s="64"/>
      <c r="EIP2479" s="61"/>
      <c r="EIQ2479" s="54"/>
      <c r="EIR2479" s="54"/>
      <c r="EIS2479" s="60"/>
      <c r="EIT2479" s="60"/>
      <c r="EIU2479" s="60"/>
      <c r="EIV2479" s="60"/>
      <c r="EIW2479" s="64"/>
      <c r="EIX2479" s="61"/>
      <c r="EIY2479" s="54"/>
      <c r="EIZ2479" s="54"/>
      <c r="EJA2479" s="60"/>
      <c r="EJB2479" s="60"/>
      <c r="EJC2479" s="60"/>
      <c r="EJD2479" s="60"/>
      <c r="EJE2479" s="64"/>
      <c r="EJF2479" s="61"/>
      <c r="EJG2479" s="54"/>
      <c r="EJH2479" s="54"/>
      <c r="EJI2479" s="60"/>
      <c r="EJJ2479" s="60"/>
      <c r="EJK2479" s="60"/>
      <c r="EJL2479" s="60"/>
      <c r="EJM2479" s="64"/>
      <c r="EJN2479" s="61"/>
      <c r="EJO2479" s="54"/>
      <c r="EJP2479" s="54"/>
      <c r="EJQ2479" s="60"/>
      <c r="EJR2479" s="60"/>
      <c r="EJS2479" s="60"/>
      <c r="EJT2479" s="60"/>
      <c r="EJU2479" s="64"/>
      <c r="EJV2479" s="61"/>
      <c r="EJW2479" s="54"/>
      <c r="EJX2479" s="54"/>
      <c r="EJY2479" s="60"/>
      <c r="EJZ2479" s="60"/>
      <c r="EKA2479" s="60"/>
      <c r="EKB2479" s="60"/>
      <c r="EKC2479" s="64"/>
      <c r="EKD2479" s="61"/>
      <c r="EKE2479" s="54"/>
      <c r="EKF2479" s="54"/>
      <c r="EKG2479" s="60"/>
      <c r="EKH2479" s="60"/>
      <c r="EKI2479" s="60"/>
      <c r="EKJ2479" s="60"/>
      <c r="EKK2479" s="64"/>
      <c r="EKL2479" s="61"/>
      <c r="EKM2479" s="54"/>
      <c r="EKN2479" s="54"/>
      <c r="EKO2479" s="60"/>
      <c r="EKP2479" s="60"/>
      <c r="EKQ2479" s="60"/>
      <c r="EKR2479" s="60"/>
      <c r="EKS2479" s="64"/>
      <c r="EKT2479" s="61"/>
      <c r="EKU2479" s="54"/>
      <c r="EKV2479" s="54"/>
      <c r="EKW2479" s="60"/>
      <c r="EKX2479" s="60"/>
      <c r="EKY2479" s="60"/>
      <c r="EKZ2479" s="60"/>
      <c r="ELA2479" s="64"/>
      <c r="ELB2479" s="61"/>
      <c r="ELC2479" s="54"/>
      <c r="ELD2479" s="54"/>
      <c r="ELE2479" s="60"/>
      <c r="ELF2479" s="60"/>
      <c r="ELG2479" s="60"/>
      <c r="ELH2479" s="60"/>
      <c r="ELI2479" s="64"/>
      <c r="ELJ2479" s="61"/>
      <c r="ELK2479" s="54"/>
      <c r="ELL2479" s="54"/>
      <c r="ELM2479" s="60"/>
      <c r="ELN2479" s="60"/>
      <c r="ELO2479" s="60"/>
      <c r="ELP2479" s="60"/>
      <c r="ELQ2479" s="64"/>
      <c r="ELR2479" s="61"/>
      <c r="ELS2479" s="54"/>
      <c r="ELT2479" s="54"/>
      <c r="ELU2479" s="60"/>
      <c r="ELV2479" s="60"/>
      <c r="ELW2479" s="60"/>
      <c r="ELX2479" s="60"/>
      <c r="ELY2479" s="64"/>
      <c r="ELZ2479" s="61"/>
      <c r="EMA2479" s="54"/>
      <c r="EMB2479" s="54"/>
      <c r="EMC2479" s="60"/>
      <c r="EMD2479" s="60"/>
      <c r="EME2479" s="60"/>
      <c r="EMF2479" s="60"/>
      <c r="EMG2479" s="64"/>
      <c r="EMH2479" s="61"/>
      <c r="EMI2479" s="54"/>
      <c r="EMJ2479" s="54"/>
      <c r="EMK2479" s="60"/>
      <c r="EML2479" s="60"/>
      <c r="EMM2479" s="60"/>
      <c r="EMN2479" s="60"/>
      <c r="EMO2479" s="64"/>
      <c r="EMP2479" s="61"/>
      <c r="EMQ2479" s="54"/>
      <c r="EMR2479" s="54"/>
      <c r="EMS2479" s="60"/>
      <c r="EMT2479" s="60"/>
      <c r="EMU2479" s="60"/>
      <c r="EMV2479" s="60"/>
      <c r="EMW2479" s="64"/>
      <c r="EMX2479" s="61"/>
      <c r="EMY2479" s="54"/>
      <c r="EMZ2479" s="54"/>
      <c r="ENA2479" s="60"/>
      <c r="ENB2479" s="60"/>
      <c r="ENC2479" s="60"/>
      <c r="END2479" s="60"/>
      <c r="ENE2479" s="64"/>
      <c r="ENF2479" s="61"/>
      <c r="ENG2479" s="54"/>
      <c r="ENH2479" s="54"/>
      <c r="ENI2479" s="60"/>
      <c r="ENJ2479" s="60"/>
      <c r="ENK2479" s="60"/>
      <c r="ENL2479" s="60"/>
      <c r="ENM2479" s="64"/>
      <c r="ENN2479" s="61"/>
      <c r="ENO2479" s="54"/>
      <c r="ENP2479" s="54"/>
      <c r="ENQ2479" s="60"/>
      <c r="ENR2479" s="60"/>
      <c r="ENS2479" s="60"/>
      <c r="ENT2479" s="60"/>
      <c r="ENU2479" s="64"/>
      <c r="ENV2479" s="61"/>
      <c r="ENW2479" s="54"/>
      <c r="ENX2479" s="54"/>
      <c r="ENY2479" s="60"/>
      <c r="ENZ2479" s="60"/>
      <c r="EOA2479" s="60"/>
      <c r="EOB2479" s="60"/>
      <c r="EOC2479" s="64"/>
      <c r="EOD2479" s="61"/>
      <c r="EOE2479" s="54"/>
      <c r="EOF2479" s="54"/>
      <c r="EOG2479" s="60"/>
      <c r="EOH2479" s="60"/>
      <c r="EOI2479" s="60"/>
      <c r="EOJ2479" s="60"/>
      <c r="EOK2479" s="64"/>
      <c r="EOL2479" s="61"/>
      <c r="EOM2479" s="54"/>
      <c r="EON2479" s="54"/>
      <c r="EOO2479" s="60"/>
      <c r="EOP2479" s="60"/>
      <c r="EOQ2479" s="60"/>
      <c r="EOR2479" s="60"/>
      <c r="EOS2479" s="64"/>
      <c r="EOT2479" s="61"/>
      <c r="EOU2479" s="54"/>
      <c r="EOV2479" s="54"/>
      <c r="EOW2479" s="60"/>
      <c r="EOX2479" s="60"/>
      <c r="EOY2479" s="60"/>
      <c r="EOZ2479" s="60"/>
      <c r="EPA2479" s="64"/>
      <c r="EPB2479" s="61"/>
      <c r="EPC2479" s="54"/>
      <c r="EPD2479" s="54"/>
      <c r="EPE2479" s="60"/>
      <c r="EPF2479" s="60"/>
      <c r="EPG2479" s="60"/>
      <c r="EPH2479" s="60"/>
      <c r="EPI2479" s="64"/>
      <c r="EPJ2479" s="61"/>
      <c r="EPK2479" s="54"/>
      <c r="EPL2479" s="54"/>
      <c r="EPM2479" s="60"/>
      <c r="EPN2479" s="60"/>
      <c r="EPO2479" s="60"/>
      <c r="EPP2479" s="60"/>
      <c r="EPQ2479" s="64"/>
      <c r="EPR2479" s="61"/>
      <c r="EPS2479" s="54"/>
      <c r="EPT2479" s="54"/>
      <c r="EPU2479" s="60"/>
      <c r="EPV2479" s="60"/>
      <c r="EPW2479" s="60"/>
      <c r="EPX2479" s="60"/>
      <c r="EPY2479" s="64"/>
      <c r="EPZ2479" s="61"/>
      <c r="EQA2479" s="54"/>
      <c r="EQB2479" s="54"/>
      <c r="EQC2479" s="60"/>
      <c r="EQD2479" s="60"/>
      <c r="EQE2479" s="60"/>
      <c r="EQF2479" s="60"/>
      <c r="EQG2479" s="64"/>
      <c r="EQH2479" s="61"/>
      <c r="EQI2479" s="54"/>
      <c r="EQJ2479" s="54"/>
      <c r="EQK2479" s="60"/>
      <c r="EQL2479" s="60"/>
      <c r="EQM2479" s="60"/>
      <c r="EQN2479" s="60"/>
      <c r="EQO2479" s="64"/>
      <c r="EQP2479" s="61"/>
      <c r="EQQ2479" s="54"/>
      <c r="EQR2479" s="54"/>
      <c r="EQS2479" s="60"/>
      <c r="EQT2479" s="60"/>
      <c r="EQU2479" s="60"/>
      <c r="EQV2479" s="60"/>
      <c r="EQW2479" s="64"/>
      <c r="EQX2479" s="61"/>
      <c r="EQY2479" s="54"/>
      <c r="EQZ2479" s="54"/>
      <c r="ERA2479" s="60"/>
      <c r="ERB2479" s="60"/>
      <c r="ERC2479" s="60"/>
      <c r="ERD2479" s="60"/>
      <c r="ERE2479" s="64"/>
      <c r="ERF2479" s="61"/>
      <c r="ERG2479" s="54"/>
      <c r="ERH2479" s="54"/>
      <c r="ERI2479" s="60"/>
      <c r="ERJ2479" s="60"/>
      <c r="ERK2479" s="60"/>
      <c r="ERL2479" s="60"/>
      <c r="ERM2479" s="64"/>
      <c r="ERN2479" s="61"/>
      <c r="ERO2479" s="54"/>
      <c r="ERP2479" s="54"/>
      <c r="ERQ2479" s="60"/>
      <c r="ERR2479" s="60"/>
      <c r="ERS2479" s="60"/>
      <c r="ERT2479" s="60"/>
      <c r="ERU2479" s="64"/>
      <c r="ERV2479" s="61"/>
      <c r="ERW2479" s="54"/>
      <c r="ERX2479" s="54"/>
      <c r="ERY2479" s="60"/>
      <c r="ERZ2479" s="60"/>
      <c r="ESA2479" s="60"/>
      <c r="ESB2479" s="60"/>
      <c r="ESC2479" s="64"/>
      <c r="ESD2479" s="61"/>
      <c r="ESE2479" s="54"/>
      <c r="ESF2479" s="54"/>
      <c r="ESG2479" s="60"/>
      <c r="ESH2479" s="60"/>
      <c r="ESI2479" s="60"/>
      <c r="ESJ2479" s="60"/>
      <c r="ESK2479" s="64"/>
      <c r="ESL2479" s="61"/>
      <c r="ESM2479" s="54"/>
      <c r="ESN2479" s="54"/>
      <c r="ESO2479" s="60"/>
      <c r="ESP2479" s="60"/>
      <c r="ESQ2479" s="60"/>
      <c r="ESR2479" s="60"/>
      <c r="ESS2479" s="64"/>
      <c r="EST2479" s="61"/>
      <c r="ESU2479" s="54"/>
      <c r="ESV2479" s="54"/>
      <c r="ESW2479" s="60"/>
      <c r="ESX2479" s="60"/>
      <c r="ESY2479" s="60"/>
      <c r="ESZ2479" s="60"/>
      <c r="ETA2479" s="64"/>
      <c r="ETB2479" s="61"/>
      <c r="ETC2479" s="54"/>
      <c r="ETD2479" s="54"/>
      <c r="ETE2479" s="60"/>
      <c r="ETF2479" s="60"/>
      <c r="ETG2479" s="60"/>
      <c r="ETH2479" s="60"/>
      <c r="ETI2479" s="64"/>
      <c r="ETJ2479" s="61"/>
      <c r="ETK2479" s="54"/>
      <c r="ETL2479" s="54"/>
      <c r="ETM2479" s="60"/>
      <c r="ETN2479" s="60"/>
      <c r="ETO2479" s="60"/>
      <c r="ETP2479" s="60"/>
      <c r="ETQ2479" s="64"/>
      <c r="ETR2479" s="61"/>
      <c r="ETS2479" s="54"/>
      <c r="ETT2479" s="54"/>
      <c r="ETU2479" s="60"/>
      <c r="ETV2479" s="60"/>
      <c r="ETW2479" s="60"/>
      <c r="ETX2479" s="60"/>
      <c r="ETY2479" s="64"/>
      <c r="ETZ2479" s="61"/>
      <c r="EUA2479" s="54"/>
      <c r="EUB2479" s="54"/>
      <c r="EUC2479" s="60"/>
      <c r="EUD2479" s="60"/>
      <c r="EUE2479" s="60"/>
      <c r="EUF2479" s="60"/>
      <c r="EUG2479" s="64"/>
      <c r="EUH2479" s="61"/>
      <c r="EUI2479" s="54"/>
      <c r="EUJ2479" s="54"/>
      <c r="EUK2479" s="60"/>
      <c r="EUL2479" s="60"/>
      <c r="EUM2479" s="60"/>
      <c r="EUN2479" s="60"/>
      <c r="EUO2479" s="64"/>
      <c r="EUP2479" s="61"/>
      <c r="EUQ2479" s="54"/>
      <c r="EUR2479" s="54"/>
      <c r="EUS2479" s="60"/>
      <c r="EUT2479" s="60"/>
      <c r="EUU2479" s="60"/>
      <c r="EUV2479" s="60"/>
      <c r="EUW2479" s="64"/>
      <c r="EUX2479" s="61"/>
      <c r="EUY2479" s="54"/>
      <c r="EUZ2479" s="54"/>
      <c r="EVA2479" s="60"/>
      <c r="EVB2479" s="60"/>
      <c r="EVC2479" s="60"/>
      <c r="EVD2479" s="60"/>
      <c r="EVE2479" s="64"/>
      <c r="EVF2479" s="61"/>
      <c r="EVG2479" s="54"/>
      <c r="EVH2479" s="54"/>
      <c r="EVI2479" s="60"/>
      <c r="EVJ2479" s="60"/>
      <c r="EVK2479" s="60"/>
      <c r="EVL2479" s="60"/>
      <c r="EVM2479" s="64"/>
      <c r="EVN2479" s="61"/>
      <c r="EVO2479" s="54"/>
      <c r="EVP2479" s="54"/>
      <c r="EVQ2479" s="60"/>
      <c r="EVR2479" s="60"/>
      <c r="EVS2479" s="60"/>
      <c r="EVT2479" s="60"/>
      <c r="EVU2479" s="64"/>
      <c r="EVV2479" s="61"/>
      <c r="EVW2479" s="54"/>
      <c r="EVX2479" s="54"/>
      <c r="EVY2479" s="60"/>
      <c r="EVZ2479" s="60"/>
      <c r="EWA2479" s="60"/>
      <c r="EWB2479" s="60"/>
      <c r="EWC2479" s="64"/>
      <c r="EWD2479" s="61"/>
      <c r="EWE2479" s="54"/>
      <c r="EWF2479" s="54"/>
      <c r="EWG2479" s="60"/>
      <c r="EWH2479" s="60"/>
      <c r="EWI2479" s="60"/>
      <c r="EWJ2479" s="60"/>
      <c r="EWK2479" s="64"/>
      <c r="EWL2479" s="61"/>
      <c r="EWM2479" s="54"/>
      <c r="EWN2479" s="54"/>
      <c r="EWO2479" s="60"/>
      <c r="EWP2479" s="60"/>
      <c r="EWQ2479" s="60"/>
      <c r="EWR2479" s="60"/>
      <c r="EWS2479" s="64"/>
      <c r="EWT2479" s="61"/>
      <c r="EWU2479" s="54"/>
      <c r="EWV2479" s="54"/>
      <c r="EWW2479" s="60"/>
      <c r="EWX2479" s="60"/>
      <c r="EWY2479" s="60"/>
      <c r="EWZ2479" s="60"/>
      <c r="EXA2479" s="64"/>
      <c r="EXB2479" s="61"/>
      <c r="EXC2479" s="54"/>
      <c r="EXD2479" s="54"/>
      <c r="EXE2479" s="60"/>
      <c r="EXF2479" s="60"/>
      <c r="EXG2479" s="60"/>
      <c r="EXH2479" s="60"/>
      <c r="EXI2479" s="64"/>
      <c r="EXJ2479" s="61"/>
      <c r="EXK2479" s="54"/>
      <c r="EXL2479" s="54"/>
      <c r="EXM2479" s="60"/>
      <c r="EXN2479" s="60"/>
      <c r="EXO2479" s="60"/>
      <c r="EXP2479" s="60"/>
      <c r="EXQ2479" s="64"/>
      <c r="EXR2479" s="61"/>
      <c r="EXS2479" s="54"/>
      <c r="EXT2479" s="54"/>
      <c r="EXU2479" s="60"/>
      <c r="EXV2479" s="60"/>
      <c r="EXW2479" s="60"/>
      <c r="EXX2479" s="60"/>
      <c r="EXY2479" s="64"/>
      <c r="EXZ2479" s="61"/>
      <c r="EYA2479" s="54"/>
      <c r="EYB2479" s="54"/>
      <c r="EYC2479" s="60"/>
      <c r="EYD2479" s="60"/>
      <c r="EYE2479" s="60"/>
      <c r="EYF2479" s="60"/>
      <c r="EYG2479" s="64"/>
      <c r="EYH2479" s="61"/>
      <c r="EYI2479" s="54"/>
      <c r="EYJ2479" s="54"/>
      <c r="EYK2479" s="60"/>
      <c r="EYL2479" s="60"/>
      <c r="EYM2479" s="60"/>
      <c r="EYN2479" s="60"/>
      <c r="EYO2479" s="64"/>
      <c r="EYP2479" s="61"/>
      <c r="EYQ2479" s="54"/>
      <c r="EYR2479" s="54"/>
      <c r="EYS2479" s="60"/>
      <c r="EYT2479" s="60"/>
      <c r="EYU2479" s="60"/>
      <c r="EYV2479" s="60"/>
      <c r="EYW2479" s="64"/>
      <c r="EYX2479" s="61"/>
      <c r="EYY2479" s="54"/>
      <c r="EYZ2479" s="54"/>
      <c r="EZA2479" s="60"/>
      <c r="EZB2479" s="60"/>
      <c r="EZC2479" s="60"/>
      <c r="EZD2479" s="60"/>
      <c r="EZE2479" s="64"/>
      <c r="EZF2479" s="61"/>
      <c r="EZG2479" s="54"/>
      <c r="EZH2479" s="54"/>
      <c r="EZI2479" s="60"/>
      <c r="EZJ2479" s="60"/>
      <c r="EZK2479" s="60"/>
      <c r="EZL2479" s="60"/>
      <c r="EZM2479" s="64"/>
      <c r="EZN2479" s="61"/>
      <c r="EZO2479" s="54"/>
      <c r="EZP2479" s="54"/>
      <c r="EZQ2479" s="60"/>
      <c r="EZR2479" s="60"/>
      <c r="EZS2479" s="60"/>
      <c r="EZT2479" s="60"/>
      <c r="EZU2479" s="64"/>
      <c r="EZV2479" s="61"/>
      <c r="EZW2479" s="54"/>
      <c r="EZX2479" s="54"/>
      <c r="EZY2479" s="60"/>
      <c r="EZZ2479" s="60"/>
      <c r="FAA2479" s="60"/>
      <c r="FAB2479" s="60"/>
      <c r="FAC2479" s="64"/>
      <c r="FAD2479" s="61"/>
      <c r="FAE2479" s="54"/>
      <c r="FAF2479" s="54"/>
      <c r="FAG2479" s="60"/>
      <c r="FAH2479" s="60"/>
      <c r="FAI2479" s="60"/>
      <c r="FAJ2479" s="60"/>
      <c r="FAK2479" s="64"/>
      <c r="FAL2479" s="61"/>
      <c r="FAM2479" s="54"/>
      <c r="FAN2479" s="54"/>
      <c r="FAO2479" s="60"/>
      <c r="FAP2479" s="60"/>
      <c r="FAQ2479" s="60"/>
      <c r="FAR2479" s="60"/>
      <c r="FAS2479" s="64"/>
      <c r="FAT2479" s="61"/>
      <c r="FAU2479" s="54"/>
      <c r="FAV2479" s="54"/>
      <c r="FAW2479" s="60"/>
      <c r="FAX2479" s="60"/>
      <c r="FAY2479" s="60"/>
      <c r="FAZ2479" s="60"/>
      <c r="FBA2479" s="64"/>
      <c r="FBB2479" s="61"/>
      <c r="FBC2479" s="54"/>
      <c r="FBD2479" s="54"/>
      <c r="FBE2479" s="60"/>
      <c r="FBF2479" s="60"/>
      <c r="FBG2479" s="60"/>
      <c r="FBH2479" s="60"/>
      <c r="FBI2479" s="64"/>
      <c r="FBJ2479" s="61"/>
      <c r="FBK2479" s="54"/>
      <c r="FBL2479" s="54"/>
      <c r="FBM2479" s="60"/>
      <c r="FBN2479" s="60"/>
      <c r="FBO2479" s="60"/>
      <c r="FBP2479" s="60"/>
      <c r="FBQ2479" s="64"/>
      <c r="FBR2479" s="61"/>
      <c r="FBS2479" s="54"/>
      <c r="FBT2479" s="54"/>
      <c r="FBU2479" s="60"/>
      <c r="FBV2479" s="60"/>
      <c r="FBW2479" s="60"/>
      <c r="FBX2479" s="60"/>
      <c r="FBY2479" s="64"/>
      <c r="FBZ2479" s="61"/>
      <c r="FCA2479" s="54"/>
      <c r="FCB2479" s="54"/>
      <c r="FCC2479" s="60"/>
      <c r="FCD2479" s="60"/>
      <c r="FCE2479" s="60"/>
      <c r="FCF2479" s="60"/>
      <c r="FCG2479" s="64"/>
      <c r="FCH2479" s="61"/>
      <c r="FCI2479" s="54"/>
      <c r="FCJ2479" s="54"/>
      <c r="FCK2479" s="60"/>
      <c r="FCL2479" s="60"/>
      <c r="FCM2479" s="60"/>
      <c r="FCN2479" s="60"/>
      <c r="FCO2479" s="64"/>
      <c r="FCP2479" s="61"/>
      <c r="FCQ2479" s="54"/>
      <c r="FCR2479" s="54"/>
      <c r="FCS2479" s="60"/>
      <c r="FCT2479" s="60"/>
      <c r="FCU2479" s="60"/>
      <c r="FCV2479" s="60"/>
      <c r="FCW2479" s="64"/>
      <c r="FCX2479" s="61"/>
      <c r="FCY2479" s="54"/>
      <c r="FCZ2479" s="54"/>
      <c r="FDA2479" s="60"/>
      <c r="FDB2479" s="60"/>
      <c r="FDC2479" s="60"/>
      <c r="FDD2479" s="60"/>
      <c r="FDE2479" s="64"/>
      <c r="FDF2479" s="61"/>
      <c r="FDG2479" s="54"/>
      <c r="FDH2479" s="54"/>
      <c r="FDI2479" s="60"/>
      <c r="FDJ2479" s="60"/>
      <c r="FDK2479" s="60"/>
      <c r="FDL2479" s="60"/>
      <c r="FDM2479" s="64"/>
      <c r="FDN2479" s="61"/>
      <c r="FDO2479" s="54"/>
      <c r="FDP2479" s="54"/>
      <c r="FDQ2479" s="60"/>
      <c r="FDR2479" s="60"/>
      <c r="FDS2479" s="60"/>
      <c r="FDT2479" s="60"/>
      <c r="FDU2479" s="64"/>
      <c r="FDV2479" s="61"/>
      <c r="FDW2479" s="54"/>
      <c r="FDX2479" s="54"/>
      <c r="FDY2479" s="60"/>
      <c r="FDZ2479" s="60"/>
      <c r="FEA2479" s="60"/>
      <c r="FEB2479" s="60"/>
      <c r="FEC2479" s="64"/>
      <c r="FED2479" s="61"/>
      <c r="FEE2479" s="54"/>
      <c r="FEF2479" s="54"/>
      <c r="FEG2479" s="60"/>
      <c r="FEH2479" s="60"/>
      <c r="FEI2479" s="60"/>
      <c r="FEJ2479" s="60"/>
      <c r="FEK2479" s="64"/>
      <c r="FEL2479" s="61"/>
      <c r="FEM2479" s="54"/>
      <c r="FEN2479" s="54"/>
      <c r="FEO2479" s="60"/>
      <c r="FEP2479" s="60"/>
      <c r="FEQ2479" s="60"/>
      <c r="FER2479" s="60"/>
      <c r="FES2479" s="64"/>
      <c r="FET2479" s="61"/>
      <c r="FEU2479" s="54"/>
      <c r="FEV2479" s="54"/>
      <c r="FEW2479" s="60"/>
      <c r="FEX2479" s="60"/>
      <c r="FEY2479" s="60"/>
      <c r="FEZ2479" s="60"/>
      <c r="FFA2479" s="64"/>
      <c r="FFB2479" s="61"/>
      <c r="FFC2479" s="54"/>
      <c r="FFD2479" s="54"/>
      <c r="FFE2479" s="60"/>
      <c r="FFF2479" s="60"/>
      <c r="FFG2479" s="60"/>
      <c r="FFH2479" s="60"/>
      <c r="FFI2479" s="64"/>
      <c r="FFJ2479" s="61"/>
      <c r="FFK2479" s="54"/>
      <c r="FFL2479" s="54"/>
      <c r="FFM2479" s="60"/>
      <c r="FFN2479" s="60"/>
      <c r="FFO2479" s="60"/>
      <c r="FFP2479" s="60"/>
      <c r="FFQ2479" s="64"/>
      <c r="FFR2479" s="61"/>
      <c r="FFS2479" s="54"/>
      <c r="FFT2479" s="54"/>
      <c r="FFU2479" s="60"/>
      <c r="FFV2479" s="60"/>
      <c r="FFW2479" s="60"/>
      <c r="FFX2479" s="60"/>
      <c r="FFY2479" s="64"/>
      <c r="FFZ2479" s="61"/>
      <c r="FGA2479" s="54"/>
      <c r="FGB2479" s="54"/>
      <c r="FGC2479" s="60"/>
      <c r="FGD2479" s="60"/>
      <c r="FGE2479" s="60"/>
      <c r="FGF2479" s="60"/>
      <c r="FGG2479" s="64"/>
      <c r="FGH2479" s="61"/>
      <c r="FGI2479" s="54"/>
      <c r="FGJ2479" s="54"/>
      <c r="FGK2479" s="60"/>
      <c r="FGL2479" s="60"/>
      <c r="FGM2479" s="60"/>
      <c r="FGN2479" s="60"/>
      <c r="FGO2479" s="64"/>
      <c r="FGP2479" s="61"/>
      <c r="FGQ2479" s="54"/>
      <c r="FGR2479" s="54"/>
      <c r="FGS2479" s="60"/>
      <c r="FGT2479" s="60"/>
      <c r="FGU2479" s="60"/>
      <c r="FGV2479" s="60"/>
      <c r="FGW2479" s="64"/>
      <c r="FGX2479" s="61"/>
      <c r="FGY2479" s="54"/>
      <c r="FGZ2479" s="54"/>
      <c r="FHA2479" s="60"/>
      <c r="FHB2479" s="60"/>
      <c r="FHC2479" s="60"/>
      <c r="FHD2479" s="60"/>
      <c r="FHE2479" s="64"/>
      <c r="FHF2479" s="61"/>
      <c r="FHG2479" s="54"/>
      <c r="FHH2479" s="54"/>
      <c r="FHI2479" s="60"/>
      <c r="FHJ2479" s="60"/>
      <c r="FHK2479" s="60"/>
      <c r="FHL2479" s="60"/>
      <c r="FHM2479" s="64"/>
      <c r="FHN2479" s="61"/>
      <c r="FHO2479" s="54"/>
      <c r="FHP2479" s="54"/>
      <c r="FHQ2479" s="60"/>
      <c r="FHR2479" s="60"/>
      <c r="FHS2479" s="60"/>
      <c r="FHT2479" s="60"/>
      <c r="FHU2479" s="64"/>
      <c r="FHV2479" s="61"/>
      <c r="FHW2479" s="54"/>
      <c r="FHX2479" s="54"/>
      <c r="FHY2479" s="60"/>
      <c r="FHZ2479" s="60"/>
      <c r="FIA2479" s="60"/>
      <c r="FIB2479" s="60"/>
      <c r="FIC2479" s="64"/>
      <c r="FID2479" s="61"/>
      <c r="FIE2479" s="54"/>
      <c r="FIF2479" s="54"/>
      <c r="FIG2479" s="60"/>
      <c r="FIH2479" s="60"/>
      <c r="FII2479" s="60"/>
      <c r="FIJ2479" s="60"/>
      <c r="FIK2479" s="64"/>
      <c r="FIL2479" s="61"/>
      <c r="FIM2479" s="54"/>
      <c r="FIN2479" s="54"/>
      <c r="FIO2479" s="60"/>
      <c r="FIP2479" s="60"/>
      <c r="FIQ2479" s="60"/>
      <c r="FIR2479" s="60"/>
      <c r="FIS2479" s="64"/>
      <c r="FIT2479" s="61"/>
      <c r="FIU2479" s="54"/>
      <c r="FIV2479" s="54"/>
      <c r="FIW2479" s="60"/>
      <c r="FIX2479" s="60"/>
      <c r="FIY2479" s="60"/>
      <c r="FIZ2479" s="60"/>
      <c r="FJA2479" s="64"/>
      <c r="FJB2479" s="61"/>
      <c r="FJC2479" s="54"/>
      <c r="FJD2479" s="54"/>
      <c r="FJE2479" s="60"/>
      <c r="FJF2479" s="60"/>
      <c r="FJG2479" s="60"/>
      <c r="FJH2479" s="60"/>
      <c r="FJI2479" s="64"/>
      <c r="FJJ2479" s="61"/>
      <c r="FJK2479" s="54"/>
      <c r="FJL2479" s="54"/>
      <c r="FJM2479" s="60"/>
      <c r="FJN2479" s="60"/>
      <c r="FJO2479" s="60"/>
      <c r="FJP2479" s="60"/>
      <c r="FJQ2479" s="64"/>
      <c r="FJR2479" s="61"/>
      <c r="FJS2479" s="54"/>
      <c r="FJT2479" s="54"/>
      <c r="FJU2479" s="60"/>
      <c r="FJV2479" s="60"/>
      <c r="FJW2479" s="60"/>
      <c r="FJX2479" s="60"/>
      <c r="FJY2479" s="64"/>
      <c r="FJZ2479" s="61"/>
      <c r="FKA2479" s="54"/>
      <c r="FKB2479" s="54"/>
      <c r="FKC2479" s="60"/>
      <c r="FKD2479" s="60"/>
      <c r="FKE2479" s="60"/>
      <c r="FKF2479" s="60"/>
      <c r="FKG2479" s="64"/>
      <c r="FKH2479" s="61"/>
      <c r="FKI2479" s="54"/>
      <c r="FKJ2479" s="54"/>
      <c r="FKK2479" s="60"/>
      <c r="FKL2479" s="60"/>
      <c r="FKM2479" s="60"/>
      <c r="FKN2479" s="60"/>
      <c r="FKO2479" s="64"/>
      <c r="FKP2479" s="61"/>
      <c r="FKQ2479" s="54"/>
      <c r="FKR2479" s="54"/>
      <c r="FKS2479" s="60"/>
      <c r="FKT2479" s="60"/>
      <c r="FKU2479" s="60"/>
      <c r="FKV2479" s="60"/>
      <c r="FKW2479" s="64"/>
      <c r="FKX2479" s="61"/>
      <c r="FKY2479" s="54"/>
      <c r="FKZ2479" s="54"/>
      <c r="FLA2479" s="60"/>
      <c r="FLB2479" s="60"/>
      <c r="FLC2479" s="60"/>
      <c r="FLD2479" s="60"/>
      <c r="FLE2479" s="64"/>
      <c r="FLF2479" s="61"/>
      <c r="FLG2479" s="54"/>
      <c r="FLH2479" s="54"/>
      <c r="FLI2479" s="60"/>
      <c r="FLJ2479" s="60"/>
      <c r="FLK2479" s="60"/>
      <c r="FLL2479" s="60"/>
      <c r="FLM2479" s="64"/>
      <c r="FLN2479" s="61"/>
      <c r="FLO2479" s="54"/>
      <c r="FLP2479" s="54"/>
      <c r="FLQ2479" s="60"/>
      <c r="FLR2479" s="60"/>
      <c r="FLS2479" s="60"/>
      <c r="FLT2479" s="60"/>
      <c r="FLU2479" s="64"/>
      <c r="FLV2479" s="61"/>
      <c r="FLW2479" s="54"/>
      <c r="FLX2479" s="54"/>
      <c r="FLY2479" s="60"/>
      <c r="FLZ2479" s="60"/>
      <c r="FMA2479" s="60"/>
      <c r="FMB2479" s="60"/>
      <c r="FMC2479" s="64"/>
      <c r="FMD2479" s="61"/>
      <c r="FME2479" s="54"/>
      <c r="FMF2479" s="54"/>
      <c r="FMG2479" s="60"/>
      <c r="FMH2479" s="60"/>
      <c r="FMI2479" s="60"/>
      <c r="FMJ2479" s="60"/>
      <c r="FMK2479" s="64"/>
      <c r="FML2479" s="61"/>
      <c r="FMM2479" s="54"/>
      <c r="FMN2479" s="54"/>
      <c r="FMO2479" s="60"/>
      <c r="FMP2479" s="60"/>
      <c r="FMQ2479" s="60"/>
      <c r="FMR2479" s="60"/>
      <c r="FMS2479" s="64"/>
      <c r="FMT2479" s="61"/>
      <c r="FMU2479" s="54"/>
      <c r="FMV2479" s="54"/>
      <c r="FMW2479" s="60"/>
      <c r="FMX2479" s="60"/>
      <c r="FMY2479" s="60"/>
      <c r="FMZ2479" s="60"/>
      <c r="FNA2479" s="64"/>
      <c r="FNB2479" s="61"/>
      <c r="FNC2479" s="54"/>
      <c r="FND2479" s="54"/>
      <c r="FNE2479" s="60"/>
      <c r="FNF2479" s="60"/>
      <c r="FNG2479" s="60"/>
      <c r="FNH2479" s="60"/>
      <c r="FNI2479" s="64"/>
      <c r="FNJ2479" s="61"/>
      <c r="FNK2479" s="54"/>
      <c r="FNL2479" s="54"/>
      <c r="FNM2479" s="60"/>
      <c r="FNN2479" s="60"/>
      <c r="FNO2479" s="60"/>
      <c r="FNP2479" s="60"/>
      <c r="FNQ2479" s="64"/>
      <c r="FNR2479" s="61"/>
      <c r="FNS2479" s="54"/>
      <c r="FNT2479" s="54"/>
      <c r="FNU2479" s="60"/>
      <c r="FNV2479" s="60"/>
      <c r="FNW2479" s="60"/>
      <c r="FNX2479" s="60"/>
      <c r="FNY2479" s="64"/>
      <c r="FNZ2479" s="61"/>
      <c r="FOA2479" s="54"/>
      <c r="FOB2479" s="54"/>
      <c r="FOC2479" s="60"/>
      <c r="FOD2479" s="60"/>
      <c r="FOE2479" s="60"/>
      <c r="FOF2479" s="60"/>
      <c r="FOG2479" s="64"/>
      <c r="FOH2479" s="61"/>
      <c r="FOI2479" s="54"/>
      <c r="FOJ2479" s="54"/>
      <c r="FOK2479" s="60"/>
      <c r="FOL2479" s="60"/>
      <c r="FOM2479" s="60"/>
      <c r="FON2479" s="60"/>
      <c r="FOO2479" s="64"/>
      <c r="FOP2479" s="61"/>
      <c r="FOQ2479" s="54"/>
      <c r="FOR2479" s="54"/>
      <c r="FOS2479" s="60"/>
      <c r="FOT2479" s="60"/>
      <c r="FOU2479" s="60"/>
      <c r="FOV2479" s="60"/>
      <c r="FOW2479" s="64"/>
      <c r="FOX2479" s="61"/>
      <c r="FOY2479" s="54"/>
      <c r="FOZ2479" s="54"/>
      <c r="FPA2479" s="60"/>
      <c r="FPB2479" s="60"/>
      <c r="FPC2479" s="60"/>
      <c r="FPD2479" s="60"/>
      <c r="FPE2479" s="64"/>
      <c r="FPF2479" s="61"/>
      <c r="FPG2479" s="54"/>
      <c r="FPH2479" s="54"/>
      <c r="FPI2479" s="60"/>
      <c r="FPJ2479" s="60"/>
      <c r="FPK2479" s="60"/>
      <c r="FPL2479" s="60"/>
      <c r="FPM2479" s="64"/>
      <c r="FPN2479" s="61"/>
      <c r="FPO2479" s="54"/>
      <c r="FPP2479" s="54"/>
      <c r="FPQ2479" s="60"/>
      <c r="FPR2479" s="60"/>
      <c r="FPS2479" s="60"/>
      <c r="FPT2479" s="60"/>
      <c r="FPU2479" s="64"/>
      <c r="FPV2479" s="61"/>
      <c r="FPW2479" s="54"/>
      <c r="FPX2479" s="54"/>
      <c r="FPY2479" s="60"/>
      <c r="FPZ2479" s="60"/>
      <c r="FQA2479" s="60"/>
      <c r="FQB2479" s="60"/>
      <c r="FQC2479" s="64"/>
      <c r="FQD2479" s="61"/>
      <c r="FQE2479" s="54"/>
      <c r="FQF2479" s="54"/>
      <c r="FQG2479" s="60"/>
      <c r="FQH2479" s="60"/>
      <c r="FQI2479" s="60"/>
      <c r="FQJ2479" s="60"/>
      <c r="FQK2479" s="64"/>
      <c r="FQL2479" s="61"/>
      <c r="FQM2479" s="54"/>
      <c r="FQN2479" s="54"/>
      <c r="FQO2479" s="60"/>
      <c r="FQP2479" s="60"/>
      <c r="FQQ2479" s="60"/>
      <c r="FQR2479" s="60"/>
      <c r="FQS2479" s="64"/>
      <c r="FQT2479" s="61"/>
      <c r="FQU2479" s="54"/>
      <c r="FQV2479" s="54"/>
      <c r="FQW2479" s="60"/>
      <c r="FQX2479" s="60"/>
      <c r="FQY2479" s="60"/>
      <c r="FQZ2479" s="60"/>
      <c r="FRA2479" s="64"/>
      <c r="FRB2479" s="61"/>
      <c r="FRC2479" s="54"/>
      <c r="FRD2479" s="54"/>
      <c r="FRE2479" s="60"/>
      <c r="FRF2479" s="60"/>
      <c r="FRG2479" s="60"/>
      <c r="FRH2479" s="60"/>
      <c r="FRI2479" s="64"/>
      <c r="FRJ2479" s="61"/>
      <c r="FRK2479" s="54"/>
      <c r="FRL2479" s="54"/>
      <c r="FRM2479" s="60"/>
      <c r="FRN2479" s="60"/>
      <c r="FRO2479" s="60"/>
      <c r="FRP2479" s="60"/>
      <c r="FRQ2479" s="64"/>
      <c r="FRR2479" s="61"/>
      <c r="FRS2479" s="54"/>
      <c r="FRT2479" s="54"/>
      <c r="FRU2479" s="60"/>
      <c r="FRV2479" s="60"/>
      <c r="FRW2479" s="60"/>
      <c r="FRX2479" s="60"/>
      <c r="FRY2479" s="64"/>
      <c r="FRZ2479" s="61"/>
      <c r="FSA2479" s="54"/>
      <c r="FSB2479" s="54"/>
      <c r="FSC2479" s="60"/>
      <c r="FSD2479" s="60"/>
      <c r="FSE2479" s="60"/>
      <c r="FSF2479" s="60"/>
      <c r="FSG2479" s="64"/>
      <c r="FSH2479" s="61"/>
      <c r="FSI2479" s="54"/>
      <c r="FSJ2479" s="54"/>
      <c r="FSK2479" s="60"/>
      <c r="FSL2479" s="60"/>
      <c r="FSM2479" s="60"/>
      <c r="FSN2479" s="60"/>
      <c r="FSO2479" s="64"/>
      <c r="FSP2479" s="61"/>
      <c r="FSQ2479" s="54"/>
      <c r="FSR2479" s="54"/>
      <c r="FSS2479" s="60"/>
      <c r="FST2479" s="60"/>
      <c r="FSU2479" s="60"/>
      <c r="FSV2479" s="60"/>
      <c r="FSW2479" s="64"/>
      <c r="FSX2479" s="61"/>
      <c r="FSY2479" s="54"/>
      <c r="FSZ2479" s="54"/>
      <c r="FTA2479" s="60"/>
      <c r="FTB2479" s="60"/>
      <c r="FTC2479" s="60"/>
      <c r="FTD2479" s="60"/>
      <c r="FTE2479" s="64"/>
      <c r="FTF2479" s="61"/>
      <c r="FTG2479" s="54"/>
      <c r="FTH2479" s="54"/>
      <c r="FTI2479" s="60"/>
      <c r="FTJ2479" s="60"/>
      <c r="FTK2479" s="60"/>
      <c r="FTL2479" s="60"/>
      <c r="FTM2479" s="64"/>
      <c r="FTN2479" s="61"/>
      <c r="FTO2479" s="54"/>
      <c r="FTP2479" s="54"/>
      <c r="FTQ2479" s="60"/>
      <c r="FTR2479" s="60"/>
      <c r="FTS2479" s="60"/>
      <c r="FTT2479" s="60"/>
      <c r="FTU2479" s="64"/>
      <c r="FTV2479" s="61"/>
      <c r="FTW2479" s="54"/>
      <c r="FTX2479" s="54"/>
      <c r="FTY2479" s="60"/>
      <c r="FTZ2479" s="60"/>
      <c r="FUA2479" s="60"/>
      <c r="FUB2479" s="60"/>
      <c r="FUC2479" s="64"/>
      <c r="FUD2479" s="61"/>
      <c r="FUE2479" s="54"/>
      <c r="FUF2479" s="54"/>
      <c r="FUG2479" s="60"/>
      <c r="FUH2479" s="60"/>
      <c r="FUI2479" s="60"/>
      <c r="FUJ2479" s="60"/>
      <c r="FUK2479" s="64"/>
      <c r="FUL2479" s="61"/>
      <c r="FUM2479" s="54"/>
      <c r="FUN2479" s="54"/>
      <c r="FUO2479" s="60"/>
      <c r="FUP2479" s="60"/>
      <c r="FUQ2479" s="60"/>
      <c r="FUR2479" s="60"/>
      <c r="FUS2479" s="64"/>
      <c r="FUT2479" s="61"/>
      <c r="FUU2479" s="54"/>
      <c r="FUV2479" s="54"/>
      <c r="FUW2479" s="60"/>
      <c r="FUX2479" s="60"/>
      <c r="FUY2479" s="60"/>
      <c r="FUZ2479" s="60"/>
      <c r="FVA2479" s="64"/>
      <c r="FVB2479" s="61"/>
      <c r="FVC2479" s="54"/>
      <c r="FVD2479" s="54"/>
      <c r="FVE2479" s="60"/>
      <c r="FVF2479" s="60"/>
      <c r="FVG2479" s="60"/>
      <c r="FVH2479" s="60"/>
      <c r="FVI2479" s="64"/>
      <c r="FVJ2479" s="61"/>
      <c r="FVK2479" s="54"/>
      <c r="FVL2479" s="54"/>
      <c r="FVM2479" s="60"/>
      <c r="FVN2479" s="60"/>
      <c r="FVO2479" s="60"/>
      <c r="FVP2479" s="60"/>
      <c r="FVQ2479" s="64"/>
      <c r="FVR2479" s="61"/>
      <c r="FVS2479" s="54"/>
      <c r="FVT2479" s="54"/>
      <c r="FVU2479" s="60"/>
      <c r="FVV2479" s="60"/>
      <c r="FVW2479" s="60"/>
      <c r="FVX2479" s="60"/>
      <c r="FVY2479" s="64"/>
      <c r="FVZ2479" s="61"/>
      <c r="FWA2479" s="54"/>
      <c r="FWB2479" s="54"/>
      <c r="FWC2479" s="60"/>
      <c r="FWD2479" s="60"/>
      <c r="FWE2479" s="60"/>
      <c r="FWF2479" s="60"/>
      <c r="FWG2479" s="64"/>
      <c r="FWH2479" s="61"/>
      <c r="FWI2479" s="54"/>
      <c r="FWJ2479" s="54"/>
      <c r="FWK2479" s="60"/>
      <c r="FWL2479" s="60"/>
      <c r="FWM2479" s="60"/>
      <c r="FWN2479" s="60"/>
      <c r="FWO2479" s="64"/>
      <c r="FWP2479" s="61"/>
      <c r="FWQ2479" s="54"/>
      <c r="FWR2479" s="54"/>
      <c r="FWS2479" s="60"/>
      <c r="FWT2479" s="60"/>
      <c r="FWU2479" s="60"/>
      <c r="FWV2479" s="60"/>
      <c r="FWW2479" s="64"/>
      <c r="FWX2479" s="61"/>
      <c r="FWY2479" s="54"/>
      <c r="FWZ2479" s="54"/>
      <c r="FXA2479" s="60"/>
      <c r="FXB2479" s="60"/>
      <c r="FXC2479" s="60"/>
      <c r="FXD2479" s="60"/>
      <c r="FXE2479" s="64"/>
      <c r="FXF2479" s="61"/>
      <c r="FXG2479" s="54"/>
      <c r="FXH2479" s="54"/>
      <c r="FXI2479" s="60"/>
      <c r="FXJ2479" s="60"/>
      <c r="FXK2479" s="60"/>
      <c r="FXL2479" s="60"/>
      <c r="FXM2479" s="64"/>
      <c r="FXN2479" s="61"/>
      <c r="FXO2479" s="54"/>
      <c r="FXP2479" s="54"/>
      <c r="FXQ2479" s="60"/>
      <c r="FXR2479" s="60"/>
      <c r="FXS2479" s="60"/>
      <c r="FXT2479" s="60"/>
      <c r="FXU2479" s="64"/>
      <c r="FXV2479" s="61"/>
      <c r="FXW2479" s="54"/>
      <c r="FXX2479" s="54"/>
      <c r="FXY2479" s="60"/>
      <c r="FXZ2479" s="60"/>
      <c r="FYA2479" s="60"/>
      <c r="FYB2479" s="60"/>
      <c r="FYC2479" s="64"/>
      <c r="FYD2479" s="61"/>
      <c r="FYE2479" s="54"/>
      <c r="FYF2479" s="54"/>
      <c r="FYG2479" s="60"/>
      <c r="FYH2479" s="60"/>
      <c r="FYI2479" s="60"/>
      <c r="FYJ2479" s="60"/>
      <c r="FYK2479" s="64"/>
      <c r="FYL2479" s="61"/>
      <c r="FYM2479" s="54"/>
      <c r="FYN2479" s="54"/>
      <c r="FYO2479" s="60"/>
      <c r="FYP2479" s="60"/>
      <c r="FYQ2479" s="60"/>
      <c r="FYR2479" s="60"/>
      <c r="FYS2479" s="64"/>
      <c r="FYT2479" s="61"/>
      <c r="FYU2479" s="54"/>
      <c r="FYV2479" s="54"/>
      <c r="FYW2479" s="60"/>
      <c r="FYX2479" s="60"/>
      <c r="FYY2479" s="60"/>
      <c r="FYZ2479" s="60"/>
      <c r="FZA2479" s="64"/>
      <c r="FZB2479" s="61"/>
      <c r="FZC2479" s="54"/>
      <c r="FZD2479" s="54"/>
      <c r="FZE2479" s="60"/>
      <c r="FZF2479" s="60"/>
      <c r="FZG2479" s="60"/>
      <c r="FZH2479" s="60"/>
      <c r="FZI2479" s="64"/>
      <c r="FZJ2479" s="61"/>
      <c r="FZK2479" s="54"/>
      <c r="FZL2479" s="54"/>
      <c r="FZM2479" s="60"/>
      <c r="FZN2479" s="60"/>
      <c r="FZO2479" s="60"/>
      <c r="FZP2479" s="60"/>
      <c r="FZQ2479" s="64"/>
      <c r="FZR2479" s="61"/>
      <c r="FZS2479" s="54"/>
      <c r="FZT2479" s="54"/>
      <c r="FZU2479" s="60"/>
      <c r="FZV2479" s="60"/>
      <c r="FZW2479" s="60"/>
      <c r="FZX2479" s="60"/>
      <c r="FZY2479" s="64"/>
      <c r="FZZ2479" s="61"/>
      <c r="GAA2479" s="54"/>
      <c r="GAB2479" s="54"/>
      <c r="GAC2479" s="60"/>
      <c r="GAD2479" s="60"/>
      <c r="GAE2479" s="60"/>
      <c r="GAF2479" s="60"/>
      <c r="GAG2479" s="64"/>
      <c r="GAH2479" s="61"/>
      <c r="GAI2479" s="54"/>
      <c r="GAJ2479" s="54"/>
      <c r="GAK2479" s="60"/>
      <c r="GAL2479" s="60"/>
      <c r="GAM2479" s="60"/>
      <c r="GAN2479" s="60"/>
      <c r="GAO2479" s="64"/>
      <c r="GAP2479" s="61"/>
      <c r="GAQ2479" s="54"/>
      <c r="GAR2479" s="54"/>
      <c r="GAS2479" s="60"/>
      <c r="GAT2479" s="60"/>
      <c r="GAU2479" s="60"/>
      <c r="GAV2479" s="60"/>
      <c r="GAW2479" s="64"/>
      <c r="GAX2479" s="61"/>
      <c r="GAY2479" s="54"/>
      <c r="GAZ2479" s="54"/>
      <c r="GBA2479" s="60"/>
      <c r="GBB2479" s="60"/>
      <c r="GBC2479" s="60"/>
      <c r="GBD2479" s="60"/>
      <c r="GBE2479" s="64"/>
      <c r="GBF2479" s="61"/>
      <c r="GBG2479" s="54"/>
      <c r="GBH2479" s="54"/>
      <c r="GBI2479" s="60"/>
      <c r="GBJ2479" s="60"/>
      <c r="GBK2479" s="60"/>
      <c r="GBL2479" s="60"/>
      <c r="GBM2479" s="64"/>
      <c r="GBN2479" s="61"/>
      <c r="GBO2479" s="54"/>
      <c r="GBP2479" s="54"/>
      <c r="GBQ2479" s="60"/>
      <c r="GBR2479" s="60"/>
      <c r="GBS2479" s="60"/>
      <c r="GBT2479" s="60"/>
      <c r="GBU2479" s="64"/>
      <c r="GBV2479" s="61"/>
      <c r="GBW2479" s="54"/>
      <c r="GBX2479" s="54"/>
      <c r="GBY2479" s="60"/>
      <c r="GBZ2479" s="60"/>
      <c r="GCA2479" s="60"/>
      <c r="GCB2479" s="60"/>
      <c r="GCC2479" s="64"/>
      <c r="GCD2479" s="61"/>
      <c r="GCE2479" s="54"/>
      <c r="GCF2479" s="54"/>
      <c r="GCG2479" s="60"/>
      <c r="GCH2479" s="60"/>
      <c r="GCI2479" s="60"/>
      <c r="GCJ2479" s="60"/>
      <c r="GCK2479" s="64"/>
      <c r="GCL2479" s="61"/>
      <c r="GCM2479" s="54"/>
      <c r="GCN2479" s="54"/>
      <c r="GCO2479" s="60"/>
      <c r="GCP2479" s="60"/>
      <c r="GCQ2479" s="60"/>
      <c r="GCR2479" s="60"/>
      <c r="GCS2479" s="64"/>
      <c r="GCT2479" s="61"/>
      <c r="GCU2479" s="54"/>
      <c r="GCV2479" s="54"/>
      <c r="GCW2479" s="60"/>
      <c r="GCX2479" s="60"/>
      <c r="GCY2479" s="60"/>
      <c r="GCZ2479" s="60"/>
      <c r="GDA2479" s="64"/>
      <c r="GDB2479" s="61"/>
      <c r="GDC2479" s="54"/>
      <c r="GDD2479" s="54"/>
      <c r="GDE2479" s="60"/>
      <c r="GDF2479" s="60"/>
      <c r="GDG2479" s="60"/>
      <c r="GDH2479" s="60"/>
      <c r="GDI2479" s="64"/>
      <c r="GDJ2479" s="61"/>
      <c r="GDK2479" s="54"/>
      <c r="GDL2479" s="54"/>
      <c r="GDM2479" s="60"/>
      <c r="GDN2479" s="60"/>
      <c r="GDO2479" s="60"/>
      <c r="GDP2479" s="60"/>
      <c r="GDQ2479" s="64"/>
      <c r="GDR2479" s="61"/>
      <c r="GDS2479" s="54"/>
      <c r="GDT2479" s="54"/>
      <c r="GDU2479" s="60"/>
      <c r="GDV2479" s="60"/>
      <c r="GDW2479" s="60"/>
      <c r="GDX2479" s="60"/>
      <c r="GDY2479" s="64"/>
      <c r="GDZ2479" s="61"/>
      <c r="GEA2479" s="54"/>
      <c r="GEB2479" s="54"/>
      <c r="GEC2479" s="60"/>
      <c r="GED2479" s="60"/>
      <c r="GEE2479" s="60"/>
      <c r="GEF2479" s="60"/>
      <c r="GEG2479" s="64"/>
      <c r="GEH2479" s="61"/>
      <c r="GEI2479" s="54"/>
      <c r="GEJ2479" s="54"/>
      <c r="GEK2479" s="60"/>
      <c r="GEL2479" s="60"/>
      <c r="GEM2479" s="60"/>
      <c r="GEN2479" s="60"/>
      <c r="GEO2479" s="64"/>
      <c r="GEP2479" s="61"/>
      <c r="GEQ2479" s="54"/>
      <c r="GER2479" s="54"/>
      <c r="GES2479" s="60"/>
      <c r="GET2479" s="60"/>
      <c r="GEU2479" s="60"/>
      <c r="GEV2479" s="60"/>
      <c r="GEW2479" s="64"/>
      <c r="GEX2479" s="61"/>
      <c r="GEY2479" s="54"/>
      <c r="GEZ2479" s="54"/>
      <c r="GFA2479" s="60"/>
      <c r="GFB2479" s="60"/>
      <c r="GFC2479" s="60"/>
      <c r="GFD2479" s="60"/>
      <c r="GFE2479" s="64"/>
      <c r="GFF2479" s="61"/>
      <c r="GFG2479" s="54"/>
      <c r="GFH2479" s="54"/>
      <c r="GFI2479" s="60"/>
      <c r="GFJ2479" s="60"/>
      <c r="GFK2479" s="60"/>
      <c r="GFL2479" s="60"/>
      <c r="GFM2479" s="64"/>
      <c r="GFN2479" s="61"/>
      <c r="GFO2479" s="54"/>
      <c r="GFP2479" s="54"/>
      <c r="GFQ2479" s="60"/>
      <c r="GFR2479" s="60"/>
      <c r="GFS2479" s="60"/>
      <c r="GFT2479" s="60"/>
      <c r="GFU2479" s="64"/>
      <c r="GFV2479" s="61"/>
      <c r="GFW2479" s="54"/>
      <c r="GFX2479" s="54"/>
      <c r="GFY2479" s="60"/>
      <c r="GFZ2479" s="60"/>
      <c r="GGA2479" s="60"/>
      <c r="GGB2479" s="60"/>
      <c r="GGC2479" s="64"/>
      <c r="GGD2479" s="61"/>
      <c r="GGE2479" s="54"/>
      <c r="GGF2479" s="54"/>
      <c r="GGG2479" s="60"/>
      <c r="GGH2479" s="60"/>
      <c r="GGI2479" s="60"/>
      <c r="GGJ2479" s="60"/>
      <c r="GGK2479" s="64"/>
      <c r="GGL2479" s="61"/>
      <c r="GGM2479" s="54"/>
      <c r="GGN2479" s="54"/>
      <c r="GGO2479" s="60"/>
      <c r="GGP2479" s="60"/>
      <c r="GGQ2479" s="60"/>
      <c r="GGR2479" s="60"/>
      <c r="GGS2479" s="64"/>
      <c r="GGT2479" s="61"/>
      <c r="GGU2479" s="54"/>
      <c r="GGV2479" s="54"/>
      <c r="GGW2479" s="60"/>
      <c r="GGX2479" s="60"/>
      <c r="GGY2479" s="60"/>
      <c r="GGZ2479" s="60"/>
      <c r="GHA2479" s="64"/>
      <c r="GHB2479" s="61"/>
      <c r="GHC2479" s="54"/>
      <c r="GHD2479" s="54"/>
      <c r="GHE2479" s="60"/>
      <c r="GHF2479" s="60"/>
      <c r="GHG2479" s="60"/>
      <c r="GHH2479" s="60"/>
      <c r="GHI2479" s="64"/>
      <c r="GHJ2479" s="61"/>
      <c r="GHK2479" s="54"/>
      <c r="GHL2479" s="54"/>
      <c r="GHM2479" s="60"/>
      <c r="GHN2479" s="60"/>
      <c r="GHO2479" s="60"/>
      <c r="GHP2479" s="60"/>
      <c r="GHQ2479" s="64"/>
      <c r="GHR2479" s="61"/>
      <c r="GHS2479" s="54"/>
      <c r="GHT2479" s="54"/>
      <c r="GHU2479" s="60"/>
      <c r="GHV2479" s="60"/>
      <c r="GHW2479" s="60"/>
      <c r="GHX2479" s="60"/>
      <c r="GHY2479" s="64"/>
      <c r="GHZ2479" s="61"/>
      <c r="GIA2479" s="54"/>
      <c r="GIB2479" s="54"/>
      <c r="GIC2479" s="60"/>
      <c r="GID2479" s="60"/>
      <c r="GIE2479" s="60"/>
      <c r="GIF2479" s="60"/>
      <c r="GIG2479" s="64"/>
      <c r="GIH2479" s="61"/>
      <c r="GII2479" s="54"/>
      <c r="GIJ2479" s="54"/>
      <c r="GIK2479" s="60"/>
      <c r="GIL2479" s="60"/>
      <c r="GIM2479" s="60"/>
      <c r="GIN2479" s="60"/>
      <c r="GIO2479" s="64"/>
      <c r="GIP2479" s="61"/>
      <c r="GIQ2479" s="54"/>
      <c r="GIR2479" s="54"/>
      <c r="GIS2479" s="60"/>
      <c r="GIT2479" s="60"/>
      <c r="GIU2479" s="60"/>
      <c r="GIV2479" s="60"/>
      <c r="GIW2479" s="64"/>
      <c r="GIX2479" s="61"/>
      <c r="GIY2479" s="54"/>
      <c r="GIZ2479" s="54"/>
      <c r="GJA2479" s="60"/>
      <c r="GJB2479" s="60"/>
      <c r="GJC2479" s="60"/>
      <c r="GJD2479" s="60"/>
      <c r="GJE2479" s="64"/>
      <c r="GJF2479" s="61"/>
      <c r="GJG2479" s="54"/>
      <c r="GJH2479" s="54"/>
      <c r="GJI2479" s="60"/>
      <c r="GJJ2479" s="60"/>
      <c r="GJK2479" s="60"/>
      <c r="GJL2479" s="60"/>
      <c r="GJM2479" s="64"/>
      <c r="GJN2479" s="61"/>
      <c r="GJO2479" s="54"/>
      <c r="GJP2479" s="54"/>
      <c r="GJQ2479" s="60"/>
      <c r="GJR2479" s="60"/>
      <c r="GJS2479" s="60"/>
      <c r="GJT2479" s="60"/>
      <c r="GJU2479" s="64"/>
      <c r="GJV2479" s="61"/>
      <c r="GJW2479" s="54"/>
      <c r="GJX2479" s="54"/>
      <c r="GJY2479" s="60"/>
      <c r="GJZ2479" s="60"/>
      <c r="GKA2479" s="60"/>
      <c r="GKB2479" s="60"/>
      <c r="GKC2479" s="64"/>
      <c r="GKD2479" s="61"/>
      <c r="GKE2479" s="54"/>
      <c r="GKF2479" s="54"/>
      <c r="GKG2479" s="60"/>
      <c r="GKH2479" s="60"/>
      <c r="GKI2479" s="60"/>
      <c r="GKJ2479" s="60"/>
      <c r="GKK2479" s="64"/>
      <c r="GKL2479" s="61"/>
      <c r="GKM2479" s="54"/>
      <c r="GKN2479" s="54"/>
      <c r="GKO2479" s="60"/>
      <c r="GKP2479" s="60"/>
      <c r="GKQ2479" s="60"/>
      <c r="GKR2479" s="60"/>
      <c r="GKS2479" s="64"/>
      <c r="GKT2479" s="61"/>
      <c r="GKU2479" s="54"/>
      <c r="GKV2479" s="54"/>
      <c r="GKW2479" s="60"/>
      <c r="GKX2479" s="60"/>
      <c r="GKY2479" s="60"/>
      <c r="GKZ2479" s="60"/>
      <c r="GLA2479" s="64"/>
      <c r="GLB2479" s="61"/>
      <c r="GLC2479" s="54"/>
      <c r="GLD2479" s="54"/>
      <c r="GLE2479" s="60"/>
      <c r="GLF2479" s="60"/>
      <c r="GLG2479" s="60"/>
      <c r="GLH2479" s="60"/>
      <c r="GLI2479" s="64"/>
      <c r="GLJ2479" s="61"/>
      <c r="GLK2479" s="54"/>
      <c r="GLL2479" s="54"/>
      <c r="GLM2479" s="60"/>
      <c r="GLN2479" s="60"/>
      <c r="GLO2479" s="60"/>
      <c r="GLP2479" s="60"/>
      <c r="GLQ2479" s="64"/>
      <c r="GLR2479" s="61"/>
      <c r="GLS2479" s="54"/>
      <c r="GLT2479" s="54"/>
      <c r="GLU2479" s="60"/>
      <c r="GLV2479" s="60"/>
      <c r="GLW2479" s="60"/>
      <c r="GLX2479" s="60"/>
      <c r="GLY2479" s="64"/>
      <c r="GLZ2479" s="61"/>
      <c r="GMA2479" s="54"/>
      <c r="GMB2479" s="54"/>
      <c r="GMC2479" s="60"/>
      <c r="GMD2479" s="60"/>
      <c r="GME2479" s="60"/>
      <c r="GMF2479" s="60"/>
      <c r="GMG2479" s="64"/>
      <c r="GMH2479" s="61"/>
      <c r="GMI2479" s="54"/>
      <c r="GMJ2479" s="54"/>
      <c r="GMK2479" s="60"/>
      <c r="GML2479" s="60"/>
      <c r="GMM2479" s="60"/>
      <c r="GMN2479" s="60"/>
      <c r="GMO2479" s="64"/>
      <c r="GMP2479" s="61"/>
      <c r="GMQ2479" s="54"/>
      <c r="GMR2479" s="54"/>
      <c r="GMS2479" s="60"/>
      <c r="GMT2479" s="60"/>
      <c r="GMU2479" s="60"/>
      <c r="GMV2479" s="60"/>
      <c r="GMW2479" s="64"/>
      <c r="GMX2479" s="61"/>
      <c r="GMY2479" s="54"/>
      <c r="GMZ2479" s="54"/>
      <c r="GNA2479" s="60"/>
      <c r="GNB2479" s="60"/>
      <c r="GNC2479" s="60"/>
      <c r="GND2479" s="60"/>
      <c r="GNE2479" s="64"/>
      <c r="GNF2479" s="61"/>
      <c r="GNG2479" s="54"/>
      <c r="GNH2479" s="54"/>
      <c r="GNI2479" s="60"/>
      <c r="GNJ2479" s="60"/>
      <c r="GNK2479" s="60"/>
      <c r="GNL2479" s="60"/>
      <c r="GNM2479" s="64"/>
      <c r="GNN2479" s="61"/>
      <c r="GNO2479" s="54"/>
      <c r="GNP2479" s="54"/>
      <c r="GNQ2479" s="60"/>
      <c r="GNR2479" s="60"/>
      <c r="GNS2479" s="60"/>
      <c r="GNT2479" s="60"/>
      <c r="GNU2479" s="64"/>
      <c r="GNV2479" s="61"/>
      <c r="GNW2479" s="54"/>
      <c r="GNX2479" s="54"/>
      <c r="GNY2479" s="60"/>
      <c r="GNZ2479" s="60"/>
      <c r="GOA2479" s="60"/>
      <c r="GOB2479" s="60"/>
      <c r="GOC2479" s="64"/>
      <c r="GOD2479" s="61"/>
      <c r="GOE2479" s="54"/>
      <c r="GOF2479" s="54"/>
      <c r="GOG2479" s="60"/>
      <c r="GOH2479" s="60"/>
      <c r="GOI2479" s="60"/>
      <c r="GOJ2479" s="60"/>
      <c r="GOK2479" s="64"/>
      <c r="GOL2479" s="61"/>
      <c r="GOM2479" s="54"/>
      <c r="GON2479" s="54"/>
      <c r="GOO2479" s="60"/>
      <c r="GOP2479" s="60"/>
      <c r="GOQ2479" s="60"/>
      <c r="GOR2479" s="60"/>
      <c r="GOS2479" s="64"/>
      <c r="GOT2479" s="61"/>
      <c r="GOU2479" s="54"/>
      <c r="GOV2479" s="54"/>
      <c r="GOW2479" s="60"/>
      <c r="GOX2479" s="60"/>
      <c r="GOY2479" s="60"/>
      <c r="GOZ2479" s="60"/>
      <c r="GPA2479" s="64"/>
      <c r="GPB2479" s="61"/>
      <c r="GPC2479" s="54"/>
      <c r="GPD2479" s="54"/>
      <c r="GPE2479" s="60"/>
      <c r="GPF2479" s="60"/>
      <c r="GPG2479" s="60"/>
      <c r="GPH2479" s="60"/>
      <c r="GPI2479" s="64"/>
      <c r="GPJ2479" s="61"/>
      <c r="GPK2479" s="54"/>
      <c r="GPL2479" s="54"/>
      <c r="GPM2479" s="60"/>
      <c r="GPN2479" s="60"/>
      <c r="GPO2479" s="60"/>
      <c r="GPP2479" s="60"/>
      <c r="GPQ2479" s="64"/>
      <c r="GPR2479" s="61"/>
      <c r="GPS2479" s="54"/>
      <c r="GPT2479" s="54"/>
      <c r="GPU2479" s="60"/>
      <c r="GPV2479" s="60"/>
      <c r="GPW2479" s="60"/>
      <c r="GPX2479" s="60"/>
      <c r="GPY2479" s="64"/>
      <c r="GPZ2479" s="61"/>
      <c r="GQA2479" s="54"/>
      <c r="GQB2479" s="54"/>
      <c r="GQC2479" s="60"/>
      <c r="GQD2479" s="60"/>
      <c r="GQE2479" s="60"/>
      <c r="GQF2479" s="60"/>
      <c r="GQG2479" s="64"/>
      <c r="GQH2479" s="61"/>
      <c r="GQI2479" s="54"/>
      <c r="GQJ2479" s="54"/>
      <c r="GQK2479" s="60"/>
      <c r="GQL2479" s="60"/>
      <c r="GQM2479" s="60"/>
      <c r="GQN2479" s="60"/>
      <c r="GQO2479" s="64"/>
      <c r="GQP2479" s="61"/>
      <c r="GQQ2479" s="54"/>
      <c r="GQR2479" s="54"/>
      <c r="GQS2479" s="60"/>
      <c r="GQT2479" s="60"/>
      <c r="GQU2479" s="60"/>
      <c r="GQV2479" s="60"/>
      <c r="GQW2479" s="64"/>
      <c r="GQX2479" s="61"/>
      <c r="GQY2479" s="54"/>
      <c r="GQZ2479" s="54"/>
      <c r="GRA2479" s="60"/>
      <c r="GRB2479" s="60"/>
      <c r="GRC2479" s="60"/>
      <c r="GRD2479" s="60"/>
      <c r="GRE2479" s="64"/>
      <c r="GRF2479" s="61"/>
      <c r="GRG2479" s="54"/>
      <c r="GRH2479" s="54"/>
      <c r="GRI2479" s="60"/>
      <c r="GRJ2479" s="60"/>
      <c r="GRK2479" s="60"/>
      <c r="GRL2479" s="60"/>
      <c r="GRM2479" s="64"/>
      <c r="GRN2479" s="61"/>
      <c r="GRO2479" s="54"/>
      <c r="GRP2479" s="54"/>
      <c r="GRQ2479" s="60"/>
      <c r="GRR2479" s="60"/>
      <c r="GRS2479" s="60"/>
      <c r="GRT2479" s="60"/>
      <c r="GRU2479" s="64"/>
      <c r="GRV2479" s="61"/>
      <c r="GRW2479" s="54"/>
      <c r="GRX2479" s="54"/>
      <c r="GRY2479" s="60"/>
      <c r="GRZ2479" s="60"/>
      <c r="GSA2479" s="60"/>
      <c r="GSB2479" s="60"/>
      <c r="GSC2479" s="64"/>
      <c r="GSD2479" s="61"/>
      <c r="GSE2479" s="54"/>
      <c r="GSF2479" s="54"/>
      <c r="GSG2479" s="60"/>
      <c r="GSH2479" s="60"/>
      <c r="GSI2479" s="60"/>
      <c r="GSJ2479" s="60"/>
      <c r="GSK2479" s="64"/>
      <c r="GSL2479" s="61"/>
      <c r="GSM2479" s="54"/>
      <c r="GSN2479" s="54"/>
      <c r="GSO2479" s="60"/>
      <c r="GSP2479" s="60"/>
      <c r="GSQ2479" s="60"/>
      <c r="GSR2479" s="60"/>
      <c r="GSS2479" s="64"/>
      <c r="GST2479" s="61"/>
      <c r="GSU2479" s="54"/>
      <c r="GSV2479" s="54"/>
      <c r="GSW2479" s="60"/>
      <c r="GSX2479" s="60"/>
      <c r="GSY2479" s="60"/>
      <c r="GSZ2479" s="60"/>
      <c r="GTA2479" s="64"/>
      <c r="GTB2479" s="61"/>
      <c r="GTC2479" s="54"/>
      <c r="GTD2479" s="54"/>
      <c r="GTE2479" s="60"/>
      <c r="GTF2479" s="60"/>
      <c r="GTG2479" s="60"/>
      <c r="GTH2479" s="60"/>
      <c r="GTI2479" s="64"/>
      <c r="GTJ2479" s="61"/>
      <c r="GTK2479" s="54"/>
      <c r="GTL2479" s="54"/>
      <c r="GTM2479" s="60"/>
      <c r="GTN2479" s="60"/>
      <c r="GTO2479" s="60"/>
      <c r="GTP2479" s="60"/>
      <c r="GTQ2479" s="64"/>
      <c r="GTR2479" s="61"/>
      <c r="GTS2479" s="54"/>
      <c r="GTT2479" s="54"/>
      <c r="GTU2479" s="60"/>
      <c r="GTV2479" s="60"/>
      <c r="GTW2479" s="60"/>
      <c r="GTX2479" s="60"/>
      <c r="GTY2479" s="64"/>
      <c r="GTZ2479" s="61"/>
      <c r="GUA2479" s="54"/>
      <c r="GUB2479" s="54"/>
      <c r="GUC2479" s="60"/>
      <c r="GUD2479" s="60"/>
      <c r="GUE2479" s="60"/>
      <c r="GUF2479" s="60"/>
      <c r="GUG2479" s="64"/>
      <c r="GUH2479" s="61"/>
      <c r="GUI2479" s="54"/>
      <c r="GUJ2479" s="54"/>
      <c r="GUK2479" s="60"/>
      <c r="GUL2479" s="60"/>
      <c r="GUM2479" s="60"/>
      <c r="GUN2479" s="60"/>
      <c r="GUO2479" s="64"/>
      <c r="GUP2479" s="61"/>
      <c r="GUQ2479" s="54"/>
      <c r="GUR2479" s="54"/>
      <c r="GUS2479" s="60"/>
      <c r="GUT2479" s="60"/>
      <c r="GUU2479" s="60"/>
      <c r="GUV2479" s="60"/>
      <c r="GUW2479" s="64"/>
      <c r="GUX2479" s="61"/>
      <c r="GUY2479" s="54"/>
      <c r="GUZ2479" s="54"/>
      <c r="GVA2479" s="60"/>
      <c r="GVB2479" s="60"/>
      <c r="GVC2479" s="60"/>
      <c r="GVD2479" s="60"/>
      <c r="GVE2479" s="64"/>
      <c r="GVF2479" s="61"/>
      <c r="GVG2479" s="54"/>
      <c r="GVH2479" s="54"/>
      <c r="GVI2479" s="60"/>
      <c r="GVJ2479" s="60"/>
      <c r="GVK2479" s="60"/>
      <c r="GVL2479" s="60"/>
      <c r="GVM2479" s="64"/>
      <c r="GVN2479" s="61"/>
      <c r="GVO2479" s="54"/>
      <c r="GVP2479" s="54"/>
      <c r="GVQ2479" s="60"/>
      <c r="GVR2479" s="60"/>
      <c r="GVS2479" s="60"/>
      <c r="GVT2479" s="60"/>
      <c r="GVU2479" s="64"/>
      <c r="GVV2479" s="61"/>
      <c r="GVW2479" s="54"/>
      <c r="GVX2479" s="54"/>
      <c r="GVY2479" s="60"/>
      <c r="GVZ2479" s="60"/>
      <c r="GWA2479" s="60"/>
      <c r="GWB2479" s="60"/>
      <c r="GWC2479" s="64"/>
      <c r="GWD2479" s="61"/>
      <c r="GWE2479" s="54"/>
      <c r="GWF2479" s="54"/>
      <c r="GWG2479" s="60"/>
      <c r="GWH2479" s="60"/>
      <c r="GWI2479" s="60"/>
      <c r="GWJ2479" s="60"/>
      <c r="GWK2479" s="64"/>
      <c r="GWL2479" s="61"/>
      <c r="GWM2479" s="54"/>
      <c r="GWN2479" s="54"/>
      <c r="GWO2479" s="60"/>
      <c r="GWP2479" s="60"/>
      <c r="GWQ2479" s="60"/>
      <c r="GWR2479" s="60"/>
      <c r="GWS2479" s="64"/>
      <c r="GWT2479" s="61"/>
      <c r="GWU2479" s="54"/>
      <c r="GWV2479" s="54"/>
      <c r="GWW2479" s="60"/>
      <c r="GWX2479" s="60"/>
      <c r="GWY2479" s="60"/>
      <c r="GWZ2479" s="60"/>
      <c r="GXA2479" s="64"/>
      <c r="GXB2479" s="61"/>
      <c r="GXC2479" s="54"/>
      <c r="GXD2479" s="54"/>
      <c r="GXE2479" s="60"/>
      <c r="GXF2479" s="60"/>
      <c r="GXG2479" s="60"/>
      <c r="GXH2479" s="60"/>
      <c r="GXI2479" s="64"/>
      <c r="GXJ2479" s="61"/>
      <c r="GXK2479" s="54"/>
      <c r="GXL2479" s="54"/>
      <c r="GXM2479" s="60"/>
      <c r="GXN2479" s="60"/>
      <c r="GXO2479" s="60"/>
      <c r="GXP2479" s="60"/>
      <c r="GXQ2479" s="64"/>
      <c r="GXR2479" s="61"/>
      <c r="GXS2479" s="54"/>
      <c r="GXT2479" s="54"/>
      <c r="GXU2479" s="60"/>
      <c r="GXV2479" s="60"/>
      <c r="GXW2479" s="60"/>
      <c r="GXX2479" s="60"/>
      <c r="GXY2479" s="64"/>
      <c r="GXZ2479" s="61"/>
      <c r="GYA2479" s="54"/>
      <c r="GYB2479" s="54"/>
      <c r="GYC2479" s="60"/>
      <c r="GYD2479" s="60"/>
      <c r="GYE2479" s="60"/>
      <c r="GYF2479" s="60"/>
      <c r="GYG2479" s="64"/>
      <c r="GYH2479" s="61"/>
      <c r="GYI2479" s="54"/>
      <c r="GYJ2479" s="54"/>
      <c r="GYK2479" s="60"/>
      <c r="GYL2479" s="60"/>
      <c r="GYM2479" s="60"/>
      <c r="GYN2479" s="60"/>
      <c r="GYO2479" s="64"/>
      <c r="GYP2479" s="61"/>
      <c r="GYQ2479" s="54"/>
      <c r="GYR2479" s="54"/>
      <c r="GYS2479" s="60"/>
      <c r="GYT2479" s="60"/>
      <c r="GYU2479" s="60"/>
      <c r="GYV2479" s="60"/>
      <c r="GYW2479" s="64"/>
      <c r="GYX2479" s="61"/>
      <c r="GYY2479" s="54"/>
      <c r="GYZ2479" s="54"/>
      <c r="GZA2479" s="60"/>
      <c r="GZB2479" s="60"/>
      <c r="GZC2479" s="60"/>
      <c r="GZD2479" s="60"/>
      <c r="GZE2479" s="64"/>
      <c r="GZF2479" s="61"/>
      <c r="GZG2479" s="54"/>
      <c r="GZH2479" s="54"/>
      <c r="GZI2479" s="60"/>
      <c r="GZJ2479" s="60"/>
      <c r="GZK2479" s="60"/>
      <c r="GZL2479" s="60"/>
      <c r="GZM2479" s="64"/>
      <c r="GZN2479" s="61"/>
      <c r="GZO2479" s="54"/>
      <c r="GZP2479" s="54"/>
      <c r="GZQ2479" s="60"/>
      <c r="GZR2479" s="60"/>
      <c r="GZS2479" s="60"/>
      <c r="GZT2479" s="60"/>
      <c r="GZU2479" s="64"/>
      <c r="GZV2479" s="61"/>
      <c r="GZW2479" s="54"/>
      <c r="GZX2479" s="54"/>
      <c r="GZY2479" s="60"/>
      <c r="GZZ2479" s="60"/>
      <c r="HAA2479" s="60"/>
      <c r="HAB2479" s="60"/>
      <c r="HAC2479" s="64"/>
      <c r="HAD2479" s="61"/>
      <c r="HAE2479" s="54"/>
      <c r="HAF2479" s="54"/>
      <c r="HAG2479" s="60"/>
      <c r="HAH2479" s="60"/>
      <c r="HAI2479" s="60"/>
      <c r="HAJ2479" s="60"/>
      <c r="HAK2479" s="64"/>
      <c r="HAL2479" s="61"/>
      <c r="HAM2479" s="54"/>
      <c r="HAN2479" s="54"/>
      <c r="HAO2479" s="60"/>
      <c r="HAP2479" s="60"/>
      <c r="HAQ2479" s="60"/>
      <c r="HAR2479" s="60"/>
      <c r="HAS2479" s="64"/>
      <c r="HAT2479" s="61"/>
      <c r="HAU2479" s="54"/>
      <c r="HAV2479" s="54"/>
      <c r="HAW2479" s="60"/>
      <c r="HAX2479" s="60"/>
      <c r="HAY2479" s="60"/>
      <c r="HAZ2479" s="60"/>
      <c r="HBA2479" s="64"/>
      <c r="HBB2479" s="61"/>
      <c r="HBC2479" s="54"/>
      <c r="HBD2479" s="54"/>
      <c r="HBE2479" s="60"/>
      <c r="HBF2479" s="60"/>
      <c r="HBG2479" s="60"/>
      <c r="HBH2479" s="60"/>
      <c r="HBI2479" s="64"/>
      <c r="HBJ2479" s="61"/>
      <c r="HBK2479" s="54"/>
      <c r="HBL2479" s="54"/>
      <c r="HBM2479" s="60"/>
      <c r="HBN2479" s="60"/>
      <c r="HBO2479" s="60"/>
      <c r="HBP2479" s="60"/>
      <c r="HBQ2479" s="64"/>
      <c r="HBR2479" s="61"/>
      <c r="HBS2479" s="54"/>
      <c r="HBT2479" s="54"/>
      <c r="HBU2479" s="60"/>
      <c r="HBV2479" s="60"/>
      <c r="HBW2479" s="60"/>
      <c r="HBX2479" s="60"/>
      <c r="HBY2479" s="64"/>
      <c r="HBZ2479" s="61"/>
      <c r="HCA2479" s="54"/>
      <c r="HCB2479" s="54"/>
      <c r="HCC2479" s="60"/>
      <c r="HCD2479" s="60"/>
      <c r="HCE2479" s="60"/>
      <c r="HCF2479" s="60"/>
      <c r="HCG2479" s="64"/>
      <c r="HCH2479" s="61"/>
      <c r="HCI2479" s="54"/>
      <c r="HCJ2479" s="54"/>
      <c r="HCK2479" s="60"/>
      <c r="HCL2479" s="60"/>
      <c r="HCM2479" s="60"/>
      <c r="HCN2479" s="60"/>
      <c r="HCO2479" s="64"/>
      <c r="HCP2479" s="61"/>
      <c r="HCQ2479" s="54"/>
      <c r="HCR2479" s="54"/>
      <c r="HCS2479" s="60"/>
      <c r="HCT2479" s="60"/>
      <c r="HCU2479" s="60"/>
      <c r="HCV2479" s="60"/>
      <c r="HCW2479" s="64"/>
      <c r="HCX2479" s="61"/>
      <c r="HCY2479" s="54"/>
      <c r="HCZ2479" s="54"/>
      <c r="HDA2479" s="60"/>
      <c r="HDB2479" s="60"/>
      <c r="HDC2479" s="60"/>
      <c r="HDD2479" s="60"/>
      <c r="HDE2479" s="64"/>
      <c r="HDF2479" s="61"/>
      <c r="HDG2479" s="54"/>
      <c r="HDH2479" s="54"/>
      <c r="HDI2479" s="60"/>
      <c r="HDJ2479" s="60"/>
      <c r="HDK2479" s="60"/>
      <c r="HDL2479" s="60"/>
      <c r="HDM2479" s="64"/>
      <c r="HDN2479" s="61"/>
      <c r="HDO2479" s="54"/>
      <c r="HDP2479" s="54"/>
      <c r="HDQ2479" s="60"/>
      <c r="HDR2479" s="60"/>
      <c r="HDS2479" s="60"/>
      <c r="HDT2479" s="60"/>
      <c r="HDU2479" s="64"/>
      <c r="HDV2479" s="61"/>
      <c r="HDW2479" s="54"/>
      <c r="HDX2479" s="54"/>
      <c r="HDY2479" s="60"/>
      <c r="HDZ2479" s="60"/>
      <c r="HEA2479" s="60"/>
      <c r="HEB2479" s="60"/>
      <c r="HEC2479" s="64"/>
      <c r="HED2479" s="61"/>
      <c r="HEE2479" s="54"/>
      <c r="HEF2479" s="54"/>
      <c r="HEG2479" s="60"/>
      <c r="HEH2479" s="60"/>
      <c r="HEI2479" s="60"/>
      <c r="HEJ2479" s="60"/>
      <c r="HEK2479" s="64"/>
      <c r="HEL2479" s="61"/>
      <c r="HEM2479" s="54"/>
      <c r="HEN2479" s="54"/>
      <c r="HEO2479" s="60"/>
      <c r="HEP2479" s="60"/>
      <c r="HEQ2479" s="60"/>
      <c r="HER2479" s="60"/>
      <c r="HES2479" s="64"/>
      <c r="HET2479" s="61"/>
      <c r="HEU2479" s="54"/>
      <c r="HEV2479" s="54"/>
      <c r="HEW2479" s="60"/>
      <c r="HEX2479" s="60"/>
      <c r="HEY2479" s="60"/>
      <c r="HEZ2479" s="60"/>
      <c r="HFA2479" s="64"/>
      <c r="HFB2479" s="61"/>
      <c r="HFC2479" s="54"/>
      <c r="HFD2479" s="54"/>
      <c r="HFE2479" s="60"/>
      <c r="HFF2479" s="60"/>
      <c r="HFG2479" s="60"/>
      <c r="HFH2479" s="60"/>
      <c r="HFI2479" s="64"/>
      <c r="HFJ2479" s="61"/>
      <c r="HFK2479" s="54"/>
      <c r="HFL2479" s="54"/>
      <c r="HFM2479" s="60"/>
      <c r="HFN2479" s="60"/>
      <c r="HFO2479" s="60"/>
      <c r="HFP2479" s="60"/>
      <c r="HFQ2479" s="64"/>
      <c r="HFR2479" s="61"/>
      <c r="HFS2479" s="54"/>
      <c r="HFT2479" s="54"/>
      <c r="HFU2479" s="60"/>
      <c r="HFV2479" s="60"/>
      <c r="HFW2479" s="60"/>
      <c r="HFX2479" s="60"/>
      <c r="HFY2479" s="64"/>
      <c r="HFZ2479" s="61"/>
      <c r="HGA2479" s="54"/>
      <c r="HGB2479" s="54"/>
      <c r="HGC2479" s="60"/>
      <c r="HGD2479" s="60"/>
      <c r="HGE2479" s="60"/>
      <c r="HGF2479" s="60"/>
      <c r="HGG2479" s="64"/>
      <c r="HGH2479" s="61"/>
      <c r="HGI2479" s="54"/>
      <c r="HGJ2479" s="54"/>
      <c r="HGK2479" s="60"/>
      <c r="HGL2479" s="60"/>
      <c r="HGM2479" s="60"/>
      <c r="HGN2479" s="60"/>
      <c r="HGO2479" s="64"/>
      <c r="HGP2479" s="61"/>
      <c r="HGQ2479" s="54"/>
      <c r="HGR2479" s="54"/>
      <c r="HGS2479" s="60"/>
      <c r="HGT2479" s="60"/>
      <c r="HGU2479" s="60"/>
      <c r="HGV2479" s="60"/>
      <c r="HGW2479" s="64"/>
      <c r="HGX2479" s="61"/>
      <c r="HGY2479" s="54"/>
      <c r="HGZ2479" s="54"/>
      <c r="HHA2479" s="60"/>
      <c r="HHB2479" s="60"/>
      <c r="HHC2479" s="60"/>
      <c r="HHD2479" s="60"/>
      <c r="HHE2479" s="64"/>
      <c r="HHF2479" s="61"/>
      <c r="HHG2479" s="54"/>
      <c r="HHH2479" s="54"/>
      <c r="HHI2479" s="60"/>
      <c r="HHJ2479" s="60"/>
      <c r="HHK2479" s="60"/>
      <c r="HHL2479" s="60"/>
      <c r="HHM2479" s="64"/>
      <c r="HHN2479" s="61"/>
      <c r="HHO2479" s="54"/>
      <c r="HHP2479" s="54"/>
      <c r="HHQ2479" s="60"/>
      <c r="HHR2479" s="60"/>
      <c r="HHS2479" s="60"/>
      <c r="HHT2479" s="60"/>
      <c r="HHU2479" s="64"/>
      <c r="HHV2479" s="61"/>
      <c r="HHW2479" s="54"/>
      <c r="HHX2479" s="54"/>
      <c r="HHY2479" s="60"/>
      <c r="HHZ2479" s="60"/>
      <c r="HIA2479" s="60"/>
      <c r="HIB2479" s="60"/>
      <c r="HIC2479" s="64"/>
      <c r="HID2479" s="61"/>
      <c r="HIE2479" s="54"/>
      <c r="HIF2479" s="54"/>
      <c r="HIG2479" s="60"/>
      <c r="HIH2479" s="60"/>
      <c r="HII2479" s="60"/>
      <c r="HIJ2479" s="60"/>
      <c r="HIK2479" s="64"/>
      <c r="HIL2479" s="61"/>
      <c r="HIM2479" s="54"/>
      <c r="HIN2479" s="54"/>
      <c r="HIO2479" s="60"/>
      <c r="HIP2479" s="60"/>
      <c r="HIQ2479" s="60"/>
      <c r="HIR2479" s="60"/>
      <c r="HIS2479" s="64"/>
      <c r="HIT2479" s="61"/>
      <c r="HIU2479" s="54"/>
      <c r="HIV2479" s="54"/>
      <c r="HIW2479" s="60"/>
      <c r="HIX2479" s="60"/>
      <c r="HIY2479" s="60"/>
      <c r="HIZ2479" s="60"/>
      <c r="HJA2479" s="64"/>
      <c r="HJB2479" s="61"/>
      <c r="HJC2479" s="54"/>
      <c r="HJD2479" s="54"/>
      <c r="HJE2479" s="60"/>
      <c r="HJF2479" s="60"/>
      <c r="HJG2479" s="60"/>
      <c r="HJH2479" s="60"/>
      <c r="HJI2479" s="64"/>
      <c r="HJJ2479" s="61"/>
      <c r="HJK2479" s="54"/>
      <c r="HJL2479" s="54"/>
      <c r="HJM2479" s="60"/>
      <c r="HJN2479" s="60"/>
      <c r="HJO2479" s="60"/>
      <c r="HJP2479" s="60"/>
      <c r="HJQ2479" s="64"/>
      <c r="HJR2479" s="61"/>
      <c r="HJS2479" s="54"/>
      <c r="HJT2479" s="54"/>
      <c r="HJU2479" s="60"/>
      <c r="HJV2479" s="60"/>
      <c r="HJW2479" s="60"/>
      <c r="HJX2479" s="60"/>
      <c r="HJY2479" s="64"/>
      <c r="HJZ2479" s="61"/>
      <c r="HKA2479" s="54"/>
      <c r="HKB2479" s="54"/>
      <c r="HKC2479" s="60"/>
      <c r="HKD2479" s="60"/>
      <c r="HKE2479" s="60"/>
      <c r="HKF2479" s="60"/>
      <c r="HKG2479" s="64"/>
      <c r="HKH2479" s="61"/>
      <c r="HKI2479" s="54"/>
      <c r="HKJ2479" s="54"/>
      <c r="HKK2479" s="60"/>
      <c r="HKL2479" s="60"/>
      <c r="HKM2479" s="60"/>
      <c r="HKN2479" s="60"/>
      <c r="HKO2479" s="64"/>
      <c r="HKP2479" s="61"/>
      <c r="HKQ2479" s="54"/>
      <c r="HKR2479" s="54"/>
      <c r="HKS2479" s="60"/>
      <c r="HKT2479" s="60"/>
      <c r="HKU2479" s="60"/>
      <c r="HKV2479" s="60"/>
      <c r="HKW2479" s="64"/>
      <c r="HKX2479" s="61"/>
      <c r="HKY2479" s="54"/>
      <c r="HKZ2479" s="54"/>
      <c r="HLA2479" s="60"/>
      <c r="HLB2479" s="60"/>
      <c r="HLC2479" s="60"/>
      <c r="HLD2479" s="60"/>
      <c r="HLE2479" s="64"/>
      <c r="HLF2479" s="61"/>
      <c r="HLG2479" s="54"/>
      <c r="HLH2479" s="54"/>
      <c r="HLI2479" s="60"/>
      <c r="HLJ2479" s="60"/>
      <c r="HLK2479" s="60"/>
      <c r="HLL2479" s="60"/>
      <c r="HLM2479" s="64"/>
      <c r="HLN2479" s="61"/>
      <c r="HLO2479" s="54"/>
      <c r="HLP2479" s="54"/>
      <c r="HLQ2479" s="60"/>
      <c r="HLR2479" s="60"/>
      <c r="HLS2479" s="60"/>
      <c r="HLT2479" s="60"/>
      <c r="HLU2479" s="64"/>
      <c r="HLV2479" s="61"/>
      <c r="HLW2479" s="54"/>
      <c r="HLX2479" s="54"/>
      <c r="HLY2479" s="60"/>
      <c r="HLZ2479" s="60"/>
      <c r="HMA2479" s="60"/>
      <c r="HMB2479" s="60"/>
      <c r="HMC2479" s="64"/>
      <c r="HMD2479" s="61"/>
      <c r="HME2479" s="54"/>
      <c r="HMF2479" s="54"/>
      <c r="HMG2479" s="60"/>
      <c r="HMH2479" s="60"/>
      <c r="HMI2479" s="60"/>
      <c r="HMJ2479" s="60"/>
      <c r="HMK2479" s="64"/>
      <c r="HML2479" s="61"/>
      <c r="HMM2479" s="54"/>
      <c r="HMN2479" s="54"/>
      <c r="HMO2479" s="60"/>
      <c r="HMP2479" s="60"/>
      <c r="HMQ2479" s="60"/>
      <c r="HMR2479" s="60"/>
      <c r="HMS2479" s="64"/>
      <c r="HMT2479" s="61"/>
      <c r="HMU2479" s="54"/>
      <c r="HMV2479" s="54"/>
      <c r="HMW2479" s="60"/>
      <c r="HMX2479" s="60"/>
      <c r="HMY2479" s="60"/>
      <c r="HMZ2479" s="60"/>
      <c r="HNA2479" s="64"/>
      <c r="HNB2479" s="61"/>
      <c r="HNC2479" s="54"/>
      <c r="HND2479" s="54"/>
      <c r="HNE2479" s="60"/>
      <c r="HNF2479" s="60"/>
      <c r="HNG2479" s="60"/>
      <c r="HNH2479" s="60"/>
      <c r="HNI2479" s="64"/>
      <c r="HNJ2479" s="61"/>
      <c r="HNK2479" s="54"/>
      <c r="HNL2479" s="54"/>
      <c r="HNM2479" s="60"/>
      <c r="HNN2479" s="60"/>
      <c r="HNO2479" s="60"/>
      <c r="HNP2479" s="60"/>
      <c r="HNQ2479" s="64"/>
      <c r="HNR2479" s="61"/>
      <c r="HNS2479" s="54"/>
      <c r="HNT2479" s="54"/>
      <c r="HNU2479" s="60"/>
      <c r="HNV2479" s="60"/>
      <c r="HNW2479" s="60"/>
      <c r="HNX2479" s="60"/>
      <c r="HNY2479" s="64"/>
      <c r="HNZ2479" s="61"/>
      <c r="HOA2479" s="54"/>
      <c r="HOB2479" s="54"/>
      <c r="HOC2479" s="60"/>
      <c r="HOD2479" s="60"/>
      <c r="HOE2479" s="60"/>
      <c r="HOF2479" s="60"/>
      <c r="HOG2479" s="64"/>
      <c r="HOH2479" s="61"/>
      <c r="HOI2479" s="54"/>
      <c r="HOJ2479" s="54"/>
      <c r="HOK2479" s="60"/>
      <c r="HOL2479" s="60"/>
      <c r="HOM2479" s="60"/>
      <c r="HON2479" s="60"/>
      <c r="HOO2479" s="64"/>
      <c r="HOP2479" s="61"/>
      <c r="HOQ2479" s="54"/>
      <c r="HOR2479" s="54"/>
      <c r="HOS2479" s="60"/>
      <c r="HOT2479" s="60"/>
      <c r="HOU2479" s="60"/>
      <c r="HOV2479" s="60"/>
      <c r="HOW2479" s="64"/>
      <c r="HOX2479" s="61"/>
      <c r="HOY2479" s="54"/>
      <c r="HOZ2479" s="54"/>
      <c r="HPA2479" s="60"/>
      <c r="HPB2479" s="60"/>
      <c r="HPC2479" s="60"/>
      <c r="HPD2479" s="60"/>
      <c r="HPE2479" s="64"/>
      <c r="HPF2479" s="61"/>
      <c r="HPG2479" s="54"/>
      <c r="HPH2479" s="54"/>
      <c r="HPI2479" s="60"/>
      <c r="HPJ2479" s="60"/>
      <c r="HPK2479" s="60"/>
      <c r="HPL2479" s="60"/>
      <c r="HPM2479" s="64"/>
      <c r="HPN2479" s="61"/>
      <c r="HPO2479" s="54"/>
      <c r="HPP2479" s="54"/>
      <c r="HPQ2479" s="60"/>
      <c r="HPR2479" s="60"/>
      <c r="HPS2479" s="60"/>
      <c r="HPT2479" s="60"/>
      <c r="HPU2479" s="64"/>
      <c r="HPV2479" s="61"/>
      <c r="HPW2479" s="54"/>
      <c r="HPX2479" s="54"/>
      <c r="HPY2479" s="60"/>
      <c r="HPZ2479" s="60"/>
      <c r="HQA2479" s="60"/>
      <c r="HQB2479" s="60"/>
      <c r="HQC2479" s="64"/>
      <c r="HQD2479" s="61"/>
      <c r="HQE2479" s="54"/>
      <c r="HQF2479" s="54"/>
      <c r="HQG2479" s="60"/>
      <c r="HQH2479" s="60"/>
      <c r="HQI2479" s="60"/>
      <c r="HQJ2479" s="60"/>
      <c r="HQK2479" s="64"/>
      <c r="HQL2479" s="61"/>
      <c r="HQM2479" s="54"/>
      <c r="HQN2479" s="54"/>
      <c r="HQO2479" s="60"/>
      <c r="HQP2479" s="60"/>
      <c r="HQQ2479" s="60"/>
      <c r="HQR2479" s="60"/>
      <c r="HQS2479" s="64"/>
      <c r="HQT2479" s="61"/>
      <c r="HQU2479" s="54"/>
      <c r="HQV2479" s="54"/>
      <c r="HQW2479" s="60"/>
      <c r="HQX2479" s="60"/>
      <c r="HQY2479" s="60"/>
      <c r="HQZ2479" s="60"/>
      <c r="HRA2479" s="64"/>
      <c r="HRB2479" s="61"/>
      <c r="HRC2479" s="54"/>
      <c r="HRD2479" s="54"/>
      <c r="HRE2479" s="60"/>
      <c r="HRF2479" s="60"/>
      <c r="HRG2479" s="60"/>
      <c r="HRH2479" s="60"/>
      <c r="HRI2479" s="64"/>
      <c r="HRJ2479" s="61"/>
      <c r="HRK2479" s="54"/>
      <c r="HRL2479" s="54"/>
      <c r="HRM2479" s="60"/>
      <c r="HRN2479" s="60"/>
      <c r="HRO2479" s="60"/>
      <c r="HRP2479" s="60"/>
      <c r="HRQ2479" s="64"/>
      <c r="HRR2479" s="61"/>
      <c r="HRS2479" s="54"/>
      <c r="HRT2479" s="54"/>
      <c r="HRU2479" s="60"/>
      <c r="HRV2479" s="60"/>
      <c r="HRW2479" s="60"/>
      <c r="HRX2479" s="60"/>
      <c r="HRY2479" s="64"/>
      <c r="HRZ2479" s="61"/>
      <c r="HSA2479" s="54"/>
      <c r="HSB2479" s="54"/>
      <c r="HSC2479" s="60"/>
      <c r="HSD2479" s="60"/>
      <c r="HSE2479" s="60"/>
      <c r="HSF2479" s="60"/>
      <c r="HSG2479" s="64"/>
      <c r="HSH2479" s="61"/>
      <c r="HSI2479" s="54"/>
      <c r="HSJ2479" s="54"/>
      <c r="HSK2479" s="60"/>
      <c r="HSL2479" s="60"/>
      <c r="HSM2479" s="60"/>
      <c r="HSN2479" s="60"/>
      <c r="HSO2479" s="64"/>
      <c r="HSP2479" s="61"/>
      <c r="HSQ2479" s="54"/>
      <c r="HSR2479" s="54"/>
      <c r="HSS2479" s="60"/>
      <c r="HST2479" s="60"/>
      <c r="HSU2479" s="60"/>
      <c r="HSV2479" s="60"/>
      <c r="HSW2479" s="64"/>
      <c r="HSX2479" s="61"/>
      <c r="HSY2479" s="54"/>
      <c r="HSZ2479" s="54"/>
      <c r="HTA2479" s="60"/>
      <c r="HTB2479" s="60"/>
      <c r="HTC2479" s="60"/>
      <c r="HTD2479" s="60"/>
      <c r="HTE2479" s="64"/>
      <c r="HTF2479" s="61"/>
      <c r="HTG2479" s="54"/>
      <c r="HTH2479" s="54"/>
      <c r="HTI2479" s="60"/>
      <c r="HTJ2479" s="60"/>
      <c r="HTK2479" s="60"/>
      <c r="HTL2479" s="60"/>
      <c r="HTM2479" s="64"/>
      <c r="HTN2479" s="61"/>
      <c r="HTO2479" s="54"/>
      <c r="HTP2479" s="54"/>
      <c r="HTQ2479" s="60"/>
      <c r="HTR2479" s="60"/>
      <c r="HTS2479" s="60"/>
      <c r="HTT2479" s="60"/>
      <c r="HTU2479" s="64"/>
      <c r="HTV2479" s="61"/>
      <c r="HTW2479" s="54"/>
      <c r="HTX2479" s="54"/>
      <c r="HTY2479" s="60"/>
      <c r="HTZ2479" s="60"/>
      <c r="HUA2479" s="60"/>
      <c r="HUB2479" s="60"/>
      <c r="HUC2479" s="64"/>
      <c r="HUD2479" s="61"/>
      <c r="HUE2479" s="54"/>
      <c r="HUF2479" s="54"/>
      <c r="HUG2479" s="60"/>
      <c r="HUH2479" s="60"/>
      <c r="HUI2479" s="60"/>
      <c r="HUJ2479" s="60"/>
      <c r="HUK2479" s="64"/>
      <c r="HUL2479" s="61"/>
      <c r="HUM2479" s="54"/>
      <c r="HUN2479" s="54"/>
      <c r="HUO2479" s="60"/>
      <c r="HUP2479" s="60"/>
      <c r="HUQ2479" s="60"/>
      <c r="HUR2479" s="60"/>
      <c r="HUS2479" s="64"/>
      <c r="HUT2479" s="61"/>
      <c r="HUU2479" s="54"/>
      <c r="HUV2479" s="54"/>
      <c r="HUW2479" s="60"/>
      <c r="HUX2479" s="60"/>
      <c r="HUY2479" s="60"/>
      <c r="HUZ2479" s="60"/>
      <c r="HVA2479" s="64"/>
      <c r="HVB2479" s="61"/>
      <c r="HVC2479" s="54"/>
      <c r="HVD2479" s="54"/>
      <c r="HVE2479" s="60"/>
      <c r="HVF2479" s="60"/>
      <c r="HVG2479" s="60"/>
      <c r="HVH2479" s="60"/>
      <c r="HVI2479" s="64"/>
      <c r="HVJ2479" s="61"/>
      <c r="HVK2479" s="54"/>
      <c r="HVL2479" s="54"/>
      <c r="HVM2479" s="60"/>
      <c r="HVN2479" s="60"/>
      <c r="HVO2479" s="60"/>
      <c r="HVP2479" s="60"/>
      <c r="HVQ2479" s="64"/>
      <c r="HVR2479" s="61"/>
      <c r="HVS2479" s="54"/>
      <c r="HVT2479" s="54"/>
      <c r="HVU2479" s="60"/>
      <c r="HVV2479" s="60"/>
      <c r="HVW2479" s="60"/>
      <c r="HVX2479" s="60"/>
      <c r="HVY2479" s="64"/>
      <c r="HVZ2479" s="61"/>
      <c r="HWA2479" s="54"/>
      <c r="HWB2479" s="54"/>
      <c r="HWC2479" s="60"/>
      <c r="HWD2479" s="60"/>
      <c r="HWE2479" s="60"/>
      <c r="HWF2479" s="60"/>
      <c r="HWG2479" s="64"/>
      <c r="HWH2479" s="61"/>
      <c r="HWI2479" s="54"/>
      <c r="HWJ2479" s="54"/>
      <c r="HWK2479" s="60"/>
      <c r="HWL2479" s="60"/>
      <c r="HWM2479" s="60"/>
      <c r="HWN2479" s="60"/>
      <c r="HWO2479" s="64"/>
      <c r="HWP2479" s="61"/>
      <c r="HWQ2479" s="54"/>
      <c r="HWR2479" s="54"/>
      <c r="HWS2479" s="60"/>
      <c r="HWT2479" s="60"/>
      <c r="HWU2479" s="60"/>
      <c r="HWV2479" s="60"/>
      <c r="HWW2479" s="64"/>
      <c r="HWX2479" s="61"/>
      <c r="HWY2479" s="54"/>
      <c r="HWZ2479" s="54"/>
      <c r="HXA2479" s="60"/>
      <c r="HXB2479" s="60"/>
      <c r="HXC2479" s="60"/>
      <c r="HXD2479" s="60"/>
      <c r="HXE2479" s="64"/>
      <c r="HXF2479" s="61"/>
      <c r="HXG2479" s="54"/>
      <c r="HXH2479" s="54"/>
      <c r="HXI2479" s="60"/>
      <c r="HXJ2479" s="60"/>
      <c r="HXK2479" s="60"/>
      <c r="HXL2479" s="60"/>
      <c r="HXM2479" s="64"/>
      <c r="HXN2479" s="61"/>
      <c r="HXO2479" s="54"/>
      <c r="HXP2479" s="54"/>
      <c r="HXQ2479" s="60"/>
      <c r="HXR2479" s="60"/>
      <c r="HXS2479" s="60"/>
      <c r="HXT2479" s="60"/>
      <c r="HXU2479" s="64"/>
      <c r="HXV2479" s="61"/>
      <c r="HXW2479" s="54"/>
      <c r="HXX2479" s="54"/>
      <c r="HXY2479" s="60"/>
      <c r="HXZ2479" s="60"/>
      <c r="HYA2479" s="60"/>
      <c r="HYB2479" s="60"/>
      <c r="HYC2479" s="64"/>
      <c r="HYD2479" s="61"/>
      <c r="HYE2479" s="54"/>
      <c r="HYF2479" s="54"/>
      <c r="HYG2479" s="60"/>
      <c r="HYH2479" s="60"/>
      <c r="HYI2479" s="60"/>
      <c r="HYJ2479" s="60"/>
      <c r="HYK2479" s="64"/>
      <c r="HYL2479" s="61"/>
      <c r="HYM2479" s="54"/>
      <c r="HYN2479" s="54"/>
      <c r="HYO2479" s="60"/>
      <c r="HYP2479" s="60"/>
      <c r="HYQ2479" s="60"/>
      <c r="HYR2479" s="60"/>
      <c r="HYS2479" s="64"/>
      <c r="HYT2479" s="61"/>
      <c r="HYU2479" s="54"/>
      <c r="HYV2479" s="54"/>
      <c r="HYW2479" s="60"/>
      <c r="HYX2479" s="60"/>
      <c r="HYY2479" s="60"/>
      <c r="HYZ2479" s="60"/>
      <c r="HZA2479" s="64"/>
      <c r="HZB2479" s="61"/>
      <c r="HZC2479" s="54"/>
      <c r="HZD2479" s="54"/>
      <c r="HZE2479" s="60"/>
      <c r="HZF2479" s="60"/>
      <c r="HZG2479" s="60"/>
      <c r="HZH2479" s="60"/>
      <c r="HZI2479" s="64"/>
      <c r="HZJ2479" s="61"/>
      <c r="HZK2479" s="54"/>
      <c r="HZL2479" s="54"/>
      <c r="HZM2479" s="60"/>
      <c r="HZN2479" s="60"/>
      <c r="HZO2479" s="60"/>
      <c r="HZP2479" s="60"/>
      <c r="HZQ2479" s="64"/>
      <c r="HZR2479" s="61"/>
      <c r="HZS2479" s="54"/>
      <c r="HZT2479" s="54"/>
      <c r="HZU2479" s="60"/>
      <c r="HZV2479" s="60"/>
      <c r="HZW2479" s="60"/>
      <c r="HZX2479" s="60"/>
      <c r="HZY2479" s="64"/>
      <c r="HZZ2479" s="61"/>
      <c r="IAA2479" s="54"/>
      <c r="IAB2479" s="54"/>
      <c r="IAC2479" s="60"/>
      <c r="IAD2479" s="60"/>
      <c r="IAE2479" s="60"/>
      <c r="IAF2479" s="60"/>
      <c r="IAG2479" s="64"/>
      <c r="IAH2479" s="61"/>
      <c r="IAI2479" s="54"/>
      <c r="IAJ2479" s="54"/>
      <c r="IAK2479" s="60"/>
      <c r="IAL2479" s="60"/>
      <c r="IAM2479" s="60"/>
      <c r="IAN2479" s="60"/>
      <c r="IAO2479" s="64"/>
      <c r="IAP2479" s="61"/>
      <c r="IAQ2479" s="54"/>
      <c r="IAR2479" s="54"/>
      <c r="IAS2479" s="60"/>
      <c r="IAT2479" s="60"/>
      <c r="IAU2479" s="60"/>
      <c r="IAV2479" s="60"/>
      <c r="IAW2479" s="64"/>
      <c r="IAX2479" s="61"/>
      <c r="IAY2479" s="54"/>
      <c r="IAZ2479" s="54"/>
      <c r="IBA2479" s="60"/>
      <c r="IBB2479" s="60"/>
      <c r="IBC2479" s="60"/>
      <c r="IBD2479" s="60"/>
      <c r="IBE2479" s="64"/>
      <c r="IBF2479" s="61"/>
      <c r="IBG2479" s="54"/>
      <c r="IBH2479" s="54"/>
      <c r="IBI2479" s="60"/>
      <c r="IBJ2479" s="60"/>
      <c r="IBK2479" s="60"/>
      <c r="IBL2479" s="60"/>
      <c r="IBM2479" s="64"/>
      <c r="IBN2479" s="61"/>
      <c r="IBO2479" s="54"/>
      <c r="IBP2479" s="54"/>
      <c r="IBQ2479" s="60"/>
      <c r="IBR2479" s="60"/>
      <c r="IBS2479" s="60"/>
      <c r="IBT2479" s="60"/>
      <c r="IBU2479" s="64"/>
      <c r="IBV2479" s="61"/>
      <c r="IBW2479" s="54"/>
      <c r="IBX2479" s="54"/>
      <c r="IBY2479" s="60"/>
      <c r="IBZ2479" s="60"/>
      <c r="ICA2479" s="60"/>
      <c r="ICB2479" s="60"/>
      <c r="ICC2479" s="64"/>
      <c r="ICD2479" s="61"/>
      <c r="ICE2479" s="54"/>
      <c r="ICF2479" s="54"/>
      <c r="ICG2479" s="60"/>
      <c r="ICH2479" s="60"/>
      <c r="ICI2479" s="60"/>
      <c r="ICJ2479" s="60"/>
      <c r="ICK2479" s="64"/>
      <c r="ICL2479" s="61"/>
      <c r="ICM2479" s="54"/>
      <c r="ICN2479" s="54"/>
      <c r="ICO2479" s="60"/>
      <c r="ICP2479" s="60"/>
      <c r="ICQ2479" s="60"/>
      <c r="ICR2479" s="60"/>
      <c r="ICS2479" s="64"/>
      <c r="ICT2479" s="61"/>
      <c r="ICU2479" s="54"/>
      <c r="ICV2479" s="54"/>
      <c r="ICW2479" s="60"/>
      <c r="ICX2479" s="60"/>
      <c r="ICY2479" s="60"/>
      <c r="ICZ2479" s="60"/>
      <c r="IDA2479" s="64"/>
      <c r="IDB2479" s="61"/>
      <c r="IDC2479" s="54"/>
      <c r="IDD2479" s="54"/>
      <c r="IDE2479" s="60"/>
      <c r="IDF2479" s="60"/>
      <c r="IDG2479" s="60"/>
      <c r="IDH2479" s="60"/>
      <c r="IDI2479" s="64"/>
      <c r="IDJ2479" s="61"/>
      <c r="IDK2479" s="54"/>
      <c r="IDL2479" s="54"/>
      <c r="IDM2479" s="60"/>
      <c r="IDN2479" s="60"/>
      <c r="IDO2479" s="60"/>
      <c r="IDP2479" s="60"/>
      <c r="IDQ2479" s="64"/>
      <c r="IDR2479" s="61"/>
      <c r="IDS2479" s="54"/>
      <c r="IDT2479" s="54"/>
      <c r="IDU2479" s="60"/>
      <c r="IDV2479" s="60"/>
      <c r="IDW2479" s="60"/>
      <c r="IDX2479" s="60"/>
      <c r="IDY2479" s="64"/>
      <c r="IDZ2479" s="61"/>
      <c r="IEA2479" s="54"/>
      <c r="IEB2479" s="54"/>
      <c r="IEC2479" s="60"/>
      <c r="IED2479" s="60"/>
      <c r="IEE2479" s="60"/>
      <c r="IEF2479" s="60"/>
      <c r="IEG2479" s="64"/>
      <c r="IEH2479" s="61"/>
      <c r="IEI2479" s="54"/>
      <c r="IEJ2479" s="54"/>
      <c r="IEK2479" s="60"/>
      <c r="IEL2479" s="60"/>
      <c r="IEM2479" s="60"/>
      <c r="IEN2479" s="60"/>
      <c r="IEO2479" s="64"/>
      <c r="IEP2479" s="61"/>
      <c r="IEQ2479" s="54"/>
      <c r="IER2479" s="54"/>
      <c r="IES2479" s="60"/>
      <c r="IET2479" s="60"/>
      <c r="IEU2479" s="60"/>
      <c r="IEV2479" s="60"/>
      <c r="IEW2479" s="64"/>
      <c r="IEX2479" s="61"/>
      <c r="IEY2479" s="54"/>
      <c r="IEZ2479" s="54"/>
      <c r="IFA2479" s="60"/>
      <c r="IFB2479" s="60"/>
      <c r="IFC2479" s="60"/>
      <c r="IFD2479" s="60"/>
      <c r="IFE2479" s="64"/>
      <c r="IFF2479" s="61"/>
      <c r="IFG2479" s="54"/>
      <c r="IFH2479" s="54"/>
      <c r="IFI2479" s="60"/>
      <c r="IFJ2479" s="60"/>
      <c r="IFK2479" s="60"/>
      <c r="IFL2479" s="60"/>
      <c r="IFM2479" s="64"/>
      <c r="IFN2479" s="61"/>
      <c r="IFO2479" s="54"/>
      <c r="IFP2479" s="54"/>
      <c r="IFQ2479" s="60"/>
      <c r="IFR2479" s="60"/>
      <c r="IFS2479" s="60"/>
      <c r="IFT2479" s="60"/>
      <c r="IFU2479" s="64"/>
      <c r="IFV2479" s="61"/>
      <c r="IFW2479" s="54"/>
      <c r="IFX2479" s="54"/>
      <c r="IFY2479" s="60"/>
      <c r="IFZ2479" s="60"/>
      <c r="IGA2479" s="60"/>
      <c r="IGB2479" s="60"/>
      <c r="IGC2479" s="64"/>
      <c r="IGD2479" s="61"/>
      <c r="IGE2479" s="54"/>
      <c r="IGF2479" s="54"/>
      <c r="IGG2479" s="60"/>
      <c r="IGH2479" s="60"/>
      <c r="IGI2479" s="60"/>
      <c r="IGJ2479" s="60"/>
      <c r="IGK2479" s="64"/>
      <c r="IGL2479" s="61"/>
      <c r="IGM2479" s="54"/>
      <c r="IGN2479" s="54"/>
      <c r="IGO2479" s="60"/>
      <c r="IGP2479" s="60"/>
      <c r="IGQ2479" s="60"/>
      <c r="IGR2479" s="60"/>
      <c r="IGS2479" s="64"/>
      <c r="IGT2479" s="61"/>
      <c r="IGU2479" s="54"/>
      <c r="IGV2479" s="54"/>
      <c r="IGW2479" s="60"/>
      <c r="IGX2479" s="60"/>
      <c r="IGY2479" s="60"/>
      <c r="IGZ2479" s="60"/>
      <c r="IHA2479" s="64"/>
      <c r="IHB2479" s="61"/>
      <c r="IHC2479" s="54"/>
      <c r="IHD2479" s="54"/>
      <c r="IHE2479" s="60"/>
      <c r="IHF2479" s="60"/>
      <c r="IHG2479" s="60"/>
      <c r="IHH2479" s="60"/>
      <c r="IHI2479" s="64"/>
      <c r="IHJ2479" s="61"/>
      <c r="IHK2479" s="54"/>
      <c r="IHL2479" s="54"/>
      <c r="IHM2479" s="60"/>
      <c r="IHN2479" s="60"/>
      <c r="IHO2479" s="60"/>
      <c r="IHP2479" s="60"/>
      <c r="IHQ2479" s="64"/>
      <c r="IHR2479" s="61"/>
      <c r="IHS2479" s="54"/>
      <c r="IHT2479" s="54"/>
      <c r="IHU2479" s="60"/>
      <c r="IHV2479" s="60"/>
      <c r="IHW2479" s="60"/>
      <c r="IHX2479" s="60"/>
      <c r="IHY2479" s="64"/>
      <c r="IHZ2479" s="61"/>
      <c r="IIA2479" s="54"/>
      <c r="IIB2479" s="54"/>
      <c r="IIC2479" s="60"/>
      <c r="IID2479" s="60"/>
      <c r="IIE2479" s="60"/>
      <c r="IIF2479" s="60"/>
      <c r="IIG2479" s="64"/>
      <c r="IIH2479" s="61"/>
      <c r="III2479" s="54"/>
      <c r="IIJ2479" s="54"/>
      <c r="IIK2479" s="60"/>
      <c r="IIL2479" s="60"/>
      <c r="IIM2479" s="60"/>
      <c r="IIN2479" s="60"/>
      <c r="IIO2479" s="64"/>
      <c r="IIP2479" s="61"/>
      <c r="IIQ2479" s="54"/>
      <c r="IIR2479" s="54"/>
      <c r="IIS2479" s="60"/>
      <c r="IIT2479" s="60"/>
      <c r="IIU2479" s="60"/>
      <c r="IIV2479" s="60"/>
      <c r="IIW2479" s="64"/>
      <c r="IIX2479" s="61"/>
      <c r="IIY2479" s="54"/>
      <c r="IIZ2479" s="54"/>
      <c r="IJA2479" s="60"/>
      <c r="IJB2479" s="60"/>
      <c r="IJC2479" s="60"/>
      <c r="IJD2479" s="60"/>
      <c r="IJE2479" s="64"/>
      <c r="IJF2479" s="61"/>
      <c r="IJG2479" s="54"/>
      <c r="IJH2479" s="54"/>
      <c r="IJI2479" s="60"/>
      <c r="IJJ2479" s="60"/>
      <c r="IJK2479" s="60"/>
      <c r="IJL2479" s="60"/>
      <c r="IJM2479" s="64"/>
      <c r="IJN2479" s="61"/>
      <c r="IJO2479" s="54"/>
      <c r="IJP2479" s="54"/>
      <c r="IJQ2479" s="60"/>
      <c r="IJR2479" s="60"/>
      <c r="IJS2479" s="60"/>
      <c r="IJT2479" s="60"/>
      <c r="IJU2479" s="64"/>
      <c r="IJV2479" s="61"/>
      <c r="IJW2479" s="54"/>
      <c r="IJX2479" s="54"/>
      <c r="IJY2479" s="60"/>
      <c r="IJZ2479" s="60"/>
      <c r="IKA2479" s="60"/>
      <c r="IKB2479" s="60"/>
      <c r="IKC2479" s="64"/>
      <c r="IKD2479" s="61"/>
      <c r="IKE2479" s="54"/>
      <c r="IKF2479" s="54"/>
      <c r="IKG2479" s="60"/>
      <c r="IKH2479" s="60"/>
      <c r="IKI2479" s="60"/>
      <c r="IKJ2479" s="60"/>
      <c r="IKK2479" s="64"/>
      <c r="IKL2479" s="61"/>
      <c r="IKM2479" s="54"/>
      <c r="IKN2479" s="54"/>
      <c r="IKO2479" s="60"/>
      <c r="IKP2479" s="60"/>
      <c r="IKQ2479" s="60"/>
      <c r="IKR2479" s="60"/>
      <c r="IKS2479" s="64"/>
      <c r="IKT2479" s="61"/>
      <c r="IKU2479" s="54"/>
      <c r="IKV2479" s="54"/>
      <c r="IKW2479" s="60"/>
      <c r="IKX2479" s="60"/>
      <c r="IKY2479" s="60"/>
      <c r="IKZ2479" s="60"/>
      <c r="ILA2479" s="64"/>
      <c r="ILB2479" s="61"/>
      <c r="ILC2479" s="54"/>
      <c r="ILD2479" s="54"/>
      <c r="ILE2479" s="60"/>
      <c r="ILF2479" s="60"/>
      <c r="ILG2479" s="60"/>
      <c r="ILH2479" s="60"/>
      <c r="ILI2479" s="64"/>
      <c r="ILJ2479" s="61"/>
      <c r="ILK2479" s="54"/>
      <c r="ILL2479" s="54"/>
      <c r="ILM2479" s="60"/>
      <c r="ILN2479" s="60"/>
      <c r="ILO2479" s="60"/>
      <c r="ILP2479" s="60"/>
      <c r="ILQ2479" s="64"/>
      <c r="ILR2479" s="61"/>
      <c r="ILS2479" s="54"/>
      <c r="ILT2479" s="54"/>
      <c r="ILU2479" s="60"/>
      <c r="ILV2479" s="60"/>
      <c r="ILW2479" s="60"/>
      <c r="ILX2479" s="60"/>
      <c r="ILY2479" s="64"/>
      <c r="ILZ2479" s="61"/>
      <c r="IMA2479" s="54"/>
      <c r="IMB2479" s="54"/>
      <c r="IMC2479" s="60"/>
      <c r="IMD2479" s="60"/>
      <c r="IME2479" s="60"/>
      <c r="IMF2479" s="60"/>
      <c r="IMG2479" s="64"/>
      <c r="IMH2479" s="61"/>
      <c r="IMI2479" s="54"/>
      <c r="IMJ2479" s="54"/>
      <c r="IMK2479" s="60"/>
      <c r="IML2479" s="60"/>
      <c r="IMM2479" s="60"/>
      <c r="IMN2479" s="60"/>
      <c r="IMO2479" s="64"/>
      <c r="IMP2479" s="61"/>
      <c r="IMQ2479" s="54"/>
      <c r="IMR2479" s="54"/>
      <c r="IMS2479" s="60"/>
      <c r="IMT2479" s="60"/>
      <c r="IMU2479" s="60"/>
      <c r="IMV2479" s="60"/>
      <c r="IMW2479" s="64"/>
      <c r="IMX2479" s="61"/>
      <c r="IMY2479" s="54"/>
      <c r="IMZ2479" s="54"/>
      <c r="INA2479" s="60"/>
      <c r="INB2479" s="60"/>
      <c r="INC2479" s="60"/>
      <c r="IND2479" s="60"/>
      <c r="INE2479" s="64"/>
      <c r="INF2479" s="61"/>
      <c r="ING2479" s="54"/>
      <c r="INH2479" s="54"/>
      <c r="INI2479" s="60"/>
      <c r="INJ2479" s="60"/>
      <c r="INK2479" s="60"/>
      <c r="INL2479" s="60"/>
      <c r="INM2479" s="64"/>
      <c r="INN2479" s="61"/>
      <c r="INO2479" s="54"/>
      <c r="INP2479" s="54"/>
      <c r="INQ2479" s="60"/>
      <c r="INR2479" s="60"/>
      <c r="INS2479" s="60"/>
      <c r="INT2479" s="60"/>
      <c r="INU2479" s="64"/>
      <c r="INV2479" s="61"/>
      <c r="INW2479" s="54"/>
      <c r="INX2479" s="54"/>
      <c r="INY2479" s="60"/>
      <c r="INZ2479" s="60"/>
      <c r="IOA2479" s="60"/>
      <c r="IOB2479" s="60"/>
      <c r="IOC2479" s="64"/>
      <c r="IOD2479" s="61"/>
      <c r="IOE2479" s="54"/>
      <c r="IOF2479" s="54"/>
      <c r="IOG2479" s="60"/>
      <c r="IOH2479" s="60"/>
      <c r="IOI2479" s="60"/>
      <c r="IOJ2479" s="60"/>
      <c r="IOK2479" s="64"/>
      <c r="IOL2479" s="61"/>
      <c r="IOM2479" s="54"/>
      <c r="ION2479" s="54"/>
      <c r="IOO2479" s="60"/>
      <c r="IOP2479" s="60"/>
      <c r="IOQ2479" s="60"/>
      <c r="IOR2479" s="60"/>
      <c r="IOS2479" s="64"/>
      <c r="IOT2479" s="61"/>
      <c r="IOU2479" s="54"/>
      <c r="IOV2479" s="54"/>
      <c r="IOW2479" s="60"/>
      <c r="IOX2479" s="60"/>
      <c r="IOY2479" s="60"/>
      <c r="IOZ2479" s="60"/>
      <c r="IPA2479" s="64"/>
      <c r="IPB2479" s="61"/>
      <c r="IPC2479" s="54"/>
      <c r="IPD2479" s="54"/>
      <c r="IPE2479" s="60"/>
      <c r="IPF2479" s="60"/>
      <c r="IPG2479" s="60"/>
      <c r="IPH2479" s="60"/>
      <c r="IPI2479" s="64"/>
      <c r="IPJ2479" s="61"/>
      <c r="IPK2479" s="54"/>
      <c r="IPL2479" s="54"/>
      <c r="IPM2479" s="60"/>
      <c r="IPN2479" s="60"/>
      <c r="IPO2479" s="60"/>
      <c r="IPP2479" s="60"/>
      <c r="IPQ2479" s="64"/>
      <c r="IPR2479" s="61"/>
      <c r="IPS2479" s="54"/>
      <c r="IPT2479" s="54"/>
      <c r="IPU2479" s="60"/>
      <c r="IPV2479" s="60"/>
      <c r="IPW2479" s="60"/>
      <c r="IPX2479" s="60"/>
      <c r="IPY2479" s="64"/>
      <c r="IPZ2479" s="61"/>
      <c r="IQA2479" s="54"/>
      <c r="IQB2479" s="54"/>
      <c r="IQC2479" s="60"/>
      <c r="IQD2479" s="60"/>
      <c r="IQE2479" s="60"/>
      <c r="IQF2479" s="60"/>
      <c r="IQG2479" s="64"/>
      <c r="IQH2479" s="61"/>
      <c r="IQI2479" s="54"/>
      <c r="IQJ2479" s="54"/>
      <c r="IQK2479" s="60"/>
      <c r="IQL2479" s="60"/>
      <c r="IQM2479" s="60"/>
      <c r="IQN2479" s="60"/>
      <c r="IQO2479" s="64"/>
      <c r="IQP2479" s="61"/>
      <c r="IQQ2479" s="54"/>
      <c r="IQR2479" s="54"/>
      <c r="IQS2479" s="60"/>
      <c r="IQT2479" s="60"/>
      <c r="IQU2479" s="60"/>
      <c r="IQV2479" s="60"/>
      <c r="IQW2479" s="64"/>
      <c r="IQX2479" s="61"/>
      <c r="IQY2479" s="54"/>
      <c r="IQZ2479" s="54"/>
      <c r="IRA2479" s="60"/>
      <c r="IRB2479" s="60"/>
      <c r="IRC2479" s="60"/>
      <c r="IRD2479" s="60"/>
      <c r="IRE2479" s="64"/>
      <c r="IRF2479" s="61"/>
      <c r="IRG2479" s="54"/>
      <c r="IRH2479" s="54"/>
      <c r="IRI2479" s="60"/>
      <c r="IRJ2479" s="60"/>
      <c r="IRK2479" s="60"/>
      <c r="IRL2479" s="60"/>
      <c r="IRM2479" s="64"/>
      <c r="IRN2479" s="61"/>
      <c r="IRO2479" s="54"/>
      <c r="IRP2479" s="54"/>
      <c r="IRQ2479" s="60"/>
      <c r="IRR2479" s="60"/>
      <c r="IRS2479" s="60"/>
      <c r="IRT2479" s="60"/>
      <c r="IRU2479" s="64"/>
      <c r="IRV2479" s="61"/>
      <c r="IRW2479" s="54"/>
      <c r="IRX2479" s="54"/>
      <c r="IRY2479" s="60"/>
      <c r="IRZ2479" s="60"/>
      <c r="ISA2479" s="60"/>
      <c r="ISB2479" s="60"/>
      <c r="ISC2479" s="64"/>
      <c r="ISD2479" s="61"/>
      <c r="ISE2479" s="54"/>
      <c r="ISF2479" s="54"/>
      <c r="ISG2479" s="60"/>
      <c r="ISH2479" s="60"/>
      <c r="ISI2479" s="60"/>
      <c r="ISJ2479" s="60"/>
      <c r="ISK2479" s="64"/>
      <c r="ISL2479" s="61"/>
      <c r="ISM2479" s="54"/>
      <c r="ISN2479" s="54"/>
      <c r="ISO2479" s="60"/>
      <c r="ISP2479" s="60"/>
      <c r="ISQ2479" s="60"/>
      <c r="ISR2479" s="60"/>
      <c r="ISS2479" s="64"/>
      <c r="IST2479" s="61"/>
      <c r="ISU2479" s="54"/>
      <c r="ISV2479" s="54"/>
      <c r="ISW2479" s="60"/>
      <c r="ISX2479" s="60"/>
      <c r="ISY2479" s="60"/>
      <c r="ISZ2479" s="60"/>
      <c r="ITA2479" s="64"/>
      <c r="ITB2479" s="61"/>
      <c r="ITC2479" s="54"/>
      <c r="ITD2479" s="54"/>
      <c r="ITE2479" s="60"/>
      <c r="ITF2479" s="60"/>
      <c r="ITG2479" s="60"/>
      <c r="ITH2479" s="60"/>
      <c r="ITI2479" s="64"/>
      <c r="ITJ2479" s="61"/>
      <c r="ITK2479" s="54"/>
      <c r="ITL2479" s="54"/>
      <c r="ITM2479" s="60"/>
      <c r="ITN2479" s="60"/>
      <c r="ITO2479" s="60"/>
      <c r="ITP2479" s="60"/>
      <c r="ITQ2479" s="64"/>
      <c r="ITR2479" s="61"/>
      <c r="ITS2479" s="54"/>
      <c r="ITT2479" s="54"/>
      <c r="ITU2479" s="60"/>
      <c r="ITV2479" s="60"/>
      <c r="ITW2479" s="60"/>
      <c r="ITX2479" s="60"/>
      <c r="ITY2479" s="64"/>
      <c r="ITZ2479" s="61"/>
      <c r="IUA2479" s="54"/>
      <c r="IUB2479" s="54"/>
      <c r="IUC2479" s="60"/>
      <c r="IUD2479" s="60"/>
      <c r="IUE2479" s="60"/>
      <c r="IUF2479" s="60"/>
      <c r="IUG2479" s="64"/>
      <c r="IUH2479" s="61"/>
      <c r="IUI2479" s="54"/>
      <c r="IUJ2479" s="54"/>
      <c r="IUK2479" s="60"/>
      <c r="IUL2479" s="60"/>
      <c r="IUM2479" s="60"/>
      <c r="IUN2479" s="60"/>
      <c r="IUO2479" s="64"/>
      <c r="IUP2479" s="61"/>
      <c r="IUQ2479" s="54"/>
      <c r="IUR2479" s="54"/>
      <c r="IUS2479" s="60"/>
      <c r="IUT2479" s="60"/>
      <c r="IUU2479" s="60"/>
      <c r="IUV2479" s="60"/>
      <c r="IUW2479" s="64"/>
      <c r="IUX2479" s="61"/>
      <c r="IUY2479" s="54"/>
      <c r="IUZ2479" s="54"/>
      <c r="IVA2479" s="60"/>
      <c r="IVB2479" s="60"/>
      <c r="IVC2479" s="60"/>
      <c r="IVD2479" s="60"/>
      <c r="IVE2479" s="64"/>
      <c r="IVF2479" s="61"/>
      <c r="IVG2479" s="54"/>
      <c r="IVH2479" s="54"/>
      <c r="IVI2479" s="60"/>
      <c r="IVJ2479" s="60"/>
      <c r="IVK2479" s="60"/>
      <c r="IVL2479" s="60"/>
      <c r="IVM2479" s="64"/>
      <c r="IVN2479" s="61"/>
      <c r="IVO2479" s="54"/>
      <c r="IVP2479" s="54"/>
      <c r="IVQ2479" s="60"/>
      <c r="IVR2479" s="60"/>
      <c r="IVS2479" s="60"/>
      <c r="IVT2479" s="60"/>
      <c r="IVU2479" s="64"/>
      <c r="IVV2479" s="61"/>
      <c r="IVW2479" s="54"/>
      <c r="IVX2479" s="54"/>
      <c r="IVY2479" s="60"/>
      <c r="IVZ2479" s="60"/>
      <c r="IWA2479" s="60"/>
      <c r="IWB2479" s="60"/>
      <c r="IWC2479" s="64"/>
      <c r="IWD2479" s="61"/>
      <c r="IWE2479" s="54"/>
      <c r="IWF2479" s="54"/>
      <c r="IWG2479" s="60"/>
      <c r="IWH2479" s="60"/>
      <c r="IWI2479" s="60"/>
      <c r="IWJ2479" s="60"/>
      <c r="IWK2479" s="64"/>
      <c r="IWL2479" s="61"/>
      <c r="IWM2479" s="54"/>
      <c r="IWN2479" s="54"/>
      <c r="IWO2479" s="60"/>
      <c r="IWP2479" s="60"/>
      <c r="IWQ2479" s="60"/>
      <c r="IWR2479" s="60"/>
      <c r="IWS2479" s="64"/>
      <c r="IWT2479" s="61"/>
      <c r="IWU2479" s="54"/>
      <c r="IWV2479" s="54"/>
      <c r="IWW2479" s="60"/>
      <c r="IWX2479" s="60"/>
      <c r="IWY2479" s="60"/>
      <c r="IWZ2479" s="60"/>
      <c r="IXA2479" s="64"/>
      <c r="IXB2479" s="61"/>
      <c r="IXC2479" s="54"/>
      <c r="IXD2479" s="54"/>
      <c r="IXE2479" s="60"/>
      <c r="IXF2479" s="60"/>
      <c r="IXG2479" s="60"/>
      <c r="IXH2479" s="60"/>
      <c r="IXI2479" s="64"/>
      <c r="IXJ2479" s="61"/>
      <c r="IXK2479" s="54"/>
      <c r="IXL2479" s="54"/>
      <c r="IXM2479" s="60"/>
      <c r="IXN2479" s="60"/>
      <c r="IXO2479" s="60"/>
      <c r="IXP2479" s="60"/>
      <c r="IXQ2479" s="64"/>
      <c r="IXR2479" s="61"/>
      <c r="IXS2479" s="54"/>
      <c r="IXT2479" s="54"/>
      <c r="IXU2479" s="60"/>
      <c r="IXV2479" s="60"/>
      <c r="IXW2479" s="60"/>
      <c r="IXX2479" s="60"/>
      <c r="IXY2479" s="64"/>
      <c r="IXZ2479" s="61"/>
      <c r="IYA2479" s="54"/>
      <c r="IYB2479" s="54"/>
      <c r="IYC2479" s="60"/>
      <c r="IYD2479" s="60"/>
      <c r="IYE2479" s="60"/>
      <c r="IYF2479" s="60"/>
      <c r="IYG2479" s="64"/>
      <c r="IYH2479" s="61"/>
      <c r="IYI2479" s="54"/>
      <c r="IYJ2479" s="54"/>
      <c r="IYK2479" s="60"/>
      <c r="IYL2479" s="60"/>
      <c r="IYM2479" s="60"/>
      <c r="IYN2479" s="60"/>
      <c r="IYO2479" s="64"/>
      <c r="IYP2479" s="61"/>
      <c r="IYQ2479" s="54"/>
      <c r="IYR2479" s="54"/>
      <c r="IYS2479" s="60"/>
      <c r="IYT2479" s="60"/>
      <c r="IYU2479" s="60"/>
      <c r="IYV2479" s="60"/>
      <c r="IYW2479" s="64"/>
      <c r="IYX2479" s="61"/>
      <c r="IYY2479" s="54"/>
      <c r="IYZ2479" s="54"/>
      <c r="IZA2479" s="60"/>
      <c r="IZB2479" s="60"/>
      <c r="IZC2479" s="60"/>
      <c r="IZD2479" s="60"/>
      <c r="IZE2479" s="64"/>
      <c r="IZF2479" s="61"/>
      <c r="IZG2479" s="54"/>
      <c r="IZH2479" s="54"/>
      <c r="IZI2479" s="60"/>
      <c r="IZJ2479" s="60"/>
      <c r="IZK2479" s="60"/>
      <c r="IZL2479" s="60"/>
      <c r="IZM2479" s="64"/>
      <c r="IZN2479" s="61"/>
      <c r="IZO2479" s="54"/>
      <c r="IZP2479" s="54"/>
      <c r="IZQ2479" s="60"/>
      <c r="IZR2479" s="60"/>
      <c r="IZS2479" s="60"/>
      <c r="IZT2479" s="60"/>
      <c r="IZU2479" s="64"/>
      <c r="IZV2479" s="61"/>
      <c r="IZW2479" s="54"/>
      <c r="IZX2479" s="54"/>
      <c r="IZY2479" s="60"/>
      <c r="IZZ2479" s="60"/>
      <c r="JAA2479" s="60"/>
      <c r="JAB2479" s="60"/>
      <c r="JAC2479" s="64"/>
      <c r="JAD2479" s="61"/>
      <c r="JAE2479" s="54"/>
      <c r="JAF2479" s="54"/>
      <c r="JAG2479" s="60"/>
      <c r="JAH2479" s="60"/>
      <c r="JAI2479" s="60"/>
      <c r="JAJ2479" s="60"/>
      <c r="JAK2479" s="64"/>
      <c r="JAL2479" s="61"/>
      <c r="JAM2479" s="54"/>
      <c r="JAN2479" s="54"/>
      <c r="JAO2479" s="60"/>
      <c r="JAP2479" s="60"/>
      <c r="JAQ2479" s="60"/>
      <c r="JAR2479" s="60"/>
      <c r="JAS2479" s="64"/>
      <c r="JAT2479" s="61"/>
      <c r="JAU2479" s="54"/>
      <c r="JAV2479" s="54"/>
      <c r="JAW2479" s="60"/>
      <c r="JAX2479" s="60"/>
      <c r="JAY2479" s="60"/>
      <c r="JAZ2479" s="60"/>
      <c r="JBA2479" s="64"/>
      <c r="JBB2479" s="61"/>
      <c r="JBC2479" s="54"/>
      <c r="JBD2479" s="54"/>
      <c r="JBE2479" s="60"/>
      <c r="JBF2479" s="60"/>
      <c r="JBG2479" s="60"/>
      <c r="JBH2479" s="60"/>
      <c r="JBI2479" s="64"/>
      <c r="JBJ2479" s="61"/>
      <c r="JBK2479" s="54"/>
      <c r="JBL2479" s="54"/>
      <c r="JBM2479" s="60"/>
      <c r="JBN2479" s="60"/>
      <c r="JBO2479" s="60"/>
      <c r="JBP2479" s="60"/>
      <c r="JBQ2479" s="64"/>
      <c r="JBR2479" s="61"/>
      <c r="JBS2479" s="54"/>
      <c r="JBT2479" s="54"/>
      <c r="JBU2479" s="60"/>
      <c r="JBV2479" s="60"/>
      <c r="JBW2479" s="60"/>
      <c r="JBX2479" s="60"/>
      <c r="JBY2479" s="64"/>
      <c r="JBZ2479" s="61"/>
      <c r="JCA2479" s="54"/>
      <c r="JCB2479" s="54"/>
      <c r="JCC2479" s="60"/>
      <c r="JCD2479" s="60"/>
      <c r="JCE2479" s="60"/>
      <c r="JCF2479" s="60"/>
      <c r="JCG2479" s="64"/>
      <c r="JCH2479" s="61"/>
      <c r="JCI2479" s="54"/>
      <c r="JCJ2479" s="54"/>
      <c r="JCK2479" s="60"/>
      <c r="JCL2479" s="60"/>
      <c r="JCM2479" s="60"/>
      <c r="JCN2479" s="60"/>
      <c r="JCO2479" s="64"/>
      <c r="JCP2479" s="61"/>
      <c r="JCQ2479" s="54"/>
      <c r="JCR2479" s="54"/>
      <c r="JCS2479" s="60"/>
      <c r="JCT2479" s="60"/>
      <c r="JCU2479" s="60"/>
      <c r="JCV2479" s="60"/>
      <c r="JCW2479" s="64"/>
      <c r="JCX2479" s="61"/>
      <c r="JCY2479" s="54"/>
      <c r="JCZ2479" s="54"/>
      <c r="JDA2479" s="60"/>
      <c r="JDB2479" s="60"/>
      <c r="JDC2479" s="60"/>
      <c r="JDD2479" s="60"/>
      <c r="JDE2479" s="64"/>
      <c r="JDF2479" s="61"/>
      <c r="JDG2479" s="54"/>
      <c r="JDH2479" s="54"/>
      <c r="JDI2479" s="60"/>
      <c r="JDJ2479" s="60"/>
      <c r="JDK2479" s="60"/>
      <c r="JDL2479" s="60"/>
      <c r="JDM2479" s="64"/>
      <c r="JDN2479" s="61"/>
      <c r="JDO2479" s="54"/>
      <c r="JDP2479" s="54"/>
      <c r="JDQ2479" s="60"/>
      <c r="JDR2479" s="60"/>
      <c r="JDS2479" s="60"/>
      <c r="JDT2479" s="60"/>
      <c r="JDU2479" s="64"/>
      <c r="JDV2479" s="61"/>
      <c r="JDW2479" s="54"/>
      <c r="JDX2479" s="54"/>
      <c r="JDY2479" s="60"/>
      <c r="JDZ2479" s="60"/>
      <c r="JEA2479" s="60"/>
      <c r="JEB2479" s="60"/>
      <c r="JEC2479" s="64"/>
      <c r="JED2479" s="61"/>
      <c r="JEE2479" s="54"/>
      <c r="JEF2479" s="54"/>
      <c r="JEG2479" s="60"/>
      <c r="JEH2479" s="60"/>
      <c r="JEI2479" s="60"/>
      <c r="JEJ2479" s="60"/>
      <c r="JEK2479" s="64"/>
      <c r="JEL2479" s="61"/>
      <c r="JEM2479" s="54"/>
      <c r="JEN2479" s="54"/>
      <c r="JEO2479" s="60"/>
      <c r="JEP2479" s="60"/>
      <c r="JEQ2479" s="60"/>
      <c r="JER2479" s="60"/>
      <c r="JES2479" s="64"/>
      <c r="JET2479" s="61"/>
      <c r="JEU2479" s="54"/>
      <c r="JEV2479" s="54"/>
      <c r="JEW2479" s="60"/>
      <c r="JEX2479" s="60"/>
      <c r="JEY2479" s="60"/>
      <c r="JEZ2479" s="60"/>
      <c r="JFA2479" s="64"/>
      <c r="JFB2479" s="61"/>
      <c r="JFC2479" s="54"/>
      <c r="JFD2479" s="54"/>
      <c r="JFE2479" s="60"/>
      <c r="JFF2479" s="60"/>
      <c r="JFG2479" s="60"/>
      <c r="JFH2479" s="60"/>
      <c r="JFI2479" s="64"/>
      <c r="JFJ2479" s="61"/>
      <c r="JFK2479" s="54"/>
      <c r="JFL2479" s="54"/>
      <c r="JFM2479" s="60"/>
      <c r="JFN2479" s="60"/>
      <c r="JFO2479" s="60"/>
      <c r="JFP2479" s="60"/>
      <c r="JFQ2479" s="64"/>
      <c r="JFR2479" s="61"/>
      <c r="JFS2479" s="54"/>
      <c r="JFT2479" s="54"/>
      <c r="JFU2479" s="60"/>
      <c r="JFV2479" s="60"/>
      <c r="JFW2479" s="60"/>
      <c r="JFX2479" s="60"/>
      <c r="JFY2479" s="64"/>
      <c r="JFZ2479" s="61"/>
      <c r="JGA2479" s="54"/>
      <c r="JGB2479" s="54"/>
      <c r="JGC2479" s="60"/>
      <c r="JGD2479" s="60"/>
      <c r="JGE2479" s="60"/>
      <c r="JGF2479" s="60"/>
      <c r="JGG2479" s="64"/>
      <c r="JGH2479" s="61"/>
      <c r="JGI2479" s="54"/>
      <c r="JGJ2479" s="54"/>
      <c r="JGK2479" s="60"/>
      <c r="JGL2479" s="60"/>
      <c r="JGM2479" s="60"/>
      <c r="JGN2479" s="60"/>
      <c r="JGO2479" s="64"/>
      <c r="JGP2479" s="61"/>
      <c r="JGQ2479" s="54"/>
      <c r="JGR2479" s="54"/>
      <c r="JGS2479" s="60"/>
      <c r="JGT2479" s="60"/>
      <c r="JGU2479" s="60"/>
      <c r="JGV2479" s="60"/>
      <c r="JGW2479" s="64"/>
      <c r="JGX2479" s="61"/>
      <c r="JGY2479" s="54"/>
      <c r="JGZ2479" s="54"/>
      <c r="JHA2479" s="60"/>
      <c r="JHB2479" s="60"/>
      <c r="JHC2479" s="60"/>
      <c r="JHD2479" s="60"/>
      <c r="JHE2479" s="64"/>
      <c r="JHF2479" s="61"/>
      <c r="JHG2479" s="54"/>
      <c r="JHH2479" s="54"/>
      <c r="JHI2479" s="60"/>
      <c r="JHJ2479" s="60"/>
      <c r="JHK2479" s="60"/>
      <c r="JHL2479" s="60"/>
      <c r="JHM2479" s="64"/>
      <c r="JHN2479" s="61"/>
      <c r="JHO2479" s="54"/>
      <c r="JHP2479" s="54"/>
      <c r="JHQ2479" s="60"/>
      <c r="JHR2479" s="60"/>
      <c r="JHS2479" s="60"/>
      <c r="JHT2479" s="60"/>
      <c r="JHU2479" s="64"/>
      <c r="JHV2479" s="61"/>
      <c r="JHW2479" s="54"/>
      <c r="JHX2479" s="54"/>
      <c r="JHY2479" s="60"/>
      <c r="JHZ2479" s="60"/>
      <c r="JIA2479" s="60"/>
      <c r="JIB2479" s="60"/>
      <c r="JIC2479" s="64"/>
      <c r="JID2479" s="61"/>
      <c r="JIE2479" s="54"/>
      <c r="JIF2479" s="54"/>
      <c r="JIG2479" s="60"/>
      <c r="JIH2479" s="60"/>
      <c r="JII2479" s="60"/>
      <c r="JIJ2479" s="60"/>
      <c r="JIK2479" s="64"/>
      <c r="JIL2479" s="61"/>
      <c r="JIM2479" s="54"/>
      <c r="JIN2479" s="54"/>
      <c r="JIO2479" s="60"/>
      <c r="JIP2479" s="60"/>
      <c r="JIQ2479" s="60"/>
      <c r="JIR2479" s="60"/>
      <c r="JIS2479" s="64"/>
      <c r="JIT2479" s="61"/>
      <c r="JIU2479" s="54"/>
      <c r="JIV2479" s="54"/>
      <c r="JIW2479" s="60"/>
      <c r="JIX2479" s="60"/>
      <c r="JIY2479" s="60"/>
      <c r="JIZ2479" s="60"/>
      <c r="JJA2479" s="64"/>
      <c r="JJB2479" s="61"/>
      <c r="JJC2479" s="54"/>
      <c r="JJD2479" s="54"/>
      <c r="JJE2479" s="60"/>
      <c r="JJF2479" s="60"/>
      <c r="JJG2479" s="60"/>
      <c r="JJH2479" s="60"/>
      <c r="JJI2479" s="64"/>
      <c r="JJJ2479" s="61"/>
      <c r="JJK2479" s="54"/>
      <c r="JJL2479" s="54"/>
      <c r="JJM2479" s="60"/>
      <c r="JJN2479" s="60"/>
      <c r="JJO2479" s="60"/>
      <c r="JJP2479" s="60"/>
      <c r="JJQ2479" s="64"/>
      <c r="JJR2479" s="61"/>
      <c r="JJS2479" s="54"/>
      <c r="JJT2479" s="54"/>
      <c r="JJU2479" s="60"/>
      <c r="JJV2479" s="60"/>
      <c r="JJW2479" s="60"/>
      <c r="JJX2479" s="60"/>
      <c r="JJY2479" s="64"/>
      <c r="JJZ2479" s="61"/>
      <c r="JKA2479" s="54"/>
      <c r="JKB2479" s="54"/>
      <c r="JKC2479" s="60"/>
      <c r="JKD2479" s="60"/>
      <c r="JKE2479" s="60"/>
      <c r="JKF2479" s="60"/>
      <c r="JKG2479" s="64"/>
      <c r="JKH2479" s="61"/>
      <c r="JKI2479" s="54"/>
      <c r="JKJ2479" s="54"/>
      <c r="JKK2479" s="60"/>
      <c r="JKL2479" s="60"/>
      <c r="JKM2479" s="60"/>
      <c r="JKN2479" s="60"/>
      <c r="JKO2479" s="64"/>
      <c r="JKP2479" s="61"/>
      <c r="JKQ2479" s="54"/>
      <c r="JKR2479" s="54"/>
      <c r="JKS2479" s="60"/>
      <c r="JKT2479" s="60"/>
      <c r="JKU2479" s="60"/>
      <c r="JKV2479" s="60"/>
      <c r="JKW2479" s="64"/>
      <c r="JKX2479" s="61"/>
      <c r="JKY2479" s="54"/>
      <c r="JKZ2479" s="54"/>
      <c r="JLA2479" s="60"/>
      <c r="JLB2479" s="60"/>
      <c r="JLC2479" s="60"/>
      <c r="JLD2479" s="60"/>
      <c r="JLE2479" s="64"/>
      <c r="JLF2479" s="61"/>
      <c r="JLG2479" s="54"/>
      <c r="JLH2479" s="54"/>
      <c r="JLI2479" s="60"/>
      <c r="JLJ2479" s="60"/>
      <c r="JLK2479" s="60"/>
      <c r="JLL2479" s="60"/>
      <c r="JLM2479" s="64"/>
      <c r="JLN2479" s="61"/>
      <c r="JLO2479" s="54"/>
      <c r="JLP2479" s="54"/>
      <c r="JLQ2479" s="60"/>
      <c r="JLR2479" s="60"/>
      <c r="JLS2479" s="60"/>
      <c r="JLT2479" s="60"/>
      <c r="JLU2479" s="64"/>
      <c r="JLV2479" s="61"/>
      <c r="JLW2479" s="54"/>
      <c r="JLX2479" s="54"/>
      <c r="JLY2479" s="60"/>
      <c r="JLZ2479" s="60"/>
      <c r="JMA2479" s="60"/>
      <c r="JMB2479" s="60"/>
      <c r="JMC2479" s="64"/>
      <c r="JMD2479" s="61"/>
      <c r="JME2479" s="54"/>
      <c r="JMF2479" s="54"/>
      <c r="JMG2479" s="60"/>
      <c r="JMH2479" s="60"/>
      <c r="JMI2479" s="60"/>
      <c r="JMJ2479" s="60"/>
      <c r="JMK2479" s="64"/>
      <c r="JML2479" s="61"/>
      <c r="JMM2479" s="54"/>
      <c r="JMN2479" s="54"/>
      <c r="JMO2479" s="60"/>
      <c r="JMP2479" s="60"/>
      <c r="JMQ2479" s="60"/>
      <c r="JMR2479" s="60"/>
      <c r="JMS2479" s="64"/>
      <c r="JMT2479" s="61"/>
      <c r="JMU2479" s="54"/>
      <c r="JMV2479" s="54"/>
      <c r="JMW2479" s="60"/>
      <c r="JMX2479" s="60"/>
      <c r="JMY2479" s="60"/>
      <c r="JMZ2479" s="60"/>
      <c r="JNA2479" s="64"/>
      <c r="JNB2479" s="61"/>
      <c r="JNC2479" s="54"/>
      <c r="JND2479" s="54"/>
      <c r="JNE2479" s="60"/>
      <c r="JNF2479" s="60"/>
      <c r="JNG2479" s="60"/>
      <c r="JNH2479" s="60"/>
      <c r="JNI2479" s="64"/>
      <c r="JNJ2479" s="61"/>
      <c r="JNK2479" s="54"/>
      <c r="JNL2479" s="54"/>
      <c r="JNM2479" s="60"/>
      <c r="JNN2479" s="60"/>
      <c r="JNO2479" s="60"/>
      <c r="JNP2479" s="60"/>
      <c r="JNQ2479" s="64"/>
      <c r="JNR2479" s="61"/>
      <c r="JNS2479" s="54"/>
      <c r="JNT2479" s="54"/>
      <c r="JNU2479" s="60"/>
      <c r="JNV2479" s="60"/>
      <c r="JNW2479" s="60"/>
      <c r="JNX2479" s="60"/>
      <c r="JNY2479" s="64"/>
      <c r="JNZ2479" s="61"/>
      <c r="JOA2479" s="54"/>
      <c r="JOB2479" s="54"/>
      <c r="JOC2479" s="60"/>
      <c r="JOD2479" s="60"/>
      <c r="JOE2479" s="60"/>
      <c r="JOF2479" s="60"/>
      <c r="JOG2479" s="64"/>
      <c r="JOH2479" s="61"/>
      <c r="JOI2479" s="54"/>
      <c r="JOJ2479" s="54"/>
      <c r="JOK2479" s="60"/>
      <c r="JOL2479" s="60"/>
      <c r="JOM2479" s="60"/>
      <c r="JON2479" s="60"/>
      <c r="JOO2479" s="64"/>
      <c r="JOP2479" s="61"/>
      <c r="JOQ2479" s="54"/>
      <c r="JOR2479" s="54"/>
      <c r="JOS2479" s="60"/>
      <c r="JOT2479" s="60"/>
      <c r="JOU2479" s="60"/>
      <c r="JOV2479" s="60"/>
      <c r="JOW2479" s="64"/>
      <c r="JOX2479" s="61"/>
      <c r="JOY2479" s="54"/>
      <c r="JOZ2479" s="54"/>
      <c r="JPA2479" s="60"/>
      <c r="JPB2479" s="60"/>
      <c r="JPC2479" s="60"/>
      <c r="JPD2479" s="60"/>
      <c r="JPE2479" s="64"/>
      <c r="JPF2479" s="61"/>
      <c r="JPG2479" s="54"/>
      <c r="JPH2479" s="54"/>
      <c r="JPI2479" s="60"/>
      <c r="JPJ2479" s="60"/>
      <c r="JPK2479" s="60"/>
      <c r="JPL2479" s="60"/>
      <c r="JPM2479" s="64"/>
      <c r="JPN2479" s="61"/>
      <c r="JPO2479" s="54"/>
      <c r="JPP2479" s="54"/>
      <c r="JPQ2479" s="60"/>
      <c r="JPR2479" s="60"/>
      <c r="JPS2479" s="60"/>
      <c r="JPT2479" s="60"/>
      <c r="JPU2479" s="64"/>
      <c r="JPV2479" s="61"/>
      <c r="JPW2479" s="54"/>
      <c r="JPX2479" s="54"/>
      <c r="JPY2479" s="60"/>
      <c r="JPZ2479" s="60"/>
      <c r="JQA2479" s="60"/>
      <c r="JQB2479" s="60"/>
      <c r="JQC2479" s="64"/>
      <c r="JQD2479" s="61"/>
      <c r="JQE2479" s="54"/>
      <c r="JQF2479" s="54"/>
      <c r="JQG2479" s="60"/>
      <c r="JQH2479" s="60"/>
      <c r="JQI2479" s="60"/>
      <c r="JQJ2479" s="60"/>
      <c r="JQK2479" s="64"/>
      <c r="JQL2479" s="61"/>
      <c r="JQM2479" s="54"/>
      <c r="JQN2479" s="54"/>
      <c r="JQO2479" s="60"/>
      <c r="JQP2479" s="60"/>
      <c r="JQQ2479" s="60"/>
      <c r="JQR2479" s="60"/>
      <c r="JQS2479" s="64"/>
      <c r="JQT2479" s="61"/>
      <c r="JQU2479" s="54"/>
      <c r="JQV2479" s="54"/>
      <c r="JQW2479" s="60"/>
      <c r="JQX2479" s="60"/>
      <c r="JQY2479" s="60"/>
      <c r="JQZ2479" s="60"/>
      <c r="JRA2479" s="64"/>
      <c r="JRB2479" s="61"/>
      <c r="JRC2479" s="54"/>
      <c r="JRD2479" s="54"/>
      <c r="JRE2479" s="60"/>
      <c r="JRF2479" s="60"/>
      <c r="JRG2479" s="60"/>
      <c r="JRH2479" s="60"/>
      <c r="JRI2479" s="64"/>
      <c r="JRJ2479" s="61"/>
      <c r="JRK2479" s="54"/>
      <c r="JRL2479" s="54"/>
      <c r="JRM2479" s="60"/>
      <c r="JRN2479" s="60"/>
      <c r="JRO2479" s="60"/>
      <c r="JRP2479" s="60"/>
      <c r="JRQ2479" s="64"/>
      <c r="JRR2479" s="61"/>
      <c r="JRS2479" s="54"/>
      <c r="JRT2479" s="54"/>
      <c r="JRU2479" s="60"/>
      <c r="JRV2479" s="60"/>
      <c r="JRW2479" s="60"/>
      <c r="JRX2479" s="60"/>
      <c r="JRY2479" s="64"/>
      <c r="JRZ2479" s="61"/>
      <c r="JSA2479" s="54"/>
      <c r="JSB2479" s="54"/>
      <c r="JSC2479" s="60"/>
      <c r="JSD2479" s="60"/>
      <c r="JSE2479" s="60"/>
      <c r="JSF2479" s="60"/>
      <c r="JSG2479" s="64"/>
      <c r="JSH2479" s="61"/>
      <c r="JSI2479" s="54"/>
      <c r="JSJ2479" s="54"/>
      <c r="JSK2479" s="60"/>
      <c r="JSL2479" s="60"/>
      <c r="JSM2479" s="60"/>
      <c r="JSN2479" s="60"/>
      <c r="JSO2479" s="64"/>
      <c r="JSP2479" s="61"/>
      <c r="JSQ2479" s="54"/>
      <c r="JSR2479" s="54"/>
      <c r="JSS2479" s="60"/>
      <c r="JST2479" s="60"/>
      <c r="JSU2479" s="60"/>
      <c r="JSV2479" s="60"/>
      <c r="JSW2479" s="64"/>
      <c r="JSX2479" s="61"/>
      <c r="JSY2479" s="54"/>
      <c r="JSZ2479" s="54"/>
      <c r="JTA2479" s="60"/>
      <c r="JTB2479" s="60"/>
      <c r="JTC2479" s="60"/>
      <c r="JTD2479" s="60"/>
      <c r="JTE2479" s="64"/>
      <c r="JTF2479" s="61"/>
      <c r="JTG2479" s="54"/>
      <c r="JTH2479" s="54"/>
      <c r="JTI2479" s="60"/>
      <c r="JTJ2479" s="60"/>
      <c r="JTK2479" s="60"/>
      <c r="JTL2479" s="60"/>
      <c r="JTM2479" s="64"/>
      <c r="JTN2479" s="61"/>
      <c r="JTO2479" s="54"/>
      <c r="JTP2479" s="54"/>
      <c r="JTQ2479" s="60"/>
      <c r="JTR2479" s="60"/>
      <c r="JTS2479" s="60"/>
      <c r="JTT2479" s="60"/>
      <c r="JTU2479" s="64"/>
      <c r="JTV2479" s="61"/>
      <c r="JTW2479" s="54"/>
      <c r="JTX2479" s="54"/>
      <c r="JTY2479" s="60"/>
      <c r="JTZ2479" s="60"/>
      <c r="JUA2479" s="60"/>
      <c r="JUB2479" s="60"/>
      <c r="JUC2479" s="64"/>
      <c r="JUD2479" s="61"/>
      <c r="JUE2479" s="54"/>
      <c r="JUF2479" s="54"/>
      <c r="JUG2479" s="60"/>
      <c r="JUH2479" s="60"/>
      <c r="JUI2479" s="60"/>
      <c r="JUJ2479" s="60"/>
      <c r="JUK2479" s="64"/>
      <c r="JUL2479" s="61"/>
      <c r="JUM2479" s="54"/>
      <c r="JUN2479" s="54"/>
      <c r="JUO2479" s="60"/>
      <c r="JUP2479" s="60"/>
      <c r="JUQ2479" s="60"/>
      <c r="JUR2479" s="60"/>
      <c r="JUS2479" s="64"/>
      <c r="JUT2479" s="61"/>
      <c r="JUU2479" s="54"/>
      <c r="JUV2479" s="54"/>
      <c r="JUW2479" s="60"/>
      <c r="JUX2479" s="60"/>
      <c r="JUY2479" s="60"/>
      <c r="JUZ2479" s="60"/>
      <c r="JVA2479" s="64"/>
      <c r="JVB2479" s="61"/>
      <c r="JVC2479" s="54"/>
      <c r="JVD2479" s="54"/>
      <c r="JVE2479" s="60"/>
      <c r="JVF2479" s="60"/>
      <c r="JVG2479" s="60"/>
      <c r="JVH2479" s="60"/>
      <c r="JVI2479" s="64"/>
      <c r="JVJ2479" s="61"/>
      <c r="JVK2479" s="54"/>
      <c r="JVL2479" s="54"/>
      <c r="JVM2479" s="60"/>
      <c r="JVN2479" s="60"/>
      <c r="JVO2479" s="60"/>
      <c r="JVP2479" s="60"/>
      <c r="JVQ2479" s="64"/>
      <c r="JVR2479" s="61"/>
      <c r="JVS2479" s="54"/>
      <c r="JVT2479" s="54"/>
      <c r="JVU2479" s="60"/>
      <c r="JVV2479" s="60"/>
      <c r="JVW2479" s="60"/>
      <c r="JVX2479" s="60"/>
      <c r="JVY2479" s="64"/>
      <c r="JVZ2479" s="61"/>
      <c r="JWA2479" s="54"/>
      <c r="JWB2479" s="54"/>
      <c r="JWC2479" s="60"/>
      <c r="JWD2479" s="60"/>
      <c r="JWE2479" s="60"/>
      <c r="JWF2479" s="60"/>
      <c r="JWG2479" s="64"/>
      <c r="JWH2479" s="61"/>
      <c r="JWI2479" s="54"/>
      <c r="JWJ2479" s="54"/>
      <c r="JWK2479" s="60"/>
      <c r="JWL2479" s="60"/>
      <c r="JWM2479" s="60"/>
      <c r="JWN2479" s="60"/>
      <c r="JWO2479" s="64"/>
      <c r="JWP2479" s="61"/>
      <c r="JWQ2479" s="54"/>
      <c r="JWR2479" s="54"/>
      <c r="JWS2479" s="60"/>
      <c r="JWT2479" s="60"/>
      <c r="JWU2479" s="60"/>
      <c r="JWV2479" s="60"/>
      <c r="JWW2479" s="64"/>
      <c r="JWX2479" s="61"/>
      <c r="JWY2479" s="54"/>
      <c r="JWZ2479" s="54"/>
      <c r="JXA2479" s="60"/>
      <c r="JXB2479" s="60"/>
      <c r="JXC2479" s="60"/>
      <c r="JXD2479" s="60"/>
      <c r="JXE2479" s="64"/>
      <c r="JXF2479" s="61"/>
      <c r="JXG2479" s="54"/>
      <c r="JXH2479" s="54"/>
      <c r="JXI2479" s="60"/>
      <c r="JXJ2479" s="60"/>
      <c r="JXK2479" s="60"/>
      <c r="JXL2479" s="60"/>
      <c r="JXM2479" s="64"/>
      <c r="JXN2479" s="61"/>
      <c r="JXO2479" s="54"/>
      <c r="JXP2479" s="54"/>
      <c r="JXQ2479" s="60"/>
      <c r="JXR2479" s="60"/>
      <c r="JXS2479" s="60"/>
      <c r="JXT2479" s="60"/>
      <c r="JXU2479" s="64"/>
      <c r="JXV2479" s="61"/>
      <c r="JXW2479" s="54"/>
      <c r="JXX2479" s="54"/>
      <c r="JXY2479" s="60"/>
      <c r="JXZ2479" s="60"/>
      <c r="JYA2479" s="60"/>
      <c r="JYB2479" s="60"/>
      <c r="JYC2479" s="64"/>
      <c r="JYD2479" s="61"/>
      <c r="JYE2479" s="54"/>
      <c r="JYF2479" s="54"/>
      <c r="JYG2479" s="60"/>
      <c r="JYH2479" s="60"/>
      <c r="JYI2479" s="60"/>
      <c r="JYJ2479" s="60"/>
      <c r="JYK2479" s="64"/>
      <c r="JYL2479" s="61"/>
      <c r="JYM2479" s="54"/>
      <c r="JYN2479" s="54"/>
      <c r="JYO2479" s="60"/>
      <c r="JYP2479" s="60"/>
      <c r="JYQ2479" s="60"/>
      <c r="JYR2479" s="60"/>
      <c r="JYS2479" s="64"/>
      <c r="JYT2479" s="61"/>
      <c r="JYU2479" s="54"/>
      <c r="JYV2479" s="54"/>
      <c r="JYW2479" s="60"/>
      <c r="JYX2479" s="60"/>
      <c r="JYY2479" s="60"/>
      <c r="JYZ2479" s="60"/>
      <c r="JZA2479" s="64"/>
      <c r="JZB2479" s="61"/>
      <c r="JZC2479" s="54"/>
      <c r="JZD2479" s="54"/>
      <c r="JZE2479" s="60"/>
      <c r="JZF2479" s="60"/>
      <c r="JZG2479" s="60"/>
      <c r="JZH2479" s="60"/>
      <c r="JZI2479" s="64"/>
      <c r="JZJ2479" s="61"/>
      <c r="JZK2479" s="54"/>
      <c r="JZL2479" s="54"/>
      <c r="JZM2479" s="60"/>
      <c r="JZN2479" s="60"/>
      <c r="JZO2479" s="60"/>
      <c r="JZP2479" s="60"/>
      <c r="JZQ2479" s="64"/>
      <c r="JZR2479" s="61"/>
      <c r="JZS2479" s="54"/>
      <c r="JZT2479" s="54"/>
      <c r="JZU2479" s="60"/>
      <c r="JZV2479" s="60"/>
      <c r="JZW2479" s="60"/>
      <c r="JZX2479" s="60"/>
      <c r="JZY2479" s="64"/>
      <c r="JZZ2479" s="61"/>
      <c r="KAA2479" s="54"/>
      <c r="KAB2479" s="54"/>
      <c r="KAC2479" s="60"/>
      <c r="KAD2479" s="60"/>
      <c r="KAE2479" s="60"/>
      <c r="KAF2479" s="60"/>
      <c r="KAG2479" s="64"/>
      <c r="KAH2479" s="61"/>
      <c r="KAI2479" s="54"/>
      <c r="KAJ2479" s="54"/>
      <c r="KAK2479" s="60"/>
      <c r="KAL2479" s="60"/>
      <c r="KAM2479" s="60"/>
      <c r="KAN2479" s="60"/>
      <c r="KAO2479" s="64"/>
      <c r="KAP2479" s="61"/>
      <c r="KAQ2479" s="54"/>
      <c r="KAR2479" s="54"/>
      <c r="KAS2479" s="60"/>
      <c r="KAT2479" s="60"/>
      <c r="KAU2479" s="60"/>
      <c r="KAV2479" s="60"/>
      <c r="KAW2479" s="64"/>
      <c r="KAX2479" s="61"/>
      <c r="KAY2479" s="54"/>
      <c r="KAZ2479" s="54"/>
      <c r="KBA2479" s="60"/>
      <c r="KBB2479" s="60"/>
      <c r="KBC2479" s="60"/>
      <c r="KBD2479" s="60"/>
      <c r="KBE2479" s="64"/>
      <c r="KBF2479" s="61"/>
      <c r="KBG2479" s="54"/>
      <c r="KBH2479" s="54"/>
      <c r="KBI2479" s="60"/>
      <c r="KBJ2479" s="60"/>
      <c r="KBK2479" s="60"/>
      <c r="KBL2479" s="60"/>
      <c r="KBM2479" s="64"/>
      <c r="KBN2479" s="61"/>
      <c r="KBO2479" s="54"/>
      <c r="KBP2479" s="54"/>
      <c r="KBQ2479" s="60"/>
      <c r="KBR2479" s="60"/>
      <c r="KBS2479" s="60"/>
      <c r="KBT2479" s="60"/>
      <c r="KBU2479" s="64"/>
      <c r="KBV2479" s="61"/>
      <c r="KBW2479" s="54"/>
      <c r="KBX2479" s="54"/>
      <c r="KBY2479" s="60"/>
      <c r="KBZ2479" s="60"/>
      <c r="KCA2479" s="60"/>
      <c r="KCB2479" s="60"/>
      <c r="KCC2479" s="64"/>
      <c r="KCD2479" s="61"/>
      <c r="KCE2479" s="54"/>
      <c r="KCF2479" s="54"/>
      <c r="KCG2479" s="60"/>
      <c r="KCH2479" s="60"/>
      <c r="KCI2479" s="60"/>
      <c r="KCJ2479" s="60"/>
      <c r="KCK2479" s="64"/>
      <c r="KCL2479" s="61"/>
      <c r="KCM2479" s="54"/>
      <c r="KCN2479" s="54"/>
      <c r="KCO2479" s="60"/>
      <c r="KCP2479" s="60"/>
      <c r="KCQ2479" s="60"/>
      <c r="KCR2479" s="60"/>
      <c r="KCS2479" s="64"/>
      <c r="KCT2479" s="61"/>
      <c r="KCU2479" s="54"/>
      <c r="KCV2479" s="54"/>
      <c r="KCW2479" s="60"/>
      <c r="KCX2479" s="60"/>
      <c r="KCY2479" s="60"/>
      <c r="KCZ2479" s="60"/>
      <c r="KDA2479" s="64"/>
      <c r="KDB2479" s="61"/>
      <c r="KDC2479" s="54"/>
      <c r="KDD2479" s="54"/>
      <c r="KDE2479" s="60"/>
      <c r="KDF2479" s="60"/>
      <c r="KDG2479" s="60"/>
      <c r="KDH2479" s="60"/>
      <c r="KDI2479" s="64"/>
      <c r="KDJ2479" s="61"/>
      <c r="KDK2479" s="54"/>
      <c r="KDL2479" s="54"/>
      <c r="KDM2479" s="60"/>
      <c r="KDN2479" s="60"/>
      <c r="KDO2479" s="60"/>
      <c r="KDP2479" s="60"/>
      <c r="KDQ2479" s="64"/>
      <c r="KDR2479" s="61"/>
      <c r="KDS2479" s="54"/>
      <c r="KDT2479" s="54"/>
      <c r="KDU2479" s="60"/>
      <c r="KDV2479" s="60"/>
      <c r="KDW2479" s="60"/>
      <c r="KDX2479" s="60"/>
      <c r="KDY2479" s="64"/>
      <c r="KDZ2479" s="61"/>
      <c r="KEA2479" s="54"/>
      <c r="KEB2479" s="54"/>
      <c r="KEC2479" s="60"/>
      <c r="KED2479" s="60"/>
      <c r="KEE2479" s="60"/>
      <c r="KEF2479" s="60"/>
      <c r="KEG2479" s="64"/>
      <c r="KEH2479" s="61"/>
      <c r="KEI2479" s="54"/>
      <c r="KEJ2479" s="54"/>
      <c r="KEK2479" s="60"/>
      <c r="KEL2479" s="60"/>
      <c r="KEM2479" s="60"/>
      <c r="KEN2479" s="60"/>
      <c r="KEO2479" s="64"/>
      <c r="KEP2479" s="61"/>
      <c r="KEQ2479" s="54"/>
      <c r="KER2479" s="54"/>
      <c r="KES2479" s="60"/>
      <c r="KET2479" s="60"/>
      <c r="KEU2479" s="60"/>
      <c r="KEV2479" s="60"/>
      <c r="KEW2479" s="64"/>
      <c r="KEX2479" s="61"/>
      <c r="KEY2479" s="54"/>
      <c r="KEZ2479" s="54"/>
      <c r="KFA2479" s="60"/>
      <c r="KFB2479" s="60"/>
      <c r="KFC2479" s="60"/>
      <c r="KFD2479" s="60"/>
      <c r="KFE2479" s="64"/>
      <c r="KFF2479" s="61"/>
      <c r="KFG2479" s="54"/>
      <c r="KFH2479" s="54"/>
      <c r="KFI2479" s="60"/>
      <c r="KFJ2479" s="60"/>
      <c r="KFK2479" s="60"/>
      <c r="KFL2479" s="60"/>
      <c r="KFM2479" s="64"/>
      <c r="KFN2479" s="61"/>
      <c r="KFO2479" s="54"/>
      <c r="KFP2479" s="54"/>
      <c r="KFQ2479" s="60"/>
      <c r="KFR2479" s="60"/>
      <c r="KFS2479" s="60"/>
      <c r="KFT2479" s="60"/>
      <c r="KFU2479" s="64"/>
      <c r="KFV2479" s="61"/>
      <c r="KFW2479" s="54"/>
      <c r="KFX2479" s="54"/>
      <c r="KFY2479" s="60"/>
      <c r="KFZ2479" s="60"/>
      <c r="KGA2479" s="60"/>
      <c r="KGB2479" s="60"/>
      <c r="KGC2479" s="64"/>
      <c r="KGD2479" s="61"/>
      <c r="KGE2479" s="54"/>
      <c r="KGF2479" s="54"/>
      <c r="KGG2479" s="60"/>
      <c r="KGH2479" s="60"/>
      <c r="KGI2479" s="60"/>
      <c r="KGJ2479" s="60"/>
      <c r="KGK2479" s="64"/>
      <c r="KGL2479" s="61"/>
      <c r="KGM2479" s="54"/>
      <c r="KGN2479" s="54"/>
      <c r="KGO2479" s="60"/>
      <c r="KGP2479" s="60"/>
      <c r="KGQ2479" s="60"/>
      <c r="KGR2479" s="60"/>
      <c r="KGS2479" s="64"/>
      <c r="KGT2479" s="61"/>
      <c r="KGU2479" s="54"/>
      <c r="KGV2479" s="54"/>
      <c r="KGW2479" s="60"/>
      <c r="KGX2479" s="60"/>
      <c r="KGY2479" s="60"/>
      <c r="KGZ2479" s="60"/>
      <c r="KHA2479" s="64"/>
      <c r="KHB2479" s="61"/>
      <c r="KHC2479" s="54"/>
      <c r="KHD2479" s="54"/>
      <c r="KHE2479" s="60"/>
      <c r="KHF2479" s="60"/>
      <c r="KHG2479" s="60"/>
      <c r="KHH2479" s="60"/>
      <c r="KHI2479" s="64"/>
      <c r="KHJ2479" s="61"/>
      <c r="KHK2479" s="54"/>
      <c r="KHL2479" s="54"/>
      <c r="KHM2479" s="60"/>
      <c r="KHN2479" s="60"/>
      <c r="KHO2479" s="60"/>
      <c r="KHP2479" s="60"/>
      <c r="KHQ2479" s="64"/>
      <c r="KHR2479" s="61"/>
      <c r="KHS2479" s="54"/>
      <c r="KHT2479" s="54"/>
      <c r="KHU2479" s="60"/>
      <c r="KHV2479" s="60"/>
      <c r="KHW2479" s="60"/>
      <c r="KHX2479" s="60"/>
      <c r="KHY2479" s="64"/>
      <c r="KHZ2479" s="61"/>
      <c r="KIA2479" s="54"/>
      <c r="KIB2479" s="54"/>
      <c r="KIC2479" s="60"/>
      <c r="KID2479" s="60"/>
      <c r="KIE2479" s="60"/>
      <c r="KIF2479" s="60"/>
      <c r="KIG2479" s="64"/>
      <c r="KIH2479" s="61"/>
      <c r="KII2479" s="54"/>
      <c r="KIJ2479" s="54"/>
      <c r="KIK2479" s="60"/>
      <c r="KIL2479" s="60"/>
      <c r="KIM2479" s="60"/>
      <c r="KIN2479" s="60"/>
      <c r="KIO2479" s="64"/>
      <c r="KIP2479" s="61"/>
      <c r="KIQ2479" s="54"/>
      <c r="KIR2479" s="54"/>
      <c r="KIS2479" s="60"/>
      <c r="KIT2479" s="60"/>
      <c r="KIU2479" s="60"/>
      <c r="KIV2479" s="60"/>
      <c r="KIW2479" s="64"/>
      <c r="KIX2479" s="61"/>
      <c r="KIY2479" s="54"/>
      <c r="KIZ2479" s="54"/>
      <c r="KJA2479" s="60"/>
      <c r="KJB2479" s="60"/>
      <c r="KJC2479" s="60"/>
      <c r="KJD2479" s="60"/>
      <c r="KJE2479" s="64"/>
      <c r="KJF2479" s="61"/>
      <c r="KJG2479" s="54"/>
      <c r="KJH2479" s="54"/>
      <c r="KJI2479" s="60"/>
      <c r="KJJ2479" s="60"/>
      <c r="KJK2479" s="60"/>
      <c r="KJL2479" s="60"/>
      <c r="KJM2479" s="64"/>
      <c r="KJN2479" s="61"/>
      <c r="KJO2479" s="54"/>
      <c r="KJP2479" s="54"/>
      <c r="KJQ2479" s="60"/>
      <c r="KJR2479" s="60"/>
      <c r="KJS2479" s="60"/>
      <c r="KJT2479" s="60"/>
      <c r="KJU2479" s="64"/>
      <c r="KJV2479" s="61"/>
      <c r="KJW2479" s="54"/>
      <c r="KJX2479" s="54"/>
      <c r="KJY2479" s="60"/>
      <c r="KJZ2479" s="60"/>
      <c r="KKA2479" s="60"/>
      <c r="KKB2479" s="60"/>
      <c r="KKC2479" s="64"/>
      <c r="KKD2479" s="61"/>
      <c r="KKE2479" s="54"/>
      <c r="KKF2479" s="54"/>
      <c r="KKG2479" s="60"/>
      <c r="KKH2479" s="60"/>
      <c r="KKI2479" s="60"/>
      <c r="KKJ2479" s="60"/>
      <c r="KKK2479" s="64"/>
      <c r="KKL2479" s="61"/>
      <c r="KKM2479" s="54"/>
      <c r="KKN2479" s="54"/>
      <c r="KKO2479" s="60"/>
      <c r="KKP2479" s="60"/>
      <c r="KKQ2479" s="60"/>
      <c r="KKR2479" s="60"/>
      <c r="KKS2479" s="64"/>
      <c r="KKT2479" s="61"/>
      <c r="KKU2479" s="54"/>
      <c r="KKV2479" s="54"/>
      <c r="KKW2479" s="60"/>
      <c r="KKX2479" s="60"/>
      <c r="KKY2479" s="60"/>
      <c r="KKZ2479" s="60"/>
      <c r="KLA2479" s="64"/>
      <c r="KLB2479" s="61"/>
      <c r="KLC2479" s="54"/>
      <c r="KLD2479" s="54"/>
      <c r="KLE2479" s="60"/>
      <c r="KLF2479" s="60"/>
      <c r="KLG2479" s="60"/>
      <c r="KLH2479" s="60"/>
      <c r="KLI2479" s="64"/>
      <c r="KLJ2479" s="61"/>
      <c r="KLK2479" s="54"/>
      <c r="KLL2479" s="54"/>
      <c r="KLM2479" s="60"/>
      <c r="KLN2479" s="60"/>
      <c r="KLO2479" s="60"/>
      <c r="KLP2479" s="60"/>
      <c r="KLQ2479" s="64"/>
      <c r="KLR2479" s="61"/>
      <c r="KLS2479" s="54"/>
      <c r="KLT2479" s="54"/>
      <c r="KLU2479" s="60"/>
      <c r="KLV2479" s="60"/>
      <c r="KLW2479" s="60"/>
      <c r="KLX2479" s="60"/>
      <c r="KLY2479" s="64"/>
      <c r="KLZ2479" s="61"/>
      <c r="KMA2479" s="54"/>
      <c r="KMB2479" s="54"/>
      <c r="KMC2479" s="60"/>
      <c r="KMD2479" s="60"/>
      <c r="KME2479" s="60"/>
      <c r="KMF2479" s="60"/>
      <c r="KMG2479" s="64"/>
      <c r="KMH2479" s="61"/>
      <c r="KMI2479" s="54"/>
      <c r="KMJ2479" s="54"/>
      <c r="KMK2479" s="60"/>
      <c r="KML2479" s="60"/>
      <c r="KMM2479" s="60"/>
      <c r="KMN2479" s="60"/>
      <c r="KMO2479" s="64"/>
      <c r="KMP2479" s="61"/>
      <c r="KMQ2479" s="54"/>
      <c r="KMR2479" s="54"/>
      <c r="KMS2479" s="60"/>
      <c r="KMT2479" s="60"/>
      <c r="KMU2479" s="60"/>
      <c r="KMV2479" s="60"/>
      <c r="KMW2479" s="64"/>
      <c r="KMX2479" s="61"/>
      <c r="KMY2479" s="54"/>
      <c r="KMZ2479" s="54"/>
      <c r="KNA2479" s="60"/>
      <c r="KNB2479" s="60"/>
      <c r="KNC2479" s="60"/>
      <c r="KND2479" s="60"/>
      <c r="KNE2479" s="64"/>
      <c r="KNF2479" s="61"/>
      <c r="KNG2479" s="54"/>
      <c r="KNH2479" s="54"/>
      <c r="KNI2479" s="60"/>
      <c r="KNJ2479" s="60"/>
      <c r="KNK2479" s="60"/>
      <c r="KNL2479" s="60"/>
      <c r="KNM2479" s="64"/>
      <c r="KNN2479" s="61"/>
      <c r="KNO2479" s="54"/>
      <c r="KNP2479" s="54"/>
      <c r="KNQ2479" s="60"/>
      <c r="KNR2479" s="60"/>
      <c r="KNS2479" s="60"/>
      <c r="KNT2479" s="60"/>
      <c r="KNU2479" s="64"/>
      <c r="KNV2479" s="61"/>
      <c r="KNW2479" s="54"/>
      <c r="KNX2479" s="54"/>
      <c r="KNY2479" s="60"/>
      <c r="KNZ2479" s="60"/>
      <c r="KOA2479" s="60"/>
      <c r="KOB2479" s="60"/>
      <c r="KOC2479" s="64"/>
      <c r="KOD2479" s="61"/>
      <c r="KOE2479" s="54"/>
      <c r="KOF2479" s="54"/>
      <c r="KOG2479" s="60"/>
      <c r="KOH2479" s="60"/>
      <c r="KOI2479" s="60"/>
      <c r="KOJ2479" s="60"/>
      <c r="KOK2479" s="64"/>
      <c r="KOL2479" s="61"/>
      <c r="KOM2479" s="54"/>
      <c r="KON2479" s="54"/>
      <c r="KOO2479" s="60"/>
      <c r="KOP2479" s="60"/>
      <c r="KOQ2479" s="60"/>
      <c r="KOR2479" s="60"/>
      <c r="KOS2479" s="64"/>
      <c r="KOT2479" s="61"/>
      <c r="KOU2479" s="54"/>
      <c r="KOV2479" s="54"/>
      <c r="KOW2479" s="60"/>
      <c r="KOX2479" s="60"/>
      <c r="KOY2479" s="60"/>
      <c r="KOZ2479" s="60"/>
      <c r="KPA2479" s="64"/>
      <c r="KPB2479" s="61"/>
      <c r="KPC2479" s="54"/>
      <c r="KPD2479" s="54"/>
      <c r="KPE2479" s="60"/>
      <c r="KPF2479" s="60"/>
      <c r="KPG2479" s="60"/>
      <c r="KPH2479" s="60"/>
      <c r="KPI2479" s="64"/>
      <c r="KPJ2479" s="61"/>
      <c r="KPK2479" s="54"/>
      <c r="KPL2479" s="54"/>
      <c r="KPM2479" s="60"/>
      <c r="KPN2479" s="60"/>
      <c r="KPO2479" s="60"/>
      <c r="KPP2479" s="60"/>
      <c r="KPQ2479" s="64"/>
      <c r="KPR2479" s="61"/>
      <c r="KPS2479" s="54"/>
      <c r="KPT2479" s="54"/>
      <c r="KPU2479" s="60"/>
      <c r="KPV2479" s="60"/>
      <c r="KPW2479" s="60"/>
      <c r="KPX2479" s="60"/>
      <c r="KPY2479" s="64"/>
      <c r="KPZ2479" s="61"/>
      <c r="KQA2479" s="54"/>
      <c r="KQB2479" s="54"/>
      <c r="KQC2479" s="60"/>
      <c r="KQD2479" s="60"/>
      <c r="KQE2479" s="60"/>
      <c r="KQF2479" s="60"/>
      <c r="KQG2479" s="64"/>
      <c r="KQH2479" s="61"/>
      <c r="KQI2479" s="54"/>
      <c r="KQJ2479" s="54"/>
      <c r="KQK2479" s="60"/>
      <c r="KQL2479" s="60"/>
      <c r="KQM2479" s="60"/>
      <c r="KQN2479" s="60"/>
      <c r="KQO2479" s="64"/>
      <c r="KQP2479" s="61"/>
      <c r="KQQ2479" s="54"/>
      <c r="KQR2479" s="54"/>
      <c r="KQS2479" s="60"/>
      <c r="KQT2479" s="60"/>
      <c r="KQU2479" s="60"/>
      <c r="KQV2479" s="60"/>
      <c r="KQW2479" s="64"/>
      <c r="KQX2479" s="61"/>
      <c r="KQY2479" s="54"/>
      <c r="KQZ2479" s="54"/>
      <c r="KRA2479" s="60"/>
      <c r="KRB2479" s="60"/>
      <c r="KRC2479" s="60"/>
      <c r="KRD2479" s="60"/>
      <c r="KRE2479" s="64"/>
      <c r="KRF2479" s="61"/>
      <c r="KRG2479" s="54"/>
      <c r="KRH2479" s="54"/>
      <c r="KRI2479" s="60"/>
      <c r="KRJ2479" s="60"/>
      <c r="KRK2479" s="60"/>
      <c r="KRL2479" s="60"/>
      <c r="KRM2479" s="64"/>
      <c r="KRN2479" s="61"/>
      <c r="KRO2479" s="54"/>
      <c r="KRP2479" s="54"/>
      <c r="KRQ2479" s="60"/>
      <c r="KRR2479" s="60"/>
      <c r="KRS2479" s="60"/>
      <c r="KRT2479" s="60"/>
      <c r="KRU2479" s="64"/>
      <c r="KRV2479" s="61"/>
      <c r="KRW2479" s="54"/>
      <c r="KRX2479" s="54"/>
      <c r="KRY2479" s="60"/>
      <c r="KRZ2479" s="60"/>
      <c r="KSA2479" s="60"/>
      <c r="KSB2479" s="60"/>
      <c r="KSC2479" s="64"/>
      <c r="KSD2479" s="61"/>
      <c r="KSE2479" s="54"/>
      <c r="KSF2479" s="54"/>
      <c r="KSG2479" s="60"/>
      <c r="KSH2479" s="60"/>
      <c r="KSI2479" s="60"/>
      <c r="KSJ2479" s="60"/>
      <c r="KSK2479" s="64"/>
      <c r="KSL2479" s="61"/>
      <c r="KSM2479" s="54"/>
      <c r="KSN2479" s="54"/>
      <c r="KSO2479" s="60"/>
      <c r="KSP2479" s="60"/>
      <c r="KSQ2479" s="60"/>
      <c r="KSR2479" s="60"/>
      <c r="KSS2479" s="64"/>
      <c r="KST2479" s="61"/>
      <c r="KSU2479" s="54"/>
      <c r="KSV2479" s="54"/>
      <c r="KSW2479" s="60"/>
      <c r="KSX2479" s="60"/>
      <c r="KSY2479" s="60"/>
      <c r="KSZ2479" s="60"/>
      <c r="KTA2479" s="64"/>
      <c r="KTB2479" s="61"/>
      <c r="KTC2479" s="54"/>
      <c r="KTD2479" s="54"/>
      <c r="KTE2479" s="60"/>
      <c r="KTF2479" s="60"/>
      <c r="KTG2479" s="60"/>
      <c r="KTH2479" s="60"/>
      <c r="KTI2479" s="64"/>
      <c r="KTJ2479" s="61"/>
      <c r="KTK2479" s="54"/>
      <c r="KTL2479" s="54"/>
      <c r="KTM2479" s="60"/>
      <c r="KTN2479" s="60"/>
      <c r="KTO2479" s="60"/>
      <c r="KTP2479" s="60"/>
      <c r="KTQ2479" s="64"/>
      <c r="KTR2479" s="61"/>
      <c r="KTS2479" s="54"/>
      <c r="KTT2479" s="54"/>
      <c r="KTU2479" s="60"/>
      <c r="KTV2479" s="60"/>
      <c r="KTW2479" s="60"/>
      <c r="KTX2479" s="60"/>
      <c r="KTY2479" s="64"/>
      <c r="KTZ2479" s="61"/>
      <c r="KUA2479" s="54"/>
      <c r="KUB2479" s="54"/>
      <c r="KUC2479" s="60"/>
      <c r="KUD2479" s="60"/>
      <c r="KUE2479" s="60"/>
      <c r="KUF2479" s="60"/>
      <c r="KUG2479" s="64"/>
      <c r="KUH2479" s="61"/>
      <c r="KUI2479" s="54"/>
      <c r="KUJ2479" s="54"/>
      <c r="KUK2479" s="60"/>
      <c r="KUL2479" s="60"/>
      <c r="KUM2479" s="60"/>
      <c r="KUN2479" s="60"/>
      <c r="KUO2479" s="64"/>
      <c r="KUP2479" s="61"/>
      <c r="KUQ2479" s="54"/>
      <c r="KUR2479" s="54"/>
      <c r="KUS2479" s="60"/>
      <c r="KUT2479" s="60"/>
      <c r="KUU2479" s="60"/>
      <c r="KUV2479" s="60"/>
      <c r="KUW2479" s="64"/>
      <c r="KUX2479" s="61"/>
      <c r="KUY2479" s="54"/>
      <c r="KUZ2479" s="54"/>
      <c r="KVA2479" s="60"/>
      <c r="KVB2479" s="60"/>
      <c r="KVC2479" s="60"/>
      <c r="KVD2479" s="60"/>
      <c r="KVE2479" s="64"/>
      <c r="KVF2479" s="61"/>
      <c r="KVG2479" s="54"/>
      <c r="KVH2479" s="54"/>
      <c r="KVI2479" s="60"/>
      <c r="KVJ2479" s="60"/>
      <c r="KVK2479" s="60"/>
      <c r="KVL2479" s="60"/>
      <c r="KVM2479" s="64"/>
      <c r="KVN2479" s="61"/>
      <c r="KVO2479" s="54"/>
      <c r="KVP2479" s="54"/>
      <c r="KVQ2479" s="60"/>
      <c r="KVR2479" s="60"/>
      <c r="KVS2479" s="60"/>
      <c r="KVT2479" s="60"/>
      <c r="KVU2479" s="64"/>
      <c r="KVV2479" s="61"/>
      <c r="KVW2479" s="54"/>
      <c r="KVX2479" s="54"/>
      <c r="KVY2479" s="60"/>
      <c r="KVZ2479" s="60"/>
      <c r="KWA2479" s="60"/>
      <c r="KWB2479" s="60"/>
      <c r="KWC2479" s="64"/>
      <c r="KWD2479" s="61"/>
      <c r="KWE2479" s="54"/>
      <c r="KWF2479" s="54"/>
      <c r="KWG2479" s="60"/>
      <c r="KWH2479" s="60"/>
      <c r="KWI2479" s="60"/>
      <c r="KWJ2479" s="60"/>
      <c r="KWK2479" s="64"/>
      <c r="KWL2479" s="61"/>
      <c r="KWM2479" s="54"/>
      <c r="KWN2479" s="54"/>
      <c r="KWO2479" s="60"/>
      <c r="KWP2479" s="60"/>
      <c r="KWQ2479" s="60"/>
      <c r="KWR2479" s="60"/>
      <c r="KWS2479" s="64"/>
      <c r="KWT2479" s="61"/>
      <c r="KWU2479" s="54"/>
      <c r="KWV2479" s="54"/>
      <c r="KWW2479" s="60"/>
      <c r="KWX2479" s="60"/>
      <c r="KWY2479" s="60"/>
      <c r="KWZ2479" s="60"/>
      <c r="KXA2479" s="64"/>
      <c r="KXB2479" s="61"/>
      <c r="KXC2479" s="54"/>
      <c r="KXD2479" s="54"/>
      <c r="KXE2479" s="60"/>
      <c r="KXF2479" s="60"/>
      <c r="KXG2479" s="60"/>
      <c r="KXH2479" s="60"/>
      <c r="KXI2479" s="64"/>
      <c r="KXJ2479" s="61"/>
      <c r="KXK2479" s="54"/>
      <c r="KXL2479" s="54"/>
      <c r="KXM2479" s="60"/>
      <c r="KXN2479" s="60"/>
      <c r="KXO2479" s="60"/>
      <c r="KXP2479" s="60"/>
      <c r="KXQ2479" s="64"/>
      <c r="KXR2479" s="61"/>
      <c r="KXS2479" s="54"/>
      <c r="KXT2479" s="54"/>
      <c r="KXU2479" s="60"/>
      <c r="KXV2479" s="60"/>
      <c r="KXW2479" s="60"/>
      <c r="KXX2479" s="60"/>
      <c r="KXY2479" s="64"/>
      <c r="KXZ2479" s="61"/>
      <c r="KYA2479" s="54"/>
      <c r="KYB2479" s="54"/>
      <c r="KYC2479" s="60"/>
      <c r="KYD2479" s="60"/>
      <c r="KYE2479" s="60"/>
      <c r="KYF2479" s="60"/>
      <c r="KYG2479" s="64"/>
      <c r="KYH2479" s="61"/>
      <c r="KYI2479" s="54"/>
      <c r="KYJ2479" s="54"/>
      <c r="KYK2479" s="60"/>
      <c r="KYL2479" s="60"/>
      <c r="KYM2479" s="60"/>
      <c r="KYN2479" s="60"/>
      <c r="KYO2479" s="64"/>
      <c r="KYP2479" s="61"/>
      <c r="KYQ2479" s="54"/>
      <c r="KYR2479" s="54"/>
      <c r="KYS2479" s="60"/>
      <c r="KYT2479" s="60"/>
      <c r="KYU2479" s="60"/>
      <c r="KYV2479" s="60"/>
      <c r="KYW2479" s="64"/>
      <c r="KYX2479" s="61"/>
      <c r="KYY2479" s="54"/>
      <c r="KYZ2479" s="54"/>
      <c r="KZA2479" s="60"/>
      <c r="KZB2479" s="60"/>
      <c r="KZC2479" s="60"/>
      <c r="KZD2479" s="60"/>
      <c r="KZE2479" s="64"/>
      <c r="KZF2479" s="61"/>
      <c r="KZG2479" s="54"/>
      <c r="KZH2479" s="54"/>
      <c r="KZI2479" s="60"/>
      <c r="KZJ2479" s="60"/>
      <c r="KZK2479" s="60"/>
      <c r="KZL2479" s="60"/>
      <c r="KZM2479" s="64"/>
      <c r="KZN2479" s="61"/>
      <c r="KZO2479" s="54"/>
      <c r="KZP2479" s="54"/>
      <c r="KZQ2479" s="60"/>
      <c r="KZR2479" s="60"/>
      <c r="KZS2479" s="60"/>
      <c r="KZT2479" s="60"/>
      <c r="KZU2479" s="64"/>
      <c r="KZV2479" s="61"/>
      <c r="KZW2479" s="54"/>
      <c r="KZX2479" s="54"/>
      <c r="KZY2479" s="60"/>
      <c r="KZZ2479" s="60"/>
      <c r="LAA2479" s="60"/>
      <c r="LAB2479" s="60"/>
      <c r="LAC2479" s="64"/>
      <c r="LAD2479" s="61"/>
      <c r="LAE2479" s="54"/>
      <c r="LAF2479" s="54"/>
      <c r="LAG2479" s="60"/>
      <c r="LAH2479" s="60"/>
      <c r="LAI2479" s="60"/>
      <c r="LAJ2479" s="60"/>
      <c r="LAK2479" s="64"/>
      <c r="LAL2479" s="61"/>
      <c r="LAM2479" s="54"/>
      <c r="LAN2479" s="54"/>
      <c r="LAO2479" s="60"/>
      <c r="LAP2479" s="60"/>
      <c r="LAQ2479" s="60"/>
      <c r="LAR2479" s="60"/>
      <c r="LAS2479" s="64"/>
      <c r="LAT2479" s="61"/>
      <c r="LAU2479" s="54"/>
      <c r="LAV2479" s="54"/>
      <c r="LAW2479" s="60"/>
      <c r="LAX2479" s="60"/>
      <c r="LAY2479" s="60"/>
      <c r="LAZ2479" s="60"/>
      <c r="LBA2479" s="64"/>
      <c r="LBB2479" s="61"/>
      <c r="LBC2479" s="54"/>
      <c r="LBD2479" s="54"/>
      <c r="LBE2479" s="60"/>
      <c r="LBF2479" s="60"/>
      <c r="LBG2479" s="60"/>
      <c r="LBH2479" s="60"/>
      <c r="LBI2479" s="64"/>
      <c r="LBJ2479" s="61"/>
      <c r="LBK2479" s="54"/>
      <c r="LBL2479" s="54"/>
      <c r="LBM2479" s="60"/>
      <c r="LBN2479" s="60"/>
      <c r="LBO2479" s="60"/>
      <c r="LBP2479" s="60"/>
      <c r="LBQ2479" s="64"/>
      <c r="LBR2479" s="61"/>
      <c r="LBS2479" s="54"/>
      <c r="LBT2479" s="54"/>
      <c r="LBU2479" s="60"/>
      <c r="LBV2479" s="60"/>
      <c r="LBW2479" s="60"/>
      <c r="LBX2479" s="60"/>
      <c r="LBY2479" s="64"/>
      <c r="LBZ2479" s="61"/>
      <c r="LCA2479" s="54"/>
      <c r="LCB2479" s="54"/>
      <c r="LCC2479" s="60"/>
      <c r="LCD2479" s="60"/>
      <c r="LCE2479" s="60"/>
      <c r="LCF2479" s="60"/>
      <c r="LCG2479" s="64"/>
      <c r="LCH2479" s="61"/>
      <c r="LCI2479" s="54"/>
      <c r="LCJ2479" s="54"/>
      <c r="LCK2479" s="60"/>
      <c r="LCL2479" s="60"/>
      <c r="LCM2479" s="60"/>
      <c r="LCN2479" s="60"/>
      <c r="LCO2479" s="64"/>
      <c r="LCP2479" s="61"/>
      <c r="LCQ2479" s="54"/>
      <c r="LCR2479" s="54"/>
      <c r="LCS2479" s="60"/>
      <c r="LCT2479" s="60"/>
      <c r="LCU2479" s="60"/>
      <c r="LCV2479" s="60"/>
      <c r="LCW2479" s="64"/>
      <c r="LCX2479" s="61"/>
      <c r="LCY2479" s="54"/>
      <c r="LCZ2479" s="54"/>
      <c r="LDA2479" s="60"/>
      <c r="LDB2479" s="60"/>
      <c r="LDC2479" s="60"/>
      <c r="LDD2479" s="60"/>
      <c r="LDE2479" s="64"/>
      <c r="LDF2479" s="61"/>
      <c r="LDG2479" s="54"/>
      <c r="LDH2479" s="54"/>
      <c r="LDI2479" s="60"/>
      <c r="LDJ2479" s="60"/>
      <c r="LDK2479" s="60"/>
      <c r="LDL2479" s="60"/>
      <c r="LDM2479" s="64"/>
      <c r="LDN2479" s="61"/>
      <c r="LDO2479" s="54"/>
      <c r="LDP2479" s="54"/>
      <c r="LDQ2479" s="60"/>
      <c r="LDR2479" s="60"/>
      <c r="LDS2479" s="60"/>
      <c r="LDT2479" s="60"/>
      <c r="LDU2479" s="64"/>
      <c r="LDV2479" s="61"/>
      <c r="LDW2479" s="54"/>
      <c r="LDX2479" s="54"/>
      <c r="LDY2479" s="60"/>
      <c r="LDZ2479" s="60"/>
      <c r="LEA2479" s="60"/>
      <c r="LEB2479" s="60"/>
      <c r="LEC2479" s="64"/>
      <c r="LED2479" s="61"/>
      <c r="LEE2479" s="54"/>
      <c r="LEF2479" s="54"/>
      <c r="LEG2479" s="60"/>
      <c r="LEH2479" s="60"/>
      <c r="LEI2479" s="60"/>
      <c r="LEJ2479" s="60"/>
      <c r="LEK2479" s="64"/>
      <c r="LEL2479" s="61"/>
      <c r="LEM2479" s="54"/>
      <c r="LEN2479" s="54"/>
      <c r="LEO2479" s="60"/>
      <c r="LEP2479" s="60"/>
      <c r="LEQ2479" s="60"/>
      <c r="LER2479" s="60"/>
      <c r="LES2479" s="64"/>
      <c r="LET2479" s="61"/>
      <c r="LEU2479" s="54"/>
      <c r="LEV2479" s="54"/>
      <c r="LEW2479" s="60"/>
      <c r="LEX2479" s="60"/>
      <c r="LEY2479" s="60"/>
      <c r="LEZ2479" s="60"/>
      <c r="LFA2479" s="64"/>
      <c r="LFB2479" s="61"/>
      <c r="LFC2479" s="54"/>
      <c r="LFD2479" s="54"/>
      <c r="LFE2479" s="60"/>
      <c r="LFF2479" s="60"/>
      <c r="LFG2479" s="60"/>
      <c r="LFH2479" s="60"/>
      <c r="LFI2479" s="64"/>
      <c r="LFJ2479" s="61"/>
      <c r="LFK2479" s="54"/>
      <c r="LFL2479" s="54"/>
      <c r="LFM2479" s="60"/>
      <c r="LFN2479" s="60"/>
      <c r="LFO2479" s="60"/>
      <c r="LFP2479" s="60"/>
      <c r="LFQ2479" s="64"/>
      <c r="LFR2479" s="61"/>
      <c r="LFS2479" s="54"/>
      <c r="LFT2479" s="54"/>
      <c r="LFU2479" s="60"/>
      <c r="LFV2479" s="60"/>
      <c r="LFW2479" s="60"/>
      <c r="LFX2479" s="60"/>
      <c r="LFY2479" s="64"/>
      <c r="LFZ2479" s="61"/>
      <c r="LGA2479" s="54"/>
      <c r="LGB2479" s="54"/>
      <c r="LGC2479" s="60"/>
      <c r="LGD2479" s="60"/>
      <c r="LGE2479" s="60"/>
      <c r="LGF2479" s="60"/>
      <c r="LGG2479" s="64"/>
      <c r="LGH2479" s="61"/>
      <c r="LGI2479" s="54"/>
      <c r="LGJ2479" s="54"/>
      <c r="LGK2479" s="60"/>
      <c r="LGL2479" s="60"/>
      <c r="LGM2479" s="60"/>
      <c r="LGN2479" s="60"/>
      <c r="LGO2479" s="64"/>
      <c r="LGP2479" s="61"/>
      <c r="LGQ2479" s="54"/>
      <c r="LGR2479" s="54"/>
      <c r="LGS2479" s="60"/>
      <c r="LGT2479" s="60"/>
      <c r="LGU2479" s="60"/>
      <c r="LGV2479" s="60"/>
      <c r="LGW2479" s="64"/>
      <c r="LGX2479" s="61"/>
      <c r="LGY2479" s="54"/>
      <c r="LGZ2479" s="54"/>
      <c r="LHA2479" s="60"/>
      <c r="LHB2479" s="60"/>
      <c r="LHC2479" s="60"/>
      <c r="LHD2479" s="60"/>
      <c r="LHE2479" s="64"/>
      <c r="LHF2479" s="61"/>
      <c r="LHG2479" s="54"/>
      <c r="LHH2479" s="54"/>
      <c r="LHI2479" s="60"/>
      <c r="LHJ2479" s="60"/>
      <c r="LHK2479" s="60"/>
      <c r="LHL2479" s="60"/>
      <c r="LHM2479" s="64"/>
      <c r="LHN2479" s="61"/>
      <c r="LHO2479" s="54"/>
      <c r="LHP2479" s="54"/>
      <c r="LHQ2479" s="60"/>
      <c r="LHR2479" s="60"/>
      <c r="LHS2479" s="60"/>
      <c r="LHT2479" s="60"/>
      <c r="LHU2479" s="64"/>
      <c r="LHV2479" s="61"/>
      <c r="LHW2479" s="54"/>
      <c r="LHX2479" s="54"/>
      <c r="LHY2479" s="60"/>
      <c r="LHZ2479" s="60"/>
      <c r="LIA2479" s="60"/>
      <c r="LIB2479" s="60"/>
      <c r="LIC2479" s="64"/>
      <c r="LID2479" s="61"/>
      <c r="LIE2479" s="54"/>
      <c r="LIF2479" s="54"/>
      <c r="LIG2479" s="60"/>
      <c r="LIH2479" s="60"/>
      <c r="LII2479" s="60"/>
      <c r="LIJ2479" s="60"/>
      <c r="LIK2479" s="64"/>
      <c r="LIL2479" s="61"/>
      <c r="LIM2479" s="54"/>
      <c r="LIN2479" s="54"/>
      <c r="LIO2479" s="60"/>
      <c r="LIP2479" s="60"/>
      <c r="LIQ2479" s="60"/>
      <c r="LIR2479" s="60"/>
      <c r="LIS2479" s="64"/>
      <c r="LIT2479" s="61"/>
      <c r="LIU2479" s="54"/>
      <c r="LIV2479" s="54"/>
      <c r="LIW2479" s="60"/>
      <c r="LIX2479" s="60"/>
      <c r="LIY2479" s="60"/>
      <c r="LIZ2479" s="60"/>
      <c r="LJA2479" s="64"/>
      <c r="LJB2479" s="61"/>
      <c r="LJC2479" s="54"/>
      <c r="LJD2479" s="54"/>
      <c r="LJE2479" s="60"/>
      <c r="LJF2479" s="60"/>
      <c r="LJG2479" s="60"/>
      <c r="LJH2479" s="60"/>
      <c r="LJI2479" s="64"/>
      <c r="LJJ2479" s="61"/>
      <c r="LJK2479" s="54"/>
      <c r="LJL2479" s="54"/>
      <c r="LJM2479" s="60"/>
      <c r="LJN2479" s="60"/>
      <c r="LJO2479" s="60"/>
      <c r="LJP2479" s="60"/>
      <c r="LJQ2479" s="64"/>
      <c r="LJR2479" s="61"/>
      <c r="LJS2479" s="54"/>
      <c r="LJT2479" s="54"/>
      <c r="LJU2479" s="60"/>
      <c r="LJV2479" s="60"/>
      <c r="LJW2479" s="60"/>
      <c r="LJX2479" s="60"/>
      <c r="LJY2479" s="64"/>
      <c r="LJZ2479" s="61"/>
      <c r="LKA2479" s="54"/>
      <c r="LKB2479" s="54"/>
      <c r="LKC2479" s="60"/>
      <c r="LKD2479" s="60"/>
      <c r="LKE2479" s="60"/>
      <c r="LKF2479" s="60"/>
      <c r="LKG2479" s="64"/>
      <c r="LKH2479" s="61"/>
      <c r="LKI2479" s="54"/>
      <c r="LKJ2479" s="54"/>
      <c r="LKK2479" s="60"/>
      <c r="LKL2479" s="60"/>
      <c r="LKM2479" s="60"/>
      <c r="LKN2479" s="60"/>
      <c r="LKO2479" s="64"/>
      <c r="LKP2479" s="61"/>
      <c r="LKQ2479" s="54"/>
      <c r="LKR2479" s="54"/>
      <c r="LKS2479" s="60"/>
      <c r="LKT2479" s="60"/>
      <c r="LKU2479" s="60"/>
      <c r="LKV2479" s="60"/>
      <c r="LKW2479" s="64"/>
      <c r="LKX2479" s="61"/>
      <c r="LKY2479" s="54"/>
      <c r="LKZ2479" s="54"/>
      <c r="LLA2479" s="60"/>
      <c r="LLB2479" s="60"/>
      <c r="LLC2479" s="60"/>
      <c r="LLD2479" s="60"/>
      <c r="LLE2479" s="64"/>
      <c r="LLF2479" s="61"/>
      <c r="LLG2479" s="54"/>
      <c r="LLH2479" s="54"/>
      <c r="LLI2479" s="60"/>
      <c r="LLJ2479" s="60"/>
      <c r="LLK2479" s="60"/>
      <c r="LLL2479" s="60"/>
      <c r="LLM2479" s="64"/>
      <c r="LLN2479" s="61"/>
      <c r="LLO2479" s="54"/>
      <c r="LLP2479" s="54"/>
      <c r="LLQ2479" s="60"/>
      <c r="LLR2479" s="60"/>
      <c r="LLS2479" s="60"/>
      <c r="LLT2479" s="60"/>
      <c r="LLU2479" s="64"/>
      <c r="LLV2479" s="61"/>
      <c r="LLW2479" s="54"/>
      <c r="LLX2479" s="54"/>
      <c r="LLY2479" s="60"/>
      <c r="LLZ2479" s="60"/>
      <c r="LMA2479" s="60"/>
      <c r="LMB2479" s="60"/>
      <c r="LMC2479" s="64"/>
      <c r="LMD2479" s="61"/>
      <c r="LME2479" s="54"/>
      <c r="LMF2479" s="54"/>
      <c r="LMG2479" s="60"/>
      <c r="LMH2479" s="60"/>
      <c r="LMI2479" s="60"/>
      <c r="LMJ2479" s="60"/>
      <c r="LMK2479" s="64"/>
      <c r="LML2479" s="61"/>
      <c r="LMM2479" s="54"/>
      <c r="LMN2479" s="54"/>
      <c r="LMO2479" s="60"/>
      <c r="LMP2479" s="60"/>
      <c r="LMQ2479" s="60"/>
      <c r="LMR2479" s="60"/>
      <c r="LMS2479" s="64"/>
      <c r="LMT2479" s="61"/>
      <c r="LMU2479" s="54"/>
      <c r="LMV2479" s="54"/>
      <c r="LMW2479" s="60"/>
      <c r="LMX2479" s="60"/>
      <c r="LMY2479" s="60"/>
      <c r="LMZ2479" s="60"/>
      <c r="LNA2479" s="64"/>
      <c r="LNB2479" s="61"/>
      <c r="LNC2479" s="54"/>
      <c r="LND2479" s="54"/>
      <c r="LNE2479" s="60"/>
      <c r="LNF2479" s="60"/>
      <c r="LNG2479" s="60"/>
      <c r="LNH2479" s="60"/>
      <c r="LNI2479" s="64"/>
      <c r="LNJ2479" s="61"/>
      <c r="LNK2479" s="54"/>
      <c r="LNL2479" s="54"/>
      <c r="LNM2479" s="60"/>
      <c r="LNN2479" s="60"/>
      <c r="LNO2479" s="60"/>
      <c r="LNP2479" s="60"/>
      <c r="LNQ2479" s="64"/>
      <c r="LNR2479" s="61"/>
      <c r="LNS2479" s="54"/>
      <c r="LNT2479" s="54"/>
      <c r="LNU2479" s="60"/>
      <c r="LNV2479" s="60"/>
      <c r="LNW2479" s="60"/>
      <c r="LNX2479" s="60"/>
      <c r="LNY2479" s="64"/>
      <c r="LNZ2479" s="61"/>
      <c r="LOA2479" s="54"/>
      <c r="LOB2479" s="54"/>
      <c r="LOC2479" s="60"/>
      <c r="LOD2479" s="60"/>
      <c r="LOE2479" s="60"/>
      <c r="LOF2479" s="60"/>
      <c r="LOG2479" s="64"/>
      <c r="LOH2479" s="61"/>
      <c r="LOI2479" s="54"/>
      <c r="LOJ2479" s="54"/>
      <c r="LOK2479" s="60"/>
      <c r="LOL2479" s="60"/>
      <c r="LOM2479" s="60"/>
      <c r="LON2479" s="60"/>
      <c r="LOO2479" s="64"/>
      <c r="LOP2479" s="61"/>
      <c r="LOQ2479" s="54"/>
      <c r="LOR2479" s="54"/>
      <c r="LOS2479" s="60"/>
      <c r="LOT2479" s="60"/>
      <c r="LOU2479" s="60"/>
      <c r="LOV2479" s="60"/>
      <c r="LOW2479" s="64"/>
      <c r="LOX2479" s="61"/>
      <c r="LOY2479" s="54"/>
      <c r="LOZ2479" s="54"/>
      <c r="LPA2479" s="60"/>
      <c r="LPB2479" s="60"/>
      <c r="LPC2479" s="60"/>
      <c r="LPD2479" s="60"/>
      <c r="LPE2479" s="64"/>
      <c r="LPF2479" s="61"/>
      <c r="LPG2479" s="54"/>
      <c r="LPH2479" s="54"/>
      <c r="LPI2479" s="60"/>
      <c r="LPJ2479" s="60"/>
      <c r="LPK2479" s="60"/>
      <c r="LPL2479" s="60"/>
      <c r="LPM2479" s="64"/>
      <c r="LPN2479" s="61"/>
      <c r="LPO2479" s="54"/>
      <c r="LPP2479" s="54"/>
      <c r="LPQ2479" s="60"/>
      <c r="LPR2479" s="60"/>
      <c r="LPS2479" s="60"/>
      <c r="LPT2479" s="60"/>
      <c r="LPU2479" s="64"/>
      <c r="LPV2479" s="61"/>
      <c r="LPW2479" s="54"/>
      <c r="LPX2479" s="54"/>
      <c r="LPY2479" s="60"/>
      <c r="LPZ2479" s="60"/>
      <c r="LQA2479" s="60"/>
      <c r="LQB2479" s="60"/>
      <c r="LQC2479" s="64"/>
      <c r="LQD2479" s="61"/>
      <c r="LQE2479" s="54"/>
      <c r="LQF2479" s="54"/>
      <c r="LQG2479" s="60"/>
      <c r="LQH2479" s="60"/>
      <c r="LQI2479" s="60"/>
      <c r="LQJ2479" s="60"/>
      <c r="LQK2479" s="64"/>
      <c r="LQL2479" s="61"/>
      <c r="LQM2479" s="54"/>
      <c r="LQN2479" s="54"/>
      <c r="LQO2479" s="60"/>
      <c r="LQP2479" s="60"/>
      <c r="LQQ2479" s="60"/>
      <c r="LQR2479" s="60"/>
      <c r="LQS2479" s="64"/>
      <c r="LQT2479" s="61"/>
      <c r="LQU2479" s="54"/>
      <c r="LQV2479" s="54"/>
      <c r="LQW2479" s="60"/>
      <c r="LQX2479" s="60"/>
      <c r="LQY2479" s="60"/>
      <c r="LQZ2479" s="60"/>
      <c r="LRA2479" s="64"/>
      <c r="LRB2479" s="61"/>
      <c r="LRC2479" s="54"/>
      <c r="LRD2479" s="54"/>
      <c r="LRE2479" s="60"/>
      <c r="LRF2479" s="60"/>
      <c r="LRG2479" s="60"/>
      <c r="LRH2479" s="60"/>
      <c r="LRI2479" s="64"/>
      <c r="LRJ2479" s="61"/>
      <c r="LRK2479" s="54"/>
      <c r="LRL2479" s="54"/>
      <c r="LRM2479" s="60"/>
      <c r="LRN2479" s="60"/>
      <c r="LRO2479" s="60"/>
      <c r="LRP2479" s="60"/>
      <c r="LRQ2479" s="64"/>
      <c r="LRR2479" s="61"/>
      <c r="LRS2479" s="54"/>
      <c r="LRT2479" s="54"/>
      <c r="LRU2479" s="60"/>
      <c r="LRV2479" s="60"/>
      <c r="LRW2479" s="60"/>
      <c r="LRX2479" s="60"/>
      <c r="LRY2479" s="64"/>
      <c r="LRZ2479" s="61"/>
      <c r="LSA2479" s="54"/>
      <c r="LSB2479" s="54"/>
      <c r="LSC2479" s="60"/>
      <c r="LSD2479" s="60"/>
      <c r="LSE2479" s="60"/>
      <c r="LSF2479" s="60"/>
      <c r="LSG2479" s="64"/>
      <c r="LSH2479" s="61"/>
      <c r="LSI2479" s="54"/>
      <c r="LSJ2479" s="54"/>
      <c r="LSK2479" s="60"/>
      <c r="LSL2479" s="60"/>
      <c r="LSM2479" s="60"/>
      <c r="LSN2479" s="60"/>
      <c r="LSO2479" s="64"/>
      <c r="LSP2479" s="61"/>
      <c r="LSQ2479" s="54"/>
      <c r="LSR2479" s="54"/>
      <c r="LSS2479" s="60"/>
      <c r="LST2479" s="60"/>
      <c r="LSU2479" s="60"/>
      <c r="LSV2479" s="60"/>
      <c r="LSW2479" s="64"/>
      <c r="LSX2479" s="61"/>
      <c r="LSY2479" s="54"/>
      <c r="LSZ2479" s="54"/>
      <c r="LTA2479" s="60"/>
      <c r="LTB2479" s="60"/>
      <c r="LTC2479" s="60"/>
      <c r="LTD2479" s="60"/>
      <c r="LTE2479" s="64"/>
      <c r="LTF2479" s="61"/>
      <c r="LTG2479" s="54"/>
      <c r="LTH2479" s="54"/>
      <c r="LTI2479" s="60"/>
      <c r="LTJ2479" s="60"/>
      <c r="LTK2479" s="60"/>
      <c r="LTL2479" s="60"/>
      <c r="LTM2479" s="64"/>
      <c r="LTN2479" s="61"/>
      <c r="LTO2479" s="54"/>
      <c r="LTP2479" s="54"/>
      <c r="LTQ2479" s="60"/>
      <c r="LTR2479" s="60"/>
      <c r="LTS2479" s="60"/>
      <c r="LTT2479" s="60"/>
      <c r="LTU2479" s="64"/>
      <c r="LTV2479" s="61"/>
      <c r="LTW2479" s="54"/>
      <c r="LTX2479" s="54"/>
      <c r="LTY2479" s="60"/>
      <c r="LTZ2479" s="60"/>
      <c r="LUA2479" s="60"/>
      <c r="LUB2479" s="60"/>
      <c r="LUC2479" s="64"/>
      <c r="LUD2479" s="61"/>
      <c r="LUE2479" s="54"/>
      <c r="LUF2479" s="54"/>
      <c r="LUG2479" s="60"/>
      <c r="LUH2479" s="60"/>
      <c r="LUI2479" s="60"/>
      <c r="LUJ2479" s="60"/>
      <c r="LUK2479" s="64"/>
      <c r="LUL2479" s="61"/>
      <c r="LUM2479" s="54"/>
      <c r="LUN2479" s="54"/>
      <c r="LUO2479" s="60"/>
      <c r="LUP2479" s="60"/>
      <c r="LUQ2479" s="60"/>
      <c r="LUR2479" s="60"/>
      <c r="LUS2479" s="64"/>
      <c r="LUT2479" s="61"/>
      <c r="LUU2479" s="54"/>
      <c r="LUV2479" s="54"/>
      <c r="LUW2479" s="60"/>
      <c r="LUX2479" s="60"/>
      <c r="LUY2479" s="60"/>
      <c r="LUZ2479" s="60"/>
      <c r="LVA2479" s="64"/>
      <c r="LVB2479" s="61"/>
      <c r="LVC2479" s="54"/>
      <c r="LVD2479" s="54"/>
      <c r="LVE2479" s="60"/>
      <c r="LVF2479" s="60"/>
      <c r="LVG2479" s="60"/>
      <c r="LVH2479" s="60"/>
      <c r="LVI2479" s="64"/>
      <c r="LVJ2479" s="61"/>
      <c r="LVK2479" s="54"/>
      <c r="LVL2479" s="54"/>
      <c r="LVM2479" s="60"/>
      <c r="LVN2479" s="60"/>
      <c r="LVO2479" s="60"/>
      <c r="LVP2479" s="60"/>
      <c r="LVQ2479" s="64"/>
      <c r="LVR2479" s="61"/>
      <c r="LVS2479" s="54"/>
      <c r="LVT2479" s="54"/>
      <c r="LVU2479" s="60"/>
      <c r="LVV2479" s="60"/>
      <c r="LVW2479" s="60"/>
      <c r="LVX2479" s="60"/>
      <c r="LVY2479" s="64"/>
      <c r="LVZ2479" s="61"/>
      <c r="LWA2479" s="54"/>
      <c r="LWB2479" s="54"/>
      <c r="LWC2479" s="60"/>
      <c r="LWD2479" s="60"/>
      <c r="LWE2479" s="60"/>
      <c r="LWF2479" s="60"/>
      <c r="LWG2479" s="64"/>
      <c r="LWH2479" s="61"/>
      <c r="LWI2479" s="54"/>
      <c r="LWJ2479" s="54"/>
      <c r="LWK2479" s="60"/>
      <c r="LWL2479" s="60"/>
      <c r="LWM2479" s="60"/>
      <c r="LWN2479" s="60"/>
      <c r="LWO2479" s="64"/>
      <c r="LWP2479" s="61"/>
      <c r="LWQ2479" s="54"/>
      <c r="LWR2479" s="54"/>
      <c r="LWS2479" s="60"/>
      <c r="LWT2479" s="60"/>
      <c r="LWU2479" s="60"/>
      <c r="LWV2479" s="60"/>
      <c r="LWW2479" s="64"/>
      <c r="LWX2479" s="61"/>
      <c r="LWY2479" s="54"/>
      <c r="LWZ2479" s="54"/>
      <c r="LXA2479" s="60"/>
      <c r="LXB2479" s="60"/>
      <c r="LXC2479" s="60"/>
      <c r="LXD2479" s="60"/>
      <c r="LXE2479" s="64"/>
      <c r="LXF2479" s="61"/>
      <c r="LXG2479" s="54"/>
      <c r="LXH2479" s="54"/>
      <c r="LXI2479" s="60"/>
      <c r="LXJ2479" s="60"/>
      <c r="LXK2479" s="60"/>
      <c r="LXL2479" s="60"/>
      <c r="LXM2479" s="64"/>
      <c r="LXN2479" s="61"/>
      <c r="LXO2479" s="54"/>
      <c r="LXP2479" s="54"/>
      <c r="LXQ2479" s="60"/>
      <c r="LXR2479" s="60"/>
      <c r="LXS2479" s="60"/>
      <c r="LXT2479" s="60"/>
      <c r="LXU2479" s="64"/>
      <c r="LXV2479" s="61"/>
      <c r="LXW2479" s="54"/>
      <c r="LXX2479" s="54"/>
      <c r="LXY2479" s="60"/>
      <c r="LXZ2479" s="60"/>
      <c r="LYA2479" s="60"/>
      <c r="LYB2479" s="60"/>
      <c r="LYC2479" s="64"/>
      <c r="LYD2479" s="61"/>
      <c r="LYE2479" s="54"/>
      <c r="LYF2479" s="54"/>
      <c r="LYG2479" s="60"/>
      <c r="LYH2479" s="60"/>
      <c r="LYI2479" s="60"/>
      <c r="LYJ2479" s="60"/>
      <c r="LYK2479" s="64"/>
      <c r="LYL2479" s="61"/>
      <c r="LYM2479" s="54"/>
      <c r="LYN2479" s="54"/>
      <c r="LYO2479" s="60"/>
      <c r="LYP2479" s="60"/>
      <c r="LYQ2479" s="60"/>
      <c r="LYR2479" s="60"/>
      <c r="LYS2479" s="64"/>
      <c r="LYT2479" s="61"/>
      <c r="LYU2479" s="54"/>
      <c r="LYV2479" s="54"/>
      <c r="LYW2479" s="60"/>
      <c r="LYX2479" s="60"/>
      <c r="LYY2479" s="60"/>
      <c r="LYZ2479" s="60"/>
      <c r="LZA2479" s="64"/>
      <c r="LZB2479" s="61"/>
      <c r="LZC2479" s="54"/>
      <c r="LZD2479" s="54"/>
      <c r="LZE2479" s="60"/>
      <c r="LZF2479" s="60"/>
      <c r="LZG2479" s="60"/>
      <c r="LZH2479" s="60"/>
      <c r="LZI2479" s="64"/>
      <c r="LZJ2479" s="61"/>
      <c r="LZK2479" s="54"/>
      <c r="LZL2479" s="54"/>
      <c r="LZM2479" s="60"/>
      <c r="LZN2479" s="60"/>
      <c r="LZO2479" s="60"/>
      <c r="LZP2479" s="60"/>
      <c r="LZQ2479" s="64"/>
      <c r="LZR2479" s="61"/>
      <c r="LZS2479" s="54"/>
      <c r="LZT2479" s="54"/>
      <c r="LZU2479" s="60"/>
      <c r="LZV2479" s="60"/>
      <c r="LZW2479" s="60"/>
      <c r="LZX2479" s="60"/>
      <c r="LZY2479" s="64"/>
      <c r="LZZ2479" s="61"/>
      <c r="MAA2479" s="54"/>
      <c r="MAB2479" s="54"/>
      <c r="MAC2479" s="60"/>
      <c r="MAD2479" s="60"/>
      <c r="MAE2479" s="60"/>
      <c r="MAF2479" s="60"/>
      <c r="MAG2479" s="64"/>
      <c r="MAH2479" s="61"/>
      <c r="MAI2479" s="54"/>
      <c r="MAJ2479" s="54"/>
      <c r="MAK2479" s="60"/>
      <c r="MAL2479" s="60"/>
      <c r="MAM2479" s="60"/>
      <c r="MAN2479" s="60"/>
      <c r="MAO2479" s="64"/>
      <c r="MAP2479" s="61"/>
      <c r="MAQ2479" s="54"/>
      <c r="MAR2479" s="54"/>
      <c r="MAS2479" s="60"/>
      <c r="MAT2479" s="60"/>
      <c r="MAU2479" s="60"/>
      <c r="MAV2479" s="60"/>
      <c r="MAW2479" s="64"/>
      <c r="MAX2479" s="61"/>
      <c r="MAY2479" s="54"/>
      <c r="MAZ2479" s="54"/>
      <c r="MBA2479" s="60"/>
      <c r="MBB2479" s="60"/>
      <c r="MBC2479" s="60"/>
      <c r="MBD2479" s="60"/>
      <c r="MBE2479" s="64"/>
      <c r="MBF2479" s="61"/>
      <c r="MBG2479" s="54"/>
      <c r="MBH2479" s="54"/>
      <c r="MBI2479" s="60"/>
      <c r="MBJ2479" s="60"/>
      <c r="MBK2479" s="60"/>
      <c r="MBL2479" s="60"/>
      <c r="MBM2479" s="64"/>
      <c r="MBN2479" s="61"/>
      <c r="MBO2479" s="54"/>
      <c r="MBP2479" s="54"/>
      <c r="MBQ2479" s="60"/>
      <c r="MBR2479" s="60"/>
      <c r="MBS2479" s="60"/>
      <c r="MBT2479" s="60"/>
      <c r="MBU2479" s="64"/>
      <c r="MBV2479" s="61"/>
      <c r="MBW2479" s="54"/>
      <c r="MBX2479" s="54"/>
      <c r="MBY2479" s="60"/>
      <c r="MBZ2479" s="60"/>
      <c r="MCA2479" s="60"/>
      <c r="MCB2479" s="60"/>
      <c r="MCC2479" s="64"/>
      <c r="MCD2479" s="61"/>
      <c r="MCE2479" s="54"/>
      <c r="MCF2479" s="54"/>
      <c r="MCG2479" s="60"/>
      <c r="MCH2479" s="60"/>
      <c r="MCI2479" s="60"/>
      <c r="MCJ2479" s="60"/>
      <c r="MCK2479" s="64"/>
      <c r="MCL2479" s="61"/>
      <c r="MCM2479" s="54"/>
      <c r="MCN2479" s="54"/>
      <c r="MCO2479" s="60"/>
      <c r="MCP2479" s="60"/>
      <c r="MCQ2479" s="60"/>
      <c r="MCR2479" s="60"/>
      <c r="MCS2479" s="64"/>
      <c r="MCT2479" s="61"/>
      <c r="MCU2479" s="54"/>
      <c r="MCV2479" s="54"/>
      <c r="MCW2479" s="60"/>
      <c r="MCX2479" s="60"/>
      <c r="MCY2479" s="60"/>
      <c r="MCZ2479" s="60"/>
      <c r="MDA2479" s="64"/>
      <c r="MDB2479" s="61"/>
      <c r="MDC2479" s="54"/>
      <c r="MDD2479" s="54"/>
      <c r="MDE2479" s="60"/>
      <c r="MDF2479" s="60"/>
      <c r="MDG2479" s="60"/>
      <c r="MDH2479" s="60"/>
      <c r="MDI2479" s="64"/>
      <c r="MDJ2479" s="61"/>
      <c r="MDK2479" s="54"/>
      <c r="MDL2479" s="54"/>
      <c r="MDM2479" s="60"/>
      <c r="MDN2479" s="60"/>
      <c r="MDO2479" s="60"/>
      <c r="MDP2479" s="60"/>
      <c r="MDQ2479" s="64"/>
      <c r="MDR2479" s="61"/>
      <c r="MDS2479" s="54"/>
      <c r="MDT2479" s="54"/>
      <c r="MDU2479" s="60"/>
      <c r="MDV2479" s="60"/>
      <c r="MDW2479" s="60"/>
      <c r="MDX2479" s="60"/>
      <c r="MDY2479" s="64"/>
      <c r="MDZ2479" s="61"/>
      <c r="MEA2479" s="54"/>
      <c r="MEB2479" s="54"/>
      <c r="MEC2479" s="60"/>
      <c r="MED2479" s="60"/>
      <c r="MEE2479" s="60"/>
      <c r="MEF2479" s="60"/>
      <c r="MEG2479" s="64"/>
      <c r="MEH2479" s="61"/>
      <c r="MEI2479" s="54"/>
      <c r="MEJ2479" s="54"/>
      <c r="MEK2479" s="60"/>
      <c r="MEL2479" s="60"/>
      <c r="MEM2479" s="60"/>
      <c r="MEN2479" s="60"/>
      <c r="MEO2479" s="64"/>
      <c r="MEP2479" s="61"/>
      <c r="MEQ2479" s="54"/>
      <c r="MER2479" s="54"/>
      <c r="MES2479" s="60"/>
      <c r="MET2479" s="60"/>
      <c r="MEU2479" s="60"/>
      <c r="MEV2479" s="60"/>
      <c r="MEW2479" s="64"/>
      <c r="MEX2479" s="61"/>
      <c r="MEY2479" s="54"/>
      <c r="MEZ2479" s="54"/>
      <c r="MFA2479" s="60"/>
      <c r="MFB2479" s="60"/>
      <c r="MFC2479" s="60"/>
      <c r="MFD2479" s="60"/>
      <c r="MFE2479" s="64"/>
      <c r="MFF2479" s="61"/>
      <c r="MFG2479" s="54"/>
      <c r="MFH2479" s="54"/>
      <c r="MFI2479" s="60"/>
      <c r="MFJ2479" s="60"/>
      <c r="MFK2479" s="60"/>
      <c r="MFL2479" s="60"/>
      <c r="MFM2479" s="64"/>
      <c r="MFN2479" s="61"/>
      <c r="MFO2479" s="54"/>
      <c r="MFP2479" s="54"/>
      <c r="MFQ2479" s="60"/>
      <c r="MFR2479" s="60"/>
      <c r="MFS2479" s="60"/>
      <c r="MFT2479" s="60"/>
      <c r="MFU2479" s="64"/>
      <c r="MFV2479" s="61"/>
      <c r="MFW2479" s="54"/>
      <c r="MFX2479" s="54"/>
      <c r="MFY2479" s="60"/>
      <c r="MFZ2479" s="60"/>
      <c r="MGA2479" s="60"/>
      <c r="MGB2479" s="60"/>
      <c r="MGC2479" s="64"/>
      <c r="MGD2479" s="61"/>
      <c r="MGE2479" s="54"/>
      <c r="MGF2479" s="54"/>
      <c r="MGG2479" s="60"/>
      <c r="MGH2479" s="60"/>
      <c r="MGI2479" s="60"/>
      <c r="MGJ2479" s="60"/>
      <c r="MGK2479" s="64"/>
      <c r="MGL2479" s="61"/>
      <c r="MGM2479" s="54"/>
      <c r="MGN2479" s="54"/>
      <c r="MGO2479" s="60"/>
      <c r="MGP2479" s="60"/>
      <c r="MGQ2479" s="60"/>
      <c r="MGR2479" s="60"/>
      <c r="MGS2479" s="64"/>
      <c r="MGT2479" s="61"/>
      <c r="MGU2479" s="54"/>
      <c r="MGV2479" s="54"/>
      <c r="MGW2479" s="60"/>
      <c r="MGX2479" s="60"/>
      <c r="MGY2479" s="60"/>
      <c r="MGZ2479" s="60"/>
      <c r="MHA2479" s="64"/>
      <c r="MHB2479" s="61"/>
      <c r="MHC2479" s="54"/>
      <c r="MHD2479" s="54"/>
      <c r="MHE2479" s="60"/>
      <c r="MHF2479" s="60"/>
      <c r="MHG2479" s="60"/>
      <c r="MHH2479" s="60"/>
      <c r="MHI2479" s="64"/>
      <c r="MHJ2479" s="61"/>
      <c r="MHK2479" s="54"/>
      <c r="MHL2479" s="54"/>
      <c r="MHM2479" s="60"/>
      <c r="MHN2479" s="60"/>
      <c r="MHO2479" s="60"/>
      <c r="MHP2479" s="60"/>
      <c r="MHQ2479" s="64"/>
      <c r="MHR2479" s="61"/>
      <c r="MHS2479" s="54"/>
      <c r="MHT2479" s="54"/>
      <c r="MHU2479" s="60"/>
      <c r="MHV2479" s="60"/>
      <c r="MHW2479" s="60"/>
      <c r="MHX2479" s="60"/>
      <c r="MHY2479" s="64"/>
      <c r="MHZ2479" s="61"/>
      <c r="MIA2479" s="54"/>
      <c r="MIB2479" s="54"/>
      <c r="MIC2479" s="60"/>
      <c r="MID2479" s="60"/>
      <c r="MIE2479" s="60"/>
      <c r="MIF2479" s="60"/>
      <c r="MIG2479" s="64"/>
      <c r="MIH2479" s="61"/>
      <c r="MII2479" s="54"/>
      <c r="MIJ2479" s="54"/>
      <c r="MIK2479" s="60"/>
      <c r="MIL2479" s="60"/>
      <c r="MIM2479" s="60"/>
      <c r="MIN2479" s="60"/>
      <c r="MIO2479" s="64"/>
      <c r="MIP2479" s="61"/>
      <c r="MIQ2479" s="54"/>
      <c r="MIR2479" s="54"/>
      <c r="MIS2479" s="60"/>
      <c r="MIT2479" s="60"/>
      <c r="MIU2479" s="60"/>
      <c r="MIV2479" s="60"/>
      <c r="MIW2479" s="64"/>
      <c r="MIX2479" s="61"/>
      <c r="MIY2479" s="54"/>
      <c r="MIZ2479" s="54"/>
      <c r="MJA2479" s="60"/>
      <c r="MJB2479" s="60"/>
      <c r="MJC2479" s="60"/>
      <c r="MJD2479" s="60"/>
      <c r="MJE2479" s="64"/>
      <c r="MJF2479" s="61"/>
      <c r="MJG2479" s="54"/>
      <c r="MJH2479" s="54"/>
      <c r="MJI2479" s="60"/>
      <c r="MJJ2479" s="60"/>
      <c r="MJK2479" s="60"/>
      <c r="MJL2479" s="60"/>
      <c r="MJM2479" s="64"/>
      <c r="MJN2479" s="61"/>
      <c r="MJO2479" s="54"/>
      <c r="MJP2479" s="54"/>
      <c r="MJQ2479" s="60"/>
      <c r="MJR2479" s="60"/>
      <c r="MJS2479" s="60"/>
      <c r="MJT2479" s="60"/>
      <c r="MJU2479" s="64"/>
      <c r="MJV2479" s="61"/>
      <c r="MJW2479" s="54"/>
      <c r="MJX2479" s="54"/>
      <c r="MJY2479" s="60"/>
      <c r="MJZ2479" s="60"/>
      <c r="MKA2479" s="60"/>
      <c r="MKB2479" s="60"/>
      <c r="MKC2479" s="64"/>
      <c r="MKD2479" s="61"/>
      <c r="MKE2479" s="54"/>
      <c r="MKF2479" s="54"/>
      <c r="MKG2479" s="60"/>
      <c r="MKH2479" s="60"/>
      <c r="MKI2479" s="60"/>
      <c r="MKJ2479" s="60"/>
      <c r="MKK2479" s="64"/>
      <c r="MKL2479" s="61"/>
      <c r="MKM2479" s="54"/>
      <c r="MKN2479" s="54"/>
      <c r="MKO2479" s="60"/>
      <c r="MKP2479" s="60"/>
      <c r="MKQ2479" s="60"/>
      <c r="MKR2479" s="60"/>
      <c r="MKS2479" s="64"/>
      <c r="MKT2479" s="61"/>
      <c r="MKU2479" s="54"/>
      <c r="MKV2479" s="54"/>
      <c r="MKW2479" s="60"/>
      <c r="MKX2479" s="60"/>
      <c r="MKY2479" s="60"/>
      <c r="MKZ2479" s="60"/>
      <c r="MLA2479" s="64"/>
      <c r="MLB2479" s="61"/>
      <c r="MLC2479" s="54"/>
      <c r="MLD2479" s="54"/>
      <c r="MLE2479" s="60"/>
      <c r="MLF2479" s="60"/>
      <c r="MLG2479" s="60"/>
      <c r="MLH2479" s="60"/>
      <c r="MLI2479" s="64"/>
      <c r="MLJ2479" s="61"/>
      <c r="MLK2479" s="54"/>
      <c r="MLL2479" s="54"/>
      <c r="MLM2479" s="60"/>
      <c r="MLN2479" s="60"/>
      <c r="MLO2479" s="60"/>
      <c r="MLP2479" s="60"/>
      <c r="MLQ2479" s="64"/>
      <c r="MLR2479" s="61"/>
      <c r="MLS2479" s="54"/>
      <c r="MLT2479" s="54"/>
      <c r="MLU2479" s="60"/>
      <c r="MLV2479" s="60"/>
      <c r="MLW2479" s="60"/>
      <c r="MLX2479" s="60"/>
      <c r="MLY2479" s="64"/>
      <c r="MLZ2479" s="61"/>
      <c r="MMA2479" s="54"/>
      <c r="MMB2479" s="54"/>
      <c r="MMC2479" s="60"/>
      <c r="MMD2479" s="60"/>
      <c r="MME2479" s="60"/>
      <c r="MMF2479" s="60"/>
      <c r="MMG2479" s="64"/>
      <c r="MMH2479" s="61"/>
      <c r="MMI2479" s="54"/>
      <c r="MMJ2479" s="54"/>
      <c r="MMK2479" s="60"/>
      <c r="MML2479" s="60"/>
      <c r="MMM2479" s="60"/>
      <c r="MMN2479" s="60"/>
      <c r="MMO2479" s="64"/>
      <c r="MMP2479" s="61"/>
      <c r="MMQ2479" s="54"/>
      <c r="MMR2479" s="54"/>
      <c r="MMS2479" s="60"/>
      <c r="MMT2479" s="60"/>
      <c r="MMU2479" s="60"/>
      <c r="MMV2479" s="60"/>
      <c r="MMW2479" s="64"/>
      <c r="MMX2479" s="61"/>
      <c r="MMY2479" s="54"/>
      <c r="MMZ2479" s="54"/>
      <c r="MNA2479" s="60"/>
      <c r="MNB2479" s="60"/>
      <c r="MNC2479" s="60"/>
      <c r="MND2479" s="60"/>
      <c r="MNE2479" s="64"/>
      <c r="MNF2479" s="61"/>
      <c r="MNG2479" s="54"/>
      <c r="MNH2479" s="54"/>
      <c r="MNI2479" s="60"/>
      <c r="MNJ2479" s="60"/>
      <c r="MNK2479" s="60"/>
      <c r="MNL2479" s="60"/>
      <c r="MNM2479" s="64"/>
      <c r="MNN2479" s="61"/>
      <c r="MNO2479" s="54"/>
      <c r="MNP2479" s="54"/>
      <c r="MNQ2479" s="60"/>
      <c r="MNR2479" s="60"/>
      <c r="MNS2479" s="60"/>
      <c r="MNT2479" s="60"/>
      <c r="MNU2479" s="64"/>
      <c r="MNV2479" s="61"/>
      <c r="MNW2479" s="54"/>
      <c r="MNX2479" s="54"/>
      <c r="MNY2479" s="60"/>
      <c r="MNZ2479" s="60"/>
      <c r="MOA2479" s="60"/>
      <c r="MOB2479" s="60"/>
      <c r="MOC2479" s="64"/>
      <c r="MOD2479" s="61"/>
      <c r="MOE2479" s="54"/>
      <c r="MOF2479" s="54"/>
      <c r="MOG2479" s="60"/>
      <c r="MOH2479" s="60"/>
      <c r="MOI2479" s="60"/>
      <c r="MOJ2479" s="60"/>
      <c r="MOK2479" s="64"/>
      <c r="MOL2479" s="61"/>
      <c r="MOM2479" s="54"/>
      <c r="MON2479" s="54"/>
      <c r="MOO2479" s="60"/>
      <c r="MOP2479" s="60"/>
      <c r="MOQ2479" s="60"/>
      <c r="MOR2479" s="60"/>
      <c r="MOS2479" s="64"/>
      <c r="MOT2479" s="61"/>
      <c r="MOU2479" s="54"/>
      <c r="MOV2479" s="54"/>
      <c r="MOW2479" s="60"/>
      <c r="MOX2479" s="60"/>
      <c r="MOY2479" s="60"/>
      <c r="MOZ2479" s="60"/>
      <c r="MPA2479" s="64"/>
      <c r="MPB2479" s="61"/>
      <c r="MPC2479" s="54"/>
      <c r="MPD2479" s="54"/>
      <c r="MPE2479" s="60"/>
      <c r="MPF2479" s="60"/>
      <c r="MPG2479" s="60"/>
      <c r="MPH2479" s="60"/>
      <c r="MPI2479" s="64"/>
      <c r="MPJ2479" s="61"/>
      <c r="MPK2479" s="54"/>
      <c r="MPL2479" s="54"/>
      <c r="MPM2479" s="60"/>
      <c r="MPN2479" s="60"/>
      <c r="MPO2479" s="60"/>
      <c r="MPP2479" s="60"/>
      <c r="MPQ2479" s="64"/>
      <c r="MPR2479" s="61"/>
      <c r="MPS2479" s="54"/>
      <c r="MPT2479" s="54"/>
      <c r="MPU2479" s="60"/>
      <c r="MPV2479" s="60"/>
      <c r="MPW2479" s="60"/>
      <c r="MPX2479" s="60"/>
      <c r="MPY2479" s="64"/>
      <c r="MPZ2479" s="61"/>
      <c r="MQA2479" s="54"/>
      <c r="MQB2479" s="54"/>
      <c r="MQC2479" s="60"/>
      <c r="MQD2479" s="60"/>
      <c r="MQE2479" s="60"/>
      <c r="MQF2479" s="60"/>
      <c r="MQG2479" s="64"/>
      <c r="MQH2479" s="61"/>
      <c r="MQI2479" s="54"/>
      <c r="MQJ2479" s="54"/>
      <c r="MQK2479" s="60"/>
      <c r="MQL2479" s="60"/>
      <c r="MQM2479" s="60"/>
      <c r="MQN2479" s="60"/>
      <c r="MQO2479" s="64"/>
      <c r="MQP2479" s="61"/>
      <c r="MQQ2479" s="54"/>
      <c r="MQR2479" s="54"/>
      <c r="MQS2479" s="60"/>
      <c r="MQT2479" s="60"/>
      <c r="MQU2479" s="60"/>
      <c r="MQV2479" s="60"/>
      <c r="MQW2479" s="64"/>
      <c r="MQX2479" s="61"/>
      <c r="MQY2479" s="54"/>
      <c r="MQZ2479" s="54"/>
      <c r="MRA2479" s="60"/>
      <c r="MRB2479" s="60"/>
      <c r="MRC2479" s="60"/>
      <c r="MRD2479" s="60"/>
      <c r="MRE2479" s="64"/>
      <c r="MRF2479" s="61"/>
      <c r="MRG2479" s="54"/>
      <c r="MRH2479" s="54"/>
      <c r="MRI2479" s="60"/>
      <c r="MRJ2479" s="60"/>
      <c r="MRK2479" s="60"/>
      <c r="MRL2479" s="60"/>
      <c r="MRM2479" s="64"/>
      <c r="MRN2479" s="61"/>
      <c r="MRO2479" s="54"/>
      <c r="MRP2479" s="54"/>
      <c r="MRQ2479" s="60"/>
      <c r="MRR2479" s="60"/>
      <c r="MRS2479" s="60"/>
      <c r="MRT2479" s="60"/>
      <c r="MRU2479" s="64"/>
      <c r="MRV2479" s="61"/>
      <c r="MRW2479" s="54"/>
      <c r="MRX2479" s="54"/>
      <c r="MRY2479" s="60"/>
      <c r="MRZ2479" s="60"/>
      <c r="MSA2479" s="60"/>
      <c r="MSB2479" s="60"/>
      <c r="MSC2479" s="64"/>
      <c r="MSD2479" s="61"/>
      <c r="MSE2479" s="54"/>
      <c r="MSF2479" s="54"/>
      <c r="MSG2479" s="60"/>
      <c r="MSH2479" s="60"/>
      <c r="MSI2479" s="60"/>
      <c r="MSJ2479" s="60"/>
      <c r="MSK2479" s="64"/>
      <c r="MSL2479" s="61"/>
      <c r="MSM2479" s="54"/>
      <c r="MSN2479" s="54"/>
      <c r="MSO2479" s="60"/>
      <c r="MSP2479" s="60"/>
      <c r="MSQ2479" s="60"/>
      <c r="MSR2479" s="60"/>
      <c r="MSS2479" s="64"/>
      <c r="MST2479" s="61"/>
      <c r="MSU2479" s="54"/>
      <c r="MSV2479" s="54"/>
      <c r="MSW2479" s="60"/>
      <c r="MSX2479" s="60"/>
      <c r="MSY2479" s="60"/>
      <c r="MSZ2479" s="60"/>
      <c r="MTA2479" s="64"/>
      <c r="MTB2479" s="61"/>
      <c r="MTC2479" s="54"/>
      <c r="MTD2479" s="54"/>
      <c r="MTE2479" s="60"/>
      <c r="MTF2479" s="60"/>
      <c r="MTG2479" s="60"/>
      <c r="MTH2479" s="60"/>
      <c r="MTI2479" s="64"/>
      <c r="MTJ2479" s="61"/>
      <c r="MTK2479" s="54"/>
      <c r="MTL2479" s="54"/>
      <c r="MTM2479" s="60"/>
      <c r="MTN2479" s="60"/>
      <c r="MTO2479" s="60"/>
      <c r="MTP2479" s="60"/>
      <c r="MTQ2479" s="64"/>
      <c r="MTR2479" s="61"/>
      <c r="MTS2479" s="54"/>
      <c r="MTT2479" s="54"/>
      <c r="MTU2479" s="60"/>
      <c r="MTV2479" s="60"/>
      <c r="MTW2479" s="60"/>
      <c r="MTX2479" s="60"/>
      <c r="MTY2479" s="64"/>
      <c r="MTZ2479" s="61"/>
      <c r="MUA2479" s="54"/>
      <c r="MUB2479" s="54"/>
      <c r="MUC2479" s="60"/>
      <c r="MUD2479" s="60"/>
      <c r="MUE2479" s="60"/>
      <c r="MUF2479" s="60"/>
      <c r="MUG2479" s="64"/>
      <c r="MUH2479" s="61"/>
      <c r="MUI2479" s="54"/>
      <c r="MUJ2479" s="54"/>
      <c r="MUK2479" s="60"/>
      <c r="MUL2479" s="60"/>
      <c r="MUM2479" s="60"/>
      <c r="MUN2479" s="60"/>
      <c r="MUO2479" s="64"/>
      <c r="MUP2479" s="61"/>
      <c r="MUQ2479" s="54"/>
      <c r="MUR2479" s="54"/>
      <c r="MUS2479" s="60"/>
      <c r="MUT2479" s="60"/>
      <c r="MUU2479" s="60"/>
      <c r="MUV2479" s="60"/>
      <c r="MUW2479" s="64"/>
      <c r="MUX2479" s="61"/>
      <c r="MUY2479" s="54"/>
      <c r="MUZ2479" s="54"/>
      <c r="MVA2479" s="60"/>
      <c r="MVB2479" s="60"/>
      <c r="MVC2479" s="60"/>
      <c r="MVD2479" s="60"/>
      <c r="MVE2479" s="64"/>
      <c r="MVF2479" s="61"/>
      <c r="MVG2479" s="54"/>
      <c r="MVH2479" s="54"/>
      <c r="MVI2479" s="60"/>
      <c r="MVJ2479" s="60"/>
      <c r="MVK2479" s="60"/>
      <c r="MVL2479" s="60"/>
      <c r="MVM2479" s="64"/>
      <c r="MVN2479" s="61"/>
      <c r="MVO2479" s="54"/>
      <c r="MVP2479" s="54"/>
      <c r="MVQ2479" s="60"/>
      <c r="MVR2479" s="60"/>
      <c r="MVS2479" s="60"/>
      <c r="MVT2479" s="60"/>
      <c r="MVU2479" s="64"/>
      <c r="MVV2479" s="61"/>
      <c r="MVW2479" s="54"/>
      <c r="MVX2479" s="54"/>
      <c r="MVY2479" s="60"/>
      <c r="MVZ2479" s="60"/>
      <c r="MWA2479" s="60"/>
      <c r="MWB2479" s="60"/>
      <c r="MWC2479" s="64"/>
      <c r="MWD2479" s="61"/>
      <c r="MWE2479" s="54"/>
      <c r="MWF2479" s="54"/>
      <c r="MWG2479" s="60"/>
      <c r="MWH2479" s="60"/>
      <c r="MWI2479" s="60"/>
      <c r="MWJ2479" s="60"/>
      <c r="MWK2479" s="64"/>
      <c r="MWL2479" s="61"/>
      <c r="MWM2479" s="54"/>
      <c r="MWN2479" s="54"/>
      <c r="MWO2479" s="60"/>
      <c r="MWP2479" s="60"/>
      <c r="MWQ2479" s="60"/>
      <c r="MWR2479" s="60"/>
      <c r="MWS2479" s="64"/>
      <c r="MWT2479" s="61"/>
      <c r="MWU2479" s="54"/>
      <c r="MWV2479" s="54"/>
      <c r="MWW2479" s="60"/>
      <c r="MWX2479" s="60"/>
      <c r="MWY2479" s="60"/>
      <c r="MWZ2479" s="60"/>
      <c r="MXA2479" s="64"/>
      <c r="MXB2479" s="61"/>
      <c r="MXC2479" s="54"/>
      <c r="MXD2479" s="54"/>
      <c r="MXE2479" s="60"/>
      <c r="MXF2479" s="60"/>
      <c r="MXG2479" s="60"/>
      <c r="MXH2479" s="60"/>
      <c r="MXI2479" s="64"/>
      <c r="MXJ2479" s="61"/>
      <c r="MXK2479" s="54"/>
      <c r="MXL2479" s="54"/>
      <c r="MXM2479" s="60"/>
      <c r="MXN2479" s="60"/>
      <c r="MXO2479" s="60"/>
      <c r="MXP2479" s="60"/>
      <c r="MXQ2479" s="64"/>
      <c r="MXR2479" s="61"/>
      <c r="MXS2479" s="54"/>
      <c r="MXT2479" s="54"/>
      <c r="MXU2479" s="60"/>
      <c r="MXV2479" s="60"/>
      <c r="MXW2479" s="60"/>
      <c r="MXX2479" s="60"/>
      <c r="MXY2479" s="64"/>
      <c r="MXZ2479" s="61"/>
      <c r="MYA2479" s="54"/>
      <c r="MYB2479" s="54"/>
      <c r="MYC2479" s="60"/>
      <c r="MYD2479" s="60"/>
      <c r="MYE2479" s="60"/>
      <c r="MYF2479" s="60"/>
      <c r="MYG2479" s="64"/>
      <c r="MYH2479" s="61"/>
      <c r="MYI2479" s="54"/>
      <c r="MYJ2479" s="54"/>
      <c r="MYK2479" s="60"/>
      <c r="MYL2479" s="60"/>
      <c r="MYM2479" s="60"/>
      <c r="MYN2479" s="60"/>
      <c r="MYO2479" s="64"/>
      <c r="MYP2479" s="61"/>
      <c r="MYQ2479" s="54"/>
      <c r="MYR2479" s="54"/>
      <c r="MYS2479" s="60"/>
      <c r="MYT2479" s="60"/>
      <c r="MYU2479" s="60"/>
      <c r="MYV2479" s="60"/>
      <c r="MYW2479" s="64"/>
      <c r="MYX2479" s="61"/>
      <c r="MYY2479" s="54"/>
      <c r="MYZ2479" s="54"/>
      <c r="MZA2479" s="60"/>
      <c r="MZB2479" s="60"/>
      <c r="MZC2479" s="60"/>
      <c r="MZD2479" s="60"/>
      <c r="MZE2479" s="64"/>
      <c r="MZF2479" s="61"/>
      <c r="MZG2479" s="54"/>
      <c r="MZH2479" s="54"/>
      <c r="MZI2479" s="60"/>
      <c r="MZJ2479" s="60"/>
      <c r="MZK2479" s="60"/>
      <c r="MZL2479" s="60"/>
      <c r="MZM2479" s="64"/>
      <c r="MZN2479" s="61"/>
      <c r="MZO2479" s="54"/>
      <c r="MZP2479" s="54"/>
      <c r="MZQ2479" s="60"/>
      <c r="MZR2479" s="60"/>
      <c r="MZS2479" s="60"/>
      <c r="MZT2479" s="60"/>
      <c r="MZU2479" s="64"/>
      <c r="MZV2479" s="61"/>
      <c r="MZW2479" s="54"/>
      <c r="MZX2479" s="54"/>
      <c r="MZY2479" s="60"/>
      <c r="MZZ2479" s="60"/>
      <c r="NAA2479" s="60"/>
      <c r="NAB2479" s="60"/>
      <c r="NAC2479" s="64"/>
      <c r="NAD2479" s="61"/>
      <c r="NAE2479" s="54"/>
      <c r="NAF2479" s="54"/>
      <c r="NAG2479" s="60"/>
      <c r="NAH2479" s="60"/>
      <c r="NAI2479" s="60"/>
      <c r="NAJ2479" s="60"/>
      <c r="NAK2479" s="64"/>
      <c r="NAL2479" s="61"/>
      <c r="NAM2479" s="54"/>
      <c r="NAN2479" s="54"/>
      <c r="NAO2479" s="60"/>
      <c r="NAP2479" s="60"/>
      <c r="NAQ2479" s="60"/>
      <c r="NAR2479" s="60"/>
      <c r="NAS2479" s="64"/>
      <c r="NAT2479" s="61"/>
      <c r="NAU2479" s="54"/>
      <c r="NAV2479" s="54"/>
      <c r="NAW2479" s="60"/>
      <c r="NAX2479" s="60"/>
      <c r="NAY2479" s="60"/>
      <c r="NAZ2479" s="60"/>
      <c r="NBA2479" s="64"/>
      <c r="NBB2479" s="61"/>
      <c r="NBC2479" s="54"/>
      <c r="NBD2479" s="54"/>
      <c r="NBE2479" s="60"/>
      <c r="NBF2479" s="60"/>
      <c r="NBG2479" s="60"/>
      <c r="NBH2479" s="60"/>
      <c r="NBI2479" s="64"/>
      <c r="NBJ2479" s="61"/>
      <c r="NBK2479" s="54"/>
      <c r="NBL2479" s="54"/>
      <c r="NBM2479" s="60"/>
      <c r="NBN2479" s="60"/>
      <c r="NBO2479" s="60"/>
      <c r="NBP2479" s="60"/>
      <c r="NBQ2479" s="64"/>
      <c r="NBR2479" s="61"/>
      <c r="NBS2479" s="54"/>
      <c r="NBT2479" s="54"/>
      <c r="NBU2479" s="60"/>
      <c r="NBV2479" s="60"/>
      <c r="NBW2479" s="60"/>
      <c r="NBX2479" s="60"/>
      <c r="NBY2479" s="64"/>
      <c r="NBZ2479" s="61"/>
      <c r="NCA2479" s="54"/>
      <c r="NCB2479" s="54"/>
      <c r="NCC2479" s="60"/>
      <c r="NCD2479" s="60"/>
      <c r="NCE2479" s="60"/>
      <c r="NCF2479" s="60"/>
      <c r="NCG2479" s="64"/>
      <c r="NCH2479" s="61"/>
      <c r="NCI2479" s="54"/>
      <c r="NCJ2479" s="54"/>
      <c r="NCK2479" s="60"/>
      <c r="NCL2479" s="60"/>
      <c r="NCM2479" s="60"/>
      <c r="NCN2479" s="60"/>
      <c r="NCO2479" s="64"/>
      <c r="NCP2479" s="61"/>
      <c r="NCQ2479" s="54"/>
      <c r="NCR2479" s="54"/>
      <c r="NCS2479" s="60"/>
      <c r="NCT2479" s="60"/>
      <c r="NCU2479" s="60"/>
      <c r="NCV2479" s="60"/>
      <c r="NCW2479" s="64"/>
      <c r="NCX2479" s="61"/>
      <c r="NCY2479" s="54"/>
      <c r="NCZ2479" s="54"/>
      <c r="NDA2479" s="60"/>
      <c r="NDB2479" s="60"/>
      <c r="NDC2479" s="60"/>
      <c r="NDD2479" s="60"/>
      <c r="NDE2479" s="64"/>
      <c r="NDF2479" s="61"/>
      <c r="NDG2479" s="54"/>
      <c r="NDH2479" s="54"/>
      <c r="NDI2479" s="60"/>
      <c r="NDJ2479" s="60"/>
      <c r="NDK2479" s="60"/>
      <c r="NDL2479" s="60"/>
      <c r="NDM2479" s="64"/>
      <c r="NDN2479" s="61"/>
      <c r="NDO2479" s="54"/>
      <c r="NDP2479" s="54"/>
      <c r="NDQ2479" s="60"/>
      <c r="NDR2479" s="60"/>
      <c r="NDS2479" s="60"/>
      <c r="NDT2479" s="60"/>
      <c r="NDU2479" s="64"/>
      <c r="NDV2479" s="61"/>
      <c r="NDW2479" s="54"/>
      <c r="NDX2479" s="54"/>
      <c r="NDY2479" s="60"/>
      <c r="NDZ2479" s="60"/>
      <c r="NEA2479" s="60"/>
      <c r="NEB2479" s="60"/>
      <c r="NEC2479" s="64"/>
      <c r="NED2479" s="61"/>
      <c r="NEE2479" s="54"/>
      <c r="NEF2479" s="54"/>
      <c r="NEG2479" s="60"/>
      <c r="NEH2479" s="60"/>
      <c r="NEI2479" s="60"/>
      <c r="NEJ2479" s="60"/>
      <c r="NEK2479" s="64"/>
      <c r="NEL2479" s="61"/>
      <c r="NEM2479" s="54"/>
      <c r="NEN2479" s="54"/>
      <c r="NEO2479" s="60"/>
      <c r="NEP2479" s="60"/>
      <c r="NEQ2479" s="60"/>
      <c r="NER2479" s="60"/>
      <c r="NES2479" s="64"/>
      <c r="NET2479" s="61"/>
      <c r="NEU2479" s="54"/>
      <c r="NEV2479" s="54"/>
      <c r="NEW2479" s="60"/>
      <c r="NEX2479" s="60"/>
      <c r="NEY2479" s="60"/>
      <c r="NEZ2479" s="60"/>
      <c r="NFA2479" s="64"/>
      <c r="NFB2479" s="61"/>
      <c r="NFC2479" s="54"/>
      <c r="NFD2479" s="54"/>
      <c r="NFE2479" s="60"/>
      <c r="NFF2479" s="60"/>
      <c r="NFG2479" s="60"/>
      <c r="NFH2479" s="60"/>
      <c r="NFI2479" s="64"/>
      <c r="NFJ2479" s="61"/>
      <c r="NFK2479" s="54"/>
      <c r="NFL2479" s="54"/>
      <c r="NFM2479" s="60"/>
      <c r="NFN2479" s="60"/>
      <c r="NFO2479" s="60"/>
      <c r="NFP2479" s="60"/>
      <c r="NFQ2479" s="64"/>
      <c r="NFR2479" s="61"/>
      <c r="NFS2479" s="54"/>
      <c r="NFT2479" s="54"/>
      <c r="NFU2479" s="60"/>
      <c r="NFV2479" s="60"/>
      <c r="NFW2479" s="60"/>
      <c r="NFX2479" s="60"/>
      <c r="NFY2479" s="64"/>
      <c r="NFZ2479" s="61"/>
      <c r="NGA2479" s="54"/>
      <c r="NGB2479" s="54"/>
      <c r="NGC2479" s="60"/>
      <c r="NGD2479" s="60"/>
      <c r="NGE2479" s="60"/>
      <c r="NGF2479" s="60"/>
      <c r="NGG2479" s="64"/>
      <c r="NGH2479" s="61"/>
      <c r="NGI2479" s="54"/>
      <c r="NGJ2479" s="54"/>
      <c r="NGK2479" s="60"/>
      <c r="NGL2479" s="60"/>
      <c r="NGM2479" s="60"/>
      <c r="NGN2479" s="60"/>
      <c r="NGO2479" s="64"/>
      <c r="NGP2479" s="61"/>
      <c r="NGQ2479" s="54"/>
      <c r="NGR2479" s="54"/>
      <c r="NGS2479" s="60"/>
      <c r="NGT2479" s="60"/>
      <c r="NGU2479" s="60"/>
      <c r="NGV2479" s="60"/>
      <c r="NGW2479" s="64"/>
      <c r="NGX2479" s="61"/>
      <c r="NGY2479" s="54"/>
      <c r="NGZ2479" s="54"/>
      <c r="NHA2479" s="60"/>
      <c r="NHB2479" s="60"/>
      <c r="NHC2479" s="60"/>
      <c r="NHD2479" s="60"/>
      <c r="NHE2479" s="64"/>
      <c r="NHF2479" s="61"/>
      <c r="NHG2479" s="54"/>
      <c r="NHH2479" s="54"/>
      <c r="NHI2479" s="60"/>
      <c r="NHJ2479" s="60"/>
      <c r="NHK2479" s="60"/>
      <c r="NHL2479" s="60"/>
      <c r="NHM2479" s="64"/>
      <c r="NHN2479" s="61"/>
      <c r="NHO2479" s="54"/>
      <c r="NHP2479" s="54"/>
      <c r="NHQ2479" s="60"/>
      <c r="NHR2479" s="60"/>
      <c r="NHS2479" s="60"/>
      <c r="NHT2479" s="60"/>
      <c r="NHU2479" s="64"/>
      <c r="NHV2479" s="61"/>
      <c r="NHW2479" s="54"/>
      <c r="NHX2479" s="54"/>
      <c r="NHY2479" s="60"/>
      <c r="NHZ2479" s="60"/>
      <c r="NIA2479" s="60"/>
      <c r="NIB2479" s="60"/>
      <c r="NIC2479" s="64"/>
      <c r="NID2479" s="61"/>
      <c r="NIE2479" s="54"/>
      <c r="NIF2479" s="54"/>
      <c r="NIG2479" s="60"/>
      <c r="NIH2479" s="60"/>
      <c r="NII2479" s="60"/>
      <c r="NIJ2479" s="60"/>
      <c r="NIK2479" s="64"/>
      <c r="NIL2479" s="61"/>
      <c r="NIM2479" s="54"/>
      <c r="NIN2479" s="54"/>
      <c r="NIO2479" s="60"/>
      <c r="NIP2479" s="60"/>
      <c r="NIQ2479" s="60"/>
      <c r="NIR2479" s="60"/>
      <c r="NIS2479" s="64"/>
      <c r="NIT2479" s="61"/>
      <c r="NIU2479" s="54"/>
      <c r="NIV2479" s="54"/>
      <c r="NIW2479" s="60"/>
      <c r="NIX2479" s="60"/>
      <c r="NIY2479" s="60"/>
      <c r="NIZ2479" s="60"/>
      <c r="NJA2479" s="64"/>
      <c r="NJB2479" s="61"/>
      <c r="NJC2479" s="54"/>
      <c r="NJD2479" s="54"/>
      <c r="NJE2479" s="60"/>
      <c r="NJF2479" s="60"/>
      <c r="NJG2479" s="60"/>
      <c r="NJH2479" s="60"/>
      <c r="NJI2479" s="64"/>
      <c r="NJJ2479" s="61"/>
      <c r="NJK2479" s="54"/>
      <c r="NJL2479" s="54"/>
      <c r="NJM2479" s="60"/>
      <c r="NJN2479" s="60"/>
      <c r="NJO2479" s="60"/>
      <c r="NJP2479" s="60"/>
      <c r="NJQ2479" s="64"/>
      <c r="NJR2479" s="61"/>
      <c r="NJS2479" s="54"/>
      <c r="NJT2479" s="54"/>
      <c r="NJU2479" s="60"/>
      <c r="NJV2479" s="60"/>
      <c r="NJW2479" s="60"/>
      <c r="NJX2479" s="60"/>
      <c r="NJY2479" s="64"/>
      <c r="NJZ2479" s="61"/>
      <c r="NKA2479" s="54"/>
      <c r="NKB2479" s="54"/>
      <c r="NKC2479" s="60"/>
      <c r="NKD2479" s="60"/>
      <c r="NKE2479" s="60"/>
      <c r="NKF2479" s="60"/>
      <c r="NKG2479" s="64"/>
      <c r="NKH2479" s="61"/>
      <c r="NKI2479" s="54"/>
      <c r="NKJ2479" s="54"/>
      <c r="NKK2479" s="60"/>
      <c r="NKL2479" s="60"/>
      <c r="NKM2479" s="60"/>
      <c r="NKN2479" s="60"/>
      <c r="NKO2479" s="64"/>
      <c r="NKP2479" s="61"/>
      <c r="NKQ2479" s="54"/>
      <c r="NKR2479" s="54"/>
      <c r="NKS2479" s="60"/>
      <c r="NKT2479" s="60"/>
      <c r="NKU2479" s="60"/>
      <c r="NKV2479" s="60"/>
      <c r="NKW2479" s="64"/>
      <c r="NKX2479" s="61"/>
      <c r="NKY2479" s="54"/>
      <c r="NKZ2479" s="54"/>
      <c r="NLA2479" s="60"/>
      <c r="NLB2479" s="60"/>
      <c r="NLC2479" s="60"/>
      <c r="NLD2479" s="60"/>
      <c r="NLE2479" s="64"/>
      <c r="NLF2479" s="61"/>
      <c r="NLG2479" s="54"/>
      <c r="NLH2479" s="54"/>
      <c r="NLI2479" s="60"/>
      <c r="NLJ2479" s="60"/>
      <c r="NLK2479" s="60"/>
      <c r="NLL2479" s="60"/>
      <c r="NLM2479" s="64"/>
      <c r="NLN2479" s="61"/>
      <c r="NLO2479" s="54"/>
      <c r="NLP2479" s="54"/>
      <c r="NLQ2479" s="60"/>
      <c r="NLR2479" s="60"/>
      <c r="NLS2479" s="60"/>
      <c r="NLT2479" s="60"/>
      <c r="NLU2479" s="64"/>
      <c r="NLV2479" s="61"/>
      <c r="NLW2479" s="54"/>
      <c r="NLX2479" s="54"/>
      <c r="NLY2479" s="60"/>
      <c r="NLZ2479" s="60"/>
      <c r="NMA2479" s="60"/>
      <c r="NMB2479" s="60"/>
      <c r="NMC2479" s="64"/>
      <c r="NMD2479" s="61"/>
      <c r="NME2479" s="54"/>
      <c r="NMF2479" s="54"/>
      <c r="NMG2479" s="60"/>
      <c r="NMH2479" s="60"/>
      <c r="NMI2479" s="60"/>
      <c r="NMJ2479" s="60"/>
      <c r="NMK2479" s="64"/>
      <c r="NML2479" s="61"/>
      <c r="NMM2479" s="54"/>
      <c r="NMN2479" s="54"/>
      <c r="NMO2479" s="60"/>
      <c r="NMP2479" s="60"/>
      <c r="NMQ2479" s="60"/>
      <c r="NMR2479" s="60"/>
      <c r="NMS2479" s="64"/>
      <c r="NMT2479" s="61"/>
      <c r="NMU2479" s="54"/>
      <c r="NMV2479" s="54"/>
      <c r="NMW2479" s="60"/>
      <c r="NMX2479" s="60"/>
      <c r="NMY2479" s="60"/>
      <c r="NMZ2479" s="60"/>
      <c r="NNA2479" s="64"/>
      <c r="NNB2479" s="61"/>
      <c r="NNC2479" s="54"/>
      <c r="NND2479" s="54"/>
      <c r="NNE2479" s="60"/>
      <c r="NNF2479" s="60"/>
      <c r="NNG2479" s="60"/>
      <c r="NNH2479" s="60"/>
      <c r="NNI2479" s="64"/>
      <c r="NNJ2479" s="61"/>
      <c r="NNK2479" s="54"/>
      <c r="NNL2479" s="54"/>
      <c r="NNM2479" s="60"/>
      <c r="NNN2479" s="60"/>
      <c r="NNO2479" s="60"/>
      <c r="NNP2479" s="60"/>
      <c r="NNQ2479" s="64"/>
      <c r="NNR2479" s="61"/>
      <c r="NNS2479" s="54"/>
      <c r="NNT2479" s="54"/>
      <c r="NNU2479" s="60"/>
      <c r="NNV2479" s="60"/>
      <c r="NNW2479" s="60"/>
      <c r="NNX2479" s="60"/>
      <c r="NNY2479" s="64"/>
      <c r="NNZ2479" s="61"/>
      <c r="NOA2479" s="54"/>
      <c r="NOB2479" s="54"/>
      <c r="NOC2479" s="60"/>
      <c r="NOD2479" s="60"/>
      <c r="NOE2479" s="60"/>
      <c r="NOF2479" s="60"/>
      <c r="NOG2479" s="64"/>
      <c r="NOH2479" s="61"/>
      <c r="NOI2479" s="54"/>
      <c r="NOJ2479" s="54"/>
      <c r="NOK2479" s="60"/>
      <c r="NOL2479" s="60"/>
      <c r="NOM2479" s="60"/>
      <c r="NON2479" s="60"/>
      <c r="NOO2479" s="64"/>
      <c r="NOP2479" s="61"/>
      <c r="NOQ2479" s="54"/>
      <c r="NOR2479" s="54"/>
      <c r="NOS2479" s="60"/>
      <c r="NOT2479" s="60"/>
      <c r="NOU2479" s="60"/>
      <c r="NOV2479" s="60"/>
      <c r="NOW2479" s="64"/>
      <c r="NOX2479" s="61"/>
      <c r="NOY2479" s="54"/>
      <c r="NOZ2479" s="54"/>
      <c r="NPA2479" s="60"/>
      <c r="NPB2479" s="60"/>
      <c r="NPC2479" s="60"/>
      <c r="NPD2479" s="60"/>
      <c r="NPE2479" s="64"/>
      <c r="NPF2479" s="61"/>
      <c r="NPG2479" s="54"/>
      <c r="NPH2479" s="54"/>
      <c r="NPI2479" s="60"/>
      <c r="NPJ2479" s="60"/>
      <c r="NPK2479" s="60"/>
      <c r="NPL2479" s="60"/>
      <c r="NPM2479" s="64"/>
      <c r="NPN2479" s="61"/>
      <c r="NPO2479" s="54"/>
      <c r="NPP2479" s="54"/>
      <c r="NPQ2479" s="60"/>
      <c r="NPR2479" s="60"/>
      <c r="NPS2479" s="60"/>
      <c r="NPT2479" s="60"/>
      <c r="NPU2479" s="64"/>
      <c r="NPV2479" s="61"/>
      <c r="NPW2479" s="54"/>
      <c r="NPX2479" s="54"/>
      <c r="NPY2479" s="60"/>
      <c r="NPZ2479" s="60"/>
      <c r="NQA2479" s="60"/>
      <c r="NQB2479" s="60"/>
      <c r="NQC2479" s="64"/>
      <c r="NQD2479" s="61"/>
      <c r="NQE2479" s="54"/>
      <c r="NQF2479" s="54"/>
      <c r="NQG2479" s="60"/>
      <c r="NQH2479" s="60"/>
      <c r="NQI2479" s="60"/>
      <c r="NQJ2479" s="60"/>
      <c r="NQK2479" s="64"/>
      <c r="NQL2479" s="61"/>
      <c r="NQM2479" s="54"/>
      <c r="NQN2479" s="54"/>
      <c r="NQO2479" s="60"/>
      <c r="NQP2479" s="60"/>
      <c r="NQQ2479" s="60"/>
      <c r="NQR2479" s="60"/>
      <c r="NQS2479" s="64"/>
      <c r="NQT2479" s="61"/>
      <c r="NQU2479" s="54"/>
      <c r="NQV2479" s="54"/>
      <c r="NQW2479" s="60"/>
      <c r="NQX2479" s="60"/>
      <c r="NQY2479" s="60"/>
      <c r="NQZ2479" s="60"/>
      <c r="NRA2479" s="64"/>
      <c r="NRB2479" s="61"/>
      <c r="NRC2479" s="54"/>
      <c r="NRD2479" s="54"/>
      <c r="NRE2479" s="60"/>
      <c r="NRF2479" s="60"/>
      <c r="NRG2479" s="60"/>
      <c r="NRH2479" s="60"/>
      <c r="NRI2479" s="64"/>
      <c r="NRJ2479" s="61"/>
      <c r="NRK2479" s="54"/>
      <c r="NRL2479" s="54"/>
      <c r="NRM2479" s="60"/>
      <c r="NRN2479" s="60"/>
      <c r="NRO2479" s="60"/>
      <c r="NRP2479" s="60"/>
      <c r="NRQ2479" s="64"/>
      <c r="NRR2479" s="61"/>
      <c r="NRS2479" s="54"/>
      <c r="NRT2479" s="54"/>
      <c r="NRU2479" s="60"/>
      <c r="NRV2479" s="60"/>
      <c r="NRW2479" s="60"/>
      <c r="NRX2479" s="60"/>
      <c r="NRY2479" s="64"/>
      <c r="NRZ2479" s="61"/>
      <c r="NSA2479" s="54"/>
      <c r="NSB2479" s="54"/>
      <c r="NSC2479" s="60"/>
      <c r="NSD2479" s="60"/>
      <c r="NSE2479" s="60"/>
      <c r="NSF2479" s="60"/>
      <c r="NSG2479" s="64"/>
      <c r="NSH2479" s="61"/>
      <c r="NSI2479" s="54"/>
      <c r="NSJ2479" s="54"/>
      <c r="NSK2479" s="60"/>
      <c r="NSL2479" s="60"/>
      <c r="NSM2479" s="60"/>
      <c r="NSN2479" s="60"/>
      <c r="NSO2479" s="64"/>
      <c r="NSP2479" s="61"/>
      <c r="NSQ2479" s="54"/>
      <c r="NSR2479" s="54"/>
      <c r="NSS2479" s="60"/>
      <c r="NST2479" s="60"/>
      <c r="NSU2479" s="60"/>
      <c r="NSV2479" s="60"/>
      <c r="NSW2479" s="64"/>
      <c r="NSX2479" s="61"/>
      <c r="NSY2479" s="54"/>
      <c r="NSZ2479" s="54"/>
      <c r="NTA2479" s="60"/>
      <c r="NTB2479" s="60"/>
      <c r="NTC2479" s="60"/>
      <c r="NTD2479" s="60"/>
      <c r="NTE2479" s="64"/>
      <c r="NTF2479" s="61"/>
      <c r="NTG2479" s="54"/>
      <c r="NTH2479" s="54"/>
      <c r="NTI2479" s="60"/>
      <c r="NTJ2479" s="60"/>
      <c r="NTK2479" s="60"/>
      <c r="NTL2479" s="60"/>
      <c r="NTM2479" s="64"/>
      <c r="NTN2479" s="61"/>
      <c r="NTO2479" s="54"/>
      <c r="NTP2479" s="54"/>
      <c r="NTQ2479" s="60"/>
      <c r="NTR2479" s="60"/>
      <c r="NTS2479" s="60"/>
      <c r="NTT2479" s="60"/>
      <c r="NTU2479" s="64"/>
      <c r="NTV2479" s="61"/>
      <c r="NTW2479" s="54"/>
      <c r="NTX2479" s="54"/>
      <c r="NTY2479" s="60"/>
      <c r="NTZ2479" s="60"/>
      <c r="NUA2479" s="60"/>
      <c r="NUB2479" s="60"/>
      <c r="NUC2479" s="64"/>
      <c r="NUD2479" s="61"/>
      <c r="NUE2479" s="54"/>
      <c r="NUF2479" s="54"/>
      <c r="NUG2479" s="60"/>
      <c r="NUH2479" s="60"/>
      <c r="NUI2479" s="60"/>
      <c r="NUJ2479" s="60"/>
      <c r="NUK2479" s="64"/>
      <c r="NUL2479" s="61"/>
      <c r="NUM2479" s="54"/>
      <c r="NUN2479" s="54"/>
      <c r="NUO2479" s="60"/>
      <c r="NUP2479" s="60"/>
      <c r="NUQ2479" s="60"/>
      <c r="NUR2479" s="60"/>
      <c r="NUS2479" s="64"/>
      <c r="NUT2479" s="61"/>
      <c r="NUU2479" s="54"/>
      <c r="NUV2479" s="54"/>
      <c r="NUW2479" s="60"/>
      <c r="NUX2479" s="60"/>
      <c r="NUY2479" s="60"/>
      <c r="NUZ2479" s="60"/>
      <c r="NVA2479" s="64"/>
      <c r="NVB2479" s="61"/>
      <c r="NVC2479" s="54"/>
      <c r="NVD2479" s="54"/>
      <c r="NVE2479" s="60"/>
      <c r="NVF2479" s="60"/>
      <c r="NVG2479" s="60"/>
      <c r="NVH2479" s="60"/>
      <c r="NVI2479" s="64"/>
      <c r="NVJ2479" s="61"/>
      <c r="NVK2479" s="54"/>
      <c r="NVL2479" s="54"/>
      <c r="NVM2479" s="60"/>
      <c r="NVN2479" s="60"/>
      <c r="NVO2479" s="60"/>
      <c r="NVP2479" s="60"/>
      <c r="NVQ2479" s="64"/>
      <c r="NVR2479" s="61"/>
      <c r="NVS2479" s="54"/>
      <c r="NVT2479" s="54"/>
      <c r="NVU2479" s="60"/>
      <c r="NVV2479" s="60"/>
      <c r="NVW2479" s="60"/>
      <c r="NVX2479" s="60"/>
      <c r="NVY2479" s="64"/>
      <c r="NVZ2479" s="61"/>
      <c r="NWA2479" s="54"/>
      <c r="NWB2479" s="54"/>
      <c r="NWC2479" s="60"/>
      <c r="NWD2479" s="60"/>
      <c r="NWE2479" s="60"/>
      <c r="NWF2479" s="60"/>
      <c r="NWG2479" s="64"/>
      <c r="NWH2479" s="61"/>
      <c r="NWI2479" s="54"/>
      <c r="NWJ2479" s="54"/>
      <c r="NWK2479" s="60"/>
      <c r="NWL2479" s="60"/>
      <c r="NWM2479" s="60"/>
      <c r="NWN2479" s="60"/>
      <c r="NWO2479" s="64"/>
      <c r="NWP2479" s="61"/>
      <c r="NWQ2479" s="54"/>
      <c r="NWR2479" s="54"/>
      <c r="NWS2479" s="60"/>
      <c r="NWT2479" s="60"/>
      <c r="NWU2479" s="60"/>
      <c r="NWV2479" s="60"/>
      <c r="NWW2479" s="64"/>
      <c r="NWX2479" s="61"/>
      <c r="NWY2479" s="54"/>
      <c r="NWZ2479" s="54"/>
      <c r="NXA2479" s="60"/>
      <c r="NXB2479" s="60"/>
      <c r="NXC2479" s="60"/>
      <c r="NXD2479" s="60"/>
      <c r="NXE2479" s="64"/>
      <c r="NXF2479" s="61"/>
      <c r="NXG2479" s="54"/>
      <c r="NXH2479" s="54"/>
      <c r="NXI2479" s="60"/>
      <c r="NXJ2479" s="60"/>
      <c r="NXK2479" s="60"/>
      <c r="NXL2479" s="60"/>
      <c r="NXM2479" s="64"/>
      <c r="NXN2479" s="61"/>
      <c r="NXO2479" s="54"/>
      <c r="NXP2479" s="54"/>
      <c r="NXQ2479" s="60"/>
      <c r="NXR2479" s="60"/>
      <c r="NXS2479" s="60"/>
      <c r="NXT2479" s="60"/>
      <c r="NXU2479" s="64"/>
      <c r="NXV2479" s="61"/>
      <c r="NXW2479" s="54"/>
      <c r="NXX2479" s="54"/>
      <c r="NXY2479" s="60"/>
      <c r="NXZ2479" s="60"/>
      <c r="NYA2479" s="60"/>
      <c r="NYB2479" s="60"/>
      <c r="NYC2479" s="64"/>
      <c r="NYD2479" s="61"/>
      <c r="NYE2479" s="54"/>
      <c r="NYF2479" s="54"/>
      <c r="NYG2479" s="60"/>
      <c r="NYH2479" s="60"/>
      <c r="NYI2479" s="60"/>
      <c r="NYJ2479" s="60"/>
      <c r="NYK2479" s="64"/>
      <c r="NYL2479" s="61"/>
      <c r="NYM2479" s="54"/>
      <c r="NYN2479" s="54"/>
      <c r="NYO2479" s="60"/>
      <c r="NYP2479" s="60"/>
      <c r="NYQ2479" s="60"/>
      <c r="NYR2479" s="60"/>
      <c r="NYS2479" s="64"/>
      <c r="NYT2479" s="61"/>
      <c r="NYU2479" s="54"/>
      <c r="NYV2479" s="54"/>
      <c r="NYW2479" s="60"/>
      <c r="NYX2479" s="60"/>
      <c r="NYY2479" s="60"/>
      <c r="NYZ2479" s="60"/>
      <c r="NZA2479" s="64"/>
      <c r="NZB2479" s="61"/>
      <c r="NZC2479" s="54"/>
      <c r="NZD2479" s="54"/>
      <c r="NZE2479" s="60"/>
      <c r="NZF2479" s="60"/>
      <c r="NZG2479" s="60"/>
      <c r="NZH2479" s="60"/>
      <c r="NZI2479" s="64"/>
      <c r="NZJ2479" s="61"/>
      <c r="NZK2479" s="54"/>
      <c r="NZL2479" s="54"/>
      <c r="NZM2479" s="60"/>
      <c r="NZN2479" s="60"/>
      <c r="NZO2479" s="60"/>
      <c r="NZP2479" s="60"/>
      <c r="NZQ2479" s="64"/>
      <c r="NZR2479" s="61"/>
      <c r="NZS2479" s="54"/>
      <c r="NZT2479" s="54"/>
      <c r="NZU2479" s="60"/>
      <c r="NZV2479" s="60"/>
      <c r="NZW2479" s="60"/>
      <c r="NZX2479" s="60"/>
      <c r="NZY2479" s="64"/>
      <c r="NZZ2479" s="61"/>
      <c r="OAA2479" s="54"/>
      <c r="OAB2479" s="54"/>
      <c r="OAC2479" s="60"/>
      <c r="OAD2479" s="60"/>
      <c r="OAE2479" s="60"/>
      <c r="OAF2479" s="60"/>
      <c r="OAG2479" s="64"/>
      <c r="OAH2479" s="61"/>
      <c r="OAI2479" s="54"/>
      <c r="OAJ2479" s="54"/>
      <c r="OAK2479" s="60"/>
      <c r="OAL2479" s="60"/>
      <c r="OAM2479" s="60"/>
      <c r="OAN2479" s="60"/>
      <c r="OAO2479" s="64"/>
      <c r="OAP2479" s="61"/>
      <c r="OAQ2479" s="54"/>
      <c r="OAR2479" s="54"/>
      <c r="OAS2479" s="60"/>
      <c r="OAT2479" s="60"/>
      <c r="OAU2479" s="60"/>
      <c r="OAV2479" s="60"/>
      <c r="OAW2479" s="64"/>
      <c r="OAX2479" s="61"/>
      <c r="OAY2479" s="54"/>
      <c r="OAZ2479" s="54"/>
      <c r="OBA2479" s="60"/>
      <c r="OBB2479" s="60"/>
      <c r="OBC2479" s="60"/>
      <c r="OBD2479" s="60"/>
      <c r="OBE2479" s="64"/>
      <c r="OBF2479" s="61"/>
      <c r="OBG2479" s="54"/>
      <c r="OBH2479" s="54"/>
      <c r="OBI2479" s="60"/>
      <c r="OBJ2479" s="60"/>
      <c r="OBK2479" s="60"/>
      <c r="OBL2479" s="60"/>
      <c r="OBM2479" s="64"/>
      <c r="OBN2479" s="61"/>
      <c r="OBO2479" s="54"/>
      <c r="OBP2479" s="54"/>
      <c r="OBQ2479" s="60"/>
      <c r="OBR2479" s="60"/>
      <c r="OBS2479" s="60"/>
      <c r="OBT2479" s="60"/>
      <c r="OBU2479" s="64"/>
      <c r="OBV2479" s="61"/>
      <c r="OBW2479" s="54"/>
      <c r="OBX2479" s="54"/>
      <c r="OBY2479" s="60"/>
      <c r="OBZ2479" s="60"/>
      <c r="OCA2479" s="60"/>
      <c r="OCB2479" s="60"/>
      <c r="OCC2479" s="64"/>
      <c r="OCD2479" s="61"/>
      <c r="OCE2479" s="54"/>
      <c r="OCF2479" s="54"/>
      <c r="OCG2479" s="60"/>
      <c r="OCH2479" s="60"/>
      <c r="OCI2479" s="60"/>
      <c r="OCJ2479" s="60"/>
      <c r="OCK2479" s="64"/>
      <c r="OCL2479" s="61"/>
      <c r="OCM2479" s="54"/>
      <c r="OCN2479" s="54"/>
      <c r="OCO2479" s="60"/>
      <c r="OCP2479" s="60"/>
      <c r="OCQ2479" s="60"/>
      <c r="OCR2479" s="60"/>
      <c r="OCS2479" s="64"/>
      <c r="OCT2479" s="61"/>
      <c r="OCU2479" s="54"/>
      <c r="OCV2479" s="54"/>
      <c r="OCW2479" s="60"/>
      <c r="OCX2479" s="60"/>
      <c r="OCY2479" s="60"/>
      <c r="OCZ2479" s="60"/>
      <c r="ODA2479" s="64"/>
      <c r="ODB2479" s="61"/>
      <c r="ODC2479" s="54"/>
      <c r="ODD2479" s="54"/>
      <c r="ODE2479" s="60"/>
      <c r="ODF2479" s="60"/>
      <c r="ODG2479" s="60"/>
      <c r="ODH2479" s="60"/>
      <c r="ODI2479" s="64"/>
      <c r="ODJ2479" s="61"/>
      <c r="ODK2479" s="54"/>
      <c r="ODL2479" s="54"/>
      <c r="ODM2479" s="60"/>
      <c r="ODN2479" s="60"/>
      <c r="ODO2479" s="60"/>
      <c r="ODP2479" s="60"/>
      <c r="ODQ2479" s="64"/>
      <c r="ODR2479" s="61"/>
      <c r="ODS2479" s="54"/>
      <c r="ODT2479" s="54"/>
      <c r="ODU2479" s="60"/>
      <c r="ODV2479" s="60"/>
      <c r="ODW2479" s="60"/>
      <c r="ODX2479" s="60"/>
      <c r="ODY2479" s="64"/>
      <c r="ODZ2479" s="61"/>
      <c r="OEA2479" s="54"/>
      <c r="OEB2479" s="54"/>
      <c r="OEC2479" s="60"/>
      <c r="OED2479" s="60"/>
      <c r="OEE2479" s="60"/>
      <c r="OEF2479" s="60"/>
      <c r="OEG2479" s="64"/>
      <c r="OEH2479" s="61"/>
      <c r="OEI2479" s="54"/>
      <c r="OEJ2479" s="54"/>
      <c r="OEK2479" s="60"/>
      <c r="OEL2479" s="60"/>
      <c r="OEM2479" s="60"/>
      <c r="OEN2479" s="60"/>
      <c r="OEO2479" s="64"/>
      <c r="OEP2479" s="61"/>
      <c r="OEQ2479" s="54"/>
      <c r="OER2479" s="54"/>
      <c r="OES2479" s="60"/>
      <c r="OET2479" s="60"/>
      <c r="OEU2479" s="60"/>
      <c r="OEV2479" s="60"/>
      <c r="OEW2479" s="64"/>
      <c r="OEX2479" s="61"/>
      <c r="OEY2479" s="54"/>
      <c r="OEZ2479" s="54"/>
      <c r="OFA2479" s="60"/>
      <c r="OFB2479" s="60"/>
      <c r="OFC2479" s="60"/>
      <c r="OFD2479" s="60"/>
      <c r="OFE2479" s="64"/>
      <c r="OFF2479" s="61"/>
      <c r="OFG2479" s="54"/>
      <c r="OFH2479" s="54"/>
      <c r="OFI2479" s="60"/>
      <c r="OFJ2479" s="60"/>
      <c r="OFK2479" s="60"/>
      <c r="OFL2479" s="60"/>
      <c r="OFM2479" s="64"/>
      <c r="OFN2479" s="61"/>
      <c r="OFO2479" s="54"/>
      <c r="OFP2479" s="54"/>
      <c r="OFQ2479" s="60"/>
      <c r="OFR2479" s="60"/>
      <c r="OFS2479" s="60"/>
      <c r="OFT2479" s="60"/>
      <c r="OFU2479" s="64"/>
      <c r="OFV2479" s="61"/>
      <c r="OFW2479" s="54"/>
      <c r="OFX2479" s="54"/>
      <c r="OFY2479" s="60"/>
      <c r="OFZ2479" s="60"/>
      <c r="OGA2479" s="60"/>
      <c r="OGB2479" s="60"/>
      <c r="OGC2479" s="64"/>
      <c r="OGD2479" s="61"/>
      <c r="OGE2479" s="54"/>
      <c r="OGF2479" s="54"/>
      <c r="OGG2479" s="60"/>
      <c r="OGH2479" s="60"/>
      <c r="OGI2479" s="60"/>
      <c r="OGJ2479" s="60"/>
      <c r="OGK2479" s="64"/>
      <c r="OGL2479" s="61"/>
      <c r="OGM2479" s="54"/>
      <c r="OGN2479" s="54"/>
      <c r="OGO2479" s="60"/>
      <c r="OGP2479" s="60"/>
      <c r="OGQ2479" s="60"/>
      <c r="OGR2479" s="60"/>
      <c r="OGS2479" s="64"/>
      <c r="OGT2479" s="61"/>
      <c r="OGU2479" s="54"/>
      <c r="OGV2479" s="54"/>
      <c r="OGW2479" s="60"/>
      <c r="OGX2479" s="60"/>
      <c r="OGY2479" s="60"/>
      <c r="OGZ2479" s="60"/>
      <c r="OHA2479" s="64"/>
      <c r="OHB2479" s="61"/>
      <c r="OHC2479" s="54"/>
      <c r="OHD2479" s="54"/>
      <c r="OHE2479" s="60"/>
      <c r="OHF2479" s="60"/>
      <c r="OHG2479" s="60"/>
      <c r="OHH2479" s="60"/>
      <c r="OHI2479" s="64"/>
      <c r="OHJ2479" s="61"/>
      <c r="OHK2479" s="54"/>
      <c r="OHL2479" s="54"/>
      <c r="OHM2479" s="60"/>
      <c r="OHN2479" s="60"/>
      <c r="OHO2479" s="60"/>
      <c r="OHP2479" s="60"/>
      <c r="OHQ2479" s="64"/>
      <c r="OHR2479" s="61"/>
      <c r="OHS2479" s="54"/>
      <c r="OHT2479" s="54"/>
      <c r="OHU2479" s="60"/>
      <c r="OHV2479" s="60"/>
      <c r="OHW2479" s="60"/>
      <c r="OHX2479" s="60"/>
      <c r="OHY2479" s="64"/>
      <c r="OHZ2479" s="61"/>
      <c r="OIA2479" s="54"/>
      <c r="OIB2479" s="54"/>
      <c r="OIC2479" s="60"/>
      <c r="OID2479" s="60"/>
      <c r="OIE2479" s="60"/>
      <c r="OIF2479" s="60"/>
      <c r="OIG2479" s="64"/>
      <c r="OIH2479" s="61"/>
      <c r="OII2479" s="54"/>
      <c r="OIJ2479" s="54"/>
      <c r="OIK2479" s="60"/>
      <c r="OIL2479" s="60"/>
      <c r="OIM2479" s="60"/>
      <c r="OIN2479" s="60"/>
      <c r="OIO2479" s="64"/>
      <c r="OIP2479" s="61"/>
      <c r="OIQ2479" s="54"/>
      <c r="OIR2479" s="54"/>
      <c r="OIS2479" s="60"/>
      <c r="OIT2479" s="60"/>
      <c r="OIU2479" s="60"/>
      <c r="OIV2479" s="60"/>
      <c r="OIW2479" s="64"/>
      <c r="OIX2479" s="61"/>
      <c r="OIY2479" s="54"/>
      <c r="OIZ2479" s="54"/>
      <c r="OJA2479" s="60"/>
      <c r="OJB2479" s="60"/>
      <c r="OJC2479" s="60"/>
      <c r="OJD2479" s="60"/>
      <c r="OJE2479" s="64"/>
      <c r="OJF2479" s="61"/>
      <c r="OJG2479" s="54"/>
      <c r="OJH2479" s="54"/>
      <c r="OJI2479" s="60"/>
      <c r="OJJ2479" s="60"/>
      <c r="OJK2479" s="60"/>
      <c r="OJL2479" s="60"/>
      <c r="OJM2479" s="64"/>
      <c r="OJN2479" s="61"/>
      <c r="OJO2479" s="54"/>
      <c r="OJP2479" s="54"/>
      <c r="OJQ2479" s="60"/>
      <c r="OJR2479" s="60"/>
      <c r="OJS2479" s="60"/>
      <c r="OJT2479" s="60"/>
      <c r="OJU2479" s="64"/>
      <c r="OJV2479" s="61"/>
      <c r="OJW2479" s="54"/>
      <c r="OJX2479" s="54"/>
      <c r="OJY2479" s="60"/>
      <c r="OJZ2479" s="60"/>
      <c r="OKA2479" s="60"/>
      <c r="OKB2479" s="60"/>
      <c r="OKC2479" s="64"/>
      <c r="OKD2479" s="61"/>
      <c r="OKE2479" s="54"/>
      <c r="OKF2479" s="54"/>
      <c r="OKG2479" s="60"/>
      <c r="OKH2479" s="60"/>
      <c r="OKI2479" s="60"/>
      <c r="OKJ2479" s="60"/>
      <c r="OKK2479" s="64"/>
      <c r="OKL2479" s="61"/>
      <c r="OKM2479" s="54"/>
      <c r="OKN2479" s="54"/>
      <c r="OKO2479" s="60"/>
      <c r="OKP2479" s="60"/>
      <c r="OKQ2479" s="60"/>
      <c r="OKR2479" s="60"/>
      <c r="OKS2479" s="64"/>
      <c r="OKT2479" s="61"/>
      <c r="OKU2479" s="54"/>
      <c r="OKV2479" s="54"/>
      <c r="OKW2479" s="60"/>
      <c r="OKX2479" s="60"/>
      <c r="OKY2479" s="60"/>
      <c r="OKZ2479" s="60"/>
      <c r="OLA2479" s="64"/>
      <c r="OLB2479" s="61"/>
      <c r="OLC2479" s="54"/>
      <c r="OLD2479" s="54"/>
      <c r="OLE2479" s="60"/>
      <c r="OLF2479" s="60"/>
      <c r="OLG2479" s="60"/>
      <c r="OLH2479" s="60"/>
      <c r="OLI2479" s="64"/>
      <c r="OLJ2479" s="61"/>
      <c r="OLK2479" s="54"/>
      <c r="OLL2479" s="54"/>
      <c r="OLM2479" s="60"/>
      <c r="OLN2479" s="60"/>
      <c r="OLO2479" s="60"/>
      <c r="OLP2479" s="60"/>
      <c r="OLQ2479" s="64"/>
      <c r="OLR2479" s="61"/>
      <c r="OLS2479" s="54"/>
      <c r="OLT2479" s="54"/>
      <c r="OLU2479" s="60"/>
      <c r="OLV2479" s="60"/>
      <c r="OLW2479" s="60"/>
      <c r="OLX2479" s="60"/>
      <c r="OLY2479" s="64"/>
      <c r="OLZ2479" s="61"/>
      <c r="OMA2479" s="54"/>
      <c r="OMB2479" s="54"/>
      <c r="OMC2479" s="60"/>
      <c r="OMD2479" s="60"/>
      <c r="OME2479" s="60"/>
      <c r="OMF2479" s="60"/>
      <c r="OMG2479" s="64"/>
      <c r="OMH2479" s="61"/>
      <c r="OMI2479" s="54"/>
      <c r="OMJ2479" s="54"/>
      <c r="OMK2479" s="60"/>
      <c r="OML2479" s="60"/>
      <c r="OMM2479" s="60"/>
      <c r="OMN2479" s="60"/>
      <c r="OMO2479" s="64"/>
      <c r="OMP2479" s="61"/>
      <c r="OMQ2479" s="54"/>
      <c r="OMR2479" s="54"/>
      <c r="OMS2479" s="60"/>
      <c r="OMT2479" s="60"/>
      <c r="OMU2479" s="60"/>
      <c r="OMV2479" s="60"/>
      <c r="OMW2479" s="64"/>
      <c r="OMX2479" s="61"/>
      <c r="OMY2479" s="54"/>
      <c r="OMZ2479" s="54"/>
      <c r="ONA2479" s="60"/>
      <c r="ONB2479" s="60"/>
      <c r="ONC2479" s="60"/>
      <c r="OND2479" s="60"/>
      <c r="ONE2479" s="64"/>
      <c r="ONF2479" s="61"/>
      <c r="ONG2479" s="54"/>
      <c r="ONH2479" s="54"/>
      <c r="ONI2479" s="60"/>
      <c r="ONJ2479" s="60"/>
      <c r="ONK2479" s="60"/>
      <c r="ONL2479" s="60"/>
      <c r="ONM2479" s="64"/>
      <c r="ONN2479" s="61"/>
      <c r="ONO2479" s="54"/>
      <c r="ONP2479" s="54"/>
      <c r="ONQ2479" s="60"/>
      <c r="ONR2479" s="60"/>
      <c r="ONS2479" s="60"/>
      <c r="ONT2479" s="60"/>
      <c r="ONU2479" s="64"/>
      <c r="ONV2479" s="61"/>
      <c r="ONW2479" s="54"/>
      <c r="ONX2479" s="54"/>
      <c r="ONY2479" s="60"/>
      <c r="ONZ2479" s="60"/>
      <c r="OOA2479" s="60"/>
      <c r="OOB2479" s="60"/>
      <c r="OOC2479" s="64"/>
      <c r="OOD2479" s="61"/>
      <c r="OOE2479" s="54"/>
      <c r="OOF2479" s="54"/>
      <c r="OOG2479" s="60"/>
      <c r="OOH2479" s="60"/>
      <c r="OOI2479" s="60"/>
      <c r="OOJ2479" s="60"/>
      <c r="OOK2479" s="64"/>
      <c r="OOL2479" s="61"/>
      <c r="OOM2479" s="54"/>
      <c r="OON2479" s="54"/>
      <c r="OOO2479" s="60"/>
      <c r="OOP2479" s="60"/>
      <c r="OOQ2479" s="60"/>
      <c r="OOR2479" s="60"/>
      <c r="OOS2479" s="64"/>
      <c r="OOT2479" s="61"/>
      <c r="OOU2479" s="54"/>
      <c r="OOV2479" s="54"/>
      <c r="OOW2479" s="60"/>
      <c r="OOX2479" s="60"/>
      <c r="OOY2479" s="60"/>
      <c r="OOZ2479" s="60"/>
      <c r="OPA2479" s="64"/>
      <c r="OPB2479" s="61"/>
      <c r="OPC2479" s="54"/>
      <c r="OPD2479" s="54"/>
      <c r="OPE2479" s="60"/>
      <c r="OPF2479" s="60"/>
      <c r="OPG2479" s="60"/>
      <c r="OPH2479" s="60"/>
      <c r="OPI2479" s="64"/>
      <c r="OPJ2479" s="61"/>
      <c r="OPK2479" s="54"/>
      <c r="OPL2479" s="54"/>
      <c r="OPM2479" s="60"/>
      <c r="OPN2479" s="60"/>
      <c r="OPO2479" s="60"/>
      <c r="OPP2479" s="60"/>
      <c r="OPQ2479" s="64"/>
      <c r="OPR2479" s="61"/>
      <c r="OPS2479" s="54"/>
      <c r="OPT2479" s="54"/>
      <c r="OPU2479" s="60"/>
      <c r="OPV2479" s="60"/>
      <c r="OPW2479" s="60"/>
      <c r="OPX2479" s="60"/>
      <c r="OPY2479" s="64"/>
      <c r="OPZ2479" s="61"/>
      <c r="OQA2479" s="54"/>
      <c r="OQB2479" s="54"/>
      <c r="OQC2479" s="60"/>
      <c r="OQD2479" s="60"/>
      <c r="OQE2479" s="60"/>
      <c r="OQF2479" s="60"/>
      <c r="OQG2479" s="64"/>
      <c r="OQH2479" s="61"/>
      <c r="OQI2479" s="54"/>
      <c r="OQJ2479" s="54"/>
      <c r="OQK2479" s="60"/>
      <c r="OQL2479" s="60"/>
      <c r="OQM2479" s="60"/>
      <c r="OQN2479" s="60"/>
      <c r="OQO2479" s="64"/>
      <c r="OQP2479" s="61"/>
      <c r="OQQ2479" s="54"/>
      <c r="OQR2479" s="54"/>
      <c r="OQS2479" s="60"/>
      <c r="OQT2479" s="60"/>
      <c r="OQU2479" s="60"/>
      <c r="OQV2479" s="60"/>
      <c r="OQW2479" s="64"/>
      <c r="OQX2479" s="61"/>
      <c r="OQY2479" s="54"/>
      <c r="OQZ2479" s="54"/>
      <c r="ORA2479" s="60"/>
      <c r="ORB2479" s="60"/>
      <c r="ORC2479" s="60"/>
      <c r="ORD2479" s="60"/>
      <c r="ORE2479" s="64"/>
      <c r="ORF2479" s="61"/>
      <c r="ORG2479" s="54"/>
      <c r="ORH2479" s="54"/>
      <c r="ORI2479" s="60"/>
      <c r="ORJ2479" s="60"/>
      <c r="ORK2479" s="60"/>
      <c r="ORL2479" s="60"/>
      <c r="ORM2479" s="64"/>
      <c r="ORN2479" s="61"/>
      <c r="ORO2479" s="54"/>
      <c r="ORP2479" s="54"/>
      <c r="ORQ2479" s="60"/>
      <c r="ORR2479" s="60"/>
      <c r="ORS2479" s="60"/>
      <c r="ORT2479" s="60"/>
      <c r="ORU2479" s="64"/>
      <c r="ORV2479" s="61"/>
      <c r="ORW2479" s="54"/>
      <c r="ORX2479" s="54"/>
      <c r="ORY2479" s="60"/>
      <c r="ORZ2479" s="60"/>
      <c r="OSA2479" s="60"/>
      <c r="OSB2479" s="60"/>
      <c r="OSC2479" s="64"/>
      <c r="OSD2479" s="61"/>
      <c r="OSE2479" s="54"/>
      <c r="OSF2479" s="54"/>
      <c r="OSG2479" s="60"/>
      <c r="OSH2479" s="60"/>
      <c r="OSI2479" s="60"/>
      <c r="OSJ2479" s="60"/>
      <c r="OSK2479" s="64"/>
      <c r="OSL2479" s="61"/>
      <c r="OSM2479" s="54"/>
      <c r="OSN2479" s="54"/>
      <c r="OSO2479" s="60"/>
      <c r="OSP2479" s="60"/>
      <c r="OSQ2479" s="60"/>
      <c r="OSR2479" s="60"/>
      <c r="OSS2479" s="64"/>
      <c r="OST2479" s="61"/>
      <c r="OSU2479" s="54"/>
      <c r="OSV2479" s="54"/>
      <c r="OSW2479" s="60"/>
      <c r="OSX2479" s="60"/>
      <c r="OSY2479" s="60"/>
      <c r="OSZ2479" s="60"/>
      <c r="OTA2479" s="64"/>
      <c r="OTB2479" s="61"/>
      <c r="OTC2479" s="54"/>
      <c r="OTD2479" s="54"/>
      <c r="OTE2479" s="60"/>
      <c r="OTF2479" s="60"/>
      <c r="OTG2479" s="60"/>
      <c r="OTH2479" s="60"/>
      <c r="OTI2479" s="64"/>
      <c r="OTJ2479" s="61"/>
      <c r="OTK2479" s="54"/>
      <c r="OTL2479" s="54"/>
      <c r="OTM2479" s="60"/>
      <c r="OTN2479" s="60"/>
      <c r="OTO2479" s="60"/>
      <c r="OTP2479" s="60"/>
      <c r="OTQ2479" s="64"/>
      <c r="OTR2479" s="61"/>
      <c r="OTS2479" s="54"/>
      <c r="OTT2479" s="54"/>
      <c r="OTU2479" s="60"/>
      <c r="OTV2479" s="60"/>
      <c r="OTW2479" s="60"/>
      <c r="OTX2479" s="60"/>
      <c r="OTY2479" s="64"/>
      <c r="OTZ2479" s="61"/>
      <c r="OUA2479" s="54"/>
      <c r="OUB2479" s="54"/>
      <c r="OUC2479" s="60"/>
      <c r="OUD2479" s="60"/>
      <c r="OUE2479" s="60"/>
      <c r="OUF2479" s="60"/>
      <c r="OUG2479" s="64"/>
      <c r="OUH2479" s="61"/>
      <c r="OUI2479" s="54"/>
      <c r="OUJ2479" s="54"/>
      <c r="OUK2479" s="60"/>
      <c r="OUL2479" s="60"/>
      <c r="OUM2479" s="60"/>
      <c r="OUN2479" s="60"/>
      <c r="OUO2479" s="64"/>
      <c r="OUP2479" s="61"/>
      <c r="OUQ2479" s="54"/>
      <c r="OUR2479" s="54"/>
      <c r="OUS2479" s="60"/>
      <c r="OUT2479" s="60"/>
      <c r="OUU2479" s="60"/>
      <c r="OUV2479" s="60"/>
      <c r="OUW2479" s="64"/>
      <c r="OUX2479" s="61"/>
      <c r="OUY2479" s="54"/>
      <c r="OUZ2479" s="54"/>
      <c r="OVA2479" s="60"/>
      <c r="OVB2479" s="60"/>
      <c r="OVC2479" s="60"/>
      <c r="OVD2479" s="60"/>
      <c r="OVE2479" s="64"/>
      <c r="OVF2479" s="61"/>
      <c r="OVG2479" s="54"/>
      <c r="OVH2479" s="54"/>
      <c r="OVI2479" s="60"/>
      <c r="OVJ2479" s="60"/>
      <c r="OVK2479" s="60"/>
      <c r="OVL2479" s="60"/>
      <c r="OVM2479" s="64"/>
      <c r="OVN2479" s="61"/>
      <c r="OVO2479" s="54"/>
      <c r="OVP2479" s="54"/>
      <c r="OVQ2479" s="60"/>
      <c r="OVR2479" s="60"/>
      <c r="OVS2479" s="60"/>
      <c r="OVT2479" s="60"/>
      <c r="OVU2479" s="64"/>
      <c r="OVV2479" s="61"/>
      <c r="OVW2479" s="54"/>
      <c r="OVX2479" s="54"/>
      <c r="OVY2479" s="60"/>
      <c r="OVZ2479" s="60"/>
      <c r="OWA2479" s="60"/>
      <c r="OWB2479" s="60"/>
      <c r="OWC2479" s="64"/>
      <c r="OWD2479" s="61"/>
      <c r="OWE2479" s="54"/>
      <c r="OWF2479" s="54"/>
      <c r="OWG2479" s="60"/>
      <c r="OWH2479" s="60"/>
      <c r="OWI2479" s="60"/>
      <c r="OWJ2479" s="60"/>
      <c r="OWK2479" s="64"/>
      <c r="OWL2479" s="61"/>
      <c r="OWM2479" s="54"/>
      <c r="OWN2479" s="54"/>
      <c r="OWO2479" s="60"/>
      <c r="OWP2479" s="60"/>
      <c r="OWQ2479" s="60"/>
      <c r="OWR2479" s="60"/>
      <c r="OWS2479" s="64"/>
      <c r="OWT2479" s="61"/>
      <c r="OWU2479" s="54"/>
      <c r="OWV2479" s="54"/>
      <c r="OWW2479" s="60"/>
      <c r="OWX2479" s="60"/>
      <c r="OWY2479" s="60"/>
      <c r="OWZ2479" s="60"/>
      <c r="OXA2479" s="64"/>
      <c r="OXB2479" s="61"/>
      <c r="OXC2479" s="54"/>
      <c r="OXD2479" s="54"/>
      <c r="OXE2479" s="60"/>
      <c r="OXF2479" s="60"/>
      <c r="OXG2479" s="60"/>
      <c r="OXH2479" s="60"/>
      <c r="OXI2479" s="64"/>
      <c r="OXJ2479" s="61"/>
      <c r="OXK2479" s="54"/>
      <c r="OXL2479" s="54"/>
      <c r="OXM2479" s="60"/>
      <c r="OXN2479" s="60"/>
      <c r="OXO2479" s="60"/>
      <c r="OXP2479" s="60"/>
      <c r="OXQ2479" s="64"/>
      <c r="OXR2479" s="61"/>
      <c r="OXS2479" s="54"/>
      <c r="OXT2479" s="54"/>
      <c r="OXU2479" s="60"/>
      <c r="OXV2479" s="60"/>
      <c r="OXW2479" s="60"/>
      <c r="OXX2479" s="60"/>
      <c r="OXY2479" s="64"/>
      <c r="OXZ2479" s="61"/>
      <c r="OYA2479" s="54"/>
      <c r="OYB2479" s="54"/>
      <c r="OYC2479" s="60"/>
      <c r="OYD2479" s="60"/>
      <c r="OYE2479" s="60"/>
      <c r="OYF2479" s="60"/>
      <c r="OYG2479" s="64"/>
      <c r="OYH2479" s="61"/>
      <c r="OYI2479" s="54"/>
      <c r="OYJ2479" s="54"/>
      <c r="OYK2479" s="60"/>
      <c r="OYL2479" s="60"/>
      <c r="OYM2479" s="60"/>
      <c r="OYN2479" s="60"/>
      <c r="OYO2479" s="64"/>
      <c r="OYP2479" s="61"/>
      <c r="OYQ2479" s="54"/>
      <c r="OYR2479" s="54"/>
      <c r="OYS2479" s="60"/>
      <c r="OYT2479" s="60"/>
      <c r="OYU2479" s="60"/>
      <c r="OYV2479" s="60"/>
      <c r="OYW2479" s="64"/>
      <c r="OYX2479" s="61"/>
      <c r="OYY2479" s="54"/>
      <c r="OYZ2479" s="54"/>
      <c r="OZA2479" s="60"/>
      <c r="OZB2479" s="60"/>
      <c r="OZC2479" s="60"/>
      <c r="OZD2479" s="60"/>
      <c r="OZE2479" s="64"/>
      <c r="OZF2479" s="61"/>
      <c r="OZG2479" s="54"/>
      <c r="OZH2479" s="54"/>
      <c r="OZI2479" s="60"/>
      <c r="OZJ2479" s="60"/>
      <c r="OZK2479" s="60"/>
      <c r="OZL2479" s="60"/>
      <c r="OZM2479" s="64"/>
      <c r="OZN2479" s="61"/>
      <c r="OZO2479" s="54"/>
      <c r="OZP2479" s="54"/>
      <c r="OZQ2479" s="60"/>
      <c r="OZR2479" s="60"/>
      <c r="OZS2479" s="60"/>
      <c r="OZT2479" s="60"/>
      <c r="OZU2479" s="64"/>
      <c r="OZV2479" s="61"/>
      <c r="OZW2479" s="54"/>
      <c r="OZX2479" s="54"/>
      <c r="OZY2479" s="60"/>
      <c r="OZZ2479" s="60"/>
      <c r="PAA2479" s="60"/>
      <c r="PAB2479" s="60"/>
      <c r="PAC2479" s="64"/>
      <c r="PAD2479" s="61"/>
      <c r="PAE2479" s="54"/>
      <c r="PAF2479" s="54"/>
      <c r="PAG2479" s="60"/>
      <c r="PAH2479" s="60"/>
      <c r="PAI2479" s="60"/>
      <c r="PAJ2479" s="60"/>
      <c r="PAK2479" s="64"/>
      <c r="PAL2479" s="61"/>
      <c r="PAM2479" s="54"/>
      <c r="PAN2479" s="54"/>
      <c r="PAO2479" s="60"/>
      <c r="PAP2479" s="60"/>
      <c r="PAQ2479" s="60"/>
      <c r="PAR2479" s="60"/>
      <c r="PAS2479" s="64"/>
      <c r="PAT2479" s="61"/>
      <c r="PAU2479" s="54"/>
      <c r="PAV2479" s="54"/>
      <c r="PAW2479" s="60"/>
      <c r="PAX2479" s="60"/>
      <c r="PAY2479" s="60"/>
      <c r="PAZ2479" s="60"/>
      <c r="PBA2479" s="64"/>
      <c r="PBB2479" s="61"/>
      <c r="PBC2479" s="54"/>
      <c r="PBD2479" s="54"/>
      <c r="PBE2479" s="60"/>
      <c r="PBF2479" s="60"/>
      <c r="PBG2479" s="60"/>
      <c r="PBH2479" s="60"/>
      <c r="PBI2479" s="64"/>
      <c r="PBJ2479" s="61"/>
      <c r="PBK2479" s="54"/>
      <c r="PBL2479" s="54"/>
      <c r="PBM2479" s="60"/>
      <c r="PBN2479" s="60"/>
      <c r="PBO2479" s="60"/>
      <c r="PBP2479" s="60"/>
      <c r="PBQ2479" s="64"/>
      <c r="PBR2479" s="61"/>
      <c r="PBS2479" s="54"/>
      <c r="PBT2479" s="54"/>
      <c r="PBU2479" s="60"/>
      <c r="PBV2479" s="60"/>
      <c r="PBW2479" s="60"/>
      <c r="PBX2479" s="60"/>
      <c r="PBY2479" s="64"/>
      <c r="PBZ2479" s="61"/>
      <c r="PCA2479" s="54"/>
      <c r="PCB2479" s="54"/>
      <c r="PCC2479" s="60"/>
      <c r="PCD2479" s="60"/>
      <c r="PCE2479" s="60"/>
      <c r="PCF2479" s="60"/>
      <c r="PCG2479" s="64"/>
      <c r="PCH2479" s="61"/>
      <c r="PCI2479" s="54"/>
      <c r="PCJ2479" s="54"/>
      <c r="PCK2479" s="60"/>
      <c r="PCL2479" s="60"/>
      <c r="PCM2479" s="60"/>
      <c r="PCN2479" s="60"/>
      <c r="PCO2479" s="64"/>
      <c r="PCP2479" s="61"/>
      <c r="PCQ2479" s="54"/>
      <c r="PCR2479" s="54"/>
      <c r="PCS2479" s="60"/>
      <c r="PCT2479" s="60"/>
      <c r="PCU2479" s="60"/>
      <c r="PCV2479" s="60"/>
      <c r="PCW2479" s="64"/>
      <c r="PCX2479" s="61"/>
      <c r="PCY2479" s="54"/>
      <c r="PCZ2479" s="54"/>
      <c r="PDA2479" s="60"/>
      <c r="PDB2479" s="60"/>
      <c r="PDC2479" s="60"/>
      <c r="PDD2479" s="60"/>
      <c r="PDE2479" s="64"/>
      <c r="PDF2479" s="61"/>
      <c r="PDG2479" s="54"/>
      <c r="PDH2479" s="54"/>
      <c r="PDI2479" s="60"/>
      <c r="PDJ2479" s="60"/>
      <c r="PDK2479" s="60"/>
      <c r="PDL2479" s="60"/>
      <c r="PDM2479" s="64"/>
      <c r="PDN2479" s="61"/>
      <c r="PDO2479" s="54"/>
      <c r="PDP2479" s="54"/>
      <c r="PDQ2479" s="60"/>
      <c r="PDR2479" s="60"/>
      <c r="PDS2479" s="60"/>
      <c r="PDT2479" s="60"/>
      <c r="PDU2479" s="64"/>
      <c r="PDV2479" s="61"/>
      <c r="PDW2479" s="54"/>
      <c r="PDX2479" s="54"/>
      <c r="PDY2479" s="60"/>
      <c r="PDZ2479" s="60"/>
      <c r="PEA2479" s="60"/>
      <c r="PEB2479" s="60"/>
      <c r="PEC2479" s="64"/>
      <c r="PED2479" s="61"/>
      <c r="PEE2479" s="54"/>
      <c r="PEF2479" s="54"/>
      <c r="PEG2479" s="60"/>
      <c r="PEH2479" s="60"/>
      <c r="PEI2479" s="60"/>
      <c r="PEJ2479" s="60"/>
      <c r="PEK2479" s="64"/>
      <c r="PEL2479" s="61"/>
      <c r="PEM2479" s="54"/>
      <c r="PEN2479" s="54"/>
      <c r="PEO2479" s="60"/>
      <c r="PEP2479" s="60"/>
      <c r="PEQ2479" s="60"/>
      <c r="PER2479" s="60"/>
      <c r="PES2479" s="64"/>
      <c r="PET2479" s="61"/>
      <c r="PEU2479" s="54"/>
      <c r="PEV2479" s="54"/>
      <c r="PEW2479" s="60"/>
      <c r="PEX2479" s="60"/>
      <c r="PEY2479" s="60"/>
      <c r="PEZ2479" s="60"/>
      <c r="PFA2479" s="64"/>
      <c r="PFB2479" s="61"/>
      <c r="PFC2479" s="54"/>
      <c r="PFD2479" s="54"/>
      <c r="PFE2479" s="60"/>
      <c r="PFF2479" s="60"/>
      <c r="PFG2479" s="60"/>
      <c r="PFH2479" s="60"/>
      <c r="PFI2479" s="64"/>
      <c r="PFJ2479" s="61"/>
      <c r="PFK2479" s="54"/>
      <c r="PFL2479" s="54"/>
      <c r="PFM2479" s="60"/>
      <c r="PFN2479" s="60"/>
      <c r="PFO2479" s="60"/>
      <c r="PFP2479" s="60"/>
      <c r="PFQ2479" s="64"/>
      <c r="PFR2479" s="61"/>
      <c r="PFS2479" s="54"/>
      <c r="PFT2479" s="54"/>
      <c r="PFU2479" s="60"/>
      <c r="PFV2479" s="60"/>
      <c r="PFW2479" s="60"/>
      <c r="PFX2479" s="60"/>
      <c r="PFY2479" s="64"/>
      <c r="PFZ2479" s="61"/>
      <c r="PGA2479" s="54"/>
      <c r="PGB2479" s="54"/>
      <c r="PGC2479" s="60"/>
      <c r="PGD2479" s="60"/>
      <c r="PGE2479" s="60"/>
      <c r="PGF2479" s="60"/>
      <c r="PGG2479" s="64"/>
      <c r="PGH2479" s="61"/>
      <c r="PGI2479" s="54"/>
      <c r="PGJ2479" s="54"/>
      <c r="PGK2479" s="60"/>
      <c r="PGL2479" s="60"/>
      <c r="PGM2479" s="60"/>
      <c r="PGN2479" s="60"/>
      <c r="PGO2479" s="64"/>
      <c r="PGP2479" s="61"/>
      <c r="PGQ2479" s="54"/>
      <c r="PGR2479" s="54"/>
      <c r="PGS2479" s="60"/>
      <c r="PGT2479" s="60"/>
      <c r="PGU2479" s="60"/>
      <c r="PGV2479" s="60"/>
      <c r="PGW2479" s="64"/>
      <c r="PGX2479" s="61"/>
      <c r="PGY2479" s="54"/>
      <c r="PGZ2479" s="54"/>
      <c r="PHA2479" s="60"/>
      <c r="PHB2479" s="60"/>
      <c r="PHC2479" s="60"/>
      <c r="PHD2479" s="60"/>
      <c r="PHE2479" s="64"/>
      <c r="PHF2479" s="61"/>
      <c r="PHG2479" s="54"/>
      <c r="PHH2479" s="54"/>
      <c r="PHI2479" s="60"/>
      <c r="PHJ2479" s="60"/>
      <c r="PHK2479" s="60"/>
      <c r="PHL2479" s="60"/>
      <c r="PHM2479" s="64"/>
      <c r="PHN2479" s="61"/>
      <c r="PHO2479" s="54"/>
      <c r="PHP2479" s="54"/>
      <c r="PHQ2479" s="60"/>
      <c r="PHR2479" s="60"/>
      <c r="PHS2479" s="60"/>
      <c r="PHT2479" s="60"/>
      <c r="PHU2479" s="64"/>
      <c r="PHV2479" s="61"/>
      <c r="PHW2479" s="54"/>
      <c r="PHX2479" s="54"/>
      <c r="PHY2479" s="60"/>
      <c r="PHZ2479" s="60"/>
      <c r="PIA2479" s="60"/>
      <c r="PIB2479" s="60"/>
      <c r="PIC2479" s="64"/>
      <c r="PID2479" s="61"/>
      <c r="PIE2479" s="54"/>
      <c r="PIF2479" s="54"/>
      <c r="PIG2479" s="60"/>
      <c r="PIH2479" s="60"/>
      <c r="PII2479" s="60"/>
      <c r="PIJ2479" s="60"/>
      <c r="PIK2479" s="64"/>
      <c r="PIL2479" s="61"/>
      <c r="PIM2479" s="54"/>
      <c r="PIN2479" s="54"/>
      <c r="PIO2479" s="60"/>
      <c r="PIP2479" s="60"/>
      <c r="PIQ2479" s="60"/>
      <c r="PIR2479" s="60"/>
      <c r="PIS2479" s="64"/>
      <c r="PIT2479" s="61"/>
      <c r="PIU2479" s="54"/>
      <c r="PIV2479" s="54"/>
      <c r="PIW2479" s="60"/>
      <c r="PIX2479" s="60"/>
      <c r="PIY2479" s="60"/>
      <c r="PIZ2479" s="60"/>
      <c r="PJA2479" s="64"/>
      <c r="PJB2479" s="61"/>
      <c r="PJC2479" s="54"/>
      <c r="PJD2479" s="54"/>
      <c r="PJE2479" s="60"/>
      <c r="PJF2479" s="60"/>
      <c r="PJG2479" s="60"/>
      <c r="PJH2479" s="60"/>
      <c r="PJI2479" s="64"/>
      <c r="PJJ2479" s="61"/>
      <c r="PJK2479" s="54"/>
      <c r="PJL2479" s="54"/>
      <c r="PJM2479" s="60"/>
      <c r="PJN2479" s="60"/>
      <c r="PJO2479" s="60"/>
      <c r="PJP2479" s="60"/>
      <c r="PJQ2479" s="64"/>
      <c r="PJR2479" s="61"/>
      <c r="PJS2479" s="54"/>
      <c r="PJT2479" s="54"/>
      <c r="PJU2479" s="60"/>
      <c r="PJV2479" s="60"/>
      <c r="PJW2479" s="60"/>
      <c r="PJX2479" s="60"/>
      <c r="PJY2479" s="64"/>
      <c r="PJZ2479" s="61"/>
      <c r="PKA2479" s="54"/>
      <c r="PKB2479" s="54"/>
      <c r="PKC2479" s="60"/>
      <c r="PKD2479" s="60"/>
      <c r="PKE2479" s="60"/>
      <c r="PKF2479" s="60"/>
      <c r="PKG2479" s="64"/>
      <c r="PKH2479" s="61"/>
      <c r="PKI2479" s="54"/>
      <c r="PKJ2479" s="54"/>
      <c r="PKK2479" s="60"/>
      <c r="PKL2479" s="60"/>
      <c r="PKM2479" s="60"/>
      <c r="PKN2479" s="60"/>
      <c r="PKO2479" s="64"/>
      <c r="PKP2479" s="61"/>
      <c r="PKQ2479" s="54"/>
      <c r="PKR2479" s="54"/>
      <c r="PKS2479" s="60"/>
      <c r="PKT2479" s="60"/>
      <c r="PKU2479" s="60"/>
      <c r="PKV2479" s="60"/>
      <c r="PKW2479" s="64"/>
      <c r="PKX2479" s="61"/>
      <c r="PKY2479" s="54"/>
      <c r="PKZ2479" s="54"/>
      <c r="PLA2479" s="60"/>
      <c r="PLB2479" s="60"/>
      <c r="PLC2479" s="60"/>
      <c r="PLD2479" s="60"/>
      <c r="PLE2479" s="64"/>
      <c r="PLF2479" s="61"/>
      <c r="PLG2479" s="54"/>
      <c r="PLH2479" s="54"/>
      <c r="PLI2479" s="60"/>
      <c r="PLJ2479" s="60"/>
      <c r="PLK2479" s="60"/>
      <c r="PLL2479" s="60"/>
      <c r="PLM2479" s="64"/>
      <c r="PLN2479" s="61"/>
      <c r="PLO2479" s="54"/>
      <c r="PLP2479" s="54"/>
      <c r="PLQ2479" s="60"/>
      <c r="PLR2479" s="60"/>
      <c r="PLS2479" s="60"/>
      <c r="PLT2479" s="60"/>
      <c r="PLU2479" s="64"/>
      <c r="PLV2479" s="61"/>
      <c r="PLW2479" s="54"/>
      <c r="PLX2479" s="54"/>
      <c r="PLY2479" s="60"/>
      <c r="PLZ2479" s="60"/>
      <c r="PMA2479" s="60"/>
      <c r="PMB2479" s="60"/>
      <c r="PMC2479" s="64"/>
      <c r="PMD2479" s="61"/>
      <c r="PME2479" s="54"/>
      <c r="PMF2479" s="54"/>
      <c r="PMG2479" s="60"/>
      <c r="PMH2479" s="60"/>
      <c r="PMI2479" s="60"/>
      <c r="PMJ2479" s="60"/>
      <c r="PMK2479" s="64"/>
      <c r="PML2479" s="61"/>
      <c r="PMM2479" s="54"/>
      <c r="PMN2479" s="54"/>
      <c r="PMO2479" s="60"/>
      <c r="PMP2479" s="60"/>
      <c r="PMQ2479" s="60"/>
      <c r="PMR2479" s="60"/>
      <c r="PMS2479" s="64"/>
      <c r="PMT2479" s="61"/>
      <c r="PMU2479" s="54"/>
      <c r="PMV2479" s="54"/>
      <c r="PMW2479" s="60"/>
      <c r="PMX2479" s="60"/>
      <c r="PMY2479" s="60"/>
      <c r="PMZ2479" s="60"/>
      <c r="PNA2479" s="64"/>
      <c r="PNB2479" s="61"/>
      <c r="PNC2479" s="54"/>
      <c r="PND2479" s="54"/>
      <c r="PNE2479" s="60"/>
      <c r="PNF2479" s="60"/>
      <c r="PNG2479" s="60"/>
      <c r="PNH2479" s="60"/>
      <c r="PNI2479" s="64"/>
      <c r="PNJ2479" s="61"/>
      <c r="PNK2479" s="54"/>
      <c r="PNL2479" s="54"/>
      <c r="PNM2479" s="60"/>
      <c r="PNN2479" s="60"/>
      <c r="PNO2479" s="60"/>
      <c r="PNP2479" s="60"/>
      <c r="PNQ2479" s="64"/>
      <c r="PNR2479" s="61"/>
      <c r="PNS2479" s="54"/>
      <c r="PNT2479" s="54"/>
      <c r="PNU2479" s="60"/>
      <c r="PNV2479" s="60"/>
      <c r="PNW2479" s="60"/>
      <c r="PNX2479" s="60"/>
      <c r="PNY2479" s="64"/>
      <c r="PNZ2479" s="61"/>
      <c r="POA2479" s="54"/>
      <c r="POB2479" s="54"/>
      <c r="POC2479" s="60"/>
      <c r="POD2479" s="60"/>
      <c r="POE2479" s="60"/>
      <c r="POF2479" s="60"/>
      <c r="POG2479" s="64"/>
      <c r="POH2479" s="61"/>
      <c r="POI2479" s="54"/>
      <c r="POJ2479" s="54"/>
      <c r="POK2479" s="60"/>
      <c r="POL2479" s="60"/>
      <c r="POM2479" s="60"/>
      <c r="PON2479" s="60"/>
      <c r="POO2479" s="64"/>
      <c r="POP2479" s="61"/>
      <c r="POQ2479" s="54"/>
      <c r="POR2479" s="54"/>
      <c r="POS2479" s="60"/>
      <c r="POT2479" s="60"/>
      <c r="POU2479" s="60"/>
      <c r="POV2479" s="60"/>
      <c r="POW2479" s="64"/>
      <c r="POX2479" s="61"/>
      <c r="POY2479" s="54"/>
      <c r="POZ2479" s="54"/>
      <c r="PPA2479" s="60"/>
      <c r="PPB2479" s="60"/>
      <c r="PPC2479" s="60"/>
      <c r="PPD2479" s="60"/>
      <c r="PPE2479" s="64"/>
      <c r="PPF2479" s="61"/>
      <c r="PPG2479" s="54"/>
      <c r="PPH2479" s="54"/>
      <c r="PPI2479" s="60"/>
      <c r="PPJ2479" s="60"/>
      <c r="PPK2479" s="60"/>
      <c r="PPL2479" s="60"/>
      <c r="PPM2479" s="64"/>
      <c r="PPN2479" s="61"/>
      <c r="PPO2479" s="54"/>
      <c r="PPP2479" s="54"/>
      <c r="PPQ2479" s="60"/>
      <c r="PPR2479" s="60"/>
      <c r="PPS2479" s="60"/>
      <c r="PPT2479" s="60"/>
      <c r="PPU2479" s="64"/>
      <c r="PPV2479" s="61"/>
      <c r="PPW2479" s="54"/>
      <c r="PPX2479" s="54"/>
      <c r="PPY2479" s="60"/>
      <c r="PPZ2479" s="60"/>
      <c r="PQA2479" s="60"/>
      <c r="PQB2479" s="60"/>
      <c r="PQC2479" s="64"/>
      <c r="PQD2479" s="61"/>
      <c r="PQE2479" s="54"/>
      <c r="PQF2479" s="54"/>
      <c r="PQG2479" s="60"/>
      <c r="PQH2479" s="60"/>
      <c r="PQI2479" s="60"/>
      <c r="PQJ2479" s="60"/>
      <c r="PQK2479" s="64"/>
      <c r="PQL2479" s="61"/>
      <c r="PQM2479" s="54"/>
      <c r="PQN2479" s="54"/>
      <c r="PQO2479" s="60"/>
      <c r="PQP2479" s="60"/>
      <c r="PQQ2479" s="60"/>
      <c r="PQR2479" s="60"/>
      <c r="PQS2479" s="64"/>
      <c r="PQT2479" s="61"/>
      <c r="PQU2479" s="54"/>
      <c r="PQV2479" s="54"/>
      <c r="PQW2479" s="60"/>
      <c r="PQX2479" s="60"/>
      <c r="PQY2479" s="60"/>
      <c r="PQZ2479" s="60"/>
      <c r="PRA2479" s="64"/>
      <c r="PRB2479" s="61"/>
      <c r="PRC2479" s="54"/>
      <c r="PRD2479" s="54"/>
      <c r="PRE2479" s="60"/>
      <c r="PRF2479" s="60"/>
      <c r="PRG2479" s="60"/>
      <c r="PRH2479" s="60"/>
      <c r="PRI2479" s="64"/>
      <c r="PRJ2479" s="61"/>
      <c r="PRK2479" s="54"/>
      <c r="PRL2479" s="54"/>
      <c r="PRM2479" s="60"/>
      <c r="PRN2479" s="60"/>
      <c r="PRO2479" s="60"/>
      <c r="PRP2479" s="60"/>
      <c r="PRQ2479" s="64"/>
      <c r="PRR2479" s="61"/>
      <c r="PRS2479" s="54"/>
      <c r="PRT2479" s="54"/>
      <c r="PRU2479" s="60"/>
      <c r="PRV2479" s="60"/>
      <c r="PRW2479" s="60"/>
      <c r="PRX2479" s="60"/>
      <c r="PRY2479" s="64"/>
      <c r="PRZ2479" s="61"/>
      <c r="PSA2479" s="54"/>
      <c r="PSB2479" s="54"/>
      <c r="PSC2479" s="60"/>
      <c r="PSD2479" s="60"/>
      <c r="PSE2479" s="60"/>
      <c r="PSF2479" s="60"/>
      <c r="PSG2479" s="64"/>
      <c r="PSH2479" s="61"/>
      <c r="PSI2479" s="54"/>
      <c r="PSJ2479" s="54"/>
      <c r="PSK2479" s="60"/>
      <c r="PSL2479" s="60"/>
      <c r="PSM2479" s="60"/>
      <c r="PSN2479" s="60"/>
      <c r="PSO2479" s="64"/>
      <c r="PSP2479" s="61"/>
      <c r="PSQ2479" s="54"/>
      <c r="PSR2479" s="54"/>
      <c r="PSS2479" s="60"/>
      <c r="PST2479" s="60"/>
      <c r="PSU2479" s="60"/>
      <c r="PSV2479" s="60"/>
      <c r="PSW2479" s="64"/>
      <c r="PSX2479" s="61"/>
      <c r="PSY2479" s="54"/>
      <c r="PSZ2479" s="54"/>
      <c r="PTA2479" s="60"/>
      <c r="PTB2479" s="60"/>
      <c r="PTC2479" s="60"/>
      <c r="PTD2479" s="60"/>
      <c r="PTE2479" s="64"/>
      <c r="PTF2479" s="61"/>
      <c r="PTG2479" s="54"/>
      <c r="PTH2479" s="54"/>
      <c r="PTI2479" s="60"/>
      <c r="PTJ2479" s="60"/>
      <c r="PTK2479" s="60"/>
      <c r="PTL2479" s="60"/>
      <c r="PTM2479" s="64"/>
      <c r="PTN2479" s="61"/>
      <c r="PTO2479" s="54"/>
      <c r="PTP2479" s="54"/>
      <c r="PTQ2479" s="60"/>
      <c r="PTR2479" s="60"/>
      <c r="PTS2479" s="60"/>
      <c r="PTT2479" s="60"/>
      <c r="PTU2479" s="64"/>
      <c r="PTV2479" s="61"/>
      <c r="PTW2479" s="54"/>
      <c r="PTX2479" s="54"/>
      <c r="PTY2479" s="60"/>
      <c r="PTZ2479" s="60"/>
      <c r="PUA2479" s="60"/>
      <c r="PUB2479" s="60"/>
      <c r="PUC2479" s="64"/>
      <c r="PUD2479" s="61"/>
      <c r="PUE2479" s="54"/>
      <c r="PUF2479" s="54"/>
      <c r="PUG2479" s="60"/>
      <c r="PUH2479" s="60"/>
      <c r="PUI2479" s="60"/>
      <c r="PUJ2479" s="60"/>
      <c r="PUK2479" s="64"/>
      <c r="PUL2479" s="61"/>
      <c r="PUM2479" s="54"/>
      <c r="PUN2479" s="54"/>
      <c r="PUO2479" s="60"/>
      <c r="PUP2479" s="60"/>
      <c r="PUQ2479" s="60"/>
      <c r="PUR2479" s="60"/>
      <c r="PUS2479" s="64"/>
      <c r="PUT2479" s="61"/>
      <c r="PUU2479" s="54"/>
      <c r="PUV2479" s="54"/>
      <c r="PUW2479" s="60"/>
      <c r="PUX2479" s="60"/>
      <c r="PUY2479" s="60"/>
      <c r="PUZ2479" s="60"/>
      <c r="PVA2479" s="64"/>
      <c r="PVB2479" s="61"/>
      <c r="PVC2479" s="54"/>
      <c r="PVD2479" s="54"/>
      <c r="PVE2479" s="60"/>
      <c r="PVF2479" s="60"/>
      <c r="PVG2479" s="60"/>
      <c r="PVH2479" s="60"/>
      <c r="PVI2479" s="64"/>
      <c r="PVJ2479" s="61"/>
      <c r="PVK2479" s="54"/>
      <c r="PVL2479" s="54"/>
      <c r="PVM2479" s="60"/>
      <c r="PVN2479" s="60"/>
      <c r="PVO2479" s="60"/>
      <c r="PVP2479" s="60"/>
      <c r="PVQ2479" s="64"/>
      <c r="PVR2479" s="61"/>
      <c r="PVS2479" s="54"/>
      <c r="PVT2479" s="54"/>
      <c r="PVU2479" s="60"/>
      <c r="PVV2479" s="60"/>
      <c r="PVW2479" s="60"/>
      <c r="PVX2479" s="60"/>
      <c r="PVY2479" s="64"/>
      <c r="PVZ2479" s="61"/>
      <c r="PWA2479" s="54"/>
      <c r="PWB2479" s="54"/>
      <c r="PWC2479" s="60"/>
      <c r="PWD2479" s="60"/>
      <c r="PWE2479" s="60"/>
      <c r="PWF2479" s="60"/>
      <c r="PWG2479" s="64"/>
      <c r="PWH2479" s="61"/>
      <c r="PWI2479" s="54"/>
      <c r="PWJ2479" s="54"/>
      <c r="PWK2479" s="60"/>
      <c r="PWL2479" s="60"/>
      <c r="PWM2479" s="60"/>
      <c r="PWN2479" s="60"/>
      <c r="PWO2479" s="64"/>
      <c r="PWP2479" s="61"/>
      <c r="PWQ2479" s="54"/>
      <c r="PWR2479" s="54"/>
      <c r="PWS2479" s="60"/>
      <c r="PWT2479" s="60"/>
      <c r="PWU2479" s="60"/>
      <c r="PWV2479" s="60"/>
      <c r="PWW2479" s="64"/>
      <c r="PWX2479" s="61"/>
      <c r="PWY2479" s="54"/>
      <c r="PWZ2479" s="54"/>
      <c r="PXA2479" s="60"/>
      <c r="PXB2479" s="60"/>
      <c r="PXC2479" s="60"/>
      <c r="PXD2479" s="60"/>
      <c r="PXE2479" s="64"/>
      <c r="PXF2479" s="61"/>
      <c r="PXG2479" s="54"/>
      <c r="PXH2479" s="54"/>
      <c r="PXI2479" s="60"/>
      <c r="PXJ2479" s="60"/>
      <c r="PXK2479" s="60"/>
      <c r="PXL2479" s="60"/>
      <c r="PXM2479" s="64"/>
      <c r="PXN2479" s="61"/>
      <c r="PXO2479" s="54"/>
      <c r="PXP2479" s="54"/>
      <c r="PXQ2479" s="60"/>
      <c r="PXR2479" s="60"/>
      <c r="PXS2479" s="60"/>
      <c r="PXT2479" s="60"/>
      <c r="PXU2479" s="64"/>
      <c r="PXV2479" s="61"/>
      <c r="PXW2479" s="54"/>
      <c r="PXX2479" s="54"/>
      <c r="PXY2479" s="60"/>
      <c r="PXZ2479" s="60"/>
      <c r="PYA2479" s="60"/>
      <c r="PYB2479" s="60"/>
      <c r="PYC2479" s="64"/>
      <c r="PYD2479" s="61"/>
      <c r="PYE2479" s="54"/>
      <c r="PYF2479" s="54"/>
      <c r="PYG2479" s="60"/>
      <c r="PYH2479" s="60"/>
      <c r="PYI2479" s="60"/>
      <c r="PYJ2479" s="60"/>
      <c r="PYK2479" s="64"/>
      <c r="PYL2479" s="61"/>
      <c r="PYM2479" s="54"/>
      <c r="PYN2479" s="54"/>
      <c r="PYO2479" s="60"/>
      <c r="PYP2479" s="60"/>
      <c r="PYQ2479" s="60"/>
      <c r="PYR2479" s="60"/>
      <c r="PYS2479" s="64"/>
      <c r="PYT2479" s="61"/>
      <c r="PYU2479" s="54"/>
      <c r="PYV2479" s="54"/>
      <c r="PYW2479" s="60"/>
      <c r="PYX2479" s="60"/>
      <c r="PYY2479" s="60"/>
      <c r="PYZ2479" s="60"/>
      <c r="PZA2479" s="64"/>
      <c r="PZB2479" s="61"/>
      <c r="PZC2479" s="54"/>
      <c r="PZD2479" s="54"/>
      <c r="PZE2479" s="60"/>
      <c r="PZF2479" s="60"/>
      <c r="PZG2479" s="60"/>
      <c r="PZH2479" s="60"/>
      <c r="PZI2479" s="64"/>
      <c r="PZJ2479" s="61"/>
      <c r="PZK2479" s="54"/>
      <c r="PZL2479" s="54"/>
      <c r="PZM2479" s="60"/>
      <c r="PZN2479" s="60"/>
      <c r="PZO2479" s="60"/>
      <c r="PZP2479" s="60"/>
      <c r="PZQ2479" s="64"/>
      <c r="PZR2479" s="61"/>
      <c r="PZS2479" s="54"/>
      <c r="PZT2479" s="54"/>
      <c r="PZU2479" s="60"/>
      <c r="PZV2479" s="60"/>
      <c r="PZW2479" s="60"/>
      <c r="PZX2479" s="60"/>
      <c r="PZY2479" s="64"/>
      <c r="PZZ2479" s="61"/>
      <c r="QAA2479" s="54"/>
      <c r="QAB2479" s="54"/>
      <c r="QAC2479" s="60"/>
      <c r="QAD2479" s="60"/>
      <c r="QAE2479" s="60"/>
      <c r="QAF2479" s="60"/>
      <c r="QAG2479" s="64"/>
      <c r="QAH2479" s="61"/>
      <c r="QAI2479" s="54"/>
      <c r="QAJ2479" s="54"/>
      <c r="QAK2479" s="60"/>
      <c r="QAL2479" s="60"/>
      <c r="QAM2479" s="60"/>
      <c r="QAN2479" s="60"/>
      <c r="QAO2479" s="64"/>
      <c r="QAP2479" s="61"/>
      <c r="QAQ2479" s="54"/>
      <c r="QAR2479" s="54"/>
      <c r="QAS2479" s="60"/>
      <c r="QAT2479" s="60"/>
      <c r="QAU2479" s="60"/>
      <c r="QAV2479" s="60"/>
      <c r="QAW2479" s="64"/>
      <c r="QAX2479" s="61"/>
      <c r="QAY2479" s="54"/>
      <c r="QAZ2479" s="54"/>
      <c r="QBA2479" s="60"/>
      <c r="QBB2479" s="60"/>
      <c r="QBC2479" s="60"/>
      <c r="QBD2479" s="60"/>
      <c r="QBE2479" s="64"/>
      <c r="QBF2479" s="61"/>
      <c r="QBG2479" s="54"/>
      <c r="QBH2479" s="54"/>
      <c r="QBI2479" s="60"/>
      <c r="QBJ2479" s="60"/>
      <c r="QBK2479" s="60"/>
      <c r="QBL2479" s="60"/>
      <c r="QBM2479" s="64"/>
      <c r="QBN2479" s="61"/>
      <c r="QBO2479" s="54"/>
      <c r="QBP2479" s="54"/>
      <c r="QBQ2479" s="60"/>
      <c r="QBR2479" s="60"/>
      <c r="QBS2479" s="60"/>
      <c r="QBT2479" s="60"/>
      <c r="QBU2479" s="64"/>
      <c r="QBV2479" s="61"/>
      <c r="QBW2479" s="54"/>
      <c r="QBX2479" s="54"/>
      <c r="QBY2479" s="60"/>
      <c r="QBZ2479" s="60"/>
      <c r="QCA2479" s="60"/>
      <c r="QCB2479" s="60"/>
      <c r="QCC2479" s="64"/>
      <c r="QCD2479" s="61"/>
      <c r="QCE2479" s="54"/>
      <c r="QCF2479" s="54"/>
      <c r="QCG2479" s="60"/>
      <c r="QCH2479" s="60"/>
      <c r="QCI2479" s="60"/>
      <c r="QCJ2479" s="60"/>
      <c r="QCK2479" s="64"/>
      <c r="QCL2479" s="61"/>
      <c r="QCM2479" s="54"/>
      <c r="QCN2479" s="54"/>
      <c r="QCO2479" s="60"/>
      <c r="QCP2479" s="60"/>
      <c r="QCQ2479" s="60"/>
      <c r="QCR2479" s="60"/>
      <c r="QCS2479" s="64"/>
      <c r="QCT2479" s="61"/>
      <c r="QCU2479" s="54"/>
      <c r="QCV2479" s="54"/>
      <c r="QCW2479" s="60"/>
      <c r="QCX2479" s="60"/>
      <c r="QCY2479" s="60"/>
      <c r="QCZ2479" s="60"/>
      <c r="QDA2479" s="64"/>
      <c r="QDB2479" s="61"/>
      <c r="QDC2479" s="54"/>
      <c r="QDD2479" s="54"/>
      <c r="QDE2479" s="60"/>
      <c r="QDF2479" s="60"/>
      <c r="QDG2479" s="60"/>
      <c r="QDH2479" s="60"/>
      <c r="QDI2479" s="64"/>
      <c r="QDJ2479" s="61"/>
      <c r="QDK2479" s="54"/>
      <c r="QDL2479" s="54"/>
      <c r="QDM2479" s="60"/>
      <c r="QDN2479" s="60"/>
      <c r="QDO2479" s="60"/>
      <c r="QDP2479" s="60"/>
      <c r="QDQ2479" s="64"/>
      <c r="QDR2479" s="61"/>
      <c r="QDS2479" s="54"/>
      <c r="QDT2479" s="54"/>
      <c r="QDU2479" s="60"/>
      <c r="QDV2479" s="60"/>
      <c r="QDW2479" s="60"/>
      <c r="QDX2479" s="60"/>
      <c r="QDY2479" s="64"/>
      <c r="QDZ2479" s="61"/>
      <c r="QEA2479" s="54"/>
      <c r="QEB2479" s="54"/>
      <c r="QEC2479" s="60"/>
      <c r="QED2479" s="60"/>
      <c r="QEE2479" s="60"/>
      <c r="QEF2479" s="60"/>
      <c r="QEG2479" s="64"/>
      <c r="QEH2479" s="61"/>
      <c r="QEI2479" s="54"/>
      <c r="QEJ2479" s="54"/>
      <c r="QEK2479" s="60"/>
      <c r="QEL2479" s="60"/>
      <c r="QEM2479" s="60"/>
      <c r="QEN2479" s="60"/>
      <c r="QEO2479" s="64"/>
      <c r="QEP2479" s="61"/>
      <c r="QEQ2479" s="54"/>
      <c r="QER2479" s="54"/>
      <c r="QES2479" s="60"/>
      <c r="QET2479" s="60"/>
      <c r="QEU2479" s="60"/>
      <c r="QEV2479" s="60"/>
      <c r="QEW2479" s="64"/>
      <c r="QEX2479" s="61"/>
      <c r="QEY2479" s="54"/>
      <c r="QEZ2479" s="54"/>
      <c r="QFA2479" s="60"/>
      <c r="QFB2479" s="60"/>
      <c r="QFC2479" s="60"/>
      <c r="QFD2479" s="60"/>
      <c r="QFE2479" s="64"/>
      <c r="QFF2479" s="61"/>
      <c r="QFG2479" s="54"/>
      <c r="QFH2479" s="54"/>
      <c r="QFI2479" s="60"/>
      <c r="QFJ2479" s="60"/>
      <c r="QFK2479" s="60"/>
      <c r="QFL2479" s="60"/>
      <c r="QFM2479" s="64"/>
      <c r="QFN2479" s="61"/>
      <c r="QFO2479" s="54"/>
      <c r="QFP2479" s="54"/>
      <c r="QFQ2479" s="60"/>
      <c r="QFR2479" s="60"/>
      <c r="QFS2479" s="60"/>
      <c r="QFT2479" s="60"/>
      <c r="QFU2479" s="64"/>
      <c r="QFV2479" s="61"/>
      <c r="QFW2479" s="54"/>
      <c r="QFX2479" s="54"/>
      <c r="QFY2479" s="60"/>
      <c r="QFZ2479" s="60"/>
      <c r="QGA2479" s="60"/>
      <c r="QGB2479" s="60"/>
      <c r="QGC2479" s="64"/>
      <c r="QGD2479" s="61"/>
      <c r="QGE2479" s="54"/>
      <c r="QGF2479" s="54"/>
      <c r="QGG2479" s="60"/>
      <c r="QGH2479" s="60"/>
      <c r="QGI2479" s="60"/>
      <c r="QGJ2479" s="60"/>
      <c r="QGK2479" s="64"/>
      <c r="QGL2479" s="61"/>
      <c r="QGM2479" s="54"/>
      <c r="QGN2479" s="54"/>
      <c r="QGO2479" s="60"/>
      <c r="QGP2479" s="60"/>
      <c r="QGQ2479" s="60"/>
      <c r="QGR2479" s="60"/>
      <c r="QGS2479" s="64"/>
      <c r="QGT2479" s="61"/>
      <c r="QGU2479" s="54"/>
      <c r="QGV2479" s="54"/>
      <c r="QGW2479" s="60"/>
      <c r="QGX2479" s="60"/>
      <c r="QGY2479" s="60"/>
      <c r="QGZ2479" s="60"/>
      <c r="QHA2479" s="64"/>
      <c r="QHB2479" s="61"/>
      <c r="QHC2479" s="54"/>
      <c r="QHD2479" s="54"/>
      <c r="QHE2479" s="60"/>
      <c r="QHF2479" s="60"/>
      <c r="QHG2479" s="60"/>
      <c r="QHH2479" s="60"/>
      <c r="QHI2479" s="64"/>
      <c r="QHJ2479" s="61"/>
      <c r="QHK2479" s="54"/>
      <c r="QHL2479" s="54"/>
      <c r="QHM2479" s="60"/>
      <c r="QHN2479" s="60"/>
      <c r="QHO2479" s="60"/>
      <c r="QHP2479" s="60"/>
      <c r="QHQ2479" s="64"/>
      <c r="QHR2479" s="61"/>
      <c r="QHS2479" s="54"/>
      <c r="QHT2479" s="54"/>
      <c r="QHU2479" s="60"/>
      <c r="QHV2479" s="60"/>
      <c r="QHW2479" s="60"/>
      <c r="QHX2479" s="60"/>
      <c r="QHY2479" s="64"/>
      <c r="QHZ2479" s="61"/>
      <c r="QIA2479" s="54"/>
      <c r="QIB2479" s="54"/>
      <c r="QIC2479" s="60"/>
      <c r="QID2479" s="60"/>
      <c r="QIE2479" s="60"/>
      <c r="QIF2479" s="60"/>
      <c r="QIG2479" s="64"/>
      <c r="QIH2479" s="61"/>
      <c r="QII2479" s="54"/>
      <c r="QIJ2479" s="54"/>
      <c r="QIK2479" s="60"/>
      <c r="QIL2479" s="60"/>
      <c r="QIM2479" s="60"/>
      <c r="QIN2479" s="60"/>
      <c r="QIO2479" s="64"/>
      <c r="QIP2479" s="61"/>
      <c r="QIQ2479" s="54"/>
      <c r="QIR2479" s="54"/>
      <c r="QIS2479" s="60"/>
      <c r="QIT2479" s="60"/>
      <c r="QIU2479" s="60"/>
      <c r="QIV2479" s="60"/>
      <c r="QIW2479" s="64"/>
      <c r="QIX2479" s="61"/>
      <c r="QIY2479" s="54"/>
      <c r="QIZ2479" s="54"/>
      <c r="QJA2479" s="60"/>
      <c r="QJB2479" s="60"/>
      <c r="QJC2479" s="60"/>
      <c r="QJD2479" s="60"/>
      <c r="QJE2479" s="64"/>
      <c r="QJF2479" s="61"/>
      <c r="QJG2479" s="54"/>
      <c r="QJH2479" s="54"/>
      <c r="QJI2479" s="60"/>
      <c r="QJJ2479" s="60"/>
      <c r="QJK2479" s="60"/>
      <c r="QJL2479" s="60"/>
      <c r="QJM2479" s="64"/>
      <c r="QJN2479" s="61"/>
      <c r="QJO2479" s="54"/>
      <c r="QJP2479" s="54"/>
      <c r="QJQ2479" s="60"/>
      <c r="QJR2479" s="60"/>
      <c r="QJS2479" s="60"/>
      <c r="QJT2479" s="60"/>
      <c r="QJU2479" s="64"/>
      <c r="QJV2479" s="61"/>
      <c r="QJW2479" s="54"/>
      <c r="QJX2479" s="54"/>
      <c r="QJY2479" s="60"/>
      <c r="QJZ2479" s="60"/>
      <c r="QKA2479" s="60"/>
      <c r="QKB2479" s="60"/>
      <c r="QKC2479" s="64"/>
      <c r="QKD2479" s="61"/>
      <c r="QKE2479" s="54"/>
      <c r="QKF2479" s="54"/>
      <c r="QKG2479" s="60"/>
      <c r="QKH2479" s="60"/>
      <c r="QKI2479" s="60"/>
      <c r="QKJ2479" s="60"/>
      <c r="QKK2479" s="64"/>
      <c r="QKL2479" s="61"/>
      <c r="QKM2479" s="54"/>
      <c r="QKN2479" s="54"/>
      <c r="QKO2479" s="60"/>
      <c r="QKP2479" s="60"/>
      <c r="QKQ2479" s="60"/>
      <c r="QKR2479" s="60"/>
      <c r="QKS2479" s="64"/>
      <c r="QKT2479" s="61"/>
      <c r="QKU2479" s="54"/>
      <c r="QKV2479" s="54"/>
      <c r="QKW2479" s="60"/>
      <c r="QKX2479" s="60"/>
      <c r="QKY2479" s="60"/>
      <c r="QKZ2479" s="60"/>
      <c r="QLA2479" s="64"/>
      <c r="QLB2479" s="61"/>
      <c r="QLC2479" s="54"/>
      <c r="QLD2479" s="54"/>
      <c r="QLE2479" s="60"/>
      <c r="QLF2479" s="60"/>
      <c r="QLG2479" s="60"/>
      <c r="QLH2479" s="60"/>
      <c r="QLI2479" s="64"/>
      <c r="QLJ2479" s="61"/>
      <c r="QLK2479" s="54"/>
      <c r="QLL2479" s="54"/>
      <c r="QLM2479" s="60"/>
      <c r="QLN2479" s="60"/>
      <c r="QLO2479" s="60"/>
      <c r="QLP2479" s="60"/>
      <c r="QLQ2479" s="64"/>
      <c r="QLR2479" s="61"/>
      <c r="QLS2479" s="54"/>
      <c r="QLT2479" s="54"/>
      <c r="QLU2479" s="60"/>
      <c r="QLV2479" s="60"/>
      <c r="QLW2479" s="60"/>
      <c r="QLX2479" s="60"/>
      <c r="QLY2479" s="64"/>
      <c r="QLZ2479" s="61"/>
      <c r="QMA2479" s="54"/>
      <c r="QMB2479" s="54"/>
      <c r="QMC2479" s="60"/>
      <c r="QMD2479" s="60"/>
      <c r="QME2479" s="60"/>
      <c r="QMF2479" s="60"/>
      <c r="QMG2479" s="64"/>
      <c r="QMH2479" s="61"/>
      <c r="QMI2479" s="54"/>
      <c r="QMJ2479" s="54"/>
      <c r="QMK2479" s="60"/>
      <c r="QML2479" s="60"/>
      <c r="QMM2479" s="60"/>
      <c r="QMN2479" s="60"/>
      <c r="QMO2479" s="64"/>
      <c r="QMP2479" s="61"/>
      <c r="QMQ2479" s="54"/>
      <c r="QMR2479" s="54"/>
      <c r="QMS2479" s="60"/>
      <c r="QMT2479" s="60"/>
      <c r="QMU2479" s="60"/>
      <c r="QMV2479" s="60"/>
      <c r="QMW2479" s="64"/>
      <c r="QMX2479" s="61"/>
      <c r="QMY2479" s="54"/>
      <c r="QMZ2479" s="54"/>
      <c r="QNA2479" s="60"/>
      <c r="QNB2479" s="60"/>
      <c r="QNC2479" s="60"/>
      <c r="QND2479" s="60"/>
      <c r="QNE2479" s="64"/>
      <c r="QNF2479" s="61"/>
      <c r="QNG2479" s="54"/>
      <c r="QNH2479" s="54"/>
      <c r="QNI2479" s="60"/>
      <c r="QNJ2479" s="60"/>
      <c r="QNK2479" s="60"/>
      <c r="QNL2479" s="60"/>
      <c r="QNM2479" s="64"/>
      <c r="QNN2479" s="61"/>
      <c r="QNO2479" s="54"/>
      <c r="QNP2479" s="54"/>
      <c r="QNQ2479" s="60"/>
      <c r="QNR2479" s="60"/>
      <c r="QNS2479" s="60"/>
      <c r="QNT2479" s="60"/>
      <c r="QNU2479" s="64"/>
      <c r="QNV2479" s="61"/>
      <c r="QNW2479" s="54"/>
      <c r="QNX2479" s="54"/>
      <c r="QNY2479" s="60"/>
      <c r="QNZ2479" s="60"/>
      <c r="QOA2479" s="60"/>
      <c r="QOB2479" s="60"/>
      <c r="QOC2479" s="64"/>
      <c r="QOD2479" s="61"/>
      <c r="QOE2479" s="54"/>
      <c r="QOF2479" s="54"/>
      <c r="QOG2479" s="60"/>
      <c r="QOH2479" s="60"/>
      <c r="QOI2479" s="60"/>
      <c r="QOJ2479" s="60"/>
      <c r="QOK2479" s="64"/>
      <c r="QOL2479" s="61"/>
      <c r="QOM2479" s="54"/>
      <c r="QON2479" s="54"/>
      <c r="QOO2479" s="60"/>
      <c r="QOP2479" s="60"/>
      <c r="QOQ2479" s="60"/>
      <c r="QOR2479" s="60"/>
      <c r="QOS2479" s="64"/>
      <c r="QOT2479" s="61"/>
      <c r="QOU2479" s="54"/>
      <c r="QOV2479" s="54"/>
      <c r="QOW2479" s="60"/>
      <c r="QOX2479" s="60"/>
      <c r="QOY2479" s="60"/>
      <c r="QOZ2479" s="60"/>
      <c r="QPA2479" s="64"/>
      <c r="QPB2479" s="61"/>
      <c r="QPC2479" s="54"/>
      <c r="QPD2479" s="54"/>
      <c r="QPE2479" s="60"/>
      <c r="QPF2479" s="60"/>
      <c r="QPG2479" s="60"/>
      <c r="QPH2479" s="60"/>
      <c r="QPI2479" s="64"/>
      <c r="QPJ2479" s="61"/>
      <c r="QPK2479" s="54"/>
      <c r="QPL2479" s="54"/>
      <c r="QPM2479" s="60"/>
      <c r="QPN2479" s="60"/>
      <c r="QPO2479" s="60"/>
      <c r="QPP2479" s="60"/>
      <c r="QPQ2479" s="64"/>
      <c r="QPR2479" s="61"/>
      <c r="QPS2479" s="54"/>
      <c r="QPT2479" s="54"/>
      <c r="QPU2479" s="60"/>
      <c r="QPV2479" s="60"/>
      <c r="QPW2479" s="60"/>
      <c r="QPX2479" s="60"/>
      <c r="QPY2479" s="64"/>
      <c r="QPZ2479" s="61"/>
      <c r="QQA2479" s="54"/>
      <c r="QQB2479" s="54"/>
      <c r="QQC2479" s="60"/>
      <c r="QQD2479" s="60"/>
      <c r="QQE2479" s="60"/>
      <c r="QQF2479" s="60"/>
      <c r="QQG2479" s="64"/>
      <c r="QQH2479" s="61"/>
      <c r="QQI2479" s="54"/>
      <c r="QQJ2479" s="54"/>
      <c r="QQK2479" s="60"/>
      <c r="QQL2479" s="60"/>
      <c r="QQM2479" s="60"/>
      <c r="QQN2479" s="60"/>
      <c r="QQO2479" s="64"/>
      <c r="QQP2479" s="61"/>
      <c r="QQQ2479" s="54"/>
      <c r="QQR2479" s="54"/>
      <c r="QQS2479" s="60"/>
      <c r="QQT2479" s="60"/>
      <c r="QQU2479" s="60"/>
      <c r="QQV2479" s="60"/>
      <c r="QQW2479" s="64"/>
      <c r="QQX2479" s="61"/>
      <c r="QQY2479" s="54"/>
      <c r="QQZ2479" s="54"/>
      <c r="QRA2479" s="60"/>
      <c r="QRB2479" s="60"/>
      <c r="QRC2479" s="60"/>
      <c r="QRD2479" s="60"/>
      <c r="QRE2479" s="64"/>
      <c r="QRF2479" s="61"/>
      <c r="QRG2479" s="54"/>
      <c r="QRH2479" s="54"/>
      <c r="QRI2479" s="60"/>
      <c r="QRJ2479" s="60"/>
      <c r="QRK2479" s="60"/>
      <c r="QRL2479" s="60"/>
      <c r="QRM2479" s="64"/>
      <c r="QRN2479" s="61"/>
      <c r="QRO2479" s="54"/>
      <c r="QRP2479" s="54"/>
      <c r="QRQ2479" s="60"/>
      <c r="QRR2479" s="60"/>
      <c r="QRS2479" s="60"/>
      <c r="QRT2479" s="60"/>
      <c r="QRU2479" s="64"/>
      <c r="QRV2479" s="61"/>
      <c r="QRW2479" s="54"/>
      <c r="QRX2479" s="54"/>
      <c r="QRY2479" s="60"/>
      <c r="QRZ2479" s="60"/>
      <c r="QSA2479" s="60"/>
      <c r="QSB2479" s="60"/>
      <c r="QSC2479" s="64"/>
      <c r="QSD2479" s="61"/>
      <c r="QSE2479" s="54"/>
      <c r="QSF2479" s="54"/>
      <c r="QSG2479" s="60"/>
      <c r="QSH2479" s="60"/>
      <c r="QSI2479" s="60"/>
      <c r="QSJ2479" s="60"/>
      <c r="QSK2479" s="64"/>
      <c r="QSL2479" s="61"/>
      <c r="QSM2479" s="54"/>
      <c r="QSN2479" s="54"/>
      <c r="QSO2479" s="60"/>
      <c r="QSP2479" s="60"/>
      <c r="QSQ2479" s="60"/>
      <c r="QSR2479" s="60"/>
      <c r="QSS2479" s="64"/>
      <c r="QST2479" s="61"/>
      <c r="QSU2479" s="54"/>
      <c r="QSV2479" s="54"/>
      <c r="QSW2479" s="60"/>
      <c r="QSX2479" s="60"/>
      <c r="QSY2479" s="60"/>
      <c r="QSZ2479" s="60"/>
      <c r="QTA2479" s="64"/>
      <c r="QTB2479" s="61"/>
      <c r="QTC2479" s="54"/>
      <c r="QTD2479" s="54"/>
      <c r="QTE2479" s="60"/>
      <c r="QTF2479" s="60"/>
      <c r="QTG2479" s="60"/>
      <c r="QTH2479" s="60"/>
      <c r="QTI2479" s="64"/>
      <c r="QTJ2479" s="61"/>
      <c r="QTK2479" s="54"/>
      <c r="QTL2479" s="54"/>
      <c r="QTM2479" s="60"/>
      <c r="QTN2479" s="60"/>
      <c r="QTO2479" s="60"/>
      <c r="QTP2479" s="60"/>
      <c r="QTQ2479" s="64"/>
      <c r="QTR2479" s="61"/>
      <c r="QTS2479" s="54"/>
      <c r="QTT2479" s="54"/>
      <c r="QTU2479" s="60"/>
      <c r="QTV2479" s="60"/>
      <c r="QTW2479" s="60"/>
      <c r="QTX2479" s="60"/>
      <c r="QTY2479" s="64"/>
      <c r="QTZ2479" s="61"/>
      <c r="QUA2479" s="54"/>
      <c r="QUB2479" s="54"/>
      <c r="QUC2479" s="60"/>
      <c r="QUD2479" s="60"/>
      <c r="QUE2479" s="60"/>
      <c r="QUF2479" s="60"/>
      <c r="QUG2479" s="64"/>
      <c r="QUH2479" s="61"/>
      <c r="QUI2479" s="54"/>
      <c r="QUJ2479" s="54"/>
      <c r="QUK2479" s="60"/>
      <c r="QUL2479" s="60"/>
      <c r="QUM2479" s="60"/>
      <c r="QUN2479" s="60"/>
      <c r="QUO2479" s="64"/>
      <c r="QUP2479" s="61"/>
      <c r="QUQ2479" s="54"/>
      <c r="QUR2479" s="54"/>
      <c r="QUS2479" s="60"/>
      <c r="QUT2479" s="60"/>
      <c r="QUU2479" s="60"/>
      <c r="QUV2479" s="60"/>
      <c r="QUW2479" s="64"/>
      <c r="QUX2479" s="61"/>
      <c r="QUY2479" s="54"/>
      <c r="QUZ2479" s="54"/>
      <c r="QVA2479" s="60"/>
      <c r="QVB2479" s="60"/>
      <c r="QVC2479" s="60"/>
      <c r="QVD2479" s="60"/>
      <c r="QVE2479" s="64"/>
      <c r="QVF2479" s="61"/>
      <c r="QVG2479" s="54"/>
      <c r="QVH2479" s="54"/>
      <c r="QVI2479" s="60"/>
      <c r="QVJ2479" s="60"/>
      <c r="QVK2479" s="60"/>
      <c r="QVL2479" s="60"/>
      <c r="QVM2479" s="64"/>
      <c r="QVN2479" s="61"/>
      <c r="QVO2479" s="54"/>
      <c r="QVP2479" s="54"/>
      <c r="QVQ2479" s="60"/>
      <c r="QVR2479" s="60"/>
      <c r="QVS2479" s="60"/>
      <c r="QVT2479" s="60"/>
      <c r="QVU2479" s="64"/>
      <c r="QVV2479" s="61"/>
      <c r="QVW2479" s="54"/>
      <c r="QVX2479" s="54"/>
      <c r="QVY2479" s="60"/>
      <c r="QVZ2479" s="60"/>
      <c r="QWA2479" s="60"/>
      <c r="QWB2479" s="60"/>
      <c r="QWC2479" s="64"/>
      <c r="QWD2479" s="61"/>
      <c r="QWE2479" s="54"/>
      <c r="QWF2479" s="54"/>
      <c r="QWG2479" s="60"/>
      <c r="QWH2479" s="60"/>
      <c r="QWI2479" s="60"/>
      <c r="QWJ2479" s="60"/>
      <c r="QWK2479" s="64"/>
      <c r="QWL2479" s="61"/>
      <c r="QWM2479" s="54"/>
      <c r="QWN2479" s="54"/>
      <c r="QWO2479" s="60"/>
      <c r="QWP2479" s="60"/>
      <c r="QWQ2479" s="60"/>
      <c r="QWR2479" s="60"/>
      <c r="QWS2479" s="64"/>
      <c r="QWT2479" s="61"/>
      <c r="QWU2479" s="54"/>
      <c r="QWV2479" s="54"/>
      <c r="QWW2479" s="60"/>
      <c r="QWX2479" s="60"/>
      <c r="QWY2479" s="60"/>
      <c r="QWZ2479" s="60"/>
      <c r="QXA2479" s="64"/>
      <c r="QXB2479" s="61"/>
      <c r="QXC2479" s="54"/>
      <c r="QXD2479" s="54"/>
      <c r="QXE2479" s="60"/>
      <c r="QXF2479" s="60"/>
      <c r="QXG2479" s="60"/>
      <c r="QXH2479" s="60"/>
      <c r="QXI2479" s="64"/>
      <c r="QXJ2479" s="61"/>
      <c r="QXK2479" s="54"/>
      <c r="QXL2479" s="54"/>
      <c r="QXM2479" s="60"/>
      <c r="QXN2479" s="60"/>
      <c r="QXO2479" s="60"/>
      <c r="QXP2479" s="60"/>
      <c r="QXQ2479" s="64"/>
      <c r="QXR2479" s="61"/>
      <c r="QXS2479" s="54"/>
      <c r="QXT2479" s="54"/>
      <c r="QXU2479" s="60"/>
      <c r="QXV2479" s="60"/>
      <c r="QXW2479" s="60"/>
      <c r="QXX2479" s="60"/>
      <c r="QXY2479" s="64"/>
      <c r="QXZ2479" s="61"/>
      <c r="QYA2479" s="54"/>
      <c r="QYB2479" s="54"/>
      <c r="QYC2479" s="60"/>
      <c r="QYD2479" s="60"/>
      <c r="QYE2479" s="60"/>
      <c r="QYF2479" s="60"/>
      <c r="QYG2479" s="64"/>
      <c r="QYH2479" s="61"/>
      <c r="QYI2479" s="54"/>
      <c r="QYJ2479" s="54"/>
      <c r="QYK2479" s="60"/>
      <c r="QYL2479" s="60"/>
      <c r="QYM2479" s="60"/>
      <c r="QYN2479" s="60"/>
      <c r="QYO2479" s="64"/>
      <c r="QYP2479" s="61"/>
      <c r="QYQ2479" s="54"/>
      <c r="QYR2479" s="54"/>
      <c r="QYS2479" s="60"/>
      <c r="QYT2479" s="60"/>
      <c r="QYU2479" s="60"/>
      <c r="QYV2479" s="60"/>
      <c r="QYW2479" s="64"/>
      <c r="QYX2479" s="61"/>
      <c r="QYY2479" s="54"/>
      <c r="QYZ2479" s="54"/>
      <c r="QZA2479" s="60"/>
      <c r="QZB2479" s="60"/>
      <c r="QZC2479" s="60"/>
      <c r="QZD2479" s="60"/>
      <c r="QZE2479" s="64"/>
      <c r="QZF2479" s="61"/>
      <c r="QZG2479" s="54"/>
      <c r="QZH2479" s="54"/>
      <c r="QZI2479" s="60"/>
      <c r="QZJ2479" s="60"/>
      <c r="QZK2479" s="60"/>
      <c r="QZL2479" s="60"/>
      <c r="QZM2479" s="64"/>
      <c r="QZN2479" s="61"/>
      <c r="QZO2479" s="54"/>
      <c r="QZP2479" s="54"/>
      <c r="QZQ2479" s="60"/>
      <c r="QZR2479" s="60"/>
      <c r="QZS2479" s="60"/>
      <c r="QZT2479" s="60"/>
      <c r="QZU2479" s="64"/>
      <c r="QZV2479" s="61"/>
      <c r="QZW2479" s="54"/>
      <c r="QZX2479" s="54"/>
      <c r="QZY2479" s="60"/>
      <c r="QZZ2479" s="60"/>
      <c r="RAA2479" s="60"/>
      <c r="RAB2479" s="60"/>
      <c r="RAC2479" s="64"/>
      <c r="RAD2479" s="61"/>
      <c r="RAE2479" s="54"/>
      <c r="RAF2479" s="54"/>
      <c r="RAG2479" s="60"/>
      <c r="RAH2479" s="60"/>
      <c r="RAI2479" s="60"/>
      <c r="RAJ2479" s="60"/>
      <c r="RAK2479" s="64"/>
      <c r="RAL2479" s="61"/>
      <c r="RAM2479" s="54"/>
      <c r="RAN2479" s="54"/>
      <c r="RAO2479" s="60"/>
      <c r="RAP2479" s="60"/>
      <c r="RAQ2479" s="60"/>
      <c r="RAR2479" s="60"/>
      <c r="RAS2479" s="64"/>
      <c r="RAT2479" s="61"/>
      <c r="RAU2479" s="54"/>
      <c r="RAV2479" s="54"/>
      <c r="RAW2479" s="60"/>
      <c r="RAX2479" s="60"/>
      <c r="RAY2479" s="60"/>
      <c r="RAZ2479" s="60"/>
      <c r="RBA2479" s="64"/>
      <c r="RBB2479" s="61"/>
      <c r="RBC2479" s="54"/>
      <c r="RBD2479" s="54"/>
      <c r="RBE2479" s="60"/>
      <c r="RBF2479" s="60"/>
      <c r="RBG2479" s="60"/>
      <c r="RBH2479" s="60"/>
      <c r="RBI2479" s="64"/>
      <c r="RBJ2479" s="61"/>
      <c r="RBK2479" s="54"/>
      <c r="RBL2479" s="54"/>
      <c r="RBM2479" s="60"/>
      <c r="RBN2479" s="60"/>
      <c r="RBO2479" s="60"/>
      <c r="RBP2479" s="60"/>
      <c r="RBQ2479" s="64"/>
      <c r="RBR2479" s="61"/>
      <c r="RBS2479" s="54"/>
      <c r="RBT2479" s="54"/>
      <c r="RBU2479" s="60"/>
      <c r="RBV2479" s="60"/>
      <c r="RBW2479" s="60"/>
      <c r="RBX2479" s="60"/>
      <c r="RBY2479" s="64"/>
      <c r="RBZ2479" s="61"/>
      <c r="RCA2479" s="54"/>
      <c r="RCB2479" s="54"/>
      <c r="RCC2479" s="60"/>
      <c r="RCD2479" s="60"/>
      <c r="RCE2479" s="60"/>
      <c r="RCF2479" s="60"/>
      <c r="RCG2479" s="64"/>
      <c r="RCH2479" s="61"/>
      <c r="RCI2479" s="54"/>
      <c r="RCJ2479" s="54"/>
      <c r="RCK2479" s="60"/>
      <c r="RCL2479" s="60"/>
      <c r="RCM2479" s="60"/>
      <c r="RCN2479" s="60"/>
      <c r="RCO2479" s="64"/>
      <c r="RCP2479" s="61"/>
      <c r="RCQ2479" s="54"/>
      <c r="RCR2479" s="54"/>
      <c r="RCS2479" s="60"/>
      <c r="RCT2479" s="60"/>
      <c r="RCU2479" s="60"/>
      <c r="RCV2479" s="60"/>
      <c r="RCW2479" s="64"/>
      <c r="RCX2479" s="61"/>
      <c r="RCY2479" s="54"/>
      <c r="RCZ2479" s="54"/>
      <c r="RDA2479" s="60"/>
      <c r="RDB2479" s="60"/>
      <c r="RDC2479" s="60"/>
      <c r="RDD2479" s="60"/>
      <c r="RDE2479" s="64"/>
      <c r="RDF2479" s="61"/>
      <c r="RDG2479" s="54"/>
      <c r="RDH2479" s="54"/>
      <c r="RDI2479" s="60"/>
      <c r="RDJ2479" s="60"/>
      <c r="RDK2479" s="60"/>
      <c r="RDL2479" s="60"/>
      <c r="RDM2479" s="64"/>
      <c r="RDN2479" s="61"/>
      <c r="RDO2479" s="54"/>
      <c r="RDP2479" s="54"/>
      <c r="RDQ2479" s="60"/>
      <c r="RDR2479" s="60"/>
      <c r="RDS2479" s="60"/>
      <c r="RDT2479" s="60"/>
      <c r="RDU2479" s="64"/>
      <c r="RDV2479" s="61"/>
      <c r="RDW2479" s="54"/>
      <c r="RDX2479" s="54"/>
      <c r="RDY2479" s="60"/>
      <c r="RDZ2479" s="60"/>
      <c r="REA2479" s="60"/>
      <c r="REB2479" s="60"/>
      <c r="REC2479" s="64"/>
      <c r="RED2479" s="61"/>
      <c r="REE2479" s="54"/>
      <c r="REF2479" s="54"/>
      <c r="REG2479" s="60"/>
      <c r="REH2479" s="60"/>
      <c r="REI2479" s="60"/>
      <c r="REJ2479" s="60"/>
      <c r="REK2479" s="64"/>
      <c r="REL2479" s="61"/>
      <c r="REM2479" s="54"/>
      <c r="REN2479" s="54"/>
      <c r="REO2479" s="60"/>
      <c r="REP2479" s="60"/>
      <c r="REQ2479" s="60"/>
      <c r="RER2479" s="60"/>
      <c r="RES2479" s="64"/>
      <c r="RET2479" s="61"/>
      <c r="REU2479" s="54"/>
      <c r="REV2479" s="54"/>
      <c r="REW2479" s="60"/>
      <c r="REX2479" s="60"/>
      <c r="REY2479" s="60"/>
      <c r="REZ2479" s="60"/>
      <c r="RFA2479" s="64"/>
      <c r="RFB2479" s="61"/>
      <c r="RFC2479" s="54"/>
      <c r="RFD2479" s="54"/>
      <c r="RFE2479" s="60"/>
      <c r="RFF2479" s="60"/>
      <c r="RFG2479" s="60"/>
      <c r="RFH2479" s="60"/>
      <c r="RFI2479" s="64"/>
      <c r="RFJ2479" s="61"/>
      <c r="RFK2479" s="54"/>
      <c r="RFL2479" s="54"/>
      <c r="RFM2479" s="60"/>
      <c r="RFN2479" s="60"/>
      <c r="RFO2479" s="60"/>
      <c r="RFP2479" s="60"/>
      <c r="RFQ2479" s="64"/>
      <c r="RFR2479" s="61"/>
      <c r="RFS2479" s="54"/>
      <c r="RFT2479" s="54"/>
      <c r="RFU2479" s="60"/>
      <c r="RFV2479" s="60"/>
      <c r="RFW2479" s="60"/>
      <c r="RFX2479" s="60"/>
      <c r="RFY2479" s="64"/>
      <c r="RFZ2479" s="61"/>
      <c r="RGA2479" s="54"/>
      <c r="RGB2479" s="54"/>
      <c r="RGC2479" s="60"/>
      <c r="RGD2479" s="60"/>
      <c r="RGE2479" s="60"/>
      <c r="RGF2479" s="60"/>
      <c r="RGG2479" s="64"/>
      <c r="RGH2479" s="61"/>
      <c r="RGI2479" s="54"/>
      <c r="RGJ2479" s="54"/>
      <c r="RGK2479" s="60"/>
      <c r="RGL2479" s="60"/>
      <c r="RGM2479" s="60"/>
      <c r="RGN2479" s="60"/>
      <c r="RGO2479" s="64"/>
      <c r="RGP2479" s="61"/>
      <c r="RGQ2479" s="54"/>
      <c r="RGR2479" s="54"/>
      <c r="RGS2479" s="60"/>
      <c r="RGT2479" s="60"/>
      <c r="RGU2479" s="60"/>
      <c r="RGV2479" s="60"/>
      <c r="RGW2479" s="64"/>
      <c r="RGX2479" s="61"/>
      <c r="RGY2479" s="54"/>
      <c r="RGZ2479" s="54"/>
      <c r="RHA2479" s="60"/>
      <c r="RHB2479" s="60"/>
      <c r="RHC2479" s="60"/>
      <c r="RHD2479" s="60"/>
      <c r="RHE2479" s="64"/>
      <c r="RHF2479" s="61"/>
      <c r="RHG2479" s="54"/>
      <c r="RHH2479" s="54"/>
      <c r="RHI2479" s="60"/>
      <c r="RHJ2479" s="60"/>
      <c r="RHK2479" s="60"/>
      <c r="RHL2479" s="60"/>
      <c r="RHM2479" s="64"/>
      <c r="RHN2479" s="61"/>
      <c r="RHO2479" s="54"/>
      <c r="RHP2479" s="54"/>
      <c r="RHQ2479" s="60"/>
      <c r="RHR2479" s="60"/>
      <c r="RHS2479" s="60"/>
      <c r="RHT2479" s="60"/>
      <c r="RHU2479" s="64"/>
      <c r="RHV2479" s="61"/>
      <c r="RHW2479" s="54"/>
      <c r="RHX2479" s="54"/>
      <c r="RHY2479" s="60"/>
      <c r="RHZ2479" s="60"/>
      <c r="RIA2479" s="60"/>
      <c r="RIB2479" s="60"/>
      <c r="RIC2479" s="64"/>
      <c r="RID2479" s="61"/>
      <c r="RIE2479" s="54"/>
      <c r="RIF2479" s="54"/>
      <c r="RIG2479" s="60"/>
      <c r="RIH2479" s="60"/>
      <c r="RII2479" s="60"/>
      <c r="RIJ2479" s="60"/>
      <c r="RIK2479" s="64"/>
      <c r="RIL2479" s="61"/>
      <c r="RIM2479" s="54"/>
      <c r="RIN2479" s="54"/>
      <c r="RIO2479" s="60"/>
      <c r="RIP2479" s="60"/>
      <c r="RIQ2479" s="60"/>
      <c r="RIR2479" s="60"/>
      <c r="RIS2479" s="64"/>
      <c r="RIT2479" s="61"/>
      <c r="RIU2479" s="54"/>
      <c r="RIV2479" s="54"/>
      <c r="RIW2479" s="60"/>
      <c r="RIX2479" s="60"/>
      <c r="RIY2479" s="60"/>
      <c r="RIZ2479" s="60"/>
      <c r="RJA2479" s="64"/>
      <c r="RJB2479" s="61"/>
      <c r="RJC2479" s="54"/>
      <c r="RJD2479" s="54"/>
      <c r="RJE2479" s="60"/>
      <c r="RJF2479" s="60"/>
      <c r="RJG2479" s="60"/>
      <c r="RJH2479" s="60"/>
      <c r="RJI2479" s="64"/>
      <c r="RJJ2479" s="61"/>
      <c r="RJK2479" s="54"/>
      <c r="RJL2479" s="54"/>
      <c r="RJM2479" s="60"/>
      <c r="RJN2479" s="60"/>
      <c r="RJO2479" s="60"/>
      <c r="RJP2479" s="60"/>
      <c r="RJQ2479" s="64"/>
      <c r="RJR2479" s="61"/>
      <c r="RJS2479" s="54"/>
      <c r="RJT2479" s="54"/>
      <c r="RJU2479" s="60"/>
      <c r="RJV2479" s="60"/>
      <c r="RJW2479" s="60"/>
      <c r="RJX2479" s="60"/>
      <c r="RJY2479" s="64"/>
      <c r="RJZ2479" s="61"/>
      <c r="RKA2479" s="54"/>
      <c r="RKB2479" s="54"/>
      <c r="RKC2479" s="60"/>
      <c r="RKD2479" s="60"/>
      <c r="RKE2479" s="60"/>
      <c r="RKF2479" s="60"/>
      <c r="RKG2479" s="64"/>
      <c r="RKH2479" s="61"/>
      <c r="RKI2479" s="54"/>
      <c r="RKJ2479" s="54"/>
      <c r="RKK2479" s="60"/>
      <c r="RKL2479" s="60"/>
      <c r="RKM2479" s="60"/>
      <c r="RKN2479" s="60"/>
      <c r="RKO2479" s="64"/>
      <c r="RKP2479" s="61"/>
      <c r="RKQ2479" s="54"/>
      <c r="RKR2479" s="54"/>
      <c r="RKS2479" s="60"/>
      <c r="RKT2479" s="60"/>
      <c r="RKU2479" s="60"/>
      <c r="RKV2479" s="60"/>
      <c r="RKW2479" s="64"/>
      <c r="RKX2479" s="61"/>
      <c r="RKY2479" s="54"/>
      <c r="RKZ2479" s="54"/>
      <c r="RLA2479" s="60"/>
      <c r="RLB2479" s="60"/>
      <c r="RLC2479" s="60"/>
      <c r="RLD2479" s="60"/>
      <c r="RLE2479" s="64"/>
      <c r="RLF2479" s="61"/>
      <c r="RLG2479" s="54"/>
      <c r="RLH2479" s="54"/>
      <c r="RLI2479" s="60"/>
      <c r="RLJ2479" s="60"/>
      <c r="RLK2479" s="60"/>
      <c r="RLL2479" s="60"/>
      <c r="RLM2479" s="64"/>
      <c r="RLN2479" s="61"/>
      <c r="RLO2479" s="54"/>
      <c r="RLP2479" s="54"/>
      <c r="RLQ2479" s="60"/>
      <c r="RLR2479" s="60"/>
      <c r="RLS2479" s="60"/>
      <c r="RLT2479" s="60"/>
      <c r="RLU2479" s="64"/>
      <c r="RLV2479" s="61"/>
      <c r="RLW2479" s="54"/>
      <c r="RLX2479" s="54"/>
      <c r="RLY2479" s="60"/>
      <c r="RLZ2479" s="60"/>
      <c r="RMA2479" s="60"/>
      <c r="RMB2479" s="60"/>
      <c r="RMC2479" s="64"/>
      <c r="RMD2479" s="61"/>
      <c r="RME2479" s="54"/>
      <c r="RMF2479" s="54"/>
      <c r="RMG2479" s="60"/>
      <c r="RMH2479" s="60"/>
      <c r="RMI2479" s="60"/>
      <c r="RMJ2479" s="60"/>
      <c r="RMK2479" s="64"/>
      <c r="RML2479" s="61"/>
      <c r="RMM2479" s="54"/>
      <c r="RMN2479" s="54"/>
      <c r="RMO2479" s="60"/>
      <c r="RMP2479" s="60"/>
      <c r="RMQ2479" s="60"/>
      <c r="RMR2479" s="60"/>
      <c r="RMS2479" s="64"/>
      <c r="RMT2479" s="61"/>
      <c r="RMU2479" s="54"/>
      <c r="RMV2479" s="54"/>
      <c r="RMW2479" s="60"/>
      <c r="RMX2479" s="60"/>
      <c r="RMY2479" s="60"/>
      <c r="RMZ2479" s="60"/>
      <c r="RNA2479" s="64"/>
      <c r="RNB2479" s="61"/>
      <c r="RNC2479" s="54"/>
      <c r="RND2479" s="54"/>
      <c r="RNE2479" s="60"/>
      <c r="RNF2479" s="60"/>
      <c r="RNG2479" s="60"/>
      <c r="RNH2479" s="60"/>
      <c r="RNI2479" s="64"/>
      <c r="RNJ2479" s="61"/>
      <c r="RNK2479" s="54"/>
      <c r="RNL2479" s="54"/>
      <c r="RNM2479" s="60"/>
      <c r="RNN2479" s="60"/>
      <c r="RNO2479" s="60"/>
      <c r="RNP2479" s="60"/>
      <c r="RNQ2479" s="64"/>
      <c r="RNR2479" s="61"/>
      <c r="RNS2479" s="54"/>
      <c r="RNT2479" s="54"/>
      <c r="RNU2479" s="60"/>
      <c r="RNV2479" s="60"/>
      <c r="RNW2479" s="60"/>
      <c r="RNX2479" s="60"/>
      <c r="RNY2479" s="64"/>
      <c r="RNZ2479" s="61"/>
      <c r="ROA2479" s="54"/>
      <c r="ROB2479" s="54"/>
      <c r="ROC2479" s="60"/>
      <c r="ROD2479" s="60"/>
      <c r="ROE2479" s="60"/>
      <c r="ROF2479" s="60"/>
      <c r="ROG2479" s="64"/>
      <c r="ROH2479" s="61"/>
      <c r="ROI2479" s="54"/>
      <c r="ROJ2479" s="54"/>
      <c r="ROK2479" s="60"/>
      <c r="ROL2479" s="60"/>
      <c r="ROM2479" s="60"/>
      <c r="RON2479" s="60"/>
      <c r="ROO2479" s="64"/>
      <c r="ROP2479" s="61"/>
      <c r="ROQ2479" s="54"/>
      <c r="ROR2479" s="54"/>
      <c r="ROS2479" s="60"/>
      <c r="ROT2479" s="60"/>
      <c r="ROU2479" s="60"/>
      <c r="ROV2479" s="60"/>
      <c r="ROW2479" s="64"/>
      <c r="ROX2479" s="61"/>
      <c r="ROY2479" s="54"/>
      <c r="ROZ2479" s="54"/>
      <c r="RPA2479" s="60"/>
      <c r="RPB2479" s="60"/>
      <c r="RPC2479" s="60"/>
      <c r="RPD2479" s="60"/>
      <c r="RPE2479" s="64"/>
      <c r="RPF2479" s="61"/>
      <c r="RPG2479" s="54"/>
      <c r="RPH2479" s="54"/>
      <c r="RPI2479" s="60"/>
      <c r="RPJ2479" s="60"/>
      <c r="RPK2479" s="60"/>
      <c r="RPL2479" s="60"/>
      <c r="RPM2479" s="64"/>
      <c r="RPN2479" s="61"/>
      <c r="RPO2479" s="54"/>
      <c r="RPP2479" s="54"/>
      <c r="RPQ2479" s="60"/>
      <c r="RPR2479" s="60"/>
      <c r="RPS2479" s="60"/>
      <c r="RPT2479" s="60"/>
      <c r="RPU2479" s="64"/>
      <c r="RPV2479" s="61"/>
      <c r="RPW2479" s="54"/>
      <c r="RPX2479" s="54"/>
      <c r="RPY2479" s="60"/>
      <c r="RPZ2479" s="60"/>
      <c r="RQA2479" s="60"/>
      <c r="RQB2479" s="60"/>
      <c r="RQC2479" s="64"/>
      <c r="RQD2479" s="61"/>
      <c r="RQE2479" s="54"/>
      <c r="RQF2479" s="54"/>
      <c r="RQG2479" s="60"/>
      <c r="RQH2479" s="60"/>
      <c r="RQI2479" s="60"/>
      <c r="RQJ2479" s="60"/>
      <c r="RQK2479" s="64"/>
      <c r="RQL2479" s="61"/>
      <c r="RQM2479" s="54"/>
      <c r="RQN2479" s="54"/>
      <c r="RQO2479" s="60"/>
      <c r="RQP2479" s="60"/>
      <c r="RQQ2479" s="60"/>
      <c r="RQR2479" s="60"/>
      <c r="RQS2479" s="64"/>
      <c r="RQT2479" s="61"/>
      <c r="RQU2479" s="54"/>
      <c r="RQV2479" s="54"/>
      <c r="RQW2479" s="60"/>
      <c r="RQX2479" s="60"/>
      <c r="RQY2479" s="60"/>
      <c r="RQZ2479" s="60"/>
      <c r="RRA2479" s="64"/>
      <c r="RRB2479" s="61"/>
      <c r="RRC2479" s="54"/>
      <c r="RRD2479" s="54"/>
      <c r="RRE2479" s="60"/>
      <c r="RRF2479" s="60"/>
      <c r="RRG2479" s="60"/>
      <c r="RRH2479" s="60"/>
      <c r="RRI2479" s="64"/>
      <c r="RRJ2479" s="61"/>
      <c r="RRK2479" s="54"/>
      <c r="RRL2479" s="54"/>
      <c r="RRM2479" s="60"/>
      <c r="RRN2479" s="60"/>
      <c r="RRO2479" s="60"/>
      <c r="RRP2479" s="60"/>
      <c r="RRQ2479" s="64"/>
      <c r="RRR2479" s="61"/>
      <c r="RRS2479" s="54"/>
      <c r="RRT2479" s="54"/>
      <c r="RRU2479" s="60"/>
      <c r="RRV2479" s="60"/>
      <c r="RRW2479" s="60"/>
      <c r="RRX2479" s="60"/>
      <c r="RRY2479" s="64"/>
      <c r="RRZ2479" s="61"/>
      <c r="RSA2479" s="54"/>
      <c r="RSB2479" s="54"/>
      <c r="RSC2479" s="60"/>
      <c r="RSD2479" s="60"/>
      <c r="RSE2479" s="60"/>
      <c r="RSF2479" s="60"/>
      <c r="RSG2479" s="64"/>
      <c r="RSH2479" s="61"/>
      <c r="RSI2479" s="54"/>
      <c r="RSJ2479" s="54"/>
      <c r="RSK2479" s="60"/>
      <c r="RSL2479" s="60"/>
      <c r="RSM2479" s="60"/>
      <c r="RSN2479" s="60"/>
      <c r="RSO2479" s="64"/>
      <c r="RSP2479" s="61"/>
      <c r="RSQ2479" s="54"/>
      <c r="RSR2479" s="54"/>
      <c r="RSS2479" s="60"/>
      <c r="RST2479" s="60"/>
      <c r="RSU2479" s="60"/>
      <c r="RSV2479" s="60"/>
      <c r="RSW2479" s="64"/>
      <c r="RSX2479" s="61"/>
      <c r="RSY2479" s="54"/>
      <c r="RSZ2479" s="54"/>
      <c r="RTA2479" s="60"/>
      <c r="RTB2479" s="60"/>
      <c r="RTC2479" s="60"/>
      <c r="RTD2479" s="60"/>
      <c r="RTE2479" s="64"/>
      <c r="RTF2479" s="61"/>
      <c r="RTG2479" s="54"/>
      <c r="RTH2479" s="54"/>
      <c r="RTI2479" s="60"/>
      <c r="RTJ2479" s="60"/>
      <c r="RTK2479" s="60"/>
      <c r="RTL2479" s="60"/>
      <c r="RTM2479" s="64"/>
      <c r="RTN2479" s="61"/>
      <c r="RTO2479" s="54"/>
      <c r="RTP2479" s="54"/>
      <c r="RTQ2479" s="60"/>
      <c r="RTR2479" s="60"/>
      <c r="RTS2479" s="60"/>
      <c r="RTT2479" s="60"/>
      <c r="RTU2479" s="64"/>
      <c r="RTV2479" s="61"/>
      <c r="RTW2479" s="54"/>
      <c r="RTX2479" s="54"/>
      <c r="RTY2479" s="60"/>
      <c r="RTZ2479" s="60"/>
      <c r="RUA2479" s="60"/>
      <c r="RUB2479" s="60"/>
      <c r="RUC2479" s="64"/>
      <c r="RUD2479" s="61"/>
      <c r="RUE2479" s="54"/>
      <c r="RUF2479" s="54"/>
      <c r="RUG2479" s="60"/>
      <c r="RUH2479" s="60"/>
      <c r="RUI2479" s="60"/>
      <c r="RUJ2479" s="60"/>
      <c r="RUK2479" s="64"/>
      <c r="RUL2479" s="61"/>
      <c r="RUM2479" s="54"/>
      <c r="RUN2479" s="54"/>
      <c r="RUO2479" s="60"/>
      <c r="RUP2479" s="60"/>
      <c r="RUQ2479" s="60"/>
      <c r="RUR2479" s="60"/>
      <c r="RUS2479" s="64"/>
      <c r="RUT2479" s="61"/>
      <c r="RUU2479" s="54"/>
      <c r="RUV2479" s="54"/>
      <c r="RUW2479" s="60"/>
      <c r="RUX2479" s="60"/>
      <c r="RUY2479" s="60"/>
      <c r="RUZ2479" s="60"/>
      <c r="RVA2479" s="64"/>
      <c r="RVB2479" s="61"/>
      <c r="RVC2479" s="54"/>
      <c r="RVD2479" s="54"/>
      <c r="RVE2479" s="60"/>
      <c r="RVF2479" s="60"/>
      <c r="RVG2479" s="60"/>
      <c r="RVH2479" s="60"/>
      <c r="RVI2479" s="64"/>
      <c r="RVJ2479" s="61"/>
      <c r="RVK2479" s="54"/>
      <c r="RVL2479" s="54"/>
      <c r="RVM2479" s="60"/>
      <c r="RVN2479" s="60"/>
      <c r="RVO2479" s="60"/>
      <c r="RVP2479" s="60"/>
      <c r="RVQ2479" s="64"/>
      <c r="RVR2479" s="61"/>
      <c r="RVS2479" s="54"/>
      <c r="RVT2479" s="54"/>
      <c r="RVU2479" s="60"/>
      <c r="RVV2479" s="60"/>
      <c r="RVW2479" s="60"/>
      <c r="RVX2479" s="60"/>
      <c r="RVY2479" s="64"/>
      <c r="RVZ2479" s="61"/>
      <c r="RWA2479" s="54"/>
      <c r="RWB2479" s="54"/>
      <c r="RWC2479" s="60"/>
      <c r="RWD2479" s="60"/>
      <c r="RWE2479" s="60"/>
      <c r="RWF2479" s="60"/>
      <c r="RWG2479" s="64"/>
      <c r="RWH2479" s="61"/>
      <c r="RWI2479" s="54"/>
      <c r="RWJ2479" s="54"/>
      <c r="RWK2479" s="60"/>
      <c r="RWL2479" s="60"/>
      <c r="RWM2479" s="60"/>
      <c r="RWN2479" s="60"/>
      <c r="RWO2479" s="64"/>
      <c r="RWP2479" s="61"/>
      <c r="RWQ2479" s="54"/>
      <c r="RWR2479" s="54"/>
      <c r="RWS2479" s="60"/>
      <c r="RWT2479" s="60"/>
      <c r="RWU2479" s="60"/>
      <c r="RWV2479" s="60"/>
      <c r="RWW2479" s="64"/>
      <c r="RWX2479" s="61"/>
      <c r="RWY2479" s="54"/>
      <c r="RWZ2479" s="54"/>
      <c r="RXA2479" s="60"/>
      <c r="RXB2479" s="60"/>
      <c r="RXC2479" s="60"/>
      <c r="RXD2479" s="60"/>
      <c r="RXE2479" s="64"/>
      <c r="RXF2479" s="61"/>
      <c r="RXG2479" s="54"/>
      <c r="RXH2479" s="54"/>
      <c r="RXI2479" s="60"/>
      <c r="RXJ2479" s="60"/>
      <c r="RXK2479" s="60"/>
      <c r="RXL2479" s="60"/>
      <c r="RXM2479" s="64"/>
      <c r="RXN2479" s="61"/>
      <c r="RXO2479" s="54"/>
      <c r="RXP2479" s="54"/>
      <c r="RXQ2479" s="60"/>
      <c r="RXR2479" s="60"/>
      <c r="RXS2479" s="60"/>
      <c r="RXT2479" s="60"/>
      <c r="RXU2479" s="64"/>
      <c r="RXV2479" s="61"/>
      <c r="RXW2479" s="54"/>
      <c r="RXX2479" s="54"/>
      <c r="RXY2479" s="60"/>
      <c r="RXZ2479" s="60"/>
      <c r="RYA2479" s="60"/>
      <c r="RYB2479" s="60"/>
      <c r="RYC2479" s="64"/>
      <c r="RYD2479" s="61"/>
      <c r="RYE2479" s="54"/>
      <c r="RYF2479" s="54"/>
      <c r="RYG2479" s="60"/>
      <c r="RYH2479" s="60"/>
      <c r="RYI2479" s="60"/>
      <c r="RYJ2479" s="60"/>
      <c r="RYK2479" s="64"/>
      <c r="RYL2479" s="61"/>
      <c r="RYM2479" s="54"/>
      <c r="RYN2479" s="54"/>
      <c r="RYO2479" s="60"/>
      <c r="RYP2479" s="60"/>
      <c r="RYQ2479" s="60"/>
      <c r="RYR2479" s="60"/>
      <c r="RYS2479" s="64"/>
      <c r="RYT2479" s="61"/>
      <c r="RYU2479" s="54"/>
      <c r="RYV2479" s="54"/>
      <c r="RYW2479" s="60"/>
      <c r="RYX2479" s="60"/>
      <c r="RYY2479" s="60"/>
      <c r="RYZ2479" s="60"/>
      <c r="RZA2479" s="64"/>
      <c r="RZB2479" s="61"/>
      <c r="RZC2479" s="54"/>
      <c r="RZD2479" s="54"/>
      <c r="RZE2479" s="60"/>
      <c r="RZF2479" s="60"/>
      <c r="RZG2479" s="60"/>
      <c r="RZH2479" s="60"/>
      <c r="RZI2479" s="64"/>
      <c r="RZJ2479" s="61"/>
      <c r="RZK2479" s="54"/>
      <c r="RZL2479" s="54"/>
      <c r="RZM2479" s="60"/>
      <c r="RZN2479" s="60"/>
      <c r="RZO2479" s="60"/>
      <c r="RZP2479" s="60"/>
      <c r="RZQ2479" s="64"/>
      <c r="RZR2479" s="61"/>
      <c r="RZS2479" s="54"/>
      <c r="RZT2479" s="54"/>
      <c r="RZU2479" s="60"/>
      <c r="RZV2479" s="60"/>
      <c r="RZW2479" s="60"/>
      <c r="RZX2479" s="60"/>
      <c r="RZY2479" s="64"/>
      <c r="RZZ2479" s="61"/>
      <c r="SAA2479" s="54"/>
      <c r="SAB2479" s="54"/>
      <c r="SAC2479" s="60"/>
      <c r="SAD2479" s="60"/>
      <c r="SAE2479" s="60"/>
      <c r="SAF2479" s="60"/>
      <c r="SAG2479" s="64"/>
      <c r="SAH2479" s="61"/>
      <c r="SAI2479" s="54"/>
      <c r="SAJ2479" s="54"/>
      <c r="SAK2479" s="60"/>
      <c r="SAL2479" s="60"/>
      <c r="SAM2479" s="60"/>
      <c r="SAN2479" s="60"/>
      <c r="SAO2479" s="64"/>
      <c r="SAP2479" s="61"/>
      <c r="SAQ2479" s="54"/>
      <c r="SAR2479" s="54"/>
      <c r="SAS2479" s="60"/>
      <c r="SAT2479" s="60"/>
      <c r="SAU2479" s="60"/>
      <c r="SAV2479" s="60"/>
      <c r="SAW2479" s="64"/>
      <c r="SAX2479" s="61"/>
      <c r="SAY2479" s="54"/>
      <c r="SAZ2479" s="54"/>
      <c r="SBA2479" s="60"/>
      <c r="SBB2479" s="60"/>
      <c r="SBC2479" s="60"/>
      <c r="SBD2479" s="60"/>
      <c r="SBE2479" s="64"/>
      <c r="SBF2479" s="61"/>
      <c r="SBG2479" s="54"/>
      <c r="SBH2479" s="54"/>
      <c r="SBI2479" s="60"/>
      <c r="SBJ2479" s="60"/>
      <c r="SBK2479" s="60"/>
      <c r="SBL2479" s="60"/>
      <c r="SBM2479" s="64"/>
      <c r="SBN2479" s="61"/>
      <c r="SBO2479" s="54"/>
      <c r="SBP2479" s="54"/>
      <c r="SBQ2479" s="60"/>
      <c r="SBR2479" s="60"/>
      <c r="SBS2479" s="60"/>
      <c r="SBT2479" s="60"/>
      <c r="SBU2479" s="64"/>
      <c r="SBV2479" s="61"/>
      <c r="SBW2479" s="54"/>
      <c r="SBX2479" s="54"/>
      <c r="SBY2479" s="60"/>
      <c r="SBZ2479" s="60"/>
      <c r="SCA2479" s="60"/>
      <c r="SCB2479" s="60"/>
      <c r="SCC2479" s="64"/>
      <c r="SCD2479" s="61"/>
      <c r="SCE2479" s="54"/>
      <c r="SCF2479" s="54"/>
      <c r="SCG2479" s="60"/>
      <c r="SCH2479" s="60"/>
      <c r="SCI2479" s="60"/>
      <c r="SCJ2479" s="60"/>
      <c r="SCK2479" s="64"/>
      <c r="SCL2479" s="61"/>
      <c r="SCM2479" s="54"/>
      <c r="SCN2479" s="54"/>
      <c r="SCO2479" s="60"/>
      <c r="SCP2479" s="60"/>
      <c r="SCQ2479" s="60"/>
      <c r="SCR2479" s="60"/>
      <c r="SCS2479" s="64"/>
      <c r="SCT2479" s="61"/>
      <c r="SCU2479" s="54"/>
      <c r="SCV2479" s="54"/>
      <c r="SCW2479" s="60"/>
      <c r="SCX2479" s="60"/>
      <c r="SCY2479" s="60"/>
      <c r="SCZ2479" s="60"/>
      <c r="SDA2479" s="64"/>
      <c r="SDB2479" s="61"/>
      <c r="SDC2479" s="54"/>
      <c r="SDD2479" s="54"/>
      <c r="SDE2479" s="60"/>
      <c r="SDF2479" s="60"/>
      <c r="SDG2479" s="60"/>
      <c r="SDH2479" s="60"/>
      <c r="SDI2479" s="64"/>
      <c r="SDJ2479" s="61"/>
      <c r="SDK2479" s="54"/>
      <c r="SDL2479" s="54"/>
      <c r="SDM2479" s="60"/>
      <c r="SDN2479" s="60"/>
      <c r="SDO2479" s="60"/>
      <c r="SDP2479" s="60"/>
      <c r="SDQ2479" s="64"/>
      <c r="SDR2479" s="61"/>
      <c r="SDS2479" s="54"/>
      <c r="SDT2479" s="54"/>
      <c r="SDU2479" s="60"/>
      <c r="SDV2479" s="60"/>
      <c r="SDW2479" s="60"/>
      <c r="SDX2479" s="60"/>
      <c r="SDY2479" s="64"/>
      <c r="SDZ2479" s="61"/>
      <c r="SEA2479" s="54"/>
      <c r="SEB2479" s="54"/>
      <c r="SEC2479" s="60"/>
      <c r="SED2479" s="60"/>
      <c r="SEE2479" s="60"/>
      <c r="SEF2479" s="60"/>
      <c r="SEG2479" s="64"/>
      <c r="SEH2479" s="61"/>
      <c r="SEI2479" s="54"/>
      <c r="SEJ2479" s="54"/>
      <c r="SEK2479" s="60"/>
      <c r="SEL2479" s="60"/>
      <c r="SEM2479" s="60"/>
      <c r="SEN2479" s="60"/>
      <c r="SEO2479" s="64"/>
      <c r="SEP2479" s="61"/>
      <c r="SEQ2479" s="54"/>
      <c r="SER2479" s="54"/>
      <c r="SES2479" s="60"/>
      <c r="SET2479" s="60"/>
      <c r="SEU2479" s="60"/>
      <c r="SEV2479" s="60"/>
      <c r="SEW2479" s="64"/>
      <c r="SEX2479" s="61"/>
      <c r="SEY2479" s="54"/>
      <c r="SEZ2479" s="54"/>
      <c r="SFA2479" s="60"/>
      <c r="SFB2479" s="60"/>
      <c r="SFC2479" s="60"/>
      <c r="SFD2479" s="60"/>
      <c r="SFE2479" s="64"/>
      <c r="SFF2479" s="61"/>
      <c r="SFG2479" s="54"/>
      <c r="SFH2479" s="54"/>
      <c r="SFI2479" s="60"/>
      <c r="SFJ2479" s="60"/>
      <c r="SFK2479" s="60"/>
      <c r="SFL2479" s="60"/>
      <c r="SFM2479" s="64"/>
      <c r="SFN2479" s="61"/>
      <c r="SFO2479" s="54"/>
      <c r="SFP2479" s="54"/>
      <c r="SFQ2479" s="60"/>
      <c r="SFR2479" s="60"/>
      <c r="SFS2479" s="60"/>
      <c r="SFT2479" s="60"/>
      <c r="SFU2479" s="64"/>
      <c r="SFV2479" s="61"/>
      <c r="SFW2479" s="54"/>
      <c r="SFX2479" s="54"/>
      <c r="SFY2479" s="60"/>
      <c r="SFZ2479" s="60"/>
      <c r="SGA2479" s="60"/>
      <c r="SGB2479" s="60"/>
      <c r="SGC2479" s="64"/>
      <c r="SGD2479" s="61"/>
      <c r="SGE2479" s="54"/>
      <c r="SGF2479" s="54"/>
      <c r="SGG2479" s="60"/>
      <c r="SGH2479" s="60"/>
      <c r="SGI2479" s="60"/>
      <c r="SGJ2479" s="60"/>
      <c r="SGK2479" s="64"/>
      <c r="SGL2479" s="61"/>
      <c r="SGM2479" s="54"/>
      <c r="SGN2479" s="54"/>
      <c r="SGO2479" s="60"/>
      <c r="SGP2479" s="60"/>
      <c r="SGQ2479" s="60"/>
      <c r="SGR2479" s="60"/>
      <c r="SGS2479" s="64"/>
      <c r="SGT2479" s="61"/>
      <c r="SGU2479" s="54"/>
      <c r="SGV2479" s="54"/>
      <c r="SGW2479" s="60"/>
      <c r="SGX2479" s="60"/>
      <c r="SGY2479" s="60"/>
      <c r="SGZ2479" s="60"/>
      <c r="SHA2479" s="64"/>
      <c r="SHB2479" s="61"/>
      <c r="SHC2479" s="54"/>
      <c r="SHD2479" s="54"/>
      <c r="SHE2479" s="60"/>
      <c r="SHF2479" s="60"/>
      <c r="SHG2479" s="60"/>
      <c r="SHH2479" s="60"/>
      <c r="SHI2479" s="64"/>
      <c r="SHJ2479" s="61"/>
      <c r="SHK2479" s="54"/>
      <c r="SHL2479" s="54"/>
      <c r="SHM2479" s="60"/>
      <c r="SHN2479" s="60"/>
      <c r="SHO2479" s="60"/>
      <c r="SHP2479" s="60"/>
      <c r="SHQ2479" s="64"/>
      <c r="SHR2479" s="61"/>
      <c r="SHS2479" s="54"/>
      <c r="SHT2479" s="54"/>
      <c r="SHU2479" s="60"/>
      <c r="SHV2479" s="60"/>
      <c r="SHW2479" s="60"/>
      <c r="SHX2479" s="60"/>
      <c r="SHY2479" s="64"/>
      <c r="SHZ2479" s="61"/>
      <c r="SIA2479" s="54"/>
      <c r="SIB2479" s="54"/>
      <c r="SIC2479" s="60"/>
      <c r="SID2479" s="60"/>
      <c r="SIE2479" s="60"/>
      <c r="SIF2479" s="60"/>
      <c r="SIG2479" s="64"/>
      <c r="SIH2479" s="61"/>
      <c r="SII2479" s="54"/>
      <c r="SIJ2479" s="54"/>
      <c r="SIK2479" s="60"/>
      <c r="SIL2479" s="60"/>
      <c r="SIM2479" s="60"/>
      <c r="SIN2479" s="60"/>
      <c r="SIO2479" s="64"/>
      <c r="SIP2479" s="61"/>
      <c r="SIQ2479" s="54"/>
      <c r="SIR2479" s="54"/>
      <c r="SIS2479" s="60"/>
      <c r="SIT2479" s="60"/>
      <c r="SIU2479" s="60"/>
      <c r="SIV2479" s="60"/>
      <c r="SIW2479" s="64"/>
      <c r="SIX2479" s="61"/>
      <c r="SIY2479" s="54"/>
      <c r="SIZ2479" s="54"/>
      <c r="SJA2479" s="60"/>
      <c r="SJB2479" s="60"/>
      <c r="SJC2479" s="60"/>
      <c r="SJD2479" s="60"/>
      <c r="SJE2479" s="64"/>
      <c r="SJF2479" s="61"/>
      <c r="SJG2479" s="54"/>
      <c r="SJH2479" s="54"/>
      <c r="SJI2479" s="60"/>
      <c r="SJJ2479" s="60"/>
      <c r="SJK2479" s="60"/>
      <c r="SJL2479" s="60"/>
      <c r="SJM2479" s="64"/>
      <c r="SJN2479" s="61"/>
      <c r="SJO2479" s="54"/>
      <c r="SJP2479" s="54"/>
      <c r="SJQ2479" s="60"/>
      <c r="SJR2479" s="60"/>
      <c r="SJS2479" s="60"/>
      <c r="SJT2479" s="60"/>
      <c r="SJU2479" s="64"/>
      <c r="SJV2479" s="61"/>
      <c r="SJW2479" s="54"/>
      <c r="SJX2479" s="54"/>
      <c r="SJY2479" s="60"/>
      <c r="SJZ2479" s="60"/>
      <c r="SKA2479" s="60"/>
      <c r="SKB2479" s="60"/>
      <c r="SKC2479" s="64"/>
      <c r="SKD2479" s="61"/>
      <c r="SKE2479" s="54"/>
      <c r="SKF2479" s="54"/>
      <c r="SKG2479" s="60"/>
      <c r="SKH2479" s="60"/>
      <c r="SKI2479" s="60"/>
      <c r="SKJ2479" s="60"/>
      <c r="SKK2479" s="64"/>
      <c r="SKL2479" s="61"/>
      <c r="SKM2479" s="54"/>
      <c r="SKN2479" s="54"/>
      <c r="SKO2479" s="60"/>
      <c r="SKP2479" s="60"/>
      <c r="SKQ2479" s="60"/>
      <c r="SKR2479" s="60"/>
      <c r="SKS2479" s="64"/>
      <c r="SKT2479" s="61"/>
      <c r="SKU2479" s="54"/>
      <c r="SKV2479" s="54"/>
      <c r="SKW2479" s="60"/>
      <c r="SKX2479" s="60"/>
      <c r="SKY2479" s="60"/>
      <c r="SKZ2479" s="60"/>
      <c r="SLA2479" s="64"/>
      <c r="SLB2479" s="61"/>
      <c r="SLC2479" s="54"/>
      <c r="SLD2479" s="54"/>
      <c r="SLE2479" s="60"/>
      <c r="SLF2479" s="60"/>
      <c r="SLG2479" s="60"/>
      <c r="SLH2479" s="60"/>
      <c r="SLI2479" s="64"/>
      <c r="SLJ2479" s="61"/>
      <c r="SLK2479" s="54"/>
      <c r="SLL2479" s="54"/>
      <c r="SLM2479" s="60"/>
      <c r="SLN2479" s="60"/>
      <c r="SLO2479" s="60"/>
      <c r="SLP2479" s="60"/>
      <c r="SLQ2479" s="64"/>
      <c r="SLR2479" s="61"/>
      <c r="SLS2479" s="54"/>
      <c r="SLT2479" s="54"/>
      <c r="SLU2479" s="60"/>
      <c r="SLV2479" s="60"/>
      <c r="SLW2479" s="60"/>
      <c r="SLX2479" s="60"/>
      <c r="SLY2479" s="64"/>
      <c r="SLZ2479" s="61"/>
      <c r="SMA2479" s="54"/>
      <c r="SMB2479" s="54"/>
      <c r="SMC2479" s="60"/>
      <c r="SMD2479" s="60"/>
      <c r="SME2479" s="60"/>
      <c r="SMF2479" s="60"/>
      <c r="SMG2479" s="64"/>
      <c r="SMH2479" s="61"/>
      <c r="SMI2479" s="54"/>
      <c r="SMJ2479" s="54"/>
      <c r="SMK2479" s="60"/>
      <c r="SML2479" s="60"/>
      <c r="SMM2479" s="60"/>
      <c r="SMN2479" s="60"/>
      <c r="SMO2479" s="64"/>
      <c r="SMP2479" s="61"/>
      <c r="SMQ2479" s="54"/>
      <c r="SMR2479" s="54"/>
      <c r="SMS2479" s="60"/>
      <c r="SMT2479" s="60"/>
      <c r="SMU2479" s="60"/>
      <c r="SMV2479" s="60"/>
      <c r="SMW2479" s="64"/>
      <c r="SMX2479" s="61"/>
      <c r="SMY2479" s="54"/>
      <c r="SMZ2479" s="54"/>
      <c r="SNA2479" s="60"/>
      <c r="SNB2479" s="60"/>
      <c r="SNC2479" s="60"/>
      <c r="SND2479" s="60"/>
      <c r="SNE2479" s="64"/>
      <c r="SNF2479" s="61"/>
      <c r="SNG2479" s="54"/>
      <c r="SNH2479" s="54"/>
      <c r="SNI2479" s="60"/>
      <c r="SNJ2479" s="60"/>
      <c r="SNK2479" s="60"/>
      <c r="SNL2479" s="60"/>
      <c r="SNM2479" s="64"/>
      <c r="SNN2479" s="61"/>
      <c r="SNO2479" s="54"/>
      <c r="SNP2479" s="54"/>
      <c r="SNQ2479" s="60"/>
      <c r="SNR2479" s="60"/>
      <c r="SNS2479" s="60"/>
      <c r="SNT2479" s="60"/>
      <c r="SNU2479" s="64"/>
      <c r="SNV2479" s="61"/>
      <c r="SNW2479" s="54"/>
      <c r="SNX2479" s="54"/>
      <c r="SNY2479" s="60"/>
      <c r="SNZ2479" s="60"/>
      <c r="SOA2479" s="60"/>
      <c r="SOB2479" s="60"/>
      <c r="SOC2479" s="64"/>
      <c r="SOD2479" s="61"/>
      <c r="SOE2479" s="54"/>
      <c r="SOF2479" s="54"/>
      <c r="SOG2479" s="60"/>
      <c r="SOH2479" s="60"/>
      <c r="SOI2479" s="60"/>
      <c r="SOJ2479" s="60"/>
      <c r="SOK2479" s="64"/>
      <c r="SOL2479" s="61"/>
      <c r="SOM2479" s="54"/>
      <c r="SON2479" s="54"/>
      <c r="SOO2479" s="60"/>
      <c r="SOP2479" s="60"/>
      <c r="SOQ2479" s="60"/>
      <c r="SOR2479" s="60"/>
      <c r="SOS2479" s="64"/>
      <c r="SOT2479" s="61"/>
      <c r="SOU2479" s="54"/>
      <c r="SOV2479" s="54"/>
      <c r="SOW2479" s="60"/>
      <c r="SOX2479" s="60"/>
      <c r="SOY2479" s="60"/>
      <c r="SOZ2479" s="60"/>
      <c r="SPA2479" s="64"/>
      <c r="SPB2479" s="61"/>
      <c r="SPC2479" s="54"/>
      <c r="SPD2479" s="54"/>
      <c r="SPE2479" s="60"/>
      <c r="SPF2479" s="60"/>
      <c r="SPG2479" s="60"/>
      <c r="SPH2479" s="60"/>
      <c r="SPI2479" s="64"/>
      <c r="SPJ2479" s="61"/>
      <c r="SPK2479" s="54"/>
      <c r="SPL2479" s="54"/>
      <c r="SPM2479" s="60"/>
      <c r="SPN2479" s="60"/>
      <c r="SPO2479" s="60"/>
      <c r="SPP2479" s="60"/>
      <c r="SPQ2479" s="64"/>
      <c r="SPR2479" s="61"/>
      <c r="SPS2479" s="54"/>
      <c r="SPT2479" s="54"/>
      <c r="SPU2479" s="60"/>
      <c r="SPV2479" s="60"/>
      <c r="SPW2479" s="60"/>
      <c r="SPX2479" s="60"/>
      <c r="SPY2479" s="64"/>
      <c r="SPZ2479" s="61"/>
      <c r="SQA2479" s="54"/>
      <c r="SQB2479" s="54"/>
      <c r="SQC2479" s="60"/>
      <c r="SQD2479" s="60"/>
      <c r="SQE2479" s="60"/>
      <c r="SQF2479" s="60"/>
      <c r="SQG2479" s="64"/>
      <c r="SQH2479" s="61"/>
      <c r="SQI2479" s="54"/>
      <c r="SQJ2479" s="54"/>
      <c r="SQK2479" s="60"/>
      <c r="SQL2479" s="60"/>
      <c r="SQM2479" s="60"/>
      <c r="SQN2479" s="60"/>
      <c r="SQO2479" s="64"/>
      <c r="SQP2479" s="61"/>
      <c r="SQQ2479" s="54"/>
      <c r="SQR2479" s="54"/>
      <c r="SQS2479" s="60"/>
      <c r="SQT2479" s="60"/>
      <c r="SQU2479" s="60"/>
      <c r="SQV2479" s="60"/>
      <c r="SQW2479" s="64"/>
      <c r="SQX2479" s="61"/>
      <c r="SQY2479" s="54"/>
      <c r="SQZ2479" s="54"/>
      <c r="SRA2479" s="60"/>
      <c r="SRB2479" s="60"/>
      <c r="SRC2479" s="60"/>
      <c r="SRD2479" s="60"/>
      <c r="SRE2479" s="64"/>
      <c r="SRF2479" s="61"/>
      <c r="SRG2479" s="54"/>
      <c r="SRH2479" s="54"/>
      <c r="SRI2479" s="60"/>
      <c r="SRJ2479" s="60"/>
      <c r="SRK2479" s="60"/>
      <c r="SRL2479" s="60"/>
      <c r="SRM2479" s="64"/>
      <c r="SRN2479" s="61"/>
      <c r="SRO2479" s="54"/>
      <c r="SRP2479" s="54"/>
      <c r="SRQ2479" s="60"/>
      <c r="SRR2479" s="60"/>
      <c r="SRS2479" s="60"/>
      <c r="SRT2479" s="60"/>
      <c r="SRU2479" s="64"/>
      <c r="SRV2479" s="61"/>
      <c r="SRW2479" s="54"/>
      <c r="SRX2479" s="54"/>
      <c r="SRY2479" s="60"/>
      <c r="SRZ2479" s="60"/>
      <c r="SSA2479" s="60"/>
      <c r="SSB2479" s="60"/>
      <c r="SSC2479" s="64"/>
      <c r="SSD2479" s="61"/>
      <c r="SSE2479" s="54"/>
      <c r="SSF2479" s="54"/>
      <c r="SSG2479" s="60"/>
      <c r="SSH2479" s="60"/>
      <c r="SSI2479" s="60"/>
      <c r="SSJ2479" s="60"/>
      <c r="SSK2479" s="64"/>
      <c r="SSL2479" s="61"/>
      <c r="SSM2479" s="54"/>
      <c r="SSN2479" s="54"/>
      <c r="SSO2479" s="60"/>
      <c r="SSP2479" s="60"/>
      <c r="SSQ2479" s="60"/>
      <c r="SSR2479" s="60"/>
      <c r="SSS2479" s="64"/>
      <c r="SST2479" s="61"/>
      <c r="SSU2479" s="54"/>
      <c r="SSV2479" s="54"/>
      <c r="SSW2479" s="60"/>
      <c r="SSX2479" s="60"/>
      <c r="SSY2479" s="60"/>
      <c r="SSZ2479" s="60"/>
      <c r="STA2479" s="64"/>
      <c r="STB2479" s="61"/>
      <c r="STC2479" s="54"/>
      <c r="STD2479" s="54"/>
      <c r="STE2479" s="60"/>
      <c r="STF2479" s="60"/>
      <c r="STG2479" s="60"/>
      <c r="STH2479" s="60"/>
      <c r="STI2479" s="64"/>
      <c r="STJ2479" s="61"/>
      <c r="STK2479" s="54"/>
      <c r="STL2479" s="54"/>
      <c r="STM2479" s="60"/>
      <c r="STN2479" s="60"/>
      <c r="STO2479" s="60"/>
      <c r="STP2479" s="60"/>
      <c r="STQ2479" s="64"/>
      <c r="STR2479" s="61"/>
      <c r="STS2479" s="54"/>
      <c r="STT2479" s="54"/>
      <c r="STU2479" s="60"/>
      <c r="STV2479" s="60"/>
      <c r="STW2479" s="60"/>
      <c r="STX2479" s="60"/>
      <c r="STY2479" s="64"/>
      <c r="STZ2479" s="61"/>
      <c r="SUA2479" s="54"/>
      <c r="SUB2479" s="54"/>
      <c r="SUC2479" s="60"/>
      <c r="SUD2479" s="60"/>
      <c r="SUE2479" s="60"/>
      <c r="SUF2479" s="60"/>
      <c r="SUG2479" s="64"/>
      <c r="SUH2479" s="61"/>
      <c r="SUI2479" s="54"/>
      <c r="SUJ2479" s="54"/>
      <c r="SUK2479" s="60"/>
      <c r="SUL2479" s="60"/>
      <c r="SUM2479" s="60"/>
      <c r="SUN2479" s="60"/>
      <c r="SUO2479" s="64"/>
      <c r="SUP2479" s="61"/>
      <c r="SUQ2479" s="54"/>
      <c r="SUR2479" s="54"/>
      <c r="SUS2479" s="60"/>
      <c r="SUT2479" s="60"/>
      <c r="SUU2479" s="60"/>
      <c r="SUV2479" s="60"/>
      <c r="SUW2479" s="64"/>
      <c r="SUX2479" s="61"/>
      <c r="SUY2479" s="54"/>
      <c r="SUZ2479" s="54"/>
      <c r="SVA2479" s="60"/>
      <c r="SVB2479" s="60"/>
      <c r="SVC2479" s="60"/>
      <c r="SVD2479" s="60"/>
      <c r="SVE2479" s="64"/>
      <c r="SVF2479" s="61"/>
      <c r="SVG2479" s="54"/>
      <c r="SVH2479" s="54"/>
      <c r="SVI2479" s="60"/>
      <c r="SVJ2479" s="60"/>
      <c r="SVK2479" s="60"/>
      <c r="SVL2479" s="60"/>
      <c r="SVM2479" s="64"/>
      <c r="SVN2479" s="61"/>
      <c r="SVO2479" s="54"/>
      <c r="SVP2479" s="54"/>
      <c r="SVQ2479" s="60"/>
      <c r="SVR2479" s="60"/>
      <c r="SVS2479" s="60"/>
      <c r="SVT2479" s="60"/>
      <c r="SVU2479" s="64"/>
      <c r="SVV2479" s="61"/>
      <c r="SVW2479" s="54"/>
      <c r="SVX2479" s="54"/>
      <c r="SVY2479" s="60"/>
      <c r="SVZ2479" s="60"/>
      <c r="SWA2479" s="60"/>
      <c r="SWB2479" s="60"/>
      <c r="SWC2479" s="64"/>
      <c r="SWD2479" s="61"/>
      <c r="SWE2479" s="54"/>
      <c r="SWF2479" s="54"/>
      <c r="SWG2479" s="60"/>
      <c r="SWH2479" s="60"/>
      <c r="SWI2479" s="60"/>
      <c r="SWJ2479" s="60"/>
      <c r="SWK2479" s="64"/>
      <c r="SWL2479" s="61"/>
      <c r="SWM2479" s="54"/>
      <c r="SWN2479" s="54"/>
      <c r="SWO2479" s="60"/>
      <c r="SWP2479" s="60"/>
      <c r="SWQ2479" s="60"/>
      <c r="SWR2479" s="60"/>
      <c r="SWS2479" s="64"/>
      <c r="SWT2479" s="61"/>
      <c r="SWU2479" s="54"/>
      <c r="SWV2479" s="54"/>
      <c r="SWW2479" s="60"/>
      <c r="SWX2479" s="60"/>
      <c r="SWY2479" s="60"/>
      <c r="SWZ2479" s="60"/>
      <c r="SXA2479" s="64"/>
      <c r="SXB2479" s="61"/>
      <c r="SXC2479" s="54"/>
      <c r="SXD2479" s="54"/>
      <c r="SXE2479" s="60"/>
      <c r="SXF2479" s="60"/>
      <c r="SXG2479" s="60"/>
      <c r="SXH2479" s="60"/>
      <c r="SXI2479" s="64"/>
      <c r="SXJ2479" s="61"/>
      <c r="SXK2479" s="54"/>
      <c r="SXL2479" s="54"/>
      <c r="SXM2479" s="60"/>
      <c r="SXN2479" s="60"/>
      <c r="SXO2479" s="60"/>
      <c r="SXP2479" s="60"/>
      <c r="SXQ2479" s="64"/>
      <c r="SXR2479" s="61"/>
      <c r="SXS2479" s="54"/>
      <c r="SXT2479" s="54"/>
      <c r="SXU2479" s="60"/>
      <c r="SXV2479" s="60"/>
      <c r="SXW2479" s="60"/>
      <c r="SXX2479" s="60"/>
      <c r="SXY2479" s="64"/>
      <c r="SXZ2479" s="61"/>
      <c r="SYA2479" s="54"/>
      <c r="SYB2479" s="54"/>
      <c r="SYC2479" s="60"/>
      <c r="SYD2479" s="60"/>
      <c r="SYE2479" s="60"/>
      <c r="SYF2479" s="60"/>
      <c r="SYG2479" s="64"/>
      <c r="SYH2479" s="61"/>
      <c r="SYI2479" s="54"/>
      <c r="SYJ2479" s="54"/>
      <c r="SYK2479" s="60"/>
      <c r="SYL2479" s="60"/>
      <c r="SYM2479" s="60"/>
      <c r="SYN2479" s="60"/>
      <c r="SYO2479" s="64"/>
      <c r="SYP2479" s="61"/>
      <c r="SYQ2479" s="54"/>
      <c r="SYR2479" s="54"/>
      <c r="SYS2479" s="60"/>
      <c r="SYT2479" s="60"/>
      <c r="SYU2479" s="60"/>
      <c r="SYV2479" s="60"/>
      <c r="SYW2479" s="64"/>
      <c r="SYX2479" s="61"/>
      <c r="SYY2479" s="54"/>
      <c r="SYZ2479" s="54"/>
      <c r="SZA2479" s="60"/>
      <c r="SZB2479" s="60"/>
      <c r="SZC2479" s="60"/>
      <c r="SZD2479" s="60"/>
      <c r="SZE2479" s="64"/>
      <c r="SZF2479" s="61"/>
      <c r="SZG2479" s="54"/>
      <c r="SZH2479" s="54"/>
      <c r="SZI2479" s="60"/>
      <c r="SZJ2479" s="60"/>
      <c r="SZK2479" s="60"/>
      <c r="SZL2479" s="60"/>
      <c r="SZM2479" s="64"/>
      <c r="SZN2479" s="61"/>
      <c r="SZO2479" s="54"/>
      <c r="SZP2479" s="54"/>
      <c r="SZQ2479" s="60"/>
      <c r="SZR2479" s="60"/>
      <c r="SZS2479" s="60"/>
      <c r="SZT2479" s="60"/>
      <c r="SZU2479" s="64"/>
      <c r="SZV2479" s="61"/>
      <c r="SZW2479" s="54"/>
      <c r="SZX2479" s="54"/>
      <c r="SZY2479" s="60"/>
      <c r="SZZ2479" s="60"/>
      <c r="TAA2479" s="60"/>
      <c r="TAB2479" s="60"/>
      <c r="TAC2479" s="64"/>
      <c r="TAD2479" s="61"/>
      <c r="TAE2479" s="54"/>
      <c r="TAF2479" s="54"/>
      <c r="TAG2479" s="60"/>
      <c r="TAH2479" s="60"/>
      <c r="TAI2479" s="60"/>
      <c r="TAJ2479" s="60"/>
      <c r="TAK2479" s="64"/>
      <c r="TAL2479" s="61"/>
      <c r="TAM2479" s="54"/>
      <c r="TAN2479" s="54"/>
      <c r="TAO2479" s="60"/>
      <c r="TAP2479" s="60"/>
      <c r="TAQ2479" s="60"/>
      <c r="TAR2479" s="60"/>
      <c r="TAS2479" s="64"/>
      <c r="TAT2479" s="61"/>
      <c r="TAU2479" s="54"/>
      <c r="TAV2479" s="54"/>
      <c r="TAW2479" s="60"/>
      <c r="TAX2479" s="60"/>
      <c r="TAY2479" s="60"/>
      <c r="TAZ2479" s="60"/>
      <c r="TBA2479" s="64"/>
      <c r="TBB2479" s="61"/>
      <c r="TBC2479" s="54"/>
      <c r="TBD2479" s="54"/>
      <c r="TBE2479" s="60"/>
      <c r="TBF2479" s="60"/>
      <c r="TBG2479" s="60"/>
      <c r="TBH2479" s="60"/>
      <c r="TBI2479" s="64"/>
      <c r="TBJ2479" s="61"/>
      <c r="TBK2479" s="54"/>
      <c r="TBL2479" s="54"/>
      <c r="TBM2479" s="60"/>
      <c r="TBN2479" s="60"/>
      <c r="TBO2479" s="60"/>
      <c r="TBP2479" s="60"/>
      <c r="TBQ2479" s="64"/>
      <c r="TBR2479" s="61"/>
      <c r="TBS2479" s="54"/>
      <c r="TBT2479" s="54"/>
      <c r="TBU2479" s="60"/>
      <c r="TBV2479" s="60"/>
      <c r="TBW2479" s="60"/>
      <c r="TBX2479" s="60"/>
      <c r="TBY2479" s="64"/>
      <c r="TBZ2479" s="61"/>
      <c r="TCA2479" s="54"/>
      <c r="TCB2479" s="54"/>
      <c r="TCC2479" s="60"/>
      <c r="TCD2479" s="60"/>
      <c r="TCE2479" s="60"/>
      <c r="TCF2479" s="60"/>
      <c r="TCG2479" s="64"/>
      <c r="TCH2479" s="61"/>
      <c r="TCI2479" s="54"/>
      <c r="TCJ2479" s="54"/>
      <c r="TCK2479" s="60"/>
      <c r="TCL2479" s="60"/>
      <c r="TCM2479" s="60"/>
      <c r="TCN2479" s="60"/>
      <c r="TCO2479" s="64"/>
      <c r="TCP2479" s="61"/>
      <c r="TCQ2479" s="54"/>
      <c r="TCR2479" s="54"/>
      <c r="TCS2479" s="60"/>
      <c r="TCT2479" s="60"/>
      <c r="TCU2479" s="60"/>
      <c r="TCV2479" s="60"/>
      <c r="TCW2479" s="64"/>
      <c r="TCX2479" s="61"/>
      <c r="TCY2479" s="54"/>
      <c r="TCZ2479" s="54"/>
      <c r="TDA2479" s="60"/>
      <c r="TDB2479" s="60"/>
      <c r="TDC2479" s="60"/>
      <c r="TDD2479" s="60"/>
      <c r="TDE2479" s="64"/>
      <c r="TDF2479" s="61"/>
      <c r="TDG2479" s="54"/>
      <c r="TDH2479" s="54"/>
      <c r="TDI2479" s="60"/>
      <c r="TDJ2479" s="60"/>
      <c r="TDK2479" s="60"/>
      <c r="TDL2479" s="60"/>
      <c r="TDM2479" s="64"/>
      <c r="TDN2479" s="61"/>
      <c r="TDO2479" s="54"/>
      <c r="TDP2479" s="54"/>
      <c r="TDQ2479" s="60"/>
      <c r="TDR2479" s="60"/>
      <c r="TDS2479" s="60"/>
      <c r="TDT2479" s="60"/>
      <c r="TDU2479" s="64"/>
      <c r="TDV2479" s="61"/>
      <c r="TDW2479" s="54"/>
      <c r="TDX2479" s="54"/>
      <c r="TDY2479" s="60"/>
      <c r="TDZ2479" s="60"/>
      <c r="TEA2479" s="60"/>
      <c r="TEB2479" s="60"/>
      <c r="TEC2479" s="64"/>
      <c r="TED2479" s="61"/>
      <c r="TEE2479" s="54"/>
      <c r="TEF2479" s="54"/>
      <c r="TEG2479" s="60"/>
      <c r="TEH2479" s="60"/>
      <c r="TEI2479" s="60"/>
      <c r="TEJ2479" s="60"/>
      <c r="TEK2479" s="64"/>
      <c r="TEL2479" s="61"/>
      <c r="TEM2479" s="54"/>
      <c r="TEN2479" s="54"/>
      <c r="TEO2479" s="60"/>
      <c r="TEP2479" s="60"/>
      <c r="TEQ2479" s="60"/>
      <c r="TER2479" s="60"/>
      <c r="TES2479" s="64"/>
      <c r="TET2479" s="61"/>
      <c r="TEU2479" s="54"/>
      <c r="TEV2479" s="54"/>
      <c r="TEW2479" s="60"/>
      <c r="TEX2479" s="60"/>
      <c r="TEY2479" s="60"/>
      <c r="TEZ2479" s="60"/>
      <c r="TFA2479" s="64"/>
      <c r="TFB2479" s="61"/>
      <c r="TFC2479" s="54"/>
      <c r="TFD2479" s="54"/>
      <c r="TFE2479" s="60"/>
      <c r="TFF2479" s="60"/>
      <c r="TFG2479" s="60"/>
      <c r="TFH2479" s="60"/>
      <c r="TFI2479" s="64"/>
      <c r="TFJ2479" s="61"/>
      <c r="TFK2479" s="54"/>
      <c r="TFL2479" s="54"/>
      <c r="TFM2479" s="60"/>
      <c r="TFN2479" s="60"/>
      <c r="TFO2479" s="60"/>
      <c r="TFP2479" s="60"/>
      <c r="TFQ2479" s="64"/>
      <c r="TFR2479" s="61"/>
      <c r="TFS2479" s="54"/>
      <c r="TFT2479" s="54"/>
      <c r="TFU2479" s="60"/>
      <c r="TFV2479" s="60"/>
      <c r="TFW2479" s="60"/>
      <c r="TFX2479" s="60"/>
      <c r="TFY2479" s="64"/>
      <c r="TFZ2479" s="61"/>
      <c r="TGA2479" s="54"/>
      <c r="TGB2479" s="54"/>
      <c r="TGC2479" s="60"/>
      <c r="TGD2479" s="60"/>
      <c r="TGE2479" s="60"/>
      <c r="TGF2479" s="60"/>
      <c r="TGG2479" s="64"/>
      <c r="TGH2479" s="61"/>
      <c r="TGI2479" s="54"/>
      <c r="TGJ2479" s="54"/>
      <c r="TGK2479" s="60"/>
      <c r="TGL2479" s="60"/>
      <c r="TGM2479" s="60"/>
      <c r="TGN2479" s="60"/>
      <c r="TGO2479" s="64"/>
      <c r="TGP2479" s="61"/>
      <c r="TGQ2479" s="54"/>
      <c r="TGR2479" s="54"/>
      <c r="TGS2479" s="60"/>
      <c r="TGT2479" s="60"/>
      <c r="TGU2479" s="60"/>
      <c r="TGV2479" s="60"/>
      <c r="TGW2479" s="64"/>
      <c r="TGX2479" s="61"/>
      <c r="TGY2479" s="54"/>
      <c r="TGZ2479" s="54"/>
      <c r="THA2479" s="60"/>
      <c r="THB2479" s="60"/>
      <c r="THC2479" s="60"/>
      <c r="THD2479" s="60"/>
      <c r="THE2479" s="64"/>
      <c r="THF2479" s="61"/>
      <c r="THG2479" s="54"/>
      <c r="THH2479" s="54"/>
      <c r="THI2479" s="60"/>
      <c r="THJ2479" s="60"/>
      <c r="THK2479" s="60"/>
      <c r="THL2479" s="60"/>
      <c r="THM2479" s="64"/>
      <c r="THN2479" s="61"/>
      <c r="THO2479" s="54"/>
      <c r="THP2479" s="54"/>
      <c r="THQ2479" s="60"/>
      <c r="THR2479" s="60"/>
      <c r="THS2479" s="60"/>
      <c r="THT2479" s="60"/>
      <c r="THU2479" s="64"/>
      <c r="THV2479" s="61"/>
      <c r="THW2479" s="54"/>
      <c r="THX2479" s="54"/>
      <c r="THY2479" s="60"/>
      <c r="THZ2479" s="60"/>
      <c r="TIA2479" s="60"/>
      <c r="TIB2479" s="60"/>
      <c r="TIC2479" s="64"/>
      <c r="TID2479" s="61"/>
      <c r="TIE2479" s="54"/>
      <c r="TIF2479" s="54"/>
      <c r="TIG2479" s="60"/>
      <c r="TIH2479" s="60"/>
      <c r="TII2479" s="60"/>
      <c r="TIJ2479" s="60"/>
      <c r="TIK2479" s="64"/>
      <c r="TIL2479" s="61"/>
      <c r="TIM2479" s="54"/>
      <c r="TIN2479" s="54"/>
      <c r="TIO2479" s="60"/>
      <c r="TIP2479" s="60"/>
      <c r="TIQ2479" s="60"/>
      <c r="TIR2479" s="60"/>
      <c r="TIS2479" s="64"/>
      <c r="TIT2479" s="61"/>
      <c r="TIU2479" s="54"/>
      <c r="TIV2479" s="54"/>
      <c r="TIW2479" s="60"/>
      <c r="TIX2479" s="60"/>
      <c r="TIY2479" s="60"/>
      <c r="TIZ2479" s="60"/>
      <c r="TJA2479" s="64"/>
      <c r="TJB2479" s="61"/>
      <c r="TJC2479" s="54"/>
      <c r="TJD2479" s="54"/>
      <c r="TJE2479" s="60"/>
      <c r="TJF2479" s="60"/>
      <c r="TJG2479" s="60"/>
      <c r="TJH2479" s="60"/>
      <c r="TJI2479" s="64"/>
      <c r="TJJ2479" s="61"/>
      <c r="TJK2479" s="54"/>
      <c r="TJL2479" s="54"/>
      <c r="TJM2479" s="60"/>
      <c r="TJN2479" s="60"/>
      <c r="TJO2479" s="60"/>
      <c r="TJP2479" s="60"/>
      <c r="TJQ2479" s="64"/>
      <c r="TJR2479" s="61"/>
      <c r="TJS2479" s="54"/>
      <c r="TJT2479" s="54"/>
      <c r="TJU2479" s="60"/>
      <c r="TJV2479" s="60"/>
      <c r="TJW2479" s="60"/>
      <c r="TJX2479" s="60"/>
      <c r="TJY2479" s="64"/>
      <c r="TJZ2479" s="61"/>
      <c r="TKA2479" s="54"/>
      <c r="TKB2479" s="54"/>
      <c r="TKC2479" s="60"/>
      <c r="TKD2479" s="60"/>
      <c r="TKE2479" s="60"/>
      <c r="TKF2479" s="60"/>
      <c r="TKG2479" s="64"/>
      <c r="TKH2479" s="61"/>
      <c r="TKI2479" s="54"/>
      <c r="TKJ2479" s="54"/>
      <c r="TKK2479" s="60"/>
      <c r="TKL2479" s="60"/>
      <c r="TKM2479" s="60"/>
      <c r="TKN2479" s="60"/>
      <c r="TKO2479" s="64"/>
      <c r="TKP2479" s="61"/>
      <c r="TKQ2479" s="54"/>
      <c r="TKR2479" s="54"/>
      <c r="TKS2479" s="60"/>
      <c r="TKT2479" s="60"/>
      <c r="TKU2479" s="60"/>
      <c r="TKV2479" s="60"/>
      <c r="TKW2479" s="64"/>
      <c r="TKX2479" s="61"/>
      <c r="TKY2479" s="54"/>
      <c r="TKZ2479" s="54"/>
      <c r="TLA2479" s="60"/>
      <c r="TLB2479" s="60"/>
      <c r="TLC2479" s="60"/>
      <c r="TLD2479" s="60"/>
      <c r="TLE2479" s="64"/>
      <c r="TLF2479" s="61"/>
      <c r="TLG2479" s="54"/>
      <c r="TLH2479" s="54"/>
      <c r="TLI2479" s="60"/>
      <c r="TLJ2479" s="60"/>
      <c r="TLK2479" s="60"/>
      <c r="TLL2479" s="60"/>
      <c r="TLM2479" s="64"/>
      <c r="TLN2479" s="61"/>
      <c r="TLO2479" s="54"/>
      <c r="TLP2479" s="54"/>
      <c r="TLQ2479" s="60"/>
      <c r="TLR2479" s="60"/>
      <c r="TLS2479" s="60"/>
      <c r="TLT2479" s="60"/>
      <c r="TLU2479" s="64"/>
      <c r="TLV2479" s="61"/>
      <c r="TLW2479" s="54"/>
      <c r="TLX2479" s="54"/>
      <c r="TLY2479" s="60"/>
      <c r="TLZ2479" s="60"/>
      <c r="TMA2479" s="60"/>
      <c r="TMB2479" s="60"/>
      <c r="TMC2479" s="64"/>
      <c r="TMD2479" s="61"/>
      <c r="TME2479" s="54"/>
      <c r="TMF2479" s="54"/>
      <c r="TMG2479" s="60"/>
      <c r="TMH2479" s="60"/>
      <c r="TMI2479" s="60"/>
      <c r="TMJ2479" s="60"/>
      <c r="TMK2479" s="64"/>
      <c r="TML2479" s="61"/>
      <c r="TMM2479" s="54"/>
      <c r="TMN2479" s="54"/>
      <c r="TMO2479" s="60"/>
      <c r="TMP2479" s="60"/>
      <c r="TMQ2479" s="60"/>
      <c r="TMR2479" s="60"/>
      <c r="TMS2479" s="64"/>
      <c r="TMT2479" s="61"/>
      <c r="TMU2479" s="54"/>
      <c r="TMV2479" s="54"/>
      <c r="TMW2479" s="60"/>
      <c r="TMX2479" s="60"/>
      <c r="TMY2479" s="60"/>
      <c r="TMZ2479" s="60"/>
      <c r="TNA2479" s="64"/>
      <c r="TNB2479" s="61"/>
      <c r="TNC2479" s="54"/>
      <c r="TND2479" s="54"/>
      <c r="TNE2479" s="60"/>
      <c r="TNF2479" s="60"/>
      <c r="TNG2479" s="60"/>
      <c r="TNH2479" s="60"/>
      <c r="TNI2479" s="64"/>
      <c r="TNJ2479" s="61"/>
      <c r="TNK2479" s="54"/>
      <c r="TNL2479" s="54"/>
      <c r="TNM2479" s="60"/>
      <c r="TNN2479" s="60"/>
      <c r="TNO2479" s="60"/>
      <c r="TNP2479" s="60"/>
      <c r="TNQ2479" s="64"/>
      <c r="TNR2479" s="61"/>
      <c r="TNS2479" s="54"/>
      <c r="TNT2479" s="54"/>
      <c r="TNU2479" s="60"/>
      <c r="TNV2479" s="60"/>
      <c r="TNW2479" s="60"/>
      <c r="TNX2479" s="60"/>
      <c r="TNY2479" s="64"/>
      <c r="TNZ2479" s="61"/>
      <c r="TOA2479" s="54"/>
      <c r="TOB2479" s="54"/>
      <c r="TOC2479" s="60"/>
      <c r="TOD2479" s="60"/>
      <c r="TOE2479" s="60"/>
      <c r="TOF2479" s="60"/>
      <c r="TOG2479" s="64"/>
      <c r="TOH2479" s="61"/>
      <c r="TOI2479" s="54"/>
      <c r="TOJ2479" s="54"/>
      <c r="TOK2479" s="60"/>
      <c r="TOL2479" s="60"/>
      <c r="TOM2479" s="60"/>
      <c r="TON2479" s="60"/>
      <c r="TOO2479" s="64"/>
      <c r="TOP2479" s="61"/>
      <c r="TOQ2479" s="54"/>
      <c r="TOR2479" s="54"/>
      <c r="TOS2479" s="60"/>
      <c r="TOT2479" s="60"/>
      <c r="TOU2479" s="60"/>
      <c r="TOV2479" s="60"/>
      <c r="TOW2479" s="64"/>
      <c r="TOX2479" s="61"/>
      <c r="TOY2479" s="54"/>
      <c r="TOZ2479" s="54"/>
      <c r="TPA2479" s="60"/>
      <c r="TPB2479" s="60"/>
      <c r="TPC2479" s="60"/>
      <c r="TPD2479" s="60"/>
      <c r="TPE2479" s="64"/>
      <c r="TPF2479" s="61"/>
      <c r="TPG2479" s="54"/>
      <c r="TPH2479" s="54"/>
      <c r="TPI2479" s="60"/>
      <c r="TPJ2479" s="60"/>
      <c r="TPK2479" s="60"/>
      <c r="TPL2479" s="60"/>
      <c r="TPM2479" s="64"/>
      <c r="TPN2479" s="61"/>
      <c r="TPO2479" s="54"/>
      <c r="TPP2479" s="54"/>
      <c r="TPQ2479" s="60"/>
      <c r="TPR2479" s="60"/>
      <c r="TPS2479" s="60"/>
      <c r="TPT2479" s="60"/>
      <c r="TPU2479" s="64"/>
      <c r="TPV2479" s="61"/>
      <c r="TPW2479" s="54"/>
      <c r="TPX2479" s="54"/>
      <c r="TPY2479" s="60"/>
      <c r="TPZ2479" s="60"/>
      <c r="TQA2479" s="60"/>
      <c r="TQB2479" s="60"/>
      <c r="TQC2479" s="64"/>
      <c r="TQD2479" s="61"/>
      <c r="TQE2479" s="54"/>
      <c r="TQF2479" s="54"/>
      <c r="TQG2479" s="60"/>
      <c r="TQH2479" s="60"/>
      <c r="TQI2479" s="60"/>
      <c r="TQJ2479" s="60"/>
      <c r="TQK2479" s="64"/>
      <c r="TQL2479" s="61"/>
      <c r="TQM2479" s="54"/>
      <c r="TQN2479" s="54"/>
      <c r="TQO2479" s="60"/>
      <c r="TQP2479" s="60"/>
      <c r="TQQ2479" s="60"/>
      <c r="TQR2479" s="60"/>
      <c r="TQS2479" s="64"/>
      <c r="TQT2479" s="61"/>
      <c r="TQU2479" s="54"/>
      <c r="TQV2479" s="54"/>
      <c r="TQW2479" s="60"/>
      <c r="TQX2479" s="60"/>
      <c r="TQY2479" s="60"/>
      <c r="TQZ2479" s="60"/>
      <c r="TRA2479" s="64"/>
      <c r="TRB2479" s="61"/>
      <c r="TRC2479" s="54"/>
      <c r="TRD2479" s="54"/>
      <c r="TRE2479" s="60"/>
      <c r="TRF2479" s="60"/>
      <c r="TRG2479" s="60"/>
      <c r="TRH2479" s="60"/>
      <c r="TRI2479" s="64"/>
      <c r="TRJ2479" s="61"/>
      <c r="TRK2479" s="54"/>
      <c r="TRL2479" s="54"/>
      <c r="TRM2479" s="60"/>
      <c r="TRN2479" s="60"/>
      <c r="TRO2479" s="60"/>
      <c r="TRP2479" s="60"/>
      <c r="TRQ2479" s="64"/>
      <c r="TRR2479" s="61"/>
      <c r="TRS2479" s="54"/>
      <c r="TRT2479" s="54"/>
      <c r="TRU2479" s="60"/>
      <c r="TRV2479" s="60"/>
      <c r="TRW2479" s="60"/>
      <c r="TRX2479" s="60"/>
      <c r="TRY2479" s="64"/>
      <c r="TRZ2479" s="61"/>
      <c r="TSA2479" s="54"/>
      <c r="TSB2479" s="54"/>
      <c r="TSC2479" s="60"/>
      <c r="TSD2479" s="60"/>
      <c r="TSE2479" s="60"/>
      <c r="TSF2479" s="60"/>
      <c r="TSG2479" s="64"/>
      <c r="TSH2479" s="61"/>
      <c r="TSI2479" s="54"/>
      <c r="TSJ2479" s="54"/>
      <c r="TSK2479" s="60"/>
      <c r="TSL2479" s="60"/>
      <c r="TSM2479" s="60"/>
      <c r="TSN2479" s="60"/>
      <c r="TSO2479" s="64"/>
      <c r="TSP2479" s="61"/>
      <c r="TSQ2479" s="54"/>
      <c r="TSR2479" s="54"/>
      <c r="TSS2479" s="60"/>
      <c r="TST2479" s="60"/>
      <c r="TSU2479" s="60"/>
      <c r="TSV2479" s="60"/>
      <c r="TSW2479" s="64"/>
      <c r="TSX2479" s="61"/>
      <c r="TSY2479" s="54"/>
      <c r="TSZ2479" s="54"/>
      <c r="TTA2479" s="60"/>
      <c r="TTB2479" s="60"/>
      <c r="TTC2479" s="60"/>
      <c r="TTD2479" s="60"/>
      <c r="TTE2479" s="64"/>
      <c r="TTF2479" s="61"/>
      <c r="TTG2479" s="54"/>
      <c r="TTH2479" s="54"/>
      <c r="TTI2479" s="60"/>
      <c r="TTJ2479" s="60"/>
      <c r="TTK2479" s="60"/>
      <c r="TTL2479" s="60"/>
      <c r="TTM2479" s="64"/>
      <c r="TTN2479" s="61"/>
      <c r="TTO2479" s="54"/>
      <c r="TTP2479" s="54"/>
      <c r="TTQ2479" s="60"/>
      <c r="TTR2479" s="60"/>
      <c r="TTS2479" s="60"/>
      <c r="TTT2479" s="60"/>
      <c r="TTU2479" s="64"/>
      <c r="TTV2479" s="61"/>
      <c r="TTW2479" s="54"/>
      <c r="TTX2479" s="54"/>
      <c r="TTY2479" s="60"/>
      <c r="TTZ2479" s="60"/>
      <c r="TUA2479" s="60"/>
      <c r="TUB2479" s="60"/>
      <c r="TUC2479" s="64"/>
      <c r="TUD2479" s="61"/>
      <c r="TUE2479" s="54"/>
      <c r="TUF2479" s="54"/>
      <c r="TUG2479" s="60"/>
      <c r="TUH2479" s="60"/>
      <c r="TUI2479" s="60"/>
      <c r="TUJ2479" s="60"/>
      <c r="TUK2479" s="64"/>
      <c r="TUL2479" s="61"/>
      <c r="TUM2479" s="54"/>
      <c r="TUN2479" s="54"/>
      <c r="TUO2479" s="60"/>
      <c r="TUP2479" s="60"/>
      <c r="TUQ2479" s="60"/>
      <c r="TUR2479" s="60"/>
      <c r="TUS2479" s="64"/>
      <c r="TUT2479" s="61"/>
      <c r="TUU2479" s="54"/>
      <c r="TUV2479" s="54"/>
      <c r="TUW2479" s="60"/>
      <c r="TUX2479" s="60"/>
      <c r="TUY2479" s="60"/>
      <c r="TUZ2479" s="60"/>
      <c r="TVA2479" s="64"/>
      <c r="TVB2479" s="61"/>
      <c r="TVC2479" s="54"/>
      <c r="TVD2479" s="54"/>
      <c r="TVE2479" s="60"/>
      <c r="TVF2479" s="60"/>
      <c r="TVG2479" s="60"/>
      <c r="TVH2479" s="60"/>
      <c r="TVI2479" s="64"/>
      <c r="TVJ2479" s="61"/>
      <c r="TVK2479" s="54"/>
      <c r="TVL2479" s="54"/>
      <c r="TVM2479" s="60"/>
      <c r="TVN2479" s="60"/>
      <c r="TVO2479" s="60"/>
      <c r="TVP2479" s="60"/>
      <c r="TVQ2479" s="64"/>
      <c r="TVR2479" s="61"/>
      <c r="TVS2479" s="54"/>
      <c r="TVT2479" s="54"/>
      <c r="TVU2479" s="60"/>
      <c r="TVV2479" s="60"/>
      <c r="TVW2479" s="60"/>
      <c r="TVX2479" s="60"/>
      <c r="TVY2479" s="64"/>
      <c r="TVZ2479" s="61"/>
      <c r="TWA2479" s="54"/>
      <c r="TWB2479" s="54"/>
      <c r="TWC2479" s="60"/>
      <c r="TWD2479" s="60"/>
      <c r="TWE2479" s="60"/>
      <c r="TWF2479" s="60"/>
      <c r="TWG2479" s="64"/>
      <c r="TWH2479" s="61"/>
      <c r="TWI2479" s="54"/>
      <c r="TWJ2479" s="54"/>
      <c r="TWK2479" s="60"/>
      <c r="TWL2479" s="60"/>
      <c r="TWM2479" s="60"/>
      <c r="TWN2479" s="60"/>
      <c r="TWO2479" s="64"/>
      <c r="TWP2479" s="61"/>
      <c r="TWQ2479" s="54"/>
      <c r="TWR2479" s="54"/>
      <c r="TWS2479" s="60"/>
      <c r="TWT2479" s="60"/>
      <c r="TWU2479" s="60"/>
      <c r="TWV2479" s="60"/>
      <c r="TWW2479" s="64"/>
      <c r="TWX2479" s="61"/>
      <c r="TWY2479" s="54"/>
      <c r="TWZ2479" s="54"/>
      <c r="TXA2479" s="60"/>
      <c r="TXB2479" s="60"/>
      <c r="TXC2479" s="60"/>
      <c r="TXD2479" s="60"/>
      <c r="TXE2479" s="64"/>
      <c r="TXF2479" s="61"/>
      <c r="TXG2479" s="54"/>
      <c r="TXH2479" s="54"/>
      <c r="TXI2479" s="60"/>
      <c r="TXJ2479" s="60"/>
      <c r="TXK2479" s="60"/>
      <c r="TXL2479" s="60"/>
      <c r="TXM2479" s="64"/>
      <c r="TXN2479" s="61"/>
      <c r="TXO2479" s="54"/>
      <c r="TXP2479" s="54"/>
      <c r="TXQ2479" s="60"/>
      <c r="TXR2479" s="60"/>
      <c r="TXS2479" s="60"/>
      <c r="TXT2479" s="60"/>
      <c r="TXU2479" s="64"/>
      <c r="TXV2479" s="61"/>
      <c r="TXW2479" s="54"/>
      <c r="TXX2479" s="54"/>
      <c r="TXY2479" s="60"/>
      <c r="TXZ2479" s="60"/>
      <c r="TYA2479" s="60"/>
      <c r="TYB2479" s="60"/>
      <c r="TYC2479" s="64"/>
      <c r="TYD2479" s="61"/>
      <c r="TYE2479" s="54"/>
      <c r="TYF2479" s="54"/>
      <c r="TYG2479" s="60"/>
      <c r="TYH2479" s="60"/>
      <c r="TYI2479" s="60"/>
      <c r="TYJ2479" s="60"/>
      <c r="TYK2479" s="64"/>
      <c r="TYL2479" s="61"/>
      <c r="TYM2479" s="54"/>
      <c r="TYN2479" s="54"/>
      <c r="TYO2479" s="60"/>
      <c r="TYP2479" s="60"/>
      <c r="TYQ2479" s="60"/>
      <c r="TYR2479" s="60"/>
      <c r="TYS2479" s="64"/>
      <c r="TYT2479" s="61"/>
      <c r="TYU2479" s="54"/>
      <c r="TYV2479" s="54"/>
      <c r="TYW2479" s="60"/>
      <c r="TYX2479" s="60"/>
      <c r="TYY2479" s="60"/>
      <c r="TYZ2479" s="60"/>
      <c r="TZA2479" s="64"/>
      <c r="TZB2479" s="61"/>
      <c r="TZC2479" s="54"/>
      <c r="TZD2479" s="54"/>
      <c r="TZE2479" s="60"/>
      <c r="TZF2479" s="60"/>
      <c r="TZG2479" s="60"/>
      <c r="TZH2479" s="60"/>
      <c r="TZI2479" s="64"/>
      <c r="TZJ2479" s="61"/>
      <c r="TZK2479" s="54"/>
      <c r="TZL2479" s="54"/>
      <c r="TZM2479" s="60"/>
      <c r="TZN2479" s="60"/>
      <c r="TZO2479" s="60"/>
      <c r="TZP2479" s="60"/>
      <c r="TZQ2479" s="64"/>
      <c r="TZR2479" s="61"/>
      <c r="TZS2479" s="54"/>
      <c r="TZT2479" s="54"/>
      <c r="TZU2479" s="60"/>
      <c r="TZV2479" s="60"/>
      <c r="TZW2479" s="60"/>
      <c r="TZX2479" s="60"/>
      <c r="TZY2479" s="64"/>
      <c r="TZZ2479" s="61"/>
      <c r="UAA2479" s="54"/>
      <c r="UAB2479" s="54"/>
      <c r="UAC2479" s="60"/>
      <c r="UAD2479" s="60"/>
      <c r="UAE2479" s="60"/>
      <c r="UAF2479" s="60"/>
      <c r="UAG2479" s="64"/>
      <c r="UAH2479" s="61"/>
      <c r="UAI2479" s="54"/>
      <c r="UAJ2479" s="54"/>
      <c r="UAK2479" s="60"/>
      <c r="UAL2479" s="60"/>
      <c r="UAM2479" s="60"/>
      <c r="UAN2479" s="60"/>
      <c r="UAO2479" s="64"/>
      <c r="UAP2479" s="61"/>
      <c r="UAQ2479" s="54"/>
      <c r="UAR2479" s="54"/>
      <c r="UAS2479" s="60"/>
      <c r="UAT2479" s="60"/>
      <c r="UAU2479" s="60"/>
      <c r="UAV2479" s="60"/>
      <c r="UAW2479" s="64"/>
      <c r="UAX2479" s="61"/>
      <c r="UAY2479" s="54"/>
      <c r="UAZ2479" s="54"/>
      <c r="UBA2479" s="60"/>
      <c r="UBB2479" s="60"/>
      <c r="UBC2479" s="60"/>
      <c r="UBD2479" s="60"/>
      <c r="UBE2479" s="64"/>
      <c r="UBF2479" s="61"/>
      <c r="UBG2479" s="54"/>
      <c r="UBH2479" s="54"/>
      <c r="UBI2479" s="60"/>
      <c r="UBJ2479" s="60"/>
      <c r="UBK2479" s="60"/>
      <c r="UBL2479" s="60"/>
      <c r="UBM2479" s="64"/>
      <c r="UBN2479" s="61"/>
      <c r="UBO2479" s="54"/>
      <c r="UBP2479" s="54"/>
      <c r="UBQ2479" s="60"/>
      <c r="UBR2479" s="60"/>
      <c r="UBS2479" s="60"/>
      <c r="UBT2479" s="60"/>
      <c r="UBU2479" s="64"/>
      <c r="UBV2479" s="61"/>
      <c r="UBW2479" s="54"/>
      <c r="UBX2479" s="54"/>
      <c r="UBY2479" s="60"/>
      <c r="UBZ2479" s="60"/>
      <c r="UCA2479" s="60"/>
      <c r="UCB2479" s="60"/>
      <c r="UCC2479" s="64"/>
      <c r="UCD2479" s="61"/>
      <c r="UCE2479" s="54"/>
      <c r="UCF2479" s="54"/>
      <c r="UCG2479" s="60"/>
      <c r="UCH2479" s="60"/>
      <c r="UCI2479" s="60"/>
      <c r="UCJ2479" s="60"/>
      <c r="UCK2479" s="64"/>
      <c r="UCL2479" s="61"/>
      <c r="UCM2479" s="54"/>
      <c r="UCN2479" s="54"/>
      <c r="UCO2479" s="60"/>
      <c r="UCP2479" s="60"/>
      <c r="UCQ2479" s="60"/>
      <c r="UCR2479" s="60"/>
      <c r="UCS2479" s="64"/>
      <c r="UCT2479" s="61"/>
      <c r="UCU2479" s="54"/>
      <c r="UCV2479" s="54"/>
      <c r="UCW2479" s="60"/>
      <c r="UCX2479" s="60"/>
      <c r="UCY2479" s="60"/>
      <c r="UCZ2479" s="60"/>
      <c r="UDA2479" s="64"/>
      <c r="UDB2479" s="61"/>
      <c r="UDC2479" s="54"/>
      <c r="UDD2479" s="54"/>
      <c r="UDE2479" s="60"/>
      <c r="UDF2479" s="60"/>
      <c r="UDG2479" s="60"/>
      <c r="UDH2479" s="60"/>
      <c r="UDI2479" s="64"/>
      <c r="UDJ2479" s="61"/>
      <c r="UDK2479" s="54"/>
      <c r="UDL2479" s="54"/>
      <c r="UDM2479" s="60"/>
      <c r="UDN2479" s="60"/>
      <c r="UDO2479" s="60"/>
      <c r="UDP2479" s="60"/>
      <c r="UDQ2479" s="64"/>
      <c r="UDR2479" s="61"/>
      <c r="UDS2479" s="54"/>
      <c r="UDT2479" s="54"/>
      <c r="UDU2479" s="60"/>
      <c r="UDV2479" s="60"/>
      <c r="UDW2479" s="60"/>
      <c r="UDX2479" s="60"/>
      <c r="UDY2479" s="64"/>
      <c r="UDZ2479" s="61"/>
      <c r="UEA2479" s="54"/>
      <c r="UEB2479" s="54"/>
      <c r="UEC2479" s="60"/>
      <c r="UED2479" s="60"/>
      <c r="UEE2479" s="60"/>
      <c r="UEF2479" s="60"/>
      <c r="UEG2479" s="64"/>
      <c r="UEH2479" s="61"/>
      <c r="UEI2479" s="54"/>
      <c r="UEJ2479" s="54"/>
      <c r="UEK2479" s="60"/>
      <c r="UEL2479" s="60"/>
      <c r="UEM2479" s="60"/>
      <c r="UEN2479" s="60"/>
      <c r="UEO2479" s="64"/>
      <c r="UEP2479" s="61"/>
      <c r="UEQ2479" s="54"/>
      <c r="UER2479" s="54"/>
      <c r="UES2479" s="60"/>
      <c r="UET2479" s="60"/>
      <c r="UEU2479" s="60"/>
      <c r="UEV2479" s="60"/>
      <c r="UEW2479" s="64"/>
      <c r="UEX2479" s="61"/>
      <c r="UEY2479" s="54"/>
      <c r="UEZ2479" s="54"/>
      <c r="UFA2479" s="60"/>
      <c r="UFB2479" s="60"/>
      <c r="UFC2479" s="60"/>
      <c r="UFD2479" s="60"/>
      <c r="UFE2479" s="64"/>
      <c r="UFF2479" s="61"/>
      <c r="UFG2479" s="54"/>
      <c r="UFH2479" s="54"/>
      <c r="UFI2479" s="60"/>
      <c r="UFJ2479" s="60"/>
      <c r="UFK2479" s="60"/>
      <c r="UFL2479" s="60"/>
      <c r="UFM2479" s="64"/>
      <c r="UFN2479" s="61"/>
      <c r="UFO2479" s="54"/>
      <c r="UFP2479" s="54"/>
      <c r="UFQ2479" s="60"/>
      <c r="UFR2479" s="60"/>
      <c r="UFS2479" s="60"/>
      <c r="UFT2479" s="60"/>
      <c r="UFU2479" s="64"/>
      <c r="UFV2479" s="61"/>
      <c r="UFW2479" s="54"/>
      <c r="UFX2479" s="54"/>
      <c r="UFY2479" s="60"/>
      <c r="UFZ2479" s="60"/>
      <c r="UGA2479" s="60"/>
      <c r="UGB2479" s="60"/>
      <c r="UGC2479" s="64"/>
      <c r="UGD2479" s="61"/>
      <c r="UGE2479" s="54"/>
      <c r="UGF2479" s="54"/>
      <c r="UGG2479" s="60"/>
      <c r="UGH2479" s="60"/>
      <c r="UGI2479" s="60"/>
      <c r="UGJ2479" s="60"/>
      <c r="UGK2479" s="64"/>
      <c r="UGL2479" s="61"/>
      <c r="UGM2479" s="54"/>
      <c r="UGN2479" s="54"/>
      <c r="UGO2479" s="60"/>
      <c r="UGP2479" s="60"/>
      <c r="UGQ2479" s="60"/>
      <c r="UGR2479" s="60"/>
      <c r="UGS2479" s="64"/>
      <c r="UGT2479" s="61"/>
      <c r="UGU2479" s="54"/>
      <c r="UGV2479" s="54"/>
      <c r="UGW2479" s="60"/>
      <c r="UGX2479" s="60"/>
      <c r="UGY2479" s="60"/>
      <c r="UGZ2479" s="60"/>
      <c r="UHA2479" s="64"/>
      <c r="UHB2479" s="61"/>
      <c r="UHC2479" s="54"/>
      <c r="UHD2479" s="54"/>
      <c r="UHE2479" s="60"/>
      <c r="UHF2479" s="60"/>
      <c r="UHG2479" s="60"/>
      <c r="UHH2479" s="60"/>
      <c r="UHI2479" s="64"/>
      <c r="UHJ2479" s="61"/>
      <c r="UHK2479" s="54"/>
      <c r="UHL2479" s="54"/>
      <c r="UHM2479" s="60"/>
      <c r="UHN2479" s="60"/>
      <c r="UHO2479" s="60"/>
      <c r="UHP2479" s="60"/>
      <c r="UHQ2479" s="64"/>
      <c r="UHR2479" s="61"/>
      <c r="UHS2479" s="54"/>
      <c r="UHT2479" s="54"/>
      <c r="UHU2479" s="60"/>
      <c r="UHV2479" s="60"/>
      <c r="UHW2479" s="60"/>
      <c r="UHX2479" s="60"/>
      <c r="UHY2479" s="64"/>
      <c r="UHZ2479" s="61"/>
      <c r="UIA2479" s="54"/>
      <c r="UIB2479" s="54"/>
      <c r="UIC2479" s="60"/>
      <c r="UID2479" s="60"/>
      <c r="UIE2479" s="60"/>
      <c r="UIF2479" s="60"/>
      <c r="UIG2479" s="64"/>
      <c r="UIH2479" s="61"/>
      <c r="UII2479" s="54"/>
      <c r="UIJ2479" s="54"/>
      <c r="UIK2479" s="60"/>
      <c r="UIL2479" s="60"/>
      <c r="UIM2479" s="60"/>
      <c r="UIN2479" s="60"/>
      <c r="UIO2479" s="64"/>
      <c r="UIP2479" s="61"/>
      <c r="UIQ2479" s="54"/>
      <c r="UIR2479" s="54"/>
      <c r="UIS2479" s="60"/>
      <c r="UIT2479" s="60"/>
      <c r="UIU2479" s="60"/>
      <c r="UIV2479" s="60"/>
      <c r="UIW2479" s="64"/>
      <c r="UIX2479" s="61"/>
      <c r="UIY2479" s="54"/>
      <c r="UIZ2479" s="54"/>
      <c r="UJA2479" s="60"/>
      <c r="UJB2479" s="60"/>
      <c r="UJC2479" s="60"/>
      <c r="UJD2479" s="60"/>
      <c r="UJE2479" s="64"/>
      <c r="UJF2479" s="61"/>
      <c r="UJG2479" s="54"/>
      <c r="UJH2479" s="54"/>
      <c r="UJI2479" s="60"/>
      <c r="UJJ2479" s="60"/>
      <c r="UJK2479" s="60"/>
      <c r="UJL2479" s="60"/>
      <c r="UJM2479" s="64"/>
      <c r="UJN2479" s="61"/>
      <c r="UJO2479" s="54"/>
      <c r="UJP2479" s="54"/>
      <c r="UJQ2479" s="60"/>
      <c r="UJR2479" s="60"/>
      <c r="UJS2479" s="60"/>
      <c r="UJT2479" s="60"/>
      <c r="UJU2479" s="64"/>
      <c r="UJV2479" s="61"/>
      <c r="UJW2479" s="54"/>
      <c r="UJX2479" s="54"/>
      <c r="UJY2479" s="60"/>
      <c r="UJZ2479" s="60"/>
      <c r="UKA2479" s="60"/>
      <c r="UKB2479" s="60"/>
      <c r="UKC2479" s="64"/>
      <c r="UKD2479" s="61"/>
      <c r="UKE2479" s="54"/>
      <c r="UKF2479" s="54"/>
      <c r="UKG2479" s="60"/>
      <c r="UKH2479" s="60"/>
      <c r="UKI2479" s="60"/>
      <c r="UKJ2479" s="60"/>
      <c r="UKK2479" s="64"/>
      <c r="UKL2479" s="61"/>
      <c r="UKM2479" s="54"/>
      <c r="UKN2479" s="54"/>
      <c r="UKO2479" s="60"/>
      <c r="UKP2479" s="60"/>
      <c r="UKQ2479" s="60"/>
      <c r="UKR2479" s="60"/>
      <c r="UKS2479" s="64"/>
      <c r="UKT2479" s="61"/>
      <c r="UKU2479" s="54"/>
      <c r="UKV2479" s="54"/>
      <c r="UKW2479" s="60"/>
      <c r="UKX2479" s="60"/>
      <c r="UKY2479" s="60"/>
      <c r="UKZ2479" s="60"/>
      <c r="ULA2479" s="64"/>
      <c r="ULB2479" s="61"/>
      <c r="ULC2479" s="54"/>
      <c r="ULD2479" s="54"/>
      <c r="ULE2479" s="60"/>
      <c r="ULF2479" s="60"/>
      <c r="ULG2479" s="60"/>
      <c r="ULH2479" s="60"/>
      <c r="ULI2479" s="64"/>
      <c r="ULJ2479" s="61"/>
      <c r="ULK2479" s="54"/>
      <c r="ULL2479" s="54"/>
      <c r="ULM2479" s="60"/>
      <c r="ULN2479" s="60"/>
      <c r="ULO2479" s="60"/>
      <c r="ULP2479" s="60"/>
      <c r="ULQ2479" s="64"/>
      <c r="ULR2479" s="61"/>
      <c r="ULS2479" s="54"/>
      <c r="ULT2479" s="54"/>
      <c r="ULU2479" s="60"/>
      <c r="ULV2479" s="60"/>
      <c r="ULW2479" s="60"/>
      <c r="ULX2479" s="60"/>
      <c r="ULY2479" s="64"/>
      <c r="ULZ2479" s="61"/>
      <c r="UMA2479" s="54"/>
      <c r="UMB2479" s="54"/>
      <c r="UMC2479" s="60"/>
      <c r="UMD2479" s="60"/>
      <c r="UME2479" s="60"/>
      <c r="UMF2479" s="60"/>
      <c r="UMG2479" s="64"/>
      <c r="UMH2479" s="61"/>
      <c r="UMI2479" s="54"/>
      <c r="UMJ2479" s="54"/>
      <c r="UMK2479" s="60"/>
      <c r="UML2479" s="60"/>
      <c r="UMM2479" s="60"/>
      <c r="UMN2479" s="60"/>
      <c r="UMO2479" s="64"/>
      <c r="UMP2479" s="61"/>
      <c r="UMQ2479" s="54"/>
      <c r="UMR2479" s="54"/>
      <c r="UMS2479" s="60"/>
      <c r="UMT2479" s="60"/>
      <c r="UMU2479" s="60"/>
      <c r="UMV2479" s="60"/>
      <c r="UMW2479" s="64"/>
      <c r="UMX2479" s="61"/>
      <c r="UMY2479" s="54"/>
      <c r="UMZ2479" s="54"/>
      <c r="UNA2479" s="60"/>
      <c r="UNB2479" s="60"/>
      <c r="UNC2479" s="60"/>
      <c r="UND2479" s="60"/>
      <c r="UNE2479" s="64"/>
      <c r="UNF2479" s="61"/>
      <c r="UNG2479" s="54"/>
      <c r="UNH2479" s="54"/>
      <c r="UNI2479" s="60"/>
      <c r="UNJ2479" s="60"/>
      <c r="UNK2479" s="60"/>
      <c r="UNL2479" s="60"/>
      <c r="UNM2479" s="64"/>
      <c r="UNN2479" s="61"/>
      <c r="UNO2479" s="54"/>
      <c r="UNP2479" s="54"/>
      <c r="UNQ2479" s="60"/>
      <c r="UNR2479" s="60"/>
      <c r="UNS2479" s="60"/>
      <c r="UNT2479" s="60"/>
      <c r="UNU2479" s="64"/>
      <c r="UNV2479" s="61"/>
      <c r="UNW2479" s="54"/>
      <c r="UNX2479" s="54"/>
      <c r="UNY2479" s="60"/>
      <c r="UNZ2479" s="60"/>
      <c r="UOA2479" s="60"/>
      <c r="UOB2479" s="60"/>
      <c r="UOC2479" s="64"/>
      <c r="UOD2479" s="61"/>
      <c r="UOE2479" s="54"/>
      <c r="UOF2479" s="54"/>
      <c r="UOG2479" s="60"/>
      <c r="UOH2479" s="60"/>
      <c r="UOI2479" s="60"/>
      <c r="UOJ2479" s="60"/>
      <c r="UOK2479" s="64"/>
      <c r="UOL2479" s="61"/>
      <c r="UOM2479" s="54"/>
      <c r="UON2479" s="54"/>
      <c r="UOO2479" s="60"/>
      <c r="UOP2479" s="60"/>
      <c r="UOQ2479" s="60"/>
      <c r="UOR2479" s="60"/>
      <c r="UOS2479" s="64"/>
      <c r="UOT2479" s="61"/>
      <c r="UOU2479" s="54"/>
      <c r="UOV2479" s="54"/>
      <c r="UOW2479" s="60"/>
      <c r="UOX2479" s="60"/>
      <c r="UOY2479" s="60"/>
      <c r="UOZ2479" s="60"/>
      <c r="UPA2479" s="64"/>
      <c r="UPB2479" s="61"/>
      <c r="UPC2479" s="54"/>
      <c r="UPD2479" s="54"/>
      <c r="UPE2479" s="60"/>
      <c r="UPF2479" s="60"/>
      <c r="UPG2479" s="60"/>
      <c r="UPH2479" s="60"/>
      <c r="UPI2479" s="64"/>
      <c r="UPJ2479" s="61"/>
      <c r="UPK2479" s="54"/>
      <c r="UPL2479" s="54"/>
      <c r="UPM2479" s="60"/>
      <c r="UPN2479" s="60"/>
      <c r="UPO2479" s="60"/>
      <c r="UPP2479" s="60"/>
      <c r="UPQ2479" s="64"/>
      <c r="UPR2479" s="61"/>
      <c r="UPS2479" s="54"/>
      <c r="UPT2479" s="54"/>
      <c r="UPU2479" s="60"/>
      <c r="UPV2479" s="60"/>
      <c r="UPW2479" s="60"/>
      <c r="UPX2479" s="60"/>
      <c r="UPY2479" s="64"/>
      <c r="UPZ2479" s="61"/>
      <c r="UQA2479" s="54"/>
      <c r="UQB2479" s="54"/>
      <c r="UQC2479" s="60"/>
      <c r="UQD2479" s="60"/>
      <c r="UQE2479" s="60"/>
      <c r="UQF2479" s="60"/>
      <c r="UQG2479" s="64"/>
      <c r="UQH2479" s="61"/>
      <c r="UQI2479" s="54"/>
      <c r="UQJ2479" s="54"/>
      <c r="UQK2479" s="60"/>
      <c r="UQL2479" s="60"/>
      <c r="UQM2479" s="60"/>
      <c r="UQN2479" s="60"/>
      <c r="UQO2479" s="64"/>
      <c r="UQP2479" s="61"/>
      <c r="UQQ2479" s="54"/>
      <c r="UQR2479" s="54"/>
      <c r="UQS2479" s="60"/>
      <c r="UQT2479" s="60"/>
      <c r="UQU2479" s="60"/>
      <c r="UQV2479" s="60"/>
      <c r="UQW2479" s="64"/>
      <c r="UQX2479" s="61"/>
      <c r="UQY2479" s="54"/>
      <c r="UQZ2479" s="54"/>
      <c r="URA2479" s="60"/>
      <c r="URB2479" s="60"/>
      <c r="URC2479" s="60"/>
      <c r="URD2479" s="60"/>
      <c r="URE2479" s="64"/>
      <c r="URF2479" s="61"/>
      <c r="URG2479" s="54"/>
      <c r="URH2479" s="54"/>
      <c r="URI2479" s="60"/>
      <c r="URJ2479" s="60"/>
      <c r="URK2479" s="60"/>
      <c r="URL2479" s="60"/>
      <c r="URM2479" s="64"/>
      <c r="URN2479" s="61"/>
      <c r="URO2479" s="54"/>
      <c r="URP2479" s="54"/>
      <c r="URQ2479" s="60"/>
      <c r="URR2479" s="60"/>
      <c r="URS2479" s="60"/>
      <c r="URT2479" s="60"/>
      <c r="URU2479" s="64"/>
      <c r="URV2479" s="61"/>
      <c r="URW2479" s="54"/>
      <c r="URX2479" s="54"/>
      <c r="URY2479" s="60"/>
      <c r="URZ2479" s="60"/>
      <c r="USA2479" s="60"/>
      <c r="USB2479" s="60"/>
      <c r="USC2479" s="64"/>
      <c r="USD2479" s="61"/>
      <c r="USE2479" s="54"/>
      <c r="USF2479" s="54"/>
      <c r="USG2479" s="60"/>
      <c r="USH2479" s="60"/>
      <c r="USI2479" s="60"/>
      <c r="USJ2479" s="60"/>
      <c r="USK2479" s="64"/>
      <c r="USL2479" s="61"/>
      <c r="USM2479" s="54"/>
      <c r="USN2479" s="54"/>
      <c r="USO2479" s="60"/>
      <c r="USP2479" s="60"/>
      <c r="USQ2479" s="60"/>
      <c r="USR2479" s="60"/>
      <c r="USS2479" s="64"/>
      <c r="UST2479" s="61"/>
      <c r="USU2479" s="54"/>
      <c r="USV2479" s="54"/>
      <c r="USW2479" s="60"/>
      <c r="USX2479" s="60"/>
      <c r="USY2479" s="60"/>
      <c r="USZ2479" s="60"/>
      <c r="UTA2479" s="64"/>
      <c r="UTB2479" s="61"/>
      <c r="UTC2479" s="54"/>
      <c r="UTD2479" s="54"/>
      <c r="UTE2479" s="60"/>
      <c r="UTF2479" s="60"/>
      <c r="UTG2479" s="60"/>
      <c r="UTH2479" s="60"/>
      <c r="UTI2479" s="64"/>
      <c r="UTJ2479" s="61"/>
      <c r="UTK2479" s="54"/>
      <c r="UTL2479" s="54"/>
      <c r="UTM2479" s="60"/>
      <c r="UTN2479" s="60"/>
      <c r="UTO2479" s="60"/>
      <c r="UTP2479" s="60"/>
      <c r="UTQ2479" s="64"/>
      <c r="UTR2479" s="61"/>
      <c r="UTS2479" s="54"/>
      <c r="UTT2479" s="54"/>
      <c r="UTU2479" s="60"/>
      <c r="UTV2479" s="60"/>
      <c r="UTW2479" s="60"/>
      <c r="UTX2479" s="60"/>
      <c r="UTY2479" s="64"/>
      <c r="UTZ2479" s="61"/>
      <c r="UUA2479" s="54"/>
      <c r="UUB2479" s="54"/>
      <c r="UUC2479" s="60"/>
      <c r="UUD2479" s="60"/>
      <c r="UUE2479" s="60"/>
      <c r="UUF2479" s="60"/>
      <c r="UUG2479" s="64"/>
      <c r="UUH2479" s="61"/>
      <c r="UUI2479" s="54"/>
      <c r="UUJ2479" s="54"/>
      <c r="UUK2479" s="60"/>
      <c r="UUL2479" s="60"/>
      <c r="UUM2479" s="60"/>
      <c r="UUN2479" s="60"/>
      <c r="UUO2479" s="64"/>
      <c r="UUP2479" s="61"/>
      <c r="UUQ2479" s="54"/>
      <c r="UUR2479" s="54"/>
      <c r="UUS2479" s="60"/>
      <c r="UUT2479" s="60"/>
      <c r="UUU2479" s="60"/>
      <c r="UUV2479" s="60"/>
      <c r="UUW2479" s="64"/>
      <c r="UUX2479" s="61"/>
      <c r="UUY2479" s="54"/>
      <c r="UUZ2479" s="54"/>
      <c r="UVA2479" s="60"/>
      <c r="UVB2479" s="60"/>
      <c r="UVC2479" s="60"/>
      <c r="UVD2479" s="60"/>
      <c r="UVE2479" s="64"/>
      <c r="UVF2479" s="61"/>
      <c r="UVG2479" s="54"/>
      <c r="UVH2479" s="54"/>
      <c r="UVI2479" s="60"/>
      <c r="UVJ2479" s="60"/>
      <c r="UVK2479" s="60"/>
      <c r="UVL2479" s="60"/>
      <c r="UVM2479" s="64"/>
      <c r="UVN2479" s="61"/>
      <c r="UVO2479" s="54"/>
      <c r="UVP2479" s="54"/>
      <c r="UVQ2479" s="60"/>
      <c r="UVR2479" s="60"/>
      <c r="UVS2479" s="60"/>
      <c r="UVT2479" s="60"/>
      <c r="UVU2479" s="64"/>
      <c r="UVV2479" s="61"/>
      <c r="UVW2479" s="54"/>
      <c r="UVX2479" s="54"/>
      <c r="UVY2479" s="60"/>
      <c r="UVZ2479" s="60"/>
      <c r="UWA2479" s="60"/>
      <c r="UWB2479" s="60"/>
      <c r="UWC2479" s="64"/>
      <c r="UWD2479" s="61"/>
      <c r="UWE2479" s="54"/>
      <c r="UWF2479" s="54"/>
      <c r="UWG2479" s="60"/>
      <c r="UWH2479" s="60"/>
      <c r="UWI2479" s="60"/>
      <c r="UWJ2479" s="60"/>
      <c r="UWK2479" s="64"/>
      <c r="UWL2479" s="61"/>
      <c r="UWM2479" s="54"/>
      <c r="UWN2479" s="54"/>
      <c r="UWO2479" s="60"/>
      <c r="UWP2479" s="60"/>
      <c r="UWQ2479" s="60"/>
      <c r="UWR2479" s="60"/>
      <c r="UWS2479" s="64"/>
      <c r="UWT2479" s="61"/>
      <c r="UWU2479" s="54"/>
      <c r="UWV2479" s="54"/>
      <c r="UWW2479" s="60"/>
      <c r="UWX2479" s="60"/>
      <c r="UWY2479" s="60"/>
      <c r="UWZ2479" s="60"/>
      <c r="UXA2479" s="64"/>
      <c r="UXB2479" s="61"/>
      <c r="UXC2479" s="54"/>
      <c r="UXD2479" s="54"/>
      <c r="UXE2479" s="60"/>
      <c r="UXF2479" s="60"/>
      <c r="UXG2479" s="60"/>
      <c r="UXH2479" s="60"/>
      <c r="UXI2479" s="64"/>
      <c r="UXJ2479" s="61"/>
      <c r="UXK2479" s="54"/>
      <c r="UXL2479" s="54"/>
      <c r="UXM2479" s="60"/>
      <c r="UXN2479" s="60"/>
      <c r="UXO2479" s="60"/>
      <c r="UXP2479" s="60"/>
      <c r="UXQ2479" s="64"/>
      <c r="UXR2479" s="61"/>
      <c r="UXS2479" s="54"/>
      <c r="UXT2479" s="54"/>
      <c r="UXU2479" s="60"/>
      <c r="UXV2479" s="60"/>
      <c r="UXW2479" s="60"/>
      <c r="UXX2479" s="60"/>
      <c r="UXY2479" s="64"/>
      <c r="UXZ2479" s="61"/>
      <c r="UYA2479" s="54"/>
      <c r="UYB2479" s="54"/>
      <c r="UYC2479" s="60"/>
      <c r="UYD2479" s="60"/>
      <c r="UYE2479" s="60"/>
      <c r="UYF2479" s="60"/>
      <c r="UYG2479" s="64"/>
      <c r="UYH2479" s="61"/>
      <c r="UYI2479" s="54"/>
      <c r="UYJ2479" s="54"/>
      <c r="UYK2479" s="60"/>
      <c r="UYL2479" s="60"/>
      <c r="UYM2479" s="60"/>
      <c r="UYN2479" s="60"/>
      <c r="UYO2479" s="64"/>
      <c r="UYP2479" s="61"/>
      <c r="UYQ2479" s="54"/>
      <c r="UYR2479" s="54"/>
      <c r="UYS2479" s="60"/>
      <c r="UYT2479" s="60"/>
      <c r="UYU2479" s="60"/>
      <c r="UYV2479" s="60"/>
      <c r="UYW2479" s="64"/>
      <c r="UYX2479" s="61"/>
      <c r="UYY2479" s="54"/>
      <c r="UYZ2479" s="54"/>
      <c r="UZA2479" s="60"/>
      <c r="UZB2479" s="60"/>
      <c r="UZC2479" s="60"/>
      <c r="UZD2479" s="60"/>
      <c r="UZE2479" s="64"/>
      <c r="UZF2479" s="61"/>
      <c r="UZG2479" s="54"/>
      <c r="UZH2479" s="54"/>
      <c r="UZI2479" s="60"/>
      <c r="UZJ2479" s="60"/>
      <c r="UZK2479" s="60"/>
      <c r="UZL2479" s="60"/>
      <c r="UZM2479" s="64"/>
      <c r="UZN2479" s="61"/>
      <c r="UZO2479" s="54"/>
      <c r="UZP2479" s="54"/>
      <c r="UZQ2479" s="60"/>
      <c r="UZR2479" s="60"/>
      <c r="UZS2479" s="60"/>
      <c r="UZT2479" s="60"/>
      <c r="UZU2479" s="64"/>
      <c r="UZV2479" s="61"/>
      <c r="UZW2479" s="54"/>
      <c r="UZX2479" s="54"/>
      <c r="UZY2479" s="60"/>
      <c r="UZZ2479" s="60"/>
      <c r="VAA2479" s="60"/>
      <c r="VAB2479" s="60"/>
      <c r="VAC2479" s="64"/>
      <c r="VAD2479" s="61"/>
      <c r="VAE2479" s="54"/>
      <c r="VAF2479" s="54"/>
      <c r="VAG2479" s="60"/>
      <c r="VAH2479" s="60"/>
      <c r="VAI2479" s="60"/>
      <c r="VAJ2479" s="60"/>
      <c r="VAK2479" s="64"/>
      <c r="VAL2479" s="61"/>
      <c r="VAM2479" s="54"/>
      <c r="VAN2479" s="54"/>
      <c r="VAO2479" s="60"/>
      <c r="VAP2479" s="60"/>
      <c r="VAQ2479" s="60"/>
      <c r="VAR2479" s="60"/>
      <c r="VAS2479" s="64"/>
      <c r="VAT2479" s="61"/>
      <c r="VAU2479" s="54"/>
      <c r="VAV2479" s="54"/>
      <c r="VAW2479" s="60"/>
      <c r="VAX2479" s="60"/>
      <c r="VAY2479" s="60"/>
      <c r="VAZ2479" s="60"/>
      <c r="VBA2479" s="64"/>
      <c r="VBB2479" s="61"/>
      <c r="VBC2479" s="54"/>
      <c r="VBD2479" s="54"/>
      <c r="VBE2479" s="60"/>
      <c r="VBF2479" s="60"/>
      <c r="VBG2479" s="60"/>
      <c r="VBH2479" s="60"/>
      <c r="VBI2479" s="64"/>
      <c r="VBJ2479" s="61"/>
      <c r="VBK2479" s="54"/>
      <c r="VBL2479" s="54"/>
      <c r="VBM2479" s="60"/>
      <c r="VBN2479" s="60"/>
      <c r="VBO2479" s="60"/>
      <c r="VBP2479" s="60"/>
      <c r="VBQ2479" s="64"/>
      <c r="VBR2479" s="61"/>
      <c r="VBS2479" s="54"/>
      <c r="VBT2479" s="54"/>
      <c r="VBU2479" s="60"/>
      <c r="VBV2479" s="60"/>
      <c r="VBW2479" s="60"/>
      <c r="VBX2479" s="60"/>
      <c r="VBY2479" s="64"/>
      <c r="VBZ2479" s="61"/>
      <c r="VCA2479" s="54"/>
      <c r="VCB2479" s="54"/>
      <c r="VCC2479" s="60"/>
      <c r="VCD2479" s="60"/>
      <c r="VCE2479" s="60"/>
      <c r="VCF2479" s="60"/>
      <c r="VCG2479" s="64"/>
      <c r="VCH2479" s="61"/>
      <c r="VCI2479" s="54"/>
      <c r="VCJ2479" s="54"/>
      <c r="VCK2479" s="60"/>
      <c r="VCL2479" s="60"/>
      <c r="VCM2479" s="60"/>
      <c r="VCN2479" s="60"/>
      <c r="VCO2479" s="64"/>
      <c r="VCP2479" s="61"/>
      <c r="VCQ2479" s="54"/>
      <c r="VCR2479" s="54"/>
      <c r="VCS2479" s="60"/>
      <c r="VCT2479" s="60"/>
      <c r="VCU2479" s="60"/>
      <c r="VCV2479" s="60"/>
      <c r="VCW2479" s="64"/>
      <c r="VCX2479" s="61"/>
      <c r="VCY2479" s="54"/>
      <c r="VCZ2479" s="54"/>
      <c r="VDA2479" s="60"/>
      <c r="VDB2479" s="60"/>
      <c r="VDC2479" s="60"/>
      <c r="VDD2479" s="60"/>
      <c r="VDE2479" s="64"/>
      <c r="VDF2479" s="61"/>
      <c r="VDG2479" s="54"/>
      <c r="VDH2479" s="54"/>
      <c r="VDI2479" s="60"/>
      <c r="VDJ2479" s="60"/>
      <c r="VDK2479" s="60"/>
      <c r="VDL2479" s="60"/>
      <c r="VDM2479" s="64"/>
      <c r="VDN2479" s="61"/>
      <c r="VDO2479" s="54"/>
      <c r="VDP2479" s="54"/>
      <c r="VDQ2479" s="60"/>
      <c r="VDR2479" s="60"/>
      <c r="VDS2479" s="60"/>
      <c r="VDT2479" s="60"/>
      <c r="VDU2479" s="64"/>
      <c r="VDV2479" s="61"/>
      <c r="VDW2479" s="54"/>
      <c r="VDX2479" s="54"/>
      <c r="VDY2479" s="60"/>
      <c r="VDZ2479" s="60"/>
      <c r="VEA2479" s="60"/>
      <c r="VEB2479" s="60"/>
      <c r="VEC2479" s="64"/>
      <c r="VED2479" s="61"/>
      <c r="VEE2479" s="54"/>
      <c r="VEF2479" s="54"/>
      <c r="VEG2479" s="60"/>
      <c r="VEH2479" s="60"/>
      <c r="VEI2479" s="60"/>
      <c r="VEJ2479" s="60"/>
      <c r="VEK2479" s="64"/>
      <c r="VEL2479" s="61"/>
      <c r="VEM2479" s="54"/>
      <c r="VEN2479" s="54"/>
      <c r="VEO2479" s="60"/>
      <c r="VEP2479" s="60"/>
      <c r="VEQ2479" s="60"/>
      <c r="VER2479" s="60"/>
      <c r="VES2479" s="64"/>
      <c r="VET2479" s="61"/>
      <c r="VEU2479" s="54"/>
      <c r="VEV2479" s="54"/>
      <c r="VEW2479" s="60"/>
      <c r="VEX2479" s="60"/>
      <c r="VEY2479" s="60"/>
      <c r="VEZ2479" s="60"/>
      <c r="VFA2479" s="64"/>
      <c r="VFB2479" s="61"/>
      <c r="VFC2479" s="54"/>
      <c r="VFD2479" s="54"/>
      <c r="VFE2479" s="60"/>
      <c r="VFF2479" s="60"/>
      <c r="VFG2479" s="60"/>
      <c r="VFH2479" s="60"/>
      <c r="VFI2479" s="64"/>
      <c r="VFJ2479" s="61"/>
      <c r="VFK2479" s="54"/>
      <c r="VFL2479" s="54"/>
      <c r="VFM2479" s="60"/>
      <c r="VFN2479" s="60"/>
      <c r="VFO2479" s="60"/>
      <c r="VFP2479" s="60"/>
      <c r="VFQ2479" s="64"/>
      <c r="VFR2479" s="61"/>
      <c r="VFS2479" s="54"/>
      <c r="VFT2479" s="54"/>
      <c r="VFU2479" s="60"/>
      <c r="VFV2479" s="60"/>
      <c r="VFW2479" s="60"/>
      <c r="VFX2479" s="60"/>
      <c r="VFY2479" s="64"/>
      <c r="VFZ2479" s="61"/>
      <c r="VGA2479" s="54"/>
      <c r="VGB2479" s="54"/>
      <c r="VGC2479" s="60"/>
      <c r="VGD2479" s="60"/>
      <c r="VGE2479" s="60"/>
      <c r="VGF2479" s="60"/>
      <c r="VGG2479" s="64"/>
      <c r="VGH2479" s="61"/>
      <c r="VGI2479" s="54"/>
      <c r="VGJ2479" s="54"/>
      <c r="VGK2479" s="60"/>
      <c r="VGL2479" s="60"/>
      <c r="VGM2479" s="60"/>
      <c r="VGN2479" s="60"/>
      <c r="VGO2479" s="64"/>
      <c r="VGP2479" s="61"/>
      <c r="VGQ2479" s="54"/>
      <c r="VGR2479" s="54"/>
      <c r="VGS2479" s="60"/>
      <c r="VGT2479" s="60"/>
      <c r="VGU2479" s="60"/>
      <c r="VGV2479" s="60"/>
      <c r="VGW2479" s="64"/>
      <c r="VGX2479" s="61"/>
      <c r="VGY2479" s="54"/>
      <c r="VGZ2479" s="54"/>
      <c r="VHA2479" s="60"/>
      <c r="VHB2479" s="60"/>
      <c r="VHC2479" s="60"/>
      <c r="VHD2479" s="60"/>
      <c r="VHE2479" s="64"/>
      <c r="VHF2479" s="61"/>
      <c r="VHG2479" s="54"/>
      <c r="VHH2479" s="54"/>
      <c r="VHI2479" s="60"/>
      <c r="VHJ2479" s="60"/>
      <c r="VHK2479" s="60"/>
      <c r="VHL2479" s="60"/>
      <c r="VHM2479" s="64"/>
      <c r="VHN2479" s="61"/>
      <c r="VHO2479" s="54"/>
      <c r="VHP2479" s="54"/>
      <c r="VHQ2479" s="60"/>
      <c r="VHR2479" s="60"/>
      <c r="VHS2479" s="60"/>
      <c r="VHT2479" s="60"/>
      <c r="VHU2479" s="64"/>
      <c r="VHV2479" s="61"/>
      <c r="VHW2479" s="54"/>
      <c r="VHX2479" s="54"/>
      <c r="VHY2479" s="60"/>
      <c r="VHZ2479" s="60"/>
      <c r="VIA2479" s="60"/>
      <c r="VIB2479" s="60"/>
      <c r="VIC2479" s="64"/>
      <c r="VID2479" s="61"/>
      <c r="VIE2479" s="54"/>
      <c r="VIF2479" s="54"/>
      <c r="VIG2479" s="60"/>
      <c r="VIH2479" s="60"/>
      <c r="VII2479" s="60"/>
      <c r="VIJ2479" s="60"/>
      <c r="VIK2479" s="64"/>
      <c r="VIL2479" s="61"/>
      <c r="VIM2479" s="54"/>
      <c r="VIN2479" s="54"/>
      <c r="VIO2479" s="60"/>
      <c r="VIP2479" s="60"/>
      <c r="VIQ2479" s="60"/>
      <c r="VIR2479" s="60"/>
      <c r="VIS2479" s="64"/>
      <c r="VIT2479" s="61"/>
      <c r="VIU2479" s="54"/>
      <c r="VIV2479" s="54"/>
      <c r="VIW2479" s="60"/>
      <c r="VIX2479" s="60"/>
      <c r="VIY2479" s="60"/>
      <c r="VIZ2479" s="60"/>
      <c r="VJA2479" s="64"/>
      <c r="VJB2479" s="61"/>
      <c r="VJC2479" s="54"/>
      <c r="VJD2479" s="54"/>
      <c r="VJE2479" s="60"/>
      <c r="VJF2479" s="60"/>
      <c r="VJG2479" s="60"/>
      <c r="VJH2479" s="60"/>
      <c r="VJI2479" s="64"/>
      <c r="VJJ2479" s="61"/>
      <c r="VJK2479" s="54"/>
      <c r="VJL2479" s="54"/>
      <c r="VJM2479" s="60"/>
      <c r="VJN2479" s="60"/>
      <c r="VJO2479" s="60"/>
      <c r="VJP2479" s="60"/>
      <c r="VJQ2479" s="64"/>
      <c r="VJR2479" s="61"/>
      <c r="VJS2479" s="54"/>
      <c r="VJT2479" s="54"/>
      <c r="VJU2479" s="60"/>
      <c r="VJV2479" s="60"/>
      <c r="VJW2479" s="60"/>
      <c r="VJX2479" s="60"/>
      <c r="VJY2479" s="64"/>
      <c r="VJZ2479" s="61"/>
      <c r="VKA2479" s="54"/>
      <c r="VKB2479" s="54"/>
      <c r="VKC2479" s="60"/>
      <c r="VKD2479" s="60"/>
      <c r="VKE2479" s="60"/>
      <c r="VKF2479" s="60"/>
      <c r="VKG2479" s="64"/>
      <c r="VKH2479" s="61"/>
      <c r="VKI2479" s="54"/>
      <c r="VKJ2479" s="54"/>
      <c r="VKK2479" s="60"/>
      <c r="VKL2479" s="60"/>
      <c r="VKM2479" s="60"/>
      <c r="VKN2479" s="60"/>
      <c r="VKO2479" s="64"/>
      <c r="VKP2479" s="61"/>
      <c r="VKQ2479" s="54"/>
      <c r="VKR2479" s="54"/>
      <c r="VKS2479" s="60"/>
      <c r="VKT2479" s="60"/>
      <c r="VKU2479" s="60"/>
      <c r="VKV2479" s="60"/>
      <c r="VKW2479" s="64"/>
      <c r="VKX2479" s="61"/>
      <c r="VKY2479" s="54"/>
      <c r="VKZ2479" s="54"/>
      <c r="VLA2479" s="60"/>
      <c r="VLB2479" s="60"/>
      <c r="VLC2479" s="60"/>
      <c r="VLD2479" s="60"/>
      <c r="VLE2479" s="64"/>
      <c r="VLF2479" s="61"/>
      <c r="VLG2479" s="54"/>
      <c r="VLH2479" s="54"/>
      <c r="VLI2479" s="60"/>
      <c r="VLJ2479" s="60"/>
      <c r="VLK2479" s="60"/>
      <c r="VLL2479" s="60"/>
      <c r="VLM2479" s="64"/>
      <c r="VLN2479" s="61"/>
      <c r="VLO2479" s="54"/>
      <c r="VLP2479" s="54"/>
      <c r="VLQ2479" s="60"/>
      <c r="VLR2479" s="60"/>
      <c r="VLS2479" s="60"/>
      <c r="VLT2479" s="60"/>
      <c r="VLU2479" s="64"/>
      <c r="VLV2479" s="61"/>
      <c r="VLW2479" s="54"/>
      <c r="VLX2479" s="54"/>
      <c r="VLY2479" s="60"/>
      <c r="VLZ2479" s="60"/>
      <c r="VMA2479" s="60"/>
      <c r="VMB2479" s="60"/>
      <c r="VMC2479" s="64"/>
      <c r="VMD2479" s="61"/>
      <c r="VME2479" s="54"/>
      <c r="VMF2479" s="54"/>
      <c r="VMG2479" s="60"/>
      <c r="VMH2479" s="60"/>
      <c r="VMI2479" s="60"/>
      <c r="VMJ2479" s="60"/>
      <c r="VMK2479" s="64"/>
      <c r="VML2479" s="61"/>
      <c r="VMM2479" s="54"/>
      <c r="VMN2479" s="54"/>
      <c r="VMO2479" s="60"/>
      <c r="VMP2479" s="60"/>
      <c r="VMQ2479" s="60"/>
      <c r="VMR2479" s="60"/>
      <c r="VMS2479" s="64"/>
      <c r="VMT2479" s="61"/>
      <c r="VMU2479" s="54"/>
      <c r="VMV2479" s="54"/>
      <c r="VMW2479" s="60"/>
      <c r="VMX2479" s="60"/>
      <c r="VMY2479" s="60"/>
      <c r="VMZ2479" s="60"/>
      <c r="VNA2479" s="64"/>
      <c r="VNB2479" s="61"/>
      <c r="VNC2479" s="54"/>
      <c r="VND2479" s="54"/>
      <c r="VNE2479" s="60"/>
      <c r="VNF2479" s="60"/>
      <c r="VNG2479" s="60"/>
      <c r="VNH2479" s="60"/>
      <c r="VNI2479" s="64"/>
      <c r="VNJ2479" s="61"/>
      <c r="VNK2479" s="54"/>
      <c r="VNL2479" s="54"/>
      <c r="VNM2479" s="60"/>
      <c r="VNN2479" s="60"/>
      <c r="VNO2479" s="60"/>
      <c r="VNP2479" s="60"/>
      <c r="VNQ2479" s="64"/>
      <c r="VNR2479" s="61"/>
      <c r="VNS2479" s="54"/>
      <c r="VNT2479" s="54"/>
      <c r="VNU2479" s="60"/>
      <c r="VNV2479" s="60"/>
      <c r="VNW2479" s="60"/>
      <c r="VNX2479" s="60"/>
      <c r="VNY2479" s="64"/>
      <c r="VNZ2479" s="61"/>
      <c r="VOA2479" s="54"/>
      <c r="VOB2479" s="54"/>
      <c r="VOC2479" s="60"/>
      <c r="VOD2479" s="60"/>
      <c r="VOE2479" s="60"/>
      <c r="VOF2479" s="60"/>
      <c r="VOG2479" s="64"/>
      <c r="VOH2479" s="61"/>
      <c r="VOI2479" s="54"/>
      <c r="VOJ2479" s="54"/>
      <c r="VOK2479" s="60"/>
      <c r="VOL2479" s="60"/>
      <c r="VOM2479" s="60"/>
      <c r="VON2479" s="60"/>
      <c r="VOO2479" s="64"/>
      <c r="VOP2479" s="61"/>
      <c r="VOQ2479" s="54"/>
      <c r="VOR2479" s="54"/>
      <c r="VOS2479" s="60"/>
      <c r="VOT2479" s="60"/>
      <c r="VOU2479" s="60"/>
      <c r="VOV2479" s="60"/>
      <c r="VOW2479" s="64"/>
      <c r="VOX2479" s="61"/>
      <c r="VOY2479" s="54"/>
      <c r="VOZ2479" s="54"/>
      <c r="VPA2479" s="60"/>
      <c r="VPB2479" s="60"/>
      <c r="VPC2479" s="60"/>
      <c r="VPD2479" s="60"/>
      <c r="VPE2479" s="64"/>
      <c r="VPF2479" s="61"/>
      <c r="VPG2479" s="54"/>
      <c r="VPH2479" s="54"/>
      <c r="VPI2479" s="60"/>
      <c r="VPJ2479" s="60"/>
      <c r="VPK2479" s="60"/>
      <c r="VPL2479" s="60"/>
      <c r="VPM2479" s="64"/>
      <c r="VPN2479" s="61"/>
      <c r="VPO2479" s="54"/>
      <c r="VPP2479" s="54"/>
      <c r="VPQ2479" s="60"/>
      <c r="VPR2479" s="60"/>
      <c r="VPS2479" s="60"/>
      <c r="VPT2479" s="60"/>
      <c r="VPU2479" s="64"/>
      <c r="VPV2479" s="61"/>
      <c r="VPW2479" s="54"/>
      <c r="VPX2479" s="54"/>
      <c r="VPY2479" s="60"/>
      <c r="VPZ2479" s="60"/>
      <c r="VQA2479" s="60"/>
      <c r="VQB2479" s="60"/>
      <c r="VQC2479" s="64"/>
      <c r="VQD2479" s="61"/>
      <c r="VQE2479" s="54"/>
      <c r="VQF2479" s="54"/>
      <c r="VQG2479" s="60"/>
      <c r="VQH2479" s="60"/>
      <c r="VQI2479" s="60"/>
      <c r="VQJ2479" s="60"/>
      <c r="VQK2479" s="64"/>
      <c r="VQL2479" s="61"/>
      <c r="VQM2479" s="54"/>
      <c r="VQN2479" s="54"/>
      <c r="VQO2479" s="60"/>
      <c r="VQP2479" s="60"/>
      <c r="VQQ2479" s="60"/>
      <c r="VQR2479" s="60"/>
      <c r="VQS2479" s="64"/>
      <c r="VQT2479" s="61"/>
      <c r="VQU2479" s="54"/>
      <c r="VQV2479" s="54"/>
      <c r="VQW2479" s="60"/>
      <c r="VQX2479" s="60"/>
      <c r="VQY2479" s="60"/>
      <c r="VQZ2479" s="60"/>
      <c r="VRA2479" s="64"/>
      <c r="VRB2479" s="61"/>
      <c r="VRC2479" s="54"/>
      <c r="VRD2479" s="54"/>
      <c r="VRE2479" s="60"/>
      <c r="VRF2479" s="60"/>
      <c r="VRG2479" s="60"/>
      <c r="VRH2479" s="60"/>
      <c r="VRI2479" s="64"/>
      <c r="VRJ2479" s="61"/>
      <c r="VRK2479" s="54"/>
      <c r="VRL2479" s="54"/>
      <c r="VRM2479" s="60"/>
      <c r="VRN2479" s="60"/>
      <c r="VRO2479" s="60"/>
      <c r="VRP2479" s="60"/>
      <c r="VRQ2479" s="64"/>
      <c r="VRR2479" s="61"/>
      <c r="VRS2479" s="54"/>
      <c r="VRT2479" s="54"/>
      <c r="VRU2479" s="60"/>
      <c r="VRV2479" s="60"/>
      <c r="VRW2479" s="60"/>
      <c r="VRX2479" s="60"/>
      <c r="VRY2479" s="64"/>
      <c r="VRZ2479" s="61"/>
      <c r="VSA2479" s="54"/>
      <c r="VSB2479" s="54"/>
      <c r="VSC2479" s="60"/>
      <c r="VSD2479" s="60"/>
      <c r="VSE2479" s="60"/>
      <c r="VSF2479" s="60"/>
      <c r="VSG2479" s="64"/>
      <c r="VSH2479" s="61"/>
      <c r="VSI2479" s="54"/>
      <c r="VSJ2479" s="54"/>
      <c r="VSK2479" s="60"/>
      <c r="VSL2479" s="60"/>
      <c r="VSM2479" s="60"/>
      <c r="VSN2479" s="60"/>
      <c r="VSO2479" s="64"/>
      <c r="VSP2479" s="61"/>
      <c r="VSQ2479" s="54"/>
      <c r="VSR2479" s="54"/>
      <c r="VSS2479" s="60"/>
      <c r="VST2479" s="60"/>
      <c r="VSU2479" s="60"/>
      <c r="VSV2479" s="60"/>
      <c r="VSW2479" s="64"/>
      <c r="VSX2479" s="61"/>
      <c r="VSY2479" s="54"/>
      <c r="VSZ2479" s="54"/>
      <c r="VTA2479" s="60"/>
      <c r="VTB2479" s="60"/>
      <c r="VTC2479" s="60"/>
      <c r="VTD2479" s="60"/>
      <c r="VTE2479" s="64"/>
      <c r="VTF2479" s="61"/>
      <c r="VTG2479" s="54"/>
      <c r="VTH2479" s="54"/>
      <c r="VTI2479" s="60"/>
      <c r="VTJ2479" s="60"/>
      <c r="VTK2479" s="60"/>
      <c r="VTL2479" s="60"/>
      <c r="VTM2479" s="64"/>
      <c r="VTN2479" s="61"/>
      <c r="VTO2479" s="54"/>
      <c r="VTP2479" s="54"/>
      <c r="VTQ2479" s="60"/>
      <c r="VTR2479" s="60"/>
      <c r="VTS2479" s="60"/>
      <c r="VTT2479" s="60"/>
      <c r="VTU2479" s="64"/>
      <c r="VTV2479" s="61"/>
      <c r="VTW2479" s="54"/>
      <c r="VTX2479" s="54"/>
      <c r="VTY2479" s="60"/>
      <c r="VTZ2479" s="60"/>
      <c r="VUA2479" s="60"/>
      <c r="VUB2479" s="60"/>
      <c r="VUC2479" s="64"/>
      <c r="VUD2479" s="61"/>
      <c r="VUE2479" s="54"/>
      <c r="VUF2479" s="54"/>
      <c r="VUG2479" s="60"/>
      <c r="VUH2479" s="60"/>
      <c r="VUI2479" s="60"/>
      <c r="VUJ2479" s="60"/>
      <c r="VUK2479" s="64"/>
      <c r="VUL2479" s="61"/>
      <c r="VUM2479" s="54"/>
      <c r="VUN2479" s="54"/>
      <c r="VUO2479" s="60"/>
      <c r="VUP2479" s="60"/>
      <c r="VUQ2479" s="60"/>
      <c r="VUR2479" s="60"/>
      <c r="VUS2479" s="64"/>
      <c r="VUT2479" s="61"/>
      <c r="VUU2479" s="54"/>
      <c r="VUV2479" s="54"/>
      <c r="VUW2479" s="60"/>
      <c r="VUX2479" s="60"/>
      <c r="VUY2479" s="60"/>
      <c r="VUZ2479" s="60"/>
      <c r="VVA2479" s="64"/>
      <c r="VVB2479" s="61"/>
      <c r="VVC2479" s="54"/>
      <c r="VVD2479" s="54"/>
      <c r="VVE2479" s="60"/>
      <c r="VVF2479" s="60"/>
      <c r="VVG2479" s="60"/>
      <c r="VVH2479" s="60"/>
      <c r="VVI2479" s="64"/>
      <c r="VVJ2479" s="61"/>
      <c r="VVK2479" s="54"/>
      <c r="VVL2479" s="54"/>
      <c r="VVM2479" s="60"/>
      <c r="VVN2479" s="60"/>
      <c r="VVO2479" s="60"/>
      <c r="VVP2479" s="60"/>
      <c r="VVQ2479" s="64"/>
      <c r="VVR2479" s="61"/>
      <c r="VVS2479" s="54"/>
      <c r="VVT2479" s="54"/>
      <c r="VVU2479" s="60"/>
      <c r="VVV2479" s="60"/>
      <c r="VVW2479" s="60"/>
      <c r="VVX2479" s="60"/>
      <c r="VVY2479" s="64"/>
      <c r="VVZ2479" s="61"/>
      <c r="VWA2479" s="54"/>
      <c r="VWB2479" s="54"/>
      <c r="VWC2479" s="60"/>
      <c r="VWD2479" s="60"/>
      <c r="VWE2479" s="60"/>
      <c r="VWF2479" s="60"/>
      <c r="VWG2479" s="64"/>
      <c r="VWH2479" s="61"/>
      <c r="VWI2479" s="54"/>
      <c r="VWJ2479" s="54"/>
      <c r="VWK2479" s="60"/>
      <c r="VWL2479" s="60"/>
      <c r="VWM2479" s="60"/>
      <c r="VWN2479" s="60"/>
      <c r="VWO2479" s="64"/>
      <c r="VWP2479" s="61"/>
      <c r="VWQ2479" s="54"/>
      <c r="VWR2479" s="54"/>
      <c r="VWS2479" s="60"/>
      <c r="VWT2479" s="60"/>
      <c r="VWU2479" s="60"/>
      <c r="VWV2479" s="60"/>
      <c r="VWW2479" s="64"/>
      <c r="VWX2479" s="61"/>
      <c r="VWY2479" s="54"/>
      <c r="VWZ2479" s="54"/>
      <c r="VXA2479" s="60"/>
      <c r="VXB2479" s="60"/>
      <c r="VXC2479" s="60"/>
      <c r="VXD2479" s="60"/>
      <c r="VXE2479" s="64"/>
      <c r="VXF2479" s="61"/>
      <c r="VXG2479" s="54"/>
      <c r="VXH2479" s="54"/>
      <c r="VXI2479" s="60"/>
      <c r="VXJ2479" s="60"/>
      <c r="VXK2479" s="60"/>
      <c r="VXL2479" s="60"/>
      <c r="VXM2479" s="64"/>
      <c r="VXN2479" s="61"/>
      <c r="VXO2479" s="54"/>
      <c r="VXP2479" s="54"/>
      <c r="VXQ2479" s="60"/>
      <c r="VXR2479" s="60"/>
      <c r="VXS2479" s="60"/>
      <c r="VXT2479" s="60"/>
      <c r="VXU2479" s="64"/>
      <c r="VXV2479" s="61"/>
      <c r="VXW2479" s="54"/>
      <c r="VXX2479" s="54"/>
      <c r="VXY2479" s="60"/>
      <c r="VXZ2479" s="60"/>
      <c r="VYA2479" s="60"/>
      <c r="VYB2479" s="60"/>
      <c r="VYC2479" s="64"/>
      <c r="VYD2479" s="61"/>
      <c r="VYE2479" s="54"/>
      <c r="VYF2479" s="54"/>
      <c r="VYG2479" s="60"/>
      <c r="VYH2479" s="60"/>
      <c r="VYI2479" s="60"/>
      <c r="VYJ2479" s="60"/>
      <c r="VYK2479" s="64"/>
      <c r="VYL2479" s="61"/>
      <c r="VYM2479" s="54"/>
      <c r="VYN2479" s="54"/>
      <c r="VYO2479" s="60"/>
      <c r="VYP2479" s="60"/>
      <c r="VYQ2479" s="60"/>
      <c r="VYR2479" s="60"/>
      <c r="VYS2479" s="64"/>
      <c r="VYT2479" s="61"/>
      <c r="VYU2479" s="54"/>
      <c r="VYV2479" s="54"/>
      <c r="VYW2479" s="60"/>
      <c r="VYX2479" s="60"/>
      <c r="VYY2479" s="60"/>
      <c r="VYZ2479" s="60"/>
      <c r="VZA2479" s="64"/>
      <c r="VZB2479" s="61"/>
      <c r="VZC2479" s="54"/>
      <c r="VZD2479" s="54"/>
      <c r="VZE2479" s="60"/>
      <c r="VZF2479" s="60"/>
      <c r="VZG2479" s="60"/>
      <c r="VZH2479" s="60"/>
      <c r="VZI2479" s="64"/>
      <c r="VZJ2479" s="61"/>
      <c r="VZK2479" s="54"/>
      <c r="VZL2479" s="54"/>
      <c r="VZM2479" s="60"/>
      <c r="VZN2479" s="60"/>
      <c r="VZO2479" s="60"/>
      <c r="VZP2479" s="60"/>
      <c r="VZQ2479" s="64"/>
      <c r="VZR2479" s="61"/>
      <c r="VZS2479" s="54"/>
      <c r="VZT2479" s="54"/>
      <c r="VZU2479" s="60"/>
      <c r="VZV2479" s="60"/>
      <c r="VZW2479" s="60"/>
      <c r="VZX2479" s="60"/>
      <c r="VZY2479" s="64"/>
      <c r="VZZ2479" s="61"/>
      <c r="WAA2479" s="54"/>
      <c r="WAB2479" s="54"/>
      <c r="WAC2479" s="60"/>
      <c r="WAD2479" s="60"/>
      <c r="WAE2479" s="60"/>
      <c r="WAF2479" s="60"/>
      <c r="WAG2479" s="64"/>
      <c r="WAH2479" s="61"/>
      <c r="WAI2479" s="54"/>
      <c r="WAJ2479" s="54"/>
      <c r="WAK2479" s="60"/>
      <c r="WAL2479" s="60"/>
      <c r="WAM2479" s="60"/>
      <c r="WAN2479" s="60"/>
      <c r="WAO2479" s="64"/>
      <c r="WAP2479" s="61"/>
      <c r="WAQ2479" s="54"/>
      <c r="WAR2479" s="54"/>
      <c r="WAS2479" s="60"/>
      <c r="WAT2479" s="60"/>
      <c r="WAU2479" s="60"/>
      <c r="WAV2479" s="60"/>
      <c r="WAW2479" s="64"/>
      <c r="WAX2479" s="61"/>
      <c r="WAY2479" s="54"/>
      <c r="WAZ2479" s="54"/>
      <c r="WBA2479" s="60"/>
      <c r="WBB2479" s="60"/>
      <c r="WBC2479" s="60"/>
      <c r="WBD2479" s="60"/>
      <c r="WBE2479" s="64"/>
      <c r="WBF2479" s="61"/>
      <c r="WBG2479" s="54"/>
      <c r="WBH2479" s="54"/>
      <c r="WBI2479" s="60"/>
      <c r="WBJ2479" s="60"/>
      <c r="WBK2479" s="60"/>
      <c r="WBL2479" s="60"/>
      <c r="WBM2479" s="64"/>
      <c r="WBN2479" s="61"/>
      <c r="WBO2479" s="54"/>
      <c r="WBP2479" s="54"/>
      <c r="WBQ2479" s="60"/>
      <c r="WBR2479" s="60"/>
      <c r="WBS2479" s="60"/>
      <c r="WBT2479" s="60"/>
      <c r="WBU2479" s="64"/>
      <c r="WBV2479" s="61"/>
      <c r="WBW2479" s="54"/>
      <c r="WBX2479" s="54"/>
      <c r="WBY2479" s="60"/>
      <c r="WBZ2479" s="60"/>
      <c r="WCA2479" s="60"/>
      <c r="WCB2479" s="60"/>
      <c r="WCC2479" s="64"/>
      <c r="WCD2479" s="61"/>
      <c r="WCE2479" s="54"/>
      <c r="WCF2479" s="54"/>
      <c r="WCG2479" s="60"/>
      <c r="WCH2479" s="60"/>
      <c r="WCI2479" s="60"/>
      <c r="WCJ2479" s="60"/>
      <c r="WCK2479" s="64"/>
      <c r="WCL2479" s="61"/>
      <c r="WCM2479" s="54"/>
      <c r="WCN2479" s="54"/>
      <c r="WCO2479" s="60"/>
      <c r="WCP2479" s="60"/>
      <c r="WCQ2479" s="60"/>
      <c r="WCR2479" s="60"/>
      <c r="WCS2479" s="64"/>
      <c r="WCT2479" s="61"/>
      <c r="WCU2479" s="54"/>
      <c r="WCV2479" s="54"/>
      <c r="WCW2479" s="60"/>
      <c r="WCX2479" s="60"/>
      <c r="WCY2479" s="60"/>
      <c r="WCZ2479" s="60"/>
      <c r="WDA2479" s="64"/>
      <c r="WDB2479" s="61"/>
      <c r="WDC2479" s="54"/>
      <c r="WDD2479" s="54"/>
      <c r="WDE2479" s="60"/>
      <c r="WDF2479" s="60"/>
      <c r="WDG2479" s="60"/>
      <c r="WDH2479" s="60"/>
      <c r="WDI2479" s="64"/>
      <c r="WDJ2479" s="61"/>
      <c r="WDK2479" s="54"/>
      <c r="WDL2479" s="54"/>
      <c r="WDM2479" s="60"/>
      <c r="WDN2479" s="60"/>
      <c r="WDO2479" s="60"/>
      <c r="WDP2479" s="60"/>
      <c r="WDQ2479" s="64"/>
      <c r="WDR2479" s="61"/>
      <c r="WDS2479" s="54"/>
      <c r="WDT2479" s="54"/>
      <c r="WDU2479" s="60"/>
      <c r="WDV2479" s="60"/>
      <c r="WDW2479" s="60"/>
      <c r="WDX2479" s="60"/>
      <c r="WDY2479" s="64"/>
      <c r="WDZ2479" s="61"/>
      <c r="WEA2479" s="54"/>
      <c r="WEB2479" s="54"/>
      <c r="WEC2479" s="60"/>
      <c r="WED2479" s="60"/>
      <c r="WEE2479" s="60"/>
      <c r="WEF2479" s="60"/>
      <c r="WEG2479" s="64"/>
      <c r="WEH2479" s="61"/>
      <c r="WEI2479" s="54"/>
      <c r="WEJ2479" s="54"/>
      <c r="WEK2479" s="60"/>
      <c r="WEL2479" s="60"/>
      <c r="WEM2479" s="60"/>
      <c r="WEN2479" s="60"/>
      <c r="WEO2479" s="64"/>
      <c r="WEP2479" s="61"/>
      <c r="WEQ2479" s="54"/>
      <c r="WER2479" s="54"/>
      <c r="WES2479" s="60"/>
      <c r="WET2479" s="60"/>
      <c r="WEU2479" s="60"/>
      <c r="WEV2479" s="60"/>
      <c r="WEW2479" s="64"/>
      <c r="WEX2479" s="61"/>
      <c r="WEY2479" s="54"/>
      <c r="WEZ2479" s="54"/>
      <c r="WFA2479" s="60"/>
      <c r="WFB2479" s="60"/>
      <c r="WFC2479" s="60"/>
      <c r="WFD2479" s="60"/>
      <c r="WFE2479" s="64"/>
      <c r="WFF2479" s="61"/>
      <c r="WFG2479" s="54"/>
      <c r="WFH2479" s="54"/>
      <c r="WFI2479" s="60"/>
      <c r="WFJ2479" s="60"/>
      <c r="WFK2479" s="60"/>
      <c r="WFL2479" s="60"/>
      <c r="WFM2479" s="64"/>
      <c r="WFN2479" s="61"/>
      <c r="WFO2479" s="54"/>
      <c r="WFP2479" s="54"/>
      <c r="WFQ2479" s="60"/>
      <c r="WFR2479" s="60"/>
      <c r="WFS2479" s="60"/>
      <c r="WFT2479" s="60"/>
      <c r="WFU2479" s="64"/>
      <c r="WFV2479" s="61"/>
      <c r="WFW2479" s="54"/>
      <c r="WFX2479" s="54"/>
      <c r="WFY2479" s="60"/>
      <c r="WFZ2479" s="60"/>
      <c r="WGA2479" s="60"/>
      <c r="WGB2479" s="60"/>
      <c r="WGC2479" s="64"/>
      <c r="WGD2479" s="61"/>
      <c r="WGE2479" s="54"/>
      <c r="WGF2479" s="54"/>
      <c r="WGG2479" s="60"/>
      <c r="WGH2479" s="60"/>
      <c r="WGI2479" s="60"/>
      <c r="WGJ2479" s="60"/>
      <c r="WGK2479" s="64"/>
      <c r="WGL2479" s="61"/>
      <c r="WGM2479" s="54"/>
      <c r="WGN2479" s="54"/>
      <c r="WGO2479" s="60"/>
      <c r="WGP2479" s="60"/>
      <c r="WGQ2479" s="60"/>
      <c r="WGR2479" s="60"/>
      <c r="WGS2479" s="64"/>
      <c r="WGT2479" s="61"/>
      <c r="WGU2479" s="54"/>
      <c r="WGV2479" s="54"/>
      <c r="WGW2479" s="60"/>
      <c r="WGX2479" s="60"/>
      <c r="WGY2479" s="60"/>
      <c r="WGZ2479" s="60"/>
      <c r="WHA2479" s="64"/>
      <c r="WHB2479" s="61"/>
      <c r="WHC2479" s="54"/>
      <c r="WHD2479" s="54"/>
      <c r="WHE2479" s="60"/>
      <c r="WHF2479" s="60"/>
      <c r="WHG2479" s="60"/>
      <c r="WHH2479" s="60"/>
      <c r="WHI2479" s="64"/>
      <c r="WHJ2479" s="61"/>
      <c r="WHK2479" s="54"/>
      <c r="WHL2479" s="54"/>
      <c r="WHM2479" s="60"/>
      <c r="WHN2479" s="60"/>
      <c r="WHO2479" s="60"/>
      <c r="WHP2479" s="60"/>
      <c r="WHQ2479" s="64"/>
      <c r="WHR2479" s="61"/>
      <c r="WHS2479" s="54"/>
      <c r="WHT2479" s="54"/>
      <c r="WHU2479" s="60"/>
      <c r="WHV2479" s="60"/>
      <c r="WHW2479" s="60"/>
      <c r="WHX2479" s="60"/>
      <c r="WHY2479" s="64"/>
      <c r="WHZ2479" s="61"/>
      <c r="WIA2479" s="54"/>
      <c r="WIB2479" s="54"/>
      <c r="WIC2479" s="60"/>
      <c r="WID2479" s="60"/>
      <c r="WIE2479" s="60"/>
      <c r="WIF2479" s="60"/>
      <c r="WIG2479" s="64"/>
      <c r="WIH2479" s="61"/>
      <c r="WII2479" s="54"/>
      <c r="WIJ2479" s="54"/>
      <c r="WIK2479" s="60"/>
      <c r="WIL2479" s="60"/>
      <c r="WIM2479" s="60"/>
      <c r="WIN2479" s="60"/>
      <c r="WIO2479" s="64"/>
      <c r="WIP2479" s="61"/>
      <c r="WIQ2479" s="54"/>
      <c r="WIR2479" s="54"/>
      <c r="WIS2479" s="60"/>
      <c r="WIT2479" s="60"/>
      <c r="WIU2479" s="60"/>
      <c r="WIV2479" s="60"/>
      <c r="WIW2479" s="64"/>
      <c r="WIX2479" s="61"/>
      <c r="WIY2479" s="54"/>
      <c r="WIZ2479" s="54"/>
      <c r="WJA2479" s="60"/>
      <c r="WJB2479" s="60"/>
      <c r="WJC2479" s="60"/>
      <c r="WJD2479" s="60"/>
      <c r="WJE2479" s="64"/>
      <c r="WJF2479" s="61"/>
      <c r="WJG2479" s="54"/>
      <c r="WJH2479" s="54"/>
      <c r="WJI2479" s="60"/>
      <c r="WJJ2479" s="60"/>
      <c r="WJK2479" s="60"/>
      <c r="WJL2479" s="60"/>
      <c r="WJM2479" s="64"/>
      <c r="WJN2479" s="61"/>
      <c r="WJO2479" s="54"/>
      <c r="WJP2479" s="54"/>
      <c r="WJQ2479" s="60"/>
      <c r="WJR2479" s="60"/>
      <c r="WJS2479" s="60"/>
      <c r="WJT2479" s="60"/>
      <c r="WJU2479" s="64"/>
      <c r="WJV2479" s="61"/>
      <c r="WJW2479" s="54"/>
      <c r="WJX2479" s="54"/>
      <c r="WJY2479" s="60"/>
      <c r="WJZ2479" s="60"/>
      <c r="WKA2479" s="60"/>
      <c r="WKB2479" s="60"/>
      <c r="WKC2479" s="64"/>
      <c r="WKD2479" s="61"/>
      <c r="WKE2479" s="54"/>
      <c r="WKF2479" s="54"/>
      <c r="WKG2479" s="60"/>
      <c r="WKH2479" s="60"/>
      <c r="WKI2479" s="60"/>
      <c r="WKJ2479" s="60"/>
      <c r="WKK2479" s="64"/>
      <c r="WKL2479" s="61"/>
      <c r="WKM2479" s="54"/>
      <c r="WKN2479" s="54"/>
      <c r="WKO2479" s="60"/>
      <c r="WKP2479" s="60"/>
      <c r="WKQ2479" s="60"/>
      <c r="WKR2479" s="60"/>
      <c r="WKS2479" s="64"/>
      <c r="WKT2479" s="61"/>
      <c r="WKU2479" s="54"/>
      <c r="WKV2479" s="54"/>
      <c r="WKW2479" s="60"/>
      <c r="WKX2479" s="60"/>
      <c r="WKY2479" s="60"/>
      <c r="WKZ2479" s="60"/>
      <c r="WLA2479" s="64"/>
      <c r="WLB2479" s="61"/>
      <c r="WLC2479" s="54"/>
      <c r="WLD2479" s="54"/>
      <c r="WLE2479" s="60"/>
      <c r="WLF2479" s="60"/>
      <c r="WLG2479" s="60"/>
      <c r="WLH2479" s="60"/>
      <c r="WLI2479" s="64"/>
      <c r="WLJ2479" s="61"/>
      <c r="WLK2479" s="54"/>
      <c r="WLL2479" s="54"/>
      <c r="WLM2479" s="60"/>
      <c r="WLN2479" s="60"/>
      <c r="WLO2479" s="60"/>
      <c r="WLP2479" s="60"/>
      <c r="WLQ2479" s="64"/>
      <c r="WLR2479" s="61"/>
      <c r="WLS2479" s="54"/>
      <c r="WLT2479" s="54"/>
      <c r="WLU2479" s="60"/>
      <c r="WLV2479" s="60"/>
      <c r="WLW2479" s="60"/>
      <c r="WLX2479" s="60"/>
      <c r="WLY2479" s="64"/>
      <c r="WLZ2479" s="61"/>
      <c r="WMA2479" s="54"/>
      <c r="WMB2479" s="54"/>
      <c r="WMC2479" s="60"/>
      <c r="WMD2479" s="60"/>
      <c r="WME2479" s="60"/>
      <c r="WMF2479" s="60"/>
      <c r="WMG2479" s="64"/>
      <c r="WMH2479" s="61"/>
      <c r="WMI2479" s="54"/>
      <c r="WMJ2479" s="54"/>
      <c r="WMK2479" s="60"/>
      <c r="WML2479" s="60"/>
      <c r="WMM2479" s="60"/>
      <c r="WMN2479" s="60"/>
      <c r="WMO2479" s="64"/>
      <c r="WMP2479" s="61"/>
      <c r="WMQ2479" s="54"/>
      <c r="WMR2479" s="54"/>
      <c r="WMS2479" s="60"/>
      <c r="WMT2479" s="60"/>
      <c r="WMU2479" s="60"/>
      <c r="WMV2479" s="60"/>
      <c r="WMW2479" s="64"/>
      <c r="WMX2479" s="61"/>
      <c r="WMY2479" s="54"/>
      <c r="WMZ2479" s="54"/>
      <c r="WNA2479" s="60"/>
      <c r="WNB2479" s="60"/>
      <c r="WNC2479" s="60"/>
      <c r="WND2479" s="60"/>
      <c r="WNE2479" s="64"/>
      <c r="WNF2479" s="61"/>
      <c r="WNG2479" s="54"/>
      <c r="WNH2479" s="54"/>
      <c r="WNI2479" s="60"/>
      <c r="WNJ2479" s="60"/>
      <c r="WNK2479" s="60"/>
      <c r="WNL2479" s="60"/>
      <c r="WNM2479" s="64"/>
      <c r="WNN2479" s="61"/>
      <c r="WNO2479" s="54"/>
      <c r="WNP2479" s="54"/>
      <c r="WNQ2479" s="60"/>
      <c r="WNR2479" s="60"/>
      <c r="WNS2479" s="60"/>
      <c r="WNT2479" s="60"/>
      <c r="WNU2479" s="64"/>
      <c r="WNV2479" s="61"/>
      <c r="WNW2479" s="54"/>
      <c r="WNX2479" s="54"/>
      <c r="WNY2479" s="60"/>
      <c r="WNZ2479" s="60"/>
      <c r="WOA2479" s="60"/>
      <c r="WOB2479" s="60"/>
      <c r="WOC2479" s="64"/>
      <c r="WOD2479" s="61"/>
      <c r="WOE2479" s="54"/>
      <c r="WOF2479" s="54"/>
      <c r="WOG2479" s="60"/>
      <c r="WOH2479" s="60"/>
      <c r="WOI2479" s="60"/>
      <c r="WOJ2479" s="60"/>
      <c r="WOK2479" s="64"/>
      <c r="WOL2479" s="61"/>
      <c r="WOM2479" s="54"/>
      <c r="WON2479" s="54"/>
      <c r="WOO2479" s="60"/>
      <c r="WOP2479" s="60"/>
      <c r="WOQ2479" s="60"/>
      <c r="WOR2479" s="60"/>
      <c r="WOS2479" s="64"/>
      <c r="WOT2479" s="61"/>
      <c r="WOU2479" s="54"/>
      <c r="WOV2479" s="54"/>
      <c r="WOW2479" s="60"/>
      <c r="WOX2479" s="60"/>
      <c r="WOY2479" s="60"/>
      <c r="WOZ2479" s="60"/>
      <c r="WPA2479" s="64"/>
      <c r="WPB2479" s="61"/>
      <c r="WPC2479" s="54"/>
      <c r="WPD2479" s="54"/>
      <c r="WPE2479" s="60"/>
      <c r="WPF2479" s="60"/>
      <c r="WPG2479" s="60"/>
      <c r="WPH2479" s="60"/>
      <c r="WPI2479" s="64"/>
      <c r="WPJ2479" s="61"/>
      <c r="WPK2479" s="54"/>
      <c r="WPL2479" s="54"/>
      <c r="WPM2479" s="60"/>
      <c r="WPN2479" s="60"/>
      <c r="WPO2479" s="60"/>
      <c r="WPP2479" s="60"/>
      <c r="WPQ2479" s="64"/>
      <c r="WPR2479" s="61"/>
      <c r="WPS2479" s="54"/>
      <c r="WPT2479" s="54"/>
      <c r="WPU2479" s="60"/>
      <c r="WPV2479" s="60"/>
      <c r="WPW2479" s="60"/>
      <c r="WPX2479" s="60"/>
      <c r="WPY2479" s="64"/>
      <c r="WPZ2479" s="61"/>
      <c r="WQA2479" s="54"/>
      <c r="WQB2479" s="54"/>
      <c r="WQC2479" s="60"/>
      <c r="WQD2479" s="60"/>
      <c r="WQE2479" s="60"/>
      <c r="WQF2479" s="60"/>
      <c r="WQG2479" s="64"/>
      <c r="WQH2479" s="61"/>
      <c r="WQI2479" s="54"/>
      <c r="WQJ2479" s="54"/>
      <c r="WQK2479" s="60"/>
      <c r="WQL2479" s="60"/>
      <c r="WQM2479" s="60"/>
      <c r="WQN2479" s="60"/>
      <c r="WQO2479" s="64"/>
      <c r="WQP2479" s="61"/>
      <c r="WQQ2479" s="54"/>
      <c r="WQR2479" s="54"/>
      <c r="WQS2479" s="60"/>
      <c r="WQT2479" s="60"/>
      <c r="WQU2479" s="60"/>
      <c r="WQV2479" s="60"/>
      <c r="WQW2479" s="64"/>
      <c r="WQX2479" s="61"/>
      <c r="WQY2479" s="54"/>
      <c r="WQZ2479" s="54"/>
      <c r="WRA2479" s="60"/>
      <c r="WRB2479" s="60"/>
      <c r="WRC2479" s="60"/>
      <c r="WRD2479" s="60"/>
      <c r="WRE2479" s="64"/>
      <c r="WRF2479" s="61"/>
      <c r="WRG2479" s="54"/>
      <c r="WRH2479" s="54"/>
      <c r="WRI2479" s="60"/>
      <c r="WRJ2479" s="60"/>
      <c r="WRK2479" s="60"/>
      <c r="WRL2479" s="60"/>
      <c r="WRM2479" s="64"/>
      <c r="WRN2479" s="61"/>
      <c r="WRO2479" s="54"/>
      <c r="WRP2479" s="54"/>
      <c r="WRQ2479" s="60"/>
      <c r="WRR2479" s="60"/>
      <c r="WRS2479" s="60"/>
      <c r="WRT2479" s="60"/>
      <c r="WRU2479" s="64"/>
      <c r="WRV2479" s="61"/>
      <c r="WRW2479" s="54"/>
      <c r="WRX2479" s="54"/>
      <c r="WRY2479" s="60"/>
      <c r="WRZ2479" s="60"/>
      <c r="WSA2479" s="60"/>
      <c r="WSB2479" s="60"/>
      <c r="WSC2479" s="64"/>
      <c r="WSD2479" s="61"/>
      <c r="WSE2479" s="54"/>
      <c r="WSF2479" s="54"/>
      <c r="WSG2479" s="60"/>
      <c r="WSH2479" s="60"/>
      <c r="WSI2479" s="60"/>
      <c r="WSJ2479" s="60"/>
      <c r="WSK2479" s="64"/>
      <c r="WSL2479" s="61"/>
      <c r="WSM2479" s="54"/>
      <c r="WSN2479" s="54"/>
      <c r="WSO2479" s="60"/>
      <c r="WSP2479" s="60"/>
      <c r="WSQ2479" s="60"/>
      <c r="WSR2479" s="60"/>
      <c r="WSS2479" s="64"/>
      <c r="WST2479" s="61"/>
      <c r="WSU2479" s="54"/>
      <c r="WSV2479" s="54"/>
      <c r="WSW2479" s="60"/>
      <c r="WSX2479" s="60"/>
      <c r="WSY2479" s="60"/>
      <c r="WSZ2479" s="60"/>
      <c r="WTA2479" s="64"/>
      <c r="WTB2479" s="61"/>
      <c r="WTC2479" s="54"/>
      <c r="WTD2479" s="54"/>
      <c r="WTE2479" s="60"/>
      <c r="WTF2479" s="60"/>
      <c r="WTG2479" s="60"/>
      <c r="WTH2479" s="60"/>
      <c r="WTI2479" s="64"/>
      <c r="WTJ2479" s="61"/>
      <c r="WTK2479" s="54"/>
      <c r="WTL2479" s="54"/>
      <c r="WTM2479" s="60"/>
      <c r="WTN2479" s="60"/>
      <c r="WTO2479" s="60"/>
      <c r="WTP2479" s="60"/>
      <c r="WTQ2479" s="64"/>
      <c r="WTR2479" s="61"/>
      <c r="WTS2479" s="54"/>
      <c r="WTT2479" s="54"/>
      <c r="WTU2479" s="60"/>
      <c r="WTV2479" s="60"/>
      <c r="WTW2479" s="60"/>
      <c r="WTX2479" s="60"/>
      <c r="WTY2479" s="64"/>
      <c r="WTZ2479" s="61"/>
      <c r="WUA2479" s="54"/>
      <c r="WUB2479" s="54"/>
      <c r="WUC2479" s="60"/>
      <c r="WUD2479" s="60"/>
      <c r="WUE2479" s="60"/>
      <c r="WUF2479" s="60"/>
      <c r="WUG2479" s="64"/>
      <c r="WUH2479" s="61"/>
      <c r="WUI2479" s="54"/>
      <c r="WUJ2479" s="54"/>
      <c r="WUK2479" s="60"/>
      <c r="WUL2479" s="60"/>
      <c r="WUM2479" s="60"/>
      <c r="WUN2479" s="60"/>
      <c r="WUO2479" s="64"/>
      <c r="WUP2479" s="61"/>
      <c r="WUQ2479" s="54"/>
      <c r="WUR2479" s="54"/>
      <c r="WUS2479" s="60"/>
      <c r="WUT2479" s="60"/>
      <c r="WUU2479" s="60"/>
      <c r="WUV2479" s="60"/>
      <c r="WUW2479" s="64"/>
      <c r="WUX2479" s="61"/>
      <c r="WUY2479" s="54"/>
      <c r="WUZ2479" s="54"/>
      <c r="WVA2479" s="60"/>
      <c r="WVB2479" s="60"/>
      <c r="WVC2479" s="60"/>
      <c r="WVD2479" s="60"/>
      <c r="WVE2479" s="64"/>
      <c r="WVF2479" s="61"/>
      <c r="WVG2479" s="54"/>
      <c r="WVH2479" s="54"/>
      <c r="WVI2479" s="60"/>
      <c r="WVJ2479" s="60"/>
      <c r="WVK2479" s="60"/>
      <c r="WVL2479" s="60"/>
      <c r="WVM2479" s="64"/>
      <c r="WVN2479" s="61"/>
      <c r="WVO2479" s="54"/>
      <c r="WVP2479" s="54"/>
      <c r="WVQ2479" s="60"/>
      <c r="WVR2479" s="60"/>
      <c r="WVS2479" s="60"/>
      <c r="WVT2479" s="60"/>
      <c r="WVU2479" s="64"/>
      <c r="WVV2479" s="61"/>
      <c r="WVW2479" s="54"/>
      <c r="WVX2479" s="54"/>
      <c r="WVY2479" s="60"/>
      <c r="WVZ2479" s="60"/>
      <c r="WWA2479" s="60"/>
      <c r="WWB2479" s="60"/>
      <c r="WWC2479" s="64"/>
      <c r="WWD2479" s="61"/>
      <c r="WWE2479" s="54"/>
      <c r="WWF2479" s="54"/>
      <c r="WWG2479" s="60"/>
      <c r="WWH2479" s="60"/>
      <c r="WWI2479" s="60"/>
      <c r="WWJ2479" s="60"/>
      <c r="WWK2479" s="64"/>
      <c r="WWL2479" s="61"/>
      <c r="WWM2479" s="54"/>
      <c r="WWN2479" s="54"/>
      <c r="WWO2479" s="60"/>
      <c r="WWP2479" s="60"/>
      <c r="WWQ2479" s="60"/>
      <c r="WWR2479" s="60"/>
      <c r="WWS2479" s="64"/>
      <c r="WWT2479" s="61"/>
      <c r="WWU2479" s="54"/>
      <c r="WWV2479" s="54"/>
      <c r="WWW2479" s="60"/>
      <c r="WWX2479" s="60"/>
      <c r="WWY2479" s="60"/>
      <c r="WWZ2479" s="60"/>
      <c r="WXA2479" s="64"/>
      <c r="WXB2479" s="61"/>
      <c r="WXC2479" s="54"/>
      <c r="WXD2479" s="54"/>
      <c r="WXE2479" s="60"/>
      <c r="WXF2479" s="60"/>
      <c r="WXG2479" s="60"/>
      <c r="WXH2479" s="60"/>
      <c r="WXI2479" s="64"/>
      <c r="WXJ2479" s="61"/>
      <c r="WXK2479" s="54"/>
      <c r="WXL2479" s="54"/>
      <c r="WXM2479" s="60"/>
      <c r="WXN2479" s="60"/>
      <c r="WXO2479" s="60"/>
      <c r="WXP2479" s="60"/>
      <c r="WXQ2479" s="64"/>
      <c r="WXR2479" s="61"/>
      <c r="WXS2479" s="54"/>
      <c r="WXT2479" s="54"/>
      <c r="WXU2479" s="60"/>
      <c r="WXV2479" s="60"/>
      <c r="WXW2479" s="60"/>
      <c r="WXX2479" s="60"/>
      <c r="WXY2479" s="64"/>
      <c r="WXZ2479" s="61"/>
      <c r="WYA2479" s="54"/>
      <c r="WYB2479" s="54"/>
      <c r="WYC2479" s="60"/>
      <c r="WYD2479" s="60"/>
      <c r="WYE2479" s="60"/>
      <c r="WYF2479" s="60"/>
      <c r="WYG2479" s="64"/>
      <c r="WYH2479" s="61"/>
      <c r="WYI2479" s="54"/>
      <c r="WYJ2479" s="54"/>
      <c r="WYK2479" s="60"/>
      <c r="WYL2479" s="60"/>
      <c r="WYM2479" s="60"/>
      <c r="WYN2479" s="60"/>
      <c r="WYO2479" s="64"/>
      <c r="WYP2479" s="61"/>
      <c r="WYQ2479" s="54"/>
      <c r="WYR2479" s="54"/>
      <c r="WYS2479" s="60"/>
      <c r="WYT2479" s="60"/>
      <c r="WYU2479" s="60"/>
      <c r="WYV2479" s="60"/>
      <c r="WYW2479" s="64"/>
      <c r="WYX2479" s="61"/>
      <c r="WYY2479" s="54"/>
      <c r="WYZ2479" s="54"/>
      <c r="WZA2479" s="60"/>
      <c r="WZB2479" s="60"/>
      <c r="WZC2479" s="60"/>
      <c r="WZD2479" s="60"/>
      <c r="WZE2479" s="64"/>
      <c r="WZF2479" s="61"/>
      <c r="WZG2479" s="54"/>
      <c r="WZH2479" s="54"/>
      <c r="WZI2479" s="60"/>
      <c r="WZJ2479" s="60"/>
      <c r="WZK2479" s="60"/>
      <c r="WZL2479" s="60"/>
      <c r="WZM2479" s="64"/>
      <c r="WZN2479" s="61"/>
      <c r="WZO2479" s="54"/>
      <c r="WZP2479" s="54"/>
      <c r="WZQ2479" s="60"/>
      <c r="WZR2479" s="60"/>
      <c r="WZS2479" s="60"/>
      <c r="WZT2479" s="60"/>
      <c r="WZU2479" s="64"/>
      <c r="WZV2479" s="61"/>
      <c r="WZW2479" s="54"/>
      <c r="WZX2479" s="54"/>
      <c r="WZY2479" s="60"/>
      <c r="WZZ2479" s="60"/>
      <c r="XAA2479" s="60"/>
      <c r="XAB2479" s="60"/>
      <c r="XAC2479" s="64"/>
      <c r="XAD2479" s="61"/>
      <c r="XAE2479" s="54"/>
      <c r="XAF2479" s="54"/>
      <c r="XAG2479" s="60"/>
      <c r="XAH2479" s="60"/>
      <c r="XAI2479" s="60"/>
      <c r="XAJ2479" s="60"/>
      <c r="XAK2479" s="64"/>
      <c r="XAL2479" s="61"/>
      <c r="XAM2479" s="54"/>
      <c r="XAN2479" s="54"/>
      <c r="XAO2479" s="60"/>
      <c r="XAP2479" s="60"/>
      <c r="XAQ2479" s="60"/>
      <c r="XAR2479" s="60"/>
      <c r="XAS2479" s="64"/>
      <c r="XAT2479" s="61"/>
      <c r="XAU2479" s="54"/>
      <c r="XAV2479" s="54"/>
      <c r="XAW2479" s="60"/>
      <c r="XAX2479" s="60"/>
      <c r="XAY2479" s="60"/>
      <c r="XAZ2479" s="60"/>
      <c r="XBA2479" s="64"/>
      <c r="XBB2479" s="61"/>
      <c r="XBC2479" s="54"/>
      <c r="XBD2479" s="54"/>
      <c r="XBE2479" s="60"/>
      <c r="XBF2479" s="60"/>
      <c r="XBG2479" s="60"/>
      <c r="XBH2479" s="60"/>
      <c r="XBI2479" s="64"/>
      <c r="XBJ2479" s="61"/>
      <c r="XBK2479" s="54"/>
      <c r="XBL2479" s="54"/>
      <c r="XBM2479" s="60"/>
      <c r="XBN2479" s="60"/>
      <c r="XBO2479" s="60"/>
      <c r="XBP2479" s="60"/>
      <c r="XBQ2479" s="64"/>
      <c r="XBR2479" s="61"/>
      <c r="XBS2479" s="54"/>
      <c r="XBT2479" s="54"/>
      <c r="XBU2479" s="60"/>
      <c r="XBV2479" s="60"/>
      <c r="XBW2479" s="60"/>
      <c r="XBX2479" s="60"/>
      <c r="XBY2479" s="64"/>
      <c r="XBZ2479" s="61"/>
      <c r="XCA2479" s="54"/>
      <c r="XCB2479" s="54"/>
      <c r="XCC2479" s="60"/>
      <c r="XCD2479" s="60"/>
      <c r="XCE2479" s="60"/>
      <c r="XCF2479" s="60"/>
      <c r="XCG2479" s="64"/>
      <c r="XCH2479" s="61"/>
      <c r="XCI2479" s="54"/>
      <c r="XCJ2479" s="54"/>
      <c r="XCK2479" s="60"/>
      <c r="XCL2479" s="60"/>
      <c r="XCM2479" s="60"/>
      <c r="XCN2479" s="60"/>
      <c r="XCO2479" s="64"/>
      <c r="XCP2479" s="61"/>
      <c r="XCQ2479" s="54"/>
      <c r="XCR2479" s="54"/>
      <c r="XCS2479" s="60"/>
      <c r="XCT2479" s="60"/>
      <c r="XCU2479" s="60"/>
      <c r="XCV2479" s="60"/>
      <c r="XCW2479" s="64"/>
      <c r="XCX2479" s="61"/>
      <c r="XCY2479" s="54"/>
      <c r="XCZ2479" s="54"/>
      <c r="XDA2479" s="60"/>
      <c r="XDB2479" s="60"/>
      <c r="XDC2479" s="60"/>
      <c r="XDD2479" s="60"/>
      <c r="XDE2479" s="64"/>
      <c r="XDF2479" s="61"/>
      <c r="XDG2479" s="54"/>
      <c r="XDH2479" s="54"/>
      <c r="XDI2479" s="60"/>
      <c r="XDJ2479" s="60"/>
      <c r="XDK2479" s="60"/>
      <c r="XDL2479" s="60"/>
      <c r="XDM2479" s="64"/>
      <c r="XDN2479" s="61"/>
      <c r="XDO2479" s="54"/>
      <c r="XDP2479" s="54"/>
      <c r="XDQ2479" s="60"/>
      <c r="XDR2479" s="60"/>
      <c r="XDS2479" s="60"/>
      <c r="XDT2479" s="60"/>
      <c r="XDU2479" s="64"/>
      <c r="XDV2479" s="61"/>
      <c r="XDW2479" s="54"/>
      <c r="XDX2479" s="54"/>
      <c r="XDY2479" s="60"/>
      <c r="XDZ2479" s="60"/>
      <c r="XEA2479" s="60"/>
      <c r="XEB2479" s="60"/>
      <c r="XEC2479" s="64"/>
      <c r="XED2479" s="61"/>
      <c r="XEE2479" s="54"/>
      <c r="XEF2479" s="54"/>
      <c r="XEG2479" s="60"/>
      <c r="XEH2479" s="60"/>
      <c r="XEI2479" s="60"/>
      <c r="XEJ2479" s="60"/>
      <c r="XEK2479" s="64"/>
      <c r="XEL2479" s="61"/>
      <c r="XEM2479" s="54"/>
      <c r="XEN2479" s="54"/>
      <c r="XEO2479" s="60"/>
      <c r="XEP2479" s="60"/>
      <c r="XEQ2479" s="60"/>
      <c r="XER2479" s="60"/>
      <c r="XES2479" s="64"/>
      <c r="XET2479" s="61"/>
      <c r="XEU2479" s="54"/>
      <c r="XEV2479" s="54"/>
      <c r="XEW2479" s="60"/>
    </row>
    <row r="2480" ht="18" customHeight="1" spans="1:16377">
      <c r="A2480" s="6" t="s">
        <v>8209</v>
      </c>
      <c r="B2480" s="6" t="s">
        <v>8540</v>
      </c>
      <c r="C2480" s="6" t="s">
        <v>16413</v>
      </c>
      <c r="D2480" s="5" t="s">
        <v>16379</v>
      </c>
      <c r="E2480" s="11" t="s">
        <v>16414</v>
      </c>
      <c r="F2480" s="7" t="s">
        <v>11535</v>
      </c>
      <c r="G2480" s="54"/>
      <c r="H2480" s="54"/>
      <c r="I2480" s="60"/>
      <c r="J2480" s="60"/>
      <c r="K2480" s="60"/>
      <c r="L2480" s="60"/>
      <c r="M2480" s="60"/>
      <c r="N2480" s="61"/>
      <c r="O2480" s="54"/>
      <c r="P2480" s="54"/>
      <c r="Q2480" s="60"/>
      <c r="R2480" s="60"/>
      <c r="S2480" s="60"/>
      <c r="T2480" s="60"/>
      <c r="U2480" s="60"/>
      <c r="V2480" s="61"/>
      <c r="W2480" s="54"/>
      <c r="X2480" s="54"/>
      <c r="Y2480" s="60"/>
      <c r="Z2480" s="60"/>
      <c r="AA2480" s="60"/>
      <c r="AB2480" s="60"/>
      <c r="AC2480" s="60"/>
      <c r="AD2480" s="61"/>
      <c r="AE2480" s="54"/>
      <c r="AF2480" s="54"/>
      <c r="AG2480" s="60"/>
      <c r="AH2480" s="60"/>
      <c r="AI2480" s="60"/>
      <c r="AJ2480" s="60"/>
      <c r="AK2480" s="60"/>
      <c r="AL2480" s="61"/>
      <c r="AM2480" s="54"/>
      <c r="AN2480" s="54"/>
      <c r="AO2480" s="60"/>
      <c r="AP2480" s="60"/>
      <c r="AQ2480" s="60"/>
      <c r="AR2480" s="60"/>
      <c r="AS2480" s="60"/>
      <c r="AT2480" s="61"/>
      <c r="AU2480" s="54"/>
      <c r="AV2480" s="54"/>
      <c r="AW2480" s="60"/>
      <c r="AX2480" s="60"/>
      <c r="AY2480" s="60"/>
      <c r="AZ2480" s="60"/>
      <c r="BA2480" s="60"/>
      <c r="BB2480" s="61"/>
      <c r="BC2480" s="54"/>
      <c r="BD2480" s="54"/>
      <c r="BE2480" s="60"/>
      <c r="BF2480" s="60"/>
      <c r="BG2480" s="60"/>
      <c r="BH2480" s="60"/>
      <c r="BI2480" s="60"/>
      <c r="BJ2480" s="61"/>
      <c r="BK2480" s="54"/>
      <c r="BL2480" s="54"/>
      <c r="BM2480" s="60"/>
      <c r="BN2480" s="60"/>
      <c r="BO2480" s="60"/>
      <c r="BP2480" s="60"/>
      <c r="BQ2480" s="60"/>
      <c r="BR2480" s="61"/>
      <c r="BS2480" s="54"/>
      <c r="BT2480" s="54"/>
      <c r="BU2480" s="60"/>
      <c r="BV2480" s="60"/>
      <c r="BW2480" s="60"/>
      <c r="BX2480" s="60"/>
      <c r="BY2480" s="60"/>
      <c r="BZ2480" s="61"/>
      <c r="CA2480" s="54"/>
      <c r="CB2480" s="54"/>
      <c r="CC2480" s="60"/>
      <c r="CD2480" s="60"/>
      <c r="CE2480" s="60"/>
      <c r="CF2480" s="60"/>
      <c r="CG2480" s="60"/>
      <c r="CH2480" s="61"/>
      <c r="CI2480" s="54"/>
      <c r="CJ2480" s="54"/>
      <c r="CK2480" s="60"/>
      <c r="CL2480" s="60"/>
      <c r="CM2480" s="60"/>
      <c r="CN2480" s="60"/>
      <c r="CO2480" s="60"/>
      <c r="CP2480" s="61"/>
      <c r="CQ2480" s="54"/>
      <c r="CR2480" s="54"/>
      <c r="CS2480" s="60"/>
      <c r="CT2480" s="60"/>
      <c r="CU2480" s="60"/>
      <c r="CV2480" s="60"/>
      <c r="CW2480" s="60"/>
      <c r="CX2480" s="61"/>
      <c r="CY2480" s="54"/>
      <c r="CZ2480" s="54"/>
      <c r="DA2480" s="60"/>
      <c r="DB2480" s="60"/>
      <c r="DC2480" s="60"/>
      <c r="DD2480" s="60"/>
      <c r="DE2480" s="60"/>
      <c r="DF2480" s="61"/>
      <c r="DG2480" s="54"/>
      <c r="DH2480" s="54"/>
      <c r="DI2480" s="60"/>
      <c r="DJ2480" s="60"/>
      <c r="DK2480" s="60"/>
      <c r="DL2480" s="60"/>
      <c r="DM2480" s="60"/>
      <c r="DN2480" s="61"/>
      <c r="DO2480" s="54"/>
      <c r="DP2480" s="54"/>
      <c r="DQ2480" s="60"/>
      <c r="DR2480" s="60"/>
      <c r="DS2480" s="60"/>
      <c r="DT2480" s="60"/>
      <c r="DU2480" s="60"/>
      <c r="DV2480" s="61"/>
      <c r="DW2480" s="54"/>
      <c r="DX2480" s="54"/>
      <c r="DY2480" s="60"/>
      <c r="DZ2480" s="60"/>
      <c r="EA2480" s="60"/>
      <c r="EB2480" s="60"/>
      <c r="EC2480" s="60"/>
      <c r="ED2480" s="61"/>
      <c r="EE2480" s="54"/>
      <c r="EF2480" s="54"/>
      <c r="EG2480" s="60"/>
      <c r="EH2480" s="60"/>
      <c r="EI2480" s="60"/>
      <c r="EJ2480" s="60"/>
      <c r="EK2480" s="60"/>
      <c r="EL2480" s="61"/>
      <c r="EM2480" s="54"/>
      <c r="EN2480" s="54"/>
      <c r="EO2480" s="60"/>
      <c r="EP2480" s="60"/>
      <c r="EQ2480" s="60"/>
      <c r="ER2480" s="60"/>
      <c r="ES2480" s="60"/>
      <c r="ET2480" s="61"/>
      <c r="EU2480" s="54"/>
      <c r="EV2480" s="54"/>
      <c r="EW2480" s="60"/>
      <c r="EX2480" s="60"/>
      <c r="EY2480" s="60"/>
      <c r="EZ2480" s="60"/>
      <c r="FA2480" s="60"/>
      <c r="FB2480" s="61"/>
      <c r="FC2480" s="54"/>
      <c r="FD2480" s="54"/>
      <c r="FE2480" s="60"/>
      <c r="FF2480" s="60"/>
      <c r="FG2480" s="60"/>
      <c r="FH2480" s="60"/>
      <c r="FI2480" s="60"/>
      <c r="FJ2480" s="61"/>
      <c r="FK2480" s="54"/>
      <c r="FL2480" s="54"/>
      <c r="FM2480" s="60"/>
      <c r="FN2480" s="60"/>
      <c r="FO2480" s="60"/>
      <c r="FP2480" s="60"/>
      <c r="FQ2480" s="60"/>
      <c r="FR2480" s="61"/>
      <c r="FS2480" s="54"/>
      <c r="FT2480" s="54"/>
      <c r="FU2480" s="60"/>
      <c r="FV2480" s="60"/>
      <c r="FW2480" s="60"/>
      <c r="FX2480" s="60"/>
      <c r="FY2480" s="60"/>
      <c r="FZ2480" s="61"/>
      <c r="GA2480" s="54"/>
      <c r="GB2480" s="54"/>
      <c r="GC2480" s="60"/>
      <c r="GD2480" s="60"/>
      <c r="GE2480" s="60"/>
      <c r="GF2480" s="60"/>
      <c r="GG2480" s="60"/>
      <c r="GH2480" s="61"/>
      <c r="GI2480" s="54"/>
      <c r="GJ2480" s="54"/>
      <c r="GK2480" s="60"/>
      <c r="GL2480" s="60"/>
      <c r="GM2480" s="60"/>
      <c r="GN2480" s="60"/>
      <c r="GO2480" s="60"/>
      <c r="GP2480" s="61"/>
      <c r="GQ2480" s="54"/>
      <c r="GR2480" s="54"/>
      <c r="GS2480" s="60"/>
      <c r="GT2480" s="60"/>
      <c r="GU2480" s="60"/>
      <c r="GV2480" s="60"/>
      <c r="GW2480" s="60"/>
      <c r="GX2480" s="61"/>
      <c r="GY2480" s="54"/>
      <c r="GZ2480" s="54"/>
      <c r="HA2480" s="60"/>
      <c r="HB2480" s="60"/>
      <c r="HC2480" s="60"/>
      <c r="HD2480" s="60"/>
      <c r="HE2480" s="60"/>
      <c r="HF2480" s="61"/>
      <c r="HG2480" s="54"/>
      <c r="HH2480" s="54"/>
      <c r="HI2480" s="60"/>
      <c r="HJ2480" s="60"/>
      <c r="HK2480" s="60"/>
      <c r="HL2480" s="60"/>
      <c r="HM2480" s="60"/>
      <c r="HN2480" s="61"/>
      <c r="HO2480" s="54"/>
      <c r="HP2480" s="54"/>
      <c r="HQ2480" s="60"/>
      <c r="HR2480" s="60"/>
      <c r="HS2480" s="60"/>
      <c r="HT2480" s="60"/>
      <c r="HU2480" s="60"/>
      <c r="HV2480" s="61"/>
      <c r="HW2480" s="54"/>
      <c r="HX2480" s="54"/>
      <c r="HY2480" s="60"/>
      <c r="HZ2480" s="60"/>
      <c r="IA2480" s="60"/>
      <c r="IB2480" s="60"/>
      <c r="IC2480" s="60"/>
      <c r="ID2480" s="61"/>
      <c r="IE2480" s="54"/>
      <c r="IF2480" s="54"/>
      <c r="IG2480" s="60"/>
      <c r="IH2480" s="60"/>
      <c r="II2480" s="60"/>
      <c r="IJ2480" s="60"/>
      <c r="IK2480" s="60"/>
      <c r="IL2480" s="61"/>
      <c r="IM2480" s="54"/>
      <c r="IN2480" s="54"/>
      <c r="IO2480" s="60"/>
      <c r="IP2480" s="60"/>
      <c r="IQ2480" s="60"/>
      <c r="IR2480" s="60"/>
      <c r="IS2480" s="60"/>
      <c r="IT2480" s="61"/>
      <c r="IU2480" s="54"/>
      <c r="IV2480" s="54"/>
      <c r="IW2480" s="60"/>
      <c r="IX2480" s="60"/>
      <c r="IY2480" s="60"/>
      <c r="IZ2480" s="60"/>
      <c r="JA2480" s="60"/>
      <c r="JB2480" s="61"/>
      <c r="JC2480" s="54"/>
      <c r="JD2480" s="54"/>
      <c r="JE2480" s="60"/>
      <c r="JF2480" s="60"/>
      <c r="JG2480" s="60"/>
      <c r="JH2480" s="60"/>
      <c r="JI2480" s="60"/>
      <c r="JJ2480" s="61"/>
      <c r="JK2480" s="54"/>
      <c r="JL2480" s="54"/>
      <c r="JM2480" s="60"/>
      <c r="JN2480" s="60"/>
      <c r="JO2480" s="60"/>
      <c r="JP2480" s="60"/>
      <c r="JQ2480" s="60"/>
      <c r="JR2480" s="61"/>
      <c r="JS2480" s="54"/>
      <c r="JT2480" s="54"/>
      <c r="JU2480" s="60"/>
      <c r="JV2480" s="60"/>
      <c r="JW2480" s="60"/>
      <c r="JX2480" s="60"/>
      <c r="JY2480" s="60"/>
      <c r="JZ2480" s="61"/>
      <c r="KA2480" s="54"/>
      <c r="KB2480" s="54"/>
      <c r="KC2480" s="60"/>
      <c r="KD2480" s="60"/>
      <c r="KE2480" s="60"/>
      <c r="KF2480" s="60"/>
      <c r="KG2480" s="60"/>
      <c r="KH2480" s="61"/>
      <c r="KI2480" s="54"/>
      <c r="KJ2480" s="54"/>
      <c r="KK2480" s="60"/>
      <c r="KL2480" s="60"/>
      <c r="KM2480" s="60"/>
      <c r="KN2480" s="60"/>
      <c r="KO2480" s="60"/>
      <c r="KP2480" s="61"/>
      <c r="KQ2480" s="54"/>
      <c r="KR2480" s="54"/>
      <c r="KS2480" s="60"/>
      <c r="KT2480" s="60"/>
      <c r="KU2480" s="60"/>
      <c r="KV2480" s="60"/>
      <c r="KW2480" s="60"/>
      <c r="KX2480" s="61"/>
      <c r="KY2480" s="54"/>
      <c r="KZ2480" s="54"/>
      <c r="LA2480" s="60"/>
      <c r="LB2480" s="60"/>
      <c r="LC2480" s="60"/>
      <c r="LD2480" s="60"/>
      <c r="LE2480" s="60"/>
      <c r="LF2480" s="61"/>
      <c r="LG2480" s="54"/>
      <c r="LH2480" s="54"/>
      <c r="LI2480" s="60"/>
      <c r="LJ2480" s="60"/>
      <c r="LK2480" s="60"/>
      <c r="LL2480" s="60"/>
      <c r="LM2480" s="60"/>
      <c r="LN2480" s="61"/>
      <c r="LO2480" s="54"/>
      <c r="LP2480" s="54"/>
      <c r="LQ2480" s="60"/>
      <c r="LR2480" s="60"/>
      <c r="LS2480" s="60"/>
      <c r="LT2480" s="60"/>
      <c r="LU2480" s="60"/>
      <c r="LV2480" s="61"/>
      <c r="LW2480" s="54"/>
      <c r="LX2480" s="54"/>
      <c r="LY2480" s="60"/>
      <c r="LZ2480" s="60"/>
      <c r="MA2480" s="60"/>
      <c r="MB2480" s="60"/>
      <c r="MC2480" s="60"/>
      <c r="MD2480" s="61"/>
      <c r="ME2480" s="54"/>
      <c r="MF2480" s="54"/>
      <c r="MG2480" s="60"/>
      <c r="MH2480" s="60"/>
      <c r="MI2480" s="60"/>
      <c r="MJ2480" s="60"/>
      <c r="MK2480" s="60"/>
      <c r="ML2480" s="61"/>
      <c r="MM2480" s="54"/>
      <c r="MN2480" s="54"/>
      <c r="MO2480" s="60"/>
      <c r="MP2480" s="60"/>
      <c r="MQ2480" s="60"/>
      <c r="MR2480" s="60"/>
      <c r="MS2480" s="60"/>
      <c r="MT2480" s="61"/>
      <c r="MU2480" s="54"/>
      <c r="MV2480" s="54"/>
      <c r="MW2480" s="60"/>
      <c r="MX2480" s="60"/>
      <c r="MY2480" s="60"/>
      <c r="MZ2480" s="60"/>
      <c r="NA2480" s="60"/>
      <c r="NB2480" s="61"/>
      <c r="NC2480" s="54"/>
      <c r="ND2480" s="54"/>
      <c r="NE2480" s="60"/>
      <c r="NF2480" s="60"/>
      <c r="NG2480" s="60"/>
      <c r="NH2480" s="60"/>
      <c r="NI2480" s="60"/>
      <c r="NJ2480" s="61"/>
      <c r="NK2480" s="54"/>
      <c r="NL2480" s="54"/>
      <c r="NM2480" s="60"/>
      <c r="NN2480" s="60"/>
      <c r="NO2480" s="60"/>
      <c r="NP2480" s="60"/>
      <c r="NQ2480" s="60"/>
      <c r="NR2480" s="61"/>
      <c r="NS2480" s="54"/>
      <c r="NT2480" s="54"/>
      <c r="NU2480" s="60"/>
      <c r="NV2480" s="60"/>
      <c r="NW2480" s="60"/>
      <c r="NX2480" s="60"/>
      <c r="NY2480" s="60"/>
      <c r="NZ2480" s="61"/>
      <c r="OA2480" s="54"/>
      <c r="OB2480" s="54"/>
      <c r="OC2480" s="60"/>
      <c r="OD2480" s="60"/>
      <c r="OE2480" s="60"/>
      <c r="OF2480" s="60"/>
      <c r="OG2480" s="60"/>
      <c r="OH2480" s="61"/>
      <c r="OI2480" s="54"/>
      <c r="OJ2480" s="54"/>
      <c r="OK2480" s="60"/>
      <c r="OL2480" s="60"/>
      <c r="OM2480" s="60"/>
      <c r="ON2480" s="60"/>
      <c r="OO2480" s="60"/>
      <c r="OP2480" s="61"/>
      <c r="OQ2480" s="54"/>
      <c r="OR2480" s="54"/>
      <c r="OS2480" s="60"/>
      <c r="OT2480" s="60"/>
      <c r="OU2480" s="60"/>
      <c r="OV2480" s="60"/>
      <c r="OW2480" s="60"/>
      <c r="OX2480" s="61"/>
      <c r="OY2480" s="54"/>
      <c r="OZ2480" s="54"/>
      <c r="PA2480" s="60"/>
      <c r="PB2480" s="60"/>
      <c r="PC2480" s="60"/>
      <c r="PD2480" s="60"/>
      <c r="PE2480" s="60"/>
      <c r="PF2480" s="61"/>
      <c r="PG2480" s="54"/>
      <c r="PH2480" s="54"/>
      <c r="PI2480" s="60"/>
      <c r="PJ2480" s="60"/>
      <c r="PK2480" s="60"/>
      <c r="PL2480" s="60"/>
      <c r="PM2480" s="60"/>
      <c r="PN2480" s="61"/>
      <c r="PO2480" s="54"/>
      <c r="PP2480" s="54"/>
      <c r="PQ2480" s="60"/>
      <c r="PR2480" s="60"/>
      <c r="PS2480" s="60"/>
      <c r="PT2480" s="60"/>
      <c r="PU2480" s="60"/>
      <c r="PV2480" s="61"/>
      <c r="PW2480" s="54"/>
      <c r="PX2480" s="54"/>
      <c r="PY2480" s="60"/>
      <c r="PZ2480" s="60"/>
      <c r="QA2480" s="60"/>
      <c r="QB2480" s="60"/>
      <c r="QC2480" s="60"/>
      <c r="QD2480" s="61"/>
      <c r="QE2480" s="54"/>
      <c r="QF2480" s="54"/>
      <c r="QG2480" s="60"/>
      <c r="QH2480" s="60"/>
      <c r="QI2480" s="60"/>
      <c r="QJ2480" s="60"/>
      <c r="QK2480" s="60"/>
      <c r="QL2480" s="61"/>
      <c r="QM2480" s="54"/>
      <c r="QN2480" s="54"/>
      <c r="QO2480" s="60"/>
      <c r="QP2480" s="60"/>
      <c r="QQ2480" s="60"/>
      <c r="QR2480" s="60"/>
      <c r="QS2480" s="60"/>
      <c r="QT2480" s="61"/>
      <c r="QU2480" s="54"/>
      <c r="QV2480" s="54"/>
      <c r="QW2480" s="60"/>
      <c r="QX2480" s="60"/>
      <c r="QY2480" s="60"/>
      <c r="QZ2480" s="60"/>
      <c r="RA2480" s="60"/>
      <c r="RB2480" s="61"/>
      <c r="RC2480" s="54"/>
      <c r="RD2480" s="54"/>
      <c r="RE2480" s="60"/>
      <c r="RF2480" s="60"/>
      <c r="RG2480" s="60"/>
      <c r="RH2480" s="60"/>
      <c r="RI2480" s="60"/>
      <c r="RJ2480" s="61"/>
      <c r="RK2480" s="54"/>
      <c r="RL2480" s="54"/>
      <c r="RM2480" s="60"/>
      <c r="RN2480" s="60"/>
      <c r="RO2480" s="60"/>
      <c r="RP2480" s="60"/>
      <c r="RQ2480" s="60"/>
      <c r="RR2480" s="61"/>
      <c r="RS2480" s="54"/>
      <c r="RT2480" s="54"/>
      <c r="RU2480" s="60"/>
      <c r="RV2480" s="60"/>
      <c r="RW2480" s="60"/>
      <c r="RX2480" s="60"/>
      <c r="RY2480" s="60"/>
      <c r="RZ2480" s="61"/>
      <c r="SA2480" s="54"/>
      <c r="SB2480" s="54"/>
      <c r="SC2480" s="60"/>
      <c r="SD2480" s="60"/>
      <c r="SE2480" s="60"/>
      <c r="SF2480" s="60"/>
      <c r="SG2480" s="60"/>
      <c r="SH2480" s="61"/>
      <c r="SI2480" s="54"/>
      <c r="SJ2480" s="54"/>
      <c r="SK2480" s="60"/>
      <c r="SL2480" s="60"/>
      <c r="SM2480" s="60"/>
      <c r="SN2480" s="60"/>
      <c r="SO2480" s="60"/>
      <c r="SP2480" s="61"/>
      <c r="SQ2480" s="54"/>
      <c r="SR2480" s="54"/>
      <c r="SS2480" s="60"/>
      <c r="ST2480" s="60"/>
      <c r="SU2480" s="60"/>
      <c r="SV2480" s="60"/>
      <c r="SW2480" s="60"/>
      <c r="SX2480" s="61"/>
      <c r="SY2480" s="54"/>
      <c r="SZ2480" s="54"/>
      <c r="TA2480" s="60"/>
      <c r="TB2480" s="60"/>
      <c r="TC2480" s="60"/>
      <c r="TD2480" s="60"/>
      <c r="TE2480" s="60"/>
      <c r="TF2480" s="61"/>
      <c r="TG2480" s="54"/>
      <c r="TH2480" s="54"/>
      <c r="TI2480" s="60"/>
      <c r="TJ2480" s="60"/>
      <c r="TK2480" s="60"/>
      <c r="TL2480" s="60"/>
      <c r="TM2480" s="60"/>
      <c r="TN2480" s="61"/>
      <c r="TO2480" s="54"/>
      <c r="TP2480" s="54"/>
      <c r="TQ2480" s="60"/>
      <c r="TR2480" s="60"/>
      <c r="TS2480" s="60"/>
      <c r="TT2480" s="60"/>
      <c r="TU2480" s="60"/>
      <c r="TV2480" s="61"/>
      <c r="TW2480" s="54"/>
      <c r="TX2480" s="54"/>
      <c r="TY2480" s="60"/>
      <c r="TZ2480" s="60"/>
      <c r="UA2480" s="60"/>
      <c r="UB2480" s="60"/>
      <c r="UC2480" s="60"/>
      <c r="UD2480" s="61"/>
      <c r="UE2480" s="54"/>
      <c r="UF2480" s="54"/>
      <c r="UG2480" s="60"/>
      <c r="UH2480" s="60"/>
      <c r="UI2480" s="60"/>
      <c r="UJ2480" s="60"/>
      <c r="UK2480" s="60"/>
      <c r="UL2480" s="61"/>
      <c r="UM2480" s="54"/>
      <c r="UN2480" s="54"/>
      <c r="UO2480" s="60"/>
      <c r="UP2480" s="60"/>
      <c r="UQ2480" s="60"/>
      <c r="UR2480" s="60"/>
      <c r="US2480" s="60"/>
      <c r="UT2480" s="61"/>
      <c r="UU2480" s="54"/>
      <c r="UV2480" s="54"/>
      <c r="UW2480" s="60"/>
      <c r="UX2480" s="60"/>
      <c r="UY2480" s="60"/>
      <c r="UZ2480" s="60"/>
      <c r="VA2480" s="60"/>
      <c r="VB2480" s="61"/>
      <c r="VC2480" s="54"/>
      <c r="VD2480" s="54"/>
      <c r="VE2480" s="60"/>
      <c r="VF2480" s="60"/>
      <c r="VG2480" s="60"/>
      <c r="VH2480" s="60"/>
      <c r="VI2480" s="60"/>
      <c r="VJ2480" s="61"/>
      <c r="VK2480" s="54"/>
      <c r="VL2480" s="54"/>
      <c r="VM2480" s="60"/>
      <c r="VN2480" s="60"/>
      <c r="VO2480" s="60"/>
      <c r="VP2480" s="60"/>
      <c r="VQ2480" s="60"/>
      <c r="VR2480" s="61"/>
      <c r="VS2480" s="54"/>
      <c r="VT2480" s="54"/>
      <c r="VU2480" s="60"/>
      <c r="VV2480" s="60"/>
      <c r="VW2480" s="60"/>
      <c r="VX2480" s="60"/>
      <c r="VY2480" s="60"/>
      <c r="VZ2480" s="61"/>
      <c r="WA2480" s="54"/>
      <c r="WB2480" s="54"/>
      <c r="WC2480" s="60"/>
      <c r="WD2480" s="60"/>
      <c r="WE2480" s="60"/>
      <c r="WF2480" s="60"/>
      <c r="WG2480" s="60"/>
      <c r="WH2480" s="61"/>
      <c r="WI2480" s="54"/>
      <c r="WJ2480" s="54"/>
      <c r="WK2480" s="60"/>
      <c r="WL2480" s="60"/>
      <c r="WM2480" s="60"/>
      <c r="WN2480" s="60"/>
      <c r="WO2480" s="60"/>
      <c r="WP2480" s="61"/>
      <c r="WQ2480" s="54"/>
      <c r="WR2480" s="54"/>
      <c r="WS2480" s="60"/>
      <c r="WT2480" s="60"/>
      <c r="WU2480" s="60"/>
      <c r="WV2480" s="60"/>
      <c r="WW2480" s="60"/>
      <c r="WX2480" s="61"/>
      <c r="WY2480" s="54"/>
      <c r="WZ2480" s="54"/>
      <c r="XA2480" s="60"/>
      <c r="XB2480" s="60"/>
      <c r="XC2480" s="60"/>
      <c r="XD2480" s="60"/>
      <c r="XE2480" s="60"/>
      <c r="XF2480" s="61"/>
      <c r="XG2480" s="54"/>
      <c r="XH2480" s="54"/>
      <c r="XI2480" s="60"/>
      <c r="XJ2480" s="60"/>
      <c r="XK2480" s="60"/>
      <c r="XL2480" s="60"/>
      <c r="XM2480" s="60"/>
      <c r="XN2480" s="61"/>
      <c r="XO2480" s="54"/>
      <c r="XP2480" s="54"/>
      <c r="XQ2480" s="60"/>
      <c r="XR2480" s="60"/>
      <c r="XS2480" s="60"/>
      <c r="XT2480" s="60"/>
      <c r="XU2480" s="60"/>
      <c r="XV2480" s="61"/>
      <c r="XW2480" s="54"/>
      <c r="XX2480" s="54"/>
      <c r="XY2480" s="60"/>
      <c r="XZ2480" s="60"/>
      <c r="YA2480" s="60"/>
      <c r="YB2480" s="60"/>
      <c r="YC2480" s="60"/>
      <c r="YD2480" s="61"/>
      <c r="YE2480" s="54"/>
      <c r="YF2480" s="54"/>
      <c r="YG2480" s="60"/>
      <c r="YH2480" s="60"/>
      <c r="YI2480" s="60"/>
      <c r="YJ2480" s="60"/>
      <c r="YK2480" s="60"/>
      <c r="YL2480" s="61"/>
      <c r="YM2480" s="54"/>
      <c r="YN2480" s="54"/>
      <c r="YO2480" s="60"/>
      <c r="YP2480" s="60"/>
      <c r="YQ2480" s="60"/>
      <c r="YR2480" s="60"/>
      <c r="YS2480" s="60"/>
      <c r="YT2480" s="61"/>
      <c r="YU2480" s="54"/>
      <c r="YV2480" s="54"/>
      <c r="YW2480" s="60"/>
      <c r="YX2480" s="60"/>
      <c r="YY2480" s="60"/>
      <c r="YZ2480" s="60"/>
      <c r="ZA2480" s="60"/>
      <c r="ZB2480" s="61"/>
      <c r="ZC2480" s="54"/>
      <c r="ZD2480" s="54"/>
      <c r="ZE2480" s="60"/>
      <c r="ZF2480" s="60"/>
      <c r="ZG2480" s="60"/>
      <c r="ZH2480" s="60"/>
      <c r="ZI2480" s="60"/>
      <c r="ZJ2480" s="61"/>
      <c r="ZK2480" s="54"/>
      <c r="ZL2480" s="54"/>
      <c r="ZM2480" s="60"/>
      <c r="ZN2480" s="60"/>
      <c r="ZO2480" s="60"/>
      <c r="ZP2480" s="60"/>
      <c r="ZQ2480" s="60"/>
      <c r="ZR2480" s="61"/>
      <c r="ZS2480" s="54"/>
      <c r="ZT2480" s="54"/>
      <c r="ZU2480" s="60"/>
      <c r="ZV2480" s="60"/>
      <c r="ZW2480" s="60"/>
      <c r="ZX2480" s="60"/>
      <c r="ZY2480" s="60"/>
      <c r="ZZ2480" s="61"/>
      <c r="AAA2480" s="54"/>
      <c r="AAB2480" s="54"/>
      <c r="AAC2480" s="60"/>
      <c r="AAD2480" s="60"/>
      <c r="AAE2480" s="60"/>
      <c r="AAF2480" s="60"/>
      <c r="AAG2480" s="60"/>
      <c r="AAH2480" s="61"/>
      <c r="AAI2480" s="54"/>
      <c r="AAJ2480" s="54"/>
      <c r="AAK2480" s="60"/>
      <c r="AAL2480" s="60"/>
      <c r="AAM2480" s="60"/>
      <c r="AAN2480" s="60"/>
      <c r="AAO2480" s="60"/>
      <c r="AAP2480" s="61"/>
      <c r="AAQ2480" s="54"/>
      <c r="AAR2480" s="54"/>
      <c r="AAS2480" s="60"/>
      <c r="AAT2480" s="60"/>
      <c r="AAU2480" s="60"/>
      <c r="AAV2480" s="60"/>
      <c r="AAW2480" s="60"/>
      <c r="AAX2480" s="61"/>
      <c r="AAY2480" s="54"/>
      <c r="AAZ2480" s="54"/>
      <c r="ABA2480" s="60"/>
      <c r="ABB2480" s="60"/>
      <c r="ABC2480" s="60"/>
      <c r="ABD2480" s="60"/>
      <c r="ABE2480" s="60"/>
      <c r="ABF2480" s="61"/>
      <c r="ABG2480" s="54"/>
      <c r="ABH2480" s="54"/>
      <c r="ABI2480" s="60"/>
      <c r="ABJ2480" s="60"/>
      <c r="ABK2480" s="60"/>
      <c r="ABL2480" s="60"/>
      <c r="ABM2480" s="60"/>
      <c r="ABN2480" s="61"/>
      <c r="ABO2480" s="54"/>
      <c r="ABP2480" s="54"/>
      <c r="ABQ2480" s="60"/>
      <c r="ABR2480" s="60"/>
      <c r="ABS2480" s="60"/>
      <c r="ABT2480" s="60"/>
      <c r="ABU2480" s="60"/>
      <c r="ABV2480" s="61"/>
      <c r="ABW2480" s="54"/>
      <c r="ABX2480" s="54"/>
      <c r="ABY2480" s="60"/>
      <c r="ABZ2480" s="60"/>
      <c r="ACA2480" s="60"/>
      <c r="ACB2480" s="60"/>
      <c r="ACC2480" s="60"/>
      <c r="ACD2480" s="61"/>
      <c r="ACE2480" s="54"/>
      <c r="ACF2480" s="54"/>
      <c r="ACG2480" s="60"/>
      <c r="ACH2480" s="60"/>
      <c r="ACI2480" s="60"/>
      <c r="ACJ2480" s="60"/>
      <c r="ACK2480" s="60"/>
      <c r="ACL2480" s="61"/>
      <c r="ACM2480" s="54"/>
      <c r="ACN2480" s="54"/>
      <c r="ACO2480" s="60"/>
      <c r="ACP2480" s="60"/>
      <c r="ACQ2480" s="60"/>
      <c r="ACR2480" s="60"/>
      <c r="ACS2480" s="60"/>
      <c r="ACT2480" s="61"/>
      <c r="ACU2480" s="54"/>
      <c r="ACV2480" s="54"/>
      <c r="ACW2480" s="60"/>
      <c r="ACX2480" s="60"/>
      <c r="ACY2480" s="60"/>
      <c r="ACZ2480" s="60"/>
      <c r="ADA2480" s="60"/>
      <c r="ADB2480" s="61"/>
      <c r="ADC2480" s="54"/>
      <c r="ADD2480" s="54"/>
      <c r="ADE2480" s="60"/>
      <c r="ADF2480" s="60"/>
      <c r="ADG2480" s="60"/>
      <c r="ADH2480" s="60"/>
      <c r="ADI2480" s="60"/>
      <c r="ADJ2480" s="61"/>
      <c r="ADK2480" s="54"/>
      <c r="ADL2480" s="54"/>
      <c r="ADM2480" s="60"/>
      <c r="ADN2480" s="60"/>
      <c r="ADO2480" s="60"/>
      <c r="ADP2480" s="60"/>
      <c r="ADQ2480" s="60"/>
      <c r="ADR2480" s="61"/>
      <c r="ADS2480" s="54"/>
      <c r="ADT2480" s="54"/>
      <c r="ADU2480" s="60"/>
      <c r="ADV2480" s="60"/>
      <c r="ADW2480" s="60"/>
      <c r="ADX2480" s="60"/>
      <c r="ADY2480" s="60"/>
      <c r="ADZ2480" s="61"/>
      <c r="AEA2480" s="54"/>
      <c r="AEB2480" s="54"/>
      <c r="AEC2480" s="60"/>
      <c r="AED2480" s="60"/>
      <c r="AEE2480" s="60"/>
      <c r="AEF2480" s="60"/>
      <c r="AEG2480" s="60"/>
      <c r="AEH2480" s="61"/>
      <c r="AEI2480" s="54"/>
      <c r="AEJ2480" s="54"/>
      <c r="AEK2480" s="60"/>
      <c r="AEL2480" s="60"/>
      <c r="AEM2480" s="60"/>
      <c r="AEN2480" s="60"/>
      <c r="AEO2480" s="60"/>
      <c r="AEP2480" s="61"/>
      <c r="AEQ2480" s="54"/>
      <c r="AER2480" s="54"/>
      <c r="AES2480" s="60"/>
      <c r="AET2480" s="60"/>
      <c r="AEU2480" s="60"/>
      <c r="AEV2480" s="60"/>
      <c r="AEW2480" s="60"/>
      <c r="AEX2480" s="61"/>
      <c r="AEY2480" s="54"/>
      <c r="AEZ2480" s="54"/>
      <c r="AFA2480" s="60"/>
      <c r="AFB2480" s="60"/>
      <c r="AFC2480" s="60"/>
      <c r="AFD2480" s="60"/>
      <c r="AFE2480" s="60"/>
      <c r="AFF2480" s="61"/>
      <c r="AFG2480" s="54"/>
      <c r="AFH2480" s="54"/>
      <c r="AFI2480" s="60"/>
      <c r="AFJ2480" s="60"/>
      <c r="AFK2480" s="60"/>
      <c r="AFL2480" s="60"/>
      <c r="AFM2480" s="60"/>
      <c r="AFN2480" s="61"/>
      <c r="AFO2480" s="54"/>
      <c r="AFP2480" s="54"/>
      <c r="AFQ2480" s="60"/>
      <c r="AFR2480" s="60"/>
      <c r="AFS2480" s="60"/>
      <c r="AFT2480" s="60"/>
      <c r="AFU2480" s="60"/>
      <c r="AFV2480" s="61"/>
      <c r="AFW2480" s="54"/>
      <c r="AFX2480" s="54"/>
      <c r="AFY2480" s="60"/>
      <c r="AFZ2480" s="60"/>
      <c r="AGA2480" s="60"/>
      <c r="AGB2480" s="60"/>
      <c r="AGC2480" s="60"/>
      <c r="AGD2480" s="61"/>
      <c r="AGE2480" s="54"/>
      <c r="AGF2480" s="54"/>
      <c r="AGG2480" s="60"/>
      <c r="AGH2480" s="60"/>
      <c r="AGI2480" s="60"/>
      <c r="AGJ2480" s="60"/>
      <c r="AGK2480" s="60"/>
      <c r="AGL2480" s="61"/>
      <c r="AGM2480" s="54"/>
      <c r="AGN2480" s="54"/>
      <c r="AGO2480" s="60"/>
      <c r="AGP2480" s="60"/>
      <c r="AGQ2480" s="60"/>
      <c r="AGR2480" s="60"/>
      <c r="AGS2480" s="60"/>
      <c r="AGT2480" s="61"/>
      <c r="AGU2480" s="54"/>
      <c r="AGV2480" s="54"/>
      <c r="AGW2480" s="60"/>
      <c r="AGX2480" s="60"/>
      <c r="AGY2480" s="60"/>
      <c r="AGZ2480" s="60"/>
      <c r="AHA2480" s="60"/>
      <c r="AHB2480" s="61"/>
      <c r="AHC2480" s="54"/>
      <c r="AHD2480" s="54"/>
      <c r="AHE2480" s="60"/>
      <c r="AHF2480" s="60"/>
      <c r="AHG2480" s="60"/>
      <c r="AHH2480" s="60"/>
      <c r="AHI2480" s="60"/>
      <c r="AHJ2480" s="61"/>
      <c r="AHK2480" s="54"/>
      <c r="AHL2480" s="54"/>
      <c r="AHM2480" s="60"/>
      <c r="AHN2480" s="60"/>
      <c r="AHO2480" s="60"/>
      <c r="AHP2480" s="60"/>
      <c r="AHQ2480" s="60"/>
      <c r="AHR2480" s="61"/>
      <c r="AHS2480" s="54"/>
      <c r="AHT2480" s="54"/>
      <c r="AHU2480" s="60"/>
      <c r="AHV2480" s="60"/>
      <c r="AHW2480" s="60"/>
      <c r="AHX2480" s="60"/>
      <c r="AHY2480" s="60"/>
      <c r="AHZ2480" s="61"/>
      <c r="AIA2480" s="54"/>
      <c r="AIB2480" s="54"/>
      <c r="AIC2480" s="60"/>
      <c r="AID2480" s="60"/>
      <c r="AIE2480" s="60"/>
      <c r="AIF2480" s="60"/>
      <c r="AIG2480" s="60"/>
      <c r="AIH2480" s="61"/>
      <c r="AII2480" s="54"/>
      <c r="AIJ2480" s="54"/>
      <c r="AIK2480" s="60"/>
      <c r="AIL2480" s="60"/>
      <c r="AIM2480" s="60"/>
      <c r="AIN2480" s="60"/>
      <c r="AIO2480" s="60"/>
      <c r="AIP2480" s="61"/>
      <c r="AIQ2480" s="54"/>
      <c r="AIR2480" s="54"/>
      <c r="AIS2480" s="60"/>
      <c r="AIT2480" s="60"/>
      <c r="AIU2480" s="60"/>
      <c r="AIV2480" s="60"/>
      <c r="AIW2480" s="60"/>
      <c r="AIX2480" s="61"/>
      <c r="AIY2480" s="54"/>
      <c r="AIZ2480" s="54"/>
      <c r="AJA2480" s="60"/>
      <c r="AJB2480" s="60"/>
      <c r="AJC2480" s="60"/>
      <c r="AJD2480" s="60"/>
      <c r="AJE2480" s="60"/>
      <c r="AJF2480" s="61"/>
      <c r="AJG2480" s="54"/>
      <c r="AJH2480" s="54"/>
      <c r="AJI2480" s="60"/>
      <c r="AJJ2480" s="60"/>
      <c r="AJK2480" s="60"/>
      <c r="AJL2480" s="60"/>
      <c r="AJM2480" s="60"/>
      <c r="AJN2480" s="61"/>
      <c r="AJO2480" s="54"/>
      <c r="AJP2480" s="54"/>
      <c r="AJQ2480" s="60"/>
      <c r="AJR2480" s="60"/>
      <c r="AJS2480" s="60"/>
      <c r="AJT2480" s="60"/>
      <c r="AJU2480" s="60"/>
      <c r="AJV2480" s="61"/>
      <c r="AJW2480" s="54"/>
      <c r="AJX2480" s="54"/>
      <c r="AJY2480" s="60"/>
      <c r="AJZ2480" s="60"/>
      <c r="AKA2480" s="60"/>
      <c r="AKB2480" s="60"/>
      <c r="AKC2480" s="60"/>
      <c r="AKD2480" s="61"/>
      <c r="AKE2480" s="54"/>
      <c r="AKF2480" s="54"/>
      <c r="AKG2480" s="60"/>
      <c r="AKH2480" s="60"/>
      <c r="AKI2480" s="60"/>
      <c r="AKJ2480" s="60"/>
      <c r="AKK2480" s="60"/>
      <c r="AKL2480" s="61"/>
      <c r="AKM2480" s="54"/>
      <c r="AKN2480" s="54"/>
      <c r="AKO2480" s="60"/>
      <c r="AKP2480" s="60"/>
      <c r="AKQ2480" s="60"/>
      <c r="AKR2480" s="60"/>
      <c r="AKS2480" s="60"/>
      <c r="AKT2480" s="61"/>
      <c r="AKU2480" s="54"/>
      <c r="AKV2480" s="54"/>
      <c r="AKW2480" s="60"/>
      <c r="AKX2480" s="60"/>
      <c r="AKY2480" s="60"/>
      <c r="AKZ2480" s="60"/>
      <c r="ALA2480" s="60"/>
      <c r="ALB2480" s="61"/>
      <c r="ALC2480" s="54"/>
      <c r="ALD2480" s="54"/>
      <c r="ALE2480" s="60"/>
      <c r="ALF2480" s="60"/>
      <c r="ALG2480" s="60"/>
      <c r="ALH2480" s="60"/>
      <c r="ALI2480" s="60"/>
      <c r="ALJ2480" s="61"/>
      <c r="ALK2480" s="54"/>
      <c r="ALL2480" s="54"/>
      <c r="ALM2480" s="60"/>
      <c r="ALN2480" s="60"/>
      <c r="ALO2480" s="60"/>
      <c r="ALP2480" s="60"/>
      <c r="ALQ2480" s="60"/>
      <c r="ALR2480" s="61"/>
      <c r="ALS2480" s="54"/>
      <c r="ALT2480" s="54"/>
      <c r="ALU2480" s="60"/>
      <c r="ALV2480" s="60"/>
      <c r="ALW2480" s="60"/>
      <c r="ALX2480" s="60"/>
      <c r="ALY2480" s="60"/>
      <c r="ALZ2480" s="61"/>
      <c r="AMA2480" s="54"/>
      <c r="AMB2480" s="54"/>
      <c r="AMC2480" s="60"/>
      <c r="AMD2480" s="60"/>
      <c r="AME2480" s="60"/>
      <c r="AMF2480" s="60"/>
      <c r="AMG2480" s="60"/>
      <c r="AMH2480" s="61"/>
      <c r="AMI2480" s="54"/>
      <c r="AMJ2480" s="54"/>
      <c r="AMK2480" s="60"/>
      <c r="AML2480" s="60"/>
      <c r="AMM2480" s="60"/>
      <c r="AMN2480" s="60"/>
      <c r="AMO2480" s="60"/>
      <c r="AMP2480" s="61"/>
      <c r="AMQ2480" s="54"/>
      <c r="AMR2480" s="54"/>
      <c r="AMS2480" s="60"/>
      <c r="AMT2480" s="60"/>
      <c r="AMU2480" s="60"/>
      <c r="AMV2480" s="60"/>
      <c r="AMW2480" s="60"/>
      <c r="AMX2480" s="61"/>
      <c r="AMY2480" s="54"/>
      <c r="AMZ2480" s="54"/>
      <c r="ANA2480" s="60"/>
      <c r="ANB2480" s="60"/>
      <c r="ANC2480" s="60"/>
      <c r="AND2480" s="60"/>
      <c r="ANE2480" s="60"/>
      <c r="ANF2480" s="61"/>
      <c r="ANG2480" s="54"/>
      <c r="ANH2480" s="54"/>
      <c r="ANI2480" s="60"/>
      <c r="ANJ2480" s="60"/>
      <c r="ANK2480" s="60"/>
      <c r="ANL2480" s="60"/>
      <c r="ANM2480" s="60"/>
      <c r="ANN2480" s="61"/>
      <c r="ANO2480" s="54"/>
      <c r="ANP2480" s="54"/>
      <c r="ANQ2480" s="60"/>
      <c r="ANR2480" s="60"/>
      <c r="ANS2480" s="60"/>
      <c r="ANT2480" s="60"/>
      <c r="ANU2480" s="60"/>
      <c r="ANV2480" s="61"/>
      <c r="ANW2480" s="54"/>
      <c r="ANX2480" s="54"/>
      <c r="ANY2480" s="60"/>
      <c r="ANZ2480" s="60"/>
      <c r="AOA2480" s="60"/>
      <c r="AOB2480" s="60"/>
      <c r="AOC2480" s="60"/>
      <c r="AOD2480" s="61"/>
      <c r="AOE2480" s="54"/>
      <c r="AOF2480" s="54"/>
      <c r="AOG2480" s="60"/>
      <c r="AOH2480" s="60"/>
      <c r="AOI2480" s="60"/>
      <c r="AOJ2480" s="60"/>
      <c r="AOK2480" s="60"/>
      <c r="AOL2480" s="61"/>
      <c r="AOM2480" s="54"/>
      <c r="AON2480" s="54"/>
      <c r="AOO2480" s="60"/>
      <c r="AOP2480" s="60"/>
      <c r="AOQ2480" s="60"/>
      <c r="AOR2480" s="60"/>
      <c r="AOS2480" s="60"/>
      <c r="AOT2480" s="61"/>
      <c r="AOU2480" s="54"/>
      <c r="AOV2480" s="54"/>
      <c r="AOW2480" s="60"/>
      <c r="AOX2480" s="60"/>
      <c r="AOY2480" s="60"/>
      <c r="AOZ2480" s="60"/>
      <c r="APA2480" s="60"/>
      <c r="APB2480" s="61"/>
      <c r="APC2480" s="54"/>
      <c r="APD2480" s="54"/>
      <c r="APE2480" s="60"/>
      <c r="APF2480" s="60"/>
      <c r="APG2480" s="60"/>
      <c r="APH2480" s="60"/>
      <c r="API2480" s="60"/>
      <c r="APJ2480" s="61"/>
      <c r="APK2480" s="54"/>
      <c r="APL2480" s="54"/>
      <c r="APM2480" s="60"/>
      <c r="APN2480" s="60"/>
      <c r="APO2480" s="60"/>
      <c r="APP2480" s="60"/>
      <c r="APQ2480" s="60"/>
      <c r="APR2480" s="61"/>
      <c r="APS2480" s="54"/>
      <c r="APT2480" s="54"/>
      <c r="APU2480" s="60"/>
      <c r="APV2480" s="60"/>
      <c r="APW2480" s="60"/>
      <c r="APX2480" s="60"/>
      <c r="APY2480" s="60"/>
      <c r="APZ2480" s="61"/>
      <c r="AQA2480" s="54"/>
      <c r="AQB2480" s="54"/>
      <c r="AQC2480" s="60"/>
      <c r="AQD2480" s="60"/>
      <c r="AQE2480" s="60"/>
      <c r="AQF2480" s="60"/>
      <c r="AQG2480" s="60"/>
      <c r="AQH2480" s="61"/>
      <c r="AQI2480" s="54"/>
      <c r="AQJ2480" s="54"/>
      <c r="AQK2480" s="60"/>
      <c r="AQL2480" s="60"/>
      <c r="AQM2480" s="60"/>
      <c r="AQN2480" s="60"/>
      <c r="AQO2480" s="60"/>
      <c r="AQP2480" s="61"/>
      <c r="AQQ2480" s="54"/>
      <c r="AQR2480" s="54"/>
      <c r="AQS2480" s="60"/>
      <c r="AQT2480" s="60"/>
      <c r="AQU2480" s="60"/>
      <c r="AQV2480" s="60"/>
      <c r="AQW2480" s="60"/>
      <c r="AQX2480" s="61"/>
      <c r="AQY2480" s="54"/>
      <c r="AQZ2480" s="54"/>
      <c r="ARA2480" s="60"/>
      <c r="ARB2480" s="60"/>
      <c r="ARC2480" s="60"/>
      <c r="ARD2480" s="60"/>
      <c r="ARE2480" s="60"/>
      <c r="ARF2480" s="61"/>
      <c r="ARG2480" s="54"/>
      <c r="ARH2480" s="54"/>
      <c r="ARI2480" s="60"/>
      <c r="ARJ2480" s="60"/>
      <c r="ARK2480" s="60"/>
      <c r="ARL2480" s="60"/>
      <c r="ARM2480" s="60"/>
      <c r="ARN2480" s="61"/>
      <c r="ARO2480" s="54"/>
      <c r="ARP2480" s="54"/>
      <c r="ARQ2480" s="60"/>
      <c r="ARR2480" s="60"/>
      <c r="ARS2480" s="60"/>
      <c r="ART2480" s="60"/>
      <c r="ARU2480" s="60"/>
      <c r="ARV2480" s="61"/>
      <c r="ARW2480" s="54"/>
      <c r="ARX2480" s="54"/>
      <c r="ARY2480" s="60"/>
      <c r="ARZ2480" s="60"/>
      <c r="ASA2480" s="60"/>
      <c r="ASB2480" s="60"/>
      <c r="ASC2480" s="60"/>
      <c r="ASD2480" s="61"/>
      <c r="ASE2480" s="54"/>
      <c r="ASF2480" s="54"/>
      <c r="ASG2480" s="60"/>
      <c r="ASH2480" s="60"/>
      <c r="ASI2480" s="60"/>
      <c r="ASJ2480" s="60"/>
      <c r="ASK2480" s="60"/>
      <c r="ASL2480" s="61"/>
      <c r="ASM2480" s="54"/>
      <c r="ASN2480" s="54"/>
      <c r="ASO2480" s="60"/>
      <c r="ASP2480" s="60"/>
      <c r="ASQ2480" s="60"/>
      <c r="ASR2480" s="60"/>
      <c r="ASS2480" s="60"/>
      <c r="AST2480" s="61"/>
      <c r="ASU2480" s="54"/>
      <c r="ASV2480" s="54"/>
      <c r="ASW2480" s="60"/>
      <c r="ASX2480" s="60"/>
      <c r="ASY2480" s="60"/>
      <c r="ASZ2480" s="60"/>
      <c r="ATA2480" s="60"/>
      <c r="ATB2480" s="61"/>
      <c r="ATC2480" s="54"/>
      <c r="ATD2480" s="54"/>
      <c r="ATE2480" s="60"/>
      <c r="ATF2480" s="60"/>
      <c r="ATG2480" s="60"/>
      <c r="ATH2480" s="60"/>
      <c r="ATI2480" s="60"/>
      <c r="ATJ2480" s="61"/>
      <c r="ATK2480" s="54"/>
      <c r="ATL2480" s="54"/>
      <c r="ATM2480" s="60"/>
      <c r="ATN2480" s="60"/>
      <c r="ATO2480" s="60"/>
      <c r="ATP2480" s="60"/>
      <c r="ATQ2480" s="60"/>
      <c r="ATR2480" s="61"/>
      <c r="ATS2480" s="54"/>
      <c r="ATT2480" s="54"/>
      <c r="ATU2480" s="60"/>
      <c r="ATV2480" s="60"/>
      <c r="ATW2480" s="60"/>
      <c r="ATX2480" s="60"/>
      <c r="ATY2480" s="60"/>
      <c r="ATZ2480" s="61"/>
      <c r="AUA2480" s="54"/>
      <c r="AUB2480" s="54"/>
      <c r="AUC2480" s="60"/>
      <c r="AUD2480" s="60"/>
      <c r="AUE2480" s="60"/>
      <c r="AUF2480" s="60"/>
      <c r="AUG2480" s="60"/>
      <c r="AUH2480" s="61"/>
      <c r="AUI2480" s="54"/>
      <c r="AUJ2480" s="54"/>
      <c r="AUK2480" s="60"/>
      <c r="AUL2480" s="60"/>
      <c r="AUM2480" s="60"/>
      <c r="AUN2480" s="60"/>
      <c r="AUO2480" s="60"/>
      <c r="AUP2480" s="61"/>
      <c r="AUQ2480" s="54"/>
      <c r="AUR2480" s="54"/>
      <c r="AUS2480" s="60"/>
      <c r="AUT2480" s="60"/>
      <c r="AUU2480" s="60"/>
      <c r="AUV2480" s="60"/>
      <c r="AUW2480" s="60"/>
      <c r="AUX2480" s="61"/>
      <c r="AUY2480" s="54"/>
      <c r="AUZ2480" s="54"/>
      <c r="AVA2480" s="60"/>
      <c r="AVB2480" s="60"/>
      <c r="AVC2480" s="60"/>
      <c r="AVD2480" s="60"/>
      <c r="AVE2480" s="60"/>
      <c r="AVF2480" s="61"/>
      <c r="AVG2480" s="54"/>
      <c r="AVH2480" s="54"/>
      <c r="AVI2480" s="60"/>
      <c r="AVJ2480" s="60"/>
      <c r="AVK2480" s="60"/>
      <c r="AVL2480" s="60"/>
      <c r="AVM2480" s="60"/>
      <c r="AVN2480" s="61"/>
      <c r="AVO2480" s="54"/>
      <c r="AVP2480" s="54"/>
      <c r="AVQ2480" s="60"/>
      <c r="AVR2480" s="60"/>
      <c r="AVS2480" s="60"/>
      <c r="AVT2480" s="60"/>
      <c r="AVU2480" s="60"/>
      <c r="AVV2480" s="61"/>
      <c r="AVW2480" s="54"/>
      <c r="AVX2480" s="54"/>
      <c r="AVY2480" s="60"/>
      <c r="AVZ2480" s="60"/>
      <c r="AWA2480" s="60"/>
      <c r="AWB2480" s="60"/>
      <c r="AWC2480" s="60"/>
      <c r="AWD2480" s="61"/>
      <c r="AWE2480" s="54"/>
      <c r="AWF2480" s="54"/>
      <c r="AWG2480" s="60"/>
      <c r="AWH2480" s="60"/>
      <c r="AWI2480" s="60"/>
      <c r="AWJ2480" s="60"/>
      <c r="AWK2480" s="60"/>
      <c r="AWL2480" s="61"/>
      <c r="AWM2480" s="54"/>
      <c r="AWN2480" s="54"/>
      <c r="AWO2480" s="60"/>
      <c r="AWP2480" s="60"/>
      <c r="AWQ2480" s="60"/>
      <c r="AWR2480" s="60"/>
      <c r="AWS2480" s="60"/>
      <c r="AWT2480" s="61"/>
      <c r="AWU2480" s="54"/>
      <c r="AWV2480" s="54"/>
      <c r="AWW2480" s="60"/>
      <c r="AWX2480" s="60"/>
      <c r="AWY2480" s="60"/>
      <c r="AWZ2480" s="60"/>
      <c r="AXA2480" s="60"/>
      <c r="AXB2480" s="61"/>
      <c r="AXC2480" s="54"/>
      <c r="AXD2480" s="54"/>
      <c r="AXE2480" s="60"/>
      <c r="AXF2480" s="60"/>
      <c r="AXG2480" s="60"/>
      <c r="AXH2480" s="60"/>
      <c r="AXI2480" s="60"/>
      <c r="AXJ2480" s="61"/>
      <c r="AXK2480" s="54"/>
      <c r="AXL2480" s="54"/>
      <c r="AXM2480" s="60"/>
      <c r="AXN2480" s="60"/>
      <c r="AXO2480" s="60"/>
      <c r="AXP2480" s="60"/>
      <c r="AXQ2480" s="60"/>
      <c r="AXR2480" s="61"/>
      <c r="AXS2480" s="54"/>
      <c r="AXT2480" s="54"/>
      <c r="AXU2480" s="60"/>
      <c r="AXV2480" s="60"/>
      <c r="AXW2480" s="60"/>
      <c r="AXX2480" s="60"/>
      <c r="AXY2480" s="60"/>
      <c r="AXZ2480" s="61"/>
      <c r="AYA2480" s="54"/>
      <c r="AYB2480" s="54"/>
      <c r="AYC2480" s="60"/>
      <c r="AYD2480" s="60"/>
      <c r="AYE2480" s="60"/>
      <c r="AYF2480" s="60"/>
      <c r="AYG2480" s="60"/>
      <c r="AYH2480" s="61"/>
      <c r="AYI2480" s="54"/>
      <c r="AYJ2480" s="54"/>
      <c r="AYK2480" s="60"/>
      <c r="AYL2480" s="60"/>
      <c r="AYM2480" s="60"/>
      <c r="AYN2480" s="60"/>
      <c r="AYO2480" s="60"/>
      <c r="AYP2480" s="61"/>
      <c r="AYQ2480" s="54"/>
      <c r="AYR2480" s="54"/>
      <c r="AYS2480" s="60"/>
      <c r="AYT2480" s="60"/>
      <c r="AYU2480" s="60"/>
      <c r="AYV2480" s="60"/>
      <c r="AYW2480" s="60"/>
      <c r="AYX2480" s="61"/>
      <c r="AYY2480" s="54"/>
      <c r="AYZ2480" s="54"/>
      <c r="AZA2480" s="60"/>
      <c r="AZB2480" s="60"/>
      <c r="AZC2480" s="60"/>
      <c r="AZD2480" s="60"/>
      <c r="AZE2480" s="60"/>
      <c r="AZF2480" s="61"/>
      <c r="AZG2480" s="54"/>
      <c r="AZH2480" s="54"/>
      <c r="AZI2480" s="60"/>
      <c r="AZJ2480" s="60"/>
      <c r="AZK2480" s="60"/>
      <c r="AZL2480" s="60"/>
      <c r="AZM2480" s="60"/>
      <c r="AZN2480" s="61"/>
      <c r="AZO2480" s="54"/>
      <c r="AZP2480" s="54"/>
      <c r="AZQ2480" s="60"/>
      <c r="AZR2480" s="60"/>
      <c r="AZS2480" s="60"/>
      <c r="AZT2480" s="60"/>
      <c r="AZU2480" s="60"/>
      <c r="AZV2480" s="61"/>
      <c r="AZW2480" s="54"/>
      <c r="AZX2480" s="54"/>
      <c r="AZY2480" s="60"/>
      <c r="AZZ2480" s="60"/>
      <c r="BAA2480" s="60"/>
      <c r="BAB2480" s="60"/>
      <c r="BAC2480" s="60"/>
      <c r="BAD2480" s="61"/>
      <c r="BAE2480" s="54"/>
      <c r="BAF2480" s="54"/>
      <c r="BAG2480" s="60"/>
      <c r="BAH2480" s="60"/>
      <c r="BAI2480" s="60"/>
      <c r="BAJ2480" s="60"/>
      <c r="BAK2480" s="60"/>
      <c r="BAL2480" s="61"/>
      <c r="BAM2480" s="54"/>
      <c r="BAN2480" s="54"/>
      <c r="BAO2480" s="60"/>
      <c r="BAP2480" s="60"/>
      <c r="BAQ2480" s="60"/>
      <c r="BAR2480" s="60"/>
      <c r="BAS2480" s="60"/>
      <c r="BAT2480" s="61"/>
      <c r="BAU2480" s="54"/>
      <c r="BAV2480" s="54"/>
      <c r="BAW2480" s="60"/>
      <c r="BAX2480" s="60"/>
      <c r="BAY2480" s="60"/>
      <c r="BAZ2480" s="60"/>
      <c r="BBA2480" s="60"/>
      <c r="BBB2480" s="61"/>
      <c r="BBC2480" s="54"/>
      <c r="BBD2480" s="54"/>
      <c r="BBE2480" s="60"/>
      <c r="BBF2480" s="60"/>
      <c r="BBG2480" s="60"/>
      <c r="BBH2480" s="60"/>
      <c r="BBI2480" s="60"/>
      <c r="BBJ2480" s="61"/>
      <c r="BBK2480" s="54"/>
      <c r="BBL2480" s="54"/>
      <c r="BBM2480" s="60"/>
      <c r="BBN2480" s="60"/>
      <c r="BBO2480" s="60"/>
      <c r="BBP2480" s="60"/>
      <c r="BBQ2480" s="60"/>
      <c r="BBR2480" s="61"/>
      <c r="BBS2480" s="54"/>
      <c r="BBT2480" s="54"/>
      <c r="BBU2480" s="60"/>
      <c r="BBV2480" s="60"/>
      <c r="BBW2480" s="60"/>
      <c r="BBX2480" s="60"/>
      <c r="BBY2480" s="60"/>
      <c r="BBZ2480" s="61"/>
      <c r="BCA2480" s="54"/>
      <c r="BCB2480" s="54"/>
      <c r="BCC2480" s="60"/>
      <c r="BCD2480" s="60"/>
      <c r="BCE2480" s="60"/>
      <c r="BCF2480" s="60"/>
      <c r="BCG2480" s="60"/>
      <c r="BCH2480" s="61"/>
      <c r="BCI2480" s="54"/>
      <c r="BCJ2480" s="54"/>
      <c r="BCK2480" s="60"/>
      <c r="BCL2480" s="60"/>
      <c r="BCM2480" s="60"/>
      <c r="BCN2480" s="60"/>
      <c r="BCO2480" s="60"/>
      <c r="BCP2480" s="61"/>
      <c r="BCQ2480" s="54"/>
      <c r="BCR2480" s="54"/>
      <c r="BCS2480" s="60"/>
      <c r="BCT2480" s="60"/>
      <c r="BCU2480" s="60"/>
      <c r="BCV2480" s="60"/>
      <c r="BCW2480" s="60"/>
      <c r="BCX2480" s="61"/>
      <c r="BCY2480" s="54"/>
      <c r="BCZ2480" s="54"/>
      <c r="BDA2480" s="60"/>
      <c r="BDB2480" s="60"/>
      <c r="BDC2480" s="60"/>
      <c r="BDD2480" s="60"/>
      <c r="BDE2480" s="60"/>
      <c r="BDF2480" s="61"/>
      <c r="BDG2480" s="54"/>
      <c r="BDH2480" s="54"/>
      <c r="BDI2480" s="60"/>
      <c r="BDJ2480" s="60"/>
      <c r="BDK2480" s="60"/>
      <c r="BDL2480" s="60"/>
      <c r="BDM2480" s="60"/>
      <c r="BDN2480" s="61"/>
      <c r="BDO2480" s="54"/>
      <c r="BDP2480" s="54"/>
      <c r="BDQ2480" s="60"/>
      <c r="BDR2480" s="60"/>
      <c r="BDS2480" s="60"/>
      <c r="BDT2480" s="60"/>
      <c r="BDU2480" s="60"/>
      <c r="BDV2480" s="61"/>
      <c r="BDW2480" s="54"/>
      <c r="BDX2480" s="54"/>
      <c r="BDY2480" s="60"/>
      <c r="BDZ2480" s="60"/>
      <c r="BEA2480" s="60"/>
      <c r="BEB2480" s="60"/>
      <c r="BEC2480" s="60"/>
      <c r="BED2480" s="61"/>
      <c r="BEE2480" s="54"/>
      <c r="BEF2480" s="54"/>
      <c r="BEG2480" s="60"/>
      <c r="BEH2480" s="60"/>
      <c r="BEI2480" s="60"/>
      <c r="BEJ2480" s="60"/>
      <c r="BEK2480" s="60"/>
      <c r="BEL2480" s="61"/>
      <c r="BEM2480" s="54"/>
      <c r="BEN2480" s="54"/>
      <c r="BEO2480" s="60"/>
      <c r="BEP2480" s="60"/>
      <c r="BEQ2480" s="60"/>
      <c r="BER2480" s="60"/>
      <c r="BES2480" s="60"/>
      <c r="BET2480" s="61"/>
      <c r="BEU2480" s="54"/>
      <c r="BEV2480" s="54"/>
      <c r="BEW2480" s="60"/>
      <c r="BEX2480" s="60"/>
      <c r="BEY2480" s="60"/>
      <c r="BEZ2480" s="60"/>
      <c r="BFA2480" s="60"/>
      <c r="BFB2480" s="61"/>
      <c r="BFC2480" s="54"/>
      <c r="BFD2480" s="54"/>
      <c r="BFE2480" s="60"/>
      <c r="BFF2480" s="60"/>
      <c r="BFG2480" s="60"/>
      <c r="BFH2480" s="60"/>
      <c r="BFI2480" s="60"/>
      <c r="BFJ2480" s="61"/>
      <c r="BFK2480" s="54"/>
      <c r="BFL2480" s="54"/>
      <c r="BFM2480" s="60"/>
      <c r="BFN2480" s="60"/>
      <c r="BFO2480" s="60"/>
      <c r="BFP2480" s="60"/>
      <c r="BFQ2480" s="60"/>
      <c r="BFR2480" s="61"/>
      <c r="BFS2480" s="54"/>
      <c r="BFT2480" s="54"/>
      <c r="BFU2480" s="60"/>
      <c r="BFV2480" s="60"/>
      <c r="BFW2480" s="60"/>
      <c r="BFX2480" s="60"/>
      <c r="BFY2480" s="60"/>
      <c r="BFZ2480" s="61"/>
      <c r="BGA2480" s="54"/>
      <c r="BGB2480" s="54"/>
      <c r="BGC2480" s="60"/>
      <c r="BGD2480" s="60"/>
      <c r="BGE2480" s="60"/>
      <c r="BGF2480" s="60"/>
      <c r="BGG2480" s="60"/>
      <c r="BGH2480" s="61"/>
      <c r="BGI2480" s="54"/>
      <c r="BGJ2480" s="54"/>
      <c r="BGK2480" s="60"/>
      <c r="BGL2480" s="60"/>
      <c r="BGM2480" s="60"/>
      <c r="BGN2480" s="60"/>
      <c r="BGO2480" s="60"/>
      <c r="BGP2480" s="61"/>
      <c r="BGQ2480" s="54"/>
      <c r="BGR2480" s="54"/>
      <c r="BGS2480" s="60"/>
      <c r="BGT2480" s="60"/>
      <c r="BGU2480" s="60"/>
      <c r="BGV2480" s="60"/>
      <c r="BGW2480" s="60"/>
      <c r="BGX2480" s="61"/>
      <c r="BGY2480" s="54"/>
      <c r="BGZ2480" s="54"/>
      <c r="BHA2480" s="60"/>
      <c r="BHB2480" s="60"/>
      <c r="BHC2480" s="60"/>
      <c r="BHD2480" s="60"/>
      <c r="BHE2480" s="60"/>
      <c r="BHF2480" s="61"/>
      <c r="BHG2480" s="54"/>
      <c r="BHH2480" s="54"/>
      <c r="BHI2480" s="60"/>
      <c r="BHJ2480" s="60"/>
      <c r="BHK2480" s="60"/>
      <c r="BHL2480" s="60"/>
      <c r="BHM2480" s="60"/>
      <c r="BHN2480" s="61"/>
      <c r="BHO2480" s="54"/>
      <c r="BHP2480" s="54"/>
      <c r="BHQ2480" s="60"/>
      <c r="BHR2480" s="60"/>
      <c r="BHS2480" s="60"/>
      <c r="BHT2480" s="60"/>
      <c r="BHU2480" s="60"/>
      <c r="BHV2480" s="61"/>
      <c r="BHW2480" s="54"/>
      <c r="BHX2480" s="54"/>
      <c r="BHY2480" s="60"/>
      <c r="BHZ2480" s="60"/>
      <c r="BIA2480" s="60"/>
      <c r="BIB2480" s="60"/>
      <c r="BIC2480" s="60"/>
      <c r="BID2480" s="61"/>
      <c r="BIE2480" s="54"/>
      <c r="BIF2480" s="54"/>
      <c r="BIG2480" s="60"/>
      <c r="BIH2480" s="60"/>
      <c r="BII2480" s="60"/>
      <c r="BIJ2480" s="60"/>
      <c r="BIK2480" s="60"/>
      <c r="BIL2480" s="61"/>
      <c r="BIM2480" s="54"/>
      <c r="BIN2480" s="54"/>
      <c r="BIO2480" s="60"/>
      <c r="BIP2480" s="60"/>
      <c r="BIQ2480" s="60"/>
      <c r="BIR2480" s="60"/>
      <c r="BIS2480" s="60"/>
      <c r="BIT2480" s="61"/>
      <c r="BIU2480" s="54"/>
      <c r="BIV2480" s="54"/>
      <c r="BIW2480" s="60"/>
      <c r="BIX2480" s="60"/>
      <c r="BIY2480" s="60"/>
      <c r="BIZ2480" s="60"/>
      <c r="BJA2480" s="60"/>
      <c r="BJB2480" s="61"/>
      <c r="BJC2480" s="54"/>
      <c r="BJD2480" s="54"/>
      <c r="BJE2480" s="60"/>
      <c r="BJF2480" s="60"/>
      <c r="BJG2480" s="60"/>
      <c r="BJH2480" s="60"/>
      <c r="BJI2480" s="60"/>
      <c r="BJJ2480" s="61"/>
      <c r="BJK2480" s="54"/>
      <c r="BJL2480" s="54"/>
      <c r="BJM2480" s="60"/>
      <c r="BJN2480" s="60"/>
      <c r="BJO2480" s="60"/>
      <c r="BJP2480" s="60"/>
      <c r="BJQ2480" s="60"/>
      <c r="BJR2480" s="61"/>
      <c r="BJS2480" s="54"/>
      <c r="BJT2480" s="54"/>
      <c r="BJU2480" s="60"/>
      <c r="BJV2480" s="60"/>
      <c r="BJW2480" s="60"/>
      <c r="BJX2480" s="60"/>
      <c r="BJY2480" s="60"/>
      <c r="BJZ2480" s="61"/>
      <c r="BKA2480" s="54"/>
      <c r="BKB2480" s="54"/>
      <c r="BKC2480" s="60"/>
      <c r="BKD2480" s="60"/>
      <c r="BKE2480" s="60"/>
      <c r="BKF2480" s="60"/>
      <c r="BKG2480" s="60"/>
      <c r="BKH2480" s="61"/>
      <c r="BKI2480" s="54"/>
      <c r="BKJ2480" s="54"/>
      <c r="BKK2480" s="60"/>
      <c r="BKL2480" s="60"/>
      <c r="BKM2480" s="60"/>
      <c r="BKN2480" s="60"/>
      <c r="BKO2480" s="60"/>
      <c r="BKP2480" s="61"/>
      <c r="BKQ2480" s="54"/>
      <c r="BKR2480" s="54"/>
      <c r="BKS2480" s="60"/>
      <c r="BKT2480" s="60"/>
      <c r="BKU2480" s="60"/>
      <c r="BKV2480" s="60"/>
      <c r="BKW2480" s="60"/>
      <c r="BKX2480" s="61"/>
      <c r="BKY2480" s="54"/>
      <c r="BKZ2480" s="54"/>
      <c r="BLA2480" s="60"/>
      <c r="BLB2480" s="60"/>
      <c r="BLC2480" s="60"/>
      <c r="BLD2480" s="60"/>
      <c r="BLE2480" s="60"/>
      <c r="BLF2480" s="61"/>
      <c r="BLG2480" s="54"/>
      <c r="BLH2480" s="54"/>
      <c r="BLI2480" s="60"/>
      <c r="BLJ2480" s="60"/>
      <c r="BLK2480" s="60"/>
      <c r="BLL2480" s="60"/>
      <c r="BLM2480" s="60"/>
      <c r="BLN2480" s="61"/>
      <c r="BLO2480" s="54"/>
      <c r="BLP2480" s="54"/>
      <c r="BLQ2480" s="60"/>
      <c r="BLR2480" s="60"/>
      <c r="BLS2480" s="60"/>
      <c r="BLT2480" s="60"/>
      <c r="BLU2480" s="60"/>
      <c r="BLV2480" s="61"/>
      <c r="BLW2480" s="54"/>
      <c r="BLX2480" s="54"/>
      <c r="BLY2480" s="60"/>
      <c r="BLZ2480" s="60"/>
      <c r="BMA2480" s="60"/>
      <c r="BMB2480" s="60"/>
      <c r="BMC2480" s="60"/>
      <c r="BMD2480" s="61"/>
      <c r="BME2480" s="54"/>
      <c r="BMF2480" s="54"/>
      <c r="BMG2480" s="60"/>
      <c r="BMH2480" s="60"/>
      <c r="BMI2480" s="60"/>
      <c r="BMJ2480" s="60"/>
      <c r="BMK2480" s="60"/>
      <c r="BML2480" s="61"/>
      <c r="BMM2480" s="54"/>
      <c r="BMN2480" s="54"/>
      <c r="BMO2480" s="60"/>
      <c r="BMP2480" s="60"/>
      <c r="BMQ2480" s="60"/>
      <c r="BMR2480" s="60"/>
      <c r="BMS2480" s="60"/>
      <c r="BMT2480" s="61"/>
      <c r="BMU2480" s="54"/>
      <c r="BMV2480" s="54"/>
      <c r="BMW2480" s="60"/>
      <c r="BMX2480" s="60"/>
      <c r="BMY2480" s="60"/>
      <c r="BMZ2480" s="60"/>
      <c r="BNA2480" s="60"/>
      <c r="BNB2480" s="61"/>
      <c r="BNC2480" s="54"/>
      <c r="BND2480" s="54"/>
      <c r="BNE2480" s="60"/>
      <c r="BNF2480" s="60"/>
      <c r="BNG2480" s="60"/>
      <c r="BNH2480" s="60"/>
      <c r="BNI2480" s="60"/>
      <c r="BNJ2480" s="61"/>
      <c r="BNK2480" s="54"/>
      <c r="BNL2480" s="54"/>
      <c r="BNM2480" s="60"/>
      <c r="BNN2480" s="60"/>
      <c r="BNO2480" s="60"/>
      <c r="BNP2480" s="60"/>
      <c r="BNQ2480" s="60"/>
      <c r="BNR2480" s="61"/>
      <c r="BNS2480" s="54"/>
      <c r="BNT2480" s="54"/>
      <c r="BNU2480" s="60"/>
      <c r="BNV2480" s="60"/>
      <c r="BNW2480" s="60"/>
      <c r="BNX2480" s="60"/>
      <c r="BNY2480" s="60"/>
      <c r="BNZ2480" s="61"/>
      <c r="BOA2480" s="54"/>
      <c r="BOB2480" s="54"/>
      <c r="BOC2480" s="60"/>
      <c r="BOD2480" s="60"/>
      <c r="BOE2480" s="60"/>
      <c r="BOF2480" s="60"/>
      <c r="BOG2480" s="60"/>
      <c r="BOH2480" s="61"/>
      <c r="BOI2480" s="54"/>
      <c r="BOJ2480" s="54"/>
      <c r="BOK2480" s="60"/>
      <c r="BOL2480" s="60"/>
      <c r="BOM2480" s="60"/>
      <c r="BON2480" s="60"/>
      <c r="BOO2480" s="60"/>
      <c r="BOP2480" s="61"/>
      <c r="BOQ2480" s="54"/>
      <c r="BOR2480" s="54"/>
      <c r="BOS2480" s="60"/>
      <c r="BOT2480" s="60"/>
      <c r="BOU2480" s="60"/>
      <c r="BOV2480" s="60"/>
      <c r="BOW2480" s="60"/>
      <c r="BOX2480" s="61"/>
      <c r="BOY2480" s="54"/>
      <c r="BOZ2480" s="54"/>
      <c r="BPA2480" s="60"/>
      <c r="BPB2480" s="60"/>
      <c r="BPC2480" s="60"/>
      <c r="BPD2480" s="60"/>
      <c r="BPE2480" s="60"/>
      <c r="BPF2480" s="61"/>
      <c r="BPG2480" s="54"/>
      <c r="BPH2480" s="54"/>
      <c r="BPI2480" s="60"/>
      <c r="BPJ2480" s="60"/>
      <c r="BPK2480" s="60"/>
      <c r="BPL2480" s="60"/>
      <c r="BPM2480" s="60"/>
      <c r="BPN2480" s="61"/>
      <c r="BPO2480" s="54"/>
      <c r="BPP2480" s="54"/>
      <c r="BPQ2480" s="60"/>
      <c r="BPR2480" s="60"/>
      <c r="BPS2480" s="60"/>
      <c r="BPT2480" s="60"/>
      <c r="BPU2480" s="60"/>
      <c r="BPV2480" s="61"/>
      <c r="BPW2480" s="54"/>
      <c r="BPX2480" s="54"/>
      <c r="BPY2480" s="60"/>
      <c r="BPZ2480" s="60"/>
      <c r="BQA2480" s="60"/>
      <c r="BQB2480" s="60"/>
      <c r="BQC2480" s="60"/>
      <c r="BQD2480" s="61"/>
      <c r="BQE2480" s="54"/>
      <c r="BQF2480" s="54"/>
      <c r="BQG2480" s="60"/>
      <c r="BQH2480" s="60"/>
      <c r="BQI2480" s="60"/>
      <c r="BQJ2480" s="60"/>
      <c r="BQK2480" s="60"/>
      <c r="BQL2480" s="61"/>
      <c r="BQM2480" s="54"/>
      <c r="BQN2480" s="54"/>
      <c r="BQO2480" s="60"/>
      <c r="BQP2480" s="60"/>
      <c r="BQQ2480" s="60"/>
      <c r="BQR2480" s="60"/>
      <c r="BQS2480" s="60"/>
      <c r="BQT2480" s="61"/>
      <c r="BQU2480" s="54"/>
      <c r="BQV2480" s="54"/>
      <c r="BQW2480" s="60"/>
      <c r="BQX2480" s="60"/>
      <c r="BQY2480" s="60"/>
      <c r="BQZ2480" s="60"/>
      <c r="BRA2480" s="60"/>
      <c r="BRB2480" s="61"/>
      <c r="BRC2480" s="54"/>
      <c r="BRD2480" s="54"/>
      <c r="BRE2480" s="60"/>
      <c r="BRF2480" s="60"/>
      <c r="BRG2480" s="60"/>
      <c r="BRH2480" s="60"/>
      <c r="BRI2480" s="60"/>
      <c r="BRJ2480" s="61"/>
      <c r="BRK2480" s="54"/>
      <c r="BRL2480" s="54"/>
      <c r="BRM2480" s="60"/>
      <c r="BRN2480" s="60"/>
      <c r="BRO2480" s="60"/>
      <c r="BRP2480" s="60"/>
      <c r="BRQ2480" s="60"/>
      <c r="BRR2480" s="61"/>
      <c r="BRS2480" s="54"/>
      <c r="BRT2480" s="54"/>
      <c r="BRU2480" s="60"/>
      <c r="BRV2480" s="60"/>
      <c r="BRW2480" s="60"/>
      <c r="BRX2480" s="60"/>
      <c r="BRY2480" s="60"/>
      <c r="BRZ2480" s="61"/>
      <c r="BSA2480" s="54"/>
      <c r="BSB2480" s="54"/>
      <c r="BSC2480" s="60"/>
      <c r="BSD2480" s="60"/>
      <c r="BSE2480" s="60"/>
      <c r="BSF2480" s="60"/>
      <c r="BSG2480" s="60"/>
      <c r="BSH2480" s="61"/>
      <c r="BSI2480" s="54"/>
      <c r="BSJ2480" s="54"/>
      <c r="BSK2480" s="60"/>
      <c r="BSL2480" s="60"/>
      <c r="BSM2480" s="60"/>
      <c r="BSN2480" s="60"/>
      <c r="BSO2480" s="60"/>
      <c r="BSP2480" s="61"/>
      <c r="BSQ2480" s="54"/>
      <c r="BSR2480" s="54"/>
      <c r="BSS2480" s="60"/>
      <c r="BST2480" s="60"/>
      <c r="BSU2480" s="60"/>
      <c r="BSV2480" s="60"/>
      <c r="BSW2480" s="60"/>
      <c r="BSX2480" s="61"/>
      <c r="BSY2480" s="54"/>
      <c r="BSZ2480" s="54"/>
      <c r="BTA2480" s="60"/>
      <c r="BTB2480" s="60"/>
      <c r="BTC2480" s="60"/>
      <c r="BTD2480" s="60"/>
      <c r="BTE2480" s="60"/>
      <c r="BTF2480" s="61"/>
      <c r="BTG2480" s="54"/>
      <c r="BTH2480" s="54"/>
      <c r="BTI2480" s="60"/>
      <c r="BTJ2480" s="60"/>
      <c r="BTK2480" s="60"/>
      <c r="BTL2480" s="60"/>
      <c r="BTM2480" s="60"/>
      <c r="BTN2480" s="61"/>
      <c r="BTO2480" s="54"/>
      <c r="BTP2480" s="54"/>
      <c r="BTQ2480" s="60"/>
      <c r="BTR2480" s="60"/>
      <c r="BTS2480" s="60"/>
      <c r="BTT2480" s="60"/>
      <c r="BTU2480" s="60"/>
      <c r="BTV2480" s="61"/>
      <c r="BTW2480" s="54"/>
      <c r="BTX2480" s="54"/>
      <c r="BTY2480" s="60"/>
      <c r="BTZ2480" s="60"/>
      <c r="BUA2480" s="60"/>
      <c r="BUB2480" s="60"/>
      <c r="BUC2480" s="60"/>
      <c r="BUD2480" s="61"/>
      <c r="BUE2480" s="54"/>
      <c r="BUF2480" s="54"/>
      <c r="BUG2480" s="60"/>
      <c r="BUH2480" s="60"/>
      <c r="BUI2480" s="60"/>
      <c r="BUJ2480" s="60"/>
      <c r="BUK2480" s="60"/>
      <c r="BUL2480" s="61"/>
      <c r="BUM2480" s="54"/>
      <c r="BUN2480" s="54"/>
      <c r="BUO2480" s="60"/>
      <c r="BUP2480" s="60"/>
      <c r="BUQ2480" s="60"/>
      <c r="BUR2480" s="60"/>
      <c r="BUS2480" s="60"/>
      <c r="BUT2480" s="61"/>
      <c r="BUU2480" s="54"/>
      <c r="BUV2480" s="54"/>
      <c r="BUW2480" s="60"/>
      <c r="BUX2480" s="60"/>
      <c r="BUY2480" s="60"/>
      <c r="BUZ2480" s="60"/>
      <c r="BVA2480" s="60"/>
      <c r="BVB2480" s="61"/>
      <c r="BVC2480" s="54"/>
      <c r="BVD2480" s="54"/>
      <c r="BVE2480" s="60"/>
      <c r="BVF2480" s="60"/>
      <c r="BVG2480" s="60"/>
      <c r="BVH2480" s="60"/>
      <c r="BVI2480" s="60"/>
      <c r="BVJ2480" s="61"/>
      <c r="BVK2480" s="54"/>
      <c r="BVL2480" s="54"/>
      <c r="BVM2480" s="60"/>
      <c r="BVN2480" s="60"/>
      <c r="BVO2480" s="60"/>
      <c r="BVP2480" s="60"/>
      <c r="BVQ2480" s="60"/>
      <c r="BVR2480" s="61"/>
      <c r="BVS2480" s="54"/>
      <c r="BVT2480" s="54"/>
      <c r="BVU2480" s="60"/>
      <c r="BVV2480" s="60"/>
      <c r="BVW2480" s="60"/>
      <c r="BVX2480" s="60"/>
      <c r="BVY2480" s="60"/>
      <c r="BVZ2480" s="61"/>
      <c r="BWA2480" s="54"/>
      <c r="BWB2480" s="54"/>
      <c r="BWC2480" s="60"/>
      <c r="BWD2480" s="60"/>
      <c r="BWE2480" s="60"/>
      <c r="BWF2480" s="60"/>
      <c r="BWG2480" s="60"/>
      <c r="BWH2480" s="61"/>
      <c r="BWI2480" s="54"/>
      <c r="BWJ2480" s="54"/>
      <c r="BWK2480" s="60"/>
      <c r="BWL2480" s="60"/>
      <c r="BWM2480" s="60"/>
      <c r="BWN2480" s="60"/>
      <c r="BWO2480" s="60"/>
      <c r="BWP2480" s="61"/>
      <c r="BWQ2480" s="54"/>
      <c r="BWR2480" s="54"/>
      <c r="BWS2480" s="60"/>
      <c r="BWT2480" s="60"/>
      <c r="BWU2480" s="60"/>
      <c r="BWV2480" s="60"/>
      <c r="BWW2480" s="60"/>
      <c r="BWX2480" s="61"/>
      <c r="BWY2480" s="54"/>
      <c r="BWZ2480" s="54"/>
      <c r="BXA2480" s="60"/>
      <c r="BXB2480" s="60"/>
      <c r="BXC2480" s="60"/>
      <c r="BXD2480" s="60"/>
      <c r="BXE2480" s="60"/>
      <c r="BXF2480" s="61"/>
      <c r="BXG2480" s="54"/>
      <c r="BXH2480" s="54"/>
      <c r="BXI2480" s="60"/>
      <c r="BXJ2480" s="60"/>
      <c r="BXK2480" s="60"/>
      <c r="BXL2480" s="60"/>
      <c r="BXM2480" s="60"/>
      <c r="BXN2480" s="61"/>
      <c r="BXO2480" s="54"/>
      <c r="BXP2480" s="54"/>
      <c r="BXQ2480" s="60"/>
      <c r="BXR2480" s="60"/>
      <c r="BXS2480" s="60"/>
      <c r="BXT2480" s="60"/>
      <c r="BXU2480" s="60"/>
      <c r="BXV2480" s="61"/>
      <c r="BXW2480" s="54"/>
      <c r="BXX2480" s="54"/>
      <c r="BXY2480" s="60"/>
      <c r="BXZ2480" s="60"/>
      <c r="BYA2480" s="60"/>
      <c r="BYB2480" s="60"/>
      <c r="BYC2480" s="60"/>
      <c r="BYD2480" s="61"/>
      <c r="BYE2480" s="54"/>
      <c r="BYF2480" s="54"/>
      <c r="BYG2480" s="60"/>
      <c r="BYH2480" s="60"/>
      <c r="BYI2480" s="60"/>
      <c r="BYJ2480" s="60"/>
      <c r="BYK2480" s="60"/>
      <c r="BYL2480" s="61"/>
      <c r="BYM2480" s="54"/>
      <c r="BYN2480" s="54"/>
      <c r="BYO2480" s="60"/>
      <c r="BYP2480" s="60"/>
      <c r="BYQ2480" s="60"/>
      <c r="BYR2480" s="60"/>
      <c r="BYS2480" s="60"/>
      <c r="BYT2480" s="61"/>
      <c r="BYU2480" s="54"/>
      <c r="BYV2480" s="54"/>
      <c r="BYW2480" s="60"/>
      <c r="BYX2480" s="60"/>
      <c r="BYY2480" s="60"/>
      <c r="BYZ2480" s="60"/>
      <c r="BZA2480" s="60"/>
      <c r="BZB2480" s="61"/>
      <c r="BZC2480" s="54"/>
      <c r="BZD2480" s="54"/>
      <c r="BZE2480" s="60"/>
      <c r="BZF2480" s="60"/>
      <c r="BZG2480" s="60"/>
      <c r="BZH2480" s="60"/>
      <c r="BZI2480" s="60"/>
      <c r="BZJ2480" s="61"/>
      <c r="BZK2480" s="54"/>
      <c r="BZL2480" s="54"/>
      <c r="BZM2480" s="60"/>
      <c r="BZN2480" s="60"/>
      <c r="BZO2480" s="60"/>
      <c r="BZP2480" s="60"/>
      <c r="BZQ2480" s="60"/>
      <c r="BZR2480" s="61"/>
      <c r="BZS2480" s="54"/>
      <c r="BZT2480" s="54"/>
      <c r="BZU2480" s="60"/>
      <c r="BZV2480" s="60"/>
      <c r="BZW2480" s="60"/>
      <c r="BZX2480" s="60"/>
      <c r="BZY2480" s="60"/>
      <c r="BZZ2480" s="61"/>
      <c r="CAA2480" s="54"/>
      <c r="CAB2480" s="54"/>
      <c r="CAC2480" s="60"/>
      <c r="CAD2480" s="60"/>
      <c r="CAE2480" s="60"/>
      <c r="CAF2480" s="60"/>
      <c r="CAG2480" s="60"/>
      <c r="CAH2480" s="61"/>
      <c r="CAI2480" s="54"/>
      <c r="CAJ2480" s="54"/>
      <c r="CAK2480" s="60"/>
      <c r="CAL2480" s="60"/>
      <c r="CAM2480" s="60"/>
      <c r="CAN2480" s="60"/>
      <c r="CAO2480" s="60"/>
      <c r="CAP2480" s="61"/>
      <c r="CAQ2480" s="54"/>
      <c r="CAR2480" s="54"/>
      <c r="CAS2480" s="60"/>
      <c r="CAT2480" s="60"/>
      <c r="CAU2480" s="60"/>
      <c r="CAV2480" s="60"/>
      <c r="CAW2480" s="60"/>
      <c r="CAX2480" s="61"/>
      <c r="CAY2480" s="54"/>
      <c r="CAZ2480" s="54"/>
      <c r="CBA2480" s="60"/>
      <c r="CBB2480" s="60"/>
      <c r="CBC2480" s="60"/>
      <c r="CBD2480" s="60"/>
      <c r="CBE2480" s="60"/>
      <c r="CBF2480" s="61"/>
      <c r="CBG2480" s="54"/>
      <c r="CBH2480" s="54"/>
      <c r="CBI2480" s="60"/>
      <c r="CBJ2480" s="60"/>
      <c r="CBK2480" s="60"/>
      <c r="CBL2480" s="60"/>
      <c r="CBM2480" s="60"/>
      <c r="CBN2480" s="61"/>
      <c r="CBO2480" s="54"/>
      <c r="CBP2480" s="54"/>
      <c r="CBQ2480" s="60"/>
      <c r="CBR2480" s="60"/>
      <c r="CBS2480" s="60"/>
      <c r="CBT2480" s="60"/>
      <c r="CBU2480" s="60"/>
      <c r="CBV2480" s="61"/>
      <c r="CBW2480" s="54"/>
      <c r="CBX2480" s="54"/>
      <c r="CBY2480" s="60"/>
      <c r="CBZ2480" s="60"/>
      <c r="CCA2480" s="60"/>
      <c r="CCB2480" s="60"/>
      <c r="CCC2480" s="60"/>
      <c r="CCD2480" s="61"/>
      <c r="CCE2480" s="54"/>
      <c r="CCF2480" s="54"/>
      <c r="CCG2480" s="60"/>
      <c r="CCH2480" s="60"/>
      <c r="CCI2480" s="60"/>
      <c r="CCJ2480" s="60"/>
      <c r="CCK2480" s="60"/>
      <c r="CCL2480" s="61"/>
      <c r="CCM2480" s="54"/>
      <c r="CCN2480" s="54"/>
      <c r="CCO2480" s="60"/>
      <c r="CCP2480" s="60"/>
      <c r="CCQ2480" s="60"/>
      <c r="CCR2480" s="60"/>
      <c r="CCS2480" s="60"/>
      <c r="CCT2480" s="61"/>
      <c r="CCU2480" s="54"/>
      <c r="CCV2480" s="54"/>
      <c r="CCW2480" s="60"/>
      <c r="CCX2480" s="60"/>
      <c r="CCY2480" s="60"/>
      <c r="CCZ2480" s="60"/>
      <c r="CDA2480" s="60"/>
      <c r="CDB2480" s="61"/>
      <c r="CDC2480" s="54"/>
      <c r="CDD2480" s="54"/>
      <c r="CDE2480" s="60"/>
      <c r="CDF2480" s="60"/>
      <c r="CDG2480" s="60"/>
      <c r="CDH2480" s="60"/>
      <c r="CDI2480" s="60"/>
      <c r="CDJ2480" s="61"/>
      <c r="CDK2480" s="54"/>
      <c r="CDL2480" s="54"/>
      <c r="CDM2480" s="60"/>
      <c r="CDN2480" s="60"/>
      <c r="CDO2480" s="60"/>
      <c r="CDP2480" s="60"/>
      <c r="CDQ2480" s="60"/>
      <c r="CDR2480" s="61"/>
      <c r="CDS2480" s="54"/>
      <c r="CDT2480" s="54"/>
      <c r="CDU2480" s="60"/>
      <c r="CDV2480" s="60"/>
      <c r="CDW2480" s="60"/>
      <c r="CDX2480" s="60"/>
      <c r="CDY2480" s="60"/>
      <c r="CDZ2480" s="61"/>
      <c r="CEA2480" s="54"/>
      <c r="CEB2480" s="54"/>
      <c r="CEC2480" s="60"/>
      <c r="CED2480" s="60"/>
      <c r="CEE2480" s="60"/>
      <c r="CEF2480" s="60"/>
      <c r="CEG2480" s="60"/>
      <c r="CEH2480" s="61"/>
      <c r="CEI2480" s="54"/>
      <c r="CEJ2480" s="54"/>
      <c r="CEK2480" s="60"/>
      <c r="CEL2480" s="60"/>
      <c r="CEM2480" s="60"/>
      <c r="CEN2480" s="60"/>
      <c r="CEO2480" s="60"/>
      <c r="CEP2480" s="61"/>
      <c r="CEQ2480" s="54"/>
      <c r="CER2480" s="54"/>
      <c r="CES2480" s="60"/>
      <c r="CET2480" s="60"/>
      <c r="CEU2480" s="60"/>
      <c r="CEV2480" s="60"/>
      <c r="CEW2480" s="60"/>
      <c r="CEX2480" s="61"/>
      <c r="CEY2480" s="54"/>
      <c r="CEZ2480" s="54"/>
      <c r="CFA2480" s="60"/>
      <c r="CFB2480" s="60"/>
      <c r="CFC2480" s="60"/>
      <c r="CFD2480" s="60"/>
      <c r="CFE2480" s="60"/>
      <c r="CFF2480" s="61"/>
      <c r="CFG2480" s="54"/>
      <c r="CFH2480" s="54"/>
      <c r="CFI2480" s="60"/>
      <c r="CFJ2480" s="60"/>
      <c r="CFK2480" s="60"/>
      <c r="CFL2480" s="60"/>
      <c r="CFM2480" s="60"/>
      <c r="CFN2480" s="61"/>
      <c r="CFO2480" s="54"/>
      <c r="CFP2480" s="54"/>
      <c r="CFQ2480" s="60"/>
      <c r="CFR2480" s="60"/>
      <c r="CFS2480" s="60"/>
      <c r="CFT2480" s="60"/>
      <c r="CFU2480" s="60"/>
      <c r="CFV2480" s="61"/>
      <c r="CFW2480" s="54"/>
      <c r="CFX2480" s="54"/>
      <c r="CFY2480" s="60"/>
      <c r="CFZ2480" s="60"/>
      <c r="CGA2480" s="60"/>
      <c r="CGB2480" s="60"/>
      <c r="CGC2480" s="60"/>
      <c r="CGD2480" s="61"/>
      <c r="CGE2480" s="54"/>
      <c r="CGF2480" s="54"/>
      <c r="CGG2480" s="60"/>
      <c r="CGH2480" s="60"/>
      <c r="CGI2480" s="60"/>
      <c r="CGJ2480" s="60"/>
      <c r="CGK2480" s="60"/>
      <c r="CGL2480" s="61"/>
      <c r="CGM2480" s="54"/>
      <c r="CGN2480" s="54"/>
      <c r="CGO2480" s="60"/>
      <c r="CGP2480" s="60"/>
      <c r="CGQ2480" s="60"/>
      <c r="CGR2480" s="60"/>
      <c r="CGS2480" s="60"/>
      <c r="CGT2480" s="61"/>
      <c r="CGU2480" s="54"/>
      <c r="CGV2480" s="54"/>
      <c r="CGW2480" s="60"/>
      <c r="CGX2480" s="60"/>
      <c r="CGY2480" s="60"/>
      <c r="CGZ2480" s="60"/>
      <c r="CHA2480" s="60"/>
      <c r="CHB2480" s="61"/>
      <c r="CHC2480" s="54"/>
      <c r="CHD2480" s="54"/>
      <c r="CHE2480" s="60"/>
      <c r="CHF2480" s="60"/>
      <c r="CHG2480" s="60"/>
      <c r="CHH2480" s="60"/>
      <c r="CHI2480" s="60"/>
      <c r="CHJ2480" s="61"/>
      <c r="CHK2480" s="54"/>
      <c r="CHL2480" s="54"/>
      <c r="CHM2480" s="60"/>
      <c r="CHN2480" s="60"/>
      <c r="CHO2480" s="60"/>
      <c r="CHP2480" s="60"/>
      <c r="CHQ2480" s="60"/>
      <c r="CHR2480" s="61"/>
      <c r="CHS2480" s="54"/>
      <c r="CHT2480" s="54"/>
      <c r="CHU2480" s="60"/>
      <c r="CHV2480" s="60"/>
      <c r="CHW2480" s="60"/>
      <c r="CHX2480" s="60"/>
      <c r="CHY2480" s="60"/>
      <c r="CHZ2480" s="61"/>
      <c r="CIA2480" s="54"/>
      <c r="CIB2480" s="54"/>
      <c r="CIC2480" s="60"/>
      <c r="CID2480" s="60"/>
      <c r="CIE2480" s="60"/>
      <c r="CIF2480" s="60"/>
      <c r="CIG2480" s="60"/>
      <c r="CIH2480" s="61"/>
      <c r="CII2480" s="54"/>
      <c r="CIJ2480" s="54"/>
      <c r="CIK2480" s="60"/>
      <c r="CIL2480" s="60"/>
      <c r="CIM2480" s="60"/>
      <c r="CIN2480" s="60"/>
      <c r="CIO2480" s="60"/>
      <c r="CIP2480" s="61"/>
      <c r="CIQ2480" s="54"/>
      <c r="CIR2480" s="54"/>
      <c r="CIS2480" s="60"/>
      <c r="CIT2480" s="60"/>
      <c r="CIU2480" s="60"/>
      <c r="CIV2480" s="60"/>
      <c r="CIW2480" s="60"/>
      <c r="CIX2480" s="61"/>
      <c r="CIY2480" s="54"/>
      <c r="CIZ2480" s="54"/>
      <c r="CJA2480" s="60"/>
      <c r="CJB2480" s="60"/>
      <c r="CJC2480" s="60"/>
      <c r="CJD2480" s="60"/>
      <c r="CJE2480" s="60"/>
      <c r="CJF2480" s="61"/>
      <c r="CJG2480" s="54"/>
      <c r="CJH2480" s="54"/>
      <c r="CJI2480" s="60"/>
      <c r="CJJ2480" s="60"/>
      <c r="CJK2480" s="60"/>
      <c r="CJL2480" s="60"/>
      <c r="CJM2480" s="60"/>
      <c r="CJN2480" s="61"/>
      <c r="CJO2480" s="54"/>
      <c r="CJP2480" s="54"/>
      <c r="CJQ2480" s="60"/>
      <c r="CJR2480" s="60"/>
      <c r="CJS2480" s="60"/>
      <c r="CJT2480" s="60"/>
      <c r="CJU2480" s="60"/>
      <c r="CJV2480" s="61"/>
      <c r="CJW2480" s="54"/>
      <c r="CJX2480" s="54"/>
      <c r="CJY2480" s="60"/>
      <c r="CJZ2480" s="60"/>
      <c r="CKA2480" s="60"/>
      <c r="CKB2480" s="60"/>
      <c r="CKC2480" s="60"/>
      <c r="CKD2480" s="61"/>
      <c r="CKE2480" s="54"/>
      <c r="CKF2480" s="54"/>
      <c r="CKG2480" s="60"/>
      <c r="CKH2480" s="60"/>
      <c r="CKI2480" s="60"/>
      <c r="CKJ2480" s="60"/>
      <c r="CKK2480" s="60"/>
      <c r="CKL2480" s="61"/>
      <c r="CKM2480" s="54"/>
      <c r="CKN2480" s="54"/>
      <c r="CKO2480" s="60"/>
      <c r="CKP2480" s="60"/>
      <c r="CKQ2480" s="60"/>
      <c r="CKR2480" s="60"/>
      <c r="CKS2480" s="60"/>
      <c r="CKT2480" s="61"/>
      <c r="CKU2480" s="54"/>
      <c r="CKV2480" s="54"/>
      <c r="CKW2480" s="60"/>
      <c r="CKX2480" s="60"/>
      <c r="CKY2480" s="60"/>
      <c r="CKZ2480" s="60"/>
      <c r="CLA2480" s="60"/>
      <c r="CLB2480" s="61"/>
      <c r="CLC2480" s="54"/>
      <c r="CLD2480" s="54"/>
      <c r="CLE2480" s="60"/>
      <c r="CLF2480" s="60"/>
      <c r="CLG2480" s="60"/>
      <c r="CLH2480" s="60"/>
      <c r="CLI2480" s="60"/>
      <c r="CLJ2480" s="61"/>
      <c r="CLK2480" s="54"/>
      <c r="CLL2480" s="54"/>
      <c r="CLM2480" s="60"/>
      <c r="CLN2480" s="60"/>
      <c r="CLO2480" s="60"/>
      <c r="CLP2480" s="60"/>
      <c r="CLQ2480" s="60"/>
      <c r="CLR2480" s="61"/>
      <c r="CLS2480" s="54"/>
      <c r="CLT2480" s="54"/>
      <c r="CLU2480" s="60"/>
      <c r="CLV2480" s="60"/>
      <c r="CLW2480" s="60"/>
      <c r="CLX2480" s="60"/>
      <c r="CLY2480" s="60"/>
      <c r="CLZ2480" s="61"/>
      <c r="CMA2480" s="54"/>
      <c r="CMB2480" s="54"/>
      <c r="CMC2480" s="60"/>
      <c r="CMD2480" s="60"/>
      <c r="CME2480" s="60"/>
      <c r="CMF2480" s="60"/>
      <c r="CMG2480" s="60"/>
      <c r="CMH2480" s="61"/>
      <c r="CMI2480" s="54"/>
      <c r="CMJ2480" s="54"/>
      <c r="CMK2480" s="60"/>
      <c r="CML2480" s="60"/>
      <c r="CMM2480" s="60"/>
      <c r="CMN2480" s="60"/>
      <c r="CMO2480" s="60"/>
      <c r="CMP2480" s="61"/>
      <c r="CMQ2480" s="54"/>
      <c r="CMR2480" s="54"/>
      <c r="CMS2480" s="60"/>
      <c r="CMT2480" s="60"/>
      <c r="CMU2480" s="60"/>
      <c r="CMV2480" s="60"/>
      <c r="CMW2480" s="60"/>
      <c r="CMX2480" s="61"/>
      <c r="CMY2480" s="54"/>
      <c r="CMZ2480" s="54"/>
      <c r="CNA2480" s="60"/>
      <c r="CNB2480" s="60"/>
      <c r="CNC2480" s="60"/>
      <c r="CND2480" s="60"/>
      <c r="CNE2480" s="60"/>
      <c r="CNF2480" s="61"/>
      <c r="CNG2480" s="54"/>
      <c r="CNH2480" s="54"/>
      <c r="CNI2480" s="60"/>
      <c r="CNJ2480" s="60"/>
      <c r="CNK2480" s="60"/>
      <c r="CNL2480" s="60"/>
      <c r="CNM2480" s="60"/>
      <c r="CNN2480" s="61"/>
      <c r="CNO2480" s="54"/>
      <c r="CNP2480" s="54"/>
      <c r="CNQ2480" s="60"/>
      <c r="CNR2480" s="60"/>
      <c r="CNS2480" s="60"/>
      <c r="CNT2480" s="60"/>
      <c r="CNU2480" s="60"/>
      <c r="CNV2480" s="61"/>
      <c r="CNW2480" s="54"/>
      <c r="CNX2480" s="54"/>
      <c r="CNY2480" s="60"/>
      <c r="CNZ2480" s="60"/>
      <c r="COA2480" s="60"/>
      <c r="COB2480" s="60"/>
      <c r="COC2480" s="60"/>
      <c r="COD2480" s="61"/>
      <c r="COE2480" s="54"/>
      <c r="COF2480" s="54"/>
      <c r="COG2480" s="60"/>
      <c r="COH2480" s="60"/>
      <c r="COI2480" s="60"/>
      <c r="COJ2480" s="60"/>
      <c r="COK2480" s="60"/>
      <c r="COL2480" s="61"/>
      <c r="COM2480" s="54"/>
      <c r="CON2480" s="54"/>
      <c r="COO2480" s="60"/>
      <c r="COP2480" s="60"/>
      <c r="COQ2480" s="60"/>
      <c r="COR2480" s="60"/>
      <c r="COS2480" s="60"/>
      <c r="COT2480" s="61"/>
      <c r="COU2480" s="54"/>
      <c r="COV2480" s="54"/>
      <c r="COW2480" s="60"/>
      <c r="COX2480" s="60"/>
      <c r="COY2480" s="60"/>
      <c r="COZ2480" s="60"/>
      <c r="CPA2480" s="60"/>
      <c r="CPB2480" s="61"/>
      <c r="CPC2480" s="54"/>
      <c r="CPD2480" s="54"/>
      <c r="CPE2480" s="60"/>
      <c r="CPF2480" s="60"/>
      <c r="CPG2480" s="60"/>
      <c r="CPH2480" s="60"/>
      <c r="CPI2480" s="60"/>
      <c r="CPJ2480" s="61"/>
      <c r="CPK2480" s="54"/>
      <c r="CPL2480" s="54"/>
      <c r="CPM2480" s="60"/>
      <c r="CPN2480" s="60"/>
      <c r="CPO2480" s="60"/>
      <c r="CPP2480" s="60"/>
      <c r="CPQ2480" s="60"/>
      <c r="CPR2480" s="61"/>
      <c r="CPS2480" s="54"/>
      <c r="CPT2480" s="54"/>
      <c r="CPU2480" s="60"/>
      <c r="CPV2480" s="60"/>
      <c r="CPW2480" s="60"/>
      <c r="CPX2480" s="60"/>
      <c r="CPY2480" s="60"/>
      <c r="CPZ2480" s="61"/>
      <c r="CQA2480" s="54"/>
      <c r="CQB2480" s="54"/>
      <c r="CQC2480" s="60"/>
      <c r="CQD2480" s="60"/>
      <c r="CQE2480" s="60"/>
      <c r="CQF2480" s="60"/>
      <c r="CQG2480" s="60"/>
      <c r="CQH2480" s="61"/>
      <c r="CQI2480" s="54"/>
      <c r="CQJ2480" s="54"/>
      <c r="CQK2480" s="60"/>
      <c r="CQL2480" s="60"/>
      <c r="CQM2480" s="60"/>
      <c r="CQN2480" s="60"/>
      <c r="CQO2480" s="60"/>
      <c r="CQP2480" s="61"/>
      <c r="CQQ2480" s="54"/>
      <c r="CQR2480" s="54"/>
      <c r="CQS2480" s="60"/>
      <c r="CQT2480" s="60"/>
      <c r="CQU2480" s="60"/>
      <c r="CQV2480" s="60"/>
      <c r="CQW2480" s="60"/>
      <c r="CQX2480" s="61"/>
      <c r="CQY2480" s="54"/>
      <c r="CQZ2480" s="54"/>
      <c r="CRA2480" s="60"/>
      <c r="CRB2480" s="60"/>
      <c r="CRC2480" s="60"/>
      <c r="CRD2480" s="60"/>
      <c r="CRE2480" s="60"/>
      <c r="CRF2480" s="61"/>
      <c r="CRG2480" s="54"/>
      <c r="CRH2480" s="54"/>
      <c r="CRI2480" s="60"/>
      <c r="CRJ2480" s="60"/>
      <c r="CRK2480" s="60"/>
      <c r="CRL2480" s="60"/>
      <c r="CRM2480" s="60"/>
      <c r="CRN2480" s="61"/>
      <c r="CRO2480" s="54"/>
      <c r="CRP2480" s="54"/>
      <c r="CRQ2480" s="60"/>
      <c r="CRR2480" s="60"/>
      <c r="CRS2480" s="60"/>
      <c r="CRT2480" s="60"/>
      <c r="CRU2480" s="60"/>
      <c r="CRV2480" s="61"/>
      <c r="CRW2480" s="54"/>
      <c r="CRX2480" s="54"/>
      <c r="CRY2480" s="60"/>
      <c r="CRZ2480" s="60"/>
      <c r="CSA2480" s="60"/>
      <c r="CSB2480" s="60"/>
      <c r="CSC2480" s="60"/>
      <c r="CSD2480" s="61"/>
      <c r="CSE2480" s="54"/>
      <c r="CSF2480" s="54"/>
      <c r="CSG2480" s="60"/>
      <c r="CSH2480" s="60"/>
      <c r="CSI2480" s="60"/>
      <c r="CSJ2480" s="60"/>
      <c r="CSK2480" s="60"/>
      <c r="CSL2480" s="61"/>
      <c r="CSM2480" s="54"/>
      <c r="CSN2480" s="54"/>
      <c r="CSO2480" s="60"/>
      <c r="CSP2480" s="60"/>
      <c r="CSQ2480" s="60"/>
      <c r="CSR2480" s="60"/>
      <c r="CSS2480" s="60"/>
      <c r="CST2480" s="61"/>
      <c r="CSU2480" s="54"/>
      <c r="CSV2480" s="54"/>
      <c r="CSW2480" s="60"/>
      <c r="CSX2480" s="60"/>
      <c r="CSY2480" s="60"/>
      <c r="CSZ2480" s="60"/>
      <c r="CTA2480" s="60"/>
      <c r="CTB2480" s="61"/>
      <c r="CTC2480" s="54"/>
      <c r="CTD2480" s="54"/>
      <c r="CTE2480" s="60"/>
      <c r="CTF2480" s="60"/>
      <c r="CTG2480" s="60"/>
      <c r="CTH2480" s="60"/>
      <c r="CTI2480" s="60"/>
      <c r="CTJ2480" s="61"/>
      <c r="CTK2480" s="54"/>
      <c r="CTL2480" s="54"/>
      <c r="CTM2480" s="60"/>
      <c r="CTN2480" s="60"/>
      <c r="CTO2480" s="60"/>
      <c r="CTP2480" s="60"/>
      <c r="CTQ2480" s="60"/>
      <c r="CTR2480" s="61"/>
      <c r="CTS2480" s="54"/>
      <c r="CTT2480" s="54"/>
      <c r="CTU2480" s="60"/>
      <c r="CTV2480" s="60"/>
      <c r="CTW2480" s="60"/>
      <c r="CTX2480" s="60"/>
      <c r="CTY2480" s="60"/>
      <c r="CTZ2480" s="61"/>
      <c r="CUA2480" s="54"/>
      <c r="CUB2480" s="54"/>
      <c r="CUC2480" s="60"/>
      <c r="CUD2480" s="60"/>
      <c r="CUE2480" s="60"/>
      <c r="CUF2480" s="60"/>
      <c r="CUG2480" s="60"/>
      <c r="CUH2480" s="61"/>
      <c r="CUI2480" s="54"/>
      <c r="CUJ2480" s="54"/>
      <c r="CUK2480" s="60"/>
      <c r="CUL2480" s="60"/>
      <c r="CUM2480" s="60"/>
      <c r="CUN2480" s="60"/>
      <c r="CUO2480" s="60"/>
      <c r="CUP2480" s="61"/>
      <c r="CUQ2480" s="54"/>
      <c r="CUR2480" s="54"/>
      <c r="CUS2480" s="60"/>
      <c r="CUT2480" s="60"/>
      <c r="CUU2480" s="60"/>
      <c r="CUV2480" s="60"/>
      <c r="CUW2480" s="60"/>
      <c r="CUX2480" s="61"/>
      <c r="CUY2480" s="54"/>
      <c r="CUZ2480" s="54"/>
      <c r="CVA2480" s="60"/>
      <c r="CVB2480" s="60"/>
      <c r="CVC2480" s="60"/>
      <c r="CVD2480" s="60"/>
      <c r="CVE2480" s="60"/>
      <c r="CVF2480" s="61"/>
      <c r="CVG2480" s="54"/>
      <c r="CVH2480" s="54"/>
      <c r="CVI2480" s="60"/>
      <c r="CVJ2480" s="60"/>
      <c r="CVK2480" s="60"/>
      <c r="CVL2480" s="60"/>
      <c r="CVM2480" s="60"/>
      <c r="CVN2480" s="61"/>
      <c r="CVO2480" s="54"/>
      <c r="CVP2480" s="54"/>
      <c r="CVQ2480" s="60"/>
      <c r="CVR2480" s="60"/>
      <c r="CVS2480" s="60"/>
      <c r="CVT2480" s="60"/>
      <c r="CVU2480" s="60"/>
      <c r="CVV2480" s="61"/>
      <c r="CVW2480" s="54"/>
      <c r="CVX2480" s="54"/>
      <c r="CVY2480" s="60"/>
      <c r="CVZ2480" s="60"/>
      <c r="CWA2480" s="60"/>
      <c r="CWB2480" s="60"/>
      <c r="CWC2480" s="60"/>
      <c r="CWD2480" s="61"/>
      <c r="CWE2480" s="54"/>
      <c r="CWF2480" s="54"/>
      <c r="CWG2480" s="60"/>
      <c r="CWH2480" s="60"/>
      <c r="CWI2480" s="60"/>
      <c r="CWJ2480" s="60"/>
      <c r="CWK2480" s="60"/>
      <c r="CWL2480" s="61"/>
      <c r="CWM2480" s="54"/>
      <c r="CWN2480" s="54"/>
      <c r="CWO2480" s="60"/>
      <c r="CWP2480" s="60"/>
      <c r="CWQ2480" s="60"/>
      <c r="CWR2480" s="60"/>
      <c r="CWS2480" s="60"/>
      <c r="CWT2480" s="61"/>
      <c r="CWU2480" s="54"/>
      <c r="CWV2480" s="54"/>
      <c r="CWW2480" s="60"/>
      <c r="CWX2480" s="60"/>
      <c r="CWY2480" s="60"/>
      <c r="CWZ2480" s="60"/>
      <c r="CXA2480" s="60"/>
      <c r="CXB2480" s="61"/>
      <c r="CXC2480" s="54"/>
      <c r="CXD2480" s="54"/>
      <c r="CXE2480" s="60"/>
      <c r="CXF2480" s="60"/>
      <c r="CXG2480" s="60"/>
      <c r="CXH2480" s="60"/>
      <c r="CXI2480" s="60"/>
      <c r="CXJ2480" s="61"/>
      <c r="CXK2480" s="54"/>
      <c r="CXL2480" s="54"/>
      <c r="CXM2480" s="60"/>
      <c r="CXN2480" s="60"/>
      <c r="CXO2480" s="60"/>
      <c r="CXP2480" s="60"/>
      <c r="CXQ2480" s="60"/>
      <c r="CXR2480" s="61"/>
      <c r="CXS2480" s="54"/>
      <c r="CXT2480" s="54"/>
      <c r="CXU2480" s="60"/>
      <c r="CXV2480" s="60"/>
      <c r="CXW2480" s="60"/>
      <c r="CXX2480" s="60"/>
      <c r="CXY2480" s="60"/>
      <c r="CXZ2480" s="61"/>
      <c r="CYA2480" s="54"/>
      <c r="CYB2480" s="54"/>
      <c r="CYC2480" s="60"/>
      <c r="CYD2480" s="60"/>
      <c r="CYE2480" s="60"/>
      <c r="CYF2480" s="60"/>
      <c r="CYG2480" s="60"/>
      <c r="CYH2480" s="61"/>
      <c r="CYI2480" s="54"/>
      <c r="CYJ2480" s="54"/>
      <c r="CYK2480" s="60"/>
      <c r="CYL2480" s="60"/>
      <c r="CYM2480" s="60"/>
      <c r="CYN2480" s="60"/>
      <c r="CYO2480" s="60"/>
      <c r="CYP2480" s="61"/>
      <c r="CYQ2480" s="54"/>
      <c r="CYR2480" s="54"/>
      <c r="CYS2480" s="60"/>
      <c r="CYT2480" s="60"/>
      <c r="CYU2480" s="60"/>
      <c r="CYV2480" s="60"/>
      <c r="CYW2480" s="60"/>
      <c r="CYX2480" s="61"/>
      <c r="CYY2480" s="54"/>
      <c r="CYZ2480" s="54"/>
      <c r="CZA2480" s="60"/>
      <c r="CZB2480" s="60"/>
      <c r="CZC2480" s="60"/>
      <c r="CZD2480" s="60"/>
      <c r="CZE2480" s="60"/>
      <c r="CZF2480" s="61"/>
      <c r="CZG2480" s="54"/>
      <c r="CZH2480" s="54"/>
      <c r="CZI2480" s="60"/>
      <c r="CZJ2480" s="60"/>
      <c r="CZK2480" s="60"/>
      <c r="CZL2480" s="60"/>
      <c r="CZM2480" s="60"/>
      <c r="CZN2480" s="61"/>
      <c r="CZO2480" s="54"/>
      <c r="CZP2480" s="54"/>
      <c r="CZQ2480" s="60"/>
      <c r="CZR2480" s="60"/>
      <c r="CZS2480" s="60"/>
      <c r="CZT2480" s="60"/>
      <c r="CZU2480" s="60"/>
      <c r="CZV2480" s="61"/>
      <c r="CZW2480" s="54"/>
      <c r="CZX2480" s="54"/>
      <c r="CZY2480" s="60"/>
      <c r="CZZ2480" s="60"/>
      <c r="DAA2480" s="60"/>
      <c r="DAB2480" s="60"/>
      <c r="DAC2480" s="60"/>
      <c r="DAD2480" s="61"/>
      <c r="DAE2480" s="54"/>
      <c r="DAF2480" s="54"/>
      <c r="DAG2480" s="60"/>
      <c r="DAH2480" s="60"/>
      <c r="DAI2480" s="60"/>
      <c r="DAJ2480" s="60"/>
      <c r="DAK2480" s="60"/>
      <c r="DAL2480" s="61"/>
      <c r="DAM2480" s="54"/>
      <c r="DAN2480" s="54"/>
      <c r="DAO2480" s="60"/>
      <c r="DAP2480" s="60"/>
      <c r="DAQ2480" s="60"/>
      <c r="DAR2480" s="60"/>
      <c r="DAS2480" s="60"/>
      <c r="DAT2480" s="61"/>
      <c r="DAU2480" s="54"/>
      <c r="DAV2480" s="54"/>
      <c r="DAW2480" s="60"/>
      <c r="DAX2480" s="60"/>
      <c r="DAY2480" s="60"/>
      <c r="DAZ2480" s="60"/>
      <c r="DBA2480" s="60"/>
      <c r="DBB2480" s="61"/>
      <c r="DBC2480" s="54"/>
      <c r="DBD2480" s="54"/>
      <c r="DBE2480" s="60"/>
      <c r="DBF2480" s="60"/>
      <c r="DBG2480" s="60"/>
      <c r="DBH2480" s="60"/>
      <c r="DBI2480" s="60"/>
      <c r="DBJ2480" s="61"/>
      <c r="DBK2480" s="54"/>
      <c r="DBL2480" s="54"/>
      <c r="DBM2480" s="60"/>
      <c r="DBN2480" s="60"/>
      <c r="DBO2480" s="60"/>
      <c r="DBP2480" s="60"/>
      <c r="DBQ2480" s="60"/>
      <c r="DBR2480" s="61"/>
      <c r="DBS2480" s="54"/>
      <c r="DBT2480" s="54"/>
      <c r="DBU2480" s="60"/>
      <c r="DBV2480" s="60"/>
      <c r="DBW2480" s="60"/>
      <c r="DBX2480" s="60"/>
      <c r="DBY2480" s="60"/>
      <c r="DBZ2480" s="61"/>
      <c r="DCA2480" s="54"/>
      <c r="DCB2480" s="54"/>
      <c r="DCC2480" s="60"/>
      <c r="DCD2480" s="60"/>
      <c r="DCE2480" s="60"/>
      <c r="DCF2480" s="60"/>
      <c r="DCG2480" s="60"/>
      <c r="DCH2480" s="61"/>
      <c r="DCI2480" s="54"/>
      <c r="DCJ2480" s="54"/>
      <c r="DCK2480" s="60"/>
      <c r="DCL2480" s="60"/>
      <c r="DCM2480" s="60"/>
      <c r="DCN2480" s="60"/>
      <c r="DCO2480" s="60"/>
      <c r="DCP2480" s="61"/>
      <c r="DCQ2480" s="54"/>
      <c r="DCR2480" s="54"/>
      <c r="DCS2480" s="60"/>
      <c r="DCT2480" s="60"/>
      <c r="DCU2480" s="60"/>
      <c r="DCV2480" s="60"/>
      <c r="DCW2480" s="60"/>
      <c r="DCX2480" s="61"/>
      <c r="DCY2480" s="54"/>
      <c r="DCZ2480" s="54"/>
      <c r="DDA2480" s="60"/>
      <c r="DDB2480" s="60"/>
      <c r="DDC2480" s="60"/>
      <c r="DDD2480" s="60"/>
      <c r="DDE2480" s="60"/>
      <c r="DDF2480" s="61"/>
      <c r="DDG2480" s="54"/>
      <c r="DDH2480" s="54"/>
      <c r="DDI2480" s="60"/>
      <c r="DDJ2480" s="60"/>
      <c r="DDK2480" s="60"/>
      <c r="DDL2480" s="60"/>
      <c r="DDM2480" s="60"/>
      <c r="DDN2480" s="61"/>
      <c r="DDO2480" s="54"/>
      <c r="DDP2480" s="54"/>
      <c r="DDQ2480" s="60"/>
      <c r="DDR2480" s="60"/>
      <c r="DDS2480" s="60"/>
      <c r="DDT2480" s="60"/>
      <c r="DDU2480" s="60"/>
      <c r="DDV2480" s="61"/>
      <c r="DDW2480" s="54"/>
      <c r="DDX2480" s="54"/>
      <c r="DDY2480" s="60"/>
      <c r="DDZ2480" s="60"/>
      <c r="DEA2480" s="60"/>
      <c r="DEB2480" s="60"/>
      <c r="DEC2480" s="60"/>
      <c r="DED2480" s="61"/>
      <c r="DEE2480" s="54"/>
      <c r="DEF2480" s="54"/>
      <c r="DEG2480" s="60"/>
      <c r="DEH2480" s="60"/>
      <c r="DEI2480" s="60"/>
      <c r="DEJ2480" s="60"/>
      <c r="DEK2480" s="60"/>
      <c r="DEL2480" s="61"/>
      <c r="DEM2480" s="54"/>
      <c r="DEN2480" s="54"/>
      <c r="DEO2480" s="60"/>
      <c r="DEP2480" s="60"/>
      <c r="DEQ2480" s="60"/>
      <c r="DER2480" s="60"/>
      <c r="DES2480" s="60"/>
      <c r="DET2480" s="61"/>
      <c r="DEU2480" s="54"/>
      <c r="DEV2480" s="54"/>
      <c r="DEW2480" s="60"/>
      <c r="DEX2480" s="60"/>
      <c r="DEY2480" s="60"/>
      <c r="DEZ2480" s="60"/>
      <c r="DFA2480" s="60"/>
      <c r="DFB2480" s="61"/>
      <c r="DFC2480" s="54"/>
      <c r="DFD2480" s="54"/>
      <c r="DFE2480" s="60"/>
      <c r="DFF2480" s="60"/>
      <c r="DFG2480" s="60"/>
      <c r="DFH2480" s="60"/>
      <c r="DFI2480" s="60"/>
      <c r="DFJ2480" s="61"/>
      <c r="DFK2480" s="54"/>
      <c r="DFL2480" s="54"/>
      <c r="DFM2480" s="60"/>
      <c r="DFN2480" s="60"/>
      <c r="DFO2480" s="60"/>
      <c r="DFP2480" s="60"/>
      <c r="DFQ2480" s="60"/>
      <c r="DFR2480" s="61"/>
      <c r="DFS2480" s="54"/>
      <c r="DFT2480" s="54"/>
      <c r="DFU2480" s="60"/>
      <c r="DFV2480" s="60"/>
      <c r="DFW2480" s="60"/>
      <c r="DFX2480" s="60"/>
      <c r="DFY2480" s="60"/>
      <c r="DFZ2480" s="61"/>
      <c r="DGA2480" s="54"/>
      <c r="DGB2480" s="54"/>
      <c r="DGC2480" s="60"/>
      <c r="DGD2480" s="60"/>
      <c r="DGE2480" s="60"/>
      <c r="DGF2480" s="60"/>
      <c r="DGG2480" s="60"/>
      <c r="DGH2480" s="61"/>
      <c r="DGI2480" s="54"/>
      <c r="DGJ2480" s="54"/>
      <c r="DGK2480" s="60"/>
      <c r="DGL2480" s="60"/>
      <c r="DGM2480" s="60"/>
      <c r="DGN2480" s="60"/>
      <c r="DGO2480" s="60"/>
      <c r="DGP2480" s="61"/>
      <c r="DGQ2480" s="54"/>
      <c r="DGR2480" s="54"/>
      <c r="DGS2480" s="60"/>
      <c r="DGT2480" s="60"/>
      <c r="DGU2480" s="60"/>
      <c r="DGV2480" s="60"/>
      <c r="DGW2480" s="60"/>
      <c r="DGX2480" s="61"/>
      <c r="DGY2480" s="54"/>
      <c r="DGZ2480" s="54"/>
      <c r="DHA2480" s="60"/>
      <c r="DHB2480" s="60"/>
      <c r="DHC2480" s="60"/>
      <c r="DHD2480" s="60"/>
      <c r="DHE2480" s="60"/>
      <c r="DHF2480" s="61"/>
      <c r="DHG2480" s="54"/>
      <c r="DHH2480" s="54"/>
      <c r="DHI2480" s="60"/>
      <c r="DHJ2480" s="60"/>
      <c r="DHK2480" s="60"/>
      <c r="DHL2480" s="60"/>
      <c r="DHM2480" s="60"/>
      <c r="DHN2480" s="61"/>
      <c r="DHO2480" s="54"/>
      <c r="DHP2480" s="54"/>
      <c r="DHQ2480" s="60"/>
      <c r="DHR2480" s="60"/>
      <c r="DHS2480" s="60"/>
      <c r="DHT2480" s="60"/>
      <c r="DHU2480" s="60"/>
      <c r="DHV2480" s="61"/>
      <c r="DHW2480" s="54"/>
      <c r="DHX2480" s="54"/>
      <c r="DHY2480" s="60"/>
      <c r="DHZ2480" s="60"/>
      <c r="DIA2480" s="60"/>
      <c r="DIB2480" s="60"/>
      <c r="DIC2480" s="60"/>
      <c r="DID2480" s="61"/>
      <c r="DIE2480" s="54"/>
      <c r="DIF2480" s="54"/>
      <c r="DIG2480" s="60"/>
      <c r="DIH2480" s="60"/>
      <c r="DII2480" s="60"/>
      <c r="DIJ2480" s="60"/>
      <c r="DIK2480" s="60"/>
      <c r="DIL2480" s="61"/>
      <c r="DIM2480" s="54"/>
      <c r="DIN2480" s="54"/>
      <c r="DIO2480" s="60"/>
      <c r="DIP2480" s="60"/>
      <c r="DIQ2480" s="60"/>
      <c r="DIR2480" s="60"/>
      <c r="DIS2480" s="60"/>
      <c r="DIT2480" s="61"/>
      <c r="DIU2480" s="54"/>
      <c r="DIV2480" s="54"/>
      <c r="DIW2480" s="60"/>
      <c r="DIX2480" s="60"/>
      <c r="DIY2480" s="60"/>
      <c r="DIZ2480" s="60"/>
      <c r="DJA2480" s="60"/>
      <c r="DJB2480" s="61"/>
      <c r="DJC2480" s="54"/>
      <c r="DJD2480" s="54"/>
      <c r="DJE2480" s="60"/>
      <c r="DJF2480" s="60"/>
      <c r="DJG2480" s="60"/>
      <c r="DJH2480" s="60"/>
      <c r="DJI2480" s="60"/>
      <c r="DJJ2480" s="61"/>
      <c r="DJK2480" s="54"/>
      <c r="DJL2480" s="54"/>
      <c r="DJM2480" s="60"/>
      <c r="DJN2480" s="60"/>
      <c r="DJO2480" s="60"/>
      <c r="DJP2480" s="60"/>
      <c r="DJQ2480" s="60"/>
      <c r="DJR2480" s="61"/>
      <c r="DJS2480" s="54"/>
      <c r="DJT2480" s="54"/>
      <c r="DJU2480" s="60"/>
      <c r="DJV2480" s="60"/>
      <c r="DJW2480" s="60"/>
      <c r="DJX2480" s="60"/>
      <c r="DJY2480" s="60"/>
      <c r="DJZ2480" s="61"/>
      <c r="DKA2480" s="54"/>
      <c r="DKB2480" s="54"/>
      <c r="DKC2480" s="60"/>
      <c r="DKD2480" s="60"/>
      <c r="DKE2480" s="60"/>
      <c r="DKF2480" s="60"/>
      <c r="DKG2480" s="60"/>
      <c r="DKH2480" s="61"/>
      <c r="DKI2480" s="54"/>
      <c r="DKJ2480" s="54"/>
      <c r="DKK2480" s="60"/>
      <c r="DKL2480" s="60"/>
      <c r="DKM2480" s="60"/>
      <c r="DKN2480" s="60"/>
      <c r="DKO2480" s="60"/>
      <c r="DKP2480" s="61"/>
      <c r="DKQ2480" s="54"/>
      <c r="DKR2480" s="54"/>
      <c r="DKS2480" s="60"/>
      <c r="DKT2480" s="60"/>
      <c r="DKU2480" s="60"/>
      <c r="DKV2480" s="60"/>
      <c r="DKW2480" s="60"/>
      <c r="DKX2480" s="61"/>
      <c r="DKY2480" s="54"/>
      <c r="DKZ2480" s="54"/>
      <c r="DLA2480" s="60"/>
      <c r="DLB2480" s="60"/>
      <c r="DLC2480" s="60"/>
      <c r="DLD2480" s="60"/>
      <c r="DLE2480" s="60"/>
      <c r="DLF2480" s="61"/>
      <c r="DLG2480" s="54"/>
      <c r="DLH2480" s="54"/>
      <c r="DLI2480" s="60"/>
      <c r="DLJ2480" s="60"/>
      <c r="DLK2480" s="60"/>
      <c r="DLL2480" s="60"/>
      <c r="DLM2480" s="60"/>
      <c r="DLN2480" s="61"/>
      <c r="DLO2480" s="54"/>
      <c r="DLP2480" s="54"/>
      <c r="DLQ2480" s="60"/>
      <c r="DLR2480" s="60"/>
      <c r="DLS2480" s="60"/>
      <c r="DLT2480" s="60"/>
      <c r="DLU2480" s="60"/>
      <c r="DLV2480" s="61"/>
      <c r="DLW2480" s="54"/>
      <c r="DLX2480" s="54"/>
      <c r="DLY2480" s="60"/>
      <c r="DLZ2480" s="60"/>
      <c r="DMA2480" s="60"/>
      <c r="DMB2480" s="60"/>
      <c r="DMC2480" s="60"/>
      <c r="DMD2480" s="61"/>
      <c r="DME2480" s="54"/>
      <c r="DMF2480" s="54"/>
      <c r="DMG2480" s="60"/>
      <c r="DMH2480" s="60"/>
      <c r="DMI2480" s="60"/>
      <c r="DMJ2480" s="60"/>
      <c r="DMK2480" s="60"/>
      <c r="DML2480" s="61"/>
      <c r="DMM2480" s="54"/>
      <c r="DMN2480" s="54"/>
      <c r="DMO2480" s="60"/>
      <c r="DMP2480" s="60"/>
      <c r="DMQ2480" s="60"/>
      <c r="DMR2480" s="60"/>
      <c r="DMS2480" s="60"/>
      <c r="DMT2480" s="61"/>
      <c r="DMU2480" s="54"/>
      <c r="DMV2480" s="54"/>
      <c r="DMW2480" s="60"/>
      <c r="DMX2480" s="60"/>
      <c r="DMY2480" s="60"/>
      <c r="DMZ2480" s="60"/>
      <c r="DNA2480" s="60"/>
      <c r="DNB2480" s="61"/>
      <c r="DNC2480" s="54"/>
      <c r="DND2480" s="54"/>
      <c r="DNE2480" s="60"/>
      <c r="DNF2480" s="60"/>
      <c r="DNG2480" s="60"/>
      <c r="DNH2480" s="60"/>
      <c r="DNI2480" s="60"/>
      <c r="DNJ2480" s="61"/>
      <c r="DNK2480" s="54"/>
      <c r="DNL2480" s="54"/>
      <c r="DNM2480" s="60"/>
      <c r="DNN2480" s="60"/>
      <c r="DNO2480" s="60"/>
      <c r="DNP2480" s="60"/>
      <c r="DNQ2480" s="60"/>
      <c r="DNR2480" s="61"/>
      <c r="DNS2480" s="54"/>
      <c r="DNT2480" s="54"/>
      <c r="DNU2480" s="60"/>
      <c r="DNV2480" s="60"/>
      <c r="DNW2480" s="60"/>
      <c r="DNX2480" s="60"/>
      <c r="DNY2480" s="60"/>
      <c r="DNZ2480" s="61"/>
      <c r="DOA2480" s="54"/>
      <c r="DOB2480" s="54"/>
      <c r="DOC2480" s="60"/>
      <c r="DOD2480" s="60"/>
      <c r="DOE2480" s="60"/>
      <c r="DOF2480" s="60"/>
      <c r="DOG2480" s="60"/>
      <c r="DOH2480" s="61"/>
      <c r="DOI2480" s="54"/>
      <c r="DOJ2480" s="54"/>
      <c r="DOK2480" s="60"/>
      <c r="DOL2480" s="60"/>
      <c r="DOM2480" s="60"/>
      <c r="DON2480" s="60"/>
      <c r="DOO2480" s="60"/>
      <c r="DOP2480" s="61"/>
      <c r="DOQ2480" s="54"/>
      <c r="DOR2480" s="54"/>
      <c r="DOS2480" s="60"/>
      <c r="DOT2480" s="60"/>
      <c r="DOU2480" s="60"/>
      <c r="DOV2480" s="60"/>
      <c r="DOW2480" s="60"/>
      <c r="DOX2480" s="61"/>
      <c r="DOY2480" s="54"/>
      <c r="DOZ2480" s="54"/>
      <c r="DPA2480" s="60"/>
      <c r="DPB2480" s="60"/>
      <c r="DPC2480" s="60"/>
      <c r="DPD2480" s="60"/>
      <c r="DPE2480" s="60"/>
      <c r="DPF2480" s="61"/>
      <c r="DPG2480" s="54"/>
      <c r="DPH2480" s="54"/>
      <c r="DPI2480" s="60"/>
      <c r="DPJ2480" s="60"/>
      <c r="DPK2480" s="60"/>
      <c r="DPL2480" s="60"/>
      <c r="DPM2480" s="60"/>
      <c r="DPN2480" s="61"/>
      <c r="DPO2480" s="54"/>
      <c r="DPP2480" s="54"/>
      <c r="DPQ2480" s="60"/>
      <c r="DPR2480" s="60"/>
      <c r="DPS2480" s="60"/>
      <c r="DPT2480" s="60"/>
      <c r="DPU2480" s="60"/>
      <c r="DPV2480" s="61"/>
      <c r="DPW2480" s="54"/>
      <c r="DPX2480" s="54"/>
      <c r="DPY2480" s="60"/>
      <c r="DPZ2480" s="60"/>
      <c r="DQA2480" s="60"/>
      <c r="DQB2480" s="60"/>
      <c r="DQC2480" s="60"/>
      <c r="DQD2480" s="61"/>
      <c r="DQE2480" s="54"/>
      <c r="DQF2480" s="54"/>
      <c r="DQG2480" s="60"/>
      <c r="DQH2480" s="60"/>
      <c r="DQI2480" s="60"/>
      <c r="DQJ2480" s="60"/>
      <c r="DQK2480" s="60"/>
      <c r="DQL2480" s="61"/>
      <c r="DQM2480" s="54"/>
      <c r="DQN2480" s="54"/>
      <c r="DQO2480" s="60"/>
      <c r="DQP2480" s="60"/>
      <c r="DQQ2480" s="60"/>
      <c r="DQR2480" s="60"/>
      <c r="DQS2480" s="60"/>
      <c r="DQT2480" s="61"/>
      <c r="DQU2480" s="54"/>
      <c r="DQV2480" s="54"/>
      <c r="DQW2480" s="60"/>
      <c r="DQX2480" s="60"/>
      <c r="DQY2480" s="60"/>
      <c r="DQZ2480" s="60"/>
      <c r="DRA2480" s="60"/>
      <c r="DRB2480" s="61"/>
      <c r="DRC2480" s="54"/>
      <c r="DRD2480" s="54"/>
      <c r="DRE2480" s="60"/>
      <c r="DRF2480" s="60"/>
      <c r="DRG2480" s="60"/>
      <c r="DRH2480" s="60"/>
      <c r="DRI2480" s="60"/>
      <c r="DRJ2480" s="61"/>
      <c r="DRK2480" s="54"/>
      <c r="DRL2480" s="54"/>
      <c r="DRM2480" s="60"/>
      <c r="DRN2480" s="60"/>
      <c r="DRO2480" s="60"/>
      <c r="DRP2480" s="60"/>
      <c r="DRQ2480" s="60"/>
      <c r="DRR2480" s="61"/>
      <c r="DRS2480" s="54"/>
      <c r="DRT2480" s="54"/>
      <c r="DRU2480" s="60"/>
      <c r="DRV2480" s="60"/>
      <c r="DRW2480" s="60"/>
      <c r="DRX2480" s="60"/>
      <c r="DRY2480" s="60"/>
      <c r="DRZ2480" s="61"/>
      <c r="DSA2480" s="54"/>
      <c r="DSB2480" s="54"/>
      <c r="DSC2480" s="60"/>
      <c r="DSD2480" s="60"/>
      <c r="DSE2480" s="60"/>
      <c r="DSF2480" s="60"/>
      <c r="DSG2480" s="60"/>
      <c r="DSH2480" s="61"/>
      <c r="DSI2480" s="54"/>
      <c r="DSJ2480" s="54"/>
      <c r="DSK2480" s="60"/>
      <c r="DSL2480" s="60"/>
      <c r="DSM2480" s="60"/>
      <c r="DSN2480" s="60"/>
      <c r="DSO2480" s="60"/>
      <c r="DSP2480" s="61"/>
      <c r="DSQ2480" s="54"/>
      <c r="DSR2480" s="54"/>
      <c r="DSS2480" s="60"/>
      <c r="DST2480" s="60"/>
      <c r="DSU2480" s="60"/>
      <c r="DSV2480" s="60"/>
      <c r="DSW2480" s="60"/>
      <c r="DSX2480" s="61"/>
      <c r="DSY2480" s="54"/>
      <c r="DSZ2480" s="54"/>
      <c r="DTA2480" s="60"/>
      <c r="DTB2480" s="60"/>
      <c r="DTC2480" s="60"/>
      <c r="DTD2480" s="60"/>
      <c r="DTE2480" s="60"/>
      <c r="DTF2480" s="61"/>
      <c r="DTG2480" s="54"/>
      <c r="DTH2480" s="54"/>
      <c r="DTI2480" s="60"/>
      <c r="DTJ2480" s="60"/>
      <c r="DTK2480" s="60"/>
      <c r="DTL2480" s="60"/>
      <c r="DTM2480" s="60"/>
      <c r="DTN2480" s="61"/>
      <c r="DTO2480" s="54"/>
      <c r="DTP2480" s="54"/>
      <c r="DTQ2480" s="60"/>
      <c r="DTR2480" s="60"/>
      <c r="DTS2480" s="60"/>
      <c r="DTT2480" s="60"/>
      <c r="DTU2480" s="60"/>
      <c r="DTV2480" s="61"/>
      <c r="DTW2480" s="54"/>
      <c r="DTX2480" s="54"/>
      <c r="DTY2480" s="60"/>
      <c r="DTZ2480" s="60"/>
      <c r="DUA2480" s="60"/>
      <c r="DUB2480" s="60"/>
      <c r="DUC2480" s="60"/>
      <c r="DUD2480" s="61"/>
      <c r="DUE2480" s="54"/>
      <c r="DUF2480" s="54"/>
      <c r="DUG2480" s="60"/>
      <c r="DUH2480" s="60"/>
      <c r="DUI2480" s="60"/>
      <c r="DUJ2480" s="60"/>
      <c r="DUK2480" s="60"/>
      <c r="DUL2480" s="61"/>
      <c r="DUM2480" s="54"/>
      <c r="DUN2480" s="54"/>
      <c r="DUO2480" s="60"/>
      <c r="DUP2480" s="60"/>
      <c r="DUQ2480" s="60"/>
      <c r="DUR2480" s="60"/>
      <c r="DUS2480" s="60"/>
      <c r="DUT2480" s="61"/>
      <c r="DUU2480" s="54"/>
      <c r="DUV2480" s="54"/>
      <c r="DUW2480" s="60"/>
      <c r="DUX2480" s="60"/>
      <c r="DUY2480" s="60"/>
      <c r="DUZ2480" s="60"/>
      <c r="DVA2480" s="60"/>
      <c r="DVB2480" s="61"/>
      <c r="DVC2480" s="54"/>
      <c r="DVD2480" s="54"/>
      <c r="DVE2480" s="60"/>
      <c r="DVF2480" s="60"/>
      <c r="DVG2480" s="60"/>
      <c r="DVH2480" s="60"/>
      <c r="DVI2480" s="60"/>
      <c r="DVJ2480" s="61"/>
      <c r="DVK2480" s="54"/>
      <c r="DVL2480" s="54"/>
      <c r="DVM2480" s="60"/>
      <c r="DVN2480" s="60"/>
      <c r="DVO2480" s="60"/>
      <c r="DVP2480" s="60"/>
      <c r="DVQ2480" s="60"/>
      <c r="DVR2480" s="61"/>
      <c r="DVS2480" s="54"/>
      <c r="DVT2480" s="54"/>
      <c r="DVU2480" s="60"/>
      <c r="DVV2480" s="60"/>
      <c r="DVW2480" s="60"/>
      <c r="DVX2480" s="60"/>
      <c r="DVY2480" s="60"/>
      <c r="DVZ2480" s="61"/>
      <c r="DWA2480" s="54"/>
      <c r="DWB2480" s="54"/>
      <c r="DWC2480" s="60"/>
      <c r="DWD2480" s="60"/>
      <c r="DWE2480" s="60"/>
      <c r="DWF2480" s="60"/>
      <c r="DWG2480" s="60"/>
      <c r="DWH2480" s="61"/>
      <c r="DWI2480" s="54"/>
      <c r="DWJ2480" s="54"/>
      <c r="DWK2480" s="60"/>
      <c r="DWL2480" s="60"/>
      <c r="DWM2480" s="60"/>
      <c r="DWN2480" s="60"/>
      <c r="DWO2480" s="60"/>
      <c r="DWP2480" s="61"/>
      <c r="DWQ2480" s="54"/>
      <c r="DWR2480" s="54"/>
      <c r="DWS2480" s="60"/>
      <c r="DWT2480" s="60"/>
      <c r="DWU2480" s="60"/>
      <c r="DWV2480" s="60"/>
      <c r="DWW2480" s="60"/>
      <c r="DWX2480" s="61"/>
      <c r="DWY2480" s="54"/>
      <c r="DWZ2480" s="54"/>
      <c r="DXA2480" s="60"/>
      <c r="DXB2480" s="60"/>
      <c r="DXC2480" s="60"/>
      <c r="DXD2480" s="60"/>
      <c r="DXE2480" s="60"/>
      <c r="DXF2480" s="61"/>
      <c r="DXG2480" s="54"/>
      <c r="DXH2480" s="54"/>
      <c r="DXI2480" s="60"/>
      <c r="DXJ2480" s="60"/>
      <c r="DXK2480" s="60"/>
      <c r="DXL2480" s="60"/>
      <c r="DXM2480" s="60"/>
      <c r="DXN2480" s="61"/>
      <c r="DXO2480" s="54"/>
      <c r="DXP2480" s="54"/>
      <c r="DXQ2480" s="60"/>
      <c r="DXR2480" s="60"/>
      <c r="DXS2480" s="60"/>
      <c r="DXT2480" s="60"/>
      <c r="DXU2480" s="60"/>
      <c r="DXV2480" s="61"/>
      <c r="DXW2480" s="54"/>
      <c r="DXX2480" s="54"/>
      <c r="DXY2480" s="60"/>
      <c r="DXZ2480" s="60"/>
      <c r="DYA2480" s="60"/>
      <c r="DYB2480" s="60"/>
      <c r="DYC2480" s="60"/>
      <c r="DYD2480" s="61"/>
      <c r="DYE2480" s="54"/>
      <c r="DYF2480" s="54"/>
      <c r="DYG2480" s="60"/>
      <c r="DYH2480" s="60"/>
      <c r="DYI2480" s="60"/>
      <c r="DYJ2480" s="60"/>
      <c r="DYK2480" s="60"/>
      <c r="DYL2480" s="61"/>
      <c r="DYM2480" s="54"/>
      <c r="DYN2480" s="54"/>
      <c r="DYO2480" s="60"/>
      <c r="DYP2480" s="60"/>
      <c r="DYQ2480" s="60"/>
      <c r="DYR2480" s="60"/>
      <c r="DYS2480" s="60"/>
      <c r="DYT2480" s="61"/>
      <c r="DYU2480" s="54"/>
      <c r="DYV2480" s="54"/>
      <c r="DYW2480" s="60"/>
      <c r="DYX2480" s="60"/>
      <c r="DYY2480" s="60"/>
      <c r="DYZ2480" s="60"/>
      <c r="DZA2480" s="60"/>
      <c r="DZB2480" s="61"/>
      <c r="DZC2480" s="54"/>
      <c r="DZD2480" s="54"/>
      <c r="DZE2480" s="60"/>
      <c r="DZF2480" s="60"/>
      <c r="DZG2480" s="60"/>
      <c r="DZH2480" s="60"/>
      <c r="DZI2480" s="60"/>
      <c r="DZJ2480" s="61"/>
      <c r="DZK2480" s="54"/>
      <c r="DZL2480" s="54"/>
      <c r="DZM2480" s="60"/>
      <c r="DZN2480" s="60"/>
      <c r="DZO2480" s="60"/>
      <c r="DZP2480" s="60"/>
      <c r="DZQ2480" s="60"/>
      <c r="DZR2480" s="61"/>
      <c r="DZS2480" s="54"/>
      <c r="DZT2480" s="54"/>
      <c r="DZU2480" s="60"/>
      <c r="DZV2480" s="60"/>
      <c r="DZW2480" s="60"/>
      <c r="DZX2480" s="60"/>
      <c r="DZY2480" s="60"/>
      <c r="DZZ2480" s="61"/>
      <c r="EAA2480" s="54"/>
      <c r="EAB2480" s="54"/>
      <c r="EAC2480" s="60"/>
      <c r="EAD2480" s="60"/>
      <c r="EAE2480" s="60"/>
      <c r="EAF2480" s="60"/>
      <c r="EAG2480" s="60"/>
      <c r="EAH2480" s="61"/>
      <c r="EAI2480" s="54"/>
      <c r="EAJ2480" s="54"/>
      <c r="EAK2480" s="60"/>
      <c r="EAL2480" s="60"/>
      <c r="EAM2480" s="60"/>
      <c r="EAN2480" s="60"/>
      <c r="EAO2480" s="60"/>
      <c r="EAP2480" s="61"/>
      <c r="EAQ2480" s="54"/>
      <c r="EAR2480" s="54"/>
      <c r="EAS2480" s="60"/>
      <c r="EAT2480" s="60"/>
      <c r="EAU2480" s="60"/>
      <c r="EAV2480" s="60"/>
      <c r="EAW2480" s="60"/>
      <c r="EAX2480" s="61"/>
      <c r="EAY2480" s="54"/>
      <c r="EAZ2480" s="54"/>
      <c r="EBA2480" s="60"/>
      <c r="EBB2480" s="60"/>
      <c r="EBC2480" s="60"/>
      <c r="EBD2480" s="60"/>
      <c r="EBE2480" s="60"/>
      <c r="EBF2480" s="61"/>
      <c r="EBG2480" s="54"/>
      <c r="EBH2480" s="54"/>
      <c r="EBI2480" s="60"/>
      <c r="EBJ2480" s="60"/>
      <c r="EBK2480" s="60"/>
      <c r="EBL2480" s="60"/>
      <c r="EBM2480" s="60"/>
      <c r="EBN2480" s="61"/>
      <c r="EBO2480" s="54"/>
      <c r="EBP2480" s="54"/>
      <c r="EBQ2480" s="60"/>
      <c r="EBR2480" s="60"/>
      <c r="EBS2480" s="60"/>
      <c r="EBT2480" s="60"/>
      <c r="EBU2480" s="60"/>
      <c r="EBV2480" s="61"/>
      <c r="EBW2480" s="54"/>
      <c r="EBX2480" s="54"/>
      <c r="EBY2480" s="60"/>
      <c r="EBZ2480" s="60"/>
      <c r="ECA2480" s="60"/>
      <c r="ECB2480" s="60"/>
      <c r="ECC2480" s="60"/>
      <c r="ECD2480" s="61"/>
      <c r="ECE2480" s="54"/>
      <c r="ECF2480" s="54"/>
      <c r="ECG2480" s="60"/>
      <c r="ECH2480" s="60"/>
      <c r="ECI2480" s="60"/>
      <c r="ECJ2480" s="60"/>
      <c r="ECK2480" s="60"/>
      <c r="ECL2480" s="61"/>
      <c r="ECM2480" s="54"/>
      <c r="ECN2480" s="54"/>
      <c r="ECO2480" s="60"/>
      <c r="ECP2480" s="60"/>
      <c r="ECQ2480" s="60"/>
      <c r="ECR2480" s="60"/>
      <c r="ECS2480" s="60"/>
      <c r="ECT2480" s="61"/>
      <c r="ECU2480" s="54"/>
      <c r="ECV2480" s="54"/>
      <c r="ECW2480" s="60"/>
      <c r="ECX2480" s="60"/>
      <c r="ECY2480" s="60"/>
      <c r="ECZ2480" s="60"/>
      <c r="EDA2480" s="60"/>
      <c r="EDB2480" s="61"/>
      <c r="EDC2480" s="54"/>
      <c r="EDD2480" s="54"/>
      <c r="EDE2480" s="60"/>
      <c r="EDF2480" s="60"/>
      <c r="EDG2480" s="60"/>
      <c r="EDH2480" s="60"/>
      <c r="EDI2480" s="60"/>
      <c r="EDJ2480" s="61"/>
      <c r="EDK2480" s="54"/>
      <c r="EDL2480" s="54"/>
      <c r="EDM2480" s="60"/>
      <c r="EDN2480" s="60"/>
      <c r="EDO2480" s="60"/>
      <c r="EDP2480" s="60"/>
      <c r="EDQ2480" s="60"/>
      <c r="EDR2480" s="61"/>
      <c r="EDS2480" s="54"/>
      <c r="EDT2480" s="54"/>
      <c r="EDU2480" s="60"/>
      <c r="EDV2480" s="60"/>
      <c r="EDW2480" s="60"/>
      <c r="EDX2480" s="60"/>
      <c r="EDY2480" s="60"/>
      <c r="EDZ2480" s="61"/>
      <c r="EEA2480" s="54"/>
      <c r="EEB2480" s="54"/>
      <c r="EEC2480" s="60"/>
      <c r="EED2480" s="60"/>
      <c r="EEE2480" s="60"/>
      <c r="EEF2480" s="60"/>
      <c r="EEG2480" s="60"/>
      <c r="EEH2480" s="61"/>
      <c r="EEI2480" s="54"/>
      <c r="EEJ2480" s="54"/>
      <c r="EEK2480" s="60"/>
      <c r="EEL2480" s="60"/>
      <c r="EEM2480" s="60"/>
      <c r="EEN2480" s="60"/>
      <c r="EEO2480" s="60"/>
      <c r="EEP2480" s="61"/>
      <c r="EEQ2480" s="54"/>
      <c r="EER2480" s="54"/>
      <c r="EES2480" s="60"/>
      <c r="EET2480" s="60"/>
      <c r="EEU2480" s="60"/>
      <c r="EEV2480" s="60"/>
      <c r="EEW2480" s="60"/>
      <c r="EEX2480" s="61"/>
      <c r="EEY2480" s="54"/>
      <c r="EEZ2480" s="54"/>
      <c r="EFA2480" s="60"/>
      <c r="EFB2480" s="60"/>
      <c r="EFC2480" s="60"/>
      <c r="EFD2480" s="60"/>
      <c r="EFE2480" s="60"/>
      <c r="EFF2480" s="61"/>
      <c r="EFG2480" s="54"/>
      <c r="EFH2480" s="54"/>
      <c r="EFI2480" s="60"/>
      <c r="EFJ2480" s="60"/>
      <c r="EFK2480" s="60"/>
      <c r="EFL2480" s="60"/>
      <c r="EFM2480" s="60"/>
      <c r="EFN2480" s="61"/>
      <c r="EFO2480" s="54"/>
      <c r="EFP2480" s="54"/>
      <c r="EFQ2480" s="60"/>
      <c r="EFR2480" s="60"/>
      <c r="EFS2480" s="60"/>
      <c r="EFT2480" s="60"/>
      <c r="EFU2480" s="60"/>
      <c r="EFV2480" s="61"/>
      <c r="EFW2480" s="54"/>
      <c r="EFX2480" s="54"/>
      <c r="EFY2480" s="60"/>
      <c r="EFZ2480" s="60"/>
      <c r="EGA2480" s="60"/>
      <c r="EGB2480" s="60"/>
      <c r="EGC2480" s="60"/>
      <c r="EGD2480" s="61"/>
      <c r="EGE2480" s="54"/>
      <c r="EGF2480" s="54"/>
      <c r="EGG2480" s="60"/>
      <c r="EGH2480" s="60"/>
      <c r="EGI2480" s="60"/>
      <c r="EGJ2480" s="60"/>
      <c r="EGK2480" s="60"/>
      <c r="EGL2480" s="61"/>
      <c r="EGM2480" s="54"/>
      <c r="EGN2480" s="54"/>
      <c r="EGO2480" s="60"/>
      <c r="EGP2480" s="60"/>
      <c r="EGQ2480" s="60"/>
      <c r="EGR2480" s="60"/>
      <c r="EGS2480" s="60"/>
      <c r="EGT2480" s="61"/>
      <c r="EGU2480" s="54"/>
      <c r="EGV2480" s="54"/>
      <c r="EGW2480" s="60"/>
      <c r="EGX2480" s="60"/>
      <c r="EGY2480" s="60"/>
      <c r="EGZ2480" s="60"/>
      <c r="EHA2480" s="60"/>
      <c r="EHB2480" s="61"/>
      <c r="EHC2480" s="54"/>
      <c r="EHD2480" s="54"/>
      <c r="EHE2480" s="60"/>
      <c r="EHF2480" s="60"/>
      <c r="EHG2480" s="60"/>
      <c r="EHH2480" s="60"/>
      <c r="EHI2480" s="60"/>
      <c r="EHJ2480" s="61"/>
      <c r="EHK2480" s="54"/>
      <c r="EHL2480" s="54"/>
      <c r="EHM2480" s="60"/>
      <c r="EHN2480" s="60"/>
      <c r="EHO2480" s="60"/>
      <c r="EHP2480" s="60"/>
      <c r="EHQ2480" s="60"/>
      <c r="EHR2480" s="61"/>
      <c r="EHS2480" s="54"/>
      <c r="EHT2480" s="54"/>
      <c r="EHU2480" s="60"/>
      <c r="EHV2480" s="60"/>
      <c r="EHW2480" s="60"/>
      <c r="EHX2480" s="60"/>
      <c r="EHY2480" s="60"/>
      <c r="EHZ2480" s="61"/>
      <c r="EIA2480" s="54"/>
      <c r="EIB2480" s="54"/>
      <c r="EIC2480" s="60"/>
      <c r="EID2480" s="60"/>
      <c r="EIE2480" s="60"/>
      <c r="EIF2480" s="60"/>
      <c r="EIG2480" s="60"/>
      <c r="EIH2480" s="61"/>
      <c r="EII2480" s="54"/>
      <c r="EIJ2480" s="54"/>
      <c r="EIK2480" s="60"/>
      <c r="EIL2480" s="60"/>
      <c r="EIM2480" s="60"/>
      <c r="EIN2480" s="60"/>
      <c r="EIO2480" s="60"/>
      <c r="EIP2480" s="61"/>
      <c r="EIQ2480" s="54"/>
      <c r="EIR2480" s="54"/>
      <c r="EIS2480" s="60"/>
      <c r="EIT2480" s="60"/>
      <c r="EIU2480" s="60"/>
      <c r="EIV2480" s="60"/>
      <c r="EIW2480" s="60"/>
      <c r="EIX2480" s="61"/>
      <c r="EIY2480" s="54"/>
      <c r="EIZ2480" s="54"/>
      <c r="EJA2480" s="60"/>
      <c r="EJB2480" s="60"/>
      <c r="EJC2480" s="60"/>
      <c r="EJD2480" s="60"/>
      <c r="EJE2480" s="60"/>
      <c r="EJF2480" s="61"/>
      <c r="EJG2480" s="54"/>
      <c r="EJH2480" s="54"/>
      <c r="EJI2480" s="60"/>
      <c r="EJJ2480" s="60"/>
      <c r="EJK2480" s="60"/>
      <c r="EJL2480" s="60"/>
      <c r="EJM2480" s="60"/>
      <c r="EJN2480" s="61"/>
      <c r="EJO2480" s="54"/>
      <c r="EJP2480" s="54"/>
      <c r="EJQ2480" s="60"/>
      <c r="EJR2480" s="60"/>
      <c r="EJS2480" s="60"/>
      <c r="EJT2480" s="60"/>
      <c r="EJU2480" s="60"/>
      <c r="EJV2480" s="61"/>
      <c r="EJW2480" s="54"/>
      <c r="EJX2480" s="54"/>
      <c r="EJY2480" s="60"/>
      <c r="EJZ2480" s="60"/>
      <c r="EKA2480" s="60"/>
      <c r="EKB2480" s="60"/>
      <c r="EKC2480" s="60"/>
      <c r="EKD2480" s="61"/>
      <c r="EKE2480" s="54"/>
      <c r="EKF2480" s="54"/>
      <c r="EKG2480" s="60"/>
      <c r="EKH2480" s="60"/>
      <c r="EKI2480" s="60"/>
      <c r="EKJ2480" s="60"/>
      <c r="EKK2480" s="60"/>
      <c r="EKL2480" s="61"/>
      <c r="EKM2480" s="54"/>
      <c r="EKN2480" s="54"/>
      <c r="EKO2480" s="60"/>
      <c r="EKP2480" s="60"/>
      <c r="EKQ2480" s="60"/>
      <c r="EKR2480" s="60"/>
      <c r="EKS2480" s="60"/>
      <c r="EKT2480" s="61"/>
      <c r="EKU2480" s="54"/>
      <c r="EKV2480" s="54"/>
      <c r="EKW2480" s="60"/>
      <c r="EKX2480" s="60"/>
      <c r="EKY2480" s="60"/>
      <c r="EKZ2480" s="60"/>
      <c r="ELA2480" s="60"/>
      <c r="ELB2480" s="61"/>
      <c r="ELC2480" s="54"/>
      <c r="ELD2480" s="54"/>
      <c r="ELE2480" s="60"/>
      <c r="ELF2480" s="60"/>
      <c r="ELG2480" s="60"/>
      <c r="ELH2480" s="60"/>
      <c r="ELI2480" s="60"/>
      <c r="ELJ2480" s="61"/>
      <c r="ELK2480" s="54"/>
      <c r="ELL2480" s="54"/>
      <c r="ELM2480" s="60"/>
      <c r="ELN2480" s="60"/>
      <c r="ELO2480" s="60"/>
      <c r="ELP2480" s="60"/>
      <c r="ELQ2480" s="60"/>
      <c r="ELR2480" s="61"/>
      <c r="ELS2480" s="54"/>
      <c r="ELT2480" s="54"/>
      <c r="ELU2480" s="60"/>
      <c r="ELV2480" s="60"/>
      <c r="ELW2480" s="60"/>
      <c r="ELX2480" s="60"/>
      <c r="ELY2480" s="60"/>
      <c r="ELZ2480" s="61"/>
      <c r="EMA2480" s="54"/>
      <c r="EMB2480" s="54"/>
      <c r="EMC2480" s="60"/>
      <c r="EMD2480" s="60"/>
      <c r="EME2480" s="60"/>
      <c r="EMF2480" s="60"/>
      <c r="EMG2480" s="60"/>
      <c r="EMH2480" s="61"/>
      <c r="EMI2480" s="54"/>
      <c r="EMJ2480" s="54"/>
      <c r="EMK2480" s="60"/>
      <c r="EML2480" s="60"/>
      <c r="EMM2480" s="60"/>
      <c r="EMN2480" s="60"/>
      <c r="EMO2480" s="60"/>
      <c r="EMP2480" s="61"/>
      <c r="EMQ2480" s="54"/>
      <c r="EMR2480" s="54"/>
      <c r="EMS2480" s="60"/>
      <c r="EMT2480" s="60"/>
      <c r="EMU2480" s="60"/>
      <c r="EMV2480" s="60"/>
      <c r="EMW2480" s="60"/>
      <c r="EMX2480" s="61"/>
      <c r="EMY2480" s="54"/>
      <c r="EMZ2480" s="54"/>
      <c r="ENA2480" s="60"/>
      <c r="ENB2480" s="60"/>
      <c r="ENC2480" s="60"/>
      <c r="END2480" s="60"/>
      <c r="ENE2480" s="60"/>
      <c r="ENF2480" s="61"/>
      <c r="ENG2480" s="54"/>
      <c r="ENH2480" s="54"/>
      <c r="ENI2480" s="60"/>
      <c r="ENJ2480" s="60"/>
      <c r="ENK2480" s="60"/>
      <c r="ENL2480" s="60"/>
      <c r="ENM2480" s="60"/>
      <c r="ENN2480" s="61"/>
      <c r="ENO2480" s="54"/>
      <c r="ENP2480" s="54"/>
      <c r="ENQ2480" s="60"/>
      <c r="ENR2480" s="60"/>
      <c r="ENS2480" s="60"/>
      <c r="ENT2480" s="60"/>
      <c r="ENU2480" s="60"/>
      <c r="ENV2480" s="61"/>
      <c r="ENW2480" s="54"/>
      <c r="ENX2480" s="54"/>
      <c r="ENY2480" s="60"/>
      <c r="ENZ2480" s="60"/>
      <c r="EOA2480" s="60"/>
      <c r="EOB2480" s="60"/>
      <c r="EOC2480" s="60"/>
      <c r="EOD2480" s="61"/>
      <c r="EOE2480" s="54"/>
      <c r="EOF2480" s="54"/>
      <c r="EOG2480" s="60"/>
      <c r="EOH2480" s="60"/>
      <c r="EOI2480" s="60"/>
      <c r="EOJ2480" s="60"/>
      <c r="EOK2480" s="60"/>
      <c r="EOL2480" s="61"/>
      <c r="EOM2480" s="54"/>
      <c r="EON2480" s="54"/>
      <c r="EOO2480" s="60"/>
      <c r="EOP2480" s="60"/>
      <c r="EOQ2480" s="60"/>
      <c r="EOR2480" s="60"/>
      <c r="EOS2480" s="60"/>
      <c r="EOT2480" s="61"/>
      <c r="EOU2480" s="54"/>
      <c r="EOV2480" s="54"/>
      <c r="EOW2480" s="60"/>
      <c r="EOX2480" s="60"/>
      <c r="EOY2480" s="60"/>
      <c r="EOZ2480" s="60"/>
      <c r="EPA2480" s="60"/>
      <c r="EPB2480" s="61"/>
      <c r="EPC2480" s="54"/>
      <c r="EPD2480" s="54"/>
      <c r="EPE2480" s="60"/>
      <c r="EPF2480" s="60"/>
      <c r="EPG2480" s="60"/>
      <c r="EPH2480" s="60"/>
      <c r="EPI2480" s="60"/>
      <c r="EPJ2480" s="61"/>
      <c r="EPK2480" s="54"/>
      <c r="EPL2480" s="54"/>
      <c r="EPM2480" s="60"/>
      <c r="EPN2480" s="60"/>
      <c r="EPO2480" s="60"/>
      <c r="EPP2480" s="60"/>
      <c r="EPQ2480" s="60"/>
      <c r="EPR2480" s="61"/>
      <c r="EPS2480" s="54"/>
      <c r="EPT2480" s="54"/>
      <c r="EPU2480" s="60"/>
      <c r="EPV2480" s="60"/>
      <c r="EPW2480" s="60"/>
      <c r="EPX2480" s="60"/>
      <c r="EPY2480" s="60"/>
      <c r="EPZ2480" s="61"/>
      <c r="EQA2480" s="54"/>
      <c r="EQB2480" s="54"/>
      <c r="EQC2480" s="60"/>
      <c r="EQD2480" s="60"/>
      <c r="EQE2480" s="60"/>
      <c r="EQF2480" s="60"/>
      <c r="EQG2480" s="60"/>
      <c r="EQH2480" s="61"/>
      <c r="EQI2480" s="54"/>
      <c r="EQJ2480" s="54"/>
      <c r="EQK2480" s="60"/>
      <c r="EQL2480" s="60"/>
      <c r="EQM2480" s="60"/>
      <c r="EQN2480" s="60"/>
      <c r="EQO2480" s="60"/>
      <c r="EQP2480" s="61"/>
      <c r="EQQ2480" s="54"/>
      <c r="EQR2480" s="54"/>
      <c r="EQS2480" s="60"/>
      <c r="EQT2480" s="60"/>
      <c r="EQU2480" s="60"/>
      <c r="EQV2480" s="60"/>
      <c r="EQW2480" s="60"/>
      <c r="EQX2480" s="61"/>
      <c r="EQY2480" s="54"/>
      <c r="EQZ2480" s="54"/>
      <c r="ERA2480" s="60"/>
      <c r="ERB2480" s="60"/>
      <c r="ERC2480" s="60"/>
      <c r="ERD2480" s="60"/>
      <c r="ERE2480" s="60"/>
      <c r="ERF2480" s="61"/>
      <c r="ERG2480" s="54"/>
      <c r="ERH2480" s="54"/>
      <c r="ERI2480" s="60"/>
      <c r="ERJ2480" s="60"/>
      <c r="ERK2480" s="60"/>
      <c r="ERL2480" s="60"/>
      <c r="ERM2480" s="60"/>
      <c r="ERN2480" s="61"/>
      <c r="ERO2480" s="54"/>
      <c r="ERP2480" s="54"/>
      <c r="ERQ2480" s="60"/>
      <c r="ERR2480" s="60"/>
      <c r="ERS2480" s="60"/>
      <c r="ERT2480" s="60"/>
      <c r="ERU2480" s="60"/>
      <c r="ERV2480" s="61"/>
      <c r="ERW2480" s="54"/>
      <c r="ERX2480" s="54"/>
      <c r="ERY2480" s="60"/>
      <c r="ERZ2480" s="60"/>
      <c r="ESA2480" s="60"/>
      <c r="ESB2480" s="60"/>
      <c r="ESC2480" s="60"/>
      <c r="ESD2480" s="61"/>
      <c r="ESE2480" s="54"/>
      <c r="ESF2480" s="54"/>
      <c r="ESG2480" s="60"/>
      <c r="ESH2480" s="60"/>
      <c r="ESI2480" s="60"/>
      <c r="ESJ2480" s="60"/>
      <c r="ESK2480" s="60"/>
      <c r="ESL2480" s="61"/>
      <c r="ESM2480" s="54"/>
      <c r="ESN2480" s="54"/>
      <c r="ESO2480" s="60"/>
      <c r="ESP2480" s="60"/>
      <c r="ESQ2480" s="60"/>
      <c r="ESR2480" s="60"/>
      <c r="ESS2480" s="60"/>
      <c r="EST2480" s="61"/>
      <c r="ESU2480" s="54"/>
      <c r="ESV2480" s="54"/>
      <c r="ESW2480" s="60"/>
      <c r="ESX2480" s="60"/>
      <c r="ESY2480" s="60"/>
      <c r="ESZ2480" s="60"/>
      <c r="ETA2480" s="60"/>
      <c r="ETB2480" s="61"/>
      <c r="ETC2480" s="54"/>
      <c r="ETD2480" s="54"/>
      <c r="ETE2480" s="60"/>
      <c r="ETF2480" s="60"/>
      <c r="ETG2480" s="60"/>
      <c r="ETH2480" s="60"/>
      <c r="ETI2480" s="60"/>
      <c r="ETJ2480" s="61"/>
      <c r="ETK2480" s="54"/>
      <c r="ETL2480" s="54"/>
      <c r="ETM2480" s="60"/>
      <c r="ETN2480" s="60"/>
      <c r="ETO2480" s="60"/>
      <c r="ETP2480" s="60"/>
      <c r="ETQ2480" s="60"/>
      <c r="ETR2480" s="61"/>
      <c r="ETS2480" s="54"/>
      <c r="ETT2480" s="54"/>
      <c r="ETU2480" s="60"/>
      <c r="ETV2480" s="60"/>
      <c r="ETW2480" s="60"/>
      <c r="ETX2480" s="60"/>
      <c r="ETY2480" s="60"/>
      <c r="ETZ2480" s="61"/>
      <c r="EUA2480" s="54"/>
      <c r="EUB2480" s="54"/>
      <c r="EUC2480" s="60"/>
      <c r="EUD2480" s="60"/>
      <c r="EUE2480" s="60"/>
      <c r="EUF2480" s="60"/>
      <c r="EUG2480" s="60"/>
      <c r="EUH2480" s="61"/>
      <c r="EUI2480" s="54"/>
      <c r="EUJ2480" s="54"/>
      <c r="EUK2480" s="60"/>
      <c r="EUL2480" s="60"/>
      <c r="EUM2480" s="60"/>
      <c r="EUN2480" s="60"/>
      <c r="EUO2480" s="60"/>
      <c r="EUP2480" s="61"/>
      <c r="EUQ2480" s="54"/>
      <c r="EUR2480" s="54"/>
      <c r="EUS2480" s="60"/>
      <c r="EUT2480" s="60"/>
      <c r="EUU2480" s="60"/>
      <c r="EUV2480" s="60"/>
      <c r="EUW2480" s="60"/>
      <c r="EUX2480" s="61"/>
      <c r="EUY2480" s="54"/>
      <c r="EUZ2480" s="54"/>
      <c r="EVA2480" s="60"/>
      <c r="EVB2480" s="60"/>
      <c r="EVC2480" s="60"/>
      <c r="EVD2480" s="60"/>
      <c r="EVE2480" s="60"/>
      <c r="EVF2480" s="61"/>
      <c r="EVG2480" s="54"/>
      <c r="EVH2480" s="54"/>
      <c r="EVI2480" s="60"/>
      <c r="EVJ2480" s="60"/>
      <c r="EVK2480" s="60"/>
      <c r="EVL2480" s="60"/>
      <c r="EVM2480" s="60"/>
      <c r="EVN2480" s="61"/>
      <c r="EVO2480" s="54"/>
      <c r="EVP2480" s="54"/>
      <c r="EVQ2480" s="60"/>
      <c r="EVR2480" s="60"/>
      <c r="EVS2480" s="60"/>
      <c r="EVT2480" s="60"/>
      <c r="EVU2480" s="60"/>
      <c r="EVV2480" s="61"/>
      <c r="EVW2480" s="54"/>
      <c r="EVX2480" s="54"/>
      <c r="EVY2480" s="60"/>
      <c r="EVZ2480" s="60"/>
      <c r="EWA2480" s="60"/>
      <c r="EWB2480" s="60"/>
      <c r="EWC2480" s="60"/>
      <c r="EWD2480" s="61"/>
      <c r="EWE2480" s="54"/>
      <c r="EWF2480" s="54"/>
      <c r="EWG2480" s="60"/>
      <c r="EWH2480" s="60"/>
      <c r="EWI2480" s="60"/>
      <c r="EWJ2480" s="60"/>
      <c r="EWK2480" s="60"/>
      <c r="EWL2480" s="61"/>
      <c r="EWM2480" s="54"/>
      <c r="EWN2480" s="54"/>
      <c r="EWO2480" s="60"/>
      <c r="EWP2480" s="60"/>
      <c r="EWQ2480" s="60"/>
      <c r="EWR2480" s="60"/>
      <c r="EWS2480" s="60"/>
      <c r="EWT2480" s="61"/>
      <c r="EWU2480" s="54"/>
      <c r="EWV2480" s="54"/>
      <c r="EWW2480" s="60"/>
      <c r="EWX2480" s="60"/>
      <c r="EWY2480" s="60"/>
      <c r="EWZ2480" s="60"/>
      <c r="EXA2480" s="60"/>
      <c r="EXB2480" s="61"/>
      <c r="EXC2480" s="54"/>
      <c r="EXD2480" s="54"/>
      <c r="EXE2480" s="60"/>
      <c r="EXF2480" s="60"/>
      <c r="EXG2480" s="60"/>
      <c r="EXH2480" s="60"/>
      <c r="EXI2480" s="60"/>
      <c r="EXJ2480" s="61"/>
      <c r="EXK2480" s="54"/>
      <c r="EXL2480" s="54"/>
      <c r="EXM2480" s="60"/>
      <c r="EXN2480" s="60"/>
      <c r="EXO2480" s="60"/>
      <c r="EXP2480" s="60"/>
      <c r="EXQ2480" s="60"/>
      <c r="EXR2480" s="61"/>
      <c r="EXS2480" s="54"/>
      <c r="EXT2480" s="54"/>
      <c r="EXU2480" s="60"/>
      <c r="EXV2480" s="60"/>
      <c r="EXW2480" s="60"/>
      <c r="EXX2480" s="60"/>
      <c r="EXY2480" s="60"/>
      <c r="EXZ2480" s="61"/>
      <c r="EYA2480" s="54"/>
      <c r="EYB2480" s="54"/>
      <c r="EYC2480" s="60"/>
      <c r="EYD2480" s="60"/>
      <c r="EYE2480" s="60"/>
      <c r="EYF2480" s="60"/>
      <c r="EYG2480" s="60"/>
      <c r="EYH2480" s="61"/>
      <c r="EYI2480" s="54"/>
      <c r="EYJ2480" s="54"/>
      <c r="EYK2480" s="60"/>
      <c r="EYL2480" s="60"/>
      <c r="EYM2480" s="60"/>
      <c r="EYN2480" s="60"/>
      <c r="EYO2480" s="60"/>
      <c r="EYP2480" s="61"/>
      <c r="EYQ2480" s="54"/>
      <c r="EYR2480" s="54"/>
      <c r="EYS2480" s="60"/>
      <c r="EYT2480" s="60"/>
      <c r="EYU2480" s="60"/>
      <c r="EYV2480" s="60"/>
      <c r="EYW2480" s="60"/>
      <c r="EYX2480" s="61"/>
      <c r="EYY2480" s="54"/>
      <c r="EYZ2480" s="54"/>
      <c r="EZA2480" s="60"/>
      <c r="EZB2480" s="60"/>
      <c r="EZC2480" s="60"/>
      <c r="EZD2480" s="60"/>
      <c r="EZE2480" s="60"/>
      <c r="EZF2480" s="61"/>
      <c r="EZG2480" s="54"/>
      <c r="EZH2480" s="54"/>
      <c r="EZI2480" s="60"/>
      <c r="EZJ2480" s="60"/>
      <c r="EZK2480" s="60"/>
      <c r="EZL2480" s="60"/>
      <c r="EZM2480" s="60"/>
      <c r="EZN2480" s="61"/>
      <c r="EZO2480" s="54"/>
      <c r="EZP2480" s="54"/>
      <c r="EZQ2480" s="60"/>
      <c r="EZR2480" s="60"/>
      <c r="EZS2480" s="60"/>
      <c r="EZT2480" s="60"/>
      <c r="EZU2480" s="60"/>
      <c r="EZV2480" s="61"/>
      <c r="EZW2480" s="54"/>
      <c r="EZX2480" s="54"/>
      <c r="EZY2480" s="60"/>
      <c r="EZZ2480" s="60"/>
      <c r="FAA2480" s="60"/>
      <c r="FAB2480" s="60"/>
      <c r="FAC2480" s="60"/>
      <c r="FAD2480" s="61"/>
      <c r="FAE2480" s="54"/>
      <c r="FAF2480" s="54"/>
      <c r="FAG2480" s="60"/>
      <c r="FAH2480" s="60"/>
      <c r="FAI2480" s="60"/>
      <c r="FAJ2480" s="60"/>
      <c r="FAK2480" s="60"/>
      <c r="FAL2480" s="61"/>
      <c r="FAM2480" s="54"/>
      <c r="FAN2480" s="54"/>
      <c r="FAO2480" s="60"/>
      <c r="FAP2480" s="60"/>
      <c r="FAQ2480" s="60"/>
      <c r="FAR2480" s="60"/>
      <c r="FAS2480" s="60"/>
      <c r="FAT2480" s="61"/>
      <c r="FAU2480" s="54"/>
      <c r="FAV2480" s="54"/>
      <c r="FAW2480" s="60"/>
      <c r="FAX2480" s="60"/>
      <c r="FAY2480" s="60"/>
      <c r="FAZ2480" s="60"/>
      <c r="FBA2480" s="60"/>
      <c r="FBB2480" s="61"/>
      <c r="FBC2480" s="54"/>
      <c r="FBD2480" s="54"/>
      <c r="FBE2480" s="60"/>
      <c r="FBF2480" s="60"/>
      <c r="FBG2480" s="60"/>
      <c r="FBH2480" s="60"/>
      <c r="FBI2480" s="60"/>
      <c r="FBJ2480" s="61"/>
      <c r="FBK2480" s="54"/>
      <c r="FBL2480" s="54"/>
      <c r="FBM2480" s="60"/>
      <c r="FBN2480" s="60"/>
      <c r="FBO2480" s="60"/>
      <c r="FBP2480" s="60"/>
      <c r="FBQ2480" s="60"/>
      <c r="FBR2480" s="61"/>
      <c r="FBS2480" s="54"/>
      <c r="FBT2480" s="54"/>
      <c r="FBU2480" s="60"/>
      <c r="FBV2480" s="60"/>
      <c r="FBW2480" s="60"/>
      <c r="FBX2480" s="60"/>
      <c r="FBY2480" s="60"/>
      <c r="FBZ2480" s="61"/>
      <c r="FCA2480" s="54"/>
      <c r="FCB2480" s="54"/>
      <c r="FCC2480" s="60"/>
      <c r="FCD2480" s="60"/>
      <c r="FCE2480" s="60"/>
      <c r="FCF2480" s="60"/>
      <c r="FCG2480" s="60"/>
      <c r="FCH2480" s="61"/>
      <c r="FCI2480" s="54"/>
      <c r="FCJ2480" s="54"/>
      <c r="FCK2480" s="60"/>
      <c r="FCL2480" s="60"/>
      <c r="FCM2480" s="60"/>
      <c r="FCN2480" s="60"/>
      <c r="FCO2480" s="60"/>
      <c r="FCP2480" s="61"/>
      <c r="FCQ2480" s="54"/>
      <c r="FCR2480" s="54"/>
      <c r="FCS2480" s="60"/>
      <c r="FCT2480" s="60"/>
      <c r="FCU2480" s="60"/>
      <c r="FCV2480" s="60"/>
      <c r="FCW2480" s="60"/>
      <c r="FCX2480" s="61"/>
      <c r="FCY2480" s="54"/>
      <c r="FCZ2480" s="54"/>
      <c r="FDA2480" s="60"/>
      <c r="FDB2480" s="60"/>
      <c r="FDC2480" s="60"/>
      <c r="FDD2480" s="60"/>
      <c r="FDE2480" s="60"/>
      <c r="FDF2480" s="61"/>
      <c r="FDG2480" s="54"/>
      <c r="FDH2480" s="54"/>
      <c r="FDI2480" s="60"/>
      <c r="FDJ2480" s="60"/>
      <c r="FDK2480" s="60"/>
      <c r="FDL2480" s="60"/>
      <c r="FDM2480" s="60"/>
      <c r="FDN2480" s="61"/>
      <c r="FDO2480" s="54"/>
      <c r="FDP2480" s="54"/>
      <c r="FDQ2480" s="60"/>
      <c r="FDR2480" s="60"/>
      <c r="FDS2480" s="60"/>
      <c r="FDT2480" s="60"/>
      <c r="FDU2480" s="60"/>
      <c r="FDV2480" s="61"/>
      <c r="FDW2480" s="54"/>
      <c r="FDX2480" s="54"/>
      <c r="FDY2480" s="60"/>
      <c r="FDZ2480" s="60"/>
      <c r="FEA2480" s="60"/>
      <c r="FEB2480" s="60"/>
      <c r="FEC2480" s="60"/>
      <c r="FED2480" s="61"/>
      <c r="FEE2480" s="54"/>
      <c r="FEF2480" s="54"/>
      <c r="FEG2480" s="60"/>
      <c r="FEH2480" s="60"/>
      <c r="FEI2480" s="60"/>
      <c r="FEJ2480" s="60"/>
      <c r="FEK2480" s="60"/>
      <c r="FEL2480" s="61"/>
      <c r="FEM2480" s="54"/>
      <c r="FEN2480" s="54"/>
      <c r="FEO2480" s="60"/>
      <c r="FEP2480" s="60"/>
      <c r="FEQ2480" s="60"/>
      <c r="FER2480" s="60"/>
      <c r="FES2480" s="60"/>
      <c r="FET2480" s="61"/>
      <c r="FEU2480" s="54"/>
      <c r="FEV2480" s="54"/>
      <c r="FEW2480" s="60"/>
      <c r="FEX2480" s="60"/>
      <c r="FEY2480" s="60"/>
      <c r="FEZ2480" s="60"/>
      <c r="FFA2480" s="60"/>
      <c r="FFB2480" s="61"/>
      <c r="FFC2480" s="54"/>
      <c r="FFD2480" s="54"/>
      <c r="FFE2480" s="60"/>
      <c r="FFF2480" s="60"/>
      <c r="FFG2480" s="60"/>
      <c r="FFH2480" s="60"/>
      <c r="FFI2480" s="60"/>
      <c r="FFJ2480" s="61"/>
      <c r="FFK2480" s="54"/>
      <c r="FFL2480" s="54"/>
      <c r="FFM2480" s="60"/>
      <c r="FFN2480" s="60"/>
      <c r="FFO2480" s="60"/>
      <c r="FFP2480" s="60"/>
      <c r="FFQ2480" s="60"/>
      <c r="FFR2480" s="61"/>
      <c r="FFS2480" s="54"/>
      <c r="FFT2480" s="54"/>
      <c r="FFU2480" s="60"/>
      <c r="FFV2480" s="60"/>
      <c r="FFW2480" s="60"/>
      <c r="FFX2480" s="60"/>
      <c r="FFY2480" s="60"/>
      <c r="FFZ2480" s="61"/>
      <c r="FGA2480" s="54"/>
      <c r="FGB2480" s="54"/>
      <c r="FGC2480" s="60"/>
      <c r="FGD2480" s="60"/>
      <c r="FGE2480" s="60"/>
      <c r="FGF2480" s="60"/>
      <c r="FGG2480" s="60"/>
      <c r="FGH2480" s="61"/>
      <c r="FGI2480" s="54"/>
      <c r="FGJ2480" s="54"/>
      <c r="FGK2480" s="60"/>
      <c r="FGL2480" s="60"/>
      <c r="FGM2480" s="60"/>
      <c r="FGN2480" s="60"/>
      <c r="FGO2480" s="60"/>
      <c r="FGP2480" s="61"/>
      <c r="FGQ2480" s="54"/>
      <c r="FGR2480" s="54"/>
      <c r="FGS2480" s="60"/>
      <c r="FGT2480" s="60"/>
      <c r="FGU2480" s="60"/>
      <c r="FGV2480" s="60"/>
      <c r="FGW2480" s="60"/>
      <c r="FGX2480" s="61"/>
      <c r="FGY2480" s="54"/>
      <c r="FGZ2480" s="54"/>
      <c r="FHA2480" s="60"/>
      <c r="FHB2480" s="60"/>
      <c r="FHC2480" s="60"/>
      <c r="FHD2480" s="60"/>
      <c r="FHE2480" s="60"/>
      <c r="FHF2480" s="61"/>
      <c r="FHG2480" s="54"/>
      <c r="FHH2480" s="54"/>
      <c r="FHI2480" s="60"/>
      <c r="FHJ2480" s="60"/>
      <c r="FHK2480" s="60"/>
      <c r="FHL2480" s="60"/>
      <c r="FHM2480" s="60"/>
      <c r="FHN2480" s="61"/>
      <c r="FHO2480" s="54"/>
      <c r="FHP2480" s="54"/>
      <c r="FHQ2480" s="60"/>
      <c r="FHR2480" s="60"/>
      <c r="FHS2480" s="60"/>
      <c r="FHT2480" s="60"/>
      <c r="FHU2480" s="60"/>
      <c r="FHV2480" s="61"/>
      <c r="FHW2480" s="54"/>
      <c r="FHX2480" s="54"/>
      <c r="FHY2480" s="60"/>
      <c r="FHZ2480" s="60"/>
      <c r="FIA2480" s="60"/>
      <c r="FIB2480" s="60"/>
      <c r="FIC2480" s="60"/>
      <c r="FID2480" s="61"/>
      <c r="FIE2480" s="54"/>
      <c r="FIF2480" s="54"/>
      <c r="FIG2480" s="60"/>
      <c r="FIH2480" s="60"/>
      <c r="FII2480" s="60"/>
      <c r="FIJ2480" s="60"/>
      <c r="FIK2480" s="60"/>
      <c r="FIL2480" s="61"/>
      <c r="FIM2480" s="54"/>
      <c r="FIN2480" s="54"/>
      <c r="FIO2480" s="60"/>
      <c r="FIP2480" s="60"/>
      <c r="FIQ2480" s="60"/>
      <c r="FIR2480" s="60"/>
      <c r="FIS2480" s="60"/>
      <c r="FIT2480" s="61"/>
      <c r="FIU2480" s="54"/>
      <c r="FIV2480" s="54"/>
      <c r="FIW2480" s="60"/>
      <c r="FIX2480" s="60"/>
      <c r="FIY2480" s="60"/>
      <c r="FIZ2480" s="60"/>
      <c r="FJA2480" s="60"/>
      <c r="FJB2480" s="61"/>
      <c r="FJC2480" s="54"/>
      <c r="FJD2480" s="54"/>
      <c r="FJE2480" s="60"/>
      <c r="FJF2480" s="60"/>
      <c r="FJG2480" s="60"/>
      <c r="FJH2480" s="60"/>
      <c r="FJI2480" s="60"/>
      <c r="FJJ2480" s="61"/>
      <c r="FJK2480" s="54"/>
      <c r="FJL2480" s="54"/>
      <c r="FJM2480" s="60"/>
      <c r="FJN2480" s="60"/>
      <c r="FJO2480" s="60"/>
      <c r="FJP2480" s="60"/>
      <c r="FJQ2480" s="60"/>
      <c r="FJR2480" s="61"/>
      <c r="FJS2480" s="54"/>
      <c r="FJT2480" s="54"/>
      <c r="FJU2480" s="60"/>
      <c r="FJV2480" s="60"/>
      <c r="FJW2480" s="60"/>
      <c r="FJX2480" s="60"/>
      <c r="FJY2480" s="60"/>
      <c r="FJZ2480" s="61"/>
      <c r="FKA2480" s="54"/>
      <c r="FKB2480" s="54"/>
      <c r="FKC2480" s="60"/>
      <c r="FKD2480" s="60"/>
      <c r="FKE2480" s="60"/>
      <c r="FKF2480" s="60"/>
      <c r="FKG2480" s="60"/>
      <c r="FKH2480" s="61"/>
      <c r="FKI2480" s="54"/>
      <c r="FKJ2480" s="54"/>
      <c r="FKK2480" s="60"/>
      <c r="FKL2480" s="60"/>
      <c r="FKM2480" s="60"/>
      <c r="FKN2480" s="60"/>
      <c r="FKO2480" s="60"/>
      <c r="FKP2480" s="61"/>
      <c r="FKQ2480" s="54"/>
      <c r="FKR2480" s="54"/>
      <c r="FKS2480" s="60"/>
      <c r="FKT2480" s="60"/>
      <c r="FKU2480" s="60"/>
      <c r="FKV2480" s="60"/>
      <c r="FKW2480" s="60"/>
      <c r="FKX2480" s="61"/>
      <c r="FKY2480" s="54"/>
      <c r="FKZ2480" s="54"/>
      <c r="FLA2480" s="60"/>
      <c r="FLB2480" s="60"/>
      <c r="FLC2480" s="60"/>
      <c r="FLD2480" s="60"/>
      <c r="FLE2480" s="60"/>
      <c r="FLF2480" s="61"/>
      <c r="FLG2480" s="54"/>
      <c r="FLH2480" s="54"/>
      <c r="FLI2480" s="60"/>
      <c r="FLJ2480" s="60"/>
      <c r="FLK2480" s="60"/>
      <c r="FLL2480" s="60"/>
      <c r="FLM2480" s="60"/>
      <c r="FLN2480" s="61"/>
      <c r="FLO2480" s="54"/>
      <c r="FLP2480" s="54"/>
      <c r="FLQ2480" s="60"/>
      <c r="FLR2480" s="60"/>
      <c r="FLS2480" s="60"/>
      <c r="FLT2480" s="60"/>
      <c r="FLU2480" s="60"/>
      <c r="FLV2480" s="61"/>
      <c r="FLW2480" s="54"/>
      <c r="FLX2480" s="54"/>
      <c r="FLY2480" s="60"/>
      <c r="FLZ2480" s="60"/>
      <c r="FMA2480" s="60"/>
      <c r="FMB2480" s="60"/>
      <c r="FMC2480" s="60"/>
      <c r="FMD2480" s="61"/>
      <c r="FME2480" s="54"/>
      <c r="FMF2480" s="54"/>
      <c r="FMG2480" s="60"/>
      <c r="FMH2480" s="60"/>
      <c r="FMI2480" s="60"/>
      <c r="FMJ2480" s="60"/>
      <c r="FMK2480" s="60"/>
      <c r="FML2480" s="61"/>
      <c r="FMM2480" s="54"/>
      <c r="FMN2480" s="54"/>
      <c r="FMO2480" s="60"/>
      <c r="FMP2480" s="60"/>
      <c r="FMQ2480" s="60"/>
      <c r="FMR2480" s="60"/>
      <c r="FMS2480" s="60"/>
      <c r="FMT2480" s="61"/>
      <c r="FMU2480" s="54"/>
      <c r="FMV2480" s="54"/>
      <c r="FMW2480" s="60"/>
      <c r="FMX2480" s="60"/>
      <c r="FMY2480" s="60"/>
      <c r="FMZ2480" s="60"/>
      <c r="FNA2480" s="60"/>
      <c r="FNB2480" s="61"/>
      <c r="FNC2480" s="54"/>
      <c r="FND2480" s="54"/>
      <c r="FNE2480" s="60"/>
      <c r="FNF2480" s="60"/>
      <c r="FNG2480" s="60"/>
      <c r="FNH2480" s="60"/>
      <c r="FNI2480" s="60"/>
      <c r="FNJ2480" s="61"/>
      <c r="FNK2480" s="54"/>
      <c r="FNL2480" s="54"/>
      <c r="FNM2480" s="60"/>
      <c r="FNN2480" s="60"/>
      <c r="FNO2480" s="60"/>
      <c r="FNP2480" s="60"/>
      <c r="FNQ2480" s="60"/>
      <c r="FNR2480" s="61"/>
      <c r="FNS2480" s="54"/>
      <c r="FNT2480" s="54"/>
      <c r="FNU2480" s="60"/>
      <c r="FNV2480" s="60"/>
      <c r="FNW2480" s="60"/>
      <c r="FNX2480" s="60"/>
      <c r="FNY2480" s="60"/>
      <c r="FNZ2480" s="61"/>
      <c r="FOA2480" s="54"/>
      <c r="FOB2480" s="54"/>
      <c r="FOC2480" s="60"/>
      <c r="FOD2480" s="60"/>
      <c r="FOE2480" s="60"/>
      <c r="FOF2480" s="60"/>
      <c r="FOG2480" s="60"/>
      <c r="FOH2480" s="61"/>
      <c r="FOI2480" s="54"/>
      <c r="FOJ2480" s="54"/>
      <c r="FOK2480" s="60"/>
      <c r="FOL2480" s="60"/>
      <c r="FOM2480" s="60"/>
      <c r="FON2480" s="60"/>
      <c r="FOO2480" s="60"/>
      <c r="FOP2480" s="61"/>
      <c r="FOQ2480" s="54"/>
      <c r="FOR2480" s="54"/>
      <c r="FOS2480" s="60"/>
      <c r="FOT2480" s="60"/>
      <c r="FOU2480" s="60"/>
      <c r="FOV2480" s="60"/>
      <c r="FOW2480" s="60"/>
      <c r="FOX2480" s="61"/>
      <c r="FOY2480" s="54"/>
      <c r="FOZ2480" s="54"/>
      <c r="FPA2480" s="60"/>
      <c r="FPB2480" s="60"/>
      <c r="FPC2480" s="60"/>
      <c r="FPD2480" s="60"/>
      <c r="FPE2480" s="60"/>
      <c r="FPF2480" s="61"/>
      <c r="FPG2480" s="54"/>
      <c r="FPH2480" s="54"/>
      <c r="FPI2480" s="60"/>
      <c r="FPJ2480" s="60"/>
      <c r="FPK2480" s="60"/>
      <c r="FPL2480" s="60"/>
      <c r="FPM2480" s="60"/>
      <c r="FPN2480" s="61"/>
      <c r="FPO2480" s="54"/>
      <c r="FPP2480" s="54"/>
      <c r="FPQ2480" s="60"/>
      <c r="FPR2480" s="60"/>
      <c r="FPS2480" s="60"/>
      <c r="FPT2480" s="60"/>
      <c r="FPU2480" s="60"/>
      <c r="FPV2480" s="61"/>
      <c r="FPW2480" s="54"/>
      <c r="FPX2480" s="54"/>
      <c r="FPY2480" s="60"/>
      <c r="FPZ2480" s="60"/>
      <c r="FQA2480" s="60"/>
      <c r="FQB2480" s="60"/>
      <c r="FQC2480" s="60"/>
      <c r="FQD2480" s="61"/>
      <c r="FQE2480" s="54"/>
      <c r="FQF2480" s="54"/>
      <c r="FQG2480" s="60"/>
      <c r="FQH2480" s="60"/>
      <c r="FQI2480" s="60"/>
      <c r="FQJ2480" s="60"/>
      <c r="FQK2480" s="60"/>
      <c r="FQL2480" s="61"/>
      <c r="FQM2480" s="54"/>
      <c r="FQN2480" s="54"/>
      <c r="FQO2480" s="60"/>
      <c r="FQP2480" s="60"/>
      <c r="FQQ2480" s="60"/>
      <c r="FQR2480" s="60"/>
      <c r="FQS2480" s="60"/>
      <c r="FQT2480" s="61"/>
      <c r="FQU2480" s="54"/>
      <c r="FQV2480" s="54"/>
      <c r="FQW2480" s="60"/>
      <c r="FQX2480" s="60"/>
      <c r="FQY2480" s="60"/>
      <c r="FQZ2480" s="60"/>
      <c r="FRA2480" s="60"/>
      <c r="FRB2480" s="61"/>
      <c r="FRC2480" s="54"/>
      <c r="FRD2480" s="54"/>
      <c r="FRE2480" s="60"/>
      <c r="FRF2480" s="60"/>
      <c r="FRG2480" s="60"/>
      <c r="FRH2480" s="60"/>
      <c r="FRI2480" s="60"/>
      <c r="FRJ2480" s="61"/>
      <c r="FRK2480" s="54"/>
      <c r="FRL2480" s="54"/>
      <c r="FRM2480" s="60"/>
      <c r="FRN2480" s="60"/>
      <c r="FRO2480" s="60"/>
      <c r="FRP2480" s="60"/>
      <c r="FRQ2480" s="60"/>
      <c r="FRR2480" s="61"/>
      <c r="FRS2480" s="54"/>
      <c r="FRT2480" s="54"/>
      <c r="FRU2480" s="60"/>
      <c r="FRV2480" s="60"/>
      <c r="FRW2480" s="60"/>
      <c r="FRX2480" s="60"/>
      <c r="FRY2480" s="60"/>
      <c r="FRZ2480" s="61"/>
      <c r="FSA2480" s="54"/>
      <c r="FSB2480" s="54"/>
      <c r="FSC2480" s="60"/>
      <c r="FSD2480" s="60"/>
      <c r="FSE2480" s="60"/>
      <c r="FSF2480" s="60"/>
      <c r="FSG2480" s="60"/>
      <c r="FSH2480" s="61"/>
      <c r="FSI2480" s="54"/>
      <c r="FSJ2480" s="54"/>
      <c r="FSK2480" s="60"/>
      <c r="FSL2480" s="60"/>
      <c r="FSM2480" s="60"/>
      <c r="FSN2480" s="60"/>
      <c r="FSO2480" s="60"/>
      <c r="FSP2480" s="61"/>
      <c r="FSQ2480" s="54"/>
      <c r="FSR2480" s="54"/>
      <c r="FSS2480" s="60"/>
      <c r="FST2480" s="60"/>
      <c r="FSU2480" s="60"/>
      <c r="FSV2480" s="60"/>
      <c r="FSW2480" s="60"/>
      <c r="FSX2480" s="61"/>
      <c r="FSY2480" s="54"/>
      <c r="FSZ2480" s="54"/>
      <c r="FTA2480" s="60"/>
      <c r="FTB2480" s="60"/>
      <c r="FTC2480" s="60"/>
      <c r="FTD2480" s="60"/>
      <c r="FTE2480" s="60"/>
      <c r="FTF2480" s="61"/>
      <c r="FTG2480" s="54"/>
      <c r="FTH2480" s="54"/>
      <c r="FTI2480" s="60"/>
      <c r="FTJ2480" s="60"/>
      <c r="FTK2480" s="60"/>
      <c r="FTL2480" s="60"/>
      <c r="FTM2480" s="60"/>
      <c r="FTN2480" s="61"/>
      <c r="FTO2480" s="54"/>
      <c r="FTP2480" s="54"/>
      <c r="FTQ2480" s="60"/>
      <c r="FTR2480" s="60"/>
      <c r="FTS2480" s="60"/>
      <c r="FTT2480" s="60"/>
      <c r="FTU2480" s="60"/>
      <c r="FTV2480" s="61"/>
      <c r="FTW2480" s="54"/>
      <c r="FTX2480" s="54"/>
      <c r="FTY2480" s="60"/>
      <c r="FTZ2480" s="60"/>
      <c r="FUA2480" s="60"/>
      <c r="FUB2480" s="60"/>
      <c r="FUC2480" s="60"/>
      <c r="FUD2480" s="61"/>
      <c r="FUE2480" s="54"/>
      <c r="FUF2480" s="54"/>
      <c r="FUG2480" s="60"/>
      <c r="FUH2480" s="60"/>
      <c r="FUI2480" s="60"/>
      <c r="FUJ2480" s="60"/>
      <c r="FUK2480" s="60"/>
      <c r="FUL2480" s="61"/>
      <c r="FUM2480" s="54"/>
      <c r="FUN2480" s="54"/>
      <c r="FUO2480" s="60"/>
      <c r="FUP2480" s="60"/>
      <c r="FUQ2480" s="60"/>
      <c r="FUR2480" s="60"/>
      <c r="FUS2480" s="60"/>
      <c r="FUT2480" s="61"/>
      <c r="FUU2480" s="54"/>
      <c r="FUV2480" s="54"/>
      <c r="FUW2480" s="60"/>
      <c r="FUX2480" s="60"/>
      <c r="FUY2480" s="60"/>
      <c r="FUZ2480" s="60"/>
      <c r="FVA2480" s="60"/>
      <c r="FVB2480" s="61"/>
      <c r="FVC2480" s="54"/>
      <c r="FVD2480" s="54"/>
      <c r="FVE2480" s="60"/>
      <c r="FVF2480" s="60"/>
      <c r="FVG2480" s="60"/>
      <c r="FVH2480" s="60"/>
      <c r="FVI2480" s="60"/>
      <c r="FVJ2480" s="61"/>
      <c r="FVK2480" s="54"/>
      <c r="FVL2480" s="54"/>
      <c r="FVM2480" s="60"/>
      <c r="FVN2480" s="60"/>
      <c r="FVO2480" s="60"/>
      <c r="FVP2480" s="60"/>
      <c r="FVQ2480" s="60"/>
      <c r="FVR2480" s="61"/>
      <c r="FVS2480" s="54"/>
      <c r="FVT2480" s="54"/>
      <c r="FVU2480" s="60"/>
      <c r="FVV2480" s="60"/>
      <c r="FVW2480" s="60"/>
      <c r="FVX2480" s="60"/>
      <c r="FVY2480" s="60"/>
      <c r="FVZ2480" s="61"/>
      <c r="FWA2480" s="54"/>
      <c r="FWB2480" s="54"/>
      <c r="FWC2480" s="60"/>
      <c r="FWD2480" s="60"/>
      <c r="FWE2480" s="60"/>
      <c r="FWF2480" s="60"/>
      <c r="FWG2480" s="60"/>
      <c r="FWH2480" s="61"/>
      <c r="FWI2480" s="54"/>
      <c r="FWJ2480" s="54"/>
      <c r="FWK2480" s="60"/>
      <c r="FWL2480" s="60"/>
      <c r="FWM2480" s="60"/>
      <c r="FWN2480" s="60"/>
      <c r="FWO2480" s="60"/>
      <c r="FWP2480" s="61"/>
      <c r="FWQ2480" s="54"/>
      <c r="FWR2480" s="54"/>
      <c r="FWS2480" s="60"/>
      <c r="FWT2480" s="60"/>
      <c r="FWU2480" s="60"/>
      <c r="FWV2480" s="60"/>
      <c r="FWW2480" s="60"/>
      <c r="FWX2480" s="61"/>
      <c r="FWY2480" s="54"/>
      <c r="FWZ2480" s="54"/>
      <c r="FXA2480" s="60"/>
      <c r="FXB2480" s="60"/>
      <c r="FXC2480" s="60"/>
      <c r="FXD2480" s="60"/>
      <c r="FXE2480" s="60"/>
      <c r="FXF2480" s="61"/>
      <c r="FXG2480" s="54"/>
      <c r="FXH2480" s="54"/>
      <c r="FXI2480" s="60"/>
      <c r="FXJ2480" s="60"/>
      <c r="FXK2480" s="60"/>
      <c r="FXL2480" s="60"/>
      <c r="FXM2480" s="60"/>
      <c r="FXN2480" s="61"/>
      <c r="FXO2480" s="54"/>
      <c r="FXP2480" s="54"/>
      <c r="FXQ2480" s="60"/>
      <c r="FXR2480" s="60"/>
      <c r="FXS2480" s="60"/>
      <c r="FXT2480" s="60"/>
      <c r="FXU2480" s="60"/>
      <c r="FXV2480" s="61"/>
      <c r="FXW2480" s="54"/>
      <c r="FXX2480" s="54"/>
      <c r="FXY2480" s="60"/>
      <c r="FXZ2480" s="60"/>
      <c r="FYA2480" s="60"/>
      <c r="FYB2480" s="60"/>
      <c r="FYC2480" s="60"/>
      <c r="FYD2480" s="61"/>
      <c r="FYE2480" s="54"/>
      <c r="FYF2480" s="54"/>
      <c r="FYG2480" s="60"/>
      <c r="FYH2480" s="60"/>
      <c r="FYI2480" s="60"/>
      <c r="FYJ2480" s="60"/>
      <c r="FYK2480" s="60"/>
      <c r="FYL2480" s="61"/>
      <c r="FYM2480" s="54"/>
      <c r="FYN2480" s="54"/>
      <c r="FYO2480" s="60"/>
      <c r="FYP2480" s="60"/>
      <c r="FYQ2480" s="60"/>
      <c r="FYR2480" s="60"/>
      <c r="FYS2480" s="60"/>
      <c r="FYT2480" s="61"/>
      <c r="FYU2480" s="54"/>
      <c r="FYV2480" s="54"/>
      <c r="FYW2480" s="60"/>
      <c r="FYX2480" s="60"/>
      <c r="FYY2480" s="60"/>
      <c r="FYZ2480" s="60"/>
      <c r="FZA2480" s="60"/>
      <c r="FZB2480" s="61"/>
      <c r="FZC2480" s="54"/>
      <c r="FZD2480" s="54"/>
      <c r="FZE2480" s="60"/>
      <c r="FZF2480" s="60"/>
      <c r="FZG2480" s="60"/>
      <c r="FZH2480" s="60"/>
      <c r="FZI2480" s="60"/>
      <c r="FZJ2480" s="61"/>
      <c r="FZK2480" s="54"/>
      <c r="FZL2480" s="54"/>
      <c r="FZM2480" s="60"/>
      <c r="FZN2480" s="60"/>
      <c r="FZO2480" s="60"/>
      <c r="FZP2480" s="60"/>
      <c r="FZQ2480" s="60"/>
      <c r="FZR2480" s="61"/>
      <c r="FZS2480" s="54"/>
      <c r="FZT2480" s="54"/>
      <c r="FZU2480" s="60"/>
      <c r="FZV2480" s="60"/>
      <c r="FZW2480" s="60"/>
      <c r="FZX2480" s="60"/>
      <c r="FZY2480" s="60"/>
      <c r="FZZ2480" s="61"/>
      <c r="GAA2480" s="54"/>
      <c r="GAB2480" s="54"/>
      <c r="GAC2480" s="60"/>
      <c r="GAD2480" s="60"/>
      <c r="GAE2480" s="60"/>
      <c r="GAF2480" s="60"/>
      <c r="GAG2480" s="60"/>
      <c r="GAH2480" s="61"/>
      <c r="GAI2480" s="54"/>
      <c r="GAJ2480" s="54"/>
      <c r="GAK2480" s="60"/>
      <c r="GAL2480" s="60"/>
      <c r="GAM2480" s="60"/>
      <c r="GAN2480" s="60"/>
      <c r="GAO2480" s="60"/>
      <c r="GAP2480" s="61"/>
      <c r="GAQ2480" s="54"/>
      <c r="GAR2480" s="54"/>
      <c r="GAS2480" s="60"/>
      <c r="GAT2480" s="60"/>
      <c r="GAU2480" s="60"/>
      <c r="GAV2480" s="60"/>
      <c r="GAW2480" s="60"/>
      <c r="GAX2480" s="61"/>
      <c r="GAY2480" s="54"/>
      <c r="GAZ2480" s="54"/>
      <c r="GBA2480" s="60"/>
      <c r="GBB2480" s="60"/>
      <c r="GBC2480" s="60"/>
      <c r="GBD2480" s="60"/>
      <c r="GBE2480" s="60"/>
      <c r="GBF2480" s="61"/>
      <c r="GBG2480" s="54"/>
      <c r="GBH2480" s="54"/>
      <c r="GBI2480" s="60"/>
      <c r="GBJ2480" s="60"/>
      <c r="GBK2480" s="60"/>
      <c r="GBL2480" s="60"/>
      <c r="GBM2480" s="60"/>
      <c r="GBN2480" s="61"/>
      <c r="GBO2480" s="54"/>
      <c r="GBP2480" s="54"/>
      <c r="GBQ2480" s="60"/>
      <c r="GBR2480" s="60"/>
      <c r="GBS2480" s="60"/>
      <c r="GBT2480" s="60"/>
      <c r="GBU2480" s="60"/>
      <c r="GBV2480" s="61"/>
      <c r="GBW2480" s="54"/>
      <c r="GBX2480" s="54"/>
      <c r="GBY2480" s="60"/>
      <c r="GBZ2480" s="60"/>
      <c r="GCA2480" s="60"/>
      <c r="GCB2480" s="60"/>
      <c r="GCC2480" s="60"/>
      <c r="GCD2480" s="61"/>
      <c r="GCE2480" s="54"/>
      <c r="GCF2480" s="54"/>
      <c r="GCG2480" s="60"/>
      <c r="GCH2480" s="60"/>
      <c r="GCI2480" s="60"/>
      <c r="GCJ2480" s="60"/>
      <c r="GCK2480" s="60"/>
      <c r="GCL2480" s="61"/>
      <c r="GCM2480" s="54"/>
      <c r="GCN2480" s="54"/>
      <c r="GCO2480" s="60"/>
      <c r="GCP2480" s="60"/>
      <c r="GCQ2480" s="60"/>
      <c r="GCR2480" s="60"/>
      <c r="GCS2480" s="60"/>
      <c r="GCT2480" s="61"/>
      <c r="GCU2480" s="54"/>
      <c r="GCV2480" s="54"/>
      <c r="GCW2480" s="60"/>
      <c r="GCX2480" s="60"/>
      <c r="GCY2480" s="60"/>
      <c r="GCZ2480" s="60"/>
      <c r="GDA2480" s="60"/>
      <c r="GDB2480" s="61"/>
      <c r="GDC2480" s="54"/>
      <c r="GDD2480" s="54"/>
      <c r="GDE2480" s="60"/>
      <c r="GDF2480" s="60"/>
      <c r="GDG2480" s="60"/>
      <c r="GDH2480" s="60"/>
      <c r="GDI2480" s="60"/>
      <c r="GDJ2480" s="61"/>
      <c r="GDK2480" s="54"/>
      <c r="GDL2480" s="54"/>
      <c r="GDM2480" s="60"/>
      <c r="GDN2480" s="60"/>
      <c r="GDO2480" s="60"/>
      <c r="GDP2480" s="60"/>
      <c r="GDQ2480" s="60"/>
      <c r="GDR2480" s="61"/>
      <c r="GDS2480" s="54"/>
      <c r="GDT2480" s="54"/>
      <c r="GDU2480" s="60"/>
      <c r="GDV2480" s="60"/>
      <c r="GDW2480" s="60"/>
      <c r="GDX2480" s="60"/>
      <c r="GDY2480" s="60"/>
      <c r="GDZ2480" s="61"/>
      <c r="GEA2480" s="54"/>
      <c r="GEB2480" s="54"/>
      <c r="GEC2480" s="60"/>
      <c r="GED2480" s="60"/>
      <c r="GEE2480" s="60"/>
      <c r="GEF2480" s="60"/>
      <c r="GEG2480" s="60"/>
      <c r="GEH2480" s="61"/>
      <c r="GEI2480" s="54"/>
      <c r="GEJ2480" s="54"/>
      <c r="GEK2480" s="60"/>
      <c r="GEL2480" s="60"/>
      <c r="GEM2480" s="60"/>
      <c r="GEN2480" s="60"/>
      <c r="GEO2480" s="60"/>
      <c r="GEP2480" s="61"/>
      <c r="GEQ2480" s="54"/>
      <c r="GER2480" s="54"/>
      <c r="GES2480" s="60"/>
      <c r="GET2480" s="60"/>
      <c r="GEU2480" s="60"/>
      <c r="GEV2480" s="60"/>
      <c r="GEW2480" s="60"/>
      <c r="GEX2480" s="61"/>
      <c r="GEY2480" s="54"/>
      <c r="GEZ2480" s="54"/>
      <c r="GFA2480" s="60"/>
      <c r="GFB2480" s="60"/>
      <c r="GFC2480" s="60"/>
      <c r="GFD2480" s="60"/>
      <c r="GFE2480" s="60"/>
      <c r="GFF2480" s="61"/>
      <c r="GFG2480" s="54"/>
      <c r="GFH2480" s="54"/>
      <c r="GFI2480" s="60"/>
      <c r="GFJ2480" s="60"/>
      <c r="GFK2480" s="60"/>
      <c r="GFL2480" s="60"/>
      <c r="GFM2480" s="60"/>
      <c r="GFN2480" s="61"/>
      <c r="GFO2480" s="54"/>
      <c r="GFP2480" s="54"/>
      <c r="GFQ2480" s="60"/>
      <c r="GFR2480" s="60"/>
      <c r="GFS2480" s="60"/>
      <c r="GFT2480" s="60"/>
      <c r="GFU2480" s="60"/>
      <c r="GFV2480" s="61"/>
      <c r="GFW2480" s="54"/>
      <c r="GFX2480" s="54"/>
      <c r="GFY2480" s="60"/>
      <c r="GFZ2480" s="60"/>
      <c r="GGA2480" s="60"/>
      <c r="GGB2480" s="60"/>
      <c r="GGC2480" s="60"/>
      <c r="GGD2480" s="61"/>
      <c r="GGE2480" s="54"/>
      <c r="GGF2480" s="54"/>
      <c r="GGG2480" s="60"/>
      <c r="GGH2480" s="60"/>
      <c r="GGI2480" s="60"/>
      <c r="GGJ2480" s="60"/>
      <c r="GGK2480" s="60"/>
      <c r="GGL2480" s="61"/>
      <c r="GGM2480" s="54"/>
      <c r="GGN2480" s="54"/>
      <c r="GGO2480" s="60"/>
      <c r="GGP2480" s="60"/>
      <c r="GGQ2480" s="60"/>
      <c r="GGR2480" s="60"/>
      <c r="GGS2480" s="60"/>
      <c r="GGT2480" s="61"/>
      <c r="GGU2480" s="54"/>
      <c r="GGV2480" s="54"/>
      <c r="GGW2480" s="60"/>
      <c r="GGX2480" s="60"/>
      <c r="GGY2480" s="60"/>
      <c r="GGZ2480" s="60"/>
      <c r="GHA2480" s="60"/>
      <c r="GHB2480" s="61"/>
      <c r="GHC2480" s="54"/>
      <c r="GHD2480" s="54"/>
      <c r="GHE2480" s="60"/>
      <c r="GHF2480" s="60"/>
      <c r="GHG2480" s="60"/>
      <c r="GHH2480" s="60"/>
      <c r="GHI2480" s="60"/>
      <c r="GHJ2480" s="61"/>
      <c r="GHK2480" s="54"/>
      <c r="GHL2480" s="54"/>
      <c r="GHM2480" s="60"/>
      <c r="GHN2480" s="60"/>
      <c r="GHO2480" s="60"/>
      <c r="GHP2480" s="60"/>
      <c r="GHQ2480" s="60"/>
      <c r="GHR2480" s="61"/>
      <c r="GHS2480" s="54"/>
      <c r="GHT2480" s="54"/>
      <c r="GHU2480" s="60"/>
      <c r="GHV2480" s="60"/>
      <c r="GHW2480" s="60"/>
      <c r="GHX2480" s="60"/>
      <c r="GHY2480" s="60"/>
      <c r="GHZ2480" s="61"/>
      <c r="GIA2480" s="54"/>
      <c r="GIB2480" s="54"/>
      <c r="GIC2480" s="60"/>
      <c r="GID2480" s="60"/>
      <c r="GIE2480" s="60"/>
      <c r="GIF2480" s="60"/>
      <c r="GIG2480" s="60"/>
      <c r="GIH2480" s="61"/>
      <c r="GII2480" s="54"/>
      <c r="GIJ2480" s="54"/>
      <c r="GIK2480" s="60"/>
      <c r="GIL2480" s="60"/>
      <c r="GIM2480" s="60"/>
      <c r="GIN2480" s="60"/>
      <c r="GIO2480" s="60"/>
      <c r="GIP2480" s="61"/>
      <c r="GIQ2480" s="54"/>
      <c r="GIR2480" s="54"/>
      <c r="GIS2480" s="60"/>
      <c r="GIT2480" s="60"/>
      <c r="GIU2480" s="60"/>
      <c r="GIV2480" s="60"/>
      <c r="GIW2480" s="60"/>
      <c r="GIX2480" s="61"/>
      <c r="GIY2480" s="54"/>
      <c r="GIZ2480" s="54"/>
      <c r="GJA2480" s="60"/>
      <c r="GJB2480" s="60"/>
      <c r="GJC2480" s="60"/>
      <c r="GJD2480" s="60"/>
      <c r="GJE2480" s="60"/>
      <c r="GJF2480" s="61"/>
      <c r="GJG2480" s="54"/>
      <c r="GJH2480" s="54"/>
      <c r="GJI2480" s="60"/>
      <c r="GJJ2480" s="60"/>
      <c r="GJK2480" s="60"/>
      <c r="GJL2480" s="60"/>
      <c r="GJM2480" s="60"/>
      <c r="GJN2480" s="61"/>
      <c r="GJO2480" s="54"/>
      <c r="GJP2480" s="54"/>
      <c r="GJQ2480" s="60"/>
      <c r="GJR2480" s="60"/>
      <c r="GJS2480" s="60"/>
      <c r="GJT2480" s="60"/>
      <c r="GJU2480" s="60"/>
      <c r="GJV2480" s="61"/>
      <c r="GJW2480" s="54"/>
      <c r="GJX2480" s="54"/>
      <c r="GJY2480" s="60"/>
      <c r="GJZ2480" s="60"/>
      <c r="GKA2480" s="60"/>
      <c r="GKB2480" s="60"/>
      <c r="GKC2480" s="60"/>
      <c r="GKD2480" s="61"/>
      <c r="GKE2480" s="54"/>
      <c r="GKF2480" s="54"/>
      <c r="GKG2480" s="60"/>
      <c r="GKH2480" s="60"/>
      <c r="GKI2480" s="60"/>
      <c r="GKJ2480" s="60"/>
      <c r="GKK2480" s="60"/>
      <c r="GKL2480" s="61"/>
      <c r="GKM2480" s="54"/>
      <c r="GKN2480" s="54"/>
      <c r="GKO2480" s="60"/>
      <c r="GKP2480" s="60"/>
      <c r="GKQ2480" s="60"/>
      <c r="GKR2480" s="60"/>
      <c r="GKS2480" s="60"/>
      <c r="GKT2480" s="61"/>
      <c r="GKU2480" s="54"/>
      <c r="GKV2480" s="54"/>
      <c r="GKW2480" s="60"/>
      <c r="GKX2480" s="60"/>
      <c r="GKY2480" s="60"/>
      <c r="GKZ2480" s="60"/>
      <c r="GLA2480" s="60"/>
      <c r="GLB2480" s="61"/>
      <c r="GLC2480" s="54"/>
      <c r="GLD2480" s="54"/>
      <c r="GLE2480" s="60"/>
      <c r="GLF2480" s="60"/>
      <c r="GLG2480" s="60"/>
      <c r="GLH2480" s="60"/>
      <c r="GLI2480" s="60"/>
      <c r="GLJ2480" s="61"/>
      <c r="GLK2480" s="54"/>
      <c r="GLL2480" s="54"/>
      <c r="GLM2480" s="60"/>
      <c r="GLN2480" s="60"/>
      <c r="GLO2480" s="60"/>
      <c r="GLP2480" s="60"/>
      <c r="GLQ2480" s="60"/>
      <c r="GLR2480" s="61"/>
      <c r="GLS2480" s="54"/>
      <c r="GLT2480" s="54"/>
      <c r="GLU2480" s="60"/>
      <c r="GLV2480" s="60"/>
      <c r="GLW2480" s="60"/>
      <c r="GLX2480" s="60"/>
      <c r="GLY2480" s="60"/>
      <c r="GLZ2480" s="61"/>
      <c r="GMA2480" s="54"/>
      <c r="GMB2480" s="54"/>
      <c r="GMC2480" s="60"/>
      <c r="GMD2480" s="60"/>
      <c r="GME2480" s="60"/>
      <c r="GMF2480" s="60"/>
      <c r="GMG2480" s="60"/>
      <c r="GMH2480" s="61"/>
      <c r="GMI2480" s="54"/>
      <c r="GMJ2480" s="54"/>
      <c r="GMK2480" s="60"/>
      <c r="GML2480" s="60"/>
      <c r="GMM2480" s="60"/>
      <c r="GMN2480" s="60"/>
      <c r="GMO2480" s="60"/>
      <c r="GMP2480" s="61"/>
      <c r="GMQ2480" s="54"/>
      <c r="GMR2480" s="54"/>
      <c r="GMS2480" s="60"/>
      <c r="GMT2480" s="60"/>
      <c r="GMU2480" s="60"/>
      <c r="GMV2480" s="60"/>
      <c r="GMW2480" s="60"/>
      <c r="GMX2480" s="61"/>
      <c r="GMY2480" s="54"/>
      <c r="GMZ2480" s="54"/>
      <c r="GNA2480" s="60"/>
      <c r="GNB2480" s="60"/>
      <c r="GNC2480" s="60"/>
      <c r="GND2480" s="60"/>
      <c r="GNE2480" s="60"/>
      <c r="GNF2480" s="61"/>
      <c r="GNG2480" s="54"/>
      <c r="GNH2480" s="54"/>
      <c r="GNI2480" s="60"/>
      <c r="GNJ2480" s="60"/>
      <c r="GNK2480" s="60"/>
      <c r="GNL2480" s="60"/>
      <c r="GNM2480" s="60"/>
      <c r="GNN2480" s="61"/>
      <c r="GNO2480" s="54"/>
      <c r="GNP2480" s="54"/>
      <c r="GNQ2480" s="60"/>
      <c r="GNR2480" s="60"/>
      <c r="GNS2480" s="60"/>
      <c r="GNT2480" s="60"/>
      <c r="GNU2480" s="60"/>
      <c r="GNV2480" s="61"/>
      <c r="GNW2480" s="54"/>
      <c r="GNX2480" s="54"/>
      <c r="GNY2480" s="60"/>
      <c r="GNZ2480" s="60"/>
      <c r="GOA2480" s="60"/>
      <c r="GOB2480" s="60"/>
      <c r="GOC2480" s="60"/>
      <c r="GOD2480" s="61"/>
      <c r="GOE2480" s="54"/>
      <c r="GOF2480" s="54"/>
      <c r="GOG2480" s="60"/>
      <c r="GOH2480" s="60"/>
      <c r="GOI2480" s="60"/>
      <c r="GOJ2480" s="60"/>
      <c r="GOK2480" s="60"/>
      <c r="GOL2480" s="61"/>
      <c r="GOM2480" s="54"/>
      <c r="GON2480" s="54"/>
      <c r="GOO2480" s="60"/>
      <c r="GOP2480" s="60"/>
      <c r="GOQ2480" s="60"/>
      <c r="GOR2480" s="60"/>
      <c r="GOS2480" s="60"/>
      <c r="GOT2480" s="61"/>
      <c r="GOU2480" s="54"/>
      <c r="GOV2480" s="54"/>
      <c r="GOW2480" s="60"/>
      <c r="GOX2480" s="60"/>
      <c r="GOY2480" s="60"/>
      <c r="GOZ2480" s="60"/>
      <c r="GPA2480" s="60"/>
      <c r="GPB2480" s="61"/>
      <c r="GPC2480" s="54"/>
      <c r="GPD2480" s="54"/>
      <c r="GPE2480" s="60"/>
      <c r="GPF2480" s="60"/>
      <c r="GPG2480" s="60"/>
      <c r="GPH2480" s="60"/>
      <c r="GPI2480" s="60"/>
      <c r="GPJ2480" s="61"/>
      <c r="GPK2480" s="54"/>
      <c r="GPL2480" s="54"/>
      <c r="GPM2480" s="60"/>
      <c r="GPN2480" s="60"/>
      <c r="GPO2480" s="60"/>
      <c r="GPP2480" s="60"/>
      <c r="GPQ2480" s="60"/>
      <c r="GPR2480" s="61"/>
      <c r="GPS2480" s="54"/>
      <c r="GPT2480" s="54"/>
      <c r="GPU2480" s="60"/>
      <c r="GPV2480" s="60"/>
      <c r="GPW2480" s="60"/>
      <c r="GPX2480" s="60"/>
      <c r="GPY2480" s="60"/>
      <c r="GPZ2480" s="61"/>
      <c r="GQA2480" s="54"/>
      <c r="GQB2480" s="54"/>
      <c r="GQC2480" s="60"/>
      <c r="GQD2480" s="60"/>
      <c r="GQE2480" s="60"/>
      <c r="GQF2480" s="60"/>
      <c r="GQG2480" s="60"/>
      <c r="GQH2480" s="61"/>
      <c r="GQI2480" s="54"/>
      <c r="GQJ2480" s="54"/>
      <c r="GQK2480" s="60"/>
      <c r="GQL2480" s="60"/>
      <c r="GQM2480" s="60"/>
      <c r="GQN2480" s="60"/>
      <c r="GQO2480" s="60"/>
      <c r="GQP2480" s="61"/>
      <c r="GQQ2480" s="54"/>
      <c r="GQR2480" s="54"/>
      <c r="GQS2480" s="60"/>
      <c r="GQT2480" s="60"/>
      <c r="GQU2480" s="60"/>
      <c r="GQV2480" s="60"/>
      <c r="GQW2480" s="60"/>
      <c r="GQX2480" s="61"/>
      <c r="GQY2480" s="54"/>
      <c r="GQZ2480" s="54"/>
      <c r="GRA2480" s="60"/>
      <c r="GRB2480" s="60"/>
      <c r="GRC2480" s="60"/>
      <c r="GRD2480" s="60"/>
      <c r="GRE2480" s="60"/>
      <c r="GRF2480" s="61"/>
      <c r="GRG2480" s="54"/>
      <c r="GRH2480" s="54"/>
      <c r="GRI2480" s="60"/>
      <c r="GRJ2480" s="60"/>
      <c r="GRK2480" s="60"/>
      <c r="GRL2480" s="60"/>
      <c r="GRM2480" s="60"/>
      <c r="GRN2480" s="61"/>
      <c r="GRO2480" s="54"/>
      <c r="GRP2480" s="54"/>
      <c r="GRQ2480" s="60"/>
      <c r="GRR2480" s="60"/>
      <c r="GRS2480" s="60"/>
      <c r="GRT2480" s="60"/>
      <c r="GRU2480" s="60"/>
      <c r="GRV2480" s="61"/>
      <c r="GRW2480" s="54"/>
      <c r="GRX2480" s="54"/>
      <c r="GRY2480" s="60"/>
      <c r="GRZ2480" s="60"/>
      <c r="GSA2480" s="60"/>
      <c r="GSB2480" s="60"/>
      <c r="GSC2480" s="60"/>
      <c r="GSD2480" s="61"/>
      <c r="GSE2480" s="54"/>
      <c r="GSF2480" s="54"/>
      <c r="GSG2480" s="60"/>
      <c r="GSH2480" s="60"/>
      <c r="GSI2480" s="60"/>
      <c r="GSJ2480" s="60"/>
      <c r="GSK2480" s="60"/>
      <c r="GSL2480" s="61"/>
      <c r="GSM2480" s="54"/>
      <c r="GSN2480" s="54"/>
      <c r="GSO2480" s="60"/>
      <c r="GSP2480" s="60"/>
      <c r="GSQ2480" s="60"/>
      <c r="GSR2480" s="60"/>
      <c r="GSS2480" s="60"/>
      <c r="GST2480" s="61"/>
      <c r="GSU2480" s="54"/>
      <c r="GSV2480" s="54"/>
      <c r="GSW2480" s="60"/>
      <c r="GSX2480" s="60"/>
      <c r="GSY2480" s="60"/>
      <c r="GSZ2480" s="60"/>
      <c r="GTA2480" s="60"/>
      <c r="GTB2480" s="61"/>
      <c r="GTC2480" s="54"/>
      <c r="GTD2480" s="54"/>
      <c r="GTE2480" s="60"/>
      <c r="GTF2480" s="60"/>
      <c r="GTG2480" s="60"/>
      <c r="GTH2480" s="60"/>
      <c r="GTI2480" s="60"/>
      <c r="GTJ2480" s="61"/>
      <c r="GTK2480" s="54"/>
      <c r="GTL2480" s="54"/>
      <c r="GTM2480" s="60"/>
      <c r="GTN2480" s="60"/>
      <c r="GTO2480" s="60"/>
      <c r="GTP2480" s="60"/>
      <c r="GTQ2480" s="60"/>
      <c r="GTR2480" s="61"/>
      <c r="GTS2480" s="54"/>
      <c r="GTT2480" s="54"/>
      <c r="GTU2480" s="60"/>
      <c r="GTV2480" s="60"/>
      <c r="GTW2480" s="60"/>
      <c r="GTX2480" s="60"/>
      <c r="GTY2480" s="60"/>
      <c r="GTZ2480" s="61"/>
      <c r="GUA2480" s="54"/>
      <c r="GUB2480" s="54"/>
      <c r="GUC2480" s="60"/>
      <c r="GUD2480" s="60"/>
      <c r="GUE2480" s="60"/>
      <c r="GUF2480" s="60"/>
      <c r="GUG2480" s="60"/>
      <c r="GUH2480" s="61"/>
      <c r="GUI2480" s="54"/>
      <c r="GUJ2480" s="54"/>
      <c r="GUK2480" s="60"/>
      <c r="GUL2480" s="60"/>
      <c r="GUM2480" s="60"/>
      <c r="GUN2480" s="60"/>
      <c r="GUO2480" s="60"/>
      <c r="GUP2480" s="61"/>
      <c r="GUQ2480" s="54"/>
      <c r="GUR2480" s="54"/>
      <c r="GUS2480" s="60"/>
      <c r="GUT2480" s="60"/>
      <c r="GUU2480" s="60"/>
      <c r="GUV2480" s="60"/>
      <c r="GUW2480" s="60"/>
      <c r="GUX2480" s="61"/>
      <c r="GUY2480" s="54"/>
      <c r="GUZ2480" s="54"/>
      <c r="GVA2480" s="60"/>
      <c r="GVB2480" s="60"/>
      <c r="GVC2480" s="60"/>
      <c r="GVD2480" s="60"/>
      <c r="GVE2480" s="60"/>
      <c r="GVF2480" s="61"/>
      <c r="GVG2480" s="54"/>
      <c r="GVH2480" s="54"/>
      <c r="GVI2480" s="60"/>
      <c r="GVJ2480" s="60"/>
      <c r="GVK2480" s="60"/>
      <c r="GVL2480" s="60"/>
      <c r="GVM2480" s="60"/>
      <c r="GVN2480" s="61"/>
      <c r="GVO2480" s="54"/>
      <c r="GVP2480" s="54"/>
      <c r="GVQ2480" s="60"/>
      <c r="GVR2480" s="60"/>
      <c r="GVS2480" s="60"/>
      <c r="GVT2480" s="60"/>
      <c r="GVU2480" s="60"/>
      <c r="GVV2480" s="61"/>
      <c r="GVW2480" s="54"/>
      <c r="GVX2480" s="54"/>
      <c r="GVY2480" s="60"/>
      <c r="GVZ2480" s="60"/>
      <c r="GWA2480" s="60"/>
      <c r="GWB2480" s="60"/>
      <c r="GWC2480" s="60"/>
      <c r="GWD2480" s="61"/>
      <c r="GWE2480" s="54"/>
      <c r="GWF2480" s="54"/>
      <c r="GWG2480" s="60"/>
      <c r="GWH2480" s="60"/>
      <c r="GWI2480" s="60"/>
      <c r="GWJ2480" s="60"/>
      <c r="GWK2480" s="60"/>
      <c r="GWL2480" s="61"/>
      <c r="GWM2480" s="54"/>
      <c r="GWN2480" s="54"/>
      <c r="GWO2480" s="60"/>
      <c r="GWP2480" s="60"/>
      <c r="GWQ2480" s="60"/>
      <c r="GWR2480" s="60"/>
      <c r="GWS2480" s="60"/>
      <c r="GWT2480" s="61"/>
      <c r="GWU2480" s="54"/>
      <c r="GWV2480" s="54"/>
      <c r="GWW2480" s="60"/>
      <c r="GWX2480" s="60"/>
      <c r="GWY2480" s="60"/>
      <c r="GWZ2480" s="60"/>
      <c r="GXA2480" s="60"/>
      <c r="GXB2480" s="61"/>
      <c r="GXC2480" s="54"/>
      <c r="GXD2480" s="54"/>
      <c r="GXE2480" s="60"/>
      <c r="GXF2480" s="60"/>
      <c r="GXG2480" s="60"/>
      <c r="GXH2480" s="60"/>
      <c r="GXI2480" s="60"/>
      <c r="GXJ2480" s="61"/>
      <c r="GXK2480" s="54"/>
      <c r="GXL2480" s="54"/>
      <c r="GXM2480" s="60"/>
      <c r="GXN2480" s="60"/>
      <c r="GXO2480" s="60"/>
      <c r="GXP2480" s="60"/>
      <c r="GXQ2480" s="60"/>
      <c r="GXR2480" s="61"/>
      <c r="GXS2480" s="54"/>
      <c r="GXT2480" s="54"/>
      <c r="GXU2480" s="60"/>
      <c r="GXV2480" s="60"/>
      <c r="GXW2480" s="60"/>
      <c r="GXX2480" s="60"/>
      <c r="GXY2480" s="60"/>
      <c r="GXZ2480" s="61"/>
      <c r="GYA2480" s="54"/>
      <c r="GYB2480" s="54"/>
      <c r="GYC2480" s="60"/>
      <c r="GYD2480" s="60"/>
      <c r="GYE2480" s="60"/>
      <c r="GYF2480" s="60"/>
      <c r="GYG2480" s="60"/>
      <c r="GYH2480" s="61"/>
      <c r="GYI2480" s="54"/>
      <c r="GYJ2480" s="54"/>
      <c r="GYK2480" s="60"/>
      <c r="GYL2480" s="60"/>
      <c r="GYM2480" s="60"/>
      <c r="GYN2480" s="60"/>
      <c r="GYO2480" s="60"/>
      <c r="GYP2480" s="61"/>
      <c r="GYQ2480" s="54"/>
      <c r="GYR2480" s="54"/>
      <c r="GYS2480" s="60"/>
      <c r="GYT2480" s="60"/>
      <c r="GYU2480" s="60"/>
      <c r="GYV2480" s="60"/>
      <c r="GYW2480" s="60"/>
      <c r="GYX2480" s="61"/>
      <c r="GYY2480" s="54"/>
      <c r="GYZ2480" s="54"/>
      <c r="GZA2480" s="60"/>
      <c r="GZB2480" s="60"/>
      <c r="GZC2480" s="60"/>
      <c r="GZD2480" s="60"/>
      <c r="GZE2480" s="60"/>
      <c r="GZF2480" s="61"/>
      <c r="GZG2480" s="54"/>
      <c r="GZH2480" s="54"/>
      <c r="GZI2480" s="60"/>
      <c r="GZJ2480" s="60"/>
      <c r="GZK2480" s="60"/>
      <c r="GZL2480" s="60"/>
      <c r="GZM2480" s="60"/>
      <c r="GZN2480" s="61"/>
      <c r="GZO2480" s="54"/>
      <c r="GZP2480" s="54"/>
      <c r="GZQ2480" s="60"/>
      <c r="GZR2480" s="60"/>
      <c r="GZS2480" s="60"/>
      <c r="GZT2480" s="60"/>
      <c r="GZU2480" s="60"/>
      <c r="GZV2480" s="61"/>
      <c r="GZW2480" s="54"/>
      <c r="GZX2480" s="54"/>
      <c r="GZY2480" s="60"/>
      <c r="GZZ2480" s="60"/>
      <c r="HAA2480" s="60"/>
      <c r="HAB2480" s="60"/>
      <c r="HAC2480" s="60"/>
      <c r="HAD2480" s="61"/>
      <c r="HAE2480" s="54"/>
      <c r="HAF2480" s="54"/>
      <c r="HAG2480" s="60"/>
      <c r="HAH2480" s="60"/>
      <c r="HAI2480" s="60"/>
      <c r="HAJ2480" s="60"/>
      <c r="HAK2480" s="60"/>
      <c r="HAL2480" s="61"/>
      <c r="HAM2480" s="54"/>
      <c r="HAN2480" s="54"/>
      <c r="HAO2480" s="60"/>
      <c r="HAP2480" s="60"/>
      <c r="HAQ2480" s="60"/>
      <c r="HAR2480" s="60"/>
      <c r="HAS2480" s="60"/>
      <c r="HAT2480" s="61"/>
      <c r="HAU2480" s="54"/>
      <c r="HAV2480" s="54"/>
      <c r="HAW2480" s="60"/>
      <c r="HAX2480" s="60"/>
      <c r="HAY2480" s="60"/>
      <c r="HAZ2480" s="60"/>
      <c r="HBA2480" s="60"/>
      <c r="HBB2480" s="61"/>
      <c r="HBC2480" s="54"/>
      <c r="HBD2480" s="54"/>
      <c r="HBE2480" s="60"/>
      <c r="HBF2480" s="60"/>
      <c r="HBG2480" s="60"/>
      <c r="HBH2480" s="60"/>
      <c r="HBI2480" s="60"/>
      <c r="HBJ2480" s="61"/>
      <c r="HBK2480" s="54"/>
      <c r="HBL2480" s="54"/>
      <c r="HBM2480" s="60"/>
      <c r="HBN2480" s="60"/>
      <c r="HBO2480" s="60"/>
      <c r="HBP2480" s="60"/>
      <c r="HBQ2480" s="60"/>
      <c r="HBR2480" s="61"/>
      <c r="HBS2480" s="54"/>
      <c r="HBT2480" s="54"/>
      <c r="HBU2480" s="60"/>
      <c r="HBV2480" s="60"/>
      <c r="HBW2480" s="60"/>
      <c r="HBX2480" s="60"/>
      <c r="HBY2480" s="60"/>
      <c r="HBZ2480" s="61"/>
      <c r="HCA2480" s="54"/>
      <c r="HCB2480" s="54"/>
      <c r="HCC2480" s="60"/>
      <c r="HCD2480" s="60"/>
      <c r="HCE2480" s="60"/>
      <c r="HCF2480" s="60"/>
      <c r="HCG2480" s="60"/>
      <c r="HCH2480" s="61"/>
      <c r="HCI2480" s="54"/>
      <c r="HCJ2480" s="54"/>
      <c r="HCK2480" s="60"/>
      <c r="HCL2480" s="60"/>
      <c r="HCM2480" s="60"/>
      <c r="HCN2480" s="60"/>
      <c r="HCO2480" s="60"/>
      <c r="HCP2480" s="61"/>
      <c r="HCQ2480" s="54"/>
      <c r="HCR2480" s="54"/>
      <c r="HCS2480" s="60"/>
      <c r="HCT2480" s="60"/>
      <c r="HCU2480" s="60"/>
      <c r="HCV2480" s="60"/>
      <c r="HCW2480" s="60"/>
      <c r="HCX2480" s="61"/>
      <c r="HCY2480" s="54"/>
      <c r="HCZ2480" s="54"/>
      <c r="HDA2480" s="60"/>
      <c r="HDB2480" s="60"/>
      <c r="HDC2480" s="60"/>
      <c r="HDD2480" s="60"/>
      <c r="HDE2480" s="60"/>
      <c r="HDF2480" s="61"/>
      <c r="HDG2480" s="54"/>
      <c r="HDH2480" s="54"/>
      <c r="HDI2480" s="60"/>
      <c r="HDJ2480" s="60"/>
      <c r="HDK2480" s="60"/>
      <c r="HDL2480" s="60"/>
      <c r="HDM2480" s="60"/>
      <c r="HDN2480" s="61"/>
      <c r="HDO2480" s="54"/>
      <c r="HDP2480" s="54"/>
      <c r="HDQ2480" s="60"/>
      <c r="HDR2480" s="60"/>
      <c r="HDS2480" s="60"/>
      <c r="HDT2480" s="60"/>
      <c r="HDU2480" s="60"/>
      <c r="HDV2480" s="61"/>
      <c r="HDW2480" s="54"/>
      <c r="HDX2480" s="54"/>
      <c r="HDY2480" s="60"/>
      <c r="HDZ2480" s="60"/>
      <c r="HEA2480" s="60"/>
      <c r="HEB2480" s="60"/>
      <c r="HEC2480" s="60"/>
      <c r="HED2480" s="61"/>
      <c r="HEE2480" s="54"/>
      <c r="HEF2480" s="54"/>
      <c r="HEG2480" s="60"/>
      <c r="HEH2480" s="60"/>
      <c r="HEI2480" s="60"/>
      <c r="HEJ2480" s="60"/>
      <c r="HEK2480" s="60"/>
      <c r="HEL2480" s="61"/>
      <c r="HEM2480" s="54"/>
      <c r="HEN2480" s="54"/>
      <c r="HEO2480" s="60"/>
      <c r="HEP2480" s="60"/>
      <c r="HEQ2480" s="60"/>
      <c r="HER2480" s="60"/>
      <c r="HES2480" s="60"/>
      <c r="HET2480" s="61"/>
      <c r="HEU2480" s="54"/>
      <c r="HEV2480" s="54"/>
      <c r="HEW2480" s="60"/>
      <c r="HEX2480" s="60"/>
      <c r="HEY2480" s="60"/>
      <c r="HEZ2480" s="60"/>
      <c r="HFA2480" s="60"/>
      <c r="HFB2480" s="61"/>
      <c r="HFC2480" s="54"/>
      <c r="HFD2480" s="54"/>
      <c r="HFE2480" s="60"/>
      <c r="HFF2480" s="60"/>
      <c r="HFG2480" s="60"/>
      <c r="HFH2480" s="60"/>
      <c r="HFI2480" s="60"/>
      <c r="HFJ2480" s="61"/>
      <c r="HFK2480" s="54"/>
      <c r="HFL2480" s="54"/>
      <c r="HFM2480" s="60"/>
      <c r="HFN2480" s="60"/>
      <c r="HFO2480" s="60"/>
      <c r="HFP2480" s="60"/>
      <c r="HFQ2480" s="60"/>
      <c r="HFR2480" s="61"/>
      <c r="HFS2480" s="54"/>
      <c r="HFT2480" s="54"/>
      <c r="HFU2480" s="60"/>
      <c r="HFV2480" s="60"/>
      <c r="HFW2480" s="60"/>
      <c r="HFX2480" s="60"/>
      <c r="HFY2480" s="60"/>
      <c r="HFZ2480" s="61"/>
      <c r="HGA2480" s="54"/>
      <c r="HGB2480" s="54"/>
      <c r="HGC2480" s="60"/>
      <c r="HGD2480" s="60"/>
      <c r="HGE2480" s="60"/>
      <c r="HGF2480" s="60"/>
      <c r="HGG2480" s="60"/>
      <c r="HGH2480" s="61"/>
      <c r="HGI2480" s="54"/>
      <c r="HGJ2480" s="54"/>
      <c r="HGK2480" s="60"/>
      <c r="HGL2480" s="60"/>
      <c r="HGM2480" s="60"/>
      <c r="HGN2480" s="60"/>
      <c r="HGO2480" s="60"/>
      <c r="HGP2480" s="61"/>
      <c r="HGQ2480" s="54"/>
      <c r="HGR2480" s="54"/>
      <c r="HGS2480" s="60"/>
      <c r="HGT2480" s="60"/>
      <c r="HGU2480" s="60"/>
      <c r="HGV2480" s="60"/>
      <c r="HGW2480" s="60"/>
      <c r="HGX2480" s="61"/>
      <c r="HGY2480" s="54"/>
      <c r="HGZ2480" s="54"/>
      <c r="HHA2480" s="60"/>
      <c r="HHB2480" s="60"/>
      <c r="HHC2480" s="60"/>
      <c r="HHD2480" s="60"/>
      <c r="HHE2480" s="60"/>
      <c r="HHF2480" s="61"/>
      <c r="HHG2480" s="54"/>
      <c r="HHH2480" s="54"/>
      <c r="HHI2480" s="60"/>
      <c r="HHJ2480" s="60"/>
      <c r="HHK2480" s="60"/>
      <c r="HHL2480" s="60"/>
      <c r="HHM2480" s="60"/>
      <c r="HHN2480" s="61"/>
      <c r="HHO2480" s="54"/>
      <c r="HHP2480" s="54"/>
      <c r="HHQ2480" s="60"/>
      <c r="HHR2480" s="60"/>
      <c r="HHS2480" s="60"/>
      <c r="HHT2480" s="60"/>
      <c r="HHU2480" s="60"/>
      <c r="HHV2480" s="61"/>
      <c r="HHW2480" s="54"/>
      <c r="HHX2480" s="54"/>
      <c r="HHY2480" s="60"/>
      <c r="HHZ2480" s="60"/>
      <c r="HIA2480" s="60"/>
      <c r="HIB2480" s="60"/>
      <c r="HIC2480" s="60"/>
      <c r="HID2480" s="61"/>
      <c r="HIE2480" s="54"/>
      <c r="HIF2480" s="54"/>
      <c r="HIG2480" s="60"/>
      <c r="HIH2480" s="60"/>
      <c r="HII2480" s="60"/>
      <c r="HIJ2480" s="60"/>
      <c r="HIK2480" s="60"/>
      <c r="HIL2480" s="61"/>
      <c r="HIM2480" s="54"/>
      <c r="HIN2480" s="54"/>
      <c r="HIO2480" s="60"/>
      <c r="HIP2480" s="60"/>
      <c r="HIQ2480" s="60"/>
      <c r="HIR2480" s="60"/>
      <c r="HIS2480" s="60"/>
      <c r="HIT2480" s="61"/>
      <c r="HIU2480" s="54"/>
      <c r="HIV2480" s="54"/>
      <c r="HIW2480" s="60"/>
      <c r="HIX2480" s="60"/>
      <c r="HIY2480" s="60"/>
      <c r="HIZ2480" s="60"/>
      <c r="HJA2480" s="60"/>
      <c r="HJB2480" s="61"/>
      <c r="HJC2480" s="54"/>
      <c r="HJD2480" s="54"/>
      <c r="HJE2480" s="60"/>
      <c r="HJF2480" s="60"/>
      <c r="HJG2480" s="60"/>
      <c r="HJH2480" s="60"/>
      <c r="HJI2480" s="60"/>
      <c r="HJJ2480" s="61"/>
      <c r="HJK2480" s="54"/>
      <c r="HJL2480" s="54"/>
      <c r="HJM2480" s="60"/>
      <c r="HJN2480" s="60"/>
      <c r="HJO2480" s="60"/>
      <c r="HJP2480" s="60"/>
      <c r="HJQ2480" s="60"/>
      <c r="HJR2480" s="61"/>
      <c r="HJS2480" s="54"/>
      <c r="HJT2480" s="54"/>
      <c r="HJU2480" s="60"/>
      <c r="HJV2480" s="60"/>
      <c r="HJW2480" s="60"/>
      <c r="HJX2480" s="60"/>
      <c r="HJY2480" s="60"/>
      <c r="HJZ2480" s="61"/>
      <c r="HKA2480" s="54"/>
      <c r="HKB2480" s="54"/>
      <c r="HKC2480" s="60"/>
      <c r="HKD2480" s="60"/>
      <c r="HKE2480" s="60"/>
      <c r="HKF2480" s="60"/>
      <c r="HKG2480" s="60"/>
      <c r="HKH2480" s="61"/>
      <c r="HKI2480" s="54"/>
      <c r="HKJ2480" s="54"/>
      <c r="HKK2480" s="60"/>
      <c r="HKL2480" s="60"/>
      <c r="HKM2480" s="60"/>
      <c r="HKN2480" s="60"/>
      <c r="HKO2480" s="60"/>
      <c r="HKP2480" s="61"/>
      <c r="HKQ2480" s="54"/>
      <c r="HKR2480" s="54"/>
      <c r="HKS2480" s="60"/>
      <c r="HKT2480" s="60"/>
      <c r="HKU2480" s="60"/>
      <c r="HKV2480" s="60"/>
      <c r="HKW2480" s="60"/>
      <c r="HKX2480" s="61"/>
      <c r="HKY2480" s="54"/>
      <c r="HKZ2480" s="54"/>
      <c r="HLA2480" s="60"/>
      <c r="HLB2480" s="60"/>
      <c r="HLC2480" s="60"/>
      <c r="HLD2480" s="60"/>
      <c r="HLE2480" s="60"/>
      <c r="HLF2480" s="61"/>
      <c r="HLG2480" s="54"/>
      <c r="HLH2480" s="54"/>
      <c r="HLI2480" s="60"/>
      <c r="HLJ2480" s="60"/>
      <c r="HLK2480" s="60"/>
      <c r="HLL2480" s="60"/>
      <c r="HLM2480" s="60"/>
      <c r="HLN2480" s="61"/>
      <c r="HLO2480" s="54"/>
      <c r="HLP2480" s="54"/>
      <c r="HLQ2480" s="60"/>
      <c r="HLR2480" s="60"/>
      <c r="HLS2480" s="60"/>
      <c r="HLT2480" s="60"/>
      <c r="HLU2480" s="60"/>
      <c r="HLV2480" s="61"/>
      <c r="HLW2480" s="54"/>
      <c r="HLX2480" s="54"/>
      <c r="HLY2480" s="60"/>
      <c r="HLZ2480" s="60"/>
      <c r="HMA2480" s="60"/>
      <c r="HMB2480" s="60"/>
      <c r="HMC2480" s="60"/>
      <c r="HMD2480" s="61"/>
      <c r="HME2480" s="54"/>
      <c r="HMF2480" s="54"/>
      <c r="HMG2480" s="60"/>
      <c r="HMH2480" s="60"/>
      <c r="HMI2480" s="60"/>
      <c r="HMJ2480" s="60"/>
      <c r="HMK2480" s="60"/>
      <c r="HML2480" s="61"/>
      <c r="HMM2480" s="54"/>
      <c r="HMN2480" s="54"/>
      <c r="HMO2480" s="60"/>
      <c r="HMP2480" s="60"/>
      <c r="HMQ2480" s="60"/>
      <c r="HMR2480" s="60"/>
      <c r="HMS2480" s="60"/>
      <c r="HMT2480" s="61"/>
      <c r="HMU2480" s="54"/>
      <c r="HMV2480" s="54"/>
      <c r="HMW2480" s="60"/>
      <c r="HMX2480" s="60"/>
      <c r="HMY2480" s="60"/>
      <c r="HMZ2480" s="60"/>
      <c r="HNA2480" s="60"/>
      <c r="HNB2480" s="61"/>
      <c r="HNC2480" s="54"/>
      <c r="HND2480" s="54"/>
      <c r="HNE2480" s="60"/>
      <c r="HNF2480" s="60"/>
      <c r="HNG2480" s="60"/>
      <c r="HNH2480" s="60"/>
      <c r="HNI2480" s="60"/>
      <c r="HNJ2480" s="61"/>
      <c r="HNK2480" s="54"/>
      <c r="HNL2480" s="54"/>
      <c r="HNM2480" s="60"/>
      <c r="HNN2480" s="60"/>
      <c r="HNO2480" s="60"/>
      <c r="HNP2480" s="60"/>
      <c r="HNQ2480" s="60"/>
      <c r="HNR2480" s="61"/>
      <c r="HNS2480" s="54"/>
      <c r="HNT2480" s="54"/>
      <c r="HNU2480" s="60"/>
      <c r="HNV2480" s="60"/>
      <c r="HNW2480" s="60"/>
      <c r="HNX2480" s="60"/>
      <c r="HNY2480" s="60"/>
      <c r="HNZ2480" s="61"/>
      <c r="HOA2480" s="54"/>
      <c r="HOB2480" s="54"/>
      <c r="HOC2480" s="60"/>
      <c r="HOD2480" s="60"/>
      <c r="HOE2480" s="60"/>
      <c r="HOF2480" s="60"/>
      <c r="HOG2480" s="60"/>
      <c r="HOH2480" s="61"/>
      <c r="HOI2480" s="54"/>
      <c r="HOJ2480" s="54"/>
      <c r="HOK2480" s="60"/>
      <c r="HOL2480" s="60"/>
      <c r="HOM2480" s="60"/>
      <c r="HON2480" s="60"/>
      <c r="HOO2480" s="60"/>
      <c r="HOP2480" s="61"/>
      <c r="HOQ2480" s="54"/>
      <c r="HOR2480" s="54"/>
      <c r="HOS2480" s="60"/>
      <c r="HOT2480" s="60"/>
      <c r="HOU2480" s="60"/>
      <c r="HOV2480" s="60"/>
      <c r="HOW2480" s="60"/>
      <c r="HOX2480" s="61"/>
      <c r="HOY2480" s="54"/>
      <c r="HOZ2480" s="54"/>
      <c r="HPA2480" s="60"/>
      <c r="HPB2480" s="60"/>
      <c r="HPC2480" s="60"/>
      <c r="HPD2480" s="60"/>
      <c r="HPE2480" s="60"/>
      <c r="HPF2480" s="61"/>
      <c r="HPG2480" s="54"/>
      <c r="HPH2480" s="54"/>
      <c r="HPI2480" s="60"/>
      <c r="HPJ2480" s="60"/>
      <c r="HPK2480" s="60"/>
      <c r="HPL2480" s="60"/>
      <c r="HPM2480" s="60"/>
      <c r="HPN2480" s="61"/>
      <c r="HPO2480" s="54"/>
      <c r="HPP2480" s="54"/>
      <c r="HPQ2480" s="60"/>
      <c r="HPR2480" s="60"/>
      <c r="HPS2480" s="60"/>
      <c r="HPT2480" s="60"/>
      <c r="HPU2480" s="60"/>
      <c r="HPV2480" s="61"/>
      <c r="HPW2480" s="54"/>
      <c r="HPX2480" s="54"/>
      <c r="HPY2480" s="60"/>
      <c r="HPZ2480" s="60"/>
      <c r="HQA2480" s="60"/>
      <c r="HQB2480" s="60"/>
      <c r="HQC2480" s="60"/>
      <c r="HQD2480" s="61"/>
      <c r="HQE2480" s="54"/>
      <c r="HQF2480" s="54"/>
      <c r="HQG2480" s="60"/>
      <c r="HQH2480" s="60"/>
      <c r="HQI2480" s="60"/>
      <c r="HQJ2480" s="60"/>
      <c r="HQK2480" s="60"/>
      <c r="HQL2480" s="61"/>
      <c r="HQM2480" s="54"/>
      <c r="HQN2480" s="54"/>
      <c r="HQO2480" s="60"/>
      <c r="HQP2480" s="60"/>
      <c r="HQQ2480" s="60"/>
      <c r="HQR2480" s="60"/>
      <c r="HQS2480" s="60"/>
      <c r="HQT2480" s="61"/>
      <c r="HQU2480" s="54"/>
      <c r="HQV2480" s="54"/>
      <c r="HQW2480" s="60"/>
      <c r="HQX2480" s="60"/>
      <c r="HQY2480" s="60"/>
      <c r="HQZ2480" s="60"/>
      <c r="HRA2480" s="60"/>
      <c r="HRB2480" s="61"/>
      <c r="HRC2480" s="54"/>
      <c r="HRD2480" s="54"/>
      <c r="HRE2480" s="60"/>
      <c r="HRF2480" s="60"/>
      <c r="HRG2480" s="60"/>
      <c r="HRH2480" s="60"/>
      <c r="HRI2480" s="60"/>
      <c r="HRJ2480" s="61"/>
      <c r="HRK2480" s="54"/>
      <c r="HRL2480" s="54"/>
      <c r="HRM2480" s="60"/>
      <c r="HRN2480" s="60"/>
      <c r="HRO2480" s="60"/>
      <c r="HRP2480" s="60"/>
      <c r="HRQ2480" s="60"/>
      <c r="HRR2480" s="61"/>
      <c r="HRS2480" s="54"/>
      <c r="HRT2480" s="54"/>
      <c r="HRU2480" s="60"/>
      <c r="HRV2480" s="60"/>
      <c r="HRW2480" s="60"/>
      <c r="HRX2480" s="60"/>
      <c r="HRY2480" s="60"/>
      <c r="HRZ2480" s="61"/>
      <c r="HSA2480" s="54"/>
      <c r="HSB2480" s="54"/>
      <c r="HSC2480" s="60"/>
      <c r="HSD2480" s="60"/>
      <c r="HSE2480" s="60"/>
      <c r="HSF2480" s="60"/>
      <c r="HSG2480" s="60"/>
      <c r="HSH2480" s="61"/>
      <c r="HSI2480" s="54"/>
      <c r="HSJ2480" s="54"/>
      <c r="HSK2480" s="60"/>
      <c r="HSL2480" s="60"/>
      <c r="HSM2480" s="60"/>
      <c r="HSN2480" s="60"/>
      <c r="HSO2480" s="60"/>
      <c r="HSP2480" s="61"/>
      <c r="HSQ2480" s="54"/>
      <c r="HSR2480" s="54"/>
      <c r="HSS2480" s="60"/>
      <c r="HST2480" s="60"/>
      <c r="HSU2480" s="60"/>
      <c r="HSV2480" s="60"/>
      <c r="HSW2480" s="60"/>
      <c r="HSX2480" s="61"/>
      <c r="HSY2480" s="54"/>
      <c r="HSZ2480" s="54"/>
      <c r="HTA2480" s="60"/>
      <c r="HTB2480" s="60"/>
      <c r="HTC2480" s="60"/>
      <c r="HTD2480" s="60"/>
      <c r="HTE2480" s="60"/>
      <c r="HTF2480" s="61"/>
      <c r="HTG2480" s="54"/>
      <c r="HTH2480" s="54"/>
      <c r="HTI2480" s="60"/>
      <c r="HTJ2480" s="60"/>
      <c r="HTK2480" s="60"/>
      <c r="HTL2480" s="60"/>
      <c r="HTM2480" s="60"/>
      <c r="HTN2480" s="61"/>
      <c r="HTO2480" s="54"/>
      <c r="HTP2480" s="54"/>
      <c r="HTQ2480" s="60"/>
      <c r="HTR2480" s="60"/>
      <c r="HTS2480" s="60"/>
      <c r="HTT2480" s="60"/>
      <c r="HTU2480" s="60"/>
      <c r="HTV2480" s="61"/>
      <c r="HTW2480" s="54"/>
      <c r="HTX2480" s="54"/>
      <c r="HTY2480" s="60"/>
      <c r="HTZ2480" s="60"/>
      <c r="HUA2480" s="60"/>
      <c r="HUB2480" s="60"/>
      <c r="HUC2480" s="60"/>
      <c r="HUD2480" s="61"/>
      <c r="HUE2480" s="54"/>
      <c r="HUF2480" s="54"/>
      <c r="HUG2480" s="60"/>
      <c r="HUH2480" s="60"/>
      <c r="HUI2480" s="60"/>
      <c r="HUJ2480" s="60"/>
      <c r="HUK2480" s="60"/>
      <c r="HUL2480" s="61"/>
      <c r="HUM2480" s="54"/>
      <c r="HUN2480" s="54"/>
      <c r="HUO2480" s="60"/>
      <c r="HUP2480" s="60"/>
      <c r="HUQ2480" s="60"/>
      <c r="HUR2480" s="60"/>
      <c r="HUS2480" s="60"/>
      <c r="HUT2480" s="61"/>
      <c r="HUU2480" s="54"/>
      <c r="HUV2480" s="54"/>
      <c r="HUW2480" s="60"/>
      <c r="HUX2480" s="60"/>
      <c r="HUY2480" s="60"/>
      <c r="HUZ2480" s="60"/>
      <c r="HVA2480" s="60"/>
      <c r="HVB2480" s="61"/>
      <c r="HVC2480" s="54"/>
      <c r="HVD2480" s="54"/>
      <c r="HVE2480" s="60"/>
      <c r="HVF2480" s="60"/>
      <c r="HVG2480" s="60"/>
      <c r="HVH2480" s="60"/>
      <c r="HVI2480" s="60"/>
      <c r="HVJ2480" s="61"/>
      <c r="HVK2480" s="54"/>
      <c r="HVL2480" s="54"/>
      <c r="HVM2480" s="60"/>
      <c r="HVN2480" s="60"/>
      <c r="HVO2480" s="60"/>
      <c r="HVP2480" s="60"/>
      <c r="HVQ2480" s="60"/>
      <c r="HVR2480" s="61"/>
      <c r="HVS2480" s="54"/>
      <c r="HVT2480" s="54"/>
      <c r="HVU2480" s="60"/>
      <c r="HVV2480" s="60"/>
      <c r="HVW2480" s="60"/>
      <c r="HVX2480" s="60"/>
      <c r="HVY2480" s="60"/>
      <c r="HVZ2480" s="61"/>
      <c r="HWA2480" s="54"/>
      <c r="HWB2480" s="54"/>
      <c r="HWC2480" s="60"/>
      <c r="HWD2480" s="60"/>
      <c r="HWE2480" s="60"/>
      <c r="HWF2480" s="60"/>
      <c r="HWG2480" s="60"/>
      <c r="HWH2480" s="61"/>
      <c r="HWI2480" s="54"/>
      <c r="HWJ2480" s="54"/>
      <c r="HWK2480" s="60"/>
      <c r="HWL2480" s="60"/>
      <c r="HWM2480" s="60"/>
      <c r="HWN2480" s="60"/>
      <c r="HWO2480" s="60"/>
      <c r="HWP2480" s="61"/>
      <c r="HWQ2480" s="54"/>
      <c r="HWR2480" s="54"/>
      <c r="HWS2480" s="60"/>
      <c r="HWT2480" s="60"/>
      <c r="HWU2480" s="60"/>
      <c r="HWV2480" s="60"/>
      <c r="HWW2480" s="60"/>
      <c r="HWX2480" s="61"/>
      <c r="HWY2480" s="54"/>
      <c r="HWZ2480" s="54"/>
      <c r="HXA2480" s="60"/>
      <c r="HXB2480" s="60"/>
      <c r="HXC2480" s="60"/>
      <c r="HXD2480" s="60"/>
      <c r="HXE2480" s="60"/>
      <c r="HXF2480" s="61"/>
      <c r="HXG2480" s="54"/>
      <c r="HXH2480" s="54"/>
      <c r="HXI2480" s="60"/>
      <c r="HXJ2480" s="60"/>
      <c r="HXK2480" s="60"/>
      <c r="HXL2480" s="60"/>
      <c r="HXM2480" s="60"/>
      <c r="HXN2480" s="61"/>
      <c r="HXO2480" s="54"/>
      <c r="HXP2480" s="54"/>
      <c r="HXQ2480" s="60"/>
      <c r="HXR2480" s="60"/>
      <c r="HXS2480" s="60"/>
      <c r="HXT2480" s="60"/>
      <c r="HXU2480" s="60"/>
      <c r="HXV2480" s="61"/>
      <c r="HXW2480" s="54"/>
      <c r="HXX2480" s="54"/>
      <c r="HXY2480" s="60"/>
      <c r="HXZ2480" s="60"/>
      <c r="HYA2480" s="60"/>
      <c r="HYB2480" s="60"/>
      <c r="HYC2480" s="60"/>
      <c r="HYD2480" s="61"/>
      <c r="HYE2480" s="54"/>
      <c r="HYF2480" s="54"/>
      <c r="HYG2480" s="60"/>
      <c r="HYH2480" s="60"/>
      <c r="HYI2480" s="60"/>
      <c r="HYJ2480" s="60"/>
      <c r="HYK2480" s="60"/>
      <c r="HYL2480" s="61"/>
      <c r="HYM2480" s="54"/>
      <c r="HYN2480" s="54"/>
      <c r="HYO2480" s="60"/>
      <c r="HYP2480" s="60"/>
      <c r="HYQ2480" s="60"/>
      <c r="HYR2480" s="60"/>
      <c r="HYS2480" s="60"/>
      <c r="HYT2480" s="61"/>
      <c r="HYU2480" s="54"/>
      <c r="HYV2480" s="54"/>
      <c r="HYW2480" s="60"/>
      <c r="HYX2480" s="60"/>
      <c r="HYY2480" s="60"/>
      <c r="HYZ2480" s="60"/>
      <c r="HZA2480" s="60"/>
      <c r="HZB2480" s="61"/>
      <c r="HZC2480" s="54"/>
      <c r="HZD2480" s="54"/>
      <c r="HZE2480" s="60"/>
      <c r="HZF2480" s="60"/>
      <c r="HZG2480" s="60"/>
      <c r="HZH2480" s="60"/>
      <c r="HZI2480" s="60"/>
      <c r="HZJ2480" s="61"/>
      <c r="HZK2480" s="54"/>
      <c r="HZL2480" s="54"/>
      <c r="HZM2480" s="60"/>
      <c r="HZN2480" s="60"/>
      <c r="HZO2480" s="60"/>
      <c r="HZP2480" s="60"/>
      <c r="HZQ2480" s="60"/>
      <c r="HZR2480" s="61"/>
      <c r="HZS2480" s="54"/>
      <c r="HZT2480" s="54"/>
      <c r="HZU2480" s="60"/>
      <c r="HZV2480" s="60"/>
      <c r="HZW2480" s="60"/>
      <c r="HZX2480" s="60"/>
      <c r="HZY2480" s="60"/>
      <c r="HZZ2480" s="61"/>
      <c r="IAA2480" s="54"/>
      <c r="IAB2480" s="54"/>
      <c r="IAC2480" s="60"/>
      <c r="IAD2480" s="60"/>
      <c r="IAE2480" s="60"/>
      <c r="IAF2480" s="60"/>
      <c r="IAG2480" s="60"/>
      <c r="IAH2480" s="61"/>
      <c r="IAI2480" s="54"/>
      <c r="IAJ2480" s="54"/>
      <c r="IAK2480" s="60"/>
      <c r="IAL2480" s="60"/>
      <c r="IAM2480" s="60"/>
      <c r="IAN2480" s="60"/>
      <c r="IAO2480" s="60"/>
      <c r="IAP2480" s="61"/>
      <c r="IAQ2480" s="54"/>
      <c r="IAR2480" s="54"/>
      <c r="IAS2480" s="60"/>
      <c r="IAT2480" s="60"/>
      <c r="IAU2480" s="60"/>
      <c r="IAV2480" s="60"/>
      <c r="IAW2480" s="60"/>
      <c r="IAX2480" s="61"/>
      <c r="IAY2480" s="54"/>
      <c r="IAZ2480" s="54"/>
      <c r="IBA2480" s="60"/>
      <c r="IBB2480" s="60"/>
      <c r="IBC2480" s="60"/>
      <c r="IBD2480" s="60"/>
      <c r="IBE2480" s="60"/>
      <c r="IBF2480" s="61"/>
      <c r="IBG2480" s="54"/>
      <c r="IBH2480" s="54"/>
      <c r="IBI2480" s="60"/>
      <c r="IBJ2480" s="60"/>
      <c r="IBK2480" s="60"/>
      <c r="IBL2480" s="60"/>
      <c r="IBM2480" s="60"/>
      <c r="IBN2480" s="61"/>
      <c r="IBO2480" s="54"/>
      <c r="IBP2480" s="54"/>
      <c r="IBQ2480" s="60"/>
      <c r="IBR2480" s="60"/>
      <c r="IBS2480" s="60"/>
      <c r="IBT2480" s="60"/>
      <c r="IBU2480" s="60"/>
      <c r="IBV2480" s="61"/>
      <c r="IBW2480" s="54"/>
      <c r="IBX2480" s="54"/>
      <c r="IBY2480" s="60"/>
      <c r="IBZ2480" s="60"/>
      <c r="ICA2480" s="60"/>
      <c r="ICB2480" s="60"/>
      <c r="ICC2480" s="60"/>
      <c r="ICD2480" s="61"/>
      <c r="ICE2480" s="54"/>
      <c r="ICF2480" s="54"/>
      <c r="ICG2480" s="60"/>
      <c r="ICH2480" s="60"/>
      <c r="ICI2480" s="60"/>
      <c r="ICJ2480" s="60"/>
      <c r="ICK2480" s="60"/>
      <c r="ICL2480" s="61"/>
      <c r="ICM2480" s="54"/>
      <c r="ICN2480" s="54"/>
      <c r="ICO2480" s="60"/>
      <c r="ICP2480" s="60"/>
      <c r="ICQ2480" s="60"/>
      <c r="ICR2480" s="60"/>
      <c r="ICS2480" s="60"/>
      <c r="ICT2480" s="61"/>
      <c r="ICU2480" s="54"/>
      <c r="ICV2480" s="54"/>
      <c r="ICW2480" s="60"/>
      <c r="ICX2480" s="60"/>
      <c r="ICY2480" s="60"/>
      <c r="ICZ2480" s="60"/>
      <c r="IDA2480" s="60"/>
      <c r="IDB2480" s="61"/>
      <c r="IDC2480" s="54"/>
      <c r="IDD2480" s="54"/>
      <c r="IDE2480" s="60"/>
      <c r="IDF2480" s="60"/>
      <c r="IDG2480" s="60"/>
      <c r="IDH2480" s="60"/>
      <c r="IDI2480" s="60"/>
      <c r="IDJ2480" s="61"/>
      <c r="IDK2480" s="54"/>
      <c r="IDL2480" s="54"/>
      <c r="IDM2480" s="60"/>
      <c r="IDN2480" s="60"/>
      <c r="IDO2480" s="60"/>
      <c r="IDP2480" s="60"/>
      <c r="IDQ2480" s="60"/>
      <c r="IDR2480" s="61"/>
      <c r="IDS2480" s="54"/>
      <c r="IDT2480" s="54"/>
      <c r="IDU2480" s="60"/>
      <c r="IDV2480" s="60"/>
      <c r="IDW2480" s="60"/>
      <c r="IDX2480" s="60"/>
      <c r="IDY2480" s="60"/>
      <c r="IDZ2480" s="61"/>
      <c r="IEA2480" s="54"/>
      <c r="IEB2480" s="54"/>
      <c r="IEC2480" s="60"/>
      <c r="IED2480" s="60"/>
      <c r="IEE2480" s="60"/>
      <c r="IEF2480" s="60"/>
      <c r="IEG2480" s="60"/>
      <c r="IEH2480" s="61"/>
      <c r="IEI2480" s="54"/>
      <c r="IEJ2480" s="54"/>
      <c r="IEK2480" s="60"/>
      <c r="IEL2480" s="60"/>
      <c r="IEM2480" s="60"/>
      <c r="IEN2480" s="60"/>
      <c r="IEO2480" s="60"/>
      <c r="IEP2480" s="61"/>
      <c r="IEQ2480" s="54"/>
      <c r="IER2480" s="54"/>
      <c r="IES2480" s="60"/>
      <c r="IET2480" s="60"/>
      <c r="IEU2480" s="60"/>
      <c r="IEV2480" s="60"/>
      <c r="IEW2480" s="60"/>
      <c r="IEX2480" s="61"/>
      <c r="IEY2480" s="54"/>
      <c r="IEZ2480" s="54"/>
      <c r="IFA2480" s="60"/>
      <c r="IFB2480" s="60"/>
      <c r="IFC2480" s="60"/>
      <c r="IFD2480" s="60"/>
      <c r="IFE2480" s="60"/>
      <c r="IFF2480" s="61"/>
      <c r="IFG2480" s="54"/>
      <c r="IFH2480" s="54"/>
      <c r="IFI2480" s="60"/>
      <c r="IFJ2480" s="60"/>
      <c r="IFK2480" s="60"/>
      <c r="IFL2480" s="60"/>
      <c r="IFM2480" s="60"/>
      <c r="IFN2480" s="61"/>
      <c r="IFO2480" s="54"/>
      <c r="IFP2480" s="54"/>
      <c r="IFQ2480" s="60"/>
      <c r="IFR2480" s="60"/>
      <c r="IFS2480" s="60"/>
      <c r="IFT2480" s="60"/>
      <c r="IFU2480" s="60"/>
      <c r="IFV2480" s="61"/>
      <c r="IFW2480" s="54"/>
      <c r="IFX2480" s="54"/>
      <c r="IFY2480" s="60"/>
      <c r="IFZ2480" s="60"/>
      <c r="IGA2480" s="60"/>
      <c r="IGB2480" s="60"/>
      <c r="IGC2480" s="60"/>
      <c r="IGD2480" s="61"/>
      <c r="IGE2480" s="54"/>
      <c r="IGF2480" s="54"/>
      <c r="IGG2480" s="60"/>
      <c r="IGH2480" s="60"/>
      <c r="IGI2480" s="60"/>
      <c r="IGJ2480" s="60"/>
      <c r="IGK2480" s="60"/>
      <c r="IGL2480" s="61"/>
      <c r="IGM2480" s="54"/>
      <c r="IGN2480" s="54"/>
      <c r="IGO2480" s="60"/>
      <c r="IGP2480" s="60"/>
      <c r="IGQ2480" s="60"/>
      <c r="IGR2480" s="60"/>
      <c r="IGS2480" s="60"/>
      <c r="IGT2480" s="61"/>
      <c r="IGU2480" s="54"/>
      <c r="IGV2480" s="54"/>
      <c r="IGW2480" s="60"/>
      <c r="IGX2480" s="60"/>
      <c r="IGY2480" s="60"/>
      <c r="IGZ2480" s="60"/>
      <c r="IHA2480" s="60"/>
      <c r="IHB2480" s="61"/>
      <c r="IHC2480" s="54"/>
      <c r="IHD2480" s="54"/>
      <c r="IHE2480" s="60"/>
      <c r="IHF2480" s="60"/>
      <c r="IHG2480" s="60"/>
      <c r="IHH2480" s="60"/>
      <c r="IHI2480" s="60"/>
      <c r="IHJ2480" s="61"/>
      <c r="IHK2480" s="54"/>
      <c r="IHL2480" s="54"/>
      <c r="IHM2480" s="60"/>
      <c r="IHN2480" s="60"/>
      <c r="IHO2480" s="60"/>
      <c r="IHP2480" s="60"/>
      <c r="IHQ2480" s="60"/>
      <c r="IHR2480" s="61"/>
      <c r="IHS2480" s="54"/>
      <c r="IHT2480" s="54"/>
      <c r="IHU2480" s="60"/>
      <c r="IHV2480" s="60"/>
      <c r="IHW2480" s="60"/>
      <c r="IHX2480" s="60"/>
      <c r="IHY2480" s="60"/>
      <c r="IHZ2480" s="61"/>
      <c r="IIA2480" s="54"/>
      <c r="IIB2480" s="54"/>
      <c r="IIC2480" s="60"/>
      <c r="IID2480" s="60"/>
      <c r="IIE2480" s="60"/>
      <c r="IIF2480" s="60"/>
      <c r="IIG2480" s="60"/>
      <c r="IIH2480" s="61"/>
      <c r="III2480" s="54"/>
      <c r="IIJ2480" s="54"/>
      <c r="IIK2480" s="60"/>
      <c r="IIL2480" s="60"/>
      <c r="IIM2480" s="60"/>
      <c r="IIN2480" s="60"/>
      <c r="IIO2480" s="60"/>
      <c r="IIP2480" s="61"/>
      <c r="IIQ2480" s="54"/>
      <c r="IIR2480" s="54"/>
      <c r="IIS2480" s="60"/>
      <c r="IIT2480" s="60"/>
      <c r="IIU2480" s="60"/>
      <c r="IIV2480" s="60"/>
      <c r="IIW2480" s="60"/>
      <c r="IIX2480" s="61"/>
      <c r="IIY2480" s="54"/>
      <c r="IIZ2480" s="54"/>
      <c r="IJA2480" s="60"/>
      <c r="IJB2480" s="60"/>
      <c r="IJC2480" s="60"/>
      <c r="IJD2480" s="60"/>
      <c r="IJE2480" s="60"/>
      <c r="IJF2480" s="61"/>
      <c r="IJG2480" s="54"/>
      <c r="IJH2480" s="54"/>
      <c r="IJI2480" s="60"/>
      <c r="IJJ2480" s="60"/>
      <c r="IJK2480" s="60"/>
      <c r="IJL2480" s="60"/>
      <c r="IJM2480" s="60"/>
      <c r="IJN2480" s="61"/>
      <c r="IJO2480" s="54"/>
      <c r="IJP2480" s="54"/>
      <c r="IJQ2480" s="60"/>
      <c r="IJR2480" s="60"/>
      <c r="IJS2480" s="60"/>
      <c r="IJT2480" s="60"/>
      <c r="IJU2480" s="60"/>
      <c r="IJV2480" s="61"/>
      <c r="IJW2480" s="54"/>
      <c r="IJX2480" s="54"/>
      <c r="IJY2480" s="60"/>
      <c r="IJZ2480" s="60"/>
      <c r="IKA2480" s="60"/>
      <c r="IKB2480" s="60"/>
      <c r="IKC2480" s="60"/>
      <c r="IKD2480" s="61"/>
      <c r="IKE2480" s="54"/>
      <c r="IKF2480" s="54"/>
      <c r="IKG2480" s="60"/>
      <c r="IKH2480" s="60"/>
      <c r="IKI2480" s="60"/>
      <c r="IKJ2480" s="60"/>
      <c r="IKK2480" s="60"/>
      <c r="IKL2480" s="61"/>
      <c r="IKM2480" s="54"/>
      <c r="IKN2480" s="54"/>
      <c r="IKO2480" s="60"/>
      <c r="IKP2480" s="60"/>
      <c r="IKQ2480" s="60"/>
      <c r="IKR2480" s="60"/>
      <c r="IKS2480" s="60"/>
      <c r="IKT2480" s="61"/>
      <c r="IKU2480" s="54"/>
      <c r="IKV2480" s="54"/>
      <c r="IKW2480" s="60"/>
      <c r="IKX2480" s="60"/>
      <c r="IKY2480" s="60"/>
      <c r="IKZ2480" s="60"/>
      <c r="ILA2480" s="60"/>
      <c r="ILB2480" s="61"/>
      <c r="ILC2480" s="54"/>
      <c r="ILD2480" s="54"/>
      <c r="ILE2480" s="60"/>
      <c r="ILF2480" s="60"/>
      <c r="ILG2480" s="60"/>
      <c r="ILH2480" s="60"/>
      <c r="ILI2480" s="60"/>
      <c r="ILJ2480" s="61"/>
      <c r="ILK2480" s="54"/>
      <c r="ILL2480" s="54"/>
      <c r="ILM2480" s="60"/>
      <c r="ILN2480" s="60"/>
      <c r="ILO2480" s="60"/>
      <c r="ILP2480" s="60"/>
      <c r="ILQ2480" s="60"/>
      <c r="ILR2480" s="61"/>
      <c r="ILS2480" s="54"/>
      <c r="ILT2480" s="54"/>
      <c r="ILU2480" s="60"/>
      <c r="ILV2480" s="60"/>
      <c r="ILW2480" s="60"/>
      <c r="ILX2480" s="60"/>
      <c r="ILY2480" s="60"/>
      <c r="ILZ2480" s="61"/>
      <c r="IMA2480" s="54"/>
      <c r="IMB2480" s="54"/>
      <c r="IMC2480" s="60"/>
      <c r="IMD2480" s="60"/>
      <c r="IME2480" s="60"/>
      <c r="IMF2480" s="60"/>
      <c r="IMG2480" s="60"/>
      <c r="IMH2480" s="61"/>
      <c r="IMI2480" s="54"/>
      <c r="IMJ2480" s="54"/>
      <c r="IMK2480" s="60"/>
      <c r="IML2480" s="60"/>
      <c r="IMM2480" s="60"/>
      <c r="IMN2480" s="60"/>
      <c r="IMO2480" s="60"/>
      <c r="IMP2480" s="61"/>
      <c r="IMQ2480" s="54"/>
      <c r="IMR2480" s="54"/>
      <c r="IMS2480" s="60"/>
      <c r="IMT2480" s="60"/>
      <c r="IMU2480" s="60"/>
      <c r="IMV2480" s="60"/>
      <c r="IMW2480" s="60"/>
      <c r="IMX2480" s="61"/>
      <c r="IMY2480" s="54"/>
      <c r="IMZ2480" s="54"/>
      <c r="INA2480" s="60"/>
      <c r="INB2480" s="60"/>
      <c r="INC2480" s="60"/>
      <c r="IND2480" s="60"/>
      <c r="INE2480" s="60"/>
      <c r="INF2480" s="61"/>
      <c r="ING2480" s="54"/>
      <c r="INH2480" s="54"/>
      <c r="INI2480" s="60"/>
      <c r="INJ2480" s="60"/>
      <c r="INK2480" s="60"/>
      <c r="INL2480" s="60"/>
      <c r="INM2480" s="60"/>
      <c r="INN2480" s="61"/>
      <c r="INO2480" s="54"/>
      <c r="INP2480" s="54"/>
      <c r="INQ2480" s="60"/>
      <c r="INR2480" s="60"/>
      <c r="INS2480" s="60"/>
      <c r="INT2480" s="60"/>
      <c r="INU2480" s="60"/>
      <c r="INV2480" s="61"/>
      <c r="INW2480" s="54"/>
      <c r="INX2480" s="54"/>
      <c r="INY2480" s="60"/>
      <c r="INZ2480" s="60"/>
      <c r="IOA2480" s="60"/>
      <c r="IOB2480" s="60"/>
      <c r="IOC2480" s="60"/>
      <c r="IOD2480" s="61"/>
      <c r="IOE2480" s="54"/>
      <c r="IOF2480" s="54"/>
      <c r="IOG2480" s="60"/>
      <c r="IOH2480" s="60"/>
      <c r="IOI2480" s="60"/>
      <c r="IOJ2480" s="60"/>
      <c r="IOK2480" s="60"/>
      <c r="IOL2480" s="61"/>
      <c r="IOM2480" s="54"/>
      <c r="ION2480" s="54"/>
      <c r="IOO2480" s="60"/>
      <c r="IOP2480" s="60"/>
      <c r="IOQ2480" s="60"/>
      <c r="IOR2480" s="60"/>
      <c r="IOS2480" s="60"/>
      <c r="IOT2480" s="61"/>
      <c r="IOU2480" s="54"/>
      <c r="IOV2480" s="54"/>
      <c r="IOW2480" s="60"/>
      <c r="IOX2480" s="60"/>
      <c r="IOY2480" s="60"/>
      <c r="IOZ2480" s="60"/>
      <c r="IPA2480" s="60"/>
      <c r="IPB2480" s="61"/>
      <c r="IPC2480" s="54"/>
      <c r="IPD2480" s="54"/>
      <c r="IPE2480" s="60"/>
      <c r="IPF2480" s="60"/>
      <c r="IPG2480" s="60"/>
      <c r="IPH2480" s="60"/>
      <c r="IPI2480" s="60"/>
      <c r="IPJ2480" s="61"/>
      <c r="IPK2480" s="54"/>
      <c r="IPL2480" s="54"/>
      <c r="IPM2480" s="60"/>
      <c r="IPN2480" s="60"/>
      <c r="IPO2480" s="60"/>
      <c r="IPP2480" s="60"/>
      <c r="IPQ2480" s="60"/>
      <c r="IPR2480" s="61"/>
      <c r="IPS2480" s="54"/>
      <c r="IPT2480" s="54"/>
      <c r="IPU2480" s="60"/>
      <c r="IPV2480" s="60"/>
      <c r="IPW2480" s="60"/>
      <c r="IPX2480" s="60"/>
      <c r="IPY2480" s="60"/>
      <c r="IPZ2480" s="61"/>
      <c r="IQA2480" s="54"/>
      <c r="IQB2480" s="54"/>
      <c r="IQC2480" s="60"/>
      <c r="IQD2480" s="60"/>
      <c r="IQE2480" s="60"/>
      <c r="IQF2480" s="60"/>
      <c r="IQG2480" s="60"/>
      <c r="IQH2480" s="61"/>
      <c r="IQI2480" s="54"/>
      <c r="IQJ2480" s="54"/>
      <c r="IQK2480" s="60"/>
      <c r="IQL2480" s="60"/>
      <c r="IQM2480" s="60"/>
      <c r="IQN2480" s="60"/>
      <c r="IQO2480" s="60"/>
      <c r="IQP2480" s="61"/>
      <c r="IQQ2480" s="54"/>
      <c r="IQR2480" s="54"/>
      <c r="IQS2480" s="60"/>
      <c r="IQT2480" s="60"/>
      <c r="IQU2480" s="60"/>
      <c r="IQV2480" s="60"/>
      <c r="IQW2480" s="60"/>
      <c r="IQX2480" s="61"/>
      <c r="IQY2480" s="54"/>
      <c r="IQZ2480" s="54"/>
      <c r="IRA2480" s="60"/>
      <c r="IRB2480" s="60"/>
      <c r="IRC2480" s="60"/>
      <c r="IRD2480" s="60"/>
      <c r="IRE2480" s="60"/>
      <c r="IRF2480" s="61"/>
      <c r="IRG2480" s="54"/>
      <c r="IRH2480" s="54"/>
      <c r="IRI2480" s="60"/>
      <c r="IRJ2480" s="60"/>
      <c r="IRK2480" s="60"/>
      <c r="IRL2480" s="60"/>
      <c r="IRM2480" s="60"/>
      <c r="IRN2480" s="61"/>
      <c r="IRO2480" s="54"/>
      <c r="IRP2480" s="54"/>
      <c r="IRQ2480" s="60"/>
      <c r="IRR2480" s="60"/>
      <c r="IRS2480" s="60"/>
      <c r="IRT2480" s="60"/>
      <c r="IRU2480" s="60"/>
      <c r="IRV2480" s="61"/>
      <c r="IRW2480" s="54"/>
      <c r="IRX2480" s="54"/>
      <c r="IRY2480" s="60"/>
      <c r="IRZ2480" s="60"/>
      <c r="ISA2480" s="60"/>
      <c r="ISB2480" s="60"/>
      <c r="ISC2480" s="60"/>
      <c r="ISD2480" s="61"/>
      <c r="ISE2480" s="54"/>
      <c r="ISF2480" s="54"/>
      <c r="ISG2480" s="60"/>
      <c r="ISH2480" s="60"/>
      <c r="ISI2480" s="60"/>
      <c r="ISJ2480" s="60"/>
      <c r="ISK2480" s="60"/>
      <c r="ISL2480" s="61"/>
      <c r="ISM2480" s="54"/>
      <c r="ISN2480" s="54"/>
      <c r="ISO2480" s="60"/>
      <c r="ISP2480" s="60"/>
      <c r="ISQ2480" s="60"/>
      <c r="ISR2480" s="60"/>
      <c r="ISS2480" s="60"/>
      <c r="IST2480" s="61"/>
      <c r="ISU2480" s="54"/>
      <c r="ISV2480" s="54"/>
      <c r="ISW2480" s="60"/>
      <c r="ISX2480" s="60"/>
      <c r="ISY2480" s="60"/>
      <c r="ISZ2480" s="60"/>
      <c r="ITA2480" s="60"/>
      <c r="ITB2480" s="61"/>
      <c r="ITC2480" s="54"/>
      <c r="ITD2480" s="54"/>
      <c r="ITE2480" s="60"/>
      <c r="ITF2480" s="60"/>
      <c r="ITG2480" s="60"/>
      <c r="ITH2480" s="60"/>
      <c r="ITI2480" s="60"/>
      <c r="ITJ2480" s="61"/>
      <c r="ITK2480" s="54"/>
      <c r="ITL2480" s="54"/>
      <c r="ITM2480" s="60"/>
      <c r="ITN2480" s="60"/>
      <c r="ITO2480" s="60"/>
      <c r="ITP2480" s="60"/>
      <c r="ITQ2480" s="60"/>
      <c r="ITR2480" s="61"/>
      <c r="ITS2480" s="54"/>
      <c r="ITT2480" s="54"/>
      <c r="ITU2480" s="60"/>
      <c r="ITV2480" s="60"/>
      <c r="ITW2480" s="60"/>
      <c r="ITX2480" s="60"/>
      <c r="ITY2480" s="60"/>
      <c r="ITZ2480" s="61"/>
      <c r="IUA2480" s="54"/>
      <c r="IUB2480" s="54"/>
      <c r="IUC2480" s="60"/>
      <c r="IUD2480" s="60"/>
      <c r="IUE2480" s="60"/>
      <c r="IUF2480" s="60"/>
      <c r="IUG2480" s="60"/>
      <c r="IUH2480" s="61"/>
      <c r="IUI2480" s="54"/>
      <c r="IUJ2480" s="54"/>
      <c r="IUK2480" s="60"/>
      <c r="IUL2480" s="60"/>
      <c r="IUM2480" s="60"/>
      <c r="IUN2480" s="60"/>
      <c r="IUO2480" s="60"/>
      <c r="IUP2480" s="61"/>
      <c r="IUQ2480" s="54"/>
      <c r="IUR2480" s="54"/>
      <c r="IUS2480" s="60"/>
      <c r="IUT2480" s="60"/>
      <c r="IUU2480" s="60"/>
      <c r="IUV2480" s="60"/>
      <c r="IUW2480" s="60"/>
      <c r="IUX2480" s="61"/>
      <c r="IUY2480" s="54"/>
      <c r="IUZ2480" s="54"/>
      <c r="IVA2480" s="60"/>
      <c r="IVB2480" s="60"/>
      <c r="IVC2480" s="60"/>
      <c r="IVD2480" s="60"/>
      <c r="IVE2480" s="60"/>
      <c r="IVF2480" s="61"/>
      <c r="IVG2480" s="54"/>
      <c r="IVH2480" s="54"/>
      <c r="IVI2480" s="60"/>
      <c r="IVJ2480" s="60"/>
      <c r="IVK2480" s="60"/>
      <c r="IVL2480" s="60"/>
      <c r="IVM2480" s="60"/>
      <c r="IVN2480" s="61"/>
      <c r="IVO2480" s="54"/>
      <c r="IVP2480" s="54"/>
      <c r="IVQ2480" s="60"/>
      <c r="IVR2480" s="60"/>
      <c r="IVS2480" s="60"/>
      <c r="IVT2480" s="60"/>
      <c r="IVU2480" s="60"/>
      <c r="IVV2480" s="61"/>
      <c r="IVW2480" s="54"/>
      <c r="IVX2480" s="54"/>
      <c r="IVY2480" s="60"/>
      <c r="IVZ2480" s="60"/>
      <c r="IWA2480" s="60"/>
      <c r="IWB2480" s="60"/>
      <c r="IWC2480" s="60"/>
      <c r="IWD2480" s="61"/>
      <c r="IWE2480" s="54"/>
      <c r="IWF2480" s="54"/>
      <c r="IWG2480" s="60"/>
      <c r="IWH2480" s="60"/>
      <c r="IWI2480" s="60"/>
      <c r="IWJ2480" s="60"/>
      <c r="IWK2480" s="60"/>
      <c r="IWL2480" s="61"/>
      <c r="IWM2480" s="54"/>
      <c r="IWN2480" s="54"/>
      <c r="IWO2480" s="60"/>
      <c r="IWP2480" s="60"/>
      <c r="IWQ2480" s="60"/>
      <c r="IWR2480" s="60"/>
      <c r="IWS2480" s="60"/>
      <c r="IWT2480" s="61"/>
      <c r="IWU2480" s="54"/>
      <c r="IWV2480" s="54"/>
      <c r="IWW2480" s="60"/>
      <c r="IWX2480" s="60"/>
      <c r="IWY2480" s="60"/>
      <c r="IWZ2480" s="60"/>
      <c r="IXA2480" s="60"/>
      <c r="IXB2480" s="61"/>
      <c r="IXC2480" s="54"/>
      <c r="IXD2480" s="54"/>
      <c r="IXE2480" s="60"/>
      <c r="IXF2480" s="60"/>
      <c r="IXG2480" s="60"/>
      <c r="IXH2480" s="60"/>
      <c r="IXI2480" s="60"/>
      <c r="IXJ2480" s="61"/>
      <c r="IXK2480" s="54"/>
      <c r="IXL2480" s="54"/>
      <c r="IXM2480" s="60"/>
      <c r="IXN2480" s="60"/>
      <c r="IXO2480" s="60"/>
      <c r="IXP2480" s="60"/>
      <c r="IXQ2480" s="60"/>
      <c r="IXR2480" s="61"/>
      <c r="IXS2480" s="54"/>
      <c r="IXT2480" s="54"/>
      <c r="IXU2480" s="60"/>
      <c r="IXV2480" s="60"/>
      <c r="IXW2480" s="60"/>
      <c r="IXX2480" s="60"/>
      <c r="IXY2480" s="60"/>
      <c r="IXZ2480" s="61"/>
      <c r="IYA2480" s="54"/>
      <c r="IYB2480" s="54"/>
      <c r="IYC2480" s="60"/>
      <c r="IYD2480" s="60"/>
      <c r="IYE2480" s="60"/>
      <c r="IYF2480" s="60"/>
      <c r="IYG2480" s="60"/>
      <c r="IYH2480" s="61"/>
      <c r="IYI2480" s="54"/>
      <c r="IYJ2480" s="54"/>
      <c r="IYK2480" s="60"/>
      <c r="IYL2480" s="60"/>
      <c r="IYM2480" s="60"/>
      <c r="IYN2480" s="60"/>
      <c r="IYO2480" s="60"/>
      <c r="IYP2480" s="61"/>
      <c r="IYQ2480" s="54"/>
      <c r="IYR2480" s="54"/>
      <c r="IYS2480" s="60"/>
      <c r="IYT2480" s="60"/>
      <c r="IYU2480" s="60"/>
      <c r="IYV2480" s="60"/>
      <c r="IYW2480" s="60"/>
      <c r="IYX2480" s="61"/>
      <c r="IYY2480" s="54"/>
      <c r="IYZ2480" s="54"/>
      <c r="IZA2480" s="60"/>
      <c r="IZB2480" s="60"/>
      <c r="IZC2480" s="60"/>
      <c r="IZD2480" s="60"/>
      <c r="IZE2480" s="60"/>
      <c r="IZF2480" s="61"/>
      <c r="IZG2480" s="54"/>
      <c r="IZH2480" s="54"/>
      <c r="IZI2480" s="60"/>
      <c r="IZJ2480" s="60"/>
      <c r="IZK2480" s="60"/>
      <c r="IZL2480" s="60"/>
      <c r="IZM2480" s="60"/>
      <c r="IZN2480" s="61"/>
      <c r="IZO2480" s="54"/>
      <c r="IZP2480" s="54"/>
      <c r="IZQ2480" s="60"/>
      <c r="IZR2480" s="60"/>
      <c r="IZS2480" s="60"/>
      <c r="IZT2480" s="60"/>
      <c r="IZU2480" s="60"/>
      <c r="IZV2480" s="61"/>
      <c r="IZW2480" s="54"/>
      <c r="IZX2480" s="54"/>
      <c r="IZY2480" s="60"/>
      <c r="IZZ2480" s="60"/>
      <c r="JAA2480" s="60"/>
      <c r="JAB2480" s="60"/>
      <c r="JAC2480" s="60"/>
      <c r="JAD2480" s="61"/>
      <c r="JAE2480" s="54"/>
      <c r="JAF2480" s="54"/>
      <c r="JAG2480" s="60"/>
      <c r="JAH2480" s="60"/>
      <c r="JAI2480" s="60"/>
      <c r="JAJ2480" s="60"/>
      <c r="JAK2480" s="60"/>
      <c r="JAL2480" s="61"/>
      <c r="JAM2480" s="54"/>
      <c r="JAN2480" s="54"/>
      <c r="JAO2480" s="60"/>
      <c r="JAP2480" s="60"/>
      <c r="JAQ2480" s="60"/>
      <c r="JAR2480" s="60"/>
      <c r="JAS2480" s="60"/>
      <c r="JAT2480" s="61"/>
      <c r="JAU2480" s="54"/>
      <c r="JAV2480" s="54"/>
      <c r="JAW2480" s="60"/>
      <c r="JAX2480" s="60"/>
      <c r="JAY2480" s="60"/>
      <c r="JAZ2480" s="60"/>
      <c r="JBA2480" s="60"/>
      <c r="JBB2480" s="61"/>
      <c r="JBC2480" s="54"/>
      <c r="JBD2480" s="54"/>
      <c r="JBE2480" s="60"/>
      <c r="JBF2480" s="60"/>
      <c r="JBG2480" s="60"/>
      <c r="JBH2480" s="60"/>
      <c r="JBI2480" s="60"/>
      <c r="JBJ2480" s="61"/>
      <c r="JBK2480" s="54"/>
      <c r="JBL2480" s="54"/>
      <c r="JBM2480" s="60"/>
      <c r="JBN2480" s="60"/>
      <c r="JBO2480" s="60"/>
      <c r="JBP2480" s="60"/>
      <c r="JBQ2480" s="60"/>
      <c r="JBR2480" s="61"/>
      <c r="JBS2480" s="54"/>
      <c r="JBT2480" s="54"/>
      <c r="JBU2480" s="60"/>
      <c r="JBV2480" s="60"/>
      <c r="JBW2480" s="60"/>
      <c r="JBX2480" s="60"/>
      <c r="JBY2480" s="60"/>
      <c r="JBZ2480" s="61"/>
      <c r="JCA2480" s="54"/>
      <c r="JCB2480" s="54"/>
      <c r="JCC2480" s="60"/>
      <c r="JCD2480" s="60"/>
      <c r="JCE2480" s="60"/>
      <c r="JCF2480" s="60"/>
      <c r="JCG2480" s="60"/>
      <c r="JCH2480" s="61"/>
      <c r="JCI2480" s="54"/>
      <c r="JCJ2480" s="54"/>
      <c r="JCK2480" s="60"/>
      <c r="JCL2480" s="60"/>
      <c r="JCM2480" s="60"/>
      <c r="JCN2480" s="60"/>
      <c r="JCO2480" s="60"/>
      <c r="JCP2480" s="61"/>
      <c r="JCQ2480" s="54"/>
      <c r="JCR2480" s="54"/>
      <c r="JCS2480" s="60"/>
      <c r="JCT2480" s="60"/>
      <c r="JCU2480" s="60"/>
      <c r="JCV2480" s="60"/>
      <c r="JCW2480" s="60"/>
      <c r="JCX2480" s="61"/>
      <c r="JCY2480" s="54"/>
      <c r="JCZ2480" s="54"/>
      <c r="JDA2480" s="60"/>
      <c r="JDB2480" s="60"/>
      <c r="JDC2480" s="60"/>
      <c r="JDD2480" s="60"/>
      <c r="JDE2480" s="60"/>
      <c r="JDF2480" s="61"/>
      <c r="JDG2480" s="54"/>
      <c r="JDH2480" s="54"/>
      <c r="JDI2480" s="60"/>
      <c r="JDJ2480" s="60"/>
      <c r="JDK2480" s="60"/>
      <c r="JDL2480" s="60"/>
      <c r="JDM2480" s="60"/>
      <c r="JDN2480" s="61"/>
      <c r="JDO2480" s="54"/>
      <c r="JDP2480" s="54"/>
      <c r="JDQ2480" s="60"/>
      <c r="JDR2480" s="60"/>
      <c r="JDS2480" s="60"/>
      <c r="JDT2480" s="60"/>
      <c r="JDU2480" s="60"/>
      <c r="JDV2480" s="61"/>
      <c r="JDW2480" s="54"/>
      <c r="JDX2480" s="54"/>
      <c r="JDY2480" s="60"/>
      <c r="JDZ2480" s="60"/>
      <c r="JEA2480" s="60"/>
      <c r="JEB2480" s="60"/>
      <c r="JEC2480" s="60"/>
      <c r="JED2480" s="61"/>
      <c r="JEE2480" s="54"/>
      <c r="JEF2480" s="54"/>
      <c r="JEG2480" s="60"/>
      <c r="JEH2480" s="60"/>
      <c r="JEI2480" s="60"/>
      <c r="JEJ2480" s="60"/>
      <c r="JEK2480" s="60"/>
      <c r="JEL2480" s="61"/>
      <c r="JEM2480" s="54"/>
      <c r="JEN2480" s="54"/>
      <c r="JEO2480" s="60"/>
      <c r="JEP2480" s="60"/>
      <c r="JEQ2480" s="60"/>
      <c r="JER2480" s="60"/>
      <c r="JES2480" s="60"/>
      <c r="JET2480" s="61"/>
      <c r="JEU2480" s="54"/>
      <c r="JEV2480" s="54"/>
      <c r="JEW2480" s="60"/>
      <c r="JEX2480" s="60"/>
      <c r="JEY2480" s="60"/>
      <c r="JEZ2480" s="60"/>
      <c r="JFA2480" s="60"/>
      <c r="JFB2480" s="61"/>
      <c r="JFC2480" s="54"/>
      <c r="JFD2480" s="54"/>
      <c r="JFE2480" s="60"/>
      <c r="JFF2480" s="60"/>
      <c r="JFG2480" s="60"/>
      <c r="JFH2480" s="60"/>
      <c r="JFI2480" s="60"/>
      <c r="JFJ2480" s="61"/>
      <c r="JFK2480" s="54"/>
      <c r="JFL2480" s="54"/>
      <c r="JFM2480" s="60"/>
      <c r="JFN2480" s="60"/>
      <c r="JFO2480" s="60"/>
      <c r="JFP2480" s="60"/>
      <c r="JFQ2480" s="60"/>
      <c r="JFR2480" s="61"/>
      <c r="JFS2480" s="54"/>
      <c r="JFT2480" s="54"/>
      <c r="JFU2480" s="60"/>
      <c r="JFV2480" s="60"/>
      <c r="JFW2480" s="60"/>
      <c r="JFX2480" s="60"/>
      <c r="JFY2480" s="60"/>
      <c r="JFZ2480" s="61"/>
      <c r="JGA2480" s="54"/>
      <c r="JGB2480" s="54"/>
      <c r="JGC2480" s="60"/>
      <c r="JGD2480" s="60"/>
      <c r="JGE2480" s="60"/>
      <c r="JGF2480" s="60"/>
      <c r="JGG2480" s="60"/>
      <c r="JGH2480" s="61"/>
      <c r="JGI2480" s="54"/>
      <c r="JGJ2480" s="54"/>
      <c r="JGK2480" s="60"/>
      <c r="JGL2480" s="60"/>
      <c r="JGM2480" s="60"/>
      <c r="JGN2480" s="60"/>
      <c r="JGO2480" s="60"/>
      <c r="JGP2480" s="61"/>
      <c r="JGQ2480" s="54"/>
      <c r="JGR2480" s="54"/>
      <c r="JGS2480" s="60"/>
      <c r="JGT2480" s="60"/>
      <c r="JGU2480" s="60"/>
      <c r="JGV2480" s="60"/>
      <c r="JGW2480" s="60"/>
      <c r="JGX2480" s="61"/>
      <c r="JGY2480" s="54"/>
      <c r="JGZ2480" s="54"/>
      <c r="JHA2480" s="60"/>
      <c r="JHB2480" s="60"/>
      <c r="JHC2480" s="60"/>
      <c r="JHD2480" s="60"/>
      <c r="JHE2480" s="60"/>
      <c r="JHF2480" s="61"/>
      <c r="JHG2480" s="54"/>
      <c r="JHH2480" s="54"/>
      <c r="JHI2480" s="60"/>
      <c r="JHJ2480" s="60"/>
      <c r="JHK2480" s="60"/>
      <c r="JHL2480" s="60"/>
      <c r="JHM2480" s="60"/>
      <c r="JHN2480" s="61"/>
      <c r="JHO2480" s="54"/>
      <c r="JHP2480" s="54"/>
      <c r="JHQ2480" s="60"/>
      <c r="JHR2480" s="60"/>
      <c r="JHS2480" s="60"/>
      <c r="JHT2480" s="60"/>
      <c r="JHU2480" s="60"/>
      <c r="JHV2480" s="61"/>
      <c r="JHW2480" s="54"/>
      <c r="JHX2480" s="54"/>
      <c r="JHY2480" s="60"/>
      <c r="JHZ2480" s="60"/>
      <c r="JIA2480" s="60"/>
      <c r="JIB2480" s="60"/>
      <c r="JIC2480" s="60"/>
      <c r="JID2480" s="61"/>
      <c r="JIE2480" s="54"/>
      <c r="JIF2480" s="54"/>
      <c r="JIG2480" s="60"/>
      <c r="JIH2480" s="60"/>
      <c r="JII2480" s="60"/>
      <c r="JIJ2480" s="60"/>
      <c r="JIK2480" s="60"/>
      <c r="JIL2480" s="61"/>
      <c r="JIM2480" s="54"/>
      <c r="JIN2480" s="54"/>
      <c r="JIO2480" s="60"/>
      <c r="JIP2480" s="60"/>
      <c r="JIQ2480" s="60"/>
      <c r="JIR2480" s="60"/>
      <c r="JIS2480" s="60"/>
      <c r="JIT2480" s="61"/>
      <c r="JIU2480" s="54"/>
      <c r="JIV2480" s="54"/>
      <c r="JIW2480" s="60"/>
      <c r="JIX2480" s="60"/>
      <c r="JIY2480" s="60"/>
      <c r="JIZ2480" s="60"/>
      <c r="JJA2480" s="60"/>
      <c r="JJB2480" s="61"/>
      <c r="JJC2480" s="54"/>
      <c r="JJD2480" s="54"/>
      <c r="JJE2480" s="60"/>
      <c r="JJF2480" s="60"/>
      <c r="JJG2480" s="60"/>
      <c r="JJH2480" s="60"/>
      <c r="JJI2480" s="60"/>
      <c r="JJJ2480" s="61"/>
      <c r="JJK2480" s="54"/>
      <c r="JJL2480" s="54"/>
      <c r="JJM2480" s="60"/>
      <c r="JJN2480" s="60"/>
      <c r="JJO2480" s="60"/>
      <c r="JJP2480" s="60"/>
      <c r="JJQ2480" s="60"/>
      <c r="JJR2480" s="61"/>
      <c r="JJS2480" s="54"/>
      <c r="JJT2480" s="54"/>
      <c r="JJU2480" s="60"/>
      <c r="JJV2480" s="60"/>
      <c r="JJW2480" s="60"/>
      <c r="JJX2480" s="60"/>
      <c r="JJY2480" s="60"/>
      <c r="JJZ2480" s="61"/>
      <c r="JKA2480" s="54"/>
      <c r="JKB2480" s="54"/>
      <c r="JKC2480" s="60"/>
      <c r="JKD2480" s="60"/>
      <c r="JKE2480" s="60"/>
      <c r="JKF2480" s="60"/>
      <c r="JKG2480" s="60"/>
      <c r="JKH2480" s="61"/>
      <c r="JKI2480" s="54"/>
      <c r="JKJ2480" s="54"/>
      <c r="JKK2480" s="60"/>
      <c r="JKL2480" s="60"/>
      <c r="JKM2480" s="60"/>
      <c r="JKN2480" s="60"/>
      <c r="JKO2480" s="60"/>
      <c r="JKP2480" s="61"/>
      <c r="JKQ2480" s="54"/>
      <c r="JKR2480" s="54"/>
      <c r="JKS2480" s="60"/>
      <c r="JKT2480" s="60"/>
      <c r="JKU2480" s="60"/>
      <c r="JKV2480" s="60"/>
      <c r="JKW2480" s="60"/>
      <c r="JKX2480" s="61"/>
      <c r="JKY2480" s="54"/>
      <c r="JKZ2480" s="54"/>
      <c r="JLA2480" s="60"/>
      <c r="JLB2480" s="60"/>
      <c r="JLC2480" s="60"/>
      <c r="JLD2480" s="60"/>
      <c r="JLE2480" s="60"/>
      <c r="JLF2480" s="61"/>
      <c r="JLG2480" s="54"/>
      <c r="JLH2480" s="54"/>
      <c r="JLI2480" s="60"/>
      <c r="JLJ2480" s="60"/>
      <c r="JLK2480" s="60"/>
      <c r="JLL2480" s="60"/>
      <c r="JLM2480" s="60"/>
      <c r="JLN2480" s="61"/>
      <c r="JLO2480" s="54"/>
      <c r="JLP2480" s="54"/>
      <c r="JLQ2480" s="60"/>
      <c r="JLR2480" s="60"/>
      <c r="JLS2480" s="60"/>
      <c r="JLT2480" s="60"/>
      <c r="JLU2480" s="60"/>
      <c r="JLV2480" s="61"/>
      <c r="JLW2480" s="54"/>
      <c r="JLX2480" s="54"/>
      <c r="JLY2480" s="60"/>
      <c r="JLZ2480" s="60"/>
      <c r="JMA2480" s="60"/>
      <c r="JMB2480" s="60"/>
      <c r="JMC2480" s="60"/>
      <c r="JMD2480" s="61"/>
      <c r="JME2480" s="54"/>
      <c r="JMF2480" s="54"/>
      <c r="JMG2480" s="60"/>
      <c r="JMH2480" s="60"/>
      <c r="JMI2480" s="60"/>
      <c r="JMJ2480" s="60"/>
      <c r="JMK2480" s="60"/>
      <c r="JML2480" s="61"/>
      <c r="JMM2480" s="54"/>
      <c r="JMN2480" s="54"/>
      <c r="JMO2480" s="60"/>
      <c r="JMP2480" s="60"/>
      <c r="JMQ2480" s="60"/>
      <c r="JMR2480" s="60"/>
      <c r="JMS2480" s="60"/>
      <c r="JMT2480" s="61"/>
      <c r="JMU2480" s="54"/>
      <c r="JMV2480" s="54"/>
      <c r="JMW2480" s="60"/>
      <c r="JMX2480" s="60"/>
      <c r="JMY2480" s="60"/>
      <c r="JMZ2480" s="60"/>
      <c r="JNA2480" s="60"/>
      <c r="JNB2480" s="61"/>
      <c r="JNC2480" s="54"/>
      <c r="JND2480" s="54"/>
      <c r="JNE2480" s="60"/>
      <c r="JNF2480" s="60"/>
      <c r="JNG2480" s="60"/>
      <c r="JNH2480" s="60"/>
      <c r="JNI2480" s="60"/>
      <c r="JNJ2480" s="61"/>
      <c r="JNK2480" s="54"/>
      <c r="JNL2480" s="54"/>
      <c r="JNM2480" s="60"/>
      <c r="JNN2480" s="60"/>
      <c r="JNO2480" s="60"/>
      <c r="JNP2480" s="60"/>
      <c r="JNQ2480" s="60"/>
      <c r="JNR2480" s="61"/>
      <c r="JNS2480" s="54"/>
      <c r="JNT2480" s="54"/>
      <c r="JNU2480" s="60"/>
      <c r="JNV2480" s="60"/>
      <c r="JNW2480" s="60"/>
      <c r="JNX2480" s="60"/>
      <c r="JNY2480" s="60"/>
      <c r="JNZ2480" s="61"/>
      <c r="JOA2480" s="54"/>
      <c r="JOB2480" s="54"/>
      <c r="JOC2480" s="60"/>
      <c r="JOD2480" s="60"/>
      <c r="JOE2480" s="60"/>
      <c r="JOF2480" s="60"/>
      <c r="JOG2480" s="60"/>
      <c r="JOH2480" s="61"/>
      <c r="JOI2480" s="54"/>
      <c r="JOJ2480" s="54"/>
      <c r="JOK2480" s="60"/>
      <c r="JOL2480" s="60"/>
      <c r="JOM2480" s="60"/>
      <c r="JON2480" s="60"/>
      <c r="JOO2480" s="60"/>
      <c r="JOP2480" s="61"/>
      <c r="JOQ2480" s="54"/>
      <c r="JOR2480" s="54"/>
      <c r="JOS2480" s="60"/>
      <c r="JOT2480" s="60"/>
      <c r="JOU2480" s="60"/>
      <c r="JOV2480" s="60"/>
      <c r="JOW2480" s="60"/>
      <c r="JOX2480" s="61"/>
      <c r="JOY2480" s="54"/>
      <c r="JOZ2480" s="54"/>
      <c r="JPA2480" s="60"/>
      <c r="JPB2480" s="60"/>
      <c r="JPC2480" s="60"/>
      <c r="JPD2480" s="60"/>
      <c r="JPE2480" s="60"/>
      <c r="JPF2480" s="61"/>
      <c r="JPG2480" s="54"/>
      <c r="JPH2480" s="54"/>
      <c r="JPI2480" s="60"/>
      <c r="JPJ2480" s="60"/>
      <c r="JPK2480" s="60"/>
      <c r="JPL2480" s="60"/>
      <c r="JPM2480" s="60"/>
      <c r="JPN2480" s="61"/>
      <c r="JPO2480" s="54"/>
      <c r="JPP2480" s="54"/>
      <c r="JPQ2480" s="60"/>
      <c r="JPR2480" s="60"/>
      <c r="JPS2480" s="60"/>
      <c r="JPT2480" s="60"/>
      <c r="JPU2480" s="60"/>
      <c r="JPV2480" s="61"/>
      <c r="JPW2480" s="54"/>
      <c r="JPX2480" s="54"/>
      <c r="JPY2480" s="60"/>
      <c r="JPZ2480" s="60"/>
      <c r="JQA2480" s="60"/>
      <c r="JQB2480" s="60"/>
      <c r="JQC2480" s="60"/>
      <c r="JQD2480" s="61"/>
      <c r="JQE2480" s="54"/>
      <c r="JQF2480" s="54"/>
      <c r="JQG2480" s="60"/>
      <c r="JQH2480" s="60"/>
      <c r="JQI2480" s="60"/>
      <c r="JQJ2480" s="60"/>
      <c r="JQK2480" s="60"/>
      <c r="JQL2480" s="61"/>
      <c r="JQM2480" s="54"/>
      <c r="JQN2480" s="54"/>
      <c r="JQO2480" s="60"/>
      <c r="JQP2480" s="60"/>
      <c r="JQQ2480" s="60"/>
      <c r="JQR2480" s="60"/>
      <c r="JQS2480" s="60"/>
      <c r="JQT2480" s="61"/>
      <c r="JQU2480" s="54"/>
      <c r="JQV2480" s="54"/>
      <c r="JQW2480" s="60"/>
      <c r="JQX2480" s="60"/>
      <c r="JQY2480" s="60"/>
      <c r="JQZ2480" s="60"/>
      <c r="JRA2480" s="60"/>
      <c r="JRB2480" s="61"/>
      <c r="JRC2480" s="54"/>
      <c r="JRD2480" s="54"/>
      <c r="JRE2480" s="60"/>
      <c r="JRF2480" s="60"/>
      <c r="JRG2480" s="60"/>
      <c r="JRH2480" s="60"/>
      <c r="JRI2480" s="60"/>
      <c r="JRJ2480" s="61"/>
      <c r="JRK2480" s="54"/>
      <c r="JRL2480" s="54"/>
      <c r="JRM2480" s="60"/>
      <c r="JRN2480" s="60"/>
      <c r="JRO2480" s="60"/>
      <c r="JRP2480" s="60"/>
      <c r="JRQ2480" s="60"/>
      <c r="JRR2480" s="61"/>
      <c r="JRS2480" s="54"/>
      <c r="JRT2480" s="54"/>
      <c r="JRU2480" s="60"/>
      <c r="JRV2480" s="60"/>
      <c r="JRW2480" s="60"/>
      <c r="JRX2480" s="60"/>
      <c r="JRY2480" s="60"/>
      <c r="JRZ2480" s="61"/>
      <c r="JSA2480" s="54"/>
      <c r="JSB2480" s="54"/>
      <c r="JSC2480" s="60"/>
      <c r="JSD2480" s="60"/>
      <c r="JSE2480" s="60"/>
      <c r="JSF2480" s="60"/>
      <c r="JSG2480" s="60"/>
      <c r="JSH2480" s="61"/>
      <c r="JSI2480" s="54"/>
      <c r="JSJ2480" s="54"/>
      <c r="JSK2480" s="60"/>
      <c r="JSL2480" s="60"/>
      <c r="JSM2480" s="60"/>
      <c r="JSN2480" s="60"/>
      <c r="JSO2480" s="60"/>
      <c r="JSP2480" s="61"/>
      <c r="JSQ2480" s="54"/>
      <c r="JSR2480" s="54"/>
      <c r="JSS2480" s="60"/>
      <c r="JST2480" s="60"/>
      <c r="JSU2480" s="60"/>
      <c r="JSV2480" s="60"/>
      <c r="JSW2480" s="60"/>
      <c r="JSX2480" s="61"/>
      <c r="JSY2480" s="54"/>
      <c r="JSZ2480" s="54"/>
      <c r="JTA2480" s="60"/>
      <c r="JTB2480" s="60"/>
      <c r="JTC2480" s="60"/>
      <c r="JTD2480" s="60"/>
      <c r="JTE2480" s="60"/>
      <c r="JTF2480" s="61"/>
      <c r="JTG2480" s="54"/>
      <c r="JTH2480" s="54"/>
      <c r="JTI2480" s="60"/>
      <c r="JTJ2480" s="60"/>
      <c r="JTK2480" s="60"/>
      <c r="JTL2480" s="60"/>
      <c r="JTM2480" s="60"/>
      <c r="JTN2480" s="61"/>
      <c r="JTO2480" s="54"/>
      <c r="JTP2480" s="54"/>
      <c r="JTQ2480" s="60"/>
      <c r="JTR2480" s="60"/>
      <c r="JTS2480" s="60"/>
      <c r="JTT2480" s="60"/>
      <c r="JTU2480" s="60"/>
      <c r="JTV2480" s="61"/>
      <c r="JTW2480" s="54"/>
      <c r="JTX2480" s="54"/>
      <c r="JTY2480" s="60"/>
      <c r="JTZ2480" s="60"/>
      <c r="JUA2480" s="60"/>
      <c r="JUB2480" s="60"/>
      <c r="JUC2480" s="60"/>
      <c r="JUD2480" s="61"/>
      <c r="JUE2480" s="54"/>
      <c r="JUF2480" s="54"/>
      <c r="JUG2480" s="60"/>
      <c r="JUH2480" s="60"/>
      <c r="JUI2480" s="60"/>
      <c r="JUJ2480" s="60"/>
      <c r="JUK2480" s="60"/>
      <c r="JUL2480" s="61"/>
      <c r="JUM2480" s="54"/>
      <c r="JUN2480" s="54"/>
      <c r="JUO2480" s="60"/>
      <c r="JUP2480" s="60"/>
      <c r="JUQ2480" s="60"/>
      <c r="JUR2480" s="60"/>
      <c r="JUS2480" s="60"/>
      <c r="JUT2480" s="61"/>
      <c r="JUU2480" s="54"/>
      <c r="JUV2480" s="54"/>
      <c r="JUW2480" s="60"/>
      <c r="JUX2480" s="60"/>
      <c r="JUY2480" s="60"/>
      <c r="JUZ2480" s="60"/>
      <c r="JVA2480" s="60"/>
      <c r="JVB2480" s="61"/>
      <c r="JVC2480" s="54"/>
      <c r="JVD2480" s="54"/>
      <c r="JVE2480" s="60"/>
      <c r="JVF2480" s="60"/>
      <c r="JVG2480" s="60"/>
      <c r="JVH2480" s="60"/>
      <c r="JVI2480" s="60"/>
      <c r="JVJ2480" s="61"/>
      <c r="JVK2480" s="54"/>
      <c r="JVL2480" s="54"/>
      <c r="JVM2480" s="60"/>
      <c r="JVN2480" s="60"/>
      <c r="JVO2480" s="60"/>
      <c r="JVP2480" s="60"/>
      <c r="JVQ2480" s="60"/>
      <c r="JVR2480" s="61"/>
      <c r="JVS2480" s="54"/>
      <c r="JVT2480" s="54"/>
      <c r="JVU2480" s="60"/>
      <c r="JVV2480" s="60"/>
      <c r="JVW2480" s="60"/>
      <c r="JVX2480" s="60"/>
      <c r="JVY2480" s="60"/>
      <c r="JVZ2480" s="61"/>
      <c r="JWA2480" s="54"/>
      <c r="JWB2480" s="54"/>
      <c r="JWC2480" s="60"/>
      <c r="JWD2480" s="60"/>
      <c r="JWE2480" s="60"/>
      <c r="JWF2480" s="60"/>
      <c r="JWG2480" s="60"/>
      <c r="JWH2480" s="61"/>
      <c r="JWI2480" s="54"/>
      <c r="JWJ2480" s="54"/>
      <c r="JWK2480" s="60"/>
      <c r="JWL2480" s="60"/>
      <c r="JWM2480" s="60"/>
      <c r="JWN2480" s="60"/>
      <c r="JWO2480" s="60"/>
      <c r="JWP2480" s="61"/>
      <c r="JWQ2480" s="54"/>
      <c r="JWR2480" s="54"/>
      <c r="JWS2480" s="60"/>
      <c r="JWT2480" s="60"/>
      <c r="JWU2480" s="60"/>
      <c r="JWV2480" s="60"/>
      <c r="JWW2480" s="60"/>
      <c r="JWX2480" s="61"/>
      <c r="JWY2480" s="54"/>
      <c r="JWZ2480" s="54"/>
      <c r="JXA2480" s="60"/>
      <c r="JXB2480" s="60"/>
      <c r="JXC2480" s="60"/>
      <c r="JXD2480" s="60"/>
      <c r="JXE2480" s="60"/>
      <c r="JXF2480" s="61"/>
      <c r="JXG2480" s="54"/>
      <c r="JXH2480" s="54"/>
      <c r="JXI2480" s="60"/>
      <c r="JXJ2480" s="60"/>
      <c r="JXK2480" s="60"/>
      <c r="JXL2480" s="60"/>
      <c r="JXM2480" s="60"/>
      <c r="JXN2480" s="61"/>
      <c r="JXO2480" s="54"/>
      <c r="JXP2480" s="54"/>
      <c r="JXQ2480" s="60"/>
      <c r="JXR2480" s="60"/>
      <c r="JXS2480" s="60"/>
      <c r="JXT2480" s="60"/>
      <c r="JXU2480" s="60"/>
      <c r="JXV2480" s="61"/>
      <c r="JXW2480" s="54"/>
      <c r="JXX2480" s="54"/>
      <c r="JXY2480" s="60"/>
      <c r="JXZ2480" s="60"/>
      <c r="JYA2480" s="60"/>
      <c r="JYB2480" s="60"/>
      <c r="JYC2480" s="60"/>
      <c r="JYD2480" s="61"/>
      <c r="JYE2480" s="54"/>
      <c r="JYF2480" s="54"/>
      <c r="JYG2480" s="60"/>
      <c r="JYH2480" s="60"/>
      <c r="JYI2480" s="60"/>
      <c r="JYJ2480" s="60"/>
      <c r="JYK2480" s="60"/>
      <c r="JYL2480" s="61"/>
      <c r="JYM2480" s="54"/>
      <c r="JYN2480" s="54"/>
      <c r="JYO2480" s="60"/>
      <c r="JYP2480" s="60"/>
      <c r="JYQ2480" s="60"/>
      <c r="JYR2480" s="60"/>
      <c r="JYS2480" s="60"/>
      <c r="JYT2480" s="61"/>
      <c r="JYU2480" s="54"/>
      <c r="JYV2480" s="54"/>
      <c r="JYW2480" s="60"/>
      <c r="JYX2480" s="60"/>
      <c r="JYY2480" s="60"/>
      <c r="JYZ2480" s="60"/>
      <c r="JZA2480" s="60"/>
      <c r="JZB2480" s="61"/>
      <c r="JZC2480" s="54"/>
      <c r="JZD2480" s="54"/>
      <c r="JZE2480" s="60"/>
      <c r="JZF2480" s="60"/>
      <c r="JZG2480" s="60"/>
      <c r="JZH2480" s="60"/>
      <c r="JZI2480" s="60"/>
      <c r="JZJ2480" s="61"/>
      <c r="JZK2480" s="54"/>
      <c r="JZL2480" s="54"/>
      <c r="JZM2480" s="60"/>
      <c r="JZN2480" s="60"/>
      <c r="JZO2480" s="60"/>
      <c r="JZP2480" s="60"/>
      <c r="JZQ2480" s="60"/>
      <c r="JZR2480" s="61"/>
      <c r="JZS2480" s="54"/>
      <c r="JZT2480" s="54"/>
      <c r="JZU2480" s="60"/>
      <c r="JZV2480" s="60"/>
      <c r="JZW2480" s="60"/>
      <c r="JZX2480" s="60"/>
      <c r="JZY2480" s="60"/>
      <c r="JZZ2480" s="61"/>
      <c r="KAA2480" s="54"/>
      <c r="KAB2480" s="54"/>
      <c r="KAC2480" s="60"/>
      <c r="KAD2480" s="60"/>
      <c r="KAE2480" s="60"/>
      <c r="KAF2480" s="60"/>
      <c r="KAG2480" s="60"/>
      <c r="KAH2480" s="61"/>
      <c r="KAI2480" s="54"/>
      <c r="KAJ2480" s="54"/>
      <c r="KAK2480" s="60"/>
      <c r="KAL2480" s="60"/>
      <c r="KAM2480" s="60"/>
      <c r="KAN2480" s="60"/>
      <c r="KAO2480" s="60"/>
      <c r="KAP2480" s="61"/>
      <c r="KAQ2480" s="54"/>
      <c r="KAR2480" s="54"/>
      <c r="KAS2480" s="60"/>
      <c r="KAT2480" s="60"/>
      <c r="KAU2480" s="60"/>
      <c r="KAV2480" s="60"/>
      <c r="KAW2480" s="60"/>
      <c r="KAX2480" s="61"/>
      <c r="KAY2480" s="54"/>
      <c r="KAZ2480" s="54"/>
      <c r="KBA2480" s="60"/>
      <c r="KBB2480" s="60"/>
      <c r="KBC2480" s="60"/>
      <c r="KBD2480" s="60"/>
      <c r="KBE2480" s="60"/>
      <c r="KBF2480" s="61"/>
      <c r="KBG2480" s="54"/>
      <c r="KBH2480" s="54"/>
      <c r="KBI2480" s="60"/>
      <c r="KBJ2480" s="60"/>
      <c r="KBK2480" s="60"/>
      <c r="KBL2480" s="60"/>
      <c r="KBM2480" s="60"/>
      <c r="KBN2480" s="61"/>
      <c r="KBO2480" s="54"/>
      <c r="KBP2480" s="54"/>
      <c r="KBQ2480" s="60"/>
      <c r="KBR2480" s="60"/>
      <c r="KBS2480" s="60"/>
      <c r="KBT2480" s="60"/>
      <c r="KBU2480" s="60"/>
      <c r="KBV2480" s="61"/>
      <c r="KBW2480" s="54"/>
      <c r="KBX2480" s="54"/>
      <c r="KBY2480" s="60"/>
      <c r="KBZ2480" s="60"/>
      <c r="KCA2480" s="60"/>
      <c r="KCB2480" s="60"/>
      <c r="KCC2480" s="60"/>
      <c r="KCD2480" s="61"/>
      <c r="KCE2480" s="54"/>
      <c r="KCF2480" s="54"/>
      <c r="KCG2480" s="60"/>
      <c r="KCH2480" s="60"/>
      <c r="KCI2480" s="60"/>
      <c r="KCJ2480" s="60"/>
      <c r="KCK2480" s="60"/>
      <c r="KCL2480" s="61"/>
      <c r="KCM2480" s="54"/>
      <c r="KCN2480" s="54"/>
      <c r="KCO2480" s="60"/>
      <c r="KCP2480" s="60"/>
      <c r="KCQ2480" s="60"/>
      <c r="KCR2480" s="60"/>
      <c r="KCS2480" s="60"/>
      <c r="KCT2480" s="61"/>
      <c r="KCU2480" s="54"/>
      <c r="KCV2480" s="54"/>
      <c r="KCW2480" s="60"/>
      <c r="KCX2480" s="60"/>
      <c r="KCY2480" s="60"/>
      <c r="KCZ2480" s="60"/>
      <c r="KDA2480" s="60"/>
      <c r="KDB2480" s="61"/>
      <c r="KDC2480" s="54"/>
      <c r="KDD2480" s="54"/>
      <c r="KDE2480" s="60"/>
      <c r="KDF2480" s="60"/>
      <c r="KDG2480" s="60"/>
      <c r="KDH2480" s="60"/>
      <c r="KDI2480" s="60"/>
      <c r="KDJ2480" s="61"/>
      <c r="KDK2480" s="54"/>
      <c r="KDL2480" s="54"/>
      <c r="KDM2480" s="60"/>
      <c r="KDN2480" s="60"/>
      <c r="KDO2480" s="60"/>
      <c r="KDP2480" s="60"/>
      <c r="KDQ2480" s="60"/>
      <c r="KDR2480" s="61"/>
      <c r="KDS2480" s="54"/>
      <c r="KDT2480" s="54"/>
      <c r="KDU2480" s="60"/>
      <c r="KDV2480" s="60"/>
      <c r="KDW2480" s="60"/>
      <c r="KDX2480" s="60"/>
      <c r="KDY2480" s="60"/>
      <c r="KDZ2480" s="61"/>
      <c r="KEA2480" s="54"/>
      <c r="KEB2480" s="54"/>
      <c r="KEC2480" s="60"/>
      <c r="KED2480" s="60"/>
      <c r="KEE2480" s="60"/>
      <c r="KEF2480" s="60"/>
      <c r="KEG2480" s="60"/>
      <c r="KEH2480" s="61"/>
      <c r="KEI2480" s="54"/>
      <c r="KEJ2480" s="54"/>
      <c r="KEK2480" s="60"/>
      <c r="KEL2480" s="60"/>
      <c r="KEM2480" s="60"/>
      <c r="KEN2480" s="60"/>
      <c r="KEO2480" s="60"/>
      <c r="KEP2480" s="61"/>
      <c r="KEQ2480" s="54"/>
      <c r="KER2480" s="54"/>
      <c r="KES2480" s="60"/>
      <c r="KET2480" s="60"/>
      <c r="KEU2480" s="60"/>
      <c r="KEV2480" s="60"/>
      <c r="KEW2480" s="60"/>
      <c r="KEX2480" s="61"/>
      <c r="KEY2480" s="54"/>
      <c r="KEZ2480" s="54"/>
      <c r="KFA2480" s="60"/>
      <c r="KFB2480" s="60"/>
      <c r="KFC2480" s="60"/>
      <c r="KFD2480" s="60"/>
      <c r="KFE2480" s="60"/>
      <c r="KFF2480" s="61"/>
      <c r="KFG2480" s="54"/>
      <c r="KFH2480" s="54"/>
      <c r="KFI2480" s="60"/>
      <c r="KFJ2480" s="60"/>
      <c r="KFK2480" s="60"/>
      <c r="KFL2480" s="60"/>
      <c r="KFM2480" s="60"/>
      <c r="KFN2480" s="61"/>
      <c r="KFO2480" s="54"/>
      <c r="KFP2480" s="54"/>
      <c r="KFQ2480" s="60"/>
      <c r="KFR2480" s="60"/>
      <c r="KFS2480" s="60"/>
      <c r="KFT2480" s="60"/>
      <c r="KFU2480" s="60"/>
      <c r="KFV2480" s="61"/>
      <c r="KFW2480" s="54"/>
      <c r="KFX2480" s="54"/>
      <c r="KFY2480" s="60"/>
      <c r="KFZ2480" s="60"/>
      <c r="KGA2480" s="60"/>
      <c r="KGB2480" s="60"/>
      <c r="KGC2480" s="60"/>
      <c r="KGD2480" s="61"/>
      <c r="KGE2480" s="54"/>
      <c r="KGF2480" s="54"/>
      <c r="KGG2480" s="60"/>
      <c r="KGH2480" s="60"/>
      <c r="KGI2480" s="60"/>
      <c r="KGJ2480" s="60"/>
      <c r="KGK2480" s="60"/>
      <c r="KGL2480" s="61"/>
      <c r="KGM2480" s="54"/>
      <c r="KGN2480" s="54"/>
      <c r="KGO2480" s="60"/>
      <c r="KGP2480" s="60"/>
      <c r="KGQ2480" s="60"/>
      <c r="KGR2480" s="60"/>
      <c r="KGS2480" s="60"/>
      <c r="KGT2480" s="61"/>
      <c r="KGU2480" s="54"/>
      <c r="KGV2480" s="54"/>
      <c r="KGW2480" s="60"/>
      <c r="KGX2480" s="60"/>
      <c r="KGY2480" s="60"/>
      <c r="KGZ2480" s="60"/>
      <c r="KHA2480" s="60"/>
      <c r="KHB2480" s="61"/>
      <c r="KHC2480" s="54"/>
      <c r="KHD2480" s="54"/>
      <c r="KHE2480" s="60"/>
      <c r="KHF2480" s="60"/>
      <c r="KHG2480" s="60"/>
      <c r="KHH2480" s="60"/>
      <c r="KHI2480" s="60"/>
      <c r="KHJ2480" s="61"/>
      <c r="KHK2480" s="54"/>
      <c r="KHL2480" s="54"/>
      <c r="KHM2480" s="60"/>
      <c r="KHN2480" s="60"/>
      <c r="KHO2480" s="60"/>
      <c r="KHP2480" s="60"/>
      <c r="KHQ2480" s="60"/>
      <c r="KHR2480" s="61"/>
      <c r="KHS2480" s="54"/>
      <c r="KHT2480" s="54"/>
      <c r="KHU2480" s="60"/>
      <c r="KHV2480" s="60"/>
      <c r="KHW2480" s="60"/>
      <c r="KHX2480" s="60"/>
      <c r="KHY2480" s="60"/>
      <c r="KHZ2480" s="61"/>
      <c r="KIA2480" s="54"/>
      <c r="KIB2480" s="54"/>
      <c r="KIC2480" s="60"/>
      <c r="KID2480" s="60"/>
      <c r="KIE2480" s="60"/>
      <c r="KIF2480" s="60"/>
      <c r="KIG2480" s="60"/>
      <c r="KIH2480" s="61"/>
      <c r="KII2480" s="54"/>
      <c r="KIJ2480" s="54"/>
      <c r="KIK2480" s="60"/>
      <c r="KIL2480" s="60"/>
      <c r="KIM2480" s="60"/>
      <c r="KIN2480" s="60"/>
      <c r="KIO2480" s="60"/>
      <c r="KIP2480" s="61"/>
      <c r="KIQ2480" s="54"/>
      <c r="KIR2480" s="54"/>
      <c r="KIS2480" s="60"/>
      <c r="KIT2480" s="60"/>
      <c r="KIU2480" s="60"/>
      <c r="KIV2480" s="60"/>
      <c r="KIW2480" s="60"/>
      <c r="KIX2480" s="61"/>
      <c r="KIY2480" s="54"/>
      <c r="KIZ2480" s="54"/>
      <c r="KJA2480" s="60"/>
      <c r="KJB2480" s="60"/>
      <c r="KJC2480" s="60"/>
      <c r="KJD2480" s="60"/>
      <c r="KJE2480" s="60"/>
      <c r="KJF2480" s="61"/>
      <c r="KJG2480" s="54"/>
      <c r="KJH2480" s="54"/>
      <c r="KJI2480" s="60"/>
      <c r="KJJ2480" s="60"/>
      <c r="KJK2480" s="60"/>
      <c r="KJL2480" s="60"/>
      <c r="KJM2480" s="60"/>
      <c r="KJN2480" s="61"/>
      <c r="KJO2480" s="54"/>
      <c r="KJP2480" s="54"/>
      <c r="KJQ2480" s="60"/>
      <c r="KJR2480" s="60"/>
      <c r="KJS2480" s="60"/>
      <c r="KJT2480" s="60"/>
      <c r="KJU2480" s="60"/>
      <c r="KJV2480" s="61"/>
      <c r="KJW2480" s="54"/>
      <c r="KJX2480" s="54"/>
      <c r="KJY2480" s="60"/>
      <c r="KJZ2480" s="60"/>
      <c r="KKA2480" s="60"/>
      <c r="KKB2480" s="60"/>
      <c r="KKC2480" s="60"/>
      <c r="KKD2480" s="61"/>
      <c r="KKE2480" s="54"/>
      <c r="KKF2480" s="54"/>
      <c r="KKG2480" s="60"/>
      <c r="KKH2480" s="60"/>
      <c r="KKI2480" s="60"/>
      <c r="KKJ2480" s="60"/>
      <c r="KKK2480" s="60"/>
      <c r="KKL2480" s="61"/>
      <c r="KKM2480" s="54"/>
      <c r="KKN2480" s="54"/>
      <c r="KKO2480" s="60"/>
      <c r="KKP2480" s="60"/>
      <c r="KKQ2480" s="60"/>
      <c r="KKR2480" s="60"/>
      <c r="KKS2480" s="60"/>
      <c r="KKT2480" s="61"/>
      <c r="KKU2480" s="54"/>
      <c r="KKV2480" s="54"/>
      <c r="KKW2480" s="60"/>
      <c r="KKX2480" s="60"/>
      <c r="KKY2480" s="60"/>
      <c r="KKZ2480" s="60"/>
      <c r="KLA2480" s="60"/>
      <c r="KLB2480" s="61"/>
      <c r="KLC2480" s="54"/>
      <c r="KLD2480" s="54"/>
      <c r="KLE2480" s="60"/>
      <c r="KLF2480" s="60"/>
      <c r="KLG2480" s="60"/>
      <c r="KLH2480" s="60"/>
      <c r="KLI2480" s="60"/>
      <c r="KLJ2480" s="61"/>
      <c r="KLK2480" s="54"/>
      <c r="KLL2480" s="54"/>
      <c r="KLM2480" s="60"/>
      <c r="KLN2480" s="60"/>
      <c r="KLO2480" s="60"/>
      <c r="KLP2480" s="60"/>
      <c r="KLQ2480" s="60"/>
      <c r="KLR2480" s="61"/>
      <c r="KLS2480" s="54"/>
      <c r="KLT2480" s="54"/>
      <c r="KLU2480" s="60"/>
      <c r="KLV2480" s="60"/>
      <c r="KLW2480" s="60"/>
      <c r="KLX2480" s="60"/>
      <c r="KLY2480" s="60"/>
      <c r="KLZ2480" s="61"/>
      <c r="KMA2480" s="54"/>
      <c r="KMB2480" s="54"/>
      <c r="KMC2480" s="60"/>
      <c r="KMD2480" s="60"/>
      <c r="KME2480" s="60"/>
      <c r="KMF2480" s="60"/>
      <c r="KMG2480" s="60"/>
      <c r="KMH2480" s="61"/>
      <c r="KMI2480" s="54"/>
      <c r="KMJ2480" s="54"/>
      <c r="KMK2480" s="60"/>
      <c r="KML2480" s="60"/>
      <c r="KMM2480" s="60"/>
      <c r="KMN2480" s="60"/>
      <c r="KMO2480" s="60"/>
      <c r="KMP2480" s="61"/>
      <c r="KMQ2480" s="54"/>
      <c r="KMR2480" s="54"/>
      <c r="KMS2480" s="60"/>
      <c r="KMT2480" s="60"/>
      <c r="KMU2480" s="60"/>
      <c r="KMV2480" s="60"/>
      <c r="KMW2480" s="60"/>
      <c r="KMX2480" s="61"/>
      <c r="KMY2480" s="54"/>
      <c r="KMZ2480" s="54"/>
      <c r="KNA2480" s="60"/>
      <c r="KNB2480" s="60"/>
      <c r="KNC2480" s="60"/>
      <c r="KND2480" s="60"/>
      <c r="KNE2480" s="60"/>
      <c r="KNF2480" s="61"/>
      <c r="KNG2480" s="54"/>
      <c r="KNH2480" s="54"/>
      <c r="KNI2480" s="60"/>
      <c r="KNJ2480" s="60"/>
      <c r="KNK2480" s="60"/>
      <c r="KNL2480" s="60"/>
      <c r="KNM2480" s="60"/>
      <c r="KNN2480" s="61"/>
      <c r="KNO2480" s="54"/>
      <c r="KNP2480" s="54"/>
      <c r="KNQ2480" s="60"/>
      <c r="KNR2480" s="60"/>
      <c r="KNS2480" s="60"/>
      <c r="KNT2480" s="60"/>
      <c r="KNU2480" s="60"/>
      <c r="KNV2480" s="61"/>
      <c r="KNW2480" s="54"/>
      <c r="KNX2480" s="54"/>
      <c r="KNY2480" s="60"/>
      <c r="KNZ2480" s="60"/>
      <c r="KOA2480" s="60"/>
      <c r="KOB2480" s="60"/>
      <c r="KOC2480" s="60"/>
      <c r="KOD2480" s="61"/>
      <c r="KOE2480" s="54"/>
      <c r="KOF2480" s="54"/>
      <c r="KOG2480" s="60"/>
      <c r="KOH2480" s="60"/>
      <c r="KOI2480" s="60"/>
      <c r="KOJ2480" s="60"/>
      <c r="KOK2480" s="60"/>
      <c r="KOL2480" s="61"/>
      <c r="KOM2480" s="54"/>
      <c r="KON2480" s="54"/>
      <c r="KOO2480" s="60"/>
      <c r="KOP2480" s="60"/>
      <c r="KOQ2480" s="60"/>
      <c r="KOR2480" s="60"/>
      <c r="KOS2480" s="60"/>
      <c r="KOT2480" s="61"/>
      <c r="KOU2480" s="54"/>
      <c r="KOV2480" s="54"/>
      <c r="KOW2480" s="60"/>
      <c r="KOX2480" s="60"/>
      <c r="KOY2480" s="60"/>
      <c r="KOZ2480" s="60"/>
      <c r="KPA2480" s="60"/>
      <c r="KPB2480" s="61"/>
      <c r="KPC2480" s="54"/>
      <c r="KPD2480" s="54"/>
      <c r="KPE2480" s="60"/>
      <c r="KPF2480" s="60"/>
      <c r="KPG2480" s="60"/>
      <c r="KPH2480" s="60"/>
      <c r="KPI2480" s="60"/>
      <c r="KPJ2480" s="61"/>
      <c r="KPK2480" s="54"/>
      <c r="KPL2480" s="54"/>
      <c r="KPM2480" s="60"/>
      <c r="KPN2480" s="60"/>
      <c r="KPO2480" s="60"/>
      <c r="KPP2480" s="60"/>
      <c r="KPQ2480" s="60"/>
      <c r="KPR2480" s="61"/>
      <c r="KPS2480" s="54"/>
      <c r="KPT2480" s="54"/>
      <c r="KPU2480" s="60"/>
      <c r="KPV2480" s="60"/>
      <c r="KPW2480" s="60"/>
      <c r="KPX2480" s="60"/>
      <c r="KPY2480" s="60"/>
      <c r="KPZ2480" s="61"/>
      <c r="KQA2480" s="54"/>
      <c r="KQB2480" s="54"/>
      <c r="KQC2480" s="60"/>
      <c r="KQD2480" s="60"/>
      <c r="KQE2480" s="60"/>
      <c r="KQF2480" s="60"/>
      <c r="KQG2480" s="60"/>
      <c r="KQH2480" s="61"/>
      <c r="KQI2480" s="54"/>
      <c r="KQJ2480" s="54"/>
      <c r="KQK2480" s="60"/>
      <c r="KQL2480" s="60"/>
      <c r="KQM2480" s="60"/>
      <c r="KQN2480" s="60"/>
      <c r="KQO2480" s="60"/>
      <c r="KQP2480" s="61"/>
      <c r="KQQ2480" s="54"/>
      <c r="KQR2480" s="54"/>
      <c r="KQS2480" s="60"/>
      <c r="KQT2480" s="60"/>
      <c r="KQU2480" s="60"/>
      <c r="KQV2480" s="60"/>
      <c r="KQW2480" s="60"/>
      <c r="KQX2480" s="61"/>
      <c r="KQY2480" s="54"/>
      <c r="KQZ2480" s="54"/>
      <c r="KRA2480" s="60"/>
      <c r="KRB2480" s="60"/>
      <c r="KRC2480" s="60"/>
      <c r="KRD2480" s="60"/>
      <c r="KRE2480" s="60"/>
      <c r="KRF2480" s="61"/>
      <c r="KRG2480" s="54"/>
      <c r="KRH2480" s="54"/>
      <c r="KRI2480" s="60"/>
      <c r="KRJ2480" s="60"/>
      <c r="KRK2480" s="60"/>
      <c r="KRL2480" s="60"/>
      <c r="KRM2480" s="60"/>
      <c r="KRN2480" s="61"/>
      <c r="KRO2480" s="54"/>
      <c r="KRP2480" s="54"/>
      <c r="KRQ2480" s="60"/>
      <c r="KRR2480" s="60"/>
      <c r="KRS2480" s="60"/>
      <c r="KRT2480" s="60"/>
      <c r="KRU2480" s="60"/>
      <c r="KRV2480" s="61"/>
      <c r="KRW2480" s="54"/>
      <c r="KRX2480" s="54"/>
      <c r="KRY2480" s="60"/>
      <c r="KRZ2480" s="60"/>
      <c r="KSA2480" s="60"/>
      <c r="KSB2480" s="60"/>
      <c r="KSC2480" s="60"/>
      <c r="KSD2480" s="61"/>
      <c r="KSE2480" s="54"/>
      <c r="KSF2480" s="54"/>
      <c r="KSG2480" s="60"/>
      <c r="KSH2480" s="60"/>
      <c r="KSI2480" s="60"/>
      <c r="KSJ2480" s="60"/>
      <c r="KSK2480" s="60"/>
      <c r="KSL2480" s="61"/>
      <c r="KSM2480" s="54"/>
      <c r="KSN2480" s="54"/>
      <c r="KSO2480" s="60"/>
      <c r="KSP2480" s="60"/>
      <c r="KSQ2480" s="60"/>
      <c r="KSR2480" s="60"/>
      <c r="KSS2480" s="60"/>
      <c r="KST2480" s="61"/>
      <c r="KSU2480" s="54"/>
      <c r="KSV2480" s="54"/>
      <c r="KSW2480" s="60"/>
      <c r="KSX2480" s="60"/>
      <c r="KSY2480" s="60"/>
      <c r="KSZ2480" s="60"/>
      <c r="KTA2480" s="60"/>
      <c r="KTB2480" s="61"/>
      <c r="KTC2480" s="54"/>
      <c r="KTD2480" s="54"/>
      <c r="KTE2480" s="60"/>
      <c r="KTF2480" s="60"/>
      <c r="KTG2480" s="60"/>
      <c r="KTH2480" s="60"/>
      <c r="KTI2480" s="60"/>
      <c r="KTJ2480" s="61"/>
      <c r="KTK2480" s="54"/>
      <c r="KTL2480" s="54"/>
      <c r="KTM2480" s="60"/>
      <c r="KTN2480" s="60"/>
      <c r="KTO2480" s="60"/>
      <c r="KTP2480" s="60"/>
      <c r="KTQ2480" s="60"/>
      <c r="KTR2480" s="61"/>
      <c r="KTS2480" s="54"/>
      <c r="KTT2480" s="54"/>
      <c r="KTU2480" s="60"/>
      <c r="KTV2480" s="60"/>
      <c r="KTW2480" s="60"/>
      <c r="KTX2480" s="60"/>
      <c r="KTY2480" s="60"/>
      <c r="KTZ2480" s="61"/>
      <c r="KUA2480" s="54"/>
      <c r="KUB2480" s="54"/>
      <c r="KUC2480" s="60"/>
      <c r="KUD2480" s="60"/>
      <c r="KUE2480" s="60"/>
      <c r="KUF2480" s="60"/>
      <c r="KUG2480" s="60"/>
      <c r="KUH2480" s="61"/>
      <c r="KUI2480" s="54"/>
      <c r="KUJ2480" s="54"/>
      <c r="KUK2480" s="60"/>
      <c r="KUL2480" s="60"/>
      <c r="KUM2480" s="60"/>
      <c r="KUN2480" s="60"/>
      <c r="KUO2480" s="60"/>
      <c r="KUP2480" s="61"/>
      <c r="KUQ2480" s="54"/>
      <c r="KUR2480" s="54"/>
      <c r="KUS2480" s="60"/>
      <c r="KUT2480" s="60"/>
      <c r="KUU2480" s="60"/>
      <c r="KUV2480" s="60"/>
      <c r="KUW2480" s="60"/>
      <c r="KUX2480" s="61"/>
      <c r="KUY2480" s="54"/>
      <c r="KUZ2480" s="54"/>
      <c r="KVA2480" s="60"/>
      <c r="KVB2480" s="60"/>
      <c r="KVC2480" s="60"/>
      <c r="KVD2480" s="60"/>
      <c r="KVE2480" s="60"/>
      <c r="KVF2480" s="61"/>
      <c r="KVG2480" s="54"/>
      <c r="KVH2480" s="54"/>
      <c r="KVI2480" s="60"/>
      <c r="KVJ2480" s="60"/>
      <c r="KVK2480" s="60"/>
      <c r="KVL2480" s="60"/>
      <c r="KVM2480" s="60"/>
      <c r="KVN2480" s="61"/>
      <c r="KVO2480" s="54"/>
      <c r="KVP2480" s="54"/>
      <c r="KVQ2480" s="60"/>
      <c r="KVR2480" s="60"/>
      <c r="KVS2480" s="60"/>
      <c r="KVT2480" s="60"/>
      <c r="KVU2480" s="60"/>
      <c r="KVV2480" s="61"/>
      <c r="KVW2480" s="54"/>
      <c r="KVX2480" s="54"/>
      <c r="KVY2480" s="60"/>
      <c r="KVZ2480" s="60"/>
      <c r="KWA2480" s="60"/>
      <c r="KWB2480" s="60"/>
      <c r="KWC2480" s="60"/>
      <c r="KWD2480" s="61"/>
      <c r="KWE2480" s="54"/>
      <c r="KWF2480" s="54"/>
      <c r="KWG2480" s="60"/>
      <c r="KWH2480" s="60"/>
      <c r="KWI2480" s="60"/>
      <c r="KWJ2480" s="60"/>
      <c r="KWK2480" s="60"/>
      <c r="KWL2480" s="61"/>
      <c r="KWM2480" s="54"/>
      <c r="KWN2480" s="54"/>
      <c r="KWO2480" s="60"/>
      <c r="KWP2480" s="60"/>
      <c r="KWQ2480" s="60"/>
      <c r="KWR2480" s="60"/>
      <c r="KWS2480" s="60"/>
      <c r="KWT2480" s="61"/>
      <c r="KWU2480" s="54"/>
      <c r="KWV2480" s="54"/>
      <c r="KWW2480" s="60"/>
      <c r="KWX2480" s="60"/>
      <c r="KWY2480" s="60"/>
      <c r="KWZ2480" s="60"/>
      <c r="KXA2480" s="60"/>
      <c r="KXB2480" s="61"/>
      <c r="KXC2480" s="54"/>
      <c r="KXD2480" s="54"/>
      <c r="KXE2480" s="60"/>
      <c r="KXF2480" s="60"/>
      <c r="KXG2480" s="60"/>
      <c r="KXH2480" s="60"/>
      <c r="KXI2480" s="60"/>
      <c r="KXJ2480" s="61"/>
      <c r="KXK2480" s="54"/>
      <c r="KXL2480" s="54"/>
      <c r="KXM2480" s="60"/>
      <c r="KXN2480" s="60"/>
      <c r="KXO2480" s="60"/>
      <c r="KXP2480" s="60"/>
      <c r="KXQ2480" s="60"/>
      <c r="KXR2480" s="61"/>
      <c r="KXS2480" s="54"/>
      <c r="KXT2480" s="54"/>
      <c r="KXU2480" s="60"/>
      <c r="KXV2480" s="60"/>
      <c r="KXW2480" s="60"/>
      <c r="KXX2480" s="60"/>
      <c r="KXY2480" s="60"/>
      <c r="KXZ2480" s="61"/>
      <c r="KYA2480" s="54"/>
      <c r="KYB2480" s="54"/>
      <c r="KYC2480" s="60"/>
      <c r="KYD2480" s="60"/>
      <c r="KYE2480" s="60"/>
      <c r="KYF2480" s="60"/>
      <c r="KYG2480" s="60"/>
      <c r="KYH2480" s="61"/>
      <c r="KYI2480" s="54"/>
      <c r="KYJ2480" s="54"/>
      <c r="KYK2480" s="60"/>
      <c r="KYL2480" s="60"/>
      <c r="KYM2480" s="60"/>
      <c r="KYN2480" s="60"/>
      <c r="KYO2480" s="60"/>
      <c r="KYP2480" s="61"/>
      <c r="KYQ2480" s="54"/>
      <c r="KYR2480" s="54"/>
      <c r="KYS2480" s="60"/>
      <c r="KYT2480" s="60"/>
      <c r="KYU2480" s="60"/>
      <c r="KYV2480" s="60"/>
      <c r="KYW2480" s="60"/>
      <c r="KYX2480" s="61"/>
      <c r="KYY2480" s="54"/>
      <c r="KYZ2480" s="54"/>
      <c r="KZA2480" s="60"/>
      <c r="KZB2480" s="60"/>
      <c r="KZC2480" s="60"/>
      <c r="KZD2480" s="60"/>
      <c r="KZE2480" s="60"/>
      <c r="KZF2480" s="61"/>
      <c r="KZG2480" s="54"/>
      <c r="KZH2480" s="54"/>
      <c r="KZI2480" s="60"/>
      <c r="KZJ2480" s="60"/>
      <c r="KZK2480" s="60"/>
      <c r="KZL2480" s="60"/>
      <c r="KZM2480" s="60"/>
      <c r="KZN2480" s="61"/>
      <c r="KZO2480" s="54"/>
      <c r="KZP2480" s="54"/>
      <c r="KZQ2480" s="60"/>
      <c r="KZR2480" s="60"/>
      <c r="KZS2480" s="60"/>
      <c r="KZT2480" s="60"/>
      <c r="KZU2480" s="60"/>
      <c r="KZV2480" s="61"/>
      <c r="KZW2480" s="54"/>
      <c r="KZX2480" s="54"/>
      <c r="KZY2480" s="60"/>
      <c r="KZZ2480" s="60"/>
      <c r="LAA2480" s="60"/>
      <c r="LAB2480" s="60"/>
      <c r="LAC2480" s="60"/>
      <c r="LAD2480" s="61"/>
      <c r="LAE2480" s="54"/>
      <c r="LAF2480" s="54"/>
      <c r="LAG2480" s="60"/>
      <c r="LAH2480" s="60"/>
      <c r="LAI2480" s="60"/>
      <c r="LAJ2480" s="60"/>
      <c r="LAK2480" s="60"/>
      <c r="LAL2480" s="61"/>
      <c r="LAM2480" s="54"/>
      <c r="LAN2480" s="54"/>
      <c r="LAO2480" s="60"/>
      <c r="LAP2480" s="60"/>
      <c r="LAQ2480" s="60"/>
      <c r="LAR2480" s="60"/>
      <c r="LAS2480" s="60"/>
      <c r="LAT2480" s="61"/>
      <c r="LAU2480" s="54"/>
      <c r="LAV2480" s="54"/>
      <c r="LAW2480" s="60"/>
      <c r="LAX2480" s="60"/>
      <c r="LAY2480" s="60"/>
      <c r="LAZ2480" s="60"/>
      <c r="LBA2480" s="60"/>
      <c r="LBB2480" s="61"/>
      <c r="LBC2480" s="54"/>
      <c r="LBD2480" s="54"/>
      <c r="LBE2480" s="60"/>
      <c r="LBF2480" s="60"/>
      <c r="LBG2480" s="60"/>
      <c r="LBH2480" s="60"/>
      <c r="LBI2480" s="60"/>
      <c r="LBJ2480" s="61"/>
      <c r="LBK2480" s="54"/>
      <c r="LBL2480" s="54"/>
      <c r="LBM2480" s="60"/>
      <c r="LBN2480" s="60"/>
      <c r="LBO2480" s="60"/>
      <c r="LBP2480" s="60"/>
      <c r="LBQ2480" s="60"/>
      <c r="LBR2480" s="61"/>
      <c r="LBS2480" s="54"/>
      <c r="LBT2480" s="54"/>
      <c r="LBU2480" s="60"/>
      <c r="LBV2480" s="60"/>
      <c r="LBW2480" s="60"/>
      <c r="LBX2480" s="60"/>
      <c r="LBY2480" s="60"/>
      <c r="LBZ2480" s="61"/>
      <c r="LCA2480" s="54"/>
      <c r="LCB2480" s="54"/>
      <c r="LCC2480" s="60"/>
      <c r="LCD2480" s="60"/>
      <c r="LCE2480" s="60"/>
      <c r="LCF2480" s="60"/>
      <c r="LCG2480" s="60"/>
      <c r="LCH2480" s="61"/>
      <c r="LCI2480" s="54"/>
      <c r="LCJ2480" s="54"/>
      <c r="LCK2480" s="60"/>
      <c r="LCL2480" s="60"/>
      <c r="LCM2480" s="60"/>
      <c r="LCN2480" s="60"/>
      <c r="LCO2480" s="60"/>
      <c r="LCP2480" s="61"/>
      <c r="LCQ2480" s="54"/>
      <c r="LCR2480" s="54"/>
      <c r="LCS2480" s="60"/>
      <c r="LCT2480" s="60"/>
      <c r="LCU2480" s="60"/>
      <c r="LCV2480" s="60"/>
      <c r="LCW2480" s="60"/>
      <c r="LCX2480" s="61"/>
      <c r="LCY2480" s="54"/>
      <c r="LCZ2480" s="54"/>
      <c r="LDA2480" s="60"/>
      <c r="LDB2480" s="60"/>
      <c r="LDC2480" s="60"/>
      <c r="LDD2480" s="60"/>
      <c r="LDE2480" s="60"/>
      <c r="LDF2480" s="61"/>
      <c r="LDG2480" s="54"/>
      <c r="LDH2480" s="54"/>
      <c r="LDI2480" s="60"/>
      <c r="LDJ2480" s="60"/>
      <c r="LDK2480" s="60"/>
      <c r="LDL2480" s="60"/>
      <c r="LDM2480" s="60"/>
      <c r="LDN2480" s="61"/>
      <c r="LDO2480" s="54"/>
      <c r="LDP2480" s="54"/>
      <c r="LDQ2480" s="60"/>
      <c r="LDR2480" s="60"/>
      <c r="LDS2480" s="60"/>
      <c r="LDT2480" s="60"/>
      <c r="LDU2480" s="60"/>
      <c r="LDV2480" s="61"/>
      <c r="LDW2480" s="54"/>
      <c r="LDX2480" s="54"/>
      <c r="LDY2480" s="60"/>
      <c r="LDZ2480" s="60"/>
      <c r="LEA2480" s="60"/>
      <c r="LEB2480" s="60"/>
      <c r="LEC2480" s="60"/>
      <c r="LED2480" s="61"/>
      <c r="LEE2480" s="54"/>
      <c r="LEF2480" s="54"/>
      <c r="LEG2480" s="60"/>
      <c r="LEH2480" s="60"/>
      <c r="LEI2480" s="60"/>
      <c r="LEJ2480" s="60"/>
      <c r="LEK2480" s="60"/>
      <c r="LEL2480" s="61"/>
      <c r="LEM2480" s="54"/>
      <c r="LEN2480" s="54"/>
      <c r="LEO2480" s="60"/>
      <c r="LEP2480" s="60"/>
      <c r="LEQ2480" s="60"/>
      <c r="LER2480" s="60"/>
      <c r="LES2480" s="60"/>
      <c r="LET2480" s="61"/>
      <c r="LEU2480" s="54"/>
      <c r="LEV2480" s="54"/>
      <c r="LEW2480" s="60"/>
      <c r="LEX2480" s="60"/>
      <c r="LEY2480" s="60"/>
      <c r="LEZ2480" s="60"/>
      <c r="LFA2480" s="60"/>
      <c r="LFB2480" s="61"/>
      <c r="LFC2480" s="54"/>
      <c r="LFD2480" s="54"/>
      <c r="LFE2480" s="60"/>
      <c r="LFF2480" s="60"/>
      <c r="LFG2480" s="60"/>
      <c r="LFH2480" s="60"/>
      <c r="LFI2480" s="60"/>
      <c r="LFJ2480" s="61"/>
      <c r="LFK2480" s="54"/>
      <c r="LFL2480" s="54"/>
      <c r="LFM2480" s="60"/>
      <c r="LFN2480" s="60"/>
      <c r="LFO2480" s="60"/>
      <c r="LFP2480" s="60"/>
      <c r="LFQ2480" s="60"/>
      <c r="LFR2480" s="61"/>
      <c r="LFS2480" s="54"/>
      <c r="LFT2480" s="54"/>
      <c r="LFU2480" s="60"/>
      <c r="LFV2480" s="60"/>
      <c r="LFW2480" s="60"/>
      <c r="LFX2480" s="60"/>
      <c r="LFY2480" s="60"/>
      <c r="LFZ2480" s="61"/>
      <c r="LGA2480" s="54"/>
      <c r="LGB2480" s="54"/>
      <c r="LGC2480" s="60"/>
      <c r="LGD2480" s="60"/>
      <c r="LGE2480" s="60"/>
      <c r="LGF2480" s="60"/>
      <c r="LGG2480" s="60"/>
      <c r="LGH2480" s="61"/>
      <c r="LGI2480" s="54"/>
      <c r="LGJ2480" s="54"/>
      <c r="LGK2480" s="60"/>
      <c r="LGL2480" s="60"/>
      <c r="LGM2480" s="60"/>
      <c r="LGN2480" s="60"/>
      <c r="LGO2480" s="60"/>
      <c r="LGP2480" s="61"/>
      <c r="LGQ2480" s="54"/>
      <c r="LGR2480" s="54"/>
      <c r="LGS2480" s="60"/>
      <c r="LGT2480" s="60"/>
      <c r="LGU2480" s="60"/>
      <c r="LGV2480" s="60"/>
      <c r="LGW2480" s="60"/>
      <c r="LGX2480" s="61"/>
      <c r="LGY2480" s="54"/>
      <c r="LGZ2480" s="54"/>
      <c r="LHA2480" s="60"/>
      <c r="LHB2480" s="60"/>
      <c r="LHC2480" s="60"/>
      <c r="LHD2480" s="60"/>
      <c r="LHE2480" s="60"/>
      <c r="LHF2480" s="61"/>
      <c r="LHG2480" s="54"/>
      <c r="LHH2480" s="54"/>
      <c r="LHI2480" s="60"/>
      <c r="LHJ2480" s="60"/>
      <c r="LHK2480" s="60"/>
      <c r="LHL2480" s="60"/>
      <c r="LHM2480" s="60"/>
      <c r="LHN2480" s="61"/>
      <c r="LHO2480" s="54"/>
      <c r="LHP2480" s="54"/>
      <c r="LHQ2480" s="60"/>
      <c r="LHR2480" s="60"/>
      <c r="LHS2480" s="60"/>
      <c r="LHT2480" s="60"/>
      <c r="LHU2480" s="60"/>
      <c r="LHV2480" s="61"/>
      <c r="LHW2480" s="54"/>
      <c r="LHX2480" s="54"/>
      <c r="LHY2480" s="60"/>
      <c r="LHZ2480" s="60"/>
      <c r="LIA2480" s="60"/>
      <c r="LIB2480" s="60"/>
      <c r="LIC2480" s="60"/>
      <c r="LID2480" s="61"/>
      <c r="LIE2480" s="54"/>
      <c r="LIF2480" s="54"/>
      <c r="LIG2480" s="60"/>
      <c r="LIH2480" s="60"/>
      <c r="LII2480" s="60"/>
      <c r="LIJ2480" s="60"/>
      <c r="LIK2480" s="60"/>
      <c r="LIL2480" s="61"/>
      <c r="LIM2480" s="54"/>
      <c r="LIN2480" s="54"/>
      <c r="LIO2480" s="60"/>
      <c r="LIP2480" s="60"/>
      <c r="LIQ2480" s="60"/>
      <c r="LIR2480" s="60"/>
      <c r="LIS2480" s="60"/>
      <c r="LIT2480" s="61"/>
      <c r="LIU2480" s="54"/>
      <c r="LIV2480" s="54"/>
      <c r="LIW2480" s="60"/>
      <c r="LIX2480" s="60"/>
      <c r="LIY2480" s="60"/>
      <c r="LIZ2480" s="60"/>
      <c r="LJA2480" s="60"/>
      <c r="LJB2480" s="61"/>
      <c r="LJC2480" s="54"/>
      <c r="LJD2480" s="54"/>
      <c r="LJE2480" s="60"/>
      <c r="LJF2480" s="60"/>
      <c r="LJG2480" s="60"/>
      <c r="LJH2480" s="60"/>
      <c r="LJI2480" s="60"/>
      <c r="LJJ2480" s="61"/>
      <c r="LJK2480" s="54"/>
      <c r="LJL2480" s="54"/>
      <c r="LJM2480" s="60"/>
      <c r="LJN2480" s="60"/>
      <c r="LJO2480" s="60"/>
      <c r="LJP2480" s="60"/>
      <c r="LJQ2480" s="60"/>
      <c r="LJR2480" s="61"/>
      <c r="LJS2480" s="54"/>
      <c r="LJT2480" s="54"/>
      <c r="LJU2480" s="60"/>
      <c r="LJV2480" s="60"/>
      <c r="LJW2480" s="60"/>
      <c r="LJX2480" s="60"/>
      <c r="LJY2480" s="60"/>
      <c r="LJZ2480" s="61"/>
      <c r="LKA2480" s="54"/>
      <c r="LKB2480" s="54"/>
      <c r="LKC2480" s="60"/>
      <c r="LKD2480" s="60"/>
      <c r="LKE2480" s="60"/>
      <c r="LKF2480" s="60"/>
      <c r="LKG2480" s="60"/>
      <c r="LKH2480" s="61"/>
      <c r="LKI2480" s="54"/>
      <c r="LKJ2480" s="54"/>
      <c r="LKK2480" s="60"/>
      <c r="LKL2480" s="60"/>
      <c r="LKM2480" s="60"/>
      <c r="LKN2480" s="60"/>
      <c r="LKO2480" s="60"/>
      <c r="LKP2480" s="61"/>
      <c r="LKQ2480" s="54"/>
      <c r="LKR2480" s="54"/>
      <c r="LKS2480" s="60"/>
      <c r="LKT2480" s="60"/>
      <c r="LKU2480" s="60"/>
      <c r="LKV2480" s="60"/>
      <c r="LKW2480" s="60"/>
      <c r="LKX2480" s="61"/>
      <c r="LKY2480" s="54"/>
      <c r="LKZ2480" s="54"/>
      <c r="LLA2480" s="60"/>
      <c r="LLB2480" s="60"/>
      <c r="LLC2480" s="60"/>
      <c r="LLD2480" s="60"/>
      <c r="LLE2480" s="60"/>
      <c r="LLF2480" s="61"/>
      <c r="LLG2480" s="54"/>
      <c r="LLH2480" s="54"/>
      <c r="LLI2480" s="60"/>
      <c r="LLJ2480" s="60"/>
      <c r="LLK2480" s="60"/>
      <c r="LLL2480" s="60"/>
      <c r="LLM2480" s="60"/>
      <c r="LLN2480" s="61"/>
      <c r="LLO2480" s="54"/>
      <c r="LLP2480" s="54"/>
      <c r="LLQ2480" s="60"/>
      <c r="LLR2480" s="60"/>
      <c r="LLS2480" s="60"/>
      <c r="LLT2480" s="60"/>
      <c r="LLU2480" s="60"/>
      <c r="LLV2480" s="61"/>
      <c r="LLW2480" s="54"/>
      <c r="LLX2480" s="54"/>
      <c r="LLY2480" s="60"/>
      <c r="LLZ2480" s="60"/>
      <c r="LMA2480" s="60"/>
      <c r="LMB2480" s="60"/>
      <c r="LMC2480" s="60"/>
      <c r="LMD2480" s="61"/>
      <c r="LME2480" s="54"/>
      <c r="LMF2480" s="54"/>
      <c r="LMG2480" s="60"/>
      <c r="LMH2480" s="60"/>
      <c r="LMI2480" s="60"/>
      <c r="LMJ2480" s="60"/>
      <c r="LMK2480" s="60"/>
      <c r="LML2480" s="61"/>
      <c r="LMM2480" s="54"/>
      <c r="LMN2480" s="54"/>
      <c r="LMO2480" s="60"/>
      <c r="LMP2480" s="60"/>
      <c r="LMQ2480" s="60"/>
      <c r="LMR2480" s="60"/>
      <c r="LMS2480" s="60"/>
      <c r="LMT2480" s="61"/>
      <c r="LMU2480" s="54"/>
      <c r="LMV2480" s="54"/>
      <c r="LMW2480" s="60"/>
      <c r="LMX2480" s="60"/>
      <c r="LMY2480" s="60"/>
      <c r="LMZ2480" s="60"/>
      <c r="LNA2480" s="60"/>
      <c r="LNB2480" s="61"/>
      <c r="LNC2480" s="54"/>
      <c r="LND2480" s="54"/>
      <c r="LNE2480" s="60"/>
      <c r="LNF2480" s="60"/>
      <c r="LNG2480" s="60"/>
      <c r="LNH2480" s="60"/>
      <c r="LNI2480" s="60"/>
      <c r="LNJ2480" s="61"/>
      <c r="LNK2480" s="54"/>
      <c r="LNL2480" s="54"/>
      <c r="LNM2480" s="60"/>
      <c r="LNN2480" s="60"/>
      <c r="LNO2480" s="60"/>
      <c r="LNP2480" s="60"/>
      <c r="LNQ2480" s="60"/>
      <c r="LNR2480" s="61"/>
      <c r="LNS2480" s="54"/>
      <c r="LNT2480" s="54"/>
      <c r="LNU2480" s="60"/>
      <c r="LNV2480" s="60"/>
      <c r="LNW2480" s="60"/>
      <c r="LNX2480" s="60"/>
      <c r="LNY2480" s="60"/>
      <c r="LNZ2480" s="61"/>
      <c r="LOA2480" s="54"/>
      <c r="LOB2480" s="54"/>
      <c r="LOC2480" s="60"/>
      <c r="LOD2480" s="60"/>
      <c r="LOE2480" s="60"/>
      <c r="LOF2480" s="60"/>
      <c r="LOG2480" s="60"/>
      <c r="LOH2480" s="61"/>
      <c r="LOI2480" s="54"/>
      <c r="LOJ2480" s="54"/>
      <c r="LOK2480" s="60"/>
      <c r="LOL2480" s="60"/>
      <c r="LOM2480" s="60"/>
      <c r="LON2480" s="60"/>
      <c r="LOO2480" s="60"/>
      <c r="LOP2480" s="61"/>
      <c r="LOQ2480" s="54"/>
      <c r="LOR2480" s="54"/>
      <c r="LOS2480" s="60"/>
      <c r="LOT2480" s="60"/>
      <c r="LOU2480" s="60"/>
      <c r="LOV2480" s="60"/>
      <c r="LOW2480" s="60"/>
      <c r="LOX2480" s="61"/>
      <c r="LOY2480" s="54"/>
      <c r="LOZ2480" s="54"/>
      <c r="LPA2480" s="60"/>
      <c r="LPB2480" s="60"/>
      <c r="LPC2480" s="60"/>
      <c r="LPD2480" s="60"/>
      <c r="LPE2480" s="60"/>
      <c r="LPF2480" s="61"/>
      <c r="LPG2480" s="54"/>
      <c r="LPH2480" s="54"/>
      <c r="LPI2480" s="60"/>
      <c r="LPJ2480" s="60"/>
      <c r="LPK2480" s="60"/>
      <c r="LPL2480" s="60"/>
      <c r="LPM2480" s="60"/>
      <c r="LPN2480" s="61"/>
      <c r="LPO2480" s="54"/>
      <c r="LPP2480" s="54"/>
      <c r="LPQ2480" s="60"/>
      <c r="LPR2480" s="60"/>
      <c r="LPS2480" s="60"/>
      <c r="LPT2480" s="60"/>
      <c r="LPU2480" s="60"/>
      <c r="LPV2480" s="61"/>
      <c r="LPW2480" s="54"/>
      <c r="LPX2480" s="54"/>
      <c r="LPY2480" s="60"/>
      <c r="LPZ2480" s="60"/>
      <c r="LQA2480" s="60"/>
      <c r="LQB2480" s="60"/>
      <c r="LQC2480" s="60"/>
      <c r="LQD2480" s="61"/>
      <c r="LQE2480" s="54"/>
      <c r="LQF2480" s="54"/>
      <c r="LQG2480" s="60"/>
      <c r="LQH2480" s="60"/>
      <c r="LQI2480" s="60"/>
      <c r="LQJ2480" s="60"/>
      <c r="LQK2480" s="60"/>
      <c r="LQL2480" s="61"/>
      <c r="LQM2480" s="54"/>
      <c r="LQN2480" s="54"/>
      <c r="LQO2480" s="60"/>
      <c r="LQP2480" s="60"/>
      <c r="LQQ2480" s="60"/>
      <c r="LQR2480" s="60"/>
      <c r="LQS2480" s="60"/>
      <c r="LQT2480" s="61"/>
      <c r="LQU2480" s="54"/>
      <c r="LQV2480" s="54"/>
      <c r="LQW2480" s="60"/>
      <c r="LQX2480" s="60"/>
      <c r="LQY2480" s="60"/>
      <c r="LQZ2480" s="60"/>
      <c r="LRA2480" s="60"/>
      <c r="LRB2480" s="61"/>
      <c r="LRC2480" s="54"/>
      <c r="LRD2480" s="54"/>
      <c r="LRE2480" s="60"/>
      <c r="LRF2480" s="60"/>
      <c r="LRG2480" s="60"/>
      <c r="LRH2480" s="60"/>
      <c r="LRI2480" s="60"/>
      <c r="LRJ2480" s="61"/>
      <c r="LRK2480" s="54"/>
      <c r="LRL2480" s="54"/>
      <c r="LRM2480" s="60"/>
      <c r="LRN2480" s="60"/>
      <c r="LRO2480" s="60"/>
      <c r="LRP2480" s="60"/>
      <c r="LRQ2480" s="60"/>
      <c r="LRR2480" s="61"/>
      <c r="LRS2480" s="54"/>
      <c r="LRT2480" s="54"/>
      <c r="LRU2480" s="60"/>
      <c r="LRV2480" s="60"/>
      <c r="LRW2480" s="60"/>
      <c r="LRX2480" s="60"/>
      <c r="LRY2480" s="60"/>
      <c r="LRZ2480" s="61"/>
      <c r="LSA2480" s="54"/>
      <c r="LSB2480" s="54"/>
      <c r="LSC2480" s="60"/>
      <c r="LSD2480" s="60"/>
      <c r="LSE2480" s="60"/>
      <c r="LSF2480" s="60"/>
      <c r="LSG2480" s="60"/>
      <c r="LSH2480" s="61"/>
      <c r="LSI2480" s="54"/>
      <c r="LSJ2480" s="54"/>
      <c r="LSK2480" s="60"/>
      <c r="LSL2480" s="60"/>
      <c r="LSM2480" s="60"/>
      <c r="LSN2480" s="60"/>
      <c r="LSO2480" s="60"/>
      <c r="LSP2480" s="61"/>
      <c r="LSQ2480" s="54"/>
      <c r="LSR2480" s="54"/>
      <c r="LSS2480" s="60"/>
      <c r="LST2480" s="60"/>
      <c r="LSU2480" s="60"/>
      <c r="LSV2480" s="60"/>
      <c r="LSW2480" s="60"/>
      <c r="LSX2480" s="61"/>
      <c r="LSY2480" s="54"/>
      <c r="LSZ2480" s="54"/>
      <c r="LTA2480" s="60"/>
      <c r="LTB2480" s="60"/>
      <c r="LTC2480" s="60"/>
      <c r="LTD2480" s="60"/>
      <c r="LTE2480" s="60"/>
      <c r="LTF2480" s="61"/>
      <c r="LTG2480" s="54"/>
      <c r="LTH2480" s="54"/>
      <c r="LTI2480" s="60"/>
      <c r="LTJ2480" s="60"/>
      <c r="LTK2480" s="60"/>
      <c r="LTL2480" s="60"/>
      <c r="LTM2480" s="60"/>
      <c r="LTN2480" s="61"/>
      <c r="LTO2480" s="54"/>
      <c r="LTP2480" s="54"/>
      <c r="LTQ2480" s="60"/>
      <c r="LTR2480" s="60"/>
      <c r="LTS2480" s="60"/>
      <c r="LTT2480" s="60"/>
      <c r="LTU2480" s="60"/>
      <c r="LTV2480" s="61"/>
      <c r="LTW2480" s="54"/>
      <c r="LTX2480" s="54"/>
      <c r="LTY2480" s="60"/>
      <c r="LTZ2480" s="60"/>
      <c r="LUA2480" s="60"/>
      <c r="LUB2480" s="60"/>
      <c r="LUC2480" s="60"/>
      <c r="LUD2480" s="61"/>
      <c r="LUE2480" s="54"/>
      <c r="LUF2480" s="54"/>
      <c r="LUG2480" s="60"/>
      <c r="LUH2480" s="60"/>
      <c r="LUI2480" s="60"/>
      <c r="LUJ2480" s="60"/>
      <c r="LUK2480" s="60"/>
      <c r="LUL2480" s="61"/>
      <c r="LUM2480" s="54"/>
      <c r="LUN2480" s="54"/>
      <c r="LUO2480" s="60"/>
      <c r="LUP2480" s="60"/>
      <c r="LUQ2480" s="60"/>
      <c r="LUR2480" s="60"/>
      <c r="LUS2480" s="60"/>
      <c r="LUT2480" s="61"/>
      <c r="LUU2480" s="54"/>
      <c r="LUV2480" s="54"/>
      <c r="LUW2480" s="60"/>
      <c r="LUX2480" s="60"/>
      <c r="LUY2480" s="60"/>
      <c r="LUZ2480" s="60"/>
      <c r="LVA2480" s="60"/>
      <c r="LVB2480" s="61"/>
      <c r="LVC2480" s="54"/>
      <c r="LVD2480" s="54"/>
      <c r="LVE2480" s="60"/>
      <c r="LVF2480" s="60"/>
      <c r="LVG2480" s="60"/>
      <c r="LVH2480" s="60"/>
      <c r="LVI2480" s="60"/>
      <c r="LVJ2480" s="61"/>
      <c r="LVK2480" s="54"/>
      <c r="LVL2480" s="54"/>
      <c r="LVM2480" s="60"/>
      <c r="LVN2480" s="60"/>
      <c r="LVO2480" s="60"/>
      <c r="LVP2480" s="60"/>
      <c r="LVQ2480" s="60"/>
      <c r="LVR2480" s="61"/>
      <c r="LVS2480" s="54"/>
      <c r="LVT2480" s="54"/>
      <c r="LVU2480" s="60"/>
      <c r="LVV2480" s="60"/>
      <c r="LVW2480" s="60"/>
      <c r="LVX2480" s="60"/>
      <c r="LVY2480" s="60"/>
      <c r="LVZ2480" s="61"/>
      <c r="LWA2480" s="54"/>
      <c r="LWB2480" s="54"/>
      <c r="LWC2480" s="60"/>
      <c r="LWD2480" s="60"/>
      <c r="LWE2480" s="60"/>
      <c r="LWF2480" s="60"/>
      <c r="LWG2480" s="60"/>
      <c r="LWH2480" s="61"/>
      <c r="LWI2480" s="54"/>
      <c r="LWJ2480" s="54"/>
      <c r="LWK2480" s="60"/>
      <c r="LWL2480" s="60"/>
      <c r="LWM2480" s="60"/>
      <c r="LWN2480" s="60"/>
      <c r="LWO2480" s="60"/>
      <c r="LWP2480" s="61"/>
      <c r="LWQ2480" s="54"/>
      <c r="LWR2480" s="54"/>
      <c r="LWS2480" s="60"/>
      <c r="LWT2480" s="60"/>
      <c r="LWU2480" s="60"/>
      <c r="LWV2480" s="60"/>
      <c r="LWW2480" s="60"/>
      <c r="LWX2480" s="61"/>
      <c r="LWY2480" s="54"/>
      <c r="LWZ2480" s="54"/>
      <c r="LXA2480" s="60"/>
      <c r="LXB2480" s="60"/>
      <c r="LXC2480" s="60"/>
      <c r="LXD2480" s="60"/>
      <c r="LXE2480" s="60"/>
      <c r="LXF2480" s="61"/>
      <c r="LXG2480" s="54"/>
      <c r="LXH2480" s="54"/>
      <c r="LXI2480" s="60"/>
      <c r="LXJ2480" s="60"/>
      <c r="LXK2480" s="60"/>
      <c r="LXL2480" s="60"/>
      <c r="LXM2480" s="60"/>
      <c r="LXN2480" s="61"/>
      <c r="LXO2480" s="54"/>
      <c r="LXP2480" s="54"/>
      <c r="LXQ2480" s="60"/>
      <c r="LXR2480" s="60"/>
      <c r="LXS2480" s="60"/>
      <c r="LXT2480" s="60"/>
      <c r="LXU2480" s="60"/>
      <c r="LXV2480" s="61"/>
      <c r="LXW2480" s="54"/>
      <c r="LXX2480" s="54"/>
      <c r="LXY2480" s="60"/>
      <c r="LXZ2480" s="60"/>
      <c r="LYA2480" s="60"/>
      <c r="LYB2480" s="60"/>
      <c r="LYC2480" s="60"/>
      <c r="LYD2480" s="61"/>
      <c r="LYE2480" s="54"/>
      <c r="LYF2480" s="54"/>
      <c r="LYG2480" s="60"/>
      <c r="LYH2480" s="60"/>
      <c r="LYI2480" s="60"/>
      <c r="LYJ2480" s="60"/>
      <c r="LYK2480" s="60"/>
      <c r="LYL2480" s="61"/>
      <c r="LYM2480" s="54"/>
      <c r="LYN2480" s="54"/>
      <c r="LYO2480" s="60"/>
      <c r="LYP2480" s="60"/>
      <c r="LYQ2480" s="60"/>
      <c r="LYR2480" s="60"/>
      <c r="LYS2480" s="60"/>
      <c r="LYT2480" s="61"/>
      <c r="LYU2480" s="54"/>
      <c r="LYV2480" s="54"/>
      <c r="LYW2480" s="60"/>
      <c r="LYX2480" s="60"/>
      <c r="LYY2480" s="60"/>
      <c r="LYZ2480" s="60"/>
      <c r="LZA2480" s="60"/>
      <c r="LZB2480" s="61"/>
      <c r="LZC2480" s="54"/>
      <c r="LZD2480" s="54"/>
      <c r="LZE2480" s="60"/>
      <c r="LZF2480" s="60"/>
      <c r="LZG2480" s="60"/>
      <c r="LZH2480" s="60"/>
      <c r="LZI2480" s="60"/>
      <c r="LZJ2480" s="61"/>
      <c r="LZK2480" s="54"/>
      <c r="LZL2480" s="54"/>
      <c r="LZM2480" s="60"/>
      <c r="LZN2480" s="60"/>
      <c r="LZO2480" s="60"/>
      <c r="LZP2480" s="60"/>
      <c r="LZQ2480" s="60"/>
      <c r="LZR2480" s="61"/>
      <c r="LZS2480" s="54"/>
      <c r="LZT2480" s="54"/>
      <c r="LZU2480" s="60"/>
      <c r="LZV2480" s="60"/>
      <c r="LZW2480" s="60"/>
      <c r="LZX2480" s="60"/>
      <c r="LZY2480" s="60"/>
      <c r="LZZ2480" s="61"/>
      <c r="MAA2480" s="54"/>
      <c r="MAB2480" s="54"/>
      <c r="MAC2480" s="60"/>
      <c r="MAD2480" s="60"/>
      <c r="MAE2480" s="60"/>
      <c r="MAF2480" s="60"/>
      <c r="MAG2480" s="60"/>
      <c r="MAH2480" s="61"/>
      <c r="MAI2480" s="54"/>
      <c r="MAJ2480" s="54"/>
      <c r="MAK2480" s="60"/>
      <c r="MAL2480" s="60"/>
      <c r="MAM2480" s="60"/>
      <c r="MAN2480" s="60"/>
      <c r="MAO2480" s="60"/>
      <c r="MAP2480" s="61"/>
      <c r="MAQ2480" s="54"/>
      <c r="MAR2480" s="54"/>
      <c r="MAS2480" s="60"/>
      <c r="MAT2480" s="60"/>
      <c r="MAU2480" s="60"/>
      <c r="MAV2480" s="60"/>
      <c r="MAW2480" s="60"/>
      <c r="MAX2480" s="61"/>
      <c r="MAY2480" s="54"/>
      <c r="MAZ2480" s="54"/>
      <c r="MBA2480" s="60"/>
      <c r="MBB2480" s="60"/>
      <c r="MBC2480" s="60"/>
      <c r="MBD2480" s="60"/>
      <c r="MBE2480" s="60"/>
      <c r="MBF2480" s="61"/>
      <c r="MBG2480" s="54"/>
      <c r="MBH2480" s="54"/>
      <c r="MBI2480" s="60"/>
      <c r="MBJ2480" s="60"/>
      <c r="MBK2480" s="60"/>
      <c r="MBL2480" s="60"/>
      <c r="MBM2480" s="60"/>
      <c r="MBN2480" s="61"/>
      <c r="MBO2480" s="54"/>
      <c r="MBP2480" s="54"/>
      <c r="MBQ2480" s="60"/>
      <c r="MBR2480" s="60"/>
      <c r="MBS2480" s="60"/>
      <c r="MBT2480" s="60"/>
      <c r="MBU2480" s="60"/>
      <c r="MBV2480" s="61"/>
      <c r="MBW2480" s="54"/>
      <c r="MBX2480" s="54"/>
      <c r="MBY2480" s="60"/>
      <c r="MBZ2480" s="60"/>
      <c r="MCA2480" s="60"/>
      <c r="MCB2480" s="60"/>
      <c r="MCC2480" s="60"/>
      <c r="MCD2480" s="61"/>
      <c r="MCE2480" s="54"/>
      <c r="MCF2480" s="54"/>
      <c r="MCG2480" s="60"/>
      <c r="MCH2480" s="60"/>
      <c r="MCI2480" s="60"/>
      <c r="MCJ2480" s="60"/>
      <c r="MCK2480" s="60"/>
      <c r="MCL2480" s="61"/>
      <c r="MCM2480" s="54"/>
      <c r="MCN2480" s="54"/>
      <c r="MCO2480" s="60"/>
      <c r="MCP2480" s="60"/>
      <c r="MCQ2480" s="60"/>
      <c r="MCR2480" s="60"/>
      <c r="MCS2480" s="60"/>
      <c r="MCT2480" s="61"/>
      <c r="MCU2480" s="54"/>
      <c r="MCV2480" s="54"/>
      <c r="MCW2480" s="60"/>
      <c r="MCX2480" s="60"/>
      <c r="MCY2480" s="60"/>
      <c r="MCZ2480" s="60"/>
      <c r="MDA2480" s="60"/>
      <c r="MDB2480" s="61"/>
      <c r="MDC2480" s="54"/>
      <c r="MDD2480" s="54"/>
      <c r="MDE2480" s="60"/>
      <c r="MDF2480" s="60"/>
      <c r="MDG2480" s="60"/>
      <c r="MDH2480" s="60"/>
      <c r="MDI2480" s="60"/>
      <c r="MDJ2480" s="61"/>
      <c r="MDK2480" s="54"/>
      <c r="MDL2480" s="54"/>
      <c r="MDM2480" s="60"/>
      <c r="MDN2480" s="60"/>
      <c r="MDO2480" s="60"/>
      <c r="MDP2480" s="60"/>
      <c r="MDQ2480" s="60"/>
      <c r="MDR2480" s="61"/>
      <c r="MDS2480" s="54"/>
      <c r="MDT2480" s="54"/>
      <c r="MDU2480" s="60"/>
      <c r="MDV2480" s="60"/>
      <c r="MDW2480" s="60"/>
      <c r="MDX2480" s="60"/>
      <c r="MDY2480" s="60"/>
      <c r="MDZ2480" s="61"/>
      <c r="MEA2480" s="54"/>
      <c r="MEB2480" s="54"/>
      <c r="MEC2480" s="60"/>
      <c r="MED2480" s="60"/>
      <c r="MEE2480" s="60"/>
      <c r="MEF2480" s="60"/>
      <c r="MEG2480" s="60"/>
      <c r="MEH2480" s="61"/>
      <c r="MEI2480" s="54"/>
      <c r="MEJ2480" s="54"/>
      <c r="MEK2480" s="60"/>
      <c r="MEL2480" s="60"/>
      <c r="MEM2480" s="60"/>
      <c r="MEN2480" s="60"/>
      <c r="MEO2480" s="60"/>
      <c r="MEP2480" s="61"/>
      <c r="MEQ2480" s="54"/>
      <c r="MER2480" s="54"/>
      <c r="MES2480" s="60"/>
      <c r="MET2480" s="60"/>
      <c r="MEU2480" s="60"/>
      <c r="MEV2480" s="60"/>
      <c r="MEW2480" s="60"/>
      <c r="MEX2480" s="61"/>
      <c r="MEY2480" s="54"/>
      <c r="MEZ2480" s="54"/>
      <c r="MFA2480" s="60"/>
      <c r="MFB2480" s="60"/>
      <c r="MFC2480" s="60"/>
      <c r="MFD2480" s="60"/>
      <c r="MFE2480" s="60"/>
      <c r="MFF2480" s="61"/>
      <c r="MFG2480" s="54"/>
      <c r="MFH2480" s="54"/>
      <c r="MFI2480" s="60"/>
      <c r="MFJ2480" s="60"/>
      <c r="MFK2480" s="60"/>
      <c r="MFL2480" s="60"/>
      <c r="MFM2480" s="60"/>
      <c r="MFN2480" s="61"/>
      <c r="MFO2480" s="54"/>
      <c r="MFP2480" s="54"/>
      <c r="MFQ2480" s="60"/>
      <c r="MFR2480" s="60"/>
      <c r="MFS2480" s="60"/>
      <c r="MFT2480" s="60"/>
      <c r="MFU2480" s="60"/>
      <c r="MFV2480" s="61"/>
      <c r="MFW2480" s="54"/>
      <c r="MFX2480" s="54"/>
      <c r="MFY2480" s="60"/>
      <c r="MFZ2480" s="60"/>
      <c r="MGA2480" s="60"/>
      <c r="MGB2480" s="60"/>
      <c r="MGC2480" s="60"/>
      <c r="MGD2480" s="61"/>
      <c r="MGE2480" s="54"/>
      <c r="MGF2480" s="54"/>
      <c r="MGG2480" s="60"/>
      <c r="MGH2480" s="60"/>
      <c r="MGI2480" s="60"/>
      <c r="MGJ2480" s="60"/>
      <c r="MGK2480" s="60"/>
      <c r="MGL2480" s="61"/>
      <c r="MGM2480" s="54"/>
      <c r="MGN2480" s="54"/>
      <c r="MGO2480" s="60"/>
      <c r="MGP2480" s="60"/>
      <c r="MGQ2480" s="60"/>
      <c r="MGR2480" s="60"/>
      <c r="MGS2480" s="60"/>
      <c r="MGT2480" s="61"/>
      <c r="MGU2480" s="54"/>
      <c r="MGV2480" s="54"/>
      <c r="MGW2480" s="60"/>
      <c r="MGX2480" s="60"/>
      <c r="MGY2480" s="60"/>
      <c r="MGZ2480" s="60"/>
      <c r="MHA2480" s="60"/>
      <c r="MHB2480" s="61"/>
      <c r="MHC2480" s="54"/>
      <c r="MHD2480" s="54"/>
      <c r="MHE2480" s="60"/>
      <c r="MHF2480" s="60"/>
      <c r="MHG2480" s="60"/>
      <c r="MHH2480" s="60"/>
      <c r="MHI2480" s="60"/>
      <c r="MHJ2480" s="61"/>
      <c r="MHK2480" s="54"/>
      <c r="MHL2480" s="54"/>
      <c r="MHM2480" s="60"/>
      <c r="MHN2480" s="60"/>
      <c r="MHO2480" s="60"/>
      <c r="MHP2480" s="60"/>
      <c r="MHQ2480" s="60"/>
      <c r="MHR2480" s="61"/>
      <c r="MHS2480" s="54"/>
      <c r="MHT2480" s="54"/>
      <c r="MHU2480" s="60"/>
      <c r="MHV2480" s="60"/>
      <c r="MHW2480" s="60"/>
      <c r="MHX2480" s="60"/>
      <c r="MHY2480" s="60"/>
      <c r="MHZ2480" s="61"/>
      <c r="MIA2480" s="54"/>
      <c r="MIB2480" s="54"/>
      <c r="MIC2480" s="60"/>
      <c r="MID2480" s="60"/>
      <c r="MIE2480" s="60"/>
      <c r="MIF2480" s="60"/>
      <c r="MIG2480" s="60"/>
      <c r="MIH2480" s="61"/>
      <c r="MII2480" s="54"/>
      <c r="MIJ2480" s="54"/>
      <c r="MIK2480" s="60"/>
      <c r="MIL2480" s="60"/>
      <c r="MIM2480" s="60"/>
      <c r="MIN2480" s="60"/>
      <c r="MIO2480" s="60"/>
      <c r="MIP2480" s="61"/>
      <c r="MIQ2480" s="54"/>
      <c r="MIR2480" s="54"/>
      <c r="MIS2480" s="60"/>
      <c r="MIT2480" s="60"/>
      <c r="MIU2480" s="60"/>
      <c r="MIV2480" s="60"/>
      <c r="MIW2480" s="60"/>
      <c r="MIX2480" s="61"/>
      <c r="MIY2480" s="54"/>
      <c r="MIZ2480" s="54"/>
      <c r="MJA2480" s="60"/>
      <c r="MJB2480" s="60"/>
      <c r="MJC2480" s="60"/>
      <c r="MJD2480" s="60"/>
      <c r="MJE2480" s="60"/>
      <c r="MJF2480" s="61"/>
      <c r="MJG2480" s="54"/>
      <c r="MJH2480" s="54"/>
      <c r="MJI2480" s="60"/>
      <c r="MJJ2480" s="60"/>
      <c r="MJK2480" s="60"/>
      <c r="MJL2480" s="60"/>
      <c r="MJM2480" s="60"/>
      <c r="MJN2480" s="61"/>
      <c r="MJO2480" s="54"/>
      <c r="MJP2480" s="54"/>
      <c r="MJQ2480" s="60"/>
      <c r="MJR2480" s="60"/>
      <c r="MJS2480" s="60"/>
      <c r="MJT2480" s="60"/>
      <c r="MJU2480" s="60"/>
      <c r="MJV2480" s="61"/>
      <c r="MJW2480" s="54"/>
      <c r="MJX2480" s="54"/>
      <c r="MJY2480" s="60"/>
      <c r="MJZ2480" s="60"/>
      <c r="MKA2480" s="60"/>
      <c r="MKB2480" s="60"/>
      <c r="MKC2480" s="60"/>
      <c r="MKD2480" s="61"/>
      <c r="MKE2480" s="54"/>
      <c r="MKF2480" s="54"/>
      <c r="MKG2480" s="60"/>
      <c r="MKH2480" s="60"/>
      <c r="MKI2480" s="60"/>
      <c r="MKJ2480" s="60"/>
      <c r="MKK2480" s="60"/>
      <c r="MKL2480" s="61"/>
      <c r="MKM2480" s="54"/>
      <c r="MKN2480" s="54"/>
      <c r="MKO2480" s="60"/>
      <c r="MKP2480" s="60"/>
      <c r="MKQ2480" s="60"/>
      <c r="MKR2480" s="60"/>
      <c r="MKS2480" s="60"/>
      <c r="MKT2480" s="61"/>
      <c r="MKU2480" s="54"/>
      <c r="MKV2480" s="54"/>
      <c r="MKW2480" s="60"/>
      <c r="MKX2480" s="60"/>
      <c r="MKY2480" s="60"/>
      <c r="MKZ2480" s="60"/>
      <c r="MLA2480" s="60"/>
      <c r="MLB2480" s="61"/>
      <c r="MLC2480" s="54"/>
      <c r="MLD2480" s="54"/>
      <c r="MLE2480" s="60"/>
      <c r="MLF2480" s="60"/>
      <c r="MLG2480" s="60"/>
      <c r="MLH2480" s="60"/>
      <c r="MLI2480" s="60"/>
      <c r="MLJ2480" s="61"/>
      <c r="MLK2480" s="54"/>
      <c r="MLL2480" s="54"/>
      <c r="MLM2480" s="60"/>
      <c r="MLN2480" s="60"/>
      <c r="MLO2480" s="60"/>
      <c r="MLP2480" s="60"/>
      <c r="MLQ2480" s="60"/>
      <c r="MLR2480" s="61"/>
      <c r="MLS2480" s="54"/>
      <c r="MLT2480" s="54"/>
      <c r="MLU2480" s="60"/>
      <c r="MLV2480" s="60"/>
      <c r="MLW2480" s="60"/>
      <c r="MLX2480" s="60"/>
      <c r="MLY2480" s="60"/>
      <c r="MLZ2480" s="61"/>
      <c r="MMA2480" s="54"/>
      <c r="MMB2480" s="54"/>
      <c r="MMC2480" s="60"/>
      <c r="MMD2480" s="60"/>
      <c r="MME2480" s="60"/>
      <c r="MMF2480" s="60"/>
      <c r="MMG2480" s="60"/>
      <c r="MMH2480" s="61"/>
      <c r="MMI2480" s="54"/>
      <c r="MMJ2480" s="54"/>
      <c r="MMK2480" s="60"/>
      <c r="MML2480" s="60"/>
      <c r="MMM2480" s="60"/>
      <c r="MMN2480" s="60"/>
      <c r="MMO2480" s="60"/>
      <c r="MMP2480" s="61"/>
      <c r="MMQ2480" s="54"/>
      <c r="MMR2480" s="54"/>
      <c r="MMS2480" s="60"/>
      <c r="MMT2480" s="60"/>
      <c r="MMU2480" s="60"/>
      <c r="MMV2480" s="60"/>
      <c r="MMW2480" s="60"/>
      <c r="MMX2480" s="61"/>
      <c r="MMY2480" s="54"/>
      <c r="MMZ2480" s="54"/>
      <c r="MNA2480" s="60"/>
      <c r="MNB2480" s="60"/>
      <c r="MNC2480" s="60"/>
      <c r="MND2480" s="60"/>
      <c r="MNE2480" s="60"/>
      <c r="MNF2480" s="61"/>
      <c r="MNG2480" s="54"/>
      <c r="MNH2480" s="54"/>
      <c r="MNI2480" s="60"/>
      <c r="MNJ2480" s="60"/>
      <c r="MNK2480" s="60"/>
      <c r="MNL2480" s="60"/>
      <c r="MNM2480" s="60"/>
      <c r="MNN2480" s="61"/>
      <c r="MNO2480" s="54"/>
      <c r="MNP2480" s="54"/>
      <c r="MNQ2480" s="60"/>
      <c r="MNR2480" s="60"/>
      <c r="MNS2480" s="60"/>
      <c r="MNT2480" s="60"/>
      <c r="MNU2480" s="60"/>
      <c r="MNV2480" s="61"/>
      <c r="MNW2480" s="54"/>
      <c r="MNX2480" s="54"/>
      <c r="MNY2480" s="60"/>
      <c r="MNZ2480" s="60"/>
      <c r="MOA2480" s="60"/>
      <c r="MOB2480" s="60"/>
      <c r="MOC2480" s="60"/>
      <c r="MOD2480" s="61"/>
      <c r="MOE2480" s="54"/>
      <c r="MOF2480" s="54"/>
      <c r="MOG2480" s="60"/>
      <c r="MOH2480" s="60"/>
      <c r="MOI2480" s="60"/>
      <c r="MOJ2480" s="60"/>
      <c r="MOK2480" s="60"/>
      <c r="MOL2480" s="61"/>
      <c r="MOM2480" s="54"/>
      <c r="MON2480" s="54"/>
      <c r="MOO2480" s="60"/>
      <c r="MOP2480" s="60"/>
      <c r="MOQ2480" s="60"/>
      <c r="MOR2480" s="60"/>
      <c r="MOS2480" s="60"/>
      <c r="MOT2480" s="61"/>
      <c r="MOU2480" s="54"/>
      <c r="MOV2480" s="54"/>
      <c r="MOW2480" s="60"/>
      <c r="MOX2480" s="60"/>
      <c r="MOY2480" s="60"/>
      <c r="MOZ2480" s="60"/>
      <c r="MPA2480" s="60"/>
      <c r="MPB2480" s="61"/>
      <c r="MPC2480" s="54"/>
      <c r="MPD2480" s="54"/>
      <c r="MPE2480" s="60"/>
      <c r="MPF2480" s="60"/>
      <c r="MPG2480" s="60"/>
      <c r="MPH2480" s="60"/>
      <c r="MPI2480" s="60"/>
      <c r="MPJ2480" s="61"/>
      <c r="MPK2480" s="54"/>
      <c r="MPL2480" s="54"/>
      <c r="MPM2480" s="60"/>
      <c r="MPN2480" s="60"/>
      <c r="MPO2480" s="60"/>
      <c r="MPP2480" s="60"/>
      <c r="MPQ2480" s="60"/>
      <c r="MPR2480" s="61"/>
      <c r="MPS2480" s="54"/>
      <c r="MPT2480" s="54"/>
      <c r="MPU2480" s="60"/>
      <c r="MPV2480" s="60"/>
      <c r="MPW2480" s="60"/>
      <c r="MPX2480" s="60"/>
      <c r="MPY2480" s="60"/>
      <c r="MPZ2480" s="61"/>
      <c r="MQA2480" s="54"/>
      <c r="MQB2480" s="54"/>
      <c r="MQC2480" s="60"/>
      <c r="MQD2480" s="60"/>
      <c r="MQE2480" s="60"/>
      <c r="MQF2480" s="60"/>
      <c r="MQG2480" s="60"/>
      <c r="MQH2480" s="61"/>
      <c r="MQI2480" s="54"/>
      <c r="MQJ2480" s="54"/>
      <c r="MQK2480" s="60"/>
      <c r="MQL2480" s="60"/>
      <c r="MQM2480" s="60"/>
      <c r="MQN2480" s="60"/>
      <c r="MQO2480" s="60"/>
      <c r="MQP2480" s="61"/>
      <c r="MQQ2480" s="54"/>
      <c r="MQR2480" s="54"/>
      <c r="MQS2480" s="60"/>
      <c r="MQT2480" s="60"/>
      <c r="MQU2480" s="60"/>
      <c r="MQV2480" s="60"/>
      <c r="MQW2480" s="60"/>
      <c r="MQX2480" s="61"/>
      <c r="MQY2480" s="54"/>
      <c r="MQZ2480" s="54"/>
      <c r="MRA2480" s="60"/>
      <c r="MRB2480" s="60"/>
      <c r="MRC2480" s="60"/>
      <c r="MRD2480" s="60"/>
      <c r="MRE2480" s="60"/>
      <c r="MRF2480" s="61"/>
      <c r="MRG2480" s="54"/>
      <c r="MRH2480" s="54"/>
      <c r="MRI2480" s="60"/>
      <c r="MRJ2480" s="60"/>
      <c r="MRK2480" s="60"/>
      <c r="MRL2480" s="60"/>
      <c r="MRM2480" s="60"/>
      <c r="MRN2480" s="61"/>
      <c r="MRO2480" s="54"/>
      <c r="MRP2480" s="54"/>
      <c r="MRQ2480" s="60"/>
      <c r="MRR2480" s="60"/>
      <c r="MRS2480" s="60"/>
      <c r="MRT2480" s="60"/>
      <c r="MRU2480" s="60"/>
      <c r="MRV2480" s="61"/>
      <c r="MRW2480" s="54"/>
      <c r="MRX2480" s="54"/>
      <c r="MRY2480" s="60"/>
      <c r="MRZ2480" s="60"/>
      <c r="MSA2480" s="60"/>
      <c r="MSB2480" s="60"/>
      <c r="MSC2480" s="60"/>
      <c r="MSD2480" s="61"/>
      <c r="MSE2480" s="54"/>
      <c r="MSF2480" s="54"/>
      <c r="MSG2480" s="60"/>
      <c r="MSH2480" s="60"/>
      <c r="MSI2480" s="60"/>
      <c r="MSJ2480" s="60"/>
      <c r="MSK2480" s="60"/>
      <c r="MSL2480" s="61"/>
      <c r="MSM2480" s="54"/>
      <c r="MSN2480" s="54"/>
      <c r="MSO2480" s="60"/>
      <c r="MSP2480" s="60"/>
      <c r="MSQ2480" s="60"/>
      <c r="MSR2480" s="60"/>
      <c r="MSS2480" s="60"/>
      <c r="MST2480" s="61"/>
      <c r="MSU2480" s="54"/>
      <c r="MSV2480" s="54"/>
      <c r="MSW2480" s="60"/>
      <c r="MSX2480" s="60"/>
      <c r="MSY2480" s="60"/>
      <c r="MSZ2480" s="60"/>
      <c r="MTA2480" s="60"/>
      <c r="MTB2480" s="61"/>
      <c r="MTC2480" s="54"/>
      <c r="MTD2480" s="54"/>
      <c r="MTE2480" s="60"/>
      <c r="MTF2480" s="60"/>
      <c r="MTG2480" s="60"/>
      <c r="MTH2480" s="60"/>
      <c r="MTI2480" s="60"/>
      <c r="MTJ2480" s="61"/>
      <c r="MTK2480" s="54"/>
      <c r="MTL2480" s="54"/>
      <c r="MTM2480" s="60"/>
      <c r="MTN2480" s="60"/>
      <c r="MTO2480" s="60"/>
      <c r="MTP2480" s="60"/>
      <c r="MTQ2480" s="60"/>
      <c r="MTR2480" s="61"/>
      <c r="MTS2480" s="54"/>
      <c r="MTT2480" s="54"/>
      <c r="MTU2480" s="60"/>
      <c r="MTV2480" s="60"/>
      <c r="MTW2480" s="60"/>
      <c r="MTX2480" s="60"/>
      <c r="MTY2480" s="60"/>
      <c r="MTZ2480" s="61"/>
      <c r="MUA2480" s="54"/>
      <c r="MUB2480" s="54"/>
      <c r="MUC2480" s="60"/>
      <c r="MUD2480" s="60"/>
      <c r="MUE2480" s="60"/>
      <c r="MUF2480" s="60"/>
      <c r="MUG2480" s="60"/>
      <c r="MUH2480" s="61"/>
      <c r="MUI2480" s="54"/>
      <c r="MUJ2480" s="54"/>
      <c r="MUK2480" s="60"/>
      <c r="MUL2480" s="60"/>
      <c r="MUM2480" s="60"/>
      <c r="MUN2480" s="60"/>
      <c r="MUO2480" s="60"/>
      <c r="MUP2480" s="61"/>
      <c r="MUQ2480" s="54"/>
      <c r="MUR2480" s="54"/>
      <c r="MUS2480" s="60"/>
      <c r="MUT2480" s="60"/>
      <c r="MUU2480" s="60"/>
      <c r="MUV2480" s="60"/>
      <c r="MUW2480" s="60"/>
      <c r="MUX2480" s="61"/>
      <c r="MUY2480" s="54"/>
      <c r="MUZ2480" s="54"/>
      <c r="MVA2480" s="60"/>
      <c r="MVB2480" s="60"/>
      <c r="MVC2480" s="60"/>
      <c r="MVD2480" s="60"/>
      <c r="MVE2480" s="60"/>
      <c r="MVF2480" s="61"/>
      <c r="MVG2480" s="54"/>
      <c r="MVH2480" s="54"/>
      <c r="MVI2480" s="60"/>
      <c r="MVJ2480" s="60"/>
      <c r="MVK2480" s="60"/>
      <c r="MVL2480" s="60"/>
      <c r="MVM2480" s="60"/>
      <c r="MVN2480" s="61"/>
      <c r="MVO2480" s="54"/>
      <c r="MVP2480" s="54"/>
      <c r="MVQ2480" s="60"/>
      <c r="MVR2480" s="60"/>
      <c r="MVS2480" s="60"/>
      <c r="MVT2480" s="60"/>
      <c r="MVU2480" s="60"/>
      <c r="MVV2480" s="61"/>
      <c r="MVW2480" s="54"/>
      <c r="MVX2480" s="54"/>
      <c r="MVY2480" s="60"/>
      <c r="MVZ2480" s="60"/>
      <c r="MWA2480" s="60"/>
      <c r="MWB2480" s="60"/>
      <c r="MWC2480" s="60"/>
      <c r="MWD2480" s="61"/>
      <c r="MWE2480" s="54"/>
      <c r="MWF2480" s="54"/>
      <c r="MWG2480" s="60"/>
      <c r="MWH2480" s="60"/>
      <c r="MWI2480" s="60"/>
      <c r="MWJ2480" s="60"/>
      <c r="MWK2480" s="60"/>
      <c r="MWL2480" s="61"/>
      <c r="MWM2480" s="54"/>
      <c r="MWN2480" s="54"/>
      <c r="MWO2480" s="60"/>
      <c r="MWP2480" s="60"/>
      <c r="MWQ2480" s="60"/>
      <c r="MWR2480" s="60"/>
      <c r="MWS2480" s="60"/>
      <c r="MWT2480" s="61"/>
      <c r="MWU2480" s="54"/>
      <c r="MWV2480" s="54"/>
      <c r="MWW2480" s="60"/>
      <c r="MWX2480" s="60"/>
      <c r="MWY2480" s="60"/>
      <c r="MWZ2480" s="60"/>
      <c r="MXA2480" s="60"/>
      <c r="MXB2480" s="61"/>
      <c r="MXC2480" s="54"/>
      <c r="MXD2480" s="54"/>
      <c r="MXE2480" s="60"/>
      <c r="MXF2480" s="60"/>
      <c r="MXG2480" s="60"/>
      <c r="MXH2480" s="60"/>
      <c r="MXI2480" s="60"/>
      <c r="MXJ2480" s="61"/>
      <c r="MXK2480" s="54"/>
      <c r="MXL2480" s="54"/>
      <c r="MXM2480" s="60"/>
      <c r="MXN2480" s="60"/>
      <c r="MXO2480" s="60"/>
      <c r="MXP2480" s="60"/>
      <c r="MXQ2480" s="60"/>
      <c r="MXR2480" s="61"/>
      <c r="MXS2480" s="54"/>
      <c r="MXT2480" s="54"/>
      <c r="MXU2480" s="60"/>
      <c r="MXV2480" s="60"/>
      <c r="MXW2480" s="60"/>
      <c r="MXX2480" s="60"/>
      <c r="MXY2480" s="60"/>
      <c r="MXZ2480" s="61"/>
      <c r="MYA2480" s="54"/>
      <c r="MYB2480" s="54"/>
      <c r="MYC2480" s="60"/>
      <c r="MYD2480" s="60"/>
      <c r="MYE2480" s="60"/>
      <c r="MYF2480" s="60"/>
      <c r="MYG2480" s="60"/>
      <c r="MYH2480" s="61"/>
      <c r="MYI2480" s="54"/>
      <c r="MYJ2480" s="54"/>
      <c r="MYK2480" s="60"/>
      <c r="MYL2480" s="60"/>
      <c r="MYM2480" s="60"/>
      <c r="MYN2480" s="60"/>
      <c r="MYO2480" s="60"/>
      <c r="MYP2480" s="61"/>
      <c r="MYQ2480" s="54"/>
      <c r="MYR2480" s="54"/>
      <c r="MYS2480" s="60"/>
      <c r="MYT2480" s="60"/>
      <c r="MYU2480" s="60"/>
      <c r="MYV2480" s="60"/>
      <c r="MYW2480" s="60"/>
      <c r="MYX2480" s="61"/>
      <c r="MYY2480" s="54"/>
      <c r="MYZ2480" s="54"/>
      <c r="MZA2480" s="60"/>
      <c r="MZB2480" s="60"/>
      <c r="MZC2480" s="60"/>
      <c r="MZD2480" s="60"/>
      <c r="MZE2480" s="60"/>
      <c r="MZF2480" s="61"/>
      <c r="MZG2480" s="54"/>
      <c r="MZH2480" s="54"/>
      <c r="MZI2480" s="60"/>
      <c r="MZJ2480" s="60"/>
      <c r="MZK2480" s="60"/>
      <c r="MZL2480" s="60"/>
      <c r="MZM2480" s="60"/>
      <c r="MZN2480" s="61"/>
      <c r="MZO2480" s="54"/>
      <c r="MZP2480" s="54"/>
      <c r="MZQ2480" s="60"/>
      <c r="MZR2480" s="60"/>
      <c r="MZS2480" s="60"/>
      <c r="MZT2480" s="60"/>
      <c r="MZU2480" s="60"/>
      <c r="MZV2480" s="61"/>
      <c r="MZW2480" s="54"/>
      <c r="MZX2480" s="54"/>
      <c r="MZY2480" s="60"/>
      <c r="MZZ2480" s="60"/>
      <c r="NAA2480" s="60"/>
      <c r="NAB2480" s="60"/>
      <c r="NAC2480" s="60"/>
      <c r="NAD2480" s="61"/>
      <c r="NAE2480" s="54"/>
      <c r="NAF2480" s="54"/>
      <c r="NAG2480" s="60"/>
      <c r="NAH2480" s="60"/>
      <c r="NAI2480" s="60"/>
      <c r="NAJ2480" s="60"/>
      <c r="NAK2480" s="60"/>
      <c r="NAL2480" s="61"/>
      <c r="NAM2480" s="54"/>
      <c r="NAN2480" s="54"/>
      <c r="NAO2480" s="60"/>
      <c r="NAP2480" s="60"/>
      <c r="NAQ2480" s="60"/>
      <c r="NAR2480" s="60"/>
      <c r="NAS2480" s="60"/>
      <c r="NAT2480" s="61"/>
      <c r="NAU2480" s="54"/>
      <c r="NAV2480" s="54"/>
      <c r="NAW2480" s="60"/>
      <c r="NAX2480" s="60"/>
      <c r="NAY2480" s="60"/>
      <c r="NAZ2480" s="60"/>
      <c r="NBA2480" s="60"/>
      <c r="NBB2480" s="61"/>
      <c r="NBC2480" s="54"/>
      <c r="NBD2480" s="54"/>
      <c r="NBE2480" s="60"/>
      <c r="NBF2480" s="60"/>
      <c r="NBG2480" s="60"/>
      <c r="NBH2480" s="60"/>
      <c r="NBI2480" s="60"/>
      <c r="NBJ2480" s="61"/>
      <c r="NBK2480" s="54"/>
      <c r="NBL2480" s="54"/>
      <c r="NBM2480" s="60"/>
      <c r="NBN2480" s="60"/>
      <c r="NBO2480" s="60"/>
      <c r="NBP2480" s="60"/>
      <c r="NBQ2480" s="60"/>
      <c r="NBR2480" s="61"/>
      <c r="NBS2480" s="54"/>
      <c r="NBT2480" s="54"/>
      <c r="NBU2480" s="60"/>
      <c r="NBV2480" s="60"/>
      <c r="NBW2480" s="60"/>
      <c r="NBX2480" s="60"/>
      <c r="NBY2480" s="60"/>
      <c r="NBZ2480" s="61"/>
      <c r="NCA2480" s="54"/>
      <c r="NCB2480" s="54"/>
      <c r="NCC2480" s="60"/>
      <c r="NCD2480" s="60"/>
      <c r="NCE2480" s="60"/>
      <c r="NCF2480" s="60"/>
      <c r="NCG2480" s="60"/>
      <c r="NCH2480" s="61"/>
      <c r="NCI2480" s="54"/>
      <c r="NCJ2480" s="54"/>
      <c r="NCK2480" s="60"/>
      <c r="NCL2480" s="60"/>
      <c r="NCM2480" s="60"/>
      <c r="NCN2480" s="60"/>
      <c r="NCO2480" s="60"/>
      <c r="NCP2480" s="61"/>
      <c r="NCQ2480" s="54"/>
      <c r="NCR2480" s="54"/>
      <c r="NCS2480" s="60"/>
      <c r="NCT2480" s="60"/>
      <c r="NCU2480" s="60"/>
      <c r="NCV2480" s="60"/>
      <c r="NCW2480" s="60"/>
      <c r="NCX2480" s="61"/>
      <c r="NCY2480" s="54"/>
      <c r="NCZ2480" s="54"/>
      <c r="NDA2480" s="60"/>
      <c r="NDB2480" s="60"/>
      <c r="NDC2480" s="60"/>
      <c r="NDD2480" s="60"/>
      <c r="NDE2480" s="60"/>
      <c r="NDF2480" s="61"/>
      <c r="NDG2480" s="54"/>
      <c r="NDH2480" s="54"/>
      <c r="NDI2480" s="60"/>
      <c r="NDJ2480" s="60"/>
      <c r="NDK2480" s="60"/>
      <c r="NDL2480" s="60"/>
      <c r="NDM2480" s="60"/>
      <c r="NDN2480" s="61"/>
      <c r="NDO2480" s="54"/>
      <c r="NDP2480" s="54"/>
      <c r="NDQ2480" s="60"/>
      <c r="NDR2480" s="60"/>
      <c r="NDS2480" s="60"/>
      <c r="NDT2480" s="60"/>
      <c r="NDU2480" s="60"/>
      <c r="NDV2480" s="61"/>
      <c r="NDW2480" s="54"/>
      <c r="NDX2480" s="54"/>
      <c r="NDY2480" s="60"/>
      <c r="NDZ2480" s="60"/>
      <c r="NEA2480" s="60"/>
      <c r="NEB2480" s="60"/>
      <c r="NEC2480" s="60"/>
      <c r="NED2480" s="61"/>
      <c r="NEE2480" s="54"/>
      <c r="NEF2480" s="54"/>
      <c r="NEG2480" s="60"/>
      <c r="NEH2480" s="60"/>
      <c r="NEI2480" s="60"/>
      <c r="NEJ2480" s="60"/>
      <c r="NEK2480" s="60"/>
      <c r="NEL2480" s="61"/>
      <c r="NEM2480" s="54"/>
      <c r="NEN2480" s="54"/>
      <c r="NEO2480" s="60"/>
      <c r="NEP2480" s="60"/>
      <c r="NEQ2480" s="60"/>
      <c r="NER2480" s="60"/>
      <c r="NES2480" s="60"/>
      <c r="NET2480" s="61"/>
      <c r="NEU2480" s="54"/>
      <c r="NEV2480" s="54"/>
      <c r="NEW2480" s="60"/>
      <c r="NEX2480" s="60"/>
      <c r="NEY2480" s="60"/>
      <c r="NEZ2480" s="60"/>
      <c r="NFA2480" s="60"/>
      <c r="NFB2480" s="61"/>
      <c r="NFC2480" s="54"/>
      <c r="NFD2480" s="54"/>
      <c r="NFE2480" s="60"/>
      <c r="NFF2480" s="60"/>
      <c r="NFG2480" s="60"/>
      <c r="NFH2480" s="60"/>
      <c r="NFI2480" s="60"/>
      <c r="NFJ2480" s="61"/>
      <c r="NFK2480" s="54"/>
      <c r="NFL2480" s="54"/>
      <c r="NFM2480" s="60"/>
      <c r="NFN2480" s="60"/>
      <c r="NFO2480" s="60"/>
      <c r="NFP2480" s="60"/>
      <c r="NFQ2480" s="60"/>
      <c r="NFR2480" s="61"/>
      <c r="NFS2480" s="54"/>
      <c r="NFT2480" s="54"/>
      <c r="NFU2480" s="60"/>
      <c r="NFV2480" s="60"/>
      <c r="NFW2480" s="60"/>
      <c r="NFX2480" s="60"/>
      <c r="NFY2480" s="60"/>
      <c r="NFZ2480" s="61"/>
      <c r="NGA2480" s="54"/>
      <c r="NGB2480" s="54"/>
      <c r="NGC2480" s="60"/>
      <c r="NGD2480" s="60"/>
      <c r="NGE2480" s="60"/>
      <c r="NGF2480" s="60"/>
      <c r="NGG2480" s="60"/>
      <c r="NGH2480" s="61"/>
      <c r="NGI2480" s="54"/>
      <c r="NGJ2480" s="54"/>
      <c r="NGK2480" s="60"/>
      <c r="NGL2480" s="60"/>
      <c r="NGM2480" s="60"/>
      <c r="NGN2480" s="60"/>
      <c r="NGO2480" s="60"/>
      <c r="NGP2480" s="61"/>
      <c r="NGQ2480" s="54"/>
      <c r="NGR2480" s="54"/>
      <c r="NGS2480" s="60"/>
      <c r="NGT2480" s="60"/>
      <c r="NGU2480" s="60"/>
      <c r="NGV2480" s="60"/>
      <c r="NGW2480" s="60"/>
      <c r="NGX2480" s="61"/>
      <c r="NGY2480" s="54"/>
      <c r="NGZ2480" s="54"/>
      <c r="NHA2480" s="60"/>
      <c r="NHB2480" s="60"/>
      <c r="NHC2480" s="60"/>
      <c r="NHD2480" s="60"/>
      <c r="NHE2480" s="60"/>
      <c r="NHF2480" s="61"/>
      <c r="NHG2480" s="54"/>
      <c r="NHH2480" s="54"/>
      <c r="NHI2480" s="60"/>
      <c r="NHJ2480" s="60"/>
      <c r="NHK2480" s="60"/>
      <c r="NHL2480" s="60"/>
      <c r="NHM2480" s="60"/>
      <c r="NHN2480" s="61"/>
      <c r="NHO2480" s="54"/>
      <c r="NHP2480" s="54"/>
      <c r="NHQ2480" s="60"/>
      <c r="NHR2480" s="60"/>
      <c r="NHS2480" s="60"/>
      <c r="NHT2480" s="60"/>
      <c r="NHU2480" s="60"/>
      <c r="NHV2480" s="61"/>
      <c r="NHW2480" s="54"/>
      <c r="NHX2480" s="54"/>
      <c r="NHY2480" s="60"/>
      <c r="NHZ2480" s="60"/>
      <c r="NIA2480" s="60"/>
      <c r="NIB2480" s="60"/>
      <c r="NIC2480" s="60"/>
      <c r="NID2480" s="61"/>
      <c r="NIE2480" s="54"/>
      <c r="NIF2480" s="54"/>
      <c r="NIG2480" s="60"/>
      <c r="NIH2480" s="60"/>
      <c r="NII2480" s="60"/>
      <c r="NIJ2480" s="60"/>
      <c r="NIK2480" s="60"/>
      <c r="NIL2480" s="61"/>
      <c r="NIM2480" s="54"/>
      <c r="NIN2480" s="54"/>
      <c r="NIO2480" s="60"/>
      <c r="NIP2480" s="60"/>
      <c r="NIQ2480" s="60"/>
      <c r="NIR2480" s="60"/>
      <c r="NIS2480" s="60"/>
      <c r="NIT2480" s="61"/>
      <c r="NIU2480" s="54"/>
      <c r="NIV2480" s="54"/>
      <c r="NIW2480" s="60"/>
      <c r="NIX2480" s="60"/>
      <c r="NIY2480" s="60"/>
      <c r="NIZ2480" s="60"/>
      <c r="NJA2480" s="60"/>
      <c r="NJB2480" s="61"/>
      <c r="NJC2480" s="54"/>
      <c r="NJD2480" s="54"/>
      <c r="NJE2480" s="60"/>
      <c r="NJF2480" s="60"/>
      <c r="NJG2480" s="60"/>
      <c r="NJH2480" s="60"/>
      <c r="NJI2480" s="60"/>
      <c r="NJJ2480" s="61"/>
      <c r="NJK2480" s="54"/>
      <c r="NJL2480" s="54"/>
      <c r="NJM2480" s="60"/>
      <c r="NJN2480" s="60"/>
      <c r="NJO2480" s="60"/>
      <c r="NJP2480" s="60"/>
      <c r="NJQ2480" s="60"/>
      <c r="NJR2480" s="61"/>
      <c r="NJS2480" s="54"/>
      <c r="NJT2480" s="54"/>
      <c r="NJU2480" s="60"/>
      <c r="NJV2480" s="60"/>
      <c r="NJW2480" s="60"/>
      <c r="NJX2480" s="60"/>
      <c r="NJY2480" s="60"/>
      <c r="NJZ2480" s="61"/>
      <c r="NKA2480" s="54"/>
      <c r="NKB2480" s="54"/>
      <c r="NKC2480" s="60"/>
      <c r="NKD2480" s="60"/>
      <c r="NKE2480" s="60"/>
      <c r="NKF2480" s="60"/>
      <c r="NKG2480" s="60"/>
      <c r="NKH2480" s="61"/>
      <c r="NKI2480" s="54"/>
      <c r="NKJ2480" s="54"/>
      <c r="NKK2480" s="60"/>
      <c r="NKL2480" s="60"/>
      <c r="NKM2480" s="60"/>
      <c r="NKN2480" s="60"/>
      <c r="NKO2480" s="60"/>
      <c r="NKP2480" s="61"/>
      <c r="NKQ2480" s="54"/>
      <c r="NKR2480" s="54"/>
      <c r="NKS2480" s="60"/>
      <c r="NKT2480" s="60"/>
      <c r="NKU2480" s="60"/>
      <c r="NKV2480" s="60"/>
      <c r="NKW2480" s="60"/>
      <c r="NKX2480" s="61"/>
      <c r="NKY2480" s="54"/>
      <c r="NKZ2480" s="54"/>
      <c r="NLA2480" s="60"/>
      <c r="NLB2480" s="60"/>
      <c r="NLC2480" s="60"/>
      <c r="NLD2480" s="60"/>
      <c r="NLE2480" s="60"/>
      <c r="NLF2480" s="61"/>
      <c r="NLG2480" s="54"/>
      <c r="NLH2480" s="54"/>
      <c r="NLI2480" s="60"/>
      <c r="NLJ2480" s="60"/>
      <c r="NLK2480" s="60"/>
      <c r="NLL2480" s="60"/>
      <c r="NLM2480" s="60"/>
      <c r="NLN2480" s="61"/>
      <c r="NLO2480" s="54"/>
      <c r="NLP2480" s="54"/>
      <c r="NLQ2480" s="60"/>
      <c r="NLR2480" s="60"/>
      <c r="NLS2480" s="60"/>
      <c r="NLT2480" s="60"/>
      <c r="NLU2480" s="60"/>
      <c r="NLV2480" s="61"/>
      <c r="NLW2480" s="54"/>
      <c r="NLX2480" s="54"/>
      <c r="NLY2480" s="60"/>
      <c r="NLZ2480" s="60"/>
      <c r="NMA2480" s="60"/>
      <c r="NMB2480" s="60"/>
      <c r="NMC2480" s="60"/>
      <c r="NMD2480" s="61"/>
      <c r="NME2480" s="54"/>
      <c r="NMF2480" s="54"/>
      <c r="NMG2480" s="60"/>
      <c r="NMH2480" s="60"/>
      <c r="NMI2480" s="60"/>
      <c r="NMJ2480" s="60"/>
      <c r="NMK2480" s="60"/>
      <c r="NML2480" s="61"/>
      <c r="NMM2480" s="54"/>
      <c r="NMN2480" s="54"/>
      <c r="NMO2480" s="60"/>
      <c r="NMP2480" s="60"/>
      <c r="NMQ2480" s="60"/>
      <c r="NMR2480" s="60"/>
      <c r="NMS2480" s="60"/>
      <c r="NMT2480" s="61"/>
      <c r="NMU2480" s="54"/>
      <c r="NMV2480" s="54"/>
      <c r="NMW2480" s="60"/>
      <c r="NMX2480" s="60"/>
      <c r="NMY2480" s="60"/>
      <c r="NMZ2480" s="60"/>
      <c r="NNA2480" s="60"/>
      <c r="NNB2480" s="61"/>
      <c r="NNC2480" s="54"/>
      <c r="NND2480" s="54"/>
      <c r="NNE2480" s="60"/>
      <c r="NNF2480" s="60"/>
      <c r="NNG2480" s="60"/>
      <c r="NNH2480" s="60"/>
      <c r="NNI2480" s="60"/>
      <c r="NNJ2480" s="61"/>
      <c r="NNK2480" s="54"/>
      <c r="NNL2480" s="54"/>
      <c r="NNM2480" s="60"/>
      <c r="NNN2480" s="60"/>
      <c r="NNO2480" s="60"/>
      <c r="NNP2480" s="60"/>
      <c r="NNQ2480" s="60"/>
      <c r="NNR2480" s="61"/>
      <c r="NNS2480" s="54"/>
      <c r="NNT2480" s="54"/>
      <c r="NNU2480" s="60"/>
      <c r="NNV2480" s="60"/>
      <c r="NNW2480" s="60"/>
      <c r="NNX2480" s="60"/>
      <c r="NNY2480" s="60"/>
      <c r="NNZ2480" s="61"/>
      <c r="NOA2480" s="54"/>
      <c r="NOB2480" s="54"/>
      <c r="NOC2480" s="60"/>
      <c r="NOD2480" s="60"/>
      <c r="NOE2480" s="60"/>
      <c r="NOF2480" s="60"/>
      <c r="NOG2480" s="60"/>
      <c r="NOH2480" s="61"/>
      <c r="NOI2480" s="54"/>
      <c r="NOJ2480" s="54"/>
      <c r="NOK2480" s="60"/>
      <c r="NOL2480" s="60"/>
      <c r="NOM2480" s="60"/>
      <c r="NON2480" s="60"/>
      <c r="NOO2480" s="60"/>
      <c r="NOP2480" s="61"/>
      <c r="NOQ2480" s="54"/>
      <c r="NOR2480" s="54"/>
      <c r="NOS2480" s="60"/>
      <c r="NOT2480" s="60"/>
      <c r="NOU2480" s="60"/>
      <c r="NOV2480" s="60"/>
      <c r="NOW2480" s="60"/>
      <c r="NOX2480" s="61"/>
      <c r="NOY2480" s="54"/>
      <c r="NOZ2480" s="54"/>
      <c r="NPA2480" s="60"/>
      <c r="NPB2480" s="60"/>
      <c r="NPC2480" s="60"/>
      <c r="NPD2480" s="60"/>
      <c r="NPE2480" s="60"/>
      <c r="NPF2480" s="61"/>
      <c r="NPG2480" s="54"/>
      <c r="NPH2480" s="54"/>
      <c r="NPI2480" s="60"/>
      <c r="NPJ2480" s="60"/>
      <c r="NPK2480" s="60"/>
      <c r="NPL2480" s="60"/>
      <c r="NPM2480" s="60"/>
      <c r="NPN2480" s="61"/>
      <c r="NPO2480" s="54"/>
      <c r="NPP2480" s="54"/>
      <c r="NPQ2480" s="60"/>
      <c r="NPR2480" s="60"/>
      <c r="NPS2480" s="60"/>
      <c r="NPT2480" s="60"/>
      <c r="NPU2480" s="60"/>
      <c r="NPV2480" s="61"/>
      <c r="NPW2480" s="54"/>
      <c r="NPX2480" s="54"/>
      <c r="NPY2480" s="60"/>
      <c r="NPZ2480" s="60"/>
      <c r="NQA2480" s="60"/>
      <c r="NQB2480" s="60"/>
      <c r="NQC2480" s="60"/>
      <c r="NQD2480" s="61"/>
      <c r="NQE2480" s="54"/>
      <c r="NQF2480" s="54"/>
      <c r="NQG2480" s="60"/>
      <c r="NQH2480" s="60"/>
      <c r="NQI2480" s="60"/>
      <c r="NQJ2480" s="60"/>
      <c r="NQK2480" s="60"/>
      <c r="NQL2480" s="61"/>
      <c r="NQM2480" s="54"/>
      <c r="NQN2480" s="54"/>
      <c r="NQO2480" s="60"/>
      <c r="NQP2480" s="60"/>
      <c r="NQQ2480" s="60"/>
      <c r="NQR2480" s="60"/>
      <c r="NQS2480" s="60"/>
      <c r="NQT2480" s="61"/>
      <c r="NQU2480" s="54"/>
      <c r="NQV2480" s="54"/>
      <c r="NQW2480" s="60"/>
      <c r="NQX2480" s="60"/>
      <c r="NQY2480" s="60"/>
      <c r="NQZ2480" s="60"/>
      <c r="NRA2480" s="60"/>
      <c r="NRB2480" s="61"/>
      <c r="NRC2480" s="54"/>
      <c r="NRD2480" s="54"/>
      <c r="NRE2480" s="60"/>
      <c r="NRF2480" s="60"/>
      <c r="NRG2480" s="60"/>
      <c r="NRH2480" s="60"/>
      <c r="NRI2480" s="60"/>
      <c r="NRJ2480" s="61"/>
      <c r="NRK2480" s="54"/>
      <c r="NRL2480" s="54"/>
      <c r="NRM2480" s="60"/>
      <c r="NRN2480" s="60"/>
      <c r="NRO2480" s="60"/>
      <c r="NRP2480" s="60"/>
      <c r="NRQ2480" s="60"/>
      <c r="NRR2480" s="61"/>
      <c r="NRS2480" s="54"/>
      <c r="NRT2480" s="54"/>
      <c r="NRU2480" s="60"/>
      <c r="NRV2480" s="60"/>
      <c r="NRW2480" s="60"/>
      <c r="NRX2480" s="60"/>
      <c r="NRY2480" s="60"/>
      <c r="NRZ2480" s="61"/>
      <c r="NSA2480" s="54"/>
      <c r="NSB2480" s="54"/>
      <c r="NSC2480" s="60"/>
      <c r="NSD2480" s="60"/>
      <c r="NSE2480" s="60"/>
      <c r="NSF2480" s="60"/>
      <c r="NSG2480" s="60"/>
      <c r="NSH2480" s="61"/>
      <c r="NSI2480" s="54"/>
      <c r="NSJ2480" s="54"/>
      <c r="NSK2480" s="60"/>
      <c r="NSL2480" s="60"/>
      <c r="NSM2480" s="60"/>
      <c r="NSN2480" s="60"/>
      <c r="NSO2480" s="60"/>
      <c r="NSP2480" s="61"/>
      <c r="NSQ2480" s="54"/>
      <c r="NSR2480" s="54"/>
      <c r="NSS2480" s="60"/>
      <c r="NST2480" s="60"/>
      <c r="NSU2480" s="60"/>
      <c r="NSV2480" s="60"/>
      <c r="NSW2480" s="60"/>
      <c r="NSX2480" s="61"/>
      <c r="NSY2480" s="54"/>
      <c r="NSZ2480" s="54"/>
      <c r="NTA2480" s="60"/>
      <c r="NTB2480" s="60"/>
      <c r="NTC2480" s="60"/>
      <c r="NTD2480" s="60"/>
      <c r="NTE2480" s="60"/>
      <c r="NTF2480" s="61"/>
      <c r="NTG2480" s="54"/>
      <c r="NTH2480" s="54"/>
      <c r="NTI2480" s="60"/>
      <c r="NTJ2480" s="60"/>
      <c r="NTK2480" s="60"/>
      <c r="NTL2480" s="60"/>
      <c r="NTM2480" s="60"/>
      <c r="NTN2480" s="61"/>
      <c r="NTO2480" s="54"/>
      <c r="NTP2480" s="54"/>
      <c r="NTQ2480" s="60"/>
      <c r="NTR2480" s="60"/>
      <c r="NTS2480" s="60"/>
      <c r="NTT2480" s="60"/>
      <c r="NTU2480" s="60"/>
      <c r="NTV2480" s="61"/>
      <c r="NTW2480" s="54"/>
      <c r="NTX2480" s="54"/>
      <c r="NTY2480" s="60"/>
      <c r="NTZ2480" s="60"/>
      <c r="NUA2480" s="60"/>
      <c r="NUB2480" s="60"/>
      <c r="NUC2480" s="60"/>
      <c r="NUD2480" s="61"/>
      <c r="NUE2480" s="54"/>
      <c r="NUF2480" s="54"/>
      <c r="NUG2480" s="60"/>
      <c r="NUH2480" s="60"/>
      <c r="NUI2480" s="60"/>
      <c r="NUJ2480" s="60"/>
      <c r="NUK2480" s="60"/>
      <c r="NUL2480" s="61"/>
      <c r="NUM2480" s="54"/>
      <c r="NUN2480" s="54"/>
      <c r="NUO2480" s="60"/>
      <c r="NUP2480" s="60"/>
      <c r="NUQ2480" s="60"/>
      <c r="NUR2480" s="60"/>
      <c r="NUS2480" s="60"/>
      <c r="NUT2480" s="61"/>
      <c r="NUU2480" s="54"/>
      <c r="NUV2480" s="54"/>
      <c r="NUW2480" s="60"/>
      <c r="NUX2480" s="60"/>
      <c r="NUY2480" s="60"/>
      <c r="NUZ2480" s="60"/>
      <c r="NVA2480" s="60"/>
      <c r="NVB2480" s="61"/>
      <c r="NVC2480" s="54"/>
      <c r="NVD2480" s="54"/>
      <c r="NVE2480" s="60"/>
      <c r="NVF2480" s="60"/>
      <c r="NVG2480" s="60"/>
      <c r="NVH2480" s="60"/>
      <c r="NVI2480" s="60"/>
      <c r="NVJ2480" s="61"/>
      <c r="NVK2480" s="54"/>
      <c r="NVL2480" s="54"/>
      <c r="NVM2480" s="60"/>
      <c r="NVN2480" s="60"/>
      <c r="NVO2480" s="60"/>
      <c r="NVP2480" s="60"/>
      <c r="NVQ2480" s="60"/>
      <c r="NVR2480" s="61"/>
      <c r="NVS2480" s="54"/>
      <c r="NVT2480" s="54"/>
      <c r="NVU2480" s="60"/>
      <c r="NVV2480" s="60"/>
      <c r="NVW2480" s="60"/>
      <c r="NVX2480" s="60"/>
      <c r="NVY2480" s="60"/>
      <c r="NVZ2480" s="61"/>
      <c r="NWA2480" s="54"/>
      <c r="NWB2480" s="54"/>
      <c r="NWC2480" s="60"/>
      <c r="NWD2480" s="60"/>
      <c r="NWE2480" s="60"/>
      <c r="NWF2480" s="60"/>
      <c r="NWG2480" s="60"/>
      <c r="NWH2480" s="61"/>
      <c r="NWI2480" s="54"/>
      <c r="NWJ2480" s="54"/>
      <c r="NWK2480" s="60"/>
      <c r="NWL2480" s="60"/>
      <c r="NWM2480" s="60"/>
      <c r="NWN2480" s="60"/>
      <c r="NWO2480" s="60"/>
      <c r="NWP2480" s="61"/>
      <c r="NWQ2480" s="54"/>
      <c r="NWR2480" s="54"/>
      <c r="NWS2480" s="60"/>
      <c r="NWT2480" s="60"/>
      <c r="NWU2480" s="60"/>
      <c r="NWV2480" s="60"/>
      <c r="NWW2480" s="60"/>
      <c r="NWX2480" s="61"/>
      <c r="NWY2480" s="54"/>
      <c r="NWZ2480" s="54"/>
      <c r="NXA2480" s="60"/>
      <c r="NXB2480" s="60"/>
      <c r="NXC2480" s="60"/>
      <c r="NXD2480" s="60"/>
      <c r="NXE2480" s="60"/>
      <c r="NXF2480" s="61"/>
      <c r="NXG2480" s="54"/>
      <c r="NXH2480" s="54"/>
      <c r="NXI2480" s="60"/>
      <c r="NXJ2480" s="60"/>
      <c r="NXK2480" s="60"/>
      <c r="NXL2480" s="60"/>
      <c r="NXM2480" s="60"/>
      <c r="NXN2480" s="61"/>
      <c r="NXO2480" s="54"/>
      <c r="NXP2480" s="54"/>
      <c r="NXQ2480" s="60"/>
      <c r="NXR2480" s="60"/>
      <c r="NXS2480" s="60"/>
      <c r="NXT2480" s="60"/>
      <c r="NXU2480" s="60"/>
      <c r="NXV2480" s="61"/>
      <c r="NXW2480" s="54"/>
      <c r="NXX2480" s="54"/>
      <c r="NXY2480" s="60"/>
      <c r="NXZ2480" s="60"/>
      <c r="NYA2480" s="60"/>
      <c r="NYB2480" s="60"/>
      <c r="NYC2480" s="60"/>
      <c r="NYD2480" s="61"/>
      <c r="NYE2480" s="54"/>
      <c r="NYF2480" s="54"/>
      <c r="NYG2480" s="60"/>
      <c r="NYH2480" s="60"/>
      <c r="NYI2480" s="60"/>
      <c r="NYJ2480" s="60"/>
      <c r="NYK2480" s="60"/>
      <c r="NYL2480" s="61"/>
      <c r="NYM2480" s="54"/>
      <c r="NYN2480" s="54"/>
      <c r="NYO2480" s="60"/>
      <c r="NYP2480" s="60"/>
      <c r="NYQ2480" s="60"/>
      <c r="NYR2480" s="60"/>
      <c r="NYS2480" s="60"/>
      <c r="NYT2480" s="61"/>
      <c r="NYU2480" s="54"/>
      <c r="NYV2480" s="54"/>
      <c r="NYW2480" s="60"/>
      <c r="NYX2480" s="60"/>
      <c r="NYY2480" s="60"/>
      <c r="NYZ2480" s="60"/>
      <c r="NZA2480" s="60"/>
      <c r="NZB2480" s="61"/>
      <c r="NZC2480" s="54"/>
      <c r="NZD2480" s="54"/>
      <c r="NZE2480" s="60"/>
      <c r="NZF2480" s="60"/>
      <c r="NZG2480" s="60"/>
      <c r="NZH2480" s="60"/>
      <c r="NZI2480" s="60"/>
      <c r="NZJ2480" s="61"/>
      <c r="NZK2480" s="54"/>
      <c r="NZL2480" s="54"/>
      <c r="NZM2480" s="60"/>
      <c r="NZN2480" s="60"/>
      <c r="NZO2480" s="60"/>
      <c r="NZP2480" s="60"/>
      <c r="NZQ2480" s="60"/>
      <c r="NZR2480" s="61"/>
      <c r="NZS2480" s="54"/>
      <c r="NZT2480" s="54"/>
      <c r="NZU2480" s="60"/>
      <c r="NZV2480" s="60"/>
      <c r="NZW2480" s="60"/>
      <c r="NZX2480" s="60"/>
      <c r="NZY2480" s="60"/>
      <c r="NZZ2480" s="61"/>
      <c r="OAA2480" s="54"/>
      <c r="OAB2480" s="54"/>
      <c r="OAC2480" s="60"/>
      <c r="OAD2480" s="60"/>
      <c r="OAE2480" s="60"/>
      <c r="OAF2480" s="60"/>
      <c r="OAG2480" s="60"/>
      <c r="OAH2480" s="61"/>
      <c r="OAI2480" s="54"/>
      <c r="OAJ2480" s="54"/>
      <c r="OAK2480" s="60"/>
      <c r="OAL2480" s="60"/>
      <c r="OAM2480" s="60"/>
      <c r="OAN2480" s="60"/>
      <c r="OAO2480" s="60"/>
      <c r="OAP2480" s="61"/>
      <c r="OAQ2480" s="54"/>
      <c r="OAR2480" s="54"/>
      <c r="OAS2480" s="60"/>
      <c r="OAT2480" s="60"/>
      <c r="OAU2480" s="60"/>
      <c r="OAV2480" s="60"/>
      <c r="OAW2480" s="60"/>
      <c r="OAX2480" s="61"/>
      <c r="OAY2480" s="54"/>
      <c r="OAZ2480" s="54"/>
      <c r="OBA2480" s="60"/>
      <c r="OBB2480" s="60"/>
      <c r="OBC2480" s="60"/>
      <c r="OBD2480" s="60"/>
      <c r="OBE2480" s="60"/>
      <c r="OBF2480" s="61"/>
      <c r="OBG2480" s="54"/>
      <c r="OBH2480" s="54"/>
      <c r="OBI2480" s="60"/>
      <c r="OBJ2480" s="60"/>
      <c r="OBK2480" s="60"/>
      <c r="OBL2480" s="60"/>
      <c r="OBM2480" s="60"/>
      <c r="OBN2480" s="61"/>
      <c r="OBO2480" s="54"/>
      <c r="OBP2480" s="54"/>
      <c r="OBQ2480" s="60"/>
      <c r="OBR2480" s="60"/>
      <c r="OBS2480" s="60"/>
      <c r="OBT2480" s="60"/>
      <c r="OBU2480" s="60"/>
      <c r="OBV2480" s="61"/>
      <c r="OBW2480" s="54"/>
      <c r="OBX2480" s="54"/>
      <c r="OBY2480" s="60"/>
      <c r="OBZ2480" s="60"/>
      <c r="OCA2480" s="60"/>
      <c r="OCB2480" s="60"/>
      <c r="OCC2480" s="60"/>
      <c r="OCD2480" s="61"/>
      <c r="OCE2480" s="54"/>
      <c r="OCF2480" s="54"/>
      <c r="OCG2480" s="60"/>
      <c r="OCH2480" s="60"/>
      <c r="OCI2480" s="60"/>
      <c r="OCJ2480" s="60"/>
      <c r="OCK2480" s="60"/>
      <c r="OCL2480" s="61"/>
      <c r="OCM2480" s="54"/>
      <c r="OCN2480" s="54"/>
      <c r="OCO2480" s="60"/>
      <c r="OCP2480" s="60"/>
      <c r="OCQ2480" s="60"/>
      <c r="OCR2480" s="60"/>
      <c r="OCS2480" s="60"/>
      <c r="OCT2480" s="61"/>
      <c r="OCU2480" s="54"/>
      <c r="OCV2480" s="54"/>
      <c r="OCW2480" s="60"/>
      <c r="OCX2480" s="60"/>
      <c r="OCY2480" s="60"/>
      <c r="OCZ2480" s="60"/>
      <c r="ODA2480" s="60"/>
      <c r="ODB2480" s="61"/>
      <c r="ODC2480" s="54"/>
      <c r="ODD2480" s="54"/>
      <c r="ODE2480" s="60"/>
      <c r="ODF2480" s="60"/>
      <c r="ODG2480" s="60"/>
      <c r="ODH2480" s="60"/>
      <c r="ODI2480" s="60"/>
      <c r="ODJ2480" s="61"/>
      <c r="ODK2480" s="54"/>
      <c r="ODL2480" s="54"/>
      <c r="ODM2480" s="60"/>
      <c r="ODN2480" s="60"/>
      <c r="ODO2480" s="60"/>
      <c r="ODP2480" s="60"/>
      <c r="ODQ2480" s="60"/>
      <c r="ODR2480" s="61"/>
      <c r="ODS2480" s="54"/>
      <c r="ODT2480" s="54"/>
      <c r="ODU2480" s="60"/>
      <c r="ODV2480" s="60"/>
      <c r="ODW2480" s="60"/>
      <c r="ODX2480" s="60"/>
      <c r="ODY2480" s="60"/>
      <c r="ODZ2480" s="61"/>
      <c r="OEA2480" s="54"/>
      <c r="OEB2480" s="54"/>
      <c r="OEC2480" s="60"/>
      <c r="OED2480" s="60"/>
      <c r="OEE2480" s="60"/>
      <c r="OEF2480" s="60"/>
      <c r="OEG2480" s="60"/>
      <c r="OEH2480" s="61"/>
      <c r="OEI2480" s="54"/>
      <c r="OEJ2480" s="54"/>
      <c r="OEK2480" s="60"/>
      <c r="OEL2480" s="60"/>
      <c r="OEM2480" s="60"/>
      <c r="OEN2480" s="60"/>
      <c r="OEO2480" s="60"/>
      <c r="OEP2480" s="61"/>
      <c r="OEQ2480" s="54"/>
      <c r="OER2480" s="54"/>
      <c r="OES2480" s="60"/>
      <c r="OET2480" s="60"/>
      <c r="OEU2480" s="60"/>
      <c r="OEV2480" s="60"/>
      <c r="OEW2480" s="60"/>
      <c r="OEX2480" s="61"/>
      <c r="OEY2480" s="54"/>
      <c r="OEZ2480" s="54"/>
      <c r="OFA2480" s="60"/>
      <c r="OFB2480" s="60"/>
      <c r="OFC2480" s="60"/>
      <c r="OFD2480" s="60"/>
      <c r="OFE2480" s="60"/>
      <c r="OFF2480" s="61"/>
      <c r="OFG2480" s="54"/>
      <c r="OFH2480" s="54"/>
      <c r="OFI2480" s="60"/>
      <c r="OFJ2480" s="60"/>
      <c r="OFK2480" s="60"/>
      <c r="OFL2480" s="60"/>
      <c r="OFM2480" s="60"/>
      <c r="OFN2480" s="61"/>
      <c r="OFO2480" s="54"/>
      <c r="OFP2480" s="54"/>
      <c r="OFQ2480" s="60"/>
      <c r="OFR2480" s="60"/>
      <c r="OFS2480" s="60"/>
      <c r="OFT2480" s="60"/>
      <c r="OFU2480" s="60"/>
      <c r="OFV2480" s="61"/>
      <c r="OFW2480" s="54"/>
      <c r="OFX2480" s="54"/>
      <c r="OFY2480" s="60"/>
      <c r="OFZ2480" s="60"/>
      <c r="OGA2480" s="60"/>
      <c r="OGB2480" s="60"/>
      <c r="OGC2480" s="60"/>
      <c r="OGD2480" s="61"/>
      <c r="OGE2480" s="54"/>
      <c r="OGF2480" s="54"/>
      <c r="OGG2480" s="60"/>
      <c r="OGH2480" s="60"/>
      <c r="OGI2480" s="60"/>
      <c r="OGJ2480" s="60"/>
      <c r="OGK2480" s="60"/>
      <c r="OGL2480" s="61"/>
      <c r="OGM2480" s="54"/>
      <c r="OGN2480" s="54"/>
      <c r="OGO2480" s="60"/>
      <c r="OGP2480" s="60"/>
      <c r="OGQ2480" s="60"/>
      <c r="OGR2480" s="60"/>
      <c r="OGS2480" s="60"/>
      <c r="OGT2480" s="61"/>
      <c r="OGU2480" s="54"/>
      <c r="OGV2480" s="54"/>
      <c r="OGW2480" s="60"/>
      <c r="OGX2480" s="60"/>
      <c r="OGY2480" s="60"/>
      <c r="OGZ2480" s="60"/>
      <c r="OHA2480" s="60"/>
      <c r="OHB2480" s="61"/>
      <c r="OHC2480" s="54"/>
      <c r="OHD2480" s="54"/>
      <c r="OHE2480" s="60"/>
      <c r="OHF2480" s="60"/>
      <c r="OHG2480" s="60"/>
      <c r="OHH2480" s="60"/>
      <c r="OHI2480" s="60"/>
      <c r="OHJ2480" s="61"/>
      <c r="OHK2480" s="54"/>
      <c r="OHL2480" s="54"/>
      <c r="OHM2480" s="60"/>
      <c r="OHN2480" s="60"/>
      <c r="OHO2480" s="60"/>
      <c r="OHP2480" s="60"/>
      <c r="OHQ2480" s="60"/>
      <c r="OHR2480" s="61"/>
      <c r="OHS2480" s="54"/>
      <c r="OHT2480" s="54"/>
      <c r="OHU2480" s="60"/>
      <c r="OHV2480" s="60"/>
      <c r="OHW2480" s="60"/>
      <c r="OHX2480" s="60"/>
      <c r="OHY2480" s="60"/>
      <c r="OHZ2480" s="61"/>
      <c r="OIA2480" s="54"/>
      <c r="OIB2480" s="54"/>
      <c r="OIC2480" s="60"/>
      <c r="OID2480" s="60"/>
      <c r="OIE2480" s="60"/>
      <c r="OIF2480" s="60"/>
      <c r="OIG2480" s="60"/>
      <c r="OIH2480" s="61"/>
      <c r="OII2480" s="54"/>
      <c r="OIJ2480" s="54"/>
      <c r="OIK2480" s="60"/>
      <c r="OIL2480" s="60"/>
      <c r="OIM2480" s="60"/>
      <c r="OIN2480" s="60"/>
      <c r="OIO2480" s="60"/>
      <c r="OIP2480" s="61"/>
      <c r="OIQ2480" s="54"/>
      <c r="OIR2480" s="54"/>
      <c r="OIS2480" s="60"/>
      <c r="OIT2480" s="60"/>
      <c r="OIU2480" s="60"/>
      <c r="OIV2480" s="60"/>
      <c r="OIW2480" s="60"/>
      <c r="OIX2480" s="61"/>
      <c r="OIY2480" s="54"/>
      <c r="OIZ2480" s="54"/>
      <c r="OJA2480" s="60"/>
      <c r="OJB2480" s="60"/>
      <c r="OJC2480" s="60"/>
      <c r="OJD2480" s="60"/>
      <c r="OJE2480" s="60"/>
      <c r="OJF2480" s="61"/>
      <c r="OJG2480" s="54"/>
      <c r="OJH2480" s="54"/>
      <c r="OJI2480" s="60"/>
      <c r="OJJ2480" s="60"/>
      <c r="OJK2480" s="60"/>
      <c r="OJL2480" s="60"/>
      <c r="OJM2480" s="60"/>
      <c r="OJN2480" s="61"/>
      <c r="OJO2480" s="54"/>
      <c r="OJP2480" s="54"/>
      <c r="OJQ2480" s="60"/>
      <c r="OJR2480" s="60"/>
      <c r="OJS2480" s="60"/>
      <c r="OJT2480" s="60"/>
      <c r="OJU2480" s="60"/>
      <c r="OJV2480" s="61"/>
      <c r="OJW2480" s="54"/>
      <c r="OJX2480" s="54"/>
      <c r="OJY2480" s="60"/>
      <c r="OJZ2480" s="60"/>
      <c r="OKA2480" s="60"/>
      <c r="OKB2480" s="60"/>
      <c r="OKC2480" s="60"/>
      <c r="OKD2480" s="61"/>
      <c r="OKE2480" s="54"/>
      <c r="OKF2480" s="54"/>
      <c r="OKG2480" s="60"/>
      <c r="OKH2480" s="60"/>
      <c r="OKI2480" s="60"/>
      <c r="OKJ2480" s="60"/>
      <c r="OKK2480" s="60"/>
      <c r="OKL2480" s="61"/>
      <c r="OKM2480" s="54"/>
      <c r="OKN2480" s="54"/>
      <c r="OKO2480" s="60"/>
      <c r="OKP2480" s="60"/>
      <c r="OKQ2480" s="60"/>
      <c r="OKR2480" s="60"/>
      <c r="OKS2480" s="60"/>
      <c r="OKT2480" s="61"/>
      <c r="OKU2480" s="54"/>
      <c r="OKV2480" s="54"/>
      <c r="OKW2480" s="60"/>
      <c r="OKX2480" s="60"/>
      <c r="OKY2480" s="60"/>
      <c r="OKZ2480" s="60"/>
      <c r="OLA2480" s="60"/>
      <c r="OLB2480" s="61"/>
      <c r="OLC2480" s="54"/>
      <c r="OLD2480" s="54"/>
      <c r="OLE2480" s="60"/>
      <c r="OLF2480" s="60"/>
      <c r="OLG2480" s="60"/>
      <c r="OLH2480" s="60"/>
      <c r="OLI2480" s="60"/>
      <c r="OLJ2480" s="61"/>
      <c r="OLK2480" s="54"/>
      <c r="OLL2480" s="54"/>
      <c r="OLM2480" s="60"/>
      <c r="OLN2480" s="60"/>
      <c r="OLO2480" s="60"/>
      <c r="OLP2480" s="60"/>
      <c r="OLQ2480" s="60"/>
      <c r="OLR2480" s="61"/>
      <c r="OLS2480" s="54"/>
      <c r="OLT2480" s="54"/>
      <c r="OLU2480" s="60"/>
      <c r="OLV2480" s="60"/>
      <c r="OLW2480" s="60"/>
      <c r="OLX2480" s="60"/>
      <c r="OLY2480" s="60"/>
      <c r="OLZ2480" s="61"/>
      <c r="OMA2480" s="54"/>
      <c r="OMB2480" s="54"/>
      <c r="OMC2480" s="60"/>
      <c r="OMD2480" s="60"/>
      <c r="OME2480" s="60"/>
      <c r="OMF2480" s="60"/>
      <c r="OMG2480" s="60"/>
      <c r="OMH2480" s="61"/>
      <c r="OMI2480" s="54"/>
      <c r="OMJ2480" s="54"/>
      <c r="OMK2480" s="60"/>
      <c r="OML2480" s="60"/>
      <c r="OMM2480" s="60"/>
      <c r="OMN2480" s="60"/>
      <c r="OMO2480" s="60"/>
      <c r="OMP2480" s="61"/>
      <c r="OMQ2480" s="54"/>
      <c r="OMR2480" s="54"/>
      <c r="OMS2480" s="60"/>
      <c r="OMT2480" s="60"/>
      <c r="OMU2480" s="60"/>
      <c r="OMV2480" s="60"/>
      <c r="OMW2480" s="60"/>
      <c r="OMX2480" s="61"/>
      <c r="OMY2480" s="54"/>
      <c r="OMZ2480" s="54"/>
      <c r="ONA2480" s="60"/>
      <c r="ONB2480" s="60"/>
      <c r="ONC2480" s="60"/>
      <c r="OND2480" s="60"/>
      <c r="ONE2480" s="60"/>
      <c r="ONF2480" s="61"/>
      <c r="ONG2480" s="54"/>
      <c r="ONH2480" s="54"/>
      <c r="ONI2480" s="60"/>
      <c r="ONJ2480" s="60"/>
      <c r="ONK2480" s="60"/>
      <c r="ONL2480" s="60"/>
      <c r="ONM2480" s="60"/>
      <c r="ONN2480" s="61"/>
      <c r="ONO2480" s="54"/>
      <c r="ONP2480" s="54"/>
      <c r="ONQ2480" s="60"/>
      <c r="ONR2480" s="60"/>
      <c r="ONS2480" s="60"/>
      <c r="ONT2480" s="60"/>
      <c r="ONU2480" s="60"/>
      <c r="ONV2480" s="61"/>
      <c r="ONW2480" s="54"/>
      <c r="ONX2480" s="54"/>
      <c r="ONY2480" s="60"/>
      <c r="ONZ2480" s="60"/>
      <c r="OOA2480" s="60"/>
      <c r="OOB2480" s="60"/>
      <c r="OOC2480" s="60"/>
      <c r="OOD2480" s="61"/>
      <c r="OOE2480" s="54"/>
      <c r="OOF2480" s="54"/>
      <c r="OOG2480" s="60"/>
      <c r="OOH2480" s="60"/>
      <c r="OOI2480" s="60"/>
      <c r="OOJ2480" s="60"/>
      <c r="OOK2480" s="60"/>
      <c r="OOL2480" s="61"/>
      <c r="OOM2480" s="54"/>
      <c r="OON2480" s="54"/>
      <c r="OOO2480" s="60"/>
      <c r="OOP2480" s="60"/>
      <c r="OOQ2480" s="60"/>
      <c r="OOR2480" s="60"/>
      <c r="OOS2480" s="60"/>
      <c r="OOT2480" s="61"/>
      <c r="OOU2480" s="54"/>
      <c r="OOV2480" s="54"/>
      <c r="OOW2480" s="60"/>
      <c r="OOX2480" s="60"/>
      <c r="OOY2480" s="60"/>
      <c r="OOZ2480" s="60"/>
      <c r="OPA2480" s="60"/>
      <c r="OPB2480" s="61"/>
      <c r="OPC2480" s="54"/>
      <c r="OPD2480" s="54"/>
      <c r="OPE2480" s="60"/>
      <c r="OPF2480" s="60"/>
      <c r="OPG2480" s="60"/>
      <c r="OPH2480" s="60"/>
      <c r="OPI2480" s="60"/>
      <c r="OPJ2480" s="61"/>
      <c r="OPK2480" s="54"/>
      <c r="OPL2480" s="54"/>
      <c r="OPM2480" s="60"/>
      <c r="OPN2480" s="60"/>
      <c r="OPO2480" s="60"/>
      <c r="OPP2480" s="60"/>
      <c r="OPQ2480" s="60"/>
      <c r="OPR2480" s="61"/>
      <c r="OPS2480" s="54"/>
      <c r="OPT2480" s="54"/>
      <c r="OPU2480" s="60"/>
      <c r="OPV2480" s="60"/>
      <c r="OPW2480" s="60"/>
      <c r="OPX2480" s="60"/>
      <c r="OPY2480" s="60"/>
      <c r="OPZ2480" s="61"/>
      <c r="OQA2480" s="54"/>
      <c r="OQB2480" s="54"/>
      <c r="OQC2480" s="60"/>
      <c r="OQD2480" s="60"/>
      <c r="OQE2480" s="60"/>
      <c r="OQF2480" s="60"/>
      <c r="OQG2480" s="60"/>
      <c r="OQH2480" s="61"/>
      <c r="OQI2480" s="54"/>
      <c r="OQJ2480" s="54"/>
      <c r="OQK2480" s="60"/>
      <c r="OQL2480" s="60"/>
      <c r="OQM2480" s="60"/>
      <c r="OQN2480" s="60"/>
      <c r="OQO2480" s="60"/>
      <c r="OQP2480" s="61"/>
      <c r="OQQ2480" s="54"/>
      <c r="OQR2480" s="54"/>
      <c r="OQS2480" s="60"/>
      <c r="OQT2480" s="60"/>
      <c r="OQU2480" s="60"/>
      <c r="OQV2480" s="60"/>
      <c r="OQW2480" s="60"/>
      <c r="OQX2480" s="61"/>
      <c r="OQY2480" s="54"/>
      <c r="OQZ2480" s="54"/>
      <c r="ORA2480" s="60"/>
      <c r="ORB2480" s="60"/>
      <c r="ORC2480" s="60"/>
      <c r="ORD2480" s="60"/>
      <c r="ORE2480" s="60"/>
      <c r="ORF2480" s="61"/>
      <c r="ORG2480" s="54"/>
      <c r="ORH2480" s="54"/>
      <c r="ORI2480" s="60"/>
      <c r="ORJ2480" s="60"/>
      <c r="ORK2480" s="60"/>
      <c r="ORL2480" s="60"/>
      <c r="ORM2480" s="60"/>
      <c r="ORN2480" s="61"/>
      <c r="ORO2480" s="54"/>
      <c r="ORP2480" s="54"/>
      <c r="ORQ2480" s="60"/>
      <c r="ORR2480" s="60"/>
      <c r="ORS2480" s="60"/>
      <c r="ORT2480" s="60"/>
      <c r="ORU2480" s="60"/>
      <c r="ORV2480" s="61"/>
      <c r="ORW2480" s="54"/>
      <c r="ORX2480" s="54"/>
      <c r="ORY2480" s="60"/>
      <c r="ORZ2480" s="60"/>
      <c r="OSA2480" s="60"/>
      <c r="OSB2480" s="60"/>
      <c r="OSC2480" s="60"/>
      <c r="OSD2480" s="61"/>
      <c r="OSE2480" s="54"/>
      <c r="OSF2480" s="54"/>
      <c r="OSG2480" s="60"/>
      <c r="OSH2480" s="60"/>
      <c r="OSI2480" s="60"/>
      <c r="OSJ2480" s="60"/>
      <c r="OSK2480" s="60"/>
      <c r="OSL2480" s="61"/>
      <c r="OSM2480" s="54"/>
      <c r="OSN2480" s="54"/>
      <c r="OSO2480" s="60"/>
      <c r="OSP2480" s="60"/>
      <c r="OSQ2480" s="60"/>
      <c r="OSR2480" s="60"/>
      <c r="OSS2480" s="60"/>
      <c r="OST2480" s="61"/>
      <c r="OSU2480" s="54"/>
      <c r="OSV2480" s="54"/>
      <c r="OSW2480" s="60"/>
      <c r="OSX2480" s="60"/>
      <c r="OSY2480" s="60"/>
      <c r="OSZ2480" s="60"/>
      <c r="OTA2480" s="60"/>
      <c r="OTB2480" s="61"/>
      <c r="OTC2480" s="54"/>
      <c r="OTD2480" s="54"/>
      <c r="OTE2480" s="60"/>
      <c r="OTF2480" s="60"/>
      <c r="OTG2480" s="60"/>
      <c r="OTH2480" s="60"/>
      <c r="OTI2480" s="60"/>
      <c r="OTJ2480" s="61"/>
      <c r="OTK2480" s="54"/>
      <c r="OTL2480" s="54"/>
      <c r="OTM2480" s="60"/>
      <c r="OTN2480" s="60"/>
      <c r="OTO2480" s="60"/>
      <c r="OTP2480" s="60"/>
      <c r="OTQ2480" s="60"/>
      <c r="OTR2480" s="61"/>
      <c r="OTS2480" s="54"/>
      <c r="OTT2480" s="54"/>
      <c r="OTU2480" s="60"/>
      <c r="OTV2480" s="60"/>
      <c r="OTW2480" s="60"/>
      <c r="OTX2480" s="60"/>
      <c r="OTY2480" s="60"/>
      <c r="OTZ2480" s="61"/>
      <c r="OUA2480" s="54"/>
      <c r="OUB2480" s="54"/>
      <c r="OUC2480" s="60"/>
      <c r="OUD2480" s="60"/>
      <c r="OUE2480" s="60"/>
      <c r="OUF2480" s="60"/>
      <c r="OUG2480" s="60"/>
      <c r="OUH2480" s="61"/>
      <c r="OUI2480" s="54"/>
      <c r="OUJ2480" s="54"/>
      <c r="OUK2480" s="60"/>
      <c r="OUL2480" s="60"/>
      <c r="OUM2480" s="60"/>
      <c r="OUN2480" s="60"/>
      <c r="OUO2480" s="60"/>
      <c r="OUP2480" s="61"/>
      <c r="OUQ2480" s="54"/>
      <c r="OUR2480" s="54"/>
      <c r="OUS2480" s="60"/>
      <c r="OUT2480" s="60"/>
      <c r="OUU2480" s="60"/>
      <c r="OUV2480" s="60"/>
      <c r="OUW2480" s="60"/>
      <c r="OUX2480" s="61"/>
      <c r="OUY2480" s="54"/>
      <c r="OUZ2480" s="54"/>
      <c r="OVA2480" s="60"/>
      <c r="OVB2480" s="60"/>
      <c r="OVC2480" s="60"/>
      <c r="OVD2480" s="60"/>
      <c r="OVE2480" s="60"/>
      <c r="OVF2480" s="61"/>
      <c r="OVG2480" s="54"/>
      <c r="OVH2480" s="54"/>
      <c r="OVI2480" s="60"/>
      <c r="OVJ2480" s="60"/>
      <c r="OVK2480" s="60"/>
      <c r="OVL2480" s="60"/>
      <c r="OVM2480" s="60"/>
      <c r="OVN2480" s="61"/>
      <c r="OVO2480" s="54"/>
      <c r="OVP2480" s="54"/>
      <c r="OVQ2480" s="60"/>
      <c r="OVR2480" s="60"/>
      <c r="OVS2480" s="60"/>
      <c r="OVT2480" s="60"/>
      <c r="OVU2480" s="60"/>
      <c r="OVV2480" s="61"/>
      <c r="OVW2480" s="54"/>
      <c r="OVX2480" s="54"/>
      <c r="OVY2480" s="60"/>
      <c r="OVZ2480" s="60"/>
      <c r="OWA2480" s="60"/>
      <c r="OWB2480" s="60"/>
      <c r="OWC2480" s="60"/>
      <c r="OWD2480" s="61"/>
      <c r="OWE2480" s="54"/>
      <c r="OWF2480" s="54"/>
      <c r="OWG2480" s="60"/>
      <c r="OWH2480" s="60"/>
      <c r="OWI2480" s="60"/>
      <c r="OWJ2480" s="60"/>
      <c r="OWK2480" s="60"/>
      <c r="OWL2480" s="61"/>
      <c r="OWM2480" s="54"/>
      <c r="OWN2480" s="54"/>
      <c r="OWO2480" s="60"/>
      <c r="OWP2480" s="60"/>
      <c r="OWQ2480" s="60"/>
      <c r="OWR2480" s="60"/>
      <c r="OWS2480" s="60"/>
      <c r="OWT2480" s="61"/>
      <c r="OWU2480" s="54"/>
      <c r="OWV2480" s="54"/>
      <c r="OWW2480" s="60"/>
      <c r="OWX2480" s="60"/>
      <c r="OWY2480" s="60"/>
      <c r="OWZ2480" s="60"/>
      <c r="OXA2480" s="60"/>
      <c r="OXB2480" s="61"/>
      <c r="OXC2480" s="54"/>
      <c r="OXD2480" s="54"/>
      <c r="OXE2480" s="60"/>
      <c r="OXF2480" s="60"/>
      <c r="OXG2480" s="60"/>
      <c r="OXH2480" s="60"/>
      <c r="OXI2480" s="60"/>
      <c r="OXJ2480" s="61"/>
      <c r="OXK2480" s="54"/>
      <c r="OXL2480" s="54"/>
      <c r="OXM2480" s="60"/>
      <c r="OXN2480" s="60"/>
      <c r="OXO2480" s="60"/>
      <c r="OXP2480" s="60"/>
      <c r="OXQ2480" s="60"/>
      <c r="OXR2480" s="61"/>
      <c r="OXS2480" s="54"/>
      <c r="OXT2480" s="54"/>
      <c r="OXU2480" s="60"/>
      <c r="OXV2480" s="60"/>
      <c r="OXW2480" s="60"/>
      <c r="OXX2480" s="60"/>
      <c r="OXY2480" s="60"/>
      <c r="OXZ2480" s="61"/>
      <c r="OYA2480" s="54"/>
      <c r="OYB2480" s="54"/>
      <c r="OYC2480" s="60"/>
      <c r="OYD2480" s="60"/>
      <c r="OYE2480" s="60"/>
      <c r="OYF2480" s="60"/>
      <c r="OYG2480" s="60"/>
      <c r="OYH2480" s="61"/>
      <c r="OYI2480" s="54"/>
      <c r="OYJ2480" s="54"/>
      <c r="OYK2480" s="60"/>
      <c r="OYL2480" s="60"/>
      <c r="OYM2480" s="60"/>
      <c r="OYN2480" s="60"/>
      <c r="OYO2480" s="60"/>
      <c r="OYP2480" s="61"/>
      <c r="OYQ2480" s="54"/>
      <c r="OYR2480" s="54"/>
      <c r="OYS2480" s="60"/>
      <c r="OYT2480" s="60"/>
      <c r="OYU2480" s="60"/>
      <c r="OYV2480" s="60"/>
      <c r="OYW2480" s="60"/>
      <c r="OYX2480" s="61"/>
      <c r="OYY2480" s="54"/>
      <c r="OYZ2480" s="54"/>
      <c r="OZA2480" s="60"/>
      <c r="OZB2480" s="60"/>
      <c r="OZC2480" s="60"/>
      <c r="OZD2480" s="60"/>
      <c r="OZE2480" s="60"/>
      <c r="OZF2480" s="61"/>
      <c r="OZG2480" s="54"/>
      <c r="OZH2480" s="54"/>
      <c r="OZI2480" s="60"/>
      <c r="OZJ2480" s="60"/>
      <c r="OZK2480" s="60"/>
      <c r="OZL2480" s="60"/>
      <c r="OZM2480" s="60"/>
      <c r="OZN2480" s="61"/>
      <c r="OZO2480" s="54"/>
      <c r="OZP2480" s="54"/>
      <c r="OZQ2480" s="60"/>
      <c r="OZR2480" s="60"/>
      <c r="OZS2480" s="60"/>
      <c r="OZT2480" s="60"/>
      <c r="OZU2480" s="60"/>
      <c r="OZV2480" s="61"/>
      <c r="OZW2480" s="54"/>
      <c r="OZX2480" s="54"/>
      <c r="OZY2480" s="60"/>
      <c r="OZZ2480" s="60"/>
      <c r="PAA2480" s="60"/>
      <c r="PAB2480" s="60"/>
      <c r="PAC2480" s="60"/>
      <c r="PAD2480" s="61"/>
      <c r="PAE2480" s="54"/>
      <c r="PAF2480" s="54"/>
      <c r="PAG2480" s="60"/>
      <c r="PAH2480" s="60"/>
      <c r="PAI2480" s="60"/>
      <c r="PAJ2480" s="60"/>
      <c r="PAK2480" s="60"/>
      <c r="PAL2480" s="61"/>
      <c r="PAM2480" s="54"/>
      <c r="PAN2480" s="54"/>
      <c r="PAO2480" s="60"/>
      <c r="PAP2480" s="60"/>
      <c r="PAQ2480" s="60"/>
      <c r="PAR2480" s="60"/>
      <c r="PAS2480" s="60"/>
      <c r="PAT2480" s="61"/>
      <c r="PAU2480" s="54"/>
      <c r="PAV2480" s="54"/>
      <c r="PAW2480" s="60"/>
      <c r="PAX2480" s="60"/>
      <c r="PAY2480" s="60"/>
      <c r="PAZ2480" s="60"/>
      <c r="PBA2480" s="60"/>
      <c r="PBB2480" s="61"/>
      <c r="PBC2480" s="54"/>
      <c r="PBD2480" s="54"/>
      <c r="PBE2480" s="60"/>
      <c r="PBF2480" s="60"/>
      <c r="PBG2480" s="60"/>
      <c r="PBH2480" s="60"/>
      <c r="PBI2480" s="60"/>
      <c r="PBJ2480" s="61"/>
      <c r="PBK2480" s="54"/>
      <c r="PBL2480" s="54"/>
      <c r="PBM2480" s="60"/>
      <c r="PBN2480" s="60"/>
      <c r="PBO2480" s="60"/>
      <c r="PBP2480" s="60"/>
      <c r="PBQ2480" s="60"/>
      <c r="PBR2480" s="61"/>
      <c r="PBS2480" s="54"/>
      <c r="PBT2480" s="54"/>
      <c r="PBU2480" s="60"/>
      <c r="PBV2480" s="60"/>
      <c r="PBW2480" s="60"/>
      <c r="PBX2480" s="60"/>
      <c r="PBY2480" s="60"/>
      <c r="PBZ2480" s="61"/>
      <c r="PCA2480" s="54"/>
      <c r="PCB2480" s="54"/>
      <c r="PCC2480" s="60"/>
      <c r="PCD2480" s="60"/>
      <c r="PCE2480" s="60"/>
      <c r="PCF2480" s="60"/>
      <c r="PCG2480" s="60"/>
      <c r="PCH2480" s="61"/>
      <c r="PCI2480" s="54"/>
      <c r="PCJ2480" s="54"/>
      <c r="PCK2480" s="60"/>
      <c r="PCL2480" s="60"/>
      <c r="PCM2480" s="60"/>
      <c r="PCN2480" s="60"/>
      <c r="PCO2480" s="60"/>
      <c r="PCP2480" s="61"/>
      <c r="PCQ2480" s="54"/>
      <c r="PCR2480" s="54"/>
      <c r="PCS2480" s="60"/>
      <c r="PCT2480" s="60"/>
      <c r="PCU2480" s="60"/>
      <c r="PCV2480" s="60"/>
      <c r="PCW2480" s="60"/>
      <c r="PCX2480" s="61"/>
      <c r="PCY2480" s="54"/>
      <c r="PCZ2480" s="54"/>
      <c r="PDA2480" s="60"/>
      <c r="PDB2480" s="60"/>
      <c r="PDC2480" s="60"/>
      <c r="PDD2480" s="60"/>
      <c r="PDE2480" s="60"/>
      <c r="PDF2480" s="61"/>
      <c r="PDG2480" s="54"/>
      <c r="PDH2480" s="54"/>
      <c r="PDI2480" s="60"/>
      <c r="PDJ2480" s="60"/>
      <c r="PDK2480" s="60"/>
      <c r="PDL2480" s="60"/>
      <c r="PDM2480" s="60"/>
      <c r="PDN2480" s="61"/>
      <c r="PDO2480" s="54"/>
      <c r="PDP2480" s="54"/>
      <c r="PDQ2480" s="60"/>
      <c r="PDR2480" s="60"/>
      <c r="PDS2480" s="60"/>
      <c r="PDT2480" s="60"/>
      <c r="PDU2480" s="60"/>
      <c r="PDV2480" s="61"/>
      <c r="PDW2480" s="54"/>
      <c r="PDX2480" s="54"/>
      <c r="PDY2480" s="60"/>
      <c r="PDZ2480" s="60"/>
      <c r="PEA2480" s="60"/>
      <c r="PEB2480" s="60"/>
      <c r="PEC2480" s="60"/>
      <c r="PED2480" s="61"/>
      <c r="PEE2480" s="54"/>
      <c r="PEF2480" s="54"/>
      <c r="PEG2480" s="60"/>
      <c r="PEH2480" s="60"/>
      <c r="PEI2480" s="60"/>
      <c r="PEJ2480" s="60"/>
      <c r="PEK2480" s="60"/>
      <c r="PEL2480" s="61"/>
      <c r="PEM2480" s="54"/>
      <c r="PEN2480" s="54"/>
      <c r="PEO2480" s="60"/>
      <c r="PEP2480" s="60"/>
      <c r="PEQ2480" s="60"/>
      <c r="PER2480" s="60"/>
      <c r="PES2480" s="60"/>
      <c r="PET2480" s="61"/>
      <c r="PEU2480" s="54"/>
      <c r="PEV2480" s="54"/>
      <c r="PEW2480" s="60"/>
      <c r="PEX2480" s="60"/>
      <c r="PEY2480" s="60"/>
      <c r="PEZ2480" s="60"/>
      <c r="PFA2480" s="60"/>
      <c r="PFB2480" s="61"/>
      <c r="PFC2480" s="54"/>
      <c r="PFD2480" s="54"/>
      <c r="PFE2480" s="60"/>
      <c r="PFF2480" s="60"/>
      <c r="PFG2480" s="60"/>
      <c r="PFH2480" s="60"/>
      <c r="PFI2480" s="60"/>
      <c r="PFJ2480" s="61"/>
      <c r="PFK2480" s="54"/>
      <c r="PFL2480" s="54"/>
      <c r="PFM2480" s="60"/>
      <c r="PFN2480" s="60"/>
      <c r="PFO2480" s="60"/>
      <c r="PFP2480" s="60"/>
      <c r="PFQ2480" s="60"/>
      <c r="PFR2480" s="61"/>
      <c r="PFS2480" s="54"/>
      <c r="PFT2480" s="54"/>
      <c r="PFU2480" s="60"/>
      <c r="PFV2480" s="60"/>
      <c r="PFW2480" s="60"/>
      <c r="PFX2480" s="60"/>
      <c r="PFY2480" s="60"/>
      <c r="PFZ2480" s="61"/>
      <c r="PGA2480" s="54"/>
      <c r="PGB2480" s="54"/>
      <c r="PGC2480" s="60"/>
      <c r="PGD2480" s="60"/>
      <c r="PGE2480" s="60"/>
      <c r="PGF2480" s="60"/>
      <c r="PGG2480" s="60"/>
      <c r="PGH2480" s="61"/>
      <c r="PGI2480" s="54"/>
      <c r="PGJ2480" s="54"/>
      <c r="PGK2480" s="60"/>
      <c r="PGL2480" s="60"/>
      <c r="PGM2480" s="60"/>
      <c r="PGN2480" s="60"/>
      <c r="PGO2480" s="60"/>
      <c r="PGP2480" s="61"/>
      <c r="PGQ2480" s="54"/>
      <c r="PGR2480" s="54"/>
      <c r="PGS2480" s="60"/>
      <c r="PGT2480" s="60"/>
      <c r="PGU2480" s="60"/>
      <c r="PGV2480" s="60"/>
      <c r="PGW2480" s="60"/>
      <c r="PGX2480" s="61"/>
      <c r="PGY2480" s="54"/>
      <c r="PGZ2480" s="54"/>
      <c r="PHA2480" s="60"/>
      <c r="PHB2480" s="60"/>
      <c r="PHC2480" s="60"/>
      <c r="PHD2480" s="60"/>
      <c r="PHE2480" s="60"/>
      <c r="PHF2480" s="61"/>
      <c r="PHG2480" s="54"/>
      <c r="PHH2480" s="54"/>
      <c r="PHI2480" s="60"/>
      <c r="PHJ2480" s="60"/>
      <c r="PHK2480" s="60"/>
      <c r="PHL2480" s="60"/>
      <c r="PHM2480" s="60"/>
      <c r="PHN2480" s="61"/>
      <c r="PHO2480" s="54"/>
      <c r="PHP2480" s="54"/>
      <c r="PHQ2480" s="60"/>
      <c r="PHR2480" s="60"/>
      <c r="PHS2480" s="60"/>
      <c r="PHT2480" s="60"/>
      <c r="PHU2480" s="60"/>
      <c r="PHV2480" s="61"/>
      <c r="PHW2480" s="54"/>
      <c r="PHX2480" s="54"/>
      <c r="PHY2480" s="60"/>
      <c r="PHZ2480" s="60"/>
      <c r="PIA2480" s="60"/>
      <c r="PIB2480" s="60"/>
      <c r="PIC2480" s="60"/>
      <c r="PID2480" s="61"/>
      <c r="PIE2480" s="54"/>
      <c r="PIF2480" s="54"/>
      <c r="PIG2480" s="60"/>
      <c r="PIH2480" s="60"/>
      <c r="PII2480" s="60"/>
      <c r="PIJ2480" s="60"/>
      <c r="PIK2480" s="60"/>
      <c r="PIL2480" s="61"/>
      <c r="PIM2480" s="54"/>
      <c r="PIN2480" s="54"/>
      <c r="PIO2480" s="60"/>
      <c r="PIP2480" s="60"/>
      <c r="PIQ2480" s="60"/>
      <c r="PIR2480" s="60"/>
      <c r="PIS2480" s="60"/>
      <c r="PIT2480" s="61"/>
      <c r="PIU2480" s="54"/>
      <c r="PIV2480" s="54"/>
      <c r="PIW2480" s="60"/>
      <c r="PIX2480" s="60"/>
      <c r="PIY2480" s="60"/>
      <c r="PIZ2480" s="60"/>
      <c r="PJA2480" s="60"/>
      <c r="PJB2480" s="61"/>
      <c r="PJC2480" s="54"/>
      <c r="PJD2480" s="54"/>
      <c r="PJE2480" s="60"/>
      <c r="PJF2480" s="60"/>
      <c r="PJG2480" s="60"/>
      <c r="PJH2480" s="60"/>
      <c r="PJI2480" s="60"/>
      <c r="PJJ2480" s="61"/>
      <c r="PJK2480" s="54"/>
      <c r="PJL2480" s="54"/>
      <c r="PJM2480" s="60"/>
      <c r="PJN2480" s="60"/>
      <c r="PJO2480" s="60"/>
      <c r="PJP2480" s="60"/>
      <c r="PJQ2480" s="60"/>
      <c r="PJR2480" s="61"/>
      <c r="PJS2480" s="54"/>
      <c r="PJT2480" s="54"/>
      <c r="PJU2480" s="60"/>
      <c r="PJV2480" s="60"/>
      <c r="PJW2480" s="60"/>
      <c r="PJX2480" s="60"/>
      <c r="PJY2480" s="60"/>
      <c r="PJZ2480" s="61"/>
      <c r="PKA2480" s="54"/>
      <c r="PKB2480" s="54"/>
      <c r="PKC2480" s="60"/>
      <c r="PKD2480" s="60"/>
      <c r="PKE2480" s="60"/>
      <c r="PKF2480" s="60"/>
      <c r="PKG2480" s="60"/>
      <c r="PKH2480" s="61"/>
      <c r="PKI2480" s="54"/>
      <c r="PKJ2480" s="54"/>
      <c r="PKK2480" s="60"/>
      <c r="PKL2480" s="60"/>
      <c r="PKM2480" s="60"/>
      <c r="PKN2480" s="60"/>
      <c r="PKO2480" s="60"/>
      <c r="PKP2480" s="61"/>
      <c r="PKQ2480" s="54"/>
      <c r="PKR2480" s="54"/>
      <c r="PKS2480" s="60"/>
      <c r="PKT2480" s="60"/>
      <c r="PKU2480" s="60"/>
      <c r="PKV2480" s="60"/>
      <c r="PKW2480" s="60"/>
      <c r="PKX2480" s="61"/>
      <c r="PKY2480" s="54"/>
      <c r="PKZ2480" s="54"/>
      <c r="PLA2480" s="60"/>
      <c r="PLB2480" s="60"/>
      <c r="PLC2480" s="60"/>
      <c r="PLD2480" s="60"/>
      <c r="PLE2480" s="60"/>
      <c r="PLF2480" s="61"/>
      <c r="PLG2480" s="54"/>
      <c r="PLH2480" s="54"/>
      <c r="PLI2480" s="60"/>
      <c r="PLJ2480" s="60"/>
      <c r="PLK2480" s="60"/>
      <c r="PLL2480" s="60"/>
      <c r="PLM2480" s="60"/>
      <c r="PLN2480" s="61"/>
      <c r="PLO2480" s="54"/>
      <c r="PLP2480" s="54"/>
      <c r="PLQ2480" s="60"/>
      <c r="PLR2480" s="60"/>
      <c r="PLS2480" s="60"/>
      <c r="PLT2480" s="60"/>
      <c r="PLU2480" s="60"/>
      <c r="PLV2480" s="61"/>
      <c r="PLW2480" s="54"/>
      <c r="PLX2480" s="54"/>
      <c r="PLY2480" s="60"/>
      <c r="PLZ2480" s="60"/>
      <c r="PMA2480" s="60"/>
      <c r="PMB2480" s="60"/>
      <c r="PMC2480" s="60"/>
      <c r="PMD2480" s="61"/>
      <c r="PME2480" s="54"/>
      <c r="PMF2480" s="54"/>
      <c r="PMG2480" s="60"/>
      <c r="PMH2480" s="60"/>
      <c r="PMI2480" s="60"/>
      <c r="PMJ2480" s="60"/>
      <c r="PMK2480" s="60"/>
      <c r="PML2480" s="61"/>
      <c r="PMM2480" s="54"/>
      <c r="PMN2480" s="54"/>
      <c r="PMO2480" s="60"/>
      <c r="PMP2480" s="60"/>
      <c r="PMQ2480" s="60"/>
      <c r="PMR2480" s="60"/>
      <c r="PMS2480" s="60"/>
      <c r="PMT2480" s="61"/>
      <c r="PMU2480" s="54"/>
      <c r="PMV2480" s="54"/>
      <c r="PMW2480" s="60"/>
      <c r="PMX2480" s="60"/>
      <c r="PMY2480" s="60"/>
      <c r="PMZ2480" s="60"/>
      <c r="PNA2480" s="60"/>
      <c r="PNB2480" s="61"/>
      <c r="PNC2480" s="54"/>
      <c r="PND2480" s="54"/>
      <c r="PNE2480" s="60"/>
      <c r="PNF2480" s="60"/>
      <c r="PNG2480" s="60"/>
      <c r="PNH2480" s="60"/>
      <c r="PNI2480" s="60"/>
      <c r="PNJ2480" s="61"/>
      <c r="PNK2480" s="54"/>
      <c r="PNL2480" s="54"/>
      <c r="PNM2480" s="60"/>
      <c r="PNN2480" s="60"/>
      <c r="PNO2480" s="60"/>
      <c r="PNP2480" s="60"/>
      <c r="PNQ2480" s="60"/>
      <c r="PNR2480" s="61"/>
      <c r="PNS2480" s="54"/>
      <c r="PNT2480" s="54"/>
      <c r="PNU2480" s="60"/>
      <c r="PNV2480" s="60"/>
      <c r="PNW2480" s="60"/>
      <c r="PNX2480" s="60"/>
      <c r="PNY2480" s="60"/>
      <c r="PNZ2480" s="61"/>
      <c r="POA2480" s="54"/>
      <c r="POB2480" s="54"/>
      <c r="POC2480" s="60"/>
      <c r="POD2480" s="60"/>
      <c r="POE2480" s="60"/>
      <c r="POF2480" s="60"/>
      <c r="POG2480" s="60"/>
      <c r="POH2480" s="61"/>
      <c r="POI2480" s="54"/>
      <c r="POJ2480" s="54"/>
      <c r="POK2480" s="60"/>
      <c r="POL2480" s="60"/>
      <c r="POM2480" s="60"/>
      <c r="PON2480" s="60"/>
      <c r="POO2480" s="60"/>
      <c r="POP2480" s="61"/>
      <c r="POQ2480" s="54"/>
      <c r="POR2480" s="54"/>
      <c r="POS2480" s="60"/>
      <c r="POT2480" s="60"/>
      <c r="POU2480" s="60"/>
      <c r="POV2480" s="60"/>
      <c r="POW2480" s="60"/>
      <c r="POX2480" s="61"/>
      <c r="POY2480" s="54"/>
      <c r="POZ2480" s="54"/>
      <c r="PPA2480" s="60"/>
      <c r="PPB2480" s="60"/>
      <c r="PPC2480" s="60"/>
      <c r="PPD2480" s="60"/>
      <c r="PPE2480" s="60"/>
      <c r="PPF2480" s="61"/>
      <c r="PPG2480" s="54"/>
      <c r="PPH2480" s="54"/>
      <c r="PPI2480" s="60"/>
      <c r="PPJ2480" s="60"/>
      <c r="PPK2480" s="60"/>
      <c r="PPL2480" s="60"/>
      <c r="PPM2480" s="60"/>
      <c r="PPN2480" s="61"/>
      <c r="PPO2480" s="54"/>
      <c r="PPP2480" s="54"/>
      <c r="PPQ2480" s="60"/>
      <c r="PPR2480" s="60"/>
      <c r="PPS2480" s="60"/>
      <c r="PPT2480" s="60"/>
      <c r="PPU2480" s="60"/>
      <c r="PPV2480" s="61"/>
      <c r="PPW2480" s="54"/>
      <c r="PPX2480" s="54"/>
      <c r="PPY2480" s="60"/>
      <c r="PPZ2480" s="60"/>
      <c r="PQA2480" s="60"/>
      <c r="PQB2480" s="60"/>
      <c r="PQC2480" s="60"/>
      <c r="PQD2480" s="61"/>
      <c r="PQE2480" s="54"/>
      <c r="PQF2480" s="54"/>
      <c r="PQG2480" s="60"/>
      <c r="PQH2480" s="60"/>
      <c r="PQI2480" s="60"/>
      <c r="PQJ2480" s="60"/>
      <c r="PQK2480" s="60"/>
      <c r="PQL2480" s="61"/>
      <c r="PQM2480" s="54"/>
      <c r="PQN2480" s="54"/>
      <c r="PQO2480" s="60"/>
      <c r="PQP2480" s="60"/>
      <c r="PQQ2480" s="60"/>
      <c r="PQR2480" s="60"/>
      <c r="PQS2480" s="60"/>
      <c r="PQT2480" s="61"/>
      <c r="PQU2480" s="54"/>
      <c r="PQV2480" s="54"/>
      <c r="PQW2480" s="60"/>
      <c r="PQX2480" s="60"/>
      <c r="PQY2480" s="60"/>
      <c r="PQZ2480" s="60"/>
      <c r="PRA2480" s="60"/>
      <c r="PRB2480" s="61"/>
      <c r="PRC2480" s="54"/>
      <c r="PRD2480" s="54"/>
      <c r="PRE2480" s="60"/>
      <c r="PRF2480" s="60"/>
      <c r="PRG2480" s="60"/>
      <c r="PRH2480" s="60"/>
      <c r="PRI2480" s="60"/>
      <c r="PRJ2480" s="61"/>
      <c r="PRK2480" s="54"/>
      <c r="PRL2480" s="54"/>
      <c r="PRM2480" s="60"/>
      <c r="PRN2480" s="60"/>
      <c r="PRO2480" s="60"/>
      <c r="PRP2480" s="60"/>
      <c r="PRQ2480" s="60"/>
      <c r="PRR2480" s="61"/>
      <c r="PRS2480" s="54"/>
      <c r="PRT2480" s="54"/>
      <c r="PRU2480" s="60"/>
      <c r="PRV2480" s="60"/>
      <c r="PRW2480" s="60"/>
      <c r="PRX2480" s="60"/>
      <c r="PRY2480" s="60"/>
      <c r="PRZ2480" s="61"/>
      <c r="PSA2480" s="54"/>
      <c r="PSB2480" s="54"/>
      <c r="PSC2480" s="60"/>
      <c r="PSD2480" s="60"/>
      <c r="PSE2480" s="60"/>
      <c r="PSF2480" s="60"/>
      <c r="PSG2480" s="60"/>
      <c r="PSH2480" s="61"/>
      <c r="PSI2480" s="54"/>
      <c r="PSJ2480" s="54"/>
      <c r="PSK2480" s="60"/>
      <c r="PSL2480" s="60"/>
      <c r="PSM2480" s="60"/>
      <c r="PSN2480" s="60"/>
      <c r="PSO2480" s="60"/>
      <c r="PSP2480" s="61"/>
      <c r="PSQ2480" s="54"/>
      <c r="PSR2480" s="54"/>
      <c r="PSS2480" s="60"/>
      <c r="PST2480" s="60"/>
      <c r="PSU2480" s="60"/>
      <c r="PSV2480" s="60"/>
      <c r="PSW2480" s="60"/>
      <c r="PSX2480" s="61"/>
      <c r="PSY2480" s="54"/>
      <c r="PSZ2480" s="54"/>
      <c r="PTA2480" s="60"/>
      <c r="PTB2480" s="60"/>
      <c r="PTC2480" s="60"/>
      <c r="PTD2480" s="60"/>
      <c r="PTE2480" s="60"/>
      <c r="PTF2480" s="61"/>
      <c r="PTG2480" s="54"/>
      <c r="PTH2480" s="54"/>
      <c r="PTI2480" s="60"/>
      <c r="PTJ2480" s="60"/>
      <c r="PTK2480" s="60"/>
      <c r="PTL2480" s="60"/>
      <c r="PTM2480" s="60"/>
      <c r="PTN2480" s="61"/>
      <c r="PTO2480" s="54"/>
      <c r="PTP2480" s="54"/>
      <c r="PTQ2480" s="60"/>
      <c r="PTR2480" s="60"/>
      <c r="PTS2480" s="60"/>
      <c r="PTT2480" s="60"/>
      <c r="PTU2480" s="60"/>
      <c r="PTV2480" s="61"/>
      <c r="PTW2480" s="54"/>
      <c r="PTX2480" s="54"/>
      <c r="PTY2480" s="60"/>
      <c r="PTZ2480" s="60"/>
      <c r="PUA2480" s="60"/>
      <c r="PUB2480" s="60"/>
      <c r="PUC2480" s="60"/>
      <c r="PUD2480" s="61"/>
      <c r="PUE2480" s="54"/>
      <c r="PUF2480" s="54"/>
      <c r="PUG2480" s="60"/>
      <c r="PUH2480" s="60"/>
      <c r="PUI2480" s="60"/>
      <c r="PUJ2480" s="60"/>
      <c r="PUK2480" s="60"/>
      <c r="PUL2480" s="61"/>
      <c r="PUM2480" s="54"/>
      <c r="PUN2480" s="54"/>
      <c r="PUO2480" s="60"/>
      <c r="PUP2480" s="60"/>
      <c r="PUQ2480" s="60"/>
      <c r="PUR2480" s="60"/>
      <c r="PUS2480" s="60"/>
      <c r="PUT2480" s="61"/>
      <c r="PUU2480" s="54"/>
      <c r="PUV2480" s="54"/>
      <c r="PUW2480" s="60"/>
      <c r="PUX2480" s="60"/>
      <c r="PUY2480" s="60"/>
      <c r="PUZ2480" s="60"/>
      <c r="PVA2480" s="60"/>
      <c r="PVB2480" s="61"/>
      <c r="PVC2480" s="54"/>
      <c r="PVD2480" s="54"/>
      <c r="PVE2480" s="60"/>
      <c r="PVF2480" s="60"/>
      <c r="PVG2480" s="60"/>
      <c r="PVH2480" s="60"/>
      <c r="PVI2480" s="60"/>
      <c r="PVJ2480" s="61"/>
      <c r="PVK2480" s="54"/>
      <c r="PVL2480" s="54"/>
      <c r="PVM2480" s="60"/>
      <c r="PVN2480" s="60"/>
      <c r="PVO2480" s="60"/>
      <c r="PVP2480" s="60"/>
      <c r="PVQ2480" s="60"/>
      <c r="PVR2480" s="61"/>
      <c r="PVS2480" s="54"/>
      <c r="PVT2480" s="54"/>
      <c r="PVU2480" s="60"/>
      <c r="PVV2480" s="60"/>
      <c r="PVW2480" s="60"/>
      <c r="PVX2480" s="60"/>
      <c r="PVY2480" s="60"/>
      <c r="PVZ2480" s="61"/>
      <c r="PWA2480" s="54"/>
      <c r="PWB2480" s="54"/>
      <c r="PWC2480" s="60"/>
      <c r="PWD2480" s="60"/>
      <c r="PWE2480" s="60"/>
      <c r="PWF2480" s="60"/>
      <c r="PWG2480" s="60"/>
      <c r="PWH2480" s="61"/>
      <c r="PWI2480" s="54"/>
      <c r="PWJ2480" s="54"/>
      <c r="PWK2480" s="60"/>
      <c r="PWL2480" s="60"/>
      <c r="PWM2480" s="60"/>
      <c r="PWN2480" s="60"/>
      <c r="PWO2480" s="60"/>
      <c r="PWP2480" s="61"/>
      <c r="PWQ2480" s="54"/>
      <c r="PWR2480" s="54"/>
      <c r="PWS2480" s="60"/>
      <c r="PWT2480" s="60"/>
      <c r="PWU2480" s="60"/>
      <c r="PWV2480" s="60"/>
      <c r="PWW2480" s="60"/>
      <c r="PWX2480" s="61"/>
      <c r="PWY2480" s="54"/>
      <c r="PWZ2480" s="54"/>
      <c r="PXA2480" s="60"/>
      <c r="PXB2480" s="60"/>
      <c r="PXC2480" s="60"/>
      <c r="PXD2480" s="60"/>
      <c r="PXE2480" s="60"/>
      <c r="PXF2480" s="61"/>
      <c r="PXG2480" s="54"/>
      <c r="PXH2480" s="54"/>
      <c r="PXI2480" s="60"/>
      <c r="PXJ2480" s="60"/>
      <c r="PXK2480" s="60"/>
      <c r="PXL2480" s="60"/>
      <c r="PXM2480" s="60"/>
      <c r="PXN2480" s="61"/>
      <c r="PXO2480" s="54"/>
      <c r="PXP2480" s="54"/>
      <c r="PXQ2480" s="60"/>
      <c r="PXR2480" s="60"/>
      <c r="PXS2480" s="60"/>
      <c r="PXT2480" s="60"/>
      <c r="PXU2480" s="60"/>
      <c r="PXV2480" s="61"/>
      <c r="PXW2480" s="54"/>
      <c r="PXX2480" s="54"/>
      <c r="PXY2480" s="60"/>
      <c r="PXZ2480" s="60"/>
      <c r="PYA2480" s="60"/>
      <c r="PYB2480" s="60"/>
      <c r="PYC2480" s="60"/>
      <c r="PYD2480" s="61"/>
      <c r="PYE2480" s="54"/>
      <c r="PYF2480" s="54"/>
      <c r="PYG2480" s="60"/>
      <c r="PYH2480" s="60"/>
      <c r="PYI2480" s="60"/>
      <c r="PYJ2480" s="60"/>
      <c r="PYK2480" s="60"/>
      <c r="PYL2480" s="61"/>
      <c r="PYM2480" s="54"/>
      <c r="PYN2480" s="54"/>
      <c r="PYO2480" s="60"/>
      <c r="PYP2480" s="60"/>
      <c r="PYQ2480" s="60"/>
      <c r="PYR2480" s="60"/>
      <c r="PYS2480" s="60"/>
      <c r="PYT2480" s="61"/>
      <c r="PYU2480" s="54"/>
      <c r="PYV2480" s="54"/>
      <c r="PYW2480" s="60"/>
      <c r="PYX2480" s="60"/>
      <c r="PYY2480" s="60"/>
      <c r="PYZ2480" s="60"/>
      <c r="PZA2480" s="60"/>
      <c r="PZB2480" s="61"/>
      <c r="PZC2480" s="54"/>
      <c r="PZD2480" s="54"/>
      <c r="PZE2480" s="60"/>
      <c r="PZF2480" s="60"/>
      <c r="PZG2480" s="60"/>
      <c r="PZH2480" s="60"/>
      <c r="PZI2480" s="60"/>
      <c r="PZJ2480" s="61"/>
      <c r="PZK2480" s="54"/>
      <c r="PZL2480" s="54"/>
      <c r="PZM2480" s="60"/>
      <c r="PZN2480" s="60"/>
      <c r="PZO2480" s="60"/>
      <c r="PZP2480" s="60"/>
      <c r="PZQ2480" s="60"/>
      <c r="PZR2480" s="61"/>
      <c r="PZS2480" s="54"/>
      <c r="PZT2480" s="54"/>
      <c r="PZU2480" s="60"/>
      <c r="PZV2480" s="60"/>
      <c r="PZW2480" s="60"/>
      <c r="PZX2480" s="60"/>
      <c r="PZY2480" s="60"/>
      <c r="PZZ2480" s="61"/>
      <c r="QAA2480" s="54"/>
      <c r="QAB2480" s="54"/>
      <c r="QAC2480" s="60"/>
      <c r="QAD2480" s="60"/>
      <c r="QAE2480" s="60"/>
      <c r="QAF2480" s="60"/>
      <c r="QAG2480" s="60"/>
      <c r="QAH2480" s="61"/>
      <c r="QAI2480" s="54"/>
      <c r="QAJ2480" s="54"/>
      <c r="QAK2480" s="60"/>
      <c r="QAL2480" s="60"/>
      <c r="QAM2480" s="60"/>
      <c r="QAN2480" s="60"/>
      <c r="QAO2480" s="60"/>
      <c r="QAP2480" s="61"/>
      <c r="QAQ2480" s="54"/>
      <c r="QAR2480" s="54"/>
      <c r="QAS2480" s="60"/>
      <c r="QAT2480" s="60"/>
      <c r="QAU2480" s="60"/>
      <c r="QAV2480" s="60"/>
      <c r="QAW2480" s="60"/>
      <c r="QAX2480" s="61"/>
      <c r="QAY2480" s="54"/>
      <c r="QAZ2480" s="54"/>
      <c r="QBA2480" s="60"/>
      <c r="QBB2480" s="60"/>
      <c r="QBC2480" s="60"/>
      <c r="QBD2480" s="60"/>
      <c r="QBE2480" s="60"/>
      <c r="QBF2480" s="61"/>
      <c r="QBG2480" s="54"/>
      <c r="QBH2480" s="54"/>
      <c r="QBI2480" s="60"/>
      <c r="QBJ2480" s="60"/>
      <c r="QBK2480" s="60"/>
      <c r="QBL2480" s="60"/>
      <c r="QBM2480" s="60"/>
      <c r="QBN2480" s="61"/>
      <c r="QBO2480" s="54"/>
      <c r="QBP2480" s="54"/>
      <c r="QBQ2480" s="60"/>
      <c r="QBR2480" s="60"/>
      <c r="QBS2480" s="60"/>
      <c r="QBT2480" s="60"/>
      <c r="QBU2480" s="60"/>
      <c r="QBV2480" s="61"/>
      <c r="QBW2480" s="54"/>
      <c r="QBX2480" s="54"/>
      <c r="QBY2480" s="60"/>
      <c r="QBZ2480" s="60"/>
      <c r="QCA2480" s="60"/>
      <c r="QCB2480" s="60"/>
      <c r="QCC2480" s="60"/>
      <c r="QCD2480" s="61"/>
      <c r="QCE2480" s="54"/>
      <c r="QCF2480" s="54"/>
      <c r="QCG2480" s="60"/>
      <c r="QCH2480" s="60"/>
      <c r="QCI2480" s="60"/>
      <c r="QCJ2480" s="60"/>
      <c r="QCK2480" s="60"/>
      <c r="QCL2480" s="61"/>
      <c r="QCM2480" s="54"/>
      <c r="QCN2480" s="54"/>
      <c r="QCO2480" s="60"/>
      <c r="QCP2480" s="60"/>
      <c r="QCQ2480" s="60"/>
      <c r="QCR2480" s="60"/>
      <c r="QCS2480" s="60"/>
      <c r="QCT2480" s="61"/>
      <c r="QCU2480" s="54"/>
      <c r="QCV2480" s="54"/>
      <c r="QCW2480" s="60"/>
      <c r="QCX2480" s="60"/>
      <c r="QCY2480" s="60"/>
      <c r="QCZ2480" s="60"/>
      <c r="QDA2480" s="60"/>
      <c r="QDB2480" s="61"/>
      <c r="QDC2480" s="54"/>
      <c r="QDD2480" s="54"/>
      <c r="QDE2480" s="60"/>
      <c r="QDF2480" s="60"/>
      <c r="QDG2480" s="60"/>
      <c r="QDH2480" s="60"/>
      <c r="QDI2480" s="60"/>
      <c r="QDJ2480" s="61"/>
      <c r="QDK2480" s="54"/>
      <c r="QDL2480" s="54"/>
      <c r="QDM2480" s="60"/>
      <c r="QDN2480" s="60"/>
      <c r="QDO2480" s="60"/>
      <c r="QDP2480" s="60"/>
      <c r="QDQ2480" s="60"/>
      <c r="QDR2480" s="61"/>
      <c r="QDS2480" s="54"/>
      <c r="QDT2480" s="54"/>
      <c r="QDU2480" s="60"/>
      <c r="QDV2480" s="60"/>
      <c r="QDW2480" s="60"/>
      <c r="QDX2480" s="60"/>
      <c r="QDY2480" s="60"/>
      <c r="QDZ2480" s="61"/>
      <c r="QEA2480" s="54"/>
      <c r="QEB2480" s="54"/>
      <c r="QEC2480" s="60"/>
      <c r="QED2480" s="60"/>
      <c r="QEE2480" s="60"/>
      <c r="QEF2480" s="60"/>
      <c r="QEG2480" s="60"/>
      <c r="QEH2480" s="61"/>
      <c r="QEI2480" s="54"/>
      <c r="QEJ2480" s="54"/>
      <c r="QEK2480" s="60"/>
      <c r="QEL2480" s="60"/>
      <c r="QEM2480" s="60"/>
      <c r="QEN2480" s="60"/>
      <c r="QEO2480" s="60"/>
      <c r="QEP2480" s="61"/>
      <c r="QEQ2480" s="54"/>
      <c r="QER2480" s="54"/>
      <c r="QES2480" s="60"/>
      <c r="QET2480" s="60"/>
      <c r="QEU2480" s="60"/>
      <c r="QEV2480" s="60"/>
      <c r="QEW2480" s="60"/>
      <c r="QEX2480" s="61"/>
      <c r="QEY2480" s="54"/>
      <c r="QEZ2480" s="54"/>
      <c r="QFA2480" s="60"/>
      <c r="QFB2480" s="60"/>
      <c r="QFC2480" s="60"/>
      <c r="QFD2480" s="60"/>
      <c r="QFE2480" s="60"/>
      <c r="QFF2480" s="61"/>
      <c r="QFG2480" s="54"/>
      <c r="QFH2480" s="54"/>
      <c r="QFI2480" s="60"/>
      <c r="QFJ2480" s="60"/>
      <c r="QFK2480" s="60"/>
      <c r="QFL2480" s="60"/>
      <c r="QFM2480" s="60"/>
      <c r="QFN2480" s="61"/>
      <c r="QFO2480" s="54"/>
      <c r="QFP2480" s="54"/>
      <c r="QFQ2480" s="60"/>
      <c r="QFR2480" s="60"/>
      <c r="QFS2480" s="60"/>
      <c r="QFT2480" s="60"/>
      <c r="QFU2480" s="60"/>
      <c r="QFV2480" s="61"/>
      <c r="QFW2480" s="54"/>
      <c r="QFX2480" s="54"/>
      <c r="QFY2480" s="60"/>
      <c r="QFZ2480" s="60"/>
      <c r="QGA2480" s="60"/>
      <c r="QGB2480" s="60"/>
      <c r="QGC2480" s="60"/>
      <c r="QGD2480" s="61"/>
      <c r="QGE2480" s="54"/>
      <c r="QGF2480" s="54"/>
      <c r="QGG2480" s="60"/>
      <c r="QGH2480" s="60"/>
      <c r="QGI2480" s="60"/>
      <c r="QGJ2480" s="60"/>
      <c r="QGK2480" s="60"/>
      <c r="QGL2480" s="61"/>
      <c r="QGM2480" s="54"/>
      <c r="QGN2480" s="54"/>
      <c r="QGO2480" s="60"/>
      <c r="QGP2480" s="60"/>
      <c r="QGQ2480" s="60"/>
      <c r="QGR2480" s="60"/>
      <c r="QGS2480" s="60"/>
      <c r="QGT2480" s="61"/>
      <c r="QGU2480" s="54"/>
      <c r="QGV2480" s="54"/>
      <c r="QGW2480" s="60"/>
      <c r="QGX2480" s="60"/>
      <c r="QGY2480" s="60"/>
      <c r="QGZ2480" s="60"/>
      <c r="QHA2480" s="60"/>
      <c r="QHB2480" s="61"/>
      <c r="QHC2480" s="54"/>
      <c r="QHD2480" s="54"/>
      <c r="QHE2480" s="60"/>
      <c r="QHF2480" s="60"/>
      <c r="QHG2480" s="60"/>
      <c r="QHH2480" s="60"/>
      <c r="QHI2480" s="60"/>
      <c r="QHJ2480" s="61"/>
      <c r="QHK2480" s="54"/>
      <c r="QHL2480" s="54"/>
      <c r="QHM2480" s="60"/>
      <c r="QHN2480" s="60"/>
      <c r="QHO2480" s="60"/>
      <c r="QHP2480" s="60"/>
      <c r="QHQ2480" s="60"/>
      <c r="QHR2480" s="61"/>
      <c r="QHS2480" s="54"/>
      <c r="QHT2480" s="54"/>
      <c r="QHU2480" s="60"/>
      <c r="QHV2480" s="60"/>
      <c r="QHW2480" s="60"/>
      <c r="QHX2480" s="60"/>
      <c r="QHY2480" s="60"/>
      <c r="QHZ2480" s="61"/>
      <c r="QIA2480" s="54"/>
      <c r="QIB2480" s="54"/>
      <c r="QIC2480" s="60"/>
      <c r="QID2480" s="60"/>
      <c r="QIE2480" s="60"/>
      <c r="QIF2480" s="60"/>
      <c r="QIG2480" s="60"/>
      <c r="QIH2480" s="61"/>
      <c r="QII2480" s="54"/>
      <c r="QIJ2480" s="54"/>
      <c r="QIK2480" s="60"/>
      <c r="QIL2480" s="60"/>
      <c r="QIM2480" s="60"/>
      <c r="QIN2480" s="60"/>
      <c r="QIO2480" s="60"/>
      <c r="QIP2480" s="61"/>
      <c r="QIQ2480" s="54"/>
      <c r="QIR2480" s="54"/>
      <c r="QIS2480" s="60"/>
      <c r="QIT2480" s="60"/>
      <c r="QIU2480" s="60"/>
      <c r="QIV2480" s="60"/>
      <c r="QIW2480" s="60"/>
      <c r="QIX2480" s="61"/>
      <c r="QIY2480" s="54"/>
      <c r="QIZ2480" s="54"/>
      <c r="QJA2480" s="60"/>
      <c r="QJB2480" s="60"/>
      <c r="QJC2480" s="60"/>
      <c r="QJD2480" s="60"/>
      <c r="QJE2480" s="60"/>
      <c r="QJF2480" s="61"/>
      <c r="QJG2480" s="54"/>
      <c r="QJH2480" s="54"/>
      <c r="QJI2480" s="60"/>
      <c r="QJJ2480" s="60"/>
      <c r="QJK2480" s="60"/>
      <c r="QJL2480" s="60"/>
      <c r="QJM2480" s="60"/>
      <c r="QJN2480" s="61"/>
      <c r="QJO2480" s="54"/>
      <c r="QJP2480" s="54"/>
      <c r="QJQ2480" s="60"/>
      <c r="QJR2480" s="60"/>
      <c r="QJS2480" s="60"/>
      <c r="QJT2480" s="60"/>
      <c r="QJU2480" s="60"/>
      <c r="QJV2480" s="61"/>
      <c r="QJW2480" s="54"/>
      <c r="QJX2480" s="54"/>
      <c r="QJY2480" s="60"/>
      <c r="QJZ2480" s="60"/>
      <c r="QKA2480" s="60"/>
      <c r="QKB2480" s="60"/>
      <c r="QKC2480" s="60"/>
      <c r="QKD2480" s="61"/>
      <c r="QKE2480" s="54"/>
      <c r="QKF2480" s="54"/>
      <c r="QKG2480" s="60"/>
      <c r="QKH2480" s="60"/>
      <c r="QKI2480" s="60"/>
      <c r="QKJ2480" s="60"/>
      <c r="QKK2480" s="60"/>
      <c r="QKL2480" s="61"/>
      <c r="QKM2480" s="54"/>
      <c r="QKN2480" s="54"/>
      <c r="QKO2480" s="60"/>
      <c r="QKP2480" s="60"/>
      <c r="QKQ2480" s="60"/>
      <c r="QKR2480" s="60"/>
      <c r="QKS2480" s="60"/>
      <c r="QKT2480" s="61"/>
      <c r="QKU2480" s="54"/>
      <c r="QKV2480" s="54"/>
      <c r="QKW2480" s="60"/>
      <c r="QKX2480" s="60"/>
      <c r="QKY2480" s="60"/>
      <c r="QKZ2480" s="60"/>
      <c r="QLA2480" s="60"/>
      <c r="QLB2480" s="61"/>
      <c r="QLC2480" s="54"/>
      <c r="QLD2480" s="54"/>
      <c r="QLE2480" s="60"/>
      <c r="QLF2480" s="60"/>
      <c r="QLG2480" s="60"/>
      <c r="QLH2480" s="60"/>
      <c r="QLI2480" s="60"/>
      <c r="QLJ2480" s="61"/>
      <c r="QLK2480" s="54"/>
      <c r="QLL2480" s="54"/>
      <c r="QLM2480" s="60"/>
      <c r="QLN2480" s="60"/>
      <c r="QLO2480" s="60"/>
      <c r="QLP2480" s="60"/>
      <c r="QLQ2480" s="60"/>
      <c r="QLR2480" s="61"/>
      <c r="QLS2480" s="54"/>
      <c r="QLT2480" s="54"/>
      <c r="QLU2480" s="60"/>
      <c r="QLV2480" s="60"/>
      <c r="QLW2480" s="60"/>
      <c r="QLX2480" s="60"/>
      <c r="QLY2480" s="60"/>
      <c r="QLZ2480" s="61"/>
      <c r="QMA2480" s="54"/>
      <c r="QMB2480" s="54"/>
      <c r="QMC2480" s="60"/>
      <c r="QMD2480" s="60"/>
      <c r="QME2480" s="60"/>
      <c r="QMF2480" s="60"/>
      <c r="QMG2480" s="60"/>
      <c r="QMH2480" s="61"/>
      <c r="QMI2480" s="54"/>
      <c r="QMJ2480" s="54"/>
      <c r="QMK2480" s="60"/>
      <c r="QML2480" s="60"/>
      <c r="QMM2480" s="60"/>
      <c r="QMN2480" s="60"/>
      <c r="QMO2480" s="60"/>
      <c r="QMP2480" s="61"/>
      <c r="QMQ2480" s="54"/>
      <c r="QMR2480" s="54"/>
      <c r="QMS2480" s="60"/>
      <c r="QMT2480" s="60"/>
      <c r="QMU2480" s="60"/>
      <c r="QMV2480" s="60"/>
      <c r="QMW2480" s="60"/>
      <c r="QMX2480" s="61"/>
      <c r="QMY2480" s="54"/>
      <c r="QMZ2480" s="54"/>
      <c r="QNA2480" s="60"/>
      <c r="QNB2480" s="60"/>
      <c r="QNC2480" s="60"/>
      <c r="QND2480" s="60"/>
      <c r="QNE2480" s="60"/>
      <c r="QNF2480" s="61"/>
      <c r="QNG2480" s="54"/>
      <c r="QNH2480" s="54"/>
      <c r="QNI2480" s="60"/>
      <c r="QNJ2480" s="60"/>
      <c r="QNK2480" s="60"/>
      <c r="QNL2480" s="60"/>
      <c r="QNM2480" s="60"/>
      <c r="QNN2480" s="61"/>
      <c r="QNO2480" s="54"/>
      <c r="QNP2480" s="54"/>
      <c r="QNQ2480" s="60"/>
      <c r="QNR2480" s="60"/>
      <c r="QNS2480" s="60"/>
      <c r="QNT2480" s="60"/>
      <c r="QNU2480" s="60"/>
      <c r="QNV2480" s="61"/>
      <c r="QNW2480" s="54"/>
      <c r="QNX2480" s="54"/>
      <c r="QNY2480" s="60"/>
      <c r="QNZ2480" s="60"/>
      <c r="QOA2480" s="60"/>
      <c r="QOB2480" s="60"/>
      <c r="QOC2480" s="60"/>
      <c r="QOD2480" s="61"/>
      <c r="QOE2480" s="54"/>
      <c r="QOF2480" s="54"/>
      <c r="QOG2480" s="60"/>
      <c r="QOH2480" s="60"/>
      <c r="QOI2480" s="60"/>
      <c r="QOJ2480" s="60"/>
      <c r="QOK2480" s="60"/>
      <c r="QOL2480" s="61"/>
      <c r="QOM2480" s="54"/>
      <c r="QON2480" s="54"/>
      <c r="QOO2480" s="60"/>
      <c r="QOP2480" s="60"/>
      <c r="QOQ2480" s="60"/>
      <c r="QOR2480" s="60"/>
      <c r="QOS2480" s="60"/>
      <c r="QOT2480" s="61"/>
      <c r="QOU2480" s="54"/>
      <c r="QOV2480" s="54"/>
      <c r="QOW2480" s="60"/>
      <c r="QOX2480" s="60"/>
      <c r="QOY2480" s="60"/>
      <c r="QOZ2480" s="60"/>
      <c r="QPA2480" s="60"/>
      <c r="QPB2480" s="61"/>
      <c r="QPC2480" s="54"/>
      <c r="QPD2480" s="54"/>
      <c r="QPE2480" s="60"/>
      <c r="QPF2480" s="60"/>
      <c r="QPG2480" s="60"/>
      <c r="QPH2480" s="60"/>
      <c r="QPI2480" s="60"/>
      <c r="QPJ2480" s="61"/>
      <c r="QPK2480" s="54"/>
      <c r="QPL2480" s="54"/>
      <c r="QPM2480" s="60"/>
      <c r="QPN2480" s="60"/>
      <c r="QPO2480" s="60"/>
      <c r="QPP2480" s="60"/>
      <c r="QPQ2480" s="60"/>
      <c r="QPR2480" s="61"/>
      <c r="QPS2480" s="54"/>
      <c r="QPT2480" s="54"/>
      <c r="QPU2480" s="60"/>
      <c r="QPV2480" s="60"/>
      <c r="QPW2480" s="60"/>
      <c r="QPX2480" s="60"/>
      <c r="QPY2480" s="60"/>
      <c r="QPZ2480" s="61"/>
      <c r="QQA2480" s="54"/>
      <c r="QQB2480" s="54"/>
      <c r="QQC2480" s="60"/>
      <c r="QQD2480" s="60"/>
      <c r="QQE2480" s="60"/>
      <c r="QQF2480" s="60"/>
      <c r="QQG2480" s="60"/>
      <c r="QQH2480" s="61"/>
      <c r="QQI2480" s="54"/>
      <c r="QQJ2480" s="54"/>
      <c r="QQK2480" s="60"/>
      <c r="QQL2480" s="60"/>
      <c r="QQM2480" s="60"/>
      <c r="QQN2480" s="60"/>
      <c r="QQO2480" s="60"/>
      <c r="QQP2480" s="61"/>
      <c r="QQQ2480" s="54"/>
      <c r="QQR2480" s="54"/>
      <c r="QQS2480" s="60"/>
      <c r="QQT2480" s="60"/>
      <c r="QQU2480" s="60"/>
      <c r="QQV2480" s="60"/>
      <c r="QQW2480" s="60"/>
      <c r="QQX2480" s="61"/>
      <c r="QQY2480" s="54"/>
      <c r="QQZ2480" s="54"/>
      <c r="QRA2480" s="60"/>
      <c r="QRB2480" s="60"/>
      <c r="QRC2480" s="60"/>
      <c r="QRD2480" s="60"/>
      <c r="QRE2480" s="60"/>
      <c r="QRF2480" s="61"/>
      <c r="QRG2480" s="54"/>
      <c r="QRH2480" s="54"/>
      <c r="QRI2480" s="60"/>
      <c r="QRJ2480" s="60"/>
      <c r="QRK2480" s="60"/>
      <c r="QRL2480" s="60"/>
      <c r="QRM2480" s="60"/>
      <c r="QRN2480" s="61"/>
      <c r="QRO2480" s="54"/>
      <c r="QRP2480" s="54"/>
      <c r="QRQ2480" s="60"/>
      <c r="QRR2480" s="60"/>
      <c r="QRS2480" s="60"/>
      <c r="QRT2480" s="60"/>
      <c r="QRU2480" s="60"/>
      <c r="QRV2480" s="61"/>
      <c r="QRW2480" s="54"/>
      <c r="QRX2480" s="54"/>
      <c r="QRY2480" s="60"/>
      <c r="QRZ2480" s="60"/>
      <c r="QSA2480" s="60"/>
      <c r="QSB2480" s="60"/>
      <c r="QSC2480" s="60"/>
      <c r="QSD2480" s="61"/>
      <c r="QSE2480" s="54"/>
      <c r="QSF2480" s="54"/>
      <c r="QSG2480" s="60"/>
      <c r="QSH2480" s="60"/>
      <c r="QSI2480" s="60"/>
      <c r="QSJ2480" s="60"/>
      <c r="QSK2480" s="60"/>
      <c r="QSL2480" s="61"/>
      <c r="QSM2480" s="54"/>
      <c r="QSN2480" s="54"/>
      <c r="QSO2480" s="60"/>
      <c r="QSP2480" s="60"/>
      <c r="QSQ2480" s="60"/>
      <c r="QSR2480" s="60"/>
      <c r="QSS2480" s="60"/>
      <c r="QST2480" s="61"/>
      <c r="QSU2480" s="54"/>
      <c r="QSV2480" s="54"/>
      <c r="QSW2480" s="60"/>
      <c r="QSX2480" s="60"/>
      <c r="QSY2480" s="60"/>
      <c r="QSZ2480" s="60"/>
      <c r="QTA2480" s="60"/>
      <c r="QTB2480" s="61"/>
      <c r="QTC2480" s="54"/>
      <c r="QTD2480" s="54"/>
      <c r="QTE2480" s="60"/>
      <c r="QTF2480" s="60"/>
      <c r="QTG2480" s="60"/>
      <c r="QTH2480" s="60"/>
      <c r="QTI2480" s="60"/>
      <c r="QTJ2480" s="61"/>
      <c r="QTK2480" s="54"/>
      <c r="QTL2480" s="54"/>
      <c r="QTM2480" s="60"/>
      <c r="QTN2480" s="60"/>
      <c r="QTO2480" s="60"/>
      <c r="QTP2480" s="60"/>
      <c r="QTQ2480" s="60"/>
      <c r="QTR2480" s="61"/>
      <c r="QTS2480" s="54"/>
      <c r="QTT2480" s="54"/>
      <c r="QTU2480" s="60"/>
      <c r="QTV2480" s="60"/>
      <c r="QTW2480" s="60"/>
      <c r="QTX2480" s="60"/>
      <c r="QTY2480" s="60"/>
      <c r="QTZ2480" s="61"/>
      <c r="QUA2480" s="54"/>
      <c r="QUB2480" s="54"/>
      <c r="QUC2480" s="60"/>
      <c r="QUD2480" s="60"/>
      <c r="QUE2480" s="60"/>
      <c r="QUF2480" s="60"/>
      <c r="QUG2480" s="60"/>
      <c r="QUH2480" s="61"/>
      <c r="QUI2480" s="54"/>
      <c r="QUJ2480" s="54"/>
      <c r="QUK2480" s="60"/>
      <c r="QUL2480" s="60"/>
      <c r="QUM2480" s="60"/>
      <c r="QUN2480" s="60"/>
      <c r="QUO2480" s="60"/>
      <c r="QUP2480" s="61"/>
      <c r="QUQ2480" s="54"/>
      <c r="QUR2480" s="54"/>
      <c r="QUS2480" s="60"/>
      <c r="QUT2480" s="60"/>
      <c r="QUU2480" s="60"/>
      <c r="QUV2480" s="60"/>
      <c r="QUW2480" s="60"/>
      <c r="QUX2480" s="61"/>
      <c r="QUY2480" s="54"/>
      <c r="QUZ2480" s="54"/>
      <c r="QVA2480" s="60"/>
      <c r="QVB2480" s="60"/>
      <c r="QVC2480" s="60"/>
      <c r="QVD2480" s="60"/>
      <c r="QVE2480" s="60"/>
      <c r="QVF2480" s="61"/>
      <c r="QVG2480" s="54"/>
      <c r="QVH2480" s="54"/>
      <c r="QVI2480" s="60"/>
      <c r="QVJ2480" s="60"/>
      <c r="QVK2480" s="60"/>
      <c r="QVL2480" s="60"/>
      <c r="QVM2480" s="60"/>
      <c r="QVN2480" s="61"/>
      <c r="QVO2480" s="54"/>
      <c r="QVP2480" s="54"/>
      <c r="QVQ2480" s="60"/>
      <c r="QVR2480" s="60"/>
      <c r="QVS2480" s="60"/>
      <c r="QVT2480" s="60"/>
      <c r="QVU2480" s="60"/>
      <c r="QVV2480" s="61"/>
      <c r="QVW2480" s="54"/>
      <c r="QVX2480" s="54"/>
      <c r="QVY2480" s="60"/>
      <c r="QVZ2480" s="60"/>
      <c r="QWA2480" s="60"/>
      <c r="QWB2480" s="60"/>
      <c r="QWC2480" s="60"/>
      <c r="QWD2480" s="61"/>
      <c r="QWE2480" s="54"/>
      <c r="QWF2480" s="54"/>
      <c r="QWG2480" s="60"/>
      <c r="QWH2480" s="60"/>
      <c r="QWI2480" s="60"/>
      <c r="QWJ2480" s="60"/>
      <c r="QWK2480" s="60"/>
      <c r="QWL2480" s="61"/>
      <c r="QWM2480" s="54"/>
      <c r="QWN2480" s="54"/>
      <c r="QWO2480" s="60"/>
      <c r="QWP2480" s="60"/>
      <c r="QWQ2480" s="60"/>
      <c r="QWR2480" s="60"/>
      <c r="QWS2480" s="60"/>
      <c r="QWT2480" s="61"/>
      <c r="QWU2480" s="54"/>
      <c r="QWV2480" s="54"/>
      <c r="QWW2480" s="60"/>
      <c r="QWX2480" s="60"/>
      <c r="QWY2480" s="60"/>
      <c r="QWZ2480" s="60"/>
      <c r="QXA2480" s="60"/>
      <c r="QXB2480" s="61"/>
      <c r="QXC2480" s="54"/>
      <c r="QXD2480" s="54"/>
      <c r="QXE2480" s="60"/>
      <c r="QXF2480" s="60"/>
      <c r="QXG2480" s="60"/>
      <c r="QXH2480" s="60"/>
      <c r="QXI2480" s="60"/>
      <c r="QXJ2480" s="61"/>
      <c r="QXK2480" s="54"/>
      <c r="QXL2480" s="54"/>
      <c r="QXM2480" s="60"/>
      <c r="QXN2480" s="60"/>
      <c r="QXO2480" s="60"/>
      <c r="QXP2480" s="60"/>
      <c r="QXQ2480" s="60"/>
      <c r="QXR2480" s="61"/>
      <c r="QXS2480" s="54"/>
      <c r="QXT2480" s="54"/>
      <c r="QXU2480" s="60"/>
      <c r="QXV2480" s="60"/>
      <c r="QXW2480" s="60"/>
      <c r="QXX2480" s="60"/>
      <c r="QXY2480" s="60"/>
      <c r="QXZ2480" s="61"/>
      <c r="QYA2480" s="54"/>
      <c r="QYB2480" s="54"/>
      <c r="QYC2480" s="60"/>
      <c r="QYD2480" s="60"/>
      <c r="QYE2480" s="60"/>
      <c r="QYF2480" s="60"/>
      <c r="QYG2480" s="60"/>
      <c r="QYH2480" s="61"/>
      <c r="QYI2480" s="54"/>
      <c r="QYJ2480" s="54"/>
      <c r="QYK2480" s="60"/>
      <c r="QYL2480" s="60"/>
      <c r="QYM2480" s="60"/>
      <c r="QYN2480" s="60"/>
      <c r="QYO2480" s="60"/>
      <c r="QYP2480" s="61"/>
      <c r="QYQ2480" s="54"/>
      <c r="QYR2480" s="54"/>
      <c r="QYS2480" s="60"/>
      <c r="QYT2480" s="60"/>
      <c r="QYU2480" s="60"/>
      <c r="QYV2480" s="60"/>
      <c r="QYW2480" s="60"/>
      <c r="QYX2480" s="61"/>
      <c r="QYY2480" s="54"/>
      <c r="QYZ2480" s="54"/>
      <c r="QZA2480" s="60"/>
      <c r="QZB2480" s="60"/>
      <c r="QZC2480" s="60"/>
      <c r="QZD2480" s="60"/>
      <c r="QZE2480" s="60"/>
      <c r="QZF2480" s="61"/>
      <c r="QZG2480" s="54"/>
      <c r="QZH2480" s="54"/>
      <c r="QZI2480" s="60"/>
      <c r="QZJ2480" s="60"/>
      <c r="QZK2480" s="60"/>
      <c r="QZL2480" s="60"/>
      <c r="QZM2480" s="60"/>
      <c r="QZN2480" s="61"/>
      <c r="QZO2480" s="54"/>
      <c r="QZP2480" s="54"/>
      <c r="QZQ2480" s="60"/>
      <c r="QZR2480" s="60"/>
      <c r="QZS2480" s="60"/>
      <c r="QZT2480" s="60"/>
      <c r="QZU2480" s="60"/>
      <c r="QZV2480" s="61"/>
      <c r="QZW2480" s="54"/>
      <c r="QZX2480" s="54"/>
      <c r="QZY2480" s="60"/>
      <c r="QZZ2480" s="60"/>
      <c r="RAA2480" s="60"/>
      <c r="RAB2480" s="60"/>
      <c r="RAC2480" s="60"/>
      <c r="RAD2480" s="61"/>
      <c r="RAE2480" s="54"/>
      <c r="RAF2480" s="54"/>
      <c r="RAG2480" s="60"/>
      <c r="RAH2480" s="60"/>
      <c r="RAI2480" s="60"/>
      <c r="RAJ2480" s="60"/>
      <c r="RAK2480" s="60"/>
      <c r="RAL2480" s="61"/>
      <c r="RAM2480" s="54"/>
      <c r="RAN2480" s="54"/>
      <c r="RAO2480" s="60"/>
      <c r="RAP2480" s="60"/>
      <c r="RAQ2480" s="60"/>
      <c r="RAR2480" s="60"/>
      <c r="RAS2480" s="60"/>
      <c r="RAT2480" s="61"/>
      <c r="RAU2480" s="54"/>
      <c r="RAV2480" s="54"/>
      <c r="RAW2480" s="60"/>
      <c r="RAX2480" s="60"/>
      <c r="RAY2480" s="60"/>
      <c r="RAZ2480" s="60"/>
      <c r="RBA2480" s="60"/>
      <c r="RBB2480" s="61"/>
      <c r="RBC2480" s="54"/>
      <c r="RBD2480" s="54"/>
      <c r="RBE2480" s="60"/>
      <c r="RBF2480" s="60"/>
      <c r="RBG2480" s="60"/>
      <c r="RBH2480" s="60"/>
      <c r="RBI2480" s="60"/>
      <c r="RBJ2480" s="61"/>
      <c r="RBK2480" s="54"/>
      <c r="RBL2480" s="54"/>
      <c r="RBM2480" s="60"/>
      <c r="RBN2480" s="60"/>
      <c r="RBO2480" s="60"/>
      <c r="RBP2480" s="60"/>
      <c r="RBQ2480" s="60"/>
      <c r="RBR2480" s="61"/>
      <c r="RBS2480" s="54"/>
      <c r="RBT2480" s="54"/>
      <c r="RBU2480" s="60"/>
      <c r="RBV2480" s="60"/>
      <c r="RBW2480" s="60"/>
      <c r="RBX2480" s="60"/>
      <c r="RBY2480" s="60"/>
      <c r="RBZ2480" s="61"/>
      <c r="RCA2480" s="54"/>
      <c r="RCB2480" s="54"/>
      <c r="RCC2480" s="60"/>
      <c r="RCD2480" s="60"/>
      <c r="RCE2480" s="60"/>
      <c r="RCF2480" s="60"/>
      <c r="RCG2480" s="60"/>
      <c r="RCH2480" s="61"/>
      <c r="RCI2480" s="54"/>
      <c r="RCJ2480" s="54"/>
      <c r="RCK2480" s="60"/>
      <c r="RCL2480" s="60"/>
      <c r="RCM2480" s="60"/>
      <c r="RCN2480" s="60"/>
      <c r="RCO2480" s="60"/>
      <c r="RCP2480" s="61"/>
      <c r="RCQ2480" s="54"/>
      <c r="RCR2480" s="54"/>
      <c r="RCS2480" s="60"/>
      <c r="RCT2480" s="60"/>
      <c r="RCU2480" s="60"/>
      <c r="RCV2480" s="60"/>
      <c r="RCW2480" s="60"/>
      <c r="RCX2480" s="61"/>
      <c r="RCY2480" s="54"/>
      <c r="RCZ2480" s="54"/>
      <c r="RDA2480" s="60"/>
      <c r="RDB2480" s="60"/>
      <c r="RDC2480" s="60"/>
      <c r="RDD2480" s="60"/>
      <c r="RDE2480" s="60"/>
      <c r="RDF2480" s="61"/>
      <c r="RDG2480" s="54"/>
      <c r="RDH2480" s="54"/>
      <c r="RDI2480" s="60"/>
      <c r="RDJ2480" s="60"/>
      <c r="RDK2480" s="60"/>
      <c r="RDL2480" s="60"/>
      <c r="RDM2480" s="60"/>
      <c r="RDN2480" s="61"/>
      <c r="RDO2480" s="54"/>
      <c r="RDP2480" s="54"/>
      <c r="RDQ2480" s="60"/>
      <c r="RDR2480" s="60"/>
      <c r="RDS2480" s="60"/>
      <c r="RDT2480" s="60"/>
      <c r="RDU2480" s="60"/>
      <c r="RDV2480" s="61"/>
      <c r="RDW2480" s="54"/>
      <c r="RDX2480" s="54"/>
      <c r="RDY2480" s="60"/>
      <c r="RDZ2480" s="60"/>
      <c r="REA2480" s="60"/>
      <c r="REB2480" s="60"/>
      <c r="REC2480" s="60"/>
      <c r="RED2480" s="61"/>
      <c r="REE2480" s="54"/>
      <c r="REF2480" s="54"/>
      <c r="REG2480" s="60"/>
      <c r="REH2480" s="60"/>
      <c r="REI2480" s="60"/>
      <c r="REJ2480" s="60"/>
      <c r="REK2480" s="60"/>
      <c r="REL2480" s="61"/>
      <c r="REM2480" s="54"/>
      <c r="REN2480" s="54"/>
      <c r="REO2480" s="60"/>
      <c r="REP2480" s="60"/>
      <c r="REQ2480" s="60"/>
      <c r="RER2480" s="60"/>
      <c r="RES2480" s="60"/>
      <c r="RET2480" s="61"/>
      <c r="REU2480" s="54"/>
      <c r="REV2480" s="54"/>
      <c r="REW2480" s="60"/>
      <c r="REX2480" s="60"/>
      <c r="REY2480" s="60"/>
      <c r="REZ2480" s="60"/>
      <c r="RFA2480" s="60"/>
      <c r="RFB2480" s="61"/>
      <c r="RFC2480" s="54"/>
      <c r="RFD2480" s="54"/>
      <c r="RFE2480" s="60"/>
      <c r="RFF2480" s="60"/>
      <c r="RFG2480" s="60"/>
      <c r="RFH2480" s="60"/>
      <c r="RFI2480" s="60"/>
      <c r="RFJ2480" s="61"/>
      <c r="RFK2480" s="54"/>
      <c r="RFL2480" s="54"/>
      <c r="RFM2480" s="60"/>
      <c r="RFN2480" s="60"/>
      <c r="RFO2480" s="60"/>
      <c r="RFP2480" s="60"/>
      <c r="RFQ2480" s="60"/>
      <c r="RFR2480" s="61"/>
      <c r="RFS2480" s="54"/>
      <c r="RFT2480" s="54"/>
      <c r="RFU2480" s="60"/>
      <c r="RFV2480" s="60"/>
      <c r="RFW2480" s="60"/>
      <c r="RFX2480" s="60"/>
      <c r="RFY2480" s="60"/>
      <c r="RFZ2480" s="61"/>
      <c r="RGA2480" s="54"/>
      <c r="RGB2480" s="54"/>
      <c r="RGC2480" s="60"/>
      <c r="RGD2480" s="60"/>
      <c r="RGE2480" s="60"/>
      <c r="RGF2480" s="60"/>
      <c r="RGG2480" s="60"/>
      <c r="RGH2480" s="61"/>
      <c r="RGI2480" s="54"/>
      <c r="RGJ2480" s="54"/>
      <c r="RGK2480" s="60"/>
      <c r="RGL2480" s="60"/>
      <c r="RGM2480" s="60"/>
      <c r="RGN2480" s="60"/>
      <c r="RGO2480" s="60"/>
      <c r="RGP2480" s="61"/>
      <c r="RGQ2480" s="54"/>
      <c r="RGR2480" s="54"/>
      <c r="RGS2480" s="60"/>
      <c r="RGT2480" s="60"/>
      <c r="RGU2480" s="60"/>
      <c r="RGV2480" s="60"/>
      <c r="RGW2480" s="60"/>
      <c r="RGX2480" s="61"/>
      <c r="RGY2480" s="54"/>
      <c r="RGZ2480" s="54"/>
      <c r="RHA2480" s="60"/>
      <c r="RHB2480" s="60"/>
      <c r="RHC2480" s="60"/>
      <c r="RHD2480" s="60"/>
      <c r="RHE2480" s="60"/>
      <c r="RHF2480" s="61"/>
      <c r="RHG2480" s="54"/>
      <c r="RHH2480" s="54"/>
      <c r="RHI2480" s="60"/>
      <c r="RHJ2480" s="60"/>
      <c r="RHK2480" s="60"/>
      <c r="RHL2480" s="60"/>
      <c r="RHM2480" s="60"/>
      <c r="RHN2480" s="61"/>
      <c r="RHO2480" s="54"/>
      <c r="RHP2480" s="54"/>
      <c r="RHQ2480" s="60"/>
      <c r="RHR2480" s="60"/>
      <c r="RHS2480" s="60"/>
      <c r="RHT2480" s="60"/>
      <c r="RHU2480" s="60"/>
      <c r="RHV2480" s="61"/>
      <c r="RHW2480" s="54"/>
      <c r="RHX2480" s="54"/>
      <c r="RHY2480" s="60"/>
      <c r="RHZ2480" s="60"/>
      <c r="RIA2480" s="60"/>
      <c r="RIB2480" s="60"/>
      <c r="RIC2480" s="60"/>
      <c r="RID2480" s="61"/>
      <c r="RIE2480" s="54"/>
      <c r="RIF2480" s="54"/>
      <c r="RIG2480" s="60"/>
      <c r="RIH2480" s="60"/>
      <c r="RII2480" s="60"/>
      <c r="RIJ2480" s="60"/>
      <c r="RIK2480" s="60"/>
      <c r="RIL2480" s="61"/>
      <c r="RIM2480" s="54"/>
      <c r="RIN2480" s="54"/>
      <c r="RIO2480" s="60"/>
      <c r="RIP2480" s="60"/>
      <c r="RIQ2480" s="60"/>
      <c r="RIR2480" s="60"/>
      <c r="RIS2480" s="60"/>
      <c r="RIT2480" s="61"/>
      <c r="RIU2480" s="54"/>
      <c r="RIV2480" s="54"/>
      <c r="RIW2480" s="60"/>
      <c r="RIX2480" s="60"/>
      <c r="RIY2480" s="60"/>
      <c r="RIZ2480" s="60"/>
      <c r="RJA2480" s="60"/>
      <c r="RJB2480" s="61"/>
      <c r="RJC2480" s="54"/>
      <c r="RJD2480" s="54"/>
      <c r="RJE2480" s="60"/>
      <c r="RJF2480" s="60"/>
      <c r="RJG2480" s="60"/>
      <c r="RJH2480" s="60"/>
      <c r="RJI2480" s="60"/>
      <c r="RJJ2480" s="61"/>
      <c r="RJK2480" s="54"/>
      <c r="RJL2480" s="54"/>
      <c r="RJM2480" s="60"/>
      <c r="RJN2480" s="60"/>
      <c r="RJO2480" s="60"/>
      <c r="RJP2480" s="60"/>
      <c r="RJQ2480" s="60"/>
      <c r="RJR2480" s="61"/>
      <c r="RJS2480" s="54"/>
      <c r="RJT2480" s="54"/>
      <c r="RJU2480" s="60"/>
      <c r="RJV2480" s="60"/>
      <c r="RJW2480" s="60"/>
      <c r="RJX2480" s="60"/>
      <c r="RJY2480" s="60"/>
      <c r="RJZ2480" s="61"/>
      <c r="RKA2480" s="54"/>
      <c r="RKB2480" s="54"/>
      <c r="RKC2480" s="60"/>
      <c r="RKD2480" s="60"/>
      <c r="RKE2480" s="60"/>
      <c r="RKF2480" s="60"/>
      <c r="RKG2480" s="60"/>
      <c r="RKH2480" s="61"/>
      <c r="RKI2480" s="54"/>
      <c r="RKJ2480" s="54"/>
      <c r="RKK2480" s="60"/>
      <c r="RKL2480" s="60"/>
      <c r="RKM2480" s="60"/>
      <c r="RKN2480" s="60"/>
      <c r="RKO2480" s="60"/>
      <c r="RKP2480" s="61"/>
      <c r="RKQ2480" s="54"/>
      <c r="RKR2480" s="54"/>
      <c r="RKS2480" s="60"/>
      <c r="RKT2480" s="60"/>
      <c r="RKU2480" s="60"/>
      <c r="RKV2480" s="60"/>
      <c r="RKW2480" s="60"/>
      <c r="RKX2480" s="61"/>
      <c r="RKY2480" s="54"/>
      <c r="RKZ2480" s="54"/>
      <c r="RLA2480" s="60"/>
      <c r="RLB2480" s="60"/>
      <c r="RLC2480" s="60"/>
      <c r="RLD2480" s="60"/>
      <c r="RLE2480" s="60"/>
      <c r="RLF2480" s="61"/>
      <c r="RLG2480" s="54"/>
      <c r="RLH2480" s="54"/>
      <c r="RLI2480" s="60"/>
      <c r="RLJ2480" s="60"/>
      <c r="RLK2480" s="60"/>
      <c r="RLL2480" s="60"/>
      <c r="RLM2480" s="60"/>
      <c r="RLN2480" s="61"/>
      <c r="RLO2480" s="54"/>
      <c r="RLP2480" s="54"/>
      <c r="RLQ2480" s="60"/>
      <c r="RLR2480" s="60"/>
      <c r="RLS2480" s="60"/>
      <c r="RLT2480" s="60"/>
      <c r="RLU2480" s="60"/>
      <c r="RLV2480" s="61"/>
      <c r="RLW2480" s="54"/>
      <c r="RLX2480" s="54"/>
      <c r="RLY2480" s="60"/>
      <c r="RLZ2480" s="60"/>
      <c r="RMA2480" s="60"/>
      <c r="RMB2480" s="60"/>
      <c r="RMC2480" s="60"/>
      <c r="RMD2480" s="61"/>
      <c r="RME2480" s="54"/>
      <c r="RMF2480" s="54"/>
      <c r="RMG2480" s="60"/>
      <c r="RMH2480" s="60"/>
      <c r="RMI2480" s="60"/>
      <c r="RMJ2480" s="60"/>
      <c r="RMK2480" s="60"/>
      <c r="RML2480" s="61"/>
      <c r="RMM2480" s="54"/>
      <c r="RMN2480" s="54"/>
      <c r="RMO2480" s="60"/>
      <c r="RMP2480" s="60"/>
      <c r="RMQ2480" s="60"/>
      <c r="RMR2480" s="60"/>
      <c r="RMS2480" s="60"/>
      <c r="RMT2480" s="61"/>
      <c r="RMU2480" s="54"/>
      <c r="RMV2480" s="54"/>
      <c r="RMW2480" s="60"/>
      <c r="RMX2480" s="60"/>
      <c r="RMY2480" s="60"/>
      <c r="RMZ2480" s="60"/>
      <c r="RNA2480" s="60"/>
      <c r="RNB2480" s="61"/>
      <c r="RNC2480" s="54"/>
      <c r="RND2480" s="54"/>
      <c r="RNE2480" s="60"/>
      <c r="RNF2480" s="60"/>
      <c r="RNG2480" s="60"/>
      <c r="RNH2480" s="60"/>
      <c r="RNI2480" s="60"/>
      <c r="RNJ2480" s="61"/>
      <c r="RNK2480" s="54"/>
      <c r="RNL2480" s="54"/>
      <c r="RNM2480" s="60"/>
      <c r="RNN2480" s="60"/>
      <c r="RNO2480" s="60"/>
      <c r="RNP2480" s="60"/>
      <c r="RNQ2480" s="60"/>
      <c r="RNR2480" s="61"/>
      <c r="RNS2480" s="54"/>
      <c r="RNT2480" s="54"/>
      <c r="RNU2480" s="60"/>
      <c r="RNV2480" s="60"/>
      <c r="RNW2480" s="60"/>
      <c r="RNX2480" s="60"/>
      <c r="RNY2480" s="60"/>
      <c r="RNZ2480" s="61"/>
      <c r="ROA2480" s="54"/>
      <c r="ROB2480" s="54"/>
      <c r="ROC2480" s="60"/>
      <c r="ROD2480" s="60"/>
      <c r="ROE2480" s="60"/>
      <c r="ROF2480" s="60"/>
      <c r="ROG2480" s="60"/>
      <c r="ROH2480" s="61"/>
      <c r="ROI2480" s="54"/>
      <c r="ROJ2480" s="54"/>
      <c r="ROK2480" s="60"/>
      <c r="ROL2480" s="60"/>
      <c r="ROM2480" s="60"/>
      <c r="RON2480" s="60"/>
      <c r="ROO2480" s="60"/>
      <c r="ROP2480" s="61"/>
      <c r="ROQ2480" s="54"/>
      <c r="ROR2480" s="54"/>
      <c r="ROS2480" s="60"/>
      <c r="ROT2480" s="60"/>
      <c r="ROU2480" s="60"/>
      <c r="ROV2480" s="60"/>
      <c r="ROW2480" s="60"/>
      <c r="ROX2480" s="61"/>
      <c r="ROY2480" s="54"/>
      <c r="ROZ2480" s="54"/>
      <c r="RPA2480" s="60"/>
      <c r="RPB2480" s="60"/>
      <c r="RPC2480" s="60"/>
      <c r="RPD2480" s="60"/>
      <c r="RPE2480" s="60"/>
      <c r="RPF2480" s="61"/>
      <c r="RPG2480" s="54"/>
      <c r="RPH2480" s="54"/>
      <c r="RPI2480" s="60"/>
      <c r="RPJ2480" s="60"/>
      <c r="RPK2480" s="60"/>
      <c r="RPL2480" s="60"/>
      <c r="RPM2480" s="60"/>
      <c r="RPN2480" s="61"/>
      <c r="RPO2480" s="54"/>
      <c r="RPP2480" s="54"/>
      <c r="RPQ2480" s="60"/>
      <c r="RPR2480" s="60"/>
      <c r="RPS2480" s="60"/>
      <c r="RPT2480" s="60"/>
      <c r="RPU2480" s="60"/>
      <c r="RPV2480" s="61"/>
      <c r="RPW2480" s="54"/>
      <c r="RPX2480" s="54"/>
      <c r="RPY2480" s="60"/>
      <c r="RPZ2480" s="60"/>
      <c r="RQA2480" s="60"/>
      <c r="RQB2480" s="60"/>
      <c r="RQC2480" s="60"/>
      <c r="RQD2480" s="61"/>
      <c r="RQE2480" s="54"/>
      <c r="RQF2480" s="54"/>
      <c r="RQG2480" s="60"/>
      <c r="RQH2480" s="60"/>
      <c r="RQI2480" s="60"/>
      <c r="RQJ2480" s="60"/>
      <c r="RQK2480" s="60"/>
      <c r="RQL2480" s="61"/>
      <c r="RQM2480" s="54"/>
      <c r="RQN2480" s="54"/>
      <c r="RQO2480" s="60"/>
      <c r="RQP2480" s="60"/>
      <c r="RQQ2480" s="60"/>
      <c r="RQR2480" s="60"/>
      <c r="RQS2480" s="60"/>
      <c r="RQT2480" s="61"/>
      <c r="RQU2480" s="54"/>
      <c r="RQV2480" s="54"/>
      <c r="RQW2480" s="60"/>
      <c r="RQX2480" s="60"/>
      <c r="RQY2480" s="60"/>
      <c r="RQZ2480" s="60"/>
      <c r="RRA2480" s="60"/>
      <c r="RRB2480" s="61"/>
      <c r="RRC2480" s="54"/>
      <c r="RRD2480" s="54"/>
      <c r="RRE2480" s="60"/>
      <c r="RRF2480" s="60"/>
      <c r="RRG2480" s="60"/>
      <c r="RRH2480" s="60"/>
      <c r="RRI2480" s="60"/>
      <c r="RRJ2480" s="61"/>
      <c r="RRK2480" s="54"/>
      <c r="RRL2480" s="54"/>
      <c r="RRM2480" s="60"/>
      <c r="RRN2480" s="60"/>
      <c r="RRO2480" s="60"/>
      <c r="RRP2480" s="60"/>
      <c r="RRQ2480" s="60"/>
      <c r="RRR2480" s="61"/>
      <c r="RRS2480" s="54"/>
      <c r="RRT2480" s="54"/>
      <c r="RRU2480" s="60"/>
      <c r="RRV2480" s="60"/>
      <c r="RRW2480" s="60"/>
      <c r="RRX2480" s="60"/>
      <c r="RRY2480" s="60"/>
      <c r="RRZ2480" s="61"/>
      <c r="RSA2480" s="54"/>
      <c r="RSB2480" s="54"/>
      <c r="RSC2480" s="60"/>
      <c r="RSD2480" s="60"/>
      <c r="RSE2480" s="60"/>
      <c r="RSF2480" s="60"/>
      <c r="RSG2480" s="60"/>
      <c r="RSH2480" s="61"/>
      <c r="RSI2480" s="54"/>
      <c r="RSJ2480" s="54"/>
      <c r="RSK2480" s="60"/>
      <c r="RSL2480" s="60"/>
      <c r="RSM2480" s="60"/>
      <c r="RSN2480" s="60"/>
      <c r="RSO2480" s="60"/>
      <c r="RSP2480" s="61"/>
      <c r="RSQ2480" s="54"/>
      <c r="RSR2480" s="54"/>
      <c r="RSS2480" s="60"/>
      <c r="RST2480" s="60"/>
      <c r="RSU2480" s="60"/>
      <c r="RSV2480" s="60"/>
      <c r="RSW2480" s="60"/>
      <c r="RSX2480" s="61"/>
      <c r="RSY2480" s="54"/>
      <c r="RSZ2480" s="54"/>
      <c r="RTA2480" s="60"/>
      <c r="RTB2480" s="60"/>
      <c r="RTC2480" s="60"/>
      <c r="RTD2480" s="60"/>
      <c r="RTE2480" s="60"/>
      <c r="RTF2480" s="61"/>
      <c r="RTG2480" s="54"/>
      <c r="RTH2480" s="54"/>
      <c r="RTI2480" s="60"/>
      <c r="RTJ2480" s="60"/>
      <c r="RTK2480" s="60"/>
      <c r="RTL2480" s="60"/>
      <c r="RTM2480" s="60"/>
      <c r="RTN2480" s="61"/>
      <c r="RTO2480" s="54"/>
      <c r="RTP2480" s="54"/>
      <c r="RTQ2480" s="60"/>
      <c r="RTR2480" s="60"/>
      <c r="RTS2480" s="60"/>
      <c r="RTT2480" s="60"/>
      <c r="RTU2480" s="60"/>
      <c r="RTV2480" s="61"/>
      <c r="RTW2480" s="54"/>
      <c r="RTX2480" s="54"/>
      <c r="RTY2480" s="60"/>
      <c r="RTZ2480" s="60"/>
      <c r="RUA2480" s="60"/>
      <c r="RUB2480" s="60"/>
      <c r="RUC2480" s="60"/>
      <c r="RUD2480" s="61"/>
      <c r="RUE2480" s="54"/>
      <c r="RUF2480" s="54"/>
      <c r="RUG2480" s="60"/>
      <c r="RUH2480" s="60"/>
      <c r="RUI2480" s="60"/>
      <c r="RUJ2480" s="60"/>
      <c r="RUK2480" s="60"/>
      <c r="RUL2480" s="61"/>
      <c r="RUM2480" s="54"/>
      <c r="RUN2480" s="54"/>
      <c r="RUO2480" s="60"/>
      <c r="RUP2480" s="60"/>
      <c r="RUQ2480" s="60"/>
      <c r="RUR2480" s="60"/>
      <c r="RUS2480" s="60"/>
      <c r="RUT2480" s="61"/>
      <c r="RUU2480" s="54"/>
      <c r="RUV2480" s="54"/>
      <c r="RUW2480" s="60"/>
      <c r="RUX2480" s="60"/>
      <c r="RUY2480" s="60"/>
      <c r="RUZ2480" s="60"/>
      <c r="RVA2480" s="60"/>
      <c r="RVB2480" s="61"/>
      <c r="RVC2480" s="54"/>
      <c r="RVD2480" s="54"/>
      <c r="RVE2480" s="60"/>
      <c r="RVF2480" s="60"/>
      <c r="RVG2480" s="60"/>
      <c r="RVH2480" s="60"/>
      <c r="RVI2480" s="60"/>
      <c r="RVJ2480" s="61"/>
      <c r="RVK2480" s="54"/>
      <c r="RVL2480" s="54"/>
      <c r="RVM2480" s="60"/>
      <c r="RVN2480" s="60"/>
      <c r="RVO2480" s="60"/>
      <c r="RVP2480" s="60"/>
      <c r="RVQ2480" s="60"/>
      <c r="RVR2480" s="61"/>
      <c r="RVS2480" s="54"/>
      <c r="RVT2480" s="54"/>
      <c r="RVU2480" s="60"/>
      <c r="RVV2480" s="60"/>
      <c r="RVW2480" s="60"/>
      <c r="RVX2480" s="60"/>
      <c r="RVY2480" s="60"/>
      <c r="RVZ2480" s="61"/>
      <c r="RWA2480" s="54"/>
      <c r="RWB2480" s="54"/>
      <c r="RWC2480" s="60"/>
      <c r="RWD2480" s="60"/>
      <c r="RWE2480" s="60"/>
      <c r="RWF2480" s="60"/>
      <c r="RWG2480" s="60"/>
      <c r="RWH2480" s="61"/>
      <c r="RWI2480" s="54"/>
      <c r="RWJ2480" s="54"/>
      <c r="RWK2480" s="60"/>
      <c r="RWL2480" s="60"/>
      <c r="RWM2480" s="60"/>
      <c r="RWN2480" s="60"/>
      <c r="RWO2480" s="60"/>
      <c r="RWP2480" s="61"/>
      <c r="RWQ2480" s="54"/>
      <c r="RWR2480" s="54"/>
      <c r="RWS2480" s="60"/>
      <c r="RWT2480" s="60"/>
      <c r="RWU2480" s="60"/>
      <c r="RWV2480" s="60"/>
      <c r="RWW2480" s="60"/>
      <c r="RWX2480" s="61"/>
      <c r="RWY2480" s="54"/>
      <c r="RWZ2480" s="54"/>
      <c r="RXA2480" s="60"/>
      <c r="RXB2480" s="60"/>
      <c r="RXC2480" s="60"/>
      <c r="RXD2480" s="60"/>
      <c r="RXE2480" s="60"/>
      <c r="RXF2480" s="61"/>
      <c r="RXG2480" s="54"/>
      <c r="RXH2480" s="54"/>
      <c r="RXI2480" s="60"/>
      <c r="RXJ2480" s="60"/>
      <c r="RXK2480" s="60"/>
      <c r="RXL2480" s="60"/>
      <c r="RXM2480" s="60"/>
      <c r="RXN2480" s="61"/>
      <c r="RXO2480" s="54"/>
      <c r="RXP2480" s="54"/>
      <c r="RXQ2480" s="60"/>
      <c r="RXR2480" s="60"/>
      <c r="RXS2480" s="60"/>
      <c r="RXT2480" s="60"/>
      <c r="RXU2480" s="60"/>
      <c r="RXV2480" s="61"/>
      <c r="RXW2480" s="54"/>
      <c r="RXX2480" s="54"/>
      <c r="RXY2480" s="60"/>
      <c r="RXZ2480" s="60"/>
      <c r="RYA2480" s="60"/>
      <c r="RYB2480" s="60"/>
      <c r="RYC2480" s="60"/>
      <c r="RYD2480" s="61"/>
      <c r="RYE2480" s="54"/>
      <c r="RYF2480" s="54"/>
      <c r="RYG2480" s="60"/>
      <c r="RYH2480" s="60"/>
      <c r="RYI2480" s="60"/>
      <c r="RYJ2480" s="60"/>
      <c r="RYK2480" s="60"/>
      <c r="RYL2480" s="61"/>
      <c r="RYM2480" s="54"/>
      <c r="RYN2480" s="54"/>
      <c r="RYO2480" s="60"/>
      <c r="RYP2480" s="60"/>
      <c r="RYQ2480" s="60"/>
      <c r="RYR2480" s="60"/>
      <c r="RYS2480" s="60"/>
      <c r="RYT2480" s="61"/>
      <c r="RYU2480" s="54"/>
      <c r="RYV2480" s="54"/>
      <c r="RYW2480" s="60"/>
      <c r="RYX2480" s="60"/>
      <c r="RYY2480" s="60"/>
      <c r="RYZ2480" s="60"/>
      <c r="RZA2480" s="60"/>
      <c r="RZB2480" s="61"/>
      <c r="RZC2480" s="54"/>
      <c r="RZD2480" s="54"/>
      <c r="RZE2480" s="60"/>
      <c r="RZF2480" s="60"/>
      <c r="RZG2480" s="60"/>
      <c r="RZH2480" s="60"/>
      <c r="RZI2480" s="60"/>
      <c r="RZJ2480" s="61"/>
      <c r="RZK2480" s="54"/>
      <c r="RZL2480" s="54"/>
      <c r="RZM2480" s="60"/>
      <c r="RZN2480" s="60"/>
      <c r="RZO2480" s="60"/>
      <c r="RZP2480" s="60"/>
      <c r="RZQ2480" s="60"/>
      <c r="RZR2480" s="61"/>
      <c r="RZS2480" s="54"/>
      <c r="RZT2480" s="54"/>
      <c r="RZU2480" s="60"/>
      <c r="RZV2480" s="60"/>
      <c r="RZW2480" s="60"/>
      <c r="RZX2480" s="60"/>
      <c r="RZY2480" s="60"/>
      <c r="RZZ2480" s="61"/>
      <c r="SAA2480" s="54"/>
      <c r="SAB2480" s="54"/>
      <c r="SAC2480" s="60"/>
      <c r="SAD2480" s="60"/>
      <c r="SAE2480" s="60"/>
      <c r="SAF2480" s="60"/>
      <c r="SAG2480" s="60"/>
      <c r="SAH2480" s="61"/>
      <c r="SAI2480" s="54"/>
      <c r="SAJ2480" s="54"/>
      <c r="SAK2480" s="60"/>
      <c r="SAL2480" s="60"/>
      <c r="SAM2480" s="60"/>
      <c r="SAN2480" s="60"/>
      <c r="SAO2480" s="60"/>
      <c r="SAP2480" s="61"/>
      <c r="SAQ2480" s="54"/>
      <c r="SAR2480" s="54"/>
      <c r="SAS2480" s="60"/>
      <c r="SAT2480" s="60"/>
      <c r="SAU2480" s="60"/>
      <c r="SAV2480" s="60"/>
      <c r="SAW2480" s="60"/>
      <c r="SAX2480" s="61"/>
      <c r="SAY2480" s="54"/>
      <c r="SAZ2480" s="54"/>
      <c r="SBA2480" s="60"/>
      <c r="SBB2480" s="60"/>
      <c r="SBC2480" s="60"/>
      <c r="SBD2480" s="60"/>
      <c r="SBE2480" s="60"/>
      <c r="SBF2480" s="61"/>
      <c r="SBG2480" s="54"/>
      <c r="SBH2480" s="54"/>
      <c r="SBI2480" s="60"/>
      <c r="SBJ2480" s="60"/>
      <c r="SBK2480" s="60"/>
      <c r="SBL2480" s="60"/>
      <c r="SBM2480" s="60"/>
      <c r="SBN2480" s="61"/>
      <c r="SBO2480" s="54"/>
      <c r="SBP2480" s="54"/>
      <c r="SBQ2480" s="60"/>
      <c r="SBR2480" s="60"/>
      <c r="SBS2480" s="60"/>
      <c r="SBT2480" s="60"/>
      <c r="SBU2480" s="60"/>
      <c r="SBV2480" s="61"/>
      <c r="SBW2480" s="54"/>
      <c r="SBX2480" s="54"/>
      <c r="SBY2480" s="60"/>
      <c r="SBZ2480" s="60"/>
      <c r="SCA2480" s="60"/>
      <c r="SCB2480" s="60"/>
      <c r="SCC2480" s="60"/>
      <c r="SCD2480" s="61"/>
      <c r="SCE2480" s="54"/>
      <c r="SCF2480" s="54"/>
      <c r="SCG2480" s="60"/>
      <c r="SCH2480" s="60"/>
      <c r="SCI2480" s="60"/>
      <c r="SCJ2480" s="60"/>
      <c r="SCK2480" s="60"/>
      <c r="SCL2480" s="61"/>
      <c r="SCM2480" s="54"/>
      <c r="SCN2480" s="54"/>
      <c r="SCO2480" s="60"/>
      <c r="SCP2480" s="60"/>
      <c r="SCQ2480" s="60"/>
      <c r="SCR2480" s="60"/>
      <c r="SCS2480" s="60"/>
      <c r="SCT2480" s="61"/>
      <c r="SCU2480" s="54"/>
      <c r="SCV2480" s="54"/>
      <c r="SCW2480" s="60"/>
      <c r="SCX2480" s="60"/>
      <c r="SCY2480" s="60"/>
      <c r="SCZ2480" s="60"/>
      <c r="SDA2480" s="60"/>
      <c r="SDB2480" s="61"/>
      <c r="SDC2480" s="54"/>
      <c r="SDD2480" s="54"/>
      <c r="SDE2480" s="60"/>
      <c r="SDF2480" s="60"/>
      <c r="SDG2480" s="60"/>
      <c r="SDH2480" s="60"/>
      <c r="SDI2480" s="60"/>
      <c r="SDJ2480" s="61"/>
      <c r="SDK2480" s="54"/>
      <c r="SDL2480" s="54"/>
      <c r="SDM2480" s="60"/>
      <c r="SDN2480" s="60"/>
      <c r="SDO2480" s="60"/>
      <c r="SDP2480" s="60"/>
      <c r="SDQ2480" s="60"/>
      <c r="SDR2480" s="61"/>
      <c r="SDS2480" s="54"/>
      <c r="SDT2480" s="54"/>
      <c r="SDU2480" s="60"/>
      <c r="SDV2480" s="60"/>
      <c r="SDW2480" s="60"/>
      <c r="SDX2480" s="60"/>
      <c r="SDY2480" s="60"/>
      <c r="SDZ2480" s="61"/>
      <c r="SEA2480" s="54"/>
      <c r="SEB2480" s="54"/>
      <c r="SEC2480" s="60"/>
      <c r="SED2480" s="60"/>
      <c r="SEE2480" s="60"/>
      <c r="SEF2480" s="60"/>
      <c r="SEG2480" s="60"/>
      <c r="SEH2480" s="61"/>
      <c r="SEI2480" s="54"/>
      <c r="SEJ2480" s="54"/>
      <c r="SEK2480" s="60"/>
      <c r="SEL2480" s="60"/>
      <c r="SEM2480" s="60"/>
      <c r="SEN2480" s="60"/>
      <c r="SEO2480" s="60"/>
      <c r="SEP2480" s="61"/>
      <c r="SEQ2480" s="54"/>
      <c r="SER2480" s="54"/>
      <c r="SES2480" s="60"/>
      <c r="SET2480" s="60"/>
      <c r="SEU2480" s="60"/>
      <c r="SEV2480" s="60"/>
      <c r="SEW2480" s="60"/>
      <c r="SEX2480" s="61"/>
      <c r="SEY2480" s="54"/>
      <c r="SEZ2480" s="54"/>
      <c r="SFA2480" s="60"/>
      <c r="SFB2480" s="60"/>
      <c r="SFC2480" s="60"/>
      <c r="SFD2480" s="60"/>
      <c r="SFE2480" s="60"/>
      <c r="SFF2480" s="61"/>
      <c r="SFG2480" s="54"/>
      <c r="SFH2480" s="54"/>
      <c r="SFI2480" s="60"/>
      <c r="SFJ2480" s="60"/>
      <c r="SFK2480" s="60"/>
      <c r="SFL2480" s="60"/>
      <c r="SFM2480" s="60"/>
      <c r="SFN2480" s="61"/>
      <c r="SFO2480" s="54"/>
      <c r="SFP2480" s="54"/>
      <c r="SFQ2480" s="60"/>
      <c r="SFR2480" s="60"/>
      <c r="SFS2480" s="60"/>
      <c r="SFT2480" s="60"/>
      <c r="SFU2480" s="60"/>
      <c r="SFV2480" s="61"/>
      <c r="SFW2480" s="54"/>
      <c r="SFX2480" s="54"/>
      <c r="SFY2480" s="60"/>
      <c r="SFZ2480" s="60"/>
      <c r="SGA2480" s="60"/>
      <c r="SGB2480" s="60"/>
      <c r="SGC2480" s="60"/>
      <c r="SGD2480" s="61"/>
      <c r="SGE2480" s="54"/>
      <c r="SGF2480" s="54"/>
      <c r="SGG2480" s="60"/>
      <c r="SGH2480" s="60"/>
      <c r="SGI2480" s="60"/>
      <c r="SGJ2480" s="60"/>
      <c r="SGK2480" s="60"/>
      <c r="SGL2480" s="61"/>
      <c r="SGM2480" s="54"/>
      <c r="SGN2480" s="54"/>
      <c r="SGO2480" s="60"/>
      <c r="SGP2480" s="60"/>
      <c r="SGQ2480" s="60"/>
      <c r="SGR2480" s="60"/>
      <c r="SGS2480" s="60"/>
      <c r="SGT2480" s="61"/>
      <c r="SGU2480" s="54"/>
      <c r="SGV2480" s="54"/>
      <c r="SGW2480" s="60"/>
      <c r="SGX2480" s="60"/>
      <c r="SGY2480" s="60"/>
      <c r="SGZ2480" s="60"/>
      <c r="SHA2480" s="60"/>
      <c r="SHB2480" s="61"/>
      <c r="SHC2480" s="54"/>
      <c r="SHD2480" s="54"/>
      <c r="SHE2480" s="60"/>
      <c r="SHF2480" s="60"/>
      <c r="SHG2480" s="60"/>
      <c r="SHH2480" s="60"/>
      <c r="SHI2480" s="60"/>
      <c r="SHJ2480" s="61"/>
      <c r="SHK2480" s="54"/>
      <c r="SHL2480" s="54"/>
      <c r="SHM2480" s="60"/>
      <c r="SHN2480" s="60"/>
      <c r="SHO2480" s="60"/>
      <c r="SHP2480" s="60"/>
      <c r="SHQ2480" s="60"/>
      <c r="SHR2480" s="61"/>
      <c r="SHS2480" s="54"/>
      <c r="SHT2480" s="54"/>
      <c r="SHU2480" s="60"/>
      <c r="SHV2480" s="60"/>
      <c r="SHW2480" s="60"/>
      <c r="SHX2480" s="60"/>
      <c r="SHY2480" s="60"/>
      <c r="SHZ2480" s="61"/>
      <c r="SIA2480" s="54"/>
      <c r="SIB2480" s="54"/>
      <c r="SIC2480" s="60"/>
      <c r="SID2480" s="60"/>
      <c r="SIE2480" s="60"/>
      <c r="SIF2480" s="60"/>
      <c r="SIG2480" s="60"/>
      <c r="SIH2480" s="61"/>
      <c r="SII2480" s="54"/>
      <c r="SIJ2480" s="54"/>
      <c r="SIK2480" s="60"/>
      <c r="SIL2480" s="60"/>
      <c r="SIM2480" s="60"/>
      <c r="SIN2480" s="60"/>
      <c r="SIO2480" s="60"/>
      <c r="SIP2480" s="61"/>
      <c r="SIQ2480" s="54"/>
      <c r="SIR2480" s="54"/>
      <c r="SIS2480" s="60"/>
      <c r="SIT2480" s="60"/>
      <c r="SIU2480" s="60"/>
      <c r="SIV2480" s="60"/>
      <c r="SIW2480" s="60"/>
      <c r="SIX2480" s="61"/>
      <c r="SIY2480" s="54"/>
      <c r="SIZ2480" s="54"/>
      <c r="SJA2480" s="60"/>
      <c r="SJB2480" s="60"/>
      <c r="SJC2480" s="60"/>
      <c r="SJD2480" s="60"/>
      <c r="SJE2480" s="60"/>
      <c r="SJF2480" s="61"/>
      <c r="SJG2480" s="54"/>
      <c r="SJH2480" s="54"/>
      <c r="SJI2480" s="60"/>
      <c r="SJJ2480" s="60"/>
      <c r="SJK2480" s="60"/>
      <c r="SJL2480" s="60"/>
      <c r="SJM2480" s="60"/>
      <c r="SJN2480" s="61"/>
      <c r="SJO2480" s="54"/>
      <c r="SJP2480" s="54"/>
      <c r="SJQ2480" s="60"/>
      <c r="SJR2480" s="60"/>
      <c r="SJS2480" s="60"/>
      <c r="SJT2480" s="60"/>
      <c r="SJU2480" s="60"/>
      <c r="SJV2480" s="61"/>
      <c r="SJW2480" s="54"/>
      <c r="SJX2480" s="54"/>
      <c r="SJY2480" s="60"/>
      <c r="SJZ2480" s="60"/>
      <c r="SKA2480" s="60"/>
      <c r="SKB2480" s="60"/>
      <c r="SKC2480" s="60"/>
      <c r="SKD2480" s="61"/>
      <c r="SKE2480" s="54"/>
      <c r="SKF2480" s="54"/>
      <c r="SKG2480" s="60"/>
      <c r="SKH2480" s="60"/>
      <c r="SKI2480" s="60"/>
      <c r="SKJ2480" s="60"/>
      <c r="SKK2480" s="60"/>
      <c r="SKL2480" s="61"/>
      <c r="SKM2480" s="54"/>
      <c r="SKN2480" s="54"/>
      <c r="SKO2480" s="60"/>
      <c r="SKP2480" s="60"/>
      <c r="SKQ2480" s="60"/>
      <c r="SKR2480" s="60"/>
      <c r="SKS2480" s="60"/>
      <c r="SKT2480" s="61"/>
      <c r="SKU2480" s="54"/>
      <c r="SKV2480" s="54"/>
      <c r="SKW2480" s="60"/>
      <c r="SKX2480" s="60"/>
      <c r="SKY2480" s="60"/>
      <c r="SKZ2480" s="60"/>
      <c r="SLA2480" s="60"/>
      <c r="SLB2480" s="61"/>
      <c r="SLC2480" s="54"/>
      <c r="SLD2480" s="54"/>
      <c r="SLE2480" s="60"/>
      <c r="SLF2480" s="60"/>
      <c r="SLG2480" s="60"/>
      <c r="SLH2480" s="60"/>
      <c r="SLI2480" s="60"/>
      <c r="SLJ2480" s="61"/>
      <c r="SLK2480" s="54"/>
      <c r="SLL2480" s="54"/>
      <c r="SLM2480" s="60"/>
      <c r="SLN2480" s="60"/>
      <c r="SLO2480" s="60"/>
      <c r="SLP2480" s="60"/>
      <c r="SLQ2480" s="60"/>
      <c r="SLR2480" s="61"/>
      <c r="SLS2480" s="54"/>
      <c r="SLT2480" s="54"/>
      <c r="SLU2480" s="60"/>
      <c r="SLV2480" s="60"/>
      <c r="SLW2480" s="60"/>
      <c r="SLX2480" s="60"/>
      <c r="SLY2480" s="60"/>
      <c r="SLZ2480" s="61"/>
      <c r="SMA2480" s="54"/>
      <c r="SMB2480" s="54"/>
      <c r="SMC2480" s="60"/>
      <c r="SMD2480" s="60"/>
      <c r="SME2480" s="60"/>
      <c r="SMF2480" s="60"/>
      <c r="SMG2480" s="60"/>
      <c r="SMH2480" s="61"/>
      <c r="SMI2480" s="54"/>
      <c r="SMJ2480" s="54"/>
      <c r="SMK2480" s="60"/>
      <c r="SML2480" s="60"/>
      <c r="SMM2480" s="60"/>
      <c r="SMN2480" s="60"/>
      <c r="SMO2480" s="60"/>
      <c r="SMP2480" s="61"/>
      <c r="SMQ2480" s="54"/>
      <c r="SMR2480" s="54"/>
      <c r="SMS2480" s="60"/>
      <c r="SMT2480" s="60"/>
      <c r="SMU2480" s="60"/>
      <c r="SMV2480" s="60"/>
      <c r="SMW2480" s="60"/>
      <c r="SMX2480" s="61"/>
      <c r="SMY2480" s="54"/>
      <c r="SMZ2480" s="54"/>
      <c r="SNA2480" s="60"/>
      <c r="SNB2480" s="60"/>
      <c r="SNC2480" s="60"/>
      <c r="SND2480" s="60"/>
      <c r="SNE2480" s="60"/>
      <c r="SNF2480" s="61"/>
      <c r="SNG2480" s="54"/>
      <c r="SNH2480" s="54"/>
      <c r="SNI2480" s="60"/>
      <c r="SNJ2480" s="60"/>
      <c r="SNK2480" s="60"/>
      <c r="SNL2480" s="60"/>
      <c r="SNM2480" s="60"/>
      <c r="SNN2480" s="61"/>
      <c r="SNO2480" s="54"/>
      <c r="SNP2480" s="54"/>
      <c r="SNQ2480" s="60"/>
      <c r="SNR2480" s="60"/>
      <c r="SNS2480" s="60"/>
      <c r="SNT2480" s="60"/>
      <c r="SNU2480" s="60"/>
      <c r="SNV2480" s="61"/>
      <c r="SNW2480" s="54"/>
      <c r="SNX2480" s="54"/>
      <c r="SNY2480" s="60"/>
      <c r="SNZ2480" s="60"/>
      <c r="SOA2480" s="60"/>
      <c r="SOB2480" s="60"/>
      <c r="SOC2480" s="60"/>
      <c r="SOD2480" s="61"/>
      <c r="SOE2480" s="54"/>
      <c r="SOF2480" s="54"/>
      <c r="SOG2480" s="60"/>
      <c r="SOH2480" s="60"/>
      <c r="SOI2480" s="60"/>
      <c r="SOJ2480" s="60"/>
      <c r="SOK2480" s="60"/>
      <c r="SOL2480" s="61"/>
      <c r="SOM2480" s="54"/>
      <c r="SON2480" s="54"/>
      <c r="SOO2480" s="60"/>
      <c r="SOP2480" s="60"/>
      <c r="SOQ2480" s="60"/>
      <c r="SOR2480" s="60"/>
      <c r="SOS2480" s="60"/>
      <c r="SOT2480" s="61"/>
      <c r="SOU2480" s="54"/>
      <c r="SOV2480" s="54"/>
      <c r="SOW2480" s="60"/>
      <c r="SOX2480" s="60"/>
      <c r="SOY2480" s="60"/>
      <c r="SOZ2480" s="60"/>
      <c r="SPA2480" s="60"/>
      <c r="SPB2480" s="61"/>
      <c r="SPC2480" s="54"/>
      <c r="SPD2480" s="54"/>
      <c r="SPE2480" s="60"/>
      <c r="SPF2480" s="60"/>
      <c r="SPG2480" s="60"/>
      <c r="SPH2480" s="60"/>
      <c r="SPI2480" s="60"/>
      <c r="SPJ2480" s="61"/>
      <c r="SPK2480" s="54"/>
      <c r="SPL2480" s="54"/>
      <c r="SPM2480" s="60"/>
      <c r="SPN2480" s="60"/>
      <c r="SPO2480" s="60"/>
      <c r="SPP2480" s="60"/>
      <c r="SPQ2480" s="60"/>
      <c r="SPR2480" s="61"/>
      <c r="SPS2480" s="54"/>
      <c r="SPT2480" s="54"/>
      <c r="SPU2480" s="60"/>
      <c r="SPV2480" s="60"/>
      <c r="SPW2480" s="60"/>
      <c r="SPX2480" s="60"/>
      <c r="SPY2480" s="60"/>
      <c r="SPZ2480" s="61"/>
      <c r="SQA2480" s="54"/>
      <c r="SQB2480" s="54"/>
      <c r="SQC2480" s="60"/>
      <c r="SQD2480" s="60"/>
      <c r="SQE2480" s="60"/>
      <c r="SQF2480" s="60"/>
      <c r="SQG2480" s="60"/>
      <c r="SQH2480" s="61"/>
      <c r="SQI2480" s="54"/>
      <c r="SQJ2480" s="54"/>
      <c r="SQK2480" s="60"/>
      <c r="SQL2480" s="60"/>
      <c r="SQM2480" s="60"/>
      <c r="SQN2480" s="60"/>
      <c r="SQO2480" s="60"/>
      <c r="SQP2480" s="61"/>
      <c r="SQQ2480" s="54"/>
      <c r="SQR2480" s="54"/>
      <c r="SQS2480" s="60"/>
      <c r="SQT2480" s="60"/>
      <c r="SQU2480" s="60"/>
      <c r="SQV2480" s="60"/>
      <c r="SQW2480" s="60"/>
      <c r="SQX2480" s="61"/>
      <c r="SQY2480" s="54"/>
      <c r="SQZ2480" s="54"/>
      <c r="SRA2480" s="60"/>
      <c r="SRB2480" s="60"/>
      <c r="SRC2480" s="60"/>
      <c r="SRD2480" s="60"/>
      <c r="SRE2480" s="60"/>
      <c r="SRF2480" s="61"/>
      <c r="SRG2480" s="54"/>
      <c r="SRH2480" s="54"/>
      <c r="SRI2480" s="60"/>
      <c r="SRJ2480" s="60"/>
      <c r="SRK2480" s="60"/>
      <c r="SRL2480" s="60"/>
      <c r="SRM2480" s="60"/>
      <c r="SRN2480" s="61"/>
      <c r="SRO2480" s="54"/>
      <c r="SRP2480" s="54"/>
      <c r="SRQ2480" s="60"/>
      <c r="SRR2480" s="60"/>
      <c r="SRS2480" s="60"/>
      <c r="SRT2480" s="60"/>
      <c r="SRU2480" s="60"/>
      <c r="SRV2480" s="61"/>
      <c r="SRW2480" s="54"/>
      <c r="SRX2480" s="54"/>
      <c r="SRY2480" s="60"/>
      <c r="SRZ2480" s="60"/>
      <c r="SSA2480" s="60"/>
      <c r="SSB2480" s="60"/>
      <c r="SSC2480" s="60"/>
      <c r="SSD2480" s="61"/>
      <c r="SSE2480" s="54"/>
      <c r="SSF2480" s="54"/>
      <c r="SSG2480" s="60"/>
      <c r="SSH2480" s="60"/>
      <c r="SSI2480" s="60"/>
      <c r="SSJ2480" s="60"/>
      <c r="SSK2480" s="60"/>
      <c r="SSL2480" s="61"/>
      <c r="SSM2480" s="54"/>
      <c r="SSN2480" s="54"/>
      <c r="SSO2480" s="60"/>
      <c r="SSP2480" s="60"/>
      <c r="SSQ2480" s="60"/>
      <c r="SSR2480" s="60"/>
      <c r="SSS2480" s="60"/>
      <c r="SST2480" s="61"/>
      <c r="SSU2480" s="54"/>
      <c r="SSV2480" s="54"/>
      <c r="SSW2480" s="60"/>
      <c r="SSX2480" s="60"/>
      <c r="SSY2480" s="60"/>
      <c r="SSZ2480" s="60"/>
      <c r="STA2480" s="60"/>
      <c r="STB2480" s="61"/>
      <c r="STC2480" s="54"/>
      <c r="STD2480" s="54"/>
      <c r="STE2480" s="60"/>
      <c r="STF2480" s="60"/>
      <c r="STG2480" s="60"/>
      <c r="STH2480" s="60"/>
      <c r="STI2480" s="60"/>
      <c r="STJ2480" s="61"/>
      <c r="STK2480" s="54"/>
      <c r="STL2480" s="54"/>
      <c r="STM2480" s="60"/>
      <c r="STN2480" s="60"/>
      <c r="STO2480" s="60"/>
      <c r="STP2480" s="60"/>
      <c r="STQ2480" s="60"/>
      <c r="STR2480" s="61"/>
      <c r="STS2480" s="54"/>
      <c r="STT2480" s="54"/>
      <c r="STU2480" s="60"/>
      <c r="STV2480" s="60"/>
      <c r="STW2480" s="60"/>
      <c r="STX2480" s="60"/>
      <c r="STY2480" s="60"/>
      <c r="STZ2480" s="61"/>
      <c r="SUA2480" s="54"/>
      <c r="SUB2480" s="54"/>
      <c r="SUC2480" s="60"/>
      <c r="SUD2480" s="60"/>
      <c r="SUE2480" s="60"/>
      <c r="SUF2480" s="60"/>
      <c r="SUG2480" s="60"/>
      <c r="SUH2480" s="61"/>
      <c r="SUI2480" s="54"/>
      <c r="SUJ2480" s="54"/>
      <c r="SUK2480" s="60"/>
      <c r="SUL2480" s="60"/>
      <c r="SUM2480" s="60"/>
      <c r="SUN2480" s="60"/>
      <c r="SUO2480" s="60"/>
      <c r="SUP2480" s="61"/>
      <c r="SUQ2480" s="54"/>
      <c r="SUR2480" s="54"/>
      <c r="SUS2480" s="60"/>
      <c r="SUT2480" s="60"/>
      <c r="SUU2480" s="60"/>
      <c r="SUV2480" s="60"/>
      <c r="SUW2480" s="60"/>
      <c r="SUX2480" s="61"/>
      <c r="SUY2480" s="54"/>
      <c r="SUZ2480" s="54"/>
      <c r="SVA2480" s="60"/>
      <c r="SVB2480" s="60"/>
      <c r="SVC2480" s="60"/>
      <c r="SVD2480" s="60"/>
      <c r="SVE2480" s="60"/>
      <c r="SVF2480" s="61"/>
      <c r="SVG2480" s="54"/>
      <c r="SVH2480" s="54"/>
      <c r="SVI2480" s="60"/>
      <c r="SVJ2480" s="60"/>
      <c r="SVK2480" s="60"/>
      <c r="SVL2480" s="60"/>
      <c r="SVM2480" s="60"/>
      <c r="SVN2480" s="61"/>
      <c r="SVO2480" s="54"/>
      <c r="SVP2480" s="54"/>
      <c r="SVQ2480" s="60"/>
      <c r="SVR2480" s="60"/>
      <c r="SVS2480" s="60"/>
      <c r="SVT2480" s="60"/>
      <c r="SVU2480" s="60"/>
      <c r="SVV2480" s="61"/>
      <c r="SVW2480" s="54"/>
      <c r="SVX2480" s="54"/>
      <c r="SVY2480" s="60"/>
      <c r="SVZ2480" s="60"/>
      <c r="SWA2480" s="60"/>
      <c r="SWB2480" s="60"/>
      <c r="SWC2480" s="60"/>
      <c r="SWD2480" s="61"/>
      <c r="SWE2480" s="54"/>
      <c r="SWF2480" s="54"/>
      <c r="SWG2480" s="60"/>
      <c r="SWH2480" s="60"/>
      <c r="SWI2480" s="60"/>
      <c r="SWJ2480" s="60"/>
      <c r="SWK2480" s="60"/>
      <c r="SWL2480" s="61"/>
      <c r="SWM2480" s="54"/>
      <c r="SWN2480" s="54"/>
      <c r="SWO2480" s="60"/>
      <c r="SWP2480" s="60"/>
      <c r="SWQ2480" s="60"/>
      <c r="SWR2480" s="60"/>
      <c r="SWS2480" s="60"/>
      <c r="SWT2480" s="61"/>
      <c r="SWU2480" s="54"/>
      <c r="SWV2480" s="54"/>
      <c r="SWW2480" s="60"/>
      <c r="SWX2480" s="60"/>
      <c r="SWY2480" s="60"/>
      <c r="SWZ2480" s="60"/>
      <c r="SXA2480" s="60"/>
      <c r="SXB2480" s="61"/>
      <c r="SXC2480" s="54"/>
      <c r="SXD2480" s="54"/>
      <c r="SXE2480" s="60"/>
      <c r="SXF2480" s="60"/>
      <c r="SXG2480" s="60"/>
      <c r="SXH2480" s="60"/>
      <c r="SXI2480" s="60"/>
      <c r="SXJ2480" s="61"/>
      <c r="SXK2480" s="54"/>
      <c r="SXL2480" s="54"/>
      <c r="SXM2480" s="60"/>
      <c r="SXN2480" s="60"/>
      <c r="SXO2480" s="60"/>
      <c r="SXP2480" s="60"/>
      <c r="SXQ2480" s="60"/>
      <c r="SXR2480" s="61"/>
      <c r="SXS2480" s="54"/>
      <c r="SXT2480" s="54"/>
      <c r="SXU2480" s="60"/>
      <c r="SXV2480" s="60"/>
      <c r="SXW2480" s="60"/>
      <c r="SXX2480" s="60"/>
      <c r="SXY2480" s="60"/>
      <c r="SXZ2480" s="61"/>
      <c r="SYA2480" s="54"/>
      <c r="SYB2480" s="54"/>
      <c r="SYC2480" s="60"/>
      <c r="SYD2480" s="60"/>
      <c r="SYE2480" s="60"/>
      <c r="SYF2480" s="60"/>
      <c r="SYG2480" s="60"/>
      <c r="SYH2480" s="61"/>
      <c r="SYI2480" s="54"/>
      <c r="SYJ2480" s="54"/>
      <c r="SYK2480" s="60"/>
      <c r="SYL2480" s="60"/>
      <c r="SYM2480" s="60"/>
      <c r="SYN2480" s="60"/>
      <c r="SYO2480" s="60"/>
      <c r="SYP2480" s="61"/>
      <c r="SYQ2480" s="54"/>
      <c r="SYR2480" s="54"/>
      <c r="SYS2480" s="60"/>
      <c r="SYT2480" s="60"/>
      <c r="SYU2480" s="60"/>
      <c r="SYV2480" s="60"/>
      <c r="SYW2480" s="60"/>
      <c r="SYX2480" s="61"/>
      <c r="SYY2480" s="54"/>
      <c r="SYZ2480" s="54"/>
      <c r="SZA2480" s="60"/>
      <c r="SZB2480" s="60"/>
      <c r="SZC2480" s="60"/>
      <c r="SZD2480" s="60"/>
      <c r="SZE2480" s="60"/>
      <c r="SZF2480" s="61"/>
      <c r="SZG2480" s="54"/>
      <c r="SZH2480" s="54"/>
      <c r="SZI2480" s="60"/>
      <c r="SZJ2480" s="60"/>
      <c r="SZK2480" s="60"/>
      <c r="SZL2480" s="60"/>
      <c r="SZM2480" s="60"/>
      <c r="SZN2480" s="61"/>
      <c r="SZO2480" s="54"/>
      <c r="SZP2480" s="54"/>
      <c r="SZQ2480" s="60"/>
      <c r="SZR2480" s="60"/>
      <c r="SZS2480" s="60"/>
      <c r="SZT2480" s="60"/>
      <c r="SZU2480" s="60"/>
      <c r="SZV2480" s="61"/>
      <c r="SZW2480" s="54"/>
      <c r="SZX2480" s="54"/>
      <c r="SZY2480" s="60"/>
      <c r="SZZ2480" s="60"/>
      <c r="TAA2480" s="60"/>
      <c r="TAB2480" s="60"/>
      <c r="TAC2480" s="60"/>
      <c r="TAD2480" s="61"/>
      <c r="TAE2480" s="54"/>
      <c r="TAF2480" s="54"/>
      <c r="TAG2480" s="60"/>
      <c r="TAH2480" s="60"/>
      <c r="TAI2480" s="60"/>
      <c r="TAJ2480" s="60"/>
      <c r="TAK2480" s="60"/>
      <c r="TAL2480" s="61"/>
      <c r="TAM2480" s="54"/>
      <c r="TAN2480" s="54"/>
      <c r="TAO2480" s="60"/>
      <c r="TAP2480" s="60"/>
      <c r="TAQ2480" s="60"/>
      <c r="TAR2480" s="60"/>
      <c r="TAS2480" s="60"/>
      <c r="TAT2480" s="61"/>
      <c r="TAU2480" s="54"/>
      <c r="TAV2480" s="54"/>
      <c r="TAW2480" s="60"/>
      <c r="TAX2480" s="60"/>
      <c r="TAY2480" s="60"/>
      <c r="TAZ2480" s="60"/>
      <c r="TBA2480" s="60"/>
      <c r="TBB2480" s="61"/>
      <c r="TBC2480" s="54"/>
      <c r="TBD2480" s="54"/>
      <c r="TBE2480" s="60"/>
      <c r="TBF2480" s="60"/>
      <c r="TBG2480" s="60"/>
      <c r="TBH2480" s="60"/>
      <c r="TBI2480" s="60"/>
      <c r="TBJ2480" s="61"/>
      <c r="TBK2480" s="54"/>
      <c r="TBL2480" s="54"/>
      <c r="TBM2480" s="60"/>
      <c r="TBN2480" s="60"/>
      <c r="TBO2480" s="60"/>
      <c r="TBP2480" s="60"/>
      <c r="TBQ2480" s="60"/>
      <c r="TBR2480" s="61"/>
      <c r="TBS2480" s="54"/>
      <c r="TBT2480" s="54"/>
      <c r="TBU2480" s="60"/>
      <c r="TBV2480" s="60"/>
      <c r="TBW2480" s="60"/>
      <c r="TBX2480" s="60"/>
      <c r="TBY2480" s="60"/>
      <c r="TBZ2480" s="61"/>
      <c r="TCA2480" s="54"/>
      <c r="TCB2480" s="54"/>
      <c r="TCC2480" s="60"/>
      <c r="TCD2480" s="60"/>
      <c r="TCE2480" s="60"/>
      <c r="TCF2480" s="60"/>
      <c r="TCG2480" s="60"/>
      <c r="TCH2480" s="61"/>
      <c r="TCI2480" s="54"/>
      <c r="TCJ2480" s="54"/>
      <c r="TCK2480" s="60"/>
      <c r="TCL2480" s="60"/>
      <c r="TCM2480" s="60"/>
      <c r="TCN2480" s="60"/>
      <c r="TCO2480" s="60"/>
      <c r="TCP2480" s="61"/>
      <c r="TCQ2480" s="54"/>
      <c r="TCR2480" s="54"/>
      <c r="TCS2480" s="60"/>
      <c r="TCT2480" s="60"/>
      <c r="TCU2480" s="60"/>
      <c r="TCV2480" s="60"/>
      <c r="TCW2480" s="60"/>
      <c r="TCX2480" s="61"/>
      <c r="TCY2480" s="54"/>
      <c r="TCZ2480" s="54"/>
      <c r="TDA2480" s="60"/>
      <c r="TDB2480" s="60"/>
      <c r="TDC2480" s="60"/>
      <c r="TDD2480" s="60"/>
      <c r="TDE2480" s="60"/>
      <c r="TDF2480" s="61"/>
      <c r="TDG2480" s="54"/>
      <c r="TDH2480" s="54"/>
      <c r="TDI2480" s="60"/>
      <c r="TDJ2480" s="60"/>
      <c r="TDK2480" s="60"/>
      <c r="TDL2480" s="60"/>
      <c r="TDM2480" s="60"/>
      <c r="TDN2480" s="61"/>
      <c r="TDO2480" s="54"/>
      <c r="TDP2480" s="54"/>
      <c r="TDQ2480" s="60"/>
      <c r="TDR2480" s="60"/>
      <c r="TDS2480" s="60"/>
      <c r="TDT2480" s="60"/>
      <c r="TDU2480" s="60"/>
      <c r="TDV2480" s="61"/>
      <c r="TDW2480" s="54"/>
      <c r="TDX2480" s="54"/>
      <c r="TDY2480" s="60"/>
      <c r="TDZ2480" s="60"/>
      <c r="TEA2480" s="60"/>
      <c r="TEB2480" s="60"/>
      <c r="TEC2480" s="60"/>
      <c r="TED2480" s="61"/>
      <c r="TEE2480" s="54"/>
      <c r="TEF2480" s="54"/>
      <c r="TEG2480" s="60"/>
      <c r="TEH2480" s="60"/>
      <c r="TEI2480" s="60"/>
      <c r="TEJ2480" s="60"/>
      <c r="TEK2480" s="60"/>
      <c r="TEL2480" s="61"/>
      <c r="TEM2480" s="54"/>
      <c r="TEN2480" s="54"/>
      <c r="TEO2480" s="60"/>
      <c r="TEP2480" s="60"/>
      <c r="TEQ2480" s="60"/>
      <c r="TER2480" s="60"/>
      <c r="TES2480" s="60"/>
      <c r="TET2480" s="61"/>
      <c r="TEU2480" s="54"/>
      <c r="TEV2480" s="54"/>
      <c r="TEW2480" s="60"/>
      <c r="TEX2480" s="60"/>
      <c r="TEY2480" s="60"/>
      <c r="TEZ2480" s="60"/>
      <c r="TFA2480" s="60"/>
      <c r="TFB2480" s="61"/>
      <c r="TFC2480" s="54"/>
      <c r="TFD2480" s="54"/>
      <c r="TFE2480" s="60"/>
      <c r="TFF2480" s="60"/>
      <c r="TFG2480" s="60"/>
      <c r="TFH2480" s="60"/>
      <c r="TFI2480" s="60"/>
      <c r="TFJ2480" s="61"/>
      <c r="TFK2480" s="54"/>
      <c r="TFL2480" s="54"/>
      <c r="TFM2480" s="60"/>
      <c r="TFN2480" s="60"/>
      <c r="TFO2480" s="60"/>
      <c r="TFP2480" s="60"/>
      <c r="TFQ2480" s="60"/>
      <c r="TFR2480" s="61"/>
      <c r="TFS2480" s="54"/>
      <c r="TFT2480" s="54"/>
      <c r="TFU2480" s="60"/>
      <c r="TFV2480" s="60"/>
      <c r="TFW2480" s="60"/>
      <c r="TFX2480" s="60"/>
      <c r="TFY2480" s="60"/>
      <c r="TFZ2480" s="61"/>
      <c r="TGA2480" s="54"/>
      <c r="TGB2480" s="54"/>
      <c r="TGC2480" s="60"/>
      <c r="TGD2480" s="60"/>
      <c r="TGE2480" s="60"/>
      <c r="TGF2480" s="60"/>
      <c r="TGG2480" s="60"/>
      <c r="TGH2480" s="61"/>
      <c r="TGI2480" s="54"/>
      <c r="TGJ2480" s="54"/>
      <c r="TGK2480" s="60"/>
      <c r="TGL2480" s="60"/>
      <c r="TGM2480" s="60"/>
      <c r="TGN2480" s="60"/>
      <c r="TGO2480" s="60"/>
      <c r="TGP2480" s="61"/>
      <c r="TGQ2480" s="54"/>
      <c r="TGR2480" s="54"/>
      <c r="TGS2480" s="60"/>
      <c r="TGT2480" s="60"/>
      <c r="TGU2480" s="60"/>
      <c r="TGV2480" s="60"/>
      <c r="TGW2480" s="60"/>
      <c r="TGX2480" s="61"/>
      <c r="TGY2480" s="54"/>
      <c r="TGZ2480" s="54"/>
      <c r="THA2480" s="60"/>
      <c r="THB2480" s="60"/>
      <c r="THC2480" s="60"/>
      <c r="THD2480" s="60"/>
      <c r="THE2480" s="60"/>
      <c r="THF2480" s="61"/>
      <c r="THG2480" s="54"/>
      <c r="THH2480" s="54"/>
      <c r="THI2480" s="60"/>
      <c r="THJ2480" s="60"/>
      <c r="THK2480" s="60"/>
      <c r="THL2480" s="60"/>
      <c r="THM2480" s="60"/>
      <c r="THN2480" s="61"/>
      <c r="THO2480" s="54"/>
      <c r="THP2480" s="54"/>
      <c r="THQ2480" s="60"/>
      <c r="THR2480" s="60"/>
      <c r="THS2480" s="60"/>
      <c r="THT2480" s="60"/>
      <c r="THU2480" s="60"/>
      <c r="THV2480" s="61"/>
      <c r="THW2480" s="54"/>
      <c r="THX2480" s="54"/>
      <c r="THY2480" s="60"/>
      <c r="THZ2480" s="60"/>
      <c r="TIA2480" s="60"/>
      <c r="TIB2480" s="60"/>
      <c r="TIC2480" s="60"/>
      <c r="TID2480" s="61"/>
      <c r="TIE2480" s="54"/>
      <c r="TIF2480" s="54"/>
      <c r="TIG2480" s="60"/>
      <c r="TIH2480" s="60"/>
      <c r="TII2480" s="60"/>
      <c r="TIJ2480" s="60"/>
      <c r="TIK2480" s="60"/>
      <c r="TIL2480" s="61"/>
      <c r="TIM2480" s="54"/>
      <c r="TIN2480" s="54"/>
      <c r="TIO2480" s="60"/>
      <c r="TIP2480" s="60"/>
      <c r="TIQ2480" s="60"/>
      <c r="TIR2480" s="60"/>
      <c r="TIS2480" s="60"/>
      <c r="TIT2480" s="61"/>
      <c r="TIU2480" s="54"/>
      <c r="TIV2480" s="54"/>
      <c r="TIW2480" s="60"/>
      <c r="TIX2480" s="60"/>
      <c r="TIY2480" s="60"/>
      <c r="TIZ2480" s="60"/>
      <c r="TJA2480" s="60"/>
      <c r="TJB2480" s="61"/>
      <c r="TJC2480" s="54"/>
      <c r="TJD2480" s="54"/>
      <c r="TJE2480" s="60"/>
      <c r="TJF2480" s="60"/>
      <c r="TJG2480" s="60"/>
      <c r="TJH2480" s="60"/>
      <c r="TJI2480" s="60"/>
      <c r="TJJ2480" s="61"/>
      <c r="TJK2480" s="54"/>
      <c r="TJL2480" s="54"/>
      <c r="TJM2480" s="60"/>
      <c r="TJN2480" s="60"/>
      <c r="TJO2480" s="60"/>
      <c r="TJP2480" s="60"/>
      <c r="TJQ2480" s="60"/>
      <c r="TJR2480" s="61"/>
      <c r="TJS2480" s="54"/>
      <c r="TJT2480" s="54"/>
      <c r="TJU2480" s="60"/>
      <c r="TJV2480" s="60"/>
      <c r="TJW2480" s="60"/>
      <c r="TJX2480" s="60"/>
      <c r="TJY2480" s="60"/>
      <c r="TJZ2480" s="61"/>
      <c r="TKA2480" s="54"/>
      <c r="TKB2480" s="54"/>
      <c r="TKC2480" s="60"/>
      <c r="TKD2480" s="60"/>
      <c r="TKE2480" s="60"/>
      <c r="TKF2480" s="60"/>
      <c r="TKG2480" s="60"/>
      <c r="TKH2480" s="61"/>
      <c r="TKI2480" s="54"/>
      <c r="TKJ2480" s="54"/>
      <c r="TKK2480" s="60"/>
      <c r="TKL2480" s="60"/>
      <c r="TKM2480" s="60"/>
      <c r="TKN2480" s="60"/>
      <c r="TKO2480" s="60"/>
      <c r="TKP2480" s="61"/>
      <c r="TKQ2480" s="54"/>
      <c r="TKR2480" s="54"/>
      <c r="TKS2480" s="60"/>
      <c r="TKT2480" s="60"/>
      <c r="TKU2480" s="60"/>
      <c r="TKV2480" s="60"/>
      <c r="TKW2480" s="60"/>
      <c r="TKX2480" s="61"/>
      <c r="TKY2480" s="54"/>
      <c r="TKZ2480" s="54"/>
      <c r="TLA2480" s="60"/>
      <c r="TLB2480" s="60"/>
      <c r="TLC2480" s="60"/>
      <c r="TLD2480" s="60"/>
      <c r="TLE2480" s="60"/>
      <c r="TLF2480" s="61"/>
      <c r="TLG2480" s="54"/>
      <c r="TLH2480" s="54"/>
      <c r="TLI2480" s="60"/>
      <c r="TLJ2480" s="60"/>
      <c r="TLK2480" s="60"/>
      <c r="TLL2480" s="60"/>
      <c r="TLM2480" s="60"/>
      <c r="TLN2480" s="61"/>
      <c r="TLO2480" s="54"/>
      <c r="TLP2480" s="54"/>
      <c r="TLQ2480" s="60"/>
      <c r="TLR2480" s="60"/>
      <c r="TLS2480" s="60"/>
      <c r="TLT2480" s="60"/>
      <c r="TLU2480" s="60"/>
      <c r="TLV2480" s="61"/>
      <c r="TLW2480" s="54"/>
      <c r="TLX2480" s="54"/>
      <c r="TLY2480" s="60"/>
      <c r="TLZ2480" s="60"/>
      <c r="TMA2480" s="60"/>
      <c r="TMB2480" s="60"/>
      <c r="TMC2480" s="60"/>
      <c r="TMD2480" s="61"/>
      <c r="TME2480" s="54"/>
      <c r="TMF2480" s="54"/>
      <c r="TMG2480" s="60"/>
      <c r="TMH2480" s="60"/>
      <c r="TMI2480" s="60"/>
      <c r="TMJ2480" s="60"/>
      <c r="TMK2480" s="60"/>
      <c r="TML2480" s="61"/>
      <c r="TMM2480" s="54"/>
      <c r="TMN2480" s="54"/>
      <c r="TMO2480" s="60"/>
      <c r="TMP2480" s="60"/>
      <c r="TMQ2480" s="60"/>
      <c r="TMR2480" s="60"/>
      <c r="TMS2480" s="60"/>
      <c r="TMT2480" s="61"/>
      <c r="TMU2480" s="54"/>
      <c r="TMV2480" s="54"/>
      <c r="TMW2480" s="60"/>
      <c r="TMX2480" s="60"/>
      <c r="TMY2480" s="60"/>
      <c r="TMZ2480" s="60"/>
      <c r="TNA2480" s="60"/>
      <c r="TNB2480" s="61"/>
      <c r="TNC2480" s="54"/>
      <c r="TND2480" s="54"/>
      <c r="TNE2480" s="60"/>
      <c r="TNF2480" s="60"/>
      <c r="TNG2480" s="60"/>
      <c r="TNH2480" s="60"/>
      <c r="TNI2480" s="60"/>
      <c r="TNJ2480" s="61"/>
      <c r="TNK2480" s="54"/>
      <c r="TNL2480" s="54"/>
      <c r="TNM2480" s="60"/>
      <c r="TNN2480" s="60"/>
      <c r="TNO2480" s="60"/>
      <c r="TNP2480" s="60"/>
      <c r="TNQ2480" s="60"/>
      <c r="TNR2480" s="61"/>
      <c r="TNS2480" s="54"/>
      <c r="TNT2480" s="54"/>
      <c r="TNU2480" s="60"/>
      <c r="TNV2480" s="60"/>
      <c r="TNW2480" s="60"/>
      <c r="TNX2480" s="60"/>
      <c r="TNY2480" s="60"/>
      <c r="TNZ2480" s="61"/>
      <c r="TOA2480" s="54"/>
      <c r="TOB2480" s="54"/>
      <c r="TOC2480" s="60"/>
      <c r="TOD2480" s="60"/>
      <c r="TOE2480" s="60"/>
      <c r="TOF2480" s="60"/>
      <c r="TOG2480" s="60"/>
      <c r="TOH2480" s="61"/>
      <c r="TOI2480" s="54"/>
      <c r="TOJ2480" s="54"/>
      <c r="TOK2480" s="60"/>
      <c r="TOL2480" s="60"/>
      <c r="TOM2480" s="60"/>
      <c r="TON2480" s="60"/>
      <c r="TOO2480" s="60"/>
      <c r="TOP2480" s="61"/>
      <c r="TOQ2480" s="54"/>
      <c r="TOR2480" s="54"/>
      <c r="TOS2480" s="60"/>
      <c r="TOT2480" s="60"/>
      <c r="TOU2480" s="60"/>
      <c r="TOV2480" s="60"/>
      <c r="TOW2480" s="60"/>
      <c r="TOX2480" s="61"/>
      <c r="TOY2480" s="54"/>
      <c r="TOZ2480" s="54"/>
      <c r="TPA2480" s="60"/>
      <c r="TPB2480" s="60"/>
      <c r="TPC2480" s="60"/>
      <c r="TPD2480" s="60"/>
      <c r="TPE2480" s="60"/>
      <c r="TPF2480" s="61"/>
      <c r="TPG2480" s="54"/>
      <c r="TPH2480" s="54"/>
      <c r="TPI2480" s="60"/>
      <c r="TPJ2480" s="60"/>
      <c r="TPK2480" s="60"/>
      <c r="TPL2480" s="60"/>
      <c r="TPM2480" s="60"/>
      <c r="TPN2480" s="61"/>
      <c r="TPO2480" s="54"/>
      <c r="TPP2480" s="54"/>
      <c r="TPQ2480" s="60"/>
      <c r="TPR2480" s="60"/>
      <c r="TPS2480" s="60"/>
      <c r="TPT2480" s="60"/>
      <c r="TPU2480" s="60"/>
      <c r="TPV2480" s="61"/>
      <c r="TPW2480" s="54"/>
      <c r="TPX2480" s="54"/>
      <c r="TPY2480" s="60"/>
      <c r="TPZ2480" s="60"/>
      <c r="TQA2480" s="60"/>
      <c r="TQB2480" s="60"/>
      <c r="TQC2480" s="60"/>
      <c r="TQD2480" s="61"/>
      <c r="TQE2480" s="54"/>
      <c r="TQF2480" s="54"/>
      <c r="TQG2480" s="60"/>
      <c r="TQH2480" s="60"/>
      <c r="TQI2480" s="60"/>
      <c r="TQJ2480" s="60"/>
      <c r="TQK2480" s="60"/>
      <c r="TQL2480" s="61"/>
      <c r="TQM2480" s="54"/>
      <c r="TQN2480" s="54"/>
      <c r="TQO2480" s="60"/>
      <c r="TQP2480" s="60"/>
      <c r="TQQ2480" s="60"/>
      <c r="TQR2480" s="60"/>
      <c r="TQS2480" s="60"/>
      <c r="TQT2480" s="61"/>
      <c r="TQU2480" s="54"/>
      <c r="TQV2480" s="54"/>
      <c r="TQW2480" s="60"/>
      <c r="TQX2480" s="60"/>
      <c r="TQY2480" s="60"/>
      <c r="TQZ2480" s="60"/>
      <c r="TRA2480" s="60"/>
      <c r="TRB2480" s="61"/>
      <c r="TRC2480" s="54"/>
      <c r="TRD2480" s="54"/>
      <c r="TRE2480" s="60"/>
      <c r="TRF2480" s="60"/>
      <c r="TRG2480" s="60"/>
      <c r="TRH2480" s="60"/>
      <c r="TRI2480" s="60"/>
      <c r="TRJ2480" s="61"/>
      <c r="TRK2480" s="54"/>
      <c r="TRL2480" s="54"/>
      <c r="TRM2480" s="60"/>
      <c r="TRN2480" s="60"/>
      <c r="TRO2480" s="60"/>
      <c r="TRP2480" s="60"/>
      <c r="TRQ2480" s="60"/>
      <c r="TRR2480" s="61"/>
      <c r="TRS2480" s="54"/>
      <c r="TRT2480" s="54"/>
      <c r="TRU2480" s="60"/>
      <c r="TRV2480" s="60"/>
      <c r="TRW2480" s="60"/>
      <c r="TRX2480" s="60"/>
      <c r="TRY2480" s="60"/>
      <c r="TRZ2480" s="61"/>
      <c r="TSA2480" s="54"/>
      <c r="TSB2480" s="54"/>
      <c r="TSC2480" s="60"/>
      <c r="TSD2480" s="60"/>
      <c r="TSE2480" s="60"/>
      <c r="TSF2480" s="60"/>
      <c r="TSG2480" s="60"/>
      <c r="TSH2480" s="61"/>
      <c r="TSI2480" s="54"/>
      <c r="TSJ2480" s="54"/>
      <c r="TSK2480" s="60"/>
      <c r="TSL2480" s="60"/>
      <c r="TSM2480" s="60"/>
      <c r="TSN2480" s="60"/>
      <c r="TSO2480" s="60"/>
      <c r="TSP2480" s="61"/>
      <c r="TSQ2480" s="54"/>
      <c r="TSR2480" s="54"/>
      <c r="TSS2480" s="60"/>
      <c r="TST2480" s="60"/>
      <c r="TSU2480" s="60"/>
      <c r="TSV2480" s="60"/>
      <c r="TSW2480" s="60"/>
      <c r="TSX2480" s="61"/>
      <c r="TSY2480" s="54"/>
      <c r="TSZ2480" s="54"/>
      <c r="TTA2480" s="60"/>
      <c r="TTB2480" s="60"/>
      <c r="TTC2480" s="60"/>
      <c r="TTD2480" s="60"/>
      <c r="TTE2480" s="60"/>
      <c r="TTF2480" s="61"/>
      <c r="TTG2480" s="54"/>
      <c r="TTH2480" s="54"/>
      <c r="TTI2480" s="60"/>
      <c r="TTJ2480" s="60"/>
      <c r="TTK2480" s="60"/>
      <c r="TTL2480" s="60"/>
      <c r="TTM2480" s="60"/>
      <c r="TTN2480" s="61"/>
      <c r="TTO2480" s="54"/>
      <c r="TTP2480" s="54"/>
      <c r="TTQ2480" s="60"/>
      <c r="TTR2480" s="60"/>
      <c r="TTS2480" s="60"/>
      <c r="TTT2480" s="60"/>
      <c r="TTU2480" s="60"/>
      <c r="TTV2480" s="61"/>
      <c r="TTW2480" s="54"/>
      <c r="TTX2480" s="54"/>
      <c r="TTY2480" s="60"/>
      <c r="TTZ2480" s="60"/>
      <c r="TUA2480" s="60"/>
      <c r="TUB2480" s="60"/>
      <c r="TUC2480" s="60"/>
      <c r="TUD2480" s="61"/>
      <c r="TUE2480" s="54"/>
      <c r="TUF2480" s="54"/>
      <c r="TUG2480" s="60"/>
      <c r="TUH2480" s="60"/>
      <c r="TUI2480" s="60"/>
      <c r="TUJ2480" s="60"/>
      <c r="TUK2480" s="60"/>
      <c r="TUL2480" s="61"/>
      <c r="TUM2480" s="54"/>
      <c r="TUN2480" s="54"/>
      <c r="TUO2480" s="60"/>
      <c r="TUP2480" s="60"/>
      <c r="TUQ2480" s="60"/>
      <c r="TUR2480" s="60"/>
      <c r="TUS2480" s="60"/>
      <c r="TUT2480" s="61"/>
      <c r="TUU2480" s="54"/>
      <c r="TUV2480" s="54"/>
      <c r="TUW2480" s="60"/>
      <c r="TUX2480" s="60"/>
      <c r="TUY2480" s="60"/>
      <c r="TUZ2480" s="60"/>
      <c r="TVA2480" s="60"/>
      <c r="TVB2480" s="61"/>
      <c r="TVC2480" s="54"/>
      <c r="TVD2480" s="54"/>
      <c r="TVE2480" s="60"/>
      <c r="TVF2480" s="60"/>
      <c r="TVG2480" s="60"/>
      <c r="TVH2480" s="60"/>
      <c r="TVI2480" s="60"/>
      <c r="TVJ2480" s="61"/>
      <c r="TVK2480" s="54"/>
      <c r="TVL2480" s="54"/>
      <c r="TVM2480" s="60"/>
      <c r="TVN2480" s="60"/>
      <c r="TVO2480" s="60"/>
      <c r="TVP2480" s="60"/>
      <c r="TVQ2480" s="60"/>
      <c r="TVR2480" s="61"/>
      <c r="TVS2480" s="54"/>
      <c r="TVT2480" s="54"/>
      <c r="TVU2480" s="60"/>
      <c r="TVV2480" s="60"/>
      <c r="TVW2480" s="60"/>
      <c r="TVX2480" s="60"/>
      <c r="TVY2480" s="60"/>
      <c r="TVZ2480" s="61"/>
      <c r="TWA2480" s="54"/>
      <c r="TWB2480" s="54"/>
      <c r="TWC2480" s="60"/>
      <c r="TWD2480" s="60"/>
      <c r="TWE2480" s="60"/>
      <c r="TWF2480" s="60"/>
      <c r="TWG2480" s="60"/>
      <c r="TWH2480" s="61"/>
      <c r="TWI2480" s="54"/>
      <c r="TWJ2480" s="54"/>
      <c r="TWK2480" s="60"/>
      <c r="TWL2480" s="60"/>
      <c r="TWM2480" s="60"/>
      <c r="TWN2480" s="60"/>
      <c r="TWO2480" s="60"/>
      <c r="TWP2480" s="61"/>
      <c r="TWQ2480" s="54"/>
      <c r="TWR2480" s="54"/>
      <c r="TWS2480" s="60"/>
      <c r="TWT2480" s="60"/>
      <c r="TWU2480" s="60"/>
      <c r="TWV2480" s="60"/>
      <c r="TWW2480" s="60"/>
      <c r="TWX2480" s="61"/>
      <c r="TWY2480" s="54"/>
      <c r="TWZ2480" s="54"/>
      <c r="TXA2480" s="60"/>
      <c r="TXB2480" s="60"/>
      <c r="TXC2480" s="60"/>
      <c r="TXD2480" s="60"/>
      <c r="TXE2480" s="60"/>
      <c r="TXF2480" s="61"/>
      <c r="TXG2480" s="54"/>
      <c r="TXH2480" s="54"/>
      <c r="TXI2480" s="60"/>
      <c r="TXJ2480" s="60"/>
      <c r="TXK2480" s="60"/>
      <c r="TXL2480" s="60"/>
      <c r="TXM2480" s="60"/>
      <c r="TXN2480" s="61"/>
      <c r="TXO2480" s="54"/>
      <c r="TXP2480" s="54"/>
      <c r="TXQ2480" s="60"/>
      <c r="TXR2480" s="60"/>
      <c r="TXS2480" s="60"/>
      <c r="TXT2480" s="60"/>
      <c r="TXU2480" s="60"/>
      <c r="TXV2480" s="61"/>
      <c r="TXW2480" s="54"/>
      <c r="TXX2480" s="54"/>
      <c r="TXY2480" s="60"/>
      <c r="TXZ2480" s="60"/>
      <c r="TYA2480" s="60"/>
      <c r="TYB2480" s="60"/>
      <c r="TYC2480" s="60"/>
      <c r="TYD2480" s="61"/>
      <c r="TYE2480" s="54"/>
      <c r="TYF2480" s="54"/>
      <c r="TYG2480" s="60"/>
      <c r="TYH2480" s="60"/>
      <c r="TYI2480" s="60"/>
      <c r="TYJ2480" s="60"/>
      <c r="TYK2480" s="60"/>
      <c r="TYL2480" s="61"/>
      <c r="TYM2480" s="54"/>
      <c r="TYN2480" s="54"/>
      <c r="TYO2480" s="60"/>
      <c r="TYP2480" s="60"/>
      <c r="TYQ2480" s="60"/>
      <c r="TYR2480" s="60"/>
      <c r="TYS2480" s="60"/>
      <c r="TYT2480" s="61"/>
      <c r="TYU2480" s="54"/>
      <c r="TYV2480" s="54"/>
      <c r="TYW2480" s="60"/>
      <c r="TYX2480" s="60"/>
      <c r="TYY2480" s="60"/>
      <c r="TYZ2480" s="60"/>
      <c r="TZA2480" s="60"/>
      <c r="TZB2480" s="61"/>
      <c r="TZC2480" s="54"/>
      <c r="TZD2480" s="54"/>
      <c r="TZE2480" s="60"/>
      <c r="TZF2480" s="60"/>
      <c r="TZG2480" s="60"/>
      <c r="TZH2480" s="60"/>
      <c r="TZI2480" s="60"/>
      <c r="TZJ2480" s="61"/>
      <c r="TZK2480" s="54"/>
      <c r="TZL2480" s="54"/>
      <c r="TZM2480" s="60"/>
      <c r="TZN2480" s="60"/>
      <c r="TZO2480" s="60"/>
      <c r="TZP2480" s="60"/>
      <c r="TZQ2480" s="60"/>
      <c r="TZR2480" s="61"/>
      <c r="TZS2480" s="54"/>
      <c r="TZT2480" s="54"/>
      <c r="TZU2480" s="60"/>
      <c r="TZV2480" s="60"/>
      <c r="TZW2480" s="60"/>
      <c r="TZX2480" s="60"/>
      <c r="TZY2480" s="60"/>
      <c r="TZZ2480" s="61"/>
      <c r="UAA2480" s="54"/>
      <c r="UAB2480" s="54"/>
      <c r="UAC2480" s="60"/>
      <c r="UAD2480" s="60"/>
      <c r="UAE2480" s="60"/>
      <c r="UAF2480" s="60"/>
      <c r="UAG2480" s="60"/>
      <c r="UAH2480" s="61"/>
      <c r="UAI2480" s="54"/>
      <c r="UAJ2480" s="54"/>
      <c r="UAK2480" s="60"/>
      <c r="UAL2480" s="60"/>
      <c r="UAM2480" s="60"/>
      <c r="UAN2480" s="60"/>
      <c r="UAO2480" s="60"/>
      <c r="UAP2480" s="61"/>
      <c r="UAQ2480" s="54"/>
      <c r="UAR2480" s="54"/>
      <c r="UAS2480" s="60"/>
      <c r="UAT2480" s="60"/>
      <c r="UAU2480" s="60"/>
      <c r="UAV2480" s="60"/>
      <c r="UAW2480" s="60"/>
      <c r="UAX2480" s="61"/>
      <c r="UAY2480" s="54"/>
      <c r="UAZ2480" s="54"/>
      <c r="UBA2480" s="60"/>
      <c r="UBB2480" s="60"/>
      <c r="UBC2480" s="60"/>
      <c r="UBD2480" s="60"/>
      <c r="UBE2480" s="60"/>
      <c r="UBF2480" s="61"/>
      <c r="UBG2480" s="54"/>
      <c r="UBH2480" s="54"/>
      <c r="UBI2480" s="60"/>
      <c r="UBJ2480" s="60"/>
      <c r="UBK2480" s="60"/>
      <c r="UBL2480" s="60"/>
      <c r="UBM2480" s="60"/>
      <c r="UBN2480" s="61"/>
      <c r="UBO2480" s="54"/>
      <c r="UBP2480" s="54"/>
      <c r="UBQ2480" s="60"/>
      <c r="UBR2480" s="60"/>
      <c r="UBS2480" s="60"/>
      <c r="UBT2480" s="60"/>
      <c r="UBU2480" s="60"/>
      <c r="UBV2480" s="61"/>
      <c r="UBW2480" s="54"/>
      <c r="UBX2480" s="54"/>
      <c r="UBY2480" s="60"/>
      <c r="UBZ2480" s="60"/>
      <c r="UCA2480" s="60"/>
      <c r="UCB2480" s="60"/>
      <c r="UCC2480" s="60"/>
      <c r="UCD2480" s="61"/>
      <c r="UCE2480" s="54"/>
      <c r="UCF2480" s="54"/>
      <c r="UCG2480" s="60"/>
      <c r="UCH2480" s="60"/>
      <c r="UCI2480" s="60"/>
      <c r="UCJ2480" s="60"/>
      <c r="UCK2480" s="60"/>
      <c r="UCL2480" s="61"/>
      <c r="UCM2480" s="54"/>
      <c r="UCN2480" s="54"/>
      <c r="UCO2480" s="60"/>
      <c r="UCP2480" s="60"/>
      <c r="UCQ2480" s="60"/>
      <c r="UCR2480" s="60"/>
      <c r="UCS2480" s="60"/>
      <c r="UCT2480" s="61"/>
      <c r="UCU2480" s="54"/>
      <c r="UCV2480" s="54"/>
      <c r="UCW2480" s="60"/>
      <c r="UCX2480" s="60"/>
      <c r="UCY2480" s="60"/>
      <c r="UCZ2480" s="60"/>
      <c r="UDA2480" s="60"/>
      <c r="UDB2480" s="61"/>
      <c r="UDC2480" s="54"/>
      <c r="UDD2480" s="54"/>
      <c r="UDE2480" s="60"/>
      <c r="UDF2480" s="60"/>
      <c r="UDG2480" s="60"/>
      <c r="UDH2480" s="60"/>
      <c r="UDI2480" s="60"/>
      <c r="UDJ2480" s="61"/>
      <c r="UDK2480" s="54"/>
      <c r="UDL2480" s="54"/>
      <c r="UDM2480" s="60"/>
      <c r="UDN2480" s="60"/>
      <c r="UDO2480" s="60"/>
      <c r="UDP2480" s="60"/>
      <c r="UDQ2480" s="60"/>
      <c r="UDR2480" s="61"/>
      <c r="UDS2480" s="54"/>
      <c r="UDT2480" s="54"/>
      <c r="UDU2480" s="60"/>
      <c r="UDV2480" s="60"/>
      <c r="UDW2480" s="60"/>
      <c r="UDX2480" s="60"/>
      <c r="UDY2480" s="60"/>
      <c r="UDZ2480" s="61"/>
      <c r="UEA2480" s="54"/>
      <c r="UEB2480" s="54"/>
      <c r="UEC2480" s="60"/>
      <c r="UED2480" s="60"/>
      <c r="UEE2480" s="60"/>
      <c r="UEF2480" s="60"/>
      <c r="UEG2480" s="60"/>
      <c r="UEH2480" s="61"/>
      <c r="UEI2480" s="54"/>
      <c r="UEJ2480" s="54"/>
      <c r="UEK2480" s="60"/>
      <c r="UEL2480" s="60"/>
      <c r="UEM2480" s="60"/>
      <c r="UEN2480" s="60"/>
      <c r="UEO2480" s="60"/>
      <c r="UEP2480" s="61"/>
      <c r="UEQ2480" s="54"/>
      <c r="UER2480" s="54"/>
      <c r="UES2480" s="60"/>
      <c r="UET2480" s="60"/>
      <c r="UEU2480" s="60"/>
      <c r="UEV2480" s="60"/>
      <c r="UEW2480" s="60"/>
      <c r="UEX2480" s="61"/>
      <c r="UEY2480" s="54"/>
      <c r="UEZ2480" s="54"/>
      <c r="UFA2480" s="60"/>
      <c r="UFB2480" s="60"/>
      <c r="UFC2480" s="60"/>
      <c r="UFD2480" s="60"/>
      <c r="UFE2480" s="60"/>
      <c r="UFF2480" s="61"/>
      <c r="UFG2480" s="54"/>
      <c r="UFH2480" s="54"/>
      <c r="UFI2480" s="60"/>
      <c r="UFJ2480" s="60"/>
      <c r="UFK2480" s="60"/>
      <c r="UFL2480" s="60"/>
      <c r="UFM2480" s="60"/>
      <c r="UFN2480" s="61"/>
      <c r="UFO2480" s="54"/>
      <c r="UFP2480" s="54"/>
      <c r="UFQ2480" s="60"/>
      <c r="UFR2480" s="60"/>
      <c r="UFS2480" s="60"/>
      <c r="UFT2480" s="60"/>
      <c r="UFU2480" s="60"/>
      <c r="UFV2480" s="61"/>
      <c r="UFW2480" s="54"/>
      <c r="UFX2480" s="54"/>
      <c r="UFY2480" s="60"/>
      <c r="UFZ2480" s="60"/>
      <c r="UGA2480" s="60"/>
      <c r="UGB2480" s="60"/>
      <c r="UGC2480" s="60"/>
      <c r="UGD2480" s="61"/>
      <c r="UGE2480" s="54"/>
      <c r="UGF2480" s="54"/>
      <c r="UGG2480" s="60"/>
      <c r="UGH2480" s="60"/>
      <c r="UGI2480" s="60"/>
      <c r="UGJ2480" s="60"/>
      <c r="UGK2480" s="60"/>
      <c r="UGL2480" s="61"/>
      <c r="UGM2480" s="54"/>
      <c r="UGN2480" s="54"/>
      <c r="UGO2480" s="60"/>
      <c r="UGP2480" s="60"/>
      <c r="UGQ2480" s="60"/>
      <c r="UGR2480" s="60"/>
      <c r="UGS2480" s="60"/>
      <c r="UGT2480" s="61"/>
      <c r="UGU2480" s="54"/>
      <c r="UGV2480" s="54"/>
      <c r="UGW2480" s="60"/>
      <c r="UGX2480" s="60"/>
      <c r="UGY2480" s="60"/>
      <c r="UGZ2480" s="60"/>
      <c r="UHA2480" s="60"/>
      <c r="UHB2480" s="61"/>
      <c r="UHC2480" s="54"/>
      <c r="UHD2480" s="54"/>
      <c r="UHE2480" s="60"/>
      <c r="UHF2480" s="60"/>
      <c r="UHG2480" s="60"/>
      <c r="UHH2480" s="60"/>
      <c r="UHI2480" s="60"/>
      <c r="UHJ2480" s="61"/>
      <c r="UHK2480" s="54"/>
      <c r="UHL2480" s="54"/>
      <c r="UHM2480" s="60"/>
      <c r="UHN2480" s="60"/>
      <c r="UHO2480" s="60"/>
      <c r="UHP2480" s="60"/>
      <c r="UHQ2480" s="60"/>
      <c r="UHR2480" s="61"/>
      <c r="UHS2480" s="54"/>
      <c r="UHT2480" s="54"/>
      <c r="UHU2480" s="60"/>
      <c r="UHV2480" s="60"/>
      <c r="UHW2480" s="60"/>
      <c r="UHX2480" s="60"/>
      <c r="UHY2480" s="60"/>
      <c r="UHZ2480" s="61"/>
      <c r="UIA2480" s="54"/>
      <c r="UIB2480" s="54"/>
      <c r="UIC2480" s="60"/>
      <c r="UID2480" s="60"/>
      <c r="UIE2480" s="60"/>
      <c r="UIF2480" s="60"/>
      <c r="UIG2480" s="60"/>
      <c r="UIH2480" s="61"/>
      <c r="UII2480" s="54"/>
      <c r="UIJ2480" s="54"/>
      <c r="UIK2480" s="60"/>
      <c r="UIL2480" s="60"/>
      <c r="UIM2480" s="60"/>
      <c r="UIN2480" s="60"/>
      <c r="UIO2480" s="60"/>
      <c r="UIP2480" s="61"/>
      <c r="UIQ2480" s="54"/>
      <c r="UIR2480" s="54"/>
      <c r="UIS2480" s="60"/>
      <c r="UIT2480" s="60"/>
      <c r="UIU2480" s="60"/>
      <c r="UIV2480" s="60"/>
      <c r="UIW2480" s="60"/>
      <c r="UIX2480" s="61"/>
      <c r="UIY2480" s="54"/>
      <c r="UIZ2480" s="54"/>
      <c r="UJA2480" s="60"/>
      <c r="UJB2480" s="60"/>
      <c r="UJC2480" s="60"/>
      <c r="UJD2480" s="60"/>
      <c r="UJE2480" s="60"/>
      <c r="UJF2480" s="61"/>
      <c r="UJG2480" s="54"/>
      <c r="UJH2480" s="54"/>
      <c r="UJI2480" s="60"/>
      <c r="UJJ2480" s="60"/>
      <c r="UJK2480" s="60"/>
      <c r="UJL2480" s="60"/>
      <c r="UJM2480" s="60"/>
      <c r="UJN2480" s="61"/>
      <c r="UJO2480" s="54"/>
      <c r="UJP2480" s="54"/>
      <c r="UJQ2480" s="60"/>
      <c r="UJR2480" s="60"/>
      <c r="UJS2480" s="60"/>
      <c r="UJT2480" s="60"/>
      <c r="UJU2480" s="60"/>
      <c r="UJV2480" s="61"/>
      <c r="UJW2480" s="54"/>
      <c r="UJX2480" s="54"/>
      <c r="UJY2480" s="60"/>
      <c r="UJZ2480" s="60"/>
      <c r="UKA2480" s="60"/>
      <c r="UKB2480" s="60"/>
      <c r="UKC2480" s="60"/>
      <c r="UKD2480" s="61"/>
      <c r="UKE2480" s="54"/>
      <c r="UKF2480" s="54"/>
      <c r="UKG2480" s="60"/>
      <c r="UKH2480" s="60"/>
      <c r="UKI2480" s="60"/>
      <c r="UKJ2480" s="60"/>
      <c r="UKK2480" s="60"/>
      <c r="UKL2480" s="61"/>
      <c r="UKM2480" s="54"/>
      <c r="UKN2480" s="54"/>
      <c r="UKO2480" s="60"/>
      <c r="UKP2480" s="60"/>
      <c r="UKQ2480" s="60"/>
      <c r="UKR2480" s="60"/>
      <c r="UKS2480" s="60"/>
      <c r="UKT2480" s="61"/>
      <c r="UKU2480" s="54"/>
      <c r="UKV2480" s="54"/>
      <c r="UKW2480" s="60"/>
      <c r="UKX2480" s="60"/>
      <c r="UKY2480" s="60"/>
      <c r="UKZ2480" s="60"/>
      <c r="ULA2480" s="60"/>
      <c r="ULB2480" s="61"/>
      <c r="ULC2480" s="54"/>
      <c r="ULD2480" s="54"/>
      <c r="ULE2480" s="60"/>
      <c r="ULF2480" s="60"/>
      <c r="ULG2480" s="60"/>
      <c r="ULH2480" s="60"/>
      <c r="ULI2480" s="60"/>
      <c r="ULJ2480" s="61"/>
      <c r="ULK2480" s="54"/>
      <c r="ULL2480" s="54"/>
      <c r="ULM2480" s="60"/>
      <c r="ULN2480" s="60"/>
      <c r="ULO2480" s="60"/>
      <c r="ULP2480" s="60"/>
      <c r="ULQ2480" s="60"/>
      <c r="ULR2480" s="61"/>
      <c r="ULS2480" s="54"/>
      <c r="ULT2480" s="54"/>
      <c r="ULU2480" s="60"/>
      <c r="ULV2480" s="60"/>
      <c r="ULW2480" s="60"/>
      <c r="ULX2480" s="60"/>
      <c r="ULY2480" s="60"/>
      <c r="ULZ2480" s="61"/>
      <c r="UMA2480" s="54"/>
      <c r="UMB2480" s="54"/>
      <c r="UMC2480" s="60"/>
      <c r="UMD2480" s="60"/>
      <c r="UME2480" s="60"/>
      <c r="UMF2480" s="60"/>
      <c r="UMG2480" s="60"/>
      <c r="UMH2480" s="61"/>
      <c r="UMI2480" s="54"/>
      <c r="UMJ2480" s="54"/>
      <c r="UMK2480" s="60"/>
      <c r="UML2480" s="60"/>
      <c r="UMM2480" s="60"/>
      <c r="UMN2480" s="60"/>
      <c r="UMO2480" s="60"/>
      <c r="UMP2480" s="61"/>
      <c r="UMQ2480" s="54"/>
      <c r="UMR2480" s="54"/>
      <c r="UMS2480" s="60"/>
      <c r="UMT2480" s="60"/>
      <c r="UMU2480" s="60"/>
      <c r="UMV2480" s="60"/>
      <c r="UMW2480" s="60"/>
      <c r="UMX2480" s="61"/>
      <c r="UMY2480" s="54"/>
      <c r="UMZ2480" s="54"/>
      <c r="UNA2480" s="60"/>
      <c r="UNB2480" s="60"/>
      <c r="UNC2480" s="60"/>
      <c r="UND2480" s="60"/>
      <c r="UNE2480" s="60"/>
      <c r="UNF2480" s="61"/>
      <c r="UNG2480" s="54"/>
      <c r="UNH2480" s="54"/>
      <c r="UNI2480" s="60"/>
      <c r="UNJ2480" s="60"/>
      <c r="UNK2480" s="60"/>
      <c r="UNL2480" s="60"/>
      <c r="UNM2480" s="60"/>
      <c r="UNN2480" s="61"/>
      <c r="UNO2480" s="54"/>
      <c r="UNP2480" s="54"/>
      <c r="UNQ2480" s="60"/>
      <c r="UNR2480" s="60"/>
      <c r="UNS2480" s="60"/>
      <c r="UNT2480" s="60"/>
      <c r="UNU2480" s="60"/>
      <c r="UNV2480" s="61"/>
      <c r="UNW2480" s="54"/>
      <c r="UNX2480" s="54"/>
      <c r="UNY2480" s="60"/>
      <c r="UNZ2480" s="60"/>
      <c r="UOA2480" s="60"/>
      <c r="UOB2480" s="60"/>
      <c r="UOC2480" s="60"/>
      <c r="UOD2480" s="61"/>
      <c r="UOE2480" s="54"/>
      <c r="UOF2480" s="54"/>
      <c r="UOG2480" s="60"/>
      <c r="UOH2480" s="60"/>
      <c r="UOI2480" s="60"/>
      <c r="UOJ2480" s="60"/>
      <c r="UOK2480" s="60"/>
      <c r="UOL2480" s="61"/>
      <c r="UOM2480" s="54"/>
      <c r="UON2480" s="54"/>
      <c r="UOO2480" s="60"/>
      <c r="UOP2480" s="60"/>
      <c r="UOQ2480" s="60"/>
      <c r="UOR2480" s="60"/>
      <c r="UOS2480" s="60"/>
      <c r="UOT2480" s="61"/>
      <c r="UOU2480" s="54"/>
      <c r="UOV2480" s="54"/>
      <c r="UOW2480" s="60"/>
      <c r="UOX2480" s="60"/>
      <c r="UOY2480" s="60"/>
      <c r="UOZ2480" s="60"/>
      <c r="UPA2480" s="60"/>
      <c r="UPB2480" s="61"/>
      <c r="UPC2480" s="54"/>
      <c r="UPD2480" s="54"/>
      <c r="UPE2480" s="60"/>
      <c r="UPF2480" s="60"/>
      <c r="UPG2480" s="60"/>
      <c r="UPH2480" s="60"/>
      <c r="UPI2480" s="60"/>
      <c r="UPJ2480" s="61"/>
      <c r="UPK2480" s="54"/>
      <c r="UPL2480" s="54"/>
      <c r="UPM2480" s="60"/>
      <c r="UPN2480" s="60"/>
      <c r="UPO2480" s="60"/>
      <c r="UPP2480" s="60"/>
      <c r="UPQ2480" s="60"/>
      <c r="UPR2480" s="61"/>
      <c r="UPS2480" s="54"/>
      <c r="UPT2480" s="54"/>
      <c r="UPU2480" s="60"/>
      <c r="UPV2480" s="60"/>
      <c r="UPW2480" s="60"/>
      <c r="UPX2480" s="60"/>
      <c r="UPY2480" s="60"/>
      <c r="UPZ2480" s="61"/>
      <c r="UQA2480" s="54"/>
      <c r="UQB2480" s="54"/>
      <c r="UQC2480" s="60"/>
      <c r="UQD2480" s="60"/>
      <c r="UQE2480" s="60"/>
      <c r="UQF2480" s="60"/>
      <c r="UQG2480" s="60"/>
      <c r="UQH2480" s="61"/>
      <c r="UQI2480" s="54"/>
      <c r="UQJ2480" s="54"/>
      <c r="UQK2480" s="60"/>
      <c r="UQL2480" s="60"/>
      <c r="UQM2480" s="60"/>
      <c r="UQN2480" s="60"/>
      <c r="UQO2480" s="60"/>
      <c r="UQP2480" s="61"/>
      <c r="UQQ2480" s="54"/>
      <c r="UQR2480" s="54"/>
      <c r="UQS2480" s="60"/>
      <c r="UQT2480" s="60"/>
      <c r="UQU2480" s="60"/>
      <c r="UQV2480" s="60"/>
      <c r="UQW2480" s="60"/>
      <c r="UQX2480" s="61"/>
      <c r="UQY2480" s="54"/>
      <c r="UQZ2480" s="54"/>
      <c r="URA2480" s="60"/>
      <c r="URB2480" s="60"/>
      <c r="URC2480" s="60"/>
      <c r="URD2480" s="60"/>
      <c r="URE2480" s="60"/>
      <c r="URF2480" s="61"/>
      <c r="URG2480" s="54"/>
      <c r="URH2480" s="54"/>
      <c r="URI2480" s="60"/>
      <c r="URJ2480" s="60"/>
      <c r="URK2480" s="60"/>
      <c r="URL2480" s="60"/>
      <c r="URM2480" s="60"/>
      <c r="URN2480" s="61"/>
      <c r="URO2480" s="54"/>
      <c r="URP2480" s="54"/>
      <c r="URQ2480" s="60"/>
      <c r="URR2480" s="60"/>
      <c r="URS2480" s="60"/>
      <c r="URT2480" s="60"/>
      <c r="URU2480" s="60"/>
      <c r="URV2480" s="61"/>
      <c r="URW2480" s="54"/>
      <c r="URX2480" s="54"/>
      <c r="URY2480" s="60"/>
      <c r="URZ2480" s="60"/>
      <c r="USA2480" s="60"/>
      <c r="USB2480" s="60"/>
      <c r="USC2480" s="60"/>
      <c r="USD2480" s="61"/>
      <c r="USE2480" s="54"/>
      <c r="USF2480" s="54"/>
      <c r="USG2480" s="60"/>
      <c r="USH2480" s="60"/>
      <c r="USI2480" s="60"/>
      <c r="USJ2480" s="60"/>
      <c r="USK2480" s="60"/>
      <c r="USL2480" s="61"/>
      <c r="USM2480" s="54"/>
      <c r="USN2480" s="54"/>
      <c r="USO2480" s="60"/>
      <c r="USP2480" s="60"/>
      <c r="USQ2480" s="60"/>
      <c r="USR2480" s="60"/>
      <c r="USS2480" s="60"/>
      <c r="UST2480" s="61"/>
      <c r="USU2480" s="54"/>
      <c r="USV2480" s="54"/>
      <c r="USW2480" s="60"/>
      <c r="USX2480" s="60"/>
      <c r="USY2480" s="60"/>
      <c r="USZ2480" s="60"/>
      <c r="UTA2480" s="60"/>
      <c r="UTB2480" s="61"/>
      <c r="UTC2480" s="54"/>
      <c r="UTD2480" s="54"/>
      <c r="UTE2480" s="60"/>
      <c r="UTF2480" s="60"/>
      <c r="UTG2480" s="60"/>
      <c r="UTH2480" s="60"/>
      <c r="UTI2480" s="60"/>
      <c r="UTJ2480" s="61"/>
      <c r="UTK2480" s="54"/>
      <c r="UTL2480" s="54"/>
      <c r="UTM2480" s="60"/>
      <c r="UTN2480" s="60"/>
      <c r="UTO2480" s="60"/>
      <c r="UTP2480" s="60"/>
      <c r="UTQ2480" s="60"/>
      <c r="UTR2480" s="61"/>
      <c r="UTS2480" s="54"/>
      <c r="UTT2480" s="54"/>
      <c r="UTU2480" s="60"/>
      <c r="UTV2480" s="60"/>
      <c r="UTW2480" s="60"/>
      <c r="UTX2480" s="60"/>
      <c r="UTY2480" s="60"/>
      <c r="UTZ2480" s="61"/>
      <c r="UUA2480" s="54"/>
      <c r="UUB2480" s="54"/>
      <c r="UUC2480" s="60"/>
      <c r="UUD2480" s="60"/>
      <c r="UUE2480" s="60"/>
      <c r="UUF2480" s="60"/>
      <c r="UUG2480" s="60"/>
      <c r="UUH2480" s="61"/>
      <c r="UUI2480" s="54"/>
      <c r="UUJ2480" s="54"/>
      <c r="UUK2480" s="60"/>
      <c r="UUL2480" s="60"/>
      <c r="UUM2480" s="60"/>
      <c r="UUN2480" s="60"/>
      <c r="UUO2480" s="60"/>
      <c r="UUP2480" s="61"/>
      <c r="UUQ2480" s="54"/>
      <c r="UUR2480" s="54"/>
      <c r="UUS2480" s="60"/>
      <c r="UUT2480" s="60"/>
      <c r="UUU2480" s="60"/>
      <c r="UUV2480" s="60"/>
      <c r="UUW2480" s="60"/>
      <c r="UUX2480" s="61"/>
      <c r="UUY2480" s="54"/>
      <c r="UUZ2480" s="54"/>
      <c r="UVA2480" s="60"/>
      <c r="UVB2480" s="60"/>
      <c r="UVC2480" s="60"/>
      <c r="UVD2480" s="60"/>
      <c r="UVE2480" s="60"/>
      <c r="UVF2480" s="61"/>
      <c r="UVG2480" s="54"/>
      <c r="UVH2480" s="54"/>
      <c r="UVI2480" s="60"/>
      <c r="UVJ2480" s="60"/>
      <c r="UVK2480" s="60"/>
      <c r="UVL2480" s="60"/>
      <c r="UVM2480" s="60"/>
      <c r="UVN2480" s="61"/>
      <c r="UVO2480" s="54"/>
      <c r="UVP2480" s="54"/>
      <c r="UVQ2480" s="60"/>
      <c r="UVR2480" s="60"/>
      <c r="UVS2480" s="60"/>
      <c r="UVT2480" s="60"/>
      <c r="UVU2480" s="60"/>
      <c r="UVV2480" s="61"/>
      <c r="UVW2480" s="54"/>
      <c r="UVX2480" s="54"/>
      <c r="UVY2480" s="60"/>
      <c r="UVZ2480" s="60"/>
      <c r="UWA2480" s="60"/>
      <c r="UWB2480" s="60"/>
      <c r="UWC2480" s="60"/>
      <c r="UWD2480" s="61"/>
      <c r="UWE2480" s="54"/>
      <c r="UWF2480" s="54"/>
      <c r="UWG2480" s="60"/>
      <c r="UWH2480" s="60"/>
      <c r="UWI2480" s="60"/>
      <c r="UWJ2480" s="60"/>
      <c r="UWK2480" s="60"/>
      <c r="UWL2480" s="61"/>
      <c r="UWM2480" s="54"/>
      <c r="UWN2480" s="54"/>
      <c r="UWO2480" s="60"/>
      <c r="UWP2480" s="60"/>
      <c r="UWQ2480" s="60"/>
      <c r="UWR2480" s="60"/>
      <c r="UWS2480" s="60"/>
      <c r="UWT2480" s="61"/>
      <c r="UWU2480" s="54"/>
      <c r="UWV2480" s="54"/>
      <c r="UWW2480" s="60"/>
      <c r="UWX2480" s="60"/>
      <c r="UWY2480" s="60"/>
      <c r="UWZ2480" s="60"/>
      <c r="UXA2480" s="60"/>
      <c r="UXB2480" s="61"/>
      <c r="UXC2480" s="54"/>
      <c r="UXD2480" s="54"/>
      <c r="UXE2480" s="60"/>
      <c r="UXF2480" s="60"/>
      <c r="UXG2480" s="60"/>
      <c r="UXH2480" s="60"/>
      <c r="UXI2480" s="60"/>
      <c r="UXJ2480" s="61"/>
      <c r="UXK2480" s="54"/>
      <c r="UXL2480" s="54"/>
      <c r="UXM2480" s="60"/>
      <c r="UXN2480" s="60"/>
      <c r="UXO2480" s="60"/>
      <c r="UXP2480" s="60"/>
      <c r="UXQ2480" s="60"/>
      <c r="UXR2480" s="61"/>
      <c r="UXS2480" s="54"/>
      <c r="UXT2480" s="54"/>
      <c r="UXU2480" s="60"/>
      <c r="UXV2480" s="60"/>
      <c r="UXW2480" s="60"/>
      <c r="UXX2480" s="60"/>
      <c r="UXY2480" s="60"/>
      <c r="UXZ2480" s="61"/>
      <c r="UYA2480" s="54"/>
      <c r="UYB2480" s="54"/>
      <c r="UYC2480" s="60"/>
      <c r="UYD2480" s="60"/>
      <c r="UYE2480" s="60"/>
      <c r="UYF2480" s="60"/>
      <c r="UYG2480" s="60"/>
      <c r="UYH2480" s="61"/>
      <c r="UYI2480" s="54"/>
      <c r="UYJ2480" s="54"/>
      <c r="UYK2480" s="60"/>
      <c r="UYL2480" s="60"/>
      <c r="UYM2480" s="60"/>
      <c r="UYN2480" s="60"/>
      <c r="UYO2480" s="60"/>
      <c r="UYP2480" s="61"/>
      <c r="UYQ2480" s="54"/>
      <c r="UYR2480" s="54"/>
      <c r="UYS2480" s="60"/>
      <c r="UYT2480" s="60"/>
      <c r="UYU2480" s="60"/>
      <c r="UYV2480" s="60"/>
      <c r="UYW2480" s="60"/>
      <c r="UYX2480" s="61"/>
      <c r="UYY2480" s="54"/>
      <c r="UYZ2480" s="54"/>
      <c r="UZA2480" s="60"/>
      <c r="UZB2480" s="60"/>
      <c r="UZC2480" s="60"/>
      <c r="UZD2480" s="60"/>
      <c r="UZE2480" s="60"/>
      <c r="UZF2480" s="61"/>
      <c r="UZG2480" s="54"/>
      <c r="UZH2480" s="54"/>
      <c r="UZI2480" s="60"/>
      <c r="UZJ2480" s="60"/>
      <c r="UZK2480" s="60"/>
      <c r="UZL2480" s="60"/>
      <c r="UZM2480" s="60"/>
      <c r="UZN2480" s="61"/>
      <c r="UZO2480" s="54"/>
      <c r="UZP2480" s="54"/>
      <c r="UZQ2480" s="60"/>
      <c r="UZR2480" s="60"/>
      <c r="UZS2480" s="60"/>
      <c r="UZT2480" s="60"/>
      <c r="UZU2480" s="60"/>
      <c r="UZV2480" s="61"/>
      <c r="UZW2480" s="54"/>
      <c r="UZX2480" s="54"/>
      <c r="UZY2480" s="60"/>
      <c r="UZZ2480" s="60"/>
      <c r="VAA2480" s="60"/>
      <c r="VAB2480" s="60"/>
      <c r="VAC2480" s="60"/>
      <c r="VAD2480" s="61"/>
      <c r="VAE2480" s="54"/>
      <c r="VAF2480" s="54"/>
      <c r="VAG2480" s="60"/>
      <c r="VAH2480" s="60"/>
      <c r="VAI2480" s="60"/>
      <c r="VAJ2480" s="60"/>
      <c r="VAK2480" s="60"/>
      <c r="VAL2480" s="61"/>
      <c r="VAM2480" s="54"/>
      <c r="VAN2480" s="54"/>
      <c r="VAO2480" s="60"/>
      <c r="VAP2480" s="60"/>
      <c r="VAQ2480" s="60"/>
      <c r="VAR2480" s="60"/>
      <c r="VAS2480" s="60"/>
      <c r="VAT2480" s="61"/>
      <c r="VAU2480" s="54"/>
      <c r="VAV2480" s="54"/>
      <c r="VAW2480" s="60"/>
      <c r="VAX2480" s="60"/>
      <c r="VAY2480" s="60"/>
      <c r="VAZ2480" s="60"/>
      <c r="VBA2480" s="60"/>
      <c r="VBB2480" s="61"/>
      <c r="VBC2480" s="54"/>
      <c r="VBD2480" s="54"/>
      <c r="VBE2480" s="60"/>
      <c r="VBF2480" s="60"/>
      <c r="VBG2480" s="60"/>
      <c r="VBH2480" s="60"/>
      <c r="VBI2480" s="60"/>
      <c r="VBJ2480" s="61"/>
      <c r="VBK2480" s="54"/>
      <c r="VBL2480" s="54"/>
      <c r="VBM2480" s="60"/>
      <c r="VBN2480" s="60"/>
      <c r="VBO2480" s="60"/>
      <c r="VBP2480" s="60"/>
      <c r="VBQ2480" s="60"/>
      <c r="VBR2480" s="61"/>
      <c r="VBS2480" s="54"/>
      <c r="VBT2480" s="54"/>
      <c r="VBU2480" s="60"/>
      <c r="VBV2480" s="60"/>
      <c r="VBW2480" s="60"/>
      <c r="VBX2480" s="60"/>
      <c r="VBY2480" s="60"/>
      <c r="VBZ2480" s="61"/>
      <c r="VCA2480" s="54"/>
      <c r="VCB2480" s="54"/>
      <c r="VCC2480" s="60"/>
      <c r="VCD2480" s="60"/>
      <c r="VCE2480" s="60"/>
      <c r="VCF2480" s="60"/>
      <c r="VCG2480" s="60"/>
      <c r="VCH2480" s="61"/>
      <c r="VCI2480" s="54"/>
      <c r="VCJ2480" s="54"/>
      <c r="VCK2480" s="60"/>
      <c r="VCL2480" s="60"/>
      <c r="VCM2480" s="60"/>
      <c r="VCN2480" s="60"/>
      <c r="VCO2480" s="60"/>
      <c r="VCP2480" s="61"/>
      <c r="VCQ2480" s="54"/>
      <c r="VCR2480" s="54"/>
      <c r="VCS2480" s="60"/>
      <c r="VCT2480" s="60"/>
      <c r="VCU2480" s="60"/>
      <c r="VCV2480" s="60"/>
      <c r="VCW2480" s="60"/>
      <c r="VCX2480" s="61"/>
      <c r="VCY2480" s="54"/>
      <c r="VCZ2480" s="54"/>
      <c r="VDA2480" s="60"/>
      <c r="VDB2480" s="60"/>
      <c r="VDC2480" s="60"/>
      <c r="VDD2480" s="60"/>
      <c r="VDE2480" s="60"/>
      <c r="VDF2480" s="61"/>
      <c r="VDG2480" s="54"/>
      <c r="VDH2480" s="54"/>
      <c r="VDI2480" s="60"/>
      <c r="VDJ2480" s="60"/>
      <c r="VDK2480" s="60"/>
      <c r="VDL2480" s="60"/>
      <c r="VDM2480" s="60"/>
      <c r="VDN2480" s="61"/>
      <c r="VDO2480" s="54"/>
      <c r="VDP2480" s="54"/>
      <c r="VDQ2480" s="60"/>
      <c r="VDR2480" s="60"/>
      <c r="VDS2480" s="60"/>
      <c r="VDT2480" s="60"/>
      <c r="VDU2480" s="60"/>
      <c r="VDV2480" s="61"/>
      <c r="VDW2480" s="54"/>
      <c r="VDX2480" s="54"/>
      <c r="VDY2480" s="60"/>
      <c r="VDZ2480" s="60"/>
      <c r="VEA2480" s="60"/>
      <c r="VEB2480" s="60"/>
      <c r="VEC2480" s="60"/>
      <c r="VED2480" s="61"/>
      <c r="VEE2480" s="54"/>
      <c r="VEF2480" s="54"/>
      <c r="VEG2480" s="60"/>
      <c r="VEH2480" s="60"/>
      <c r="VEI2480" s="60"/>
      <c r="VEJ2480" s="60"/>
      <c r="VEK2480" s="60"/>
      <c r="VEL2480" s="61"/>
      <c r="VEM2480" s="54"/>
      <c r="VEN2480" s="54"/>
      <c r="VEO2480" s="60"/>
      <c r="VEP2480" s="60"/>
      <c r="VEQ2480" s="60"/>
      <c r="VER2480" s="60"/>
      <c r="VES2480" s="60"/>
      <c r="VET2480" s="61"/>
      <c r="VEU2480" s="54"/>
      <c r="VEV2480" s="54"/>
      <c r="VEW2480" s="60"/>
      <c r="VEX2480" s="60"/>
      <c r="VEY2480" s="60"/>
      <c r="VEZ2480" s="60"/>
      <c r="VFA2480" s="60"/>
      <c r="VFB2480" s="61"/>
      <c r="VFC2480" s="54"/>
      <c r="VFD2480" s="54"/>
      <c r="VFE2480" s="60"/>
      <c r="VFF2480" s="60"/>
      <c r="VFG2480" s="60"/>
      <c r="VFH2480" s="60"/>
      <c r="VFI2480" s="60"/>
      <c r="VFJ2480" s="61"/>
      <c r="VFK2480" s="54"/>
      <c r="VFL2480" s="54"/>
      <c r="VFM2480" s="60"/>
      <c r="VFN2480" s="60"/>
      <c r="VFO2480" s="60"/>
      <c r="VFP2480" s="60"/>
      <c r="VFQ2480" s="60"/>
      <c r="VFR2480" s="61"/>
      <c r="VFS2480" s="54"/>
      <c r="VFT2480" s="54"/>
      <c r="VFU2480" s="60"/>
      <c r="VFV2480" s="60"/>
      <c r="VFW2480" s="60"/>
      <c r="VFX2480" s="60"/>
      <c r="VFY2480" s="60"/>
      <c r="VFZ2480" s="61"/>
      <c r="VGA2480" s="54"/>
      <c r="VGB2480" s="54"/>
      <c r="VGC2480" s="60"/>
      <c r="VGD2480" s="60"/>
      <c r="VGE2480" s="60"/>
      <c r="VGF2480" s="60"/>
      <c r="VGG2480" s="60"/>
      <c r="VGH2480" s="61"/>
      <c r="VGI2480" s="54"/>
      <c r="VGJ2480" s="54"/>
      <c r="VGK2480" s="60"/>
      <c r="VGL2480" s="60"/>
      <c r="VGM2480" s="60"/>
      <c r="VGN2480" s="60"/>
      <c r="VGO2480" s="60"/>
      <c r="VGP2480" s="61"/>
      <c r="VGQ2480" s="54"/>
      <c r="VGR2480" s="54"/>
      <c r="VGS2480" s="60"/>
      <c r="VGT2480" s="60"/>
      <c r="VGU2480" s="60"/>
      <c r="VGV2480" s="60"/>
      <c r="VGW2480" s="60"/>
      <c r="VGX2480" s="61"/>
      <c r="VGY2480" s="54"/>
      <c r="VGZ2480" s="54"/>
      <c r="VHA2480" s="60"/>
      <c r="VHB2480" s="60"/>
      <c r="VHC2480" s="60"/>
      <c r="VHD2480" s="60"/>
      <c r="VHE2480" s="60"/>
      <c r="VHF2480" s="61"/>
      <c r="VHG2480" s="54"/>
      <c r="VHH2480" s="54"/>
      <c r="VHI2480" s="60"/>
      <c r="VHJ2480" s="60"/>
      <c r="VHK2480" s="60"/>
      <c r="VHL2480" s="60"/>
      <c r="VHM2480" s="60"/>
      <c r="VHN2480" s="61"/>
      <c r="VHO2480" s="54"/>
      <c r="VHP2480" s="54"/>
      <c r="VHQ2480" s="60"/>
      <c r="VHR2480" s="60"/>
      <c r="VHS2480" s="60"/>
      <c r="VHT2480" s="60"/>
      <c r="VHU2480" s="60"/>
      <c r="VHV2480" s="61"/>
      <c r="VHW2480" s="54"/>
      <c r="VHX2480" s="54"/>
      <c r="VHY2480" s="60"/>
      <c r="VHZ2480" s="60"/>
      <c r="VIA2480" s="60"/>
      <c r="VIB2480" s="60"/>
      <c r="VIC2480" s="60"/>
      <c r="VID2480" s="61"/>
      <c r="VIE2480" s="54"/>
      <c r="VIF2480" s="54"/>
      <c r="VIG2480" s="60"/>
      <c r="VIH2480" s="60"/>
      <c r="VII2480" s="60"/>
      <c r="VIJ2480" s="60"/>
      <c r="VIK2480" s="60"/>
      <c r="VIL2480" s="61"/>
      <c r="VIM2480" s="54"/>
      <c r="VIN2480" s="54"/>
      <c r="VIO2480" s="60"/>
      <c r="VIP2480" s="60"/>
      <c r="VIQ2480" s="60"/>
      <c r="VIR2480" s="60"/>
      <c r="VIS2480" s="60"/>
      <c r="VIT2480" s="61"/>
      <c r="VIU2480" s="54"/>
      <c r="VIV2480" s="54"/>
      <c r="VIW2480" s="60"/>
      <c r="VIX2480" s="60"/>
      <c r="VIY2480" s="60"/>
      <c r="VIZ2480" s="60"/>
      <c r="VJA2480" s="60"/>
      <c r="VJB2480" s="61"/>
      <c r="VJC2480" s="54"/>
      <c r="VJD2480" s="54"/>
      <c r="VJE2480" s="60"/>
      <c r="VJF2480" s="60"/>
      <c r="VJG2480" s="60"/>
      <c r="VJH2480" s="60"/>
      <c r="VJI2480" s="60"/>
      <c r="VJJ2480" s="61"/>
      <c r="VJK2480" s="54"/>
      <c r="VJL2480" s="54"/>
      <c r="VJM2480" s="60"/>
      <c r="VJN2480" s="60"/>
      <c r="VJO2480" s="60"/>
      <c r="VJP2480" s="60"/>
      <c r="VJQ2480" s="60"/>
      <c r="VJR2480" s="61"/>
      <c r="VJS2480" s="54"/>
      <c r="VJT2480" s="54"/>
      <c r="VJU2480" s="60"/>
      <c r="VJV2480" s="60"/>
      <c r="VJW2480" s="60"/>
      <c r="VJX2480" s="60"/>
      <c r="VJY2480" s="60"/>
      <c r="VJZ2480" s="61"/>
      <c r="VKA2480" s="54"/>
      <c r="VKB2480" s="54"/>
      <c r="VKC2480" s="60"/>
      <c r="VKD2480" s="60"/>
      <c r="VKE2480" s="60"/>
      <c r="VKF2480" s="60"/>
      <c r="VKG2480" s="60"/>
      <c r="VKH2480" s="61"/>
      <c r="VKI2480" s="54"/>
      <c r="VKJ2480" s="54"/>
      <c r="VKK2480" s="60"/>
      <c r="VKL2480" s="60"/>
      <c r="VKM2480" s="60"/>
      <c r="VKN2480" s="60"/>
      <c r="VKO2480" s="60"/>
      <c r="VKP2480" s="61"/>
      <c r="VKQ2480" s="54"/>
      <c r="VKR2480" s="54"/>
      <c r="VKS2480" s="60"/>
      <c r="VKT2480" s="60"/>
      <c r="VKU2480" s="60"/>
      <c r="VKV2480" s="60"/>
      <c r="VKW2480" s="60"/>
      <c r="VKX2480" s="61"/>
      <c r="VKY2480" s="54"/>
      <c r="VKZ2480" s="54"/>
      <c r="VLA2480" s="60"/>
      <c r="VLB2480" s="60"/>
      <c r="VLC2480" s="60"/>
      <c r="VLD2480" s="60"/>
      <c r="VLE2480" s="60"/>
      <c r="VLF2480" s="61"/>
      <c r="VLG2480" s="54"/>
      <c r="VLH2480" s="54"/>
      <c r="VLI2480" s="60"/>
      <c r="VLJ2480" s="60"/>
      <c r="VLK2480" s="60"/>
      <c r="VLL2480" s="60"/>
      <c r="VLM2480" s="60"/>
      <c r="VLN2480" s="61"/>
      <c r="VLO2480" s="54"/>
      <c r="VLP2480" s="54"/>
      <c r="VLQ2480" s="60"/>
      <c r="VLR2480" s="60"/>
      <c r="VLS2480" s="60"/>
      <c r="VLT2480" s="60"/>
      <c r="VLU2480" s="60"/>
      <c r="VLV2480" s="61"/>
      <c r="VLW2480" s="54"/>
      <c r="VLX2480" s="54"/>
      <c r="VLY2480" s="60"/>
      <c r="VLZ2480" s="60"/>
      <c r="VMA2480" s="60"/>
      <c r="VMB2480" s="60"/>
      <c r="VMC2480" s="60"/>
      <c r="VMD2480" s="61"/>
      <c r="VME2480" s="54"/>
      <c r="VMF2480" s="54"/>
      <c r="VMG2480" s="60"/>
      <c r="VMH2480" s="60"/>
      <c r="VMI2480" s="60"/>
      <c r="VMJ2480" s="60"/>
      <c r="VMK2480" s="60"/>
      <c r="VML2480" s="61"/>
      <c r="VMM2480" s="54"/>
      <c r="VMN2480" s="54"/>
      <c r="VMO2480" s="60"/>
      <c r="VMP2480" s="60"/>
      <c r="VMQ2480" s="60"/>
      <c r="VMR2480" s="60"/>
      <c r="VMS2480" s="60"/>
      <c r="VMT2480" s="61"/>
      <c r="VMU2480" s="54"/>
      <c r="VMV2480" s="54"/>
      <c r="VMW2480" s="60"/>
      <c r="VMX2480" s="60"/>
      <c r="VMY2480" s="60"/>
      <c r="VMZ2480" s="60"/>
      <c r="VNA2480" s="60"/>
      <c r="VNB2480" s="61"/>
      <c r="VNC2480" s="54"/>
      <c r="VND2480" s="54"/>
      <c r="VNE2480" s="60"/>
      <c r="VNF2480" s="60"/>
      <c r="VNG2480" s="60"/>
      <c r="VNH2480" s="60"/>
      <c r="VNI2480" s="60"/>
      <c r="VNJ2480" s="61"/>
      <c r="VNK2480" s="54"/>
      <c r="VNL2480" s="54"/>
      <c r="VNM2480" s="60"/>
      <c r="VNN2480" s="60"/>
      <c r="VNO2480" s="60"/>
      <c r="VNP2480" s="60"/>
      <c r="VNQ2480" s="60"/>
      <c r="VNR2480" s="61"/>
      <c r="VNS2480" s="54"/>
      <c r="VNT2480" s="54"/>
      <c r="VNU2480" s="60"/>
      <c r="VNV2480" s="60"/>
      <c r="VNW2480" s="60"/>
      <c r="VNX2480" s="60"/>
      <c r="VNY2480" s="60"/>
      <c r="VNZ2480" s="61"/>
      <c r="VOA2480" s="54"/>
      <c r="VOB2480" s="54"/>
      <c r="VOC2480" s="60"/>
      <c r="VOD2480" s="60"/>
      <c r="VOE2480" s="60"/>
      <c r="VOF2480" s="60"/>
      <c r="VOG2480" s="60"/>
      <c r="VOH2480" s="61"/>
      <c r="VOI2480" s="54"/>
      <c r="VOJ2480" s="54"/>
      <c r="VOK2480" s="60"/>
      <c r="VOL2480" s="60"/>
      <c r="VOM2480" s="60"/>
      <c r="VON2480" s="60"/>
      <c r="VOO2480" s="60"/>
      <c r="VOP2480" s="61"/>
      <c r="VOQ2480" s="54"/>
      <c r="VOR2480" s="54"/>
      <c r="VOS2480" s="60"/>
      <c r="VOT2480" s="60"/>
      <c r="VOU2480" s="60"/>
      <c r="VOV2480" s="60"/>
      <c r="VOW2480" s="60"/>
      <c r="VOX2480" s="61"/>
      <c r="VOY2480" s="54"/>
      <c r="VOZ2480" s="54"/>
      <c r="VPA2480" s="60"/>
      <c r="VPB2480" s="60"/>
      <c r="VPC2480" s="60"/>
      <c r="VPD2480" s="60"/>
      <c r="VPE2480" s="60"/>
      <c r="VPF2480" s="61"/>
      <c r="VPG2480" s="54"/>
      <c r="VPH2480" s="54"/>
      <c r="VPI2480" s="60"/>
      <c r="VPJ2480" s="60"/>
      <c r="VPK2480" s="60"/>
      <c r="VPL2480" s="60"/>
      <c r="VPM2480" s="60"/>
      <c r="VPN2480" s="61"/>
      <c r="VPO2480" s="54"/>
      <c r="VPP2480" s="54"/>
      <c r="VPQ2480" s="60"/>
      <c r="VPR2480" s="60"/>
      <c r="VPS2480" s="60"/>
      <c r="VPT2480" s="60"/>
      <c r="VPU2480" s="60"/>
      <c r="VPV2480" s="61"/>
      <c r="VPW2480" s="54"/>
      <c r="VPX2480" s="54"/>
      <c r="VPY2480" s="60"/>
      <c r="VPZ2480" s="60"/>
      <c r="VQA2480" s="60"/>
      <c r="VQB2480" s="60"/>
      <c r="VQC2480" s="60"/>
      <c r="VQD2480" s="61"/>
      <c r="VQE2480" s="54"/>
      <c r="VQF2480" s="54"/>
      <c r="VQG2480" s="60"/>
      <c r="VQH2480" s="60"/>
      <c r="VQI2480" s="60"/>
      <c r="VQJ2480" s="60"/>
      <c r="VQK2480" s="60"/>
      <c r="VQL2480" s="61"/>
      <c r="VQM2480" s="54"/>
      <c r="VQN2480" s="54"/>
      <c r="VQO2480" s="60"/>
      <c r="VQP2480" s="60"/>
      <c r="VQQ2480" s="60"/>
      <c r="VQR2480" s="60"/>
      <c r="VQS2480" s="60"/>
      <c r="VQT2480" s="61"/>
      <c r="VQU2480" s="54"/>
      <c r="VQV2480" s="54"/>
      <c r="VQW2480" s="60"/>
      <c r="VQX2480" s="60"/>
      <c r="VQY2480" s="60"/>
      <c r="VQZ2480" s="60"/>
      <c r="VRA2480" s="60"/>
      <c r="VRB2480" s="61"/>
      <c r="VRC2480" s="54"/>
      <c r="VRD2480" s="54"/>
      <c r="VRE2480" s="60"/>
      <c r="VRF2480" s="60"/>
      <c r="VRG2480" s="60"/>
      <c r="VRH2480" s="60"/>
      <c r="VRI2480" s="60"/>
      <c r="VRJ2480" s="61"/>
      <c r="VRK2480" s="54"/>
      <c r="VRL2480" s="54"/>
      <c r="VRM2480" s="60"/>
      <c r="VRN2480" s="60"/>
      <c r="VRO2480" s="60"/>
      <c r="VRP2480" s="60"/>
      <c r="VRQ2480" s="60"/>
      <c r="VRR2480" s="61"/>
      <c r="VRS2480" s="54"/>
      <c r="VRT2480" s="54"/>
      <c r="VRU2480" s="60"/>
      <c r="VRV2480" s="60"/>
      <c r="VRW2480" s="60"/>
      <c r="VRX2480" s="60"/>
      <c r="VRY2480" s="60"/>
      <c r="VRZ2480" s="61"/>
      <c r="VSA2480" s="54"/>
      <c r="VSB2480" s="54"/>
      <c r="VSC2480" s="60"/>
      <c r="VSD2480" s="60"/>
      <c r="VSE2480" s="60"/>
      <c r="VSF2480" s="60"/>
      <c r="VSG2480" s="60"/>
      <c r="VSH2480" s="61"/>
      <c r="VSI2480" s="54"/>
      <c r="VSJ2480" s="54"/>
      <c r="VSK2480" s="60"/>
      <c r="VSL2480" s="60"/>
      <c r="VSM2480" s="60"/>
      <c r="VSN2480" s="60"/>
      <c r="VSO2480" s="60"/>
      <c r="VSP2480" s="61"/>
      <c r="VSQ2480" s="54"/>
      <c r="VSR2480" s="54"/>
      <c r="VSS2480" s="60"/>
      <c r="VST2480" s="60"/>
      <c r="VSU2480" s="60"/>
      <c r="VSV2480" s="60"/>
      <c r="VSW2480" s="60"/>
      <c r="VSX2480" s="61"/>
      <c r="VSY2480" s="54"/>
      <c r="VSZ2480" s="54"/>
      <c r="VTA2480" s="60"/>
      <c r="VTB2480" s="60"/>
      <c r="VTC2480" s="60"/>
      <c r="VTD2480" s="60"/>
      <c r="VTE2480" s="60"/>
      <c r="VTF2480" s="61"/>
      <c r="VTG2480" s="54"/>
      <c r="VTH2480" s="54"/>
      <c r="VTI2480" s="60"/>
      <c r="VTJ2480" s="60"/>
      <c r="VTK2480" s="60"/>
      <c r="VTL2480" s="60"/>
      <c r="VTM2480" s="60"/>
      <c r="VTN2480" s="61"/>
      <c r="VTO2480" s="54"/>
      <c r="VTP2480" s="54"/>
      <c r="VTQ2480" s="60"/>
      <c r="VTR2480" s="60"/>
      <c r="VTS2480" s="60"/>
      <c r="VTT2480" s="60"/>
      <c r="VTU2480" s="60"/>
      <c r="VTV2480" s="61"/>
      <c r="VTW2480" s="54"/>
      <c r="VTX2480" s="54"/>
      <c r="VTY2480" s="60"/>
      <c r="VTZ2480" s="60"/>
      <c r="VUA2480" s="60"/>
      <c r="VUB2480" s="60"/>
      <c r="VUC2480" s="60"/>
      <c r="VUD2480" s="61"/>
      <c r="VUE2480" s="54"/>
      <c r="VUF2480" s="54"/>
      <c r="VUG2480" s="60"/>
      <c r="VUH2480" s="60"/>
      <c r="VUI2480" s="60"/>
      <c r="VUJ2480" s="60"/>
      <c r="VUK2480" s="60"/>
      <c r="VUL2480" s="61"/>
      <c r="VUM2480" s="54"/>
      <c r="VUN2480" s="54"/>
      <c r="VUO2480" s="60"/>
      <c r="VUP2480" s="60"/>
      <c r="VUQ2480" s="60"/>
      <c r="VUR2480" s="60"/>
      <c r="VUS2480" s="60"/>
      <c r="VUT2480" s="61"/>
      <c r="VUU2480" s="54"/>
      <c r="VUV2480" s="54"/>
      <c r="VUW2480" s="60"/>
      <c r="VUX2480" s="60"/>
      <c r="VUY2480" s="60"/>
      <c r="VUZ2480" s="60"/>
      <c r="VVA2480" s="60"/>
      <c r="VVB2480" s="61"/>
      <c r="VVC2480" s="54"/>
      <c r="VVD2480" s="54"/>
      <c r="VVE2480" s="60"/>
      <c r="VVF2480" s="60"/>
      <c r="VVG2480" s="60"/>
      <c r="VVH2480" s="60"/>
      <c r="VVI2480" s="60"/>
      <c r="VVJ2480" s="61"/>
      <c r="VVK2480" s="54"/>
      <c r="VVL2480" s="54"/>
      <c r="VVM2480" s="60"/>
      <c r="VVN2480" s="60"/>
      <c r="VVO2480" s="60"/>
      <c r="VVP2480" s="60"/>
      <c r="VVQ2480" s="60"/>
      <c r="VVR2480" s="61"/>
      <c r="VVS2480" s="54"/>
      <c r="VVT2480" s="54"/>
      <c r="VVU2480" s="60"/>
      <c r="VVV2480" s="60"/>
      <c r="VVW2480" s="60"/>
      <c r="VVX2480" s="60"/>
      <c r="VVY2480" s="60"/>
      <c r="VVZ2480" s="61"/>
      <c r="VWA2480" s="54"/>
      <c r="VWB2480" s="54"/>
      <c r="VWC2480" s="60"/>
      <c r="VWD2480" s="60"/>
      <c r="VWE2480" s="60"/>
      <c r="VWF2480" s="60"/>
      <c r="VWG2480" s="60"/>
      <c r="VWH2480" s="61"/>
      <c r="VWI2480" s="54"/>
      <c r="VWJ2480" s="54"/>
      <c r="VWK2480" s="60"/>
      <c r="VWL2480" s="60"/>
      <c r="VWM2480" s="60"/>
      <c r="VWN2480" s="60"/>
      <c r="VWO2480" s="60"/>
      <c r="VWP2480" s="61"/>
      <c r="VWQ2480" s="54"/>
      <c r="VWR2480" s="54"/>
      <c r="VWS2480" s="60"/>
      <c r="VWT2480" s="60"/>
      <c r="VWU2480" s="60"/>
      <c r="VWV2480" s="60"/>
      <c r="VWW2480" s="60"/>
      <c r="VWX2480" s="61"/>
      <c r="VWY2480" s="54"/>
      <c r="VWZ2480" s="54"/>
      <c r="VXA2480" s="60"/>
      <c r="VXB2480" s="60"/>
      <c r="VXC2480" s="60"/>
      <c r="VXD2480" s="60"/>
      <c r="VXE2480" s="60"/>
      <c r="VXF2480" s="61"/>
      <c r="VXG2480" s="54"/>
      <c r="VXH2480" s="54"/>
      <c r="VXI2480" s="60"/>
      <c r="VXJ2480" s="60"/>
      <c r="VXK2480" s="60"/>
      <c r="VXL2480" s="60"/>
      <c r="VXM2480" s="60"/>
      <c r="VXN2480" s="61"/>
      <c r="VXO2480" s="54"/>
      <c r="VXP2480" s="54"/>
      <c r="VXQ2480" s="60"/>
      <c r="VXR2480" s="60"/>
      <c r="VXS2480" s="60"/>
      <c r="VXT2480" s="60"/>
      <c r="VXU2480" s="60"/>
      <c r="VXV2480" s="61"/>
      <c r="VXW2480" s="54"/>
      <c r="VXX2480" s="54"/>
      <c r="VXY2480" s="60"/>
      <c r="VXZ2480" s="60"/>
      <c r="VYA2480" s="60"/>
      <c r="VYB2480" s="60"/>
      <c r="VYC2480" s="60"/>
      <c r="VYD2480" s="61"/>
      <c r="VYE2480" s="54"/>
      <c r="VYF2480" s="54"/>
      <c r="VYG2480" s="60"/>
      <c r="VYH2480" s="60"/>
      <c r="VYI2480" s="60"/>
      <c r="VYJ2480" s="60"/>
      <c r="VYK2480" s="60"/>
      <c r="VYL2480" s="61"/>
      <c r="VYM2480" s="54"/>
      <c r="VYN2480" s="54"/>
      <c r="VYO2480" s="60"/>
      <c r="VYP2480" s="60"/>
      <c r="VYQ2480" s="60"/>
      <c r="VYR2480" s="60"/>
      <c r="VYS2480" s="60"/>
      <c r="VYT2480" s="61"/>
      <c r="VYU2480" s="54"/>
      <c r="VYV2480" s="54"/>
      <c r="VYW2480" s="60"/>
      <c r="VYX2480" s="60"/>
      <c r="VYY2480" s="60"/>
      <c r="VYZ2480" s="60"/>
      <c r="VZA2480" s="60"/>
      <c r="VZB2480" s="61"/>
      <c r="VZC2480" s="54"/>
      <c r="VZD2480" s="54"/>
      <c r="VZE2480" s="60"/>
      <c r="VZF2480" s="60"/>
      <c r="VZG2480" s="60"/>
      <c r="VZH2480" s="60"/>
      <c r="VZI2480" s="60"/>
      <c r="VZJ2480" s="61"/>
      <c r="VZK2480" s="54"/>
      <c r="VZL2480" s="54"/>
      <c r="VZM2480" s="60"/>
      <c r="VZN2480" s="60"/>
      <c r="VZO2480" s="60"/>
      <c r="VZP2480" s="60"/>
      <c r="VZQ2480" s="60"/>
      <c r="VZR2480" s="61"/>
      <c r="VZS2480" s="54"/>
      <c r="VZT2480" s="54"/>
      <c r="VZU2480" s="60"/>
      <c r="VZV2480" s="60"/>
      <c r="VZW2480" s="60"/>
      <c r="VZX2480" s="60"/>
      <c r="VZY2480" s="60"/>
      <c r="VZZ2480" s="61"/>
      <c r="WAA2480" s="54"/>
      <c r="WAB2480" s="54"/>
      <c r="WAC2480" s="60"/>
      <c r="WAD2480" s="60"/>
      <c r="WAE2480" s="60"/>
      <c r="WAF2480" s="60"/>
      <c r="WAG2480" s="60"/>
      <c r="WAH2480" s="61"/>
      <c r="WAI2480" s="54"/>
      <c r="WAJ2480" s="54"/>
      <c r="WAK2480" s="60"/>
      <c r="WAL2480" s="60"/>
      <c r="WAM2480" s="60"/>
      <c r="WAN2480" s="60"/>
      <c r="WAO2480" s="60"/>
      <c r="WAP2480" s="61"/>
      <c r="WAQ2480" s="54"/>
      <c r="WAR2480" s="54"/>
      <c r="WAS2480" s="60"/>
      <c r="WAT2480" s="60"/>
      <c r="WAU2480" s="60"/>
      <c r="WAV2480" s="60"/>
      <c r="WAW2480" s="60"/>
      <c r="WAX2480" s="61"/>
      <c r="WAY2480" s="54"/>
      <c r="WAZ2480" s="54"/>
      <c r="WBA2480" s="60"/>
      <c r="WBB2480" s="60"/>
      <c r="WBC2480" s="60"/>
      <c r="WBD2480" s="60"/>
      <c r="WBE2480" s="60"/>
      <c r="WBF2480" s="61"/>
      <c r="WBG2480" s="54"/>
      <c r="WBH2480" s="54"/>
      <c r="WBI2480" s="60"/>
      <c r="WBJ2480" s="60"/>
      <c r="WBK2480" s="60"/>
      <c r="WBL2480" s="60"/>
      <c r="WBM2480" s="60"/>
      <c r="WBN2480" s="61"/>
      <c r="WBO2480" s="54"/>
      <c r="WBP2480" s="54"/>
      <c r="WBQ2480" s="60"/>
      <c r="WBR2480" s="60"/>
      <c r="WBS2480" s="60"/>
      <c r="WBT2480" s="60"/>
      <c r="WBU2480" s="60"/>
      <c r="WBV2480" s="61"/>
      <c r="WBW2480" s="54"/>
      <c r="WBX2480" s="54"/>
      <c r="WBY2480" s="60"/>
      <c r="WBZ2480" s="60"/>
      <c r="WCA2480" s="60"/>
      <c r="WCB2480" s="60"/>
      <c r="WCC2480" s="60"/>
      <c r="WCD2480" s="61"/>
      <c r="WCE2480" s="54"/>
      <c r="WCF2480" s="54"/>
      <c r="WCG2480" s="60"/>
      <c r="WCH2480" s="60"/>
      <c r="WCI2480" s="60"/>
      <c r="WCJ2480" s="60"/>
      <c r="WCK2480" s="60"/>
      <c r="WCL2480" s="61"/>
      <c r="WCM2480" s="54"/>
      <c r="WCN2480" s="54"/>
      <c r="WCO2480" s="60"/>
      <c r="WCP2480" s="60"/>
      <c r="WCQ2480" s="60"/>
      <c r="WCR2480" s="60"/>
      <c r="WCS2480" s="60"/>
      <c r="WCT2480" s="61"/>
      <c r="WCU2480" s="54"/>
      <c r="WCV2480" s="54"/>
      <c r="WCW2480" s="60"/>
      <c r="WCX2480" s="60"/>
      <c r="WCY2480" s="60"/>
      <c r="WCZ2480" s="60"/>
      <c r="WDA2480" s="60"/>
      <c r="WDB2480" s="61"/>
      <c r="WDC2480" s="54"/>
      <c r="WDD2480" s="54"/>
      <c r="WDE2480" s="60"/>
      <c r="WDF2480" s="60"/>
      <c r="WDG2480" s="60"/>
      <c r="WDH2480" s="60"/>
      <c r="WDI2480" s="60"/>
      <c r="WDJ2480" s="61"/>
      <c r="WDK2480" s="54"/>
      <c r="WDL2480" s="54"/>
      <c r="WDM2480" s="60"/>
      <c r="WDN2480" s="60"/>
      <c r="WDO2480" s="60"/>
      <c r="WDP2480" s="60"/>
      <c r="WDQ2480" s="60"/>
      <c r="WDR2480" s="61"/>
      <c r="WDS2480" s="54"/>
      <c r="WDT2480" s="54"/>
      <c r="WDU2480" s="60"/>
      <c r="WDV2480" s="60"/>
      <c r="WDW2480" s="60"/>
      <c r="WDX2480" s="60"/>
      <c r="WDY2480" s="60"/>
      <c r="WDZ2480" s="61"/>
      <c r="WEA2480" s="54"/>
      <c r="WEB2480" s="54"/>
      <c r="WEC2480" s="60"/>
      <c r="WED2480" s="60"/>
      <c r="WEE2480" s="60"/>
      <c r="WEF2480" s="60"/>
      <c r="WEG2480" s="60"/>
      <c r="WEH2480" s="61"/>
      <c r="WEI2480" s="54"/>
      <c r="WEJ2480" s="54"/>
      <c r="WEK2480" s="60"/>
      <c r="WEL2480" s="60"/>
      <c r="WEM2480" s="60"/>
      <c r="WEN2480" s="60"/>
      <c r="WEO2480" s="60"/>
      <c r="WEP2480" s="61"/>
      <c r="WEQ2480" s="54"/>
      <c r="WER2480" s="54"/>
      <c r="WES2480" s="60"/>
      <c r="WET2480" s="60"/>
      <c r="WEU2480" s="60"/>
      <c r="WEV2480" s="60"/>
      <c r="WEW2480" s="60"/>
      <c r="WEX2480" s="61"/>
      <c r="WEY2480" s="54"/>
      <c r="WEZ2480" s="54"/>
      <c r="WFA2480" s="60"/>
      <c r="WFB2480" s="60"/>
      <c r="WFC2480" s="60"/>
      <c r="WFD2480" s="60"/>
      <c r="WFE2480" s="60"/>
      <c r="WFF2480" s="61"/>
      <c r="WFG2480" s="54"/>
      <c r="WFH2480" s="54"/>
      <c r="WFI2480" s="60"/>
      <c r="WFJ2480" s="60"/>
      <c r="WFK2480" s="60"/>
      <c r="WFL2480" s="60"/>
      <c r="WFM2480" s="60"/>
      <c r="WFN2480" s="61"/>
      <c r="WFO2480" s="54"/>
      <c r="WFP2480" s="54"/>
      <c r="WFQ2480" s="60"/>
      <c r="WFR2480" s="60"/>
      <c r="WFS2480" s="60"/>
      <c r="WFT2480" s="60"/>
      <c r="WFU2480" s="60"/>
      <c r="WFV2480" s="61"/>
      <c r="WFW2480" s="54"/>
      <c r="WFX2480" s="54"/>
      <c r="WFY2480" s="60"/>
      <c r="WFZ2480" s="60"/>
      <c r="WGA2480" s="60"/>
      <c r="WGB2480" s="60"/>
      <c r="WGC2480" s="60"/>
      <c r="WGD2480" s="61"/>
      <c r="WGE2480" s="54"/>
      <c r="WGF2480" s="54"/>
      <c r="WGG2480" s="60"/>
      <c r="WGH2480" s="60"/>
      <c r="WGI2480" s="60"/>
      <c r="WGJ2480" s="60"/>
      <c r="WGK2480" s="60"/>
      <c r="WGL2480" s="61"/>
      <c r="WGM2480" s="54"/>
      <c r="WGN2480" s="54"/>
      <c r="WGO2480" s="60"/>
      <c r="WGP2480" s="60"/>
      <c r="WGQ2480" s="60"/>
      <c r="WGR2480" s="60"/>
      <c r="WGS2480" s="60"/>
      <c r="WGT2480" s="61"/>
      <c r="WGU2480" s="54"/>
      <c r="WGV2480" s="54"/>
      <c r="WGW2480" s="60"/>
      <c r="WGX2480" s="60"/>
      <c r="WGY2480" s="60"/>
      <c r="WGZ2480" s="60"/>
      <c r="WHA2480" s="60"/>
      <c r="WHB2480" s="61"/>
      <c r="WHC2480" s="54"/>
      <c r="WHD2480" s="54"/>
      <c r="WHE2480" s="60"/>
      <c r="WHF2480" s="60"/>
      <c r="WHG2480" s="60"/>
      <c r="WHH2480" s="60"/>
      <c r="WHI2480" s="60"/>
      <c r="WHJ2480" s="61"/>
      <c r="WHK2480" s="54"/>
      <c r="WHL2480" s="54"/>
      <c r="WHM2480" s="60"/>
      <c r="WHN2480" s="60"/>
      <c r="WHO2480" s="60"/>
      <c r="WHP2480" s="60"/>
      <c r="WHQ2480" s="60"/>
      <c r="WHR2480" s="61"/>
      <c r="WHS2480" s="54"/>
      <c r="WHT2480" s="54"/>
      <c r="WHU2480" s="60"/>
      <c r="WHV2480" s="60"/>
      <c r="WHW2480" s="60"/>
      <c r="WHX2480" s="60"/>
      <c r="WHY2480" s="60"/>
      <c r="WHZ2480" s="61"/>
      <c r="WIA2480" s="54"/>
      <c r="WIB2480" s="54"/>
      <c r="WIC2480" s="60"/>
      <c r="WID2480" s="60"/>
      <c r="WIE2480" s="60"/>
      <c r="WIF2480" s="60"/>
      <c r="WIG2480" s="60"/>
      <c r="WIH2480" s="61"/>
      <c r="WII2480" s="54"/>
      <c r="WIJ2480" s="54"/>
      <c r="WIK2480" s="60"/>
      <c r="WIL2480" s="60"/>
      <c r="WIM2480" s="60"/>
      <c r="WIN2480" s="60"/>
      <c r="WIO2480" s="60"/>
      <c r="WIP2480" s="61"/>
      <c r="WIQ2480" s="54"/>
      <c r="WIR2480" s="54"/>
      <c r="WIS2480" s="60"/>
      <c r="WIT2480" s="60"/>
      <c r="WIU2480" s="60"/>
      <c r="WIV2480" s="60"/>
      <c r="WIW2480" s="60"/>
      <c r="WIX2480" s="61"/>
      <c r="WIY2480" s="54"/>
      <c r="WIZ2480" s="54"/>
      <c r="WJA2480" s="60"/>
      <c r="WJB2480" s="60"/>
      <c r="WJC2480" s="60"/>
      <c r="WJD2480" s="60"/>
      <c r="WJE2480" s="60"/>
      <c r="WJF2480" s="61"/>
      <c r="WJG2480" s="54"/>
      <c r="WJH2480" s="54"/>
      <c r="WJI2480" s="60"/>
      <c r="WJJ2480" s="60"/>
      <c r="WJK2480" s="60"/>
      <c r="WJL2480" s="60"/>
      <c r="WJM2480" s="60"/>
      <c r="WJN2480" s="61"/>
      <c r="WJO2480" s="54"/>
      <c r="WJP2480" s="54"/>
      <c r="WJQ2480" s="60"/>
      <c r="WJR2480" s="60"/>
      <c r="WJS2480" s="60"/>
      <c r="WJT2480" s="60"/>
      <c r="WJU2480" s="60"/>
      <c r="WJV2480" s="61"/>
      <c r="WJW2480" s="54"/>
      <c r="WJX2480" s="54"/>
      <c r="WJY2480" s="60"/>
      <c r="WJZ2480" s="60"/>
      <c r="WKA2480" s="60"/>
      <c r="WKB2480" s="60"/>
      <c r="WKC2480" s="60"/>
      <c r="WKD2480" s="61"/>
      <c r="WKE2480" s="54"/>
      <c r="WKF2480" s="54"/>
      <c r="WKG2480" s="60"/>
      <c r="WKH2480" s="60"/>
      <c r="WKI2480" s="60"/>
      <c r="WKJ2480" s="60"/>
      <c r="WKK2480" s="60"/>
      <c r="WKL2480" s="61"/>
      <c r="WKM2480" s="54"/>
      <c r="WKN2480" s="54"/>
      <c r="WKO2480" s="60"/>
      <c r="WKP2480" s="60"/>
      <c r="WKQ2480" s="60"/>
      <c r="WKR2480" s="60"/>
      <c r="WKS2480" s="60"/>
      <c r="WKT2480" s="61"/>
      <c r="WKU2480" s="54"/>
      <c r="WKV2480" s="54"/>
      <c r="WKW2480" s="60"/>
      <c r="WKX2480" s="60"/>
      <c r="WKY2480" s="60"/>
      <c r="WKZ2480" s="60"/>
      <c r="WLA2480" s="60"/>
      <c r="WLB2480" s="61"/>
      <c r="WLC2480" s="54"/>
      <c r="WLD2480" s="54"/>
      <c r="WLE2480" s="60"/>
      <c r="WLF2480" s="60"/>
      <c r="WLG2480" s="60"/>
      <c r="WLH2480" s="60"/>
      <c r="WLI2480" s="60"/>
      <c r="WLJ2480" s="61"/>
      <c r="WLK2480" s="54"/>
      <c r="WLL2480" s="54"/>
      <c r="WLM2480" s="60"/>
      <c r="WLN2480" s="60"/>
      <c r="WLO2480" s="60"/>
      <c r="WLP2480" s="60"/>
      <c r="WLQ2480" s="60"/>
      <c r="WLR2480" s="61"/>
      <c r="WLS2480" s="54"/>
      <c r="WLT2480" s="54"/>
      <c r="WLU2480" s="60"/>
      <c r="WLV2480" s="60"/>
      <c r="WLW2480" s="60"/>
      <c r="WLX2480" s="60"/>
      <c r="WLY2480" s="60"/>
      <c r="WLZ2480" s="61"/>
      <c r="WMA2480" s="54"/>
      <c r="WMB2480" s="54"/>
      <c r="WMC2480" s="60"/>
      <c r="WMD2480" s="60"/>
      <c r="WME2480" s="60"/>
      <c r="WMF2480" s="60"/>
      <c r="WMG2480" s="60"/>
      <c r="WMH2480" s="61"/>
      <c r="WMI2480" s="54"/>
      <c r="WMJ2480" s="54"/>
      <c r="WMK2480" s="60"/>
      <c r="WML2480" s="60"/>
      <c r="WMM2480" s="60"/>
      <c r="WMN2480" s="60"/>
      <c r="WMO2480" s="60"/>
      <c r="WMP2480" s="61"/>
      <c r="WMQ2480" s="54"/>
      <c r="WMR2480" s="54"/>
      <c r="WMS2480" s="60"/>
      <c r="WMT2480" s="60"/>
      <c r="WMU2480" s="60"/>
      <c r="WMV2480" s="60"/>
      <c r="WMW2480" s="60"/>
      <c r="WMX2480" s="61"/>
      <c r="WMY2480" s="54"/>
      <c r="WMZ2480" s="54"/>
      <c r="WNA2480" s="60"/>
      <c r="WNB2480" s="60"/>
      <c r="WNC2480" s="60"/>
      <c r="WND2480" s="60"/>
      <c r="WNE2480" s="60"/>
      <c r="WNF2480" s="61"/>
      <c r="WNG2480" s="54"/>
      <c r="WNH2480" s="54"/>
      <c r="WNI2480" s="60"/>
      <c r="WNJ2480" s="60"/>
      <c r="WNK2480" s="60"/>
      <c r="WNL2480" s="60"/>
      <c r="WNM2480" s="60"/>
      <c r="WNN2480" s="61"/>
      <c r="WNO2480" s="54"/>
      <c r="WNP2480" s="54"/>
      <c r="WNQ2480" s="60"/>
      <c r="WNR2480" s="60"/>
      <c r="WNS2480" s="60"/>
      <c r="WNT2480" s="60"/>
      <c r="WNU2480" s="60"/>
      <c r="WNV2480" s="61"/>
      <c r="WNW2480" s="54"/>
      <c r="WNX2480" s="54"/>
      <c r="WNY2480" s="60"/>
      <c r="WNZ2480" s="60"/>
      <c r="WOA2480" s="60"/>
      <c r="WOB2480" s="60"/>
      <c r="WOC2480" s="60"/>
      <c r="WOD2480" s="61"/>
      <c r="WOE2480" s="54"/>
      <c r="WOF2480" s="54"/>
      <c r="WOG2480" s="60"/>
      <c r="WOH2480" s="60"/>
      <c r="WOI2480" s="60"/>
      <c r="WOJ2480" s="60"/>
      <c r="WOK2480" s="60"/>
      <c r="WOL2480" s="61"/>
      <c r="WOM2480" s="54"/>
      <c r="WON2480" s="54"/>
      <c r="WOO2480" s="60"/>
      <c r="WOP2480" s="60"/>
      <c r="WOQ2480" s="60"/>
      <c r="WOR2480" s="60"/>
      <c r="WOS2480" s="60"/>
      <c r="WOT2480" s="61"/>
      <c r="WOU2480" s="54"/>
      <c r="WOV2480" s="54"/>
      <c r="WOW2480" s="60"/>
      <c r="WOX2480" s="60"/>
      <c r="WOY2480" s="60"/>
      <c r="WOZ2480" s="60"/>
      <c r="WPA2480" s="60"/>
      <c r="WPB2480" s="61"/>
      <c r="WPC2480" s="54"/>
      <c r="WPD2480" s="54"/>
      <c r="WPE2480" s="60"/>
      <c r="WPF2480" s="60"/>
      <c r="WPG2480" s="60"/>
      <c r="WPH2480" s="60"/>
      <c r="WPI2480" s="60"/>
      <c r="WPJ2480" s="61"/>
      <c r="WPK2480" s="54"/>
      <c r="WPL2480" s="54"/>
      <c r="WPM2480" s="60"/>
      <c r="WPN2480" s="60"/>
      <c r="WPO2480" s="60"/>
      <c r="WPP2480" s="60"/>
      <c r="WPQ2480" s="60"/>
      <c r="WPR2480" s="61"/>
      <c r="WPS2480" s="54"/>
      <c r="WPT2480" s="54"/>
      <c r="WPU2480" s="60"/>
      <c r="WPV2480" s="60"/>
      <c r="WPW2480" s="60"/>
      <c r="WPX2480" s="60"/>
      <c r="WPY2480" s="60"/>
      <c r="WPZ2480" s="61"/>
      <c r="WQA2480" s="54"/>
      <c r="WQB2480" s="54"/>
      <c r="WQC2480" s="60"/>
      <c r="WQD2480" s="60"/>
      <c r="WQE2480" s="60"/>
      <c r="WQF2480" s="60"/>
      <c r="WQG2480" s="60"/>
      <c r="WQH2480" s="61"/>
      <c r="WQI2480" s="54"/>
      <c r="WQJ2480" s="54"/>
      <c r="WQK2480" s="60"/>
      <c r="WQL2480" s="60"/>
      <c r="WQM2480" s="60"/>
      <c r="WQN2480" s="60"/>
      <c r="WQO2480" s="60"/>
      <c r="WQP2480" s="61"/>
      <c r="WQQ2480" s="54"/>
      <c r="WQR2480" s="54"/>
      <c r="WQS2480" s="60"/>
      <c r="WQT2480" s="60"/>
      <c r="WQU2480" s="60"/>
      <c r="WQV2480" s="60"/>
      <c r="WQW2480" s="60"/>
      <c r="WQX2480" s="61"/>
      <c r="WQY2480" s="54"/>
      <c r="WQZ2480" s="54"/>
      <c r="WRA2480" s="60"/>
      <c r="WRB2480" s="60"/>
      <c r="WRC2480" s="60"/>
      <c r="WRD2480" s="60"/>
      <c r="WRE2480" s="60"/>
      <c r="WRF2480" s="61"/>
      <c r="WRG2480" s="54"/>
      <c r="WRH2480" s="54"/>
      <c r="WRI2480" s="60"/>
      <c r="WRJ2480" s="60"/>
      <c r="WRK2480" s="60"/>
      <c r="WRL2480" s="60"/>
      <c r="WRM2480" s="60"/>
      <c r="WRN2480" s="61"/>
      <c r="WRO2480" s="54"/>
      <c r="WRP2480" s="54"/>
      <c r="WRQ2480" s="60"/>
      <c r="WRR2480" s="60"/>
      <c r="WRS2480" s="60"/>
      <c r="WRT2480" s="60"/>
      <c r="WRU2480" s="60"/>
      <c r="WRV2480" s="61"/>
      <c r="WRW2480" s="54"/>
      <c r="WRX2480" s="54"/>
      <c r="WRY2480" s="60"/>
      <c r="WRZ2480" s="60"/>
      <c r="WSA2480" s="60"/>
      <c r="WSB2480" s="60"/>
      <c r="WSC2480" s="60"/>
      <c r="WSD2480" s="61"/>
      <c r="WSE2480" s="54"/>
      <c r="WSF2480" s="54"/>
      <c r="WSG2480" s="60"/>
      <c r="WSH2480" s="60"/>
      <c r="WSI2480" s="60"/>
      <c r="WSJ2480" s="60"/>
      <c r="WSK2480" s="60"/>
      <c r="WSL2480" s="61"/>
      <c r="WSM2480" s="54"/>
      <c r="WSN2480" s="54"/>
      <c r="WSO2480" s="60"/>
      <c r="WSP2480" s="60"/>
      <c r="WSQ2480" s="60"/>
      <c r="WSR2480" s="60"/>
      <c r="WSS2480" s="60"/>
      <c r="WST2480" s="61"/>
      <c r="WSU2480" s="54"/>
      <c r="WSV2480" s="54"/>
      <c r="WSW2480" s="60"/>
      <c r="WSX2480" s="60"/>
      <c r="WSY2480" s="60"/>
      <c r="WSZ2480" s="60"/>
      <c r="WTA2480" s="60"/>
      <c r="WTB2480" s="61"/>
      <c r="WTC2480" s="54"/>
      <c r="WTD2480" s="54"/>
      <c r="WTE2480" s="60"/>
      <c r="WTF2480" s="60"/>
      <c r="WTG2480" s="60"/>
      <c r="WTH2480" s="60"/>
      <c r="WTI2480" s="60"/>
      <c r="WTJ2480" s="61"/>
      <c r="WTK2480" s="54"/>
      <c r="WTL2480" s="54"/>
      <c r="WTM2480" s="60"/>
      <c r="WTN2480" s="60"/>
      <c r="WTO2480" s="60"/>
      <c r="WTP2480" s="60"/>
      <c r="WTQ2480" s="60"/>
      <c r="WTR2480" s="61"/>
      <c r="WTS2480" s="54"/>
      <c r="WTT2480" s="54"/>
      <c r="WTU2480" s="60"/>
      <c r="WTV2480" s="60"/>
      <c r="WTW2480" s="60"/>
      <c r="WTX2480" s="60"/>
      <c r="WTY2480" s="60"/>
      <c r="WTZ2480" s="61"/>
      <c r="WUA2480" s="54"/>
      <c r="WUB2480" s="54"/>
      <c r="WUC2480" s="60"/>
      <c r="WUD2480" s="60"/>
      <c r="WUE2480" s="60"/>
      <c r="WUF2480" s="60"/>
      <c r="WUG2480" s="60"/>
      <c r="WUH2480" s="61"/>
      <c r="WUI2480" s="54"/>
      <c r="WUJ2480" s="54"/>
      <c r="WUK2480" s="60"/>
      <c r="WUL2480" s="60"/>
      <c r="WUM2480" s="60"/>
      <c r="WUN2480" s="60"/>
      <c r="WUO2480" s="60"/>
      <c r="WUP2480" s="61"/>
      <c r="WUQ2480" s="54"/>
      <c r="WUR2480" s="54"/>
      <c r="WUS2480" s="60"/>
      <c r="WUT2480" s="60"/>
      <c r="WUU2480" s="60"/>
      <c r="WUV2480" s="60"/>
      <c r="WUW2480" s="60"/>
      <c r="WUX2480" s="61"/>
      <c r="WUY2480" s="54"/>
      <c r="WUZ2480" s="54"/>
      <c r="WVA2480" s="60"/>
      <c r="WVB2480" s="60"/>
      <c r="WVC2480" s="60"/>
      <c r="WVD2480" s="60"/>
      <c r="WVE2480" s="60"/>
      <c r="WVF2480" s="61"/>
      <c r="WVG2480" s="54"/>
      <c r="WVH2480" s="54"/>
      <c r="WVI2480" s="60"/>
      <c r="WVJ2480" s="60"/>
      <c r="WVK2480" s="60"/>
      <c r="WVL2480" s="60"/>
      <c r="WVM2480" s="60"/>
      <c r="WVN2480" s="61"/>
      <c r="WVO2480" s="54"/>
      <c r="WVP2480" s="54"/>
      <c r="WVQ2480" s="60"/>
      <c r="WVR2480" s="60"/>
      <c r="WVS2480" s="60"/>
      <c r="WVT2480" s="60"/>
      <c r="WVU2480" s="60"/>
      <c r="WVV2480" s="61"/>
      <c r="WVW2480" s="54"/>
      <c r="WVX2480" s="54"/>
      <c r="WVY2480" s="60"/>
      <c r="WVZ2480" s="60"/>
      <c r="WWA2480" s="60"/>
      <c r="WWB2480" s="60"/>
      <c r="WWC2480" s="60"/>
      <c r="WWD2480" s="61"/>
      <c r="WWE2480" s="54"/>
      <c r="WWF2480" s="54"/>
      <c r="WWG2480" s="60"/>
      <c r="WWH2480" s="60"/>
      <c r="WWI2480" s="60"/>
      <c r="WWJ2480" s="60"/>
      <c r="WWK2480" s="60"/>
      <c r="WWL2480" s="61"/>
      <c r="WWM2480" s="54"/>
      <c r="WWN2480" s="54"/>
      <c r="WWO2480" s="60"/>
      <c r="WWP2480" s="60"/>
      <c r="WWQ2480" s="60"/>
      <c r="WWR2480" s="60"/>
      <c r="WWS2480" s="60"/>
      <c r="WWT2480" s="61"/>
      <c r="WWU2480" s="54"/>
      <c r="WWV2480" s="54"/>
      <c r="WWW2480" s="60"/>
      <c r="WWX2480" s="60"/>
      <c r="WWY2480" s="60"/>
      <c r="WWZ2480" s="60"/>
      <c r="WXA2480" s="60"/>
      <c r="WXB2480" s="61"/>
      <c r="WXC2480" s="54"/>
      <c r="WXD2480" s="54"/>
      <c r="WXE2480" s="60"/>
      <c r="WXF2480" s="60"/>
      <c r="WXG2480" s="60"/>
      <c r="WXH2480" s="60"/>
      <c r="WXI2480" s="60"/>
      <c r="WXJ2480" s="61"/>
      <c r="WXK2480" s="54"/>
      <c r="WXL2480" s="54"/>
      <c r="WXM2480" s="60"/>
      <c r="WXN2480" s="60"/>
      <c r="WXO2480" s="60"/>
      <c r="WXP2480" s="60"/>
      <c r="WXQ2480" s="60"/>
      <c r="WXR2480" s="61"/>
      <c r="WXS2480" s="54"/>
      <c r="WXT2480" s="54"/>
      <c r="WXU2480" s="60"/>
      <c r="WXV2480" s="60"/>
      <c r="WXW2480" s="60"/>
      <c r="WXX2480" s="60"/>
      <c r="WXY2480" s="60"/>
      <c r="WXZ2480" s="61"/>
      <c r="WYA2480" s="54"/>
      <c r="WYB2480" s="54"/>
      <c r="WYC2480" s="60"/>
      <c r="WYD2480" s="60"/>
      <c r="WYE2480" s="60"/>
      <c r="WYF2480" s="60"/>
      <c r="WYG2480" s="60"/>
      <c r="WYH2480" s="61"/>
      <c r="WYI2480" s="54"/>
      <c r="WYJ2480" s="54"/>
      <c r="WYK2480" s="60"/>
      <c r="WYL2480" s="60"/>
      <c r="WYM2480" s="60"/>
      <c r="WYN2480" s="60"/>
      <c r="WYO2480" s="60"/>
      <c r="WYP2480" s="61"/>
      <c r="WYQ2480" s="54"/>
      <c r="WYR2480" s="54"/>
      <c r="WYS2480" s="60"/>
      <c r="WYT2480" s="60"/>
      <c r="WYU2480" s="60"/>
      <c r="WYV2480" s="60"/>
      <c r="WYW2480" s="60"/>
      <c r="WYX2480" s="61"/>
      <c r="WYY2480" s="54"/>
      <c r="WYZ2480" s="54"/>
      <c r="WZA2480" s="60"/>
      <c r="WZB2480" s="60"/>
      <c r="WZC2480" s="60"/>
      <c r="WZD2480" s="60"/>
      <c r="WZE2480" s="60"/>
      <c r="WZF2480" s="61"/>
      <c r="WZG2480" s="54"/>
      <c r="WZH2480" s="54"/>
      <c r="WZI2480" s="60"/>
      <c r="WZJ2480" s="60"/>
      <c r="WZK2480" s="60"/>
      <c r="WZL2480" s="60"/>
      <c r="WZM2480" s="60"/>
      <c r="WZN2480" s="61"/>
      <c r="WZO2480" s="54"/>
      <c r="WZP2480" s="54"/>
      <c r="WZQ2480" s="60"/>
      <c r="WZR2480" s="60"/>
      <c r="WZS2480" s="60"/>
      <c r="WZT2480" s="60"/>
      <c r="WZU2480" s="60"/>
      <c r="WZV2480" s="61"/>
      <c r="WZW2480" s="54"/>
      <c r="WZX2480" s="54"/>
      <c r="WZY2480" s="60"/>
      <c r="WZZ2480" s="60"/>
      <c r="XAA2480" s="60"/>
      <c r="XAB2480" s="60"/>
      <c r="XAC2480" s="60"/>
      <c r="XAD2480" s="61"/>
      <c r="XAE2480" s="54"/>
      <c r="XAF2480" s="54"/>
      <c r="XAG2480" s="60"/>
      <c r="XAH2480" s="60"/>
      <c r="XAI2480" s="60"/>
      <c r="XAJ2480" s="60"/>
      <c r="XAK2480" s="60"/>
      <c r="XAL2480" s="61"/>
      <c r="XAM2480" s="54"/>
      <c r="XAN2480" s="54"/>
      <c r="XAO2480" s="60"/>
      <c r="XAP2480" s="60"/>
      <c r="XAQ2480" s="60"/>
      <c r="XAR2480" s="60"/>
      <c r="XAS2480" s="60"/>
      <c r="XAT2480" s="61"/>
      <c r="XAU2480" s="54"/>
      <c r="XAV2480" s="54"/>
      <c r="XAW2480" s="60"/>
      <c r="XAX2480" s="60"/>
      <c r="XAY2480" s="60"/>
      <c r="XAZ2480" s="60"/>
      <c r="XBA2480" s="60"/>
      <c r="XBB2480" s="61"/>
      <c r="XBC2480" s="54"/>
      <c r="XBD2480" s="54"/>
      <c r="XBE2480" s="60"/>
      <c r="XBF2480" s="60"/>
      <c r="XBG2480" s="60"/>
      <c r="XBH2480" s="60"/>
      <c r="XBI2480" s="60"/>
      <c r="XBJ2480" s="61"/>
      <c r="XBK2480" s="54"/>
      <c r="XBL2480" s="54"/>
      <c r="XBM2480" s="60"/>
      <c r="XBN2480" s="60"/>
      <c r="XBO2480" s="60"/>
      <c r="XBP2480" s="60"/>
      <c r="XBQ2480" s="60"/>
      <c r="XBR2480" s="61"/>
      <c r="XBS2480" s="54"/>
      <c r="XBT2480" s="54"/>
      <c r="XBU2480" s="60"/>
      <c r="XBV2480" s="60"/>
      <c r="XBW2480" s="60"/>
      <c r="XBX2480" s="60"/>
      <c r="XBY2480" s="60"/>
      <c r="XBZ2480" s="61"/>
      <c r="XCA2480" s="54"/>
      <c r="XCB2480" s="54"/>
      <c r="XCC2480" s="60"/>
      <c r="XCD2480" s="60"/>
      <c r="XCE2480" s="60"/>
      <c r="XCF2480" s="60"/>
      <c r="XCG2480" s="60"/>
      <c r="XCH2480" s="61"/>
      <c r="XCI2480" s="54"/>
      <c r="XCJ2480" s="54"/>
      <c r="XCK2480" s="60"/>
      <c r="XCL2480" s="60"/>
      <c r="XCM2480" s="60"/>
      <c r="XCN2480" s="60"/>
      <c r="XCO2480" s="60"/>
      <c r="XCP2480" s="61"/>
      <c r="XCQ2480" s="54"/>
      <c r="XCR2480" s="54"/>
      <c r="XCS2480" s="60"/>
      <c r="XCT2480" s="60"/>
      <c r="XCU2480" s="60"/>
      <c r="XCV2480" s="60"/>
      <c r="XCW2480" s="60"/>
      <c r="XCX2480" s="61"/>
      <c r="XCY2480" s="54"/>
      <c r="XCZ2480" s="54"/>
      <c r="XDA2480" s="60"/>
      <c r="XDB2480" s="60"/>
      <c r="XDC2480" s="60"/>
      <c r="XDD2480" s="60"/>
      <c r="XDE2480" s="60"/>
      <c r="XDF2480" s="61"/>
      <c r="XDG2480" s="54"/>
      <c r="XDH2480" s="54"/>
      <c r="XDI2480" s="60"/>
      <c r="XDJ2480" s="60"/>
      <c r="XDK2480" s="60"/>
      <c r="XDL2480" s="60"/>
      <c r="XDM2480" s="60"/>
      <c r="XDN2480" s="61"/>
      <c r="XDO2480" s="54"/>
      <c r="XDP2480" s="54"/>
      <c r="XDQ2480" s="60"/>
      <c r="XDR2480" s="60"/>
      <c r="XDS2480" s="60"/>
      <c r="XDT2480" s="60"/>
      <c r="XDU2480" s="60"/>
      <c r="XDV2480" s="61"/>
      <c r="XDW2480" s="54"/>
      <c r="XDX2480" s="54"/>
      <c r="XDY2480" s="60"/>
      <c r="XDZ2480" s="60"/>
      <c r="XEA2480" s="60"/>
      <c r="XEB2480" s="60"/>
      <c r="XEC2480" s="60"/>
      <c r="XED2480" s="61"/>
      <c r="XEE2480" s="54"/>
      <c r="XEF2480" s="54"/>
      <c r="XEG2480" s="60"/>
      <c r="XEH2480" s="60"/>
      <c r="XEI2480" s="60"/>
      <c r="XEJ2480" s="60"/>
      <c r="XEK2480" s="60"/>
      <c r="XEL2480" s="61"/>
      <c r="XEM2480" s="54"/>
      <c r="XEN2480" s="54"/>
      <c r="XEO2480" s="60"/>
      <c r="XEP2480" s="60"/>
      <c r="XEQ2480" s="60"/>
      <c r="XER2480" s="60"/>
      <c r="XES2480" s="60"/>
      <c r="XET2480" s="61"/>
      <c r="XEU2480" s="54"/>
      <c r="XEV2480" s="54"/>
      <c r="XEW2480" s="60"/>
    </row>
    <row r="2481" ht="18" customHeight="1" spans="1:16377">
      <c r="A2481" s="6" t="s">
        <v>8209</v>
      </c>
      <c r="B2481" s="6" t="s">
        <v>8540</v>
      </c>
      <c r="C2481" s="6" t="s">
        <v>8556</v>
      </c>
      <c r="D2481" s="5" t="s">
        <v>16374</v>
      </c>
      <c r="E2481" s="11" t="s">
        <v>8557</v>
      </c>
      <c r="F2481" s="7" t="s">
        <v>11535</v>
      </c>
      <c r="G2481" s="54"/>
      <c r="H2481" s="54"/>
      <c r="I2481" s="60"/>
      <c r="J2481" s="60"/>
      <c r="K2481" s="60"/>
      <c r="L2481" s="60"/>
      <c r="M2481" s="60"/>
      <c r="N2481" s="61"/>
      <c r="O2481" s="54"/>
      <c r="P2481" s="54"/>
      <c r="Q2481" s="60"/>
      <c r="R2481" s="60"/>
      <c r="S2481" s="60"/>
      <c r="T2481" s="60"/>
      <c r="U2481" s="60"/>
      <c r="V2481" s="61"/>
      <c r="W2481" s="54"/>
      <c r="X2481" s="54"/>
      <c r="Y2481" s="60"/>
      <c r="Z2481" s="60"/>
      <c r="AA2481" s="60"/>
      <c r="AB2481" s="60"/>
      <c r="AC2481" s="60"/>
      <c r="AD2481" s="61"/>
      <c r="AE2481" s="54"/>
      <c r="AF2481" s="54"/>
      <c r="AG2481" s="60"/>
      <c r="AH2481" s="60"/>
      <c r="AI2481" s="60"/>
      <c r="AJ2481" s="60"/>
      <c r="AK2481" s="60"/>
      <c r="AL2481" s="61"/>
      <c r="AM2481" s="54"/>
      <c r="AN2481" s="54"/>
      <c r="AO2481" s="60"/>
      <c r="AP2481" s="60"/>
      <c r="AQ2481" s="60"/>
      <c r="AR2481" s="60"/>
      <c r="AS2481" s="60"/>
      <c r="AT2481" s="61"/>
      <c r="AU2481" s="54"/>
      <c r="AV2481" s="54"/>
      <c r="AW2481" s="60"/>
      <c r="AX2481" s="60"/>
      <c r="AY2481" s="60"/>
      <c r="AZ2481" s="60"/>
      <c r="BA2481" s="60"/>
      <c r="BB2481" s="61"/>
      <c r="BC2481" s="54"/>
      <c r="BD2481" s="54"/>
      <c r="BE2481" s="60"/>
      <c r="BF2481" s="60"/>
      <c r="BG2481" s="60"/>
      <c r="BH2481" s="60"/>
      <c r="BI2481" s="60"/>
      <c r="BJ2481" s="61"/>
      <c r="BK2481" s="54"/>
      <c r="BL2481" s="54"/>
      <c r="BM2481" s="60"/>
      <c r="BN2481" s="60"/>
      <c r="BO2481" s="60"/>
      <c r="BP2481" s="60"/>
      <c r="BQ2481" s="60"/>
      <c r="BR2481" s="61"/>
      <c r="BS2481" s="54"/>
      <c r="BT2481" s="54"/>
      <c r="BU2481" s="60"/>
      <c r="BV2481" s="60"/>
      <c r="BW2481" s="60"/>
      <c r="BX2481" s="60"/>
      <c r="BY2481" s="60"/>
      <c r="BZ2481" s="61"/>
      <c r="CA2481" s="54"/>
      <c r="CB2481" s="54"/>
      <c r="CC2481" s="60"/>
      <c r="CD2481" s="60"/>
      <c r="CE2481" s="60"/>
      <c r="CF2481" s="60"/>
      <c r="CG2481" s="60"/>
      <c r="CH2481" s="61"/>
      <c r="CI2481" s="54"/>
      <c r="CJ2481" s="54"/>
      <c r="CK2481" s="60"/>
      <c r="CL2481" s="60"/>
      <c r="CM2481" s="60"/>
      <c r="CN2481" s="60"/>
      <c r="CO2481" s="60"/>
      <c r="CP2481" s="61"/>
      <c r="CQ2481" s="54"/>
      <c r="CR2481" s="54"/>
      <c r="CS2481" s="60"/>
      <c r="CT2481" s="60"/>
      <c r="CU2481" s="60"/>
      <c r="CV2481" s="60"/>
      <c r="CW2481" s="60"/>
      <c r="CX2481" s="61"/>
      <c r="CY2481" s="54"/>
      <c r="CZ2481" s="54"/>
      <c r="DA2481" s="60"/>
      <c r="DB2481" s="60"/>
      <c r="DC2481" s="60"/>
      <c r="DD2481" s="60"/>
      <c r="DE2481" s="60"/>
      <c r="DF2481" s="61"/>
      <c r="DG2481" s="54"/>
      <c r="DH2481" s="54"/>
      <c r="DI2481" s="60"/>
      <c r="DJ2481" s="60"/>
      <c r="DK2481" s="60"/>
      <c r="DL2481" s="60"/>
      <c r="DM2481" s="60"/>
      <c r="DN2481" s="61"/>
      <c r="DO2481" s="54"/>
      <c r="DP2481" s="54"/>
      <c r="DQ2481" s="60"/>
      <c r="DR2481" s="60"/>
      <c r="DS2481" s="60"/>
      <c r="DT2481" s="60"/>
      <c r="DU2481" s="60"/>
      <c r="DV2481" s="61"/>
      <c r="DW2481" s="54"/>
      <c r="DX2481" s="54"/>
      <c r="DY2481" s="60"/>
      <c r="DZ2481" s="60"/>
      <c r="EA2481" s="60"/>
      <c r="EB2481" s="60"/>
      <c r="EC2481" s="60"/>
      <c r="ED2481" s="61"/>
      <c r="EE2481" s="54"/>
      <c r="EF2481" s="54"/>
      <c r="EG2481" s="60"/>
      <c r="EH2481" s="60"/>
      <c r="EI2481" s="60"/>
      <c r="EJ2481" s="60"/>
      <c r="EK2481" s="60"/>
      <c r="EL2481" s="61"/>
      <c r="EM2481" s="54"/>
      <c r="EN2481" s="54"/>
      <c r="EO2481" s="60"/>
      <c r="EP2481" s="60"/>
      <c r="EQ2481" s="60"/>
      <c r="ER2481" s="60"/>
      <c r="ES2481" s="60"/>
      <c r="ET2481" s="61"/>
      <c r="EU2481" s="54"/>
      <c r="EV2481" s="54"/>
      <c r="EW2481" s="60"/>
      <c r="EX2481" s="60"/>
      <c r="EY2481" s="60"/>
      <c r="EZ2481" s="60"/>
      <c r="FA2481" s="60"/>
      <c r="FB2481" s="61"/>
      <c r="FC2481" s="54"/>
      <c r="FD2481" s="54"/>
      <c r="FE2481" s="60"/>
      <c r="FF2481" s="60"/>
      <c r="FG2481" s="60"/>
      <c r="FH2481" s="60"/>
      <c r="FI2481" s="60"/>
      <c r="FJ2481" s="61"/>
      <c r="FK2481" s="54"/>
      <c r="FL2481" s="54"/>
      <c r="FM2481" s="60"/>
      <c r="FN2481" s="60"/>
      <c r="FO2481" s="60"/>
      <c r="FP2481" s="60"/>
      <c r="FQ2481" s="60"/>
      <c r="FR2481" s="61"/>
      <c r="FS2481" s="54"/>
      <c r="FT2481" s="54"/>
      <c r="FU2481" s="60"/>
      <c r="FV2481" s="60"/>
      <c r="FW2481" s="60"/>
      <c r="FX2481" s="60"/>
      <c r="FY2481" s="60"/>
      <c r="FZ2481" s="61"/>
      <c r="GA2481" s="54"/>
      <c r="GB2481" s="54"/>
      <c r="GC2481" s="60"/>
      <c r="GD2481" s="60"/>
      <c r="GE2481" s="60"/>
      <c r="GF2481" s="60"/>
      <c r="GG2481" s="60"/>
      <c r="GH2481" s="61"/>
      <c r="GI2481" s="54"/>
      <c r="GJ2481" s="54"/>
      <c r="GK2481" s="60"/>
      <c r="GL2481" s="60"/>
      <c r="GM2481" s="60"/>
      <c r="GN2481" s="60"/>
      <c r="GO2481" s="60"/>
      <c r="GP2481" s="61"/>
      <c r="GQ2481" s="54"/>
      <c r="GR2481" s="54"/>
      <c r="GS2481" s="60"/>
      <c r="GT2481" s="60"/>
      <c r="GU2481" s="60"/>
      <c r="GV2481" s="60"/>
      <c r="GW2481" s="60"/>
      <c r="GX2481" s="61"/>
      <c r="GY2481" s="54"/>
      <c r="GZ2481" s="54"/>
      <c r="HA2481" s="60"/>
      <c r="HB2481" s="60"/>
      <c r="HC2481" s="60"/>
      <c r="HD2481" s="60"/>
      <c r="HE2481" s="60"/>
      <c r="HF2481" s="61"/>
      <c r="HG2481" s="54"/>
      <c r="HH2481" s="54"/>
      <c r="HI2481" s="60"/>
      <c r="HJ2481" s="60"/>
      <c r="HK2481" s="60"/>
      <c r="HL2481" s="60"/>
      <c r="HM2481" s="60"/>
      <c r="HN2481" s="61"/>
      <c r="HO2481" s="54"/>
      <c r="HP2481" s="54"/>
      <c r="HQ2481" s="60"/>
      <c r="HR2481" s="60"/>
      <c r="HS2481" s="60"/>
      <c r="HT2481" s="60"/>
      <c r="HU2481" s="60"/>
      <c r="HV2481" s="61"/>
      <c r="HW2481" s="54"/>
      <c r="HX2481" s="54"/>
      <c r="HY2481" s="60"/>
      <c r="HZ2481" s="60"/>
      <c r="IA2481" s="60"/>
      <c r="IB2481" s="60"/>
      <c r="IC2481" s="60"/>
      <c r="ID2481" s="61"/>
      <c r="IE2481" s="54"/>
      <c r="IF2481" s="54"/>
      <c r="IG2481" s="60"/>
      <c r="IH2481" s="60"/>
      <c r="II2481" s="60"/>
      <c r="IJ2481" s="60"/>
      <c r="IK2481" s="60"/>
      <c r="IL2481" s="61"/>
      <c r="IM2481" s="54"/>
      <c r="IN2481" s="54"/>
      <c r="IO2481" s="60"/>
      <c r="IP2481" s="60"/>
      <c r="IQ2481" s="60"/>
      <c r="IR2481" s="60"/>
      <c r="IS2481" s="60"/>
      <c r="IT2481" s="61"/>
      <c r="IU2481" s="54"/>
      <c r="IV2481" s="54"/>
      <c r="IW2481" s="60"/>
      <c r="IX2481" s="60"/>
      <c r="IY2481" s="60"/>
      <c r="IZ2481" s="60"/>
      <c r="JA2481" s="60"/>
      <c r="JB2481" s="61"/>
      <c r="JC2481" s="54"/>
      <c r="JD2481" s="54"/>
      <c r="JE2481" s="60"/>
      <c r="JF2481" s="60"/>
      <c r="JG2481" s="60"/>
      <c r="JH2481" s="60"/>
      <c r="JI2481" s="60"/>
      <c r="JJ2481" s="61"/>
      <c r="JK2481" s="54"/>
      <c r="JL2481" s="54"/>
      <c r="JM2481" s="60"/>
      <c r="JN2481" s="60"/>
      <c r="JO2481" s="60"/>
      <c r="JP2481" s="60"/>
      <c r="JQ2481" s="60"/>
      <c r="JR2481" s="61"/>
      <c r="JS2481" s="54"/>
      <c r="JT2481" s="54"/>
      <c r="JU2481" s="60"/>
      <c r="JV2481" s="60"/>
      <c r="JW2481" s="60"/>
      <c r="JX2481" s="60"/>
      <c r="JY2481" s="60"/>
      <c r="JZ2481" s="61"/>
      <c r="KA2481" s="54"/>
      <c r="KB2481" s="54"/>
      <c r="KC2481" s="60"/>
      <c r="KD2481" s="60"/>
      <c r="KE2481" s="60"/>
      <c r="KF2481" s="60"/>
      <c r="KG2481" s="60"/>
      <c r="KH2481" s="61"/>
      <c r="KI2481" s="54"/>
      <c r="KJ2481" s="54"/>
      <c r="KK2481" s="60"/>
      <c r="KL2481" s="60"/>
      <c r="KM2481" s="60"/>
      <c r="KN2481" s="60"/>
      <c r="KO2481" s="60"/>
      <c r="KP2481" s="61"/>
      <c r="KQ2481" s="54"/>
      <c r="KR2481" s="54"/>
      <c r="KS2481" s="60"/>
      <c r="KT2481" s="60"/>
      <c r="KU2481" s="60"/>
      <c r="KV2481" s="60"/>
      <c r="KW2481" s="60"/>
      <c r="KX2481" s="61"/>
      <c r="KY2481" s="54"/>
      <c r="KZ2481" s="54"/>
      <c r="LA2481" s="60"/>
      <c r="LB2481" s="60"/>
      <c r="LC2481" s="60"/>
      <c r="LD2481" s="60"/>
      <c r="LE2481" s="60"/>
      <c r="LF2481" s="61"/>
      <c r="LG2481" s="54"/>
      <c r="LH2481" s="54"/>
      <c r="LI2481" s="60"/>
      <c r="LJ2481" s="60"/>
      <c r="LK2481" s="60"/>
      <c r="LL2481" s="60"/>
      <c r="LM2481" s="60"/>
      <c r="LN2481" s="61"/>
      <c r="LO2481" s="54"/>
      <c r="LP2481" s="54"/>
      <c r="LQ2481" s="60"/>
      <c r="LR2481" s="60"/>
      <c r="LS2481" s="60"/>
      <c r="LT2481" s="60"/>
      <c r="LU2481" s="60"/>
      <c r="LV2481" s="61"/>
      <c r="LW2481" s="54"/>
      <c r="LX2481" s="54"/>
      <c r="LY2481" s="60"/>
      <c r="LZ2481" s="60"/>
      <c r="MA2481" s="60"/>
      <c r="MB2481" s="60"/>
      <c r="MC2481" s="60"/>
      <c r="MD2481" s="61"/>
      <c r="ME2481" s="54"/>
      <c r="MF2481" s="54"/>
      <c r="MG2481" s="60"/>
      <c r="MH2481" s="60"/>
      <c r="MI2481" s="60"/>
      <c r="MJ2481" s="60"/>
      <c r="MK2481" s="60"/>
      <c r="ML2481" s="61"/>
      <c r="MM2481" s="54"/>
      <c r="MN2481" s="54"/>
      <c r="MO2481" s="60"/>
      <c r="MP2481" s="60"/>
      <c r="MQ2481" s="60"/>
      <c r="MR2481" s="60"/>
      <c r="MS2481" s="60"/>
      <c r="MT2481" s="61"/>
      <c r="MU2481" s="54"/>
      <c r="MV2481" s="54"/>
      <c r="MW2481" s="60"/>
      <c r="MX2481" s="60"/>
      <c r="MY2481" s="60"/>
      <c r="MZ2481" s="60"/>
      <c r="NA2481" s="60"/>
      <c r="NB2481" s="61"/>
      <c r="NC2481" s="54"/>
      <c r="ND2481" s="54"/>
      <c r="NE2481" s="60"/>
      <c r="NF2481" s="60"/>
      <c r="NG2481" s="60"/>
      <c r="NH2481" s="60"/>
      <c r="NI2481" s="60"/>
      <c r="NJ2481" s="61"/>
      <c r="NK2481" s="54"/>
      <c r="NL2481" s="54"/>
      <c r="NM2481" s="60"/>
      <c r="NN2481" s="60"/>
      <c r="NO2481" s="60"/>
      <c r="NP2481" s="60"/>
      <c r="NQ2481" s="60"/>
      <c r="NR2481" s="61"/>
      <c r="NS2481" s="54"/>
      <c r="NT2481" s="54"/>
      <c r="NU2481" s="60"/>
      <c r="NV2481" s="60"/>
      <c r="NW2481" s="60"/>
      <c r="NX2481" s="60"/>
      <c r="NY2481" s="60"/>
      <c r="NZ2481" s="61"/>
      <c r="OA2481" s="54"/>
      <c r="OB2481" s="54"/>
      <c r="OC2481" s="60"/>
      <c r="OD2481" s="60"/>
      <c r="OE2481" s="60"/>
      <c r="OF2481" s="60"/>
      <c r="OG2481" s="60"/>
      <c r="OH2481" s="61"/>
      <c r="OI2481" s="54"/>
      <c r="OJ2481" s="54"/>
      <c r="OK2481" s="60"/>
      <c r="OL2481" s="60"/>
      <c r="OM2481" s="60"/>
      <c r="ON2481" s="60"/>
      <c r="OO2481" s="60"/>
      <c r="OP2481" s="61"/>
      <c r="OQ2481" s="54"/>
      <c r="OR2481" s="54"/>
      <c r="OS2481" s="60"/>
      <c r="OT2481" s="60"/>
      <c r="OU2481" s="60"/>
      <c r="OV2481" s="60"/>
      <c r="OW2481" s="60"/>
      <c r="OX2481" s="61"/>
      <c r="OY2481" s="54"/>
      <c r="OZ2481" s="54"/>
      <c r="PA2481" s="60"/>
      <c r="PB2481" s="60"/>
      <c r="PC2481" s="60"/>
      <c r="PD2481" s="60"/>
      <c r="PE2481" s="60"/>
      <c r="PF2481" s="61"/>
      <c r="PG2481" s="54"/>
      <c r="PH2481" s="54"/>
      <c r="PI2481" s="60"/>
      <c r="PJ2481" s="60"/>
      <c r="PK2481" s="60"/>
      <c r="PL2481" s="60"/>
      <c r="PM2481" s="60"/>
      <c r="PN2481" s="61"/>
      <c r="PO2481" s="54"/>
      <c r="PP2481" s="54"/>
      <c r="PQ2481" s="60"/>
      <c r="PR2481" s="60"/>
      <c r="PS2481" s="60"/>
      <c r="PT2481" s="60"/>
      <c r="PU2481" s="60"/>
      <c r="PV2481" s="61"/>
      <c r="PW2481" s="54"/>
      <c r="PX2481" s="54"/>
      <c r="PY2481" s="60"/>
      <c r="PZ2481" s="60"/>
      <c r="QA2481" s="60"/>
      <c r="QB2481" s="60"/>
      <c r="QC2481" s="60"/>
      <c r="QD2481" s="61"/>
      <c r="QE2481" s="54"/>
      <c r="QF2481" s="54"/>
      <c r="QG2481" s="60"/>
      <c r="QH2481" s="60"/>
      <c r="QI2481" s="60"/>
      <c r="QJ2481" s="60"/>
      <c r="QK2481" s="60"/>
      <c r="QL2481" s="61"/>
      <c r="QM2481" s="54"/>
      <c r="QN2481" s="54"/>
      <c r="QO2481" s="60"/>
      <c r="QP2481" s="60"/>
      <c r="QQ2481" s="60"/>
      <c r="QR2481" s="60"/>
      <c r="QS2481" s="60"/>
      <c r="QT2481" s="61"/>
      <c r="QU2481" s="54"/>
      <c r="QV2481" s="54"/>
      <c r="QW2481" s="60"/>
      <c r="QX2481" s="60"/>
      <c r="QY2481" s="60"/>
      <c r="QZ2481" s="60"/>
      <c r="RA2481" s="60"/>
      <c r="RB2481" s="61"/>
      <c r="RC2481" s="54"/>
      <c r="RD2481" s="54"/>
      <c r="RE2481" s="60"/>
      <c r="RF2481" s="60"/>
      <c r="RG2481" s="60"/>
      <c r="RH2481" s="60"/>
      <c r="RI2481" s="60"/>
      <c r="RJ2481" s="61"/>
      <c r="RK2481" s="54"/>
      <c r="RL2481" s="54"/>
      <c r="RM2481" s="60"/>
      <c r="RN2481" s="60"/>
      <c r="RO2481" s="60"/>
      <c r="RP2481" s="60"/>
      <c r="RQ2481" s="60"/>
      <c r="RR2481" s="61"/>
      <c r="RS2481" s="54"/>
      <c r="RT2481" s="54"/>
      <c r="RU2481" s="60"/>
      <c r="RV2481" s="60"/>
      <c r="RW2481" s="60"/>
      <c r="RX2481" s="60"/>
      <c r="RY2481" s="60"/>
      <c r="RZ2481" s="61"/>
      <c r="SA2481" s="54"/>
      <c r="SB2481" s="54"/>
      <c r="SC2481" s="60"/>
      <c r="SD2481" s="60"/>
      <c r="SE2481" s="60"/>
      <c r="SF2481" s="60"/>
      <c r="SG2481" s="60"/>
      <c r="SH2481" s="61"/>
      <c r="SI2481" s="54"/>
      <c r="SJ2481" s="54"/>
      <c r="SK2481" s="60"/>
      <c r="SL2481" s="60"/>
      <c r="SM2481" s="60"/>
      <c r="SN2481" s="60"/>
      <c r="SO2481" s="60"/>
      <c r="SP2481" s="61"/>
      <c r="SQ2481" s="54"/>
      <c r="SR2481" s="54"/>
      <c r="SS2481" s="60"/>
      <c r="ST2481" s="60"/>
      <c r="SU2481" s="60"/>
      <c r="SV2481" s="60"/>
      <c r="SW2481" s="60"/>
      <c r="SX2481" s="61"/>
      <c r="SY2481" s="54"/>
      <c r="SZ2481" s="54"/>
      <c r="TA2481" s="60"/>
      <c r="TB2481" s="60"/>
      <c r="TC2481" s="60"/>
      <c r="TD2481" s="60"/>
      <c r="TE2481" s="60"/>
      <c r="TF2481" s="61"/>
      <c r="TG2481" s="54"/>
      <c r="TH2481" s="54"/>
      <c r="TI2481" s="60"/>
      <c r="TJ2481" s="60"/>
      <c r="TK2481" s="60"/>
      <c r="TL2481" s="60"/>
      <c r="TM2481" s="60"/>
      <c r="TN2481" s="61"/>
      <c r="TO2481" s="54"/>
      <c r="TP2481" s="54"/>
      <c r="TQ2481" s="60"/>
      <c r="TR2481" s="60"/>
      <c r="TS2481" s="60"/>
      <c r="TT2481" s="60"/>
      <c r="TU2481" s="60"/>
      <c r="TV2481" s="61"/>
      <c r="TW2481" s="54"/>
      <c r="TX2481" s="54"/>
      <c r="TY2481" s="60"/>
      <c r="TZ2481" s="60"/>
      <c r="UA2481" s="60"/>
      <c r="UB2481" s="60"/>
      <c r="UC2481" s="60"/>
      <c r="UD2481" s="61"/>
      <c r="UE2481" s="54"/>
      <c r="UF2481" s="54"/>
      <c r="UG2481" s="60"/>
      <c r="UH2481" s="60"/>
      <c r="UI2481" s="60"/>
      <c r="UJ2481" s="60"/>
      <c r="UK2481" s="60"/>
      <c r="UL2481" s="61"/>
      <c r="UM2481" s="54"/>
      <c r="UN2481" s="54"/>
      <c r="UO2481" s="60"/>
      <c r="UP2481" s="60"/>
      <c r="UQ2481" s="60"/>
      <c r="UR2481" s="60"/>
      <c r="US2481" s="60"/>
      <c r="UT2481" s="61"/>
      <c r="UU2481" s="54"/>
      <c r="UV2481" s="54"/>
      <c r="UW2481" s="60"/>
      <c r="UX2481" s="60"/>
      <c r="UY2481" s="60"/>
      <c r="UZ2481" s="60"/>
      <c r="VA2481" s="60"/>
      <c r="VB2481" s="61"/>
      <c r="VC2481" s="54"/>
      <c r="VD2481" s="54"/>
      <c r="VE2481" s="60"/>
      <c r="VF2481" s="60"/>
      <c r="VG2481" s="60"/>
      <c r="VH2481" s="60"/>
      <c r="VI2481" s="60"/>
      <c r="VJ2481" s="61"/>
      <c r="VK2481" s="54"/>
      <c r="VL2481" s="54"/>
      <c r="VM2481" s="60"/>
      <c r="VN2481" s="60"/>
      <c r="VO2481" s="60"/>
      <c r="VP2481" s="60"/>
      <c r="VQ2481" s="60"/>
      <c r="VR2481" s="61"/>
      <c r="VS2481" s="54"/>
      <c r="VT2481" s="54"/>
      <c r="VU2481" s="60"/>
      <c r="VV2481" s="60"/>
      <c r="VW2481" s="60"/>
      <c r="VX2481" s="60"/>
      <c r="VY2481" s="60"/>
      <c r="VZ2481" s="61"/>
      <c r="WA2481" s="54"/>
      <c r="WB2481" s="54"/>
      <c r="WC2481" s="60"/>
      <c r="WD2481" s="60"/>
      <c r="WE2481" s="60"/>
      <c r="WF2481" s="60"/>
      <c r="WG2481" s="60"/>
      <c r="WH2481" s="61"/>
      <c r="WI2481" s="54"/>
      <c r="WJ2481" s="54"/>
      <c r="WK2481" s="60"/>
      <c r="WL2481" s="60"/>
      <c r="WM2481" s="60"/>
      <c r="WN2481" s="60"/>
      <c r="WO2481" s="60"/>
      <c r="WP2481" s="61"/>
      <c r="WQ2481" s="54"/>
      <c r="WR2481" s="54"/>
      <c r="WS2481" s="60"/>
      <c r="WT2481" s="60"/>
      <c r="WU2481" s="60"/>
      <c r="WV2481" s="60"/>
      <c r="WW2481" s="60"/>
      <c r="WX2481" s="61"/>
      <c r="WY2481" s="54"/>
      <c r="WZ2481" s="54"/>
      <c r="XA2481" s="60"/>
      <c r="XB2481" s="60"/>
      <c r="XC2481" s="60"/>
      <c r="XD2481" s="60"/>
      <c r="XE2481" s="60"/>
      <c r="XF2481" s="61"/>
      <c r="XG2481" s="54"/>
      <c r="XH2481" s="54"/>
      <c r="XI2481" s="60"/>
      <c r="XJ2481" s="60"/>
      <c r="XK2481" s="60"/>
      <c r="XL2481" s="60"/>
      <c r="XM2481" s="60"/>
      <c r="XN2481" s="61"/>
      <c r="XO2481" s="54"/>
      <c r="XP2481" s="54"/>
      <c r="XQ2481" s="60"/>
      <c r="XR2481" s="60"/>
      <c r="XS2481" s="60"/>
      <c r="XT2481" s="60"/>
      <c r="XU2481" s="60"/>
      <c r="XV2481" s="61"/>
      <c r="XW2481" s="54"/>
      <c r="XX2481" s="54"/>
      <c r="XY2481" s="60"/>
      <c r="XZ2481" s="60"/>
      <c r="YA2481" s="60"/>
      <c r="YB2481" s="60"/>
      <c r="YC2481" s="60"/>
      <c r="YD2481" s="61"/>
      <c r="YE2481" s="54"/>
      <c r="YF2481" s="54"/>
      <c r="YG2481" s="60"/>
      <c r="YH2481" s="60"/>
      <c r="YI2481" s="60"/>
      <c r="YJ2481" s="60"/>
      <c r="YK2481" s="60"/>
      <c r="YL2481" s="61"/>
      <c r="YM2481" s="54"/>
      <c r="YN2481" s="54"/>
      <c r="YO2481" s="60"/>
      <c r="YP2481" s="60"/>
      <c r="YQ2481" s="60"/>
      <c r="YR2481" s="60"/>
      <c r="YS2481" s="60"/>
      <c r="YT2481" s="61"/>
      <c r="YU2481" s="54"/>
      <c r="YV2481" s="54"/>
      <c r="YW2481" s="60"/>
      <c r="YX2481" s="60"/>
      <c r="YY2481" s="60"/>
      <c r="YZ2481" s="60"/>
      <c r="ZA2481" s="60"/>
      <c r="ZB2481" s="61"/>
      <c r="ZC2481" s="54"/>
      <c r="ZD2481" s="54"/>
      <c r="ZE2481" s="60"/>
      <c r="ZF2481" s="60"/>
      <c r="ZG2481" s="60"/>
      <c r="ZH2481" s="60"/>
      <c r="ZI2481" s="60"/>
      <c r="ZJ2481" s="61"/>
      <c r="ZK2481" s="54"/>
      <c r="ZL2481" s="54"/>
      <c r="ZM2481" s="60"/>
      <c r="ZN2481" s="60"/>
      <c r="ZO2481" s="60"/>
      <c r="ZP2481" s="60"/>
      <c r="ZQ2481" s="60"/>
      <c r="ZR2481" s="61"/>
      <c r="ZS2481" s="54"/>
      <c r="ZT2481" s="54"/>
      <c r="ZU2481" s="60"/>
      <c r="ZV2481" s="60"/>
      <c r="ZW2481" s="60"/>
      <c r="ZX2481" s="60"/>
      <c r="ZY2481" s="60"/>
      <c r="ZZ2481" s="61"/>
      <c r="AAA2481" s="54"/>
      <c r="AAB2481" s="54"/>
      <c r="AAC2481" s="60"/>
      <c r="AAD2481" s="60"/>
      <c r="AAE2481" s="60"/>
      <c r="AAF2481" s="60"/>
      <c r="AAG2481" s="60"/>
      <c r="AAH2481" s="61"/>
      <c r="AAI2481" s="54"/>
      <c r="AAJ2481" s="54"/>
      <c r="AAK2481" s="60"/>
      <c r="AAL2481" s="60"/>
      <c r="AAM2481" s="60"/>
      <c r="AAN2481" s="60"/>
      <c r="AAO2481" s="60"/>
      <c r="AAP2481" s="61"/>
      <c r="AAQ2481" s="54"/>
      <c r="AAR2481" s="54"/>
      <c r="AAS2481" s="60"/>
      <c r="AAT2481" s="60"/>
      <c r="AAU2481" s="60"/>
      <c r="AAV2481" s="60"/>
      <c r="AAW2481" s="60"/>
      <c r="AAX2481" s="61"/>
      <c r="AAY2481" s="54"/>
      <c r="AAZ2481" s="54"/>
      <c r="ABA2481" s="60"/>
      <c r="ABB2481" s="60"/>
      <c r="ABC2481" s="60"/>
      <c r="ABD2481" s="60"/>
      <c r="ABE2481" s="60"/>
      <c r="ABF2481" s="61"/>
      <c r="ABG2481" s="54"/>
      <c r="ABH2481" s="54"/>
      <c r="ABI2481" s="60"/>
      <c r="ABJ2481" s="60"/>
      <c r="ABK2481" s="60"/>
      <c r="ABL2481" s="60"/>
      <c r="ABM2481" s="60"/>
      <c r="ABN2481" s="61"/>
      <c r="ABO2481" s="54"/>
      <c r="ABP2481" s="54"/>
      <c r="ABQ2481" s="60"/>
      <c r="ABR2481" s="60"/>
      <c r="ABS2481" s="60"/>
      <c r="ABT2481" s="60"/>
      <c r="ABU2481" s="60"/>
      <c r="ABV2481" s="61"/>
      <c r="ABW2481" s="54"/>
      <c r="ABX2481" s="54"/>
      <c r="ABY2481" s="60"/>
      <c r="ABZ2481" s="60"/>
      <c r="ACA2481" s="60"/>
      <c r="ACB2481" s="60"/>
      <c r="ACC2481" s="60"/>
      <c r="ACD2481" s="61"/>
      <c r="ACE2481" s="54"/>
      <c r="ACF2481" s="54"/>
      <c r="ACG2481" s="60"/>
      <c r="ACH2481" s="60"/>
      <c r="ACI2481" s="60"/>
      <c r="ACJ2481" s="60"/>
      <c r="ACK2481" s="60"/>
      <c r="ACL2481" s="61"/>
      <c r="ACM2481" s="54"/>
      <c r="ACN2481" s="54"/>
      <c r="ACO2481" s="60"/>
      <c r="ACP2481" s="60"/>
      <c r="ACQ2481" s="60"/>
      <c r="ACR2481" s="60"/>
      <c r="ACS2481" s="60"/>
      <c r="ACT2481" s="61"/>
      <c r="ACU2481" s="54"/>
      <c r="ACV2481" s="54"/>
      <c r="ACW2481" s="60"/>
      <c r="ACX2481" s="60"/>
      <c r="ACY2481" s="60"/>
      <c r="ACZ2481" s="60"/>
      <c r="ADA2481" s="60"/>
      <c r="ADB2481" s="61"/>
      <c r="ADC2481" s="54"/>
      <c r="ADD2481" s="54"/>
      <c r="ADE2481" s="60"/>
      <c r="ADF2481" s="60"/>
      <c r="ADG2481" s="60"/>
      <c r="ADH2481" s="60"/>
      <c r="ADI2481" s="60"/>
      <c r="ADJ2481" s="61"/>
      <c r="ADK2481" s="54"/>
      <c r="ADL2481" s="54"/>
      <c r="ADM2481" s="60"/>
      <c r="ADN2481" s="60"/>
      <c r="ADO2481" s="60"/>
      <c r="ADP2481" s="60"/>
      <c r="ADQ2481" s="60"/>
      <c r="ADR2481" s="61"/>
      <c r="ADS2481" s="54"/>
      <c r="ADT2481" s="54"/>
      <c r="ADU2481" s="60"/>
      <c r="ADV2481" s="60"/>
      <c r="ADW2481" s="60"/>
      <c r="ADX2481" s="60"/>
      <c r="ADY2481" s="60"/>
      <c r="ADZ2481" s="61"/>
      <c r="AEA2481" s="54"/>
      <c r="AEB2481" s="54"/>
      <c r="AEC2481" s="60"/>
      <c r="AED2481" s="60"/>
      <c r="AEE2481" s="60"/>
      <c r="AEF2481" s="60"/>
      <c r="AEG2481" s="60"/>
      <c r="AEH2481" s="61"/>
      <c r="AEI2481" s="54"/>
      <c r="AEJ2481" s="54"/>
      <c r="AEK2481" s="60"/>
      <c r="AEL2481" s="60"/>
      <c r="AEM2481" s="60"/>
      <c r="AEN2481" s="60"/>
      <c r="AEO2481" s="60"/>
      <c r="AEP2481" s="61"/>
      <c r="AEQ2481" s="54"/>
      <c r="AER2481" s="54"/>
      <c r="AES2481" s="60"/>
      <c r="AET2481" s="60"/>
      <c r="AEU2481" s="60"/>
      <c r="AEV2481" s="60"/>
      <c r="AEW2481" s="60"/>
      <c r="AEX2481" s="61"/>
      <c r="AEY2481" s="54"/>
      <c r="AEZ2481" s="54"/>
      <c r="AFA2481" s="60"/>
      <c r="AFB2481" s="60"/>
      <c r="AFC2481" s="60"/>
      <c r="AFD2481" s="60"/>
      <c r="AFE2481" s="60"/>
      <c r="AFF2481" s="61"/>
      <c r="AFG2481" s="54"/>
      <c r="AFH2481" s="54"/>
      <c r="AFI2481" s="60"/>
      <c r="AFJ2481" s="60"/>
      <c r="AFK2481" s="60"/>
      <c r="AFL2481" s="60"/>
      <c r="AFM2481" s="60"/>
      <c r="AFN2481" s="61"/>
      <c r="AFO2481" s="54"/>
      <c r="AFP2481" s="54"/>
      <c r="AFQ2481" s="60"/>
      <c r="AFR2481" s="60"/>
      <c r="AFS2481" s="60"/>
      <c r="AFT2481" s="60"/>
      <c r="AFU2481" s="60"/>
      <c r="AFV2481" s="61"/>
      <c r="AFW2481" s="54"/>
      <c r="AFX2481" s="54"/>
      <c r="AFY2481" s="60"/>
      <c r="AFZ2481" s="60"/>
      <c r="AGA2481" s="60"/>
      <c r="AGB2481" s="60"/>
      <c r="AGC2481" s="60"/>
      <c r="AGD2481" s="61"/>
      <c r="AGE2481" s="54"/>
      <c r="AGF2481" s="54"/>
      <c r="AGG2481" s="60"/>
      <c r="AGH2481" s="60"/>
      <c r="AGI2481" s="60"/>
      <c r="AGJ2481" s="60"/>
      <c r="AGK2481" s="60"/>
      <c r="AGL2481" s="61"/>
      <c r="AGM2481" s="54"/>
      <c r="AGN2481" s="54"/>
      <c r="AGO2481" s="60"/>
      <c r="AGP2481" s="60"/>
      <c r="AGQ2481" s="60"/>
      <c r="AGR2481" s="60"/>
      <c r="AGS2481" s="60"/>
      <c r="AGT2481" s="61"/>
      <c r="AGU2481" s="54"/>
      <c r="AGV2481" s="54"/>
      <c r="AGW2481" s="60"/>
      <c r="AGX2481" s="60"/>
      <c r="AGY2481" s="60"/>
      <c r="AGZ2481" s="60"/>
      <c r="AHA2481" s="60"/>
      <c r="AHB2481" s="61"/>
      <c r="AHC2481" s="54"/>
      <c r="AHD2481" s="54"/>
      <c r="AHE2481" s="60"/>
      <c r="AHF2481" s="60"/>
      <c r="AHG2481" s="60"/>
      <c r="AHH2481" s="60"/>
      <c r="AHI2481" s="60"/>
      <c r="AHJ2481" s="61"/>
      <c r="AHK2481" s="54"/>
      <c r="AHL2481" s="54"/>
      <c r="AHM2481" s="60"/>
      <c r="AHN2481" s="60"/>
      <c r="AHO2481" s="60"/>
      <c r="AHP2481" s="60"/>
      <c r="AHQ2481" s="60"/>
      <c r="AHR2481" s="61"/>
      <c r="AHS2481" s="54"/>
      <c r="AHT2481" s="54"/>
      <c r="AHU2481" s="60"/>
      <c r="AHV2481" s="60"/>
      <c r="AHW2481" s="60"/>
      <c r="AHX2481" s="60"/>
      <c r="AHY2481" s="60"/>
      <c r="AHZ2481" s="61"/>
      <c r="AIA2481" s="54"/>
      <c r="AIB2481" s="54"/>
      <c r="AIC2481" s="60"/>
      <c r="AID2481" s="60"/>
      <c r="AIE2481" s="60"/>
      <c r="AIF2481" s="60"/>
      <c r="AIG2481" s="60"/>
      <c r="AIH2481" s="61"/>
      <c r="AII2481" s="54"/>
      <c r="AIJ2481" s="54"/>
      <c r="AIK2481" s="60"/>
      <c r="AIL2481" s="60"/>
      <c r="AIM2481" s="60"/>
      <c r="AIN2481" s="60"/>
      <c r="AIO2481" s="60"/>
      <c r="AIP2481" s="61"/>
      <c r="AIQ2481" s="54"/>
      <c r="AIR2481" s="54"/>
      <c r="AIS2481" s="60"/>
      <c r="AIT2481" s="60"/>
      <c r="AIU2481" s="60"/>
      <c r="AIV2481" s="60"/>
      <c r="AIW2481" s="60"/>
      <c r="AIX2481" s="61"/>
      <c r="AIY2481" s="54"/>
      <c r="AIZ2481" s="54"/>
      <c r="AJA2481" s="60"/>
      <c r="AJB2481" s="60"/>
      <c r="AJC2481" s="60"/>
      <c r="AJD2481" s="60"/>
      <c r="AJE2481" s="60"/>
      <c r="AJF2481" s="61"/>
      <c r="AJG2481" s="54"/>
      <c r="AJH2481" s="54"/>
      <c r="AJI2481" s="60"/>
      <c r="AJJ2481" s="60"/>
      <c r="AJK2481" s="60"/>
      <c r="AJL2481" s="60"/>
      <c r="AJM2481" s="60"/>
      <c r="AJN2481" s="61"/>
      <c r="AJO2481" s="54"/>
      <c r="AJP2481" s="54"/>
      <c r="AJQ2481" s="60"/>
      <c r="AJR2481" s="60"/>
      <c r="AJS2481" s="60"/>
      <c r="AJT2481" s="60"/>
      <c r="AJU2481" s="60"/>
      <c r="AJV2481" s="61"/>
      <c r="AJW2481" s="54"/>
      <c r="AJX2481" s="54"/>
      <c r="AJY2481" s="60"/>
      <c r="AJZ2481" s="60"/>
      <c r="AKA2481" s="60"/>
      <c r="AKB2481" s="60"/>
      <c r="AKC2481" s="60"/>
      <c r="AKD2481" s="61"/>
      <c r="AKE2481" s="54"/>
      <c r="AKF2481" s="54"/>
      <c r="AKG2481" s="60"/>
      <c r="AKH2481" s="60"/>
      <c r="AKI2481" s="60"/>
      <c r="AKJ2481" s="60"/>
      <c r="AKK2481" s="60"/>
      <c r="AKL2481" s="61"/>
      <c r="AKM2481" s="54"/>
      <c r="AKN2481" s="54"/>
      <c r="AKO2481" s="60"/>
      <c r="AKP2481" s="60"/>
      <c r="AKQ2481" s="60"/>
      <c r="AKR2481" s="60"/>
      <c r="AKS2481" s="60"/>
      <c r="AKT2481" s="61"/>
      <c r="AKU2481" s="54"/>
      <c r="AKV2481" s="54"/>
      <c r="AKW2481" s="60"/>
      <c r="AKX2481" s="60"/>
      <c r="AKY2481" s="60"/>
      <c r="AKZ2481" s="60"/>
      <c r="ALA2481" s="60"/>
      <c r="ALB2481" s="61"/>
      <c r="ALC2481" s="54"/>
      <c r="ALD2481" s="54"/>
      <c r="ALE2481" s="60"/>
      <c r="ALF2481" s="60"/>
      <c r="ALG2481" s="60"/>
      <c r="ALH2481" s="60"/>
      <c r="ALI2481" s="60"/>
      <c r="ALJ2481" s="61"/>
      <c r="ALK2481" s="54"/>
      <c r="ALL2481" s="54"/>
      <c r="ALM2481" s="60"/>
      <c r="ALN2481" s="60"/>
      <c r="ALO2481" s="60"/>
      <c r="ALP2481" s="60"/>
      <c r="ALQ2481" s="60"/>
      <c r="ALR2481" s="61"/>
      <c r="ALS2481" s="54"/>
      <c r="ALT2481" s="54"/>
      <c r="ALU2481" s="60"/>
      <c r="ALV2481" s="60"/>
      <c r="ALW2481" s="60"/>
      <c r="ALX2481" s="60"/>
      <c r="ALY2481" s="60"/>
      <c r="ALZ2481" s="61"/>
      <c r="AMA2481" s="54"/>
      <c r="AMB2481" s="54"/>
      <c r="AMC2481" s="60"/>
      <c r="AMD2481" s="60"/>
      <c r="AME2481" s="60"/>
      <c r="AMF2481" s="60"/>
      <c r="AMG2481" s="60"/>
      <c r="AMH2481" s="61"/>
      <c r="AMI2481" s="54"/>
      <c r="AMJ2481" s="54"/>
      <c r="AMK2481" s="60"/>
      <c r="AML2481" s="60"/>
      <c r="AMM2481" s="60"/>
      <c r="AMN2481" s="60"/>
      <c r="AMO2481" s="60"/>
      <c r="AMP2481" s="61"/>
      <c r="AMQ2481" s="54"/>
      <c r="AMR2481" s="54"/>
      <c r="AMS2481" s="60"/>
      <c r="AMT2481" s="60"/>
      <c r="AMU2481" s="60"/>
      <c r="AMV2481" s="60"/>
      <c r="AMW2481" s="60"/>
      <c r="AMX2481" s="61"/>
      <c r="AMY2481" s="54"/>
      <c r="AMZ2481" s="54"/>
      <c r="ANA2481" s="60"/>
      <c r="ANB2481" s="60"/>
      <c r="ANC2481" s="60"/>
      <c r="AND2481" s="60"/>
      <c r="ANE2481" s="60"/>
      <c r="ANF2481" s="61"/>
      <c r="ANG2481" s="54"/>
      <c r="ANH2481" s="54"/>
      <c r="ANI2481" s="60"/>
      <c r="ANJ2481" s="60"/>
      <c r="ANK2481" s="60"/>
      <c r="ANL2481" s="60"/>
      <c r="ANM2481" s="60"/>
      <c r="ANN2481" s="61"/>
      <c r="ANO2481" s="54"/>
      <c r="ANP2481" s="54"/>
      <c r="ANQ2481" s="60"/>
      <c r="ANR2481" s="60"/>
      <c r="ANS2481" s="60"/>
      <c r="ANT2481" s="60"/>
      <c r="ANU2481" s="60"/>
      <c r="ANV2481" s="61"/>
      <c r="ANW2481" s="54"/>
      <c r="ANX2481" s="54"/>
      <c r="ANY2481" s="60"/>
      <c r="ANZ2481" s="60"/>
      <c r="AOA2481" s="60"/>
      <c r="AOB2481" s="60"/>
      <c r="AOC2481" s="60"/>
      <c r="AOD2481" s="61"/>
      <c r="AOE2481" s="54"/>
      <c r="AOF2481" s="54"/>
      <c r="AOG2481" s="60"/>
      <c r="AOH2481" s="60"/>
      <c r="AOI2481" s="60"/>
      <c r="AOJ2481" s="60"/>
      <c r="AOK2481" s="60"/>
      <c r="AOL2481" s="61"/>
      <c r="AOM2481" s="54"/>
      <c r="AON2481" s="54"/>
      <c r="AOO2481" s="60"/>
      <c r="AOP2481" s="60"/>
      <c r="AOQ2481" s="60"/>
      <c r="AOR2481" s="60"/>
      <c r="AOS2481" s="60"/>
      <c r="AOT2481" s="61"/>
      <c r="AOU2481" s="54"/>
      <c r="AOV2481" s="54"/>
      <c r="AOW2481" s="60"/>
      <c r="AOX2481" s="60"/>
      <c r="AOY2481" s="60"/>
      <c r="AOZ2481" s="60"/>
      <c r="APA2481" s="60"/>
      <c r="APB2481" s="61"/>
      <c r="APC2481" s="54"/>
      <c r="APD2481" s="54"/>
      <c r="APE2481" s="60"/>
      <c r="APF2481" s="60"/>
      <c r="APG2481" s="60"/>
      <c r="APH2481" s="60"/>
      <c r="API2481" s="60"/>
      <c r="APJ2481" s="61"/>
      <c r="APK2481" s="54"/>
      <c r="APL2481" s="54"/>
      <c r="APM2481" s="60"/>
      <c r="APN2481" s="60"/>
      <c r="APO2481" s="60"/>
      <c r="APP2481" s="60"/>
      <c r="APQ2481" s="60"/>
      <c r="APR2481" s="61"/>
      <c r="APS2481" s="54"/>
      <c r="APT2481" s="54"/>
      <c r="APU2481" s="60"/>
      <c r="APV2481" s="60"/>
      <c r="APW2481" s="60"/>
      <c r="APX2481" s="60"/>
      <c r="APY2481" s="60"/>
      <c r="APZ2481" s="61"/>
      <c r="AQA2481" s="54"/>
      <c r="AQB2481" s="54"/>
      <c r="AQC2481" s="60"/>
      <c r="AQD2481" s="60"/>
      <c r="AQE2481" s="60"/>
      <c r="AQF2481" s="60"/>
      <c r="AQG2481" s="60"/>
      <c r="AQH2481" s="61"/>
      <c r="AQI2481" s="54"/>
      <c r="AQJ2481" s="54"/>
      <c r="AQK2481" s="60"/>
      <c r="AQL2481" s="60"/>
      <c r="AQM2481" s="60"/>
      <c r="AQN2481" s="60"/>
      <c r="AQO2481" s="60"/>
      <c r="AQP2481" s="61"/>
      <c r="AQQ2481" s="54"/>
      <c r="AQR2481" s="54"/>
      <c r="AQS2481" s="60"/>
      <c r="AQT2481" s="60"/>
      <c r="AQU2481" s="60"/>
      <c r="AQV2481" s="60"/>
      <c r="AQW2481" s="60"/>
      <c r="AQX2481" s="61"/>
      <c r="AQY2481" s="54"/>
      <c r="AQZ2481" s="54"/>
      <c r="ARA2481" s="60"/>
      <c r="ARB2481" s="60"/>
      <c r="ARC2481" s="60"/>
      <c r="ARD2481" s="60"/>
      <c r="ARE2481" s="60"/>
      <c r="ARF2481" s="61"/>
      <c r="ARG2481" s="54"/>
      <c r="ARH2481" s="54"/>
      <c r="ARI2481" s="60"/>
      <c r="ARJ2481" s="60"/>
      <c r="ARK2481" s="60"/>
      <c r="ARL2481" s="60"/>
      <c r="ARM2481" s="60"/>
      <c r="ARN2481" s="61"/>
      <c r="ARO2481" s="54"/>
      <c r="ARP2481" s="54"/>
      <c r="ARQ2481" s="60"/>
      <c r="ARR2481" s="60"/>
      <c r="ARS2481" s="60"/>
      <c r="ART2481" s="60"/>
      <c r="ARU2481" s="60"/>
      <c r="ARV2481" s="61"/>
      <c r="ARW2481" s="54"/>
      <c r="ARX2481" s="54"/>
      <c r="ARY2481" s="60"/>
      <c r="ARZ2481" s="60"/>
      <c r="ASA2481" s="60"/>
      <c r="ASB2481" s="60"/>
      <c r="ASC2481" s="60"/>
      <c r="ASD2481" s="61"/>
      <c r="ASE2481" s="54"/>
      <c r="ASF2481" s="54"/>
      <c r="ASG2481" s="60"/>
      <c r="ASH2481" s="60"/>
      <c r="ASI2481" s="60"/>
      <c r="ASJ2481" s="60"/>
      <c r="ASK2481" s="60"/>
      <c r="ASL2481" s="61"/>
      <c r="ASM2481" s="54"/>
      <c r="ASN2481" s="54"/>
      <c r="ASO2481" s="60"/>
      <c r="ASP2481" s="60"/>
      <c r="ASQ2481" s="60"/>
      <c r="ASR2481" s="60"/>
      <c r="ASS2481" s="60"/>
      <c r="AST2481" s="61"/>
      <c r="ASU2481" s="54"/>
      <c r="ASV2481" s="54"/>
      <c r="ASW2481" s="60"/>
      <c r="ASX2481" s="60"/>
      <c r="ASY2481" s="60"/>
      <c r="ASZ2481" s="60"/>
      <c r="ATA2481" s="60"/>
      <c r="ATB2481" s="61"/>
      <c r="ATC2481" s="54"/>
      <c r="ATD2481" s="54"/>
      <c r="ATE2481" s="60"/>
      <c r="ATF2481" s="60"/>
      <c r="ATG2481" s="60"/>
      <c r="ATH2481" s="60"/>
      <c r="ATI2481" s="60"/>
      <c r="ATJ2481" s="61"/>
      <c r="ATK2481" s="54"/>
      <c r="ATL2481" s="54"/>
      <c r="ATM2481" s="60"/>
      <c r="ATN2481" s="60"/>
      <c r="ATO2481" s="60"/>
      <c r="ATP2481" s="60"/>
      <c r="ATQ2481" s="60"/>
      <c r="ATR2481" s="61"/>
      <c r="ATS2481" s="54"/>
      <c r="ATT2481" s="54"/>
      <c r="ATU2481" s="60"/>
      <c r="ATV2481" s="60"/>
      <c r="ATW2481" s="60"/>
      <c r="ATX2481" s="60"/>
      <c r="ATY2481" s="60"/>
      <c r="ATZ2481" s="61"/>
      <c r="AUA2481" s="54"/>
      <c r="AUB2481" s="54"/>
      <c r="AUC2481" s="60"/>
      <c r="AUD2481" s="60"/>
      <c r="AUE2481" s="60"/>
      <c r="AUF2481" s="60"/>
      <c r="AUG2481" s="60"/>
      <c r="AUH2481" s="61"/>
      <c r="AUI2481" s="54"/>
      <c r="AUJ2481" s="54"/>
      <c r="AUK2481" s="60"/>
      <c r="AUL2481" s="60"/>
      <c r="AUM2481" s="60"/>
      <c r="AUN2481" s="60"/>
      <c r="AUO2481" s="60"/>
      <c r="AUP2481" s="61"/>
      <c r="AUQ2481" s="54"/>
      <c r="AUR2481" s="54"/>
      <c r="AUS2481" s="60"/>
      <c r="AUT2481" s="60"/>
      <c r="AUU2481" s="60"/>
      <c r="AUV2481" s="60"/>
      <c r="AUW2481" s="60"/>
      <c r="AUX2481" s="61"/>
      <c r="AUY2481" s="54"/>
      <c r="AUZ2481" s="54"/>
      <c r="AVA2481" s="60"/>
      <c r="AVB2481" s="60"/>
      <c r="AVC2481" s="60"/>
      <c r="AVD2481" s="60"/>
      <c r="AVE2481" s="60"/>
      <c r="AVF2481" s="61"/>
      <c r="AVG2481" s="54"/>
      <c r="AVH2481" s="54"/>
      <c r="AVI2481" s="60"/>
      <c r="AVJ2481" s="60"/>
      <c r="AVK2481" s="60"/>
      <c r="AVL2481" s="60"/>
      <c r="AVM2481" s="60"/>
      <c r="AVN2481" s="61"/>
      <c r="AVO2481" s="54"/>
      <c r="AVP2481" s="54"/>
      <c r="AVQ2481" s="60"/>
      <c r="AVR2481" s="60"/>
      <c r="AVS2481" s="60"/>
      <c r="AVT2481" s="60"/>
      <c r="AVU2481" s="60"/>
      <c r="AVV2481" s="61"/>
      <c r="AVW2481" s="54"/>
      <c r="AVX2481" s="54"/>
      <c r="AVY2481" s="60"/>
      <c r="AVZ2481" s="60"/>
      <c r="AWA2481" s="60"/>
      <c r="AWB2481" s="60"/>
      <c r="AWC2481" s="60"/>
      <c r="AWD2481" s="61"/>
      <c r="AWE2481" s="54"/>
      <c r="AWF2481" s="54"/>
      <c r="AWG2481" s="60"/>
      <c r="AWH2481" s="60"/>
      <c r="AWI2481" s="60"/>
      <c r="AWJ2481" s="60"/>
      <c r="AWK2481" s="60"/>
      <c r="AWL2481" s="61"/>
      <c r="AWM2481" s="54"/>
      <c r="AWN2481" s="54"/>
      <c r="AWO2481" s="60"/>
      <c r="AWP2481" s="60"/>
      <c r="AWQ2481" s="60"/>
      <c r="AWR2481" s="60"/>
      <c r="AWS2481" s="60"/>
      <c r="AWT2481" s="61"/>
      <c r="AWU2481" s="54"/>
      <c r="AWV2481" s="54"/>
      <c r="AWW2481" s="60"/>
      <c r="AWX2481" s="60"/>
      <c r="AWY2481" s="60"/>
      <c r="AWZ2481" s="60"/>
      <c r="AXA2481" s="60"/>
      <c r="AXB2481" s="61"/>
      <c r="AXC2481" s="54"/>
      <c r="AXD2481" s="54"/>
      <c r="AXE2481" s="60"/>
      <c r="AXF2481" s="60"/>
      <c r="AXG2481" s="60"/>
      <c r="AXH2481" s="60"/>
      <c r="AXI2481" s="60"/>
      <c r="AXJ2481" s="61"/>
      <c r="AXK2481" s="54"/>
      <c r="AXL2481" s="54"/>
      <c r="AXM2481" s="60"/>
      <c r="AXN2481" s="60"/>
      <c r="AXO2481" s="60"/>
      <c r="AXP2481" s="60"/>
      <c r="AXQ2481" s="60"/>
      <c r="AXR2481" s="61"/>
      <c r="AXS2481" s="54"/>
      <c r="AXT2481" s="54"/>
      <c r="AXU2481" s="60"/>
      <c r="AXV2481" s="60"/>
      <c r="AXW2481" s="60"/>
      <c r="AXX2481" s="60"/>
      <c r="AXY2481" s="60"/>
      <c r="AXZ2481" s="61"/>
      <c r="AYA2481" s="54"/>
      <c r="AYB2481" s="54"/>
      <c r="AYC2481" s="60"/>
      <c r="AYD2481" s="60"/>
      <c r="AYE2481" s="60"/>
      <c r="AYF2481" s="60"/>
      <c r="AYG2481" s="60"/>
      <c r="AYH2481" s="61"/>
      <c r="AYI2481" s="54"/>
      <c r="AYJ2481" s="54"/>
      <c r="AYK2481" s="60"/>
      <c r="AYL2481" s="60"/>
      <c r="AYM2481" s="60"/>
      <c r="AYN2481" s="60"/>
      <c r="AYO2481" s="60"/>
      <c r="AYP2481" s="61"/>
      <c r="AYQ2481" s="54"/>
      <c r="AYR2481" s="54"/>
      <c r="AYS2481" s="60"/>
      <c r="AYT2481" s="60"/>
      <c r="AYU2481" s="60"/>
      <c r="AYV2481" s="60"/>
      <c r="AYW2481" s="60"/>
      <c r="AYX2481" s="61"/>
      <c r="AYY2481" s="54"/>
      <c r="AYZ2481" s="54"/>
      <c r="AZA2481" s="60"/>
      <c r="AZB2481" s="60"/>
      <c r="AZC2481" s="60"/>
      <c r="AZD2481" s="60"/>
      <c r="AZE2481" s="60"/>
      <c r="AZF2481" s="61"/>
      <c r="AZG2481" s="54"/>
      <c r="AZH2481" s="54"/>
      <c r="AZI2481" s="60"/>
      <c r="AZJ2481" s="60"/>
      <c r="AZK2481" s="60"/>
      <c r="AZL2481" s="60"/>
      <c r="AZM2481" s="60"/>
      <c r="AZN2481" s="61"/>
      <c r="AZO2481" s="54"/>
      <c r="AZP2481" s="54"/>
      <c r="AZQ2481" s="60"/>
      <c r="AZR2481" s="60"/>
      <c r="AZS2481" s="60"/>
      <c r="AZT2481" s="60"/>
      <c r="AZU2481" s="60"/>
      <c r="AZV2481" s="61"/>
      <c r="AZW2481" s="54"/>
      <c r="AZX2481" s="54"/>
      <c r="AZY2481" s="60"/>
      <c r="AZZ2481" s="60"/>
      <c r="BAA2481" s="60"/>
      <c r="BAB2481" s="60"/>
      <c r="BAC2481" s="60"/>
      <c r="BAD2481" s="61"/>
      <c r="BAE2481" s="54"/>
      <c r="BAF2481" s="54"/>
      <c r="BAG2481" s="60"/>
      <c r="BAH2481" s="60"/>
      <c r="BAI2481" s="60"/>
      <c r="BAJ2481" s="60"/>
      <c r="BAK2481" s="60"/>
      <c r="BAL2481" s="61"/>
      <c r="BAM2481" s="54"/>
      <c r="BAN2481" s="54"/>
      <c r="BAO2481" s="60"/>
      <c r="BAP2481" s="60"/>
      <c r="BAQ2481" s="60"/>
      <c r="BAR2481" s="60"/>
      <c r="BAS2481" s="60"/>
      <c r="BAT2481" s="61"/>
      <c r="BAU2481" s="54"/>
      <c r="BAV2481" s="54"/>
      <c r="BAW2481" s="60"/>
      <c r="BAX2481" s="60"/>
      <c r="BAY2481" s="60"/>
      <c r="BAZ2481" s="60"/>
      <c r="BBA2481" s="60"/>
      <c r="BBB2481" s="61"/>
      <c r="BBC2481" s="54"/>
      <c r="BBD2481" s="54"/>
      <c r="BBE2481" s="60"/>
      <c r="BBF2481" s="60"/>
      <c r="BBG2481" s="60"/>
      <c r="BBH2481" s="60"/>
      <c r="BBI2481" s="60"/>
      <c r="BBJ2481" s="61"/>
      <c r="BBK2481" s="54"/>
      <c r="BBL2481" s="54"/>
      <c r="BBM2481" s="60"/>
      <c r="BBN2481" s="60"/>
      <c r="BBO2481" s="60"/>
      <c r="BBP2481" s="60"/>
      <c r="BBQ2481" s="60"/>
      <c r="BBR2481" s="61"/>
      <c r="BBS2481" s="54"/>
      <c r="BBT2481" s="54"/>
      <c r="BBU2481" s="60"/>
      <c r="BBV2481" s="60"/>
      <c r="BBW2481" s="60"/>
      <c r="BBX2481" s="60"/>
      <c r="BBY2481" s="60"/>
      <c r="BBZ2481" s="61"/>
      <c r="BCA2481" s="54"/>
      <c r="BCB2481" s="54"/>
      <c r="BCC2481" s="60"/>
      <c r="BCD2481" s="60"/>
      <c r="BCE2481" s="60"/>
      <c r="BCF2481" s="60"/>
      <c r="BCG2481" s="60"/>
      <c r="BCH2481" s="61"/>
      <c r="BCI2481" s="54"/>
      <c r="BCJ2481" s="54"/>
      <c r="BCK2481" s="60"/>
      <c r="BCL2481" s="60"/>
      <c r="BCM2481" s="60"/>
      <c r="BCN2481" s="60"/>
      <c r="BCO2481" s="60"/>
      <c r="BCP2481" s="61"/>
      <c r="BCQ2481" s="54"/>
      <c r="BCR2481" s="54"/>
      <c r="BCS2481" s="60"/>
      <c r="BCT2481" s="60"/>
      <c r="BCU2481" s="60"/>
      <c r="BCV2481" s="60"/>
      <c r="BCW2481" s="60"/>
      <c r="BCX2481" s="61"/>
      <c r="BCY2481" s="54"/>
      <c r="BCZ2481" s="54"/>
      <c r="BDA2481" s="60"/>
      <c r="BDB2481" s="60"/>
      <c r="BDC2481" s="60"/>
      <c r="BDD2481" s="60"/>
      <c r="BDE2481" s="60"/>
      <c r="BDF2481" s="61"/>
      <c r="BDG2481" s="54"/>
      <c r="BDH2481" s="54"/>
      <c r="BDI2481" s="60"/>
      <c r="BDJ2481" s="60"/>
      <c r="BDK2481" s="60"/>
      <c r="BDL2481" s="60"/>
      <c r="BDM2481" s="60"/>
      <c r="BDN2481" s="61"/>
      <c r="BDO2481" s="54"/>
      <c r="BDP2481" s="54"/>
      <c r="BDQ2481" s="60"/>
      <c r="BDR2481" s="60"/>
      <c r="BDS2481" s="60"/>
      <c r="BDT2481" s="60"/>
      <c r="BDU2481" s="60"/>
      <c r="BDV2481" s="61"/>
      <c r="BDW2481" s="54"/>
      <c r="BDX2481" s="54"/>
      <c r="BDY2481" s="60"/>
      <c r="BDZ2481" s="60"/>
      <c r="BEA2481" s="60"/>
      <c r="BEB2481" s="60"/>
      <c r="BEC2481" s="60"/>
      <c r="BED2481" s="61"/>
      <c r="BEE2481" s="54"/>
      <c r="BEF2481" s="54"/>
      <c r="BEG2481" s="60"/>
      <c r="BEH2481" s="60"/>
      <c r="BEI2481" s="60"/>
      <c r="BEJ2481" s="60"/>
      <c r="BEK2481" s="60"/>
      <c r="BEL2481" s="61"/>
      <c r="BEM2481" s="54"/>
      <c r="BEN2481" s="54"/>
      <c r="BEO2481" s="60"/>
      <c r="BEP2481" s="60"/>
      <c r="BEQ2481" s="60"/>
      <c r="BER2481" s="60"/>
      <c r="BES2481" s="60"/>
      <c r="BET2481" s="61"/>
      <c r="BEU2481" s="54"/>
      <c r="BEV2481" s="54"/>
      <c r="BEW2481" s="60"/>
      <c r="BEX2481" s="60"/>
      <c r="BEY2481" s="60"/>
      <c r="BEZ2481" s="60"/>
      <c r="BFA2481" s="60"/>
      <c r="BFB2481" s="61"/>
      <c r="BFC2481" s="54"/>
      <c r="BFD2481" s="54"/>
      <c r="BFE2481" s="60"/>
      <c r="BFF2481" s="60"/>
      <c r="BFG2481" s="60"/>
      <c r="BFH2481" s="60"/>
      <c r="BFI2481" s="60"/>
      <c r="BFJ2481" s="61"/>
      <c r="BFK2481" s="54"/>
      <c r="BFL2481" s="54"/>
      <c r="BFM2481" s="60"/>
      <c r="BFN2481" s="60"/>
      <c r="BFO2481" s="60"/>
      <c r="BFP2481" s="60"/>
      <c r="BFQ2481" s="60"/>
      <c r="BFR2481" s="61"/>
      <c r="BFS2481" s="54"/>
      <c r="BFT2481" s="54"/>
      <c r="BFU2481" s="60"/>
      <c r="BFV2481" s="60"/>
      <c r="BFW2481" s="60"/>
      <c r="BFX2481" s="60"/>
      <c r="BFY2481" s="60"/>
      <c r="BFZ2481" s="61"/>
      <c r="BGA2481" s="54"/>
      <c r="BGB2481" s="54"/>
      <c r="BGC2481" s="60"/>
      <c r="BGD2481" s="60"/>
      <c r="BGE2481" s="60"/>
      <c r="BGF2481" s="60"/>
      <c r="BGG2481" s="60"/>
      <c r="BGH2481" s="61"/>
      <c r="BGI2481" s="54"/>
      <c r="BGJ2481" s="54"/>
      <c r="BGK2481" s="60"/>
      <c r="BGL2481" s="60"/>
      <c r="BGM2481" s="60"/>
      <c r="BGN2481" s="60"/>
      <c r="BGO2481" s="60"/>
      <c r="BGP2481" s="61"/>
      <c r="BGQ2481" s="54"/>
      <c r="BGR2481" s="54"/>
      <c r="BGS2481" s="60"/>
      <c r="BGT2481" s="60"/>
      <c r="BGU2481" s="60"/>
      <c r="BGV2481" s="60"/>
      <c r="BGW2481" s="60"/>
      <c r="BGX2481" s="61"/>
      <c r="BGY2481" s="54"/>
      <c r="BGZ2481" s="54"/>
      <c r="BHA2481" s="60"/>
      <c r="BHB2481" s="60"/>
      <c r="BHC2481" s="60"/>
      <c r="BHD2481" s="60"/>
      <c r="BHE2481" s="60"/>
      <c r="BHF2481" s="61"/>
      <c r="BHG2481" s="54"/>
      <c r="BHH2481" s="54"/>
      <c r="BHI2481" s="60"/>
      <c r="BHJ2481" s="60"/>
      <c r="BHK2481" s="60"/>
      <c r="BHL2481" s="60"/>
      <c r="BHM2481" s="60"/>
      <c r="BHN2481" s="61"/>
      <c r="BHO2481" s="54"/>
      <c r="BHP2481" s="54"/>
      <c r="BHQ2481" s="60"/>
      <c r="BHR2481" s="60"/>
      <c r="BHS2481" s="60"/>
      <c r="BHT2481" s="60"/>
      <c r="BHU2481" s="60"/>
      <c r="BHV2481" s="61"/>
      <c r="BHW2481" s="54"/>
      <c r="BHX2481" s="54"/>
      <c r="BHY2481" s="60"/>
      <c r="BHZ2481" s="60"/>
      <c r="BIA2481" s="60"/>
      <c r="BIB2481" s="60"/>
      <c r="BIC2481" s="60"/>
      <c r="BID2481" s="61"/>
      <c r="BIE2481" s="54"/>
      <c r="BIF2481" s="54"/>
      <c r="BIG2481" s="60"/>
      <c r="BIH2481" s="60"/>
      <c r="BII2481" s="60"/>
      <c r="BIJ2481" s="60"/>
      <c r="BIK2481" s="60"/>
      <c r="BIL2481" s="61"/>
      <c r="BIM2481" s="54"/>
      <c r="BIN2481" s="54"/>
      <c r="BIO2481" s="60"/>
      <c r="BIP2481" s="60"/>
      <c r="BIQ2481" s="60"/>
      <c r="BIR2481" s="60"/>
      <c r="BIS2481" s="60"/>
      <c r="BIT2481" s="61"/>
      <c r="BIU2481" s="54"/>
      <c r="BIV2481" s="54"/>
      <c r="BIW2481" s="60"/>
      <c r="BIX2481" s="60"/>
      <c r="BIY2481" s="60"/>
      <c r="BIZ2481" s="60"/>
      <c r="BJA2481" s="60"/>
      <c r="BJB2481" s="61"/>
      <c r="BJC2481" s="54"/>
      <c r="BJD2481" s="54"/>
      <c r="BJE2481" s="60"/>
      <c r="BJF2481" s="60"/>
      <c r="BJG2481" s="60"/>
      <c r="BJH2481" s="60"/>
      <c r="BJI2481" s="60"/>
      <c r="BJJ2481" s="61"/>
      <c r="BJK2481" s="54"/>
      <c r="BJL2481" s="54"/>
      <c r="BJM2481" s="60"/>
      <c r="BJN2481" s="60"/>
      <c r="BJO2481" s="60"/>
      <c r="BJP2481" s="60"/>
      <c r="BJQ2481" s="60"/>
      <c r="BJR2481" s="61"/>
      <c r="BJS2481" s="54"/>
      <c r="BJT2481" s="54"/>
      <c r="BJU2481" s="60"/>
      <c r="BJV2481" s="60"/>
      <c r="BJW2481" s="60"/>
      <c r="BJX2481" s="60"/>
      <c r="BJY2481" s="60"/>
      <c r="BJZ2481" s="61"/>
      <c r="BKA2481" s="54"/>
      <c r="BKB2481" s="54"/>
      <c r="BKC2481" s="60"/>
      <c r="BKD2481" s="60"/>
      <c r="BKE2481" s="60"/>
      <c r="BKF2481" s="60"/>
      <c r="BKG2481" s="60"/>
      <c r="BKH2481" s="61"/>
      <c r="BKI2481" s="54"/>
      <c r="BKJ2481" s="54"/>
      <c r="BKK2481" s="60"/>
      <c r="BKL2481" s="60"/>
      <c r="BKM2481" s="60"/>
      <c r="BKN2481" s="60"/>
      <c r="BKO2481" s="60"/>
      <c r="BKP2481" s="61"/>
      <c r="BKQ2481" s="54"/>
      <c r="BKR2481" s="54"/>
      <c r="BKS2481" s="60"/>
      <c r="BKT2481" s="60"/>
      <c r="BKU2481" s="60"/>
      <c r="BKV2481" s="60"/>
      <c r="BKW2481" s="60"/>
      <c r="BKX2481" s="61"/>
      <c r="BKY2481" s="54"/>
      <c r="BKZ2481" s="54"/>
      <c r="BLA2481" s="60"/>
      <c r="BLB2481" s="60"/>
      <c r="BLC2481" s="60"/>
      <c r="BLD2481" s="60"/>
      <c r="BLE2481" s="60"/>
      <c r="BLF2481" s="61"/>
      <c r="BLG2481" s="54"/>
      <c r="BLH2481" s="54"/>
      <c r="BLI2481" s="60"/>
      <c r="BLJ2481" s="60"/>
      <c r="BLK2481" s="60"/>
      <c r="BLL2481" s="60"/>
      <c r="BLM2481" s="60"/>
      <c r="BLN2481" s="61"/>
      <c r="BLO2481" s="54"/>
      <c r="BLP2481" s="54"/>
      <c r="BLQ2481" s="60"/>
      <c r="BLR2481" s="60"/>
      <c r="BLS2481" s="60"/>
      <c r="BLT2481" s="60"/>
      <c r="BLU2481" s="60"/>
      <c r="BLV2481" s="61"/>
      <c r="BLW2481" s="54"/>
      <c r="BLX2481" s="54"/>
      <c r="BLY2481" s="60"/>
      <c r="BLZ2481" s="60"/>
      <c r="BMA2481" s="60"/>
      <c r="BMB2481" s="60"/>
      <c r="BMC2481" s="60"/>
      <c r="BMD2481" s="61"/>
      <c r="BME2481" s="54"/>
      <c r="BMF2481" s="54"/>
      <c r="BMG2481" s="60"/>
      <c r="BMH2481" s="60"/>
      <c r="BMI2481" s="60"/>
      <c r="BMJ2481" s="60"/>
      <c r="BMK2481" s="60"/>
      <c r="BML2481" s="61"/>
      <c r="BMM2481" s="54"/>
      <c r="BMN2481" s="54"/>
      <c r="BMO2481" s="60"/>
      <c r="BMP2481" s="60"/>
      <c r="BMQ2481" s="60"/>
      <c r="BMR2481" s="60"/>
      <c r="BMS2481" s="60"/>
      <c r="BMT2481" s="61"/>
      <c r="BMU2481" s="54"/>
      <c r="BMV2481" s="54"/>
      <c r="BMW2481" s="60"/>
      <c r="BMX2481" s="60"/>
      <c r="BMY2481" s="60"/>
      <c r="BMZ2481" s="60"/>
      <c r="BNA2481" s="60"/>
      <c r="BNB2481" s="61"/>
      <c r="BNC2481" s="54"/>
      <c r="BND2481" s="54"/>
      <c r="BNE2481" s="60"/>
      <c r="BNF2481" s="60"/>
      <c r="BNG2481" s="60"/>
      <c r="BNH2481" s="60"/>
      <c r="BNI2481" s="60"/>
      <c r="BNJ2481" s="61"/>
      <c r="BNK2481" s="54"/>
      <c r="BNL2481" s="54"/>
      <c r="BNM2481" s="60"/>
      <c r="BNN2481" s="60"/>
      <c r="BNO2481" s="60"/>
      <c r="BNP2481" s="60"/>
      <c r="BNQ2481" s="60"/>
      <c r="BNR2481" s="61"/>
      <c r="BNS2481" s="54"/>
      <c r="BNT2481" s="54"/>
      <c r="BNU2481" s="60"/>
      <c r="BNV2481" s="60"/>
      <c r="BNW2481" s="60"/>
      <c r="BNX2481" s="60"/>
      <c r="BNY2481" s="60"/>
      <c r="BNZ2481" s="61"/>
      <c r="BOA2481" s="54"/>
      <c r="BOB2481" s="54"/>
      <c r="BOC2481" s="60"/>
      <c r="BOD2481" s="60"/>
      <c r="BOE2481" s="60"/>
      <c r="BOF2481" s="60"/>
      <c r="BOG2481" s="60"/>
      <c r="BOH2481" s="61"/>
      <c r="BOI2481" s="54"/>
      <c r="BOJ2481" s="54"/>
      <c r="BOK2481" s="60"/>
      <c r="BOL2481" s="60"/>
      <c r="BOM2481" s="60"/>
      <c r="BON2481" s="60"/>
      <c r="BOO2481" s="60"/>
      <c r="BOP2481" s="61"/>
      <c r="BOQ2481" s="54"/>
      <c r="BOR2481" s="54"/>
      <c r="BOS2481" s="60"/>
      <c r="BOT2481" s="60"/>
      <c r="BOU2481" s="60"/>
      <c r="BOV2481" s="60"/>
      <c r="BOW2481" s="60"/>
      <c r="BOX2481" s="61"/>
      <c r="BOY2481" s="54"/>
      <c r="BOZ2481" s="54"/>
      <c r="BPA2481" s="60"/>
      <c r="BPB2481" s="60"/>
      <c r="BPC2481" s="60"/>
      <c r="BPD2481" s="60"/>
      <c r="BPE2481" s="60"/>
      <c r="BPF2481" s="61"/>
      <c r="BPG2481" s="54"/>
      <c r="BPH2481" s="54"/>
      <c r="BPI2481" s="60"/>
      <c r="BPJ2481" s="60"/>
      <c r="BPK2481" s="60"/>
      <c r="BPL2481" s="60"/>
      <c r="BPM2481" s="60"/>
      <c r="BPN2481" s="61"/>
      <c r="BPO2481" s="54"/>
      <c r="BPP2481" s="54"/>
      <c r="BPQ2481" s="60"/>
      <c r="BPR2481" s="60"/>
      <c r="BPS2481" s="60"/>
      <c r="BPT2481" s="60"/>
      <c r="BPU2481" s="60"/>
      <c r="BPV2481" s="61"/>
      <c r="BPW2481" s="54"/>
      <c r="BPX2481" s="54"/>
      <c r="BPY2481" s="60"/>
      <c r="BPZ2481" s="60"/>
      <c r="BQA2481" s="60"/>
      <c r="BQB2481" s="60"/>
      <c r="BQC2481" s="60"/>
      <c r="BQD2481" s="61"/>
      <c r="BQE2481" s="54"/>
      <c r="BQF2481" s="54"/>
      <c r="BQG2481" s="60"/>
      <c r="BQH2481" s="60"/>
      <c r="BQI2481" s="60"/>
      <c r="BQJ2481" s="60"/>
      <c r="BQK2481" s="60"/>
      <c r="BQL2481" s="61"/>
      <c r="BQM2481" s="54"/>
      <c r="BQN2481" s="54"/>
      <c r="BQO2481" s="60"/>
      <c r="BQP2481" s="60"/>
      <c r="BQQ2481" s="60"/>
      <c r="BQR2481" s="60"/>
      <c r="BQS2481" s="60"/>
      <c r="BQT2481" s="61"/>
      <c r="BQU2481" s="54"/>
      <c r="BQV2481" s="54"/>
      <c r="BQW2481" s="60"/>
      <c r="BQX2481" s="60"/>
      <c r="BQY2481" s="60"/>
      <c r="BQZ2481" s="60"/>
      <c r="BRA2481" s="60"/>
      <c r="BRB2481" s="61"/>
      <c r="BRC2481" s="54"/>
      <c r="BRD2481" s="54"/>
      <c r="BRE2481" s="60"/>
      <c r="BRF2481" s="60"/>
      <c r="BRG2481" s="60"/>
      <c r="BRH2481" s="60"/>
      <c r="BRI2481" s="60"/>
      <c r="BRJ2481" s="61"/>
      <c r="BRK2481" s="54"/>
      <c r="BRL2481" s="54"/>
      <c r="BRM2481" s="60"/>
      <c r="BRN2481" s="60"/>
      <c r="BRO2481" s="60"/>
      <c r="BRP2481" s="60"/>
      <c r="BRQ2481" s="60"/>
      <c r="BRR2481" s="61"/>
      <c r="BRS2481" s="54"/>
      <c r="BRT2481" s="54"/>
      <c r="BRU2481" s="60"/>
      <c r="BRV2481" s="60"/>
      <c r="BRW2481" s="60"/>
      <c r="BRX2481" s="60"/>
      <c r="BRY2481" s="60"/>
      <c r="BRZ2481" s="61"/>
      <c r="BSA2481" s="54"/>
      <c r="BSB2481" s="54"/>
      <c r="BSC2481" s="60"/>
      <c r="BSD2481" s="60"/>
      <c r="BSE2481" s="60"/>
      <c r="BSF2481" s="60"/>
      <c r="BSG2481" s="60"/>
      <c r="BSH2481" s="61"/>
      <c r="BSI2481" s="54"/>
      <c r="BSJ2481" s="54"/>
      <c r="BSK2481" s="60"/>
      <c r="BSL2481" s="60"/>
      <c r="BSM2481" s="60"/>
      <c r="BSN2481" s="60"/>
      <c r="BSO2481" s="60"/>
      <c r="BSP2481" s="61"/>
      <c r="BSQ2481" s="54"/>
      <c r="BSR2481" s="54"/>
      <c r="BSS2481" s="60"/>
      <c r="BST2481" s="60"/>
      <c r="BSU2481" s="60"/>
      <c r="BSV2481" s="60"/>
      <c r="BSW2481" s="60"/>
      <c r="BSX2481" s="61"/>
      <c r="BSY2481" s="54"/>
      <c r="BSZ2481" s="54"/>
      <c r="BTA2481" s="60"/>
      <c r="BTB2481" s="60"/>
      <c r="BTC2481" s="60"/>
      <c r="BTD2481" s="60"/>
      <c r="BTE2481" s="60"/>
      <c r="BTF2481" s="61"/>
      <c r="BTG2481" s="54"/>
      <c r="BTH2481" s="54"/>
      <c r="BTI2481" s="60"/>
      <c r="BTJ2481" s="60"/>
      <c r="BTK2481" s="60"/>
      <c r="BTL2481" s="60"/>
      <c r="BTM2481" s="60"/>
      <c r="BTN2481" s="61"/>
      <c r="BTO2481" s="54"/>
      <c r="BTP2481" s="54"/>
      <c r="BTQ2481" s="60"/>
      <c r="BTR2481" s="60"/>
      <c r="BTS2481" s="60"/>
      <c r="BTT2481" s="60"/>
      <c r="BTU2481" s="60"/>
      <c r="BTV2481" s="61"/>
      <c r="BTW2481" s="54"/>
      <c r="BTX2481" s="54"/>
      <c r="BTY2481" s="60"/>
      <c r="BTZ2481" s="60"/>
      <c r="BUA2481" s="60"/>
      <c r="BUB2481" s="60"/>
      <c r="BUC2481" s="60"/>
      <c r="BUD2481" s="61"/>
      <c r="BUE2481" s="54"/>
      <c r="BUF2481" s="54"/>
      <c r="BUG2481" s="60"/>
      <c r="BUH2481" s="60"/>
      <c r="BUI2481" s="60"/>
      <c r="BUJ2481" s="60"/>
      <c r="BUK2481" s="60"/>
      <c r="BUL2481" s="61"/>
      <c r="BUM2481" s="54"/>
      <c r="BUN2481" s="54"/>
      <c r="BUO2481" s="60"/>
      <c r="BUP2481" s="60"/>
      <c r="BUQ2481" s="60"/>
      <c r="BUR2481" s="60"/>
      <c r="BUS2481" s="60"/>
      <c r="BUT2481" s="61"/>
      <c r="BUU2481" s="54"/>
      <c r="BUV2481" s="54"/>
      <c r="BUW2481" s="60"/>
      <c r="BUX2481" s="60"/>
      <c r="BUY2481" s="60"/>
      <c r="BUZ2481" s="60"/>
      <c r="BVA2481" s="60"/>
      <c r="BVB2481" s="61"/>
      <c r="BVC2481" s="54"/>
      <c r="BVD2481" s="54"/>
      <c r="BVE2481" s="60"/>
      <c r="BVF2481" s="60"/>
      <c r="BVG2481" s="60"/>
      <c r="BVH2481" s="60"/>
      <c r="BVI2481" s="60"/>
      <c r="BVJ2481" s="61"/>
      <c r="BVK2481" s="54"/>
      <c r="BVL2481" s="54"/>
      <c r="BVM2481" s="60"/>
      <c r="BVN2481" s="60"/>
      <c r="BVO2481" s="60"/>
      <c r="BVP2481" s="60"/>
      <c r="BVQ2481" s="60"/>
      <c r="BVR2481" s="61"/>
      <c r="BVS2481" s="54"/>
      <c r="BVT2481" s="54"/>
      <c r="BVU2481" s="60"/>
      <c r="BVV2481" s="60"/>
      <c r="BVW2481" s="60"/>
      <c r="BVX2481" s="60"/>
      <c r="BVY2481" s="60"/>
      <c r="BVZ2481" s="61"/>
      <c r="BWA2481" s="54"/>
      <c r="BWB2481" s="54"/>
      <c r="BWC2481" s="60"/>
      <c r="BWD2481" s="60"/>
      <c r="BWE2481" s="60"/>
      <c r="BWF2481" s="60"/>
      <c r="BWG2481" s="60"/>
      <c r="BWH2481" s="61"/>
      <c r="BWI2481" s="54"/>
      <c r="BWJ2481" s="54"/>
      <c r="BWK2481" s="60"/>
      <c r="BWL2481" s="60"/>
      <c r="BWM2481" s="60"/>
      <c r="BWN2481" s="60"/>
      <c r="BWO2481" s="60"/>
      <c r="BWP2481" s="61"/>
      <c r="BWQ2481" s="54"/>
      <c r="BWR2481" s="54"/>
      <c r="BWS2481" s="60"/>
      <c r="BWT2481" s="60"/>
      <c r="BWU2481" s="60"/>
      <c r="BWV2481" s="60"/>
      <c r="BWW2481" s="60"/>
      <c r="BWX2481" s="61"/>
      <c r="BWY2481" s="54"/>
      <c r="BWZ2481" s="54"/>
      <c r="BXA2481" s="60"/>
      <c r="BXB2481" s="60"/>
      <c r="BXC2481" s="60"/>
      <c r="BXD2481" s="60"/>
      <c r="BXE2481" s="60"/>
      <c r="BXF2481" s="61"/>
      <c r="BXG2481" s="54"/>
      <c r="BXH2481" s="54"/>
      <c r="BXI2481" s="60"/>
      <c r="BXJ2481" s="60"/>
      <c r="BXK2481" s="60"/>
      <c r="BXL2481" s="60"/>
      <c r="BXM2481" s="60"/>
      <c r="BXN2481" s="61"/>
      <c r="BXO2481" s="54"/>
      <c r="BXP2481" s="54"/>
      <c r="BXQ2481" s="60"/>
      <c r="BXR2481" s="60"/>
      <c r="BXS2481" s="60"/>
      <c r="BXT2481" s="60"/>
      <c r="BXU2481" s="60"/>
      <c r="BXV2481" s="61"/>
      <c r="BXW2481" s="54"/>
      <c r="BXX2481" s="54"/>
      <c r="BXY2481" s="60"/>
      <c r="BXZ2481" s="60"/>
      <c r="BYA2481" s="60"/>
      <c r="BYB2481" s="60"/>
      <c r="BYC2481" s="60"/>
      <c r="BYD2481" s="61"/>
      <c r="BYE2481" s="54"/>
      <c r="BYF2481" s="54"/>
      <c r="BYG2481" s="60"/>
      <c r="BYH2481" s="60"/>
      <c r="BYI2481" s="60"/>
      <c r="BYJ2481" s="60"/>
      <c r="BYK2481" s="60"/>
      <c r="BYL2481" s="61"/>
      <c r="BYM2481" s="54"/>
      <c r="BYN2481" s="54"/>
      <c r="BYO2481" s="60"/>
      <c r="BYP2481" s="60"/>
      <c r="BYQ2481" s="60"/>
      <c r="BYR2481" s="60"/>
      <c r="BYS2481" s="60"/>
      <c r="BYT2481" s="61"/>
      <c r="BYU2481" s="54"/>
      <c r="BYV2481" s="54"/>
      <c r="BYW2481" s="60"/>
      <c r="BYX2481" s="60"/>
      <c r="BYY2481" s="60"/>
      <c r="BYZ2481" s="60"/>
      <c r="BZA2481" s="60"/>
      <c r="BZB2481" s="61"/>
      <c r="BZC2481" s="54"/>
      <c r="BZD2481" s="54"/>
      <c r="BZE2481" s="60"/>
      <c r="BZF2481" s="60"/>
      <c r="BZG2481" s="60"/>
      <c r="BZH2481" s="60"/>
      <c r="BZI2481" s="60"/>
      <c r="BZJ2481" s="61"/>
      <c r="BZK2481" s="54"/>
      <c r="BZL2481" s="54"/>
      <c r="BZM2481" s="60"/>
      <c r="BZN2481" s="60"/>
      <c r="BZO2481" s="60"/>
      <c r="BZP2481" s="60"/>
      <c r="BZQ2481" s="60"/>
      <c r="BZR2481" s="61"/>
      <c r="BZS2481" s="54"/>
      <c r="BZT2481" s="54"/>
      <c r="BZU2481" s="60"/>
      <c r="BZV2481" s="60"/>
      <c r="BZW2481" s="60"/>
      <c r="BZX2481" s="60"/>
      <c r="BZY2481" s="60"/>
      <c r="BZZ2481" s="61"/>
      <c r="CAA2481" s="54"/>
      <c r="CAB2481" s="54"/>
      <c r="CAC2481" s="60"/>
      <c r="CAD2481" s="60"/>
      <c r="CAE2481" s="60"/>
      <c r="CAF2481" s="60"/>
      <c r="CAG2481" s="60"/>
      <c r="CAH2481" s="61"/>
      <c r="CAI2481" s="54"/>
      <c r="CAJ2481" s="54"/>
      <c r="CAK2481" s="60"/>
      <c r="CAL2481" s="60"/>
      <c r="CAM2481" s="60"/>
      <c r="CAN2481" s="60"/>
      <c r="CAO2481" s="60"/>
      <c r="CAP2481" s="61"/>
      <c r="CAQ2481" s="54"/>
      <c r="CAR2481" s="54"/>
      <c r="CAS2481" s="60"/>
      <c r="CAT2481" s="60"/>
      <c r="CAU2481" s="60"/>
      <c r="CAV2481" s="60"/>
      <c r="CAW2481" s="60"/>
      <c r="CAX2481" s="61"/>
      <c r="CAY2481" s="54"/>
      <c r="CAZ2481" s="54"/>
      <c r="CBA2481" s="60"/>
      <c r="CBB2481" s="60"/>
      <c r="CBC2481" s="60"/>
      <c r="CBD2481" s="60"/>
      <c r="CBE2481" s="60"/>
      <c r="CBF2481" s="61"/>
      <c r="CBG2481" s="54"/>
      <c r="CBH2481" s="54"/>
      <c r="CBI2481" s="60"/>
      <c r="CBJ2481" s="60"/>
      <c r="CBK2481" s="60"/>
      <c r="CBL2481" s="60"/>
      <c r="CBM2481" s="60"/>
      <c r="CBN2481" s="61"/>
      <c r="CBO2481" s="54"/>
      <c r="CBP2481" s="54"/>
      <c r="CBQ2481" s="60"/>
      <c r="CBR2481" s="60"/>
      <c r="CBS2481" s="60"/>
      <c r="CBT2481" s="60"/>
      <c r="CBU2481" s="60"/>
      <c r="CBV2481" s="61"/>
      <c r="CBW2481" s="54"/>
      <c r="CBX2481" s="54"/>
      <c r="CBY2481" s="60"/>
      <c r="CBZ2481" s="60"/>
      <c r="CCA2481" s="60"/>
      <c r="CCB2481" s="60"/>
      <c r="CCC2481" s="60"/>
      <c r="CCD2481" s="61"/>
      <c r="CCE2481" s="54"/>
      <c r="CCF2481" s="54"/>
      <c r="CCG2481" s="60"/>
      <c r="CCH2481" s="60"/>
      <c r="CCI2481" s="60"/>
      <c r="CCJ2481" s="60"/>
      <c r="CCK2481" s="60"/>
      <c r="CCL2481" s="61"/>
      <c r="CCM2481" s="54"/>
      <c r="CCN2481" s="54"/>
      <c r="CCO2481" s="60"/>
      <c r="CCP2481" s="60"/>
      <c r="CCQ2481" s="60"/>
      <c r="CCR2481" s="60"/>
      <c r="CCS2481" s="60"/>
      <c r="CCT2481" s="61"/>
      <c r="CCU2481" s="54"/>
      <c r="CCV2481" s="54"/>
      <c r="CCW2481" s="60"/>
      <c r="CCX2481" s="60"/>
      <c r="CCY2481" s="60"/>
      <c r="CCZ2481" s="60"/>
      <c r="CDA2481" s="60"/>
      <c r="CDB2481" s="61"/>
      <c r="CDC2481" s="54"/>
      <c r="CDD2481" s="54"/>
      <c r="CDE2481" s="60"/>
      <c r="CDF2481" s="60"/>
      <c r="CDG2481" s="60"/>
      <c r="CDH2481" s="60"/>
      <c r="CDI2481" s="60"/>
      <c r="CDJ2481" s="61"/>
      <c r="CDK2481" s="54"/>
      <c r="CDL2481" s="54"/>
      <c r="CDM2481" s="60"/>
      <c r="CDN2481" s="60"/>
      <c r="CDO2481" s="60"/>
      <c r="CDP2481" s="60"/>
      <c r="CDQ2481" s="60"/>
      <c r="CDR2481" s="61"/>
      <c r="CDS2481" s="54"/>
      <c r="CDT2481" s="54"/>
      <c r="CDU2481" s="60"/>
      <c r="CDV2481" s="60"/>
      <c r="CDW2481" s="60"/>
      <c r="CDX2481" s="60"/>
      <c r="CDY2481" s="60"/>
      <c r="CDZ2481" s="61"/>
      <c r="CEA2481" s="54"/>
      <c r="CEB2481" s="54"/>
      <c r="CEC2481" s="60"/>
      <c r="CED2481" s="60"/>
      <c r="CEE2481" s="60"/>
      <c r="CEF2481" s="60"/>
      <c r="CEG2481" s="60"/>
      <c r="CEH2481" s="61"/>
      <c r="CEI2481" s="54"/>
      <c r="CEJ2481" s="54"/>
      <c r="CEK2481" s="60"/>
      <c r="CEL2481" s="60"/>
      <c r="CEM2481" s="60"/>
      <c r="CEN2481" s="60"/>
      <c r="CEO2481" s="60"/>
      <c r="CEP2481" s="61"/>
      <c r="CEQ2481" s="54"/>
      <c r="CER2481" s="54"/>
      <c r="CES2481" s="60"/>
      <c r="CET2481" s="60"/>
      <c r="CEU2481" s="60"/>
      <c r="CEV2481" s="60"/>
      <c r="CEW2481" s="60"/>
      <c r="CEX2481" s="61"/>
      <c r="CEY2481" s="54"/>
      <c r="CEZ2481" s="54"/>
      <c r="CFA2481" s="60"/>
      <c r="CFB2481" s="60"/>
      <c r="CFC2481" s="60"/>
      <c r="CFD2481" s="60"/>
      <c r="CFE2481" s="60"/>
      <c r="CFF2481" s="61"/>
      <c r="CFG2481" s="54"/>
      <c r="CFH2481" s="54"/>
      <c r="CFI2481" s="60"/>
      <c r="CFJ2481" s="60"/>
      <c r="CFK2481" s="60"/>
      <c r="CFL2481" s="60"/>
      <c r="CFM2481" s="60"/>
      <c r="CFN2481" s="61"/>
      <c r="CFO2481" s="54"/>
      <c r="CFP2481" s="54"/>
      <c r="CFQ2481" s="60"/>
      <c r="CFR2481" s="60"/>
      <c r="CFS2481" s="60"/>
      <c r="CFT2481" s="60"/>
      <c r="CFU2481" s="60"/>
      <c r="CFV2481" s="61"/>
      <c r="CFW2481" s="54"/>
      <c r="CFX2481" s="54"/>
      <c r="CFY2481" s="60"/>
      <c r="CFZ2481" s="60"/>
      <c r="CGA2481" s="60"/>
      <c r="CGB2481" s="60"/>
      <c r="CGC2481" s="60"/>
      <c r="CGD2481" s="61"/>
      <c r="CGE2481" s="54"/>
      <c r="CGF2481" s="54"/>
      <c r="CGG2481" s="60"/>
      <c r="CGH2481" s="60"/>
      <c r="CGI2481" s="60"/>
      <c r="CGJ2481" s="60"/>
      <c r="CGK2481" s="60"/>
      <c r="CGL2481" s="61"/>
      <c r="CGM2481" s="54"/>
      <c r="CGN2481" s="54"/>
      <c r="CGO2481" s="60"/>
      <c r="CGP2481" s="60"/>
      <c r="CGQ2481" s="60"/>
      <c r="CGR2481" s="60"/>
      <c r="CGS2481" s="60"/>
      <c r="CGT2481" s="61"/>
      <c r="CGU2481" s="54"/>
      <c r="CGV2481" s="54"/>
      <c r="CGW2481" s="60"/>
      <c r="CGX2481" s="60"/>
      <c r="CGY2481" s="60"/>
      <c r="CGZ2481" s="60"/>
      <c r="CHA2481" s="60"/>
      <c r="CHB2481" s="61"/>
      <c r="CHC2481" s="54"/>
      <c r="CHD2481" s="54"/>
      <c r="CHE2481" s="60"/>
      <c r="CHF2481" s="60"/>
      <c r="CHG2481" s="60"/>
      <c r="CHH2481" s="60"/>
      <c r="CHI2481" s="60"/>
      <c r="CHJ2481" s="61"/>
      <c r="CHK2481" s="54"/>
      <c r="CHL2481" s="54"/>
      <c r="CHM2481" s="60"/>
      <c r="CHN2481" s="60"/>
      <c r="CHO2481" s="60"/>
      <c r="CHP2481" s="60"/>
      <c r="CHQ2481" s="60"/>
      <c r="CHR2481" s="61"/>
      <c r="CHS2481" s="54"/>
      <c r="CHT2481" s="54"/>
      <c r="CHU2481" s="60"/>
      <c r="CHV2481" s="60"/>
      <c r="CHW2481" s="60"/>
      <c r="CHX2481" s="60"/>
      <c r="CHY2481" s="60"/>
      <c r="CHZ2481" s="61"/>
      <c r="CIA2481" s="54"/>
      <c r="CIB2481" s="54"/>
      <c r="CIC2481" s="60"/>
      <c r="CID2481" s="60"/>
      <c r="CIE2481" s="60"/>
      <c r="CIF2481" s="60"/>
      <c r="CIG2481" s="60"/>
      <c r="CIH2481" s="61"/>
      <c r="CII2481" s="54"/>
      <c r="CIJ2481" s="54"/>
      <c r="CIK2481" s="60"/>
      <c r="CIL2481" s="60"/>
      <c r="CIM2481" s="60"/>
      <c r="CIN2481" s="60"/>
      <c r="CIO2481" s="60"/>
      <c r="CIP2481" s="61"/>
      <c r="CIQ2481" s="54"/>
      <c r="CIR2481" s="54"/>
      <c r="CIS2481" s="60"/>
      <c r="CIT2481" s="60"/>
      <c r="CIU2481" s="60"/>
      <c r="CIV2481" s="60"/>
      <c r="CIW2481" s="60"/>
      <c r="CIX2481" s="61"/>
      <c r="CIY2481" s="54"/>
      <c r="CIZ2481" s="54"/>
      <c r="CJA2481" s="60"/>
      <c r="CJB2481" s="60"/>
      <c r="CJC2481" s="60"/>
      <c r="CJD2481" s="60"/>
      <c r="CJE2481" s="60"/>
      <c r="CJF2481" s="61"/>
      <c r="CJG2481" s="54"/>
      <c r="CJH2481" s="54"/>
      <c r="CJI2481" s="60"/>
      <c r="CJJ2481" s="60"/>
      <c r="CJK2481" s="60"/>
      <c r="CJL2481" s="60"/>
      <c r="CJM2481" s="60"/>
      <c r="CJN2481" s="61"/>
      <c r="CJO2481" s="54"/>
      <c r="CJP2481" s="54"/>
      <c r="CJQ2481" s="60"/>
      <c r="CJR2481" s="60"/>
      <c r="CJS2481" s="60"/>
      <c r="CJT2481" s="60"/>
      <c r="CJU2481" s="60"/>
      <c r="CJV2481" s="61"/>
      <c r="CJW2481" s="54"/>
      <c r="CJX2481" s="54"/>
      <c r="CJY2481" s="60"/>
      <c r="CJZ2481" s="60"/>
      <c r="CKA2481" s="60"/>
      <c r="CKB2481" s="60"/>
      <c r="CKC2481" s="60"/>
      <c r="CKD2481" s="61"/>
      <c r="CKE2481" s="54"/>
      <c r="CKF2481" s="54"/>
      <c r="CKG2481" s="60"/>
      <c r="CKH2481" s="60"/>
      <c r="CKI2481" s="60"/>
      <c r="CKJ2481" s="60"/>
      <c r="CKK2481" s="60"/>
      <c r="CKL2481" s="61"/>
      <c r="CKM2481" s="54"/>
      <c r="CKN2481" s="54"/>
      <c r="CKO2481" s="60"/>
      <c r="CKP2481" s="60"/>
      <c r="CKQ2481" s="60"/>
      <c r="CKR2481" s="60"/>
      <c r="CKS2481" s="60"/>
      <c r="CKT2481" s="61"/>
      <c r="CKU2481" s="54"/>
      <c r="CKV2481" s="54"/>
      <c r="CKW2481" s="60"/>
      <c r="CKX2481" s="60"/>
      <c r="CKY2481" s="60"/>
      <c r="CKZ2481" s="60"/>
      <c r="CLA2481" s="60"/>
      <c r="CLB2481" s="61"/>
      <c r="CLC2481" s="54"/>
      <c r="CLD2481" s="54"/>
      <c r="CLE2481" s="60"/>
      <c r="CLF2481" s="60"/>
      <c r="CLG2481" s="60"/>
      <c r="CLH2481" s="60"/>
      <c r="CLI2481" s="60"/>
      <c r="CLJ2481" s="61"/>
      <c r="CLK2481" s="54"/>
      <c r="CLL2481" s="54"/>
      <c r="CLM2481" s="60"/>
      <c r="CLN2481" s="60"/>
      <c r="CLO2481" s="60"/>
      <c r="CLP2481" s="60"/>
      <c r="CLQ2481" s="60"/>
      <c r="CLR2481" s="61"/>
      <c r="CLS2481" s="54"/>
      <c r="CLT2481" s="54"/>
      <c r="CLU2481" s="60"/>
      <c r="CLV2481" s="60"/>
      <c r="CLW2481" s="60"/>
      <c r="CLX2481" s="60"/>
      <c r="CLY2481" s="60"/>
      <c r="CLZ2481" s="61"/>
      <c r="CMA2481" s="54"/>
      <c r="CMB2481" s="54"/>
      <c r="CMC2481" s="60"/>
      <c r="CMD2481" s="60"/>
      <c r="CME2481" s="60"/>
      <c r="CMF2481" s="60"/>
      <c r="CMG2481" s="60"/>
      <c r="CMH2481" s="61"/>
      <c r="CMI2481" s="54"/>
      <c r="CMJ2481" s="54"/>
      <c r="CMK2481" s="60"/>
      <c r="CML2481" s="60"/>
      <c r="CMM2481" s="60"/>
      <c r="CMN2481" s="60"/>
      <c r="CMO2481" s="60"/>
      <c r="CMP2481" s="61"/>
      <c r="CMQ2481" s="54"/>
      <c r="CMR2481" s="54"/>
      <c r="CMS2481" s="60"/>
      <c r="CMT2481" s="60"/>
      <c r="CMU2481" s="60"/>
      <c r="CMV2481" s="60"/>
      <c r="CMW2481" s="60"/>
      <c r="CMX2481" s="61"/>
      <c r="CMY2481" s="54"/>
      <c r="CMZ2481" s="54"/>
      <c r="CNA2481" s="60"/>
      <c r="CNB2481" s="60"/>
      <c r="CNC2481" s="60"/>
      <c r="CND2481" s="60"/>
      <c r="CNE2481" s="60"/>
      <c r="CNF2481" s="61"/>
      <c r="CNG2481" s="54"/>
      <c r="CNH2481" s="54"/>
      <c r="CNI2481" s="60"/>
      <c r="CNJ2481" s="60"/>
      <c r="CNK2481" s="60"/>
      <c r="CNL2481" s="60"/>
      <c r="CNM2481" s="60"/>
      <c r="CNN2481" s="61"/>
      <c r="CNO2481" s="54"/>
      <c r="CNP2481" s="54"/>
      <c r="CNQ2481" s="60"/>
      <c r="CNR2481" s="60"/>
      <c r="CNS2481" s="60"/>
      <c r="CNT2481" s="60"/>
      <c r="CNU2481" s="60"/>
      <c r="CNV2481" s="61"/>
      <c r="CNW2481" s="54"/>
      <c r="CNX2481" s="54"/>
      <c r="CNY2481" s="60"/>
      <c r="CNZ2481" s="60"/>
      <c r="COA2481" s="60"/>
      <c r="COB2481" s="60"/>
      <c r="COC2481" s="60"/>
      <c r="COD2481" s="61"/>
      <c r="COE2481" s="54"/>
      <c r="COF2481" s="54"/>
      <c r="COG2481" s="60"/>
      <c r="COH2481" s="60"/>
      <c r="COI2481" s="60"/>
      <c r="COJ2481" s="60"/>
      <c r="COK2481" s="60"/>
      <c r="COL2481" s="61"/>
      <c r="COM2481" s="54"/>
      <c r="CON2481" s="54"/>
      <c r="COO2481" s="60"/>
      <c r="COP2481" s="60"/>
      <c r="COQ2481" s="60"/>
      <c r="COR2481" s="60"/>
      <c r="COS2481" s="60"/>
      <c r="COT2481" s="61"/>
      <c r="COU2481" s="54"/>
      <c r="COV2481" s="54"/>
      <c r="COW2481" s="60"/>
      <c r="COX2481" s="60"/>
      <c r="COY2481" s="60"/>
      <c r="COZ2481" s="60"/>
      <c r="CPA2481" s="60"/>
      <c r="CPB2481" s="61"/>
      <c r="CPC2481" s="54"/>
      <c r="CPD2481" s="54"/>
      <c r="CPE2481" s="60"/>
      <c r="CPF2481" s="60"/>
      <c r="CPG2481" s="60"/>
      <c r="CPH2481" s="60"/>
      <c r="CPI2481" s="60"/>
      <c r="CPJ2481" s="61"/>
      <c r="CPK2481" s="54"/>
      <c r="CPL2481" s="54"/>
      <c r="CPM2481" s="60"/>
      <c r="CPN2481" s="60"/>
      <c r="CPO2481" s="60"/>
      <c r="CPP2481" s="60"/>
      <c r="CPQ2481" s="60"/>
      <c r="CPR2481" s="61"/>
      <c r="CPS2481" s="54"/>
      <c r="CPT2481" s="54"/>
      <c r="CPU2481" s="60"/>
      <c r="CPV2481" s="60"/>
      <c r="CPW2481" s="60"/>
      <c r="CPX2481" s="60"/>
      <c r="CPY2481" s="60"/>
      <c r="CPZ2481" s="61"/>
      <c r="CQA2481" s="54"/>
      <c r="CQB2481" s="54"/>
      <c r="CQC2481" s="60"/>
      <c r="CQD2481" s="60"/>
      <c r="CQE2481" s="60"/>
      <c r="CQF2481" s="60"/>
      <c r="CQG2481" s="60"/>
      <c r="CQH2481" s="61"/>
      <c r="CQI2481" s="54"/>
      <c r="CQJ2481" s="54"/>
      <c r="CQK2481" s="60"/>
      <c r="CQL2481" s="60"/>
      <c r="CQM2481" s="60"/>
      <c r="CQN2481" s="60"/>
      <c r="CQO2481" s="60"/>
      <c r="CQP2481" s="61"/>
      <c r="CQQ2481" s="54"/>
      <c r="CQR2481" s="54"/>
      <c r="CQS2481" s="60"/>
      <c r="CQT2481" s="60"/>
      <c r="CQU2481" s="60"/>
      <c r="CQV2481" s="60"/>
      <c r="CQW2481" s="60"/>
      <c r="CQX2481" s="61"/>
      <c r="CQY2481" s="54"/>
      <c r="CQZ2481" s="54"/>
      <c r="CRA2481" s="60"/>
      <c r="CRB2481" s="60"/>
      <c r="CRC2481" s="60"/>
      <c r="CRD2481" s="60"/>
      <c r="CRE2481" s="60"/>
      <c r="CRF2481" s="61"/>
      <c r="CRG2481" s="54"/>
      <c r="CRH2481" s="54"/>
      <c r="CRI2481" s="60"/>
      <c r="CRJ2481" s="60"/>
      <c r="CRK2481" s="60"/>
      <c r="CRL2481" s="60"/>
      <c r="CRM2481" s="60"/>
      <c r="CRN2481" s="61"/>
      <c r="CRO2481" s="54"/>
      <c r="CRP2481" s="54"/>
      <c r="CRQ2481" s="60"/>
      <c r="CRR2481" s="60"/>
      <c r="CRS2481" s="60"/>
      <c r="CRT2481" s="60"/>
      <c r="CRU2481" s="60"/>
      <c r="CRV2481" s="61"/>
      <c r="CRW2481" s="54"/>
      <c r="CRX2481" s="54"/>
      <c r="CRY2481" s="60"/>
      <c r="CRZ2481" s="60"/>
      <c r="CSA2481" s="60"/>
      <c r="CSB2481" s="60"/>
      <c r="CSC2481" s="60"/>
      <c r="CSD2481" s="61"/>
      <c r="CSE2481" s="54"/>
      <c r="CSF2481" s="54"/>
      <c r="CSG2481" s="60"/>
      <c r="CSH2481" s="60"/>
      <c r="CSI2481" s="60"/>
      <c r="CSJ2481" s="60"/>
      <c r="CSK2481" s="60"/>
      <c r="CSL2481" s="61"/>
      <c r="CSM2481" s="54"/>
      <c r="CSN2481" s="54"/>
      <c r="CSO2481" s="60"/>
      <c r="CSP2481" s="60"/>
      <c r="CSQ2481" s="60"/>
      <c r="CSR2481" s="60"/>
      <c r="CSS2481" s="60"/>
      <c r="CST2481" s="61"/>
      <c r="CSU2481" s="54"/>
      <c r="CSV2481" s="54"/>
      <c r="CSW2481" s="60"/>
      <c r="CSX2481" s="60"/>
      <c r="CSY2481" s="60"/>
      <c r="CSZ2481" s="60"/>
      <c r="CTA2481" s="60"/>
      <c r="CTB2481" s="61"/>
      <c r="CTC2481" s="54"/>
      <c r="CTD2481" s="54"/>
      <c r="CTE2481" s="60"/>
      <c r="CTF2481" s="60"/>
      <c r="CTG2481" s="60"/>
      <c r="CTH2481" s="60"/>
      <c r="CTI2481" s="60"/>
      <c r="CTJ2481" s="61"/>
      <c r="CTK2481" s="54"/>
      <c r="CTL2481" s="54"/>
      <c r="CTM2481" s="60"/>
      <c r="CTN2481" s="60"/>
      <c r="CTO2481" s="60"/>
      <c r="CTP2481" s="60"/>
      <c r="CTQ2481" s="60"/>
      <c r="CTR2481" s="61"/>
      <c r="CTS2481" s="54"/>
      <c r="CTT2481" s="54"/>
      <c r="CTU2481" s="60"/>
      <c r="CTV2481" s="60"/>
      <c r="CTW2481" s="60"/>
      <c r="CTX2481" s="60"/>
      <c r="CTY2481" s="60"/>
      <c r="CTZ2481" s="61"/>
      <c r="CUA2481" s="54"/>
      <c r="CUB2481" s="54"/>
      <c r="CUC2481" s="60"/>
      <c r="CUD2481" s="60"/>
      <c r="CUE2481" s="60"/>
      <c r="CUF2481" s="60"/>
      <c r="CUG2481" s="60"/>
      <c r="CUH2481" s="61"/>
      <c r="CUI2481" s="54"/>
      <c r="CUJ2481" s="54"/>
      <c r="CUK2481" s="60"/>
      <c r="CUL2481" s="60"/>
      <c r="CUM2481" s="60"/>
      <c r="CUN2481" s="60"/>
      <c r="CUO2481" s="60"/>
      <c r="CUP2481" s="61"/>
      <c r="CUQ2481" s="54"/>
      <c r="CUR2481" s="54"/>
      <c r="CUS2481" s="60"/>
      <c r="CUT2481" s="60"/>
      <c r="CUU2481" s="60"/>
      <c r="CUV2481" s="60"/>
      <c r="CUW2481" s="60"/>
      <c r="CUX2481" s="61"/>
      <c r="CUY2481" s="54"/>
      <c r="CUZ2481" s="54"/>
      <c r="CVA2481" s="60"/>
      <c r="CVB2481" s="60"/>
      <c r="CVC2481" s="60"/>
      <c r="CVD2481" s="60"/>
      <c r="CVE2481" s="60"/>
      <c r="CVF2481" s="61"/>
      <c r="CVG2481" s="54"/>
      <c r="CVH2481" s="54"/>
      <c r="CVI2481" s="60"/>
      <c r="CVJ2481" s="60"/>
      <c r="CVK2481" s="60"/>
      <c r="CVL2481" s="60"/>
      <c r="CVM2481" s="60"/>
      <c r="CVN2481" s="61"/>
      <c r="CVO2481" s="54"/>
      <c r="CVP2481" s="54"/>
      <c r="CVQ2481" s="60"/>
      <c r="CVR2481" s="60"/>
      <c r="CVS2481" s="60"/>
      <c r="CVT2481" s="60"/>
      <c r="CVU2481" s="60"/>
      <c r="CVV2481" s="61"/>
      <c r="CVW2481" s="54"/>
      <c r="CVX2481" s="54"/>
      <c r="CVY2481" s="60"/>
      <c r="CVZ2481" s="60"/>
      <c r="CWA2481" s="60"/>
      <c r="CWB2481" s="60"/>
      <c r="CWC2481" s="60"/>
      <c r="CWD2481" s="61"/>
      <c r="CWE2481" s="54"/>
      <c r="CWF2481" s="54"/>
      <c r="CWG2481" s="60"/>
      <c r="CWH2481" s="60"/>
      <c r="CWI2481" s="60"/>
      <c r="CWJ2481" s="60"/>
      <c r="CWK2481" s="60"/>
      <c r="CWL2481" s="61"/>
      <c r="CWM2481" s="54"/>
      <c r="CWN2481" s="54"/>
      <c r="CWO2481" s="60"/>
      <c r="CWP2481" s="60"/>
      <c r="CWQ2481" s="60"/>
      <c r="CWR2481" s="60"/>
      <c r="CWS2481" s="60"/>
      <c r="CWT2481" s="61"/>
      <c r="CWU2481" s="54"/>
      <c r="CWV2481" s="54"/>
      <c r="CWW2481" s="60"/>
      <c r="CWX2481" s="60"/>
      <c r="CWY2481" s="60"/>
      <c r="CWZ2481" s="60"/>
      <c r="CXA2481" s="60"/>
      <c r="CXB2481" s="61"/>
      <c r="CXC2481" s="54"/>
      <c r="CXD2481" s="54"/>
      <c r="CXE2481" s="60"/>
      <c r="CXF2481" s="60"/>
      <c r="CXG2481" s="60"/>
      <c r="CXH2481" s="60"/>
      <c r="CXI2481" s="60"/>
      <c r="CXJ2481" s="61"/>
      <c r="CXK2481" s="54"/>
      <c r="CXL2481" s="54"/>
      <c r="CXM2481" s="60"/>
      <c r="CXN2481" s="60"/>
      <c r="CXO2481" s="60"/>
      <c r="CXP2481" s="60"/>
      <c r="CXQ2481" s="60"/>
      <c r="CXR2481" s="61"/>
      <c r="CXS2481" s="54"/>
      <c r="CXT2481" s="54"/>
      <c r="CXU2481" s="60"/>
      <c r="CXV2481" s="60"/>
      <c r="CXW2481" s="60"/>
      <c r="CXX2481" s="60"/>
      <c r="CXY2481" s="60"/>
      <c r="CXZ2481" s="61"/>
      <c r="CYA2481" s="54"/>
      <c r="CYB2481" s="54"/>
      <c r="CYC2481" s="60"/>
      <c r="CYD2481" s="60"/>
      <c r="CYE2481" s="60"/>
      <c r="CYF2481" s="60"/>
      <c r="CYG2481" s="60"/>
      <c r="CYH2481" s="61"/>
      <c r="CYI2481" s="54"/>
      <c r="CYJ2481" s="54"/>
      <c r="CYK2481" s="60"/>
      <c r="CYL2481" s="60"/>
      <c r="CYM2481" s="60"/>
      <c r="CYN2481" s="60"/>
      <c r="CYO2481" s="60"/>
      <c r="CYP2481" s="61"/>
      <c r="CYQ2481" s="54"/>
      <c r="CYR2481" s="54"/>
      <c r="CYS2481" s="60"/>
      <c r="CYT2481" s="60"/>
      <c r="CYU2481" s="60"/>
      <c r="CYV2481" s="60"/>
      <c r="CYW2481" s="60"/>
      <c r="CYX2481" s="61"/>
      <c r="CYY2481" s="54"/>
      <c r="CYZ2481" s="54"/>
      <c r="CZA2481" s="60"/>
      <c r="CZB2481" s="60"/>
      <c r="CZC2481" s="60"/>
      <c r="CZD2481" s="60"/>
      <c r="CZE2481" s="60"/>
      <c r="CZF2481" s="61"/>
      <c r="CZG2481" s="54"/>
      <c r="CZH2481" s="54"/>
      <c r="CZI2481" s="60"/>
      <c r="CZJ2481" s="60"/>
      <c r="CZK2481" s="60"/>
      <c r="CZL2481" s="60"/>
      <c r="CZM2481" s="60"/>
      <c r="CZN2481" s="61"/>
      <c r="CZO2481" s="54"/>
      <c r="CZP2481" s="54"/>
      <c r="CZQ2481" s="60"/>
      <c r="CZR2481" s="60"/>
      <c r="CZS2481" s="60"/>
      <c r="CZT2481" s="60"/>
      <c r="CZU2481" s="60"/>
      <c r="CZV2481" s="61"/>
      <c r="CZW2481" s="54"/>
      <c r="CZX2481" s="54"/>
      <c r="CZY2481" s="60"/>
      <c r="CZZ2481" s="60"/>
      <c r="DAA2481" s="60"/>
      <c r="DAB2481" s="60"/>
      <c r="DAC2481" s="60"/>
      <c r="DAD2481" s="61"/>
      <c r="DAE2481" s="54"/>
      <c r="DAF2481" s="54"/>
      <c r="DAG2481" s="60"/>
      <c r="DAH2481" s="60"/>
      <c r="DAI2481" s="60"/>
      <c r="DAJ2481" s="60"/>
      <c r="DAK2481" s="60"/>
      <c r="DAL2481" s="61"/>
      <c r="DAM2481" s="54"/>
      <c r="DAN2481" s="54"/>
      <c r="DAO2481" s="60"/>
      <c r="DAP2481" s="60"/>
      <c r="DAQ2481" s="60"/>
      <c r="DAR2481" s="60"/>
      <c r="DAS2481" s="60"/>
      <c r="DAT2481" s="61"/>
      <c r="DAU2481" s="54"/>
      <c r="DAV2481" s="54"/>
      <c r="DAW2481" s="60"/>
      <c r="DAX2481" s="60"/>
      <c r="DAY2481" s="60"/>
      <c r="DAZ2481" s="60"/>
      <c r="DBA2481" s="60"/>
      <c r="DBB2481" s="61"/>
      <c r="DBC2481" s="54"/>
      <c r="DBD2481" s="54"/>
      <c r="DBE2481" s="60"/>
      <c r="DBF2481" s="60"/>
      <c r="DBG2481" s="60"/>
      <c r="DBH2481" s="60"/>
      <c r="DBI2481" s="60"/>
      <c r="DBJ2481" s="61"/>
      <c r="DBK2481" s="54"/>
      <c r="DBL2481" s="54"/>
      <c r="DBM2481" s="60"/>
      <c r="DBN2481" s="60"/>
      <c r="DBO2481" s="60"/>
      <c r="DBP2481" s="60"/>
      <c r="DBQ2481" s="60"/>
      <c r="DBR2481" s="61"/>
      <c r="DBS2481" s="54"/>
      <c r="DBT2481" s="54"/>
      <c r="DBU2481" s="60"/>
      <c r="DBV2481" s="60"/>
      <c r="DBW2481" s="60"/>
      <c r="DBX2481" s="60"/>
      <c r="DBY2481" s="60"/>
      <c r="DBZ2481" s="61"/>
      <c r="DCA2481" s="54"/>
      <c r="DCB2481" s="54"/>
      <c r="DCC2481" s="60"/>
      <c r="DCD2481" s="60"/>
      <c r="DCE2481" s="60"/>
      <c r="DCF2481" s="60"/>
      <c r="DCG2481" s="60"/>
      <c r="DCH2481" s="61"/>
      <c r="DCI2481" s="54"/>
      <c r="DCJ2481" s="54"/>
      <c r="DCK2481" s="60"/>
      <c r="DCL2481" s="60"/>
      <c r="DCM2481" s="60"/>
      <c r="DCN2481" s="60"/>
      <c r="DCO2481" s="60"/>
      <c r="DCP2481" s="61"/>
      <c r="DCQ2481" s="54"/>
      <c r="DCR2481" s="54"/>
      <c r="DCS2481" s="60"/>
      <c r="DCT2481" s="60"/>
      <c r="DCU2481" s="60"/>
      <c r="DCV2481" s="60"/>
      <c r="DCW2481" s="60"/>
      <c r="DCX2481" s="61"/>
      <c r="DCY2481" s="54"/>
      <c r="DCZ2481" s="54"/>
      <c r="DDA2481" s="60"/>
      <c r="DDB2481" s="60"/>
      <c r="DDC2481" s="60"/>
      <c r="DDD2481" s="60"/>
      <c r="DDE2481" s="60"/>
      <c r="DDF2481" s="61"/>
      <c r="DDG2481" s="54"/>
      <c r="DDH2481" s="54"/>
      <c r="DDI2481" s="60"/>
      <c r="DDJ2481" s="60"/>
      <c r="DDK2481" s="60"/>
      <c r="DDL2481" s="60"/>
      <c r="DDM2481" s="60"/>
      <c r="DDN2481" s="61"/>
      <c r="DDO2481" s="54"/>
      <c r="DDP2481" s="54"/>
      <c r="DDQ2481" s="60"/>
      <c r="DDR2481" s="60"/>
      <c r="DDS2481" s="60"/>
      <c r="DDT2481" s="60"/>
      <c r="DDU2481" s="60"/>
      <c r="DDV2481" s="61"/>
      <c r="DDW2481" s="54"/>
      <c r="DDX2481" s="54"/>
      <c r="DDY2481" s="60"/>
      <c r="DDZ2481" s="60"/>
      <c r="DEA2481" s="60"/>
      <c r="DEB2481" s="60"/>
      <c r="DEC2481" s="60"/>
      <c r="DED2481" s="61"/>
      <c r="DEE2481" s="54"/>
      <c r="DEF2481" s="54"/>
      <c r="DEG2481" s="60"/>
      <c r="DEH2481" s="60"/>
      <c r="DEI2481" s="60"/>
      <c r="DEJ2481" s="60"/>
      <c r="DEK2481" s="60"/>
      <c r="DEL2481" s="61"/>
      <c r="DEM2481" s="54"/>
      <c r="DEN2481" s="54"/>
      <c r="DEO2481" s="60"/>
      <c r="DEP2481" s="60"/>
      <c r="DEQ2481" s="60"/>
      <c r="DER2481" s="60"/>
      <c r="DES2481" s="60"/>
      <c r="DET2481" s="61"/>
      <c r="DEU2481" s="54"/>
      <c r="DEV2481" s="54"/>
      <c r="DEW2481" s="60"/>
      <c r="DEX2481" s="60"/>
      <c r="DEY2481" s="60"/>
      <c r="DEZ2481" s="60"/>
      <c r="DFA2481" s="60"/>
      <c r="DFB2481" s="61"/>
      <c r="DFC2481" s="54"/>
      <c r="DFD2481" s="54"/>
      <c r="DFE2481" s="60"/>
      <c r="DFF2481" s="60"/>
      <c r="DFG2481" s="60"/>
      <c r="DFH2481" s="60"/>
      <c r="DFI2481" s="60"/>
      <c r="DFJ2481" s="61"/>
      <c r="DFK2481" s="54"/>
      <c r="DFL2481" s="54"/>
      <c r="DFM2481" s="60"/>
      <c r="DFN2481" s="60"/>
      <c r="DFO2481" s="60"/>
      <c r="DFP2481" s="60"/>
      <c r="DFQ2481" s="60"/>
      <c r="DFR2481" s="61"/>
      <c r="DFS2481" s="54"/>
      <c r="DFT2481" s="54"/>
      <c r="DFU2481" s="60"/>
      <c r="DFV2481" s="60"/>
      <c r="DFW2481" s="60"/>
      <c r="DFX2481" s="60"/>
      <c r="DFY2481" s="60"/>
      <c r="DFZ2481" s="61"/>
      <c r="DGA2481" s="54"/>
      <c r="DGB2481" s="54"/>
      <c r="DGC2481" s="60"/>
      <c r="DGD2481" s="60"/>
      <c r="DGE2481" s="60"/>
      <c r="DGF2481" s="60"/>
      <c r="DGG2481" s="60"/>
      <c r="DGH2481" s="61"/>
      <c r="DGI2481" s="54"/>
      <c r="DGJ2481" s="54"/>
      <c r="DGK2481" s="60"/>
      <c r="DGL2481" s="60"/>
      <c r="DGM2481" s="60"/>
      <c r="DGN2481" s="60"/>
      <c r="DGO2481" s="60"/>
      <c r="DGP2481" s="61"/>
      <c r="DGQ2481" s="54"/>
      <c r="DGR2481" s="54"/>
      <c r="DGS2481" s="60"/>
      <c r="DGT2481" s="60"/>
      <c r="DGU2481" s="60"/>
      <c r="DGV2481" s="60"/>
      <c r="DGW2481" s="60"/>
      <c r="DGX2481" s="61"/>
      <c r="DGY2481" s="54"/>
      <c r="DGZ2481" s="54"/>
      <c r="DHA2481" s="60"/>
      <c r="DHB2481" s="60"/>
      <c r="DHC2481" s="60"/>
      <c r="DHD2481" s="60"/>
      <c r="DHE2481" s="60"/>
      <c r="DHF2481" s="61"/>
      <c r="DHG2481" s="54"/>
      <c r="DHH2481" s="54"/>
      <c r="DHI2481" s="60"/>
      <c r="DHJ2481" s="60"/>
      <c r="DHK2481" s="60"/>
      <c r="DHL2481" s="60"/>
      <c r="DHM2481" s="60"/>
      <c r="DHN2481" s="61"/>
      <c r="DHO2481" s="54"/>
      <c r="DHP2481" s="54"/>
      <c r="DHQ2481" s="60"/>
      <c r="DHR2481" s="60"/>
      <c r="DHS2481" s="60"/>
      <c r="DHT2481" s="60"/>
      <c r="DHU2481" s="60"/>
      <c r="DHV2481" s="61"/>
      <c r="DHW2481" s="54"/>
      <c r="DHX2481" s="54"/>
      <c r="DHY2481" s="60"/>
      <c r="DHZ2481" s="60"/>
      <c r="DIA2481" s="60"/>
      <c r="DIB2481" s="60"/>
      <c r="DIC2481" s="60"/>
      <c r="DID2481" s="61"/>
      <c r="DIE2481" s="54"/>
      <c r="DIF2481" s="54"/>
      <c r="DIG2481" s="60"/>
      <c r="DIH2481" s="60"/>
      <c r="DII2481" s="60"/>
      <c r="DIJ2481" s="60"/>
      <c r="DIK2481" s="60"/>
      <c r="DIL2481" s="61"/>
      <c r="DIM2481" s="54"/>
      <c r="DIN2481" s="54"/>
      <c r="DIO2481" s="60"/>
      <c r="DIP2481" s="60"/>
      <c r="DIQ2481" s="60"/>
      <c r="DIR2481" s="60"/>
      <c r="DIS2481" s="60"/>
      <c r="DIT2481" s="61"/>
      <c r="DIU2481" s="54"/>
      <c r="DIV2481" s="54"/>
      <c r="DIW2481" s="60"/>
      <c r="DIX2481" s="60"/>
      <c r="DIY2481" s="60"/>
      <c r="DIZ2481" s="60"/>
      <c r="DJA2481" s="60"/>
      <c r="DJB2481" s="61"/>
      <c r="DJC2481" s="54"/>
      <c r="DJD2481" s="54"/>
      <c r="DJE2481" s="60"/>
      <c r="DJF2481" s="60"/>
      <c r="DJG2481" s="60"/>
      <c r="DJH2481" s="60"/>
      <c r="DJI2481" s="60"/>
      <c r="DJJ2481" s="61"/>
      <c r="DJK2481" s="54"/>
      <c r="DJL2481" s="54"/>
      <c r="DJM2481" s="60"/>
      <c r="DJN2481" s="60"/>
      <c r="DJO2481" s="60"/>
      <c r="DJP2481" s="60"/>
      <c r="DJQ2481" s="60"/>
      <c r="DJR2481" s="61"/>
      <c r="DJS2481" s="54"/>
      <c r="DJT2481" s="54"/>
      <c r="DJU2481" s="60"/>
      <c r="DJV2481" s="60"/>
      <c r="DJW2481" s="60"/>
      <c r="DJX2481" s="60"/>
      <c r="DJY2481" s="60"/>
      <c r="DJZ2481" s="61"/>
      <c r="DKA2481" s="54"/>
      <c r="DKB2481" s="54"/>
      <c r="DKC2481" s="60"/>
      <c r="DKD2481" s="60"/>
      <c r="DKE2481" s="60"/>
      <c r="DKF2481" s="60"/>
      <c r="DKG2481" s="60"/>
      <c r="DKH2481" s="61"/>
      <c r="DKI2481" s="54"/>
      <c r="DKJ2481" s="54"/>
      <c r="DKK2481" s="60"/>
      <c r="DKL2481" s="60"/>
      <c r="DKM2481" s="60"/>
      <c r="DKN2481" s="60"/>
      <c r="DKO2481" s="60"/>
      <c r="DKP2481" s="61"/>
      <c r="DKQ2481" s="54"/>
      <c r="DKR2481" s="54"/>
      <c r="DKS2481" s="60"/>
      <c r="DKT2481" s="60"/>
      <c r="DKU2481" s="60"/>
      <c r="DKV2481" s="60"/>
      <c r="DKW2481" s="60"/>
      <c r="DKX2481" s="61"/>
      <c r="DKY2481" s="54"/>
      <c r="DKZ2481" s="54"/>
      <c r="DLA2481" s="60"/>
      <c r="DLB2481" s="60"/>
      <c r="DLC2481" s="60"/>
      <c r="DLD2481" s="60"/>
      <c r="DLE2481" s="60"/>
      <c r="DLF2481" s="61"/>
      <c r="DLG2481" s="54"/>
      <c r="DLH2481" s="54"/>
      <c r="DLI2481" s="60"/>
      <c r="DLJ2481" s="60"/>
      <c r="DLK2481" s="60"/>
      <c r="DLL2481" s="60"/>
      <c r="DLM2481" s="60"/>
      <c r="DLN2481" s="61"/>
      <c r="DLO2481" s="54"/>
      <c r="DLP2481" s="54"/>
      <c r="DLQ2481" s="60"/>
      <c r="DLR2481" s="60"/>
      <c r="DLS2481" s="60"/>
      <c r="DLT2481" s="60"/>
      <c r="DLU2481" s="60"/>
      <c r="DLV2481" s="61"/>
      <c r="DLW2481" s="54"/>
      <c r="DLX2481" s="54"/>
      <c r="DLY2481" s="60"/>
      <c r="DLZ2481" s="60"/>
      <c r="DMA2481" s="60"/>
      <c r="DMB2481" s="60"/>
      <c r="DMC2481" s="60"/>
      <c r="DMD2481" s="61"/>
      <c r="DME2481" s="54"/>
      <c r="DMF2481" s="54"/>
      <c r="DMG2481" s="60"/>
      <c r="DMH2481" s="60"/>
      <c r="DMI2481" s="60"/>
      <c r="DMJ2481" s="60"/>
      <c r="DMK2481" s="60"/>
      <c r="DML2481" s="61"/>
      <c r="DMM2481" s="54"/>
      <c r="DMN2481" s="54"/>
      <c r="DMO2481" s="60"/>
      <c r="DMP2481" s="60"/>
      <c r="DMQ2481" s="60"/>
      <c r="DMR2481" s="60"/>
      <c r="DMS2481" s="60"/>
      <c r="DMT2481" s="61"/>
      <c r="DMU2481" s="54"/>
      <c r="DMV2481" s="54"/>
      <c r="DMW2481" s="60"/>
      <c r="DMX2481" s="60"/>
      <c r="DMY2481" s="60"/>
      <c r="DMZ2481" s="60"/>
      <c r="DNA2481" s="60"/>
      <c r="DNB2481" s="61"/>
      <c r="DNC2481" s="54"/>
      <c r="DND2481" s="54"/>
      <c r="DNE2481" s="60"/>
      <c r="DNF2481" s="60"/>
      <c r="DNG2481" s="60"/>
      <c r="DNH2481" s="60"/>
      <c r="DNI2481" s="60"/>
      <c r="DNJ2481" s="61"/>
      <c r="DNK2481" s="54"/>
      <c r="DNL2481" s="54"/>
      <c r="DNM2481" s="60"/>
      <c r="DNN2481" s="60"/>
      <c r="DNO2481" s="60"/>
      <c r="DNP2481" s="60"/>
      <c r="DNQ2481" s="60"/>
      <c r="DNR2481" s="61"/>
      <c r="DNS2481" s="54"/>
      <c r="DNT2481" s="54"/>
      <c r="DNU2481" s="60"/>
      <c r="DNV2481" s="60"/>
      <c r="DNW2481" s="60"/>
      <c r="DNX2481" s="60"/>
      <c r="DNY2481" s="60"/>
      <c r="DNZ2481" s="61"/>
      <c r="DOA2481" s="54"/>
      <c r="DOB2481" s="54"/>
      <c r="DOC2481" s="60"/>
      <c r="DOD2481" s="60"/>
      <c r="DOE2481" s="60"/>
      <c r="DOF2481" s="60"/>
      <c r="DOG2481" s="60"/>
      <c r="DOH2481" s="61"/>
      <c r="DOI2481" s="54"/>
      <c r="DOJ2481" s="54"/>
      <c r="DOK2481" s="60"/>
      <c r="DOL2481" s="60"/>
      <c r="DOM2481" s="60"/>
      <c r="DON2481" s="60"/>
      <c r="DOO2481" s="60"/>
      <c r="DOP2481" s="61"/>
      <c r="DOQ2481" s="54"/>
      <c r="DOR2481" s="54"/>
      <c r="DOS2481" s="60"/>
      <c r="DOT2481" s="60"/>
      <c r="DOU2481" s="60"/>
      <c r="DOV2481" s="60"/>
      <c r="DOW2481" s="60"/>
      <c r="DOX2481" s="61"/>
      <c r="DOY2481" s="54"/>
      <c r="DOZ2481" s="54"/>
      <c r="DPA2481" s="60"/>
      <c r="DPB2481" s="60"/>
      <c r="DPC2481" s="60"/>
      <c r="DPD2481" s="60"/>
      <c r="DPE2481" s="60"/>
      <c r="DPF2481" s="61"/>
      <c r="DPG2481" s="54"/>
      <c r="DPH2481" s="54"/>
      <c r="DPI2481" s="60"/>
      <c r="DPJ2481" s="60"/>
      <c r="DPK2481" s="60"/>
      <c r="DPL2481" s="60"/>
      <c r="DPM2481" s="60"/>
      <c r="DPN2481" s="61"/>
      <c r="DPO2481" s="54"/>
      <c r="DPP2481" s="54"/>
      <c r="DPQ2481" s="60"/>
      <c r="DPR2481" s="60"/>
      <c r="DPS2481" s="60"/>
      <c r="DPT2481" s="60"/>
      <c r="DPU2481" s="60"/>
      <c r="DPV2481" s="61"/>
      <c r="DPW2481" s="54"/>
      <c r="DPX2481" s="54"/>
      <c r="DPY2481" s="60"/>
      <c r="DPZ2481" s="60"/>
      <c r="DQA2481" s="60"/>
      <c r="DQB2481" s="60"/>
      <c r="DQC2481" s="60"/>
      <c r="DQD2481" s="61"/>
      <c r="DQE2481" s="54"/>
      <c r="DQF2481" s="54"/>
      <c r="DQG2481" s="60"/>
      <c r="DQH2481" s="60"/>
      <c r="DQI2481" s="60"/>
      <c r="DQJ2481" s="60"/>
      <c r="DQK2481" s="60"/>
      <c r="DQL2481" s="61"/>
      <c r="DQM2481" s="54"/>
      <c r="DQN2481" s="54"/>
      <c r="DQO2481" s="60"/>
      <c r="DQP2481" s="60"/>
      <c r="DQQ2481" s="60"/>
      <c r="DQR2481" s="60"/>
      <c r="DQS2481" s="60"/>
      <c r="DQT2481" s="61"/>
      <c r="DQU2481" s="54"/>
      <c r="DQV2481" s="54"/>
      <c r="DQW2481" s="60"/>
      <c r="DQX2481" s="60"/>
      <c r="DQY2481" s="60"/>
      <c r="DQZ2481" s="60"/>
      <c r="DRA2481" s="60"/>
      <c r="DRB2481" s="61"/>
      <c r="DRC2481" s="54"/>
      <c r="DRD2481" s="54"/>
      <c r="DRE2481" s="60"/>
      <c r="DRF2481" s="60"/>
      <c r="DRG2481" s="60"/>
      <c r="DRH2481" s="60"/>
      <c r="DRI2481" s="60"/>
      <c r="DRJ2481" s="61"/>
      <c r="DRK2481" s="54"/>
      <c r="DRL2481" s="54"/>
      <c r="DRM2481" s="60"/>
      <c r="DRN2481" s="60"/>
      <c r="DRO2481" s="60"/>
      <c r="DRP2481" s="60"/>
      <c r="DRQ2481" s="60"/>
      <c r="DRR2481" s="61"/>
      <c r="DRS2481" s="54"/>
      <c r="DRT2481" s="54"/>
      <c r="DRU2481" s="60"/>
      <c r="DRV2481" s="60"/>
      <c r="DRW2481" s="60"/>
      <c r="DRX2481" s="60"/>
      <c r="DRY2481" s="60"/>
      <c r="DRZ2481" s="61"/>
      <c r="DSA2481" s="54"/>
      <c r="DSB2481" s="54"/>
      <c r="DSC2481" s="60"/>
      <c r="DSD2481" s="60"/>
      <c r="DSE2481" s="60"/>
      <c r="DSF2481" s="60"/>
      <c r="DSG2481" s="60"/>
      <c r="DSH2481" s="61"/>
      <c r="DSI2481" s="54"/>
      <c r="DSJ2481" s="54"/>
      <c r="DSK2481" s="60"/>
      <c r="DSL2481" s="60"/>
      <c r="DSM2481" s="60"/>
      <c r="DSN2481" s="60"/>
      <c r="DSO2481" s="60"/>
      <c r="DSP2481" s="61"/>
      <c r="DSQ2481" s="54"/>
      <c r="DSR2481" s="54"/>
      <c r="DSS2481" s="60"/>
      <c r="DST2481" s="60"/>
      <c r="DSU2481" s="60"/>
      <c r="DSV2481" s="60"/>
      <c r="DSW2481" s="60"/>
      <c r="DSX2481" s="61"/>
      <c r="DSY2481" s="54"/>
      <c r="DSZ2481" s="54"/>
      <c r="DTA2481" s="60"/>
      <c r="DTB2481" s="60"/>
      <c r="DTC2481" s="60"/>
      <c r="DTD2481" s="60"/>
      <c r="DTE2481" s="60"/>
      <c r="DTF2481" s="61"/>
      <c r="DTG2481" s="54"/>
      <c r="DTH2481" s="54"/>
      <c r="DTI2481" s="60"/>
      <c r="DTJ2481" s="60"/>
      <c r="DTK2481" s="60"/>
      <c r="DTL2481" s="60"/>
      <c r="DTM2481" s="60"/>
      <c r="DTN2481" s="61"/>
      <c r="DTO2481" s="54"/>
      <c r="DTP2481" s="54"/>
      <c r="DTQ2481" s="60"/>
      <c r="DTR2481" s="60"/>
      <c r="DTS2481" s="60"/>
      <c r="DTT2481" s="60"/>
      <c r="DTU2481" s="60"/>
      <c r="DTV2481" s="61"/>
      <c r="DTW2481" s="54"/>
      <c r="DTX2481" s="54"/>
      <c r="DTY2481" s="60"/>
      <c r="DTZ2481" s="60"/>
      <c r="DUA2481" s="60"/>
      <c r="DUB2481" s="60"/>
      <c r="DUC2481" s="60"/>
      <c r="DUD2481" s="61"/>
      <c r="DUE2481" s="54"/>
      <c r="DUF2481" s="54"/>
      <c r="DUG2481" s="60"/>
      <c r="DUH2481" s="60"/>
      <c r="DUI2481" s="60"/>
      <c r="DUJ2481" s="60"/>
      <c r="DUK2481" s="60"/>
      <c r="DUL2481" s="61"/>
      <c r="DUM2481" s="54"/>
      <c r="DUN2481" s="54"/>
      <c r="DUO2481" s="60"/>
      <c r="DUP2481" s="60"/>
      <c r="DUQ2481" s="60"/>
      <c r="DUR2481" s="60"/>
      <c r="DUS2481" s="60"/>
      <c r="DUT2481" s="61"/>
      <c r="DUU2481" s="54"/>
      <c r="DUV2481" s="54"/>
      <c r="DUW2481" s="60"/>
      <c r="DUX2481" s="60"/>
      <c r="DUY2481" s="60"/>
      <c r="DUZ2481" s="60"/>
      <c r="DVA2481" s="60"/>
      <c r="DVB2481" s="61"/>
      <c r="DVC2481" s="54"/>
      <c r="DVD2481" s="54"/>
      <c r="DVE2481" s="60"/>
      <c r="DVF2481" s="60"/>
      <c r="DVG2481" s="60"/>
      <c r="DVH2481" s="60"/>
      <c r="DVI2481" s="60"/>
      <c r="DVJ2481" s="61"/>
      <c r="DVK2481" s="54"/>
      <c r="DVL2481" s="54"/>
      <c r="DVM2481" s="60"/>
      <c r="DVN2481" s="60"/>
      <c r="DVO2481" s="60"/>
      <c r="DVP2481" s="60"/>
      <c r="DVQ2481" s="60"/>
      <c r="DVR2481" s="61"/>
      <c r="DVS2481" s="54"/>
      <c r="DVT2481" s="54"/>
      <c r="DVU2481" s="60"/>
      <c r="DVV2481" s="60"/>
      <c r="DVW2481" s="60"/>
      <c r="DVX2481" s="60"/>
      <c r="DVY2481" s="60"/>
      <c r="DVZ2481" s="61"/>
      <c r="DWA2481" s="54"/>
      <c r="DWB2481" s="54"/>
      <c r="DWC2481" s="60"/>
      <c r="DWD2481" s="60"/>
      <c r="DWE2481" s="60"/>
      <c r="DWF2481" s="60"/>
      <c r="DWG2481" s="60"/>
      <c r="DWH2481" s="61"/>
      <c r="DWI2481" s="54"/>
      <c r="DWJ2481" s="54"/>
      <c r="DWK2481" s="60"/>
      <c r="DWL2481" s="60"/>
      <c r="DWM2481" s="60"/>
      <c r="DWN2481" s="60"/>
      <c r="DWO2481" s="60"/>
      <c r="DWP2481" s="61"/>
      <c r="DWQ2481" s="54"/>
      <c r="DWR2481" s="54"/>
      <c r="DWS2481" s="60"/>
      <c r="DWT2481" s="60"/>
      <c r="DWU2481" s="60"/>
      <c r="DWV2481" s="60"/>
      <c r="DWW2481" s="60"/>
      <c r="DWX2481" s="61"/>
      <c r="DWY2481" s="54"/>
      <c r="DWZ2481" s="54"/>
      <c r="DXA2481" s="60"/>
      <c r="DXB2481" s="60"/>
      <c r="DXC2481" s="60"/>
      <c r="DXD2481" s="60"/>
      <c r="DXE2481" s="60"/>
      <c r="DXF2481" s="61"/>
      <c r="DXG2481" s="54"/>
      <c r="DXH2481" s="54"/>
      <c r="DXI2481" s="60"/>
      <c r="DXJ2481" s="60"/>
      <c r="DXK2481" s="60"/>
      <c r="DXL2481" s="60"/>
      <c r="DXM2481" s="60"/>
      <c r="DXN2481" s="61"/>
      <c r="DXO2481" s="54"/>
      <c r="DXP2481" s="54"/>
      <c r="DXQ2481" s="60"/>
      <c r="DXR2481" s="60"/>
      <c r="DXS2481" s="60"/>
      <c r="DXT2481" s="60"/>
      <c r="DXU2481" s="60"/>
      <c r="DXV2481" s="61"/>
      <c r="DXW2481" s="54"/>
      <c r="DXX2481" s="54"/>
      <c r="DXY2481" s="60"/>
      <c r="DXZ2481" s="60"/>
      <c r="DYA2481" s="60"/>
      <c r="DYB2481" s="60"/>
      <c r="DYC2481" s="60"/>
      <c r="DYD2481" s="61"/>
      <c r="DYE2481" s="54"/>
      <c r="DYF2481" s="54"/>
      <c r="DYG2481" s="60"/>
      <c r="DYH2481" s="60"/>
      <c r="DYI2481" s="60"/>
      <c r="DYJ2481" s="60"/>
      <c r="DYK2481" s="60"/>
      <c r="DYL2481" s="61"/>
      <c r="DYM2481" s="54"/>
      <c r="DYN2481" s="54"/>
      <c r="DYO2481" s="60"/>
      <c r="DYP2481" s="60"/>
      <c r="DYQ2481" s="60"/>
      <c r="DYR2481" s="60"/>
      <c r="DYS2481" s="60"/>
      <c r="DYT2481" s="61"/>
      <c r="DYU2481" s="54"/>
      <c r="DYV2481" s="54"/>
      <c r="DYW2481" s="60"/>
      <c r="DYX2481" s="60"/>
      <c r="DYY2481" s="60"/>
      <c r="DYZ2481" s="60"/>
      <c r="DZA2481" s="60"/>
      <c r="DZB2481" s="61"/>
      <c r="DZC2481" s="54"/>
      <c r="DZD2481" s="54"/>
      <c r="DZE2481" s="60"/>
      <c r="DZF2481" s="60"/>
      <c r="DZG2481" s="60"/>
      <c r="DZH2481" s="60"/>
      <c r="DZI2481" s="60"/>
      <c r="DZJ2481" s="61"/>
      <c r="DZK2481" s="54"/>
      <c r="DZL2481" s="54"/>
      <c r="DZM2481" s="60"/>
      <c r="DZN2481" s="60"/>
      <c r="DZO2481" s="60"/>
      <c r="DZP2481" s="60"/>
      <c r="DZQ2481" s="60"/>
      <c r="DZR2481" s="61"/>
      <c r="DZS2481" s="54"/>
      <c r="DZT2481" s="54"/>
      <c r="DZU2481" s="60"/>
      <c r="DZV2481" s="60"/>
      <c r="DZW2481" s="60"/>
      <c r="DZX2481" s="60"/>
      <c r="DZY2481" s="60"/>
      <c r="DZZ2481" s="61"/>
      <c r="EAA2481" s="54"/>
      <c r="EAB2481" s="54"/>
      <c r="EAC2481" s="60"/>
      <c r="EAD2481" s="60"/>
      <c r="EAE2481" s="60"/>
      <c r="EAF2481" s="60"/>
      <c r="EAG2481" s="60"/>
      <c r="EAH2481" s="61"/>
      <c r="EAI2481" s="54"/>
      <c r="EAJ2481" s="54"/>
      <c r="EAK2481" s="60"/>
      <c r="EAL2481" s="60"/>
      <c r="EAM2481" s="60"/>
      <c r="EAN2481" s="60"/>
      <c r="EAO2481" s="60"/>
      <c r="EAP2481" s="61"/>
      <c r="EAQ2481" s="54"/>
      <c r="EAR2481" s="54"/>
      <c r="EAS2481" s="60"/>
      <c r="EAT2481" s="60"/>
      <c r="EAU2481" s="60"/>
      <c r="EAV2481" s="60"/>
      <c r="EAW2481" s="60"/>
      <c r="EAX2481" s="61"/>
      <c r="EAY2481" s="54"/>
      <c r="EAZ2481" s="54"/>
      <c r="EBA2481" s="60"/>
      <c r="EBB2481" s="60"/>
      <c r="EBC2481" s="60"/>
      <c r="EBD2481" s="60"/>
      <c r="EBE2481" s="60"/>
      <c r="EBF2481" s="61"/>
      <c r="EBG2481" s="54"/>
      <c r="EBH2481" s="54"/>
      <c r="EBI2481" s="60"/>
      <c r="EBJ2481" s="60"/>
      <c r="EBK2481" s="60"/>
      <c r="EBL2481" s="60"/>
      <c r="EBM2481" s="60"/>
      <c r="EBN2481" s="61"/>
      <c r="EBO2481" s="54"/>
      <c r="EBP2481" s="54"/>
      <c r="EBQ2481" s="60"/>
      <c r="EBR2481" s="60"/>
      <c r="EBS2481" s="60"/>
      <c r="EBT2481" s="60"/>
      <c r="EBU2481" s="60"/>
      <c r="EBV2481" s="61"/>
      <c r="EBW2481" s="54"/>
      <c r="EBX2481" s="54"/>
      <c r="EBY2481" s="60"/>
      <c r="EBZ2481" s="60"/>
      <c r="ECA2481" s="60"/>
      <c r="ECB2481" s="60"/>
      <c r="ECC2481" s="60"/>
      <c r="ECD2481" s="61"/>
      <c r="ECE2481" s="54"/>
      <c r="ECF2481" s="54"/>
      <c r="ECG2481" s="60"/>
      <c r="ECH2481" s="60"/>
      <c r="ECI2481" s="60"/>
      <c r="ECJ2481" s="60"/>
      <c r="ECK2481" s="60"/>
      <c r="ECL2481" s="61"/>
      <c r="ECM2481" s="54"/>
      <c r="ECN2481" s="54"/>
      <c r="ECO2481" s="60"/>
      <c r="ECP2481" s="60"/>
      <c r="ECQ2481" s="60"/>
      <c r="ECR2481" s="60"/>
      <c r="ECS2481" s="60"/>
      <c r="ECT2481" s="61"/>
      <c r="ECU2481" s="54"/>
      <c r="ECV2481" s="54"/>
      <c r="ECW2481" s="60"/>
      <c r="ECX2481" s="60"/>
      <c r="ECY2481" s="60"/>
      <c r="ECZ2481" s="60"/>
      <c r="EDA2481" s="60"/>
      <c r="EDB2481" s="61"/>
      <c r="EDC2481" s="54"/>
      <c r="EDD2481" s="54"/>
      <c r="EDE2481" s="60"/>
      <c r="EDF2481" s="60"/>
      <c r="EDG2481" s="60"/>
      <c r="EDH2481" s="60"/>
      <c r="EDI2481" s="60"/>
      <c r="EDJ2481" s="61"/>
      <c r="EDK2481" s="54"/>
      <c r="EDL2481" s="54"/>
      <c r="EDM2481" s="60"/>
      <c r="EDN2481" s="60"/>
      <c r="EDO2481" s="60"/>
      <c r="EDP2481" s="60"/>
      <c r="EDQ2481" s="60"/>
      <c r="EDR2481" s="61"/>
      <c r="EDS2481" s="54"/>
      <c r="EDT2481" s="54"/>
      <c r="EDU2481" s="60"/>
      <c r="EDV2481" s="60"/>
      <c r="EDW2481" s="60"/>
      <c r="EDX2481" s="60"/>
      <c r="EDY2481" s="60"/>
      <c r="EDZ2481" s="61"/>
      <c r="EEA2481" s="54"/>
      <c r="EEB2481" s="54"/>
      <c r="EEC2481" s="60"/>
      <c r="EED2481" s="60"/>
      <c r="EEE2481" s="60"/>
      <c r="EEF2481" s="60"/>
      <c r="EEG2481" s="60"/>
      <c r="EEH2481" s="61"/>
      <c r="EEI2481" s="54"/>
      <c r="EEJ2481" s="54"/>
      <c r="EEK2481" s="60"/>
      <c r="EEL2481" s="60"/>
      <c r="EEM2481" s="60"/>
      <c r="EEN2481" s="60"/>
      <c r="EEO2481" s="60"/>
      <c r="EEP2481" s="61"/>
      <c r="EEQ2481" s="54"/>
      <c r="EER2481" s="54"/>
      <c r="EES2481" s="60"/>
      <c r="EET2481" s="60"/>
      <c r="EEU2481" s="60"/>
      <c r="EEV2481" s="60"/>
      <c r="EEW2481" s="60"/>
      <c r="EEX2481" s="61"/>
      <c r="EEY2481" s="54"/>
      <c r="EEZ2481" s="54"/>
      <c r="EFA2481" s="60"/>
      <c r="EFB2481" s="60"/>
      <c r="EFC2481" s="60"/>
      <c r="EFD2481" s="60"/>
      <c r="EFE2481" s="60"/>
      <c r="EFF2481" s="61"/>
      <c r="EFG2481" s="54"/>
      <c r="EFH2481" s="54"/>
      <c r="EFI2481" s="60"/>
      <c r="EFJ2481" s="60"/>
      <c r="EFK2481" s="60"/>
      <c r="EFL2481" s="60"/>
      <c r="EFM2481" s="60"/>
      <c r="EFN2481" s="61"/>
      <c r="EFO2481" s="54"/>
      <c r="EFP2481" s="54"/>
      <c r="EFQ2481" s="60"/>
      <c r="EFR2481" s="60"/>
      <c r="EFS2481" s="60"/>
      <c r="EFT2481" s="60"/>
      <c r="EFU2481" s="60"/>
      <c r="EFV2481" s="61"/>
      <c r="EFW2481" s="54"/>
      <c r="EFX2481" s="54"/>
      <c r="EFY2481" s="60"/>
      <c r="EFZ2481" s="60"/>
      <c r="EGA2481" s="60"/>
      <c r="EGB2481" s="60"/>
      <c r="EGC2481" s="60"/>
      <c r="EGD2481" s="61"/>
      <c r="EGE2481" s="54"/>
      <c r="EGF2481" s="54"/>
      <c r="EGG2481" s="60"/>
      <c r="EGH2481" s="60"/>
      <c r="EGI2481" s="60"/>
      <c r="EGJ2481" s="60"/>
      <c r="EGK2481" s="60"/>
      <c r="EGL2481" s="61"/>
      <c r="EGM2481" s="54"/>
      <c r="EGN2481" s="54"/>
      <c r="EGO2481" s="60"/>
      <c r="EGP2481" s="60"/>
      <c r="EGQ2481" s="60"/>
      <c r="EGR2481" s="60"/>
      <c r="EGS2481" s="60"/>
      <c r="EGT2481" s="61"/>
      <c r="EGU2481" s="54"/>
      <c r="EGV2481" s="54"/>
      <c r="EGW2481" s="60"/>
      <c r="EGX2481" s="60"/>
      <c r="EGY2481" s="60"/>
      <c r="EGZ2481" s="60"/>
      <c r="EHA2481" s="60"/>
      <c r="EHB2481" s="61"/>
      <c r="EHC2481" s="54"/>
      <c r="EHD2481" s="54"/>
      <c r="EHE2481" s="60"/>
      <c r="EHF2481" s="60"/>
      <c r="EHG2481" s="60"/>
      <c r="EHH2481" s="60"/>
      <c r="EHI2481" s="60"/>
      <c r="EHJ2481" s="61"/>
      <c r="EHK2481" s="54"/>
      <c r="EHL2481" s="54"/>
      <c r="EHM2481" s="60"/>
      <c r="EHN2481" s="60"/>
      <c r="EHO2481" s="60"/>
      <c r="EHP2481" s="60"/>
      <c r="EHQ2481" s="60"/>
      <c r="EHR2481" s="61"/>
      <c r="EHS2481" s="54"/>
      <c r="EHT2481" s="54"/>
      <c r="EHU2481" s="60"/>
      <c r="EHV2481" s="60"/>
      <c r="EHW2481" s="60"/>
      <c r="EHX2481" s="60"/>
      <c r="EHY2481" s="60"/>
      <c r="EHZ2481" s="61"/>
      <c r="EIA2481" s="54"/>
      <c r="EIB2481" s="54"/>
      <c r="EIC2481" s="60"/>
      <c r="EID2481" s="60"/>
      <c r="EIE2481" s="60"/>
      <c r="EIF2481" s="60"/>
      <c r="EIG2481" s="60"/>
      <c r="EIH2481" s="61"/>
      <c r="EII2481" s="54"/>
      <c r="EIJ2481" s="54"/>
      <c r="EIK2481" s="60"/>
      <c r="EIL2481" s="60"/>
      <c r="EIM2481" s="60"/>
      <c r="EIN2481" s="60"/>
      <c r="EIO2481" s="60"/>
      <c r="EIP2481" s="61"/>
      <c r="EIQ2481" s="54"/>
      <c r="EIR2481" s="54"/>
      <c r="EIS2481" s="60"/>
      <c r="EIT2481" s="60"/>
      <c r="EIU2481" s="60"/>
      <c r="EIV2481" s="60"/>
      <c r="EIW2481" s="60"/>
      <c r="EIX2481" s="61"/>
      <c r="EIY2481" s="54"/>
      <c r="EIZ2481" s="54"/>
      <c r="EJA2481" s="60"/>
      <c r="EJB2481" s="60"/>
      <c r="EJC2481" s="60"/>
      <c r="EJD2481" s="60"/>
      <c r="EJE2481" s="60"/>
      <c r="EJF2481" s="61"/>
      <c r="EJG2481" s="54"/>
      <c r="EJH2481" s="54"/>
      <c r="EJI2481" s="60"/>
      <c r="EJJ2481" s="60"/>
      <c r="EJK2481" s="60"/>
      <c r="EJL2481" s="60"/>
      <c r="EJM2481" s="60"/>
      <c r="EJN2481" s="61"/>
      <c r="EJO2481" s="54"/>
      <c r="EJP2481" s="54"/>
      <c r="EJQ2481" s="60"/>
      <c r="EJR2481" s="60"/>
      <c r="EJS2481" s="60"/>
      <c r="EJT2481" s="60"/>
      <c r="EJU2481" s="60"/>
      <c r="EJV2481" s="61"/>
      <c r="EJW2481" s="54"/>
      <c r="EJX2481" s="54"/>
      <c r="EJY2481" s="60"/>
      <c r="EJZ2481" s="60"/>
      <c r="EKA2481" s="60"/>
      <c r="EKB2481" s="60"/>
      <c r="EKC2481" s="60"/>
      <c r="EKD2481" s="61"/>
      <c r="EKE2481" s="54"/>
      <c r="EKF2481" s="54"/>
      <c r="EKG2481" s="60"/>
      <c r="EKH2481" s="60"/>
      <c r="EKI2481" s="60"/>
      <c r="EKJ2481" s="60"/>
      <c r="EKK2481" s="60"/>
      <c r="EKL2481" s="61"/>
      <c r="EKM2481" s="54"/>
      <c r="EKN2481" s="54"/>
      <c r="EKO2481" s="60"/>
      <c r="EKP2481" s="60"/>
      <c r="EKQ2481" s="60"/>
      <c r="EKR2481" s="60"/>
      <c r="EKS2481" s="60"/>
      <c r="EKT2481" s="61"/>
      <c r="EKU2481" s="54"/>
      <c r="EKV2481" s="54"/>
      <c r="EKW2481" s="60"/>
      <c r="EKX2481" s="60"/>
      <c r="EKY2481" s="60"/>
      <c r="EKZ2481" s="60"/>
      <c r="ELA2481" s="60"/>
      <c r="ELB2481" s="61"/>
      <c r="ELC2481" s="54"/>
      <c r="ELD2481" s="54"/>
      <c r="ELE2481" s="60"/>
      <c r="ELF2481" s="60"/>
      <c r="ELG2481" s="60"/>
      <c r="ELH2481" s="60"/>
      <c r="ELI2481" s="60"/>
      <c r="ELJ2481" s="61"/>
      <c r="ELK2481" s="54"/>
      <c r="ELL2481" s="54"/>
      <c r="ELM2481" s="60"/>
      <c r="ELN2481" s="60"/>
      <c r="ELO2481" s="60"/>
      <c r="ELP2481" s="60"/>
      <c r="ELQ2481" s="60"/>
      <c r="ELR2481" s="61"/>
      <c r="ELS2481" s="54"/>
      <c r="ELT2481" s="54"/>
      <c r="ELU2481" s="60"/>
      <c r="ELV2481" s="60"/>
      <c r="ELW2481" s="60"/>
      <c r="ELX2481" s="60"/>
      <c r="ELY2481" s="60"/>
      <c r="ELZ2481" s="61"/>
      <c r="EMA2481" s="54"/>
      <c r="EMB2481" s="54"/>
      <c r="EMC2481" s="60"/>
      <c r="EMD2481" s="60"/>
      <c r="EME2481" s="60"/>
      <c r="EMF2481" s="60"/>
      <c r="EMG2481" s="60"/>
      <c r="EMH2481" s="61"/>
      <c r="EMI2481" s="54"/>
      <c r="EMJ2481" s="54"/>
      <c r="EMK2481" s="60"/>
      <c r="EML2481" s="60"/>
      <c r="EMM2481" s="60"/>
      <c r="EMN2481" s="60"/>
      <c r="EMO2481" s="60"/>
      <c r="EMP2481" s="61"/>
      <c r="EMQ2481" s="54"/>
      <c r="EMR2481" s="54"/>
      <c r="EMS2481" s="60"/>
      <c r="EMT2481" s="60"/>
      <c r="EMU2481" s="60"/>
      <c r="EMV2481" s="60"/>
      <c r="EMW2481" s="60"/>
      <c r="EMX2481" s="61"/>
      <c r="EMY2481" s="54"/>
      <c r="EMZ2481" s="54"/>
      <c r="ENA2481" s="60"/>
      <c r="ENB2481" s="60"/>
      <c r="ENC2481" s="60"/>
      <c r="END2481" s="60"/>
      <c r="ENE2481" s="60"/>
      <c r="ENF2481" s="61"/>
      <c r="ENG2481" s="54"/>
      <c r="ENH2481" s="54"/>
      <c r="ENI2481" s="60"/>
      <c r="ENJ2481" s="60"/>
      <c r="ENK2481" s="60"/>
      <c r="ENL2481" s="60"/>
      <c r="ENM2481" s="60"/>
      <c r="ENN2481" s="61"/>
      <c r="ENO2481" s="54"/>
      <c r="ENP2481" s="54"/>
      <c r="ENQ2481" s="60"/>
      <c r="ENR2481" s="60"/>
      <c r="ENS2481" s="60"/>
      <c r="ENT2481" s="60"/>
      <c r="ENU2481" s="60"/>
      <c r="ENV2481" s="61"/>
      <c r="ENW2481" s="54"/>
      <c r="ENX2481" s="54"/>
      <c r="ENY2481" s="60"/>
      <c r="ENZ2481" s="60"/>
      <c r="EOA2481" s="60"/>
      <c r="EOB2481" s="60"/>
      <c r="EOC2481" s="60"/>
      <c r="EOD2481" s="61"/>
      <c r="EOE2481" s="54"/>
      <c r="EOF2481" s="54"/>
      <c r="EOG2481" s="60"/>
      <c r="EOH2481" s="60"/>
      <c r="EOI2481" s="60"/>
      <c r="EOJ2481" s="60"/>
      <c r="EOK2481" s="60"/>
      <c r="EOL2481" s="61"/>
      <c r="EOM2481" s="54"/>
      <c r="EON2481" s="54"/>
      <c r="EOO2481" s="60"/>
      <c r="EOP2481" s="60"/>
      <c r="EOQ2481" s="60"/>
      <c r="EOR2481" s="60"/>
      <c r="EOS2481" s="60"/>
      <c r="EOT2481" s="61"/>
      <c r="EOU2481" s="54"/>
      <c r="EOV2481" s="54"/>
      <c r="EOW2481" s="60"/>
      <c r="EOX2481" s="60"/>
      <c r="EOY2481" s="60"/>
      <c r="EOZ2481" s="60"/>
      <c r="EPA2481" s="60"/>
      <c r="EPB2481" s="61"/>
      <c r="EPC2481" s="54"/>
      <c r="EPD2481" s="54"/>
      <c r="EPE2481" s="60"/>
      <c r="EPF2481" s="60"/>
      <c r="EPG2481" s="60"/>
      <c r="EPH2481" s="60"/>
      <c r="EPI2481" s="60"/>
      <c r="EPJ2481" s="61"/>
      <c r="EPK2481" s="54"/>
      <c r="EPL2481" s="54"/>
      <c r="EPM2481" s="60"/>
      <c r="EPN2481" s="60"/>
      <c r="EPO2481" s="60"/>
      <c r="EPP2481" s="60"/>
      <c r="EPQ2481" s="60"/>
      <c r="EPR2481" s="61"/>
      <c r="EPS2481" s="54"/>
      <c r="EPT2481" s="54"/>
      <c r="EPU2481" s="60"/>
      <c r="EPV2481" s="60"/>
      <c r="EPW2481" s="60"/>
      <c r="EPX2481" s="60"/>
      <c r="EPY2481" s="60"/>
      <c r="EPZ2481" s="61"/>
      <c r="EQA2481" s="54"/>
      <c r="EQB2481" s="54"/>
      <c r="EQC2481" s="60"/>
      <c r="EQD2481" s="60"/>
      <c r="EQE2481" s="60"/>
      <c r="EQF2481" s="60"/>
      <c r="EQG2481" s="60"/>
      <c r="EQH2481" s="61"/>
      <c r="EQI2481" s="54"/>
      <c r="EQJ2481" s="54"/>
      <c r="EQK2481" s="60"/>
      <c r="EQL2481" s="60"/>
      <c r="EQM2481" s="60"/>
      <c r="EQN2481" s="60"/>
      <c r="EQO2481" s="60"/>
      <c r="EQP2481" s="61"/>
      <c r="EQQ2481" s="54"/>
      <c r="EQR2481" s="54"/>
      <c r="EQS2481" s="60"/>
      <c r="EQT2481" s="60"/>
      <c r="EQU2481" s="60"/>
      <c r="EQV2481" s="60"/>
      <c r="EQW2481" s="60"/>
      <c r="EQX2481" s="61"/>
      <c r="EQY2481" s="54"/>
      <c r="EQZ2481" s="54"/>
      <c r="ERA2481" s="60"/>
      <c r="ERB2481" s="60"/>
      <c r="ERC2481" s="60"/>
      <c r="ERD2481" s="60"/>
      <c r="ERE2481" s="60"/>
      <c r="ERF2481" s="61"/>
      <c r="ERG2481" s="54"/>
      <c r="ERH2481" s="54"/>
      <c r="ERI2481" s="60"/>
      <c r="ERJ2481" s="60"/>
      <c r="ERK2481" s="60"/>
      <c r="ERL2481" s="60"/>
      <c r="ERM2481" s="60"/>
      <c r="ERN2481" s="61"/>
      <c r="ERO2481" s="54"/>
      <c r="ERP2481" s="54"/>
      <c r="ERQ2481" s="60"/>
      <c r="ERR2481" s="60"/>
      <c r="ERS2481" s="60"/>
      <c r="ERT2481" s="60"/>
      <c r="ERU2481" s="60"/>
      <c r="ERV2481" s="61"/>
      <c r="ERW2481" s="54"/>
      <c r="ERX2481" s="54"/>
      <c r="ERY2481" s="60"/>
      <c r="ERZ2481" s="60"/>
      <c r="ESA2481" s="60"/>
      <c r="ESB2481" s="60"/>
      <c r="ESC2481" s="60"/>
      <c r="ESD2481" s="61"/>
      <c r="ESE2481" s="54"/>
      <c r="ESF2481" s="54"/>
      <c r="ESG2481" s="60"/>
      <c r="ESH2481" s="60"/>
      <c r="ESI2481" s="60"/>
      <c r="ESJ2481" s="60"/>
      <c r="ESK2481" s="60"/>
      <c r="ESL2481" s="61"/>
      <c r="ESM2481" s="54"/>
      <c r="ESN2481" s="54"/>
      <c r="ESO2481" s="60"/>
      <c r="ESP2481" s="60"/>
      <c r="ESQ2481" s="60"/>
      <c r="ESR2481" s="60"/>
      <c r="ESS2481" s="60"/>
      <c r="EST2481" s="61"/>
      <c r="ESU2481" s="54"/>
      <c r="ESV2481" s="54"/>
      <c r="ESW2481" s="60"/>
      <c r="ESX2481" s="60"/>
      <c r="ESY2481" s="60"/>
      <c r="ESZ2481" s="60"/>
      <c r="ETA2481" s="60"/>
      <c r="ETB2481" s="61"/>
      <c r="ETC2481" s="54"/>
      <c r="ETD2481" s="54"/>
      <c r="ETE2481" s="60"/>
      <c r="ETF2481" s="60"/>
      <c r="ETG2481" s="60"/>
      <c r="ETH2481" s="60"/>
      <c r="ETI2481" s="60"/>
      <c r="ETJ2481" s="61"/>
      <c r="ETK2481" s="54"/>
      <c r="ETL2481" s="54"/>
      <c r="ETM2481" s="60"/>
      <c r="ETN2481" s="60"/>
      <c r="ETO2481" s="60"/>
      <c r="ETP2481" s="60"/>
      <c r="ETQ2481" s="60"/>
      <c r="ETR2481" s="61"/>
      <c r="ETS2481" s="54"/>
      <c r="ETT2481" s="54"/>
      <c r="ETU2481" s="60"/>
      <c r="ETV2481" s="60"/>
      <c r="ETW2481" s="60"/>
      <c r="ETX2481" s="60"/>
      <c r="ETY2481" s="60"/>
      <c r="ETZ2481" s="61"/>
      <c r="EUA2481" s="54"/>
      <c r="EUB2481" s="54"/>
      <c r="EUC2481" s="60"/>
      <c r="EUD2481" s="60"/>
      <c r="EUE2481" s="60"/>
      <c r="EUF2481" s="60"/>
      <c r="EUG2481" s="60"/>
      <c r="EUH2481" s="61"/>
      <c r="EUI2481" s="54"/>
      <c r="EUJ2481" s="54"/>
      <c r="EUK2481" s="60"/>
      <c r="EUL2481" s="60"/>
      <c r="EUM2481" s="60"/>
      <c r="EUN2481" s="60"/>
      <c r="EUO2481" s="60"/>
      <c r="EUP2481" s="61"/>
      <c r="EUQ2481" s="54"/>
      <c r="EUR2481" s="54"/>
      <c r="EUS2481" s="60"/>
      <c r="EUT2481" s="60"/>
      <c r="EUU2481" s="60"/>
      <c r="EUV2481" s="60"/>
      <c r="EUW2481" s="60"/>
      <c r="EUX2481" s="61"/>
      <c r="EUY2481" s="54"/>
      <c r="EUZ2481" s="54"/>
      <c r="EVA2481" s="60"/>
      <c r="EVB2481" s="60"/>
      <c r="EVC2481" s="60"/>
      <c r="EVD2481" s="60"/>
      <c r="EVE2481" s="60"/>
      <c r="EVF2481" s="61"/>
      <c r="EVG2481" s="54"/>
      <c r="EVH2481" s="54"/>
      <c r="EVI2481" s="60"/>
      <c r="EVJ2481" s="60"/>
      <c r="EVK2481" s="60"/>
      <c r="EVL2481" s="60"/>
      <c r="EVM2481" s="60"/>
      <c r="EVN2481" s="61"/>
      <c r="EVO2481" s="54"/>
      <c r="EVP2481" s="54"/>
      <c r="EVQ2481" s="60"/>
      <c r="EVR2481" s="60"/>
      <c r="EVS2481" s="60"/>
      <c r="EVT2481" s="60"/>
      <c r="EVU2481" s="60"/>
      <c r="EVV2481" s="61"/>
      <c r="EVW2481" s="54"/>
      <c r="EVX2481" s="54"/>
      <c r="EVY2481" s="60"/>
      <c r="EVZ2481" s="60"/>
      <c r="EWA2481" s="60"/>
      <c r="EWB2481" s="60"/>
      <c r="EWC2481" s="60"/>
      <c r="EWD2481" s="61"/>
      <c r="EWE2481" s="54"/>
      <c r="EWF2481" s="54"/>
      <c r="EWG2481" s="60"/>
      <c r="EWH2481" s="60"/>
      <c r="EWI2481" s="60"/>
      <c r="EWJ2481" s="60"/>
      <c r="EWK2481" s="60"/>
      <c r="EWL2481" s="61"/>
      <c r="EWM2481" s="54"/>
      <c r="EWN2481" s="54"/>
      <c r="EWO2481" s="60"/>
      <c r="EWP2481" s="60"/>
      <c r="EWQ2481" s="60"/>
      <c r="EWR2481" s="60"/>
      <c r="EWS2481" s="60"/>
      <c r="EWT2481" s="61"/>
      <c r="EWU2481" s="54"/>
      <c r="EWV2481" s="54"/>
      <c r="EWW2481" s="60"/>
      <c r="EWX2481" s="60"/>
      <c r="EWY2481" s="60"/>
      <c r="EWZ2481" s="60"/>
      <c r="EXA2481" s="60"/>
      <c r="EXB2481" s="61"/>
      <c r="EXC2481" s="54"/>
      <c r="EXD2481" s="54"/>
      <c r="EXE2481" s="60"/>
      <c r="EXF2481" s="60"/>
      <c r="EXG2481" s="60"/>
      <c r="EXH2481" s="60"/>
      <c r="EXI2481" s="60"/>
      <c r="EXJ2481" s="61"/>
      <c r="EXK2481" s="54"/>
      <c r="EXL2481" s="54"/>
      <c r="EXM2481" s="60"/>
      <c r="EXN2481" s="60"/>
      <c r="EXO2481" s="60"/>
      <c r="EXP2481" s="60"/>
      <c r="EXQ2481" s="60"/>
      <c r="EXR2481" s="61"/>
      <c r="EXS2481" s="54"/>
      <c r="EXT2481" s="54"/>
      <c r="EXU2481" s="60"/>
      <c r="EXV2481" s="60"/>
      <c r="EXW2481" s="60"/>
      <c r="EXX2481" s="60"/>
      <c r="EXY2481" s="60"/>
      <c r="EXZ2481" s="61"/>
      <c r="EYA2481" s="54"/>
      <c r="EYB2481" s="54"/>
      <c r="EYC2481" s="60"/>
      <c r="EYD2481" s="60"/>
      <c r="EYE2481" s="60"/>
      <c r="EYF2481" s="60"/>
      <c r="EYG2481" s="60"/>
      <c r="EYH2481" s="61"/>
      <c r="EYI2481" s="54"/>
      <c r="EYJ2481" s="54"/>
      <c r="EYK2481" s="60"/>
      <c r="EYL2481" s="60"/>
      <c r="EYM2481" s="60"/>
      <c r="EYN2481" s="60"/>
      <c r="EYO2481" s="60"/>
      <c r="EYP2481" s="61"/>
      <c r="EYQ2481" s="54"/>
      <c r="EYR2481" s="54"/>
      <c r="EYS2481" s="60"/>
      <c r="EYT2481" s="60"/>
      <c r="EYU2481" s="60"/>
      <c r="EYV2481" s="60"/>
      <c r="EYW2481" s="60"/>
      <c r="EYX2481" s="61"/>
      <c r="EYY2481" s="54"/>
      <c r="EYZ2481" s="54"/>
      <c r="EZA2481" s="60"/>
      <c r="EZB2481" s="60"/>
      <c r="EZC2481" s="60"/>
      <c r="EZD2481" s="60"/>
      <c r="EZE2481" s="60"/>
      <c r="EZF2481" s="61"/>
      <c r="EZG2481" s="54"/>
      <c r="EZH2481" s="54"/>
      <c r="EZI2481" s="60"/>
      <c r="EZJ2481" s="60"/>
      <c r="EZK2481" s="60"/>
      <c r="EZL2481" s="60"/>
      <c r="EZM2481" s="60"/>
      <c r="EZN2481" s="61"/>
      <c r="EZO2481" s="54"/>
      <c r="EZP2481" s="54"/>
      <c r="EZQ2481" s="60"/>
      <c r="EZR2481" s="60"/>
      <c r="EZS2481" s="60"/>
      <c r="EZT2481" s="60"/>
      <c r="EZU2481" s="60"/>
      <c r="EZV2481" s="61"/>
      <c r="EZW2481" s="54"/>
      <c r="EZX2481" s="54"/>
      <c r="EZY2481" s="60"/>
      <c r="EZZ2481" s="60"/>
      <c r="FAA2481" s="60"/>
      <c r="FAB2481" s="60"/>
      <c r="FAC2481" s="60"/>
      <c r="FAD2481" s="61"/>
      <c r="FAE2481" s="54"/>
      <c r="FAF2481" s="54"/>
      <c r="FAG2481" s="60"/>
      <c r="FAH2481" s="60"/>
      <c r="FAI2481" s="60"/>
      <c r="FAJ2481" s="60"/>
      <c r="FAK2481" s="60"/>
      <c r="FAL2481" s="61"/>
      <c r="FAM2481" s="54"/>
      <c r="FAN2481" s="54"/>
      <c r="FAO2481" s="60"/>
      <c r="FAP2481" s="60"/>
      <c r="FAQ2481" s="60"/>
      <c r="FAR2481" s="60"/>
      <c r="FAS2481" s="60"/>
      <c r="FAT2481" s="61"/>
      <c r="FAU2481" s="54"/>
      <c r="FAV2481" s="54"/>
      <c r="FAW2481" s="60"/>
      <c r="FAX2481" s="60"/>
      <c r="FAY2481" s="60"/>
      <c r="FAZ2481" s="60"/>
      <c r="FBA2481" s="60"/>
      <c r="FBB2481" s="61"/>
      <c r="FBC2481" s="54"/>
      <c r="FBD2481" s="54"/>
      <c r="FBE2481" s="60"/>
      <c r="FBF2481" s="60"/>
      <c r="FBG2481" s="60"/>
      <c r="FBH2481" s="60"/>
      <c r="FBI2481" s="60"/>
      <c r="FBJ2481" s="61"/>
      <c r="FBK2481" s="54"/>
      <c r="FBL2481" s="54"/>
      <c r="FBM2481" s="60"/>
      <c r="FBN2481" s="60"/>
      <c r="FBO2481" s="60"/>
      <c r="FBP2481" s="60"/>
      <c r="FBQ2481" s="60"/>
      <c r="FBR2481" s="61"/>
      <c r="FBS2481" s="54"/>
      <c r="FBT2481" s="54"/>
      <c r="FBU2481" s="60"/>
      <c r="FBV2481" s="60"/>
      <c r="FBW2481" s="60"/>
      <c r="FBX2481" s="60"/>
      <c r="FBY2481" s="60"/>
      <c r="FBZ2481" s="61"/>
      <c r="FCA2481" s="54"/>
      <c r="FCB2481" s="54"/>
      <c r="FCC2481" s="60"/>
      <c r="FCD2481" s="60"/>
      <c r="FCE2481" s="60"/>
      <c r="FCF2481" s="60"/>
      <c r="FCG2481" s="60"/>
      <c r="FCH2481" s="61"/>
      <c r="FCI2481" s="54"/>
      <c r="FCJ2481" s="54"/>
      <c r="FCK2481" s="60"/>
      <c r="FCL2481" s="60"/>
      <c r="FCM2481" s="60"/>
      <c r="FCN2481" s="60"/>
      <c r="FCO2481" s="60"/>
      <c r="FCP2481" s="61"/>
      <c r="FCQ2481" s="54"/>
      <c r="FCR2481" s="54"/>
      <c r="FCS2481" s="60"/>
      <c r="FCT2481" s="60"/>
      <c r="FCU2481" s="60"/>
      <c r="FCV2481" s="60"/>
      <c r="FCW2481" s="60"/>
      <c r="FCX2481" s="61"/>
      <c r="FCY2481" s="54"/>
      <c r="FCZ2481" s="54"/>
      <c r="FDA2481" s="60"/>
      <c r="FDB2481" s="60"/>
      <c r="FDC2481" s="60"/>
      <c r="FDD2481" s="60"/>
      <c r="FDE2481" s="60"/>
      <c r="FDF2481" s="61"/>
      <c r="FDG2481" s="54"/>
      <c r="FDH2481" s="54"/>
      <c r="FDI2481" s="60"/>
      <c r="FDJ2481" s="60"/>
      <c r="FDK2481" s="60"/>
      <c r="FDL2481" s="60"/>
      <c r="FDM2481" s="60"/>
      <c r="FDN2481" s="61"/>
      <c r="FDO2481" s="54"/>
      <c r="FDP2481" s="54"/>
      <c r="FDQ2481" s="60"/>
      <c r="FDR2481" s="60"/>
      <c r="FDS2481" s="60"/>
      <c r="FDT2481" s="60"/>
      <c r="FDU2481" s="60"/>
      <c r="FDV2481" s="61"/>
      <c r="FDW2481" s="54"/>
      <c r="FDX2481" s="54"/>
      <c r="FDY2481" s="60"/>
      <c r="FDZ2481" s="60"/>
      <c r="FEA2481" s="60"/>
      <c r="FEB2481" s="60"/>
      <c r="FEC2481" s="60"/>
      <c r="FED2481" s="61"/>
      <c r="FEE2481" s="54"/>
      <c r="FEF2481" s="54"/>
      <c r="FEG2481" s="60"/>
      <c r="FEH2481" s="60"/>
      <c r="FEI2481" s="60"/>
      <c r="FEJ2481" s="60"/>
      <c r="FEK2481" s="60"/>
      <c r="FEL2481" s="61"/>
      <c r="FEM2481" s="54"/>
      <c r="FEN2481" s="54"/>
      <c r="FEO2481" s="60"/>
      <c r="FEP2481" s="60"/>
      <c r="FEQ2481" s="60"/>
      <c r="FER2481" s="60"/>
      <c r="FES2481" s="60"/>
      <c r="FET2481" s="61"/>
      <c r="FEU2481" s="54"/>
      <c r="FEV2481" s="54"/>
      <c r="FEW2481" s="60"/>
      <c r="FEX2481" s="60"/>
      <c r="FEY2481" s="60"/>
      <c r="FEZ2481" s="60"/>
      <c r="FFA2481" s="60"/>
      <c r="FFB2481" s="61"/>
      <c r="FFC2481" s="54"/>
      <c r="FFD2481" s="54"/>
      <c r="FFE2481" s="60"/>
      <c r="FFF2481" s="60"/>
      <c r="FFG2481" s="60"/>
      <c r="FFH2481" s="60"/>
      <c r="FFI2481" s="60"/>
      <c r="FFJ2481" s="61"/>
      <c r="FFK2481" s="54"/>
      <c r="FFL2481" s="54"/>
      <c r="FFM2481" s="60"/>
      <c r="FFN2481" s="60"/>
      <c r="FFO2481" s="60"/>
      <c r="FFP2481" s="60"/>
      <c r="FFQ2481" s="60"/>
      <c r="FFR2481" s="61"/>
      <c r="FFS2481" s="54"/>
      <c r="FFT2481" s="54"/>
      <c r="FFU2481" s="60"/>
      <c r="FFV2481" s="60"/>
      <c r="FFW2481" s="60"/>
      <c r="FFX2481" s="60"/>
      <c r="FFY2481" s="60"/>
      <c r="FFZ2481" s="61"/>
      <c r="FGA2481" s="54"/>
      <c r="FGB2481" s="54"/>
      <c r="FGC2481" s="60"/>
      <c r="FGD2481" s="60"/>
      <c r="FGE2481" s="60"/>
      <c r="FGF2481" s="60"/>
      <c r="FGG2481" s="60"/>
      <c r="FGH2481" s="61"/>
      <c r="FGI2481" s="54"/>
      <c r="FGJ2481" s="54"/>
      <c r="FGK2481" s="60"/>
      <c r="FGL2481" s="60"/>
      <c r="FGM2481" s="60"/>
      <c r="FGN2481" s="60"/>
      <c r="FGO2481" s="60"/>
      <c r="FGP2481" s="61"/>
      <c r="FGQ2481" s="54"/>
      <c r="FGR2481" s="54"/>
      <c r="FGS2481" s="60"/>
      <c r="FGT2481" s="60"/>
      <c r="FGU2481" s="60"/>
      <c r="FGV2481" s="60"/>
      <c r="FGW2481" s="60"/>
      <c r="FGX2481" s="61"/>
      <c r="FGY2481" s="54"/>
      <c r="FGZ2481" s="54"/>
      <c r="FHA2481" s="60"/>
      <c r="FHB2481" s="60"/>
      <c r="FHC2481" s="60"/>
      <c r="FHD2481" s="60"/>
      <c r="FHE2481" s="60"/>
      <c r="FHF2481" s="61"/>
      <c r="FHG2481" s="54"/>
      <c r="FHH2481" s="54"/>
      <c r="FHI2481" s="60"/>
      <c r="FHJ2481" s="60"/>
      <c r="FHK2481" s="60"/>
      <c r="FHL2481" s="60"/>
      <c r="FHM2481" s="60"/>
      <c r="FHN2481" s="61"/>
      <c r="FHO2481" s="54"/>
      <c r="FHP2481" s="54"/>
      <c r="FHQ2481" s="60"/>
      <c r="FHR2481" s="60"/>
      <c r="FHS2481" s="60"/>
      <c r="FHT2481" s="60"/>
      <c r="FHU2481" s="60"/>
      <c r="FHV2481" s="61"/>
      <c r="FHW2481" s="54"/>
      <c r="FHX2481" s="54"/>
      <c r="FHY2481" s="60"/>
      <c r="FHZ2481" s="60"/>
      <c r="FIA2481" s="60"/>
      <c r="FIB2481" s="60"/>
      <c r="FIC2481" s="60"/>
      <c r="FID2481" s="61"/>
      <c r="FIE2481" s="54"/>
      <c r="FIF2481" s="54"/>
      <c r="FIG2481" s="60"/>
      <c r="FIH2481" s="60"/>
      <c r="FII2481" s="60"/>
      <c r="FIJ2481" s="60"/>
      <c r="FIK2481" s="60"/>
      <c r="FIL2481" s="61"/>
      <c r="FIM2481" s="54"/>
      <c r="FIN2481" s="54"/>
      <c r="FIO2481" s="60"/>
      <c r="FIP2481" s="60"/>
      <c r="FIQ2481" s="60"/>
      <c r="FIR2481" s="60"/>
      <c r="FIS2481" s="60"/>
      <c r="FIT2481" s="61"/>
      <c r="FIU2481" s="54"/>
      <c r="FIV2481" s="54"/>
      <c r="FIW2481" s="60"/>
      <c r="FIX2481" s="60"/>
      <c r="FIY2481" s="60"/>
      <c r="FIZ2481" s="60"/>
      <c r="FJA2481" s="60"/>
      <c r="FJB2481" s="61"/>
      <c r="FJC2481" s="54"/>
      <c r="FJD2481" s="54"/>
      <c r="FJE2481" s="60"/>
      <c r="FJF2481" s="60"/>
      <c r="FJG2481" s="60"/>
      <c r="FJH2481" s="60"/>
      <c r="FJI2481" s="60"/>
      <c r="FJJ2481" s="61"/>
      <c r="FJK2481" s="54"/>
      <c r="FJL2481" s="54"/>
      <c r="FJM2481" s="60"/>
      <c r="FJN2481" s="60"/>
      <c r="FJO2481" s="60"/>
      <c r="FJP2481" s="60"/>
      <c r="FJQ2481" s="60"/>
      <c r="FJR2481" s="61"/>
      <c r="FJS2481" s="54"/>
      <c r="FJT2481" s="54"/>
      <c r="FJU2481" s="60"/>
      <c r="FJV2481" s="60"/>
      <c r="FJW2481" s="60"/>
      <c r="FJX2481" s="60"/>
      <c r="FJY2481" s="60"/>
      <c r="FJZ2481" s="61"/>
      <c r="FKA2481" s="54"/>
      <c r="FKB2481" s="54"/>
      <c r="FKC2481" s="60"/>
      <c r="FKD2481" s="60"/>
      <c r="FKE2481" s="60"/>
      <c r="FKF2481" s="60"/>
      <c r="FKG2481" s="60"/>
      <c r="FKH2481" s="61"/>
      <c r="FKI2481" s="54"/>
      <c r="FKJ2481" s="54"/>
      <c r="FKK2481" s="60"/>
      <c r="FKL2481" s="60"/>
      <c r="FKM2481" s="60"/>
      <c r="FKN2481" s="60"/>
      <c r="FKO2481" s="60"/>
      <c r="FKP2481" s="61"/>
      <c r="FKQ2481" s="54"/>
      <c r="FKR2481" s="54"/>
      <c r="FKS2481" s="60"/>
      <c r="FKT2481" s="60"/>
      <c r="FKU2481" s="60"/>
      <c r="FKV2481" s="60"/>
      <c r="FKW2481" s="60"/>
      <c r="FKX2481" s="61"/>
      <c r="FKY2481" s="54"/>
      <c r="FKZ2481" s="54"/>
      <c r="FLA2481" s="60"/>
      <c r="FLB2481" s="60"/>
      <c r="FLC2481" s="60"/>
      <c r="FLD2481" s="60"/>
      <c r="FLE2481" s="60"/>
      <c r="FLF2481" s="61"/>
      <c r="FLG2481" s="54"/>
      <c r="FLH2481" s="54"/>
      <c r="FLI2481" s="60"/>
      <c r="FLJ2481" s="60"/>
      <c r="FLK2481" s="60"/>
      <c r="FLL2481" s="60"/>
      <c r="FLM2481" s="60"/>
      <c r="FLN2481" s="61"/>
      <c r="FLO2481" s="54"/>
      <c r="FLP2481" s="54"/>
      <c r="FLQ2481" s="60"/>
      <c r="FLR2481" s="60"/>
      <c r="FLS2481" s="60"/>
      <c r="FLT2481" s="60"/>
      <c r="FLU2481" s="60"/>
      <c r="FLV2481" s="61"/>
      <c r="FLW2481" s="54"/>
      <c r="FLX2481" s="54"/>
      <c r="FLY2481" s="60"/>
      <c r="FLZ2481" s="60"/>
      <c r="FMA2481" s="60"/>
      <c r="FMB2481" s="60"/>
      <c r="FMC2481" s="60"/>
      <c r="FMD2481" s="61"/>
      <c r="FME2481" s="54"/>
      <c r="FMF2481" s="54"/>
      <c r="FMG2481" s="60"/>
      <c r="FMH2481" s="60"/>
      <c r="FMI2481" s="60"/>
      <c r="FMJ2481" s="60"/>
      <c r="FMK2481" s="60"/>
      <c r="FML2481" s="61"/>
      <c r="FMM2481" s="54"/>
      <c r="FMN2481" s="54"/>
      <c r="FMO2481" s="60"/>
      <c r="FMP2481" s="60"/>
      <c r="FMQ2481" s="60"/>
      <c r="FMR2481" s="60"/>
      <c r="FMS2481" s="60"/>
      <c r="FMT2481" s="61"/>
      <c r="FMU2481" s="54"/>
      <c r="FMV2481" s="54"/>
      <c r="FMW2481" s="60"/>
      <c r="FMX2481" s="60"/>
      <c r="FMY2481" s="60"/>
      <c r="FMZ2481" s="60"/>
      <c r="FNA2481" s="60"/>
      <c r="FNB2481" s="61"/>
      <c r="FNC2481" s="54"/>
      <c r="FND2481" s="54"/>
      <c r="FNE2481" s="60"/>
      <c r="FNF2481" s="60"/>
      <c r="FNG2481" s="60"/>
      <c r="FNH2481" s="60"/>
      <c r="FNI2481" s="60"/>
      <c r="FNJ2481" s="61"/>
      <c r="FNK2481" s="54"/>
      <c r="FNL2481" s="54"/>
      <c r="FNM2481" s="60"/>
      <c r="FNN2481" s="60"/>
      <c r="FNO2481" s="60"/>
      <c r="FNP2481" s="60"/>
      <c r="FNQ2481" s="60"/>
      <c r="FNR2481" s="61"/>
      <c r="FNS2481" s="54"/>
      <c r="FNT2481" s="54"/>
      <c r="FNU2481" s="60"/>
      <c r="FNV2481" s="60"/>
      <c r="FNW2481" s="60"/>
      <c r="FNX2481" s="60"/>
      <c r="FNY2481" s="60"/>
      <c r="FNZ2481" s="61"/>
      <c r="FOA2481" s="54"/>
      <c r="FOB2481" s="54"/>
      <c r="FOC2481" s="60"/>
      <c r="FOD2481" s="60"/>
      <c r="FOE2481" s="60"/>
      <c r="FOF2481" s="60"/>
      <c r="FOG2481" s="60"/>
      <c r="FOH2481" s="61"/>
      <c r="FOI2481" s="54"/>
      <c r="FOJ2481" s="54"/>
      <c r="FOK2481" s="60"/>
      <c r="FOL2481" s="60"/>
      <c r="FOM2481" s="60"/>
      <c r="FON2481" s="60"/>
      <c r="FOO2481" s="60"/>
      <c r="FOP2481" s="61"/>
      <c r="FOQ2481" s="54"/>
      <c r="FOR2481" s="54"/>
      <c r="FOS2481" s="60"/>
      <c r="FOT2481" s="60"/>
      <c r="FOU2481" s="60"/>
      <c r="FOV2481" s="60"/>
      <c r="FOW2481" s="60"/>
      <c r="FOX2481" s="61"/>
      <c r="FOY2481" s="54"/>
      <c r="FOZ2481" s="54"/>
      <c r="FPA2481" s="60"/>
      <c r="FPB2481" s="60"/>
      <c r="FPC2481" s="60"/>
      <c r="FPD2481" s="60"/>
      <c r="FPE2481" s="60"/>
      <c r="FPF2481" s="61"/>
      <c r="FPG2481" s="54"/>
      <c r="FPH2481" s="54"/>
      <c r="FPI2481" s="60"/>
      <c r="FPJ2481" s="60"/>
      <c r="FPK2481" s="60"/>
      <c r="FPL2481" s="60"/>
      <c r="FPM2481" s="60"/>
      <c r="FPN2481" s="61"/>
      <c r="FPO2481" s="54"/>
      <c r="FPP2481" s="54"/>
      <c r="FPQ2481" s="60"/>
      <c r="FPR2481" s="60"/>
      <c r="FPS2481" s="60"/>
      <c r="FPT2481" s="60"/>
      <c r="FPU2481" s="60"/>
      <c r="FPV2481" s="61"/>
      <c r="FPW2481" s="54"/>
      <c r="FPX2481" s="54"/>
      <c r="FPY2481" s="60"/>
      <c r="FPZ2481" s="60"/>
      <c r="FQA2481" s="60"/>
      <c r="FQB2481" s="60"/>
      <c r="FQC2481" s="60"/>
      <c r="FQD2481" s="61"/>
      <c r="FQE2481" s="54"/>
      <c r="FQF2481" s="54"/>
      <c r="FQG2481" s="60"/>
      <c r="FQH2481" s="60"/>
      <c r="FQI2481" s="60"/>
      <c r="FQJ2481" s="60"/>
      <c r="FQK2481" s="60"/>
      <c r="FQL2481" s="61"/>
      <c r="FQM2481" s="54"/>
      <c r="FQN2481" s="54"/>
      <c r="FQO2481" s="60"/>
      <c r="FQP2481" s="60"/>
      <c r="FQQ2481" s="60"/>
      <c r="FQR2481" s="60"/>
      <c r="FQS2481" s="60"/>
      <c r="FQT2481" s="61"/>
      <c r="FQU2481" s="54"/>
      <c r="FQV2481" s="54"/>
      <c r="FQW2481" s="60"/>
      <c r="FQX2481" s="60"/>
      <c r="FQY2481" s="60"/>
      <c r="FQZ2481" s="60"/>
      <c r="FRA2481" s="60"/>
      <c r="FRB2481" s="61"/>
      <c r="FRC2481" s="54"/>
      <c r="FRD2481" s="54"/>
      <c r="FRE2481" s="60"/>
      <c r="FRF2481" s="60"/>
      <c r="FRG2481" s="60"/>
      <c r="FRH2481" s="60"/>
      <c r="FRI2481" s="60"/>
      <c r="FRJ2481" s="61"/>
      <c r="FRK2481" s="54"/>
      <c r="FRL2481" s="54"/>
      <c r="FRM2481" s="60"/>
      <c r="FRN2481" s="60"/>
      <c r="FRO2481" s="60"/>
      <c r="FRP2481" s="60"/>
      <c r="FRQ2481" s="60"/>
      <c r="FRR2481" s="61"/>
      <c r="FRS2481" s="54"/>
      <c r="FRT2481" s="54"/>
      <c r="FRU2481" s="60"/>
      <c r="FRV2481" s="60"/>
      <c r="FRW2481" s="60"/>
      <c r="FRX2481" s="60"/>
      <c r="FRY2481" s="60"/>
      <c r="FRZ2481" s="61"/>
      <c r="FSA2481" s="54"/>
      <c r="FSB2481" s="54"/>
      <c r="FSC2481" s="60"/>
      <c r="FSD2481" s="60"/>
      <c r="FSE2481" s="60"/>
      <c r="FSF2481" s="60"/>
      <c r="FSG2481" s="60"/>
      <c r="FSH2481" s="61"/>
      <c r="FSI2481" s="54"/>
      <c r="FSJ2481" s="54"/>
      <c r="FSK2481" s="60"/>
      <c r="FSL2481" s="60"/>
      <c r="FSM2481" s="60"/>
      <c r="FSN2481" s="60"/>
      <c r="FSO2481" s="60"/>
      <c r="FSP2481" s="61"/>
      <c r="FSQ2481" s="54"/>
      <c r="FSR2481" s="54"/>
      <c r="FSS2481" s="60"/>
      <c r="FST2481" s="60"/>
      <c r="FSU2481" s="60"/>
      <c r="FSV2481" s="60"/>
      <c r="FSW2481" s="60"/>
      <c r="FSX2481" s="61"/>
      <c r="FSY2481" s="54"/>
      <c r="FSZ2481" s="54"/>
      <c r="FTA2481" s="60"/>
      <c r="FTB2481" s="60"/>
      <c r="FTC2481" s="60"/>
      <c r="FTD2481" s="60"/>
      <c r="FTE2481" s="60"/>
      <c r="FTF2481" s="61"/>
      <c r="FTG2481" s="54"/>
      <c r="FTH2481" s="54"/>
      <c r="FTI2481" s="60"/>
      <c r="FTJ2481" s="60"/>
      <c r="FTK2481" s="60"/>
      <c r="FTL2481" s="60"/>
      <c r="FTM2481" s="60"/>
      <c r="FTN2481" s="61"/>
      <c r="FTO2481" s="54"/>
      <c r="FTP2481" s="54"/>
      <c r="FTQ2481" s="60"/>
      <c r="FTR2481" s="60"/>
      <c r="FTS2481" s="60"/>
      <c r="FTT2481" s="60"/>
      <c r="FTU2481" s="60"/>
      <c r="FTV2481" s="61"/>
      <c r="FTW2481" s="54"/>
      <c r="FTX2481" s="54"/>
      <c r="FTY2481" s="60"/>
      <c r="FTZ2481" s="60"/>
      <c r="FUA2481" s="60"/>
      <c r="FUB2481" s="60"/>
      <c r="FUC2481" s="60"/>
      <c r="FUD2481" s="61"/>
      <c r="FUE2481" s="54"/>
      <c r="FUF2481" s="54"/>
      <c r="FUG2481" s="60"/>
      <c r="FUH2481" s="60"/>
      <c r="FUI2481" s="60"/>
      <c r="FUJ2481" s="60"/>
      <c r="FUK2481" s="60"/>
      <c r="FUL2481" s="61"/>
      <c r="FUM2481" s="54"/>
      <c r="FUN2481" s="54"/>
      <c r="FUO2481" s="60"/>
      <c r="FUP2481" s="60"/>
      <c r="FUQ2481" s="60"/>
      <c r="FUR2481" s="60"/>
      <c r="FUS2481" s="60"/>
      <c r="FUT2481" s="61"/>
      <c r="FUU2481" s="54"/>
      <c r="FUV2481" s="54"/>
      <c r="FUW2481" s="60"/>
      <c r="FUX2481" s="60"/>
      <c r="FUY2481" s="60"/>
      <c r="FUZ2481" s="60"/>
      <c r="FVA2481" s="60"/>
      <c r="FVB2481" s="61"/>
      <c r="FVC2481" s="54"/>
      <c r="FVD2481" s="54"/>
      <c r="FVE2481" s="60"/>
      <c r="FVF2481" s="60"/>
      <c r="FVG2481" s="60"/>
      <c r="FVH2481" s="60"/>
      <c r="FVI2481" s="60"/>
      <c r="FVJ2481" s="61"/>
      <c r="FVK2481" s="54"/>
      <c r="FVL2481" s="54"/>
      <c r="FVM2481" s="60"/>
      <c r="FVN2481" s="60"/>
      <c r="FVO2481" s="60"/>
      <c r="FVP2481" s="60"/>
      <c r="FVQ2481" s="60"/>
      <c r="FVR2481" s="61"/>
      <c r="FVS2481" s="54"/>
      <c r="FVT2481" s="54"/>
      <c r="FVU2481" s="60"/>
      <c r="FVV2481" s="60"/>
      <c r="FVW2481" s="60"/>
      <c r="FVX2481" s="60"/>
      <c r="FVY2481" s="60"/>
      <c r="FVZ2481" s="61"/>
      <c r="FWA2481" s="54"/>
      <c r="FWB2481" s="54"/>
      <c r="FWC2481" s="60"/>
      <c r="FWD2481" s="60"/>
      <c r="FWE2481" s="60"/>
      <c r="FWF2481" s="60"/>
      <c r="FWG2481" s="60"/>
      <c r="FWH2481" s="61"/>
      <c r="FWI2481" s="54"/>
      <c r="FWJ2481" s="54"/>
      <c r="FWK2481" s="60"/>
      <c r="FWL2481" s="60"/>
      <c r="FWM2481" s="60"/>
      <c r="FWN2481" s="60"/>
      <c r="FWO2481" s="60"/>
      <c r="FWP2481" s="61"/>
      <c r="FWQ2481" s="54"/>
      <c r="FWR2481" s="54"/>
      <c r="FWS2481" s="60"/>
      <c r="FWT2481" s="60"/>
      <c r="FWU2481" s="60"/>
      <c r="FWV2481" s="60"/>
      <c r="FWW2481" s="60"/>
      <c r="FWX2481" s="61"/>
      <c r="FWY2481" s="54"/>
      <c r="FWZ2481" s="54"/>
      <c r="FXA2481" s="60"/>
      <c r="FXB2481" s="60"/>
      <c r="FXC2481" s="60"/>
      <c r="FXD2481" s="60"/>
      <c r="FXE2481" s="60"/>
      <c r="FXF2481" s="61"/>
      <c r="FXG2481" s="54"/>
      <c r="FXH2481" s="54"/>
      <c r="FXI2481" s="60"/>
      <c r="FXJ2481" s="60"/>
      <c r="FXK2481" s="60"/>
      <c r="FXL2481" s="60"/>
      <c r="FXM2481" s="60"/>
      <c r="FXN2481" s="61"/>
      <c r="FXO2481" s="54"/>
      <c r="FXP2481" s="54"/>
      <c r="FXQ2481" s="60"/>
      <c r="FXR2481" s="60"/>
      <c r="FXS2481" s="60"/>
      <c r="FXT2481" s="60"/>
      <c r="FXU2481" s="60"/>
      <c r="FXV2481" s="61"/>
      <c r="FXW2481" s="54"/>
      <c r="FXX2481" s="54"/>
      <c r="FXY2481" s="60"/>
      <c r="FXZ2481" s="60"/>
      <c r="FYA2481" s="60"/>
      <c r="FYB2481" s="60"/>
      <c r="FYC2481" s="60"/>
      <c r="FYD2481" s="61"/>
      <c r="FYE2481" s="54"/>
      <c r="FYF2481" s="54"/>
      <c r="FYG2481" s="60"/>
      <c r="FYH2481" s="60"/>
      <c r="FYI2481" s="60"/>
      <c r="FYJ2481" s="60"/>
      <c r="FYK2481" s="60"/>
      <c r="FYL2481" s="61"/>
      <c r="FYM2481" s="54"/>
      <c r="FYN2481" s="54"/>
      <c r="FYO2481" s="60"/>
      <c r="FYP2481" s="60"/>
      <c r="FYQ2481" s="60"/>
      <c r="FYR2481" s="60"/>
      <c r="FYS2481" s="60"/>
      <c r="FYT2481" s="61"/>
      <c r="FYU2481" s="54"/>
      <c r="FYV2481" s="54"/>
      <c r="FYW2481" s="60"/>
      <c r="FYX2481" s="60"/>
      <c r="FYY2481" s="60"/>
      <c r="FYZ2481" s="60"/>
      <c r="FZA2481" s="60"/>
      <c r="FZB2481" s="61"/>
      <c r="FZC2481" s="54"/>
      <c r="FZD2481" s="54"/>
      <c r="FZE2481" s="60"/>
      <c r="FZF2481" s="60"/>
      <c r="FZG2481" s="60"/>
      <c r="FZH2481" s="60"/>
      <c r="FZI2481" s="60"/>
      <c r="FZJ2481" s="61"/>
      <c r="FZK2481" s="54"/>
      <c r="FZL2481" s="54"/>
      <c r="FZM2481" s="60"/>
      <c r="FZN2481" s="60"/>
      <c r="FZO2481" s="60"/>
      <c r="FZP2481" s="60"/>
      <c r="FZQ2481" s="60"/>
      <c r="FZR2481" s="61"/>
      <c r="FZS2481" s="54"/>
      <c r="FZT2481" s="54"/>
      <c r="FZU2481" s="60"/>
      <c r="FZV2481" s="60"/>
      <c r="FZW2481" s="60"/>
      <c r="FZX2481" s="60"/>
      <c r="FZY2481" s="60"/>
      <c r="FZZ2481" s="61"/>
      <c r="GAA2481" s="54"/>
      <c r="GAB2481" s="54"/>
      <c r="GAC2481" s="60"/>
      <c r="GAD2481" s="60"/>
      <c r="GAE2481" s="60"/>
      <c r="GAF2481" s="60"/>
      <c r="GAG2481" s="60"/>
      <c r="GAH2481" s="61"/>
      <c r="GAI2481" s="54"/>
      <c r="GAJ2481" s="54"/>
      <c r="GAK2481" s="60"/>
      <c r="GAL2481" s="60"/>
      <c r="GAM2481" s="60"/>
      <c r="GAN2481" s="60"/>
      <c r="GAO2481" s="60"/>
      <c r="GAP2481" s="61"/>
      <c r="GAQ2481" s="54"/>
      <c r="GAR2481" s="54"/>
      <c r="GAS2481" s="60"/>
      <c r="GAT2481" s="60"/>
      <c r="GAU2481" s="60"/>
      <c r="GAV2481" s="60"/>
      <c r="GAW2481" s="60"/>
      <c r="GAX2481" s="61"/>
      <c r="GAY2481" s="54"/>
      <c r="GAZ2481" s="54"/>
      <c r="GBA2481" s="60"/>
      <c r="GBB2481" s="60"/>
      <c r="GBC2481" s="60"/>
      <c r="GBD2481" s="60"/>
      <c r="GBE2481" s="60"/>
      <c r="GBF2481" s="61"/>
      <c r="GBG2481" s="54"/>
      <c r="GBH2481" s="54"/>
      <c r="GBI2481" s="60"/>
      <c r="GBJ2481" s="60"/>
      <c r="GBK2481" s="60"/>
      <c r="GBL2481" s="60"/>
      <c r="GBM2481" s="60"/>
      <c r="GBN2481" s="61"/>
      <c r="GBO2481" s="54"/>
      <c r="GBP2481" s="54"/>
      <c r="GBQ2481" s="60"/>
      <c r="GBR2481" s="60"/>
      <c r="GBS2481" s="60"/>
      <c r="GBT2481" s="60"/>
      <c r="GBU2481" s="60"/>
      <c r="GBV2481" s="61"/>
      <c r="GBW2481" s="54"/>
      <c r="GBX2481" s="54"/>
      <c r="GBY2481" s="60"/>
      <c r="GBZ2481" s="60"/>
      <c r="GCA2481" s="60"/>
      <c r="GCB2481" s="60"/>
      <c r="GCC2481" s="60"/>
      <c r="GCD2481" s="61"/>
      <c r="GCE2481" s="54"/>
      <c r="GCF2481" s="54"/>
      <c r="GCG2481" s="60"/>
      <c r="GCH2481" s="60"/>
      <c r="GCI2481" s="60"/>
      <c r="GCJ2481" s="60"/>
      <c r="GCK2481" s="60"/>
      <c r="GCL2481" s="61"/>
      <c r="GCM2481" s="54"/>
      <c r="GCN2481" s="54"/>
      <c r="GCO2481" s="60"/>
      <c r="GCP2481" s="60"/>
      <c r="GCQ2481" s="60"/>
      <c r="GCR2481" s="60"/>
      <c r="GCS2481" s="60"/>
      <c r="GCT2481" s="61"/>
      <c r="GCU2481" s="54"/>
      <c r="GCV2481" s="54"/>
      <c r="GCW2481" s="60"/>
      <c r="GCX2481" s="60"/>
      <c r="GCY2481" s="60"/>
      <c r="GCZ2481" s="60"/>
      <c r="GDA2481" s="60"/>
      <c r="GDB2481" s="61"/>
      <c r="GDC2481" s="54"/>
      <c r="GDD2481" s="54"/>
      <c r="GDE2481" s="60"/>
      <c r="GDF2481" s="60"/>
      <c r="GDG2481" s="60"/>
      <c r="GDH2481" s="60"/>
      <c r="GDI2481" s="60"/>
      <c r="GDJ2481" s="61"/>
      <c r="GDK2481" s="54"/>
      <c r="GDL2481" s="54"/>
      <c r="GDM2481" s="60"/>
      <c r="GDN2481" s="60"/>
      <c r="GDO2481" s="60"/>
      <c r="GDP2481" s="60"/>
      <c r="GDQ2481" s="60"/>
      <c r="GDR2481" s="61"/>
      <c r="GDS2481" s="54"/>
      <c r="GDT2481" s="54"/>
      <c r="GDU2481" s="60"/>
      <c r="GDV2481" s="60"/>
      <c r="GDW2481" s="60"/>
      <c r="GDX2481" s="60"/>
      <c r="GDY2481" s="60"/>
      <c r="GDZ2481" s="61"/>
      <c r="GEA2481" s="54"/>
      <c r="GEB2481" s="54"/>
      <c r="GEC2481" s="60"/>
      <c r="GED2481" s="60"/>
      <c r="GEE2481" s="60"/>
      <c r="GEF2481" s="60"/>
      <c r="GEG2481" s="60"/>
      <c r="GEH2481" s="61"/>
      <c r="GEI2481" s="54"/>
      <c r="GEJ2481" s="54"/>
      <c r="GEK2481" s="60"/>
      <c r="GEL2481" s="60"/>
      <c r="GEM2481" s="60"/>
      <c r="GEN2481" s="60"/>
      <c r="GEO2481" s="60"/>
      <c r="GEP2481" s="61"/>
      <c r="GEQ2481" s="54"/>
      <c r="GER2481" s="54"/>
      <c r="GES2481" s="60"/>
      <c r="GET2481" s="60"/>
      <c r="GEU2481" s="60"/>
      <c r="GEV2481" s="60"/>
      <c r="GEW2481" s="60"/>
      <c r="GEX2481" s="61"/>
      <c r="GEY2481" s="54"/>
      <c r="GEZ2481" s="54"/>
      <c r="GFA2481" s="60"/>
      <c r="GFB2481" s="60"/>
      <c r="GFC2481" s="60"/>
      <c r="GFD2481" s="60"/>
      <c r="GFE2481" s="60"/>
      <c r="GFF2481" s="61"/>
      <c r="GFG2481" s="54"/>
      <c r="GFH2481" s="54"/>
      <c r="GFI2481" s="60"/>
      <c r="GFJ2481" s="60"/>
      <c r="GFK2481" s="60"/>
      <c r="GFL2481" s="60"/>
      <c r="GFM2481" s="60"/>
      <c r="GFN2481" s="61"/>
      <c r="GFO2481" s="54"/>
      <c r="GFP2481" s="54"/>
      <c r="GFQ2481" s="60"/>
      <c r="GFR2481" s="60"/>
      <c r="GFS2481" s="60"/>
      <c r="GFT2481" s="60"/>
      <c r="GFU2481" s="60"/>
      <c r="GFV2481" s="61"/>
      <c r="GFW2481" s="54"/>
      <c r="GFX2481" s="54"/>
      <c r="GFY2481" s="60"/>
      <c r="GFZ2481" s="60"/>
      <c r="GGA2481" s="60"/>
      <c r="GGB2481" s="60"/>
      <c r="GGC2481" s="60"/>
      <c r="GGD2481" s="61"/>
      <c r="GGE2481" s="54"/>
      <c r="GGF2481" s="54"/>
      <c r="GGG2481" s="60"/>
      <c r="GGH2481" s="60"/>
      <c r="GGI2481" s="60"/>
      <c r="GGJ2481" s="60"/>
      <c r="GGK2481" s="60"/>
      <c r="GGL2481" s="61"/>
      <c r="GGM2481" s="54"/>
      <c r="GGN2481" s="54"/>
      <c r="GGO2481" s="60"/>
      <c r="GGP2481" s="60"/>
      <c r="GGQ2481" s="60"/>
      <c r="GGR2481" s="60"/>
      <c r="GGS2481" s="60"/>
      <c r="GGT2481" s="61"/>
      <c r="GGU2481" s="54"/>
      <c r="GGV2481" s="54"/>
      <c r="GGW2481" s="60"/>
      <c r="GGX2481" s="60"/>
      <c r="GGY2481" s="60"/>
      <c r="GGZ2481" s="60"/>
      <c r="GHA2481" s="60"/>
      <c r="GHB2481" s="61"/>
      <c r="GHC2481" s="54"/>
      <c r="GHD2481" s="54"/>
      <c r="GHE2481" s="60"/>
      <c r="GHF2481" s="60"/>
      <c r="GHG2481" s="60"/>
      <c r="GHH2481" s="60"/>
      <c r="GHI2481" s="60"/>
      <c r="GHJ2481" s="61"/>
      <c r="GHK2481" s="54"/>
      <c r="GHL2481" s="54"/>
      <c r="GHM2481" s="60"/>
      <c r="GHN2481" s="60"/>
      <c r="GHO2481" s="60"/>
      <c r="GHP2481" s="60"/>
      <c r="GHQ2481" s="60"/>
      <c r="GHR2481" s="61"/>
      <c r="GHS2481" s="54"/>
      <c r="GHT2481" s="54"/>
      <c r="GHU2481" s="60"/>
      <c r="GHV2481" s="60"/>
      <c r="GHW2481" s="60"/>
      <c r="GHX2481" s="60"/>
      <c r="GHY2481" s="60"/>
      <c r="GHZ2481" s="61"/>
      <c r="GIA2481" s="54"/>
      <c r="GIB2481" s="54"/>
      <c r="GIC2481" s="60"/>
      <c r="GID2481" s="60"/>
      <c r="GIE2481" s="60"/>
      <c r="GIF2481" s="60"/>
      <c r="GIG2481" s="60"/>
      <c r="GIH2481" s="61"/>
      <c r="GII2481" s="54"/>
      <c r="GIJ2481" s="54"/>
      <c r="GIK2481" s="60"/>
      <c r="GIL2481" s="60"/>
      <c r="GIM2481" s="60"/>
      <c r="GIN2481" s="60"/>
      <c r="GIO2481" s="60"/>
      <c r="GIP2481" s="61"/>
      <c r="GIQ2481" s="54"/>
      <c r="GIR2481" s="54"/>
      <c r="GIS2481" s="60"/>
      <c r="GIT2481" s="60"/>
      <c r="GIU2481" s="60"/>
      <c r="GIV2481" s="60"/>
      <c r="GIW2481" s="60"/>
      <c r="GIX2481" s="61"/>
      <c r="GIY2481" s="54"/>
      <c r="GIZ2481" s="54"/>
      <c r="GJA2481" s="60"/>
      <c r="GJB2481" s="60"/>
      <c r="GJC2481" s="60"/>
      <c r="GJD2481" s="60"/>
      <c r="GJE2481" s="60"/>
      <c r="GJF2481" s="61"/>
      <c r="GJG2481" s="54"/>
      <c r="GJH2481" s="54"/>
      <c r="GJI2481" s="60"/>
      <c r="GJJ2481" s="60"/>
      <c r="GJK2481" s="60"/>
      <c r="GJL2481" s="60"/>
      <c r="GJM2481" s="60"/>
      <c r="GJN2481" s="61"/>
      <c r="GJO2481" s="54"/>
      <c r="GJP2481" s="54"/>
      <c r="GJQ2481" s="60"/>
      <c r="GJR2481" s="60"/>
      <c r="GJS2481" s="60"/>
      <c r="GJT2481" s="60"/>
      <c r="GJU2481" s="60"/>
      <c r="GJV2481" s="61"/>
      <c r="GJW2481" s="54"/>
      <c r="GJX2481" s="54"/>
      <c r="GJY2481" s="60"/>
      <c r="GJZ2481" s="60"/>
      <c r="GKA2481" s="60"/>
      <c r="GKB2481" s="60"/>
      <c r="GKC2481" s="60"/>
      <c r="GKD2481" s="61"/>
      <c r="GKE2481" s="54"/>
      <c r="GKF2481" s="54"/>
      <c r="GKG2481" s="60"/>
      <c r="GKH2481" s="60"/>
      <c r="GKI2481" s="60"/>
      <c r="GKJ2481" s="60"/>
      <c r="GKK2481" s="60"/>
      <c r="GKL2481" s="61"/>
      <c r="GKM2481" s="54"/>
      <c r="GKN2481" s="54"/>
      <c r="GKO2481" s="60"/>
      <c r="GKP2481" s="60"/>
      <c r="GKQ2481" s="60"/>
      <c r="GKR2481" s="60"/>
      <c r="GKS2481" s="60"/>
      <c r="GKT2481" s="61"/>
      <c r="GKU2481" s="54"/>
      <c r="GKV2481" s="54"/>
      <c r="GKW2481" s="60"/>
      <c r="GKX2481" s="60"/>
      <c r="GKY2481" s="60"/>
      <c r="GKZ2481" s="60"/>
      <c r="GLA2481" s="60"/>
      <c r="GLB2481" s="61"/>
      <c r="GLC2481" s="54"/>
      <c r="GLD2481" s="54"/>
      <c r="GLE2481" s="60"/>
      <c r="GLF2481" s="60"/>
      <c r="GLG2481" s="60"/>
      <c r="GLH2481" s="60"/>
      <c r="GLI2481" s="60"/>
      <c r="GLJ2481" s="61"/>
      <c r="GLK2481" s="54"/>
      <c r="GLL2481" s="54"/>
      <c r="GLM2481" s="60"/>
      <c r="GLN2481" s="60"/>
      <c r="GLO2481" s="60"/>
      <c r="GLP2481" s="60"/>
      <c r="GLQ2481" s="60"/>
      <c r="GLR2481" s="61"/>
      <c r="GLS2481" s="54"/>
      <c r="GLT2481" s="54"/>
      <c r="GLU2481" s="60"/>
      <c r="GLV2481" s="60"/>
      <c r="GLW2481" s="60"/>
      <c r="GLX2481" s="60"/>
      <c r="GLY2481" s="60"/>
      <c r="GLZ2481" s="61"/>
      <c r="GMA2481" s="54"/>
      <c r="GMB2481" s="54"/>
      <c r="GMC2481" s="60"/>
      <c r="GMD2481" s="60"/>
      <c r="GME2481" s="60"/>
      <c r="GMF2481" s="60"/>
      <c r="GMG2481" s="60"/>
      <c r="GMH2481" s="61"/>
      <c r="GMI2481" s="54"/>
      <c r="GMJ2481" s="54"/>
      <c r="GMK2481" s="60"/>
      <c r="GML2481" s="60"/>
      <c r="GMM2481" s="60"/>
      <c r="GMN2481" s="60"/>
      <c r="GMO2481" s="60"/>
      <c r="GMP2481" s="61"/>
      <c r="GMQ2481" s="54"/>
      <c r="GMR2481" s="54"/>
      <c r="GMS2481" s="60"/>
      <c r="GMT2481" s="60"/>
      <c r="GMU2481" s="60"/>
      <c r="GMV2481" s="60"/>
      <c r="GMW2481" s="60"/>
      <c r="GMX2481" s="61"/>
      <c r="GMY2481" s="54"/>
      <c r="GMZ2481" s="54"/>
      <c r="GNA2481" s="60"/>
      <c r="GNB2481" s="60"/>
      <c r="GNC2481" s="60"/>
      <c r="GND2481" s="60"/>
      <c r="GNE2481" s="60"/>
      <c r="GNF2481" s="61"/>
      <c r="GNG2481" s="54"/>
      <c r="GNH2481" s="54"/>
      <c r="GNI2481" s="60"/>
      <c r="GNJ2481" s="60"/>
      <c r="GNK2481" s="60"/>
      <c r="GNL2481" s="60"/>
      <c r="GNM2481" s="60"/>
      <c r="GNN2481" s="61"/>
      <c r="GNO2481" s="54"/>
      <c r="GNP2481" s="54"/>
      <c r="GNQ2481" s="60"/>
      <c r="GNR2481" s="60"/>
      <c r="GNS2481" s="60"/>
      <c r="GNT2481" s="60"/>
      <c r="GNU2481" s="60"/>
      <c r="GNV2481" s="61"/>
      <c r="GNW2481" s="54"/>
      <c r="GNX2481" s="54"/>
      <c r="GNY2481" s="60"/>
      <c r="GNZ2481" s="60"/>
      <c r="GOA2481" s="60"/>
      <c r="GOB2481" s="60"/>
      <c r="GOC2481" s="60"/>
      <c r="GOD2481" s="61"/>
      <c r="GOE2481" s="54"/>
      <c r="GOF2481" s="54"/>
      <c r="GOG2481" s="60"/>
      <c r="GOH2481" s="60"/>
      <c r="GOI2481" s="60"/>
      <c r="GOJ2481" s="60"/>
      <c r="GOK2481" s="60"/>
      <c r="GOL2481" s="61"/>
      <c r="GOM2481" s="54"/>
      <c r="GON2481" s="54"/>
      <c r="GOO2481" s="60"/>
      <c r="GOP2481" s="60"/>
      <c r="GOQ2481" s="60"/>
      <c r="GOR2481" s="60"/>
      <c r="GOS2481" s="60"/>
      <c r="GOT2481" s="61"/>
      <c r="GOU2481" s="54"/>
      <c r="GOV2481" s="54"/>
      <c r="GOW2481" s="60"/>
      <c r="GOX2481" s="60"/>
      <c r="GOY2481" s="60"/>
      <c r="GOZ2481" s="60"/>
      <c r="GPA2481" s="60"/>
      <c r="GPB2481" s="61"/>
      <c r="GPC2481" s="54"/>
      <c r="GPD2481" s="54"/>
      <c r="GPE2481" s="60"/>
      <c r="GPF2481" s="60"/>
      <c r="GPG2481" s="60"/>
      <c r="GPH2481" s="60"/>
      <c r="GPI2481" s="60"/>
      <c r="GPJ2481" s="61"/>
      <c r="GPK2481" s="54"/>
      <c r="GPL2481" s="54"/>
      <c r="GPM2481" s="60"/>
      <c r="GPN2481" s="60"/>
      <c r="GPO2481" s="60"/>
      <c r="GPP2481" s="60"/>
      <c r="GPQ2481" s="60"/>
      <c r="GPR2481" s="61"/>
      <c r="GPS2481" s="54"/>
      <c r="GPT2481" s="54"/>
      <c r="GPU2481" s="60"/>
      <c r="GPV2481" s="60"/>
      <c r="GPW2481" s="60"/>
      <c r="GPX2481" s="60"/>
      <c r="GPY2481" s="60"/>
      <c r="GPZ2481" s="61"/>
      <c r="GQA2481" s="54"/>
      <c r="GQB2481" s="54"/>
      <c r="GQC2481" s="60"/>
      <c r="GQD2481" s="60"/>
      <c r="GQE2481" s="60"/>
      <c r="GQF2481" s="60"/>
      <c r="GQG2481" s="60"/>
      <c r="GQH2481" s="61"/>
      <c r="GQI2481" s="54"/>
      <c r="GQJ2481" s="54"/>
      <c r="GQK2481" s="60"/>
      <c r="GQL2481" s="60"/>
      <c r="GQM2481" s="60"/>
      <c r="GQN2481" s="60"/>
      <c r="GQO2481" s="60"/>
      <c r="GQP2481" s="61"/>
      <c r="GQQ2481" s="54"/>
      <c r="GQR2481" s="54"/>
      <c r="GQS2481" s="60"/>
      <c r="GQT2481" s="60"/>
      <c r="GQU2481" s="60"/>
      <c r="GQV2481" s="60"/>
      <c r="GQW2481" s="60"/>
      <c r="GQX2481" s="61"/>
      <c r="GQY2481" s="54"/>
      <c r="GQZ2481" s="54"/>
      <c r="GRA2481" s="60"/>
      <c r="GRB2481" s="60"/>
      <c r="GRC2481" s="60"/>
      <c r="GRD2481" s="60"/>
      <c r="GRE2481" s="60"/>
      <c r="GRF2481" s="61"/>
      <c r="GRG2481" s="54"/>
      <c r="GRH2481" s="54"/>
      <c r="GRI2481" s="60"/>
      <c r="GRJ2481" s="60"/>
      <c r="GRK2481" s="60"/>
      <c r="GRL2481" s="60"/>
      <c r="GRM2481" s="60"/>
      <c r="GRN2481" s="61"/>
      <c r="GRO2481" s="54"/>
      <c r="GRP2481" s="54"/>
      <c r="GRQ2481" s="60"/>
      <c r="GRR2481" s="60"/>
      <c r="GRS2481" s="60"/>
      <c r="GRT2481" s="60"/>
      <c r="GRU2481" s="60"/>
      <c r="GRV2481" s="61"/>
      <c r="GRW2481" s="54"/>
      <c r="GRX2481" s="54"/>
      <c r="GRY2481" s="60"/>
      <c r="GRZ2481" s="60"/>
      <c r="GSA2481" s="60"/>
      <c r="GSB2481" s="60"/>
      <c r="GSC2481" s="60"/>
      <c r="GSD2481" s="61"/>
      <c r="GSE2481" s="54"/>
      <c r="GSF2481" s="54"/>
      <c r="GSG2481" s="60"/>
      <c r="GSH2481" s="60"/>
      <c r="GSI2481" s="60"/>
      <c r="GSJ2481" s="60"/>
      <c r="GSK2481" s="60"/>
      <c r="GSL2481" s="61"/>
      <c r="GSM2481" s="54"/>
      <c r="GSN2481" s="54"/>
      <c r="GSO2481" s="60"/>
      <c r="GSP2481" s="60"/>
      <c r="GSQ2481" s="60"/>
      <c r="GSR2481" s="60"/>
      <c r="GSS2481" s="60"/>
      <c r="GST2481" s="61"/>
      <c r="GSU2481" s="54"/>
      <c r="GSV2481" s="54"/>
      <c r="GSW2481" s="60"/>
      <c r="GSX2481" s="60"/>
      <c r="GSY2481" s="60"/>
      <c r="GSZ2481" s="60"/>
      <c r="GTA2481" s="60"/>
      <c r="GTB2481" s="61"/>
      <c r="GTC2481" s="54"/>
      <c r="GTD2481" s="54"/>
      <c r="GTE2481" s="60"/>
      <c r="GTF2481" s="60"/>
      <c r="GTG2481" s="60"/>
      <c r="GTH2481" s="60"/>
      <c r="GTI2481" s="60"/>
      <c r="GTJ2481" s="61"/>
      <c r="GTK2481" s="54"/>
      <c r="GTL2481" s="54"/>
      <c r="GTM2481" s="60"/>
      <c r="GTN2481" s="60"/>
      <c r="GTO2481" s="60"/>
      <c r="GTP2481" s="60"/>
      <c r="GTQ2481" s="60"/>
      <c r="GTR2481" s="61"/>
      <c r="GTS2481" s="54"/>
      <c r="GTT2481" s="54"/>
      <c r="GTU2481" s="60"/>
      <c r="GTV2481" s="60"/>
      <c r="GTW2481" s="60"/>
      <c r="GTX2481" s="60"/>
      <c r="GTY2481" s="60"/>
      <c r="GTZ2481" s="61"/>
      <c r="GUA2481" s="54"/>
      <c r="GUB2481" s="54"/>
      <c r="GUC2481" s="60"/>
      <c r="GUD2481" s="60"/>
      <c r="GUE2481" s="60"/>
      <c r="GUF2481" s="60"/>
      <c r="GUG2481" s="60"/>
      <c r="GUH2481" s="61"/>
      <c r="GUI2481" s="54"/>
      <c r="GUJ2481" s="54"/>
      <c r="GUK2481" s="60"/>
      <c r="GUL2481" s="60"/>
      <c r="GUM2481" s="60"/>
      <c r="GUN2481" s="60"/>
      <c r="GUO2481" s="60"/>
      <c r="GUP2481" s="61"/>
      <c r="GUQ2481" s="54"/>
      <c r="GUR2481" s="54"/>
      <c r="GUS2481" s="60"/>
      <c r="GUT2481" s="60"/>
      <c r="GUU2481" s="60"/>
      <c r="GUV2481" s="60"/>
      <c r="GUW2481" s="60"/>
      <c r="GUX2481" s="61"/>
      <c r="GUY2481" s="54"/>
      <c r="GUZ2481" s="54"/>
      <c r="GVA2481" s="60"/>
      <c r="GVB2481" s="60"/>
      <c r="GVC2481" s="60"/>
      <c r="GVD2481" s="60"/>
      <c r="GVE2481" s="60"/>
      <c r="GVF2481" s="61"/>
      <c r="GVG2481" s="54"/>
      <c r="GVH2481" s="54"/>
      <c r="GVI2481" s="60"/>
      <c r="GVJ2481" s="60"/>
      <c r="GVK2481" s="60"/>
      <c r="GVL2481" s="60"/>
      <c r="GVM2481" s="60"/>
      <c r="GVN2481" s="61"/>
      <c r="GVO2481" s="54"/>
      <c r="GVP2481" s="54"/>
      <c r="GVQ2481" s="60"/>
      <c r="GVR2481" s="60"/>
      <c r="GVS2481" s="60"/>
      <c r="GVT2481" s="60"/>
      <c r="GVU2481" s="60"/>
      <c r="GVV2481" s="61"/>
      <c r="GVW2481" s="54"/>
      <c r="GVX2481" s="54"/>
      <c r="GVY2481" s="60"/>
      <c r="GVZ2481" s="60"/>
      <c r="GWA2481" s="60"/>
      <c r="GWB2481" s="60"/>
      <c r="GWC2481" s="60"/>
      <c r="GWD2481" s="61"/>
      <c r="GWE2481" s="54"/>
      <c r="GWF2481" s="54"/>
      <c r="GWG2481" s="60"/>
      <c r="GWH2481" s="60"/>
      <c r="GWI2481" s="60"/>
      <c r="GWJ2481" s="60"/>
      <c r="GWK2481" s="60"/>
      <c r="GWL2481" s="61"/>
      <c r="GWM2481" s="54"/>
      <c r="GWN2481" s="54"/>
      <c r="GWO2481" s="60"/>
      <c r="GWP2481" s="60"/>
      <c r="GWQ2481" s="60"/>
      <c r="GWR2481" s="60"/>
      <c r="GWS2481" s="60"/>
      <c r="GWT2481" s="61"/>
      <c r="GWU2481" s="54"/>
      <c r="GWV2481" s="54"/>
      <c r="GWW2481" s="60"/>
      <c r="GWX2481" s="60"/>
      <c r="GWY2481" s="60"/>
      <c r="GWZ2481" s="60"/>
      <c r="GXA2481" s="60"/>
      <c r="GXB2481" s="61"/>
      <c r="GXC2481" s="54"/>
      <c r="GXD2481" s="54"/>
      <c r="GXE2481" s="60"/>
      <c r="GXF2481" s="60"/>
      <c r="GXG2481" s="60"/>
      <c r="GXH2481" s="60"/>
      <c r="GXI2481" s="60"/>
      <c r="GXJ2481" s="61"/>
      <c r="GXK2481" s="54"/>
      <c r="GXL2481" s="54"/>
      <c r="GXM2481" s="60"/>
      <c r="GXN2481" s="60"/>
      <c r="GXO2481" s="60"/>
      <c r="GXP2481" s="60"/>
      <c r="GXQ2481" s="60"/>
      <c r="GXR2481" s="61"/>
      <c r="GXS2481" s="54"/>
      <c r="GXT2481" s="54"/>
      <c r="GXU2481" s="60"/>
      <c r="GXV2481" s="60"/>
      <c r="GXW2481" s="60"/>
      <c r="GXX2481" s="60"/>
      <c r="GXY2481" s="60"/>
      <c r="GXZ2481" s="61"/>
      <c r="GYA2481" s="54"/>
      <c r="GYB2481" s="54"/>
      <c r="GYC2481" s="60"/>
      <c r="GYD2481" s="60"/>
      <c r="GYE2481" s="60"/>
      <c r="GYF2481" s="60"/>
      <c r="GYG2481" s="60"/>
      <c r="GYH2481" s="61"/>
      <c r="GYI2481" s="54"/>
      <c r="GYJ2481" s="54"/>
      <c r="GYK2481" s="60"/>
      <c r="GYL2481" s="60"/>
      <c r="GYM2481" s="60"/>
      <c r="GYN2481" s="60"/>
      <c r="GYO2481" s="60"/>
      <c r="GYP2481" s="61"/>
      <c r="GYQ2481" s="54"/>
      <c r="GYR2481" s="54"/>
      <c r="GYS2481" s="60"/>
      <c r="GYT2481" s="60"/>
      <c r="GYU2481" s="60"/>
      <c r="GYV2481" s="60"/>
      <c r="GYW2481" s="60"/>
      <c r="GYX2481" s="61"/>
      <c r="GYY2481" s="54"/>
      <c r="GYZ2481" s="54"/>
      <c r="GZA2481" s="60"/>
      <c r="GZB2481" s="60"/>
      <c r="GZC2481" s="60"/>
      <c r="GZD2481" s="60"/>
      <c r="GZE2481" s="60"/>
      <c r="GZF2481" s="61"/>
      <c r="GZG2481" s="54"/>
      <c r="GZH2481" s="54"/>
      <c r="GZI2481" s="60"/>
      <c r="GZJ2481" s="60"/>
      <c r="GZK2481" s="60"/>
      <c r="GZL2481" s="60"/>
      <c r="GZM2481" s="60"/>
      <c r="GZN2481" s="61"/>
      <c r="GZO2481" s="54"/>
      <c r="GZP2481" s="54"/>
      <c r="GZQ2481" s="60"/>
      <c r="GZR2481" s="60"/>
      <c r="GZS2481" s="60"/>
      <c r="GZT2481" s="60"/>
      <c r="GZU2481" s="60"/>
      <c r="GZV2481" s="61"/>
      <c r="GZW2481" s="54"/>
      <c r="GZX2481" s="54"/>
      <c r="GZY2481" s="60"/>
      <c r="GZZ2481" s="60"/>
      <c r="HAA2481" s="60"/>
      <c r="HAB2481" s="60"/>
      <c r="HAC2481" s="60"/>
      <c r="HAD2481" s="61"/>
      <c r="HAE2481" s="54"/>
      <c r="HAF2481" s="54"/>
      <c r="HAG2481" s="60"/>
      <c r="HAH2481" s="60"/>
      <c r="HAI2481" s="60"/>
      <c r="HAJ2481" s="60"/>
      <c r="HAK2481" s="60"/>
      <c r="HAL2481" s="61"/>
      <c r="HAM2481" s="54"/>
      <c r="HAN2481" s="54"/>
      <c r="HAO2481" s="60"/>
      <c r="HAP2481" s="60"/>
      <c r="HAQ2481" s="60"/>
      <c r="HAR2481" s="60"/>
      <c r="HAS2481" s="60"/>
      <c r="HAT2481" s="61"/>
      <c r="HAU2481" s="54"/>
      <c r="HAV2481" s="54"/>
      <c r="HAW2481" s="60"/>
      <c r="HAX2481" s="60"/>
      <c r="HAY2481" s="60"/>
      <c r="HAZ2481" s="60"/>
      <c r="HBA2481" s="60"/>
      <c r="HBB2481" s="61"/>
      <c r="HBC2481" s="54"/>
      <c r="HBD2481" s="54"/>
      <c r="HBE2481" s="60"/>
      <c r="HBF2481" s="60"/>
      <c r="HBG2481" s="60"/>
      <c r="HBH2481" s="60"/>
      <c r="HBI2481" s="60"/>
      <c r="HBJ2481" s="61"/>
      <c r="HBK2481" s="54"/>
      <c r="HBL2481" s="54"/>
      <c r="HBM2481" s="60"/>
      <c r="HBN2481" s="60"/>
      <c r="HBO2481" s="60"/>
      <c r="HBP2481" s="60"/>
      <c r="HBQ2481" s="60"/>
      <c r="HBR2481" s="61"/>
      <c r="HBS2481" s="54"/>
      <c r="HBT2481" s="54"/>
      <c r="HBU2481" s="60"/>
      <c r="HBV2481" s="60"/>
      <c r="HBW2481" s="60"/>
      <c r="HBX2481" s="60"/>
      <c r="HBY2481" s="60"/>
      <c r="HBZ2481" s="61"/>
      <c r="HCA2481" s="54"/>
      <c r="HCB2481" s="54"/>
      <c r="HCC2481" s="60"/>
      <c r="HCD2481" s="60"/>
      <c r="HCE2481" s="60"/>
      <c r="HCF2481" s="60"/>
      <c r="HCG2481" s="60"/>
      <c r="HCH2481" s="61"/>
      <c r="HCI2481" s="54"/>
      <c r="HCJ2481" s="54"/>
      <c r="HCK2481" s="60"/>
      <c r="HCL2481" s="60"/>
      <c r="HCM2481" s="60"/>
      <c r="HCN2481" s="60"/>
      <c r="HCO2481" s="60"/>
      <c r="HCP2481" s="61"/>
      <c r="HCQ2481" s="54"/>
      <c r="HCR2481" s="54"/>
      <c r="HCS2481" s="60"/>
      <c r="HCT2481" s="60"/>
      <c r="HCU2481" s="60"/>
      <c r="HCV2481" s="60"/>
      <c r="HCW2481" s="60"/>
      <c r="HCX2481" s="61"/>
      <c r="HCY2481" s="54"/>
      <c r="HCZ2481" s="54"/>
      <c r="HDA2481" s="60"/>
      <c r="HDB2481" s="60"/>
      <c r="HDC2481" s="60"/>
      <c r="HDD2481" s="60"/>
      <c r="HDE2481" s="60"/>
      <c r="HDF2481" s="61"/>
      <c r="HDG2481" s="54"/>
      <c r="HDH2481" s="54"/>
      <c r="HDI2481" s="60"/>
      <c r="HDJ2481" s="60"/>
      <c r="HDK2481" s="60"/>
      <c r="HDL2481" s="60"/>
      <c r="HDM2481" s="60"/>
      <c r="HDN2481" s="61"/>
      <c r="HDO2481" s="54"/>
      <c r="HDP2481" s="54"/>
      <c r="HDQ2481" s="60"/>
      <c r="HDR2481" s="60"/>
      <c r="HDS2481" s="60"/>
      <c r="HDT2481" s="60"/>
      <c r="HDU2481" s="60"/>
      <c r="HDV2481" s="61"/>
      <c r="HDW2481" s="54"/>
      <c r="HDX2481" s="54"/>
      <c r="HDY2481" s="60"/>
      <c r="HDZ2481" s="60"/>
      <c r="HEA2481" s="60"/>
      <c r="HEB2481" s="60"/>
      <c r="HEC2481" s="60"/>
      <c r="HED2481" s="61"/>
      <c r="HEE2481" s="54"/>
      <c r="HEF2481" s="54"/>
      <c r="HEG2481" s="60"/>
      <c r="HEH2481" s="60"/>
      <c r="HEI2481" s="60"/>
      <c r="HEJ2481" s="60"/>
      <c r="HEK2481" s="60"/>
      <c r="HEL2481" s="61"/>
      <c r="HEM2481" s="54"/>
      <c r="HEN2481" s="54"/>
      <c r="HEO2481" s="60"/>
      <c r="HEP2481" s="60"/>
      <c r="HEQ2481" s="60"/>
      <c r="HER2481" s="60"/>
      <c r="HES2481" s="60"/>
      <c r="HET2481" s="61"/>
      <c r="HEU2481" s="54"/>
      <c r="HEV2481" s="54"/>
      <c r="HEW2481" s="60"/>
      <c r="HEX2481" s="60"/>
      <c r="HEY2481" s="60"/>
      <c r="HEZ2481" s="60"/>
      <c r="HFA2481" s="60"/>
      <c r="HFB2481" s="61"/>
      <c r="HFC2481" s="54"/>
      <c r="HFD2481" s="54"/>
      <c r="HFE2481" s="60"/>
      <c r="HFF2481" s="60"/>
      <c r="HFG2481" s="60"/>
      <c r="HFH2481" s="60"/>
      <c r="HFI2481" s="60"/>
      <c r="HFJ2481" s="61"/>
      <c r="HFK2481" s="54"/>
      <c r="HFL2481" s="54"/>
      <c r="HFM2481" s="60"/>
      <c r="HFN2481" s="60"/>
      <c r="HFO2481" s="60"/>
      <c r="HFP2481" s="60"/>
      <c r="HFQ2481" s="60"/>
      <c r="HFR2481" s="61"/>
      <c r="HFS2481" s="54"/>
      <c r="HFT2481" s="54"/>
      <c r="HFU2481" s="60"/>
      <c r="HFV2481" s="60"/>
      <c r="HFW2481" s="60"/>
      <c r="HFX2481" s="60"/>
      <c r="HFY2481" s="60"/>
      <c r="HFZ2481" s="61"/>
      <c r="HGA2481" s="54"/>
      <c r="HGB2481" s="54"/>
      <c r="HGC2481" s="60"/>
      <c r="HGD2481" s="60"/>
      <c r="HGE2481" s="60"/>
      <c r="HGF2481" s="60"/>
      <c r="HGG2481" s="60"/>
      <c r="HGH2481" s="61"/>
      <c r="HGI2481" s="54"/>
      <c r="HGJ2481" s="54"/>
      <c r="HGK2481" s="60"/>
      <c r="HGL2481" s="60"/>
      <c r="HGM2481" s="60"/>
      <c r="HGN2481" s="60"/>
      <c r="HGO2481" s="60"/>
      <c r="HGP2481" s="61"/>
      <c r="HGQ2481" s="54"/>
      <c r="HGR2481" s="54"/>
      <c r="HGS2481" s="60"/>
      <c r="HGT2481" s="60"/>
      <c r="HGU2481" s="60"/>
      <c r="HGV2481" s="60"/>
      <c r="HGW2481" s="60"/>
      <c r="HGX2481" s="61"/>
      <c r="HGY2481" s="54"/>
      <c r="HGZ2481" s="54"/>
      <c r="HHA2481" s="60"/>
      <c r="HHB2481" s="60"/>
      <c r="HHC2481" s="60"/>
      <c r="HHD2481" s="60"/>
      <c r="HHE2481" s="60"/>
      <c r="HHF2481" s="61"/>
      <c r="HHG2481" s="54"/>
      <c r="HHH2481" s="54"/>
      <c r="HHI2481" s="60"/>
      <c r="HHJ2481" s="60"/>
      <c r="HHK2481" s="60"/>
      <c r="HHL2481" s="60"/>
      <c r="HHM2481" s="60"/>
      <c r="HHN2481" s="61"/>
      <c r="HHO2481" s="54"/>
      <c r="HHP2481" s="54"/>
      <c r="HHQ2481" s="60"/>
      <c r="HHR2481" s="60"/>
      <c r="HHS2481" s="60"/>
      <c r="HHT2481" s="60"/>
      <c r="HHU2481" s="60"/>
      <c r="HHV2481" s="61"/>
      <c r="HHW2481" s="54"/>
      <c r="HHX2481" s="54"/>
      <c r="HHY2481" s="60"/>
      <c r="HHZ2481" s="60"/>
      <c r="HIA2481" s="60"/>
      <c r="HIB2481" s="60"/>
      <c r="HIC2481" s="60"/>
      <c r="HID2481" s="61"/>
      <c r="HIE2481" s="54"/>
      <c r="HIF2481" s="54"/>
      <c r="HIG2481" s="60"/>
      <c r="HIH2481" s="60"/>
      <c r="HII2481" s="60"/>
      <c r="HIJ2481" s="60"/>
      <c r="HIK2481" s="60"/>
      <c r="HIL2481" s="61"/>
      <c r="HIM2481" s="54"/>
      <c r="HIN2481" s="54"/>
      <c r="HIO2481" s="60"/>
      <c r="HIP2481" s="60"/>
      <c r="HIQ2481" s="60"/>
      <c r="HIR2481" s="60"/>
      <c r="HIS2481" s="60"/>
      <c r="HIT2481" s="61"/>
      <c r="HIU2481" s="54"/>
      <c r="HIV2481" s="54"/>
      <c r="HIW2481" s="60"/>
      <c r="HIX2481" s="60"/>
      <c r="HIY2481" s="60"/>
      <c r="HIZ2481" s="60"/>
      <c r="HJA2481" s="60"/>
      <c r="HJB2481" s="61"/>
      <c r="HJC2481" s="54"/>
      <c r="HJD2481" s="54"/>
      <c r="HJE2481" s="60"/>
      <c r="HJF2481" s="60"/>
      <c r="HJG2481" s="60"/>
      <c r="HJH2481" s="60"/>
      <c r="HJI2481" s="60"/>
      <c r="HJJ2481" s="61"/>
      <c r="HJK2481" s="54"/>
      <c r="HJL2481" s="54"/>
      <c r="HJM2481" s="60"/>
      <c r="HJN2481" s="60"/>
      <c r="HJO2481" s="60"/>
      <c r="HJP2481" s="60"/>
      <c r="HJQ2481" s="60"/>
      <c r="HJR2481" s="61"/>
      <c r="HJS2481" s="54"/>
      <c r="HJT2481" s="54"/>
      <c r="HJU2481" s="60"/>
      <c r="HJV2481" s="60"/>
      <c r="HJW2481" s="60"/>
      <c r="HJX2481" s="60"/>
      <c r="HJY2481" s="60"/>
      <c r="HJZ2481" s="61"/>
      <c r="HKA2481" s="54"/>
      <c r="HKB2481" s="54"/>
      <c r="HKC2481" s="60"/>
      <c r="HKD2481" s="60"/>
      <c r="HKE2481" s="60"/>
      <c r="HKF2481" s="60"/>
      <c r="HKG2481" s="60"/>
      <c r="HKH2481" s="61"/>
      <c r="HKI2481" s="54"/>
      <c r="HKJ2481" s="54"/>
      <c r="HKK2481" s="60"/>
      <c r="HKL2481" s="60"/>
      <c r="HKM2481" s="60"/>
      <c r="HKN2481" s="60"/>
      <c r="HKO2481" s="60"/>
      <c r="HKP2481" s="61"/>
      <c r="HKQ2481" s="54"/>
      <c r="HKR2481" s="54"/>
      <c r="HKS2481" s="60"/>
      <c r="HKT2481" s="60"/>
      <c r="HKU2481" s="60"/>
      <c r="HKV2481" s="60"/>
      <c r="HKW2481" s="60"/>
      <c r="HKX2481" s="61"/>
      <c r="HKY2481" s="54"/>
      <c r="HKZ2481" s="54"/>
      <c r="HLA2481" s="60"/>
      <c r="HLB2481" s="60"/>
      <c r="HLC2481" s="60"/>
      <c r="HLD2481" s="60"/>
      <c r="HLE2481" s="60"/>
      <c r="HLF2481" s="61"/>
      <c r="HLG2481" s="54"/>
      <c r="HLH2481" s="54"/>
      <c r="HLI2481" s="60"/>
      <c r="HLJ2481" s="60"/>
      <c r="HLK2481" s="60"/>
      <c r="HLL2481" s="60"/>
      <c r="HLM2481" s="60"/>
      <c r="HLN2481" s="61"/>
      <c r="HLO2481" s="54"/>
      <c r="HLP2481" s="54"/>
      <c r="HLQ2481" s="60"/>
      <c r="HLR2481" s="60"/>
      <c r="HLS2481" s="60"/>
      <c r="HLT2481" s="60"/>
      <c r="HLU2481" s="60"/>
      <c r="HLV2481" s="61"/>
      <c r="HLW2481" s="54"/>
      <c r="HLX2481" s="54"/>
      <c r="HLY2481" s="60"/>
      <c r="HLZ2481" s="60"/>
      <c r="HMA2481" s="60"/>
      <c r="HMB2481" s="60"/>
      <c r="HMC2481" s="60"/>
      <c r="HMD2481" s="61"/>
      <c r="HME2481" s="54"/>
      <c r="HMF2481" s="54"/>
      <c r="HMG2481" s="60"/>
      <c r="HMH2481" s="60"/>
      <c r="HMI2481" s="60"/>
      <c r="HMJ2481" s="60"/>
      <c r="HMK2481" s="60"/>
      <c r="HML2481" s="61"/>
      <c r="HMM2481" s="54"/>
      <c r="HMN2481" s="54"/>
      <c r="HMO2481" s="60"/>
      <c r="HMP2481" s="60"/>
      <c r="HMQ2481" s="60"/>
      <c r="HMR2481" s="60"/>
      <c r="HMS2481" s="60"/>
      <c r="HMT2481" s="61"/>
      <c r="HMU2481" s="54"/>
      <c r="HMV2481" s="54"/>
      <c r="HMW2481" s="60"/>
      <c r="HMX2481" s="60"/>
      <c r="HMY2481" s="60"/>
      <c r="HMZ2481" s="60"/>
      <c r="HNA2481" s="60"/>
      <c r="HNB2481" s="61"/>
      <c r="HNC2481" s="54"/>
      <c r="HND2481" s="54"/>
      <c r="HNE2481" s="60"/>
      <c r="HNF2481" s="60"/>
      <c r="HNG2481" s="60"/>
      <c r="HNH2481" s="60"/>
      <c r="HNI2481" s="60"/>
      <c r="HNJ2481" s="61"/>
      <c r="HNK2481" s="54"/>
      <c r="HNL2481" s="54"/>
      <c r="HNM2481" s="60"/>
      <c r="HNN2481" s="60"/>
      <c r="HNO2481" s="60"/>
      <c r="HNP2481" s="60"/>
      <c r="HNQ2481" s="60"/>
      <c r="HNR2481" s="61"/>
      <c r="HNS2481" s="54"/>
      <c r="HNT2481" s="54"/>
      <c r="HNU2481" s="60"/>
      <c r="HNV2481" s="60"/>
      <c r="HNW2481" s="60"/>
      <c r="HNX2481" s="60"/>
      <c r="HNY2481" s="60"/>
      <c r="HNZ2481" s="61"/>
      <c r="HOA2481" s="54"/>
      <c r="HOB2481" s="54"/>
      <c r="HOC2481" s="60"/>
      <c r="HOD2481" s="60"/>
      <c r="HOE2481" s="60"/>
      <c r="HOF2481" s="60"/>
      <c r="HOG2481" s="60"/>
      <c r="HOH2481" s="61"/>
      <c r="HOI2481" s="54"/>
      <c r="HOJ2481" s="54"/>
      <c r="HOK2481" s="60"/>
      <c r="HOL2481" s="60"/>
      <c r="HOM2481" s="60"/>
      <c r="HON2481" s="60"/>
      <c r="HOO2481" s="60"/>
      <c r="HOP2481" s="61"/>
      <c r="HOQ2481" s="54"/>
      <c r="HOR2481" s="54"/>
      <c r="HOS2481" s="60"/>
      <c r="HOT2481" s="60"/>
      <c r="HOU2481" s="60"/>
      <c r="HOV2481" s="60"/>
      <c r="HOW2481" s="60"/>
      <c r="HOX2481" s="61"/>
      <c r="HOY2481" s="54"/>
      <c r="HOZ2481" s="54"/>
      <c r="HPA2481" s="60"/>
      <c r="HPB2481" s="60"/>
      <c r="HPC2481" s="60"/>
      <c r="HPD2481" s="60"/>
      <c r="HPE2481" s="60"/>
      <c r="HPF2481" s="61"/>
      <c r="HPG2481" s="54"/>
      <c r="HPH2481" s="54"/>
      <c r="HPI2481" s="60"/>
      <c r="HPJ2481" s="60"/>
      <c r="HPK2481" s="60"/>
      <c r="HPL2481" s="60"/>
      <c r="HPM2481" s="60"/>
      <c r="HPN2481" s="61"/>
      <c r="HPO2481" s="54"/>
      <c r="HPP2481" s="54"/>
      <c r="HPQ2481" s="60"/>
      <c r="HPR2481" s="60"/>
      <c r="HPS2481" s="60"/>
      <c r="HPT2481" s="60"/>
      <c r="HPU2481" s="60"/>
      <c r="HPV2481" s="61"/>
      <c r="HPW2481" s="54"/>
      <c r="HPX2481" s="54"/>
      <c r="HPY2481" s="60"/>
      <c r="HPZ2481" s="60"/>
      <c r="HQA2481" s="60"/>
      <c r="HQB2481" s="60"/>
      <c r="HQC2481" s="60"/>
      <c r="HQD2481" s="61"/>
      <c r="HQE2481" s="54"/>
      <c r="HQF2481" s="54"/>
      <c r="HQG2481" s="60"/>
      <c r="HQH2481" s="60"/>
      <c r="HQI2481" s="60"/>
      <c r="HQJ2481" s="60"/>
      <c r="HQK2481" s="60"/>
      <c r="HQL2481" s="61"/>
      <c r="HQM2481" s="54"/>
      <c r="HQN2481" s="54"/>
      <c r="HQO2481" s="60"/>
      <c r="HQP2481" s="60"/>
      <c r="HQQ2481" s="60"/>
      <c r="HQR2481" s="60"/>
      <c r="HQS2481" s="60"/>
      <c r="HQT2481" s="61"/>
      <c r="HQU2481" s="54"/>
      <c r="HQV2481" s="54"/>
      <c r="HQW2481" s="60"/>
      <c r="HQX2481" s="60"/>
      <c r="HQY2481" s="60"/>
      <c r="HQZ2481" s="60"/>
      <c r="HRA2481" s="60"/>
      <c r="HRB2481" s="61"/>
      <c r="HRC2481" s="54"/>
      <c r="HRD2481" s="54"/>
      <c r="HRE2481" s="60"/>
      <c r="HRF2481" s="60"/>
      <c r="HRG2481" s="60"/>
      <c r="HRH2481" s="60"/>
      <c r="HRI2481" s="60"/>
      <c r="HRJ2481" s="61"/>
      <c r="HRK2481" s="54"/>
      <c r="HRL2481" s="54"/>
      <c r="HRM2481" s="60"/>
      <c r="HRN2481" s="60"/>
      <c r="HRO2481" s="60"/>
      <c r="HRP2481" s="60"/>
      <c r="HRQ2481" s="60"/>
      <c r="HRR2481" s="61"/>
      <c r="HRS2481" s="54"/>
      <c r="HRT2481" s="54"/>
      <c r="HRU2481" s="60"/>
      <c r="HRV2481" s="60"/>
      <c r="HRW2481" s="60"/>
      <c r="HRX2481" s="60"/>
      <c r="HRY2481" s="60"/>
      <c r="HRZ2481" s="61"/>
      <c r="HSA2481" s="54"/>
      <c r="HSB2481" s="54"/>
      <c r="HSC2481" s="60"/>
      <c r="HSD2481" s="60"/>
      <c r="HSE2481" s="60"/>
      <c r="HSF2481" s="60"/>
      <c r="HSG2481" s="60"/>
      <c r="HSH2481" s="61"/>
      <c r="HSI2481" s="54"/>
      <c r="HSJ2481" s="54"/>
      <c r="HSK2481" s="60"/>
      <c r="HSL2481" s="60"/>
      <c r="HSM2481" s="60"/>
      <c r="HSN2481" s="60"/>
      <c r="HSO2481" s="60"/>
      <c r="HSP2481" s="61"/>
      <c r="HSQ2481" s="54"/>
      <c r="HSR2481" s="54"/>
      <c r="HSS2481" s="60"/>
      <c r="HST2481" s="60"/>
      <c r="HSU2481" s="60"/>
      <c r="HSV2481" s="60"/>
      <c r="HSW2481" s="60"/>
      <c r="HSX2481" s="61"/>
      <c r="HSY2481" s="54"/>
      <c r="HSZ2481" s="54"/>
      <c r="HTA2481" s="60"/>
      <c r="HTB2481" s="60"/>
      <c r="HTC2481" s="60"/>
      <c r="HTD2481" s="60"/>
      <c r="HTE2481" s="60"/>
      <c r="HTF2481" s="61"/>
      <c r="HTG2481" s="54"/>
      <c r="HTH2481" s="54"/>
      <c r="HTI2481" s="60"/>
      <c r="HTJ2481" s="60"/>
      <c r="HTK2481" s="60"/>
      <c r="HTL2481" s="60"/>
      <c r="HTM2481" s="60"/>
      <c r="HTN2481" s="61"/>
      <c r="HTO2481" s="54"/>
      <c r="HTP2481" s="54"/>
      <c r="HTQ2481" s="60"/>
      <c r="HTR2481" s="60"/>
      <c r="HTS2481" s="60"/>
      <c r="HTT2481" s="60"/>
      <c r="HTU2481" s="60"/>
      <c r="HTV2481" s="61"/>
      <c r="HTW2481" s="54"/>
      <c r="HTX2481" s="54"/>
      <c r="HTY2481" s="60"/>
      <c r="HTZ2481" s="60"/>
      <c r="HUA2481" s="60"/>
      <c r="HUB2481" s="60"/>
      <c r="HUC2481" s="60"/>
      <c r="HUD2481" s="61"/>
      <c r="HUE2481" s="54"/>
      <c r="HUF2481" s="54"/>
      <c r="HUG2481" s="60"/>
      <c r="HUH2481" s="60"/>
      <c r="HUI2481" s="60"/>
      <c r="HUJ2481" s="60"/>
      <c r="HUK2481" s="60"/>
      <c r="HUL2481" s="61"/>
      <c r="HUM2481" s="54"/>
      <c r="HUN2481" s="54"/>
      <c r="HUO2481" s="60"/>
      <c r="HUP2481" s="60"/>
      <c r="HUQ2481" s="60"/>
      <c r="HUR2481" s="60"/>
      <c r="HUS2481" s="60"/>
      <c r="HUT2481" s="61"/>
      <c r="HUU2481" s="54"/>
      <c r="HUV2481" s="54"/>
      <c r="HUW2481" s="60"/>
      <c r="HUX2481" s="60"/>
      <c r="HUY2481" s="60"/>
      <c r="HUZ2481" s="60"/>
      <c r="HVA2481" s="60"/>
      <c r="HVB2481" s="61"/>
      <c r="HVC2481" s="54"/>
      <c r="HVD2481" s="54"/>
      <c r="HVE2481" s="60"/>
      <c r="HVF2481" s="60"/>
      <c r="HVG2481" s="60"/>
      <c r="HVH2481" s="60"/>
      <c r="HVI2481" s="60"/>
      <c r="HVJ2481" s="61"/>
      <c r="HVK2481" s="54"/>
      <c r="HVL2481" s="54"/>
      <c r="HVM2481" s="60"/>
      <c r="HVN2481" s="60"/>
      <c r="HVO2481" s="60"/>
      <c r="HVP2481" s="60"/>
      <c r="HVQ2481" s="60"/>
      <c r="HVR2481" s="61"/>
      <c r="HVS2481" s="54"/>
      <c r="HVT2481" s="54"/>
      <c r="HVU2481" s="60"/>
      <c r="HVV2481" s="60"/>
      <c r="HVW2481" s="60"/>
      <c r="HVX2481" s="60"/>
      <c r="HVY2481" s="60"/>
      <c r="HVZ2481" s="61"/>
      <c r="HWA2481" s="54"/>
      <c r="HWB2481" s="54"/>
      <c r="HWC2481" s="60"/>
      <c r="HWD2481" s="60"/>
      <c r="HWE2481" s="60"/>
      <c r="HWF2481" s="60"/>
      <c r="HWG2481" s="60"/>
      <c r="HWH2481" s="61"/>
      <c r="HWI2481" s="54"/>
      <c r="HWJ2481" s="54"/>
      <c r="HWK2481" s="60"/>
      <c r="HWL2481" s="60"/>
      <c r="HWM2481" s="60"/>
      <c r="HWN2481" s="60"/>
      <c r="HWO2481" s="60"/>
      <c r="HWP2481" s="61"/>
      <c r="HWQ2481" s="54"/>
      <c r="HWR2481" s="54"/>
      <c r="HWS2481" s="60"/>
      <c r="HWT2481" s="60"/>
      <c r="HWU2481" s="60"/>
      <c r="HWV2481" s="60"/>
      <c r="HWW2481" s="60"/>
      <c r="HWX2481" s="61"/>
      <c r="HWY2481" s="54"/>
      <c r="HWZ2481" s="54"/>
      <c r="HXA2481" s="60"/>
      <c r="HXB2481" s="60"/>
      <c r="HXC2481" s="60"/>
      <c r="HXD2481" s="60"/>
      <c r="HXE2481" s="60"/>
      <c r="HXF2481" s="61"/>
      <c r="HXG2481" s="54"/>
      <c r="HXH2481" s="54"/>
      <c r="HXI2481" s="60"/>
      <c r="HXJ2481" s="60"/>
      <c r="HXK2481" s="60"/>
      <c r="HXL2481" s="60"/>
      <c r="HXM2481" s="60"/>
      <c r="HXN2481" s="61"/>
      <c r="HXO2481" s="54"/>
      <c r="HXP2481" s="54"/>
      <c r="HXQ2481" s="60"/>
      <c r="HXR2481" s="60"/>
      <c r="HXS2481" s="60"/>
      <c r="HXT2481" s="60"/>
      <c r="HXU2481" s="60"/>
      <c r="HXV2481" s="61"/>
      <c r="HXW2481" s="54"/>
      <c r="HXX2481" s="54"/>
      <c r="HXY2481" s="60"/>
      <c r="HXZ2481" s="60"/>
      <c r="HYA2481" s="60"/>
      <c r="HYB2481" s="60"/>
      <c r="HYC2481" s="60"/>
      <c r="HYD2481" s="61"/>
      <c r="HYE2481" s="54"/>
      <c r="HYF2481" s="54"/>
      <c r="HYG2481" s="60"/>
      <c r="HYH2481" s="60"/>
      <c r="HYI2481" s="60"/>
      <c r="HYJ2481" s="60"/>
      <c r="HYK2481" s="60"/>
      <c r="HYL2481" s="61"/>
      <c r="HYM2481" s="54"/>
      <c r="HYN2481" s="54"/>
      <c r="HYO2481" s="60"/>
      <c r="HYP2481" s="60"/>
      <c r="HYQ2481" s="60"/>
      <c r="HYR2481" s="60"/>
      <c r="HYS2481" s="60"/>
      <c r="HYT2481" s="61"/>
      <c r="HYU2481" s="54"/>
      <c r="HYV2481" s="54"/>
      <c r="HYW2481" s="60"/>
      <c r="HYX2481" s="60"/>
      <c r="HYY2481" s="60"/>
      <c r="HYZ2481" s="60"/>
      <c r="HZA2481" s="60"/>
      <c r="HZB2481" s="61"/>
      <c r="HZC2481" s="54"/>
      <c r="HZD2481" s="54"/>
      <c r="HZE2481" s="60"/>
      <c r="HZF2481" s="60"/>
      <c r="HZG2481" s="60"/>
      <c r="HZH2481" s="60"/>
      <c r="HZI2481" s="60"/>
      <c r="HZJ2481" s="61"/>
      <c r="HZK2481" s="54"/>
      <c r="HZL2481" s="54"/>
      <c r="HZM2481" s="60"/>
      <c r="HZN2481" s="60"/>
      <c r="HZO2481" s="60"/>
      <c r="HZP2481" s="60"/>
      <c r="HZQ2481" s="60"/>
      <c r="HZR2481" s="61"/>
      <c r="HZS2481" s="54"/>
      <c r="HZT2481" s="54"/>
      <c r="HZU2481" s="60"/>
      <c r="HZV2481" s="60"/>
      <c r="HZW2481" s="60"/>
      <c r="HZX2481" s="60"/>
      <c r="HZY2481" s="60"/>
      <c r="HZZ2481" s="61"/>
      <c r="IAA2481" s="54"/>
      <c r="IAB2481" s="54"/>
      <c r="IAC2481" s="60"/>
      <c r="IAD2481" s="60"/>
      <c r="IAE2481" s="60"/>
      <c r="IAF2481" s="60"/>
      <c r="IAG2481" s="60"/>
      <c r="IAH2481" s="61"/>
      <c r="IAI2481" s="54"/>
      <c r="IAJ2481" s="54"/>
      <c r="IAK2481" s="60"/>
      <c r="IAL2481" s="60"/>
      <c r="IAM2481" s="60"/>
      <c r="IAN2481" s="60"/>
      <c r="IAO2481" s="60"/>
      <c r="IAP2481" s="61"/>
      <c r="IAQ2481" s="54"/>
      <c r="IAR2481" s="54"/>
      <c r="IAS2481" s="60"/>
      <c r="IAT2481" s="60"/>
      <c r="IAU2481" s="60"/>
      <c r="IAV2481" s="60"/>
      <c r="IAW2481" s="60"/>
      <c r="IAX2481" s="61"/>
      <c r="IAY2481" s="54"/>
      <c r="IAZ2481" s="54"/>
      <c r="IBA2481" s="60"/>
      <c r="IBB2481" s="60"/>
      <c r="IBC2481" s="60"/>
      <c r="IBD2481" s="60"/>
      <c r="IBE2481" s="60"/>
      <c r="IBF2481" s="61"/>
      <c r="IBG2481" s="54"/>
      <c r="IBH2481" s="54"/>
      <c r="IBI2481" s="60"/>
      <c r="IBJ2481" s="60"/>
      <c r="IBK2481" s="60"/>
      <c r="IBL2481" s="60"/>
      <c r="IBM2481" s="60"/>
      <c r="IBN2481" s="61"/>
      <c r="IBO2481" s="54"/>
      <c r="IBP2481" s="54"/>
      <c r="IBQ2481" s="60"/>
      <c r="IBR2481" s="60"/>
      <c r="IBS2481" s="60"/>
      <c r="IBT2481" s="60"/>
      <c r="IBU2481" s="60"/>
      <c r="IBV2481" s="61"/>
      <c r="IBW2481" s="54"/>
      <c r="IBX2481" s="54"/>
      <c r="IBY2481" s="60"/>
      <c r="IBZ2481" s="60"/>
      <c r="ICA2481" s="60"/>
      <c r="ICB2481" s="60"/>
      <c r="ICC2481" s="60"/>
      <c r="ICD2481" s="61"/>
      <c r="ICE2481" s="54"/>
      <c r="ICF2481" s="54"/>
      <c r="ICG2481" s="60"/>
      <c r="ICH2481" s="60"/>
      <c r="ICI2481" s="60"/>
      <c r="ICJ2481" s="60"/>
      <c r="ICK2481" s="60"/>
      <c r="ICL2481" s="61"/>
      <c r="ICM2481" s="54"/>
      <c r="ICN2481" s="54"/>
      <c r="ICO2481" s="60"/>
      <c r="ICP2481" s="60"/>
      <c r="ICQ2481" s="60"/>
      <c r="ICR2481" s="60"/>
      <c r="ICS2481" s="60"/>
      <c r="ICT2481" s="61"/>
      <c r="ICU2481" s="54"/>
      <c r="ICV2481" s="54"/>
      <c r="ICW2481" s="60"/>
      <c r="ICX2481" s="60"/>
      <c r="ICY2481" s="60"/>
      <c r="ICZ2481" s="60"/>
      <c r="IDA2481" s="60"/>
      <c r="IDB2481" s="61"/>
      <c r="IDC2481" s="54"/>
      <c r="IDD2481" s="54"/>
      <c r="IDE2481" s="60"/>
      <c r="IDF2481" s="60"/>
      <c r="IDG2481" s="60"/>
      <c r="IDH2481" s="60"/>
      <c r="IDI2481" s="60"/>
      <c r="IDJ2481" s="61"/>
      <c r="IDK2481" s="54"/>
      <c r="IDL2481" s="54"/>
      <c r="IDM2481" s="60"/>
      <c r="IDN2481" s="60"/>
      <c r="IDO2481" s="60"/>
      <c r="IDP2481" s="60"/>
      <c r="IDQ2481" s="60"/>
      <c r="IDR2481" s="61"/>
      <c r="IDS2481" s="54"/>
      <c r="IDT2481" s="54"/>
      <c r="IDU2481" s="60"/>
      <c r="IDV2481" s="60"/>
      <c r="IDW2481" s="60"/>
      <c r="IDX2481" s="60"/>
      <c r="IDY2481" s="60"/>
      <c r="IDZ2481" s="61"/>
      <c r="IEA2481" s="54"/>
      <c r="IEB2481" s="54"/>
      <c r="IEC2481" s="60"/>
      <c r="IED2481" s="60"/>
      <c r="IEE2481" s="60"/>
      <c r="IEF2481" s="60"/>
      <c r="IEG2481" s="60"/>
      <c r="IEH2481" s="61"/>
      <c r="IEI2481" s="54"/>
      <c r="IEJ2481" s="54"/>
      <c r="IEK2481" s="60"/>
      <c r="IEL2481" s="60"/>
      <c r="IEM2481" s="60"/>
      <c r="IEN2481" s="60"/>
      <c r="IEO2481" s="60"/>
      <c r="IEP2481" s="61"/>
      <c r="IEQ2481" s="54"/>
      <c r="IER2481" s="54"/>
      <c r="IES2481" s="60"/>
      <c r="IET2481" s="60"/>
      <c r="IEU2481" s="60"/>
      <c r="IEV2481" s="60"/>
      <c r="IEW2481" s="60"/>
      <c r="IEX2481" s="61"/>
      <c r="IEY2481" s="54"/>
      <c r="IEZ2481" s="54"/>
      <c r="IFA2481" s="60"/>
      <c r="IFB2481" s="60"/>
      <c r="IFC2481" s="60"/>
      <c r="IFD2481" s="60"/>
      <c r="IFE2481" s="60"/>
      <c r="IFF2481" s="61"/>
      <c r="IFG2481" s="54"/>
      <c r="IFH2481" s="54"/>
      <c r="IFI2481" s="60"/>
      <c r="IFJ2481" s="60"/>
      <c r="IFK2481" s="60"/>
      <c r="IFL2481" s="60"/>
      <c r="IFM2481" s="60"/>
      <c r="IFN2481" s="61"/>
      <c r="IFO2481" s="54"/>
      <c r="IFP2481" s="54"/>
      <c r="IFQ2481" s="60"/>
      <c r="IFR2481" s="60"/>
      <c r="IFS2481" s="60"/>
      <c r="IFT2481" s="60"/>
      <c r="IFU2481" s="60"/>
      <c r="IFV2481" s="61"/>
      <c r="IFW2481" s="54"/>
      <c r="IFX2481" s="54"/>
      <c r="IFY2481" s="60"/>
      <c r="IFZ2481" s="60"/>
      <c r="IGA2481" s="60"/>
      <c r="IGB2481" s="60"/>
      <c r="IGC2481" s="60"/>
      <c r="IGD2481" s="61"/>
      <c r="IGE2481" s="54"/>
      <c r="IGF2481" s="54"/>
      <c r="IGG2481" s="60"/>
      <c r="IGH2481" s="60"/>
      <c r="IGI2481" s="60"/>
      <c r="IGJ2481" s="60"/>
      <c r="IGK2481" s="60"/>
      <c r="IGL2481" s="61"/>
      <c r="IGM2481" s="54"/>
      <c r="IGN2481" s="54"/>
      <c r="IGO2481" s="60"/>
      <c r="IGP2481" s="60"/>
      <c r="IGQ2481" s="60"/>
      <c r="IGR2481" s="60"/>
      <c r="IGS2481" s="60"/>
      <c r="IGT2481" s="61"/>
      <c r="IGU2481" s="54"/>
      <c r="IGV2481" s="54"/>
      <c r="IGW2481" s="60"/>
      <c r="IGX2481" s="60"/>
      <c r="IGY2481" s="60"/>
      <c r="IGZ2481" s="60"/>
      <c r="IHA2481" s="60"/>
      <c r="IHB2481" s="61"/>
      <c r="IHC2481" s="54"/>
      <c r="IHD2481" s="54"/>
      <c r="IHE2481" s="60"/>
      <c r="IHF2481" s="60"/>
      <c r="IHG2481" s="60"/>
      <c r="IHH2481" s="60"/>
      <c r="IHI2481" s="60"/>
      <c r="IHJ2481" s="61"/>
      <c r="IHK2481" s="54"/>
      <c r="IHL2481" s="54"/>
      <c r="IHM2481" s="60"/>
      <c r="IHN2481" s="60"/>
      <c r="IHO2481" s="60"/>
      <c r="IHP2481" s="60"/>
      <c r="IHQ2481" s="60"/>
      <c r="IHR2481" s="61"/>
      <c r="IHS2481" s="54"/>
      <c r="IHT2481" s="54"/>
      <c r="IHU2481" s="60"/>
      <c r="IHV2481" s="60"/>
      <c r="IHW2481" s="60"/>
      <c r="IHX2481" s="60"/>
      <c r="IHY2481" s="60"/>
      <c r="IHZ2481" s="61"/>
      <c r="IIA2481" s="54"/>
      <c r="IIB2481" s="54"/>
      <c r="IIC2481" s="60"/>
      <c r="IID2481" s="60"/>
      <c r="IIE2481" s="60"/>
      <c r="IIF2481" s="60"/>
      <c r="IIG2481" s="60"/>
      <c r="IIH2481" s="61"/>
      <c r="III2481" s="54"/>
      <c r="IIJ2481" s="54"/>
      <c r="IIK2481" s="60"/>
      <c r="IIL2481" s="60"/>
      <c r="IIM2481" s="60"/>
      <c r="IIN2481" s="60"/>
      <c r="IIO2481" s="60"/>
      <c r="IIP2481" s="61"/>
      <c r="IIQ2481" s="54"/>
      <c r="IIR2481" s="54"/>
      <c r="IIS2481" s="60"/>
      <c r="IIT2481" s="60"/>
      <c r="IIU2481" s="60"/>
      <c r="IIV2481" s="60"/>
      <c r="IIW2481" s="60"/>
      <c r="IIX2481" s="61"/>
      <c r="IIY2481" s="54"/>
      <c r="IIZ2481" s="54"/>
      <c r="IJA2481" s="60"/>
      <c r="IJB2481" s="60"/>
      <c r="IJC2481" s="60"/>
      <c r="IJD2481" s="60"/>
      <c r="IJE2481" s="60"/>
      <c r="IJF2481" s="61"/>
      <c r="IJG2481" s="54"/>
      <c r="IJH2481" s="54"/>
      <c r="IJI2481" s="60"/>
      <c r="IJJ2481" s="60"/>
      <c r="IJK2481" s="60"/>
      <c r="IJL2481" s="60"/>
      <c r="IJM2481" s="60"/>
      <c r="IJN2481" s="61"/>
      <c r="IJO2481" s="54"/>
      <c r="IJP2481" s="54"/>
      <c r="IJQ2481" s="60"/>
      <c r="IJR2481" s="60"/>
      <c r="IJS2481" s="60"/>
      <c r="IJT2481" s="60"/>
      <c r="IJU2481" s="60"/>
      <c r="IJV2481" s="61"/>
      <c r="IJW2481" s="54"/>
      <c r="IJX2481" s="54"/>
      <c r="IJY2481" s="60"/>
      <c r="IJZ2481" s="60"/>
      <c r="IKA2481" s="60"/>
      <c r="IKB2481" s="60"/>
      <c r="IKC2481" s="60"/>
      <c r="IKD2481" s="61"/>
      <c r="IKE2481" s="54"/>
      <c r="IKF2481" s="54"/>
      <c r="IKG2481" s="60"/>
      <c r="IKH2481" s="60"/>
      <c r="IKI2481" s="60"/>
      <c r="IKJ2481" s="60"/>
      <c r="IKK2481" s="60"/>
      <c r="IKL2481" s="61"/>
      <c r="IKM2481" s="54"/>
      <c r="IKN2481" s="54"/>
      <c r="IKO2481" s="60"/>
      <c r="IKP2481" s="60"/>
      <c r="IKQ2481" s="60"/>
      <c r="IKR2481" s="60"/>
      <c r="IKS2481" s="60"/>
      <c r="IKT2481" s="61"/>
      <c r="IKU2481" s="54"/>
      <c r="IKV2481" s="54"/>
      <c r="IKW2481" s="60"/>
      <c r="IKX2481" s="60"/>
      <c r="IKY2481" s="60"/>
      <c r="IKZ2481" s="60"/>
      <c r="ILA2481" s="60"/>
      <c r="ILB2481" s="61"/>
      <c r="ILC2481" s="54"/>
      <c r="ILD2481" s="54"/>
      <c r="ILE2481" s="60"/>
      <c r="ILF2481" s="60"/>
      <c r="ILG2481" s="60"/>
      <c r="ILH2481" s="60"/>
      <c r="ILI2481" s="60"/>
      <c r="ILJ2481" s="61"/>
      <c r="ILK2481" s="54"/>
      <c r="ILL2481" s="54"/>
      <c r="ILM2481" s="60"/>
      <c r="ILN2481" s="60"/>
      <c r="ILO2481" s="60"/>
      <c r="ILP2481" s="60"/>
      <c r="ILQ2481" s="60"/>
      <c r="ILR2481" s="61"/>
      <c r="ILS2481" s="54"/>
      <c r="ILT2481" s="54"/>
      <c r="ILU2481" s="60"/>
      <c r="ILV2481" s="60"/>
      <c r="ILW2481" s="60"/>
      <c r="ILX2481" s="60"/>
      <c r="ILY2481" s="60"/>
      <c r="ILZ2481" s="61"/>
      <c r="IMA2481" s="54"/>
      <c r="IMB2481" s="54"/>
      <c r="IMC2481" s="60"/>
      <c r="IMD2481" s="60"/>
      <c r="IME2481" s="60"/>
      <c r="IMF2481" s="60"/>
      <c r="IMG2481" s="60"/>
      <c r="IMH2481" s="61"/>
      <c r="IMI2481" s="54"/>
      <c r="IMJ2481" s="54"/>
      <c r="IMK2481" s="60"/>
      <c r="IML2481" s="60"/>
      <c r="IMM2481" s="60"/>
      <c r="IMN2481" s="60"/>
      <c r="IMO2481" s="60"/>
      <c r="IMP2481" s="61"/>
      <c r="IMQ2481" s="54"/>
      <c r="IMR2481" s="54"/>
      <c r="IMS2481" s="60"/>
      <c r="IMT2481" s="60"/>
      <c r="IMU2481" s="60"/>
      <c r="IMV2481" s="60"/>
      <c r="IMW2481" s="60"/>
      <c r="IMX2481" s="61"/>
      <c r="IMY2481" s="54"/>
      <c r="IMZ2481" s="54"/>
      <c r="INA2481" s="60"/>
      <c r="INB2481" s="60"/>
      <c r="INC2481" s="60"/>
      <c r="IND2481" s="60"/>
      <c r="INE2481" s="60"/>
      <c r="INF2481" s="61"/>
      <c r="ING2481" s="54"/>
      <c r="INH2481" s="54"/>
      <c r="INI2481" s="60"/>
      <c r="INJ2481" s="60"/>
      <c r="INK2481" s="60"/>
      <c r="INL2481" s="60"/>
      <c r="INM2481" s="60"/>
      <c r="INN2481" s="61"/>
      <c r="INO2481" s="54"/>
      <c r="INP2481" s="54"/>
      <c r="INQ2481" s="60"/>
      <c r="INR2481" s="60"/>
      <c r="INS2481" s="60"/>
      <c r="INT2481" s="60"/>
      <c r="INU2481" s="60"/>
      <c r="INV2481" s="61"/>
      <c r="INW2481" s="54"/>
      <c r="INX2481" s="54"/>
      <c r="INY2481" s="60"/>
      <c r="INZ2481" s="60"/>
      <c r="IOA2481" s="60"/>
      <c r="IOB2481" s="60"/>
      <c r="IOC2481" s="60"/>
      <c r="IOD2481" s="61"/>
      <c r="IOE2481" s="54"/>
      <c r="IOF2481" s="54"/>
      <c r="IOG2481" s="60"/>
      <c r="IOH2481" s="60"/>
      <c r="IOI2481" s="60"/>
      <c r="IOJ2481" s="60"/>
      <c r="IOK2481" s="60"/>
      <c r="IOL2481" s="61"/>
      <c r="IOM2481" s="54"/>
      <c r="ION2481" s="54"/>
      <c r="IOO2481" s="60"/>
      <c r="IOP2481" s="60"/>
      <c r="IOQ2481" s="60"/>
      <c r="IOR2481" s="60"/>
      <c r="IOS2481" s="60"/>
      <c r="IOT2481" s="61"/>
      <c r="IOU2481" s="54"/>
      <c r="IOV2481" s="54"/>
      <c r="IOW2481" s="60"/>
      <c r="IOX2481" s="60"/>
      <c r="IOY2481" s="60"/>
      <c r="IOZ2481" s="60"/>
      <c r="IPA2481" s="60"/>
      <c r="IPB2481" s="61"/>
      <c r="IPC2481" s="54"/>
      <c r="IPD2481" s="54"/>
      <c r="IPE2481" s="60"/>
      <c r="IPF2481" s="60"/>
      <c r="IPG2481" s="60"/>
      <c r="IPH2481" s="60"/>
      <c r="IPI2481" s="60"/>
      <c r="IPJ2481" s="61"/>
      <c r="IPK2481" s="54"/>
      <c r="IPL2481" s="54"/>
      <c r="IPM2481" s="60"/>
      <c r="IPN2481" s="60"/>
      <c r="IPO2481" s="60"/>
      <c r="IPP2481" s="60"/>
      <c r="IPQ2481" s="60"/>
      <c r="IPR2481" s="61"/>
      <c r="IPS2481" s="54"/>
      <c r="IPT2481" s="54"/>
      <c r="IPU2481" s="60"/>
      <c r="IPV2481" s="60"/>
      <c r="IPW2481" s="60"/>
      <c r="IPX2481" s="60"/>
      <c r="IPY2481" s="60"/>
      <c r="IPZ2481" s="61"/>
      <c r="IQA2481" s="54"/>
      <c r="IQB2481" s="54"/>
      <c r="IQC2481" s="60"/>
      <c r="IQD2481" s="60"/>
      <c r="IQE2481" s="60"/>
      <c r="IQF2481" s="60"/>
      <c r="IQG2481" s="60"/>
      <c r="IQH2481" s="61"/>
      <c r="IQI2481" s="54"/>
      <c r="IQJ2481" s="54"/>
      <c r="IQK2481" s="60"/>
      <c r="IQL2481" s="60"/>
      <c r="IQM2481" s="60"/>
      <c r="IQN2481" s="60"/>
      <c r="IQO2481" s="60"/>
      <c r="IQP2481" s="61"/>
      <c r="IQQ2481" s="54"/>
      <c r="IQR2481" s="54"/>
      <c r="IQS2481" s="60"/>
      <c r="IQT2481" s="60"/>
      <c r="IQU2481" s="60"/>
      <c r="IQV2481" s="60"/>
      <c r="IQW2481" s="60"/>
      <c r="IQX2481" s="61"/>
      <c r="IQY2481" s="54"/>
      <c r="IQZ2481" s="54"/>
      <c r="IRA2481" s="60"/>
      <c r="IRB2481" s="60"/>
      <c r="IRC2481" s="60"/>
      <c r="IRD2481" s="60"/>
      <c r="IRE2481" s="60"/>
      <c r="IRF2481" s="61"/>
      <c r="IRG2481" s="54"/>
      <c r="IRH2481" s="54"/>
      <c r="IRI2481" s="60"/>
      <c r="IRJ2481" s="60"/>
      <c r="IRK2481" s="60"/>
      <c r="IRL2481" s="60"/>
      <c r="IRM2481" s="60"/>
      <c r="IRN2481" s="61"/>
      <c r="IRO2481" s="54"/>
      <c r="IRP2481" s="54"/>
      <c r="IRQ2481" s="60"/>
      <c r="IRR2481" s="60"/>
      <c r="IRS2481" s="60"/>
      <c r="IRT2481" s="60"/>
      <c r="IRU2481" s="60"/>
      <c r="IRV2481" s="61"/>
      <c r="IRW2481" s="54"/>
      <c r="IRX2481" s="54"/>
      <c r="IRY2481" s="60"/>
      <c r="IRZ2481" s="60"/>
      <c r="ISA2481" s="60"/>
      <c r="ISB2481" s="60"/>
      <c r="ISC2481" s="60"/>
      <c r="ISD2481" s="61"/>
      <c r="ISE2481" s="54"/>
      <c r="ISF2481" s="54"/>
      <c r="ISG2481" s="60"/>
      <c r="ISH2481" s="60"/>
      <c r="ISI2481" s="60"/>
      <c r="ISJ2481" s="60"/>
      <c r="ISK2481" s="60"/>
      <c r="ISL2481" s="61"/>
      <c r="ISM2481" s="54"/>
      <c r="ISN2481" s="54"/>
      <c r="ISO2481" s="60"/>
      <c r="ISP2481" s="60"/>
      <c r="ISQ2481" s="60"/>
      <c r="ISR2481" s="60"/>
      <c r="ISS2481" s="60"/>
      <c r="IST2481" s="61"/>
      <c r="ISU2481" s="54"/>
      <c r="ISV2481" s="54"/>
      <c r="ISW2481" s="60"/>
      <c r="ISX2481" s="60"/>
      <c r="ISY2481" s="60"/>
      <c r="ISZ2481" s="60"/>
      <c r="ITA2481" s="60"/>
      <c r="ITB2481" s="61"/>
      <c r="ITC2481" s="54"/>
      <c r="ITD2481" s="54"/>
      <c r="ITE2481" s="60"/>
      <c r="ITF2481" s="60"/>
      <c r="ITG2481" s="60"/>
      <c r="ITH2481" s="60"/>
      <c r="ITI2481" s="60"/>
      <c r="ITJ2481" s="61"/>
      <c r="ITK2481" s="54"/>
      <c r="ITL2481" s="54"/>
      <c r="ITM2481" s="60"/>
      <c r="ITN2481" s="60"/>
      <c r="ITO2481" s="60"/>
      <c r="ITP2481" s="60"/>
      <c r="ITQ2481" s="60"/>
      <c r="ITR2481" s="61"/>
      <c r="ITS2481" s="54"/>
      <c r="ITT2481" s="54"/>
      <c r="ITU2481" s="60"/>
      <c r="ITV2481" s="60"/>
      <c r="ITW2481" s="60"/>
      <c r="ITX2481" s="60"/>
      <c r="ITY2481" s="60"/>
      <c r="ITZ2481" s="61"/>
      <c r="IUA2481" s="54"/>
      <c r="IUB2481" s="54"/>
      <c r="IUC2481" s="60"/>
      <c r="IUD2481" s="60"/>
      <c r="IUE2481" s="60"/>
      <c r="IUF2481" s="60"/>
      <c r="IUG2481" s="60"/>
      <c r="IUH2481" s="61"/>
      <c r="IUI2481" s="54"/>
      <c r="IUJ2481" s="54"/>
      <c r="IUK2481" s="60"/>
      <c r="IUL2481" s="60"/>
      <c r="IUM2481" s="60"/>
      <c r="IUN2481" s="60"/>
      <c r="IUO2481" s="60"/>
      <c r="IUP2481" s="61"/>
      <c r="IUQ2481" s="54"/>
      <c r="IUR2481" s="54"/>
      <c r="IUS2481" s="60"/>
      <c r="IUT2481" s="60"/>
      <c r="IUU2481" s="60"/>
      <c r="IUV2481" s="60"/>
      <c r="IUW2481" s="60"/>
      <c r="IUX2481" s="61"/>
      <c r="IUY2481" s="54"/>
      <c r="IUZ2481" s="54"/>
      <c r="IVA2481" s="60"/>
      <c r="IVB2481" s="60"/>
      <c r="IVC2481" s="60"/>
      <c r="IVD2481" s="60"/>
      <c r="IVE2481" s="60"/>
      <c r="IVF2481" s="61"/>
      <c r="IVG2481" s="54"/>
      <c r="IVH2481" s="54"/>
      <c r="IVI2481" s="60"/>
      <c r="IVJ2481" s="60"/>
      <c r="IVK2481" s="60"/>
      <c r="IVL2481" s="60"/>
      <c r="IVM2481" s="60"/>
      <c r="IVN2481" s="61"/>
      <c r="IVO2481" s="54"/>
      <c r="IVP2481" s="54"/>
      <c r="IVQ2481" s="60"/>
      <c r="IVR2481" s="60"/>
      <c r="IVS2481" s="60"/>
      <c r="IVT2481" s="60"/>
      <c r="IVU2481" s="60"/>
      <c r="IVV2481" s="61"/>
      <c r="IVW2481" s="54"/>
      <c r="IVX2481" s="54"/>
      <c r="IVY2481" s="60"/>
      <c r="IVZ2481" s="60"/>
      <c r="IWA2481" s="60"/>
      <c r="IWB2481" s="60"/>
      <c r="IWC2481" s="60"/>
      <c r="IWD2481" s="61"/>
      <c r="IWE2481" s="54"/>
      <c r="IWF2481" s="54"/>
      <c r="IWG2481" s="60"/>
      <c r="IWH2481" s="60"/>
      <c r="IWI2481" s="60"/>
      <c r="IWJ2481" s="60"/>
      <c r="IWK2481" s="60"/>
      <c r="IWL2481" s="61"/>
      <c r="IWM2481" s="54"/>
      <c r="IWN2481" s="54"/>
      <c r="IWO2481" s="60"/>
      <c r="IWP2481" s="60"/>
      <c r="IWQ2481" s="60"/>
      <c r="IWR2481" s="60"/>
      <c r="IWS2481" s="60"/>
      <c r="IWT2481" s="61"/>
      <c r="IWU2481" s="54"/>
      <c r="IWV2481" s="54"/>
      <c r="IWW2481" s="60"/>
      <c r="IWX2481" s="60"/>
      <c r="IWY2481" s="60"/>
      <c r="IWZ2481" s="60"/>
      <c r="IXA2481" s="60"/>
      <c r="IXB2481" s="61"/>
      <c r="IXC2481" s="54"/>
      <c r="IXD2481" s="54"/>
      <c r="IXE2481" s="60"/>
      <c r="IXF2481" s="60"/>
      <c r="IXG2481" s="60"/>
      <c r="IXH2481" s="60"/>
      <c r="IXI2481" s="60"/>
      <c r="IXJ2481" s="61"/>
      <c r="IXK2481" s="54"/>
      <c r="IXL2481" s="54"/>
      <c r="IXM2481" s="60"/>
      <c r="IXN2481" s="60"/>
      <c r="IXO2481" s="60"/>
      <c r="IXP2481" s="60"/>
      <c r="IXQ2481" s="60"/>
      <c r="IXR2481" s="61"/>
      <c r="IXS2481" s="54"/>
      <c r="IXT2481" s="54"/>
      <c r="IXU2481" s="60"/>
      <c r="IXV2481" s="60"/>
      <c r="IXW2481" s="60"/>
      <c r="IXX2481" s="60"/>
      <c r="IXY2481" s="60"/>
      <c r="IXZ2481" s="61"/>
      <c r="IYA2481" s="54"/>
      <c r="IYB2481" s="54"/>
      <c r="IYC2481" s="60"/>
      <c r="IYD2481" s="60"/>
      <c r="IYE2481" s="60"/>
      <c r="IYF2481" s="60"/>
      <c r="IYG2481" s="60"/>
      <c r="IYH2481" s="61"/>
      <c r="IYI2481" s="54"/>
      <c r="IYJ2481" s="54"/>
      <c r="IYK2481" s="60"/>
      <c r="IYL2481" s="60"/>
      <c r="IYM2481" s="60"/>
      <c r="IYN2481" s="60"/>
      <c r="IYO2481" s="60"/>
      <c r="IYP2481" s="61"/>
      <c r="IYQ2481" s="54"/>
      <c r="IYR2481" s="54"/>
      <c r="IYS2481" s="60"/>
      <c r="IYT2481" s="60"/>
      <c r="IYU2481" s="60"/>
      <c r="IYV2481" s="60"/>
      <c r="IYW2481" s="60"/>
      <c r="IYX2481" s="61"/>
      <c r="IYY2481" s="54"/>
      <c r="IYZ2481" s="54"/>
      <c r="IZA2481" s="60"/>
      <c r="IZB2481" s="60"/>
      <c r="IZC2481" s="60"/>
      <c r="IZD2481" s="60"/>
      <c r="IZE2481" s="60"/>
      <c r="IZF2481" s="61"/>
      <c r="IZG2481" s="54"/>
      <c r="IZH2481" s="54"/>
      <c r="IZI2481" s="60"/>
      <c r="IZJ2481" s="60"/>
      <c r="IZK2481" s="60"/>
      <c r="IZL2481" s="60"/>
      <c r="IZM2481" s="60"/>
      <c r="IZN2481" s="61"/>
      <c r="IZO2481" s="54"/>
      <c r="IZP2481" s="54"/>
      <c r="IZQ2481" s="60"/>
      <c r="IZR2481" s="60"/>
      <c r="IZS2481" s="60"/>
      <c r="IZT2481" s="60"/>
      <c r="IZU2481" s="60"/>
      <c r="IZV2481" s="61"/>
      <c r="IZW2481" s="54"/>
      <c r="IZX2481" s="54"/>
      <c r="IZY2481" s="60"/>
      <c r="IZZ2481" s="60"/>
      <c r="JAA2481" s="60"/>
      <c r="JAB2481" s="60"/>
      <c r="JAC2481" s="60"/>
      <c r="JAD2481" s="61"/>
      <c r="JAE2481" s="54"/>
      <c r="JAF2481" s="54"/>
      <c r="JAG2481" s="60"/>
      <c r="JAH2481" s="60"/>
      <c r="JAI2481" s="60"/>
      <c r="JAJ2481" s="60"/>
      <c r="JAK2481" s="60"/>
      <c r="JAL2481" s="61"/>
      <c r="JAM2481" s="54"/>
      <c r="JAN2481" s="54"/>
      <c r="JAO2481" s="60"/>
      <c r="JAP2481" s="60"/>
      <c r="JAQ2481" s="60"/>
      <c r="JAR2481" s="60"/>
      <c r="JAS2481" s="60"/>
      <c r="JAT2481" s="61"/>
      <c r="JAU2481" s="54"/>
      <c r="JAV2481" s="54"/>
      <c r="JAW2481" s="60"/>
      <c r="JAX2481" s="60"/>
      <c r="JAY2481" s="60"/>
      <c r="JAZ2481" s="60"/>
      <c r="JBA2481" s="60"/>
      <c r="JBB2481" s="61"/>
      <c r="JBC2481" s="54"/>
      <c r="JBD2481" s="54"/>
      <c r="JBE2481" s="60"/>
      <c r="JBF2481" s="60"/>
      <c r="JBG2481" s="60"/>
      <c r="JBH2481" s="60"/>
      <c r="JBI2481" s="60"/>
      <c r="JBJ2481" s="61"/>
      <c r="JBK2481" s="54"/>
      <c r="JBL2481" s="54"/>
      <c r="JBM2481" s="60"/>
      <c r="JBN2481" s="60"/>
      <c r="JBO2481" s="60"/>
      <c r="JBP2481" s="60"/>
      <c r="JBQ2481" s="60"/>
      <c r="JBR2481" s="61"/>
      <c r="JBS2481" s="54"/>
      <c r="JBT2481" s="54"/>
      <c r="JBU2481" s="60"/>
      <c r="JBV2481" s="60"/>
      <c r="JBW2481" s="60"/>
      <c r="JBX2481" s="60"/>
      <c r="JBY2481" s="60"/>
      <c r="JBZ2481" s="61"/>
      <c r="JCA2481" s="54"/>
      <c r="JCB2481" s="54"/>
      <c r="JCC2481" s="60"/>
      <c r="JCD2481" s="60"/>
      <c r="JCE2481" s="60"/>
      <c r="JCF2481" s="60"/>
      <c r="JCG2481" s="60"/>
      <c r="JCH2481" s="61"/>
      <c r="JCI2481" s="54"/>
      <c r="JCJ2481" s="54"/>
      <c r="JCK2481" s="60"/>
      <c r="JCL2481" s="60"/>
      <c r="JCM2481" s="60"/>
      <c r="JCN2481" s="60"/>
      <c r="JCO2481" s="60"/>
      <c r="JCP2481" s="61"/>
      <c r="JCQ2481" s="54"/>
      <c r="JCR2481" s="54"/>
      <c r="JCS2481" s="60"/>
      <c r="JCT2481" s="60"/>
      <c r="JCU2481" s="60"/>
      <c r="JCV2481" s="60"/>
      <c r="JCW2481" s="60"/>
      <c r="JCX2481" s="61"/>
      <c r="JCY2481" s="54"/>
      <c r="JCZ2481" s="54"/>
      <c r="JDA2481" s="60"/>
      <c r="JDB2481" s="60"/>
      <c r="JDC2481" s="60"/>
      <c r="JDD2481" s="60"/>
      <c r="JDE2481" s="60"/>
      <c r="JDF2481" s="61"/>
      <c r="JDG2481" s="54"/>
      <c r="JDH2481" s="54"/>
      <c r="JDI2481" s="60"/>
      <c r="JDJ2481" s="60"/>
      <c r="JDK2481" s="60"/>
      <c r="JDL2481" s="60"/>
      <c r="JDM2481" s="60"/>
      <c r="JDN2481" s="61"/>
      <c r="JDO2481" s="54"/>
      <c r="JDP2481" s="54"/>
      <c r="JDQ2481" s="60"/>
      <c r="JDR2481" s="60"/>
      <c r="JDS2481" s="60"/>
      <c r="JDT2481" s="60"/>
      <c r="JDU2481" s="60"/>
      <c r="JDV2481" s="61"/>
      <c r="JDW2481" s="54"/>
      <c r="JDX2481" s="54"/>
      <c r="JDY2481" s="60"/>
      <c r="JDZ2481" s="60"/>
      <c r="JEA2481" s="60"/>
      <c r="JEB2481" s="60"/>
      <c r="JEC2481" s="60"/>
      <c r="JED2481" s="61"/>
      <c r="JEE2481" s="54"/>
      <c r="JEF2481" s="54"/>
      <c r="JEG2481" s="60"/>
      <c r="JEH2481" s="60"/>
      <c r="JEI2481" s="60"/>
      <c r="JEJ2481" s="60"/>
      <c r="JEK2481" s="60"/>
      <c r="JEL2481" s="61"/>
      <c r="JEM2481" s="54"/>
      <c r="JEN2481" s="54"/>
      <c r="JEO2481" s="60"/>
      <c r="JEP2481" s="60"/>
      <c r="JEQ2481" s="60"/>
      <c r="JER2481" s="60"/>
      <c r="JES2481" s="60"/>
      <c r="JET2481" s="61"/>
      <c r="JEU2481" s="54"/>
      <c r="JEV2481" s="54"/>
      <c r="JEW2481" s="60"/>
      <c r="JEX2481" s="60"/>
      <c r="JEY2481" s="60"/>
      <c r="JEZ2481" s="60"/>
      <c r="JFA2481" s="60"/>
      <c r="JFB2481" s="61"/>
      <c r="JFC2481" s="54"/>
      <c r="JFD2481" s="54"/>
      <c r="JFE2481" s="60"/>
      <c r="JFF2481" s="60"/>
      <c r="JFG2481" s="60"/>
      <c r="JFH2481" s="60"/>
      <c r="JFI2481" s="60"/>
      <c r="JFJ2481" s="61"/>
      <c r="JFK2481" s="54"/>
      <c r="JFL2481" s="54"/>
      <c r="JFM2481" s="60"/>
      <c r="JFN2481" s="60"/>
      <c r="JFO2481" s="60"/>
      <c r="JFP2481" s="60"/>
      <c r="JFQ2481" s="60"/>
      <c r="JFR2481" s="61"/>
      <c r="JFS2481" s="54"/>
      <c r="JFT2481" s="54"/>
      <c r="JFU2481" s="60"/>
      <c r="JFV2481" s="60"/>
      <c r="JFW2481" s="60"/>
      <c r="JFX2481" s="60"/>
      <c r="JFY2481" s="60"/>
      <c r="JFZ2481" s="61"/>
      <c r="JGA2481" s="54"/>
      <c r="JGB2481" s="54"/>
      <c r="JGC2481" s="60"/>
      <c r="JGD2481" s="60"/>
      <c r="JGE2481" s="60"/>
      <c r="JGF2481" s="60"/>
      <c r="JGG2481" s="60"/>
      <c r="JGH2481" s="61"/>
      <c r="JGI2481" s="54"/>
      <c r="JGJ2481" s="54"/>
      <c r="JGK2481" s="60"/>
      <c r="JGL2481" s="60"/>
      <c r="JGM2481" s="60"/>
      <c r="JGN2481" s="60"/>
      <c r="JGO2481" s="60"/>
      <c r="JGP2481" s="61"/>
      <c r="JGQ2481" s="54"/>
      <c r="JGR2481" s="54"/>
      <c r="JGS2481" s="60"/>
      <c r="JGT2481" s="60"/>
      <c r="JGU2481" s="60"/>
      <c r="JGV2481" s="60"/>
      <c r="JGW2481" s="60"/>
      <c r="JGX2481" s="61"/>
      <c r="JGY2481" s="54"/>
      <c r="JGZ2481" s="54"/>
      <c r="JHA2481" s="60"/>
      <c r="JHB2481" s="60"/>
      <c r="JHC2481" s="60"/>
      <c r="JHD2481" s="60"/>
      <c r="JHE2481" s="60"/>
      <c r="JHF2481" s="61"/>
      <c r="JHG2481" s="54"/>
      <c r="JHH2481" s="54"/>
      <c r="JHI2481" s="60"/>
      <c r="JHJ2481" s="60"/>
      <c r="JHK2481" s="60"/>
      <c r="JHL2481" s="60"/>
      <c r="JHM2481" s="60"/>
      <c r="JHN2481" s="61"/>
      <c r="JHO2481" s="54"/>
      <c r="JHP2481" s="54"/>
      <c r="JHQ2481" s="60"/>
      <c r="JHR2481" s="60"/>
      <c r="JHS2481" s="60"/>
      <c r="JHT2481" s="60"/>
      <c r="JHU2481" s="60"/>
      <c r="JHV2481" s="61"/>
      <c r="JHW2481" s="54"/>
      <c r="JHX2481" s="54"/>
      <c r="JHY2481" s="60"/>
      <c r="JHZ2481" s="60"/>
      <c r="JIA2481" s="60"/>
      <c r="JIB2481" s="60"/>
      <c r="JIC2481" s="60"/>
      <c r="JID2481" s="61"/>
      <c r="JIE2481" s="54"/>
      <c r="JIF2481" s="54"/>
      <c r="JIG2481" s="60"/>
      <c r="JIH2481" s="60"/>
      <c r="JII2481" s="60"/>
      <c r="JIJ2481" s="60"/>
      <c r="JIK2481" s="60"/>
      <c r="JIL2481" s="61"/>
      <c r="JIM2481" s="54"/>
      <c r="JIN2481" s="54"/>
      <c r="JIO2481" s="60"/>
      <c r="JIP2481" s="60"/>
      <c r="JIQ2481" s="60"/>
      <c r="JIR2481" s="60"/>
      <c r="JIS2481" s="60"/>
      <c r="JIT2481" s="61"/>
      <c r="JIU2481" s="54"/>
      <c r="JIV2481" s="54"/>
      <c r="JIW2481" s="60"/>
      <c r="JIX2481" s="60"/>
      <c r="JIY2481" s="60"/>
      <c r="JIZ2481" s="60"/>
      <c r="JJA2481" s="60"/>
      <c r="JJB2481" s="61"/>
      <c r="JJC2481" s="54"/>
      <c r="JJD2481" s="54"/>
      <c r="JJE2481" s="60"/>
      <c r="JJF2481" s="60"/>
      <c r="JJG2481" s="60"/>
      <c r="JJH2481" s="60"/>
      <c r="JJI2481" s="60"/>
      <c r="JJJ2481" s="61"/>
      <c r="JJK2481" s="54"/>
      <c r="JJL2481" s="54"/>
      <c r="JJM2481" s="60"/>
      <c r="JJN2481" s="60"/>
      <c r="JJO2481" s="60"/>
      <c r="JJP2481" s="60"/>
      <c r="JJQ2481" s="60"/>
      <c r="JJR2481" s="61"/>
      <c r="JJS2481" s="54"/>
      <c r="JJT2481" s="54"/>
      <c r="JJU2481" s="60"/>
      <c r="JJV2481" s="60"/>
      <c r="JJW2481" s="60"/>
      <c r="JJX2481" s="60"/>
      <c r="JJY2481" s="60"/>
      <c r="JJZ2481" s="61"/>
      <c r="JKA2481" s="54"/>
      <c r="JKB2481" s="54"/>
      <c r="JKC2481" s="60"/>
      <c r="JKD2481" s="60"/>
      <c r="JKE2481" s="60"/>
      <c r="JKF2481" s="60"/>
      <c r="JKG2481" s="60"/>
      <c r="JKH2481" s="61"/>
      <c r="JKI2481" s="54"/>
      <c r="JKJ2481" s="54"/>
      <c r="JKK2481" s="60"/>
      <c r="JKL2481" s="60"/>
      <c r="JKM2481" s="60"/>
      <c r="JKN2481" s="60"/>
      <c r="JKO2481" s="60"/>
      <c r="JKP2481" s="61"/>
      <c r="JKQ2481" s="54"/>
      <c r="JKR2481" s="54"/>
      <c r="JKS2481" s="60"/>
      <c r="JKT2481" s="60"/>
      <c r="JKU2481" s="60"/>
      <c r="JKV2481" s="60"/>
      <c r="JKW2481" s="60"/>
      <c r="JKX2481" s="61"/>
      <c r="JKY2481" s="54"/>
      <c r="JKZ2481" s="54"/>
      <c r="JLA2481" s="60"/>
      <c r="JLB2481" s="60"/>
      <c r="JLC2481" s="60"/>
      <c r="JLD2481" s="60"/>
      <c r="JLE2481" s="60"/>
      <c r="JLF2481" s="61"/>
      <c r="JLG2481" s="54"/>
      <c r="JLH2481" s="54"/>
      <c r="JLI2481" s="60"/>
      <c r="JLJ2481" s="60"/>
      <c r="JLK2481" s="60"/>
      <c r="JLL2481" s="60"/>
      <c r="JLM2481" s="60"/>
      <c r="JLN2481" s="61"/>
      <c r="JLO2481" s="54"/>
      <c r="JLP2481" s="54"/>
      <c r="JLQ2481" s="60"/>
      <c r="JLR2481" s="60"/>
      <c r="JLS2481" s="60"/>
      <c r="JLT2481" s="60"/>
      <c r="JLU2481" s="60"/>
      <c r="JLV2481" s="61"/>
      <c r="JLW2481" s="54"/>
      <c r="JLX2481" s="54"/>
      <c r="JLY2481" s="60"/>
      <c r="JLZ2481" s="60"/>
      <c r="JMA2481" s="60"/>
      <c r="JMB2481" s="60"/>
      <c r="JMC2481" s="60"/>
      <c r="JMD2481" s="61"/>
      <c r="JME2481" s="54"/>
      <c r="JMF2481" s="54"/>
      <c r="JMG2481" s="60"/>
      <c r="JMH2481" s="60"/>
      <c r="JMI2481" s="60"/>
      <c r="JMJ2481" s="60"/>
      <c r="JMK2481" s="60"/>
      <c r="JML2481" s="61"/>
      <c r="JMM2481" s="54"/>
      <c r="JMN2481" s="54"/>
      <c r="JMO2481" s="60"/>
      <c r="JMP2481" s="60"/>
      <c r="JMQ2481" s="60"/>
      <c r="JMR2481" s="60"/>
      <c r="JMS2481" s="60"/>
      <c r="JMT2481" s="61"/>
      <c r="JMU2481" s="54"/>
      <c r="JMV2481" s="54"/>
      <c r="JMW2481" s="60"/>
      <c r="JMX2481" s="60"/>
      <c r="JMY2481" s="60"/>
      <c r="JMZ2481" s="60"/>
      <c r="JNA2481" s="60"/>
      <c r="JNB2481" s="61"/>
      <c r="JNC2481" s="54"/>
      <c r="JND2481" s="54"/>
      <c r="JNE2481" s="60"/>
      <c r="JNF2481" s="60"/>
      <c r="JNG2481" s="60"/>
      <c r="JNH2481" s="60"/>
      <c r="JNI2481" s="60"/>
      <c r="JNJ2481" s="61"/>
      <c r="JNK2481" s="54"/>
      <c r="JNL2481" s="54"/>
      <c r="JNM2481" s="60"/>
      <c r="JNN2481" s="60"/>
      <c r="JNO2481" s="60"/>
      <c r="JNP2481" s="60"/>
      <c r="JNQ2481" s="60"/>
      <c r="JNR2481" s="61"/>
      <c r="JNS2481" s="54"/>
      <c r="JNT2481" s="54"/>
      <c r="JNU2481" s="60"/>
      <c r="JNV2481" s="60"/>
      <c r="JNW2481" s="60"/>
      <c r="JNX2481" s="60"/>
      <c r="JNY2481" s="60"/>
      <c r="JNZ2481" s="61"/>
      <c r="JOA2481" s="54"/>
      <c r="JOB2481" s="54"/>
      <c r="JOC2481" s="60"/>
      <c r="JOD2481" s="60"/>
      <c r="JOE2481" s="60"/>
      <c r="JOF2481" s="60"/>
      <c r="JOG2481" s="60"/>
      <c r="JOH2481" s="61"/>
      <c r="JOI2481" s="54"/>
      <c r="JOJ2481" s="54"/>
      <c r="JOK2481" s="60"/>
      <c r="JOL2481" s="60"/>
      <c r="JOM2481" s="60"/>
      <c r="JON2481" s="60"/>
      <c r="JOO2481" s="60"/>
      <c r="JOP2481" s="61"/>
      <c r="JOQ2481" s="54"/>
      <c r="JOR2481" s="54"/>
      <c r="JOS2481" s="60"/>
      <c r="JOT2481" s="60"/>
      <c r="JOU2481" s="60"/>
      <c r="JOV2481" s="60"/>
      <c r="JOW2481" s="60"/>
      <c r="JOX2481" s="61"/>
      <c r="JOY2481" s="54"/>
      <c r="JOZ2481" s="54"/>
      <c r="JPA2481" s="60"/>
      <c r="JPB2481" s="60"/>
      <c r="JPC2481" s="60"/>
      <c r="JPD2481" s="60"/>
      <c r="JPE2481" s="60"/>
      <c r="JPF2481" s="61"/>
      <c r="JPG2481" s="54"/>
      <c r="JPH2481" s="54"/>
      <c r="JPI2481" s="60"/>
      <c r="JPJ2481" s="60"/>
      <c r="JPK2481" s="60"/>
      <c r="JPL2481" s="60"/>
      <c r="JPM2481" s="60"/>
      <c r="JPN2481" s="61"/>
      <c r="JPO2481" s="54"/>
      <c r="JPP2481" s="54"/>
      <c r="JPQ2481" s="60"/>
      <c r="JPR2481" s="60"/>
      <c r="JPS2481" s="60"/>
      <c r="JPT2481" s="60"/>
      <c r="JPU2481" s="60"/>
      <c r="JPV2481" s="61"/>
      <c r="JPW2481" s="54"/>
      <c r="JPX2481" s="54"/>
      <c r="JPY2481" s="60"/>
      <c r="JPZ2481" s="60"/>
      <c r="JQA2481" s="60"/>
      <c r="JQB2481" s="60"/>
      <c r="JQC2481" s="60"/>
      <c r="JQD2481" s="61"/>
      <c r="JQE2481" s="54"/>
      <c r="JQF2481" s="54"/>
      <c r="JQG2481" s="60"/>
      <c r="JQH2481" s="60"/>
      <c r="JQI2481" s="60"/>
      <c r="JQJ2481" s="60"/>
      <c r="JQK2481" s="60"/>
      <c r="JQL2481" s="61"/>
      <c r="JQM2481" s="54"/>
      <c r="JQN2481" s="54"/>
      <c r="JQO2481" s="60"/>
      <c r="JQP2481" s="60"/>
      <c r="JQQ2481" s="60"/>
      <c r="JQR2481" s="60"/>
      <c r="JQS2481" s="60"/>
      <c r="JQT2481" s="61"/>
      <c r="JQU2481" s="54"/>
      <c r="JQV2481" s="54"/>
      <c r="JQW2481" s="60"/>
      <c r="JQX2481" s="60"/>
      <c r="JQY2481" s="60"/>
      <c r="JQZ2481" s="60"/>
      <c r="JRA2481" s="60"/>
      <c r="JRB2481" s="61"/>
      <c r="JRC2481" s="54"/>
      <c r="JRD2481" s="54"/>
      <c r="JRE2481" s="60"/>
      <c r="JRF2481" s="60"/>
      <c r="JRG2481" s="60"/>
      <c r="JRH2481" s="60"/>
      <c r="JRI2481" s="60"/>
      <c r="JRJ2481" s="61"/>
      <c r="JRK2481" s="54"/>
      <c r="JRL2481" s="54"/>
      <c r="JRM2481" s="60"/>
      <c r="JRN2481" s="60"/>
      <c r="JRO2481" s="60"/>
      <c r="JRP2481" s="60"/>
      <c r="JRQ2481" s="60"/>
      <c r="JRR2481" s="61"/>
      <c r="JRS2481" s="54"/>
      <c r="JRT2481" s="54"/>
      <c r="JRU2481" s="60"/>
      <c r="JRV2481" s="60"/>
      <c r="JRW2481" s="60"/>
      <c r="JRX2481" s="60"/>
      <c r="JRY2481" s="60"/>
      <c r="JRZ2481" s="61"/>
      <c r="JSA2481" s="54"/>
      <c r="JSB2481" s="54"/>
      <c r="JSC2481" s="60"/>
      <c r="JSD2481" s="60"/>
      <c r="JSE2481" s="60"/>
      <c r="JSF2481" s="60"/>
      <c r="JSG2481" s="60"/>
      <c r="JSH2481" s="61"/>
      <c r="JSI2481" s="54"/>
      <c r="JSJ2481" s="54"/>
      <c r="JSK2481" s="60"/>
      <c r="JSL2481" s="60"/>
      <c r="JSM2481" s="60"/>
      <c r="JSN2481" s="60"/>
      <c r="JSO2481" s="60"/>
      <c r="JSP2481" s="61"/>
      <c r="JSQ2481" s="54"/>
      <c r="JSR2481" s="54"/>
      <c r="JSS2481" s="60"/>
      <c r="JST2481" s="60"/>
      <c r="JSU2481" s="60"/>
      <c r="JSV2481" s="60"/>
      <c r="JSW2481" s="60"/>
      <c r="JSX2481" s="61"/>
      <c r="JSY2481" s="54"/>
      <c r="JSZ2481" s="54"/>
      <c r="JTA2481" s="60"/>
      <c r="JTB2481" s="60"/>
      <c r="JTC2481" s="60"/>
      <c r="JTD2481" s="60"/>
      <c r="JTE2481" s="60"/>
      <c r="JTF2481" s="61"/>
      <c r="JTG2481" s="54"/>
      <c r="JTH2481" s="54"/>
      <c r="JTI2481" s="60"/>
      <c r="JTJ2481" s="60"/>
      <c r="JTK2481" s="60"/>
      <c r="JTL2481" s="60"/>
      <c r="JTM2481" s="60"/>
      <c r="JTN2481" s="61"/>
      <c r="JTO2481" s="54"/>
      <c r="JTP2481" s="54"/>
      <c r="JTQ2481" s="60"/>
      <c r="JTR2481" s="60"/>
      <c r="JTS2481" s="60"/>
      <c r="JTT2481" s="60"/>
      <c r="JTU2481" s="60"/>
      <c r="JTV2481" s="61"/>
      <c r="JTW2481" s="54"/>
      <c r="JTX2481" s="54"/>
      <c r="JTY2481" s="60"/>
      <c r="JTZ2481" s="60"/>
      <c r="JUA2481" s="60"/>
      <c r="JUB2481" s="60"/>
      <c r="JUC2481" s="60"/>
      <c r="JUD2481" s="61"/>
      <c r="JUE2481" s="54"/>
      <c r="JUF2481" s="54"/>
      <c r="JUG2481" s="60"/>
      <c r="JUH2481" s="60"/>
      <c r="JUI2481" s="60"/>
      <c r="JUJ2481" s="60"/>
      <c r="JUK2481" s="60"/>
      <c r="JUL2481" s="61"/>
      <c r="JUM2481" s="54"/>
      <c r="JUN2481" s="54"/>
      <c r="JUO2481" s="60"/>
      <c r="JUP2481" s="60"/>
      <c r="JUQ2481" s="60"/>
      <c r="JUR2481" s="60"/>
      <c r="JUS2481" s="60"/>
      <c r="JUT2481" s="61"/>
      <c r="JUU2481" s="54"/>
      <c r="JUV2481" s="54"/>
      <c r="JUW2481" s="60"/>
      <c r="JUX2481" s="60"/>
      <c r="JUY2481" s="60"/>
      <c r="JUZ2481" s="60"/>
      <c r="JVA2481" s="60"/>
      <c r="JVB2481" s="61"/>
      <c r="JVC2481" s="54"/>
      <c r="JVD2481" s="54"/>
      <c r="JVE2481" s="60"/>
      <c r="JVF2481" s="60"/>
      <c r="JVG2481" s="60"/>
      <c r="JVH2481" s="60"/>
      <c r="JVI2481" s="60"/>
      <c r="JVJ2481" s="61"/>
      <c r="JVK2481" s="54"/>
      <c r="JVL2481" s="54"/>
      <c r="JVM2481" s="60"/>
      <c r="JVN2481" s="60"/>
      <c r="JVO2481" s="60"/>
      <c r="JVP2481" s="60"/>
      <c r="JVQ2481" s="60"/>
      <c r="JVR2481" s="61"/>
      <c r="JVS2481" s="54"/>
      <c r="JVT2481" s="54"/>
      <c r="JVU2481" s="60"/>
      <c r="JVV2481" s="60"/>
      <c r="JVW2481" s="60"/>
      <c r="JVX2481" s="60"/>
      <c r="JVY2481" s="60"/>
      <c r="JVZ2481" s="61"/>
      <c r="JWA2481" s="54"/>
      <c r="JWB2481" s="54"/>
      <c r="JWC2481" s="60"/>
      <c r="JWD2481" s="60"/>
      <c r="JWE2481" s="60"/>
      <c r="JWF2481" s="60"/>
      <c r="JWG2481" s="60"/>
      <c r="JWH2481" s="61"/>
      <c r="JWI2481" s="54"/>
      <c r="JWJ2481" s="54"/>
      <c r="JWK2481" s="60"/>
      <c r="JWL2481" s="60"/>
      <c r="JWM2481" s="60"/>
      <c r="JWN2481" s="60"/>
      <c r="JWO2481" s="60"/>
      <c r="JWP2481" s="61"/>
      <c r="JWQ2481" s="54"/>
      <c r="JWR2481" s="54"/>
      <c r="JWS2481" s="60"/>
      <c r="JWT2481" s="60"/>
      <c r="JWU2481" s="60"/>
      <c r="JWV2481" s="60"/>
      <c r="JWW2481" s="60"/>
      <c r="JWX2481" s="61"/>
      <c r="JWY2481" s="54"/>
      <c r="JWZ2481" s="54"/>
      <c r="JXA2481" s="60"/>
      <c r="JXB2481" s="60"/>
      <c r="JXC2481" s="60"/>
      <c r="JXD2481" s="60"/>
      <c r="JXE2481" s="60"/>
      <c r="JXF2481" s="61"/>
      <c r="JXG2481" s="54"/>
      <c r="JXH2481" s="54"/>
      <c r="JXI2481" s="60"/>
      <c r="JXJ2481" s="60"/>
      <c r="JXK2481" s="60"/>
      <c r="JXL2481" s="60"/>
      <c r="JXM2481" s="60"/>
      <c r="JXN2481" s="61"/>
      <c r="JXO2481" s="54"/>
      <c r="JXP2481" s="54"/>
      <c r="JXQ2481" s="60"/>
      <c r="JXR2481" s="60"/>
      <c r="JXS2481" s="60"/>
      <c r="JXT2481" s="60"/>
      <c r="JXU2481" s="60"/>
      <c r="JXV2481" s="61"/>
      <c r="JXW2481" s="54"/>
      <c r="JXX2481" s="54"/>
      <c r="JXY2481" s="60"/>
      <c r="JXZ2481" s="60"/>
      <c r="JYA2481" s="60"/>
      <c r="JYB2481" s="60"/>
      <c r="JYC2481" s="60"/>
      <c r="JYD2481" s="61"/>
      <c r="JYE2481" s="54"/>
      <c r="JYF2481" s="54"/>
      <c r="JYG2481" s="60"/>
      <c r="JYH2481" s="60"/>
      <c r="JYI2481" s="60"/>
      <c r="JYJ2481" s="60"/>
      <c r="JYK2481" s="60"/>
      <c r="JYL2481" s="61"/>
      <c r="JYM2481" s="54"/>
      <c r="JYN2481" s="54"/>
      <c r="JYO2481" s="60"/>
      <c r="JYP2481" s="60"/>
      <c r="JYQ2481" s="60"/>
      <c r="JYR2481" s="60"/>
      <c r="JYS2481" s="60"/>
      <c r="JYT2481" s="61"/>
      <c r="JYU2481" s="54"/>
      <c r="JYV2481" s="54"/>
      <c r="JYW2481" s="60"/>
      <c r="JYX2481" s="60"/>
      <c r="JYY2481" s="60"/>
      <c r="JYZ2481" s="60"/>
      <c r="JZA2481" s="60"/>
      <c r="JZB2481" s="61"/>
      <c r="JZC2481" s="54"/>
      <c r="JZD2481" s="54"/>
      <c r="JZE2481" s="60"/>
      <c r="JZF2481" s="60"/>
      <c r="JZG2481" s="60"/>
      <c r="JZH2481" s="60"/>
      <c r="JZI2481" s="60"/>
      <c r="JZJ2481" s="61"/>
      <c r="JZK2481" s="54"/>
      <c r="JZL2481" s="54"/>
      <c r="JZM2481" s="60"/>
      <c r="JZN2481" s="60"/>
      <c r="JZO2481" s="60"/>
      <c r="JZP2481" s="60"/>
      <c r="JZQ2481" s="60"/>
      <c r="JZR2481" s="61"/>
      <c r="JZS2481" s="54"/>
      <c r="JZT2481" s="54"/>
      <c r="JZU2481" s="60"/>
      <c r="JZV2481" s="60"/>
      <c r="JZW2481" s="60"/>
      <c r="JZX2481" s="60"/>
      <c r="JZY2481" s="60"/>
      <c r="JZZ2481" s="61"/>
      <c r="KAA2481" s="54"/>
      <c r="KAB2481" s="54"/>
      <c r="KAC2481" s="60"/>
      <c r="KAD2481" s="60"/>
      <c r="KAE2481" s="60"/>
      <c r="KAF2481" s="60"/>
      <c r="KAG2481" s="60"/>
      <c r="KAH2481" s="61"/>
      <c r="KAI2481" s="54"/>
      <c r="KAJ2481" s="54"/>
      <c r="KAK2481" s="60"/>
      <c r="KAL2481" s="60"/>
      <c r="KAM2481" s="60"/>
      <c r="KAN2481" s="60"/>
      <c r="KAO2481" s="60"/>
      <c r="KAP2481" s="61"/>
      <c r="KAQ2481" s="54"/>
      <c r="KAR2481" s="54"/>
      <c r="KAS2481" s="60"/>
      <c r="KAT2481" s="60"/>
      <c r="KAU2481" s="60"/>
      <c r="KAV2481" s="60"/>
      <c r="KAW2481" s="60"/>
      <c r="KAX2481" s="61"/>
      <c r="KAY2481" s="54"/>
      <c r="KAZ2481" s="54"/>
      <c r="KBA2481" s="60"/>
      <c r="KBB2481" s="60"/>
      <c r="KBC2481" s="60"/>
      <c r="KBD2481" s="60"/>
      <c r="KBE2481" s="60"/>
      <c r="KBF2481" s="61"/>
      <c r="KBG2481" s="54"/>
      <c r="KBH2481" s="54"/>
      <c r="KBI2481" s="60"/>
      <c r="KBJ2481" s="60"/>
      <c r="KBK2481" s="60"/>
      <c r="KBL2481" s="60"/>
      <c r="KBM2481" s="60"/>
      <c r="KBN2481" s="61"/>
      <c r="KBO2481" s="54"/>
      <c r="KBP2481" s="54"/>
      <c r="KBQ2481" s="60"/>
      <c r="KBR2481" s="60"/>
      <c r="KBS2481" s="60"/>
      <c r="KBT2481" s="60"/>
      <c r="KBU2481" s="60"/>
      <c r="KBV2481" s="61"/>
      <c r="KBW2481" s="54"/>
      <c r="KBX2481" s="54"/>
      <c r="KBY2481" s="60"/>
      <c r="KBZ2481" s="60"/>
      <c r="KCA2481" s="60"/>
      <c r="KCB2481" s="60"/>
      <c r="KCC2481" s="60"/>
      <c r="KCD2481" s="61"/>
      <c r="KCE2481" s="54"/>
      <c r="KCF2481" s="54"/>
      <c r="KCG2481" s="60"/>
      <c r="KCH2481" s="60"/>
      <c r="KCI2481" s="60"/>
      <c r="KCJ2481" s="60"/>
      <c r="KCK2481" s="60"/>
      <c r="KCL2481" s="61"/>
      <c r="KCM2481" s="54"/>
      <c r="KCN2481" s="54"/>
      <c r="KCO2481" s="60"/>
      <c r="KCP2481" s="60"/>
      <c r="KCQ2481" s="60"/>
      <c r="KCR2481" s="60"/>
      <c r="KCS2481" s="60"/>
      <c r="KCT2481" s="61"/>
      <c r="KCU2481" s="54"/>
      <c r="KCV2481" s="54"/>
      <c r="KCW2481" s="60"/>
      <c r="KCX2481" s="60"/>
      <c r="KCY2481" s="60"/>
      <c r="KCZ2481" s="60"/>
      <c r="KDA2481" s="60"/>
      <c r="KDB2481" s="61"/>
      <c r="KDC2481" s="54"/>
      <c r="KDD2481" s="54"/>
      <c r="KDE2481" s="60"/>
      <c r="KDF2481" s="60"/>
      <c r="KDG2481" s="60"/>
      <c r="KDH2481" s="60"/>
      <c r="KDI2481" s="60"/>
      <c r="KDJ2481" s="61"/>
      <c r="KDK2481" s="54"/>
      <c r="KDL2481" s="54"/>
      <c r="KDM2481" s="60"/>
      <c r="KDN2481" s="60"/>
      <c r="KDO2481" s="60"/>
      <c r="KDP2481" s="60"/>
      <c r="KDQ2481" s="60"/>
      <c r="KDR2481" s="61"/>
      <c r="KDS2481" s="54"/>
      <c r="KDT2481" s="54"/>
      <c r="KDU2481" s="60"/>
      <c r="KDV2481" s="60"/>
      <c r="KDW2481" s="60"/>
      <c r="KDX2481" s="60"/>
      <c r="KDY2481" s="60"/>
      <c r="KDZ2481" s="61"/>
      <c r="KEA2481" s="54"/>
      <c r="KEB2481" s="54"/>
      <c r="KEC2481" s="60"/>
      <c r="KED2481" s="60"/>
      <c r="KEE2481" s="60"/>
      <c r="KEF2481" s="60"/>
      <c r="KEG2481" s="60"/>
      <c r="KEH2481" s="61"/>
      <c r="KEI2481" s="54"/>
      <c r="KEJ2481" s="54"/>
      <c r="KEK2481" s="60"/>
      <c r="KEL2481" s="60"/>
      <c r="KEM2481" s="60"/>
      <c r="KEN2481" s="60"/>
      <c r="KEO2481" s="60"/>
      <c r="KEP2481" s="61"/>
      <c r="KEQ2481" s="54"/>
      <c r="KER2481" s="54"/>
      <c r="KES2481" s="60"/>
      <c r="KET2481" s="60"/>
      <c r="KEU2481" s="60"/>
      <c r="KEV2481" s="60"/>
      <c r="KEW2481" s="60"/>
      <c r="KEX2481" s="61"/>
      <c r="KEY2481" s="54"/>
      <c r="KEZ2481" s="54"/>
      <c r="KFA2481" s="60"/>
      <c r="KFB2481" s="60"/>
      <c r="KFC2481" s="60"/>
      <c r="KFD2481" s="60"/>
      <c r="KFE2481" s="60"/>
      <c r="KFF2481" s="61"/>
      <c r="KFG2481" s="54"/>
      <c r="KFH2481" s="54"/>
      <c r="KFI2481" s="60"/>
      <c r="KFJ2481" s="60"/>
      <c r="KFK2481" s="60"/>
      <c r="KFL2481" s="60"/>
      <c r="KFM2481" s="60"/>
      <c r="KFN2481" s="61"/>
      <c r="KFO2481" s="54"/>
      <c r="KFP2481" s="54"/>
      <c r="KFQ2481" s="60"/>
      <c r="KFR2481" s="60"/>
      <c r="KFS2481" s="60"/>
      <c r="KFT2481" s="60"/>
      <c r="KFU2481" s="60"/>
      <c r="KFV2481" s="61"/>
      <c r="KFW2481" s="54"/>
      <c r="KFX2481" s="54"/>
      <c r="KFY2481" s="60"/>
      <c r="KFZ2481" s="60"/>
      <c r="KGA2481" s="60"/>
      <c r="KGB2481" s="60"/>
      <c r="KGC2481" s="60"/>
      <c r="KGD2481" s="61"/>
      <c r="KGE2481" s="54"/>
      <c r="KGF2481" s="54"/>
      <c r="KGG2481" s="60"/>
      <c r="KGH2481" s="60"/>
      <c r="KGI2481" s="60"/>
      <c r="KGJ2481" s="60"/>
      <c r="KGK2481" s="60"/>
      <c r="KGL2481" s="61"/>
      <c r="KGM2481" s="54"/>
      <c r="KGN2481" s="54"/>
      <c r="KGO2481" s="60"/>
      <c r="KGP2481" s="60"/>
      <c r="KGQ2481" s="60"/>
      <c r="KGR2481" s="60"/>
      <c r="KGS2481" s="60"/>
      <c r="KGT2481" s="61"/>
      <c r="KGU2481" s="54"/>
      <c r="KGV2481" s="54"/>
      <c r="KGW2481" s="60"/>
      <c r="KGX2481" s="60"/>
      <c r="KGY2481" s="60"/>
      <c r="KGZ2481" s="60"/>
      <c r="KHA2481" s="60"/>
      <c r="KHB2481" s="61"/>
      <c r="KHC2481" s="54"/>
      <c r="KHD2481" s="54"/>
      <c r="KHE2481" s="60"/>
      <c r="KHF2481" s="60"/>
      <c r="KHG2481" s="60"/>
      <c r="KHH2481" s="60"/>
      <c r="KHI2481" s="60"/>
      <c r="KHJ2481" s="61"/>
      <c r="KHK2481" s="54"/>
      <c r="KHL2481" s="54"/>
      <c r="KHM2481" s="60"/>
      <c r="KHN2481" s="60"/>
      <c r="KHO2481" s="60"/>
      <c r="KHP2481" s="60"/>
      <c r="KHQ2481" s="60"/>
      <c r="KHR2481" s="61"/>
      <c r="KHS2481" s="54"/>
      <c r="KHT2481" s="54"/>
      <c r="KHU2481" s="60"/>
      <c r="KHV2481" s="60"/>
      <c r="KHW2481" s="60"/>
      <c r="KHX2481" s="60"/>
      <c r="KHY2481" s="60"/>
      <c r="KHZ2481" s="61"/>
      <c r="KIA2481" s="54"/>
      <c r="KIB2481" s="54"/>
      <c r="KIC2481" s="60"/>
      <c r="KID2481" s="60"/>
      <c r="KIE2481" s="60"/>
      <c r="KIF2481" s="60"/>
      <c r="KIG2481" s="60"/>
      <c r="KIH2481" s="61"/>
      <c r="KII2481" s="54"/>
      <c r="KIJ2481" s="54"/>
      <c r="KIK2481" s="60"/>
      <c r="KIL2481" s="60"/>
      <c r="KIM2481" s="60"/>
      <c r="KIN2481" s="60"/>
      <c r="KIO2481" s="60"/>
      <c r="KIP2481" s="61"/>
      <c r="KIQ2481" s="54"/>
      <c r="KIR2481" s="54"/>
      <c r="KIS2481" s="60"/>
      <c r="KIT2481" s="60"/>
      <c r="KIU2481" s="60"/>
      <c r="KIV2481" s="60"/>
      <c r="KIW2481" s="60"/>
      <c r="KIX2481" s="61"/>
      <c r="KIY2481" s="54"/>
      <c r="KIZ2481" s="54"/>
      <c r="KJA2481" s="60"/>
      <c r="KJB2481" s="60"/>
      <c r="KJC2481" s="60"/>
      <c r="KJD2481" s="60"/>
      <c r="KJE2481" s="60"/>
      <c r="KJF2481" s="61"/>
      <c r="KJG2481" s="54"/>
      <c r="KJH2481" s="54"/>
      <c r="KJI2481" s="60"/>
      <c r="KJJ2481" s="60"/>
      <c r="KJK2481" s="60"/>
      <c r="KJL2481" s="60"/>
      <c r="KJM2481" s="60"/>
      <c r="KJN2481" s="61"/>
      <c r="KJO2481" s="54"/>
      <c r="KJP2481" s="54"/>
      <c r="KJQ2481" s="60"/>
      <c r="KJR2481" s="60"/>
      <c r="KJS2481" s="60"/>
      <c r="KJT2481" s="60"/>
      <c r="KJU2481" s="60"/>
      <c r="KJV2481" s="61"/>
      <c r="KJW2481" s="54"/>
      <c r="KJX2481" s="54"/>
      <c r="KJY2481" s="60"/>
      <c r="KJZ2481" s="60"/>
      <c r="KKA2481" s="60"/>
      <c r="KKB2481" s="60"/>
      <c r="KKC2481" s="60"/>
      <c r="KKD2481" s="61"/>
      <c r="KKE2481" s="54"/>
      <c r="KKF2481" s="54"/>
      <c r="KKG2481" s="60"/>
      <c r="KKH2481" s="60"/>
      <c r="KKI2481" s="60"/>
      <c r="KKJ2481" s="60"/>
      <c r="KKK2481" s="60"/>
      <c r="KKL2481" s="61"/>
      <c r="KKM2481" s="54"/>
      <c r="KKN2481" s="54"/>
      <c r="KKO2481" s="60"/>
      <c r="KKP2481" s="60"/>
      <c r="KKQ2481" s="60"/>
      <c r="KKR2481" s="60"/>
      <c r="KKS2481" s="60"/>
      <c r="KKT2481" s="61"/>
      <c r="KKU2481" s="54"/>
      <c r="KKV2481" s="54"/>
      <c r="KKW2481" s="60"/>
      <c r="KKX2481" s="60"/>
      <c r="KKY2481" s="60"/>
      <c r="KKZ2481" s="60"/>
      <c r="KLA2481" s="60"/>
      <c r="KLB2481" s="61"/>
      <c r="KLC2481" s="54"/>
      <c r="KLD2481" s="54"/>
      <c r="KLE2481" s="60"/>
      <c r="KLF2481" s="60"/>
      <c r="KLG2481" s="60"/>
      <c r="KLH2481" s="60"/>
      <c r="KLI2481" s="60"/>
      <c r="KLJ2481" s="61"/>
      <c r="KLK2481" s="54"/>
      <c r="KLL2481" s="54"/>
      <c r="KLM2481" s="60"/>
      <c r="KLN2481" s="60"/>
      <c r="KLO2481" s="60"/>
      <c r="KLP2481" s="60"/>
      <c r="KLQ2481" s="60"/>
      <c r="KLR2481" s="61"/>
      <c r="KLS2481" s="54"/>
      <c r="KLT2481" s="54"/>
      <c r="KLU2481" s="60"/>
      <c r="KLV2481" s="60"/>
      <c r="KLW2481" s="60"/>
      <c r="KLX2481" s="60"/>
      <c r="KLY2481" s="60"/>
      <c r="KLZ2481" s="61"/>
      <c r="KMA2481" s="54"/>
      <c r="KMB2481" s="54"/>
      <c r="KMC2481" s="60"/>
      <c r="KMD2481" s="60"/>
      <c r="KME2481" s="60"/>
      <c r="KMF2481" s="60"/>
      <c r="KMG2481" s="60"/>
      <c r="KMH2481" s="61"/>
      <c r="KMI2481" s="54"/>
      <c r="KMJ2481" s="54"/>
      <c r="KMK2481" s="60"/>
      <c r="KML2481" s="60"/>
      <c r="KMM2481" s="60"/>
      <c r="KMN2481" s="60"/>
      <c r="KMO2481" s="60"/>
      <c r="KMP2481" s="61"/>
      <c r="KMQ2481" s="54"/>
      <c r="KMR2481" s="54"/>
      <c r="KMS2481" s="60"/>
      <c r="KMT2481" s="60"/>
      <c r="KMU2481" s="60"/>
      <c r="KMV2481" s="60"/>
      <c r="KMW2481" s="60"/>
      <c r="KMX2481" s="61"/>
      <c r="KMY2481" s="54"/>
      <c r="KMZ2481" s="54"/>
      <c r="KNA2481" s="60"/>
      <c r="KNB2481" s="60"/>
      <c r="KNC2481" s="60"/>
      <c r="KND2481" s="60"/>
      <c r="KNE2481" s="60"/>
      <c r="KNF2481" s="61"/>
      <c r="KNG2481" s="54"/>
      <c r="KNH2481" s="54"/>
      <c r="KNI2481" s="60"/>
      <c r="KNJ2481" s="60"/>
      <c r="KNK2481" s="60"/>
      <c r="KNL2481" s="60"/>
      <c r="KNM2481" s="60"/>
      <c r="KNN2481" s="61"/>
      <c r="KNO2481" s="54"/>
      <c r="KNP2481" s="54"/>
      <c r="KNQ2481" s="60"/>
      <c r="KNR2481" s="60"/>
      <c r="KNS2481" s="60"/>
      <c r="KNT2481" s="60"/>
      <c r="KNU2481" s="60"/>
      <c r="KNV2481" s="61"/>
      <c r="KNW2481" s="54"/>
      <c r="KNX2481" s="54"/>
      <c r="KNY2481" s="60"/>
      <c r="KNZ2481" s="60"/>
      <c r="KOA2481" s="60"/>
      <c r="KOB2481" s="60"/>
      <c r="KOC2481" s="60"/>
      <c r="KOD2481" s="61"/>
      <c r="KOE2481" s="54"/>
      <c r="KOF2481" s="54"/>
      <c r="KOG2481" s="60"/>
      <c r="KOH2481" s="60"/>
      <c r="KOI2481" s="60"/>
      <c r="KOJ2481" s="60"/>
      <c r="KOK2481" s="60"/>
      <c r="KOL2481" s="61"/>
      <c r="KOM2481" s="54"/>
      <c r="KON2481" s="54"/>
      <c r="KOO2481" s="60"/>
      <c r="KOP2481" s="60"/>
      <c r="KOQ2481" s="60"/>
      <c r="KOR2481" s="60"/>
      <c r="KOS2481" s="60"/>
      <c r="KOT2481" s="61"/>
      <c r="KOU2481" s="54"/>
      <c r="KOV2481" s="54"/>
      <c r="KOW2481" s="60"/>
      <c r="KOX2481" s="60"/>
      <c r="KOY2481" s="60"/>
      <c r="KOZ2481" s="60"/>
      <c r="KPA2481" s="60"/>
      <c r="KPB2481" s="61"/>
      <c r="KPC2481" s="54"/>
      <c r="KPD2481" s="54"/>
      <c r="KPE2481" s="60"/>
      <c r="KPF2481" s="60"/>
      <c r="KPG2481" s="60"/>
      <c r="KPH2481" s="60"/>
      <c r="KPI2481" s="60"/>
      <c r="KPJ2481" s="61"/>
      <c r="KPK2481" s="54"/>
      <c r="KPL2481" s="54"/>
      <c r="KPM2481" s="60"/>
      <c r="KPN2481" s="60"/>
      <c r="KPO2481" s="60"/>
      <c r="KPP2481" s="60"/>
      <c r="KPQ2481" s="60"/>
      <c r="KPR2481" s="61"/>
      <c r="KPS2481" s="54"/>
      <c r="KPT2481" s="54"/>
      <c r="KPU2481" s="60"/>
      <c r="KPV2481" s="60"/>
      <c r="KPW2481" s="60"/>
      <c r="KPX2481" s="60"/>
      <c r="KPY2481" s="60"/>
      <c r="KPZ2481" s="61"/>
      <c r="KQA2481" s="54"/>
      <c r="KQB2481" s="54"/>
      <c r="KQC2481" s="60"/>
      <c r="KQD2481" s="60"/>
      <c r="KQE2481" s="60"/>
      <c r="KQF2481" s="60"/>
      <c r="KQG2481" s="60"/>
      <c r="KQH2481" s="61"/>
      <c r="KQI2481" s="54"/>
      <c r="KQJ2481" s="54"/>
      <c r="KQK2481" s="60"/>
      <c r="KQL2481" s="60"/>
      <c r="KQM2481" s="60"/>
      <c r="KQN2481" s="60"/>
      <c r="KQO2481" s="60"/>
      <c r="KQP2481" s="61"/>
      <c r="KQQ2481" s="54"/>
      <c r="KQR2481" s="54"/>
      <c r="KQS2481" s="60"/>
      <c r="KQT2481" s="60"/>
      <c r="KQU2481" s="60"/>
      <c r="KQV2481" s="60"/>
      <c r="KQW2481" s="60"/>
      <c r="KQX2481" s="61"/>
      <c r="KQY2481" s="54"/>
      <c r="KQZ2481" s="54"/>
      <c r="KRA2481" s="60"/>
      <c r="KRB2481" s="60"/>
      <c r="KRC2481" s="60"/>
      <c r="KRD2481" s="60"/>
      <c r="KRE2481" s="60"/>
      <c r="KRF2481" s="61"/>
      <c r="KRG2481" s="54"/>
      <c r="KRH2481" s="54"/>
      <c r="KRI2481" s="60"/>
      <c r="KRJ2481" s="60"/>
      <c r="KRK2481" s="60"/>
      <c r="KRL2481" s="60"/>
      <c r="KRM2481" s="60"/>
      <c r="KRN2481" s="61"/>
      <c r="KRO2481" s="54"/>
      <c r="KRP2481" s="54"/>
      <c r="KRQ2481" s="60"/>
      <c r="KRR2481" s="60"/>
      <c r="KRS2481" s="60"/>
      <c r="KRT2481" s="60"/>
      <c r="KRU2481" s="60"/>
      <c r="KRV2481" s="61"/>
      <c r="KRW2481" s="54"/>
      <c r="KRX2481" s="54"/>
      <c r="KRY2481" s="60"/>
      <c r="KRZ2481" s="60"/>
      <c r="KSA2481" s="60"/>
      <c r="KSB2481" s="60"/>
      <c r="KSC2481" s="60"/>
      <c r="KSD2481" s="61"/>
      <c r="KSE2481" s="54"/>
      <c r="KSF2481" s="54"/>
      <c r="KSG2481" s="60"/>
      <c r="KSH2481" s="60"/>
      <c r="KSI2481" s="60"/>
      <c r="KSJ2481" s="60"/>
      <c r="KSK2481" s="60"/>
      <c r="KSL2481" s="61"/>
      <c r="KSM2481" s="54"/>
      <c r="KSN2481" s="54"/>
      <c r="KSO2481" s="60"/>
      <c r="KSP2481" s="60"/>
      <c r="KSQ2481" s="60"/>
      <c r="KSR2481" s="60"/>
      <c r="KSS2481" s="60"/>
      <c r="KST2481" s="61"/>
      <c r="KSU2481" s="54"/>
      <c r="KSV2481" s="54"/>
      <c r="KSW2481" s="60"/>
      <c r="KSX2481" s="60"/>
      <c r="KSY2481" s="60"/>
      <c r="KSZ2481" s="60"/>
      <c r="KTA2481" s="60"/>
      <c r="KTB2481" s="61"/>
      <c r="KTC2481" s="54"/>
      <c r="KTD2481" s="54"/>
      <c r="KTE2481" s="60"/>
      <c r="KTF2481" s="60"/>
      <c r="KTG2481" s="60"/>
      <c r="KTH2481" s="60"/>
      <c r="KTI2481" s="60"/>
      <c r="KTJ2481" s="61"/>
      <c r="KTK2481" s="54"/>
      <c r="KTL2481" s="54"/>
      <c r="KTM2481" s="60"/>
      <c r="KTN2481" s="60"/>
      <c r="KTO2481" s="60"/>
      <c r="KTP2481" s="60"/>
      <c r="KTQ2481" s="60"/>
      <c r="KTR2481" s="61"/>
      <c r="KTS2481" s="54"/>
      <c r="KTT2481" s="54"/>
      <c r="KTU2481" s="60"/>
      <c r="KTV2481" s="60"/>
      <c r="KTW2481" s="60"/>
      <c r="KTX2481" s="60"/>
      <c r="KTY2481" s="60"/>
      <c r="KTZ2481" s="61"/>
      <c r="KUA2481" s="54"/>
      <c r="KUB2481" s="54"/>
      <c r="KUC2481" s="60"/>
      <c r="KUD2481" s="60"/>
      <c r="KUE2481" s="60"/>
      <c r="KUF2481" s="60"/>
      <c r="KUG2481" s="60"/>
      <c r="KUH2481" s="61"/>
      <c r="KUI2481" s="54"/>
      <c r="KUJ2481" s="54"/>
      <c r="KUK2481" s="60"/>
      <c r="KUL2481" s="60"/>
      <c r="KUM2481" s="60"/>
      <c r="KUN2481" s="60"/>
      <c r="KUO2481" s="60"/>
      <c r="KUP2481" s="61"/>
      <c r="KUQ2481" s="54"/>
      <c r="KUR2481" s="54"/>
      <c r="KUS2481" s="60"/>
      <c r="KUT2481" s="60"/>
      <c r="KUU2481" s="60"/>
      <c r="KUV2481" s="60"/>
      <c r="KUW2481" s="60"/>
      <c r="KUX2481" s="61"/>
      <c r="KUY2481" s="54"/>
      <c r="KUZ2481" s="54"/>
      <c r="KVA2481" s="60"/>
      <c r="KVB2481" s="60"/>
      <c r="KVC2481" s="60"/>
      <c r="KVD2481" s="60"/>
      <c r="KVE2481" s="60"/>
      <c r="KVF2481" s="61"/>
      <c r="KVG2481" s="54"/>
      <c r="KVH2481" s="54"/>
      <c r="KVI2481" s="60"/>
      <c r="KVJ2481" s="60"/>
      <c r="KVK2481" s="60"/>
      <c r="KVL2481" s="60"/>
      <c r="KVM2481" s="60"/>
      <c r="KVN2481" s="61"/>
      <c r="KVO2481" s="54"/>
      <c r="KVP2481" s="54"/>
      <c r="KVQ2481" s="60"/>
      <c r="KVR2481" s="60"/>
      <c r="KVS2481" s="60"/>
      <c r="KVT2481" s="60"/>
      <c r="KVU2481" s="60"/>
      <c r="KVV2481" s="61"/>
      <c r="KVW2481" s="54"/>
      <c r="KVX2481" s="54"/>
      <c r="KVY2481" s="60"/>
      <c r="KVZ2481" s="60"/>
      <c r="KWA2481" s="60"/>
      <c r="KWB2481" s="60"/>
      <c r="KWC2481" s="60"/>
      <c r="KWD2481" s="61"/>
      <c r="KWE2481" s="54"/>
      <c r="KWF2481" s="54"/>
      <c r="KWG2481" s="60"/>
      <c r="KWH2481" s="60"/>
      <c r="KWI2481" s="60"/>
      <c r="KWJ2481" s="60"/>
      <c r="KWK2481" s="60"/>
      <c r="KWL2481" s="61"/>
      <c r="KWM2481" s="54"/>
      <c r="KWN2481" s="54"/>
      <c r="KWO2481" s="60"/>
      <c r="KWP2481" s="60"/>
      <c r="KWQ2481" s="60"/>
      <c r="KWR2481" s="60"/>
      <c r="KWS2481" s="60"/>
      <c r="KWT2481" s="61"/>
      <c r="KWU2481" s="54"/>
      <c r="KWV2481" s="54"/>
      <c r="KWW2481" s="60"/>
      <c r="KWX2481" s="60"/>
      <c r="KWY2481" s="60"/>
      <c r="KWZ2481" s="60"/>
      <c r="KXA2481" s="60"/>
      <c r="KXB2481" s="61"/>
      <c r="KXC2481" s="54"/>
      <c r="KXD2481" s="54"/>
      <c r="KXE2481" s="60"/>
      <c r="KXF2481" s="60"/>
      <c r="KXG2481" s="60"/>
      <c r="KXH2481" s="60"/>
      <c r="KXI2481" s="60"/>
      <c r="KXJ2481" s="61"/>
      <c r="KXK2481" s="54"/>
      <c r="KXL2481" s="54"/>
      <c r="KXM2481" s="60"/>
      <c r="KXN2481" s="60"/>
      <c r="KXO2481" s="60"/>
      <c r="KXP2481" s="60"/>
      <c r="KXQ2481" s="60"/>
      <c r="KXR2481" s="61"/>
      <c r="KXS2481" s="54"/>
      <c r="KXT2481" s="54"/>
      <c r="KXU2481" s="60"/>
      <c r="KXV2481" s="60"/>
      <c r="KXW2481" s="60"/>
      <c r="KXX2481" s="60"/>
      <c r="KXY2481" s="60"/>
      <c r="KXZ2481" s="61"/>
      <c r="KYA2481" s="54"/>
      <c r="KYB2481" s="54"/>
      <c r="KYC2481" s="60"/>
      <c r="KYD2481" s="60"/>
      <c r="KYE2481" s="60"/>
      <c r="KYF2481" s="60"/>
      <c r="KYG2481" s="60"/>
      <c r="KYH2481" s="61"/>
      <c r="KYI2481" s="54"/>
      <c r="KYJ2481" s="54"/>
      <c r="KYK2481" s="60"/>
      <c r="KYL2481" s="60"/>
      <c r="KYM2481" s="60"/>
      <c r="KYN2481" s="60"/>
      <c r="KYO2481" s="60"/>
      <c r="KYP2481" s="61"/>
      <c r="KYQ2481" s="54"/>
      <c r="KYR2481" s="54"/>
      <c r="KYS2481" s="60"/>
      <c r="KYT2481" s="60"/>
      <c r="KYU2481" s="60"/>
      <c r="KYV2481" s="60"/>
      <c r="KYW2481" s="60"/>
      <c r="KYX2481" s="61"/>
      <c r="KYY2481" s="54"/>
      <c r="KYZ2481" s="54"/>
      <c r="KZA2481" s="60"/>
      <c r="KZB2481" s="60"/>
      <c r="KZC2481" s="60"/>
      <c r="KZD2481" s="60"/>
      <c r="KZE2481" s="60"/>
      <c r="KZF2481" s="61"/>
      <c r="KZG2481" s="54"/>
      <c r="KZH2481" s="54"/>
      <c r="KZI2481" s="60"/>
      <c r="KZJ2481" s="60"/>
      <c r="KZK2481" s="60"/>
      <c r="KZL2481" s="60"/>
      <c r="KZM2481" s="60"/>
      <c r="KZN2481" s="61"/>
      <c r="KZO2481" s="54"/>
      <c r="KZP2481" s="54"/>
      <c r="KZQ2481" s="60"/>
      <c r="KZR2481" s="60"/>
      <c r="KZS2481" s="60"/>
      <c r="KZT2481" s="60"/>
      <c r="KZU2481" s="60"/>
      <c r="KZV2481" s="61"/>
      <c r="KZW2481" s="54"/>
      <c r="KZX2481" s="54"/>
      <c r="KZY2481" s="60"/>
      <c r="KZZ2481" s="60"/>
      <c r="LAA2481" s="60"/>
      <c r="LAB2481" s="60"/>
      <c r="LAC2481" s="60"/>
      <c r="LAD2481" s="61"/>
      <c r="LAE2481" s="54"/>
      <c r="LAF2481" s="54"/>
      <c r="LAG2481" s="60"/>
      <c r="LAH2481" s="60"/>
      <c r="LAI2481" s="60"/>
      <c r="LAJ2481" s="60"/>
      <c r="LAK2481" s="60"/>
      <c r="LAL2481" s="61"/>
      <c r="LAM2481" s="54"/>
      <c r="LAN2481" s="54"/>
      <c r="LAO2481" s="60"/>
      <c r="LAP2481" s="60"/>
      <c r="LAQ2481" s="60"/>
      <c r="LAR2481" s="60"/>
      <c r="LAS2481" s="60"/>
      <c r="LAT2481" s="61"/>
      <c r="LAU2481" s="54"/>
      <c r="LAV2481" s="54"/>
      <c r="LAW2481" s="60"/>
      <c r="LAX2481" s="60"/>
      <c r="LAY2481" s="60"/>
      <c r="LAZ2481" s="60"/>
      <c r="LBA2481" s="60"/>
      <c r="LBB2481" s="61"/>
      <c r="LBC2481" s="54"/>
      <c r="LBD2481" s="54"/>
      <c r="LBE2481" s="60"/>
      <c r="LBF2481" s="60"/>
      <c r="LBG2481" s="60"/>
      <c r="LBH2481" s="60"/>
      <c r="LBI2481" s="60"/>
      <c r="LBJ2481" s="61"/>
      <c r="LBK2481" s="54"/>
      <c r="LBL2481" s="54"/>
      <c r="LBM2481" s="60"/>
      <c r="LBN2481" s="60"/>
      <c r="LBO2481" s="60"/>
      <c r="LBP2481" s="60"/>
      <c r="LBQ2481" s="60"/>
      <c r="LBR2481" s="61"/>
      <c r="LBS2481" s="54"/>
      <c r="LBT2481" s="54"/>
      <c r="LBU2481" s="60"/>
      <c r="LBV2481" s="60"/>
      <c r="LBW2481" s="60"/>
      <c r="LBX2481" s="60"/>
      <c r="LBY2481" s="60"/>
      <c r="LBZ2481" s="61"/>
      <c r="LCA2481" s="54"/>
      <c r="LCB2481" s="54"/>
      <c r="LCC2481" s="60"/>
      <c r="LCD2481" s="60"/>
      <c r="LCE2481" s="60"/>
      <c r="LCF2481" s="60"/>
      <c r="LCG2481" s="60"/>
      <c r="LCH2481" s="61"/>
      <c r="LCI2481" s="54"/>
      <c r="LCJ2481" s="54"/>
      <c r="LCK2481" s="60"/>
      <c r="LCL2481" s="60"/>
      <c r="LCM2481" s="60"/>
      <c r="LCN2481" s="60"/>
      <c r="LCO2481" s="60"/>
      <c r="LCP2481" s="61"/>
      <c r="LCQ2481" s="54"/>
      <c r="LCR2481" s="54"/>
      <c r="LCS2481" s="60"/>
      <c r="LCT2481" s="60"/>
      <c r="LCU2481" s="60"/>
      <c r="LCV2481" s="60"/>
      <c r="LCW2481" s="60"/>
      <c r="LCX2481" s="61"/>
      <c r="LCY2481" s="54"/>
      <c r="LCZ2481" s="54"/>
      <c r="LDA2481" s="60"/>
      <c r="LDB2481" s="60"/>
      <c r="LDC2481" s="60"/>
      <c r="LDD2481" s="60"/>
      <c r="LDE2481" s="60"/>
      <c r="LDF2481" s="61"/>
      <c r="LDG2481" s="54"/>
      <c r="LDH2481" s="54"/>
      <c r="LDI2481" s="60"/>
      <c r="LDJ2481" s="60"/>
      <c r="LDK2481" s="60"/>
      <c r="LDL2481" s="60"/>
      <c r="LDM2481" s="60"/>
      <c r="LDN2481" s="61"/>
      <c r="LDO2481" s="54"/>
      <c r="LDP2481" s="54"/>
      <c r="LDQ2481" s="60"/>
      <c r="LDR2481" s="60"/>
      <c r="LDS2481" s="60"/>
      <c r="LDT2481" s="60"/>
      <c r="LDU2481" s="60"/>
      <c r="LDV2481" s="61"/>
      <c r="LDW2481" s="54"/>
      <c r="LDX2481" s="54"/>
      <c r="LDY2481" s="60"/>
      <c r="LDZ2481" s="60"/>
      <c r="LEA2481" s="60"/>
      <c r="LEB2481" s="60"/>
      <c r="LEC2481" s="60"/>
      <c r="LED2481" s="61"/>
      <c r="LEE2481" s="54"/>
      <c r="LEF2481" s="54"/>
      <c r="LEG2481" s="60"/>
      <c r="LEH2481" s="60"/>
      <c r="LEI2481" s="60"/>
      <c r="LEJ2481" s="60"/>
      <c r="LEK2481" s="60"/>
      <c r="LEL2481" s="61"/>
      <c r="LEM2481" s="54"/>
      <c r="LEN2481" s="54"/>
      <c r="LEO2481" s="60"/>
      <c r="LEP2481" s="60"/>
      <c r="LEQ2481" s="60"/>
      <c r="LER2481" s="60"/>
      <c r="LES2481" s="60"/>
      <c r="LET2481" s="61"/>
      <c r="LEU2481" s="54"/>
      <c r="LEV2481" s="54"/>
      <c r="LEW2481" s="60"/>
      <c r="LEX2481" s="60"/>
      <c r="LEY2481" s="60"/>
      <c r="LEZ2481" s="60"/>
      <c r="LFA2481" s="60"/>
      <c r="LFB2481" s="61"/>
      <c r="LFC2481" s="54"/>
      <c r="LFD2481" s="54"/>
      <c r="LFE2481" s="60"/>
      <c r="LFF2481" s="60"/>
      <c r="LFG2481" s="60"/>
      <c r="LFH2481" s="60"/>
      <c r="LFI2481" s="60"/>
      <c r="LFJ2481" s="61"/>
      <c r="LFK2481" s="54"/>
      <c r="LFL2481" s="54"/>
      <c r="LFM2481" s="60"/>
      <c r="LFN2481" s="60"/>
      <c r="LFO2481" s="60"/>
      <c r="LFP2481" s="60"/>
      <c r="LFQ2481" s="60"/>
      <c r="LFR2481" s="61"/>
      <c r="LFS2481" s="54"/>
      <c r="LFT2481" s="54"/>
      <c r="LFU2481" s="60"/>
      <c r="LFV2481" s="60"/>
      <c r="LFW2481" s="60"/>
      <c r="LFX2481" s="60"/>
      <c r="LFY2481" s="60"/>
      <c r="LFZ2481" s="61"/>
      <c r="LGA2481" s="54"/>
      <c r="LGB2481" s="54"/>
      <c r="LGC2481" s="60"/>
      <c r="LGD2481" s="60"/>
      <c r="LGE2481" s="60"/>
      <c r="LGF2481" s="60"/>
      <c r="LGG2481" s="60"/>
      <c r="LGH2481" s="61"/>
      <c r="LGI2481" s="54"/>
      <c r="LGJ2481" s="54"/>
      <c r="LGK2481" s="60"/>
      <c r="LGL2481" s="60"/>
      <c r="LGM2481" s="60"/>
      <c r="LGN2481" s="60"/>
      <c r="LGO2481" s="60"/>
      <c r="LGP2481" s="61"/>
      <c r="LGQ2481" s="54"/>
      <c r="LGR2481" s="54"/>
      <c r="LGS2481" s="60"/>
      <c r="LGT2481" s="60"/>
      <c r="LGU2481" s="60"/>
      <c r="LGV2481" s="60"/>
      <c r="LGW2481" s="60"/>
      <c r="LGX2481" s="61"/>
      <c r="LGY2481" s="54"/>
      <c r="LGZ2481" s="54"/>
      <c r="LHA2481" s="60"/>
      <c r="LHB2481" s="60"/>
      <c r="LHC2481" s="60"/>
      <c r="LHD2481" s="60"/>
      <c r="LHE2481" s="60"/>
      <c r="LHF2481" s="61"/>
      <c r="LHG2481" s="54"/>
      <c r="LHH2481" s="54"/>
      <c r="LHI2481" s="60"/>
      <c r="LHJ2481" s="60"/>
      <c r="LHK2481" s="60"/>
      <c r="LHL2481" s="60"/>
      <c r="LHM2481" s="60"/>
      <c r="LHN2481" s="61"/>
      <c r="LHO2481" s="54"/>
      <c r="LHP2481" s="54"/>
      <c r="LHQ2481" s="60"/>
      <c r="LHR2481" s="60"/>
      <c r="LHS2481" s="60"/>
      <c r="LHT2481" s="60"/>
      <c r="LHU2481" s="60"/>
      <c r="LHV2481" s="61"/>
      <c r="LHW2481" s="54"/>
      <c r="LHX2481" s="54"/>
      <c r="LHY2481" s="60"/>
      <c r="LHZ2481" s="60"/>
      <c r="LIA2481" s="60"/>
      <c r="LIB2481" s="60"/>
      <c r="LIC2481" s="60"/>
      <c r="LID2481" s="61"/>
      <c r="LIE2481" s="54"/>
      <c r="LIF2481" s="54"/>
      <c r="LIG2481" s="60"/>
      <c r="LIH2481" s="60"/>
      <c r="LII2481" s="60"/>
      <c r="LIJ2481" s="60"/>
      <c r="LIK2481" s="60"/>
      <c r="LIL2481" s="61"/>
      <c r="LIM2481" s="54"/>
      <c r="LIN2481" s="54"/>
      <c r="LIO2481" s="60"/>
      <c r="LIP2481" s="60"/>
      <c r="LIQ2481" s="60"/>
      <c r="LIR2481" s="60"/>
      <c r="LIS2481" s="60"/>
      <c r="LIT2481" s="61"/>
      <c r="LIU2481" s="54"/>
      <c r="LIV2481" s="54"/>
      <c r="LIW2481" s="60"/>
      <c r="LIX2481" s="60"/>
      <c r="LIY2481" s="60"/>
      <c r="LIZ2481" s="60"/>
      <c r="LJA2481" s="60"/>
      <c r="LJB2481" s="61"/>
      <c r="LJC2481" s="54"/>
      <c r="LJD2481" s="54"/>
      <c r="LJE2481" s="60"/>
      <c r="LJF2481" s="60"/>
      <c r="LJG2481" s="60"/>
      <c r="LJH2481" s="60"/>
      <c r="LJI2481" s="60"/>
      <c r="LJJ2481" s="61"/>
      <c r="LJK2481" s="54"/>
      <c r="LJL2481" s="54"/>
      <c r="LJM2481" s="60"/>
      <c r="LJN2481" s="60"/>
      <c r="LJO2481" s="60"/>
      <c r="LJP2481" s="60"/>
      <c r="LJQ2481" s="60"/>
      <c r="LJR2481" s="61"/>
      <c r="LJS2481" s="54"/>
      <c r="LJT2481" s="54"/>
      <c r="LJU2481" s="60"/>
      <c r="LJV2481" s="60"/>
      <c r="LJW2481" s="60"/>
      <c r="LJX2481" s="60"/>
      <c r="LJY2481" s="60"/>
      <c r="LJZ2481" s="61"/>
      <c r="LKA2481" s="54"/>
      <c r="LKB2481" s="54"/>
      <c r="LKC2481" s="60"/>
      <c r="LKD2481" s="60"/>
      <c r="LKE2481" s="60"/>
      <c r="LKF2481" s="60"/>
      <c r="LKG2481" s="60"/>
      <c r="LKH2481" s="61"/>
      <c r="LKI2481" s="54"/>
      <c r="LKJ2481" s="54"/>
      <c r="LKK2481" s="60"/>
      <c r="LKL2481" s="60"/>
      <c r="LKM2481" s="60"/>
      <c r="LKN2481" s="60"/>
      <c r="LKO2481" s="60"/>
      <c r="LKP2481" s="61"/>
      <c r="LKQ2481" s="54"/>
      <c r="LKR2481" s="54"/>
      <c r="LKS2481" s="60"/>
      <c r="LKT2481" s="60"/>
      <c r="LKU2481" s="60"/>
      <c r="LKV2481" s="60"/>
      <c r="LKW2481" s="60"/>
      <c r="LKX2481" s="61"/>
      <c r="LKY2481" s="54"/>
      <c r="LKZ2481" s="54"/>
      <c r="LLA2481" s="60"/>
      <c r="LLB2481" s="60"/>
      <c r="LLC2481" s="60"/>
      <c r="LLD2481" s="60"/>
      <c r="LLE2481" s="60"/>
      <c r="LLF2481" s="61"/>
      <c r="LLG2481" s="54"/>
      <c r="LLH2481" s="54"/>
      <c r="LLI2481" s="60"/>
      <c r="LLJ2481" s="60"/>
      <c r="LLK2481" s="60"/>
      <c r="LLL2481" s="60"/>
      <c r="LLM2481" s="60"/>
      <c r="LLN2481" s="61"/>
      <c r="LLO2481" s="54"/>
      <c r="LLP2481" s="54"/>
      <c r="LLQ2481" s="60"/>
      <c r="LLR2481" s="60"/>
      <c r="LLS2481" s="60"/>
      <c r="LLT2481" s="60"/>
      <c r="LLU2481" s="60"/>
      <c r="LLV2481" s="61"/>
      <c r="LLW2481" s="54"/>
      <c r="LLX2481" s="54"/>
      <c r="LLY2481" s="60"/>
      <c r="LLZ2481" s="60"/>
      <c r="LMA2481" s="60"/>
      <c r="LMB2481" s="60"/>
      <c r="LMC2481" s="60"/>
      <c r="LMD2481" s="61"/>
      <c r="LME2481" s="54"/>
      <c r="LMF2481" s="54"/>
      <c r="LMG2481" s="60"/>
      <c r="LMH2481" s="60"/>
      <c r="LMI2481" s="60"/>
      <c r="LMJ2481" s="60"/>
      <c r="LMK2481" s="60"/>
      <c r="LML2481" s="61"/>
      <c r="LMM2481" s="54"/>
      <c r="LMN2481" s="54"/>
      <c r="LMO2481" s="60"/>
      <c r="LMP2481" s="60"/>
      <c r="LMQ2481" s="60"/>
      <c r="LMR2481" s="60"/>
      <c r="LMS2481" s="60"/>
      <c r="LMT2481" s="61"/>
      <c r="LMU2481" s="54"/>
      <c r="LMV2481" s="54"/>
      <c r="LMW2481" s="60"/>
      <c r="LMX2481" s="60"/>
      <c r="LMY2481" s="60"/>
      <c r="LMZ2481" s="60"/>
      <c r="LNA2481" s="60"/>
      <c r="LNB2481" s="61"/>
      <c r="LNC2481" s="54"/>
      <c r="LND2481" s="54"/>
      <c r="LNE2481" s="60"/>
      <c r="LNF2481" s="60"/>
      <c r="LNG2481" s="60"/>
      <c r="LNH2481" s="60"/>
      <c r="LNI2481" s="60"/>
      <c r="LNJ2481" s="61"/>
      <c r="LNK2481" s="54"/>
      <c r="LNL2481" s="54"/>
      <c r="LNM2481" s="60"/>
      <c r="LNN2481" s="60"/>
      <c r="LNO2481" s="60"/>
      <c r="LNP2481" s="60"/>
      <c r="LNQ2481" s="60"/>
      <c r="LNR2481" s="61"/>
      <c r="LNS2481" s="54"/>
      <c r="LNT2481" s="54"/>
      <c r="LNU2481" s="60"/>
      <c r="LNV2481" s="60"/>
      <c r="LNW2481" s="60"/>
      <c r="LNX2481" s="60"/>
      <c r="LNY2481" s="60"/>
      <c r="LNZ2481" s="61"/>
      <c r="LOA2481" s="54"/>
      <c r="LOB2481" s="54"/>
      <c r="LOC2481" s="60"/>
      <c r="LOD2481" s="60"/>
      <c r="LOE2481" s="60"/>
      <c r="LOF2481" s="60"/>
      <c r="LOG2481" s="60"/>
      <c r="LOH2481" s="61"/>
      <c r="LOI2481" s="54"/>
      <c r="LOJ2481" s="54"/>
      <c r="LOK2481" s="60"/>
      <c r="LOL2481" s="60"/>
      <c r="LOM2481" s="60"/>
      <c r="LON2481" s="60"/>
      <c r="LOO2481" s="60"/>
      <c r="LOP2481" s="61"/>
      <c r="LOQ2481" s="54"/>
      <c r="LOR2481" s="54"/>
      <c r="LOS2481" s="60"/>
      <c r="LOT2481" s="60"/>
      <c r="LOU2481" s="60"/>
      <c r="LOV2481" s="60"/>
      <c r="LOW2481" s="60"/>
      <c r="LOX2481" s="61"/>
      <c r="LOY2481" s="54"/>
      <c r="LOZ2481" s="54"/>
      <c r="LPA2481" s="60"/>
      <c r="LPB2481" s="60"/>
      <c r="LPC2481" s="60"/>
      <c r="LPD2481" s="60"/>
      <c r="LPE2481" s="60"/>
      <c r="LPF2481" s="61"/>
      <c r="LPG2481" s="54"/>
      <c r="LPH2481" s="54"/>
      <c r="LPI2481" s="60"/>
      <c r="LPJ2481" s="60"/>
      <c r="LPK2481" s="60"/>
      <c r="LPL2481" s="60"/>
      <c r="LPM2481" s="60"/>
      <c r="LPN2481" s="61"/>
      <c r="LPO2481" s="54"/>
      <c r="LPP2481" s="54"/>
      <c r="LPQ2481" s="60"/>
      <c r="LPR2481" s="60"/>
      <c r="LPS2481" s="60"/>
      <c r="LPT2481" s="60"/>
      <c r="LPU2481" s="60"/>
      <c r="LPV2481" s="61"/>
      <c r="LPW2481" s="54"/>
      <c r="LPX2481" s="54"/>
      <c r="LPY2481" s="60"/>
      <c r="LPZ2481" s="60"/>
      <c r="LQA2481" s="60"/>
      <c r="LQB2481" s="60"/>
      <c r="LQC2481" s="60"/>
      <c r="LQD2481" s="61"/>
      <c r="LQE2481" s="54"/>
      <c r="LQF2481" s="54"/>
      <c r="LQG2481" s="60"/>
      <c r="LQH2481" s="60"/>
      <c r="LQI2481" s="60"/>
      <c r="LQJ2481" s="60"/>
      <c r="LQK2481" s="60"/>
      <c r="LQL2481" s="61"/>
      <c r="LQM2481" s="54"/>
      <c r="LQN2481" s="54"/>
      <c r="LQO2481" s="60"/>
      <c r="LQP2481" s="60"/>
      <c r="LQQ2481" s="60"/>
      <c r="LQR2481" s="60"/>
      <c r="LQS2481" s="60"/>
      <c r="LQT2481" s="61"/>
      <c r="LQU2481" s="54"/>
      <c r="LQV2481" s="54"/>
      <c r="LQW2481" s="60"/>
      <c r="LQX2481" s="60"/>
      <c r="LQY2481" s="60"/>
      <c r="LQZ2481" s="60"/>
      <c r="LRA2481" s="60"/>
      <c r="LRB2481" s="61"/>
      <c r="LRC2481" s="54"/>
      <c r="LRD2481" s="54"/>
      <c r="LRE2481" s="60"/>
      <c r="LRF2481" s="60"/>
      <c r="LRG2481" s="60"/>
      <c r="LRH2481" s="60"/>
      <c r="LRI2481" s="60"/>
      <c r="LRJ2481" s="61"/>
      <c r="LRK2481" s="54"/>
      <c r="LRL2481" s="54"/>
      <c r="LRM2481" s="60"/>
      <c r="LRN2481" s="60"/>
      <c r="LRO2481" s="60"/>
      <c r="LRP2481" s="60"/>
      <c r="LRQ2481" s="60"/>
      <c r="LRR2481" s="61"/>
      <c r="LRS2481" s="54"/>
      <c r="LRT2481" s="54"/>
      <c r="LRU2481" s="60"/>
      <c r="LRV2481" s="60"/>
      <c r="LRW2481" s="60"/>
      <c r="LRX2481" s="60"/>
      <c r="LRY2481" s="60"/>
      <c r="LRZ2481" s="61"/>
      <c r="LSA2481" s="54"/>
      <c r="LSB2481" s="54"/>
      <c r="LSC2481" s="60"/>
      <c r="LSD2481" s="60"/>
      <c r="LSE2481" s="60"/>
      <c r="LSF2481" s="60"/>
      <c r="LSG2481" s="60"/>
      <c r="LSH2481" s="61"/>
      <c r="LSI2481" s="54"/>
      <c r="LSJ2481" s="54"/>
      <c r="LSK2481" s="60"/>
      <c r="LSL2481" s="60"/>
      <c r="LSM2481" s="60"/>
      <c r="LSN2481" s="60"/>
      <c r="LSO2481" s="60"/>
      <c r="LSP2481" s="61"/>
      <c r="LSQ2481" s="54"/>
      <c r="LSR2481" s="54"/>
      <c r="LSS2481" s="60"/>
      <c r="LST2481" s="60"/>
      <c r="LSU2481" s="60"/>
      <c r="LSV2481" s="60"/>
      <c r="LSW2481" s="60"/>
      <c r="LSX2481" s="61"/>
      <c r="LSY2481" s="54"/>
      <c r="LSZ2481" s="54"/>
      <c r="LTA2481" s="60"/>
      <c r="LTB2481" s="60"/>
      <c r="LTC2481" s="60"/>
      <c r="LTD2481" s="60"/>
      <c r="LTE2481" s="60"/>
      <c r="LTF2481" s="61"/>
      <c r="LTG2481" s="54"/>
      <c r="LTH2481" s="54"/>
      <c r="LTI2481" s="60"/>
      <c r="LTJ2481" s="60"/>
      <c r="LTK2481" s="60"/>
      <c r="LTL2481" s="60"/>
      <c r="LTM2481" s="60"/>
      <c r="LTN2481" s="61"/>
      <c r="LTO2481" s="54"/>
      <c r="LTP2481" s="54"/>
      <c r="LTQ2481" s="60"/>
      <c r="LTR2481" s="60"/>
      <c r="LTS2481" s="60"/>
      <c r="LTT2481" s="60"/>
      <c r="LTU2481" s="60"/>
      <c r="LTV2481" s="61"/>
      <c r="LTW2481" s="54"/>
      <c r="LTX2481" s="54"/>
      <c r="LTY2481" s="60"/>
      <c r="LTZ2481" s="60"/>
      <c r="LUA2481" s="60"/>
      <c r="LUB2481" s="60"/>
      <c r="LUC2481" s="60"/>
      <c r="LUD2481" s="61"/>
      <c r="LUE2481" s="54"/>
      <c r="LUF2481" s="54"/>
      <c r="LUG2481" s="60"/>
      <c r="LUH2481" s="60"/>
      <c r="LUI2481" s="60"/>
      <c r="LUJ2481" s="60"/>
      <c r="LUK2481" s="60"/>
      <c r="LUL2481" s="61"/>
      <c r="LUM2481" s="54"/>
      <c r="LUN2481" s="54"/>
      <c r="LUO2481" s="60"/>
      <c r="LUP2481" s="60"/>
      <c r="LUQ2481" s="60"/>
      <c r="LUR2481" s="60"/>
      <c r="LUS2481" s="60"/>
      <c r="LUT2481" s="61"/>
      <c r="LUU2481" s="54"/>
      <c r="LUV2481" s="54"/>
      <c r="LUW2481" s="60"/>
      <c r="LUX2481" s="60"/>
      <c r="LUY2481" s="60"/>
      <c r="LUZ2481" s="60"/>
      <c r="LVA2481" s="60"/>
      <c r="LVB2481" s="61"/>
      <c r="LVC2481" s="54"/>
      <c r="LVD2481" s="54"/>
      <c r="LVE2481" s="60"/>
      <c r="LVF2481" s="60"/>
      <c r="LVG2481" s="60"/>
      <c r="LVH2481" s="60"/>
      <c r="LVI2481" s="60"/>
      <c r="LVJ2481" s="61"/>
      <c r="LVK2481" s="54"/>
      <c r="LVL2481" s="54"/>
      <c r="LVM2481" s="60"/>
      <c r="LVN2481" s="60"/>
      <c r="LVO2481" s="60"/>
      <c r="LVP2481" s="60"/>
      <c r="LVQ2481" s="60"/>
      <c r="LVR2481" s="61"/>
      <c r="LVS2481" s="54"/>
      <c r="LVT2481" s="54"/>
      <c r="LVU2481" s="60"/>
      <c r="LVV2481" s="60"/>
      <c r="LVW2481" s="60"/>
      <c r="LVX2481" s="60"/>
      <c r="LVY2481" s="60"/>
      <c r="LVZ2481" s="61"/>
      <c r="LWA2481" s="54"/>
      <c r="LWB2481" s="54"/>
      <c r="LWC2481" s="60"/>
      <c r="LWD2481" s="60"/>
      <c r="LWE2481" s="60"/>
      <c r="LWF2481" s="60"/>
      <c r="LWG2481" s="60"/>
      <c r="LWH2481" s="61"/>
      <c r="LWI2481" s="54"/>
      <c r="LWJ2481" s="54"/>
      <c r="LWK2481" s="60"/>
      <c r="LWL2481" s="60"/>
      <c r="LWM2481" s="60"/>
      <c r="LWN2481" s="60"/>
      <c r="LWO2481" s="60"/>
      <c r="LWP2481" s="61"/>
      <c r="LWQ2481" s="54"/>
      <c r="LWR2481" s="54"/>
      <c r="LWS2481" s="60"/>
      <c r="LWT2481" s="60"/>
      <c r="LWU2481" s="60"/>
      <c r="LWV2481" s="60"/>
      <c r="LWW2481" s="60"/>
      <c r="LWX2481" s="61"/>
      <c r="LWY2481" s="54"/>
      <c r="LWZ2481" s="54"/>
      <c r="LXA2481" s="60"/>
      <c r="LXB2481" s="60"/>
      <c r="LXC2481" s="60"/>
      <c r="LXD2481" s="60"/>
      <c r="LXE2481" s="60"/>
      <c r="LXF2481" s="61"/>
      <c r="LXG2481" s="54"/>
      <c r="LXH2481" s="54"/>
      <c r="LXI2481" s="60"/>
      <c r="LXJ2481" s="60"/>
      <c r="LXK2481" s="60"/>
      <c r="LXL2481" s="60"/>
      <c r="LXM2481" s="60"/>
      <c r="LXN2481" s="61"/>
      <c r="LXO2481" s="54"/>
      <c r="LXP2481" s="54"/>
      <c r="LXQ2481" s="60"/>
      <c r="LXR2481" s="60"/>
      <c r="LXS2481" s="60"/>
      <c r="LXT2481" s="60"/>
      <c r="LXU2481" s="60"/>
      <c r="LXV2481" s="61"/>
      <c r="LXW2481" s="54"/>
      <c r="LXX2481" s="54"/>
      <c r="LXY2481" s="60"/>
      <c r="LXZ2481" s="60"/>
      <c r="LYA2481" s="60"/>
      <c r="LYB2481" s="60"/>
      <c r="LYC2481" s="60"/>
      <c r="LYD2481" s="61"/>
      <c r="LYE2481" s="54"/>
      <c r="LYF2481" s="54"/>
      <c r="LYG2481" s="60"/>
      <c r="LYH2481" s="60"/>
      <c r="LYI2481" s="60"/>
      <c r="LYJ2481" s="60"/>
      <c r="LYK2481" s="60"/>
      <c r="LYL2481" s="61"/>
      <c r="LYM2481" s="54"/>
      <c r="LYN2481" s="54"/>
      <c r="LYO2481" s="60"/>
      <c r="LYP2481" s="60"/>
      <c r="LYQ2481" s="60"/>
      <c r="LYR2481" s="60"/>
      <c r="LYS2481" s="60"/>
      <c r="LYT2481" s="61"/>
      <c r="LYU2481" s="54"/>
      <c r="LYV2481" s="54"/>
      <c r="LYW2481" s="60"/>
      <c r="LYX2481" s="60"/>
      <c r="LYY2481" s="60"/>
      <c r="LYZ2481" s="60"/>
      <c r="LZA2481" s="60"/>
      <c r="LZB2481" s="61"/>
      <c r="LZC2481" s="54"/>
      <c r="LZD2481" s="54"/>
      <c r="LZE2481" s="60"/>
      <c r="LZF2481" s="60"/>
      <c r="LZG2481" s="60"/>
      <c r="LZH2481" s="60"/>
      <c r="LZI2481" s="60"/>
      <c r="LZJ2481" s="61"/>
      <c r="LZK2481" s="54"/>
      <c r="LZL2481" s="54"/>
      <c r="LZM2481" s="60"/>
      <c r="LZN2481" s="60"/>
      <c r="LZO2481" s="60"/>
      <c r="LZP2481" s="60"/>
      <c r="LZQ2481" s="60"/>
      <c r="LZR2481" s="61"/>
      <c r="LZS2481" s="54"/>
      <c r="LZT2481" s="54"/>
      <c r="LZU2481" s="60"/>
      <c r="LZV2481" s="60"/>
      <c r="LZW2481" s="60"/>
      <c r="LZX2481" s="60"/>
      <c r="LZY2481" s="60"/>
      <c r="LZZ2481" s="61"/>
      <c r="MAA2481" s="54"/>
      <c r="MAB2481" s="54"/>
      <c r="MAC2481" s="60"/>
      <c r="MAD2481" s="60"/>
      <c r="MAE2481" s="60"/>
      <c r="MAF2481" s="60"/>
      <c r="MAG2481" s="60"/>
      <c r="MAH2481" s="61"/>
      <c r="MAI2481" s="54"/>
      <c r="MAJ2481" s="54"/>
      <c r="MAK2481" s="60"/>
      <c r="MAL2481" s="60"/>
      <c r="MAM2481" s="60"/>
      <c r="MAN2481" s="60"/>
      <c r="MAO2481" s="60"/>
      <c r="MAP2481" s="61"/>
      <c r="MAQ2481" s="54"/>
      <c r="MAR2481" s="54"/>
      <c r="MAS2481" s="60"/>
      <c r="MAT2481" s="60"/>
      <c r="MAU2481" s="60"/>
      <c r="MAV2481" s="60"/>
      <c r="MAW2481" s="60"/>
      <c r="MAX2481" s="61"/>
      <c r="MAY2481" s="54"/>
      <c r="MAZ2481" s="54"/>
      <c r="MBA2481" s="60"/>
      <c r="MBB2481" s="60"/>
      <c r="MBC2481" s="60"/>
      <c r="MBD2481" s="60"/>
      <c r="MBE2481" s="60"/>
      <c r="MBF2481" s="61"/>
      <c r="MBG2481" s="54"/>
      <c r="MBH2481" s="54"/>
      <c r="MBI2481" s="60"/>
      <c r="MBJ2481" s="60"/>
      <c r="MBK2481" s="60"/>
      <c r="MBL2481" s="60"/>
      <c r="MBM2481" s="60"/>
      <c r="MBN2481" s="61"/>
      <c r="MBO2481" s="54"/>
      <c r="MBP2481" s="54"/>
      <c r="MBQ2481" s="60"/>
      <c r="MBR2481" s="60"/>
      <c r="MBS2481" s="60"/>
      <c r="MBT2481" s="60"/>
      <c r="MBU2481" s="60"/>
      <c r="MBV2481" s="61"/>
      <c r="MBW2481" s="54"/>
      <c r="MBX2481" s="54"/>
      <c r="MBY2481" s="60"/>
      <c r="MBZ2481" s="60"/>
      <c r="MCA2481" s="60"/>
      <c r="MCB2481" s="60"/>
      <c r="MCC2481" s="60"/>
      <c r="MCD2481" s="61"/>
      <c r="MCE2481" s="54"/>
      <c r="MCF2481" s="54"/>
      <c r="MCG2481" s="60"/>
      <c r="MCH2481" s="60"/>
      <c r="MCI2481" s="60"/>
      <c r="MCJ2481" s="60"/>
      <c r="MCK2481" s="60"/>
      <c r="MCL2481" s="61"/>
      <c r="MCM2481" s="54"/>
      <c r="MCN2481" s="54"/>
      <c r="MCO2481" s="60"/>
      <c r="MCP2481" s="60"/>
      <c r="MCQ2481" s="60"/>
      <c r="MCR2481" s="60"/>
      <c r="MCS2481" s="60"/>
      <c r="MCT2481" s="61"/>
      <c r="MCU2481" s="54"/>
      <c r="MCV2481" s="54"/>
      <c r="MCW2481" s="60"/>
      <c r="MCX2481" s="60"/>
      <c r="MCY2481" s="60"/>
      <c r="MCZ2481" s="60"/>
      <c r="MDA2481" s="60"/>
      <c r="MDB2481" s="61"/>
      <c r="MDC2481" s="54"/>
      <c r="MDD2481" s="54"/>
      <c r="MDE2481" s="60"/>
      <c r="MDF2481" s="60"/>
      <c r="MDG2481" s="60"/>
      <c r="MDH2481" s="60"/>
      <c r="MDI2481" s="60"/>
      <c r="MDJ2481" s="61"/>
      <c r="MDK2481" s="54"/>
      <c r="MDL2481" s="54"/>
      <c r="MDM2481" s="60"/>
      <c r="MDN2481" s="60"/>
      <c r="MDO2481" s="60"/>
      <c r="MDP2481" s="60"/>
      <c r="MDQ2481" s="60"/>
      <c r="MDR2481" s="61"/>
      <c r="MDS2481" s="54"/>
      <c r="MDT2481" s="54"/>
      <c r="MDU2481" s="60"/>
      <c r="MDV2481" s="60"/>
      <c r="MDW2481" s="60"/>
      <c r="MDX2481" s="60"/>
      <c r="MDY2481" s="60"/>
      <c r="MDZ2481" s="61"/>
      <c r="MEA2481" s="54"/>
      <c r="MEB2481" s="54"/>
      <c r="MEC2481" s="60"/>
      <c r="MED2481" s="60"/>
      <c r="MEE2481" s="60"/>
      <c r="MEF2481" s="60"/>
      <c r="MEG2481" s="60"/>
      <c r="MEH2481" s="61"/>
      <c r="MEI2481" s="54"/>
      <c r="MEJ2481" s="54"/>
      <c r="MEK2481" s="60"/>
      <c r="MEL2481" s="60"/>
      <c r="MEM2481" s="60"/>
      <c r="MEN2481" s="60"/>
      <c r="MEO2481" s="60"/>
      <c r="MEP2481" s="61"/>
      <c r="MEQ2481" s="54"/>
      <c r="MER2481" s="54"/>
      <c r="MES2481" s="60"/>
      <c r="MET2481" s="60"/>
      <c r="MEU2481" s="60"/>
      <c r="MEV2481" s="60"/>
      <c r="MEW2481" s="60"/>
      <c r="MEX2481" s="61"/>
      <c r="MEY2481" s="54"/>
      <c r="MEZ2481" s="54"/>
      <c r="MFA2481" s="60"/>
      <c r="MFB2481" s="60"/>
      <c r="MFC2481" s="60"/>
      <c r="MFD2481" s="60"/>
      <c r="MFE2481" s="60"/>
      <c r="MFF2481" s="61"/>
      <c r="MFG2481" s="54"/>
      <c r="MFH2481" s="54"/>
      <c r="MFI2481" s="60"/>
      <c r="MFJ2481" s="60"/>
      <c r="MFK2481" s="60"/>
      <c r="MFL2481" s="60"/>
      <c r="MFM2481" s="60"/>
      <c r="MFN2481" s="61"/>
      <c r="MFO2481" s="54"/>
      <c r="MFP2481" s="54"/>
      <c r="MFQ2481" s="60"/>
      <c r="MFR2481" s="60"/>
      <c r="MFS2481" s="60"/>
      <c r="MFT2481" s="60"/>
      <c r="MFU2481" s="60"/>
      <c r="MFV2481" s="61"/>
      <c r="MFW2481" s="54"/>
      <c r="MFX2481" s="54"/>
      <c r="MFY2481" s="60"/>
      <c r="MFZ2481" s="60"/>
      <c r="MGA2481" s="60"/>
      <c r="MGB2481" s="60"/>
      <c r="MGC2481" s="60"/>
      <c r="MGD2481" s="61"/>
      <c r="MGE2481" s="54"/>
      <c r="MGF2481" s="54"/>
      <c r="MGG2481" s="60"/>
      <c r="MGH2481" s="60"/>
      <c r="MGI2481" s="60"/>
      <c r="MGJ2481" s="60"/>
      <c r="MGK2481" s="60"/>
      <c r="MGL2481" s="61"/>
      <c r="MGM2481" s="54"/>
      <c r="MGN2481" s="54"/>
      <c r="MGO2481" s="60"/>
      <c r="MGP2481" s="60"/>
      <c r="MGQ2481" s="60"/>
      <c r="MGR2481" s="60"/>
      <c r="MGS2481" s="60"/>
      <c r="MGT2481" s="61"/>
      <c r="MGU2481" s="54"/>
      <c r="MGV2481" s="54"/>
      <c r="MGW2481" s="60"/>
      <c r="MGX2481" s="60"/>
      <c r="MGY2481" s="60"/>
      <c r="MGZ2481" s="60"/>
      <c r="MHA2481" s="60"/>
      <c r="MHB2481" s="61"/>
      <c r="MHC2481" s="54"/>
      <c r="MHD2481" s="54"/>
      <c r="MHE2481" s="60"/>
      <c r="MHF2481" s="60"/>
      <c r="MHG2481" s="60"/>
      <c r="MHH2481" s="60"/>
      <c r="MHI2481" s="60"/>
      <c r="MHJ2481" s="61"/>
      <c r="MHK2481" s="54"/>
      <c r="MHL2481" s="54"/>
      <c r="MHM2481" s="60"/>
      <c r="MHN2481" s="60"/>
      <c r="MHO2481" s="60"/>
      <c r="MHP2481" s="60"/>
      <c r="MHQ2481" s="60"/>
      <c r="MHR2481" s="61"/>
      <c r="MHS2481" s="54"/>
      <c r="MHT2481" s="54"/>
      <c r="MHU2481" s="60"/>
      <c r="MHV2481" s="60"/>
      <c r="MHW2481" s="60"/>
      <c r="MHX2481" s="60"/>
      <c r="MHY2481" s="60"/>
      <c r="MHZ2481" s="61"/>
      <c r="MIA2481" s="54"/>
      <c r="MIB2481" s="54"/>
      <c r="MIC2481" s="60"/>
      <c r="MID2481" s="60"/>
      <c r="MIE2481" s="60"/>
      <c r="MIF2481" s="60"/>
      <c r="MIG2481" s="60"/>
      <c r="MIH2481" s="61"/>
      <c r="MII2481" s="54"/>
      <c r="MIJ2481" s="54"/>
      <c r="MIK2481" s="60"/>
      <c r="MIL2481" s="60"/>
      <c r="MIM2481" s="60"/>
      <c r="MIN2481" s="60"/>
      <c r="MIO2481" s="60"/>
      <c r="MIP2481" s="61"/>
      <c r="MIQ2481" s="54"/>
      <c r="MIR2481" s="54"/>
      <c r="MIS2481" s="60"/>
      <c r="MIT2481" s="60"/>
      <c r="MIU2481" s="60"/>
      <c r="MIV2481" s="60"/>
      <c r="MIW2481" s="60"/>
      <c r="MIX2481" s="61"/>
      <c r="MIY2481" s="54"/>
      <c r="MIZ2481" s="54"/>
      <c r="MJA2481" s="60"/>
      <c r="MJB2481" s="60"/>
      <c r="MJC2481" s="60"/>
      <c r="MJD2481" s="60"/>
      <c r="MJE2481" s="60"/>
      <c r="MJF2481" s="61"/>
      <c r="MJG2481" s="54"/>
      <c r="MJH2481" s="54"/>
      <c r="MJI2481" s="60"/>
      <c r="MJJ2481" s="60"/>
      <c r="MJK2481" s="60"/>
      <c r="MJL2481" s="60"/>
      <c r="MJM2481" s="60"/>
      <c r="MJN2481" s="61"/>
      <c r="MJO2481" s="54"/>
      <c r="MJP2481" s="54"/>
      <c r="MJQ2481" s="60"/>
      <c r="MJR2481" s="60"/>
      <c r="MJS2481" s="60"/>
      <c r="MJT2481" s="60"/>
      <c r="MJU2481" s="60"/>
      <c r="MJV2481" s="61"/>
      <c r="MJW2481" s="54"/>
      <c r="MJX2481" s="54"/>
      <c r="MJY2481" s="60"/>
      <c r="MJZ2481" s="60"/>
      <c r="MKA2481" s="60"/>
      <c r="MKB2481" s="60"/>
      <c r="MKC2481" s="60"/>
      <c r="MKD2481" s="61"/>
      <c r="MKE2481" s="54"/>
      <c r="MKF2481" s="54"/>
      <c r="MKG2481" s="60"/>
      <c r="MKH2481" s="60"/>
      <c r="MKI2481" s="60"/>
      <c r="MKJ2481" s="60"/>
      <c r="MKK2481" s="60"/>
      <c r="MKL2481" s="61"/>
      <c r="MKM2481" s="54"/>
      <c r="MKN2481" s="54"/>
      <c r="MKO2481" s="60"/>
      <c r="MKP2481" s="60"/>
      <c r="MKQ2481" s="60"/>
      <c r="MKR2481" s="60"/>
      <c r="MKS2481" s="60"/>
      <c r="MKT2481" s="61"/>
      <c r="MKU2481" s="54"/>
      <c r="MKV2481" s="54"/>
      <c r="MKW2481" s="60"/>
      <c r="MKX2481" s="60"/>
      <c r="MKY2481" s="60"/>
      <c r="MKZ2481" s="60"/>
      <c r="MLA2481" s="60"/>
      <c r="MLB2481" s="61"/>
      <c r="MLC2481" s="54"/>
      <c r="MLD2481" s="54"/>
      <c r="MLE2481" s="60"/>
      <c r="MLF2481" s="60"/>
      <c r="MLG2481" s="60"/>
      <c r="MLH2481" s="60"/>
      <c r="MLI2481" s="60"/>
      <c r="MLJ2481" s="61"/>
      <c r="MLK2481" s="54"/>
      <c r="MLL2481" s="54"/>
      <c r="MLM2481" s="60"/>
      <c r="MLN2481" s="60"/>
      <c r="MLO2481" s="60"/>
      <c r="MLP2481" s="60"/>
      <c r="MLQ2481" s="60"/>
      <c r="MLR2481" s="61"/>
      <c r="MLS2481" s="54"/>
      <c r="MLT2481" s="54"/>
      <c r="MLU2481" s="60"/>
      <c r="MLV2481" s="60"/>
      <c r="MLW2481" s="60"/>
      <c r="MLX2481" s="60"/>
      <c r="MLY2481" s="60"/>
      <c r="MLZ2481" s="61"/>
      <c r="MMA2481" s="54"/>
      <c r="MMB2481" s="54"/>
      <c r="MMC2481" s="60"/>
      <c r="MMD2481" s="60"/>
      <c r="MME2481" s="60"/>
      <c r="MMF2481" s="60"/>
      <c r="MMG2481" s="60"/>
      <c r="MMH2481" s="61"/>
      <c r="MMI2481" s="54"/>
      <c r="MMJ2481" s="54"/>
      <c r="MMK2481" s="60"/>
      <c r="MML2481" s="60"/>
      <c r="MMM2481" s="60"/>
      <c r="MMN2481" s="60"/>
      <c r="MMO2481" s="60"/>
      <c r="MMP2481" s="61"/>
      <c r="MMQ2481" s="54"/>
      <c r="MMR2481" s="54"/>
      <c r="MMS2481" s="60"/>
      <c r="MMT2481" s="60"/>
      <c r="MMU2481" s="60"/>
      <c r="MMV2481" s="60"/>
      <c r="MMW2481" s="60"/>
      <c r="MMX2481" s="61"/>
      <c r="MMY2481" s="54"/>
      <c r="MMZ2481" s="54"/>
      <c r="MNA2481" s="60"/>
      <c r="MNB2481" s="60"/>
      <c r="MNC2481" s="60"/>
      <c r="MND2481" s="60"/>
      <c r="MNE2481" s="60"/>
      <c r="MNF2481" s="61"/>
      <c r="MNG2481" s="54"/>
      <c r="MNH2481" s="54"/>
      <c r="MNI2481" s="60"/>
      <c r="MNJ2481" s="60"/>
      <c r="MNK2481" s="60"/>
      <c r="MNL2481" s="60"/>
      <c r="MNM2481" s="60"/>
      <c r="MNN2481" s="61"/>
      <c r="MNO2481" s="54"/>
      <c r="MNP2481" s="54"/>
      <c r="MNQ2481" s="60"/>
      <c r="MNR2481" s="60"/>
      <c r="MNS2481" s="60"/>
      <c r="MNT2481" s="60"/>
      <c r="MNU2481" s="60"/>
      <c r="MNV2481" s="61"/>
      <c r="MNW2481" s="54"/>
      <c r="MNX2481" s="54"/>
      <c r="MNY2481" s="60"/>
      <c r="MNZ2481" s="60"/>
      <c r="MOA2481" s="60"/>
      <c r="MOB2481" s="60"/>
      <c r="MOC2481" s="60"/>
      <c r="MOD2481" s="61"/>
      <c r="MOE2481" s="54"/>
      <c r="MOF2481" s="54"/>
      <c r="MOG2481" s="60"/>
      <c r="MOH2481" s="60"/>
      <c r="MOI2481" s="60"/>
      <c r="MOJ2481" s="60"/>
      <c r="MOK2481" s="60"/>
      <c r="MOL2481" s="61"/>
      <c r="MOM2481" s="54"/>
      <c r="MON2481" s="54"/>
      <c r="MOO2481" s="60"/>
      <c r="MOP2481" s="60"/>
      <c r="MOQ2481" s="60"/>
      <c r="MOR2481" s="60"/>
      <c r="MOS2481" s="60"/>
      <c r="MOT2481" s="61"/>
      <c r="MOU2481" s="54"/>
      <c r="MOV2481" s="54"/>
      <c r="MOW2481" s="60"/>
      <c r="MOX2481" s="60"/>
      <c r="MOY2481" s="60"/>
      <c r="MOZ2481" s="60"/>
      <c r="MPA2481" s="60"/>
      <c r="MPB2481" s="61"/>
      <c r="MPC2481" s="54"/>
      <c r="MPD2481" s="54"/>
      <c r="MPE2481" s="60"/>
      <c r="MPF2481" s="60"/>
      <c r="MPG2481" s="60"/>
      <c r="MPH2481" s="60"/>
      <c r="MPI2481" s="60"/>
      <c r="MPJ2481" s="61"/>
      <c r="MPK2481" s="54"/>
      <c r="MPL2481" s="54"/>
      <c r="MPM2481" s="60"/>
      <c r="MPN2481" s="60"/>
      <c r="MPO2481" s="60"/>
      <c r="MPP2481" s="60"/>
      <c r="MPQ2481" s="60"/>
      <c r="MPR2481" s="61"/>
      <c r="MPS2481" s="54"/>
      <c r="MPT2481" s="54"/>
      <c r="MPU2481" s="60"/>
      <c r="MPV2481" s="60"/>
      <c r="MPW2481" s="60"/>
      <c r="MPX2481" s="60"/>
      <c r="MPY2481" s="60"/>
      <c r="MPZ2481" s="61"/>
      <c r="MQA2481" s="54"/>
      <c r="MQB2481" s="54"/>
      <c r="MQC2481" s="60"/>
      <c r="MQD2481" s="60"/>
      <c r="MQE2481" s="60"/>
      <c r="MQF2481" s="60"/>
      <c r="MQG2481" s="60"/>
      <c r="MQH2481" s="61"/>
      <c r="MQI2481" s="54"/>
      <c r="MQJ2481" s="54"/>
      <c r="MQK2481" s="60"/>
      <c r="MQL2481" s="60"/>
      <c r="MQM2481" s="60"/>
      <c r="MQN2481" s="60"/>
      <c r="MQO2481" s="60"/>
      <c r="MQP2481" s="61"/>
      <c r="MQQ2481" s="54"/>
      <c r="MQR2481" s="54"/>
      <c r="MQS2481" s="60"/>
      <c r="MQT2481" s="60"/>
      <c r="MQU2481" s="60"/>
      <c r="MQV2481" s="60"/>
      <c r="MQW2481" s="60"/>
      <c r="MQX2481" s="61"/>
      <c r="MQY2481" s="54"/>
      <c r="MQZ2481" s="54"/>
      <c r="MRA2481" s="60"/>
      <c r="MRB2481" s="60"/>
      <c r="MRC2481" s="60"/>
      <c r="MRD2481" s="60"/>
      <c r="MRE2481" s="60"/>
      <c r="MRF2481" s="61"/>
      <c r="MRG2481" s="54"/>
      <c r="MRH2481" s="54"/>
      <c r="MRI2481" s="60"/>
      <c r="MRJ2481" s="60"/>
      <c r="MRK2481" s="60"/>
      <c r="MRL2481" s="60"/>
      <c r="MRM2481" s="60"/>
      <c r="MRN2481" s="61"/>
      <c r="MRO2481" s="54"/>
      <c r="MRP2481" s="54"/>
      <c r="MRQ2481" s="60"/>
      <c r="MRR2481" s="60"/>
      <c r="MRS2481" s="60"/>
      <c r="MRT2481" s="60"/>
      <c r="MRU2481" s="60"/>
      <c r="MRV2481" s="61"/>
      <c r="MRW2481" s="54"/>
      <c r="MRX2481" s="54"/>
      <c r="MRY2481" s="60"/>
      <c r="MRZ2481" s="60"/>
      <c r="MSA2481" s="60"/>
      <c r="MSB2481" s="60"/>
      <c r="MSC2481" s="60"/>
      <c r="MSD2481" s="61"/>
      <c r="MSE2481" s="54"/>
      <c r="MSF2481" s="54"/>
      <c r="MSG2481" s="60"/>
      <c r="MSH2481" s="60"/>
      <c r="MSI2481" s="60"/>
      <c r="MSJ2481" s="60"/>
      <c r="MSK2481" s="60"/>
      <c r="MSL2481" s="61"/>
      <c r="MSM2481" s="54"/>
      <c r="MSN2481" s="54"/>
      <c r="MSO2481" s="60"/>
      <c r="MSP2481" s="60"/>
      <c r="MSQ2481" s="60"/>
      <c r="MSR2481" s="60"/>
      <c r="MSS2481" s="60"/>
      <c r="MST2481" s="61"/>
      <c r="MSU2481" s="54"/>
      <c r="MSV2481" s="54"/>
      <c r="MSW2481" s="60"/>
      <c r="MSX2481" s="60"/>
      <c r="MSY2481" s="60"/>
      <c r="MSZ2481" s="60"/>
      <c r="MTA2481" s="60"/>
      <c r="MTB2481" s="61"/>
      <c r="MTC2481" s="54"/>
      <c r="MTD2481" s="54"/>
      <c r="MTE2481" s="60"/>
      <c r="MTF2481" s="60"/>
      <c r="MTG2481" s="60"/>
      <c r="MTH2481" s="60"/>
      <c r="MTI2481" s="60"/>
      <c r="MTJ2481" s="61"/>
      <c r="MTK2481" s="54"/>
      <c r="MTL2481" s="54"/>
      <c r="MTM2481" s="60"/>
      <c r="MTN2481" s="60"/>
      <c r="MTO2481" s="60"/>
      <c r="MTP2481" s="60"/>
      <c r="MTQ2481" s="60"/>
      <c r="MTR2481" s="61"/>
      <c r="MTS2481" s="54"/>
      <c r="MTT2481" s="54"/>
      <c r="MTU2481" s="60"/>
      <c r="MTV2481" s="60"/>
      <c r="MTW2481" s="60"/>
      <c r="MTX2481" s="60"/>
      <c r="MTY2481" s="60"/>
      <c r="MTZ2481" s="61"/>
      <c r="MUA2481" s="54"/>
      <c r="MUB2481" s="54"/>
      <c r="MUC2481" s="60"/>
      <c r="MUD2481" s="60"/>
      <c r="MUE2481" s="60"/>
      <c r="MUF2481" s="60"/>
      <c r="MUG2481" s="60"/>
      <c r="MUH2481" s="61"/>
      <c r="MUI2481" s="54"/>
      <c r="MUJ2481" s="54"/>
      <c r="MUK2481" s="60"/>
      <c r="MUL2481" s="60"/>
      <c r="MUM2481" s="60"/>
      <c r="MUN2481" s="60"/>
      <c r="MUO2481" s="60"/>
      <c r="MUP2481" s="61"/>
      <c r="MUQ2481" s="54"/>
      <c r="MUR2481" s="54"/>
      <c r="MUS2481" s="60"/>
      <c r="MUT2481" s="60"/>
      <c r="MUU2481" s="60"/>
      <c r="MUV2481" s="60"/>
      <c r="MUW2481" s="60"/>
      <c r="MUX2481" s="61"/>
      <c r="MUY2481" s="54"/>
      <c r="MUZ2481" s="54"/>
      <c r="MVA2481" s="60"/>
      <c r="MVB2481" s="60"/>
      <c r="MVC2481" s="60"/>
      <c r="MVD2481" s="60"/>
      <c r="MVE2481" s="60"/>
      <c r="MVF2481" s="61"/>
      <c r="MVG2481" s="54"/>
      <c r="MVH2481" s="54"/>
      <c r="MVI2481" s="60"/>
      <c r="MVJ2481" s="60"/>
      <c r="MVK2481" s="60"/>
      <c r="MVL2481" s="60"/>
      <c r="MVM2481" s="60"/>
      <c r="MVN2481" s="61"/>
      <c r="MVO2481" s="54"/>
      <c r="MVP2481" s="54"/>
      <c r="MVQ2481" s="60"/>
      <c r="MVR2481" s="60"/>
      <c r="MVS2481" s="60"/>
      <c r="MVT2481" s="60"/>
      <c r="MVU2481" s="60"/>
      <c r="MVV2481" s="61"/>
      <c r="MVW2481" s="54"/>
      <c r="MVX2481" s="54"/>
      <c r="MVY2481" s="60"/>
      <c r="MVZ2481" s="60"/>
      <c r="MWA2481" s="60"/>
      <c r="MWB2481" s="60"/>
      <c r="MWC2481" s="60"/>
      <c r="MWD2481" s="61"/>
      <c r="MWE2481" s="54"/>
      <c r="MWF2481" s="54"/>
      <c r="MWG2481" s="60"/>
      <c r="MWH2481" s="60"/>
      <c r="MWI2481" s="60"/>
      <c r="MWJ2481" s="60"/>
      <c r="MWK2481" s="60"/>
      <c r="MWL2481" s="61"/>
      <c r="MWM2481" s="54"/>
      <c r="MWN2481" s="54"/>
      <c r="MWO2481" s="60"/>
      <c r="MWP2481" s="60"/>
      <c r="MWQ2481" s="60"/>
      <c r="MWR2481" s="60"/>
      <c r="MWS2481" s="60"/>
      <c r="MWT2481" s="61"/>
      <c r="MWU2481" s="54"/>
      <c r="MWV2481" s="54"/>
      <c r="MWW2481" s="60"/>
      <c r="MWX2481" s="60"/>
      <c r="MWY2481" s="60"/>
      <c r="MWZ2481" s="60"/>
      <c r="MXA2481" s="60"/>
      <c r="MXB2481" s="61"/>
      <c r="MXC2481" s="54"/>
      <c r="MXD2481" s="54"/>
      <c r="MXE2481" s="60"/>
      <c r="MXF2481" s="60"/>
      <c r="MXG2481" s="60"/>
      <c r="MXH2481" s="60"/>
      <c r="MXI2481" s="60"/>
      <c r="MXJ2481" s="61"/>
      <c r="MXK2481" s="54"/>
      <c r="MXL2481" s="54"/>
      <c r="MXM2481" s="60"/>
      <c r="MXN2481" s="60"/>
      <c r="MXO2481" s="60"/>
      <c r="MXP2481" s="60"/>
      <c r="MXQ2481" s="60"/>
      <c r="MXR2481" s="61"/>
      <c r="MXS2481" s="54"/>
      <c r="MXT2481" s="54"/>
      <c r="MXU2481" s="60"/>
      <c r="MXV2481" s="60"/>
      <c r="MXW2481" s="60"/>
      <c r="MXX2481" s="60"/>
      <c r="MXY2481" s="60"/>
      <c r="MXZ2481" s="61"/>
      <c r="MYA2481" s="54"/>
      <c r="MYB2481" s="54"/>
      <c r="MYC2481" s="60"/>
      <c r="MYD2481" s="60"/>
      <c r="MYE2481" s="60"/>
      <c r="MYF2481" s="60"/>
      <c r="MYG2481" s="60"/>
      <c r="MYH2481" s="61"/>
      <c r="MYI2481" s="54"/>
      <c r="MYJ2481" s="54"/>
      <c r="MYK2481" s="60"/>
      <c r="MYL2481" s="60"/>
      <c r="MYM2481" s="60"/>
      <c r="MYN2481" s="60"/>
      <c r="MYO2481" s="60"/>
      <c r="MYP2481" s="61"/>
      <c r="MYQ2481" s="54"/>
      <c r="MYR2481" s="54"/>
      <c r="MYS2481" s="60"/>
      <c r="MYT2481" s="60"/>
      <c r="MYU2481" s="60"/>
      <c r="MYV2481" s="60"/>
      <c r="MYW2481" s="60"/>
      <c r="MYX2481" s="61"/>
      <c r="MYY2481" s="54"/>
      <c r="MYZ2481" s="54"/>
      <c r="MZA2481" s="60"/>
      <c r="MZB2481" s="60"/>
      <c r="MZC2481" s="60"/>
      <c r="MZD2481" s="60"/>
      <c r="MZE2481" s="60"/>
      <c r="MZF2481" s="61"/>
      <c r="MZG2481" s="54"/>
      <c r="MZH2481" s="54"/>
      <c r="MZI2481" s="60"/>
      <c r="MZJ2481" s="60"/>
      <c r="MZK2481" s="60"/>
      <c r="MZL2481" s="60"/>
      <c r="MZM2481" s="60"/>
      <c r="MZN2481" s="61"/>
      <c r="MZO2481" s="54"/>
      <c r="MZP2481" s="54"/>
      <c r="MZQ2481" s="60"/>
      <c r="MZR2481" s="60"/>
      <c r="MZS2481" s="60"/>
      <c r="MZT2481" s="60"/>
      <c r="MZU2481" s="60"/>
      <c r="MZV2481" s="61"/>
      <c r="MZW2481" s="54"/>
      <c r="MZX2481" s="54"/>
      <c r="MZY2481" s="60"/>
      <c r="MZZ2481" s="60"/>
      <c r="NAA2481" s="60"/>
      <c r="NAB2481" s="60"/>
      <c r="NAC2481" s="60"/>
      <c r="NAD2481" s="61"/>
      <c r="NAE2481" s="54"/>
      <c r="NAF2481" s="54"/>
      <c r="NAG2481" s="60"/>
      <c r="NAH2481" s="60"/>
      <c r="NAI2481" s="60"/>
      <c r="NAJ2481" s="60"/>
      <c r="NAK2481" s="60"/>
      <c r="NAL2481" s="61"/>
      <c r="NAM2481" s="54"/>
      <c r="NAN2481" s="54"/>
      <c r="NAO2481" s="60"/>
      <c r="NAP2481" s="60"/>
      <c r="NAQ2481" s="60"/>
      <c r="NAR2481" s="60"/>
      <c r="NAS2481" s="60"/>
      <c r="NAT2481" s="61"/>
      <c r="NAU2481" s="54"/>
      <c r="NAV2481" s="54"/>
      <c r="NAW2481" s="60"/>
      <c r="NAX2481" s="60"/>
      <c r="NAY2481" s="60"/>
      <c r="NAZ2481" s="60"/>
      <c r="NBA2481" s="60"/>
      <c r="NBB2481" s="61"/>
      <c r="NBC2481" s="54"/>
      <c r="NBD2481" s="54"/>
      <c r="NBE2481" s="60"/>
      <c r="NBF2481" s="60"/>
      <c r="NBG2481" s="60"/>
      <c r="NBH2481" s="60"/>
      <c r="NBI2481" s="60"/>
      <c r="NBJ2481" s="61"/>
      <c r="NBK2481" s="54"/>
      <c r="NBL2481" s="54"/>
      <c r="NBM2481" s="60"/>
      <c r="NBN2481" s="60"/>
      <c r="NBO2481" s="60"/>
      <c r="NBP2481" s="60"/>
      <c r="NBQ2481" s="60"/>
      <c r="NBR2481" s="61"/>
      <c r="NBS2481" s="54"/>
      <c r="NBT2481" s="54"/>
      <c r="NBU2481" s="60"/>
      <c r="NBV2481" s="60"/>
      <c r="NBW2481" s="60"/>
      <c r="NBX2481" s="60"/>
      <c r="NBY2481" s="60"/>
      <c r="NBZ2481" s="61"/>
      <c r="NCA2481" s="54"/>
      <c r="NCB2481" s="54"/>
      <c r="NCC2481" s="60"/>
      <c r="NCD2481" s="60"/>
      <c r="NCE2481" s="60"/>
      <c r="NCF2481" s="60"/>
      <c r="NCG2481" s="60"/>
      <c r="NCH2481" s="61"/>
      <c r="NCI2481" s="54"/>
      <c r="NCJ2481" s="54"/>
      <c r="NCK2481" s="60"/>
      <c r="NCL2481" s="60"/>
      <c r="NCM2481" s="60"/>
      <c r="NCN2481" s="60"/>
      <c r="NCO2481" s="60"/>
      <c r="NCP2481" s="61"/>
      <c r="NCQ2481" s="54"/>
      <c r="NCR2481" s="54"/>
      <c r="NCS2481" s="60"/>
      <c r="NCT2481" s="60"/>
      <c r="NCU2481" s="60"/>
      <c r="NCV2481" s="60"/>
      <c r="NCW2481" s="60"/>
      <c r="NCX2481" s="61"/>
      <c r="NCY2481" s="54"/>
      <c r="NCZ2481" s="54"/>
      <c r="NDA2481" s="60"/>
      <c r="NDB2481" s="60"/>
      <c r="NDC2481" s="60"/>
      <c r="NDD2481" s="60"/>
      <c r="NDE2481" s="60"/>
      <c r="NDF2481" s="61"/>
      <c r="NDG2481" s="54"/>
      <c r="NDH2481" s="54"/>
      <c r="NDI2481" s="60"/>
      <c r="NDJ2481" s="60"/>
      <c r="NDK2481" s="60"/>
      <c r="NDL2481" s="60"/>
      <c r="NDM2481" s="60"/>
      <c r="NDN2481" s="61"/>
      <c r="NDO2481" s="54"/>
      <c r="NDP2481" s="54"/>
      <c r="NDQ2481" s="60"/>
      <c r="NDR2481" s="60"/>
      <c r="NDS2481" s="60"/>
      <c r="NDT2481" s="60"/>
      <c r="NDU2481" s="60"/>
      <c r="NDV2481" s="61"/>
      <c r="NDW2481" s="54"/>
      <c r="NDX2481" s="54"/>
      <c r="NDY2481" s="60"/>
      <c r="NDZ2481" s="60"/>
      <c r="NEA2481" s="60"/>
      <c r="NEB2481" s="60"/>
      <c r="NEC2481" s="60"/>
      <c r="NED2481" s="61"/>
      <c r="NEE2481" s="54"/>
      <c r="NEF2481" s="54"/>
      <c r="NEG2481" s="60"/>
      <c r="NEH2481" s="60"/>
      <c r="NEI2481" s="60"/>
      <c r="NEJ2481" s="60"/>
      <c r="NEK2481" s="60"/>
      <c r="NEL2481" s="61"/>
      <c r="NEM2481" s="54"/>
      <c r="NEN2481" s="54"/>
      <c r="NEO2481" s="60"/>
      <c r="NEP2481" s="60"/>
      <c r="NEQ2481" s="60"/>
      <c r="NER2481" s="60"/>
      <c r="NES2481" s="60"/>
      <c r="NET2481" s="61"/>
      <c r="NEU2481" s="54"/>
      <c r="NEV2481" s="54"/>
      <c r="NEW2481" s="60"/>
      <c r="NEX2481" s="60"/>
      <c r="NEY2481" s="60"/>
      <c r="NEZ2481" s="60"/>
      <c r="NFA2481" s="60"/>
      <c r="NFB2481" s="61"/>
      <c r="NFC2481" s="54"/>
      <c r="NFD2481" s="54"/>
      <c r="NFE2481" s="60"/>
      <c r="NFF2481" s="60"/>
      <c r="NFG2481" s="60"/>
      <c r="NFH2481" s="60"/>
      <c r="NFI2481" s="60"/>
      <c r="NFJ2481" s="61"/>
      <c r="NFK2481" s="54"/>
      <c r="NFL2481" s="54"/>
      <c r="NFM2481" s="60"/>
      <c r="NFN2481" s="60"/>
      <c r="NFO2481" s="60"/>
      <c r="NFP2481" s="60"/>
      <c r="NFQ2481" s="60"/>
      <c r="NFR2481" s="61"/>
      <c r="NFS2481" s="54"/>
      <c r="NFT2481" s="54"/>
      <c r="NFU2481" s="60"/>
      <c r="NFV2481" s="60"/>
      <c r="NFW2481" s="60"/>
      <c r="NFX2481" s="60"/>
      <c r="NFY2481" s="60"/>
      <c r="NFZ2481" s="61"/>
      <c r="NGA2481" s="54"/>
      <c r="NGB2481" s="54"/>
      <c r="NGC2481" s="60"/>
      <c r="NGD2481" s="60"/>
      <c r="NGE2481" s="60"/>
      <c r="NGF2481" s="60"/>
      <c r="NGG2481" s="60"/>
      <c r="NGH2481" s="61"/>
      <c r="NGI2481" s="54"/>
      <c r="NGJ2481" s="54"/>
      <c r="NGK2481" s="60"/>
      <c r="NGL2481" s="60"/>
      <c r="NGM2481" s="60"/>
      <c r="NGN2481" s="60"/>
      <c r="NGO2481" s="60"/>
      <c r="NGP2481" s="61"/>
      <c r="NGQ2481" s="54"/>
      <c r="NGR2481" s="54"/>
      <c r="NGS2481" s="60"/>
      <c r="NGT2481" s="60"/>
      <c r="NGU2481" s="60"/>
      <c r="NGV2481" s="60"/>
      <c r="NGW2481" s="60"/>
      <c r="NGX2481" s="61"/>
      <c r="NGY2481" s="54"/>
      <c r="NGZ2481" s="54"/>
      <c r="NHA2481" s="60"/>
      <c r="NHB2481" s="60"/>
      <c r="NHC2481" s="60"/>
      <c r="NHD2481" s="60"/>
      <c r="NHE2481" s="60"/>
      <c r="NHF2481" s="61"/>
      <c r="NHG2481" s="54"/>
      <c r="NHH2481" s="54"/>
      <c r="NHI2481" s="60"/>
      <c r="NHJ2481" s="60"/>
      <c r="NHK2481" s="60"/>
      <c r="NHL2481" s="60"/>
      <c r="NHM2481" s="60"/>
      <c r="NHN2481" s="61"/>
      <c r="NHO2481" s="54"/>
      <c r="NHP2481" s="54"/>
      <c r="NHQ2481" s="60"/>
      <c r="NHR2481" s="60"/>
      <c r="NHS2481" s="60"/>
      <c r="NHT2481" s="60"/>
      <c r="NHU2481" s="60"/>
      <c r="NHV2481" s="61"/>
      <c r="NHW2481" s="54"/>
      <c r="NHX2481" s="54"/>
      <c r="NHY2481" s="60"/>
      <c r="NHZ2481" s="60"/>
      <c r="NIA2481" s="60"/>
      <c r="NIB2481" s="60"/>
      <c r="NIC2481" s="60"/>
      <c r="NID2481" s="61"/>
      <c r="NIE2481" s="54"/>
      <c r="NIF2481" s="54"/>
      <c r="NIG2481" s="60"/>
      <c r="NIH2481" s="60"/>
      <c r="NII2481" s="60"/>
      <c r="NIJ2481" s="60"/>
      <c r="NIK2481" s="60"/>
      <c r="NIL2481" s="61"/>
      <c r="NIM2481" s="54"/>
      <c r="NIN2481" s="54"/>
      <c r="NIO2481" s="60"/>
      <c r="NIP2481" s="60"/>
      <c r="NIQ2481" s="60"/>
      <c r="NIR2481" s="60"/>
      <c r="NIS2481" s="60"/>
      <c r="NIT2481" s="61"/>
      <c r="NIU2481" s="54"/>
      <c r="NIV2481" s="54"/>
      <c r="NIW2481" s="60"/>
      <c r="NIX2481" s="60"/>
      <c r="NIY2481" s="60"/>
      <c r="NIZ2481" s="60"/>
      <c r="NJA2481" s="60"/>
      <c r="NJB2481" s="61"/>
      <c r="NJC2481" s="54"/>
      <c r="NJD2481" s="54"/>
      <c r="NJE2481" s="60"/>
      <c r="NJF2481" s="60"/>
      <c r="NJG2481" s="60"/>
      <c r="NJH2481" s="60"/>
      <c r="NJI2481" s="60"/>
      <c r="NJJ2481" s="61"/>
      <c r="NJK2481" s="54"/>
      <c r="NJL2481" s="54"/>
      <c r="NJM2481" s="60"/>
      <c r="NJN2481" s="60"/>
      <c r="NJO2481" s="60"/>
      <c r="NJP2481" s="60"/>
      <c r="NJQ2481" s="60"/>
      <c r="NJR2481" s="61"/>
      <c r="NJS2481" s="54"/>
      <c r="NJT2481" s="54"/>
      <c r="NJU2481" s="60"/>
      <c r="NJV2481" s="60"/>
      <c r="NJW2481" s="60"/>
      <c r="NJX2481" s="60"/>
      <c r="NJY2481" s="60"/>
      <c r="NJZ2481" s="61"/>
      <c r="NKA2481" s="54"/>
      <c r="NKB2481" s="54"/>
      <c r="NKC2481" s="60"/>
      <c r="NKD2481" s="60"/>
      <c r="NKE2481" s="60"/>
      <c r="NKF2481" s="60"/>
      <c r="NKG2481" s="60"/>
      <c r="NKH2481" s="61"/>
      <c r="NKI2481" s="54"/>
      <c r="NKJ2481" s="54"/>
      <c r="NKK2481" s="60"/>
      <c r="NKL2481" s="60"/>
      <c r="NKM2481" s="60"/>
      <c r="NKN2481" s="60"/>
      <c r="NKO2481" s="60"/>
      <c r="NKP2481" s="61"/>
      <c r="NKQ2481" s="54"/>
      <c r="NKR2481" s="54"/>
      <c r="NKS2481" s="60"/>
      <c r="NKT2481" s="60"/>
      <c r="NKU2481" s="60"/>
      <c r="NKV2481" s="60"/>
      <c r="NKW2481" s="60"/>
      <c r="NKX2481" s="61"/>
      <c r="NKY2481" s="54"/>
      <c r="NKZ2481" s="54"/>
      <c r="NLA2481" s="60"/>
      <c r="NLB2481" s="60"/>
      <c r="NLC2481" s="60"/>
      <c r="NLD2481" s="60"/>
      <c r="NLE2481" s="60"/>
      <c r="NLF2481" s="61"/>
      <c r="NLG2481" s="54"/>
      <c r="NLH2481" s="54"/>
      <c r="NLI2481" s="60"/>
      <c r="NLJ2481" s="60"/>
      <c r="NLK2481" s="60"/>
      <c r="NLL2481" s="60"/>
      <c r="NLM2481" s="60"/>
      <c r="NLN2481" s="61"/>
      <c r="NLO2481" s="54"/>
      <c r="NLP2481" s="54"/>
      <c r="NLQ2481" s="60"/>
      <c r="NLR2481" s="60"/>
      <c r="NLS2481" s="60"/>
      <c r="NLT2481" s="60"/>
      <c r="NLU2481" s="60"/>
      <c r="NLV2481" s="61"/>
      <c r="NLW2481" s="54"/>
      <c r="NLX2481" s="54"/>
      <c r="NLY2481" s="60"/>
      <c r="NLZ2481" s="60"/>
      <c r="NMA2481" s="60"/>
      <c r="NMB2481" s="60"/>
      <c r="NMC2481" s="60"/>
      <c r="NMD2481" s="61"/>
      <c r="NME2481" s="54"/>
      <c r="NMF2481" s="54"/>
      <c r="NMG2481" s="60"/>
      <c r="NMH2481" s="60"/>
      <c r="NMI2481" s="60"/>
      <c r="NMJ2481" s="60"/>
      <c r="NMK2481" s="60"/>
      <c r="NML2481" s="61"/>
      <c r="NMM2481" s="54"/>
      <c r="NMN2481" s="54"/>
      <c r="NMO2481" s="60"/>
      <c r="NMP2481" s="60"/>
      <c r="NMQ2481" s="60"/>
      <c r="NMR2481" s="60"/>
      <c r="NMS2481" s="60"/>
      <c r="NMT2481" s="61"/>
      <c r="NMU2481" s="54"/>
      <c r="NMV2481" s="54"/>
      <c r="NMW2481" s="60"/>
      <c r="NMX2481" s="60"/>
      <c r="NMY2481" s="60"/>
      <c r="NMZ2481" s="60"/>
      <c r="NNA2481" s="60"/>
      <c r="NNB2481" s="61"/>
      <c r="NNC2481" s="54"/>
      <c r="NND2481" s="54"/>
      <c r="NNE2481" s="60"/>
      <c r="NNF2481" s="60"/>
      <c r="NNG2481" s="60"/>
      <c r="NNH2481" s="60"/>
      <c r="NNI2481" s="60"/>
      <c r="NNJ2481" s="61"/>
      <c r="NNK2481" s="54"/>
      <c r="NNL2481" s="54"/>
      <c r="NNM2481" s="60"/>
      <c r="NNN2481" s="60"/>
      <c r="NNO2481" s="60"/>
      <c r="NNP2481" s="60"/>
      <c r="NNQ2481" s="60"/>
      <c r="NNR2481" s="61"/>
      <c r="NNS2481" s="54"/>
      <c r="NNT2481" s="54"/>
      <c r="NNU2481" s="60"/>
      <c r="NNV2481" s="60"/>
      <c r="NNW2481" s="60"/>
      <c r="NNX2481" s="60"/>
      <c r="NNY2481" s="60"/>
      <c r="NNZ2481" s="61"/>
      <c r="NOA2481" s="54"/>
      <c r="NOB2481" s="54"/>
      <c r="NOC2481" s="60"/>
      <c r="NOD2481" s="60"/>
      <c r="NOE2481" s="60"/>
      <c r="NOF2481" s="60"/>
      <c r="NOG2481" s="60"/>
      <c r="NOH2481" s="61"/>
      <c r="NOI2481" s="54"/>
      <c r="NOJ2481" s="54"/>
      <c r="NOK2481" s="60"/>
      <c r="NOL2481" s="60"/>
      <c r="NOM2481" s="60"/>
      <c r="NON2481" s="60"/>
      <c r="NOO2481" s="60"/>
      <c r="NOP2481" s="61"/>
      <c r="NOQ2481" s="54"/>
      <c r="NOR2481" s="54"/>
      <c r="NOS2481" s="60"/>
      <c r="NOT2481" s="60"/>
      <c r="NOU2481" s="60"/>
      <c r="NOV2481" s="60"/>
      <c r="NOW2481" s="60"/>
      <c r="NOX2481" s="61"/>
      <c r="NOY2481" s="54"/>
      <c r="NOZ2481" s="54"/>
      <c r="NPA2481" s="60"/>
      <c r="NPB2481" s="60"/>
      <c r="NPC2481" s="60"/>
      <c r="NPD2481" s="60"/>
      <c r="NPE2481" s="60"/>
      <c r="NPF2481" s="61"/>
      <c r="NPG2481" s="54"/>
      <c r="NPH2481" s="54"/>
      <c r="NPI2481" s="60"/>
      <c r="NPJ2481" s="60"/>
      <c r="NPK2481" s="60"/>
      <c r="NPL2481" s="60"/>
      <c r="NPM2481" s="60"/>
      <c r="NPN2481" s="61"/>
      <c r="NPO2481" s="54"/>
      <c r="NPP2481" s="54"/>
      <c r="NPQ2481" s="60"/>
      <c r="NPR2481" s="60"/>
      <c r="NPS2481" s="60"/>
      <c r="NPT2481" s="60"/>
      <c r="NPU2481" s="60"/>
      <c r="NPV2481" s="61"/>
      <c r="NPW2481" s="54"/>
      <c r="NPX2481" s="54"/>
      <c r="NPY2481" s="60"/>
      <c r="NPZ2481" s="60"/>
      <c r="NQA2481" s="60"/>
      <c r="NQB2481" s="60"/>
      <c r="NQC2481" s="60"/>
      <c r="NQD2481" s="61"/>
      <c r="NQE2481" s="54"/>
      <c r="NQF2481" s="54"/>
      <c r="NQG2481" s="60"/>
      <c r="NQH2481" s="60"/>
      <c r="NQI2481" s="60"/>
      <c r="NQJ2481" s="60"/>
      <c r="NQK2481" s="60"/>
      <c r="NQL2481" s="61"/>
      <c r="NQM2481" s="54"/>
      <c r="NQN2481" s="54"/>
      <c r="NQO2481" s="60"/>
      <c r="NQP2481" s="60"/>
      <c r="NQQ2481" s="60"/>
      <c r="NQR2481" s="60"/>
      <c r="NQS2481" s="60"/>
      <c r="NQT2481" s="61"/>
      <c r="NQU2481" s="54"/>
      <c r="NQV2481" s="54"/>
      <c r="NQW2481" s="60"/>
      <c r="NQX2481" s="60"/>
      <c r="NQY2481" s="60"/>
      <c r="NQZ2481" s="60"/>
      <c r="NRA2481" s="60"/>
      <c r="NRB2481" s="61"/>
      <c r="NRC2481" s="54"/>
      <c r="NRD2481" s="54"/>
      <c r="NRE2481" s="60"/>
      <c r="NRF2481" s="60"/>
      <c r="NRG2481" s="60"/>
      <c r="NRH2481" s="60"/>
      <c r="NRI2481" s="60"/>
      <c r="NRJ2481" s="61"/>
      <c r="NRK2481" s="54"/>
      <c r="NRL2481" s="54"/>
      <c r="NRM2481" s="60"/>
      <c r="NRN2481" s="60"/>
      <c r="NRO2481" s="60"/>
      <c r="NRP2481" s="60"/>
      <c r="NRQ2481" s="60"/>
      <c r="NRR2481" s="61"/>
      <c r="NRS2481" s="54"/>
      <c r="NRT2481" s="54"/>
      <c r="NRU2481" s="60"/>
      <c r="NRV2481" s="60"/>
      <c r="NRW2481" s="60"/>
      <c r="NRX2481" s="60"/>
      <c r="NRY2481" s="60"/>
      <c r="NRZ2481" s="61"/>
      <c r="NSA2481" s="54"/>
      <c r="NSB2481" s="54"/>
      <c r="NSC2481" s="60"/>
      <c r="NSD2481" s="60"/>
      <c r="NSE2481" s="60"/>
      <c r="NSF2481" s="60"/>
      <c r="NSG2481" s="60"/>
      <c r="NSH2481" s="61"/>
      <c r="NSI2481" s="54"/>
      <c r="NSJ2481" s="54"/>
      <c r="NSK2481" s="60"/>
      <c r="NSL2481" s="60"/>
      <c r="NSM2481" s="60"/>
      <c r="NSN2481" s="60"/>
      <c r="NSO2481" s="60"/>
      <c r="NSP2481" s="61"/>
      <c r="NSQ2481" s="54"/>
      <c r="NSR2481" s="54"/>
      <c r="NSS2481" s="60"/>
      <c r="NST2481" s="60"/>
      <c r="NSU2481" s="60"/>
      <c r="NSV2481" s="60"/>
      <c r="NSW2481" s="60"/>
      <c r="NSX2481" s="61"/>
      <c r="NSY2481" s="54"/>
      <c r="NSZ2481" s="54"/>
      <c r="NTA2481" s="60"/>
      <c r="NTB2481" s="60"/>
      <c r="NTC2481" s="60"/>
      <c r="NTD2481" s="60"/>
      <c r="NTE2481" s="60"/>
      <c r="NTF2481" s="61"/>
      <c r="NTG2481" s="54"/>
      <c r="NTH2481" s="54"/>
      <c r="NTI2481" s="60"/>
      <c r="NTJ2481" s="60"/>
      <c r="NTK2481" s="60"/>
      <c r="NTL2481" s="60"/>
      <c r="NTM2481" s="60"/>
      <c r="NTN2481" s="61"/>
      <c r="NTO2481" s="54"/>
      <c r="NTP2481" s="54"/>
      <c r="NTQ2481" s="60"/>
      <c r="NTR2481" s="60"/>
      <c r="NTS2481" s="60"/>
      <c r="NTT2481" s="60"/>
      <c r="NTU2481" s="60"/>
      <c r="NTV2481" s="61"/>
      <c r="NTW2481" s="54"/>
      <c r="NTX2481" s="54"/>
      <c r="NTY2481" s="60"/>
      <c r="NTZ2481" s="60"/>
      <c r="NUA2481" s="60"/>
      <c r="NUB2481" s="60"/>
      <c r="NUC2481" s="60"/>
      <c r="NUD2481" s="61"/>
      <c r="NUE2481" s="54"/>
      <c r="NUF2481" s="54"/>
      <c r="NUG2481" s="60"/>
      <c r="NUH2481" s="60"/>
      <c r="NUI2481" s="60"/>
      <c r="NUJ2481" s="60"/>
      <c r="NUK2481" s="60"/>
      <c r="NUL2481" s="61"/>
      <c r="NUM2481" s="54"/>
      <c r="NUN2481" s="54"/>
      <c r="NUO2481" s="60"/>
      <c r="NUP2481" s="60"/>
      <c r="NUQ2481" s="60"/>
      <c r="NUR2481" s="60"/>
      <c r="NUS2481" s="60"/>
      <c r="NUT2481" s="61"/>
      <c r="NUU2481" s="54"/>
      <c r="NUV2481" s="54"/>
      <c r="NUW2481" s="60"/>
      <c r="NUX2481" s="60"/>
      <c r="NUY2481" s="60"/>
      <c r="NUZ2481" s="60"/>
      <c r="NVA2481" s="60"/>
      <c r="NVB2481" s="61"/>
      <c r="NVC2481" s="54"/>
      <c r="NVD2481" s="54"/>
      <c r="NVE2481" s="60"/>
      <c r="NVF2481" s="60"/>
      <c r="NVG2481" s="60"/>
      <c r="NVH2481" s="60"/>
      <c r="NVI2481" s="60"/>
      <c r="NVJ2481" s="61"/>
      <c r="NVK2481" s="54"/>
      <c r="NVL2481" s="54"/>
      <c r="NVM2481" s="60"/>
      <c r="NVN2481" s="60"/>
      <c r="NVO2481" s="60"/>
      <c r="NVP2481" s="60"/>
      <c r="NVQ2481" s="60"/>
      <c r="NVR2481" s="61"/>
      <c r="NVS2481" s="54"/>
      <c r="NVT2481" s="54"/>
      <c r="NVU2481" s="60"/>
      <c r="NVV2481" s="60"/>
      <c r="NVW2481" s="60"/>
      <c r="NVX2481" s="60"/>
      <c r="NVY2481" s="60"/>
      <c r="NVZ2481" s="61"/>
      <c r="NWA2481" s="54"/>
      <c r="NWB2481" s="54"/>
      <c r="NWC2481" s="60"/>
      <c r="NWD2481" s="60"/>
      <c r="NWE2481" s="60"/>
      <c r="NWF2481" s="60"/>
      <c r="NWG2481" s="60"/>
      <c r="NWH2481" s="61"/>
      <c r="NWI2481" s="54"/>
      <c r="NWJ2481" s="54"/>
      <c r="NWK2481" s="60"/>
      <c r="NWL2481" s="60"/>
      <c r="NWM2481" s="60"/>
      <c r="NWN2481" s="60"/>
      <c r="NWO2481" s="60"/>
      <c r="NWP2481" s="61"/>
      <c r="NWQ2481" s="54"/>
      <c r="NWR2481" s="54"/>
      <c r="NWS2481" s="60"/>
      <c r="NWT2481" s="60"/>
      <c r="NWU2481" s="60"/>
      <c r="NWV2481" s="60"/>
      <c r="NWW2481" s="60"/>
      <c r="NWX2481" s="61"/>
      <c r="NWY2481" s="54"/>
      <c r="NWZ2481" s="54"/>
      <c r="NXA2481" s="60"/>
      <c r="NXB2481" s="60"/>
      <c r="NXC2481" s="60"/>
      <c r="NXD2481" s="60"/>
      <c r="NXE2481" s="60"/>
      <c r="NXF2481" s="61"/>
      <c r="NXG2481" s="54"/>
      <c r="NXH2481" s="54"/>
      <c r="NXI2481" s="60"/>
      <c r="NXJ2481" s="60"/>
      <c r="NXK2481" s="60"/>
      <c r="NXL2481" s="60"/>
      <c r="NXM2481" s="60"/>
      <c r="NXN2481" s="61"/>
      <c r="NXO2481" s="54"/>
      <c r="NXP2481" s="54"/>
      <c r="NXQ2481" s="60"/>
      <c r="NXR2481" s="60"/>
      <c r="NXS2481" s="60"/>
      <c r="NXT2481" s="60"/>
      <c r="NXU2481" s="60"/>
      <c r="NXV2481" s="61"/>
      <c r="NXW2481" s="54"/>
      <c r="NXX2481" s="54"/>
      <c r="NXY2481" s="60"/>
      <c r="NXZ2481" s="60"/>
      <c r="NYA2481" s="60"/>
      <c r="NYB2481" s="60"/>
      <c r="NYC2481" s="60"/>
      <c r="NYD2481" s="61"/>
      <c r="NYE2481" s="54"/>
      <c r="NYF2481" s="54"/>
      <c r="NYG2481" s="60"/>
      <c r="NYH2481" s="60"/>
      <c r="NYI2481" s="60"/>
      <c r="NYJ2481" s="60"/>
      <c r="NYK2481" s="60"/>
      <c r="NYL2481" s="61"/>
      <c r="NYM2481" s="54"/>
      <c r="NYN2481" s="54"/>
      <c r="NYO2481" s="60"/>
      <c r="NYP2481" s="60"/>
      <c r="NYQ2481" s="60"/>
      <c r="NYR2481" s="60"/>
      <c r="NYS2481" s="60"/>
      <c r="NYT2481" s="61"/>
      <c r="NYU2481" s="54"/>
      <c r="NYV2481" s="54"/>
      <c r="NYW2481" s="60"/>
      <c r="NYX2481" s="60"/>
      <c r="NYY2481" s="60"/>
      <c r="NYZ2481" s="60"/>
      <c r="NZA2481" s="60"/>
      <c r="NZB2481" s="61"/>
      <c r="NZC2481" s="54"/>
      <c r="NZD2481" s="54"/>
      <c r="NZE2481" s="60"/>
      <c r="NZF2481" s="60"/>
      <c r="NZG2481" s="60"/>
      <c r="NZH2481" s="60"/>
      <c r="NZI2481" s="60"/>
      <c r="NZJ2481" s="61"/>
      <c r="NZK2481" s="54"/>
      <c r="NZL2481" s="54"/>
      <c r="NZM2481" s="60"/>
      <c r="NZN2481" s="60"/>
      <c r="NZO2481" s="60"/>
      <c r="NZP2481" s="60"/>
      <c r="NZQ2481" s="60"/>
      <c r="NZR2481" s="61"/>
      <c r="NZS2481" s="54"/>
      <c r="NZT2481" s="54"/>
      <c r="NZU2481" s="60"/>
      <c r="NZV2481" s="60"/>
      <c r="NZW2481" s="60"/>
      <c r="NZX2481" s="60"/>
      <c r="NZY2481" s="60"/>
      <c r="NZZ2481" s="61"/>
      <c r="OAA2481" s="54"/>
      <c r="OAB2481" s="54"/>
      <c r="OAC2481" s="60"/>
      <c r="OAD2481" s="60"/>
      <c r="OAE2481" s="60"/>
      <c r="OAF2481" s="60"/>
      <c r="OAG2481" s="60"/>
      <c r="OAH2481" s="61"/>
      <c r="OAI2481" s="54"/>
      <c r="OAJ2481" s="54"/>
      <c r="OAK2481" s="60"/>
      <c r="OAL2481" s="60"/>
      <c r="OAM2481" s="60"/>
      <c r="OAN2481" s="60"/>
      <c r="OAO2481" s="60"/>
      <c r="OAP2481" s="61"/>
      <c r="OAQ2481" s="54"/>
      <c r="OAR2481" s="54"/>
      <c r="OAS2481" s="60"/>
      <c r="OAT2481" s="60"/>
      <c r="OAU2481" s="60"/>
      <c r="OAV2481" s="60"/>
      <c r="OAW2481" s="60"/>
      <c r="OAX2481" s="61"/>
      <c r="OAY2481" s="54"/>
      <c r="OAZ2481" s="54"/>
      <c r="OBA2481" s="60"/>
      <c r="OBB2481" s="60"/>
      <c r="OBC2481" s="60"/>
      <c r="OBD2481" s="60"/>
      <c r="OBE2481" s="60"/>
      <c r="OBF2481" s="61"/>
      <c r="OBG2481" s="54"/>
      <c r="OBH2481" s="54"/>
      <c r="OBI2481" s="60"/>
      <c r="OBJ2481" s="60"/>
      <c r="OBK2481" s="60"/>
      <c r="OBL2481" s="60"/>
      <c r="OBM2481" s="60"/>
      <c r="OBN2481" s="61"/>
      <c r="OBO2481" s="54"/>
      <c r="OBP2481" s="54"/>
      <c r="OBQ2481" s="60"/>
      <c r="OBR2481" s="60"/>
      <c r="OBS2481" s="60"/>
      <c r="OBT2481" s="60"/>
      <c r="OBU2481" s="60"/>
      <c r="OBV2481" s="61"/>
      <c r="OBW2481" s="54"/>
      <c r="OBX2481" s="54"/>
      <c r="OBY2481" s="60"/>
      <c r="OBZ2481" s="60"/>
      <c r="OCA2481" s="60"/>
      <c r="OCB2481" s="60"/>
      <c r="OCC2481" s="60"/>
      <c r="OCD2481" s="61"/>
      <c r="OCE2481" s="54"/>
      <c r="OCF2481" s="54"/>
      <c r="OCG2481" s="60"/>
      <c r="OCH2481" s="60"/>
      <c r="OCI2481" s="60"/>
      <c r="OCJ2481" s="60"/>
      <c r="OCK2481" s="60"/>
      <c r="OCL2481" s="61"/>
      <c r="OCM2481" s="54"/>
      <c r="OCN2481" s="54"/>
      <c r="OCO2481" s="60"/>
      <c r="OCP2481" s="60"/>
      <c r="OCQ2481" s="60"/>
      <c r="OCR2481" s="60"/>
      <c r="OCS2481" s="60"/>
      <c r="OCT2481" s="61"/>
      <c r="OCU2481" s="54"/>
      <c r="OCV2481" s="54"/>
      <c r="OCW2481" s="60"/>
      <c r="OCX2481" s="60"/>
      <c r="OCY2481" s="60"/>
      <c r="OCZ2481" s="60"/>
      <c r="ODA2481" s="60"/>
      <c r="ODB2481" s="61"/>
      <c r="ODC2481" s="54"/>
      <c r="ODD2481" s="54"/>
      <c r="ODE2481" s="60"/>
      <c r="ODF2481" s="60"/>
      <c r="ODG2481" s="60"/>
      <c r="ODH2481" s="60"/>
      <c r="ODI2481" s="60"/>
      <c r="ODJ2481" s="61"/>
      <c r="ODK2481" s="54"/>
      <c r="ODL2481" s="54"/>
      <c r="ODM2481" s="60"/>
      <c r="ODN2481" s="60"/>
      <c r="ODO2481" s="60"/>
      <c r="ODP2481" s="60"/>
      <c r="ODQ2481" s="60"/>
      <c r="ODR2481" s="61"/>
      <c r="ODS2481" s="54"/>
      <c r="ODT2481" s="54"/>
      <c r="ODU2481" s="60"/>
      <c r="ODV2481" s="60"/>
      <c r="ODW2481" s="60"/>
      <c r="ODX2481" s="60"/>
      <c r="ODY2481" s="60"/>
      <c r="ODZ2481" s="61"/>
      <c r="OEA2481" s="54"/>
      <c r="OEB2481" s="54"/>
      <c r="OEC2481" s="60"/>
      <c r="OED2481" s="60"/>
      <c r="OEE2481" s="60"/>
      <c r="OEF2481" s="60"/>
      <c r="OEG2481" s="60"/>
      <c r="OEH2481" s="61"/>
      <c r="OEI2481" s="54"/>
      <c r="OEJ2481" s="54"/>
      <c r="OEK2481" s="60"/>
      <c r="OEL2481" s="60"/>
      <c r="OEM2481" s="60"/>
      <c r="OEN2481" s="60"/>
      <c r="OEO2481" s="60"/>
      <c r="OEP2481" s="61"/>
      <c r="OEQ2481" s="54"/>
      <c r="OER2481" s="54"/>
      <c r="OES2481" s="60"/>
      <c r="OET2481" s="60"/>
      <c r="OEU2481" s="60"/>
      <c r="OEV2481" s="60"/>
      <c r="OEW2481" s="60"/>
      <c r="OEX2481" s="61"/>
      <c r="OEY2481" s="54"/>
      <c r="OEZ2481" s="54"/>
      <c r="OFA2481" s="60"/>
      <c r="OFB2481" s="60"/>
      <c r="OFC2481" s="60"/>
      <c r="OFD2481" s="60"/>
      <c r="OFE2481" s="60"/>
      <c r="OFF2481" s="61"/>
      <c r="OFG2481" s="54"/>
      <c r="OFH2481" s="54"/>
      <c r="OFI2481" s="60"/>
      <c r="OFJ2481" s="60"/>
      <c r="OFK2481" s="60"/>
      <c r="OFL2481" s="60"/>
      <c r="OFM2481" s="60"/>
      <c r="OFN2481" s="61"/>
      <c r="OFO2481" s="54"/>
      <c r="OFP2481" s="54"/>
      <c r="OFQ2481" s="60"/>
      <c r="OFR2481" s="60"/>
      <c r="OFS2481" s="60"/>
      <c r="OFT2481" s="60"/>
      <c r="OFU2481" s="60"/>
      <c r="OFV2481" s="61"/>
      <c r="OFW2481" s="54"/>
      <c r="OFX2481" s="54"/>
      <c r="OFY2481" s="60"/>
      <c r="OFZ2481" s="60"/>
      <c r="OGA2481" s="60"/>
      <c r="OGB2481" s="60"/>
      <c r="OGC2481" s="60"/>
      <c r="OGD2481" s="61"/>
      <c r="OGE2481" s="54"/>
      <c r="OGF2481" s="54"/>
      <c r="OGG2481" s="60"/>
      <c r="OGH2481" s="60"/>
      <c r="OGI2481" s="60"/>
      <c r="OGJ2481" s="60"/>
      <c r="OGK2481" s="60"/>
      <c r="OGL2481" s="61"/>
      <c r="OGM2481" s="54"/>
      <c r="OGN2481" s="54"/>
      <c r="OGO2481" s="60"/>
      <c r="OGP2481" s="60"/>
      <c r="OGQ2481" s="60"/>
      <c r="OGR2481" s="60"/>
      <c r="OGS2481" s="60"/>
      <c r="OGT2481" s="61"/>
      <c r="OGU2481" s="54"/>
      <c r="OGV2481" s="54"/>
      <c r="OGW2481" s="60"/>
      <c r="OGX2481" s="60"/>
      <c r="OGY2481" s="60"/>
      <c r="OGZ2481" s="60"/>
      <c r="OHA2481" s="60"/>
      <c r="OHB2481" s="61"/>
      <c r="OHC2481" s="54"/>
      <c r="OHD2481" s="54"/>
      <c r="OHE2481" s="60"/>
      <c r="OHF2481" s="60"/>
      <c r="OHG2481" s="60"/>
      <c r="OHH2481" s="60"/>
      <c r="OHI2481" s="60"/>
      <c r="OHJ2481" s="61"/>
      <c r="OHK2481" s="54"/>
      <c r="OHL2481" s="54"/>
      <c r="OHM2481" s="60"/>
      <c r="OHN2481" s="60"/>
      <c r="OHO2481" s="60"/>
      <c r="OHP2481" s="60"/>
      <c r="OHQ2481" s="60"/>
      <c r="OHR2481" s="61"/>
      <c r="OHS2481" s="54"/>
      <c r="OHT2481" s="54"/>
      <c r="OHU2481" s="60"/>
      <c r="OHV2481" s="60"/>
      <c r="OHW2481" s="60"/>
      <c r="OHX2481" s="60"/>
      <c r="OHY2481" s="60"/>
      <c r="OHZ2481" s="61"/>
      <c r="OIA2481" s="54"/>
      <c r="OIB2481" s="54"/>
      <c r="OIC2481" s="60"/>
      <c r="OID2481" s="60"/>
      <c r="OIE2481" s="60"/>
      <c r="OIF2481" s="60"/>
      <c r="OIG2481" s="60"/>
      <c r="OIH2481" s="61"/>
      <c r="OII2481" s="54"/>
      <c r="OIJ2481" s="54"/>
      <c r="OIK2481" s="60"/>
      <c r="OIL2481" s="60"/>
      <c r="OIM2481" s="60"/>
      <c r="OIN2481" s="60"/>
      <c r="OIO2481" s="60"/>
      <c r="OIP2481" s="61"/>
      <c r="OIQ2481" s="54"/>
      <c r="OIR2481" s="54"/>
      <c r="OIS2481" s="60"/>
      <c r="OIT2481" s="60"/>
      <c r="OIU2481" s="60"/>
      <c r="OIV2481" s="60"/>
      <c r="OIW2481" s="60"/>
      <c r="OIX2481" s="61"/>
      <c r="OIY2481" s="54"/>
      <c r="OIZ2481" s="54"/>
      <c r="OJA2481" s="60"/>
      <c r="OJB2481" s="60"/>
      <c r="OJC2481" s="60"/>
      <c r="OJD2481" s="60"/>
      <c r="OJE2481" s="60"/>
      <c r="OJF2481" s="61"/>
      <c r="OJG2481" s="54"/>
      <c r="OJH2481" s="54"/>
      <c r="OJI2481" s="60"/>
      <c r="OJJ2481" s="60"/>
      <c r="OJK2481" s="60"/>
      <c r="OJL2481" s="60"/>
      <c r="OJM2481" s="60"/>
      <c r="OJN2481" s="61"/>
      <c r="OJO2481" s="54"/>
      <c r="OJP2481" s="54"/>
      <c r="OJQ2481" s="60"/>
      <c r="OJR2481" s="60"/>
      <c r="OJS2481" s="60"/>
      <c r="OJT2481" s="60"/>
      <c r="OJU2481" s="60"/>
      <c r="OJV2481" s="61"/>
      <c r="OJW2481" s="54"/>
      <c r="OJX2481" s="54"/>
      <c r="OJY2481" s="60"/>
      <c r="OJZ2481" s="60"/>
      <c r="OKA2481" s="60"/>
      <c r="OKB2481" s="60"/>
      <c r="OKC2481" s="60"/>
      <c r="OKD2481" s="61"/>
      <c r="OKE2481" s="54"/>
      <c r="OKF2481" s="54"/>
      <c r="OKG2481" s="60"/>
      <c r="OKH2481" s="60"/>
      <c r="OKI2481" s="60"/>
      <c r="OKJ2481" s="60"/>
      <c r="OKK2481" s="60"/>
      <c r="OKL2481" s="61"/>
      <c r="OKM2481" s="54"/>
      <c r="OKN2481" s="54"/>
      <c r="OKO2481" s="60"/>
      <c r="OKP2481" s="60"/>
      <c r="OKQ2481" s="60"/>
      <c r="OKR2481" s="60"/>
      <c r="OKS2481" s="60"/>
      <c r="OKT2481" s="61"/>
      <c r="OKU2481" s="54"/>
      <c r="OKV2481" s="54"/>
      <c r="OKW2481" s="60"/>
      <c r="OKX2481" s="60"/>
      <c r="OKY2481" s="60"/>
      <c r="OKZ2481" s="60"/>
      <c r="OLA2481" s="60"/>
      <c r="OLB2481" s="61"/>
      <c r="OLC2481" s="54"/>
      <c r="OLD2481" s="54"/>
      <c r="OLE2481" s="60"/>
      <c r="OLF2481" s="60"/>
      <c r="OLG2481" s="60"/>
      <c r="OLH2481" s="60"/>
      <c r="OLI2481" s="60"/>
      <c r="OLJ2481" s="61"/>
      <c r="OLK2481" s="54"/>
      <c r="OLL2481" s="54"/>
      <c r="OLM2481" s="60"/>
      <c r="OLN2481" s="60"/>
      <c r="OLO2481" s="60"/>
      <c r="OLP2481" s="60"/>
      <c r="OLQ2481" s="60"/>
      <c r="OLR2481" s="61"/>
      <c r="OLS2481" s="54"/>
      <c r="OLT2481" s="54"/>
      <c r="OLU2481" s="60"/>
      <c r="OLV2481" s="60"/>
      <c r="OLW2481" s="60"/>
      <c r="OLX2481" s="60"/>
      <c r="OLY2481" s="60"/>
      <c r="OLZ2481" s="61"/>
      <c r="OMA2481" s="54"/>
      <c r="OMB2481" s="54"/>
      <c r="OMC2481" s="60"/>
      <c r="OMD2481" s="60"/>
      <c r="OME2481" s="60"/>
      <c r="OMF2481" s="60"/>
      <c r="OMG2481" s="60"/>
      <c r="OMH2481" s="61"/>
      <c r="OMI2481" s="54"/>
      <c r="OMJ2481" s="54"/>
      <c r="OMK2481" s="60"/>
      <c r="OML2481" s="60"/>
      <c r="OMM2481" s="60"/>
      <c r="OMN2481" s="60"/>
      <c r="OMO2481" s="60"/>
      <c r="OMP2481" s="61"/>
      <c r="OMQ2481" s="54"/>
      <c r="OMR2481" s="54"/>
      <c r="OMS2481" s="60"/>
      <c r="OMT2481" s="60"/>
      <c r="OMU2481" s="60"/>
      <c r="OMV2481" s="60"/>
      <c r="OMW2481" s="60"/>
      <c r="OMX2481" s="61"/>
      <c r="OMY2481" s="54"/>
      <c r="OMZ2481" s="54"/>
      <c r="ONA2481" s="60"/>
      <c r="ONB2481" s="60"/>
      <c r="ONC2481" s="60"/>
      <c r="OND2481" s="60"/>
      <c r="ONE2481" s="60"/>
      <c r="ONF2481" s="61"/>
      <c r="ONG2481" s="54"/>
      <c r="ONH2481" s="54"/>
      <c r="ONI2481" s="60"/>
      <c r="ONJ2481" s="60"/>
      <c r="ONK2481" s="60"/>
      <c r="ONL2481" s="60"/>
      <c r="ONM2481" s="60"/>
      <c r="ONN2481" s="61"/>
      <c r="ONO2481" s="54"/>
      <c r="ONP2481" s="54"/>
      <c r="ONQ2481" s="60"/>
      <c r="ONR2481" s="60"/>
      <c r="ONS2481" s="60"/>
      <c r="ONT2481" s="60"/>
      <c r="ONU2481" s="60"/>
      <c r="ONV2481" s="61"/>
      <c r="ONW2481" s="54"/>
      <c r="ONX2481" s="54"/>
      <c r="ONY2481" s="60"/>
      <c r="ONZ2481" s="60"/>
      <c r="OOA2481" s="60"/>
      <c r="OOB2481" s="60"/>
      <c r="OOC2481" s="60"/>
      <c r="OOD2481" s="61"/>
      <c r="OOE2481" s="54"/>
      <c r="OOF2481" s="54"/>
      <c r="OOG2481" s="60"/>
      <c r="OOH2481" s="60"/>
      <c r="OOI2481" s="60"/>
      <c r="OOJ2481" s="60"/>
      <c r="OOK2481" s="60"/>
      <c r="OOL2481" s="61"/>
      <c r="OOM2481" s="54"/>
      <c r="OON2481" s="54"/>
      <c r="OOO2481" s="60"/>
      <c r="OOP2481" s="60"/>
      <c r="OOQ2481" s="60"/>
      <c r="OOR2481" s="60"/>
      <c r="OOS2481" s="60"/>
      <c r="OOT2481" s="61"/>
      <c r="OOU2481" s="54"/>
      <c r="OOV2481" s="54"/>
      <c r="OOW2481" s="60"/>
      <c r="OOX2481" s="60"/>
      <c r="OOY2481" s="60"/>
      <c r="OOZ2481" s="60"/>
      <c r="OPA2481" s="60"/>
      <c r="OPB2481" s="61"/>
      <c r="OPC2481" s="54"/>
      <c r="OPD2481" s="54"/>
      <c r="OPE2481" s="60"/>
      <c r="OPF2481" s="60"/>
      <c r="OPG2481" s="60"/>
      <c r="OPH2481" s="60"/>
      <c r="OPI2481" s="60"/>
      <c r="OPJ2481" s="61"/>
      <c r="OPK2481" s="54"/>
      <c r="OPL2481" s="54"/>
      <c r="OPM2481" s="60"/>
      <c r="OPN2481" s="60"/>
      <c r="OPO2481" s="60"/>
      <c r="OPP2481" s="60"/>
      <c r="OPQ2481" s="60"/>
      <c r="OPR2481" s="61"/>
      <c r="OPS2481" s="54"/>
      <c r="OPT2481" s="54"/>
      <c r="OPU2481" s="60"/>
      <c r="OPV2481" s="60"/>
      <c r="OPW2481" s="60"/>
      <c r="OPX2481" s="60"/>
      <c r="OPY2481" s="60"/>
      <c r="OPZ2481" s="61"/>
      <c r="OQA2481" s="54"/>
      <c r="OQB2481" s="54"/>
      <c r="OQC2481" s="60"/>
      <c r="OQD2481" s="60"/>
      <c r="OQE2481" s="60"/>
      <c r="OQF2481" s="60"/>
      <c r="OQG2481" s="60"/>
      <c r="OQH2481" s="61"/>
      <c r="OQI2481" s="54"/>
      <c r="OQJ2481" s="54"/>
      <c r="OQK2481" s="60"/>
      <c r="OQL2481" s="60"/>
      <c r="OQM2481" s="60"/>
      <c r="OQN2481" s="60"/>
      <c r="OQO2481" s="60"/>
      <c r="OQP2481" s="61"/>
      <c r="OQQ2481" s="54"/>
      <c r="OQR2481" s="54"/>
      <c r="OQS2481" s="60"/>
      <c r="OQT2481" s="60"/>
      <c r="OQU2481" s="60"/>
      <c r="OQV2481" s="60"/>
      <c r="OQW2481" s="60"/>
      <c r="OQX2481" s="61"/>
      <c r="OQY2481" s="54"/>
      <c r="OQZ2481" s="54"/>
      <c r="ORA2481" s="60"/>
      <c r="ORB2481" s="60"/>
      <c r="ORC2481" s="60"/>
      <c r="ORD2481" s="60"/>
      <c r="ORE2481" s="60"/>
      <c r="ORF2481" s="61"/>
      <c r="ORG2481" s="54"/>
      <c r="ORH2481" s="54"/>
      <c r="ORI2481" s="60"/>
      <c r="ORJ2481" s="60"/>
      <c r="ORK2481" s="60"/>
      <c r="ORL2481" s="60"/>
      <c r="ORM2481" s="60"/>
      <c r="ORN2481" s="61"/>
      <c r="ORO2481" s="54"/>
      <c r="ORP2481" s="54"/>
      <c r="ORQ2481" s="60"/>
      <c r="ORR2481" s="60"/>
      <c r="ORS2481" s="60"/>
      <c r="ORT2481" s="60"/>
      <c r="ORU2481" s="60"/>
      <c r="ORV2481" s="61"/>
      <c r="ORW2481" s="54"/>
      <c r="ORX2481" s="54"/>
      <c r="ORY2481" s="60"/>
      <c r="ORZ2481" s="60"/>
      <c r="OSA2481" s="60"/>
      <c r="OSB2481" s="60"/>
      <c r="OSC2481" s="60"/>
      <c r="OSD2481" s="61"/>
      <c r="OSE2481" s="54"/>
      <c r="OSF2481" s="54"/>
      <c r="OSG2481" s="60"/>
      <c r="OSH2481" s="60"/>
      <c r="OSI2481" s="60"/>
      <c r="OSJ2481" s="60"/>
      <c r="OSK2481" s="60"/>
      <c r="OSL2481" s="61"/>
      <c r="OSM2481" s="54"/>
      <c r="OSN2481" s="54"/>
      <c r="OSO2481" s="60"/>
      <c r="OSP2481" s="60"/>
      <c r="OSQ2481" s="60"/>
      <c r="OSR2481" s="60"/>
      <c r="OSS2481" s="60"/>
      <c r="OST2481" s="61"/>
      <c r="OSU2481" s="54"/>
      <c r="OSV2481" s="54"/>
      <c r="OSW2481" s="60"/>
      <c r="OSX2481" s="60"/>
      <c r="OSY2481" s="60"/>
      <c r="OSZ2481" s="60"/>
      <c r="OTA2481" s="60"/>
      <c r="OTB2481" s="61"/>
      <c r="OTC2481" s="54"/>
      <c r="OTD2481" s="54"/>
      <c r="OTE2481" s="60"/>
      <c r="OTF2481" s="60"/>
      <c r="OTG2481" s="60"/>
      <c r="OTH2481" s="60"/>
      <c r="OTI2481" s="60"/>
      <c r="OTJ2481" s="61"/>
      <c r="OTK2481" s="54"/>
      <c r="OTL2481" s="54"/>
      <c r="OTM2481" s="60"/>
      <c r="OTN2481" s="60"/>
      <c r="OTO2481" s="60"/>
      <c r="OTP2481" s="60"/>
      <c r="OTQ2481" s="60"/>
      <c r="OTR2481" s="61"/>
      <c r="OTS2481" s="54"/>
      <c r="OTT2481" s="54"/>
      <c r="OTU2481" s="60"/>
      <c r="OTV2481" s="60"/>
      <c r="OTW2481" s="60"/>
      <c r="OTX2481" s="60"/>
      <c r="OTY2481" s="60"/>
      <c r="OTZ2481" s="61"/>
      <c r="OUA2481" s="54"/>
      <c r="OUB2481" s="54"/>
      <c r="OUC2481" s="60"/>
      <c r="OUD2481" s="60"/>
      <c r="OUE2481" s="60"/>
      <c r="OUF2481" s="60"/>
      <c r="OUG2481" s="60"/>
      <c r="OUH2481" s="61"/>
      <c r="OUI2481" s="54"/>
      <c r="OUJ2481" s="54"/>
      <c r="OUK2481" s="60"/>
      <c r="OUL2481" s="60"/>
      <c r="OUM2481" s="60"/>
      <c r="OUN2481" s="60"/>
      <c r="OUO2481" s="60"/>
      <c r="OUP2481" s="61"/>
      <c r="OUQ2481" s="54"/>
      <c r="OUR2481" s="54"/>
      <c r="OUS2481" s="60"/>
      <c r="OUT2481" s="60"/>
      <c r="OUU2481" s="60"/>
      <c r="OUV2481" s="60"/>
      <c r="OUW2481" s="60"/>
      <c r="OUX2481" s="61"/>
      <c r="OUY2481" s="54"/>
      <c r="OUZ2481" s="54"/>
      <c r="OVA2481" s="60"/>
      <c r="OVB2481" s="60"/>
      <c r="OVC2481" s="60"/>
      <c r="OVD2481" s="60"/>
      <c r="OVE2481" s="60"/>
      <c r="OVF2481" s="61"/>
      <c r="OVG2481" s="54"/>
      <c r="OVH2481" s="54"/>
      <c r="OVI2481" s="60"/>
      <c r="OVJ2481" s="60"/>
      <c r="OVK2481" s="60"/>
      <c r="OVL2481" s="60"/>
      <c r="OVM2481" s="60"/>
      <c r="OVN2481" s="61"/>
      <c r="OVO2481" s="54"/>
      <c r="OVP2481" s="54"/>
      <c r="OVQ2481" s="60"/>
      <c r="OVR2481" s="60"/>
      <c r="OVS2481" s="60"/>
      <c r="OVT2481" s="60"/>
      <c r="OVU2481" s="60"/>
      <c r="OVV2481" s="61"/>
      <c r="OVW2481" s="54"/>
      <c r="OVX2481" s="54"/>
      <c r="OVY2481" s="60"/>
      <c r="OVZ2481" s="60"/>
      <c r="OWA2481" s="60"/>
      <c r="OWB2481" s="60"/>
      <c r="OWC2481" s="60"/>
      <c r="OWD2481" s="61"/>
      <c r="OWE2481" s="54"/>
      <c r="OWF2481" s="54"/>
      <c r="OWG2481" s="60"/>
      <c r="OWH2481" s="60"/>
      <c r="OWI2481" s="60"/>
      <c r="OWJ2481" s="60"/>
      <c r="OWK2481" s="60"/>
      <c r="OWL2481" s="61"/>
      <c r="OWM2481" s="54"/>
      <c r="OWN2481" s="54"/>
      <c r="OWO2481" s="60"/>
      <c r="OWP2481" s="60"/>
      <c r="OWQ2481" s="60"/>
      <c r="OWR2481" s="60"/>
      <c r="OWS2481" s="60"/>
      <c r="OWT2481" s="61"/>
      <c r="OWU2481" s="54"/>
      <c r="OWV2481" s="54"/>
      <c r="OWW2481" s="60"/>
      <c r="OWX2481" s="60"/>
      <c r="OWY2481" s="60"/>
      <c r="OWZ2481" s="60"/>
      <c r="OXA2481" s="60"/>
      <c r="OXB2481" s="61"/>
      <c r="OXC2481" s="54"/>
      <c r="OXD2481" s="54"/>
      <c r="OXE2481" s="60"/>
      <c r="OXF2481" s="60"/>
      <c r="OXG2481" s="60"/>
      <c r="OXH2481" s="60"/>
      <c r="OXI2481" s="60"/>
      <c r="OXJ2481" s="61"/>
      <c r="OXK2481" s="54"/>
      <c r="OXL2481" s="54"/>
      <c r="OXM2481" s="60"/>
      <c r="OXN2481" s="60"/>
      <c r="OXO2481" s="60"/>
      <c r="OXP2481" s="60"/>
      <c r="OXQ2481" s="60"/>
      <c r="OXR2481" s="61"/>
      <c r="OXS2481" s="54"/>
      <c r="OXT2481" s="54"/>
      <c r="OXU2481" s="60"/>
      <c r="OXV2481" s="60"/>
      <c r="OXW2481" s="60"/>
      <c r="OXX2481" s="60"/>
      <c r="OXY2481" s="60"/>
      <c r="OXZ2481" s="61"/>
      <c r="OYA2481" s="54"/>
      <c r="OYB2481" s="54"/>
      <c r="OYC2481" s="60"/>
      <c r="OYD2481" s="60"/>
      <c r="OYE2481" s="60"/>
      <c r="OYF2481" s="60"/>
      <c r="OYG2481" s="60"/>
      <c r="OYH2481" s="61"/>
      <c r="OYI2481" s="54"/>
      <c r="OYJ2481" s="54"/>
      <c r="OYK2481" s="60"/>
      <c r="OYL2481" s="60"/>
      <c r="OYM2481" s="60"/>
      <c r="OYN2481" s="60"/>
      <c r="OYO2481" s="60"/>
      <c r="OYP2481" s="61"/>
      <c r="OYQ2481" s="54"/>
      <c r="OYR2481" s="54"/>
      <c r="OYS2481" s="60"/>
      <c r="OYT2481" s="60"/>
      <c r="OYU2481" s="60"/>
      <c r="OYV2481" s="60"/>
      <c r="OYW2481" s="60"/>
      <c r="OYX2481" s="61"/>
      <c r="OYY2481" s="54"/>
      <c r="OYZ2481" s="54"/>
      <c r="OZA2481" s="60"/>
      <c r="OZB2481" s="60"/>
      <c r="OZC2481" s="60"/>
      <c r="OZD2481" s="60"/>
      <c r="OZE2481" s="60"/>
      <c r="OZF2481" s="61"/>
      <c r="OZG2481" s="54"/>
      <c r="OZH2481" s="54"/>
      <c r="OZI2481" s="60"/>
      <c r="OZJ2481" s="60"/>
      <c r="OZK2481" s="60"/>
      <c r="OZL2481" s="60"/>
      <c r="OZM2481" s="60"/>
      <c r="OZN2481" s="61"/>
      <c r="OZO2481" s="54"/>
      <c r="OZP2481" s="54"/>
      <c r="OZQ2481" s="60"/>
      <c r="OZR2481" s="60"/>
      <c r="OZS2481" s="60"/>
      <c r="OZT2481" s="60"/>
      <c r="OZU2481" s="60"/>
      <c r="OZV2481" s="61"/>
      <c r="OZW2481" s="54"/>
      <c r="OZX2481" s="54"/>
      <c r="OZY2481" s="60"/>
      <c r="OZZ2481" s="60"/>
      <c r="PAA2481" s="60"/>
      <c r="PAB2481" s="60"/>
      <c r="PAC2481" s="60"/>
      <c r="PAD2481" s="61"/>
      <c r="PAE2481" s="54"/>
      <c r="PAF2481" s="54"/>
      <c r="PAG2481" s="60"/>
      <c r="PAH2481" s="60"/>
      <c r="PAI2481" s="60"/>
      <c r="PAJ2481" s="60"/>
      <c r="PAK2481" s="60"/>
      <c r="PAL2481" s="61"/>
      <c r="PAM2481" s="54"/>
      <c r="PAN2481" s="54"/>
      <c r="PAO2481" s="60"/>
      <c r="PAP2481" s="60"/>
      <c r="PAQ2481" s="60"/>
      <c r="PAR2481" s="60"/>
      <c r="PAS2481" s="60"/>
      <c r="PAT2481" s="61"/>
      <c r="PAU2481" s="54"/>
      <c r="PAV2481" s="54"/>
      <c r="PAW2481" s="60"/>
      <c r="PAX2481" s="60"/>
      <c r="PAY2481" s="60"/>
      <c r="PAZ2481" s="60"/>
      <c r="PBA2481" s="60"/>
      <c r="PBB2481" s="61"/>
      <c r="PBC2481" s="54"/>
      <c r="PBD2481" s="54"/>
      <c r="PBE2481" s="60"/>
      <c r="PBF2481" s="60"/>
      <c r="PBG2481" s="60"/>
      <c r="PBH2481" s="60"/>
      <c r="PBI2481" s="60"/>
      <c r="PBJ2481" s="61"/>
      <c r="PBK2481" s="54"/>
      <c r="PBL2481" s="54"/>
      <c r="PBM2481" s="60"/>
      <c r="PBN2481" s="60"/>
      <c r="PBO2481" s="60"/>
      <c r="PBP2481" s="60"/>
      <c r="PBQ2481" s="60"/>
      <c r="PBR2481" s="61"/>
      <c r="PBS2481" s="54"/>
      <c r="PBT2481" s="54"/>
      <c r="PBU2481" s="60"/>
      <c r="PBV2481" s="60"/>
      <c r="PBW2481" s="60"/>
      <c r="PBX2481" s="60"/>
      <c r="PBY2481" s="60"/>
      <c r="PBZ2481" s="61"/>
      <c r="PCA2481" s="54"/>
      <c r="PCB2481" s="54"/>
      <c r="PCC2481" s="60"/>
      <c r="PCD2481" s="60"/>
      <c r="PCE2481" s="60"/>
      <c r="PCF2481" s="60"/>
      <c r="PCG2481" s="60"/>
      <c r="PCH2481" s="61"/>
      <c r="PCI2481" s="54"/>
      <c r="PCJ2481" s="54"/>
      <c r="PCK2481" s="60"/>
      <c r="PCL2481" s="60"/>
      <c r="PCM2481" s="60"/>
      <c r="PCN2481" s="60"/>
      <c r="PCO2481" s="60"/>
      <c r="PCP2481" s="61"/>
      <c r="PCQ2481" s="54"/>
      <c r="PCR2481" s="54"/>
      <c r="PCS2481" s="60"/>
      <c r="PCT2481" s="60"/>
      <c r="PCU2481" s="60"/>
      <c r="PCV2481" s="60"/>
      <c r="PCW2481" s="60"/>
      <c r="PCX2481" s="61"/>
      <c r="PCY2481" s="54"/>
      <c r="PCZ2481" s="54"/>
      <c r="PDA2481" s="60"/>
      <c r="PDB2481" s="60"/>
      <c r="PDC2481" s="60"/>
      <c r="PDD2481" s="60"/>
      <c r="PDE2481" s="60"/>
      <c r="PDF2481" s="61"/>
      <c r="PDG2481" s="54"/>
      <c r="PDH2481" s="54"/>
      <c r="PDI2481" s="60"/>
      <c r="PDJ2481" s="60"/>
      <c r="PDK2481" s="60"/>
      <c r="PDL2481" s="60"/>
      <c r="PDM2481" s="60"/>
      <c r="PDN2481" s="61"/>
      <c r="PDO2481" s="54"/>
      <c r="PDP2481" s="54"/>
      <c r="PDQ2481" s="60"/>
      <c r="PDR2481" s="60"/>
      <c r="PDS2481" s="60"/>
      <c r="PDT2481" s="60"/>
      <c r="PDU2481" s="60"/>
      <c r="PDV2481" s="61"/>
      <c r="PDW2481" s="54"/>
      <c r="PDX2481" s="54"/>
      <c r="PDY2481" s="60"/>
      <c r="PDZ2481" s="60"/>
      <c r="PEA2481" s="60"/>
      <c r="PEB2481" s="60"/>
      <c r="PEC2481" s="60"/>
      <c r="PED2481" s="61"/>
      <c r="PEE2481" s="54"/>
      <c r="PEF2481" s="54"/>
      <c r="PEG2481" s="60"/>
      <c r="PEH2481" s="60"/>
      <c r="PEI2481" s="60"/>
      <c r="PEJ2481" s="60"/>
      <c r="PEK2481" s="60"/>
      <c r="PEL2481" s="61"/>
      <c r="PEM2481" s="54"/>
      <c r="PEN2481" s="54"/>
      <c r="PEO2481" s="60"/>
      <c r="PEP2481" s="60"/>
      <c r="PEQ2481" s="60"/>
      <c r="PER2481" s="60"/>
      <c r="PES2481" s="60"/>
      <c r="PET2481" s="61"/>
      <c r="PEU2481" s="54"/>
      <c r="PEV2481" s="54"/>
      <c r="PEW2481" s="60"/>
      <c r="PEX2481" s="60"/>
      <c r="PEY2481" s="60"/>
      <c r="PEZ2481" s="60"/>
      <c r="PFA2481" s="60"/>
      <c r="PFB2481" s="61"/>
      <c r="PFC2481" s="54"/>
      <c r="PFD2481" s="54"/>
      <c r="PFE2481" s="60"/>
      <c r="PFF2481" s="60"/>
      <c r="PFG2481" s="60"/>
      <c r="PFH2481" s="60"/>
      <c r="PFI2481" s="60"/>
      <c r="PFJ2481" s="61"/>
      <c r="PFK2481" s="54"/>
      <c r="PFL2481" s="54"/>
      <c r="PFM2481" s="60"/>
      <c r="PFN2481" s="60"/>
      <c r="PFO2481" s="60"/>
      <c r="PFP2481" s="60"/>
      <c r="PFQ2481" s="60"/>
      <c r="PFR2481" s="61"/>
      <c r="PFS2481" s="54"/>
      <c r="PFT2481" s="54"/>
      <c r="PFU2481" s="60"/>
      <c r="PFV2481" s="60"/>
      <c r="PFW2481" s="60"/>
      <c r="PFX2481" s="60"/>
      <c r="PFY2481" s="60"/>
      <c r="PFZ2481" s="61"/>
      <c r="PGA2481" s="54"/>
      <c r="PGB2481" s="54"/>
      <c r="PGC2481" s="60"/>
      <c r="PGD2481" s="60"/>
      <c r="PGE2481" s="60"/>
      <c r="PGF2481" s="60"/>
      <c r="PGG2481" s="60"/>
      <c r="PGH2481" s="61"/>
      <c r="PGI2481" s="54"/>
      <c r="PGJ2481" s="54"/>
      <c r="PGK2481" s="60"/>
      <c r="PGL2481" s="60"/>
      <c r="PGM2481" s="60"/>
      <c r="PGN2481" s="60"/>
      <c r="PGO2481" s="60"/>
      <c r="PGP2481" s="61"/>
      <c r="PGQ2481" s="54"/>
      <c r="PGR2481" s="54"/>
      <c r="PGS2481" s="60"/>
      <c r="PGT2481" s="60"/>
      <c r="PGU2481" s="60"/>
      <c r="PGV2481" s="60"/>
      <c r="PGW2481" s="60"/>
      <c r="PGX2481" s="61"/>
      <c r="PGY2481" s="54"/>
      <c r="PGZ2481" s="54"/>
      <c r="PHA2481" s="60"/>
      <c r="PHB2481" s="60"/>
      <c r="PHC2481" s="60"/>
      <c r="PHD2481" s="60"/>
      <c r="PHE2481" s="60"/>
      <c r="PHF2481" s="61"/>
      <c r="PHG2481" s="54"/>
      <c r="PHH2481" s="54"/>
      <c r="PHI2481" s="60"/>
      <c r="PHJ2481" s="60"/>
      <c r="PHK2481" s="60"/>
      <c r="PHL2481" s="60"/>
      <c r="PHM2481" s="60"/>
      <c r="PHN2481" s="61"/>
      <c r="PHO2481" s="54"/>
      <c r="PHP2481" s="54"/>
      <c r="PHQ2481" s="60"/>
      <c r="PHR2481" s="60"/>
      <c r="PHS2481" s="60"/>
      <c r="PHT2481" s="60"/>
      <c r="PHU2481" s="60"/>
      <c r="PHV2481" s="61"/>
      <c r="PHW2481" s="54"/>
      <c r="PHX2481" s="54"/>
      <c r="PHY2481" s="60"/>
      <c r="PHZ2481" s="60"/>
      <c r="PIA2481" s="60"/>
      <c r="PIB2481" s="60"/>
      <c r="PIC2481" s="60"/>
      <c r="PID2481" s="61"/>
      <c r="PIE2481" s="54"/>
      <c r="PIF2481" s="54"/>
      <c r="PIG2481" s="60"/>
      <c r="PIH2481" s="60"/>
      <c r="PII2481" s="60"/>
      <c r="PIJ2481" s="60"/>
      <c r="PIK2481" s="60"/>
      <c r="PIL2481" s="61"/>
      <c r="PIM2481" s="54"/>
      <c r="PIN2481" s="54"/>
      <c r="PIO2481" s="60"/>
      <c r="PIP2481" s="60"/>
      <c r="PIQ2481" s="60"/>
      <c r="PIR2481" s="60"/>
      <c r="PIS2481" s="60"/>
      <c r="PIT2481" s="61"/>
      <c r="PIU2481" s="54"/>
      <c r="PIV2481" s="54"/>
      <c r="PIW2481" s="60"/>
      <c r="PIX2481" s="60"/>
      <c r="PIY2481" s="60"/>
      <c r="PIZ2481" s="60"/>
      <c r="PJA2481" s="60"/>
      <c r="PJB2481" s="61"/>
      <c r="PJC2481" s="54"/>
      <c r="PJD2481" s="54"/>
      <c r="PJE2481" s="60"/>
      <c r="PJF2481" s="60"/>
      <c r="PJG2481" s="60"/>
      <c r="PJH2481" s="60"/>
      <c r="PJI2481" s="60"/>
      <c r="PJJ2481" s="61"/>
      <c r="PJK2481" s="54"/>
      <c r="PJL2481" s="54"/>
      <c r="PJM2481" s="60"/>
      <c r="PJN2481" s="60"/>
      <c r="PJO2481" s="60"/>
      <c r="PJP2481" s="60"/>
      <c r="PJQ2481" s="60"/>
      <c r="PJR2481" s="61"/>
      <c r="PJS2481" s="54"/>
      <c r="PJT2481" s="54"/>
      <c r="PJU2481" s="60"/>
      <c r="PJV2481" s="60"/>
      <c r="PJW2481" s="60"/>
      <c r="PJX2481" s="60"/>
      <c r="PJY2481" s="60"/>
      <c r="PJZ2481" s="61"/>
      <c r="PKA2481" s="54"/>
      <c r="PKB2481" s="54"/>
      <c r="PKC2481" s="60"/>
      <c r="PKD2481" s="60"/>
      <c r="PKE2481" s="60"/>
      <c r="PKF2481" s="60"/>
      <c r="PKG2481" s="60"/>
      <c r="PKH2481" s="61"/>
      <c r="PKI2481" s="54"/>
      <c r="PKJ2481" s="54"/>
      <c r="PKK2481" s="60"/>
      <c r="PKL2481" s="60"/>
      <c r="PKM2481" s="60"/>
      <c r="PKN2481" s="60"/>
      <c r="PKO2481" s="60"/>
      <c r="PKP2481" s="61"/>
      <c r="PKQ2481" s="54"/>
      <c r="PKR2481" s="54"/>
      <c r="PKS2481" s="60"/>
      <c r="PKT2481" s="60"/>
      <c r="PKU2481" s="60"/>
      <c r="PKV2481" s="60"/>
      <c r="PKW2481" s="60"/>
      <c r="PKX2481" s="61"/>
      <c r="PKY2481" s="54"/>
      <c r="PKZ2481" s="54"/>
      <c r="PLA2481" s="60"/>
      <c r="PLB2481" s="60"/>
      <c r="PLC2481" s="60"/>
      <c r="PLD2481" s="60"/>
      <c r="PLE2481" s="60"/>
      <c r="PLF2481" s="61"/>
      <c r="PLG2481" s="54"/>
      <c r="PLH2481" s="54"/>
      <c r="PLI2481" s="60"/>
      <c r="PLJ2481" s="60"/>
      <c r="PLK2481" s="60"/>
      <c r="PLL2481" s="60"/>
      <c r="PLM2481" s="60"/>
      <c r="PLN2481" s="61"/>
      <c r="PLO2481" s="54"/>
      <c r="PLP2481" s="54"/>
      <c r="PLQ2481" s="60"/>
      <c r="PLR2481" s="60"/>
      <c r="PLS2481" s="60"/>
      <c r="PLT2481" s="60"/>
      <c r="PLU2481" s="60"/>
      <c r="PLV2481" s="61"/>
      <c r="PLW2481" s="54"/>
      <c r="PLX2481" s="54"/>
      <c r="PLY2481" s="60"/>
      <c r="PLZ2481" s="60"/>
      <c r="PMA2481" s="60"/>
      <c r="PMB2481" s="60"/>
      <c r="PMC2481" s="60"/>
      <c r="PMD2481" s="61"/>
      <c r="PME2481" s="54"/>
      <c r="PMF2481" s="54"/>
      <c r="PMG2481" s="60"/>
      <c r="PMH2481" s="60"/>
      <c r="PMI2481" s="60"/>
      <c r="PMJ2481" s="60"/>
      <c r="PMK2481" s="60"/>
      <c r="PML2481" s="61"/>
      <c r="PMM2481" s="54"/>
      <c r="PMN2481" s="54"/>
      <c r="PMO2481" s="60"/>
      <c r="PMP2481" s="60"/>
      <c r="PMQ2481" s="60"/>
      <c r="PMR2481" s="60"/>
      <c r="PMS2481" s="60"/>
      <c r="PMT2481" s="61"/>
      <c r="PMU2481" s="54"/>
      <c r="PMV2481" s="54"/>
      <c r="PMW2481" s="60"/>
      <c r="PMX2481" s="60"/>
      <c r="PMY2481" s="60"/>
      <c r="PMZ2481" s="60"/>
      <c r="PNA2481" s="60"/>
      <c r="PNB2481" s="61"/>
      <c r="PNC2481" s="54"/>
      <c r="PND2481" s="54"/>
      <c r="PNE2481" s="60"/>
      <c r="PNF2481" s="60"/>
      <c r="PNG2481" s="60"/>
      <c r="PNH2481" s="60"/>
      <c r="PNI2481" s="60"/>
      <c r="PNJ2481" s="61"/>
      <c r="PNK2481" s="54"/>
      <c r="PNL2481" s="54"/>
      <c r="PNM2481" s="60"/>
      <c r="PNN2481" s="60"/>
      <c r="PNO2481" s="60"/>
      <c r="PNP2481" s="60"/>
      <c r="PNQ2481" s="60"/>
      <c r="PNR2481" s="61"/>
      <c r="PNS2481" s="54"/>
      <c r="PNT2481" s="54"/>
      <c r="PNU2481" s="60"/>
      <c r="PNV2481" s="60"/>
      <c r="PNW2481" s="60"/>
      <c r="PNX2481" s="60"/>
      <c r="PNY2481" s="60"/>
      <c r="PNZ2481" s="61"/>
      <c r="POA2481" s="54"/>
      <c r="POB2481" s="54"/>
      <c r="POC2481" s="60"/>
      <c r="POD2481" s="60"/>
      <c r="POE2481" s="60"/>
      <c r="POF2481" s="60"/>
      <c r="POG2481" s="60"/>
      <c r="POH2481" s="61"/>
      <c r="POI2481" s="54"/>
      <c r="POJ2481" s="54"/>
      <c r="POK2481" s="60"/>
      <c r="POL2481" s="60"/>
      <c r="POM2481" s="60"/>
      <c r="PON2481" s="60"/>
      <c r="POO2481" s="60"/>
      <c r="POP2481" s="61"/>
      <c r="POQ2481" s="54"/>
      <c r="POR2481" s="54"/>
      <c r="POS2481" s="60"/>
      <c r="POT2481" s="60"/>
      <c r="POU2481" s="60"/>
      <c r="POV2481" s="60"/>
      <c r="POW2481" s="60"/>
      <c r="POX2481" s="61"/>
      <c r="POY2481" s="54"/>
      <c r="POZ2481" s="54"/>
      <c r="PPA2481" s="60"/>
      <c r="PPB2481" s="60"/>
      <c r="PPC2481" s="60"/>
      <c r="PPD2481" s="60"/>
      <c r="PPE2481" s="60"/>
      <c r="PPF2481" s="61"/>
      <c r="PPG2481" s="54"/>
      <c r="PPH2481" s="54"/>
      <c r="PPI2481" s="60"/>
      <c r="PPJ2481" s="60"/>
      <c r="PPK2481" s="60"/>
      <c r="PPL2481" s="60"/>
      <c r="PPM2481" s="60"/>
      <c r="PPN2481" s="61"/>
      <c r="PPO2481" s="54"/>
      <c r="PPP2481" s="54"/>
      <c r="PPQ2481" s="60"/>
      <c r="PPR2481" s="60"/>
      <c r="PPS2481" s="60"/>
      <c r="PPT2481" s="60"/>
      <c r="PPU2481" s="60"/>
      <c r="PPV2481" s="61"/>
      <c r="PPW2481" s="54"/>
      <c r="PPX2481" s="54"/>
      <c r="PPY2481" s="60"/>
      <c r="PPZ2481" s="60"/>
      <c r="PQA2481" s="60"/>
      <c r="PQB2481" s="60"/>
      <c r="PQC2481" s="60"/>
      <c r="PQD2481" s="61"/>
      <c r="PQE2481" s="54"/>
      <c r="PQF2481" s="54"/>
      <c r="PQG2481" s="60"/>
      <c r="PQH2481" s="60"/>
      <c r="PQI2481" s="60"/>
      <c r="PQJ2481" s="60"/>
      <c r="PQK2481" s="60"/>
      <c r="PQL2481" s="61"/>
      <c r="PQM2481" s="54"/>
      <c r="PQN2481" s="54"/>
      <c r="PQO2481" s="60"/>
      <c r="PQP2481" s="60"/>
      <c r="PQQ2481" s="60"/>
      <c r="PQR2481" s="60"/>
      <c r="PQS2481" s="60"/>
      <c r="PQT2481" s="61"/>
      <c r="PQU2481" s="54"/>
      <c r="PQV2481" s="54"/>
      <c r="PQW2481" s="60"/>
      <c r="PQX2481" s="60"/>
      <c r="PQY2481" s="60"/>
      <c r="PQZ2481" s="60"/>
      <c r="PRA2481" s="60"/>
      <c r="PRB2481" s="61"/>
      <c r="PRC2481" s="54"/>
      <c r="PRD2481" s="54"/>
      <c r="PRE2481" s="60"/>
      <c r="PRF2481" s="60"/>
      <c r="PRG2481" s="60"/>
      <c r="PRH2481" s="60"/>
      <c r="PRI2481" s="60"/>
      <c r="PRJ2481" s="61"/>
      <c r="PRK2481" s="54"/>
      <c r="PRL2481" s="54"/>
      <c r="PRM2481" s="60"/>
      <c r="PRN2481" s="60"/>
      <c r="PRO2481" s="60"/>
      <c r="PRP2481" s="60"/>
      <c r="PRQ2481" s="60"/>
      <c r="PRR2481" s="61"/>
      <c r="PRS2481" s="54"/>
      <c r="PRT2481" s="54"/>
      <c r="PRU2481" s="60"/>
      <c r="PRV2481" s="60"/>
      <c r="PRW2481" s="60"/>
      <c r="PRX2481" s="60"/>
      <c r="PRY2481" s="60"/>
      <c r="PRZ2481" s="61"/>
      <c r="PSA2481" s="54"/>
      <c r="PSB2481" s="54"/>
      <c r="PSC2481" s="60"/>
      <c r="PSD2481" s="60"/>
      <c r="PSE2481" s="60"/>
      <c r="PSF2481" s="60"/>
      <c r="PSG2481" s="60"/>
      <c r="PSH2481" s="61"/>
      <c r="PSI2481" s="54"/>
      <c r="PSJ2481" s="54"/>
      <c r="PSK2481" s="60"/>
      <c r="PSL2481" s="60"/>
      <c r="PSM2481" s="60"/>
      <c r="PSN2481" s="60"/>
      <c r="PSO2481" s="60"/>
      <c r="PSP2481" s="61"/>
      <c r="PSQ2481" s="54"/>
      <c r="PSR2481" s="54"/>
      <c r="PSS2481" s="60"/>
      <c r="PST2481" s="60"/>
      <c r="PSU2481" s="60"/>
      <c r="PSV2481" s="60"/>
      <c r="PSW2481" s="60"/>
      <c r="PSX2481" s="61"/>
      <c r="PSY2481" s="54"/>
      <c r="PSZ2481" s="54"/>
      <c r="PTA2481" s="60"/>
      <c r="PTB2481" s="60"/>
      <c r="PTC2481" s="60"/>
      <c r="PTD2481" s="60"/>
      <c r="PTE2481" s="60"/>
      <c r="PTF2481" s="61"/>
      <c r="PTG2481" s="54"/>
      <c r="PTH2481" s="54"/>
      <c r="PTI2481" s="60"/>
      <c r="PTJ2481" s="60"/>
      <c r="PTK2481" s="60"/>
      <c r="PTL2481" s="60"/>
      <c r="PTM2481" s="60"/>
      <c r="PTN2481" s="61"/>
      <c r="PTO2481" s="54"/>
      <c r="PTP2481" s="54"/>
      <c r="PTQ2481" s="60"/>
      <c r="PTR2481" s="60"/>
      <c r="PTS2481" s="60"/>
      <c r="PTT2481" s="60"/>
      <c r="PTU2481" s="60"/>
      <c r="PTV2481" s="61"/>
      <c r="PTW2481" s="54"/>
      <c r="PTX2481" s="54"/>
      <c r="PTY2481" s="60"/>
      <c r="PTZ2481" s="60"/>
      <c r="PUA2481" s="60"/>
      <c r="PUB2481" s="60"/>
      <c r="PUC2481" s="60"/>
      <c r="PUD2481" s="61"/>
      <c r="PUE2481" s="54"/>
      <c r="PUF2481" s="54"/>
      <c r="PUG2481" s="60"/>
      <c r="PUH2481" s="60"/>
      <c r="PUI2481" s="60"/>
      <c r="PUJ2481" s="60"/>
      <c r="PUK2481" s="60"/>
      <c r="PUL2481" s="61"/>
      <c r="PUM2481" s="54"/>
      <c r="PUN2481" s="54"/>
      <c r="PUO2481" s="60"/>
      <c r="PUP2481" s="60"/>
      <c r="PUQ2481" s="60"/>
      <c r="PUR2481" s="60"/>
      <c r="PUS2481" s="60"/>
      <c r="PUT2481" s="61"/>
      <c r="PUU2481" s="54"/>
      <c r="PUV2481" s="54"/>
      <c r="PUW2481" s="60"/>
      <c r="PUX2481" s="60"/>
      <c r="PUY2481" s="60"/>
      <c r="PUZ2481" s="60"/>
      <c r="PVA2481" s="60"/>
      <c r="PVB2481" s="61"/>
      <c r="PVC2481" s="54"/>
      <c r="PVD2481" s="54"/>
      <c r="PVE2481" s="60"/>
      <c r="PVF2481" s="60"/>
      <c r="PVG2481" s="60"/>
      <c r="PVH2481" s="60"/>
      <c r="PVI2481" s="60"/>
      <c r="PVJ2481" s="61"/>
      <c r="PVK2481" s="54"/>
      <c r="PVL2481" s="54"/>
      <c r="PVM2481" s="60"/>
      <c r="PVN2481" s="60"/>
      <c r="PVO2481" s="60"/>
      <c r="PVP2481" s="60"/>
      <c r="PVQ2481" s="60"/>
      <c r="PVR2481" s="61"/>
      <c r="PVS2481" s="54"/>
      <c r="PVT2481" s="54"/>
      <c r="PVU2481" s="60"/>
      <c r="PVV2481" s="60"/>
      <c r="PVW2481" s="60"/>
      <c r="PVX2481" s="60"/>
      <c r="PVY2481" s="60"/>
      <c r="PVZ2481" s="61"/>
      <c r="PWA2481" s="54"/>
      <c r="PWB2481" s="54"/>
      <c r="PWC2481" s="60"/>
      <c r="PWD2481" s="60"/>
      <c r="PWE2481" s="60"/>
      <c r="PWF2481" s="60"/>
      <c r="PWG2481" s="60"/>
      <c r="PWH2481" s="61"/>
      <c r="PWI2481" s="54"/>
      <c r="PWJ2481" s="54"/>
      <c r="PWK2481" s="60"/>
      <c r="PWL2481" s="60"/>
      <c r="PWM2481" s="60"/>
      <c r="PWN2481" s="60"/>
      <c r="PWO2481" s="60"/>
      <c r="PWP2481" s="61"/>
      <c r="PWQ2481" s="54"/>
      <c r="PWR2481" s="54"/>
      <c r="PWS2481" s="60"/>
      <c r="PWT2481" s="60"/>
      <c r="PWU2481" s="60"/>
      <c r="PWV2481" s="60"/>
      <c r="PWW2481" s="60"/>
      <c r="PWX2481" s="61"/>
      <c r="PWY2481" s="54"/>
      <c r="PWZ2481" s="54"/>
      <c r="PXA2481" s="60"/>
      <c r="PXB2481" s="60"/>
      <c r="PXC2481" s="60"/>
      <c r="PXD2481" s="60"/>
      <c r="PXE2481" s="60"/>
      <c r="PXF2481" s="61"/>
      <c r="PXG2481" s="54"/>
      <c r="PXH2481" s="54"/>
      <c r="PXI2481" s="60"/>
      <c r="PXJ2481" s="60"/>
      <c r="PXK2481" s="60"/>
      <c r="PXL2481" s="60"/>
      <c r="PXM2481" s="60"/>
      <c r="PXN2481" s="61"/>
      <c r="PXO2481" s="54"/>
      <c r="PXP2481" s="54"/>
      <c r="PXQ2481" s="60"/>
      <c r="PXR2481" s="60"/>
      <c r="PXS2481" s="60"/>
      <c r="PXT2481" s="60"/>
      <c r="PXU2481" s="60"/>
      <c r="PXV2481" s="61"/>
      <c r="PXW2481" s="54"/>
      <c r="PXX2481" s="54"/>
      <c r="PXY2481" s="60"/>
      <c r="PXZ2481" s="60"/>
      <c r="PYA2481" s="60"/>
      <c r="PYB2481" s="60"/>
      <c r="PYC2481" s="60"/>
      <c r="PYD2481" s="61"/>
      <c r="PYE2481" s="54"/>
      <c r="PYF2481" s="54"/>
      <c r="PYG2481" s="60"/>
      <c r="PYH2481" s="60"/>
      <c r="PYI2481" s="60"/>
      <c r="PYJ2481" s="60"/>
      <c r="PYK2481" s="60"/>
      <c r="PYL2481" s="61"/>
      <c r="PYM2481" s="54"/>
      <c r="PYN2481" s="54"/>
      <c r="PYO2481" s="60"/>
      <c r="PYP2481" s="60"/>
      <c r="PYQ2481" s="60"/>
      <c r="PYR2481" s="60"/>
      <c r="PYS2481" s="60"/>
      <c r="PYT2481" s="61"/>
      <c r="PYU2481" s="54"/>
      <c r="PYV2481" s="54"/>
      <c r="PYW2481" s="60"/>
      <c r="PYX2481" s="60"/>
      <c r="PYY2481" s="60"/>
      <c r="PYZ2481" s="60"/>
      <c r="PZA2481" s="60"/>
      <c r="PZB2481" s="61"/>
      <c r="PZC2481" s="54"/>
      <c r="PZD2481" s="54"/>
      <c r="PZE2481" s="60"/>
      <c r="PZF2481" s="60"/>
      <c r="PZG2481" s="60"/>
      <c r="PZH2481" s="60"/>
      <c r="PZI2481" s="60"/>
      <c r="PZJ2481" s="61"/>
      <c r="PZK2481" s="54"/>
      <c r="PZL2481" s="54"/>
      <c r="PZM2481" s="60"/>
      <c r="PZN2481" s="60"/>
      <c r="PZO2481" s="60"/>
      <c r="PZP2481" s="60"/>
      <c r="PZQ2481" s="60"/>
      <c r="PZR2481" s="61"/>
      <c r="PZS2481" s="54"/>
      <c r="PZT2481" s="54"/>
      <c r="PZU2481" s="60"/>
      <c r="PZV2481" s="60"/>
      <c r="PZW2481" s="60"/>
      <c r="PZX2481" s="60"/>
      <c r="PZY2481" s="60"/>
      <c r="PZZ2481" s="61"/>
      <c r="QAA2481" s="54"/>
      <c r="QAB2481" s="54"/>
      <c r="QAC2481" s="60"/>
      <c r="QAD2481" s="60"/>
      <c r="QAE2481" s="60"/>
      <c r="QAF2481" s="60"/>
      <c r="QAG2481" s="60"/>
      <c r="QAH2481" s="61"/>
      <c r="QAI2481" s="54"/>
      <c r="QAJ2481" s="54"/>
      <c r="QAK2481" s="60"/>
      <c r="QAL2481" s="60"/>
      <c r="QAM2481" s="60"/>
      <c r="QAN2481" s="60"/>
      <c r="QAO2481" s="60"/>
      <c r="QAP2481" s="61"/>
      <c r="QAQ2481" s="54"/>
      <c r="QAR2481" s="54"/>
      <c r="QAS2481" s="60"/>
      <c r="QAT2481" s="60"/>
      <c r="QAU2481" s="60"/>
      <c r="QAV2481" s="60"/>
      <c r="QAW2481" s="60"/>
      <c r="QAX2481" s="61"/>
      <c r="QAY2481" s="54"/>
      <c r="QAZ2481" s="54"/>
      <c r="QBA2481" s="60"/>
      <c r="QBB2481" s="60"/>
      <c r="QBC2481" s="60"/>
      <c r="QBD2481" s="60"/>
      <c r="QBE2481" s="60"/>
      <c r="QBF2481" s="61"/>
      <c r="QBG2481" s="54"/>
      <c r="QBH2481" s="54"/>
      <c r="QBI2481" s="60"/>
      <c r="QBJ2481" s="60"/>
      <c r="QBK2481" s="60"/>
      <c r="QBL2481" s="60"/>
      <c r="QBM2481" s="60"/>
      <c r="QBN2481" s="61"/>
      <c r="QBO2481" s="54"/>
      <c r="QBP2481" s="54"/>
      <c r="QBQ2481" s="60"/>
      <c r="QBR2481" s="60"/>
      <c r="QBS2481" s="60"/>
      <c r="QBT2481" s="60"/>
      <c r="QBU2481" s="60"/>
      <c r="QBV2481" s="61"/>
      <c r="QBW2481" s="54"/>
      <c r="QBX2481" s="54"/>
      <c r="QBY2481" s="60"/>
      <c r="QBZ2481" s="60"/>
      <c r="QCA2481" s="60"/>
      <c r="QCB2481" s="60"/>
      <c r="QCC2481" s="60"/>
      <c r="QCD2481" s="61"/>
      <c r="QCE2481" s="54"/>
      <c r="QCF2481" s="54"/>
      <c r="QCG2481" s="60"/>
      <c r="QCH2481" s="60"/>
      <c r="QCI2481" s="60"/>
      <c r="QCJ2481" s="60"/>
      <c r="QCK2481" s="60"/>
      <c r="QCL2481" s="61"/>
      <c r="QCM2481" s="54"/>
      <c r="QCN2481" s="54"/>
      <c r="QCO2481" s="60"/>
      <c r="QCP2481" s="60"/>
      <c r="QCQ2481" s="60"/>
      <c r="QCR2481" s="60"/>
      <c r="QCS2481" s="60"/>
      <c r="QCT2481" s="61"/>
      <c r="QCU2481" s="54"/>
      <c r="QCV2481" s="54"/>
      <c r="QCW2481" s="60"/>
      <c r="QCX2481" s="60"/>
      <c r="QCY2481" s="60"/>
      <c r="QCZ2481" s="60"/>
      <c r="QDA2481" s="60"/>
      <c r="QDB2481" s="61"/>
      <c r="QDC2481" s="54"/>
      <c r="QDD2481" s="54"/>
      <c r="QDE2481" s="60"/>
      <c r="QDF2481" s="60"/>
      <c r="QDG2481" s="60"/>
      <c r="QDH2481" s="60"/>
      <c r="QDI2481" s="60"/>
      <c r="QDJ2481" s="61"/>
      <c r="QDK2481" s="54"/>
      <c r="QDL2481" s="54"/>
      <c r="QDM2481" s="60"/>
      <c r="QDN2481" s="60"/>
      <c r="QDO2481" s="60"/>
      <c r="QDP2481" s="60"/>
      <c r="QDQ2481" s="60"/>
      <c r="QDR2481" s="61"/>
      <c r="QDS2481" s="54"/>
      <c r="QDT2481" s="54"/>
      <c r="QDU2481" s="60"/>
      <c r="QDV2481" s="60"/>
      <c r="QDW2481" s="60"/>
      <c r="QDX2481" s="60"/>
      <c r="QDY2481" s="60"/>
      <c r="QDZ2481" s="61"/>
      <c r="QEA2481" s="54"/>
      <c r="QEB2481" s="54"/>
      <c r="QEC2481" s="60"/>
      <c r="QED2481" s="60"/>
      <c r="QEE2481" s="60"/>
      <c r="QEF2481" s="60"/>
      <c r="QEG2481" s="60"/>
      <c r="QEH2481" s="61"/>
      <c r="QEI2481" s="54"/>
      <c r="QEJ2481" s="54"/>
      <c r="QEK2481" s="60"/>
      <c r="QEL2481" s="60"/>
      <c r="QEM2481" s="60"/>
      <c r="QEN2481" s="60"/>
      <c r="QEO2481" s="60"/>
      <c r="QEP2481" s="61"/>
      <c r="QEQ2481" s="54"/>
      <c r="QER2481" s="54"/>
      <c r="QES2481" s="60"/>
      <c r="QET2481" s="60"/>
      <c r="QEU2481" s="60"/>
      <c r="QEV2481" s="60"/>
      <c r="QEW2481" s="60"/>
      <c r="QEX2481" s="61"/>
      <c r="QEY2481" s="54"/>
      <c r="QEZ2481" s="54"/>
      <c r="QFA2481" s="60"/>
      <c r="QFB2481" s="60"/>
      <c r="QFC2481" s="60"/>
      <c r="QFD2481" s="60"/>
      <c r="QFE2481" s="60"/>
      <c r="QFF2481" s="61"/>
      <c r="QFG2481" s="54"/>
      <c r="QFH2481" s="54"/>
      <c r="QFI2481" s="60"/>
      <c r="QFJ2481" s="60"/>
      <c r="QFK2481" s="60"/>
      <c r="QFL2481" s="60"/>
      <c r="QFM2481" s="60"/>
      <c r="QFN2481" s="61"/>
      <c r="QFO2481" s="54"/>
      <c r="QFP2481" s="54"/>
      <c r="QFQ2481" s="60"/>
      <c r="QFR2481" s="60"/>
      <c r="QFS2481" s="60"/>
      <c r="QFT2481" s="60"/>
      <c r="QFU2481" s="60"/>
      <c r="QFV2481" s="61"/>
      <c r="QFW2481" s="54"/>
      <c r="QFX2481" s="54"/>
      <c r="QFY2481" s="60"/>
      <c r="QFZ2481" s="60"/>
      <c r="QGA2481" s="60"/>
      <c r="QGB2481" s="60"/>
      <c r="QGC2481" s="60"/>
      <c r="QGD2481" s="61"/>
      <c r="QGE2481" s="54"/>
      <c r="QGF2481" s="54"/>
      <c r="QGG2481" s="60"/>
      <c r="QGH2481" s="60"/>
      <c r="QGI2481" s="60"/>
      <c r="QGJ2481" s="60"/>
      <c r="QGK2481" s="60"/>
      <c r="QGL2481" s="61"/>
      <c r="QGM2481" s="54"/>
      <c r="QGN2481" s="54"/>
      <c r="QGO2481" s="60"/>
      <c r="QGP2481" s="60"/>
      <c r="QGQ2481" s="60"/>
      <c r="QGR2481" s="60"/>
      <c r="QGS2481" s="60"/>
      <c r="QGT2481" s="61"/>
      <c r="QGU2481" s="54"/>
      <c r="QGV2481" s="54"/>
      <c r="QGW2481" s="60"/>
      <c r="QGX2481" s="60"/>
      <c r="QGY2481" s="60"/>
      <c r="QGZ2481" s="60"/>
      <c r="QHA2481" s="60"/>
      <c r="QHB2481" s="61"/>
      <c r="QHC2481" s="54"/>
      <c r="QHD2481" s="54"/>
      <c r="QHE2481" s="60"/>
      <c r="QHF2481" s="60"/>
      <c r="QHG2481" s="60"/>
      <c r="QHH2481" s="60"/>
      <c r="QHI2481" s="60"/>
      <c r="QHJ2481" s="61"/>
      <c r="QHK2481" s="54"/>
      <c r="QHL2481" s="54"/>
      <c r="QHM2481" s="60"/>
      <c r="QHN2481" s="60"/>
      <c r="QHO2481" s="60"/>
      <c r="QHP2481" s="60"/>
      <c r="QHQ2481" s="60"/>
      <c r="QHR2481" s="61"/>
      <c r="QHS2481" s="54"/>
      <c r="QHT2481" s="54"/>
      <c r="QHU2481" s="60"/>
      <c r="QHV2481" s="60"/>
      <c r="QHW2481" s="60"/>
      <c r="QHX2481" s="60"/>
      <c r="QHY2481" s="60"/>
      <c r="QHZ2481" s="61"/>
      <c r="QIA2481" s="54"/>
      <c r="QIB2481" s="54"/>
      <c r="QIC2481" s="60"/>
      <c r="QID2481" s="60"/>
      <c r="QIE2481" s="60"/>
      <c r="QIF2481" s="60"/>
      <c r="QIG2481" s="60"/>
      <c r="QIH2481" s="61"/>
      <c r="QII2481" s="54"/>
      <c r="QIJ2481" s="54"/>
      <c r="QIK2481" s="60"/>
      <c r="QIL2481" s="60"/>
      <c r="QIM2481" s="60"/>
      <c r="QIN2481" s="60"/>
      <c r="QIO2481" s="60"/>
      <c r="QIP2481" s="61"/>
      <c r="QIQ2481" s="54"/>
      <c r="QIR2481" s="54"/>
      <c r="QIS2481" s="60"/>
      <c r="QIT2481" s="60"/>
      <c r="QIU2481" s="60"/>
      <c r="QIV2481" s="60"/>
      <c r="QIW2481" s="60"/>
      <c r="QIX2481" s="61"/>
      <c r="QIY2481" s="54"/>
      <c r="QIZ2481" s="54"/>
      <c r="QJA2481" s="60"/>
      <c r="QJB2481" s="60"/>
      <c r="QJC2481" s="60"/>
      <c r="QJD2481" s="60"/>
      <c r="QJE2481" s="60"/>
      <c r="QJF2481" s="61"/>
      <c r="QJG2481" s="54"/>
      <c r="QJH2481" s="54"/>
      <c r="QJI2481" s="60"/>
      <c r="QJJ2481" s="60"/>
      <c r="QJK2481" s="60"/>
      <c r="QJL2481" s="60"/>
      <c r="QJM2481" s="60"/>
      <c r="QJN2481" s="61"/>
      <c r="QJO2481" s="54"/>
      <c r="QJP2481" s="54"/>
      <c r="QJQ2481" s="60"/>
      <c r="QJR2481" s="60"/>
      <c r="QJS2481" s="60"/>
      <c r="QJT2481" s="60"/>
      <c r="QJU2481" s="60"/>
      <c r="QJV2481" s="61"/>
      <c r="QJW2481" s="54"/>
      <c r="QJX2481" s="54"/>
      <c r="QJY2481" s="60"/>
      <c r="QJZ2481" s="60"/>
      <c r="QKA2481" s="60"/>
      <c r="QKB2481" s="60"/>
      <c r="QKC2481" s="60"/>
      <c r="QKD2481" s="61"/>
      <c r="QKE2481" s="54"/>
      <c r="QKF2481" s="54"/>
      <c r="QKG2481" s="60"/>
      <c r="QKH2481" s="60"/>
      <c r="QKI2481" s="60"/>
      <c r="QKJ2481" s="60"/>
      <c r="QKK2481" s="60"/>
      <c r="QKL2481" s="61"/>
      <c r="QKM2481" s="54"/>
      <c r="QKN2481" s="54"/>
      <c r="QKO2481" s="60"/>
      <c r="QKP2481" s="60"/>
      <c r="QKQ2481" s="60"/>
      <c r="QKR2481" s="60"/>
      <c r="QKS2481" s="60"/>
      <c r="QKT2481" s="61"/>
      <c r="QKU2481" s="54"/>
      <c r="QKV2481" s="54"/>
      <c r="QKW2481" s="60"/>
      <c r="QKX2481" s="60"/>
      <c r="QKY2481" s="60"/>
      <c r="QKZ2481" s="60"/>
      <c r="QLA2481" s="60"/>
      <c r="QLB2481" s="61"/>
      <c r="QLC2481" s="54"/>
      <c r="QLD2481" s="54"/>
      <c r="QLE2481" s="60"/>
      <c r="QLF2481" s="60"/>
      <c r="QLG2481" s="60"/>
      <c r="QLH2481" s="60"/>
      <c r="QLI2481" s="60"/>
      <c r="QLJ2481" s="61"/>
      <c r="QLK2481" s="54"/>
      <c r="QLL2481" s="54"/>
      <c r="QLM2481" s="60"/>
      <c r="QLN2481" s="60"/>
      <c r="QLO2481" s="60"/>
      <c r="QLP2481" s="60"/>
      <c r="QLQ2481" s="60"/>
      <c r="QLR2481" s="61"/>
      <c r="QLS2481" s="54"/>
      <c r="QLT2481" s="54"/>
      <c r="QLU2481" s="60"/>
      <c r="QLV2481" s="60"/>
      <c r="QLW2481" s="60"/>
      <c r="QLX2481" s="60"/>
      <c r="QLY2481" s="60"/>
      <c r="QLZ2481" s="61"/>
      <c r="QMA2481" s="54"/>
      <c r="QMB2481" s="54"/>
      <c r="QMC2481" s="60"/>
      <c r="QMD2481" s="60"/>
      <c r="QME2481" s="60"/>
      <c r="QMF2481" s="60"/>
      <c r="QMG2481" s="60"/>
      <c r="QMH2481" s="61"/>
      <c r="QMI2481" s="54"/>
      <c r="QMJ2481" s="54"/>
      <c r="QMK2481" s="60"/>
      <c r="QML2481" s="60"/>
      <c r="QMM2481" s="60"/>
      <c r="QMN2481" s="60"/>
      <c r="QMO2481" s="60"/>
      <c r="QMP2481" s="61"/>
      <c r="QMQ2481" s="54"/>
      <c r="QMR2481" s="54"/>
      <c r="QMS2481" s="60"/>
      <c r="QMT2481" s="60"/>
      <c r="QMU2481" s="60"/>
      <c r="QMV2481" s="60"/>
      <c r="QMW2481" s="60"/>
      <c r="QMX2481" s="61"/>
      <c r="QMY2481" s="54"/>
      <c r="QMZ2481" s="54"/>
      <c r="QNA2481" s="60"/>
      <c r="QNB2481" s="60"/>
      <c r="QNC2481" s="60"/>
      <c r="QND2481" s="60"/>
      <c r="QNE2481" s="60"/>
      <c r="QNF2481" s="61"/>
      <c r="QNG2481" s="54"/>
      <c r="QNH2481" s="54"/>
      <c r="QNI2481" s="60"/>
      <c r="QNJ2481" s="60"/>
      <c r="QNK2481" s="60"/>
      <c r="QNL2481" s="60"/>
      <c r="QNM2481" s="60"/>
      <c r="QNN2481" s="61"/>
      <c r="QNO2481" s="54"/>
      <c r="QNP2481" s="54"/>
      <c r="QNQ2481" s="60"/>
      <c r="QNR2481" s="60"/>
      <c r="QNS2481" s="60"/>
      <c r="QNT2481" s="60"/>
      <c r="QNU2481" s="60"/>
      <c r="QNV2481" s="61"/>
      <c r="QNW2481" s="54"/>
      <c r="QNX2481" s="54"/>
      <c r="QNY2481" s="60"/>
      <c r="QNZ2481" s="60"/>
      <c r="QOA2481" s="60"/>
      <c r="QOB2481" s="60"/>
      <c r="QOC2481" s="60"/>
      <c r="QOD2481" s="61"/>
      <c r="QOE2481" s="54"/>
      <c r="QOF2481" s="54"/>
      <c r="QOG2481" s="60"/>
      <c r="QOH2481" s="60"/>
      <c r="QOI2481" s="60"/>
      <c r="QOJ2481" s="60"/>
      <c r="QOK2481" s="60"/>
      <c r="QOL2481" s="61"/>
      <c r="QOM2481" s="54"/>
      <c r="QON2481" s="54"/>
      <c r="QOO2481" s="60"/>
      <c r="QOP2481" s="60"/>
      <c r="QOQ2481" s="60"/>
      <c r="QOR2481" s="60"/>
      <c r="QOS2481" s="60"/>
      <c r="QOT2481" s="61"/>
      <c r="QOU2481" s="54"/>
      <c r="QOV2481" s="54"/>
      <c r="QOW2481" s="60"/>
      <c r="QOX2481" s="60"/>
      <c r="QOY2481" s="60"/>
      <c r="QOZ2481" s="60"/>
      <c r="QPA2481" s="60"/>
      <c r="QPB2481" s="61"/>
      <c r="QPC2481" s="54"/>
      <c r="QPD2481" s="54"/>
      <c r="QPE2481" s="60"/>
      <c r="QPF2481" s="60"/>
      <c r="QPG2481" s="60"/>
      <c r="QPH2481" s="60"/>
      <c r="QPI2481" s="60"/>
      <c r="QPJ2481" s="61"/>
      <c r="QPK2481" s="54"/>
      <c r="QPL2481" s="54"/>
      <c r="QPM2481" s="60"/>
      <c r="QPN2481" s="60"/>
      <c r="QPO2481" s="60"/>
      <c r="QPP2481" s="60"/>
      <c r="QPQ2481" s="60"/>
      <c r="QPR2481" s="61"/>
      <c r="QPS2481" s="54"/>
      <c r="QPT2481" s="54"/>
      <c r="QPU2481" s="60"/>
      <c r="QPV2481" s="60"/>
      <c r="QPW2481" s="60"/>
      <c r="QPX2481" s="60"/>
      <c r="QPY2481" s="60"/>
      <c r="QPZ2481" s="61"/>
      <c r="QQA2481" s="54"/>
      <c r="QQB2481" s="54"/>
      <c r="QQC2481" s="60"/>
      <c r="QQD2481" s="60"/>
      <c r="QQE2481" s="60"/>
      <c r="QQF2481" s="60"/>
      <c r="QQG2481" s="60"/>
      <c r="QQH2481" s="61"/>
      <c r="QQI2481" s="54"/>
      <c r="QQJ2481" s="54"/>
      <c r="QQK2481" s="60"/>
      <c r="QQL2481" s="60"/>
      <c r="QQM2481" s="60"/>
      <c r="QQN2481" s="60"/>
      <c r="QQO2481" s="60"/>
      <c r="QQP2481" s="61"/>
      <c r="QQQ2481" s="54"/>
      <c r="QQR2481" s="54"/>
      <c r="QQS2481" s="60"/>
      <c r="QQT2481" s="60"/>
      <c r="QQU2481" s="60"/>
      <c r="QQV2481" s="60"/>
      <c r="QQW2481" s="60"/>
      <c r="QQX2481" s="61"/>
      <c r="QQY2481" s="54"/>
      <c r="QQZ2481" s="54"/>
      <c r="QRA2481" s="60"/>
      <c r="QRB2481" s="60"/>
      <c r="QRC2481" s="60"/>
      <c r="QRD2481" s="60"/>
      <c r="QRE2481" s="60"/>
      <c r="QRF2481" s="61"/>
      <c r="QRG2481" s="54"/>
      <c r="QRH2481" s="54"/>
      <c r="QRI2481" s="60"/>
      <c r="QRJ2481" s="60"/>
      <c r="QRK2481" s="60"/>
      <c r="QRL2481" s="60"/>
      <c r="QRM2481" s="60"/>
      <c r="QRN2481" s="61"/>
      <c r="QRO2481" s="54"/>
      <c r="QRP2481" s="54"/>
      <c r="QRQ2481" s="60"/>
      <c r="QRR2481" s="60"/>
      <c r="QRS2481" s="60"/>
      <c r="QRT2481" s="60"/>
      <c r="QRU2481" s="60"/>
      <c r="QRV2481" s="61"/>
      <c r="QRW2481" s="54"/>
      <c r="QRX2481" s="54"/>
      <c r="QRY2481" s="60"/>
      <c r="QRZ2481" s="60"/>
      <c r="QSA2481" s="60"/>
      <c r="QSB2481" s="60"/>
      <c r="QSC2481" s="60"/>
      <c r="QSD2481" s="61"/>
      <c r="QSE2481" s="54"/>
      <c r="QSF2481" s="54"/>
      <c r="QSG2481" s="60"/>
      <c r="QSH2481" s="60"/>
      <c r="QSI2481" s="60"/>
      <c r="QSJ2481" s="60"/>
      <c r="QSK2481" s="60"/>
      <c r="QSL2481" s="61"/>
      <c r="QSM2481" s="54"/>
      <c r="QSN2481" s="54"/>
      <c r="QSO2481" s="60"/>
      <c r="QSP2481" s="60"/>
      <c r="QSQ2481" s="60"/>
      <c r="QSR2481" s="60"/>
      <c r="QSS2481" s="60"/>
      <c r="QST2481" s="61"/>
      <c r="QSU2481" s="54"/>
      <c r="QSV2481" s="54"/>
      <c r="QSW2481" s="60"/>
      <c r="QSX2481" s="60"/>
      <c r="QSY2481" s="60"/>
      <c r="QSZ2481" s="60"/>
      <c r="QTA2481" s="60"/>
      <c r="QTB2481" s="61"/>
      <c r="QTC2481" s="54"/>
      <c r="QTD2481" s="54"/>
      <c r="QTE2481" s="60"/>
      <c r="QTF2481" s="60"/>
      <c r="QTG2481" s="60"/>
      <c r="QTH2481" s="60"/>
      <c r="QTI2481" s="60"/>
      <c r="QTJ2481" s="61"/>
      <c r="QTK2481" s="54"/>
      <c r="QTL2481" s="54"/>
      <c r="QTM2481" s="60"/>
      <c r="QTN2481" s="60"/>
      <c r="QTO2481" s="60"/>
      <c r="QTP2481" s="60"/>
      <c r="QTQ2481" s="60"/>
      <c r="QTR2481" s="61"/>
      <c r="QTS2481" s="54"/>
      <c r="QTT2481" s="54"/>
      <c r="QTU2481" s="60"/>
      <c r="QTV2481" s="60"/>
      <c r="QTW2481" s="60"/>
      <c r="QTX2481" s="60"/>
      <c r="QTY2481" s="60"/>
      <c r="QTZ2481" s="61"/>
      <c r="QUA2481" s="54"/>
      <c r="QUB2481" s="54"/>
      <c r="QUC2481" s="60"/>
      <c r="QUD2481" s="60"/>
      <c r="QUE2481" s="60"/>
      <c r="QUF2481" s="60"/>
      <c r="QUG2481" s="60"/>
      <c r="QUH2481" s="61"/>
      <c r="QUI2481" s="54"/>
      <c r="QUJ2481" s="54"/>
      <c r="QUK2481" s="60"/>
      <c r="QUL2481" s="60"/>
      <c r="QUM2481" s="60"/>
      <c r="QUN2481" s="60"/>
      <c r="QUO2481" s="60"/>
      <c r="QUP2481" s="61"/>
      <c r="QUQ2481" s="54"/>
      <c r="QUR2481" s="54"/>
      <c r="QUS2481" s="60"/>
      <c r="QUT2481" s="60"/>
      <c r="QUU2481" s="60"/>
      <c r="QUV2481" s="60"/>
      <c r="QUW2481" s="60"/>
      <c r="QUX2481" s="61"/>
      <c r="QUY2481" s="54"/>
      <c r="QUZ2481" s="54"/>
      <c r="QVA2481" s="60"/>
      <c r="QVB2481" s="60"/>
      <c r="QVC2481" s="60"/>
      <c r="QVD2481" s="60"/>
      <c r="QVE2481" s="60"/>
      <c r="QVF2481" s="61"/>
      <c r="QVG2481" s="54"/>
      <c r="QVH2481" s="54"/>
      <c r="QVI2481" s="60"/>
      <c r="QVJ2481" s="60"/>
      <c r="QVK2481" s="60"/>
      <c r="QVL2481" s="60"/>
      <c r="QVM2481" s="60"/>
      <c r="QVN2481" s="61"/>
      <c r="QVO2481" s="54"/>
      <c r="QVP2481" s="54"/>
      <c r="QVQ2481" s="60"/>
      <c r="QVR2481" s="60"/>
      <c r="QVS2481" s="60"/>
      <c r="QVT2481" s="60"/>
      <c r="QVU2481" s="60"/>
      <c r="QVV2481" s="61"/>
      <c r="QVW2481" s="54"/>
      <c r="QVX2481" s="54"/>
      <c r="QVY2481" s="60"/>
      <c r="QVZ2481" s="60"/>
      <c r="QWA2481" s="60"/>
      <c r="QWB2481" s="60"/>
      <c r="QWC2481" s="60"/>
      <c r="QWD2481" s="61"/>
      <c r="QWE2481" s="54"/>
      <c r="QWF2481" s="54"/>
      <c r="QWG2481" s="60"/>
      <c r="QWH2481" s="60"/>
      <c r="QWI2481" s="60"/>
      <c r="QWJ2481" s="60"/>
      <c r="QWK2481" s="60"/>
      <c r="QWL2481" s="61"/>
      <c r="QWM2481" s="54"/>
      <c r="QWN2481" s="54"/>
      <c r="QWO2481" s="60"/>
      <c r="QWP2481" s="60"/>
      <c r="QWQ2481" s="60"/>
      <c r="QWR2481" s="60"/>
      <c r="QWS2481" s="60"/>
      <c r="QWT2481" s="61"/>
      <c r="QWU2481" s="54"/>
      <c r="QWV2481" s="54"/>
      <c r="QWW2481" s="60"/>
      <c r="QWX2481" s="60"/>
      <c r="QWY2481" s="60"/>
      <c r="QWZ2481" s="60"/>
      <c r="QXA2481" s="60"/>
      <c r="QXB2481" s="61"/>
      <c r="QXC2481" s="54"/>
      <c r="QXD2481" s="54"/>
      <c r="QXE2481" s="60"/>
      <c r="QXF2481" s="60"/>
      <c r="QXG2481" s="60"/>
      <c r="QXH2481" s="60"/>
      <c r="QXI2481" s="60"/>
      <c r="QXJ2481" s="61"/>
      <c r="QXK2481" s="54"/>
      <c r="QXL2481" s="54"/>
      <c r="QXM2481" s="60"/>
      <c r="QXN2481" s="60"/>
      <c r="QXO2481" s="60"/>
      <c r="QXP2481" s="60"/>
      <c r="QXQ2481" s="60"/>
      <c r="QXR2481" s="61"/>
      <c r="QXS2481" s="54"/>
      <c r="QXT2481" s="54"/>
      <c r="QXU2481" s="60"/>
      <c r="QXV2481" s="60"/>
      <c r="QXW2481" s="60"/>
      <c r="QXX2481" s="60"/>
      <c r="QXY2481" s="60"/>
      <c r="QXZ2481" s="61"/>
      <c r="QYA2481" s="54"/>
      <c r="QYB2481" s="54"/>
      <c r="QYC2481" s="60"/>
      <c r="QYD2481" s="60"/>
      <c r="QYE2481" s="60"/>
      <c r="QYF2481" s="60"/>
      <c r="QYG2481" s="60"/>
      <c r="QYH2481" s="61"/>
      <c r="QYI2481" s="54"/>
      <c r="QYJ2481" s="54"/>
      <c r="QYK2481" s="60"/>
      <c r="QYL2481" s="60"/>
      <c r="QYM2481" s="60"/>
      <c r="QYN2481" s="60"/>
      <c r="QYO2481" s="60"/>
      <c r="QYP2481" s="61"/>
      <c r="QYQ2481" s="54"/>
      <c r="QYR2481" s="54"/>
      <c r="QYS2481" s="60"/>
      <c r="QYT2481" s="60"/>
      <c r="QYU2481" s="60"/>
      <c r="QYV2481" s="60"/>
      <c r="QYW2481" s="60"/>
      <c r="QYX2481" s="61"/>
      <c r="QYY2481" s="54"/>
      <c r="QYZ2481" s="54"/>
      <c r="QZA2481" s="60"/>
      <c r="QZB2481" s="60"/>
      <c r="QZC2481" s="60"/>
      <c r="QZD2481" s="60"/>
      <c r="QZE2481" s="60"/>
      <c r="QZF2481" s="61"/>
      <c r="QZG2481" s="54"/>
      <c r="QZH2481" s="54"/>
      <c r="QZI2481" s="60"/>
      <c r="QZJ2481" s="60"/>
      <c r="QZK2481" s="60"/>
      <c r="QZL2481" s="60"/>
      <c r="QZM2481" s="60"/>
      <c r="QZN2481" s="61"/>
      <c r="QZO2481" s="54"/>
      <c r="QZP2481" s="54"/>
      <c r="QZQ2481" s="60"/>
      <c r="QZR2481" s="60"/>
      <c r="QZS2481" s="60"/>
      <c r="QZT2481" s="60"/>
      <c r="QZU2481" s="60"/>
      <c r="QZV2481" s="61"/>
      <c r="QZW2481" s="54"/>
      <c r="QZX2481" s="54"/>
      <c r="QZY2481" s="60"/>
      <c r="QZZ2481" s="60"/>
      <c r="RAA2481" s="60"/>
      <c r="RAB2481" s="60"/>
      <c r="RAC2481" s="60"/>
      <c r="RAD2481" s="61"/>
      <c r="RAE2481" s="54"/>
      <c r="RAF2481" s="54"/>
      <c r="RAG2481" s="60"/>
      <c r="RAH2481" s="60"/>
      <c r="RAI2481" s="60"/>
      <c r="RAJ2481" s="60"/>
      <c r="RAK2481" s="60"/>
      <c r="RAL2481" s="61"/>
      <c r="RAM2481" s="54"/>
      <c r="RAN2481" s="54"/>
      <c r="RAO2481" s="60"/>
      <c r="RAP2481" s="60"/>
      <c r="RAQ2481" s="60"/>
      <c r="RAR2481" s="60"/>
      <c r="RAS2481" s="60"/>
      <c r="RAT2481" s="61"/>
      <c r="RAU2481" s="54"/>
      <c r="RAV2481" s="54"/>
      <c r="RAW2481" s="60"/>
      <c r="RAX2481" s="60"/>
      <c r="RAY2481" s="60"/>
      <c r="RAZ2481" s="60"/>
      <c r="RBA2481" s="60"/>
      <c r="RBB2481" s="61"/>
      <c r="RBC2481" s="54"/>
      <c r="RBD2481" s="54"/>
      <c r="RBE2481" s="60"/>
      <c r="RBF2481" s="60"/>
      <c r="RBG2481" s="60"/>
      <c r="RBH2481" s="60"/>
      <c r="RBI2481" s="60"/>
      <c r="RBJ2481" s="61"/>
      <c r="RBK2481" s="54"/>
      <c r="RBL2481" s="54"/>
      <c r="RBM2481" s="60"/>
      <c r="RBN2481" s="60"/>
      <c r="RBO2481" s="60"/>
      <c r="RBP2481" s="60"/>
      <c r="RBQ2481" s="60"/>
      <c r="RBR2481" s="61"/>
      <c r="RBS2481" s="54"/>
      <c r="RBT2481" s="54"/>
      <c r="RBU2481" s="60"/>
      <c r="RBV2481" s="60"/>
      <c r="RBW2481" s="60"/>
      <c r="RBX2481" s="60"/>
      <c r="RBY2481" s="60"/>
      <c r="RBZ2481" s="61"/>
      <c r="RCA2481" s="54"/>
      <c r="RCB2481" s="54"/>
      <c r="RCC2481" s="60"/>
      <c r="RCD2481" s="60"/>
      <c r="RCE2481" s="60"/>
      <c r="RCF2481" s="60"/>
      <c r="RCG2481" s="60"/>
      <c r="RCH2481" s="61"/>
      <c r="RCI2481" s="54"/>
      <c r="RCJ2481" s="54"/>
      <c r="RCK2481" s="60"/>
      <c r="RCL2481" s="60"/>
      <c r="RCM2481" s="60"/>
      <c r="RCN2481" s="60"/>
      <c r="RCO2481" s="60"/>
      <c r="RCP2481" s="61"/>
      <c r="RCQ2481" s="54"/>
      <c r="RCR2481" s="54"/>
      <c r="RCS2481" s="60"/>
      <c r="RCT2481" s="60"/>
      <c r="RCU2481" s="60"/>
      <c r="RCV2481" s="60"/>
      <c r="RCW2481" s="60"/>
      <c r="RCX2481" s="61"/>
      <c r="RCY2481" s="54"/>
      <c r="RCZ2481" s="54"/>
      <c r="RDA2481" s="60"/>
      <c r="RDB2481" s="60"/>
      <c r="RDC2481" s="60"/>
      <c r="RDD2481" s="60"/>
      <c r="RDE2481" s="60"/>
      <c r="RDF2481" s="61"/>
      <c r="RDG2481" s="54"/>
      <c r="RDH2481" s="54"/>
      <c r="RDI2481" s="60"/>
      <c r="RDJ2481" s="60"/>
      <c r="RDK2481" s="60"/>
      <c r="RDL2481" s="60"/>
      <c r="RDM2481" s="60"/>
      <c r="RDN2481" s="61"/>
      <c r="RDO2481" s="54"/>
      <c r="RDP2481" s="54"/>
      <c r="RDQ2481" s="60"/>
      <c r="RDR2481" s="60"/>
      <c r="RDS2481" s="60"/>
      <c r="RDT2481" s="60"/>
      <c r="RDU2481" s="60"/>
      <c r="RDV2481" s="61"/>
      <c r="RDW2481" s="54"/>
      <c r="RDX2481" s="54"/>
      <c r="RDY2481" s="60"/>
      <c r="RDZ2481" s="60"/>
      <c r="REA2481" s="60"/>
      <c r="REB2481" s="60"/>
      <c r="REC2481" s="60"/>
      <c r="RED2481" s="61"/>
      <c r="REE2481" s="54"/>
      <c r="REF2481" s="54"/>
      <c r="REG2481" s="60"/>
      <c r="REH2481" s="60"/>
      <c r="REI2481" s="60"/>
      <c r="REJ2481" s="60"/>
      <c r="REK2481" s="60"/>
      <c r="REL2481" s="61"/>
      <c r="REM2481" s="54"/>
      <c r="REN2481" s="54"/>
      <c r="REO2481" s="60"/>
      <c r="REP2481" s="60"/>
      <c r="REQ2481" s="60"/>
      <c r="RER2481" s="60"/>
      <c r="RES2481" s="60"/>
      <c r="RET2481" s="61"/>
      <c r="REU2481" s="54"/>
      <c r="REV2481" s="54"/>
      <c r="REW2481" s="60"/>
      <c r="REX2481" s="60"/>
      <c r="REY2481" s="60"/>
      <c r="REZ2481" s="60"/>
      <c r="RFA2481" s="60"/>
      <c r="RFB2481" s="61"/>
      <c r="RFC2481" s="54"/>
      <c r="RFD2481" s="54"/>
      <c r="RFE2481" s="60"/>
      <c r="RFF2481" s="60"/>
      <c r="RFG2481" s="60"/>
      <c r="RFH2481" s="60"/>
      <c r="RFI2481" s="60"/>
      <c r="RFJ2481" s="61"/>
      <c r="RFK2481" s="54"/>
      <c r="RFL2481" s="54"/>
      <c r="RFM2481" s="60"/>
      <c r="RFN2481" s="60"/>
      <c r="RFO2481" s="60"/>
      <c r="RFP2481" s="60"/>
      <c r="RFQ2481" s="60"/>
      <c r="RFR2481" s="61"/>
      <c r="RFS2481" s="54"/>
      <c r="RFT2481" s="54"/>
      <c r="RFU2481" s="60"/>
      <c r="RFV2481" s="60"/>
      <c r="RFW2481" s="60"/>
      <c r="RFX2481" s="60"/>
      <c r="RFY2481" s="60"/>
      <c r="RFZ2481" s="61"/>
      <c r="RGA2481" s="54"/>
      <c r="RGB2481" s="54"/>
      <c r="RGC2481" s="60"/>
      <c r="RGD2481" s="60"/>
      <c r="RGE2481" s="60"/>
      <c r="RGF2481" s="60"/>
      <c r="RGG2481" s="60"/>
      <c r="RGH2481" s="61"/>
      <c r="RGI2481" s="54"/>
      <c r="RGJ2481" s="54"/>
      <c r="RGK2481" s="60"/>
      <c r="RGL2481" s="60"/>
      <c r="RGM2481" s="60"/>
      <c r="RGN2481" s="60"/>
      <c r="RGO2481" s="60"/>
      <c r="RGP2481" s="61"/>
      <c r="RGQ2481" s="54"/>
      <c r="RGR2481" s="54"/>
      <c r="RGS2481" s="60"/>
      <c r="RGT2481" s="60"/>
      <c r="RGU2481" s="60"/>
      <c r="RGV2481" s="60"/>
      <c r="RGW2481" s="60"/>
      <c r="RGX2481" s="61"/>
      <c r="RGY2481" s="54"/>
      <c r="RGZ2481" s="54"/>
      <c r="RHA2481" s="60"/>
      <c r="RHB2481" s="60"/>
      <c r="RHC2481" s="60"/>
      <c r="RHD2481" s="60"/>
      <c r="RHE2481" s="60"/>
      <c r="RHF2481" s="61"/>
      <c r="RHG2481" s="54"/>
      <c r="RHH2481" s="54"/>
      <c r="RHI2481" s="60"/>
      <c r="RHJ2481" s="60"/>
      <c r="RHK2481" s="60"/>
      <c r="RHL2481" s="60"/>
      <c r="RHM2481" s="60"/>
      <c r="RHN2481" s="61"/>
      <c r="RHO2481" s="54"/>
      <c r="RHP2481" s="54"/>
      <c r="RHQ2481" s="60"/>
      <c r="RHR2481" s="60"/>
      <c r="RHS2481" s="60"/>
      <c r="RHT2481" s="60"/>
      <c r="RHU2481" s="60"/>
      <c r="RHV2481" s="61"/>
      <c r="RHW2481" s="54"/>
      <c r="RHX2481" s="54"/>
      <c r="RHY2481" s="60"/>
      <c r="RHZ2481" s="60"/>
      <c r="RIA2481" s="60"/>
      <c r="RIB2481" s="60"/>
      <c r="RIC2481" s="60"/>
      <c r="RID2481" s="61"/>
      <c r="RIE2481" s="54"/>
      <c r="RIF2481" s="54"/>
      <c r="RIG2481" s="60"/>
      <c r="RIH2481" s="60"/>
      <c r="RII2481" s="60"/>
      <c r="RIJ2481" s="60"/>
      <c r="RIK2481" s="60"/>
      <c r="RIL2481" s="61"/>
      <c r="RIM2481" s="54"/>
      <c r="RIN2481" s="54"/>
      <c r="RIO2481" s="60"/>
      <c r="RIP2481" s="60"/>
      <c r="RIQ2481" s="60"/>
      <c r="RIR2481" s="60"/>
      <c r="RIS2481" s="60"/>
      <c r="RIT2481" s="61"/>
      <c r="RIU2481" s="54"/>
      <c r="RIV2481" s="54"/>
      <c r="RIW2481" s="60"/>
      <c r="RIX2481" s="60"/>
      <c r="RIY2481" s="60"/>
      <c r="RIZ2481" s="60"/>
      <c r="RJA2481" s="60"/>
      <c r="RJB2481" s="61"/>
      <c r="RJC2481" s="54"/>
      <c r="RJD2481" s="54"/>
      <c r="RJE2481" s="60"/>
      <c r="RJF2481" s="60"/>
      <c r="RJG2481" s="60"/>
      <c r="RJH2481" s="60"/>
      <c r="RJI2481" s="60"/>
      <c r="RJJ2481" s="61"/>
      <c r="RJK2481" s="54"/>
      <c r="RJL2481" s="54"/>
      <c r="RJM2481" s="60"/>
      <c r="RJN2481" s="60"/>
      <c r="RJO2481" s="60"/>
      <c r="RJP2481" s="60"/>
      <c r="RJQ2481" s="60"/>
      <c r="RJR2481" s="61"/>
      <c r="RJS2481" s="54"/>
      <c r="RJT2481" s="54"/>
      <c r="RJU2481" s="60"/>
      <c r="RJV2481" s="60"/>
      <c r="RJW2481" s="60"/>
      <c r="RJX2481" s="60"/>
      <c r="RJY2481" s="60"/>
      <c r="RJZ2481" s="61"/>
      <c r="RKA2481" s="54"/>
      <c r="RKB2481" s="54"/>
      <c r="RKC2481" s="60"/>
      <c r="RKD2481" s="60"/>
      <c r="RKE2481" s="60"/>
      <c r="RKF2481" s="60"/>
      <c r="RKG2481" s="60"/>
      <c r="RKH2481" s="61"/>
      <c r="RKI2481" s="54"/>
      <c r="RKJ2481" s="54"/>
      <c r="RKK2481" s="60"/>
      <c r="RKL2481" s="60"/>
      <c r="RKM2481" s="60"/>
      <c r="RKN2481" s="60"/>
      <c r="RKO2481" s="60"/>
      <c r="RKP2481" s="61"/>
      <c r="RKQ2481" s="54"/>
      <c r="RKR2481" s="54"/>
      <c r="RKS2481" s="60"/>
      <c r="RKT2481" s="60"/>
      <c r="RKU2481" s="60"/>
      <c r="RKV2481" s="60"/>
      <c r="RKW2481" s="60"/>
      <c r="RKX2481" s="61"/>
      <c r="RKY2481" s="54"/>
      <c r="RKZ2481" s="54"/>
      <c r="RLA2481" s="60"/>
      <c r="RLB2481" s="60"/>
      <c r="RLC2481" s="60"/>
      <c r="RLD2481" s="60"/>
      <c r="RLE2481" s="60"/>
      <c r="RLF2481" s="61"/>
      <c r="RLG2481" s="54"/>
      <c r="RLH2481" s="54"/>
      <c r="RLI2481" s="60"/>
      <c r="RLJ2481" s="60"/>
      <c r="RLK2481" s="60"/>
      <c r="RLL2481" s="60"/>
      <c r="RLM2481" s="60"/>
      <c r="RLN2481" s="61"/>
      <c r="RLO2481" s="54"/>
      <c r="RLP2481" s="54"/>
      <c r="RLQ2481" s="60"/>
      <c r="RLR2481" s="60"/>
      <c r="RLS2481" s="60"/>
      <c r="RLT2481" s="60"/>
      <c r="RLU2481" s="60"/>
      <c r="RLV2481" s="61"/>
      <c r="RLW2481" s="54"/>
      <c r="RLX2481" s="54"/>
      <c r="RLY2481" s="60"/>
      <c r="RLZ2481" s="60"/>
      <c r="RMA2481" s="60"/>
      <c r="RMB2481" s="60"/>
      <c r="RMC2481" s="60"/>
      <c r="RMD2481" s="61"/>
      <c r="RME2481" s="54"/>
      <c r="RMF2481" s="54"/>
      <c r="RMG2481" s="60"/>
      <c r="RMH2481" s="60"/>
      <c r="RMI2481" s="60"/>
      <c r="RMJ2481" s="60"/>
      <c r="RMK2481" s="60"/>
      <c r="RML2481" s="61"/>
      <c r="RMM2481" s="54"/>
      <c r="RMN2481" s="54"/>
      <c r="RMO2481" s="60"/>
      <c r="RMP2481" s="60"/>
      <c r="RMQ2481" s="60"/>
      <c r="RMR2481" s="60"/>
      <c r="RMS2481" s="60"/>
      <c r="RMT2481" s="61"/>
      <c r="RMU2481" s="54"/>
      <c r="RMV2481" s="54"/>
      <c r="RMW2481" s="60"/>
      <c r="RMX2481" s="60"/>
      <c r="RMY2481" s="60"/>
      <c r="RMZ2481" s="60"/>
      <c r="RNA2481" s="60"/>
      <c r="RNB2481" s="61"/>
      <c r="RNC2481" s="54"/>
      <c r="RND2481" s="54"/>
      <c r="RNE2481" s="60"/>
      <c r="RNF2481" s="60"/>
      <c r="RNG2481" s="60"/>
      <c r="RNH2481" s="60"/>
      <c r="RNI2481" s="60"/>
      <c r="RNJ2481" s="61"/>
      <c r="RNK2481" s="54"/>
      <c r="RNL2481" s="54"/>
      <c r="RNM2481" s="60"/>
      <c r="RNN2481" s="60"/>
      <c r="RNO2481" s="60"/>
      <c r="RNP2481" s="60"/>
      <c r="RNQ2481" s="60"/>
      <c r="RNR2481" s="61"/>
      <c r="RNS2481" s="54"/>
      <c r="RNT2481" s="54"/>
      <c r="RNU2481" s="60"/>
      <c r="RNV2481" s="60"/>
      <c r="RNW2481" s="60"/>
      <c r="RNX2481" s="60"/>
      <c r="RNY2481" s="60"/>
      <c r="RNZ2481" s="61"/>
      <c r="ROA2481" s="54"/>
      <c r="ROB2481" s="54"/>
      <c r="ROC2481" s="60"/>
      <c r="ROD2481" s="60"/>
      <c r="ROE2481" s="60"/>
      <c r="ROF2481" s="60"/>
      <c r="ROG2481" s="60"/>
      <c r="ROH2481" s="61"/>
      <c r="ROI2481" s="54"/>
      <c r="ROJ2481" s="54"/>
      <c r="ROK2481" s="60"/>
      <c r="ROL2481" s="60"/>
      <c r="ROM2481" s="60"/>
      <c r="RON2481" s="60"/>
      <c r="ROO2481" s="60"/>
      <c r="ROP2481" s="61"/>
      <c r="ROQ2481" s="54"/>
      <c r="ROR2481" s="54"/>
      <c r="ROS2481" s="60"/>
      <c r="ROT2481" s="60"/>
      <c r="ROU2481" s="60"/>
      <c r="ROV2481" s="60"/>
      <c r="ROW2481" s="60"/>
      <c r="ROX2481" s="61"/>
      <c r="ROY2481" s="54"/>
      <c r="ROZ2481" s="54"/>
      <c r="RPA2481" s="60"/>
      <c r="RPB2481" s="60"/>
      <c r="RPC2481" s="60"/>
      <c r="RPD2481" s="60"/>
      <c r="RPE2481" s="60"/>
      <c r="RPF2481" s="61"/>
      <c r="RPG2481" s="54"/>
      <c r="RPH2481" s="54"/>
      <c r="RPI2481" s="60"/>
      <c r="RPJ2481" s="60"/>
      <c r="RPK2481" s="60"/>
      <c r="RPL2481" s="60"/>
      <c r="RPM2481" s="60"/>
      <c r="RPN2481" s="61"/>
      <c r="RPO2481" s="54"/>
      <c r="RPP2481" s="54"/>
      <c r="RPQ2481" s="60"/>
      <c r="RPR2481" s="60"/>
      <c r="RPS2481" s="60"/>
      <c r="RPT2481" s="60"/>
      <c r="RPU2481" s="60"/>
      <c r="RPV2481" s="61"/>
      <c r="RPW2481" s="54"/>
      <c r="RPX2481" s="54"/>
      <c r="RPY2481" s="60"/>
      <c r="RPZ2481" s="60"/>
      <c r="RQA2481" s="60"/>
      <c r="RQB2481" s="60"/>
      <c r="RQC2481" s="60"/>
      <c r="RQD2481" s="61"/>
      <c r="RQE2481" s="54"/>
      <c r="RQF2481" s="54"/>
      <c r="RQG2481" s="60"/>
      <c r="RQH2481" s="60"/>
      <c r="RQI2481" s="60"/>
      <c r="RQJ2481" s="60"/>
      <c r="RQK2481" s="60"/>
      <c r="RQL2481" s="61"/>
      <c r="RQM2481" s="54"/>
      <c r="RQN2481" s="54"/>
      <c r="RQO2481" s="60"/>
      <c r="RQP2481" s="60"/>
      <c r="RQQ2481" s="60"/>
      <c r="RQR2481" s="60"/>
      <c r="RQS2481" s="60"/>
      <c r="RQT2481" s="61"/>
      <c r="RQU2481" s="54"/>
      <c r="RQV2481" s="54"/>
      <c r="RQW2481" s="60"/>
      <c r="RQX2481" s="60"/>
      <c r="RQY2481" s="60"/>
      <c r="RQZ2481" s="60"/>
      <c r="RRA2481" s="60"/>
      <c r="RRB2481" s="61"/>
      <c r="RRC2481" s="54"/>
      <c r="RRD2481" s="54"/>
      <c r="RRE2481" s="60"/>
      <c r="RRF2481" s="60"/>
      <c r="RRG2481" s="60"/>
      <c r="RRH2481" s="60"/>
      <c r="RRI2481" s="60"/>
      <c r="RRJ2481" s="61"/>
      <c r="RRK2481" s="54"/>
      <c r="RRL2481" s="54"/>
      <c r="RRM2481" s="60"/>
      <c r="RRN2481" s="60"/>
      <c r="RRO2481" s="60"/>
      <c r="RRP2481" s="60"/>
      <c r="RRQ2481" s="60"/>
      <c r="RRR2481" s="61"/>
      <c r="RRS2481" s="54"/>
      <c r="RRT2481" s="54"/>
      <c r="RRU2481" s="60"/>
      <c r="RRV2481" s="60"/>
      <c r="RRW2481" s="60"/>
      <c r="RRX2481" s="60"/>
      <c r="RRY2481" s="60"/>
      <c r="RRZ2481" s="61"/>
      <c r="RSA2481" s="54"/>
      <c r="RSB2481" s="54"/>
      <c r="RSC2481" s="60"/>
      <c r="RSD2481" s="60"/>
      <c r="RSE2481" s="60"/>
      <c r="RSF2481" s="60"/>
      <c r="RSG2481" s="60"/>
      <c r="RSH2481" s="61"/>
      <c r="RSI2481" s="54"/>
      <c r="RSJ2481" s="54"/>
      <c r="RSK2481" s="60"/>
      <c r="RSL2481" s="60"/>
      <c r="RSM2481" s="60"/>
      <c r="RSN2481" s="60"/>
      <c r="RSO2481" s="60"/>
      <c r="RSP2481" s="61"/>
      <c r="RSQ2481" s="54"/>
      <c r="RSR2481" s="54"/>
      <c r="RSS2481" s="60"/>
      <c r="RST2481" s="60"/>
      <c r="RSU2481" s="60"/>
      <c r="RSV2481" s="60"/>
      <c r="RSW2481" s="60"/>
      <c r="RSX2481" s="61"/>
      <c r="RSY2481" s="54"/>
      <c r="RSZ2481" s="54"/>
      <c r="RTA2481" s="60"/>
      <c r="RTB2481" s="60"/>
      <c r="RTC2481" s="60"/>
      <c r="RTD2481" s="60"/>
      <c r="RTE2481" s="60"/>
      <c r="RTF2481" s="61"/>
      <c r="RTG2481" s="54"/>
      <c r="RTH2481" s="54"/>
      <c r="RTI2481" s="60"/>
      <c r="RTJ2481" s="60"/>
      <c r="RTK2481" s="60"/>
      <c r="RTL2481" s="60"/>
      <c r="RTM2481" s="60"/>
      <c r="RTN2481" s="61"/>
      <c r="RTO2481" s="54"/>
      <c r="RTP2481" s="54"/>
      <c r="RTQ2481" s="60"/>
      <c r="RTR2481" s="60"/>
      <c r="RTS2481" s="60"/>
      <c r="RTT2481" s="60"/>
      <c r="RTU2481" s="60"/>
      <c r="RTV2481" s="61"/>
      <c r="RTW2481" s="54"/>
      <c r="RTX2481" s="54"/>
      <c r="RTY2481" s="60"/>
      <c r="RTZ2481" s="60"/>
      <c r="RUA2481" s="60"/>
      <c r="RUB2481" s="60"/>
      <c r="RUC2481" s="60"/>
      <c r="RUD2481" s="61"/>
      <c r="RUE2481" s="54"/>
      <c r="RUF2481" s="54"/>
      <c r="RUG2481" s="60"/>
      <c r="RUH2481" s="60"/>
      <c r="RUI2481" s="60"/>
      <c r="RUJ2481" s="60"/>
      <c r="RUK2481" s="60"/>
      <c r="RUL2481" s="61"/>
      <c r="RUM2481" s="54"/>
      <c r="RUN2481" s="54"/>
      <c r="RUO2481" s="60"/>
      <c r="RUP2481" s="60"/>
      <c r="RUQ2481" s="60"/>
      <c r="RUR2481" s="60"/>
      <c r="RUS2481" s="60"/>
      <c r="RUT2481" s="61"/>
      <c r="RUU2481" s="54"/>
      <c r="RUV2481" s="54"/>
      <c r="RUW2481" s="60"/>
      <c r="RUX2481" s="60"/>
      <c r="RUY2481" s="60"/>
      <c r="RUZ2481" s="60"/>
      <c r="RVA2481" s="60"/>
      <c r="RVB2481" s="61"/>
      <c r="RVC2481" s="54"/>
      <c r="RVD2481" s="54"/>
      <c r="RVE2481" s="60"/>
      <c r="RVF2481" s="60"/>
      <c r="RVG2481" s="60"/>
      <c r="RVH2481" s="60"/>
      <c r="RVI2481" s="60"/>
      <c r="RVJ2481" s="61"/>
      <c r="RVK2481" s="54"/>
      <c r="RVL2481" s="54"/>
      <c r="RVM2481" s="60"/>
      <c r="RVN2481" s="60"/>
      <c r="RVO2481" s="60"/>
      <c r="RVP2481" s="60"/>
      <c r="RVQ2481" s="60"/>
      <c r="RVR2481" s="61"/>
      <c r="RVS2481" s="54"/>
      <c r="RVT2481" s="54"/>
      <c r="RVU2481" s="60"/>
      <c r="RVV2481" s="60"/>
      <c r="RVW2481" s="60"/>
      <c r="RVX2481" s="60"/>
      <c r="RVY2481" s="60"/>
      <c r="RVZ2481" s="61"/>
      <c r="RWA2481" s="54"/>
      <c r="RWB2481" s="54"/>
      <c r="RWC2481" s="60"/>
      <c r="RWD2481" s="60"/>
      <c r="RWE2481" s="60"/>
      <c r="RWF2481" s="60"/>
      <c r="RWG2481" s="60"/>
      <c r="RWH2481" s="61"/>
      <c r="RWI2481" s="54"/>
      <c r="RWJ2481" s="54"/>
      <c r="RWK2481" s="60"/>
      <c r="RWL2481" s="60"/>
      <c r="RWM2481" s="60"/>
      <c r="RWN2481" s="60"/>
      <c r="RWO2481" s="60"/>
      <c r="RWP2481" s="61"/>
      <c r="RWQ2481" s="54"/>
      <c r="RWR2481" s="54"/>
      <c r="RWS2481" s="60"/>
      <c r="RWT2481" s="60"/>
      <c r="RWU2481" s="60"/>
      <c r="RWV2481" s="60"/>
      <c r="RWW2481" s="60"/>
      <c r="RWX2481" s="61"/>
      <c r="RWY2481" s="54"/>
      <c r="RWZ2481" s="54"/>
      <c r="RXA2481" s="60"/>
      <c r="RXB2481" s="60"/>
      <c r="RXC2481" s="60"/>
      <c r="RXD2481" s="60"/>
      <c r="RXE2481" s="60"/>
      <c r="RXF2481" s="61"/>
      <c r="RXG2481" s="54"/>
      <c r="RXH2481" s="54"/>
      <c r="RXI2481" s="60"/>
      <c r="RXJ2481" s="60"/>
      <c r="RXK2481" s="60"/>
      <c r="RXL2481" s="60"/>
      <c r="RXM2481" s="60"/>
      <c r="RXN2481" s="61"/>
      <c r="RXO2481" s="54"/>
      <c r="RXP2481" s="54"/>
      <c r="RXQ2481" s="60"/>
      <c r="RXR2481" s="60"/>
      <c r="RXS2481" s="60"/>
      <c r="RXT2481" s="60"/>
      <c r="RXU2481" s="60"/>
      <c r="RXV2481" s="61"/>
      <c r="RXW2481" s="54"/>
      <c r="RXX2481" s="54"/>
      <c r="RXY2481" s="60"/>
      <c r="RXZ2481" s="60"/>
      <c r="RYA2481" s="60"/>
      <c r="RYB2481" s="60"/>
      <c r="RYC2481" s="60"/>
      <c r="RYD2481" s="61"/>
      <c r="RYE2481" s="54"/>
      <c r="RYF2481" s="54"/>
      <c r="RYG2481" s="60"/>
      <c r="RYH2481" s="60"/>
      <c r="RYI2481" s="60"/>
      <c r="RYJ2481" s="60"/>
      <c r="RYK2481" s="60"/>
      <c r="RYL2481" s="61"/>
      <c r="RYM2481" s="54"/>
      <c r="RYN2481" s="54"/>
      <c r="RYO2481" s="60"/>
      <c r="RYP2481" s="60"/>
      <c r="RYQ2481" s="60"/>
      <c r="RYR2481" s="60"/>
      <c r="RYS2481" s="60"/>
      <c r="RYT2481" s="61"/>
      <c r="RYU2481" s="54"/>
      <c r="RYV2481" s="54"/>
      <c r="RYW2481" s="60"/>
      <c r="RYX2481" s="60"/>
      <c r="RYY2481" s="60"/>
      <c r="RYZ2481" s="60"/>
      <c r="RZA2481" s="60"/>
      <c r="RZB2481" s="61"/>
      <c r="RZC2481" s="54"/>
      <c r="RZD2481" s="54"/>
      <c r="RZE2481" s="60"/>
      <c r="RZF2481" s="60"/>
      <c r="RZG2481" s="60"/>
      <c r="RZH2481" s="60"/>
      <c r="RZI2481" s="60"/>
      <c r="RZJ2481" s="61"/>
      <c r="RZK2481" s="54"/>
      <c r="RZL2481" s="54"/>
      <c r="RZM2481" s="60"/>
      <c r="RZN2481" s="60"/>
      <c r="RZO2481" s="60"/>
      <c r="RZP2481" s="60"/>
      <c r="RZQ2481" s="60"/>
      <c r="RZR2481" s="61"/>
      <c r="RZS2481" s="54"/>
      <c r="RZT2481" s="54"/>
      <c r="RZU2481" s="60"/>
      <c r="RZV2481" s="60"/>
      <c r="RZW2481" s="60"/>
      <c r="RZX2481" s="60"/>
      <c r="RZY2481" s="60"/>
      <c r="RZZ2481" s="61"/>
      <c r="SAA2481" s="54"/>
      <c r="SAB2481" s="54"/>
      <c r="SAC2481" s="60"/>
      <c r="SAD2481" s="60"/>
      <c r="SAE2481" s="60"/>
      <c r="SAF2481" s="60"/>
      <c r="SAG2481" s="60"/>
      <c r="SAH2481" s="61"/>
      <c r="SAI2481" s="54"/>
      <c r="SAJ2481" s="54"/>
      <c r="SAK2481" s="60"/>
      <c r="SAL2481" s="60"/>
      <c r="SAM2481" s="60"/>
      <c r="SAN2481" s="60"/>
      <c r="SAO2481" s="60"/>
      <c r="SAP2481" s="61"/>
      <c r="SAQ2481" s="54"/>
      <c r="SAR2481" s="54"/>
      <c r="SAS2481" s="60"/>
      <c r="SAT2481" s="60"/>
      <c r="SAU2481" s="60"/>
      <c r="SAV2481" s="60"/>
      <c r="SAW2481" s="60"/>
      <c r="SAX2481" s="61"/>
      <c r="SAY2481" s="54"/>
      <c r="SAZ2481" s="54"/>
      <c r="SBA2481" s="60"/>
      <c r="SBB2481" s="60"/>
      <c r="SBC2481" s="60"/>
      <c r="SBD2481" s="60"/>
      <c r="SBE2481" s="60"/>
      <c r="SBF2481" s="61"/>
      <c r="SBG2481" s="54"/>
      <c r="SBH2481" s="54"/>
      <c r="SBI2481" s="60"/>
      <c r="SBJ2481" s="60"/>
      <c r="SBK2481" s="60"/>
      <c r="SBL2481" s="60"/>
      <c r="SBM2481" s="60"/>
      <c r="SBN2481" s="61"/>
      <c r="SBO2481" s="54"/>
      <c r="SBP2481" s="54"/>
      <c r="SBQ2481" s="60"/>
      <c r="SBR2481" s="60"/>
      <c r="SBS2481" s="60"/>
      <c r="SBT2481" s="60"/>
      <c r="SBU2481" s="60"/>
      <c r="SBV2481" s="61"/>
      <c r="SBW2481" s="54"/>
      <c r="SBX2481" s="54"/>
      <c r="SBY2481" s="60"/>
      <c r="SBZ2481" s="60"/>
      <c r="SCA2481" s="60"/>
      <c r="SCB2481" s="60"/>
      <c r="SCC2481" s="60"/>
      <c r="SCD2481" s="61"/>
      <c r="SCE2481" s="54"/>
      <c r="SCF2481" s="54"/>
      <c r="SCG2481" s="60"/>
      <c r="SCH2481" s="60"/>
      <c r="SCI2481" s="60"/>
      <c r="SCJ2481" s="60"/>
      <c r="SCK2481" s="60"/>
      <c r="SCL2481" s="61"/>
      <c r="SCM2481" s="54"/>
      <c r="SCN2481" s="54"/>
      <c r="SCO2481" s="60"/>
      <c r="SCP2481" s="60"/>
      <c r="SCQ2481" s="60"/>
      <c r="SCR2481" s="60"/>
      <c r="SCS2481" s="60"/>
      <c r="SCT2481" s="61"/>
      <c r="SCU2481" s="54"/>
      <c r="SCV2481" s="54"/>
      <c r="SCW2481" s="60"/>
      <c r="SCX2481" s="60"/>
      <c r="SCY2481" s="60"/>
      <c r="SCZ2481" s="60"/>
      <c r="SDA2481" s="60"/>
      <c r="SDB2481" s="61"/>
      <c r="SDC2481" s="54"/>
      <c r="SDD2481" s="54"/>
      <c r="SDE2481" s="60"/>
      <c r="SDF2481" s="60"/>
      <c r="SDG2481" s="60"/>
      <c r="SDH2481" s="60"/>
      <c r="SDI2481" s="60"/>
      <c r="SDJ2481" s="61"/>
      <c r="SDK2481" s="54"/>
      <c r="SDL2481" s="54"/>
      <c r="SDM2481" s="60"/>
      <c r="SDN2481" s="60"/>
      <c r="SDO2481" s="60"/>
      <c r="SDP2481" s="60"/>
      <c r="SDQ2481" s="60"/>
      <c r="SDR2481" s="61"/>
      <c r="SDS2481" s="54"/>
      <c r="SDT2481" s="54"/>
      <c r="SDU2481" s="60"/>
      <c r="SDV2481" s="60"/>
      <c r="SDW2481" s="60"/>
      <c r="SDX2481" s="60"/>
      <c r="SDY2481" s="60"/>
      <c r="SDZ2481" s="61"/>
      <c r="SEA2481" s="54"/>
      <c r="SEB2481" s="54"/>
      <c r="SEC2481" s="60"/>
      <c r="SED2481" s="60"/>
      <c r="SEE2481" s="60"/>
      <c r="SEF2481" s="60"/>
      <c r="SEG2481" s="60"/>
      <c r="SEH2481" s="61"/>
      <c r="SEI2481" s="54"/>
      <c r="SEJ2481" s="54"/>
      <c r="SEK2481" s="60"/>
      <c r="SEL2481" s="60"/>
      <c r="SEM2481" s="60"/>
      <c r="SEN2481" s="60"/>
      <c r="SEO2481" s="60"/>
      <c r="SEP2481" s="61"/>
      <c r="SEQ2481" s="54"/>
      <c r="SER2481" s="54"/>
      <c r="SES2481" s="60"/>
      <c r="SET2481" s="60"/>
      <c r="SEU2481" s="60"/>
      <c r="SEV2481" s="60"/>
      <c r="SEW2481" s="60"/>
      <c r="SEX2481" s="61"/>
      <c r="SEY2481" s="54"/>
      <c r="SEZ2481" s="54"/>
      <c r="SFA2481" s="60"/>
      <c r="SFB2481" s="60"/>
      <c r="SFC2481" s="60"/>
      <c r="SFD2481" s="60"/>
      <c r="SFE2481" s="60"/>
      <c r="SFF2481" s="61"/>
      <c r="SFG2481" s="54"/>
      <c r="SFH2481" s="54"/>
      <c r="SFI2481" s="60"/>
      <c r="SFJ2481" s="60"/>
      <c r="SFK2481" s="60"/>
      <c r="SFL2481" s="60"/>
      <c r="SFM2481" s="60"/>
      <c r="SFN2481" s="61"/>
      <c r="SFO2481" s="54"/>
      <c r="SFP2481" s="54"/>
      <c r="SFQ2481" s="60"/>
      <c r="SFR2481" s="60"/>
      <c r="SFS2481" s="60"/>
      <c r="SFT2481" s="60"/>
      <c r="SFU2481" s="60"/>
      <c r="SFV2481" s="61"/>
      <c r="SFW2481" s="54"/>
      <c r="SFX2481" s="54"/>
      <c r="SFY2481" s="60"/>
      <c r="SFZ2481" s="60"/>
      <c r="SGA2481" s="60"/>
      <c r="SGB2481" s="60"/>
      <c r="SGC2481" s="60"/>
      <c r="SGD2481" s="61"/>
      <c r="SGE2481" s="54"/>
      <c r="SGF2481" s="54"/>
      <c r="SGG2481" s="60"/>
      <c r="SGH2481" s="60"/>
      <c r="SGI2481" s="60"/>
      <c r="SGJ2481" s="60"/>
      <c r="SGK2481" s="60"/>
      <c r="SGL2481" s="61"/>
      <c r="SGM2481" s="54"/>
      <c r="SGN2481" s="54"/>
      <c r="SGO2481" s="60"/>
      <c r="SGP2481" s="60"/>
      <c r="SGQ2481" s="60"/>
      <c r="SGR2481" s="60"/>
      <c r="SGS2481" s="60"/>
      <c r="SGT2481" s="61"/>
      <c r="SGU2481" s="54"/>
      <c r="SGV2481" s="54"/>
      <c r="SGW2481" s="60"/>
      <c r="SGX2481" s="60"/>
      <c r="SGY2481" s="60"/>
      <c r="SGZ2481" s="60"/>
      <c r="SHA2481" s="60"/>
      <c r="SHB2481" s="61"/>
      <c r="SHC2481" s="54"/>
      <c r="SHD2481" s="54"/>
      <c r="SHE2481" s="60"/>
      <c r="SHF2481" s="60"/>
      <c r="SHG2481" s="60"/>
      <c r="SHH2481" s="60"/>
      <c r="SHI2481" s="60"/>
      <c r="SHJ2481" s="61"/>
      <c r="SHK2481" s="54"/>
      <c r="SHL2481" s="54"/>
      <c r="SHM2481" s="60"/>
      <c r="SHN2481" s="60"/>
      <c r="SHO2481" s="60"/>
      <c r="SHP2481" s="60"/>
      <c r="SHQ2481" s="60"/>
      <c r="SHR2481" s="61"/>
      <c r="SHS2481" s="54"/>
      <c r="SHT2481" s="54"/>
      <c r="SHU2481" s="60"/>
      <c r="SHV2481" s="60"/>
      <c r="SHW2481" s="60"/>
      <c r="SHX2481" s="60"/>
      <c r="SHY2481" s="60"/>
      <c r="SHZ2481" s="61"/>
      <c r="SIA2481" s="54"/>
      <c r="SIB2481" s="54"/>
      <c r="SIC2481" s="60"/>
      <c r="SID2481" s="60"/>
      <c r="SIE2481" s="60"/>
      <c r="SIF2481" s="60"/>
      <c r="SIG2481" s="60"/>
      <c r="SIH2481" s="61"/>
      <c r="SII2481" s="54"/>
      <c r="SIJ2481" s="54"/>
      <c r="SIK2481" s="60"/>
      <c r="SIL2481" s="60"/>
      <c r="SIM2481" s="60"/>
      <c r="SIN2481" s="60"/>
      <c r="SIO2481" s="60"/>
      <c r="SIP2481" s="61"/>
      <c r="SIQ2481" s="54"/>
      <c r="SIR2481" s="54"/>
      <c r="SIS2481" s="60"/>
      <c r="SIT2481" s="60"/>
      <c r="SIU2481" s="60"/>
      <c r="SIV2481" s="60"/>
      <c r="SIW2481" s="60"/>
      <c r="SIX2481" s="61"/>
      <c r="SIY2481" s="54"/>
      <c r="SIZ2481" s="54"/>
      <c r="SJA2481" s="60"/>
      <c r="SJB2481" s="60"/>
      <c r="SJC2481" s="60"/>
      <c r="SJD2481" s="60"/>
      <c r="SJE2481" s="60"/>
      <c r="SJF2481" s="61"/>
      <c r="SJG2481" s="54"/>
      <c r="SJH2481" s="54"/>
      <c r="SJI2481" s="60"/>
      <c r="SJJ2481" s="60"/>
      <c r="SJK2481" s="60"/>
      <c r="SJL2481" s="60"/>
      <c r="SJM2481" s="60"/>
      <c r="SJN2481" s="61"/>
      <c r="SJO2481" s="54"/>
      <c r="SJP2481" s="54"/>
      <c r="SJQ2481" s="60"/>
      <c r="SJR2481" s="60"/>
      <c r="SJS2481" s="60"/>
      <c r="SJT2481" s="60"/>
      <c r="SJU2481" s="60"/>
      <c r="SJV2481" s="61"/>
      <c r="SJW2481" s="54"/>
      <c r="SJX2481" s="54"/>
      <c r="SJY2481" s="60"/>
      <c r="SJZ2481" s="60"/>
      <c r="SKA2481" s="60"/>
      <c r="SKB2481" s="60"/>
      <c r="SKC2481" s="60"/>
      <c r="SKD2481" s="61"/>
      <c r="SKE2481" s="54"/>
      <c r="SKF2481" s="54"/>
      <c r="SKG2481" s="60"/>
      <c r="SKH2481" s="60"/>
      <c r="SKI2481" s="60"/>
      <c r="SKJ2481" s="60"/>
      <c r="SKK2481" s="60"/>
      <c r="SKL2481" s="61"/>
      <c r="SKM2481" s="54"/>
      <c r="SKN2481" s="54"/>
      <c r="SKO2481" s="60"/>
      <c r="SKP2481" s="60"/>
      <c r="SKQ2481" s="60"/>
      <c r="SKR2481" s="60"/>
      <c r="SKS2481" s="60"/>
      <c r="SKT2481" s="61"/>
      <c r="SKU2481" s="54"/>
      <c r="SKV2481" s="54"/>
      <c r="SKW2481" s="60"/>
      <c r="SKX2481" s="60"/>
      <c r="SKY2481" s="60"/>
      <c r="SKZ2481" s="60"/>
      <c r="SLA2481" s="60"/>
      <c r="SLB2481" s="61"/>
      <c r="SLC2481" s="54"/>
      <c r="SLD2481" s="54"/>
      <c r="SLE2481" s="60"/>
      <c r="SLF2481" s="60"/>
      <c r="SLG2481" s="60"/>
      <c r="SLH2481" s="60"/>
      <c r="SLI2481" s="60"/>
      <c r="SLJ2481" s="61"/>
      <c r="SLK2481" s="54"/>
      <c r="SLL2481" s="54"/>
      <c r="SLM2481" s="60"/>
      <c r="SLN2481" s="60"/>
      <c r="SLO2481" s="60"/>
      <c r="SLP2481" s="60"/>
      <c r="SLQ2481" s="60"/>
      <c r="SLR2481" s="61"/>
      <c r="SLS2481" s="54"/>
      <c r="SLT2481" s="54"/>
      <c r="SLU2481" s="60"/>
      <c r="SLV2481" s="60"/>
      <c r="SLW2481" s="60"/>
      <c r="SLX2481" s="60"/>
      <c r="SLY2481" s="60"/>
      <c r="SLZ2481" s="61"/>
      <c r="SMA2481" s="54"/>
      <c r="SMB2481" s="54"/>
      <c r="SMC2481" s="60"/>
      <c r="SMD2481" s="60"/>
      <c r="SME2481" s="60"/>
      <c r="SMF2481" s="60"/>
      <c r="SMG2481" s="60"/>
      <c r="SMH2481" s="61"/>
      <c r="SMI2481" s="54"/>
      <c r="SMJ2481" s="54"/>
      <c r="SMK2481" s="60"/>
      <c r="SML2481" s="60"/>
      <c r="SMM2481" s="60"/>
      <c r="SMN2481" s="60"/>
      <c r="SMO2481" s="60"/>
      <c r="SMP2481" s="61"/>
      <c r="SMQ2481" s="54"/>
      <c r="SMR2481" s="54"/>
      <c r="SMS2481" s="60"/>
      <c r="SMT2481" s="60"/>
      <c r="SMU2481" s="60"/>
      <c r="SMV2481" s="60"/>
      <c r="SMW2481" s="60"/>
      <c r="SMX2481" s="61"/>
      <c r="SMY2481" s="54"/>
      <c r="SMZ2481" s="54"/>
      <c r="SNA2481" s="60"/>
      <c r="SNB2481" s="60"/>
      <c r="SNC2481" s="60"/>
      <c r="SND2481" s="60"/>
      <c r="SNE2481" s="60"/>
      <c r="SNF2481" s="61"/>
      <c r="SNG2481" s="54"/>
      <c r="SNH2481" s="54"/>
      <c r="SNI2481" s="60"/>
      <c r="SNJ2481" s="60"/>
      <c r="SNK2481" s="60"/>
      <c r="SNL2481" s="60"/>
      <c r="SNM2481" s="60"/>
      <c r="SNN2481" s="61"/>
      <c r="SNO2481" s="54"/>
      <c r="SNP2481" s="54"/>
      <c r="SNQ2481" s="60"/>
      <c r="SNR2481" s="60"/>
      <c r="SNS2481" s="60"/>
      <c r="SNT2481" s="60"/>
      <c r="SNU2481" s="60"/>
      <c r="SNV2481" s="61"/>
      <c r="SNW2481" s="54"/>
      <c r="SNX2481" s="54"/>
      <c r="SNY2481" s="60"/>
      <c r="SNZ2481" s="60"/>
      <c r="SOA2481" s="60"/>
      <c r="SOB2481" s="60"/>
      <c r="SOC2481" s="60"/>
      <c r="SOD2481" s="61"/>
      <c r="SOE2481" s="54"/>
      <c r="SOF2481" s="54"/>
      <c r="SOG2481" s="60"/>
      <c r="SOH2481" s="60"/>
      <c r="SOI2481" s="60"/>
      <c r="SOJ2481" s="60"/>
      <c r="SOK2481" s="60"/>
      <c r="SOL2481" s="61"/>
      <c r="SOM2481" s="54"/>
      <c r="SON2481" s="54"/>
      <c r="SOO2481" s="60"/>
      <c r="SOP2481" s="60"/>
      <c r="SOQ2481" s="60"/>
      <c r="SOR2481" s="60"/>
      <c r="SOS2481" s="60"/>
      <c r="SOT2481" s="61"/>
      <c r="SOU2481" s="54"/>
      <c r="SOV2481" s="54"/>
      <c r="SOW2481" s="60"/>
      <c r="SOX2481" s="60"/>
      <c r="SOY2481" s="60"/>
      <c r="SOZ2481" s="60"/>
      <c r="SPA2481" s="60"/>
      <c r="SPB2481" s="61"/>
      <c r="SPC2481" s="54"/>
      <c r="SPD2481" s="54"/>
      <c r="SPE2481" s="60"/>
      <c r="SPF2481" s="60"/>
      <c r="SPG2481" s="60"/>
      <c r="SPH2481" s="60"/>
      <c r="SPI2481" s="60"/>
      <c r="SPJ2481" s="61"/>
      <c r="SPK2481" s="54"/>
      <c r="SPL2481" s="54"/>
      <c r="SPM2481" s="60"/>
      <c r="SPN2481" s="60"/>
      <c r="SPO2481" s="60"/>
      <c r="SPP2481" s="60"/>
      <c r="SPQ2481" s="60"/>
      <c r="SPR2481" s="61"/>
      <c r="SPS2481" s="54"/>
      <c r="SPT2481" s="54"/>
      <c r="SPU2481" s="60"/>
      <c r="SPV2481" s="60"/>
      <c r="SPW2481" s="60"/>
      <c r="SPX2481" s="60"/>
      <c r="SPY2481" s="60"/>
      <c r="SPZ2481" s="61"/>
      <c r="SQA2481" s="54"/>
      <c r="SQB2481" s="54"/>
      <c r="SQC2481" s="60"/>
      <c r="SQD2481" s="60"/>
      <c r="SQE2481" s="60"/>
      <c r="SQF2481" s="60"/>
      <c r="SQG2481" s="60"/>
      <c r="SQH2481" s="61"/>
      <c r="SQI2481" s="54"/>
      <c r="SQJ2481" s="54"/>
      <c r="SQK2481" s="60"/>
      <c r="SQL2481" s="60"/>
      <c r="SQM2481" s="60"/>
      <c r="SQN2481" s="60"/>
      <c r="SQO2481" s="60"/>
      <c r="SQP2481" s="61"/>
      <c r="SQQ2481" s="54"/>
      <c r="SQR2481" s="54"/>
      <c r="SQS2481" s="60"/>
      <c r="SQT2481" s="60"/>
      <c r="SQU2481" s="60"/>
      <c r="SQV2481" s="60"/>
      <c r="SQW2481" s="60"/>
      <c r="SQX2481" s="61"/>
      <c r="SQY2481" s="54"/>
      <c r="SQZ2481" s="54"/>
      <c r="SRA2481" s="60"/>
      <c r="SRB2481" s="60"/>
      <c r="SRC2481" s="60"/>
      <c r="SRD2481" s="60"/>
      <c r="SRE2481" s="60"/>
      <c r="SRF2481" s="61"/>
      <c r="SRG2481" s="54"/>
      <c r="SRH2481" s="54"/>
      <c r="SRI2481" s="60"/>
      <c r="SRJ2481" s="60"/>
      <c r="SRK2481" s="60"/>
      <c r="SRL2481" s="60"/>
      <c r="SRM2481" s="60"/>
      <c r="SRN2481" s="61"/>
      <c r="SRO2481" s="54"/>
      <c r="SRP2481" s="54"/>
      <c r="SRQ2481" s="60"/>
      <c r="SRR2481" s="60"/>
      <c r="SRS2481" s="60"/>
      <c r="SRT2481" s="60"/>
      <c r="SRU2481" s="60"/>
      <c r="SRV2481" s="61"/>
      <c r="SRW2481" s="54"/>
      <c r="SRX2481" s="54"/>
      <c r="SRY2481" s="60"/>
      <c r="SRZ2481" s="60"/>
      <c r="SSA2481" s="60"/>
      <c r="SSB2481" s="60"/>
      <c r="SSC2481" s="60"/>
      <c r="SSD2481" s="61"/>
      <c r="SSE2481" s="54"/>
      <c r="SSF2481" s="54"/>
      <c r="SSG2481" s="60"/>
      <c r="SSH2481" s="60"/>
      <c r="SSI2481" s="60"/>
      <c r="SSJ2481" s="60"/>
      <c r="SSK2481" s="60"/>
      <c r="SSL2481" s="61"/>
      <c r="SSM2481" s="54"/>
      <c r="SSN2481" s="54"/>
      <c r="SSO2481" s="60"/>
      <c r="SSP2481" s="60"/>
      <c r="SSQ2481" s="60"/>
      <c r="SSR2481" s="60"/>
      <c r="SSS2481" s="60"/>
      <c r="SST2481" s="61"/>
      <c r="SSU2481" s="54"/>
      <c r="SSV2481" s="54"/>
      <c r="SSW2481" s="60"/>
      <c r="SSX2481" s="60"/>
      <c r="SSY2481" s="60"/>
      <c r="SSZ2481" s="60"/>
      <c r="STA2481" s="60"/>
      <c r="STB2481" s="61"/>
      <c r="STC2481" s="54"/>
      <c r="STD2481" s="54"/>
      <c r="STE2481" s="60"/>
      <c r="STF2481" s="60"/>
      <c r="STG2481" s="60"/>
      <c r="STH2481" s="60"/>
      <c r="STI2481" s="60"/>
      <c r="STJ2481" s="61"/>
      <c r="STK2481" s="54"/>
      <c r="STL2481" s="54"/>
      <c r="STM2481" s="60"/>
      <c r="STN2481" s="60"/>
      <c r="STO2481" s="60"/>
      <c r="STP2481" s="60"/>
      <c r="STQ2481" s="60"/>
      <c r="STR2481" s="61"/>
      <c r="STS2481" s="54"/>
      <c r="STT2481" s="54"/>
      <c r="STU2481" s="60"/>
      <c r="STV2481" s="60"/>
      <c r="STW2481" s="60"/>
      <c r="STX2481" s="60"/>
      <c r="STY2481" s="60"/>
      <c r="STZ2481" s="61"/>
      <c r="SUA2481" s="54"/>
      <c r="SUB2481" s="54"/>
      <c r="SUC2481" s="60"/>
      <c r="SUD2481" s="60"/>
      <c r="SUE2481" s="60"/>
      <c r="SUF2481" s="60"/>
      <c r="SUG2481" s="60"/>
      <c r="SUH2481" s="61"/>
      <c r="SUI2481" s="54"/>
      <c r="SUJ2481" s="54"/>
      <c r="SUK2481" s="60"/>
      <c r="SUL2481" s="60"/>
      <c r="SUM2481" s="60"/>
      <c r="SUN2481" s="60"/>
      <c r="SUO2481" s="60"/>
      <c r="SUP2481" s="61"/>
      <c r="SUQ2481" s="54"/>
      <c r="SUR2481" s="54"/>
      <c r="SUS2481" s="60"/>
      <c r="SUT2481" s="60"/>
      <c r="SUU2481" s="60"/>
      <c r="SUV2481" s="60"/>
      <c r="SUW2481" s="60"/>
      <c r="SUX2481" s="61"/>
      <c r="SUY2481" s="54"/>
      <c r="SUZ2481" s="54"/>
      <c r="SVA2481" s="60"/>
      <c r="SVB2481" s="60"/>
      <c r="SVC2481" s="60"/>
      <c r="SVD2481" s="60"/>
      <c r="SVE2481" s="60"/>
      <c r="SVF2481" s="61"/>
      <c r="SVG2481" s="54"/>
      <c r="SVH2481" s="54"/>
      <c r="SVI2481" s="60"/>
      <c r="SVJ2481" s="60"/>
      <c r="SVK2481" s="60"/>
      <c r="SVL2481" s="60"/>
      <c r="SVM2481" s="60"/>
      <c r="SVN2481" s="61"/>
      <c r="SVO2481" s="54"/>
      <c r="SVP2481" s="54"/>
      <c r="SVQ2481" s="60"/>
      <c r="SVR2481" s="60"/>
      <c r="SVS2481" s="60"/>
      <c r="SVT2481" s="60"/>
      <c r="SVU2481" s="60"/>
      <c r="SVV2481" s="61"/>
      <c r="SVW2481" s="54"/>
      <c r="SVX2481" s="54"/>
      <c r="SVY2481" s="60"/>
      <c r="SVZ2481" s="60"/>
      <c r="SWA2481" s="60"/>
      <c r="SWB2481" s="60"/>
      <c r="SWC2481" s="60"/>
      <c r="SWD2481" s="61"/>
      <c r="SWE2481" s="54"/>
      <c r="SWF2481" s="54"/>
      <c r="SWG2481" s="60"/>
      <c r="SWH2481" s="60"/>
      <c r="SWI2481" s="60"/>
      <c r="SWJ2481" s="60"/>
      <c r="SWK2481" s="60"/>
      <c r="SWL2481" s="61"/>
      <c r="SWM2481" s="54"/>
      <c r="SWN2481" s="54"/>
      <c r="SWO2481" s="60"/>
      <c r="SWP2481" s="60"/>
      <c r="SWQ2481" s="60"/>
      <c r="SWR2481" s="60"/>
      <c r="SWS2481" s="60"/>
      <c r="SWT2481" s="61"/>
      <c r="SWU2481" s="54"/>
      <c r="SWV2481" s="54"/>
      <c r="SWW2481" s="60"/>
      <c r="SWX2481" s="60"/>
      <c r="SWY2481" s="60"/>
      <c r="SWZ2481" s="60"/>
      <c r="SXA2481" s="60"/>
      <c r="SXB2481" s="61"/>
      <c r="SXC2481" s="54"/>
      <c r="SXD2481" s="54"/>
      <c r="SXE2481" s="60"/>
      <c r="SXF2481" s="60"/>
      <c r="SXG2481" s="60"/>
      <c r="SXH2481" s="60"/>
      <c r="SXI2481" s="60"/>
      <c r="SXJ2481" s="61"/>
      <c r="SXK2481" s="54"/>
      <c r="SXL2481" s="54"/>
      <c r="SXM2481" s="60"/>
      <c r="SXN2481" s="60"/>
      <c r="SXO2481" s="60"/>
      <c r="SXP2481" s="60"/>
      <c r="SXQ2481" s="60"/>
      <c r="SXR2481" s="61"/>
      <c r="SXS2481" s="54"/>
      <c r="SXT2481" s="54"/>
      <c r="SXU2481" s="60"/>
      <c r="SXV2481" s="60"/>
      <c r="SXW2481" s="60"/>
      <c r="SXX2481" s="60"/>
      <c r="SXY2481" s="60"/>
      <c r="SXZ2481" s="61"/>
      <c r="SYA2481" s="54"/>
      <c r="SYB2481" s="54"/>
      <c r="SYC2481" s="60"/>
      <c r="SYD2481" s="60"/>
      <c r="SYE2481" s="60"/>
      <c r="SYF2481" s="60"/>
      <c r="SYG2481" s="60"/>
      <c r="SYH2481" s="61"/>
      <c r="SYI2481" s="54"/>
      <c r="SYJ2481" s="54"/>
      <c r="SYK2481" s="60"/>
      <c r="SYL2481" s="60"/>
      <c r="SYM2481" s="60"/>
      <c r="SYN2481" s="60"/>
      <c r="SYO2481" s="60"/>
      <c r="SYP2481" s="61"/>
      <c r="SYQ2481" s="54"/>
      <c r="SYR2481" s="54"/>
      <c r="SYS2481" s="60"/>
      <c r="SYT2481" s="60"/>
      <c r="SYU2481" s="60"/>
      <c r="SYV2481" s="60"/>
      <c r="SYW2481" s="60"/>
      <c r="SYX2481" s="61"/>
      <c r="SYY2481" s="54"/>
      <c r="SYZ2481" s="54"/>
      <c r="SZA2481" s="60"/>
      <c r="SZB2481" s="60"/>
      <c r="SZC2481" s="60"/>
      <c r="SZD2481" s="60"/>
      <c r="SZE2481" s="60"/>
      <c r="SZF2481" s="61"/>
      <c r="SZG2481" s="54"/>
      <c r="SZH2481" s="54"/>
      <c r="SZI2481" s="60"/>
      <c r="SZJ2481" s="60"/>
      <c r="SZK2481" s="60"/>
      <c r="SZL2481" s="60"/>
      <c r="SZM2481" s="60"/>
      <c r="SZN2481" s="61"/>
      <c r="SZO2481" s="54"/>
      <c r="SZP2481" s="54"/>
      <c r="SZQ2481" s="60"/>
      <c r="SZR2481" s="60"/>
      <c r="SZS2481" s="60"/>
      <c r="SZT2481" s="60"/>
      <c r="SZU2481" s="60"/>
      <c r="SZV2481" s="61"/>
      <c r="SZW2481" s="54"/>
      <c r="SZX2481" s="54"/>
      <c r="SZY2481" s="60"/>
      <c r="SZZ2481" s="60"/>
      <c r="TAA2481" s="60"/>
      <c r="TAB2481" s="60"/>
      <c r="TAC2481" s="60"/>
      <c r="TAD2481" s="61"/>
      <c r="TAE2481" s="54"/>
      <c r="TAF2481" s="54"/>
      <c r="TAG2481" s="60"/>
      <c r="TAH2481" s="60"/>
      <c r="TAI2481" s="60"/>
      <c r="TAJ2481" s="60"/>
      <c r="TAK2481" s="60"/>
      <c r="TAL2481" s="61"/>
      <c r="TAM2481" s="54"/>
      <c r="TAN2481" s="54"/>
      <c r="TAO2481" s="60"/>
      <c r="TAP2481" s="60"/>
      <c r="TAQ2481" s="60"/>
      <c r="TAR2481" s="60"/>
      <c r="TAS2481" s="60"/>
      <c r="TAT2481" s="61"/>
      <c r="TAU2481" s="54"/>
      <c r="TAV2481" s="54"/>
      <c r="TAW2481" s="60"/>
      <c r="TAX2481" s="60"/>
      <c r="TAY2481" s="60"/>
      <c r="TAZ2481" s="60"/>
      <c r="TBA2481" s="60"/>
      <c r="TBB2481" s="61"/>
      <c r="TBC2481" s="54"/>
      <c r="TBD2481" s="54"/>
      <c r="TBE2481" s="60"/>
      <c r="TBF2481" s="60"/>
      <c r="TBG2481" s="60"/>
      <c r="TBH2481" s="60"/>
      <c r="TBI2481" s="60"/>
      <c r="TBJ2481" s="61"/>
      <c r="TBK2481" s="54"/>
      <c r="TBL2481" s="54"/>
      <c r="TBM2481" s="60"/>
      <c r="TBN2481" s="60"/>
      <c r="TBO2481" s="60"/>
      <c r="TBP2481" s="60"/>
      <c r="TBQ2481" s="60"/>
      <c r="TBR2481" s="61"/>
      <c r="TBS2481" s="54"/>
      <c r="TBT2481" s="54"/>
      <c r="TBU2481" s="60"/>
      <c r="TBV2481" s="60"/>
      <c r="TBW2481" s="60"/>
      <c r="TBX2481" s="60"/>
      <c r="TBY2481" s="60"/>
      <c r="TBZ2481" s="61"/>
      <c r="TCA2481" s="54"/>
      <c r="TCB2481" s="54"/>
      <c r="TCC2481" s="60"/>
      <c r="TCD2481" s="60"/>
      <c r="TCE2481" s="60"/>
      <c r="TCF2481" s="60"/>
      <c r="TCG2481" s="60"/>
      <c r="TCH2481" s="61"/>
      <c r="TCI2481" s="54"/>
      <c r="TCJ2481" s="54"/>
      <c r="TCK2481" s="60"/>
      <c r="TCL2481" s="60"/>
      <c r="TCM2481" s="60"/>
      <c r="TCN2481" s="60"/>
      <c r="TCO2481" s="60"/>
      <c r="TCP2481" s="61"/>
      <c r="TCQ2481" s="54"/>
      <c r="TCR2481" s="54"/>
      <c r="TCS2481" s="60"/>
      <c r="TCT2481" s="60"/>
      <c r="TCU2481" s="60"/>
      <c r="TCV2481" s="60"/>
      <c r="TCW2481" s="60"/>
      <c r="TCX2481" s="61"/>
      <c r="TCY2481" s="54"/>
      <c r="TCZ2481" s="54"/>
      <c r="TDA2481" s="60"/>
      <c r="TDB2481" s="60"/>
      <c r="TDC2481" s="60"/>
      <c r="TDD2481" s="60"/>
      <c r="TDE2481" s="60"/>
      <c r="TDF2481" s="61"/>
      <c r="TDG2481" s="54"/>
      <c r="TDH2481" s="54"/>
      <c r="TDI2481" s="60"/>
      <c r="TDJ2481" s="60"/>
      <c r="TDK2481" s="60"/>
      <c r="TDL2481" s="60"/>
      <c r="TDM2481" s="60"/>
      <c r="TDN2481" s="61"/>
      <c r="TDO2481" s="54"/>
      <c r="TDP2481" s="54"/>
      <c r="TDQ2481" s="60"/>
      <c r="TDR2481" s="60"/>
      <c r="TDS2481" s="60"/>
      <c r="TDT2481" s="60"/>
      <c r="TDU2481" s="60"/>
      <c r="TDV2481" s="61"/>
      <c r="TDW2481" s="54"/>
      <c r="TDX2481" s="54"/>
      <c r="TDY2481" s="60"/>
      <c r="TDZ2481" s="60"/>
      <c r="TEA2481" s="60"/>
      <c r="TEB2481" s="60"/>
      <c r="TEC2481" s="60"/>
      <c r="TED2481" s="61"/>
      <c r="TEE2481" s="54"/>
      <c r="TEF2481" s="54"/>
      <c r="TEG2481" s="60"/>
      <c r="TEH2481" s="60"/>
      <c r="TEI2481" s="60"/>
      <c r="TEJ2481" s="60"/>
      <c r="TEK2481" s="60"/>
      <c r="TEL2481" s="61"/>
      <c r="TEM2481" s="54"/>
      <c r="TEN2481" s="54"/>
      <c r="TEO2481" s="60"/>
      <c r="TEP2481" s="60"/>
      <c r="TEQ2481" s="60"/>
      <c r="TER2481" s="60"/>
      <c r="TES2481" s="60"/>
      <c r="TET2481" s="61"/>
      <c r="TEU2481" s="54"/>
      <c r="TEV2481" s="54"/>
      <c r="TEW2481" s="60"/>
      <c r="TEX2481" s="60"/>
      <c r="TEY2481" s="60"/>
      <c r="TEZ2481" s="60"/>
      <c r="TFA2481" s="60"/>
      <c r="TFB2481" s="61"/>
      <c r="TFC2481" s="54"/>
      <c r="TFD2481" s="54"/>
      <c r="TFE2481" s="60"/>
      <c r="TFF2481" s="60"/>
      <c r="TFG2481" s="60"/>
      <c r="TFH2481" s="60"/>
      <c r="TFI2481" s="60"/>
      <c r="TFJ2481" s="61"/>
      <c r="TFK2481" s="54"/>
      <c r="TFL2481" s="54"/>
      <c r="TFM2481" s="60"/>
      <c r="TFN2481" s="60"/>
      <c r="TFO2481" s="60"/>
      <c r="TFP2481" s="60"/>
      <c r="TFQ2481" s="60"/>
      <c r="TFR2481" s="61"/>
      <c r="TFS2481" s="54"/>
      <c r="TFT2481" s="54"/>
      <c r="TFU2481" s="60"/>
      <c r="TFV2481" s="60"/>
      <c r="TFW2481" s="60"/>
      <c r="TFX2481" s="60"/>
      <c r="TFY2481" s="60"/>
      <c r="TFZ2481" s="61"/>
      <c r="TGA2481" s="54"/>
      <c r="TGB2481" s="54"/>
      <c r="TGC2481" s="60"/>
      <c r="TGD2481" s="60"/>
      <c r="TGE2481" s="60"/>
      <c r="TGF2481" s="60"/>
      <c r="TGG2481" s="60"/>
      <c r="TGH2481" s="61"/>
      <c r="TGI2481" s="54"/>
      <c r="TGJ2481" s="54"/>
      <c r="TGK2481" s="60"/>
      <c r="TGL2481" s="60"/>
      <c r="TGM2481" s="60"/>
      <c r="TGN2481" s="60"/>
      <c r="TGO2481" s="60"/>
      <c r="TGP2481" s="61"/>
      <c r="TGQ2481" s="54"/>
      <c r="TGR2481" s="54"/>
      <c r="TGS2481" s="60"/>
      <c r="TGT2481" s="60"/>
      <c r="TGU2481" s="60"/>
      <c r="TGV2481" s="60"/>
      <c r="TGW2481" s="60"/>
      <c r="TGX2481" s="61"/>
      <c r="TGY2481" s="54"/>
      <c r="TGZ2481" s="54"/>
      <c r="THA2481" s="60"/>
      <c r="THB2481" s="60"/>
      <c r="THC2481" s="60"/>
      <c r="THD2481" s="60"/>
      <c r="THE2481" s="60"/>
      <c r="THF2481" s="61"/>
      <c r="THG2481" s="54"/>
      <c r="THH2481" s="54"/>
      <c r="THI2481" s="60"/>
      <c r="THJ2481" s="60"/>
      <c r="THK2481" s="60"/>
      <c r="THL2481" s="60"/>
      <c r="THM2481" s="60"/>
      <c r="THN2481" s="61"/>
      <c r="THO2481" s="54"/>
      <c r="THP2481" s="54"/>
      <c r="THQ2481" s="60"/>
      <c r="THR2481" s="60"/>
      <c r="THS2481" s="60"/>
      <c r="THT2481" s="60"/>
      <c r="THU2481" s="60"/>
      <c r="THV2481" s="61"/>
      <c r="THW2481" s="54"/>
      <c r="THX2481" s="54"/>
      <c r="THY2481" s="60"/>
      <c r="THZ2481" s="60"/>
      <c r="TIA2481" s="60"/>
      <c r="TIB2481" s="60"/>
      <c r="TIC2481" s="60"/>
      <c r="TID2481" s="61"/>
      <c r="TIE2481" s="54"/>
      <c r="TIF2481" s="54"/>
      <c r="TIG2481" s="60"/>
      <c r="TIH2481" s="60"/>
      <c r="TII2481" s="60"/>
      <c r="TIJ2481" s="60"/>
      <c r="TIK2481" s="60"/>
      <c r="TIL2481" s="61"/>
      <c r="TIM2481" s="54"/>
      <c r="TIN2481" s="54"/>
      <c r="TIO2481" s="60"/>
      <c r="TIP2481" s="60"/>
      <c r="TIQ2481" s="60"/>
      <c r="TIR2481" s="60"/>
      <c r="TIS2481" s="60"/>
      <c r="TIT2481" s="61"/>
      <c r="TIU2481" s="54"/>
      <c r="TIV2481" s="54"/>
      <c r="TIW2481" s="60"/>
      <c r="TIX2481" s="60"/>
      <c r="TIY2481" s="60"/>
      <c r="TIZ2481" s="60"/>
      <c r="TJA2481" s="60"/>
      <c r="TJB2481" s="61"/>
      <c r="TJC2481" s="54"/>
      <c r="TJD2481" s="54"/>
      <c r="TJE2481" s="60"/>
      <c r="TJF2481" s="60"/>
      <c r="TJG2481" s="60"/>
      <c r="TJH2481" s="60"/>
      <c r="TJI2481" s="60"/>
      <c r="TJJ2481" s="61"/>
      <c r="TJK2481" s="54"/>
      <c r="TJL2481" s="54"/>
      <c r="TJM2481" s="60"/>
      <c r="TJN2481" s="60"/>
      <c r="TJO2481" s="60"/>
      <c r="TJP2481" s="60"/>
      <c r="TJQ2481" s="60"/>
      <c r="TJR2481" s="61"/>
      <c r="TJS2481" s="54"/>
      <c r="TJT2481" s="54"/>
      <c r="TJU2481" s="60"/>
      <c r="TJV2481" s="60"/>
      <c r="TJW2481" s="60"/>
      <c r="TJX2481" s="60"/>
      <c r="TJY2481" s="60"/>
      <c r="TJZ2481" s="61"/>
      <c r="TKA2481" s="54"/>
      <c r="TKB2481" s="54"/>
      <c r="TKC2481" s="60"/>
      <c r="TKD2481" s="60"/>
      <c r="TKE2481" s="60"/>
      <c r="TKF2481" s="60"/>
      <c r="TKG2481" s="60"/>
      <c r="TKH2481" s="61"/>
      <c r="TKI2481" s="54"/>
      <c r="TKJ2481" s="54"/>
      <c r="TKK2481" s="60"/>
      <c r="TKL2481" s="60"/>
      <c r="TKM2481" s="60"/>
      <c r="TKN2481" s="60"/>
      <c r="TKO2481" s="60"/>
      <c r="TKP2481" s="61"/>
      <c r="TKQ2481" s="54"/>
      <c r="TKR2481" s="54"/>
      <c r="TKS2481" s="60"/>
      <c r="TKT2481" s="60"/>
      <c r="TKU2481" s="60"/>
      <c r="TKV2481" s="60"/>
      <c r="TKW2481" s="60"/>
      <c r="TKX2481" s="61"/>
      <c r="TKY2481" s="54"/>
      <c r="TKZ2481" s="54"/>
      <c r="TLA2481" s="60"/>
      <c r="TLB2481" s="60"/>
      <c r="TLC2481" s="60"/>
      <c r="TLD2481" s="60"/>
      <c r="TLE2481" s="60"/>
      <c r="TLF2481" s="61"/>
      <c r="TLG2481" s="54"/>
      <c r="TLH2481" s="54"/>
      <c r="TLI2481" s="60"/>
      <c r="TLJ2481" s="60"/>
      <c r="TLK2481" s="60"/>
      <c r="TLL2481" s="60"/>
      <c r="TLM2481" s="60"/>
      <c r="TLN2481" s="61"/>
      <c r="TLO2481" s="54"/>
      <c r="TLP2481" s="54"/>
      <c r="TLQ2481" s="60"/>
      <c r="TLR2481" s="60"/>
      <c r="TLS2481" s="60"/>
      <c r="TLT2481" s="60"/>
      <c r="TLU2481" s="60"/>
      <c r="TLV2481" s="61"/>
      <c r="TLW2481" s="54"/>
      <c r="TLX2481" s="54"/>
      <c r="TLY2481" s="60"/>
      <c r="TLZ2481" s="60"/>
      <c r="TMA2481" s="60"/>
      <c r="TMB2481" s="60"/>
      <c r="TMC2481" s="60"/>
      <c r="TMD2481" s="61"/>
      <c r="TME2481" s="54"/>
      <c r="TMF2481" s="54"/>
      <c r="TMG2481" s="60"/>
      <c r="TMH2481" s="60"/>
      <c r="TMI2481" s="60"/>
      <c r="TMJ2481" s="60"/>
      <c r="TMK2481" s="60"/>
      <c r="TML2481" s="61"/>
      <c r="TMM2481" s="54"/>
      <c r="TMN2481" s="54"/>
      <c r="TMO2481" s="60"/>
      <c r="TMP2481" s="60"/>
      <c r="TMQ2481" s="60"/>
      <c r="TMR2481" s="60"/>
      <c r="TMS2481" s="60"/>
      <c r="TMT2481" s="61"/>
      <c r="TMU2481" s="54"/>
      <c r="TMV2481" s="54"/>
      <c r="TMW2481" s="60"/>
      <c r="TMX2481" s="60"/>
      <c r="TMY2481" s="60"/>
      <c r="TMZ2481" s="60"/>
      <c r="TNA2481" s="60"/>
      <c r="TNB2481" s="61"/>
      <c r="TNC2481" s="54"/>
      <c r="TND2481" s="54"/>
      <c r="TNE2481" s="60"/>
      <c r="TNF2481" s="60"/>
      <c r="TNG2481" s="60"/>
      <c r="TNH2481" s="60"/>
      <c r="TNI2481" s="60"/>
      <c r="TNJ2481" s="61"/>
      <c r="TNK2481" s="54"/>
      <c r="TNL2481" s="54"/>
      <c r="TNM2481" s="60"/>
      <c r="TNN2481" s="60"/>
      <c r="TNO2481" s="60"/>
      <c r="TNP2481" s="60"/>
      <c r="TNQ2481" s="60"/>
      <c r="TNR2481" s="61"/>
      <c r="TNS2481" s="54"/>
      <c r="TNT2481" s="54"/>
      <c r="TNU2481" s="60"/>
      <c r="TNV2481" s="60"/>
      <c r="TNW2481" s="60"/>
      <c r="TNX2481" s="60"/>
      <c r="TNY2481" s="60"/>
      <c r="TNZ2481" s="61"/>
      <c r="TOA2481" s="54"/>
      <c r="TOB2481" s="54"/>
      <c r="TOC2481" s="60"/>
      <c r="TOD2481" s="60"/>
      <c r="TOE2481" s="60"/>
      <c r="TOF2481" s="60"/>
      <c r="TOG2481" s="60"/>
      <c r="TOH2481" s="61"/>
      <c r="TOI2481" s="54"/>
      <c r="TOJ2481" s="54"/>
      <c r="TOK2481" s="60"/>
      <c r="TOL2481" s="60"/>
      <c r="TOM2481" s="60"/>
      <c r="TON2481" s="60"/>
      <c r="TOO2481" s="60"/>
      <c r="TOP2481" s="61"/>
      <c r="TOQ2481" s="54"/>
      <c r="TOR2481" s="54"/>
      <c r="TOS2481" s="60"/>
      <c r="TOT2481" s="60"/>
      <c r="TOU2481" s="60"/>
      <c r="TOV2481" s="60"/>
      <c r="TOW2481" s="60"/>
      <c r="TOX2481" s="61"/>
      <c r="TOY2481" s="54"/>
      <c r="TOZ2481" s="54"/>
      <c r="TPA2481" s="60"/>
      <c r="TPB2481" s="60"/>
      <c r="TPC2481" s="60"/>
      <c r="TPD2481" s="60"/>
      <c r="TPE2481" s="60"/>
      <c r="TPF2481" s="61"/>
      <c r="TPG2481" s="54"/>
      <c r="TPH2481" s="54"/>
      <c r="TPI2481" s="60"/>
      <c r="TPJ2481" s="60"/>
      <c r="TPK2481" s="60"/>
      <c r="TPL2481" s="60"/>
      <c r="TPM2481" s="60"/>
      <c r="TPN2481" s="61"/>
      <c r="TPO2481" s="54"/>
      <c r="TPP2481" s="54"/>
      <c r="TPQ2481" s="60"/>
      <c r="TPR2481" s="60"/>
      <c r="TPS2481" s="60"/>
      <c r="TPT2481" s="60"/>
      <c r="TPU2481" s="60"/>
      <c r="TPV2481" s="61"/>
      <c r="TPW2481" s="54"/>
      <c r="TPX2481" s="54"/>
      <c r="TPY2481" s="60"/>
      <c r="TPZ2481" s="60"/>
      <c r="TQA2481" s="60"/>
      <c r="TQB2481" s="60"/>
      <c r="TQC2481" s="60"/>
      <c r="TQD2481" s="61"/>
      <c r="TQE2481" s="54"/>
      <c r="TQF2481" s="54"/>
      <c r="TQG2481" s="60"/>
      <c r="TQH2481" s="60"/>
      <c r="TQI2481" s="60"/>
      <c r="TQJ2481" s="60"/>
      <c r="TQK2481" s="60"/>
      <c r="TQL2481" s="61"/>
      <c r="TQM2481" s="54"/>
      <c r="TQN2481" s="54"/>
      <c r="TQO2481" s="60"/>
      <c r="TQP2481" s="60"/>
      <c r="TQQ2481" s="60"/>
      <c r="TQR2481" s="60"/>
      <c r="TQS2481" s="60"/>
      <c r="TQT2481" s="61"/>
      <c r="TQU2481" s="54"/>
      <c r="TQV2481" s="54"/>
      <c r="TQW2481" s="60"/>
      <c r="TQX2481" s="60"/>
      <c r="TQY2481" s="60"/>
      <c r="TQZ2481" s="60"/>
      <c r="TRA2481" s="60"/>
      <c r="TRB2481" s="61"/>
      <c r="TRC2481" s="54"/>
      <c r="TRD2481" s="54"/>
      <c r="TRE2481" s="60"/>
      <c r="TRF2481" s="60"/>
      <c r="TRG2481" s="60"/>
      <c r="TRH2481" s="60"/>
      <c r="TRI2481" s="60"/>
      <c r="TRJ2481" s="61"/>
      <c r="TRK2481" s="54"/>
      <c r="TRL2481" s="54"/>
      <c r="TRM2481" s="60"/>
      <c r="TRN2481" s="60"/>
      <c r="TRO2481" s="60"/>
      <c r="TRP2481" s="60"/>
      <c r="TRQ2481" s="60"/>
      <c r="TRR2481" s="61"/>
      <c r="TRS2481" s="54"/>
      <c r="TRT2481" s="54"/>
      <c r="TRU2481" s="60"/>
      <c r="TRV2481" s="60"/>
      <c r="TRW2481" s="60"/>
      <c r="TRX2481" s="60"/>
      <c r="TRY2481" s="60"/>
      <c r="TRZ2481" s="61"/>
      <c r="TSA2481" s="54"/>
      <c r="TSB2481" s="54"/>
      <c r="TSC2481" s="60"/>
      <c r="TSD2481" s="60"/>
      <c r="TSE2481" s="60"/>
      <c r="TSF2481" s="60"/>
      <c r="TSG2481" s="60"/>
      <c r="TSH2481" s="61"/>
      <c r="TSI2481" s="54"/>
      <c r="TSJ2481" s="54"/>
      <c r="TSK2481" s="60"/>
      <c r="TSL2481" s="60"/>
      <c r="TSM2481" s="60"/>
      <c r="TSN2481" s="60"/>
      <c r="TSO2481" s="60"/>
      <c r="TSP2481" s="61"/>
      <c r="TSQ2481" s="54"/>
      <c r="TSR2481" s="54"/>
      <c r="TSS2481" s="60"/>
      <c r="TST2481" s="60"/>
      <c r="TSU2481" s="60"/>
      <c r="TSV2481" s="60"/>
      <c r="TSW2481" s="60"/>
      <c r="TSX2481" s="61"/>
      <c r="TSY2481" s="54"/>
      <c r="TSZ2481" s="54"/>
      <c r="TTA2481" s="60"/>
      <c r="TTB2481" s="60"/>
      <c r="TTC2481" s="60"/>
      <c r="TTD2481" s="60"/>
      <c r="TTE2481" s="60"/>
      <c r="TTF2481" s="61"/>
      <c r="TTG2481" s="54"/>
      <c r="TTH2481" s="54"/>
      <c r="TTI2481" s="60"/>
      <c r="TTJ2481" s="60"/>
      <c r="TTK2481" s="60"/>
      <c r="TTL2481" s="60"/>
      <c r="TTM2481" s="60"/>
      <c r="TTN2481" s="61"/>
      <c r="TTO2481" s="54"/>
      <c r="TTP2481" s="54"/>
      <c r="TTQ2481" s="60"/>
      <c r="TTR2481" s="60"/>
      <c r="TTS2481" s="60"/>
      <c r="TTT2481" s="60"/>
      <c r="TTU2481" s="60"/>
      <c r="TTV2481" s="61"/>
      <c r="TTW2481" s="54"/>
      <c r="TTX2481" s="54"/>
      <c r="TTY2481" s="60"/>
      <c r="TTZ2481" s="60"/>
      <c r="TUA2481" s="60"/>
      <c r="TUB2481" s="60"/>
      <c r="TUC2481" s="60"/>
      <c r="TUD2481" s="61"/>
      <c r="TUE2481" s="54"/>
      <c r="TUF2481" s="54"/>
      <c r="TUG2481" s="60"/>
      <c r="TUH2481" s="60"/>
      <c r="TUI2481" s="60"/>
      <c r="TUJ2481" s="60"/>
      <c r="TUK2481" s="60"/>
      <c r="TUL2481" s="61"/>
      <c r="TUM2481" s="54"/>
      <c r="TUN2481" s="54"/>
      <c r="TUO2481" s="60"/>
      <c r="TUP2481" s="60"/>
      <c r="TUQ2481" s="60"/>
      <c r="TUR2481" s="60"/>
      <c r="TUS2481" s="60"/>
      <c r="TUT2481" s="61"/>
      <c r="TUU2481" s="54"/>
      <c r="TUV2481" s="54"/>
      <c r="TUW2481" s="60"/>
      <c r="TUX2481" s="60"/>
      <c r="TUY2481" s="60"/>
      <c r="TUZ2481" s="60"/>
      <c r="TVA2481" s="60"/>
      <c r="TVB2481" s="61"/>
      <c r="TVC2481" s="54"/>
      <c r="TVD2481" s="54"/>
      <c r="TVE2481" s="60"/>
      <c r="TVF2481" s="60"/>
      <c r="TVG2481" s="60"/>
      <c r="TVH2481" s="60"/>
      <c r="TVI2481" s="60"/>
      <c r="TVJ2481" s="61"/>
      <c r="TVK2481" s="54"/>
      <c r="TVL2481" s="54"/>
      <c r="TVM2481" s="60"/>
      <c r="TVN2481" s="60"/>
      <c r="TVO2481" s="60"/>
      <c r="TVP2481" s="60"/>
      <c r="TVQ2481" s="60"/>
      <c r="TVR2481" s="61"/>
      <c r="TVS2481" s="54"/>
      <c r="TVT2481" s="54"/>
      <c r="TVU2481" s="60"/>
      <c r="TVV2481" s="60"/>
      <c r="TVW2481" s="60"/>
      <c r="TVX2481" s="60"/>
      <c r="TVY2481" s="60"/>
      <c r="TVZ2481" s="61"/>
      <c r="TWA2481" s="54"/>
      <c r="TWB2481" s="54"/>
      <c r="TWC2481" s="60"/>
      <c r="TWD2481" s="60"/>
      <c r="TWE2481" s="60"/>
      <c r="TWF2481" s="60"/>
      <c r="TWG2481" s="60"/>
      <c r="TWH2481" s="61"/>
      <c r="TWI2481" s="54"/>
      <c r="TWJ2481" s="54"/>
      <c r="TWK2481" s="60"/>
      <c r="TWL2481" s="60"/>
      <c r="TWM2481" s="60"/>
      <c r="TWN2481" s="60"/>
      <c r="TWO2481" s="60"/>
      <c r="TWP2481" s="61"/>
      <c r="TWQ2481" s="54"/>
      <c r="TWR2481" s="54"/>
      <c r="TWS2481" s="60"/>
      <c r="TWT2481" s="60"/>
      <c r="TWU2481" s="60"/>
      <c r="TWV2481" s="60"/>
      <c r="TWW2481" s="60"/>
      <c r="TWX2481" s="61"/>
      <c r="TWY2481" s="54"/>
      <c r="TWZ2481" s="54"/>
      <c r="TXA2481" s="60"/>
      <c r="TXB2481" s="60"/>
      <c r="TXC2481" s="60"/>
      <c r="TXD2481" s="60"/>
      <c r="TXE2481" s="60"/>
      <c r="TXF2481" s="61"/>
      <c r="TXG2481" s="54"/>
      <c r="TXH2481" s="54"/>
      <c r="TXI2481" s="60"/>
      <c r="TXJ2481" s="60"/>
      <c r="TXK2481" s="60"/>
      <c r="TXL2481" s="60"/>
      <c r="TXM2481" s="60"/>
      <c r="TXN2481" s="61"/>
      <c r="TXO2481" s="54"/>
      <c r="TXP2481" s="54"/>
      <c r="TXQ2481" s="60"/>
      <c r="TXR2481" s="60"/>
      <c r="TXS2481" s="60"/>
      <c r="TXT2481" s="60"/>
      <c r="TXU2481" s="60"/>
      <c r="TXV2481" s="61"/>
      <c r="TXW2481" s="54"/>
      <c r="TXX2481" s="54"/>
      <c r="TXY2481" s="60"/>
      <c r="TXZ2481" s="60"/>
      <c r="TYA2481" s="60"/>
      <c r="TYB2481" s="60"/>
      <c r="TYC2481" s="60"/>
      <c r="TYD2481" s="61"/>
      <c r="TYE2481" s="54"/>
      <c r="TYF2481" s="54"/>
      <c r="TYG2481" s="60"/>
      <c r="TYH2481" s="60"/>
      <c r="TYI2481" s="60"/>
      <c r="TYJ2481" s="60"/>
      <c r="TYK2481" s="60"/>
      <c r="TYL2481" s="61"/>
      <c r="TYM2481" s="54"/>
      <c r="TYN2481" s="54"/>
      <c r="TYO2481" s="60"/>
      <c r="TYP2481" s="60"/>
      <c r="TYQ2481" s="60"/>
      <c r="TYR2481" s="60"/>
      <c r="TYS2481" s="60"/>
      <c r="TYT2481" s="61"/>
      <c r="TYU2481" s="54"/>
      <c r="TYV2481" s="54"/>
      <c r="TYW2481" s="60"/>
      <c r="TYX2481" s="60"/>
      <c r="TYY2481" s="60"/>
      <c r="TYZ2481" s="60"/>
      <c r="TZA2481" s="60"/>
      <c r="TZB2481" s="61"/>
      <c r="TZC2481" s="54"/>
      <c r="TZD2481" s="54"/>
      <c r="TZE2481" s="60"/>
      <c r="TZF2481" s="60"/>
      <c r="TZG2481" s="60"/>
      <c r="TZH2481" s="60"/>
      <c r="TZI2481" s="60"/>
      <c r="TZJ2481" s="61"/>
      <c r="TZK2481" s="54"/>
      <c r="TZL2481" s="54"/>
      <c r="TZM2481" s="60"/>
      <c r="TZN2481" s="60"/>
      <c r="TZO2481" s="60"/>
      <c r="TZP2481" s="60"/>
      <c r="TZQ2481" s="60"/>
      <c r="TZR2481" s="61"/>
      <c r="TZS2481" s="54"/>
      <c r="TZT2481" s="54"/>
      <c r="TZU2481" s="60"/>
      <c r="TZV2481" s="60"/>
      <c r="TZW2481" s="60"/>
      <c r="TZX2481" s="60"/>
      <c r="TZY2481" s="60"/>
      <c r="TZZ2481" s="61"/>
      <c r="UAA2481" s="54"/>
      <c r="UAB2481" s="54"/>
      <c r="UAC2481" s="60"/>
      <c r="UAD2481" s="60"/>
      <c r="UAE2481" s="60"/>
      <c r="UAF2481" s="60"/>
      <c r="UAG2481" s="60"/>
      <c r="UAH2481" s="61"/>
      <c r="UAI2481" s="54"/>
      <c r="UAJ2481" s="54"/>
      <c r="UAK2481" s="60"/>
      <c r="UAL2481" s="60"/>
      <c r="UAM2481" s="60"/>
      <c r="UAN2481" s="60"/>
      <c r="UAO2481" s="60"/>
      <c r="UAP2481" s="61"/>
      <c r="UAQ2481" s="54"/>
      <c r="UAR2481" s="54"/>
      <c r="UAS2481" s="60"/>
      <c r="UAT2481" s="60"/>
      <c r="UAU2481" s="60"/>
      <c r="UAV2481" s="60"/>
      <c r="UAW2481" s="60"/>
      <c r="UAX2481" s="61"/>
      <c r="UAY2481" s="54"/>
      <c r="UAZ2481" s="54"/>
      <c r="UBA2481" s="60"/>
      <c r="UBB2481" s="60"/>
      <c r="UBC2481" s="60"/>
      <c r="UBD2481" s="60"/>
      <c r="UBE2481" s="60"/>
      <c r="UBF2481" s="61"/>
      <c r="UBG2481" s="54"/>
      <c r="UBH2481" s="54"/>
      <c r="UBI2481" s="60"/>
      <c r="UBJ2481" s="60"/>
      <c r="UBK2481" s="60"/>
      <c r="UBL2481" s="60"/>
      <c r="UBM2481" s="60"/>
      <c r="UBN2481" s="61"/>
      <c r="UBO2481" s="54"/>
      <c r="UBP2481" s="54"/>
      <c r="UBQ2481" s="60"/>
      <c r="UBR2481" s="60"/>
      <c r="UBS2481" s="60"/>
      <c r="UBT2481" s="60"/>
      <c r="UBU2481" s="60"/>
      <c r="UBV2481" s="61"/>
      <c r="UBW2481" s="54"/>
      <c r="UBX2481" s="54"/>
      <c r="UBY2481" s="60"/>
      <c r="UBZ2481" s="60"/>
      <c r="UCA2481" s="60"/>
      <c r="UCB2481" s="60"/>
      <c r="UCC2481" s="60"/>
      <c r="UCD2481" s="61"/>
      <c r="UCE2481" s="54"/>
      <c r="UCF2481" s="54"/>
      <c r="UCG2481" s="60"/>
      <c r="UCH2481" s="60"/>
      <c r="UCI2481" s="60"/>
      <c r="UCJ2481" s="60"/>
      <c r="UCK2481" s="60"/>
      <c r="UCL2481" s="61"/>
      <c r="UCM2481" s="54"/>
      <c r="UCN2481" s="54"/>
      <c r="UCO2481" s="60"/>
      <c r="UCP2481" s="60"/>
      <c r="UCQ2481" s="60"/>
      <c r="UCR2481" s="60"/>
      <c r="UCS2481" s="60"/>
      <c r="UCT2481" s="61"/>
      <c r="UCU2481" s="54"/>
      <c r="UCV2481" s="54"/>
      <c r="UCW2481" s="60"/>
      <c r="UCX2481" s="60"/>
      <c r="UCY2481" s="60"/>
      <c r="UCZ2481" s="60"/>
      <c r="UDA2481" s="60"/>
      <c r="UDB2481" s="61"/>
      <c r="UDC2481" s="54"/>
      <c r="UDD2481" s="54"/>
      <c r="UDE2481" s="60"/>
      <c r="UDF2481" s="60"/>
      <c r="UDG2481" s="60"/>
      <c r="UDH2481" s="60"/>
      <c r="UDI2481" s="60"/>
      <c r="UDJ2481" s="61"/>
      <c r="UDK2481" s="54"/>
      <c r="UDL2481" s="54"/>
      <c r="UDM2481" s="60"/>
      <c r="UDN2481" s="60"/>
      <c r="UDO2481" s="60"/>
      <c r="UDP2481" s="60"/>
      <c r="UDQ2481" s="60"/>
      <c r="UDR2481" s="61"/>
      <c r="UDS2481" s="54"/>
      <c r="UDT2481" s="54"/>
      <c r="UDU2481" s="60"/>
      <c r="UDV2481" s="60"/>
      <c r="UDW2481" s="60"/>
      <c r="UDX2481" s="60"/>
      <c r="UDY2481" s="60"/>
      <c r="UDZ2481" s="61"/>
      <c r="UEA2481" s="54"/>
      <c r="UEB2481" s="54"/>
      <c r="UEC2481" s="60"/>
      <c r="UED2481" s="60"/>
      <c r="UEE2481" s="60"/>
      <c r="UEF2481" s="60"/>
      <c r="UEG2481" s="60"/>
      <c r="UEH2481" s="61"/>
      <c r="UEI2481" s="54"/>
      <c r="UEJ2481" s="54"/>
      <c r="UEK2481" s="60"/>
      <c r="UEL2481" s="60"/>
      <c r="UEM2481" s="60"/>
      <c r="UEN2481" s="60"/>
      <c r="UEO2481" s="60"/>
      <c r="UEP2481" s="61"/>
      <c r="UEQ2481" s="54"/>
      <c r="UER2481" s="54"/>
      <c r="UES2481" s="60"/>
      <c r="UET2481" s="60"/>
      <c r="UEU2481" s="60"/>
      <c r="UEV2481" s="60"/>
      <c r="UEW2481" s="60"/>
      <c r="UEX2481" s="61"/>
      <c r="UEY2481" s="54"/>
      <c r="UEZ2481" s="54"/>
      <c r="UFA2481" s="60"/>
      <c r="UFB2481" s="60"/>
      <c r="UFC2481" s="60"/>
      <c r="UFD2481" s="60"/>
      <c r="UFE2481" s="60"/>
      <c r="UFF2481" s="61"/>
      <c r="UFG2481" s="54"/>
      <c r="UFH2481" s="54"/>
      <c r="UFI2481" s="60"/>
      <c r="UFJ2481" s="60"/>
      <c r="UFK2481" s="60"/>
      <c r="UFL2481" s="60"/>
      <c r="UFM2481" s="60"/>
      <c r="UFN2481" s="61"/>
      <c r="UFO2481" s="54"/>
      <c r="UFP2481" s="54"/>
      <c r="UFQ2481" s="60"/>
      <c r="UFR2481" s="60"/>
      <c r="UFS2481" s="60"/>
      <c r="UFT2481" s="60"/>
      <c r="UFU2481" s="60"/>
      <c r="UFV2481" s="61"/>
      <c r="UFW2481" s="54"/>
      <c r="UFX2481" s="54"/>
      <c r="UFY2481" s="60"/>
      <c r="UFZ2481" s="60"/>
      <c r="UGA2481" s="60"/>
      <c r="UGB2481" s="60"/>
      <c r="UGC2481" s="60"/>
      <c r="UGD2481" s="61"/>
      <c r="UGE2481" s="54"/>
      <c r="UGF2481" s="54"/>
      <c r="UGG2481" s="60"/>
      <c r="UGH2481" s="60"/>
      <c r="UGI2481" s="60"/>
      <c r="UGJ2481" s="60"/>
      <c r="UGK2481" s="60"/>
      <c r="UGL2481" s="61"/>
      <c r="UGM2481" s="54"/>
      <c r="UGN2481" s="54"/>
      <c r="UGO2481" s="60"/>
      <c r="UGP2481" s="60"/>
      <c r="UGQ2481" s="60"/>
      <c r="UGR2481" s="60"/>
      <c r="UGS2481" s="60"/>
      <c r="UGT2481" s="61"/>
      <c r="UGU2481" s="54"/>
      <c r="UGV2481" s="54"/>
      <c r="UGW2481" s="60"/>
      <c r="UGX2481" s="60"/>
      <c r="UGY2481" s="60"/>
      <c r="UGZ2481" s="60"/>
      <c r="UHA2481" s="60"/>
      <c r="UHB2481" s="61"/>
      <c r="UHC2481" s="54"/>
      <c r="UHD2481" s="54"/>
      <c r="UHE2481" s="60"/>
      <c r="UHF2481" s="60"/>
      <c r="UHG2481" s="60"/>
      <c r="UHH2481" s="60"/>
      <c r="UHI2481" s="60"/>
      <c r="UHJ2481" s="61"/>
      <c r="UHK2481" s="54"/>
      <c r="UHL2481" s="54"/>
      <c r="UHM2481" s="60"/>
      <c r="UHN2481" s="60"/>
      <c r="UHO2481" s="60"/>
      <c r="UHP2481" s="60"/>
      <c r="UHQ2481" s="60"/>
      <c r="UHR2481" s="61"/>
      <c r="UHS2481" s="54"/>
      <c r="UHT2481" s="54"/>
      <c r="UHU2481" s="60"/>
      <c r="UHV2481" s="60"/>
      <c r="UHW2481" s="60"/>
      <c r="UHX2481" s="60"/>
      <c r="UHY2481" s="60"/>
      <c r="UHZ2481" s="61"/>
      <c r="UIA2481" s="54"/>
      <c r="UIB2481" s="54"/>
      <c r="UIC2481" s="60"/>
      <c r="UID2481" s="60"/>
      <c r="UIE2481" s="60"/>
      <c r="UIF2481" s="60"/>
      <c r="UIG2481" s="60"/>
      <c r="UIH2481" s="61"/>
      <c r="UII2481" s="54"/>
      <c r="UIJ2481" s="54"/>
      <c r="UIK2481" s="60"/>
      <c r="UIL2481" s="60"/>
      <c r="UIM2481" s="60"/>
      <c r="UIN2481" s="60"/>
      <c r="UIO2481" s="60"/>
      <c r="UIP2481" s="61"/>
      <c r="UIQ2481" s="54"/>
      <c r="UIR2481" s="54"/>
      <c r="UIS2481" s="60"/>
      <c r="UIT2481" s="60"/>
      <c r="UIU2481" s="60"/>
      <c r="UIV2481" s="60"/>
      <c r="UIW2481" s="60"/>
      <c r="UIX2481" s="61"/>
      <c r="UIY2481" s="54"/>
      <c r="UIZ2481" s="54"/>
      <c r="UJA2481" s="60"/>
      <c r="UJB2481" s="60"/>
      <c r="UJC2481" s="60"/>
      <c r="UJD2481" s="60"/>
      <c r="UJE2481" s="60"/>
      <c r="UJF2481" s="61"/>
      <c r="UJG2481" s="54"/>
      <c r="UJH2481" s="54"/>
      <c r="UJI2481" s="60"/>
      <c r="UJJ2481" s="60"/>
      <c r="UJK2481" s="60"/>
      <c r="UJL2481" s="60"/>
      <c r="UJM2481" s="60"/>
      <c r="UJN2481" s="61"/>
      <c r="UJO2481" s="54"/>
      <c r="UJP2481" s="54"/>
      <c r="UJQ2481" s="60"/>
      <c r="UJR2481" s="60"/>
      <c r="UJS2481" s="60"/>
      <c r="UJT2481" s="60"/>
      <c r="UJU2481" s="60"/>
      <c r="UJV2481" s="61"/>
      <c r="UJW2481" s="54"/>
      <c r="UJX2481" s="54"/>
      <c r="UJY2481" s="60"/>
      <c r="UJZ2481" s="60"/>
      <c r="UKA2481" s="60"/>
      <c r="UKB2481" s="60"/>
      <c r="UKC2481" s="60"/>
      <c r="UKD2481" s="61"/>
      <c r="UKE2481" s="54"/>
      <c r="UKF2481" s="54"/>
      <c r="UKG2481" s="60"/>
      <c r="UKH2481" s="60"/>
      <c r="UKI2481" s="60"/>
      <c r="UKJ2481" s="60"/>
      <c r="UKK2481" s="60"/>
      <c r="UKL2481" s="61"/>
      <c r="UKM2481" s="54"/>
      <c r="UKN2481" s="54"/>
      <c r="UKO2481" s="60"/>
      <c r="UKP2481" s="60"/>
      <c r="UKQ2481" s="60"/>
      <c r="UKR2481" s="60"/>
      <c r="UKS2481" s="60"/>
      <c r="UKT2481" s="61"/>
      <c r="UKU2481" s="54"/>
      <c r="UKV2481" s="54"/>
      <c r="UKW2481" s="60"/>
      <c r="UKX2481" s="60"/>
      <c r="UKY2481" s="60"/>
      <c r="UKZ2481" s="60"/>
      <c r="ULA2481" s="60"/>
      <c r="ULB2481" s="61"/>
      <c r="ULC2481" s="54"/>
      <c r="ULD2481" s="54"/>
      <c r="ULE2481" s="60"/>
      <c r="ULF2481" s="60"/>
      <c r="ULG2481" s="60"/>
      <c r="ULH2481" s="60"/>
      <c r="ULI2481" s="60"/>
      <c r="ULJ2481" s="61"/>
      <c r="ULK2481" s="54"/>
      <c r="ULL2481" s="54"/>
      <c r="ULM2481" s="60"/>
      <c r="ULN2481" s="60"/>
      <c r="ULO2481" s="60"/>
      <c r="ULP2481" s="60"/>
      <c r="ULQ2481" s="60"/>
      <c r="ULR2481" s="61"/>
      <c r="ULS2481" s="54"/>
      <c r="ULT2481" s="54"/>
      <c r="ULU2481" s="60"/>
      <c r="ULV2481" s="60"/>
      <c r="ULW2481" s="60"/>
      <c r="ULX2481" s="60"/>
      <c r="ULY2481" s="60"/>
      <c r="ULZ2481" s="61"/>
      <c r="UMA2481" s="54"/>
      <c r="UMB2481" s="54"/>
      <c r="UMC2481" s="60"/>
      <c r="UMD2481" s="60"/>
      <c r="UME2481" s="60"/>
      <c r="UMF2481" s="60"/>
      <c r="UMG2481" s="60"/>
      <c r="UMH2481" s="61"/>
      <c r="UMI2481" s="54"/>
      <c r="UMJ2481" s="54"/>
      <c r="UMK2481" s="60"/>
      <c r="UML2481" s="60"/>
      <c r="UMM2481" s="60"/>
      <c r="UMN2481" s="60"/>
      <c r="UMO2481" s="60"/>
      <c r="UMP2481" s="61"/>
      <c r="UMQ2481" s="54"/>
      <c r="UMR2481" s="54"/>
      <c r="UMS2481" s="60"/>
      <c r="UMT2481" s="60"/>
      <c r="UMU2481" s="60"/>
      <c r="UMV2481" s="60"/>
      <c r="UMW2481" s="60"/>
      <c r="UMX2481" s="61"/>
      <c r="UMY2481" s="54"/>
      <c r="UMZ2481" s="54"/>
      <c r="UNA2481" s="60"/>
      <c r="UNB2481" s="60"/>
      <c r="UNC2481" s="60"/>
      <c r="UND2481" s="60"/>
      <c r="UNE2481" s="60"/>
      <c r="UNF2481" s="61"/>
      <c r="UNG2481" s="54"/>
      <c r="UNH2481" s="54"/>
      <c r="UNI2481" s="60"/>
      <c r="UNJ2481" s="60"/>
      <c r="UNK2481" s="60"/>
      <c r="UNL2481" s="60"/>
      <c r="UNM2481" s="60"/>
      <c r="UNN2481" s="61"/>
      <c r="UNO2481" s="54"/>
      <c r="UNP2481" s="54"/>
      <c r="UNQ2481" s="60"/>
      <c r="UNR2481" s="60"/>
      <c r="UNS2481" s="60"/>
      <c r="UNT2481" s="60"/>
      <c r="UNU2481" s="60"/>
      <c r="UNV2481" s="61"/>
      <c r="UNW2481" s="54"/>
      <c r="UNX2481" s="54"/>
      <c r="UNY2481" s="60"/>
      <c r="UNZ2481" s="60"/>
      <c r="UOA2481" s="60"/>
      <c r="UOB2481" s="60"/>
      <c r="UOC2481" s="60"/>
      <c r="UOD2481" s="61"/>
      <c r="UOE2481" s="54"/>
      <c r="UOF2481" s="54"/>
      <c r="UOG2481" s="60"/>
      <c r="UOH2481" s="60"/>
      <c r="UOI2481" s="60"/>
      <c r="UOJ2481" s="60"/>
      <c r="UOK2481" s="60"/>
      <c r="UOL2481" s="61"/>
      <c r="UOM2481" s="54"/>
      <c r="UON2481" s="54"/>
      <c r="UOO2481" s="60"/>
      <c r="UOP2481" s="60"/>
      <c r="UOQ2481" s="60"/>
      <c r="UOR2481" s="60"/>
      <c r="UOS2481" s="60"/>
      <c r="UOT2481" s="61"/>
      <c r="UOU2481" s="54"/>
      <c r="UOV2481" s="54"/>
      <c r="UOW2481" s="60"/>
      <c r="UOX2481" s="60"/>
      <c r="UOY2481" s="60"/>
      <c r="UOZ2481" s="60"/>
      <c r="UPA2481" s="60"/>
      <c r="UPB2481" s="61"/>
      <c r="UPC2481" s="54"/>
      <c r="UPD2481" s="54"/>
      <c r="UPE2481" s="60"/>
      <c r="UPF2481" s="60"/>
      <c r="UPG2481" s="60"/>
      <c r="UPH2481" s="60"/>
      <c r="UPI2481" s="60"/>
      <c r="UPJ2481" s="61"/>
      <c r="UPK2481" s="54"/>
      <c r="UPL2481" s="54"/>
      <c r="UPM2481" s="60"/>
      <c r="UPN2481" s="60"/>
      <c r="UPO2481" s="60"/>
      <c r="UPP2481" s="60"/>
      <c r="UPQ2481" s="60"/>
      <c r="UPR2481" s="61"/>
      <c r="UPS2481" s="54"/>
      <c r="UPT2481" s="54"/>
      <c r="UPU2481" s="60"/>
      <c r="UPV2481" s="60"/>
      <c r="UPW2481" s="60"/>
      <c r="UPX2481" s="60"/>
      <c r="UPY2481" s="60"/>
      <c r="UPZ2481" s="61"/>
      <c r="UQA2481" s="54"/>
      <c r="UQB2481" s="54"/>
      <c r="UQC2481" s="60"/>
      <c r="UQD2481" s="60"/>
      <c r="UQE2481" s="60"/>
      <c r="UQF2481" s="60"/>
      <c r="UQG2481" s="60"/>
      <c r="UQH2481" s="61"/>
      <c r="UQI2481" s="54"/>
      <c r="UQJ2481" s="54"/>
      <c r="UQK2481" s="60"/>
      <c r="UQL2481" s="60"/>
      <c r="UQM2481" s="60"/>
      <c r="UQN2481" s="60"/>
      <c r="UQO2481" s="60"/>
      <c r="UQP2481" s="61"/>
      <c r="UQQ2481" s="54"/>
      <c r="UQR2481" s="54"/>
      <c r="UQS2481" s="60"/>
      <c r="UQT2481" s="60"/>
      <c r="UQU2481" s="60"/>
      <c r="UQV2481" s="60"/>
      <c r="UQW2481" s="60"/>
      <c r="UQX2481" s="61"/>
      <c r="UQY2481" s="54"/>
      <c r="UQZ2481" s="54"/>
      <c r="URA2481" s="60"/>
      <c r="URB2481" s="60"/>
      <c r="URC2481" s="60"/>
      <c r="URD2481" s="60"/>
      <c r="URE2481" s="60"/>
      <c r="URF2481" s="61"/>
      <c r="URG2481" s="54"/>
      <c r="URH2481" s="54"/>
      <c r="URI2481" s="60"/>
      <c r="URJ2481" s="60"/>
      <c r="URK2481" s="60"/>
      <c r="URL2481" s="60"/>
      <c r="URM2481" s="60"/>
      <c r="URN2481" s="61"/>
      <c r="URO2481" s="54"/>
      <c r="URP2481" s="54"/>
      <c r="URQ2481" s="60"/>
      <c r="URR2481" s="60"/>
      <c r="URS2481" s="60"/>
      <c r="URT2481" s="60"/>
      <c r="URU2481" s="60"/>
      <c r="URV2481" s="61"/>
      <c r="URW2481" s="54"/>
      <c r="URX2481" s="54"/>
      <c r="URY2481" s="60"/>
      <c r="URZ2481" s="60"/>
      <c r="USA2481" s="60"/>
      <c r="USB2481" s="60"/>
      <c r="USC2481" s="60"/>
      <c r="USD2481" s="61"/>
      <c r="USE2481" s="54"/>
      <c r="USF2481" s="54"/>
      <c r="USG2481" s="60"/>
      <c r="USH2481" s="60"/>
      <c r="USI2481" s="60"/>
      <c r="USJ2481" s="60"/>
      <c r="USK2481" s="60"/>
      <c r="USL2481" s="61"/>
      <c r="USM2481" s="54"/>
      <c r="USN2481" s="54"/>
      <c r="USO2481" s="60"/>
      <c r="USP2481" s="60"/>
      <c r="USQ2481" s="60"/>
      <c r="USR2481" s="60"/>
      <c r="USS2481" s="60"/>
      <c r="UST2481" s="61"/>
      <c r="USU2481" s="54"/>
      <c r="USV2481" s="54"/>
      <c r="USW2481" s="60"/>
      <c r="USX2481" s="60"/>
      <c r="USY2481" s="60"/>
      <c r="USZ2481" s="60"/>
      <c r="UTA2481" s="60"/>
      <c r="UTB2481" s="61"/>
      <c r="UTC2481" s="54"/>
      <c r="UTD2481" s="54"/>
      <c r="UTE2481" s="60"/>
      <c r="UTF2481" s="60"/>
      <c r="UTG2481" s="60"/>
      <c r="UTH2481" s="60"/>
      <c r="UTI2481" s="60"/>
      <c r="UTJ2481" s="61"/>
      <c r="UTK2481" s="54"/>
      <c r="UTL2481" s="54"/>
      <c r="UTM2481" s="60"/>
      <c r="UTN2481" s="60"/>
      <c r="UTO2481" s="60"/>
      <c r="UTP2481" s="60"/>
      <c r="UTQ2481" s="60"/>
      <c r="UTR2481" s="61"/>
      <c r="UTS2481" s="54"/>
      <c r="UTT2481" s="54"/>
      <c r="UTU2481" s="60"/>
      <c r="UTV2481" s="60"/>
      <c r="UTW2481" s="60"/>
      <c r="UTX2481" s="60"/>
      <c r="UTY2481" s="60"/>
      <c r="UTZ2481" s="61"/>
      <c r="UUA2481" s="54"/>
      <c r="UUB2481" s="54"/>
      <c r="UUC2481" s="60"/>
      <c r="UUD2481" s="60"/>
      <c r="UUE2481" s="60"/>
      <c r="UUF2481" s="60"/>
      <c r="UUG2481" s="60"/>
      <c r="UUH2481" s="61"/>
      <c r="UUI2481" s="54"/>
      <c r="UUJ2481" s="54"/>
      <c r="UUK2481" s="60"/>
      <c r="UUL2481" s="60"/>
      <c r="UUM2481" s="60"/>
      <c r="UUN2481" s="60"/>
      <c r="UUO2481" s="60"/>
      <c r="UUP2481" s="61"/>
      <c r="UUQ2481" s="54"/>
      <c r="UUR2481" s="54"/>
      <c r="UUS2481" s="60"/>
      <c r="UUT2481" s="60"/>
      <c r="UUU2481" s="60"/>
      <c r="UUV2481" s="60"/>
      <c r="UUW2481" s="60"/>
      <c r="UUX2481" s="61"/>
      <c r="UUY2481" s="54"/>
      <c r="UUZ2481" s="54"/>
      <c r="UVA2481" s="60"/>
      <c r="UVB2481" s="60"/>
      <c r="UVC2481" s="60"/>
      <c r="UVD2481" s="60"/>
      <c r="UVE2481" s="60"/>
      <c r="UVF2481" s="61"/>
      <c r="UVG2481" s="54"/>
      <c r="UVH2481" s="54"/>
      <c r="UVI2481" s="60"/>
      <c r="UVJ2481" s="60"/>
      <c r="UVK2481" s="60"/>
      <c r="UVL2481" s="60"/>
      <c r="UVM2481" s="60"/>
      <c r="UVN2481" s="61"/>
      <c r="UVO2481" s="54"/>
      <c r="UVP2481" s="54"/>
      <c r="UVQ2481" s="60"/>
      <c r="UVR2481" s="60"/>
      <c r="UVS2481" s="60"/>
      <c r="UVT2481" s="60"/>
      <c r="UVU2481" s="60"/>
      <c r="UVV2481" s="61"/>
      <c r="UVW2481" s="54"/>
      <c r="UVX2481" s="54"/>
      <c r="UVY2481" s="60"/>
      <c r="UVZ2481" s="60"/>
      <c r="UWA2481" s="60"/>
      <c r="UWB2481" s="60"/>
      <c r="UWC2481" s="60"/>
      <c r="UWD2481" s="61"/>
      <c r="UWE2481" s="54"/>
      <c r="UWF2481" s="54"/>
      <c r="UWG2481" s="60"/>
      <c r="UWH2481" s="60"/>
      <c r="UWI2481" s="60"/>
      <c r="UWJ2481" s="60"/>
      <c r="UWK2481" s="60"/>
      <c r="UWL2481" s="61"/>
      <c r="UWM2481" s="54"/>
      <c r="UWN2481" s="54"/>
      <c r="UWO2481" s="60"/>
      <c r="UWP2481" s="60"/>
      <c r="UWQ2481" s="60"/>
      <c r="UWR2481" s="60"/>
      <c r="UWS2481" s="60"/>
      <c r="UWT2481" s="61"/>
      <c r="UWU2481" s="54"/>
      <c r="UWV2481" s="54"/>
      <c r="UWW2481" s="60"/>
      <c r="UWX2481" s="60"/>
      <c r="UWY2481" s="60"/>
      <c r="UWZ2481" s="60"/>
      <c r="UXA2481" s="60"/>
      <c r="UXB2481" s="61"/>
      <c r="UXC2481" s="54"/>
      <c r="UXD2481" s="54"/>
      <c r="UXE2481" s="60"/>
      <c r="UXF2481" s="60"/>
      <c r="UXG2481" s="60"/>
      <c r="UXH2481" s="60"/>
      <c r="UXI2481" s="60"/>
      <c r="UXJ2481" s="61"/>
      <c r="UXK2481" s="54"/>
      <c r="UXL2481" s="54"/>
      <c r="UXM2481" s="60"/>
      <c r="UXN2481" s="60"/>
      <c r="UXO2481" s="60"/>
      <c r="UXP2481" s="60"/>
      <c r="UXQ2481" s="60"/>
      <c r="UXR2481" s="61"/>
      <c r="UXS2481" s="54"/>
      <c r="UXT2481" s="54"/>
      <c r="UXU2481" s="60"/>
      <c r="UXV2481" s="60"/>
      <c r="UXW2481" s="60"/>
      <c r="UXX2481" s="60"/>
      <c r="UXY2481" s="60"/>
      <c r="UXZ2481" s="61"/>
      <c r="UYA2481" s="54"/>
      <c r="UYB2481" s="54"/>
      <c r="UYC2481" s="60"/>
      <c r="UYD2481" s="60"/>
      <c r="UYE2481" s="60"/>
      <c r="UYF2481" s="60"/>
      <c r="UYG2481" s="60"/>
      <c r="UYH2481" s="61"/>
      <c r="UYI2481" s="54"/>
      <c r="UYJ2481" s="54"/>
      <c r="UYK2481" s="60"/>
      <c r="UYL2481" s="60"/>
      <c r="UYM2481" s="60"/>
      <c r="UYN2481" s="60"/>
      <c r="UYO2481" s="60"/>
      <c r="UYP2481" s="61"/>
      <c r="UYQ2481" s="54"/>
      <c r="UYR2481" s="54"/>
      <c r="UYS2481" s="60"/>
      <c r="UYT2481" s="60"/>
      <c r="UYU2481" s="60"/>
      <c r="UYV2481" s="60"/>
      <c r="UYW2481" s="60"/>
      <c r="UYX2481" s="61"/>
      <c r="UYY2481" s="54"/>
      <c r="UYZ2481" s="54"/>
      <c r="UZA2481" s="60"/>
      <c r="UZB2481" s="60"/>
      <c r="UZC2481" s="60"/>
      <c r="UZD2481" s="60"/>
      <c r="UZE2481" s="60"/>
      <c r="UZF2481" s="61"/>
      <c r="UZG2481" s="54"/>
      <c r="UZH2481" s="54"/>
      <c r="UZI2481" s="60"/>
      <c r="UZJ2481" s="60"/>
      <c r="UZK2481" s="60"/>
      <c r="UZL2481" s="60"/>
      <c r="UZM2481" s="60"/>
      <c r="UZN2481" s="61"/>
      <c r="UZO2481" s="54"/>
      <c r="UZP2481" s="54"/>
      <c r="UZQ2481" s="60"/>
      <c r="UZR2481" s="60"/>
      <c r="UZS2481" s="60"/>
      <c r="UZT2481" s="60"/>
      <c r="UZU2481" s="60"/>
      <c r="UZV2481" s="61"/>
      <c r="UZW2481" s="54"/>
      <c r="UZX2481" s="54"/>
      <c r="UZY2481" s="60"/>
      <c r="UZZ2481" s="60"/>
      <c r="VAA2481" s="60"/>
      <c r="VAB2481" s="60"/>
      <c r="VAC2481" s="60"/>
      <c r="VAD2481" s="61"/>
      <c r="VAE2481" s="54"/>
      <c r="VAF2481" s="54"/>
      <c r="VAG2481" s="60"/>
      <c r="VAH2481" s="60"/>
      <c r="VAI2481" s="60"/>
      <c r="VAJ2481" s="60"/>
      <c r="VAK2481" s="60"/>
      <c r="VAL2481" s="61"/>
      <c r="VAM2481" s="54"/>
      <c r="VAN2481" s="54"/>
      <c r="VAO2481" s="60"/>
      <c r="VAP2481" s="60"/>
      <c r="VAQ2481" s="60"/>
      <c r="VAR2481" s="60"/>
      <c r="VAS2481" s="60"/>
      <c r="VAT2481" s="61"/>
      <c r="VAU2481" s="54"/>
      <c r="VAV2481" s="54"/>
      <c r="VAW2481" s="60"/>
      <c r="VAX2481" s="60"/>
      <c r="VAY2481" s="60"/>
      <c r="VAZ2481" s="60"/>
      <c r="VBA2481" s="60"/>
      <c r="VBB2481" s="61"/>
      <c r="VBC2481" s="54"/>
      <c r="VBD2481" s="54"/>
      <c r="VBE2481" s="60"/>
      <c r="VBF2481" s="60"/>
      <c r="VBG2481" s="60"/>
      <c r="VBH2481" s="60"/>
      <c r="VBI2481" s="60"/>
      <c r="VBJ2481" s="61"/>
      <c r="VBK2481" s="54"/>
      <c r="VBL2481" s="54"/>
      <c r="VBM2481" s="60"/>
      <c r="VBN2481" s="60"/>
      <c r="VBO2481" s="60"/>
      <c r="VBP2481" s="60"/>
      <c r="VBQ2481" s="60"/>
      <c r="VBR2481" s="61"/>
      <c r="VBS2481" s="54"/>
      <c r="VBT2481" s="54"/>
      <c r="VBU2481" s="60"/>
      <c r="VBV2481" s="60"/>
      <c r="VBW2481" s="60"/>
      <c r="VBX2481" s="60"/>
      <c r="VBY2481" s="60"/>
      <c r="VBZ2481" s="61"/>
      <c r="VCA2481" s="54"/>
      <c r="VCB2481" s="54"/>
      <c r="VCC2481" s="60"/>
      <c r="VCD2481" s="60"/>
      <c r="VCE2481" s="60"/>
      <c r="VCF2481" s="60"/>
      <c r="VCG2481" s="60"/>
      <c r="VCH2481" s="61"/>
      <c r="VCI2481" s="54"/>
      <c r="VCJ2481" s="54"/>
      <c r="VCK2481" s="60"/>
      <c r="VCL2481" s="60"/>
      <c r="VCM2481" s="60"/>
      <c r="VCN2481" s="60"/>
      <c r="VCO2481" s="60"/>
      <c r="VCP2481" s="61"/>
      <c r="VCQ2481" s="54"/>
      <c r="VCR2481" s="54"/>
      <c r="VCS2481" s="60"/>
      <c r="VCT2481" s="60"/>
      <c r="VCU2481" s="60"/>
      <c r="VCV2481" s="60"/>
      <c r="VCW2481" s="60"/>
      <c r="VCX2481" s="61"/>
      <c r="VCY2481" s="54"/>
      <c r="VCZ2481" s="54"/>
      <c r="VDA2481" s="60"/>
      <c r="VDB2481" s="60"/>
      <c r="VDC2481" s="60"/>
      <c r="VDD2481" s="60"/>
      <c r="VDE2481" s="60"/>
      <c r="VDF2481" s="61"/>
      <c r="VDG2481" s="54"/>
      <c r="VDH2481" s="54"/>
      <c r="VDI2481" s="60"/>
      <c r="VDJ2481" s="60"/>
      <c r="VDK2481" s="60"/>
      <c r="VDL2481" s="60"/>
      <c r="VDM2481" s="60"/>
      <c r="VDN2481" s="61"/>
      <c r="VDO2481" s="54"/>
      <c r="VDP2481" s="54"/>
      <c r="VDQ2481" s="60"/>
      <c r="VDR2481" s="60"/>
      <c r="VDS2481" s="60"/>
      <c r="VDT2481" s="60"/>
      <c r="VDU2481" s="60"/>
      <c r="VDV2481" s="61"/>
      <c r="VDW2481" s="54"/>
      <c r="VDX2481" s="54"/>
      <c r="VDY2481" s="60"/>
      <c r="VDZ2481" s="60"/>
      <c r="VEA2481" s="60"/>
      <c r="VEB2481" s="60"/>
      <c r="VEC2481" s="60"/>
      <c r="VED2481" s="61"/>
      <c r="VEE2481" s="54"/>
      <c r="VEF2481" s="54"/>
      <c r="VEG2481" s="60"/>
      <c r="VEH2481" s="60"/>
      <c r="VEI2481" s="60"/>
      <c r="VEJ2481" s="60"/>
      <c r="VEK2481" s="60"/>
      <c r="VEL2481" s="61"/>
      <c r="VEM2481" s="54"/>
      <c r="VEN2481" s="54"/>
      <c r="VEO2481" s="60"/>
      <c r="VEP2481" s="60"/>
      <c r="VEQ2481" s="60"/>
      <c r="VER2481" s="60"/>
      <c r="VES2481" s="60"/>
      <c r="VET2481" s="61"/>
      <c r="VEU2481" s="54"/>
      <c r="VEV2481" s="54"/>
      <c r="VEW2481" s="60"/>
      <c r="VEX2481" s="60"/>
      <c r="VEY2481" s="60"/>
      <c r="VEZ2481" s="60"/>
      <c r="VFA2481" s="60"/>
      <c r="VFB2481" s="61"/>
      <c r="VFC2481" s="54"/>
      <c r="VFD2481" s="54"/>
      <c r="VFE2481" s="60"/>
      <c r="VFF2481" s="60"/>
      <c r="VFG2481" s="60"/>
      <c r="VFH2481" s="60"/>
      <c r="VFI2481" s="60"/>
      <c r="VFJ2481" s="61"/>
      <c r="VFK2481" s="54"/>
      <c r="VFL2481" s="54"/>
      <c r="VFM2481" s="60"/>
      <c r="VFN2481" s="60"/>
      <c r="VFO2481" s="60"/>
      <c r="VFP2481" s="60"/>
      <c r="VFQ2481" s="60"/>
      <c r="VFR2481" s="61"/>
      <c r="VFS2481" s="54"/>
      <c r="VFT2481" s="54"/>
      <c r="VFU2481" s="60"/>
      <c r="VFV2481" s="60"/>
      <c r="VFW2481" s="60"/>
      <c r="VFX2481" s="60"/>
      <c r="VFY2481" s="60"/>
      <c r="VFZ2481" s="61"/>
      <c r="VGA2481" s="54"/>
      <c r="VGB2481" s="54"/>
      <c r="VGC2481" s="60"/>
      <c r="VGD2481" s="60"/>
      <c r="VGE2481" s="60"/>
      <c r="VGF2481" s="60"/>
      <c r="VGG2481" s="60"/>
      <c r="VGH2481" s="61"/>
      <c r="VGI2481" s="54"/>
      <c r="VGJ2481" s="54"/>
      <c r="VGK2481" s="60"/>
      <c r="VGL2481" s="60"/>
      <c r="VGM2481" s="60"/>
      <c r="VGN2481" s="60"/>
      <c r="VGO2481" s="60"/>
      <c r="VGP2481" s="61"/>
      <c r="VGQ2481" s="54"/>
      <c r="VGR2481" s="54"/>
      <c r="VGS2481" s="60"/>
      <c r="VGT2481" s="60"/>
      <c r="VGU2481" s="60"/>
      <c r="VGV2481" s="60"/>
      <c r="VGW2481" s="60"/>
      <c r="VGX2481" s="61"/>
      <c r="VGY2481" s="54"/>
      <c r="VGZ2481" s="54"/>
      <c r="VHA2481" s="60"/>
      <c r="VHB2481" s="60"/>
      <c r="VHC2481" s="60"/>
      <c r="VHD2481" s="60"/>
      <c r="VHE2481" s="60"/>
      <c r="VHF2481" s="61"/>
      <c r="VHG2481" s="54"/>
      <c r="VHH2481" s="54"/>
      <c r="VHI2481" s="60"/>
      <c r="VHJ2481" s="60"/>
      <c r="VHK2481" s="60"/>
      <c r="VHL2481" s="60"/>
      <c r="VHM2481" s="60"/>
      <c r="VHN2481" s="61"/>
      <c r="VHO2481" s="54"/>
      <c r="VHP2481" s="54"/>
      <c r="VHQ2481" s="60"/>
      <c r="VHR2481" s="60"/>
      <c r="VHS2481" s="60"/>
      <c r="VHT2481" s="60"/>
      <c r="VHU2481" s="60"/>
      <c r="VHV2481" s="61"/>
      <c r="VHW2481" s="54"/>
      <c r="VHX2481" s="54"/>
      <c r="VHY2481" s="60"/>
      <c r="VHZ2481" s="60"/>
      <c r="VIA2481" s="60"/>
      <c r="VIB2481" s="60"/>
      <c r="VIC2481" s="60"/>
      <c r="VID2481" s="61"/>
      <c r="VIE2481" s="54"/>
      <c r="VIF2481" s="54"/>
      <c r="VIG2481" s="60"/>
      <c r="VIH2481" s="60"/>
      <c r="VII2481" s="60"/>
      <c r="VIJ2481" s="60"/>
      <c r="VIK2481" s="60"/>
      <c r="VIL2481" s="61"/>
      <c r="VIM2481" s="54"/>
      <c r="VIN2481" s="54"/>
      <c r="VIO2481" s="60"/>
      <c r="VIP2481" s="60"/>
      <c r="VIQ2481" s="60"/>
      <c r="VIR2481" s="60"/>
      <c r="VIS2481" s="60"/>
      <c r="VIT2481" s="61"/>
      <c r="VIU2481" s="54"/>
      <c r="VIV2481" s="54"/>
      <c r="VIW2481" s="60"/>
      <c r="VIX2481" s="60"/>
      <c r="VIY2481" s="60"/>
      <c r="VIZ2481" s="60"/>
      <c r="VJA2481" s="60"/>
      <c r="VJB2481" s="61"/>
      <c r="VJC2481" s="54"/>
      <c r="VJD2481" s="54"/>
      <c r="VJE2481" s="60"/>
      <c r="VJF2481" s="60"/>
      <c r="VJG2481" s="60"/>
      <c r="VJH2481" s="60"/>
      <c r="VJI2481" s="60"/>
      <c r="VJJ2481" s="61"/>
      <c r="VJK2481" s="54"/>
      <c r="VJL2481" s="54"/>
      <c r="VJM2481" s="60"/>
      <c r="VJN2481" s="60"/>
      <c r="VJO2481" s="60"/>
      <c r="VJP2481" s="60"/>
      <c r="VJQ2481" s="60"/>
      <c r="VJR2481" s="61"/>
      <c r="VJS2481" s="54"/>
      <c r="VJT2481" s="54"/>
      <c r="VJU2481" s="60"/>
      <c r="VJV2481" s="60"/>
      <c r="VJW2481" s="60"/>
      <c r="VJX2481" s="60"/>
      <c r="VJY2481" s="60"/>
      <c r="VJZ2481" s="61"/>
      <c r="VKA2481" s="54"/>
      <c r="VKB2481" s="54"/>
      <c r="VKC2481" s="60"/>
      <c r="VKD2481" s="60"/>
      <c r="VKE2481" s="60"/>
      <c r="VKF2481" s="60"/>
      <c r="VKG2481" s="60"/>
      <c r="VKH2481" s="61"/>
      <c r="VKI2481" s="54"/>
      <c r="VKJ2481" s="54"/>
      <c r="VKK2481" s="60"/>
      <c r="VKL2481" s="60"/>
      <c r="VKM2481" s="60"/>
      <c r="VKN2481" s="60"/>
      <c r="VKO2481" s="60"/>
      <c r="VKP2481" s="61"/>
      <c r="VKQ2481" s="54"/>
      <c r="VKR2481" s="54"/>
      <c r="VKS2481" s="60"/>
      <c r="VKT2481" s="60"/>
      <c r="VKU2481" s="60"/>
      <c r="VKV2481" s="60"/>
      <c r="VKW2481" s="60"/>
      <c r="VKX2481" s="61"/>
      <c r="VKY2481" s="54"/>
      <c r="VKZ2481" s="54"/>
      <c r="VLA2481" s="60"/>
      <c r="VLB2481" s="60"/>
      <c r="VLC2481" s="60"/>
      <c r="VLD2481" s="60"/>
      <c r="VLE2481" s="60"/>
      <c r="VLF2481" s="61"/>
      <c r="VLG2481" s="54"/>
      <c r="VLH2481" s="54"/>
      <c r="VLI2481" s="60"/>
      <c r="VLJ2481" s="60"/>
      <c r="VLK2481" s="60"/>
      <c r="VLL2481" s="60"/>
      <c r="VLM2481" s="60"/>
      <c r="VLN2481" s="61"/>
      <c r="VLO2481" s="54"/>
      <c r="VLP2481" s="54"/>
      <c r="VLQ2481" s="60"/>
      <c r="VLR2481" s="60"/>
      <c r="VLS2481" s="60"/>
      <c r="VLT2481" s="60"/>
      <c r="VLU2481" s="60"/>
      <c r="VLV2481" s="61"/>
      <c r="VLW2481" s="54"/>
      <c r="VLX2481" s="54"/>
      <c r="VLY2481" s="60"/>
      <c r="VLZ2481" s="60"/>
      <c r="VMA2481" s="60"/>
      <c r="VMB2481" s="60"/>
      <c r="VMC2481" s="60"/>
      <c r="VMD2481" s="61"/>
      <c r="VME2481" s="54"/>
      <c r="VMF2481" s="54"/>
      <c r="VMG2481" s="60"/>
      <c r="VMH2481" s="60"/>
      <c r="VMI2481" s="60"/>
      <c r="VMJ2481" s="60"/>
      <c r="VMK2481" s="60"/>
      <c r="VML2481" s="61"/>
      <c r="VMM2481" s="54"/>
      <c r="VMN2481" s="54"/>
      <c r="VMO2481" s="60"/>
      <c r="VMP2481" s="60"/>
      <c r="VMQ2481" s="60"/>
      <c r="VMR2481" s="60"/>
      <c r="VMS2481" s="60"/>
      <c r="VMT2481" s="61"/>
      <c r="VMU2481" s="54"/>
      <c r="VMV2481" s="54"/>
      <c r="VMW2481" s="60"/>
      <c r="VMX2481" s="60"/>
      <c r="VMY2481" s="60"/>
      <c r="VMZ2481" s="60"/>
      <c r="VNA2481" s="60"/>
      <c r="VNB2481" s="61"/>
      <c r="VNC2481" s="54"/>
      <c r="VND2481" s="54"/>
      <c r="VNE2481" s="60"/>
      <c r="VNF2481" s="60"/>
      <c r="VNG2481" s="60"/>
      <c r="VNH2481" s="60"/>
      <c r="VNI2481" s="60"/>
      <c r="VNJ2481" s="61"/>
      <c r="VNK2481" s="54"/>
      <c r="VNL2481" s="54"/>
      <c r="VNM2481" s="60"/>
      <c r="VNN2481" s="60"/>
      <c r="VNO2481" s="60"/>
      <c r="VNP2481" s="60"/>
      <c r="VNQ2481" s="60"/>
      <c r="VNR2481" s="61"/>
      <c r="VNS2481" s="54"/>
      <c r="VNT2481" s="54"/>
      <c r="VNU2481" s="60"/>
      <c r="VNV2481" s="60"/>
      <c r="VNW2481" s="60"/>
      <c r="VNX2481" s="60"/>
      <c r="VNY2481" s="60"/>
      <c r="VNZ2481" s="61"/>
      <c r="VOA2481" s="54"/>
      <c r="VOB2481" s="54"/>
      <c r="VOC2481" s="60"/>
      <c r="VOD2481" s="60"/>
      <c r="VOE2481" s="60"/>
      <c r="VOF2481" s="60"/>
      <c r="VOG2481" s="60"/>
      <c r="VOH2481" s="61"/>
      <c r="VOI2481" s="54"/>
      <c r="VOJ2481" s="54"/>
      <c r="VOK2481" s="60"/>
      <c r="VOL2481" s="60"/>
      <c r="VOM2481" s="60"/>
      <c r="VON2481" s="60"/>
      <c r="VOO2481" s="60"/>
      <c r="VOP2481" s="61"/>
      <c r="VOQ2481" s="54"/>
      <c r="VOR2481" s="54"/>
      <c r="VOS2481" s="60"/>
      <c r="VOT2481" s="60"/>
      <c r="VOU2481" s="60"/>
      <c r="VOV2481" s="60"/>
      <c r="VOW2481" s="60"/>
      <c r="VOX2481" s="61"/>
      <c r="VOY2481" s="54"/>
      <c r="VOZ2481" s="54"/>
      <c r="VPA2481" s="60"/>
      <c r="VPB2481" s="60"/>
      <c r="VPC2481" s="60"/>
      <c r="VPD2481" s="60"/>
      <c r="VPE2481" s="60"/>
      <c r="VPF2481" s="61"/>
      <c r="VPG2481" s="54"/>
      <c r="VPH2481" s="54"/>
      <c r="VPI2481" s="60"/>
      <c r="VPJ2481" s="60"/>
      <c r="VPK2481" s="60"/>
      <c r="VPL2481" s="60"/>
      <c r="VPM2481" s="60"/>
      <c r="VPN2481" s="61"/>
      <c r="VPO2481" s="54"/>
      <c r="VPP2481" s="54"/>
      <c r="VPQ2481" s="60"/>
      <c r="VPR2481" s="60"/>
      <c r="VPS2481" s="60"/>
      <c r="VPT2481" s="60"/>
      <c r="VPU2481" s="60"/>
      <c r="VPV2481" s="61"/>
      <c r="VPW2481" s="54"/>
      <c r="VPX2481" s="54"/>
      <c r="VPY2481" s="60"/>
      <c r="VPZ2481" s="60"/>
      <c r="VQA2481" s="60"/>
      <c r="VQB2481" s="60"/>
      <c r="VQC2481" s="60"/>
      <c r="VQD2481" s="61"/>
      <c r="VQE2481" s="54"/>
      <c r="VQF2481" s="54"/>
      <c r="VQG2481" s="60"/>
      <c r="VQH2481" s="60"/>
      <c r="VQI2481" s="60"/>
      <c r="VQJ2481" s="60"/>
      <c r="VQK2481" s="60"/>
      <c r="VQL2481" s="61"/>
      <c r="VQM2481" s="54"/>
      <c r="VQN2481" s="54"/>
      <c r="VQO2481" s="60"/>
      <c r="VQP2481" s="60"/>
      <c r="VQQ2481" s="60"/>
      <c r="VQR2481" s="60"/>
      <c r="VQS2481" s="60"/>
      <c r="VQT2481" s="61"/>
      <c r="VQU2481" s="54"/>
      <c r="VQV2481" s="54"/>
      <c r="VQW2481" s="60"/>
      <c r="VQX2481" s="60"/>
      <c r="VQY2481" s="60"/>
      <c r="VQZ2481" s="60"/>
      <c r="VRA2481" s="60"/>
      <c r="VRB2481" s="61"/>
      <c r="VRC2481" s="54"/>
      <c r="VRD2481" s="54"/>
      <c r="VRE2481" s="60"/>
      <c r="VRF2481" s="60"/>
      <c r="VRG2481" s="60"/>
      <c r="VRH2481" s="60"/>
      <c r="VRI2481" s="60"/>
      <c r="VRJ2481" s="61"/>
      <c r="VRK2481" s="54"/>
      <c r="VRL2481" s="54"/>
      <c r="VRM2481" s="60"/>
      <c r="VRN2481" s="60"/>
      <c r="VRO2481" s="60"/>
      <c r="VRP2481" s="60"/>
      <c r="VRQ2481" s="60"/>
      <c r="VRR2481" s="61"/>
      <c r="VRS2481" s="54"/>
      <c r="VRT2481" s="54"/>
      <c r="VRU2481" s="60"/>
      <c r="VRV2481" s="60"/>
      <c r="VRW2481" s="60"/>
      <c r="VRX2481" s="60"/>
      <c r="VRY2481" s="60"/>
      <c r="VRZ2481" s="61"/>
      <c r="VSA2481" s="54"/>
      <c r="VSB2481" s="54"/>
      <c r="VSC2481" s="60"/>
      <c r="VSD2481" s="60"/>
      <c r="VSE2481" s="60"/>
      <c r="VSF2481" s="60"/>
      <c r="VSG2481" s="60"/>
      <c r="VSH2481" s="61"/>
      <c r="VSI2481" s="54"/>
      <c r="VSJ2481" s="54"/>
      <c r="VSK2481" s="60"/>
      <c r="VSL2481" s="60"/>
      <c r="VSM2481" s="60"/>
      <c r="VSN2481" s="60"/>
      <c r="VSO2481" s="60"/>
      <c r="VSP2481" s="61"/>
      <c r="VSQ2481" s="54"/>
      <c r="VSR2481" s="54"/>
      <c r="VSS2481" s="60"/>
      <c r="VST2481" s="60"/>
      <c r="VSU2481" s="60"/>
      <c r="VSV2481" s="60"/>
      <c r="VSW2481" s="60"/>
      <c r="VSX2481" s="61"/>
      <c r="VSY2481" s="54"/>
      <c r="VSZ2481" s="54"/>
      <c r="VTA2481" s="60"/>
      <c r="VTB2481" s="60"/>
      <c r="VTC2481" s="60"/>
      <c r="VTD2481" s="60"/>
      <c r="VTE2481" s="60"/>
      <c r="VTF2481" s="61"/>
      <c r="VTG2481" s="54"/>
      <c r="VTH2481" s="54"/>
      <c r="VTI2481" s="60"/>
      <c r="VTJ2481" s="60"/>
      <c r="VTK2481" s="60"/>
      <c r="VTL2481" s="60"/>
      <c r="VTM2481" s="60"/>
      <c r="VTN2481" s="61"/>
      <c r="VTO2481" s="54"/>
      <c r="VTP2481" s="54"/>
      <c r="VTQ2481" s="60"/>
      <c r="VTR2481" s="60"/>
      <c r="VTS2481" s="60"/>
      <c r="VTT2481" s="60"/>
      <c r="VTU2481" s="60"/>
      <c r="VTV2481" s="61"/>
      <c r="VTW2481" s="54"/>
      <c r="VTX2481" s="54"/>
      <c r="VTY2481" s="60"/>
      <c r="VTZ2481" s="60"/>
      <c r="VUA2481" s="60"/>
      <c r="VUB2481" s="60"/>
      <c r="VUC2481" s="60"/>
      <c r="VUD2481" s="61"/>
      <c r="VUE2481" s="54"/>
      <c r="VUF2481" s="54"/>
      <c r="VUG2481" s="60"/>
      <c r="VUH2481" s="60"/>
      <c r="VUI2481" s="60"/>
      <c r="VUJ2481" s="60"/>
      <c r="VUK2481" s="60"/>
      <c r="VUL2481" s="61"/>
      <c r="VUM2481" s="54"/>
      <c r="VUN2481" s="54"/>
      <c r="VUO2481" s="60"/>
      <c r="VUP2481" s="60"/>
      <c r="VUQ2481" s="60"/>
      <c r="VUR2481" s="60"/>
      <c r="VUS2481" s="60"/>
      <c r="VUT2481" s="61"/>
      <c r="VUU2481" s="54"/>
      <c r="VUV2481" s="54"/>
      <c r="VUW2481" s="60"/>
      <c r="VUX2481" s="60"/>
      <c r="VUY2481" s="60"/>
      <c r="VUZ2481" s="60"/>
      <c r="VVA2481" s="60"/>
      <c r="VVB2481" s="61"/>
      <c r="VVC2481" s="54"/>
      <c r="VVD2481" s="54"/>
      <c r="VVE2481" s="60"/>
      <c r="VVF2481" s="60"/>
      <c r="VVG2481" s="60"/>
      <c r="VVH2481" s="60"/>
      <c r="VVI2481" s="60"/>
      <c r="VVJ2481" s="61"/>
      <c r="VVK2481" s="54"/>
      <c r="VVL2481" s="54"/>
      <c r="VVM2481" s="60"/>
      <c r="VVN2481" s="60"/>
      <c r="VVO2481" s="60"/>
      <c r="VVP2481" s="60"/>
      <c r="VVQ2481" s="60"/>
      <c r="VVR2481" s="61"/>
      <c r="VVS2481" s="54"/>
      <c r="VVT2481" s="54"/>
      <c r="VVU2481" s="60"/>
      <c r="VVV2481" s="60"/>
      <c r="VVW2481" s="60"/>
      <c r="VVX2481" s="60"/>
      <c r="VVY2481" s="60"/>
      <c r="VVZ2481" s="61"/>
      <c r="VWA2481" s="54"/>
      <c r="VWB2481" s="54"/>
      <c r="VWC2481" s="60"/>
      <c r="VWD2481" s="60"/>
      <c r="VWE2481" s="60"/>
      <c r="VWF2481" s="60"/>
      <c r="VWG2481" s="60"/>
      <c r="VWH2481" s="61"/>
      <c r="VWI2481" s="54"/>
      <c r="VWJ2481" s="54"/>
      <c r="VWK2481" s="60"/>
      <c r="VWL2481" s="60"/>
      <c r="VWM2481" s="60"/>
      <c r="VWN2481" s="60"/>
      <c r="VWO2481" s="60"/>
      <c r="VWP2481" s="61"/>
      <c r="VWQ2481" s="54"/>
      <c r="VWR2481" s="54"/>
      <c r="VWS2481" s="60"/>
      <c r="VWT2481" s="60"/>
      <c r="VWU2481" s="60"/>
      <c r="VWV2481" s="60"/>
      <c r="VWW2481" s="60"/>
      <c r="VWX2481" s="61"/>
      <c r="VWY2481" s="54"/>
      <c r="VWZ2481" s="54"/>
      <c r="VXA2481" s="60"/>
      <c r="VXB2481" s="60"/>
      <c r="VXC2481" s="60"/>
      <c r="VXD2481" s="60"/>
      <c r="VXE2481" s="60"/>
      <c r="VXF2481" s="61"/>
      <c r="VXG2481" s="54"/>
      <c r="VXH2481" s="54"/>
      <c r="VXI2481" s="60"/>
      <c r="VXJ2481" s="60"/>
      <c r="VXK2481" s="60"/>
      <c r="VXL2481" s="60"/>
      <c r="VXM2481" s="60"/>
      <c r="VXN2481" s="61"/>
      <c r="VXO2481" s="54"/>
      <c r="VXP2481" s="54"/>
      <c r="VXQ2481" s="60"/>
      <c r="VXR2481" s="60"/>
      <c r="VXS2481" s="60"/>
      <c r="VXT2481" s="60"/>
      <c r="VXU2481" s="60"/>
      <c r="VXV2481" s="61"/>
      <c r="VXW2481" s="54"/>
      <c r="VXX2481" s="54"/>
      <c r="VXY2481" s="60"/>
      <c r="VXZ2481" s="60"/>
      <c r="VYA2481" s="60"/>
      <c r="VYB2481" s="60"/>
      <c r="VYC2481" s="60"/>
      <c r="VYD2481" s="61"/>
      <c r="VYE2481" s="54"/>
      <c r="VYF2481" s="54"/>
      <c r="VYG2481" s="60"/>
      <c r="VYH2481" s="60"/>
      <c r="VYI2481" s="60"/>
      <c r="VYJ2481" s="60"/>
      <c r="VYK2481" s="60"/>
      <c r="VYL2481" s="61"/>
      <c r="VYM2481" s="54"/>
      <c r="VYN2481" s="54"/>
      <c r="VYO2481" s="60"/>
      <c r="VYP2481" s="60"/>
      <c r="VYQ2481" s="60"/>
      <c r="VYR2481" s="60"/>
      <c r="VYS2481" s="60"/>
      <c r="VYT2481" s="61"/>
      <c r="VYU2481" s="54"/>
      <c r="VYV2481" s="54"/>
      <c r="VYW2481" s="60"/>
      <c r="VYX2481" s="60"/>
      <c r="VYY2481" s="60"/>
      <c r="VYZ2481" s="60"/>
      <c r="VZA2481" s="60"/>
      <c r="VZB2481" s="61"/>
      <c r="VZC2481" s="54"/>
      <c r="VZD2481" s="54"/>
      <c r="VZE2481" s="60"/>
      <c r="VZF2481" s="60"/>
      <c r="VZG2481" s="60"/>
      <c r="VZH2481" s="60"/>
      <c r="VZI2481" s="60"/>
      <c r="VZJ2481" s="61"/>
      <c r="VZK2481" s="54"/>
      <c r="VZL2481" s="54"/>
      <c r="VZM2481" s="60"/>
      <c r="VZN2481" s="60"/>
      <c r="VZO2481" s="60"/>
      <c r="VZP2481" s="60"/>
      <c r="VZQ2481" s="60"/>
      <c r="VZR2481" s="61"/>
      <c r="VZS2481" s="54"/>
      <c r="VZT2481" s="54"/>
      <c r="VZU2481" s="60"/>
      <c r="VZV2481" s="60"/>
      <c r="VZW2481" s="60"/>
      <c r="VZX2481" s="60"/>
      <c r="VZY2481" s="60"/>
      <c r="VZZ2481" s="61"/>
      <c r="WAA2481" s="54"/>
      <c r="WAB2481" s="54"/>
      <c r="WAC2481" s="60"/>
      <c r="WAD2481" s="60"/>
      <c r="WAE2481" s="60"/>
      <c r="WAF2481" s="60"/>
      <c r="WAG2481" s="60"/>
      <c r="WAH2481" s="61"/>
      <c r="WAI2481" s="54"/>
      <c r="WAJ2481" s="54"/>
      <c r="WAK2481" s="60"/>
      <c r="WAL2481" s="60"/>
      <c r="WAM2481" s="60"/>
      <c r="WAN2481" s="60"/>
      <c r="WAO2481" s="60"/>
      <c r="WAP2481" s="61"/>
      <c r="WAQ2481" s="54"/>
      <c r="WAR2481" s="54"/>
      <c r="WAS2481" s="60"/>
      <c r="WAT2481" s="60"/>
      <c r="WAU2481" s="60"/>
      <c r="WAV2481" s="60"/>
      <c r="WAW2481" s="60"/>
      <c r="WAX2481" s="61"/>
      <c r="WAY2481" s="54"/>
      <c r="WAZ2481" s="54"/>
      <c r="WBA2481" s="60"/>
      <c r="WBB2481" s="60"/>
      <c r="WBC2481" s="60"/>
      <c r="WBD2481" s="60"/>
      <c r="WBE2481" s="60"/>
      <c r="WBF2481" s="61"/>
      <c r="WBG2481" s="54"/>
      <c r="WBH2481" s="54"/>
      <c r="WBI2481" s="60"/>
      <c r="WBJ2481" s="60"/>
      <c r="WBK2481" s="60"/>
      <c r="WBL2481" s="60"/>
      <c r="WBM2481" s="60"/>
      <c r="WBN2481" s="61"/>
      <c r="WBO2481" s="54"/>
      <c r="WBP2481" s="54"/>
      <c r="WBQ2481" s="60"/>
      <c r="WBR2481" s="60"/>
      <c r="WBS2481" s="60"/>
      <c r="WBT2481" s="60"/>
      <c r="WBU2481" s="60"/>
      <c r="WBV2481" s="61"/>
      <c r="WBW2481" s="54"/>
      <c r="WBX2481" s="54"/>
      <c r="WBY2481" s="60"/>
      <c r="WBZ2481" s="60"/>
      <c r="WCA2481" s="60"/>
      <c r="WCB2481" s="60"/>
      <c r="WCC2481" s="60"/>
      <c r="WCD2481" s="61"/>
      <c r="WCE2481" s="54"/>
      <c r="WCF2481" s="54"/>
      <c r="WCG2481" s="60"/>
      <c r="WCH2481" s="60"/>
      <c r="WCI2481" s="60"/>
      <c r="WCJ2481" s="60"/>
      <c r="WCK2481" s="60"/>
      <c r="WCL2481" s="61"/>
      <c r="WCM2481" s="54"/>
      <c r="WCN2481" s="54"/>
      <c r="WCO2481" s="60"/>
      <c r="WCP2481" s="60"/>
      <c r="WCQ2481" s="60"/>
      <c r="WCR2481" s="60"/>
      <c r="WCS2481" s="60"/>
      <c r="WCT2481" s="61"/>
      <c r="WCU2481" s="54"/>
      <c r="WCV2481" s="54"/>
      <c r="WCW2481" s="60"/>
      <c r="WCX2481" s="60"/>
      <c r="WCY2481" s="60"/>
      <c r="WCZ2481" s="60"/>
      <c r="WDA2481" s="60"/>
      <c r="WDB2481" s="61"/>
      <c r="WDC2481" s="54"/>
      <c r="WDD2481" s="54"/>
      <c r="WDE2481" s="60"/>
      <c r="WDF2481" s="60"/>
      <c r="WDG2481" s="60"/>
      <c r="WDH2481" s="60"/>
      <c r="WDI2481" s="60"/>
      <c r="WDJ2481" s="61"/>
      <c r="WDK2481" s="54"/>
      <c r="WDL2481" s="54"/>
      <c r="WDM2481" s="60"/>
      <c r="WDN2481" s="60"/>
      <c r="WDO2481" s="60"/>
      <c r="WDP2481" s="60"/>
      <c r="WDQ2481" s="60"/>
      <c r="WDR2481" s="61"/>
      <c r="WDS2481" s="54"/>
      <c r="WDT2481" s="54"/>
      <c r="WDU2481" s="60"/>
      <c r="WDV2481" s="60"/>
      <c r="WDW2481" s="60"/>
      <c r="WDX2481" s="60"/>
      <c r="WDY2481" s="60"/>
      <c r="WDZ2481" s="61"/>
      <c r="WEA2481" s="54"/>
      <c r="WEB2481" s="54"/>
      <c r="WEC2481" s="60"/>
      <c r="WED2481" s="60"/>
      <c r="WEE2481" s="60"/>
      <c r="WEF2481" s="60"/>
      <c r="WEG2481" s="60"/>
      <c r="WEH2481" s="61"/>
      <c r="WEI2481" s="54"/>
      <c r="WEJ2481" s="54"/>
      <c r="WEK2481" s="60"/>
      <c r="WEL2481" s="60"/>
      <c r="WEM2481" s="60"/>
      <c r="WEN2481" s="60"/>
      <c r="WEO2481" s="60"/>
      <c r="WEP2481" s="61"/>
      <c r="WEQ2481" s="54"/>
      <c r="WER2481" s="54"/>
      <c r="WES2481" s="60"/>
      <c r="WET2481" s="60"/>
      <c r="WEU2481" s="60"/>
      <c r="WEV2481" s="60"/>
      <c r="WEW2481" s="60"/>
      <c r="WEX2481" s="61"/>
      <c r="WEY2481" s="54"/>
      <c r="WEZ2481" s="54"/>
      <c r="WFA2481" s="60"/>
      <c r="WFB2481" s="60"/>
      <c r="WFC2481" s="60"/>
      <c r="WFD2481" s="60"/>
      <c r="WFE2481" s="60"/>
      <c r="WFF2481" s="61"/>
      <c r="WFG2481" s="54"/>
      <c r="WFH2481" s="54"/>
      <c r="WFI2481" s="60"/>
      <c r="WFJ2481" s="60"/>
      <c r="WFK2481" s="60"/>
      <c r="WFL2481" s="60"/>
      <c r="WFM2481" s="60"/>
      <c r="WFN2481" s="61"/>
      <c r="WFO2481" s="54"/>
      <c r="WFP2481" s="54"/>
      <c r="WFQ2481" s="60"/>
      <c r="WFR2481" s="60"/>
      <c r="WFS2481" s="60"/>
      <c r="WFT2481" s="60"/>
      <c r="WFU2481" s="60"/>
      <c r="WFV2481" s="61"/>
      <c r="WFW2481" s="54"/>
      <c r="WFX2481" s="54"/>
      <c r="WFY2481" s="60"/>
      <c r="WFZ2481" s="60"/>
      <c r="WGA2481" s="60"/>
      <c r="WGB2481" s="60"/>
      <c r="WGC2481" s="60"/>
      <c r="WGD2481" s="61"/>
      <c r="WGE2481" s="54"/>
      <c r="WGF2481" s="54"/>
      <c r="WGG2481" s="60"/>
      <c r="WGH2481" s="60"/>
      <c r="WGI2481" s="60"/>
      <c r="WGJ2481" s="60"/>
      <c r="WGK2481" s="60"/>
      <c r="WGL2481" s="61"/>
      <c r="WGM2481" s="54"/>
      <c r="WGN2481" s="54"/>
      <c r="WGO2481" s="60"/>
      <c r="WGP2481" s="60"/>
      <c r="WGQ2481" s="60"/>
      <c r="WGR2481" s="60"/>
      <c r="WGS2481" s="60"/>
      <c r="WGT2481" s="61"/>
      <c r="WGU2481" s="54"/>
      <c r="WGV2481" s="54"/>
      <c r="WGW2481" s="60"/>
      <c r="WGX2481" s="60"/>
      <c r="WGY2481" s="60"/>
      <c r="WGZ2481" s="60"/>
      <c r="WHA2481" s="60"/>
      <c r="WHB2481" s="61"/>
      <c r="WHC2481" s="54"/>
      <c r="WHD2481" s="54"/>
      <c r="WHE2481" s="60"/>
      <c r="WHF2481" s="60"/>
      <c r="WHG2481" s="60"/>
      <c r="WHH2481" s="60"/>
      <c r="WHI2481" s="60"/>
      <c r="WHJ2481" s="61"/>
      <c r="WHK2481" s="54"/>
      <c r="WHL2481" s="54"/>
      <c r="WHM2481" s="60"/>
      <c r="WHN2481" s="60"/>
      <c r="WHO2481" s="60"/>
      <c r="WHP2481" s="60"/>
      <c r="WHQ2481" s="60"/>
      <c r="WHR2481" s="61"/>
      <c r="WHS2481" s="54"/>
      <c r="WHT2481" s="54"/>
      <c r="WHU2481" s="60"/>
      <c r="WHV2481" s="60"/>
      <c r="WHW2481" s="60"/>
      <c r="WHX2481" s="60"/>
      <c r="WHY2481" s="60"/>
      <c r="WHZ2481" s="61"/>
      <c r="WIA2481" s="54"/>
      <c r="WIB2481" s="54"/>
      <c r="WIC2481" s="60"/>
      <c r="WID2481" s="60"/>
      <c r="WIE2481" s="60"/>
      <c r="WIF2481" s="60"/>
      <c r="WIG2481" s="60"/>
      <c r="WIH2481" s="61"/>
      <c r="WII2481" s="54"/>
      <c r="WIJ2481" s="54"/>
      <c r="WIK2481" s="60"/>
      <c r="WIL2481" s="60"/>
      <c r="WIM2481" s="60"/>
      <c r="WIN2481" s="60"/>
      <c r="WIO2481" s="60"/>
      <c r="WIP2481" s="61"/>
      <c r="WIQ2481" s="54"/>
      <c r="WIR2481" s="54"/>
      <c r="WIS2481" s="60"/>
      <c r="WIT2481" s="60"/>
      <c r="WIU2481" s="60"/>
      <c r="WIV2481" s="60"/>
      <c r="WIW2481" s="60"/>
      <c r="WIX2481" s="61"/>
      <c r="WIY2481" s="54"/>
      <c r="WIZ2481" s="54"/>
      <c r="WJA2481" s="60"/>
      <c r="WJB2481" s="60"/>
      <c r="WJC2481" s="60"/>
      <c r="WJD2481" s="60"/>
      <c r="WJE2481" s="60"/>
      <c r="WJF2481" s="61"/>
      <c r="WJG2481" s="54"/>
      <c r="WJH2481" s="54"/>
      <c r="WJI2481" s="60"/>
      <c r="WJJ2481" s="60"/>
      <c r="WJK2481" s="60"/>
      <c r="WJL2481" s="60"/>
      <c r="WJM2481" s="60"/>
      <c r="WJN2481" s="61"/>
      <c r="WJO2481" s="54"/>
      <c r="WJP2481" s="54"/>
      <c r="WJQ2481" s="60"/>
      <c r="WJR2481" s="60"/>
      <c r="WJS2481" s="60"/>
      <c r="WJT2481" s="60"/>
      <c r="WJU2481" s="60"/>
      <c r="WJV2481" s="61"/>
      <c r="WJW2481" s="54"/>
      <c r="WJX2481" s="54"/>
      <c r="WJY2481" s="60"/>
      <c r="WJZ2481" s="60"/>
      <c r="WKA2481" s="60"/>
      <c r="WKB2481" s="60"/>
      <c r="WKC2481" s="60"/>
      <c r="WKD2481" s="61"/>
      <c r="WKE2481" s="54"/>
      <c r="WKF2481" s="54"/>
      <c r="WKG2481" s="60"/>
      <c r="WKH2481" s="60"/>
      <c r="WKI2481" s="60"/>
      <c r="WKJ2481" s="60"/>
      <c r="WKK2481" s="60"/>
      <c r="WKL2481" s="61"/>
      <c r="WKM2481" s="54"/>
      <c r="WKN2481" s="54"/>
      <c r="WKO2481" s="60"/>
      <c r="WKP2481" s="60"/>
      <c r="WKQ2481" s="60"/>
      <c r="WKR2481" s="60"/>
      <c r="WKS2481" s="60"/>
      <c r="WKT2481" s="61"/>
      <c r="WKU2481" s="54"/>
      <c r="WKV2481" s="54"/>
      <c r="WKW2481" s="60"/>
      <c r="WKX2481" s="60"/>
      <c r="WKY2481" s="60"/>
      <c r="WKZ2481" s="60"/>
      <c r="WLA2481" s="60"/>
      <c r="WLB2481" s="61"/>
      <c r="WLC2481" s="54"/>
      <c r="WLD2481" s="54"/>
      <c r="WLE2481" s="60"/>
      <c r="WLF2481" s="60"/>
      <c r="WLG2481" s="60"/>
      <c r="WLH2481" s="60"/>
      <c r="WLI2481" s="60"/>
      <c r="WLJ2481" s="61"/>
      <c r="WLK2481" s="54"/>
      <c r="WLL2481" s="54"/>
      <c r="WLM2481" s="60"/>
      <c r="WLN2481" s="60"/>
      <c r="WLO2481" s="60"/>
      <c r="WLP2481" s="60"/>
      <c r="WLQ2481" s="60"/>
      <c r="WLR2481" s="61"/>
      <c r="WLS2481" s="54"/>
      <c r="WLT2481" s="54"/>
      <c r="WLU2481" s="60"/>
      <c r="WLV2481" s="60"/>
      <c r="WLW2481" s="60"/>
      <c r="WLX2481" s="60"/>
      <c r="WLY2481" s="60"/>
      <c r="WLZ2481" s="61"/>
      <c r="WMA2481" s="54"/>
      <c r="WMB2481" s="54"/>
      <c r="WMC2481" s="60"/>
      <c r="WMD2481" s="60"/>
      <c r="WME2481" s="60"/>
      <c r="WMF2481" s="60"/>
      <c r="WMG2481" s="60"/>
      <c r="WMH2481" s="61"/>
      <c r="WMI2481" s="54"/>
      <c r="WMJ2481" s="54"/>
      <c r="WMK2481" s="60"/>
      <c r="WML2481" s="60"/>
      <c r="WMM2481" s="60"/>
      <c r="WMN2481" s="60"/>
      <c r="WMO2481" s="60"/>
      <c r="WMP2481" s="61"/>
      <c r="WMQ2481" s="54"/>
      <c r="WMR2481" s="54"/>
      <c r="WMS2481" s="60"/>
      <c r="WMT2481" s="60"/>
      <c r="WMU2481" s="60"/>
      <c r="WMV2481" s="60"/>
      <c r="WMW2481" s="60"/>
      <c r="WMX2481" s="61"/>
      <c r="WMY2481" s="54"/>
      <c r="WMZ2481" s="54"/>
      <c r="WNA2481" s="60"/>
      <c r="WNB2481" s="60"/>
      <c r="WNC2481" s="60"/>
      <c r="WND2481" s="60"/>
      <c r="WNE2481" s="60"/>
      <c r="WNF2481" s="61"/>
      <c r="WNG2481" s="54"/>
      <c r="WNH2481" s="54"/>
      <c r="WNI2481" s="60"/>
      <c r="WNJ2481" s="60"/>
      <c r="WNK2481" s="60"/>
      <c r="WNL2481" s="60"/>
      <c r="WNM2481" s="60"/>
      <c r="WNN2481" s="61"/>
      <c r="WNO2481" s="54"/>
      <c r="WNP2481" s="54"/>
      <c r="WNQ2481" s="60"/>
      <c r="WNR2481" s="60"/>
      <c r="WNS2481" s="60"/>
      <c r="WNT2481" s="60"/>
      <c r="WNU2481" s="60"/>
      <c r="WNV2481" s="61"/>
      <c r="WNW2481" s="54"/>
      <c r="WNX2481" s="54"/>
      <c r="WNY2481" s="60"/>
      <c r="WNZ2481" s="60"/>
      <c r="WOA2481" s="60"/>
      <c r="WOB2481" s="60"/>
      <c r="WOC2481" s="60"/>
      <c r="WOD2481" s="61"/>
      <c r="WOE2481" s="54"/>
      <c r="WOF2481" s="54"/>
      <c r="WOG2481" s="60"/>
      <c r="WOH2481" s="60"/>
      <c r="WOI2481" s="60"/>
      <c r="WOJ2481" s="60"/>
      <c r="WOK2481" s="60"/>
      <c r="WOL2481" s="61"/>
      <c r="WOM2481" s="54"/>
      <c r="WON2481" s="54"/>
      <c r="WOO2481" s="60"/>
      <c r="WOP2481" s="60"/>
      <c r="WOQ2481" s="60"/>
      <c r="WOR2481" s="60"/>
      <c r="WOS2481" s="60"/>
      <c r="WOT2481" s="61"/>
      <c r="WOU2481" s="54"/>
      <c r="WOV2481" s="54"/>
      <c r="WOW2481" s="60"/>
      <c r="WOX2481" s="60"/>
      <c r="WOY2481" s="60"/>
      <c r="WOZ2481" s="60"/>
      <c r="WPA2481" s="60"/>
      <c r="WPB2481" s="61"/>
      <c r="WPC2481" s="54"/>
      <c r="WPD2481" s="54"/>
      <c r="WPE2481" s="60"/>
      <c r="WPF2481" s="60"/>
      <c r="WPG2481" s="60"/>
      <c r="WPH2481" s="60"/>
      <c r="WPI2481" s="60"/>
      <c r="WPJ2481" s="61"/>
      <c r="WPK2481" s="54"/>
      <c r="WPL2481" s="54"/>
      <c r="WPM2481" s="60"/>
      <c r="WPN2481" s="60"/>
      <c r="WPO2481" s="60"/>
      <c r="WPP2481" s="60"/>
      <c r="WPQ2481" s="60"/>
      <c r="WPR2481" s="61"/>
      <c r="WPS2481" s="54"/>
      <c r="WPT2481" s="54"/>
      <c r="WPU2481" s="60"/>
      <c r="WPV2481" s="60"/>
      <c r="WPW2481" s="60"/>
      <c r="WPX2481" s="60"/>
      <c r="WPY2481" s="60"/>
      <c r="WPZ2481" s="61"/>
      <c r="WQA2481" s="54"/>
      <c r="WQB2481" s="54"/>
      <c r="WQC2481" s="60"/>
      <c r="WQD2481" s="60"/>
      <c r="WQE2481" s="60"/>
      <c r="WQF2481" s="60"/>
      <c r="WQG2481" s="60"/>
      <c r="WQH2481" s="61"/>
      <c r="WQI2481" s="54"/>
      <c r="WQJ2481" s="54"/>
      <c r="WQK2481" s="60"/>
      <c r="WQL2481" s="60"/>
      <c r="WQM2481" s="60"/>
      <c r="WQN2481" s="60"/>
      <c r="WQO2481" s="60"/>
      <c r="WQP2481" s="61"/>
      <c r="WQQ2481" s="54"/>
      <c r="WQR2481" s="54"/>
      <c r="WQS2481" s="60"/>
      <c r="WQT2481" s="60"/>
      <c r="WQU2481" s="60"/>
      <c r="WQV2481" s="60"/>
      <c r="WQW2481" s="60"/>
      <c r="WQX2481" s="61"/>
      <c r="WQY2481" s="54"/>
      <c r="WQZ2481" s="54"/>
      <c r="WRA2481" s="60"/>
      <c r="WRB2481" s="60"/>
      <c r="WRC2481" s="60"/>
      <c r="WRD2481" s="60"/>
      <c r="WRE2481" s="60"/>
      <c r="WRF2481" s="61"/>
      <c r="WRG2481" s="54"/>
      <c r="WRH2481" s="54"/>
      <c r="WRI2481" s="60"/>
      <c r="WRJ2481" s="60"/>
      <c r="WRK2481" s="60"/>
      <c r="WRL2481" s="60"/>
      <c r="WRM2481" s="60"/>
      <c r="WRN2481" s="61"/>
      <c r="WRO2481" s="54"/>
      <c r="WRP2481" s="54"/>
      <c r="WRQ2481" s="60"/>
      <c r="WRR2481" s="60"/>
      <c r="WRS2481" s="60"/>
      <c r="WRT2481" s="60"/>
      <c r="WRU2481" s="60"/>
      <c r="WRV2481" s="61"/>
      <c r="WRW2481" s="54"/>
      <c r="WRX2481" s="54"/>
      <c r="WRY2481" s="60"/>
      <c r="WRZ2481" s="60"/>
      <c r="WSA2481" s="60"/>
      <c r="WSB2481" s="60"/>
      <c r="WSC2481" s="60"/>
      <c r="WSD2481" s="61"/>
      <c r="WSE2481" s="54"/>
      <c r="WSF2481" s="54"/>
      <c r="WSG2481" s="60"/>
      <c r="WSH2481" s="60"/>
      <c r="WSI2481" s="60"/>
      <c r="WSJ2481" s="60"/>
      <c r="WSK2481" s="60"/>
      <c r="WSL2481" s="61"/>
      <c r="WSM2481" s="54"/>
      <c r="WSN2481" s="54"/>
      <c r="WSO2481" s="60"/>
      <c r="WSP2481" s="60"/>
      <c r="WSQ2481" s="60"/>
      <c r="WSR2481" s="60"/>
      <c r="WSS2481" s="60"/>
      <c r="WST2481" s="61"/>
      <c r="WSU2481" s="54"/>
      <c r="WSV2481" s="54"/>
      <c r="WSW2481" s="60"/>
      <c r="WSX2481" s="60"/>
      <c r="WSY2481" s="60"/>
      <c r="WSZ2481" s="60"/>
      <c r="WTA2481" s="60"/>
      <c r="WTB2481" s="61"/>
      <c r="WTC2481" s="54"/>
      <c r="WTD2481" s="54"/>
      <c r="WTE2481" s="60"/>
      <c r="WTF2481" s="60"/>
      <c r="WTG2481" s="60"/>
      <c r="WTH2481" s="60"/>
      <c r="WTI2481" s="60"/>
      <c r="WTJ2481" s="61"/>
      <c r="WTK2481" s="54"/>
      <c r="WTL2481" s="54"/>
      <c r="WTM2481" s="60"/>
      <c r="WTN2481" s="60"/>
      <c r="WTO2481" s="60"/>
      <c r="WTP2481" s="60"/>
      <c r="WTQ2481" s="60"/>
      <c r="WTR2481" s="61"/>
      <c r="WTS2481" s="54"/>
      <c r="WTT2481" s="54"/>
      <c r="WTU2481" s="60"/>
      <c r="WTV2481" s="60"/>
      <c r="WTW2481" s="60"/>
      <c r="WTX2481" s="60"/>
      <c r="WTY2481" s="60"/>
      <c r="WTZ2481" s="61"/>
      <c r="WUA2481" s="54"/>
      <c r="WUB2481" s="54"/>
      <c r="WUC2481" s="60"/>
      <c r="WUD2481" s="60"/>
      <c r="WUE2481" s="60"/>
      <c r="WUF2481" s="60"/>
      <c r="WUG2481" s="60"/>
      <c r="WUH2481" s="61"/>
      <c r="WUI2481" s="54"/>
      <c r="WUJ2481" s="54"/>
      <c r="WUK2481" s="60"/>
      <c r="WUL2481" s="60"/>
      <c r="WUM2481" s="60"/>
      <c r="WUN2481" s="60"/>
      <c r="WUO2481" s="60"/>
      <c r="WUP2481" s="61"/>
      <c r="WUQ2481" s="54"/>
      <c r="WUR2481" s="54"/>
      <c r="WUS2481" s="60"/>
      <c r="WUT2481" s="60"/>
      <c r="WUU2481" s="60"/>
      <c r="WUV2481" s="60"/>
      <c r="WUW2481" s="60"/>
      <c r="WUX2481" s="61"/>
      <c r="WUY2481" s="54"/>
      <c r="WUZ2481" s="54"/>
      <c r="WVA2481" s="60"/>
      <c r="WVB2481" s="60"/>
      <c r="WVC2481" s="60"/>
      <c r="WVD2481" s="60"/>
      <c r="WVE2481" s="60"/>
      <c r="WVF2481" s="61"/>
      <c r="WVG2481" s="54"/>
      <c r="WVH2481" s="54"/>
      <c r="WVI2481" s="60"/>
      <c r="WVJ2481" s="60"/>
      <c r="WVK2481" s="60"/>
      <c r="WVL2481" s="60"/>
      <c r="WVM2481" s="60"/>
      <c r="WVN2481" s="61"/>
      <c r="WVO2481" s="54"/>
      <c r="WVP2481" s="54"/>
      <c r="WVQ2481" s="60"/>
      <c r="WVR2481" s="60"/>
      <c r="WVS2481" s="60"/>
      <c r="WVT2481" s="60"/>
      <c r="WVU2481" s="60"/>
      <c r="WVV2481" s="61"/>
      <c r="WVW2481" s="54"/>
      <c r="WVX2481" s="54"/>
      <c r="WVY2481" s="60"/>
      <c r="WVZ2481" s="60"/>
      <c r="WWA2481" s="60"/>
      <c r="WWB2481" s="60"/>
      <c r="WWC2481" s="60"/>
      <c r="WWD2481" s="61"/>
      <c r="WWE2481" s="54"/>
      <c r="WWF2481" s="54"/>
      <c r="WWG2481" s="60"/>
      <c r="WWH2481" s="60"/>
      <c r="WWI2481" s="60"/>
      <c r="WWJ2481" s="60"/>
      <c r="WWK2481" s="60"/>
      <c r="WWL2481" s="61"/>
      <c r="WWM2481" s="54"/>
      <c r="WWN2481" s="54"/>
      <c r="WWO2481" s="60"/>
      <c r="WWP2481" s="60"/>
      <c r="WWQ2481" s="60"/>
      <c r="WWR2481" s="60"/>
      <c r="WWS2481" s="60"/>
      <c r="WWT2481" s="61"/>
      <c r="WWU2481" s="54"/>
      <c r="WWV2481" s="54"/>
      <c r="WWW2481" s="60"/>
      <c r="WWX2481" s="60"/>
      <c r="WWY2481" s="60"/>
      <c r="WWZ2481" s="60"/>
      <c r="WXA2481" s="60"/>
      <c r="WXB2481" s="61"/>
      <c r="WXC2481" s="54"/>
      <c r="WXD2481" s="54"/>
      <c r="WXE2481" s="60"/>
      <c r="WXF2481" s="60"/>
      <c r="WXG2481" s="60"/>
      <c r="WXH2481" s="60"/>
      <c r="WXI2481" s="60"/>
      <c r="WXJ2481" s="61"/>
      <c r="WXK2481" s="54"/>
      <c r="WXL2481" s="54"/>
      <c r="WXM2481" s="60"/>
      <c r="WXN2481" s="60"/>
      <c r="WXO2481" s="60"/>
      <c r="WXP2481" s="60"/>
      <c r="WXQ2481" s="60"/>
      <c r="WXR2481" s="61"/>
      <c r="WXS2481" s="54"/>
      <c r="WXT2481" s="54"/>
      <c r="WXU2481" s="60"/>
      <c r="WXV2481" s="60"/>
      <c r="WXW2481" s="60"/>
      <c r="WXX2481" s="60"/>
      <c r="WXY2481" s="60"/>
      <c r="WXZ2481" s="61"/>
      <c r="WYA2481" s="54"/>
      <c r="WYB2481" s="54"/>
      <c r="WYC2481" s="60"/>
      <c r="WYD2481" s="60"/>
      <c r="WYE2481" s="60"/>
      <c r="WYF2481" s="60"/>
      <c r="WYG2481" s="60"/>
      <c r="WYH2481" s="61"/>
      <c r="WYI2481" s="54"/>
      <c r="WYJ2481" s="54"/>
      <c r="WYK2481" s="60"/>
      <c r="WYL2481" s="60"/>
      <c r="WYM2481" s="60"/>
      <c r="WYN2481" s="60"/>
      <c r="WYO2481" s="60"/>
      <c r="WYP2481" s="61"/>
      <c r="WYQ2481" s="54"/>
      <c r="WYR2481" s="54"/>
      <c r="WYS2481" s="60"/>
      <c r="WYT2481" s="60"/>
      <c r="WYU2481" s="60"/>
      <c r="WYV2481" s="60"/>
      <c r="WYW2481" s="60"/>
      <c r="WYX2481" s="61"/>
      <c r="WYY2481" s="54"/>
      <c r="WYZ2481" s="54"/>
      <c r="WZA2481" s="60"/>
      <c r="WZB2481" s="60"/>
      <c r="WZC2481" s="60"/>
      <c r="WZD2481" s="60"/>
      <c r="WZE2481" s="60"/>
      <c r="WZF2481" s="61"/>
      <c r="WZG2481" s="54"/>
      <c r="WZH2481" s="54"/>
      <c r="WZI2481" s="60"/>
      <c r="WZJ2481" s="60"/>
      <c r="WZK2481" s="60"/>
      <c r="WZL2481" s="60"/>
      <c r="WZM2481" s="60"/>
      <c r="WZN2481" s="61"/>
      <c r="WZO2481" s="54"/>
      <c r="WZP2481" s="54"/>
      <c r="WZQ2481" s="60"/>
      <c r="WZR2481" s="60"/>
      <c r="WZS2481" s="60"/>
      <c r="WZT2481" s="60"/>
      <c r="WZU2481" s="60"/>
      <c r="WZV2481" s="61"/>
      <c r="WZW2481" s="54"/>
      <c r="WZX2481" s="54"/>
      <c r="WZY2481" s="60"/>
      <c r="WZZ2481" s="60"/>
      <c r="XAA2481" s="60"/>
      <c r="XAB2481" s="60"/>
      <c r="XAC2481" s="60"/>
      <c r="XAD2481" s="61"/>
      <c r="XAE2481" s="54"/>
      <c r="XAF2481" s="54"/>
      <c r="XAG2481" s="60"/>
      <c r="XAH2481" s="60"/>
      <c r="XAI2481" s="60"/>
      <c r="XAJ2481" s="60"/>
      <c r="XAK2481" s="60"/>
      <c r="XAL2481" s="61"/>
      <c r="XAM2481" s="54"/>
      <c r="XAN2481" s="54"/>
      <c r="XAO2481" s="60"/>
      <c r="XAP2481" s="60"/>
      <c r="XAQ2481" s="60"/>
      <c r="XAR2481" s="60"/>
      <c r="XAS2481" s="60"/>
      <c r="XAT2481" s="61"/>
      <c r="XAU2481" s="54"/>
      <c r="XAV2481" s="54"/>
      <c r="XAW2481" s="60"/>
      <c r="XAX2481" s="60"/>
      <c r="XAY2481" s="60"/>
      <c r="XAZ2481" s="60"/>
      <c r="XBA2481" s="60"/>
      <c r="XBB2481" s="61"/>
      <c r="XBC2481" s="54"/>
      <c r="XBD2481" s="54"/>
      <c r="XBE2481" s="60"/>
      <c r="XBF2481" s="60"/>
      <c r="XBG2481" s="60"/>
      <c r="XBH2481" s="60"/>
      <c r="XBI2481" s="60"/>
      <c r="XBJ2481" s="61"/>
      <c r="XBK2481" s="54"/>
      <c r="XBL2481" s="54"/>
      <c r="XBM2481" s="60"/>
      <c r="XBN2481" s="60"/>
      <c r="XBO2481" s="60"/>
      <c r="XBP2481" s="60"/>
      <c r="XBQ2481" s="60"/>
      <c r="XBR2481" s="61"/>
      <c r="XBS2481" s="54"/>
      <c r="XBT2481" s="54"/>
      <c r="XBU2481" s="60"/>
      <c r="XBV2481" s="60"/>
      <c r="XBW2481" s="60"/>
      <c r="XBX2481" s="60"/>
      <c r="XBY2481" s="60"/>
      <c r="XBZ2481" s="61"/>
      <c r="XCA2481" s="54"/>
      <c r="XCB2481" s="54"/>
      <c r="XCC2481" s="60"/>
      <c r="XCD2481" s="60"/>
      <c r="XCE2481" s="60"/>
      <c r="XCF2481" s="60"/>
      <c r="XCG2481" s="60"/>
      <c r="XCH2481" s="61"/>
      <c r="XCI2481" s="54"/>
      <c r="XCJ2481" s="54"/>
      <c r="XCK2481" s="60"/>
      <c r="XCL2481" s="60"/>
      <c r="XCM2481" s="60"/>
      <c r="XCN2481" s="60"/>
      <c r="XCO2481" s="60"/>
      <c r="XCP2481" s="61"/>
      <c r="XCQ2481" s="54"/>
      <c r="XCR2481" s="54"/>
      <c r="XCS2481" s="60"/>
      <c r="XCT2481" s="60"/>
      <c r="XCU2481" s="60"/>
      <c r="XCV2481" s="60"/>
      <c r="XCW2481" s="60"/>
      <c r="XCX2481" s="61"/>
      <c r="XCY2481" s="54"/>
      <c r="XCZ2481" s="54"/>
      <c r="XDA2481" s="60"/>
      <c r="XDB2481" s="60"/>
      <c r="XDC2481" s="60"/>
      <c r="XDD2481" s="60"/>
      <c r="XDE2481" s="60"/>
      <c r="XDF2481" s="61"/>
      <c r="XDG2481" s="54"/>
      <c r="XDH2481" s="54"/>
      <c r="XDI2481" s="60"/>
      <c r="XDJ2481" s="60"/>
      <c r="XDK2481" s="60"/>
      <c r="XDL2481" s="60"/>
      <c r="XDM2481" s="60"/>
      <c r="XDN2481" s="61"/>
      <c r="XDO2481" s="54"/>
      <c r="XDP2481" s="54"/>
      <c r="XDQ2481" s="60"/>
      <c r="XDR2481" s="60"/>
      <c r="XDS2481" s="60"/>
      <c r="XDT2481" s="60"/>
      <c r="XDU2481" s="60"/>
      <c r="XDV2481" s="61"/>
      <c r="XDW2481" s="54"/>
      <c r="XDX2481" s="54"/>
      <c r="XDY2481" s="60"/>
      <c r="XDZ2481" s="60"/>
      <c r="XEA2481" s="60"/>
      <c r="XEB2481" s="60"/>
      <c r="XEC2481" s="60"/>
      <c r="XED2481" s="61"/>
      <c r="XEE2481" s="54"/>
      <c r="XEF2481" s="54"/>
      <c r="XEG2481" s="60"/>
      <c r="XEH2481" s="60"/>
      <c r="XEI2481" s="60"/>
      <c r="XEJ2481" s="60"/>
      <c r="XEK2481" s="60"/>
      <c r="XEL2481" s="61"/>
      <c r="XEM2481" s="54"/>
      <c r="XEN2481" s="54"/>
      <c r="XEO2481" s="60"/>
      <c r="XEP2481" s="60"/>
      <c r="XEQ2481" s="60"/>
      <c r="XER2481" s="60"/>
      <c r="XES2481" s="60"/>
      <c r="XET2481" s="61"/>
      <c r="XEU2481" s="54"/>
      <c r="XEV2481" s="54"/>
      <c r="XEW2481" s="60"/>
    </row>
    <row r="2482" ht="18" customHeight="1" spans="1:16377">
      <c r="A2482" s="6" t="s">
        <v>8209</v>
      </c>
      <c r="B2482" s="6" t="s">
        <v>8580</v>
      </c>
      <c r="C2482" s="51" t="s">
        <v>16415</v>
      </c>
      <c r="D2482" s="5" t="s">
        <v>16374</v>
      </c>
      <c r="E2482" s="215" t="s">
        <v>16416</v>
      </c>
      <c r="F2482" s="7" t="s">
        <v>11535</v>
      </c>
      <c r="G2482" s="55"/>
      <c r="H2482" s="55"/>
      <c r="I2482" s="60"/>
      <c r="J2482" s="60"/>
      <c r="K2482" s="60"/>
      <c r="L2482" s="60"/>
      <c r="M2482" s="65"/>
      <c r="N2482" s="61"/>
      <c r="O2482" s="55"/>
      <c r="P2482" s="55"/>
      <c r="Q2482" s="60"/>
      <c r="R2482" s="60"/>
      <c r="S2482" s="60"/>
      <c r="T2482" s="60"/>
      <c r="U2482" s="65"/>
      <c r="V2482" s="61"/>
      <c r="W2482" s="55"/>
      <c r="X2482" s="55"/>
      <c r="Y2482" s="60"/>
      <c r="Z2482" s="60"/>
      <c r="AA2482" s="60"/>
      <c r="AB2482" s="60"/>
      <c r="AC2482" s="65"/>
      <c r="AD2482" s="61"/>
      <c r="AE2482" s="55"/>
      <c r="AF2482" s="55"/>
      <c r="AG2482" s="60"/>
      <c r="AH2482" s="60"/>
      <c r="AI2482" s="60"/>
      <c r="AJ2482" s="60"/>
      <c r="AK2482" s="65"/>
      <c r="AL2482" s="61"/>
      <c r="AM2482" s="55"/>
      <c r="AN2482" s="55"/>
      <c r="AO2482" s="60"/>
      <c r="AP2482" s="60"/>
      <c r="AQ2482" s="60"/>
      <c r="AR2482" s="60"/>
      <c r="AS2482" s="65"/>
      <c r="AT2482" s="61"/>
      <c r="AU2482" s="55"/>
      <c r="AV2482" s="55"/>
      <c r="AW2482" s="60"/>
      <c r="AX2482" s="60"/>
      <c r="AY2482" s="60"/>
      <c r="AZ2482" s="60"/>
      <c r="BA2482" s="65"/>
      <c r="BB2482" s="61"/>
      <c r="BC2482" s="55"/>
      <c r="BD2482" s="55"/>
      <c r="BE2482" s="60"/>
      <c r="BF2482" s="60"/>
      <c r="BG2482" s="60"/>
      <c r="BH2482" s="60"/>
      <c r="BI2482" s="65"/>
      <c r="BJ2482" s="61"/>
      <c r="BK2482" s="55"/>
      <c r="BL2482" s="55"/>
      <c r="BM2482" s="60"/>
      <c r="BN2482" s="60"/>
      <c r="BO2482" s="60"/>
      <c r="BP2482" s="60"/>
      <c r="BQ2482" s="65"/>
      <c r="BR2482" s="61"/>
      <c r="BS2482" s="55"/>
      <c r="BT2482" s="55"/>
      <c r="BU2482" s="60"/>
      <c r="BV2482" s="60"/>
      <c r="BW2482" s="60"/>
      <c r="BX2482" s="60"/>
      <c r="BY2482" s="65"/>
      <c r="BZ2482" s="61"/>
      <c r="CA2482" s="55"/>
      <c r="CB2482" s="55"/>
      <c r="CC2482" s="60"/>
      <c r="CD2482" s="60"/>
      <c r="CE2482" s="60"/>
      <c r="CF2482" s="60"/>
      <c r="CG2482" s="65"/>
      <c r="CH2482" s="61"/>
      <c r="CI2482" s="55"/>
      <c r="CJ2482" s="55"/>
      <c r="CK2482" s="60"/>
      <c r="CL2482" s="60"/>
      <c r="CM2482" s="60"/>
      <c r="CN2482" s="60"/>
      <c r="CO2482" s="65"/>
      <c r="CP2482" s="61"/>
      <c r="CQ2482" s="55"/>
      <c r="CR2482" s="55"/>
      <c r="CS2482" s="60"/>
      <c r="CT2482" s="60"/>
      <c r="CU2482" s="60"/>
      <c r="CV2482" s="60"/>
      <c r="CW2482" s="65"/>
      <c r="CX2482" s="61"/>
      <c r="CY2482" s="55"/>
      <c r="CZ2482" s="55"/>
      <c r="DA2482" s="60"/>
      <c r="DB2482" s="60"/>
      <c r="DC2482" s="60"/>
      <c r="DD2482" s="60"/>
      <c r="DE2482" s="65"/>
      <c r="DF2482" s="61"/>
      <c r="DG2482" s="55"/>
      <c r="DH2482" s="55"/>
      <c r="DI2482" s="60"/>
      <c r="DJ2482" s="60"/>
      <c r="DK2482" s="60"/>
      <c r="DL2482" s="60"/>
      <c r="DM2482" s="65"/>
      <c r="DN2482" s="61"/>
      <c r="DO2482" s="55"/>
      <c r="DP2482" s="55"/>
      <c r="DQ2482" s="60"/>
      <c r="DR2482" s="60"/>
      <c r="DS2482" s="60"/>
      <c r="DT2482" s="60"/>
      <c r="DU2482" s="65"/>
      <c r="DV2482" s="61"/>
      <c r="DW2482" s="55"/>
      <c r="DX2482" s="55"/>
      <c r="DY2482" s="60"/>
      <c r="DZ2482" s="60"/>
      <c r="EA2482" s="60"/>
      <c r="EB2482" s="60"/>
      <c r="EC2482" s="65"/>
      <c r="ED2482" s="61"/>
      <c r="EE2482" s="55"/>
      <c r="EF2482" s="55"/>
      <c r="EG2482" s="60"/>
      <c r="EH2482" s="60"/>
      <c r="EI2482" s="60"/>
      <c r="EJ2482" s="60"/>
      <c r="EK2482" s="65"/>
      <c r="EL2482" s="61"/>
      <c r="EM2482" s="55"/>
      <c r="EN2482" s="55"/>
      <c r="EO2482" s="60"/>
      <c r="EP2482" s="60"/>
      <c r="EQ2482" s="60"/>
      <c r="ER2482" s="60"/>
      <c r="ES2482" s="65"/>
      <c r="ET2482" s="61"/>
      <c r="EU2482" s="55"/>
      <c r="EV2482" s="55"/>
      <c r="EW2482" s="60"/>
      <c r="EX2482" s="60"/>
      <c r="EY2482" s="60"/>
      <c r="EZ2482" s="60"/>
      <c r="FA2482" s="65"/>
      <c r="FB2482" s="61"/>
      <c r="FC2482" s="55"/>
      <c r="FD2482" s="55"/>
      <c r="FE2482" s="60"/>
      <c r="FF2482" s="60"/>
      <c r="FG2482" s="60"/>
      <c r="FH2482" s="60"/>
      <c r="FI2482" s="65"/>
      <c r="FJ2482" s="61"/>
      <c r="FK2482" s="55"/>
      <c r="FL2482" s="55"/>
      <c r="FM2482" s="60"/>
      <c r="FN2482" s="60"/>
      <c r="FO2482" s="60"/>
      <c r="FP2482" s="60"/>
      <c r="FQ2482" s="65"/>
      <c r="FR2482" s="61"/>
      <c r="FS2482" s="55"/>
      <c r="FT2482" s="55"/>
      <c r="FU2482" s="60"/>
      <c r="FV2482" s="60"/>
      <c r="FW2482" s="60"/>
      <c r="FX2482" s="60"/>
      <c r="FY2482" s="65"/>
      <c r="FZ2482" s="61"/>
      <c r="GA2482" s="55"/>
      <c r="GB2482" s="55"/>
      <c r="GC2482" s="60"/>
      <c r="GD2482" s="60"/>
      <c r="GE2482" s="60"/>
      <c r="GF2482" s="60"/>
      <c r="GG2482" s="65"/>
      <c r="GH2482" s="61"/>
      <c r="GI2482" s="55"/>
      <c r="GJ2482" s="55"/>
      <c r="GK2482" s="60"/>
      <c r="GL2482" s="60"/>
      <c r="GM2482" s="60"/>
      <c r="GN2482" s="60"/>
      <c r="GO2482" s="65"/>
      <c r="GP2482" s="61"/>
      <c r="GQ2482" s="55"/>
      <c r="GR2482" s="55"/>
      <c r="GS2482" s="60"/>
      <c r="GT2482" s="60"/>
      <c r="GU2482" s="60"/>
      <c r="GV2482" s="60"/>
      <c r="GW2482" s="65"/>
      <c r="GX2482" s="61"/>
      <c r="GY2482" s="55"/>
      <c r="GZ2482" s="55"/>
      <c r="HA2482" s="60"/>
      <c r="HB2482" s="60"/>
      <c r="HC2482" s="60"/>
      <c r="HD2482" s="60"/>
      <c r="HE2482" s="65"/>
      <c r="HF2482" s="61"/>
      <c r="HG2482" s="55"/>
      <c r="HH2482" s="55"/>
      <c r="HI2482" s="60"/>
      <c r="HJ2482" s="60"/>
      <c r="HK2482" s="60"/>
      <c r="HL2482" s="60"/>
      <c r="HM2482" s="65"/>
      <c r="HN2482" s="61"/>
      <c r="HO2482" s="55"/>
      <c r="HP2482" s="55"/>
      <c r="HQ2482" s="60"/>
      <c r="HR2482" s="60"/>
      <c r="HS2482" s="60"/>
      <c r="HT2482" s="60"/>
      <c r="HU2482" s="65"/>
      <c r="HV2482" s="61"/>
      <c r="HW2482" s="55"/>
      <c r="HX2482" s="55"/>
      <c r="HY2482" s="60"/>
      <c r="HZ2482" s="60"/>
      <c r="IA2482" s="60"/>
      <c r="IB2482" s="60"/>
      <c r="IC2482" s="65"/>
      <c r="ID2482" s="61"/>
      <c r="IE2482" s="55"/>
      <c r="IF2482" s="55"/>
      <c r="IG2482" s="60"/>
      <c r="IH2482" s="60"/>
      <c r="II2482" s="60"/>
      <c r="IJ2482" s="60"/>
      <c r="IK2482" s="65"/>
      <c r="IL2482" s="61"/>
      <c r="IM2482" s="55"/>
      <c r="IN2482" s="55"/>
      <c r="IO2482" s="60"/>
      <c r="IP2482" s="60"/>
      <c r="IQ2482" s="60"/>
      <c r="IR2482" s="60"/>
      <c r="IS2482" s="65"/>
      <c r="IT2482" s="61"/>
      <c r="IU2482" s="55"/>
      <c r="IV2482" s="55"/>
      <c r="IW2482" s="60"/>
      <c r="IX2482" s="60"/>
      <c r="IY2482" s="60"/>
      <c r="IZ2482" s="60"/>
      <c r="JA2482" s="65"/>
      <c r="JB2482" s="61"/>
      <c r="JC2482" s="55"/>
      <c r="JD2482" s="55"/>
      <c r="JE2482" s="60"/>
      <c r="JF2482" s="60"/>
      <c r="JG2482" s="60"/>
      <c r="JH2482" s="60"/>
      <c r="JI2482" s="65"/>
      <c r="JJ2482" s="61"/>
      <c r="JK2482" s="55"/>
      <c r="JL2482" s="55"/>
      <c r="JM2482" s="60"/>
      <c r="JN2482" s="60"/>
      <c r="JO2482" s="60"/>
      <c r="JP2482" s="60"/>
      <c r="JQ2482" s="65"/>
      <c r="JR2482" s="61"/>
      <c r="JS2482" s="55"/>
      <c r="JT2482" s="55"/>
      <c r="JU2482" s="60"/>
      <c r="JV2482" s="60"/>
      <c r="JW2482" s="60"/>
      <c r="JX2482" s="60"/>
      <c r="JY2482" s="65"/>
      <c r="JZ2482" s="61"/>
      <c r="KA2482" s="55"/>
      <c r="KB2482" s="55"/>
      <c r="KC2482" s="60"/>
      <c r="KD2482" s="60"/>
      <c r="KE2482" s="60"/>
      <c r="KF2482" s="60"/>
      <c r="KG2482" s="65"/>
      <c r="KH2482" s="61"/>
      <c r="KI2482" s="55"/>
      <c r="KJ2482" s="55"/>
      <c r="KK2482" s="60"/>
      <c r="KL2482" s="60"/>
      <c r="KM2482" s="60"/>
      <c r="KN2482" s="60"/>
      <c r="KO2482" s="65"/>
      <c r="KP2482" s="61"/>
      <c r="KQ2482" s="55"/>
      <c r="KR2482" s="55"/>
      <c r="KS2482" s="60"/>
      <c r="KT2482" s="60"/>
      <c r="KU2482" s="60"/>
      <c r="KV2482" s="60"/>
      <c r="KW2482" s="65"/>
      <c r="KX2482" s="61"/>
      <c r="KY2482" s="55"/>
      <c r="KZ2482" s="55"/>
      <c r="LA2482" s="60"/>
      <c r="LB2482" s="60"/>
      <c r="LC2482" s="60"/>
      <c r="LD2482" s="60"/>
      <c r="LE2482" s="65"/>
      <c r="LF2482" s="61"/>
      <c r="LG2482" s="55"/>
      <c r="LH2482" s="55"/>
      <c r="LI2482" s="60"/>
      <c r="LJ2482" s="60"/>
      <c r="LK2482" s="60"/>
      <c r="LL2482" s="60"/>
      <c r="LM2482" s="65"/>
      <c r="LN2482" s="61"/>
      <c r="LO2482" s="55"/>
      <c r="LP2482" s="55"/>
      <c r="LQ2482" s="60"/>
      <c r="LR2482" s="60"/>
      <c r="LS2482" s="60"/>
      <c r="LT2482" s="60"/>
      <c r="LU2482" s="65"/>
      <c r="LV2482" s="61"/>
      <c r="LW2482" s="55"/>
      <c r="LX2482" s="55"/>
      <c r="LY2482" s="60"/>
      <c r="LZ2482" s="60"/>
      <c r="MA2482" s="60"/>
      <c r="MB2482" s="60"/>
      <c r="MC2482" s="65"/>
      <c r="MD2482" s="61"/>
      <c r="ME2482" s="55"/>
      <c r="MF2482" s="55"/>
      <c r="MG2482" s="60"/>
      <c r="MH2482" s="60"/>
      <c r="MI2482" s="60"/>
      <c r="MJ2482" s="60"/>
      <c r="MK2482" s="65"/>
      <c r="ML2482" s="61"/>
      <c r="MM2482" s="55"/>
      <c r="MN2482" s="55"/>
      <c r="MO2482" s="60"/>
      <c r="MP2482" s="60"/>
      <c r="MQ2482" s="60"/>
      <c r="MR2482" s="60"/>
      <c r="MS2482" s="65"/>
      <c r="MT2482" s="61"/>
      <c r="MU2482" s="55"/>
      <c r="MV2482" s="55"/>
      <c r="MW2482" s="60"/>
      <c r="MX2482" s="60"/>
      <c r="MY2482" s="60"/>
      <c r="MZ2482" s="60"/>
      <c r="NA2482" s="65"/>
      <c r="NB2482" s="61"/>
      <c r="NC2482" s="55"/>
      <c r="ND2482" s="55"/>
      <c r="NE2482" s="60"/>
      <c r="NF2482" s="60"/>
      <c r="NG2482" s="60"/>
      <c r="NH2482" s="60"/>
      <c r="NI2482" s="65"/>
      <c r="NJ2482" s="61"/>
      <c r="NK2482" s="55"/>
      <c r="NL2482" s="55"/>
      <c r="NM2482" s="60"/>
      <c r="NN2482" s="60"/>
      <c r="NO2482" s="60"/>
      <c r="NP2482" s="60"/>
      <c r="NQ2482" s="65"/>
      <c r="NR2482" s="61"/>
      <c r="NS2482" s="55"/>
      <c r="NT2482" s="55"/>
      <c r="NU2482" s="60"/>
      <c r="NV2482" s="60"/>
      <c r="NW2482" s="60"/>
      <c r="NX2482" s="60"/>
      <c r="NY2482" s="65"/>
      <c r="NZ2482" s="61"/>
      <c r="OA2482" s="55"/>
      <c r="OB2482" s="55"/>
      <c r="OC2482" s="60"/>
      <c r="OD2482" s="60"/>
      <c r="OE2482" s="60"/>
      <c r="OF2482" s="60"/>
      <c r="OG2482" s="65"/>
      <c r="OH2482" s="61"/>
      <c r="OI2482" s="55"/>
      <c r="OJ2482" s="55"/>
      <c r="OK2482" s="60"/>
      <c r="OL2482" s="60"/>
      <c r="OM2482" s="60"/>
      <c r="ON2482" s="60"/>
      <c r="OO2482" s="65"/>
      <c r="OP2482" s="61"/>
      <c r="OQ2482" s="55"/>
      <c r="OR2482" s="55"/>
      <c r="OS2482" s="60"/>
      <c r="OT2482" s="60"/>
      <c r="OU2482" s="60"/>
      <c r="OV2482" s="60"/>
      <c r="OW2482" s="65"/>
      <c r="OX2482" s="61"/>
      <c r="OY2482" s="55"/>
      <c r="OZ2482" s="55"/>
      <c r="PA2482" s="60"/>
      <c r="PB2482" s="60"/>
      <c r="PC2482" s="60"/>
      <c r="PD2482" s="60"/>
      <c r="PE2482" s="65"/>
      <c r="PF2482" s="61"/>
      <c r="PG2482" s="55"/>
      <c r="PH2482" s="55"/>
      <c r="PI2482" s="60"/>
      <c r="PJ2482" s="60"/>
      <c r="PK2482" s="60"/>
      <c r="PL2482" s="60"/>
      <c r="PM2482" s="65"/>
      <c r="PN2482" s="61"/>
      <c r="PO2482" s="55"/>
      <c r="PP2482" s="55"/>
      <c r="PQ2482" s="60"/>
      <c r="PR2482" s="60"/>
      <c r="PS2482" s="60"/>
      <c r="PT2482" s="60"/>
      <c r="PU2482" s="65"/>
      <c r="PV2482" s="61"/>
      <c r="PW2482" s="55"/>
      <c r="PX2482" s="55"/>
      <c r="PY2482" s="60"/>
      <c r="PZ2482" s="60"/>
      <c r="QA2482" s="60"/>
      <c r="QB2482" s="60"/>
      <c r="QC2482" s="65"/>
      <c r="QD2482" s="61"/>
      <c r="QE2482" s="55"/>
      <c r="QF2482" s="55"/>
      <c r="QG2482" s="60"/>
      <c r="QH2482" s="60"/>
      <c r="QI2482" s="60"/>
      <c r="QJ2482" s="60"/>
      <c r="QK2482" s="65"/>
      <c r="QL2482" s="61"/>
      <c r="QM2482" s="55"/>
      <c r="QN2482" s="55"/>
      <c r="QO2482" s="60"/>
      <c r="QP2482" s="60"/>
      <c r="QQ2482" s="60"/>
      <c r="QR2482" s="60"/>
      <c r="QS2482" s="65"/>
      <c r="QT2482" s="61"/>
      <c r="QU2482" s="55"/>
      <c r="QV2482" s="55"/>
      <c r="QW2482" s="60"/>
      <c r="QX2482" s="60"/>
      <c r="QY2482" s="60"/>
      <c r="QZ2482" s="60"/>
      <c r="RA2482" s="65"/>
      <c r="RB2482" s="61"/>
      <c r="RC2482" s="55"/>
      <c r="RD2482" s="55"/>
      <c r="RE2482" s="60"/>
      <c r="RF2482" s="60"/>
      <c r="RG2482" s="60"/>
      <c r="RH2482" s="60"/>
      <c r="RI2482" s="65"/>
      <c r="RJ2482" s="61"/>
      <c r="RK2482" s="55"/>
      <c r="RL2482" s="55"/>
      <c r="RM2482" s="60"/>
      <c r="RN2482" s="60"/>
      <c r="RO2482" s="60"/>
      <c r="RP2482" s="60"/>
      <c r="RQ2482" s="65"/>
      <c r="RR2482" s="61"/>
      <c r="RS2482" s="55"/>
      <c r="RT2482" s="55"/>
      <c r="RU2482" s="60"/>
      <c r="RV2482" s="60"/>
      <c r="RW2482" s="60"/>
      <c r="RX2482" s="60"/>
      <c r="RY2482" s="65"/>
      <c r="RZ2482" s="61"/>
      <c r="SA2482" s="55"/>
      <c r="SB2482" s="55"/>
      <c r="SC2482" s="60"/>
      <c r="SD2482" s="60"/>
      <c r="SE2482" s="60"/>
      <c r="SF2482" s="60"/>
      <c r="SG2482" s="65"/>
      <c r="SH2482" s="61"/>
      <c r="SI2482" s="55"/>
      <c r="SJ2482" s="55"/>
      <c r="SK2482" s="60"/>
      <c r="SL2482" s="60"/>
      <c r="SM2482" s="60"/>
      <c r="SN2482" s="60"/>
      <c r="SO2482" s="65"/>
      <c r="SP2482" s="61"/>
      <c r="SQ2482" s="55"/>
      <c r="SR2482" s="55"/>
      <c r="SS2482" s="60"/>
      <c r="ST2482" s="60"/>
      <c r="SU2482" s="60"/>
      <c r="SV2482" s="60"/>
      <c r="SW2482" s="65"/>
      <c r="SX2482" s="61"/>
      <c r="SY2482" s="55"/>
      <c r="SZ2482" s="55"/>
      <c r="TA2482" s="60"/>
      <c r="TB2482" s="60"/>
      <c r="TC2482" s="60"/>
      <c r="TD2482" s="60"/>
      <c r="TE2482" s="65"/>
      <c r="TF2482" s="61"/>
      <c r="TG2482" s="55"/>
      <c r="TH2482" s="55"/>
      <c r="TI2482" s="60"/>
      <c r="TJ2482" s="60"/>
      <c r="TK2482" s="60"/>
      <c r="TL2482" s="60"/>
      <c r="TM2482" s="65"/>
      <c r="TN2482" s="61"/>
      <c r="TO2482" s="55"/>
      <c r="TP2482" s="55"/>
      <c r="TQ2482" s="60"/>
      <c r="TR2482" s="60"/>
      <c r="TS2482" s="60"/>
      <c r="TT2482" s="60"/>
      <c r="TU2482" s="65"/>
      <c r="TV2482" s="61"/>
      <c r="TW2482" s="55"/>
      <c r="TX2482" s="55"/>
      <c r="TY2482" s="60"/>
      <c r="TZ2482" s="60"/>
      <c r="UA2482" s="60"/>
      <c r="UB2482" s="60"/>
      <c r="UC2482" s="65"/>
      <c r="UD2482" s="61"/>
      <c r="UE2482" s="55"/>
      <c r="UF2482" s="55"/>
      <c r="UG2482" s="60"/>
      <c r="UH2482" s="60"/>
      <c r="UI2482" s="60"/>
      <c r="UJ2482" s="60"/>
      <c r="UK2482" s="65"/>
      <c r="UL2482" s="61"/>
      <c r="UM2482" s="55"/>
      <c r="UN2482" s="55"/>
      <c r="UO2482" s="60"/>
      <c r="UP2482" s="60"/>
      <c r="UQ2482" s="60"/>
      <c r="UR2482" s="60"/>
      <c r="US2482" s="65"/>
      <c r="UT2482" s="61"/>
      <c r="UU2482" s="55"/>
      <c r="UV2482" s="55"/>
      <c r="UW2482" s="60"/>
      <c r="UX2482" s="60"/>
      <c r="UY2482" s="60"/>
      <c r="UZ2482" s="60"/>
      <c r="VA2482" s="65"/>
      <c r="VB2482" s="61"/>
      <c r="VC2482" s="55"/>
      <c r="VD2482" s="55"/>
      <c r="VE2482" s="60"/>
      <c r="VF2482" s="60"/>
      <c r="VG2482" s="60"/>
      <c r="VH2482" s="60"/>
      <c r="VI2482" s="65"/>
      <c r="VJ2482" s="61"/>
      <c r="VK2482" s="55"/>
      <c r="VL2482" s="55"/>
      <c r="VM2482" s="60"/>
      <c r="VN2482" s="60"/>
      <c r="VO2482" s="60"/>
      <c r="VP2482" s="60"/>
      <c r="VQ2482" s="65"/>
      <c r="VR2482" s="61"/>
      <c r="VS2482" s="55"/>
      <c r="VT2482" s="55"/>
      <c r="VU2482" s="60"/>
      <c r="VV2482" s="60"/>
      <c r="VW2482" s="60"/>
      <c r="VX2482" s="60"/>
      <c r="VY2482" s="65"/>
      <c r="VZ2482" s="61"/>
      <c r="WA2482" s="55"/>
      <c r="WB2482" s="55"/>
      <c r="WC2482" s="60"/>
      <c r="WD2482" s="60"/>
      <c r="WE2482" s="60"/>
      <c r="WF2482" s="60"/>
      <c r="WG2482" s="65"/>
      <c r="WH2482" s="61"/>
      <c r="WI2482" s="55"/>
      <c r="WJ2482" s="55"/>
      <c r="WK2482" s="60"/>
      <c r="WL2482" s="60"/>
      <c r="WM2482" s="60"/>
      <c r="WN2482" s="60"/>
      <c r="WO2482" s="65"/>
      <c r="WP2482" s="61"/>
      <c r="WQ2482" s="55"/>
      <c r="WR2482" s="55"/>
      <c r="WS2482" s="60"/>
      <c r="WT2482" s="60"/>
      <c r="WU2482" s="60"/>
      <c r="WV2482" s="60"/>
      <c r="WW2482" s="65"/>
      <c r="WX2482" s="61"/>
      <c r="WY2482" s="55"/>
      <c r="WZ2482" s="55"/>
      <c r="XA2482" s="60"/>
      <c r="XB2482" s="60"/>
      <c r="XC2482" s="60"/>
      <c r="XD2482" s="60"/>
      <c r="XE2482" s="65"/>
      <c r="XF2482" s="61"/>
      <c r="XG2482" s="55"/>
      <c r="XH2482" s="55"/>
      <c r="XI2482" s="60"/>
      <c r="XJ2482" s="60"/>
      <c r="XK2482" s="60"/>
      <c r="XL2482" s="60"/>
      <c r="XM2482" s="65"/>
      <c r="XN2482" s="61"/>
      <c r="XO2482" s="55"/>
      <c r="XP2482" s="55"/>
      <c r="XQ2482" s="60"/>
      <c r="XR2482" s="60"/>
      <c r="XS2482" s="60"/>
      <c r="XT2482" s="60"/>
      <c r="XU2482" s="65"/>
      <c r="XV2482" s="61"/>
      <c r="XW2482" s="55"/>
      <c r="XX2482" s="55"/>
      <c r="XY2482" s="60"/>
      <c r="XZ2482" s="60"/>
      <c r="YA2482" s="60"/>
      <c r="YB2482" s="60"/>
      <c r="YC2482" s="65"/>
      <c r="YD2482" s="61"/>
      <c r="YE2482" s="55"/>
      <c r="YF2482" s="55"/>
      <c r="YG2482" s="60"/>
      <c r="YH2482" s="60"/>
      <c r="YI2482" s="60"/>
      <c r="YJ2482" s="60"/>
      <c r="YK2482" s="65"/>
      <c r="YL2482" s="61"/>
      <c r="YM2482" s="55"/>
      <c r="YN2482" s="55"/>
      <c r="YO2482" s="60"/>
      <c r="YP2482" s="60"/>
      <c r="YQ2482" s="60"/>
      <c r="YR2482" s="60"/>
      <c r="YS2482" s="65"/>
      <c r="YT2482" s="61"/>
      <c r="YU2482" s="55"/>
      <c r="YV2482" s="55"/>
      <c r="YW2482" s="60"/>
      <c r="YX2482" s="60"/>
      <c r="YY2482" s="60"/>
      <c r="YZ2482" s="60"/>
      <c r="ZA2482" s="65"/>
      <c r="ZB2482" s="61"/>
      <c r="ZC2482" s="55"/>
      <c r="ZD2482" s="55"/>
      <c r="ZE2482" s="60"/>
      <c r="ZF2482" s="60"/>
      <c r="ZG2482" s="60"/>
      <c r="ZH2482" s="60"/>
      <c r="ZI2482" s="65"/>
      <c r="ZJ2482" s="61"/>
      <c r="ZK2482" s="55"/>
      <c r="ZL2482" s="55"/>
      <c r="ZM2482" s="60"/>
      <c r="ZN2482" s="60"/>
      <c r="ZO2482" s="60"/>
      <c r="ZP2482" s="60"/>
      <c r="ZQ2482" s="65"/>
      <c r="ZR2482" s="61"/>
      <c r="ZS2482" s="55"/>
      <c r="ZT2482" s="55"/>
      <c r="ZU2482" s="60"/>
      <c r="ZV2482" s="60"/>
      <c r="ZW2482" s="60"/>
      <c r="ZX2482" s="60"/>
      <c r="ZY2482" s="65"/>
      <c r="ZZ2482" s="61"/>
      <c r="AAA2482" s="55"/>
      <c r="AAB2482" s="55"/>
      <c r="AAC2482" s="60"/>
      <c r="AAD2482" s="60"/>
      <c r="AAE2482" s="60"/>
      <c r="AAF2482" s="60"/>
      <c r="AAG2482" s="65"/>
      <c r="AAH2482" s="61"/>
      <c r="AAI2482" s="55"/>
      <c r="AAJ2482" s="55"/>
      <c r="AAK2482" s="60"/>
      <c r="AAL2482" s="60"/>
      <c r="AAM2482" s="60"/>
      <c r="AAN2482" s="60"/>
      <c r="AAO2482" s="65"/>
      <c r="AAP2482" s="61"/>
      <c r="AAQ2482" s="55"/>
      <c r="AAR2482" s="55"/>
      <c r="AAS2482" s="60"/>
      <c r="AAT2482" s="60"/>
      <c r="AAU2482" s="60"/>
      <c r="AAV2482" s="60"/>
      <c r="AAW2482" s="65"/>
      <c r="AAX2482" s="61"/>
      <c r="AAY2482" s="55"/>
      <c r="AAZ2482" s="55"/>
      <c r="ABA2482" s="60"/>
      <c r="ABB2482" s="60"/>
      <c r="ABC2482" s="60"/>
      <c r="ABD2482" s="60"/>
      <c r="ABE2482" s="65"/>
      <c r="ABF2482" s="61"/>
      <c r="ABG2482" s="55"/>
      <c r="ABH2482" s="55"/>
      <c r="ABI2482" s="60"/>
      <c r="ABJ2482" s="60"/>
      <c r="ABK2482" s="60"/>
      <c r="ABL2482" s="60"/>
      <c r="ABM2482" s="65"/>
      <c r="ABN2482" s="61"/>
      <c r="ABO2482" s="55"/>
      <c r="ABP2482" s="55"/>
      <c r="ABQ2482" s="60"/>
      <c r="ABR2482" s="60"/>
      <c r="ABS2482" s="60"/>
      <c r="ABT2482" s="60"/>
      <c r="ABU2482" s="65"/>
      <c r="ABV2482" s="61"/>
      <c r="ABW2482" s="55"/>
      <c r="ABX2482" s="55"/>
      <c r="ABY2482" s="60"/>
      <c r="ABZ2482" s="60"/>
      <c r="ACA2482" s="60"/>
      <c r="ACB2482" s="60"/>
      <c r="ACC2482" s="65"/>
      <c r="ACD2482" s="61"/>
      <c r="ACE2482" s="55"/>
      <c r="ACF2482" s="55"/>
      <c r="ACG2482" s="60"/>
      <c r="ACH2482" s="60"/>
      <c r="ACI2482" s="60"/>
      <c r="ACJ2482" s="60"/>
      <c r="ACK2482" s="65"/>
      <c r="ACL2482" s="61"/>
      <c r="ACM2482" s="55"/>
      <c r="ACN2482" s="55"/>
      <c r="ACO2482" s="60"/>
      <c r="ACP2482" s="60"/>
      <c r="ACQ2482" s="60"/>
      <c r="ACR2482" s="60"/>
      <c r="ACS2482" s="65"/>
      <c r="ACT2482" s="61"/>
      <c r="ACU2482" s="55"/>
      <c r="ACV2482" s="55"/>
      <c r="ACW2482" s="60"/>
      <c r="ACX2482" s="60"/>
      <c r="ACY2482" s="60"/>
      <c r="ACZ2482" s="60"/>
      <c r="ADA2482" s="65"/>
      <c r="ADB2482" s="61"/>
      <c r="ADC2482" s="55"/>
      <c r="ADD2482" s="55"/>
      <c r="ADE2482" s="60"/>
      <c r="ADF2482" s="60"/>
      <c r="ADG2482" s="60"/>
      <c r="ADH2482" s="60"/>
      <c r="ADI2482" s="65"/>
      <c r="ADJ2482" s="61"/>
      <c r="ADK2482" s="55"/>
      <c r="ADL2482" s="55"/>
      <c r="ADM2482" s="60"/>
      <c r="ADN2482" s="60"/>
      <c r="ADO2482" s="60"/>
      <c r="ADP2482" s="60"/>
      <c r="ADQ2482" s="65"/>
      <c r="ADR2482" s="61"/>
      <c r="ADS2482" s="55"/>
      <c r="ADT2482" s="55"/>
      <c r="ADU2482" s="60"/>
      <c r="ADV2482" s="60"/>
      <c r="ADW2482" s="60"/>
      <c r="ADX2482" s="60"/>
      <c r="ADY2482" s="65"/>
      <c r="ADZ2482" s="61"/>
      <c r="AEA2482" s="55"/>
      <c r="AEB2482" s="55"/>
      <c r="AEC2482" s="60"/>
      <c r="AED2482" s="60"/>
      <c r="AEE2482" s="60"/>
      <c r="AEF2482" s="60"/>
      <c r="AEG2482" s="65"/>
      <c r="AEH2482" s="61"/>
      <c r="AEI2482" s="55"/>
      <c r="AEJ2482" s="55"/>
      <c r="AEK2482" s="60"/>
      <c r="AEL2482" s="60"/>
      <c r="AEM2482" s="60"/>
      <c r="AEN2482" s="60"/>
      <c r="AEO2482" s="65"/>
      <c r="AEP2482" s="61"/>
      <c r="AEQ2482" s="55"/>
      <c r="AER2482" s="55"/>
      <c r="AES2482" s="60"/>
      <c r="AET2482" s="60"/>
      <c r="AEU2482" s="60"/>
      <c r="AEV2482" s="60"/>
      <c r="AEW2482" s="65"/>
      <c r="AEX2482" s="61"/>
      <c r="AEY2482" s="55"/>
      <c r="AEZ2482" s="55"/>
      <c r="AFA2482" s="60"/>
      <c r="AFB2482" s="60"/>
      <c r="AFC2482" s="60"/>
      <c r="AFD2482" s="60"/>
      <c r="AFE2482" s="65"/>
      <c r="AFF2482" s="61"/>
      <c r="AFG2482" s="55"/>
      <c r="AFH2482" s="55"/>
      <c r="AFI2482" s="60"/>
      <c r="AFJ2482" s="60"/>
      <c r="AFK2482" s="60"/>
      <c r="AFL2482" s="60"/>
      <c r="AFM2482" s="65"/>
      <c r="AFN2482" s="61"/>
      <c r="AFO2482" s="55"/>
      <c r="AFP2482" s="55"/>
      <c r="AFQ2482" s="60"/>
      <c r="AFR2482" s="60"/>
      <c r="AFS2482" s="60"/>
      <c r="AFT2482" s="60"/>
      <c r="AFU2482" s="65"/>
      <c r="AFV2482" s="61"/>
      <c r="AFW2482" s="55"/>
      <c r="AFX2482" s="55"/>
      <c r="AFY2482" s="60"/>
      <c r="AFZ2482" s="60"/>
      <c r="AGA2482" s="60"/>
      <c r="AGB2482" s="60"/>
      <c r="AGC2482" s="65"/>
      <c r="AGD2482" s="61"/>
      <c r="AGE2482" s="55"/>
      <c r="AGF2482" s="55"/>
      <c r="AGG2482" s="60"/>
      <c r="AGH2482" s="60"/>
      <c r="AGI2482" s="60"/>
      <c r="AGJ2482" s="60"/>
      <c r="AGK2482" s="65"/>
      <c r="AGL2482" s="61"/>
      <c r="AGM2482" s="55"/>
      <c r="AGN2482" s="55"/>
      <c r="AGO2482" s="60"/>
      <c r="AGP2482" s="60"/>
      <c r="AGQ2482" s="60"/>
      <c r="AGR2482" s="60"/>
      <c r="AGS2482" s="65"/>
      <c r="AGT2482" s="61"/>
      <c r="AGU2482" s="55"/>
      <c r="AGV2482" s="55"/>
      <c r="AGW2482" s="60"/>
      <c r="AGX2482" s="60"/>
      <c r="AGY2482" s="60"/>
      <c r="AGZ2482" s="60"/>
      <c r="AHA2482" s="65"/>
      <c r="AHB2482" s="61"/>
      <c r="AHC2482" s="55"/>
      <c r="AHD2482" s="55"/>
      <c r="AHE2482" s="60"/>
      <c r="AHF2482" s="60"/>
      <c r="AHG2482" s="60"/>
      <c r="AHH2482" s="60"/>
      <c r="AHI2482" s="65"/>
      <c r="AHJ2482" s="61"/>
      <c r="AHK2482" s="55"/>
      <c r="AHL2482" s="55"/>
      <c r="AHM2482" s="60"/>
      <c r="AHN2482" s="60"/>
      <c r="AHO2482" s="60"/>
      <c r="AHP2482" s="60"/>
      <c r="AHQ2482" s="65"/>
      <c r="AHR2482" s="61"/>
      <c r="AHS2482" s="55"/>
      <c r="AHT2482" s="55"/>
      <c r="AHU2482" s="60"/>
      <c r="AHV2482" s="60"/>
      <c r="AHW2482" s="60"/>
      <c r="AHX2482" s="60"/>
      <c r="AHY2482" s="65"/>
      <c r="AHZ2482" s="61"/>
      <c r="AIA2482" s="55"/>
      <c r="AIB2482" s="55"/>
      <c r="AIC2482" s="60"/>
      <c r="AID2482" s="60"/>
      <c r="AIE2482" s="60"/>
      <c r="AIF2482" s="60"/>
      <c r="AIG2482" s="65"/>
      <c r="AIH2482" s="61"/>
      <c r="AII2482" s="55"/>
      <c r="AIJ2482" s="55"/>
      <c r="AIK2482" s="60"/>
      <c r="AIL2482" s="60"/>
      <c r="AIM2482" s="60"/>
      <c r="AIN2482" s="60"/>
      <c r="AIO2482" s="65"/>
      <c r="AIP2482" s="61"/>
      <c r="AIQ2482" s="55"/>
      <c r="AIR2482" s="55"/>
      <c r="AIS2482" s="60"/>
      <c r="AIT2482" s="60"/>
      <c r="AIU2482" s="60"/>
      <c r="AIV2482" s="60"/>
      <c r="AIW2482" s="65"/>
      <c r="AIX2482" s="61"/>
      <c r="AIY2482" s="55"/>
      <c r="AIZ2482" s="55"/>
      <c r="AJA2482" s="60"/>
      <c r="AJB2482" s="60"/>
      <c r="AJC2482" s="60"/>
      <c r="AJD2482" s="60"/>
      <c r="AJE2482" s="65"/>
      <c r="AJF2482" s="61"/>
      <c r="AJG2482" s="55"/>
      <c r="AJH2482" s="55"/>
      <c r="AJI2482" s="60"/>
      <c r="AJJ2482" s="60"/>
      <c r="AJK2482" s="60"/>
      <c r="AJL2482" s="60"/>
      <c r="AJM2482" s="65"/>
      <c r="AJN2482" s="61"/>
      <c r="AJO2482" s="55"/>
      <c r="AJP2482" s="55"/>
      <c r="AJQ2482" s="60"/>
      <c r="AJR2482" s="60"/>
      <c r="AJS2482" s="60"/>
      <c r="AJT2482" s="60"/>
      <c r="AJU2482" s="65"/>
      <c r="AJV2482" s="61"/>
      <c r="AJW2482" s="55"/>
      <c r="AJX2482" s="55"/>
      <c r="AJY2482" s="60"/>
      <c r="AJZ2482" s="60"/>
      <c r="AKA2482" s="60"/>
      <c r="AKB2482" s="60"/>
      <c r="AKC2482" s="65"/>
      <c r="AKD2482" s="61"/>
      <c r="AKE2482" s="55"/>
      <c r="AKF2482" s="55"/>
      <c r="AKG2482" s="60"/>
      <c r="AKH2482" s="60"/>
      <c r="AKI2482" s="60"/>
      <c r="AKJ2482" s="60"/>
      <c r="AKK2482" s="65"/>
      <c r="AKL2482" s="61"/>
      <c r="AKM2482" s="55"/>
      <c r="AKN2482" s="55"/>
      <c r="AKO2482" s="60"/>
      <c r="AKP2482" s="60"/>
      <c r="AKQ2482" s="60"/>
      <c r="AKR2482" s="60"/>
      <c r="AKS2482" s="65"/>
      <c r="AKT2482" s="61"/>
      <c r="AKU2482" s="55"/>
      <c r="AKV2482" s="55"/>
      <c r="AKW2482" s="60"/>
      <c r="AKX2482" s="60"/>
      <c r="AKY2482" s="60"/>
      <c r="AKZ2482" s="60"/>
      <c r="ALA2482" s="65"/>
      <c r="ALB2482" s="61"/>
      <c r="ALC2482" s="55"/>
      <c r="ALD2482" s="55"/>
      <c r="ALE2482" s="60"/>
      <c r="ALF2482" s="60"/>
      <c r="ALG2482" s="60"/>
      <c r="ALH2482" s="60"/>
      <c r="ALI2482" s="65"/>
      <c r="ALJ2482" s="61"/>
      <c r="ALK2482" s="55"/>
      <c r="ALL2482" s="55"/>
      <c r="ALM2482" s="60"/>
      <c r="ALN2482" s="60"/>
      <c r="ALO2482" s="60"/>
      <c r="ALP2482" s="60"/>
      <c r="ALQ2482" s="65"/>
      <c r="ALR2482" s="61"/>
      <c r="ALS2482" s="55"/>
      <c r="ALT2482" s="55"/>
      <c r="ALU2482" s="60"/>
      <c r="ALV2482" s="60"/>
      <c r="ALW2482" s="60"/>
      <c r="ALX2482" s="60"/>
      <c r="ALY2482" s="65"/>
      <c r="ALZ2482" s="61"/>
      <c r="AMA2482" s="55"/>
      <c r="AMB2482" s="55"/>
      <c r="AMC2482" s="60"/>
      <c r="AMD2482" s="60"/>
      <c r="AME2482" s="60"/>
      <c r="AMF2482" s="60"/>
      <c r="AMG2482" s="65"/>
      <c r="AMH2482" s="61"/>
      <c r="AMI2482" s="55"/>
      <c r="AMJ2482" s="55"/>
      <c r="AMK2482" s="60"/>
      <c r="AML2482" s="60"/>
      <c r="AMM2482" s="60"/>
      <c r="AMN2482" s="60"/>
      <c r="AMO2482" s="65"/>
      <c r="AMP2482" s="61"/>
      <c r="AMQ2482" s="55"/>
      <c r="AMR2482" s="55"/>
      <c r="AMS2482" s="60"/>
      <c r="AMT2482" s="60"/>
      <c r="AMU2482" s="60"/>
      <c r="AMV2482" s="60"/>
      <c r="AMW2482" s="65"/>
      <c r="AMX2482" s="61"/>
      <c r="AMY2482" s="55"/>
      <c r="AMZ2482" s="55"/>
      <c r="ANA2482" s="60"/>
      <c r="ANB2482" s="60"/>
      <c r="ANC2482" s="60"/>
      <c r="AND2482" s="60"/>
      <c r="ANE2482" s="65"/>
      <c r="ANF2482" s="61"/>
      <c r="ANG2482" s="55"/>
      <c r="ANH2482" s="55"/>
      <c r="ANI2482" s="60"/>
      <c r="ANJ2482" s="60"/>
      <c r="ANK2482" s="60"/>
      <c r="ANL2482" s="60"/>
      <c r="ANM2482" s="65"/>
      <c r="ANN2482" s="61"/>
      <c r="ANO2482" s="55"/>
      <c r="ANP2482" s="55"/>
      <c r="ANQ2482" s="60"/>
      <c r="ANR2482" s="60"/>
      <c r="ANS2482" s="60"/>
      <c r="ANT2482" s="60"/>
      <c r="ANU2482" s="65"/>
      <c r="ANV2482" s="61"/>
      <c r="ANW2482" s="55"/>
      <c r="ANX2482" s="55"/>
      <c r="ANY2482" s="60"/>
      <c r="ANZ2482" s="60"/>
      <c r="AOA2482" s="60"/>
      <c r="AOB2482" s="60"/>
      <c r="AOC2482" s="65"/>
      <c r="AOD2482" s="61"/>
      <c r="AOE2482" s="55"/>
      <c r="AOF2482" s="55"/>
      <c r="AOG2482" s="60"/>
      <c r="AOH2482" s="60"/>
      <c r="AOI2482" s="60"/>
      <c r="AOJ2482" s="60"/>
      <c r="AOK2482" s="65"/>
      <c r="AOL2482" s="61"/>
      <c r="AOM2482" s="55"/>
      <c r="AON2482" s="55"/>
      <c r="AOO2482" s="60"/>
      <c r="AOP2482" s="60"/>
      <c r="AOQ2482" s="60"/>
      <c r="AOR2482" s="60"/>
      <c r="AOS2482" s="65"/>
      <c r="AOT2482" s="61"/>
      <c r="AOU2482" s="55"/>
      <c r="AOV2482" s="55"/>
      <c r="AOW2482" s="60"/>
      <c r="AOX2482" s="60"/>
      <c r="AOY2482" s="60"/>
      <c r="AOZ2482" s="60"/>
      <c r="APA2482" s="65"/>
      <c r="APB2482" s="61"/>
      <c r="APC2482" s="55"/>
      <c r="APD2482" s="55"/>
      <c r="APE2482" s="60"/>
      <c r="APF2482" s="60"/>
      <c r="APG2482" s="60"/>
      <c r="APH2482" s="60"/>
      <c r="API2482" s="65"/>
      <c r="APJ2482" s="61"/>
      <c r="APK2482" s="55"/>
      <c r="APL2482" s="55"/>
      <c r="APM2482" s="60"/>
      <c r="APN2482" s="60"/>
      <c r="APO2482" s="60"/>
      <c r="APP2482" s="60"/>
      <c r="APQ2482" s="65"/>
      <c r="APR2482" s="61"/>
      <c r="APS2482" s="55"/>
      <c r="APT2482" s="55"/>
      <c r="APU2482" s="60"/>
      <c r="APV2482" s="60"/>
      <c r="APW2482" s="60"/>
      <c r="APX2482" s="60"/>
      <c r="APY2482" s="65"/>
      <c r="APZ2482" s="61"/>
      <c r="AQA2482" s="55"/>
      <c r="AQB2482" s="55"/>
      <c r="AQC2482" s="60"/>
      <c r="AQD2482" s="60"/>
      <c r="AQE2482" s="60"/>
      <c r="AQF2482" s="60"/>
      <c r="AQG2482" s="65"/>
      <c r="AQH2482" s="61"/>
      <c r="AQI2482" s="55"/>
      <c r="AQJ2482" s="55"/>
      <c r="AQK2482" s="60"/>
      <c r="AQL2482" s="60"/>
      <c r="AQM2482" s="60"/>
      <c r="AQN2482" s="60"/>
      <c r="AQO2482" s="65"/>
      <c r="AQP2482" s="61"/>
      <c r="AQQ2482" s="55"/>
      <c r="AQR2482" s="55"/>
      <c r="AQS2482" s="60"/>
      <c r="AQT2482" s="60"/>
      <c r="AQU2482" s="60"/>
      <c r="AQV2482" s="60"/>
      <c r="AQW2482" s="65"/>
      <c r="AQX2482" s="61"/>
      <c r="AQY2482" s="55"/>
      <c r="AQZ2482" s="55"/>
      <c r="ARA2482" s="60"/>
      <c r="ARB2482" s="60"/>
      <c r="ARC2482" s="60"/>
      <c r="ARD2482" s="60"/>
      <c r="ARE2482" s="65"/>
      <c r="ARF2482" s="61"/>
      <c r="ARG2482" s="55"/>
      <c r="ARH2482" s="55"/>
      <c r="ARI2482" s="60"/>
      <c r="ARJ2482" s="60"/>
      <c r="ARK2482" s="60"/>
      <c r="ARL2482" s="60"/>
      <c r="ARM2482" s="65"/>
      <c r="ARN2482" s="61"/>
      <c r="ARO2482" s="55"/>
      <c r="ARP2482" s="55"/>
      <c r="ARQ2482" s="60"/>
      <c r="ARR2482" s="60"/>
      <c r="ARS2482" s="60"/>
      <c r="ART2482" s="60"/>
      <c r="ARU2482" s="65"/>
      <c r="ARV2482" s="61"/>
      <c r="ARW2482" s="55"/>
      <c r="ARX2482" s="55"/>
      <c r="ARY2482" s="60"/>
      <c r="ARZ2482" s="60"/>
      <c r="ASA2482" s="60"/>
      <c r="ASB2482" s="60"/>
      <c r="ASC2482" s="65"/>
      <c r="ASD2482" s="61"/>
      <c r="ASE2482" s="55"/>
      <c r="ASF2482" s="55"/>
      <c r="ASG2482" s="60"/>
      <c r="ASH2482" s="60"/>
      <c r="ASI2482" s="60"/>
      <c r="ASJ2482" s="60"/>
      <c r="ASK2482" s="65"/>
      <c r="ASL2482" s="61"/>
      <c r="ASM2482" s="55"/>
      <c r="ASN2482" s="55"/>
      <c r="ASO2482" s="60"/>
      <c r="ASP2482" s="60"/>
      <c r="ASQ2482" s="60"/>
      <c r="ASR2482" s="60"/>
      <c r="ASS2482" s="65"/>
      <c r="AST2482" s="61"/>
      <c r="ASU2482" s="55"/>
      <c r="ASV2482" s="55"/>
      <c r="ASW2482" s="60"/>
      <c r="ASX2482" s="60"/>
      <c r="ASY2482" s="60"/>
      <c r="ASZ2482" s="60"/>
      <c r="ATA2482" s="65"/>
      <c r="ATB2482" s="61"/>
      <c r="ATC2482" s="55"/>
      <c r="ATD2482" s="55"/>
      <c r="ATE2482" s="60"/>
      <c r="ATF2482" s="60"/>
      <c r="ATG2482" s="60"/>
      <c r="ATH2482" s="60"/>
      <c r="ATI2482" s="65"/>
      <c r="ATJ2482" s="61"/>
      <c r="ATK2482" s="55"/>
      <c r="ATL2482" s="55"/>
      <c r="ATM2482" s="60"/>
      <c r="ATN2482" s="60"/>
      <c r="ATO2482" s="60"/>
      <c r="ATP2482" s="60"/>
      <c r="ATQ2482" s="65"/>
      <c r="ATR2482" s="61"/>
      <c r="ATS2482" s="55"/>
      <c r="ATT2482" s="55"/>
      <c r="ATU2482" s="60"/>
      <c r="ATV2482" s="60"/>
      <c r="ATW2482" s="60"/>
      <c r="ATX2482" s="60"/>
      <c r="ATY2482" s="65"/>
      <c r="ATZ2482" s="61"/>
      <c r="AUA2482" s="55"/>
      <c r="AUB2482" s="55"/>
      <c r="AUC2482" s="60"/>
      <c r="AUD2482" s="60"/>
      <c r="AUE2482" s="60"/>
      <c r="AUF2482" s="60"/>
      <c r="AUG2482" s="65"/>
      <c r="AUH2482" s="61"/>
      <c r="AUI2482" s="55"/>
      <c r="AUJ2482" s="55"/>
      <c r="AUK2482" s="60"/>
      <c r="AUL2482" s="60"/>
      <c r="AUM2482" s="60"/>
      <c r="AUN2482" s="60"/>
      <c r="AUO2482" s="65"/>
      <c r="AUP2482" s="61"/>
      <c r="AUQ2482" s="55"/>
      <c r="AUR2482" s="55"/>
      <c r="AUS2482" s="60"/>
      <c r="AUT2482" s="60"/>
      <c r="AUU2482" s="60"/>
      <c r="AUV2482" s="60"/>
      <c r="AUW2482" s="65"/>
      <c r="AUX2482" s="61"/>
      <c r="AUY2482" s="55"/>
      <c r="AUZ2482" s="55"/>
      <c r="AVA2482" s="60"/>
      <c r="AVB2482" s="60"/>
      <c r="AVC2482" s="60"/>
      <c r="AVD2482" s="60"/>
      <c r="AVE2482" s="65"/>
      <c r="AVF2482" s="61"/>
      <c r="AVG2482" s="55"/>
      <c r="AVH2482" s="55"/>
      <c r="AVI2482" s="60"/>
      <c r="AVJ2482" s="60"/>
      <c r="AVK2482" s="60"/>
      <c r="AVL2482" s="60"/>
      <c r="AVM2482" s="65"/>
      <c r="AVN2482" s="61"/>
      <c r="AVO2482" s="55"/>
      <c r="AVP2482" s="55"/>
      <c r="AVQ2482" s="60"/>
      <c r="AVR2482" s="60"/>
      <c r="AVS2482" s="60"/>
      <c r="AVT2482" s="60"/>
      <c r="AVU2482" s="65"/>
      <c r="AVV2482" s="61"/>
      <c r="AVW2482" s="55"/>
      <c r="AVX2482" s="55"/>
      <c r="AVY2482" s="60"/>
      <c r="AVZ2482" s="60"/>
      <c r="AWA2482" s="60"/>
      <c r="AWB2482" s="60"/>
      <c r="AWC2482" s="65"/>
      <c r="AWD2482" s="61"/>
      <c r="AWE2482" s="55"/>
      <c r="AWF2482" s="55"/>
      <c r="AWG2482" s="60"/>
      <c r="AWH2482" s="60"/>
      <c r="AWI2482" s="60"/>
      <c r="AWJ2482" s="60"/>
      <c r="AWK2482" s="65"/>
      <c r="AWL2482" s="61"/>
      <c r="AWM2482" s="55"/>
      <c r="AWN2482" s="55"/>
      <c r="AWO2482" s="60"/>
      <c r="AWP2482" s="60"/>
      <c r="AWQ2482" s="60"/>
      <c r="AWR2482" s="60"/>
      <c r="AWS2482" s="65"/>
      <c r="AWT2482" s="61"/>
      <c r="AWU2482" s="55"/>
      <c r="AWV2482" s="55"/>
      <c r="AWW2482" s="60"/>
      <c r="AWX2482" s="60"/>
      <c r="AWY2482" s="60"/>
      <c r="AWZ2482" s="60"/>
      <c r="AXA2482" s="65"/>
      <c r="AXB2482" s="61"/>
      <c r="AXC2482" s="55"/>
      <c r="AXD2482" s="55"/>
      <c r="AXE2482" s="60"/>
      <c r="AXF2482" s="60"/>
      <c r="AXG2482" s="60"/>
      <c r="AXH2482" s="60"/>
      <c r="AXI2482" s="65"/>
      <c r="AXJ2482" s="61"/>
      <c r="AXK2482" s="55"/>
      <c r="AXL2482" s="55"/>
      <c r="AXM2482" s="60"/>
      <c r="AXN2482" s="60"/>
      <c r="AXO2482" s="60"/>
      <c r="AXP2482" s="60"/>
      <c r="AXQ2482" s="65"/>
      <c r="AXR2482" s="61"/>
      <c r="AXS2482" s="55"/>
      <c r="AXT2482" s="55"/>
      <c r="AXU2482" s="60"/>
      <c r="AXV2482" s="60"/>
      <c r="AXW2482" s="60"/>
      <c r="AXX2482" s="60"/>
      <c r="AXY2482" s="65"/>
      <c r="AXZ2482" s="61"/>
      <c r="AYA2482" s="55"/>
      <c r="AYB2482" s="55"/>
      <c r="AYC2482" s="60"/>
      <c r="AYD2482" s="60"/>
      <c r="AYE2482" s="60"/>
      <c r="AYF2482" s="60"/>
      <c r="AYG2482" s="65"/>
      <c r="AYH2482" s="61"/>
      <c r="AYI2482" s="55"/>
      <c r="AYJ2482" s="55"/>
      <c r="AYK2482" s="60"/>
      <c r="AYL2482" s="60"/>
      <c r="AYM2482" s="60"/>
      <c r="AYN2482" s="60"/>
      <c r="AYO2482" s="65"/>
      <c r="AYP2482" s="61"/>
      <c r="AYQ2482" s="55"/>
      <c r="AYR2482" s="55"/>
      <c r="AYS2482" s="60"/>
      <c r="AYT2482" s="60"/>
      <c r="AYU2482" s="60"/>
      <c r="AYV2482" s="60"/>
      <c r="AYW2482" s="65"/>
      <c r="AYX2482" s="61"/>
      <c r="AYY2482" s="55"/>
      <c r="AYZ2482" s="55"/>
      <c r="AZA2482" s="60"/>
      <c r="AZB2482" s="60"/>
      <c r="AZC2482" s="60"/>
      <c r="AZD2482" s="60"/>
      <c r="AZE2482" s="65"/>
      <c r="AZF2482" s="61"/>
      <c r="AZG2482" s="55"/>
      <c r="AZH2482" s="55"/>
      <c r="AZI2482" s="60"/>
      <c r="AZJ2482" s="60"/>
      <c r="AZK2482" s="60"/>
      <c r="AZL2482" s="60"/>
      <c r="AZM2482" s="65"/>
      <c r="AZN2482" s="61"/>
      <c r="AZO2482" s="55"/>
      <c r="AZP2482" s="55"/>
      <c r="AZQ2482" s="60"/>
      <c r="AZR2482" s="60"/>
      <c r="AZS2482" s="60"/>
      <c r="AZT2482" s="60"/>
      <c r="AZU2482" s="65"/>
      <c r="AZV2482" s="61"/>
      <c r="AZW2482" s="55"/>
      <c r="AZX2482" s="55"/>
      <c r="AZY2482" s="60"/>
      <c r="AZZ2482" s="60"/>
      <c r="BAA2482" s="60"/>
      <c r="BAB2482" s="60"/>
      <c r="BAC2482" s="65"/>
      <c r="BAD2482" s="61"/>
      <c r="BAE2482" s="55"/>
      <c r="BAF2482" s="55"/>
      <c r="BAG2482" s="60"/>
      <c r="BAH2482" s="60"/>
      <c r="BAI2482" s="60"/>
      <c r="BAJ2482" s="60"/>
      <c r="BAK2482" s="65"/>
      <c r="BAL2482" s="61"/>
      <c r="BAM2482" s="55"/>
      <c r="BAN2482" s="55"/>
      <c r="BAO2482" s="60"/>
      <c r="BAP2482" s="60"/>
      <c r="BAQ2482" s="60"/>
      <c r="BAR2482" s="60"/>
      <c r="BAS2482" s="65"/>
      <c r="BAT2482" s="61"/>
      <c r="BAU2482" s="55"/>
      <c r="BAV2482" s="55"/>
      <c r="BAW2482" s="60"/>
      <c r="BAX2482" s="60"/>
      <c r="BAY2482" s="60"/>
      <c r="BAZ2482" s="60"/>
      <c r="BBA2482" s="65"/>
      <c r="BBB2482" s="61"/>
      <c r="BBC2482" s="55"/>
      <c r="BBD2482" s="55"/>
      <c r="BBE2482" s="60"/>
      <c r="BBF2482" s="60"/>
      <c r="BBG2482" s="60"/>
      <c r="BBH2482" s="60"/>
      <c r="BBI2482" s="65"/>
      <c r="BBJ2482" s="61"/>
      <c r="BBK2482" s="55"/>
      <c r="BBL2482" s="55"/>
      <c r="BBM2482" s="60"/>
      <c r="BBN2482" s="60"/>
      <c r="BBO2482" s="60"/>
      <c r="BBP2482" s="60"/>
      <c r="BBQ2482" s="65"/>
      <c r="BBR2482" s="61"/>
      <c r="BBS2482" s="55"/>
      <c r="BBT2482" s="55"/>
      <c r="BBU2482" s="60"/>
      <c r="BBV2482" s="60"/>
      <c r="BBW2482" s="60"/>
      <c r="BBX2482" s="60"/>
      <c r="BBY2482" s="65"/>
      <c r="BBZ2482" s="61"/>
      <c r="BCA2482" s="55"/>
      <c r="BCB2482" s="55"/>
      <c r="BCC2482" s="60"/>
      <c r="BCD2482" s="60"/>
      <c r="BCE2482" s="60"/>
      <c r="BCF2482" s="60"/>
      <c r="BCG2482" s="65"/>
      <c r="BCH2482" s="61"/>
      <c r="BCI2482" s="55"/>
      <c r="BCJ2482" s="55"/>
      <c r="BCK2482" s="60"/>
      <c r="BCL2482" s="60"/>
      <c r="BCM2482" s="60"/>
      <c r="BCN2482" s="60"/>
      <c r="BCO2482" s="65"/>
      <c r="BCP2482" s="61"/>
      <c r="BCQ2482" s="55"/>
      <c r="BCR2482" s="55"/>
      <c r="BCS2482" s="60"/>
      <c r="BCT2482" s="60"/>
      <c r="BCU2482" s="60"/>
      <c r="BCV2482" s="60"/>
      <c r="BCW2482" s="65"/>
      <c r="BCX2482" s="61"/>
      <c r="BCY2482" s="55"/>
      <c r="BCZ2482" s="55"/>
      <c r="BDA2482" s="60"/>
      <c r="BDB2482" s="60"/>
      <c r="BDC2482" s="60"/>
      <c r="BDD2482" s="60"/>
      <c r="BDE2482" s="65"/>
      <c r="BDF2482" s="61"/>
      <c r="BDG2482" s="55"/>
      <c r="BDH2482" s="55"/>
      <c r="BDI2482" s="60"/>
      <c r="BDJ2482" s="60"/>
      <c r="BDK2482" s="60"/>
      <c r="BDL2482" s="60"/>
      <c r="BDM2482" s="65"/>
      <c r="BDN2482" s="61"/>
      <c r="BDO2482" s="55"/>
      <c r="BDP2482" s="55"/>
      <c r="BDQ2482" s="60"/>
      <c r="BDR2482" s="60"/>
      <c r="BDS2482" s="60"/>
      <c r="BDT2482" s="60"/>
      <c r="BDU2482" s="65"/>
      <c r="BDV2482" s="61"/>
      <c r="BDW2482" s="55"/>
      <c r="BDX2482" s="55"/>
      <c r="BDY2482" s="60"/>
      <c r="BDZ2482" s="60"/>
      <c r="BEA2482" s="60"/>
      <c r="BEB2482" s="60"/>
      <c r="BEC2482" s="65"/>
      <c r="BED2482" s="61"/>
      <c r="BEE2482" s="55"/>
      <c r="BEF2482" s="55"/>
      <c r="BEG2482" s="60"/>
      <c r="BEH2482" s="60"/>
      <c r="BEI2482" s="60"/>
      <c r="BEJ2482" s="60"/>
      <c r="BEK2482" s="65"/>
      <c r="BEL2482" s="61"/>
      <c r="BEM2482" s="55"/>
      <c r="BEN2482" s="55"/>
      <c r="BEO2482" s="60"/>
      <c r="BEP2482" s="60"/>
      <c r="BEQ2482" s="60"/>
      <c r="BER2482" s="60"/>
      <c r="BES2482" s="65"/>
      <c r="BET2482" s="61"/>
      <c r="BEU2482" s="55"/>
      <c r="BEV2482" s="55"/>
      <c r="BEW2482" s="60"/>
      <c r="BEX2482" s="60"/>
      <c r="BEY2482" s="60"/>
      <c r="BEZ2482" s="60"/>
      <c r="BFA2482" s="65"/>
      <c r="BFB2482" s="61"/>
      <c r="BFC2482" s="55"/>
      <c r="BFD2482" s="55"/>
      <c r="BFE2482" s="60"/>
      <c r="BFF2482" s="60"/>
      <c r="BFG2482" s="60"/>
      <c r="BFH2482" s="60"/>
      <c r="BFI2482" s="65"/>
      <c r="BFJ2482" s="61"/>
      <c r="BFK2482" s="55"/>
      <c r="BFL2482" s="55"/>
      <c r="BFM2482" s="60"/>
      <c r="BFN2482" s="60"/>
      <c r="BFO2482" s="60"/>
      <c r="BFP2482" s="60"/>
      <c r="BFQ2482" s="65"/>
      <c r="BFR2482" s="61"/>
      <c r="BFS2482" s="55"/>
      <c r="BFT2482" s="55"/>
      <c r="BFU2482" s="60"/>
      <c r="BFV2482" s="60"/>
      <c r="BFW2482" s="60"/>
      <c r="BFX2482" s="60"/>
      <c r="BFY2482" s="65"/>
      <c r="BFZ2482" s="61"/>
      <c r="BGA2482" s="55"/>
      <c r="BGB2482" s="55"/>
      <c r="BGC2482" s="60"/>
      <c r="BGD2482" s="60"/>
      <c r="BGE2482" s="60"/>
      <c r="BGF2482" s="60"/>
      <c r="BGG2482" s="65"/>
      <c r="BGH2482" s="61"/>
      <c r="BGI2482" s="55"/>
      <c r="BGJ2482" s="55"/>
      <c r="BGK2482" s="60"/>
      <c r="BGL2482" s="60"/>
      <c r="BGM2482" s="60"/>
      <c r="BGN2482" s="60"/>
      <c r="BGO2482" s="65"/>
      <c r="BGP2482" s="61"/>
      <c r="BGQ2482" s="55"/>
      <c r="BGR2482" s="55"/>
      <c r="BGS2482" s="60"/>
      <c r="BGT2482" s="60"/>
      <c r="BGU2482" s="60"/>
      <c r="BGV2482" s="60"/>
      <c r="BGW2482" s="65"/>
      <c r="BGX2482" s="61"/>
      <c r="BGY2482" s="55"/>
      <c r="BGZ2482" s="55"/>
      <c r="BHA2482" s="60"/>
      <c r="BHB2482" s="60"/>
      <c r="BHC2482" s="60"/>
      <c r="BHD2482" s="60"/>
      <c r="BHE2482" s="65"/>
      <c r="BHF2482" s="61"/>
      <c r="BHG2482" s="55"/>
      <c r="BHH2482" s="55"/>
      <c r="BHI2482" s="60"/>
      <c r="BHJ2482" s="60"/>
      <c r="BHK2482" s="60"/>
      <c r="BHL2482" s="60"/>
      <c r="BHM2482" s="65"/>
      <c r="BHN2482" s="61"/>
      <c r="BHO2482" s="55"/>
      <c r="BHP2482" s="55"/>
      <c r="BHQ2482" s="60"/>
      <c r="BHR2482" s="60"/>
      <c r="BHS2482" s="60"/>
      <c r="BHT2482" s="60"/>
      <c r="BHU2482" s="65"/>
      <c r="BHV2482" s="61"/>
      <c r="BHW2482" s="55"/>
      <c r="BHX2482" s="55"/>
      <c r="BHY2482" s="60"/>
      <c r="BHZ2482" s="60"/>
      <c r="BIA2482" s="60"/>
      <c r="BIB2482" s="60"/>
      <c r="BIC2482" s="65"/>
      <c r="BID2482" s="61"/>
      <c r="BIE2482" s="55"/>
      <c r="BIF2482" s="55"/>
      <c r="BIG2482" s="60"/>
      <c r="BIH2482" s="60"/>
      <c r="BII2482" s="60"/>
      <c r="BIJ2482" s="60"/>
      <c r="BIK2482" s="65"/>
      <c r="BIL2482" s="61"/>
      <c r="BIM2482" s="55"/>
      <c r="BIN2482" s="55"/>
      <c r="BIO2482" s="60"/>
      <c r="BIP2482" s="60"/>
      <c r="BIQ2482" s="60"/>
      <c r="BIR2482" s="60"/>
      <c r="BIS2482" s="65"/>
      <c r="BIT2482" s="61"/>
      <c r="BIU2482" s="55"/>
      <c r="BIV2482" s="55"/>
      <c r="BIW2482" s="60"/>
      <c r="BIX2482" s="60"/>
      <c r="BIY2482" s="60"/>
      <c r="BIZ2482" s="60"/>
      <c r="BJA2482" s="65"/>
      <c r="BJB2482" s="61"/>
      <c r="BJC2482" s="55"/>
      <c r="BJD2482" s="55"/>
      <c r="BJE2482" s="60"/>
      <c r="BJF2482" s="60"/>
      <c r="BJG2482" s="60"/>
      <c r="BJH2482" s="60"/>
      <c r="BJI2482" s="65"/>
      <c r="BJJ2482" s="61"/>
      <c r="BJK2482" s="55"/>
      <c r="BJL2482" s="55"/>
      <c r="BJM2482" s="60"/>
      <c r="BJN2482" s="60"/>
      <c r="BJO2482" s="60"/>
      <c r="BJP2482" s="60"/>
      <c r="BJQ2482" s="65"/>
      <c r="BJR2482" s="61"/>
      <c r="BJS2482" s="55"/>
      <c r="BJT2482" s="55"/>
      <c r="BJU2482" s="60"/>
      <c r="BJV2482" s="60"/>
      <c r="BJW2482" s="60"/>
      <c r="BJX2482" s="60"/>
      <c r="BJY2482" s="65"/>
      <c r="BJZ2482" s="61"/>
      <c r="BKA2482" s="55"/>
      <c r="BKB2482" s="55"/>
      <c r="BKC2482" s="60"/>
      <c r="BKD2482" s="60"/>
      <c r="BKE2482" s="60"/>
      <c r="BKF2482" s="60"/>
      <c r="BKG2482" s="65"/>
      <c r="BKH2482" s="61"/>
      <c r="BKI2482" s="55"/>
      <c r="BKJ2482" s="55"/>
      <c r="BKK2482" s="60"/>
      <c r="BKL2482" s="60"/>
      <c r="BKM2482" s="60"/>
      <c r="BKN2482" s="60"/>
      <c r="BKO2482" s="65"/>
      <c r="BKP2482" s="61"/>
      <c r="BKQ2482" s="55"/>
      <c r="BKR2482" s="55"/>
      <c r="BKS2482" s="60"/>
      <c r="BKT2482" s="60"/>
      <c r="BKU2482" s="60"/>
      <c r="BKV2482" s="60"/>
      <c r="BKW2482" s="65"/>
      <c r="BKX2482" s="61"/>
      <c r="BKY2482" s="55"/>
      <c r="BKZ2482" s="55"/>
      <c r="BLA2482" s="60"/>
      <c r="BLB2482" s="60"/>
      <c r="BLC2482" s="60"/>
      <c r="BLD2482" s="60"/>
      <c r="BLE2482" s="65"/>
      <c r="BLF2482" s="61"/>
      <c r="BLG2482" s="55"/>
      <c r="BLH2482" s="55"/>
      <c r="BLI2482" s="60"/>
      <c r="BLJ2482" s="60"/>
      <c r="BLK2482" s="60"/>
      <c r="BLL2482" s="60"/>
      <c r="BLM2482" s="65"/>
      <c r="BLN2482" s="61"/>
      <c r="BLO2482" s="55"/>
      <c r="BLP2482" s="55"/>
      <c r="BLQ2482" s="60"/>
      <c r="BLR2482" s="60"/>
      <c r="BLS2482" s="60"/>
      <c r="BLT2482" s="60"/>
      <c r="BLU2482" s="65"/>
      <c r="BLV2482" s="61"/>
      <c r="BLW2482" s="55"/>
      <c r="BLX2482" s="55"/>
      <c r="BLY2482" s="60"/>
      <c r="BLZ2482" s="60"/>
      <c r="BMA2482" s="60"/>
      <c r="BMB2482" s="60"/>
      <c r="BMC2482" s="65"/>
      <c r="BMD2482" s="61"/>
      <c r="BME2482" s="55"/>
      <c r="BMF2482" s="55"/>
      <c r="BMG2482" s="60"/>
      <c r="BMH2482" s="60"/>
      <c r="BMI2482" s="60"/>
      <c r="BMJ2482" s="60"/>
      <c r="BMK2482" s="65"/>
      <c r="BML2482" s="61"/>
      <c r="BMM2482" s="55"/>
      <c r="BMN2482" s="55"/>
      <c r="BMO2482" s="60"/>
      <c r="BMP2482" s="60"/>
      <c r="BMQ2482" s="60"/>
      <c r="BMR2482" s="60"/>
      <c r="BMS2482" s="65"/>
      <c r="BMT2482" s="61"/>
      <c r="BMU2482" s="55"/>
      <c r="BMV2482" s="55"/>
      <c r="BMW2482" s="60"/>
      <c r="BMX2482" s="60"/>
      <c r="BMY2482" s="60"/>
      <c r="BMZ2482" s="60"/>
      <c r="BNA2482" s="65"/>
      <c r="BNB2482" s="61"/>
      <c r="BNC2482" s="55"/>
      <c r="BND2482" s="55"/>
      <c r="BNE2482" s="60"/>
      <c r="BNF2482" s="60"/>
      <c r="BNG2482" s="60"/>
      <c r="BNH2482" s="60"/>
      <c r="BNI2482" s="65"/>
      <c r="BNJ2482" s="61"/>
      <c r="BNK2482" s="55"/>
      <c r="BNL2482" s="55"/>
      <c r="BNM2482" s="60"/>
      <c r="BNN2482" s="60"/>
      <c r="BNO2482" s="60"/>
      <c r="BNP2482" s="60"/>
      <c r="BNQ2482" s="65"/>
      <c r="BNR2482" s="61"/>
      <c r="BNS2482" s="55"/>
      <c r="BNT2482" s="55"/>
      <c r="BNU2482" s="60"/>
      <c r="BNV2482" s="60"/>
      <c r="BNW2482" s="60"/>
      <c r="BNX2482" s="60"/>
      <c r="BNY2482" s="65"/>
      <c r="BNZ2482" s="61"/>
      <c r="BOA2482" s="55"/>
      <c r="BOB2482" s="55"/>
      <c r="BOC2482" s="60"/>
      <c r="BOD2482" s="60"/>
      <c r="BOE2482" s="60"/>
      <c r="BOF2482" s="60"/>
      <c r="BOG2482" s="65"/>
      <c r="BOH2482" s="61"/>
      <c r="BOI2482" s="55"/>
      <c r="BOJ2482" s="55"/>
      <c r="BOK2482" s="60"/>
      <c r="BOL2482" s="60"/>
      <c r="BOM2482" s="60"/>
      <c r="BON2482" s="60"/>
      <c r="BOO2482" s="65"/>
      <c r="BOP2482" s="61"/>
      <c r="BOQ2482" s="55"/>
      <c r="BOR2482" s="55"/>
      <c r="BOS2482" s="60"/>
      <c r="BOT2482" s="60"/>
      <c r="BOU2482" s="60"/>
      <c r="BOV2482" s="60"/>
      <c r="BOW2482" s="65"/>
      <c r="BOX2482" s="61"/>
      <c r="BOY2482" s="55"/>
      <c r="BOZ2482" s="55"/>
      <c r="BPA2482" s="60"/>
      <c r="BPB2482" s="60"/>
      <c r="BPC2482" s="60"/>
      <c r="BPD2482" s="60"/>
      <c r="BPE2482" s="65"/>
      <c r="BPF2482" s="61"/>
      <c r="BPG2482" s="55"/>
      <c r="BPH2482" s="55"/>
      <c r="BPI2482" s="60"/>
      <c r="BPJ2482" s="60"/>
      <c r="BPK2482" s="60"/>
      <c r="BPL2482" s="60"/>
      <c r="BPM2482" s="65"/>
      <c r="BPN2482" s="61"/>
      <c r="BPO2482" s="55"/>
      <c r="BPP2482" s="55"/>
      <c r="BPQ2482" s="60"/>
      <c r="BPR2482" s="60"/>
      <c r="BPS2482" s="60"/>
      <c r="BPT2482" s="60"/>
      <c r="BPU2482" s="65"/>
      <c r="BPV2482" s="61"/>
      <c r="BPW2482" s="55"/>
      <c r="BPX2482" s="55"/>
      <c r="BPY2482" s="60"/>
      <c r="BPZ2482" s="60"/>
      <c r="BQA2482" s="60"/>
      <c r="BQB2482" s="60"/>
      <c r="BQC2482" s="65"/>
      <c r="BQD2482" s="61"/>
      <c r="BQE2482" s="55"/>
      <c r="BQF2482" s="55"/>
      <c r="BQG2482" s="60"/>
      <c r="BQH2482" s="60"/>
      <c r="BQI2482" s="60"/>
      <c r="BQJ2482" s="60"/>
      <c r="BQK2482" s="65"/>
      <c r="BQL2482" s="61"/>
      <c r="BQM2482" s="55"/>
      <c r="BQN2482" s="55"/>
      <c r="BQO2482" s="60"/>
      <c r="BQP2482" s="60"/>
      <c r="BQQ2482" s="60"/>
      <c r="BQR2482" s="60"/>
      <c r="BQS2482" s="65"/>
      <c r="BQT2482" s="61"/>
      <c r="BQU2482" s="55"/>
      <c r="BQV2482" s="55"/>
      <c r="BQW2482" s="60"/>
      <c r="BQX2482" s="60"/>
      <c r="BQY2482" s="60"/>
      <c r="BQZ2482" s="60"/>
      <c r="BRA2482" s="65"/>
      <c r="BRB2482" s="61"/>
      <c r="BRC2482" s="55"/>
      <c r="BRD2482" s="55"/>
      <c r="BRE2482" s="60"/>
      <c r="BRF2482" s="60"/>
      <c r="BRG2482" s="60"/>
      <c r="BRH2482" s="60"/>
      <c r="BRI2482" s="65"/>
      <c r="BRJ2482" s="61"/>
      <c r="BRK2482" s="55"/>
      <c r="BRL2482" s="55"/>
      <c r="BRM2482" s="60"/>
      <c r="BRN2482" s="60"/>
      <c r="BRO2482" s="60"/>
      <c r="BRP2482" s="60"/>
      <c r="BRQ2482" s="65"/>
      <c r="BRR2482" s="61"/>
      <c r="BRS2482" s="55"/>
      <c r="BRT2482" s="55"/>
      <c r="BRU2482" s="60"/>
      <c r="BRV2482" s="60"/>
      <c r="BRW2482" s="60"/>
      <c r="BRX2482" s="60"/>
      <c r="BRY2482" s="65"/>
      <c r="BRZ2482" s="61"/>
      <c r="BSA2482" s="55"/>
      <c r="BSB2482" s="55"/>
      <c r="BSC2482" s="60"/>
      <c r="BSD2482" s="60"/>
      <c r="BSE2482" s="60"/>
      <c r="BSF2482" s="60"/>
      <c r="BSG2482" s="65"/>
      <c r="BSH2482" s="61"/>
      <c r="BSI2482" s="55"/>
      <c r="BSJ2482" s="55"/>
      <c r="BSK2482" s="60"/>
      <c r="BSL2482" s="60"/>
      <c r="BSM2482" s="60"/>
      <c r="BSN2482" s="60"/>
      <c r="BSO2482" s="65"/>
      <c r="BSP2482" s="61"/>
      <c r="BSQ2482" s="55"/>
      <c r="BSR2482" s="55"/>
      <c r="BSS2482" s="60"/>
      <c r="BST2482" s="60"/>
      <c r="BSU2482" s="60"/>
      <c r="BSV2482" s="60"/>
      <c r="BSW2482" s="65"/>
      <c r="BSX2482" s="61"/>
      <c r="BSY2482" s="55"/>
      <c r="BSZ2482" s="55"/>
      <c r="BTA2482" s="60"/>
      <c r="BTB2482" s="60"/>
      <c r="BTC2482" s="60"/>
      <c r="BTD2482" s="60"/>
      <c r="BTE2482" s="65"/>
      <c r="BTF2482" s="61"/>
      <c r="BTG2482" s="55"/>
      <c r="BTH2482" s="55"/>
      <c r="BTI2482" s="60"/>
      <c r="BTJ2482" s="60"/>
      <c r="BTK2482" s="60"/>
      <c r="BTL2482" s="60"/>
      <c r="BTM2482" s="65"/>
      <c r="BTN2482" s="61"/>
      <c r="BTO2482" s="55"/>
      <c r="BTP2482" s="55"/>
      <c r="BTQ2482" s="60"/>
      <c r="BTR2482" s="60"/>
      <c r="BTS2482" s="60"/>
      <c r="BTT2482" s="60"/>
      <c r="BTU2482" s="65"/>
      <c r="BTV2482" s="61"/>
      <c r="BTW2482" s="55"/>
      <c r="BTX2482" s="55"/>
      <c r="BTY2482" s="60"/>
      <c r="BTZ2482" s="60"/>
      <c r="BUA2482" s="60"/>
      <c r="BUB2482" s="60"/>
      <c r="BUC2482" s="65"/>
      <c r="BUD2482" s="61"/>
      <c r="BUE2482" s="55"/>
      <c r="BUF2482" s="55"/>
      <c r="BUG2482" s="60"/>
      <c r="BUH2482" s="60"/>
      <c r="BUI2482" s="60"/>
      <c r="BUJ2482" s="60"/>
      <c r="BUK2482" s="65"/>
      <c r="BUL2482" s="61"/>
      <c r="BUM2482" s="55"/>
      <c r="BUN2482" s="55"/>
      <c r="BUO2482" s="60"/>
      <c r="BUP2482" s="60"/>
      <c r="BUQ2482" s="60"/>
      <c r="BUR2482" s="60"/>
      <c r="BUS2482" s="65"/>
      <c r="BUT2482" s="61"/>
      <c r="BUU2482" s="55"/>
      <c r="BUV2482" s="55"/>
      <c r="BUW2482" s="60"/>
      <c r="BUX2482" s="60"/>
      <c r="BUY2482" s="60"/>
      <c r="BUZ2482" s="60"/>
      <c r="BVA2482" s="65"/>
      <c r="BVB2482" s="61"/>
      <c r="BVC2482" s="55"/>
      <c r="BVD2482" s="55"/>
      <c r="BVE2482" s="60"/>
      <c r="BVF2482" s="60"/>
      <c r="BVG2482" s="60"/>
      <c r="BVH2482" s="60"/>
      <c r="BVI2482" s="65"/>
      <c r="BVJ2482" s="61"/>
      <c r="BVK2482" s="55"/>
      <c r="BVL2482" s="55"/>
      <c r="BVM2482" s="60"/>
      <c r="BVN2482" s="60"/>
      <c r="BVO2482" s="60"/>
      <c r="BVP2482" s="60"/>
      <c r="BVQ2482" s="65"/>
      <c r="BVR2482" s="61"/>
      <c r="BVS2482" s="55"/>
      <c r="BVT2482" s="55"/>
      <c r="BVU2482" s="60"/>
      <c r="BVV2482" s="60"/>
      <c r="BVW2482" s="60"/>
      <c r="BVX2482" s="60"/>
      <c r="BVY2482" s="65"/>
      <c r="BVZ2482" s="61"/>
      <c r="BWA2482" s="55"/>
      <c r="BWB2482" s="55"/>
      <c r="BWC2482" s="60"/>
      <c r="BWD2482" s="60"/>
      <c r="BWE2482" s="60"/>
      <c r="BWF2482" s="60"/>
      <c r="BWG2482" s="65"/>
      <c r="BWH2482" s="61"/>
      <c r="BWI2482" s="55"/>
      <c r="BWJ2482" s="55"/>
      <c r="BWK2482" s="60"/>
      <c r="BWL2482" s="60"/>
      <c r="BWM2482" s="60"/>
      <c r="BWN2482" s="60"/>
      <c r="BWO2482" s="65"/>
      <c r="BWP2482" s="61"/>
      <c r="BWQ2482" s="55"/>
      <c r="BWR2482" s="55"/>
      <c r="BWS2482" s="60"/>
      <c r="BWT2482" s="60"/>
      <c r="BWU2482" s="60"/>
      <c r="BWV2482" s="60"/>
      <c r="BWW2482" s="65"/>
      <c r="BWX2482" s="61"/>
      <c r="BWY2482" s="55"/>
      <c r="BWZ2482" s="55"/>
      <c r="BXA2482" s="60"/>
      <c r="BXB2482" s="60"/>
      <c r="BXC2482" s="60"/>
      <c r="BXD2482" s="60"/>
      <c r="BXE2482" s="65"/>
      <c r="BXF2482" s="61"/>
      <c r="BXG2482" s="55"/>
      <c r="BXH2482" s="55"/>
      <c r="BXI2482" s="60"/>
      <c r="BXJ2482" s="60"/>
      <c r="BXK2482" s="60"/>
      <c r="BXL2482" s="60"/>
      <c r="BXM2482" s="65"/>
      <c r="BXN2482" s="61"/>
      <c r="BXO2482" s="55"/>
      <c r="BXP2482" s="55"/>
      <c r="BXQ2482" s="60"/>
      <c r="BXR2482" s="60"/>
      <c r="BXS2482" s="60"/>
      <c r="BXT2482" s="60"/>
      <c r="BXU2482" s="65"/>
      <c r="BXV2482" s="61"/>
      <c r="BXW2482" s="55"/>
      <c r="BXX2482" s="55"/>
      <c r="BXY2482" s="60"/>
      <c r="BXZ2482" s="60"/>
      <c r="BYA2482" s="60"/>
      <c r="BYB2482" s="60"/>
      <c r="BYC2482" s="65"/>
      <c r="BYD2482" s="61"/>
      <c r="BYE2482" s="55"/>
      <c r="BYF2482" s="55"/>
      <c r="BYG2482" s="60"/>
      <c r="BYH2482" s="60"/>
      <c r="BYI2482" s="60"/>
      <c r="BYJ2482" s="60"/>
      <c r="BYK2482" s="65"/>
      <c r="BYL2482" s="61"/>
      <c r="BYM2482" s="55"/>
      <c r="BYN2482" s="55"/>
      <c r="BYO2482" s="60"/>
      <c r="BYP2482" s="60"/>
      <c r="BYQ2482" s="60"/>
      <c r="BYR2482" s="60"/>
      <c r="BYS2482" s="65"/>
      <c r="BYT2482" s="61"/>
      <c r="BYU2482" s="55"/>
      <c r="BYV2482" s="55"/>
      <c r="BYW2482" s="60"/>
      <c r="BYX2482" s="60"/>
      <c r="BYY2482" s="60"/>
      <c r="BYZ2482" s="60"/>
      <c r="BZA2482" s="65"/>
      <c r="BZB2482" s="61"/>
      <c r="BZC2482" s="55"/>
      <c r="BZD2482" s="55"/>
      <c r="BZE2482" s="60"/>
      <c r="BZF2482" s="60"/>
      <c r="BZG2482" s="60"/>
      <c r="BZH2482" s="60"/>
      <c r="BZI2482" s="65"/>
      <c r="BZJ2482" s="61"/>
      <c r="BZK2482" s="55"/>
      <c r="BZL2482" s="55"/>
      <c r="BZM2482" s="60"/>
      <c r="BZN2482" s="60"/>
      <c r="BZO2482" s="60"/>
      <c r="BZP2482" s="60"/>
      <c r="BZQ2482" s="65"/>
      <c r="BZR2482" s="61"/>
      <c r="BZS2482" s="55"/>
      <c r="BZT2482" s="55"/>
      <c r="BZU2482" s="60"/>
      <c r="BZV2482" s="60"/>
      <c r="BZW2482" s="60"/>
      <c r="BZX2482" s="60"/>
      <c r="BZY2482" s="65"/>
      <c r="BZZ2482" s="61"/>
      <c r="CAA2482" s="55"/>
      <c r="CAB2482" s="55"/>
      <c r="CAC2482" s="60"/>
      <c r="CAD2482" s="60"/>
      <c r="CAE2482" s="60"/>
      <c r="CAF2482" s="60"/>
      <c r="CAG2482" s="65"/>
      <c r="CAH2482" s="61"/>
      <c r="CAI2482" s="55"/>
      <c r="CAJ2482" s="55"/>
      <c r="CAK2482" s="60"/>
      <c r="CAL2482" s="60"/>
      <c r="CAM2482" s="60"/>
      <c r="CAN2482" s="60"/>
      <c r="CAO2482" s="65"/>
      <c r="CAP2482" s="61"/>
      <c r="CAQ2482" s="55"/>
      <c r="CAR2482" s="55"/>
      <c r="CAS2482" s="60"/>
      <c r="CAT2482" s="60"/>
      <c r="CAU2482" s="60"/>
      <c r="CAV2482" s="60"/>
      <c r="CAW2482" s="65"/>
      <c r="CAX2482" s="61"/>
      <c r="CAY2482" s="55"/>
      <c r="CAZ2482" s="55"/>
      <c r="CBA2482" s="60"/>
      <c r="CBB2482" s="60"/>
      <c r="CBC2482" s="60"/>
      <c r="CBD2482" s="60"/>
      <c r="CBE2482" s="65"/>
      <c r="CBF2482" s="61"/>
      <c r="CBG2482" s="55"/>
      <c r="CBH2482" s="55"/>
      <c r="CBI2482" s="60"/>
      <c r="CBJ2482" s="60"/>
      <c r="CBK2482" s="60"/>
      <c r="CBL2482" s="60"/>
      <c r="CBM2482" s="65"/>
      <c r="CBN2482" s="61"/>
      <c r="CBO2482" s="55"/>
      <c r="CBP2482" s="55"/>
      <c r="CBQ2482" s="60"/>
      <c r="CBR2482" s="60"/>
      <c r="CBS2482" s="60"/>
      <c r="CBT2482" s="60"/>
      <c r="CBU2482" s="65"/>
      <c r="CBV2482" s="61"/>
      <c r="CBW2482" s="55"/>
      <c r="CBX2482" s="55"/>
      <c r="CBY2482" s="60"/>
      <c r="CBZ2482" s="60"/>
      <c r="CCA2482" s="60"/>
      <c r="CCB2482" s="60"/>
      <c r="CCC2482" s="65"/>
      <c r="CCD2482" s="61"/>
      <c r="CCE2482" s="55"/>
      <c r="CCF2482" s="55"/>
      <c r="CCG2482" s="60"/>
      <c r="CCH2482" s="60"/>
      <c r="CCI2482" s="60"/>
      <c r="CCJ2482" s="60"/>
      <c r="CCK2482" s="65"/>
      <c r="CCL2482" s="61"/>
      <c r="CCM2482" s="55"/>
      <c r="CCN2482" s="55"/>
      <c r="CCO2482" s="60"/>
      <c r="CCP2482" s="60"/>
      <c r="CCQ2482" s="60"/>
      <c r="CCR2482" s="60"/>
      <c r="CCS2482" s="65"/>
      <c r="CCT2482" s="61"/>
      <c r="CCU2482" s="55"/>
      <c r="CCV2482" s="55"/>
      <c r="CCW2482" s="60"/>
      <c r="CCX2482" s="60"/>
      <c r="CCY2482" s="60"/>
      <c r="CCZ2482" s="60"/>
      <c r="CDA2482" s="65"/>
      <c r="CDB2482" s="61"/>
      <c r="CDC2482" s="55"/>
      <c r="CDD2482" s="55"/>
      <c r="CDE2482" s="60"/>
      <c r="CDF2482" s="60"/>
      <c r="CDG2482" s="60"/>
      <c r="CDH2482" s="60"/>
      <c r="CDI2482" s="65"/>
      <c r="CDJ2482" s="61"/>
      <c r="CDK2482" s="55"/>
      <c r="CDL2482" s="55"/>
      <c r="CDM2482" s="60"/>
      <c r="CDN2482" s="60"/>
      <c r="CDO2482" s="60"/>
      <c r="CDP2482" s="60"/>
      <c r="CDQ2482" s="65"/>
      <c r="CDR2482" s="61"/>
      <c r="CDS2482" s="55"/>
      <c r="CDT2482" s="55"/>
      <c r="CDU2482" s="60"/>
      <c r="CDV2482" s="60"/>
      <c r="CDW2482" s="60"/>
      <c r="CDX2482" s="60"/>
      <c r="CDY2482" s="65"/>
      <c r="CDZ2482" s="61"/>
      <c r="CEA2482" s="55"/>
      <c r="CEB2482" s="55"/>
      <c r="CEC2482" s="60"/>
      <c r="CED2482" s="60"/>
      <c r="CEE2482" s="60"/>
      <c r="CEF2482" s="60"/>
      <c r="CEG2482" s="65"/>
      <c r="CEH2482" s="61"/>
      <c r="CEI2482" s="55"/>
      <c r="CEJ2482" s="55"/>
      <c r="CEK2482" s="60"/>
      <c r="CEL2482" s="60"/>
      <c r="CEM2482" s="60"/>
      <c r="CEN2482" s="60"/>
      <c r="CEO2482" s="65"/>
      <c r="CEP2482" s="61"/>
      <c r="CEQ2482" s="55"/>
      <c r="CER2482" s="55"/>
      <c r="CES2482" s="60"/>
      <c r="CET2482" s="60"/>
      <c r="CEU2482" s="60"/>
      <c r="CEV2482" s="60"/>
      <c r="CEW2482" s="65"/>
      <c r="CEX2482" s="61"/>
      <c r="CEY2482" s="55"/>
      <c r="CEZ2482" s="55"/>
      <c r="CFA2482" s="60"/>
      <c r="CFB2482" s="60"/>
      <c r="CFC2482" s="60"/>
      <c r="CFD2482" s="60"/>
      <c r="CFE2482" s="65"/>
      <c r="CFF2482" s="61"/>
      <c r="CFG2482" s="55"/>
      <c r="CFH2482" s="55"/>
      <c r="CFI2482" s="60"/>
      <c r="CFJ2482" s="60"/>
      <c r="CFK2482" s="60"/>
      <c r="CFL2482" s="60"/>
      <c r="CFM2482" s="65"/>
      <c r="CFN2482" s="61"/>
      <c r="CFO2482" s="55"/>
      <c r="CFP2482" s="55"/>
      <c r="CFQ2482" s="60"/>
      <c r="CFR2482" s="60"/>
      <c r="CFS2482" s="60"/>
      <c r="CFT2482" s="60"/>
      <c r="CFU2482" s="65"/>
      <c r="CFV2482" s="61"/>
      <c r="CFW2482" s="55"/>
      <c r="CFX2482" s="55"/>
      <c r="CFY2482" s="60"/>
      <c r="CFZ2482" s="60"/>
      <c r="CGA2482" s="60"/>
      <c r="CGB2482" s="60"/>
      <c r="CGC2482" s="65"/>
      <c r="CGD2482" s="61"/>
      <c r="CGE2482" s="55"/>
      <c r="CGF2482" s="55"/>
      <c r="CGG2482" s="60"/>
      <c r="CGH2482" s="60"/>
      <c r="CGI2482" s="60"/>
      <c r="CGJ2482" s="60"/>
      <c r="CGK2482" s="65"/>
      <c r="CGL2482" s="61"/>
      <c r="CGM2482" s="55"/>
      <c r="CGN2482" s="55"/>
      <c r="CGO2482" s="60"/>
      <c r="CGP2482" s="60"/>
      <c r="CGQ2482" s="60"/>
      <c r="CGR2482" s="60"/>
      <c r="CGS2482" s="65"/>
      <c r="CGT2482" s="61"/>
      <c r="CGU2482" s="55"/>
      <c r="CGV2482" s="55"/>
      <c r="CGW2482" s="60"/>
      <c r="CGX2482" s="60"/>
      <c r="CGY2482" s="60"/>
      <c r="CGZ2482" s="60"/>
      <c r="CHA2482" s="65"/>
      <c r="CHB2482" s="61"/>
      <c r="CHC2482" s="55"/>
      <c r="CHD2482" s="55"/>
      <c r="CHE2482" s="60"/>
      <c r="CHF2482" s="60"/>
      <c r="CHG2482" s="60"/>
      <c r="CHH2482" s="60"/>
      <c r="CHI2482" s="65"/>
      <c r="CHJ2482" s="61"/>
      <c r="CHK2482" s="55"/>
      <c r="CHL2482" s="55"/>
      <c r="CHM2482" s="60"/>
      <c r="CHN2482" s="60"/>
      <c r="CHO2482" s="60"/>
      <c r="CHP2482" s="60"/>
      <c r="CHQ2482" s="65"/>
      <c r="CHR2482" s="61"/>
      <c r="CHS2482" s="55"/>
      <c r="CHT2482" s="55"/>
      <c r="CHU2482" s="60"/>
      <c r="CHV2482" s="60"/>
      <c r="CHW2482" s="60"/>
      <c r="CHX2482" s="60"/>
      <c r="CHY2482" s="65"/>
      <c r="CHZ2482" s="61"/>
      <c r="CIA2482" s="55"/>
      <c r="CIB2482" s="55"/>
      <c r="CIC2482" s="60"/>
      <c r="CID2482" s="60"/>
      <c r="CIE2482" s="60"/>
      <c r="CIF2482" s="60"/>
      <c r="CIG2482" s="65"/>
      <c r="CIH2482" s="61"/>
      <c r="CII2482" s="55"/>
      <c r="CIJ2482" s="55"/>
      <c r="CIK2482" s="60"/>
      <c r="CIL2482" s="60"/>
      <c r="CIM2482" s="60"/>
      <c r="CIN2482" s="60"/>
      <c r="CIO2482" s="65"/>
      <c r="CIP2482" s="61"/>
      <c r="CIQ2482" s="55"/>
      <c r="CIR2482" s="55"/>
      <c r="CIS2482" s="60"/>
      <c r="CIT2482" s="60"/>
      <c r="CIU2482" s="60"/>
      <c r="CIV2482" s="60"/>
      <c r="CIW2482" s="65"/>
      <c r="CIX2482" s="61"/>
      <c r="CIY2482" s="55"/>
      <c r="CIZ2482" s="55"/>
      <c r="CJA2482" s="60"/>
      <c r="CJB2482" s="60"/>
      <c r="CJC2482" s="60"/>
      <c r="CJD2482" s="60"/>
      <c r="CJE2482" s="65"/>
      <c r="CJF2482" s="61"/>
      <c r="CJG2482" s="55"/>
      <c r="CJH2482" s="55"/>
      <c r="CJI2482" s="60"/>
      <c r="CJJ2482" s="60"/>
      <c r="CJK2482" s="60"/>
      <c r="CJL2482" s="60"/>
      <c r="CJM2482" s="65"/>
      <c r="CJN2482" s="61"/>
      <c r="CJO2482" s="55"/>
      <c r="CJP2482" s="55"/>
      <c r="CJQ2482" s="60"/>
      <c r="CJR2482" s="60"/>
      <c r="CJS2482" s="60"/>
      <c r="CJT2482" s="60"/>
      <c r="CJU2482" s="65"/>
      <c r="CJV2482" s="61"/>
      <c r="CJW2482" s="55"/>
      <c r="CJX2482" s="55"/>
      <c r="CJY2482" s="60"/>
      <c r="CJZ2482" s="60"/>
      <c r="CKA2482" s="60"/>
      <c r="CKB2482" s="60"/>
      <c r="CKC2482" s="65"/>
      <c r="CKD2482" s="61"/>
      <c r="CKE2482" s="55"/>
      <c r="CKF2482" s="55"/>
      <c r="CKG2482" s="60"/>
      <c r="CKH2482" s="60"/>
      <c r="CKI2482" s="60"/>
      <c r="CKJ2482" s="60"/>
      <c r="CKK2482" s="65"/>
      <c r="CKL2482" s="61"/>
      <c r="CKM2482" s="55"/>
      <c r="CKN2482" s="55"/>
      <c r="CKO2482" s="60"/>
      <c r="CKP2482" s="60"/>
      <c r="CKQ2482" s="60"/>
      <c r="CKR2482" s="60"/>
      <c r="CKS2482" s="65"/>
      <c r="CKT2482" s="61"/>
      <c r="CKU2482" s="55"/>
      <c r="CKV2482" s="55"/>
      <c r="CKW2482" s="60"/>
      <c r="CKX2482" s="60"/>
      <c r="CKY2482" s="60"/>
      <c r="CKZ2482" s="60"/>
      <c r="CLA2482" s="65"/>
      <c r="CLB2482" s="61"/>
      <c r="CLC2482" s="55"/>
      <c r="CLD2482" s="55"/>
      <c r="CLE2482" s="60"/>
      <c r="CLF2482" s="60"/>
      <c r="CLG2482" s="60"/>
      <c r="CLH2482" s="60"/>
      <c r="CLI2482" s="65"/>
      <c r="CLJ2482" s="61"/>
      <c r="CLK2482" s="55"/>
      <c r="CLL2482" s="55"/>
      <c r="CLM2482" s="60"/>
      <c r="CLN2482" s="60"/>
      <c r="CLO2482" s="60"/>
      <c r="CLP2482" s="60"/>
      <c r="CLQ2482" s="65"/>
      <c r="CLR2482" s="61"/>
      <c r="CLS2482" s="55"/>
      <c r="CLT2482" s="55"/>
      <c r="CLU2482" s="60"/>
      <c r="CLV2482" s="60"/>
      <c r="CLW2482" s="60"/>
      <c r="CLX2482" s="60"/>
      <c r="CLY2482" s="65"/>
      <c r="CLZ2482" s="61"/>
      <c r="CMA2482" s="55"/>
      <c r="CMB2482" s="55"/>
      <c r="CMC2482" s="60"/>
      <c r="CMD2482" s="60"/>
      <c r="CME2482" s="60"/>
      <c r="CMF2482" s="60"/>
      <c r="CMG2482" s="65"/>
      <c r="CMH2482" s="61"/>
      <c r="CMI2482" s="55"/>
      <c r="CMJ2482" s="55"/>
      <c r="CMK2482" s="60"/>
      <c r="CML2482" s="60"/>
      <c r="CMM2482" s="60"/>
      <c r="CMN2482" s="60"/>
      <c r="CMO2482" s="65"/>
      <c r="CMP2482" s="61"/>
      <c r="CMQ2482" s="55"/>
      <c r="CMR2482" s="55"/>
      <c r="CMS2482" s="60"/>
      <c r="CMT2482" s="60"/>
      <c r="CMU2482" s="60"/>
      <c r="CMV2482" s="60"/>
      <c r="CMW2482" s="65"/>
      <c r="CMX2482" s="61"/>
      <c r="CMY2482" s="55"/>
      <c r="CMZ2482" s="55"/>
      <c r="CNA2482" s="60"/>
      <c r="CNB2482" s="60"/>
      <c r="CNC2482" s="60"/>
      <c r="CND2482" s="60"/>
      <c r="CNE2482" s="65"/>
      <c r="CNF2482" s="61"/>
      <c r="CNG2482" s="55"/>
      <c r="CNH2482" s="55"/>
      <c r="CNI2482" s="60"/>
      <c r="CNJ2482" s="60"/>
      <c r="CNK2482" s="60"/>
      <c r="CNL2482" s="60"/>
      <c r="CNM2482" s="65"/>
      <c r="CNN2482" s="61"/>
      <c r="CNO2482" s="55"/>
      <c r="CNP2482" s="55"/>
      <c r="CNQ2482" s="60"/>
      <c r="CNR2482" s="60"/>
      <c r="CNS2482" s="60"/>
      <c r="CNT2482" s="60"/>
      <c r="CNU2482" s="65"/>
      <c r="CNV2482" s="61"/>
      <c r="CNW2482" s="55"/>
      <c r="CNX2482" s="55"/>
      <c r="CNY2482" s="60"/>
      <c r="CNZ2482" s="60"/>
      <c r="COA2482" s="60"/>
      <c r="COB2482" s="60"/>
      <c r="COC2482" s="65"/>
      <c r="COD2482" s="61"/>
      <c r="COE2482" s="55"/>
      <c r="COF2482" s="55"/>
      <c r="COG2482" s="60"/>
      <c r="COH2482" s="60"/>
      <c r="COI2482" s="60"/>
      <c r="COJ2482" s="60"/>
      <c r="COK2482" s="65"/>
      <c r="COL2482" s="61"/>
      <c r="COM2482" s="55"/>
      <c r="CON2482" s="55"/>
      <c r="COO2482" s="60"/>
      <c r="COP2482" s="60"/>
      <c r="COQ2482" s="60"/>
      <c r="COR2482" s="60"/>
      <c r="COS2482" s="65"/>
      <c r="COT2482" s="61"/>
      <c r="COU2482" s="55"/>
      <c r="COV2482" s="55"/>
      <c r="COW2482" s="60"/>
      <c r="COX2482" s="60"/>
      <c r="COY2482" s="60"/>
      <c r="COZ2482" s="60"/>
      <c r="CPA2482" s="65"/>
      <c r="CPB2482" s="61"/>
      <c r="CPC2482" s="55"/>
      <c r="CPD2482" s="55"/>
      <c r="CPE2482" s="60"/>
      <c r="CPF2482" s="60"/>
      <c r="CPG2482" s="60"/>
      <c r="CPH2482" s="60"/>
      <c r="CPI2482" s="65"/>
      <c r="CPJ2482" s="61"/>
      <c r="CPK2482" s="55"/>
      <c r="CPL2482" s="55"/>
      <c r="CPM2482" s="60"/>
      <c r="CPN2482" s="60"/>
      <c r="CPO2482" s="60"/>
      <c r="CPP2482" s="60"/>
      <c r="CPQ2482" s="65"/>
      <c r="CPR2482" s="61"/>
      <c r="CPS2482" s="55"/>
      <c r="CPT2482" s="55"/>
      <c r="CPU2482" s="60"/>
      <c r="CPV2482" s="60"/>
      <c r="CPW2482" s="60"/>
      <c r="CPX2482" s="60"/>
      <c r="CPY2482" s="65"/>
      <c r="CPZ2482" s="61"/>
      <c r="CQA2482" s="55"/>
      <c r="CQB2482" s="55"/>
      <c r="CQC2482" s="60"/>
      <c r="CQD2482" s="60"/>
      <c r="CQE2482" s="60"/>
      <c r="CQF2482" s="60"/>
      <c r="CQG2482" s="65"/>
      <c r="CQH2482" s="61"/>
      <c r="CQI2482" s="55"/>
      <c r="CQJ2482" s="55"/>
      <c r="CQK2482" s="60"/>
      <c r="CQL2482" s="60"/>
      <c r="CQM2482" s="60"/>
      <c r="CQN2482" s="60"/>
      <c r="CQO2482" s="65"/>
      <c r="CQP2482" s="61"/>
      <c r="CQQ2482" s="55"/>
      <c r="CQR2482" s="55"/>
      <c r="CQS2482" s="60"/>
      <c r="CQT2482" s="60"/>
      <c r="CQU2482" s="60"/>
      <c r="CQV2482" s="60"/>
      <c r="CQW2482" s="65"/>
      <c r="CQX2482" s="61"/>
      <c r="CQY2482" s="55"/>
      <c r="CQZ2482" s="55"/>
      <c r="CRA2482" s="60"/>
      <c r="CRB2482" s="60"/>
      <c r="CRC2482" s="60"/>
      <c r="CRD2482" s="60"/>
      <c r="CRE2482" s="65"/>
      <c r="CRF2482" s="61"/>
      <c r="CRG2482" s="55"/>
      <c r="CRH2482" s="55"/>
      <c r="CRI2482" s="60"/>
      <c r="CRJ2482" s="60"/>
      <c r="CRK2482" s="60"/>
      <c r="CRL2482" s="60"/>
      <c r="CRM2482" s="65"/>
      <c r="CRN2482" s="61"/>
      <c r="CRO2482" s="55"/>
      <c r="CRP2482" s="55"/>
      <c r="CRQ2482" s="60"/>
      <c r="CRR2482" s="60"/>
      <c r="CRS2482" s="60"/>
      <c r="CRT2482" s="60"/>
      <c r="CRU2482" s="65"/>
      <c r="CRV2482" s="61"/>
      <c r="CRW2482" s="55"/>
      <c r="CRX2482" s="55"/>
      <c r="CRY2482" s="60"/>
      <c r="CRZ2482" s="60"/>
      <c r="CSA2482" s="60"/>
      <c r="CSB2482" s="60"/>
      <c r="CSC2482" s="65"/>
      <c r="CSD2482" s="61"/>
      <c r="CSE2482" s="55"/>
      <c r="CSF2482" s="55"/>
      <c r="CSG2482" s="60"/>
      <c r="CSH2482" s="60"/>
      <c r="CSI2482" s="60"/>
      <c r="CSJ2482" s="60"/>
      <c r="CSK2482" s="65"/>
      <c r="CSL2482" s="61"/>
      <c r="CSM2482" s="55"/>
      <c r="CSN2482" s="55"/>
      <c r="CSO2482" s="60"/>
      <c r="CSP2482" s="60"/>
      <c r="CSQ2482" s="60"/>
      <c r="CSR2482" s="60"/>
      <c r="CSS2482" s="65"/>
      <c r="CST2482" s="61"/>
      <c r="CSU2482" s="55"/>
      <c r="CSV2482" s="55"/>
      <c r="CSW2482" s="60"/>
      <c r="CSX2482" s="60"/>
      <c r="CSY2482" s="60"/>
      <c r="CSZ2482" s="60"/>
      <c r="CTA2482" s="65"/>
      <c r="CTB2482" s="61"/>
      <c r="CTC2482" s="55"/>
      <c r="CTD2482" s="55"/>
      <c r="CTE2482" s="60"/>
      <c r="CTF2482" s="60"/>
      <c r="CTG2482" s="60"/>
      <c r="CTH2482" s="60"/>
      <c r="CTI2482" s="65"/>
      <c r="CTJ2482" s="61"/>
      <c r="CTK2482" s="55"/>
      <c r="CTL2482" s="55"/>
      <c r="CTM2482" s="60"/>
      <c r="CTN2482" s="60"/>
      <c r="CTO2482" s="60"/>
      <c r="CTP2482" s="60"/>
      <c r="CTQ2482" s="65"/>
      <c r="CTR2482" s="61"/>
      <c r="CTS2482" s="55"/>
      <c r="CTT2482" s="55"/>
      <c r="CTU2482" s="60"/>
      <c r="CTV2482" s="60"/>
      <c r="CTW2482" s="60"/>
      <c r="CTX2482" s="60"/>
      <c r="CTY2482" s="65"/>
      <c r="CTZ2482" s="61"/>
      <c r="CUA2482" s="55"/>
      <c r="CUB2482" s="55"/>
      <c r="CUC2482" s="60"/>
      <c r="CUD2482" s="60"/>
      <c r="CUE2482" s="60"/>
      <c r="CUF2482" s="60"/>
      <c r="CUG2482" s="65"/>
      <c r="CUH2482" s="61"/>
      <c r="CUI2482" s="55"/>
      <c r="CUJ2482" s="55"/>
      <c r="CUK2482" s="60"/>
      <c r="CUL2482" s="60"/>
      <c r="CUM2482" s="60"/>
      <c r="CUN2482" s="60"/>
      <c r="CUO2482" s="65"/>
      <c r="CUP2482" s="61"/>
      <c r="CUQ2482" s="55"/>
      <c r="CUR2482" s="55"/>
      <c r="CUS2482" s="60"/>
      <c r="CUT2482" s="60"/>
      <c r="CUU2482" s="60"/>
      <c r="CUV2482" s="60"/>
      <c r="CUW2482" s="65"/>
      <c r="CUX2482" s="61"/>
      <c r="CUY2482" s="55"/>
      <c r="CUZ2482" s="55"/>
      <c r="CVA2482" s="60"/>
      <c r="CVB2482" s="60"/>
      <c r="CVC2482" s="60"/>
      <c r="CVD2482" s="60"/>
      <c r="CVE2482" s="65"/>
      <c r="CVF2482" s="61"/>
      <c r="CVG2482" s="55"/>
      <c r="CVH2482" s="55"/>
      <c r="CVI2482" s="60"/>
      <c r="CVJ2482" s="60"/>
      <c r="CVK2482" s="60"/>
      <c r="CVL2482" s="60"/>
      <c r="CVM2482" s="65"/>
      <c r="CVN2482" s="61"/>
      <c r="CVO2482" s="55"/>
      <c r="CVP2482" s="55"/>
      <c r="CVQ2482" s="60"/>
      <c r="CVR2482" s="60"/>
      <c r="CVS2482" s="60"/>
      <c r="CVT2482" s="60"/>
      <c r="CVU2482" s="65"/>
      <c r="CVV2482" s="61"/>
      <c r="CVW2482" s="55"/>
      <c r="CVX2482" s="55"/>
      <c r="CVY2482" s="60"/>
      <c r="CVZ2482" s="60"/>
      <c r="CWA2482" s="60"/>
      <c r="CWB2482" s="60"/>
      <c r="CWC2482" s="65"/>
      <c r="CWD2482" s="61"/>
      <c r="CWE2482" s="55"/>
      <c r="CWF2482" s="55"/>
      <c r="CWG2482" s="60"/>
      <c r="CWH2482" s="60"/>
      <c r="CWI2482" s="60"/>
      <c r="CWJ2482" s="60"/>
      <c r="CWK2482" s="65"/>
      <c r="CWL2482" s="61"/>
      <c r="CWM2482" s="55"/>
      <c r="CWN2482" s="55"/>
      <c r="CWO2482" s="60"/>
      <c r="CWP2482" s="60"/>
      <c r="CWQ2482" s="60"/>
      <c r="CWR2482" s="60"/>
      <c r="CWS2482" s="65"/>
      <c r="CWT2482" s="61"/>
      <c r="CWU2482" s="55"/>
      <c r="CWV2482" s="55"/>
      <c r="CWW2482" s="60"/>
      <c r="CWX2482" s="60"/>
      <c r="CWY2482" s="60"/>
      <c r="CWZ2482" s="60"/>
      <c r="CXA2482" s="65"/>
      <c r="CXB2482" s="61"/>
      <c r="CXC2482" s="55"/>
      <c r="CXD2482" s="55"/>
      <c r="CXE2482" s="60"/>
      <c r="CXF2482" s="60"/>
      <c r="CXG2482" s="60"/>
      <c r="CXH2482" s="60"/>
      <c r="CXI2482" s="65"/>
      <c r="CXJ2482" s="61"/>
      <c r="CXK2482" s="55"/>
      <c r="CXL2482" s="55"/>
      <c r="CXM2482" s="60"/>
      <c r="CXN2482" s="60"/>
      <c r="CXO2482" s="60"/>
      <c r="CXP2482" s="60"/>
      <c r="CXQ2482" s="65"/>
      <c r="CXR2482" s="61"/>
      <c r="CXS2482" s="55"/>
      <c r="CXT2482" s="55"/>
      <c r="CXU2482" s="60"/>
      <c r="CXV2482" s="60"/>
      <c r="CXW2482" s="60"/>
      <c r="CXX2482" s="60"/>
      <c r="CXY2482" s="65"/>
      <c r="CXZ2482" s="61"/>
      <c r="CYA2482" s="55"/>
      <c r="CYB2482" s="55"/>
      <c r="CYC2482" s="60"/>
      <c r="CYD2482" s="60"/>
      <c r="CYE2482" s="60"/>
      <c r="CYF2482" s="60"/>
      <c r="CYG2482" s="65"/>
      <c r="CYH2482" s="61"/>
      <c r="CYI2482" s="55"/>
      <c r="CYJ2482" s="55"/>
      <c r="CYK2482" s="60"/>
      <c r="CYL2482" s="60"/>
      <c r="CYM2482" s="60"/>
      <c r="CYN2482" s="60"/>
      <c r="CYO2482" s="65"/>
      <c r="CYP2482" s="61"/>
      <c r="CYQ2482" s="55"/>
      <c r="CYR2482" s="55"/>
      <c r="CYS2482" s="60"/>
      <c r="CYT2482" s="60"/>
      <c r="CYU2482" s="60"/>
      <c r="CYV2482" s="60"/>
      <c r="CYW2482" s="65"/>
      <c r="CYX2482" s="61"/>
      <c r="CYY2482" s="55"/>
      <c r="CYZ2482" s="55"/>
      <c r="CZA2482" s="60"/>
      <c r="CZB2482" s="60"/>
      <c r="CZC2482" s="60"/>
      <c r="CZD2482" s="60"/>
      <c r="CZE2482" s="65"/>
      <c r="CZF2482" s="61"/>
      <c r="CZG2482" s="55"/>
      <c r="CZH2482" s="55"/>
      <c r="CZI2482" s="60"/>
      <c r="CZJ2482" s="60"/>
      <c r="CZK2482" s="60"/>
      <c r="CZL2482" s="60"/>
      <c r="CZM2482" s="65"/>
      <c r="CZN2482" s="61"/>
      <c r="CZO2482" s="55"/>
      <c r="CZP2482" s="55"/>
      <c r="CZQ2482" s="60"/>
      <c r="CZR2482" s="60"/>
      <c r="CZS2482" s="60"/>
      <c r="CZT2482" s="60"/>
      <c r="CZU2482" s="65"/>
      <c r="CZV2482" s="61"/>
      <c r="CZW2482" s="55"/>
      <c r="CZX2482" s="55"/>
      <c r="CZY2482" s="60"/>
      <c r="CZZ2482" s="60"/>
      <c r="DAA2482" s="60"/>
      <c r="DAB2482" s="60"/>
      <c r="DAC2482" s="65"/>
      <c r="DAD2482" s="61"/>
      <c r="DAE2482" s="55"/>
      <c r="DAF2482" s="55"/>
      <c r="DAG2482" s="60"/>
      <c r="DAH2482" s="60"/>
      <c r="DAI2482" s="60"/>
      <c r="DAJ2482" s="60"/>
      <c r="DAK2482" s="65"/>
      <c r="DAL2482" s="61"/>
      <c r="DAM2482" s="55"/>
      <c r="DAN2482" s="55"/>
      <c r="DAO2482" s="60"/>
      <c r="DAP2482" s="60"/>
      <c r="DAQ2482" s="60"/>
      <c r="DAR2482" s="60"/>
      <c r="DAS2482" s="65"/>
      <c r="DAT2482" s="61"/>
      <c r="DAU2482" s="55"/>
      <c r="DAV2482" s="55"/>
      <c r="DAW2482" s="60"/>
      <c r="DAX2482" s="60"/>
      <c r="DAY2482" s="60"/>
      <c r="DAZ2482" s="60"/>
      <c r="DBA2482" s="65"/>
      <c r="DBB2482" s="61"/>
      <c r="DBC2482" s="55"/>
      <c r="DBD2482" s="55"/>
      <c r="DBE2482" s="60"/>
      <c r="DBF2482" s="60"/>
      <c r="DBG2482" s="60"/>
      <c r="DBH2482" s="60"/>
      <c r="DBI2482" s="65"/>
      <c r="DBJ2482" s="61"/>
      <c r="DBK2482" s="55"/>
      <c r="DBL2482" s="55"/>
      <c r="DBM2482" s="60"/>
      <c r="DBN2482" s="60"/>
      <c r="DBO2482" s="60"/>
      <c r="DBP2482" s="60"/>
      <c r="DBQ2482" s="65"/>
      <c r="DBR2482" s="61"/>
      <c r="DBS2482" s="55"/>
      <c r="DBT2482" s="55"/>
      <c r="DBU2482" s="60"/>
      <c r="DBV2482" s="60"/>
      <c r="DBW2482" s="60"/>
      <c r="DBX2482" s="60"/>
      <c r="DBY2482" s="65"/>
      <c r="DBZ2482" s="61"/>
      <c r="DCA2482" s="55"/>
      <c r="DCB2482" s="55"/>
      <c r="DCC2482" s="60"/>
      <c r="DCD2482" s="60"/>
      <c r="DCE2482" s="60"/>
      <c r="DCF2482" s="60"/>
      <c r="DCG2482" s="65"/>
      <c r="DCH2482" s="61"/>
      <c r="DCI2482" s="55"/>
      <c r="DCJ2482" s="55"/>
      <c r="DCK2482" s="60"/>
      <c r="DCL2482" s="60"/>
      <c r="DCM2482" s="60"/>
      <c r="DCN2482" s="60"/>
      <c r="DCO2482" s="65"/>
      <c r="DCP2482" s="61"/>
      <c r="DCQ2482" s="55"/>
      <c r="DCR2482" s="55"/>
      <c r="DCS2482" s="60"/>
      <c r="DCT2482" s="60"/>
      <c r="DCU2482" s="60"/>
      <c r="DCV2482" s="60"/>
      <c r="DCW2482" s="65"/>
      <c r="DCX2482" s="61"/>
      <c r="DCY2482" s="55"/>
      <c r="DCZ2482" s="55"/>
      <c r="DDA2482" s="60"/>
      <c r="DDB2482" s="60"/>
      <c r="DDC2482" s="60"/>
      <c r="DDD2482" s="60"/>
      <c r="DDE2482" s="65"/>
      <c r="DDF2482" s="61"/>
      <c r="DDG2482" s="55"/>
      <c r="DDH2482" s="55"/>
      <c r="DDI2482" s="60"/>
      <c r="DDJ2482" s="60"/>
      <c r="DDK2482" s="60"/>
      <c r="DDL2482" s="60"/>
      <c r="DDM2482" s="65"/>
      <c r="DDN2482" s="61"/>
      <c r="DDO2482" s="55"/>
      <c r="DDP2482" s="55"/>
      <c r="DDQ2482" s="60"/>
      <c r="DDR2482" s="60"/>
      <c r="DDS2482" s="60"/>
      <c r="DDT2482" s="60"/>
      <c r="DDU2482" s="65"/>
      <c r="DDV2482" s="61"/>
      <c r="DDW2482" s="55"/>
      <c r="DDX2482" s="55"/>
      <c r="DDY2482" s="60"/>
      <c r="DDZ2482" s="60"/>
      <c r="DEA2482" s="60"/>
      <c r="DEB2482" s="60"/>
      <c r="DEC2482" s="65"/>
      <c r="DED2482" s="61"/>
      <c r="DEE2482" s="55"/>
      <c r="DEF2482" s="55"/>
      <c r="DEG2482" s="60"/>
      <c r="DEH2482" s="60"/>
      <c r="DEI2482" s="60"/>
      <c r="DEJ2482" s="60"/>
      <c r="DEK2482" s="65"/>
      <c r="DEL2482" s="61"/>
      <c r="DEM2482" s="55"/>
      <c r="DEN2482" s="55"/>
      <c r="DEO2482" s="60"/>
      <c r="DEP2482" s="60"/>
      <c r="DEQ2482" s="60"/>
      <c r="DER2482" s="60"/>
      <c r="DES2482" s="65"/>
      <c r="DET2482" s="61"/>
      <c r="DEU2482" s="55"/>
      <c r="DEV2482" s="55"/>
      <c r="DEW2482" s="60"/>
      <c r="DEX2482" s="60"/>
      <c r="DEY2482" s="60"/>
      <c r="DEZ2482" s="60"/>
      <c r="DFA2482" s="65"/>
      <c r="DFB2482" s="61"/>
      <c r="DFC2482" s="55"/>
      <c r="DFD2482" s="55"/>
      <c r="DFE2482" s="60"/>
      <c r="DFF2482" s="60"/>
      <c r="DFG2482" s="60"/>
      <c r="DFH2482" s="60"/>
      <c r="DFI2482" s="65"/>
      <c r="DFJ2482" s="61"/>
      <c r="DFK2482" s="55"/>
      <c r="DFL2482" s="55"/>
      <c r="DFM2482" s="60"/>
      <c r="DFN2482" s="60"/>
      <c r="DFO2482" s="60"/>
      <c r="DFP2482" s="60"/>
      <c r="DFQ2482" s="65"/>
      <c r="DFR2482" s="61"/>
      <c r="DFS2482" s="55"/>
      <c r="DFT2482" s="55"/>
      <c r="DFU2482" s="60"/>
      <c r="DFV2482" s="60"/>
      <c r="DFW2482" s="60"/>
      <c r="DFX2482" s="60"/>
      <c r="DFY2482" s="65"/>
      <c r="DFZ2482" s="61"/>
      <c r="DGA2482" s="55"/>
      <c r="DGB2482" s="55"/>
      <c r="DGC2482" s="60"/>
      <c r="DGD2482" s="60"/>
      <c r="DGE2482" s="60"/>
      <c r="DGF2482" s="60"/>
      <c r="DGG2482" s="65"/>
      <c r="DGH2482" s="61"/>
      <c r="DGI2482" s="55"/>
      <c r="DGJ2482" s="55"/>
      <c r="DGK2482" s="60"/>
      <c r="DGL2482" s="60"/>
      <c r="DGM2482" s="60"/>
      <c r="DGN2482" s="60"/>
      <c r="DGO2482" s="65"/>
      <c r="DGP2482" s="61"/>
      <c r="DGQ2482" s="55"/>
      <c r="DGR2482" s="55"/>
      <c r="DGS2482" s="60"/>
      <c r="DGT2482" s="60"/>
      <c r="DGU2482" s="60"/>
      <c r="DGV2482" s="60"/>
      <c r="DGW2482" s="65"/>
      <c r="DGX2482" s="61"/>
      <c r="DGY2482" s="55"/>
      <c r="DGZ2482" s="55"/>
      <c r="DHA2482" s="60"/>
      <c r="DHB2482" s="60"/>
      <c r="DHC2482" s="60"/>
      <c r="DHD2482" s="60"/>
      <c r="DHE2482" s="65"/>
      <c r="DHF2482" s="61"/>
      <c r="DHG2482" s="55"/>
      <c r="DHH2482" s="55"/>
      <c r="DHI2482" s="60"/>
      <c r="DHJ2482" s="60"/>
      <c r="DHK2482" s="60"/>
      <c r="DHL2482" s="60"/>
      <c r="DHM2482" s="65"/>
      <c r="DHN2482" s="61"/>
      <c r="DHO2482" s="55"/>
      <c r="DHP2482" s="55"/>
      <c r="DHQ2482" s="60"/>
      <c r="DHR2482" s="60"/>
      <c r="DHS2482" s="60"/>
      <c r="DHT2482" s="60"/>
      <c r="DHU2482" s="65"/>
      <c r="DHV2482" s="61"/>
      <c r="DHW2482" s="55"/>
      <c r="DHX2482" s="55"/>
      <c r="DHY2482" s="60"/>
      <c r="DHZ2482" s="60"/>
      <c r="DIA2482" s="60"/>
      <c r="DIB2482" s="60"/>
      <c r="DIC2482" s="65"/>
      <c r="DID2482" s="61"/>
      <c r="DIE2482" s="55"/>
      <c r="DIF2482" s="55"/>
      <c r="DIG2482" s="60"/>
      <c r="DIH2482" s="60"/>
      <c r="DII2482" s="60"/>
      <c r="DIJ2482" s="60"/>
      <c r="DIK2482" s="65"/>
      <c r="DIL2482" s="61"/>
      <c r="DIM2482" s="55"/>
      <c r="DIN2482" s="55"/>
      <c r="DIO2482" s="60"/>
      <c r="DIP2482" s="60"/>
      <c r="DIQ2482" s="60"/>
      <c r="DIR2482" s="60"/>
      <c r="DIS2482" s="65"/>
      <c r="DIT2482" s="61"/>
      <c r="DIU2482" s="55"/>
      <c r="DIV2482" s="55"/>
      <c r="DIW2482" s="60"/>
      <c r="DIX2482" s="60"/>
      <c r="DIY2482" s="60"/>
      <c r="DIZ2482" s="60"/>
      <c r="DJA2482" s="65"/>
      <c r="DJB2482" s="61"/>
      <c r="DJC2482" s="55"/>
      <c r="DJD2482" s="55"/>
      <c r="DJE2482" s="60"/>
      <c r="DJF2482" s="60"/>
      <c r="DJG2482" s="60"/>
      <c r="DJH2482" s="60"/>
      <c r="DJI2482" s="65"/>
      <c r="DJJ2482" s="61"/>
      <c r="DJK2482" s="55"/>
      <c r="DJL2482" s="55"/>
      <c r="DJM2482" s="60"/>
      <c r="DJN2482" s="60"/>
      <c r="DJO2482" s="60"/>
      <c r="DJP2482" s="60"/>
      <c r="DJQ2482" s="65"/>
      <c r="DJR2482" s="61"/>
      <c r="DJS2482" s="55"/>
      <c r="DJT2482" s="55"/>
      <c r="DJU2482" s="60"/>
      <c r="DJV2482" s="60"/>
      <c r="DJW2482" s="60"/>
      <c r="DJX2482" s="60"/>
      <c r="DJY2482" s="65"/>
      <c r="DJZ2482" s="61"/>
      <c r="DKA2482" s="55"/>
      <c r="DKB2482" s="55"/>
      <c r="DKC2482" s="60"/>
      <c r="DKD2482" s="60"/>
      <c r="DKE2482" s="60"/>
      <c r="DKF2482" s="60"/>
      <c r="DKG2482" s="65"/>
      <c r="DKH2482" s="61"/>
      <c r="DKI2482" s="55"/>
      <c r="DKJ2482" s="55"/>
      <c r="DKK2482" s="60"/>
      <c r="DKL2482" s="60"/>
      <c r="DKM2482" s="60"/>
      <c r="DKN2482" s="60"/>
      <c r="DKO2482" s="65"/>
      <c r="DKP2482" s="61"/>
      <c r="DKQ2482" s="55"/>
      <c r="DKR2482" s="55"/>
      <c r="DKS2482" s="60"/>
      <c r="DKT2482" s="60"/>
      <c r="DKU2482" s="60"/>
      <c r="DKV2482" s="60"/>
      <c r="DKW2482" s="65"/>
      <c r="DKX2482" s="61"/>
      <c r="DKY2482" s="55"/>
      <c r="DKZ2482" s="55"/>
      <c r="DLA2482" s="60"/>
      <c r="DLB2482" s="60"/>
      <c r="DLC2482" s="60"/>
      <c r="DLD2482" s="60"/>
      <c r="DLE2482" s="65"/>
      <c r="DLF2482" s="61"/>
      <c r="DLG2482" s="55"/>
      <c r="DLH2482" s="55"/>
      <c r="DLI2482" s="60"/>
      <c r="DLJ2482" s="60"/>
      <c r="DLK2482" s="60"/>
      <c r="DLL2482" s="60"/>
      <c r="DLM2482" s="65"/>
      <c r="DLN2482" s="61"/>
      <c r="DLO2482" s="55"/>
      <c r="DLP2482" s="55"/>
      <c r="DLQ2482" s="60"/>
      <c r="DLR2482" s="60"/>
      <c r="DLS2482" s="60"/>
      <c r="DLT2482" s="60"/>
      <c r="DLU2482" s="65"/>
      <c r="DLV2482" s="61"/>
      <c r="DLW2482" s="55"/>
      <c r="DLX2482" s="55"/>
      <c r="DLY2482" s="60"/>
      <c r="DLZ2482" s="60"/>
      <c r="DMA2482" s="60"/>
      <c r="DMB2482" s="60"/>
      <c r="DMC2482" s="65"/>
      <c r="DMD2482" s="61"/>
      <c r="DME2482" s="55"/>
      <c r="DMF2482" s="55"/>
      <c r="DMG2482" s="60"/>
      <c r="DMH2482" s="60"/>
      <c r="DMI2482" s="60"/>
      <c r="DMJ2482" s="60"/>
      <c r="DMK2482" s="65"/>
      <c r="DML2482" s="61"/>
      <c r="DMM2482" s="55"/>
      <c r="DMN2482" s="55"/>
      <c r="DMO2482" s="60"/>
      <c r="DMP2482" s="60"/>
      <c r="DMQ2482" s="60"/>
      <c r="DMR2482" s="60"/>
      <c r="DMS2482" s="65"/>
      <c r="DMT2482" s="61"/>
      <c r="DMU2482" s="55"/>
      <c r="DMV2482" s="55"/>
      <c r="DMW2482" s="60"/>
      <c r="DMX2482" s="60"/>
      <c r="DMY2482" s="60"/>
      <c r="DMZ2482" s="60"/>
      <c r="DNA2482" s="65"/>
      <c r="DNB2482" s="61"/>
      <c r="DNC2482" s="55"/>
      <c r="DND2482" s="55"/>
      <c r="DNE2482" s="60"/>
      <c r="DNF2482" s="60"/>
      <c r="DNG2482" s="60"/>
      <c r="DNH2482" s="60"/>
      <c r="DNI2482" s="65"/>
      <c r="DNJ2482" s="61"/>
      <c r="DNK2482" s="55"/>
      <c r="DNL2482" s="55"/>
      <c r="DNM2482" s="60"/>
      <c r="DNN2482" s="60"/>
      <c r="DNO2482" s="60"/>
      <c r="DNP2482" s="60"/>
      <c r="DNQ2482" s="65"/>
      <c r="DNR2482" s="61"/>
      <c r="DNS2482" s="55"/>
      <c r="DNT2482" s="55"/>
      <c r="DNU2482" s="60"/>
      <c r="DNV2482" s="60"/>
      <c r="DNW2482" s="60"/>
      <c r="DNX2482" s="60"/>
      <c r="DNY2482" s="65"/>
      <c r="DNZ2482" s="61"/>
      <c r="DOA2482" s="55"/>
      <c r="DOB2482" s="55"/>
      <c r="DOC2482" s="60"/>
      <c r="DOD2482" s="60"/>
      <c r="DOE2482" s="60"/>
      <c r="DOF2482" s="60"/>
      <c r="DOG2482" s="65"/>
      <c r="DOH2482" s="61"/>
      <c r="DOI2482" s="55"/>
      <c r="DOJ2482" s="55"/>
      <c r="DOK2482" s="60"/>
      <c r="DOL2482" s="60"/>
      <c r="DOM2482" s="60"/>
      <c r="DON2482" s="60"/>
      <c r="DOO2482" s="65"/>
      <c r="DOP2482" s="61"/>
      <c r="DOQ2482" s="55"/>
      <c r="DOR2482" s="55"/>
      <c r="DOS2482" s="60"/>
      <c r="DOT2482" s="60"/>
      <c r="DOU2482" s="60"/>
      <c r="DOV2482" s="60"/>
      <c r="DOW2482" s="65"/>
      <c r="DOX2482" s="61"/>
      <c r="DOY2482" s="55"/>
      <c r="DOZ2482" s="55"/>
      <c r="DPA2482" s="60"/>
      <c r="DPB2482" s="60"/>
      <c r="DPC2482" s="60"/>
      <c r="DPD2482" s="60"/>
      <c r="DPE2482" s="65"/>
      <c r="DPF2482" s="61"/>
      <c r="DPG2482" s="55"/>
      <c r="DPH2482" s="55"/>
      <c r="DPI2482" s="60"/>
      <c r="DPJ2482" s="60"/>
      <c r="DPK2482" s="60"/>
      <c r="DPL2482" s="60"/>
      <c r="DPM2482" s="65"/>
      <c r="DPN2482" s="61"/>
      <c r="DPO2482" s="55"/>
      <c r="DPP2482" s="55"/>
      <c r="DPQ2482" s="60"/>
      <c r="DPR2482" s="60"/>
      <c r="DPS2482" s="60"/>
      <c r="DPT2482" s="60"/>
      <c r="DPU2482" s="65"/>
      <c r="DPV2482" s="61"/>
      <c r="DPW2482" s="55"/>
      <c r="DPX2482" s="55"/>
      <c r="DPY2482" s="60"/>
      <c r="DPZ2482" s="60"/>
      <c r="DQA2482" s="60"/>
      <c r="DQB2482" s="60"/>
      <c r="DQC2482" s="65"/>
      <c r="DQD2482" s="61"/>
      <c r="DQE2482" s="55"/>
      <c r="DQF2482" s="55"/>
      <c r="DQG2482" s="60"/>
      <c r="DQH2482" s="60"/>
      <c r="DQI2482" s="60"/>
      <c r="DQJ2482" s="60"/>
      <c r="DQK2482" s="65"/>
      <c r="DQL2482" s="61"/>
      <c r="DQM2482" s="55"/>
      <c r="DQN2482" s="55"/>
      <c r="DQO2482" s="60"/>
      <c r="DQP2482" s="60"/>
      <c r="DQQ2482" s="60"/>
      <c r="DQR2482" s="60"/>
      <c r="DQS2482" s="65"/>
      <c r="DQT2482" s="61"/>
      <c r="DQU2482" s="55"/>
      <c r="DQV2482" s="55"/>
      <c r="DQW2482" s="60"/>
      <c r="DQX2482" s="60"/>
      <c r="DQY2482" s="60"/>
      <c r="DQZ2482" s="60"/>
      <c r="DRA2482" s="65"/>
      <c r="DRB2482" s="61"/>
      <c r="DRC2482" s="55"/>
      <c r="DRD2482" s="55"/>
      <c r="DRE2482" s="60"/>
      <c r="DRF2482" s="60"/>
      <c r="DRG2482" s="60"/>
      <c r="DRH2482" s="60"/>
      <c r="DRI2482" s="65"/>
      <c r="DRJ2482" s="61"/>
      <c r="DRK2482" s="55"/>
      <c r="DRL2482" s="55"/>
      <c r="DRM2482" s="60"/>
      <c r="DRN2482" s="60"/>
      <c r="DRO2482" s="60"/>
      <c r="DRP2482" s="60"/>
      <c r="DRQ2482" s="65"/>
      <c r="DRR2482" s="61"/>
      <c r="DRS2482" s="55"/>
      <c r="DRT2482" s="55"/>
      <c r="DRU2482" s="60"/>
      <c r="DRV2482" s="60"/>
      <c r="DRW2482" s="60"/>
      <c r="DRX2482" s="60"/>
      <c r="DRY2482" s="65"/>
      <c r="DRZ2482" s="61"/>
      <c r="DSA2482" s="55"/>
      <c r="DSB2482" s="55"/>
      <c r="DSC2482" s="60"/>
      <c r="DSD2482" s="60"/>
      <c r="DSE2482" s="60"/>
      <c r="DSF2482" s="60"/>
      <c r="DSG2482" s="65"/>
      <c r="DSH2482" s="61"/>
      <c r="DSI2482" s="55"/>
      <c r="DSJ2482" s="55"/>
      <c r="DSK2482" s="60"/>
      <c r="DSL2482" s="60"/>
      <c r="DSM2482" s="60"/>
      <c r="DSN2482" s="60"/>
      <c r="DSO2482" s="65"/>
      <c r="DSP2482" s="61"/>
      <c r="DSQ2482" s="55"/>
      <c r="DSR2482" s="55"/>
      <c r="DSS2482" s="60"/>
      <c r="DST2482" s="60"/>
      <c r="DSU2482" s="60"/>
      <c r="DSV2482" s="60"/>
      <c r="DSW2482" s="65"/>
      <c r="DSX2482" s="61"/>
      <c r="DSY2482" s="55"/>
      <c r="DSZ2482" s="55"/>
      <c r="DTA2482" s="60"/>
      <c r="DTB2482" s="60"/>
      <c r="DTC2482" s="60"/>
      <c r="DTD2482" s="60"/>
      <c r="DTE2482" s="65"/>
      <c r="DTF2482" s="61"/>
      <c r="DTG2482" s="55"/>
      <c r="DTH2482" s="55"/>
      <c r="DTI2482" s="60"/>
      <c r="DTJ2482" s="60"/>
      <c r="DTK2482" s="60"/>
      <c r="DTL2482" s="60"/>
      <c r="DTM2482" s="65"/>
      <c r="DTN2482" s="61"/>
      <c r="DTO2482" s="55"/>
      <c r="DTP2482" s="55"/>
      <c r="DTQ2482" s="60"/>
      <c r="DTR2482" s="60"/>
      <c r="DTS2482" s="60"/>
      <c r="DTT2482" s="60"/>
      <c r="DTU2482" s="65"/>
      <c r="DTV2482" s="61"/>
      <c r="DTW2482" s="55"/>
      <c r="DTX2482" s="55"/>
      <c r="DTY2482" s="60"/>
      <c r="DTZ2482" s="60"/>
      <c r="DUA2482" s="60"/>
      <c r="DUB2482" s="60"/>
      <c r="DUC2482" s="65"/>
      <c r="DUD2482" s="61"/>
      <c r="DUE2482" s="55"/>
      <c r="DUF2482" s="55"/>
      <c r="DUG2482" s="60"/>
      <c r="DUH2482" s="60"/>
      <c r="DUI2482" s="60"/>
      <c r="DUJ2482" s="60"/>
      <c r="DUK2482" s="65"/>
      <c r="DUL2482" s="61"/>
      <c r="DUM2482" s="55"/>
      <c r="DUN2482" s="55"/>
      <c r="DUO2482" s="60"/>
      <c r="DUP2482" s="60"/>
      <c r="DUQ2482" s="60"/>
      <c r="DUR2482" s="60"/>
      <c r="DUS2482" s="65"/>
      <c r="DUT2482" s="61"/>
      <c r="DUU2482" s="55"/>
      <c r="DUV2482" s="55"/>
      <c r="DUW2482" s="60"/>
      <c r="DUX2482" s="60"/>
      <c r="DUY2482" s="60"/>
      <c r="DUZ2482" s="60"/>
      <c r="DVA2482" s="65"/>
      <c r="DVB2482" s="61"/>
      <c r="DVC2482" s="55"/>
      <c r="DVD2482" s="55"/>
      <c r="DVE2482" s="60"/>
      <c r="DVF2482" s="60"/>
      <c r="DVG2482" s="60"/>
      <c r="DVH2482" s="60"/>
      <c r="DVI2482" s="65"/>
      <c r="DVJ2482" s="61"/>
      <c r="DVK2482" s="55"/>
      <c r="DVL2482" s="55"/>
      <c r="DVM2482" s="60"/>
      <c r="DVN2482" s="60"/>
      <c r="DVO2482" s="60"/>
      <c r="DVP2482" s="60"/>
      <c r="DVQ2482" s="65"/>
      <c r="DVR2482" s="61"/>
      <c r="DVS2482" s="55"/>
      <c r="DVT2482" s="55"/>
      <c r="DVU2482" s="60"/>
      <c r="DVV2482" s="60"/>
      <c r="DVW2482" s="60"/>
      <c r="DVX2482" s="60"/>
      <c r="DVY2482" s="65"/>
      <c r="DVZ2482" s="61"/>
      <c r="DWA2482" s="55"/>
      <c r="DWB2482" s="55"/>
      <c r="DWC2482" s="60"/>
      <c r="DWD2482" s="60"/>
      <c r="DWE2482" s="60"/>
      <c r="DWF2482" s="60"/>
      <c r="DWG2482" s="65"/>
      <c r="DWH2482" s="61"/>
      <c r="DWI2482" s="55"/>
      <c r="DWJ2482" s="55"/>
      <c r="DWK2482" s="60"/>
      <c r="DWL2482" s="60"/>
      <c r="DWM2482" s="60"/>
      <c r="DWN2482" s="60"/>
      <c r="DWO2482" s="65"/>
      <c r="DWP2482" s="61"/>
      <c r="DWQ2482" s="55"/>
      <c r="DWR2482" s="55"/>
      <c r="DWS2482" s="60"/>
      <c r="DWT2482" s="60"/>
      <c r="DWU2482" s="60"/>
      <c r="DWV2482" s="60"/>
      <c r="DWW2482" s="65"/>
      <c r="DWX2482" s="61"/>
      <c r="DWY2482" s="55"/>
      <c r="DWZ2482" s="55"/>
      <c r="DXA2482" s="60"/>
      <c r="DXB2482" s="60"/>
      <c r="DXC2482" s="60"/>
      <c r="DXD2482" s="60"/>
      <c r="DXE2482" s="65"/>
      <c r="DXF2482" s="61"/>
      <c r="DXG2482" s="55"/>
      <c r="DXH2482" s="55"/>
      <c r="DXI2482" s="60"/>
      <c r="DXJ2482" s="60"/>
      <c r="DXK2482" s="60"/>
      <c r="DXL2482" s="60"/>
      <c r="DXM2482" s="65"/>
      <c r="DXN2482" s="61"/>
      <c r="DXO2482" s="55"/>
      <c r="DXP2482" s="55"/>
      <c r="DXQ2482" s="60"/>
      <c r="DXR2482" s="60"/>
      <c r="DXS2482" s="60"/>
      <c r="DXT2482" s="60"/>
      <c r="DXU2482" s="65"/>
      <c r="DXV2482" s="61"/>
      <c r="DXW2482" s="55"/>
      <c r="DXX2482" s="55"/>
      <c r="DXY2482" s="60"/>
      <c r="DXZ2482" s="60"/>
      <c r="DYA2482" s="60"/>
      <c r="DYB2482" s="60"/>
      <c r="DYC2482" s="65"/>
      <c r="DYD2482" s="61"/>
      <c r="DYE2482" s="55"/>
      <c r="DYF2482" s="55"/>
      <c r="DYG2482" s="60"/>
      <c r="DYH2482" s="60"/>
      <c r="DYI2482" s="60"/>
      <c r="DYJ2482" s="60"/>
      <c r="DYK2482" s="65"/>
      <c r="DYL2482" s="61"/>
      <c r="DYM2482" s="55"/>
      <c r="DYN2482" s="55"/>
      <c r="DYO2482" s="60"/>
      <c r="DYP2482" s="60"/>
      <c r="DYQ2482" s="60"/>
      <c r="DYR2482" s="60"/>
      <c r="DYS2482" s="65"/>
      <c r="DYT2482" s="61"/>
      <c r="DYU2482" s="55"/>
      <c r="DYV2482" s="55"/>
      <c r="DYW2482" s="60"/>
      <c r="DYX2482" s="60"/>
      <c r="DYY2482" s="60"/>
      <c r="DYZ2482" s="60"/>
      <c r="DZA2482" s="65"/>
      <c r="DZB2482" s="61"/>
      <c r="DZC2482" s="55"/>
      <c r="DZD2482" s="55"/>
      <c r="DZE2482" s="60"/>
      <c r="DZF2482" s="60"/>
      <c r="DZG2482" s="60"/>
      <c r="DZH2482" s="60"/>
      <c r="DZI2482" s="65"/>
      <c r="DZJ2482" s="61"/>
      <c r="DZK2482" s="55"/>
      <c r="DZL2482" s="55"/>
      <c r="DZM2482" s="60"/>
      <c r="DZN2482" s="60"/>
      <c r="DZO2482" s="60"/>
      <c r="DZP2482" s="60"/>
      <c r="DZQ2482" s="65"/>
      <c r="DZR2482" s="61"/>
      <c r="DZS2482" s="55"/>
      <c r="DZT2482" s="55"/>
      <c r="DZU2482" s="60"/>
      <c r="DZV2482" s="60"/>
      <c r="DZW2482" s="60"/>
      <c r="DZX2482" s="60"/>
      <c r="DZY2482" s="65"/>
      <c r="DZZ2482" s="61"/>
      <c r="EAA2482" s="55"/>
      <c r="EAB2482" s="55"/>
      <c r="EAC2482" s="60"/>
      <c r="EAD2482" s="60"/>
      <c r="EAE2482" s="60"/>
      <c r="EAF2482" s="60"/>
      <c r="EAG2482" s="65"/>
      <c r="EAH2482" s="61"/>
      <c r="EAI2482" s="55"/>
      <c r="EAJ2482" s="55"/>
      <c r="EAK2482" s="60"/>
      <c r="EAL2482" s="60"/>
      <c r="EAM2482" s="60"/>
      <c r="EAN2482" s="60"/>
      <c r="EAO2482" s="65"/>
      <c r="EAP2482" s="61"/>
      <c r="EAQ2482" s="55"/>
      <c r="EAR2482" s="55"/>
      <c r="EAS2482" s="60"/>
      <c r="EAT2482" s="60"/>
      <c r="EAU2482" s="60"/>
      <c r="EAV2482" s="60"/>
      <c r="EAW2482" s="65"/>
      <c r="EAX2482" s="61"/>
      <c r="EAY2482" s="55"/>
      <c r="EAZ2482" s="55"/>
      <c r="EBA2482" s="60"/>
      <c r="EBB2482" s="60"/>
      <c r="EBC2482" s="60"/>
      <c r="EBD2482" s="60"/>
      <c r="EBE2482" s="65"/>
      <c r="EBF2482" s="61"/>
      <c r="EBG2482" s="55"/>
      <c r="EBH2482" s="55"/>
      <c r="EBI2482" s="60"/>
      <c r="EBJ2482" s="60"/>
      <c r="EBK2482" s="60"/>
      <c r="EBL2482" s="60"/>
      <c r="EBM2482" s="65"/>
      <c r="EBN2482" s="61"/>
      <c r="EBO2482" s="55"/>
      <c r="EBP2482" s="55"/>
      <c r="EBQ2482" s="60"/>
      <c r="EBR2482" s="60"/>
      <c r="EBS2482" s="60"/>
      <c r="EBT2482" s="60"/>
      <c r="EBU2482" s="65"/>
      <c r="EBV2482" s="61"/>
      <c r="EBW2482" s="55"/>
      <c r="EBX2482" s="55"/>
      <c r="EBY2482" s="60"/>
      <c r="EBZ2482" s="60"/>
      <c r="ECA2482" s="60"/>
      <c r="ECB2482" s="60"/>
      <c r="ECC2482" s="65"/>
      <c r="ECD2482" s="61"/>
      <c r="ECE2482" s="55"/>
      <c r="ECF2482" s="55"/>
      <c r="ECG2482" s="60"/>
      <c r="ECH2482" s="60"/>
      <c r="ECI2482" s="60"/>
      <c r="ECJ2482" s="60"/>
      <c r="ECK2482" s="65"/>
      <c r="ECL2482" s="61"/>
      <c r="ECM2482" s="55"/>
      <c r="ECN2482" s="55"/>
      <c r="ECO2482" s="60"/>
      <c r="ECP2482" s="60"/>
      <c r="ECQ2482" s="60"/>
      <c r="ECR2482" s="60"/>
      <c r="ECS2482" s="65"/>
      <c r="ECT2482" s="61"/>
      <c r="ECU2482" s="55"/>
      <c r="ECV2482" s="55"/>
      <c r="ECW2482" s="60"/>
      <c r="ECX2482" s="60"/>
      <c r="ECY2482" s="60"/>
      <c r="ECZ2482" s="60"/>
      <c r="EDA2482" s="65"/>
      <c r="EDB2482" s="61"/>
      <c r="EDC2482" s="55"/>
      <c r="EDD2482" s="55"/>
      <c r="EDE2482" s="60"/>
      <c r="EDF2482" s="60"/>
      <c r="EDG2482" s="60"/>
      <c r="EDH2482" s="60"/>
      <c r="EDI2482" s="65"/>
      <c r="EDJ2482" s="61"/>
      <c r="EDK2482" s="55"/>
      <c r="EDL2482" s="55"/>
      <c r="EDM2482" s="60"/>
      <c r="EDN2482" s="60"/>
      <c r="EDO2482" s="60"/>
      <c r="EDP2482" s="60"/>
      <c r="EDQ2482" s="65"/>
      <c r="EDR2482" s="61"/>
      <c r="EDS2482" s="55"/>
      <c r="EDT2482" s="55"/>
      <c r="EDU2482" s="60"/>
      <c r="EDV2482" s="60"/>
      <c r="EDW2482" s="60"/>
      <c r="EDX2482" s="60"/>
      <c r="EDY2482" s="65"/>
      <c r="EDZ2482" s="61"/>
      <c r="EEA2482" s="55"/>
      <c r="EEB2482" s="55"/>
      <c r="EEC2482" s="60"/>
      <c r="EED2482" s="60"/>
      <c r="EEE2482" s="60"/>
      <c r="EEF2482" s="60"/>
      <c r="EEG2482" s="65"/>
      <c r="EEH2482" s="61"/>
      <c r="EEI2482" s="55"/>
      <c r="EEJ2482" s="55"/>
      <c r="EEK2482" s="60"/>
      <c r="EEL2482" s="60"/>
      <c r="EEM2482" s="60"/>
      <c r="EEN2482" s="60"/>
      <c r="EEO2482" s="65"/>
      <c r="EEP2482" s="61"/>
      <c r="EEQ2482" s="55"/>
      <c r="EER2482" s="55"/>
      <c r="EES2482" s="60"/>
      <c r="EET2482" s="60"/>
      <c r="EEU2482" s="60"/>
      <c r="EEV2482" s="60"/>
      <c r="EEW2482" s="65"/>
      <c r="EEX2482" s="61"/>
      <c r="EEY2482" s="55"/>
      <c r="EEZ2482" s="55"/>
      <c r="EFA2482" s="60"/>
      <c r="EFB2482" s="60"/>
      <c r="EFC2482" s="60"/>
      <c r="EFD2482" s="60"/>
      <c r="EFE2482" s="65"/>
      <c r="EFF2482" s="61"/>
      <c r="EFG2482" s="55"/>
      <c r="EFH2482" s="55"/>
      <c r="EFI2482" s="60"/>
      <c r="EFJ2482" s="60"/>
      <c r="EFK2482" s="60"/>
      <c r="EFL2482" s="60"/>
      <c r="EFM2482" s="65"/>
      <c r="EFN2482" s="61"/>
      <c r="EFO2482" s="55"/>
      <c r="EFP2482" s="55"/>
      <c r="EFQ2482" s="60"/>
      <c r="EFR2482" s="60"/>
      <c r="EFS2482" s="60"/>
      <c r="EFT2482" s="60"/>
      <c r="EFU2482" s="65"/>
      <c r="EFV2482" s="61"/>
      <c r="EFW2482" s="55"/>
      <c r="EFX2482" s="55"/>
      <c r="EFY2482" s="60"/>
      <c r="EFZ2482" s="60"/>
      <c r="EGA2482" s="60"/>
      <c r="EGB2482" s="60"/>
      <c r="EGC2482" s="65"/>
      <c r="EGD2482" s="61"/>
      <c r="EGE2482" s="55"/>
      <c r="EGF2482" s="55"/>
      <c r="EGG2482" s="60"/>
      <c r="EGH2482" s="60"/>
      <c r="EGI2482" s="60"/>
      <c r="EGJ2482" s="60"/>
      <c r="EGK2482" s="65"/>
      <c r="EGL2482" s="61"/>
      <c r="EGM2482" s="55"/>
      <c r="EGN2482" s="55"/>
      <c r="EGO2482" s="60"/>
      <c r="EGP2482" s="60"/>
      <c r="EGQ2482" s="60"/>
      <c r="EGR2482" s="60"/>
      <c r="EGS2482" s="65"/>
      <c r="EGT2482" s="61"/>
      <c r="EGU2482" s="55"/>
      <c r="EGV2482" s="55"/>
      <c r="EGW2482" s="60"/>
      <c r="EGX2482" s="60"/>
      <c r="EGY2482" s="60"/>
      <c r="EGZ2482" s="60"/>
      <c r="EHA2482" s="65"/>
      <c r="EHB2482" s="61"/>
      <c r="EHC2482" s="55"/>
      <c r="EHD2482" s="55"/>
      <c r="EHE2482" s="60"/>
      <c r="EHF2482" s="60"/>
      <c r="EHG2482" s="60"/>
      <c r="EHH2482" s="60"/>
      <c r="EHI2482" s="65"/>
      <c r="EHJ2482" s="61"/>
      <c r="EHK2482" s="55"/>
      <c r="EHL2482" s="55"/>
      <c r="EHM2482" s="60"/>
      <c r="EHN2482" s="60"/>
      <c r="EHO2482" s="60"/>
      <c r="EHP2482" s="60"/>
      <c r="EHQ2482" s="65"/>
      <c r="EHR2482" s="61"/>
      <c r="EHS2482" s="55"/>
      <c r="EHT2482" s="55"/>
      <c r="EHU2482" s="60"/>
      <c r="EHV2482" s="60"/>
      <c r="EHW2482" s="60"/>
      <c r="EHX2482" s="60"/>
      <c r="EHY2482" s="65"/>
      <c r="EHZ2482" s="61"/>
      <c r="EIA2482" s="55"/>
      <c r="EIB2482" s="55"/>
      <c r="EIC2482" s="60"/>
      <c r="EID2482" s="60"/>
      <c r="EIE2482" s="60"/>
      <c r="EIF2482" s="60"/>
      <c r="EIG2482" s="65"/>
      <c r="EIH2482" s="61"/>
      <c r="EII2482" s="55"/>
      <c r="EIJ2482" s="55"/>
      <c r="EIK2482" s="60"/>
      <c r="EIL2482" s="60"/>
      <c r="EIM2482" s="60"/>
      <c r="EIN2482" s="60"/>
      <c r="EIO2482" s="65"/>
      <c r="EIP2482" s="61"/>
      <c r="EIQ2482" s="55"/>
      <c r="EIR2482" s="55"/>
      <c r="EIS2482" s="60"/>
      <c r="EIT2482" s="60"/>
      <c r="EIU2482" s="60"/>
      <c r="EIV2482" s="60"/>
      <c r="EIW2482" s="65"/>
      <c r="EIX2482" s="61"/>
      <c r="EIY2482" s="55"/>
      <c r="EIZ2482" s="55"/>
      <c r="EJA2482" s="60"/>
      <c r="EJB2482" s="60"/>
      <c r="EJC2482" s="60"/>
      <c r="EJD2482" s="60"/>
      <c r="EJE2482" s="65"/>
      <c r="EJF2482" s="61"/>
      <c r="EJG2482" s="55"/>
      <c r="EJH2482" s="55"/>
      <c r="EJI2482" s="60"/>
      <c r="EJJ2482" s="60"/>
      <c r="EJK2482" s="60"/>
      <c r="EJL2482" s="60"/>
      <c r="EJM2482" s="65"/>
      <c r="EJN2482" s="61"/>
      <c r="EJO2482" s="55"/>
      <c r="EJP2482" s="55"/>
      <c r="EJQ2482" s="60"/>
      <c r="EJR2482" s="60"/>
      <c r="EJS2482" s="60"/>
      <c r="EJT2482" s="60"/>
      <c r="EJU2482" s="65"/>
      <c r="EJV2482" s="61"/>
      <c r="EJW2482" s="55"/>
      <c r="EJX2482" s="55"/>
      <c r="EJY2482" s="60"/>
      <c r="EJZ2482" s="60"/>
      <c r="EKA2482" s="60"/>
      <c r="EKB2482" s="60"/>
      <c r="EKC2482" s="65"/>
      <c r="EKD2482" s="61"/>
      <c r="EKE2482" s="55"/>
      <c r="EKF2482" s="55"/>
      <c r="EKG2482" s="60"/>
      <c r="EKH2482" s="60"/>
      <c r="EKI2482" s="60"/>
      <c r="EKJ2482" s="60"/>
      <c r="EKK2482" s="65"/>
      <c r="EKL2482" s="61"/>
      <c r="EKM2482" s="55"/>
      <c r="EKN2482" s="55"/>
      <c r="EKO2482" s="60"/>
      <c r="EKP2482" s="60"/>
      <c r="EKQ2482" s="60"/>
      <c r="EKR2482" s="60"/>
      <c r="EKS2482" s="65"/>
      <c r="EKT2482" s="61"/>
      <c r="EKU2482" s="55"/>
      <c r="EKV2482" s="55"/>
      <c r="EKW2482" s="60"/>
      <c r="EKX2482" s="60"/>
      <c r="EKY2482" s="60"/>
      <c r="EKZ2482" s="60"/>
      <c r="ELA2482" s="65"/>
      <c r="ELB2482" s="61"/>
      <c r="ELC2482" s="55"/>
      <c r="ELD2482" s="55"/>
      <c r="ELE2482" s="60"/>
      <c r="ELF2482" s="60"/>
      <c r="ELG2482" s="60"/>
      <c r="ELH2482" s="60"/>
      <c r="ELI2482" s="65"/>
      <c r="ELJ2482" s="61"/>
      <c r="ELK2482" s="55"/>
      <c r="ELL2482" s="55"/>
      <c r="ELM2482" s="60"/>
      <c r="ELN2482" s="60"/>
      <c r="ELO2482" s="60"/>
      <c r="ELP2482" s="60"/>
      <c r="ELQ2482" s="65"/>
      <c r="ELR2482" s="61"/>
      <c r="ELS2482" s="55"/>
      <c r="ELT2482" s="55"/>
      <c r="ELU2482" s="60"/>
      <c r="ELV2482" s="60"/>
      <c r="ELW2482" s="60"/>
      <c r="ELX2482" s="60"/>
      <c r="ELY2482" s="65"/>
      <c r="ELZ2482" s="61"/>
      <c r="EMA2482" s="55"/>
      <c r="EMB2482" s="55"/>
      <c r="EMC2482" s="60"/>
      <c r="EMD2482" s="60"/>
      <c r="EME2482" s="60"/>
      <c r="EMF2482" s="60"/>
      <c r="EMG2482" s="65"/>
      <c r="EMH2482" s="61"/>
      <c r="EMI2482" s="55"/>
      <c r="EMJ2482" s="55"/>
      <c r="EMK2482" s="60"/>
      <c r="EML2482" s="60"/>
      <c r="EMM2482" s="60"/>
      <c r="EMN2482" s="60"/>
      <c r="EMO2482" s="65"/>
      <c r="EMP2482" s="61"/>
      <c r="EMQ2482" s="55"/>
      <c r="EMR2482" s="55"/>
      <c r="EMS2482" s="60"/>
      <c r="EMT2482" s="60"/>
      <c r="EMU2482" s="60"/>
      <c r="EMV2482" s="60"/>
      <c r="EMW2482" s="65"/>
      <c r="EMX2482" s="61"/>
      <c r="EMY2482" s="55"/>
      <c r="EMZ2482" s="55"/>
      <c r="ENA2482" s="60"/>
      <c r="ENB2482" s="60"/>
      <c r="ENC2482" s="60"/>
      <c r="END2482" s="60"/>
      <c r="ENE2482" s="65"/>
      <c r="ENF2482" s="61"/>
      <c r="ENG2482" s="55"/>
      <c r="ENH2482" s="55"/>
      <c r="ENI2482" s="60"/>
      <c r="ENJ2482" s="60"/>
      <c r="ENK2482" s="60"/>
      <c r="ENL2482" s="60"/>
      <c r="ENM2482" s="65"/>
      <c r="ENN2482" s="61"/>
      <c r="ENO2482" s="55"/>
      <c r="ENP2482" s="55"/>
      <c r="ENQ2482" s="60"/>
      <c r="ENR2482" s="60"/>
      <c r="ENS2482" s="60"/>
      <c r="ENT2482" s="60"/>
      <c r="ENU2482" s="65"/>
      <c r="ENV2482" s="61"/>
      <c r="ENW2482" s="55"/>
      <c r="ENX2482" s="55"/>
      <c r="ENY2482" s="60"/>
      <c r="ENZ2482" s="60"/>
      <c r="EOA2482" s="60"/>
      <c r="EOB2482" s="60"/>
      <c r="EOC2482" s="65"/>
      <c r="EOD2482" s="61"/>
      <c r="EOE2482" s="55"/>
      <c r="EOF2482" s="55"/>
      <c r="EOG2482" s="60"/>
      <c r="EOH2482" s="60"/>
      <c r="EOI2482" s="60"/>
      <c r="EOJ2482" s="60"/>
      <c r="EOK2482" s="65"/>
      <c r="EOL2482" s="61"/>
      <c r="EOM2482" s="55"/>
      <c r="EON2482" s="55"/>
      <c r="EOO2482" s="60"/>
      <c r="EOP2482" s="60"/>
      <c r="EOQ2482" s="60"/>
      <c r="EOR2482" s="60"/>
      <c r="EOS2482" s="65"/>
      <c r="EOT2482" s="61"/>
      <c r="EOU2482" s="55"/>
      <c r="EOV2482" s="55"/>
      <c r="EOW2482" s="60"/>
      <c r="EOX2482" s="60"/>
      <c r="EOY2482" s="60"/>
      <c r="EOZ2482" s="60"/>
      <c r="EPA2482" s="65"/>
      <c r="EPB2482" s="61"/>
      <c r="EPC2482" s="55"/>
      <c r="EPD2482" s="55"/>
      <c r="EPE2482" s="60"/>
      <c r="EPF2482" s="60"/>
      <c r="EPG2482" s="60"/>
      <c r="EPH2482" s="60"/>
      <c r="EPI2482" s="65"/>
      <c r="EPJ2482" s="61"/>
      <c r="EPK2482" s="55"/>
      <c r="EPL2482" s="55"/>
      <c r="EPM2482" s="60"/>
      <c r="EPN2482" s="60"/>
      <c r="EPO2482" s="60"/>
      <c r="EPP2482" s="60"/>
      <c r="EPQ2482" s="65"/>
      <c r="EPR2482" s="61"/>
      <c r="EPS2482" s="55"/>
      <c r="EPT2482" s="55"/>
      <c r="EPU2482" s="60"/>
      <c r="EPV2482" s="60"/>
      <c r="EPW2482" s="60"/>
      <c r="EPX2482" s="60"/>
      <c r="EPY2482" s="65"/>
      <c r="EPZ2482" s="61"/>
      <c r="EQA2482" s="55"/>
      <c r="EQB2482" s="55"/>
      <c r="EQC2482" s="60"/>
      <c r="EQD2482" s="60"/>
      <c r="EQE2482" s="60"/>
      <c r="EQF2482" s="60"/>
      <c r="EQG2482" s="65"/>
      <c r="EQH2482" s="61"/>
      <c r="EQI2482" s="55"/>
      <c r="EQJ2482" s="55"/>
      <c r="EQK2482" s="60"/>
      <c r="EQL2482" s="60"/>
      <c r="EQM2482" s="60"/>
      <c r="EQN2482" s="60"/>
      <c r="EQO2482" s="65"/>
      <c r="EQP2482" s="61"/>
      <c r="EQQ2482" s="55"/>
      <c r="EQR2482" s="55"/>
      <c r="EQS2482" s="60"/>
      <c r="EQT2482" s="60"/>
      <c r="EQU2482" s="60"/>
      <c r="EQV2482" s="60"/>
      <c r="EQW2482" s="65"/>
      <c r="EQX2482" s="61"/>
      <c r="EQY2482" s="55"/>
      <c r="EQZ2482" s="55"/>
      <c r="ERA2482" s="60"/>
      <c r="ERB2482" s="60"/>
      <c r="ERC2482" s="60"/>
      <c r="ERD2482" s="60"/>
      <c r="ERE2482" s="65"/>
      <c r="ERF2482" s="61"/>
      <c r="ERG2482" s="55"/>
      <c r="ERH2482" s="55"/>
      <c r="ERI2482" s="60"/>
      <c r="ERJ2482" s="60"/>
      <c r="ERK2482" s="60"/>
      <c r="ERL2482" s="60"/>
      <c r="ERM2482" s="65"/>
      <c r="ERN2482" s="61"/>
      <c r="ERO2482" s="55"/>
      <c r="ERP2482" s="55"/>
      <c r="ERQ2482" s="60"/>
      <c r="ERR2482" s="60"/>
      <c r="ERS2482" s="60"/>
      <c r="ERT2482" s="60"/>
      <c r="ERU2482" s="65"/>
      <c r="ERV2482" s="61"/>
      <c r="ERW2482" s="55"/>
      <c r="ERX2482" s="55"/>
      <c r="ERY2482" s="60"/>
      <c r="ERZ2482" s="60"/>
      <c r="ESA2482" s="60"/>
      <c r="ESB2482" s="60"/>
      <c r="ESC2482" s="65"/>
      <c r="ESD2482" s="61"/>
      <c r="ESE2482" s="55"/>
      <c r="ESF2482" s="55"/>
      <c r="ESG2482" s="60"/>
      <c r="ESH2482" s="60"/>
      <c r="ESI2482" s="60"/>
      <c r="ESJ2482" s="60"/>
      <c r="ESK2482" s="65"/>
      <c r="ESL2482" s="61"/>
      <c r="ESM2482" s="55"/>
      <c r="ESN2482" s="55"/>
      <c r="ESO2482" s="60"/>
      <c r="ESP2482" s="60"/>
      <c r="ESQ2482" s="60"/>
      <c r="ESR2482" s="60"/>
      <c r="ESS2482" s="65"/>
      <c r="EST2482" s="61"/>
      <c r="ESU2482" s="55"/>
      <c r="ESV2482" s="55"/>
      <c r="ESW2482" s="60"/>
      <c r="ESX2482" s="60"/>
      <c r="ESY2482" s="60"/>
      <c r="ESZ2482" s="60"/>
      <c r="ETA2482" s="65"/>
      <c r="ETB2482" s="61"/>
      <c r="ETC2482" s="55"/>
      <c r="ETD2482" s="55"/>
      <c r="ETE2482" s="60"/>
      <c r="ETF2482" s="60"/>
      <c r="ETG2482" s="60"/>
      <c r="ETH2482" s="60"/>
      <c r="ETI2482" s="65"/>
      <c r="ETJ2482" s="61"/>
      <c r="ETK2482" s="55"/>
      <c r="ETL2482" s="55"/>
      <c r="ETM2482" s="60"/>
      <c r="ETN2482" s="60"/>
      <c r="ETO2482" s="60"/>
      <c r="ETP2482" s="60"/>
      <c r="ETQ2482" s="65"/>
      <c r="ETR2482" s="61"/>
      <c r="ETS2482" s="55"/>
      <c r="ETT2482" s="55"/>
      <c r="ETU2482" s="60"/>
      <c r="ETV2482" s="60"/>
      <c r="ETW2482" s="60"/>
      <c r="ETX2482" s="60"/>
      <c r="ETY2482" s="65"/>
      <c r="ETZ2482" s="61"/>
      <c r="EUA2482" s="55"/>
      <c r="EUB2482" s="55"/>
      <c r="EUC2482" s="60"/>
      <c r="EUD2482" s="60"/>
      <c r="EUE2482" s="60"/>
      <c r="EUF2482" s="60"/>
      <c r="EUG2482" s="65"/>
      <c r="EUH2482" s="61"/>
      <c r="EUI2482" s="55"/>
      <c r="EUJ2482" s="55"/>
      <c r="EUK2482" s="60"/>
      <c r="EUL2482" s="60"/>
      <c r="EUM2482" s="60"/>
      <c r="EUN2482" s="60"/>
      <c r="EUO2482" s="65"/>
      <c r="EUP2482" s="61"/>
      <c r="EUQ2482" s="55"/>
      <c r="EUR2482" s="55"/>
      <c r="EUS2482" s="60"/>
      <c r="EUT2482" s="60"/>
      <c r="EUU2482" s="60"/>
      <c r="EUV2482" s="60"/>
      <c r="EUW2482" s="65"/>
      <c r="EUX2482" s="61"/>
      <c r="EUY2482" s="55"/>
      <c r="EUZ2482" s="55"/>
      <c r="EVA2482" s="60"/>
      <c r="EVB2482" s="60"/>
      <c r="EVC2482" s="60"/>
      <c r="EVD2482" s="60"/>
      <c r="EVE2482" s="65"/>
      <c r="EVF2482" s="61"/>
      <c r="EVG2482" s="55"/>
      <c r="EVH2482" s="55"/>
      <c r="EVI2482" s="60"/>
      <c r="EVJ2482" s="60"/>
      <c r="EVK2482" s="60"/>
      <c r="EVL2482" s="60"/>
      <c r="EVM2482" s="65"/>
      <c r="EVN2482" s="61"/>
      <c r="EVO2482" s="55"/>
      <c r="EVP2482" s="55"/>
      <c r="EVQ2482" s="60"/>
      <c r="EVR2482" s="60"/>
      <c r="EVS2482" s="60"/>
      <c r="EVT2482" s="60"/>
      <c r="EVU2482" s="65"/>
      <c r="EVV2482" s="61"/>
      <c r="EVW2482" s="55"/>
      <c r="EVX2482" s="55"/>
      <c r="EVY2482" s="60"/>
      <c r="EVZ2482" s="60"/>
      <c r="EWA2482" s="60"/>
      <c r="EWB2482" s="60"/>
      <c r="EWC2482" s="65"/>
      <c r="EWD2482" s="61"/>
      <c r="EWE2482" s="55"/>
      <c r="EWF2482" s="55"/>
      <c r="EWG2482" s="60"/>
      <c r="EWH2482" s="60"/>
      <c r="EWI2482" s="60"/>
      <c r="EWJ2482" s="60"/>
      <c r="EWK2482" s="65"/>
      <c r="EWL2482" s="61"/>
      <c r="EWM2482" s="55"/>
      <c r="EWN2482" s="55"/>
      <c r="EWO2482" s="60"/>
      <c r="EWP2482" s="60"/>
      <c r="EWQ2482" s="60"/>
      <c r="EWR2482" s="60"/>
      <c r="EWS2482" s="65"/>
      <c r="EWT2482" s="61"/>
      <c r="EWU2482" s="55"/>
      <c r="EWV2482" s="55"/>
      <c r="EWW2482" s="60"/>
      <c r="EWX2482" s="60"/>
      <c r="EWY2482" s="60"/>
      <c r="EWZ2482" s="60"/>
      <c r="EXA2482" s="65"/>
      <c r="EXB2482" s="61"/>
      <c r="EXC2482" s="55"/>
      <c r="EXD2482" s="55"/>
      <c r="EXE2482" s="60"/>
      <c r="EXF2482" s="60"/>
      <c r="EXG2482" s="60"/>
      <c r="EXH2482" s="60"/>
      <c r="EXI2482" s="65"/>
      <c r="EXJ2482" s="61"/>
      <c r="EXK2482" s="55"/>
      <c r="EXL2482" s="55"/>
      <c r="EXM2482" s="60"/>
      <c r="EXN2482" s="60"/>
      <c r="EXO2482" s="60"/>
      <c r="EXP2482" s="60"/>
      <c r="EXQ2482" s="65"/>
      <c r="EXR2482" s="61"/>
      <c r="EXS2482" s="55"/>
      <c r="EXT2482" s="55"/>
      <c r="EXU2482" s="60"/>
      <c r="EXV2482" s="60"/>
      <c r="EXW2482" s="60"/>
      <c r="EXX2482" s="60"/>
      <c r="EXY2482" s="65"/>
      <c r="EXZ2482" s="61"/>
      <c r="EYA2482" s="55"/>
      <c r="EYB2482" s="55"/>
      <c r="EYC2482" s="60"/>
      <c r="EYD2482" s="60"/>
      <c r="EYE2482" s="60"/>
      <c r="EYF2482" s="60"/>
      <c r="EYG2482" s="65"/>
      <c r="EYH2482" s="61"/>
      <c r="EYI2482" s="55"/>
      <c r="EYJ2482" s="55"/>
      <c r="EYK2482" s="60"/>
      <c r="EYL2482" s="60"/>
      <c r="EYM2482" s="60"/>
      <c r="EYN2482" s="60"/>
      <c r="EYO2482" s="65"/>
      <c r="EYP2482" s="61"/>
      <c r="EYQ2482" s="55"/>
      <c r="EYR2482" s="55"/>
      <c r="EYS2482" s="60"/>
      <c r="EYT2482" s="60"/>
      <c r="EYU2482" s="60"/>
      <c r="EYV2482" s="60"/>
      <c r="EYW2482" s="65"/>
      <c r="EYX2482" s="61"/>
      <c r="EYY2482" s="55"/>
      <c r="EYZ2482" s="55"/>
      <c r="EZA2482" s="60"/>
      <c r="EZB2482" s="60"/>
      <c r="EZC2482" s="60"/>
      <c r="EZD2482" s="60"/>
      <c r="EZE2482" s="65"/>
      <c r="EZF2482" s="61"/>
      <c r="EZG2482" s="55"/>
      <c r="EZH2482" s="55"/>
      <c r="EZI2482" s="60"/>
      <c r="EZJ2482" s="60"/>
      <c r="EZK2482" s="60"/>
      <c r="EZL2482" s="60"/>
      <c r="EZM2482" s="65"/>
      <c r="EZN2482" s="61"/>
      <c r="EZO2482" s="55"/>
      <c r="EZP2482" s="55"/>
      <c r="EZQ2482" s="60"/>
      <c r="EZR2482" s="60"/>
      <c r="EZS2482" s="60"/>
      <c r="EZT2482" s="60"/>
      <c r="EZU2482" s="65"/>
      <c r="EZV2482" s="61"/>
      <c r="EZW2482" s="55"/>
      <c r="EZX2482" s="55"/>
      <c r="EZY2482" s="60"/>
      <c r="EZZ2482" s="60"/>
      <c r="FAA2482" s="60"/>
      <c r="FAB2482" s="60"/>
      <c r="FAC2482" s="65"/>
      <c r="FAD2482" s="61"/>
      <c r="FAE2482" s="55"/>
      <c r="FAF2482" s="55"/>
      <c r="FAG2482" s="60"/>
      <c r="FAH2482" s="60"/>
      <c r="FAI2482" s="60"/>
      <c r="FAJ2482" s="60"/>
      <c r="FAK2482" s="65"/>
      <c r="FAL2482" s="61"/>
      <c r="FAM2482" s="55"/>
      <c r="FAN2482" s="55"/>
      <c r="FAO2482" s="60"/>
      <c r="FAP2482" s="60"/>
      <c r="FAQ2482" s="60"/>
      <c r="FAR2482" s="60"/>
      <c r="FAS2482" s="65"/>
      <c r="FAT2482" s="61"/>
      <c r="FAU2482" s="55"/>
      <c r="FAV2482" s="55"/>
      <c r="FAW2482" s="60"/>
      <c r="FAX2482" s="60"/>
      <c r="FAY2482" s="60"/>
      <c r="FAZ2482" s="60"/>
      <c r="FBA2482" s="65"/>
      <c r="FBB2482" s="61"/>
      <c r="FBC2482" s="55"/>
      <c r="FBD2482" s="55"/>
      <c r="FBE2482" s="60"/>
      <c r="FBF2482" s="60"/>
      <c r="FBG2482" s="60"/>
      <c r="FBH2482" s="60"/>
      <c r="FBI2482" s="65"/>
      <c r="FBJ2482" s="61"/>
      <c r="FBK2482" s="55"/>
      <c r="FBL2482" s="55"/>
      <c r="FBM2482" s="60"/>
      <c r="FBN2482" s="60"/>
      <c r="FBO2482" s="60"/>
      <c r="FBP2482" s="60"/>
      <c r="FBQ2482" s="65"/>
      <c r="FBR2482" s="61"/>
      <c r="FBS2482" s="55"/>
      <c r="FBT2482" s="55"/>
      <c r="FBU2482" s="60"/>
      <c r="FBV2482" s="60"/>
      <c r="FBW2482" s="60"/>
      <c r="FBX2482" s="60"/>
      <c r="FBY2482" s="65"/>
      <c r="FBZ2482" s="61"/>
      <c r="FCA2482" s="55"/>
      <c r="FCB2482" s="55"/>
      <c r="FCC2482" s="60"/>
      <c r="FCD2482" s="60"/>
      <c r="FCE2482" s="60"/>
      <c r="FCF2482" s="60"/>
      <c r="FCG2482" s="65"/>
      <c r="FCH2482" s="61"/>
      <c r="FCI2482" s="55"/>
      <c r="FCJ2482" s="55"/>
      <c r="FCK2482" s="60"/>
      <c r="FCL2482" s="60"/>
      <c r="FCM2482" s="60"/>
      <c r="FCN2482" s="60"/>
      <c r="FCO2482" s="65"/>
      <c r="FCP2482" s="61"/>
      <c r="FCQ2482" s="55"/>
      <c r="FCR2482" s="55"/>
      <c r="FCS2482" s="60"/>
      <c r="FCT2482" s="60"/>
      <c r="FCU2482" s="60"/>
      <c r="FCV2482" s="60"/>
      <c r="FCW2482" s="65"/>
      <c r="FCX2482" s="61"/>
      <c r="FCY2482" s="55"/>
      <c r="FCZ2482" s="55"/>
      <c r="FDA2482" s="60"/>
      <c r="FDB2482" s="60"/>
      <c r="FDC2482" s="60"/>
      <c r="FDD2482" s="60"/>
      <c r="FDE2482" s="65"/>
      <c r="FDF2482" s="61"/>
      <c r="FDG2482" s="55"/>
      <c r="FDH2482" s="55"/>
      <c r="FDI2482" s="60"/>
      <c r="FDJ2482" s="60"/>
      <c r="FDK2482" s="60"/>
      <c r="FDL2482" s="60"/>
      <c r="FDM2482" s="65"/>
      <c r="FDN2482" s="61"/>
      <c r="FDO2482" s="55"/>
      <c r="FDP2482" s="55"/>
      <c r="FDQ2482" s="60"/>
      <c r="FDR2482" s="60"/>
      <c r="FDS2482" s="60"/>
      <c r="FDT2482" s="60"/>
      <c r="FDU2482" s="65"/>
      <c r="FDV2482" s="61"/>
      <c r="FDW2482" s="55"/>
      <c r="FDX2482" s="55"/>
      <c r="FDY2482" s="60"/>
      <c r="FDZ2482" s="60"/>
      <c r="FEA2482" s="60"/>
      <c r="FEB2482" s="60"/>
      <c r="FEC2482" s="65"/>
      <c r="FED2482" s="61"/>
      <c r="FEE2482" s="55"/>
      <c r="FEF2482" s="55"/>
      <c r="FEG2482" s="60"/>
      <c r="FEH2482" s="60"/>
      <c r="FEI2482" s="60"/>
      <c r="FEJ2482" s="60"/>
      <c r="FEK2482" s="65"/>
      <c r="FEL2482" s="61"/>
      <c r="FEM2482" s="55"/>
      <c r="FEN2482" s="55"/>
      <c r="FEO2482" s="60"/>
      <c r="FEP2482" s="60"/>
      <c r="FEQ2482" s="60"/>
      <c r="FER2482" s="60"/>
      <c r="FES2482" s="65"/>
      <c r="FET2482" s="61"/>
      <c r="FEU2482" s="55"/>
      <c r="FEV2482" s="55"/>
      <c r="FEW2482" s="60"/>
      <c r="FEX2482" s="60"/>
      <c r="FEY2482" s="60"/>
      <c r="FEZ2482" s="60"/>
      <c r="FFA2482" s="65"/>
      <c r="FFB2482" s="61"/>
      <c r="FFC2482" s="55"/>
      <c r="FFD2482" s="55"/>
      <c r="FFE2482" s="60"/>
      <c r="FFF2482" s="60"/>
      <c r="FFG2482" s="60"/>
      <c r="FFH2482" s="60"/>
      <c r="FFI2482" s="65"/>
      <c r="FFJ2482" s="61"/>
      <c r="FFK2482" s="55"/>
      <c r="FFL2482" s="55"/>
      <c r="FFM2482" s="60"/>
      <c r="FFN2482" s="60"/>
      <c r="FFO2482" s="60"/>
      <c r="FFP2482" s="60"/>
      <c r="FFQ2482" s="65"/>
      <c r="FFR2482" s="61"/>
      <c r="FFS2482" s="55"/>
      <c r="FFT2482" s="55"/>
      <c r="FFU2482" s="60"/>
      <c r="FFV2482" s="60"/>
      <c r="FFW2482" s="60"/>
      <c r="FFX2482" s="60"/>
      <c r="FFY2482" s="65"/>
      <c r="FFZ2482" s="61"/>
      <c r="FGA2482" s="55"/>
      <c r="FGB2482" s="55"/>
      <c r="FGC2482" s="60"/>
      <c r="FGD2482" s="60"/>
      <c r="FGE2482" s="60"/>
      <c r="FGF2482" s="60"/>
      <c r="FGG2482" s="65"/>
      <c r="FGH2482" s="61"/>
      <c r="FGI2482" s="55"/>
      <c r="FGJ2482" s="55"/>
      <c r="FGK2482" s="60"/>
      <c r="FGL2482" s="60"/>
      <c r="FGM2482" s="60"/>
      <c r="FGN2482" s="60"/>
      <c r="FGO2482" s="65"/>
      <c r="FGP2482" s="61"/>
      <c r="FGQ2482" s="55"/>
      <c r="FGR2482" s="55"/>
      <c r="FGS2482" s="60"/>
      <c r="FGT2482" s="60"/>
      <c r="FGU2482" s="60"/>
      <c r="FGV2482" s="60"/>
      <c r="FGW2482" s="65"/>
      <c r="FGX2482" s="61"/>
      <c r="FGY2482" s="55"/>
      <c r="FGZ2482" s="55"/>
      <c r="FHA2482" s="60"/>
      <c r="FHB2482" s="60"/>
      <c r="FHC2482" s="60"/>
      <c r="FHD2482" s="60"/>
      <c r="FHE2482" s="65"/>
      <c r="FHF2482" s="61"/>
      <c r="FHG2482" s="55"/>
      <c r="FHH2482" s="55"/>
      <c r="FHI2482" s="60"/>
      <c r="FHJ2482" s="60"/>
      <c r="FHK2482" s="60"/>
      <c r="FHL2482" s="60"/>
      <c r="FHM2482" s="65"/>
      <c r="FHN2482" s="61"/>
      <c r="FHO2482" s="55"/>
      <c r="FHP2482" s="55"/>
      <c r="FHQ2482" s="60"/>
      <c r="FHR2482" s="60"/>
      <c r="FHS2482" s="60"/>
      <c r="FHT2482" s="60"/>
      <c r="FHU2482" s="65"/>
      <c r="FHV2482" s="61"/>
      <c r="FHW2482" s="55"/>
      <c r="FHX2482" s="55"/>
      <c r="FHY2482" s="60"/>
      <c r="FHZ2482" s="60"/>
      <c r="FIA2482" s="60"/>
      <c r="FIB2482" s="60"/>
      <c r="FIC2482" s="65"/>
      <c r="FID2482" s="61"/>
      <c r="FIE2482" s="55"/>
      <c r="FIF2482" s="55"/>
      <c r="FIG2482" s="60"/>
      <c r="FIH2482" s="60"/>
      <c r="FII2482" s="60"/>
      <c r="FIJ2482" s="60"/>
      <c r="FIK2482" s="65"/>
      <c r="FIL2482" s="61"/>
      <c r="FIM2482" s="55"/>
      <c r="FIN2482" s="55"/>
      <c r="FIO2482" s="60"/>
      <c r="FIP2482" s="60"/>
      <c r="FIQ2482" s="60"/>
      <c r="FIR2482" s="60"/>
      <c r="FIS2482" s="65"/>
      <c r="FIT2482" s="61"/>
      <c r="FIU2482" s="55"/>
      <c r="FIV2482" s="55"/>
      <c r="FIW2482" s="60"/>
      <c r="FIX2482" s="60"/>
      <c r="FIY2482" s="60"/>
      <c r="FIZ2482" s="60"/>
      <c r="FJA2482" s="65"/>
      <c r="FJB2482" s="61"/>
      <c r="FJC2482" s="55"/>
      <c r="FJD2482" s="55"/>
      <c r="FJE2482" s="60"/>
      <c r="FJF2482" s="60"/>
      <c r="FJG2482" s="60"/>
      <c r="FJH2482" s="60"/>
      <c r="FJI2482" s="65"/>
      <c r="FJJ2482" s="61"/>
      <c r="FJK2482" s="55"/>
      <c r="FJL2482" s="55"/>
      <c r="FJM2482" s="60"/>
      <c r="FJN2482" s="60"/>
      <c r="FJO2482" s="60"/>
      <c r="FJP2482" s="60"/>
      <c r="FJQ2482" s="65"/>
      <c r="FJR2482" s="61"/>
      <c r="FJS2482" s="55"/>
      <c r="FJT2482" s="55"/>
      <c r="FJU2482" s="60"/>
      <c r="FJV2482" s="60"/>
      <c r="FJW2482" s="60"/>
      <c r="FJX2482" s="60"/>
      <c r="FJY2482" s="65"/>
      <c r="FJZ2482" s="61"/>
      <c r="FKA2482" s="55"/>
      <c r="FKB2482" s="55"/>
      <c r="FKC2482" s="60"/>
      <c r="FKD2482" s="60"/>
      <c r="FKE2482" s="60"/>
      <c r="FKF2482" s="60"/>
      <c r="FKG2482" s="65"/>
      <c r="FKH2482" s="61"/>
      <c r="FKI2482" s="55"/>
      <c r="FKJ2482" s="55"/>
      <c r="FKK2482" s="60"/>
      <c r="FKL2482" s="60"/>
      <c r="FKM2482" s="60"/>
      <c r="FKN2482" s="60"/>
      <c r="FKO2482" s="65"/>
      <c r="FKP2482" s="61"/>
      <c r="FKQ2482" s="55"/>
      <c r="FKR2482" s="55"/>
      <c r="FKS2482" s="60"/>
      <c r="FKT2482" s="60"/>
      <c r="FKU2482" s="60"/>
      <c r="FKV2482" s="60"/>
      <c r="FKW2482" s="65"/>
      <c r="FKX2482" s="61"/>
      <c r="FKY2482" s="55"/>
      <c r="FKZ2482" s="55"/>
      <c r="FLA2482" s="60"/>
      <c r="FLB2482" s="60"/>
      <c r="FLC2482" s="60"/>
      <c r="FLD2482" s="60"/>
      <c r="FLE2482" s="65"/>
      <c r="FLF2482" s="61"/>
      <c r="FLG2482" s="55"/>
      <c r="FLH2482" s="55"/>
      <c r="FLI2482" s="60"/>
      <c r="FLJ2482" s="60"/>
      <c r="FLK2482" s="60"/>
      <c r="FLL2482" s="60"/>
      <c r="FLM2482" s="65"/>
      <c r="FLN2482" s="61"/>
      <c r="FLO2482" s="55"/>
      <c r="FLP2482" s="55"/>
      <c r="FLQ2482" s="60"/>
      <c r="FLR2482" s="60"/>
      <c r="FLS2482" s="60"/>
      <c r="FLT2482" s="60"/>
      <c r="FLU2482" s="65"/>
      <c r="FLV2482" s="61"/>
      <c r="FLW2482" s="55"/>
      <c r="FLX2482" s="55"/>
      <c r="FLY2482" s="60"/>
      <c r="FLZ2482" s="60"/>
      <c r="FMA2482" s="60"/>
      <c r="FMB2482" s="60"/>
      <c r="FMC2482" s="65"/>
      <c r="FMD2482" s="61"/>
      <c r="FME2482" s="55"/>
      <c r="FMF2482" s="55"/>
      <c r="FMG2482" s="60"/>
      <c r="FMH2482" s="60"/>
      <c r="FMI2482" s="60"/>
      <c r="FMJ2482" s="60"/>
      <c r="FMK2482" s="65"/>
      <c r="FML2482" s="61"/>
      <c r="FMM2482" s="55"/>
      <c r="FMN2482" s="55"/>
      <c r="FMO2482" s="60"/>
      <c r="FMP2482" s="60"/>
      <c r="FMQ2482" s="60"/>
      <c r="FMR2482" s="60"/>
      <c r="FMS2482" s="65"/>
      <c r="FMT2482" s="61"/>
      <c r="FMU2482" s="55"/>
      <c r="FMV2482" s="55"/>
      <c r="FMW2482" s="60"/>
      <c r="FMX2482" s="60"/>
      <c r="FMY2482" s="60"/>
      <c r="FMZ2482" s="60"/>
      <c r="FNA2482" s="65"/>
      <c r="FNB2482" s="61"/>
      <c r="FNC2482" s="55"/>
      <c r="FND2482" s="55"/>
      <c r="FNE2482" s="60"/>
      <c r="FNF2482" s="60"/>
      <c r="FNG2482" s="60"/>
      <c r="FNH2482" s="60"/>
      <c r="FNI2482" s="65"/>
      <c r="FNJ2482" s="61"/>
      <c r="FNK2482" s="55"/>
      <c r="FNL2482" s="55"/>
      <c r="FNM2482" s="60"/>
      <c r="FNN2482" s="60"/>
      <c r="FNO2482" s="60"/>
      <c r="FNP2482" s="60"/>
      <c r="FNQ2482" s="65"/>
      <c r="FNR2482" s="61"/>
      <c r="FNS2482" s="55"/>
      <c r="FNT2482" s="55"/>
      <c r="FNU2482" s="60"/>
      <c r="FNV2482" s="60"/>
      <c r="FNW2482" s="60"/>
      <c r="FNX2482" s="60"/>
      <c r="FNY2482" s="65"/>
      <c r="FNZ2482" s="61"/>
      <c r="FOA2482" s="55"/>
      <c r="FOB2482" s="55"/>
      <c r="FOC2482" s="60"/>
      <c r="FOD2482" s="60"/>
      <c r="FOE2482" s="60"/>
      <c r="FOF2482" s="60"/>
      <c r="FOG2482" s="65"/>
      <c r="FOH2482" s="61"/>
      <c r="FOI2482" s="55"/>
      <c r="FOJ2482" s="55"/>
      <c r="FOK2482" s="60"/>
      <c r="FOL2482" s="60"/>
      <c r="FOM2482" s="60"/>
      <c r="FON2482" s="60"/>
      <c r="FOO2482" s="65"/>
      <c r="FOP2482" s="61"/>
      <c r="FOQ2482" s="55"/>
      <c r="FOR2482" s="55"/>
      <c r="FOS2482" s="60"/>
      <c r="FOT2482" s="60"/>
      <c r="FOU2482" s="60"/>
      <c r="FOV2482" s="60"/>
      <c r="FOW2482" s="65"/>
      <c r="FOX2482" s="61"/>
      <c r="FOY2482" s="55"/>
      <c r="FOZ2482" s="55"/>
      <c r="FPA2482" s="60"/>
      <c r="FPB2482" s="60"/>
      <c r="FPC2482" s="60"/>
      <c r="FPD2482" s="60"/>
      <c r="FPE2482" s="65"/>
      <c r="FPF2482" s="61"/>
      <c r="FPG2482" s="55"/>
      <c r="FPH2482" s="55"/>
      <c r="FPI2482" s="60"/>
      <c r="FPJ2482" s="60"/>
      <c r="FPK2482" s="60"/>
      <c r="FPL2482" s="60"/>
      <c r="FPM2482" s="65"/>
      <c r="FPN2482" s="61"/>
      <c r="FPO2482" s="55"/>
      <c r="FPP2482" s="55"/>
      <c r="FPQ2482" s="60"/>
      <c r="FPR2482" s="60"/>
      <c r="FPS2482" s="60"/>
      <c r="FPT2482" s="60"/>
      <c r="FPU2482" s="65"/>
      <c r="FPV2482" s="61"/>
      <c r="FPW2482" s="55"/>
      <c r="FPX2482" s="55"/>
      <c r="FPY2482" s="60"/>
      <c r="FPZ2482" s="60"/>
      <c r="FQA2482" s="60"/>
      <c r="FQB2482" s="60"/>
      <c r="FQC2482" s="65"/>
      <c r="FQD2482" s="61"/>
      <c r="FQE2482" s="55"/>
      <c r="FQF2482" s="55"/>
      <c r="FQG2482" s="60"/>
      <c r="FQH2482" s="60"/>
      <c r="FQI2482" s="60"/>
      <c r="FQJ2482" s="60"/>
      <c r="FQK2482" s="65"/>
      <c r="FQL2482" s="61"/>
      <c r="FQM2482" s="55"/>
      <c r="FQN2482" s="55"/>
      <c r="FQO2482" s="60"/>
      <c r="FQP2482" s="60"/>
      <c r="FQQ2482" s="60"/>
      <c r="FQR2482" s="60"/>
      <c r="FQS2482" s="65"/>
      <c r="FQT2482" s="61"/>
      <c r="FQU2482" s="55"/>
      <c r="FQV2482" s="55"/>
      <c r="FQW2482" s="60"/>
      <c r="FQX2482" s="60"/>
      <c r="FQY2482" s="60"/>
      <c r="FQZ2482" s="60"/>
      <c r="FRA2482" s="65"/>
      <c r="FRB2482" s="61"/>
      <c r="FRC2482" s="55"/>
      <c r="FRD2482" s="55"/>
      <c r="FRE2482" s="60"/>
      <c r="FRF2482" s="60"/>
      <c r="FRG2482" s="60"/>
      <c r="FRH2482" s="60"/>
      <c r="FRI2482" s="65"/>
      <c r="FRJ2482" s="61"/>
      <c r="FRK2482" s="55"/>
      <c r="FRL2482" s="55"/>
      <c r="FRM2482" s="60"/>
      <c r="FRN2482" s="60"/>
      <c r="FRO2482" s="60"/>
      <c r="FRP2482" s="60"/>
      <c r="FRQ2482" s="65"/>
      <c r="FRR2482" s="61"/>
      <c r="FRS2482" s="55"/>
      <c r="FRT2482" s="55"/>
      <c r="FRU2482" s="60"/>
      <c r="FRV2482" s="60"/>
      <c r="FRW2482" s="60"/>
      <c r="FRX2482" s="60"/>
      <c r="FRY2482" s="65"/>
      <c r="FRZ2482" s="61"/>
      <c r="FSA2482" s="55"/>
      <c r="FSB2482" s="55"/>
      <c r="FSC2482" s="60"/>
      <c r="FSD2482" s="60"/>
      <c r="FSE2482" s="60"/>
      <c r="FSF2482" s="60"/>
      <c r="FSG2482" s="65"/>
      <c r="FSH2482" s="61"/>
      <c r="FSI2482" s="55"/>
      <c r="FSJ2482" s="55"/>
      <c r="FSK2482" s="60"/>
      <c r="FSL2482" s="60"/>
      <c r="FSM2482" s="60"/>
      <c r="FSN2482" s="60"/>
      <c r="FSO2482" s="65"/>
      <c r="FSP2482" s="61"/>
      <c r="FSQ2482" s="55"/>
      <c r="FSR2482" s="55"/>
      <c r="FSS2482" s="60"/>
      <c r="FST2482" s="60"/>
      <c r="FSU2482" s="60"/>
      <c r="FSV2482" s="60"/>
      <c r="FSW2482" s="65"/>
      <c r="FSX2482" s="61"/>
      <c r="FSY2482" s="55"/>
      <c r="FSZ2482" s="55"/>
      <c r="FTA2482" s="60"/>
      <c r="FTB2482" s="60"/>
      <c r="FTC2482" s="60"/>
      <c r="FTD2482" s="60"/>
      <c r="FTE2482" s="65"/>
      <c r="FTF2482" s="61"/>
      <c r="FTG2482" s="55"/>
      <c r="FTH2482" s="55"/>
      <c r="FTI2482" s="60"/>
      <c r="FTJ2482" s="60"/>
      <c r="FTK2482" s="60"/>
      <c r="FTL2482" s="60"/>
      <c r="FTM2482" s="65"/>
      <c r="FTN2482" s="61"/>
      <c r="FTO2482" s="55"/>
      <c r="FTP2482" s="55"/>
      <c r="FTQ2482" s="60"/>
      <c r="FTR2482" s="60"/>
      <c r="FTS2482" s="60"/>
      <c r="FTT2482" s="60"/>
      <c r="FTU2482" s="65"/>
      <c r="FTV2482" s="61"/>
      <c r="FTW2482" s="55"/>
      <c r="FTX2482" s="55"/>
      <c r="FTY2482" s="60"/>
      <c r="FTZ2482" s="60"/>
      <c r="FUA2482" s="60"/>
      <c r="FUB2482" s="60"/>
      <c r="FUC2482" s="65"/>
      <c r="FUD2482" s="61"/>
      <c r="FUE2482" s="55"/>
      <c r="FUF2482" s="55"/>
      <c r="FUG2482" s="60"/>
      <c r="FUH2482" s="60"/>
      <c r="FUI2482" s="60"/>
      <c r="FUJ2482" s="60"/>
      <c r="FUK2482" s="65"/>
      <c r="FUL2482" s="61"/>
      <c r="FUM2482" s="55"/>
      <c r="FUN2482" s="55"/>
      <c r="FUO2482" s="60"/>
      <c r="FUP2482" s="60"/>
      <c r="FUQ2482" s="60"/>
      <c r="FUR2482" s="60"/>
      <c r="FUS2482" s="65"/>
      <c r="FUT2482" s="61"/>
      <c r="FUU2482" s="55"/>
      <c r="FUV2482" s="55"/>
      <c r="FUW2482" s="60"/>
      <c r="FUX2482" s="60"/>
      <c r="FUY2482" s="60"/>
      <c r="FUZ2482" s="60"/>
      <c r="FVA2482" s="65"/>
      <c r="FVB2482" s="61"/>
      <c r="FVC2482" s="55"/>
      <c r="FVD2482" s="55"/>
      <c r="FVE2482" s="60"/>
      <c r="FVF2482" s="60"/>
      <c r="FVG2482" s="60"/>
      <c r="FVH2482" s="60"/>
      <c r="FVI2482" s="65"/>
      <c r="FVJ2482" s="61"/>
      <c r="FVK2482" s="55"/>
      <c r="FVL2482" s="55"/>
      <c r="FVM2482" s="60"/>
      <c r="FVN2482" s="60"/>
      <c r="FVO2482" s="60"/>
      <c r="FVP2482" s="60"/>
      <c r="FVQ2482" s="65"/>
      <c r="FVR2482" s="61"/>
      <c r="FVS2482" s="55"/>
      <c r="FVT2482" s="55"/>
      <c r="FVU2482" s="60"/>
      <c r="FVV2482" s="60"/>
      <c r="FVW2482" s="60"/>
      <c r="FVX2482" s="60"/>
      <c r="FVY2482" s="65"/>
      <c r="FVZ2482" s="61"/>
      <c r="FWA2482" s="55"/>
      <c r="FWB2482" s="55"/>
      <c r="FWC2482" s="60"/>
      <c r="FWD2482" s="60"/>
      <c r="FWE2482" s="60"/>
      <c r="FWF2482" s="60"/>
      <c r="FWG2482" s="65"/>
      <c r="FWH2482" s="61"/>
      <c r="FWI2482" s="55"/>
      <c r="FWJ2482" s="55"/>
      <c r="FWK2482" s="60"/>
      <c r="FWL2482" s="60"/>
      <c r="FWM2482" s="60"/>
      <c r="FWN2482" s="60"/>
      <c r="FWO2482" s="65"/>
      <c r="FWP2482" s="61"/>
      <c r="FWQ2482" s="55"/>
      <c r="FWR2482" s="55"/>
      <c r="FWS2482" s="60"/>
      <c r="FWT2482" s="60"/>
      <c r="FWU2482" s="60"/>
      <c r="FWV2482" s="60"/>
      <c r="FWW2482" s="65"/>
      <c r="FWX2482" s="61"/>
      <c r="FWY2482" s="55"/>
      <c r="FWZ2482" s="55"/>
      <c r="FXA2482" s="60"/>
      <c r="FXB2482" s="60"/>
      <c r="FXC2482" s="60"/>
      <c r="FXD2482" s="60"/>
      <c r="FXE2482" s="65"/>
      <c r="FXF2482" s="61"/>
      <c r="FXG2482" s="55"/>
      <c r="FXH2482" s="55"/>
      <c r="FXI2482" s="60"/>
      <c r="FXJ2482" s="60"/>
      <c r="FXK2482" s="60"/>
      <c r="FXL2482" s="60"/>
      <c r="FXM2482" s="65"/>
      <c r="FXN2482" s="61"/>
      <c r="FXO2482" s="55"/>
      <c r="FXP2482" s="55"/>
      <c r="FXQ2482" s="60"/>
      <c r="FXR2482" s="60"/>
      <c r="FXS2482" s="60"/>
      <c r="FXT2482" s="60"/>
      <c r="FXU2482" s="65"/>
      <c r="FXV2482" s="61"/>
      <c r="FXW2482" s="55"/>
      <c r="FXX2482" s="55"/>
      <c r="FXY2482" s="60"/>
      <c r="FXZ2482" s="60"/>
      <c r="FYA2482" s="60"/>
      <c r="FYB2482" s="60"/>
      <c r="FYC2482" s="65"/>
      <c r="FYD2482" s="61"/>
      <c r="FYE2482" s="55"/>
      <c r="FYF2482" s="55"/>
      <c r="FYG2482" s="60"/>
      <c r="FYH2482" s="60"/>
      <c r="FYI2482" s="60"/>
      <c r="FYJ2482" s="60"/>
      <c r="FYK2482" s="65"/>
      <c r="FYL2482" s="61"/>
      <c r="FYM2482" s="55"/>
      <c r="FYN2482" s="55"/>
      <c r="FYO2482" s="60"/>
      <c r="FYP2482" s="60"/>
      <c r="FYQ2482" s="60"/>
      <c r="FYR2482" s="60"/>
      <c r="FYS2482" s="65"/>
      <c r="FYT2482" s="61"/>
      <c r="FYU2482" s="55"/>
      <c r="FYV2482" s="55"/>
      <c r="FYW2482" s="60"/>
      <c r="FYX2482" s="60"/>
      <c r="FYY2482" s="60"/>
      <c r="FYZ2482" s="60"/>
      <c r="FZA2482" s="65"/>
      <c r="FZB2482" s="61"/>
      <c r="FZC2482" s="55"/>
      <c r="FZD2482" s="55"/>
      <c r="FZE2482" s="60"/>
      <c r="FZF2482" s="60"/>
      <c r="FZG2482" s="60"/>
      <c r="FZH2482" s="60"/>
      <c r="FZI2482" s="65"/>
      <c r="FZJ2482" s="61"/>
      <c r="FZK2482" s="55"/>
      <c r="FZL2482" s="55"/>
      <c r="FZM2482" s="60"/>
      <c r="FZN2482" s="60"/>
      <c r="FZO2482" s="60"/>
      <c r="FZP2482" s="60"/>
      <c r="FZQ2482" s="65"/>
      <c r="FZR2482" s="61"/>
      <c r="FZS2482" s="55"/>
      <c r="FZT2482" s="55"/>
      <c r="FZU2482" s="60"/>
      <c r="FZV2482" s="60"/>
      <c r="FZW2482" s="60"/>
      <c r="FZX2482" s="60"/>
      <c r="FZY2482" s="65"/>
      <c r="FZZ2482" s="61"/>
      <c r="GAA2482" s="55"/>
      <c r="GAB2482" s="55"/>
      <c r="GAC2482" s="60"/>
      <c r="GAD2482" s="60"/>
      <c r="GAE2482" s="60"/>
      <c r="GAF2482" s="60"/>
      <c r="GAG2482" s="65"/>
      <c r="GAH2482" s="61"/>
      <c r="GAI2482" s="55"/>
      <c r="GAJ2482" s="55"/>
      <c r="GAK2482" s="60"/>
      <c r="GAL2482" s="60"/>
      <c r="GAM2482" s="60"/>
      <c r="GAN2482" s="60"/>
      <c r="GAO2482" s="65"/>
      <c r="GAP2482" s="61"/>
      <c r="GAQ2482" s="55"/>
      <c r="GAR2482" s="55"/>
      <c r="GAS2482" s="60"/>
      <c r="GAT2482" s="60"/>
      <c r="GAU2482" s="60"/>
      <c r="GAV2482" s="60"/>
      <c r="GAW2482" s="65"/>
      <c r="GAX2482" s="61"/>
      <c r="GAY2482" s="55"/>
      <c r="GAZ2482" s="55"/>
      <c r="GBA2482" s="60"/>
      <c r="GBB2482" s="60"/>
      <c r="GBC2482" s="60"/>
      <c r="GBD2482" s="60"/>
      <c r="GBE2482" s="65"/>
      <c r="GBF2482" s="61"/>
      <c r="GBG2482" s="55"/>
      <c r="GBH2482" s="55"/>
      <c r="GBI2482" s="60"/>
      <c r="GBJ2482" s="60"/>
      <c r="GBK2482" s="60"/>
      <c r="GBL2482" s="60"/>
      <c r="GBM2482" s="65"/>
      <c r="GBN2482" s="61"/>
      <c r="GBO2482" s="55"/>
      <c r="GBP2482" s="55"/>
      <c r="GBQ2482" s="60"/>
      <c r="GBR2482" s="60"/>
      <c r="GBS2482" s="60"/>
      <c r="GBT2482" s="60"/>
      <c r="GBU2482" s="65"/>
      <c r="GBV2482" s="61"/>
      <c r="GBW2482" s="55"/>
      <c r="GBX2482" s="55"/>
      <c r="GBY2482" s="60"/>
      <c r="GBZ2482" s="60"/>
      <c r="GCA2482" s="60"/>
      <c r="GCB2482" s="60"/>
      <c r="GCC2482" s="65"/>
      <c r="GCD2482" s="61"/>
      <c r="GCE2482" s="55"/>
      <c r="GCF2482" s="55"/>
      <c r="GCG2482" s="60"/>
      <c r="GCH2482" s="60"/>
      <c r="GCI2482" s="60"/>
      <c r="GCJ2482" s="60"/>
      <c r="GCK2482" s="65"/>
      <c r="GCL2482" s="61"/>
      <c r="GCM2482" s="55"/>
      <c r="GCN2482" s="55"/>
      <c r="GCO2482" s="60"/>
      <c r="GCP2482" s="60"/>
      <c r="GCQ2482" s="60"/>
      <c r="GCR2482" s="60"/>
      <c r="GCS2482" s="65"/>
      <c r="GCT2482" s="61"/>
      <c r="GCU2482" s="55"/>
      <c r="GCV2482" s="55"/>
      <c r="GCW2482" s="60"/>
      <c r="GCX2482" s="60"/>
      <c r="GCY2482" s="60"/>
      <c r="GCZ2482" s="60"/>
      <c r="GDA2482" s="65"/>
      <c r="GDB2482" s="61"/>
      <c r="GDC2482" s="55"/>
      <c r="GDD2482" s="55"/>
      <c r="GDE2482" s="60"/>
      <c r="GDF2482" s="60"/>
      <c r="GDG2482" s="60"/>
      <c r="GDH2482" s="60"/>
      <c r="GDI2482" s="65"/>
      <c r="GDJ2482" s="61"/>
      <c r="GDK2482" s="55"/>
      <c r="GDL2482" s="55"/>
      <c r="GDM2482" s="60"/>
      <c r="GDN2482" s="60"/>
      <c r="GDO2482" s="60"/>
      <c r="GDP2482" s="60"/>
      <c r="GDQ2482" s="65"/>
      <c r="GDR2482" s="61"/>
      <c r="GDS2482" s="55"/>
      <c r="GDT2482" s="55"/>
      <c r="GDU2482" s="60"/>
      <c r="GDV2482" s="60"/>
      <c r="GDW2482" s="60"/>
      <c r="GDX2482" s="60"/>
      <c r="GDY2482" s="65"/>
      <c r="GDZ2482" s="61"/>
      <c r="GEA2482" s="55"/>
      <c r="GEB2482" s="55"/>
      <c r="GEC2482" s="60"/>
      <c r="GED2482" s="60"/>
      <c r="GEE2482" s="60"/>
      <c r="GEF2482" s="60"/>
      <c r="GEG2482" s="65"/>
      <c r="GEH2482" s="61"/>
      <c r="GEI2482" s="55"/>
      <c r="GEJ2482" s="55"/>
      <c r="GEK2482" s="60"/>
      <c r="GEL2482" s="60"/>
      <c r="GEM2482" s="60"/>
      <c r="GEN2482" s="60"/>
      <c r="GEO2482" s="65"/>
      <c r="GEP2482" s="61"/>
      <c r="GEQ2482" s="55"/>
      <c r="GER2482" s="55"/>
      <c r="GES2482" s="60"/>
      <c r="GET2482" s="60"/>
      <c r="GEU2482" s="60"/>
      <c r="GEV2482" s="60"/>
      <c r="GEW2482" s="65"/>
      <c r="GEX2482" s="61"/>
      <c r="GEY2482" s="55"/>
      <c r="GEZ2482" s="55"/>
      <c r="GFA2482" s="60"/>
      <c r="GFB2482" s="60"/>
      <c r="GFC2482" s="60"/>
      <c r="GFD2482" s="60"/>
      <c r="GFE2482" s="65"/>
      <c r="GFF2482" s="61"/>
      <c r="GFG2482" s="55"/>
      <c r="GFH2482" s="55"/>
      <c r="GFI2482" s="60"/>
      <c r="GFJ2482" s="60"/>
      <c r="GFK2482" s="60"/>
      <c r="GFL2482" s="60"/>
      <c r="GFM2482" s="65"/>
      <c r="GFN2482" s="61"/>
      <c r="GFO2482" s="55"/>
      <c r="GFP2482" s="55"/>
      <c r="GFQ2482" s="60"/>
      <c r="GFR2482" s="60"/>
      <c r="GFS2482" s="60"/>
      <c r="GFT2482" s="60"/>
      <c r="GFU2482" s="65"/>
      <c r="GFV2482" s="61"/>
      <c r="GFW2482" s="55"/>
      <c r="GFX2482" s="55"/>
      <c r="GFY2482" s="60"/>
      <c r="GFZ2482" s="60"/>
      <c r="GGA2482" s="60"/>
      <c r="GGB2482" s="60"/>
      <c r="GGC2482" s="65"/>
      <c r="GGD2482" s="61"/>
      <c r="GGE2482" s="55"/>
      <c r="GGF2482" s="55"/>
      <c r="GGG2482" s="60"/>
      <c r="GGH2482" s="60"/>
      <c r="GGI2482" s="60"/>
      <c r="GGJ2482" s="60"/>
      <c r="GGK2482" s="65"/>
      <c r="GGL2482" s="61"/>
      <c r="GGM2482" s="55"/>
      <c r="GGN2482" s="55"/>
      <c r="GGO2482" s="60"/>
      <c r="GGP2482" s="60"/>
      <c r="GGQ2482" s="60"/>
      <c r="GGR2482" s="60"/>
      <c r="GGS2482" s="65"/>
      <c r="GGT2482" s="61"/>
      <c r="GGU2482" s="55"/>
      <c r="GGV2482" s="55"/>
      <c r="GGW2482" s="60"/>
      <c r="GGX2482" s="60"/>
      <c r="GGY2482" s="60"/>
      <c r="GGZ2482" s="60"/>
      <c r="GHA2482" s="65"/>
      <c r="GHB2482" s="61"/>
      <c r="GHC2482" s="55"/>
      <c r="GHD2482" s="55"/>
      <c r="GHE2482" s="60"/>
      <c r="GHF2482" s="60"/>
      <c r="GHG2482" s="60"/>
      <c r="GHH2482" s="60"/>
      <c r="GHI2482" s="65"/>
      <c r="GHJ2482" s="61"/>
      <c r="GHK2482" s="55"/>
      <c r="GHL2482" s="55"/>
      <c r="GHM2482" s="60"/>
      <c r="GHN2482" s="60"/>
      <c r="GHO2482" s="60"/>
      <c r="GHP2482" s="60"/>
      <c r="GHQ2482" s="65"/>
      <c r="GHR2482" s="61"/>
      <c r="GHS2482" s="55"/>
      <c r="GHT2482" s="55"/>
      <c r="GHU2482" s="60"/>
      <c r="GHV2482" s="60"/>
      <c r="GHW2482" s="60"/>
      <c r="GHX2482" s="60"/>
      <c r="GHY2482" s="65"/>
      <c r="GHZ2482" s="61"/>
      <c r="GIA2482" s="55"/>
      <c r="GIB2482" s="55"/>
      <c r="GIC2482" s="60"/>
      <c r="GID2482" s="60"/>
      <c r="GIE2482" s="60"/>
      <c r="GIF2482" s="60"/>
      <c r="GIG2482" s="65"/>
      <c r="GIH2482" s="61"/>
      <c r="GII2482" s="55"/>
      <c r="GIJ2482" s="55"/>
      <c r="GIK2482" s="60"/>
      <c r="GIL2482" s="60"/>
      <c r="GIM2482" s="60"/>
      <c r="GIN2482" s="60"/>
      <c r="GIO2482" s="65"/>
      <c r="GIP2482" s="61"/>
      <c r="GIQ2482" s="55"/>
      <c r="GIR2482" s="55"/>
      <c r="GIS2482" s="60"/>
      <c r="GIT2482" s="60"/>
      <c r="GIU2482" s="60"/>
      <c r="GIV2482" s="60"/>
      <c r="GIW2482" s="65"/>
      <c r="GIX2482" s="61"/>
      <c r="GIY2482" s="55"/>
      <c r="GIZ2482" s="55"/>
      <c r="GJA2482" s="60"/>
      <c r="GJB2482" s="60"/>
      <c r="GJC2482" s="60"/>
      <c r="GJD2482" s="60"/>
      <c r="GJE2482" s="65"/>
      <c r="GJF2482" s="61"/>
      <c r="GJG2482" s="55"/>
      <c r="GJH2482" s="55"/>
      <c r="GJI2482" s="60"/>
      <c r="GJJ2482" s="60"/>
      <c r="GJK2482" s="60"/>
      <c r="GJL2482" s="60"/>
      <c r="GJM2482" s="65"/>
      <c r="GJN2482" s="61"/>
      <c r="GJO2482" s="55"/>
      <c r="GJP2482" s="55"/>
      <c r="GJQ2482" s="60"/>
      <c r="GJR2482" s="60"/>
      <c r="GJS2482" s="60"/>
      <c r="GJT2482" s="60"/>
      <c r="GJU2482" s="65"/>
      <c r="GJV2482" s="61"/>
      <c r="GJW2482" s="55"/>
      <c r="GJX2482" s="55"/>
      <c r="GJY2482" s="60"/>
      <c r="GJZ2482" s="60"/>
      <c r="GKA2482" s="60"/>
      <c r="GKB2482" s="60"/>
      <c r="GKC2482" s="65"/>
      <c r="GKD2482" s="61"/>
      <c r="GKE2482" s="55"/>
      <c r="GKF2482" s="55"/>
      <c r="GKG2482" s="60"/>
      <c r="GKH2482" s="60"/>
      <c r="GKI2482" s="60"/>
      <c r="GKJ2482" s="60"/>
      <c r="GKK2482" s="65"/>
      <c r="GKL2482" s="61"/>
      <c r="GKM2482" s="55"/>
      <c r="GKN2482" s="55"/>
      <c r="GKO2482" s="60"/>
      <c r="GKP2482" s="60"/>
      <c r="GKQ2482" s="60"/>
      <c r="GKR2482" s="60"/>
      <c r="GKS2482" s="65"/>
      <c r="GKT2482" s="61"/>
      <c r="GKU2482" s="55"/>
      <c r="GKV2482" s="55"/>
      <c r="GKW2482" s="60"/>
      <c r="GKX2482" s="60"/>
      <c r="GKY2482" s="60"/>
      <c r="GKZ2482" s="60"/>
      <c r="GLA2482" s="65"/>
      <c r="GLB2482" s="61"/>
      <c r="GLC2482" s="55"/>
      <c r="GLD2482" s="55"/>
      <c r="GLE2482" s="60"/>
      <c r="GLF2482" s="60"/>
      <c r="GLG2482" s="60"/>
      <c r="GLH2482" s="60"/>
      <c r="GLI2482" s="65"/>
      <c r="GLJ2482" s="61"/>
      <c r="GLK2482" s="55"/>
      <c r="GLL2482" s="55"/>
      <c r="GLM2482" s="60"/>
      <c r="GLN2482" s="60"/>
      <c r="GLO2482" s="60"/>
      <c r="GLP2482" s="60"/>
      <c r="GLQ2482" s="65"/>
      <c r="GLR2482" s="61"/>
      <c r="GLS2482" s="55"/>
      <c r="GLT2482" s="55"/>
      <c r="GLU2482" s="60"/>
      <c r="GLV2482" s="60"/>
      <c r="GLW2482" s="60"/>
      <c r="GLX2482" s="60"/>
      <c r="GLY2482" s="65"/>
      <c r="GLZ2482" s="61"/>
      <c r="GMA2482" s="55"/>
      <c r="GMB2482" s="55"/>
      <c r="GMC2482" s="60"/>
      <c r="GMD2482" s="60"/>
      <c r="GME2482" s="60"/>
      <c r="GMF2482" s="60"/>
      <c r="GMG2482" s="65"/>
      <c r="GMH2482" s="61"/>
      <c r="GMI2482" s="55"/>
      <c r="GMJ2482" s="55"/>
      <c r="GMK2482" s="60"/>
      <c r="GML2482" s="60"/>
      <c r="GMM2482" s="60"/>
      <c r="GMN2482" s="60"/>
      <c r="GMO2482" s="65"/>
      <c r="GMP2482" s="61"/>
      <c r="GMQ2482" s="55"/>
      <c r="GMR2482" s="55"/>
      <c r="GMS2482" s="60"/>
      <c r="GMT2482" s="60"/>
      <c r="GMU2482" s="60"/>
      <c r="GMV2482" s="60"/>
      <c r="GMW2482" s="65"/>
      <c r="GMX2482" s="61"/>
      <c r="GMY2482" s="55"/>
      <c r="GMZ2482" s="55"/>
      <c r="GNA2482" s="60"/>
      <c r="GNB2482" s="60"/>
      <c r="GNC2482" s="60"/>
      <c r="GND2482" s="60"/>
      <c r="GNE2482" s="65"/>
      <c r="GNF2482" s="61"/>
      <c r="GNG2482" s="55"/>
      <c r="GNH2482" s="55"/>
      <c r="GNI2482" s="60"/>
      <c r="GNJ2482" s="60"/>
      <c r="GNK2482" s="60"/>
      <c r="GNL2482" s="60"/>
      <c r="GNM2482" s="65"/>
      <c r="GNN2482" s="61"/>
      <c r="GNO2482" s="55"/>
      <c r="GNP2482" s="55"/>
      <c r="GNQ2482" s="60"/>
      <c r="GNR2482" s="60"/>
      <c r="GNS2482" s="60"/>
      <c r="GNT2482" s="60"/>
      <c r="GNU2482" s="65"/>
      <c r="GNV2482" s="61"/>
      <c r="GNW2482" s="55"/>
      <c r="GNX2482" s="55"/>
      <c r="GNY2482" s="60"/>
      <c r="GNZ2482" s="60"/>
      <c r="GOA2482" s="60"/>
      <c r="GOB2482" s="60"/>
      <c r="GOC2482" s="65"/>
      <c r="GOD2482" s="61"/>
      <c r="GOE2482" s="55"/>
      <c r="GOF2482" s="55"/>
      <c r="GOG2482" s="60"/>
      <c r="GOH2482" s="60"/>
      <c r="GOI2482" s="60"/>
      <c r="GOJ2482" s="60"/>
      <c r="GOK2482" s="65"/>
      <c r="GOL2482" s="61"/>
      <c r="GOM2482" s="55"/>
      <c r="GON2482" s="55"/>
      <c r="GOO2482" s="60"/>
      <c r="GOP2482" s="60"/>
      <c r="GOQ2482" s="60"/>
      <c r="GOR2482" s="60"/>
      <c r="GOS2482" s="65"/>
      <c r="GOT2482" s="61"/>
      <c r="GOU2482" s="55"/>
      <c r="GOV2482" s="55"/>
      <c r="GOW2482" s="60"/>
      <c r="GOX2482" s="60"/>
      <c r="GOY2482" s="60"/>
      <c r="GOZ2482" s="60"/>
      <c r="GPA2482" s="65"/>
      <c r="GPB2482" s="61"/>
      <c r="GPC2482" s="55"/>
      <c r="GPD2482" s="55"/>
      <c r="GPE2482" s="60"/>
      <c r="GPF2482" s="60"/>
      <c r="GPG2482" s="60"/>
      <c r="GPH2482" s="60"/>
      <c r="GPI2482" s="65"/>
      <c r="GPJ2482" s="61"/>
      <c r="GPK2482" s="55"/>
      <c r="GPL2482" s="55"/>
      <c r="GPM2482" s="60"/>
      <c r="GPN2482" s="60"/>
      <c r="GPO2482" s="60"/>
      <c r="GPP2482" s="60"/>
      <c r="GPQ2482" s="65"/>
      <c r="GPR2482" s="61"/>
      <c r="GPS2482" s="55"/>
      <c r="GPT2482" s="55"/>
      <c r="GPU2482" s="60"/>
      <c r="GPV2482" s="60"/>
      <c r="GPW2482" s="60"/>
      <c r="GPX2482" s="60"/>
      <c r="GPY2482" s="65"/>
      <c r="GPZ2482" s="61"/>
      <c r="GQA2482" s="55"/>
      <c r="GQB2482" s="55"/>
      <c r="GQC2482" s="60"/>
      <c r="GQD2482" s="60"/>
      <c r="GQE2482" s="60"/>
      <c r="GQF2482" s="60"/>
      <c r="GQG2482" s="65"/>
      <c r="GQH2482" s="61"/>
      <c r="GQI2482" s="55"/>
      <c r="GQJ2482" s="55"/>
      <c r="GQK2482" s="60"/>
      <c r="GQL2482" s="60"/>
      <c r="GQM2482" s="60"/>
      <c r="GQN2482" s="60"/>
      <c r="GQO2482" s="65"/>
      <c r="GQP2482" s="61"/>
      <c r="GQQ2482" s="55"/>
      <c r="GQR2482" s="55"/>
      <c r="GQS2482" s="60"/>
      <c r="GQT2482" s="60"/>
      <c r="GQU2482" s="60"/>
      <c r="GQV2482" s="60"/>
      <c r="GQW2482" s="65"/>
      <c r="GQX2482" s="61"/>
      <c r="GQY2482" s="55"/>
      <c r="GQZ2482" s="55"/>
      <c r="GRA2482" s="60"/>
      <c r="GRB2482" s="60"/>
      <c r="GRC2482" s="60"/>
      <c r="GRD2482" s="60"/>
      <c r="GRE2482" s="65"/>
      <c r="GRF2482" s="61"/>
      <c r="GRG2482" s="55"/>
      <c r="GRH2482" s="55"/>
      <c r="GRI2482" s="60"/>
      <c r="GRJ2482" s="60"/>
      <c r="GRK2482" s="60"/>
      <c r="GRL2482" s="60"/>
      <c r="GRM2482" s="65"/>
      <c r="GRN2482" s="61"/>
      <c r="GRO2482" s="55"/>
      <c r="GRP2482" s="55"/>
      <c r="GRQ2482" s="60"/>
      <c r="GRR2482" s="60"/>
      <c r="GRS2482" s="60"/>
      <c r="GRT2482" s="60"/>
      <c r="GRU2482" s="65"/>
      <c r="GRV2482" s="61"/>
      <c r="GRW2482" s="55"/>
      <c r="GRX2482" s="55"/>
      <c r="GRY2482" s="60"/>
      <c r="GRZ2482" s="60"/>
      <c r="GSA2482" s="60"/>
      <c r="GSB2482" s="60"/>
      <c r="GSC2482" s="65"/>
      <c r="GSD2482" s="61"/>
      <c r="GSE2482" s="55"/>
      <c r="GSF2482" s="55"/>
      <c r="GSG2482" s="60"/>
      <c r="GSH2482" s="60"/>
      <c r="GSI2482" s="60"/>
      <c r="GSJ2482" s="60"/>
      <c r="GSK2482" s="65"/>
      <c r="GSL2482" s="61"/>
      <c r="GSM2482" s="55"/>
      <c r="GSN2482" s="55"/>
      <c r="GSO2482" s="60"/>
      <c r="GSP2482" s="60"/>
      <c r="GSQ2482" s="60"/>
      <c r="GSR2482" s="60"/>
      <c r="GSS2482" s="65"/>
      <c r="GST2482" s="61"/>
      <c r="GSU2482" s="55"/>
      <c r="GSV2482" s="55"/>
      <c r="GSW2482" s="60"/>
      <c r="GSX2482" s="60"/>
      <c r="GSY2482" s="60"/>
      <c r="GSZ2482" s="60"/>
      <c r="GTA2482" s="65"/>
      <c r="GTB2482" s="61"/>
      <c r="GTC2482" s="55"/>
      <c r="GTD2482" s="55"/>
      <c r="GTE2482" s="60"/>
      <c r="GTF2482" s="60"/>
      <c r="GTG2482" s="60"/>
      <c r="GTH2482" s="60"/>
      <c r="GTI2482" s="65"/>
      <c r="GTJ2482" s="61"/>
      <c r="GTK2482" s="55"/>
      <c r="GTL2482" s="55"/>
      <c r="GTM2482" s="60"/>
      <c r="GTN2482" s="60"/>
      <c r="GTO2482" s="60"/>
      <c r="GTP2482" s="60"/>
      <c r="GTQ2482" s="65"/>
      <c r="GTR2482" s="61"/>
      <c r="GTS2482" s="55"/>
      <c r="GTT2482" s="55"/>
      <c r="GTU2482" s="60"/>
      <c r="GTV2482" s="60"/>
      <c r="GTW2482" s="60"/>
      <c r="GTX2482" s="60"/>
      <c r="GTY2482" s="65"/>
      <c r="GTZ2482" s="61"/>
      <c r="GUA2482" s="55"/>
      <c r="GUB2482" s="55"/>
      <c r="GUC2482" s="60"/>
      <c r="GUD2482" s="60"/>
      <c r="GUE2482" s="60"/>
      <c r="GUF2482" s="60"/>
      <c r="GUG2482" s="65"/>
      <c r="GUH2482" s="61"/>
      <c r="GUI2482" s="55"/>
      <c r="GUJ2482" s="55"/>
      <c r="GUK2482" s="60"/>
      <c r="GUL2482" s="60"/>
      <c r="GUM2482" s="60"/>
      <c r="GUN2482" s="60"/>
      <c r="GUO2482" s="65"/>
      <c r="GUP2482" s="61"/>
      <c r="GUQ2482" s="55"/>
      <c r="GUR2482" s="55"/>
      <c r="GUS2482" s="60"/>
      <c r="GUT2482" s="60"/>
      <c r="GUU2482" s="60"/>
      <c r="GUV2482" s="60"/>
      <c r="GUW2482" s="65"/>
      <c r="GUX2482" s="61"/>
      <c r="GUY2482" s="55"/>
      <c r="GUZ2482" s="55"/>
      <c r="GVA2482" s="60"/>
      <c r="GVB2482" s="60"/>
      <c r="GVC2482" s="60"/>
      <c r="GVD2482" s="60"/>
      <c r="GVE2482" s="65"/>
      <c r="GVF2482" s="61"/>
      <c r="GVG2482" s="55"/>
      <c r="GVH2482" s="55"/>
      <c r="GVI2482" s="60"/>
      <c r="GVJ2482" s="60"/>
      <c r="GVK2482" s="60"/>
      <c r="GVL2482" s="60"/>
      <c r="GVM2482" s="65"/>
      <c r="GVN2482" s="61"/>
      <c r="GVO2482" s="55"/>
      <c r="GVP2482" s="55"/>
      <c r="GVQ2482" s="60"/>
      <c r="GVR2482" s="60"/>
      <c r="GVS2482" s="60"/>
      <c r="GVT2482" s="60"/>
      <c r="GVU2482" s="65"/>
      <c r="GVV2482" s="61"/>
      <c r="GVW2482" s="55"/>
      <c r="GVX2482" s="55"/>
      <c r="GVY2482" s="60"/>
      <c r="GVZ2482" s="60"/>
      <c r="GWA2482" s="60"/>
      <c r="GWB2482" s="60"/>
      <c r="GWC2482" s="65"/>
      <c r="GWD2482" s="61"/>
      <c r="GWE2482" s="55"/>
      <c r="GWF2482" s="55"/>
      <c r="GWG2482" s="60"/>
      <c r="GWH2482" s="60"/>
      <c r="GWI2482" s="60"/>
      <c r="GWJ2482" s="60"/>
      <c r="GWK2482" s="65"/>
      <c r="GWL2482" s="61"/>
      <c r="GWM2482" s="55"/>
      <c r="GWN2482" s="55"/>
      <c r="GWO2482" s="60"/>
      <c r="GWP2482" s="60"/>
      <c r="GWQ2482" s="60"/>
      <c r="GWR2482" s="60"/>
      <c r="GWS2482" s="65"/>
      <c r="GWT2482" s="61"/>
      <c r="GWU2482" s="55"/>
      <c r="GWV2482" s="55"/>
      <c r="GWW2482" s="60"/>
      <c r="GWX2482" s="60"/>
      <c r="GWY2482" s="60"/>
      <c r="GWZ2482" s="60"/>
      <c r="GXA2482" s="65"/>
      <c r="GXB2482" s="61"/>
      <c r="GXC2482" s="55"/>
      <c r="GXD2482" s="55"/>
      <c r="GXE2482" s="60"/>
      <c r="GXF2482" s="60"/>
      <c r="GXG2482" s="60"/>
      <c r="GXH2482" s="60"/>
      <c r="GXI2482" s="65"/>
      <c r="GXJ2482" s="61"/>
      <c r="GXK2482" s="55"/>
      <c r="GXL2482" s="55"/>
      <c r="GXM2482" s="60"/>
      <c r="GXN2482" s="60"/>
      <c r="GXO2482" s="60"/>
      <c r="GXP2482" s="60"/>
      <c r="GXQ2482" s="65"/>
      <c r="GXR2482" s="61"/>
      <c r="GXS2482" s="55"/>
      <c r="GXT2482" s="55"/>
      <c r="GXU2482" s="60"/>
      <c r="GXV2482" s="60"/>
      <c r="GXW2482" s="60"/>
      <c r="GXX2482" s="60"/>
      <c r="GXY2482" s="65"/>
      <c r="GXZ2482" s="61"/>
      <c r="GYA2482" s="55"/>
      <c r="GYB2482" s="55"/>
      <c r="GYC2482" s="60"/>
      <c r="GYD2482" s="60"/>
      <c r="GYE2482" s="60"/>
      <c r="GYF2482" s="60"/>
      <c r="GYG2482" s="65"/>
      <c r="GYH2482" s="61"/>
      <c r="GYI2482" s="55"/>
      <c r="GYJ2482" s="55"/>
      <c r="GYK2482" s="60"/>
      <c r="GYL2482" s="60"/>
      <c r="GYM2482" s="60"/>
      <c r="GYN2482" s="60"/>
      <c r="GYO2482" s="65"/>
      <c r="GYP2482" s="61"/>
      <c r="GYQ2482" s="55"/>
      <c r="GYR2482" s="55"/>
      <c r="GYS2482" s="60"/>
      <c r="GYT2482" s="60"/>
      <c r="GYU2482" s="60"/>
      <c r="GYV2482" s="60"/>
      <c r="GYW2482" s="65"/>
      <c r="GYX2482" s="61"/>
      <c r="GYY2482" s="55"/>
      <c r="GYZ2482" s="55"/>
      <c r="GZA2482" s="60"/>
      <c r="GZB2482" s="60"/>
      <c r="GZC2482" s="60"/>
      <c r="GZD2482" s="60"/>
      <c r="GZE2482" s="65"/>
      <c r="GZF2482" s="61"/>
      <c r="GZG2482" s="55"/>
      <c r="GZH2482" s="55"/>
      <c r="GZI2482" s="60"/>
      <c r="GZJ2482" s="60"/>
      <c r="GZK2482" s="60"/>
      <c r="GZL2482" s="60"/>
      <c r="GZM2482" s="65"/>
      <c r="GZN2482" s="61"/>
      <c r="GZO2482" s="55"/>
      <c r="GZP2482" s="55"/>
      <c r="GZQ2482" s="60"/>
      <c r="GZR2482" s="60"/>
      <c r="GZS2482" s="60"/>
      <c r="GZT2482" s="60"/>
      <c r="GZU2482" s="65"/>
      <c r="GZV2482" s="61"/>
      <c r="GZW2482" s="55"/>
      <c r="GZX2482" s="55"/>
      <c r="GZY2482" s="60"/>
      <c r="GZZ2482" s="60"/>
      <c r="HAA2482" s="60"/>
      <c r="HAB2482" s="60"/>
      <c r="HAC2482" s="65"/>
      <c r="HAD2482" s="61"/>
      <c r="HAE2482" s="55"/>
      <c r="HAF2482" s="55"/>
      <c r="HAG2482" s="60"/>
      <c r="HAH2482" s="60"/>
      <c r="HAI2482" s="60"/>
      <c r="HAJ2482" s="60"/>
      <c r="HAK2482" s="65"/>
      <c r="HAL2482" s="61"/>
      <c r="HAM2482" s="55"/>
      <c r="HAN2482" s="55"/>
      <c r="HAO2482" s="60"/>
      <c r="HAP2482" s="60"/>
      <c r="HAQ2482" s="60"/>
      <c r="HAR2482" s="60"/>
      <c r="HAS2482" s="65"/>
      <c r="HAT2482" s="61"/>
      <c r="HAU2482" s="55"/>
      <c r="HAV2482" s="55"/>
      <c r="HAW2482" s="60"/>
      <c r="HAX2482" s="60"/>
      <c r="HAY2482" s="60"/>
      <c r="HAZ2482" s="60"/>
      <c r="HBA2482" s="65"/>
      <c r="HBB2482" s="61"/>
      <c r="HBC2482" s="55"/>
      <c r="HBD2482" s="55"/>
      <c r="HBE2482" s="60"/>
      <c r="HBF2482" s="60"/>
      <c r="HBG2482" s="60"/>
      <c r="HBH2482" s="60"/>
      <c r="HBI2482" s="65"/>
      <c r="HBJ2482" s="61"/>
      <c r="HBK2482" s="55"/>
      <c r="HBL2482" s="55"/>
      <c r="HBM2482" s="60"/>
      <c r="HBN2482" s="60"/>
      <c r="HBO2482" s="60"/>
      <c r="HBP2482" s="60"/>
      <c r="HBQ2482" s="65"/>
      <c r="HBR2482" s="61"/>
      <c r="HBS2482" s="55"/>
      <c r="HBT2482" s="55"/>
      <c r="HBU2482" s="60"/>
      <c r="HBV2482" s="60"/>
      <c r="HBW2482" s="60"/>
      <c r="HBX2482" s="60"/>
      <c r="HBY2482" s="65"/>
      <c r="HBZ2482" s="61"/>
      <c r="HCA2482" s="55"/>
      <c r="HCB2482" s="55"/>
      <c r="HCC2482" s="60"/>
      <c r="HCD2482" s="60"/>
      <c r="HCE2482" s="60"/>
      <c r="HCF2482" s="60"/>
      <c r="HCG2482" s="65"/>
      <c r="HCH2482" s="61"/>
      <c r="HCI2482" s="55"/>
      <c r="HCJ2482" s="55"/>
      <c r="HCK2482" s="60"/>
      <c r="HCL2482" s="60"/>
      <c r="HCM2482" s="60"/>
      <c r="HCN2482" s="60"/>
      <c r="HCO2482" s="65"/>
      <c r="HCP2482" s="61"/>
      <c r="HCQ2482" s="55"/>
      <c r="HCR2482" s="55"/>
      <c r="HCS2482" s="60"/>
      <c r="HCT2482" s="60"/>
      <c r="HCU2482" s="60"/>
      <c r="HCV2482" s="60"/>
      <c r="HCW2482" s="65"/>
      <c r="HCX2482" s="61"/>
      <c r="HCY2482" s="55"/>
      <c r="HCZ2482" s="55"/>
      <c r="HDA2482" s="60"/>
      <c r="HDB2482" s="60"/>
      <c r="HDC2482" s="60"/>
      <c r="HDD2482" s="60"/>
      <c r="HDE2482" s="65"/>
      <c r="HDF2482" s="61"/>
      <c r="HDG2482" s="55"/>
      <c r="HDH2482" s="55"/>
      <c r="HDI2482" s="60"/>
      <c r="HDJ2482" s="60"/>
      <c r="HDK2482" s="60"/>
      <c r="HDL2482" s="60"/>
      <c r="HDM2482" s="65"/>
      <c r="HDN2482" s="61"/>
      <c r="HDO2482" s="55"/>
      <c r="HDP2482" s="55"/>
      <c r="HDQ2482" s="60"/>
      <c r="HDR2482" s="60"/>
      <c r="HDS2482" s="60"/>
      <c r="HDT2482" s="60"/>
      <c r="HDU2482" s="65"/>
      <c r="HDV2482" s="61"/>
      <c r="HDW2482" s="55"/>
      <c r="HDX2482" s="55"/>
      <c r="HDY2482" s="60"/>
      <c r="HDZ2482" s="60"/>
      <c r="HEA2482" s="60"/>
      <c r="HEB2482" s="60"/>
      <c r="HEC2482" s="65"/>
      <c r="HED2482" s="61"/>
      <c r="HEE2482" s="55"/>
      <c r="HEF2482" s="55"/>
      <c r="HEG2482" s="60"/>
      <c r="HEH2482" s="60"/>
      <c r="HEI2482" s="60"/>
      <c r="HEJ2482" s="60"/>
      <c r="HEK2482" s="65"/>
      <c r="HEL2482" s="61"/>
      <c r="HEM2482" s="55"/>
      <c r="HEN2482" s="55"/>
      <c r="HEO2482" s="60"/>
      <c r="HEP2482" s="60"/>
      <c r="HEQ2482" s="60"/>
      <c r="HER2482" s="60"/>
      <c r="HES2482" s="65"/>
      <c r="HET2482" s="61"/>
      <c r="HEU2482" s="55"/>
      <c r="HEV2482" s="55"/>
      <c r="HEW2482" s="60"/>
      <c r="HEX2482" s="60"/>
      <c r="HEY2482" s="60"/>
      <c r="HEZ2482" s="60"/>
      <c r="HFA2482" s="65"/>
      <c r="HFB2482" s="61"/>
      <c r="HFC2482" s="55"/>
      <c r="HFD2482" s="55"/>
      <c r="HFE2482" s="60"/>
      <c r="HFF2482" s="60"/>
      <c r="HFG2482" s="60"/>
      <c r="HFH2482" s="60"/>
      <c r="HFI2482" s="65"/>
      <c r="HFJ2482" s="61"/>
      <c r="HFK2482" s="55"/>
      <c r="HFL2482" s="55"/>
      <c r="HFM2482" s="60"/>
      <c r="HFN2482" s="60"/>
      <c r="HFO2482" s="60"/>
      <c r="HFP2482" s="60"/>
      <c r="HFQ2482" s="65"/>
      <c r="HFR2482" s="61"/>
      <c r="HFS2482" s="55"/>
      <c r="HFT2482" s="55"/>
      <c r="HFU2482" s="60"/>
      <c r="HFV2482" s="60"/>
      <c r="HFW2482" s="60"/>
      <c r="HFX2482" s="60"/>
      <c r="HFY2482" s="65"/>
      <c r="HFZ2482" s="61"/>
      <c r="HGA2482" s="55"/>
      <c r="HGB2482" s="55"/>
      <c r="HGC2482" s="60"/>
      <c r="HGD2482" s="60"/>
      <c r="HGE2482" s="60"/>
      <c r="HGF2482" s="60"/>
      <c r="HGG2482" s="65"/>
      <c r="HGH2482" s="61"/>
      <c r="HGI2482" s="55"/>
      <c r="HGJ2482" s="55"/>
      <c r="HGK2482" s="60"/>
      <c r="HGL2482" s="60"/>
      <c r="HGM2482" s="60"/>
      <c r="HGN2482" s="60"/>
      <c r="HGO2482" s="65"/>
      <c r="HGP2482" s="61"/>
      <c r="HGQ2482" s="55"/>
      <c r="HGR2482" s="55"/>
      <c r="HGS2482" s="60"/>
      <c r="HGT2482" s="60"/>
      <c r="HGU2482" s="60"/>
      <c r="HGV2482" s="60"/>
      <c r="HGW2482" s="65"/>
      <c r="HGX2482" s="61"/>
      <c r="HGY2482" s="55"/>
      <c r="HGZ2482" s="55"/>
      <c r="HHA2482" s="60"/>
      <c r="HHB2482" s="60"/>
      <c r="HHC2482" s="60"/>
      <c r="HHD2482" s="60"/>
      <c r="HHE2482" s="65"/>
      <c r="HHF2482" s="61"/>
      <c r="HHG2482" s="55"/>
      <c r="HHH2482" s="55"/>
      <c r="HHI2482" s="60"/>
      <c r="HHJ2482" s="60"/>
      <c r="HHK2482" s="60"/>
      <c r="HHL2482" s="60"/>
      <c r="HHM2482" s="65"/>
      <c r="HHN2482" s="61"/>
      <c r="HHO2482" s="55"/>
      <c r="HHP2482" s="55"/>
      <c r="HHQ2482" s="60"/>
      <c r="HHR2482" s="60"/>
      <c r="HHS2482" s="60"/>
      <c r="HHT2482" s="60"/>
      <c r="HHU2482" s="65"/>
      <c r="HHV2482" s="61"/>
      <c r="HHW2482" s="55"/>
      <c r="HHX2482" s="55"/>
      <c r="HHY2482" s="60"/>
      <c r="HHZ2482" s="60"/>
      <c r="HIA2482" s="60"/>
      <c r="HIB2482" s="60"/>
      <c r="HIC2482" s="65"/>
      <c r="HID2482" s="61"/>
      <c r="HIE2482" s="55"/>
      <c r="HIF2482" s="55"/>
      <c r="HIG2482" s="60"/>
      <c r="HIH2482" s="60"/>
      <c r="HII2482" s="60"/>
      <c r="HIJ2482" s="60"/>
      <c r="HIK2482" s="65"/>
      <c r="HIL2482" s="61"/>
      <c r="HIM2482" s="55"/>
      <c r="HIN2482" s="55"/>
      <c r="HIO2482" s="60"/>
      <c r="HIP2482" s="60"/>
      <c r="HIQ2482" s="60"/>
      <c r="HIR2482" s="60"/>
      <c r="HIS2482" s="65"/>
      <c r="HIT2482" s="61"/>
      <c r="HIU2482" s="55"/>
      <c r="HIV2482" s="55"/>
      <c r="HIW2482" s="60"/>
      <c r="HIX2482" s="60"/>
      <c r="HIY2482" s="60"/>
      <c r="HIZ2482" s="60"/>
      <c r="HJA2482" s="65"/>
      <c r="HJB2482" s="61"/>
      <c r="HJC2482" s="55"/>
      <c r="HJD2482" s="55"/>
      <c r="HJE2482" s="60"/>
      <c r="HJF2482" s="60"/>
      <c r="HJG2482" s="60"/>
      <c r="HJH2482" s="60"/>
      <c r="HJI2482" s="65"/>
      <c r="HJJ2482" s="61"/>
      <c r="HJK2482" s="55"/>
      <c r="HJL2482" s="55"/>
      <c r="HJM2482" s="60"/>
      <c r="HJN2482" s="60"/>
      <c r="HJO2482" s="60"/>
      <c r="HJP2482" s="60"/>
      <c r="HJQ2482" s="65"/>
      <c r="HJR2482" s="61"/>
      <c r="HJS2482" s="55"/>
      <c r="HJT2482" s="55"/>
      <c r="HJU2482" s="60"/>
      <c r="HJV2482" s="60"/>
      <c r="HJW2482" s="60"/>
      <c r="HJX2482" s="60"/>
      <c r="HJY2482" s="65"/>
      <c r="HJZ2482" s="61"/>
      <c r="HKA2482" s="55"/>
      <c r="HKB2482" s="55"/>
      <c r="HKC2482" s="60"/>
      <c r="HKD2482" s="60"/>
      <c r="HKE2482" s="60"/>
      <c r="HKF2482" s="60"/>
      <c r="HKG2482" s="65"/>
      <c r="HKH2482" s="61"/>
      <c r="HKI2482" s="55"/>
      <c r="HKJ2482" s="55"/>
      <c r="HKK2482" s="60"/>
      <c r="HKL2482" s="60"/>
      <c r="HKM2482" s="60"/>
      <c r="HKN2482" s="60"/>
      <c r="HKO2482" s="65"/>
      <c r="HKP2482" s="61"/>
      <c r="HKQ2482" s="55"/>
      <c r="HKR2482" s="55"/>
      <c r="HKS2482" s="60"/>
      <c r="HKT2482" s="60"/>
      <c r="HKU2482" s="60"/>
      <c r="HKV2482" s="60"/>
      <c r="HKW2482" s="65"/>
      <c r="HKX2482" s="61"/>
      <c r="HKY2482" s="55"/>
      <c r="HKZ2482" s="55"/>
      <c r="HLA2482" s="60"/>
      <c r="HLB2482" s="60"/>
      <c r="HLC2482" s="60"/>
      <c r="HLD2482" s="60"/>
      <c r="HLE2482" s="65"/>
      <c r="HLF2482" s="61"/>
      <c r="HLG2482" s="55"/>
      <c r="HLH2482" s="55"/>
      <c r="HLI2482" s="60"/>
      <c r="HLJ2482" s="60"/>
      <c r="HLK2482" s="60"/>
      <c r="HLL2482" s="60"/>
      <c r="HLM2482" s="65"/>
      <c r="HLN2482" s="61"/>
      <c r="HLO2482" s="55"/>
      <c r="HLP2482" s="55"/>
      <c r="HLQ2482" s="60"/>
      <c r="HLR2482" s="60"/>
      <c r="HLS2482" s="60"/>
      <c r="HLT2482" s="60"/>
      <c r="HLU2482" s="65"/>
      <c r="HLV2482" s="61"/>
      <c r="HLW2482" s="55"/>
      <c r="HLX2482" s="55"/>
      <c r="HLY2482" s="60"/>
      <c r="HLZ2482" s="60"/>
      <c r="HMA2482" s="60"/>
      <c r="HMB2482" s="60"/>
      <c r="HMC2482" s="65"/>
      <c r="HMD2482" s="61"/>
      <c r="HME2482" s="55"/>
      <c r="HMF2482" s="55"/>
      <c r="HMG2482" s="60"/>
      <c r="HMH2482" s="60"/>
      <c r="HMI2482" s="60"/>
      <c r="HMJ2482" s="60"/>
      <c r="HMK2482" s="65"/>
      <c r="HML2482" s="61"/>
      <c r="HMM2482" s="55"/>
      <c r="HMN2482" s="55"/>
      <c r="HMO2482" s="60"/>
      <c r="HMP2482" s="60"/>
      <c r="HMQ2482" s="60"/>
      <c r="HMR2482" s="60"/>
      <c r="HMS2482" s="65"/>
      <c r="HMT2482" s="61"/>
      <c r="HMU2482" s="55"/>
      <c r="HMV2482" s="55"/>
      <c r="HMW2482" s="60"/>
      <c r="HMX2482" s="60"/>
      <c r="HMY2482" s="60"/>
      <c r="HMZ2482" s="60"/>
      <c r="HNA2482" s="65"/>
      <c r="HNB2482" s="61"/>
      <c r="HNC2482" s="55"/>
      <c r="HND2482" s="55"/>
      <c r="HNE2482" s="60"/>
      <c r="HNF2482" s="60"/>
      <c r="HNG2482" s="60"/>
      <c r="HNH2482" s="60"/>
      <c r="HNI2482" s="65"/>
      <c r="HNJ2482" s="61"/>
      <c r="HNK2482" s="55"/>
      <c r="HNL2482" s="55"/>
      <c r="HNM2482" s="60"/>
      <c r="HNN2482" s="60"/>
      <c r="HNO2482" s="60"/>
      <c r="HNP2482" s="60"/>
      <c r="HNQ2482" s="65"/>
      <c r="HNR2482" s="61"/>
      <c r="HNS2482" s="55"/>
      <c r="HNT2482" s="55"/>
      <c r="HNU2482" s="60"/>
      <c r="HNV2482" s="60"/>
      <c r="HNW2482" s="60"/>
      <c r="HNX2482" s="60"/>
      <c r="HNY2482" s="65"/>
      <c r="HNZ2482" s="61"/>
      <c r="HOA2482" s="55"/>
      <c r="HOB2482" s="55"/>
      <c r="HOC2482" s="60"/>
      <c r="HOD2482" s="60"/>
      <c r="HOE2482" s="60"/>
      <c r="HOF2482" s="60"/>
      <c r="HOG2482" s="65"/>
      <c r="HOH2482" s="61"/>
      <c r="HOI2482" s="55"/>
      <c r="HOJ2482" s="55"/>
      <c r="HOK2482" s="60"/>
      <c r="HOL2482" s="60"/>
      <c r="HOM2482" s="60"/>
      <c r="HON2482" s="60"/>
      <c r="HOO2482" s="65"/>
      <c r="HOP2482" s="61"/>
      <c r="HOQ2482" s="55"/>
      <c r="HOR2482" s="55"/>
      <c r="HOS2482" s="60"/>
      <c r="HOT2482" s="60"/>
      <c r="HOU2482" s="60"/>
      <c r="HOV2482" s="60"/>
      <c r="HOW2482" s="65"/>
      <c r="HOX2482" s="61"/>
      <c r="HOY2482" s="55"/>
      <c r="HOZ2482" s="55"/>
      <c r="HPA2482" s="60"/>
      <c r="HPB2482" s="60"/>
      <c r="HPC2482" s="60"/>
      <c r="HPD2482" s="60"/>
      <c r="HPE2482" s="65"/>
      <c r="HPF2482" s="61"/>
      <c r="HPG2482" s="55"/>
      <c r="HPH2482" s="55"/>
      <c r="HPI2482" s="60"/>
      <c r="HPJ2482" s="60"/>
      <c r="HPK2482" s="60"/>
      <c r="HPL2482" s="60"/>
      <c r="HPM2482" s="65"/>
      <c r="HPN2482" s="61"/>
      <c r="HPO2482" s="55"/>
      <c r="HPP2482" s="55"/>
      <c r="HPQ2482" s="60"/>
      <c r="HPR2482" s="60"/>
      <c r="HPS2482" s="60"/>
      <c r="HPT2482" s="60"/>
      <c r="HPU2482" s="65"/>
      <c r="HPV2482" s="61"/>
      <c r="HPW2482" s="55"/>
      <c r="HPX2482" s="55"/>
      <c r="HPY2482" s="60"/>
      <c r="HPZ2482" s="60"/>
      <c r="HQA2482" s="60"/>
      <c r="HQB2482" s="60"/>
      <c r="HQC2482" s="65"/>
      <c r="HQD2482" s="61"/>
      <c r="HQE2482" s="55"/>
      <c r="HQF2482" s="55"/>
      <c r="HQG2482" s="60"/>
      <c r="HQH2482" s="60"/>
      <c r="HQI2482" s="60"/>
      <c r="HQJ2482" s="60"/>
      <c r="HQK2482" s="65"/>
      <c r="HQL2482" s="61"/>
      <c r="HQM2482" s="55"/>
      <c r="HQN2482" s="55"/>
      <c r="HQO2482" s="60"/>
      <c r="HQP2482" s="60"/>
      <c r="HQQ2482" s="60"/>
      <c r="HQR2482" s="60"/>
      <c r="HQS2482" s="65"/>
      <c r="HQT2482" s="61"/>
      <c r="HQU2482" s="55"/>
      <c r="HQV2482" s="55"/>
      <c r="HQW2482" s="60"/>
      <c r="HQX2482" s="60"/>
      <c r="HQY2482" s="60"/>
      <c r="HQZ2482" s="60"/>
      <c r="HRA2482" s="65"/>
      <c r="HRB2482" s="61"/>
      <c r="HRC2482" s="55"/>
      <c r="HRD2482" s="55"/>
      <c r="HRE2482" s="60"/>
      <c r="HRF2482" s="60"/>
      <c r="HRG2482" s="60"/>
      <c r="HRH2482" s="60"/>
      <c r="HRI2482" s="65"/>
      <c r="HRJ2482" s="61"/>
      <c r="HRK2482" s="55"/>
      <c r="HRL2482" s="55"/>
      <c r="HRM2482" s="60"/>
      <c r="HRN2482" s="60"/>
      <c r="HRO2482" s="60"/>
      <c r="HRP2482" s="60"/>
      <c r="HRQ2482" s="65"/>
      <c r="HRR2482" s="61"/>
      <c r="HRS2482" s="55"/>
      <c r="HRT2482" s="55"/>
      <c r="HRU2482" s="60"/>
      <c r="HRV2482" s="60"/>
      <c r="HRW2482" s="60"/>
      <c r="HRX2482" s="60"/>
      <c r="HRY2482" s="65"/>
      <c r="HRZ2482" s="61"/>
      <c r="HSA2482" s="55"/>
      <c r="HSB2482" s="55"/>
      <c r="HSC2482" s="60"/>
      <c r="HSD2482" s="60"/>
      <c r="HSE2482" s="60"/>
      <c r="HSF2482" s="60"/>
      <c r="HSG2482" s="65"/>
      <c r="HSH2482" s="61"/>
      <c r="HSI2482" s="55"/>
      <c r="HSJ2482" s="55"/>
      <c r="HSK2482" s="60"/>
      <c r="HSL2482" s="60"/>
      <c r="HSM2482" s="60"/>
      <c r="HSN2482" s="60"/>
      <c r="HSO2482" s="65"/>
      <c r="HSP2482" s="61"/>
      <c r="HSQ2482" s="55"/>
      <c r="HSR2482" s="55"/>
      <c r="HSS2482" s="60"/>
      <c r="HST2482" s="60"/>
      <c r="HSU2482" s="60"/>
      <c r="HSV2482" s="60"/>
      <c r="HSW2482" s="65"/>
      <c r="HSX2482" s="61"/>
      <c r="HSY2482" s="55"/>
      <c r="HSZ2482" s="55"/>
      <c r="HTA2482" s="60"/>
      <c r="HTB2482" s="60"/>
      <c r="HTC2482" s="60"/>
      <c r="HTD2482" s="60"/>
      <c r="HTE2482" s="65"/>
      <c r="HTF2482" s="61"/>
      <c r="HTG2482" s="55"/>
      <c r="HTH2482" s="55"/>
      <c r="HTI2482" s="60"/>
      <c r="HTJ2482" s="60"/>
      <c r="HTK2482" s="60"/>
      <c r="HTL2482" s="60"/>
      <c r="HTM2482" s="65"/>
      <c r="HTN2482" s="61"/>
      <c r="HTO2482" s="55"/>
      <c r="HTP2482" s="55"/>
      <c r="HTQ2482" s="60"/>
      <c r="HTR2482" s="60"/>
      <c r="HTS2482" s="60"/>
      <c r="HTT2482" s="60"/>
      <c r="HTU2482" s="65"/>
      <c r="HTV2482" s="61"/>
      <c r="HTW2482" s="55"/>
      <c r="HTX2482" s="55"/>
      <c r="HTY2482" s="60"/>
      <c r="HTZ2482" s="60"/>
      <c r="HUA2482" s="60"/>
      <c r="HUB2482" s="60"/>
      <c r="HUC2482" s="65"/>
      <c r="HUD2482" s="61"/>
      <c r="HUE2482" s="55"/>
      <c r="HUF2482" s="55"/>
      <c r="HUG2482" s="60"/>
      <c r="HUH2482" s="60"/>
      <c r="HUI2482" s="60"/>
      <c r="HUJ2482" s="60"/>
      <c r="HUK2482" s="65"/>
      <c r="HUL2482" s="61"/>
      <c r="HUM2482" s="55"/>
      <c r="HUN2482" s="55"/>
      <c r="HUO2482" s="60"/>
      <c r="HUP2482" s="60"/>
      <c r="HUQ2482" s="60"/>
      <c r="HUR2482" s="60"/>
      <c r="HUS2482" s="65"/>
      <c r="HUT2482" s="61"/>
      <c r="HUU2482" s="55"/>
      <c r="HUV2482" s="55"/>
      <c r="HUW2482" s="60"/>
      <c r="HUX2482" s="60"/>
      <c r="HUY2482" s="60"/>
      <c r="HUZ2482" s="60"/>
      <c r="HVA2482" s="65"/>
      <c r="HVB2482" s="61"/>
      <c r="HVC2482" s="55"/>
      <c r="HVD2482" s="55"/>
      <c r="HVE2482" s="60"/>
      <c r="HVF2482" s="60"/>
      <c r="HVG2482" s="60"/>
      <c r="HVH2482" s="60"/>
      <c r="HVI2482" s="65"/>
      <c r="HVJ2482" s="61"/>
      <c r="HVK2482" s="55"/>
      <c r="HVL2482" s="55"/>
      <c r="HVM2482" s="60"/>
      <c r="HVN2482" s="60"/>
      <c r="HVO2482" s="60"/>
      <c r="HVP2482" s="60"/>
      <c r="HVQ2482" s="65"/>
      <c r="HVR2482" s="61"/>
      <c r="HVS2482" s="55"/>
      <c r="HVT2482" s="55"/>
      <c r="HVU2482" s="60"/>
      <c r="HVV2482" s="60"/>
      <c r="HVW2482" s="60"/>
      <c r="HVX2482" s="60"/>
      <c r="HVY2482" s="65"/>
      <c r="HVZ2482" s="61"/>
      <c r="HWA2482" s="55"/>
      <c r="HWB2482" s="55"/>
      <c r="HWC2482" s="60"/>
      <c r="HWD2482" s="60"/>
      <c r="HWE2482" s="60"/>
      <c r="HWF2482" s="60"/>
      <c r="HWG2482" s="65"/>
      <c r="HWH2482" s="61"/>
      <c r="HWI2482" s="55"/>
      <c r="HWJ2482" s="55"/>
      <c r="HWK2482" s="60"/>
      <c r="HWL2482" s="60"/>
      <c r="HWM2482" s="60"/>
      <c r="HWN2482" s="60"/>
      <c r="HWO2482" s="65"/>
      <c r="HWP2482" s="61"/>
      <c r="HWQ2482" s="55"/>
      <c r="HWR2482" s="55"/>
      <c r="HWS2482" s="60"/>
      <c r="HWT2482" s="60"/>
      <c r="HWU2482" s="60"/>
      <c r="HWV2482" s="60"/>
      <c r="HWW2482" s="65"/>
      <c r="HWX2482" s="61"/>
      <c r="HWY2482" s="55"/>
      <c r="HWZ2482" s="55"/>
      <c r="HXA2482" s="60"/>
      <c r="HXB2482" s="60"/>
      <c r="HXC2482" s="60"/>
      <c r="HXD2482" s="60"/>
      <c r="HXE2482" s="65"/>
      <c r="HXF2482" s="61"/>
      <c r="HXG2482" s="55"/>
      <c r="HXH2482" s="55"/>
      <c r="HXI2482" s="60"/>
      <c r="HXJ2482" s="60"/>
      <c r="HXK2482" s="60"/>
      <c r="HXL2482" s="60"/>
      <c r="HXM2482" s="65"/>
      <c r="HXN2482" s="61"/>
      <c r="HXO2482" s="55"/>
      <c r="HXP2482" s="55"/>
      <c r="HXQ2482" s="60"/>
      <c r="HXR2482" s="60"/>
      <c r="HXS2482" s="60"/>
      <c r="HXT2482" s="60"/>
      <c r="HXU2482" s="65"/>
      <c r="HXV2482" s="61"/>
      <c r="HXW2482" s="55"/>
      <c r="HXX2482" s="55"/>
      <c r="HXY2482" s="60"/>
      <c r="HXZ2482" s="60"/>
      <c r="HYA2482" s="60"/>
      <c r="HYB2482" s="60"/>
      <c r="HYC2482" s="65"/>
      <c r="HYD2482" s="61"/>
      <c r="HYE2482" s="55"/>
      <c r="HYF2482" s="55"/>
      <c r="HYG2482" s="60"/>
      <c r="HYH2482" s="60"/>
      <c r="HYI2482" s="60"/>
      <c r="HYJ2482" s="60"/>
      <c r="HYK2482" s="65"/>
      <c r="HYL2482" s="61"/>
      <c r="HYM2482" s="55"/>
      <c r="HYN2482" s="55"/>
      <c r="HYO2482" s="60"/>
      <c r="HYP2482" s="60"/>
      <c r="HYQ2482" s="60"/>
      <c r="HYR2482" s="60"/>
      <c r="HYS2482" s="65"/>
      <c r="HYT2482" s="61"/>
      <c r="HYU2482" s="55"/>
      <c r="HYV2482" s="55"/>
      <c r="HYW2482" s="60"/>
      <c r="HYX2482" s="60"/>
      <c r="HYY2482" s="60"/>
      <c r="HYZ2482" s="60"/>
      <c r="HZA2482" s="65"/>
      <c r="HZB2482" s="61"/>
      <c r="HZC2482" s="55"/>
      <c r="HZD2482" s="55"/>
      <c r="HZE2482" s="60"/>
      <c r="HZF2482" s="60"/>
      <c r="HZG2482" s="60"/>
      <c r="HZH2482" s="60"/>
      <c r="HZI2482" s="65"/>
      <c r="HZJ2482" s="61"/>
      <c r="HZK2482" s="55"/>
      <c r="HZL2482" s="55"/>
      <c r="HZM2482" s="60"/>
      <c r="HZN2482" s="60"/>
      <c r="HZO2482" s="60"/>
      <c r="HZP2482" s="60"/>
      <c r="HZQ2482" s="65"/>
      <c r="HZR2482" s="61"/>
      <c r="HZS2482" s="55"/>
      <c r="HZT2482" s="55"/>
      <c r="HZU2482" s="60"/>
      <c r="HZV2482" s="60"/>
      <c r="HZW2482" s="60"/>
      <c r="HZX2482" s="60"/>
      <c r="HZY2482" s="65"/>
      <c r="HZZ2482" s="61"/>
      <c r="IAA2482" s="55"/>
      <c r="IAB2482" s="55"/>
      <c r="IAC2482" s="60"/>
      <c r="IAD2482" s="60"/>
      <c r="IAE2482" s="60"/>
      <c r="IAF2482" s="60"/>
      <c r="IAG2482" s="65"/>
      <c r="IAH2482" s="61"/>
      <c r="IAI2482" s="55"/>
      <c r="IAJ2482" s="55"/>
      <c r="IAK2482" s="60"/>
      <c r="IAL2482" s="60"/>
      <c r="IAM2482" s="60"/>
      <c r="IAN2482" s="60"/>
      <c r="IAO2482" s="65"/>
      <c r="IAP2482" s="61"/>
      <c r="IAQ2482" s="55"/>
      <c r="IAR2482" s="55"/>
      <c r="IAS2482" s="60"/>
      <c r="IAT2482" s="60"/>
      <c r="IAU2482" s="60"/>
      <c r="IAV2482" s="60"/>
      <c r="IAW2482" s="65"/>
      <c r="IAX2482" s="61"/>
      <c r="IAY2482" s="55"/>
      <c r="IAZ2482" s="55"/>
      <c r="IBA2482" s="60"/>
      <c r="IBB2482" s="60"/>
      <c r="IBC2482" s="60"/>
      <c r="IBD2482" s="60"/>
      <c r="IBE2482" s="65"/>
      <c r="IBF2482" s="61"/>
      <c r="IBG2482" s="55"/>
      <c r="IBH2482" s="55"/>
      <c r="IBI2482" s="60"/>
      <c r="IBJ2482" s="60"/>
      <c r="IBK2482" s="60"/>
      <c r="IBL2482" s="60"/>
      <c r="IBM2482" s="65"/>
      <c r="IBN2482" s="61"/>
      <c r="IBO2482" s="55"/>
      <c r="IBP2482" s="55"/>
      <c r="IBQ2482" s="60"/>
      <c r="IBR2482" s="60"/>
      <c r="IBS2482" s="60"/>
      <c r="IBT2482" s="60"/>
      <c r="IBU2482" s="65"/>
      <c r="IBV2482" s="61"/>
      <c r="IBW2482" s="55"/>
      <c r="IBX2482" s="55"/>
      <c r="IBY2482" s="60"/>
      <c r="IBZ2482" s="60"/>
      <c r="ICA2482" s="60"/>
      <c r="ICB2482" s="60"/>
      <c r="ICC2482" s="65"/>
      <c r="ICD2482" s="61"/>
      <c r="ICE2482" s="55"/>
      <c r="ICF2482" s="55"/>
      <c r="ICG2482" s="60"/>
      <c r="ICH2482" s="60"/>
      <c r="ICI2482" s="60"/>
      <c r="ICJ2482" s="60"/>
      <c r="ICK2482" s="65"/>
      <c r="ICL2482" s="61"/>
      <c r="ICM2482" s="55"/>
      <c r="ICN2482" s="55"/>
      <c r="ICO2482" s="60"/>
      <c r="ICP2482" s="60"/>
      <c r="ICQ2482" s="60"/>
      <c r="ICR2482" s="60"/>
      <c r="ICS2482" s="65"/>
      <c r="ICT2482" s="61"/>
      <c r="ICU2482" s="55"/>
      <c r="ICV2482" s="55"/>
      <c r="ICW2482" s="60"/>
      <c r="ICX2482" s="60"/>
      <c r="ICY2482" s="60"/>
      <c r="ICZ2482" s="60"/>
      <c r="IDA2482" s="65"/>
      <c r="IDB2482" s="61"/>
      <c r="IDC2482" s="55"/>
      <c r="IDD2482" s="55"/>
      <c r="IDE2482" s="60"/>
      <c r="IDF2482" s="60"/>
      <c r="IDG2482" s="60"/>
      <c r="IDH2482" s="60"/>
      <c r="IDI2482" s="65"/>
      <c r="IDJ2482" s="61"/>
      <c r="IDK2482" s="55"/>
      <c r="IDL2482" s="55"/>
      <c r="IDM2482" s="60"/>
      <c r="IDN2482" s="60"/>
      <c r="IDO2482" s="60"/>
      <c r="IDP2482" s="60"/>
      <c r="IDQ2482" s="65"/>
      <c r="IDR2482" s="61"/>
      <c r="IDS2482" s="55"/>
      <c r="IDT2482" s="55"/>
      <c r="IDU2482" s="60"/>
      <c r="IDV2482" s="60"/>
      <c r="IDW2482" s="60"/>
      <c r="IDX2482" s="60"/>
      <c r="IDY2482" s="65"/>
      <c r="IDZ2482" s="61"/>
      <c r="IEA2482" s="55"/>
      <c r="IEB2482" s="55"/>
      <c r="IEC2482" s="60"/>
      <c r="IED2482" s="60"/>
      <c r="IEE2482" s="60"/>
      <c r="IEF2482" s="60"/>
      <c r="IEG2482" s="65"/>
      <c r="IEH2482" s="61"/>
      <c r="IEI2482" s="55"/>
      <c r="IEJ2482" s="55"/>
      <c r="IEK2482" s="60"/>
      <c r="IEL2482" s="60"/>
      <c r="IEM2482" s="60"/>
      <c r="IEN2482" s="60"/>
      <c r="IEO2482" s="65"/>
      <c r="IEP2482" s="61"/>
      <c r="IEQ2482" s="55"/>
      <c r="IER2482" s="55"/>
      <c r="IES2482" s="60"/>
      <c r="IET2482" s="60"/>
      <c r="IEU2482" s="60"/>
      <c r="IEV2482" s="60"/>
      <c r="IEW2482" s="65"/>
      <c r="IEX2482" s="61"/>
      <c r="IEY2482" s="55"/>
      <c r="IEZ2482" s="55"/>
      <c r="IFA2482" s="60"/>
      <c r="IFB2482" s="60"/>
      <c r="IFC2482" s="60"/>
      <c r="IFD2482" s="60"/>
      <c r="IFE2482" s="65"/>
      <c r="IFF2482" s="61"/>
      <c r="IFG2482" s="55"/>
      <c r="IFH2482" s="55"/>
      <c r="IFI2482" s="60"/>
      <c r="IFJ2482" s="60"/>
      <c r="IFK2482" s="60"/>
      <c r="IFL2482" s="60"/>
      <c r="IFM2482" s="65"/>
      <c r="IFN2482" s="61"/>
      <c r="IFO2482" s="55"/>
      <c r="IFP2482" s="55"/>
      <c r="IFQ2482" s="60"/>
      <c r="IFR2482" s="60"/>
      <c r="IFS2482" s="60"/>
      <c r="IFT2482" s="60"/>
      <c r="IFU2482" s="65"/>
      <c r="IFV2482" s="61"/>
      <c r="IFW2482" s="55"/>
      <c r="IFX2482" s="55"/>
      <c r="IFY2482" s="60"/>
      <c r="IFZ2482" s="60"/>
      <c r="IGA2482" s="60"/>
      <c r="IGB2482" s="60"/>
      <c r="IGC2482" s="65"/>
      <c r="IGD2482" s="61"/>
      <c r="IGE2482" s="55"/>
      <c r="IGF2482" s="55"/>
      <c r="IGG2482" s="60"/>
      <c r="IGH2482" s="60"/>
      <c r="IGI2482" s="60"/>
      <c r="IGJ2482" s="60"/>
      <c r="IGK2482" s="65"/>
      <c r="IGL2482" s="61"/>
      <c r="IGM2482" s="55"/>
      <c r="IGN2482" s="55"/>
      <c r="IGO2482" s="60"/>
      <c r="IGP2482" s="60"/>
      <c r="IGQ2482" s="60"/>
      <c r="IGR2482" s="60"/>
      <c r="IGS2482" s="65"/>
      <c r="IGT2482" s="61"/>
      <c r="IGU2482" s="55"/>
      <c r="IGV2482" s="55"/>
      <c r="IGW2482" s="60"/>
      <c r="IGX2482" s="60"/>
      <c r="IGY2482" s="60"/>
      <c r="IGZ2482" s="60"/>
      <c r="IHA2482" s="65"/>
      <c r="IHB2482" s="61"/>
      <c r="IHC2482" s="55"/>
      <c r="IHD2482" s="55"/>
      <c r="IHE2482" s="60"/>
      <c r="IHF2482" s="60"/>
      <c r="IHG2482" s="60"/>
      <c r="IHH2482" s="60"/>
      <c r="IHI2482" s="65"/>
      <c r="IHJ2482" s="61"/>
      <c r="IHK2482" s="55"/>
      <c r="IHL2482" s="55"/>
      <c r="IHM2482" s="60"/>
      <c r="IHN2482" s="60"/>
      <c r="IHO2482" s="60"/>
      <c r="IHP2482" s="60"/>
      <c r="IHQ2482" s="65"/>
      <c r="IHR2482" s="61"/>
      <c r="IHS2482" s="55"/>
      <c r="IHT2482" s="55"/>
      <c r="IHU2482" s="60"/>
      <c r="IHV2482" s="60"/>
      <c r="IHW2482" s="60"/>
      <c r="IHX2482" s="60"/>
      <c r="IHY2482" s="65"/>
      <c r="IHZ2482" s="61"/>
      <c r="IIA2482" s="55"/>
      <c r="IIB2482" s="55"/>
      <c r="IIC2482" s="60"/>
      <c r="IID2482" s="60"/>
      <c r="IIE2482" s="60"/>
      <c r="IIF2482" s="60"/>
      <c r="IIG2482" s="65"/>
      <c r="IIH2482" s="61"/>
      <c r="III2482" s="55"/>
      <c r="IIJ2482" s="55"/>
      <c r="IIK2482" s="60"/>
      <c r="IIL2482" s="60"/>
      <c r="IIM2482" s="60"/>
      <c r="IIN2482" s="60"/>
      <c r="IIO2482" s="65"/>
      <c r="IIP2482" s="61"/>
      <c r="IIQ2482" s="55"/>
      <c r="IIR2482" s="55"/>
      <c r="IIS2482" s="60"/>
      <c r="IIT2482" s="60"/>
      <c r="IIU2482" s="60"/>
      <c r="IIV2482" s="60"/>
      <c r="IIW2482" s="65"/>
      <c r="IIX2482" s="61"/>
      <c r="IIY2482" s="55"/>
      <c r="IIZ2482" s="55"/>
      <c r="IJA2482" s="60"/>
      <c r="IJB2482" s="60"/>
      <c r="IJC2482" s="60"/>
      <c r="IJD2482" s="60"/>
      <c r="IJE2482" s="65"/>
      <c r="IJF2482" s="61"/>
      <c r="IJG2482" s="55"/>
      <c r="IJH2482" s="55"/>
      <c r="IJI2482" s="60"/>
      <c r="IJJ2482" s="60"/>
      <c r="IJK2482" s="60"/>
      <c r="IJL2482" s="60"/>
      <c r="IJM2482" s="65"/>
      <c r="IJN2482" s="61"/>
      <c r="IJO2482" s="55"/>
      <c r="IJP2482" s="55"/>
      <c r="IJQ2482" s="60"/>
      <c r="IJR2482" s="60"/>
      <c r="IJS2482" s="60"/>
      <c r="IJT2482" s="60"/>
      <c r="IJU2482" s="65"/>
      <c r="IJV2482" s="61"/>
      <c r="IJW2482" s="55"/>
      <c r="IJX2482" s="55"/>
      <c r="IJY2482" s="60"/>
      <c r="IJZ2482" s="60"/>
      <c r="IKA2482" s="60"/>
      <c r="IKB2482" s="60"/>
      <c r="IKC2482" s="65"/>
      <c r="IKD2482" s="61"/>
      <c r="IKE2482" s="55"/>
      <c r="IKF2482" s="55"/>
      <c r="IKG2482" s="60"/>
      <c r="IKH2482" s="60"/>
      <c r="IKI2482" s="60"/>
      <c r="IKJ2482" s="60"/>
      <c r="IKK2482" s="65"/>
      <c r="IKL2482" s="61"/>
      <c r="IKM2482" s="55"/>
      <c r="IKN2482" s="55"/>
      <c r="IKO2482" s="60"/>
      <c r="IKP2482" s="60"/>
      <c r="IKQ2482" s="60"/>
      <c r="IKR2482" s="60"/>
      <c r="IKS2482" s="65"/>
      <c r="IKT2482" s="61"/>
      <c r="IKU2482" s="55"/>
      <c r="IKV2482" s="55"/>
      <c r="IKW2482" s="60"/>
      <c r="IKX2482" s="60"/>
      <c r="IKY2482" s="60"/>
      <c r="IKZ2482" s="60"/>
      <c r="ILA2482" s="65"/>
      <c r="ILB2482" s="61"/>
      <c r="ILC2482" s="55"/>
      <c r="ILD2482" s="55"/>
      <c r="ILE2482" s="60"/>
      <c r="ILF2482" s="60"/>
      <c r="ILG2482" s="60"/>
      <c r="ILH2482" s="60"/>
      <c r="ILI2482" s="65"/>
      <c r="ILJ2482" s="61"/>
      <c r="ILK2482" s="55"/>
      <c r="ILL2482" s="55"/>
      <c r="ILM2482" s="60"/>
      <c r="ILN2482" s="60"/>
      <c r="ILO2482" s="60"/>
      <c r="ILP2482" s="60"/>
      <c r="ILQ2482" s="65"/>
      <c r="ILR2482" s="61"/>
      <c r="ILS2482" s="55"/>
      <c r="ILT2482" s="55"/>
      <c r="ILU2482" s="60"/>
      <c r="ILV2482" s="60"/>
      <c r="ILW2482" s="60"/>
      <c r="ILX2482" s="60"/>
      <c r="ILY2482" s="65"/>
      <c r="ILZ2482" s="61"/>
      <c r="IMA2482" s="55"/>
      <c r="IMB2482" s="55"/>
      <c r="IMC2482" s="60"/>
      <c r="IMD2482" s="60"/>
      <c r="IME2482" s="60"/>
      <c r="IMF2482" s="60"/>
      <c r="IMG2482" s="65"/>
      <c r="IMH2482" s="61"/>
      <c r="IMI2482" s="55"/>
      <c r="IMJ2482" s="55"/>
      <c r="IMK2482" s="60"/>
      <c r="IML2482" s="60"/>
      <c r="IMM2482" s="60"/>
      <c r="IMN2482" s="60"/>
      <c r="IMO2482" s="65"/>
      <c r="IMP2482" s="61"/>
      <c r="IMQ2482" s="55"/>
      <c r="IMR2482" s="55"/>
      <c r="IMS2482" s="60"/>
      <c r="IMT2482" s="60"/>
      <c r="IMU2482" s="60"/>
      <c r="IMV2482" s="60"/>
      <c r="IMW2482" s="65"/>
      <c r="IMX2482" s="61"/>
      <c r="IMY2482" s="55"/>
      <c r="IMZ2482" s="55"/>
      <c r="INA2482" s="60"/>
      <c r="INB2482" s="60"/>
      <c r="INC2482" s="60"/>
      <c r="IND2482" s="60"/>
      <c r="INE2482" s="65"/>
      <c r="INF2482" s="61"/>
      <c r="ING2482" s="55"/>
      <c r="INH2482" s="55"/>
      <c r="INI2482" s="60"/>
      <c r="INJ2482" s="60"/>
      <c r="INK2482" s="60"/>
      <c r="INL2482" s="60"/>
      <c r="INM2482" s="65"/>
      <c r="INN2482" s="61"/>
      <c r="INO2482" s="55"/>
      <c r="INP2482" s="55"/>
      <c r="INQ2482" s="60"/>
      <c r="INR2482" s="60"/>
      <c r="INS2482" s="60"/>
      <c r="INT2482" s="60"/>
      <c r="INU2482" s="65"/>
      <c r="INV2482" s="61"/>
      <c r="INW2482" s="55"/>
      <c r="INX2482" s="55"/>
      <c r="INY2482" s="60"/>
      <c r="INZ2482" s="60"/>
      <c r="IOA2482" s="60"/>
      <c r="IOB2482" s="60"/>
      <c r="IOC2482" s="65"/>
      <c r="IOD2482" s="61"/>
      <c r="IOE2482" s="55"/>
      <c r="IOF2482" s="55"/>
      <c r="IOG2482" s="60"/>
      <c r="IOH2482" s="60"/>
      <c r="IOI2482" s="60"/>
      <c r="IOJ2482" s="60"/>
      <c r="IOK2482" s="65"/>
      <c r="IOL2482" s="61"/>
      <c r="IOM2482" s="55"/>
      <c r="ION2482" s="55"/>
      <c r="IOO2482" s="60"/>
      <c r="IOP2482" s="60"/>
      <c r="IOQ2482" s="60"/>
      <c r="IOR2482" s="60"/>
      <c r="IOS2482" s="65"/>
      <c r="IOT2482" s="61"/>
      <c r="IOU2482" s="55"/>
      <c r="IOV2482" s="55"/>
      <c r="IOW2482" s="60"/>
      <c r="IOX2482" s="60"/>
      <c r="IOY2482" s="60"/>
      <c r="IOZ2482" s="60"/>
      <c r="IPA2482" s="65"/>
      <c r="IPB2482" s="61"/>
      <c r="IPC2482" s="55"/>
      <c r="IPD2482" s="55"/>
      <c r="IPE2482" s="60"/>
      <c r="IPF2482" s="60"/>
      <c r="IPG2482" s="60"/>
      <c r="IPH2482" s="60"/>
      <c r="IPI2482" s="65"/>
      <c r="IPJ2482" s="61"/>
      <c r="IPK2482" s="55"/>
      <c r="IPL2482" s="55"/>
      <c r="IPM2482" s="60"/>
      <c r="IPN2482" s="60"/>
      <c r="IPO2482" s="60"/>
      <c r="IPP2482" s="60"/>
      <c r="IPQ2482" s="65"/>
      <c r="IPR2482" s="61"/>
      <c r="IPS2482" s="55"/>
      <c r="IPT2482" s="55"/>
      <c r="IPU2482" s="60"/>
      <c r="IPV2482" s="60"/>
      <c r="IPW2482" s="60"/>
      <c r="IPX2482" s="60"/>
      <c r="IPY2482" s="65"/>
      <c r="IPZ2482" s="61"/>
      <c r="IQA2482" s="55"/>
      <c r="IQB2482" s="55"/>
      <c r="IQC2482" s="60"/>
      <c r="IQD2482" s="60"/>
      <c r="IQE2482" s="60"/>
      <c r="IQF2482" s="60"/>
      <c r="IQG2482" s="65"/>
      <c r="IQH2482" s="61"/>
      <c r="IQI2482" s="55"/>
      <c r="IQJ2482" s="55"/>
      <c r="IQK2482" s="60"/>
      <c r="IQL2482" s="60"/>
      <c r="IQM2482" s="60"/>
      <c r="IQN2482" s="60"/>
      <c r="IQO2482" s="65"/>
      <c r="IQP2482" s="61"/>
      <c r="IQQ2482" s="55"/>
      <c r="IQR2482" s="55"/>
      <c r="IQS2482" s="60"/>
      <c r="IQT2482" s="60"/>
      <c r="IQU2482" s="60"/>
      <c r="IQV2482" s="60"/>
      <c r="IQW2482" s="65"/>
      <c r="IQX2482" s="61"/>
      <c r="IQY2482" s="55"/>
      <c r="IQZ2482" s="55"/>
      <c r="IRA2482" s="60"/>
      <c r="IRB2482" s="60"/>
      <c r="IRC2482" s="60"/>
      <c r="IRD2482" s="60"/>
      <c r="IRE2482" s="65"/>
      <c r="IRF2482" s="61"/>
      <c r="IRG2482" s="55"/>
      <c r="IRH2482" s="55"/>
      <c r="IRI2482" s="60"/>
      <c r="IRJ2482" s="60"/>
      <c r="IRK2482" s="60"/>
      <c r="IRL2482" s="60"/>
      <c r="IRM2482" s="65"/>
      <c r="IRN2482" s="61"/>
      <c r="IRO2482" s="55"/>
      <c r="IRP2482" s="55"/>
      <c r="IRQ2482" s="60"/>
      <c r="IRR2482" s="60"/>
      <c r="IRS2482" s="60"/>
      <c r="IRT2482" s="60"/>
      <c r="IRU2482" s="65"/>
      <c r="IRV2482" s="61"/>
      <c r="IRW2482" s="55"/>
      <c r="IRX2482" s="55"/>
      <c r="IRY2482" s="60"/>
      <c r="IRZ2482" s="60"/>
      <c r="ISA2482" s="60"/>
      <c r="ISB2482" s="60"/>
      <c r="ISC2482" s="65"/>
      <c r="ISD2482" s="61"/>
      <c r="ISE2482" s="55"/>
      <c r="ISF2482" s="55"/>
      <c r="ISG2482" s="60"/>
      <c r="ISH2482" s="60"/>
      <c r="ISI2482" s="60"/>
      <c r="ISJ2482" s="60"/>
      <c r="ISK2482" s="65"/>
      <c r="ISL2482" s="61"/>
      <c r="ISM2482" s="55"/>
      <c r="ISN2482" s="55"/>
      <c r="ISO2482" s="60"/>
      <c r="ISP2482" s="60"/>
      <c r="ISQ2482" s="60"/>
      <c r="ISR2482" s="60"/>
      <c r="ISS2482" s="65"/>
      <c r="IST2482" s="61"/>
      <c r="ISU2482" s="55"/>
      <c r="ISV2482" s="55"/>
      <c r="ISW2482" s="60"/>
      <c r="ISX2482" s="60"/>
      <c r="ISY2482" s="60"/>
      <c r="ISZ2482" s="60"/>
      <c r="ITA2482" s="65"/>
      <c r="ITB2482" s="61"/>
      <c r="ITC2482" s="55"/>
      <c r="ITD2482" s="55"/>
      <c r="ITE2482" s="60"/>
      <c r="ITF2482" s="60"/>
      <c r="ITG2482" s="60"/>
      <c r="ITH2482" s="60"/>
      <c r="ITI2482" s="65"/>
      <c r="ITJ2482" s="61"/>
      <c r="ITK2482" s="55"/>
      <c r="ITL2482" s="55"/>
      <c r="ITM2482" s="60"/>
      <c r="ITN2482" s="60"/>
      <c r="ITO2482" s="60"/>
      <c r="ITP2482" s="60"/>
      <c r="ITQ2482" s="65"/>
      <c r="ITR2482" s="61"/>
      <c r="ITS2482" s="55"/>
      <c r="ITT2482" s="55"/>
      <c r="ITU2482" s="60"/>
      <c r="ITV2482" s="60"/>
      <c r="ITW2482" s="60"/>
      <c r="ITX2482" s="60"/>
      <c r="ITY2482" s="65"/>
      <c r="ITZ2482" s="61"/>
      <c r="IUA2482" s="55"/>
      <c r="IUB2482" s="55"/>
      <c r="IUC2482" s="60"/>
      <c r="IUD2482" s="60"/>
      <c r="IUE2482" s="60"/>
      <c r="IUF2482" s="60"/>
      <c r="IUG2482" s="65"/>
      <c r="IUH2482" s="61"/>
      <c r="IUI2482" s="55"/>
      <c r="IUJ2482" s="55"/>
      <c r="IUK2482" s="60"/>
      <c r="IUL2482" s="60"/>
      <c r="IUM2482" s="60"/>
      <c r="IUN2482" s="60"/>
      <c r="IUO2482" s="65"/>
      <c r="IUP2482" s="61"/>
      <c r="IUQ2482" s="55"/>
      <c r="IUR2482" s="55"/>
      <c r="IUS2482" s="60"/>
      <c r="IUT2482" s="60"/>
      <c r="IUU2482" s="60"/>
      <c r="IUV2482" s="60"/>
      <c r="IUW2482" s="65"/>
      <c r="IUX2482" s="61"/>
      <c r="IUY2482" s="55"/>
      <c r="IUZ2482" s="55"/>
      <c r="IVA2482" s="60"/>
      <c r="IVB2482" s="60"/>
      <c r="IVC2482" s="60"/>
      <c r="IVD2482" s="60"/>
      <c r="IVE2482" s="65"/>
      <c r="IVF2482" s="61"/>
      <c r="IVG2482" s="55"/>
      <c r="IVH2482" s="55"/>
      <c r="IVI2482" s="60"/>
      <c r="IVJ2482" s="60"/>
      <c r="IVK2482" s="60"/>
      <c r="IVL2482" s="60"/>
      <c r="IVM2482" s="65"/>
      <c r="IVN2482" s="61"/>
      <c r="IVO2482" s="55"/>
      <c r="IVP2482" s="55"/>
      <c r="IVQ2482" s="60"/>
      <c r="IVR2482" s="60"/>
      <c r="IVS2482" s="60"/>
      <c r="IVT2482" s="60"/>
      <c r="IVU2482" s="65"/>
      <c r="IVV2482" s="61"/>
      <c r="IVW2482" s="55"/>
      <c r="IVX2482" s="55"/>
      <c r="IVY2482" s="60"/>
      <c r="IVZ2482" s="60"/>
      <c r="IWA2482" s="60"/>
      <c r="IWB2482" s="60"/>
      <c r="IWC2482" s="65"/>
      <c r="IWD2482" s="61"/>
      <c r="IWE2482" s="55"/>
      <c r="IWF2482" s="55"/>
      <c r="IWG2482" s="60"/>
      <c r="IWH2482" s="60"/>
      <c r="IWI2482" s="60"/>
      <c r="IWJ2482" s="60"/>
      <c r="IWK2482" s="65"/>
      <c r="IWL2482" s="61"/>
      <c r="IWM2482" s="55"/>
      <c r="IWN2482" s="55"/>
      <c r="IWO2482" s="60"/>
      <c r="IWP2482" s="60"/>
      <c r="IWQ2482" s="60"/>
      <c r="IWR2482" s="60"/>
      <c r="IWS2482" s="65"/>
      <c r="IWT2482" s="61"/>
      <c r="IWU2482" s="55"/>
      <c r="IWV2482" s="55"/>
      <c r="IWW2482" s="60"/>
      <c r="IWX2482" s="60"/>
      <c r="IWY2482" s="60"/>
      <c r="IWZ2482" s="60"/>
      <c r="IXA2482" s="65"/>
      <c r="IXB2482" s="61"/>
      <c r="IXC2482" s="55"/>
      <c r="IXD2482" s="55"/>
      <c r="IXE2482" s="60"/>
      <c r="IXF2482" s="60"/>
      <c r="IXG2482" s="60"/>
      <c r="IXH2482" s="60"/>
      <c r="IXI2482" s="65"/>
      <c r="IXJ2482" s="61"/>
      <c r="IXK2482" s="55"/>
      <c r="IXL2482" s="55"/>
      <c r="IXM2482" s="60"/>
      <c r="IXN2482" s="60"/>
      <c r="IXO2482" s="60"/>
      <c r="IXP2482" s="60"/>
      <c r="IXQ2482" s="65"/>
      <c r="IXR2482" s="61"/>
      <c r="IXS2482" s="55"/>
      <c r="IXT2482" s="55"/>
      <c r="IXU2482" s="60"/>
      <c r="IXV2482" s="60"/>
      <c r="IXW2482" s="60"/>
      <c r="IXX2482" s="60"/>
      <c r="IXY2482" s="65"/>
      <c r="IXZ2482" s="61"/>
      <c r="IYA2482" s="55"/>
      <c r="IYB2482" s="55"/>
      <c r="IYC2482" s="60"/>
      <c r="IYD2482" s="60"/>
      <c r="IYE2482" s="60"/>
      <c r="IYF2482" s="60"/>
      <c r="IYG2482" s="65"/>
      <c r="IYH2482" s="61"/>
      <c r="IYI2482" s="55"/>
      <c r="IYJ2482" s="55"/>
      <c r="IYK2482" s="60"/>
      <c r="IYL2482" s="60"/>
      <c r="IYM2482" s="60"/>
      <c r="IYN2482" s="60"/>
      <c r="IYO2482" s="65"/>
      <c r="IYP2482" s="61"/>
      <c r="IYQ2482" s="55"/>
      <c r="IYR2482" s="55"/>
      <c r="IYS2482" s="60"/>
      <c r="IYT2482" s="60"/>
      <c r="IYU2482" s="60"/>
      <c r="IYV2482" s="60"/>
      <c r="IYW2482" s="65"/>
      <c r="IYX2482" s="61"/>
      <c r="IYY2482" s="55"/>
      <c r="IYZ2482" s="55"/>
      <c r="IZA2482" s="60"/>
      <c r="IZB2482" s="60"/>
      <c r="IZC2482" s="60"/>
      <c r="IZD2482" s="60"/>
      <c r="IZE2482" s="65"/>
      <c r="IZF2482" s="61"/>
      <c r="IZG2482" s="55"/>
      <c r="IZH2482" s="55"/>
      <c r="IZI2482" s="60"/>
      <c r="IZJ2482" s="60"/>
      <c r="IZK2482" s="60"/>
      <c r="IZL2482" s="60"/>
      <c r="IZM2482" s="65"/>
      <c r="IZN2482" s="61"/>
      <c r="IZO2482" s="55"/>
      <c r="IZP2482" s="55"/>
      <c r="IZQ2482" s="60"/>
      <c r="IZR2482" s="60"/>
      <c r="IZS2482" s="60"/>
      <c r="IZT2482" s="60"/>
      <c r="IZU2482" s="65"/>
      <c r="IZV2482" s="61"/>
      <c r="IZW2482" s="55"/>
      <c r="IZX2482" s="55"/>
      <c r="IZY2482" s="60"/>
      <c r="IZZ2482" s="60"/>
      <c r="JAA2482" s="60"/>
      <c r="JAB2482" s="60"/>
      <c r="JAC2482" s="65"/>
      <c r="JAD2482" s="61"/>
      <c r="JAE2482" s="55"/>
      <c r="JAF2482" s="55"/>
      <c r="JAG2482" s="60"/>
      <c r="JAH2482" s="60"/>
      <c r="JAI2482" s="60"/>
      <c r="JAJ2482" s="60"/>
      <c r="JAK2482" s="65"/>
      <c r="JAL2482" s="61"/>
      <c r="JAM2482" s="55"/>
      <c r="JAN2482" s="55"/>
      <c r="JAO2482" s="60"/>
      <c r="JAP2482" s="60"/>
      <c r="JAQ2482" s="60"/>
      <c r="JAR2482" s="60"/>
      <c r="JAS2482" s="65"/>
      <c r="JAT2482" s="61"/>
      <c r="JAU2482" s="55"/>
      <c r="JAV2482" s="55"/>
      <c r="JAW2482" s="60"/>
      <c r="JAX2482" s="60"/>
      <c r="JAY2482" s="60"/>
      <c r="JAZ2482" s="60"/>
      <c r="JBA2482" s="65"/>
      <c r="JBB2482" s="61"/>
      <c r="JBC2482" s="55"/>
      <c r="JBD2482" s="55"/>
      <c r="JBE2482" s="60"/>
      <c r="JBF2482" s="60"/>
      <c r="JBG2482" s="60"/>
      <c r="JBH2482" s="60"/>
      <c r="JBI2482" s="65"/>
      <c r="JBJ2482" s="61"/>
      <c r="JBK2482" s="55"/>
      <c r="JBL2482" s="55"/>
      <c r="JBM2482" s="60"/>
      <c r="JBN2482" s="60"/>
      <c r="JBO2482" s="60"/>
      <c r="JBP2482" s="60"/>
      <c r="JBQ2482" s="65"/>
      <c r="JBR2482" s="61"/>
      <c r="JBS2482" s="55"/>
      <c r="JBT2482" s="55"/>
      <c r="JBU2482" s="60"/>
      <c r="JBV2482" s="60"/>
      <c r="JBW2482" s="60"/>
      <c r="JBX2482" s="60"/>
      <c r="JBY2482" s="65"/>
      <c r="JBZ2482" s="61"/>
      <c r="JCA2482" s="55"/>
      <c r="JCB2482" s="55"/>
      <c r="JCC2482" s="60"/>
      <c r="JCD2482" s="60"/>
      <c r="JCE2482" s="60"/>
      <c r="JCF2482" s="60"/>
      <c r="JCG2482" s="65"/>
      <c r="JCH2482" s="61"/>
      <c r="JCI2482" s="55"/>
      <c r="JCJ2482" s="55"/>
      <c r="JCK2482" s="60"/>
      <c r="JCL2482" s="60"/>
      <c r="JCM2482" s="60"/>
      <c r="JCN2482" s="60"/>
      <c r="JCO2482" s="65"/>
      <c r="JCP2482" s="61"/>
      <c r="JCQ2482" s="55"/>
      <c r="JCR2482" s="55"/>
      <c r="JCS2482" s="60"/>
      <c r="JCT2482" s="60"/>
      <c r="JCU2482" s="60"/>
      <c r="JCV2482" s="60"/>
      <c r="JCW2482" s="65"/>
      <c r="JCX2482" s="61"/>
      <c r="JCY2482" s="55"/>
      <c r="JCZ2482" s="55"/>
      <c r="JDA2482" s="60"/>
      <c r="JDB2482" s="60"/>
      <c r="JDC2482" s="60"/>
      <c r="JDD2482" s="60"/>
      <c r="JDE2482" s="65"/>
      <c r="JDF2482" s="61"/>
      <c r="JDG2482" s="55"/>
      <c r="JDH2482" s="55"/>
      <c r="JDI2482" s="60"/>
      <c r="JDJ2482" s="60"/>
      <c r="JDK2482" s="60"/>
      <c r="JDL2482" s="60"/>
      <c r="JDM2482" s="65"/>
      <c r="JDN2482" s="61"/>
      <c r="JDO2482" s="55"/>
      <c r="JDP2482" s="55"/>
      <c r="JDQ2482" s="60"/>
      <c r="JDR2482" s="60"/>
      <c r="JDS2482" s="60"/>
      <c r="JDT2482" s="60"/>
      <c r="JDU2482" s="65"/>
      <c r="JDV2482" s="61"/>
      <c r="JDW2482" s="55"/>
      <c r="JDX2482" s="55"/>
      <c r="JDY2482" s="60"/>
      <c r="JDZ2482" s="60"/>
      <c r="JEA2482" s="60"/>
      <c r="JEB2482" s="60"/>
      <c r="JEC2482" s="65"/>
      <c r="JED2482" s="61"/>
      <c r="JEE2482" s="55"/>
      <c r="JEF2482" s="55"/>
      <c r="JEG2482" s="60"/>
      <c r="JEH2482" s="60"/>
      <c r="JEI2482" s="60"/>
      <c r="JEJ2482" s="60"/>
      <c r="JEK2482" s="65"/>
      <c r="JEL2482" s="61"/>
      <c r="JEM2482" s="55"/>
      <c r="JEN2482" s="55"/>
      <c r="JEO2482" s="60"/>
      <c r="JEP2482" s="60"/>
      <c r="JEQ2482" s="60"/>
      <c r="JER2482" s="60"/>
      <c r="JES2482" s="65"/>
      <c r="JET2482" s="61"/>
      <c r="JEU2482" s="55"/>
      <c r="JEV2482" s="55"/>
      <c r="JEW2482" s="60"/>
      <c r="JEX2482" s="60"/>
      <c r="JEY2482" s="60"/>
      <c r="JEZ2482" s="60"/>
      <c r="JFA2482" s="65"/>
      <c r="JFB2482" s="61"/>
      <c r="JFC2482" s="55"/>
      <c r="JFD2482" s="55"/>
      <c r="JFE2482" s="60"/>
      <c r="JFF2482" s="60"/>
      <c r="JFG2482" s="60"/>
      <c r="JFH2482" s="60"/>
      <c r="JFI2482" s="65"/>
      <c r="JFJ2482" s="61"/>
      <c r="JFK2482" s="55"/>
      <c r="JFL2482" s="55"/>
      <c r="JFM2482" s="60"/>
      <c r="JFN2482" s="60"/>
      <c r="JFO2482" s="60"/>
      <c r="JFP2482" s="60"/>
      <c r="JFQ2482" s="65"/>
      <c r="JFR2482" s="61"/>
      <c r="JFS2482" s="55"/>
      <c r="JFT2482" s="55"/>
      <c r="JFU2482" s="60"/>
      <c r="JFV2482" s="60"/>
      <c r="JFW2482" s="60"/>
      <c r="JFX2482" s="60"/>
      <c r="JFY2482" s="65"/>
      <c r="JFZ2482" s="61"/>
      <c r="JGA2482" s="55"/>
      <c r="JGB2482" s="55"/>
      <c r="JGC2482" s="60"/>
      <c r="JGD2482" s="60"/>
      <c r="JGE2482" s="60"/>
      <c r="JGF2482" s="60"/>
      <c r="JGG2482" s="65"/>
      <c r="JGH2482" s="61"/>
      <c r="JGI2482" s="55"/>
      <c r="JGJ2482" s="55"/>
      <c r="JGK2482" s="60"/>
      <c r="JGL2482" s="60"/>
      <c r="JGM2482" s="60"/>
      <c r="JGN2482" s="60"/>
      <c r="JGO2482" s="65"/>
      <c r="JGP2482" s="61"/>
      <c r="JGQ2482" s="55"/>
      <c r="JGR2482" s="55"/>
      <c r="JGS2482" s="60"/>
      <c r="JGT2482" s="60"/>
      <c r="JGU2482" s="60"/>
      <c r="JGV2482" s="60"/>
      <c r="JGW2482" s="65"/>
      <c r="JGX2482" s="61"/>
      <c r="JGY2482" s="55"/>
      <c r="JGZ2482" s="55"/>
      <c r="JHA2482" s="60"/>
      <c r="JHB2482" s="60"/>
      <c r="JHC2482" s="60"/>
      <c r="JHD2482" s="60"/>
      <c r="JHE2482" s="65"/>
      <c r="JHF2482" s="61"/>
      <c r="JHG2482" s="55"/>
      <c r="JHH2482" s="55"/>
      <c r="JHI2482" s="60"/>
      <c r="JHJ2482" s="60"/>
      <c r="JHK2482" s="60"/>
      <c r="JHL2482" s="60"/>
      <c r="JHM2482" s="65"/>
      <c r="JHN2482" s="61"/>
      <c r="JHO2482" s="55"/>
      <c r="JHP2482" s="55"/>
      <c r="JHQ2482" s="60"/>
      <c r="JHR2482" s="60"/>
      <c r="JHS2482" s="60"/>
      <c r="JHT2482" s="60"/>
      <c r="JHU2482" s="65"/>
      <c r="JHV2482" s="61"/>
      <c r="JHW2482" s="55"/>
      <c r="JHX2482" s="55"/>
      <c r="JHY2482" s="60"/>
      <c r="JHZ2482" s="60"/>
      <c r="JIA2482" s="60"/>
      <c r="JIB2482" s="60"/>
      <c r="JIC2482" s="65"/>
      <c r="JID2482" s="61"/>
      <c r="JIE2482" s="55"/>
      <c r="JIF2482" s="55"/>
      <c r="JIG2482" s="60"/>
      <c r="JIH2482" s="60"/>
      <c r="JII2482" s="60"/>
      <c r="JIJ2482" s="60"/>
      <c r="JIK2482" s="65"/>
      <c r="JIL2482" s="61"/>
      <c r="JIM2482" s="55"/>
      <c r="JIN2482" s="55"/>
      <c r="JIO2482" s="60"/>
      <c r="JIP2482" s="60"/>
      <c r="JIQ2482" s="60"/>
      <c r="JIR2482" s="60"/>
      <c r="JIS2482" s="65"/>
      <c r="JIT2482" s="61"/>
      <c r="JIU2482" s="55"/>
      <c r="JIV2482" s="55"/>
      <c r="JIW2482" s="60"/>
      <c r="JIX2482" s="60"/>
      <c r="JIY2482" s="60"/>
      <c r="JIZ2482" s="60"/>
      <c r="JJA2482" s="65"/>
      <c r="JJB2482" s="61"/>
      <c r="JJC2482" s="55"/>
      <c r="JJD2482" s="55"/>
      <c r="JJE2482" s="60"/>
      <c r="JJF2482" s="60"/>
      <c r="JJG2482" s="60"/>
      <c r="JJH2482" s="60"/>
      <c r="JJI2482" s="65"/>
      <c r="JJJ2482" s="61"/>
      <c r="JJK2482" s="55"/>
      <c r="JJL2482" s="55"/>
      <c r="JJM2482" s="60"/>
      <c r="JJN2482" s="60"/>
      <c r="JJO2482" s="60"/>
      <c r="JJP2482" s="60"/>
      <c r="JJQ2482" s="65"/>
      <c r="JJR2482" s="61"/>
      <c r="JJS2482" s="55"/>
      <c r="JJT2482" s="55"/>
      <c r="JJU2482" s="60"/>
      <c r="JJV2482" s="60"/>
      <c r="JJW2482" s="60"/>
      <c r="JJX2482" s="60"/>
      <c r="JJY2482" s="65"/>
      <c r="JJZ2482" s="61"/>
      <c r="JKA2482" s="55"/>
      <c r="JKB2482" s="55"/>
      <c r="JKC2482" s="60"/>
      <c r="JKD2482" s="60"/>
      <c r="JKE2482" s="60"/>
      <c r="JKF2482" s="60"/>
      <c r="JKG2482" s="65"/>
      <c r="JKH2482" s="61"/>
      <c r="JKI2482" s="55"/>
      <c r="JKJ2482" s="55"/>
      <c r="JKK2482" s="60"/>
      <c r="JKL2482" s="60"/>
      <c r="JKM2482" s="60"/>
      <c r="JKN2482" s="60"/>
      <c r="JKO2482" s="65"/>
      <c r="JKP2482" s="61"/>
      <c r="JKQ2482" s="55"/>
      <c r="JKR2482" s="55"/>
      <c r="JKS2482" s="60"/>
      <c r="JKT2482" s="60"/>
      <c r="JKU2482" s="60"/>
      <c r="JKV2482" s="60"/>
      <c r="JKW2482" s="65"/>
      <c r="JKX2482" s="61"/>
      <c r="JKY2482" s="55"/>
      <c r="JKZ2482" s="55"/>
      <c r="JLA2482" s="60"/>
      <c r="JLB2482" s="60"/>
      <c r="JLC2482" s="60"/>
      <c r="JLD2482" s="60"/>
      <c r="JLE2482" s="65"/>
      <c r="JLF2482" s="61"/>
      <c r="JLG2482" s="55"/>
      <c r="JLH2482" s="55"/>
      <c r="JLI2482" s="60"/>
      <c r="JLJ2482" s="60"/>
      <c r="JLK2482" s="60"/>
      <c r="JLL2482" s="60"/>
      <c r="JLM2482" s="65"/>
      <c r="JLN2482" s="61"/>
      <c r="JLO2482" s="55"/>
      <c r="JLP2482" s="55"/>
      <c r="JLQ2482" s="60"/>
      <c r="JLR2482" s="60"/>
      <c r="JLS2482" s="60"/>
      <c r="JLT2482" s="60"/>
      <c r="JLU2482" s="65"/>
      <c r="JLV2482" s="61"/>
      <c r="JLW2482" s="55"/>
      <c r="JLX2482" s="55"/>
      <c r="JLY2482" s="60"/>
      <c r="JLZ2482" s="60"/>
      <c r="JMA2482" s="60"/>
      <c r="JMB2482" s="60"/>
      <c r="JMC2482" s="65"/>
      <c r="JMD2482" s="61"/>
      <c r="JME2482" s="55"/>
      <c r="JMF2482" s="55"/>
      <c r="JMG2482" s="60"/>
      <c r="JMH2482" s="60"/>
      <c r="JMI2482" s="60"/>
      <c r="JMJ2482" s="60"/>
      <c r="JMK2482" s="65"/>
      <c r="JML2482" s="61"/>
      <c r="JMM2482" s="55"/>
      <c r="JMN2482" s="55"/>
      <c r="JMO2482" s="60"/>
      <c r="JMP2482" s="60"/>
      <c r="JMQ2482" s="60"/>
      <c r="JMR2482" s="60"/>
      <c r="JMS2482" s="65"/>
      <c r="JMT2482" s="61"/>
      <c r="JMU2482" s="55"/>
      <c r="JMV2482" s="55"/>
      <c r="JMW2482" s="60"/>
      <c r="JMX2482" s="60"/>
      <c r="JMY2482" s="60"/>
      <c r="JMZ2482" s="60"/>
      <c r="JNA2482" s="65"/>
      <c r="JNB2482" s="61"/>
      <c r="JNC2482" s="55"/>
      <c r="JND2482" s="55"/>
      <c r="JNE2482" s="60"/>
      <c r="JNF2482" s="60"/>
      <c r="JNG2482" s="60"/>
      <c r="JNH2482" s="60"/>
      <c r="JNI2482" s="65"/>
      <c r="JNJ2482" s="61"/>
      <c r="JNK2482" s="55"/>
      <c r="JNL2482" s="55"/>
      <c r="JNM2482" s="60"/>
      <c r="JNN2482" s="60"/>
      <c r="JNO2482" s="60"/>
      <c r="JNP2482" s="60"/>
      <c r="JNQ2482" s="65"/>
      <c r="JNR2482" s="61"/>
      <c r="JNS2482" s="55"/>
      <c r="JNT2482" s="55"/>
      <c r="JNU2482" s="60"/>
      <c r="JNV2482" s="60"/>
      <c r="JNW2482" s="60"/>
      <c r="JNX2482" s="60"/>
      <c r="JNY2482" s="65"/>
      <c r="JNZ2482" s="61"/>
      <c r="JOA2482" s="55"/>
      <c r="JOB2482" s="55"/>
      <c r="JOC2482" s="60"/>
      <c r="JOD2482" s="60"/>
      <c r="JOE2482" s="60"/>
      <c r="JOF2482" s="60"/>
      <c r="JOG2482" s="65"/>
      <c r="JOH2482" s="61"/>
      <c r="JOI2482" s="55"/>
      <c r="JOJ2482" s="55"/>
      <c r="JOK2482" s="60"/>
      <c r="JOL2482" s="60"/>
      <c r="JOM2482" s="60"/>
      <c r="JON2482" s="60"/>
      <c r="JOO2482" s="65"/>
      <c r="JOP2482" s="61"/>
      <c r="JOQ2482" s="55"/>
      <c r="JOR2482" s="55"/>
      <c r="JOS2482" s="60"/>
      <c r="JOT2482" s="60"/>
      <c r="JOU2482" s="60"/>
      <c r="JOV2482" s="60"/>
      <c r="JOW2482" s="65"/>
      <c r="JOX2482" s="61"/>
      <c r="JOY2482" s="55"/>
      <c r="JOZ2482" s="55"/>
      <c r="JPA2482" s="60"/>
      <c r="JPB2482" s="60"/>
      <c r="JPC2482" s="60"/>
      <c r="JPD2482" s="60"/>
      <c r="JPE2482" s="65"/>
      <c r="JPF2482" s="61"/>
      <c r="JPG2482" s="55"/>
      <c r="JPH2482" s="55"/>
      <c r="JPI2482" s="60"/>
      <c r="JPJ2482" s="60"/>
      <c r="JPK2482" s="60"/>
      <c r="JPL2482" s="60"/>
      <c r="JPM2482" s="65"/>
      <c r="JPN2482" s="61"/>
      <c r="JPO2482" s="55"/>
      <c r="JPP2482" s="55"/>
      <c r="JPQ2482" s="60"/>
      <c r="JPR2482" s="60"/>
      <c r="JPS2482" s="60"/>
      <c r="JPT2482" s="60"/>
      <c r="JPU2482" s="65"/>
      <c r="JPV2482" s="61"/>
      <c r="JPW2482" s="55"/>
      <c r="JPX2482" s="55"/>
      <c r="JPY2482" s="60"/>
      <c r="JPZ2482" s="60"/>
      <c r="JQA2482" s="60"/>
      <c r="JQB2482" s="60"/>
      <c r="JQC2482" s="65"/>
      <c r="JQD2482" s="61"/>
      <c r="JQE2482" s="55"/>
      <c r="JQF2482" s="55"/>
      <c r="JQG2482" s="60"/>
      <c r="JQH2482" s="60"/>
      <c r="JQI2482" s="60"/>
      <c r="JQJ2482" s="60"/>
      <c r="JQK2482" s="65"/>
      <c r="JQL2482" s="61"/>
      <c r="JQM2482" s="55"/>
      <c r="JQN2482" s="55"/>
      <c r="JQO2482" s="60"/>
      <c r="JQP2482" s="60"/>
      <c r="JQQ2482" s="60"/>
      <c r="JQR2482" s="60"/>
      <c r="JQS2482" s="65"/>
      <c r="JQT2482" s="61"/>
      <c r="JQU2482" s="55"/>
      <c r="JQV2482" s="55"/>
      <c r="JQW2482" s="60"/>
      <c r="JQX2482" s="60"/>
      <c r="JQY2482" s="60"/>
      <c r="JQZ2482" s="60"/>
      <c r="JRA2482" s="65"/>
      <c r="JRB2482" s="61"/>
      <c r="JRC2482" s="55"/>
      <c r="JRD2482" s="55"/>
      <c r="JRE2482" s="60"/>
      <c r="JRF2482" s="60"/>
      <c r="JRG2482" s="60"/>
      <c r="JRH2482" s="60"/>
      <c r="JRI2482" s="65"/>
      <c r="JRJ2482" s="61"/>
      <c r="JRK2482" s="55"/>
      <c r="JRL2482" s="55"/>
      <c r="JRM2482" s="60"/>
      <c r="JRN2482" s="60"/>
      <c r="JRO2482" s="60"/>
      <c r="JRP2482" s="60"/>
      <c r="JRQ2482" s="65"/>
      <c r="JRR2482" s="61"/>
      <c r="JRS2482" s="55"/>
      <c r="JRT2482" s="55"/>
      <c r="JRU2482" s="60"/>
      <c r="JRV2482" s="60"/>
      <c r="JRW2482" s="60"/>
      <c r="JRX2482" s="60"/>
      <c r="JRY2482" s="65"/>
      <c r="JRZ2482" s="61"/>
      <c r="JSA2482" s="55"/>
      <c r="JSB2482" s="55"/>
      <c r="JSC2482" s="60"/>
      <c r="JSD2482" s="60"/>
      <c r="JSE2482" s="60"/>
      <c r="JSF2482" s="60"/>
      <c r="JSG2482" s="65"/>
      <c r="JSH2482" s="61"/>
      <c r="JSI2482" s="55"/>
      <c r="JSJ2482" s="55"/>
      <c r="JSK2482" s="60"/>
      <c r="JSL2482" s="60"/>
      <c r="JSM2482" s="60"/>
      <c r="JSN2482" s="60"/>
      <c r="JSO2482" s="65"/>
      <c r="JSP2482" s="61"/>
      <c r="JSQ2482" s="55"/>
      <c r="JSR2482" s="55"/>
      <c r="JSS2482" s="60"/>
      <c r="JST2482" s="60"/>
      <c r="JSU2482" s="60"/>
      <c r="JSV2482" s="60"/>
      <c r="JSW2482" s="65"/>
      <c r="JSX2482" s="61"/>
      <c r="JSY2482" s="55"/>
      <c r="JSZ2482" s="55"/>
      <c r="JTA2482" s="60"/>
      <c r="JTB2482" s="60"/>
      <c r="JTC2482" s="60"/>
      <c r="JTD2482" s="60"/>
      <c r="JTE2482" s="65"/>
      <c r="JTF2482" s="61"/>
      <c r="JTG2482" s="55"/>
      <c r="JTH2482" s="55"/>
      <c r="JTI2482" s="60"/>
      <c r="JTJ2482" s="60"/>
      <c r="JTK2482" s="60"/>
      <c r="JTL2482" s="60"/>
      <c r="JTM2482" s="65"/>
      <c r="JTN2482" s="61"/>
      <c r="JTO2482" s="55"/>
      <c r="JTP2482" s="55"/>
      <c r="JTQ2482" s="60"/>
      <c r="JTR2482" s="60"/>
      <c r="JTS2482" s="60"/>
      <c r="JTT2482" s="60"/>
      <c r="JTU2482" s="65"/>
      <c r="JTV2482" s="61"/>
      <c r="JTW2482" s="55"/>
      <c r="JTX2482" s="55"/>
      <c r="JTY2482" s="60"/>
      <c r="JTZ2482" s="60"/>
      <c r="JUA2482" s="60"/>
      <c r="JUB2482" s="60"/>
      <c r="JUC2482" s="65"/>
      <c r="JUD2482" s="61"/>
      <c r="JUE2482" s="55"/>
      <c r="JUF2482" s="55"/>
      <c r="JUG2482" s="60"/>
      <c r="JUH2482" s="60"/>
      <c r="JUI2482" s="60"/>
      <c r="JUJ2482" s="60"/>
      <c r="JUK2482" s="65"/>
      <c r="JUL2482" s="61"/>
      <c r="JUM2482" s="55"/>
      <c r="JUN2482" s="55"/>
      <c r="JUO2482" s="60"/>
      <c r="JUP2482" s="60"/>
      <c r="JUQ2482" s="60"/>
      <c r="JUR2482" s="60"/>
      <c r="JUS2482" s="65"/>
      <c r="JUT2482" s="61"/>
      <c r="JUU2482" s="55"/>
      <c r="JUV2482" s="55"/>
      <c r="JUW2482" s="60"/>
      <c r="JUX2482" s="60"/>
      <c r="JUY2482" s="60"/>
      <c r="JUZ2482" s="60"/>
      <c r="JVA2482" s="65"/>
      <c r="JVB2482" s="61"/>
      <c r="JVC2482" s="55"/>
      <c r="JVD2482" s="55"/>
      <c r="JVE2482" s="60"/>
      <c r="JVF2482" s="60"/>
      <c r="JVG2482" s="60"/>
      <c r="JVH2482" s="60"/>
      <c r="JVI2482" s="65"/>
      <c r="JVJ2482" s="61"/>
      <c r="JVK2482" s="55"/>
      <c r="JVL2482" s="55"/>
      <c r="JVM2482" s="60"/>
      <c r="JVN2482" s="60"/>
      <c r="JVO2482" s="60"/>
      <c r="JVP2482" s="60"/>
      <c r="JVQ2482" s="65"/>
      <c r="JVR2482" s="61"/>
      <c r="JVS2482" s="55"/>
      <c r="JVT2482" s="55"/>
      <c r="JVU2482" s="60"/>
      <c r="JVV2482" s="60"/>
      <c r="JVW2482" s="60"/>
      <c r="JVX2482" s="60"/>
      <c r="JVY2482" s="65"/>
      <c r="JVZ2482" s="61"/>
      <c r="JWA2482" s="55"/>
      <c r="JWB2482" s="55"/>
      <c r="JWC2482" s="60"/>
      <c r="JWD2482" s="60"/>
      <c r="JWE2482" s="60"/>
      <c r="JWF2482" s="60"/>
      <c r="JWG2482" s="65"/>
      <c r="JWH2482" s="61"/>
      <c r="JWI2482" s="55"/>
      <c r="JWJ2482" s="55"/>
      <c r="JWK2482" s="60"/>
      <c r="JWL2482" s="60"/>
      <c r="JWM2482" s="60"/>
      <c r="JWN2482" s="60"/>
      <c r="JWO2482" s="65"/>
      <c r="JWP2482" s="61"/>
      <c r="JWQ2482" s="55"/>
      <c r="JWR2482" s="55"/>
      <c r="JWS2482" s="60"/>
      <c r="JWT2482" s="60"/>
      <c r="JWU2482" s="60"/>
      <c r="JWV2482" s="60"/>
      <c r="JWW2482" s="65"/>
      <c r="JWX2482" s="61"/>
      <c r="JWY2482" s="55"/>
      <c r="JWZ2482" s="55"/>
      <c r="JXA2482" s="60"/>
      <c r="JXB2482" s="60"/>
      <c r="JXC2482" s="60"/>
      <c r="JXD2482" s="60"/>
      <c r="JXE2482" s="65"/>
      <c r="JXF2482" s="61"/>
      <c r="JXG2482" s="55"/>
      <c r="JXH2482" s="55"/>
      <c r="JXI2482" s="60"/>
      <c r="JXJ2482" s="60"/>
      <c r="JXK2482" s="60"/>
      <c r="JXL2482" s="60"/>
      <c r="JXM2482" s="65"/>
      <c r="JXN2482" s="61"/>
      <c r="JXO2482" s="55"/>
      <c r="JXP2482" s="55"/>
      <c r="JXQ2482" s="60"/>
      <c r="JXR2482" s="60"/>
      <c r="JXS2482" s="60"/>
      <c r="JXT2482" s="60"/>
      <c r="JXU2482" s="65"/>
      <c r="JXV2482" s="61"/>
      <c r="JXW2482" s="55"/>
      <c r="JXX2482" s="55"/>
      <c r="JXY2482" s="60"/>
      <c r="JXZ2482" s="60"/>
      <c r="JYA2482" s="60"/>
      <c r="JYB2482" s="60"/>
      <c r="JYC2482" s="65"/>
      <c r="JYD2482" s="61"/>
      <c r="JYE2482" s="55"/>
      <c r="JYF2482" s="55"/>
      <c r="JYG2482" s="60"/>
      <c r="JYH2482" s="60"/>
      <c r="JYI2482" s="60"/>
      <c r="JYJ2482" s="60"/>
      <c r="JYK2482" s="65"/>
      <c r="JYL2482" s="61"/>
      <c r="JYM2482" s="55"/>
      <c r="JYN2482" s="55"/>
      <c r="JYO2482" s="60"/>
      <c r="JYP2482" s="60"/>
      <c r="JYQ2482" s="60"/>
      <c r="JYR2482" s="60"/>
      <c r="JYS2482" s="65"/>
      <c r="JYT2482" s="61"/>
      <c r="JYU2482" s="55"/>
      <c r="JYV2482" s="55"/>
      <c r="JYW2482" s="60"/>
      <c r="JYX2482" s="60"/>
      <c r="JYY2482" s="60"/>
      <c r="JYZ2482" s="60"/>
      <c r="JZA2482" s="65"/>
      <c r="JZB2482" s="61"/>
      <c r="JZC2482" s="55"/>
      <c r="JZD2482" s="55"/>
      <c r="JZE2482" s="60"/>
      <c r="JZF2482" s="60"/>
      <c r="JZG2482" s="60"/>
      <c r="JZH2482" s="60"/>
      <c r="JZI2482" s="65"/>
      <c r="JZJ2482" s="61"/>
      <c r="JZK2482" s="55"/>
      <c r="JZL2482" s="55"/>
      <c r="JZM2482" s="60"/>
      <c r="JZN2482" s="60"/>
      <c r="JZO2482" s="60"/>
      <c r="JZP2482" s="60"/>
      <c r="JZQ2482" s="65"/>
      <c r="JZR2482" s="61"/>
      <c r="JZS2482" s="55"/>
      <c r="JZT2482" s="55"/>
      <c r="JZU2482" s="60"/>
      <c r="JZV2482" s="60"/>
      <c r="JZW2482" s="60"/>
      <c r="JZX2482" s="60"/>
      <c r="JZY2482" s="65"/>
      <c r="JZZ2482" s="61"/>
      <c r="KAA2482" s="55"/>
      <c r="KAB2482" s="55"/>
      <c r="KAC2482" s="60"/>
      <c r="KAD2482" s="60"/>
      <c r="KAE2482" s="60"/>
      <c r="KAF2482" s="60"/>
      <c r="KAG2482" s="65"/>
      <c r="KAH2482" s="61"/>
      <c r="KAI2482" s="55"/>
      <c r="KAJ2482" s="55"/>
      <c r="KAK2482" s="60"/>
      <c r="KAL2482" s="60"/>
      <c r="KAM2482" s="60"/>
      <c r="KAN2482" s="60"/>
      <c r="KAO2482" s="65"/>
      <c r="KAP2482" s="61"/>
      <c r="KAQ2482" s="55"/>
      <c r="KAR2482" s="55"/>
      <c r="KAS2482" s="60"/>
      <c r="KAT2482" s="60"/>
      <c r="KAU2482" s="60"/>
      <c r="KAV2482" s="60"/>
      <c r="KAW2482" s="65"/>
      <c r="KAX2482" s="61"/>
      <c r="KAY2482" s="55"/>
      <c r="KAZ2482" s="55"/>
      <c r="KBA2482" s="60"/>
      <c r="KBB2482" s="60"/>
      <c r="KBC2482" s="60"/>
      <c r="KBD2482" s="60"/>
      <c r="KBE2482" s="65"/>
      <c r="KBF2482" s="61"/>
      <c r="KBG2482" s="55"/>
      <c r="KBH2482" s="55"/>
      <c r="KBI2482" s="60"/>
      <c r="KBJ2482" s="60"/>
      <c r="KBK2482" s="60"/>
      <c r="KBL2482" s="60"/>
      <c r="KBM2482" s="65"/>
      <c r="KBN2482" s="61"/>
      <c r="KBO2482" s="55"/>
      <c r="KBP2482" s="55"/>
      <c r="KBQ2482" s="60"/>
      <c r="KBR2482" s="60"/>
      <c r="KBS2482" s="60"/>
      <c r="KBT2482" s="60"/>
      <c r="KBU2482" s="65"/>
      <c r="KBV2482" s="61"/>
      <c r="KBW2482" s="55"/>
      <c r="KBX2482" s="55"/>
      <c r="KBY2482" s="60"/>
      <c r="KBZ2482" s="60"/>
      <c r="KCA2482" s="60"/>
      <c r="KCB2482" s="60"/>
      <c r="KCC2482" s="65"/>
      <c r="KCD2482" s="61"/>
      <c r="KCE2482" s="55"/>
      <c r="KCF2482" s="55"/>
      <c r="KCG2482" s="60"/>
      <c r="KCH2482" s="60"/>
      <c r="KCI2482" s="60"/>
      <c r="KCJ2482" s="60"/>
      <c r="KCK2482" s="65"/>
      <c r="KCL2482" s="61"/>
      <c r="KCM2482" s="55"/>
      <c r="KCN2482" s="55"/>
      <c r="KCO2482" s="60"/>
      <c r="KCP2482" s="60"/>
      <c r="KCQ2482" s="60"/>
      <c r="KCR2482" s="60"/>
      <c r="KCS2482" s="65"/>
      <c r="KCT2482" s="61"/>
      <c r="KCU2482" s="55"/>
      <c r="KCV2482" s="55"/>
      <c r="KCW2482" s="60"/>
      <c r="KCX2482" s="60"/>
      <c r="KCY2482" s="60"/>
      <c r="KCZ2482" s="60"/>
      <c r="KDA2482" s="65"/>
      <c r="KDB2482" s="61"/>
      <c r="KDC2482" s="55"/>
      <c r="KDD2482" s="55"/>
      <c r="KDE2482" s="60"/>
      <c r="KDF2482" s="60"/>
      <c r="KDG2482" s="60"/>
      <c r="KDH2482" s="60"/>
      <c r="KDI2482" s="65"/>
      <c r="KDJ2482" s="61"/>
      <c r="KDK2482" s="55"/>
      <c r="KDL2482" s="55"/>
      <c r="KDM2482" s="60"/>
      <c r="KDN2482" s="60"/>
      <c r="KDO2482" s="60"/>
      <c r="KDP2482" s="60"/>
      <c r="KDQ2482" s="65"/>
      <c r="KDR2482" s="61"/>
      <c r="KDS2482" s="55"/>
      <c r="KDT2482" s="55"/>
      <c r="KDU2482" s="60"/>
      <c r="KDV2482" s="60"/>
      <c r="KDW2482" s="60"/>
      <c r="KDX2482" s="60"/>
      <c r="KDY2482" s="65"/>
      <c r="KDZ2482" s="61"/>
      <c r="KEA2482" s="55"/>
      <c r="KEB2482" s="55"/>
      <c r="KEC2482" s="60"/>
      <c r="KED2482" s="60"/>
      <c r="KEE2482" s="60"/>
      <c r="KEF2482" s="60"/>
      <c r="KEG2482" s="65"/>
      <c r="KEH2482" s="61"/>
      <c r="KEI2482" s="55"/>
      <c r="KEJ2482" s="55"/>
      <c r="KEK2482" s="60"/>
      <c r="KEL2482" s="60"/>
      <c r="KEM2482" s="60"/>
      <c r="KEN2482" s="60"/>
      <c r="KEO2482" s="65"/>
      <c r="KEP2482" s="61"/>
      <c r="KEQ2482" s="55"/>
      <c r="KER2482" s="55"/>
      <c r="KES2482" s="60"/>
      <c r="KET2482" s="60"/>
      <c r="KEU2482" s="60"/>
      <c r="KEV2482" s="60"/>
      <c r="KEW2482" s="65"/>
      <c r="KEX2482" s="61"/>
      <c r="KEY2482" s="55"/>
      <c r="KEZ2482" s="55"/>
      <c r="KFA2482" s="60"/>
      <c r="KFB2482" s="60"/>
      <c r="KFC2482" s="60"/>
      <c r="KFD2482" s="60"/>
      <c r="KFE2482" s="65"/>
      <c r="KFF2482" s="61"/>
      <c r="KFG2482" s="55"/>
      <c r="KFH2482" s="55"/>
      <c r="KFI2482" s="60"/>
      <c r="KFJ2482" s="60"/>
      <c r="KFK2482" s="60"/>
      <c r="KFL2482" s="60"/>
      <c r="KFM2482" s="65"/>
      <c r="KFN2482" s="61"/>
      <c r="KFO2482" s="55"/>
      <c r="KFP2482" s="55"/>
      <c r="KFQ2482" s="60"/>
      <c r="KFR2482" s="60"/>
      <c r="KFS2482" s="60"/>
      <c r="KFT2482" s="60"/>
      <c r="KFU2482" s="65"/>
      <c r="KFV2482" s="61"/>
      <c r="KFW2482" s="55"/>
      <c r="KFX2482" s="55"/>
      <c r="KFY2482" s="60"/>
      <c r="KFZ2482" s="60"/>
      <c r="KGA2482" s="60"/>
      <c r="KGB2482" s="60"/>
      <c r="KGC2482" s="65"/>
      <c r="KGD2482" s="61"/>
      <c r="KGE2482" s="55"/>
      <c r="KGF2482" s="55"/>
      <c r="KGG2482" s="60"/>
      <c r="KGH2482" s="60"/>
      <c r="KGI2482" s="60"/>
      <c r="KGJ2482" s="60"/>
      <c r="KGK2482" s="65"/>
      <c r="KGL2482" s="61"/>
      <c r="KGM2482" s="55"/>
      <c r="KGN2482" s="55"/>
      <c r="KGO2482" s="60"/>
      <c r="KGP2482" s="60"/>
      <c r="KGQ2482" s="60"/>
      <c r="KGR2482" s="60"/>
      <c r="KGS2482" s="65"/>
      <c r="KGT2482" s="61"/>
      <c r="KGU2482" s="55"/>
      <c r="KGV2482" s="55"/>
      <c r="KGW2482" s="60"/>
      <c r="KGX2482" s="60"/>
      <c r="KGY2482" s="60"/>
      <c r="KGZ2482" s="60"/>
      <c r="KHA2482" s="65"/>
      <c r="KHB2482" s="61"/>
      <c r="KHC2482" s="55"/>
      <c r="KHD2482" s="55"/>
      <c r="KHE2482" s="60"/>
      <c r="KHF2482" s="60"/>
      <c r="KHG2482" s="60"/>
      <c r="KHH2482" s="60"/>
      <c r="KHI2482" s="65"/>
      <c r="KHJ2482" s="61"/>
      <c r="KHK2482" s="55"/>
      <c r="KHL2482" s="55"/>
      <c r="KHM2482" s="60"/>
      <c r="KHN2482" s="60"/>
      <c r="KHO2482" s="60"/>
      <c r="KHP2482" s="60"/>
      <c r="KHQ2482" s="65"/>
      <c r="KHR2482" s="61"/>
      <c r="KHS2482" s="55"/>
      <c r="KHT2482" s="55"/>
      <c r="KHU2482" s="60"/>
      <c r="KHV2482" s="60"/>
      <c r="KHW2482" s="60"/>
      <c r="KHX2482" s="60"/>
      <c r="KHY2482" s="65"/>
      <c r="KHZ2482" s="61"/>
      <c r="KIA2482" s="55"/>
      <c r="KIB2482" s="55"/>
      <c r="KIC2482" s="60"/>
      <c r="KID2482" s="60"/>
      <c r="KIE2482" s="60"/>
      <c r="KIF2482" s="60"/>
      <c r="KIG2482" s="65"/>
      <c r="KIH2482" s="61"/>
      <c r="KII2482" s="55"/>
      <c r="KIJ2482" s="55"/>
      <c r="KIK2482" s="60"/>
      <c r="KIL2482" s="60"/>
      <c r="KIM2482" s="60"/>
      <c r="KIN2482" s="60"/>
      <c r="KIO2482" s="65"/>
      <c r="KIP2482" s="61"/>
      <c r="KIQ2482" s="55"/>
      <c r="KIR2482" s="55"/>
      <c r="KIS2482" s="60"/>
      <c r="KIT2482" s="60"/>
      <c r="KIU2482" s="60"/>
      <c r="KIV2482" s="60"/>
      <c r="KIW2482" s="65"/>
      <c r="KIX2482" s="61"/>
      <c r="KIY2482" s="55"/>
      <c r="KIZ2482" s="55"/>
      <c r="KJA2482" s="60"/>
      <c r="KJB2482" s="60"/>
      <c r="KJC2482" s="60"/>
      <c r="KJD2482" s="60"/>
      <c r="KJE2482" s="65"/>
      <c r="KJF2482" s="61"/>
      <c r="KJG2482" s="55"/>
      <c r="KJH2482" s="55"/>
      <c r="KJI2482" s="60"/>
      <c r="KJJ2482" s="60"/>
      <c r="KJK2482" s="60"/>
      <c r="KJL2482" s="60"/>
      <c r="KJM2482" s="65"/>
      <c r="KJN2482" s="61"/>
      <c r="KJO2482" s="55"/>
      <c r="KJP2482" s="55"/>
      <c r="KJQ2482" s="60"/>
      <c r="KJR2482" s="60"/>
      <c r="KJS2482" s="60"/>
      <c r="KJT2482" s="60"/>
      <c r="KJU2482" s="65"/>
      <c r="KJV2482" s="61"/>
      <c r="KJW2482" s="55"/>
      <c r="KJX2482" s="55"/>
      <c r="KJY2482" s="60"/>
      <c r="KJZ2482" s="60"/>
      <c r="KKA2482" s="60"/>
      <c r="KKB2482" s="60"/>
      <c r="KKC2482" s="65"/>
      <c r="KKD2482" s="61"/>
      <c r="KKE2482" s="55"/>
      <c r="KKF2482" s="55"/>
      <c r="KKG2482" s="60"/>
      <c r="KKH2482" s="60"/>
      <c r="KKI2482" s="60"/>
      <c r="KKJ2482" s="60"/>
      <c r="KKK2482" s="65"/>
      <c r="KKL2482" s="61"/>
      <c r="KKM2482" s="55"/>
      <c r="KKN2482" s="55"/>
      <c r="KKO2482" s="60"/>
      <c r="KKP2482" s="60"/>
      <c r="KKQ2482" s="60"/>
      <c r="KKR2482" s="60"/>
      <c r="KKS2482" s="65"/>
      <c r="KKT2482" s="61"/>
      <c r="KKU2482" s="55"/>
      <c r="KKV2482" s="55"/>
      <c r="KKW2482" s="60"/>
      <c r="KKX2482" s="60"/>
      <c r="KKY2482" s="60"/>
      <c r="KKZ2482" s="60"/>
      <c r="KLA2482" s="65"/>
      <c r="KLB2482" s="61"/>
      <c r="KLC2482" s="55"/>
      <c r="KLD2482" s="55"/>
      <c r="KLE2482" s="60"/>
      <c r="KLF2482" s="60"/>
      <c r="KLG2482" s="60"/>
      <c r="KLH2482" s="60"/>
      <c r="KLI2482" s="65"/>
      <c r="KLJ2482" s="61"/>
      <c r="KLK2482" s="55"/>
      <c r="KLL2482" s="55"/>
      <c r="KLM2482" s="60"/>
      <c r="KLN2482" s="60"/>
      <c r="KLO2482" s="60"/>
      <c r="KLP2482" s="60"/>
      <c r="KLQ2482" s="65"/>
      <c r="KLR2482" s="61"/>
      <c r="KLS2482" s="55"/>
      <c r="KLT2482" s="55"/>
      <c r="KLU2482" s="60"/>
      <c r="KLV2482" s="60"/>
      <c r="KLW2482" s="60"/>
      <c r="KLX2482" s="60"/>
      <c r="KLY2482" s="65"/>
      <c r="KLZ2482" s="61"/>
      <c r="KMA2482" s="55"/>
      <c r="KMB2482" s="55"/>
      <c r="KMC2482" s="60"/>
      <c r="KMD2482" s="60"/>
      <c r="KME2482" s="60"/>
      <c r="KMF2482" s="60"/>
      <c r="KMG2482" s="65"/>
      <c r="KMH2482" s="61"/>
      <c r="KMI2482" s="55"/>
      <c r="KMJ2482" s="55"/>
      <c r="KMK2482" s="60"/>
      <c r="KML2482" s="60"/>
      <c r="KMM2482" s="60"/>
      <c r="KMN2482" s="60"/>
      <c r="KMO2482" s="65"/>
      <c r="KMP2482" s="61"/>
      <c r="KMQ2482" s="55"/>
      <c r="KMR2482" s="55"/>
      <c r="KMS2482" s="60"/>
      <c r="KMT2482" s="60"/>
      <c r="KMU2482" s="60"/>
      <c r="KMV2482" s="60"/>
      <c r="KMW2482" s="65"/>
      <c r="KMX2482" s="61"/>
      <c r="KMY2482" s="55"/>
      <c r="KMZ2482" s="55"/>
      <c r="KNA2482" s="60"/>
      <c r="KNB2482" s="60"/>
      <c r="KNC2482" s="60"/>
      <c r="KND2482" s="60"/>
      <c r="KNE2482" s="65"/>
      <c r="KNF2482" s="61"/>
      <c r="KNG2482" s="55"/>
      <c r="KNH2482" s="55"/>
      <c r="KNI2482" s="60"/>
      <c r="KNJ2482" s="60"/>
      <c r="KNK2482" s="60"/>
      <c r="KNL2482" s="60"/>
      <c r="KNM2482" s="65"/>
      <c r="KNN2482" s="61"/>
      <c r="KNO2482" s="55"/>
      <c r="KNP2482" s="55"/>
      <c r="KNQ2482" s="60"/>
      <c r="KNR2482" s="60"/>
      <c r="KNS2482" s="60"/>
      <c r="KNT2482" s="60"/>
      <c r="KNU2482" s="65"/>
      <c r="KNV2482" s="61"/>
      <c r="KNW2482" s="55"/>
      <c r="KNX2482" s="55"/>
      <c r="KNY2482" s="60"/>
      <c r="KNZ2482" s="60"/>
      <c r="KOA2482" s="60"/>
      <c r="KOB2482" s="60"/>
      <c r="KOC2482" s="65"/>
      <c r="KOD2482" s="61"/>
      <c r="KOE2482" s="55"/>
      <c r="KOF2482" s="55"/>
      <c r="KOG2482" s="60"/>
      <c r="KOH2482" s="60"/>
      <c r="KOI2482" s="60"/>
      <c r="KOJ2482" s="60"/>
      <c r="KOK2482" s="65"/>
      <c r="KOL2482" s="61"/>
      <c r="KOM2482" s="55"/>
      <c r="KON2482" s="55"/>
      <c r="KOO2482" s="60"/>
      <c r="KOP2482" s="60"/>
      <c r="KOQ2482" s="60"/>
      <c r="KOR2482" s="60"/>
      <c r="KOS2482" s="65"/>
      <c r="KOT2482" s="61"/>
      <c r="KOU2482" s="55"/>
      <c r="KOV2482" s="55"/>
      <c r="KOW2482" s="60"/>
      <c r="KOX2482" s="60"/>
      <c r="KOY2482" s="60"/>
      <c r="KOZ2482" s="60"/>
      <c r="KPA2482" s="65"/>
      <c r="KPB2482" s="61"/>
      <c r="KPC2482" s="55"/>
      <c r="KPD2482" s="55"/>
      <c r="KPE2482" s="60"/>
      <c r="KPF2482" s="60"/>
      <c r="KPG2482" s="60"/>
      <c r="KPH2482" s="60"/>
      <c r="KPI2482" s="65"/>
      <c r="KPJ2482" s="61"/>
      <c r="KPK2482" s="55"/>
      <c r="KPL2482" s="55"/>
      <c r="KPM2482" s="60"/>
      <c r="KPN2482" s="60"/>
      <c r="KPO2482" s="60"/>
      <c r="KPP2482" s="60"/>
      <c r="KPQ2482" s="65"/>
      <c r="KPR2482" s="61"/>
      <c r="KPS2482" s="55"/>
      <c r="KPT2482" s="55"/>
      <c r="KPU2482" s="60"/>
      <c r="KPV2482" s="60"/>
      <c r="KPW2482" s="60"/>
      <c r="KPX2482" s="60"/>
      <c r="KPY2482" s="65"/>
      <c r="KPZ2482" s="61"/>
      <c r="KQA2482" s="55"/>
      <c r="KQB2482" s="55"/>
      <c r="KQC2482" s="60"/>
      <c r="KQD2482" s="60"/>
      <c r="KQE2482" s="60"/>
      <c r="KQF2482" s="60"/>
      <c r="KQG2482" s="65"/>
      <c r="KQH2482" s="61"/>
      <c r="KQI2482" s="55"/>
      <c r="KQJ2482" s="55"/>
      <c r="KQK2482" s="60"/>
      <c r="KQL2482" s="60"/>
      <c r="KQM2482" s="60"/>
      <c r="KQN2482" s="60"/>
      <c r="KQO2482" s="65"/>
      <c r="KQP2482" s="61"/>
      <c r="KQQ2482" s="55"/>
      <c r="KQR2482" s="55"/>
      <c r="KQS2482" s="60"/>
      <c r="KQT2482" s="60"/>
      <c r="KQU2482" s="60"/>
      <c r="KQV2482" s="60"/>
      <c r="KQW2482" s="65"/>
      <c r="KQX2482" s="61"/>
      <c r="KQY2482" s="55"/>
      <c r="KQZ2482" s="55"/>
      <c r="KRA2482" s="60"/>
      <c r="KRB2482" s="60"/>
      <c r="KRC2482" s="60"/>
      <c r="KRD2482" s="60"/>
      <c r="KRE2482" s="65"/>
      <c r="KRF2482" s="61"/>
      <c r="KRG2482" s="55"/>
      <c r="KRH2482" s="55"/>
      <c r="KRI2482" s="60"/>
      <c r="KRJ2482" s="60"/>
      <c r="KRK2482" s="60"/>
      <c r="KRL2482" s="60"/>
      <c r="KRM2482" s="65"/>
      <c r="KRN2482" s="61"/>
      <c r="KRO2482" s="55"/>
      <c r="KRP2482" s="55"/>
      <c r="KRQ2482" s="60"/>
      <c r="KRR2482" s="60"/>
      <c r="KRS2482" s="60"/>
      <c r="KRT2482" s="60"/>
      <c r="KRU2482" s="65"/>
      <c r="KRV2482" s="61"/>
      <c r="KRW2482" s="55"/>
      <c r="KRX2482" s="55"/>
      <c r="KRY2482" s="60"/>
      <c r="KRZ2482" s="60"/>
      <c r="KSA2482" s="60"/>
      <c r="KSB2482" s="60"/>
      <c r="KSC2482" s="65"/>
      <c r="KSD2482" s="61"/>
      <c r="KSE2482" s="55"/>
      <c r="KSF2482" s="55"/>
      <c r="KSG2482" s="60"/>
      <c r="KSH2482" s="60"/>
      <c r="KSI2482" s="60"/>
      <c r="KSJ2482" s="60"/>
      <c r="KSK2482" s="65"/>
      <c r="KSL2482" s="61"/>
      <c r="KSM2482" s="55"/>
      <c r="KSN2482" s="55"/>
      <c r="KSO2482" s="60"/>
      <c r="KSP2482" s="60"/>
      <c r="KSQ2482" s="60"/>
      <c r="KSR2482" s="60"/>
      <c r="KSS2482" s="65"/>
      <c r="KST2482" s="61"/>
      <c r="KSU2482" s="55"/>
      <c r="KSV2482" s="55"/>
      <c r="KSW2482" s="60"/>
      <c r="KSX2482" s="60"/>
      <c r="KSY2482" s="60"/>
      <c r="KSZ2482" s="60"/>
      <c r="KTA2482" s="65"/>
      <c r="KTB2482" s="61"/>
      <c r="KTC2482" s="55"/>
      <c r="KTD2482" s="55"/>
      <c r="KTE2482" s="60"/>
      <c r="KTF2482" s="60"/>
      <c r="KTG2482" s="60"/>
      <c r="KTH2482" s="60"/>
      <c r="KTI2482" s="65"/>
      <c r="KTJ2482" s="61"/>
      <c r="KTK2482" s="55"/>
      <c r="KTL2482" s="55"/>
      <c r="KTM2482" s="60"/>
      <c r="KTN2482" s="60"/>
      <c r="KTO2482" s="60"/>
      <c r="KTP2482" s="60"/>
      <c r="KTQ2482" s="65"/>
      <c r="KTR2482" s="61"/>
      <c r="KTS2482" s="55"/>
      <c r="KTT2482" s="55"/>
      <c r="KTU2482" s="60"/>
      <c r="KTV2482" s="60"/>
      <c r="KTW2482" s="60"/>
      <c r="KTX2482" s="60"/>
      <c r="KTY2482" s="65"/>
      <c r="KTZ2482" s="61"/>
      <c r="KUA2482" s="55"/>
      <c r="KUB2482" s="55"/>
      <c r="KUC2482" s="60"/>
      <c r="KUD2482" s="60"/>
      <c r="KUE2482" s="60"/>
      <c r="KUF2482" s="60"/>
      <c r="KUG2482" s="65"/>
      <c r="KUH2482" s="61"/>
      <c r="KUI2482" s="55"/>
      <c r="KUJ2482" s="55"/>
      <c r="KUK2482" s="60"/>
      <c r="KUL2482" s="60"/>
      <c r="KUM2482" s="60"/>
      <c r="KUN2482" s="60"/>
      <c r="KUO2482" s="65"/>
      <c r="KUP2482" s="61"/>
      <c r="KUQ2482" s="55"/>
      <c r="KUR2482" s="55"/>
      <c r="KUS2482" s="60"/>
      <c r="KUT2482" s="60"/>
      <c r="KUU2482" s="60"/>
      <c r="KUV2482" s="60"/>
      <c r="KUW2482" s="65"/>
      <c r="KUX2482" s="61"/>
      <c r="KUY2482" s="55"/>
      <c r="KUZ2482" s="55"/>
      <c r="KVA2482" s="60"/>
      <c r="KVB2482" s="60"/>
      <c r="KVC2482" s="60"/>
      <c r="KVD2482" s="60"/>
      <c r="KVE2482" s="65"/>
      <c r="KVF2482" s="61"/>
      <c r="KVG2482" s="55"/>
      <c r="KVH2482" s="55"/>
      <c r="KVI2482" s="60"/>
      <c r="KVJ2482" s="60"/>
      <c r="KVK2482" s="60"/>
      <c r="KVL2482" s="60"/>
      <c r="KVM2482" s="65"/>
      <c r="KVN2482" s="61"/>
      <c r="KVO2482" s="55"/>
      <c r="KVP2482" s="55"/>
      <c r="KVQ2482" s="60"/>
      <c r="KVR2482" s="60"/>
      <c r="KVS2482" s="60"/>
      <c r="KVT2482" s="60"/>
      <c r="KVU2482" s="65"/>
      <c r="KVV2482" s="61"/>
      <c r="KVW2482" s="55"/>
      <c r="KVX2482" s="55"/>
      <c r="KVY2482" s="60"/>
      <c r="KVZ2482" s="60"/>
      <c r="KWA2482" s="60"/>
      <c r="KWB2482" s="60"/>
      <c r="KWC2482" s="65"/>
      <c r="KWD2482" s="61"/>
      <c r="KWE2482" s="55"/>
      <c r="KWF2482" s="55"/>
      <c r="KWG2482" s="60"/>
      <c r="KWH2482" s="60"/>
      <c r="KWI2482" s="60"/>
      <c r="KWJ2482" s="60"/>
      <c r="KWK2482" s="65"/>
      <c r="KWL2482" s="61"/>
      <c r="KWM2482" s="55"/>
      <c r="KWN2482" s="55"/>
      <c r="KWO2482" s="60"/>
      <c r="KWP2482" s="60"/>
      <c r="KWQ2482" s="60"/>
      <c r="KWR2482" s="60"/>
      <c r="KWS2482" s="65"/>
      <c r="KWT2482" s="61"/>
      <c r="KWU2482" s="55"/>
      <c r="KWV2482" s="55"/>
      <c r="KWW2482" s="60"/>
      <c r="KWX2482" s="60"/>
      <c r="KWY2482" s="60"/>
      <c r="KWZ2482" s="60"/>
      <c r="KXA2482" s="65"/>
      <c r="KXB2482" s="61"/>
      <c r="KXC2482" s="55"/>
      <c r="KXD2482" s="55"/>
      <c r="KXE2482" s="60"/>
      <c r="KXF2482" s="60"/>
      <c r="KXG2482" s="60"/>
      <c r="KXH2482" s="60"/>
      <c r="KXI2482" s="65"/>
      <c r="KXJ2482" s="61"/>
      <c r="KXK2482" s="55"/>
      <c r="KXL2482" s="55"/>
      <c r="KXM2482" s="60"/>
      <c r="KXN2482" s="60"/>
      <c r="KXO2482" s="60"/>
      <c r="KXP2482" s="60"/>
      <c r="KXQ2482" s="65"/>
      <c r="KXR2482" s="61"/>
      <c r="KXS2482" s="55"/>
      <c r="KXT2482" s="55"/>
      <c r="KXU2482" s="60"/>
      <c r="KXV2482" s="60"/>
      <c r="KXW2482" s="60"/>
      <c r="KXX2482" s="60"/>
      <c r="KXY2482" s="65"/>
      <c r="KXZ2482" s="61"/>
      <c r="KYA2482" s="55"/>
      <c r="KYB2482" s="55"/>
      <c r="KYC2482" s="60"/>
      <c r="KYD2482" s="60"/>
      <c r="KYE2482" s="60"/>
      <c r="KYF2482" s="60"/>
      <c r="KYG2482" s="65"/>
      <c r="KYH2482" s="61"/>
      <c r="KYI2482" s="55"/>
      <c r="KYJ2482" s="55"/>
      <c r="KYK2482" s="60"/>
      <c r="KYL2482" s="60"/>
      <c r="KYM2482" s="60"/>
      <c r="KYN2482" s="60"/>
      <c r="KYO2482" s="65"/>
      <c r="KYP2482" s="61"/>
      <c r="KYQ2482" s="55"/>
      <c r="KYR2482" s="55"/>
      <c r="KYS2482" s="60"/>
      <c r="KYT2482" s="60"/>
      <c r="KYU2482" s="60"/>
      <c r="KYV2482" s="60"/>
      <c r="KYW2482" s="65"/>
      <c r="KYX2482" s="61"/>
      <c r="KYY2482" s="55"/>
      <c r="KYZ2482" s="55"/>
      <c r="KZA2482" s="60"/>
      <c r="KZB2482" s="60"/>
      <c r="KZC2482" s="60"/>
      <c r="KZD2482" s="60"/>
      <c r="KZE2482" s="65"/>
      <c r="KZF2482" s="61"/>
      <c r="KZG2482" s="55"/>
      <c r="KZH2482" s="55"/>
      <c r="KZI2482" s="60"/>
      <c r="KZJ2482" s="60"/>
      <c r="KZK2482" s="60"/>
      <c r="KZL2482" s="60"/>
      <c r="KZM2482" s="65"/>
      <c r="KZN2482" s="61"/>
      <c r="KZO2482" s="55"/>
      <c r="KZP2482" s="55"/>
      <c r="KZQ2482" s="60"/>
      <c r="KZR2482" s="60"/>
      <c r="KZS2482" s="60"/>
      <c r="KZT2482" s="60"/>
      <c r="KZU2482" s="65"/>
      <c r="KZV2482" s="61"/>
      <c r="KZW2482" s="55"/>
      <c r="KZX2482" s="55"/>
      <c r="KZY2482" s="60"/>
      <c r="KZZ2482" s="60"/>
      <c r="LAA2482" s="60"/>
      <c r="LAB2482" s="60"/>
      <c r="LAC2482" s="65"/>
      <c r="LAD2482" s="61"/>
      <c r="LAE2482" s="55"/>
      <c r="LAF2482" s="55"/>
      <c r="LAG2482" s="60"/>
      <c r="LAH2482" s="60"/>
      <c r="LAI2482" s="60"/>
      <c r="LAJ2482" s="60"/>
      <c r="LAK2482" s="65"/>
      <c r="LAL2482" s="61"/>
      <c r="LAM2482" s="55"/>
      <c r="LAN2482" s="55"/>
      <c r="LAO2482" s="60"/>
      <c r="LAP2482" s="60"/>
      <c r="LAQ2482" s="60"/>
      <c r="LAR2482" s="60"/>
      <c r="LAS2482" s="65"/>
      <c r="LAT2482" s="61"/>
      <c r="LAU2482" s="55"/>
      <c r="LAV2482" s="55"/>
      <c r="LAW2482" s="60"/>
      <c r="LAX2482" s="60"/>
      <c r="LAY2482" s="60"/>
      <c r="LAZ2482" s="60"/>
      <c r="LBA2482" s="65"/>
      <c r="LBB2482" s="61"/>
      <c r="LBC2482" s="55"/>
      <c r="LBD2482" s="55"/>
      <c r="LBE2482" s="60"/>
      <c r="LBF2482" s="60"/>
      <c r="LBG2482" s="60"/>
      <c r="LBH2482" s="60"/>
      <c r="LBI2482" s="65"/>
      <c r="LBJ2482" s="61"/>
      <c r="LBK2482" s="55"/>
      <c r="LBL2482" s="55"/>
      <c r="LBM2482" s="60"/>
      <c r="LBN2482" s="60"/>
      <c r="LBO2482" s="60"/>
      <c r="LBP2482" s="60"/>
      <c r="LBQ2482" s="65"/>
      <c r="LBR2482" s="61"/>
      <c r="LBS2482" s="55"/>
      <c r="LBT2482" s="55"/>
      <c r="LBU2482" s="60"/>
      <c r="LBV2482" s="60"/>
      <c r="LBW2482" s="60"/>
      <c r="LBX2482" s="60"/>
      <c r="LBY2482" s="65"/>
      <c r="LBZ2482" s="61"/>
      <c r="LCA2482" s="55"/>
      <c r="LCB2482" s="55"/>
      <c r="LCC2482" s="60"/>
      <c r="LCD2482" s="60"/>
      <c r="LCE2482" s="60"/>
      <c r="LCF2482" s="60"/>
      <c r="LCG2482" s="65"/>
      <c r="LCH2482" s="61"/>
      <c r="LCI2482" s="55"/>
      <c r="LCJ2482" s="55"/>
      <c r="LCK2482" s="60"/>
      <c r="LCL2482" s="60"/>
      <c r="LCM2482" s="60"/>
      <c r="LCN2482" s="60"/>
      <c r="LCO2482" s="65"/>
      <c r="LCP2482" s="61"/>
      <c r="LCQ2482" s="55"/>
      <c r="LCR2482" s="55"/>
      <c r="LCS2482" s="60"/>
      <c r="LCT2482" s="60"/>
      <c r="LCU2482" s="60"/>
      <c r="LCV2482" s="60"/>
      <c r="LCW2482" s="65"/>
      <c r="LCX2482" s="61"/>
      <c r="LCY2482" s="55"/>
      <c r="LCZ2482" s="55"/>
      <c r="LDA2482" s="60"/>
      <c r="LDB2482" s="60"/>
      <c r="LDC2482" s="60"/>
      <c r="LDD2482" s="60"/>
      <c r="LDE2482" s="65"/>
      <c r="LDF2482" s="61"/>
      <c r="LDG2482" s="55"/>
      <c r="LDH2482" s="55"/>
      <c r="LDI2482" s="60"/>
      <c r="LDJ2482" s="60"/>
      <c r="LDK2482" s="60"/>
      <c r="LDL2482" s="60"/>
      <c r="LDM2482" s="65"/>
      <c r="LDN2482" s="61"/>
      <c r="LDO2482" s="55"/>
      <c r="LDP2482" s="55"/>
      <c r="LDQ2482" s="60"/>
      <c r="LDR2482" s="60"/>
      <c r="LDS2482" s="60"/>
      <c r="LDT2482" s="60"/>
      <c r="LDU2482" s="65"/>
      <c r="LDV2482" s="61"/>
      <c r="LDW2482" s="55"/>
      <c r="LDX2482" s="55"/>
      <c r="LDY2482" s="60"/>
      <c r="LDZ2482" s="60"/>
      <c r="LEA2482" s="60"/>
      <c r="LEB2482" s="60"/>
      <c r="LEC2482" s="65"/>
      <c r="LED2482" s="61"/>
      <c r="LEE2482" s="55"/>
      <c r="LEF2482" s="55"/>
      <c r="LEG2482" s="60"/>
      <c r="LEH2482" s="60"/>
      <c r="LEI2482" s="60"/>
      <c r="LEJ2482" s="60"/>
      <c r="LEK2482" s="65"/>
      <c r="LEL2482" s="61"/>
      <c r="LEM2482" s="55"/>
      <c r="LEN2482" s="55"/>
      <c r="LEO2482" s="60"/>
      <c r="LEP2482" s="60"/>
      <c r="LEQ2482" s="60"/>
      <c r="LER2482" s="60"/>
      <c r="LES2482" s="65"/>
      <c r="LET2482" s="61"/>
      <c r="LEU2482" s="55"/>
      <c r="LEV2482" s="55"/>
      <c r="LEW2482" s="60"/>
      <c r="LEX2482" s="60"/>
      <c r="LEY2482" s="60"/>
      <c r="LEZ2482" s="60"/>
      <c r="LFA2482" s="65"/>
      <c r="LFB2482" s="61"/>
      <c r="LFC2482" s="55"/>
      <c r="LFD2482" s="55"/>
      <c r="LFE2482" s="60"/>
      <c r="LFF2482" s="60"/>
      <c r="LFG2482" s="60"/>
      <c r="LFH2482" s="60"/>
      <c r="LFI2482" s="65"/>
      <c r="LFJ2482" s="61"/>
      <c r="LFK2482" s="55"/>
      <c r="LFL2482" s="55"/>
      <c r="LFM2482" s="60"/>
      <c r="LFN2482" s="60"/>
      <c r="LFO2482" s="60"/>
      <c r="LFP2482" s="60"/>
      <c r="LFQ2482" s="65"/>
      <c r="LFR2482" s="61"/>
      <c r="LFS2482" s="55"/>
      <c r="LFT2482" s="55"/>
      <c r="LFU2482" s="60"/>
      <c r="LFV2482" s="60"/>
      <c r="LFW2482" s="60"/>
      <c r="LFX2482" s="60"/>
      <c r="LFY2482" s="65"/>
      <c r="LFZ2482" s="61"/>
      <c r="LGA2482" s="55"/>
      <c r="LGB2482" s="55"/>
      <c r="LGC2482" s="60"/>
      <c r="LGD2482" s="60"/>
      <c r="LGE2482" s="60"/>
      <c r="LGF2482" s="60"/>
      <c r="LGG2482" s="65"/>
      <c r="LGH2482" s="61"/>
      <c r="LGI2482" s="55"/>
      <c r="LGJ2482" s="55"/>
      <c r="LGK2482" s="60"/>
      <c r="LGL2482" s="60"/>
      <c r="LGM2482" s="60"/>
      <c r="LGN2482" s="60"/>
      <c r="LGO2482" s="65"/>
      <c r="LGP2482" s="61"/>
      <c r="LGQ2482" s="55"/>
      <c r="LGR2482" s="55"/>
      <c r="LGS2482" s="60"/>
      <c r="LGT2482" s="60"/>
      <c r="LGU2482" s="60"/>
      <c r="LGV2482" s="60"/>
      <c r="LGW2482" s="65"/>
      <c r="LGX2482" s="61"/>
      <c r="LGY2482" s="55"/>
      <c r="LGZ2482" s="55"/>
      <c r="LHA2482" s="60"/>
      <c r="LHB2482" s="60"/>
      <c r="LHC2482" s="60"/>
      <c r="LHD2482" s="60"/>
      <c r="LHE2482" s="65"/>
      <c r="LHF2482" s="61"/>
      <c r="LHG2482" s="55"/>
      <c r="LHH2482" s="55"/>
      <c r="LHI2482" s="60"/>
      <c r="LHJ2482" s="60"/>
      <c r="LHK2482" s="60"/>
      <c r="LHL2482" s="60"/>
      <c r="LHM2482" s="65"/>
      <c r="LHN2482" s="61"/>
      <c r="LHO2482" s="55"/>
      <c r="LHP2482" s="55"/>
      <c r="LHQ2482" s="60"/>
      <c r="LHR2482" s="60"/>
      <c r="LHS2482" s="60"/>
      <c r="LHT2482" s="60"/>
      <c r="LHU2482" s="65"/>
      <c r="LHV2482" s="61"/>
      <c r="LHW2482" s="55"/>
      <c r="LHX2482" s="55"/>
      <c r="LHY2482" s="60"/>
      <c r="LHZ2482" s="60"/>
      <c r="LIA2482" s="60"/>
      <c r="LIB2482" s="60"/>
      <c r="LIC2482" s="65"/>
      <c r="LID2482" s="61"/>
      <c r="LIE2482" s="55"/>
      <c r="LIF2482" s="55"/>
      <c r="LIG2482" s="60"/>
      <c r="LIH2482" s="60"/>
      <c r="LII2482" s="60"/>
      <c r="LIJ2482" s="60"/>
      <c r="LIK2482" s="65"/>
      <c r="LIL2482" s="61"/>
      <c r="LIM2482" s="55"/>
      <c r="LIN2482" s="55"/>
      <c r="LIO2482" s="60"/>
      <c r="LIP2482" s="60"/>
      <c r="LIQ2482" s="60"/>
      <c r="LIR2482" s="60"/>
      <c r="LIS2482" s="65"/>
      <c r="LIT2482" s="61"/>
      <c r="LIU2482" s="55"/>
      <c r="LIV2482" s="55"/>
      <c r="LIW2482" s="60"/>
      <c r="LIX2482" s="60"/>
      <c r="LIY2482" s="60"/>
      <c r="LIZ2482" s="60"/>
      <c r="LJA2482" s="65"/>
      <c r="LJB2482" s="61"/>
      <c r="LJC2482" s="55"/>
      <c r="LJD2482" s="55"/>
      <c r="LJE2482" s="60"/>
      <c r="LJF2482" s="60"/>
      <c r="LJG2482" s="60"/>
      <c r="LJH2482" s="60"/>
      <c r="LJI2482" s="65"/>
      <c r="LJJ2482" s="61"/>
      <c r="LJK2482" s="55"/>
      <c r="LJL2482" s="55"/>
      <c r="LJM2482" s="60"/>
      <c r="LJN2482" s="60"/>
      <c r="LJO2482" s="60"/>
      <c r="LJP2482" s="60"/>
      <c r="LJQ2482" s="65"/>
      <c r="LJR2482" s="61"/>
      <c r="LJS2482" s="55"/>
      <c r="LJT2482" s="55"/>
      <c r="LJU2482" s="60"/>
      <c r="LJV2482" s="60"/>
      <c r="LJW2482" s="60"/>
      <c r="LJX2482" s="60"/>
      <c r="LJY2482" s="65"/>
      <c r="LJZ2482" s="61"/>
      <c r="LKA2482" s="55"/>
      <c r="LKB2482" s="55"/>
      <c r="LKC2482" s="60"/>
      <c r="LKD2482" s="60"/>
      <c r="LKE2482" s="60"/>
      <c r="LKF2482" s="60"/>
      <c r="LKG2482" s="65"/>
      <c r="LKH2482" s="61"/>
      <c r="LKI2482" s="55"/>
      <c r="LKJ2482" s="55"/>
      <c r="LKK2482" s="60"/>
      <c r="LKL2482" s="60"/>
      <c r="LKM2482" s="60"/>
      <c r="LKN2482" s="60"/>
      <c r="LKO2482" s="65"/>
      <c r="LKP2482" s="61"/>
      <c r="LKQ2482" s="55"/>
      <c r="LKR2482" s="55"/>
      <c r="LKS2482" s="60"/>
      <c r="LKT2482" s="60"/>
      <c r="LKU2482" s="60"/>
      <c r="LKV2482" s="60"/>
      <c r="LKW2482" s="65"/>
      <c r="LKX2482" s="61"/>
      <c r="LKY2482" s="55"/>
      <c r="LKZ2482" s="55"/>
      <c r="LLA2482" s="60"/>
      <c r="LLB2482" s="60"/>
      <c r="LLC2482" s="60"/>
      <c r="LLD2482" s="60"/>
      <c r="LLE2482" s="65"/>
      <c r="LLF2482" s="61"/>
      <c r="LLG2482" s="55"/>
      <c r="LLH2482" s="55"/>
      <c r="LLI2482" s="60"/>
      <c r="LLJ2482" s="60"/>
      <c r="LLK2482" s="60"/>
      <c r="LLL2482" s="60"/>
      <c r="LLM2482" s="65"/>
      <c r="LLN2482" s="61"/>
      <c r="LLO2482" s="55"/>
      <c r="LLP2482" s="55"/>
      <c r="LLQ2482" s="60"/>
      <c r="LLR2482" s="60"/>
      <c r="LLS2482" s="60"/>
      <c r="LLT2482" s="60"/>
      <c r="LLU2482" s="65"/>
      <c r="LLV2482" s="61"/>
      <c r="LLW2482" s="55"/>
      <c r="LLX2482" s="55"/>
      <c r="LLY2482" s="60"/>
      <c r="LLZ2482" s="60"/>
      <c r="LMA2482" s="60"/>
      <c r="LMB2482" s="60"/>
      <c r="LMC2482" s="65"/>
      <c r="LMD2482" s="61"/>
      <c r="LME2482" s="55"/>
      <c r="LMF2482" s="55"/>
      <c r="LMG2482" s="60"/>
      <c r="LMH2482" s="60"/>
      <c r="LMI2482" s="60"/>
      <c r="LMJ2482" s="60"/>
      <c r="LMK2482" s="65"/>
      <c r="LML2482" s="61"/>
      <c r="LMM2482" s="55"/>
      <c r="LMN2482" s="55"/>
      <c r="LMO2482" s="60"/>
      <c r="LMP2482" s="60"/>
      <c r="LMQ2482" s="60"/>
      <c r="LMR2482" s="60"/>
      <c r="LMS2482" s="65"/>
      <c r="LMT2482" s="61"/>
      <c r="LMU2482" s="55"/>
      <c r="LMV2482" s="55"/>
      <c r="LMW2482" s="60"/>
      <c r="LMX2482" s="60"/>
      <c r="LMY2482" s="60"/>
      <c r="LMZ2482" s="60"/>
      <c r="LNA2482" s="65"/>
      <c r="LNB2482" s="61"/>
      <c r="LNC2482" s="55"/>
      <c r="LND2482" s="55"/>
      <c r="LNE2482" s="60"/>
      <c r="LNF2482" s="60"/>
      <c r="LNG2482" s="60"/>
      <c r="LNH2482" s="60"/>
      <c r="LNI2482" s="65"/>
      <c r="LNJ2482" s="61"/>
      <c r="LNK2482" s="55"/>
      <c r="LNL2482" s="55"/>
      <c r="LNM2482" s="60"/>
      <c r="LNN2482" s="60"/>
      <c r="LNO2482" s="60"/>
      <c r="LNP2482" s="60"/>
      <c r="LNQ2482" s="65"/>
      <c r="LNR2482" s="61"/>
      <c r="LNS2482" s="55"/>
      <c r="LNT2482" s="55"/>
      <c r="LNU2482" s="60"/>
      <c r="LNV2482" s="60"/>
      <c r="LNW2482" s="60"/>
      <c r="LNX2482" s="60"/>
      <c r="LNY2482" s="65"/>
      <c r="LNZ2482" s="61"/>
      <c r="LOA2482" s="55"/>
      <c r="LOB2482" s="55"/>
      <c r="LOC2482" s="60"/>
      <c r="LOD2482" s="60"/>
      <c r="LOE2482" s="60"/>
      <c r="LOF2482" s="60"/>
      <c r="LOG2482" s="65"/>
      <c r="LOH2482" s="61"/>
      <c r="LOI2482" s="55"/>
      <c r="LOJ2482" s="55"/>
      <c r="LOK2482" s="60"/>
      <c r="LOL2482" s="60"/>
      <c r="LOM2482" s="60"/>
      <c r="LON2482" s="60"/>
      <c r="LOO2482" s="65"/>
      <c r="LOP2482" s="61"/>
      <c r="LOQ2482" s="55"/>
      <c r="LOR2482" s="55"/>
      <c r="LOS2482" s="60"/>
      <c r="LOT2482" s="60"/>
      <c r="LOU2482" s="60"/>
      <c r="LOV2482" s="60"/>
      <c r="LOW2482" s="65"/>
      <c r="LOX2482" s="61"/>
      <c r="LOY2482" s="55"/>
      <c r="LOZ2482" s="55"/>
      <c r="LPA2482" s="60"/>
      <c r="LPB2482" s="60"/>
      <c r="LPC2482" s="60"/>
      <c r="LPD2482" s="60"/>
      <c r="LPE2482" s="65"/>
      <c r="LPF2482" s="61"/>
      <c r="LPG2482" s="55"/>
      <c r="LPH2482" s="55"/>
      <c r="LPI2482" s="60"/>
      <c r="LPJ2482" s="60"/>
      <c r="LPK2482" s="60"/>
      <c r="LPL2482" s="60"/>
      <c r="LPM2482" s="65"/>
      <c r="LPN2482" s="61"/>
      <c r="LPO2482" s="55"/>
      <c r="LPP2482" s="55"/>
      <c r="LPQ2482" s="60"/>
      <c r="LPR2482" s="60"/>
      <c r="LPS2482" s="60"/>
      <c r="LPT2482" s="60"/>
      <c r="LPU2482" s="65"/>
      <c r="LPV2482" s="61"/>
      <c r="LPW2482" s="55"/>
      <c r="LPX2482" s="55"/>
      <c r="LPY2482" s="60"/>
      <c r="LPZ2482" s="60"/>
      <c r="LQA2482" s="60"/>
      <c r="LQB2482" s="60"/>
      <c r="LQC2482" s="65"/>
      <c r="LQD2482" s="61"/>
      <c r="LQE2482" s="55"/>
      <c r="LQF2482" s="55"/>
      <c r="LQG2482" s="60"/>
      <c r="LQH2482" s="60"/>
      <c r="LQI2482" s="60"/>
      <c r="LQJ2482" s="60"/>
      <c r="LQK2482" s="65"/>
      <c r="LQL2482" s="61"/>
      <c r="LQM2482" s="55"/>
      <c r="LQN2482" s="55"/>
      <c r="LQO2482" s="60"/>
      <c r="LQP2482" s="60"/>
      <c r="LQQ2482" s="60"/>
      <c r="LQR2482" s="60"/>
      <c r="LQS2482" s="65"/>
      <c r="LQT2482" s="61"/>
      <c r="LQU2482" s="55"/>
      <c r="LQV2482" s="55"/>
      <c r="LQW2482" s="60"/>
      <c r="LQX2482" s="60"/>
      <c r="LQY2482" s="60"/>
      <c r="LQZ2482" s="60"/>
      <c r="LRA2482" s="65"/>
      <c r="LRB2482" s="61"/>
      <c r="LRC2482" s="55"/>
      <c r="LRD2482" s="55"/>
      <c r="LRE2482" s="60"/>
      <c r="LRF2482" s="60"/>
      <c r="LRG2482" s="60"/>
      <c r="LRH2482" s="60"/>
      <c r="LRI2482" s="65"/>
      <c r="LRJ2482" s="61"/>
      <c r="LRK2482" s="55"/>
      <c r="LRL2482" s="55"/>
      <c r="LRM2482" s="60"/>
      <c r="LRN2482" s="60"/>
      <c r="LRO2482" s="60"/>
      <c r="LRP2482" s="60"/>
      <c r="LRQ2482" s="65"/>
      <c r="LRR2482" s="61"/>
      <c r="LRS2482" s="55"/>
      <c r="LRT2482" s="55"/>
      <c r="LRU2482" s="60"/>
      <c r="LRV2482" s="60"/>
      <c r="LRW2482" s="60"/>
      <c r="LRX2482" s="60"/>
      <c r="LRY2482" s="65"/>
      <c r="LRZ2482" s="61"/>
      <c r="LSA2482" s="55"/>
      <c r="LSB2482" s="55"/>
      <c r="LSC2482" s="60"/>
      <c r="LSD2482" s="60"/>
      <c r="LSE2482" s="60"/>
      <c r="LSF2482" s="60"/>
      <c r="LSG2482" s="65"/>
      <c r="LSH2482" s="61"/>
      <c r="LSI2482" s="55"/>
      <c r="LSJ2482" s="55"/>
      <c r="LSK2482" s="60"/>
      <c r="LSL2482" s="60"/>
      <c r="LSM2482" s="60"/>
      <c r="LSN2482" s="60"/>
      <c r="LSO2482" s="65"/>
      <c r="LSP2482" s="61"/>
      <c r="LSQ2482" s="55"/>
      <c r="LSR2482" s="55"/>
      <c r="LSS2482" s="60"/>
      <c r="LST2482" s="60"/>
      <c r="LSU2482" s="60"/>
      <c r="LSV2482" s="60"/>
      <c r="LSW2482" s="65"/>
      <c r="LSX2482" s="61"/>
      <c r="LSY2482" s="55"/>
      <c r="LSZ2482" s="55"/>
      <c r="LTA2482" s="60"/>
      <c r="LTB2482" s="60"/>
      <c r="LTC2482" s="60"/>
      <c r="LTD2482" s="60"/>
      <c r="LTE2482" s="65"/>
      <c r="LTF2482" s="61"/>
      <c r="LTG2482" s="55"/>
      <c r="LTH2482" s="55"/>
      <c r="LTI2482" s="60"/>
      <c r="LTJ2482" s="60"/>
      <c r="LTK2482" s="60"/>
      <c r="LTL2482" s="60"/>
      <c r="LTM2482" s="65"/>
      <c r="LTN2482" s="61"/>
      <c r="LTO2482" s="55"/>
      <c r="LTP2482" s="55"/>
      <c r="LTQ2482" s="60"/>
      <c r="LTR2482" s="60"/>
      <c r="LTS2482" s="60"/>
      <c r="LTT2482" s="60"/>
      <c r="LTU2482" s="65"/>
      <c r="LTV2482" s="61"/>
      <c r="LTW2482" s="55"/>
      <c r="LTX2482" s="55"/>
      <c r="LTY2482" s="60"/>
      <c r="LTZ2482" s="60"/>
      <c r="LUA2482" s="60"/>
      <c r="LUB2482" s="60"/>
      <c r="LUC2482" s="65"/>
      <c r="LUD2482" s="61"/>
      <c r="LUE2482" s="55"/>
      <c r="LUF2482" s="55"/>
      <c r="LUG2482" s="60"/>
      <c r="LUH2482" s="60"/>
      <c r="LUI2482" s="60"/>
      <c r="LUJ2482" s="60"/>
      <c r="LUK2482" s="65"/>
      <c r="LUL2482" s="61"/>
      <c r="LUM2482" s="55"/>
      <c r="LUN2482" s="55"/>
      <c r="LUO2482" s="60"/>
      <c r="LUP2482" s="60"/>
      <c r="LUQ2482" s="60"/>
      <c r="LUR2482" s="60"/>
      <c r="LUS2482" s="65"/>
      <c r="LUT2482" s="61"/>
      <c r="LUU2482" s="55"/>
      <c r="LUV2482" s="55"/>
      <c r="LUW2482" s="60"/>
      <c r="LUX2482" s="60"/>
      <c r="LUY2482" s="60"/>
      <c r="LUZ2482" s="60"/>
      <c r="LVA2482" s="65"/>
      <c r="LVB2482" s="61"/>
      <c r="LVC2482" s="55"/>
      <c r="LVD2482" s="55"/>
      <c r="LVE2482" s="60"/>
      <c r="LVF2482" s="60"/>
      <c r="LVG2482" s="60"/>
      <c r="LVH2482" s="60"/>
      <c r="LVI2482" s="65"/>
      <c r="LVJ2482" s="61"/>
      <c r="LVK2482" s="55"/>
      <c r="LVL2482" s="55"/>
      <c r="LVM2482" s="60"/>
      <c r="LVN2482" s="60"/>
      <c r="LVO2482" s="60"/>
      <c r="LVP2482" s="60"/>
      <c r="LVQ2482" s="65"/>
      <c r="LVR2482" s="61"/>
      <c r="LVS2482" s="55"/>
      <c r="LVT2482" s="55"/>
      <c r="LVU2482" s="60"/>
      <c r="LVV2482" s="60"/>
      <c r="LVW2482" s="60"/>
      <c r="LVX2482" s="60"/>
      <c r="LVY2482" s="65"/>
      <c r="LVZ2482" s="61"/>
      <c r="LWA2482" s="55"/>
      <c r="LWB2482" s="55"/>
      <c r="LWC2482" s="60"/>
      <c r="LWD2482" s="60"/>
      <c r="LWE2482" s="60"/>
      <c r="LWF2482" s="60"/>
      <c r="LWG2482" s="65"/>
      <c r="LWH2482" s="61"/>
      <c r="LWI2482" s="55"/>
      <c r="LWJ2482" s="55"/>
      <c r="LWK2482" s="60"/>
      <c r="LWL2482" s="60"/>
      <c r="LWM2482" s="60"/>
      <c r="LWN2482" s="60"/>
      <c r="LWO2482" s="65"/>
      <c r="LWP2482" s="61"/>
      <c r="LWQ2482" s="55"/>
      <c r="LWR2482" s="55"/>
      <c r="LWS2482" s="60"/>
      <c r="LWT2482" s="60"/>
      <c r="LWU2482" s="60"/>
      <c r="LWV2482" s="60"/>
      <c r="LWW2482" s="65"/>
      <c r="LWX2482" s="61"/>
      <c r="LWY2482" s="55"/>
      <c r="LWZ2482" s="55"/>
      <c r="LXA2482" s="60"/>
      <c r="LXB2482" s="60"/>
      <c r="LXC2482" s="60"/>
      <c r="LXD2482" s="60"/>
      <c r="LXE2482" s="65"/>
      <c r="LXF2482" s="61"/>
      <c r="LXG2482" s="55"/>
      <c r="LXH2482" s="55"/>
      <c r="LXI2482" s="60"/>
      <c r="LXJ2482" s="60"/>
      <c r="LXK2482" s="60"/>
      <c r="LXL2482" s="60"/>
      <c r="LXM2482" s="65"/>
      <c r="LXN2482" s="61"/>
      <c r="LXO2482" s="55"/>
      <c r="LXP2482" s="55"/>
      <c r="LXQ2482" s="60"/>
      <c r="LXR2482" s="60"/>
      <c r="LXS2482" s="60"/>
      <c r="LXT2482" s="60"/>
      <c r="LXU2482" s="65"/>
      <c r="LXV2482" s="61"/>
      <c r="LXW2482" s="55"/>
      <c r="LXX2482" s="55"/>
      <c r="LXY2482" s="60"/>
      <c r="LXZ2482" s="60"/>
      <c r="LYA2482" s="60"/>
      <c r="LYB2482" s="60"/>
      <c r="LYC2482" s="65"/>
      <c r="LYD2482" s="61"/>
      <c r="LYE2482" s="55"/>
      <c r="LYF2482" s="55"/>
      <c r="LYG2482" s="60"/>
      <c r="LYH2482" s="60"/>
      <c r="LYI2482" s="60"/>
      <c r="LYJ2482" s="60"/>
      <c r="LYK2482" s="65"/>
      <c r="LYL2482" s="61"/>
      <c r="LYM2482" s="55"/>
      <c r="LYN2482" s="55"/>
      <c r="LYO2482" s="60"/>
      <c r="LYP2482" s="60"/>
      <c r="LYQ2482" s="60"/>
      <c r="LYR2482" s="60"/>
      <c r="LYS2482" s="65"/>
      <c r="LYT2482" s="61"/>
      <c r="LYU2482" s="55"/>
      <c r="LYV2482" s="55"/>
      <c r="LYW2482" s="60"/>
      <c r="LYX2482" s="60"/>
      <c r="LYY2482" s="60"/>
      <c r="LYZ2482" s="60"/>
      <c r="LZA2482" s="65"/>
      <c r="LZB2482" s="61"/>
      <c r="LZC2482" s="55"/>
      <c r="LZD2482" s="55"/>
      <c r="LZE2482" s="60"/>
      <c r="LZF2482" s="60"/>
      <c r="LZG2482" s="60"/>
      <c r="LZH2482" s="60"/>
      <c r="LZI2482" s="65"/>
      <c r="LZJ2482" s="61"/>
      <c r="LZK2482" s="55"/>
      <c r="LZL2482" s="55"/>
      <c r="LZM2482" s="60"/>
      <c r="LZN2482" s="60"/>
      <c r="LZO2482" s="60"/>
      <c r="LZP2482" s="60"/>
      <c r="LZQ2482" s="65"/>
      <c r="LZR2482" s="61"/>
      <c r="LZS2482" s="55"/>
      <c r="LZT2482" s="55"/>
      <c r="LZU2482" s="60"/>
      <c r="LZV2482" s="60"/>
      <c r="LZW2482" s="60"/>
      <c r="LZX2482" s="60"/>
      <c r="LZY2482" s="65"/>
      <c r="LZZ2482" s="61"/>
      <c r="MAA2482" s="55"/>
      <c r="MAB2482" s="55"/>
      <c r="MAC2482" s="60"/>
      <c r="MAD2482" s="60"/>
      <c r="MAE2482" s="60"/>
      <c r="MAF2482" s="60"/>
      <c r="MAG2482" s="65"/>
      <c r="MAH2482" s="61"/>
      <c r="MAI2482" s="55"/>
      <c r="MAJ2482" s="55"/>
      <c r="MAK2482" s="60"/>
      <c r="MAL2482" s="60"/>
      <c r="MAM2482" s="60"/>
      <c r="MAN2482" s="60"/>
      <c r="MAO2482" s="65"/>
      <c r="MAP2482" s="61"/>
      <c r="MAQ2482" s="55"/>
      <c r="MAR2482" s="55"/>
      <c r="MAS2482" s="60"/>
      <c r="MAT2482" s="60"/>
      <c r="MAU2482" s="60"/>
      <c r="MAV2482" s="60"/>
      <c r="MAW2482" s="65"/>
      <c r="MAX2482" s="61"/>
      <c r="MAY2482" s="55"/>
      <c r="MAZ2482" s="55"/>
      <c r="MBA2482" s="60"/>
      <c r="MBB2482" s="60"/>
      <c r="MBC2482" s="60"/>
      <c r="MBD2482" s="60"/>
      <c r="MBE2482" s="65"/>
      <c r="MBF2482" s="61"/>
      <c r="MBG2482" s="55"/>
      <c r="MBH2482" s="55"/>
      <c r="MBI2482" s="60"/>
      <c r="MBJ2482" s="60"/>
      <c r="MBK2482" s="60"/>
      <c r="MBL2482" s="60"/>
      <c r="MBM2482" s="65"/>
      <c r="MBN2482" s="61"/>
      <c r="MBO2482" s="55"/>
      <c r="MBP2482" s="55"/>
      <c r="MBQ2482" s="60"/>
      <c r="MBR2482" s="60"/>
      <c r="MBS2482" s="60"/>
      <c r="MBT2482" s="60"/>
      <c r="MBU2482" s="65"/>
      <c r="MBV2482" s="61"/>
      <c r="MBW2482" s="55"/>
      <c r="MBX2482" s="55"/>
      <c r="MBY2482" s="60"/>
      <c r="MBZ2482" s="60"/>
      <c r="MCA2482" s="60"/>
      <c r="MCB2482" s="60"/>
      <c r="MCC2482" s="65"/>
      <c r="MCD2482" s="61"/>
      <c r="MCE2482" s="55"/>
      <c r="MCF2482" s="55"/>
      <c r="MCG2482" s="60"/>
      <c r="MCH2482" s="60"/>
      <c r="MCI2482" s="60"/>
      <c r="MCJ2482" s="60"/>
      <c r="MCK2482" s="65"/>
      <c r="MCL2482" s="61"/>
      <c r="MCM2482" s="55"/>
      <c r="MCN2482" s="55"/>
      <c r="MCO2482" s="60"/>
      <c r="MCP2482" s="60"/>
      <c r="MCQ2482" s="60"/>
      <c r="MCR2482" s="60"/>
      <c r="MCS2482" s="65"/>
      <c r="MCT2482" s="61"/>
      <c r="MCU2482" s="55"/>
      <c r="MCV2482" s="55"/>
      <c r="MCW2482" s="60"/>
      <c r="MCX2482" s="60"/>
      <c r="MCY2482" s="60"/>
      <c r="MCZ2482" s="60"/>
      <c r="MDA2482" s="65"/>
      <c r="MDB2482" s="61"/>
      <c r="MDC2482" s="55"/>
      <c r="MDD2482" s="55"/>
      <c r="MDE2482" s="60"/>
      <c r="MDF2482" s="60"/>
      <c r="MDG2482" s="60"/>
      <c r="MDH2482" s="60"/>
      <c r="MDI2482" s="65"/>
      <c r="MDJ2482" s="61"/>
      <c r="MDK2482" s="55"/>
      <c r="MDL2482" s="55"/>
      <c r="MDM2482" s="60"/>
      <c r="MDN2482" s="60"/>
      <c r="MDO2482" s="60"/>
      <c r="MDP2482" s="60"/>
      <c r="MDQ2482" s="65"/>
      <c r="MDR2482" s="61"/>
      <c r="MDS2482" s="55"/>
      <c r="MDT2482" s="55"/>
      <c r="MDU2482" s="60"/>
      <c r="MDV2482" s="60"/>
      <c r="MDW2482" s="60"/>
      <c r="MDX2482" s="60"/>
      <c r="MDY2482" s="65"/>
      <c r="MDZ2482" s="61"/>
      <c r="MEA2482" s="55"/>
      <c r="MEB2482" s="55"/>
      <c r="MEC2482" s="60"/>
      <c r="MED2482" s="60"/>
      <c r="MEE2482" s="60"/>
      <c r="MEF2482" s="60"/>
      <c r="MEG2482" s="65"/>
      <c r="MEH2482" s="61"/>
      <c r="MEI2482" s="55"/>
      <c r="MEJ2482" s="55"/>
      <c r="MEK2482" s="60"/>
      <c r="MEL2482" s="60"/>
      <c r="MEM2482" s="60"/>
      <c r="MEN2482" s="60"/>
      <c r="MEO2482" s="65"/>
      <c r="MEP2482" s="61"/>
      <c r="MEQ2482" s="55"/>
      <c r="MER2482" s="55"/>
      <c r="MES2482" s="60"/>
      <c r="MET2482" s="60"/>
      <c r="MEU2482" s="60"/>
      <c r="MEV2482" s="60"/>
      <c r="MEW2482" s="65"/>
      <c r="MEX2482" s="61"/>
      <c r="MEY2482" s="55"/>
      <c r="MEZ2482" s="55"/>
      <c r="MFA2482" s="60"/>
      <c r="MFB2482" s="60"/>
      <c r="MFC2482" s="60"/>
      <c r="MFD2482" s="60"/>
      <c r="MFE2482" s="65"/>
      <c r="MFF2482" s="61"/>
      <c r="MFG2482" s="55"/>
      <c r="MFH2482" s="55"/>
      <c r="MFI2482" s="60"/>
      <c r="MFJ2482" s="60"/>
      <c r="MFK2482" s="60"/>
      <c r="MFL2482" s="60"/>
      <c r="MFM2482" s="65"/>
      <c r="MFN2482" s="61"/>
      <c r="MFO2482" s="55"/>
      <c r="MFP2482" s="55"/>
      <c r="MFQ2482" s="60"/>
      <c r="MFR2482" s="60"/>
      <c r="MFS2482" s="60"/>
      <c r="MFT2482" s="60"/>
      <c r="MFU2482" s="65"/>
      <c r="MFV2482" s="61"/>
      <c r="MFW2482" s="55"/>
      <c r="MFX2482" s="55"/>
      <c r="MFY2482" s="60"/>
      <c r="MFZ2482" s="60"/>
      <c r="MGA2482" s="60"/>
      <c r="MGB2482" s="60"/>
      <c r="MGC2482" s="65"/>
      <c r="MGD2482" s="61"/>
      <c r="MGE2482" s="55"/>
      <c r="MGF2482" s="55"/>
      <c r="MGG2482" s="60"/>
      <c r="MGH2482" s="60"/>
      <c r="MGI2482" s="60"/>
      <c r="MGJ2482" s="60"/>
      <c r="MGK2482" s="65"/>
      <c r="MGL2482" s="61"/>
      <c r="MGM2482" s="55"/>
      <c r="MGN2482" s="55"/>
      <c r="MGO2482" s="60"/>
      <c r="MGP2482" s="60"/>
      <c r="MGQ2482" s="60"/>
      <c r="MGR2482" s="60"/>
      <c r="MGS2482" s="65"/>
      <c r="MGT2482" s="61"/>
      <c r="MGU2482" s="55"/>
      <c r="MGV2482" s="55"/>
      <c r="MGW2482" s="60"/>
      <c r="MGX2482" s="60"/>
      <c r="MGY2482" s="60"/>
      <c r="MGZ2482" s="60"/>
      <c r="MHA2482" s="65"/>
      <c r="MHB2482" s="61"/>
      <c r="MHC2482" s="55"/>
      <c r="MHD2482" s="55"/>
      <c r="MHE2482" s="60"/>
      <c r="MHF2482" s="60"/>
      <c r="MHG2482" s="60"/>
      <c r="MHH2482" s="60"/>
      <c r="MHI2482" s="65"/>
      <c r="MHJ2482" s="61"/>
      <c r="MHK2482" s="55"/>
      <c r="MHL2482" s="55"/>
      <c r="MHM2482" s="60"/>
      <c r="MHN2482" s="60"/>
      <c r="MHO2482" s="60"/>
      <c r="MHP2482" s="60"/>
      <c r="MHQ2482" s="65"/>
      <c r="MHR2482" s="61"/>
      <c r="MHS2482" s="55"/>
      <c r="MHT2482" s="55"/>
      <c r="MHU2482" s="60"/>
      <c r="MHV2482" s="60"/>
      <c r="MHW2482" s="60"/>
      <c r="MHX2482" s="60"/>
      <c r="MHY2482" s="65"/>
      <c r="MHZ2482" s="61"/>
      <c r="MIA2482" s="55"/>
      <c r="MIB2482" s="55"/>
      <c r="MIC2482" s="60"/>
      <c r="MID2482" s="60"/>
      <c r="MIE2482" s="60"/>
      <c r="MIF2482" s="60"/>
      <c r="MIG2482" s="65"/>
      <c r="MIH2482" s="61"/>
      <c r="MII2482" s="55"/>
      <c r="MIJ2482" s="55"/>
      <c r="MIK2482" s="60"/>
      <c r="MIL2482" s="60"/>
      <c r="MIM2482" s="60"/>
      <c r="MIN2482" s="60"/>
      <c r="MIO2482" s="65"/>
      <c r="MIP2482" s="61"/>
      <c r="MIQ2482" s="55"/>
      <c r="MIR2482" s="55"/>
      <c r="MIS2482" s="60"/>
      <c r="MIT2482" s="60"/>
      <c r="MIU2482" s="60"/>
      <c r="MIV2482" s="60"/>
      <c r="MIW2482" s="65"/>
      <c r="MIX2482" s="61"/>
      <c r="MIY2482" s="55"/>
      <c r="MIZ2482" s="55"/>
      <c r="MJA2482" s="60"/>
      <c r="MJB2482" s="60"/>
      <c r="MJC2482" s="60"/>
      <c r="MJD2482" s="60"/>
      <c r="MJE2482" s="65"/>
      <c r="MJF2482" s="61"/>
      <c r="MJG2482" s="55"/>
      <c r="MJH2482" s="55"/>
      <c r="MJI2482" s="60"/>
      <c r="MJJ2482" s="60"/>
      <c r="MJK2482" s="60"/>
      <c r="MJL2482" s="60"/>
      <c r="MJM2482" s="65"/>
      <c r="MJN2482" s="61"/>
      <c r="MJO2482" s="55"/>
      <c r="MJP2482" s="55"/>
      <c r="MJQ2482" s="60"/>
      <c r="MJR2482" s="60"/>
      <c r="MJS2482" s="60"/>
      <c r="MJT2482" s="60"/>
      <c r="MJU2482" s="65"/>
      <c r="MJV2482" s="61"/>
      <c r="MJW2482" s="55"/>
      <c r="MJX2482" s="55"/>
      <c r="MJY2482" s="60"/>
      <c r="MJZ2482" s="60"/>
      <c r="MKA2482" s="60"/>
      <c r="MKB2482" s="60"/>
      <c r="MKC2482" s="65"/>
      <c r="MKD2482" s="61"/>
      <c r="MKE2482" s="55"/>
      <c r="MKF2482" s="55"/>
      <c r="MKG2482" s="60"/>
      <c r="MKH2482" s="60"/>
      <c r="MKI2482" s="60"/>
      <c r="MKJ2482" s="60"/>
      <c r="MKK2482" s="65"/>
      <c r="MKL2482" s="61"/>
      <c r="MKM2482" s="55"/>
      <c r="MKN2482" s="55"/>
      <c r="MKO2482" s="60"/>
      <c r="MKP2482" s="60"/>
      <c r="MKQ2482" s="60"/>
      <c r="MKR2482" s="60"/>
      <c r="MKS2482" s="65"/>
      <c r="MKT2482" s="61"/>
      <c r="MKU2482" s="55"/>
      <c r="MKV2482" s="55"/>
      <c r="MKW2482" s="60"/>
      <c r="MKX2482" s="60"/>
      <c r="MKY2482" s="60"/>
      <c r="MKZ2482" s="60"/>
      <c r="MLA2482" s="65"/>
      <c r="MLB2482" s="61"/>
      <c r="MLC2482" s="55"/>
      <c r="MLD2482" s="55"/>
      <c r="MLE2482" s="60"/>
      <c r="MLF2482" s="60"/>
      <c r="MLG2482" s="60"/>
      <c r="MLH2482" s="60"/>
      <c r="MLI2482" s="65"/>
      <c r="MLJ2482" s="61"/>
      <c r="MLK2482" s="55"/>
      <c r="MLL2482" s="55"/>
      <c r="MLM2482" s="60"/>
      <c r="MLN2482" s="60"/>
      <c r="MLO2482" s="60"/>
      <c r="MLP2482" s="60"/>
      <c r="MLQ2482" s="65"/>
      <c r="MLR2482" s="61"/>
      <c r="MLS2482" s="55"/>
      <c r="MLT2482" s="55"/>
      <c r="MLU2482" s="60"/>
      <c r="MLV2482" s="60"/>
      <c r="MLW2482" s="60"/>
      <c r="MLX2482" s="60"/>
      <c r="MLY2482" s="65"/>
      <c r="MLZ2482" s="61"/>
      <c r="MMA2482" s="55"/>
      <c r="MMB2482" s="55"/>
      <c r="MMC2482" s="60"/>
      <c r="MMD2482" s="60"/>
      <c r="MME2482" s="60"/>
      <c r="MMF2482" s="60"/>
      <c r="MMG2482" s="65"/>
      <c r="MMH2482" s="61"/>
      <c r="MMI2482" s="55"/>
      <c r="MMJ2482" s="55"/>
      <c r="MMK2482" s="60"/>
      <c r="MML2482" s="60"/>
      <c r="MMM2482" s="60"/>
      <c r="MMN2482" s="60"/>
      <c r="MMO2482" s="65"/>
      <c r="MMP2482" s="61"/>
      <c r="MMQ2482" s="55"/>
      <c r="MMR2482" s="55"/>
      <c r="MMS2482" s="60"/>
      <c r="MMT2482" s="60"/>
      <c r="MMU2482" s="60"/>
      <c r="MMV2482" s="60"/>
      <c r="MMW2482" s="65"/>
      <c r="MMX2482" s="61"/>
      <c r="MMY2482" s="55"/>
      <c r="MMZ2482" s="55"/>
      <c r="MNA2482" s="60"/>
      <c r="MNB2482" s="60"/>
      <c r="MNC2482" s="60"/>
      <c r="MND2482" s="60"/>
      <c r="MNE2482" s="65"/>
      <c r="MNF2482" s="61"/>
      <c r="MNG2482" s="55"/>
      <c r="MNH2482" s="55"/>
      <c r="MNI2482" s="60"/>
      <c r="MNJ2482" s="60"/>
      <c r="MNK2482" s="60"/>
      <c r="MNL2482" s="60"/>
      <c r="MNM2482" s="65"/>
      <c r="MNN2482" s="61"/>
      <c r="MNO2482" s="55"/>
      <c r="MNP2482" s="55"/>
      <c r="MNQ2482" s="60"/>
      <c r="MNR2482" s="60"/>
      <c r="MNS2482" s="60"/>
      <c r="MNT2482" s="60"/>
      <c r="MNU2482" s="65"/>
      <c r="MNV2482" s="61"/>
      <c r="MNW2482" s="55"/>
      <c r="MNX2482" s="55"/>
      <c r="MNY2482" s="60"/>
      <c r="MNZ2482" s="60"/>
      <c r="MOA2482" s="60"/>
      <c r="MOB2482" s="60"/>
      <c r="MOC2482" s="65"/>
      <c r="MOD2482" s="61"/>
      <c r="MOE2482" s="55"/>
      <c r="MOF2482" s="55"/>
      <c r="MOG2482" s="60"/>
      <c r="MOH2482" s="60"/>
      <c r="MOI2482" s="60"/>
      <c r="MOJ2482" s="60"/>
      <c r="MOK2482" s="65"/>
      <c r="MOL2482" s="61"/>
      <c r="MOM2482" s="55"/>
      <c r="MON2482" s="55"/>
      <c r="MOO2482" s="60"/>
      <c r="MOP2482" s="60"/>
      <c r="MOQ2482" s="60"/>
      <c r="MOR2482" s="60"/>
      <c r="MOS2482" s="65"/>
      <c r="MOT2482" s="61"/>
      <c r="MOU2482" s="55"/>
      <c r="MOV2482" s="55"/>
      <c r="MOW2482" s="60"/>
      <c r="MOX2482" s="60"/>
      <c r="MOY2482" s="60"/>
      <c r="MOZ2482" s="60"/>
      <c r="MPA2482" s="65"/>
      <c r="MPB2482" s="61"/>
      <c r="MPC2482" s="55"/>
      <c r="MPD2482" s="55"/>
      <c r="MPE2482" s="60"/>
      <c r="MPF2482" s="60"/>
      <c r="MPG2482" s="60"/>
      <c r="MPH2482" s="60"/>
      <c r="MPI2482" s="65"/>
      <c r="MPJ2482" s="61"/>
      <c r="MPK2482" s="55"/>
      <c r="MPL2482" s="55"/>
      <c r="MPM2482" s="60"/>
      <c r="MPN2482" s="60"/>
      <c r="MPO2482" s="60"/>
      <c r="MPP2482" s="60"/>
      <c r="MPQ2482" s="65"/>
      <c r="MPR2482" s="61"/>
      <c r="MPS2482" s="55"/>
      <c r="MPT2482" s="55"/>
      <c r="MPU2482" s="60"/>
      <c r="MPV2482" s="60"/>
      <c r="MPW2482" s="60"/>
      <c r="MPX2482" s="60"/>
      <c r="MPY2482" s="65"/>
      <c r="MPZ2482" s="61"/>
      <c r="MQA2482" s="55"/>
      <c r="MQB2482" s="55"/>
      <c r="MQC2482" s="60"/>
      <c r="MQD2482" s="60"/>
      <c r="MQE2482" s="60"/>
      <c r="MQF2482" s="60"/>
      <c r="MQG2482" s="65"/>
      <c r="MQH2482" s="61"/>
      <c r="MQI2482" s="55"/>
      <c r="MQJ2482" s="55"/>
      <c r="MQK2482" s="60"/>
      <c r="MQL2482" s="60"/>
      <c r="MQM2482" s="60"/>
      <c r="MQN2482" s="60"/>
      <c r="MQO2482" s="65"/>
      <c r="MQP2482" s="61"/>
      <c r="MQQ2482" s="55"/>
      <c r="MQR2482" s="55"/>
      <c r="MQS2482" s="60"/>
      <c r="MQT2482" s="60"/>
      <c r="MQU2482" s="60"/>
      <c r="MQV2482" s="60"/>
      <c r="MQW2482" s="65"/>
      <c r="MQX2482" s="61"/>
      <c r="MQY2482" s="55"/>
      <c r="MQZ2482" s="55"/>
      <c r="MRA2482" s="60"/>
      <c r="MRB2482" s="60"/>
      <c r="MRC2482" s="60"/>
      <c r="MRD2482" s="60"/>
      <c r="MRE2482" s="65"/>
      <c r="MRF2482" s="61"/>
      <c r="MRG2482" s="55"/>
      <c r="MRH2482" s="55"/>
      <c r="MRI2482" s="60"/>
      <c r="MRJ2482" s="60"/>
      <c r="MRK2482" s="60"/>
      <c r="MRL2482" s="60"/>
      <c r="MRM2482" s="65"/>
      <c r="MRN2482" s="61"/>
      <c r="MRO2482" s="55"/>
      <c r="MRP2482" s="55"/>
      <c r="MRQ2482" s="60"/>
      <c r="MRR2482" s="60"/>
      <c r="MRS2482" s="60"/>
      <c r="MRT2482" s="60"/>
      <c r="MRU2482" s="65"/>
      <c r="MRV2482" s="61"/>
      <c r="MRW2482" s="55"/>
      <c r="MRX2482" s="55"/>
      <c r="MRY2482" s="60"/>
      <c r="MRZ2482" s="60"/>
      <c r="MSA2482" s="60"/>
      <c r="MSB2482" s="60"/>
      <c r="MSC2482" s="65"/>
      <c r="MSD2482" s="61"/>
      <c r="MSE2482" s="55"/>
      <c r="MSF2482" s="55"/>
      <c r="MSG2482" s="60"/>
      <c r="MSH2482" s="60"/>
      <c r="MSI2482" s="60"/>
      <c r="MSJ2482" s="60"/>
      <c r="MSK2482" s="65"/>
      <c r="MSL2482" s="61"/>
      <c r="MSM2482" s="55"/>
      <c r="MSN2482" s="55"/>
      <c r="MSO2482" s="60"/>
      <c r="MSP2482" s="60"/>
      <c r="MSQ2482" s="60"/>
      <c r="MSR2482" s="60"/>
      <c r="MSS2482" s="65"/>
      <c r="MST2482" s="61"/>
      <c r="MSU2482" s="55"/>
      <c r="MSV2482" s="55"/>
      <c r="MSW2482" s="60"/>
      <c r="MSX2482" s="60"/>
      <c r="MSY2482" s="60"/>
      <c r="MSZ2482" s="60"/>
      <c r="MTA2482" s="65"/>
      <c r="MTB2482" s="61"/>
      <c r="MTC2482" s="55"/>
      <c r="MTD2482" s="55"/>
      <c r="MTE2482" s="60"/>
      <c r="MTF2482" s="60"/>
      <c r="MTG2482" s="60"/>
      <c r="MTH2482" s="60"/>
      <c r="MTI2482" s="65"/>
      <c r="MTJ2482" s="61"/>
      <c r="MTK2482" s="55"/>
      <c r="MTL2482" s="55"/>
      <c r="MTM2482" s="60"/>
      <c r="MTN2482" s="60"/>
      <c r="MTO2482" s="60"/>
      <c r="MTP2482" s="60"/>
      <c r="MTQ2482" s="65"/>
      <c r="MTR2482" s="61"/>
      <c r="MTS2482" s="55"/>
      <c r="MTT2482" s="55"/>
      <c r="MTU2482" s="60"/>
      <c r="MTV2482" s="60"/>
      <c r="MTW2482" s="60"/>
      <c r="MTX2482" s="60"/>
      <c r="MTY2482" s="65"/>
      <c r="MTZ2482" s="61"/>
      <c r="MUA2482" s="55"/>
      <c r="MUB2482" s="55"/>
      <c r="MUC2482" s="60"/>
      <c r="MUD2482" s="60"/>
      <c r="MUE2482" s="60"/>
      <c r="MUF2482" s="60"/>
      <c r="MUG2482" s="65"/>
      <c r="MUH2482" s="61"/>
      <c r="MUI2482" s="55"/>
      <c r="MUJ2482" s="55"/>
      <c r="MUK2482" s="60"/>
      <c r="MUL2482" s="60"/>
      <c r="MUM2482" s="60"/>
      <c r="MUN2482" s="60"/>
      <c r="MUO2482" s="65"/>
      <c r="MUP2482" s="61"/>
      <c r="MUQ2482" s="55"/>
      <c r="MUR2482" s="55"/>
      <c r="MUS2482" s="60"/>
      <c r="MUT2482" s="60"/>
      <c r="MUU2482" s="60"/>
      <c r="MUV2482" s="60"/>
      <c r="MUW2482" s="65"/>
      <c r="MUX2482" s="61"/>
      <c r="MUY2482" s="55"/>
      <c r="MUZ2482" s="55"/>
      <c r="MVA2482" s="60"/>
      <c r="MVB2482" s="60"/>
      <c r="MVC2482" s="60"/>
      <c r="MVD2482" s="60"/>
      <c r="MVE2482" s="65"/>
      <c r="MVF2482" s="61"/>
      <c r="MVG2482" s="55"/>
      <c r="MVH2482" s="55"/>
      <c r="MVI2482" s="60"/>
      <c r="MVJ2482" s="60"/>
      <c r="MVK2482" s="60"/>
      <c r="MVL2482" s="60"/>
      <c r="MVM2482" s="65"/>
      <c r="MVN2482" s="61"/>
      <c r="MVO2482" s="55"/>
      <c r="MVP2482" s="55"/>
      <c r="MVQ2482" s="60"/>
      <c r="MVR2482" s="60"/>
      <c r="MVS2482" s="60"/>
      <c r="MVT2482" s="60"/>
      <c r="MVU2482" s="65"/>
      <c r="MVV2482" s="61"/>
      <c r="MVW2482" s="55"/>
      <c r="MVX2482" s="55"/>
      <c r="MVY2482" s="60"/>
      <c r="MVZ2482" s="60"/>
      <c r="MWA2482" s="60"/>
      <c r="MWB2482" s="60"/>
      <c r="MWC2482" s="65"/>
      <c r="MWD2482" s="61"/>
      <c r="MWE2482" s="55"/>
      <c r="MWF2482" s="55"/>
      <c r="MWG2482" s="60"/>
      <c r="MWH2482" s="60"/>
      <c r="MWI2482" s="60"/>
      <c r="MWJ2482" s="60"/>
      <c r="MWK2482" s="65"/>
      <c r="MWL2482" s="61"/>
      <c r="MWM2482" s="55"/>
      <c r="MWN2482" s="55"/>
      <c r="MWO2482" s="60"/>
      <c r="MWP2482" s="60"/>
      <c r="MWQ2482" s="60"/>
      <c r="MWR2482" s="60"/>
      <c r="MWS2482" s="65"/>
      <c r="MWT2482" s="61"/>
      <c r="MWU2482" s="55"/>
      <c r="MWV2482" s="55"/>
      <c r="MWW2482" s="60"/>
      <c r="MWX2482" s="60"/>
      <c r="MWY2482" s="60"/>
      <c r="MWZ2482" s="60"/>
      <c r="MXA2482" s="65"/>
      <c r="MXB2482" s="61"/>
      <c r="MXC2482" s="55"/>
      <c r="MXD2482" s="55"/>
      <c r="MXE2482" s="60"/>
      <c r="MXF2482" s="60"/>
      <c r="MXG2482" s="60"/>
      <c r="MXH2482" s="60"/>
      <c r="MXI2482" s="65"/>
      <c r="MXJ2482" s="61"/>
      <c r="MXK2482" s="55"/>
      <c r="MXL2482" s="55"/>
      <c r="MXM2482" s="60"/>
      <c r="MXN2482" s="60"/>
      <c r="MXO2482" s="60"/>
      <c r="MXP2482" s="60"/>
      <c r="MXQ2482" s="65"/>
      <c r="MXR2482" s="61"/>
      <c r="MXS2482" s="55"/>
      <c r="MXT2482" s="55"/>
      <c r="MXU2482" s="60"/>
      <c r="MXV2482" s="60"/>
      <c r="MXW2482" s="60"/>
      <c r="MXX2482" s="60"/>
      <c r="MXY2482" s="65"/>
      <c r="MXZ2482" s="61"/>
      <c r="MYA2482" s="55"/>
      <c r="MYB2482" s="55"/>
      <c r="MYC2482" s="60"/>
      <c r="MYD2482" s="60"/>
      <c r="MYE2482" s="60"/>
      <c r="MYF2482" s="60"/>
      <c r="MYG2482" s="65"/>
      <c r="MYH2482" s="61"/>
      <c r="MYI2482" s="55"/>
      <c r="MYJ2482" s="55"/>
      <c r="MYK2482" s="60"/>
      <c r="MYL2482" s="60"/>
      <c r="MYM2482" s="60"/>
      <c r="MYN2482" s="60"/>
      <c r="MYO2482" s="65"/>
      <c r="MYP2482" s="61"/>
      <c r="MYQ2482" s="55"/>
      <c r="MYR2482" s="55"/>
      <c r="MYS2482" s="60"/>
      <c r="MYT2482" s="60"/>
      <c r="MYU2482" s="60"/>
      <c r="MYV2482" s="60"/>
      <c r="MYW2482" s="65"/>
      <c r="MYX2482" s="61"/>
      <c r="MYY2482" s="55"/>
      <c r="MYZ2482" s="55"/>
      <c r="MZA2482" s="60"/>
      <c r="MZB2482" s="60"/>
      <c r="MZC2482" s="60"/>
      <c r="MZD2482" s="60"/>
      <c r="MZE2482" s="65"/>
      <c r="MZF2482" s="61"/>
      <c r="MZG2482" s="55"/>
      <c r="MZH2482" s="55"/>
      <c r="MZI2482" s="60"/>
      <c r="MZJ2482" s="60"/>
      <c r="MZK2482" s="60"/>
      <c r="MZL2482" s="60"/>
      <c r="MZM2482" s="65"/>
      <c r="MZN2482" s="61"/>
      <c r="MZO2482" s="55"/>
      <c r="MZP2482" s="55"/>
      <c r="MZQ2482" s="60"/>
      <c r="MZR2482" s="60"/>
      <c r="MZS2482" s="60"/>
      <c r="MZT2482" s="60"/>
      <c r="MZU2482" s="65"/>
      <c r="MZV2482" s="61"/>
      <c r="MZW2482" s="55"/>
      <c r="MZX2482" s="55"/>
      <c r="MZY2482" s="60"/>
      <c r="MZZ2482" s="60"/>
      <c r="NAA2482" s="60"/>
      <c r="NAB2482" s="60"/>
      <c r="NAC2482" s="65"/>
      <c r="NAD2482" s="61"/>
      <c r="NAE2482" s="55"/>
      <c r="NAF2482" s="55"/>
      <c r="NAG2482" s="60"/>
      <c r="NAH2482" s="60"/>
      <c r="NAI2482" s="60"/>
      <c r="NAJ2482" s="60"/>
      <c r="NAK2482" s="65"/>
      <c r="NAL2482" s="61"/>
      <c r="NAM2482" s="55"/>
      <c r="NAN2482" s="55"/>
      <c r="NAO2482" s="60"/>
      <c r="NAP2482" s="60"/>
      <c r="NAQ2482" s="60"/>
      <c r="NAR2482" s="60"/>
      <c r="NAS2482" s="65"/>
      <c r="NAT2482" s="61"/>
      <c r="NAU2482" s="55"/>
      <c r="NAV2482" s="55"/>
      <c r="NAW2482" s="60"/>
      <c r="NAX2482" s="60"/>
      <c r="NAY2482" s="60"/>
      <c r="NAZ2482" s="60"/>
      <c r="NBA2482" s="65"/>
      <c r="NBB2482" s="61"/>
      <c r="NBC2482" s="55"/>
      <c r="NBD2482" s="55"/>
      <c r="NBE2482" s="60"/>
      <c r="NBF2482" s="60"/>
      <c r="NBG2482" s="60"/>
      <c r="NBH2482" s="60"/>
      <c r="NBI2482" s="65"/>
      <c r="NBJ2482" s="61"/>
      <c r="NBK2482" s="55"/>
      <c r="NBL2482" s="55"/>
      <c r="NBM2482" s="60"/>
      <c r="NBN2482" s="60"/>
      <c r="NBO2482" s="60"/>
      <c r="NBP2482" s="60"/>
      <c r="NBQ2482" s="65"/>
      <c r="NBR2482" s="61"/>
      <c r="NBS2482" s="55"/>
      <c r="NBT2482" s="55"/>
      <c r="NBU2482" s="60"/>
      <c r="NBV2482" s="60"/>
      <c r="NBW2482" s="60"/>
      <c r="NBX2482" s="60"/>
      <c r="NBY2482" s="65"/>
      <c r="NBZ2482" s="61"/>
      <c r="NCA2482" s="55"/>
      <c r="NCB2482" s="55"/>
      <c r="NCC2482" s="60"/>
      <c r="NCD2482" s="60"/>
      <c r="NCE2482" s="60"/>
      <c r="NCF2482" s="60"/>
      <c r="NCG2482" s="65"/>
      <c r="NCH2482" s="61"/>
      <c r="NCI2482" s="55"/>
      <c r="NCJ2482" s="55"/>
      <c r="NCK2482" s="60"/>
      <c r="NCL2482" s="60"/>
      <c r="NCM2482" s="60"/>
      <c r="NCN2482" s="60"/>
      <c r="NCO2482" s="65"/>
      <c r="NCP2482" s="61"/>
      <c r="NCQ2482" s="55"/>
      <c r="NCR2482" s="55"/>
      <c r="NCS2482" s="60"/>
      <c r="NCT2482" s="60"/>
      <c r="NCU2482" s="60"/>
      <c r="NCV2482" s="60"/>
      <c r="NCW2482" s="65"/>
      <c r="NCX2482" s="61"/>
      <c r="NCY2482" s="55"/>
      <c r="NCZ2482" s="55"/>
      <c r="NDA2482" s="60"/>
      <c r="NDB2482" s="60"/>
      <c r="NDC2482" s="60"/>
      <c r="NDD2482" s="60"/>
      <c r="NDE2482" s="65"/>
      <c r="NDF2482" s="61"/>
      <c r="NDG2482" s="55"/>
      <c r="NDH2482" s="55"/>
      <c r="NDI2482" s="60"/>
      <c r="NDJ2482" s="60"/>
      <c r="NDK2482" s="60"/>
      <c r="NDL2482" s="60"/>
      <c r="NDM2482" s="65"/>
      <c r="NDN2482" s="61"/>
      <c r="NDO2482" s="55"/>
      <c r="NDP2482" s="55"/>
      <c r="NDQ2482" s="60"/>
      <c r="NDR2482" s="60"/>
      <c r="NDS2482" s="60"/>
      <c r="NDT2482" s="60"/>
      <c r="NDU2482" s="65"/>
      <c r="NDV2482" s="61"/>
      <c r="NDW2482" s="55"/>
      <c r="NDX2482" s="55"/>
      <c r="NDY2482" s="60"/>
      <c r="NDZ2482" s="60"/>
      <c r="NEA2482" s="60"/>
      <c r="NEB2482" s="60"/>
      <c r="NEC2482" s="65"/>
      <c r="NED2482" s="61"/>
      <c r="NEE2482" s="55"/>
      <c r="NEF2482" s="55"/>
      <c r="NEG2482" s="60"/>
      <c r="NEH2482" s="60"/>
      <c r="NEI2482" s="60"/>
      <c r="NEJ2482" s="60"/>
      <c r="NEK2482" s="65"/>
      <c r="NEL2482" s="61"/>
      <c r="NEM2482" s="55"/>
      <c r="NEN2482" s="55"/>
      <c r="NEO2482" s="60"/>
      <c r="NEP2482" s="60"/>
      <c r="NEQ2482" s="60"/>
      <c r="NER2482" s="60"/>
      <c r="NES2482" s="65"/>
      <c r="NET2482" s="61"/>
      <c r="NEU2482" s="55"/>
      <c r="NEV2482" s="55"/>
      <c r="NEW2482" s="60"/>
      <c r="NEX2482" s="60"/>
      <c r="NEY2482" s="60"/>
      <c r="NEZ2482" s="60"/>
      <c r="NFA2482" s="65"/>
      <c r="NFB2482" s="61"/>
      <c r="NFC2482" s="55"/>
      <c r="NFD2482" s="55"/>
      <c r="NFE2482" s="60"/>
      <c r="NFF2482" s="60"/>
      <c r="NFG2482" s="60"/>
      <c r="NFH2482" s="60"/>
      <c r="NFI2482" s="65"/>
      <c r="NFJ2482" s="61"/>
      <c r="NFK2482" s="55"/>
      <c r="NFL2482" s="55"/>
      <c r="NFM2482" s="60"/>
      <c r="NFN2482" s="60"/>
      <c r="NFO2482" s="60"/>
      <c r="NFP2482" s="60"/>
      <c r="NFQ2482" s="65"/>
      <c r="NFR2482" s="61"/>
      <c r="NFS2482" s="55"/>
      <c r="NFT2482" s="55"/>
      <c r="NFU2482" s="60"/>
      <c r="NFV2482" s="60"/>
      <c r="NFW2482" s="60"/>
      <c r="NFX2482" s="60"/>
      <c r="NFY2482" s="65"/>
      <c r="NFZ2482" s="61"/>
      <c r="NGA2482" s="55"/>
      <c r="NGB2482" s="55"/>
      <c r="NGC2482" s="60"/>
      <c r="NGD2482" s="60"/>
      <c r="NGE2482" s="60"/>
      <c r="NGF2482" s="60"/>
      <c r="NGG2482" s="65"/>
      <c r="NGH2482" s="61"/>
      <c r="NGI2482" s="55"/>
      <c r="NGJ2482" s="55"/>
      <c r="NGK2482" s="60"/>
      <c r="NGL2482" s="60"/>
      <c r="NGM2482" s="60"/>
      <c r="NGN2482" s="60"/>
      <c r="NGO2482" s="65"/>
      <c r="NGP2482" s="61"/>
      <c r="NGQ2482" s="55"/>
      <c r="NGR2482" s="55"/>
      <c r="NGS2482" s="60"/>
      <c r="NGT2482" s="60"/>
      <c r="NGU2482" s="60"/>
      <c r="NGV2482" s="60"/>
      <c r="NGW2482" s="65"/>
      <c r="NGX2482" s="61"/>
      <c r="NGY2482" s="55"/>
      <c r="NGZ2482" s="55"/>
      <c r="NHA2482" s="60"/>
      <c r="NHB2482" s="60"/>
      <c r="NHC2482" s="60"/>
      <c r="NHD2482" s="60"/>
      <c r="NHE2482" s="65"/>
      <c r="NHF2482" s="61"/>
      <c r="NHG2482" s="55"/>
      <c r="NHH2482" s="55"/>
      <c r="NHI2482" s="60"/>
      <c r="NHJ2482" s="60"/>
      <c r="NHK2482" s="60"/>
      <c r="NHL2482" s="60"/>
      <c r="NHM2482" s="65"/>
      <c r="NHN2482" s="61"/>
      <c r="NHO2482" s="55"/>
      <c r="NHP2482" s="55"/>
      <c r="NHQ2482" s="60"/>
      <c r="NHR2482" s="60"/>
      <c r="NHS2482" s="60"/>
      <c r="NHT2482" s="60"/>
      <c r="NHU2482" s="65"/>
      <c r="NHV2482" s="61"/>
      <c r="NHW2482" s="55"/>
      <c r="NHX2482" s="55"/>
      <c r="NHY2482" s="60"/>
      <c r="NHZ2482" s="60"/>
      <c r="NIA2482" s="60"/>
      <c r="NIB2482" s="60"/>
      <c r="NIC2482" s="65"/>
      <c r="NID2482" s="61"/>
      <c r="NIE2482" s="55"/>
      <c r="NIF2482" s="55"/>
      <c r="NIG2482" s="60"/>
      <c r="NIH2482" s="60"/>
      <c r="NII2482" s="60"/>
      <c r="NIJ2482" s="60"/>
      <c r="NIK2482" s="65"/>
      <c r="NIL2482" s="61"/>
      <c r="NIM2482" s="55"/>
      <c r="NIN2482" s="55"/>
      <c r="NIO2482" s="60"/>
      <c r="NIP2482" s="60"/>
      <c r="NIQ2482" s="60"/>
      <c r="NIR2482" s="60"/>
      <c r="NIS2482" s="65"/>
      <c r="NIT2482" s="61"/>
      <c r="NIU2482" s="55"/>
      <c r="NIV2482" s="55"/>
      <c r="NIW2482" s="60"/>
      <c r="NIX2482" s="60"/>
      <c r="NIY2482" s="60"/>
      <c r="NIZ2482" s="60"/>
      <c r="NJA2482" s="65"/>
      <c r="NJB2482" s="61"/>
      <c r="NJC2482" s="55"/>
      <c r="NJD2482" s="55"/>
      <c r="NJE2482" s="60"/>
      <c r="NJF2482" s="60"/>
      <c r="NJG2482" s="60"/>
      <c r="NJH2482" s="60"/>
      <c r="NJI2482" s="65"/>
      <c r="NJJ2482" s="61"/>
      <c r="NJK2482" s="55"/>
      <c r="NJL2482" s="55"/>
      <c r="NJM2482" s="60"/>
      <c r="NJN2482" s="60"/>
      <c r="NJO2482" s="60"/>
      <c r="NJP2482" s="60"/>
      <c r="NJQ2482" s="65"/>
      <c r="NJR2482" s="61"/>
      <c r="NJS2482" s="55"/>
      <c r="NJT2482" s="55"/>
      <c r="NJU2482" s="60"/>
      <c r="NJV2482" s="60"/>
      <c r="NJW2482" s="60"/>
      <c r="NJX2482" s="60"/>
      <c r="NJY2482" s="65"/>
      <c r="NJZ2482" s="61"/>
      <c r="NKA2482" s="55"/>
      <c r="NKB2482" s="55"/>
      <c r="NKC2482" s="60"/>
      <c r="NKD2482" s="60"/>
      <c r="NKE2482" s="60"/>
      <c r="NKF2482" s="60"/>
      <c r="NKG2482" s="65"/>
      <c r="NKH2482" s="61"/>
      <c r="NKI2482" s="55"/>
      <c r="NKJ2482" s="55"/>
      <c r="NKK2482" s="60"/>
      <c r="NKL2482" s="60"/>
      <c r="NKM2482" s="60"/>
      <c r="NKN2482" s="60"/>
      <c r="NKO2482" s="65"/>
      <c r="NKP2482" s="61"/>
      <c r="NKQ2482" s="55"/>
      <c r="NKR2482" s="55"/>
      <c r="NKS2482" s="60"/>
      <c r="NKT2482" s="60"/>
      <c r="NKU2482" s="60"/>
      <c r="NKV2482" s="60"/>
      <c r="NKW2482" s="65"/>
      <c r="NKX2482" s="61"/>
      <c r="NKY2482" s="55"/>
      <c r="NKZ2482" s="55"/>
      <c r="NLA2482" s="60"/>
      <c r="NLB2482" s="60"/>
      <c r="NLC2482" s="60"/>
      <c r="NLD2482" s="60"/>
      <c r="NLE2482" s="65"/>
      <c r="NLF2482" s="61"/>
      <c r="NLG2482" s="55"/>
      <c r="NLH2482" s="55"/>
      <c r="NLI2482" s="60"/>
      <c r="NLJ2482" s="60"/>
      <c r="NLK2482" s="60"/>
      <c r="NLL2482" s="60"/>
      <c r="NLM2482" s="65"/>
      <c r="NLN2482" s="61"/>
      <c r="NLO2482" s="55"/>
      <c r="NLP2482" s="55"/>
      <c r="NLQ2482" s="60"/>
      <c r="NLR2482" s="60"/>
      <c r="NLS2482" s="60"/>
      <c r="NLT2482" s="60"/>
      <c r="NLU2482" s="65"/>
      <c r="NLV2482" s="61"/>
      <c r="NLW2482" s="55"/>
      <c r="NLX2482" s="55"/>
      <c r="NLY2482" s="60"/>
      <c r="NLZ2482" s="60"/>
      <c r="NMA2482" s="60"/>
      <c r="NMB2482" s="60"/>
      <c r="NMC2482" s="65"/>
      <c r="NMD2482" s="61"/>
      <c r="NME2482" s="55"/>
      <c r="NMF2482" s="55"/>
      <c r="NMG2482" s="60"/>
      <c r="NMH2482" s="60"/>
      <c r="NMI2482" s="60"/>
      <c r="NMJ2482" s="60"/>
      <c r="NMK2482" s="65"/>
      <c r="NML2482" s="61"/>
      <c r="NMM2482" s="55"/>
      <c r="NMN2482" s="55"/>
      <c r="NMO2482" s="60"/>
      <c r="NMP2482" s="60"/>
      <c r="NMQ2482" s="60"/>
      <c r="NMR2482" s="60"/>
      <c r="NMS2482" s="65"/>
      <c r="NMT2482" s="61"/>
      <c r="NMU2482" s="55"/>
      <c r="NMV2482" s="55"/>
      <c r="NMW2482" s="60"/>
      <c r="NMX2482" s="60"/>
      <c r="NMY2482" s="60"/>
      <c r="NMZ2482" s="60"/>
      <c r="NNA2482" s="65"/>
      <c r="NNB2482" s="61"/>
      <c r="NNC2482" s="55"/>
      <c r="NND2482" s="55"/>
      <c r="NNE2482" s="60"/>
      <c r="NNF2482" s="60"/>
      <c r="NNG2482" s="60"/>
      <c r="NNH2482" s="60"/>
      <c r="NNI2482" s="65"/>
      <c r="NNJ2482" s="61"/>
      <c r="NNK2482" s="55"/>
      <c r="NNL2482" s="55"/>
      <c r="NNM2482" s="60"/>
      <c r="NNN2482" s="60"/>
      <c r="NNO2482" s="60"/>
      <c r="NNP2482" s="60"/>
      <c r="NNQ2482" s="65"/>
      <c r="NNR2482" s="61"/>
      <c r="NNS2482" s="55"/>
      <c r="NNT2482" s="55"/>
      <c r="NNU2482" s="60"/>
      <c r="NNV2482" s="60"/>
      <c r="NNW2482" s="60"/>
      <c r="NNX2482" s="60"/>
      <c r="NNY2482" s="65"/>
      <c r="NNZ2482" s="61"/>
      <c r="NOA2482" s="55"/>
      <c r="NOB2482" s="55"/>
      <c r="NOC2482" s="60"/>
      <c r="NOD2482" s="60"/>
      <c r="NOE2482" s="60"/>
      <c r="NOF2482" s="60"/>
      <c r="NOG2482" s="65"/>
      <c r="NOH2482" s="61"/>
      <c r="NOI2482" s="55"/>
      <c r="NOJ2482" s="55"/>
      <c r="NOK2482" s="60"/>
      <c r="NOL2482" s="60"/>
      <c r="NOM2482" s="60"/>
      <c r="NON2482" s="60"/>
      <c r="NOO2482" s="65"/>
      <c r="NOP2482" s="61"/>
      <c r="NOQ2482" s="55"/>
      <c r="NOR2482" s="55"/>
      <c r="NOS2482" s="60"/>
      <c r="NOT2482" s="60"/>
      <c r="NOU2482" s="60"/>
      <c r="NOV2482" s="60"/>
      <c r="NOW2482" s="65"/>
      <c r="NOX2482" s="61"/>
      <c r="NOY2482" s="55"/>
      <c r="NOZ2482" s="55"/>
      <c r="NPA2482" s="60"/>
      <c r="NPB2482" s="60"/>
      <c r="NPC2482" s="60"/>
      <c r="NPD2482" s="60"/>
      <c r="NPE2482" s="65"/>
      <c r="NPF2482" s="61"/>
      <c r="NPG2482" s="55"/>
      <c r="NPH2482" s="55"/>
      <c r="NPI2482" s="60"/>
      <c r="NPJ2482" s="60"/>
      <c r="NPK2482" s="60"/>
      <c r="NPL2482" s="60"/>
      <c r="NPM2482" s="65"/>
      <c r="NPN2482" s="61"/>
      <c r="NPO2482" s="55"/>
      <c r="NPP2482" s="55"/>
      <c r="NPQ2482" s="60"/>
      <c r="NPR2482" s="60"/>
      <c r="NPS2482" s="60"/>
      <c r="NPT2482" s="60"/>
      <c r="NPU2482" s="65"/>
      <c r="NPV2482" s="61"/>
      <c r="NPW2482" s="55"/>
      <c r="NPX2482" s="55"/>
      <c r="NPY2482" s="60"/>
      <c r="NPZ2482" s="60"/>
      <c r="NQA2482" s="60"/>
      <c r="NQB2482" s="60"/>
      <c r="NQC2482" s="65"/>
      <c r="NQD2482" s="61"/>
      <c r="NQE2482" s="55"/>
      <c r="NQF2482" s="55"/>
      <c r="NQG2482" s="60"/>
      <c r="NQH2482" s="60"/>
      <c r="NQI2482" s="60"/>
      <c r="NQJ2482" s="60"/>
      <c r="NQK2482" s="65"/>
      <c r="NQL2482" s="61"/>
      <c r="NQM2482" s="55"/>
      <c r="NQN2482" s="55"/>
      <c r="NQO2482" s="60"/>
      <c r="NQP2482" s="60"/>
      <c r="NQQ2482" s="60"/>
      <c r="NQR2482" s="60"/>
      <c r="NQS2482" s="65"/>
      <c r="NQT2482" s="61"/>
      <c r="NQU2482" s="55"/>
      <c r="NQV2482" s="55"/>
      <c r="NQW2482" s="60"/>
      <c r="NQX2482" s="60"/>
      <c r="NQY2482" s="60"/>
      <c r="NQZ2482" s="60"/>
      <c r="NRA2482" s="65"/>
      <c r="NRB2482" s="61"/>
      <c r="NRC2482" s="55"/>
      <c r="NRD2482" s="55"/>
      <c r="NRE2482" s="60"/>
      <c r="NRF2482" s="60"/>
      <c r="NRG2482" s="60"/>
      <c r="NRH2482" s="60"/>
      <c r="NRI2482" s="65"/>
      <c r="NRJ2482" s="61"/>
      <c r="NRK2482" s="55"/>
      <c r="NRL2482" s="55"/>
      <c r="NRM2482" s="60"/>
      <c r="NRN2482" s="60"/>
      <c r="NRO2482" s="60"/>
      <c r="NRP2482" s="60"/>
      <c r="NRQ2482" s="65"/>
      <c r="NRR2482" s="61"/>
      <c r="NRS2482" s="55"/>
      <c r="NRT2482" s="55"/>
      <c r="NRU2482" s="60"/>
      <c r="NRV2482" s="60"/>
      <c r="NRW2482" s="60"/>
      <c r="NRX2482" s="60"/>
      <c r="NRY2482" s="65"/>
      <c r="NRZ2482" s="61"/>
      <c r="NSA2482" s="55"/>
      <c r="NSB2482" s="55"/>
      <c r="NSC2482" s="60"/>
      <c r="NSD2482" s="60"/>
      <c r="NSE2482" s="60"/>
      <c r="NSF2482" s="60"/>
      <c r="NSG2482" s="65"/>
      <c r="NSH2482" s="61"/>
      <c r="NSI2482" s="55"/>
      <c r="NSJ2482" s="55"/>
      <c r="NSK2482" s="60"/>
      <c r="NSL2482" s="60"/>
      <c r="NSM2482" s="60"/>
      <c r="NSN2482" s="60"/>
      <c r="NSO2482" s="65"/>
      <c r="NSP2482" s="61"/>
      <c r="NSQ2482" s="55"/>
      <c r="NSR2482" s="55"/>
      <c r="NSS2482" s="60"/>
      <c r="NST2482" s="60"/>
      <c r="NSU2482" s="60"/>
      <c r="NSV2482" s="60"/>
      <c r="NSW2482" s="65"/>
      <c r="NSX2482" s="61"/>
      <c r="NSY2482" s="55"/>
      <c r="NSZ2482" s="55"/>
      <c r="NTA2482" s="60"/>
      <c r="NTB2482" s="60"/>
      <c r="NTC2482" s="60"/>
      <c r="NTD2482" s="60"/>
      <c r="NTE2482" s="65"/>
      <c r="NTF2482" s="61"/>
      <c r="NTG2482" s="55"/>
      <c r="NTH2482" s="55"/>
      <c r="NTI2482" s="60"/>
      <c r="NTJ2482" s="60"/>
      <c r="NTK2482" s="60"/>
      <c r="NTL2482" s="60"/>
      <c r="NTM2482" s="65"/>
      <c r="NTN2482" s="61"/>
      <c r="NTO2482" s="55"/>
      <c r="NTP2482" s="55"/>
      <c r="NTQ2482" s="60"/>
      <c r="NTR2482" s="60"/>
      <c r="NTS2482" s="60"/>
      <c r="NTT2482" s="60"/>
      <c r="NTU2482" s="65"/>
      <c r="NTV2482" s="61"/>
      <c r="NTW2482" s="55"/>
      <c r="NTX2482" s="55"/>
      <c r="NTY2482" s="60"/>
      <c r="NTZ2482" s="60"/>
      <c r="NUA2482" s="60"/>
      <c r="NUB2482" s="60"/>
      <c r="NUC2482" s="65"/>
      <c r="NUD2482" s="61"/>
      <c r="NUE2482" s="55"/>
      <c r="NUF2482" s="55"/>
      <c r="NUG2482" s="60"/>
      <c r="NUH2482" s="60"/>
      <c r="NUI2482" s="60"/>
      <c r="NUJ2482" s="60"/>
      <c r="NUK2482" s="65"/>
      <c r="NUL2482" s="61"/>
      <c r="NUM2482" s="55"/>
      <c r="NUN2482" s="55"/>
      <c r="NUO2482" s="60"/>
      <c r="NUP2482" s="60"/>
      <c r="NUQ2482" s="60"/>
      <c r="NUR2482" s="60"/>
      <c r="NUS2482" s="65"/>
      <c r="NUT2482" s="61"/>
      <c r="NUU2482" s="55"/>
      <c r="NUV2482" s="55"/>
      <c r="NUW2482" s="60"/>
      <c r="NUX2482" s="60"/>
      <c r="NUY2482" s="60"/>
      <c r="NUZ2482" s="60"/>
      <c r="NVA2482" s="65"/>
      <c r="NVB2482" s="61"/>
      <c r="NVC2482" s="55"/>
      <c r="NVD2482" s="55"/>
      <c r="NVE2482" s="60"/>
      <c r="NVF2482" s="60"/>
      <c r="NVG2482" s="60"/>
      <c r="NVH2482" s="60"/>
      <c r="NVI2482" s="65"/>
      <c r="NVJ2482" s="61"/>
      <c r="NVK2482" s="55"/>
      <c r="NVL2482" s="55"/>
      <c r="NVM2482" s="60"/>
      <c r="NVN2482" s="60"/>
      <c r="NVO2482" s="60"/>
      <c r="NVP2482" s="60"/>
      <c r="NVQ2482" s="65"/>
      <c r="NVR2482" s="61"/>
      <c r="NVS2482" s="55"/>
      <c r="NVT2482" s="55"/>
      <c r="NVU2482" s="60"/>
      <c r="NVV2482" s="60"/>
      <c r="NVW2482" s="60"/>
      <c r="NVX2482" s="60"/>
      <c r="NVY2482" s="65"/>
      <c r="NVZ2482" s="61"/>
      <c r="NWA2482" s="55"/>
      <c r="NWB2482" s="55"/>
      <c r="NWC2482" s="60"/>
      <c r="NWD2482" s="60"/>
      <c r="NWE2482" s="60"/>
      <c r="NWF2482" s="60"/>
      <c r="NWG2482" s="65"/>
      <c r="NWH2482" s="61"/>
      <c r="NWI2482" s="55"/>
      <c r="NWJ2482" s="55"/>
      <c r="NWK2482" s="60"/>
      <c r="NWL2482" s="60"/>
      <c r="NWM2482" s="60"/>
      <c r="NWN2482" s="60"/>
      <c r="NWO2482" s="65"/>
      <c r="NWP2482" s="61"/>
      <c r="NWQ2482" s="55"/>
      <c r="NWR2482" s="55"/>
      <c r="NWS2482" s="60"/>
      <c r="NWT2482" s="60"/>
      <c r="NWU2482" s="60"/>
      <c r="NWV2482" s="60"/>
      <c r="NWW2482" s="65"/>
      <c r="NWX2482" s="61"/>
      <c r="NWY2482" s="55"/>
      <c r="NWZ2482" s="55"/>
      <c r="NXA2482" s="60"/>
      <c r="NXB2482" s="60"/>
      <c r="NXC2482" s="60"/>
      <c r="NXD2482" s="60"/>
      <c r="NXE2482" s="65"/>
      <c r="NXF2482" s="61"/>
      <c r="NXG2482" s="55"/>
      <c r="NXH2482" s="55"/>
      <c r="NXI2482" s="60"/>
      <c r="NXJ2482" s="60"/>
      <c r="NXK2482" s="60"/>
      <c r="NXL2482" s="60"/>
      <c r="NXM2482" s="65"/>
      <c r="NXN2482" s="61"/>
      <c r="NXO2482" s="55"/>
      <c r="NXP2482" s="55"/>
      <c r="NXQ2482" s="60"/>
      <c r="NXR2482" s="60"/>
      <c r="NXS2482" s="60"/>
      <c r="NXT2482" s="60"/>
      <c r="NXU2482" s="65"/>
      <c r="NXV2482" s="61"/>
      <c r="NXW2482" s="55"/>
      <c r="NXX2482" s="55"/>
      <c r="NXY2482" s="60"/>
      <c r="NXZ2482" s="60"/>
      <c r="NYA2482" s="60"/>
      <c r="NYB2482" s="60"/>
      <c r="NYC2482" s="65"/>
      <c r="NYD2482" s="61"/>
      <c r="NYE2482" s="55"/>
      <c r="NYF2482" s="55"/>
      <c r="NYG2482" s="60"/>
      <c r="NYH2482" s="60"/>
      <c r="NYI2482" s="60"/>
      <c r="NYJ2482" s="60"/>
      <c r="NYK2482" s="65"/>
      <c r="NYL2482" s="61"/>
      <c r="NYM2482" s="55"/>
      <c r="NYN2482" s="55"/>
      <c r="NYO2482" s="60"/>
      <c r="NYP2482" s="60"/>
      <c r="NYQ2482" s="60"/>
      <c r="NYR2482" s="60"/>
      <c r="NYS2482" s="65"/>
      <c r="NYT2482" s="61"/>
      <c r="NYU2482" s="55"/>
      <c r="NYV2482" s="55"/>
      <c r="NYW2482" s="60"/>
      <c r="NYX2482" s="60"/>
      <c r="NYY2482" s="60"/>
      <c r="NYZ2482" s="60"/>
      <c r="NZA2482" s="65"/>
      <c r="NZB2482" s="61"/>
      <c r="NZC2482" s="55"/>
      <c r="NZD2482" s="55"/>
      <c r="NZE2482" s="60"/>
      <c r="NZF2482" s="60"/>
      <c r="NZG2482" s="60"/>
      <c r="NZH2482" s="60"/>
      <c r="NZI2482" s="65"/>
      <c r="NZJ2482" s="61"/>
      <c r="NZK2482" s="55"/>
      <c r="NZL2482" s="55"/>
      <c r="NZM2482" s="60"/>
      <c r="NZN2482" s="60"/>
      <c r="NZO2482" s="60"/>
      <c r="NZP2482" s="60"/>
      <c r="NZQ2482" s="65"/>
      <c r="NZR2482" s="61"/>
      <c r="NZS2482" s="55"/>
      <c r="NZT2482" s="55"/>
      <c r="NZU2482" s="60"/>
      <c r="NZV2482" s="60"/>
      <c r="NZW2482" s="60"/>
      <c r="NZX2482" s="60"/>
      <c r="NZY2482" s="65"/>
      <c r="NZZ2482" s="61"/>
      <c r="OAA2482" s="55"/>
      <c r="OAB2482" s="55"/>
      <c r="OAC2482" s="60"/>
      <c r="OAD2482" s="60"/>
      <c r="OAE2482" s="60"/>
      <c r="OAF2482" s="60"/>
      <c r="OAG2482" s="65"/>
      <c r="OAH2482" s="61"/>
      <c r="OAI2482" s="55"/>
      <c r="OAJ2482" s="55"/>
      <c r="OAK2482" s="60"/>
      <c r="OAL2482" s="60"/>
      <c r="OAM2482" s="60"/>
      <c r="OAN2482" s="60"/>
      <c r="OAO2482" s="65"/>
      <c r="OAP2482" s="61"/>
      <c r="OAQ2482" s="55"/>
      <c r="OAR2482" s="55"/>
      <c r="OAS2482" s="60"/>
      <c r="OAT2482" s="60"/>
      <c r="OAU2482" s="60"/>
      <c r="OAV2482" s="60"/>
      <c r="OAW2482" s="65"/>
      <c r="OAX2482" s="61"/>
      <c r="OAY2482" s="55"/>
      <c r="OAZ2482" s="55"/>
      <c r="OBA2482" s="60"/>
      <c r="OBB2482" s="60"/>
      <c r="OBC2482" s="60"/>
      <c r="OBD2482" s="60"/>
      <c r="OBE2482" s="65"/>
      <c r="OBF2482" s="61"/>
      <c r="OBG2482" s="55"/>
      <c r="OBH2482" s="55"/>
      <c r="OBI2482" s="60"/>
      <c r="OBJ2482" s="60"/>
      <c r="OBK2482" s="60"/>
      <c r="OBL2482" s="60"/>
      <c r="OBM2482" s="65"/>
      <c r="OBN2482" s="61"/>
      <c r="OBO2482" s="55"/>
      <c r="OBP2482" s="55"/>
      <c r="OBQ2482" s="60"/>
      <c r="OBR2482" s="60"/>
      <c r="OBS2482" s="60"/>
      <c r="OBT2482" s="60"/>
      <c r="OBU2482" s="65"/>
      <c r="OBV2482" s="61"/>
      <c r="OBW2482" s="55"/>
      <c r="OBX2482" s="55"/>
      <c r="OBY2482" s="60"/>
      <c r="OBZ2482" s="60"/>
      <c r="OCA2482" s="60"/>
      <c r="OCB2482" s="60"/>
      <c r="OCC2482" s="65"/>
      <c r="OCD2482" s="61"/>
      <c r="OCE2482" s="55"/>
      <c r="OCF2482" s="55"/>
      <c r="OCG2482" s="60"/>
      <c r="OCH2482" s="60"/>
      <c r="OCI2482" s="60"/>
      <c r="OCJ2482" s="60"/>
      <c r="OCK2482" s="65"/>
      <c r="OCL2482" s="61"/>
      <c r="OCM2482" s="55"/>
      <c r="OCN2482" s="55"/>
      <c r="OCO2482" s="60"/>
      <c r="OCP2482" s="60"/>
      <c r="OCQ2482" s="60"/>
      <c r="OCR2482" s="60"/>
      <c r="OCS2482" s="65"/>
      <c r="OCT2482" s="61"/>
      <c r="OCU2482" s="55"/>
      <c r="OCV2482" s="55"/>
      <c r="OCW2482" s="60"/>
      <c r="OCX2482" s="60"/>
      <c r="OCY2482" s="60"/>
      <c r="OCZ2482" s="60"/>
      <c r="ODA2482" s="65"/>
      <c r="ODB2482" s="61"/>
      <c r="ODC2482" s="55"/>
      <c r="ODD2482" s="55"/>
      <c r="ODE2482" s="60"/>
      <c r="ODF2482" s="60"/>
      <c r="ODG2482" s="60"/>
      <c r="ODH2482" s="60"/>
      <c r="ODI2482" s="65"/>
      <c r="ODJ2482" s="61"/>
      <c r="ODK2482" s="55"/>
      <c r="ODL2482" s="55"/>
      <c r="ODM2482" s="60"/>
      <c r="ODN2482" s="60"/>
      <c r="ODO2482" s="60"/>
      <c r="ODP2482" s="60"/>
      <c r="ODQ2482" s="65"/>
      <c r="ODR2482" s="61"/>
      <c r="ODS2482" s="55"/>
      <c r="ODT2482" s="55"/>
      <c r="ODU2482" s="60"/>
      <c r="ODV2482" s="60"/>
      <c r="ODW2482" s="60"/>
      <c r="ODX2482" s="60"/>
      <c r="ODY2482" s="65"/>
      <c r="ODZ2482" s="61"/>
      <c r="OEA2482" s="55"/>
      <c r="OEB2482" s="55"/>
      <c r="OEC2482" s="60"/>
      <c r="OED2482" s="60"/>
      <c r="OEE2482" s="60"/>
      <c r="OEF2482" s="60"/>
      <c r="OEG2482" s="65"/>
      <c r="OEH2482" s="61"/>
      <c r="OEI2482" s="55"/>
      <c r="OEJ2482" s="55"/>
      <c r="OEK2482" s="60"/>
      <c r="OEL2482" s="60"/>
      <c r="OEM2482" s="60"/>
      <c r="OEN2482" s="60"/>
      <c r="OEO2482" s="65"/>
      <c r="OEP2482" s="61"/>
      <c r="OEQ2482" s="55"/>
      <c r="OER2482" s="55"/>
      <c r="OES2482" s="60"/>
      <c r="OET2482" s="60"/>
      <c r="OEU2482" s="60"/>
      <c r="OEV2482" s="60"/>
      <c r="OEW2482" s="65"/>
      <c r="OEX2482" s="61"/>
      <c r="OEY2482" s="55"/>
      <c r="OEZ2482" s="55"/>
      <c r="OFA2482" s="60"/>
      <c r="OFB2482" s="60"/>
      <c r="OFC2482" s="60"/>
      <c r="OFD2482" s="60"/>
      <c r="OFE2482" s="65"/>
      <c r="OFF2482" s="61"/>
      <c r="OFG2482" s="55"/>
      <c r="OFH2482" s="55"/>
      <c r="OFI2482" s="60"/>
      <c r="OFJ2482" s="60"/>
      <c r="OFK2482" s="60"/>
      <c r="OFL2482" s="60"/>
      <c r="OFM2482" s="65"/>
      <c r="OFN2482" s="61"/>
      <c r="OFO2482" s="55"/>
      <c r="OFP2482" s="55"/>
      <c r="OFQ2482" s="60"/>
      <c r="OFR2482" s="60"/>
      <c r="OFS2482" s="60"/>
      <c r="OFT2482" s="60"/>
      <c r="OFU2482" s="65"/>
      <c r="OFV2482" s="61"/>
      <c r="OFW2482" s="55"/>
      <c r="OFX2482" s="55"/>
      <c r="OFY2482" s="60"/>
      <c r="OFZ2482" s="60"/>
      <c r="OGA2482" s="60"/>
      <c r="OGB2482" s="60"/>
      <c r="OGC2482" s="65"/>
      <c r="OGD2482" s="61"/>
      <c r="OGE2482" s="55"/>
      <c r="OGF2482" s="55"/>
      <c r="OGG2482" s="60"/>
      <c r="OGH2482" s="60"/>
      <c r="OGI2482" s="60"/>
      <c r="OGJ2482" s="60"/>
      <c r="OGK2482" s="65"/>
      <c r="OGL2482" s="61"/>
      <c r="OGM2482" s="55"/>
      <c r="OGN2482" s="55"/>
      <c r="OGO2482" s="60"/>
      <c r="OGP2482" s="60"/>
      <c r="OGQ2482" s="60"/>
      <c r="OGR2482" s="60"/>
      <c r="OGS2482" s="65"/>
      <c r="OGT2482" s="61"/>
      <c r="OGU2482" s="55"/>
      <c r="OGV2482" s="55"/>
      <c r="OGW2482" s="60"/>
      <c r="OGX2482" s="60"/>
      <c r="OGY2482" s="60"/>
      <c r="OGZ2482" s="60"/>
      <c r="OHA2482" s="65"/>
      <c r="OHB2482" s="61"/>
      <c r="OHC2482" s="55"/>
      <c r="OHD2482" s="55"/>
      <c r="OHE2482" s="60"/>
      <c r="OHF2482" s="60"/>
      <c r="OHG2482" s="60"/>
      <c r="OHH2482" s="60"/>
      <c r="OHI2482" s="65"/>
      <c r="OHJ2482" s="61"/>
      <c r="OHK2482" s="55"/>
      <c r="OHL2482" s="55"/>
      <c r="OHM2482" s="60"/>
      <c r="OHN2482" s="60"/>
      <c r="OHO2482" s="60"/>
      <c r="OHP2482" s="60"/>
      <c r="OHQ2482" s="65"/>
      <c r="OHR2482" s="61"/>
      <c r="OHS2482" s="55"/>
      <c r="OHT2482" s="55"/>
      <c r="OHU2482" s="60"/>
      <c r="OHV2482" s="60"/>
      <c r="OHW2482" s="60"/>
      <c r="OHX2482" s="60"/>
      <c r="OHY2482" s="65"/>
      <c r="OHZ2482" s="61"/>
      <c r="OIA2482" s="55"/>
      <c r="OIB2482" s="55"/>
      <c r="OIC2482" s="60"/>
      <c r="OID2482" s="60"/>
      <c r="OIE2482" s="60"/>
      <c r="OIF2482" s="60"/>
      <c r="OIG2482" s="65"/>
      <c r="OIH2482" s="61"/>
      <c r="OII2482" s="55"/>
      <c r="OIJ2482" s="55"/>
      <c r="OIK2482" s="60"/>
      <c r="OIL2482" s="60"/>
      <c r="OIM2482" s="60"/>
      <c r="OIN2482" s="60"/>
      <c r="OIO2482" s="65"/>
      <c r="OIP2482" s="61"/>
      <c r="OIQ2482" s="55"/>
      <c r="OIR2482" s="55"/>
      <c r="OIS2482" s="60"/>
      <c r="OIT2482" s="60"/>
      <c r="OIU2482" s="60"/>
      <c r="OIV2482" s="60"/>
      <c r="OIW2482" s="65"/>
      <c r="OIX2482" s="61"/>
      <c r="OIY2482" s="55"/>
      <c r="OIZ2482" s="55"/>
      <c r="OJA2482" s="60"/>
      <c r="OJB2482" s="60"/>
      <c r="OJC2482" s="60"/>
      <c r="OJD2482" s="60"/>
      <c r="OJE2482" s="65"/>
      <c r="OJF2482" s="61"/>
      <c r="OJG2482" s="55"/>
      <c r="OJH2482" s="55"/>
      <c r="OJI2482" s="60"/>
      <c r="OJJ2482" s="60"/>
      <c r="OJK2482" s="60"/>
      <c r="OJL2482" s="60"/>
      <c r="OJM2482" s="65"/>
      <c r="OJN2482" s="61"/>
      <c r="OJO2482" s="55"/>
      <c r="OJP2482" s="55"/>
      <c r="OJQ2482" s="60"/>
      <c r="OJR2482" s="60"/>
      <c r="OJS2482" s="60"/>
      <c r="OJT2482" s="60"/>
      <c r="OJU2482" s="65"/>
      <c r="OJV2482" s="61"/>
      <c r="OJW2482" s="55"/>
      <c r="OJX2482" s="55"/>
      <c r="OJY2482" s="60"/>
      <c r="OJZ2482" s="60"/>
      <c r="OKA2482" s="60"/>
      <c r="OKB2482" s="60"/>
      <c r="OKC2482" s="65"/>
      <c r="OKD2482" s="61"/>
      <c r="OKE2482" s="55"/>
      <c r="OKF2482" s="55"/>
      <c r="OKG2482" s="60"/>
      <c r="OKH2482" s="60"/>
      <c r="OKI2482" s="60"/>
      <c r="OKJ2482" s="60"/>
      <c r="OKK2482" s="65"/>
      <c r="OKL2482" s="61"/>
      <c r="OKM2482" s="55"/>
      <c r="OKN2482" s="55"/>
      <c r="OKO2482" s="60"/>
      <c r="OKP2482" s="60"/>
      <c r="OKQ2482" s="60"/>
      <c r="OKR2482" s="60"/>
      <c r="OKS2482" s="65"/>
      <c r="OKT2482" s="61"/>
      <c r="OKU2482" s="55"/>
      <c r="OKV2482" s="55"/>
      <c r="OKW2482" s="60"/>
      <c r="OKX2482" s="60"/>
      <c r="OKY2482" s="60"/>
      <c r="OKZ2482" s="60"/>
      <c r="OLA2482" s="65"/>
      <c r="OLB2482" s="61"/>
      <c r="OLC2482" s="55"/>
      <c r="OLD2482" s="55"/>
      <c r="OLE2482" s="60"/>
      <c r="OLF2482" s="60"/>
      <c r="OLG2482" s="60"/>
      <c r="OLH2482" s="60"/>
      <c r="OLI2482" s="65"/>
      <c r="OLJ2482" s="61"/>
      <c r="OLK2482" s="55"/>
      <c r="OLL2482" s="55"/>
      <c r="OLM2482" s="60"/>
      <c r="OLN2482" s="60"/>
      <c r="OLO2482" s="60"/>
      <c r="OLP2482" s="60"/>
      <c r="OLQ2482" s="65"/>
      <c r="OLR2482" s="61"/>
      <c r="OLS2482" s="55"/>
      <c r="OLT2482" s="55"/>
      <c r="OLU2482" s="60"/>
      <c r="OLV2482" s="60"/>
      <c r="OLW2482" s="60"/>
      <c r="OLX2482" s="60"/>
      <c r="OLY2482" s="65"/>
      <c r="OLZ2482" s="61"/>
      <c r="OMA2482" s="55"/>
      <c r="OMB2482" s="55"/>
      <c r="OMC2482" s="60"/>
      <c r="OMD2482" s="60"/>
      <c r="OME2482" s="60"/>
      <c r="OMF2482" s="60"/>
      <c r="OMG2482" s="65"/>
      <c r="OMH2482" s="61"/>
      <c r="OMI2482" s="55"/>
      <c r="OMJ2482" s="55"/>
      <c r="OMK2482" s="60"/>
      <c r="OML2482" s="60"/>
      <c r="OMM2482" s="60"/>
      <c r="OMN2482" s="60"/>
      <c r="OMO2482" s="65"/>
      <c r="OMP2482" s="61"/>
      <c r="OMQ2482" s="55"/>
      <c r="OMR2482" s="55"/>
      <c r="OMS2482" s="60"/>
      <c r="OMT2482" s="60"/>
      <c r="OMU2482" s="60"/>
      <c r="OMV2482" s="60"/>
      <c r="OMW2482" s="65"/>
      <c r="OMX2482" s="61"/>
      <c r="OMY2482" s="55"/>
      <c r="OMZ2482" s="55"/>
      <c r="ONA2482" s="60"/>
      <c r="ONB2482" s="60"/>
      <c r="ONC2482" s="60"/>
      <c r="OND2482" s="60"/>
      <c r="ONE2482" s="65"/>
      <c r="ONF2482" s="61"/>
      <c r="ONG2482" s="55"/>
      <c r="ONH2482" s="55"/>
      <c r="ONI2482" s="60"/>
      <c r="ONJ2482" s="60"/>
      <c r="ONK2482" s="60"/>
      <c r="ONL2482" s="60"/>
      <c r="ONM2482" s="65"/>
      <c r="ONN2482" s="61"/>
      <c r="ONO2482" s="55"/>
      <c r="ONP2482" s="55"/>
      <c r="ONQ2482" s="60"/>
      <c r="ONR2482" s="60"/>
      <c r="ONS2482" s="60"/>
      <c r="ONT2482" s="60"/>
      <c r="ONU2482" s="65"/>
      <c r="ONV2482" s="61"/>
      <c r="ONW2482" s="55"/>
      <c r="ONX2482" s="55"/>
      <c r="ONY2482" s="60"/>
      <c r="ONZ2482" s="60"/>
      <c r="OOA2482" s="60"/>
      <c r="OOB2482" s="60"/>
      <c r="OOC2482" s="65"/>
      <c r="OOD2482" s="61"/>
      <c r="OOE2482" s="55"/>
      <c r="OOF2482" s="55"/>
      <c r="OOG2482" s="60"/>
      <c r="OOH2482" s="60"/>
      <c r="OOI2482" s="60"/>
      <c r="OOJ2482" s="60"/>
      <c r="OOK2482" s="65"/>
      <c r="OOL2482" s="61"/>
      <c r="OOM2482" s="55"/>
      <c r="OON2482" s="55"/>
      <c r="OOO2482" s="60"/>
      <c r="OOP2482" s="60"/>
      <c r="OOQ2482" s="60"/>
      <c r="OOR2482" s="60"/>
      <c r="OOS2482" s="65"/>
      <c r="OOT2482" s="61"/>
      <c r="OOU2482" s="55"/>
      <c r="OOV2482" s="55"/>
      <c r="OOW2482" s="60"/>
      <c r="OOX2482" s="60"/>
      <c r="OOY2482" s="60"/>
      <c r="OOZ2482" s="60"/>
      <c r="OPA2482" s="65"/>
      <c r="OPB2482" s="61"/>
      <c r="OPC2482" s="55"/>
      <c r="OPD2482" s="55"/>
      <c r="OPE2482" s="60"/>
      <c r="OPF2482" s="60"/>
      <c r="OPG2482" s="60"/>
      <c r="OPH2482" s="60"/>
      <c r="OPI2482" s="65"/>
      <c r="OPJ2482" s="61"/>
      <c r="OPK2482" s="55"/>
      <c r="OPL2482" s="55"/>
      <c r="OPM2482" s="60"/>
      <c r="OPN2482" s="60"/>
      <c r="OPO2482" s="60"/>
      <c r="OPP2482" s="60"/>
      <c r="OPQ2482" s="65"/>
      <c r="OPR2482" s="61"/>
      <c r="OPS2482" s="55"/>
      <c r="OPT2482" s="55"/>
      <c r="OPU2482" s="60"/>
      <c r="OPV2482" s="60"/>
      <c r="OPW2482" s="60"/>
      <c r="OPX2482" s="60"/>
      <c r="OPY2482" s="65"/>
      <c r="OPZ2482" s="61"/>
      <c r="OQA2482" s="55"/>
      <c r="OQB2482" s="55"/>
      <c r="OQC2482" s="60"/>
      <c r="OQD2482" s="60"/>
      <c r="OQE2482" s="60"/>
      <c r="OQF2482" s="60"/>
      <c r="OQG2482" s="65"/>
      <c r="OQH2482" s="61"/>
      <c r="OQI2482" s="55"/>
      <c r="OQJ2482" s="55"/>
      <c r="OQK2482" s="60"/>
      <c r="OQL2482" s="60"/>
      <c r="OQM2482" s="60"/>
      <c r="OQN2482" s="60"/>
      <c r="OQO2482" s="65"/>
      <c r="OQP2482" s="61"/>
      <c r="OQQ2482" s="55"/>
      <c r="OQR2482" s="55"/>
      <c r="OQS2482" s="60"/>
      <c r="OQT2482" s="60"/>
      <c r="OQU2482" s="60"/>
      <c r="OQV2482" s="60"/>
      <c r="OQW2482" s="65"/>
      <c r="OQX2482" s="61"/>
      <c r="OQY2482" s="55"/>
      <c r="OQZ2482" s="55"/>
      <c r="ORA2482" s="60"/>
      <c r="ORB2482" s="60"/>
      <c r="ORC2482" s="60"/>
      <c r="ORD2482" s="60"/>
      <c r="ORE2482" s="65"/>
      <c r="ORF2482" s="61"/>
      <c r="ORG2482" s="55"/>
      <c r="ORH2482" s="55"/>
      <c r="ORI2482" s="60"/>
      <c r="ORJ2482" s="60"/>
      <c r="ORK2482" s="60"/>
      <c r="ORL2482" s="60"/>
      <c r="ORM2482" s="65"/>
      <c r="ORN2482" s="61"/>
      <c r="ORO2482" s="55"/>
      <c r="ORP2482" s="55"/>
      <c r="ORQ2482" s="60"/>
      <c r="ORR2482" s="60"/>
      <c r="ORS2482" s="60"/>
      <c r="ORT2482" s="60"/>
      <c r="ORU2482" s="65"/>
      <c r="ORV2482" s="61"/>
      <c r="ORW2482" s="55"/>
      <c r="ORX2482" s="55"/>
      <c r="ORY2482" s="60"/>
      <c r="ORZ2482" s="60"/>
      <c r="OSA2482" s="60"/>
      <c r="OSB2482" s="60"/>
      <c r="OSC2482" s="65"/>
      <c r="OSD2482" s="61"/>
      <c r="OSE2482" s="55"/>
      <c r="OSF2482" s="55"/>
      <c r="OSG2482" s="60"/>
      <c r="OSH2482" s="60"/>
      <c r="OSI2482" s="60"/>
      <c r="OSJ2482" s="60"/>
      <c r="OSK2482" s="65"/>
      <c r="OSL2482" s="61"/>
      <c r="OSM2482" s="55"/>
      <c r="OSN2482" s="55"/>
      <c r="OSO2482" s="60"/>
      <c r="OSP2482" s="60"/>
      <c r="OSQ2482" s="60"/>
      <c r="OSR2482" s="60"/>
      <c r="OSS2482" s="65"/>
      <c r="OST2482" s="61"/>
      <c r="OSU2482" s="55"/>
      <c r="OSV2482" s="55"/>
      <c r="OSW2482" s="60"/>
      <c r="OSX2482" s="60"/>
      <c r="OSY2482" s="60"/>
      <c r="OSZ2482" s="60"/>
      <c r="OTA2482" s="65"/>
      <c r="OTB2482" s="61"/>
      <c r="OTC2482" s="55"/>
      <c r="OTD2482" s="55"/>
      <c r="OTE2482" s="60"/>
      <c r="OTF2482" s="60"/>
      <c r="OTG2482" s="60"/>
      <c r="OTH2482" s="60"/>
      <c r="OTI2482" s="65"/>
      <c r="OTJ2482" s="61"/>
      <c r="OTK2482" s="55"/>
      <c r="OTL2482" s="55"/>
      <c r="OTM2482" s="60"/>
      <c r="OTN2482" s="60"/>
      <c r="OTO2482" s="60"/>
      <c r="OTP2482" s="60"/>
      <c r="OTQ2482" s="65"/>
      <c r="OTR2482" s="61"/>
      <c r="OTS2482" s="55"/>
      <c r="OTT2482" s="55"/>
      <c r="OTU2482" s="60"/>
      <c r="OTV2482" s="60"/>
      <c r="OTW2482" s="60"/>
      <c r="OTX2482" s="60"/>
      <c r="OTY2482" s="65"/>
      <c r="OTZ2482" s="61"/>
      <c r="OUA2482" s="55"/>
      <c r="OUB2482" s="55"/>
      <c r="OUC2482" s="60"/>
      <c r="OUD2482" s="60"/>
      <c r="OUE2482" s="60"/>
      <c r="OUF2482" s="60"/>
      <c r="OUG2482" s="65"/>
      <c r="OUH2482" s="61"/>
      <c r="OUI2482" s="55"/>
      <c r="OUJ2482" s="55"/>
      <c r="OUK2482" s="60"/>
      <c r="OUL2482" s="60"/>
      <c r="OUM2482" s="60"/>
      <c r="OUN2482" s="60"/>
      <c r="OUO2482" s="65"/>
      <c r="OUP2482" s="61"/>
      <c r="OUQ2482" s="55"/>
      <c r="OUR2482" s="55"/>
      <c r="OUS2482" s="60"/>
      <c r="OUT2482" s="60"/>
      <c r="OUU2482" s="60"/>
      <c r="OUV2482" s="60"/>
      <c r="OUW2482" s="65"/>
      <c r="OUX2482" s="61"/>
      <c r="OUY2482" s="55"/>
      <c r="OUZ2482" s="55"/>
      <c r="OVA2482" s="60"/>
      <c r="OVB2482" s="60"/>
      <c r="OVC2482" s="60"/>
      <c r="OVD2482" s="60"/>
      <c r="OVE2482" s="65"/>
      <c r="OVF2482" s="61"/>
      <c r="OVG2482" s="55"/>
      <c r="OVH2482" s="55"/>
      <c r="OVI2482" s="60"/>
      <c r="OVJ2482" s="60"/>
      <c r="OVK2482" s="60"/>
      <c r="OVL2482" s="60"/>
      <c r="OVM2482" s="65"/>
      <c r="OVN2482" s="61"/>
      <c r="OVO2482" s="55"/>
      <c r="OVP2482" s="55"/>
      <c r="OVQ2482" s="60"/>
      <c r="OVR2482" s="60"/>
      <c r="OVS2482" s="60"/>
      <c r="OVT2482" s="60"/>
      <c r="OVU2482" s="65"/>
      <c r="OVV2482" s="61"/>
      <c r="OVW2482" s="55"/>
      <c r="OVX2482" s="55"/>
      <c r="OVY2482" s="60"/>
      <c r="OVZ2482" s="60"/>
      <c r="OWA2482" s="60"/>
      <c r="OWB2482" s="60"/>
      <c r="OWC2482" s="65"/>
      <c r="OWD2482" s="61"/>
      <c r="OWE2482" s="55"/>
      <c r="OWF2482" s="55"/>
      <c r="OWG2482" s="60"/>
      <c r="OWH2482" s="60"/>
      <c r="OWI2482" s="60"/>
      <c r="OWJ2482" s="60"/>
      <c r="OWK2482" s="65"/>
      <c r="OWL2482" s="61"/>
      <c r="OWM2482" s="55"/>
      <c r="OWN2482" s="55"/>
      <c r="OWO2482" s="60"/>
      <c r="OWP2482" s="60"/>
      <c r="OWQ2482" s="60"/>
      <c r="OWR2482" s="60"/>
      <c r="OWS2482" s="65"/>
      <c r="OWT2482" s="61"/>
      <c r="OWU2482" s="55"/>
      <c r="OWV2482" s="55"/>
      <c r="OWW2482" s="60"/>
      <c r="OWX2482" s="60"/>
      <c r="OWY2482" s="60"/>
      <c r="OWZ2482" s="60"/>
      <c r="OXA2482" s="65"/>
      <c r="OXB2482" s="61"/>
      <c r="OXC2482" s="55"/>
      <c r="OXD2482" s="55"/>
      <c r="OXE2482" s="60"/>
      <c r="OXF2482" s="60"/>
      <c r="OXG2482" s="60"/>
      <c r="OXH2482" s="60"/>
      <c r="OXI2482" s="65"/>
      <c r="OXJ2482" s="61"/>
      <c r="OXK2482" s="55"/>
      <c r="OXL2482" s="55"/>
      <c r="OXM2482" s="60"/>
      <c r="OXN2482" s="60"/>
      <c r="OXO2482" s="60"/>
      <c r="OXP2482" s="60"/>
      <c r="OXQ2482" s="65"/>
      <c r="OXR2482" s="61"/>
      <c r="OXS2482" s="55"/>
      <c r="OXT2482" s="55"/>
      <c r="OXU2482" s="60"/>
      <c r="OXV2482" s="60"/>
      <c r="OXW2482" s="60"/>
      <c r="OXX2482" s="60"/>
      <c r="OXY2482" s="65"/>
      <c r="OXZ2482" s="61"/>
      <c r="OYA2482" s="55"/>
      <c r="OYB2482" s="55"/>
      <c r="OYC2482" s="60"/>
      <c r="OYD2482" s="60"/>
      <c r="OYE2482" s="60"/>
      <c r="OYF2482" s="60"/>
      <c r="OYG2482" s="65"/>
      <c r="OYH2482" s="61"/>
      <c r="OYI2482" s="55"/>
      <c r="OYJ2482" s="55"/>
      <c r="OYK2482" s="60"/>
      <c r="OYL2482" s="60"/>
      <c r="OYM2482" s="60"/>
      <c r="OYN2482" s="60"/>
      <c r="OYO2482" s="65"/>
      <c r="OYP2482" s="61"/>
      <c r="OYQ2482" s="55"/>
      <c r="OYR2482" s="55"/>
      <c r="OYS2482" s="60"/>
      <c r="OYT2482" s="60"/>
      <c r="OYU2482" s="60"/>
      <c r="OYV2482" s="60"/>
      <c r="OYW2482" s="65"/>
      <c r="OYX2482" s="61"/>
      <c r="OYY2482" s="55"/>
      <c r="OYZ2482" s="55"/>
      <c r="OZA2482" s="60"/>
      <c r="OZB2482" s="60"/>
      <c r="OZC2482" s="60"/>
      <c r="OZD2482" s="60"/>
      <c r="OZE2482" s="65"/>
      <c r="OZF2482" s="61"/>
      <c r="OZG2482" s="55"/>
      <c r="OZH2482" s="55"/>
      <c r="OZI2482" s="60"/>
      <c r="OZJ2482" s="60"/>
      <c r="OZK2482" s="60"/>
      <c r="OZL2482" s="60"/>
      <c r="OZM2482" s="65"/>
      <c r="OZN2482" s="61"/>
      <c r="OZO2482" s="55"/>
      <c r="OZP2482" s="55"/>
      <c r="OZQ2482" s="60"/>
      <c r="OZR2482" s="60"/>
      <c r="OZS2482" s="60"/>
      <c r="OZT2482" s="60"/>
      <c r="OZU2482" s="65"/>
      <c r="OZV2482" s="61"/>
      <c r="OZW2482" s="55"/>
      <c r="OZX2482" s="55"/>
      <c r="OZY2482" s="60"/>
      <c r="OZZ2482" s="60"/>
      <c r="PAA2482" s="60"/>
      <c r="PAB2482" s="60"/>
      <c r="PAC2482" s="65"/>
      <c r="PAD2482" s="61"/>
      <c r="PAE2482" s="55"/>
      <c r="PAF2482" s="55"/>
      <c r="PAG2482" s="60"/>
      <c r="PAH2482" s="60"/>
      <c r="PAI2482" s="60"/>
      <c r="PAJ2482" s="60"/>
      <c r="PAK2482" s="65"/>
      <c r="PAL2482" s="61"/>
      <c r="PAM2482" s="55"/>
      <c r="PAN2482" s="55"/>
      <c r="PAO2482" s="60"/>
      <c r="PAP2482" s="60"/>
      <c r="PAQ2482" s="60"/>
      <c r="PAR2482" s="60"/>
      <c r="PAS2482" s="65"/>
      <c r="PAT2482" s="61"/>
      <c r="PAU2482" s="55"/>
      <c r="PAV2482" s="55"/>
      <c r="PAW2482" s="60"/>
      <c r="PAX2482" s="60"/>
      <c r="PAY2482" s="60"/>
      <c r="PAZ2482" s="60"/>
      <c r="PBA2482" s="65"/>
      <c r="PBB2482" s="61"/>
      <c r="PBC2482" s="55"/>
      <c r="PBD2482" s="55"/>
      <c r="PBE2482" s="60"/>
      <c r="PBF2482" s="60"/>
      <c r="PBG2482" s="60"/>
      <c r="PBH2482" s="60"/>
      <c r="PBI2482" s="65"/>
      <c r="PBJ2482" s="61"/>
      <c r="PBK2482" s="55"/>
      <c r="PBL2482" s="55"/>
      <c r="PBM2482" s="60"/>
      <c r="PBN2482" s="60"/>
      <c r="PBO2482" s="60"/>
      <c r="PBP2482" s="60"/>
      <c r="PBQ2482" s="65"/>
      <c r="PBR2482" s="61"/>
      <c r="PBS2482" s="55"/>
      <c r="PBT2482" s="55"/>
      <c r="PBU2482" s="60"/>
      <c r="PBV2482" s="60"/>
      <c r="PBW2482" s="60"/>
      <c r="PBX2482" s="60"/>
      <c r="PBY2482" s="65"/>
      <c r="PBZ2482" s="61"/>
      <c r="PCA2482" s="55"/>
      <c r="PCB2482" s="55"/>
      <c r="PCC2482" s="60"/>
      <c r="PCD2482" s="60"/>
      <c r="PCE2482" s="60"/>
      <c r="PCF2482" s="60"/>
      <c r="PCG2482" s="65"/>
      <c r="PCH2482" s="61"/>
      <c r="PCI2482" s="55"/>
      <c r="PCJ2482" s="55"/>
      <c r="PCK2482" s="60"/>
      <c r="PCL2482" s="60"/>
      <c r="PCM2482" s="60"/>
      <c r="PCN2482" s="60"/>
      <c r="PCO2482" s="65"/>
      <c r="PCP2482" s="61"/>
      <c r="PCQ2482" s="55"/>
      <c r="PCR2482" s="55"/>
      <c r="PCS2482" s="60"/>
      <c r="PCT2482" s="60"/>
      <c r="PCU2482" s="60"/>
      <c r="PCV2482" s="60"/>
      <c r="PCW2482" s="65"/>
      <c r="PCX2482" s="61"/>
      <c r="PCY2482" s="55"/>
      <c r="PCZ2482" s="55"/>
      <c r="PDA2482" s="60"/>
      <c r="PDB2482" s="60"/>
      <c r="PDC2482" s="60"/>
      <c r="PDD2482" s="60"/>
      <c r="PDE2482" s="65"/>
      <c r="PDF2482" s="61"/>
      <c r="PDG2482" s="55"/>
      <c r="PDH2482" s="55"/>
      <c r="PDI2482" s="60"/>
      <c r="PDJ2482" s="60"/>
      <c r="PDK2482" s="60"/>
      <c r="PDL2482" s="60"/>
      <c r="PDM2482" s="65"/>
      <c r="PDN2482" s="61"/>
      <c r="PDO2482" s="55"/>
      <c r="PDP2482" s="55"/>
      <c r="PDQ2482" s="60"/>
      <c r="PDR2482" s="60"/>
      <c r="PDS2482" s="60"/>
      <c r="PDT2482" s="60"/>
      <c r="PDU2482" s="65"/>
      <c r="PDV2482" s="61"/>
      <c r="PDW2482" s="55"/>
      <c r="PDX2482" s="55"/>
      <c r="PDY2482" s="60"/>
      <c r="PDZ2482" s="60"/>
      <c r="PEA2482" s="60"/>
      <c r="PEB2482" s="60"/>
      <c r="PEC2482" s="65"/>
      <c r="PED2482" s="61"/>
      <c r="PEE2482" s="55"/>
      <c r="PEF2482" s="55"/>
      <c r="PEG2482" s="60"/>
      <c r="PEH2482" s="60"/>
      <c r="PEI2482" s="60"/>
      <c r="PEJ2482" s="60"/>
      <c r="PEK2482" s="65"/>
      <c r="PEL2482" s="61"/>
      <c r="PEM2482" s="55"/>
      <c r="PEN2482" s="55"/>
      <c r="PEO2482" s="60"/>
      <c r="PEP2482" s="60"/>
      <c r="PEQ2482" s="60"/>
      <c r="PER2482" s="60"/>
      <c r="PES2482" s="65"/>
      <c r="PET2482" s="61"/>
      <c r="PEU2482" s="55"/>
      <c r="PEV2482" s="55"/>
      <c r="PEW2482" s="60"/>
      <c r="PEX2482" s="60"/>
      <c r="PEY2482" s="60"/>
      <c r="PEZ2482" s="60"/>
      <c r="PFA2482" s="65"/>
      <c r="PFB2482" s="61"/>
      <c r="PFC2482" s="55"/>
      <c r="PFD2482" s="55"/>
      <c r="PFE2482" s="60"/>
      <c r="PFF2482" s="60"/>
      <c r="PFG2482" s="60"/>
      <c r="PFH2482" s="60"/>
      <c r="PFI2482" s="65"/>
      <c r="PFJ2482" s="61"/>
      <c r="PFK2482" s="55"/>
      <c r="PFL2482" s="55"/>
      <c r="PFM2482" s="60"/>
      <c r="PFN2482" s="60"/>
      <c r="PFO2482" s="60"/>
      <c r="PFP2482" s="60"/>
      <c r="PFQ2482" s="65"/>
      <c r="PFR2482" s="61"/>
      <c r="PFS2482" s="55"/>
      <c r="PFT2482" s="55"/>
      <c r="PFU2482" s="60"/>
      <c r="PFV2482" s="60"/>
      <c r="PFW2482" s="60"/>
      <c r="PFX2482" s="60"/>
      <c r="PFY2482" s="65"/>
      <c r="PFZ2482" s="61"/>
      <c r="PGA2482" s="55"/>
      <c r="PGB2482" s="55"/>
      <c r="PGC2482" s="60"/>
      <c r="PGD2482" s="60"/>
      <c r="PGE2482" s="60"/>
      <c r="PGF2482" s="60"/>
      <c r="PGG2482" s="65"/>
      <c r="PGH2482" s="61"/>
      <c r="PGI2482" s="55"/>
      <c r="PGJ2482" s="55"/>
      <c r="PGK2482" s="60"/>
      <c r="PGL2482" s="60"/>
      <c r="PGM2482" s="60"/>
      <c r="PGN2482" s="60"/>
      <c r="PGO2482" s="65"/>
      <c r="PGP2482" s="61"/>
      <c r="PGQ2482" s="55"/>
      <c r="PGR2482" s="55"/>
      <c r="PGS2482" s="60"/>
      <c r="PGT2482" s="60"/>
      <c r="PGU2482" s="60"/>
      <c r="PGV2482" s="60"/>
      <c r="PGW2482" s="65"/>
      <c r="PGX2482" s="61"/>
      <c r="PGY2482" s="55"/>
      <c r="PGZ2482" s="55"/>
      <c r="PHA2482" s="60"/>
      <c r="PHB2482" s="60"/>
      <c r="PHC2482" s="60"/>
      <c r="PHD2482" s="60"/>
      <c r="PHE2482" s="65"/>
      <c r="PHF2482" s="61"/>
      <c r="PHG2482" s="55"/>
      <c r="PHH2482" s="55"/>
      <c r="PHI2482" s="60"/>
      <c r="PHJ2482" s="60"/>
      <c r="PHK2482" s="60"/>
      <c r="PHL2482" s="60"/>
      <c r="PHM2482" s="65"/>
      <c r="PHN2482" s="61"/>
      <c r="PHO2482" s="55"/>
      <c r="PHP2482" s="55"/>
      <c r="PHQ2482" s="60"/>
      <c r="PHR2482" s="60"/>
      <c r="PHS2482" s="60"/>
      <c r="PHT2482" s="60"/>
      <c r="PHU2482" s="65"/>
      <c r="PHV2482" s="61"/>
      <c r="PHW2482" s="55"/>
      <c r="PHX2482" s="55"/>
      <c r="PHY2482" s="60"/>
      <c r="PHZ2482" s="60"/>
      <c r="PIA2482" s="60"/>
      <c r="PIB2482" s="60"/>
      <c r="PIC2482" s="65"/>
      <c r="PID2482" s="61"/>
      <c r="PIE2482" s="55"/>
      <c r="PIF2482" s="55"/>
      <c r="PIG2482" s="60"/>
      <c r="PIH2482" s="60"/>
      <c r="PII2482" s="60"/>
      <c r="PIJ2482" s="60"/>
      <c r="PIK2482" s="65"/>
      <c r="PIL2482" s="61"/>
      <c r="PIM2482" s="55"/>
      <c r="PIN2482" s="55"/>
      <c r="PIO2482" s="60"/>
      <c r="PIP2482" s="60"/>
      <c r="PIQ2482" s="60"/>
      <c r="PIR2482" s="60"/>
      <c r="PIS2482" s="65"/>
      <c r="PIT2482" s="61"/>
      <c r="PIU2482" s="55"/>
      <c r="PIV2482" s="55"/>
      <c r="PIW2482" s="60"/>
      <c r="PIX2482" s="60"/>
      <c r="PIY2482" s="60"/>
      <c r="PIZ2482" s="60"/>
      <c r="PJA2482" s="65"/>
      <c r="PJB2482" s="61"/>
      <c r="PJC2482" s="55"/>
      <c r="PJD2482" s="55"/>
      <c r="PJE2482" s="60"/>
      <c r="PJF2482" s="60"/>
      <c r="PJG2482" s="60"/>
      <c r="PJH2482" s="60"/>
      <c r="PJI2482" s="65"/>
      <c r="PJJ2482" s="61"/>
      <c r="PJK2482" s="55"/>
      <c r="PJL2482" s="55"/>
      <c r="PJM2482" s="60"/>
      <c r="PJN2482" s="60"/>
      <c r="PJO2482" s="60"/>
      <c r="PJP2482" s="60"/>
      <c r="PJQ2482" s="65"/>
      <c r="PJR2482" s="61"/>
      <c r="PJS2482" s="55"/>
      <c r="PJT2482" s="55"/>
      <c r="PJU2482" s="60"/>
      <c r="PJV2482" s="60"/>
      <c r="PJW2482" s="60"/>
      <c r="PJX2482" s="60"/>
      <c r="PJY2482" s="65"/>
      <c r="PJZ2482" s="61"/>
      <c r="PKA2482" s="55"/>
      <c r="PKB2482" s="55"/>
      <c r="PKC2482" s="60"/>
      <c r="PKD2482" s="60"/>
      <c r="PKE2482" s="60"/>
      <c r="PKF2482" s="60"/>
      <c r="PKG2482" s="65"/>
      <c r="PKH2482" s="61"/>
      <c r="PKI2482" s="55"/>
      <c r="PKJ2482" s="55"/>
      <c r="PKK2482" s="60"/>
      <c r="PKL2482" s="60"/>
      <c r="PKM2482" s="60"/>
      <c r="PKN2482" s="60"/>
      <c r="PKO2482" s="65"/>
      <c r="PKP2482" s="61"/>
      <c r="PKQ2482" s="55"/>
      <c r="PKR2482" s="55"/>
      <c r="PKS2482" s="60"/>
      <c r="PKT2482" s="60"/>
      <c r="PKU2482" s="60"/>
      <c r="PKV2482" s="60"/>
      <c r="PKW2482" s="65"/>
      <c r="PKX2482" s="61"/>
      <c r="PKY2482" s="55"/>
      <c r="PKZ2482" s="55"/>
      <c r="PLA2482" s="60"/>
      <c r="PLB2482" s="60"/>
      <c r="PLC2482" s="60"/>
      <c r="PLD2482" s="60"/>
      <c r="PLE2482" s="65"/>
      <c r="PLF2482" s="61"/>
      <c r="PLG2482" s="55"/>
      <c r="PLH2482" s="55"/>
      <c r="PLI2482" s="60"/>
      <c r="PLJ2482" s="60"/>
      <c r="PLK2482" s="60"/>
      <c r="PLL2482" s="60"/>
      <c r="PLM2482" s="65"/>
      <c r="PLN2482" s="61"/>
      <c r="PLO2482" s="55"/>
      <c r="PLP2482" s="55"/>
      <c r="PLQ2482" s="60"/>
      <c r="PLR2482" s="60"/>
      <c r="PLS2482" s="60"/>
      <c r="PLT2482" s="60"/>
      <c r="PLU2482" s="65"/>
      <c r="PLV2482" s="61"/>
      <c r="PLW2482" s="55"/>
      <c r="PLX2482" s="55"/>
      <c r="PLY2482" s="60"/>
      <c r="PLZ2482" s="60"/>
      <c r="PMA2482" s="60"/>
      <c r="PMB2482" s="60"/>
      <c r="PMC2482" s="65"/>
      <c r="PMD2482" s="61"/>
      <c r="PME2482" s="55"/>
      <c r="PMF2482" s="55"/>
      <c r="PMG2482" s="60"/>
      <c r="PMH2482" s="60"/>
      <c r="PMI2482" s="60"/>
      <c r="PMJ2482" s="60"/>
      <c r="PMK2482" s="65"/>
      <c r="PML2482" s="61"/>
      <c r="PMM2482" s="55"/>
      <c r="PMN2482" s="55"/>
      <c r="PMO2482" s="60"/>
      <c r="PMP2482" s="60"/>
      <c r="PMQ2482" s="60"/>
      <c r="PMR2482" s="60"/>
      <c r="PMS2482" s="65"/>
      <c r="PMT2482" s="61"/>
      <c r="PMU2482" s="55"/>
      <c r="PMV2482" s="55"/>
      <c r="PMW2482" s="60"/>
      <c r="PMX2482" s="60"/>
      <c r="PMY2482" s="60"/>
      <c r="PMZ2482" s="60"/>
      <c r="PNA2482" s="65"/>
      <c r="PNB2482" s="61"/>
      <c r="PNC2482" s="55"/>
      <c r="PND2482" s="55"/>
      <c r="PNE2482" s="60"/>
      <c r="PNF2482" s="60"/>
      <c r="PNG2482" s="60"/>
      <c r="PNH2482" s="60"/>
      <c r="PNI2482" s="65"/>
      <c r="PNJ2482" s="61"/>
      <c r="PNK2482" s="55"/>
      <c r="PNL2482" s="55"/>
      <c r="PNM2482" s="60"/>
      <c r="PNN2482" s="60"/>
      <c r="PNO2482" s="60"/>
      <c r="PNP2482" s="60"/>
      <c r="PNQ2482" s="65"/>
      <c r="PNR2482" s="61"/>
      <c r="PNS2482" s="55"/>
      <c r="PNT2482" s="55"/>
      <c r="PNU2482" s="60"/>
      <c r="PNV2482" s="60"/>
      <c r="PNW2482" s="60"/>
      <c r="PNX2482" s="60"/>
      <c r="PNY2482" s="65"/>
      <c r="PNZ2482" s="61"/>
      <c r="POA2482" s="55"/>
      <c r="POB2482" s="55"/>
      <c r="POC2482" s="60"/>
      <c r="POD2482" s="60"/>
      <c r="POE2482" s="60"/>
      <c r="POF2482" s="60"/>
      <c r="POG2482" s="65"/>
      <c r="POH2482" s="61"/>
      <c r="POI2482" s="55"/>
      <c r="POJ2482" s="55"/>
      <c r="POK2482" s="60"/>
      <c r="POL2482" s="60"/>
      <c r="POM2482" s="60"/>
      <c r="PON2482" s="60"/>
      <c r="POO2482" s="65"/>
      <c r="POP2482" s="61"/>
      <c r="POQ2482" s="55"/>
      <c r="POR2482" s="55"/>
      <c r="POS2482" s="60"/>
      <c r="POT2482" s="60"/>
      <c r="POU2482" s="60"/>
      <c r="POV2482" s="60"/>
      <c r="POW2482" s="65"/>
      <c r="POX2482" s="61"/>
      <c r="POY2482" s="55"/>
      <c r="POZ2482" s="55"/>
      <c r="PPA2482" s="60"/>
      <c r="PPB2482" s="60"/>
      <c r="PPC2482" s="60"/>
      <c r="PPD2482" s="60"/>
      <c r="PPE2482" s="65"/>
      <c r="PPF2482" s="61"/>
      <c r="PPG2482" s="55"/>
      <c r="PPH2482" s="55"/>
      <c r="PPI2482" s="60"/>
      <c r="PPJ2482" s="60"/>
      <c r="PPK2482" s="60"/>
      <c r="PPL2482" s="60"/>
      <c r="PPM2482" s="65"/>
      <c r="PPN2482" s="61"/>
      <c r="PPO2482" s="55"/>
      <c r="PPP2482" s="55"/>
      <c r="PPQ2482" s="60"/>
      <c r="PPR2482" s="60"/>
      <c r="PPS2482" s="60"/>
      <c r="PPT2482" s="60"/>
      <c r="PPU2482" s="65"/>
      <c r="PPV2482" s="61"/>
      <c r="PPW2482" s="55"/>
      <c r="PPX2482" s="55"/>
      <c r="PPY2482" s="60"/>
      <c r="PPZ2482" s="60"/>
      <c r="PQA2482" s="60"/>
      <c r="PQB2482" s="60"/>
      <c r="PQC2482" s="65"/>
      <c r="PQD2482" s="61"/>
      <c r="PQE2482" s="55"/>
      <c r="PQF2482" s="55"/>
      <c r="PQG2482" s="60"/>
      <c r="PQH2482" s="60"/>
      <c r="PQI2482" s="60"/>
      <c r="PQJ2482" s="60"/>
      <c r="PQK2482" s="65"/>
      <c r="PQL2482" s="61"/>
      <c r="PQM2482" s="55"/>
      <c r="PQN2482" s="55"/>
      <c r="PQO2482" s="60"/>
      <c r="PQP2482" s="60"/>
      <c r="PQQ2482" s="60"/>
      <c r="PQR2482" s="60"/>
      <c r="PQS2482" s="65"/>
      <c r="PQT2482" s="61"/>
      <c r="PQU2482" s="55"/>
      <c r="PQV2482" s="55"/>
      <c r="PQW2482" s="60"/>
      <c r="PQX2482" s="60"/>
      <c r="PQY2482" s="60"/>
      <c r="PQZ2482" s="60"/>
      <c r="PRA2482" s="65"/>
      <c r="PRB2482" s="61"/>
      <c r="PRC2482" s="55"/>
      <c r="PRD2482" s="55"/>
      <c r="PRE2482" s="60"/>
      <c r="PRF2482" s="60"/>
      <c r="PRG2482" s="60"/>
      <c r="PRH2482" s="60"/>
      <c r="PRI2482" s="65"/>
      <c r="PRJ2482" s="61"/>
      <c r="PRK2482" s="55"/>
      <c r="PRL2482" s="55"/>
      <c r="PRM2482" s="60"/>
      <c r="PRN2482" s="60"/>
      <c r="PRO2482" s="60"/>
      <c r="PRP2482" s="60"/>
      <c r="PRQ2482" s="65"/>
      <c r="PRR2482" s="61"/>
      <c r="PRS2482" s="55"/>
      <c r="PRT2482" s="55"/>
      <c r="PRU2482" s="60"/>
      <c r="PRV2482" s="60"/>
      <c r="PRW2482" s="60"/>
      <c r="PRX2482" s="60"/>
      <c r="PRY2482" s="65"/>
      <c r="PRZ2482" s="61"/>
      <c r="PSA2482" s="55"/>
      <c r="PSB2482" s="55"/>
      <c r="PSC2482" s="60"/>
      <c r="PSD2482" s="60"/>
      <c r="PSE2482" s="60"/>
      <c r="PSF2482" s="60"/>
      <c r="PSG2482" s="65"/>
      <c r="PSH2482" s="61"/>
      <c r="PSI2482" s="55"/>
      <c r="PSJ2482" s="55"/>
      <c r="PSK2482" s="60"/>
      <c r="PSL2482" s="60"/>
      <c r="PSM2482" s="60"/>
      <c r="PSN2482" s="60"/>
      <c r="PSO2482" s="65"/>
      <c r="PSP2482" s="61"/>
      <c r="PSQ2482" s="55"/>
      <c r="PSR2482" s="55"/>
      <c r="PSS2482" s="60"/>
      <c r="PST2482" s="60"/>
      <c r="PSU2482" s="60"/>
      <c r="PSV2482" s="60"/>
      <c r="PSW2482" s="65"/>
      <c r="PSX2482" s="61"/>
      <c r="PSY2482" s="55"/>
      <c r="PSZ2482" s="55"/>
      <c r="PTA2482" s="60"/>
      <c r="PTB2482" s="60"/>
      <c r="PTC2482" s="60"/>
      <c r="PTD2482" s="60"/>
      <c r="PTE2482" s="65"/>
      <c r="PTF2482" s="61"/>
      <c r="PTG2482" s="55"/>
      <c r="PTH2482" s="55"/>
      <c r="PTI2482" s="60"/>
      <c r="PTJ2482" s="60"/>
      <c r="PTK2482" s="60"/>
      <c r="PTL2482" s="60"/>
      <c r="PTM2482" s="65"/>
      <c r="PTN2482" s="61"/>
      <c r="PTO2482" s="55"/>
      <c r="PTP2482" s="55"/>
      <c r="PTQ2482" s="60"/>
      <c r="PTR2482" s="60"/>
      <c r="PTS2482" s="60"/>
      <c r="PTT2482" s="60"/>
      <c r="PTU2482" s="65"/>
      <c r="PTV2482" s="61"/>
      <c r="PTW2482" s="55"/>
      <c r="PTX2482" s="55"/>
      <c r="PTY2482" s="60"/>
      <c r="PTZ2482" s="60"/>
      <c r="PUA2482" s="60"/>
      <c r="PUB2482" s="60"/>
      <c r="PUC2482" s="65"/>
      <c r="PUD2482" s="61"/>
      <c r="PUE2482" s="55"/>
      <c r="PUF2482" s="55"/>
      <c r="PUG2482" s="60"/>
      <c r="PUH2482" s="60"/>
      <c r="PUI2482" s="60"/>
      <c r="PUJ2482" s="60"/>
      <c r="PUK2482" s="65"/>
      <c r="PUL2482" s="61"/>
      <c r="PUM2482" s="55"/>
      <c r="PUN2482" s="55"/>
      <c r="PUO2482" s="60"/>
      <c r="PUP2482" s="60"/>
      <c r="PUQ2482" s="60"/>
      <c r="PUR2482" s="60"/>
      <c r="PUS2482" s="65"/>
      <c r="PUT2482" s="61"/>
      <c r="PUU2482" s="55"/>
      <c r="PUV2482" s="55"/>
      <c r="PUW2482" s="60"/>
      <c r="PUX2482" s="60"/>
      <c r="PUY2482" s="60"/>
      <c r="PUZ2482" s="60"/>
      <c r="PVA2482" s="65"/>
      <c r="PVB2482" s="61"/>
      <c r="PVC2482" s="55"/>
      <c r="PVD2482" s="55"/>
      <c r="PVE2482" s="60"/>
      <c r="PVF2482" s="60"/>
      <c r="PVG2482" s="60"/>
      <c r="PVH2482" s="60"/>
      <c r="PVI2482" s="65"/>
      <c r="PVJ2482" s="61"/>
      <c r="PVK2482" s="55"/>
      <c r="PVL2482" s="55"/>
      <c r="PVM2482" s="60"/>
      <c r="PVN2482" s="60"/>
      <c r="PVO2482" s="60"/>
      <c r="PVP2482" s="60"/>
      <c r="PVQ2482" s="65"/>
      <c r="PVR2482" s="61"/>
      <c r="PVS2482" s="55"/>
      <c r="PVT2482" s="55"/>
      <c r="PVU2482" s="60"/>
      <c r="PVV2482" s="60"/>
      <c r="PVW2482" s="60"/>
      <c r="PVX2482" s="60"/>
      <c r="PVY2482" s="65"/>
      <c r="PVZ2482" s="61"/>
      <c r="PWA2482" s="55"/>
      <c r="PWB2482" s="55"/>
      <c r="PWC2482" s="60"/>
      <c r="PWD2482" s="60"/>
      <c r="PWE2482" s="60"/>
      <c r="PWF2482" s="60"/>
      <c r="PWG2482" s="65"/>
      <c r="PWH2482" s="61"/>
      <c r="PWI2482" s="55"/>
      <c r="PWJ2482" s="55"/>
      <c r="PWK2482" s="60"/>
      <c r="PWL2482" s="60"/>
      <c r="PWM2482" s="60"/>
      <c r="PWN2482" s="60"/>
      <c r="PWO2482" s="65"/>
      <c r="PWP2482" s="61"/>
      <c r="PWQ2482" s="55"/>
      <c r="PWR2482" s="55"/>
      <c r="PWS2482" s="60"/>
      <c r="PWT2482" s="60"/>
      <c r="PWU2482" s="60"/>
      <c r="PWV2482" s="60"/>
      <c r="PWW2482" s="65"/>
      <c r="PWX2482" s="61"/>
      <c r="PWY2482" s="55"/>
      <c r="PWZ2482" s="55"/>
      <c r="PXA2482" s="60"/>
      <c r="PXB2482" s="60"/>
      <c r="PXC2482" s="60"/>
      <c r="PXD2482" s="60"/>
      <c r="PXE2482" s="65"/>
      <c r="PXF2482" s="61"/>
      <c r="PXG2482" s="55"/>
      <c r="PXH2482" s="55"/>
      <c r="PXI2482" s="60"/>
      <c r="PXJ2482" s="60"/>
      <c r="PXK2482" s="60"/>
      <c r="PXL2482" s="60"/>
      <c r="PXM2482" s="65"/>
      <c r="PXN2482" s="61"/>
      <c r="PXO2482" s="55"/>
      <c r="PXP2482" s="55"/>
      <c r="PXQ2482" s="60"/>
      <c r="PXR2482" s="60"/>
      <c r="PXS2482" s="60"/>
      <c r="PXT2482" s="60"/>
      <c r="PXU2482" s="65"/>
      <c r="PXV2482" s="61"/>
      <c r="PXW2482" s="55"/>
      <c r="PXX2482" s="55"/>
      <c r="PXY2482" s="60"/>
      <c r="PXZ2482" s="60"/>
      <c r="PYA2482" s="60"/>
      <c r="PYB2482" s="60"/>
      <c r="PYC2482" s="65"/>
      <c r="PYD2482" s="61"/>
      <c r="PYE2482" s="55"/>
      <c r="PYF2482" s="55"/>
      <c r="PYG2482" s="60"/>
      <c r="PYH2482" s="60"/>
      <c r="PYI2482" s="60"/>
      <c r="PYJ2482" s="60"/>
      <c r="PYK2482" s="65"/>
      <c r="PYL2482" s="61"/>
      <c r="PYM2482" s="55"/>
      <c r="PYN2482" s="55"/>
      <c r="PYO2482" s="60"/>
      <c r="PYP2482" s="60"/>
      <c r="PYQ2482" s="60"/>
      <c r="PYR2482" s="60"/>
      <c r="PYS2482" s="65"/>
      <c r="PYT2482" s="61"/>
      <c r="PYU2482" s="55"/>
      <c r="PYV2482" s="55"/>
      <c r="PYW2482" s="60"/>
      <c r="PYX2482" s="60"/>
      <c r="PYY2482" s="60"/>
      <c r="PYZ2482" s="60"/>
      <c r="PZA2482" s="65"/>
      <c r="PZB2482" s="61"/>
      <c r="PZC2482" s="55"/>
      <c r="PZD2482" s="55"/>
      <c r="PZE2482" s="60"/>
      <c r="PZF2482" s="60"/>
      <c r="PZG2482" s="60"/>
      <c r="PZH2482" s="60"/>
      <c r="PZI2482" s="65"/>
      <c r="PZJ2482" s="61"/>
      <c r="PZK2482" s="55"/>
      <c r="PZL2482" s="55"/>
      <c r="PZM2482" s="60"/>
      <c r="PZN2482" s="60"/>
      <c r="PZO2482" s="60"/>
      <c r="PZP2482" s="60"/>
      <c r="PZQ2482" s="65"/>
      <c r="PZR2482" s="61"/>
      <c r="PZS2482" s="55"/>
      <c r="PZT2482" s="55"/>
      <c r="PZU2482" s="60"/>
      <c r="PZV2482" s="60"/>
      <c r="PZW2482" s="60"/>
      <c r="PZX2482" s="60"/>
      <c r="PZY2482" s="65"/>
      <c r="PZZ2482" s="61"/>
      <c r="QAA2482" s="55"/>
      <c r="QAB2482" s="55"/>
      <c r="QAC2482" s="60"/>
      <c r="QAD2482" s="60"/>
      <c r="QAE2482" s="60"/>
      <c r="QAF2482" s="60"/>
      <c r="QAG2482" s="65"/>
      <c r="QAH2482" s="61"/>
      <c r="QAI2482" s="55"/>
      <c r="QAJ2482" s="55"/>
      <c r="QAK2482" s="60"/>
      <c r="QAL2482" s="60"/>
      <c r="QAM2482" s="60"/>
      <c r="QAN2482" s="60"/>
      <c r="QAO2482" s="65"/>
      <c r="QAP2482" s="61"/>
      <c r="QAQ2482" s="55"/>
      <c r="QAR2482" s="55"/>
      <c r="QAS2482" s="60"/>
      <c r="QAT2482" s="60"/>
      <c r="QAU2482" s="60"/>
      <c r="QAV2482" s="60"/>
      <c r="QAW2482" s="65"/>
      <c r="QAX2482" s="61"/>
      <c r="QAY2482" s="55"/>
      <c r="QAZ2482" s="55"/>
      <c r="QBA2482" s="60"/>
      <c r="QBB2482" s="60"/>
      <c r="QBC2482" s="60"/>
      <c r="QBD2482" s="60"/>
      <c r="QBE2482" s="65"/>
      <c r="QBF2482" s="61"/>
      <c r="QBG2482" s="55"/>
      <c r="QBH2482" s="55"/>
      <c r="QBI2482" s="60"/>
      <c r="QBJ2482" s="60"/>
      <c r="QBK2482" s="60"/>
      <c r="QBL2482" s="60"/>
      <c r="QBM2482" s="65"/>
      <c r="QBN2482" s="61"/>
      <c r="QBO2482" s="55"/>
      <c r="QBP2482" s="55"/>
      <c r="QBQ2482" s="60"/>
      <c r="QBR2482" s="60"/>
      <c r="QBS2482" s="60"/>
      <c r="QBT2482" s="60"/>
      <c r="QBU2482" s="65"/>
      <c r="QBV2482" s="61"/>
      <c r="QBW2482" s="55"/>
      <c r="QBX2482" s="55"/>
      <c r="QBY2482" s="60"/>
      <c r="QBZ2482" s="60"/>
      <c r="QCA2482" s="60"/>
      <c r="QCB2482" s="60"/>
      <c r="QCC2482" s="65"/>
      <c r="QCD2482" s="61"/>
      <c r="QCE2482" s="55"/>
      <c r="QCF2482" s="55"/>
      <c r="QCG2482" s="60"/>
      <c r="QCH2482" s="60"/>
      <c r="QCI2482" s="60"/>
      <c r="QCJ2482" s="60"/>
      <c r="QCK2482" s="65"/>
      <c r="QCL2482" s="61"/>
      <c r="QCM2482" s="55"/>
      <c r="QCN2482" s="55"/>
      <c r="QCO2482" s="60"/>
      <c r="QCP2482" s="60"/>
      <c r="QCQ2482" s="60"/>
      <c r="QCR2482" s="60"/>
      <c r="QCS2482" s="65"/>
      <c r="QCT2482" s="61"/>
      <c r="QCU2482" s="55"/>
      <c r="QCV2482" s="55"/>
      <c r="QCW2482" s="60"/>
      <c r="QCX2482" s="60"/>
      <c r="QCY2482" s="60"/>
      <c r="QCZ2482" s="60"/>
      <c r="QDA2482" s="65"/>
      <c r="QDB2482" s="61"/>
      <c r="QDC2482" s="55"/>
      <c r="QDD2482" s="55"/>
      <c r="QDE2482" s="60"/>
      <c r="QDF2482" s="60"/>
      <c r="QDG2482" s="60"/>
      <c r="QDH2482" s="60"/>
      <c r="QDI2482" s="65"/>
      <c r="QDJ2482" s="61"/>
      <c r="QDK2482" s="55"/>
      <c r="QDL2482" s="55"/>
      <c r="QDM2482" s="60"/>
      <c r="QDN2482" s="60"/>
      <c r="QDO2482" s="60"/>
      <c r="QDP2482" s="60"/>
      <c r="QDQ2482" s="65"/>
      <c r="QDR2482" s="61"/>
      <c r="QDS2482" s="55"/>
      <c r="QDT2482" s="55"/>
      <c r="QDU2482" s="60"/>
      <c r="QDV2482" s="60"/>
      <c r="QDW2482" s="60"/>
      <c r="QDX2482" s="60"/>
      <c r="QDY2482" s="65"/>
      <c r="QDZ2482" s="61"/>
      <c r="QEA2482" s="55"/>
      <c r="QEB2482" s="55"/>
      <c r="QEC2482" s="60"/>
      <c r="QED2482" s="60"/>
      <c r="QEE2482" s="60"/>
      <c r="QEF2482" s="60"/>
      <c r="QEG2482" s="65"/>
      <c r="QEH2482" s="61"/>
      <c r="QEI2482" s="55"/>
      <c r="QEJ2482" s="55"/>
      <c r="QEK2482" s="60"/>
      <c r="QEL2482" s="60"/>
      <c r="QEM2482" s="60"/>
      <c r="QEN2482" s="60"/>
      <c r="QEO2482" s="65"/>
      <c r="QEP2482" s="61"/>
      <c r="QEQ2482" s="55"/>
      <c r="QER2482" s="55"/>
      <c r="QES2482" s="60"/>
      <c r="QET2482" s="60"/>
      <c r="QEU2482" s="60"/>
      <c r="QEV2482" s="60"/>
      <c r="QEW2482" s="65"/>
      <c r="QEX2482" s="61"/>
      <c r="QEY2482" s="55"/>
      <c r="QEZ2482" s="55"/>
      <c r="QFA2482" s="60"/>
      <c r="QFB2482" s="60"/>
      <c r="QFC2482" s="60"/>
      <c r="QFD2482" s="60"/>
      <c r="QFE2482" s="65"/>
      <c r="QFF2482" s="61"/>
      <c r="QFG2482" s="55"/>
      <c r="QFH2482" s="55"/>
      <c r="QFI2482" s="60"/>
      <c r="QFJ2482" s="60"/>
      <c r="QFK2482" s="60"/>
      <c r="QFL2482" s="60"/>
      <c r="QFM2482" s="65"/>
      <c r="QFN2482" s="61"/>
      <c r="QFO2482" s="55"/>
      <c r="QFP2482" s="55"/>
      <c r="QFQ2482" s="60"/>
      <c r="QFR2482" s="60"/>
      <c r="QFS2482" s="60"/>
      <c r="QFT2482" s="60"/>
      <c r="QFU2482" s="65"/>
      <c r="QFV2482" s="61"/>
      <c r="QFW2482" s="55"/>
      <c r="QFX2482" s="55"/>
      <c r="QFY2482" s="60"/>
      <c r="QFZ2482" s="60"/>
      <c r="QGA2482" s="60"/>
      <c r="QGB2482" s="60"/>
      <c r="QGC2482" s="65"/>
      <c r="QGD2482" s="61"/>
      <c r="QGE2482" s="55"/>
      <c r="QGF2482" s="55"/>
      <c r="QGG2482" s="60"/>
      <c r="QGH2482" s="60"/>
      <c r="QGI2482" s="60"/>
      <c r="QGJ2482" s="60"/>
      <c r="QGK2482" s="65"/>
      <c r="QGL2482" s="61"/>
      <c r="QGM2482" s="55"/>
      <c r="QGN2482" s="55"/>
      <c r="QGO2482" s="60"/>
      <c r="QGP2482" s="60"/>
      <c r="QGQ2482" s="60"/>
      <c r="QGR2482" s="60"/>
      <c r="QGS2482" s="65"/>
      <c r="QGT2482" s="61"/>
      <c r="QGU2482" s="55"/>
      <c r="QGV2482" s="55"/>
      <c r="QGW2482" s="60"/>
      <c r="QGX2482" s="60"/>
      <c r="QGY2482" s="60"/>
      <c r="QGZ2482" s="60"/>
      <c r="QHA2482" s="65"/>
      <c r="QHB2482" s="61"/>
      <c r="QHC2482" s="55"/>
      <c r="QHD2482" s="55"/>
      <c r="QHE2482" s="60"/>
      <c r="QHF2482" s="60"/>
      <c r="QHG2482" s="60"/>
      <c r="QHH2482" s="60"/>
      <c r="QHI2482" s="65"/>
      <c r="QHJ2482" s="61"/>
      <c r="QHK2482" s="55"/>
      <c r="QHL2482" s="55"/>
      <c r="QHM2482" s="60"/>
      <c r="QHN2482" s="60"/>
      <c r="QHO2482" s="60"/>
      <c r="QHP2482" s="60"/>
      <c r="QHQ2482" s="65"/>
      <c r="QHR2482" s="61"/>
      <c r="QHS2482" s="55"/>
      <c r="QHT2482" s="55"/>
      <c r="QHU2482" s="60"/>
      <c r="QHV2482" s="60"/>
      <c r="QHW2482" s="60"/>
      <c r="QHX2482" s="60"/>
      <c r="QHY2482" s="65"/>
      <c r="QHZ2482" s="61"/>
      <c r="QIA2482" s="55"/>
      <c r="QIB2482" s="55"/>
      <c r="QIC2482" s="60"/>
      <c r="QID2482" s="60"/>
      <c r="QIE2482" s="60"/>
      <c r="QIF2482" s="60"/>
      <c r="QIG2482" s="65"/>
      <c r="QIH2482" s="61"/>
      <c r="QII2482" s="55"/>
      <c r="QIJ2482" s="55"/>
      <c r="QIK2482" s="60"/>
      <c r="QIL2482" s="60"/>
      <c r="QIM2482" s="60"/>
      <c r="QIN2482" s="60"/>
      <c r="QIO2482" s="65"/>
      <c r="QIP2482" s="61"/>
      <c r="QIQ2482" s="55"/>
      <c r="QIR2482" s="55"/>
      <c r="QIS2482" s="60"/>
      <c r="QIT2482" s="60"/>
      <c r="QIU2482" s="60"/>
      <c r="QIV2482" s="60"/>
      <c r="QIW2482" s="65"/>
      <c r="QIX2482" s="61"/>
      <c r="QIY2482" s="55"/>
      <c r="QIZ2482" s="55"/>
      <c r="QJA2482" s="60"/>
      <c r="QJB2482" s="60"/>
      <c r="QJC2482" s="60"/>
      <c r="QJD2482" s="60"/>
      <c r="QJE2482" s="65"/>
      <c r="QJF2482" s="61"/>
      <c r="QJG2482" s="55"/>
      <c r="QJH2482" s="55"/>
      <c r="QJI2482" s="60"/>
      <c r="QJJ2482" s="60"/>
      <c r="QJK2482" s="60"/>
      <c r="QJL2482" s="60"/>
      <c r="QJM2482" s="65"/>
      <c r="QJN2482" s="61"/>
      <c r="QJO2482" s="55"/>
      <c r="QJP2482" s="55"/>
      <c r="QJQ2482" s="60"/>
      <c r="QJR2482" s="60"/>
      <c r="QJS2482" s="60"/>
      <c r="QJT2482" s="60"/>
      <c r="QJU2482" s="65"/>
      <c r="QJV2482" s="61"/>
      <c r="QJW2482" s="55"/>
      <c r="QJX2482" s="55"/>
      <c r="QJY2482" s="60"/>
      <c r="QJZ2482" s="60"/>
      <c r="QKA2482" s="60"/>
      <c r="QKB2482" s="60"/>
      <c r="QKC2482" s="65"/>
      <c r="QKD2482" s="61"/>
      <c r="QKE2482" s="55"/>
      <c r="QKF2482" s="55"/>
      <c r="QKG2482" s="60"/>
      <c r="QKH2482" s="60"/>
      <c r="QKI2482" s="60"/>
      <c r="QKJ2482" s="60"/>
      <c r="QKK2482" s="65"/>
      <c r="QKL2482" s="61"/>
      <c r="QKM2482" s="55"/>
      <c r="QKN2482" s="55"/>
      <c r="QKO2482" s="60"/>
      <c r="QKP2482" s="60"/>
      <c r="QKQ2482" s="60"/>
      <c r="QKR2482" s="60"/>
      <c r="QKS2482" s="65"/>
      <c r="QKT2482" s="61"/>
      <c r="QKU2482" s="55"/>
      <c r="QKV2482" s="55"/>
      <c r="QKW2482" s="60"/>
      <c r="QKX2482" s="60"/>
      <c r="QKY2482" s="60"/>
      <c r="QKZ2482" s="60"/>
      <c r="QLA2482" s="65"/>
      <c r="QLB2482" s="61"/>
      <c r="QLC2482" s="55"/>
      <c r="QLD2482" s="55"/>
      <c r="QLE2482" s="60"/>
      <c r="QLF2482" s="60"/>
      <c r="QLG2482" s="60"/>
      <c r="QLH2482" s="60"/>
      <c r="QLI2482" s="65"/>
      <c r="QLJ2482" s="61"/>
      <c r="QLK2482" s="55"/>
      <c r="QLL2482" s="55"/>
      <c r="QLM2482" s="60"/>
      <c r="QLN2482" s="60"/>
      <c r="QLO2482" s="60"/>
      <c r="QLP2482" s="60"/>
      <c r="QLQ2482" s="65"/>
      <c r="QLR2482" s="61"/>
      <c r="QLS2482" s="55"/>
      <c r="QLT2482" s="55"/>
      <c r="QLU2482" s="60"/>
      <c r="QLV2482" s="60"/>
      <c r="QLW2482" s="60"/>
      <c r="QLX2482" s="60"/>
      <c r="QLY2482" s="65"/>
      <c r="QLZ2482" s="61"/>
      <c r="QMA2482" s="55"/>
      <c r="QMB2482" s="55"/>
      <c r="QMC2482" s="60"/>
      <c r="QMD2482" s="60"/>
      <c r="QME2482" s="60"/>
      <c r="QMF2482" s="60"/>
      <c r="QMG2482" s="65"/>
      <c r="QMH2482" s="61"/>
      <c r="QMI2482" s="55"/>
      <c r="QMJ2482" s="55"/>
      <c r="QMK2482" s="60"/>
      <c r="QML2482" s="60"/>
      <c r="QMM2482" s="60"/>
      <c r="QMN2482" s="60"/>
      <c r="QMO2482" s="65"/>
      <c r="QMP2482" s="61"/>
      <c r="QMQ2482" s="55"/>
      <c r="QMR2482" s="55"/>
      <c r="QMS2482" s="60"/>
      <c r="QMT2482" s="60"/>
      <c r="QMU2482" s="60"/>
      <c r="QMV2482" s="60"/>
      <c r="QMW2482" s="65"/>
      <c r="QMX2482" s="61"/>
      <c r="QMY2482" s="55"/>
      <c r="QMZ2482" s="55"/>
      <c r="QNA2482" s="60"/>
      <c r="QNB2482" s="60"/>
      <c r="QNC2482" s="60"/>
      <c r="QND2482" s="60"/>
      <c r="QNE2482" s="65"/>
      <c r="QNF2482" s="61"/>
      <c r="QNG2482" s="55"/>
      <c r="QNH2482" s="55"/>
      <c r="QNI2482" s="60"/>
      <c r="QNJ2482" s="60"/>
      <c r="QNK2482" s="60"/>
      <c r="QNL2482" s="60"/>
      <c r="QNM2482" s="65"/>
      <c r="QNN2482" s="61"/>
      <c r="QNO2482" s="55"/>
      <c r="QNP2482" s="55"/>
      <c r="QNQ2482" s="60"/>
      <c r="QNR2482" s="60"/>
      <c r="QNS2482" s="60"/>
      <c r="QNT2482" s="60"/>
      <c r="QNU2482" s="65"/>
      <c r="QNV2482" s="61"/>
      <c r="QNW2482" s="55"/>
      <c r="QNX2482" s="55"/>
      <c r="QNY2482" s="60"/>
      <c r="QNZ2482" s="60"/>
      <c r="QOA2482" s="60"/>
      <c r="QOB2482" s="60"/>
      <c r="QOC2482" s="65"/>
      <c r="QOD2482" s="61"/>
      <c r="QOE2482" s="55"/>
      <c r="QOF2482" s="55"/>
      <c r="QOG2482" s="60"/>
      <c r="QOH2482" s="60"/>
      <c r="QOI2482" s="60"/>
      <c r="QOJ2482" s="60"/>
      <c r="QOK2482" s="65"/>
      <c r="QOL2482" s="61"/>
      <c r="QOM2482" s="55"/>
      <c r="QON2482" s="55"/>
      <c r="QOO2482" s="60"/>
      <c r="QOP2482" s="60"/>
      <c r="QOQ2482" s="60"/>
      <c r="QOR2482" s="60"/>
      <c r="QOS2482" s="65"/>
      <c r="QOT2482" s="61"/>
      <c r="QOU2482" s="55"/>
      <c r="QOV2482" s="55"/>
      <c r="QOW2482" s="60"/>
      <c r="QOX2482" s="60"/>
      <c r="QOY2482" s="60"/>
      <c r="QOZ2482" s="60"/>
      <c r="QPA2482" s="65"/>
      <c r="QPB2482" s="61"/>
      <c r="QPC2482" s="55"/>
      <c r="QPD2482" s="55"/>
      <c r="QPE2482" s="60"/>
      <c r="QPF2482" s="60"/>
      <c r="QPG2482" s="60"/>
      <c r="QPH2482" s="60"/>
      <c r="QPI2482" s="65"/>
      <c r="QPJ2482" s="61"/>
      <c r="QPK2482" s="55"/>
      <c r="QPL2482" s="55"/>
      <c r="QPM2482" s="60"/>
      <c r="QPN2482" s="60"/>
      <c r="QPO2482" s="60"/>
      <c r="QPP2482" s="60"/>
      <c r="QPQ2482" s="65"/>
      <c r="QPR2482" s="61"/>
      <c r="QPS2482" s="55"/>
      <c r="QPT2482" s="55"/>
      <c r="QPU2482" s="60"/>
      <c r="QPV2482" s="60"/>
      <c r="QPW2482" s="60"/>
      <c r="QPX2482" s="60"/>
      <c r="QPY2482" s="65"/>
      <c r="QPZ2482" s="61"/>
      <c r="QQA2482" s="55"/>
      <c r="QQB2482" s="55"/>
      <c r="QQC2482" s="60"/>
      <c r="QQD2482" s="60"/>
      <c r="QQE2482" s="60"/>
      <c r="QQF2482" s="60"/>
      <c r="QQG2482" s="65"/>
      <c r="QQH2482" s="61"/>
      <c r="QQI2482" s="55"/>
      <c r="QQJ2482" s="55"/>
      <c r="QQK2482" s="60"/>
      <c r="QQL2482" s="60"/>
      <c r="QQM2482" s="60"/>
      <c r="QQN2482" s="60"/>
      <c r="QQO2482" s="65"/>
      <c r="QQP2482" s="61"/>
      <c r="QQQ2482" s="55"/>
      <c r="QQR2482" s="55"/>
      <c r="QQS2482" s="60"/>
      <c r="QQT2482" s="60"/>
      <c r="QQU2482" s="60"/>
      <c r="QQV2482" s="60"/>
      <c r="QQW2482" s="65"/>
      <c r="QQX2482" s="61"/>
      <c r="QQY2482" s="55"/>
      <c r="QQZ2482" s="55"/>
      <c r="QRA2482" s="60"/>
      <c r="QRB2482" s="60"/>
      <c r="QRC2482" s="60"/>
      <c r="QRD2482" s="60"/>
      <c r="QRE2482" s="65"/>
      <c r="QRF2482" s="61"/>
      <c r="QRG2482" s="55"/>
      <c r="QRH2482" s="55"/>
      <c r="QRI2482" s="60"/>
      <c r="QRJ2482" s="60"/>
      <c r="QRK2482" s="60"/>
      <c r="QRL2482" s="60"/>
      <c r="QRM2482" s="65"/>
      <c r="QRN2482" s="61"/>
      <c r="QRO2482" s="55"/>
      <c r="QRP2482" s="55"/>
      <c r="QRQ2482" s="60"/>
      <c r="QRR2482" s="60"/>
      <c r="QRS2482" s="60"/>
      <c r="QRT2482" s="60"/>
      <c r="QRU2482" s="65"/>
      <c r="QRV2482" s="61"/>
      <c r="QRW2482" s="55"/>
      <c r="QRX2482" s="55"/>
      <c r="QRY2482" s="60"/>
      <c r="QRZ2482" s="60"/>
      <c r="QSA2482" s="60"/>
      <c r="QSB2482" s="60"/>
      <c r="QSC2482" s="65"/>
      <c r="QSD2482" s="61"/>
      <c r="QSE2482" s="55"/>
      <c r="QSF2482" s="55"/>
      <c r="QSG2482" s="60"/>
      <c r="QSH2482" s="60"/>
      <c r="QSI2482" s="60"/>
      <c r="QSJ2482" s="60"/>
      <c r="QSK2482" s="65"/>
      <c r="QSL2482" s="61"/>
      <c r="QSM2482" s="55"/>
      <c r="QSN2482" s="55"/>
      <c r="QSO2482" s="60"/>
      <c r="QSP2482" s="60"/>
      <c r="QSQ2482" s="60"/>
      <c r="QSR2482" s="60"/>
      <c r="QSS2482" s="65"/>
      <c r="QST2482" s="61"/>
      <c r="QSU2482" s="55"/>
      <c r="QSV2482" s="55"/>
      <c r="QSW2482" s="60"/>
      <c r="QSX2482" s="60"/>
      <c r="QSY2482" s="60"/>
      <c r="QSZ2482" s="60"/>
      <c r="QTA2482" s="65"/>
      <c r="QTB2482" s="61"/>
      <c r="QTC2482" s="55"/>
      <c r="QTD2482" s="55"/>
      <c r="QTE2482" s="60"/>
      <c r="QTF2482" s="60"/>
      <c r="QTG2482" s="60"/>
      <c r="QTH2482" s="60"/>
      <c r="QTI2482" s="65"/>
      <c r="QTJ2482" s="61"/>
      <c r="QTK2482" s="55"/>
      <c r="QTL2482" s="55"/>
      <c r="QTM2482" s="60"/>
      <c r="QTN2482" s="60"/>
      <c r="QTO2482" s="60"/>
      <c r="QTP2482" s="60"/>
      <c r="QTQ2482" s="65"/>
      <c r="QTR2482" s="61"/>
      <c r="QTS2482" s="55"/>
      <c r="QTT2482" s="55"/>
      <c r="QTU2482" s="60"/>
      <c r="QTV2482" s="60"/>
      <c r="QTW2482" s="60"/>
      <c r="QTX2482" s="60"/>
      <c r="QTY2482" s="65"/>
      <c r="QTZ2482" s="61"/>
      <c r="QUA2482" s="55"/>
      <c r="QUB2482" s="55"/>
      <c r="QUC2482" s="60"/>
      <c r="QUD2482" s="60"/>
      <c r="QUE2482" s="60"/>
      <c r="QUF2482" s="60"/>
      <c r="QUG2482" s="65"/>
      <c r="QUH2482" s="61"/>
      <c r="QUI2482" s="55"/>
      <c r="QUJ2482" s="55"/>
      <c r="QUK2482" s="60"/>
      <c r="QUL2482" s="60"/>
      <c r="QUM2482" s="60"/>
      <c r="QUN2482" s="60"/>
      <c r="QUO2482" s="65"/>
      <c r="QUP2482" s="61"/>
      <c r="QUQ2482" s="55"/>
      <c r="QUR2482" s="55"/>
      <c r="QUS2482" s="60"/>
      <c r="QUT2482" s="60"/>
      <c r="QUU2482" s="60"/>
      <c r="QUV2482" s="60"/>
      <c r="QUW2482" s="65"/>
      <c r="QUX2482" s="61"/>
      <c r="QUY2482" s="55"/>
      <c r="QUZ2482" s="55"/>
      <c r="QVA2482" s="60"/>
      <c r="QVB2482" s="60"/>
      <c r="QVC2482" s="60"/>
      <c r="QVD2482" s="60"/>
      <c r="QVE2482" s="65"/>
      <c r="QVF2482" s="61"/>
      <c r="QVG2482" s="55"/>
      <c r="QVH2482" s="55"/>
      <c r="QVI2482" s="60"/>
      <c r="QVJ2482" s="60"/>
      <c r="QVK2482" s="60"/>
      <c r="QVL2482" s="60"/>
      <c r="QVM2482" s="65"/>
      <c r="QVN2482" s="61"/>
      <c r="QVO2482" s="55"/>
      <c r="QVP2482" s="55"/>
      <c r="QVQ2482" s="60"/>
      <c r="QVR2482" s="60"/>
      <c r="QVS2482" s="60"/>
      <c r="QVT2482" s="60"/>
      <c r="QVU2482" s="65"/>
      <c r="QVV2482" s="61"/>
      <c r="QVW2482" s="55"/>
      <c r="QVX2482" s="55"/>
      <c r="QVY2482" s="60"/>
      <c r="QVZ2482" s="60"/>
      <c r="QWA2482" s="60"/>
      <c r="QWB2482" s="60"/>
      <c r="QWC2482" s="65"/>
      <c r="QWD2482" s="61"/>
      <c r="QWE2482" s="55"/>
      <c r="QWF2482" s="55"/>
      <c r="QWG2482" s="60"/>
      <c r="QWH2482" s="60"/>
      <c r="QWI2482" s="60"/>
      <c r="QWJ2482" s="60"/>
      <c r="QWK2482" s="65"/>
      <c r="QWL2482" s="61"/>
      <c r="QWM2482" s="55"/>
      <c r="QWN2482" s="55"/>
      <c r="QWO2482" s="60"/>
      <c r="QWP2482" s="60"/>
      <c r="QWQ2482" s="60"/>
      <c r="QWR2482" s="60"/>
      <c r="QWS2482" s="65"/>
      <c r="QWT2482" s="61"/>
      <c r="QWU2482" s="55"/>
      <c r="QWV2482" s="55"/>
      <c r="QWW2482" s="60"/>
      <c r="QWX2482" s="60"/>
      <c r="QWY2482" s="60"/>
      <c r="QWZ2482" s="60"/>
      <c r="QXA2482" s="65"/>
      <c r="QXB2482" s="61"/>
      <c r="QXC2482" s="55"/>
      <c r="QXD2482" s="55"/>
      <c r="QXE2482" s="60"/>
      <c r="QXF2482" s="60"/>
      <c r="QXG2482" s="60"/>
      <c r="QXH2482" s="60"/>
      <c r="QXI2482" s="65"/>
      <c r="QXJ2482" s="61"/>
      <c r="QXK2482" s="55"/>
      <c r="QXL2482" s="55"/>
      <c r="QXM2482" s="60"/>
      <c r="QXN2482" s="60"/>
      <c r="QXO2482" s="60"/>
      <c r="QXP2482" s="60"/>
      <c r="QXQ2482" s="65"/>
      <c r="QXR2482" s="61"/>
      <c r="QXS2482" s="55"/>
      <c r="QXT2482" s="55"/>
      <c r="QXU2482" s="60"/>
      <c r="QXV2482" s="60"/>
      <c r="QXW2482" s="60"/>
      <c r="QXX2482" s="60"/>
      <c r="QXY2482" s="65"/>
      <c r="QXZ2482" s="61"/>
      <c r="QYA2482" s="55"/>
      <c r="QYB2482" s="55"/>
      <c r="QYC2482" s="60"/>
      <c r="QYD2482" s="60"/>
      <c r="QYE2482" s="60"/>
      <c r="QYF2482" s="60"/>
      <c r="QYG2482" s="65"/>
      <c r="QYH2482" s="61"/>
      <c r="QYI2482" s="55"/>
      <c r="QYJ2482" s="55"/>
      <c r="QYK2482" s="60"/>
      <c r="QYL2482" s="60"/>
      <c r="QYM2482" s="60"/>
      <c r="QYN2482" s="60"/>
      <c r="QYO2482" s="65"/>
      <c r="QYP2482" s="61"/>
      <c r="QYQ2482" s="55"/>
      <c r="QYR2482" s="55"/>
      <c r="QYS2482" s="60"/>
      <c r="QYT2482" s="60"/>
      <c r="QYU2482" s="60"/>
      <c r="QYV2482" s="60"/>
      <c r="QYW2482" s="65"/>
      <c r="QYX2482" s="61"/>
      <c r="QYY2482" s="55"/>
      <c r="QYZ2482" s="55"/>
      <c r="QZA2482" s="60"/>
      <c r="QZB2482" s="60"/>
      <c r="QZC2482" s="60"/>
      <c r="QZD2482" s="60"/>
      <c r="QZE2482" s="65"/>
      <c r="QZF2482" s="61"/>
      <c r="QZG2482" s="55"/>
      <c r="QZH2482" s="55"/>
      <c r="QZI2482" s="60"/>
      <c r="QZJ2482" s="60"/>
      <c r="QZK2482" s="60"/>
      <c r="QZL2482" s="60"/>
      <c r="QZM2482" s="65"/>
      <c r="QZN2482" s="61"/>
      <c r="QZO2482" s="55"/>
      <c r="QZP2482" s="55"/>
      <c r="QZQ2482" s="60"/>
      <c r="QZR2482" s="60"/>
      <c r="QZS2482" s="60"/>
      <c r="QZT2482" s="60"/>
      <c r="QZU2482" s="65"/>
      <c r="QZV2482" s="61"/>
      <c r="QZW2482" s="55"/>
      <c r="QZX2482" s="55"/>
      <c r="QZY2482" s="60"/>
      <c r="QZZ2482" s="60"/>
      <c r="RAA2482" s="60"/>
      <c r="RAB2482" s="60"/>
      <c r="RAC2482" s="65"/>
      <c r="RAD2482" s="61"/>
      <c r="RAE2482" s="55"/>
      <c r="RAF2482" s="55"/>
      <c r="RAG2482" s="60"/>
      <c r="RAH2482" s="60"/>
      <c r="RAI2482" s="60"/>
      <c r="RAJ2482" s="60"/>
      <c r="RAK2482" s="65"/>
      <c r="RAL2482" s="61"/>
      <c r="RAM2482" s="55"/>
      <c r="RAN2482" s="55"/>
      <c r="RAO2482" s="60"/>
      <c r="RAP2482" s="60"/>
      <c r="RAQ2482" s="60"/>
      <c r="RAR2482" s="60"/>
      <c r="RAS2482" s="65"/>
      <c r="RAT2482" s="61"/>
      <c r="RAU2482" s="55"/>
      <c r="RAV2482" s="55"/>
      <c r="RAW2482" s="60"/>
      <c r="RAX2482" s="60"/>
      <c r="RAY2482" s="60"/>
      <c r="RAZ2482" s="60"/>
      <c r="RBA2482" s="65"/>
      <c r="RBB2482" s="61"/>
      <c r="RBC2482" s="55"/>
      <c r="RBD2482" s="55"/>
      <c r="RBE2482" s="60"/>
      <c r="RBF2482" s="60"/>
      <c r="RBG2482" s="60"/>
      <c r="RBH2482" s="60"/>
      <c r="RBI2482" s="65"/>
      <c r="RBJ2482" s="61"/>
      <c r="RBK2482" s="55"/>
      <c r="RBL2482" s="55"/>
      <c r="RBM2482" s="60"/>
      <c r="RBN2482" s="60"/>
      <c r="RBO2482" s="60"/>
      <c r="RBP2482" s="60"/>
      <c r="RBQ2482" s="65"/>
      <c r="RBR2482" s="61"/>
      <c r="RBS2482" s="55"/>
      <c r="RBT2482" s="55"/>
      <c r="RBU2482" s="60"/>
      <c r="RBV2482" s="60"/>
      <c r="RBW2482" s="60"/>
      <c r="RBX2482" s="60"/>
      <c r="RBY2482" s="65"/>
      <c r="RBZ2482" s="61"/>
      <c r="RCA2482" s="55"/>
      <c r="RCB2482" s="55"/>
      <c r="RCC2482" s="60"/>
      <c r="RCD2482" s="60"/>
      <c r="RCE2482" s="60"/>
      <c r="RCF2482" s="60"/>
      <c r="RCG2482" s="65"/>
      <c r="RCH2482" s="61"/>
      <c r="RCI2482" s="55"/>
      <c r="RCJ2482" s="55"/>
      <c r="RCK2482" s="60"/>
      <c r="RCL2482" s="60"/>
      <c r="RCM2482" s="60"/>
      <c r="RCN2482" s="60"/>
      <c r="RCO2482" s="65"/>
      <c r="RCP2482" s="61"/>
      <c r="RCQ2482" s="55"/>
      <c r="RCR2482" s="55"/>
      <c r="RCS2482" s="60"/>
      <c r="RCT2482" s="60"/>
      <c r="RCU2482" s="60"/>
      <c r="RCV2482" s="60"/>
      <c r="RCW2482" s="65"/>
      <c r="RCX2482" s="61"/>
      <c r="RCY2482" s="55"/>
      <c r="RCZ2482" s="55"/>
      <c r="RDA2482" s="60"/>
      <c r="RDB2482" s="60"/>
      <c r="RDC2482" s="60"/>
      <c r="RDD2482" s="60"/>
      <c r="RDE2482" s="65"/>
      <c r="RDF2482" s="61"/>
      <c r="RDG2482" s="55"/>
      <c r="RDH2482" s="55"/>
      <c r="RDI2482" s="60"/>
      <c r="RDJ2482" s="60"/>
      <c r="RDK2482" s="60"/>
      <c r="RDL2482" s="60"/>
      <c r="RDM2482" s="65"/>
      <c r="RDN2482" s="61"/>
      <c r="RDO2482" s="55"/>
      <c r="RDP2482" s="55"/>
      <c r="RDQ2482" s="60"/>
      <c r="RDR2482" s="60"/>
      <c r="RDS2482" s="60"/>
      <c r="RDT2482" s="60"/>
      <c r="RDU2482" s="65"/>
      <c r="RDV2482" s="61"/>
      <c r="RDW2482" s="55"/>
      <c r="RDX2482" s="55"/>
      <c r="RDY2482" s="60"/>
      <c r="RDZ2482" s="60"/>
      <c r="REA2482" s="60"/>
      <c r="REB2482" s="60"/>
      <c r="REC2482" s="65"/>
      <c r="RED2482" s="61"/>
      <c r="REE2482" s="55"/>
      <c r="REF2482" s="55"/>
      <c r="REG2482" s="60"/>
      <c r="REH2482" s="60"/>
      <c r="REI2482" s="60"/>
      <c r="REJ2482" s="60"/>
      <c r="REK2482" s="65"/>
      <c r="REL2482" s="61"/>
      <c r="REM2482" s="55"/>
      <c r="REN2482" s="55"/>
      <c r="REO2482" s="60"/>
      <c r="REP2482" s="60"/>
      <c r="REQ2482" s="60"/>
      <c r="RER2482" s="60"/>
      <c r="RES2482" s="65"/>
      <c r="RET2482" s="61"/>
      <c r="REU2482" s="55"/>
      <c r="REV2482" s="55"/>
      <c r="REW2482" s="60"/>
      <c r="REX2482" s="60"/>
      <c r="REY2482" s="60"/>
      <c r="REZ2482" s="60"/>
      <c r="RFA2482" s="65"/>
      <c r="RFB2482" s="61"/>
      <c r="RFC2482" s="55"/>
      <c r="RFD2482" s="55"/>
      <c r="RFE2482" s="60"/>
      <c r="RFF2482" s="60"/>
      <c r="RFG2482" s="60"/>
      <c r="RFH2482" s="60"/>
      <c r="RFI2482" s="65"/>
      <c r="RFJ2482" s="61"/>
      <c r="RFK2482" s="55"/>
      <c r="RFL2482" s="55"/>
      <c r="RFM2482" s="60"/>
      <c r="RFN2482" s="60"/>
      <c r="RFO2482" s="60"/>
      <c r="RFP2482" s="60"/>
      <c r="RFQ2482" s="65"/>
      <c r="RFR2482" s="61"/>
      <c r="RFS2482" s="55"/>
      <c r="RFT2482" s="55"/>
      <c r="RFU2482" s="60"/>
      <c r="RFV2482" s="60"/>
      <c r="RFW2482" s="60"/>
      <c r="RFX2482" s="60"/>
      <c r="RFY2482" s="65"/>
      <c r="RFZ2482" s="61"/>
      <c r="RGA2482" s="55"/>
      <c r="RGB2482" s="55"/>
      <c r="RGC2482" s="60"/>
      <c r="RGD2482" s="60"/>
      <c r="RGE2482" s="60"/>
      <c r="RGF2482" s="60"/>
      <c r="RGG2482" s="65"/>
      <c r="RGH2482" s="61"/>
      <c r="RGI2482" s="55"/>
      <c r="RGJ2482" s="55"/>
      <c r="RGK2482" s="60"/>
      <c r="RGL2482" s="60"/>
      <c r="RGM2482" s="60"/>
      <c r="RGN2482" s="60"/>
      <c r="RGO2482" s="65"/>
      <c r="RGP2482" s="61"/>
      <c r="RGQ2482" s="55"/>
      <c r="RGR2482" s="55"/>
      <c r="RGS2482" s="60"/>
      <c r="RGT2482" s="60"/>
      <c r="RGU2482" s="60"/>
      <c r="RGV2482" s="60"/>
      <c r="RGW2482" s="65"/>
      <c r="RGX2482" s="61"/>
      <c r="RGY2482" s="55"/>
      <c r="RGZ2482" s="55"/>
      <c r="RHA2482" s="60"/>
      <c r="RHB2482" s="60"/>
      <c r="RHC2482" s="60"/>
      <c r="RHD2482" s="60"/>
      <c r="RHE2482" s="65"/>
      <c r="RHF2482" s="61"/>
      <c r="RHG2482" s="55"/>
      <c r="RHH2482" s="55"/>
      <c r="RHI2482" s="60"/>
      <c r="RHJ2482" s="60"/>
      <c r="RHK2482" s="60"/>
      <c r="RHL2482" s="60"/>
      <c r="RHM2482" s="65"/>
      <c r="RHN2482" s="61"/>
      <c r="RHO2482" s="55"/>
      <c r="RHP2482" s="55"/>
      <c r="RHQ2482" s="60"/>
      <c r="RHR2482" s="60"/>
      <c r="RHS2482" s="60"/>
      <c r="RHT2482" s="60"/>
      <c r="RHU2482" s="65"/>
      <c r="RHV2482" s="61"/>
      <c r="RHW2482" s="55"/>
      <c r="RHX2482" s="55"/>
      <c r="RHY2482" s="60"/>
      <c r="RHZ2482" s="60"/>
      <c r="RIA2482" s="60"/>
      <c r="RIB2482" s="60"/>
      <c r="RIC2482" s="65"/>
      <c r="RID2482" s="61"/>
      <c r="RIE2482" s="55"/>
      <c r="RIF2482" s="55"/>
      <c r="RIG2482" s="60"/>
      <c r="RIH2482" s="60"/>
      <c r="RII2482" s="60"/>
      <c r="RIJ2482" s="60"/>
      <c r="RIK2482" s="65"/>
      <c r="RIL2482" s="61"/>
      <c r="RIM2482" s="55"/>
      <c r="RIN2482" s="55"/>
      <c r="RIO2482" s="60"/>
      <c r="RIP2482" s="60"/>
      <c r="RIQ2482" s="60"/>
      <c r="RIR2482" s="60"/>
      <c r="RIS2482" s="65"/>
      <c r="RIT2482" s="61"/>
      <c r="RIU2482" s="55"/>
      <c r="RIV2482" s="55"/>
      <c r="RIW2482" s="60"/>
      <c r="RIX2482" s="60"/>
      <c r="RIY2482" s="60"/>
      <c r="RIZ2482" s="60"/>
      <c r="RJA2482" s="65"/>
      <c r="RJB2482" s="61"/>
      <c r="RJC2482" s="55"/>
      <c r="RJD2482" s="55"/>
      <c r="RJE2482" s="60"/>
      <c r="RJF2482" s="60"/>
      <c r="RJG2482" s="60"/>
      <c r="RJH2482" s="60"/>
      <c r="RJI2482" s="65"/>
      <c r="RJJ2482" s="61"/>
      <c r="RJK2482" s="55"/>
      <c r="RJL2482" s="55"/>
      <c r="RJM2482" s="60"/>
      <c r="RJN2482" s="60"/>
      <c r="RJO2482" s="60"/>
      <c r="RJP2482" s="60"/>
      <c r="RJQ2482" s="65"/>
      <c r="RJR2482" s="61"/>
      <c r="RJS2482" s="55"/>
      <c r="RJT2482" s="55"/>
      <c r="RJU2482" s="60"/>
      <c r="RJV2482" s="60"/>
      <c r="RJW2482" s="60"/>
      <c r="RJX2482" s="60"/>
      <c r="RJY2482" s="65"/>
      <c r="RJZ2482" s="61"/>
      <c r="RKA2482" s="55"/>
      <c r="RKB2482" s="55"/>
      <c r="RKC2482" s="60"/>
      <c r="RKD2482" s="60"/>
      <c r="RKE2482" s="60"/>
      <c r="RKF2482" s="60"/>
      <c r="RKG2482" s="65"/>
      <c r="RKH2482" s="61"/>
      <c r="RKI2482" s="55"/>
      <c r="RKJ2482" s="55"/>
      <c r="RKK2482" s="60"/>
      <c r="RKL2482" s="60"/>
      <c r="RKM2482" s="60"/>
      <c r="RKN2482" s="60"/>
      <c r="RKO2482" s="65"/>
      <c r="RKP2482" s="61"/>
      <c r="RKQ2482" s="55"/>
      <c r="RKR2482" s="55"/>
      <c r="RKS2482" s="60"/>
      <c r="RKT2482" s="60"/>
      <c r="RKU2482" s="60"/>
      <c r="RKV2482" s="60"/>
      <c r="RKW2482" s="65"/>
      <c r="RKX2482" s="61"/>
      <c r="RKY2482" s="55"/>
      <c r="RKZ2482" s="55"/>
      <c r="RLA2482" s="60"/>
      <c r="RLB2482" s="60"/>
      <c r="RLC2482" s="60"/>
      <c r="RLD2482" s="60"/>
      <c r="RLE2482" s="65"/>
      <c r="RLF2482" s="61"/>
      <c r="RLG2482" s="55"/>
      <c r="RLH2482" s="55"/>
      <c r="RLI2482" s="60"/>
      <c r="RLJ2482" s="60"/>
      <c r="RLK2482" s="60"/>
      <c r="RLL2482" s="60"/>
      <c r="RLM2482" s="65"/>
      <c r="RLN2482" s="61"/>
      <c r="RLO2482" s="55"/>
      <c r="RLP2482" s="55"/>
      <c r="RLQ2482" s="60"/>
      <c r="RLR2482" s="60"/>
      <c r="RLS2482" s="60"/>
      <c r="RLT2482" s="60"/>
      <c r="RLU2482" s="65"/>
      <c r="RLV2482" s="61"/>
      <c r="RLW2482" s="55"/>
      <c r="RLX2482" s="55"/>
      <c r="RLY2482" s="60"/>
      <c r="RLZ2482" s="60"/>
      <c r="RMA2482" s="60"/>
      <c r="RMB2482" s="60"/>
      <c r="RMC2482" s="65"/>
      <c r="RMD2482" s="61"/>
      <c r="RME2482" s="55"/>
      <c r="RMF2482" s="55"/>
      <c r="RMG2482" s="60"/>
      <c r="RMH2482" s="60"/>
      <c r="RMI2482" s="60"/>
      <c r="RMJ2482" s="60"/>
      <c r="RMK2482" s="65"/>
      <c r="RML2482" s="61"/>
      <c r="RMM2482" s="55"/>
      <c r="RMN2482" s="55"/>
      <c r="RMO2482" s="60"/>
      <c r="RMP2482" s="60"/>
      <c r="RMQ2482" s="60"/>
      <c r="RMR2482" s="60"/>
      <c r="RMS2482" s="65"/>
      <c r="RMT2482" s="61"/>
      <c r="RMU2482" s="55"/>
      <c r="RMV2482" s="55"/>
      <c r="RMW2482" s="60"/>
      <c r="RMX2482" s="60"/>
      <c r="RMY2482" s="60"/>
      <c r="RMZ2482" s="60"/>
      <c r="RNA2482" s="65"/>
      <c r="RNB2482" s="61"/>
      <c r="RNC2482" s="55"/>
      <c r="RND2482" s="55"/>
      <c r="RNE2482" s="60"/>
      <c r="RNF2482" s="60"/>
      <c r="RNG2482" s="60"/>
      <c r="RNH2482" s="60"/>
      <c r="RNI2482" s="65"/>
      <c r="RNJ2482" s="61"/>
      <c r="RNK2482" s="55"/>
      <c r="RNL2482" s="55"/>
      <c r="RNM2482" s="60"/>
      <c r="RNN2482" s="60"/>
      <c r="RNO2482" s="60"/>
      <c r="RNP2482" s="60"/>
      <c r="RNQ2482" s="65"/>
      <c r="RNR2482" s="61"/>
      <c r="RNS2482" s="55"/>
      <c r="RNT2482" s="55"/>
      <c r="RNU2482" s="60"/>
      <c r="RNV2482" s="60"/>
      <c r="RNW2482" s="60"/>
      <c r="RNX2482" s="60"/>
      <c r="RNY2482" s="65"/>
      <c r="RNZ2482" s="61"/>
      <c r="ROA2482" s="55"/>
      <c r="ROB2482" s="55"/>
      <c r="ROC2482" s="60"/>
      <c r="ROD2482" s="60"/>
      <c r="ROE2482" s="60"/>
      <c r="ROF2482" s="60"/>
      <c r="ROG2482" s="65"/>
      <c r="ROH2482" s="61"/>
      <c r="ROI2482" s="55"/>
      <c r="ROJ2482" s="55"/>
      <c r="ROK2482" s="60"/>
      <c r="ROL2482" s="60"/>
      <c r="ROM2482" s="60"/>
      <c r="RON2482" s="60"/>
      <c r="ROO2482" s="65"/>
      <c r="ROP2482" s="61"/>
      <c r="ROQ2482" s="55"/>
      <c r="ROR2482" s="55"/>
      <c r="ROS2482" s="60"/>
      <c r="ROT2482" s="60"/>
      <c r="ROU2482" s="60"/>
      <c r="ROV2482" s="60"/>
      <c r="ROW2482" s="65"/>
      <c r="ROX2482" s="61"/>
      <c r="ROY2482" s="55"/>
      <c r="ROZ2482" s="55"/>
      <c r="RPA2482" s="60"/>
      <c r="RPB2482" s="60"/>
      <c r="RPC2482" s="60"/>
      <c r="RPD2482" s="60"/>
      <c r="RPE2482" s="65"/>
      <c r="RPF2482" s="61"/>
      <c r="RPG2482" s="55"/>
      <c r="RPH2482" s="55"/>
      <c r="RPI2482" s="60"/>
      <c r="RPJ2482" s="60"/>
      <c r="RPK2482" s="60"/>
      <c r="RPL2482" s="60"/>
      <c r="RPM2482" s="65"/>
      <c r="RPN2482" s="61"/>
      <c r="RPO2482" s="55"/>
      <c r="RPP2482" s="55"/>
      <c r="RPQ2482" s="60"/>
      <c r="RPR2482" s="60"/>
      <c r="RPS2482" s="60"/>
      <c r="RPT2482" s="60"/>
      <c r="RPU2482" s="65"/>
      <c r="RPV2482" s="61"/>
      <c r="RPW2482" s="55"/>
      <c r="RPX2482" s="55"/>
      <c r="RPY2482" s="60"/>
      <c r="RPZ2482" s="60"/>
      <c r="RQA2482" s="60"/>
      <c r="RQB2482" s="60"/>
      <c r="RQC2482" s="65"/>
      <c r="RQD2482" s="61"/>
      <c r="RQE2482" s="55"/>
      <c r="RQF2482" s="55"/>
      <c r="RQG2482" s="60"/>
      <c r="RQH2482" s="60"/>
      <c r="RQI2482" s="60"/>
      <c r="RQJ2482" s="60"/>
      <c r="RQK2482" s="65"/>
      <c r="RQL2482" s="61"/>
      <c r="RQM2482" s="55"/>
      <c r="RQN2482" s="55"/>
      <c r="RQO2482" s="60"/>
      <c r="RQP2482" s="60"/>
      <c r="RQQ2482" s="60"/>
      <c r="RQR2482" s="60"/>
      <c r="RQS2482" s="65"/>
      <c r="RQT2482" s="61"/>
      <c r="RQU2482" s="55"/>
      <c r="RQV2482" s="55"/>
      <c r="RQW2482" s="60"/>
      <c r="RQX2482" s="60"/>
      <c r="RQY2482" s="60"/>
      <c r="RQZ2482" s="60"/>
      <c r="RRA2482" s="65"/>
      <c r="RRB2482" s="61"/>
      <c r="RRC2482" s="55"/>
      <c r="RRD2482" s="55"/>
      <c r="RRE2482" s="60"/>
      <c r="RRF2482" s="60"/>
      <c r="RRG2482" s="60"/>
      <c r="RRH2482" s="60"/>
      <c r="RRI2482" s="65"/>
      <c r="RRJ2482" s="61"/>
      <c r="RRK2482" s="55"/>
      <c r="RRL2482" s="55"/>
      <c r="RRM2482" s="60"/>
      <c r="RRN2482" s="60"/>
      <c r="RRO2482" s="60"/>
      <c r="RRP2482" s="60"/>
      <c r="RRQ2482" s="65"/>
      <c r="RRR2482" s="61"/>
      <c r="RRS2482" s="55"/>
      <c r="RRT2482" s="55"/>
      <c r="RRU2482" s="60"/>
      <c r="RRV2482" s="60"/>
      <c r="RRW2482" s="60"/>
      <c r="RRX2482" s="60"/>
      <c r="RRY2482" s="65"/>
      <c r="RRZ2482" s="61"/>
      <c r="RSA2482" s="55"/>
      <c r="RSB2482" s="55"/>
      <c r="RSC2482" s="60"/>
      <c r="RSD2482" s="60"/>
      <c r="RSE2482" s="60"/>
      <c r="RSF2482" s="60"/>
      <c r="RSG2482" s="65"/>
      <c r="RSH2482" s="61"/>
      <c r="RSI2482" s="55"/>
      <c r="RSJ2482" s="55"/>
      <c r="RSK2482" s="60"/>
      <c r="RSL2482" s="60"/>
      <c r="RSM2482" s="60"/>
      <c r="RSN2482" s="60"/>
      <c r="RSO2482" s="65"/>
      <c r="RSP2482" s="61"/>
      <c r="RSQ2482" s="55"/>
      <c r="RSR2482" s="55"/>
      <c r="RSS2482" s="60"/>
      <c r="RST2482" s="60"/>
      <c r="RSU2482" s="60"/>
      <c r="RSV2482" s="60"/>
      <c r="RSW2482" s="65"/>
      <c r="RSX2482" s="61"/>
      <c r="RSY2482" s="55"/>
      <c r="RSZ2482" s="55"/>
      <c r="RTA2482" s="60"/>
      <c r="RTB2482" s="60"/>
      <c r="RTC2482" s="60"/>
      <c r="RTD2482" s="60"/>
      <c r="RTE2482" s="65"/>
      <c r="RTF2482" s="61"/>
      <c r="RTG2482" s="55"/>
      <c r="RTH2482" s="55"/>
      <c r="RTI2482" s="60"/>
      <c r="RTJ2482" s="60"/>
      <c r="RTK2482" s="60"/>
      <c r="RTL2482" s="60"/>
      <c r="RTM2482" s="65"/>
      <c r="RTN2482" s="61"/>
      <c r="RTO2482" s="55"/>
      <c r="RTP2482" s="55"/>
      <c r="RTQ2482" s="60"/>
      <c r="RTR2482" s="60"/>
      <c r="RTS2482" s="60"/>
      <c r="RTT2482" s="60"/>
      <c r="RTU2482" s="65"/>
      <c r="RTV2482" s="61"/>
      <c r="RTW2482" s="55"/>
      <c r="RTX2482" s="55"/>
      <c r="RTY2482" s="60"/>
      <c r="RTZ2482" s="60"/>
      <c r="RUA2482" s="60"/>
      <c r="RUB2482" s="60"/>
      <c r="RUC2482" s="65"/>
      <c r="RUD2482" s="61"/>
      <c r="RUE2482" s="55"/>
      <c r="RUF2482" s="55"/>
      <c r="RUG2482" s="60"/>
      <c r="RUH2482" s="60"/>
      <c r="RUI2482" s="60"/>
      <c r="RUJ2482" s="60"/>
      <c r="RUK2482" s="65"/>
      <c r="RUL2482" s="61"/>
      <c r="RUM2482" s="55"/>
      <c r="RUN2482" s="55"/>
      <c r="RUO2482" s="60"/>
      <c r="RUP2482" s="60"/>
      <c r="RUQ2482" s="60"/>
      <c r="RUR2482" s="60"/>
      <c r="RUS2482" s="65"/>
      <c r="RUT2482" s="61"/>
      <c r="RUU2482" s="55"/>
      <c r="RUV2482" s="55"/>
      <c r="RUW2482" s="60"/>
      <c r="RUX2482" s="60"/>
      <c r="RUY2482" s="60"/>
      <c r="RUZ2482" s="60"/>
      <c r="RVA2482" s="65"/>
      <c r="RVB2482" s="61"/>
      <c r="RVC2482" s="55"/>
      <c r="RVD2482" s="55"/>
      <c r="RVE2482" s="60"/>
      <c r="RVF2482" s="60"/>
      <c r="RVG2482" s="60"/>
      <c r="RVH2482" s="60"/>
      <c r="RVI2482" s="65"/>
      <c r="RVJ2482" s="61"/>
      <c r="RVK2482" s="55"/>
      <c r="RVL2482" s="55"/>
      <c r="RVM2482" s="60"/>
      <c r="RVN2482" s="60"/>
      <c r="RVO2482" s="60"/>
      <c r="RVP2482" s="60"/>
      <c r="RVQ2482" s="65"/>
      <c r="RVR2482" s="61"/>
      <c r="RVS2482" s="55"/>
      <c r="RVT2482" s="55"/>
      <c r="RVU2482" s="60"/>
      <c r="RVV2482" s="60"/>
      <c r="RVW2482" s="60"/>
      <c r="RVX2482" s="60"/>
      <c r="RVY2482" s="65"/>
      <c r="RVZ2482" s="61"/>
      <c r="RWA2482" s="55"/>
      <c r="RWB2482" s="55"/>
      <c r="RWC2482" s="60"/>
      <c r="RWD2482" s="60"/>
      <c r="RWE2482" s="60"/>
      <c r="RWF2482" s="60"/>
      <c r="RWG2482" s="65"/>
      <c r="RWH2482" s="61"/>
      <c r="RWI2482" s="55"/>
      <c r="RWJ2482" s="55"/>
      <c r="RWK2482" s="60"/>
      <c r="RWL2482" s="60"/>
      <c r="RWM2482" s="60"/>
      <c r="RWN2482" s="60"/>
      <c r="RWO2482" s="65"/>
      <c r="RWP2482" s="61"/>
      <c r="RWQ2482" s="55"/>
      <c r="RWR2482" s="55"/>
      <c r="RWS2482" s="60"/>
      <c r="RWT2482" s="60"/>
      <c r="RWU2482" s="60"/>
      <c r="RWV2482" s="60"/>
      <c r="RWW2482" s="65"/>
      <c r="RWX2482" s="61"/>
      <c r="RWY2482" s="55"/>
      <c r="RWZ2482" s="55"/>
      <c r="RXA2482" s="60"/>
      <c r="RXB2482" s="60"/>
      <c r="RXC2482" s="60"/>
      <c r="RXD2482" s="60"/>
      <c r="RXE2482" s="65"/>
      <c r="RXF2482" s="61"/>
      <c r="RXG2482" s="55"/>
      <c r="RXH2482" s="55"/>
      <c r="RXI2482" s="60"/>
      <c r="RXJ2482" s="60"/>
      <c r="RXK2482" s="60"/>
      <c r="RXL2482" s="60"/>
      <c r="RXM2482" s="65"/>
      <c r="RXN2482" s="61"/>
      <c r="RXO2482" s="55"/>
      <c r="RXP2482" s="55"/>
      <c r="RXQ2482" s="60"/>
      <c r="RXR2482" s="60"/>
      <c r="RXS2482" s="60"/>
      <c r="RXT2482" s="60"/>
      <c r="RXU2482" s="65"/>
      <c r="RXV2482" s="61"/>
      <c r="RXW2482" s="55"/>
      <c r="RXX2482" s="55"/>
      <c r="RXY2482" s="60"/>
      <c r="RXZ2482" s="60"/>
      <c r="RYA2482" s="60"/>
      <c r="RYB2482" s="60"/>
      <c r="RYC2482" s="65"/>
      <c r="RYD2482" s="61"/>
      <c r="RYE2482" s="55"/>
      <c r="RYF2482" s="55"/>
      <c r="RYG2482" s="60"/>
      <c r="RYH2482" s="60"/>
      <c r="RYI2482" s="60"/>
      <c r="RYJ2482" s="60"/>
      <c r="RYK2482" s="65"/>
      <c r="RYL2482" s="61"/>
      <c r="RYM2482" s="55"/>
      <c r="RYN2482" s="55"/>
      <c r="RYO2482" s="60"/>
      <c r="RYP2482" s="60"/>
      <c r="RYQ2482" s="60"/>
      <c r="RYR2482" s="60"/>
      <c r="RYS2482" s="65"/>
      <c r="RYT2482" s="61"/>
      <c r="RYU2482" s="55"/>
      <c r="RYV2482" s="55"/>
      <c r="RYW2482" s="60"/>
      <c r="RYX2482" s="60"/>
      <c r="RYY2482" s="60"/>
      <c r="RYZ2482" s="60"/>
      <c r="RZA2482" s="65"/>
      <c r="RZB2482" s="61"/>
      <c r="RZC2482" s="55"/>
      <c r="RZD2482" s="55"/>
      <c r="RZE2482" s="60"/>
      <c r="RZF2482" s="60"/>
      <c r="RZG2482" s="60"/>
      <c r="RZH2482" s="60"/>
      <c r="RZI2482" s="65"/>
      <c r="RZJ2482" s="61"/>
      <c r="RZK2482" s="55"/>
      <c r="RZL2482" s="55"/>
      <c r="RZM2482" s="60"/>
      <c r="RZN2482" s="60"/>
      <c r="RZO2482" s="60"/>
      <c r="RZP2482" s="60"/>
      <c r="RZQ2482" s="65"/>
      <c r="RZR2482" s="61"/>
      <c r="RZS2482" s="55"/>
      <c r="RZT2482" s="55"/>
      <c r="RZU2482" s="60"/>
      <c r="RZV2482" s="60"/>
      <c r="RZW2482" s="60"/>
      <c r="RZX2482" s="60"/>
      <c r="RZY2482" s="65"/>
      <c r="RZZ2482" s="61"/>
      <c r="SAA2482" s="55"/>
      <c r="SAB2482" s="55"/>
      <c r="SAC2482" s="60"/>
      <c r="SAD2482" s="60"/>
      <c r="SAE2482" s="60"/>
      <c r="SAF2482" s="60"/>
      <c r="SAG2482" s="65"/>
      <c r="SAH2482" s="61"/>
      <c r="SAI2482" s="55"/>
      <c r="SAJ2482" s="55"/>
      <c r="SAK2482" s="60"/>
      <c r="SAL2482" s="60"/>
      <c r="SAM2482" s="60"/>
      <c r="SAN2482" s="60"/>
      <c r="SAO2482" s="65"/>
      <c r="SAP2482" s="61"/>
      <c r="SAQ2482" s="55"/>
      <c r="SAR2482" s="55"/>
      <c r="SAS2482" s="60"/>
      <c r="SAT2482" s="60"/>
      <c r="SAU2482" s="60"/>
      <c r="SAV2482" s="60"/>
      <c r="SAW2482" s="65"/>
      <c r="SAX2482" s="61"/>
      <c r="SAY2482" s="55"/>
      <c r="SAZ2482" s="55"/>
      <c r="SBA2482" s="60"/>
      <c r="SBB2482" s="60"/>
      <c r="SBC2482" s="60"/>
      <c r="SBD2482" s="60"/>
      <c r="SBE2482" s="65"/>
      <c r="SBF2482" s="61"/>
      <c r="SBG2482" s="55"/>
      <c r="SBH2482" s="55"/>
      <c r="SBI2482" s="60"/>
      <c r="SBJ2482" s="60"/>
      <c r="SBK2482" s="60"/>
      <c r="SBL2482" s="60"/>
      <c r="SBM2482" s="65"/>
      <c r="SBN2482" s="61"/>
      <c r="SBO2482" s="55"/>
      <c r="SBP2482" s="55"/>
      <c r="SBQ2482" s="60"/>
      <c r="SBR2482" s="60"/>
      <c r="SBS2482" s="60"/>
      <c r="SBT2482" s="60"/>
      <c r="SBU2482" s="65"/>
      <c r="SBV2482" s="61"/>
      <c r="SBW2482" s="55"/>
      <c r="SBX2482" s="55"/>
      <c r="SBY2482" s="60"/>
      <c r="SBZ2482" s="60"/>
      <c r="SCA2482" s="60"/>
      <c r="SCB2482" s="60"/>
      <c r="SCC2482" s="65"/>
      <c r="SCD2482" s="61"/>
      <c r="SCE2482" s="55"/>
      <c r="SCF2482" s="55"/>
      <c r="SCG2482" s="60"/>
      <c r="SCH2482" s="60"/>
      <c r="SCI2482" s="60"/>
      <c r="SCJ2482" s="60"/>
      <c r="SCK2482" s="65"/>
      <c r="SCL2482" s="61"/>
      <c r="SCM2482" s="55"/>
      <c r="SCN2482" s="55"/>
      <c r="SCO2482" s="60"/>
      <c r="SCP2482" s="60"/>
      <c r="SCQ2482" s="60"/>
      <c r="SCR2482" s="60"/>
      <c r="SCS2482" s="65"/>
      <c r="SCT2482" s="61"/>
      <c r="SCU2482" s="55"/>
      <c r="SCV2482" s="55"/>
      <c r="SCW2482" s="60"/>
      <c r="SCX2482" s="60"/>
      <c r="SCY2482" s="60"/>
      <c r="SCZ2482" s="60"/>
      <c r="SDA2482" s="65"/>
      <c r="SDB2482" s="61"/>
      <c r="SDC2482" s="55"/>
      <c r="SDD2482" s="55"/>
      <c r="SDE2482" s="60"/>
      <c r="SDF2482" s="60"/>
      <c r="SDG2482" s="60"/>
      <c r="SDH2482" s="60"/>
      <c r="SDI2482" s="65"/>
      <c r="SDJ2482" s="61"/>
      <c r="SDK2482" s="55"/>
      <c r="SDL2482" s="55"/>
      <c r="SDM2482" s="60"/>
      <c r="SDN2482" s="60"/>
      <c r="SDO2482" s="60"/>
      <c r="SDP2482" s="60"/>
      <c r="SDQ2482" s="65"/>
      <c r="SDR2482" s="61"/>
      <c r="SDS2482" s="55"/>
      <c r="SDT2482" s="55"/>
      <c r="SDU2482" s="60"/>
      <c r="SDV2482" s="60"/>
      <c r="SDW2482" s="60"/>
      <c r="SDX2482" s="60"/>
      <c r="SDY2482" s="65"/>
      <c r="SDZ2482" s="61"/>
      <c r="SEA2482" s="55"/>
      <c r="SEB2482" s="55"/>
      <c r="SEC2482" s="60"/>
      <c r="SED2482" s="60"/>
      <c r="SEE2482" s="60"/>
      <c r="SEF2482" s="60"/>
      <c r="SEG2482" s="65"/>
      <c r="SEH2482" s="61"/>
      <c r="SEI2482" s="55"/>
      <c r="SEJ2482" s="55"/>
      <c r="SEK2482" s="60"/>
      <c r="SEL2482" s="60"/>
      <c r="SEM2482" s="60"/>
      <c r="SEN2482" s="60"/>
      <c r="SEO2482" s="65"/>
      <c r="SEP2482" s="61"/>
      <c r="SEQ2482" s="55"/>
      <c r="SER2482" s="55"/>
      <c r="SES2482" s="60"/>
      <c r="SET2482" s="60"/>
      <c r="SEU2482" s="60"/>
      <c r="SEV2482" s="60"/>
      <c r="SEW2482" s="65"/>
      <c r="SEX2482" s="61"/>
      <c r="SEY2482" s="55"/>
      <c r="SEZ2482" s="55"/>
      <c r="SFA2482" s="60"/>
      <c r="SFB2482" s="60"/>
      <c r="SFC2482" s="60"/>
      <c r="SFD2482" s="60"/>
      <c r="SFE2482" s="65"/>
      <c r="SFF2482" s="61"/>
      <c r="SFG2482" s="55"/>
      <c r="SFH2482" s="55"/>
      <c r="SFI2482" s="60"/>
      <c r="SFJ2482" s="60"/>
      <c r="SFK2482" s="60"/>
      <c r="SFL2482" s="60"/>
      <c r="SFM2482" s="65"/>
      <c r="SFN2482" s="61"/>
      <c r="SFO2482" s="55"/>
      <c r="SFP2482" s="55"/>
      <c r="SFQ2482" s="60"/>
      <c r="SFR2482" s="60"/>
      <c r="SFS2482" s="60"/>
      <c r="SFT2482" s="60"/>
      <c r="SFU2482" s="65"/>
      <c r="SFV2482" s="61"/>
      <c r="SFW2482" s="55"/>
      <c r="SFX2482" s="55"/>
      <c r="SFY2482" s="60"/>
      <c r="SFZ2482" s="60"/>
      <c r="SGA2482" s="60"/>
      <c r="SGB2482" s="60"/>
      <c r="SGC2482" s="65"/>
      <c r="SGD2482" s="61"/>
      <c r="SGE2482" s="55"/>
      <c r="SGF2482" s="55"/>
      <c r="SGG2482" s="60"/>
      <c r="SGH2482" s="60"/>
      <c r="SGI2482" s="60"/>
      <c r="SGJ2482" s="60"/>
      <c r="SGK2482" s="65"/>
      <c r="SGL2482" s="61"/>
      <c r="SGM2482" s="55"/>
      <c r="SGN2482" s="55"/>
      <c r="SGO2482" s="60"/>
      <c r="SGP2482" s="60"/>
      <c r="SGQ2482" s="60"/>
      <c r="SGR2482" s="60"/>
      <c r="SGS2482" s="65"/>
      <c r="SGT2482" s="61"/>
      <c r="SGU2482" s="55"/>
      <c r="SGV2482" s="55"/>
      <c r="SGW2482" s="60"/>
      <c r="SGX2482" s="60"/>
      <c r="SGY2482" s="60"/>
      <c r="SGZ2482" s="60"/>
      <c r="SHA2482" s="65"/>
      <c r="SHB2482" s="61"/>
      <c r="SHC2482" s="55"/>
      <c r="SHD2482" s="55"/>
      <c r="SHE2482" s="60"/>
      <c r="SHF2482" s="60"/>
      <c r="SHG2482" s="60"/>
      <c r="SHH2482" s="60"/>
      <c r="SHI2482" s="65"/>
      <c r="SHJ2482" s="61"/>
      <c r="SHK2482" s="55"/>
      <c r="SHL2482" s="55"/>
      <c r="SHM2482" s="60"/>
      <c r="SHN2482" s="60"/>
      <c r="SHO2482" s="60"/>
      <c r="SHP2482" s="60"/>
      <c r="SHQ2482" s="65"/>
      <c r="SHR2482" s="61"/>
      <c r="SHS2482" s="55"/>
      <c r="SHT2482" s="55"/>
      <c r="SHU2482" s="60"/>
      <c r="SHV2482" s="60"/>
      <c r="SHW2482" s="60"/>
      <c r="SHX2482" s="60"/>
      <c r="SHY2482" s="65"/>
      <c r="SHZ2482" s="61"/>
      <c r="SIA2482" s="55"/>
      <c r="SIB2482" s="55"/>
      <c r="SIC2482" s="60"/>
      <c r="SID2482" s="60"/>
      <c r="SIE2482" s="60"/>
      <c r="SIF2482" s="60"/>
      <c r="SIG2482" s="65"/>
      <c r="SIH2482" s="61"/>
      <c r="SII2482" s="55"/>
      <c r="SIJ2482" s="55"/>
      <c r="SIK2482" s="60"/>
      <c r="SIL2482" s="60"/>
      <c r="SIM2482" s="60"/>
      <c r="SIN2482" s="60"/>
      <c r="SIO2482" s="65"/>
      <c r="SIP2482" s="61"/>
      <c r="SIQ2482" s="55"/>
      <c r="SIR2482" s="55"/>
      <c r="SIS2482" s="60"/>
      <c r="SIT2482" s="60"/>
      <c r="SIU2482" s="60"/>
      <c r="SIV2482" s="60"/>
      <c r="SIW2482" s="65"/>
      <c r="SIX2482" s="61"/>
      <c r="SIY2482" s="55"/>
      <c r="SIZ2482" s="55"/>
      <c r="SJA2482" s="60"/>
      <c r="SJB2482" s="60"/>
      <c r="SJC2482" s="60"/>
      <c r="SJD2482" s="60"/>
      <c r="SJE2482" s="65"/>
      <c r="SJF2482" s="61"/>
      <c r="SJG2482" s="55"/>
      <c r="SJH2482" s="55"/>
      <c r="SJI2482" s="60"/>
      <c r="SJJ2482" s="60"/>
      <c r="SJK2482" s="60"/>
      <c r="SJL2482" s="60"/>
      <c r="SJM2482" s="65"/>
      <c r="SJN2482" s="61"/>
      <c r="SJO2482" s="55"/>
      <c r="SJP2482" s="55"/>
      <c r="SJQ2482" s="60"/>
      <c r="SJR2482" s="60"/>
      <c r="SJS2482" s="60"/>
      <c r="SJT2482" s="60"/>
      <c r="SJU2482" s="65"/>
      <c r="SJV2482" s="61"/>
      <c r="SJW2482" s="55"/>
      <c r="SJX2482" s="55"/>
      <c r="SJY2482" s="60"/>
      <c r="SJZ2482" s="60"/>
      <c r="SKA2482" s="60"/>
      <c r="SKB2482" s="60"/>
      <c r="SKC2482" s="65"/>
      <c r="SKD2482" s="61"/>
      <c r="SKE2482" s="55"/>
      <c r="SKF2482" s="55"/>
      <c r="SKG2482" s="60"/>
      <c r="SKH2482" s="60"/>
      <c r="SKI2482" s="60"/>
      <c r="SKJ2482" s="60"/>
      <c r="SKK2482" s="65"/>
      <c r="SKL2482" s="61"/>
      <c r="SKM2482" s="55"/>
      <c r="SKN2482" s="55"/>
      <c r="SKO2482" s="60"/>
      <c r="SKP2482" s="60"/>
      <c r="SKQ2482" s="60"/>
      <c r="SKR2482" s="60"/>
      <c r="SKS2482" s="65"/>
      <c r="SKT2482" s="61"/>
      <c r="SKU2482" s="55"/>
      <c r="SKV2482" s="55"/>
      <c r="SKW2482" s="60"/>
      <c r="SKX2482" s="60"/>
      <c r="SKY2482" s="60"/>
      <c r="SKZ2482" s="60"/>
      <c r="SLA2482" s="65"/>
      <c r="SLB2482" s="61"/>
      <c r="SLC2482" s="55"/>
      <c r="SLD2482" s="55"/>
      <c r="SLE2482" s="60"/>
      <c r="SLF2482" s="60"/>
      <c r="SLG2482" s="60"/>
      <c r="SLH2482" s="60"/>
      <c r="SLI2482" s="65"/>
      <c r="SLJ2482" s="61"/>
      <c r="SLK2482" s="55"/>
      <c r="SLL2482" s="55"/>
      <c r="SLM2482" s="60"/>
      <c r="SLN2482" s="60"/>
      <c r="SLO2482" s="60"/>
      <c r="SLP2482" s="60"/>
      <c r="SLQ2482" s="65"/>
      <c r="SLR2482" s="61"/>
      <c r="SLS2482" s="55"/>
      <c r="SLT2482" s="55"/>
      <c r="SLU2482" s="60"/>
      <c r="SLV2482" s="60"/>
      <c r="SLW2482" s="60"/>
      <c r="SLX2482" s="60"/>
      <c r="SLY2482" s="65"/>
      <c r="SLZ2482" s="61"/>
      <c r="SMA2482" s="55"/>
      <c r="SMB2482" s="55"/>
      <c r="SMC2482" s="60"/>
      <c r="SMD2482" s="60"/>
      <c r="SME2482" s="60"/>
      <c r="SMF2482" s="60"/>
      <c r="SMG2482" s="65"/>
      <c r="SMH2482" s="61"/>
      <c r="SMI2482" s="55"/>
      <c r="SMJ2482" s="55"/>
      <c r="SMK2482" s="60"/>
      <c r="SML2482" s="60"/>
      <c r="SMM2482" s="60"/>
      <c r="SMN2482" s="60"/>
      <c r="SMO2482" s="65"/>
      <c r="SMP2482" s="61"/>
      <c r="SMQ2482" s="55"/>
      <c r="SMR2482" s="55"/>
      <c r="SMS2482" s="60"/>
      <c r="SMT2482" s="60"/>
      <c r="SMU2482" s="60"/>
      <c r="SMV2482" s="60"/>
      <c r="SMW2482" s="65"/>
      <c r="SMX2482" s="61"/>
      <c r="SMY2482" s="55"/>
      <c r="SMZ2482" s="55"/>
      <c r="SNA2482" s="60"/>
      <c r="SNB2482" s="60"/>
      <c r="SNC2482" s="60"/>
      <c r="SND2482" s="60"/>
      <c r="SNE2482" s="65"/>
      <c r="SNF2482" s="61"/>
      <c r="SNG2482" s="55"/>
      <c r="SNH2482" s="55"/>
      <c r="SNI2482" s="60"/>
      <c r="SNJ2482" s="60"/>
      <c r="SNK2482" s="60"/>
      <c r="SNL2482" s="60"/>
      <c r="SNM2482" s="65"/>
      <c r="SNN2482" s="61"/>
      <c r="SNO2482" s="55"/>
      <c r="SNP2482" s="55"/>
      <c r="SNQ2482" s="60"/>
      <c r="SNR2482" s="60"/>
      <c r="SNS2482" s="60"/>
      <c r="SNT2482" s="60"/>
      <c r="SNU2482" s="65"/>
      <c r="SNV2482" s="61"/>
      <c r="SNW2482" s="55"/>
      <c r="SNX2482" s="55"/>
      <c r="SNY2482" s="60"/>
      <c r="SNZ2482" s="60"/>
      <c r="SOA2482" s="60"/>
      <c r="SOB2482" s="60"/>
      <c r="SOC2482" s="65"/>
      <c r="SOD2482" s="61"/>
      <c r="SOE2482" s="55"/>
      <c r="SOF2482" s="55"/>
      <c r="SOG2482" s="60"/>
      <c r="SOH2482" s="60"/>
      <c r="SOI2482" s="60"/>
      <c r="SOJ2482" s="60"/>
      <c r="SOK2482" s="65"/>
      <c r="SOL2482" s="61"/>
      <c r="SOM2482" s="55"/>
      <c r="SON2482" s="55"/>
      <c r="SOO2482" s="60"/>
      <c r="SOP2482" s="60"/>
      <c r="SOQ2482" s="60"/>
      <c r="SOR2482" s="60"/>
      <c r="SOS2482" s="65"/>
      <c r="SOT2482" s="61"/>
      <c r="SOU2482" s="55"/>
      <c r="SOV2482" s="55"/>
      <c r="SOW2482" s="60"/>
      <c r="SOX2482" s="60"/>
      <c r="SOY2482" s="60"/>
      <c r="SOZ2482" s="60"/>
      <c r="SPA2482" s="65"/>
      <c r="SPB2482" s="61"/>
      <c r="SPC2482" s="55"/>
      <c r="SPD2482" s="55"/>
      <c r="SPE2482" s="60"/>
      <c r="SPF2482" s="60"/>
      <c r="SPG2482" s="60"/>
      <c r="SPH2482" s="60"/>
      <c r="SPI2482" s="65"/>
      <c r="SPJ2482" s="61"/>
      <c r="SPK2482" s="55"/>
      <c r="SPL2482" s="55"/>
      <c r="SPM2482" s="60"/>
      <c r="SPN2482" s="60"/>
      <c r="SPO2482" s="60"/>
      <c r="SPP2482" s="60"/>
      <c r="SPQ2482" s="65"/>
      <c r="SPR2482" s="61"/>
      <c r="SPS2482" s="55"/>
      <c r="SPT2482" s="55"/>
      <c r="SPU2482" s="60"/>
      <c r="SPV2482" s="60"/>
      <c r="SPW2482" s="60"/>
      <c r="SPX2482" s="60"/>
      <c r="SPY2482" s="65"/>
      <c r="SPZ2482" s="61"/>
      <c r="SQA2482" s="55"/>
      <c r="SQB2482" s="55"/>
      <c r="SQC2482" s="60"/>
      <c r="SQD2482" s="60"/>
      <c r="SQE2482" s="60"/>
      <c r="SQF2482" s="60"/>
      <c r="SQG2482" s="65"/>
      <c r="SQH2482" s="61"/>
      <c r="SQI2482" s="55"/>
      <c r="SQJ2482" s="55"/>
      <c r="SQK2482" s="60"/>
      <c r="SQL2482" s="60"/>
      <c r="SQM2482" s="60"/>
      <c r="SQN2482" s="60"/>
      <c r="SQO2482" s="65"/>
      <c r="SQP2482" s="61"/>
      <c r="SQQ2482" s="55"/>
      <c r="SQR2482" s="55"/>
      <c r="SQS2482" s="60"/>
      <c r="SQT2482" s="60"/>
      <c r="SQU2482" s="60"/>
      <c r="SQV2482" s="60"/>
      <c r="SQW2482" s="65"/>
      <c r="SQX2482" s="61"/>
      <c r="SQY2482" s="55"/>
      <c r="SQZ2482" s="55"/>
      <c r="SRA2482" s="60"/>
      <c r="SRB2482" s="60"/>
      <c r="SRC2482" s="60"/>
      <c r="SRD2482" s="60"/>
      <c r="SRE2482" s="65"/>
      <c r="SRF2482" s="61"/>
      <c r="SRG2482" s="55"/>
      <c r="SRH2482" s="55"/>
      <c r="SRI2482" s="60"/>
      <c r="SRJ2482" s="60"/>
      <c r="SRK2482" s="60"/>
      <c r="SRL2482" s="60"/>
      <c r="SRM2482" s="65"/>
      <c r="SRN2482" s="61"/>
      <c r="SRO2482" s="55"/>
      <c r="SRP2482" s="55"/>
      <c r="SRQ2482" s="60"/>
      <c r="SRR2482" s="60"/>
      <c r="SRS2482" s="60"/>
      <c r="SRT2482" s="60"/>
      <c r="SRU2482" s="65"/>
      <c r="SRV2482" s="61"/>
      <c r="SRW2482" s="55"/>
      <c r="SRX2482" s="55"/>
      <c r="SRY2482" s="60"/>
      <c r="SRZ2482" s="60"/>
      <c r="SSA2482" s="60"/>
      <c r="SSB2482" s="60"/>
      <c r="SSC2482" s="65"/>
      <c r="SSD2482" s="61"/>
      <c r="SSE2482" s="55"/>
      <c r="SSF2482" s="55"/>
      <c r="SSG2482" s="60"/>
      <c r="SSH2482" s="60"/>
      <c r="SSI2482" s="60"/>
      <c r="SSJ2482" s="60"/>
      <c r="SSK2482" s="65"/>
      <c r="SSL2482" s="61"/>
      <c r="SSM2482" s="55"/>
      <c r="SSN2482" s="55"/>
      <c r="SSO2482" s="60"/>
      <c r="SSP2482" s="60"/>
      <c r="SSQ2482" s="60"/>
      <c r="SSR2482" s="60"/>
      <c r="SSS2482" s="65"/>
      <c r="SST2482" s="61"/>
      <c r="SSU2482" s="55"/>
      <c r="SSV2482" s="55"/>
      <c r="SSW2482" s="60"/>
      <c r="SSX2482" s="60"/>
      <c r="SSY2482" s="60"/>
      <c r="SSZ2482" s="60"/>
      <c r="STA2482" s="65"/>
      <c r="STB2482" s="61"/>
      <c r="STC2482" s="55"/>
      <c r="STD2482" s="55"/>
      <c r="STE2482" s="60"/>
      <c r="STF2482" s="60"/>
      <c r="STG2482" s="60"/>
      <c r="STH2482" s="60"/>
      <c r="STI2482" s="65"/>
      <c r="STJ2482" s="61"/>
      <c r="STK2482" s="55"/>
      <c r="STL2482" s="55"/>
      <c r="STM2482" s="60"/>
      <c r="STN2482" s="60"/>
      <c r="STO2482" s="60"/>
      <c r="STP2482" s="60"/>
      <c r="STQ2482" s="65"/>
      <c r="STR2482" s="61"/>
      <c r="STS2482" s="55"/>
      <c r="STT2482" s="55"/>
      <c r="STU2482" s="60"/>
      <c r="STV2482" s="60"/>
      <c r="STW2482" s="60"/>
      <c r="STX2482" s="60"/>
      <c r="STY2482" s="65"/>
      <c r="STZ2482" s="61"/>
      <c r="SUA2482" s="55"/>
      <c r="SUB2482" s="55"/>
      <c r="SUC2482" s="60"/>
      <c r="SUD2482" s="60"/>
      <c r="SUE2482" s="60"/>
      <c r="SUF2482" s="60"/>
      <c r="SUG2482" s="65"/>
      <c r="SUH2482" s="61"/>
      <c r="SUI2482" s="55"/>
      <c r="SUJ2482" s="55"/>
      <c r="SUK2482" s="60"/>
      <c r="SUL2482" s="60"/>
      <c r="SUM2482" s="60"/>
      <c r="SUN2482" s="60"/>
      <c r="SUO2482" s="65"/>
      <c r="SUP2482" s="61"/>
      <c r="SUQ2482" s="55"/>
      <c r="SUR2482" s="55"/>
      <c r="SUS2482" s="60"/>
      <c r="SUT2482" s="60"/>
      <c r="SUU2482" s="60"/>
      <c r="SUV2482" s="60"/>
      <c r="SUW2482" s="65"/>
      <c r="SUX2482" s="61"/>
      <c r="SUY2482" s="55"/>
      <c r="SUZ2482" s="55"/>
      <c r="SVA2482" s="60"/>
      <c r="SVB2482" s="60"/>
      <c r="SVC2482" s="60"/>
      <c r="SVD2482" s="60"/>
      <c r="SVE2482" s="65"/>
      <c r="SVF2482" s="61"/>
      <c r="SVG2482" s="55"/>
      <c r="SVH2482" s="55"/>
      <c r="SVI2482" s="60"/>
      <c r="SVJ2482" s="60"/>
      <c r="SVK2482" s="60"/>
      <c r="SVL2482" s="60"/>
      <c r="SVM2482" s="65"/>
      <c r="SVN2482" s="61"/>
      <c r="SVO2482" s="55"/>
      <c r="SVP2482" s="55"/>
      <c r="SVQ2482" s="60"/>
      <c r="SVR2482" s="60"/>
      <c r="SVS2482" s="60"/>
      <c r="SVT2482" s="60"/>
      <c r="SVU2482" s="65"/>
      <c r="SVV2482" s="61"/>
      <c r="SVW2482" s="55"/>
      <c r="SVX2482" s="55"/>
      <c r="SVY2482" s="60"/>
      <c r="SVZ2482" s="60"/>
      <c r="SWA2482" s="60"/>
      <c r="SWB2482" s="60"/>
      <c r="SWC2482" s="65"/>
      <c r="SWD2482" s="61"/>
      <c r="SWE2482" s="55"/>
      <c r="SWF2482" s="55"/>
      <c r="SWG2482" s="60"/>
      <c r="SWH2482" s="60"/>
      <c r="SWI2482" s="60"/>
      <c r="SWJ2482" s="60"/>
      <c r="SWK2482" s="65"/>
      <c r="SWL2482" s="61"/>
      <c r="SWM2482" s="55"/>
      <c r="SWN2482" s="55"/>
      <c r="SWO2482" s="60"/>
      <c r="SWP2482" s="60"/>
      <c r="SWQ2482" s="60"/>
      <c r="SWR2482" s="60"/>
      <c r="SWS2482" s="65"/>
      <c r="SWT2482" s="61"/>
      <c r="SWU2482" s="55"/>
      <c r="SWV2482" s="55"/>
      <c r="SWW2482" s="60"/>
      <c r="SWX2482" s="60"/>
      <c r="SWY2482" s="60"/>
      <c r="SWZ2482" s="60"/>
      <c r="SXA2482" s="65"/>
      <c r="SXB2482" s="61"/>
      <c r="SXC2482" s="55"/>
      <c r="SXD2482" s="55"/>
      <c r="SXE2482" s="60"/>
      <c r="SXF2482" s="60"/>
      <c r="SXG2482" s="60"/>
      <c r="SXH2482" s="60"/>
      <c r="SXI2482" s="65"/>
      <c r="SXJ2482" s="61"/>
      <c r="SXK2482" s="55"/>
      <c r="SXL2482" s="55"/>
      <c r="SXM2482" s="60"/>
      <c r="SXN2482" s="60"/>
      <c r="SXO2482" s="60"/>
      <c r="SXP2482" s="60"/>
      <c r="SXQ2482" s="65"/>
      <c r="SXR2482" s="61"/>
      <c r="SXS2482" s="55"/>
      <c r="SXT2482" s="55"/>
      <c r="SXU2482" s="60"/>
      <c r="SXV2482" s="60"/>
      <c r="SXW2482" s="60"/>
      <c r="SXX2482" s="60"/>
      <c r="SXY2482" s="65"/>
      <c r="SXZ2482" s="61"/>
      <c r="SYA2482" s="55"/>
      <c r="SYB2482" s="55"/>
      <c r="SYC2482" s="60"/>
      <c r="SYD2482" s="60"/>
      <c r="SYE2482" s="60"/>
      <c r="SYF2482" s="60"/>
      <c r="SYG2482" s="65"/>
      <c r="SYH2482" s="61"/>
      <c r="SYI2482" s="55"/>
      <c r="SYJ2482" s="55"/>
      <c r="SYK2482" s="60"/>
      <c r="SYL2482" s="60"/>
      <c r="SYM2482" s="60"/>
      <c r="SYN2482" s="60"/>
      <c r="SYO2482" s="65"/>
      <c r="SYP2482" s="61"/>
      <c r="SYQ2482" s="55"/>
      <c r="SYR2482" s="55"/>
      <c r="SYS2482" s="60"/>
      <c r="SYT2482" s="60"/>
      <c r="SYU2482" s="60"/>
      <c r="SYV2482" s="60"/>
      <c r="SYW2482" s="65"/>
      <c r="SYX2482" s="61"/>
      <c r="SYY2482" s="55"/>
      <c r="SYZ2482" s="55"/>
      <c r="SZA2482" s="60"/>
      <c r="SZB2482" s="60"/>
      <c r="SZC2482" s="60"/>
      <c r="SZD2482" s="60"/>
      <c r="SZE2482" s="65"/>
      <c r="SZF2482" s="61"/>
      <c r="SZG2482" s="55"/>
      <c r="SZH2482" s="55"/>
      <c r="SZI2482" s="60"/>
      <c r="SZJ2482" s="60"/>
      <c r="SZK2482" s="60"/>
      <c r="SZL2482" s="60"/>
      <c r="SZM2482" s="65"/>
      <c r="SZN2482" s="61"/>
      <c r="SZO2482" s="55"/>
      <c r="SZP2482" s="55"/>
      <c r="SZQ2482" s="60"/>
      <c r="SZR2482" s="60"/>
      <c r="SZS2482" s="60"/>
      <c r="SZT2482" s="60"/>
      <c r="SZU2482" s="65"/>
      <c r="SZV2482" s="61"/>
      <c r="SZW2482" s="55"/>
      <c r="SZX2482" s="55"/>
      <c r="SZY2482" s="60"/>
      <c r="SZZ2482" s="60"/>
      <c r="TAA2482" s="60"/>
      <c r="TAB2482" s="60"/>
      <c r="TAC2482" s="65"/>
      <c r="TAD2482" s="61"/>
      <c r="TAE2482" s="55"/>
      <c r="TAF2482" s="55"/>
      <c r="TAG2482" s="60"/>
      <c r="TAH2482" s="60"/>
      <c r="TAI2482" s="60"/>
      <c r="TAJ2482" s="60"/>
      <c r="TAK2482" s="65"/>
      <c r="TAL2482" s="61"/>
      <c r="TAM2482" s="55"/>
      <c r="TAN2482" s="55"/>
      <c r="TAO2482" s="60"/>
      <c r="TAP2482" s="60"/>
      <c r="TAQ2482" s="60"/>
      <c r="TAR2482" s="60"/>
      <c r="TAS2482" s="65"/>
      <c r="TAT2482" s="61"/>
      <c r="TAU2482" s="55"/>
      <c r="TAV2482" s="55"/>
      <c r="TAW2482" s="60"/>
      <c r="TAX2482" s="60"/>
      <c r="TAY2482" s="60"/>
      <c r="TAZ2482" s="60"/>
      <c r="TBA2482" s="65"/>
      <c r="TBB2482" s="61"/>
      <c r="TBC2482" s="55"/>
      <c r="TBD2482" s="55"/>
      <c r="TBE2482" s="60"/>
      <c r="TBF2482" s="60"/>
      <c r="TBG2482" s="60"/>
      <c r="TBH2482" s="60"/>
      <c r="TBI2482" s="65"/>
      <c r="TBJ2482" s="61"/>
      <c r="TBK2482" s="55"/>
      <c r="TBL2482" s="55"/>
      <c r="TBM2482" s="60"/>
      <c r="TBN2482" s="60"/>
      <c r="TBO2482" s="60"/>
      <c r="TBP2482" s="60"/>
      <c r="TBQ2482" s="65"/>
      <c r="TBR2482" s="61"/>
      <c r="TBS2482" s="55"/>
      <c r="TBT2482" s="55"/>
      <c r="TBU2482" s="60"/>
      <c r="TBV2482" s="60"/>
      <c r="TBW2482" s="60"/>
      <c r="TBX2482" s="60"/>
      <c r="TBY2482" s="65"/>
      <c r="TBZ2482" s="61"/>
      <c r="TCA2482" s="55"/>
      <c r="TCB2482" s="55"/>
      <c r="TCC2482" s="60"/>
      <c r="TCD2482" s="60"/>
      <c r="TCE2482" s="60"/>
      <c r="TCF2482" s="60"/>
      <c r="TCG2482" s="65"/>
      <c r="TCH2482" s="61"/>
      <c r="TCI2482" s="55"/>
      <c r="TCJ2482" s="55"/>
      <c r="TCK2482" s="60"/>
      <c r="TCL2482" s="60"/>
      <c r="TCM2482" s="60"/>
      <c r="TCN2482" s="60"/>
      <c r="TCO2482" s="65"/>
      <c r="TCP2482" s="61"/>
      <c r="TCQ2482" s="55"/>
      <c r="TCR2482" s="55"/>
      <c r="TCS2482" s="60"/>
      <c r="TCT2482" s="60"/>
      <c r="TCU2482" s="60"/>
      <c r="TCV2482" s="60"/>
      <c r="TCW2482" s="65"/>
      <c r="TCX2482" s="61"/>
      <c r="TCY2482" s="55"/>
      <c r="TCZ2482" s="55"/>
      <c r="TDA2482" s="60"/>
      <c r="TDB2482" s="60"/>
      <c r="TDC2482" s="60"/>
      <c r="TDD2482" s="60"/>
      <c r="TDE2482" s="65"/>
      <c r="TDF2482" s="61"/>
      <c r="TDG2482" s="55"/>
      <c r="TDH2482" s="55"/>
      <c r="TDI2482" s="60"/>
      <c r="TDJ2482" s="60"/>
      <c r="TDK2482" s="60"/>
      <c r="TDL2482" s="60"/>
      <c r="TDM2482" s="65"/>
      <c r="TDN2482" s="61"/>
      <c r="TDO2482" s="55"/>
      <c r="TDP2482" s="55"/>
      <c r="TDQ2482" s="60"/>
      <c r="TDR2482" s="60"/>
      <c r="TDS2482" s="60"/>
      <c r="TDT2482" s="60"/>
      <c r="TDU2482" s="65"/>
      <c r="TDV2482" s="61"/>
      <c r="TDW2482" s="55"/>
      <c r="TDX2482" s="55"/>
      <c r="TDY2482" s="60"/>
      <c r="TDZ2482" s="60"/>
      <c r="TEA2482" s="60"/>
      <c r="TEB2482" s="60"/>
      <c r="TEC2482" s="65"/>
      <c r="TED2482" s="61"/>
      <c r="TEE2482" s="55"/>
      <c r="TEF2482" s="55"/>
      <c r="TEG2482" s="60"/>
      <c r="TEH2482" s="60"/>
      <c r="TEI2482" s="60"/>
      <c r="TEJ2482" s="60"/>
      <c r="TEK2482" s="65"/>
      <c r="TEL2482" s="61"/>
      <c r="TEM2482" s="55"/>
      <c r="TEN2482" s="55"/>
      <c r="TEO2482" s="60"/>
      <c r="TEP2482" s="60"/>
      <c r="TEQ2482" s="60"/>
      <c r="TER2482" s="60"/>
      <c r="TES2482" s="65"/>
      <c r="TET2482" s="61"/>
      <c r="TEU2482" s="55"/>
      <c r="TEV2482" s="55"/>
      <c r="TEW2482" s="60"/>
      <c r="TEX2482" s="60"/>
      <c r="TEY2482" s="60"/>
      <c r="TEZ2482" s="60"/>
      <c r="TFA2482" s="65"/>
      <c r="TFB2482" s="61"/>
      <c r="TFC2482" s="55"/>
      <c r="TFD2482" s="55"/>
      <c r="TFE2482" s="60"/>
      <c r="TFF2482" s="60"/>
      <c r="TFG2482" s="60"/>
      <c r="TFH2482" s="60"/>
      <c r="TFI2482" s="65"/>
      <c r="TFJ2482" s="61"/>
      <c r="TFK2482" s="55"/>
      <c r="TFL2482" s="55"/>
      <c r="TFM2482" s="60"/>
      <c r="TFN2482" s="60"/>
      <c r="TFO2482" s="60"/>
      <c r="TFP2482" s="60"/>
      <c r="TFQ2482" s="65"/>
      <c r="TFR2482" s="61"/>
      <c r="TFS2482" s="55"/>
      <c r="TFT2482" s="55"/>
      <c r="TFU2482" s="60"/>
      <c r="TFV2482" s="60"/>
      <c r="TFW2482" s="60"/>
      <c r="TFX2482" s="60"/>
      <c r="TFY2482" s="65"/>
      <c r="TFZ2482" s="61"/>
      <c r="TGA2482" s="55"/>
      <c r="TGB2482" s="55"/>
      <c r="TGC2482" s="60"/>
      <c r="TGD2482" s="60"/>
      <c r="TGE2482" s="60"/>
      <c r="TGF2482" s="60"/>
      <c r="TGG2482" s="65"/>
      <c r="TGH2482" s="61"/>
      <c r="TGI2482" s="55"/>
      <c r="TGJ2482" s="55"/>
      <c r="TGK2482" s="60"/>
      <c r="TGL2482" s="60"/>
      <c r="TGM2482" s="60"/>
      <c r="TGN2482" s="60"/>
      <c r="TGO2482" s="65"/>
      <c r="TGP2482" s="61"/>
      <c r="TGQ2482" s="55"/>
      <c r="TGR2482" s="55"/>
      <c r="TGS2482" s="60"/>
      <c r="TGT2482" s="60"/>
      <c r="TGU2482" s="60"/>
      <c r="TGV2482" s="60"/>
      <c r="TGW2482" s="65"/>
      <c r="TGX2482" s="61"/>
      <c r="TGY2482" s="55"/>
      <c r="TGZ2482" s="55"/>
      <c r="THA2482" s="60"/>
      <c r="THB2482" s="60"/>
      <c r="THC2482" s="60"/>
      <c r="THD2482" s="60"/>
      <c r="THE2482" s="65"/>
      <c r="THF2482" s="61"/>
      <c r="THG2482" s="55"/>
      <c r="THH2482" s="55"/>
      <c r="THI2482" s="60"/>
      <c r="THJ2482" s="60"/>
      <c r="THK2482" s="60"/>
      <c r="THL2482" s="60"/>
      <c r="THM2482" s="65"/>
      <c r="THN2482" s="61"/>
      <c r="THO2482" s="55"/>
      <c r="THP2482" s="55"/>
      <c r="THQ2482" s="60"/>
      <c r="THR2482" s="60"/>
      <c r="THS2482" s="60"/>
      <c r="THT2482" s="60"/>
      <c r="THU2482" s="65"/>
      <c r="THV2482" s="61"/>
      <c r="THW2482" s="55"/>
      <c r="THX2482" s="55"/>
      <c r="THY2482" s="60"/>
      <c r="THZ2482" s="60"/>
      <c r="TIA2482" s="60"/>
      <c r="TIB2482" s="60"/>
      <c r="TIC2482" s="65"/>
      <c r="TID2482" s="61"/>
      <c r="TIE2482" s="55"/>
      <c r="TIF2482" s="55"/>
      <c r="TIG2482" s="60"/>
      <c r="TIH2482" s="60"/>
      <c r="TII2482" s="60"/>
      <c r="TIJ2482" s="60"/>
      <c r="TIK2482" s="65"/>
      <c r="TIL2482" s="61"/>
      <c r="TIM2482" s="55"/>
      <c r="TIN2482" s="55"/>
      <c r="TIO2482" s="60"/>
      <c r="TIP2482" s="60"/>
      <c r="TIQ2482" s="60"/>
      <c r="TIR2482" s="60"/>
      <c r="TIS2482" s="65"/>
      <c r="TIT2482" s="61"/>
      <c r="TIU2482" s="55"/>
      <c r="TIV2482" s="55"/>
      <c r="TIW2482" s="60"/>
      <c r="TIX2482" s="60"/>
      <c r="TIY2482" s="60"/>
      <c r="TIZ2482" s="60"/>
      <c r="TJA2482" s="65"/>
      <c r="TJB2482" s="61"/>
      <c r="TJC2482" s="55"/>
      <c r="TJD2482" s="55"/>
      <c r="TJE2482" s="60"/>
      <c r="TJF2482" s="60"/>
      <c r="TJG2482" s="60"/>
      <c r="TJH2482" s="60"/>
      <c r="TJI2482" s="65"/>
      <c r="TJJ2482" s="61"/>
      <c r="TJK2482" s="55"/>
      <c r="TJL2482" s="55"/>
      <c r="TJM2482" s="60"/>
      <c r="TJN2482" s="60"/>
      <c r="TJO2482" s="60"/>
      <c r="TJP2482" s="60"/>
      <c r="TJQ2482" s="65"/>
      <c r="TJR2482" s="61"/>
      <c r="TJS2482" s="55"/>
      <c r="TJT2482" s="55"/>
      <c r="TJU2482" s="60"/>
      <c r="TJV2482" s="60"/>
      <c r="TJW2482" s="60"/>
      <c r="TJX2482" s="60"/>
      <c r="TJY2482" s="65"/>
      <c r="TJZ2482" s="61"/>
      <c r="TKA2482" s="55"/>
      <c r="TKB2482" s="55"/>
      <c r="TKC2482" s="60"/>
      <c r="TKD2482" s="60"/>
      <c r="TKE2482" s="60"/>
      <c r="TKF2482" s="60"/>
      <c r="TKG2482" s="65"/>
      <c r="TKH2482" s="61"/>
      <c r="TKI2482" s="55"/>
      <c r="TKJ2482" s="55"/>
      <c r="TKK2482" s="60"/>
      <c r="TKL2482" s="60"/>
      <c r="TKM2482" s="60"/>
      <c r="TKN2482" s="60"/>
      <c r="TKO2482" s="65"/>
      <c r="TKP2482" s="61"/>
      <c r="TKQ2482" s="55"/>
      <c r="TKR2482" s="55"/>
      <c r="TKS2482" s="60"/>
      <c r="TKT2482" s="60"/>
      <c r="TKU2482" s="60"/>
      <c r="TKV2482" s="60"/>
      <c r="TKW2482" s="65"/>
      <c r="TKX2482" s="61"/>
      <c r="TKY2482" s="55"/>
      <c r="TKZ2482" s="55"/>
      <c r="TLA2482" s="60"/>
      <c r="TLB2482" s="60"/>
      <c r="TLC2482" s="60"/>
      <c r="TLD2482" s="60"/>
      <c r="TLE2482" s="65"/>
      <c r="TLF2482" s="61"/>
      <c r="TLG2482" s="55"/>
      <c r="TLH2482" s="55"/>
      <c r="TLI2482" s="60"/>
      <c r="TLJ2482" s="60"/>
      <c r="TLK2482" s="60"/>
      <c r="TLL2482" s="60"/>
      <c r="TLM2482" s="65"/>
      <c r="TLN2482" s="61"/>
      <c r="TLO2482" s="55"/>
      <c r="TLP2482" s="55"/>
      <c r="TLQ2482" s="60"/>
      <c r="TLR2482" s="60"/>
      <c r="TLS2482" s="60"/>
      <c r="TLT2482" s="60"/>
      <c r="TLU2482" s="65"/>
      <c r="TLV2482" s="61"/>
      <c r="TLW2482" s="55"/>
      <c r="TLX2482" s="55"/>
      <c r="TLY2482" s="60"/>
      <c r="TLZ2482" s="60"/>
      <c r="TMA2482" s="60"/>
      <c r="TMB2482" s="60"/>
      <c r="TMC2482" s="65"/>
      <c r="TMD2482" s="61"/>
      <c r="TME2482" s="55"/>
      <c r="TMF2482" s="55"/>
      <c r="TMG2482" s="60"/>
      <c r="TMH2482" s="60"/>
      <c r="TMI2482" s="60"/>
      <c r="TMJ2482" s="60"/>
      <c r="TMK2482" s="65"/>
      <c r="TML2482" s="61"/>
      <c r="TMM2482" s="55"/>
      <c r="TMN2482" s="55"/>
      <c r="TMO2482" s="60"/>
      <c r="TMP2482" s="60"/>
      <c r="TMQ2482" s="60"/>
      <c r="TMR2482" s="60"/>
      <c r="TMS2482" s="65"/>
      <c r="TMT2482" s="61"/>
      <c r="TMU2482" s="55"/>
      <c r="TMV2482" s="55"/>
      <c r="TMW2482" s="60"/>
      <c r="TMX2482" s="60"/>
      <c r="TMY2482" s="60"/>
      <c r="TMZ2482" s="60"/>
      <c r="TNA2482" s="65"/>
      <c r="TNB2482" s="61"/>
      <c r="TNC2482" s="55"/>
      <c r="TND2482" s="55"/>
      <c r="TNE2482" s="60"/>
      <c r="TNF2482" s="60"/>
      <c r="TNG2482" s="60"/>
      <c r="TNH2482" s="60"/>
      <c r="TNI2482" s="65"/>
      <c r="TNJ2482" s="61"/>
      <c r="TNK2482" s="55"/>
      <c r="TNL2482" s="55"/>
      <c r="TNM2482" s="60"/>
      <c r="TNN2482" s="60"/>
      <c r="TNO2482" s="60"/>
      <c r="TNP2482" s="60"/>
      <c r="TNQ2482" s="65"/>
      <c r="TNR2482" s="61"/>
      <c r="TNS2482" s="55"/>
      <c r="TNT2482" s="55"/>
      <c r="TNU2482" s="60"/>
      <c r="TNV2482" s="60"/>
      <c r="TNW2482" s="60"/>
      <c r="TNX2482" s="60"/>
      <c r="TNY2482" s="65"/>
      <c r="TNZ2482" s="61"/>
      <c r="TOA2482" s="55"/>
      <c r="TOB2482" s="55"/>
      <c r="TOC2482" s="60"/>
      <c r="TOD2482" s="60"/>
      <c r="TOE2482" s="60"/>
      <c r="TOF2482" s="60"/>
      <c r="TOG2482" s="65"/>
      <c r="TOH2482" s="61"/>
      <c r="TOI2482" s="55"/>
      <c r="TOJ2482" s="55"/>
      <c r="TOK2482" s="60"/>
      <c r="TOL2482" s="60"/>
      <c r="TOM2482" s="60"/>
      <c r="TON2482" s="60"/>
      <c r="TOO2482" s="65"/>
      <c r="TOP2482" s="61"/>
      <c r="TOQ2482" s="55"/>
      <c r="TOR2482" s="55"/>
      <c r="TOS2482" s="60"/>
      <c r="TOT2482" s="60"/>
      <c r="TOU2482" s="60"/>
      <c r="TOV2482" s="60"/>
      <c r="TOW2482" s="65"/>
      <c r="TOX2482" s="61"/>
      <c r="TOY2482" s="55"/>
      <c r="TOZ2482" s="55"/>
      <c r="TPA2482" s="60"/>
      <c r="TPB2482" s="60"/>
      <c r="TPC2482" s="60"/>
      <c r="TPD2482" s="60"/>
      <c r="TPE2482" s="65"/>
      <c r="TPF2482" s="61"/>
      <c r="TPG2482" s="55"/>
      <c r="TPH2482" s="55"/>
      <c r="TPI2482" s="60"/>
      <c r="TPJ2482" s="60"/>
      <c r="TPK2482" s="60"/>
      <c r="TPL2482" s="60"/>
      <c r="TPM2482" s="65"/>
      <c r="TPN2482" s="61"/>
      <c r="TPO2482" s="55"/>
      <c r="TPP2482" s="55"/>
      <c r="TPQ2482" s="60"/>
      <c r="TPR2482" s="60"/>
      <c r="TPS2482" s="60"/>
      <c r="TPT2482" s="60"/>
      <c r="TPU2482" s="65"/>
      <c r="TPV2482" s="61"/>
      <c r="TPW2482" s="55"/>
      <c r="TPX2482" s="55"/>
      <c r="TPY2482" s="60"/>
      <c r="TPZ2482" s="60"/>
      <c r="TQA2482" s="60"/>
      <c r="TQB2482" s="60"/>
      <c r="TQC2482" s="65"/>
      <c r="TQD2482" s="61"/>
      <c r="TQE2482" s="55"/>
      <c r="TQF2482" s="55"/>
      <c r="TQG2482" s="60"/>
      <c r="TQH2482" s="60"/>
      <c r="TQI2482" s="60"/>
      <c r="TQJ2482" s="60"/>
      <c r="TQK2482" s="65"/>
      <c r="TQL2482" s="61"/>
      <c r="TQM2482" s="55"/>
      <c r="TQN2482" s="55"/>
      <c r="TQO2482" s="60"/>
      <c r="TQP2482" s="60"/>
      <c r="TQQ2482" s="60"/>
      <c r="TQR2482" s="60"/>
      <c r="TQS2482" s="65"/>
      <c r="TQT2482" s="61"/>
      <c r="TQU2482" s="55"/>
      <c r="TQV2482" s="55"/>
      <c r="TQW2482" s="60"/>
      <c r="TQX2482" s="60"/>
      <c r="TQY2482" s="60"/>
      <c r="TQZ2482" s="60"/>
      <c r="TRA2482" s="65"/>
      <c r="TRB2482" s="61"/>
      <c r="TRC2482" s="55"/>
      <c r="TRD2482" s="55"/>
      <c r="TRE2482" s="60"/>
      <c r="TRF2482" s="60"/>
      <c r="TRG2482" s="60"/>
      <c r="TRH2482" s="60"/>
      <c r="TRI2482" s="65"/>
      <c r="TRJ2482" s="61"/>
      <c r="TRK2482" s="55"/>
      <c r="TRL2482" s="55"/>
      <c r="TRM2482" s="60"/>
      <c r="TRN2482" s="60"/>
      <c r="TRO2482" s="60"/>
      <c r="TRP2482" s="60"/>
      <c r="TRQ2482" s="65"/>
      <c r="TRR2482" s="61"/>
      <c r="TRS2482" s="55"/>
      <c r="TRT2482" s="55"/>
      <c r="TRU2482" s="60"/>
      <c r="TRV2482" s="60"/>
      <c r="TRW2482" s="60"/>
      <c r="TRX2482" s="60"/>
      <c r="TRY2482" s="65"/>
      <c r="TRZ2482" s="61"/>
      <c r="TSA2482" s="55"/>
      <c r="TSB2482" s="55"/>
      <c r="TSC2482" s="60"/>
      <c r="TSD2482" s="60"/>
      <c r="TSE2482" s="60"/>
      <c r="TSF2482" s="60"/>
      <c r="TSG2482" s="65"/>
      <c r="TSH2482" s="61"/>
      <c r="TSI2482" s="55"/>
      <c r="TSJ2482" s="55"/>
      <c r="TSK2482" s="60"/>
      <c r="TSL2482" s="60"/>
      <c r="TSM2482" s="60"/>
      <c r="TSN2482" s="60"/>
      <c r="TSO2482" s="65"/>
      <c r="TSP2482" s="61"/>
      <c r="TSQ2482" s="55"/>
      <c r="TSR2482" s="55"/>
      <c r="TSS2482" s="60"/>
      <c r="TST2482" s="60"/>
      <c r="TSU2482" s="60"/>
      <c r="TSV2482" s="60"/>
      <c r="TSW2482" s="65"/>
      <c r="TSX2482" s="61"/>
      <c r="TSY2482" s="55"/>
      <c r="TSZ2482" s="55"/>
      <c r="TTA2482" s="60"/>
      <c r="TTB2482" s="60"/>
      <c r="TTC2482" s="60"/>
      <c r="TTD2482" s="60"/>
      <c r="TTE2482" s="65"/>
      <c r="TTF2482" s="61"/>
      <c r="TTG2482" s="55"/>
      <c r="TTH2482" s="55"/>
      <c r="TTI2482" s="60"/>
      <c r="TTJ2482" s="60"/>
      <c r="TTK2482" s="60"/>
      <c r="TTL2482" s="60"/>
      <c r="TTM2482" s="65"/>
      <c r="TTN2482" s="61"/>
      <c r="TTO2482" s="55"/>
      <c r="TTP2482" s="55"/>
      <c r="TTQ2482" s="60"/>
      <c r="TTR2482" s="60"/>
      <c r="TTS2482" s="60"/>
      <c r="TTT2482" s="60"/>
      <c r="TTU2482" s="65"/>
      <c r="TTV2482" s="61"/>
      <c r="TTW2482" s="55"/>
      <c r="TTX2482" s="55"/>
      <c r="TTY2482" s="60"/>
      <c r="TTZ2482" s="60"/>
      <c r="TUA2482" s="60"/>
      <c r="TUB2482" s="60"/>
      <c r="TUC2482" s="65"/>
      <c r="TUD2482" s="61"/>
      <c r="TUE2482" s="55"/>
      <c r="TUF2482" s="55"/>
      <c r="TUG2482" s="60"/>
      <c r="TUH2482" s="60"/>
      <c r="TUI2482" s="60"/>
      <c r="TUJ2482" s="60"/>
      <c r="TUK2482" s="65"/>
      <c r="TUL2482" s="61"/>
      <c r="TUM2482" s="55"/>
      <c r="TUN2482" s="55"/>
      <c r="TUO2482" s="60"/>
      <c r="TUP2482" s="60"/>
      <c r="TUQ2482" s="60"/>
      <c r="TUR2482" s="60"/>
      <c r="TUS2482" s="65"/>
      <c r="TUT2482" s="61"/>
      <c r="TUU2482" s="55"/>
      <c r="TUV2482" s="55"/>
      <c r="TUW2482" s="60"/>
      <c r="TUX2482" s="60"/>
      <c r="TUY2482" s="60"/>
      <c r="TUZ2482" s="60"/>
      <c r="TVA2482" s="65"/>
      <c r="TVB2482" s="61"/>
      <c r="TVC2482" s="55"/>
      <c r="TVD2482" s="55"/>
      <c r="TVE2482" s="60"/>
      <c r="TVF2482" s="60"/>
      <c r="TVG2482" s="60"/>
      <c r="TVH2482" s="60"/>
      <c r="TVI2482" s="65"/>
      <c r="TVJ2482" s="61"/>
      <c r="TVK2482" s="55"/>
      <c r="TVL2482" s="55"/>
      <c r="TVM2482" s="60"/>
      <c r="TVN2482" s="60"/>
      <c r="TVO2482" s="60"/>
      <c r="TVP2482" s="60"/>
      <c r="TVQ2482" s="65"/>
      <c r="TVR2482" s="61"/>
      <c r="TVS2482" s="55"/>
      <c r="TVT2482" s="55"/>
      <c r="TVU2482" s="60"/>
      <c r="TVV2482" s="60"/>
      <c r="TVW2482" s="60"/>
      <c r="TVX2482" s="60"/>
      <c r="TVY2482" s="65"/>
      <c r="TVZ2482" s="61"/>
      <c r="TWA2482" s="55"/>
      <c r="TWB2482" s="55"/>
      <c r="TWC2482" s="60"/>
      <c r="TWD2482" s="60"/>
      <c r="TWE2482" s="60"/>
      <c r="TWF2482" s="60"/>
      <c r="TWG2482" s="65"/>
      <c r="TWH2482" s="61"/>
      <c r="TWI2482" s="55"/>
      <c r="TWJ2482" s="55"/>
      <c r="TWK2482" s="60"/>
      <c r="TWL2482" s="60"/>
      <c r="TWM2482" s="60"/>
      <c r="TWN2482" s="60"/>
      <c r="TWO2482" s="65"/>
      <c r="TWP2482" s="61"/>
      <c r="TWQ2482" s="55"/>
      <c r="TWR2482" s="55"/>
      <c r="TWS2482" s="60"/>
      <c r="TWT2482" s="60"/>
      <c r="TWU2482" s="60"/>
      <c r="TWV2482" s="60"/>
      <c r="TWW2482" s="65"/>
      <c r="TWX2482" s="61"/>
      <c r="TWY2482" s="55"/>
      <c r="TWZ2482" s="55"/>
      <c r="TXA2482" s="60"/>
      <c r="TXB2482" s="60"/>
      <c r="TXC2482" s="60"/>
      <c r="TXD2482" s="60"/>
      <c r="TXE2482" s="65"/>
      <c r="TXF2482" s="61"/>
      <c r="TXG2482" s="55"/>
      <c r="TXH2482" s="55"/>
      <c r="TXI2482" s="60"/>
      <c r="TXJ2482" s="60"/>
      <c r="TXK2482" s="60"/>
      <c r="TXL2482" s="60"/>
      <c r="TXM2482" s="65"/>
      <c r="TXN2482" s="61"/>
      <c r="TXO2482" s="55"/>
      <c r="TXP2482" s="55"/>
      <c r="TXQ2482" s="60"/>
      <c r="TXR2482" s="60"/>
      <c r="TXS2482" s="60"/>
      <c r="TXT2482" s="60"/>
      <c r="TXU2482" s="65"/>
      <c r="TXV2482" s="61"/>
      <c r="TXW2482" s="55"/>
      <c r="TXX2482" s="55"/>
      <c r="TXY2482" s="60"/>
      <c r="TXZ2482" s="60"/>
      <c r="TYA2482" s="60"/>
      <c r="TYB2482" s="60"/>
      <c r="TYC2482" s="65"/>
      <c r="TYD2482" s="61"/>
      <c r="TYE2482" s="55"/>
      <c r="TYF2482" s="55"/>
      <c r="TYG2482" s="60"/>
      <c r="TYH2482" s="60"/>
      <c r="TYI2482" s="60"/>
      <c r="TYJ2482" s="60"/>
      <c r="TYK2482" s="65"/>
      <c r="TYL2482" s="61"/>
      <c r="TYM2482" s="55"/>
      <c r="TYN2482" s="55"/>
      <c r="TYO2482" s="60"/>
      <c r="TYP2482" s="60"/>
      <c r="TYQ2482" s="60"/>
      <c r="TYR2482" s="60"/>
      <c r="TYS2482" s="65"/>
      <c r="TYT2482" s="61"/>
      <c r="TYU2482" s="55"/>
      <c r="TYV2482" s="55"/>
      <c r="TYW2482" s="60"/>
      <c r="TYX2482" s="60"/>
      <c r="TYY2482" s="60"/>
      <c r="TYZ2482" s="60"/>
      <c r="TZA2482" s="65"/>
      <c r="TZB2482" s="61"/>
      <c r="TZC2482" s="55"/>
      <c r="TZD2482" s="55"/>
      <c r="TZE2482" s="60"/>
      <c r="TZF2482" s="60"/>
      <c r="TZG2482" s="60"/>
      <c r="TZH2482" s="60"/>
      <c r="TZI2482" s="65"/>
      <c r="TZJ2482" s="61"/>
      <c r="TZK2482" s="55"/>
      <c r="TZL2482" s="55"/>
      <c r="TZM2482" s="60"/>
      <c r="TZN2482" s="60"/>
      <c r="TZO2482" s="60"/>
      <c r="TZP2482" s="60"/>
      <c r="TZQ2482" s="65"/>
      <c r="TZR2482" s="61"/>
      <c r="TZS2482" s="55"/>
      <c r="TZT2482" s="55"/>
      <c r="TZU2482" s="60"/>
      <c r="TZV2482" s="60"/>
      <c r="TZW2482" s="60"/>
      <c r="TZX2482" s="60"/>
      <c r="TZY2482" s="65"/>
      <c r="TZZ2482" s="61"/>
      <c r="UAA2482" s="55"/>
      <c r="UAB2482" s="55"/>
      <c r="UAC2482" s="60"/>
      <c r="UAD2482" s="60"/>
      <c r="UAE2482" s="60"/>
      <c r="UAF2482" s="60"/>
      <c r="UAG2482" s="65"/>
      <c r="UAH2482" s="61"/>
      <c r="UAI2482" s="55"/>
      <c r="UAJ2482" s="55"/>
      <c r="UAK2482" s="60"/>
      <c r="UAL2482" s="60"/>
      <c r="UAM2482" s="60"/>
      <c r="UAN2482" s="60"/>
      <c r="UAO2482" s="65"/>
      <c r="UAP2482" s="61"/>
      <c r="UAQ2482" s="55"/>
      <c r="UAR2482" s="55"/>
      <c r="UAS2482" s="60"/>
      <c r="UAT2482" s="60"/>
      <c r="UAU2482" s="60"/>
      <c r="UAV2482" s="60"/>
      <c r="UAW2482" s="65"/>
      <c r="UAX2482" s="61"/>
      <c r="UAY2482" s="55"/>
      <c r="UAZ2482" s="55"/>
      <c r="UBA2482" s="60"/>
      <c r="UBB2482" s="60"/>
      <c r="UBC2482" s="60"/>
      <c r="UBD2482" s="60"/>
      <c r="UBE2482" s="65"/>
      <c r="UBF2482" s="61"/>
      <c r="UBG2482" s="55"/>
      <c r="UBH2482" s="55"/>
      <c r="UBI2482" s="60"/>
      <c r="UBJ2482" s="60"/>
      <c r="UBK2482" s="60"/>
      <c r="UBL2482" s="60"/>
      <c r="UBM2482" s="65"/>
      <c r="UBN2482" s="61"/>
      <c r="UBO2482" s="55"/>
      <c r="UBP2482" s="55"/>
      <c r="UBQ2482" s="60"/>
      <c r="UBR2482" s="60"/>
      <c r="UBS2482" s="60"/>
      <c r="UBT2482" s="60"/>
      <c r="UBU2482" s="65"/>
      <c r="UBV2482" s="61"/>
      <c r="UBW2482" s="55"/>
      <c r="UBX2482" s="55"/>
      <c r="UBY2482" s="60"/>
      <c r="UBZ2482" s="60"/>
      <c r="UCA2482" s="60"/>
      <c r="UCB2482" s="60"/>
      <c r="UCC2482" s="65"/>
      <c r="UCD2482" s="61"/>
      <c r="UCE2482" s="55"/>
      <c r="UCF2482" s="55"/>
      <c r="UCG2482" s="60"/>
      <c r="UCH2482" s="60"/>
      <c r="UCI2482" s="60"/>
      <c r="UCJ2482" s="60"/>
      <c r="UCK2482" s="65"/>
      <c r="UCL2482" s="61"/>
      <c r="UCM2482" s="55"/>
      <c r="UCN2482" s="55"/>
      <c r="UCO2482" s="60"/>
      <c r="UCP2482" s="60"/>
      <c r="UCQ2482" s="60"/>
      <c r="UCR2482" s="60"/>
      <c r="UCS2482" s="65"/>
      <c r="UCT2482" s="61"/>
      <c r="UCU2482" s="55"/>
      <c r="UCV2482" s="55"/>
      <c r="UCW2482" s="60"/>
      <c r="UCX2482" s="60"/>
      <c r="UCY2482" s="60"/>
      <c r="UCZ2482" s="60"/>
      <c r="UDA2482" s="65"/>
      <c r="UDB2482" s="61"/>
      <c r="UDC2482" s="55"/>
      <c r="UDD2482" s="55"/>
      <c r="UDE2482" s="60"/>
      <c r="UDF2482" s="60"/>
      <c r="UDG2482" s="60"/>
      <c r="UDH2482" s="60"/>
      <c r="UDI2482" s="65"/>
      <c r="UDJ2482" s="61"/>
      <c r="UDK2482" s="55"/>
      <c r="UDL2482" s="55"/>
      <c r="UDM2482" s="60"/>
      <c r="UDN2482" s="60"/>
      <c r="UDO2482" s="60"/>
      <c r="UDP2482" s="60"/>
      <c r="UDQ2482" s="65"/>
      <c r="UDR2482" s="61"/>
      <c r="UDS2482" s="55"/>
      <c r="UDT2482" s="55"/>
      <c r="UDU2482" s="60"/>
      <c r="UDV2482" s="60"/>
      <c r="UDW2482" s="60"/>
      <c r="UDX2482" s="60"/>
      <c r="UDY2482" s="65"/>
      <c r="UDZ2482" s="61"/>
      <c r="UEA2482" s="55"/>
      <c r="UEB2482" s="55"/>
      <c r="UEC2482" s="60"/>
      <c r="UED2482" s="60"/>
      <c r="UEE2482" s="60"/>
      <c r="UEF2482" s="60"/>
      <c r="UEG2482" s="65"/>
      <c r="UEH2482" s="61"/>
      <c r="UEI2482" s="55"/>
      <c r="UEJ2482" s="55"/>
      <c r="UEK2482" s="60"/>
      <c r="UEL2482" s="60"/>
      <c r="UEM2482" s="60"/>
      <c r="UEN2482" s="60"/>
      <c r="UEO2482" s="65"/>
      <c r="UEP2482" s="61"/>
      <c r="UEQ2482" s="55"/>
      <c r="UER2482" s="55"/>
      <c r="UES2482" s="60"/>
      <c r="UET2482" s="60"/>
      <c r="UEU2482" s="60"/>
      <c r="UEV2482" s="60"/>
      <c r="UEW2482" s="65"/>
      <c r="UEX2482" s="61"/>
      <c r="UEY2482" s="55"/>
      <c r="UEZ2482" s="55"/>
      <c r="UFA2482" s="60"/>
      <c r="UFB2482" s="60"/>
      <c r="UFC2482" s="60"/>
      <c r="UFD2482" s="60"/>
      <c r="UFE2482" s="65"/>
      <c r="UFF2482" s="61"/>
      <c r="UFG2482" s="55"/>
      <c r="UFH2482" s="55"/>
      <c r="UFI2482" s="60"/>
      <c r="UFJ2482" s="60"/>
      <c r="UFK2482" s="60"/>
      <c r="UFL2482" s="60"/>
      <c r="UFM2482" s="65"/>
      <c r="UFN2482" s="61"/>
      <c r="UFO2482" s="55"/>
      <c r="UFP2482" s="55"/>
      <c r="UFQ2482" s="60"/>
      <c r="UFR2482" s="60"/>
      <c r="UFS2482" s="60"/>
      <c r="UFT2482" s="60"/>
      <c r="UFU2482" s="65"/>
      <c r="UFV2482" s="61"/>
      <c r="UFW2482" s="55"/>
      <c r="UFX2482" s="55"/>
      <c r="UFY2482" s="60"/>
      <c r="UFZ2482" s="60"/>
      <c r="UGA2482" s="60"/>
      <c r="UGB2482" s="60"/>
      <c r="UGC2482" s="65"/>
      <c r="UGD2482" s="61"/>
      <c r="UGE2482" s="55"/>
      <c r="UGF2482" s="55"/>
      <c r="UGG2482" s="60"/>
      <c r="UGH2482" s="60"/>
      <c r="UGI2482" s="60"/>
      <c r="UGJ2482" s="60"/>
      <c r="UGK2482" s="65"/>
      <c r="UGL2482" s="61"/>
      <c r="UGM2482" s="55"/>
      <c r="UGN2482" s="55"/>
      <c r="UGO2482" s="60"/>
      <c r="UGP2482" s="60"/>
      <c r="UGQ2482" s="60"/>
      <c r="UGR2482" s="60"/>
      <c r="UGS2482" s="65"/>
      <c r="UGT2482" s="61"/>
      <c r="UGU2482" s="55"/>
      <c r="UGV2482" s="55"/>
      <c r="UGW2482" s="60"/>
      <c r="UGX2482" s="60"/>
      <c r="UGY2482" s="60"/>
      <c r="UGZ2482" s="60"/>
      <c r="UHA2482" s="65"/>
      <c r="UHB2482" s="61"/>
      <c r="UHC2482" s="55"/>
      <c r="UHD2482" s="55"/>
      <c r="UHE2482" s="60"/>
      <c r="UHF2482" s="60"/>
      <c r="UHG2482" s="60"/>
      <c r="UHH2482" s="60"/>
      <c r="UHI2482" s="65"/>
      <c r="UHJ2482" s="61"/>
      <c r="UHK2482" s="55"/>
      <c r="UHL2482" s="55"/>
      <c r="UHM2482" s="60"/>
      <c r="UHN2482" s="60"/>
      <c r="UHO2482" s="60"/>
      <c r="UHP2482" s="60"/>
      <c r="UHQ2482" s="65"/>
      <c r="UHR2482" s="61"/>
      <c r="UHS2482" s="55"/>
      <c r="UHT2482" s="55"/>
      <c r="UHU2482" s="60"/>
      <c r="UHV2482" s="60"/>
      <c r="UHW2482" s="60"/>
      <c r="UHX2482" s="60"/>
      <c r="UHY2482" s="65"/>
      <c r="UHZ2482" s="61"/>
      <c r="UIA2482" s="55"/>
      <c r="UIB2482" s="55"/>
      <c r="UIC2482" s="60"/>
      <c r="UID2482" s="60"/>
      <c r="UIE2482" s="60"/>
      <c r="UIF2482" s="60"/>
      <c r="UIG2482" s="65"/>
      <c r="UIH2482" s="61"/>
      <c r="UII2482" s="55"/>
      <c r="UIJ2482" s="55"/>
      <c r="UIK2482" s="60"/>
      <c r="UIL2482" s="60"/>
      <c r="UIM2482" s="60"/>
      <c r="UIN2482" s="60"/>
      <c r="UIO2482" s="65"/>
      <c r="UIP2482" s="61"/>
      <c r="UIQ2482" s="55"/>
      <c r="UIR2482" s="55"/>
      <c r="UIS2482" s="60"/>
      <c r="UIT2482" s="60"/>
      <c r="UIU2482" s="60"/>
      <c r="UIV2482" s="60"/>
      <c r="UIW2482" s="65"/>
      <c r="UIX2482" s="61"/>
      <c r="UIY2482" s="55"/>
      <c r="UIZ2482" s="55"/>
      <c r="UJA2482" s="60"/>
      <c r="UJB2482" s="60"/>
      <c r="UJC2482" s="60"/>
      <c r="UJD2482" s="60"/>
      <c r="UJE2482" s="65"/>
      <c r="UJF2482" s="61"/>
      <c r="UJG2482" s="55"/>
      <c r="UJH2482" s="55"/>
      <c r="UJI2482" s="60"/>
      <c r="UJJ2482" s="60"/>
      <c r="UJK2482" s="60"/>
      <c r="UJL2482" s="60"/>
      <c r="UJM2482" s="65"/>
      <c r="UJN2482" s="61"/>
      <c r="UJO2482" s="55"/>
      <c r="UJP2482" s="55"/>
      <c r="UJQ2482" s="60"/>
      <c r="UJR2482" s="60"/>
      <c r="UJS2482" s="60"/>
      <c r="UJT2482" s="60"/>
      <c r="UJU2482" s="65"/>
      <c r="UJV2482" s="61"/>
      <c r="UJW2482" s="55"/>
      <c r="UJX2482" s="55"/>
      <c r="UJY2482" s="60"/>
      <c r="UJZ2482" s="60"/>
      <c r="UKA2482" s="60"/>
      <c r="UKB2482" s="60"/>
      <c r="UKC2482" s="65"/>
      <c r="UKD2482" s="61"/>
      <c r="UKE2482" s="55"/>
      <c r="UKF2482" s="55"/>
      <c r="UKG2482" s="60"/>
      <c r="UKH2482" s="60"/>
      <c r="UKI2482" s="60"/>
      <c r="UKJ2482" s="60"/>
      <c r="UKK2482" s="65"/>
      <c r="UKL2482" s="61"/>
      <c r="UKM2482" s="55"/>
      <c r="UKN2482" s="55"/>
      <c r="UKO2482" s="60"/>
      <c r="UKP2482" s="60"/>
      <c r="UKQ2482" s="60"/>
      <c r="UKR2482" s="60"/>
      <c r="UKS2482" s="65"/>
      <c r="UKT2482" s="61"/>
      <c r="UKU2482" s="55"/>
      <c r="UKV2482" s="55"/>
      <c r="UKW2482" s="60"/>
      <c r="UKX2482" s="60"/>
      <c r="UKY2482" s="60"/>
      <c r="UKZ2482" s="60"/>
      <c r="ULA2482" s="65"/>
      <c r="ULB2482" s="61"/>
      <c r="ULC2482" s="55"/>
      <c r="ULD2482" s="55"/>
      <c r="ULE2482" s="60"/>
      <c r="ULF2482" s="60"/>
      <c r="ULG2482" s="60"/>
      <c r="ULH2482" s="60"/>
      <c r="ULI2482" s="65"/>
      <c r="ULJ2482" s="61"/>
      <c r="ULK2482" s="55"/>
      <c r="ULL2482" s="55"/>
      <c r="ULM2482" s="60"/>
      <c r="ULN2482" s="60"/>
      <c r="ULO2482" s="60"/>
      <c r="ULP2482" s="60"/>
      <c r="ULQ2482" s="65"/>
      <c r="ULR2482" s="61"/>
      <c r="ULS2482" s="55"/>
      <c r="ULT2482" s="55"/>
      <c r="ULU2482" s="60"/>
      <c r="ULV2482" s="60"/>
      <c r="ULW2482" s="60"/>
      <c r="ULX2482" s="60"/>
      <c r="ULY2482" s="65"/>
      <c r="ULZ2482" s="61"/>
      <c r="UMA2482" s="55"/>
      <c r="UMB2482" s="55"/>
      <c r="UMC2482" s="60"/>
      <c r="UMD2482" s="60"/>
      <c r="UME2482" s="60"/>
      <c r="UMF2482" s="60"/>
      <c r="UMG2482" s="65"/>
      <c r="UMH2482" s="61"/>
      <c r="UMI2482" s="55"/>
      <c r="UMJ2482" s="55"/>
      <c r="UMK2482" s="60"/>
      <c r="UML2482" s="60"/>
      <c r="UMM2482" s="60"/>
      <c r="UMN2482" s="60"/>
      <c r="UMO2482" s="65"/>
      <c r="UMP2482" s="61"/>
      <c r="UMQ2482" s="55"/>
      <c r="UMR2482" s="55"/>
      <c r="UMS2482" s="60"/>
      <c r="UMT2482" s="60"/>
      <c r="UMU2482" s="60"/>
      <c r="UMV2482" s="60"/>
      <c r="UMW2482" s="65"/>
      <c r="UMX2482" s="61"/>
      <c r="UMY2482" s="55"/>
      <c r="UMZ2482" s="55"/>
      <c r="UNA2482" s="60"/>
      <c r="UNB2482" s="60"/>
      <c r="UNC2482" s="60"/>
      <c r="UND2482" s="60"/>
      <c r="UNE2482" s="65"/>
      <c r="UNF2482" s="61"/>
      <c r="UNG2482" s="55"/>
      <c r="UNH2482" s="55"/>
      <c r="UNI2482" s="60"/>
      <c r="UNJ2482" s="60"/>
      <c r="UNK2482" s="60"/>
      <c r="UNL2482" s="60"/>
      <c r="UNM2482" s="65"/>
      <c r="UNN2482" s="61"/>
      <c r="UNO2482" s="55"/>
      <c r="UNP2482" s="55"/>
      <c r="UNQ2482" s="60"/>
      <c r="UNR2482" s="60"/>
      <c r="UNS2482" s="60"/>
      <c r="UNT2482" s="60"/>
      <c r="UNU2482" s="65"/>
      <c r="UNV2482" s="61"/>
      <c r="UNW2482" s="55"/>
      <c r="UNX2482" s="55"/>
      <c r="UNY2482" s="60"/>
      <c r="UNZ2482" s="60"/>
      <c r="UOA2482" s="60"/>
      <c r="UOB2482" s="60"/>
      <c r="UOC2482" s="65"/>
      <c r="UOD2482" s="61"/>
      <c r="UOE2482" s="55"/>
      <c r="UOF2482" s="55"/>
      <c r="UOG2482" s="60"/>
      <c r="UOH2482" s="60"/>
      <c r="UOI2482" s="60"/>
      <c r="UOJ2482" s="60"/>
      <c r="UOK2482" s="65"/>
      <c r="UOL2482" s="61"/>
      <c r="UOM2482" s="55"/>
      <c r="UON2482" s="55"/>
      <c r="UOO2482" s="60"/>
      <c r="UOP2482" s="60"/>
      <c r="UOQ2482" s="60"/>
      <c r="UOR2482" s="60"/>
      <c r="UOS2482" s="65"/>
      <c r="UOT2482" s="61"/>
      <c r="UOU2482" s="55"/>
      <c r="UOV2482" s="55"/>
      <c r="UOW2482" s="60"/>
      <c r="UOX2482" s="60"/>
      <c r="UOY2482" s="60"/>
      <c r="UOZ2482" s="60"/>
      <c r="UPA2482" s="65"/>
      <c r="UPB2482" s="61"/>
      <c r="UPC2482" s="55"/>
      <c r="UPD2482" s="55"/>
      <c r="UPE2482" s="60"/>
      <c r="UPF2482" s="60"/>
      <c r="UPG2482" s="60"/>
      <c r="UPH2482" s="60"/>
      <c r="UPI2482" s="65"/>
      <c r="UPJ2482" s="61"/>
      <c r="UPK2482" s="55"/>
      <c r="UPL2482" s="55"/>
      <c r="UPM2482" s="60"/>
      <c r="UPN2482" s="60"/>
      <c r="UPO2482" s="60"/>
      <c r="UPP2482" s="60"/>
      <c r="UPQ2482" s="65"/>
      <c r="UPR2482" s="61"/>
      <c r="UPS2482" s="55"/>
      <c r="UPT2482" s="55"/>
      <c r="UPU2482" s="60"/>
      <c r="UPV2482" s="60"/>
      <c r="UPW2482" s="60"/>
      <c r="UPX2482" s="60"/>
      <c r="UPY2482" s="65"/>
      <c r="UPZ2482" s="61"/>
      <c r="UQA2482" s="55"/>
      <c r="UQB2482" s="55"/>
      <c r="UQC2482" s="60"/>
      <c r="UQD2482" s="60"/>
      <c r="UQE2482" s="60"/>
      <c r="UQF2482" s="60"/>
      <c r="UQG2482" s="65"/>
      <c r="UQH2482" s="61"/>
      <c r="UQI2482" s="55"/>
      <c r="UQJ2482" s="55"/>
      <c r="UQK2482" s="60"/>
      <c r="UQL2482" s="60"/>
      <c r="UQM2482" s="60"/>
      <c r="UQN2482" s="60"/>
      <c r="UQO2482" s="65"/>
      <c r="UQP2482" s="61"/>
      <c r="UQQ2482" s="55"/>
      <c r="UQR2482" s="55"/>
      <c r="UQS2482" s="60"/>
      <c r="UQT2482" s="60"/>
      <c r="UQU2482" s="60"/>
      <c r="UQV2482" s="60"/>
      <c r="UQW2482" s="65"/>
      <c r="UQX2482" s="61"/>
      <c r="UQY2482" s="55"/>
      <c r="UQZ2482" s="55"/>
      <c r="URA2482" s="60"/>
      <c r="URB2482" s="60"/>
      <c r="URC2482" s="60"/>
      <c r="URD2482" s="60"/>
      <c r="URE2482" s="65"/>
      <c r="URF2482" s="61"/>
      <c r="URG2482" s="55"/>
      <c r="URH2482" s="55"/>
      <c r="URI2482" s="60"/>
      <c r="URJ2482" s="60"/>
      <c r="URK2482" s="60"/>
      <c r="URL2482" s="60"/>
      <c r="URM2482" s="65"/>
      <c r="URN2482" s="61"/>
      <c r="URO2482" s="55"/>
      <c r="URP2482" s="55"/>
      <c r="URQ2482" s="60"/>
      <c r="URR2482" s="60"/>
      <c r="URS2482" s="60"/>
      <c r="URT2482" s="60"/>
      <c r="URU2482" s="65"/>
      <c r="URV2482" s="61"/>
      <c r="URW2482" s="55"/>
      <c r="URX2482" s="55"/>
      <c r="URY2482" s="60"/>
      <c r="URZ2482" s="60"/>
      <c r="USA2482" s="60"/>
      <c r="USB2482" s="60"/>
      <c r="USC2482" s="65"/>
      <c r="USD2482" s="61"/>
      <c r="USE2482" s="55"/>
      <c r="USF2482" s="55"/>
      <c r="USG2482" s="60"/>
      <c r="USH2482" s="60"/>
      <c r="USI2482" s="60"/>
      <c r="USJ2482" s="60"/>
      <c r="USK2482" s="65"/>
      <c r="USL2482" s="61"/>
      <c r="USM2482" s="55"/>
      <c r="USN2482" s="55"/>
      <c r="USO2482" s="60"/>
      <c r="USP2482" s="60"/>
      <c r="USQ2482" s="60"/>
      <c r="USR2482" s="60"/>
      <c r="USS2482" s="65"/>
      <c r="UST2482" s="61"/>
      <c r="USU2482" s="55"/>
      <c r="USV2482" s="55"/>
      <c r="USW2482" s="60"/>
      <c r="USX2482" s="60"/>
      <c r="USY2482" s="60"/>
      <c r="USZ2482" s="60"/>
      <c r="UTA2482" s="65"/>
      <c r="UTB2482" s="61"/>
      <c r="UTC2482" s="55"/>
      <c r="UTD2482" s="55"/>
      <c r="UTE2482" s="60"/>
      <c r="UTF2482" s="60"/>
      <c r="UTG2482" s="60"/>
      <c r="UTH2482" s="60"/>
      <c r="UTI2482" s="65"/>
      <c r="UTJ2482" s="61"/>
      <c r="UTK2482" s="55"/>
      <c r="UTL2482" s="55"/>
      <c r="UTM2482" s="60"/>
      <c r="UTN2482" s="60"/>
      <c r="UTO2482" s="60"/>
      <c r="UTP2482" s="60"/>
      <c r="UTQ2482" s="65"/>
      <c r="UTR2482" s="61"/>
      <c r="UTS2482" s="55"/>
      <c r="UTT2482" s="55"/>
      <c r="UTU2482" s="60"/>
      <c r="UTV2482" s="60"/>
      <c r="UTW2482" s="60"/>
      <c r="UTX2482" s="60"/>
      <c r="UTY2482" s="65"/>
      <c r="UTZ2482" s="61"/>
      <c r="UUA2482" s="55"/>
      <c r="UUB2482" s="55"/>
      <c r="UUC2482" s="60"/>
      <c r="UUD2482" s="60"/>
      <c r="UUE2482" s="60"/>
      <c r="UUF2482" s="60"/>
      <c r="UUG2482" s="65"/>
      <c r="UUH2482" s="61"/>
      <c r="UUI2482" s="55"/>
      <c r="UUJ2482" s="55"/>
      <c r="UUK2482" s="60"/>
      <c r="UUL2482" s="60"/>
      <c r="UUM2482" s="60"/>
      <c r="UUN2482" s="60"/>
      <c r="UUO2482" s="65"/>
      <c r="UUP2482" s="61"/>
      <c r="UUQ2482" s="55"/>
      <c r="UUR2482" s="55"/>
      <c r="UUS2482" s="60"/>
      <c r="UUT2482" s="60"/>
      <c r="UUU2482" s="60"/>
      <c r="UUV2482" s="60"/>
      <c r="UUW2482" s="65"/>
      <c r="UUX2482" s="61"/>
      <c r="UUY2482" s="55"/>
      <c r="UUZ2482" s="55"/>
      <c r="UVA2482" s="60"/>
      <c r="UVB2482" s="60"/>
      <c r="UVC2482" s="60"/>
      <c r="UVD2482" s="60"/>
      <c r="UVE2482" s="65"/>
      <c r="UVF2482" s="61"/>
      <c r="UVG2482" s="55"/>
      <c r="UVH2482" s="55"/>
      <c r="UVI2482" s="60"/>
      <c r="UVJ2482" s="60"/>
      <c r="UVK2482" s="60"/>
      <c r="UVL2482" s="60"/>
      <c r="UVM2482" s="65"/>
      <c r="UVN2482" s="61"/>
      <c r="UVO2482" s="55"/>
      <c r="UVP2482" s="55"/>
      <c r="UVQ2482" s="60"/>
      <c r="UVR2482" s="60"/>
      <c r="UVS2482" s="60"/>
      <c r="UVT2482" s="60"/>
      <c r="UVU2482" s="65"/>
      <c r="UVV2482" s="61"/>
      <c r="UVW2482" s="55"/>
      <c r="UVX2482" s="55"/>
      <c r="UVY2482" s="60"/>
      <c r="UVZ2482" s="60"/>
      <c r="UWA2482" s="60"/>
      <c r="UWB2482" s="60"/>
      <c r="UWC2482" s="65"/>
      <c r="UWD2482" s="61"/>
      <c r="UWE2482" s="55"/>
      <c r="UWF2482" s="55"/>
      <c r="UWG2482" s="60"/>
      <c r="UWH2482" s="60"/>
      <c r="UWI2482" s="60"/>
      <c r="UWJ2482" s="60"/>
      <c r="UWK2482" s="65"/>
      <c r="UWL2482" s="61"/>
      <c r="UWM2482" s="55"/>
      <c r="UWN2482" s="55"/>
      <c r="UWO2482" s="60"/>
      <c r="UWP2482" s="60"/>
      <c r="UWQ2482" s="60"/>
      <c r="UWR2482" s="60"/>
      <c r="UWS2482" s="65"/>
      <c r="UWT2482" s="61"/>
      <c r="UWU2482" s="55"/>
      <c r="UWV2482" s="55"/>
      <c r="UWW2482" s="60"/>
      <c r="UWX2482" s="60"/>
      <c r="UWY2482" s="60"/>
      <c r="UWZ2482" s="60"/>
      <c r="UXA2482" s="65"/>
      <c r="UXB2482" s="61"/>
      <c r="UXC2482" s="55"/>
      <c r="UXD2482" s="55"/>
      <c r="UXE2482" s="60"/>
      <c r="UXF2482" s="60"/>
      <c r="UXG2482" s="60"/>
      <c r="UXH2482" s="60"/>
      <c r="UXI2482" s="65"/>
      <c r="UXJ2482" s="61"/>
      <c r="UXK2482" s="55"/>
      <c r="UXL2482" s="55"/>
      <c r="UXM2482" s="60"/>
      <c r="UXN2482" s="60"/>
      <c r="UXO2482" s="60"/>
      <c r="UXP2482" s="60"/>
      <c r="UXQ2482" s="65"/>
      <c r="UXR2482" s="61"/>
      <c r="UXS2482" s="55"/>
      <c r="UXT2482" s="55"/>
      <c r="UXU2482" s="60"/>
      <c r="UXV2482" s="60"/>
      <c r="UXW2482" s="60"/>
      <c r="UXX2482" s="60"/>
      <c r="UXY2482" s="65"/>
      <c r="UXZ2482" s="61"/>
      <c r="UYA2482" s="55"/>
      <c r="UYB2482" s="55"/>
      <c r="UYC2482" s="60"/>
      <c r="UYD2482" s="60"/>
      <c r="UYE2482" s="60"/>
      <c r="UYF2482" s="60"/>
      <c r="UYG2482" s="65"/>
      <c r="UYH2482" s="61"/>
      <c r="UYI2482" s="55"/>
      <c r="UYJ2482" s="55"/>
      <c r="UYK2482" s="60"/>
      <c r="UYL2482" s="60"/>
      <c r="UYM2482" s="60"/>
      <c r="UYN2482" s="60"/>
      <c r="UYO2482" s="65"/>
      <c r="UYP2482" s="61"/>
      <c r="UYQ2482" s="55"/>
      <c r="UYR2482" s="55"/>
      <c r="UYS2482" s="60"/>
      <c r="UYT2482" s="60"/>
      <c r="UYU2482" s="60"/>
      <c r="UYV2482" s="60"/>
      <c r="UYW2482" s="65"/>
      <c r="UYX2482" s="61"/>
      <c r="UYY2482" s="55"/>
      <c r="UYZ2482" s="55"/>
      <c r="UZA2482" s="60"/>
      <c r="UZB2482" s="60"/>
      <c r="UZC2482" s="60"/>
      <c r="UZD2482" s="60"/>
      <c r="UZE2482" s="65"/>
      <c r="UZF2482" s="61"/>
      <c r="UZG2482" s="55"/>
      <c r="UZH2482" s="55"/>
      <c r="UZI2482" s="60"/>
      <c r="UZJ2482" s="60"/>
      <c r="UZK2482" s="60"/>
      <c r="UZL2482" s="60"/>
      <c r="UZM2482" s="65"/>
      <c r="UZN2482" s="61"/>
      <c r="UZO2482" s="55"/>
      <c r="UZP2482" s="55"/>
      <c r="UZQ2482" s="60"/>
      <c r="UZR2482" s="60"/>
      <c r="UZS2482" s="60"/>
      <c r="UZT2482" s="60"/>
      <c r="UZU2482" s="65"/>
      <c r="UZV2482" s="61"/>
      <c r="UZW2482" s="55"/>
      <c r="UZX2482" s="55"/>
      <c r="UZY2482" s="60"/>
      <c r="UZZ2482" s="60"/>
      <c r="VAA2482" s="60"/>
      <c r="VAB2482" s="60"/>
      <c r="VAC2482" s="65"/>
      <c r="VAD2482" s="61"/>
      <c r="VAE2482" s="55"/>
      <c r="VAF2482" s="55"/>
      <c r="VAG2482" s="60"/>
      <c r="VAH2482" s="60"/>
      <c r="VAI2482" s="60"/>
      <c r="VAJ2482" s="60"/>
      <c r="VAK2482" s="65"/>
      <c r="VAL2482" s="61"/>
      <c r="VAM2482" s="55"/>
      <c r="VAN2482" s="55"/>
      <c r="VAO2482" s="60"/>
      <c r="VAP2482" s="60"/>
      <c r="VAQ2482" s="60"/>
      <c r="VAR2482" s="60"/>
      <c r="VAS2482" s="65"/>
      <c r="VAT2482" s="61"/>
      <c r="VAU2482" s="55"/>
      <c r="VAV2482" s="55"/>
      <c r="VAW2482" s="60"/>
      <c r="VAX2482" s="60"/>
      <c r="VAY2482" s="60"/>
      <c r="VAZ2482" s="60"/>
      <c r="VBA2482" s="65"/>
      <c r="VBB2482" s="61"/>
      <c r="VBC2482" s="55"/>
      <c r="VBD2482" s="55"/>
      <c r="VBE2482" s="60"/>
      <c r="VBF2482" s="60"/>
      <c r="VBG2482" s="60"/>
      <c r="VBH2482" s="60"/>
      <c r="VBI2482" s="65"/>
      <c r="VBJ2482" s="61"/>
      <c r="VBK2482" s="55"/>
      <c r="VBL2482" s="55"/>
      <c r="VBM2482" s="60"/>
      <c r="VBN2482" s="60"/>
      <c r="VBO2482" s="60"/>
      <c r="VBP2482" s="60"/>
      <c r="VBQ2482" s="65"/>
      <c r="VBR2482" s="61"/>
      <c r="VBS2482" s="55"/>
      <c r="VBT2482" s="55"/>
      <c r="VBU2482" s="60"/>
      <c r="VBV2482" s="60"/>
      <c r="VBW2482" s="60"/>
      <c r="VBX2482" s="60"/>
      <c r="VBY2482" s="65"/>
      <c r="VBZ2482" s="61"/>
      <c r="VCA2482" s="55"/>
      <c r="VCB2482" s="55"/>
      <c r="VCC2482" s="60"/>
      <c r="VCD2482" s="60"/>
      <c r="VCE2482" s="60"/>
      <c r="VCF2482" s="60"/>
      <c r="VCG2482" s="65"/>
      <c r="VCH2482" s="61"/>
      <c r="VCI2482" s="55"/>
      <c r="VCJ2482" s="55"/>
      <c r="VCK2482" s="60"/>
      <c r="VCL2482" s="60"/>
      <c r="VCM2482" s="60"/>
      <c r="VCN2482" s="60"/>
      <c r="VCO2482" s="65"/>
      <c r="VCP2482" s="61"/>
      <c r="VCQ2482" s="55"/>
      <c r="VCR2482" s="55"/>
      <c r="VCS2482" s="60"/>
      <c r="VCT2482" s="60"/>
      <c r="VCU2482" s="60"/>
      <c r="VCV2482" s="60"/>
      <c r="VCW2482" s="65"/>
      <c r="VCX2482" s="61"/>
      <c r="VCY2482" s="55"/>
      <c r="VCZ2482" s="55"/>
      <c r="VDA2482" s="60"/>
      <c r="VDB2482" s="60"/>
      <c r="VDC2482" s="60"/>
      <c r="VDD2482" s="60"/>
      <c r="VDE2482" s="65"/>
      <c r="VDF2482" s="61"/>
      <c r="VDG2482" s="55"/>
      <c r="VDH2482" s="55"/>
      <c r="VDI2482" s="60"/>
      <c r="VDJ2482" s="60"/>
      <c r="VDK2482" s="60"/>
      <c r="VDL2482" s="60"/>
      <c r="VDM2482" s="65"/>
      <c r="VDN2482" s="61"/>
      <c r="VDO2482" s="55"/>
      <c r="VDP2482" s="55"/>
      <c r="VDQ2482" s="60"/>
      <c r="VDR2482" s="60"/>
      <c r="VDS2482" s="60"/>
      <c r="VDT2482" s="60"/>
      <c r="VDU2482" s="65"/>
      <c r="VDV2482" s="61"/>
      <c r="VDW2482" s="55"/>
      <c r="VDX2482" s="55"/>
      <c r="VDY2482" s="60"/>
      <c r="VDZ2482" s="60"/>
      <c r="VEA2482" s="60"/>
      <c r="VEB2482" s="60"/>
      <c r="VEC2482" s="65"/>
      <c r="VED2482" s="61"/>
      <c r="VEE2482" s="55"/>
      <c r="VEF2482" s="55"/>
      <c r="VEG2482" s="60"/>
      <c r="VEH2482" s="60"/>
      <c r="VEI2482" s="60"/>
      <c r="VEJ2482" s="60"/>
      <c r="VEK2482" s="65"/>
      <c r="VEL2482" s="61"/>
      <c r="VEM2482" s="55"/>
      <c r="VEN2482" s="55"/>
      <c r="VEO2482" s="60"/>
      <c r="VEP2482" s="60"/>
      <c r="VEQ2482" s="60"/>
      <c r="VER2482" s="60"/>
      <c r="VES2482" s="65"/>
      <c r="VET2482" s="61"/>
      <c r="VEU2482" s="55"/>
      <c r="VEV2482" s="55"/>
      <c r="VEW2482" s="60"/>
      <c r="VEX2482" s="60"/>
      <c r="VEY2482" s="60"/>
      <c r="VEZ2482" s="60"/>
      <c r="VFA2482" s="65"/>
      <c r="VFB2482" s="61"/>
      <c r="VFC2482" s="55"/>
      <c r="VFD2482" s="55"/>
      <c r="VFE2482" s="60"/>
      <c r="VFF2482" s="60"/>
      <c r="VFG2482" s="60"/>
      <c r="VFH2482" s="60"/>
      <c r="VFI2482" s="65"/>
      <c r="VFJ2482" s="61"/>
      <c r="VFK2482" s="55"/>
      <c r="VFL2482" s="55"/>
      <c r="VFM2482" s="60"/>
      <c r="VFN2482" s="60"/>
      <c r="VFO2482" s="60"/>
      <c r="VFP2482" s="60"/>
      <c r="VFQ2482" s="65"/>
      <c r="VFR2482" s="61"/>
      <c r="VFS2482" s="55"/>
      <c r="VFT2482" s="55"/>
      <c r="VFU2482" s="60"/>
      <c r="VFV2482" s="60"/>
      <c r="VFW2482" s="60"/>
      <c r="VFX2482" s="60"/>
      <c r="VFY2482" s="65"/>
      <c r="VFZ2482" s="61"/>
      <c r="VGA2482" s="55"/>
      <c r="VGB2482" s="55"/>
      <c r="VGC2482" s="60"/>
      <c r="VGD2482" s="60"/>
      <c r="VGE2482" s="60"/>
      <c r="VGF2482" s="60"/>
      <c r="VGG2482" s="65"/>
      <c r="VGH2482" s="61"/>
      <c r="VGI2482" s="55"/>
      <c r="VGJ2482" s="55"/>
      <c r="VGK2482" s="60"/>
      <c r="VGL2482" s="60"/>
      <c r="VGM2482" s="60"/>
      <c r="VGN2482" s="60"/>
      <c r="VGO2482" s="65"/>
      <c r="VGP2482" s="61"/>
      <c r="VGQ2482" s="55"/>
      <c r="VGR2482" s="55"/>
      <c r="VGS2482" s="60"/>
      <c r="VGT2482" s="60"/>
      <c r="VGU2482" s="60"/>
      <c r="VGV2482" s="60"/>
      <c r="VGW2482" s="65"/>
      <c r="VGX2482" s="61"/>
      <c r="VGY2482" s="55"/>
      <c r="VGZ2482" s="55"/>
      <c r="VHA2482" s="60"/>
      <c r="VHB2482" s="60"/>
      <c r="VHC2482" s="60"/>
      <c r="VHD2482" s="60"/>
      <c r="VHE2482" s="65"/>
      <c r="VHF2482" s="61"/>
      <c r="VHG2482" s="55"/>
      <c r="VHH2482" s="55"/>
      <c r="VHI2482" s="60"/>
      <c r="VHJ2482" s="60"/>
      <c r="VHK2482" s="60"/>
      <c r="VHL2482" s="60"/>
      <c r="VHM2482" s="65"/>
      <c r="VHN2482" s="61"/>
      <c r="VHO2482" s="55"/>
      <c r="VHP2482" s="55"/>
      <c r="VHQ2482" s="60"/>
      <c r="VHR2482" s="60"/>
      <c r="VHS2482" s="60"/>
      <c r="VHT2482" s="60"/>
      <c r="VHU2482" s="65"/>
      <c r="VHV2482" s="61"/>
      <c r="VHW2482" s="55"/>
      <c r="VHX2482" s="55"/>
      <c r="VHY2482" s="60"/>
      <c r="VHZ2482" s="60"/>
      <c r="VIA2482" s="60"/>
      <c r="VIB2482" s="60"/>
      <c r="VIC2482" s="65"/>
      <c r="VID2482" s="61"/>
      <c r="VIE2482" s="55"/>
      <c r="VIF2482" s="55"/>
      <c r="VIG2482" s="60"/>
      <c r="VIH2482" s="60"/>
      <c r="VII2482" s="60"/>
      <c r="VIJ2482" s="60"/>
      <c r="VIK2482" s="65"/>
      <c r="VIL2482" s="61"/>
      <c r="VIM2482" s="55"/>
      <c r="VIN2482" s="55"/>
      <c r="VIO2482" s="60"/>
      <c r="VIP2482" s="60"/>
      <c r="VIQ2482" s="60"/>
      <c r="VIR2482" s="60"/>
      <c r="VIS2482" s="65"/>
      <c r="VIT2482" s="61"/>
      <c r="VIU2482" s="55"/>
      <c r="VIV2482" s="55"/>
      <c r="VIW2482" s="60"/>
      <c r="VIX2482" s="60"/>
      <c r="VIY2482" s="60"/>
      <c r="VIZ2482" s="60"/>
      <c r="VJA2482" s="65"/>
      <c r="VJB2482" s="61"/>
      <c r="VJC2482" s="55"/>
      <c r="VJD2482" s="55"/>
      <c r="VJE2482" s="60"/>
      <c r="VJF2482" s="60"/>
      <c r="VJG2482" s="60"/>
      <c r="VJH2482" s="60"/>
      <c r="VJI2482" s="65"/>
      <c r="VJJ2482" s="61"/>
      <c r="VJK2482" s="55"/>
      <c r="VJL2482" s="55"/>
      <c r="VJM2482" s="60"/>
      <c r="VJN2482" s="60"/>
      <c r="VJO2482" s="60"/>
      <c r="VJP2482" s="60"/>
      <c r="VJQ2482" s="65"/>
      <c r="VJR2482" s="61"/>
      <c r="VJS2482" s="55"/>
      <c r="VJT2482" s="55"/>
      <c r="VJU2482" s="60"/>
      <c r="VJV2482" s="60"/>
      <c r="VJW2482" s="60"/>
      <c r="VJX2482" s="60"/>
      <c r="VJY2482" s="65"/>
      <c r="VJZ2482" s="61"/>
      <c r="VKA2482" s="55"/>
      <c r="VKB2482" s="55"/>
      <c r="VKC2482" s="60"/>
      <c r="VKD2482" s="60"/>
      <c r="VKE2482" s="60"/>
      <c r="VKF2482" s="60"/>
      <c r="VKG2482" s="65"/>
      <c r="VKH2482" s="61"/>
      <c r="VKI2482" s="55"/>
      <c r="VKJ2482" s="55"/>
      <c r="VKK2482" s="60"/>
      <c r="VKL2482" s="60"/>
      <c r="VKM2482" s="60"/>
      <c r="VKN2482" s="60"/>
      <c r="VKO2482" s="65"/>
      <c r="VKP2482" s="61"/>
      <c r="VKQ2482" s="55"/>
      <c r="VKR2482" s="55"/>
      <c r="VKS2482" s="60"/>
      <c r="VKT2482" s="60"/>
      <c r="VKU2482" s="60"/>
      <c r="VKV2482" s="60"/>
      <c r="VKW2482" s="65"/>
      <c r="VKX2482" s="61"/>
      <c r="VKY2482" s="55"/>
      <c r="VKZ2482" s="55"/>
      <c r="VLA2482" s="60"/>
      <c r="VLB2482" s="60"/>
      <c r="VLC2482" s="60"/>
      <c r="VLD2482" s="60"/>
      <c r="VLE2482" s="65"/>
      <c r="VLF2482" s="61"/>
      <c r="VLG2482" s="55"/>
      <c r="VLH2482" s="55"/>
      <c r="VLI2482" s="60"/>
      <c r="VLJ2482" s="60"/>
      <c r="VLK2482" s="60"/>
      <c r="VLL2482" s="60"/>
      <c r="VLM2482" s="65"/>
      <c r="VLN2482" s="61"/>
      <c r="VLO2482" s="55"/>
      <c r="VLP2482" s="55"/>
      <c r="VLQ2482" s="60"/>
      <c r="VLR2482" s="60"/>
      <c r="VLS2482" s="60"/>
      <c r="VLT2482" s="60"/>
      <c r="VLU2482" s="65"/>
      <c r="VLV2482" s="61"/>
      <c r="VLW2482" s="55"/>
      <c r="VLX2482" s="55"/>
      <c r="VLY2482" s="60"/>
      <c r="VLZ2482" s="60"/>
      <c r="VMA2482" s="60"/>
      <c r="VMB2482" s="60"/>
      <c r="VMC2482" s="65"/>
      <c r="VMD2482" s="61"/>
      <c r="VME2482" s="55"/>
      <c r="VMF2482" s="55"/>
      <c r="VMG2482" s="60"/>
      <c r="VMH2482" s="60"/>
      <c r="VMI2482" s="60"/>
      <c r="VMJ2482" s="60"/>
      <c r="VMK2482" s="65"/>
      <c r="VML2482" s="61"/>
      <c r="VMM2482" s="55"/>
      <c r="VMN2482" s="55"/>
      <c r="VMO2482" s="60"/>
      <c r="VMP2482" s="60"/>
      <c r="VMQ2482" s="60"/>
      <c r="VMR2482" s="60"/>
      <c r="VMS2482" s="65"/>
      <c r="VMT2482" s="61"/>
      <c r="VMU2482" s="55"/>
      <c r="VMV2482" s="55"/>
      <c r="VMW2482" s="60"/>
      <c r="VMX2482" s="60"/>
      <c r="VMY2482" s="60"/>
      <c r="VMZ2482" s="60"/>
      <c r="VNA2482" s="65"/>
      <c r="VNB2482" s="61"/>
      <c r="VNC2482" s="55"/>
      <c r="VND2482" s="55"/>
      <c r="VNE2482" s="60"/>
      <c r="VNF2482" s="60"/>
      <c r="VNG2482" s="60"/>
      <c r="VNH2482" s="60"/>
      <c r="VNI2482" s="65"/>
      <c r="VNJ2482" s="61"/>
      <c r="VNK2482" s="55"/>
      <c r="VNL2482" s="55"/>
      <c r="VNM2482" s="60"/>
      <c r="VNN2482" s="60"/>
      <c r="VNO2482" s="60"/>
      <c r="VNP2482" s="60"/>
      <c r="VNQ2482" s="65"/>
      <c r="VNR2482" s="61"/>
      <c r="VNS2482" s="55"/>
      <c r="VNT2482" s="55"/>
      <c r="VNU2482" s="60"/>
      <c r="VNV2482" s="60"/>
      <c r="VNW2482" s="60"/>
      <c r="VNX2482" s="60"/>
      <c r="VNY2482" s="65"/>
      <c r="VNZ2482" s="61"/>
      <c r="VOA2482" s="55"/>
      <c r="VOB2482" s="55"/>
      <c r="VOC2482" s="60"/>
      <c r="VOD2482" s="60"/>
      <c r="VOE2482" s="60"/>
      <c r="VOF2482" s="60"/>
      <c r="VOG2482" s="65"/>
      <c r="VOH2482" s="61"/>
      <c r="VOI2482" s="55"/>
      <c r="VOJ2482" s="55"/>
      <c r="VOK2482" s="60"/>
      <c r="VOL2482" s="60"/>
      <c r="VOM2482" s="60"/>
      <c r="VON2482" s="60"/>
      <c r="VOO2482" s="65"/>
      <c r="VOP2482" s="61"/>
      <c r="VOQ2482" s="55"/>
      <c r="VOR2482" s="55"/>
      <c r="VOS2482" s="60"/>
      <c r="VOT2482" s="60"/>
      <c r="VOU2482" s="60"/>
      <c r="VOV2482" s="60"/>
      <c r="VOW2482" s="65"/>
      <c r="VOX2482" s="61"/>
      <c r="VOY2482" s="55"/>
      <c r="VOZ2482" s="55"/>
      <c r="VPA2482" s="60"/>
      <c r="VPB2482" s="60"/>
      <c r="VPC2482" s="60"/>
      <c r="VPD2482" s="60"/>
      <c r="VPE2482" s="65"/>
      <c r="VPF2482" s="61"/>
      <c r="VPG2482" s="55"/>
      <c r="VPH2482" s="55"/>
      <c r="VPI2482" s="60"/>
      <c r="VPJ2482" s="60"/>
      <c r="VPK2482" s="60"/>
      <c r="VPL2482" s="60"/>
      <c r="VPM2482" s="65"/>
      <c r="VPN2482" s="61"/>
      <c r="VPO2482" s="55"/>
      <c r="VPP2482" s="55"/>
      <c r="VPQ2482" s="60"/>
      <c r="VPR2482" s="60"/>
      <c r="VPS2482" s="60"/>
      <c r="VPT2482" s="60"/>
      <c r="VPU2482" s="65"/>
      <c r="VPV2482" s="61"/>
      <c r="VPW2482" s="55"/>
      <c r="VPX2482" s="55"/>
      <c r="VPY2482" s="60"/>
      <c r="VPZ2482" s="60"/>
      <c r="VQA2482" s="60"/>
      <c r="VQB2482" s="60"/>
      <c r="VQC2482" s="65"/>
      <c r="VQD2482" s="61"/>
      <c r="VQE2482" s="55"/>
      <c r="VQF2482" s="55"/>
      <c r="VQG2482" s="60"/>
      <c r="VQH2482" s="60"/>
      <c r="VQI2482" s="60"/>
      <c r="VQJ2482" s="60"/>
      <c r="VQK2482" s="65"/>
      <c r="VQL2482" s="61"/>
      <c r="VQM2482" s="55"/>
      <c r="VQN2482" s="55"/>
      <c r="VQO2482" s="60"/>
      <c r="VQP2482" s="60"/>
      <c r="VQQ2482" s="60"/>
      <c r="VQR2482" s="60"/>
      <c r="VQS2482" s="65"/>
      <c r="VQT2482" s="61"/>
      <c r="VQU2482" s="55"/>
      <c r="VQV2482" s="55"/>
      <c r="VQW2482" s="60"/>
      <c r="VQX2482" s="60"/>
      <c r="VQY2482" s="60"/>
      <c r="VQZ2482" s="60"/>
      <c r="VRA2482" s="65"/>
      <c r="VRB2482" s="61"/>
      <c r="VRC2482" s="55"/>
      <c r="VRD2482" s="55"/>
      <c r="VRE2482" s="60"/>
      <c r="VRF2482" s="60"/>
      <c r="VRG2482" s="60"/>
      <c r="VRH2482" s="60"/>
      <c r="VRI2482" s="65"/>
      <c r="VRJ2482" s="61"/>
      <c r="VRK2482" s="55"/>
      <c r="VRL2482" s="55"/>
      <c r="VRM2482" s="60"/>
      <c r="VRN2482" s="60"/>
      <c r="VRO2482" s="60"/>
      <c r="VRP2482" s="60"/>
      <c r="VRQ2482" s="65"/>
      <c r="VRR2482" s="61"/>
      <c r="VRS2482" s="55"/>
      <c r="VRT2482" s="55"/>
      <c r="VRU2482" s="60"/>
      <c r="VRV2482" s="60"/>
      <c r="VRW2482" s="60"/>
      <c r="VRX2482" s="60"/>
      <c r="VRY2482" s="65"/>
      <c r="VRZ2482" s="61"/>
      <c r="VSA2482" s="55"/>
      <c r="VSB2482" s="55"/>
      <c r="VSC2482" s="60"/>
      <c r="VSD2482" s="60"/>
      <c r="VSE2482" s="60"/>
      <c r="VSF2482" s="60"/>
      <c r="VSG2482" s="65"/>
      <c r="VSH2482" s="61"/>
      <c r="VSI2482" s="55"/>
      <c r="VSJ2482" s="55"/>
      <c r="VSK2482" s="60"/>
      <c r="VSL2482" s="60"/>
      <c r="VSM2482" s="60"/>
      <c r="VSN2482" s="60"/>
      <c r="VSO2482" s="65"/>
      <c r="VSP2482" s="61"/>
      <c r="VSQ2482" s="55"/>
      <c r="VSR2482" s="55"/>
      <c r="VSS2482" s="60"/>
      <c r="VST2482" s="60"/>
      <c r="VSU2482" s="60"/>
      <c r="VSV2482" s="60"/>
      <c r="VSW2482" s="65"/>
      <c r="VSX2482" s="61"/>
      <c r="VSY2482" s="55"/>
      <c r="VSZ2482" s="55"/>
      <c r="VTA2482" s="60"/>
      <c r="VTB2482" s="60"/>
      <c r="VTC2482" s="60"/>
      <c r="VTD2482" s="60"/>
      <c r="VTE2482" s="65"/>
      <c r="VTF2482" s="61"/>
      <c r="VTG2482" s="55"/>
      <c r="VTH2482" s="55"/>
      <c r="VTI2482" s="60"/>
      <c r="VTJ2482" s="60"/>
      <c r="VTK2482" s="60"/>
      <c r="VTL2482" s="60"/>
      <c r="VTM2482" s="65"/>
      <c r="VTN2482" s="61"/>
      <c r="VTO2482" s="55"/>
      <c r="VTP2482" s="55"/>
      <c r="VTQ2482" s="60"/>
      <c r="VTR2482" s="60"/>
      <c r="VTS2482" s="60"/>
      <c r="VTT2482" s="60"/>
      <c r="VTU2482" s="65"/>
      <c r="VTV2482" s="61"/>
      <c r="VTW2482" s="55"/>
      <c r="VTX2482" s="55"/>
      <c r="VTY2482" s="60"/>
      <c r="VTZ2482" s="60"/>
      <c r="VUA2482" s="60"/>
      <c r="VUB2482" s="60"/>
      <c r="VUC2482" s="65"/>
      <c r="VUD2482" s="61"/>
      <c r="VUE2482" s="55"/>
      <c r="VUF2482" s="55"/>
      <c r="VUG2482" s="60"/>
      <c r="VUH2482" s="60"/>
      <c r="VUI2482" s="60"/>
      <c r="VUJ2482" s="60"/>
      <c r="VUK2482" s="65"/>
      <c r="VUL2482" s="61"/>
      <c r="VUM2482" s="55"/>
      <c r="VUN2482" s="55"/>
      <c r="VUO2482" s="60"/>
      <c r="VUP2482" s="60"/>
      <c r="VUQ2482" s="60"/>
      <c r="VUR2482" s="60"/>
      <c r="VUS2482" s="65"/>
      <c r="VUT2482" s="61"/>
      <c r="VUU2482" s="55"/>
      <c r="VUV2482" s="55"/>
      <c r="VUW2482" s="60"/>
      <c r="VUX2482" s="60"/>
      <c r="VUY2482" s="60"/>
      <c r="VUZ2482" s="60"/>
      <c r="VVA2482" s="65"/>
      <c r="VVB2482" s="61"/>
      <c r="VVC2482" s="55"/>
      <c r="VVD2482" s="55"/>
      <c r="VVE2482" s="60"/>
      <c r="VVF2482" s="60"/>
      <c r="VVG2482" s="60"/>
      <c r="VVH2482" s="60"/>
      <c r="VVI2482" s="65"/>
      <c r="VVJ2482" s="61"/>
      <c r="VVK2482" s="55"/>
      <c r="VVL2482" s="55"/>
      <c r="VVM2482" s="60"/>
      <c r="VVN2482" s="60"/>
      <c r="VVO2482" s="60"/>
      <c r="VVP2482" s="60"/>
      <c r="VVQ2482" s="65"/>
      <c r="VVR2482" s="61"/>
      <c r="VVS2482" s="55"/>
      <c r="VVT2482" s="55"/>
      <c r="VVU2482" s="60"/>
      <c r="VVV2482" s="60"/>
      <c r="VVW2482" s="60"/>
      <c r="VVX2482" s="60"/>
      <c r="VVY2482" s="65"/>
      <c r="VVZ2482" s="61"/>
      <c r="VWA2482" s="55"/>
      <c r="VWB2482" s="55"/>
      <c r="VWC2482" s="60"/>
      <c r="VWD2482" s="60"/>
      <c r="VWE2482" s="60"/>
      <c r="VWF2482" s="60"/>
      <c r="VWG2482" s="65"/>
      <c r="VWH2482" s="61"/>
      <c r="VWI2482" s="55"/>
      <c r="VWJ2482" s="55"/>
      <c r="VWK2482" s="60"/>
      <c r="VWL2482" s="60"/>
      <c r="VWM2482" s="60"/>
      <c r="VWN2482" s="60"/>
      <c r="VWO2482" s="65"/>
      <c r="VWP2482" s="61"/>
      <c r="VWQ2482" s="55"/>
      <c r="VWR2482" s="55"/>
      <c r="VWS2482" s="60"/>
      <c r="VWT2482" s="60"/>
      <c r="VWU2482" s="60"/>
      <c r="VWV2482" s="60"/>
      <c r="VWW2482" s="65"/>
      <c r="VWX2482" s="61"/>
      <c r="VWY2482" s="55"/>
      <c r="VWZ2482" s="55"/>
      <c r="VXA2482" s="60"/>
      <c r="VXB2482" s="60"/>
      <c r="VXC2482" s="60"/>
      <c r="VXD2482" s="60"/>
      <c r="VXE2482" s="65"/>
      <c r="VXF2482" s="61"/>
      <c r="VXG2482" s="55"/>
      <c r="VXH2482" s="55"/>
      <c r="VXI2482" s="60"/>
      <c r="VXJ2482" s="60"/>
      <c r="VXK2482" s="60"/>
      <c r="VXL2482" s="60"/>
      <c r="VXM2482" s="65"/>
      <c r="VXN2482" s="61"/>
      <c r="VXO2482" s="55"/>
      <c r="VXP2482" s="55"/>
      <c r="VXQ2482" s="60"/>
      <c r="VXR2482" s="60"/>
      <c r="VXS2482" s="60"/>
      <c r="VXT2482" s="60"/>
      <c r="VXU2482" s="65"/>
      <c r="VXV2482" s="61"/>
      <c r="VXW2482" s="55"/>
      <c r="VXX2482" s="55"/>
      <c r="VXY2482" s="60"/>
      <c r="VXZ2482" s="60"/>
      <c r="VYA2482" s="60"/>
      <c r="VYB2482" s="60"/>
      <c r="VYC2482" s="65"/>
      <c r="VYD2482" s="61"/>
      <c r="VYE2482" s="55"/>
      <c r="VYF2482" s="55"/>
      <c r="VYG2482" s="60"/>
      <c r="VYH2482" s="60"/>
      <c r="VYI2482" s="60"/>
      <c r="VYJ2482" s="60"/>
      <c r="VYK2482" s="65"/>
      <c r="VYL2482" s="61"/>
      <c r="VYM2482" s="55"/>
      <c r="VYN2482" s="55"/>
      <c r="VYO2482" s="60"/>
      <c r="VYP2482" s="60"/>
      <c r="VYQ2482" s="60"/>
      <c r="VYR2482" s="60"/>
      <c r="VYS2482" s="65"/>
      <c r="VYT2482" s="61"/>
      <c r="VYU2482" s="55"/>
      <c r="VYV2482" s="55"/>
      <c r="VYW2482" s="60"/>
      <c r="VYX2482" s="60"/>
      <c r="VYY2482" s="60"/>
      <c r="VYZ2482" s="60"/>
      <c r="VZA2482" s="65"/>
      <c r="VZB2482" s="61"/>
      <c r="VZC2482" s="55"/>
      <c r="VZD2482" s="55"/>
      <c r="VZE2482" s="60"/>
      <c r="VZF2482" s="60"/>
      <c r="VZG2482" s="60"/>
      <c r="VZH2482" s="60"/>
      <c r="VZI2482" s="65"/>
      <c r="VZJ2482" s="61"/>
      <c r="VZK2482" s="55"/>
      <c r="VZL2482" s="55"/>
      <c r="VZM2482" s="60"/>
      <c r="VZN2482" s="60"/>
      <c r="VZO2482" s="60"/>
      <c r="VZP2482" s="60"/>
      <c r="VZQ2482" s="65"/>
      <c r="VZR2482" s="61"/>
      <c r="VZS2482" s="55"/>
      <c r="VZT2482" s="55"/>
      <c r="VZU2482" s="60"/>
      <c r="VZV2482" s="60"/>
      <c r="VZW2482" s="60"/>
      <c r="VZX2482" s="60"/>
      <c r="VZY2482" s="65"/>
      <c r="VZZ2482" s="61"/>
      <c r="WAA2482" s="55"/>
      <c r="WAB2482" s="55"/>
      <c r="WAC2482" s="60"/>
      <c r="WAD2482" s="60"/>
      <c r="WAE2482" s="60"/>
      <c r="WAF2482" s="60"/>
      <c r="WAG2482" s="65"/>
      <c r="WAH2482" s="61"/>
      <c r="WAI2482" s="55"/>
      <c r="WAJ2482" s="55"/>
      <c r="WAK2482" s="60"/>
      <c r="WAL2482" s="60"/>
      <c r="WAM2482" s="60"/>
      <c r="WAN2482" s="60"/>
      <c r="WAO2482" s="65"/>
      <c r="WAP2482" s="61"/>
      <c r="WAQ2482" s="55"/>
      <c r="WAR2482" s="55"/>
      <c r="WAS2482" s="60"/>
      <c r="WAT2482" s="60"/>
      <c r="WAU2482" s="60"/>
      <c r="WAV2482" s="60"/>
      <c r="WAW2482" s="65"/>
      <c r="WAX2482" s="61"/>
      <c r="WAY2482" s="55"/>
      <c r="WAZ2482" s="55"/>
      <c r="WBA2482" s="60"/>
      <c r="WBB2482" s="60"/>
      <c r="WBC2482" s="60"/>
      <c r="WBD2482" s="60"/>
      <c r="WBE2482" s="65"/>
      <c r="WBF2482" s="61"/>
      <c r="WBG2482" s="55"/>
      <c r="WBH2482" s="55"/>
      <c r="WBI2482" s="60"/>
      <c r="WBJ2482" s="60"/>
      <c r="WBK2482" s="60"/>
      <c r="WBL2482" s="60"/>
      <c r="WBM2482" s="65"/>
      <c r="WBN2482" s="61"/>
      <c r="WBO2482" s="55"/>
      <c r="WBP2482" s="55"/>
      <c r="WBQ2482" s="60"/>
      <c r="WBR2482" s="60"/>
      <c r="WBS2482" s="60"/>
      <c r="WBT2482" s="60"/>
      <c r="WBU2482" s="65"/>
      <c r="WBV2482" s="61"/>
      <c r="WBW2482" s="55"/>
      <c r="WBX2482" s="55"/>
      <c r="WBY2482" s="60"/>
      <c r="WBZ2482" s="60"/>
      <c r="WCA2482" s="60"/>
      <c r="WCB2482" s="60"/>
      <c r="WCC2482" s="65"/>
      <c r="WCD2482" s="61"/>
      <c r="WCE2482" s="55"/>
      <c r="WCF2482" s="55"/>
      <c r="WCG2482" s="60"/>
      <c r="WCH2482" s="60"/>
      <c r="WCI2482" s="60"/>
      <c r="WCJ2482" s="60"/>
      <c r="WCK2482" s="65"/>
      <c r="WCL2482" s="61"/>
      <c r="WCM2482" s="55"/>
      <c r="WCN2482" s="55"/>
      <c r="WCO2482" s="60"/>
      <c r="WCP2482" s="60"/>
      <c r="WCQ2482" s="60"/>
      <c r="WCR2482" s="60"/>
      <c r="WCS2482" s="65"/>
      <c r="WCT2482" s="61"/>
      <c r="WCU2482" s="55"/>
      <c r="WCV2482" s="55"/>
      <c r="WCW2482" s="60"/>
      <c r="WCX2482" s="60"/>
      <c r="WCY2482" s="60"/>
      <c r="WCZ2482" s="60"/>
      <c r="WDA2482" s="65"/>
      <c r="WDB2482" s="61"/>
      <c r="WDC2482" s="55"/>
      <c r="WDD2482" s="55"/>
      <c r="WDE2482" s="60"/>
      <c r="WDF2482" s="60"/>
      <c r="WDG2482" s="60"/>
      <c r="WDH2482" s="60"/>
      <c r="WDI2482" s="65"/>
      <c r="WDJ2482" s="61"/>
      <c r="WDK2482" s="55"/>
      <c r="WDL2482" s="55"/>
      <c r="WDM2482" s="60"/>
      <c r="WDN2482" s="60"/>
      <c r="WDO2482" s="60"/>
      <c r="WDP2482" s="60"/>
      <c r="WDQ2482" s="65"/>
      <c r="WDR2482" s="61"/>
      <c r="WDS2482" s="55"/>
      <c r="WDT2482" s="55"/>
      <c r="WDU2482" s="60"/>
      <c r="WDV2482" s="60"/>
      <c r="WDW2482" s="60"/>
      <c r="WDX2482" s="60"/>
      <c r="WDY2482" s="65"/>
      <c r="WDZ2482" s="61"/>
      <c r="WEA2482" s="55"/>
      <c r="WEB2482" s="55"/>
      <c r="WEC2482" s="60"/>
      <c r="WED2482" s="60"/>
      <c r="WEE2482" s="60"/>
      <c r="WEF2482" s="60"/>
      <c r="WEG2482" s="65"/>
      <c r="WEH2482" s="61"/>
      <c r="WEI2482" s="55"/>
      <c r="WEJ2482" s="55"/>
      <c r="WEK2482" s="60"/>
      <c r="WEL2482" s="60"/>
      <c r="WEM2482" s="60"/>
      <c r="WEN2482" s="60"/>
      <c r="WEO2482" s="65"/>
      <c r="WEP2482" s="61"/>
      <c r="WEQ2482" s="55"/>
      <c r="WER2482" s="55"/>
      <c r="WES2482" s="60"/>
      <c r="WET2482" s="60"/>
      <c r="WEU2482" s="60"/>
      <c r="WEV2482" s="60"/>
      <c r="WEW2482" s="65"/>
      <c r="WEX2482" s="61"/>
      <c r="WEY2482" s="55"/>
      <c r="WEZ2482" s="55"/>
      <c r="WFA2482" s="60"/>
      <c r="WFB2482" s="60"/>
      <c r="WFC2482" s="60"/>
      <c r="WFD2482" s="60"/>
      <c r="WFE2482" s="65"/>
      <c r="WFF2482" s="61"/>
      <c r="WFG2482" s="55"/>
      <c r="WFH2482" s="55"/>
      <c r="WFI2482" s="60"/>
      <c r="WFJ2482" s="60"/>
      <c r="WFK2482" s="60"/>
      <c r="WFL2482" s="60"/>
      <c r="WFM2482" s="65"/>
      <c r="WFN2482" s="61"/>
      <c r="WFO2482" s="55"/>
      <c r="WFP2482" s="55"/>
      <c r="WFQ2482" s="60"/>
      <c r="WFR2482" s="60"/>
      <c r="WFS2482" s="60"/>
      <c r="WFT2482" s="60"/>
      <c r="WFU2482" s="65"/>
      <c r="WFV2482" s="61"/>
      <c r="WFW2482" s="55"/>
      <c r="WFX2482" s="55"/>
      <c r="WFY2482" s="60"/>
      <c r="WFZ2482" s="60"/>
      <c r="WGA2482" s="60"/>
      <c r="WGB2482" s="60"/>
      <c r="WGC2482" s="65"/>
      <c r="WGD2482" s="61"/>
      <c r="WGE2482" s="55"/>
      <c r="WGF2482" s="55"/>
      <c r="WGG2482" s="60"/>
      <c r="WGH2482" s="60"/>
      <c r="WGI2482" s="60"/>
      <c r="WGJ2482" s="60"/>
      <c r="WGK2482" s="65"/>
      <c r="WGL2482" s="61"/>
      <c r="WGM2482" s="55"/>
      <c r="WGN2482" s="55"/>
      <c r="WGO2482" s="60"/>
      <c r="WGP2482" s="60"/>
      <c r="WGQ2482" s="60"/>
      <c r="WGR2482" s="60"/>
      <c r="WGS2482" s="65"/>
      <c r="WGT2482" s="61"/>
      <c r="WGU2482" s="55"/>
      <c r="WGV2482" s="55"/>
      <c r="WGW2482" s="60"/>
      <c r="WGX2482" s="60"/>
      <c r="WGY2482" s="60"/>
      <c r="WGZ2482" s="60"/>
      <c r="WHA2482" s="65"/>
      <c r="WHB2482" s="61"/>
      <c r="WHC2482" s="55"/>
      <c r="WHD2482" s="55"/>
      <c r="WHE2482" s="60"/>
      <c r="WHF2482" s="60"/>
      <c r="WHG2482" s="60"/>
      <c r="WHH2482" s="60"/>
      <c r="WHI2482" s="65"/>
      <c r="WHJ2482" s="61"/>
      <c r="WHK2482" s="55"/>
      <c r="WHL2482" s="55"/>
      <c r="WHM2482" s="60"/>
      <c r="WHN2482" s="60"/>
      <c r="WHO2482" s="60"/>
      <c r="WHP2482" s="60"/>
      <c r="WHQ2482" s="65"/>
      <c r="WHR2482" s="61"/>
      <c r="WHS2482" s="55"/>
      <c r="WHT2482" s="55"/>
      <c r="WHU2482" s="60"/>
      <c r="WHV2482" s="60"/>
      <c r="WHW2482" s="60"/>
      <c r="WHX2482" s="60"/>
      <c r="WHY2482" s="65"/>
      <c r="WHZ2482" s="61"/>
      <c r="WIA2482" s="55"/>
      <c r="WIB2482" s="55"/>
      <c r="WIC2482" s="60"/>
      <c r="WID2482" s="60"/>
      <c r="WIE2482" s="60"/>
      <c r="WIF2482" s="60"/>
      <c r="WIG2482" s="65"/>
      <c r="WIH2482" s="61"/>
      <c r="WII2482" s="55"/>
      <c r="WIJ2482" s="55"/>
      <c r="WIK2482" s="60"/>
      <c r="WIL2482" s="60"/>
      <c r="WIM2482" s="60"/>
      <c r="WIN2482" s="60"/>
      <c r="WIO2482" s="65"/>
      <c r="WIP2482" s="61"/>
      <c r="WIQ2482" s="55"/>
      <c r="WIR2482" s="55"/>
      <c r="WIS2482" s="60"/>
      <c r="WIT2482" s="60"/>
      <c r="WIU2482" s="60"/>
      <c r="WIV2482" s="60"/>
      <c r="WIW2482" s="65"/>
      <c r="WIX2482" s="61"/>
      <c r="WIY2482" s="55"/>
      <c r="WIZ2482" s="55"/>
      <c r="WJA2482" s="60"/>
      <c r="WJB2482" s="60"/>
      <c r="WJC2482" s="60"/>
      <c r="WJD2482" s="60"/>
      <c r="WJE2482" s="65"/>
      <c r="WJF2482" s="61"/>
      <c r="WJG2482" s="55"/>
      <c r="WJH2482" s="55"/>
      <c r="WJI2482" s="60"/>
      <c r="WJJ2482" s="60"/>
      <c r="WJK2482" s="60"/>
      <c r="WJL2482" s="60"/>
      <c r="WJM2482" s="65"/>
      <c r="WJN2482" s="61"/>
      <c r="WJO2482" s="55"/>
      <c r="WJP2482" s="55"/>
      <c r="WJQ2482" s="60"/>
      <c r="WJR2482" s="60"/>
      <c r="WJS2482" s="60"/>
      <c r="WJT2482" s="60"/>
      <c r="WJU2482" s="65"/>
      <c r="WJV2482" s="61"/>
      <c r="WJW2482" s="55"/>
      <c r="WJX2482" s="55"/>
      <c r="WJY2482" s="60"/>
      <c r="WJZ2482" s="60"/>
      <c r="WKA2482" s="60"/>
      <c r="WKB2482" s="60"/>
      <c r="WKC2482" s="65"/>
      <c r="WKD2482" s="61"/>
      <c r="WKE2482" s="55"/>
      <c r="WKF2482" s="55"/>
      <c r="WKG2482" s="60"/>
      <c r="WKH2482" s="60"/>
      <c r="WKI2482" s="60"/>
      <c r="WKJ2482" s="60"/>
      <c r="WKK2482" s="65"/>
      <c r="WKL2482" s="61"/>
      <c r="WKM2482" s="55"/>
      <c r="WKN2482" s="55"/>
      <c r="WKO2482" s="60"/>
      <c r="WKP2482" s="60"/>
      <c r="WKQ2482" s="60"/>
      <c r="WKR2482" s="60"/>
      <c r="WKS2482" s="65"/>
      <c r="WKT2482" s="61"/>
      <c r="WKU2482" s="55"/>
      <c r="WKV2482" s="55"/>
      <c r="WKW2482" s="60"/>
      <c r="WKX2482" s="60"/>
      <c r="WKY2482" s="60"/>
      <c r="WKZ2482" s="60"/>
      <c r="WLA2482" s="65"/>
      <c r="WLB2482" s="61"/>
      <c r="WLC2482" s="55"/>
      <c r="WLD2482" s="55"/>
      <c r="WLE2482" s="60"/>
      <c r="WLF2482" s="60"/>
      <c r="WLG2482" s="60"/>
      <c r="WLH2482" s="60"/>
      <c r="WLI2482" s="65"/>
      <c r="WLJ2482" s="61"/>
      <c r="WLK2482" s="55"/>
      <c r="WLL2482" s="55"/>
      <c r="WLM2482" s="60"/>
      <c r="WLN2482" s="60"/>
      <c r="WLO2482" s="60"/>
      <c r="WLP2482" s="60"/>
      <c r="WLQ2482" s="65"/>
      <c r="WLR2482" s="61"/>
      <c r="WLS2482" s="55"/>
      <c r="WLT2482" s="55"/>
      <c r="WLU2482" s="60"/>
      <c r="WLV2482" s="60"/>
      <c r="WLW2482" s="60"/>
      <c r="WLX2482" s="60"/>
      <c r="WLY2482" s="65"/>
      <c r="WLZ2482" s="61"/>
      <c r="WMA2482" s="55"/>
      <c r="WMB2482" s="55"/>
      <c r="WMC2482" s="60"/>
      <c r="WMD2482" s="60"/>
      <c r="WME2482" s="60"/>
      <c r="WMF2482" s="60"/>
      <c r="WMG2482" s="65"/>
      <c r="WMH2482" s="61"/>
      <c r="WMI2482" s="55"/>
      <c r="WMJ2482" s="55"/>
      <c r="WMK2482" s="60"/>
      <c r="WML2482" s="60"/>
      <c r="WMM2482" s="60"/>
      <c r="WMN2482" s="60"/>
      <c r="WMO2482" s="65"/>
      <c r="WMP2482" s="61"/>
      <c r="WMQ2482" s="55"/>
      <c r="WMR2482" s="55"/>
      <c r="WMS2482" s="60"/>
      <c r="WMT2482" s="60"/>
      <c r="WMU2482" s="60"/>
      <c r="WMV2482" s="60"/>
      <c r="WMW2482" s="65"/>
      <c r="WMX2482" s="61"/>
      <c r="WMY2482" s="55"/>
      <c r="WMZ2482" s="55"/>
      <c r="WNA2482" s="60"/>
      <c r="WNB2482" s="60"/>
      <c r="WNC2482" s="60"/>
      <c r="WND2482" s="60"/>
      <c r="WNE2482" s="65"/>
      <c r="WNF2482" s="61"/>
      <c r="WNG2482" s="55"/>
      <c r="WNH2482" s="55"/>
      <c r="WNI2482" s="60"/>
      <c r="WNJ2482" s="60"/>
      <c r="WNK2482" s="60"/>
      <c r="WNL2482" s="60"/>
      <c r="WNM2482" s="65"/>
      <c r="WNN2482" s="61"/>
      <c r="WNO2482" s="55"/>
      <c r="WNP2482" s="55"/>
      <c r="WNQ2482" s="60"/>
      <c r="WNR2482" s="60"/>
      <c r="WNS2482" s="60"/>
      <c r="WNT2482" s="60"/>
      <c r="WNU2482" s="65"/>
      <c r="WNV2482" s="61"/>
      <c r="WNW2482" s="55"/>
      <c r="WNX2482" s="55"/>
      <c r="WNY2482" s="60"/>
      <c r="WNZ2482" s="60"/>
      <c r="WOA2482" s="60"/>
      <c r="WOB2482" s="60"/>
      <c r="WOC2482" s="65"/>
      <c r="WOD2482" s="61"/>
      <c r="WOE2482" s="55"/>
      <c r="WOF2482" s="55"/>
      <c r="WOG2482" s="60"/>
      <c r="WOH2482" s="60"/>
      <c r="WOI2482" s="60"/>
      <c r="WOJ2482" s="60"/>
      <c r="WOK2482" s="65"/>
      <c r="WOL2482" s="61"/>
      <c r="WOM2482" s="55"/>
      <c r="WON2482" s="55"/>
      <c r="WOO2482" s="60"/>
      <c r="WOP2482" s="60"/>
      <c r="WOQ2482" s="60"/>
      <c r="WOR2482" s="60"/>
      <c r="WOS2482" s="65"/>
      <c r="WOT2482" s="61"/>
      <c r="WOU2482" s="55"/>
      <c r="WOV2482" s="55"/>
      <c r="WOW2482" s="60"/>
      <c r="WOX2482" s="60"/>
      <c r="WOY2482" s="60"/>
      <c r="WOZ2482" s="60"/>
      <c r="WPA2482" s="65"/>
      <c r="WPB2482" s="61"/>
      <c r="WPC2482" s="55"/>
      <c r="WPD2482" s="55"/>
      <c r="WPE2482" s="60"/>
      <c r="WPF2482" s="60"/>
      <c r="WPG2482" s="60"/>
      <c r="WPH2482" s="60"/>
      <c r="WPI2482" s="65"/>
      <c r="WPJ2482" s="61"/>
      <c r="WPK2482" s="55"/>
      <c r="WPL2482" s="55"/>
      <c r="WPM2482" s="60"/>
      <c r="WPN2482" s="60"/>
      <c r="WPO2482" s="60"/>
      <c r="WPP2482" s="60"/>
      <c r="WPQ2482" s="65"/>
      <c r="WPR2482" s="61"/>
      <c r="WPS2482" s="55"/>
      <c r="WPT2482" s="55"/>
      <c r="WPU2482" s="60"/>
      <c r="WPV2482" s="60"/>
      <c r="WPW2482" s="60"/>
      <c r="WPX2482" s="60"/>
      <c r="WPY2482" s="65"/>
      <c r="WPZ2482" s="61"/>
      <c r="WQA2482" s="55"/>
      <c r="WQB2482" s="55"/>
      <c r="WQC2482" s="60"/>
      <c r="WQD2482" s="60"/>
      <c r="WQE2482" s="60"/>
      <c r="WQF2482" s="60"/>
      <c r="WQG2482" s="65"/>
      <c r="WQH2482" s="61"/>
      <c r="WQI2482" s="55"/>
      <c r="WQJ2482" s="55"/>
      <c r="WQK2482" s="60"/>
      <c r="WQL2482" s="60"/>
      <c r="WQM2482" s="60"/>
      <c r="WQN2482" s="60"/>
      <c r="WQO2482" s="65"/>
      <c r="WQP2482" s="61"/>
      <c r="WQQ2482" s="55"/>
      <c r="WQR2482" s="55"/>
      <c r="WQS2482" s="60"/>
      <c r="WQT2482" s="60"/>
      <c r="WQU2482" s="60"/>
      <c r="WQV2482" s="60"/>
      <c r="WQW2482" s="65"/>
      <c r="WQX2482" s="61"/>
      <c r="WQY2482" s="55"/>
      <c r="WQZ2482" s="55"/>
      <c r="WRA2482" s="60"/>
      <c r="WRB2482" s="60"/>
      <c r="WRC2482" s="60"/>
      <c r="WRD2482" s="60"/>
      <c r="WRE2482" s="65"/>
      <c r="WRF2482" s="61"/>
      <c r="WRG2482" s="55"/>
      <c r="WRH2482" s="55"/>
      <c r="WRI2482" s="60"/>
      <c r="WRJ2482" s="60"/>
      <c r="WRK2482" s="60"/>
      <c r="WRL2482" s="60"/>
      <c r="WRM2482" s="65"/>
      <c r="WRN2482" s="61"/>
      <c r="WRO2482" s="55"/>
      <c r="WRP2482" s="55"/>
      <c r="WRQ2482" s="60"/>
      <c r="WRR2482" s="60"/>
      <c r="WRS2482" s="60"/>
      <c r="WRT2482" s="60"/>
      <c r="WRU2482" s="65"/>
      <c r="WRV2482" s="61"/>
      <c r="WRW2482" s="55"/>
      <c r="WRX2482" s="55"/>
      <c r="WRY2482" s="60"/>
      <c r="WRZ2482" s="60"/>
      <c r="WSA2482" s="60"/>
      <c r="WSB2482" s="60"/>
      <c r="WSC2482" s="65"/>
      <c r="WSD2482" s="61"/>
      <c r="WSE2482" s="55"/>
      <c r="WSF2482" s="55"/>
      <c r="WSG2482" s="60"/>
      <c r="WSH2482" s="60"/>
      <c r="WSI2482" s="60"/>
      <c r="WSJ2482" s="60"/>
      <c r="WSK2482" s="65"/>
      <c r="WSL2482" s="61"/>
      <c r="WSM2482" s="55"/>
      <c r="WSN2482" s="55"/>
      <c r="WSO2482" s="60"/>
      <c r="WSP2482" s="60"/>
      <c r="WSQ2482" s="60"/>
      <c r="WSR2482" s="60"/>
      <c r="WSS2482" s="65"/>
      <c r="WST2482" s="61"/>
      <c r="WSU2482" s="55"/>
      <c r="WSV2482" s="55"/>
      <c r="WSW2482" s="60"/>
      <c r="WSX2482" s="60"/>
      <c r="WSY2482" s="60"/>
      <c r="WSZ2482" s="60"/>
      <c r="WTA2482" s="65"/>
      <c r="WTB2482" s="61"/>
      <c r="WTC2482" s="55"/>
      <c r="WTD2482" s="55"/>
      <c r="WTE2482" s="60"/>
      <c r="WTF2482" s="60"/>
      <c r="WTG2482" s="60"/>
      <c r="WTH2482" s="60"/>
      <c r="WTI2482" s="65"/>
      <c r="WTJ2482" s="61"/>
      <c r="WTK2482" s="55"/>
      <c r="WTL2482" s="55"/>
      <c r="WTM2482" s="60"/>
      <c r="WTN2482" s="60"/>
      <c r="WTO2482" s="60"/>
      <c r="WTP2482" s="60"/>
      <c r="WTQ2482" s="65"/>
      <c r="WTR2482" s="61"/>
      <c r="WTS2482" s="55"/>
      <c r="WTT2482" s="55"/>
      <c r="WTU2482" s="60"/>
      <c r="WTV2482" s="60"/>
      <c r="WTW2482" s="60"/>
      <c r="WTX2482" s="60"/>
      <c r="WTY2482" s="65"/>
      <c r="WTZ2482" s="61"/>
      <c r="WUA2482" s="55"/>
      <c r="WUB2482" s="55"/>
      <c r="WUC2482" s="60"/>
      <c r="WUD2482" s="60"/>
      <c r="WUE2482" s="60"/>
      <c r="WUF2482" s="60"/>
      <c r="WUG2482" s="65"/>
      <c r="WUH2482" s="61"/>
      <c r="WUI2482" s="55"/>
      <c r="WUJ2482" s="55"/>
      <c r="WUK2482" s="60"/>
      <c r="WUL2482" s="60"/>
      <c r="WUM2482" s="60"/>
      <c r="WUN2482" s="60"/>
      <c r="WUO2482" s="65"/>
      <c r="WUP2482" s="61"/>
      <c r="WUQ2482" s="55"/>
      <c r="WUR2482" s="55"/>
      <c r="WUS2482" s="60"/>
      <c r="WUT2482" s="60"/>
      <c r="WUU2482" s="60"/>
      <c r="WUV2482" s="60"/>
      <c r="WUW2482" s="65"/>
      <c r="WUX2482" s="61"/>
      <c r="WUY2482" s="55"/>
      <c r="WUZ2482" s="55"/>
      <c r="WVA2482" s="60"/>
      <c r="WVB2482" s="60"/>
      <c r="WVC2482" s="60"/>
      <c r="WVD2482" s="60"/>
      <c r="WVE2482" s="65"/>
      <c r="WVF2482" s="61"/>
      <c r="WVG2482" s="55"/>
      <c r="WVH2482" s="55"/>
      <c r="WVI2482" s="60"/>
      <c r="WVJ2482" s="60"/>
      <c r="WVK2482" s="60"/>
      <c r="WVL2482" s="60"/>
      <c r="WVM2482" s="65"/>
      <c r="WVN2482" s="61"/>
      <c r="WVO2482" s="55"/>
      <c r="WVP2482" s="55"/>
      <c r="WVQ2482" s="60"/>
      <c r="WVR2482" s="60"/>
      <c r="WVS2482" s="60"/>
      <c r="WVT2482" s="60"/>
      <c r="WVU2482" s="65"/>
      <c r="WVV2482" s="61"/>
      <c r="WVW2482" s="55"/>
      <c r="WVX2482" s="55"/>
      <c r="WVY2482" s="60"/>
      <c r="WVZ2482" s="60"/>
      <c r="WWA2482" s="60"/>
      <c r="WWB2482" s="60"/>
      <c r="WWC2482" s="65"/>
      <c r="WWD2482" s="61"/>
      <c r="WWE2482" s="55"/>
      <c r="WWF2482" s="55"/>
      <c r="WWG2482" s="60"/>
      <c r="WWH2482" s="60"/>
      <c r="WWI2482" s="60"/>
      <c r="WWJ2482" s="60"/>
      <c r="WWK2482" s="65"/>
      <c r="WWL2482" s="61"/>
      <c r="WWM2482" s="55"/>
      <c r="WWN2482" s="55"/>
      <c r="WWO2482" s="60"/>
      <c r="WWP2482" s="60"/>
      <c r="WWQ2482" s="60"/>
      <c r="WWR2482" s="60"/>
      <c r="WWS2482" s="65"/>
      <c r="WWT2482" s="61"/>
      <c r="WWU2482" s="55"/>
      <c r="WWV2482" s="55"/>
      <c r="WWW2482" s="60"/>
      <c r="WWX2482" s="60"/>
      <c r="WWY2482" s="60"/>
      <c r="WWZ2482" s="60"/>
      <c r="WXA2482" s="65"/>
      <c r="WXB2482" s="61"/>
      <c r="WXC2482" s="55"/>
      <c r="WXD2482" s="55"/>
      <c r="WXE2482" s="60"/>
      <c r="WXF2482" s="60"/>
      <c r="WXG2482" s="60"/>
      <c r="WXH2482" s="60"/>
      <c r="WXI2482" s="65"/>
      <c r="WXJ2482" s="61"/>
      <c r="WXK2482" s="55"/>
      <c r="WXL2482" s="55"/>
      <c r="WXM2482" s="60"/>
      <c r="WXN2482" s="60"/>
      <c r="WXO2482" s="60"/>
      <c r="WXP2482" s="60"/>
      <c r="WXQ2482" s="65"/>
      <c r="WXR2482" s="61"/>
      <c r="WXS2482" s="55"/>
      <c r="WXT2482" s="55"/>
      <c r="WXU2482" s="60"/>
      <c r="WXV2482" s="60"/>
      <c r="WXW2482" s="60"/>
      <c r="WXX2482" s="60"/>
      <c r="WXY2482" s="65"/>
      <c r="WXZ2482" s="61"/>
      <c r="WYA2482" s="55"/>
      <c r="WYB2482" s="55"/>
      <c r="WYC2482" s="60"/>
      <c r="WYD2482" s="60"/>
      <c r="WYE2482" s="60"/>
      <c r="WYF2482" s="60"/>
      <c r="WYG2482" s="65"/>
      <c r="WYH2482" s="61"/>
      <c r="WYI2482" s="55"/>
      <c r="WYJ2482" s="55"/>
      <c r="WYK2482" s="60"/>
      <c r="WYL2482" s="60"/>
      <c r="WYM2482" s="60"/>
      <c r="WYN2482" s="60"/>
      <c r="WYO2482" s="65"/>
      <c r="WYP2482" s="61"/>
      <c r="WYQ2482" s="55"/>
      <c r="WYR2482" s="55"/>
      <c r="WYS2482" s="60"/>
      <c r="WYT2482" s="60"/>
      <c r="WYU2482" s="60"/>
      <c r="WYV2482" s="60"/>
      <c r="WYW2482" s="65"/>
      <c r="WYX2482" s="61"/>
      <c r="WYY2482" s="55"/>
      <c r="WYZ2482" s="55"/>
      <c r="WZA2482" s="60"/>
      <c r="WZB2482" s="60"/>
      <c r="WZC2482" s="60"/>
      <c r="WZD2482" s="60"/>
      <c r="WZE2482" s="65"/>
      <c r="WZF2482" s="61"/>
      <c r="WZG2482" s="55"/>
      <c r="WZH2482" s="55"/>
      <c r="WZI2482" s="60"/>
      <c r="WZJ2482" s="60"/>
      <c r="WZK2482" s="60"/>
      <c r="WZL2482" s="60"/>
      <c r="WZM2482" s="65"/>
      <c r="WZN2482" s="61"/>
      <c r="WZO2482" s="55"/>
      <c r="WZP2482" s="55"/>
      <c r="WZQ2482" s="60"/>
      <c r="WZR2482" s="60"/>
      <c r="WZS2482" s="60"/>
      <c r="WZT2482" s="60"/>
      <c r="WZU2482" s="65"/>
      <c r="WZV2482" s="61"/>
      <c r="WZW2482" s="55"/>
      <c r="WZX2482" s="55"/>
      <c r="WZY2482" s="60"/>
      <c r="WZZ2482" s="60"/>
      <c r="XAA2482" s="60"/>
      <c r="XAB2482" s="60"/>
      <c r="XAC2482" s="65"/>
      <c r="XAD2482" s="61"/>
      <c r="XAE2482" s="55"/>
      <c r="XAF2482" s="55"/>
      <c r="XAG2482" s="60"/>
      <c r="XAH2482" s="60"/>
      <c r="XAI2482" s="60"/>
      <c r="XAJ2482" s="60"/>
      <c r="XAK2482" s="65"/>
      <c r="XAL2482" s="61"/>
      <c r="XAM2482" s="55"/>
      <c r="XAN2482" s="55"/>
      <c r="XAO2482" s="60"/>
      <c r="XAP2482" s="60"/>
      <c r="XAQ2482" s="60"/>
      <c r="XAR2482" s="60"/>
      <c r="XAS2482" s="65"/>
      <c r="XAT2482" s="61"/>
      <c r="XAU2482" s="55"/>
      <c r="XAV2482" s="55"/>
      <c r="XAW2482" s="60"/>
      <c r="XAX2482" s="60"/>
      <c r="XAY2482" s="60"/>
      <c r="XAZ2482" s="60"/>
      <c r="XBA2482" s="65"/>
      <c r="XBB2482" s="61"/>
      <c r="XBC2482" s="55"/>
      <c r="XBD2482" s="55"/>
      <c r="XBE2482" s="60"/>
      <c r="XBF2482" s="60"/>
      <c r="XBG2482" s="60"/>
      <c r="XBH2482" s="60"/>
      <c r="XBI2482" s="65"/>
      <c r="XBJ2482" s="61"/>
      <c r="XBK2482" s="55"/>
      <c r="XBL2482" s="55"/>
      <c r="XBM2482" s="60"/>
      <c r="XBN2482" s="60"/>
      <c r="XBO2482" s="60"/>
      <c r="XBP2482" s="60"/>
      <c r="XBQ2482" s="65"/>
      <c r="XBR2482" s="61"/>
      <c r="XBS2482" s="55"/>
      <c r="XBT2482" s="55"/>
      <c r="XBU2482" s="60"/>
      <c r="XBV2482" s="60"/>
      <c r="XBW2482" s="60"/>
      <c r="XBX2482" s="60"/>
      <c r="XBY2482" s="65"/>
      <c r="XBZ2482" s="61"/>
      <c r="XCA2482" s="55"/>
      <c r="XCB2482" s="55"/>
      <c r="XCC2482" s="60"/>
      <c r="XCD2482" s="60"/>
      <c r="XCE2482" s="60"/>
      <c r="XCF2482" s="60"/>
      <c r="XCG2482" s="65"/>
      <c r="XCH2482" s="61"/>
      <c r="XCI2482" s="55"/>
      <c r="XCJ2482" s="55"/>
      <c r="XCK2482" s="60"/>
      <c r="XCL2482" s="60"/>
      <c r="XCM2482" s="60"/>
      <c r="XCN2482" s="60"/>
      <c r="XCO2482" s="65"/>
      <c r="XCP2482" s="61"/>
      <c r="XCQ2482" s="55"/>
      <c r="XCR2482" s="55"/>
      <c r="XCS2482" s="60"/>
      <c r="XCT2482" s="60"/>
      <c r="XCU2482" s="60"/>
      <c r="XCV2482" s="60"/>
      <c r="XCW2482" s="65"/>
      <c r="XCX2482" s="61"/>
      <c r="XCY2482" s="55"/>
      <c r="XCZ2482" s="55"/>
      <c r="XDA2482" s="60"/>
      <c r="XDB2482" s="60"/>
      <c r="XDC2482" s="60"/>
      <c r="XDD2482" s="60"/>
      <c r="XDE2482" s="65"/>
      <c r="XDF2482" s="61"/>
      <c r="XDG2482" s="55"/>
      <c r="XDH2482" s="55"/>
      <c r="XDI2482" s="60"/>
      <c r="XDJ2482" s="60"/>
      <c r="XDK2482" s="60"/>
      <c r="XDL2482" s="60"/>
      <c r="XDM2482" s="65"/>
      <c r="XDN2482" s="61"/>
      <c r="XDO2482" s="55"/>
      <c r="XDP2482" s="55"/>
      <c r="XDQ2482" s="60"/>
      <c r="XDR2482" s="60"/>
      <c r="XDS2482" s="60"/>
      <c r="XDT2482" s="60"/>
      <c r="XDU2482" s="65"/>
      <c r="XDV2482" s="61"/>
      <c r="XDW2482" s="55"/>
      <c r="XDX2482" s="55"/>
      <c r="XDY2482" s="60"/>
      <c r="XDZ2482" s="60"/>
      <c r="XEA2482" s="60"/>
      <c r="XEB2482" s="60"/>
      <c r="XEC2482" s="65"/>
      <c r="XED2482" s="61"/>
      <c r="XEE2482" s="55"/>
      <c r="XEF2482" s="55"/>
      <c r="XEG2482" s="60"/>
      <c r="XEH2482" s="60"/>
      <c r="XEI2482" s="60"/>
      <c r="XEJ2482" s="60"/>
      <c r="XEK2482" s="65"/>
      <c r="XEL2482" s="61"/>
      <c r="XEM2482" s="55"/>
      <c r="XEN2482" s="55"/>
      <c r="XEO2482" s="60"/>
      <c r="XEP2482" s="60"/>
      <c r="XEQ2482" s="60"/>
      <c r="XER2482" s="60"/>
      <c r="XES2482" s="65"/>
      <c r="XET2482" s="61"/>
      <c r="XEU2482" s="55"/>
      <c r="XEV2482" s="55"/>
      <c r="XEW2482" s="60"/>
    </row>
    <row r="2483" ht="18" customHeight="1" spans="1:16377">
      <c r="A2483" s="6" t="s">
        <v>8209</v>
      </c>
      <c r="B2483" s="6" t="s">
        <v>8580</v>
      </c>
      <c r="C2483" s="11" t="s">
        <v>4921</v>
      </c>
      <c r="D2483" s="5" t="s">
        <v>16382</v>
      </c>
      <c r="E2483" s="11" t="s">
        <v>16417</v>
      </c>
      <c r="F2483" s="7" t="s">
        <v>11535</v>
      </c>
      <c r="G2483" s="56"/>
      <c r="H2483" s="56"/>
      <c r="I2483" s="66"/>
      <c r="J2483" s="60"/>
      <c r="K2483" s="60"/>
      <c r="L2483" s="60"/>
      <c r="M2483" s="66"/>
      <c r="N2483" s="61"/>
      <c r="O2483" s="56"/>
      <c r="P2483" s="56"/>
      <c r="Q2483" s="66"/>
      <c r="R2483" s="60"/>
      <c r="S2483" s="60"/>
      <c r="T2483" s="60"/>
      <c r="U2483" s="66"/>
      <c r="V2483" s="61"/>
      <c r="W2483" s="56"/>
      <c r="X2483" s="56"/>
      <c r="Y2483" s="66"/>
      <c r="Z2483" s="60"/>
      <c r="AA2483" s="60"/>
      <c r="AB2483" s="60"/>
      <c r="AC2483" s="66"/>
      <c r="AD2483" s="61"/>
      <c r="AE2483" s="56"/>
      <c r="AF2483" s="56"/>
      <c r="AG2483" s="66"/>
      <c r="AH2483" s="60"/>
      <c r="AI2483" s="60"/>
      <c r="AJ2483" s="60"/>
      <c r="AK2483" s="66"/>
      <c r="AL2483" s="61"/>
      <c r="AM2483" s="56"/>
      <c r="AN2483" s="56"/>
      <c r="AO2483" s="66"/>
      <c r="AP2483" s="60"/>
      <c r="AQ2483" s="60"/>
      <c r="AR2483" s="60"/>
      <c r="AS2483" s="66"/>
      <c r="AT2483" s="61"/>
      <c r="AU2483" s="56"/>
      <c r="AV2483" s="56"/>
      <c r="AW2483" s="66"/>
      <c r="AX2483" s="60"/>
      <c r="AY2483" s="60"/>
      <c r="AZ2483" s="60"/>
      <c r="BA2483" s="66"/>
      <c r="BB2483" s="61"/>
      <c r="BC2483" s="56"/>
      <c r="BD2483" s="56"/>
      <c r="BE2483" s="66"/>
      <c r="BF2483" s="60"/>
      <c r="BG2483" s="60"/>
      <c r="BH2483" s="60"/>
      <c r="BI2483" s="66"/>
      <c r="BJ2483" s="61"/>
      <c r="BK2483" s="56"/>
      <c r="BL2483" s="56"/>
      <c r="BM2483" s="66"/>
      <c r="BN2483" s="60"/>
      <c r="BO2483" s="60"/>
      <c r="BP2483" s="60"/>
      <c r="BQ2483" s="66"/>
      <c r="BR2483" s="61"/>
      <c r="BS2483" s="56"/>
      <c r="BT2483" s="56"/>
      <c r="BU2483" s="66"/>
      <c r="BV2483" s="60"/>
      <c r="BW2483" s="60"/>
      <c r="BX2483" s="60"/>
      <c r="BY2483" s="66"/>
      <c r="BZ2483" s="61"/>
      <c r="CA2483" s="56"/>
      <c r="CB2483" s="56"/>
      <c r="CC2483" s="66"/>
      <c r="CD2483" s="60"/>
      <c r="CE2483" s="60"/>
      <c r="CF2483" s="60"/>
      <c r="CG2483" s="66"/>
      <c r="CH2483" s="61"/>
      <c r="CI2483" s="56"/>
      <c r="CJ2483" s="56"/>
      <c r="CK2483" s="66"/>
      <c r="CL2483" s="60"/>
      <c r="CM2483" s="60"/>
      <c r="CN2483" s="60"/>
      <c r="CO2483" s="66"/>
      <c r="CP2483" s="61"/>
      <c r="CQ2483" s="56"/>
      <c r="CR2483" s="56"/>
      <c r="CS2483" s="66"/>
      <c r="CT2483" s="60"/>
      <c r="CU2483" s="60"/>
      <c r="CV2483" s="60"/>
      <c r="CW2483" s="66"/>
      <c r="CX2483" s="61"/>
      <c r="CY2483" s="56"/>
      <c r="CZ2483" s="56"/>
      <c r="DA2483" s="66"/>
      <c r="DB2483" s="60"/>
      <c r="DC2483" s="60"/>
      <c r="DD2483" s="60"/>
      <c r="DE2483" s="66"/>
      <c r="DF2483" s="61"/>
      <c r="DG2483" s="56"/>
      <c r="DH2483" s="56"/>
      <c r="DI2483" s="66"/>
      <c r="DJ2483" s="60"/>
      <c r="DK2483" s="60"/>
      <c r="DL2483" s="60"/>
      <c r="DM2483" s="66"/>
      <c r="DN2483" s="61"/>
      <c r="DO2483" s="56"/>
      <c r="DP2483" s="56"/>
      <c r="DQ2483" s="66"/>
      <c r="DR2483" s="60"/>
      <c r="DS2483" s="60"/>
      <c r="DT2483" s="60"/>
      <c r="DU2483" s="66"/>
      <c r="DV2483" s="61"/>
      <c r="DW2483" s="56"/>
      <c r="DX2483" s="56"/>
      <c r="DY2483" s="66"/>
      <c r="DZ2483" s="60"/>
      <c r="EA2483" s="60"/>
      <c r="EB2483" s="60"/>
      <c r="EC2483" s="66"/>
      <c r="ED2483" s="61"/>
      <c r="EE2483" s="56"/>
      <c r="EF2483" s="56"/>
      <c r="EG2483" s="66"/>
      <c r="EH2483" s="60"/>
      <c r="EI2483" s="60"/>
      <c r="EJ2483" s="60"/>
      <c r="EK2483" s="66"/>
      <c r="EL2483" s="61"/>
      <c r="EM2483" s="56"/>
      <c r="EN2483" s="56"/>
      <c r="EO2483" s="66"/>
      <c r="EP2483" s="60"/>
      <c r="EQ2483" s="60"/>
      <c r="ER2483" s="60"/>
      <c r="ES2483" s="66"/>
      <c r="ET2483" s="61"/>
      <c r="EU2483" s="56"/>
      <c r="EV2483" s="56"/>
      <c r="EW2483" s="66"/>
      <c r="EX2483" s="60"/>
      <c r="EY2483" s="60"/>
      <c r="EZ2483" s="60"/>
      <c r="FA2483" s="66"/>
      <c r="FB2483" s="61"/>
      <c r="FC2483" s="56"/>
      <c r="FD2483" s="56"/>
      <c r="FE2483" s="66"/>
      <c r="FF2483" s="60"/>
      <c r="FG2483" s="60"/>
      <c r="FH2483" s="60"/>
      <c r="FI2483" s="66"/>
      <c r="FJ2483" s="61"/>
      <c r="FK2483" s="56"/>
      <c r="FL2483" s="56"/>
      <c r="FM2483" s="66"/>
      <c r="FN2483" s="60"/>
      <c r="FO2483" s="60"/>
      <c r="FP2483" s="60"/>
      <c r="FQ2483" s="66"/>
      <c r="FR2483" s="61"/>
      <c r="FS2483" s="56"/>
      <c r="FT2483" s="56"/>
      <c r="FU2483" s="66"/>
      <c r="FV2483" s="60"/>
      <c r="FW2483" s="60"/>
      <c r="FX2483" s="60"/>
      <c r="FY2483" s="66"/>
      <c r="FZ2483" s="61"/>
      <c r="GA2483" s="56"/>
      <c r="GB2483" s="56"/>
      <c r="GC2483" s="66"/>
      <c r="GD2483" s="60"/>
      <c r="GE2483" s="60"/>
      <c r="GF2483" s="60"/>
      <c r="GG2483" s="66"/>
      <c r="GH2483" s="61"/>
      <c r="GI2483" s="56"/>
      <c r="GJ2483" s="56"/>
      <c r="GK2483" s="66"/>
      <c r="GL2483" s="60"/>
      <c r="GM2483" s="60"/>
      <c r="GN2483" s="60"/>
      <c r="GO2483" s="66"/>
      <c r="GP2483" s="61"/>
      <c r="GQ2483" s="56"/>
      <c r="GR2483" s="56"/>
      <c r="GS2483" s="66"/>
      <c r="GT2483" s="60"/>
      <c r="GU2483" s="60"/>
      <c r="GV2483" s="60"/>
      <c r="GW2483" s="66"/>
      <c r="GX2483" s="61"/>
      <c r="GY2483" s="56"/>
      <c r="GZ2483" s="56"/>
      <c r="HA2483" s="66"/>
      <c r="HB2483" s="60"/>
      <c r="HC2483" s="60"/>
      <c r="HD2483" s="60"/>
      <c r="HE2483" s="66"/>
      <c r="HF2483" s="61"/>
      <c r="HG2483" s="56"/>
      <c r="HH2483" s="56"/>
      <c r="HI2483" s="66"/>
      <c r="HJ2483" s="60"/>
      <c r="HK2483" s="60"/>
      <c r="HL2483" s="60"/>
      <c r="HM2483" s="66"/>
      <c r="HN2483" s="61"/>
      <c r="HO2483" s="56"/>
      <c r="HP2483" s="56"/>
      <c r="HQ2483" s="66"/>
      <c r="HR2483" s="60"/>
      <c r="HS2483" s="60"/>
      <c r="HT2483" s="60"/>
      <c r="HU2483" s="66"/>
      <c r="HV2483" s="61"/>
      <c r="HW2483" s="56"/>
      <c r="HX2483" s="56"/>
      <c r="HY2483" s="66"/>
      <c r="HZ2483" s="60"/>
      <c r="IA2483" s="60"/>
      <c r="IB2483" s="60"/>
      <c r="IC2483" s="66"/>
      <c r="ID2483" s="61"/>
      <c r="IE2483" s="56"/>
      <c r="IF2483" s="56"/>
      <c r="IG2483" s="66"/>
      <c r="IH2483" s="60"/>
      <c r="II2483" s="60"/>
      <c r="IJ2483" s="60"/>
      <c r="IK2483" s="66"/>
      <c r="IL2483" s="61"/>
      <c r="IM2483" s="56"/>
      <c r="IN2483" s="56"/>
      <c r="IO2483" s="66"/>
      <c r="IP2483" s="60"/>
      <c r="IQ2483" s="60"/>
      <c r="IR2483" s="60"/>
      <c r="IS2483" s="66"/>
      <c r="IT2483" s="61"/>
      <c r="IU2483" s="56"/>
      <c r="IV2483" s="56"/>
      <c r="IW2483" s="66"/>
      <c r="IX2483" s="60"/>
      <c r="IY2483" s="60"/>
      <c r="IZ2483" s="60"/>
      <c r="JA2483" s="66"/>
      <c r="JB2483" s="61"/>
      <c r="JC2483" s="56"/>
      <c r="JD2483" s="56"/>
      <c r="JE2483" s="66"/>
      <c r="JF2483" s="60"/>
      <c r="JG2483" s="60"/>
      <c r="JH2483" s="60"/>
      <c r="JI2483" s="66"/>
      <c r="JJ2483" s="61"/>
      <c r="JK2483" s="56"/>
      <c r="JL2483" s="56"/>
      <c r="JM2483" s="66"/>
      <c r="JN2483" s="60"/>
      <c r="JO2483" s="60"/>
      <c r="JP2483" s="60"/>
      <c r="JQ2483" s="66"/>
      <c r="JR2483" s="61"/>
      <c r="JS2483" s="56"/>
      <c r="JT2483" s="56"/>
      <c r="JU2483" s="66"/>
      <c r="JV2483" s="60"/>
      <c r="JW2483" s="60"/>
      <c r="JX2483" s="60"/>
      <c r="JY2483" s="66"/>
      <c r="JZ2483" s="61"/>
      <c r="KA2483" s="56"/>
      <c r="KB2483" s="56"/>
      <c r="KC2483" s="66"/>
      <c r="KD2483" s="60"/>
      <c r="KE2483" s="60"/>
      <c r="KF2483" s="60"/>
      <c r="KG2483" s="66"/>
      <c r="KH2483" s="61"/>
      <c r="KI2483" s="56"/>
      <c r="KJ2483" s="56"/>
      <c r="KK2483" s="66"/>
      <c r="KL2483" s="60"/>
      <c r="KM2483" s="60"/>
      <c r="KN2483" s="60"/>
      <c r="KO2483" s="66"/>
      <c r="KP2483" s="61"/>
      <c r="KQ2483" s="56"/>
      <c r="KR2483" s="56"/>
      <c r="KS2483" s="66"/>
      <c r="KT2483" s="60"/>
      <c r="KU2483" s="60"/>
      <c r="KV2483" s="60"/>
      <c r="KW2483" s="66"/>
      <c r="KX2483" s="61"/>
      <c r="KY2483" s="56"/>
      <c r="KZ2483" s="56"/>
      <c r="LA2483" s="66"/>
      <c r="LB2483" s="60"/>
      <c r="LC2483" s="60"/>
      <c r="LD2483" s="60"/>
      <c r="LE2483" s="66"/>
      <c r="LF2483" s="61"/>
      <c r="LG2483" s="56"/>
      <c r="LH2483" s="56"/>
      <c r="LI2483" s="66"/>
      <c r="LJ2483" s="60"/>
      <c r="LK2483" s="60"/>
      <c r="LL2483" s="60"/>
      <c r="LM2483" s="66"/>
      <c r="LN2483" s="61"/>
      <c r="LO2483" s="56"/>
      <c r="LP2483" s="56"/>
      <c r="LQ2483" s="66"/>
      <c r="LR2483" s="60"/>
      <c r="LS2483" s="60"/>
      <c r="LT2483" s="60"/>
      <c r="LU2483" s="66"/>
      <c r="LV2483" s="61"/>
      <c r="LW2483" s="56"/>
      <c r="LX2483" s="56"/>
      <c r="LY2483" s="66"/>
      <c r="LZ2483" s="60"/>
      <c r="MA2483" s="60"/>
      <c r="MB2483" s="60"/>
      <c r="MC2483" s="66"/>
      <c r="MD2483" s="61"/>
      <c r="ME2483" s="56"/>
      <c r="MF2483" s="56"/>
      <c r="MG2483" s="66"/>
      <c r="MH2483" s="60"/>
      <c r="MI2483" s="60"/>
      <c r="MJ2483" s="60"/>
      <c r="MK2483" s="66"/>
      <c r="ML2483" s="61"/>
      <c r="MM2483" s="56"/>
      <c r="MN2483" s="56"/>
      <c r="MO2483" s="66"/>
      <c r="MP2483" s="60"/>
      <c r="MQ2483" s="60"/>
      <c r="MR2483" s="60"/>
      <c r="MS2483" s="66"/>
      <c r="MT2483" s="61"/>
      <c r="MU2483" s="56"/>
      <c r="MV2483" s="56"/>
      <c r="MW2483" s="66"/>
      <c r="MX2483" s="60"/>
      <c r="MY2483" s="60"/>
      <c r="MZ2483" s="60"/>
      <c r="NA2483" s="66"/>
      <c r="NB2483" s="61"/>
      <c r="NC2483" s="56"/>
      <c r="ND2483" s="56"/>
      <c r="NE2483" s="66"/>
      <c r="NF2483" s="60"/>
      <c r="NG2483" s="60"/>
      <c r="NH2483" s="60"/>
      <c r="NI2483" s="66"/>
      <c r="NJ2483" s="61"/>
      <c r="NK2483" s="56"/>
      <c r="NL2483" s="56"/>
      <c r="NM2483" s="66"/>
      <c r="NN2483" s="60"/>
      <c r="NO2483" s="60"/>
      <c r="NP2483" s="60"/>
      <c r="NQ2483" s="66"/>
      <c r="NR2483" s="61"/>
      <c r="NS2483" s="56"/>
      <c r="NT2483" s="56"/>
      <c r="NU2483" s="66"/>
      <c r="NV2483" s="60"/>
      <c r="NW2483" s="60"/>
      <c r="NX2483" s="60"/>
      <c r="NY2483" s="66"/>
      <c r="NZ2483" s="61"/>
      <c r="OA2483" s="56"/>
      <c r="OB2483" s="56"/>
      <c r="OC2483" s="66"/>
      <c r="OD2483" s="60"/>
      <c r="OE2483" s="60"/>
      <c r="OF2483" s="60"/>
      <c r="OG2483" s="66"/>
      <c r="OH2483" s="61"/>
      <c r="OI2483" s="56"/>
      <c r="OJ2483" s="56"/>
      <c r="OK2483" s="66"/>
      <c r="OL2483" s="60"/>
      <c r="OM2483" s="60"/>
      <c r="ON2483" s="60"/>
      <c r="OO2483" s="66"/>
      <c r="OP2483" s="61"/>
      <c r="OQ2483" s="56"/>
      <c r="OR2483" s="56"/>
      <c r="OS2483" s="66"/>
      <c r="OT2483" s="60"/>
      <c r="OU2483" s="60"/>
      <c r="OV2483" s="60"/>
      <c r="OW2483" s="66"/>
      <c r="OX2483" s="61"/>
      <c r="OY2483" s="56"/>
      <c r="OZ2483" s="56"/>
      <c r="PA2483" s="66"/>
      <c r="PB2483" s="60"/>
      <c r="PC2483" s="60"/>
      <c r="PD2483" s="60"/>
      <c r="PE2483" s="66"/>
      <c r="PF2483" s="61"/>
      <c r="PG2483" s="56"/>
      <c r="PH2483" s="56"/>
      <c r="PI2483" s="66"/>
      <c r="PJ2483" s="60"/>
      <c r="PK2483" s="60"/>
      <c r="PL2483" s="60"/>
      <c r="PM2483" s="66"/>
      <c r="PN2483" s="61"/>
      <c r="PO2483" s="56"/>
      <c r="PP2483" s="56"/>
      <c r="PQ2483" s="66"/>
      <c r="PR2483" s="60"/>
      <c r="PS2483" s="60"/>
      <c r="PT2483" s="60"/>
      <c r="PU2483" s="66"/>
      <c r="PV2483" s="61"/>
      <c r="PW2483" s="56"/>
      <c r="PX2483" s="56"/>
      <c r="PY2483" s="66"/>
      <c r="PZ2483" s="60"/>
      <c r="QA2483" s="60"/>
      <c r="QB2483" s="60"/>
      <c r="QC2483" s="66"/>
      <c r="QD2483" s="61"/>
      <c r="QE2483" s="56"/>
      <c r="QF2483" s="56"/>
      <c r="QG2483" s="66"/>
      <c r="QH2483" s="60"/>
      <c r="QI2483" s="60"/>
      <c r="QJ2483" s="60"/>
      <c r="QK2483" s="66"/>
      <c r="QL2483" s="61"/>
      <c r="QM2483" s="56"/>
      <c r="QN2483" s="56"/>
      <c r="QO2483" s="66"/>
      <c r="QP2483" s="60"/>
      <c r="QQ2483" s="60"/>
      <c r="QR2483" s="60"/>
      <c r="QS2483" s="66"/>
      <c r="QT2483" s="61"/>
      <c r="QU2483" s="56"/>
      <c r="QV2483" s="56"/>
      <c r="QW2483" s="66"/>
      <c r="QX2483" s="60"/>
      <c r="QY2483" s="60"/>
      <c r="QZ2483" s="60"/>
      <c r="RA2483" s="66"/>
      <c r="RB2483" s="61"/>
      <c r="RC2483" s="56"/>
      <c r="RD2483" s="56"/>
      <c r="RE2483" s="66"/>
      <c r="RF2483" s="60"/>
      <c r="RG2483" s="60"/>
      <c r="RH2483" s="60"/>
      <c r="RI2483" s="66"/>
      <c r="RJ2483" s="61"/>
      <c r="RK2483" s="56"/>
      <c r="RL2483" s="56"/>
      <c r="RM2483" s="66"/>
      <c r="RN2483" s="60"/>
      <c r="RO2483" s="60"/>
      <c r="RP2483" s="60"/>
      <c r="RQ2483" s="66"/>
      <c r="RR2483" s="61"/>
      <c r="RS2483" s="56"/>
      <c r="RT2483" s="56"/>
      <c r="RU2483" s="66"/>
      <c r="RV2483" s="60"/>
      <c r="RW2483" s="60"/>
      <c r="RX2483" s="60"/>
      <c r="RY2483" s="66"/>
      <c r="RZ2483" s="61"/>
      <c r="SA2483" s="56"/>
      <c r="SB2483" s="56"/>
      <c r="SC2483" s="66"/>
      <c r="SD2483" s="60"/>
      <c r="SE2483" s="60"/>
      <c r="SF2483" s="60"/>
      <c r="SG2483" s="66"/>
      <c r="SH2483" s="61"/>
      <c r="SI2483" s="56"/>
      <c r="SJ2483" s="56"/>
      <c r="SK2483" s="66"/>
      <c r="SL2483" s="60"/>
      <c r="SM2483" s="60"/>
      <c r="SN2483" s="60"/>
      <c r="SO2483" s="66"/>
      <c r="SP2483" s="61"/>
      <c r="SQ2483" s="56"/>
      <c r="SR2483" s="56"/>
      <c r="SS2483" s="66"/>
      <c r="ST2483" s="60"/>
      <c r="SU2483" s="60"/>
      <c r="SV2483" s="60"/>
      <c r="SW2483" s="66"/>
      <c r="SX2483" s="61"/>
      <c r="SY2483" s="56"/>
      <c r="SZ2483" s="56"/>
      <c r="TA2483" s="66"/>
      <c r="TB2483" s="60"/>
      <c r="TC2483" s="60"/>
      <c r="TD2483" s="60"/>
      <c r="TE2483" s="66"/>
      <c r="TF2483" s="61"/>
      <c r="TG2483" s="56"/>
      <c r="TH2483" s="56"/>
      <c r="TI2483" s="66"/>
      <c r="TJ2483" s="60"/>
      <c r="TK2483" s="60"/>
      <c r="TL2483" s="60"/>
      <c r="TM2483" s="66"/>
      <c r="TN2483" s="61"/>
      <c r="TO2483" s="56"/>
      <c r="TP2483" s="56"/>
      <c r="TQ2483" s="66"/>
      <c r="TR2483" s="60"/>
      <c r="TS2483" s="60"/>
      <c r="TT2483" s="60"/>
      <c r="TU2483" s="66"/>
      <c r="TV2483" s="61"/>
      <c r="TW2483" s="56"/>
      <c r="TX2483" s="56"/>
      <c r="TY2483" s="66"/>
      <c r="TZ2483" s="60"/>
      <c r="UA2483" s="60"/>
      <c r="UB2483" s="60"/>
      <c r="UC2483" s="66"/>
      <c r="UD2483" s="61"/>
      <c r="UE2483" s="56"/>
      <c r="UF2483" s="56"/>
      <c r="UG2483" s="66"/>
      <c r="UH2483" s="60"/>
      <c r="UI2483" s="60"/>
      <c r="UJ2483" s="60"/>
      <c r="UK2483" s="66"/>
      <c r="UL2483" s="61"/>
      <c r="UM2483" s="56"/>
      <c r="UN2483" s="56"/>
      <c r="UO2483" s="66"/>
      <c r="UP2483" s="60"/>
      <c r="UQ2483" s="60"/>
      <c r="UR2483" s="60"/>
      <c r="US2483" s="66"/>
      <c r="UT2483" s="61"/>
      <c r="UU2483" s="56"/>
      <c r="UV2483" s="56"/>
      <c r="UW2483" s="66"/>
      <c r="UX2483" s="60"/>
      <c r="UY2483" s="60"/>
      <c r="UZ2483" s="60"/>
      <c r="VA2483" s="66"/>
      <c r="VB2483" s="61"/>
      <c r="VC2483" s="56"/>
      <c r="VD2483" s="56"/>
      <c r="VE2483" s="66"/>
      <c r="VF2483" s="60"/>
      <c r="VG2483" s="60"/>
      <c r="VH2483" s="60"/>
      <c r="VI2483" s="66"/>
      <c r="VJ2483" s="61"/>
      <c r="VK2483" s="56"/>
      <c r="VL2483" s="56"/>
      <c r="VM2483" s="66"/>
      <c r="VN2483" s="60"/>
      <c r="VO2483" s="60"/>
      <c r="VP2483" s="60"/>
      <c r="VQ2483" s="66"/>
      <c r="VR2483" s="61"/>
      <c r="VS2483" s="56"/>
      <c r="VT2483" s="56"/>
      <c r="VU2483" s="66"/>
      <c r="VV2483" s="60"/>
      <c r="VW2483" s="60"/>
      <c r="VX2483" s="60"/>
      <c r="VY2483" s="66"/>
      <c r="VZ2483" s="61"/>
      <c r="WA2483" s="56"/>
      <c r="WB2483" s="56"/>
      <c r="WC2483" s="66"/>
      <c r="WD2483" s="60"/>
      <c r="WE2483" s="60"/>
      <c r="WF2483" s="60"/>
      <c r="WG2483" s="66"/>
      <c r="WH2483" s="61"/>
      <c r="WI2483" s="56"/>
      <c r="WJ2483" s="56"/>
      <c r="WK2483" s="66"/>
      <c r="WL2483" s="60"/>
      <c r="WM2483" s="60"/>
      <c r="WN2483" s="60"/>
      <c r="WO2483" s="66"/>
      <c r="WP2483" s="61"/>
      <c r="WQ2483" s="56"/>
      <c r="WR2483" s="56"/>
      <c r="WS2483" s="66"/>
      <c r="WT2483" s="60"/>
      <c r="WU2483" s="60"/>
      <c r="WV2483" s="60"/>
      <c r="WW2483" s="66"/>
      <c r="WX2483" s="61"/>
      <c r="WY2483" s="56"/>
      <c r="WZ2483" s="56"/>
      <c r="XA2483" s="66"/>
      <c r="XB2483" s="60"/>
      <c r="XC2483" s="60"/>
      <c r="XD2483" s="60"/>
      <c r="XE2483" s="66"/>
      <c r="XF2483" s="61"/>
      <c r="XG2483" s="56"/>
      <c r="XH2483" s="56"/>
      <c r="XI2483" s="66"/>
      <c r="XJ2483" s="60"/>
      <c r="XK2483" s="60"/>
      <c r="XL2483" s="60"/>
      <c r="XM2483" s="66"/>
      <c r="XN2483" s="61"/>
      <c r="XO2483" s="56"/>
      <c r="XP2483" s="56"/>
      <c r="XQ2483" s="66"/>
      <c r="XR2483" s="60"/>
      <c r="XS2483" s="60"/>
      <c r="XT2483" s="60"/>
      <c r="XU2483" s="66"/>
      <c r="XV2483" s="61"/>
      <c r="XW2483" s="56"/>
      <c r="XX2483" s="56"/>
      <c r="XY2483" s="66"/>
      <c r="XZ2483" s="60"/>
      <c r="YA2483" s="60"/>
      <c r="YB2483" s="60"/>
      <c r="YC2483" s="66"/>
      <c r="YD2483" s="61"/>
      <c r="YE2483" s="56"/>
      <c r="YF2483" s="56"/>
      <c r="YG2483" s="66"/>
      <c r="YH2483" s="60"/>
      <c r="YI2483" s="60"/>
      <c r="YJ2483" s="60"/>
      <c r="YK2483" s="66"/>
      <c r="YL2483" s="61"/>
      <c r="YM2483" s="56"/>
      <c r="YN2483" s="56"/>
      <c r="YO2483" s="66"/>
      <c r="YP2483" s="60"/>
      <c r="YQ2483" s="60"/>
      <c r="YR2483" s="60"/>
      <c r="YS2483" s="66"/>
      <c r="YT2483" s="61"/>
      <c r="YU2483" s="56"/>
      <c r="YV2483" s="56"/>
      <c r="YW2483" s="66"/>
      <c r="YX2483" s="60"/>
      <c r="YY2483" s="60"/>
      <c r="YZ2483" s="60"/>
      <c r="ZA2483" s="66"/>
      <c r="ZB2483" s="61"/>
      <c r="ZC2483" s="56"/>
      <c r="ZD2483" s="56"/>
      <c r="ZE2483" s="66"/>
      <c r="ZF2483" s="60"/>
      <c r="ZG2483" s="60"/>
      <c r="ZH2483" s="60"/>
      <c r="ZI2483" s="66"/>
      <c r="ZJ2483" s="61"/>
      <c r="ZK2483" s="56"/>
      <c r="ZL2483" s="56"/>
      <c r="ZM2483" s="66"/>
      <c r="ZN2483" s="60"/>
      <c r="ZO2483" s="60"/>
      <c r="ZP2483" s="60"/>
      <c r="ZQ2483" s="66"/>
      <c r="ZR2483" s="61"/>
      <c r="ZS2483" s="56"/>
      <c r="ZT2483" s="56"/>
      <c r="ZU2483" s="66"/>
      <c r="ZV2483" s="60"/>
      <c r="ZW2483" s="60"/>
      <c r="ZX2483" s="60"/>
      <c r="ZY2483" s="66"/>
      <c r="ZZ2483" s="61"/>
      <c r="AAA2483" s="56"/>
      <c r="AAB2483" s="56"/>
      <c r="AAC2483" s="66"/>
      <c r="AAD2483" s="60"/>
      <c r="AAE2483" s="60"/>
      <c r="AAF2483" s="60"/>
      <c r="AAG2483" s="66"/>
      <c r="AAH2483" s="61"/>
      <c r="AAI2483" s="56"/>
      <c r="AAJ2483" s="56"/>
      <c r="AAK2483" s="66"/>
      <c r="AAL2483" s="60"/>
      <c r="AAM2483" s="60"/>
      <c r="AAN2483" s="60"/>
      <c r="AAO2483" s="66"/>
      <c r="AAP2483" s="61"/>
      <c r="AAQ2483" s="56"/>
      <c r="AAR2483" s="56"/>
      <c r="AAS2483" s="66"/>
      <c r="AAT2483" s="60"/>
      <c r="AAU2483" s="60"/>
      <c r="AAV2483" s="60"/>
      <c r="AAW2483" s="66"/>
      <c r="AAX2483" s="61"/>
      <c r="AAY2483" s="56"/>
      <c r="AAZ2483" s="56"/>
      <c r="ABA2483" s="66"/>
      <c r="ABB2483" s="60"/>
      <c r="ABC2483" s="60"/>
      <c r="ABD2483" s="60"/>
      <c r="ABE2483" s="66"/>
      <c r="ABF2483" s="61"/>
      <c r="ABG2483" s="56"/>
      <c r="ABH2483" s="56"/>
      <c r="ABI2483" s="66"/>
      <c r="ABJ2483" s="60"/>
      <c r="ABK2483" s="60"/>
      <c r="ABL2483" s="60"/>
      <c r="ABM2483" s="66"/>
      <c r="ABN2483" s="61"/>
      <c r="ABO2483" s="56"/>
      <c r="ABP2483" s="56"/>
      <c r="ABQ2483" s="66"/>
      <c r="ABR2483" s="60"/>
      <c r="ABS2483" s="60"/>
      <c r="ABT2483" s="60"/>
      <c r="ABU2483" s="66"/>
      <c r="ABV2483" s="61"/>
      <c r="ABW2483" s="56"/>
      <c r="ABX2483" s="56"/>
      <c r="ABY2483" s="66"/>
      <c r="ABZ2483" s="60"/>
      <c r="ACA2483" s="60"/>
      <c r="ACB2483" s="60"/>
      <c r="ACC2483" s="66"/>
      <c r="ACD2483" s="61"/>
      <c r="ACE2483" s="56"/>
      <c r="ACF2483" s="56"/>
      <c r="ACG2483" s="66"/>
      <c r="ACH2483" s="60"/>
      <c r="ACI2483" s="60"/>
      <c r="ACJ2483" s="60"/>
      <c r="ACK2483" s="66"/>
      <c r="ACL2483" s="61"/>
      <c r="ACM2483" s="56"/>
      <c r="ACN2483" s="56"/>
      <c r="ACO2483" s="66"/>
      <c r="ACP2483" s="60"/>
      <c r="ACQ2483" s="60"/>
      <c r="ACR2483" s="60"/>
      <c r="ACS2483" s="66"/>
      <c r="ACT2483" s="61"/>
      <c r="ACU2483" s="56"/>
      <c r="ACV2483" s="56"/>
      <c r="ACW2483" s="66"/>
      <c r="ACX2483" s="60"/>
      <c r="ACY2483" s="60"/>
      <c r="ACZ2483" s="60"/>
      <c r="ADA2483" s="66"/>
      <c r="ADB2483" s="61"/>
      <c r="ADC2483" s="56"/>
      <c r="ADD2483" s="56"/>
      <c r="ADE2483" s="66"/>
      <c r="ADF2483" s="60"/>
      <c r="ADG2483" s="60"/>
      <c r="ADH2483" s="60"/>
      <c r="ADI2483" s="66"/>
      <c r="ADJ2483" s="61"/>
      <c r="ADK2483" s="56"/>
      <c r="ADL2483" s="56"/>
      <c r="ADM2483" s="66"/>
      <c r="ADN2483" s="60"/>
      <c r="ADO2483" s="60"/>
      <c r="ADP2483" s="60"/>
      <c r="ADQ2483" s="66"/>
      <c r="ADR2483" s="61"/>
      <c r="ADS2483" s="56"/>
      <c r="ADT2483" s="56"/>
      <c r="ADU2483" s="66"/>
      <c r="ADV2483" s="60"/>
      <c r="ADW2483" s="60"/>
      <c r="ADX2483" s="60"/>
      <c r="ADY2483" s="66"/>
      <c r="ADZ2483" s="61"/>
      <c r="AEA2483" s="56"/>
      <c r="AEB2483" s="56"/>
      <c r="AEC2483" s="66"/>
      <c r="AED2483" s="60"/>
      <c r="AEE2483" s="60"/>
      <c r="AEF2483" s="60"/>
      <c r="AEG2483" s="66"/>
      <c r="AEH2483" s="61"/>
      <c r="AEI2483" s="56"/>
      <c r="AEJ2483" s="56"/>
      <c r="AEK2483" s="66"/>
      <c r="AEL2483" s="60"/>
      <c r="AEM2483" s="60"/>
      <c r="AEN2483" s="60"/>
      <c r="AEO2483" s="66"/>
      <c r="AEP2483" s="61"/>
      <c r="AEQ2483" s="56"/>
      <c r="AER2483" s="56"/>
      <c r="AES2483" s="66"/>
      <c r="AET2483" s="60"/>
      <c r="AEU2483" s="60"/>
      <c r="AEV2483" s="60"/>
      <c r="AEW2483" s="66"/>
      <c r="AEX2483" s="61"/>
      <c r="AEY2483" s="56"/>
      <c r="AEZ2483" s="56"/>
      <c r="AFA2483" s="66"/>
      <c r="AFB2483" s="60"/>
      <c r="AFC2483" s="60"/>
      <c r="AFD2483" s="60"/>
      <c r="AFE2483" s="66"/>
      <c r="AFF2483" s="61"/>
      <c r="AFG2483" s="56"/>
      <c r="AFH2483" s="56"/>
      <c r="AFI2483" s="66"/>
      <c r="AFJ2483" s="60"/>
      <c r="AFK2483" s="60"/>
      <c r="AFL2483" s="60"/>
      <c r="AFM2483" s="66"/>
      <c r="AFN2483" s="61"/>
      <c r="AFO2483" s="56"/>
      <c r="AFP2483" s="56"/>
      <c r="AFQ2483" s="66"/>
      <c r="AFR2483" s="60"/>
      <c r="AFS2483" s="60"/>
      <c r="AFT2483" s="60"/>
      <c r="AFU2483" s="66"/>
      <c r="AFV2483" s="61"/>
      <c r="AFW2483" s="56"/>
      <c r="AFX2483" s="56"/>
      <c r="AFY2483" s="66"/>
      <c r="AFZ2483" s="60"/>
      <c r="AGA2483" s="60"/>
      <c r="AGB2483" s="60"/>
      <c r="AGC2483" s="66"/>
      <c r="AGD2483" s="61"/>
      <c r="AGE2483" s="56"/>
      <c r="AGF2483" s="56"/>
      <c r="AGG2483" s="66"/>
      <c r="AGH2483" s="60"/>
      <c r="AGI2483" s="60"/>
      <c r="AGJ2483" s="60"/>
      <c r="AGK2483" s="66"/>
      <c r="AGL2483" s="61"/>
      <c r="AGM2483" s="56"/>
      <c r="AGN2483" s="56"/>
      <c r="AGO2483" s="66"/>
      <c r="AGP2483" s="60"/>
      <c r="AGQ2483" s="60"/>
      <c r="AGR2483" s="60"/>
      <c r="AGS2483" s="66"/>
      <c r="AGT2483" s="61"/>
      <c r="AGU2483" s="56"/>
      <c r="AGV2483" s="56"/>
      <c r="AGW2483" s="66"/>
      <c r="AGX2483" s="60"/>
      <c r="AGY2483" s="60"/>
      <c r="AGZ2483" s="60"/>
      <c r="AHA2483" s="66"/>
      <c r="AHB2483" s="61"/>
      <c r="AHC2483" s="56"/>
      <c r="AHD2483" s="56"/>
      <c r="AHE2483" s="66"/>
      <c r="AHF2483" s="60"/>
      <c r="AHG2483" s="60"/>
      <c r="AHH2483" s="60"/>
      <c r="AHI2483" s="66"/>
      <c r="AHJ2483" s="61"/>
      <c r="AHK2483" s="56"/>
      <c r="AHL2483" s="56"/>
      <c r="AHM2483" s="66"/>
      <c r="AHN2483" s="60"/>
      <c r="AHO2483" s="60"/>
      <c r="AHP2483" s="60"/>
      <c r="AHQ2483" s="66"/>
      <c r="AHR2483" s="61"/>
      <c r="AHS2483" s="56"/>
      <c r="AHT2483" s="56"/>
      <c r="AHU2483" s="66"/>
      <c r="AHV2483" s="60"/>
      <c r="AHW2483" s="60"/>
      <c r="AHX2483" s="60"/>
      <c r="AHY2483" s="66"/>
      <c r="AHZ2483" s="61"/>
      <c r="AIA2483" s="56"/>
      <c r="AIB2483" s="56"/>
      <c r="AIC2483" s="66"/>
      <c r="AID2483" s="60"/>
      <c r="AIE2483" s="60"/>
      <c r="AIF2483" s="60"/>
      <c r="AIG2483" s="66"/>
      <c r="AIH2483" s="61"/>
      <c r="AII2483" s="56"/>
      <c r="AIJ2483" s="56"/>
      <c r="AIK2483" s="66"/>
      <c r="AIL2483" s="60"/>
      <c r="AIM2483" s="60"/>
      <c r="AIN2483" s="60"/>
      <c r="AIO2483" s="66"/>
      <c r="AIP2483" s="61"/>
      <c r="AIQ2483" s="56"/>
      <c r="AIR2483" s="56"/>
      <c r="AIS2483" s="66"/>
      <c r="AIT2483" s="60"/>
      <c r="AIU2483" s="60"/>
      <c r="AIV2483" s="60"/>
      <c r="AIW2483" s="66"/>
      <c r="AIX2483" s="61"/>
      <c r="AIY2483" s="56"/>
      <c r="AIZ2483" s="56"/>
      <c r="AJA2483" s="66"/>
      <c r="AJB2483" s="60"/>
      <c r="AJC2483" s="60"/>
      <c r="AJD2483" s="60"/>
      <c r="AJE2483" s="66"/>
      <c r="AJF2483" s="61"/>
      <c r="AJG2483" s="56"/>
      <c r="AJH2483" s="56"/>
      <c r="AJI2483" s="66"/>
      <c r="AJJ2483" s="60"/>
      <c r="AJK2483" s="60"/>
      <c r="AJL2483" s="60"/>
      <c r="AJM2483" s="66"/>
      <c r="AJN2483" s="61"/>
      <c r="AJO2483" s="56"/>
      <c r="AJP2483" s="56"/>
      <c r="AJQ2483" s="66"/>
      <c r="AJR2483" s="60"/>
      <c r="AJS2483" s="60"/>
      <c r="AJT2483" s="60"/>
      <c r="AJU2483" s="66"/>
      <c r="AJV2483" s="61"/>
      <c r="AJW2483" s="56"/>
      <c r="AJX2483" s="56"/>
      <c r="AJY2483" s="66"/>
      <c r="AJZ2483" s="60"/>
      <c r="AKA2483" s="60"/>
      <c r="AKB2483" s="60"/>
      <c r="AKC2483" s="66"/>
      <c r="AKD2483" s="61"/>
      <c r="AKE2483" s="56"/>
      <c r="AKF2483" s="56"/>
      <c r="AKG2483" s="66"/>
      <c r="AKH2483" s="60"/>
      <c r="AKI2483" s="60"/>
      <c r="AKJ2483" s="60"/>
      <c r="AKK2483" s="66"/>
      <c r="AKL2483" s="61"/>
      <c r="AKM2483" s="56"/>
      <c r="AKN2483" s="56"/>
      <c r="AKO2483" s="66"/>
      <c r="AKP2483" s="60"/>
      <c r="AKQ2483" s="60"/>
      <c r="AKR2483" s="60"/>
      <c r="AKS2483" s="66"/>
      <c r="AKT2483" s="61"/>
      <c r="AKU2483" s="56"/>
      <c r="AKV2483" s="56"/>
      <c r="AKW2483" s="66"/>
      <c r="AKX2483" s="60"/>
      <c r="AKY2483" s="60"/>
      <c r="AKZ2483" s="60"/>
      <c r="ALA2483" s="66"/>
      <c r="ALB2483" s="61"/>
      <c r="ALC2483" s="56"/>
      <c r="ALD2483" s="56"/>
      <c r="ALE2483" s="66"/>
      <c r="ALF2483" s="60"/>
      <c r="ALG2483" s="60"/>
      <c r="ALH2483" s="60"/>
      <c r="ALI2483" s="66"/>
      <c r="ALJ2483" s="61"/>
      <c r="ALK2483" s="56"/>
      <c r="ALL2483" s="56"/>
      <c r="ALM2483" s="66"/>
      <c r="ALN2483" s="60"/>
      <c r="ALO2483" s="60"/>
      <c r="ALP2483" s="60"/>
      <c r="ALQ2483" s="66"/>
      <c r="ALR2483" s="61"/>
      <c r="ALS2483" s="56"/>
      <c r="ALT2483" s="56"/>
      <c r="ALU2483" s="66"/>
      <c r="ALV2483" s="60"/>
      <c r="ALW2483" s="60"/>
      <c r="ALX2483" s="60"/>
      <c r="ALY2483" s="66"/>
      <c r="ALZ2483" s="61"/>
      <c r="AMA2483" s="56"/>
      <c r="AMB2483" s="56"/>
      <c r="AMC2483" s="66"/>
      <c r="AMD2483" s="60"/>
      <c r="AME2483" s="60"/>
      <c r="AMF2483" s="60"/>
      <c r="AMG2483" s="66"/>
      <c r="AMH2483" s="61"/>
      <c r="AMI2483" s="56"/>
      <c r="AMJ2483" s="56"/>
      <c r="AMK2483" s="66"/>
      <c r="AML2483" s="60"/>
      <c r="AMM2483" s="60"/>
      <c r="AMN2483" s="60"/>
      <c r="AMO2483" s="66"/>
      <c r="AMP2483" s="61"/>
      <c r="AMQ2483" s="56"/>
      <c r="AMR2483" s="56"/>
      <c r="AMS2483" s="66"/>
      <c r="AMT2483" s="60"/>
      <c r="AMU2483" s="60"/>
      <c r="AMV2483" s="60"/>
      <c r="AMW2483" s="66"/>
      <c r="AMX2483" s="61"/>
      <c r="AMY2483" s="56"/>
      <c r="AMZ2483" s="56"/>
      <c r="ANA2483" s="66"/>
      <c r="ANB2483" s="60"/>
      <c r="ANC2483" s="60"/>
      <c r="AND2483" s="60"/>
      <c r="ANE2483" s="66"/>
      <c r="ANF2483" s="61"/>
      <c r="ANG2483" s="56"/>
      <c r="ANH2483" s="56"/>
      <c r="ANI2483" s="66"/>
      <c r="ANJ2483" s="60"/>
      <c r="ANK2483" s="60"/>
      <c r="ANL2483" s="60"/>
      <c r="ANM2483" s="66"/>
      <c r="ANN2483" s="61"/>
      <c r="ANO2483" s="56"/>
      <c r="ANP2483" s="56"/>
      <c r="ANQ2483" s="66"/>
      <c r="ANR2483" s="60"/>
      <c r="ANS2483" s="60"/>
      <c r="ANT2483" s="60"/>
      <c r="ANU2483" s="66"/>
      <c r="ANV2483" s="61"/>
      <c r="ANW2483" s="56"/>
      <c r="ANX2483" s="56"/>
      <c r="ANY2483" s="66"/>
      <c r="ANZ2483" s="60"/>
      <c r="AOA2483" s="60"/>
      <c r="AOB2483" s="60"/>
      <c r="AOC2483" s="66"/>
      <c r="AOD2483" s="61"/>
      <c r="AOE2483" s="56"/>
      <c r="AOF2483" s="56"/>
      <c r="AOG2483" s="66"/>
      <c r="AOH2483" s="60"/>
      <c r="AOI2483" s="60"/>
      <c r="AOJ2483" s="60"/>
      <c r="AOK2483" s="66"/>
      <c r="AOL2483" s="61"/>
      <c r="AOM2483" s="56"/>
      <c r="AON2483" s="56"/>
      <c r="AOO2483" s="66"/>
      <c r="AOP2483" s="60"/>
      <c r="AOQ2483" s="60"/>
      <c r="AOR2483" s="60"/>
      <c r="AOS2483" s="66"/>
      <c r="AOT2483" s="61"/>
      <c r="AOU2483" s="56"/>
      <c r="AOV2483" s="56"/>
      <c r="AOW2483" s="66"/>
      <c r="AOX2483" s="60"/>
      <c r="AOY2483" s="60"/>
      <c r="AOZ2483" s="60"/>
      <c r="APA2483" s="66"/>
      <c r="APB2483" s="61"/>
      <c r="APC2483" s="56"/>
      <c r="APD2483" s="56"/>
      <c r="APE2483" s="66"/>
      <c r="APF2483" s="60"/>
      <c r="APG2483" s="60"/>
      <c r="APH2483" s="60"/>
      <c r="API2483" s="66"/>
      <c r="APJ2483" s="61"/>
      <c r="APK2483" s="56"/>
      <c r="APL2483" s="56"/>
      <c r="APM2483" s="66"/>
      <c r="APN2483" s="60"/>
      <c r="APO2483" s="60"/>
      <c r="APP2483" s="60"/>
      <c r="APQ2483" s="66"/>
      <c r="APR2483" s="61"/>
      <c r="APS2483" s="56"/>
      <c r="APT2483" s="56"/>
      <c r="APU2483" s="66"/>
      <c r="APV2483" s="60"/>
      <c r="APW2483" s="60"/>
      <c r="APX2483" s="60"/>
      <c r="APY2483" s="66"/>
      <c r="APZ2483" s="61"/>
      <c r="AQA2483" s="56"/>
      <c r="AQB2483" s="56"/>
      <c r="AQC2483" s="66"/>
      <c r="AQD2483" s="60"/>
      <c r="AQE2483" s="60"/>
      <c r="AQF2483" s="60"/>
      <c r="AQG2483" s="66"/>
      <c r="AQH2483" s="61"/>
      <c r="AQI2483" s="56"/>
      <c r="AQJ2483" s="56"/>
      <c r="AQK2483" s="66"/>
      <c r="AQL2483" s="60"/>
      <c r="AQM2483" s="60"/>
      <c r="AQN2483" s="60"/>
      <c r="AQO2483" s="66"/>
      <c r="AQP2483" s="61"/>
      <c r="AQQ2483" s="56"/>
      <c r="AQR2483" s="56"/>
      <c r="AQS2483" s="66"/>
      <c r="AQT2483" s="60"/>
      <c r="AQU2483" s="60"/>
      <c r="AQV2483" s="60"/>
      <c r="AQW2483" s="66"/>
      <c r="AQX2483" s="61"/>
      <c r="AQY2483" s="56"/>
      <c r="AQZ2483" s="56"/>
      <c r="ARA2483" s="66"/>
      <c r="ARB2483" s="60"/>
      <c r="ARC2483" s="60"/>
      <c r="ARD2483" s="60"/>
      <c r="ARE2483" s="66"/>
      <c r="ARF2483" s="61"/>
      <c r="ARG2483" s="56"/>
      <c r="ARH2483" s="56"/>
      <c r="ARI2483" s="66"/>
      <c r="ARJ2483" s="60"/>
      <c r="ARK2483" s="60"/>
      <c r="ARL2483" s="60"/>
      <c r="ARM2483" s="66"/>
      <c r="ARN2483" s="61"/>
      <c r="ARO2483" s="56"/>
      <c r="ARP2483" s="56"/>
      <c r="ARQ2483" s="66"/>
      <c r="ARR2483" s="60"/>
      <c r="ARS2483" s="60"/>
      <c r="ART2483" s="60"/>
      <c r="ARU2483" s="66"/>
      <c r="ARV2483" s="61"/>
      <c r="ARW2483" s="56"/>
      <c r="ARX2483" s="56"/>
      <c r="ARY2483" s="66"/>
      <c r="ARZ2483" s="60"/>
      <c r="ASA2483" s="60"/>
      <c r="ASB2483" s="60"/>
      <c r="ASC2483" s="66"/>
      <c r="ASD2483" s="61"/>
      <c r="ASE2483" s="56"/>
      <c r="ASF2483" s="56"/>
      <c r="ASG2483" s="66"/>
      <c r="ASH2483" s="60"/>
      <c r="ASI2483" s="60"/>
      <c r="ASJ2483" s="60"/>
      <c r="ASK2483" s="66"/>
      <c r="ASL2483" s="61"/>
      <c r="ASM2483" s="56"/>
      <c r="ASN2483" s="56"/>
      <c r="ASO2483" s="66"/>
      <c r="ASP2483" s="60"/>
      <c r="ASQ2483" s="60"/>
      <c r="ASR2483" s="60"/>
      <c r="ASS2483" s="66"/>
      <c r="AST2483" s="61"/>
      <c r="ASU2483" s="56"/>
      <c r="ASV2483" s="56"/>
      <c r="ASW2483" s="66"/>
      <c r="ASX2483" s="60"/>
      <c r="ASY2483" s="60"/>
      <c r="ASZ2483" s="60"/>
      <c r="ATA2483" s="66"/>
      <c r="ATB2483" s="61"/>
      <c r="ATC2483" s="56"/>
      <c r="ATD2483" s="56"/>
      <c r="ATE2483" s="66"/>
      <c r="ATF2483" s="60"/>
      <c r="ATG2483" s="60"/>
      <c r="ATH2483" s="60"/>
      <c r="ATI2483" s="66"/>
      <c r="ATJ2483" s="61"/>
      <c r="ATK2483" s="56"/>
      <c r="ATL2483" s="56"/>
      <c r="ATM2483" s="66"/>
      <c r="ATN2483" s="60"/>
      <c r="ATO2483" s="60"/>
      <c r="ATP2483" s="60"/>
      <c r="ATQ2483" s="66"/>
      <c r="ATR2483" s="61"/>
      <c r="ATS2483" s="56"/>
      <c r="ATT2483" s="56"/>
      <c r="ATU2483" s="66"/>
      <c r="ATV2483" s="60"/>
      <c r="ATW2483" s="60"/>
      <c r="ATX2483" s="60"/>
      <c r="ATY2483" s="66"/>
      <c r="ATZ2483" s="61"/>
      <c r="AUA2483" s="56"/>
      <c r="AUB2483" s="56"/>
      <c r="AUC2483" s="66"/>
      <c r="AUD2483" s="60"/>
      <c r="AUE2483" s="60"/>
      <c r="AUF2483" s="60"/>
      <c r="AUG2483" s="66"/>
      <c r="AUH2483" s="61"/>
      <c r="AUI2483" s="56"/>
      <c r="AUJ2483" s="56"/>
      <c r="AUK2483" s="66"/>
      <c r="AUL2483" s="60"/>
      <c r="AUM2483" s="60"/>
      <c r="AUN2483" s="60"/>
      <c r="AUO2483" s="66"/>
      <c r="AUP2483" s="61"/>
      <c r="AUQ2483" s="56"/>
      <c r="AUR2483" s="56"/>
      <c r="AUS2483" s="66"/>
      <c r="AUT2483" s="60"/>
      <c r="AUU2483" s="60"/>
      <c r="AUV2483" s="60"/>
      <c r="AUW2483" s="66"/>
      <c r="AUX2483" s="61"/>
      <c r="AUY2483" s="56"/>
      <c r="AUZ2483" s="56"/>
      <c r="AVA2483" s="66"/>
      <c r="AVB2483" s="60"/>
      <c r="AVC2483" s="60"/>
      <c r="AVD2483" s="60"/>
      <c r="AVE2483" s="66"/>
      <c r="AVF2483" s="61"/>
      <c r="AVG2483" s="56"/>
      <c r="AVH2483" s="56"/>
      <c r="AVI2483" s="66"/>
      <c r="AVJ2483" s="60"/>
      <c r="AVK2483" s="60"/>
      <c r="AVL2483" s="60"/>
      <c r="AVM2483" s="66"/>
      <c r="AVN2483" s="61"/>
      <c r="AVO2483" s="56"/>
      <c r="AVP2483" s="56"/>
      <c r="AVQ2483" s="66"/>
      <c r="AVR2483" s="60"/>
      <c r="AVS2483" s="60"/>
      <c r="AVT2483" s="60"/>
      <c r="AVU2483" s="66"/>
      <c r="AVV2483" s="61"/>
      <c r="AVW2483" s="56"/>
      <c r="AVX2483" s="56"/>
      <c r="AVY2483" s="66"/>
      <c r="AVZ2483" s="60"/>
      <c r="AWA2483" s="60"/>
      <c r="AWB2483" s="60"/>
      <c r="AWC2483" s="66"/>
      <c r="AWD2483" s="61"/>
      <c r="AWE2483" s="56"/>
      <c r="AWF2483" s="56"/>
      <c r="AWG2483" s="66"/>
      <c r="AWH2483" s="60"/>
      <c r="AWI2483" s="60"/>
      <c r="AWJ2483" s="60"/>
      <c r="AWK2483" s="66"/>
      <c r="AWL2483" s="61"/>
      <c r="AWM2483" s="56"/>
      <c r="AWN2483" s="56"/>
      <c r="AWO2483" s="66"/>
      <c r="AWP2483" s="60"/>
      <c r="AWQ2483" s="60"/>
      <c r="AWR2483" s="60"/>
      <c r="AWS2483" s="66"/>
      <c r="AWT2483" s="61"/>
      <c r="AWU2483" s="56"/>
      <c r="AWV2483" s="56"/>
      <c r="AWW2483" s="66"/>
      <c r="AWX2483" s="60"/>
      <c r="AWY2483" s="60"/>
      <c r="AWZ2483" s="60"/>
      <c r="AXA2483" s="66"/>
      <c r="AXB2483" s="61"/>
      <c r="AXC2483" s="56"/>
      <c r="AXD2483" s="56"/>
      <c r="AXE2483" s="66"/>
      <c r="AXF2483" s="60"/>
      <c r="AXG2483" s="60"/>
      <c r="AXH2483" s="60"/>
      <c r="AXI2483" s="66"/>
      <c r="AXJ2483" s="61"/>
      <c r="AXK2483" s="56"/>
      <c r="AXL2483" s="56"/>
      <c r="AXM2483" s="66"/>
      <c r="AXN2483" s="60"/>
      <c r="AXO2483" s="60"/>
      <c r="AXP2483" s="60"/>
      <c r="AXQ2483" s="66"/>
      <c r="AXR2483" s="61"/>
      <c r="AXS2483" s="56"/>
      <c r="AXT2483" s="56"/>
      <c r="AXU2483" s="66"/>
      <c r="AXV2483" s="60"/>
      <c r="AXW2483" s="60"/>
      <c r="AXX2483" s="60"/>
      <c r="AXY2483" s="66"/>
      <c r="AXZ2483" s="61"/>
      <c r="AYA2483" s="56"/>
      <c r="AYB2483" s="56"/>
      <c r="AYC2483" s="66"/>
      <c r="AYD2483" s="60"/>
      <c r="AYE2483" s="60"/>
      <c r="AYF2483" s="60"/>
      <c r="AYG2483" s="66"/>
      <c r="AYH2483" s="61"/>
      <c r="AYI2483" s="56"/>
      <c r="AYJ2483" s="56"/>
      <c r="AYK2483" s="66"/>
      <c r="AYL2483" s="60"/>
      <c r="AYM2483" s="60"/>
      <c r="AYN2483" s="60"/>
      <c r="AYO2483" s="66"/>
      <c r="AYP2483" s="61"/>
      <c r="AYQ2483" s="56"/>
      <c r="AYR2483" s="56"/>
      <c r="AYS2483" s="66"/>
      <c r="AYT2483" s="60"/>
      <c r="AYU2483" s="60"/>
      <c r="AYV2483" s="60"/>
      <c r="AYW2483" s="66"/>
      <c r="AYX2483" s="61"/>
      <c r="AYY2483" s="56"/>
      <c r="AYZ2483" s="56"/>
      <c r="AZA2483" s="66"/>
      <c r="AZB2483" s="60"/>
      <c r="AZC2483" s="60"/>
      <c r="AZD2483" s="60"/>
      <c r="AZE2483" s="66"/>
      <c r="AZF2483" s="61"/>
      <c r="AZG2483" s="56"/>
      <c r="AZH2483" s="56"/>
      <c r="AZI2483" s="66"/>
      <c r="AZJ2483" s="60"/>
      <c r="AZK2483" s="60"/>
      <c r="AZL2483" s="60"/>
      <c r="AZM2483" s="66"/>
      <c r="AZN2483" s="61"/>
      <c r="AZO2483" s="56"/>
      <c r="AZP2483" s="56"/>
      <c r="AZQ2483" s="66"/>
      <c r="AZR2483" s="60"/>
      <c r="AZS2483" s="60"/>
      <c r="AZT2483" s="60"/>
      <c r="AZU2483" s="66"/>
      <c r="AZV2483" s="61"/>
      <c r="AZW2483" s="56"/>
      <c r="AZX2483" s="56"/>
      <c r="AZY2483" s="66"/>
      <c r="AZZ2483" s="60"/>
      <c r="BAA2483" s="60"/>
      <c r="BAB2483" s="60"/>
      <c r="BAC2483" s="66"/>
      <c r="BAD2483" s="61"/>
      <c r="BAE2483" s="56"/>
      <c r="BAF2483" s="56"/>
      <c r="BAG2483" s="66"/>
      <c r="BAH2483" s="60"/>
      <c r="BAI2483" s="60"/>
      <c r="BAJ2483" s="60"/>
      <c r="BAK2483" s="66"/>
      <c r="BAL2483" s="61"/>
      <c r="BAM2483" s="56"/>
      <c r="BAN2483" s="56"/>
      <c r="BAO2483" s="66"/>
      <c r="BAP2483" s="60"/>
      <c r="BAQ2483" s="60"/>
      <c r="BAR2483" s="60"/>
      <c r="BAS2483" s="66"/>
      <c r="BAT2483" s="61"/>
      <c r="BAU2483" s="56"/>
      <c r="BAV2483" s="56"/>
      <c r="BAW2483" s="66"/>
      <c r="BAX2483" s="60"/>
      <c r="BAY2483" s="60"/>
      <c r="BAZ2483" s="60"/>
      <c r="BBA2483" s="66"/>
      <c r="BBB2483" s="61"/>
      <c r="BBC2483" s="56"/>
      <c r="BBD2483" s="56"/>
      <c r="BBE2483" s="66"/>
      <c r="BBF2483" s="60"/>
      <c r="BBG2483" s="60"/>
      <c r="BBH2483" s="60"/>
      <c r="BBI2483" s="66"/>
      <c r="BBJ2483" s="61"/>
      <c r="BBK2483" s="56"/>
      <c r="BBL2483" s="56"/>
      <c r="BBM2483" s="66"/>
      <c r="BBN2483" s="60"/>
      <c r="BBO2483" s="60"/>
      <c r="BBP2483" s="60"/>
      <c r="BBQ2483" s="66"/>
      <c r="BBR2483" s="61"/>
      <c r="BBS2483" s="56"/>
      <c r="BBT2483" s="56"/>
      <c r="BBU2483" s="66"/>
      <c r="BBV2483" s="60"/>
      <c r="BBW2483" s="60"/>
      <c r="BBX2483" s="60"/>
      <c r="BBY2483" s="66"/>
      <c r="BBZ2483" s="61"/>
      <c r="BCA2483" s="56"/>
      <c r="BCB2483" s="56"/>
      <c r="BCC2483" s="66"/>
      <c r="BCD2483" s="60"/>
      <c r="BCE2483" s="60"/>
      <c r="BCF2483" s="60"/>
      <c r="BCG2483" s="66"/>
      <c r="BCH2483" s="61"/>
      <c r="BCI2483" s="56"/>
      <c r="BCJ2483" s="56"/>
      <c r="BCK2483" s="66"/>
      <c r="BCL2483" s="60"/>
      <c r="BCM2483" s="60"/>
      <c r="BCN2483" s="60"/>
      <c r="BCO2483" s="66"/>
      <c r="BCP2483" s="61"/>
      <c r="BCQ2483" s="56"/>
      <c r="BCR2483" s="56"/>
      <c r="BCS2483" s="66"/>
      <c r="BCT2483" s="60"/>
      <c r="BCU2483" s="60"/>
      <c r="BCV2483" s="60"/>
      <c r="BCW2483" s="66"/>
      <c r="BCX2483" s="61"/>
      <c r="BCY2483" s="56"/>
      <c r="BCZ2483" s="56"/>
      <c r="BDA2483" s="66"/>
      <c r="BDB2483" s="60"/>
      <c r="BDC2483" s="60"/>
      <c r="BDD2483" s="60"/>
      <c r="BDE2483" s="66"/>
      <c r="BDF2483" s="61"/>
      <c r="BDG2483" s="56"/>
      <c r="BDH2483" s="56"/>
      <c r="BDI2483" s="66"/>
      <c r="BDJ2483" s="60"/>
      <c r="BDK2483" s="60"/>
      <c r="BDL2483" s="60"/>
      <c r="BDM2483" s="66"/>
      <c r="BDN2483" s="61"/>
      <c r="BDO2483" s="56"/>
      <c r="BDP2483" s="56"/>
      <c r="BDQ2483" s="66"/>
      <c r="BDR2483" s="60"/>
      <c r="BDS2483" s="60"/>
      <c r="BDT2483" s="60"/>
      <c r="BDU2483" s="66"/>
      <c r="BDV2483" s="61"/>
      <c r="BDW2483" s="56"/>
      <c r="BDX2483" s="56"/>
      <c r="BDY2483" s="66"/>
      <c r="BDZ2483" s="60"/>
      <c r="BEA2483" s="60"/>
      <c r="BEB2483" s="60"/>
      <c r="BEC2483" s="66"/>
      <c r="BED2483" s="61"/>
      <c r="BEE2483" s="56"/>
      <c r="BEF2483" s="56"/>
      <c r="BEG2483" s="66"/>
      <c r="BEH2483" s="60"/>
      <c r="BEI2483" s="60"/>
      <c r="BEJ2483" s="60"/>
      <c r="BEK2483" s="66"/>
      <c r="BEL2483" s="61"/>
      <c r="BEM2483" s="56"/>
      <c r="BEN2483" s="56"/>
      <c r="BEO2483" s="66"/>
      <c r="BEP2483" s="60"/>
      <c r="BEQ2483" s="60"/>
      <c r="BER2483" s="60"/>
      <c r="BES2483" s="66"/>
      <c r="BET2483" s="61"/>
      <c r="BEU2483" s="56"/>
      <c r="BEV2483" s="56"/>
      <c r="BEW2483" s="66"/>
      <c r="BEX2483" s="60"/>
      <c r="BEY2483" s="60"/>
      <c r="BEZ2483" s="60"/>
      <c r="BFA2483" s="66"/>
      <c r="BFB2483" s="61"/>
      <c r="BFC2483" s="56"/>
      <c r="BFD2483" s="56"/>
      <c r="BFE2483" s="66"/>
      <c r="BFF2483" s="60"/>
      <c r="BFG2483" s="60"/>
      <c r="BFH2483" s="60"/>
      <c r="BFI2483" s="66"/>
      <c r="BFJ2483" s="61"/>
      <c r="BFK2483" s="56"/>
      <c r="BFL2483" s="56"/>
      <c r="BFM2483" s="66"/>
      <c r="BFN2483" s="60"/>
      <c r="BFO2483" s="60"/>
      <c r="BFP2483" s="60"/>
      <c r="BFQ2483" s="66"/>
      <c r="BFR2483" s="61"/>
      <c r="BFS2483" s="56"/>
      <c r="BFT2483" s="56"/>
      <c r="BFU2483" s="66"/>
      <c r="BFV2483" s="60"/>
      <c r="BFW2483" s="60"/>
      <c r="BFX2483" s="60"/>
      <c r="BFY2483" s="66"/>
      <c r="BFZ2483" s="61"/>
      <c r="BGA2483" s="56"/>
      <c r="BGB2483" s="56"/>
      <c r="BGC2483" s="66"/>
      <c r="BGD2483" s="60"/>
      <c r="BGE2483" s="60"/>
      <c r="BGF2483" s="60"/>
      <c r="BGG2483" s="66"/>
      <c r="BGH2483" s="61"/>
      <c r="BGI2483" s="56"/>
      <c r="BGJ2483" s="56"/>
      <c r="BGK2483" s="66"/>
      <c r="BGL2483" s="60"/>
      <c r="BGM2483" s="60"/>
      <c r="BGN2483" s="60"/>
      <c r="BGO2483" s="66"/>
      <c r="BGP2483" s="61"/>
      <c r="BGQ2483" s="56"/>
      <c r="BGR2483" s="56"/>
      <c r="BGS2483" s="66"/>
      <c r="BGT2483" s="60"/>
      <c r="BGU2483" s="60"/>
      <c r="BGV2483" s="60"/>
      <c r="BGW2483" s="66"/>
      <c r="BGX2483" s="61"/>
      <c r="BGY2483" s="56"/>
      <c r="BGZ2483" s="56"/>
      <c r="BHA2483" s="66"/>
      <c r="BHB2483" s="60"/>
      <c r="BHC2483" s="60"/>
      <c r="BHD2483" s="60"/>
      <c r="BHE2483" s="66"/>
      <c r="BHF2483" s="61"/>
      <c r="BHG2483" s="56"/>
      <c r="BHH2483" s="56"/>
      <c r="BHI2483" s="66"/>
      <c r="BHJ2483" s="60"/>
      <c r="BHK2483" s="60"/>
      <c r="BHL2483" s="60"/>
      <c r="BHM2483" s="66"/>
      <c r="BHN2483" s="61"/>
      <c r="BHO2483" s="56"/>
      <c r="BHP2483" s="56"/>
      <c r="BHQ2483" s="66"/>
      <c r="BHR2483" s="60"/>
      <c r="BHS2483" s="60"/>
      <c r="BHT2483" s="60"/>
      <c r="BHU2483" s="66"/>
      <c r="BHV2483" s="61"/>
      <c r="BHW2483" s="56"/>
      <c r="BHX2483" s="56"/>
      <c r="BHY2483" s="66"/>
      <c r="BHZ2483" s="60"/>
      <c r="BIA2483" s="60"/>
      <c r="BIB2483" s="60"/>
      <c r="BIC2483" s="66"/>
      <c r="BID2483" s="61"/>
      <c r="BIE2483" s="56"/>
      <c r="BIF2483" s="56"/>
      <c r="BIG2483" s="66"/>
      <c r="BIH2483" s="60"/>
      <c r="BII2483" s="60"/>
      <c r="BIJ2483" s="60"/>
      <c r="BIK2483" s="66"/>
      <c r="BIL2483" s="61"/>
      <c r="BIM2483" s="56"/>
      <c r="BIN2483" s="56"/>
      <c r="BIO2483" s="66"/>
      <c r="BIP2483" s="60"/>
      <c r="BIQ2483" s="60"/>
      <c r="BIR2483" s="60"/>
      <c r="BIS2483" s="66"/>
      <c r="BIT2483" s="61"/>
      <c r="BIU2483" s="56"/>
      <c r="BIV2483" s="56"/>
      <c r="BIW2483" s="66"/>
      <c r="BIX2483" s="60"/>
      <c r="BIY2483" s="60"/>
      <c r="BIZ2483" s="60"/>
      <c r="BJA2483" s="66"/>
      <c r="BJB2483" s="61"/>
      <c r="BJC2483" s="56"/>
      <c r="BJD2483" s="56"/>
      <c r="BJE2483" s="66"/>
      <c r="BJF2483" s="60"/>
      <c r="BJG2483" s="60"/>
      <c r="BJH2483" s="60"/>
      <c r="BJI2483" s="66"/>
      <c r="BJJ2483" s="61"/>
      <c r="BJK2483" s="56"/>
      <c r="BJL2483" s="56"/>
      <c r="BJM2483" s="66"/>
      <c r="BJN2483" s="60"/>
      <c r="BJO2483" s="60"/>
      <c r="BJP2483" s="60"/>
      <c r="BJQ2483" s="66"/>
      <c r="BJR2483" s="61"/>
      <c r="BJS2483" s="56"/>
      <c r="BJT2483" s="56"/>
      <c r="BJU2483" s="66"/>
      <c r="BJV2483" s="60"/>
      <c r="BJW2483" s="60"/>
      <c r="BJX2483" s="60"/>
      <c r="BJY2483" s="66"/>
      <c r="BJZ2483" s="61"/>
      <c r="BKA2483" s="56"/>
      <c r="BKB2483" s="56"/>
      <c r="BKC2483" s="66"/>
      <c r="BKD2483" s="60"/>
      <c r="BKE2483" s="60"/>
      <c r="BKF2483" s="60"/>
      <c r="BKG2483" s="66"/>
      <c r="BKH2483" s="61"/>
      <c r="BKI2483" s="56"/>
      <c r="BKJ2483" s="56"/>
      <c r="BKK2483" s="66"/>
      <c r="BKL2483" s="60"/>
      <c r="BKM2483" s="60"/>
      <c r="BKN2483" s="60"/>
      <c r="BKO2483" s="66"/>
      <c r="BKP2483" s="61"/>
      <c r="BKQ2483" s="56"/>
      <c r="BKR2483" s="56"/>
      <c r="BKS2483" s="66"/>
      <c r="BKT2483" s="60"/>
      <c r="BKU2483" s="60"/>
      <c r="BKV2483" s="60"/>
      <c r="BKW2483" s="66"/>
      <c r="BKX2483" s="61"/>
      <c r="BKY2483" s="56"/>
      <c r="BKZ2483" s="56"/>
      <c r="BLA2483" s="66"/>
      <c r="BLB2483" s="60"/>
      <c r="BLC2483" s="60"/>
      <c r="BLD2483" s="60"/>
      <c r="BLE2483" s="66"/>
      <c r="BLF2483" s="61"/>
      <c r="BLG2483" s="56"/>
      <c r="BLH2483" s="56"/>
      <c r="BLI2483" s="66"/>
      <c r="BLJ2483" s="60"/>
      <c r="BLK2483" s="60"/>
      <c r="BLL2483" s="60"/>
      <c r="BLM2483" s="66"/>
      <c r="BLN2483" s="61"/>
      <c r="BLO2483" s="56"/>
      <c r="BLP2483" s="56"/>
      <c r="BLQ2483" s="66"/>
      <c r="BLR2483" s="60"/>
      <c r="BLS2483" s="60"/>
      <c r="BLT2483" s="60"/>
      <c r="BLU2483" s="66"/>
      <c r="BLV2483" s="61"/>
      <c r="BLW2483" s="56"/>
      <c r="BLX2483" s="56"/>
      <c r="BLY2483" s="66"/>
      <c r="BLZ2483" s="60"/>
      <c r="BMA2483" s="60"/>
      <c r="BMB2483" s="60"/>
      <c r="BMC2483" s="66"/>
      <c r="BMD2483" s="61"/>
      <c r="BME2483" s="56"/>
      <c r="BMF2483" s="56"/>
      <c r="BMG2483" s="66"/>
      <c r="BMH2483" s="60"/>
      <c r="BMI2483" s="60"/>
      <c r="BMJ2483" s="60"/>
      <c r="BMK2483" s="66"/>
      <c r="BML2483" s="61"/>
      <c r="BMM2483" s="56"/>
      <c r="BMN2483" s="56"/>
      <c r="BMO2483" s="66"/>
      <c r="BMP2483" s="60"/>
      <c r="BMQ2483" s="60"/>
      <c r="BMR2483" s="60"/>
      <c r="BMS2483" s="66"/>
      <c r="BMT2483" s="61"/>
      <c r="BMU2483" s="56"/>
      <c r="BMV2483" s="56"/>
      <c r="BMW2483" s="66"/>
      <c r="BMX2483" s="60"/>
      <c r="BMY2483" s="60"/>
      <c r="BMZ2483" s="60"/>
      <c r="BNA2483" s="66"/>
      <c r="BNB2483" s="61"/>
      <c r="BNC2483" s="56"/>
      <c r="BND2483" s="56"/>
      <c r="BNE2483" s="66"/>
      <c r="BNF2483" s="60"/>
      <c r="BNG2483" s="60"/>
      <c r="BNH2483" s="60"/>
      <c r="BNI2483" s="66"/>
      <c r="BNJ2483" s="61"/>
      <c r="BNK2483" s="56"/>
      <c r="BNL2483" s="56"/>
      <c r="BNM2483" s="66"/>
      <c r="BNN2483" s="60"/>
      <c r="BNO2483" s="60"/>
      <c r="BNP2483" s="60"/>
      <c r="BNQ2483" s="66"/>
      <c r="BNR2483" s="61"/>
      <c r="BNS2483" s="56"/>
      <c r="BNT2483" s="56"/>
      <c r="BNU2483" s="66"/>
      <c r="BNV2483" s="60"/>
      <c r="BNW2483" s="60"/>
      <c r="BNX2483" s="60"/>
      <c r="BNY2483" s="66"/>
      <c r="BNZ2483" s="61"/>
      <c r="BOA2483" s="56"/>
      <c r="BOB2483" s="56"/>
      <c r="BOC2483" s="66"/>
      <c r="BOD2483" s="60"/>
      <c r="BOE2483" s="60"/>
      <c r="BOF2483" s="60"/>
      <c r="BOG2483" s="66"/>
      <c r="BOH2483" s="61"/>
      <c r="BOI2483" s="56"/>
      <c r="BOJ2483" s="56"/>
      <c r="BOK2483" s="66"/>
      <c r="BOL2483" s="60"/>
      <c r="BOM2483" s="60"/>
      <c r="BON2483" s="60"/>
      <c r="BOO2483" s="66"/>
      <c r="BOP2483" s="61"/>
      <c r="BOQ2483" s="56"/>
      <c r="BOR2483" s="56"/>
      <c r="BOS2483" s="66"/>
      <c r="BOT2483" s="60"/>
      <c r="BOU2483" s="60"/>
      <c r="BOV2483" s="60"/>
      <c r="BOW2483" s="66"/>
      <c r="BOX2483" s="61"/>
      <c r="BOY2483" s="56"/>
      <c r="BOZ2483" s="56"/>
      <c r="BPA2483" s="66"/>
      <c r="BPB2483" s="60"/>
      <c r="BPC2483" s="60"/>
      <c r="BPD2483" s="60"/>
      <c r="BPE2483" s="66"/>
      <c r="BPF2483" s="61"/>
      <c r="BPG2483" s="56"/>
      <c r="BPH2483" s="56"/>
      <c r="BPI2483" s="66"/>
      <c r="BPJ2483" s="60"/>
      <c r="BPK2483" s="60"/>
      <c r="BPL2483" s="60"/>
      <c r="BPM2483" s="66"/>
      <c r="BPN2483" s="61"/>
      <c r="BPO2483" s="56"/>
      <c r="BPP2483" s="56"/>
      <c r="BPQ2483" s="66"/>
      <c r="BPR2483" s="60"/>
      <c r="BPS2483" s="60"/>
      <c r="BPT2483" s="60"/>
      <c r="BPU2483" s="66"/>
      <c r="BPV2483" s="61"/>
      <c r="BPW2483" s="56"/>
      <c r="BPX2483" s="56"/>
      <c r="BPY2483" s="66"/>
      <c r="BPZ2483" s="60"/>
      <c r="BQA2483" s="60"/>
      <c r="BQB2483" s="60"/>
      <c r="BQC2483" s="66"/>
      <c r="BQD2483" s="61"/>
      <c r="BQE2483" s="56"/>
      <c r="BQF2483" s="56"/>
      <c r="BQG2483" s="66"/>
      <c r="BQH2483" s="60"/>
      <c r="BQI2483" s="60"/>
      <c r="BQJ2483" s="60"/>
      <c r="BQK2483" s="66"/>
      <c r="BQL2483" s="61"/>
      <c r="BQM2483" s="56"/>
      <c r="BQN2483" s="56"/>
      <c r="BQO2483" s="66"/>
      <c r="BQP2483" s="60"/>
      <c r="BQQ2483" s="60"/>
      <c r="BQR2483" s="60"/>
      <c r="BQS2483" s="66"/>
      <c r="BQT2483" s="61"/>
      <c r="BQU2483" s="56"/>
      <c r="BQV2483" s="56"/>
      <c r="BQW2483" s="66"/>
      <c r="BQX2483" s="60"/>
      <c r="BQY2483" s="60"/>
      <c r="BQZ2483" s="60"/>
      <c r="BRA2483" s="66"/>
      <c r="BRB2483" s="61"/>
      <c r="BRC2483" s="56"/>
      <c r="BRD2483" s="56"/>
      <c r="BRE2483" s="66"/>
      <c r="BRF2483" s="60"/>
      <c r="BRG2483" s="60"/>
      <c r="BRH2483" s="60"/>
      <c r="BRI2483" s="66"/>
      <c r="BRJ2483" s="61"/>
      <c r="BRK2483" s="56"/>
      <c r="BRL2483" s="56"/>
      <c r="BRM2483" s="66"/>
      <c r="BRN2483" s="60"/>
      <c r="BRO2483" s="60"/>
      <c r="BRP2483" s="60"/>
      <c r="BRQ2483" s="66"/>
      <c r="BRR2483" s="61"/>
      <c r="BRS2483" s="56"/>
      <c r="BRT2483" s="56"/>
      <c r="BRU2483" s="66"/>
      <c r="BRV2483" s="60"/>
      <c r="BRW2483" s="60"/>
      <c r="BRX2483" s="60"/>
      <c r="BRY2483" s="66"/>
      <c r="BRZ2483" s="61"/>
      <c r="BSA2483" s="56"/>
      <c r="BSB2483" s="56"/>
      <c r="BSC2483" s="66"/>
      <c r="BSD2483" s="60"/>
      <c r="BSE2483" s="60"/>
      <c r="BSF2483" s="60"/>
      <c r="BSG2483" s="66"/>
      <c r="BSH2483" s="61"/>
      <c r="BSI2483" s="56"/>
      <c r="BSJ2483" s="56"/>
      <c r="BSK2483" s="66"/>
      <c r="BSL2483" s="60"/>
      <c r="BSM2483" s="60"/>
      <c r="BSN2483" s="60"/>
      <c r="BSO2483" s="66"/>
      <c r="BSP2483" s="61"/>
      <c r="BSQ2483" s="56"/>
      <c r="BSR2483" s="56"/>
      <c r="BSS2483" s="66"/>
      <c r="BST2483" s="60"/>
      <c r="BSU2483" s="60"/>
      <c r="BSV2483" s="60"/>
      <c r="BSW2483" s="66"/>
      <c r="BSX2483" s="61"/>
      <c r="BSY2483" s="56"/>
      <c r="BSZ2483" s="56"/>
      <c r="BTA2483" s="66"/>
      <c r="BTB2483" s="60"/>
      <c r="BTC2483" s="60"/>
      <c r="BTD2483" s="60"/>
      <c r="BTE2483" s="66"/>
      <c r="BTF2483" s="61"/>
      <c r="BTG2483" s="56"/>
      <c r="BTH2483" s="56"/>
      <c r="BTI2483" s="66"/>
      <c r="BTJ2483" s="60"/>
      <c r="BTK2483" s="60"/>
      <c r="BTL2483" s="60"/>
      <c r="BTM2483" s="66"/>
      <c r="BTN2483" s="61"/>
      <c r="BTO2483" s="56"/>
      <c r="BTP2483" s="56"/>
      <c r="BTQ2483" s="66"/>
      <c r="BTR2483" s="60"/>
      <c r="BTS2483" s="60"/>
      <c r="BTT2483" s="60"/>
      <c r="BTU2483" s="66"/>
      <c r="BTV2483" s="61"/>
      <c r="BTW2483" s="56"/>
      <c r="BTX2483" s="56"/>
      <c r="BTY2483" s="66"/>
      <c r="BTZ2483" s="60"/>
      <c r="BUA2483" s="60"/>
      <c r="BUB2483" s="60"/>
      <c r="BUC2483" s="66"/>
      <c r="BUD2483" s="61"/>
      <c r="BUE2483" s="56"/>
      <c r="BUF2483" s="56"/>
      <c r="BUG2483" s="66"/>
      <c r="BUH2483" s="60"/>
      <c r="BUI2483" s="60"/>
      <c r="BUJ2483" s="60"/>
      <c r="BUK2483" s="66"/>
      <c r="BUL2483" s="61"/>
      <c r="BUM2483" s="56"/>
      <c r="BUN2483" s="56"/>
      <c r="BUO2483" s="66"/>
      <c r="BUP2483" s="60"/>
      <c r="BUQ2483" s="60"/>
      <c r="BUR2483" s="60"/>
      <c r="BUS2483" s="66"/>
      <c r="BUT2483" s="61"/>
      <c r="BUU2483" s="56"/>
      <c r="BUV2483" s="56"/>
      <c r="BUW2483" s="66"/>
      <c r="BUX2483" s="60"/>
      <c r="BUY2483" s="60"/>
      <c r="BUZ2483" s="60"/>
      <c r="BVA2483" s="66"/>
      <c r="BVB2483" s="61"/>
      <c r="BVC2483" s="56"/>
      <c r="BVD2483" s="56"/>
      <c r="BVE2483" s="66"/>
      <c r="BVF2483" s="60"/>
      <c r="BVG2483" s="60"/>
      <c r="BVH2483" s="60"/>
      <c r="BVI2483" s="66"/>
      <c r="BVJ2483" s="61"/>
      <c r="BVK2483" s="56"/>
      <c r="BVL2483" s="56"/>
      <c r="BVM2483" s="66"/>
      <c r="BVN2483" s="60"/>
      <c r="BVO2483" s="60"/>
      <c r="BVP2483" s="60"/>
      <c r="BVQ2483" s="66"/>
      <c r="BVR2483" s="61"/>
      <c r="BVS2483" s="56"/>
      <c r="BVT2483" s="56"/>
      <c r="BVU2483" s="66"/>
      <c r="BVV2483" s="60"/>
      <c r="BVW2483" s="60"/>
      <c r="BVX2483" s="60"/>
      <c r="BVY2483" s="66"/>
      <c r="BVZ2483" s="61"/>
      <c r="BWA2483" s="56"/>
      <c r="BWB2483" s="56"/>
      <c r="BWC2483" s="66"/>
      <c r="BWD2483" s="60"/>
      <c r="BWE2483" s="60"/>
      <c r="BWF2483" s="60"/>
      <c r="BWG2483" s="66"/>
      <c r="BWH2483" s="61"/>
      <c r="BWI2483" s="56"/>
      <c r="BWJ2483" s="56"/>
      <c r="BWK2483" s="66"/>
      <c r="BWL2483" s="60"/>
      <c r="BWM2483" s="60"/>
      <c r="BWN2483" s="60"/>
      <c r="BWO2483" s="66"/>
      <c r="BWP2483" s="61"/>
      <c r="BWQ2483" s="56"/>
      <c r="BWR2483" s="56"/>
      <c r="BWS2483" s="66"/>
      <c r="BWT2483" s="60"/>
      <c r="BWU2483" s="60"/>
      <c r="BWV2483" s="60"/>
      <c r="BWW2483" s="66"/>
      <c r="BWX2483" s="61"/>
      <c r="BWY2483" s="56"/>
      <c r="BWZ2483" s="56"/>
      <c r="BXA2483" s="66"/>
      <c r="BXB2483" s="60"/>
      <c r="BXC2483" s="60"/>
      <c r="BXD2483" s="60"/>
      <c r="BXE2483" s="66"/>
      <c r="BXF2483" s="61"/>
      <c r="BXG2483" s="56"/>
      <c r="BXH2483" s="56"/>
      <c r="BXI2483" s="66"/>
      <c r="BXJ2483" s="60"/>
      <c r="BXK2483" s="60"/>
      <c r="BXL2483" s="60"/>
      <c r="BXM2483" s="66"/>
      <c r="BXN2483" s="61"/>
      <c r="BXO2483" s="56"/>
      <c r="BXP2483" s="56"/>
      <c r="BXQ2483" s="66"/>
      <c r="BXR2483" s="60"/>
      <c r="BXS2483" s="60"/>
      <c r="BXT2483" s="60"/>
      <c r="BXU2483" s="66"/>
      <c r="BXV2483" s="61"/>
      <c r="BXW2483" s="56"/>
      <c r="BXX2483" s="56"/>
      <c r="BXY2483" s="66"/>
      <c r="BXZ2483" s="60"/>
      <c r="BYA2483" s="60"/>
      <c r="BYB2483" s="60"/>
      <c r="BYC2483" s="66"/>
      <c r="BYD2483" s="61"/>
      <c r="BYE2483" s="56"/>
      <c r="BYF2483" s="56"/>
      <c r="BYG2483" s="66"/>
      <c r="BYH2483" s="60"/>
      <c r="BYI2483" s="60"/>
      <c r="BYJ2483" s="60"/>
      <c r="BYK2483" s="66"/>
      <c r="BYL2483" s="61"/>
      <c r="BYM2483" s="56"/>
      <c r="BYN2483" s="56"/>
      <c r="BYO2483" s="66"/>
      <c r="BYP2483" s="60"/>
      <c r="BYQ2483" s="60"/>
      <c r="BYR2483" s="60"/>
      <c r="BYS2483" s="66"/>
      <c r="BYT2483" s="61"/>
      <c r="BYU2483" s="56"/>
      <c r="BYV2483" s="56"/>
      <c r="BYW2483" s="66"/>
      <c r="BYX2483" s="60"/>
      <c r="BYY2483" s="60"/>
      <c r="BYZ2483" s="60"/>
      <c r="BZA2483" s="66"/>
      <c r="BZB2483" s="61"/>
      <c r="BZC2483" s="56"/>
      <c r="BZD2483" s="56"/>
      <c r="BZE2483" s="66"/>
      <c r="BZF2483" s="60"/>
      <c r="BZG2483" s="60"/>
      <c r="BZH2483" s="60"/>
      <c r="BZI2483" s="66"/>
      <c r="BZJ2483" s="61"/>
      <c r="BZK2483" s="56"/>
      <c r="BZL2483" s="56"/>
      <c r="BZM2483" s="66"/>
      <c r="BZN2483" s="60"/>
      <c r="BZO2483" s="60"/>
      <c r="BZP2483" s="60"/>
      <c r="BZQ2483" s="66"/>
      <c r="BZR2483" s="61"/>
      <c r="BZS2483" s="56"/>
      <c r="BZT2483" s="56"/>
      <c r="BZU2483" s="66"/>
      <c r="BZV2483" s="60"/>
      <c r="BZW2483" s="60"/>
      <c r="BZX2483" s="60"/>
      <c r="BZY2483" s="66"/>
      <c r="BZZ2483" s="61"/>
      <c r="CAA2483" s="56"/>
      <c r="CAB2483" s="56"/>
      <c r="CAC2483" s="66"/>
      <c r="CAD2483" s="60"/>
      <c r="CAE2483" s="60"/>
      <c r="CAF2483" s="60"/>
      <c r="CAG2483" s="66"/>
      <c r="CAH2483" s="61"/>
      <c r="CAI2483" s="56"/>
      <c r="CAJ2483" s="56"/>
      <c r="CAK2483" s="66"/>
      <c r="CAL2483" s="60"/>
      <c r="CAM2483" s="60"/>
      <c r="CAN2483" s="60"/>
      <c r="CAO2483" s="66"/>
      <c r="CAP2483" s="61"/>
      <c r="CAQ2483" s="56"/>
      <c r="CAR2483" s="56"/>
      <c r="CAS2483" s="66"/>
      <c r="CAT2483" s="60"/>
      <c r="CAU2483" s="60"/>
      <c r="CAV2483" s="60"/>
      <c r="CAW2483" s="66"/>
      <c r="CAX2483" s="61"/>
      <c r="CAY2483" s="56"/>
      <c r="CAZ2483" s="56"/>
      <c r="CBA2483" s="66"/>
      <c r="CBB2483" s="60"/>
      <c r="CBC2483" s="60"/>
      <c r="CBD2483" s="60"/>
      <c r="CBE2483" s="66"/>
      <c r="CBF2483" s="61"/>
      <c r="CBG2483" s="56"/>
      <c r="CBH2483" s="56"/>
      <c r="CBI2483" s="66"/>
      <c r="CBJ2483" s="60"/>
      <c r="CBK2483" s="60"/>
      <c r="CBL2483" s="60"/>
      <c r="CBM2483" s="66"/>
      <c r="CBN2483" s="61"/>
      <c r="CBO2483" s="56"/>
      <c r="CBP2483" s="56"/>
      <c r="CBQ2483" s="66"/>
      <c r="CBR2483" s="60"/>
      <c r="CBS2483" s="60"/>
      <c r="CBT2483" s="60"/>
      <c r="CBU2483" s="66"/>
      <c r="CBV2483" s="61"/>
      <c r="CBW2483" s="56"/>
      <c r="CBX2483" s="56"/>
      <c r="CBY2483" s="66"/>
      <c r="CBZ2483" s="60"/>
      <c r="CCA2483" s="60"/>
      <c r="CCB2483" s="60"/>
      <c r="CCC2483" s="66"/>
      <c r="CCD2483" s="61"/>
      <c r="CCE2483" s="56"/>
      <c r="CCF2483" s="56"/>
      <c r="CCG2483" s="66"/>
      <c r="CCH2483" s="60"/>
      <c r="CCI2483" s="60"/>
      <c r="CCJ2483" s="60"/>
      <c r="CCK2483" s="66"/>
      <c r="CCL2483" s="61"/>
      <c r="CCM2483" s="56"/>
      <c r="CCN2483" s="56"/>
      <c r="CCO2483" s="66"/>
      <c r="CCP2483" s="60"/>
      <c r="CCQ2483" s="60"/>
      <c r="CCR2483" s="60"/>
      <c r="CCS2483" s="66"/>
      <c r="CCT2483" s="61"/>
      <c r="CCU2483" s="56"/>
      <c r="CCV2483" s="56"/>
      <c r="CCW2483" s="66"/>
      <c r="CCX2483" s="60"/>
      <c r="CCY2483" s="60"/>
      <c r="CCZ2483" s="60"/>
      <c r="CDA2483" s="66"/>
      <c r="CDB2483" s="61"/>
      <c r="CDC2483" s="56"/>
      <c r="CDD2483" s="56"/>
      <c r="CDE2483" s="66"/>
      <c r="CDF2483" s="60"/>
      <c r="CDG2483" s="60"/>
      <c r="CDH2483" s="60"/>
      <c r="CDI2483" s="66"/>
      <c r="CDJ2483" s="61"/>
      <c r="CDK2483" s="56"/>
      <c r="CDL2483" s="56"/>
      <c r="CDM2483" s="66"/>
      <c r="CDN2483" s="60"/>
      <c r="CDO2483" s="60"/>
      <c r="CDP2483" s="60"/>
      <c r="CDQ2483" s="66"/>
      <c r="CDR2483" s="61"/>
      <c r="CDS2483" s="56"/>
      <c r="CDT2483" s="56"/>
      <c r="CDU2483" s="66"/>
      <c r="CDV2483" s="60"/>
      <c r="CDW2483" s="60"/>
      <c r="CDX2483" s="60"/>
      <c r="CDY2483" s="66"/>
      <c r="CDZ2483" s="61"/>
      <c r="CEA2483" s="56"/>
      <c r="CEB2483" s="56"/>
      <c r="CEC2483" s="66"/>
      <c r="CED2483" s="60"/>
      <c r="CEE2483" s="60"/>
      <c r="CEF2483" s="60"/>
      <c r="CEG2483" s="66"/>
      <c r="CEH2483" s="61"/>
      <c r="CEI2483" s="56"/>
      <c r="CEJ2483" s="56"/>
      <c r="CEK2483" s="66"/>
      <c r="CEL2483" s="60"/>
      <c r="CEM2483" s="60"/>
      <c r="CEN2483" s="60"/>
      <c r="CEO2483" s="66"/>
      <c r="CEP2483" s="61"/>
      <c r="CEQ2483" s="56"/>
      <c r="CER2483" s="56"/>
      <c r="CES2483" s="66"/>
      <c r="CET2483" s="60"/>
      <c r="CEU2483" s="60"/>
      <c r="CEV2483" s="60"/>
      <c r="CEW2483" s="66"/>
      <c r="CEX2483" s="61"/>
      <c r="CEY2483" s="56"/>
      <c r="CEZ2483" s="56"/>
      <c r="CFA2483" s="66"/>
      <c r="CFB2483" s="60"/>
      <c r="CFC2483" s="60"/>
      <c r="CFD2483" s="60"/>
      <c r="CFE2483" s="66"/>
      <c r="CFF2483" s="61"/>
      <c r="CFG2483" s="56"/>
      <c r="CFH2483" s="56"/>
      <c r="CFI2483" s="66"/>
      <c r="CFJ2483" s="60"/>
      <c r="CFK2483" s="60"/>
      <c r="CFL2483" s="60"/>
      <c r="CFM2483" s="66"/>
      <c r="CFN2483" s="61"/>
      <c r="CFO2483" s="56"/>
      <c r="CFP2483" s="56"/>
      <c r="CFQ2483" s="66"/>
      <c r="CFR2483" s="60"/>
      <c r="CFS2483" s="60"/>
      <c r="CFT2483" s="60"/>
      <c r="CFU2483" s="66"/>
      <c r="CFV2483" s="61"/>
      <c r="CFW2483" s="56"/>
      <c r="CFX2483" s="56"/>
      <c r="CFY2483" s="66"/>
      <c r="CFZ2483" s="60"/>
      <c r="CGA2483" s="60"/>
      <c r="CGB2483" s="60"/>
      <c r="CGC2483" s="66"/>
      <c r="CGD2483" s="61"/>
      <c r="CGE2483" s="56"/>
      <c r="CGF2483" s="56"/>
      <c r="CGG2483" s="66"/>
      <c r="CGH2483" s="60"/>
      <c r="CGI2483" s="60"/>
      <c r="CGJ2483" s="60"/>
      <c r="CGK2483" s="66"/>
      <c r="CGL2483" s="61"/>
      <c r="CGM2483" s="56"/>
      <c r="CGN2483" s="56"/>
      <c r="CGO2483" s="66"/>
      <c r="CGP2483" s="60"/>
      <c r="CGQ2483" s="60"/>
      <c r="CGR2483" s="60"/>
      <c r="CGS2483" s="66"/>
      <c r="CGT2483" s="61"/>
      <c r="CGU2483" s="56"/>
      <c r="CGV2483" s="56"/>
      <c r="CGW2483" s="66"/>
      <c r="CGX2483" s="60"/>
      <c r="CGY2483" s="60"/>
      <c r="CGZ2483" s="60"/>
      <c r="CHA2483" s="66"/>
      <c r="CHB2483" s="61"/>
      <c r="CHC2483" s="56"/>
      <c r="CHD2483" s="56"/>
      <c r="CHE2483" s="66"/>
      <c r="CHF2483" s="60"/>
      <c r="CHG2483" s="60"/>
      <c r="CHH2483" s="60"/>
      <c r="CHI2483" s="66"/>
      <c r="CHJ2483" s="61"/>
      <c r="CHK2483" s="56"/>
      <c r="CHL2483" s="56"/>
      <c r="CHM2483" s="66"/>
      <c r="CHN2483" s="60"/>
      <c r="CHO2483" s="60"/>
      <c r="CHP2483" s="60"/>
      <c r="CHQ2483" s="66"/>
      <c r="CHR2483" s="61"/>
      <c r="CHS2483" s="56"/>
      <c r="CHT2483" s="56"/>
      <c r="CHU2483" s="66"/>
      <c r="CHV2483" s="60"/>
      <c r="CHW2483" s="60"/>
      <c r="CHX2483" s="60"/>
      <c r="CHY2483" s="66"/>
      <c r="CHZ2483" s="61"/>
      <c r="CIA2483" s="56"/>
      <c r="CIB2483" s="56"/>
      <c r="CIC2483" s="66"/>
      <c r="CID2483" s="60"/>
      <c r="CIE2483" s="60"/>
      <c r="CIF2483" s="60"/>
      <c r="CIG2483" s="66"/>
      <c r="CIH2483" s="61"/>
      <c r="CII2483" s="56"/>
      <c r="CIJ2483" s="56"/>
      <c r="CIK2483" s="66"/>
      <c r="CIL2483" s="60"/>
      <c r="CIM2483" s="60"/>
      <c r="CIN2483" s="60"/>
      <c r="CIO2483" s="66"/>
      <c r="CIP2483" s="61"/>
      <c r="CIQ2483" s="56"/>
      <c r="CIR2483" s="56"/>
      <c r="CIS2483" s="66"/>
      <c r="CIT2483" s="60"/>
      <c r="CIU2483" s="60"/>
      <c r="CIV2483" s="60"/>
      <c r="CIW2483" s="66"/>
      <c r="CIX2483" s="61"/>
      <c r="CIY2483" s="56"/>
      <c r="CIZ2483" s="56"/>
      <c r="CJA2483" s="66"/>
      <c r="CJB2483" s="60"/>
      <c r="CJC2483" s="60"/>
      <c r="CJD2483" s="60"/>
      <c r="CJE2483" s="66"/>
      <c r="CJF2483" s="61"/>
      <c r="CJG2483" s="56"/>
      <c r="CJH2483" s="56"/>
      <c r="CJI2483" s="66"/>
      <c r="CJJ2483" s="60"/>
      <c r="CJK2483" s="60"/>
      <c r="CJL2483" s="60"/>
      <c r="CJM2483" s="66"/>
      <c r="CJN2483" s="61"/>
      <c r="CJO2483" s="56"/>
      <c r="CJP2483" s="56"/>
      <c r="CJQ2483" s="66"/>
      <c r="CJR2483" s="60"/>
      <c r="CJS2483" s="60"/>
      <c r="CJT2483" s="60"/>
      <c r="CJU2483" s="66"/>
      <c r="CJV2483" s="61"/>
      <c r="CJW2483" s="56"/>
      <c r="CJX2483" s="56"/>
      <c r="CJY2483" s="66"/>
      <c r="CJZ2483" s="60"/>
      <c r="CKA2483" s="60"/>
      <c r="CKB2483" s="60"/>
      <c r="CKC2483" s="66"/>
      <c r="CKD2483" s="61"/>
      <c r="CKE2483" s="56"/>
      <c r="CKF2483" s="56"/>
      <c r="CKG2483" s="66"/>
      <c r="CKH2483" s="60"/>
      <c r="CKI2483" s="60"/>
      <c r="CKJ2483" s="60"/>
      <c r="CKK2483" s="66"/>
      <c r="CKL2483" s="61"/>
      <c r="CKM2483" s="56"/>
      <c r="CKN2483" s="56"/>
      <c r="CKO2483" s="66"/>
      <c r="CKP2483" s="60"/>
      <c r="CKQ2483" s="60"/>
      <c r="CKR2483" s="60"/>
      <c r="CKS2483" s="66"/>
      <c r="CKT2483" s="61"/>
      <c r="CKU2483" s="56"/>
      <c r="CKV2483" s="56"/>
      <c r="CKW2483" s="66"/>
      <c r="CKX2483" s="60"/>
      <c r="CKY2483" s="60"/>
      <c r="CKZ2483" s="60"/>
      <c r="CLA2483" s="66"/>
      <c r="CLB2483" s="61"/>
      <c r="CLC2483" s="56"/>
      <c r="CLD2483" s="56"/>
      <c r="CLE2483" s="66"/>
      <c r="CLF2483" s="60"/>
      <c r="CLG2483" s="60"/>
      <c r="CLH2483" s="60"/>
      <c r="CLI2483" s="66"/>
      <c r="CLJ2483" s="61"/>
      <c r="CLK2483" s="56"/>
      <c r="CLL2483" s="56"/>
      <c r="CLM2483" s="66"/>
      <c r="CLN2483" s="60"/>
      <c r="CLO2483" s="60"/>
      <c r="CLP2483" s="60"/>
      <c r="CLQ2483" s="66"/>
      <c r="CLR2483" s="61"/>
      <c r="CLS2483" s="56"/>
      <c r="CLT2483" s="56"/>
      <c r="CLU2483" s="66"/>
      <c r="CLV2483" s="60"/>
      <c r="CLW2483" s="60"/>
      <c r="CLX2483" s="60"/>
      <c r="CLY2483" s="66"/>
      <c r="CLZ2483" s="61"/>
      <c r="CMA2483" s="56"/>
      <c r="CMB2483" s="56"/>
      <c r="CMC2483" s="66"/>
      <c r="CMD2483" s="60"/>
      <c r="CME2483" s="60"/>
      <c r="CMF2483" s="60"/>
      <c r="CMG2483" s="66"/>
      <c r="CMH2483" s="61"/>
      <c r="CMI2483" s="56"/>
      <c r="CMJ2483" s="56"/>
      <c r="CMK2483" s="66"/>
      <c r="CML2483" s="60"/>
      <c r="CMM2483" s="60"/>
      <c r="CMN2483" s="60"/>
      <c r="CMO2483" s="66"/>
      <c r="CMP2483" s="61"/>
      <c r="CMQ2483" s="56"/>
      <c r="CMR2483" s="56"/>
      <c r="CMS2483" s="66"/>
      <c r="CMT2483" s="60"/>
      <c r="CMU2483" s="60"/>
      <c r="CMV2483" s="60"/>
      <c r="CMW2483" s="66"/>
      <c r="CMX2483" s="61"/>
      <c r="CMY2483" s="56"/>
      <c r="CMZ2483" s="56"/>
      <c r="CNA2483" s="66"/>
      <c r="CNB2483" s="60"/>
      <c r="CNC2483" s="60"/>
      <c r="CND2483" s="60"/>
      <c r="CNE2483" s="66"/>
      <c r="CNF2483" s="61"/>
      <c r="CNG2483" s="56"/>
      <c r="CNH2483" s="56"/>
      <c r="CNI2483" s="66"/>
      <c r="CNJ2483" s="60"/>
      <c r="CNK2483" s="60"/>
      <c r="CNL2483" s="60"/>
      <c r="CNM2483" s="66"/>
      <c r="CNN2483" s="61"/>
      <c r="CNO2483" s="56"/>
      <c r="CNP2483" s="56"/>
      <c r="CNQ2483" s="66"/>
      <c r="CNR2483" s="60"/>
      <c r="CNS2483" s="60"/>
      <c r="CNT2483" s="60"/>
      <c r="CNU2483" s="66"/>
      <c r="CNV2483" s="61"/>
      <c r="CNW2483" s="56"/>
      <c r="CNX2483" s="56"/>
      <c r="CNY2483" s="66"/>
      <c r="CNZ2483" s="60"/>
      <c r="COA2483" s="60"/>
      <c r="COB2483" s="60"/>
      <c r="COC2483" s="66"/>
      <c r="COD2483" s="61"/>
      <c r="COE2483" s="56"/>
      <c r="COF2483" s="56"/>
      <c r="COG2483" s="66"/>
      <c r="COH2483" s="60"/>
      <c r="COI2483" s="60"/>
      <c r="COJ2483" s="60"/>
      <c r="COK2483" s="66"/>
      <c r="COL2483" s="61"/>
      <c r="COM2483" s="56"/>
      <c r="CON2483" s="56"/>
      <c r="COO2483" s="66"/>
      <c r="COP2483" s="60"/>
      <c r="COQ2483" s="60"/>
      <c r="COR2483" s="60"/>
      <c r="COS2483" s="66"/>
      <c r="COT2483" s="61"/>
      <c r="COU2483" s="56"/>
      <c r="COV2483" s="56"/>
      <c r="COW2483" s="66"/>
      <c r="COX2483" s="60"/>
      <c r="COY2483" s="60"/>
      <c r="COZ2483" s="60"/>
      <c r="CPA2483" s="66"/>
      <c r="CPB2483" s="61"/>
      <c r="CPC2483" s="56"/>
      <c r="CPD2483" s="56"/>
      <c r="CPE2483" s="66"/>
      <c r="CPF2483" s="60"/>
      <c r="CPG2483" s="60"/>
      <c r="CPH2483" s="60"/>
      <c r="CPI2483" s="66"/>
      <c r="CPJ2483" s="61"/>
      <c r="CPK2483" s="56"/>
      <c r="CPL2483" s="56"/>
      <c r="CPM2483" s="66"/>
      <c r="CPN2483" s="60"/>
      <c r="CPO2483" s="60"/>
      <c r="CPP2483" s="60"/>
      <c r="CPQ2483" s="66"/>
      <c r="CPR2483" s="61"/>
      <c r="CPS2483" s="56"/>
      <c r="CPT2483" s="56"/>
      <c r="CPU2483" s="66"/>
      <c r="CPV2483" s="60"/>
      <c r="CPW2483" s="60"/>
      <c r="CPX2483" s="60"/>
      <c r="CPY2483" s="66"/>
      <c r="CPZ2483" s="61"/>
      <c r="CQA2483" s="56"/>
      <c r="CQB2483" s="56"/>
      <c r="CQC2483" s="66"/>
      <c r="CQD2483" s="60"/>
      <c r="CQE2483" s="60"/>
      <c r="CQF2483" s="60"/>
      <c r="CQG2483" s="66"/>
      <c r="CQH2483" s="61"/>
      <c r="CQI2483" s="56"/>
      <c r="CQJ2483" s="56"/>
      <c r="CQK2483" s="66"/>
      <c r="CQL2483" s="60"/>
      <c r="CQM2483" s="60"/>
      <c r="CQN2483" s="60"/>
      <c r="CQO2483" s="66"/>
      <c r="CQP2483" s="61"/>
      <c r="CQQ2483" s="56"/>
      <c r="CQR2483" s="56"/>
      <c r="CQS2483" s="66"/>
      <c r="CQT2483" s="60"/>
      <c r="CQU2483" s="60"/>
      <c r="CQV2483" s="60"/>
      <c r="CQW2483" s="66"/>
      <c r="CQX2483" s="61"/>
      <c r="CQY2483" s="56"/>
      <c r="CQZ2483" s="56"/>
      <c r="CRA2483" s="66"/>
      <c r="CRB2483" s="60"/>
      <c r="CRC2483" s="60"/>
      <c r="CRD2483" s="60"/>
      <c r="CRE2483" s="66"/>
      <c r="CRF2483" s="61"/>
      <c r="CRG2483" s="56"/>
      <c r="CRH2483" s="56"/>
      <c r="CRI2483" s="66"/>
      <c r="CRJ2483" s="60"/>
      <c r="CRK2483" s="60"/>
      <c r="CRL2483" s="60"/>
      <c r="CRM2483" s="66"/>
      <c r="CRN2483" s="61"/>
      <c r="CRO2483" s="56"/>
      <c r="CRP2483" s="56"/>
      <c r="CRQ2483" s="66"/>
      <c r="CRR2483" s="60"/>
      <c r="CRS2483" s="60"/>
      <c r="CRT2483" s="60"/>
      <c r="CRU2483" s="66"/>
      <c r="CRV2483" s="61"/>
      <c r="CRW2483" s="56"/>
      <c r="CRX2483" s="56"/>
      <c r="CRY2483" s="66"/>
      <c r="CRZ2483" s="60"/>
      <c r="CSA2483" s="60"/>
      <c r="CSB2483" s="60"/>
      <c r="CSC2483" s="66"/>
      <c r="CSD2483" s="61"/>
      <c r="CSE2483" s="56"/>
      <c r="CSF2483" s="56"/>
      <c r="CSG2483" s="66"/>
      <c r="CSH2483" s="60"/>
      <c r="CSI2483" s="60"/>
      <c r="CSJ2483" s="60"/>
      <c r="CSK2483" s="66"/>
      <c r="CSL2483" s="61"/>
      <c r="CSM2483" s="56"/>
      <c r="CSN2483" s="56"/>
      <c r="CSO2483" s="66"/>
      <c r="CSP2483" s="60"/>
      <c r="CSQ2483" s="60"/>
      <c r="CSR2483" s="60"/>
      <c r="CSS2483" s="66"/>
      <c r="CST2483" s="61"/>
      <c r="CSU2483" s="56"/>
      <c r="CSV2483" s="56"/>
      <c r="CSW2483" s="66"/>
      <c r="CSX2483" s="60"/>
      <c r="CSY2483" s="60"/>
      <c r="CSZ2483" s="60"/>
      <c r="CTA2483" s="66"/>
      <c r="CTB2483" s="61"/>
      <c r="CTC2483" s="56"/>
      <c r="CTD2483" s="56"/>
      <c r="CTE2483" s="66"/>
      <c r="CTF2483" s="60"/>
      <c r="CTG2483" s="60"/>
      <c r="CTH2483" s="60"/>
      <c r="CTI2483" s="66"/>
      <c r="CTJ2483" s="61"/>
      <c r="CTK2483" s="56"/>
      <c r="CTL2483" s="56"/>
      <c r="CTM2483" s="66"/>
      <c r="CTN2483" s="60"/>
      <c r="CTO2483" s="60"/>
      <c r="CTP2483" s="60"/>
      <c r="CTQ2483" s="66"/>
      <c r="CTR2483" s="61"/>
      <c r="CTS2483" s="56"/>
      <c r="CTT2483" s="56"/>
      <c r="CTU2483" s="66"/>
      <c r="CTV2483" s="60"/>
      <c r="CTW2483" s="60"/>
      <c r="CTX2483" s="60"/>
      <c r="CTY2483" s="66"/>
      <c r="CTZ2483" s="61"/>
      <c r="CUA2483" s="56"/>
      <c r="CUB2483" s="56"/>
      <c r="CUC2483" s="66"/>
      <c r="CUD2483" s="60"/>
      <c r="CUE2483" s="60"/>
      <c r="CUF2483" s="60"/>
      <c r="CUG2483" s="66"/>
      <c r="CUH2483" s="61"/>
      <c r="CUI2483" s="56"/>
      <c r="CUJ2483" s="56"/>
      <c r="CUK2483" s="66"/>
      <c r="CUL2483" s="60"/>
      <c r="CUM2483" s="60"/>
      <c r="CUN2483" s="60"/>
      <c r="CUO2483" s="66"/>
      <c r="CUP2483" s="61"/>
      <c r="CUQ2483" s="56"/>
      <c r="CUR2483" s="56"/>
      <c r="CUS2483" s="66"/>
      <c r="CUT2483" s="60"/>
      <c r="CUU2483" s="60"/>
      <c r="CUV2483" s="60"/>
      <c r="CUW2483" s="66"/>
      <c r="CUX2483" s="61"/>
      <c r="CUY2483" s="56"/>
      <c r="CUZ2483" s="56"/>
      <c r="CVA2483" s="66"/>
      <c r="CVB2483" s="60"/>
      <c r="CVC2483" s="60"/>
      <c r="CVD2483" s="60"/>
      <c r="CVE2483" s="66"/>
      <c r="CVF2483" s="61"/>
      <c r="CVG2483" s="56"/>
      <c r="CVH2483" s="56"/>
      <c r="CVI2483" s="66"/>
      <c r="CVJ2483" s="60"/>
      <c r="CVK2483" s="60"/>
      <c r="CVL2483" s="60"/>
      <c r="CVM2483" s="66"/>
      <c r="CVN2483" s="61"/>
      <c r="CVO2483" s="56"/>
      <c r="CVP2483" s="56"/>
      <c r="CVQ2483" s="66"/>
      <c r="CVR2483" s="60"/>
      <c r="CVS2483" s="60"/>
      <c r="CVT2483" s="60"/>
      <c r="CVU2483" s="66"/>
      <c r="CVV2483" s="61"/>
      <c r="CVW2483" s="56"/>
      <c r="CVX2483" s="56"/>
      <c r="CVY2483" s="66"/>
      <c r="CVZ2483" s="60"/>
      <c r="CWA2483" s="60"/>
      <c r="CWB2483" s="60"/>
      <c r="CWC2483" s="66"/>
      <c r="CWD2483" s="61"/>
      <c r="CWE2483" s="56"/>
      <c r="CWF2483" s="56"/>
      <c r="CWG2483" s="66"/>
      <c r="CWH2483" s="60"/>
      <c r="CWI2483" s="60"/>
      <c r="CWJ2483" s="60"/>
      <c r="CWK2483" s="66"/>
      <c r="CWL2483" s="61"/>
      <c r="CWM2483" s="56"/>
      <c r="CWN2483" s="56"/>
      <c r="CWO2483" s="66"/>
      <c r="CWP2483" s="60"/>
      <c r="CWQ2483" s="60"/>
      <c r="CWR2483" s="60"/>
      <c r="CWS2483" s="66"/>
      <c r="CWT2483" s="61"/>
      <c r="CWU2483" s="56"/>
      <c r="CWV2483" s="56"/>
      <c r="CWW2483" s="66"/>
      <c r="CWX2483" s="60"/>
      <c r="CWY2483" s="60"/>
      <c r="CWZ2483" s="60"/>
      <c r="CXA2483" s="66"/>
      <c r="CXB2483" s="61"/>
      <c r="CXC2483" s="56"/>
      <c r="CXD2483" s="56"/>
      <c r="CXE2483" s="66"/>
      <c r="CXF2483" s="60"/>
      <c r="CXG2483" s="60"/>
      <c r="CXH2483" s="60"/>
      <c r="CXI2483" s="66"/>
      <c r="CXJ2483" s="61"/>
      <c r="CXK2483" s="56"/>
      <c r="CXL2483" s="56"/>
      <c r="CXM2483" s="66"/>
      <c r="CXN2483" s="60"/>
      <c r="CXO2483" s="60"/>
      <c r="CXP2483" s="60"/>
      <c r="CXQ2483" s="66"/>
      <c r="CXR2483" s="61"/>
      <c r="CXS2483" s="56"/>
      <c r="CXT2483" s="56"/>
      <c r="CXU2483" s="66"/>
      <c r="CXV2483" s="60"/>
      <c r="CXW2483" s="60"/>
      <c r="CXX2483" s="60"/>
      <c r="CXY2483" s="66"/>
      <c r="CXZ2483" s="61"/>
      <c r="CYA2483" s="56"/>
      <c r="CYB2483" s="56"/>
      <c r="CYC2483" s="66"/>
      <c r="CYD2483" s="60"/>
      <c r="CYE2483" s="60"/>
      <c r="CYF2483" s="60"/>
      <c r="CYG2483" s="66"/>
      <c r="CYH2483" s="61"/>
      <c r="CYI2483" s="56"/>
      <c r="CYJ2483" s="56"/>
      <c r="CYK2483" s="66"/>
      <c r="CYL2483" s="60"/>
      <c r="CYM2483" s="60"/>
      <c r="CYN2483" s="60"/>
      <c r="CYO2483" s="66"/>
      <c r="CYP2483" s="61"/>
      <c r="CYQ2483" s="56"/>
      <c r="CYR2483" s="56"/>
      <c r="CYS2483" s="66"/>
      <c r="CYT2483" s="60"/>
      <c r="CYU2483" s="60"/>
      <c r="CYV2483" s="60"/>
      <c r="CYW2483" s="66"/>
      <c r="CYX2483" s="61"/>
      <c r="CYY2483" s="56"/>
      <c r="CYZ2483" s="56"/>
      <c r="CZA2483" s="66"/>
      <c r="CZB2483" s="60"/>
      <c r="CZC2483" s="60"/>
      <c r="CZD2483" s="60"/>
      <c r="CZE2483" s="66"/>
      <c r="CZF2483" s="61"/>
      <c r="CZG2483" s="56"/>
      <c r="CZH2483" s="56"/>
      <c r="CZI2483" s="66"/>
      <c r="CZJ2483" s="60"/>
      <c r="CZK2483" s="60"/>
      <c r="CZL2483" s="60"/>
      <c r="CZM2483" s="66"/>
      <c r="CZN2483" s="61"/>
      <c r="CZO2483" s="56"/>
      <c r="CZP2483" s="56"/>
      <c r="CZQ2483" s="66"/>
      <c r="CZR2483" s="60"/>
      <c r="CZS2483" s="60"/>
      <c r="CZT2483" s="60"/>
      <c r="CZU2483" s="66"/>
      <c r="CZV2483" s="61"/>
      <c r="CZW2483" s="56"/>
      <c r="CZX2483" s="56"/>
      <c r="CZY2483" s="66"/>
      <c r="CZZ2483" s="60"/>
      <c r="DAA2483" s="60"/>
      <c r="DAB2483" s="60"/>
      <c r="DAC2483" s="66"/>
      <c r="DAD2483" s="61"/>
      <c r="DAE2483" s="56"/>
      <c r="DAF2483" s="56"/>
      <c r="DAG2483" s="66"/>
      <c r="DAH2483" s="60"/>
      <c r="DAI2483" s="60"/>
      <c r="DAJ2483" s="60"/>
      <c r="DAK2483" s="66"/>
      <c r="DAL2483" s="61"/>
      <c r="DAM2483" s="56"/>
      <c r="DAN2483" s="56"/>
      <c r="DAO2483" s="66"/>
      <c r="DAP2483" s="60"/>
      <c r="DAQ2483" s="60"/>
      <c r="DAR2483" s="60"/>
      <c r="DAS2483" s="66"/>
      <c r="DAT2483" s="61"/>
      <c r="DAU2483" s="56"/>
      <c r="DAV2483" s="56"/>
      <c r="DAW2483" s="66"/>
      <c r="DAX2483" s="60"/>
      <c r="DAY2483" s="60"/>
      <c r="DAZ2483" s="60"/>
      <c r="DBA2483" s="66"/>
      <c r="DBB2483" s="61"/>
      <c r="DBC2483" s="56"/>
      <c r="DBD2483" s="56"/>
      <c r="DBE2483" s="66"/>
      <c r="DBF2483" s="60"/>
      <c r="DBG2483" s="60"/>
      <c r="DBH2483" s="60"/>
      <c r="DBI2483" s="66"/>
      <c r="DBJ2483" s="61"/>
      <c r="DBK2483" s="56"/>
      <c r="DBL2483" s="56"/>
      <c r="DBM2483" s="66"/>
      <c r="DBN2483" s="60"/>
      <c r="DBO2483" s="60"/>
      <c r="DBP2483" s="60"/>
      <c r="DBQ2483" s="66"/>
      <c r="DBR2483" s="61"/>
      <c r="DBS2483" s="56"/>
      <c r="DBT2483" s="56"/>
      <c r="DBU2483" s="66"/>
      <c r="DBV2483" s="60"/>
      <c r="DBW2483" s="60"/>
      <c r="DBX2483" s="60"/>
      <c r="DBY2483" s="66"/>
      <c r="DBZ2483" s="61"/>
      <c r="DCA2483" s="56"/>
      <c r="DCB2483" s="56"/>
      <c r="DCC2483" s="66"/>
      <c r="DCD2483" s="60"/>
      <c r="DCE2483" s="60"/>
      <c r="DCF2483" s="60"/>
      <c r="DCG2483" s="66"/>
      <c r="DCH2483" s="61"/>
      <c r="DCI2483" s="56"/>
      <c r="DCJ2483" s="56"/>
      <c r="DCK2483" s="66"/>
      <c r="DCL2483" s="60"/>
      <c r="DCM2483" s="60"/>
      <c r="DCN2483" s="60"/>
      <c r="DCO2483" s="66"/>
      <c r="DCP2483" s="61"/>
      <c r="DCQ2483" s="56"/>
      <c r="DCR2483" s="56"/>
      <c r="DCS2483" s="66"/>
      <c r="DCT2483" s="60"/>
      <c r="DCU2483" s="60"/>
      <c r="DCV2483" s="60"/>
      <c r="DCW2483" s="66"/>
      <c r="DCX2483" s="61"/>
      <c r="DCY2483" s="56"/>
      <c r="DCZ2483" s="56"/>
      <c r="DDA2483" s="66"/>
      <c r="DDB2483" s="60"/>
      <c r="DDC2483" s="60"/>
      <c r="DDD2483" s="60"/>
      <c r="DDE2483" s="66"/>
      <c r="DDF2483" s="61"/>
      <c r="DDG2483" s="56"/>
      <c r="DDH2483" s="56"/>
      <c r="DDI2483" s="66"/>
      <c r="DDJ2483" s="60"/>
      <c r="DDK2483" s="60"/>
      <c r="DDL2483" s="60"/>
      <c r="DDM2483" s="66"/>
      <c r="DDN2483" s="61"/>
      <c r="DDO2483" s="56"/>
      <c r="DDP2483" s="56"/>
      <c r="DDQ2483" s="66"/>
      <c r="DDR2483" s="60"/>
      <c r="DDS2483" s="60"/>
      <c r="DDT2483" s="60"/>
      <c r="DDU2483" s="66"/>
      <c r="DDV2483" s="61"/>
      <c r="DDW2483" s="56"/>
      <c r="DDX2483" s="56"/>
      <c r="DDY2483" s="66"/>
      <c r="DDZ2483" s="60"/>
      <c r="DEA2483" s="60"/>
      <c r="DEB2483" s="60"/>
      <c r="DEC2483" s="66"/>
      <c r="DED2483" s="61"/>
      <c r="DEE2483" s="56"/>
      <c r="DEF2483" s="56"/>
      <c r="DEG2483" s="66"/>
      <c r="DEH2483" s="60"/>
      <c r="DEI2483" s="60"/>
      <c r="DEJ2483" s="60"/>
      <c r="DEK2483" s="66"/>
      <c r="DEL2483" s="61"/>
      <c r="DEM2483" s="56"/>
      <c r="DEN2483" s="56"/>
      <c r="DEO2483" s="66"/>
      <c r="DEP2483" s="60"/>
      <c r="DEQ2483" s="60"/>
      <c r="DER2483" s="60"/>
      <c r="DES2483" s="66"/>
      <c r="DET2483" s="61"/>
      <c r="DEU2483" s="56"/>
      <c r="DEV2483" s="56"/>
      <c r="DEW2483" s="66"/>
      <c r="DEX2483" s="60"/>
      <c r="DEY2483" s="60"/>
      <c r="DEZ2483" s="60"/>
      <c r="DFA2483" s="66"/>
      <c r="DFB2483" s="61"/>
      <c r="DFC2483" s="56"/>
      <c r="DFD2483" s="56"/>
      <c r="DFE2483" s="66"/>
      <c r="DFF2483" s="60"/>
      <c r="DFG2483" s="60"/>
      <c r="DFH2483" s="60"/>
      <c r="DFI2483" s="66"/>
      <c r="DFJ2483" s="61"/>
      <c r="DFK2483" s="56"/>
      <c r="DFL2483" s="56"/>
      <c r="DFM2483" s="66"/>
      <c r="DFN2483" s="60"/>
      <c r="DFO2483" s="60"/>
      <c r="DFP2483" s="60"/>
      <c r="DFQ2483" s="66"/>
      <c r="DFR2483" s="61"/>
      <c r="DFS2483" s="56"/>
      <c r="DFT2483" s="56"/>
      <c r="DFU2483" s="66"/>
      <c r="DFV2483" s="60"/>
      <c r="DFW2483" s="60"/>
      <c r="DFX2483" s="60"/>
      <c r="DFY2483" s="66"/>
      <c r="DFZ2483" s="61"/>
      <c r="DGA2483" s="56"/>
      <c r="DGB2483" s="56"/>
      <c r="DGC2483" s="66"/>
      <c r="DGD2483" s="60"/>
      <c r="DGE2483" s="60"/>
      <c r="DGF2483" s="60"/>
      <c r="DGG2483" s="66"/>
      <c r="DGH2483" s="61"/>
      <c r="DGI2483" s="56"/>
      <c r="DGJ2483" s="56"/>
      <c r="DGK2483" s="66"/>
      <c r="DGL2483" s="60"/>
      <c r="DGM2483" s="60"/>
      <c r="DGN2483" s="60"/>
      <c r="DGO2483" s="66"/>
      <c r="DGP2483" s="61"/>
      <c r="DGQ2483" s="56"/>
      <c r="DGR2483" s="56"/>
      <c r="DGS2483" s="66"/>
      <c r="DGT2483" s="60"/>
      <c r="DGU2483" s="60"/>
      <c r="DGV2483" s="60"/>
      <c r="DGW2483" s="66"/>
      <c r="DGX2483" s="61"/>
      <c r="DGY2483" s="56"/>
      <c r="DGZ2483" s="56"/>
      <c r="DHA2483" s="66"/>
      <c r="DHB2483" s="60"/>
      <c r="DHC2483" s="60"/>
      <c r="DHD2483" s="60"/>
      <c r="DHE2483" s="66"/>
      <c r="DHF2483" s="61"/>
      <c r="DHG2483" s="56"/>
      <c r="DHH2483" s="56"/>
      <c r="DHI2483" s="66"/>
      <c r="DHJ2483" s="60"/>
      <c r="DHK2483" s="60"/>
      <c r="DHL2483" s="60"/>
      <c r="DHM2483" s="66"/>
      <c r="DHN2483" s="61"/>
      <c r="DHO2483" s="56"/>
      <c r="DHP2483" s="56"/>
      <c r="DHQ2483" s="66"/>
      <c r="DHR2483" s="60"/>
      <c r="DHS2483" s="60"/>
      <c r="DHT2483" s="60"/>
      <c r="DHU2483" s="66"/>
      <c r="DHV2483" s="61"/>
      <c r="DHW2483" s="56"/>
      <c r="DHX2483" s="56"/>
      <c r="DHY2483" s="66"/>
      <c r="DHZ2483" s="60"/>
      <c r="DIA2483" s="60"/>
      <c r="DIB2483" s="60"/>
      <c r="DIC2483" s="66"/>
      <c r="DID2483" s="61"/>
      <c r="DIE2483" s="56"/>
      <c r="DIF2483" s="56"/>
      <c r="DIG2483" s="66"/>
      <c r="DIH2483" s="60"/>
      <c r="DII2483" s="60"/>
      <c r="DIJ2483" s="60"/>
      <c r="DIK2483" s="66"/>
      <c r="DIL2483" s="61"/>
      <c r="DIM2483" s="56"/>
      <c r="DIN2483" s="56"/>
      <c r="DIO2483" s="66"/>
      <c r="DIP2483" s="60"/>
      <c r="DIQ2483" s="60"/>
      <c r="DIR2483" s="60"/>
      <c r="DIS2483" s="66"/>
      <c r="DIT2483" s="61"/>
      <c r="DIU2483" s="56"/>
      <c r="DIV2483" s="56"/>
      <c r="DIW2483" s="66"/>
      <c r="DIX2483" s="60"/>
      <c r="DIY2483" s="60"/>
      <c r="DIZ2483" s="60"/>
      <c r="DJA2483" s="66"/>
      <c r="DJB2483" s="61"/>
      <c r="DJC2483" s="56"/>
      <c r="DJD2483" s="56"/>
      <c r="DJE2483" s="66"/>
      <c r="DJF2483" s="60"/>
      <c r="DJG2483" s="60"/>
      <c r="DJH2483" s="60"/>
      <c r="DJI2483" s="66"/>
      <c r="DJJ2483" s="61"/>
      <c r="DJK2483" s="56"/>
      <c r="DJL2483" s="56"/>
      <c r="DJM2483" s="66"/>
      <c r="DJN2483" s="60"/>
      <c r="DJO2483" s="60"/>
      <c r="DJP2483" s="60"/>
      <c r="DJQ2483" s="66"/>
      <c r="DJR2483" s="61"/>
      <c r="DJS2483" s="56"/>
      <c r="DJT2483" s="56"/>
      <c r="DJU2483" s="66"/>
      <c r="DJV2483" s="60"/>
      <c r="DJW2483" s="60"/>
      <c r="DJX2483" s="60"/>
      <c r="DJY2483" s="66"/>
      <c r="DJZ2483" s="61"/>
      <c r="DKA2483" s="56"/>
      <c r="DKB2483" s="56"/>
      <c r="DKC2483" s="66"/>
      <c r="DKD2483" s="60"/>
      <c r="DKE2483" s="60"/>
      <c r="DKF2483" s="60"/>
      <c r="DKG2483" s="66"/>
      <c r="DKH2483" s="61"/>
      <c r="DKI2483" s="56"/>
      <c r="DKJ2483" s="56"/>
      <c r="DKK2483" s="66"/>
      <c r="DKL2483" s="60"/>
      <c r="DKM2483" s="60"/>
      <c r="DKN2483" s="60"/>
      <c r="DKO2483" s="66"/>
      <c r="DKP2483" s="61"/>
      <c r="DKQ2483" s="56"/>
      <c r="DKR2483" s="56"/>
      <c r="DKS2483" s="66"/>
      <c r="DKT2483" s="60"/>
      <c r="DKU2483" s="60"/>
      <c r="DKV2483" s="60"/>
      <c r="DKW2483" s="66"/>
      <c r="DKX2483" s="61"/>
      <c r="DKY2483" s="56"/>
      <c r="DKZ2483" s="56"/>
      <c r="DLA2483" s="66"/>
      <c r="DLB2483" s="60"/>
      <c r="DLC2483" s="60"/>
      <c r="DLD2483" s="60"/>
      <c r="DLE2483" s="66"/>
      <c r="DLF2483" s="61"/>
      <c r="DLG2483" s="56"/>
      <c r="DLH2483" s="56"/>
      <c r="DLI2483" s="66"/>
      <c r="DLJ2483" s="60"/>
      <c r="DLK2483" s="60"/>
      <c r="DLL2483" s="60"/>
      <c r="DLM2483" s="66"/>
      <c r="DLN2483" s="61"/>
      <c r="DLO2483" s="56"/>
      <c r="DLP2483" s="56"/>
      <c r="DLQ2483" s="66"/>
      <c r="DLR2483" s="60"/>
      <c r="DLS2483" s="60"/>
      <c r="DLT2483" s="60"/>
      <c r="DLU2483" s="66"/>
      <c r="DLV2483" s="61"/>
      <c r="DLW2483" s="56"/>
      <c r="DLX2483" s="56"/>
      <c r="DLY2483" s="66"/>
      <c r="DLZ2483" s="60"/>
      <c r="DMA2483" s="60"/>
      <c r="DMB2483" s="60"/>
      <c r="DMC2483" s="66"/>
      <c r="DMD2483" s="61"/>
      <c r="DME2483" s="56"/>
      <c r="DMF2483" s="56"/>
      <c r="DMG2483" s="66"/>
      <c r="DMH2483" s="60"/>
      <c r="DMI2483" s="60"/>
      <c r="DMJ2483" s="60"/>
      <c r="DMK2483" s="66"/>
      <c r="DML2483" s="61"/>
      <c r="DMM2483" s="56"/>
      <c r="DMN2483" s="56"/>
      <c r="DMO2483" s="66"/>
      <c r="DMP2483" s="60"/>
      <c r="DMQ2483" s="60"/>
      <c r="DMR2483" s="60"/>
      <c r="DMS2483" s="66"/>
      <c r="DMT2483" s="61"/>
      <c r="DMU2483" s="56"/>
      <c r="DMV2483" s="56"/>
      <c r="DMW2483" s="66"/>
      <c r="DMX2483" s="60"/>
      <c r="DMY2483" s="60"/>
      <c r="DMZ2483" s="60"/>
      <c r="DNA2483" s="66"/>
      <c r="DNB2483" s="61"/>
      <c r="DNC2483" s="56"/>
      <c r="DND2483" s="56"/>
      <c r="DNE2483" s="66"/>
      <c r="DNF2483" s="60"/>
      <c r="DNG2483" s="60"/>
      <c r="DNH2483" s="60"/>
      <c r="DNI2483" s="66"/>
      <c r="DNJ2483" s="61"/>
      <c r="DNK2483" s="56"/>
      <c r="DNL2483" s="56"/>
      <c r="DNM2483" s="66"/>
      <c r="DNN2483" s="60"/>
      <c r="DNO2483" s="60"/>
      <c r="DNP2483" s="60"/>
      <c r="DNQ2483" s="66"/>
      <c r="DNR2483" s="61"/>
      <c r="DNS2483" s="56"/>
      <c r="DNT2483" s="56"/>
      <c r="DNU2483" s="66"/>
      <c r="DNV2483" s="60"/>
      <c r="DNW2483" s="60"/>
      <c r="DNX2483" s="60"/>
      <c r="DNY2483" s="66"/>
      <c r="DNZ2483" s="61"/>
      <c r="DOA2483" s="56"/>
      <c r="DOB2483" s="56"/>
      <c r="DOC2483" s="66"/>
      <c r="DOD2483" s="60"/>
      <c r="DOE2483" s="60"/>
      <c r="DOF2483" s="60"/>
      <c r="DOG2483" s="66"/>
      <c r="DOH2483" s="61"/>
      <c r="DOI2483" s="56"/>
      <c r="DOJ2483" s="56"/>
      <c r="DOK2483" s="66"/>
      <c r="DOL2483" s="60"/>
      <c r="DOM2483" s="60"/>
      <c r="DON2483" s="60"/>
      <c r="DOO2483" s="66"/>
      <c r="DOP2483" s="61"/>
      <c r="DOQ2483" s="56"/>
      <c r="DOR2483" s="56"/>
      <c r="DOS2483" s="66"/>
      <c r="DOT2483" s="60"/>
      <c r="DOU2483" s="60"/>
      <c r="DOV2483" s="60"/>
      <c r="DOW2483" s="66"/>
      <c r="DOX2483" s="61"/>
      <c r="DOY2483" s="56"/>
      <c r="DOZ2483" s="56"/>
      <c r="DPA2483" s="66"/>
      <c r="DPB2483" s="60"/>
      <c r="DPC2483" s="60"/>
      <c r="DPD2483" s="60"/>
      <c r="DPE2483" s="66"/>
      <c r="DPF2483" s="61"/>
      <c r="DPG2483" s="56"/>
      <c r="DPH2483" s="56"/>
      <c r="DPI2483" s="66"/>
      <c r="DPJ2483" s="60"/>
      <c r="DPK2483" s="60"/>
      <c r="DPL2483" s="60"/>
      <c r="DPM2483" s="66"/>
      <c r="DPN2483" s="61"/>
      <c r="DPO2483" s="56"/>
      <c r="DPP2483" s="56"/>
      <c r="DPQ2483" s="66"/>
      <c r="DPR2483" s="60"/>
      <c r="DPS2483" s="60"/>
      <c r="DPT2483" s="60"/>
      <c r="DPU2483" s="66"/>
      <c r="DPV2483" s="61"/>
      <c r="DPW2483" s="56"/>
      <c r="DPX2483" s="56"/>
      <c r="DPY2483" s="66"/>
      <c r="DPZ2483" s="60"/>
      <c r="DQA2483" s="60"/>
      <c r="DQB2483" s="60"/>
      <c r="DQC2483" s="66"/>
      <c r="DQD2483" s="61"/>
      <c r="DQE2483" s="56"/>
      <c r="DQF2483" s="56"/>
      <c r="DQG2483" s="66"/>
      <c r="DQH2483" s="60"/>
      <c r="DQI2483" s="60"/>
      <c r="DQJ2483" s="60"/>
      <c r="DQK2483" s="66"/>
      <c r="DQL2483" s="61"/>
      <c r="DQM2483" s="56"/>
      <c r="DQN2483" s="56"/>
      <c r="DQO2483" s="66"/>
      <c r="DQP2483" s="60"/>
      <c r="DQQ2483" s="60"/>
      <c r="DQR2483" s="60"/>
      <c r="DQS2483" s="66"/>
      <c r="DQT2483" s="61"/>
      <c r="DQU2483" s="56"/>
      <c r="DQV2483" s="56"/>
      <c r="DQW2483" s="66"/>
      <c r="DQX2483" s="60"/>
      <c r="DQY2483" s="60"/>
      <c r="DQZ2483" s="60"/>
      <c r="DRA2483" s="66"/>
      <c r="DRB2483" s="61"/>
      <c r="DRC2483" s="56"/>
      <c r="DRD2483" s="56"/>
      <c r="DRE2483" s="66"/>
      <c r="DRF2483" s="60"/>
      <c r="DRG2483" s="60"/>
      <c r="DRH2483" s="60"/>
      <c r="DRI2483" s="66"/>
      <c r="DRJ2483" s="61"/>
      <c r="DRK2483" s="56"/>
      <c r="DRL2483" s="56"/>
      <c r="DRM2483" s="66"/>
      <c r="DRN2483" s="60"/>
      <c r="DRO2483" s="60"/>
      <c r="DRP2483" s="60"/>
      <c r="DRQ2483" s="66"/>
      <c r="DRR2483" s="61"/>
      <c r="DRS2483" s="56"/>
      <c r="DRT2483" s="56"/>
      <c r="DRU2483" s="66"/>
      <c r="DRV2483" s="60"/>
      <c r="DRW2483" s="60"/>
      <c r="DRX2483" s="60"/>
      <c r="DRY2483" s="66"/>
      <c r="DRZ2483" s="61"/>
      <c r="DSA2483" s="56"/>
      <c r="DSB2483" s="56"/>
      <c r="DSC2483" s="66"/>
      <c r="DSD2483" s="60"/>
      <c r="DSE2483" s="60"/>
      <c r="DSF2483" s="60"/>
      <c r="DSG2483" s="66"/>
      <c r="DSH2483" s="61"/>
      <c r="DSI2483" s="56"/>
      <c r="DSJ2483" s="56"/>
      <c r="DSK2483" s="66"/>
      <c r="DSL2483" s="60"/>
      <c r="DSM2483" s="60"/>
      <c r="DSN2483" s="60"/>
      <c r="DSO2483" s="66"/>
      <c r="DSP2483" s="61"/>
      <c r="DSQ2483" s="56"/>
      <c r="DSR2483" s="56"/>
      <c r="DSS2483" s="66"/>
      <c r="DST2483" s="60"/>
      <c r="DSU2483" s="60"/>
      <c r="DSV2483" s="60"/>
      <c r="DSW2483" s="66"/>
      <c r="DSX2483" s="61"/>
      <c r="DSY2483" s="56"/>
      <c r="DSZ2483" s="56"/>
      <c r="DTA2483" s="66"/>
      <c r="DTB2483" s="60"/>
      <c r="DTC2483" s="60"/>
      <c r="DTD2483" s="60"/>
      <c r="DTE2483" s="66"/>
      <c r="DTF2483" s="61"/>
      <c r="DTG2483" s="56"/>
      <c r="DTH2483" s="56"/>
      <c r="DTI2483" s="66"/>
      <c r="DTJ2483" s="60"/>
      <c r="DTK2483" s="60"/>
      <c r="DTL2483" s="60"/>
      <c r="DTM2483" s="66"/>
      <c r="DTN2483" s="61"/>
      <c r="DTO2483" s="56"/>
      <c r="DTP2483" s="56"/>
      <c r="DTQ2483" s="66"/>
      <c r="DTR2483" s="60"/>
      <c r="DTS2483" s="60"/>
      <c r="DTT2483" s="60"/>
      <c r="DTU2483" s="66"/>
      <c r="DTV2483" s="61"/>
      <c r="DTW2483" s="56"/>
      <c r="DTX2483" s="56"/>
      <c r="DTY2483" s="66"/>
      <c r="DTZ2483" s="60"/>
      <c r="DUA2483" s="60"/>
      <c r="DUB2483" s="60"/>
      <c r="DUC2483" s="66"/>
      <c r="DUD2483" s="61"/>
      <c r="DUE2483" s="56"/>
      <c r="DUF2483" s="56"/>
      <c r="DUG2483" s="66"/>
      <c r="DUH2483" s="60"/>
      <c r="DUI2483" s="60"/>
      <c r="DUJ2483" s="60"/>
      <c r="DUK2483" s="66"/>
      <c r="DUL2483" s="61"/>
      <c r="DUM2483" s="56"/>
      <c r="DUN2483" s="56"/>
      <c r="DUO2483" s="66"/>
      <c r="DUP2483" s="60"/>
      <c r="DUQ2483" s="60"/>
      <c r="DUR2483" s="60"/>
      <c r="DUS2483" s="66"/>
      <c r="DUT2483" s="61"/>
      <c r="DUU2483" s="56"/>
      <c r="DUV2483" s="56"/>
      <c r="DUW2483" s="66"/>
      <c r="DUX2483" s="60"/>
      <c r="DUY2483" s="60"/>
      <c r="DUZ2483" s="60"/>
      <c r="DVA2483" s="66"/>
      <c r="DVB2483" s="61"/>
      <c r="DVC2483" s="56"/>
      <c r="DVD2483" s="56"/>
      <c r="DVE2483" s="66"/>
      <c r="DVF2483" s="60"/>
      <c r="DVG2483" s="60"/>
      <c r="DVH2483" s="60"/>
      <c r="DVI2483" s="66"/>
      <c r="DVJ2483" s="61"/>
      <c r="DVK2483" s="56"/>
      <c r="DVL2483" s="56"/>
      <c r="DVM2483" s="66"/>
      <c r="DVN2483" s="60"/>
      <c r="DVO2483" s="60"/>
      <c r="DVP2483" s="60"/>
      <c r="DVQ2483" s="66"/>
      <c r="DVR2483" s="61"/>
      <c r="DVS2483" s="56"/>
      <c r="DVT2483" s="56"/>
      <c r="DVU2483" s="66"/>
      <c r="DVV2483" s="60"/>
      <c r="DVW2483" s="60"/>
      <c r="DVX2483" s="60"/>
      <c r="DVY2483" s="66"/>
      <c r="DVZ2483" s="61"/>
      <c r="DWA2483" s="56"/>
      <c r="DWB2483" s="56"/>
      <c r="DWC2483" s="66"/>
      <c r="DWD2483" s="60"/>
      <c r="DWE2483" s="60"/>
      <c r="DWF2483" s="60"/>
      <c r="DWG2483" s="66"/>
      <c r="DWH2483" s="61"/>
      <c r="DWI2483" s="56"/>
      <c r="DWJ2483" s="56"/>
      <c r="DWK2483" s="66"/>
      <c r="DWL2483" s="60"/>
      <c r="DWM2483" s="60"/>
      <c r="DWN2483" s="60"/>
      <c r="DWO2483" s="66"/>
      <c r="DWP2483" s="61"/>
      <c r="DWQ2483" s="56"/>
      <c r="DWR2483" s="56"/>
      <c r="DWS2483" s="66"/>
      <c r="DWT2483" s="60"/>
      <c r="DWU2483" s="60"/>
      <c r="DWV2483" s="60"/>
      <c r="DWW2483" s="66"/>
      <c r="DWX2483" s="61"/>
      <c r="DWY2483" s="56"/>
      <c r="DWZ2483" s="56"/>
      <c r="DXA2483" s="66"/>
      <c r="DXB2483" s="60"/>
      <c r="DXC2483" s="60"/>
      <c r="DXD2483" s="60"/>
      <c r="DXE2483" s="66"/>
      <c r="DXF2483" s="61"/>
      <c r="DXG2483" s="56"/>
      <c r="DXH2483" s="56"/>
      <c r="DXI2483" s="66"/>
      <c r="DXJ2483" s="60"/>
      <c r="DXK2483" s="60"/>
      <c r="DXL2483" s="60"/>
      <c r="DXM2483" s="66"/>
      <c r="DXN2483" s="61"/>
      <c r="DXO2483" s="56"/>
      <c r="DXP2483" s="56"/>
      <c r="DXQ2483" s="66"/>
      <c r="DXR2483" s="60"/>
      <c r="DXS2483" s="60"/>
      <c r="DXT2483" s="60"/>
      <c r="DXU2483" s="66"/>
      <c r="DXV2483" s="61"/>
      <c r="DXW2483" s="56"/>
      <c r="DXX2483" s="56"/>
      <c r="DXY2483" s="66"/>
      <c r="DXZ2483" s="60"/>
      <c r="DYA2483" s="60"/>
      <c r="DYB2483" s="60"/>
      <c r="DYC2483" s="66"/>
      <c r="DYD2483" s="61"/>
      <c r="DYE2483" s="56"/>
      <c r="DYF2483" s="56"/>
      <c r="DYG2483" s="66"/>
      <c r="DYH2483" s="60"/>
      <c r="DYI2483" s="60"/>
      <c r="DYJ2483" s="60"/>
      <c r="DYK2483" s="66"/>
      <c r="DYL2483" s="61"/>
      <c r="DYM2483" s="56"/>
      <c r="DYN2483" s="56"/>
      <c r="DYO2483" s="66"/>
      <c r="DYP2483" s="60"/>
      <c r="DYQ2483" s="60"/>
      <c r="DYR2483" s="60"/>
      <c r="DYS2483" s="66"/>
      <c r="DYT2483" s="61"/>
      <c r="DYU2483" s="56"/>
      <c r="DYV2483" s="56"/>
      <c r="DYW2483" s="66"/>
      <c r="DYX2483" s="60"/>
      <c r="DYY2483" s="60"/>
      <c r="DYZ2483" s="60"/>
      <c r="DZA2483" s="66"/>
      <c r="DZB2483" s="61"/>
      <c r="DZC2483" s="56"/>
      <c r="DZD2483" s="56"/>
      <c r="DZE2483" s="66"/>
      <c r="DZF2483" s="60"/>
      <c r="DZG2483" s="60"/>
      <c r="DZH2483" s="60"/>
      <c r="DZI2483" s="66"/>
      <c r="DZJ2483" s="61"/>
      <c r="DZK2483" s="56"/>
      <c r="DZL2483" s="56"/>
      <c r="DZM2483" s="66"/>
      <c r="DZN2483" s="60"/>
      <c r="DZO2483" s="60"/>
      <c r="DZP2483" s="60"/>
      <c r="DZQ2483" s="66"/>
      <c r="DZR2483" s="61"/>
      <c r="DZS2483" s="56"/>
      <c r="DZT2483" s="56"/>
      <c r="DZU2483" s="66"/>
      <c r="DZV2483" s="60"/>
      <c r="DZW2483" s="60"/>
      <c r="DZX2483" s="60"/>
      <c r="DZY2483" s="66"/>
      <c r="DZZ2483" s="61"/>
      <c r="EAA2483" s="56"/>
      <c r="EAB2483" s="56"/>
      <c r="EAC2483" s="66"/>
      <c r="EAD2483" s="60"/>
      <c r="EAE2483" s="60"/>
      <c r="EAF2483" s="60"/>
      <c r="EAG2483" s="66"/>
      <c r="EAH2483" s="61"/>
      <c r="EAI2483" s="56"/>
      <c r="EAJ2483" s="56"/>
      <c r="EAK2483" s="66"/>
      <c r="EAL2483" s="60"/>
      <c r="EAM2483" s="60"/>
      <c r="EAN2483" s="60"/>
      <c r="EAO2483" s="66"/>
      <c r="EAP2483" s="61"/>
      <c r="EAQ2483" s="56"/>
      <c r="EAR2483" s="56"/>
      <c r="EAS2483" s="66"/>
      <c r="EAT2483" s="60"/>
      <c r="EAU2483" s="60"/>
      <c r="EAV2483" s="60"/>
      <c r="EAW2483" s="66"/>
      <c r="EAX2483" s="61"/>
      <c r="EAY2483" s="56"/>
      <c r="EAZ2483" s="56"/>
      <c r="EBA2483" s="66"/>
      <c r="EBB2483" s="60"/>
      <c r="EBC2483" s="60"/>
      <c r="EBD2483" s="60"/>
      <c r="EBE2483" s="66"/>
      <c r="EBF2483" s="61"/>
      <c r="EBG2483" s="56"/>
      <c r="EBH2483" s="56"/>
      <c r="EBI2483" s="66"/>
      <c r="EBJ2483" s="60"/>
      <c r="EBK2483" s="60"/>
      <c r="EBL2483" s="60"/>
      <c r="EBM2483" s="66"/>
      <c r="EBN2483" s="61"/>
      <c r="EBO2483" s="56"/>
      <c r="EBP2483" s="56"/>
      <c r="EBQ2483" s="66"/>
      <c r="EBR2483" s="60"/>
      <c r="EBS2483" s="60"/>
      <c r="EBT2483" s="60"/>
      <c r="EBU2483" s="66"/>
      <c r="EBV2483" s="61"/>
      <c r="EBW2483" s="56"/>
      <c r="EBX2483" s="56"/>
      <c r="EBY2483" s="66"/>
      <c r="EBZ2483" s="60"/>
      <c r="ECA2483" s="60"/>
      <c r="ECB2483" s="60"/>
      <c r="ECC2483" s="66"/>
      <c r="ECD2483" s="61"/>
      <c r="ECE2483" s="56"/>
      <c r="ECF2483" s="56"/>
      <c r="ECG2483" s="66"/>
      <c r="ECH2483" s="60"/>
      <c r="ECI2483" s="60"/>
      <c r="ECJ2483" s="60"/>
      <c r="ECK2483" s="66"/>
      <c r="ECL2483" s="61"/>
      <c r="ECM2483" s="56"/>
      <c r="ECN2483" s="56"/>
      <c r="ECO2483" s="66"/>
      <c r="ECP2483" s="60"/>
      <c r="ECQ2483" s="60"/>
      <c r="ECR2483" s="60"/>
      <c r="ECS2483" s="66"/>
      <c r="ECT2483" s="61"/>
      <c r="ECU2483" s="56"/>
      <c r="ECV2483" s="56"/>
      <c r="ECW2483" s="66"/>
      <c r="ECX2483" s="60"/>
      <c r="ECY2483" s="60"/>
      <c r="ECZ2483" s="60"/>
      <c r="EDA2483" s="66"/>
      <c r="EDB2483" s="61"/>
      <c r="EDC2483" s="56"/>
      <c r="EDD2483" s="56"/>
      <c r="EDE2483" s="66"/>
      <c r="EDF2483" s="60"/>
      <c r="EDG2483" s="60"/>
      <c r="EDH2483" s="60"/>
      <c r="EDI2483" s="66"/>
      <c r="EDJ2483" s="61"/>
      <c r="EDK2483" s="56"/>
      <c r="EDL2483" s="56"/>
      <c r="EDM2483" s="66"/>
      <c r="EDN2483" s="60"/>
      <c r="EDO2483" s="60"/>
      <c r="EDP2483" s="60"/>
      <c r="EDQ2483" s="66"/>
      <c r="EDR2483" s="61"/>
      <c r="EDS2483" s="56"/>
      <c r="EDT2483" s="56"/>
      <c r="EDU2483" s="66"/>
      <c r="EDV2483" s="60"/>
      <c r="EDW2483" s="60"/>
      <c r="EDX2483" s="60"/>
      <c r="EDY2483" s="66"/>
      <c r="EDZ2483" s="61"/>
      <c r="EEA2483" s="56"/>
      <c r="EEB2483" s="56"/>
      <c r="EEC2483" s="66"/>
      <c r="EED2483" s="60"/>
      <c r="EEE2483" s="60"/>
      <c r="EEF2483" s="60"/>
      <c r="EEG2483" s="66"/>
      <c r="EEH2483" s="61"/>
      <c r="EEI2483" s="56"/>
      <c r="EEJ2483" s="56"/>
      <c r="EEK2483" s="66"/>
      <c r="EEL2483" s="60"/>
      <c r="EEM2483" s="60"/>
      <c r="EEN2483" s="60"/>
      <c r="EEO2483" s="66"/>
      <c r="EEP2483" s="61"/>
      <c r="EEQ2483" s="56"/>
      <c r="EER2483" s="56"/>
      <c r="EES2483" s="66"/>
      <c r="EET2483" s="60"/>
      <c r="EEU2483" s="60"/>
      <c r="EEV2483" s="60"/>
      <c r="EEW2483" s="66"/>
      <c r="EEX2483" s="61"/>
      <c r="EEY2483" s="56"/>
      <c r="EEZ2483" s="56"/>
      <c r="EFA2483" s="66"/>
      <c r="EFB2483" s="60"/>
      <c r="EFC2483" s="60"/>
      <c r="EFD2483" s="60"/>
      <c r="EFE2483" s="66"/>
      <c r="EFF2483" s="61"/>
      <c r="EFG2483" s="56"/>
      <c r="EFH2483" s="56"/>
      <c r="EFI2483" s="66"/>
      <c r="EFJ2483" s="60"/>
      <c r="EFK2483" s="60"/>
      <c r="EFL2483" s="60"/>
      <c r="EFM2483" s="66"/>
      <c r="EFN2483" s="61"/>
      <c r="EFO2483" s="56"/>
      <c r="EFP2483" s="56"/>
      <c r="EFQ2483" s="66"/>
      <c r="EFR2483" s="60"/>
      <c r="EFS2483" s="60"/>
      <c r="EFT2483" s="60"/>
      <c r="EFU2483" s="66"/>
      <c r="EFV2483" s="61"/>
      <c r="EFW2483" s="56"/>
      <c r="EFX2483" s="56"/>
      <c r="EFY2483" s="66"/>
      <c r="EFZ2483" s="60"/>
      <c r="EGA2483" s="60"/>
      <c r="EGB2483" s="60"/>
      <c r="EGC2483" s="66"/>
      <c r="EGD2483" s="61"/>
      <c r="EGE2483" s="56"/>
      <c r="EGF2483" s="56"/>
      <c r="EGG2483" s="66"/>
      <c r="EGH2483" s="60"/>
      <c r="EGI2483" s="60"/>
      <c r="EGJ2483" s="60"/>
      <c r="EGK2483" s="66"/>
      <c r="EGL2483" s="61"/>
      <c r="EGM2483" s="56"/>
      <c r="EGN2483" s="56"/>
      <c r="EGO2483" s="66"/>
      <c r="EGP2483" s="60"/>
      <c r="EGQ2483" s="60"/>
      <c r="EGR2483" s="60"/>
      <c r="EGS2483" s="66"/>
      <c r="EGT2483" s="61"/>
      <c r="EGU2483" s="56"/>
      <c r="EGV2483" s="56"/>
      <c r="EGW2483" s="66"/>
      <c r="EGX2483" s="60"/>
      <c r="EGY2483" s="60"/>
      <c r="EGZ2483" s="60"/>
      <c r="EHA2483" s="66"/>
      <c r="EHB2483" s="61"/>
      <c r="EHC2483" s="56"/>
      <c r="EHD2483" s="56"/>
      <c r="EHE2483" s="66"/>
      <c r="EHF2483" s="60"/>
      <c r="EHG2483" s="60"/>
      <c r="EHH2483" s="60"/>
      <c r="EHI2483" s="66"/>
      <c r="EHJ2483" s="61"/>
      <c r="EHK2483" s="56"/>
      <c r="EHL2483" s="56"/>
      <c r="EHM2483" s="66"/>
      <c r="EHN2483" s="60"/>
      <c r="EHO2483" s="60"/>
      <c r="EHP2483" s="60"/>
      <c r="EHQ2483" s="66"/>
      <c r="EHR2483" s="61"/>
      <c r="EHS2483" s="56"/>
      <c r="EHT2483" s="56"/>
      <c r="EHU2483" s="66"/>
      <c r="EHV2483" s="60"/>
      <c r="EHW2483" s="60"/>
      <c r="EHX2483" s="60"/>
      <c r="EHY2483" s="66"/>
      <c r="EHZ2483" s="61"/>
      <c r="EIA2483" s="56"/>
      <c r="EIB2483" s="56"/>
      <c r="EIC2483" s="66"/>
      <c r="EID2483" s="60"/>
      <c r="EIE2483" s="60"/>
      <c r="EIF2483" s="60"/>
      <c r="EIG2483" s="66"/>
      <c r="EIH2483" s="61"/>
      <c r="EII2483" s="56"/>
      <c r="EIJ2483" s="56"/>
      <c r="EIK2483" s="66"/>
      <c r="EIL2483" s="60"/>
      <c r="EIM2483" s="60"/>
      <c r="EIN2483" s="60"/>
      <c r="EIO2483" s="66"/>
      <c r="EIP2483" s="61"/>
      <c r="EIQ2483" s="56"/>
      <c r="EIR2483" s="56"/>
      <c r="EIS2483" s="66"/>
      <c r="EIT2483" s="60"/>
      <c r="EIU2483" s="60"/>
      <c r="EIV2483" s="60"/>
      <c r="EIW2483" s="66"/>
      <c r="EIX2483" s="61"/>
      <c r="EIY2483" s="56"/>
      <c r="EIZ2483" s="56"/>
      <c r="EJA2483" s="66"/>
      <c r="EJB2483" s="60"/>
      <c r="EJC2483" s="60"/>
      <c r="EJD2483" s="60"/>
      <c r="EJE2483" s="66"/>
      <c r="EJF2483" s="61"/>
      <c r="EJG2483" s="56"/>
      <c r="EJH2483" s="56"/>
      <c r="EJI2483" s="66"/>
      <c r="EJJ2483" s="60"/>
      <c r="EJK2483" s="60"/>
      <c r="EJL2483" s="60"/>
      <c r="EJM2483" s="66"/>
      <c r="EJN2483" s="61"/>
      <c r="EJO2483" s="56"/>
      <c r="EJP2483" s="56"/>
      <c r="EJQ2483" s="66"/>
      <c r="EJR2483" s="60"/>
      <c r="EJS2483" s="60"/>
      <c r="EJT2483" s="60"/>
      <c r="EJU2483" s="66"/>
      <c r="EJV2483" s="61"/>
      <c r="EJW2483" s="56"/>
      <c r="EJX2483" s="56"/>
      <c r="EJY2483" s="66"/>
      <c r="EJZ2483" s="60"/>
      <c r="EKA2483" s="60"/>
      <c r="EKB2483" s="60"/>
      <c r="EKC2483" s="66"/>
      <c r="EKD2483" s="61"/>
      <c r="EKE2483" s="56"/>
      <c r="EKF2483" s="56"/>
      <c r="EKG2483" s="66"/>
      <c r="EKH2483" s="60"/>
      <c r="EKI2483" s="60"/>
      <c r="EKJ2483" s="60"/>
      <c r="EKK2483" s="66"/>
      <c r="EKL2483" s="61"/>
      <c r="EKM2483" s="56"/>
      <c r="EKN2483" s="56"/>
      <c r="EKO2483" s="66"/>
      <c r="EKP2483" s="60"/>
      <c r="EKQ2483" s="60"/>
      <c r="EKR2483" s="60"/>
      <c r="EKS2483" s="66"/>
      <c r="EKT2483" s="61"/>
      <c r="EKU2483" s="56"/>
      <c r="EKV2483" s="56"/>
      <c r="EKW2483" s="66"/>
      <c r="EKX2483" s="60"/>
      <c r="EKY2483" s="60"/>
      <c r="EKZ2483" s="60"/>
      <c r="ELA2483" s="66"/>
      <c r="ELB2483" s="61"/>
      <c r="ELC2483" s="56"/>
      <c r="ELD2483" s="56"/>
      <c r="ELE2483" s="66"/>
      <c r="ELF2483" s="60"/>
      <c r="ELG2483" s="60"/>
      <c r="ELH2483" s="60"/>
      <c r="ELI2483" s="66"/>
      <c r="ELJ2483" s="61"/>
      <c r="ELK2483" s="56"/>
      <c r="ELL2483" s="56"/>
      <c r="ELM2483" s="66"/>
      <c r="ELN2483" s="60"/>
      <c r="ELO2483" s="60"/>
      <c r="ELP2483" s="60"/>
      <c r="ELQ2483" s="66"/>
      <c r="ELR2483" s="61"/>
      <c r="ELS2483" s="56"/>
      <c r="ELT2483" s="56"/>
      <c r="ELU2483" s="66"/>
      <c r="ELV2483" s="60"/>
      <c r="ELW2483" s="60"/>
      <c r="ELX2483" s="60"/>
      <c r="ELY2483" s="66"/>
      <c r="ELZ2483" s="61"/>
      <c r="EMA2483" s="56"/>
      <c r="EMB2483" s="56"/>
      <c r="EMC2483" s="66"/>
      <c r="EMD2483" s="60"/>
      <c r="EME2483" s="60"/>
      <c r="EMF2483" s="60"/>
      <c r="EMG2483" s="66"/>
      <c r="EMH2483" s="61"/>
      <c r="EMI2483" s="56"/>
      <c r="EMJ2483" s="56"/>
      <c r="EMK2483" s="66"/>
      <c r="EML2483" s="60"/>
      <c r="EMM2483" s="60"/>
      <c r="EMN2483" s="60"/>
      <c r="EMO2483" s="66"/>
      <c r="EMP2483" s="61"/>
      <c r="EMQ2483" s="56"/>
      <c r="EMR2483" s="56"/>
      <c r="EMS2483" s="66"/>
      <c r="EMT2483" s="60"/>
      <c r="EMU2483" s="60"/>
      <c r="EMV2483" s="60"/>
      <c r="EMW2483" s="66"/>
      <c r="EMX2483" s="61"/>
      <c r="EMY2483" s="56"/>
      <c r="EMZ2483" s="56"/>
      <c r="ENA2483" s="66"/>
      <c r="ENB2483" s="60"/>
      <c r="ENC2483" s="60"/>
      <c r="END2483" s="60"/>
      <c r="ENE2483" s="66"/>
      <c r="ENF2483" s="61"/>
      <c r="ENG2483" s="56"/>
      <c r="ENH2483" s="56"/>
      <c r="ENI2483" s="66"/>
      <c r="ENJ2483" s="60"/>
      <c r="ENK2483" s="60"/>
      <c r="ENL2483" s="60"/>
      <c r="ENM2483" s="66"/>
      <c r="ENN2483" s="61"/>
      <c r="ENO2483" s="56"/>
      <c r="ENP2483" s="56"/>
      <c r="ENQ2483" s="66"/>
      <c r="ENR2483" s="60"/>
      <c r="ENS2483" s="60"/>
      <c r="ENT2483" s="60"/>
      <c r="ENU2483" s="66"/>
      <c r="ENV2483" s="61"/>
      <c r="ENW2483" s="56"/>
      <c r="ENX2483" s="56"/>
      <c r="ENY2483" s="66"/>
      <c r="ENZ2483" s="60"/>
      <c r="EOA2483" s="60"/>
      <c r="EOB2483" s="60"/>
      <c r="EOC2483" s="66"/>
      <c r="EOD2483" s="61"/>
      <c r="EOE2483" s="56"/>
      <c r="EOF2483" s="56"/>
      <c r="EOG2483" s="66"/>
      <c r="EOH2483" s="60"/>
      <c r="EOI2483" s="60"/>
      <c r="EOJ2483" s="60"/>
      <c r="EOK2483" s="66"/>
      <c r="EOL2483" s="61"/>
      <c r="EOM2483" s="56"/>
      <c r="EON2483" s="56"/>
      <c r="EOO2483" s="66"/>
      <c r="EOP2483" s="60"/>
      <c r="EOQ2483" s="60"/>
      <c r="EOR2483" s="60"/>
      <c r="EOS2483" s="66"/>
      <c r="EOT2483" s="61"/>
      <c r="EOU2483" s="56"/>
      <c r="EOV2483" s="56"/>
      <c r="EOW2483" s="66"/>
      <c r="EOX2483" s="60"/>
      <c r="EOY2483" s="60"/>
      <c r="EOZ2483" s="60"/>
      <c r="EPA2483" s="66"/>
      <c r="EPB2483" s="61"/>
      <c r="EPC2483" s="56"/>
      <c r="EPD2483" s="56"/>
      <c r="EPE2483" s="66"/>
      <c r="EPF2483" s="60"/>
      <c r="EPG2483" s="60"/>
      <c r="EPH2483" s="60"/>
      <c r="EPI2483" s="66"/>
      <c r="EPJ2483" s="61"/>
      <c r="EPK2483" s="56"/>
      <c r="EPL2483" s="56"/>
      <c r="EPM2483" s="66"/>
      <c r="EPN2483" s="60"/>
      <c r="EPO2483" s="60"/>
      <c r="EPP2483" s="60"/>
      <c r="EPQ2483" s="66"/>
      <c r="EPR2483" s="61"/>
      <c r="EPS2483" s="56"/>
      <c r="EPT2483" s="56"/>
      <c r="EPU2483" s="66"/>
      <c r="EPV2483" s="60"/>
      <c r="EPW2483" s="60"/>
      <c r="EPX2483" s="60"/>
      <c r="EPY2483" s="66"/>
      <c r="EPZ2483" s="61"/>
      <c r="EQA2483" s="56"/>
      <c r="EQB2483" s="56"/>
      <c r="EQC2483" s="66"/>
      <c r="EQD2483" s="60"/>
      <c r="EQE2483" s="60"/>
      <c r="EQF2483" s="60"/>
      <c r="EQG2483" s="66"/>
      <c r="EQH2483" s="61"/>
      <c r="EQI2483" s="56"/>
      <c r="EQJ2483" s="56"/>
      <c r="EQK2483" s="66"/>
      <c r="EQL2483" s="60"/>
      <c r="EQM2483" s="60"/>
      <c r="EQN2483" s="60"/>
      <c r="EQO2483" s="66"/>
      <c r="EQP2483" s="61"/>
      <c r="EQQ2483" s="56"/>
      <c r="EQR2483" s="56"/>
      <c r="EQS2483" s="66"/>
      <c r="EQT2483" s="60"/>
      <c r="EQU2483" s="60"/>
      <c r="EQV2483" s="60"/>
      <c r="EQW2483" s="66"/>
      <c r="EQX2483" s="61"/>
      <c r="EQY2483" s="56"/>
      <c r="EQZ2483" s="56"/>
      <c r="ERA2483" s="66"/>
      <c r="ERB2483" s="60"/>
      <c r="ERC2483" s="60"/>
      <c r="ERD2483" s="60"/>
      <c r="ERE2483" s="66"/>
      <c r="ERF2483" s="61"/>
      <c r="ERG2483" s="56"/>
      <c r="ERH2483" s="56"/>
      <c r="ERI2483" s="66"/>
      <c r="ERJ2483" s="60"/>
      <c r="ERK2483" s="60"/>
      <c r="ERL2483" s="60"/>
      <c r="ERM2483" s="66"/>
      <c r="ERN2483" s="61"/>
      <c r="ERO2483" s="56"/>
      <c r="ERP2483" s="56"/>
      <c r="ERQ2483" s="66"/>
      <c r="ERR2483" s="60"/>
      <c r="ERS2483" s="60"/>
      <c r="ERT2483" s="60"/>
      <c r="ERU2483" s="66"/>
      <c r="ERV2483" s="61"/>
      <c r="ERW2483" s="56"/>
      <c r="ERX2483" s="56"/>
      <c r="ERY2483" s="66"/>
      <c r="ERZ2483" s="60"/>
      <c r="ESA2483" s="60"/>
      <c r="ESB2483" s="60"/>
      <c r="ESC2483" s="66"/>
      <c r="ESD2483" s="61"/>
      <c r="ESE2483" s="56"/>
      <c r="ESF2483" s="56"/>
      <c r="ESG2483" s="66"/>
      <c r="ESH2483" s="60"/>
      <c r="ESI2483" s="60"/>
      <c r="ESJ2483" s="60"/>
      <c r="ESK2483" s="66"/>
      <c r="ESL2483" s="61"/>
      <c r="ESM2483" s="56"/>
      <c r="ESN2483" s="56"/>
      <c r="ESO2483" s="66"/>
      <c r="ESP2483" s="60"/>
      <c r="ESQ2483" s="60"/>
      <c r="ESR2483" s="60"/>
      <c r="ESS2483" s="66"/>
      <c r="EST2483" s="61"/>
      <c r="ESU2483" s="56"/>
      <c r="ESV2483" s="56"/>
      <c r="ESW2483" s="66"/>
      <c r="ESX2483" s="60"/>
      <c r="ESY2483" s="60"/>
      <c r="ESZ2483" s="60"/>
      <c r="ETA2483" s="66"/>
      <c r="ETB2483" s="61"/>
      <c r="ETC2483" s="56"/>
      <c r="ETD2483" s="56"/>
      <c r="ETE2483" s="66"/>
      <c r="ETF2483" s="60"/>
      <c r="ETG2483" s="60"/>
      <c r="ETH2483" s="60"/>
      <c r="ETI2483" s="66"/>
      <c r="ETJ2483" s="61"/>
      <c r="ETK2483" s="56"/>
      <c r="ETL2483" s="56"/>
      <c r="ETM2483" s="66"/>
      <c r="ETN2483" s="60"/>
      <c r="ETO2483" s="60"/>
      <c r="ETP2483" s="60"/>
      <c r="ETQ2483" s="66"/>
      <c r="ETR2483" s="61"/>
      <c r="ETS2483" s="56"/>
      <c r="ETT2483" s="56"/>
      <c r="ETU2483" s="66"/>
      <c r="ETV2483" s="60"/>
      <c r="ETW2483" s="60"/>
      <c r="ETX2483" s="60"/>
      <c r="ETY2483" s="66"/>
      <c r="ETZ2483" s="61"/>
      <c r="EUA2483" s="56"/>
      <c r="EUB2483" s="56"/>
      <c r="EUC2483" s="66"/>
      <c r="EUD2483" s="60"/>
      <c r="EUE2483" s="60"/>
      <c r="EUF2483" s="60"/>
      <c r="EUG2483" s="66"/>
      <c r="EUH2483" s="61"/>
      <c r="EUI2483" s="56"/>
      <c r="EUJ2483" s="56"/>
      <c r="EUK2483" s="66"/>
      <c r="EUL2483" s="60"/>
      <c r="EUM2483" s="60"/>
      <c r="EUN2483" s="60"/>
      <c r="EUO2483" s="66"/>
      <c r="EUP2483" s="61"/>
      <c r="EUQ2483" s="56"/>
      <c r="EUR2483" s="56"/>
      <c r="EUS2483" s="66"/>
      <c r="EUT2483" s="60"/>
      <c r="EUU2483" s="60"/>
      <c r="EUV2483" s="60"/>
      <c r="EUW2483" s="66"/>
      <c r="EUX2483" s="61"/>
      <c r="EUY2483" s="56"/>
      <c r="EUZ2483" s="56"/>
      <c r="EVA2483" s="66"/>
      <c r="EVB2483" s="60"/>
      <c r="EVC2483" s="60"/>
      <c r="EVD2483" s="60"/>
      <c r="EVE2483" s="66"/>
      <c r="EVF2483" s="61"/>
      <c r="EVG2483" s="56"/>
      <c r="EVH2483" s="56"/>
      <c r="EVI2483" s="66"/>
      <c r="EVJ2483" s="60"/>
      <c r="EVK2483" s="60"/>
      <c r="EVL2483" s="60"/>
      <c r="EVM2483" s="66"/>
      <c r="EVN2483" s="61"/>
      <c r="EVO2483" s="56"/>
      <c r="EVP2483" s="56"/>
      <c r="EVQ2483" s="66"/>
      <c r="EVR2483" s="60"/>
      <c r="EVS2483" s="60"/>
      <c r="EVT2483" s="60"/>
      <c r="EVU2483" s="66"/>
      <c r="EVV2483" s="61"/>
      <c r="EVW2483" s="56"/>
      <c r="EVX2483" s="56"/>
      <c r="EVY2483" s="66"/>
      <c r="EVZ2483" s="60"/>
      <c r="EWA2483" s="60"/>
      <c r="EWB2483" s="60"/>
      <c r="EWC2483" s="66"/>
      <c r="EWD2483" s="61"/>
      <c r="EWE2483" s="56"/>
      <c r="EWF2483" s="56"/>
      <c r="EWG2483" s="66"/>
      <c r="EWH2483" s="60"/>
      <c r="EWI2483" s="60"/>
      <c r="EWJ2483" s="60"/>
      <c r="EWK2483" s="66"/>
      <c r="EWL2483" s="61"/>
      <c r="EWM2483" s="56"/>
      <c r="EWN2483" s="56"/>
      <c r="EWO2483" s="66"/>
      <c r="EWP2483" s="60"/>
      <c r="EWQ2483" s="60"/>
      <c r="EWR2483" s="60"/>
      <c r="EWS2483" s="66"/>
      <c r="EWT2483" s="61"/>
      <c r="EWU2483" s="56"/>
      <c r="EWV2483" s="56"/>
      <c r="EWW2483" s="66"/>
      <c r="EWX2483" s="60"/>
      <c r="EWY2483" s="60"/>
      <c r="EWZ2483" s="60"/>
      <c r="EXA2483" s="66"/>
      <c r="EXB2483" s="61"/>
      <c r="EXC2483" s="56"/>
      <c r="EXD2483" s="56"/>
      <c r="EXE2483" s="66"/>
      <c r="EXF2483" s="60"/>
      <c r="EXG2483" s="60"/>
      <c r="EXH2483" s="60"/>
      <c r="EXI2483" s="66"/>
      <c r="EXJ2483" s="61"/>
      <c r="EXK2483" s="56"/>
      <c r="EXL2483" s="56"/>
      <c r="EXM2483" s="66"/>
      <c r="EXN2483" s="60"/>
      <c r="EXO2483" s="60"/>
      <c r="EXP2483" s="60"/>
      <c r="EXQ2483" s="66"/>
      <c r="EXR2483" s="61"/>
      <c r="EXS2483" s="56"/>
      <c r="EXT2483" s="56"/>
      <c r="EXU2483" s="66"/>
      <c r="EXV2483" s="60"/>
      <c r="EXW2483" s="60"/>
      <c r="EXX2483" s="60"/>
      <c r="EXY2483" s="66"/>
      <c r="EXZ2483" s="61"/>
      <c r="EYA2483" s="56"/>
      <c r="EYB2483" s="56"/>
      <c r="EYC2483" s="66"/>
      <c r="EYD2483" s="60"/>
      <c r="EYE2483" s="60"/>
      <c r="EYF2483" s="60"/>
      <c r="EYG2483" s="66"/>
      <c r="EYH2483" s="61"/>
      <c r="EYI2483" s="56"/>
      <c r="EYJ2483" s="56"/>
      <c r="EYK2483" s="66"/>
      <c r="EYL2483" s="60"/>
      <c r="EYM2483" s="60"/>
      <c r="EYN2483" s="60"/>
      <c r="EYO2483" s="66"/>
      <c r="EYP2483" s="61"/>
      <c r="EYQ2483" s="56"/>
      <c r="EYR2483" s="56"/>
      <c r="EYS2483" s="66"/>
      <c r="EYT2483" s="60"/>
      <c r="EYU2483" s="60"/>
      <c r="EYV2483" s="60"/>
      <c r="EYW2483" s="66"/>
      <c r="EYX2483" s="61"/>
      <c r="EYY2483" s="56"/>
      <c r="EYZ2483" s="56"/>
      <c r="EZA2483" s="66"/>
      <c r="EZB2483" s="60"/>
      <c r="EZC2483" s="60"/>
      <c r="EZD2483" s="60"/>
      <c r="EZE2483" s="66"/>
      <c r="EZF2483" s="61"/>
      <c r="EZG2483" s="56"/>
      <c r="EZH2483" s="56"/>
      <c r="EZI2483" s="66"/>
      <c r="EZJ2483" s="60"/>
      <c r="EZK2483" s="60"/>
      <c r="EZL2483" s="60"/>
      <c r="EZM2483" s="66"/>
      <c r="EZN2483" s="61"/>
      <c r="EZO2483" s="56"/>
      <c r="EZP2483" s="56"/>
      <c r="EZQ2483" s="66"/>
      <c r="EZR2483" s="60"/>
      <c r="EZS2483" s="60"/>
      <c r="EZT2483" s="60"/>
      <c r="EZU2483" s="66"/>
      <c r="EZV2483" s="61"/>
      <c r="EZW2483" s="56"/>
      <c r="EZX2483" s="56"/>
      <c r="EZY2483" s="66"/>
      <c r="EZZ2483" s="60"/>
      <c r="FAA2483" s="60"/>
      <c r="FAB2483" s="60"/>
      <c r="FAC2483" s="66"/>
      <c r="FAD2483" s="61"/>
      <c r="FAE2483" s="56"/>
      <c r="FAF2483" s="56"/>
      <c r="FAG2483" s="66"/>
      <c r="FAH2483" s="60"/>
      <c r="FAI2483" s="60"/>
      <c r="FAJ2483" s="60"/>
      <c r="FAK2483" s="66"/>
      <c r="FAL2483" s="61"/>
      <c r="FAM2483" s="56"/>
      <c r="FAN2483" s="56"/>
      <c r="FAO2483" s="66"/>
      <c r="FAP2483" s="60"/>
      <c r="FAQ2483" s="60"/>
      <c r="FAR2483" s="60"/>
      <c r="FAS2483" s="66"/>
      <c r="FAT2483" s="61"/>
      <c r="FAU2483" s="56"/>
      <c r="FAV2483" s="56"/>
      <c r="FAW2483" s="66"/>
      <c r="FAX2483" s="60"/>
      <c r="FAY2483" s="60"/>
      <c r="FAZ2483" s="60"/>
      <c r="FBA2483" s="66"/>
      <c r="FBB2483" s="61"/>
      <c r="FBC2483" s="56"/>
      <c r="FBD2483" s="56"/>
      <c r="FBE2483" s="66"/>
      <c r="FBF2483" s="60"/>
      <c r="FBG2483" s="60"/>
      <c r="FBH2483" s="60"/>
      <c r="FBI2483" s="66"/>
      <c r="FBJ2483" s="61"/>
      <c r="FBK2483" s="56"/>
      <c r="FBL2483" s="56"/>
      <c r="FBM2483" s="66"/>
      <c r="FBN2483" s="60"/>
      <c r="FBO2483" s="60"/>
      <c r="FBP2483" s="60"/>
      <c r="FBQ2483" s="66"/>
      <c r="FBR2483" s="61"/>
      <c r="FBS2483" s="56"/>
      <c r="FBT2483" s="56"/>
      <c r="FBU2483" s="66"/>
      <c r="FBV2483" s="60"/>
      <c r="FBW2483" s="60"/>
      <c r="FBX2483" s="60"/>
      <c r="FBY2483" s="66"/>
      <c r="FBZ2483" s="61"/>
      <c r="FCA2483" s="56"/>
      <c r="FCB2483" s="56"/>
      <c r="FCC2483" s="66"/>
      <c r="FCD2483" s="60"/>
      <c r="FCE2483" s="60"/>
      <c r="FCF2483" s="60"/>
      <c r="FCG2483" s="66"/>
      <c r="FCH2483" s="61"/>
      <c r="FCI2483" s="56"/>
      <c r="FCJ2483" s="56"/>
      <c r="FCK2483" s="66"/>
      <c r="FCL2483" s="60"/>
      <c r="FCM2483" s="60"/>
      <c r="FCN2483" s="60"/>
      <c r="FCO2483" s="66"/>
      <c r="FCP2483" s="61"/>
      <c r="FCQ2483" s="56"/>
      <c r="FCR2483" s="56"/>
      <c r="FCS2483" s="66"/>
      <c r="FCT2483" s="60"/>
      <c r="FCU2483" s="60"/>
      <c r="FCV2483" s="60"/>
      <c r="FCW2483" s="66"/>
      <c r="FCX2483" s="61"/>
      <c r="FCY2483" s="56"/>
      <c r="FCZ2483" s="56"/>
      <c r="FDA2483" s="66"/>
      <c r="FDB2483" s="60"/>
      <c r="FDC2483" s="60"/>
      <c r="FDD2483" s="60"/>
      <c r="FDE2483" s="66"/>
      <c r="FDF2483" s="61"/>
      <c r="FDG2483" s="56"/>
      <c r="FDH2483" s="56"/>
      <c r="FDI2483" s="66"/>
      <c r="FDJ2483" s="60"/>
      <c r="FDK2483" s="60"/>
      <c r="FDL2483" s="60"/>
      <c r="FDM2483" s="66"/>
      <c r="FDN2483" s="61"/>
      <c r="FDO2483" s="56"/>
      <c r="FDP2483" s="56"/>
      <c r="FDQ2483" s="66"/>
      <c r="FDR2483" s="60"/>
      <c r="FDS2483" s="60"/>
      <c r="FDT2483" s="60"/>
      <c r="FDU2483" s="66"/>
      <c r="FDV2483" s="61"/>
      <c r="FDW2483" s="56"/>
      <c r="FDX2483" s="56"/>
      <c r="FDY2483" s="66"/>
      <c r="FDZ2483" s="60"/>
      <c r="FEA2483" s="60"/>
      <c r="FEB2483" s="60"/>
      <c r="FEC2483" s="66"/>
      <c r="FED2483" s="61"/>
      <c r="FEE2483" s="56"/>
      <c r="FEF2483" s="56"/>
      <c r="FEG2483" s="66"/>
      <c r="FEH2483" s="60"/>
      <c r="FEI2483" s="60"/>
      <c r="FEJ2483" s="60"/>
      <c r="FEK2483" s="66"/>
      <c r="FEL2483" s="61"/>
      <c r="FEM2483" s="56"/>
      <c r="FEN2483" s="56"/>
      <c r="FEO2483" s="66"/>
      <c r="FEP2483" s="60"/>
      <c r="FEQ2483" s="60"/>
      <c r="FER2483" s="60"/>
      <c r="FES2483" s="66"/>
      <c r="FET2483" s="61"/>
      <c r="FEU2483" s="56"/>
      <c r="FEV2483" s="56"/>
      <c r="FEW2483" s="66"/>
      <c r="FEX2483" s="60"/>
      <c r="FEY2483" s="60"/>
      <c r="FEZ2483" s="60"/>
      <c r="FFA2483" s="66"/>
      <c r="FFB2483" s="61"/>
      <c r="FFC2483" s="56"/>
      <c r="FFD2483" s="56"/>
      <c r="FFE2483" s="66"/>
      <c r="FFF2483" s="60"/>
      <c r="FFG2483" s="60"/>
      <c r="FFH2483" s="60"/>
      <c r="FFI2483" s="66"/>
      <c r="FFJ2483" s="61"/>
      <c r="FFK2483" s="56"/>
      <c r="FFL2483" s="56"/>
      <c r="FFM2483" s="66"/>
      <c r="FFN2483" s="60"/>
      <c r="FFO2483" s="60"/>
      <c r="FFP2483" s="60"/>
      <c r="FFQ2483" s="66"/>
      <c r="FFR2483" s="61"/>
      <c r="FFS2483" s="56"/>
      <c r="FFT2483" s="56"/>
      <c r="FFU2483" s="66"/>
      <c r="FFV2483" s="60"/>
      <c r="FFW2483" s="60"/>
      <c r="FFX2483" s="60"/>
      <c r="FFY2483" s="66"/>
      <c r="FFZ2483" s="61"/>
      <c r="FGA2483" s="56"/>
      <c r="FGB2483" s="56"/>
      <c r="FGC2483" s="66"/>
      <c r="FGD2483" s="60"/>
      <c r="FGE2483" s="60"/>
      <c r="FGF2483" s="60"/>
      <c r="FGG2483" s="66"/>
      <c r="FGH2483" s="61"/>
      <c r="FGI2483" s="56"/>
      <c r="FGJ2483" s="56"/>
      <c r="FGK2483" s="66"/>
      <c r="FGL2483" s="60"/>
      <c r="FGM2483" s="60"/>
      <c r="FGN2483" s="60"/>
      <c r="FGO2483" s="66"/>
      <c r="FGP2483" s="61"/>
      <c r="FGQ2483" s="56"/>
      <c r="FGR2483" s="56"/>
      <c r="FGS2483" s="66"/>
      <c r="FGT2483" s="60"/>
      <c r="FGU2483" s="60"/>
      <c r="FGV2483" s="60"/>
      <c r="FGW2483" s="66"/>
      <c r="FGX2483" s="61"/>
      <c r="FGY2483" s="56"/>
      <c r="FGZ2483" s="56"/>
      <c r="FHA2483" s="66"/>
      <c r="FHB2483" s="60"/>
      <c r="FHC2483" s="60"/>
      <c r="FHD2483" s="60"/>
      <c r="FHE2483" s="66"/>
      <c r="FHF2483" s="61"/>
      <c r="FHG2483" s="56"/>
      <c r="FHH2483" s="56"/>
      <c r="FHI2483" s="66"/>
      <c r="FHJ2483" s="60"/>
      <c r="FHK2483" s="60"/>
      <c r="FHL2483" s="60"/>
      <c r="FHM2483" s="66"/>
      <c r="FHN2483" s="61"/>
      <c r="FHO2483" s="56"/>
      <c r="FHP2483" s="56"/>
      <c r="FHQ2483" s="66"/>
      <c r="FHR2483" s="60"/>
      <c r="FHS2483" s="60"/>
      <c r="FHT2483" s="60"/>
      <c r="FHU2483" s="66"/>
      <c r="FHV2483" s="61"/>
      <c r="FHW2483" s="56"/>
      <c r="FHX2483" s="56"/>
      <c r="FHY2483" s="66"/>
      <c r="FHZ2483" s="60"/>
      <c r="FIA2483" s="60"/>
      <c r="FIB2483" s="60"/>
      <c r="FIC2483" s="66"/>
      <c r="FID2483" s="61"/>
      <c r="FIE2483" s="56"/>
      <c r="FIF2483" s="56"/>
      <c r="FIG2483" s="66"/>
      <c r="FIH2483" s="60"/>
      <c r="FII2483" s="60"/>
      <c r="FIJ2483" s="60"/>
      <c r="FIK2483" s="66"/>
      <c r="FIL2483" s="61"/>
      <c r="FIM2483" s="56"/>
      <c r="FIN2483" s="56"/>
      <c r="FIO2483" s="66"/>
      <c r="FIP2483" s="60"/>
      <c r="FIQ2483" s="60"/>
      <c r="FIR2483" s="60"/>
      <c r="FIS2483" s="66"/>
      <c r="FIT2483" s="61"/>
      <c r="FIU2483" s="56"/>
      <c r="FIV2483" s="56"/>
      <c r="FIW2483" s="66"/>
      <c r="FIX2483" s="60"/>
      <c r="FIY2483" s="60"/>
      <c r="FIZ2483" s="60"/>
      <c r="FJA2483" s="66"/>
      <c r="FJB2483" s="61"/>
      <c r="FJC2483" s="56"/>
      <c r="FJD2483" s="56"/>
      <c r="FJE2483" s="66"/>
      <c r="FJF2483" s="60"/>
      <c r="FJG2483" s="60"/>
      <c r="FJH2483" s="60"/>
      <c r="FJI2483" s="66"/>
      <c r="FJJ2483" s="61"/>
      <c r="FJK2483" s="56"/>
      <c r="FJL2483" s="56"/>
      <c r="FJM2483" s="66"/>
      <c r="FJN2483" s="60"/>
      <c r="FJO2483" s="60"/>
      <c r="FJP2483" s="60"/>
      <c r="FJQ2483" s="66"/>
      <c r="FJR2483" s="61"/>
      <c r="FJS2483" s="56"/>
      <c r="FJT2483" s="56"/>
      <c r="FJU2483" s="66"/>
      <c r="FJV2483" s="60"/>
      <c r="FJW2483" s="60"/>
      <c r="FJX2483" s="60"/>
      <c r="FJY2483" s="66"/>
      <c r="FJZ2483" s="61"/>
      <c r="FKA2483" s="56"/>
      <c r="FKB2483" s="56"/>
      <c r="FKC2483" s="66"/>
      <c r="FKD2483" s="60"/>
      <c r="FKE2483" s="60"/>
      <c r="FKF2483" s="60"/>
      <c r="FKG2483" s="66"/>
      <c r="FKH2483" s="61"/>
      <c r="FKI2483" s="56"/>
      <c r="FKJ2483" s="56"/>
      <c r="FKK2483" s="66"/>
      <c r="FKL2483" s="60"/>
      <c r="FKM2483" s="60"/>
      <c r="FKN2483" s="60"/>
      <c r="FKO2483" s="66"/>
      <c r="FKP2483" s="61"/>
      <c r="FKQ2483" s="56"/>
      <c r="FKR2483" s="56"/>
      <c r="FKS2483" s="66"/>
      <c r="FKT2483" s="60"/>
      <c r="FKU2483" s="60"/>
      <c r="FKV2483" s="60"/>
      <c r="FKW2483" s="66"/>
      <c r="FKX2483" s="61"/>
      <c r="FKY2483" s="56"/>
      <c r="FKZ2483" s="56"/>
      <c r="FLA2483" s="66"/>
      <c r="FLB2483" s="60"/>
      <c r="FLC2483" s="60"/>
      <c r="FLD2483" s="60"/>
      <c r="FLE2483" s="66"/>
      <c r="FLF2483" s="61"/>
      <c r="FLG2483" s="56"/>
      <c r="FLH2483" s="56"/>
      <c r="FLI2483" s="66"/>
      <c r="FLJ2483" s="60"/>
      <c r="FLK2483" s="60"/>
      <c r="FLL2483" s="60"/>
      <c r="FLM2483" s="66"/>
      <c r="FLN2483" s="61"/>
      <c r="FLO2483" s="56"/>
      <c r="FLP2483" s="56"/>
      <c r="FLQ2483" s="66"/>
      <c r="FLR2483" s="60"/>
      <c r="FLS2483" s="60"/>
      <c r="FLT2483" s="60"/>
      <c r="FLU2483" s="66"/>
      <c r="FLV2483" s="61"/>
      <c r="FLW2483" s="56"/>
      <c r="FLX2483" s="56"/>
      <c r="FLY2483" s="66"/>
      <c r="FLZ2483" s="60"/>
      <c r="FMA2483" s="60"/>
      <c r="FMB2483" s="60"/>
      <c r="FMC2483" s="66"/>
      <c r="FMD2483" s="61"/>
      <c r="FME2483" s="56"/>
      <c r="FMF2483" s="56"/>
      <c r="FMG2483" s="66"/>
      <c r="FMH2483" s="60"/>
      <c r="FMI2483" s="60"/>
      <c r="FMJ2483" s="60"/>
      <c r="FMK2483" s="66"/>
      <c r="FML2483" s="61"/>
      <c r="FMM2483" s="56"/>
      <c r="FMN2483" s="56"/>
      <c r="FMO2483" s="66"/>
      <c r="FMP2483" s="60"/>
      <c r="FMQ2483" s="60"/>
      <c r="FMR2483" s="60"/>
      <c r="FMS2483" s="66"/>
      <c r="FMT2483" s="61"/>
      <c r="FMU2483" s="56"/>
      <c r="FMV2483" s="56"/>
      <c r="FMW2483" s="66"/>
      <c r="FMX2483" s="60"/>
      <c r="FMY2483" s="60"/>
      <c r="FMZ2483" s="60"/>
      <c r="FNA2483" s="66"/>
      <c r="FNB2483" s="61"/>
      <c r="FNC2483" s="56"/>
      <c r="FND2483" s="56"/>
      <c r="FNE2483" s="66"/>
      <c r="FNF2483" s="60"/>
      <c r="FNG2483" s="60"/>
      <c r="FNH2483" s="60"/>
      <c r="FNI2483" s="66"/>
      <c r="FNJ2483" s="61"/>
      <c r="FNK2483" s="56"/>
      <c r="FNL2483" s="56"/>
      <c r="FNM2483" s="66"/>
      <c r="FNN2483" s="60"/>
      <c r="FNO2483" s="60"/>
      <c r="FNP2483" s="60"/>
      <c r="FNQ2483" s="66"/>
      <c r="FNR2483" s="61"/>
      <c r="FNS2483" s="56"/>
      <c r="FNT2483" s="56"/>
      <c r="FNU2483" s="66"/>
      <c r="FNV2483" s="60"/>
      <c r="FNW2483" s="60"/>
      <c r="FNX2483" s="60"/>
      <c r="FNY2483" s="66"/>
      <c r="FNZ2483" s="61"/>
      <c r="FOA2483" s="56"/>
      <c r="FOB2483" s="56"/>
      <c r="FOC2483" s="66"/>
      <c r="FOD2483" s="60"/>
      <c r="FOE2483" s="60"/>
      <c r="FOF2483" s="60"/>
      <c r="FOG2483" s="66"/>
      <c r="FOH2483" s="61"/>
      <c r="FOI2483" s="56"/>
      <c r="FOJ2483" s="56"/>
      <c r="FOK2483" s="66"/>
      <c r="FOL2483" s="60"/>
      <c r="FOM2483" s="60"/>
      <c r="FON2483" s="60"/>
      <c r="FOO2483" s="66"/>
      <c r="FOP2483" s="61"/>
      <c r="FOQ2483" s="56"/>
      <c r="FOR2483" s="56"/>
      <c r="FOS2483" s="66"/>
      <c r="FOT2483" s="60"/>
      <c r="FOU2483" s="60"/>
      <c r="FOV2483" s="60"/>
      <c r="FOW2483" s="66"/>
      <c r="FOX2483" s="61"/>
      <c r="FOY2483" s="56"/>
      <c r="FOZ2483" s="56"/>
      <c r="FPA2483" s="66"/>
      <c r="FPB2483" s="60"/>
      <c r="FPC2483" s="60"/>
      <c r="FPD2483" s="60"/>
      <c r="FPE2483" s="66"/>
      <c r="FPF2483" s="61"/>
      <c r="FPG2483" s="56"/>
      <c r="FPH2483" s="56"/>
      <c r="FPI2483" s="66"/>
      <c r="FPJ2483" s="60"/>
      <c r="FPK2483" s="60"/>
      <c r="FPL2483" s="60"/>
      <c r="FPM2483" s="66"/>
      <c r="FPN2483" s="61"/>
      <c r="FPO2483" s="56"/>
      <c r="FPP2483" s="56"/>
      <c r="FPQ2483" s="66"/>
      <c r="FPR2483" s="60"/>
      <c r="FPS2483" s="60"/>
      <c r="FPT2483" s="60"/>
      <c r="FPU2483" s="66"/>
      <c r="FPV2483" s="61"/>
      <c r="FPW2483" s="56"/>
      <c r="FPX2483" s="56"/>
      <c r="FPY2483" s="66"/>
      <c r="FPZ2483" s="60"/>
      <c r="FQA2483" s="60"/>
      <c r="FQB2483" s="60"/>
      <c r="FQC2483" s="66"/>
      <c r="FQD2483" s="61"/>
      <c r="FQE2483" s="56"/>
      <c r="FQF2483" s="56"/>
      <c r="FQG2483" s="66"/>
      <c r="FQH2483" s="60"/>
      <c r="FQI2483" s="60"/>
      <c r="FQJ2483" s="60"/>
      <c r="FQK2483" s="66"/>
      <c r="FQL2483" s="61"/>
      <c r="FQM2483" s="56"/>
      <c r="FQN2483" s="56"/>
      <c r="FQO2483" s="66"/>
      <c r="FQP2483" s="60"/>
      <c r="FQQ2483" s="60"/>
      <c r="FQR2483" s="60"/>
      <c r="FQS2483" s="66"/>
      <c r="FQT2483" s="61"/>
      <c r="FQU2483" s="56"/>
      <c r="FQV2483" s="56"/>
      <c r="FQW2483" s="66"/>
      <c r="FQX2483" s="60"/>
      <c r="FQY2483" s="60"/>
      <c r="FQZ2483" s="60"/>
      <c r="FRA2483" s="66"/>
      <c r="FRB2483" s="61"/>
      <c r="FRC2483" s="56"/>
      <c r="FRD2483" s="56"/>
      <c r="FRE2483" s="66"/>
      <c r="FRF2483" s="60"/>
      <c r="FRG2483" s="60"/>
      <c r="FRH2483" s="60"/>
      <c r="FRI2483" s="66"/>
      <c r="FRJ2483" s="61"/>
      <c r="FRK2483" s="56"/>
      <c r="FRL2483" s="56"/>
      <c r="FRM2483" s="66"/>
      <c r="FRN2483" s="60"/>
      <c r="FRO2483" s="60"/>
      <c r="FRP2483" s="60"/>
      <c r="FRQ2483" s="66"/>
      <c r="FRR2483" s="61"/>
      <c r="FRS2483" s="56"/>
      <c r="FRT2483" s="56"/>
      <c r="FRU2483" s="66"/>
      <c r="FRV2483" s="60"/>
      <c r="FRW2483" s="60"/>
      <c r="FRX2483" s="60"/>
      <c r="FRY2483" s="66"/>
      <c r="FRZ2483" s="61"/>
      <c r="FSA2483" s="56"/>
      <c r="FSB2483" s="56"/>
      <c r="FSC2483" s="66"/>
      <c r="FSD2483" s="60"/>
      <c r="FSE2483" s="60"/>
      <c r="FSF2483" s="60"/>
      <c r="FSG2483" s="66"/>
      <c r="FSH2483" s="61"/>
      <c r="FSI2483" s="56"/>
      <c r="FSJ2483" s="56"/>
      <c r="FSK2483" s="66"/>
      <c r="FSL2483" s="60"/>
      <c r="FSM2483" s="60"/>
      <c r="FSN2483" s="60"/>
      <c r="FSO2483" s="66"/>
      <c r="FSP2483" s="61"/>
      <c r="FSQ2483" s="56"/>
      <c r="FSR2483" s="56"/>
      <c r="FSS2483" s="66"/>
      <c r="FST2483" s="60"/>
      <c r="FSU2483" s="60"/>
      <c r="FSV2483" s="60"/>
      <c r="FSW2483" s="66"/>
      <c r="FSX2483" s="61"/>
      <c r="FSY2483" s="56"/>
      <c r="FSZ2483" s="56"/>
      <c r="FTA2483" s="66"/>
      <c r="FTB2483" s="60"/>
      <c r="FTC2483" s="60"/>
      <c r="FTD2483" s="60"/>
      <c r="FTE2483" s="66"/>
      <c r="FTF2483" s="61"/>
      <c r="FTG2483" s="56"/>
      <c r="FTH2483" s="56"/>
      <c r="FTI2483" s="66"/>
      <c r="FTJ2483" s="60"/>
      <c r="FTK2483" s="60"/>
      <c r="FTL2483" s="60"/>
      <c r="FTM2483" s="66"/>
      <c r="FTN2483" s="61"/>
      <c r="FTO2483" s="56"/>
      <c r="FTP2483" s="56"/>
      <c r="FTQ2483" s="66"/>
      <c r="FTR2483" s="60"/>
      <c r="FTS2483" s="60"/>
      <c r="FTT2483" s="60"/>
      <c r="FTU2483" s="66"/>
      <c r="FTV2483" s="61"/>
      <c r="FTW2483" s="56"/>
      <c r="FTX2483" s="56"/>
      <c r="FTY2483" s="66"/>
      <c r="FTZ2483" s="60"/>
      <c r="FUA2483" s="60"/>
      <c r="FUB2483" s="60"/>
      <c r="FUC2483" s="66"/>
      <c r="FUD2483" s="61"/>
      <c r="FUE2483" s="56"/>
      <c r="FUF2483" s="56"/>
      <c r="FUG2483" s="66"/>
      <c r="FUH2483" s="60"/>
      <c r="FUI2483" s="60"/>
      <c r="FUJ2483" s="60"/>
      <c r="FUK2483" s="66"/>
      <c r="FUL2483" s="61"/>
      <c r="FUM2483" s="56"/>
      <c r="FUN2483" s="56"/>
      <c r="FUO2483" s="66"/>
      <c r="FUP2483" s="60"/>
      <c r="FUQ2483" s="60"/>
      <c r="FUR2483" s="60"/>
      <c r="FUS2483" s="66"/>
      <c r="FUT2483" s="61"/>
      <c r="FUU2483" s="56"/>
      <c r="FUV2483" s="56"/>
      <c r="FUW2483" s="66"/>
      <c r="FUX2483" s="60"/>
      <c r="FUY2483" s="60"/>
      <c r="FUZ2483" s="60"/>
      <c r="FVA2483" s="66"/>
      <c r="FVB2483" s="61"/>
      <c r="FVC2483" s="56"/>
      <c r="FVD2483" s="56"/>
      <c r="FVE2483" s="66"/>
      <c r="FVF2483" s="60"/>
      <c r="FVG2483" s="60"/>
      <c r="FVH2483" s="60"/>
      <c r="FVI2483" s="66"/>
      <c r="FVJ2483" s="61"/>
      <c r="FVK2483" s="56"/>
      <c r="FVL2483" s="56"/>
      <c r="FVM2483" s="66"/>
      <c r="FVN2483" s="60"/>
      <c r="FVO2483" s="60"/>
      <c r="FVP2483" s="60"/>
      <c r="FVQ2483" s="66"/>
      <c r="FVR2483" s="61"/>
      <c r="FVS2483" s="56"/>
      <c r="FVT2483" s="56"/>
      <c r="FVU2483" s="66"/>
      <c r="FVV2483" s="60"/>
      <c r="FVW2483" s="60"/>
      <c r="FVX2483" s="60"/>
      <c r="FVY2483" s="66"/>
      <c r="FVZ2483" s="61"/>
      <c r="FWA2483" s="56"/>
      <c r="FWB2483" s="56"/>
      <c r="FWC2483" s="66"/>
      <c r="FWD2483" s="60"/>
      <c r="FWE2483" s="60"/>
      <c r="FWF2483" s="60"/>
      <c r="FWG2483" s="66"/>
      <c r="FWH2483" s="61"/>
      <c r="FWI2483" s="56"/>
      <c r="FWJ2483" s="56"/>
      <c r="FWK2483" s="66"/>
      <c r="FWL2483" s="60"/>
      <c r="FWM2483" s="60"/>
      <c r="FWN2483" s="60"/>
      <c r="FWO2483" s="66"/>
      <c r="FWP2483" s="61"/>
      <c r="FWQ2483" s="56"/>
      <c r="FWR2483" s="56"/>
      <c r="FWS2483" s="66"/>
      <c r="FWT2483" s="60"/>
      <c r="FWU2483" s="60"/>
      <c r="FWV2483" s="60"/>
      <c r="FWW2483" s="66"/>
      <c r="FWX2483" s="61"/>
      <c r="FWY2483" s="56"/>
      <c r="FWZ2483" s="56"/>
      <c r="FXA2483" s="66"/>
      <c r="FXB2483" s="60"/>
      <c r="FXC2483" s="60"/>
      <c r="FXD2483" s="60"/>
      <c r="FXE2483" s="66"/>
      <c r="FXF2483" s="61"/>
      <c r="FXG2483" s="56"/>
      <c r="FXH2483" s="56"/>
      <c r="FXI2483" s="66"/>
      <c r="FXJ2483" s="60"/>
      <c r="FXK2483" s="60"/>
      <c r="FXL2483" s="60"/>
      <c r="FXM2483" s="66"/>
      <c r="FXN2483" s="61"/>
      <c r="FXO2483" s="56"/>
      <c r="FXP2483" s="56"/>
      <c r="FXQ2483" s="66"/>
      <c r="FXR2483" s="60"/>
      <c r="FXS2483" s="60"/>
      <c r="FXT2483" s="60"/>
      <c r="FXU2483" s="66"/>
      <c r="FXV2483" s="61"/>
      <c r="FXW2483" s="56"/>
      <c r="FXX2483" s="56"/>
      <c r="FXY2483" s="66"/>
      <c r="FXZ2483" s="60"/>
      <c r="FYA2483" s="60"/>
      <c r="FYB2483" s="60"/>
      <c r="FYC2483" s="66"/>
      <c r="FYD2483" s="61"/>
      <c r="FYE2483" s="56"/>
      <c r="FYF2483" s="56"/>
      <c r="FYG2483" s="66"/>
      <c r="FYH2483" s="60"/>
      <c r="FYI2483" s="60"/>
      <c r="FYJ2483" s="60"/>
      <c r="FYK2483" s="66"/>
      <c r="FYL2483" s="61"/>
      <c r="FYM2483" s="56"/>
      <c r="FYN2483" s="56"/>
      <c r="FYO2483" s="66"/>
      <c r="FYP2483" s="60"/>
      <c r="FYQ2483" s="60"/>
      <c r="FYR2483" s="60"/>
      <c r="FYS2483" s="66"/>
      <c r="FYT2483" s="61"/>
      <c r="FYU2483" s="56"/>
      <c r="FYV2483" s="56"/>
      <c r="FYW2483" s="66"/>
      <c r="FYX2483" s="60"/>
      <c r="FYY2483" s="60"/>
      <c r="FYZ2483" s="60"/>
      <c r="FZA2483" s="66"/>
      <c r="FZB2483" s="61"/>
      <c r="FZC2483" s="56"/>
      <c r="FZD2483" s="56"/>
      <c r="FZE2483" s="66"/>
      <c r="FZF2483" s="60"/>
      <c r="FZG2483" s="60"/>
      <c r="FZH2483" s="60"/>
      <c r="FZI2483" s="66"/>
      <c r="FZJ2483" s="61"/>
      <c r="FZK2483" s="56"/>
      <c r="FZL2483" s="56"/>
      <c r="FZM2483" s="66"/>
      <c r="FZN2483" s="60"/>
      <c r="FZO2483" s="60"/>
      <c r="FZP2483" s="60"/>
      <c r="FZQ2483" s="66"/>
      <c r="FZR2483" s="61"/>
      <c r="FZS2483" s="56"/>
      <c r="FZT2483" s="56"/>
      <c r="FZU2483" s="66"/>
      <c r="FZV2483" s="60"/>
      <c r="FZW2483" s="60"/>
      <c r="FZX2483" s="60"/>
      <c r="FZY2483" s="66"/>
      <c r="FZZ2483" s="61"/>
      <c r="GAA2483" s="56"/>
      <c r="GAB2483" s="56"/>
      <c r="GAC2483" s="66"/>
      <c r="GAD2483" s="60"/>
      <c r="GAE2483" s="60"/>
      <c r="GAF2483" s="60"/>
      <c r="GAG2483" s="66"/>
      <c r="GAH2483" s="61"/>
      <c r="GAI2483" s="56"/>
      <c r="GAJ2483" s="56"/>
      <c r="GAK2483" s="66"/>
      <c r="GAL2483" s="60"/>
      <c r="GAM2483" s="60"/>
      <c r="GAN2483" s="60"/>
      <c r="GAO2483" s="66"/>
      <c r="GAP2483" s="61"/>
      <c r="GAQ2483" s="56"/>
      <c r="GAR2483" s="56"/>
      <c r="GAS2483" s="66"/>
      <c r="GAT2483" s="60"/>
      <c r="GAU2483" s="60"/>
      <c r="GAV2483" s="60"/>
      <c r="GAW2483" s="66"/>
      <c r="GAX2483" s="61"/>
      <c r="GAY2483" s="56"/>
      <c r="GAZ2483" s="56"/>
      <c r="GBA2483" s="66"/>
      <c r="GBB2483" s="60"/>
      <c r="GBC2483" s="60"/>
      <c r="GBD2483" s="60"/>
      <c r="GBE2483" s="66"/>
      <c r="GBF2483" s="61"/>
      <c r="GBG2483" s="56"/>
      <c r="GBH2483" s="56"/>
      <c r="GBI2483" s="66"/>
      <c r="GBJ2483" s="60"/>
      <c r="GBK2483" s="60"/>
      <c r="GBL2483" s="60"/>
      <c r="GBM2483" s="66"/>
      <c r="GBN2483" s="61"/>
      <c r="GBO2483" s="56"/>
      <c r="GBP2483" s="56"/>
      <c r="GBQ2483" s="66"/>
      <c r="GBR2483" s="60"/>
      <c r="GBS2483" s="60"/>
      <c r="GBT2483" s="60"/>
      <c r="GBU2483" s="66"/>
      <c r="GBV2483" s="61"/>
      <c r="GBW2483" s="56"/>
      <c r="GBX2483" s="56"/>
      <c r="GBY2483" s="66"/>
      <c r="GBZ2483" s="60"/>
      <c r="GCA2483" s="60"/>
      <c r="GCB2483" s="60"/>
      <c r="GCC2483" s="66"/>
      <c r="GCD2483" s="61"/>
      <c r="GCE2483" s="56"/>
      <c r="GCF2483" s="56"/>
      <c r="GCG2483" s="66"/>
      <c r="GCH2483" s="60"/>
      <c r="GCI2483" s="60"/>
      <c r="GCJ2483" s="60"/>
      <c r="GCK2483" s="66"/>
      <c r="GCL2483" s="61"/>
      <c r="GCM2483" s="56"/>
      <c r="GCN2483" s="56"/>
      <c r="GCO2483" s="66"/>
      <c r="GCP2483" s="60"/>
      <c r="GCQ2483" s="60"/>
      <c r="GCR2483" s="60"/>
      <c r="GCS2483" s="66"/>
      <c r="GCT2483" s="61"/>
      <c r="GCU2483" s="56"/>
      <c r="GCV2483" s="56"/>
      <c r="GCW2483" s="66"/>
      <c r="GCX2483" s="60"/>
      <c r="GCY2483" s="60"/>
      <c r="GCZ2483" s="60"/>
      <c r="GDA2483" s="66"/>
      <c r="GDB2483" s="61"/>
      <c r="GDC2483" s="56"/>
      <c r="GDD2483" s="56"/>
      <c r="GDE2483" s="66"/>
      <c r="GDF2483" s="60"/>
      <c r="GDG2483" s="60"/>
      <c r="GDH2483" s="60"/>
      <c r="GDI2483" s="66"/>
      <c r="GDJ2483" s="61"/>
      <c r="GDK2483" s="56"/>
      <c r="GDL2483" s="56"/>
      <c r="GDM2483" s="66"/>
      <c r="GDN2483" s="60"/>
      <c r="GDO2483" s="60"/>
      <c r="GDP2483" s="60"/>
      <c r="GDQ2483" s="66"/>
      <c r="GDR2483" s="61"/>
      <c r="GDS2483" s="56"/>
      <c r="GDT2483" s="56"/>
      <c r="GDU2483" s="66"/>
      <c r="GDV2483" s="60"/>
      <c r="GDW2483" s="60"/>
      <c r="GDX2483" s="60"/>
      <c r="GDY2483" s="66"/>
      <c r="GDZ2483" s="61"/>
      <c r="GEA2483" s="56"/>
      <c r="GEB2483" s="56"/>
      <c r="GEC2483" s="66"/>
      <c r="GED2483" s="60"/>
      <c r="GEE2483" s="60"/>
      <c r="GEF2483" s="60"/>
      <c r="GEG2483" s="66"/>
      <c r="GEH2483" s="61"/>
      <c r="GEI2483" s="56"/>
      <c r="GEJ2483" s="56"/>
      <c r="GEK2483" s="66"/>
      <c r="GEL2483" s="60"/>
      <c r="GEM2483" s="60"/>
      <c r="GEN2483" s="60"/>
      <c r="GEO2483" s="66"/>
      <c r="GEP2483" s="61"/>
      <c r="GEQ2483" s="56"/>
      <c r="GER2483" s="56"/>
      <c r="GES2483" s="66"/>
      <c r="GET2483" s="60"/>
      <c r="GEU2483" s="60"/>
      <c r="GEV2483" s="60"/>
      <c r="GEW2483" s="66"/>
      <c r="GEX2483" s="61"/>
      <c r="GEY2483" s="56"/>
      <c r="GEZ2483" s="56"/>
      <c r="GFA2483" s="66"/>
      <c r="GFB2483" s="60"/>
      <c r="GFC2483" s="60"/>
      <c r="GFD2483" s="60"/>
      <c r="GFE2483" s="66"/>
      <c r="GFF2483" s="61"/>
      <c r="GFG2483" s="56"/>
      <c r="GFH2483" s="56"/>
      <c r="GFI2483" s="66"/>
      <c r="GFJ2483" s="60"/>
      <c r="GFK2483" s="60"/>
      <c r="GFL2483" s="60"/>
      <c r="GFM2483" s="66"/>
      <c r="GFN2483" s="61"/>
      <c r="GFO2483" s="56"/>
      <c r="GFP2483" s="56"/>
      <c r="GFQ2483" s="66"/>
      <c r="GFR2483" s="60"/>
      <c r="GFS2483" s="60"/>
      <c r="GFT2483" s="60"/>
      <c r="GFU2483" s="66"/>
      <c r="GFV2483" s="61"/>
      <c r="GFW2483" s="56"/>
      <c r="GFX2483" s="56"/>
      <c r="GFY2483" s="66"/>
      <c r="GFZ2483" s="60"/>
      <c r="GGA2483" s="60"/>
      <c r="GGB2483" s="60"/>
      <c r="GGC2483" s="66"/>
      <c r="GGD2483" s="61"/>
      <c r="GGE2483" s="56"/>
      <c r="GGF2483" s="56"/>
      <c r="GGG2483" s="66"/>
      <c r="GGH2483" s="60"/>
      <c r="GGI2483" s="60"/>
      <c r="GGJ2483" s="60"/>
      <c r="GGK2483" s="66"/>
      <c r="GGL2483" s="61"/>
      <c r="GGM2483" s="56"/>
      <c r="GGN2483" s="56"/>
      <c r="GGO2483" s="66"/>
      <c r="GGP2483" s="60"/>
      <c r="GGQ2483" s="60"/>
      <c r="GGR2483" s="60"/>
      <c r="GGS2483" s="66"/>
      <c r="GGT2483" s="61"/>
      <c r="GGU2483" s="56"/>
      <c r="GGV2483" s="56"/>
      <c r="GGW2483" s="66"/>
      <c r="GGX2483" s="60"/>
      <c r="GGY2483" s="60"/>
      <c r="GGZ2483" s="60"/>
      <c r="GHA2483" s="66"/>
      <c r="GHB2483" s="61"/>
      <c r="GHC2483" s="56"/>
      <c r="GHD2483" s="56"/>
      <c r="GHE2483" s="66"/>
      <c r="GHF2483" s="60"/>
      <c r="GHG2483" s="60"/>
      <c r="GHH2483" s="60"/>
      <c r="GHI2483" s="66"/>
      <c r="GHJ2483" s="61"/>
      <c r="GHK2483" s="56"/>
      <c r="GHL2483" s="56"/>
      <c r="GHM2483" s="66"/>
      <c r="GHN2483" s="60"/>
      <c r="GHO2483" s="60"/>
      <c r="GHP2483" s="60"/>
      <c r="GHQ2483" s="66"/>
      <c r="GHR2483" s="61"/>
      <c r="GHS2483" s="56"/>
      <c r="GHT2483" s="56"/>
      <c r="GHU2483" s="66"/>
      <c r="GHV2483" s="60"/>
      <c r="GHW2483" s="60"/>
      <c r="GHX2483" s="60"/>
      <c r="GHY2483" s="66"/>
      <c r="GHZ2483" s="61"/>
      <c r="GIA2483" s="56"/>
      <c r="GIB2483" s="56"/>
      <c r="GIC2483" s="66"/>
      <c r="GID2483" s="60"/>
      <c r="GIE2483" s="60"/>
      <c r="GIF2483" s="60"/>
      <c r="GIG2483" s="66"/>
      <c r="GIH2483" s="61"/>
      <c r="GII2483" s="56"/>
      <c r="GIJ2483" s="56"/>
      <c r="GIK2483" s="66"/>
      <c r="GIL2483" s="60"/>
      <c r="GIM2483" s="60"/>
      <c r="GIN2483" s="60"/>
      <c r="GIO2483" s="66"/>
      <c r="GIP2483" s="61"/>
      <c r="GIQ2483" s="56"/>
      <c r="GIR2483" s="56"/>
      <c r="GIS2483" s="66"/>
      <c r="GIT2483" s="60"/>
      <c r="GIU2483" s="60"/>
      <c r="GIV2483" s="60"/>
      <c r="GIW2483" s="66"/>
      <c r="GIX2483" s="61"/>
      <c r="GIY2483" s="56"/>
      <c r="GIZ2483" s="56"/>
      <c r="GJA2483" s="66"/>
      <c r="GJB2483" s="60"/>
      <c r="GJC2483" s="60"/>
      <c r="GJD2483" s="60"/>
      <c r="GJE2483" s="66"/>
      <c r="GJF2483" s="61"/>
      <c r="GJG2483" s="56"/>
      <c r="GJH2483" s="56"/>
      <c r="GJI2483" s="66"/>
      <c r="GJJ2483" s="60"/>
      <c r="GJK2483" s="60"/>
      <c r="GJL2483" s="60"/>
      <c r="GJM2483" s="66"/>
      <c r="GJN2483" s="61"/>
      <c r="GJO2483" s="56"/>
      <c r="GJP2483" s="56"/>
      <c r="GJQ2483" s="66"/>
      <c r="GJR2483" s="60"/>
      <c r="GJS2483" s="60"/>
      <c r="GJT2483" s="60"/>
      <c r="GJU2483" s="66"/>
      <c r="GJV2483" s="61"/>
      <c r="GJW2483" s="56"/>
      <c r="GJX2483" s="56"/>
      <c r="GJY2483" s="66"/>
      <c r="GJZ2483" s="60"/>
      <c r="GKA2483" s="60"/>
      <c r="GKB2483" s="60"/>
      <c r="GKC2483" s="66"/>
      <c r="GKD2483" s="61"/>
      <c r="GKE2483" s="56"/>
      <c r="GKF2483" s="56"/>
      <c r="GKG2483" s="66"/>
      <c r="GKH2483" s="60"/>
      <c r="GKI2483" s="60"/>
      <c r="GKJ2483" s="60"/>
      <c r="GKK2483" s="66"/>
      <c r="GKL2483" s="61"/>
      <c r="GKM2483" s="56"/>
      <c r="GKN2483" s="56"/>
      <c r="GKO2483" s="66"/>
      <c r="GKP2483" s="60"/>
      <c r="GKQ2483" s="60"/>
      <c r="GKR2483" s="60"/>
      <c r="GKS2483" s="66"/>
      <c r="GKT2483" s="61"/>
      <c r="GKU2483" s="56"/>
      <c r="GKV2483" s="56"/>
      <c r="GKW2483" s="66"/>
      <c r="GKX2483" s="60"/>
      <c r="GKY2483" s="60"/>
      <c r="GKZ2483" s="60"/>
      <c r="GLA2483" s="66"/>
      <c r="GLB2483" s="61"/>
      <c r="GLC2483" s="56"/>
      <c r="GLD2483" s="56"/>
      <c r="GLE2483" s="66"/>
      <c r="GLF2483" s="60"/>
      <c r="GLG2483" s="60"/>
      <c r="GLH2483" s="60"/>
      <c r="GLI2483" s="66"/>
      <c r="GLJ2483" s="61"/>
      <c r="GLK2483" s="56"/>
      <c r="GLL2483" s="56"/>
      <c r="GLM2483" s="66"/>
      <c r="GLN2483" s="60"/>
      <c r="GLO2483" s="60"/>
      <c r="GLP2483" s="60"/>
      <c r="GLQ2483" s="66"/>
      <c r="GLR2483" s="61"/>
      <c r="GLS2483" s="56"/>
      <c r="GLT2483" s="56"/>
      <c r="GLU2483" s="66"/>
      <c r="GLV2483" s="60"/>
      <c r="GLW2483" s="60"/>
      <c r="GLX2483" s="60"/>
      <c r="GLY2483" s="66"/>
      <c r="GLZ2483" s="61"/>
      <c r="GMA2483" s="56"/>
      <c r="GMB2483" s="56"/>
      <c r="GMC2483" s="66"/>
      <c r="GMD2483" s="60"/>
      <c r="GME2483" s="60"/>
      <c r="GMF2483" s="60"/>
      <c r="GMG2483" s="66"/>
      <c r="GMH2483" s="61"/>
      <c r="GMI2483" s="56"/>
      <c r="GMJ2483" s="56"/>
      <c r="GMK2483" s="66"/>
      <c r="GML2483" s="60"/>
      <c r="GMM2483" s="60"/>
      <c r="GMN2483" s="60"/>
      <c r="GMO2483" s="66"/>
      <c r="GMP2483" s="61"/>
      <c r="GMQ2483" s="56"/>
      <c r="GMR2483" s="56"/>
      <c r="GMS2483" s="66"/>
      <c r="GMT2483" s="60"/>
      <c r="GMU2483" s="60"/>
      <c r="GMV2483" s="60"/>
      <c r="GMW2483" s="66"/>
      <c r="GMX2483" s="61"/>
      <c r="GMY2483" s="56"/>
      <c r="GMZ2483" s="56"/>
      <c r="GNA2483" s="66"/>
      <c r="GNB2483" s="60"/>
      <c r="GNC2483" s="60"/>
      <c r="GND2483" s="60"/>
      <c r="GNE2483" s="66"/>
      <c r="GNF2483" s="61"/>
      <c r="GNG2483" s="56"/>
      <c r="GNH2483" s="56"/>
      <c r="GNI2483" s="66"/>
      <c r="GNJ2483" s="60"/>
      <c r="GNK2483" s="60"/>
      <c r="GNL2483" s="60"/>
      <c r="GNM2483" s="66"/>
      <c r="GNN2483" s="61"/>
      <c r="GNO2483" s="56"/>
      <c r="GNP2483" s="56"/>
      <c r="GNQ2483" s="66"/>
      <c r="GNR2483" s="60"/>
      <c r="GNS2483" s="60"/>
      <c r="GNT2483" s="60"/>
      <c r="GNU2483" s="66"/>
      <c r="GNV2483" s="61"/>
      <c r="GNW2483" s="56"/>
      <c r="GNX2483" s="56"/>
      <c r="GNY2483" s="66"/>
      <c r="GNZ2483" s="60"/>
      <c r="GOA2483" s="60"/>
      <c r="GOB2483" s="60"/>
      <c r="GOC2483" s="66"/>
      <c r="GOD2483" s="61"/>
      <c r="GOE2483" s="56"/>
      <c r="GOF2483" s="56"/>
      <c r="GOG2483" s="66"/>
      <c r="GOH2483" s="60"/>
      <c r="GOI2483" s="60"/>
      <c r="GOJ2483" s="60"/>
      <c r="GOK2483" s="66"/>
      <c r="GOL2483" s="61"/>
      <c r="GOM2483" s="56"/>
      <c r="GON2483" s="56"/>
      <c r="GOO2483" s="66"/>
      <c r="GOP2483" s="60"/>
      <c r="GOQ2483" s="60"/>
      <c r="GOR2483" s="60"/>
      <c r="GOS2483" s="66"/>
      <c r="GOT2483" s="61"/>
      <c r="GOU2483" s="56"/>
      <c r="GOV2483" s="56"/>
      <c r="GOW2483" s="66"/>
      <c r="GOX2483" s="60"/>
      <c r="GOY2483" s="60"/>
      <c r="GOZ2483" s="60"/>
      <c r="GPA2483" s="66"/>
      <c r="GPB2483" s="61"/>
      <c r="GPC2483" s="56"/>
      <c r="GPD2483" s="56"/>
      <c r="GPE2483" s="66"/>
      <c r="GPF2483" s="60"/>
      <c r="GPG2483" s="60"/>
      <c r="GPH2483" s="60"/>
      <c r="GPI2483" s="66"/>
      <c r="GPJ2483" s="61"/>
      <c r="GPK2483" s="56"/>
      <c r="GPL2483" s="56"/>
      <c r="GPM2483" s="66"/>
      <c r="GPN2483" s="60"/>
      <c r="GPO2483" s="60"/>
      <c r="GPP2483" s="60"/>
      <c r="GPQ2483" s="66"/>
      <c r="GPR2483" s="61"/>
      <c r="GPS2483" s="56"/>
      <c r="GPT2483" s="56"/>
      <c r="GPU2483" s="66"/>
      <c r="GPV2483" s="60"/>
      <c r="GPW2483" s="60"/>
      <c r="GPX2483" s="60"/>
      <c r="GPY2483" s="66"/>
      <c r="GPZ2483" s="61"/>
      <c r="GQA2483" s="56"/>
      <c r="GQB2483" s="56"/>
      <c r="GQC2483" s="66"/>
      <c r="GQD2483" s="60"/>
      <c r="GQE2483" s="60"/>
      <c r="GQF2483" s="60"/>
      <c r="GQG2483" s="66"/>
      <c r="GQH2483" s="61"/>
      <c r="GQI2483" s="56"/>
      <c r="GQJ2483" s="56"/>
      <c r="GQK2483" s="66"/>
      <c r="GQL2483" s="60"/>
      <c r="GQM2483" s="60"/>
      <c r="GQN2483" s="60"/>
      <c r="GQO2483" s="66"/>
      <c r="GQP2483" s="61"/>
      <c r="GQQ2483" s="56"/>
      <c r="GQR2483" s="56"/>
      <c r="GQS2483" s="66"/>
      <c r="GQT2483" s="60"/>
      <c r="GQU2483" s="60"/>
      <c r="GQV2483" s="60"/>
      <c r="GQW2483" s="66"/>
      <c r="GQX2483" s="61"/>
      <c r="GQY2483" s="56"/>
      <c r="GQZ2483" s="56"/>
      <c r="GRA2483" s="66"/>
      <c r="GRB2483" s="60"/>
      <c r="GRC2483" s="60"/>
      <c r="GRD2483" s="60"/>
      <c r="GRE2483" s="66"/>
      <c r="GRF2483" s="61"/>
      <c r="GRG2483" s="56"/>
      <c r="GRH2483" s="56"/>
      <c r="GRI2483" s="66"/>
      <c r="GRJ2483" s="60"/>
      <c r="GRK2483" s="60"/>
      <c r="GRL2483" s="60"/>
      <c r="GRM2483" s="66"/>
      <c r="GRN2483" s="61"/>
      <c r="GRO2483" s="56"/>
      <c r="GRP2483" s="56"/>
      <c r="GRQ2483" s="66"/>
      <c r="GRR2483" s="60"/>
      <c r="GRS2483" s="60"/>
      <c r="GRT2483" s="60"/>
      <c r="GRU2483" s="66"/>
      <c r="GRV2483" s="61"/>
      <c r="GRW2483" s="56"/>
      <c r="GRX2483" s="56"/>
      <c r="GRY2483" s="66"/>
      <c r="GRZ2483" s="60"/>
      <c r="GSA2483" s="60"/>
      <c r="GSB2483" s="60"/>
      <c r="GSC2483" s="66"/>
      <c r="GSD2483" s="61"/>
      <c r="GSE2483" s="56"/>
      <c r="GSF2483" s="56"/>
      <c r="GSG2483" s="66"/>
      <c r="GSH2483" s="60"/>
      <c r="GSI2483" s="60"/>
      <c r="GSJ2483" s="60"/>
      <c r="GSK2483" s="66"/>
      <c r="GSL2483" s="61"/>
      <c r="GSM2483" s="56"/>
      <c r="GSN2483" s="56"/>
      <c r="GSO2483" s="66"/>
      <c r="GSP2483" s="60"/>
      <c r="GSQ2483" s="60"/>
      <c r="GSR2483" s="60"/>
      <c r="GSS2483" s="66"/>
      <c r="GST2483" s="61"/>
      <c r="GSU2483" s="56"/>
      <c r="GSV2483" s="56"/>
      <c r="GSW2483" s="66"/>
      <c r="GSX2483" s="60"/>
      <c r="GSY2483" s="60"/>
      <c r="GSZ2483" s="60"/>
      <c r="GTA2483" s="66"/>
      <c r="GTB2483" s="61"/>
      <c r="GTC2483" s="56"/>
      <c r="GTD2483" s="56"/>
      <c r="GTE2483" s="66"/>
      <c r="GTF2483" s="60"/>
      <c r="GTG2483" s="60"/>
      <c r="GTH2483" s="60"/>
      <c r="GTI2483" s="66"/>
      <c r="GTJ2483" s="61"/>
      <c r="GTK2483" s="56"/>
      <c r="GTL2483" s="56"/>
      <c r="GTM2483" s="66"/>
      <c r="GTN2483" s="60"/>
      <c r="GTO2483" s="60"/>
      <c r="GTP2483" s="60"/>
      <c r="GTQ2483" s="66"/>
      <c r="GTR2483" s="61"/>
      <c r="GTS2483" s="56"/>
      <c r="GTT2483" s="56"/>
      <c r="GTU2483" s="66"/>
      <c r="GTV2483" s="60"/>
      <c r="GTW2483" s="60"/>
      <c r="GTX2483" s="60"/>
      <c r="GTY2483" s="66"/>
      <c r="GTZ2483" s="61"/>
      <c r="GUA2483" s="56"/>
      <c r="GUB2483" s="56"/>
      <c r="GUC2483" s="66"/>
      <c r="GUD2483" s="60"/>
      <c r="GUE2483" s="60"/>
      <c r="GUF2483" s="60"/>
      <c r="GUG2483" s="66"/>
      <c r="GUH2483" s="61"/>
      <c r="GUI2483" s="56"/>
      <c r="GUJ2483" s="56"/>
      <c r="GUK2483" s="66"/>
      <c r="GUL2483" s="60"/>
      <c r="GUM2483" s="60"/>
      <c r="GUN2483" s="60"/>
      <c r="GUO2483" s="66"/>
      <c r="GUP2483" s="61"/>
      <c r="GUQ2483" s="56"/>
      <c r="GUR2483" s="56"/>
      <c r="GUS2483" s="66"/>
      <c r="GUT2483" s="60"/>
      <c r="GUU2483" s="60"/>
      <c r="GUV2483" s="60"/>
      <c r="GUW2483" s="66"/>
      <c r="GUX2483" s="61"/>
      <c r="GUY2483" s="56"/>
      <c r="GUZ2483" s="56"/>
      <c r="GVA2483" s="66"/>
      <c r="GVB2483" s="60"/>
      <c r="GVC2483" s="60"/>
      <c r="GVD2483" s="60"/>
      <c r="GVE2483" s="66"/>
      <c r="GVF2483" s="61"/>
      <c r="GVG2483" s="56"/>
      <c r="GVH2483" s="56"/>
      <c r="GVI2483" s="66"/>
      <c r="GVJ2483" s="60"/>
      <c r="GVK2483" s="60"/>
      <c r="GVL2483" s="60"/>
      <c r="GVM2483" s="66"/>
      <c r="GVN2483" s="61"/>
      <c r="GVO2483" s="56"/>
      <c r="GVP2483" s="56"/>
      <c r="GVQ2483" s="66"/>
      <c r="GVR2483" s="60"/>
      <c r="GVS2483" s="60"/>
      <c r="GVT2483" s="60"/>
      <c r="GVU2483" s="66"/>
      <c r="GVV2483" s="61"/>
      <c r="GVW2483" s="56"/>
      <c r="GVX2483" s="56"/>
      <c r="GVY2483" s="66"/>
      <c r="GVZ2483" s="60"/>
      <c r="GWA2483" s="60"/>
      <c r="GWB2483" s="60"/>
      <c r="GWC2483" s="66"/>
      <c r="GWD2483" s="61"/>
      <c r="GWE2483" s="56"/>
      <c r="GWF2483" s="56"/>
      <c r="GWG2483" s="66"/>
      <c r="GWH2483" s="60"/>
      <c r="GWI2483" s="60"/>
      <c r="GWJ2483" s="60"/>
      <c r="GWK2483" s="66"/>
      <c r="GWL2483" s="61"/>
      <c r="GWM2483" s="56"/>
      <c r="GWN2483" s="56"/>
      <c r="GWO2483" s="66"/>
      <c r="GWP2483" s="60"/>
      <c r="GWQ2483" s="60"/>
      <c r="GWR2483" s="60"/>
      <c r="GWS2483" s="66"/>
      <c r="GWT2483" s="61"/>
      <c r="GWU2483" s="56"/>
      <c r="GWV2483" s="56"/>
      <c r="GWW2483" s="66"/>
      <c r="GWX2483" s="60"/>
      <c r="GWY2483" s="60"/>
      <c r="GWZ2483" s="60"/>
      <c r="GXA2483" s="66"/>
      <c r="GXB2483" s="61"/>
      <c r="GXC2483" s="56"/>
      <c r="GXD2483" s="56"/>
      <c r="GXE2483" s="66"/>
      <c r="GXF2483" s="60"/>
      <c r="GXG2483" s="60"/>
      <c r="GXH2483" s="60"/>
      <c r="GXI2483" s="66"/>
      <c r="GXJ2483" s="61"/>
      <c r="GXK2483" s="56"/>
      <c r="GXL2483" s="56"/>
      <c r="GXM2483" s="66"/>
      <c r="GXN2483" s="60"/>
      <c r="GXO2483" s="60"/>
      <c r="GXP2483" s="60"/>
      <c r="GXQ2483" s="66"/>
      <c r="GXR2483" s="61"/>
      <c r="GXS2483" s="56"/>
      <c r="GXT2483" s="56"/>
      <c r="GXU2483" s="66"/>
      <c r="GXV2483" s="60"/>
      <c r="GXW2483" s="60"/>
      <c r="GXX2483" s="60"/>
      <c r="GXY2483" s="66"/>
      <c r="GXZ2483" s="61"/>
      <c r="GYA2483" s="56"/>
      <c r="GYB2483" s="56"/>
      <c r="GYC2483" s="66"/>
      <c r="GYD2483" s="60"/>
      <c r="GYE2483" s="60"/>
      <c r="GYF2483" s="60"/>
      <c r="GYG2483" s="66"/>
      <c r="GYH2483" s="61"/>
      <c r="GYI2483" s="56"/>
      <c r="GYJ2483" s="56"/>
      <c r="GYK2483" s="66"/>
      <c r="GYL2483" s="60"/>
      <c r="GYM2483" s="60"/>
      <c r="GYN2483" s="60"/>
      <c r="GYO2483" s="66"/>
      <c r="GYP2483" s="61"/>
      <c r="GYQ2483" s="56"/>
      <c r="GYR2483" s="56"/>
      <c r="GYS2483" s="66"/>
      <c r="GYT2483" s="60"/>
      <c r="GYU2483" s="60"/>
      <c r="GYV2483" s="60"/>
      <c r="GYW2483" s="66"/>
      <c r="GYX2483" s="61"/>
      <c r="GYY2483" s="56"/>
      <c r="GYZ2483" s="56"/>
      <c r="GZA2483" s="66"/>
      <c r="GZB2483" s="60"/>
      <c r="GZC2483" s="60"/>
      <c r="GZD2483" s="60"/>
      <c r="GZE2483" s="66"/>
      <c r="GZF2483" s="61"/>
      <c r="GZG2483" s="56"/>
      <c r="GZH2483" s="56"/>
      <c r="GZI2483" s="66"/>
      <c r="GZJ2483" s="60"/>
      <c r="GZK2483" s="60"/>
      <c r="GZL2483" s="60"/>
      <c r="GZM2483" s="66"/>
      <c r="GZN2483" s="61"/>
      <c r="GZO2483" s="56"/>
      <c r="GZP2483" s="56"/>
      <c r="GZQ2483" s="66"/>
      <c r="GZR2483" s="60"/>
      <c r="GZS2483" s="60"/>
      <c r="GZT2483" s="60"/>
      <c r="GZU2483" s="66"/>
      <c r="GZV2483" s="61"/>
      <c r="GZW2483" s="56"/>
      <c r="GZX2483" s="56"/>
      <c r="GZY2483" s="66"/>
      <c r="GZZ2483" s="60"/>
      <c r="HAA2483" s="60"/>
      <c r="HAB2483" s="60"/>
      <c r="HAC2483" s="66"/>
      <c r="HAD2483" s="61"/>
      <c r="HAE2483" s="56"/>
      <c r="HAF2483" s="56"/>
      <c r="HAG2483" s="66"/>
      <c r="HAH2483" s="60"/>
      <c r="HAI2483" s="60"/>
      <c r="HAJ2483" s="60"/>
      <c r="HAK2483" s="66"/>
      <c r="HAL2483" s="61"/>
      <c r="HAM2483" s="56"/>
      <c r="HAN2483" s="56"/>
      <c r="HAO2483" s="66"/>
      <c r="HAP2483" s="60"/>
      <c r="HAQ2483" s="60"/>
      <c r="HAR2483" s="60"/>
      <c r="HAS2483" s="66"/>
      <c r="HAT2483" s="61"/>
      <c r="HAU2483" s="56"/>
      <c r="HAV2483" s="56"/>
      <c r="HAW2483" s="66"/>
      <c r="HAX2483" s="60"/>
      <c r="HAY2483" s="60"/>
      <c r="HAZ2483" s="60"/>
      <c r="HBA2483" s="66"/>
      <c r="HBB2483" s="61"/>
      <c r="HBC2483" s="56"/>
      <c r="HBD2483" s="56"/>
      <c r="HBE2483" s="66"/>
      <c r="HBF2483" s="60"/>
      <c r="HBG2483" s="60"/>
      <c r="HBH2483" s="60"/>
      <c r="HBI2483" s="66"/>
      <c r="HBJ2483" s="61"/>
      <c r="HBK2483" s="56"/>
      <c r="HBL2483" s="56"/>
      <c r="HBM2483" s="66"/>
      <c r="HBN2483" s="60"/>
      <c r="HBO2483" s="60"/>
      <c r="HBP2483" s="60"/>
      <c r="HBQ2483" s="66"/>
      <c r="HBR2483" s="61"/>
      <c r="HBS2483" s="56"/>
      <c r="HBT2483" s="56"/>
      <c r="HBU2483" s="66"/>
      <c r="HBV2483" s="60"/>
      <c r="HBW2483" s="60"/>
      <c r="HBX2483" s="60"/>
      <c r="HBY2483" s="66"/>
      <c r="HBZ2483" s="61"/>
      <c r="HCA2483" s="56"/>
      <c r="HCB2483" s="56"/>
      <c r="HCC2483" s="66"/>
      <c r="HCD2483" s="60"/>
      <c r="HCE2483" s="60"/>
      <c r="HCF2483" s="60"/>
      <c r="HCG2483" s="66"/>
      <c r="HCH2483" s="61"/>
      <c r="HCI2483" s="56"/>
      <c r="HCJ2483" s="56"/>
      <c r="HCK2483" s="66"/>
      <c r="HCL2483" s="60"/>
      <c r="HCM2483" s="60"/>
      <c r="HCN2483" s="60"/>
      <c r="HCO2483" s="66"/>
      <c r="HCP2483" s="61"/>
      <c r="HCQ2483" s="56"/>
      <c r="HCR2483" s="56"/>
      <c r="HCS2483" s="66"/>
      <c r="HCT2483" s="60"/>
      <c r="HCU2483" s="60"/>
      <c r="HCV2483" s="60"/>
      <c r="HCW2483" s="66"/>
      <c r="HCX2483" s="61"/>
      <c r="HCY2483" s="56"/>
      <c r="HCZ2483" s="56"/>
      <c r="HDA2483" s="66"/>
      <c r="HDB2483" s="60"/>
      <c r="HDC2483" s="60"/>
      <c r="HDD2483" s="60"/>
      <c r="HDE2483" s="66"/>
      <c r="HDF2483" s="61"/>
      <c r="HDG2483" s="56"/>
      <c r="HDH2483" s="56"/>
      <c r="HDI2483" s="66"/>
      <c r="HDJ2483" s="60"/>
      <c r="HDK2483" s="60"/>
      <c r="HDL2483" s="60"/>
      <c r="HDM2483" s="66"/>
      <c r="HDN2483" s="61"/>
      <c r="HDO2483" s="56"/>
      <c r="HDP2483" s="56"/>
      <c r="HDQ2483" s="66"/>
      <c r="HDR2483" s="60"/>
      <c r="HDS2483" s="60"/>
      <c r="HDT2483" s="60"/>
      <c r="HDU2483" s="66"/>
      <c r="HDV2483" s="61"/>
      <c r="HDW2483" s="56"/>
      <c r="HDX2483" s="56"/>
      <c r="HDY2483" s="66"/>
      <c r="HDZ2483" s="60"/>
      <c r="HEA2483" s="60"/>
      <c r="HEB2483" s="60"/>
      <c r="HEC2483" s="66"/>
      <c r="HED2483" s="61"/>
      <c r="HEE2483" s="56"/>
      <c r="HEF2483" s="56"/>
      <c r="HEG2483" s="66"/>
      <c r="HEH2483" s="60"/>
      <c r="HEI2483" s="60"/>
      <c r="HEJ2483" s="60"/>
      <c r="HEK2483" s="66"/>
      <c r="HEL2483" s="61"/>
      <c r="HEM2483" s="56"/>
      <c r="HEN2483" s="56"/>
      <c r="HEO2483" s="66"/>
      <c r="HEP2483" s="60"/>
      <c r="HEQ2483" s="60"/>
      <c r="HER2483" s="60"/>
      <c r="HES2483" s="66"/>
      <c r="HET2483" s="61"/>
      <c r="HEU2483" s="56"/>
      <c r="HEV2483" s="56"/>
      <c r="HEW2483" s="66"/>
      <c r="HEX2483" s="60"/>
      <c r="HEY2483" s="60"/>
      <c r="HEZ2483" s="60"/>
      <c r="HFA2483" s="66"/>
      <c r="HFB2483" s="61"/>
      <c r="HFC2483" s="56"/>
      <c r="HFD2483" s="56"/>
      <c r="HFE2483" s="66"/>
      <c r="HFF2483" s="60"/>
      <c r="HFG2483" s="60"/>
      <c r="HFH2483" s="60"/>
      <c r="HFI2483" s="66"/>
      <c r="HFJ2483" s="61"/>
      <c r="HFK2483" s="56"/>
      <c r="HFL2483" s="56"/>
      <c r="HFM2483" s="66"/>
      <c r="HFN2483" s="60"/>
      <c r="HFO2483" s="60"/>
      <c r="HFP2483" s="60"/>
      <c r="HFQ2483" s="66"/>
      <c r="HFR2483" s="61"/>
      <c r="HFS2483" s="56"/>
      <c r="HFT2483" s="56"/>
      <c r="HFU2483" s="66"/>
      <c r="HFV2483" s="60"/>
      <c r="HFW2483" s="60"/>
      <c r="HFX2483" s="60"/>
      <c r="HFY2483" s="66"/>
      <c r="HFZ2483" s="61"/>
      <c r="HGA2483" s="56"/>
      <c r="HGB2483" s="56"/>
      <c r="HGC2483" s="66"/>
      <c r="HGD2483" s="60"/>
      <c r="HGE2483" s="60"/>
      <c r="HGF2483" s="60"/>
      <c r="HGG2483" s="66"/>
      <c r="HGH2483" s="61"/>
      <c r="HGI2483" s="56"/>
      <c r="HGJ2483" s="56"/>
      <c r="HGK2483" s="66"/>
      <c r="HGL2483" s="60"/>
      <c r="HGM2483" s="60"/>
      <c r="HGN2483" s="60"/>
      <c r="HGO2483" s="66"/>
      <c r="HGP2483" s="61"/>
      <c r="HGQ2483" s="56"/>
      <c r="HGR2483" s="56"/>
      <c r="HGS2483" s="66"/>
      <c r="HGT2483" s="60"/>
      <c r="HGU2483" s="60"/>
      <c r="HGV2483" s="60"/>
      <c r="HGW2483" s="66"/>
      <c r="HGX2483" s="61"/>
      <c r="HGY2483" s="56"/>
      <c r="HGZ2483" s="56"/>
      <c r="HHA2483" s="66"/>
      <c r="HHB2483" s="60"/>
      <c r="HHC2483" s="60"/>
      <c r="HHD2483" s="60"/>
      <c r="HHE2483" s="66"/>
      <c r="HHF2483" s="61"/>
      <c r="HHG2483" s="56"/>
      <c r="HHH2483" s="56"/>
      <c r="HHI2483" s="66"/>
      <c r="HHJ2483" s="60"/>
      <c r="HHK2483" s="60"/>
      <c r="HHL2483" s="60"/>
      <c r="HHM2483" s="66"/>
      <c r="HHN2483" s="61"/>
      <c r="HHO2483" s="56"/>
      <c r="HHP2483" s="56"/>
      <c r="HHQ2483" s="66"/>
      <c r="HHR2483" s="60"/>
      <c r="HHS2483" s="60"/>
      <c r="HHT2483" s="60"/>
      <c r="HHU2483" s="66"/>
      <c r="HHV2483" s="61"/>
      <c r="HHW2483" s="56"/>
      <c r="HHX2483" s="56"/>
      <c r="HHY2483" s="66"/>
      <c r="HHZ2483" s="60"/>
      <c r="HIA2483" s="60"/>
      <c r="HIB2483" s="60"/>
      <c r="HIC2483" s="66"/>
      <c r="HID2483" s="61"/>
      <c r="HIE2483" s="56"/>
      <c r="HIF2483" s="56"/>
      <c r="HIG2483" s="66"/>
      <c r="HIH2483" s="60"/>
      <c r="HII2483" s="60"/>
      <c r="HIJ2483" s="60"/>
      <c r="HIK2483" s="66"/>
      <c r="HIL2483" s="61"/>
      <c r="HIM2483" s="56"/>
      <c r="HIN2483" s="56"/>
      <c r="HIO2483" s="66"/>
      <c r="HIP2483" s="60"/>
      <c r="HIQ2483" s="60"/>
      <c r="HIR2483" s="60"/>
      <c r="HIS2483" s="66"/>
      <c r="HIT2483" s="61"/>
      <c r="HIU2483" s="56"/>
      <c r="HIV2483" s="56"/>
      <c r="HIW2483" s="66"/>
      <c r="HIX2483" s="60"/>
      <c r="HIY2483" s="60"/>
      <c r="HIZ2483" s="60"/>
      <c r="HJA2483" s="66"/>
      <c r="HJB2483" s="61"/>
      <c r="HJC2483" s="56"/>
      <c r="HJD2483" s="56"/>
      <c r="HJE2483" s="66"/>
      <c r="HJF2483" s="60"/>
      <c r="HJG2483" s="60"/>
      <c r="HJH2483" s="60"/>
      <c r="HJI2483" s="66"/>
      <c r="HJJ2483" s="61"/>
      <c r="HJK2483" s="56"/>
      <c r="HJL2483" s="56"/>
      <c r="HJM2483" s="66"/>
      <c r="HJN2483" s="60"/>
      <c r="HJO2483" s="60"/>
      <c r="HJP2483" s="60"/>
      <c r="HJQ2483" s="66"/>
      <c r="HJR2483" s="61"/>
      <c r="HJS2483" s="56"/>
      <c r="HJT2483" s="56"/>
      <c r="HJU2483" s="66"/>
      <c r="HJV2483" s="60"/>
      <c r="HJW2483" s="60"/>
      <c r="HJX2483" s="60"/>
      <c r="HJY2483" s="66"/>
      <c r="HJZ2483" s="61"/>
      <c r="HKA2483" s="56"/>
      <c r="HKB2483" s="56"/>
      <c r="HKC2483" s="66"/>
      <c r="HKD2483" s="60"/>
      <c r="HKE2483" s="60"/>
      <c r="HKF2483" s="60"/>
      <c r="HKG2483" s="66"/>
      <c r="HKH2483" s="61"/>
      <c r="HKI2483" s="56"/>
      <c r="HKJ2483" s="56"/>
      <c r="HKK2483" s="66"/>
      <c r="HKL2483" s="60"/>
      <c r="HKM2483" s="60"/>
      <c r="HKN2483" s="60"/>
      <c r="HKO2483" s="66"/>
      <c r="HKP2483" s="61"/>
      <c r="HKQ2483" s="56"/>
      <c r="HKR2483" s="56"/>
      <c r="HKS2483" s="66"/>
      <c r="HKT2483" s="60"/>
      <c r="HKU2483" s="60"/>
      <c r="HKV2483" s="60"/>
      <c r="HKW2483" s="66"/>
      <c r="HKX2483" s="61"/>
      <c r="HKY2483" s="56"/>
      <c r="HKZ2483" s="56"/>
      <c r="HLA2483" s="66"/>
      <c r="HLB2483" s="60"/>
      <c r="HLC2483" s="60"/>
      <c r="HLD2483" s="60"/>
      <c r="HLE2483" s="66"/>
      <c r="HLF2483" s="61"/>
      <c r="HLG2483" s="56"/>
      <c r="HLH2483" s="56"/>
      <c r="HLI2483" s="66"/>
      <c r="HLJ2483" s="60"/>
      <c r="HLK2483" s="60"/>
      <c r="HLL2483" s="60"/>
      <c r="HLM2483" s="66"/>
      <c r="HLN2483" s="61"/>
      <c r="HLO2483" s="56"/>
      <c r="HLP2483" s="56"/>
      <c r="HLQ2483" s="66"/>
      <c r="HLR2483" s="60"/>
      <c r="HLS2483" s="60"/>
      <c r="HLT2483" s="60"/>
      <c r="HLU2483" s="66"/>
      <c r="HLV2483" s="61"/>
      <c r="HLW2483" s="56"/>
      <c r="HLX2483" s="56"/>
      <c r="HLY2483" s="66"/>
      <c r="HLZ2483" s="60"/>
      <c r="HMA2483" s="60"/>
      <c r="HMB2483" s="60"/>
      <c r="HMC2483" s="66"/>
      <c r="HMD2483" s="61"/>
      <c r="HME2483" s="56"/>
      <c r="HMF2483" s="56"/>
      <c r="HMG2483" s="66"/>
      <c r="HMH2483" s="60"/>
      <c r="HMI2483" s="60"/>
      <c r="HMJ2483" s="60"/>
      <c r="HMK2483" s="66"/>
      <c r="HML2483" s="61"/>
      <c r="HMM2483" s="56"/>
      <c r="HMN2483" s="56"/>
      <c r="HMO2483" s="66"/>
      <c r="HMP2483" s="60"/>
      <c r="HMQ2483" s="60"/>
      <c r="HMR2483" s="60"/>
      <c r="HMS2483" s="66"/>
      <c r="HMT2483" s="61"/>
      <c r="HMU2483" s="56"/>
      <c r="HMV2483" s="56"/>
      <c r="HMW2483" s="66"/>
      <c r="HMX2483" s="60"/>
      <c r="HMY2483" s="60"/>
      <c r="HMZ2483" s="60"/>
      <c r="HNA2483" s="66"/>
      <c r="HNB2483" s="61"/>
      <c r="HNC2483" s="56"/>
      <c r="HND2483" s="56"/>
      <c r="HNE2483" s="66"/>
      <c r="HNF2483" s="60"/>
      <c r="HNG2483" s="60"/>
      <c r="HNH2483" s="60"/>
      <c r="HNI2483" s="66"/>
      <c r="HNJ2483" s="61"/>
      <c r="HNK2483" s="56"/>
      <c r="HNL2483" s="56"/>
      <c r="HNM2483" s="66"/>
      <c r="HNN2483" s="60"/>
      <c r="HNO2483" s="60"/>
      <c r="HNP2483" s="60"/>
      <c r="HNQ2483" s="66"/>
      <c r="HNR2483" s="61"/>
      <c r="HNS2483" s="56"/>
      <c r="HNT2483" s="56"/>
      <c r="HNU2483" s="66"/>
      <c r="HNV2483" s="60"/>
      <c r="HNW2483" s="60"/>
      <c r="HNX2483" s="60"/>
      <c r="HNY2483" s="66"/>
      <c r="HNZ2483" s="61"/>
      <c r="HOA2483" s="56"/>
      <c r="HOB2483" s="56"/>
      <c r="HOC2483" s="66"/>
      <c r="HOD2483" s="60"/>
      <c r="HOE2483" s="60"/>
      <c r="HOF2483" s="60"/>
      <c r="HOG2483" s="66"/>
      <c r="HOH2483" s="61"/>
      <c r="HOI2483" s="56"/>
      <c r="HOJ2483" s="56"/>
      <c r="HOK2483" s="66"/>
      <c r="HOL2483" s="60"/>
      <c r="HOM2483" s="60"/>
      <c r="HON2483" s="60"/>
      <c r="HOO2483" s="66"/>
      <c r="HOP2483" s="61"/>
      <c r="HOQ2483" s="56"/>
      <c r="HOR2483" s="56"/>
      <c r="HOS2483" s="66"/>
      <c r="HOT2483" s="60"/>
      <c r="HOU2483" s="60"/>
      <c r="HOV2483" s="60"/>
      <c r="HOW2483" s="66"/>
      <c r="HOX2483" s="61"/>
      <c r="HOY2483" s="56"/>
      <c r="HOZ2483" s="56"/>
      <c r="HPA2483" s="66"/>
      <c r="HPB2483" s="60"/>
      <c r="HPC2483" s="60"/>
      <c r="HPD2483" s="60"/>
      <c r="HPE2483" s="66"/>
      <c r="HPF2483" s="61"/>
      <c r="HPG2483" s="56"/>
      <c r="HPH2483" s="56"/>
      <c r="HPI2483" s="66"/>
      <c r="HPJ2483" s="60"/>
      <c r="HPK2483" s="60"/>
      <c r="HPL2483" s="60"/>
      <c r="HPM2483" s="66"/>
      <c r="HPN2483" s="61"/>
      <c r="HPO2483" s="56"/>
      <c r="HPP2483" s="56"/>
      <c r="HPQ2483" s="66"/>
      <c r="HPR2483" s="60"/>
      <c r="HPS2483" s="60"/>
      <c r="HPT2483" s="60"/>
      <c r="HPU2483" s="66"/>
      <c r="HPV2483" s="61"/>
      <c r="HPW2483" s="56"/>
      <c r="HPX2483" s="56"/>
      <c r="HPY2483" s="66"/>
      <c r="HPZ2483" s="60"/>
      <c r="HQA2483" s="60"/>
      <c r="HQB2483" s="60"/>
      <c r="HQC2483" s="66"/>
      <c r="HQD2483" s="61"/>
      <c r="HQE2483" s="56"/>
      <c r="HQF2483" s="56"/>
      <c r="HQG2483" s="66"/>
      <c r="HQH2483" s="60"/>
      <c r="HQI2483" s="60"/>
      <c r="HQJ2483" s="60"/>
      <c r="HQK2483" s="66"/>
      <c r="HQL2483" s="61"/>
      <c r="HQM2483" s="56"/>
      <c r="HQN2483" s="56"/>
      <c r="HQO2483" s="66"/>
      <c r="HQP2483" s="60"/>
      <c r="HQQ2483" s="60"/>
      <c r="HQR2483" s="60"/>
      <c r="HQS2483" s="66"/>
      <c r="HQT2483" s="61"/>
      <c r="HQU2483" s="56"/>
      <c r="HQV2483" s="56"/>
      <c r="HQW2483" s="66"/>
      <c r="HQX2483" s="60"/>
      <c r="HQY2483" s="60"/>
      <c r="HQZ2483" s="60"/>
      <c r="HRA2483" s="66"/>
      <c r="HRB2483" s="61"/>
      <c r="HRC2483" s="56"/>
      <c r="HRD2483" s="56"/>
      <c r="HRE2483" s="66"/>
      <c r="HRF2483" s="60"/>
      <c r="HRG2483" s="60"/>
      <c r="HRH2483" s="60"/>
      <c r="HRI2483" s="66"/>
      <c r="HRJ2483" s="61"/>
      <c r="HRK2483" s="56"/>
      <c r="HRL2483" s="56"/>
      <c r="HRM2483" s="66"/>
      <c r="HRN2483" s="60"/>
      <c r="HRO2483" s="60"/>
      <c r="HRP2483" s="60"/>
      <c r="HRQ2483" s="66"/>
      <c r="HRR2483" s="61"/>
      <c r="HRS2483" s="56"/>
      <c r="HRT2483" s="56"/>
      <c r="HRU2483" s="66"/>
      <c r="HRV2483" s="60"/>
      <c r="HRW2483" s="60"/>
      <c r="HRX2483" s="60"/>
      <c r="HRY2483" s="66"/>
      <c r="HRZ2483" s="61"/>
      <c r="HSA2483" s="56"/>
      <c r="HSB2483" s="56"/>
      <c r="HSC2483" s="66"/>
      <c r="HSD2483" s="60"/>
      <c r="HSE2483" s="60"/>
      <c r="HSF2483" s="60"/>
      <c r="HSG2483" s="66"/>
      <c r="HSH2483" s="61"/>
      <c r="HSI2483" s="56"/>
      <c r="HSJ2483" s="56"/>
      <c r="HSK2483" s="66"/>
      <c r="HSL2483" s="60"/>
      <c r="HSM2483" s="60"/>
      <c r="HSN2483" s="60"/>
      <c r="HSO2483" s="66"/>
      <c r="HSP2483" s="61"/>
      <c r="HSQ2483" s="56"/>
      <c r="HSR2483" s="56"/>
      <c r="HSS2483" s="66"/>
      <c r="HST2483" s="60"/>
      <c r="HSU2483" s="60"/>
      <c r="HSV2483" s="60"/>
      <c r="HSW2483" s="66"/>
      <c r="HSX2483" s="61"/>
      <c r="HSY2483" s="56"/>
      <c r="HSZ2483" s="56"/>
      <c r="HTA2483" s="66"/>
      <c r="HTB2483" s="60"/>
      <c r="HTC2483" s="60"/>
      <c r="HTD2483" s="60"/>
      <c r="HTE2483" s="66"/>
      <c r="HTF2483" s="61"/>
      <c r="HTG2483" s="56"/>
      <c r="HTH2483" s="56"/>
      <c r="HTI2483" s="66"/>
      <c r="HTJ2483" s="60"/>
      <c r="HTK2483" s="60"/>
      <c r="HTL2483" s="60"/>
      <c r="HTM2483" s="66"/>
      <c r="HTN2483" s="61"/>
      <c r="HTO2483" s="56"/>
      <c r="HTP2483" s="56"/>
      <c r="HTQ2483" s="66"/>
      <c r="HTR2483" s="60"/>
      <c r="HTS2483" s="60"/>
      <c r="HTT2483" s="60"/>
      <c r="HTU2483" s="66"/>
      <c r="HTV2483" s="61"/>
      <c r="HTW2483" s="56"/>
      <c r="HTX2483" s="56"/>
      <c r="HTY2483" s="66"/>
      <c r="HTZ2483" s="60"/>
      <c r="HUA2483" s="60"/>
      <c r="HUB2483" s="60"/>
      <c r="HUC2483" s="66"/>
      <c r="HUD2483" s="61"/>
      <c r="HUE2483" s="56"/>
      <c r="HUF2483" s="56"/>
      <c r="HUG2483" s="66"/>
      <c r="HUH2483" s="60"/>
      <c r="HUI2483" s="60"/>
      <c r="HUJ2483" s="60"/>
      <c r="HUK2483" s="66"/>
      <c r="HUL2483" s="61"/>
      <c r="HUM2483" s="56"/>
      <c r="HUN2483" s="56"/>
      <c r="HUO2483" s="66"/>
      <c r="HUP2483" s="60"/>
      <c r="HUQ2483" s="60"/>
      <c r="HUR2483" s="60"/>
      <c r="HUS2483" s="66"/>
      <c r="HUT2483" s="61"/>
      <c r="HUU2483" s="56"/>
      <c r="HUV2483" s="56"/>
      <c r="HUW2483" s="66"/>
      <c r="HUX2483" s="60"/>
      <c r="HUY2483" s="60"/>
      <c r="HUZ2483" s="60"/>
      <c r="HVA2483" s="66"/>
      <c r="HVB2483" s="61"/>
      <c r="HVC2483" s="56"/>
      <c r="HVD2483" s="56"/>
      <c r="HVE2483" s="66"/>
      <c r="HVF2483" s="60"/>
      <c r="HVG2483" s="60"/>
      <c r="HVH2483" s="60"/>
      <c r="HVI2483" s="66"/>
      <c r="HVJ2483" s="61"/>
      <c r="HVK2483" s="56"/>
      <c r="HVL2483" s="56"/>
      <c r="HVM2483" s="66"/>
      <c r="HVN2483" s="60"/>
      <c r="HVO2483" s="60"/>
      <c r="HVP2483" s="60"/>
      <c r="HVQ2483" s="66"/>
      <c r="HVR2483" s="61"/>
      <c r="HVS2483" s="56"/>
      <c r="HVT2483" s="56"/>
      <c r="HVU2483" s="66"/>
      <c r="HVV2483" s="60"/>
      <c r="HVW2483" s="60"/>
      <c r="HVX2483" s="60"/>
      <c r="HVY2483" s="66"/>
      <c r="HVZ2483" s="61"/>
      <c r="HWA2483" s="56"/>
      <c r="HWB2483" s="56"/>
      <c r="HWC2483" s="66"/>
      <c r="HWD2483" s="60"/>
      <c r="HWE2483" s="60"/>
      <c r="HWF2483" s="60"/>
      <c r="HWG2483" s="66"/>
      <c r="HWH2483" s="61"/>
      <c r="HWI2483" s="56"/>
      <c r="HWJ2483" s="56"/>
      <c r="HWK2483" s="66"/>
      <c r="HWL2483" s="60"/>
      <c r="HWM2483" s="60"/>
      <c r="HWN2483" s="60"/>
      <c r="HWO2483" s="66"/>
      <c r="HWP2483" s="61"/>
      <c r="HWQ2483" s="56"/>
      <c r="HWR2483" s="56"/>
      <c r="HWS2483" s="66"/>
      <c r="HWT2483" s="60"/>
      <c r="HWU2483" s="60"/>
      <c r="HWV2483" s="60"/>
      <c r="HWW2483" s="66"/>
      <c r="HWX2483" s="61"/>
      <c r="HWY2483" s="56"/>
      <c r="HWZ2483" s="56"/>
      <c r="HXA2483" s="66"/>
      <c r="HXB2483" s="60"/>
      <c r="HXC2483" s="60"/>
      <c r="HXD2483" s="60"/>
      <c r="HXE2483" s="66"/>
      <c r="HXF2483" s="61"/>
      <c r="HXG2483" s="56"/>
      <c r="HXH2483" s="56"/>
      <c r="HXI2483" s="66"/>
      <c r="HXJ2483" s="60"/>
      <c r="HXK2483" s="60"/>
      <c r="HXL2483" s="60"/>
      <c r="HXM2483" s="66"/>
      <c r="HXN2483" s="61"/>
      <c r="HXO2483" s="56"/>
      <c r="HXP2483" s="56"/>
      <c r="HXQ2483" s="66"/>
      <c r="HXR2483" s="60"/>
      <c r="HXS2483" s="60"/>
      <c r="HXT2483" s="60"/>
      <c r="HXU2483" s="66"/>
      <c r="HXV2483" s="61"/>
      <c r="HXW2483" s="56"/>
      <c r="HXX2483" s="56"/>
      <c r="HXY2483" s="66"/>
      <c r="HXZ2483" s="60"/>
      <c r="HYA2483" s="60"/>
      <c r="HYB2483" s="60"/>
      <c r="HYC2483" s="66"/>
      <c r="HYD2483" s="61"/>
      <c r="HYE2483" s="56"/>
      <c r="HYF2483" s="56"/>
      <c r="HYG2483" s="66"/>
      <c r="HYH2483" s="60"/>
      <c r="HYI2483" s="60"/>
      <c r="HYJ2483" s="60"/>
      <c r="HYK2483" s="66"/>
      <c r="HYL2483" s="61"/>
      <c r="HYM2483" s="56"/>
      <c r="HYN2483" s="56"/>
      <c r="HYO2483" s="66"/>
      <c r="HYP2483" s="60"/>
      <c r="HYQ2483" s="60"/>
      <c r="HYR2483" s="60"/>
      <c r="HYS2483" s="66"/>
      <c r="HYT2483" s="61"/>
      <c r="HYU2483" s="56"/>
      <c r="HYV2483" s="56"/>
      <c r="HYW2483" s="66"/>
      <c r="HYX2483" s="60"/>
      <c r="HYY2483" s="60"/>
      <c r="HYZ2483" s="60"/>
      <c r="HZA2483" s="66"/>
      <c r="HZB2483" s="61"/>
      <c r="HZC2483" s="56"/>
      <c r="HZD2483" s="56"/>
      <c r="HZE2483" s="66"/>
      <c r="HZF2483" s="60"/>
      <c r="HZG2483" s="60"/>
      <c r="HZH2483" s="60"/>
      <c r="HZI2483" s="66"/>
      <c r="HZJ2483" s="61"/>
      <c r="HZK2483" s="56"/>
      <c r="HZL2483" s="56"/>
      <c r="HZM2483" s="66"/>
      <c r="HZN2483" s="60"/>
      <c r="HZO2483" s="60"/>
      <c r="HZP2483" s="60"/>
      <c r="HZQ2483" s="66"/>
      <c r="HZR2483" s="61"/>
      <c r="HZS2483" s="56"/>
      <c r="HZT2483" s="56"/>
      <c r="HZU2483" s="66"/>
      <c r="HZV2483" s="60"/>
      <c r="HZW2483" s="60"/>
      <c r="HZX2483" s="60"/>
      <c r="HZY2483" s="66"/>
      <c r="HZZ2483" s="61"/>
      <c r="IAA2483" s="56"/>
      <c r="IAB2483" s="56"/>
      <c r="IAC2483" s="66"/>
      <c r="IAD2483" s="60"/>
      <c r="IAE2483" s="60"/>
      <c r="IAF2483" s="60"/>
      <c r="IAG2483" s="66"/>
      <c r="IAH2483" s="61"/>
      <c r="IAI2483" s="56"/>
      <c r="IAJ2483" s="56"/>
      <c r="IAK2483" s="66"/>
      <c r="IAL2483" s="60"/>
      <c r="IAM2483" s="60"/>
      <c r="IAN2483" s="60"/>
      <c r="IAO2483" s="66"/>
      <c r="IAP2483" s="61"/>
      <c r="IAQ2483" s="56"/>
      <c r="IAR2483" s="56"/>
      <c r="IAS2483" s="66"/>
      <c r="IAT2483" s="60"/>
      <c r="IAU2483" s="60"/>
      <c r="IAV2483" s="60"/>
      <c r="IAW2483" s="66"/>
      <c r="IAX2483" s="61"/>
      <c r="IAY2483" s="56"/>
      <c r="IAZ2483" s="56"/>
      <c r="IBA2483" s="66"/>
      <c r="IBB2483" s="60"/>
      <c r="IBC2483" s="60"/>
      <c r="IBD2483" s="60"/>
      <c r="IBE2483" s="66"/>
      <c r="IBF2483" s="61"/>
      <c r="IBG2483" s="56"/>
      <c r="IBH2483" s="56"/>
      <c r="IBI2483" s="66"/>
      <c r="IBJ2483" s="60"/>
      <c r="IBK2483" s="60"/>
      <c r="IBL2483" s="60"/>
      <c r="IBM2483" s="66"/>
      <c r="IBN2483" s="61"/>
      <c r="IBO2483" s="56"/>
      <c r="IBP2483" s="56"/>
      <c r="IBQ2483" s="66"/>
      <c r="IBR2483" s="60"/>
      <c r="IBS2483" s="60"/>
      <c r="IBT2483" s="60"/>
      <c r="IBU2483" s="66"/>
      <c r="IBV2483" s="61"/>
      <c r="IBW2483" s="56"/>
      <c r="IBX2483" s="56"/>
      <c r="IBY2483" s="66"/>
      <c r="IBZ2483" s="60"/>
      <c r="ICA2483" s="60"/>
      <c r="ICB2483" s="60"/>
      <c r="ICC2483" s="66"/>
      <c r="ICD2483" s="61"/>
      <c r="ICE2483" s="56"/>
      <c r="ICF2483" s="56"/>
      <c r="ICG2483" s="66"/>
      <c r="ICH2483" s="60"/>
      <c r="ICI2483" s="60"/>
      <c r="ICJ2483" s="60"/>
      <c r="ICK2483" s="66"/>
      <c r="ICL2483" s="61"/>
      <c r="ICM2483" s="56"/>
      <c r="ICN2483" s="56"/>
      <c r="ICO2483" s="66"/>
      <c r="ICP2483" s="60"/>
      <c r="ICQ2483" s="60"/>
      <c r="ICR2483" s="60"/>
      <c r="ICS2483" s="66"/>
      <c r="ICT2483" s="61"/>
      <c r="ICU2483" s="56"/>
      <c r="ICV2483" s="56"/>
      <c r="ICW2483" s="66"/>
      <c r="ICX2483" s="60"/>
      <c r="ICY2483" s="60"/>
      <c r="ICZ2483" s="60"/>
      <c r="IDA2483" s="66"/>
      <c r="IDB2483" s="61"/>
      <c r="IDC2483" s="56"/>
      <c r="IDD2483" s="56"/>
      <c r="IDE2483" s="66"/>
      <c r="IDF2483" s="60"/>
      <c r="IDG2483" s="60"/>
      <c r="IDH2483" s="60"/>
      <c r="IDI2483" s="66"/>
      <c r="IDJ2483" s="61"/>
      <c r="IDK2483" s="56"/>
      <c r="IDL2483" s="56"/>
      <c r="IDM2483" s="66"/>
      <c r="IDN2483" s="60"/>
      <c r="IDO2483" s="60"/>
      <c r="IDP2483" s="60"/>
      <c r="IDQ2483" s="66"/>
      <c r="IDR2483" s="61"/>
      <c r="IDS2483" s="56"/>
      <c r="IDT2483" s="56"/>
      <c r="IDU2483" s="66"/>
      <c r="IDV2483" s="60"/>
      <c r="IDW2483" s="60"/>
      <c r="IDX2483" s="60"/>
      <c r="IDY2483" s="66"/>
      <c r="IDZ2483" s="61"/>
      <c r="IEA2483" s="56"/>
      <c r="IEB2483" s="56"/>
      <c r="IEC2483" s="66"/>
      <c r="IED2483" s="60"/>
      <c r="IEE2483" s="60"/>
      <c r="IEF2483" s="60"/>
      <c r="IEG2483" s="66"/>
      <c r="IEH2483" s="61"/>
      <c r="IEI2483" s="56"/>
      <c r="IEJ2483" s="56"/>
      <c r="IEK2483" s="66"/>
      <c r="IEL2483" s="60"/>
      <c r="IEM2483" s="60"/>
      <c r="IEN2483" s="60"/>
      <c r="IEO2483" s="66"/>
      <c r="IEP2483" s="61"/>
      <c r="IEQ2483" s="56"/>
      <c r="IER2483" s="56"/>
      <c r="IES2483" s="66"/>
      <c r="IET2483" s="60"/>
      <c r="IEU2483" s="60"/>
      <c r="IEV2483" s="60"/>
      <c r="IEW2483" s="66"/>
      <c r="IEX2483" s="61"/>
      <c r="IEY2483" s="56"/>
      <c r="IEZ2483" s="56"/>
      <c r="IFA2483" s="66"/>
      <c r="IFB2483" s="60"/>
      <c r="IFC2483" s="60"/>
      <c r="IFD2483" s="60"/>
      <c r="IFE2483" s="66"/>
      <c r="IFF2483" s="61"/>
      <c r="IFG2483" s="56"/>
      <c r="IFH2483" s="56"/>
      <c r="IFI2483" s="66"/>
      <c r="IFJ2483" s="60"/>
      <c r="IFK2483" s="60"/>
      <c r="IFL2483" s="60"/>
      <c r="IFM2483" s="66"/>
      <c r="IFN2483" s="61"/>
      <c r="IFO2483" s="56"/>
      <c r="IFP2483" s="56"/>
      <c r="IFQ2483" s="66"/>
      <c r="IFR2483" s="60"/>
      <c r="IFS2483" s="60"/>
      <c r="IFT2483" s="60"/>
      <c r="IFU2483" s="66"/>
      <c r="IFV2483" s="61"/>
      <c r="IFW2483" s="56"/>
      <c r="IFX2483" s="56"/>
      <c r="IFY2483" s="66"/>
      <c r="IFZ2483" s="60"/>
      <c r="IGA2483" s="60"/>
      <c r="IGB2483" s="60"/>
      <c r="IGC2483" s="66"/>
      <c r="IGD2483" s="61"/>
      <c r="IGE2483" s="56"/>
      <c r="IGF2483" s="56"/>
      <c r="IGG2483" s="66"/>
      <c r="IGH2483" s="60"/>
      <c r="IGI2483" s="60"/>
      <c r="IGJ2483" s="60"/>
      <c r="IGK2483" s="66"/>
      <c r="IGL2483" s="61"/>
      <c r="IGM2483" s="56"/>
      <c r="IGN2483" s="56"/>
      <c r="IGO2483" s="66"/>
      <c r="IGP2483" s="60"/>
      <c r="IGQ2483" s="60"/>
      <c r="IGR2483" s="60"/>
      <c r="IGS2483" s="66"/>
      <c r="IGT2483" s="61"/>
      <c r="IGU2483" s="56"/>
      <c r="IGV2483" s="56"/>
      <c r="IGW2483" s="66"/>
      <c r="IGX2483" s="60"/>
      <c r="IGY2483" s="60"/>
      <c r="IGZ2483" s="60"/>
      <c r="IHA2483" s="66"/>
      <c r="IHB2483" s="61"/>
      <c r="IHC2483" s="56"/>
      <c r="IHD2483" s="56"/>
      <c r="IHE2483" s="66"/>
      <c r="IHF2483" s="60"/>
      <c r="IHG2483" s="60"/>
      <c r="IHH2483" s="60"/>
      <c r="IHI2483" s="66"/>
      <c r="IHJ2483" s="61"/>
      <c r="IHK2483" s="56"/>
      <c r="IHL2483" s="56"/>
      <c r="IHM2483" s="66"/>
      <c r="IHN2483" s="60"/>
      <c r="IHO2483" s="60"/>
      <c r="IHP2483" s="60"/>
      <c r="IHQ2483" s="66"/>
      <c r="IHR2483" s="61"/>
      <c r="IHS2483" s="56"/>
      <c r="IHT2483" s="56"/>
      <c r="IHU2483" s="66"/>
      <c r="IHV2483" s="60"/>
      <c r="IHW2483" s="60"/>
      <c r="IHX2483" s="60"/>
      <c r="IHY2483" s="66"/>
      <c r="IHZ2483" s="61"/>
      <c r="IIA2483" s="56"/>
      <c r="IIB2483" s="56"/>
      <c r="IIC2483" s="66"/>
      <c r="IID2483" s="60"/>
      <c r="IIE2483" s="60"/>
      <c r="IIF2483" s="60"/>
      <c r="IIG2483" s="66"/>
      <c r="IIH2483" s="61"/>
      <c r="III2483" s="56"/>
      <c r="IIJ2483" s="56"/>
      <c r="IIK2483" s="66"/>
      <c r="IIL2483" s="60"/>
      <c r="IIM2483" s="60"/>
      <c r="IIN2483" s="60"/>
      <c r="IIO2483" s="66"/>
      <c r="IIP2483" s="61"/>
      <c r="IIQ2483" s="56"/>
      <c r="IIR2483" s="56"/>
      <c r="IIS2483" s="66"/>
      <c r="IIT2483" s="60"/>
      <c r="IIU2483" s="60"/>
      <c r="IIV2483" s="60"/>
      <c r="IIW2483" s="66"/>
      <c r="IIX2483" s="61"/>
      <c r="IIY2483" s="56"/>
      <c r="IIZ2483" s="56"/>
      <c r="IJA2483" s="66"/>
      <c r="IJB2483" s="60"/>
      <c r="IJC2483" s="60"/>
      <c r="IJD2483" s="60"/>
      <c r="IJE2483" s="66"/>
      <c r="IJF2483" s="61"/>
      <c r="IJG2483" s="56"/>
      <c r="IJH2483" s="56"/>
      <c r="IJI2483" s="66"/>
      <c r="IJJ2483" s="60"/>
      <c r="IJK2483" s="60"/>
      <c r="IJL2483" s="60"/>
      <c r="IJM2483" s="66"/>
      <c r="IJN2483" s="61"/>
      <c r="IJO2483" s="56"/>
      <c r="IJP2483" s="56"/>
      <c r="IJQ2483" s="66"/>
      <c r="IJR2483" s="60"/>
      <c r="IJS2483" s="60"/>
      <c r="IJT2483" s="60"/>
      <c r="IJU2483" s="66"/>
      <c r="IJV2483" s="61"/>
      <c r="IJW2483" s="56"/>
      <c r="IJX2483" s="56"/>
      <c r="IJY2483" s="66"/>
      <c r="IJZ2483" s="60"/>
      <c r="IKA2483" s="60"/>
      <c r="IKB2483" s="60"/>
      <c r="IKC2483" s="66"/>
      <c r="IKD2483" s="61"/>
      <c r="IKE2483" s="56"/>
      <c r="IKF2483" s="56"/>
      <c r="IKG2483" s="66"/>
      <c r="IKH2483" s="60"/>
      <c r="IKI2483" s="60"/>
      <c r="IKJ2483" s="60"/>
      <c r="IKK2483" s="66"/>
      <c r="IKL2483" s="61"/>
      <c r="IKM2483" s="56"/>
      <c r="IKN2483" s="56"/>
      <c r="IKO2483" s="66"/>
      <c r="IKP2483" s="60"/>
      <c r="IKQ2483" s="60"/>
      <c r="IKR2483" s="60"/>
      <c r="IKS2483" s="66"/>
      <c r="IKT2483" s="61"/>
      <c r="IKU2483" s="56"/>
      <c r="IKV2483" s="56"/>
      <c r="IKW2483" s="66"/>
      <c r="IKX2483" s="60"/>
      <c r="IKY2483" s="60"/>
      <c r="IKZ2483" s="60"/>
      <c r="ILA2483" s="66"/>
      <c r="ILB2483" s="61"/>
      <c r="ILC2483" s="56"/>
      <c r="ILD2483" s="56"/>
      <c r="ILE2483" s="66"/>
      <c r="ILF2483" s="60"/>
      <c r="ILG2483" s="60"/>
      <c r="ILH2483" s="60"/>
      <c r="ILI2483" s="66"/>
      <c r="ILJ2483" s="61"/>
      <c r="ILK2483" s="56"/>
      <c r="ILL2483" s="56"/>
      <c r="ILM2483" s="66"/>
      <c r="ILN2483" s="60"/>
      <c r="ILO2483" s="60"/>
      <c r="ILP2483" s="60"/>
      <c r="ILQ2483" s="66"/>
      <c r="ILR2483" s="61"/>
      <c r="ILS2483" s="56"/>
      <c r="ILT2483" s="56"/>
      <c r="ILU2483" s="66"/>
      <c r="ILV2483" s="60"/>
      <c r="ILW2483" s="60"/>
      <c r="ILX2483" s="60"/>
      <c r="ILY2483" s="66"/>
      <c r="ILZ2483" s="61"/>
      <c r="IMA2483" s="56"/>
      <c r="IMB2483" s="56"/>
      <c r="IMC2483" s="66"/>
      <c r="IMD2483" s="60"/>
      <c r="IME2483" s="60"/>
      <c r="IMF2483" s="60"/>
      <c r="IMG2483" s="66"/>
      <c r="IMH2483" s="61"/>
      <c r="IMI2483" s="56"/>
      <c r="IMJ2483" s="56"/>
      <c r="IMK2483" s="66"/>
      <c r="IML2483" s="60"/>
      <c r="IMM2483" s="60"/>
      <c r="IMN2483" s="60"/>
      <c r="IMO2483" s="66"/>
      <c r="IMP2483" s="61"/>
      <c r="IMQ2483" s="56"/>
      <c r="IMR2483" s="56"/>
      <c r="IMS2483" s="66"/>
      <c r="IMT2483" s="60"/>
      <c r="IMU2483" s="60"/>
      <c r="IMV2483" s="60"/>
      <c r="IMW2483" s="66"/>
      <c r="IMX2483" s="61"/>
      <c r="IMY2483" s="56"/>
      <c r="IMZ2483" s="56"/>
      <c r="INA2483" s="66"/>
      <c r="INB2483" s="60"/>
      <c r="INC2483" s="60"/>
      <c r="IND2483" s="60"/>
      <c r="INE2483" s="66"/>
      <c r="INF2483" s="61"/>
      <c r="ING2483" s="56"/>
      <c r="INH2483" s="56"/>
      <c r="INI2483" s="66"/>
      <c r="INJ2483" s="60"/>
      <c r="INK2483" s="60"/>
      <c r="INL2483" s="60"/>
      <c r="INM2483" s="66"/>
      <c r="INN2483" s="61"/>
      <c r="INO2483" s="56"/>
      <c r="INP2483" s="56"/>
      <c r="INQ2483" s="66"/>
      <c r="INR2483" s="60"/>
      <c r="INS2483" s="60"/>
      <c r="INT2483" s="60"/>
      <c r="INU2483" s="66"/>
      <c r="INV2483" s="61"/>
      <c r="INW2483" s="56"/>
      <c r="INX2483" s="56"/>
      <c r="INY2483" s="66"/>
      <c r="INZ2483" s="60"/>
      <c r="IOA2483" s="60"/>
      <c r="IOB2483" s="60"/>
      <c r="IOC2483" s="66"/>
      <c r="IOD2483" s="61"/>
      <c r="IOE2483" s="56"/>
      <c r="IOF2483" s="56"/>
      <c r="IOG2483" s="66"/>
      <c r="IOH2483" s="60"/>
      <c r="IOI2483" s="60"/>
      <c r="IOJ2483" s="60"/>
      <c r="IOK2483" s="66"/>
      <c r="IOL2483" s="61"/>
      <c r="IOM2483" s="56"/>
      <c r="ION2483" s="56"/>
      <c r="IOO2483" s="66"/>
      <c r="IOP2483" s="60"/>
      <c r="IOQ2483" s="60"/>
      <c r="IOR2483" s="60"/>
      <c r="IOS2483" s="66"/>
      <c r="IOT2483" s="61"/>
      <c r="IOU2483" s="56"/>
      <c r="IOV2483" s="56"/>
      <c r="IOW2483" s="66"/>
      <c r="IOX2483" s="60"/>
      <c r="IOY2483" s="60"/>
      <c r="IOZ2483" s="60"/>
      <c r="IPA2483" s="66"/>
      <c r="IPB2483" s="61"/>
      <c r="IPC2483" s="56"/>
      <c r="IPD2483" s="56"/>
      <c r="IPE2483" s="66"/>
      <c r="IPF2483" s="60"/>
      <c r="IPG2483" s="60"/>
      <c r="IPH2483" s="60"/>
      <c r="IPI2483" s="66"/>
      <c r="IPJ2483" s="61"/>
      <c r="IPK2483" s="56"/>
      <c r="IPL2483" s="56"/>
      <c r="IPM2483" s="66"/>
      <c r="IPN2483" s="60"/>
      <c r="IPO2483" s="60"/>
      <c r="IPP2483" s="60"/>
      <c r="IPQ2483" s="66"/>
      <c r="IPR2483" s="61"/>
      <c r="IPS2483" s="56"/>
      <c r="IPT2483" s="56"/>
      <c r="IPU2483" s="66"/>
      <c r="IPV2483" s="60"/>
      <c r="IPW2483" s="60"/>
      <c r="IPX2483" s="60"/>
      <c r="IPY2483" s="66"/>
      <c r="IPZ2483" s="61"/>
      <c r="IQA2483" s="56"/>
      <c r="IQB2483" s="56"/>
      <c r="IQC2483" s="66"/>
      <c r="IQD2483" s="60"/>
      <c r="IQE2483" s="60"/>
      <c r="IQF2483" s="60"/>
      <c r="IQG2483" s="66"/>
      <c r="IQH2483" s="61"/>
      <c r="IQI2483" s="56"/>
      <c r="IQJ2483" s="56"/>
      <c r="IQK2483" s="66"/>
      <c r="IQL2483" s="60"/>
      <c r="IQM2483" s="60"/>
      <c r="IQN2483" s="60"/>
      <c r="IQO2483" s="66"/>
      <c r="IQP2483" s="61"/>
      <c r="IQQ2483" s="56"/>
      <c r="IQR2483" s="56"/>
      <c r="IQS2483" s="66"/>
      <c r="IQT2483" s="60"/>
      <c r="IQU2483" s="60"/>
      <c r="IQV2483" s="60"/>
      <c r="IQW2483" s="66"/>
      <c r="IQX2483" s="61"/>
      <c r="IQY2483" s="56"/>
      <c r="IQZ2483" s="56"/>
      <c r="IRA2483" s="66"/>
      <c r="IRB2483" s="60"/>
      <c r="IRC2483" s="60"/>
      <c r="IRD2483" s="60"/>
      <c r="IRE2483" s="66"/>
      <c r="IRF2483" s="61"/>
      <c r="IRG2483" s="56"/>
      <c r="IRH2483" s="56"/>
      <c r="IRI2483" s="66"/>
      <c r="IRJ2483" s="60"/>
      <c r="IRK2483" s="60"/>
      <c r="IRL2483" s="60"/>
      <c r="IRM2483" s="66"/>
      <c r="IRN2483" s="61"/>
      <c r="IRO2483" s="56"/>
      <c r="IRP2483" s="56"/>
      <c r="IRQ2483" s="66"/>
      <c r="IRR2483" s="60"/>
      <c r="IRS2483" s="60"/>
      <c r="IRT2483" s="60"/>
      <c r="IRU2483" s="66"/>
      <c r="IRV2483" s="61"/>
      <c r="IRW2483" s="56"/>
      <c r="IRX2483" s="56"/>
      <c r="IRY2483" s="66"/>
      <c r="IRZ2483" s="60"/>
      <c r="ISA2483" s="60"/>
      <c r="ISB2483" s="60"/>
      <c r="ISC2483" s="66"/>
      <c r="ISD2483" s="61"/>
      <c r="ISE2483" s="56"/>
      <c r="ISF2483" s="56"/>
      <c r="ISG2483" s="66"/>
      <c r="ISH2483" s="60"/>
      <c r="ISI2483" s="60"/>
      <c r="ISJ2483" s="60"/>
      <c r="ISK2483" s="66"/>
      <c r="ISL2483" s="61"/>
      <c r="ISM2483" s="56"/>
      <c r="ISN2483" s="56"/>
      <c r="ISO2483" s="66"/>
      <c r="ISP2483" s="60"/>
      <c r="ISQ2483" s="60"/>
      <c r="ISR2483" s="60"/>
      <c r="ISS2483" s="66"/>
      <c r="IST2483" s="61"/>
      <c r="ISU2483" s="56"/>
      <c r="ISV2483" s="56"/>
      <c r="ISW2483" s="66"/>
      <c r="ISX2483" s="60"/>
      <c r="ISY2483" s="60"/>
      <c r="ISZ2483" s="60"/>
      <c r="ITA2483" s="66"/>
      <c r="ITB2483" s="61"/>
      <c r="ITC2483" s="56"/>
      <c r="ITD2483" s="56"/>
      <c r="ITE2483" s="66"/>
      <c r="ITF2483" s="60"/>
      <c r="ITG2483" s="60"/>
      <c r="ITH2483" s="60"/>
      <c r="ITI2483" s="66"/>
      <c r="ITJ2483" s="61"/>
      <c r="ITK2483" s="56"/>
      <c r="ITL2483" s="56"/>
      <c r="ITM2483" s="66"/>
      <c r="ITN2483" s="60"/>
      <c r="ITO2483" s="60"/>
      <c r="ITP2483" s="60"/>
      <c r="ITQ2483" s="66"/>
      <c r="ITR2483" s="61"/>
      <c r="ITS2483" s="56"/>
      <c r="ITT2483" s="56"/>
      <c r="ITU2483" s="66"/>
      <c r="ITV2483" s="60"/>
      <c r="ITW2483" s="60"/>
      <c r="ITX2483" s="60"/>
      <c r="ITY2483" s="66"/>
      <c r="ITZ2483" s="61"/>
      <c r="IUA2483" s="56"/>
      <c r="IUB2483" s="56"/>
      <c r="IUC2483" s="66"/>
      <c r="IUD2483" s="60"/>
      <c r="IUE2483" s="60"/>
      <c r="IUF2483" s="60"/>
      <c r="IUG2483" s="66"/>
      <c r="IUH2483" s="61"/>
      <c r="IUI2483" s="56"/>
      <c r="IUJ2483" s="56"/>
      <c r="IUK2483" s="66"/>
      <c r="IUL2483" s="60"/>
      <c r="IUM2483" s="60"/>
      <c r="IUN2483" s="60"/>
      <c r="IUO2483" s="66"/>
      <c r="IUP2483" s="61"/>
      <c r="IUQ2483" s="56"/>
      <c r="IUR2483" s="56"/>
      <c r="IUS2483" s="66"/>
      <c r="IUT2483" s="60"/>
      <c r="IUU2483" s="60"/>
      <c r="IUV2483" s="60"/>
      <c r="IUW2483" s="66"/>
      <c r="IUX2483" s="61"/>
      <c r="IUY2483" s="56"/>
      <c r="IUZ2483" s="56"/>
      <c r="IVA2483" s="66"/>
      <c r="IVB2483" s="60"/>
      <c r="IVC2483" s="60"/>
      <c r="IVD2483" s="60"/>
      <c r="IVE2483" s="66"/>
      <c r="IVF2483" s="61"/>
      <c r="IVG2483" s="56"/>
      <c r="IVH2483" s="56"/>
      <c r="IVI2483" s="66"/>
      <c r="IVJ2483" s="60"/>
      <c r="IVK2483" s="60"/>
      <c r="IVL2483" s="60"/>
      <c r="IVM2483" s="66"/>
      <c r="IVN2483" s="61"/>
      <c r="IVO2483" s="56"/>
      <c r="IVP2483" s="56"/>
      <c r="IVQ2483" s="66"/>
      <c r="IVR2483" s="60"/>
      <c r="IVS2483" s="60"/>
      <c r="IVT2483" s="60"/>
      <c r="IVU2483" s="66"/>
      <c r="IVV2483" s="61"/>
      <c r="IVW2483" s="56"/>
      <c r="IVX2483" s="56"/>
      <c r="IVY2483" s="66"/>
      <c r="IVZ2483" s="60"/>
      <c r="IWA2483" s="60"/>
      <c r="IWB2483" s="60"/>
      <c r="IWC2483" s="66"/>
      <c r="IWD2483" s="61"/>
      <c r="IWE2483" s="56"/>
      <c r="IWF2483" s="56"/>
      <c r="IWG2483" s="66"/>
      <c r="IWH2483" s="60"/>
      <c r="IWI2483" s="60"/>
      <c r="IWJ2483" s="60"/>
      <c r="IWK2483" s="66"/>
      <c r="IWL2483" s="61"/>
      <c r="IWM2483" s="56"/>
      <c r="IWN2483" s="56"/>
      <c r="IWO2483" s="66"/>
      <c r="IWP2483" s="60"/>
      <c r="IWQ2483" s="60"/>
      <c r="IWR2483" s="60"/>
      <c r="IWS2483" s="66"/>
      <c r="IWT2483" s="61"/>
      <c r="IWU2483" s="56"/>
      <c r="IWV2483" s="56"/>
      <c r="IWW2483" s="66"/>
      <c r="IWX2483" s="60"/>
      <c r="IWY2483" s="60"/>
      <c r="IWZ2483" s="60"/>
      <c r="IXA2483" s="66"/>
      <c r="IXB2483" s="61"/>
      <c r="IXC2483" s="56"/>
      <c r="IXD2483" s="56"/>
      <c r="IXE2483" s="66"/>
      <c r="IXF2483" s="60"/>
      <c r="IXG2483" s="60"/>
      <c r="IXH2483" s="60"/>
      <c r="IXI2483" s="66"/>
      <c r="IXJ2483" s="61"/>
      <c r="IXK2483" s="56"/>
      <c r="IXL2483" s="56"/>
      <c r="IXM2483" s="66"/>
      <c r="IXN2483" s="60"/>
      <c r="IXO2483" s="60"/>
      <c r="IXP2483" s="60"/>
      <c r="IXQ2483" s="66"/>
      <c r="IXR2483" s="61"/>
      <c r="IXS2483" s="56"/>
      <c r="IXT2483" s="56"/>
      <c r="IXU2483" s="66"/>
      <c r="IXV2483" s="60"/>
      <c r="IXW2483" s="60"/>
      <c r="IXX2483" s="60"/>
      <c r="IXY2483" s="66"/>
      <c r="IXZ2483" s="61"/>
      <c r="IYA2483" s="56"/>
      <c r="IYB2483" s="56"/>
      <c r="IYC2483" s="66"/>
      <c r="IYD2483" s="60"/>
      <c r="IYE2483" s="60"/>
      <c r="IYF2483" s="60"/>
      <c r="IYG2483" s="66"/>
      <c r="IYH2483" s="61"/>
      <c r="IYI2483" s="56"/>
      <c r="IYJ2483" s="56"/>
      <c r="IYK2483" s="66"/>
      <c r="IYL2483" s="60"/>
      <c r="IYM2483" s="60"/>
      <c r="IYN2483" s="60"/>
      <c r="IYO2483" s="66"/>
      <c r="IYP2483" s="61"/>
      <c r="IYQ2483" s="56"/>
      <c r="IYR2483" s="56"/>
      <c r="IYS2483" s="66"/>
      <c r="IYT2483" s="60"/>
      <c r="IYU2483" s="60"/>
      <c r="IYV2483" s="60"/>
      <c r="IYW2483" s="66"/>
      <c r="IYX2483" s="61"/>
      <c r="IYY2483" s="56"/>
      <c r="IYZ2483" s="56"/>
      <c r="IZA2483" s="66"/>
      <c r="IZB2483" s="60"/>
      <c r="IZC2483" s="60"/>
      <c r="IZD2483" s="60"/>
      <c r="IZE2483" s="66"/>
      <c r="IZF2483" s="61"/>
      <c r="IZG2483" s="56"/>
      <c r="IZH2483" s="56"/>
      <c r="IZI2483" s="66"/>
      <c r="IZJ2483" s="60"/>
      <c r="IZK2483" s="60"/>
      <c r="IZL2483" s="60"/>
      <c r="IZM2483" s="66"/>
      <c r="IZN2483" s="61"/>
      <c r="IZO2483" s="56"/>
      <c r="IZP2483" s="56"/>
      <c r="IZQ2483" s="66"/>
      <c r="IZR2483" s="60"/>
      <c r="IZS2483" s="60"/>
      <c r="IZT2483" s="60"/>
      <c r="IZU2483" s="66"/>
      <c r="IZV2483" s="61"/>
      <c r="IZW2483" s="56"/>
      <c r="IZX2483" s="56"/>
      <c r="IZY2483" s="66"/>
      <c r="IZZ2483" s="60"/>
      <c r="JAA2483" s="60"/>
      <c r="JAB2483" s="60"/>
      <c r="JAC2483" s="66"/>
      <c r="JAD2483" s="61"/>
      <c r="JAE2483" s="56"/>
      <c r="JAF2483" s="56"/>
      <c r="JAG2483" s="66"/>
      <c r="JAH2483" s="60"/>
      <c r="JAI2483" s="60"/>
      <c r="JAJ2483" s="60"/>
      <c r="JAK2483" s="66"/>
      <c r="JAL2483" s="61"/>
      <c r="JAM2483" s="56"/>
      <c r="JAN2483" s="56"/>
      <c r="JAO2483" s="66"/>
      <c r="JAP2483" s="60"/>
      <c r="JAQ2483" s="60"/>
      <c r="JAR2483" s="60"/>
      <c r="JAS2483" s="66"/>
      <c r="JAT2483" s="61"/>
      <c r="JAU2483" s="56"/>
      <c r="JAV2483" s="56"/>
      <c r="JAW2483" s="66"/>
      <c r="JAX2483" s="60"/>
      <c r="JAY2483" s="60"/>
      <c r="JAZ2483" s="60"/>
      <c r="JBA2483" s="66"/>
      <c r="JBB2483" s="61"/>
      <c r="JBC2483" s="56"/>
      <c r="JBD2483" s="56"/>
      <c r="JBE2483" s="66"/>
      <c r="JBF2483" s="60"/>
      <c r="JBG2483" s="60"/>
      <c r="JBH2483" s="60"/>
      <c r="JBI2483" s="66"/>
      <c r="JBJ2483" s="61"/>
      <c r="JBK2483" s="56"/>
      <c r="JBL2483" s="56"/>
      <c r="JBM2483" s="66"/>
      <c r="JBN2483" s="60"/>
      <c r="JBO2483" s="60"/>
      <c r="JBP2483" s="60"/>
      <c r="JBQ2483" s="66"/>
      <c r="JBR2483" s="61"/>
      <c r="JBS2483" s="56"/>
      <c r="JBT2483" s="56"/>
      <c r="JBU2483" s="66"/>
      <c r="JBV2483" s="60"/>
      <c r="JBW2483" s="60"/>
      <c r="JBX2483" s="60"/>
      <c r="JBY2483" s="66"/>
      <c r="JBZ2483" s="61"/>
      <c r="JCA2483" s="56"/>
      <c r="JCB2483" s="56"/>
      <c r="JCC2483" s="66"/>
      <c r="JCD2483" s="60"/>
      <c r="JCE2483" s="60"/>
      <c r="JCF2483" s="60"/>
      <c r="JCG2483" s="66"/>
      <c r="JCH2483" s="61"/>
      <c r="JCI2483" s="56"/>
      <c r="JCJ2483" s="56"/>
      <c r="JCK2483" s="66"/>
      <c r="JCL2483" s="60"/>
      <c r="JCM2483" s="60"/>
      <c r="JCN2483" s="60"/>
      <c r="JCO2483" s="66"/>
      <c r="JCP2483" s="61"/>
      <c r="JCQ2483" s="56"/>
      <c r="JCR2483" s="56"/>
      <c r="JCS2483" s="66"/>
      <c r="JCT2483" s="60"/>
      <c r="JCU2483" s="60"/>
      <c r="JCV2483" s="60"/>
      <c r="JCW2483" s="66"/>
      <c r="JCX2483" s="61"/>
      <c r="JCY2483" s="56"/>
      <c r="JCZ2483" s="56"/>
      <c r="JDA2483" s="66"/>
      <c r="JDB2483" s="60"/>
      <c r="JDC2483" s="60"/>
      <c r="JDD2483" s="60"/>
      <c r="JDE2483" s="66"/>
      <c r="JDF2483" s="61"/>
      <c r="JDG2483" s="56"/>
      <c r="JDH2483" s="56"/>
      <c r="JDI2483" s="66"/>
      <c r="JDJ2483" s="60"/>
      <c r="JDK2483" s="60"/>
      <c r="JDL2483" s="60"/>
      <c r="JDM2483" s="66"/>
      <c r="JDN2483" s="61"/>
      <c r="JDO2483" s="56"/>
      <c r="JDP2483" s="56"/>
      <c r="JDQ2483" s="66"/>
      <c r="JDR2483" s="60"/>
      <c r="JDS2483" s="60"/>
      <c r="JDT2483" s="60"/>
      <c r="JDU2483" s="66"/>
      <c r="JDV2483" s="61"/>
      <c r="JDW2483" s="56"/>
      <c r="JDX2483" s="56"/>
      <c r="JDY2483" s="66"/>
      <c r="JDZ2483" s="60"/>
      <c r="JEA2483" s="60"/>
      <c r="JEB2483" s="60"/>
      <c r="JEC2483" s="66"/>
      <c r="JED2483" s="61"/>
      <c r="JEE2483" s="56"/>
      <c r="JEF2483" s="56"/>
      <c r="JEG2483" s="66"/>
      <c r="JEH2483" s="60"/>
      <c r="JEI2483" s="60"/>
      <c r="JEJ2483" s="60"/>
      <c r="JEK2483" s="66"/>
      <c r="JEL2483" s="61"/>
      <c r="JEM2483" s="56"/>
      <c r="JEN2483" s="56"/>
      <c r="JEO2483" s="66"/>
      <c r="JEP2483" s="60"/>
      <c r="JEQ2483" s="60"/>
      <c r="JER2483" s="60"/>
      <c r="JES2483" s="66"/>
      <c r="JET2483" s="61"/>
      <c r="JEU2483" s="56"/>
      <c r="JEV2483" s="56"/>
      <c r="JEW2483" s="66"/>
      <c r="JEX2483" s="60"/>
      <c r="JEY2483" s="60"/>
      <c r="JEZ2483" s="60"/>
      <c r="JFA2483" s="66"/>
      <c r="JFB2483" s="61"/>
      <c r="JFC2483" s="56"/>
      <c r="JFD2483" s="56"/>
      <c r="JFE2483" s="66"/>
      <c r="JFF2483" s="60"/>
      <c r="JFG2483" s="60"/>
      <c r="JFH2483" s="60"/>
      <c r="JFI2483" s="66"/>
      <c r="JFJ2483" s="61"/>
      <c r="JFK2483" s="56"/>
      <c r="JFL2483" s="56"/>
      <c r="JFM2483" s="66"/>
      <c r="JFN2483" s="60"/>
      <c r="JFO2483" s="60"/>
      <c r="JFP2483" s="60"/>
      <c r="JFQ2483" s="66"/>
      <c r="JFR2483" s="61"/>
      <c r="JFS2483" s="56"/>
      <c r="JFT2483" s="56"/>
      <c r="JFU2483" s="66"/>
      <c r="JFV2483" s="60"/>
      <c r="JFW2483" s="60"/>
      <c r="JFX2483" s="60"/>
      <c r="JFY2483" s="66"/>
      <c r="JFZ2483" s="61"/>
      <c r="JGA2483" s="56"/>
      <c r="JGB2483" s="56"/>
      <c r="JGC2483" s="66"/>
      <c r="JGD2483" s="60"/>
      <c r="JGE2483" s="60"/>
      <c r="JGF2483" s="60"/>
      <c r="JGG2483" s="66"/>
      <c r="JGH2483" s="61"/>
      <c r="JGI2483" s="56"/>
      <c r="JGJ2483" s="56"/>
      <c r="JGK2483" s="66"/>
      <c r="JGL2483" s="60"/>
      <c r="JGM2483" s="60"/>
      <c r="JGN2483" s="60"/>
      <c r="JGO2483" s="66"/>
      <c r="JGP2483" s="61"/>
      <c r="JGQ2483" s="56"/>
      <c r="JGR2483" s="56"/>
      <c r="JGS2483" s="66"/>
      <c r="JGT2483" s="60"/>
      <c r="JGU2483" s="60"/>
      <c r="JGV2483" s="60"/>
      <c r="JGW2483" s="66"/>
      <c r="JGX2483" s="61"/>
      <c r="JGY2483" s="56"/>
      <c r="JGZ2483" s="56"/>
      <c r="JHA2483" s="66"/>
      <c r="JHB2483" s="60"/>
      <c r="JHC2483" s="60"/>
      <c r="JHD2483" s="60"/>
      <c r="JHE2483" s="66"/>
      <c r="JHF2483" s="61"/>
      <c r="JHG2483" s="56"/>
      <c r="JHH2483" s="56"/>
      <c r="JHI2483" s="66"/>
      <c r="JHJ2483" s="60"/>
      <c r="JHK2483" s="60"/>
      <c r="JHL2483" s="60"/>
      <c r="JHM2483" s="66"/>
      <c r="JHN2483" s="61"/>
      <c r="JHO2483" s="56"/>
      <c r="JHP2483" s="56"/>
      <c r="JHQ2483" s="66"/>
      <c r="JHR2483" s="60"/>
      <c r="JHS2483" s="60"/>
      <c r="JHT2483" s="60"/>
      <c r="JHU2483" s="66"/>
      <c r="JHV2483" s="61"/>
      <c r="JHW2483" s="56"/>
      <c r="JHX2483" s="56"/>
      <c r="JHY2483" s="66"/>
      <c r="JHZ2483" s="60"/>
      <c r="JIA2483" s="60"/>
      <c r="JIB2483" s="60"/>
      <c r="JIC2483" s="66"/>
      <c r="JID2483" s="61"/>
      <c r="JIE2483" s="56"/>
      <c r="JIF2483" s="56"/>
      <c r="JIG2483" s="66"/>
      <c r="JIH2483" s="60"/>
      <c r="JII2483" s="60"/>
      <c r="JIJ2483" s="60"/>
      <c r="JIK2483" s="66"/>
      <c r="JIL2483" s="61"/>
      <c r="JIM2483" s="56"/>
      <c r="JIN2483" s="56"/>
      <c r="JIO2483" s="66"/>
      <c r="JIP2483" s="60"/>
      <c r="JIQ2483" s="60"/>
      <c r="JIR2483" s="60"/>
      <c r="JIS2483" s="66"/>
      <c r="JIT2483" s="61"/>
      <c r="JIU2483" s="56"/>
      <c r="JIV2483" s="56"/>
      <c r="JIW2483" s="66"/>
      <c r="JIX2483" s="60"/>
      <c r="JIY2483" s="60"/>
      <c r="JIZ2483" s="60"/>
      <c r="JJA2483" s="66"/>
      <c r="JJB2483" s="61"/>
      <c r="JJC2483" s="56"/>
      <c r="JJD2483" s="56"/>
      <c r="JJE2483" s="66"/>
      <c r="JJF2483" s="60"/>
      <c r="JJG2483" s="60"/>
      <c r="JJH2483" s="60"/>
      <c r="JJI2483" s="66"/>
      <c r="JJJ2483" s="61"/>
      <c r="JJK2483" s="56"/>
      <c r="JJL2483" s="56"/>
      <c r="JJM2483" s="66"/>
      <c r="JJN2483" s="60"/>
      <c r="JJO2483" s="60"/>
      <c r="JJP2483" s="60"/>
      <c r="JJQ2483" s="66"/>
      <c r="JJR2483" s="61"/>
      <c r="JJS2483" s="56"/>
      <c r="JJT2483" s="56"/>
      <c r="JJU2483" s="66"/>
      <c r="JJV2483" s="60"/>
      <c r="JJW2483" s="60"/>
      <c r="JJX2483" s="60"/>
      <c r="JJY2483" s="66"/>
      <c r="JJZ2483" s="61"/>
      <c r="JKA2483" s="56"/>
      <c r="JKB2483" s="56"/>
      <c r="JKC2483" s="66"/>
      <c r="JKD2483" s="60"/>
      <c r="JKE2483" s="60"/>
      <c r="JKF2483" s="60"/>
      <c r="JKG2483" s="66"/>
      <c r="JKH2483" s="61"/>
      <c r="JKI2483" s="56"/>
      <c r="JKJ2483" s="56"/>
      <c r="JKK2483" s="66"/>
      <c r="JKL2483" s="60"/>
      <c r="JKM2483" s="60"/>
      <c r="JKN2483" s="60"/>
      <c r="JKO2483" s="66"/>
      <c r="JKP2483" s="61"/>
      <c r="JKQ2483" s="56"/>
      <c r="JKR2483" s="56"/>
      <c r="JKS2483" s="66"/>
      <c r="JKT2483" s="60"/>
      <c r="JKU2483" s="60"/>
      <c r="JKV2483" s="60"/>
      <c r="JKW2483" s="66"/>
      <c r="JKX2483" s="61"/>
      <c r="JKY2483" s="56"/>
      <c r="JKZ2483" s="56"/>
      <c r="JLA2483" s="66"/>
      <c r="JLB2483" s="60"/>
      <c r="JLC2483" s="60"/>
      <c r="JLD2483" s="60"/>
      <c r="JLE2483" s="66"/>
      <c r="JLF2483" s="61"/>
      <c r="JLG2483" s="56"/>
      <c r="JLH2483" s="56"/>
      <c r="JLI2483" s="66"/>
      <c r="JLJ2483" s="60"/>
      <c r="JLK2483" s="60"/>
      <c r="JLL2483" s="60"/>
      <c r="JLM2483" s="66"/>
      <c r="JLN2483" s="61"/>
      <c r="JLO2483" s="56"/>
      <c r="JLP2483" s="56"/>
      <c r="JLQ2483" s="66"/>
      <c r="JLR2483" s="60"/>
      <c r="JLS2483" s="60"/>
      <c r="JLT2483" s="60"/>
      <c r="JLU2483" s="66"/>
      <c r="JLV2483" s="61"/>
      <c r="JLW2483" s="56"/>
      <c r="JLX2483" s="56"/>
      <c r="JLY2483" s="66"/>
      <c r="JLZ2483" s="60"/>
      <c r="JMA2483" s="60"/>
      <c r="JMB2483" s="60"/>
      <c r="JMC2483" s="66"/>
      <c r="JMD2483" s="61"/>
      <c r="JME2483" s="56"/>
      <c r="JMF2483" s="56"/>
      <c r="JMG2483" s="66"/>
      <c r="JMH2483" s="60"/>
      <c r="JMI2483" s="60"/>
      <c r="JMJ2483" s="60"/>
      <c r="JMK2483" s="66"/>
      <c r="JML2483" s="61"/>
      <c r="JMM2483" s="56"/>
      <c r="JMN2483" s="56"/>
      <c r="JMO2483" s="66"/>
      <c r="JMP2483" s="60"/>
      <c r="JMQ2483" s="60"/>
      <c r="JMR2483" s="60"/>
      <c r="JMS2483" s="66"/>
      <c r="JMT2483" s="61"/>
      <c r="JMU2483" s="56"/>
      <c r="JMV2483" s="56"/>
      <c r="JMW2483" s="66"/>
      <c r="JMX2483" s="60"/>
      <c r="JMY2483" s="60"/>
      <c r="JMZ2483" s="60"/>
      <c r="JNA2483" s="66"/>
      <c r="JNB2483" s="61"/>
      <c r="JNC2483" s="56"/>
      <c r="JND2483" s="56"/>
      <c r="JNE2483" s="66"/>
      <c r="JNF2483" s="60"/>
      <c r="JNG2483" s="60"/>
      <c r="JNH2483" s="60"/>
      <c r="JNI2483" s="66"/>
      <c r="JNJ2483" s="61"/>
      <c r="JNK2483" s="56"/>
      <c r="JNL2483" s="56"/>
      <c r="JNM2483" s="66"/>
      <c r="JNN2483" s="60"/>
      <c r="JNO2483" s="60"/>
      <c r="JNP2483" s="60"/>
      <c r="JNQ2483" s="66"/>
      <c r="JNR2483" s="61"/>
      <c r="JNS2483" s="56"/>
      <c r="JNT2483" s="56"/>
      <c r="JNU2483" s="66"/>
      <c r="JNV2483" s="60"/>
      <c r="JNW2483" s="60"/>
      <c r="JNX2483" s="60"/>
      <c r="JNY2483" s="66"/>
      <c r="JNZ2483" s="61"/>
      <c r="JOA2483" s="56"/>
      <c r="JOB2483" s="56"/>
      <c r="JOC2483" s="66"/>
      <c r="JOD2483" s="60"/>
      <c r="JOE2483" s="60"/>
      <c r="JOF2483" s="60"/>
      <c r="JOG2483" s="66"/>
      <c r="JOH2483" s="61"/>
      <c r="JOI2483" s="56"/>
      <c r="JOJ2483" s="56"/>
      <c r="JOK2483" s="66"/>
      <c r="JOL2483" s="60"/>
      <c r="JOM2483" s="60"/>
      <c r="JON2483" s="60"/>
      <c r="JOO2483" s="66"/>
      <c r="JOP2483" s="61"/>
      <c r="JOQ2483" s="56"/>
      <c r="JOR2483" s="56"/>
      <c r="JOS2483" s="66"/>
      <c r="JOT2483" s="60"/>
      <c r="JOU2483" s="60"/>
      <c r="JOV2483" s="60"/>
      <c r="JOW2483" s="66"/>
      <c r="JOX2483" s="61"/>
      <c r="JOY2483" s="56"/>
      <c r="JOZ2483" s="56"/>
      <c r="JPA2483" s="66"/>
      <c r="JPB2483" s="60"/>
      <c r="JPC2483" s="60"/>
      <c r="JPD2483" s="60"/>
      <c r="JPE2483" s="66"/>
      <c r="JPF2483" s="61"/>
      <c r="JPG2483" s="56"/>
      <c r="JPH2483" s="56"/>
      <c r="JPI2483" s="66"/>
      <c r="JPJ2483" s="60"/>
      <c r="JPK2483" s="60"/>
      <c r="JPL2483" s="60"/>
      <c r="JPM2483" s="66"/>
      <c r="JPN2483" s="61"/>
      <c r="JPO2483" s="56"/>
      <c r="JPP2483" s="56"/>
      <c r="JPQ2483" s="66"/>
      <c r="JPR2483" s="60"/>
      <c r="JPS2483" s="60"/>
      <c r="JPT2483" s="60"/>
      <c r="JPU2483" s="66"/>
      <c r="JPV2483" s="61"/>
      <c r="JPW2483" s="56"/>
      <c r="JPX2483" s="56"/>
      <c r="JPY2483" s="66"/>
      <c r="JPZ2483" s="60"/>
      <c r="JQA2483" s="60"/>
      <c r="JQB2483" s="60"/>
      <c r="JQC2483" s="66"/>
      <c r="JQD2483" s="61"/>
      <c r="JQE2483" s="56"/>
      <c r="JQF2483" s="56"/>
      <c r="JQG2483" s="66"/>
      <c r="JQH2483" s="60"/>
      <c r="JQI2483" s="60"/>
      <c r="JQJ2483" s="60"/>
      <c r="JQK2483" s="66"/>
      <c r="JQL2483" s="61"/>
      <c r="JQM2483" s="56"/>
      <c r="JQN2483" s="56"/>
      <c r="JQO2483" s="66"/>
      <c r="JQP2483" s="60"/>
      <c r="JQQ2483" s="60"/>
      <c r="JQR2483" s="60"/>
      <c r="JQS2483" s="66"/>
      <c r="JQT2483" s="61"/>
      <c r="JQU2483" s="56"/>
      <c r="JQV2483" s="56"/>
      <c r="JQW2483" s="66"/>
      <c r="JQX2483" s="60"/>
      <c r="JQY2483" s="60"/>
      <c r="JQZ2483" s="60"/>
      <c r="JRA2483" s="66"/>
      <c r="JRB2483" s="61"/>
      <c r="JRC2483" s="56"/>
      <c r="JRD2483" s="56"/>
      <c r="JRE2483" s="66"/>
      <c r="JRF2483" s="60"/>
      <c r="JRG2483" s="60"/>
      <c r="JRH2483" s="60"/>
      <c r="JRI2483" s="66"/>
      <c r="JRJ2483" s="61"/>
      <c r="JRK2483" s="56"/>
      <c r="JRL2483" s="56"/>
      <c r="JRM2483" s="66"/>
      <c r="JRN2483" s="60"/>
      <c r="JRO2483" s="60"/>
      <c r="JRP2483" s="60"/>
      <c r="JRQ2483" s="66"/>
      <c r="JRR2483" s="61"/>
      <c r="JRS2483" s="56"/>
      <c r="JRT2483" s="56"/>
      <c r="JRU2483" s="66"/>
      <c r="JRV2483" s="60"/>
      <c r="JRW2483" s="60"/>
      <c r="JRX2483" s="60"/>
      <c r="JRY2483" s="66"/>
      <c r="JRZ2483" s="61"/>
      <c r="JSA2483" s="56"/>
      <c r="JSB2483" s="56"/>
      <c r="JSC2483" s="66"/>
      <c r="JSD2483" s="60"/>
      <c r="JSE2483" s="60"/>
      <c r="JSF2483" s="60"/>
      <c r="JSG2483" s="66"/>
      <c r="JSH2483" s="61"/>
      <c r="JSI2483" s="56"/>
      <c r="JSJ2483" s="56"/>
      <c r="JSK2483" s="66"/>
      <c r="JSL2483" s="60"/>
      <c r="JSM2483" s="60"/>
      <c r="JSN2483" s="60"/>
      <c r="JSO2483" s="66"/>
      <c r="JSP2483" s="61"/>
      <c r="JSQ2483" s="56"/>
      <c r="JSR2483" s="56"/>
      <c r="JSS2483" s="66"/>
      <c r="JST2483" s="60"/>
      <c r="JSU2483" s="60"/>
      <c r="JSV2483" s="60"/>
      <c r="JSW2483" s="66"/>
      <c r="JSX2483" s="61"/>
      <c r="JSY2483" s="56"/>
      <c r="JSZ2483" s="56"/>
      <c r="JTA2483" s="66"/>
      <c r="JTB2483" s="60"/>
      <c r="JTC2483" s="60"/>
      <c r="JTD2483" s="60"/>
      <c r="JTE2483" s="66"/>
      <c r="JTF2483" s="61"/>
      <c r="JTG2483" s="56"/>
      <c r="JTH2483" s="56"/>
      <c r="JTI2483" s="66"/>
      <c r="JTJ2483" s="60"/>
      <c r="JTK2483" s="60"/>
      <c r="JTL2483" s="60"/>
      <c r="JTM2483" s="66"/>
      <c r="JTN2483" s="61"/>
      <c r="JTO2483" s="56"/>
      <c r="JTP2483" s="56"/>
      <c r="JTQ2483" s="66"/>
      <c r="JTR2483" s="60"/>
      <c r="JTS2483" s="60"/>
      <c r="JTT2483" s="60"/>
      <c r="JTU2483" s="66"/>
      <c r="JTV2483" s="61"/>
      <c r="JTW2483" s="56"/>
      <c r="JTX2483" s="56"/>
      <c r="JTY2483" s="66"/>
      <c r="JTZ2483" s="60"/>
      <c r="JUA2483" s="60"/>
      <c r="JUB2483" s="60"/>
      <c r="JUC2483" s="66"/>
      <c r="JUD2483" s="61"/>
      <c r="JUE2483" s="56"/>
      <c r="JUF2483" s="56"/>
      <c r="JUG2483" s="66"/>
      <c r="JUH2483" s="60"/>
      <c r="JUI2483" s="60"/>
      <c r="JUJ2483" s="60"/>
      <c r="JUK2483" s="66"/>
      <c r="JUL2483" s="61"/>
      <c r="JUM2483" s="56"/>
      <c r="JUN2483" s="56"/>
      <c r="JUO2483" s="66"/>
      <c r="JUP2483" s="60"/>
      <c r="JUQ2483" s="60"/>
      <c r="JUR2483" s="60"/>
      <c r="JUS2483" s="66"/>
      <c r="JUT2483" s="61"/>
      <c r="JUU2483" s="56"/>
      <c r="JUV2483" s="56"/>
      <c r="JUW2483" s="66"/>
      <c r="JUX2483" s="60"/>
      <c r="JUY2483" s="60"/>
      <c r="JUZ2483" s="60"/>
      <c r="JVA2483" s="66"/>
      <c r="JVB2483" s="61"/>
      <c r="JVC2483" s="56"/>
      <c r="JVD2483" s="56"/>
      <c r="JVE2483" s="66"/>
      <c r="JVF2483" s="60"/>
      <c r="JVG2483" s="60"/>
      <c r="JVH2483" s="60"/>
      <c r="JVI2483" s="66"/>
      <c r="JVJ2483" s="61"/>
      <c r="JVK2483" s="56"/>
      <c r="JVL2483" s="56"/>
      <c r="JVM2483" s="66"/>
      <c r="JVN2483" s="60"/>
      <c r="JVO2483" s="60"/>
      <c r="JVP2483" s="60"/>
      <c r="JVQ2483" s="66"/>
      <c r="JVR2483" s="61"/>
      <c r="JVS2483" s="56"/>
      <c r="JVT2483" s="56"/>
      <c r="JVU2483" s="66"/>
      <c r="JVV2483" s="60"/>
      <c r="JVW2483" s="60"/>
      <c r="JVX2483" s="60"/>
      <c r="JVY2483" s="66"/>
      <c r="JVZ2483" s="61"/>
      <c r="JWA2483" s="56"/>
      <c r="JWB2483" s="56"/>
      <c r="JWC2483" s="66"/>
      <c r="JWD2483" s="60"/>
      <c r="JWE2483" s="60"/>
      <c r="JWF2483" s="60"/>
      <c r="JWG2483" s="66"/>
      <c r="JWH2483" s="61"/>
      <c r="JWI2483" s="56"/>
      <c r="JWJ2483" s="56"/>
      <c r="JWK2483" s="66"/>
      <c r="JWL2483" s="60"/>
      <c r="JWM2483" s="60"/>
      <c r="JWN2483" s="60"/>
      <c r="JWO2483" s="66"/>
      <c r="JWP2483" s="61"/>
      <c r="JWQ2483" s="56"/>
      <c r="JWR2483" s="56"/>
      <c r="JWS2483" s="66"/>
      <c r="JWT2483" s="60"/>
      <c r="JWU2483" s="60"/>
      <c r="JWV2483" s="60"/>
      <c r="JWW2483" s="66"/>
      <c r="JWX2483" s="61"/>
      <c r="JWY2483" s="56"/>
      <c r="JWZ2483" s="56"/>
      <c r="JXA2483" s="66"/>
      <c r="JXB2483" s="60"/>
      <c r="JXC2483" s="60"/>
      <c r="JXD2483" s="60"/>
      <c r="JXE2483" s="66"/>
      <c r="JXF2483" s="61"/>
      <c r="JXG2483" s="56"/>
      <c r="JXH2483" s="56"/>
      <c r="JXI2483" s="66"/>
      <c r="JXJ2483" s="60"/>
      <c r="JXK2483" s="60"/>
      <c r="JXL2483" s="60"/>
      <c r="JXM2483" s="66"/>
      <c r="JXN2483" s="61"/>
      <c r="JXO2483" s="56"/>
      <c r="JXP2483" s="56"/>
      <c r="JXQ2483" s="66"/>
      <c r="JXR2483" s="60"/>
      <c r="JXS2483" s="60"/>
      <c r="JXT2483" s="60"/>
      <c r="JXU2483" s="66"/>
      <c r="JXV2483" s="61"/>
      <c r="JXW2483" s="56"/>
      <c r="JXX2483" s="56"/>
      <c r="JXY2483" s="66"/>
      <c r="JXZ2483" s="60"/>
      <c r="JYA2483" s="60"/>
      <c r="JYB2483" s="60"/>
      <c r="JYC2483" s="66"/>
      <c r="JYD2483" s="61"/>
      <c r="JYE2483" s="56"/>
      <c r="JYF2483" s="56"/>
      <c r="JYG2483" s="66"/>
      <c r="JYH2483" s="60"/>
      <c r="JYI2483" s="60"/>
      <c r="JYJ2483" s="60"/>
      <c r="JYK2483" s="66"/>
      <c r="JYL2483" s="61"/>
      <c r="JYM2483" s="56"/>
      <c r="JYN2483" s="56"/>
      <c r="JYO2483" s="66"/>
      <c r="JYP2483" s="60"/>
      <c r="JYQ2483" s="60"/>
      <c r="JYR2483" s="60"/>
      <c r="JYS2483" s="66"/>
      <c r="JYT2483" s="61"/>
      <c r="JYU2483" s="56"/>
      <c r="JYV2483" s="56"/>
      <c r="JYW2483" s="66"/>
      <c r="JYX2483" s="60"/>
      <c r="JYY2483" s="60"/>
      <c r="JYZ2483" s="60"/>
      <c r="JZA2483" s="66"/>
      <c r="JZB2483" s="61"/>
      <c r="JZC2483" s="56"/>
      <c r="JZD2483" s="56"/>
      <c r="JZE2483" s="66"/>
      <c r="JZF2483" s="60"/>
      <c r="JZG2483" s="60"/>
      <c r="JZH2483" s="60"/>
      <c r="JZI2483" s="66"/>
      <c r="JZJ2483" s="61"/>
      <c r="JZK2483" s="56"/>
      <c r="JZL2483" s="56"/>
      <c r="JZM2483" s="66"/>
      <c r="JZN2483" s="60"/>
      <c r="JZO2483" s="60"/>
      <c r="JZP2483" s="60"/>
      <c r="JZQ2483" s="66"/>
      <c r="JZR2483" s="61"/>
      <c r="JZS2483" s="56"/>
      <c r="JZT2483" s="56"/>
      <c r="JZU2483" s="66"/>
      <c r="JZV2483" s="60"/>
      <c r="JZW2483" s="60"/>
      <c r="JZX2483" s="60"/>
      <c r="JZY2483" s="66"/>
      <c r="JZZ2483" s="61"/>
      <c r="KAA2483" s="56"/>
      <c r="KAB2483" s="56"/>
      <c r="KAC2483" s="66"/>
      <c r="KAD2483" s="60"/>
      <c r="KAE2483" s="60"/>
      <c r="KAF2483" s="60"/>
      <c r="KAG2483" s="66"/>
      <c r="KAH2483" s="61"/>
      <c r="KAI2483" s="56"/>
      <c r="KAJ2483" s="56"/>
      <c r="KAK2483" s="66"/>
      <c r="KAL2483" s="60"/>
      <c r="KAM2483" s="60"/>
      <c r="KAN2483" s="60"/>
      <c r="KAO2483" s="66"/>
      <c r="KAP2483" s="61"/>
      <c r="KAQ2483" s="56"/>
      <c r="KAR2483" s="56"/>
      <c r="KAS2483" s="66"/>
      <c r="KAT2483" s="60"/>
      <c r="KAU2483" s="60"/>
      <c r="KAV2483" s="60"/>
      <c r="KAW2483" s="66"/>
      <c r="KAX2483" s="61"/>
      <c r="KAY2483" s="56"/>
      <c r="KAZ2483" s="56"/>
      <c r="KBA2483" s="66"/>
      <c r="KBB2483" s="60"/>
      <c r="KBC2483" s="60"/>
      <c r="KBD2483" s="60"/>
      <c r="KBE2483" s="66"/>
      <c r="KBF2483" s="61"/>
      <c r="KBG2483" s="56"/>
      <c r="KBH2483" s="56"/>
      <c r="KBI2483" s="66"/>
      <c r="KBJ2483" s="60"/>
      <c r="KBK2483" s="60"/>
      <c r="KBL2483" s="60"/>
      <c r="KBM2483" s="66"/>
      <c r="KBN2483" s="61"/>
      <c r="KBO2483" s="56"/>
      <c r="KBP2483" s="56"/>
      <c r="KBQ2483" s="66"/>
      <c r="KBR2483" s="60"/>
      <c r="KBS2483" s="60"/>
      <c r="KBT2483" s="60"/>
      <c r="KBU2483" s="66"/>
      <c r="KBV2483" s="61"/>
      <c r="KBW2483" s="56"/>
      <c r="KBX2483" s="56"/>
      <c r="KBY2483" s="66"/>
      <c r="KBZ2483" s="60"/>
      <c r="KCA2483" s="60"/>
      <c r="KCB2483" s="60"/>
      <c r="KCC2483" s="66"/>
      <c r="KCD2483" s="61"/>
      <c r="KCE2483" s="56"/>
      <c r="KCF2483" s="56"/>
      <c r="KCG2483" s="66"/>
      <c r="KCH2483" s="60"/>
      <c r="KCI2483" s="60"/>
      <c r="KCJ2483" s="60"/>
      <c r="KCK2483" s="66"/>
      <c r="KCL2483" s="61"/>
      <c r="KCM2483" s="56"/>
      <c r="KCN2483" s="56"/>
      <c r="KCO2483" s="66"/>
      <c r="KCP2483" s="60"/>
      <c r="KCQ2483" s="60"/>
      <c r="KCR2483" s="60"/>
      <c r="KCS2483" s="66"/>
      <c r="KCT2483" s="61"/>
      <c r="KCU2483" s="56"/>
      <c r="KCV2483" s="56"/>
      <c r="KCW2483" s="66"/>
      <c r="KCX2483" s="60"/>
      <c r="KCY2483" s="60"/>
      <c r="KCZ2483" s="60"/>
      <c r="KDA2483" s="66"/>
      <c r="KDB2483" s="61"/>
      <c r="KDC2483" s="56"/>
      <c r="KDD2483" s="56"/>
      <c r="KDE2483" s="66"/>
      <c r="KDF2483" s="60"/>
      <c r="KDG2483" s="60"/>
      <c r="KDH2483" s="60"/>
      <c r="KDI2483" s="66"/>
      <c r="KDJ2483" s="61"/>
      <c r="KDK2483" s="56"/>
      <c r="KDL2483" s="56"/>
      <c r="KDM2483" s="66"/>
      <c r="KDN2483" s="60"/>
      <c r="KDO2483" s="60"/>
      <c r="KDP2483" s="60"/>
      <c r="KDQ2483" s="66"/>
      <c r="KDR2483" s="61"/>
      <c r="KDS2483" s="56"/>
      <c r="KDT2483" s="56"/>
      <c r="KDU2483" s="66"/>
      <c r="KDV2483" s="60"/>
      <c r="KDW2483" s="60"/>
      <c r="KDX2483" s="60"/>
      <c r="KDY2483" s="66"/>
      <c r="KDZ2483" s="61"/>
      <c r="KEA2483" s="56"/>
      <c r="KEB2483" s="56"/>
      <c r="KEC2483" s="66"/>
      <c r="KED2483" s="60"/>
      <c r="KEE2483" s="60"/>
      <c r="KEF2483" s="60"/>
      <c r="KEG2483" s="66"/>
      <c r="KEH2483" s="61"/>
      <c r="KEI2483" s="56"/>
      <c r="KEJ2483" s="56"/>
      <c r="KEK2483" s="66"/>
      <c r="KEL2483" s="60"/>
      <c r="KEM2483" s="60"/>
      <c r="KEN2483" s="60"/>
      <c r="KEO2483" s="66"/>
      <c r="KEP2483" s="61"/>
      <c r="KEQ2483" s="56"/>
      <c r="KER2483" s="56"/>
      <c r="KES2483" s="66"/>
      <c r="KET2483" s="60"/>
      <c r="KEU2483" s="60"/>
      <c r="KEV2483" s="60"/>
      <c r="KEW2483" s="66"/>
      <c r="KEX2483" s="61"/>
      <c r="KEY2483" s="56"/>
      <c r="KEZ2483" s="56"/>
      <c r="KFA2483" s="66"/>
      <c r="KFB2483" s="60"/>
      <c r="KFC2483" s="60"/>
      <c r="KFD2483" s="60"/>
      <c r="KFE2483" s="66"/>
      <c r="KFF2483" s="61"/>
      <c r="KFG2483" s="56"/>
      <c r="KFH2483" s="56"/>
      <c r="KFI2483" s="66"/>
      <c r="KFJ2483" s="60"/>
      <c r="KFK2483" s="60"/>
      <c r="KFL2483" s="60"/>
      <c r="KFM2483" s="66"/>
      <c r="KFN2483" s="61"/>
      <c r="KFO2483" s="56"/>
      <c r="KFP2483" s="56"/>
      <c r="KFQ2483" s="66"/>
      <c r="KFR2483" s="60"/>
      <c r="KFS2483" s="60"/>
      <c r="KFT2483" s="60"/>
      <c r="KFU2483" s="66"/>
      <c r="KFV2483" s="61"/>
      <c r="KFW2483" s="56"/>
      <c r="KFX2483" s="56"/>
      <c r="KFY2483" s="66"/>
      <c r="KFZ2483" s="60"/>
      <c r="KGA2483" s="60"/>
      <c r="KGB2483" s="60"/>
      <c r="KGC2483" s="66"/>
      <c r="KGD2483" s="61"/>
      <c r="KGE2483" s="56"/>
      <c r="KGF2483" s="56"/>
      <c r="KGG2483" s="66"/>
      <c r="KGH2483" s="60"/>
      <c r="KGI2483" s="60"/>
      <c r="KGJ2483" s="60"/>
      <c r="KGK2483" s="66"/>
      <c r="KGL2483" s="61"/>
      <c r="KGM2483" s="56"/>
      <c r="KGN2483" s="56"/>
      <c r="KGO2483" s="66"/>
      <c r="KGP2483" s="60"/>
      <c r="KGQ2483" s="60"/>
      <c r="KGR2483" s="60"/>
      <c r="KGS2483" s="66"/>
      <c r="KGT2483" s="61"/>
      <c r="KGU2483" s="56"/>
      <c r="KGV2483" s="56"/>
      <c r="KGW2483" s="66"/>
      <c r="KGX2483" s="60"/>
      <c r="KGY2483" s="60"/>
      <c r="KGZ2483" s="60"/>
      <c r="KHA2483" s="66"/>
      <c r="KHB2483" s="61"/>
      <c r="KHC2483" s="56"/>
      <c r="KHD2483" s="56"/>
      <c r="KHE2483" s="66"/>
      <c r="KHF2483" s="60"/>
      <c r="KHG2483" s="60"/>
      <c r="KHH2483" s="60"/>
      <c r="KHI2483" s="66"/>
      <c r="KHJ2483" s="61"/>
      <c r="KHK2483" s="56"/>
      <c r="KHL2483" s="56"/>
      <c r="KHM2483" s="66"/>
      <c r="KHN2483" s="60"/>
      <c r="KHO2483" s="60"/>
      <c r="KHP2483" s="60"/>
      <c r="KHQ2483" s="66"/>
      <c r="KHR2483" s="61"/>
      <c r="KHS2483" s="56"/>
      <c r="KHT2483" s="56"/>
      <c r="KHU2483" s="66"/>
      <c r="KHV2483" s="60"/>
      <c r="KHW2483" s="60"/>
      <c r="KHX2483" s="60"/>
      <c r="KHY2483" s="66"/>
      <c r="KHZ2483" s="61"/>
      <c r="KIA2483" s="56"/>
      <c r="KIB2483" s="56"/>
      <c r="KIC2483" s="66"/>
      <c r="KID2483" s="60"/>
      <c r="KIE2483" s="60"/>
      <c r="KIF2483" s="60"/>
      <c r="KIG2483" s="66"/>
      <c r="KIH2483" s="61"/>
      <c r="KII2483" s="56"/>
      <c r="KIJ2483" s="56"/>
      <c r="KIK2483" s="66"/>
      <c r="KIL2483" s="60"/>
      <c r="KIM2483" s="60"/>
      <c r="KIN2483" s="60"/>
      <c r="KIO2483" s="66"/>
      <c r="KIP2483" s="61"/>
      <c r="KIQ2483" s="56"/>
      <c r="KIR2483" s="56"/>
      <c r="KIS2483" s="66"/>
      <c r="KIT2483" s="60"/>
      <c r="KIU2483" s="60"/>
      <c r="KIV2483" s="60"/>
      <c r="KIW2483" s="66"/>
      <c r="KIX2483" s="61"/>
      <c r="KIY2483" s="56"/>
      <c r="KIZ2483" s="56"/>
      <c r="KJA2483" s="66"/>
      <c r="KJB2483" s="60"/>
      <c r="KJC2483" s="60"/>
      <c r="KJD2483" s="60"/>
      <c r="KJE2483" s="66"/>
      <c r="KJF2483" s="61"/>
      <c r="KJG2483" s="56"/>
      <c r="KJH2483" s="56"/>
      <c r="KJI2483" s="66"/>
      <c r="KJJ2483" s="60"/>
      <c r="KJK2483" s="60"/>
      <c r="KJL2483" s="60"/>
      <c r="KJM2483" s="66"/>
      <c r="KJN2483" s="61"/>
      <c r="KJO2483" s="56"/>
      <c r="KJP2483" s="56"/>
      <c r="KJQ2483" s="66"/>
      <c r="KJR2483" s="60"/>
      <c r="KJS2483" s="60"/>
      <c r="KJT2483" s="60"/>
      <c r="KJU2483" s="66"/>
      <c r="KJV2483" s="61"/>
      <c r="KJW2483" s="56"/>
      <c r="KJX2483" s="56"/>
      <c r="KJY2483" s="66"/>
      <c r="KJZ2483" s="60"/>
      <c r="KKA2483" s="60"/>
      <c r="KKB2483" s="60"/>
      <c r="KKC2483" s="66"/>
      <c r="KKD2483" s="61"/>
      <c r="KKE2483" s="56"/>
      <c r="KKF2483" s="56"/>
      <c r="KKG2483" s="66"/>
      <c r="KKH2483" s="60"/>
      <c r="KKI2483" s="60"/>
      <c r="KKJ2483" s="60"/>
      <c r="KKK2483" s="66"/>
      <c r="KKL2483" s="61"/>
      <c r="KKM2483" s="56"/>
      <c r="KKN2483" s="56"/>
      <c r="KKO2483" s="66"/>
      <c r="KKP2483" s="60"/>
      <c r="KKQ2483" s="60"/>
      <c r="KKR2483" s="60"/>
      <c r="KKS2483" s="66"/>
      <c r="KKT2483" s="61"/>
      <c r="KKU2483" s="56"/>
      <c r="KKV2483" s="56"/>
      <c r="KKW2483" s="66"/>
      <c r="KKX2483" s="60"/>
      <c r="KKY2483" s="60"/>
      <c r="KKZ2483" s="60"/>
      <c r="KLA2483" s="66"/>
      <c r="KLB2483" s="61"/>
      <c r="KLC2483" s="56"/>
      <c r="KLD2483" s="56"/>
      <c r="KLE2483" s="66"/>
      <c r="KLF2483" s="60"/>
      <c r="KLG2483" s="60"/>
      <c r="KLH2483" s="60"/>
      <c r="KLI2483" s="66"/>
      <c r="KLJ2483" s="61"/>
      <c r="KLK2483" s="56"/>
      <c r="KLL2483" s="56"/>
      <c r="KLM2483" s="66"/>
      <c r="KLN2483" s="60"/>
      <c r="KLO2483" s="60"/>
      <c r="KLP2483" s="60"/>
      <c r="KLQ2483" s="66"/>
      <c r="KLR2483" s="61"/>
      <c r="KLS2483" s="56"/>
      <c r="KLT2483" s="56"/>
      <c r="KLU2483" s="66"/>
      <c r="KLV2483" s="60"/>
      <c r="KLW2483" s="60"/>
      <c r="KLX2483" s="60"/>
      <c r="KLY2483" s="66"/>
      <c r="KLZ2483" s="61"/>
      <c r="KMA2483" s="56"/>
      <c r="KMB2483" s="56"/>
      <c r="KMC2483" s="66"/>
      <c r="KMD2483" s="60"/>
      <c r="KME2483" s="60"/>
      <c r="KMF2483" s="60"/>
      <c r="KMG2483" s="66"/>
      <c r="KMH2483" s="61"/>
      <c r="KMI2483" s="56"/>
      <c r="KMJ2483" s="56"/>
      <c r="KMK2483" s="66"/>
      <c r="KML2483" s="60"/>
      <c r="KMM2483" s="60"/>
      <c r="KMN2483" s="60"/>
      <c r="KMO2483" s="66"/>
      <c r="KMP2483" s="61"/>
      <c r="KMQ2483" s="56"/>
      <c r="KMR2483" s="56"/>
      <c r="KMS2483" s="66"/>
      <c r="KMT2483" s="60"/>
      <c r="KMU2483" s="60"/>
      <c r="KMV2483" s="60"/>
      <c r="KMW2483" s="66"/>
      <c r="KMX2483" s="61"/>
      <c r="KMY2483" s="56"/>
      <c r="KMZ2483" s="56"/>
      <c r="KNA2483" s="66"/>
      <c r="KNB2483" s="60"/>
      <c r="KNC2483" s="60"/>
      <c r="KND2483" s="60"/>
      <c r="KNE2483" s="66"/>
      <c r="KNF2483" s="61"/>
      <c r="KNG2483" s="56"/>
      <c r="KNH2483" s="56"/>
      <c r="KNI2483" s="66"/>
      <c r="KNJ2483" s="60"/>
      <c r="KNK2483" s="60"/>
      <c r="KNL2483" s="60"/>
      <c r="KNM2483" s="66"/>
      <c r="KNN2483" s="61"/>
      <c r="KNO2483" s="56"/>
      <c r="KNP2483" s="56"/>
      <c r="KNQ2483" s="66"/>
      <c r="KNR2483" s="60"/>
      <c r="KNS2483" s="60"/>
      <c r="KNT2483" s="60"/>
      <c r="KNU2483" s="66"/>
      <c r="KNV2483" s="61"/>
      <c r="KNW2483" s="56"/>
      <c r="KNX2483" s="56"/>
      <c r="KNY2483" s="66"/>
      <c r="KNZ2483" s="60"/>
      <c r="KOA2483" s="60"/>
      <c r="KOB2483" s="60"/>
      <c r="KOC2483" s="66"/>
      <c r="KOD2483" s="61"/>
      <c r="KOE2483" s="56"/>
      <c r="KOF2483" s="56"/>
      <c r="KOG2483" s="66"/>
      <c r="KOH2483" s="60"/>
      <c r="KOI2483" s="60"/>
      <c r="KOJ2483" s="60"/>
      <c r="KOK2483" s="66"/>
      <c r="KOL2483" s="61"/>
      <c r="KOM2483" s="56"/>
      <c r="KON2483" s="56"/>
      <c r="KOO2483" s="66"/>
      <c r="KOP2483" s="60"/>
      <c r="KOQ2483" s="60"/>
      <c r="KOR2483" s="60"/>
      <c r="KOS2483" s="66"/>
      <c r="KOT2483" s="61"/>
      <c r="KOU2483" s="56"/>
      <c r="KOV2483" s="56"/>
      <c r="KOW2483" s="66"/>
      <c r="KOX2483" s="60"/>
      <c r="KOY2483" s="60"/>
      <c r="KOZ2483" s="60"/>
      <c r="KPA2483" s="66"/>
      <c r="KPB2483" s="61"/>
      <c r="KPC2483" s="56"/>
      <c r="KPD2483" s="56"/>
      <c r="KPE2483" s="66"/>
      <c r="KPF2483" s="60"/>
      <c r="KPG2483" s="60"/>
      <c r="KPH2483" s="60"/>
      <c r="KPI2483" s="66"/>
      <c r="KPJ2483" s="61"/>
      <c r="KPK2483" s="56"/>
      <c r="KPL2483" s="56"/>
      <c r="KPM2483" s="66"/>
      <c r="KPN2483" s="60"/>
      <c r="KPO2483" s="60"/>
      <c r="KPP2483" s="60"/>
      <c r="KPQ2483" s="66"/>
      <c r="KPR2483" s="61"/>
      <c r="KPS2483" s="56"/>
      <c r="KPT2483" s="56"/>
      <c r="KPU2483" s="66"/>
      <c r="KPV2483" s="60"/>
      <c r="KPW2483" s="60"/>
      <c r="KPX2483" s="60"/>
      <c r="KPY2483" s="66"/>
      <c r="KPZ2483" s="61"/>
      <c r="KQA2483" s="56"/>
      <c r="KQB2483" s="56"/>
      <c r="KQC2483" s="66"/>
      <c r="KQD2483" s="60"/>
      <c r="KQE2483" s="60"/>
      <c r="KQF2483" s="60"/>
      <c r="KQG2483" s="66"/>
      <c r="KQH2483" s="61"/>
      <c r="KQI2483" s="56"/>
      <c r="KQJ2483" s="56"/>
      <c r="KQK2483" s="66"/>
      <c r="KQL2483" s="60"/>
      <c r="KQM2483" s="60"/>
      <c r="KQN2483" s="60"/>
      <c r="KQO2483" s="66"/>
      <c r="KQP2483" s="61"/>
      <c r="KQQ2483" s="56"/>
      <c r="KQR2483" s="56"/>
      <c r="KQS2483" s="66"/>
      <c r="KQT2483" s="60"/>
      <c r="KQU2483" s="60"/>
      <c r="KQV2483" s="60"/>
      <c r="KQW2483" s="66"/>
      <c r="KQX2483" s="61"/>
      <c r="KQY2483" s="56"/>
      <c r="KQZ2483" s="56"/>
      <c r="KRA2483" s="66"/>
      <c r="KRB2483" s="60"/>
      <c r="KRC2483" s="60"/>
      <c r="KRD2483" s="60"/>
      <c r="KRE2483" s="66"/>
      <c r="KRF2483" s="61"/>
      <c r="KRG2483" s="56"/>
      <c r="KRH2483" s="56"/>
      <c r="KRI2483" s="66"/>
      <c r="KRJ2483" s="60"/>
      <c r="KRK2483" s="60"/>
      <c r="KRL2483" s="60"/>
      <c r="KRM2483" s="66"/>
      <c r="KRN2483" s="61"/>
      <c r="KRO2483" s="56"/>
      <c r="KRP2483" s="56"/>
      <c r="KRQ2483" s="66"/>
      <c r="KRR2483" s="60"/>
      <c r="KRS2483" s="60"/>
      <c r="KRT2483" s="60"/>
      <c r="KRU2483" s="66"/>
      <c r="KRV2483" s="61"/>
      <c r="KRW2483" s="56"/>
      <c r="KRX2483" s="56"/>
      <c r="KRY2483" s="66"/>
      <c r="KRZ2483" s="60"/>
      <c r="KSA2483" s="60"/>
      <c r="KSB2483" s="60"/>
      <c r="KSC2483" s="66"/>
      <c r="KSD2483" s="61"/>
      <c r="KSE2483" s="56"/>
      <c r="KSF2483" s="56"/>
      <c r="KSG2483" s="66"/>
      <c r="KSH2483" s="60"/>
      <c r="KSI2483" s="60"/>
      <c r="KSJ2483" s="60"/>
      <c r="KSK2483" s="66"/>
      <c r="KSL2483" s="61"/>
      <c r="KSM2483" s="56"/>
      <c r="KSN2483" s="56"/>
      <c r="KSO2483" s="66"/>
      <c r="KSP2483" s="60"/>
      <c r="KSQ2483" s="60"/>
      <c r="KSR2483" s="60"/>
      <c r="KSS2483" s="66"/>
      <c r="KST2483" s="61"/>
      <c r="KSU2483" s="56"/>
      <c r="KSV2483" s="56"/>
      <c r="KSW2483" s="66"/>
      <c r="KSX2483" s="60"/>
      <c r="KSY2483" s="60"/>
      <c r="KSZ2483" s="60"/>
      <c r="KTA2483" s="66"/>
      <c r="KTB2483" s="61"/>
      <c r="KTC2483" s="56"/>
      <c r="KTD2483" s="56"/>
      <c r="KTE2483" s="66"/>
      <c r="KTF2483" s="60"/>
      <c r="KTG2483" s="60"/>
      <c r="KTH2483" s="60"/>
      <c r="KTI2483" s="66"/>
      <c r="KTJ2483" s="61"/>
      <c r="KTK2483" s="56"/>
      <c r="KTL2483" s="56"/>
      <c r="KTM2483" s="66"/>
      <c r="KTN2483" s="60"/>
      <c r="KTO2483" s="60"/>
      <c r="KTP2483" s="60"/>
      <c r="KTQ2483" s="66"/>
      <c r="KTR2483" s="61"/>
      <c r="KTS2483" s="56"/>
      <c r="KTT2483" s="56"/>
      <c r="KTU2483" s="66"/>
      <c r="KTV2483" s="60"/>
      <c r="KTW2483" s="60"/>
      <c r="KTX2483" s="60"/>
      <c r="KTY2483" s="66"/>
      <c r="KTZ2483" s="61"/>
      <c r="KUA2483" s="56"/>
      <c r="KUB2483" s="56"/>
      <c r="KUC2483" s="66"/>
      <c r="KUD2483" s="60"/>
      <c r="KUE2483" s="60"/>
      <c r="KUF2483" s="60"/>
      <c r="KUG2483" s="66"/>
      <c r="KUH2483" s="61"/>
      <c r="KUI2483" s="56"/>
      <c r="KUJ2483" s="56"/>
      <c r="KUK2483" s="66"/>
      <c r="KUL2483" s="60"/>
      <c r="KUM2483" s="60"/>
      <c r="KUN2483" s="60"/>
      <c r="KUO2483" s="66"/>
      <c r="KUP2483" s="61"/>
      <c r="KUQ2483" s="56"/>
      <c r="KUR2483" s="56"/>
      <c r="KUS2483" s="66"/>
      <c r="KUT2483" s="60"/>
      <c r="KUU2483" s="60"/>
      <c r="KUV2483" s="60"/>
      <c r="KUW2483" s="66"/>
      <c r="KUX2483" s="61"/>
      <c r="KUY2483" s="56"/>
      <c r="KUZ2483" s="56"/>
      <c r="KVA2483" s="66"/>
      <c r="KVB2483" s="60"/>
      <c r="KVC2483" s="60"/>
      <c r="KVD2483" s="60"/>
      <c r="KVE2483" s="66"/>
      <c r="KVF2483" s="61"/>
      <c r="KVG2483" s="56"/>
      <c r="KVH2483" s="56"/>
      <c r="KVI2483" s="66"/>
      <c r="KVJ2483" s="60"/>
      <c r="KVK2483" s="60"/>
      <c r="KVL2483" s="60"/>
      <c r="KVM2483" s="66"/>
      <c r="KVN2483" s="61"/>
      <c r="KVO2483" s="56"/>
      <c r="KVP2483" s="56"/>
      <c r="KVQ2483" s="66"/>
      <c r="KVR2483" s="60"/>
      <c r="KVS2483" s="60"/>
      <c r="KVT2483" s="60"/>
      <c r="KVU2483" s="66"/>
      <c r="KVV2483" s="61"/>
      <c r="KVW2483" s="56"/>
      <c r="KVX2483" s="56"/>
      <c r="KVY2483" s="66"/>
      <c r="KVZ2483" s="60"/>
      <c r="KWA2483" s="60"/>
      <c r="KWB2483" s="60"/>
      <c r="KWC2483" s="66"/>
      <c r="KWD2483" s="61"/>
      <c r="KWE2483" s="56"/>
      <c r="KWF2483" s="56"/>
      <c r="KWG2483" s="66"/>
      <c r="KWH2483" s="60"/>
      <c r="KWI2483" s="60"/>
      <c r="KWJ2483" s="60"/>
      <c r="KWK2483" s="66"/>
      <c r="KWL2483" s="61"/>
      <c r="KWM2483" s="56"/>
      <c r="KWN2483" s="56"/>
      <c r="KWO2483" s="66"/>
      <c r="KWP2483" s="60"/>
      <c r="KWQ2483" s="60"/>
      <c r="KWR2483" s="60"/>
      <c r="KWS2483" s="66"/>
      <c r="KWT2483" s="61"/>
      <c r="KWU2483" s="56"/>
      <c r="KWV2483" s="56"/>
      <c r="KWW2483" s="66"/>
      <c r="KWX2483" s="60"/>
      <c r="KWY2483" s="60"/>
      <c r="KWZ2483" s="60"/>
      <c r="KXA2483" s="66"/>
      <c r="KXB2483" s="61"/>
      <c r="KXC2483" s="56"/>
      <c r="KXD2483" s="56"/>
      <c r="KXE2483" s="66"/>
      <c r="KXF2483" s="60"/>
      <c r="KXG2483" s="60"/>
      <c r="KXH2483" s="60"/>
      <c r="KXI2483" s="66"/>
      <c r="KXJ2483" s="61"/>
      <c r="KXK2483" s="56"/>
      <c r="KXL2483" s="56"/>
      <c r="KXM2483" s="66"/>
      <c r="KXN2483" s="60"/>
      <c r="KXO2483" s="60"/>
      <c r="KXP2483" s="60"/>
      <c r="KXQ2483" s="66"/>
      <c r="KXR2483" s="61"/>
      <c r="KXS2483" s="56"/>
      <c r="KXT2483" s="56"/>
      <c r="KXU2483" s="66"/>
      <c r="KXV2483" s="60"/>
      <c r="KXW2483" s="60"/>
      <c r="KXX2483" s="60"/>
      <c r="KXY2483" s="66"/>
      <c r="KXZ2483" s="61"/>
      <c r="KYA2483" s="56"/>
      <c r="KYB2483" s="56"/>
      <c r="KYC2483" s="66"/>
      <c r="KYD2483" s="60"/>
      <c r="KYE2483" s="60"/>
      <c r="KYF2483" s="60"/>
      <c r="KYG2483" s="66"/>
      <c r="KYH2483" s="61"/>
      <c r="KYI2483" s="56"/>
      <c r="KYJ2483" s="56"/>
      <c r="KYK2483" s="66"/>
      <c r="KYL2483" s="60"/>
      <c r="KYM2483" s="60"/>
      <c r="KYN2483" s="60"/>
      <c r="KYO2483" s="66"/>
      <c r="KYP2483" s="61"/>
      <c r="KYQ2483" s="56"/>
      <c r="KYR2483" s="56"/>
      <c r="KYS2483" s="66"/>
      <c r="KYT2483" s="60"/>
      <c r="KYU2483" s="60"/>
      <c r="KYV2483" s="60"/>
      <c r="KYW2483" s="66"/>
      <c r="KYX2483" s="61"/>
      <c r="KYY2483" s="56"/>
      <c r="KYZ2483" s="56"/>
      <c r="KZA2483" s="66"/>
      <c r="KZB2483" s="60"/>
      <c r="KZC2483" s="60"/>
      <c r="KZD2483" s="60"/>
      <c r="KZE2483" s="66"/>
      <c r="KZF2483" s="61"/>
      <c r="KZG2483" s="56"/>
      <c r="KZH2483" s="56"/>
      <c r="KZI2483" s="66"/>
      <c r="KZJ2483" s="60"/>
      <c r="KZK2483" s="60"/>
      <c r="KZL2483" s="60"/>
      <c r="KZM2483" s="66"/>
      <c r="KZN2483" s="61"/>
      <c r="KZO2483" s="56"/>
      <c r="KZP2483" s="56"/>
      <c r="KZQ2483" s="66"/>
      <c r="KZR2483" s="60"/>
      <c r="KZS2483" s="60"/>
      <c r="KZT2483" s="60"/>
      <c r="KZU2483" s="66"/>
      <c r="KZV2483" s="61"/>
      <c r="KZW2483" s="56"/>
      <c r="KZX2483" s="56"/>
      <c r="KZY2483" s="66"/>
      <c r="KZZ2483" s="60"/>
      <c r="LAA2483" s="60"/>
      <c r="LAB2483" s="60"/>
      <c r="LAC2483" s="66"/>
      <c r="LAD2483" s="61"/>
      <c r="LAE2483" s="56"/>
      <c r="LAF2483" s="56"/>
      <c r="LAG2483" s="66"/>
      <c r="LAH2483" s="60"/>
      <c r="LAI2483" s="60"/>
      <c r="LAJ2483" s="60"/>
      <c r="LAK2483" s="66"/>
      <c r="LAL2483" s="61"/>
      <c r="LAM2483" s="56"/>
      <c r="LAN2483" s="56"/>
      <c r="LAO2483" s="66"/>
      <c r="LAP2483" s="60"/>
      <c r="LAQ2483" s="60"/>
      <c r="LAR2483" s="60"/>
      <c r="LAS2483" s="66"/>
      <c r="LAT2483" s="61"/>
      <c r="LAU2483" s="56"/>
      <c r="LAV2483" s="56"/>
      <c r="LAW2483" s="66"/>
      <c r="LAX2483" s="60"/>
      <c r="LAY2483" s="60"/>
      <c r="LAZ2483" s="60"/>
      <c r="LBA2483" s="66"/>
      <c r="LBB2483" s="61"/>
      <c r="LBC2483" s="56"/>
      <c r="LBD2483" s="56"/>
      <c r="LBE2483" s="66"/>
      <c r="LBF2483" s="60"/>
      <c r="LBG2483" s="60"/>
      <c r="LBH2483" s="60"/>
      <c r="LBI2483" s="66"/>
      <c r="LBJ2483" s="61"/>
      <c r="LBK2483" s="56"/>
      <c r="LBL2483" s="56"/>
      <c r="LBM2483" s="66"/>
      <c r="LBN2483" s="60"/>
      <c r="LBO2483" s="60"/>
      <c r="LBP2483" s="60"/>
      <c r="LBQ2483" s="66"/>
      <c r="LBR2483" s="61"/>
      <c r="LBS2483" s="56"/>
      <c r="LBT2483" s="56"/>
      <c r="LBU2483" s="66"/>
      <c r="LBV2483" s="60"/>
      <c r="LBW2483" s="60"/>
      <c r="LBX2483" s="60"/>
      <c r="LBY2483" s="66"/>
      <c r="LBZ2483" s="61"/>
      <c r="LCA2483" s="56"/>
      <c r="LCB2483" s="56"/>
      <c r="LCC2483" s="66"/>
      <c r="LCD2483" s="60"/>
      <c r="LCE2483" s="60"/>
      <c r="LCF2483" s="60"/>
      <c r="LCG2483" s="66"/>
      <c r="LCH2483" s="61"/>
      <c r="LCI2483" s="56"/>
      <c r="LCJ2483" s="56"/>
      <c r="LCK2483" s="66"/>
      <c r="LCL2483" s="60"/>
      <c r="LCM2483" s="60"/>
      <c r="LCN2483" s="60"/>
      <c r="LCO2483" s="66"/>
      <c r="LCP2483" s="61"/>
      <c r="LCQ2483" s="56"/>
      <c r="LCR2483" s="56"/>
      <c r="LCS2483" s="66"/>
      <c r="LCT2483" s="60"/>
      <c r="LCU2483" s="60"/>
      <c r="LCV2483" s="60"/>
      <c r="LCW2483" s="66"/>
      <c r="LCX2483" s="61"/>
      <c r="LCY2483" s="56"/>
      <c r="LCZ2483" s="56"/>
      <c r="LDA2483" s="66"/>
      <c r="LDB2483" s="60"/>
      <c r="LDC2483" s="60"/>
      <c r="LDD2483" s="60"/>
      <c r="LDE2483" s="66"/>
      <c r="LDF2483" s="61"/>
      <c r="LDG2483" s="56"/>
      <c r="LDH2483" s="56"/>
      <c r="LDI2483" s="66"/>
      <c r="LDJ2483" s="60"/>
      <c r="LDK2483" s="60"/>
      <c r="LDL2483" s="60"/>
      <c r="LDM2483" s="66"/>
      <c r="LDN2483" s="61"/>
      <c r="LDO2483" s="56"/>
      <c r="LDP2483" s="56"/>
      <c r="LDQ2483" s="66"/>
      <c r="LDR2483" s="60"/>
      <c r="LDS2483" s="60"/>
      <c r="LDT2483" s="60"/>
      <c r="LDU2483" s="66"/>
      <c r="LDV2483" s="61"/>
      <c r="LDW2483" s="56"/>
      <c r="LDX2483" s="56"/>
      <c r="LDY2483" s="66"/>
      <c r="LDZ2483" s="60"/>
      <c r="LEA2483" s="60"/>
      <c r="LEB2483" s="60"/>
      <c r="LEC2483" s="66"/>
      <c r="LED2483" s="61"/>
      <c r="LEE2483" s="56"/>
      <c r="LEF2483" s="56"/>
      <c r="LEG2483" s="66"/>
      <c r="LEH2483" s="60"/>
      <c r="LEI2483" s="60"/>
      <c r="LEJ2483" s="60"/>
      <c r="LEK2483" s="66"/>
      <c r="LEL2483" s="61"/>
      <c r="LEM2483" s="56"/>
      <c r="LEN2483" s="56"/>
      <c r="LEO2483" s="66"/>
      <c r="LEP2483" s="60"/>
      <c r="LEQ2483" s="60"/>
      <c r="LER2483" s="60"/>
      <c r="LES2483" s="66"/>
      <c r="LET2483" s="61"/>
      <c r="LEU2483" s="56"/>
      <c r="LEV2483" s="56"/>
      <c r="LEW2483" s="66"/>
      <c r="LEX2483" s="60"/>
      <c r="LEY2483" s="60"/>
      <c r="LEZ2483" s="60"/>
      <c r="LFA2483" s="66"/>
      <c r="LFB2483" s="61"/>
      <c r="LFC2483" s="56"/>
      <c r="LFD2483" s="56"/>
      <c r="LFE2483" s="66"/>
      <c r="LFF2483" s="60"/>
      <c r="LFG2483" s="60"/>
      <c r="LFH2483" s="60"/>
      <c r="LFI2483" s="66"/>
      <c r="LFJ2483" s="61"/>
      <c r="LFK2483" s="56"/>
      <c r="LFL2483" s="56"/>
      <c r="LFM2483" s="66"/>
      <c r="LFN2483" s="60"/>
      <c r="LFO2483" s="60"/>
      <c r="LFP2483" s="60"/>
      <c r="LFQ2483" s="66"/>
      <c r="LFR2483" s="61"/>
      <c r="LFS2483" s="56"/>
      <c r="LFT2483" s="56"/>
      <c r="LFU2483" s="66"/>
      <c r="LFV2483" s="60"/>
      <c r="LFW2483" s="60"/>
      <c r="LFX2483" s="60"/>
      <c r="LFY2483" s="66"/>
      <c r="LFZ2483" s="61"/>
      <c r="LGA2483" s="56"/>
      <c r="LGB2483" s="56"/>
      <c r="LGC2483" s="66"/>
      <c r="LGD2483" s="60"/>
      <c r="LGE2483" s="60"/>
      <c r="LGF2483" s="60"/>
      <c r="LGG2483" s="66"/>
      <c r="LGH2483" s="61"/>
      <c r="LGI2483" s="56"/>
      <c r="LGJ2483" s="56"/>
      <c r="LGK2483" s="66"/>
      <c r="LGL2483" s="60"/>
      <c r="LGM2483" s="60"/>
      <c r="LGN2483" s="60"/>
      <c r="LGO2483" s="66"/>
      <c r="LGP2483" s="61"/>
      <c r="LGQ2483" s="56"/>
      <c r="LGR2483" s="56"/>
      <c r="LGS2483" s="66"/>
      <c r="LGT2483" s="60"/>
      <c r="LGU2483" s="60"/>
      <c r="LGV2483" s="60"/>
      <c r="LGW2483" s="66"/>
      <c r="LGX2483" s="61"/>
      <c r="LGY2483" s="56"/>
      <c r="LGZ2483" s="56"/>
      <c r="LHA2483" s="66"/>
      <c r="LHB2483" s="60"/>
      <c r="LHC2483" s="60"/>
      <c r="LHD2483" s="60"/>
      <c r="LHE2483" s="66"/>
      <c r="LHF2483" s="61"/>
      <c r="LHG2483" s="56"/>
      <c r="LHH2483" s="56"/>
      <c r="LHI2483" s="66"/>
      <c r="LHJ2483" s="60"/>
      <c r="LHK2483" s="60"/>
      <c r="LHL2483" s="60"/>
      <c r="LHM2483" s="66"/>
      <c r="LHN2483" s="61"/>
      <c r="LHO2483" s="56"/>
      <c r="LHP2483" s="56"/>
      <c r="LHQ2483" s="66"/>
      <c r="LHR2483" s="60"/>
      <c r="LHS2483" s="60"/>
      <c r="LHT2483" s="60"/>
      <c r="LHU2483" s="66"/>
      <c r="LHV2483" s="61"/>
      <c r="LHW2483" s="56"/>
      <c r="LHX2483" s="56"/>
      <c r="LHY2483" s="66"/>
      <c r="LHZ2483" s="60"/>
      <c r="LIA2483" s="60"/>
      <c r="LIB2483" s="60"/>
      <c r="LIC2483" s="66"/>
      <c r="LID2483" s="61"/>
      <c r="LIE2483" s="56"/>
      <c r="LIF2483" s="56"/>
      <c r="LIG2483" s="66"/>
      <c r="LIH2483" s="60"/>
      <c r="LII2483" s="60"/>
      <c r="LIJ2483" s="60"/>
      <c r="LIK2483" s="66"/>
      <c r="LIL2483" s="61"/>
      <c r="LIM2483" s="56"/>
      <c r="LIN2483" s="56"/>
      <c r="LIO2483" s="66"/>
      <c r="LIP2483" s="60"/>
      <c r="LIQ2483" s="60"/>
      <c r="LIR2483" s="60"/>
      <c r="LIS2483" s="66"/>
      <c r="LIT2483" s="61"/>
      <c r="LIU2483" s="56"/>
      <c r="LIV2483" s="56"/>
      <c r="LIW2483" s="66"/>
      <c r="LIX2483" s="60"/>
      <c r="LIY2483" s="60"/>
      <c r="LIZ2483" s="60"/>
      <c r="LJA2483" s="66"/>
      <c r="LJB2483" s="61"/>
      <c r="LJC2483" s="56"/>
      <c r="LJD2483" s="56"/>
      <c r="LJE2483" s="66"/>
      <c r="LJF2483" s="60"/>
      <c r="LJG2483" s="60"/>
      <c r="LJH2483" s="60"/>
      <c r="LJI2483" s="66"/>
      <c r="LJJ2483" s="61"/>
      <c r="LJK2483" s="56"/>
      <c r="LJL2483" s="56"/>
      <c r="LJM2483" s="66"/>
      <c r="LJN2483" s="60"/>
      <c r="LJO2483" s="60"/>
      <c r="LJP2483" s="60"/>
      <c r="LJQ2483" s="66"/>
      <c r="LJR2483" s="61"/>
      <c r="LJS2483" s="56"/>
      <c r="LJT2483" s="56"/>
      <c r="LJU2483" s="66"/>
      <c r="LJV2483" s="60"/>
      <c r="LJW2483" s="60"/>
      <c r="LJX2483" s="60"/>
      <c r="LJY2483" s="66"/>
      <c r="LJZ2483" s="61"/>
      <c r="LKA2483" s="56"/>
      <c r="LKB2483" s="56"/>
      <c r="LKC2483" s="66"/>
      <c r="LKD2483" s="60"/>
      <c r="LKE2483" s="60"/>
      <c r="LKF2483" s="60"/>
      <c r="LKG2483" s="66"/>
      <c r="LKH2483" s="61"/>
      <c r="LKI2483" s="56"/>
      <c r="LKJ2483" s="56"/>
      <c r="LKK2483" s="66"/>
      <c r="LKL2483" s="60"/>
      <c r="LKM2483" s="60"/>
      <c r="LKN2483" s="60"/>
      <c r="LKO2483" s="66"/>
      <c r="LKP2483" s="61"/>
      <c r="LKQ2483" s="56"/>
      <c r="LKR2483" s="56"/>
      <c r="LKS2483" s="66"/>
      <c r="LKT2483" s="60"/>
      <c r="LKU2483" s="60"/>
      <c r="LKV2483" s="60"/>
      <c r="LKW2483" s="66"/>
      <c r="LKX2483" s="61"/>
      <c r="LKY2483" s="56"/>
      <c r="LKZ2483" s="56"/>
      <c r="LLA2483" s="66"/>
      <c r="LLB2483" s="60"/>
      <c r="LLC2483" s="60"/>
      <c r="LLD2483" s="60"/>
      <c r="LLE2483" s="66"/>
      <c r="LLF2483" s="61"/>
      <c r="LLG2483" s="56"/>
      <c r="LLH2483" s="56"/>
      <c r="LLI2483" s="66"/>
      <c r="LLJ2483" s="60"/>
      <c r="LLK2483" s="60"/>
      <c r="LLL2483" s="60"/>
      <c r="LLM2483" s="66"/>
      <c r="LLN2483" s="61"/>
      <c r="LLO2483" s="56"/>
      <c r="LLP2483" s="56"/>
      <c r="LLQ2483" s="66"/>
      <c r="LLR2483" s="60"/>
      <c r="LLS2483" s="60"/>
      <c r="LLT2483" s="60"/>
      <c r="LLU2483" s="66"/>
      <c r="LLV2483" s="61"/>
      <c r="LLW2483" s="56"/>
      <c r="LLX2483" s="56"/>
      <c r="LLY2483" s="66"/>
      <c r="LLZ2483" s="60"/>
      <c r="LMA2483" s="60"/>
      <c r="LMB2483" s="60"/>
      <c r="LMC2483" s="66"/>
      <c r="LMD2483" s="61"/>
      <c r="LME2483" s="56"/>
      <c r="LMF2483" s="56"/>
      <c r="LMG2483" s="66"/>
      <c r="LMH2483" s="60"/>
      <c r="LMI2483" s="60"/>
      <c r="LMJ2483" s="60"/>
      <c r="LMK2483" s="66"/>
      <c r="LML2483" s="61"/>
      <c r="LMM2483" s="56"/>
      <c r="LMN2483" s="56"/>
      <c r="LMO2483" s="66"/>
      <c r="LMP2483" s="60"/>
      <c r="LMQ2483" s="60"/>
      <c r="LMR2483" s="60"/>
      <c r="LMS2483" s="66"/>
      <c r="LMT2483" s="61"/>
      <c r="LMU2483" s="56"/>
      <c r="LMV2483" s="56"/>
      <c r="LMW2483" s="66"/>
      <c r="LMX2483" s="60"/>
      <c r="LMY2483" s="60"/>
      <c r="LMZ2483" s="60"/>
      <c r="LNA2483" s="66"/>
      <c r="LNB2483" s="61"/>
      <c r="LNC2483" s="56"/>
      <c r="LND2483" s="56"/>
      <c r="LNE2483" s="66"/>
      <c r="LNF2483" s="60"/>
      <c r="LNG2483" s="60"/>
      <c r="LNH2483" s="60"/>
      <c r="LNI2483" s="66"/>
      <c r="LNJ2483" s="61"/>
      <c r="LNK2483" s="56"/>
      <c r="LNL2483" s="56"/>
      <c r="LNM2483" s="66"/>
      <c r="LNN2483" s="60"/>
      <c r="LNO2483" s="60"/>
      <c r="LNP2483" s="60"/>
      <c r="LNQ2483" s="66"/>
      <c r="LNR2483" s="61"/>
      <c r="LNS2483" s="56"/>
      <c r="LNT2483" s="56"/>
      <c r="LNU2483" s="66"/>
      <c r="LNV2483" s="60"/>
      <c r="LNW2483" s="60"/>
      <c r="LNX2483" s="60"/>
      <c r="LNY2483" s="66"/>
      <c r="LNZ2483" s="61"/>
      <c r="LOA2483" s="56"/>
      <c r="LOB2483" s="56"/>
      <c r="LOC2483" s="66"/>
      <c r="LOD2483" s="60"/>
      <c r="LOE2483" s="60"/>
      <c r="LOF2483" s="60"/>
      <c r="LOG2483" s="66"/>
      <c r="LOH2483" s="61"/>
      <c r="LOI2483" s="56"/>
      <c r="LOJ2483" s="56"/>
      <c r="LOK2483" s="66"/>
      <c r="LOL2483" s="60"/>
      <c r="LOM2483" s="60"/>
      <c r="LON2483" s="60"/>
      <c r="LOO2483" s="66"/>
      <c r="LOP2483" s="61"/>
      <c r="LOQ2483" s="56"/>
      <c r="LOR2483" s="56"/>
      <c r="LOS2483" s="66"/>
      <c r="LOT2483" s="60"/>
      <c r="LOU2483" s="60"/>
      <c r="LOV2483" s="60"/>
      <c r="LOW2483" s="66"/>
      <c r="LOX2483" s="61"/>
      <c r="LOY2483" s="56"/>
      <c r="LOZ2483" s="56"/>
      <c r="LPA2483" s="66"/>
      <c r="LPB2483" s="60"/>
      <c r="LPC2483" s="60"/>
      <c r="LPD2483" s="60"/>
      <c r="LPE2483" s="66"/>
      <c r="LPF2483" s="61"/>
      <c r="LPG2483" s="56"/>
      <c r="LPH2483" s="56"/>
      <c r="LPI2483" s="66"/>
      <c r="LPJ2483" s="60"/>
      <c r="LPK2483" s="60"/>
      <c r="LPL2483" s="60"/>
      <c r="LPM2483" s="66"/>
      <c r="LPN2483" s="61"/>
      <c r="LPO2483" s="56"/>
      <c r="LPP2483" s="56"/>
      <c r="LPQ2483" s="66"/>
      <c r="LPR2483" s="60"/>
      <c r="LPS2483" s="60"/>
      <c r="LPT2483" s="60"/>
      <c r="LPU2483" s="66"/>
      <c r="LPV2483" s="61"/>
      <c r="LPW2483" s="56"/>
      <c r="LPX2483" s="56"/>
      <c r="LPY2483" s="66"/>
      <c r="LPZ2483" s="60"/>
      <c r="LQA2483" s="60"/>
      <c r="LQB2483" s="60"/>
      <c r="LQC2483" s="66"/>
      <c r="LQD2483" s="61"/>
      <c r="LQE2483" s="56"/>
      <c r="LQF2483" s="56"/>
      <c r="LQG2483" s="66"/>
      <c r="LQH2483" s="60"/>
      <c r="LQI2483" s="60"/>
      <c r="LQJ2483" s="60"/>
      <c r="LQK2483" s="66"/>
      <c r="LQL2483" s="61"/>
      <c r="LQM2483" s="56"/>
      <c r="LQN2483" s="56"/>
      <c r="LQO2483" s="66"/>
      <c r="LQP2483" s="60"/>
      <c r="LQQ2483" s="60"/>
      <c r="LQR2483" s="60"/>
      <c r="LQS2483" s="66"/>
      <c r="LQT2483" s="61"/>
      <c r="LQU2483" s="56"/>
      <c r="LQV2483" s="56"/>
      <c r="LQW2483" s="66"/>
      <c r="LQX2483" s="60"/>
      <c r="LQY2483" s="60"/>
      <c r="LQZ2483" s="60"/>
      <c r="LRA2483" s="66"/>
      <c r="LRB2483" s="61"/>
      <c r="LRC2483" s="56"/>
      <c r="LRD2483" s="56"/>
      <c r="LRE2483" s="66"/>
      <c r="LRF2483" s="60"/>
      <c r="LRG2483" s="60"/>
      <c r="LRH2483" s="60"/>
      <c r="LRI2483" s="66"/>
      <c r="LRJ2483" s="61"/>
      <c r="LRK2483" s="56"/>
      <c r="LRL2483" s="56"/>
      <c r="LRM2483" s="66"/>
      <c r="LRN2483" s="60"/>
      <c r="LRO2483" s="60"/>
      <c r="LRP2483" s="60"/>
      <c r="LRQ2483" s="66"/>
      <c r="LRR2483" s="61"/>
      <c r="LRS2483" s="56"/>
      <c r="LRT2483" s="56"/>
      <c r="LRU2483" s="66"/>
      <c r="LRV2483" s="60"/>
      <c r="LRW2483" s="60"/>
      <c r="LRX2483" s="60"/>
      <c r="LRY2483" s="66"/>
      <c r="LRZ2483" s="61"/>
      <c r="LSA2483" s="56"/>
      <c r="LSB2483" s="56"/>
      <c r="LSC2483" s="66"/>
      <c r="LSD2483" s="60"/>
      <c r="LSE2483" s="60"/>
      <c r="LSF2483" s="60"/>
      <c r="LSG2483" s="66"/>
      <c r="LSH2483" s="61"/>
      <c r="LSI2483" s="56"/>
      <c r="LSJ2483" s="56"/>
      <c r="LSK2483" s="66"/>
      <c r="LSL2483" s="60"/>
      <c r="LSM2483" s="60"/>
      <c r="LSN2483" s="60"/>
      <c r="LSO2483" s="66"/>
      <c r="LSP2483" s="61"/>
      <c r="LSQ2483" s="56"/>
      <c r="LSR2483" s="56"/>
      <c r="LSS2483" s="66"/>
      <c r="LST2483" s="60"/>
      <c r="LSU2483" s="60"/>
      <c r="LSV2483" s="60"/>
      <c r="LSW2483" s="66"/>
      <c r="LSX2483" s="61"/>
      <c r="LSY2483" s="56"/>
      <c r="LSZ2483" s="56"/>
      <c r="LTA2483" s="66"/>
      <c r="LTB2483" s="60"/>
      <c r="LTC2483" s="60"/>
      <c r="LTD2483" s="60"/>
      <c r="LTE2483" s="66"/>
      <c r="LTF2483" s="61"/>
      <c r="LTG2483" s="56"/>
      <c r="LTH2483" s="56"/>
      <c r="LTI2483" s="66"/>
      <c r="LTJ2483" s="60"/>
      <c r="LTK2483" s="60"/>
      <c r="LTL2483" s="60"/>
      <c r="LTM2483" s="66"/>
      <c r="LTN2483" s="61"/>
      <c r="LTO2483" s="56"/>
      <c r="LTP2483" s="56"/>
      <c r="LTQ2483" s="66"/>
      <c r="LTR2483" s="60"/>
      <c r="LTS2483" s="60"/>
      <c r="LTT2483" s="60"/>
      <c r="LTU2483" s="66"/>
      <c r="LTV2483" s="61"/>
      <c r="LTW2483" s="56"/>
      <c r="LTX2483" s="56"/>
      <c r="LTY2483" s="66"/>
      <c r="LTZ2483" s="60"/>
      <c r="LUA2483" s="60"/>
      <c r="LUB2483" s="60"/>
      <c r="LUC2483" s="66"/>
      <c r="LUD2483" s="61"/>
      <c r="LUE2483" s="56"/>
      <c r="LUF2483" s="56"/>
      <c r="LUG2483" s="66"/>
      <c r="LUH2483" s="60"/>
      <c r="LUI2483" s="60"/>
      <c r="LUJ2483" s="60"/>
      <c r="LUK2483" s="66"/>
      <c r="LUL2483" s="61"/>
      <c r="LUM2483" s="56"/>
      <c r="LUN2483" s="56"/>
      <c r="LUO2483" s="66"/>
      <c r="LUP2483" s="60"/>
      <c r="LUQ2483" s="60"/>
      <c r="LUR2483" s="60"/>
      <c r="LUS2483" s="66"/>
      <c r="LUT2483" s="61"/>
      <c r="LUU2483" s="56"/>
      <c r="LUV2483" s="56"/>
      <c r="LUW2483" s="66"/>
      <c r="LUX2483" s="60"/>
      <c r="LUY2483" s="60"/>
      <c r="LUZ2483" s="60"/>
      <c r="LVA2483" s="66"/>
      <c r="LVB2483" s="61"/>
      <c r="LVC2483" s="56"/>
      <c r="LVD2483" s="56"/>
      <c r="LVE2483" s="66"/>
      <c r="LVF2483" s="60"/>
      <c r="LVG2483" s="60"/>
      <c r="LVH2483" s="60"/>
      <c r="LVI2483" s="66"/>
      <c r="LVJ2483" s="61"/>
      <c r="LVK2483" s="56"/>
      <c r="LVL2483" s="56"/>
      <c r="LVM2483" s="66"/>
      <c r="LVN2483" s="60"/>
      <c r="LVO2483" s="60"/>
      <c r="LVP2483" s="60"/>
      <c r="LVQ2483" s="66"/>
      <c r="LVR2483" s="61"/>
      <c r="LVS2483" s="56"/>
      <c r="LVT2483" s="56"/>
      <c r="LVU2483" s="66"/>
      <c r="LVV2483" s="60"/>
      <c r="LVW2483" s="60"/>
      <c r="LVX2483" s="60"/>
      <c r="LVY2483" s="66"/>
      <c r="LVZ2483" s="61"/>
      <c r="LWA2483" s="56"/>
      <c r="LWB2483" s="56"/>
      <c r="LWC2483" s="66"/>
      <c r="LWD2483" s="60"/>
      <c r="LWE2483" s="60"/>
      <c r="LWF2483" s="60"/>
      <c r="LWG2483" s="66"/>
      <c r="LWH2483" s="61"/>
      <c r="LWI2483" s="56"/>
      <c r="LWJ2483" s="56"/>
      <c r="LWK2483" s="66"/>
      <c r="LWL2483" s="60"/>
      <c r="LWM2483" s="60"/>
      <c r="LWN2483" s="60"/>
      <c r="LWO2483" s="66"/>
      <c r="LWP2483" s="61"/>
      <c r="LWQ2483" s="56"/>
      <c r="LWR2483" s="56"/>
      <c r="LWS2483" s="66"/>
      <c r="LWT2483" s="60"/>
      <c r="LWU2483" s="60"/>
      <c r="LWV2483" s="60"/>
      <c r="LWW2483" s="66"/>
      <c r="LWX2483" s="61"/>
      <c r="LWY2483" s="56"/>
      <c r="LWZ2483" s="56"/>
      <c r="LXA2483" s="66"/>
      <c r="LXB2483" s="60"/>
      <c r="LXC2483" s="60"/>
      <c r="LXD2483" s="60"/>
      <c r="LXE2483" s="66"/>
      <c r="LXF2483" s="61"/>
      <c r="LXG2483" s="56"/>
      <c r="LXH2483" s="56"/>
      <c r="LXI2483" s="66"/>
      <c r="LXJ2483" s="60"/>
      <c r="LXK2483" s="60"/>
      <c r="LXL2483" s="60"/>
      <c r="LXM2483" s="66"/>
      <c r="LXN2483" s="61"/>
      <c r="LXO2483" s="56"/>
      <c r="LXP2483" s="56"/>
      <c r="LXQ2483" s="66"/>
      <c r="LXR2483" s="60"/>
      <c r="LXS2483" s="60"/>
      <c r="LXT2483" s="60"/>
      <c r="LXU2483" s="66"/>
      <c r="LXV2483" s="61"/>
      <c r="LXW2483" s="56"/>
      <c r="LXX2483" s="56"/>
      <c r="LXY2483" s="66"/>
      <c r="LXZ2483" s="60"/>
      <c r="LYA2483" s="60"/>
      <c r="LYB2483" s="60"/>
      <c r="LYC2483" s="66"/>
      <c r="LYD2483" s="61"/>
      <c r="LYE2483" s="56"/>
      <c r="LYF2483" s="56"/>
      <c r="LYG2483" s="66"/>
      <c r="LYH2483" s="60"/>
      <c r="LYI2483" s="60"/>
      <c r="LYJ2483" s="60"/>
      <c r="LYK2483" s="66"/>
      <c r="LYL2483" s="61"/>
      <c r="LYM2483" s="56"/>
      <c r="LYN2483" s="56"/>
      <c r="LYO2483" s="66"/>
      <c r="LYP2483" s="60"/>
      <c r="LYQ2483" s="60"/>
      <c r="LYR2483" s="60"/>
      <c r="LYS2483" s="66"/>
      <c r="LYT2483" s="61"/>
      <c r="LYU2483" s="56"/>
      <c r="LYV2483" s="56"/>
      <c r="LYW2483" s="66"/>
      <c r="LYX2483" s="60"/>
      <c r="LYY2483" s="60"/>
      <c r="LYZ2483" s="60"/>
      <c r="LZA2483" s="66"/>
      <c r="LZB2483" s="61"/>
      <c r="LZC2483" s="56"/>
      <c r="LZD2483" s="56"/>
      <c r="LZE2483" s="66"/>
      <c r="LZF2483" s="60"/>
      <c r="LZG2483" s="60"/>
      <c r="LZH2483" s="60"/>
      <c r="LZI2483" s="66"/>
      <c r="LZJ2483" s="61"/>
      <c r="LZK2483" s="56"/>
      <c r="LZL2483" s="56"/>
      <c r="LZM2483" s="66"/>
      <c r="LZN2483" s="60"/>
      <c r="LZO2483" s="60"/>
      <c r="LZP2483" s="60"/>
      <c r="LZQ2483" s="66"/>
      <c r="LZR2483" s="61"/>
      <c r="LZS2483" s="56"/>
      <c r="LZT2483" s="56"/>
      <c r="LZU2483" s="66"/>
      <c r="LZV2483" s="60"/>
      <c r="LZW2483" s="60"/>
      <c r="LZX2483" s="60"/>
      <c r="LZY2483" s="66"/>
      <c r="LZZ2483" s="61"/>
      <c r="MAA2483" s="56"/>
      <c r="MAB2483" s="56"/>
      <c r="MAC2483" s="66"/>
      <c r="MAD2483" s="60"/>
      <c r="MAE2483" s="60"/>
      <c r="MAF2483" s="60"/>
      <c r="MAG2483" s="66"/>
      <c r="MAH2483" s="61"/>
      <c r="MAI2483" s="56"/>
      <c r="MAJ2483" s="56"/>
      <c r="MAK2483" s="66"/>
      <c r="MAL2483" s="60"/>
      <c r="MAM2483" s="60"/>
      <c r="MAN2483" s="60"/>
      <c r="MAO2483" s="66"/>
      <c r="MAP2483" s="61"/>
      <c r="MAQ2483" s="56"/>
      <c r="MAR2483" s="56"/>
      <c r="MAS2483" s="66"/>
      <c r="MAT2483" s="60"/>
      <c r="MAU2483" s="60"/>
      <c r="MAV2483" s="60"/>
      <c r="MAW2483" s="66"/>
      <c r="MAX2483" s="61"/>
      <c r="MAY2483" s="56"/>
      <c r="MAZ2483" s="56"/>
      <c r="MBA2483" s="66"/>
      <c r="MBB2483" s="60"/>
      <c r="MBC2483" s="60"/>
      <c r="MBD2483" s="60"/>
      <c r="MBE2483" s="66"/>
      <c r="MBF2483" s="61"/>
      <c r="MBG2483" s="56"/>
      <c r="MBH2483" s="56"/>
      <c r="MBI2483" s="66"/>
      <c r="MBJ2483" s="60"/>
      <c r="MBK2483" s="60"/>
      <c r="MBL2483" s="60"/>
      <c r="MBM2483" s="66"/>
      <c r="MBN2483" s="61"/>
      <c r="MBO2483" s="56"/>
      <c r="MBP2483" s="56"/>
      <c r="MBQ2483" s="66"/>
      <c r="MBR2483" s="60"/>
      <c r="MBS2483" s="60"/>
      <c r="MBT2483" s="60"/>
      <c r="MBU2483" s="66"/>
      <c r="MBV2483" s="61"/>
      <c r="MBW2483" s="56"/>
      <c r="MBX2483" s="56"/>
      <c r="MBY2483" s="66"/>
      <c r="MBZ2483" s="60"/>
      <c r="MCA2483" s="60"/>
      <c r="MCB2483" s="60"/>
      <c r="MCC2483" s="66"/>
      <c r="MCD2483" s="61"/>
      <c r="MCE2483" s="56"/>
      <c r="MCF2483" s="56"/>
      <c r="MCG2483" s="66"/>
      <c r="MCH2483" s="60"/>
      <c r="MCI2483" s="60"/>
      <c r="MCJ2483" s="60"/>
      <c r="MCK2483" s="66"/>
      <c r="MCL2483" s="61"/>
      <c r="MCM2483" s="56"/>
      <c r="MCN2483" s="56"/>
      <c r="MCO2483" s="66"/>
      <c r="MCP2483" s="60"/>
      <c r="MCQ2483" s="60"/>
      <c r="MCR2483" s="60"/>
      <c r="MCS2483" s="66"/>
      <c r="MCT2483" s="61"/>
      <c r="MCU2483" s="56"/>
      <c r="MCV2483" s="56"/>
      <c r="MCW2483" s="66"/>
      <c r="MCX2483" s="60"/>
      <c r="MCY2483" s="60"/>
      <c r="MCZ2483" s="60"/>
      <c r="MDA2483" s="66"/>
      <c r="MDB2483" s="61"/>
      <c r="MDC2483" s="56"/>
      <c r="MDD2483" s="56"/>
      <c r="MDE2483" s="66"/>
      <c r="MDF2483" s="60"/>
      <c r="MDG2483" s="60"/>
      <c r="MDH2483" s="60"/>
      <c r="MDI2483" s="66"/>
      <c r="MDJ2483" s="61"/>
      <c r="MDK2483" s="56"/>
      <c r="MDL2483" s="56"/>
      <c r="MDM2483" s="66"/>
      <c r="MDN2483" s="60"/>
      <c r="MDO2483" s="60"/>
      <c r="MDP2483" s="60"/>
      <c r="MDQ2483" s="66"/>
      <c r="MDR2483" s="61"/>
      <c r="MDS2483" s="56"/>
      <c r="MDT2483" s="56"/>
      <c r="MDU2483" s="66"/>
      <c r="MDV2483" s="60"/>
      <c r="MDW2483" s="60"/>
      <c r="MDX2483" s="60"/>
      <c r="MDY2483" s="66"/>
      <c r="MDZ2483" s="61"/>
      <c r="MEA2483" s="56"/>
      <c r="MEB2483" s="56"/>
      <c r="MEC2483" s="66"/>
      <c r="MED2483" s="60"/>
      <c r="MEE2483" s="60"/>
      <c r="MEF2483" s="60"/>
      <c r="MEG2483" s="66"/>
      <c r="MEH2483" s="61"/>
      <c r="MEI2483" s="56"/>
      <c r="MEJ2483" s="56"/>
      <c r="MEK2483" s="66"/>
      <c r="MEL2483" s="60"/>
      <c r="MEM2483" s="60"/>
      <c r="MEN2483" s="60"/>
      <c r="MEO2483" s="66"/>
      <c r="MEP2483" s="61"/>
      <c r="MEQ2483" s="56"/>
      <c r="MER2483" s="56"/>
      <c r="MES2483" s="66"/>
      <c r="MET2483" s="60"/>
      <c r="MEU2483" s="60"/>
      <c r="MEV2483" s="60"/>
      <c r="MEW2483" s="66"/>
      <c r="MEX2483" s="61"/>
      <c r="MEY2483" s="56"/>
      <c r="MEZ2483" s="56"/>
      <c r="MFA2483" s="66"/>
      <c r="MFB2483" s="60"/>
      <c r="MFC2483" s="60"/>
      <c r="MFD2483" s="60"/>
      <c r="MFE2483" s="66"/>
      <c r="MFF2483" s="61"/>
      <c r="MFG2483" s="56"/>
      <c r="MFH2483" s="56"/>
      <c r="MFI2483" s="66"/>
      <c r="MFJ2483" s="60"/>
      <c r="MFK2483" s="60"/>
      <c r="MFL2483" s="60"/>
      <c r="MFM2483" s="66"/>
      <c r="MFN2483" s="61"/>
      <c r="MFO2483" s="56"/>
      <c r="MFP2483" s="56"/>
      <c r="MFQ2483" s="66"/>
      <c r="MFR2483" s="60"/>
      <c r="MFS2483" s="60"/>
      <c r="MFT2483" s="60"/>
      <c r="MFU2483" s="66"/>
      <c r="MFV2483" s="61"/>
      <c r="MFW2483" s="56"/>
      <c r="MFX2483" s="56"/>
      <c r="MFY2483" s="66"/>
      <c r="MFZ2483" s="60"/>
      <c r="MGA2483" s="60"/>
      <c r="MGB2483" s="60"/>
      <c r="MGC2483" s="66"/>
      <c r="MGD2483" s="61"/>
      <c r="MGE2483" s="56"/>
      <c r="MGF2483" s="56"/>
      <c r="MGG2483" s="66"/>
      <c r="MGH2483" s="60"/>
      <c r="MGI2483" s="60"/>
      <c r="MGJ2483" s="60"/>
      <c r="MGK2483" s="66"/>
      <c r="MGL2483" s="61"/>
      <c r="MGM2483" s="56"/>
      <c r="MGN2483" s="56"/>
      <c r="MGO2483" s="66"/>
      <c r="MGP2483" s="60"/>
      <c r="MGQ2483" s="60"/>
      <c r="MGR2483" s="60"/>
      <c r="MGS2483" s="66"/>
      <c r="MGT2483" s="61"/>
      <c r="MGU2483" s="56"/>
      <c r="MGV2483" s="56"/>
      <c r="MGW2483" s="66"/>
      <c r="MGX2483" s="60"/>
      <c r="MGY2483" s="60"/>
      <c r="MGZ2483" s="60"/>
      <c r="MHA2483" s="66"/>
      <c r="MHB2483" s="61"/>
      <c r="MHC2483" s="56"/>
      <c r="MHD2483" s="56"/>
      <c r="MHE2483" s="66"/>
      <c r="MHF2483" s="60"/>
      <c r="MHG2483" s="60"/>
      <c r="MHH2483" s="60"/>
      <c r="MHI2483" s="66"/>
      <c r="MHJ2483" s="61"/>
      <c r="MHK2483" s="56"/>
      <c r="MHL2483" s="56"/>
      <c r="MHM2483" s="66"/>
      <c r="MHN2483" s="60"/>
      <c r="MHO2483" s="60"/>
      <c r="MHP2483" s="60"/>
      <c r="MHQ2483" s="66"/>
      <c r="MHR2483" s="61"/>
      <c r="MHS2483" s="56"/>
      <c r="MHT2483" s="56"/>
      <c r="MHU2483" s="66"/>
      <c r="MHV2483" s="60"/>
      <c r="MHW2483" s="60"/>
      <c r="MHX2483" s="60"/>
      <c r="MHY2483" s="66"/>
      <c r="MHZ2483" s="61"/>
      <c r="MIA2483" s="56"/>
      <c r="MIB2483" s="56"/>
      <c r="MIC2483" s="66"/>
      <c r="MID2483" s="60"/>
      <c r="MIE2483" s="60"/>
      <c r="MIF2483" s="60"/>
      <c r="MIG2483" s="66"/>
      <c r="MIH2483" s="61"/>
      <c r="MII2483" s="56"/>
      <c r="MIJ2483" s="56"/>
      <c r="MIK2483" s="66"/>
      <c r="MIL2483" s="60"/>
      <c r="MIM2483" s="60"/>
      <c r="MIN2483" s="60"/>
      <c r="MIO2483" s="66"/>
      <c r="MIP2483" s="61"/>
      <c r="MIQ2483" s="56"/>
      <c r="MIR2483" s="56"/>
      <c r="MIS2483" s="66"/>
      <c r="MIT2483" s="60"/>
      <c r="MIU2483" s="60"/>
      <c r="MIV2483" s="60"/>
      <c r="MIW2483" s="66"/>
      <c r="MIX2483" s="61"/>
      <c r="MIY2483" s="56"/>
      <c r="MIZ2483" s="56"/>
      <c r="MJA2483" s="66"/>
      <c r="MJB2483" s="60"/>
      <c r="MJC2483" s="60"/>
      <c r="MJD2483" s="60"/>
      <c r="MJE2483" s="66"/>
      <c r="MJF2483" s="61"/>
      <c r="MJG2483" s="56"/>
      <c r="MJH2483" s="56"/>
      <c r="MJI2483" s="66"/>
      <c r="MJJ2483" s="60"/>
      <c r="MJK2483" s="60"/>
      <c r="MJL2483" s="60"/>
      <c r="MJM2483" s="66"/>
      <c r="MJN2483" s="61"/>
      <c r="MJO2483" s="56"/>
      <c r="MJP2483" s="56"/>
      <c r="MJQ2483" s="66"/>
      <c r="MJR2483" s="60"/>
      <c r="MJS2483" s="60"/>
      <c r="MJT2483" s="60"/>
      <c r="MJU2483" s="66"/>
      <c r="MJV2483" s="61"/>
      <c r="MJW2483" s="56"/>
      <c r="MJX2483" s="56"/>
      <c r="MJY2483" s="66"/>
      <c r="MJZ2483" s="60"/>
      <c r="MKA2483" s="60"/>
      <c r="MKB2483" s="60"/>
      <c r="MKC2483" s="66"/>
      <c r="MKD2483" s="61"/>
      <c r="MKE2483" s="56"/>
      <c r="MKF2483" s="56"/>
      <c r="MKG2483" s="66"/>
      <c r="MKH2483" s="60"/>
      <c r="MKI2483" s="60"/>
      <c r="MKJ2483" s="60"/>
      <c r="MKK2483" s="66"/>
      <c r="MKL2483" s="61"/>
      <c r="MKM2483" s="56"/>
      <c r="MKN2483" s="56"/>
      <c r="MKO2483" s="66"/>
      <c r="MKP2483" s="60"/>
      <c r="MKQ2483" s="60"/>
      <c r="MKR2483" s="60"/>
      <c r="MKS2483" s="66"/>
      <c r="MKT2483" s="61"/>
      <c r="MKU2483" s="56"/>
      <c r="MKV2483" s="56"/>
      <c r="MKW2483" s="66"/>
      <c r="MKX2483" s="60"/>
      <c r="MKY2483" s="60"/>
      <c r="MKZ2483" s="60"/>
      <c r="MLA2483" s="66"/>
      <c r="MLB2483" s="61"/>
      <c r="MLC2483" s="56"/>
      <c r="MLD2483" s="56"/>
      <c r="MLE2483" s="66"/>
      <c r="MLF2483" s="60"/>
      <c r="MLG2483" s="60"/>
      <c r="MLH2483" s="60"/>
      <c r="MLI2483" s="66"/>
      <c r="MLJ2483" s="61"/>
      <c r="MLK2483" s="56"/>
      <c r="MLL2483" s="56"/>
      <c r="MLM2483" s="66"/>
      <c r="MLN2483" s="60"/>
      <c r="MLO2483" s="60"/>
      <c r="MLP2483" s="60"/>
      <c r="MLQ2483" s="66"/>
      <c r="MLR2483" s="61"/>
      <c r="MLS2483" s="56"/>
      <c r="MLT2483" s="56"/>
      <c r="MLU2483" s="66"/>
      <c r="MLV2483" s="60"/>
      <c r="MLW2483" s="60"/>
      <c r="MLX2483" s="60"/>
      <c r="MLY2483" s="66"/>
      <c r="MLZ2483" s="61"/>
      <c r="MMA2483" s="56"/>
      <c r="MMB2483" s="56"/>
      <c r="MMC2483" s="66"/>
      <c r="MMD2483" s="60"/>
      <c r="MME2483" s="60"/>
      <c r="MMF2483" s="60"/>
      <c r="MMG2483" s="66"/>
      <c r="MMH2483" s="61"/>
      <c r="MMI2483" s="56"/>
      <c r="MMJ2483" s="56"/>
      <c r="MMK2483" s="66"/>
      <c r="MML2483" s="60"/>
      <c r="MMM2483" s="60"/>
      <c r="MMN2483" s="60"/>
      <c r="MMO2483" s="66"/>
      <c r="MMP2483" s="61"/>
      <c r="MMQ2483" s="56"/>
      <c r="MMR2483" s="56"/>
      <c r="MMS2483" s="66"/>
      <c r="MMT2483" s="60"/>
      <c r="MMU2483" s="60"/>
      <c r="MMV2483" s="60"/>
      <c r="MMW2483" s="66"/>
      <c r="MMX2483" s="61"/>
      <c r="MMY2483" s="56"/>
      <c r="MMZ2483" s="56"/>
      <c r="MNA2483" s="66"/>
      <c r="MNB2483" s="60"/>
      <c r="MNC2483" s="60"/>
      <c r="MND2483" s="60"/>
      <c r="MNE2483" s="66"/>
      <c r="MNF2483" s="61"/>
      <c r="MNG2483" s="56"/>
      <c r="MNH2483" s="56"/>
      <c r="MNI2483" s="66"/>
      <c r="MNJ2483" s="60"/>
      <c r="MNK2483" s="60"/>
      <c r="MNL2483" s="60"/>
      <c r="MNM2483" s="66"/>
      <c r="MNN2483" s="61"/>
      <c r="MNO2483" s="56"/>
      <c r="MNP2483" s="56"/>
      <c r="MNQ2483" s="66"/>
      <c r="MNR2483" s="60"/>
      <c r="MNS2483" s="60"/>
      <c r="MNT2483" s="60"/>
      <c r="MNU2483" s="66"/>
      <c r="MNV2483" s="61"/>
      <c r="MNW2483" s="56"/>
      <c r="MNX2483" s="56"/>
      <c r="MNY2483" s="66"/>
      <c r="MNZ2483" s="60"/>
      <c r="MOA2483" s="60"/>
      <c r="MOB2483" s="60"/>
      <c r="MOC2483" s="66"/>
      <c r="MOD2483" s="61"/>
      <c r="MOE2483" s="56"/>
      <c r="MOF2483" s="56"/>
      <c r="MOG2483" s="66"/>
      <c r="MOH2483" s="60"/>
      <c r="MOI2483" s="60"/>
      <c r="MOJ2483" s="60"/>
      <c r="MOK2483" s="66"/>
      <c r="MOL2483" s="61"/>
      <c r="MOM2483" s="56"/>
      <c r="MON2483" s="56"/>
      <c r="MOO2483" s="66"/>
      <c r="MOP2483" s="60"/>
      <c r="MOQ2483" s="60"/>
      <c r="MOR2483" s="60"/>
      <c r="MOS2483" s="66"/>
      <c r="MOT2483" s="61"/>
      <c r="MOU2483" s="56"/>
      <c r="MOV2483" s="56"/>
      <c r="MOW2483" s="66"/>
      <c r="MOX2483" s="60"/>
      <c r="MOY2483" s="60"/>
      <c r="MOZ2483" s="60"/>
      <c r="MPA2483" s="66"/>
      <c r="MPB2483" s="61"/>
      <c r="MPC2483" s="56"/>
      <c r="MPD2483" s="56"/>
      <c r="MPE2483" s="66"/>
      <c r="MPF2483" s="60"/>
      <c r="MPG2483" s="60"/>
      <c r="MPH2483" s="60"/>
      <c r="MPI2483" s="66"/>
      <c r="MPJ2483" s="61"/>
      <c r="MPK2483" s="56"/>
      <c r="MPL2483" s="56"/>
      <c r="MPM2483" s="66"/>
      <c r="MPN2483" s="60"/>
      <c r="MPO2483" s="60"/>
      <c r="MPP2483" s="60"/>
      <c r="MPQ2483" s="66"/>
      <c r="MPR2483" s="61"/>
      <c r="MPS2483" s="56"/>
      <c r="MPT2483" s="56"/>
      <c r="MPU2483" s="66"/>
      <c r="MPV2483" s="60"/>
      <c r="MPW2483" s="60"/>
      <c r="MPX2483" s="60"/>
      <c r="MPY2483" s="66"/>
      <c r="MPZ2483" s="61"/>
      <c r="MQA2483" s="56"/>
      <c r="MQB2483" s="56"/>
      <c r="MQC2483" s="66"/>
      <c r="MQD2483" s="60"/>
      <c r="MQE2483" s="60"/>
      <c r="MQF2483" s="60"/>
      <c r="MQG2483" s="66"/>
      <c r="MQH2483" s="61"/>
      <c r="MQI2483" s="56"/>
      <c r="MQJ2483" s="56"/>
      <c r="MQK2483" s="66"/>
      <c r="MQL2483" s="60"/>
      <c r="MQM2483" s="60"/>
      <c r="MQN2483" s="60"/>
      <c r="MQO2483" s="66"/>
      <c r="MQP2483" s="61"/>
      <c r="MQQ2483" s="56"/>
      <c r="MQR2483" s="56"/>
      <c r="MQS2483" s="66"/>
      <c r="MQT2483" s="60"/>
      <c r="MQU2483" s="60"/>
      <c r="MQV2483" s="60"/>
      <c r="MQW2483" s="66"/>
      <c r="MQX2483" s="61"/>
      <c r="MQY2483" s="56"/>
      <c r="MQZ2483" s="56"/>
      <c r="MRA2483" s="66"/>
      <c r="MRB2483" s="60"/>
      <c r="MRC2483" s="60"/>
      <c r="MRD2483" s="60"/>
      <c r="MRE2483" s="66"/>
      <c r="MRF2483" s="61"/>
      <c r="MRG2483" s="56"/>
      <c r="MRH2483" s="56"/>
      <c r="MRI2483" s="66"/>
      <c r="MRJ2483" s="60"/>
      <c r="MRK2483" s="60"/>
      <c r="MRL2483" s="60"/>
      <c r="MRM2483" s="66"/>
      <c r="MRN2483" s="61"/>
      <c r="MRO2483" s="56"/>
      <c r="MRP2483" s="56"/>
      <c r="MRQ2483" s="66"/>
      <c r="MRR2483" s="60"/>
      <c r="MRS2483" s="60"/>
      <c r="MRT2483" s="60"/>
      <c r="MRU2483" s="66"/>
      <c r="MRV2483" s="61"/>
      <c r="MRW2483" s="56"/>
      <c r="MRX2483" s="56"/>
      <c r="MRY2483" s="66"/>
      <c r="MRZ2483" s="60"/>
      <c r="MSA2483" s="60"/>
      <c r="MSB2483" s="60"/>
      <c r="MSC2483" s="66"/>
      <c r="MSD2483" s="61"/>
      <c r="MSE2483" s="56"/>
      <c r="MSF2483" s="56"/>
      <c r="MSG2483" s="66"/>
      <c r="MSH2483" s="60"/>
      <c r="MSI2483" s="60"/>
      <c r="MSJ2483" s="60"/>
      <c r="MSK2483" s="66"/>
      <c r="MSL2483" s="61"/>
      <c r="MSM2483" s="56"/>
      <c r="MSN2483" s="56"/>
      <c r="MSO2483" s="66"/>
      <c r="MSP2483" s="60"/>
      <c r="MSQ2483" s="60"/>
      <c r="MSR2483" s="60"/>
      <c r="MSS2483" s="66"/>
      <c r="MST2483" s="61"/>
      <c r="MSU2483" s="56"/>
      <c r="MSV2483" s="56"/>
      <c r="MSW2483" s="66"/>
      <c r="MSX2483" s="60"/>
      <c r="MSY2483" s="60"/>
      <c r="MSZ2483" s="60"/>
      <c r="MTA2483" s="66"/>
      <c r="MTB2483" s="61"/>
      <c r="MTC2483" s="56"/>
      <c r="MTD2483" s="56"/>
      <c r="MTE2483" s="66"/>
      <c r="MTF2483" s="60"/>
      <c r="MTG2483" s="60"/>
      <c r="MTH2483" s="60"/>
      <c r="MTI2483" s="66"/>
      <c r="MTJ2483" s="61"/>
      <c r="MTK2483" s="56"/>
      <c r="MTL2483" s="56"/>
      <c r="MTM2483" s="66"/>
      <c r="MTN2483" s="60"/>
      <c r="MTO2483" s="60"/>
      <c r="MTP2483" s="60"/>
      <c r="MTQ2483" s="66"/>
      <c r="MTR2483" s="61"/>
      <c r="MTS2483" s="56"/>
      <c r="MTT2483" s="56"/>
      <c r="MTU2483" s="66"/>
      <c r="MTV2483" s="60"/>
      <c r="MTW2483" s="60"/>
      <c r="MTX2483" s="60"/>
      <c r="MTY2483" s="66"/>
      <c r="MTZ2483" s="61"/>
      <c r="MUA2483" s="56"/>
      <c r="MUB2483" s="56"/>
      <c r="MUC2483" s="66"/>
      <c r="MUD2483" s="60"/>
      <c r="MUE2483" s="60"/>
      <c r="MUF2483" s="60"/>
      <c r="MUG2483" s="66"/>
      <c r="MUH2483" s="61"/>
      <c r="MUI2483" s="56"/>
      <c r="MUJ2483" s="56"/>
      <c r="MUK2483" s="66"/>
      <c r="MUL2483" s="60"/>
      <c r="MUM2483" s="60"/>
      <c r="MUN2483" s="60"/>
      <c r="MUO2483" s="66"/>
      <c r="MUP2483" s="61"/>
      <c r="MUQ2483" s="56"/>
      <c r="MUR2483" s="56"/>
      <c r="MUS2483" s="66"/>
      <c r="MUT2483" s="60"/>
      <c r="MUU2483" s="60"/>
      <c r="MUV2483" s="60"/>
      <c r="MUW2483" s="66"/>
      <c r="MUX2483" s="61"/>
      <c r="MUY2483" s="56"/>
      <c r="MUZ2483" s="56"/>
      <c r="MVA2483" s="66"/>
      <c r="MVB2483" s="60"/>
      <c r="MVC2483" s="60"/>
      <c r="MVD2483" s="60"/>
      <c r="MVE2483" s="66"/>
      <c r="MVF2483" s="61"/>
      <c r="MVG2483" s="56"/>
      <c r="MVH2483" s="56"/>
      <c r="MVI2483" s="66"/>
      <c r="MVJ2483" s="60"/>
      <c r="MVK2483" s="60"/>
      <c r="MVL2483" s="60"/>
      <c r="MVM2483" s="66"/>
      <c r="MVN2483" s="61"/>
      <c r="MVO2483" s="56"/>
      <c r="MVP2483" s="56"/>
      <c r="MVQ2483" s="66"/>
      <c r="MVR2483" s="60"/>
      <c r="MVS2483" s="60"/>
      <c r="MVT2483" s="60"/>
      <c r="MVU2483" s="66"/>
      <c r="MVV2483" s="61"/>
      <c r="MVW2483" s="56"/>
      <c r="MVX2483" s="56"/>
      <c r="MVY2483" s="66"/>
      <c r="MVZ2483" s="60"/>
      <c r="MWA2483" s="60"/>
      <c r="MWB2483" s="60"/>
      <c r="MWC2483" s="66"/>
      <c r="MWD2483" s="61"/>
      <c r="MWE2483" s="56"/>
      <c r="MWF2483" s="56"/>
      <c r="MWG2483" s="66"/>
      <c r="MWH2483" s="60"/>
      <c r="MWI2483" s="60"/>
      <c r="MWJ2483" s="60"/>
      <c r="MWK2483" s="66"/>
      <c r="MWL2483" s="61"/>
      <c r="MWM2483" s="56"/>
      <c r="MWN2483" s="56"/>
      <c r="MWO2483" s="66"/>
      <c r="MWP2483" s="60"/>
      <c r="MWQ2483" s="60"/>
      <c r="MWR2483" s="60"/>
      <c r="MWS2483" s="66"/>
      <c r="MWT2483" s="61"/>
      <c r="MWU2483" s="56"/>
      <c r="MWV2483" s="56"/>
      <c r="MWW2483" s="66"/>
      <c r="MWX2483" s="60"/>
      <c r="MWY2483" s="60"/>
      <c r="MWZ2483" s="60"/>
      <c r="MXA2483" s="66"/>
      <c r="MXB2483" s="61"/>
      <c r="MXC2483" s="56"/>
      <c r="MXD2483" s="56"/>
      <c r="MXE2483" s="66"/>
      <c r="MXF2483" s="60"/>
      <c r="MXG2483" s="60"/>
      <c r="MXH2483" s="60"/>
      <c r="MXI2483" s="66"/>
      <c r="MXJ2483" s="61"/>
      <c r="MXK2483" s="56"/>
      <c r="MXL2483" s="56"/>
      <c r="MXM2483" s="66"/>
      <c r="MXN2483" s="60"/>
      <c r="MXO2483" s="60"/>
      <c r="MXP2483" s="60"/>
      <c r="MXQ2483" s="66"/>
      <c r="MXR2483" s="61"/>
      <c r="MXS2483" s="56"/>
      <c r="MXT2483" s="56"/>
      <c r="MXU2483" s="66"/>
      <c r="MXV2483" s="60"/>
      <c r="MXW2483" s="60"/>
      <c r="MXX2483" s="60"/>
      <c r="MXY2483" s="66"/>
      <c r="MXZ2483" s="61"/>
      <c r="MYA2483" s="56"/>
      <c r="MYB2483" s="56"/>
      <c r="MYC2483" s="66"/>
      <c r="MYD2483" s="60"/>
      <c r="MYE2483" s="60"/>
      <c r="MYF2483" s="60"/>
      <c r="MYG2483" s="66"/>
      <c r="MYH2483" s="61"/>
      <c r="MYI2483" s="56"/>
      <c r="MYJ2483" s="56"/>
      <c r="MYK2483" s="66"/>
      <c r="MYL2483" s="60"/>
      <c r="MYM2483" s="60"/>
      <c r="MYN2483" s="60"/>
      <c r="MYO2483" s="66"/>
      <c r="MYP2483" s="61"/>
      <c r="MYQ2483" s="56"/>
      <c r="MYR2483" s="56"/>
      <c r="MYS2483" s="66"/>
      <c r="MYT2483" s="60"/>
      <c r="MYU2483" s="60"/>
      <c r="MYV2483" s="60"/>
      <c r="MYW2483" s="66"/>
      <c r="MYX2483" s="61"/>
      <c r="MYY2483" s="56"/>
      <c r="MYZ2483" s="56"/>
      <c r="MZA2483" s="66"/>
      <c r="MZB2483" s="60"/>
      <c r="MZC2483" s="60"/>
      <c r="MZD2483" s="60"/>
      <c r="MZE2483" s="66"/>
      <c r="MZF2483" s="61"/>
      <c r="MZG2483" s="56"/>
      <c r="MZH2483" s="56"/>
      <c r="MZI2483" s="66"/>
      <c r="MZJ2483" s="60"/>
      <c r="MZK2483" s="60"/>
      <c r="MZL2483" s="60"/>
      <c r="MZM2483" s="66"/>
      <c r="MZN2483" s="61"/>
      <c r="MZO2483" s="56"/>
      <c r="MZP2483" s="56"/>
      <c r="MZQ2483" s="66"/>
      <c r="MZR2483" s="60"/>
      <c r="MZS2483" s="60"/>
      <c r="MZT2483" s="60"/>
      <c r="MZU2483" s="66"/>
      <c r="MZV2483" s="61"/>
      <c r="MZW2483" s="56"/>
      <c r="MZX2483" s="56"/>
      <c r="MZY2483" s="66"/>
      <c r="MZZ2483" s="60"/>
      <c r="NAA2483" s="60"/>
      <c r="NAB2483" s="60"/>
      <c r="NAC2483" s="66"/>
      <c r="NAD2483" s="61"/>
      <c r="NAE2483" s="56"/>
      <c r="NAF2483" s="56"/>
      <c r="NAG2483" s="66"/>
      <c r="NAH2483" s="60"/>
      <c r="NAI2483" s="60"/>
      <c r="NAJ2483" s="60"/>
      <c r="NAK2483" s="66"/>
      <c r="NAL2483" s="61"/>
      <c r="NAM2483" s="56"/>
      <c r="NAN2483" s="56"/>
      <c r="NAO2483" s="66"/>
      <c r="NAP2483" s="60"/>
      <c r="NAQ2483" s="60"/>
      <c r="NAR2483" s="60"/>
      <c r="NAS2483" s="66"/>
      <c r="NAT2483" s="61"/>
      <c r="NAU2483" s="56"/>
      <c r="NAV2483" s="56"/>
      <c r="NAW2483" s="66"/>
      <c r="NAX2483" s="60"/>
      <c r="NAY2483" s="60"/>
      <c r="NAZ2483" s="60"/>
      <c r="NBA2483" s="66"/>
      <c r="NBB2483" s="61"/>
      <c r="NBC2483" s="56"/>
      <c r="NBD2483" s="56"/>
      <c r="NBE2483" s="66"/>
      <c r="NBF2483" s="60"/>
      <c r="NBG2483" s="60"/>
      <c r="NBH2483" s="60"/>
      <c r="NBI2483" s="66"/>
      <c r="NBJ2483" s="61"/>
      <c r="NBK2483" s="56"/>
      <c r="NBL2483" s="56"/>
      <c r="NBM2483" s="66"/>
      <c r="NBN2483" s="60"/>
      <c r="NBO2483" s="60"/>
      <c r="NBP2483" s="60"/>
      <c r="NBQ2483" s="66"/>
      <c r="NBR2483" s="61"/>
      <c r="NBS2483" s="56"/>
      <c r="NBT2483" s="56"/>
      <c r="NBU2483" s="66"/>
      <c r="NBV2483" s="60"/>
      <c r="NBW2483" s="60"/>
      <c r="NBX2483" s="60"/>
      <c r="NBY2483" s="66"/>
      <c r="NBZ2483" s="61"/>
      <c r="NCA2483" s="56"/>
      <c r="NCB2483" s="56"/>
      <c r="NCC2483" s="66"/>
      <c r="NCD2483" s="60"/>
      <c r="NCE2483" s="60"/>
      <c r="NCF2483" s="60"/>
      <c r="NCG2483" s="66"/>
      <c r="NCH2483" s="61"/>
      <c r="NCI2483" s="56"/>
      <c r="NCJ2483" s="56"/>
      <c r="NCK2483" s="66"/>
      <c r="NCL2483" s="60"/>
      <c r="NCM2483" s="60"/>
      <c r="NCN2483" s="60"/>
      <c r="NCO2483" s="66"/>
      <c r="NCP2483" s="61"/>
      <c r="NCQ2483" s="56"/>
      <c r="NCR2483" s="56"/>
      <c r="NCS2483" s="66"/>
      <c r="NCT2483" s="60"/>
      <c r="NCU2483" s="60"/>
      <c r="NCV2483" s="60"/>
      <c r="NCW2483" s="66"/>
      <c r="NCX2483" s="61"/>
      <c r="NCY2483" s="56"/>
      <c r="NCZ2483" s="56"/>
      <c r="NDA2483" s="66"/>
      <c r="NDB2483" s="60"/>
      <c r="NDC2483" s="60"/>
      <c r="NDD2483" s="60"/>
      <c r="NDE2483" s="66"/>
      <c r="NDF2483" s="61"/>
      <c r="NDG2483" s="56"/>
      <c r="NDH2483" s="56"/>
      <c r="NDI2483" s="66"/>
      <c r="NDJ2483" s="60"/>
      <c r="NDK2483" s="60"/>
      <c r="NDL2483" s="60"/>
      <c r="NDM2483" s="66"/>
      <c r="NDN2483" s="61"/>
      <c r="NDO2483" s="56"/>
      <c r="NDP2483" s="56"/>
      <c r="NDQ2483" s="66"/>
      <c r="NDR2483" s="60"/>
      <c r="NDS2483" s="60"/>
      <c r="NDT2483" s="60"/>
      <c r="NDU2483" s="66"/>
      <c r="NDV2483" s="61"/>
      <c r="NDW2483" s="56"/>
      <c r="NDX2483" s="56"/>
      <c r="NDY2483" s="66"/>
      <c r="NDZ2483" s="60"/>
      <c r="NEA2483" s="60"/>
      <c r="NEB2483" s="60"/>
      <c r="NEC2483" s="66"/>
      <c r="NED2483" s="61"/>
      <c r="NEE2483" s="56"/>
      <c r="NEF2483" s="56"/>
      <c r="NEG2483" s="66"/>
      <c r="NEH2483" s="60"/>
      <c r="NEI2483" s="60"/>
      <c r="NEJ2483" s="60"/>
      <c r="NEK2483" s="66"/>
      <c r="NEL2483" s="61"/>
      <c r="NEM2483" s="56"/>
      <c r="NEN2483" s="56"/>
      <c r="NEO2483" s="66"/>
      <c r="NEP2483" s="60"/>
      <c r="NEQ2483" s="60"/>
      <c r="NER2483" s="60"/>
      <c r="NES2483" s="66"/>
      <c r="NET2483" s="61"/>
      <c r="NEU2483" s="56"/>
      <c r="NEV2483" s="56"/>
      <c r="NEW2483" s="66"/>
      <c r="NEX2483" s="60"/>
      <c r="NEY2483" s="60"/>
      <c r="NEZ2483" s="60"/>
      <c r="NFA2483" s="66"/>
      <c r="NFB2483" s="61"/>
      <c r="NFC2483" s="56"/>
      <c r="NFD2483" s="56"/>
      <c r="NFE2483" s="66"/>
      <c r="NFF2483" s="60"/>
      <c r="NFG2483" s="60"/>
      <c r="NFH2483" s="60"/>
      <c r="NFI2483" s="66"/>
      <c r="NFJ2483" s="61"/>
      <c r="NFK2483" s="56"/>
      <c r="NFL2483" s="56"/>
      <c r="NFM2483" s="66"/>
      <c r="NFN2483" s="60"/>
      <c r="NFO2483" s="60"/>
      <c r="NFP2483" s="60"/>
      <c r="NFQ2483" s="66"/>
      <c r="NFR2483" s="61"/>
      <c r="NFS2483" s="56"/>
      <c r="NFT2483" s="56"/>
      <c r="NFU2483" s="66"/>
      <c r="NFV2483" s="60"/>
      <c r="NFW2483" s="60"/>
      <c r="NFX2483" s="60"/>
      <c r="NFY2483" s="66"/>
      <c r="NFZ2483" s="61"/>
      <c r="NGA2483" s="56"/>
      <c r="NGB2483" s="56"/>
      <c r="NGC2483" s="66"/>
      <c r="NGD2483" s="60"/>
      <c r="NGE2483" s="60"/>
      <c r="NGF2483" s="60"/>
      <c r="NGG2483" s="66"/>
      <c r="NGH2483" s="61"/>
      <c r="NGI2483" s="56"/>
      <c r="NGJ2483" s="56"/>
      <c r="NGK2483" s="66"/>
      <c r="NGL2483" s="60"/>
      <c r="NGM2483" s="60"/>
      <c r="NGN2483" s="60"/>
      <c r="NGO2483" s="66"/>
      <c r="NGP2483" s="61"/>
      <c r="NGQ2483" s="56"/>
      <c r="NGR2483" s="56"/>
      <c r="NGS2483" s="66"/>
      <c r="NGT2483" s="60"/>
      <c r="NGU2483" s="60"/>
      <c r="NGV2483" s="60"/>
      <c r="NGW2483" s="66"/>
      <c r="NGX2483" s="61"/>
      <c r="NGY2483" s="56"/>
      <c r="NGZ2483" s="56"/>
      <c r="NHA2483" s="66"/>
      <c r="NHB2483" s="60"/>
      <c r="NHC2483" s="60"/>
      <c r="NHD2483" s="60"/>
      <c r="NHE2483" s="66"/>
      <c r="NHF2483" s="61"/>
      <c r="NHG2483" s="56"/>
      <c r="NHH2483" s="56"/>
      <c r="NHI2483" s="66"/>
      <c r="NHJ2483" s="60"/>
      <c r="NHK2483" s="60"/>
      <c r="NHL2483" s="60"/>
      <c r="NHM2483" s="66"/>
      <c r="NHN2483" s="61"/>
      <c r="NHO2483" s="56"/>
      <c r="NHP2483" s="56"/>
      <c r="NHQ2483" s="66"/>
      <c r="NHR2483" s="60"/>
      <c r="NHS2483" s="60"/>
      <c r="NHT2483" s="60"/>
      <c r="NHU2483" s="66"/>
      <c r="NHV2483" s="61"/>
      <c r="NHW2483" s="56"/>
      <c r="NHX2483" s="56"/>
      <c r="NHY2483" s="66"/>
      <c r="NHZ2483" s="60"/>
      <c r="NIA2483" s="60"/>
      <c r="NIB2483" s="60"/>
      <c r="NIC2483" s="66"/>
      <c r="NID2483" s="61"/>
      <c r="NIE2483" s="56"/>
      <c r="NIF2483" s="56"/>
      <c r="NIG2483" s="66"/>
      <c r="NIH2483" s="60"/>
      <c r="NII2483" s="60"/>
      <c r="NIJ2483" s="60"/>
      <c r="NIK2483" s="66"/>
      <c r="NIL2483" s="61"/>
      <c r="NIM2483" s="56"/>
      <c r="NIN2483" s="56"/>
      <c r="NIO2483" s="66"/>
      <c r="NIP2483" s="60"/>
      <c r="NIQ2483" s="60"/>
      <c r="NIR2483" s="60"/>
      <c r="NIS2483" s="66"/>
      <c r="NIT2483" s="61"/>
      <c r="NIU2483" s="56"/>
      <c r="NIV2483" s="56"/>
      <c r="NIW2483" s="66"/>
      <c r="NIX2483" s="60"/>
      <c r="NIY2483" s="60"/>
      <c r="NIZ2483" s="60"/>
      <c r="NJA2483" s="66"/>
      <c r="NJB2483" s="61"/>
      <c r="NJC2483" s="56"/>
      <c r="NJD2483" s="56"/>
      <c r="NJE2483" s="66"/>
      <c r="NJF2483" s="60"/>
      <c r="NJG2483" s="60"/>
      <c r="NJH2483" s="60"/>
      <c r="NJI2483" s="66"/>
      <c r="NJJ2483" s="61"/>
      <c r="NJK2483" s="56"/>
      <c r="NJL2483" s="56"/>
      <c r="NJM2483" s="66"/>
      <c r="NJN2483" s="60"/>
      <c r="NJO2483" s="60"/>
      <c r="NJP2483" s="60"/>
      <c r="NJQ2483" s="66"/>
      <c r="NJR2483" s="61"/>
      <c r="NJS2483" s="56"/>
      <c r="NJT2483" s="56"/>
      <c r="NJU2483" s="66"/>
      <c r="NJV2483" s="60"/>
      <c r="NJW2483" s="60"/>
      <c r="NJX2483" s="60"/>
      <c r="NJY2483" s="66"/>
      <c r="NJZ2483" s="61"/>
      <c r="NKA2483" s="56"/>
      <c r="NKB2483" s="56"/>
      <c r="NKC2483" s="66"/>
      <c r="NKD2483" s="60"/>
      <c r="NKE2483" s="60"/>
      <c r="NKF2483" s="60"/>
      <c r="NKG2483" s="66"/>
      <c r="NKH2483" s="61"/>
      <c r="NKI2483" s="56"/>
      <c r="NKJ2483" s="56"/>
      <c r="NKK2483" s="66"/>
      <c r="NKL2483" s="60"/>
      <c r="NKM2483" s="60"/>
      <c r="NKN2483" s="60"/>
      <c r="NKO2483" s="66"/>
      <c r="NKP2483" s="61"/>
      <c r="NKQ2483" s="56"/>
      <c r="NKR2483" s="56"/>
      <c r="NKS2483" s="66"/>
      <c r="NKT2483" s="60"/>
      <c r="NKU2483" s="60"/>
      <c r="NKV2483" s="60"/>
      <c r="NKW2483" s="66"/>
      <c r="NKX2483" s="61"/>
      <c r="NKY2483" s="56"/>
      <c r="NKZ2483" s="56"/>
      <c r="NLA2483" s="66"/>
      <c r="NLB2483" s="60"/>
      <c r="NLC2483" s="60"/>
      <c r="NLD2483" s="60"/>
      <c r="NLE2483" s="66"/>
      <c r="NLF2483" s="61"/>
      <c r="NLG2483" s="56"/>
      <c r="NLH2483" s="56"/>
      <c r="NLI2483" s="66"/>
      <c r="NLJ2483" s="60"/>
      <c r="NLK2483" s="60"/>
      <c r="NLL2483" s="60"/>
      <c r="NLM2483" s="66"/>
      <c r="NLN2483" s="61"/>
      <c r="NLO2483" s="56"/>
      <c r="NLP2483" s="56"/>
      <c r="NLQ2483" s="66"/>
      <c r="NLR2483" s="60"/>
      <c r="NLS2483" s="60"/>
      <c r="NLT2483" s="60"/>
      <c r="NLU2483" s="66"/>
      <c r="NLV2483" s="61"/>
      <c r="NLW2483" s="56"/>
      <c r="NLX2483" s="56"/>
      <c r="NLY2483" s="66"/>
      <c r="NLZ2483" s="60"/>
      <c r="NMA2483" s="60"/>
      <c r="NMB2483" s="60"/>
      <c r="NMC2483" s="66"/>
      <c r="NMD2483" s="61"/>
      <c r="NME2483" s="56"/>
      <c r="NMF2483" s="56"/>
      <c r="NMG2483" s="66"/>
      <c r="NMH2483" s="60"/>
      <c r="NMI2483" s="60"/>
      <c r="NMJ2483" s="60"/>
      <c r="NMK2483" s="66"/>
      <c r="NML2483" s="61"/>
      <c r="NMM2483" s="56"/>
      <c r="NMN2483" s="56"/>
      <c r="NMO2483" s="66"/>
      <c r="NMP2483" s="60"/>
      <c r="NMQ2483" s="60"/>
      <c r="NMR2483" s="60"/>
      <c r="NMS2483" s="66"/>
      <c r="NMT2483" s="61"/>
      <c r="NMU2483" s="56"/>
      <c r="NMV2483" s="56"/>
      <c r="NMW2483" s="66"/>
      <c r="NMX2483" s="60"/>
      <c r="NMY2483" s="60"/>
      <c r="NMZ2483" s="60"/>
      <c r="NNA2483" s="66"/>
      <c r="NNB2483" s="61"/>
      <c r="NNC2483" s="56"/>
      <c r="NND2483" s="56"/>
      <c r="NNE2483" s="66"/>
      <c r="NNF2483" s="60"/>
      <c r="NNG2483" s="60"/>
      <c r="NNH2483" s="60"/>
      <c r="NNI2483" s="66"/>
      <c r="NNJ2483" s="61"/>
      <c r="NNK2483" s="56"/>
      <c r="NNL2483" s="56"/>
      <c r="NNM2483" s="66"/>
      <c r="NNN2483" s="60"/>
      <c r="NNO2483" s="60"/>
      <c r="NNP2483" s="60"/>
      <c r="NNQ2483" s="66"/>
      <c r="NNR2483" s="61"/>
      <c r="NNS2483" s="56"/>
      <c r="NNT2483" s="56"/>
      <c r="NNU2483" s="66"/>
      <c r="NNV2483" s="60"/>
      <c r="NNW2483" s="60"/>
      <c r="NNX2483" s="60"/>
      <c r="NNY2483" s="66"/>
      <c r="NNZ2483" s="61"/>
      <c r="NOA2483" s="56"/>
      <c r="NOB2483" s="56"/>
      <c r="NOC2483" s="66"/>
      <c r="NOD2483" s="60"/>
      <c r="NOE2483" s="60"/>
      <c r="NOF2483" s="60"/>
      <c r="NOG2483" s="66"/>
      <c r="NOH2483" s="61"/>
      <c r="NOI2483" s="56"/>
      <c r="NOJ2483" s="56"/>
      <c r="NOK2483" s="66"/>
      <c r="NOL2483" s="60"/>
      <c r="NOM2483" s="60"/>
      <c r="NON2483" s="60"/>
      <c r="NOO2483" s="66"/>
      <c r="NOP2483" s="61"/>
      <c r="NOQ2483" s="56"/>
      <c r="NOR2483" s="56"/>
      <c r="NOS2483" s="66"/>
      <c r="NOT2483" s="60"/>
      <c r="NOU2483" s="60"/>
      <c r="NOV2483" s="60"/>
      <c r="NOW2483" s="66"/>
      <c r="NOX2483" s="61"/>
      <c r="NOY2483" s="56"/>
      <c r="NOZ2483" s="56"/>
      <c r="NPA2483" s="66"/>
      <c r="NPB2483" s="60"/>
      <c r="NPC2483" s="60"/>
      <c r="NPD2483" s="60"/>
      <c r="NPE2483" s="66"/>
      <c r="NPF2483" s="61"/>
      <c r="NPG2483" s="56"/>
      <c r="NPH2483" s="56"/>
      <c r="NPI2483" s="66"/>
      <c r="NPJ2483" s="60"/>
      <c r="NPK2483" s="60"/>
      <c r="NPL2483" s="60"/>
      <c r="NPM2483" s="66"/>
      <c r="NPN2483" s="61"/>
      <c r="NPO2483" s="56"/>
      <c r="NPP2483" s="56"/>
      <c r="NPQ2483" s="66"/>
      <c r="NPR2483" s="60"/>
      <c r="NPS2483" s="60"/>
      <c r="NPT2483" s="60"/>
      <c r="NPU2483" s="66"/>
      <c r="NPV2483" s="61"/>
      <c r="NPW2483" s="56"/>
      <c r="NPX2483" s="56"/>
      <c r="NPY2483" s="66"/>
      <c r="NPZ2483" s="60"/>
      <c r="NQA2483" s="60"/>
      <c r="NQB2483" s="60"/>
      <c r="NQC2483" s="66"/>
      <c r="NQD2483" s="61"/>
      <c r="NQE2483" s="56"/>
      <c r="NQF2483" s="56"/>
      <c r="NQG2483" s="66"/>
      <c r="NQH2483" s="60"/>
      <c r="NQI2483" s="60"/>
      <c r="NQJ2483" s="60"/>
      <c r="NQK2483" s="66"/>
      <c r="NQL2483" s="61"/>
      <c r="NQM2483" s="56"/>
      <c r="NQN2483" s="56"/>
      <c r="NQO2483" s="66"/>
      <c r="NQP2483" s="60"/>
      <c r="NQQ2483" s="60"/>
      <c r="NQR2483" s="60"/>
      <c r="NQS2483" s="66"/>
      <c r="NQT2483" s="61"/>
      <c r="NQU2483" s="56"/>
      <c r="NQV2483" s="56"/>
      <c r="NQW2483" s="66"/>
      <c r="NQX2483" s="60"/>
      <c r="NQY2483" s="60"/>
      <c r="NQZ2483" s="60"/>
      <c r="NRA2483" s="66"/>
      <c r="NRB2483" s="61"/>
      <c r="NRC2483" s="56"/>
      <c r="NRD2483" s="56"/>
      <c r="NRE2483" s="66"/>
      <c r="NRF2483" s="60"/>
      <c r="NRG2483" s="60"/>
      <c r="NRH2483" s="60"/>
      <c r="NRI2483" s="66"/>
      <c r="NRJ2483" s="61"/>
      <c r="NRK2483" s="56"/>
      <c r="NRL2483" s="56"/>
      <c r="NRM2483" s="66"/>
      <c r="NRN2483" s="60"/>
      <c r="NRO2483" s="60"/>
      <c r="NRP2483" s="60"/>
      <c r="NRQ2483" s="66"/>
      <c r="NRR2483" s="61"/>
      <c r="NRS2483" s="56"/>
      <c r="NRT2483" s="56"/>
      <c r="NRU2483" s="66"/>
      <c r="NRV2483" s="60"/>
      <c r="NRW2483" s="60"/>
      <c r="NRX2483" s="60"/>
      <c r="NRY2483" s="66"/>
      <c r="NRZ2483" s="61"/>
      <c r="NSA2483" s="56"/>
      <c r="NSB2483" s="56"/>
      <c r="NSC2483" s="66"/>
      <c r="NSD2483" s="60"/>
      <c r="NSE2483" s="60"/>
      <c r="NSF2483" s="60"/>
      <c r="NSG2483" s="66"/>
      <c r="NSH2483" s="61"/>
      <c r="NSI2483" s="56"/>
      <c r="NSJ2483" s="56"/>
      <c r="NSK2483" s="66"/>
      <c r="NSL2483" s="60"/>
      <c r="NSM2483" s="60"/>
      <c r="NSN2483" s="60"/>
      <c r="NSO2483" s="66"/>
      <c r="NSP2483" s="61"/>
      <c r="NSQ2483" s="56"/>
      <c r="NSR2483" s="56"/>
      <c r="NSS2483" s="66"/>
      <c r="NST2483" s="60"/>
      <c r="NSU2483" s="60"/>
      <c r="NSV2483" s="60"/>
      <c r="NSW2483" s="66"/>
      <c r="NSX2483" s="61"/>
      <c r="NSY2483" s="56"/>
      <c r="NSZ2483" s="56"/>
      <c r="NTA2483" s="66"/>
      <c r="NTB2483" s="60"/>
      <c r="NTC2483" s="60"/>
      <c r="NTD2483" s="60"/>
      <c r="NTE2483" s="66"/>
      <c r="NTF2483" s="61"/>
      <c r="NTG2483" s="56"/>
      <c r="NTH2483" s="56"/>
      <c r="NTI2483" s="66"/>
      <c r="NTJ2483" s="60"/>
      <c r="NTK2483" s="60"/>
      <c r="NTL2483" s="60"/>
      <c r="NTM2483" s="66"/>
      <c r="NTN2483" s="61"/>
      <c r="NTO2483" s="56"/>
      <c r="NTP2483" s="56"/>
      <c r="NTQ2483" s="66"/>
      <c r="NTR2483" s="60"/>
      <c r="NTS2483" s="60"/>
      <c r="NTT2483" s="60"/>
      <c r="NTU2483" s="66"/>
      <c r="NTV2483" s="61"/>
      <c r="NTW2483" s="56"/>
      <c r="NTX2483" s="56"/>
      <c r="NTY2483" s="66"/>
      <c r="NTZ2483" s="60"/>
      <c r="NUA2483" s="60"/>
      <c r="NUB2483" s="60"/>
      <c r="NUC2483" s="66"/>
      <c r="NUD2483" s="61"/>
      <c r="NUE2483" s="56"/>
      <c r="NUF2483" s="56"/>
      <c r="NUG2483" s="66"/>
      <c r="NUH2483" s="60"/>
      <c r="NUI2483" s="60"/>
      <c r="NUJ2483" s="60"/>
      <c r="NUK2483" s="66"/>
      <c r="NUL2483" s="61"/>
      <c r="NUM2483" s="56"/>
      <c r="NUN2483" s="56"/>
      <c r="NUO2483" s="66"/>
      <c r="NUP2483" s="60"/>
      <c r="NUQ2483" s="60"/>
      <c r="NUR2483" s="60"/>
      <c r="NUS2483" s="66"/>
      <c r="NUT2483" s="61"/>
      <c r="NUU2483" s="56"/>
      <c r="NUV2483" s="56"/>
      <c r="NUW2483" s="66"/>
      <c r="NUX2483" s="60"/>
      <c r="NUY2483" s="60"/>
      <c r="NUZ2483" s="60"/>
      <c r="NVA2483" s="66"/>
      <c r="NVB2483" s="61"/>
      <c r="NVC2483" s="56"/>
      <c r="NVD2483" s="56"/>
      <c r="NVE2483" s="66"/>
      <c r="NVF2483" s="60"/>
      <c r="NVG2483" s="60"/>
      <c r="NVH2483" s="60"/>
      <c r="NVI2483" s="66"/>
      <c r="NVJ2483" s="61"/>
      <c r="NVK2483" s="56"/>
      <c r="NVL2483" s="56"/>
      <c r="NVM2483" s="66"/>
      <c r="NVN2483" s="60"/>
      <c r="NVO2483" s="60"/>
      <c r="NVP2483" s="60"/>
      <c r="NVQ2483" s="66"/>
      <c r="NVR2483" s="61"/>
      <c r="NVS2483" s="56"/>
      <c r="NVT2483" s="56"/>
      <c r="NVU2483" s="66"/>
      <c r="NVV2483" s="60"/>
      <c r="NVW2483" s="60"/>
      <c r="NVX2483" s="60"/>
      <c r="NVY2483" s="66"/>
      <c r="NVZ2483" s="61"/>
      <c r="NWA2483" s="56"/>
      <c r="NWB2483" s="56"/>
      <c r="NWC2483" s="66"/>
      <c r="NWD2483" s="60"/>
      <c r="NWE2483" s="60"/>
      <c r="NWF2483" s="60"/>
      <c r="NWG2483" s="66"/>
      <c r="NWH2483" s="61"/>
      <c r="NWI2483" s="56"/>
      <c r="NWJ2483" s="56"/>
      <c r="NWK2483" s="66"/>
      <c r="NWL2483" s="60"/>
      <c r="NWM2483" s="60"/>
      <c r="NWN2483" s="60"/>
      <c r="NWO2483" s="66"/>
      <c r="NWP2483" s="61"/>
      <c r="NWQ2483" s="56"/>
      <c r="NWR2483" s="56"/>
      <c r="NWS2483" s="66"/>
      <c r="NWT2483" s="60"/>
      <c r="NWU2483" s="60"/>
      <c r="NWV2483" s="60"/>
      <c r="NWW2483" s="66"/>
      <c r="NWX2483" s="61"/>
      <c r="NWY2483" s="56"/>
      <c r="NWZ2483" s="56"/>
      <c r="NXA2483" s="66"/>
      <c r="NXB2483" s="60"/>
      <c r="NXC2483" s="60"/>
      <c r="NXD2483" s="60"/>
      <c r="NXE2483" s="66"/>
      <c r="NXF2483" s="61"/>
      <c r="NXG2483" s="56"/>
      <c r="NXH2483" s="56"/>
      <c r="NXI2483" s="66"/>
      <c r="NXJ2483" s="60"/>
      <c r="NXK2483" s="60"/>
      <c r="NXL2483" s="60"/>
      <c r="NXM2483" s="66"/>
      <c r="NXN2483" s="61"/>
      <c r="NXO2483" s="56"/>
      <c r="NXP2483" s="56"/>
      <c r="NXQ2483" s="66"/>
      <c r="NXR2483" s="60"/>
      <c r="NXS2483" s="60"/>
      <c r="NXT2483" s="60"/>
      <c r="NXU2483" s="66"/>
      <c r="NXV2483" s="61"/>
      <c r="NXW2483" s="56"/>
      <c r="NXX2483" s="56"/>
      <c r="NXY2483" s="66"/>
      <c r="NXZ2483" s="60"/>
      <c r="NYA2483" s="60"/>
      <c r="NYB2483" s="60"/>
      <c r="NYC2483" s="66"/>
      <c r="NYD2483" s="61"/>
      <c r="NYE2483" s="56"/>
      <c r="NYF2483" s="56"/>
      <c r="NYG2483" s="66"/>
      <c r="NYH2483" s="60"/>
      <c r="NYI2483" s="60"/>
      <c r="NYJ2483" s="60"/>
      <c r="NYK2483" s="66"/>
      <c r="NYL2483" s="61"/>
      <c r="NYM2483" s="56"/>
      <c r="NYN2483" s="56"/>
      <c r="NYO2483" s="66"/>
      <c r="NYP2483" s="60"/>
      <c r="NYQ2483" s="60"/>
      <c r="NYR2483" s="60"/>
      <c r="NYS2483" s="66"/>
      <c r="NYT2483" s="61"/>
      <c r="NYU2483" s="56"/>
      <c r="NYV2483" s="56"/>
      <c r="NYW2483" s="66"/>
      <c r="NYX2483" s="60"/>
      <c r="NYY2483" s="60"/>
      <c r="NYZ2483" s="60"/>
      <c r="NZA2483" s="66"/>
      <c r="NZB2483" s="61"/>
      <c r="NZC2483" s="56"/>
      <c r="NZD2483" s="56"/>
      <c r="NZE2483" s="66"/>
      <c r="NZF2483" s="60"/>
      <c r="NZG2483" s="60"/>
      <c r="NZH2483" s="60"/>
      <c r="NZI2483" s="66"/>
      <c r="NZJ2483" s="61"/>
      <c r="NZK2483" s="56"/>
      <c r="NZL2483" s="56"/>
      <c r="NZM2483" s="66"/>
      <c r="NZN2483" s="60"/>
      <c r="NZO2483" s="60"/>
      <c r="NZP2483" s="60"/>
      <c r="NZQ2483" s="66"/>
      <c r="NZR2483" s="61"/>
      <c r="NZS2483" s="56"/>
      <c r="NZT2483" s="56"/>
      <c r="NZU2483" s="66"/>
      <c r="NZV2483" s="60"/>
      <c r="NZW2483" s="60"/>
      <c r="NZX2483" s="60"/>
      <c r="NZY2483" s="66"/>
      <c r="NZZ2483" s="61"/>
      <c r="OAA2483" s="56"/>
      <c r="OAB2483" s="56"/>
      <c r="OAC2483" s="66"/>
      <c r="OAD2483" s="60"/>
      <c r="OAE2483" s="60"/>
      <c r="OAF2483" s="60"/>
      <c r="OAG2483" s="66"/>
      <c r="OAH2483" s="61"/>
      <c r="OAI2483" s="56"/>
      <c r="OAJ2483" s="56"/>
      <c r="OAK2483" s="66"/>
      <c r="OAL2483" s="60"/>
      <c r="OAM2483" s="60"/>
      <c r="OAN2483" s="60"/>
      <c r="OAO2483" s="66"/>
      <c r="OAP2483" s="61"/>
      <c r="OAQ2483" s="56"/>
      <c r="OAR2483" s="56"/>
      <c r="OAS2483" s="66"/>
      <c r="OAT2483" s="60"/>
      <c r="OAU2483" s="60"/>
      <c r="OAV2483" s="60"/>
      <c r="OAW2483" s="66"/>
      <c r="OAX2483" s="61"/>
      <c r="OAY2483" s="56"/>
      <c r="OAZ2483" s="56"/>
      <c r="OBA2483" s="66"/>
      <c r="OBB2483" s="60"/>
      <c r="OBC2483" s="60"/>
      <c r="OBD2483" s="60"/>
      <c r="OBE2483" s="66"/>
      <c r="OBF2483" s="61"/>
      <c r="OBG2483" s="56"/>
      <c r="OBH2483" s="56"/>
      <c r="OBI2483" s="66"/>
      <c r="OBJ2483" s="60"/>
      <c r="OBK2483" s="60"/>
      <c r="OBL2483" s="60"/>
      <c r="OBM2483" s="66"/>
      <c r="OBN2483" s="61"/>
      <c r="OBO2483" s="56"/>
      <c r="OBP2483" s="56"/>
      <c r="OBQ2483" s="66"/>
      <c r="OBR2483" s="60"/>
      <c r="OBS2483" s="60"/>
      <c r="OBT2483" s="60"/>
      <c r="OBU2483" s="66"/>
      <c r="OBV2483" s="61"/>
      <c r="OBW2483" s="56"/>
      <c r="OBX2483" s="56"/>
      <c r="OBY2483" s="66"/>
      <c r="OBZ2483" s="60"/>
      <c r="OCA2483" s="60"/>
      <c r="OCB2483" s="60"/>
      <c r="OCC2483" s="66"/>
      <c r="OCD2483" s="61"/>
      <c r="OCE2483" s="56"/>
      <c r="OCF2483" s="56"/>
      <c r="OCG2483" s="66"/>
      <c r="OCH2483" s="60"/>
      <c r="OCI2483" s="60"/>
      <c r="OCJ2483" s="60"/>
      <c r="OCK2483" s="66"/>
      <c r="OCL2483" s="61"/>
      <c r="OCM2483" s="56"/>
      <c r="OCN2483" s="56"/>
      <c r="OCO2483" s="66"/>
      <c r="OCP2483" s="60"/>
      <c r="OCQ2483" s="60"/>
      <c r="OCR2483" s="60"/>
      <c r="OCS2483" s="66"/>
      <c r="OCT2483" s="61"/>
      <c r="OCU2483" s="56"/>
      <c r="OCV2483" s="56"/>
      <c r="OCW2483" s="66"/>
      <c r="OCX2483" s="60"/>
      <c r="OCY2483" s="60"/>
      <c r="OCZ2483" s="60"/>
      <c r="ODA2483" s="66"/>
      <c r="ODB2483" s="61"/>
      <c r="ODC2483" s="56"/>
      <c r="ODD2483" s="56"/>
      <c r="ODE2483" s="66"/>
      <c r="ODF2483" s="60"/>
      <c r="ODG2483" s="60"/>
      <c r="ODH2483" s="60"/>
      <c r="ODI2483" s="66"/>
      <c r="ODJ2483" s="61"/>
      <c r="ODK2483" s="56"/>
      <c r="ODL2483" s="56"/>
      <c r="ODM2483" s="66"/>
      <c r="ODN2483" s="60"/>
      <c r="ODO2483" s="60"/>
      <c r="ODP2483" s="60"/>
      <c r="ODQ2483" s="66"/>
      <c r="ODR2483" s="61"/>
      <c r="ODS2483" s="56"/>
      <c r="ODT2483" s="56"/>
      <c r="ODU2483" s="66"/>
      <c r="ODV2483" s="60"/>
      <c r="ODW2483" s="60"/>
      <c r="ODX2483" s="60"/>
      <c r="ODY2483" s="66"/>
      <c r="ODZ2483" s="61"/>
      <c r="OEA2483" s="56"/>
      <c r="OEB2483" s="56"/>
      <c r="OEC2483" s="66"/>
      <c r="OED2483" s="60"/>
      <c r="OEE2483" s="60"/>
      <c r="OEF2483" s="60"/>
      <c r="OEG2483" s="66"/>
      <c r="OEH2483" s="61"/>
      <c r="OEI2483" s="56"/>
      <c r="OEJ2483" s="56"/>
      <c r="OEK2483" s="66"/>
      <c r="OEL2483" s="60"/>
      <c r="OEM2483" s="60"/>
      <c r="OEN2483" s="60"/>
      <c r="OEO2483" s="66"/>
      <c r="OEP2483" s="61"/>
      <c r="OEQ2483" s="56"/>
      <c r="OER2483" s="56"/>
      <c r="OES2483" s="66"/>
      <c r="OET2483" s="60"/>
      <c r="OEU2483" s="60"/>
      <c r="OEV2483" s="60"/>
      <c r="OEW2483" s="66"/>
      <c r="OEX2483" s="61"/>
      <c r="OEY2483" s="56"/>
      <c r="OEZ2483" s="56"/>
      <c r="OFA2483" s="66"/>
      <c r="OFB2483" s="60"/>
      <c r="OFC2483" s="60"/>
      <c r="OFD2483" s="60"/>
      <c r="OFE2483" s="66"/>
      <c r="OFF2483" s="61"/>
      <c r="OFG2483" s="56"/>
      <c r="OFH2483" s="56"/>
      <c r="OFI2483" s="66"/>
      <c r="OFJ2483" s="60"/>
      <c r="OFK2483" s="60"/>
      <c r="OFL2483" s="60"/>
      <c r="OFM2483" s="66"/>
      <c r="OFN2483" s="61"/>
      <c r="OFO2483" s="56"/>
      <c r="OFP2483" s="56"/>
      <c r="OFQ2483" s="66"/>
      <c r="OFR2483" s="60"/>
      <c r="OFS2483" s="60"/>
      <c r="OFT2483" s="60"/>
      <c r="OFU2483" s="66"/>
      <c r="OFV2483" s="61"/>
      <c r="OFW2483" s="56"/>
      <c r="OFX2483" s="56"/>
      <c r="OFY2483" s="66"/>
      <c r="OFZ2483" s="60"/>
      <c r="OGA2483" s="60"/>
      <c r="OGB2483" s="60"/>
      <c r="OGC2483" s="66"/>
      <c r="OGD2483" s="61"/>
      <c r="OGE2483" s="56"/>
      <c r="OGF2483" s="56"/>
      <c r="OGG2483" s="66"/>
      <c r="OGH2483" s="60"/>
      <c r="OGI2483" s="60"/>
      <c r="OGJ2483" s="60"/>
      <c r="OGK2483" s="66"/>
      <c r="OGL2483" s="61"/>
      <c r="OGM2483" s="56"/>
      <c r="OGN2483" s="56"/>
      <c r="OGO2483" s="66"/>
      <c r="OGP2483" s="60"/>
      <c r="OGQ2483" s="60"/>
      <c r="OGR2483" s="60"/>
      <c r="OGS2483" s="66"/>
      <c r="OGT2483" s="61"/>
      <c r="OGU2483" s="56"/>
      <c r="OGV2483" s="56"/>
      <c r="OGW2483" s="66"/>
      <c r="OGX2483" s="60"/>
      <c r="OGY2483" s="60"/>
      <c r="OGZ2483" s="60"/>
      <c r="OHA2483" s="66"/>
      <c r="OHB2483" s="61"/>
      <c r="OHC2483" s="56"/>
      <c r="OHD2483" s="56"/>
      <c r="OHE2483" s="66"/>
      <c r="OHF2483" s="60"/>
      <c r="OHG2483" s="60"/>
      <c r="OHH2483" s="60"/>
      <c r="OHI2483" s="66"/>
      <c r="OHJ2483" s="61"/>
      <c r="OHK2483" s="56"/>
      <c r="OHL2483" s="56"/>
      <c r="OHM2483" s="66"/>
      <c r="OHN2483" s="60"/>
      <c r="OHO2483" s="60"/>
      <c r="OHP2483" s="60"/>
      <c r="OHQ2483" s="66"/>
      <c r="OHR2483" s="61"/>
      <c r="OHS2483" s="56"/>
      <c r="OHT2483" s="56"/>
      <c r="OHU2483" s="66"/>
      <c r="OHV2483" s="60"/>
      <c r="OHW2483" s="60"/>
      <c r="OHX2483" s="60"/>
      <c r="OHY2483" s="66"/>
      <c r="OHZ2483" s="61"/>
      <c r="OIA2483" s="56"/>
      <c r="OIB2483" s="56"/>
      <c r="OIC2483" s="66"/>
      <c r="OID2483" s="60"/>
      <c r="OIE2483" s="60"/>
      <c r="OIF2483" s="60"/>
      <c r="OIG2483" s="66"/>
      <c r="OIH2483" s="61"/>
      <c r="OII2483" s="56"/>
      <c r="OIJ2483" s="56"/>
      <c r="OIK2483" s="66"/>
      <c r="OIL2483" s="60"/>
      <c r="OIM2483" s="60"/>
      <c r="OIN2483" s="60"/>
      <c r="OIO2483" s="66"/>
      <c r="OIP2483" s="61"/>
      <c r="OIQ2483" s="56"/>
      <c r="OIR2483" s="56"/>
      <c r="OIS2483" s="66"/>
      <c r="OIT2483" s="60"/>
      <c r="OIU2483" s="60"/>
      <c r="OIV2483" s="60"/>
      <c r="OIW2483" s="66"/>
      <c r="OIX2483" s="61"/>
      <c r="OIY2483" s="56"/>
      <c r="OIZ2483" s="56"/>
      <c r="OJA2483" s="66"/>
      <c r="OJB2483" s="60"/>
      <c r="OJC2483" s="60"/>
      <c r="OJD2483" s="60"/>
      <c r="OJE2483" s="66"/>
      <c r="OJF2483" s="61"/>
      <c r="OJG2483" s="56"/>
      <c r="OJH2483" s="56"/>
      <c r="OJI2483" s="66"/>
      <c r="OJJ2483" s="60"/>
      <c r="OJK2483" s="60"/>
      <c r="OJL2483" s="60"/>
      <c r="OJM2483" s="66"/>
      <c r="OJN2483" s="61"/>
      <c r="OJO2483" s="56"/>
      <c r="OJP2483" s="56"/>
      <c r="OJQ2483" s="66"/>
      <c r="OJR2483" s="60"/>
      <c r="OJS2483" s="60"/>
      <c r="OJT2483" s="60"/>
      <c r="OJU2483" s="66"/>
      <c r="OJV2483" s="61"/>
      <c r="OJW2483" s="56"/>
      <c r="OJX2483" s="56"/>
      <c r="OJY2483" s="66"/>
      <c r="OJZ2483" s="60"/>
      <c r="OKA2483" s="60"/>
      <c r="OKB2483" s="60"/>
      <c r="OKC2483" s="66"/>
      <c r="OKD2483" s="61"/>
      <c r="OKE2483" s="56"/>
      <c r="OKF2483" s="56"/>
      <c r="OKG2483" s="66"/>
      <c r="OKH2483" s="60"/>
      <c r="OKI2483" s="60"/>
      <c r="OKJ2483" s="60"/>
      <c r="OKK2483" s="66"/>
      <c r="OKL2483" s="61"/>
      <c r="OKM2483" s="56"/>
      <c r="OKN2483" s="56"/>
      <c r="OKO2483" s="66"/>
      <c r="OKP2483" s="60"/>
      <c r="OKQ2483" s="60"/>
      <c r="OKR2483" s="60"/>
      <c r="OKS2483" s="66"/>
      <c r="OKT2483" s="61"/>
      <c r="OKU2483" s="56"/>
      <c r="OKV2483" s="56"/>
      <c r="OKW2483" s="66"/>
      <c r="OKX2483" s="60"/>
      <c r="OKY2483" s="60"/>
      <c r="OKZ2483" s="60"/>
      <c r="OLA2483" s="66"/>
      <c r="OLB2483" s="61"/>
      <c r="OLC2483" s="56"/>
      <c r="OLD2483" s="56"/>
      <c r="OLE2483" s="66"/>
      <c r="OLF2483" s="60"/>
      <c r="OLG2483" s="60"/>
      <c r="OLH2483" s="60"/>
      <c r="OLI2483" s="66"/>
      <c r="OLJ2483" s="61"/>
      <c r="OLK2483" s="56"/>
      <c r="OLL2483" s="56"/>
      <c r="OLM2483" s="66"/>
      <c r="OLN2483" s="60"/>
      <c r="OLO2483" s="60"/>
      <c r="OLP2483" s="60"/>
      <c r="OLQ2483" s="66"/>
      <c r="OLR2483" s="61"/>
      <c r="OLS2483" s="56"/>
      <c r="OLT2483" s="56"/>
      <c r="OLU2483" s="66"/>
      <c r="OLV2483" s="60"/>
      <c r="OLW2483" s="60"/>
      <c r="OLX2483" s="60"/>
      <c r="OLY2483" s="66"/>
      <c r="OLZ2483" s="61"/>
      <c r="OMA2483" s="56"/>
      <c r="OMB2483" s="56"/>
      <c r="OMC2483" s="66"/>
      <c r="OMD2483" s="60"/>
      <c r="OME2483" s="60"/>
      <c r="OMF2483" s="60"/>
      <c r="OMG2483" s="66"/>
      <c r="OMH2483" s="61"/>
      <c r="OMI2483" s="56"/>
      <c r="OMJ2483" s="56"/>
      <c r="OMK2483" s="66"/>
      <c r="OML2483" s="60"/>
      <c r="OMM2483" s="60"/>
      <c r="OMN2483" s="60"/>
      <c r="OMO2483" s="66"/>
      <c r="OMP2483" s="61"/>
      <c r="OMQ2483" s="56"/>
      <c r="OMR2483" s="56"/>
      <c r="OMS2483" s="66"/>
      <c r="OMT2483" s="60"/>
      <c r="OMU2483" s="60"/>
      <c r="OMV2483" s="60"/>
      <c r="OMW2483" s="66"/>
      <c r="OMX2483" s="61"/>
      <c r="OMY2483" s="56"/>
      <c r="OMZ2483" s="56"/>
      <c r="ONA2483" s="66"/>
      <c r="ONB2483" s="60"/>
      <c r="ONC2483" s="60"/>
      <c r="OND2483" s="60"/>
      <c r="ONE2483" s="66"/>
      <c r="ONF2483" s="61"/>
      <c r="ONG2483" s="56"/>
      <c r="ONH2483" s="56"/>
      <c r="ONI2483" s="66"/>
      <c r="ONJ2483" s="60"/>
      <c r="ONK2483" s="60"/>
      <c r="ONL2483" s="60"/>
      <c r="ONM2483" s="66"/>
      <c r="ONN2483" s="61"/>
      <c r="ONO2483" s="56"/>
      <c r="ONP2483" s="56"/>
      <c r="ONQ2483" s="66"/>
      <c r="ONR2483" s="60"/>
      <c r="ONS2483" s="60"/>
      <c r="ONT2483" s="60"/>
      <c r="ONU2483" s="66"/>
      <c r="ONV2483" s="61"/>
      <c r="ONW2483" s="56"/>
      <c r="ONX2483" s="56"/>
      <c r="ONY2483" s="66"/>
      <c r="ONZ2483" s="60"/>
      <c r="OOA2483" s="60"/>
      <c r="OOB2483" s="60"/>
      <c r="OOC2483" s="66"/>
      <c r="OOD2483" s="61"/>
      <c r="OOE2483" s="56"/>
      <c r="OOF2483" s="56"/>
      <c r="OOG2483" s="66"/>
      <c r="OOH2483" s="60"/>
      <c r="OOI2483" s="60"/>
      <c r="OOJ2483" s="60"/>
      <c r="OOK2483" s="66"/>
      <c r="OOL2483" s="61"/>
      <c r="OOM2483" s="56"/>
      <c r="OON2483" s="56"/>
      <c r="OOO2483" s="66"/>
      <c r="OOP2483" s="60"/>
      <c r="OOQ2483" s="60"/>
      <c r="OOR2483" s="60"/>
      <c r="OOS2483" s="66"/>
      <c r="OOT2483" s="61"/>
      <c r="OOU2483" s="56"/>
      <c r="OOV2483" s="56"/>
      <c r="OOW2483" s="66"/>
      <c r="OOX2483" s="60"/>
      <c r="OOY2483" s="60"/>
      <c r="OOZ2483" s="60"/>
      <c r="OPA2483" s="66"/>
      <c r="OPB2483" s="61"/>
      <c r="OPC2483" s="56"/>
      <c r="OPD2483" s="56"/>
      <c r="OPE2483" s="66"/>
      <c r="OPF2483" s="60"/>
      <c r="OPG2483" s="60"/>
      <c r="OPH2483" s="60"/>
      <c r="OPI2483" s="66"/>
      <c r="OPJ2483" s="61"/>
      <c r="OPK2483" s="56"/>
      <c r="OPL2483" s="56"/>
      <c r="OPM2483" s="66"/>
      <c r="OPN2483" s="60"/>
      <c r="OPO2483" s="60"/>
      <c r="OPP2483" s="60"/>
      <c r="OPQ2483" s="66"/>
      <c r="OPR2483" s="61"/>
      <c r="OPS2483" s="56"/>
      <c r="OPT2483" s="56"/>
      <c r="OPU2483" s="66"/>
      <c r="OPV2483" s="60"/>
      <c r="OPW2483" s="60"/>
      <c r="OPX2483" s="60"/>
      <c r="OPY2483" s="66"/>
      <c r="OPZ2483" s="61"/>
      <c r="OQA2483" s="56"/>
      <c r="OQB2483" s="56"/>
      <c r="OQC2483" s="66"/>
      <c r="OQD2483" s="60"/>
      <c r="OQE2483" s="60"/>
      <c r="OQF2483" s="60"/>
      <c r="OQG2483" s="66"/>
      <c r="OQH2483" s="61"/>
      <c r="OQI2483" s="56"/>
      <c r="OQJ2483" s="56"/>
      <c r="OQK2483" s="66"/>
      <c r="OQL2483" s="60"/>
      <c r="OQM2483" s="60"/>
      <c r="OQN2483" s="60"/>
      <c r="OQO2483" s="66"/>
      <c r="OQP2483" s="61"/>
      <c r="OQQ2483" s="56"/>
      <c r="OQR2483" s="56"/>
      <c r="OQS2483" s="66"/>
      <c r="OQT2483" s="60"/>
      <c r="OQU2483" s="60"/>
      <c r="OQV2483" s="60"/>
      <c r="OQW2483" s="66"/>
      <c r="OQX2483" s="61"/>
      <c r="OQY2483" s="56"/>
      <c r="OQZ2483" s="56"/>
      <c r="ORA2483" s="66"/>
      <c r="ORB2483" s="60"/>
      <c r="ORC2483" s="60"/>
      <c r="ORD2483" s="60"/>
      <c r="ORE2483" s="66"/>
      <c r="ORF2483" s="61"/>
      <c r="ORG2483" s="56"/>
      <c r="ORH2483" s="56"/>
      <c r="ORI2483" s="66"/>
      <c r="ORJ2483" s="60"/>
      <c r="ORK2483" s="60"/>
      <c r="ORL2483" s="60"/>
      <c r="ORM2483" s="66"/>
      <c r="ORN2483" s="61"/>
      <c r="ORO2483" s="56"/>
      <c r="ORP2483" s="56"/>
      <c r="ORQ2483" s="66"/>
      <c r="ORR2483" s="60"/>
      <c r="ORS2483" s="60"/>
      <c r="ORT2483" s="60"/>
      <c r="ORU2483" s="66"/>
      <c r="ORV2483" s="61"/>
      <c r="ORW2483" s="56"/>
      <c r="ORX2483" s="56"/>
      <c r="ORY2483" s="66"/>
      <c r="ORZ2483" s="60"/>
      <c r="OSA2483" s="60"/>
      <c r="OSB2483" s="60"/>
      <c r="OSC2483" s="66"/>
      <c r="OSD2483" s="61"/>
      <c r="OSE2483" s="56"/>
      <c r="OSF2483" s="56"/>
      <c r="OSG2483" s="66"/>
      <c r="OSH2483" s="60"/>
      <c r="OSI2483" s="60"/>
      <c r="OSJ2483" s="60"/>
      <c r="OSK2483" s="66"/>
      <c r="OSL2483" s="61"/>
      <c r="OSM2483" s="56"/>
      <c r="OSN2483" s="56"/>
      <c r="OSO2483" s="66"/>
      <c r="OSP2483" s="60"/>
      <c r="OSQ2483" s="60"/>
      <c r="OSR2483" s="60"/>
      <c r="OSS2483" s="66"/>
      <c r="OST2483" s="61"/>
      <c r="OSU2483" s="56"/>
      <c r="OSV2483" s="56"/>
      <c r="OSW2483" s="66"/>
      <c r="OSX2483" s="60"/>
      <c r="OSY2483" s="60"/>
      <c r="OSZ2483" s="60"/>
      <c r="OTA2483" s="66"/>
      <c r="OTB2483" s="61"/>
      <c r="OTC2483" s="56"/>
      <c r="OTD2483" s="56"/>
      <c r="OTE2483" s="66"/>
      <c r="OTF2483" s="60"/>
      <c r="OTG2483" s="60"/>
      <c r="OTH2483" s="60"/>
      <c r="OTI2483" s="66"/>
      <c r="OTJ2483" s="61"/>
      <c r="OTK2483" s="56"/>
      <c r="OTL2483" s="56"/>
      <c r="OTM2483" s="66"/>
      <c r="OTN2483" s="60"/>
      <c r="OTO2483" s="60"/>
      <c r="OTP2483" s="60"/>
      <c r="OTQ2483" s="66"/>
      <c r="OTR2483" s="61"/>
      <c r="OTS2483" s="56"/>
      <c r="OTT2483" s="56"/>
      <c r="OTU2483" s="66"/>
      <c r="OTV2483" s="60"/>
      <c r="OTW2483" s="60"/>
      <c r="OTX2483" s="60"/>
      <c r="OTY2483" s="66"/>
      <c r="OTZ2483" s="61"/>
      <c r="OUA2483" s="56"/>
      <c r="OUB2483" s="56"/>
      <c r="OUC2483" s="66"/>
      <c r="OUD2483" s="60"/>
      <c r="OUE2483" s="60"/>
      <c r="OUF2483" s="60"/>
      <c r="OUG2483" s="66"/>
      <c r="OUH2483" s="61"/>
      <c r="OUI2483" s="56"/>
      <c r="OUJ2483" s="56"/>
      <c r="OUK2483" s="66"/>
      <c r="OUL2483" s="60"/>
      <c r="OUM2483" s="60"/>
      <c r="OUN2483" s="60"/>
      <c r="OUO2483" s="66"/>
      <c r="OUP2483" s="61"/>
      <c r="OUQ2483" s="56"/>
      <c r="OUR2483" s="56"/>
      <c r="OUS2483" s="66"/>
      <c r="OUT2483" s="60"/>
      <c r="OUU2483" s="60"/>
      <c r="OUV2483" s="60"/>
      <c r="OUW2483" s="66"/>
      <c r="OUX2483" s="61"/>
      <c r="OUY2483" s="56"/>
      <c r="OUZ2483" s="56"/>
      <c r="OVA2483" s="66"/>
      <c r="OVB2483" s="60"/>
      <c r="OVC2483" s="60"/>
      <c r="OVD2483" s="60"/>
      <c r="OVE2483" s="66"/>
      <c r="OVF2483" s="61"/>
      <c r="OVG2483" s="56"/>
      <c r="OVH2483" s="56"/>
      <c r="OVI2483" s="66"/>
      <c r="OVJ2483" s="60"/>
      <c r="OVK2483" s="60"/>
      <c r="OVL2483" s="60"/>
      <c r="OVM2483" s="66"/>
      <c r="OVN2483" s="61"/>
      <c r="OVO2483" s="56"/>
      <c r="OVP2483" s="56"/>
      <c r="OVQ2483" s="66"/>
      <c r="OVR2483" s="60"/>
      <c r="OVS2483" s="60"/>
      <c r="OVT2483" s="60"/>
      <c r="OVU2483" s="66"/>
      <c r="OVV2483" s="61"/>
      <c r="OVW2483" s="56"/>
      <c r="OVX2483" s="56"/>
      <c r="OVY2483" s="66"/>
      <c r="OVZ2483" s="60"/>
      <c r="OWA2483" s="60"/>
      <c r="OWB2483" s="60"/>
      <c r="OWC2483" s="66"/>
      <c r="OWD2483" s="61"/>
      <c r="OWE2483" s="56"/>
      <c r="OWF2483" s="56"/>
      <c r="OWG2483" s="66"/>
      <c r="OWH2483" s="60"/>
      <c r="OWI2483" s="60"/>
      <c r="OWJ2483" s="60"/>
      <c r="OWK2483" s="66"/>
      <c r="OWL2483" s="61"/>
      <c r="OWM2483" s="56"/>
      <c r="OWN2483" s="56"/>
      <c r="OWO2483" s="66"/>
      <c r="OWP2483" s="60"/>
      <c r="OWQ2483" s="60"/>
      <c r="OWR2483" s="60"/>
      <c r="OWS2483" s="66"/>
      <c r="OWT2483" s="61"/>
      <c r="OWU2483" s="56"/>
      <c r="OWV2483" s="56"/>
      <c r="OWW2483" s="66"/>
      <c r="OWX2483" s="60"/>
      <c r="OWY2483" s="60"/>
      <c r="OWZ2483" s="60"/>
      <c r="OXA2483" s="66"/>
      <c r="OXB2483" s="61"/>
      <c r="OXC2483" s="56"/>
      <c r="OXD2483" s="56"/>
      <c r="OXE2483" s="66"/>
      <c r="OXF2483" s="60"/>
      <c r="OXG2483" s="60"/>
      <c r="OXH2483" s="60"/>
      <c r="OXI2483" s="66"/>
      <c r="OXJ2483" s="61"/>
      <c r="OXK2483" s="56"/>
      <c r="OXL2483" s="56"/>
      <c r="OXM2483" s="66"/>
      <c r="OXN2483" s="60"/>
      <c r="OXO2483" s="60"/>
      <c r="OXP2483" s="60"/>
      <c r="OXQ2483" s="66"/>
      <c r="OXR2483" s="61"/>
      <c r="OXS2483" s="56"/>
      <c r="OXT2483" s="56"/>
      <c r="OXU2483" s="66"/>
      <c r="OXV2483" s="60"/>
      <c r="OXW2483" s="60"/>
      <c r="OXX2483" s="60"/>
      <c r="OXY2483" s="66"/>
      <c r="OXZ2483" s="61"/>
      <c r="OYA2483" s="56"/>
      <c r="OYB2483" s="56"/>
      <c r="OYC2483" s="66"/>
      <c r="OYD2483" s="60"/>
      <c r="OYE2483" s="60"/>
      <c r="OYF2483" s="60"/>
      <c r="OYG2483" s="66"/>
      <c r="OYH2483" s="61"/>
      <c r="OYI2483" s="56"/>
      <c r="OYJ2483" s="56"/>
      <c r="OYK2483" s="66"/>
      <c r="OYL2483" s="60"/>
      <c r="OYM2483" s="60"/>
      <c r="OYN2483" s="60"/>
      <c r="OYO2483" s="66"/>
      <c r="OYP2483" s="61"/>
      <c r="OYQ2483" s="56"/>
      <c r="OYR2483" s="56"/>
      <c r="OYS2483" s="66"/>
      <c r="OYT2483" s="60"/>
      <c r="OYU2483" s="60"/>
      <c r="OYV2483" s="60"/>
      <c r="OYW2483" s="66"/>
      <c r="OYX2483" s="61"/>
      <c r="OYY2483" s="56"/>
      <c r="OYZ2483" s="56"/>
      <c r="OZA2483" s="66"/>
      <c r="OZB2483" s="60"/>
      <c r="OZC2483" s="60"/>
      <c r="OZD2483" s="60"/>
      <c r="OZE2483" s="66"/>
      <c r="OZF2483" s="61"/>
      <c r="OZG2483" s="56"/>
      <c r="OZH2483" s="56"/>
      <c r="OZI2483" s="66"/>
      <c r="OZJ2483" s="60"/>
      <c r="OZK2483" s="60"/>
      <c r="OZL2483" s="60"/>
      <c r="OZM2483" s="66"/>
      <c r="OZN2483" s="61"/>
      <c r="OZO2483" s="56"/>
      <c r="OZP2483" s="56"/>
      <c r="OZQ2483" s="66"/>
      <c r="OZR2483" s="60"/>
      <c r="OZS2483" s="60"/>
      <c r="OZT2483" s="60"/>
      <c r="OZU2483" s="66"/>
      <c r="OZV2483" s="61"/>
      <c r="OZW2483" s="56"/>
      <c r="OZX2483" s="56"/>
      <c r="OZY2483" s="66"/>
      <c r="OZZ2483" s="60"/>
      <c r="PAA2483" s="60"/>
      <c r="PAB2483" s="60"/>
      <c r="PAC2483" s="66"/>
      <c r="PAD2483" s="61"/>
      <c r="PAE2483" s="56"/>
      <c r="PAF2483" s="56"/>
      <c r="PAG2483" s="66"/>
      <c r="PAH2483" s="60"/>
      <c r="PAI2483" s="60"/>
      <c r="PAJ2483" s="60"/>
      <c r="PAK2483" s="66"/>
      <c r="PAL2483" s="61"/>
      <c r="PAM2483" s="56"/>
      <c r="PAN2483" s="56"/>
      <c r="PAO2483" s="66"/>
      <c r="PAP2483" s="60"/>
      <c r="PAQ2483" s="60"/>
      <c r="PAR2483" s="60"/>
      <c r="PAS2483" s="66"/>
      <c r="PAT2483" s="61"/>
      <c r="PAU2483" s="56"/>
      <c r="PAV2483" s="56"/>
      <c r="PAW2483" s="66"/>
      <c r="PAX2483" s="60"/>
      <c r="PAY2483" s="60"/>
      <c r="PAZ2483" s="60"/>
      <c r="PBA2483" s="66"/>
      <c r="PBB2483" s="61"/>
      <c r="PBC2483" s="56"/>
      <c r="PBD2483" s="56"/>
      <c r="PBE2483" s="66"/>
      <c r="PBF2483" s="60"/>
      <c r="PBG2483" s="60"/>
      <c r="PBH2483" s="60"/>
      <c r="PBI2483" s="66"/>
      <c r="PBJ2483" s="61"/>
      <c r="PBK2483" s="56"/>
      <c r="PBL2483" s="56"/>
      <c r="PBM2483" s="66"/>
      <c r="PBN2483" s="60"/>
      <c r="PBO2483" s="60"/>
      <c r="PBP2483" s="60"/>
      <c r="PBQ2483" s="66"/>
      <c r="PBR2483" s="61"/>
      <c r="PBS2483" s="56"/>
      <c r="PBT2483" s="56"/>
      <c r="PBU2483" s="66"/>
      <c r="PBV2483" s="60"/>
      <c r="PBW2483" s="60"/>
      <c r="PBX2483" s="60"/>
      <c r="PBY2483" s="66"/>
      <c r="PBZ2483" s="61"/>
      <c r="PCA2483" s="56"/>
      <c r="PCB2483" s="56"/>
      <c r="PCC2483" s="66"/>
      <c r="PCD2483" s="60"/>
      <c r="PCE2483" s="60"/>
      <c r="PCF2483" s="60"/>
      <c r="PCG2483" s="66"/>
      <c r="PCH2483" s="61"/>
      <c r="PCI2483" s="56"/>
      <c r="PCJ2483" s="56"/>
      <c r="PCK2483" s="66"/>
      <c r="PCL2483" s="60"/>
      <c r="PCM2483" s="60"/>
      <c r="PCN2483" s="60"/>
      <c r="PCO2483" s="66"/>
      <c r="PCP2483" s="61"/>
      <c r="PCQ2483" s="56"/>
      <c r="PCR2483" s="56"/>
      <c r="PCS2483" s="66"/>
      <c r="PCT2483" s="60"/>
      <c r="PCU2483" s="60"/>
      <c r="PCV2483" s="60"/>
      <c r="PCW2483" s="66"/>
      <c r="PCX2483" s="61"/>
      <c r="PCY2483" s="56"/>
      <c r="PCZ2483" s="56"/>
      <c r="PDA2483" s="66"/>
      <c r="PDB2483" s="60"/>
      <c r="PDC2483" s="60"/>
      <c r="PDD2483" s="60"/>
      <c r="PDE2483" s="66"/>
      <c r="PDF2483" s="61"/>
      <c r="PDG2483" s="56"/>
      <c r="PDH2483" s="56"/>
      <c r="PDI2483" s="66"/>
      <c r="PDJ2483" s="60"/>
      <c r="PDK2483" s="60"/>
      <c r="PDL2483" s="60"/>
      <c r="PDM2483" s="66"/>
      <c r="PDN2483" s="61"/>
      <c r="PDO2483" s="56"/>
      <c r="PDP2483" s="56"/>
      <c r="PDQ2483" s="66"/>
      <c r="PDR2483" s="60"/>
      <c r="PDS2483" s="60"/>
      <c r="PDT2483" s="60"/>
      <c r="PDU2483" s="66"/>
      <c r="PDV2483" s="61"/>
      <c r="PDW2483" s="56"/>
      <c r="PDX2483" s="56"/>
      <c r="PDY2483" s="66"/>
      <c r="PDZ2483" s="60"/>
      <c r="PEA2483" s="60"/>
      <c r="PEB2483" s="60"/>
      <c r="PEC2483" s="66"/>
      <c r="PED2483" s="61"/>
      <c r="PEE2483" s="56"/>
      <c r="PEF2483" s="56"/>
      <c r="PEG2483" s="66"/>
      <c r="PEH2483" s="60"/>
      <c r="PEI2483" s="60"/>
      <c r="PEJ2483" s="60"/>
      <c r="PEK2483" s="66"/>
      <c r="PEL2483" s="61"/>
      <c r="PEM2483" s="56"/>
      <c r="PEN2483" s="56"/>
      <c r="PEO2483" s="66"/>
      <c r="PEP2483" s="60"/>
      <c r="PEQ2483" s="60"/>
      <c r="PER2483" s="60"/>
      <c r="PES2483" s="66"/>
      <c r="PET2483" s="61"/>
      <c r="PEU2483" s="56"/>
      <c r="PEV2483" s="56"/>
      <c r="PEW2483" s="66"/>
      <c r="PEX2483" s="60"/>
      <c r="PEY2483" s="60"/>
      <c r="PEZ2483" s="60"/>
      <c r="PFA2483" s="66"/>
      <c r="PFB2483" s="61"/>
      <c r="PFC2483" s="56"/>
      <c r="PFD2483" s="56"/>
      <c r="PFE2483" s="66"/>
      <c r="PFF2483" s="60"/>
      <c r="PFG2483" s="60"/>
      <c r="PFH2483" s="60"/>
      <c r="PFI2483" s="66"/>
      <c r="PFJ2483" s="61"/>
      <c r="PFK2483" s="56"/>
      <c r="PFL2483" s="56"/>
      <c r="PFM2483" s="66"/>
      <c r="PFN2483" s="60"/>
      <c r="PFO2483" s="60"/>
      <c r="PFP2483" s="60"/>
      <c r="PFQ2483" s="66"/>
      <c r="PFR2483" s="61"/>
      <c r="PFS2483" s="56"/>
      <c r="PFT2483" s="56"/>
      <c r="PFU2483" s="66"/>
      <c r="PFV2483" s="60"/>
      <c r="PFW2483" s="60"/>
      <c r="PFX2483" s="60"/>
      <c r="PFY2483" s="66"/>
      <c r="PFZ2483" s="61"/>
      <c r="PGA2483" s="56"/>
      <c r="PGB2483" s="56"/>
      <c r="PGC2483" s="66"/>
      <c r="PGD2483" s="60"/>
      <c r="PGE2483" s="60"/>
      <c r="PGF2483" s="60"/>
      <c r="PGG2483" s="66"/>
      <c r="PGH2483" s="61"/>
      <c r="PGI2483" s="56"/>
      <c r="PGJ2483" s="56"/>
      <c r="PGK2483" s="66"/>
      <c r="PGL2483" s="60"/>
      <c r="PGM2483" s="60"/>
      <c r="PGN2483" s="60"/>
      <c r="PGO2483" s="66"/>
      <c r="PGP2483" s="61"/>
      <c r="PGQ2483" s="56"/>
      <c r="PGR2483" s="56"/>
      <c r="PGS2483" s="66"/>
      <c r="PGT2483" s="60"/>
      <c r="PGU2483" s="60"/>
      <c r="PGV2483" s="60"/>
      <c r="PGW2483" s="66"/>
      <c r="PGX2483" s="61"/>
      <c r="PGY2483" s="56"/>
      <c r="PGZ2483" s="56"/>
      <c r="PHA2483" s="66"/>
      <c r="PHB2483" s="60"/>
      <c r="PHC2483" s="60"/>
      <c r="PHD2483" s="60"/>
      <c r="PHE2483" s="66"/>
      <c r="PHF2483" s="61"/>
      <c r="PHG2483" s="56"/>
      <c r="PHH2483" s="56"/>
      <c r="PHI2483" s="66"/>
      <c r="PHJ2483" s="60"/>
      <c r="PHK2483" s="60"/>
      <c r="PHL2483" s="60"/>
      <c r="PHM2483" s="66"/>
      <c r="PHN2483" s="61"/>
      <c r="PHO2483" s="56"/>
      <c r="PHP2483" s="56"/>
      <c r="PHQ2483" s="66"/>
      <c r="PHR2483" s="60"/>
      <c r="PHS2483" s="60"/>
      <c r="PHT2483" s="60"/>
      <c r="PHU2483" s="66"/>
      <c r="PHV2483" s="61"/>
      <c r="PHW2483" s="56"/>
      <c r="PHX2483" s="56"/>
      <c r="PHY2483" s="66"/>
      <c r="PHZ2483" s="60"/>
      <c r="PIA2483" s="60"/>
      <c r="PIB2483" s="60"/>
      <c r="PIC2483" s="66"/>
      <c r="PID2483" s="61"/>
      <c r="PIE2483" s="56"/>
      <c r="PIF2483" s="56"/>
      <c r="PIG2483" s="66"/>
      <c r="PIH2483" s="60"/>
      <c r="PII2483" s="60"/>
      <c r="PIJ2483" s="60"/>
      <c r="PIK2483" s="66"/>
      <c r="PIL2483" s="61"/>
      <c r="PIM2483" s="56"/>
      <c r="PIN2483" s="56"/>
      <c r="PIO2483" s="66"/>
      <c r="PIP2483" s="60"/>
      <c r="PIQ2483" s="60"/>
      <c r="PIR2483" s="60"/>
      <c r="PIS2483" s="66"/>
      <c r="PIT2483" s="61"/>
      <c r="PIU2483" s="56"/>
      <c r="PIV2483" s="56"/>
      <c r="PIW2483" s="66"/>
      <c r="PIX2483" s="60"/>
      <c r="PIY2483" s="60"/>
      <c r="PIZ2483" s="60"/>
      <c r="PJA2483" s="66"/>
      <c r="PJB2483" s="61"/>
      <c r="PJC2483" s="56"/>
      <c r="PJD2483" s="56"/>
      <c r="PJE2483" s="66"/>
      <c r="PJF2483" s="60"/>
      <c r="PJG2483" s="60"/>
      <c r="PJH2483" s="60"/>
      <c r="PJI2483" s="66"/>
      <c r="PJJ2483" s="61"/>
      <c r="PJK2483" s="56"/>
      <c r="PJL2483" s="56"/>
      <c r="PJM2483" s="66"/>
      <c r="PJN2483" s="60"/>
      <c r="PJO2483" s="60"/>
      <c r="PJP2483" s="60"/>
      <c r="PJQ2483" s="66"/>
      <c r="PJR2483" s="61"/>
      <c r="PJS2483" s="56"/>
      <c r="PJT2483" s="56"/>
      <c r="PJU2483" s="66"/>
      <c r="PJV2483" s="60"/>
      <c r="PJW2483" s="60"/>
      <c r="PJX2483" s="60"/>
      <c r="PJY2483" s="66"/>
      <c r="PJZ2483" s="61"/>
      <c r="PKA2483" s="56"/>
      <c r="PKB2483" s="56"/>
      <c r="PKC2483" s="66"/>
      <c r="PKD2483" s="60"/>
      <c r="PKE2483" s="60"/>
      <c r="PKF2483" s="60"/>
      <c r="PKG2483" s="66"/>
      <c r="PKH2483" s="61"/>
      <c r="PKI2483" s="56"/>
      <c r="PKJ2483" s="56"/>
      <c r="PKK2483" s="66"/>
      <c r="PKL2483" s="60"/>
      <c r="PKM2483" s="60"/>
      <c r="PKN2483" s="60"/>
      <c r="PKO2483" s="66"/>
      <c r="PKP2483" s="61"/>
      <c r="PKQ2483" s="56"/>
      <c r="PKR2483" s="56"/>
      <c r="PKS2483" s="66"/>
      <c r="PKT2483" s="60"/>
      <c r="PKU2483" s="60"/>
      <c r="PKV2483" s="60"/>
      <c r="PKW2483" s="66"/>
      <c r="PKX2483" s="61"/>
      <c r="PKY2483" s="56"/>
      <c r="PKZ2483" s="56"/>
      <c r="PLA2483" s="66"/>
      <c r="PLB2483" s="60"/>
      <c r="PLC2483" s="60"/>
      <c r="PLD2483" s="60"/>
      <c r="PLE2483" s="66"/>
      <c r="PLF2483" s="61"/>
      <c r="PLG2483" s="56"/>
      <c r="PLH2483" s="56"/>
      <c r="PLI2483" s="66"/>
      <c r="PLJ2483" s="60"/>
      <c r="PLK2483" s="60"/>
      <c r="PLL2483" s="60"/>
      <c r="PLM2483" s="66"/>
      <c r="PLN2483" s="61"/>
      <c r="PLO2483" s="56"/>
      <c r="PLP2483" s="56"/>
      <c r="PLQ2483" s="66"/>
      <c r="PLR2483" s="60"/>
      <c r="PLS2483" s="60"/>
      <c r="PLT2483" s="60"/>
      <c r="PLU2483" s="66"/>
      <c r="PLV2483" s="61"/>
      <c r="PLW2483" s="56"/>
      <c r="PLX2483" s="56"/>
      <c r="PLY2483" s="66"/>
      <c r="PLZ2483" s="60"/>
      <c r="PMA2483" s="60"/>
      <c r="PMB2483" s="60"/>
      <c r="PMC2483" s="66"/>
      <c r="PMD2483" s="61"/>
      <c r="PME2483" s="56"/>
      <c r="PMF2483" s="56"/>
      <c r="PMG2483" s="66"/>
      <c r="PMH2483" s="60"/>
      <c r="PMI2483" s="60"/>
      <c r="PMJ2483" s="60"/>
      <c r="PMK2483" s="66"/>
      <c r="PML2483" s="61"/>
      <c r="PMM2483" s="56"/>
      <c r="PMN2483" s="56"/>
      <c r="PMO2483" s="66"/>
      <c r="PMP2483" s="60"/>
      <c r="PMQ2483" s="60"/>
      <c r="PMR2483" s="60"/>
      <c r="PMS2483" s="66"/>
      <c r="PMT2483" s="61"/>
      <c r="PMU2483" s="56"/>
      <c r="PMV2483" s="56"/>
      <c r="PMW2483" s="66"/>
      <c r="PMX2483" s="60"/>
      <c r="PMY2483" s="60"/>
      <c r="PMZ2483" s="60"/>
      <c r="PNA2483" s="66"/>
      <c r="PNB2483" s="61"/>
      <c r="PNC2483" s="56"/>
      <c r="PND2483" s="56"/>
      <c r="PNE2483" s="66"/>
      <c r="PNF2483" s="60"/>
      <c r="PNG2483" s="60"/>
      <c r="PNH2483" s="60"/>
      <c r="PNI2483" s="66"/>
      <c r="PNJ2483" s="61"/>
      <c r="PNK2483" s="56"/>
      <c r="PNL2483" s="56"/>
      <c r="PNM2483" s="66"/>
      <c r="PNN2483" s="60"/>
      <c r="PNO2483" s="60"/>
      <c r="PNP2483" s="60"/>
      <c r="PNQ2483" s="66"/>
      <c r="PNR2483" s="61"/>
      <c r="PNS2483" s="56"/>
      <c r="PNT2483" s="56"/>
      <c r="PNU2483" s="66"/>
      <c r="PNV2483" s="60"/>
      <c r="PNW2483" s="60"/>
      <c r="PNX2483" s="60"/>
      <c r="PNY2483" s="66"/>
      <c r="PNZ2483" s="61"/>
      <c r="POA2483" s="56"/>
      <c r="POB2483" s="56"/>
      <c r="POC2483" s="66"/>
      <c r="POD2483" s="60"/>
      <c r="POE2483" s="60"/>
      <c r="POF2483" s="60"/>
      <c r="POG2483" s="66"/>
      <c r="POH2483" s="61"/>
      <c r="POI2483" s="56"/>
      <c r="POJ2483" s="56"/>
      <c r="POK2483" s="66"/>
      <c r="POL2483" s="60"/>
      <c r="POM2483" s="60"/>
      <c r="PON2483" s="60"/>
      <c r="POO2483" s="66"/>
      <c r="POP2483" s="61"/>
      <c r="POQ2483" s="56"/>
      <c r="POR2483" s="56"/>
      <c r="POS2483" s="66"/>
      <c r="POT2483" s="60"/>
      <c r="POU2483" s="60"/>
      <c r="POV2483" s="60"/>
      <c r="POW2483" s="66"/>
      <c r="POX2483" s="61"/>
      <c r="POY2483" s="56"/>
      <c r="POZ2483" s="56"/>
      <c r="PPA2483" s="66"/>
      <c r="PPB2483" s="60"/>
      <c r="PPC2483" s="60"/>
      <c r="PPD2483" s="60"/>
      <c r="PPE2483" s="66"/>
      <c r="PPF2483" s="61"/>
      <c r="PPG2483" s="56"/>
      <c r="PPH2483" s="56"/>
      <c r="PPI2483" s="66"/>
      <c r="PPJ2483" s="60"/>
      <c r="PPK2483" s="60"/>
      <c r="PPL2483" s="60"/>
      <c r="PPM2483" s="66"/>
      <c r="PPN2483" s="61"/>
      <c r="PPO2483" s="56"/>
      <c r="PPP2483" s="56"/>
      <c r="PPQ2483" s="66"/>
      <c r="PPR2483" s="60"/>
      <c r="PPS2483" s="60"/>
      <c r="PPT2483" s="60"/>
      <c r="PPU2483" s="66"/>
      <c r="PPV2483" s="61"/>
      <c r="PPW2483" s="56"/>
      <c r="PPX2483" s="56"/>
      <c r="PPY2483" s="66"/>
      <c r="PPZ2483" s="60"/>
      <c r="PQA2483" s="60"/>
      <c r="PQB2483" s="60"/>
      <c r="PQC2483" s="66"/>
      <c r="PQD2483" s="61"/>
      <c r="PQE2483" s="56"/>
      <c r="PQF2483" s="56"/>
      <c r="PQG2483" s="66"/>
      <c r="PQH2483" s="60"/>
      <c r="PQI2483" s="60"/>
      <c r="PQJ2483" s="60"/>
      <c r="PQK2483" s="66"/>
      <c r="PQL2483" s="61"/>
      <c r="PQM2483" s="56"/>
      <c r="PQN2483" s="56"/>
      <c r="PQO2483" s="66"/>
      <c r="PQP2483" s="60"/>
      <c r="PQQ2483" s="60"/>
      <c r="PQR2483" s="60"/>
      <c r="PQS2483" s="66"/>
      <c r="PQT2483" s="61"/>
      <c r="PQU2483" s="56"/>
      <c r="PQV2483" s="56"/>
      <c r="PQW2483" s="66"/>
      <c r="PQX2483" s="60"/>
      <c r="PQY2483" s="60"/>
      <c r="PQZ2483" s="60"/>
      <c r="PRA2483" s="66"/>
      <c r="PRB2483" s="61"/>
      <c r="PRC2483" s="56"/>
      <c r="PRD2483" s="56"/>
      <c r="PRE2483" s="66"/>
      <c r="PRF2483" s="60"/>
      <c r="PRG2483" s="60"/>
      <c r="PRH2483" s="60"/>
      <c r="PRI2483" s="66"/>
      <c r="PRJ2483" s="61"/>
      <c r="PRK2483" s="56"/>
      <c r="PRL2483" s="56"/>
      <c r="PRM2483" s="66"/>
      <c r="PRN2483" s="60"/>
      <c r="PRO2483" s="60"/>
      <c r="PRP2483" s="60"/>
      <c r="PRQ2483" s="66"/>
      <c r="PRR2483" s="61"/>
      <c r="PRS2483" s="56"/>
      <c r="PRT2483" s="56"/>
      <c r="PRU2483" s="66"/>
      <c r="PRV2483" s="60"/>
      <c r="PRW2483" s="60"/>
      <c r="PRX2483" s="60"/>
      <c r="PRY2483" s="66"/>
      <c r="PRZ2483" s="61"/>
      <c r="PSA2483" s="56"/>
      <c r="PSB2483" s="56"/>
      <c r="PSC2483" s="66"/>
      <c r="PSD2483" s="60"/>
      <c r="PSE2483" s="60"/>
      <c r="PSF2483" s="60"/>
      <c r="PSG2483" s="66"/>
      <c r="PSH2483" s="61"/>
      <c r="PSI2483" s="56"/>
      <c r="PSJ2483" s="56"/>
      <c r="PSK2483" s="66"/>
      <c r="PSL2483" s="60"/>
      <c r="PSM2483" s="60"/>
      <c r="PSN2483" s="60"/>
      <c r="PSO2483" s="66"/>
      <c r="PSP2483" s="61"/>
      <c r="PSQ2483" s="56"/>
      <c r="PSR2483" s="56"/>
      <c r="PSS2483" s="66"/>
      <c r="PST2483" s="60"/>
      <c r="PSU2483" s="60"/>
      <c r="PSV2483" s="60"/>
      <c r="PSW2483" s="66"/>
      <c r="PSX2483" s="61"/>
      <c r="PSY2483" s="56"/>
      <c r="PSZ2483" s="56"/>
      <c r="PTA2483" s="66"/>
      <c r="PTB2483" s="60"/>
      <c r="PTC2483" s="60"/>
      <c r="PTD2483" s="60"/>
      <c r="PTE2483" s="66"/>
      <c r="PTF2483" s="61"/>
      <c r="PTG2483" s="56"/>
      <c r="PTH2483" s="56"/>
      <c r="PTI2483" s="66"/>
      <c r="PTJ2483" s="60"/>
      <c r="PTK2483" s="60"/>
      <c r="PTL2483" s="60"/>
      <c r="PTM2483" s="66"/>
      <c r="PTN2483" s="61"/>
      <c r="PTO2483" s="56"/>
      <c r="PTP2483" s="56"/>
      <c r="PTQ2483" s="66"/>
      <c r="PTR2483" s="60"/>
      <c r="PTS2483" s="60"/>
      <c r="PTT2483" s="60"/>
      <c r="PTU2483" s="66"/>
      <c r="PTV2483" s="61"/>
      <c r="PTW2483" s="56"/>
      <c r="PTX2483" s="56"/>
      <c r="PTY2483" s="66"/>
      <c r="PTZ2483" s="60"/>
      <c r="PUA2483" s="60"/>
      <c r="PUB2483" s="60"/>
      <c r="PUC2483" s="66"/>
      <c r="PUD2483" s="61"/>
      <c r="PUE2483" s="56"/>
      <c r="PUF2483" s="56"/>
      <c r="PUG2483" s="66"/>
      <c r="PUH2483" s="60"/>
      <c r="PUI2483" s="60"/>
      <c r="PUJ2483" s="60"/>
      <c r="PUK2483" s="66"/>
      <c r="PUL2483" s="61"/>
      <c r="PUM2483" s="56"/>
      <c r="PUN2483" s="56"/>
      <c r="PUO2483" s="66"/>
      <c r="PUP2483" s="60"/>
      <c r="PUQ2483" s="60"/>
      <c r="PUR2483" s="60"/>
      <c r="PUS2483" s="66"/>
      <c r="PUT2483" s="61"/>
      <c r="PUU2483" s="56"/>
      <c r="PUV2483" s="56"/>
      <c r="PUW2483" s="66"/>
      <c r="PUX2483" s="60"/>
      <c r="PUY2483" s="60"/>
      <c r="PUZ2483" s="60"/>
      <c r="PVA2483" s="66"/>
      <c r="PVB2483" s="61"/>
      <c r="PVC2483" s="56"/>
      <c r="PVD2483" s="56"/>
      <c r="PVE2483" s="66"/>
      <c r="PVF2483" s="60"/>
      <c r="PVG2483" s="60"/>
      <c r="PVH2483" s="60"/>
      <c r="PVI2483" s="66"/>
      <c r="PVJ2483" s="61"/>
      <c r="PVK2483" s="56"/>
      <c r="PVL2483" s="56"/>
      <c r="PVM2483" s="66"/>
      <c r="PVN2483" s="60"/>
      <c r="PVO2483" s="60"/>
      <c r="PVP2483" s="60"/>
      <c r="PVQ2483" s="66"/>
      <c r="PVR2483" s="61"/>
      <c r="PVS2483" s="56"/>
      <c r="PVT2483" s="56"/>
      <c r="PVU2483" s="66"/>
      <c r="PVV2483" s="60"/>
      <c r="PVW2483" s="60"/>
      <c r="PVX2483" s="60"/>
      <c r="PVY2483" s="66"/>
      <c r="PVZ2483" s="61"/>
      <c r="PWA2483" s="56"/>
      <c r="PWB2483" s="56"/>
      <c r="PWC2483" s="66"/>
      <c r="PWD2483" s="60"/>
      <c r="PWE2483" s="60"/>
      <c r="PWF2483" s="60"/>
      <c r="PWG2483" s="66"/>
      <c r="PWH2483" s="61"/>
      <c r="PWI2483" s="56"/>
      <c r="PWJ2483" s="56"/>
      <c r="PWK2483" s="66"/>
      <c r="PWL2483" s="60"/>
      <c r="PWM2483" s="60"/>
      <c r="PWN2483" s="60"/>
      <c r="PWO2483" s="66"/>
      <c r="PWP2483" s="61"/>
      <c r="PWQ2483" s="56"/>
      <c r="PWR2483" s="56"/>
      <c r="PWS2483" s="66"/>
      <c r="PWT2483" s="60"/>
      <c r="PWU2483" s="60"/>
      <c r="PWV2483" s="60"/>
      <c r="PWW2483" s="66"/>
      <c r="PWX2483" s="61"/>
      <c r="PWY2483" s="56"/>
      <c r="PWZ2483" s="56"/>
      <c r="PXA2483" s="66"/>
      <c r="PXB2483" s="60"/>
      <c r="PXC2483" s="60"/>
      <c r="PXD2483" s="60"/>
      <c r="PXE2483" s="66"/>
      <c r="PXF2483" s="61"/>
      <c r="PXG2483" s="56"/>
      <c r="PXH2483" s="56"/>
      <c r="PXI2483" s="66"/>
      <c r="PXJ2483" s="60"/>
      <c r="PXK2483" s="60"/>
      <c r="PXL2483" s="60"/>
      <c r="PXM2483" s="66"/>
      <c r="PXN2483" s="61"/>
      <c r="PXO2483" s="56"/>
      <c r="PXP2483" s="56"/>
      <c r="PXQ2483" s="66"/>
      <c r="PXR2483" s="60"/>
      <c r="PXS2483" s="60"/>
      <c r="PXT2483" s="60"/>
      <c r="PXU2483" s="66"/>
      <c r="PXV2483" s="61"/>
      <c r="PXW2483" s="56"/>
      <c r="PXX2483" s="56"/>
      <c r="PXY2483" s="66"/>
      <c r="PXZ2483" s="60"/>
      <c r="PYA2483" s="60"/>
      <c r="PYB2483" s="60"/>
      <c r="PYC2483" s="66"/>
      <c r="PYD2483" s="61"/>
      <c r="PYE2483" s="56"/>
      <c r="PYF2483" s="56"/>
      <c r="PYG2483" s="66"/>
      <c r="PYH2483" s="60"/>
      <c r="PYI2483" s="60"/>
      <c r="PYJ2483" s="60"/>
      <c r="PYK2483" s="66"/>
      <c r="PYL2483" s="61"/>
      <c r="PYM2483" s="56"/>
      <c r="PYN2483" s="56"/>
      <c r="PYO2483" s="66"/>
      <c r="PYP2483" s="60"/>
      <c r="PYQ2483" s="60"/>
      <c r="PYR2483" s="60"/>
      <c r="PYS2483" s="66"/>
      <c r="PYT2483" s="61"/>
      <c r="PYU2483" s="56"/>
      <c r="PYV2483" s="56"/>
      <c r="PYW2483" s="66"/>
      <c r="PYX2483" s="60"/>
      <c r="PYY2483" s="60"/>
      <c r="PYZ2483" s="60"/>
      <c r="PZA2483" s="66"/>
      <c r="PZB2483" s="61"/>
      <c r="PZC2483" s="56"/>
      <c r="PZD2483" s="56"/>
      <c r="PZE2483" s="66"/>
      <c r="PZF2483" s="60"/>
      <c r="PZG2483" s="60"/>
      <c r="PZH2483" s="60"/>
      <c r="PZI2483" s="66"/>
      <c r="PZJ2483" s="61"/>
      <c r="PZK2483" s="56"/>
      <c r="PZL2483" s="56"/>
      <c r="PZM2483" s="66"/>
      <c r="PZN2483" s="60"/>
      <c r="PZO2483" s="60"/>
      <c r="PZP2483" s="60"/>
      <c r="PZQ2483" s="66"/>
      <c r="PZR2483" s="61"/>
      <c r="PZS2483" s="56"/>
      <c r="PZT2483" s="56"/>
      <c r="PZU2483" s="66"/>
      <c r="PZV2483" s="60"/>
      <c r="PZW2483" s="60"/>
      <c r="PZX2483" s="60"/>
      <c r="PZY2483" s="66"/>
      <c r="PZZ2483" s="61"/>
      <c r="QAA2483" s="56"/>
      <c r="QAB2483" s="56"/>
      <c r="QAC2483" s="66"/>
      <c r="QAD2483" s="60"/>
      <c r="QAE2483" s="60"/>
      <c r="QAF2483" s="60"/>
      <c r="QAG2483" s="66"/>
      <c r="QAH2483" s="61"/>
      <c r="QAI2483" s="56"/>
      <c r="QAJ2483" s="56"/>
      <c r="QAK2483" s="66"/>
      <c r="QAL2483" s="60"/>
      <c r="QAM2483" s="60"/>
      <c r="QAN2483" s="60"/>
      <c r="QAO2483" s="66"/>
      <c r="QAP2483" s="61"/>
      <c r="QAQ2483" s="56"/>
      <c r="QAR2483" s="56"/>
      <c r="QAS2483" s="66"/>
      <c r="QAT2483" s="60"/>
      <c r="QAU2483" s="60"/>
      <c r="QAV2483" s="60"/>
      <c r="QAW2483" s="66"/>
      <c r="QAX2483" s="61"/>
      <c r="QAY2483" s="56"/>
      <c r="QAZ2483" s="56"/>
      <c r="QBA2483" s="66"/>
      <c r="QBB2483" s="60"/>
      <c r="QBC2483" s="60"/>
      <c r="QBD2483" s="60"/>
      <c r="QBE2483" s="66"/>
      <c r="QBF2483" s="61"/>
      <c r="QBG2483" s="56"/>
      <c r="QBH2483" s="56"/>
      <c r="QBI2483" s="66"/>
      <c r="QBJ2483" s="60"/>
      <c r="QBK2483" s="60"/>
      <c r="QBL2483" s="60"/>
      <c r="QBM2483" s="66"/>
      <c r="QBN2483" s="61"/>
      <c r="QBO2483" s="56"/>
      <c r="QBP2483" s="56"/>
      <c r="QBQ2483" s="66"/>
      <c r="QBR2483" s="60"/>
      <c r="QBS2483" s="60"/>
      <c r="QBT2483" s="60"/>
      <c r="QBU2483" s="66"/>
      <c r="QBV2483" s="61"/>
      <c r="QBW2483" s="56"/>
      <c r="QBX2483" s="56"/>
      <c r="QBY2483" s="66"/>
      <c r="QBZ2483" s="60"/>
      <c r="QCA2483" s="60"/>
      <c r="QCB2483" s="60"/>
      <c r="QCC2483" s="66"/>
      <c r="QCD2483" s="61"/>
      <c r="QCE2483" s="56"/>
      <c r="QCF2483" s="56"/>
      <c r="QCG2483" s="66"/>
      <c r="QCH2483" s="60"/>
      <c r="QCI2483" s="60"/>
      <c r="QCJ2483" s="60"/>
      <c r="QCK2483" s="66"/>
      <c r="QCL2483" s="61"/>
      <c r="QCM2483" s="56"/>
      <c r="QCN2483" s="56"/>
      <c r="QCO2483" s="66"/>
      <c r="QCP2483" s="60"/>
      <c r="QCQ2483" s="60"/>
      <c r="QCR2483" s="60"/>
      <c r="QCS2483" s="66"/>
      <c r="QCT2483" s="61"/>
      <c r="QCU2483" s="56"/>
      <c r="QCV2483" s="56"/>
      <c r="QCW2483" s="66"/>
      <c r="QCX2483" s="60"/>
      <c r="QCY2483" s="60"/>
      <c r="QCZ2483" s="60"/>
      <c r="QDA2483" s="66"/>
      <c r="QDB2483" s="61"/>
      <c r="QDC2483" s="56"/>
      <c r="QDD2483" s="56"/>
      <c r="QDE2483" s="66"/>
      <c r="QDF2483" s="60"/>
      <c r="QDG2483" s="60"/>
      <c r="QDH2483" s="60"/>
      <c r="QDI2483" s="66"/>
      <c r="QDJ2483" s="61"/>
      <c r="QDK2483" s="56"/>
      <c r="QDL2483" s="56"/>
      <c r="QDM2483" s="66"/>
      <c r="QDN2483" s="60"/>
      <c r="QDO2483" s="60"/>
      <c r="QDP2483" s="60"/>
      <c r="QDQ2483" s="66"/>
      <c r="QDR2483" s="61"/>
      <c r="QDS2483" s="56"/>
      <c r="QDT2483" s="56"/>
      <c r="QDU2483" s="66"/>
      <c r="QDV2483" s="60"/>
      <c r="QDW2483" s="60"/>
      <c r="QDX2483" s="60"/>
      <c r="QDY2483" s="66"/>
      <c r="QDZ2483" s="61"/>
      <c r="QEA2483" s="56"/>
      <c r="QEB2483" s="56"/>
      <c r="QEC2483" s="66"/>
      <c r="QED2483" s="60"/>
      <c r="QEE2483" s="60"/>
      <c r="QEF2483" s="60"/>
      <c r="QEG2483" s="66"/>
      <c r="QEH2483" s="61"/>
      <c r="QEI2483" s="56"/>
      <c r="QEJ2483" s="56"/>
      <c r="QEK2483" s="66"/>
      <c r="QEL2483" s="60"/>
      <c r="QEM2483" s="60"/>
      <c r="QEN2483" s="60"/>
      <c r="QEO2483" s="66"/>
      <c r="QEP2483" s="61"/>
      <c r="QEQ2483" s="56"/>
      <c r="QER2483" s="56"/>
      <c r="QES2483" s="66"/>
      <c r="QET2483" s="60"/>
      <c r="QEU2483" s="60"/>
      <c r="QEV2483" s="60"/>
      <c r="QEW2483" s="66"/>
      <c r="QEX2483" s="61"/>
      <c r="QEY2483" s="56"/>
      <c r="QEZ2483" s="56"/>
      <c r="QFA2483" s="66"/>
      <c r="QFB2483" s="60"/>
      <c r="QFC2483" s="60"/>
      <c r="QFD2483" s="60"/>
      <c r="QFE2483" s="66"/>
      <c r="QFF2483" s="61"/>
      <c r="QFG2483" s="56"/>
      <c r="QFH2483" s="56"/>
      <c r="QFI2483" s="66"/>
      <c r="QFJ2483" s="60"/>
      <c r="QFK2483" s="60"/>
      <c r="QFL2483" s="60"/>
      <c r="QFM2483" s="66"/>
      <c r="QFN2483" s="61"/>
      <c r="QFO2483" s="56"/>
      <c r="QFP2483" s="56"/>
      <c r="QFQ2483" s="66"/>
      <c r="QFR2483" s="60"/>
      <c r="QFS2483" s="60"/>
      <c r="QFT2483" s="60"/>
      <c r="QFU2483" s="66"/>
      <c r="QFV2483" s="61"/>
      <c r="QFW2483" s="56"/>
      <c r="QFX2483" s="56"/>
      <c r="QFY2483" s="66"/>
      <c r="QFZ2483" s="60"/>
      <c r="QGA2483" s="60"/>
      <c r="QGB2483" s="60"/>
      <c r="QGC2483" s="66"/>
      <c r="QGD2483" s="61"/>
      <c r="QGE2483" s="56"/>
      <c r="QGF2483" s="56"/>
      <c r="QGG2483" s="66"/>
      <c r="QGH2483" s="60"/>
      <c r="QGI2483" s="60"/>
      <c r="QGJ2483" s="60"/>
      <c r="QGK2483" s="66"/>
      <c r="QGL2483" s="61"/>
      <c r="QGM2483" s="56"/>
      <c r="QGN2483" s="56"/>
      <c r="QGO2483" s="66"/>
      <c r="QGP2483" s="60"/>
      <c r="QGQ2483" s="60"/>
      <c r="QGR2483" s="60"/>
      <c r="QGS2483" s="66"/>
      <c r="QGT2483" s="61"/>
      <c r="QGU2483" s="56"/>
      <c r="QGV2483" s="56"/>
      <c r="QGW2483" s="66"/>
      <c r="QGX2483" s="60"/>
      <c r="QGY2483" s="60"/>
      <c r="QGZ2483" s="60"/>
      <c r="QHA2483" s="66"/>
      <c r="QHB2483" s="61"/>
      <c r="QHC2483" s="56"/>
      <c r="QHD2483" s="56"/>
      <c r="QHE2483" s="66"/>
      <c r="QHF2483" s="60"/>
      <c r="QHG2483" s="60"/>
      <c r="QHH2483" s="60"/>
      <c r="QHI2483" s="66"/>
      <c r="QHJ2483" s="61"/>
      <c r="QHK2483" s="56"/>
      <c r="QHL2483" s="56"/>
      <c r="QHM2483" s="66"/>
      <c r="QHN2483" s="60"/>
      <c r="QHO2483" s="60"/>
      <c r="QHP2483" s="60"/>
      <c r="QHQ2483" s="66"/>
      <c r="QHR2483" s="61"/>
      <c r="QHS2483" s="56"/>
      <c r="QHT2483" s="56"/>
      <c r="QHU2483" s="66"/>
      <c r="QHV2483" s="60"/>
      <c r="QHW2483" s="60"/>
      <c r="QHX2483" s="60"/>
      <c r="QHY2483" s="66"/>
      <c r="QHZ2483" s="61"/>
      <c r="QIA2483" s="56"/>
      <c r="QIB2483" s="56"/>
      <c r="QIC2483" s="66"/>
      <c r="QID2483" s="60"/>
      <c r="QIE2483" s="60"/>
      <c r="QIF2483" s="60"/>
      <c r="QIG2483" s="66"/>
      <c r="QIH2483" s="61"/>
      <c r="QII2483" s="56"/>
      <c r="QIJ2483" s="56"/>
      <c r="QIK2483" s="66"/>
      <c r="QIL2483" s="60"/>
      <c r="QIM2483" s="60"/>
      <c r="QIN2483" s="60"/>
      <c r="QIO2483" s="66"/>
      <c r="QIP2483" s="61"/>
      <c r="QIQ2483" s="56"/>
      <c r="QIR2483" s="56"/>
      <c r="QIS2483" s="66"/>
      <c r="QIT2483" s="60"/>
      <c r="QIU2483" s="60"/>
      <c r="QIV2483" s="60"/>
      <c r="QIW2483" s="66"/>
      <c r="QIX2483" s="61"/>
      <c r="QIY2483" s="56"/>
      <c r="QIZ2483" s="56"/>
      <c r="QJA2483" s="66"/>
      <c r="QJB2483" s="60"/>
      <c r="QJC2483" s="60"/>
      <c r="QJD2483" s="60"/>
      <c r="QJE2483" s="66"/>
      <c r="QJF2483" s="61"/>
      <c r="QJG2483" s="56"/>
      <c r="QJH2483" s="56"/>
      <c r="QJI2483" s="66"/>
      <c r="QJJ2483" s="60"/>
      <c r="QJK2483" s="60"/>
      <c r="QJL2483" s="60"/>
      <c r="QJM2483" s="66"/>
      <c r="QJN2483" s="61"/>
      <c r="QJO2483" s="56"/>
      <c r="QJP2483" s="56"/>
      <c r="QJQ2483" s="66"/>
      <c r="QJR2483" s="60"/>
      <c r="QJS2483" s="60"/>
      <c r="QJT2483" s="60"/>
      <c r="QJU2483" s="66"/>
      <c r="QJV2483" s="61"/>
      <c r="QJW2483" s="56"/>
      <c r="QJX2483" s="56"/>
      <c r="QJY2483" s="66"/>
      <c r="QJZ2483" s="60"/>
      <c r="QKA2483" s="60"/>
      <c r="QKB2483" s="60"/>
      <c r="QKC2483" s="66"/>
      <c r="QKD2483" s="61"/>
      <c r="QKE2483" s="56"/>
      <c r="QKF2483" s="56"/>
      <c r="QKG2483" s="66"/>
      <c r="QKH2483" s="60"/>
      <c r="QKI2483" s="60"/>
      <c r="QKJ2483" s="60"/>
      <c r="QKK2483" s="66"/>
      <c r="QKL2483" s="61"/>
      <c r="QKM2483" s="56"/>
      <c r="QKN2483" s="56"/>
      <c r="QKO2483" s="66"/>
      <c r="QKP2483" s="60"/>
      <c r="QKQ2483" s="60"/>
      <c r="QKR2483" s="60"/>
      <c r="QKS2483" s="66"/>
      <c r="QKT2483" s="61"/>
      <c r="QKU2483" s="56"/>
      <c r="QKV2483" s="56"/>
      <c r="QKW2483" s="66"/>
      <c r="QKX2483" s="60"/>
      <c r="QKY2483" s="60"/>
      <c r="QKZ2483" s="60"/>
      <c r="QLA2483" s="66"/>
      <c r="QLB2483" s="61"/>
      <c r="QLC2483" s="56"/>
      <c r="QLD2483" s="56"/>
      <c r="QLE2483" s="66"/>
      <c r="QLF2483" s="60"/>
      <c r="QLG2483" s="60"/>
      <c r="QLH2483" s="60"/>
      <c r="QLI2483" s="66"/>
      <c r="QLJ2483" s="61"/>
      <c r="QLK2483" s="56"/>
      <c r="QLL2483" s="56"/>
      <c r="QLM2483" s="66"/>
      <c r="QLN2483" s="60"/>
      <c r="QLO2483" s="60"/>
      <c r="QLP2483" s="60"/>
      <c r="QLQ2483" s="66"/>
      <c r="QLR2483" s="61"/>
      <c r="QLS2483" s="56"/>
      <c r="QLT2483" s="56"/>
      <c r="QLU2483" s="66"/>
      <c r="QLV2483" s="60"/>
      <c r="QLW2483" s="60"/>
      <c r="QLX2483" s="60"/>
      <c r="QLY2483" s="66"/>
      <c r="QLZ2483" s="61"/>
      <c r="QMA2483" s="56"/>
      <c r="QMB2483" s="56"/>
      <c r="QMC2483" s="66"/>
      <c r="QMD2483" s="60"/>
      <c r="QME2483" s="60"/>
      <c r="QMF2483" s="60"/>
      <c r="QMG2483" s="66"/>
      <c r="QMH2483" s="61"/>
      <c r="QMI2483" s="56"/>
      <c r="QMJ2483" s="56"/>
      <c r="QMK2483" s="66"/>
      <c r="QML2483" s="60"/>
      <c r="QMM2483" s="60"/>
      <c r="QMN2483" s="60"/>
      <c r="QMO2483" s="66"/>
      <c r="QMP2483" s="61"/>
      <c r="QMQ2483" s="56"/>
      <c r="QMR2483" s="56"/>
      <c r="QMS2483" s="66"/>
      <c r="QMT2483" s="60"/>
      <c r="QMU2483" s="60"/>
      <c r="QMV2483" s="60"/>
      <c r="QMW2483" s="66"/>
      <c r="QMX2483" s="61"/>
      <c r="QMY2483" s="56"/>
      <c r="QMZ2483" s="56"/>
      <c r="QNA2483" s="66"/>
      <c r="QNB2483" s="60"/>
      <c r="QNC2483" s="60"/>
      <c r="QND2483" s="60"/>
      <c r="QNE2483" s="66"/>
      <c r="QNF2483" s="61"/>
      <c r="QNG2483" s="56"/>
      <c r="QNH2483" s="56"/>
      <c r="QNI2483" s="66"/>
      <c r="QNJ2483" s="60"/>
      <c r="QNK2483" s="60"/>
      <c r="QNL2483" s="60"/>
      <c r="QNM2483" s="66"/>
      <c r="QNN2483" s="61"/>
      <c r="QNO2483" s="56"/>
      <c r="QNP2483" s="56"/>
      <c r="QNQ2483" s="66"/>
      <c r="QNR2483" s="60"/>
      <c r="QNS2483" s="60"/>
      <c r="QNT2483" s="60"/>
      <c r="QNU2483" s="66"/>
      <c r="QNV2483" s="61"/>
      <c r="QNW2483" s="56"/>
      <c r="QNX2483" s="56"/>
      <c r="QNY2483" s="66"/>
      <c r="QNZ2483" s="60"/>
      <c r="QOA2483" s="60"/>
      <c r="QOB2483" s="60"/>
      <c r="QOC2483" s="66"/>
      <c r="QOD2483" s="61"/>
      <c r="QOE2483" s="56"/>
      <c r="QOF2483" s="56"/>
      <c r="QOG2483" s="66"/>
      <c r="QOH2483" s="60"/>
      <c r="QOI2483" s="60"/>
      <c r="QOJ2483" s="60"/>
      <c r="QOK2483" s="66"/>
      <c r="QOL2483" s="61"/>
      <c r="QOM2483" s="56"/>
      <c r="QON2483" s="56"/>
      <c r="QOO2483" s="66"/>
      <c r="QOP2483" s="60"/>
      <c r="QOQ2483" s="60"/>
      <c r="QOR2483" s="60"/>
      <c r="QOS2483" s="66"/>
      <c r="QOT2483" s="61"/>
      <c r="QOU2483" s="56"/>
      <c r="QOV2483" s="56"/>
      <c r="QOW2483" s="66"/>
      <c r="QOX2483" s="60"/>
      <c r="QOY2483" s="60"/>
      <c r="QOZ2483" s="60"/>
      <c r="QPA2483" s="66"/>
      <c r="QPB2483" s="61"/>
      <c r="QPC2483" s="56"/>
      <c r="QPD2483" s="56"/>
      <c r="QPE2483" s="66"/>
      <c r="QPF2483" s="60"/>
      <c r="QPG2483" s="60"/>
      <c r="QPH2483" s="60"/>
      <c r="QPI2483" s="66"/>
      <c r="QPJ2483" s="61"/>
      <c r="QPK2483" s="56"/>
      <c r="QPL2483" s="56"/>
      <c r="QPM2483" s="66"/>
      <c r="QPN2483" s="60"/>
      <c r="QPO2483" s="60"/>
      <c r="QPP2483" s="60"/>
      <c r="QPQ2483" s="66"/>
      <c r="QPR2483" s="61"/>
      <c r="QPS2483" s="56"/>
      <c r="QPT2483" s="56"/>
      <c r="QPU2483" s="66"/>
      <c r="QPV2483" s="60"/>
      <c r="QPW2483" s="60"/>
      <c r="QPX2483" s="60"/>
      <c r="QPY2483" s="66"/>
      <c r="QPZ2483" s="61"/>
      <c r="QQA2483" s="56"/>
      <c r="QQB2483" s="56"/>
      <c r="QQC2483" s="66"/>
      <c r="QQD2483" s="60"/>
      <c r="QQE2483" s="60"/>
      <c r="QQF2483" s="60"/>
      <c r="QQG2483" s="66"/>
      <c r="QQH2483" s="61"/>
      <c r="QQI2483" s="56"/>
      <c r="QQJ2483" s="56"/>
      <c r="QQK2483" s="66"/>
      <c r="QQL2483" s="60"/>
      <c r="QQM2483" s="60"/>
      <c r="QQN2483" s="60"/>
      <c r="QQO2483" s="66"/>
      <c r="QQP2483" s="61"/>
      <c r="QQQ2483" s="56"/>
      <c r="QQR2483" s="56"/>
      <c r="QQS2483" s="66"/>
      <c r="QQT2483" s="60"/>
      <c r="QQU2483" s="60"/>
      <c r="QQV2483" s="60"/>
      <c r="QQW2483" s="66"/>
      <c r="QQX2483" s="61"/>
      <c r="QQY2483" s="56"/>
      <c r="QQZ2483" s="56"/>
      <c r="QRA2483" s="66"/>
      <c r="QRB2483" s="60"/>
      <c r="QRC2483" s="60"/>
      <c r="QRD2483" s="60"/>
      <c r="QRE2483" s="66"/>
      <c r="QRF2483" s="61"/>
      <c r="QRG2483" s="56"/>
      <c r="QRH2483" s="56"/>
      <c r="QRI2483" s="66"/>
      <c r="QRJ2483" s="60"/>
      <c r="QRK2483" s="60"/>
      <c r="QRL2483" s="60"/>
      <c r="QRM2483" s="66"/>
      <c r="QRN2483" s="61"/>
      <c r="QRO2483" s="56"/>
      <c r="QRP2483" s="56"/>
      <c r="QRQ2483" s="66"/>
      <c r="QRR2483" s="60"/>
      <c r="QRS2483" s="60"/>
      <c r="QRT2483" s="60"/>
      <c r="QRU2483" s="66"/>
      <c r="QRV2483" s="61"/>
      <c r="QRW2483" s="56"/>
      <c r="QRX2483" s="56"/>
      <c r="QRY2483" s="66"/>
      <c r="QRZ2483" s="60"/>
      <c r="QSA2483" s="60"/>
      <c r="QSB2483" s="60"/>
      <c r="QSC2483" s="66"/>
      <c r="QSD2483" s="61"/>
      <c r="QSE2483" s="56"/>
      <c r="QSF2483" s="56"/>
      <c r="QSG2483" s="66"/>
      <c r="QSH2483" s="60"/>
      <c r="QSI2483" s="60"/>
      <c r="QSJ2483" s="60"/>
      <c r="QSK2483" s="66"/>
      <c r="QSL2483" s="61"/>
      <c r="QSM2483" s="56"/>
      <c r="QSN2483" s="56"/>
      <c r="QSO2483" s="66"/>
      <c r="QSP2483" s="60"/>
      <c r="QSQ2483" s="60"/>
      <c r="QSR2483" s="60"/>
      <c r="QSS2483" s="66"/>
      <c r="QST2483" s="61"/>
      <c r="QSU2483" s="56"/>
      <c r="QSV2483" s="56"/>
      <c r="QSW2483" s="66"/>
      <c r="QSX2483" s="60"/>
      <c r="QSY2483" s="60"/>
      <c r="QSZ2483" s="60"/>
      <c r="QTA2483" s="66"/>
      <c r="QTB2483" s="61"/>
      <c r="QTC2483" s="56"/>
      <c r="QTD2483" s="56"/>
      <c r="QTE2483" s="66"/>
      <c r="QTF2483" s="60"/>
      <c r="QTG2483" s="60"/>
      <c r="QTH2483" s="60"/>
      <c r="QTI2483" s="66"/>
      <c r="QTJ2483" s="61"/>
      <c r="QTK2483" s="56"/>
      <c r="QTL2483" s="56"/>
      <c r="QTM2483" s="66"/>
      <c r="QTN2483" s="60"/>
      <c r="QTO2483" s="60"/>
      <c r="QTP2483" s="60"/>
      <c r="QTQ2483" s="66"/>
      <c r="QTR2483" s="61"/>
      <c r="QTS2483" s="56"/>
      <c r="QTT2483" s="56"/>
      <c r="QTU2483" s="66"/>
      <c r="QTV2483" s="60"/>
      <c r="QTW2483" s="60"/>
      <c r="QTX2483" s="60"/>
      <c r="QTY2483" s="66"/>
      <c r="QTZ2483" s="61"/>
      <c r="QUA2483" s="56"/>
      <c r="QUB2483" s="56"/>
      <c r="QUC2483" s="66"/>
      <c r="QUD2483" s="60"/>
      <c r="QUE2483" s="60"/>
      <c r="QUF2483" s="60"/>
      <c r="QUG2483" s="66"/>
      <c r="QUH2483" s="61"/>
      <c r="QUI2483" s="56"/>
      <c r="QUJ2483" s="56"/>
      <c r="QUK2483" s="66"/>
      <c r="QUL2483" s="60"/>
      <c r="QUM2483" s="60"/>
      <c r="QUN2483" s="60"/>
      <c r="QUO2483" s="66"/>
      <c r="QUP2483" s="61"/>
      <c r="QUQ2483" s="56"/>
      <c r="QUR2483" s="56"/>
      <c r="QUS2483" s="66"/>
      <c r="QUT2483" s="60"/>
      <c r="QUU2483" s="60"/>
      <c r="QUV2483" s="60"/>
      <c r="QUW2483" s="66"/>
      <c r="QUX2483" s="61"/>
      <c r="QUY2483" s="56"/>
      <c r="QUZ2483" s="56"/>
      <c r="QVA2483" s="66"/>
      <c r="QVB2483" s="60"/>
      <c r="QVC2483" s="60"/>
      <c r="QVD2483" s="60"/>
      <c r="QVE2483" s="66"/>
      <c r="QVF2483" s="61"/>
      <c r="QVG2483" s="56"/>
      <c r="QVH2483" s="56"/>
      <c r="QVI2483" s="66"/>
      <c r="QVJ2483" s="60"/>
      <c r="QVK2483" s="60"/>
      <c r="QVL2483" s="60"/>
      <c r="QVM2483" s="66"/>
      <c r="QVN2483" s="61"/>
      <c r="QVO2483" s="56"/>
      <c r="QVP2483" s="56"/>
      <c r="QVQ2483" s="66"/>
      <c r="QVR2483" s="60"/>
      <c r="QVS2483" s="60"/>
      <c r="QVT2483" s="60"/>
      <c r="QVU2483" s="66"/>
      <c r="QVV2483" s="61"/>
      <c r="QVW2483" s="56"/>
      <c r="QVX2483" s="56"/>
      <c r="QVY2483" s="66"/>
      <c r="QVZ2483" s="60"/>
      <c r="QWA2483" s="60"/>
      <c r="QWB2483" s="60"/>
      <c r="QWC2483" s="66"/>
      <c r="QWD2483" s="61"/>
      <c r="QWE2483" s="56"/>
      <c r="QWF2483" s="56"/>
      <c r="QWG2483" s="66"/>
      <c r="QWH2483" s="60"/>
      <c r="QWI2483" s="60"/>
      <c r="QWJ2483" s="60"/>
      <c r="QWK2483" s="66"/>
      <c r="QWL2483" s="61"/>
      <c r="QWM2483" s="56"/>
      <c r="QWN2483" s="56"/>
      <c r="QWO2483" s="66"/>
      <c r="QWP2483" s="60"/>
      <c r="QWQ2483" s="60"/>
      <c r="QWR2483" s="60"/>
      <c r="QWS2483" s="66"/>
      <c r="QWT2483" s="61"/>
      <c r="QWU2483" s="56"/>
      <c r="QWV2483" s="56"/>
      <c r="QWW2483" s="66"/>
      <c r="QWX2483" s="60"/>
      <c r="QWY2483" s="60"/>
      <c r="QWZ2483" s="60"/>
      <c r="QXA2483" s="66"/>
      <c r="QXB2483" s="61"/>
      <c r="QXC2483" s="56"/>
      <c r="QXD2483" s="56"/>
      <c r="QXE2483" s="66"/>
      <c r="QXF2483" s="60"/>
      <c r="QXG2483" s="60"/>
      <c r="QXH2483" s="60"/>
      <c r="QXI2483" s="66"/>
      <c r="QXJ2483" s="61"/>
      <c r="QXK2483" s="56"/>
      <c r="QXL2483" s="56"/>
      <c r="QXM2483" s="66"/>
      <c r="QXN2483" s="60"/>
      <c r="QXO2483" s="60"/>
      <c r="QXP2483" s="60"/>
      <c r="QXQ2483" s="66"/>
      <c r="QXR2483" s="61"/>
      <c r="QXS2483" s="56"/>
      <c r="QXT2483" s="56"/>
      <c r="QXU2483" s="66"/>
      <c r="QXV2483" s="60"/>
      <c r="QXW2483" s="60"/>
      <c r="QXX2483" s="60"/>
      <c r="QXY2483" s="66"/>
      <c r="QXZ2483" s="61"/>
      <c r="QYA2483" s="56"/>
      <c r="QYB2483" s="56"/>
      <c r="QYC2483" s="66"/>
      <c r="QYD2483" s="60"/>
      <c r="QYE2483" s="60"/>
      <c r="QYF2483" s="60"/>
      <c r="QYG2483" s="66"/>
      <c r="QYH2483" s="61"/>
      <c r="QYI2483" s="56"/>
      <c r="QYJ2483" s="56"/>
      <c r="QYK2483" s="66"/>
      <c r="QYL2483" s="60"/>
      <c r="QYM2483" s="60"/>
      <c r="QYN2483" s="60"/>
      <c r="QYO2483" s="66"/>
      <c r="QYP2483" s="61"/>
      <c r="QYQ2483" s="56"/>
      <c r="QYR2483" s="56"/>
      <c r="QYS2483" s="66"/>
      <c r="QYT2483" s="60"/>
      <c r="QYU2483" s="60"/>
      <c r="QYV2483" s="60"/>
      <c r="QYW2483" s="66"/>
      <c r="QYX2483" s="61"/>
      <c r="QYY2483" s="56"/>
      <c r="QYZ2483" s="56"/>
      <c r="QZA2483" s="66"/>
      <c r="QZB2483" s="60"/>
      <c r="QZC2483" s="60"/>
      <c r="QZD2483" s="60"/>
      <c r="QZE2483" s="66"/>
      <c r="QZF2483" s="61"/>
      <c r="QZG2483" s="56"/>
      <c r="QZH2483" s="56"/>
      <c r="QZI2483" s="66"/>
      <c r="QZJ2483" s="60"/>
      <c r="QZK2483" s="60"/>
      <c r="QZL2483" s="60"/>
      <c r="QZM2483" s="66"/>
      <c r="QZN2483" s="61"/>
      <c r="QZO2483" s="56"/>
      <c r="QZP2483" s="56"/>
      <c r="QZQ2483" s="66"/>
      <c r="QZR2483" s="60"/>
      <c r="QZS2483" s="60"/>
      <c r="QZT2483" s="60"/>
      <c r="QZU2483" s="66"/>
      <c r="QZV2483" s="61"/>
      <c r="QZW2483" s="56"/>
      <c r="QZX2483" s="56"/>
      <c r="QZY2483" s="66"/>
      <c r="QZZ2483" s="60"/>
      <c r="RAA2483" s="60"/>
      <c r="RAB2483" s="60"/>
      <c r="RAC2483" s="66"/>
      <c r="RAD2483" s="61"/>
      <c r="RAE2483" s="56"/>
      <c r="RAF2483" s="56"/>
      <c r="RAG2483" s="66"/>
      <c r="RAH2483" s="60"/>
      <c r="RAI2483" s="60"/>
      <c r="RAJ2483" s="60"/>
      <c r="RAK2483" s="66"/>
      <c r="RAL2483" s="61"/>
      <c r="RAM2483" s="56"/>
      <c r="RAN2483" s="56"/>
      <c r="RAO2483" s="66"/>
      <c r="RAP2483" s="60"/>
      <c r="RAQ2483" s="60"/>
      <c r="RAR2483" s="60"/>
      <c r="RAS2483" s="66"/>
      <c r="RAT2483" s="61"/>
      <c r="RAU2483" s="56"/>
      <c r="RAV2483" s="56"/>
      <c r="RAW2483" s="66"/>
      <c r="RAX2483" s="60"/>
      <c r="RAY2483" s="60"/>
      <c r="RAZ2483" s="60"/>
      <c r="RBA2483" s="66"/>
      <c r="RBB2483" s="61"/>
      <c r="RBC2483" s="56"/>
      <c r="RBD2483" s="56"/>
      <c r="RBE2483" s="66"/>
      <c r="RBF2483" s="60"/>
      <c r="RBG2483" s="60"/>
      <c r="RBH2483" s="60"/>
      <c r="RBI2483" s="66"/>
      <c r="RBJ2483" s="61"/>
      <c r="RBK2483" s="56"/>
      <c r="RBL2483" s="56"/>
      <c r="RBM2483" s="66"/>
      <c r="RBN2483" s="60"/>
      <c r="RBO2483" s="60"/>
      <c r="RBP2483" s="60"/>
      <c r="RBQ2483" s="66"/>
      <c r="RBR2483" s="61"/>
      <c r="RBS2483" s="56"/>
      <c r="RBT2483" s="56"/>
      <c r="RBU2483" s="66"/>
      <c r="RBV2483" s="60"/>
      <c r="RBW2483" s="60"/>
      <c r="RBX2483" s="60"/>
      <c r="RBY2483" s="66"/>
      <c r="RBZ2483" s="61"/>
      <c r="RCA2483" s="56"/>
      <c r="RCB2483" s="56"/>
      <c r="RCC2483" s="66"/>
      <c r="RCD2483" s="60"/>
      <c r="RCE2483" s="60"/>
      <c r="RCF2483" s="60"/>
      <c r="RCG2483" s="66"/>
      <c r="RCH2483" s="61"/>
      <c r="RCI2483" s="56"/>
      <c r="RCJ2483" s="56"/>
      <c r="RCK2483" s="66"/>
      <c r="RCL2483" s="60"/>
      <c r="RCM2483" s="60"/>
      <c r="RCN2483" s="60"/>
      <c r="RCO2483" s="66"/>
      <c r="RCP2483" s="61"/>
      <c r="RCQ2483" s="56"/>
      <c r="RCR2483" s="56"/>
      <c r="RCS2483" s="66"/>
      <c r="RCT2483" s="60"/>
      <c r="RCU2483" s="60"/>
      <c r="RCV2483" s="60"/>
      <c r="RCW2483" s="66"/>
      <c r="RCX2483" s="61"/>
      <c r="RCY2483" s="56"/>
      <c r="RCZ2483" s="56"/>
      <c r="RDA2483" s="66"/>
      <c r="RDB2483" s="60"/>
      <c r="RDC2483" s="60"/>
      <c r="RDD2483" s="60"/>
      <c r="RDE2483" s="66"/>
      <c r="RDF2483" s="61"/>
      <c r="RDG2483" s="56"/>
      <c r="RDH2483" s="56"/>
      <c r="RDI2483" s="66"/>
      <c r="RDJ2483" s="60"/>
      <c r="RDK2483" s="60"/>
      <c r="RDL2483" s="60"/>
      <c r="RDM2483" s="66"/>
      <c r="RDN2483" s="61"/>
      <c r="RDO2483" s="56"/>
      <c r="RDP2483" s="56"/>
      <c r="RDQ2483" s="66"/>
      <c r="RDR2483" s="60"/>
      <c r="RDS2483" s="60"/>
      <c r="RDT2483" s="60"/>
      <c r="RDU2483" s="66"/>
      <c r="RDV2483" s="61"/>
      <c r="RDW2483" s="56"/>
      <c r="RDX2483" s="56"/>
      <c r="RDY2483" s="66"/>
      <c r="RDZ2483" s="60"/>
      <c r="REA2483" s="60"/>
      <c r="REB2483" s="60"/>
      <c r="REC2483" s="66"/>
      <c r="RED2483" s="61"/>
      <c r="REE2483" s="56"/>
      <c r="REF2483" s="56"/>
      <c r="REG2483" s="66"/>
      <c r="REH2483" s="60"/>
      <c r="REI2483" s="60"/>
      <c r="REJ2483" s="60"/>
      <c r="REK2483" s="66"/>
      <c r="REL2483" s="61"/>
      <c r="REM2483" s="56"/>
      <c r="REN2483" s="56"/>
      <c r="REO2483" s="66"/>
      <c r="REP2483" s="60"/>
      <c r="REQ2483" s="60"/>
      <c r="RER2483" s="60"/>
      <c r="RES2483" s="66"/>
      <c r="RET2483" s="61"/>
      <c r="REU2483" s="56"/>
      <c r="REV2483" s="56"/>
      <c r="REW2483" s="66"/>
      <c r="REX2483" s="60"/>
      <c r="REY2483" s="60"/>
      <c r="REZ2483" s="60"/>
      <c r="RFA2483" s="66"/>
      <c r="RFB2483" s="61"/>
      <c r="RFC2483" s="56"/>
      <c r="RFD2483" s="56"/>
      <c r="RFE2483" s="66"/>
      <c r="RFF2483" s="60"/>
      <c r="RFG2483" s="60"/>
      <c r="RFH2483" s="60"/>
      <c r="RFI2483" s="66"/>
      <c r="RFJ2483" s="61"/>
      <c r="RFK2483" s="56"/>
      <c r="RFL2483" s="56"/>
      <c r="RFM2483" s="66"/>
      <c r="RFN2483" s="60"/>
      <c r="RFO2483" s="60"/>
      <c r="RFP2483" s="60"/>
      <c r="RFQ2483" s="66"/>
      <c r="RFR2483" s="61"/>
      <c r="RFS2483" s="56"/>
      <c r="RFT2483" s="56"/>
      <c r="RFU2483" s="66"/>
      <c r="RFV2483" s="60"/>
      <c r="RFW2483" s="60"/>
      <c r="RFX2483" s="60"/>
      <c r="RFY2483" s="66"/>
      <c r="RFZ2483" s="61"/>
      <c r="RGA2483" s="56"/>
      <c r="RGB2483" s="56"/>
      <c r="RGC2483" s="66"/>
      <c r="RGD2483" s="60"/>
      <c r="RGE2483" s="60"/>
      <c r="RGF2483" s="60"/>
      <c r="RGG2483" s="66"/>
      <c r="RGH2483" s="61"/>
      <c r="RGI2483" s="56"/>
      <c r="RGJ2483" s="56"/>
      <c r="RGK2483" s="66"/>
      <c r="RGL2483" s="60"/>
      <c r="RGM2483" s="60"/>
      <c r="RGN2483" s="60"/>
      <c r="RGO2483" s="66"/>
      <c r="RGP2483" s="61"/>
      <c r="RGQ2483" s="56"/>
      <c r="RGR2483" s="56"/>
      <c r="RGS2483" s="66"/>
      <c r="RGT2483" s="60"/>
      <c r="RGU2483" s="60"/>
      <c r="RGV2483" s="60"/>
      <c r="RGW2483" s="66"/>
      <c r="RGX2483" s="61"/>
      <c r="RGY2483" s="56"/>
      <c r="RGZ2483" s="56"/>
      <c r="RHA2483" s="66"/>
      <c r="RHB2483" s="60"/>
      <c r="RHC2483" s="60"/>
      <c r="RHD2483" s="60"/>
      <c r="RHE2483" s="66"/>
      <c r="RHF2483" s="61"/>
      <c r="RHG2483" s="56"/>
      <c r="RHH2483" s="56"/>
      <c r="RHI2483" s="66"/>
      <c r="RHJ2483" s="60"/>
      <c r="RHK2483" s="60"/>
      <c r="RHL2483" s="60"/>
      <c r="RHM2483" s="66"/>
      <c r="RHN2483" s="61"/>
      <c r="RHO2483" s="56"/>
      <c r="RHP2483" s="56"/>
      <c r="RHQ2483" s="66"/>
      <c r="RHR2483" s="60"/>
      <c r="RHS2483" s="60"/>
      <c r="RHT2483" s="60"/>
      <c r="RHU2483" s="66"/>
      <c r="RHV2483" s="61"/>
      <c r="RHW2483" s="56"/>
      <c r="RHX2483" s="56"/>
      <c r="RHY2483" s="66"/>
      <c r="RHZ2483" s="60"/>
      <c r="RIA2483" s="60"/>
      <c r="RIB2483" s="60"/>
      <c r="RIC2483" s="66"/>
      <c r="RID2483" s="61"/>
      <c r="RIE2483" s="56"/>
      <c r="RIF2483" s="56"/>
      <c r="RIG2483" s="66"/>
      <c r="RIH2483" s="60"/>
      <c r="RII2483" s="60"/>
      <c r="RIJ2483" s="60"/>
      <c r="RIK2483" s="66"/>
      <c r="RIL2483" s="61"/>
      <c r="RIM2483" s="56"/>
      <c r="RIN2483" s="56"/>
      <c r="RIO2483" s="66"/>
      <c r="RIP2483" s="60"/>
      <c r="RIQ2483" s="60"/>
      <c r="RIR2483" s="60"/>
      <c r="RIS2483" s="66"/>
      <c r="RIT2483" s="61"/>
      <c r="RIU2483" s="56"/>
      <c r="RIV2483" s="56"/>
      <c r="RIW2483" s="66"/>
      <c r="RIX2483" s="60"/>
      <c r="RIY2483" s="60"/>
      <c r="RIZ2483" s="60"/>
      <c r="RJA2483" s="66"/>
      <c r="RJB2483" s="61"/>
      <c r="RJC2483" s="56"/>
      <c r="RJD2483" s="56"/>
      <c r="RJE2483" s="66"/>
      <c r="RJF2483" s="60"/>
      <c r="RJG2483" s="60"/>
      <c r="RJH2483" s="60"/>
      <c r="RJI2483" s="66"/>
      <c r="RJJ2483" s="61"/>
      <c r="RJK2483" s="56"/>
      <c r="RJL2483" s="56"/>
      <c r="RJM2483" s="66"/>
      <c r="RJN2483" s="60"/>
      <c r="RJO2483" s="60"/>
      <c r="RJP2483" s="60"/>
      <c r="RJQ2483" s="66"/>
      <c r="RJR2483" s="61"/>
      <c r="RJS2483" s="56"/>
      <c r="RJT2483" s="56"/>
      <c r="RJU2483" s="66"/>
      <c r="RJV2483" s="60"/>
      <c r="RJW2483" s="60"/>
      <c r="RJX2483" s="60"/>
      <c r="RJY2483" s="66"/>
      <c r="RJZ2483" s="61"/>
      <c r="RKA2483" s="56"/>
      <c r="RKB2483" s="56"/>
      <c r="RKC2483" s="66"/>
      <c r="RKD2483" s="60"/>
      <c r="RKE2483" s="60"/>
      <c r="RKF2483" s="60"/>
      <c r="RKG2483" s="66"/>
      <c r="RKH2483" s="61"/>
      <c r="RKI2483" s="56"/>
      <c r="RKJ2483" s="56"/>
      <c r="RKK2483" s="66"/>
      <c r="RKL2483" s="60"/>
      <c r="RKM2483" s="60"/>
      <c r="RKN2483" s="60"/>
      <c r="RKO2483" s="66"/>
      <c r="RKP2483" s="61"/>
      <c r="RKQ2483" s="56"/>
      <c r="RKR2483" s="56"/>
      <c r="RKS2483" s="66"/>
      <c r="RKT2483" s="60"/>
      <c r="RKU2483" s="60"/>
      <c r="RKV2483" s="60"/>
      <c r="RKW2483" s="66"/>
      <c r="RKX2483" s="61"/>
      <c r="RKY2483" s="56"/>
      <c r="RKZ2483" s="56"/>
      <c r="RLA2483" s="66"/>
      <c r="RLB2483" s="60"/>
      <c r="RLC2483" s="60"/>
      <c r="RLD2483" s="60"/>
      <c r="RLE2483" s="66"/>
      <c r="RLF2483" s="61"/>
      <c r="RLG2483" s="56"/>
      <c r="RLH2483" s="56"/>
      <c r="RLI2483" s="66"/>
      <c r="RLJ2483" s="60"/>
      <c r="RLK2483" s="60"/>
      <c r="RLL2483" s="60"/>
      <c r="RLM2483" s="66"/>
      <c r="RLN2483" s="61"/>
      <c r="RLO2483" s="56"/>
      <c r="RLP2483" s="56"/>
      <c r="RLQ2483" s="66"/>
      <c r="RLR2483" s="60"/>
      <c r="RLS2483" s="60"/>
      <c r="RLT2483" s="60"/>
      <c r="RLU2483" s="66"/>
      <c r="RLV2483" s="61"/>
      <c r="RLW2483" s="56"/>
      <c r="RLX2483" s="56"/>
      <c r="RLY2483" s="66"/>
      <c r="RLZ2483" s="60"/>
      <c r="RMA2483" s="60"/>
      <c r="RMB2483" s="60"/>
      <c r="RMC2483" s="66"/>
      <c r="RMD2483" s="61"/>
      <c r="RME2483" s="56"/>
      <c r="RMF2483" s="56"/>
      <c r="RMG2483" s="66"/>
      <c r="RMH2483" s="60"/>
      <c r="RMI2483" s="60"/>
      <c r="RMJ2483" s="60"/>
      <c r="RMK2483" s="66"/>
      <c r="RML2483" s="61"/>
      <c r="RMM2483" s="56"/>
      <c r="RMN2483" s="56"/>
      <c r="RMO2483" s="66"/>
      <c r="RMP2483" s="60"/>
      <c r="RMQ2483" s="60"/>
      <c r="RMR2483" s="60"/>
      <c r="RMS2483" s="66"/>
      <c r="RMT2483" s="61"/>
      <c r="RMU2483" s="56"/>
      <c r="RMV2483" s="56"/>
      <c r="RMW2483" s="66"/>
      <c r="RMX2483" s="60"/>
      <c r="RMY2483" s="60"/>
      <c r="RMZ2483" s="60"/>
      <c r="RNA2483" s="66"/>
      <c r="RNB2483" s="61"/>
      <c r="RNC2483" s="56"/>
      <c r="RND2483" s="56"/>
      <c r="RNE2483" s="66"/>
      <c r="RNF2483" s="60"/>
      <c r="RNG2483" s="60"/>
      <c r="RNH2483" s="60"/>
      <c r="RNI2483" s="66"/>
      <c r="RNJ2483" s="61"/>
      <c r="RNK2483" s="56"/>
      <c r="RNL2483" s="56"/>
      <c r="RNM2483" s="66"/>
      <c r="RNN2483" s="60"/>
      <c r="RNO2483" s="60"/>
      <c r="RNP2483" s="60"/>
      <c r="RNQ2483" s="66"/>
      <c r="RNR2483" s="61"/>
      <c r="RNS2483" s="56"/>
      <c r="RNT2483" s="56"/>
      <c r="RNU2483" s="66"/>
      <c r="RNV2483" s="60"/>
      <c r="RNW2483" s="60"/>
      <c r="RNX2483" s="60"/>
      <c r="RNY2483" s="66"/>
      <c r="RNZ2483" s="61"/>
      <c r="ROA2483" s="56"/>
      <c r="ROB2483" s="56"/>
      <c r="ROC2483" s="66"/>
      <c r="ROD2483" s="60"/>
      <c r="ROE2483" s="60"/>
      <c r="ROF2483" s="60"/>
      <c r="ROG2483" s="66"/>
      <c r="ROH2483" s="61"/>
      <c r="ROI2483" s="56"/>
      <c r="ROJ2483" s="56"/>
      <c r="ROK2483" s="66"/>
      <c r="ROL2483" s="60"/>
      <c r="ROM2483" s="60"/>
      <c r="RON2483" s="60"/>
      <c r="ROO2483" s="66"/>
      <c r="ROP2483" s="61"/>
      <c r="ROQ2483" s="56"/>
      <c r="ROR2483" s="56"/>
      <c r="ROS2483" s="66"/>
      <c r="ROT2483" s="60"/>
      <c r="ROU2483" s="60"/>
      <c r="ROV2483" s="60"/>
      <c r="ROW2483" s="66"/>
      <c r="ROX2483" s="61"/>
      <c r="ROY2483" s="56"/>
      <c r="ROZ2483" s="56"/>
      <c r="RPA2483" s="66"/>
      <c r="RPB2483" s="60"/>
      <c r="RPC2483" s="60"/>
      <c r="RPD2483" s="60"/>
      <c r="RPE2483" s="66"/>
      <c r="RPF2483" s="61"/>
      <c r="RPG2483" s="56"/>
      <c r="RPH2483" s="56"/>
      <c r="RPI2483" s="66"/>
      <c r="RPJ2483" s="60"/>
      <c r="RPK2483" s="60"/>
      <c r="RPL2483" s="60"/>
      <c r="RPM2483" s="66"/>
      <c r="RPN2483" s="61"/>
      <c r="RPO2483" s="56"/>
      <c r="RPP2483" s="56"/>
      <c r="RPQ2483" s="66"/>
      <c r="RPR2483" s="60"/>
      <c r="RPS2483" s="60"/>
      <c r="RPT2483" s="60"/>
      <c r="RPU2483" s="66"/>
      <c r="RPV2483" s="61"/>
      <c r="RPW2483" s="56"/>
      <c r="RPX2483" s="56"/>
      <c r="RPY2483" s="66"/>
      <c r="RPZ2483" s="60"/>
      <c r="RQA2483" s="60"/>
      <c r="RQB2483" s="60"/>
      <c r="RQC2483" s="66"/>
      <c r="RQD2483" s="61"/>
      <c r="RQE2483" s="56"/>
      <c r="RQF2483" s="56"/>
      <c r="RQG2483" s="66"/>
      <c r="RQH2483" s="60"/>
      <c r="RQI2483" s="60"/>
      <c r="RQJ2483" s="60"/>
      <c r="RQK2483" s="66"/>
      <c r="RQL2483" s="61"/>
      <c r="RQM2483" s="56"/>
      <c r="RQN2483" s="56"/>
      <c r="RQO2483" s="66"/>
      <c r="RQP2483" s="60"/>
      <c r="RQQ2483" s="60"/>
      <c r="RQR2483" s="60"/>
      <c r="RQS2483" s="66"/>
      <c r="RQT2483" s="61"/>
      <c r="RQU2483" s="56"/>
      <c r="RQV2483" s="56"/>
      <c r="RQW2483" s="66"/>
      <c r="RQX2483" s="60"/>
      <c r="RQY2483" s="60"/>
      <c r="RQZ2483" s="60"/>
      <c r="RRA2483" s="66"/>
      <c r="RRB2483" s="61"/>
      <c r="RRC2483" s="56"/>
      <c r="RRD2483" s="56"/>
      <c r="RRE2483" s="66"/>
      <c r="RRF2483" s="60"/>
      <c r="RRG2483" s="60"/>
      <c r="RRH2483" s="60"/>
      <c r="RRI2483" s="66"/>
      <c r="RRJ2483" s="61"/>
      <c r="RRK2483" s="56"/>
      <c r="RRL2483" s="56"/>
      <c r="RRM2483" s="66"/>
      <c r="RRN2483" s="60"/>
      <c r="RRO2483" s="60"/>
      <c r="RRP2483" s="60"/>
      <c r="RRQ2483" s="66"/>
      <c r="RRR2483" s="61"/>
      <c r="RRS2483" s="56"/>
      <c r="RRT2483" s="56"/>
      <c r="RRU2483" s="66"/>
      <c r="RRV2483" s="60"/>
      <c r="RRW2483" s="60"/>
      <c r="RRX2483" s="60"/>
      <c r="RRY2483" s="66"/>
      <c r="RRZ2483" s="61"/>
      <c r="RSA2483" s="56"/>
      <c r="RSB2483" s="56"/>
      <c r="RSC2483" s="66"/>
      <c r="RSD2483" s="60"/>
      <c r="RSE2483" s="60"/>
      <c r="RSF2483" s="60"/>
      <c r="RSG2483" s="66"/>
      <c r="RSH2483" s="61"/>
      <c r="RSI2483" s="56"/>
      <c r="RSJ2483" s="56"/>
      <c r="RSK2483" s="66"/>
      <c r="RSL2483" s="60"/>
      <c r="RSM2483" s="60"/>
      <c r="RSN2483" s="60"/>
      <c r="RSO2483" s="66"/>
      <c r="RSP2483" s="61"/>
      <c r="RSQ2483" s="56"/>
      <c r="RSR2483" s="56"/>
      <c r="RSS2483" s="66"/>
      <c r="RST2483" s="60"/>
      <c r="RSU2483" s="60"/>
      <c r="RSV2483" s="60"/>
      <c r="RSW2483" s="66"/>
      <c r="RSX2483" s="61"/>
      <c r="RSY2483" s="56"/>
      <c r="RSZ2483" s="56"/>
      <c r="RTA2483" s="66"/>
      <c r="RTB2483" s="60"/>
      <c r="RTC2483" s="60"/>
      <c r="RTD2483" s="60"/>
      <c r="RTE2483" s="66"/>
      <c r="RTF2483" s="61"/>
      <c r="RTG2483" s="56"/>
      <c r="RTH2483" s="56"/>
      <c r="RTI2483" s="66"/>
      <c r="RTJ2483" s="60"/>
      <c r="RTK2483" s="60"/>
      <c r="RTL2483" s="60"/>
      <c r="RTM2483" s="66"/>
      <c r="RTN2483" s="61"/>
      <c r="RTO2483" s="56"/>
      <c r="RTP2483" s="56"/>
      <c r="RTQ2483" s="66"/>
      <c r="RTR2483" s="60"/>
      <c r="RTS2483" s="60"/>
      <c r="RTT2483" s="60"/>
      <c r="RTU2483" s="66"/>
      <c r="RTV2483" s="61"/>
      <c r="RTW2483" s="56"/>
      <c r="RTX2483" s="56"/>
      <c r="RTY2483" s="66"/>
      <c r="RTZ2483" s="60"/>
      <c r="RUA2483" s="60"/>
      <c r="RUB2483" s="60"/>
      <c r="RUC2483" s="66"/>
      <c r="RUD2483" s="61"/>
      <c r="RUE2483" s="56"/>
      <c r="RUF2483" s="56"/>
      <c r="RUG2483" s="66"/>
      <c r="RUH2483" s="60"/>
      <c r="RUI2483" s="60"/>
      <c r="RUJ2483" s="60"/>
      <c r="RUK2483" s="66"/>
      <c r="RUL2483" s="61"/>
      <c r="RUM2483" s="56"/>
      <c r="RUN2483" s="56"/>
      <c r="RUO2483" s="66"/>
      <c r="RUP2483" s="60"/>
      <c r="RUQ2483" s="60"/>
      <c r="RUR2483" s="60"/>
      <c r="RUS2483" s="66"/>
      <c r="RUT2483" s="61"/>
      <c r="RUU2483" s="56"/>
      <c r="RUV2483" s="56"/>
      <c r="RUW2483" s="66"/>
      <c r="RUX2483" s="60"/>
      <c r="RUY2483" s="60"/>
      <c r="RUZ2483" s="60"/>
      <c r="RVA2483" s="66"/>
      <c r="RVB2483" s="61"/>
      <c r="RVC2483" s="56"/>
      <c r="RVD2483" s="56"/>
      <c r="RVE2483" s="66"/>
      <c r="RVF2483" s="60"/>
      <c r="RVG2483" s="60"/>
      <c r="RVH2483" s="60"/>
      <c r="RVI2483" s="66"/>
      <c r="RVJ2483" s="61"/>
      <c r="RVK2483" s="56"/>
      <c r="RVL2483" s="56"/>
      <c r="RVM2483" s="66"/>
      <c r="RVN2483" s="60"/>
      <c r="RVO2483" s="60"/>
      <c r="RVP2483" s="60"/>
      <c r="RVQ2483" s="66"/>
      <c r="RVR2483" s="61"/>
      <c r="RVS2483" s="56"/>
      <c r="RVT2483" s="56"/>
      <c r="RVU2483" s="66"/>
      <c r="RVV2483" s="60"/>
      <c r="RVW2483" s="60"/>
      <c r="RVX2483" s="60"/>
      <c r="RVY2483" s="66"/>
      <c r="RVZ2483" s="61"/>
      <c r="RWA2483" s="56"/>
      <c r="RWB2483" s="56"/>
      <c r="RWC2483" s="66"/>
      <c r="RWD2483" s="60"/>
      <c r="RWE2483" s="60"/>
      <c r="RWF2483" s="60"/>
      <c r="RWG2483" s="66"/>
      <c r="RWH2483" s="61"/>
      <c r="RWI2483" s="56"/>
      <c r="RWJ2483" s="56"/>
      <c r="RWK2483" s="66"/>
      <c r="RWL2483" s="60"/>
      <c r="RWM2483" s="60"/>
      <c r="RWN2483" s="60"/>
      <c r="RWO2483" s="66"/>
      <c r="RWP2483" s="61"/>
      <c r="RWQ2483" s="56"/>
      <c r="RWR2483" s="56"/>
      <c r="RWS2483" s="66"/>
      <c r="RWT2483" s="60"/>
      <c r="RWU2483" s="60"/>
      <c r="RWV2483" s="60"/>
      <c r="RWW2483" s="66"/>
      <c r="RWX2483" s="61"/>
      <c r="RWY2483" s="56"/>
      <c r="RWZ2483" s="56"/>
      <c r="RXA2483" s="66"/>
      <c r="RXB2483" s="60"/>
      <c r="RXC2483" s="60"/>
      <c r="RXD2483" s="60"/>
      <c r="RXE2483" s="66"/>
      <c r="RXF2483" s="61"/>
      <c r="RXG2483" s="56"/>
      <c r="RXH2483" s="56"/>
      <c r="RXI2483" s="66"/>
      <c r="RXJ2483" s="60"/>
      <c r="RXK2483" s="60"/>
      <c r="RXL2483" s="60"/>
      <c r="RXM2483" s="66"/>
      <c r="RXN2483" s="61"/>
      <c r="RXO2483" s="56"/>
      <c r="RXP2483" s="56"/>
      <c r="RXQ2483" s="66"/>
      <c r="RXR2483" s="60"/>
      <c r="RXS2483" s="60"/>
      <c r="RXT2483" s="60"/>
      <c r="RXU2483" s="66"/>
      <c r="RXV2483" s="61"/>
      <c r="RXW2483" s="56"/>
      <c r="RXX2483" s="56"/>
      <c r="RXY2483" s="66"/>
      <c r="RXZ2483" s="60"/>
      <c r="RYA2483" s="60"/>
      <c r="RYB2483" s="60"/>
      <c r="RYC2483" s="66"/>
      <c r="RYD2483" s="61"/>
      <c r="RYE2483" s="56"/>
      <c r="RYF2483" s="56"/>
      <c r="RYG2483" s="66"/>
      <c r="RYH2483" s="60"/>
      <c r="RYI2483" s="60"/>
      <c r="RYJ2483" s="60"/>
      <c r="RYK2483" s="66"/>
      <c r="RYL2483" s="61"/>
      <c r="RYM2483" s="56"/>
      <c r="RYN2483" s="56"/>
      <c r="RYO2483" s="66"/>
      <c r="RYP2483" s="60"/>
      <c r="RYQ2483" s="60"/>
      <c r="RYR2483" s="60"/>
      <c r="RYS2483" s="66"/>
      <c r="RYT2483" s="61"/>
      <c r="RYU2483" s="56"/>
      <c r="RYV2483" s="56"/>
      <c r="RYW2483" s="66"/>
      <c r="RYX2483" s="60"/>
      <c r="RYY2483" s="60"/>
      <c r="RYZ2483" s="60"/>
      <c r="RZA2483" s="66"/>
      <c r="RZB2483" s="61"/>
      <c r="RZC2483" s="56"/>
      <c r="RZD2483" s="56"/>
      <c r="RZE2483" s="66"/>
      <c r="RZF2483" s="60"/>
      <c r="RZG2483" s="60"/>
      <c r="RZH2483" s="60"/>
      <c r="RZI2483" s="66"/>
      <c r="RZJ2483" s="61"/>
      <c r="RZK2483" s="56"/>
      <c r="RZL2483" s="56"/>
      <c r="RZM2483" s="66"/>
      <c r="RZN2483" s="60"/>
      <c r="RZO2483" s="60"/>
      <c r="RZP2483" s="60"/>
      <c r="RZQ2483" s="66"/>
      <c r="RZR2483" s="61"/>
      <c r="RZS2483" s="56"/>
      <c r="RZT2483" s="56"/>
      <c r="RZU2483" s="66"/>
      <c r="RZV2483" s="60"/>
      <c r="RZW2483" s="60"/>
      <c r="RZX2483" s="60"/>
      <c r="RZY2483" s="66"/>
      <c r="RZZ2483" s="61"/>
      <c r="SAA2483" s="56"/>
      <c r="SAB2483" s="56"/>
      <c r="SAC2483" s="66"/>
      <c r="SAD2483" s="60"/>
      <c r="SAE2483" s="60"/>
      <c r="SAF2483" s="60"/>
      <c r="SAG2483" s="66"/>
      <c r="SAH2483" s="61"/>
      <c r="SAI2483" s="56"/>
      <c r="SAJ2483" s="56"/>
      <c r="SAK2483" s="66"/>
      <c r="SAL2483" s="60"/>
      <c r="SAM2483" s="60"/>
      <c r="SAN2483" s="60"/>
      <c r="SAO2483" s="66"/>
      <c r="SAP2483" s="61"/>
      <c r="SAQ2483" s="56"/>
      <c r="SAR2483" s="56"/>
      <c r="SAS2483" s="66"/>
      <c r="SAT2483" s="60"/>
      <c r="SAU2483" s="60"/>
      <c r="SAV2483" s="60"/>
      <c r="SAW2483" s="66"/>
      <c r="SAX2483" s="61"/>
      <c r="SAY2483" s="56"/>
      <c r="SAZ2483" s="56"/>
      <c r="SBA2483" s="66"/>
      <c r="SBB2483" s="60"/>
      <c r="SBC2483" s="60"/>
      <c r="SBD2483" s="60"/>
      <c r="SBE2483" s="66"/>
      <c r="SBF2483" s="61"/>
      <c r="SBG2483" s="56"/>
      <c r="SBH2483" s="56"/>
      <c r="SBI2483" s="66"/>
      <c r="SBJ2483" s="60"/>
      <c r="SBK2483" s="60"/>
      <c r="SBL2483" s="60"/>
      <c r="SBM2483" s="66"/>
      <c r="SBN2483" s="61"/>
      <c r="SBO2483" s="56"/>
      <c r="SBP2483" s="56"/>
      <c r="SBQ2483" s="66"/>
      <c r="SBR2483" s="60"/>
      <c r="SBS2483" s="60"/>
      <c r="SBT2483" s="60"/>
      <c r="SBU2483" s="66"/>
      <c r="SBV2483" s="61"/>
      <c r="SBW2483" s="56"/>
      <c r="SBX2483" s="56"/>
      <c r="SBY2483" s="66"/>
      <c r="SBZ2483" s="60"/>
      <c r="SCA2483" s="60"/>
      <c r="SCB2483" s="60"/>
      <c r="SCC2483" s="66"/>
      <c r="SCD2483" s="61"/>
      <c r="SCE2483" s="56"/>
      <c r="SCF2483" s="56"/>
      <c r="SCG2483" s="66"/>
      <c r="SCH2483" s="60"/>
      <c r="SCI2483" s="60"/>
      <c r="SCJ2483" s="60"/>
      <c r="SCK2483" s="66"/>
      <c r="SCL2483" s="61"/>
      <c r="SCM2483" s="56"/>
      <c r="SCN2483" s="56"/>
      <c r="SCO2483" s="66"/>
      <c r="SCP2483" s="60"/>
      <c r="SCQ2483" s="60"/>
      <c r="SCR2483" s="60"/>
      <c r="SCS2483" s="66"/>
      <c r="SCT2483" s="61"/>
      <c r="SCU2483" s="56"/>
      <c r="SCV2483" s="56"/>
      <c r="SCW2483" s="66"/>
      <c r="SCX2483" s="60"/>
      <c r="SCY2483" s="60"/>
      <c r="SCZ2483" s="60"/>
      <c r="SDA2483" s="66"/>
      <c r="SDB2483" s="61"/>
      <c r="SDC2483" s="56"/>
      <c r="SDD2483" s="56"/>
      <c r="SDE2483" s="66"/>
      <c r="SDF2483" s="60"/>
      <c r="SDG2483" s="60"/>
      <c r="SDH2483" s="60"/>
      <c r="SDI2483" s="66"/>
      <c r="SDJ2483" s="61"/>
      <c r="SDK2483" s="56"/>
      <c r="SDL2483" s="56"/>
      <c r="SDM2483" s="66"/>
      <c r="SDN2483" s="60"/>
      <c r="SDO2483" s="60"/>
      <c r="SDP2483" s="60"/>
      <c r="SDQ2483" s="66"/>
      <c r="SDR2483" s="61"/>
      <c r="SDS2483" s="56"/>
      <c r="SDT2483" s="56"/>
      <c r="SDU2483" s="66"/>
      <c r="SDV2483" s="60"/>
      <c r="SDW2483" s="60"/>
      <c r="SDX2483" s="60"/>
      <c r="SDY2483" s="66"/>
      <c r="SDZ2483" s="61"/>
      <c r="SEA2483" s="56"/>
      <c r="SEB2483" s="56"/>
      <c r="SEC2483" s="66"/>
      <c r="SED2483" s="60"/>
      <c r="SEE2483" s="60"/>
      <c r="SEF2483" s="60"/>
      <c r="SEG2483" s="66"/>
      <c r="SEH2483" s="61"/>
      <c r="SEI2483" s="56"/>
      <c r="SEJ2483" s="56"/>
      <c r="SEK2483" s="66"/>
      <c r="SEL2483" s="60"/>
      <c r="SEM2483" s="60"/>
      <c r="SEN2483" s="60"/>
      <c r="SEO2483" s="66"/>
      <c r="SEP2483" s="61"/>
      <c r="SEQ2483" s="56"/>
      <c r="SER2483" s="56"/>
      <c r="SES2483" s="66"/>
      <c r="SET2483" s="60"/>
      <c r="SEU2483" s="60"/>
      <c r="SEV2483" s="60"/>
      <c r="SEW2483" s="66"/>
      <c r="SEX2483" s="61"/>
      <c r="SEY2483" s="56"/>
      <c r="SEZ2483" s="56"/>
      <c r="SFA2483" s="66"/>
      <c r="SFB2483" s="60"/>
      <c r="SFC2483" s="60"/>
      <c r="SFD2483" s="60"/>
      <c r="SFE2483" s="66"/>
      <c r="SFF2483" s="61"/>
      <c r="SFG2483" s="56"/>
      <c r="SFH2483" s="56"/>
      <c r="SFI2483" s="66"/>
      <c r="SFJ2483" s="60"/>
      <c r="SFK2483" s="60"/>
      <c r="SFL2483" s="60"/>
      <c r="SFM2483" s="66"/>
      <c r="SFN2483" s="61"/>
      <c r="SFO2483" s="56"/>
      <c r="SFP2483" s="56"/>
      <c r="SFQ2483" s="66"/>
      <c r="SFR2483" s="60"/>
      <c r="SFS2483" s="60"/>
      <c r="SFT2483" s="60"/>
      <c r="SFU2483" s="66"/>
      <c r="SFV2483" s="61"/>
      <c r="SFW2483" s="56"/>
      <c r="SFX2483" s="56"/>
      <c r="SFY2483" s="66"/>
      <c r="SFZ2483" s="60"/>
      <c r="SGA2483" s="60"/>
      <c r="SGB2483" s="60"/>
      <c r="SGC2483" s="66"/>
      <c r="SGD2483" s="61"/>
      <c r="SGE2483" s="56"/>
      <c r="SGF2483" s="56"/>
      <c r="SGG2483" s="66"/>
      <c r="SGH2483" s="60"/>
      <c r="SGI2483" s="60"/>
      <c r="SGJ2483" s="60"/>
      <c r="SGK2483" s="66"/>
      <c r="SGL2483" s="61"/>
      <c r="SGM2483" s="56"/>
      <c r="SGN2483" s="56"/>
      <c r="SGO2483" s="66"/>
      <c r="SGP2483" s="60"/>
      <c r="SGQ2483" s="60"/>
      <c r="SGR2483" s="60"/>
      <c r="SGS2483" s="66"/>
      <c r="SGT2483" s="61"/>
      <c r="SGU2483" s="56"/>
      <c r="SGV2483" s="56"/>
      <c r="SGW2483" s="66"/>
      <c r="SGX2483" s="60"/>
      <c r="SGY2483" s="60"/>
      <c r="SGZ2483" s="60"/>
      <c r="SHA2483" s="66"/>
      <c r="SHB2483" s="61"/>
      <c r="SHC2483" s="56"/>
      <c r="SHD2483" s="56"/>
      <c r="SHE2483" s="66"/>
      <c r="SHF2483" s="60"/>
      <c r="SHG2483" s="60"/>
      <c r="SHH2483" s="60"/>
      <c r="SHI2483" s="66"/>
      <c r="SHJ2483" s="61"/>
      <c r="SHK2483" s="56"/>
      <c r="SHL2483" s="56"/>
      <c r="SHM2483" s="66"/>
      <c r="SHN2483" s="60"/>
      <c r="SHO2483" s="60"/>
      <c r="SHP2483" s="60"/>
      <c r="SHQ2483" s="66"/>
      <c r="SHR2483" s="61"/>
      <c r="SHS2483" s="56"/>
      <c r="SHT2483" s="56"/>
      <c r="SHU2483" s="66"/>
      <c r="SHV2483" s="60"/>
      <c r="SHW2483" s="60"/>
      <c r="SHX2483" s="60"/>
      <c r="SHY2483" s="66"/>
      <c r="SHZ2483" s="61"/>
      <c r="SIA2483" s="56"/>
      <c r="SIB2483" s="56"/>
      <c r="SIC2483" s="66"/>
      <c r="SID2483" s="60"/>
      <c r="SIE2483" s="60"/>
      <c r="SIF2483" s="60"/>
      <c r="SIG2483" s="66"/>
      <c r="SIH2483" s="61"/>
      <c r="SII2483" s="56"/>
      <c r="SIJ2483" s="56"/>
      <c r="SIK2483" s="66"/>
      <c r="SIL2483" s="60"/>
      <c r="SIM2483" s="60"/>
      <c r="SIN2483" s="60"/>
      <c r="SIO2483" s="66"/>
      <c r="SIP2483" s="61"/>
      <c r="SIQ2483" s="56"/>
      <c r="SIR2483" s="56"/>
      <c r="SIS2483" s="66"/>
      <c r="SIT2483" s="60"/>
      <c r="SIU2483" s="60"/>
      <c r="SIV2483" s="60"/>
      <c r="SIW2483" s="66"/>
      <c r="SIX2483" s="61"/>
      <c r="SIY2483" s="56"/>
      <c r="SIZ2483" s="56"/>
      <c r="SJA2483" s="66"/>
      <c r="SJB2483" s="60"/>
      <c r="SJC2483" s="60"/>
      <c r="SJD2483" s="60"/>
      <c r="SJE2483" s="66"/>
      <c r="SJF2483" s="61"/>
      <c r="SJG2483" s="56"/>
      <c r="SJH2483" s="56"/>
      <c r="SJI2483" s="66"/>
      <c r="SJJ2483" s="60"/>
      <c r="SJK2483" s="60"/>
      <c r="SJL2483" s="60"/>
      <c r="SJM2483" s="66"/>
      <c r="SJN2483" s="61"/>
      <c r="SJO2483" s="56"/>
      <c r="SJP2483" s="56"/>
      <c r="SJQ2483" s="66"/>
      <c r="SJR2483" s="60"/>
      <c r="SJS2483" s="60"/>
      <c r="SJT2483" s="60"/>
      <c r="SJU2483" s="66"/>
      <c r="SJV2483" s="61"/>
      <c r="SJW2483" s="56"/>
      <c r="SJX2483" s="56"/>
      <c r="SJY2483" s="66"/>
      <c r="SJZ2483" s="60"/>
      <c r="SKA2483" s="60"/>
      <c r="SKB2483" s="60"/>
      <c r="SKC2483" s="66"/>
      <c r="SKD2483" s="61"/>
      <c r="SKE2483" s="56"/>
      <c r="SKF2483" s="56"/>
      <c r="SKG2483" s="66"/>
      <c r="SKH2483" s="60"/>
      <c r="SKI2483" s="60"/>
      <c r="SKJ2483" s="60"/>
      <c r="SKK2483" s="66"/>
      <c r="SKL2483" s="61"/>
      <c r="SKM2483" s="56"/>
      <c r="SKN2483" s="56"/>
      <c r="SKO2483" s="66"/>
      <c r="SKP2483" s="60"/>
      <c r="SKQ2483" s="60"/>
      <c r="SKR2483" s="60"/>
      <c r="SKS2483" s="66"/>
      <c r="SKT2483" s="61"/>
      <c r="SKU2483" s="56"/>
      <c r="SKV2483" s="56"/>
      <c r="SKW2483" s="66"/>
      <c r="SKX2483" s="60"/>
      <c r="SKY2483" s="60"/>
      <c r="SKZ2483" s="60"/>
      <c r="SLA2483" s="66"/>
      <c r="SLB2483" s="61"/>
      <c r="SLC2483" s="56"/>
      <c r="SLD2483" s="56"/>
      <c r="SLE2483" s="66"/>
      <c r="SLF2483" s="60"/>
      <c r="SLG2483" s="60"/>
      <c r="SLH2483" s="60"/>
      <c r="SLI2483" s="66"/>
      <c r="SLJ2483" s="61"/>
      <c r="SLK2483" s="56"/>
      <c r="SLL2483" s="56"/>
      <c r="SLM2483" s="66"/>
      <c r="SLN2483" s="60"/>
      <c r="SLO2483" s="60"/>
      <c r="SLP2483" s="60"/>
      <c r="SLQ2483" s="66"/>
      <c r="SLR2483" s="61"/>
      <c r="SLS2483" s="56"/>
      <c r="SLT2483" s="56"/>
      <c r="SLU2483" s="66"/>
      <c r="SLV2483" s="60"/>
      <c r="SLW2483" s="60"/>
      <c r="SLX2483" s="60"/>
      <c r="SLY2483" s="66"/>
      <c r="SLZ2483" s="61"/>
      <c r="SMA2483" s="56"/>
      <c r="SMB2483" s="56"/>
      <c r="SMC2483" s="66"/>
      <c r="SMD2483" s="60"/>
      <c r="SME2483" s="60"/>
      <c r="SMF2483" s="60"/>
      <c r="SMG2483" s="66"/>
      <c r="SMH2483" s="61"/>
      <c r="SMI2483" s="56"/>
      <c r="SMJ2483" s="56"/>
      <c r="SMK2483" s="66"/>
      <c r="SML2483" s="60"/>
      <c r="SMM2483" s="60"/>
      <c r="SMN2483" s="60"/>
      <c r="SMO2483" s="66"/>
      <c r="SMP2483" s="61"/>
      <c r="SMQ2483" s="56"/>
      <c r="SMR2483" s="56"/>
      <c r="SMS2483" s="66"/>
      <c r="SMT2483" s="60"/>
      <c r="SMU2483" s="60"/>
      <c r="SMV2483" s="60"/>
      <c r="SMW2483" s="66"/>
      <c r="SMX2483" s="61"/>
      <c r="SMY2483" s="56"/>
      <c r="SMZ2483" s="56"/>
      <c r="SNA2483" s="66"/>
      <c r="SNB2483" s="60"/>
      <c r="SNC2483" s="60"/>
      <c r="SND2483" s="60"/>
      <c r="SNE2483" s="66"/>
      <c r="SNF2483" s="61"/>
      <c r="SNG2483" s="56"/>
      <c r="SNH2483" s="56"/>
      <c r="SNI2483" s="66"/>
      <c r="SNJ2483" s="60"/>
      <c r="SNK2483" s="60"/>
      <c r="SNL2483" s="60"/>
      <c r="SNM2483" s="66"/>
      <c r="SNN2483" s="61"/>
      <c r="SNO2483" s="56"/>
      <c r="SNP2483" s="56"/>
      <c r="SNQ2483" s="66"/>
      <c r="SNR2483" s="60"/>
      <c r="SNS2483" s="60"/>
      <c r="SNT2483" s="60"/>
      <c r="SNU2483" s="66"/>
      <c r="SNV2483" s="61"/>
      <c r="SNW2483" s="56"/>
      <c r="SNX2483" s="56"/>
      <c r="SNY2483" s="66"/>
      <c r="SNZ2483" s="60"/>
      <c r="SOA2483" s="60"/>
      <c r="SOB2483" s="60"/>
      <c r="SOC2483" s="66"/>
      <c r="SOD2483" s="61"/>
      <c r="SOE2483" s="56"/>
      <c r="SOF2483" s="56"/>
      <c r="SOG2483" s="66"/>
      <c r="SOH2483" s="60"/>
      <c r="SOI2483" s="60"/>
      <c r="SOJ2483" s="60"/>
      <c r="SOK2483" s="66"/>
      <c r="SOL2483" s="61"/>
      <c r="SOM2483" s="56"/>
      <c r="SON2483" s="56"/>
      <c r="SOO2483" s="66"/>
      <c r="SOP2483" s="60"/>
      <c r="SOQ2483" s="60"/>
      <c r="SOR2483" s="60"/>
      <c r="SOS2483" s="66"/>
      <c r="SOT2483" s="61"/>
      <c r="SOU2483" s="56"/>
      <c r="SOV2483" s="56"/>
      <c r="SOW2483" s="66"/>
      <c r="SOX2483" s="60"/>
      <c r="SOY2483" s="60"/>
      <c r="SOZ2483" s="60"/>
      <c r="SPA2483" s="66"/>
      <c r="SPB2483" s="61"/>
      <c r="SPC2483" s="56"/>
      <c r="SPD2483" s="56"/>
      <c r="SPE2483" s="66"/>
      <c r="SPF2483" s="60"/>
      <c r="SPG2483" s="60"/>
      <c r="SPH2483" s="60"/>
      <c r="SPI2483" s="66"/>
      <c r="SPJ2483" s="61"/>
      <c r="SPK2483" s="56"/>
      <c r="SPL2483" s="56"/>
      <c r="SPM2483" s="66"/>
      <c r="SPN2483" s="60"/>
      <c r="SPO2483" s="60"/>
      <c r="SPP2483" s="60"/>
      <c r="SPQ2483" s="66"/>
      <c r="SPR2483" s="61"/>
      <c r="SPS2483" s="56"/>
      <c r="SPT2483" s="56"/>
      <c r="SPU2483" s="66"/>
      <c r="SPV2483" s="60"/>
      <c r="SPW2483" s="60"/>
      <c r="SPX2483" s="60"/>
      <c r="SPY2483" s="66"/>
      <c r="SPZ2483" s="61"/>
      <c r="SQA2483" s="56"/>
      <c r="SQB2483" s="56"/>
      <c r="SQC2483" s="66"/>
      <c r="SQD2483" s="60"/>
      <c r="SQE2483" s="60"/>
      <c r="SQF2483" s="60"/>
      <c r="SQG2483" s="66"/>
      <c r="SQH2483" s="61"/>
      <c r="SQI2483" s="56"/>
      <c r="SQJ2483" s="56"/>
      <c r="SQK2483" s="66"/>
      <c r="SQL2483" s="60"/>
      <c r="SQM2483" s="60"/>
      <c r="SQN2483" s="60"/>
      <c r="SQO2483" s="66"/>
      <c r="SQP2483" s="61"/>
      <c r="SQQ2483" s="56"/>
      <c r="SQR2483" s="56"/>
      <c r="SQS2483" s="66"/>
      <c r="SQT2483" s="60"/>
      <c r="SQU2483" s="60"/>
      <c r="SQV2483" s="60"/>
      <c r="SQW2483" s="66"/>
      <c r="SQX2483" s="61"/>
      <c r="SQY2483" s="56"/>
      <c r="SQZ2483" s="56"/>
      <c r="SRA2483" s="66"/>
      <c r="SRB2483" s="60"/>
      <c r="SRC2483" s="60"/>
      <c r="SRD2483" s="60"/>
      <c r="SRE2483" s="66"/>
      <c r="SRF2483" s="61"/>
      <c r="SRG2483" s="56"/>
      <c r="SRH2483" s="56"/>
      <c r="SRI2483" s="66"/>
      <c r="SRJ2483" s="60"/>
      <c r="SRK2483" s="60"/>
      <c r="SRL2483" s="60"/>
      <c r="SRM2483" s="66"/>
      <c r="SRN2483" s="61"/>
      <c r="SRO2483" s="56"/>
      <c r="SRP2483" s="56"/>
      <c r="SRQ2483" s="66"/>
      <c r="SRR2483" s="60"/>
      <c r="SRS2483" s="60"/>
      <c r="SRT2483" s="60"/>
      <c r="SRU2483" s="66"/>
      <c r="SRV2483" s="61"/>
      <c r="SRW2483" s="56"/>
      <c r="SRX2483" s="56"/>
      <c r="SRY2483" s="66"/>
      <c r="SRZ2483" s="60"/>
      <c r="SSA2483" s="60"/>
      <c r="SSB2483" s="60"/>
      <c r="SSC2483" s="66"/>
      <c r="SSD2483" s="61"/>
      <c r="SSE2483" s="56"/>
      <c r="SSF2483" s="56"/>
      <c r="SSG2483" s="66"/>
      <c r="SSH2483" s="60"/>
      <c r="SSI2483" s="60"/>
      <c r="SSJ2483" s="60"/>
      <c r="SSK2483" s="66"/>
      <c r="SSL2483" s="61"/>
      <c r="SSM2483" s="56"/>
      <c r="SSN2483" s="56"/>
      <c r="SSO2483" s="66"/>
      <c r="SSP2483" s="60"/>
      <c r="SSQ2483" s="60"/>
      <c r="SSR2483" s="60"/>
      <c r="SSS2483" s="66"/>
      <c r="SST2483" s="61"/>
      <c r="SSU2483" s="56"/>
      <c r="SSV2483" s="56"/>
      <c r="SSW2483" s="66"/>
      <c r="SSX2483" s="60"/>
      <c r="SSY2483" s="60"/>
      <c r="SSZ2483" s="60"/>
      <c r="STA2483" s="66"/>
      <c r="STB2483" s="61"/>
      <c r="STC2483" s="56"/>
      <c r="STD2483" s="56"/>
      <c r="STE2483" s="66"/>
      <c r="STF2483" s="60"/>
      <c r="STG2483" s="60"/>
      <c r="STH2483" s="60"/>
      <c r="STI2483" s="66"/>
      <c r="STJ2483" s="61"/>
      <c r="STK2483" s="56"/>
      <c r="STL2483" s="56"/>
      <c r="STM2483" s="66"/>
      <c r="STN2483" s="60"/>
      <c r="STO2483" s="60"/>
      <c r="STP2483" s="60"/>
      <c r="STQ2483" s="66"/>
      <c r="STR2483" s="61"/>
      <c r="STS2483" s="56"/>
      <c r="STT2483" s="56"/>
      <c r="STU2483" s="66"/>
      <c r="STV2483" s="60"/>
      <c r="STW2483" s="60"/>
      <c r="STX2483" s="60"/>
      <c r="STY2483" s="66"/>
      <c r="STZ2483" s="61"/>
      <c r="SUA2483" s="56"/>
      <c r="SUB2483" s="56"/>
      <c r="SUC2483" s="66"/>
      <c r="SUD2483" s="60"/>
      <c r="SUE2483" s="60"/>
      <c r="SUF2483" s="60"/>
      <c r="SUG2483" s="66"/>
      <c r="SUH2483" s="61"/>
      <c r="SUI2483" s="56"/>
      <c r="SUJ2483" s="56"/>
      <c r="SUK2483" s="66"/>
      <c r="SUL2483" s="60"/>
      <c r="SUM2483" s="60"/>
      <c r="SUN2483" s="60"/>
      <c r="SUO2483" s="66"/>
      <c r="SUP2483" s="61"/>
      <c r="SUQ2483" s="56"/>
      <c r="SUR2483" s="56"/>
      <c r="SUS2483" s="66"/>
      <c r="SUT2483" s="60"/>
      <c r="SUU2483" s="60"/>
      <c r="SUV2483" s="60"/>
      <c r="SUW2483" s="66"/>
      <c r="SUX2483" s="61"/>
      <c r="SUY2483" s="56"/>
      <c r="SUZ2483" s="56"/>
      <c r="SVA2483" s="66"/>
      <c r="SVB2483" s="60"/>
      <c r="SVC2483" s="60"/>
      <c r="SVD2483" s="60"/>
      <c r="SVE2483" s="66"/>
      <c r="SVF2483" s="61"/>
      <c r="SVG2483" s="56"/>
      <c r="SVH2483" s="56"/>
      <c r="SVI2483" s="66"/>
      <c r="SVJ2483" s="60"/>
      <c r="SVK2483" s="60"/>
      <c r="SVL2483" s="60"/>
      <c r="SVM2483" s="66"/>
      <c r="SVN2483" s="61"/>
      <c r="SVO2483" s="56"/>
      <c r="SVP2483" s="56"/>
      <c r="SVQ2483" s="66"/>
      <c r="SVR2483" s="60"/>
      <c r="SVS2483" s="60"/>
      <c r="SVT2483" s="60"/>
      <c r="SVU2483" s="66"/>
      <c r="SVV2483" s="61"/>
      <c r="SVW2483" s="56"/>
      <c r="SVX2483" s="56"/>
      <c r="SVY2483" s="66"/>
      <c r="SVZ2483" s="60"/>
      <c r="SWA2483" s="60"/>
      <c r="SWB2483" s="60"/>
      <c r="SWC2483" s="66"/>
      <c r="SWD2483" s="61"/>
      <c r="SWE2483" s="56"/>
      <c r="SWF2483" s="56"/>
      <c r="SWG2483" s="66"/>
      <c r="SWH2483" s="60"/>
      <c r="SWI2483" s="60"/>
      <c r="SWJ2483" s="60"/>
      <c r="SWK2483" s="66"/>
      <c r="SWL2483" s="61"/>
      <c r="SWM2483" s="56"/>
      <c r="SWN2483" s="56"/>
      <c r="SWO2483" s="66"/>
      <c r="SWP2483" s="60"/>
      <c r="SWQ2483" s="60"/>
      <c r="SWR2483" s="60"/>
      <c r="SWS2483" s="66"/>
      <c r="SWT2483" s="61"/>
      <c r="SWU2483" s="56"/>
      <c r="SWV2483" s="56"/>
      <c r="SWW2483" s="66"/>
      <c r="SWX2483" s="60"/>
      <c r="SWY2483" s="60"/>
      <c r="SWZ2483" s="60"/>
      <c r="SXA2483" s="66"/>
      <c r="SXB2483" s="61"/>
      <c r="SXC2483" s="56"/>
      <c r="SXD2483" s="56"/>
      <c r="SXE2483" s="66"/>
      <c r="SXF2483" s="60"/>
      <c r="SXG2483" s="60"/>
      <c r="SXH2483" s="60"/>
      <c r="SXI2483" s="66"/>
      <c r="SXJ2483" s="61"/>
      <c r="SXK2483" s="56"/>
      <c r="SXL2483" s="56"/>
      <c r="SXM2483" s="66"/>
      <c r="SXN2483" s="60"/>
      <c r="SXO2483" s="60"/>
      <c r="SXP2483" s="60"/>
      <c r="SXQ2483" s="66"/>
      <c r="SXR2483" s="61"/>
      <c r="SXS2483" s="56"/>
      <c r="SXT2483" s="56"/>
      <c r="SXU2483" s="66"/>
      <c r="SXV2483" s="60"/>
      <c r="SXW2483" s="60"/>
      <c r="SXX2483" s="60"/>
      <c r="SXY2483" s="66"/>
      <c r="SXZ2483" s="61"/>
      <c r="SYA2483" s="56"/>
      <c r="SYB2483" s="56"/>
      <c r="SYC2483" s="66"/>
      <c r="SYD2483" s="60"/>
      <c r="SYE2483" s="60"/>
      <c r="SYF2483" s="60"/>
      <c r="SYG2483" s="66"/>
      <c r="SYH2483" s="61"/>
      <c r="SYI2483" s="56"/>
      <c r="SYJ2483" s="56"/>
      <c r="SYK2483" s="66"/>
      <c r="SYL2483" s="60"/>
      <c r="SYM2483" s="60"/>
      <c r="SYN2483" s="60"/>
      <c r="SYO2483" s="66"/>
      <c r="SYP2483" s="61"/>
      <c r="SYQ2483" s="56"/>
      <c r="SYR2483" s="56"/>
      <c r="SYS2483" s="66"/>
      <c r="SYT2483" s="60"/>
      <c r="SYU2483" s="60"/>
      <c r="SYV2483" s="60"/>
      <c r="SYW2483" s="66"/>
      <c r="SYX2483" s="61"/>
      <c r="SYY2483" s="56"/>
      <c r="SYZ2483" s="56"/>
      <c r="SZA2483" s="66"/>
      <c r="SZB2483" s="60"/>
      <c r="SZC2483" s="60"/>
      <c r="SZD2483" s="60"/>
      <c r="SZE2483" s="66"/>
      <c r="SZF2483" s="61"/>
      <c r="SZG2483" s="56"/>
      <c r="SZH2483" s="56"/>
      <c r="SZI2483" s="66"/>
      <c r="SZJ2483" s="60"/>
      <c r="SZK2483" s="60"/>
      <c r="SZL2483" s="60"/>
      <c r="SZM2483" s="66"/>
      <c r="SZN2483" s="61"/>
      <c r="SZO2483" s="56"/>
      <c r="SZP2483" s="56"/>
      <c r="SZQ2483" s="66"/>
      <c r="SZR2483" s="60"/>
      <c r="SZS2483" s="60"/>
      <c r="SZT2483" s="60"/>
      <c r="SZU2483" s="66"/>
      <c r="SZV2483" s="61"/>
      <c r="SZW2483" s="56"/>
      <c r="SZX2483" s="56"/>
      <c r="SZY2483" s="66"/>
      <c r="SZZ2483" s="60"/>
      <c r="TAA2483" s="60"/>
      <c r="TAB2483" s="60"/>
      <c r="TAC2483" s="66"/>
      <c r="TAD2483" s="61"/>
      <c r="TAE2483" s="56"/>
      <c r="TAF2483" s="56"/>
      <c r="TAG2483" s="66"/>
      <c r="TAH2483" s="60"/>
      <c r="TAI2483" s="60"/>
      <c r="TAJ2483" s="60"/>
      <c r="TAK2483" s="66"/>
      <c r="TAL2483" s="61"/>
      <c r="TAM2483" s="56"/>
      <c r="TAN2483" s="56"/>
      <c r="TAO2483" s="66"/>
      <c r="TAP2483" s="60"/>
      <c r="TAQ2483" s="60"/>
      <c r="TAR2483" s="60"/>
      <c r="TAS2483" s="66"/>
      <c r="TAT2483" s="61"/>
      <c r="TAU2483" s="56"/>
      <c r="TAV2483" s="56"/>
      <c r="TAW2483" s="66"/>
      <c r="TAX2483" s="60"/>
      <c r="TAY2483" s="60"/>
      <c r="TAZ2483" s="60"/>
      <c r="TBA2483" s="66"/>
      <c r="TBB2483" s="61"/>
      <c r="TBC2483" s="56"/>
      <c r="TBD2483" s="56"/>
      <c r="TBE2483" s="66"/>
      <c r="TBF2483" s="60"/>
      <c r="TBG2483" s="60"/>
      <c r="TBH2483" s="60"/>
      <c r="TBI2483" s="66"/>
      <c r="TBJ2483" s="61"/>
      <c r="TBK2483" s="56"/>
      <c r="TBL2483" s="56"/>
      <c r="TBM2483" s="66"/>
      <c r="TBN2483" s="60"/>
      <c r="TBO2483" s="60"/>
      <c r="TBP2483" s="60"/>
      <c r="TBQ2483" s="66"/>
      <c r="TBR2483" s="61"/>
      <c r="TBS2483" s="56"/>
      <c r="TBT2483" s="56"/>
      <c r="TBU2483" s="66"/>
      <c r="TBV2483" s="60"/>
      <c r="TBW2483" s="60"/>
      <c r="TBX2483" s="60"/>
      <c r="TBY2483" s="66"/>
      <c r="TBZ2483" s="61"/>
      <c r="TCA2483" s="56"/>
      <c r="TCB2483" s="56"/>
      <c r="TCC2483" s="66"/>
      <c r="TCD2483" s="60"/>
      <c r="TCE2483" s="60"/>
      <c r="TCF2483" s="60"/>
      <c r="TCG2483" s="66"/>
      <c r="TCH2483" s="61"/>
      <c r="TCI2483" s="56"/>
      <c r="TCJ2483" s="56"/>
      <c r="TCK2483" s="66"/>
      <c r="TCL2483" s="60"/>
      <c r="TCM2483" s="60"/>
      <c r="TCN2483" s="60"/>
      <c r="TCO2483" s="66"/>
      <c r="TCP2483" s="61"/>
      <c r="TCQ2483" s="56"/>
      <c r="TCR2483" s="56"/>
      <c r="TCS2483" s="66"/>
      <c r="TCT2483" s="60"/>
      <c r="TCU2483" s="60"/>
      <c r="TCV2483" s="60"/>
      <c r="TCW2483" s="66"/>
      <c r="TCX2483" s="61"/>
      <c r="TCY2483" s="56"/>
      <c r="TCZ2483" s="56"/>
      <c r="TDA2483" s="66"/>
      <c r="TDB2483" s="60"/>
      <c r="TDC2483" s="60"/>
      <c r="TDD2483" s="60"/>
      <c r="TDE2483" s="66"/>
      <c r="TDF2483" s="61"/>
      <c r="TDG2483" s="56"/>
      <c r="TDH2483" s="56"/>
      <c r="TDI2483" s="66"/>
      <c r="TDJ2483" s="60"/>
      <c r="TDK2483" s="60"/>
      <c r="TDL2483" s="60"/>
      <c r="TDM2483" s="66"/>
      <c r="TDN2483" s="61"/>
      <c r="TDO2483" s="56"/>
      <c r="TDP2483" s="56"/>
      <c r="TDQ2483" s="66"/>
      <c r="TDR2483" s="60"/>
      <c r="TDS2483" s="60"/>
      <c r="TDT2483" s="60"/>
      <c r="TDU2483" s="66"/>
      <c r="TDV2483" s="61"/>
      <c r="TDW2483" s="56"/>
      <c r="TDX2483" s="56"/>
      <c r="TDY2483" s="66"/>
      <c r="TDZ2483" s="60"/>
      <c r="TEA2483" s="60"/>
      <c r="TEB2483" s="60"/>
      <c r="TEC2483" s="66"/>
      <c r="TED2483" s="61"/>
      <c r="TEE2483" s="56"/>
      <c r="TEF2483" s="56"/>
      <c r="TEG2483" s="66"/>
      <c r="TEH2483" s="60"/>
      <c r="TEI2483" s="60"/>
      <c r="TEJ2483" s="60"/>
      <c r="TEK2483" s="66"/>
      <c r="TEL2483" s="61"/>
      <c r="TEM2483" s="56"/>
      <c r="TEN2483" s="56"/>
      <c r="TEO2483" s="66"/>
      <c r="TEP2483" s="60"/>
      <c r="TEQ2483" s="60"/>
      <c r="TER2483" s="60"/>
      <c r="TES2483" s="66"/>
      <c r="TET2483" s="61"/>
      <c r="TEU2483" s="56"/>
      <c r="TEV2483" s="56"/>
      <c r="TEW2483" s="66"/>
      <c r="TEX2483" s="60"/>
      <c r="TEY2483" s="60"/>
      <c r="TEZ2483" s="60"/>
      <c r="TFA2483" s="66"/>
      <c r="TFB2483" s="61"/>
      <c r="TFC2483" s="56"/>
      <c r="TFD2483" s="56"/>
      <c r="TFE2483" s="66"/>
      <c r="TFF2483" s="60"/>
      <c r="TFG2483" s="60"/>
      <c r="TFH2483" s="60"/>
      <c r="TFI2483" s="66"/>
      <c r="TFJ2483" s="61"/>
      <c r="TFK2483" s="56"/>
      <c r="TFL2483" s="56"/>
      <c r="TFM2483" s="66"/>
      <c r="TFN2483" s="60"/>
      <c r="TFO2483" s="60"/>
      <c r="TFP2483" s="60"/>
      <c r="TFQ2483" s="66"/>
      <c r="TFR2483" s="61"/>
      <c r="TFS2483" s="56"/>
      <c r="TFT2483" s="56"/>
      <c r="TFU2483" s="66"/>
      <c r="TFV2483" s="60"/>
      <c r="TFW2483" s="60"/>
      <c r="TFX2483" s="60"/>
      <c r="TFY2483" s="66"/>
      <c r="TFZ2483" s="61"/>
      <c r="TGA2483" s="56"/>
      <c r="TGB2483" s="56"/>
      <c r="TGC2483" s="66"/>
      <c r="TGD2483" s="60"/>
      <c r="TGE2483" s="60"/>
      <c r="TGF2483" s="60"/>
      <c r="TGG2483" s="66"/>
      <c r="TGH2483" s="61"/>
      <c r="TGI2483" s="56"/>
      <c r="TGJ2483" s="56"/>
      <c r="TGK2483" s="66"/>
      <c r="TGL2483" s="60"/>
      <c r="TGM2483" s="60"/>
      <c r="TGN2483" s="60"/>
      <c r="TGO2483" s="66"/>
      <c r="TGP2483" s="61"/>
      <c r="TGQ2483" s="56"/>
      <c r="TGR2483" s="56"/>
      <c r="TGS2483" s="66"/>
      <c r="TGT2483" s="60"/>
      <c r="TGU2483" s="60"/>
      <c r="TGV2483" s="60"/>
      <c r="TGW2483" s="66"/>
      <c r="TGX2483" s="61"/>
      <c r="TGY2483" s="56"/>
      <c r="TGZ2483" s="56"/>
      <c r="THA2483" s="66"/>
      <c r="THB2483" s="60"/>
      <c r="THC2483" s="60"/>
      <c r="THD2483" s="60"/>
      <c r="THE2483" s="66"/>
      <c r="THF2483" s="61"/>
      <c r="THG2483" s="56"/>
      <c r="THH2483" s="56"/>
      <c r="THI2483" s="66"/>
      <c r="THJ2483" s="60"/>
      <c r="THK2483" s="60"/>
      <c r="THL2483" s="60"/>
      <c r="THM2483" s="66"/>
      <c r="THN2483" s="61"/>
      <c r="THO2483" s="56"/>
      <c r="THP2483" s="56"/>
      <c r="THQ2483" s="66"/>
      <c r="THR2483" s="60"/>
      <c r="THS2483" s="60"/>
      <c r="THT2483" s="60"/>
      <c r="THU2483" s="66"/>
      <c r="THV2483" s="61"/>
      <c r="THW2483" s="56"/>
      <c r="THX2483" s="56"/>
      <c r="THY2483" s="66"/>
      <c r="THZ2483" s="60"/>
      <c r="TIA2483" s="60"/>
      <c r="TIB2483" s="60"/>
      <c r="TIC2483" s="66"/>
      <c r="TID2483" s="61"/>
      <c r="TIE2483" s="56"/>
      <c r="TIF2483" s="56"/>
      <c r="TIG2483" s="66"/>
      <c r="TIH2483" s="60"/>
      <c r="TII2483" s="60"/>
      <c r="TIJ2483" s="60"/>
      <c r="TIK2483" s="66"/>
      <c r="TIL2483" s="61"/>
      <c r="TIM2483" s="56"/>
      <c r="TIN2483" s="56"/>
      <c r="TIO2483" s="66"/>
      <c r="TIP2483" s="60"/>
      <c r="TIQ2483" s="60"/>
      <c r="TIR2483" s="60"/>
      <c r="TIS2483" s="66"/>
      <c r="TIT2483" s="61"/>
      <c r="TIU2483" s="56"/>
      <c r="TIV2483" s="56"/>
      <c r="TIW2483" s="66"/>
      <c r="TIX2483" s="60"/>
      <c r="TIY2483" s="60"/>
      <c r="TIZ2483" s="60"/>
      <c r="TJA2483" s="66"/>
      <c r="TJB2483" s="61"/>
      <c r="TJC2483" s="56"/>
      <c r="TJD2483" s="56"/>
      <c r="TJE2483" s="66"/>
      <c r="TJF2483" s="60"/>
      <c r="TJG2483" s="60"/>
      <c r="TJH2483" s="60"/>
      <c r="TJI2483" s="66"/>
      <c r="TJJ2483" s="61"/>
      <c r="TJK2483" s="56"/>
      <c r="TJL2483" s="56"/>
      <c r="TJM2483" s="66"/>
      <c r="TJN2483" s="60"/>
      <c r="TJO2483" s="60"/>
      <c r="TJP2483" s="60"/>
      <c r="TJQ2483" s="66"/>
      <c r="TJR2483" s="61"/>
      <c r="TJS2483" s="56"/>
      <c r="TJT2483" s="56"/>
      <c r="TJU2483" s="66"/>
      <c r="TJV2483" s="60"/>
      <c r="TJW2483" s="60"/>
      <c r="TJX2483" s="60"/>
      <c r="TJY2483" s="66"/>
      <c r="TJZ2483" s="61"/>
      <c r="TKA2483" s="56"/>
      <c r="TKB2483" s="56"/>
      <c r="TKC2483" s="66"/>
      <c r="TKD2483" s="60"/>
      <c r="TKE2483" s="60"/>
      <c r="TKF2483" s="60"/>
      <c r="TKG2483" s="66"/>
      <c r="TKH2483" s="61"/>
      <c r="TKI2483" s="56"/>
      <c r="TKJ2483" s="56"/>
      <c r="TKK2483" s="66"/>
      <c r="TKL2483" s="60"/>
      <c r="TKM2483" s="60"/>
      <c r="TKN2483" s="60"/>
      <c r="TKO2483" s="66"/>
      <c r="TKP2483" s="61"/>
      <c r="TKQ2483" s="56"/>
      <c r="TKR2483" s="56"/>
      <c r="TKS2483" s="66"/>
      <c r="TKT2483" s="60"/>
      <c r="TKU2483" s="60"/>
      <c r="TKV2483" s="60"/>
      <c r="TKW2483" s="66"/>
      <c r="TKX2483" s="61"/>
      <c r="TKY2483" s="56"/>
      <c r="TKZ2483" s="56"/>
      <c r="TLA2483" s="66"/>
      <c r="TLB2483" s="60"/>
      <c r="TLC2483" s="60"/>
      <c r="TLD2483" s="60"/>
      <c r="TLE2483" s="66"/>
      <c r="TLF2483" s="61"/>
      <c r="TLG2483" s="56"/>
      <c r="TLH2483" s="56"/>
      <c r="TLI2483" s="66"/>
      <c r="TLJ2483" s="60"/>
      <c r="TLK2483" s="60"/>
      <c r="TLL2483" s="60"/>
      <c r="TLM2483" s="66"/>
      <c r="TLN2483" s="61"/>
      <c r="TLO2483" s="56"/>
      <c r="TLP2483" s="56"/>
      <c r="TLQ2483" s="66"/>
      <c r="TLR2483" s="60"/>
      <c r="TLS2483" s="60"/>
      <c r="TLT2483" s="60"/>
      <c r="TLU2483" s="66"/>
      <c r="TLV2483" s="61"/>
      <c r="TLW2483" s="56"/>
      <c r="TLX2483" s="56"/>
      <c r="TLY2483" s="66"/>
      <c r="TLZ2483" s="60"/>
      <c r="TMA2483" s="60"/>
      <c r="TMB2483" s="60"/>
      <c r="TMC2483" s="66"/>
      <c r="TMD2483" s="61"/>
      <c r="TME2483" s="56"/>
      <c r="TMF2483" s="56"/>
      <c r="TMG2483" s="66"/>
      <c r="TMH2483" s="60"/>
      <c r="TMI2483" s="60"/>
      <c r="TMJ2483" s="60"/>
      <c r="TMK2483" s="66"/>
      <c r="TML2483" s="61"/>
      <c r="TMM2483" s="56"/>
      <c r="TMN2483" s="56"/>
      <c r="TMO2483" s="66"/>
      <c r="TMP2483" s="60"/>
      <c r="TMQ2483" s="60"/>
      <c r="TMR2483" s="60"/>
      <c r="TMS2483" s="66"/>
      <c r="TMT2483" s="61"/>
      <c r="TMU2483" s="56"/>
      <c r="TMV2483" s="56"/>
      <c r="TMW2483" s="66"/>
      <c r="TMX2483" s="60"/>
      <c r="TMY2483" s="60"/>
      <c r="TMZ2483" s="60"/>
      <c r="TNA2483" s="66"/>
      <c r="TNB2483" s="61"/>
      <c r="TNC2483" s="56"/>
      <c r="TND2483" s="56"/>
      <c r="TNE2483" s="66"/>
      <c r="TNF2483" s="60"/>
      <c r="TNG2483" s="60"/>
      <c r="TNH2483" s="60"/>
      <c r="TNI2483" s="66"/>
      <c r="TNJ2483" s="61"/>
      <c r="TNK2483" s="56"/>
      <c r="TNL2483" s="56"/>
      <c r="TNM2483" s="66"/>
      <c r="TNN2483" s="60"/>
      <c r="TNO2483" s="60"/>
      <c r="TNP2483" s="60"/>
      <c r="TNQ2483" s="66"/>
      <c r="TNR2483" s="61"/>
      <c r="TNS2483" s="56"/>
      <c r="TNT2483" s="56"/>
      <c r="TNU2483" s="66"/>
      <c r="TNV2483" s="60"/>
      <c r="TNW2483" s="60"/>
      <c r="TNX2483" s="60"/>
      <c r="TNY2483" s="66"/>
      <c r="TNZ2483" s="61"/>
      <c r="TOA2483" s="56"/>
      <c r="TOB2483" s="56"/>
      <c r="TOC2483" s="66"/>
      <c r="TOD2483" s="60"/>
      <c r="TOE2483" s="60"/>
      <c r="TOF2483" s="60"/>
      <c r="TOG2483" s="66"/>
      <c r="TOH2483" s="61"/>
      <c r="TOI2483" s="56"/>
      <c r="TOJ2483" s="56"/>
      <c r="TOK2483" s="66"/>
      <c r="TOL2483" s="60"/>
      <c r="TOM2483" s="60"/>
      <c r="TON2483" s="60"/>
      <c r="TOO2483" s="66"/>
      <c r="TOP2483" s="61"/>
      <c r="TOQ2483" s="56"/>
      <c r="TOR2483" s="56"/>
      <c r="TOS2483" s="66"/>
      <c r="TOT2483" s="60"/>
      <c r="TOU2483" s="60"/>
      <c r="TOV2483" s="60"/>
      <c r="TOW2483" s="66"/>
      <c r="TOX2483" s="61"/>
      <c r="TOY2483" s="56"/>
      <c r="TOZ2483" s="56"/>
      <c r="TPA2483" s="66"/>
      <c r="TPB2483" s="60"/>
      <c r="TPC2483" s="60"/>
      <c r="TPD2483" s="60"/>
      <c r="TPE2483" s="66"/>
      <c r="TPF2483" s="61"/>
      <c r="TPG2483" s="56"/>
      <c r="TPH2483" s="56"/>
      <c r="TPI2483" s="66"/>
      <c r="TPJ2483" s="60"/>
      <c r="TPK2483" s="60"/>
      <c r="TPL2483" s="60"/>
      <c r="TPM2483" s="66"/>
      <c r="TPN2483" s="61"/>
      <c r="TPO2483" s="56"/>
      <c r="TPP2483" s="56"/>
      <c r="TPQ2483" s="66"/>
      <c r="TPR2483" s="60"/>
      <c r="TPS2483" s="60"/>
      <c r="TPT2483" s="60"/>
      <c r="TPU2483" s="66"/>
      <c r="TPV2483" s="61"/>
      <c r="TPW2483" s="56"/>
      <c r="TPX2483" s="56"/>
      <c r="TPY2483" s="66"/>
      <c r="TPZ2483" s="60"/>
      <c r="TQA2483" s="60"/>
      <c r="TQB2483" s="60"/>
      <c r="TQC2483" s="66"/>
      <c r="TQD2483" s="61"/>
      <c r="TQE2483" s="56"/>
      <c r="TQF2483" s="56"/>
      <c r="TQG2483" s="66"/>
      <c r="TQH2483" s="60"/>
      <c r="TQI2483" s="60"/>
      <c r="TQJ2483" s="60"/>
      <c r="TQK2483" s="66"/>
      <c r="TQL2483" s="61"/>
      <c r="TQM2483" s="56"/>
      <c r="TQN2483" s="56"/>
      <c r="TQO2483" s="66"/>
      <c r="TQP2483" s="60"/>
      <c r="TQQ2483" s="60"/>
      <c r="TQR2483" s="60"/>
      <c r="TQS2483" s="66"/>
      <c r="TQT2483" s="61"/>
      <c r="TQU2483" s="56"/>
      <c r="TQV2483" s="56"/>
      <c r="TQW2483" s="66"/>
      <c r="TQX2483" s="60"/>
      <c r="TQY2483" s="60"/>
      <c r="TQZ2483" s="60"/>
      <c r="TRA2483" s="66"/>
      <c r="TRB2483" s="61"/>
      <c r="TRC2483" s="56"/>
      <c r="TRD2483" s="56"/>
      <c r="TRE2483" s="66"/>
      <c r="TRF2483" s="60"/>
      <c r="TRG2483" s="60"/>
      <c r="TRH2483" s="60"/>
      <c r="TRI2483" s="66"/>
      <c r="TRJ2483" s="61"/>
      <c r="TRK2483" s="56"/>
      <c r="TRL2483" s="56"/>
      <c r="TRM2483" s="66"/>
      <c r="TRN2483" s="60"/>
      <c r="TRO2483" s="60"/>
      <c r="TRP2483" s="60"/>
      <c r="TRQ2483" s="66"/>
      <c r="TRR2483" s="61"/>
      <c r="TRS2483" s="56"/>
      <c r="TRT2483" s="56"/>
      <c r="TRU2483" s="66"/>
      <c r="TRV2483" s="60"/>
      <c r="TRW2483" s="60"/>
      <c r="TRX2483" s="60"/>
      <c r="TRY2483" s="66"/>
      <c r="TRZ2483" s="61"/>
      <c r="TSA2483" s="56"/>
      <c r="TSB2483" s="56"/>
      <c r="TSC2483" s="66"/>
      <c r="TSD2483" s="60"/>
      <c r="TSE2483" s="60"/>
      <c r="TSF2483" s="60"/>
      <c r="TSG2483" s="66"/>
      <c r="TSH2483" s="61"/>
      <c r="TSI2483" s="56"/>
      <c r="TSJ2483" s="56"/>
      <c r="TSK2483" s="66"/>
      <c r="TSL2483" s="60"/>
      <c r="TSM2483" s="60"/>
      <c r="TSN2483" s="60"/>
      <c r="TSO2483" s="66"/>
      <c r="TSP2483" s="61"/>
      <c r="TSQ2483" s="56"/>
      <c r="TSR2483" s="56"/>
      <c r="TSS2483" s="66"/>
      <c r="TST2483" s="60"/>
      <c r="TSU2483" s="60"/>
      <c r="TSV2483" s="60"/>
      <c r="TSW2483" s="66"/>
      <c r="TSX2483" s="61"/>
      <c r="TSY2483" s="56"/>
      <c r="TSZ2483" s="56"/>
      <c r="TTA2483" s="66"/>
      <c r="TTB2483" s="60"/>
      <c r="TTC2483" s="60"/>
      <c r="TTD2483" s="60"/>
      <c r="TTE2483" s="66"/>
      <c r="TTF2483" s="61"/>
      <c r="TTG2483" s="56"/>
      <c r="TTH2483" s="56"/>
      <c r="TTI2483" s="66"/>
      <c r="TTJ2483" s="60"/>
      <c r="TTK2483" s="60"/>
      <c r="TTL2483" s="60"/>
      <c r="TTM2483" s="66"/>
      <c r="TTN2483" s="61"/>
      <c r="TTO2483" s="56"/>
      <c r="TTP2483" s="56"/>
      <c r="TTQ2483" s="66"/>
      <c r="TTR2483" s="60"/>
      <c r="TTS2483" s="60"/>
      <c r="TTT2483" s="60"/>
      <c r="TTU2483" s="66"/>
      <c r="TTV2483" s="61"/>
      <c r="TTW2483" s="56"/>
      <c r="TTX2483" s="56"/>
      <c r="TTY2483" s="66"/>
      <c r="TTZ2483" s="60"/>
      <c r="TUA2483" s="60"/>
      <c r="TUB2483" s="60"/>
      <c r="TUC2483" s="66"/>
      <c r="TUD2483" s="61"/>
      <c r="TUE2483" s="56"/>
      <c r="TUF2483" s="56"/>
      <c r="TUG2483" s="66"/>
      <c r="TUH2483" s="60"/>
      <c r="TUI2483" s="60"/>
      <c r="TUJ2483" s="60"/>
      <c r="TUK2483" s="66"/>
      <c r="TUL2483" s="61"/>
      <c r="TUM2483" s="56"/>
      <c r="TUN2483" s="56"/>
      <c r="TUO2483" s="66"/>
      <c r="TUP2483" s="60"/>
      <c r="TUQ2483" s="60"/>
      <c r="TUR2483" s="60"/>
      <c r="TUS2483" s="66"/>
      <c r="TUT2483" s="61"/>
      <c r="TUU2483" s="56"/>
      <c r="TUV2483" s="56"/>
      <c r="TUW2483" s="66"/>
      <c r="TUX2483" s="60"/>
      <c r="TUY2483" s="60"/>
      <c r="TUZ2483" s="60"/>
      <c r="TVA2483" s="66"/>
      <c r="TVB2483" s="61"/>
      <c r="TVC2483" s="56"/>
      <c r="TVD2483" s="56"/>
      <c r="TVE2483" s="66"/>
      <c r="TVF2483" s="60"/>
      <c r="TVG2483" s="60"/>
      <c r="TVH2483" s="60"/>
      <c r="TVI2483" s="66"/>
      <c r="TVJ2483" s="61"/>
      <c r="TVK2483" s="56"/>
      <c r="TVL2483" s="56"/>
      <c r="TVM2483" s="66"/>
      <c r="TVN2483" s="60"/>
      <c r="TVO2483" s="60"/>
      <c r="TVP2483" s="60"/>
      <c r="TVQ2483" s="66"/>
      <c r="TVR2483" s="61"/>
      <c r="TVS2483" s="56"/>
      <c r="TVT2483" s="56"/>
      <c r="TVU2483" s="66"/>
      <c r="TVV2483" s="60"/>
      <c r="TVW2483" s="60"/>
      <c r="TVX2483" s="60"/>
      <c r="TVY2483" s="66"/>
      <c r="TVZ2483" s="61"/>
      <c r="TWA2483" s="56"/>
      <c r="TWB2483" s="56"/>
      <c r="TWC2483" s="66"/>
      <c r="TWD2483" s="60"/>
      <c r="TWE2483" s="60"/>
      <c r="TWF2483" s="60"/>
      <c r="TWG2483" s="66"/>
      <c r="TWH2483" s="61"/>
      <c r="TWI2483" s="56"/>
      <c r="TWJ2483" s="56"/>
      <c r="TWK2483" s="66"/>
      <c r="TWL2483" s="60"/>
      <c r="TWM2483" s="60"/>
      <c r="TWN2483" s="60"/>
      <c r="TWO2483" s="66"/>
      <c r="TWP2483" s="61"/>
      <c r="TWQ2483" s="56"/>
      <c r="TWR2483" s="56"/>
      <c r="TWS2483" s="66"/>
      <c r="TWT2483" s="60"/>
      <c r="TWU2483" s="60"/>
      <c r="TWV2483" s="60"/>
      <c r="TWW2483" s="66"/>
      <c r="TWX2483" s="61"/>
      <c r="TWY2483" s="56"/>
      <c r="TWZ2483" s="56"/>
      <c r="TXA2483" s="66"/>
      <c r="TXB2483" s="60"/>
      <c r="TXC2483" s="60"/>
      <c r="TXD2483" s="60"/>
      <c r="TXE2483" s="66"/>
      <c r="TXF2483" s="61"/>
      <c r="TXG2483" s="56"/>
      <c r="TXH2483" s="56"/>
      <c r="TXI2483" s="66"/>
      <c r="TXJ2483" s="60"/>
      <c r="TXK2483" s="60"/>
      <c r="TXL2483" s="60"/>
      <c r="TXM2483" s="66"/>
      <c r="TXN2483" s="61"/>
      <c r="TXO2483" s="56"/>
      <c r="TXP2483" s="56"/>
      <c r="TXQ2483" s="66"/>
      <c r="TXR2483" s="60"/>
      <c r="TXS2483" s="60"/>
      <c r="TXT2483" s="60"/>
      <c r="TXU2483" s="66"/>
      <c r="TXV2483" s="61"/>
      <c r="TXW2483" s="56"/>
      <c r="TXX2483" s="56"/>
      <c r="TXY2483" s="66"/>
      <c r="TXZ2483" s="60"/>
      <c r="TYA2483" s="60"/>
      <c r="TYB2483" s="60"/>
      <c r="TYC2483" s="66"/>
      <c r="TYD2483" s="61"/>
      <c r="TYE2483" s="56"/>
      <c r="TYF2483" s="56"/>
      <c r="TYG2483" s="66"/>
      <c r="TYH2483" s="60"/>
      <c r="TYI2483" s="60"/>
      <c r="TYJ2483" s="60"/>
      <c r="TYK2483" s="66"/>
      <c r="TYL2483" s="61"/>
      <c r="TYM2483" s="56"/>
      <c r="TYN2483" s="56"/>
      <c r="TYO2483" s="66"/>
      <c r="TYP2483" s="60"/>
      <c r="TYQ2483" s="60"/>
      <c r="TYR2483" s="60"/>
      <c r="TYS2483" s="66"/>
      <c r="TYT2483" s="61"/>
      <c r="TYU2483" s="56"/>
      <c r="TYV2483" s="56"/>
      <c r="TYW2483" s="66"/>
      <c r="TYX2483" s="60"/>
      <c r="TYY2483" s="60"/>
      <c r="TYZ2483" s="60"/>
      <c r="TZA2483" s="66"/>
      <c r="TZB2483" s="61"/>
      <c r="TZC2483" s="56"/>
      <c r="TZD2483" s="56"/>
      <c r="TZE2483" s="66"/>
      <c r="TZF2483" s="60"/>
      <c r="TZG2483" s="60"/>
      <c r="TZH2483" s="60"/>
      <c r="TZI2483" s="66"/>
      <c r="TZJ2483" s="61"/>
      <c r="TZK2483" s="56"/>
      <c r="TZL2483" s="56"/>
      <c r="TZM2483" s="66"/>
      <c r="TZN2483" s="60"/>
      <c r="TZO2483" s="60"/>
      <c r="TZP2483" s="60"/>
      <c r="TZQ2483" s="66"/>
      <c r="TZR2483" s="61"/>
      <c r="TZS2483" s="56"/>
      <c r="TZT2483" s="56"/>
      <c r="TZU2483" s="66"/>
      <c r="TZV2483" s="60"/>
      <c r="TZW2483" s="60"/>
      <c r="TZX2483" s="60"/>
      <c r="TZY2483" s="66"/>
      <c r="TZZ2483" s="61"/>
      <c r="UAA2483" s="56"/>
      <c r="UAB2483" s="56"/>
      <c r="UAC2483" s="66"/>
      <c r="UAD2483" s="60"/>
      <c r="UAE2483" s="60"/>
      <c r="UAF2483" s="60"/>
      <c r="UAG2483" s="66"/>
      <c r="UAH2483" s="61"/>
      <c r="UAI2483" s="56"/>
      <c r="UAJ2483" s="56"/>
      <c r="UAK2483" s="66"/>
      <c r="UAL2483" s="60"/>
      <c r="UAM2483" s="60"/>
      <c r="UAN2483" s="60"/>
      <c r="UAO2483" s="66"/>
      <c r="UAP2483" s="61"/>
      <c r="UAQ2483" s="56"/>
      <c r="UAR2483" s="56"/>
      <c r="UAS2483" s="66"/>
      <c r="UAT2483" s="60"/>
      <c r="UAU2483" s="60"/>
      <c r="UAV2483" s="60"/>
      <c r="UAW2483" s="66"/>
      <c r="UAX2483" s="61"/>
      <c r="UAY2483" s="56"/>
      <c r="UAZ2483" s="56"/>
      <c r="UBA2483" s="66"/>
      <c r="UBB2483" s="60"/>
      <c r="UBC2483" s="60"/>
      <c r="UBD2483" s="60"/>
      <c r="UBE2483" s="66"/>
      <c r="UBF2483" s="61"/>
      <c r="UBG2483" s="56"/>
      <c r="UBH2483" s="56"/>
      <c r="UBI2483" s="66"/>
      <c r="UBJ2483" s="60"/>
      <c r="UBK2483" s="60"/>
      <c r="UBL2483" s="60"/>
      <c r="UBM2483" s="66"/>
      <c r="UBN2483" s="61"/>
      <c r="UBO2483" s="56"/>
      <c r="UBP2483" s="56"/>
      <c r="UBQ2483" s="66"/>
      <c r="UBR2483" s="60"/>
      <c r="UBS2483" s="60"/>
      <c r="UBT2483" s="60"/>
      <c r="UBU2483" s="66"/>
      <c r="UBV2483" s="61"/>
      <c r="UBW2483" s="56"/>
      <c r="UBX2483" s="56"/>
      <c r="UBY2483" s="66"/>
      <c r="UBZ2483" s="60"/>
      <c r="UCA2483" s="60"/>
      <c r="UCB2483" s="60"/>
      <c r="UCC2483" s="66"/>
      <c r="UCD2483" s="61"/>
      <c r="UCE2483" s="56"/>
      <c r="UCF2483" s="56"/>
      <c r="UCG2483" s="66"/>
      <c r="UCH2483" s="60"/>
      <c r="UCI2483" s="60"/>
      <c r="UCJ2483" s="60"/>
      <c r="UCK2483" s="66"/>
      <c r="UCL2483" s="61"/>
      <c r="UCM2483" s="56"/>
      <c r="UCN2483" s="56"/>
      <c r="UCO2483" s="66"/>
      <c r="UCP2483" s="60"/>
      <c r="UCQ2483" s="60"/>
      <c r="UCR2483" s="60"/>
      <c r="UCS2483" s="66"/>
      <c r="UCT2483" s="61"/>
      <c r="UCU2483" s="56"/>
      <c r="UCV2483" s="56"/>
      <c r="UCW2483" s="66"/>
      <c r="UCX2483" s="60"/>
      <c r="UCY2483" s="60"/>
      <c r="UCZ2483" s="60"/>
      <c r="UDA2483" s="66"/>
      <c r="UDB2483" s="61"/>
      <c r="UDC2483" s="56"/>
      <c r="UDD2483" s="56"/>
      <c r="UDE2483" s="66"/>
      <c r="UDF2483" s="60"/>
      <c r="UDG2483" s="60"/>
      <c r="UDH2483" s="60"/>
      <c r="UDI2483" s="66"/>
      <c r="UDJ2483" s="61"/>
      <c r="UDK2483" s="56"/>
      <c r="UDL2483" s="56"/>
      <c r="UDM2483" s="66"/>
      <c r="UDN2483" s="60"/>
      <c r="UDO2483" s="60"/>
      <c r="UDP2483" s="60"/>
      <c r="UDQ2483" s="66"/>
      <c r="UDR2483" s="61"/>
      <c r="UDS2483" s="56"/>
      <c r="UDT2483" s="56"/>
      <c r="UDU2483" s="66"/>
      <c r="UDV2483" s="60"/>
      <c r="UDW2483" s="60"/>
      <c r="UDX2483" s="60"/>
      <c r="UDY2483" s="66"/>
      <c r="UDZ2483" s="61"/>
      <c r="UEA2483" s="56"/>
      <c r="UEB2483" s="56"/>
      <c r="UEC2483" s="66"/>
      <c r="UED2483" s="60"/>
      <c r="UEE2483" s="60"/>
      <c r="UEF2483" s="60"/>
      <c r="UEG2483" s="66"/>
      <c r="UEH2483" s="61"/>
      <c r="UEI2483" s="56"/>
      <c r="UEJ2483" s="56"/>
      <c r="UEK2483" s="66"/>
      <c r="UEL2483" s="60"/>
      <c r="UEM2483" s="60"/>
      <c r="UEN2483" s="60"/>
      <c r="UEO2483" s="66"/>
      <c r="UEP2483" s="61"/>
      <c r="UEQ2483" s="56"/>
      <c r="UER2483" s="56"/>
      <c r="UES2483" s="66"/>
      <c r="UET2483" s="60"/>
      <c r="UEU2483" s="60"/>
      <c r="UEV2483" s="60"/>
      <c r="UEW2483" s="66"/>
      <c r="UEX2483" s="61"/>
      <c r="UEY2483" s="56"/>
      <c r="UEZ2483" s="56"/>
      <c r="UFA2483" s="66"/>
      <c r="UFB2483" s="60"/>
      <c r="UFC2483" s="60"/>
      <c r="UFD2483" s="60"/>
      <c r="UFE2483" s="66"/>
      <c r="UFF2483" s="61"/>
      <c r="UFG2483" s="56"/>
      <c r="UFH2483" s="56"/>
      <c r="UFI2483" s="66"/>
      <c r="UFJ2483" s="60"/>
      <c r="UFK2483" s="60"/>
      <c r="UFL2483" s="60"/>
      <c r="UFM2483" s="66"/>
      <c r="UFN2483" s="61"/>
      <c r="UFO2483" s="56"/>
      <c r="UFP2483" s="56"/>
      <c r="UFQ2483" s="66"/>
      <c r="UFR2483" s="60"/>
      <c r="UFS2483" s="60"/>
      <c r="UFT2483" s="60"/>
      <c r="UFU2483" s="66"/>
      <c r="UFV2483" s="61"/>
      <c r="UFW2483" s="56"/>
      <c r="UFX2483" s="56"/>
      <c r="UFY2483" s="66"/>
      <c r="UFZ2483" s="60"/>
      <c r="UGA2483" s="60"/>
      <c r="UGB2483" s="60"/>
      <c r="UGC2483" s="66"/>
      <c r="UGD2483" s="61"/>
      <c r="UGE2483" s="56"/>
      <c r="UGF2483" s="56"/>
      <c r="UGG2483" s="66"/>
      <c r="UGH2483" s="60"/>
      <c r="UGI2483" s="60"/>
      <c r="UGJ2483" s="60"/>
      <c r="UGK2483" s="66"/>
      <c r="UGL2483" s="61"/>
      <c r="UGM2483" s="56"/>
      <c r="UGN2483" s="56"/>
      <c r="UGO2483" s="66"/>
      <c r="UGP2483" s="60"/>
      <c r="UGQ2483" s="60"/>
      <c r="UGR2483" s="60"/>
      <c r="UGS2483" s="66"/>
      <c r="UGT2483" s="61"/>
      <c r="UGU2483" s="56"/>
      <c r="UGV2483" s="56"/>
      <c r="UGW2483" s="66"/>
      <c r="UGX2483" s="60"/>
      <c r="UGY2483" s="60"/>
      <c r="UGZ2483" s="60"/>
      <c r="UHA2483" s="66"/>
      <c r="UHB2483" s="61"/>
      <c r="UHC2483" s="56"/>
      <c r="UHD2483" s="56"/>
      <c r="UHE2483" s="66"/>
      <c r="UHF2483" s="60"/>
      <c r="UHG2483" s="60"/>
      <c r="UHH2483" s="60"/>
      <c r="UHI2483" s="66"/>
      <c r="UHJ2483" s="61"/>
      <c r="UHK2483" s="56"/>
      <c r="UHL2483" s="56"/>
      <c r="UHM2483" s="66"/>
      <c r="UHN2483" s="60"/>
      <c r="UHO2483" s="60"/>
      <c r="UHP2483" s="60"/>
      <c r="UHQ2483" s="66"/>
      <c r="UHR2483" s="61"/>
      <c r="UHS2483" s="56"/>
      <c r="UHT2483" s="56"/>
      <c r="UHU2483" s="66"/>
      <c r="UHV2483" s="60"/>
      <c r="UHW2483" s="60"/>
      <c r="UHX2483" s="60"/>
      <c r="UHY2483" s="66"/>
      <c r="UHZ2483" s="61"/>
      <c r="UIA2483" s="56"/>
      <c r="UIB2483" s="56"/>
      <c r="UIC2483" s="66"/>
      <c r="UID2483" s="60"/>
      <c r="UIE2483" s="60"/>
      <c r="UIF2483" s="60"/>
      <c r="UIG2483" s="66"/>
      <c r="UIH2483" s="61"/>
      <c r="UII2483" s="56"/>
      <c r="UIJ2483" s="56"/>
      <c r="UIK2483" s="66"/>
      <c r="UIL2483" s="60"/>
      <c r="UIM2483" s="60"/>
      <c r="UIN2483" s="60"/>
      <c r="UIO2483" s="66"/>
      <c r="UIP2483" s="61"/>
      <c r="UIQ2483" s="56"/>
      <c r="UIR2483" s="56"/>
      <c r="UIS2483" s="66"/>
      <c r="UIT2483" s="60"/>
      <c r="UIU2483" s="60"/>
      <c r="UIV2483" s="60"/>
      <c r="UIW2483" s="66"/>
      <c r="UIX2483" s="61"/>
      <c r="UIY2483" s="56"/>
      <c r="UIZ2483" s="56"/>
      <c r="UJA2483" s="66"/>
      <c r="UJB2483" s="60"/>
      <c r="UJC2483" s="60"/>
      <c r="UJD2483" s="60"/>
      <c r="UJE2483" s="66"/>
      <c r="UJF2483" s="61"/>
      <c r="UJG2483" s="56"/>
      <c r="UJH2483" s="56"/>
      <c r="UJI2483" s="66"/>
      <c r="UJJ2483" s="60"/>
      <c r="UJK2483" s="60"/>
      <c r="UJL2483" s="60"/>
      <c r="UJM2483" s="66"/>
      <c r="UJN2483" s="61"/>
      <c r="UJO2483" s="56"/>
      <c r="UJP2483" s="56"/>
      <c r="UJQ2483" s="66"/>
      <c r="UJR2483" s="60"/>
      <c r="UJS2483" s="60"/>
      <c r="UJT2483" s="60"/>
      <c r="UJU2483" s="66"/>
      <c r="UJV2483" s="61"/>
      <c r="UJW2483" s="56"/>
      <c r="UJX2483" s="56"/>
      <c r="UJY2483" s="66"/>
      <c r="UJZ2483" s="60"/>
      <c r="UKA2483" s="60"/>
      <c r="UKB2483" s="60"/>
      <c r="UKC2483" s="66"/>
      <c r="UKD2483" s="61"/>
      <c r="UKE2483" s="56"/>
      <c r="UKF2483" s="56"/>
      <c r="UKG2483" s="66"/>
      <c r="UKH2483" s="60"/>
      <c r="UKI2483" s="60"/>
      <c r="UKJ2483" s="60"/>
      <c r="UKK2483" s="66"/>
      <c r="UKL2483" s="61"/>
      <c r="UKM2483" s="56"/>
      <c r="UKN2483" s="56"/>
      <c r="UKO2483" s="66"/>
      <c r="UKP2483" s="60"/>
      <c r="UKQ2483" s="60"/>
      <c r="UKR2483" s="60"/>
      <c r="UKS2483" s="66"/>
      <c r="UKT2483" s="61"/>
      <c r="UKU2483" s="56"/>
      <c r="UKV2483" s="56"/>
      <c r="UKW2483" s="66"/>
      <c r="UKX2483" s="60"/>
      <c r="UKY2483" s="60"/>
      <c r="UKZ2483" s="60"/>
      <c r="ULA2483" s="66"/>
      <c r="ULB2483" s="61"/>
      <c r="ULC2483" s="56"/>
      <c r="ULD2483" s="56"/>
      <c r="ULE2483" s="66"/>
      <c r="ULF2483" s="60"/>
      <c r="ULG2483" s="60"/>
      <c r="ULH2483" s="60"/>
      <c r="ULI2483" s="66"/>
      <c r="ULJ2483" s="61"/>
      <c r="ULK2483" s="56"/>
      <c r="ULL2483" s="56"/>
      <c r="ULM2483" s="66"/>
      <c r="ULN2483" s="60"/>
      <c r="ULO2483" s="60"/>
      <c r="ULP2483" s="60"/>
      <c r="ULQ2483" s="66"/>
      <c r="ULR2483" s="61"/>
      <c r="ULS2483" s="56"/>
      <c r="ULT2483" s="56"/>
      <c r="ULU2483" s="66"/>
      <c r="ULV2483" s="60"/>
      <c r="ULW2483" s="60"/>
      <c r="ULX2483" s="60"/>
      <c r="ULY2483" s="66"/>
      <c r="ULZ2483" s="61"/>
      <c r="UMA2483" s="56"/>
      <c r="UMB2483" s="56"/>
      <c r="UMC2483" s="66"/>
      <c r="UMD2483" s="60"/>
      <c r="UME2483" s="60"/>
      <c r="UMF2483" s="60"/>
      <c r="UMG2483" s="66"/>
      <c r="UMH2483" s="61"/>
      <c r="UMI2483" s="56"/>
      <c r="UMJ2483" s="56"/>
      <c r="UMK2483" s="66"/>
      <c r="UML2483" s="60"/>
      <c r="UMM2483" s="60"/>
      <c r="UMN2483" s="60"/>
      <c r="UMO2483" s="66"/>
      <c r="UMP2483" s="61"/>
      <c r="UMQ2483" s="56"/>
      <c r="UMR2483" s="56"/>
      <c r="UMS2483" s="66"/>
      <c r="UMT2483" s="60"/>
      <c r="UMU2483" s="60"/>
      <c r="UMV2483" s="60"/>
      <c r="UMW2483" s="66"/>
      <c r="UMX2483" s="61"/>
      <c r="UMY2483" s="56"/>
      <c r="UMZ2483" s="56"/>
      <c r="UNA2483" s="66"/>
      <c r="UNB2483" s="60"/>
      <c r="UNC2483" s="60"/>
      <c r="UND2483" s="60"/>
      <c r="UNE2483" s="66"/>
      <c r="UNF2483" s="61"/>
      <c r="UNG2483" s="56"/>
      <c r="UNH2483" s="56"/>
      <c r="UNI2483" s="66"/>
      <c r="UNJ2483" s="60"/>
      <c r="UNK2483" s="60"/>
      <c r="UNL2483" s="60"/>
      <c r="UNM2483" s="66"/>
      <c r="UNN2483" s="61"/>
      <c r="UNO2483" s="56"/>
      <c r="UNP2483" s="56"/>
      <c r="UNQ2483" s="66"/>
      <c r="UNR2483" s="60"/>
      <c r="UNS2483" s="60"/>
      <c r="UNT2483" s="60"/>
      <c r="UNU2483" s="66"/>
      <c r="UNV2483" s="61"/>
      <c r="UNW2483" s="56"/>
      <c r="UNX2483" s="56"/>
      <c r="UNY2483" s="66"/>
      <c r="UNZ2483" s="60"/>
      <c r="UOA2483" s="60"/>
      <c r="UOB2483" s="60"/>
      <c r="UOC2483" s="66"/>
      <c r="UOD2483" s="61"/>
      <c r="UOE2483" s="56"/>
      <c r="UOF2483" s="56"/>
      <c r="UOG2483" s="66"/>
      <c r="UOH2483" s="60"/>
      <c r="UOI2483" s="60"/>
      <c r="UOJ2483" s="60"/>
      <c r="UOK2483" s="66"/>
      <c r="UOL2483" s="61"/>
      <c r="UOM2483" s="56"/>
      <c r="UON2483" s="56"/>
      <c r="UOO2483" s="66"/>
      <c r="UOP2483" s="60"/>
      <c r="UOQ2483" s="60"/>
      <c r="UOR2483" s="60"/>
      <c r="UOS2483" s="66"/>
      <c r="UOT2483" s="61"/>
      <c r="UOU2483" s="56"/>
      <c r="UOV2483" s="56"/>
      <c r="UOW2483" s="66"/>
      <c r="UOX2483" s="60"/>
      <c r="UOY2483" s="60"/>
      <c r="UOZ2483" s="60"/>
      <c r="UPA2483" s="66"/>
      <c r="UPB2483" s="61"/>
      <c r="UPC2483" s="56"/>
      <c r="UPD2483" s="56"/>
      <c r="UPE2483" s="66"/>
      <c r="UPF2483" s="60"/>
      <c r="UPG2483" s="60"/>
      <c r="UPH2483" s="60"/>
      <c r="UPI2483" s="66"/>
      <c r="UPJ2483" s="61"/>
      <c r="UPK2483" s="56"/>
      <c r="UPL2483" s="56"/>
      <c r="UPM2483" s="66"/>
      <c r="UPN2483" s="60"/>
      <c r="UPO2483" s="60"/>
      <c r="UPP2483" s="60"/>
      <c r="UPQ2483" s="66"/>
      <c r="UPR2483" s="61"/>
      <c r="UPS2483" s="56"/>
      <c r="UPT2483" s="56"/>
      <c r="UPU2483" s="66"/>
      <c r="UPV2483" s="60"/>
      <c r="UPW2483" s="60"/>
      <c r="UPX2483" s="60"/>
      <c r="UPY2483" s="66"/>
      <c r="UPZ2483" s="61"/>
      <c r="UQA2483" s="56"/>
      <c r="UQB2483" s="56"/>
      <c r="UQC2483" s="66"/>
      <c r="UQD2483" s="60"/>
      <c r="UQE2483" s="60"/>
      <c r="UQF2483" s="60"/>
      <c r="UQG2483" s="66"/>
      <c r="UQH2483" s="61"/>
      <c r="UQI2483" s="56"/>
      <c r="UQJ2483" s="56"/>
      <c r="UQK2483" s="66"/>
      <c r="UQL2483" s="60"/>
      <c r="UQM2483" s="60"/>
      <c r="UQN2483" s="60"/>
      <c r="UQO2483" s="66"/>
      <c r="UQP2483" s="61"/>
      <c r="UQQ2483" s="56"/>
      <c r="UQR2483" s="56"/>
      <c r="UQS2483" s="66"/>
      <c r="UQT2483" s="60"/>
      <c r="UQU2483" s="60"/>
      <c r="UQV2483" s="60"/>
      <c r="UQW2483" s="66"/>
      <c r="UQX2483" s="61"/>
      <c r="UQY2483" s="56"/>
      <c r="UQZ2483" s="56"/>
      <c r="URA2483" s="66"/>
      <c r="URB2483" s="60"/>
      <c r="URC2483" s="60"/>
      <c r="URD2483" s="60"/>
      <c r="URE2483" s="66"/>
      <c r="URF2483" s="61"/>
      <c r="URG2483" s="56"/>
      <c r="URH2483" s="56"/>
      <c r="URI2483" s="66"/>
      <c r="URJ2483" s="60"/>
      <c r="URK2483" s="60"/>
      <c r="URL2483" s="60"/>
      <c r="URM2483" s="66"/>
      <c r="URN2483" s="61"/>
      <c r="URO2483" s="56"/>
      <c r="URP2483" s="56"/>
      <c r="URQ2483" s="66"/>
      <c r="URR2483" s="60"/>
      <c r="URS2483" s="60"/>
      <c r="URT2483" s="60"/>
      <c r="URU2483" s="66"/>
      <c r="URV2483" s="61"/>
      <c r="URW2483" s="56"/>
      <c r="URX2483" s="56"/>
      <c r="URY2483" s="66"/>
      <c r="URZ2483" s="60"/>
      <c r="USA2483" s="60"/>
      <c r="USB2483" s="60"/>
      <c r="USC2483" s="66"/>
      <c r="USD2483" s="61"/>
      <c r="USE2483" s="56"/>
      <c r="USF2483" s="56"/>
      <c r="USG2483" s="66"/>
      <c r="USH2483" s="60"/>
      <c r="USI2483" s="60"/>
      <c r="USJ2483" s="60"/>
      <c r="USK2483" s="66"/>
      <c r="USL2483" s="61"/>
      <c r="USM2483" s="56"/>
      <c r="USN2483" s="56"/>
      <c r="USO2483" s="66"/>
      <c r="USP2483" s="60"/>
      <c r="USQ2483" s="60"/>
      <c r="USR2483" s="60"/>
      <c r="USS2483" s="66"/>
      <c r="UST2483" s="61"/>
      <c r="USU2483" s="56"/>
      <c r="USV2483" s="56"/>
      <c r="USW2483" s="66"/>
      <c r="USX2483" s="60"/>
      <c r="USY2483" s="60"/>
      <c r="USZ2483" s="60"/>
      <c r="UTA2483" s="66"/>
      <c r="UTB2483" s="61"/>
      <c r="UTC2483" s="56"/>
      <c r="UTD2483" s="56"/>
      <c r="UTE2483" s="66"/>
      <c r="UTF2483" s="60"/>
      <c r="UTG2483" s="60"/>
      <c r="UTH2483" s="60"/>
      <c r="UTI2483" s="66"/>
      <c r="UTJ2483" s="61"/>
      <c r="UTK2483" s="56"/>
      <c r="UTL2483" s="56"/>
      <c r="UTM2483" s="66"/>
      <c r="UTN2483" s="60"/>
      <c r="UTO2483" s="60"/>
      <c r="UTP2483" s="60"/>
      <c r="UTQ2483" s="66"/>
      <c r="UTR2483" s="61"/>
      <c r="UTS2483" s="56"/>
      <c r="UTT2483" s="56"/>
      <c r="UTU2483" s="66"/>
      <c r="UTV2483" s="60"/>
      <c r="UTW2483" s="60"/>
      <c r="UTX2483" s="60"/>
      <c r="UTY2483" s="66"/>
      <c r="UTZ2483" s="61"/>
      <c r="UUA2483" s="56"/>
      <c r="UUB2483" s="56"/>
      <c r="UUC2483" s="66"/>
      <c r="UUD2483" s="60"/>
      <c r="UUE2483" s="60"/>
      <c r="UUF2483" s="60"/>
      <c r="UUG2483" s="66"/>
      <c r="UUH2483" s="61"/>
      <c r="UUI2483" s="56"/>
      <c r="UUJ2483" s="56"/>
      <c r="UUK2483" s="66"/>
      <c r="UUL2483" s="60"/>
      <c r="UUM2483" s="60"/>
      <c r="UUN2483" s="60"/>
      <c r="UUO2483" s="66"/>
      <c r="UUP2483" s="61"/>
      <c r="UUQ2483" s="56"/>
      <c r="UUR2483" s="56"/>
      <c r="UUS2483" s="66"/>
      <c r="UUT2483" s="60"/>
      <c r="UUU2483" s="60"/>
      <c r="UUV2483" s="60"/>
      <c r="UUW2483" s="66"/>
      <c r="UUX2483" s="61"/>
      <c r="UUY2483" s="56"/>
      <c r="UUZ2483" s="56"/>
      <c r="UVA2483" s="66"/>
      <c r="UVB2483" s="60"/>
      <c r="UVC2483" s="60"/>
      <c r="UVD2483" s="60"/>
      <c r="UVE2483" s="66"/>
      <c r="UVF2483" s="61"/>
      <c r="UVG2483" s="56"/>
      <c r="UVH2483" s="56"/>
      <c r="UVI2483" s="66"/>
      <c r="UVJ2483" s="60"/>
      <c r="UVK2483" s="60"/>
      <c r="UVL2483" s="60"/>
      <c r="UVM2483" s="66"/>
      <c r="UVN2483" s="61"/>
      <c r="UVO2483" s="56"/>
      <c r="UVP2483" s="56"/>
      <c r="UVQ2483" s="66"/>
      <c r="UVR2483" s="60"/>
      <c r="UVS2483" s="60"/>
      <c r="UVT2483" s="60"/>
      <c r="UVU2483" s="66"/>
      <c r="UVV2483" s="61"/>
      <c r="UVW2483" s="56"/>
      <c r="UVX2483" s="56"/>
      <c r="UVY2483" s="66"/>
      <c r="UVZ2483" s="60"/>
      <c r="UWA2483" s="60"/>
      <c r="UWB2483" s="60"/>
      <c r="UWC2483" s="66"/>
      <c r="UWD2483" s="61"/>
      <c r="UWE2483" s="56"/>
      <c r="UWF2483" s="56"/>
      <c r="UWG2483" s="66"/>
      <c r="UWH2483" s="60"/>
      <c r="UWI2483" s="60"/>
      <c r="UWJ2483" s="60"/>
      <c r="UWK2483" s="66"/>
      <c r="UWL2483" s="61"/>
      <c r="UWM2483" s="56"/>
      <c r="UWN2483" s="56"/>
      <c r="UWO2483" s="66"/>
      <c r="UWP2483" s="60"/>
      <c r="UWQ2483" s="60"/>
      <c r="UWR2483" s="60"/>
      <c r="UWS2483" s="66"/>
      <c r="UWT2483" s="61"/>
      <c r="UWU2483" s="56"/>
      <c r="UWV2483" s="56"/>
      <c r="UWW2483" s="66"/>
      <c r="UWX2483" s="60"/>
      <c r="UWY2483" s="60"/>
      <c r="UWZ2483" s="60"/>
      <c r="UXA2483" s="66"/>
      <c r="UXB2483" s="61"/>
      <c r="UXC2483" s="56"/>
      <c r="UXD2483" s="56"/>
      <c r="UXE2483" s="66"/>
      <c r="UXF2483" s="60"/>
      <c r="UXG2483" s="60"/>
      <c r="UXH2483" s="60"/>
      <c r="UXI2483" s="66"/>
      <c r="UXJ2483" s="61"/>
      <c r="UXK2483" s="56"/>
      <c r="UXL2483" s="56"/>
      <c r="UXM2483" s="66"/>
      <c r="UXN2483" s="60"/>
      <c r="UXO2483" s="60"/>
      <c r="UXP2483" s="60"/>
      <c r="UXQ2483" s="66"/>
      <c r="UXR2483" s="61"/>
      <c r="UXS2483" s="56"/>
      <c r="UXT2483" s="56"/>
      <c r="UXU2483" s="66"/>
      <c r="UXV2483" s="60"/>
      <c r="UXW2483" s="60"/>
      <c r="UXX2483" s="60"/>
      <c r="UXY2483" s="66"/>
      <c r="UXZ2483" s="61"/>
      <c r="UYA2483" s="56"/>
      <c r="UYB2483" s="56"/>
      <c r="UYC2483" s="66"/>
      <c r="UYD2483" s="60"/>
      <c r="UYE2483" s="60"/>
      <c r="UYF2483" s="60"/>
      <c r="UYG2483" s="66"/>
      <c r="UYH2483" s="61"/>
      <c r="UYI2483" s="56"/>
      <c r="UYJ2483" s="56"/>
      <c r="UYK2483" s="66"/>
      <c r="UYL2483" s="60"/>
      <c r="UYM2483" s="60"/>
      <c r="UYN2483" s="60"/>
      <c r="UYO2483" s="66"/>
      <c r="UYP2483" s="61"/>
      <c r="UYQ2483" s="56"/>
      <c r="UYR2483" s="56"/>
      <c r="UYS2483" s="66"/>
      <c r="UYT2483" s="60"/>
      <c r="UYU2483" s="60"/>
      <c r="UYV2483" s="60"/>
      <c r="UYW2483" s="66"/>
      <c r="UYX2483" s="61"/>
      <c r="UYY2483" s="56"/>
      <c r="UYZ2483" s="56"/>
      <c r="UZA2483" s="66"/>
      <c r="UZB2483" s="60"/>
      <c r="UZC2483" s="60"/>
      <c r="UZD2483" s="60"/>
      <c r="UZE2483" s="66"/>
      <c r="UZF2483" s="61"/>
      <c r="UZG2483" s="56"/>
      <c r="UZH2483" s="56"/>
      <c r="UZI2483" s="66"/>
      <c r="UZJ2483" s="60"/>
      <c r="UZK2483" s="60"/>
      <c r="UZL2483" s="60"/>
      <c r="UZM2483" s="66"/>
      <c r="UZN2483" s="61"/>
      <c r="UZO2483" s="56"/>
      <c r="UZP2483" s="56"/>
      <c r="UZQ2483" s="66"/>
      <c r="UZR2483" s="60"/>
      <c r="UZS2483" s="60"/>
      <c r="UZT2483" s="60"/>
      <c r="UZU2483" s="66"/>
      <c r="UZV2483" s="61"/>
      <c r="UZW2483" s="56"/>
      <c r="UZX2483" s="56"/>
      <c r="UZY2483" s="66"/>
      <c r="UZZ2483" s="60"/>
      <c r="VAA2483" s="60"/>
      <c r="VAB2483" s="60"/>
      <c r="VAC2483" s="66"/>
      <c r="VAD2483" s="61"/>
      <c r="VAE2483" s="56"/>
      <c r="VAF2483" s="56"/>
      <c r="VAG2483" s="66"/>
      <c r="VAH2483" s="60"/>
      <c r="VAI2483" s="60"/>
      <c r="VAJ2483" s="60"/>
      <c r="VAK2483" s="66"/>
      <c r="VAL2483" s="61"/>
      <c r="VAM2483" s="56"/>
      <c r="VAN2483" s="56"/>
      <c r="VAO2483" s="66"/>
      <c r="VAP2483" s="60"/>
      <c r="VAQ2483" s="60"/>
      <c r="VAR2483" s="60"/>
      <c r="VAS2483" s="66"/>
      <c r="VAT2483" s="61"/>
      <c r="VAU2483" s="56"/>
      <c r="VAV2483" s="56"/>
      <c r="VAW2483" s="66"/>
      <c r="VAX2483" s="60"/>
      <c r="VAY2483" s="60"/>
      <c r="VAZ2483" s="60"/>
      <c r="VBA2483" s="66"/>
      <c r="VBB2483" s="61"/>
      <c r="VBC2483" s="56"/>
      <c r="VBD2483" s="56"/>
      <c r="VBE2483" s="66"/>
      <c r="VBF2483" s="60"/>
      <c r="VBG2483" s="60"/>
      <c r="VBH2483" s="60"/>
      <c r="VBI2483" s="66"/>
      <c r="VBJ2483" s="61"/>
      <c r="VBK2483" s="56"/>
      <c r="VBL2483" s="56"/>
      <c r="VBM2483" s="66"/>
      <c r="VBN2483" s="60"/>
      <c r="VBO2483" s="60"/>
      <c r="VBP2483" s="60"/>
      <c r="VBQ2483" s="66"/>
      <c r="VBR2483" s="61"/>
      <c r="VBS2483" s="56"/>
      <c r="VBT2483" s="56"/>
      <c r="VBU2483" s="66"/>
      <c r="VBV2483" s="60"/>
      <c r="VBW2483" s="60"/>
      <c r="VBX2483" s="60"/>
      <c r="VBY2483" s="66"/>
      <c r="VBZ2483" s="61"/>
      <c r="VCA2483" s="56"/>
      <c r="VCB2483" s="56"/>
      <c r="VCC2483" s="66"/>
      <c r="VCD2483" s="60"/>
      <c r="VCE2483" s="60"/>
      <c r="VCF2483" s="60"/>
      <c r="VCG2483" s="66"/>
      <c r="VCH2483" s="61"/>
      <c r="VCI2483" s="56"/>
      <c r="VCJ2483" s="56"/>
      <c r="VCK2483" s="66"/>
      <c r="VCL2483" s="60"/>
      <c r="VCM2483" s="60"/>
      <c r="VCN2483" s="60"/>
      <c r="VCO2483" s="66"/>
      <c r="VCP2483" s="61"/>
      <c r="VCQ2483" s="56"/>
      <c r="VCR2483" s="56"/>
      <c r="VCS2483" s="66"/>
      <c r="VCT2483" s="60"/>
      <c r="VCU2483" s="60"/>
      <c r="VCV2483" s="60"/>
      <c r="VCW2483" s="66"/>
      <c r="VCX2483" s="61"/>
      <c r="VCY2483" s="56"/>
      <c r="VCZ2483" s="56"/>
      <c r="VDA2483" s="66"/>
      <c r="VDB2483" s="60"/>
      <c r="VDC2483" s="60"/>
      <c r="VDD2483" s="60"/>
      <c r="VDE2483" s="66"/>
      <c r="VDF2483" s="61"/>
      <c r="VDG2483" s="56"/>
      <c r="VDH2483" s="56"/>
      <c r="VDI2483" s="66"/>
      <c r="VDJ2483" s="60"/>
      <c r="VDK2483" s="60"/>
      <c r="VDL2483" s="60"/>
      <c r="VDM2483" s="66"/>
      <c r="VDN2483" s="61"/>
      <c r="VDO2483" s="56"/>
      <c r="VDP2483" s="56"/>
      <c r="VDQ2483" s="66"/>
      <c r="VDR2483" s="60"/>
      <c r="VDS2483" s="60"/>
      <c r="VDT2483" s="60"/>
      <c r="VDU2483" s="66"/>
      <c r="VDV2483" s="61"/>
      <c r="VDW2483" s="56"/>
      <c r="VDX2483" s="56"/>
      <c r="VDY2483" s="66"/>
      <c r="VDZ2483" s="60"/>
      <c r="VEA2483" s="60"/>
      <c r="VEB2483" s="60"/>
      <c r="VEC2483" s="66"/>
      <c r="VED2483" s="61"/>
      <c r="VEE2483" s="56"/>
      <c r="VEF2483" s="56"/>
      <c r="VEG2483" s="66"/>
      <c r="VEH2483" s="60"/>
      <c r="VEI2483" s="60"/>
      <c r="VEJ2483" s="60"/>
      <c r="VEK2483" s="66"/>
      <c r="VEL2483" s="61"/>
      <c r="VEM2483" s="56"/>
      <c r="VEN2483" s="56"/>
      <c r="VEO2483" s="66"/>
      <c r="VEP2483" s="60"/>
      <c r="VEQ2483" s="60"/>
      <c r="VER2483" s="60"/>
      <c r="VES2483" s="66"/>
      <c r="VET2483" s="61"/>
      <c r="VEU2483" s="56"/>
      <c r="VEV2483" s="56"/>
      <c r="VEW2483" s="66"/>
      <c r="VEX2483" s="60"/>
      <c r="VEY2483" s="60"/>
      <c r="VEZ2483" s="60"/>
      <c r="VFA2483" s="66"/>
      <c r="VFB2483" s="61"/>
      <c r="VFC2483" s="56"/>
      <c r="VFD2483" s="56"/>
      <c r="VFE2483" s="66"/>
      <c r="VFF2483" s="60"/>
      <c r="VFG2483" s="60"/>
      <c r="VFH2483" s="60"/>
      <c r="VFI2483" s="66"/>
      <c r="VFJ2483" s="61"/>
      <c r="VFK2483" s="56"/>
      <c r="VFL2483" s="56"/>
      <c r="VFM2483" s="66"/>
      <c r="VFN2483" s="60"/>
      <c r="VFO2483" s="60"/>
      <c r="VFP2483" s="60"/>
      <c r="VFQ2483" s="66"/>
      <c r="VFR2483" s="61"/>
      <c r="VFS2483" s="56"/>
      <c r="VFT2483" s="56"/>
      <c r="VFU2483" s="66"/>
      <c r="VFV2483" s="60"/>
      <c r="VFW2483" s="60"/>
      <c r="VFX2483" s="60"/>
      <c r="VFY2483" s="66"/>
      <c r="VFZ2483" s="61"/>
      <c r="VGA2483" s="56"/>
      <c r="VGB2483" s="56"/>
      <c r="VGC2483" s="66"/>
      <c r="VGD2483" s="60"/>
      <c r="VGE2483" s="60"/>
      <c r="VGF2483" s="60"/>
      <c r="VGG2483" s="66"/>
      <c r="VGH2483" s="61"/>
      <c r="VGI2483" s="56"/>
      <c r="VGJ2483" s="56"/>
      <c r="VGK2483" s="66"/>
      <c r="VGL2483" s="60"/>
      <c r="VGM2483" s="60"/>
      <c r="VGN2483" s="60"/>
      <c r="VGO2483" s="66"/>
      <c r="VGP2483" s="61"/>
      <c r="VGQ2483" s="56"/>
      <c r="VGR2483" s="56"/>
      <c r="VGS2483" s="66"/>
      <c r="VGT2483" s="60"/>
      <c r="VGU2483" s="60"/>
      <c r="VGV2483" s="60"/>
      <c r="VGW2483" s="66"/>
      <c r="VGX2483" s="61"/>
      <c r="VGY2483" s="56"/>
      <c r="VGZ2483" s="56"/>
      <c r="VHA2483" s="66"/>
      <c r="VHB2483" s="60"/>
      <c r="VHC2483" s="60"/>
      <c r="VHD2483" s="60"/>
      <c r="VHE2483" s="66"/>
      <c r="VHF2483" s="61"/>
      <c r="VHG2483" s="56"/>
      <c r="VHH2483" s="56"/>
      <c r="VHI2483" s="66"/>
      <c r="VHJ2483" s="60"/>
      <c r="VHK2483" s="60"/>
      <c r="VHL2483" s="60"/>
      <c r="VHM2483" s="66"/>
      <c r="VHN2483" s="61"/>
      <c r="VHO2483" s="56"/>
      <c r="VHP2483" s="56"/>
      <c r="VHQ2483" s="66"/>
      <c r="VHR2483" s="60"/>
      <c r="VHS2483" s="60"/>
      <c r="VHT2483" s="60"/>
      <c r="VHU2483" s="66"/>
      <c r="VHV2483" s="61"/>
      <c r="VHW2483" s="56"/>
      <c r="VHX2483" s="56"/>
      <c r="VHY2483" s="66"/>
      <c r="VHZ2483" s="60"/>
      <c r="VIA2483" s="60"/>
      <c r="VIB2483" s="60"/>
      <c r="VIC2483" s="66"/>
      <c r="VID2483" s="61"/>
      <c r="VIE2483" s="56"/>
      <c r="VIF2483" s="56"/>
      <c r="VIG2483" s="66"/>
      <c r="VIH2483" s="60"/>
      <c r="VII2483" s="60"/>
      <c r="VIJ2483" s="60"/>
      <c r="VIK2483" s="66"/>
      <c r="VIL2483" s="61"/>
      <c r="VIM2483" s="56"/>
      <c r="VIN2483" s="56"/>
      <c r="VIO2483" s="66"/>
      <c r="VIP2483" s="60"/>
      <c r="VIQ2483" s="60"/>
      <c r="VIR2483" s="60"/>
      <c r="VIS2483" s="66"/>
      <c r="VIT2483" s="61"/>
      <c r="VIU2483" s="56"/>
      <c r="VIV2483" s="56"/>
      <c r="VIW2483" s="66"/>
      <c r="VIX2483" s="60"/>
      <c r="VIY2483" s="60"/>
      <c r="VIZ2483" s="60"/>
      <c r="VJA2483" s="66"/>
      <c r="VJB2483" s="61"/>
      <c r="VJC2483" s="56"/>
      <c r="VJD2483" s="56"/>
      <c r="VJE2483" s="66"/>
      <c r="VJF2483" s="60"/>
      <c r="VJG2483" s="60"/>
      <c r="VJH2483" s="60"/>
      <c r="VJI2483" s="66"/>
      <c r="VJJ2483" s="61"/>
      <c r="VJK2483" s="56"/>
      <c r="VJL2483" s="56"/>
      <c r="VJM2483" s="66"/>
      <c r="VJN2483" s="60"/>
      <c r="VJO2483" s="60"/>
      <c r="VJP2483" s="60"/>
      <c r="VJQ2483" s="66"/>
      <c r="VJR2483" s="61"/>
      <c r="VJS2483" s="56"/>
      <c r="VJT2483" s="56"/>
      <c r="VJU2483" s="66"/>
      <c r="VJV2483" s="60"/>
      <c r="VJW2483" s="60"/>
      <c r="VJX2483" s="60"/>
      <c r="VJY2483" s="66"/>
      <c r="VJZ2483" s="61"/>
      <c r="VKA2483" s="56"/>
      <c r="VKB2483" s="56"/>
      <c r="VKC2483" s="66"/>
      <c r="VKD2483" s="60"/>
      <c r="VKE2483" s="60"/>
      <c r="VKF2483" s="60"/>
      <c r="VKG2483" s="66"/>
      <c r="VKH2483" s="61"/>
      <c r="VKI2483" s="56"/>
      <c r="VKJ2483" s="56"/>
      <c r="VKK2483" s="66"/>
      <c r="VKL2483" s="60"/>
      <c r="VKM2483" s="60"/>
      <c r="VKN2483" s="60"/>
      <c r="VKO2483" s="66"/>
      <c r="VKP2483" s="61"/>
      <c r="VKQ2483" s="56"/>
      <c r="VKR2483" s="56"/>
      <c r="VKS2483" s="66"/>
      <c r="VKT2483" s="60"/>
      <c r="VKU2483" s="60"/>
      <c r="VKV2483" s="60"/>
      <c r="VKW2483" s="66"/>
      <c r="VKX2483" s="61"/>
      <c r="VKY2483" s="56"/>
      <c r="VKZ2483" s="56"/>
      <c r="VLA2483" s="66"/>
      <c r="VLB2483" s="60"/>
      <c r="VLC2483" s="60"/>
      <c r="VLD2483" s="60"/>
      <c r="VLE2483" s="66"/>
      <c r="VLF2483" s="61"/>
      <c r="VLG2483" s="56"/>
      <c r="VLH2483" s="56"/>
      <c r="VLI2483" s="66"/>
      <c r="VLJ2483" s="60"/>
      <c r="VLK2483" s="60"/>
      <c r="VLL2483" s="60"/>
      <c r="VLM2483" s="66"/>
      <c r="VLN2483" s="61"/>
      <c r="VLO2483" s="56"/>
      <c r="VLP2483" s="56"/>
      <c r="VLQ2483" s="66"/>
      <c r="VLR2483" s="60"/>
      <c r="VLS2483" s="60"/>
      <c r="VLT2483" s="60"/>
      <c r="VLU2483" s="66"/>
      <c r="VLV2483" s="61"/>
      <c r="VLW2483" s="56"/>
      <c r="VLX2483" s="56"/>
      <c r="VLY2483" s="66"/>
      <c r="VLZ2483" s="60"/>
      <c r="VMA2483" s="60"/>
      <c r="VMB2483" s="60"/>
      <c r="VMC2483" s="66"/>
      <c r="VMD2483" s="61"/>
      <c r="VME2483" s="56"/>
      <c r="VMF2483" s="56"/>
      <c r="VMG2483" s="66"/>
      <c r="VMH2483" s="60"/>
      <c r="VMI2483" s="60"/>
      <c r="VMJ2483" s="60"/>
      <c r="VMK2483" s="66"/>
      <c r="VML2483" s="61"/>
      <c r="VMM2483" s="56"/>
      <c r="VMN2483" s="56"/>
      <c r="VMO2483" s="66"/>
      <c r="VMP2483" s="60"/>
      <c r="VMQ2483" s="60"/>
      <c r="VMR2483" s="60"/>
      <c r="VMS2483" s="66"/>
      <c r="VMT2483" s="61"/>
      <c r="VMU2483" s="56"/>
      <c r="VMV2483" s="56"/>
      <c r="VMW2483" s="66"/>
      <c r="VMX2483" s="60"/>
      <c r="VMY2483" s="60"/>
      <c r="VMZ2483" s="60"/>
      <c r="VNA2483" s="66"/>
      <c r="VNB2483" s="61"/>
      <c r="VNC2483" s="56"/>
      <c r="VND2483" s="56"/>
      <c r="VNE2483" s="66"/>
      <c r="VNF2483" s="60"/>
      <c r="VNG2483" s="60"/>
      <c r="VNH2483" s="60"/>
      <c r="VNI2483" s="66"/>
      <c r="VNJ2483" s="61"/>
      <c r="VNK2483" s="56"/>
      <c r="VNL2483" s="56"/>
      <c r="VNM2483" s="66"/>
      <c r="VNN2483" s="60"/>
      <c r="VNO2483" s="60"/>
      <c r="VNP2483" s="60"/>
      <c r="VNQ2483" s="66"/>
      <c r="VNR2483" s="61"/>
      <c r="VNS2483" s="56"/>
      <c r="VNT2483" s="56"/>
      <c r="VNU2483" s="66"/>
      <c r="VNV2483" s="60"/>
      <c r="VNW2483" s="60"/>
      <c r="VNX2483" s="60"/>
      <c r="VNY2483" s="66"/>
      <c r="VNZ2483" s="61"/>
      <c r="VOA2483" s="56"/>
      <c r="VOB2483" s="56"/>
      <c r="VOC2483" s="66"/>
      <c r="VOD2483" s="60"/>
      <c r="VOE2483" s="60"/>
      <c r="VOF2483" s="60"/>
      <c r="VOG2483" s="66"/>
      <c r="VOH2483" s="61"/>
      <c r="VOI2483" s="56"/>
      <c r="VOJ2483" s="56"/>
      <c r="VOK2483" s="66"/>
      <c r="VOL2483" s="60"/>
      <c r="VOM2483" s="60"/>
      <c r="VON2483" s="60"/>
      <c r="VOO2483" s="66"/>
      <c r="VOP2483" s="61"/>
      <c r="VOQ2483" s="56"/>
      <c r="VOR2483" s="56"/>
      <c r="VOS2483" s="66"/>
      <c r="VOT2483" s="60"/>
      <c r="VOU2483" s="60"/>
      <c r="VOV2483" s="60"/>
      <c r="VOW2483" s="66"/>
      <c r="VOX2483" s="61"/>
      <c r="VOY2483" s="56"/>
      <c r="VOZ2483" s="56"/>
      <c r="VPA2483" s="66"/>
      <c r="VPB2483" s="60"/>
      <c r="VPC2483" s="60"/>
      <c r="VPD2483" s="60"/>
      <c r="VPE2483" s="66"/>
      <c r="VPF2483" s="61"/>
      <c r="VPG2483" s="56"/>
      <c r="VPH2483" s="56"/>
      <c r="VPI2483" s="66"/>
      <c r="VPJ2483" s="60"/>
      <c r="VPK2483" s="60"/>
      <c r="VPL2483" s="60"/>
      <c r="VPM2483" s="66"/>
      <c r="VPN2483" s="61"/>
      <c r="VPO2483" s="56"/>
      <c r="VPP2483" s="56"/>
      <c r="VPQ2483" s="66"/>
      <c r="VPR2483" s="60"/>
      <c r="VPS2483" s="60"/>
      <c r="VPT2483" s="60"/>
      <c r="VPU2483" s="66"/>
      <c r="VPV2483" s="61"/>
      <c r="VPW2483" s="56"/>
      <c r="VPX2483" s="56"/>
      <c r="VPY2483" s="66"/>
      <c r="VPZ2483" s="60"/>
      <c r="VQA2483" s="60"/>
      <c r="VQB2483" s="60"/>
      <c r="VQC2483" s="66"/>
      <c r="VQD2483" s="61"/>
      <c r="VQE2483" s="56"/>
      <c r="VQF2483" s="56"/>
      <c r="VQG2483" s="66"/>
      <c r="VQH2483" s="60"/>
      <c r="VQI2483" s="60"/>
      <c r="VQJ2483" s="60"/>
      <c r="VQK2483" s="66"/>
      <c r="VQL2483" s="61"/>
      <c r="VQM2483" s="56"/>
      <c r="VQN2483" s="56"/>
      <c r="VQO2483" s="66"/>
      <c r="VQP2483" s="60"/>
      <c r="VQQ2483" s="60"/>
      <c r="VQR2483" s="60"/>
      <c r="VQS2483" s="66"/>
      <c r="VQT2483" s="61"/>
      <c r="VQU2483" s="56"/>
      <c r="VQV2483" s="56"/>
      <c r="VQW2483" s="66"/>
      <c r="VQX2483" s="60"/>
      <c r="VQY2483" s="60"/>
      <c r="VQZ2483" s="60"/>
      <c r="VRA2483" s="66"/>
      <c r="VRB2483" s="61"/>
      <c r="VRC2483" s="56"/>
      <c r="VRD2483" s="56"/>
      <c r="VRE2483" s="66"/>
      <c r="VRF2483" s="60"/>
      <c r="VRG2483" s="60"/>
      <c r="VRH2483" s="60"/>
      <c r="VRI2483" s="66"/>
      <c r="VRJ2483" s="61"/>
      <c r="VRK2483" s="56"/>
      <c r="VRL2483" s="56"/>
      <c r="VRM2483" s="66"/>
      <c r="VRN2483" s="60"/>
      <c r="VRO2483" s="60"/>
      <c r="VRP2483" s="60"/>
      <c r="VRQ2483" s="66"/>
      <c r="VRR2483" s="61"/>
      <c r="VRS2483" s="56"/>
      <c r="VRT2483" s="56"/>
      <c r="VRU2483" s="66"/>
      <c r="VRV2483" s="60"/>
      <c r="VRW2483" s="60"/>
      <c r="VRX2483" s="60"/>
      <c r="VRY2483" s="66"/>
      <c r="VRZ2483" s="61"/>
      <c r="VSA2483" s="56"/>
      <c r="VSB2483" s="56"/>
      <c r="VSC2483" s="66"/>
      <c r="VSD2483" s="60"/>
      <c r="VSE2483" s="60"/>
      <c r="VSF2483" s="60"/>
      <c r="VSG2483" s="66"/>
      <c r="VSH2483" s="61"/>
      <c r="VSI2483" s="56"/>
      <c r="VSJ2483" s="56"/>
      <c r="VSK2483" s="66"/>
      <c r="VSL2483" s="60"/>
      <c r="VSM2483" s="60"/>
      <c r="VSN2483" s="60"/>
      <c r="VSO2483" s="66"/>
      <c r="VSP2483" s="61"/>
      <c r="VSQ2483" s="56"/>
      <c r="VSR2483" s="56"/>
      <c r="VSS2483" s="66"/>
      <c r="VST2483" s="60"/>
      <c r="VSU2483" s="60"/>
      <c r="VSV2483" s="60"/>
      <c r="VSW2483" s="66"/>
      <c r="VSX2483" s="61"/>
      <c r="VSY2483" s="56"/>
      <c r="VSZ2483" s="56"/>
      <c r="VTA2483" s="66"/>
      <c r="VTB2483" s="60"/>
      <c r="VTC2483" s="60"/>
      <c r="VTD2483" s="60"/>
      <c r="VTE2483" s="66"/>
      <c r="VTF2483" s="61"/>
      <c r="VTG2483" s="56"/>
      <c r="VTH2483" s="56"/>
      <c r="VTI2483" s="66"/>
      <c r="VTJ2483" s="60"/>
      <c r="VTK2483" s="60"/>
      <c r="VTL2483" s="60"/>
      <c r="VTM2483" s="66"/>
      <c r="VTN2483" s="61"/>
      <c r="VTO2483" s="56"/>
      <c r="VTP2483" s="56"/>
      <c r="VTQ2483" s="66"/>
      <c r="VTR2483" s="60"/>
      <c r="VTS2483" s="60"/>
      <c r="VTT2483" s="60"/>
      <c r="VTU2483" s="66"/>
      <c r="VTV2483" s="61"/>
      <c r="VTW2483" s="56"/>
      <c r="VTX2483" s="56"/>
      <c r="VTY2483" s="66"/>
      <c r="VTZ2483" s="60"/>
      <c r="VUA2483" s="60"/>
      <c r="VUB2483" s="60"/>
      <c r="VUC2483" s="66"/>
      <c r="VUD2483" s="61"/>
      <c r="VUE2483" s="56"/>
      <c r="VUF2483" s="56"/>
      <c r="VUG2483" s="66"/>
      <c r="VUH2483" s="60"/>
      <c r="VUI2483" s="60"/>
      <c r="VUJ2483" s="60"/>
      <c r="VUK2483" s="66"/>
      <c r="VUL2483" s="61"/>
      <c r="VUM2483" s="56"/>
      <c r="VUN2483" s="56"/>
      <c r="VUO2483" s="66"/>
      <c r="VUP2483" s="60"/>
      <c r="VUQ2483" s="60"/>
      <c r="VUR2483" s="60"/>
      <c r="VUS2483" s="66"/>
      <c r="VUT2483" s="61"/>
      <c r="VUU2483" s="56"/>
      <c r="VUV2483" s="56"/>
      <c r="VUW2483" s="66"/>
      <c r="VUX2483" s="60"/>
      <c r="VUY2483" s="60"/>
      <c r="VUZ2483" s="60"/>
      <c r="VVA2483" s="66"/>
      <c r="VVB2483" s="61"/>
      <c r="VVC2483" s="56"/>
      <c r="VVD2483" s="56"/>
      <c r="VVE2483" s="66"/>
      <c r="VVF2483" s="60"/>
      <c r="VVG2483" s="60"/>
      <c r="VVH2483" s="60"/>
      <c r="VVI2483" s="66"/>
      <c r="VVJ2483" s="61"/>
      <c r="VVK2483" s="56"/>
      <c r="VVL2483" s="56"/>
      <c r="VVM2483" s="66"/>
      <c r="VVN2483" s="60"/>
      <c r="VVO2483" s="60"/>
      <c r="VVP2483" s="60"/>
      <c r="VVQ2483" s="66"/>
      <c r="VVR2483" s="61"/>
      <c r="VVS2483" s="56"/>
      <c r="VVT2483" s="56"/>
      <c r="VVU2483" s="66"/>
      <c r="VVV2483" s="60"/>
      <c r="VVW2483" s="60"/>
      <c r="VVX2483" s="60"/>
      <c r="VVY2483" s="66"/>
      <c r="VVZ2483" s="61"/>
      <c r="VWA2483" s="56"/>
      <c r="VWB2483" s="56"/>
      <c r="VWC2483" s="66"/>
      <c r="VWD2483" s="60"/>
      <c r="VWE2483" s="60"/>
      <c r="VWF2483" s="60"/>
      <c r="VWG2483" s="66"/>
      <c r="VWH2483" s="61"/>
      <c r="VWI2483" s="56"/>
      <c r="VWJ2483" s="56"/>
      <c r="VWK2483" s="66"/>
      <c r="VWL2483" s="60"/>
      <c r="VWM2483" s="60"/>
      <c r="VWN2483" s="60"/>
      <c r="VWO2483" s="66"/>
      <c r="VWP2483" s="61"/>
      <c r="VWQ2483" s="56"/>
      <c r="VWR2483" s="56"/>
      <c r="VWS2483" s="66"/>
      <c r="VWT2483" s="60"/>
      <c r="VWU2483" s="60"/>
      <c r="VWV2483" s="60"/>
      <c r="VWW2483" s="66"/>
      <c r="VWX2483" s="61"/>
      <c r="VWY2483" s="56"/>
      <c r="VWZ2483" s="56"/>
      <c r="VXA2483" s="66"/>
      <c r="VXB2483" s="60"/>
      <c r="VXC2483" s="60"/>
      <c r="VXD2483" s="60"/>
      <c r="VXE2483" s="66"/>
      <c r="VXF2483" s="61"/>
      <c r="VXG2483" s="56"/>
      <c r="VXH2483" s="56"/>
      <c r="VXI2483" s="66"/>
      <c r="VXJ2483" s="60"/>
      <c r="VXK2483" s="60"/>
      <c r="VXL2483" s="60"/>
      <c r="VXM2483" s="66"/>
      <c r="VXN2483" s="61"/>
      <c r="VXO2483" s="56"/>
      <c r="VXP2483" s="56"/>
      <c r="VXQ2483" s="66"/>
      <c r="VXR2483" s="60"/>
      <c r="VXS2483" s="60"/>
      <c r="VXT2483" s="60"/>
      <c r="VXU2483" s="66"/>
      <c r="VXV2483" s="61"/>
      <c r="VXW2483" s="56"/>
      <c r="VXX2483" s="56"/>
      <c r="VXY2483" s="66"/>
      <c r="VXZ2483" s="60"/>
      <c r="VYA2483" s="60"/>
      <c r="VYB2483" s="60"/>
      <c r="VYC2483" s="66"/>
      <c r="VYD2483" s="61"/>
      <c r="VYE2483" s="56"/>
      <c r="VYF2483" s="56"/>
      <c r="VYG2483" s="66"/>
      <c r="VYH2483" s="60"/>
      <c r="VYI2483" s="60"/>
      <c r="VYJ2483" s="60"/>
      <c r="VYK2483" s="66"/>
      <c r="VYL2483" s="61"/>
      <c r="VYM2483" s="56"/>
      <c r="VYN2483" s="56"/>
      <c r="VYO2483" s="66"/>
      <c r="VYP2483" s="60"/>
      <c r="VYQ2483" s="60"/>
      <c r="VYR2483" s="60"/>
      <c r="VYS2483" s="66"/>
      <c r="VYT2483" s="61"/>
      <c r="VYU2483" s="56"/>
      <c r="VYV2483" s="56"/>
      <c r="VYW2483" s="66"/>
      <c r="VYX2483" s="60"/>
      <c r="VYY2483" s="60"/>
      <c r="VYZ2483" s="60"/>
      <c r="VZA2483" s="66"/>
      <c r="VZB2483" s="61"/>
      <c r="VZC2483" s="56"/>
      <c r="VZD2483" s="56"/>
      <c r="VZE2483" s="66"/>
      <c r="VZF2483" s="60"/>
      <c r="VZG2483" s="60"/>
      <c r="VZH2483" s="60"/>
      <c r="VZI2483" s="66"/>
      <c r="VZJ2483" s="61"/>
      <c r="VZK2483" s="56"/>
      <c r="VZL2483" s="56"/>
      <c r="VZM2483" s="66"/>
      <c r="VZN2483" s="60"/>
      <c r="VZO2483" s="60"/>
      <c r="VZP2483" s="60"/>
      <c r="VZQ2483" s="66"/>
      <c r="VZR2483" s="61"/>
      <c r="VZS2483" s="56"/>
      <c r="VZT2483" s="56"/>
      <c r="VZU2483" s="66"/>
      <c r="VZV2483" s="60"/>
      <c r="VZW2483" s="60"/>
      <c r="VZX2483" s="60"/>
      <c r="VZY2483" s="66"/>
      <c r="VZZ2483" s="61"/>
      <c r="WAA2483" s="56"/>
      <c r="WAB2483" s="56"/>
      <c r="WAC2483" s="66"/>
      <c r="WAD2483" s="60"/>
      <c r="WAE2483" s="60"/>
      <c r="WAF2483" s="60"/>
      <c r="WAG2483" s="66"/>
      <c r="WAH2483" s="61"/>
      <c r="WAI2483" s="56"/>
      <c r="WAJ2483" s="56"/>
      <c r="WAK2483" s="66"/>
      <c r="WAL2483" s="60"/>
      <c r="WAM2483" s="60"/>
      <c r="WAN2483" s="60"/>
      <c r="WAO2483" s="66"/>
      <c r="WAP2483" s="61"/>
      <c r="WAQ2483" s="56"/>
      <c r="WAR2483" s="56"/>
      <c r="WAS2483" s="66"/>
      <c r="WAT2483" s="60"/>
      <c r="WAU2483" s="60"/>
      <c r="WAV2483" s="60"/>
      <c r="WAW2483" s="66"/>
      <c r="WAX2483" s="61"/>
      <c r="WAY2483" s="56"/>
      <c r="WAZ2483" s="56"/>
      <c r="WBA2483" s="66"/>
      <c r="WBB2483" s="60"/>
      <c r="WBC2483" s="60"/>
      <c r="WBD2483" s="60"/>
      <c r="WBE2483" s="66"/>
      <c r="WBF2483" s="61"/>
      <c r="WBG2483" s="56"/>
      <c r="WBH2483" s="56"/>
      <c r="WBI2483" s="66"/>
      <c r="WBJ2483" s="60"/>
      <c r="WBK2483" s="60"/>
      <c r="WBL2483" s="60"/>
      <c r="WBM2483" s="66"/>
      <c r="WBN2483" s="61"/>
      <c r="WBO2483" s="56"/>
      <c r="WBP2483" s="56"/>
      <c r="WBQ2483" s="66"/>
      <c r="WBR2483" s="60"/>
      <c r="WBS2483" s="60"/>
      <c r="WBT2483" s="60"/>
      <c r="WBU2483" s="66"/>
      <c r="WBV2483" s="61"/>
      <c r="WBW2483" s="56"/>
      <c r="WBX2483" s="56"/>
      <c r="WBY2483" s="66"/>
      <c r="WBZ2483" s="60"/>
      <c r="WCA2483" s="60"/>
      <c r="WCB2483" s="60"/>
      <c r="WCC2483" s="66"/>
      <c r="WCD2483" s="61"/>
      <c r="WCE2483" s="56"/>
      <c r="WCF2483" s="56"/>
      <c r="WCG2483" s="66"/>
      <c r="WCH2483" s="60"/>
      <c r="WCI2483" s="60"/>
      <c r="WCJ2483" s="60"/>
      <c r="WCK2483" s="66"/>
      <c r="WCL2483" s="61"/>
      <c r="WCM2483" s="56"/>
      <c r="WCN2483" s="56"/>
      <c r="WCO2483" s="66"/>
      <c r="WCP2483" s="60"/>
      <c r="WCQ2483" s="60"/>
      <c r="WCR2483" s="60"/>
      <c r="WCS2483" s="66"/>
      <c r="WCT2483" s="61"/>
      <c r="WCU2483" s="56"/>
      <c r="WCV2483" s="56"/>
      <c r="WCW2483" s="66"/>
      <c r="WCX2483" s="60"/>
      <c r="WCY2483" s="60"/>
      <c r="WCZ2483" s="60"/>
      <c r="WDA2483" s="66"/>
      <c r="WDB2483" s="61"/>
      <c r="WDC2483" s="56"/>
      <c r="WDD2483" s="56"/>
      <c r="WDE2483" s="66"/>
      <c r="WDF2483" s="60"/>
      <c r="WDG2483" s="60"/>
      <c r="WDH2483" s="60"/>
      <c r="WDI2483" s="66"/>
      <c r="WDJ2483" s="61"/>
      <c r="WDK2483" s="56"/>
      <c r="WDL2483" s="56"/>
      <c r="WDM2483" s="66"/>
      <c r="WDN2483" s="60"/>
      <c r="WDO2483" s="60"/>
      <c r="WDP2483" s="60"/>
      <c r="WDQ2483" s="66"/>
      <c r="WDR2483" s="61"/>
      <c r="WDS2483" s="56"/>
      <c r="WDT2483" s="56"/>
      <c r="WDU2483" s="66"/>
      <c r="WDV2483" s="60"/>
      <c r="WDW2483" s="60"/>
      <c r="WDX2483" s="60"/>
      <c r="WDY2483" s="66"/>
      <c r="WDZ2483" s="61"/>
      <c r="WEA2483" s="56"/>
      <c r="WEB2483" s="56"/>
      <c r="WEC2483" s="66"/>
      <c r="WED2483" s="60"/>
      <c r="WEE2483" s="60"/>
      <c r="WEF2483" s="60"/>
      <c r="WEG2483" s="66"/>
      <c r="WEH2483" s="61"/>
      <c r="WEI2483" s="56"/>
      <c r="WEJ2483" s="56"/>
      <c r="WEK2483" s="66"/>
      <c r="WEL2483" s="60"/>
      <c r="WEM2483" s="60"/>
      <c r="WEN2483" s="60"/>
      <c r="WEO2483" s="66"/>
      <c r="WEP2483" s="61"/>
      <c r="WEQ2483" s="56"/>
      <c r="WER2483" s="56"/>
      <c r="WES2483" s="66"/>
      <c r="WET2483" s="60"/>
      <c r="WEU2483" s="60"/>
      <c r="WEV2483" s="60"/>
      <c r="WEW2483" s="66"/>
      <c r="WEX2483" s="61"/>
      <c r="WEY2483" s="56"/>
      <c r="WEZ2483" s="56"/>
      <c r="WFA2483" s="66"/>
      <c r="WFB2483" s="60"/>
      <c r="WFC2483" s="60"/>
      <c r="WFD2483" s="60"/>
      <c r="WFE2483" s="66"/>
      <c r="WFF2483" s="61"/>
      <c r="WFG2483" s="56"/>
      <c r="WFH2483" s="56"/>
      <c r="WFI2483" s="66"/>
      <c r="WFJ2483" s="60"/>
      <c r="WFK2483" s="60"/>
      <c r="WFL2483" s="60"/>
      <c r="WFM2483" s="66"/>
      <c r="WFN2483" s="61"/>
      <c r="WFO2483" s="56"/>
      <c r="WFP2483" s="56"/>
      <c r="WFQ2483" s="66"/>
      <c r="WFR2483" s="60"/>
      <c r="WFS2483" s="60"/>
      <c r="WFT2483" s="60"/>
      <c r="WFU2483" s="66"/>
      <c r="WFV2483" s="61"/>
      <c r="WFW2483" s="56"/>
      <c r="WFX2483" s="56"/>
      <c r="WFY2483" s="66"/>
      <c r="WFZ2483" s="60"/>
      <c r="WGA2483" s="60"/>
      <c r="WGB2483" s="60"/>
      <c r="WGC2483" s="66"/>
      <c r="WGD2483" s="61"/>
      <c r="WGE2483" s="56"/>
      <c r="WGF2483" s="56"/>
      <c r="WGG2483" s="66"/>
      <c r="WGH2483" s="60"/>
      <c r="WGI2483" s="60"/>
      <c r="WGJ2483" s="60"/>
      <c r="WGK2483" s="66"/>
      <c r="WGL2483" s="61"/>
      <c r="WGM2483" s="56"/>
      <c r="WGN2483" s="56"/>
      <c r="WGO2483" s="66"/>
      <c r="WGP2483" s="60"/>
      <c r="WGQ2483" s="60"/>
      <c r="WGR2483" s="60"/>
      <c r="WGS2483" s="66"/>
      <c r="WGT2483" s="61"/>
      <c r="WGU2483" s="56"/>
      <c r="WGV2483" s="56"/>
      <c r="WGW2483" s="66"/>
      <c r="WGX2483" s="60"/>
      <c r="WGY2483" s="60"/>
      <c r="WGZ2483" s="60"/>
      <c r="WHA2483" s="66"/>
      <c r="WHB2483" s="61"/>
      <c r="WHC2483" s="56"/>
      <c r="WHD2483" s="56"/>
      <c r="WHE2483" s="66"/>
      <c r="WHF2483" s="60"/>
      <c r="WHG2483" s="60"/>
      <c r="WHH2483" s="60"/>
      <c r="WHI2483" s="66"/>
      <c r="WHJ2483" s="61"/>
      <c r="WHK2483" s="56"/>
      <c r="WHL2483" s="56"/>
      <c r="WHM2483" s="66"/>
      <c r="WHN2483" s="60"/>
      <c r="WHO2483" s="60"/>
      <c r="WHP2483" s="60"/>
      <c r="WHQ2483" s="66"/>
      <c r="WHR2483" s="61"/>
      <c r="WHS2483" s="56"/>
      <c r="WHT2483" s="56"/>
      <c r="WHU2483" s="66"/>
      <c r="WHV2483" s="60"/>
      <c r="WHW2483" s="60"/>
      <c r="WHX2483" s="60"/>
      <c r="WHY2483" s="66"/>
      <c r="WHZ2483" s="61"/>
      <c r="WIA2483" s="56"/>
      <c r="WIB2483" s="56"/>
      <c r="WIC2483" s="66"/>
      <c r="WID2483" s="60"/>
      <c r="WIE2483" s="60"/>
      <c r="WIF2483" s="60"/>
      <c r="WIG2483" s="66"/>
      <c r="WIH2483" s="61"/>
      <c r="WII2483" s="56"/>
      <c r="WIJ2483" s="56"/>
      <c r="WIK2483" s="66"/>
      <c r="WIL2483" s="60"/>
      <c r="WIM2483" s="60"/>
      <c r="WIN2483" s="60"/>
      <c r="WIO2483" s="66"/>
      <c r="WIP2483" s="61"/>
      <c r="WIQ2483" s="56"/>
      <c r="WIR2483" s="56"/>
      <c r="WIS2483" s="66"/>
      <c r="WIT2483" s="60"/>
      <c r="WIU2483" s="60"/>
      <c r="WIV2483" s="60"/>
      <c r="WIW2483" s="66"/>
      <c r="WIX2483" s="61"/>
      <c r="WIY2483" s="56"/>
      <c r="WIZ2483" s="56"/>
      <c r="WJA2483" s="66"/>
      <c r="WJB2483" s="60"/>
      <c r="WJC2483" s="60"/>
      <c r="WJD2483" s="60"/>
      <c r="WJE2483" s="66"/>
      <c r="WJF2483" s="61"/>
      <c r="WJG2483" s="56"/>
      <c r="WJH2483" s="56"/>
      <c r="WJI2483" s="66"/>
      <c r="WJJ2483" s="60"/>
      <c r="WJK2483" s="60"/>
      <c r="WJL2483" s="60"/>
      <c r="WJM2483" s="66"/>
      <c r="WJN2483" s="61"/>
      <c r="WJO2483" s="56"/>
      <c r="WJP2483" s="56"/>
      <c r="WJQ2483" s="66"/>
      <c r="WJR2483" s="60"/>
      <c r="WJS2483" s="60"/>
      <c r="WJT2483" s="60"/>
      <c r="WJU2483" s="66"/>
      <c r="WJV2483" s="61"/>
      <c r="WJW2483" s="56"/>
      <c r="WJX2483" s="56"/>
      <c r="WJY2483" s="66"/>
      <c r="WJZ2483" s="60"/>
      <c r="WKA2483" s="60"/>
      <c r="WKB2483" s="60"/>
      <c r="WKC2483" s="66"/>
      <c r="WKD2483" s="61"/>
      <c r="WKE2483" s="56"/>
      <c r="WKF2483" s="56"/>
      <c r="WKG2483" s="66"/>
      <c r="WKH2483" s="60"/>
      <c r="WKI2483" s="60"/>
      <c r="WKJ2483" s="60"/>
      <c r="WKK2483" s="66"/>
      <c r="WKL2483" s="61"/>
      <c r="WKM2483" s="56"/>
      <c r="WKN2483" s="56"/>
      <c r="WKO2483" s="66"/>
      <c r="WKP2483" s="60"/>
      <c r="WKQ2483" s="60"/>
      <c r="WKR2483" s="60"/>
      <c r="WKS2483" s="66"/>
      <c r="WKT2483" s="61"/>
      <c r="WKU2483" s="56"/>
      <c r="WKV2483" s="56"/>
      <c r="WKW2483" s="66"/>
      <c r="WKX2483" s="60"/>
      <c r="WKY2483" s="60"/>
      <c r="WKZ2483" s="60"/>
      <c r="WLA2483" s="66"/>
      <c r="WLB2483" s="61"/>
      <c r="WLC2483" s="56"/>
      <c r="WLD2483" s="56"/>
      <c r="WLE2483" s="66"/>
      <c r="WLF2483" s="60"/>
      <c r="WLG2483" s="60"/>
      <c r="WLH2483" s="60"/>
      <c r="WLI2483" s="66"/>
      <c r="WLJ2483" s="61"/>
      <c r="WLK2483" s="56"/>
      <c r="WLL2483" s="56"/>
      <c r="WLM2483" s="66"/>
      <c r="WLN2483" s="60"/>
      <c r="WLO2483" s="60"/>
      <c r="WLP2483" s="60"/>
      <c r="WLQ2483" s="66"/>
      <c r="WLR2483" s="61"/>
      <c r="WLS2483" s="56"/>
      <c r="WLT2483" s="56"/>
      <c r="WLU2483" s="66"/>
      <c r="WLV2483" s="60"/>
      <c r="WLW2483" s="60"/>
      <c r="WLX2483" s="60"/>
      <c r="WLY2483" s="66"/>
      <c r="WLZ2483" s="61"/>
      <c r="WMA2483" s="56"/>
      <c r="WMB2483" s="56"/>
      <c r="WMC2483" s="66"/>
      <c r="WMD2483" s="60"/>
      <c r="WME2483" s="60"/>
      <c r="WMF2483" s="60"/>
      <c r="WMG2483" s="66"/>
      <c r="WMH2483" s="61"/>
      <c r="WMI2483" s="56"/>
      <c r="WMJ2483" s="56"/>
      <c r="WMK2483" s="66"/>
      <c r="WML2483" s="60"/>
      <c r="WMM2483" s="60"/>
      <c r="WMN2483" s="60"/>
      <c r="WMO2483" s="66"/>
      <c r="WMP2483" s="61"/>
      <c r="WMQ2483" s="56"/>
      <c r="WMR2483" s="56"/>
      <c r="WMS2483" s="66"/>
      <c r="WMT2483" s="60"/>
      <c r="WMU2483" s="60"/>
      <c r="WMV2483" s="60"/>
      <c r="WMW2483" s="66"/>
      <c r="WMX2483" s="61"/>
      <c r="WMY2483" s="56"/>
      <c r="WMZ2483" s="56"/>
      <c r="WNA2483" s="66"/>
      <c r="WNB2483" s="60"/>
      <c r="WNC2483" s="60"/>
      <c r="WND2483" s="60"/>
      <c r="WNE2483" s="66"/>
      <c r="WNF2483" s="61"/>
      <c r="WNG2483" s="56"/>
      <c r="WNH2483" s="56"/>
      <c r="WNI2483" s="66"/>
      <c r="WNJ2483" s="60"/>
      <c r="WNK2483" s="60"/>
      <c r="WNL2483" s="60"/>
      <c r="WNM2483" s="66"/>
      <c r="WNN2483" s="61"/>
      <c r="WNO2483" s="56"/>
      <c r="WNP2483" s="56"/>
      <c r="WNQ2483" s="66"/>
      <c r="WNR2483" s="60"/>
      <c r="WNS2483" s="60"/>
      <c r="WNT2483" s="60"/>
      <c r="WNU2483" s="66"/>
      <c r="WNV2483" s="61"/>
      <c r="WNW2483" s="56"/>
      <c r="WNX2483" s="56"/>
      <c r="WNY2483" s="66"/>
      <c r="WNZ2483" s="60"/>
      <c r="WOA2483" s="60"/>
      <c r="WOB2483" s="60"/>
      <c r="WOC2483" s="66"/>
      <c r="WOD2483" s="61"/>
      <c r="WOE2483" s="56"/>
      <c r="WOF2483" s="56"/>
      <c r="WOG2483" s="66"/>
      <c r="WOH2483" s="60"/>
      <c r="WOI2483" s="60"/>
      <c r="WOJ2483" s="60"/>
      <c r="WOK2483" s="66"/>
      <c r="WOL2483" s="61"/>
      <c r="WOM2483" s="56"/>
      <c r="WON2483" s="56"/>
      <c r="WOO2483" s="66"/>
      <c r="WOP2483" s="60"/>
      <c r="WOQ2483" s="60"/>
      <c r="WOR2483" s="60"/>
      <c r="WOS2483" s="66"/>
      <c r="WOT2483" s="61"/>
      <c r="WOU2483" s="56"/>
      <c r="WOV2483" s="56"/>
      <c r="WOW2483" s="66"/>
      <c r="WOX2483" s="60"/>
      <c r="WOY2483" s="60"/>
      <c r="WOZ2483" s="60"/>
      <c r="WPA2483" s="66"/>
      <c r="WPB2483" s="61"/>
      <c r="WPC2483" s="56"/>
      <c r="WPD2483" s="56"/>
      <c r="WPE2483" s="66"/>
      <c r="WPF2483" s="60"/>
      <c r="WPG2483" s="60"/>
      <c r="WPH2483" s="60"/>
      <c r="WPI2483" s="66"/>
      <c r="WPJ2483" s="61"/>
      <c r="WPK2483" s="56"/>
      <c r="WPL2483" s="56"/>
      <c r="WPM2483" s="66"/>
      <c r="WPN2483" s="60"/>
      <c r="WPO2483" s="60"/>
      <c r="WPP2483" s="60"/>
      <c r="WPQ2483" s="66"/>
      <c r="WPR2483" s="61"/>
      <c r="WPS2483" s="56"/>
      <c r="WPT2483" s="56"/>
      <c r="WPU2483" s="66"/>
      <c r="WPV2483" s="60"/>
      <c r="WPW2483" s="60"/>
      <c r="WPX2483" s="60"/>
      <c r="WPY2483" s="66"/>
      <c r="WPZ2483" s="61"/>
      <c r="WQA2483" s="56"/>
      <c r="WQB2483" s="56"/>
      <c r="WQC2483" s="66"/>
      <c r="WQD2483" s="60"/>
      <c r="WQE2483" s="60"/>
      <c r="WQF2483" s="60"/>
      <c r="WQG2483" s="66"/>
      <c r="WQH2483" s="61"/>
      <c r="WQI2483" s="56"/>
      <c r="WQJ2483" s="56"/>
      <c r="WQK2483" s="66"/>
      <c r="WQL2483" s="60"/>
      <c r="WQM2483" s="60"/>
      <c r="WQN2483" s="60"/>
      <c r="WQO2483" s="66"/>
      <c r="WQP2483" s="61"/>
      <c r="WQQ2483" s="56"/>
      <c r="WQR2483" s="56"/>
      <c r="WQS2483" s="66"/>
      <c r="WQT2483" s="60"/>
      <c r="WQU2483" s="60"/>
      <c r="WQV2483" s="60"/>
      <c r="WQW2483" s="66"/>
      <c r="WQX2483" s="61"/>
      <c r="WQY2483" s="56"/>
      <c r="WQZ2483" s="56"/>
      <c r="WRA2483" s="66"/>
      <c r="WRB2483" s="60"/>
      <c r="WRC2483" s="60"/>
      <c r="WRD2483" s="60"/>
      <c r="WRE2483" s="66"/>
      <c r="WRF2483" s="61"/>
      <c r="WRG2483" s="56"/>
      <c r="WRH2483" s="56"/>
      <c r="WRI2483" s="66"/>
      <c r="WRJ2483" s="60"/>
      <c r="WRK2483" s="60"/>
      <c r="WRL2483" s="60"/>
      <c r="WRM2483" s="66"/>
      <c r="WRN2483" s="61"/>
      <c r="WRO2483" s="56"/>
      <c r="WRP2483" s="56"/>
      <c r="WRQ2483" s="66"/>
      <c r="WRR2483" s="60"/>
      <c r="WRS2483" s="60"/>
      <c r="WRT2483" s="60"/>
      <c r="WRU2483" s="66"/>
      <c r="WRV2483" s="61"/>
      <c r="WRW2483" s="56"/>
      <c r="WRX2483" s="56"/>
      <c r="WRY2483" s="66"/>
      <c r="WRZ2483" s="60"/>
      <c r="WSA2483" s="60"/>
      <c r="WSB2483" s="60"/>
      <c r="WSC2483" s="66"/>
      <c r="WSD2483" s="61"/>
      <c r="WSE2483" s="56"/>
      <c r="WSF2483" s="56"/>
      <c r="WSG2483" s="66"/>
      <c r="WSH2483" s="60"/>
      <c r="WSI2483" s="60"/>
      <c r="WSJ2483" s="60"/>
      <c r="WSK2483" s="66"/>
      <c r="WSL2483" s="61"/>
      <c r="WSM2483" s="56"/>
      <c r="WSN2483" s="56"/>
      <c r="WSO2483" s="66"/>
      <c r="WSP2483" s="60"/>
      <c r="WSQ2483" s="60"/>
      <c r="WSR2483" s="60"/>
      <c r="WSS2483" s="66"/>
      <c r="WST2483" s="61"/>
      <c r="WSU2483" s="56"/>
      <c r="WSV2483" s="56"/>
      <c r="WSW2483" s="66"/>
      <c r="WSX2483" s="60"/>
      <c r="WSY2483" s="60"/>
      <c r="WSZ2483" s="60"/>
      <c r="WTA2483" s="66"/>
      <c r="WTB2483" s="61"/>
      <c r="WTC2483" s="56"/>
      <c r="WTD2483" s="56"/>
      <c r="WTE2483" s="66"/>
      <c r="WTF2483" s="60"/>
      <c r="WTG2483" s="60"/>
      <c r="WTH2483" s="60"/>
      <c r="WTI2483" s="66"/>
      <c r="WTJ2483" s="61"/>
      <c r="WTK2483" s="56"/>
      <c r="WTL2483" s="56"/>
      <c r="WTM2483" s="66"/>
      <c r="WTN2483" s="60"/>
      <c r="WTO2483" s="60"/>
      <c r="WTP2483" s="60"/>
      <c r="WTQ2483" s="66"/>
      <c r="WTR2483" s="61"/>
      <c r="WTS2483" s="56"/>
      <c r="WTT2483" s="56"/>
      <c r="WTU2483" s="66"/>
      <c r="WTV2483" s="60"/>
      <c r="WTW2483" s="60"/>
      <c r="WTX2483" s="60"/>
      <c r="WTY2483" s="66"/>
      <c r="WTZ2483" s="61"/>
      <c r="WUA2483" s="56"/>
      <c r="WUB2483" s="56"/>
      <c r="WUC2483" s="66"/>
      <c r="WUD2483" s="60"/>
      <c r="WUE2483" s="60"/>
      <c r="WUF2483" s="60"/>
      <c r="WUG2483" s="66"/>
      <c r="WUH2483" s="61"/>
      <c r="WUI2483" s="56"/>
      <c r="WUJ2483" s="56"/>
      <c r="WUK2483" s="66"/>
      <c r="WUL2483" s="60"/>
      <c r="WUM2483" s="60"/>
      <c r="WUN2483" s="60"/>
      <c r="WUO2483" s="66"/>
      <c r="WUP2483" s="61"/>
      <c r="WUQ2483" s="56"/>
      <c r="WUR2483" s="56"/>
      <c r="WUS2483" s="66"/>
      <c r="WUT2483" s="60"/>
      <c r="WUU2483" s="60"/>
      <c r="WUV2483" s="60"/>
      <c r="WUW2483" s="66"/>
      <c r="WUX2483" s="61"/>
      <c r="WUY2483" s="56"/>
      <c r="WUZ2483" s="56"/>
      <c r="WVA2483" s="66"/>
      <c r="WVB2483" s="60"/>
      <c r="WVC2483" s="60"/>
      <c r="WVD2483" s="60"/>
      <c r="WVE2483" s="66"/>
      <c r="WVF2483" s="61"/>
      <c r="WVG2483" s="56"/>
      <c r="WVH2483" s="56"/>
      <c r="WVI2483" s="66"/>
      <c r="WVJ2483" s="60"/>
      <c r="WVK2483" s="60"/>
      <c r="WVL2483" s="60"/>
      <c r="WVM2483" s="66"/>
      <c r="WVN2483" s="61"/>
      <c r="WVO2483" s="56"/>
      <c r="WVP2483" s="56"/>
      <c r="WVQ2483" s="66"/>
      <c r="WVR2483" s="60"/>
      <c r="WVS2483" s="60"/>
      <c r="WVT2483" s="60"/>
      <c r="WVU2483" s="66"/>
      <c r="WVV2483" s="61"/>
      <c r="WVW2483" s="56"/>
      <c r="WVX2483" s="56"/>
      <c r="WVY2483" s="66"/>
      <c r="WVZ2483" s="60"/>
      <c r="WWA2483" s="60"/>
      <c r="WWB2483" s="60"/>
      <c r="WWC2483" s="66"/>
      <c r="WWD2483" s="61"/>
      <c r="WWE2483" s="56"/>
      <c r="WWF2483" s="56"/>
      <c r="WWG2483" s="66"/>
      <c r="WWH2483" s="60"/>
      <c r="WWI2483" s="60"/>
      <c r="WWJ2483" s="60"/>
      <c r="WWK2483" s="66"/>
      <c r="WWL2483" s="61"/>
      <c r="WWM2483" s="56"/>
      <c r="WWN2483" s="56"/>
      <c r="WWO2483" s="66"/>
      <c r="WWP2483" s="60"/>
      <c r="WWQ2483" s="60"/>
      <c r="WWR2483" s="60"/>
      <c r="WWS2483" s="66"/>
      <c r="WWT2483" s="61"/>
      <c r="WWU2483" s="56"/>
      <c r="WWV2483" s="56"/>
      <c r="WWW2483" s="66"/>
      <c r="WWX2483" s="60"/>
      <c r="WWY2483" s="60"/>
      <c r="WWZ2483" s="60"/>
      <c r="WXA2483" s="66"/>
      <c r="WXB2483" s="61"/>
      <c r="WXC2483" s="56"/>
      <c r="WXD2483" s="56"/>
      <c r="WXE2483" s="66"/>
      <c r="WXF2483" s="60"/>
      <c r="WXG2483" s="60"/>
      <c r="WXH2483" s="60"/>
      <c r="WXI2483" s="66"/>
      <c r="WXJ2483" s="61"/>
      <c r="WXK2483" s="56"/>
      <c r="WXL2483" s="56"/>
      <c r="WXM2483" s="66"/>
      <c r="WXN2483" s="60"/>
      <c r="WXO2483" s="60"/>
      <c r="WXP2483" s="60"/>
      <c r="WXQ2483" s="66"/>
      <c r="WXR2483" s="61"/>
      <c r="WXS2483" s="56"/>
      <c r="WXT2483" s="56"/>
      <c r="WXU2483" s="66"/>
      <c r="WXV2483" s="60"/>
      <c r="WXW2483" s="60"/>
      <c r="WXX2483" s="60"/>
      <c r="WXY2483" s="66"/>
      <c r="WXZ2483" s="61"/>
      <c r="WYA2483" s="56"/>
      <c r="WYB2483" s="56"/>
      <c r="WYC2483" s="66"/>
      <c r="WYD2483" s="60"/>
      <c r="WYE2483" s="60"/>
      <c r="WYF2483" s="60"/>
      <c r="WYG2483" s="66"/>
      <c r="WYH2483" s="61"/>
      <c r="WYI2483" s="56"/>
      <c r="WYJ2483" s="56"/>
      <c r="WYK2483" s="66"/>
      <c r="WYL2483" s="60"/>
      <c r="WYM2483" s="60"/>
      <c r="WYN2483" s="60"/>
      <c r="WYO2483" s="66"/>
      <c r="WYP2483" s="61"/>
      <c r="WYQ2483" s="56"/>
      <c r="WYR2483" s="56"/>
      <c r="WYS2483" s="66"/>
      <c r="WYT2483" s="60"/>
      <c r="WYU2483" s="60"/>
      <c r="WYV2483" s="60"/>
      <c r="WYW2483" s="66"/>
      <c r="WYX2483" s="61"/>
      <c r="WYY2483" s="56"/>
      <c r="WYZ2483" s="56"/>
      <c r="WZA2483" s="66"/>
      <c r="WZB2483" s="60"/>
      <c r="WZC2483" s="60"/>
      <c r="WZD2483" s="60"/>
      <c r="WZE2483" s="66"/>
      <c r="WZF2483" s="61"/>
      <c r="WZG2483" s="56"/>
      <c r="WZH2483" s="56"/>
      <c r="WZI2483" s="66"/>
      <c r="WZJ2483" s="60"/>
      <c r="WZK2483" s="60"/>
      <c r="WZL2483" s="60"/>
      <c r="WZM2483" s="66"/>
      <c r="WZN2483" s="61"/>
      <c r="WZO2483" s="56"/>
      <c r="WZP2483" s="56"/>
      <c r="WZQ2483" s="66"/>
      <c r="WZR2483" s="60"/>
      <c r="WZS2483" s="60"/>
      <c r="WZT2483" s="60"/>
      <c r="WZU2483" s="66"/>
      <c r="WZV2483" s="61"/>
      <c r="WZW2483" s="56"/>
      <c r="WZX2483" s="56"/>
      <c r="WZY2483" s="66"/>
      <c r="WZZ2483" s="60"/>
      <c r="XAA2483" s="60"/>
      <c r="XAB2483" s="60"/>
      <c r="XAC2483" s="66"/>
      <c r="XAD2483" s="61"/>
      <c r="XAE2483" s="56"/>
      <c r="XAF2483" s="56"/>
      <c r="XAG2483" s="66"/>
      <c r="XAH2483" s="60"/>
      <c r="XAI2483" s="60"/>
      <c r="XAJ2483" s="60"/>
      <c r="XAK2483" s="66"/>
      <c r="XAL2483" s="61"/>
      <c r="XAM2483" s="56"/>
      <c r="XAN2483" s="56"/>
      <c r="XAO2483" s="66"/>
      <c r="XAP2483" s="60"/>
      <c r="XAQ2483" s="60"/>
      <c r="XAR2483" s="60"/>
      <c r="XAS2483" s="66"/>
      <c r="XAT2483" s="61"/>
      <c r="XAU2483" s="56"/>
      <c r="XAV2483" s="56"/>
      <c r="XAW2483" s="66"/>
      <c r="XAX2483" s="60"/>
      <c r="XAY2483" s="60"/>
      <c r="XAZ2483" s="60"/>
      <c r="XBA2483" s="66"/>
      <c r="XBB2483" s="61"/>
      <c r="XBC2483" s="56"/>
      <c r="XBD2483" s="56"/>
      <c r="XBE2483" s="66"/>
      <c r="XBF2483" s="60"/>
      <c r="XBG2483" s="60"/>
      <c r="XBH2483" s="60"/>
      <c r="XBI2483" s="66"/>
      <c r="XBJ2483" s="61"/>
      <c r="XBK2483" s="56"/>
      <c r="XBL2483" s="56"/>
      <c r="XBM2483" s="66"/>
      <c r="XBN2483" s="60"/>
      <c r="XBO2483" s="60"/>
      <c r="XBP2483" s="60"/>
      <c r="XBQ2483" s="66"/>
      <c r="XBR2483" s="61"/>
      <c r="XBS2483" s="56"/>
      <c r="XBT2483" s="56"/>
      <c r="XBU2483" s="66"/>
      <c r="XBV2483" s="60"/>
      <c r="XBW2483" s="60"/>
      <c r="XBX2483" s="60"/>
      <c r="XBY2483" s="66"/>
      <c r="XBZ2483" s="61"/>
      <c r="XCA2483" s="56"/>
      <c r="XCB2483" s="56"/>
      <c r="XCC2483" s="66"/>
      <c r="XCD2483" s="60"/>
      <c r="XCE2483" s="60"/>
      <c r="XCF2483" s="60"/>
      <c r="XCG2483" s="66"/>
      <c r="XCH2483" s="61"/>
      <c r="XCI2483" s="56"/>
      <c r="XCJ2483" s="56"/>
      <c r="XCK2483" s="66"/>
      <c r="XCL2483" s="60"/>
      <c r="XCM2483" s="60"/>
      <c r="XCN2483" s="60"/>
      <c r="XCO2483" s="66"/>
      <c r="XCP2483" s="61"/>
      <c r="XCQ2483" s="56"/>
      <c r="XCR2483" s="56"/>
      <c r="XCS2483" s="66"/>
      <c r="XCT2483" s="60"/>
      <c r="XCU2483" s="60"/>
      <c r="XCV2483" s="60"/>
      <c r="XCW2483" s="66"/>
      <c r="XCX2483" s="61"/>
      <c r="XCY2483" s="56"/>
      <c r="XCZ2483" s="56"/>
      <c r="XDA2483" s="66"/>
      <c r="XDB2483" s="60"/>
      <c r="XDC2483" s="60"/>
      <c r="XDD2483" s="60"/>
      <c r="XDE2483" s="66"/>
      <c r="XDF2483" s="61"/>
      <c r="XDG2483" s="56"/>
      <c r="XDH2483" s="56"/>
      <c r="XDI2483" s="66"/>
      <c r="XDJ2483" s="60"/>
      <c r="XDK2483" s="60"/>
      <c r="XDL2483" s="60"/>
      <c r="XDM2483" s="66"/>
      <c r="XDN2483" s="61"/>
      <c r="XDO2483" s="56"/>
      <c r="XDP2483" s="56"/>
      <c r="XDQ2483" s="66"/>
      <c r="XDR2483" s="60"/>
      <c r="XDS2483" s="60"/>
      <c r="XDT2483" s="60"/>
      <c r="XDU2483" s="66"/>
      <c r="XDV2483" s="61"/>
      <c r="XDW2483" s="56"/>
      <c r="XDX2483" s="56"/>
      <c r="XDY2483" s="66"/>
      <c r="XDZ2483" s="60"/>
      <c r="XEA2483" s="60"/>
      <c r="XEB2483" s="60"/>
      <c r="XEC2483" s="66"/>
      <c r="XED2483" s="61"/>
      <c r="XEE2483" s="56"/>
      <c r="XEF2483" s="56"/>
      <c r="XEG2483" s="66"/>
      <c r="XEH2483" s="60"/>
      <c r="XEI2483" s="60"/>
      <c r="XEJ2483" s="60"/>
      <c r="XEK2483" s="66"/>
      <c r="XEL2483" s="61"/>
      <c r="XEM2483" s="56"/>
      <c r="XEN2483" s="56"/>
      <c r="XEO2483" s="66"/>
      <c r="XEP2483" s="60"/>
      <c r="XEQ2483" s="60"/>
      <c r="XER2483" s="60"/>
      <c r="XES2483" s="66"/>
      <c r="XET2483" s="61"/>
      <c r="XEU2483" s="56"/>
      <c r="XEV2483" s="56"/>
      <c r="XEW2483" s="66"/>
    </row>
    <row r="2484" ht="18" customHeight="1" spans="1:16377">
      <c r="A2484" s="6" t="s">
        <v>8209</v>
      </c>
      <c r="B2484" s="6" t="s">
        <v>8642</v>
      </c>
      <c r="C2484" s="16" t="s">
        <v>16418</v>
      </c>
      <c r="D2484" s="5" t="s">
        <v>16374</v>
      </c>
      <c r="E2484" s="215" t="s">
        <v>16419</v>
      </c>
      <c r="F2484" s="7" t="s">
        <v>11535</v>
      </c>
      <c r="G2484" s="57"/>
      <c r="H2484" s="57"/>
      <c r="I2484" s="67"/>
      <c r="J2484" s="60"/>
      <c r="K2484" s="60"/>
      <c r="L2484" s="60"/>
      <c r="M2484" s="57"/>
      <c r="N2484" s="61"/>
      <c r="O2484" s="57"/>
      <c r="P2484" s="57"/>
      <c r="Q2484" s="67"/>
      <c r="R2484" s="60"/>
      <c r="S2484" s="60"/>
      <c r="T2484" s="60"/>
      <c r="U2484" s="57"/>
      <c r="V2484" s="61"/>
      <c r="W2484" s="57"/>
      <c r="X2484" s="57"/>
      <c r="Y2484" s="67"/>
      <c r="Z2484" s="60"/>
      <c r="AA2484" s="60"/>
      <c r="AB2484" s="60"/>
      <c r="AC2484" s="57"/>
      <c r="AD2484" s="61"/>
      <c r="AE2484" s="57"/>
      <c r="AF2484" s="57"/>
      <c r="AG2484" s="67"/>
      <c r="AH2484" s="60"/>
      <c r="AI2484" s="60"/>
      <c r="AJ2484" s="60"/>
      <c r="AK2484" s="57"/>
      <c r="AL2484" s="61"/>
      <c r="AM2484" s="57"/>
      <c r="AN2484" s="57"/>
      <c r="AO2484" s="67"/>
      <c r="AP2484" s="60"/>
      <c r="AQ2484" s="60"/>
      <c r="AR2484" s="60"/>
      <c r="AS2484" s="57"/>
      <c r="AT2484" s="61"/>
      <c r="AU2484" s="57"/>
      <c r="AV2484" s="57"/>
      <c r="AW2484" s="67"/>
      <c r="AX2484" s="60"/>
      <c r="AY2484" s="60"/>
      <c r="AZ2484" s="60"/>
      <c r="BA2484" s="57"/>
      <c r="BB2484" s="61"/>
      <c r="BC2484" s="57"/>
      <c r="BD2484" s="57"/>
      <c r="BE2484" s="67"/>
      <c r="BF2484" s="60"/>
      <c r="BG2484" s="60"/>
      <c r="BH2484" s="60"/>
      <c r="BI2484" s="57"/>
      <c r="BJ2484" s="61"/>
      <c r="BK2484" s="57"/>
      <c r="BL2484" s="57"/>
      <c r="BM2484" s="67"/>
      <c r="BN2484" s="60"/>
      <c r="BO2484" s="60"/>
      <c r="BP2484" s="60"/>
      <c r="BQ2484" s="57"/>
      <c r="BR2484" s="61"/>
      <c r="BS2484" s="57"/>
      <c r="BT2484" s="57"/>
      <c r="BU2484" s="67"/>
      <c r="BV2484" s="60"/>
      <c r="BW2484" s="60"/>
      <c r="BX2484" s="60"/>
      <c r="BY2484" s="57"/>
      <c r="BZ2484" s="61"/>
      <c r="CA2484" s="57"/>
      <c r="CB2484" s="57"/>
      <c r="CC2484" s="67"/>
      <c r="CD2484" s="60"/>
      <c r="CE2484" s="60"/>
      <c r="CF2484" s="60"/>
      <c r="CG2484" s="57"/>
      <c r="CH2484" s="61"/>
      <c r="CI2484" s="57"/>
      <c r="CJ2484" s="57"/>
      <c r="CK2484" s="67"/>
      <c r="CL2484" s="60"/>
      <c r="CM2484" s="60"/>
      <c r="CN2484" s="60"/>
      <c r="CO2484" s="57"/>
      <c r="CP2484" s="61"/>
      <c r="CQ2484" s="57"/>
      <c r="CR2484" s="57"/>
      <c r="CS2484" s="67"/>
      <c r="CT2484" s="60"/>
      <c r="CU2484" s="60"/>
      <c r="CV2484" s="60"/>
      <c r="CW2484" s="57"/>
      <c r="CX2484" s="61"/>
      <c r="CY2484" s="57"/>
      <c r="CZ2484" s="57"/>
      <c r="DA2484" s="67"/>
      <c r="DB2484" s="60"/>
      <c r="DC2484" s="60"/>
      <c r="DD2484" s="60"/>
      <c r="DE2484" s="57"/>
      <c r="DF2484" s="61"/>
      <c r="DG2484" s="57"/>
      <c r="DH2484" s="57"/>
      <c r="DI2484" s="67"/>
      <c r="DJ2484" s="60"/>
      <c r="DK2484" s="60"/>
      <c r="DL2484" s="60"/>
      <c r="DM2484" s="57"/>
      <c r="DN2484" s="61"/>
      <c r="DO2484" s="57"/>
      <c r="DP2484" s="57"/>
      <c r="DQ2484" s="67"/>
      <c r="DR2484" s="60"/>
      <c r="DS2484" s="60"/>
      <c r="DT2484" s="60"/>
      <c r="DU2484" s="57"/>
      <c r="DV2484" s="61"/>
      <c r="DW2484" s="57"/>
      <c r="DX2484" s="57"/>
      <c r="DY2484" s="67"/>
      <c r="DZ2484" s="60"/>
      <c r="EA2484" s="60"/>
      <c r="EB2484" s="60"/>
      <c r="EC2484" s="57"/>
      <c r="ED2484" s="61"/>
      <c r="EE2484" s="57"/>
      <c r="EF2484" s="57"/>
      <c r="EG2484" s="67"/>
      <c r="EH2484" s="60"/>
      <c r="EI2484" s="60"/>
      <c r="EJ2484" s="60"/>
      <c r="EK2484" s="57"/>
      <c r="EL2484" s="61"/>
      <c r="EM2484" s="57"/>
      <c r="EN2484" s="57"/>
      <c r="EO2484" s="67"/>
      <c r="EP2484" s="60"/>
      <c r="EQ2484" s="60"/>
      <c r="ER2484" s="60"/>
      <c r="ES2484" s="57"/>
      <c r="ET2484" s="61"/>
      <c r="EU2484" s="57"/>
      <c r="EV2484" s="57"/>
      <c r="EW2484" s="67"/>
      <c r="EX2484" s="60"/>
      <c r="EY2484" s="60"/>
      <c r="EZ2484" s="60"/>
      <c r="FA2484" s="57"/>
      <c r="FB2484" s="61"/>
      <c r="FC2484" s="57"/>
      <c r="FD2484" s="57"/>
      <c r="FE2484" s="67"/>
      <c r="FF2484" s="60"/>
      <c r="FG2484" s="60"/>
      <c r="FH2484" s="60"/>
      <c r="FI2484" s="57"/>
      <c r="FJ2484" s="61"/>
      <c r="FK2484" s="57"/>
      <c r="FL2484" s="57"/>
      <c r="FM2484" s="67"/>
      <c r="FN2484" s="60"/>
      <c r="FO2484" s="60"/>
      <c r="FP2484" s="60"/>
      <c r="FQ2484" s="57"/>
      <c r="FR2484" s="61"/>
      <c r="FS2484" s="57"/>
      <c r="FT2484" s="57"/>
      <c r="FU2484" s="67"/>
      <c r="FV2484" s="60"/>
      <c r="FW2484" s="60"/>
      <c r="FX2484" s="60"/>
      <c r="FY2484" s="57"/>
      <c r="FZ2484" s="61"/>
      <c r="GA2484" s="57"/>
      <c r="GB2484" s="57"/>
      <c r="GC2484" s="67"/>
      <c r="GD2484" s="60"/>
      <c r="GE2484" s="60"/>
      <c r="GF2484" s="60"/>
      <c r="GG2484" s="57"/>
      <c r="GH2484" s="61"/>
      <c r="GI2484" s="57"/>
      <c r="GJ2484" s="57"/>
      <c r="GK2484" s="67"/>
      <c r="GL2484" s="60"/>
      <c r="GM2484" s="60"/>
      <c r="GN2484" s="60"/>
      <c r="GO2484" s="57"/>
      <c r="GP2484" s="61"/>
      <c r="GQ2484" s="57"/>
      <c r="GR2484" s="57"/>
      <c r="GS2484" s="67"/>
      <c r="GT2484" s="60"/>
      <c r="GU2484" s="60"/>
      <c r="GV2484" s="60"/>
      <c r="GW2484" s="57"/>
      <c r="GX2484" s="61"/>
      <c r="GY2484" s="57"/>
      <c r="GZ2484" s="57"/>
      <c r="HA2484" s="67"/>
      <c r="HB2484" s="60"/>
      <c r="HC2484" s="60"/>
      <c r="HD2484" s="60"/>
      <c r="HE2484" s="57"/>
      <c r="HF2484" s="61"/>
      <c r="HG2484" s="57"/>
      <c r="HH2484" s="57"/>
      <c r="HI2484" s="67"/>
      <c r="HJ2484" s="60"/>
      <c r="HK2484" s="60"/>
      <c r="HL2484" s="60"/>
      <c r="HM2484" s="57"/>
      <c r="HN2484" s="61"/>
      <c r="HO2484" s="57"/>
      <c r="HP2484" s="57"/>
      <c r="HQ2484" s="67"/>
      <c r="HR2484" s="60"/>
      <c r="HS2484" s="60"/>
      <c r="HT2484" s="60"/>
      <c r="HU2484" s="57"/>
      <c r="HV2484" s="61"/>
      <c r="HW2484" s="57"/>
      <c r="HX2484" s="57"/>
      <c r="HY2484" s="67"/>
      <c r="HZ2484" s="60"/>
      <c r="IA2484" s="60"/>
      <c r="IB2484" s="60"/>
      <c r="IC2484" s="57"/>
      <c r="ID2484" s="61"/>
      <c r="IE2484" s="57"/>
      <c r="IF2484" s="57"/>
      <c r="IG2484" s="67"/>
      <c r="IH2484" s="60"/>
      <c r="II2484" s="60"/>
      <c r="IJ2484" s="60"/>
      <c r="IK2484" s="57"/>
      <c r="IL2484" s="61"/>
      <c r="IM2484" s="57"/>
      <c r="IN2484" s="57"/>
      <c r="IO2484" s="67"/>
      <c r="IP2484" s="60"/>
      <c r="IQ2484" s="60"/>
      <c r="IR2484" s="60"/>
      <c r="IS2484" s="57"/>
      <c r="IT2484" s="61"/>
      <c r="IU2484" s="57"/>
      <c r="IV2484" s="57"/>
      <c r="IW2484" s="67"/>
      <c r="IX2484" s="60"/>
      <c r="IY2484" s="60"/>
      <c r="IZ2484" s="60"/>
      <c r="JA2484" s="57"/>
      <c r="JB2484" s="61"/>
      <c r="JC2484" s="57"/>
      <c r="JD2484" s="57"/>
      <c r="JE2484" s="67"/>
      <c r="JF2484" s="60"/>
      <c r="JG2484" s="60"/>
      <c r="JH2484" s="60"/>
      <c r="JI2484" s="57"/>
      <c r="JJ2484" s="61"/>
      <c r="JK2484" s="57"/>
      <c r="JL2484" s="57"/>
      <c r="JM2484" s="67"/>
      <c r="JN2484" s="60"/>
      <c r="JO2484" s="60"/>
      <c r="JP2484" s="60"/>
      <c r="JQ2484" s="57"/>
      <c r="JR2484" s="61"/>
      <c r="JS2484" s="57"/>
      <c r="JT2484" s="57"/>
      <c r="JU2484" s="67"/>
      <c r="JV2484" s="60"/>
      <c r="JW2484" s="60"/>
      <c r="JX2484" s="60"/>
      <c r="JY2484" s="57"/>
      <c r="JZ2484" s="61"/>
      <c r="KA2484" s="57"/>
      <c r="KB2484" s="57"/>
      <c r="KC2484" s="67"/>
      <c r="KD2484" s="60"/>
      <c r="KE2484" s="60"/>
      <c r="KF2484" s="60"/>
      <c r="KG2484" s="57"/>
      <c r="KH2484" s="61"/>
      <c r="KI2484" s="57"/>
      <c r="KJ2484" s="57"/>
      <c r="KK2484" s="67"/>
      <c r="KL2484" s="60"/>
      <c r="KM2484" s="60"/>
      <c r="KN2484" s="60"/>
      <c r="KO2484" s="57"/>
      <c r="KP2484" s="61"/>
      <c r="KQ2484" s="57"/>
      <c r="KR2484" s="57"/>
      <c r="KS2484" s="67"/>
      <c r="KT2484" s="60"/>
      <c r="KU2484" s="60"/>
      <c r="KV2484" s="60"/>
      <c r="KW2484" s="57"/>
      <c r="KX2484" s="61"/>
      <c r="KY2484" s="57"/>
      <c r="KZ2484" s="57"/>
      <c r="LA2484" s="67"/>
      <c r="LB2484" s="60"/>
      <c r="LC2484" s="60"/>
      <c r="LD2484" s="60"/>
      <c r="LE2484" s="57"/>
      <c r="LF2484" s="61"/>
      <c r="LG2484" s="57"/>
      <c r="LH2484" s="57"/>
      <c r="LI2484" s="67"/>
      <c r="LJ2484" s="60"/>
      <c r="LK2484" s="60"/>
      <c r="LL2484" s="60"/>
      <c r="LM2484" s="57"/>
      <c r="LN2484" s="61"/>
      <c r="LO2484" s="57"/>
      <c r="LP2484" s="57"/>
      <c r="LQ2484" s="67"/>
      <c r="LR2484" s="60"/>
      <c r="LS2484" s="60"/>
      <c r="LT2484" s="60"/>
      <c r="LU2484" s="57"/>
      <c r="LV2484" s="61"/>
      <c r="LW2484" s="57"/>
      <c r="LX2484" s="57"/>
      <c r="LY2484" s="67"/>
      <c r="LZ2484" s="60"/>
      <c r="MA2484" s="60"/>
      <c r="MB2484" s="60"/>
      <c r="MC2484" s="57"/>
      <c r="MD2484" s="61"/>
      <c r="ME2484" s="57"/>
      <c r="MF2484" s="57"/>
      <c r="MG2484" s="67"/>
      <c r="MH2484" s="60"/>
      <c r="MI2484" s="60"/>
      <c r="MJ2484" s="60"/>
      <c r="MK2484" s="57"/>
      <c r="ML2484" s="61"/>
      <c r="MM2484" s="57"/>
      <c r="MN2484" s="57"/>
      <c r="MO2484" s="67"/>
      <c r="MP2484" s="60"/>
      <c r="MQ2484" s="60"/>
      <c r="MR2484" s="60"/>
      <c r="MS2484" s="57"/>
      <c r="MT2484" s="61"/>
      <c r="MU2484" s="57"/>
      <c r="MV2484" s="57"/>
      <c r="MW2484" s="67"/>
      <c r="MX2484" s="60"/>
      <c r="MY2484" s="60"/>
      <c r="MZ2484" s="60"/>
      <c r="NA2484" s="57"/>
      <c r="NB2484" s="61"/>
      <c r="NC2484" s="57"/>
      <c r="ND2484" s="57"/>
      <c r="NE2484" s="67"/>
      <c r="NF2484" s="60"/>
      <c r="NG2484" s="60"/>
      <c r="NH2484" s="60"/>
      <c r="NI2484" s="57"/>
      <c r="NJ2484" s="61"/>
      <c r="NK2484" s="57"/>
      <c r="NL2484" s="57"/>
      <c r="NM2484" s="67"/>
      <c r="NN2484" s="60"/>
      <c r="NO2484" s="60"/>
      <c r="NP2484" s="60"/>
      <c r="NQ2484" s="57"/>
      <c r="NR2484" s="61"/>
      <c r="NS2484" s="57"/>
      <c r="NT2484" s="57"/>
      <c r="NU2484" s="67"/>
      <c r="NV2484" s="60"/>
      <c r="NW2484" s="60"/>
      <c r="NX2484" s="60"/>
      <c r="NY2484" s="57"/>
      <c r="NZ2484" s="61"/>
      <c r="OA2484" s="57"/>
      <c r="OB2484" s="57"/>
      <c r="OC2484" s="67"/>
      <c r="OD2484" s="60"/>
      <c r="OE2484" s="60"/>
      <c r="OF2484" s="60"/>
      <c r="OG2484" s="57"/>
      <c r="OH2484" s="61"/>
      <c r="OI2484" s="57"/>
      <c r="OJ2484" s="57"/>
      <c r="OK2484" s="67"/>
      <c r="OL2484" s="60"/>
      <c r="OM2484" s="60"/>
      <c r="ON2484" s="60"/>
      <c r="OO2484" s="57"/>
      <c r="OP2484" s="61"/>
      <c r="OQ2484" s="57"/>
      <c r="OR2484" s="57"/>
      <c r="OS2484" s="67"/>
      <c r="OT2484" s="60"/>
      <c r="OU2484" s="60"/>
      <c r="OV2484" s="60"/>
      <c r="OW2484" s="57"/>
      <c r="OX2484" s="61"/>
      <c r="OY2484" s="57"/>
      <c r="OZ2484" s="57"/>
      <c r="PA2484" s="67"/>
      <c r="PB2484" s="60"/>
      <c r="PC2484" s="60"/>
      <c r="PD2484" s="60"/>
      <c r="PE2484" s="57"/>
      <c r="PF2484" s="61"/>
      <c r="PG2484" s="57"/>
      <c r="PH2484" s="57"/>
      <c r="PI2484" s="67"/>
      <c r="PJ2484" s="60"/>
      <c r="PK2484" s="60"/>
      <c r="PL2484" s="60"/>
      <c r="PM2484" s="57"/>
      <c r="PN2484" s="61"/>
      <c r="PO2484" s="57"/>
      <c r="PP2484" s="57"/>
      <c r="PQ2484" s="67"/>
      <c r="PR2484" s="60"/>
      <c r="PS2484" s="60"/>
      <c r="PT2484" s="60"/>
      <c r="PU2484" s="57"/>
      <c r="PV2484" s="61"/>
      <c r="PW2484" s="57"/>
      <c r="PX2484" s="57"/>
      <c r="PY2484" s="67"/>
      <c r="PZ2484" s="60"/>
      <c r="QA2484" s="60"/>
      <c r="QB2484" s="60"/>
      <c r="QC2484" s="57"/>
      <c r="QD2484" s="61"/>
      <c r="QE2484" s="57"/>
      <c r="QF2484" s="57"/>
      <c r="QG2484" s="67"/>
      <c r="QH2484" s="60"/>
      <c r="QI2484" s="60"/>
      <c r="QJ2484" s="60"/>
      <c r="QK2484" s="57"/>
      <c r="QL2484" s="61"/>
      <c r="QM2484" s="57"/>
      <c r="QN2484" s="57"/>
      <c r="QO2484" s="67"/>
      <c r="QP2484" s="60"/>
      <c r="QQ2484" s="60"/>
      <c r="QR2484" s="60"/>
      <c r="QS2484" s="57"/>
      <c r="QT2484" s="61"/>
      <c r="QU2484" s="57"/>
      <c r="QV2484" s="57"/>
      <c r="QW2484" s="67"/>
      <c r="QX2484" s="60"/>
      <c r="QY2484" s="60"/>
      <c r="QZ2484" s="60"/>
      <c r="RA2484" s="57"/>
      <c r="RB2484" s="61"/>
      <c r="RC2484" s="57"/>
      <c r="RD2484" s="57"/>
      <c r="RE2484" s="67"/>
      <c r="RF2484" s="60"/>
      <c r="RG2484" s="60"/>
      <c r="RH2484" s="60"/>
      <c r="RI2484" s="57"/>
      <c r="RJ2484" s="61"/>
      <c r="RK2484" s="57"/>
      <c r="RL2484" s="57"/>
      <c r="RM2484" s="67"/>
      <c r="RN2484" s="60"/>
      <c r="RO2484" s="60"/>
      <c r="RP2484" s="60"/>
      <c r="RQ2484" s="57"/>
      <c r="RR2484" s="61"/>
      <c r="RS2484" s="57"/>
      <c r="RT2484" s="57"/>
      <c r="RU2484" s="67"/>
      <c r="RV2484" s="60"/>
      <c r="RW2484" s="60"/>
      <c r="RX2484" s="60"/>
      <c r="RY2484" s="57"/>
      <c r="RZ2484" s="61"/>
      <c r="SA2484" s="57"/>
      <c r="SB2484" s="57"/>
      <c r="SC2484" s="67"/>
      <c r="SD2484" s="60"/>
      <c r="SE2484" s="60"/>
      <c r="SF2484" s="60"/>
      <c r="SG2484" s="57"/>
      <c r="SH2484" s="61"/>
      <c r="SI2484" s="57"/>
      <c r="SJ2484" s="57"/>
      <c r="SK2484" s="67"/>
      <c r="SL2484" s="60"/>
      <c r="SM2484" s="60"/>
      <c r="SN2484" s="60"/>
      <c r="SO2484" s="57"/>
      <c r="SP2484" s="61"/>
      <c r="SQ2484" s="57"/>
      <c r="SR2484" s="57"/>
      <c r="SS2484" s="67"/>
      <c r="ST2484" s="60"/>
      <c r="SU2484" s="60"/>
      <c r="SV2484" s="60"/>
      <c r="SW2484" s="57"/>
      <c r="SX2484" s="61"/>
      <c r="SY2484" s="57"/>
      <c r="SZ2484" s="57"/>
      <c r="TA2484" s="67"/>
      <c r="TB2484" s="60"/>
      <c r="TC2484" s="60"/>
      <c r="TD2484" s="60"/>
      <c r="TE2484" s="57"/>
      <c r="TF2484" s="61"/>
      <c r="TG2484" s="57"/>
      <c r="TH2484" s="57"/>
      <c r="TI2484" s="67"/>
      <c r="TJ2484" s="60"/>
      <c r="TK2484" s="60"/>
      <c r="TL2484" s="60"/>
      <c r="TM2484" s="57"/>
      <c r="TN2484" s="61"/>
      <c r="TO2484" s="57"/>
      <c r="TP2484" s="57"/>
      <c r="TQ2484" s="67"/>
      <c r="TR2484" s="60"/>
      <c r="TS2484" s="60"/>
      <c r="TT2484" s="60"/>
      <c r="TU2484" s="57"/>
      <c r="TV2484" s="61"/>
      <c r="TW2484" s="57"/>
      <c r="TX2484" s="57"/>
      <c r="TY2484" s="67"/>
      <c r="TZ2484" s="60"/>
      <c r="UA2484" s="60"/>
      <c r="UB2484" s="60"/>
      <c r="UC2484" s="57"/>
      <c r="UD2484" s="61"/>
      <c r="UE2484" s="57"/>
      <c r="UF2484" s="57"/>
      <c r="UG2484" s="67"/>
      <c r="UH2484" s="60"/>
      <c r="UI2484" s="60"/>
      <c r="UJ2484" s="60"/>
      <c r="UK2484" s="57"/>
      <c r="UL2484" s="61"/>
      <c r="UM2484" s="57"/>
      <c r="UN2484" s="57"/>
      <c r="UO2484" s="67"/>
      <c r="UP2484" s="60"/>
      <c r="UQ2484" s="60"/>
      <c r="UR2484" s="60"/>
      <c r="US2484" s="57"/>
      <c r="UT2484" s="61"/>
      <c r="UU2484" s="57"/>
      <c r="UV2484" s="57"/>
      <c r="UW2484" s="67"/>
      <c r="UX2484" s="60"/>
      <c r="UY2484" s="60"/>
      <c r="UZ2484" s="60"/>
      <c r="VA2484" s="57"/>
      <c r="VB2484" s="61"/>
      <c r="VC2484" s="57"/>
      <c r="VD2484" s="57"/>
      <c r="VE2484" s="67"/>
      <c r="VF2484" s="60"/>
      <c r="VG2484" s="60"/>
      <c r="VH2484" s="60"/>
      <c r="VI2484" s="57"/>
      <c r="VJ2484" s="61"/>
      <c r="VK2484" s="57"/>
      <c r="VL2484" s="57"/>
      <c r="VM2484" s="67"/>
      <c r="VN2484" s="60"/>
      <c r="VO2484" s="60"/>
      <c r="VP2484" s="60"/>
      <c r="VQ2484" s="57"/>
      <c r="VR2484" s="61"/>
      <c r="VS2484" s="57"/>
      <c r="VT2484" s="57"/>
      <c r="VU2484" s="67"/>
      <c r="VV2484" s="60"/>
      <c r="VW2484" s="60"/>
      <c r="VX2484" s="60"/>
      <c r="VY2484" s="57"/>
      <c r="VZ2484" s="61"/>
      <c r="WA2484" s="57"/>
      <c r="WB2484" s="57"/>
      <c r="WC2484" s="67"/>
      <c r="WD2484" s="60"/>
      <c r="WE2484" s="60"/>
      <c r="WF2484" s="60"/>
      <c r="WG2484" s="57"/>
      <c r="WH2484" s="61"/>
      <c r="WI2484" s="57"/>
      <c r="WJ2484" s="57"/>
      <c r="WK2484" s="67"/>
      <c r="WL2484" s="60"/>
      <c r="WM2484" s="60"/>
      <c r="WN2484" s="60"/>
      <c r="WO2484" s="57"/>
      <c r="WP2484" s="61"/>
      <c r="WQ2484" s="57"/>
      <c r="WR2484" s="57"/>
      <c r="WS2484" s="67"/>
      <c r="WT2484" s="60"/>
      <c r="WU2484" s="60"/>
      <c r="WV2484" s="60"/>
      <c r="WW2484" s="57"/>
      <c r="WX2484" s="61"/>
      <c r="WY2484" s="57"/>
      <c r="WZ2484" s="57"/>
      <c r="XA2484" s="67"/>
      <c r="XB2484" s="60"/>
      <c r="XC2484" s="60"/>
      <c r="XD2484" s="60"/>
      <c r="XE2484" s="57"/>
      <c r="XF2484" s="61"/>
      <c r="XG2484" s="57"/>
      <c r="XH2484" s="57"/>
      <c r="XI2484" s="67"/>
      <c r="XJ2484" s="60"/>
      <c r="XK2484" s="60"/>
      <c r="XL2484" s="60"/>
      <c r="XM2484" s="57"/>
      <c r="XN2484" s="61"/>
      <c r="XO2484" s="57"/>
      <c r="XP2484" s="57"/>
      <c r="XQ2484" s="67"/>
      <c r="XR2484" s="60"/>
      <c r="XS2484" s="60"/>
      <c r="XT2484" s="60"/>
      <c r="XU2484" s="57"/>
      <c r="XV2484" s="61"/>
      <c r="XW2484" s="57"/>
      <c r="XX2484" s="57"/>
      <c r="XY2484" s="67"/>
      <c r="XZ2484" s="60"/>
      <c r="YA2484" s="60"/>
      <c r="YB2484" s="60"/>
      <c r="YC2484" s="57"/>
      <c r="YD2484" s="61"/>
      <c r="YE2484" s="57"/>
      <c r="YF2484" s="57"/>
      <c r="YG2484" s="67"/>
      <c r="YH2484" s="60"/>
      <c r="YI2484" s="60"/>
      <c r="YJ2484" s="60"/>
      <c r="YK2484" s="57"/>
      <c r="YL2484" s="61"/>
      <c r="YM2484" s="57"/>
      <c r="YN2484" s="57"/>
      <c r="YO2484" s="67"/>
      <c r="YP2484" s="60"/>
      <c r="YQ2484" s="60"/>
      <c r="YR2484" s="60"/>
      <c r="YS2484" s="57"/>
      <c r="YT2484" s="61"/>
      <c r="YU2484" s="57"/>
      <c r="YV2484" s="57"/>
      <c r="YW2484" s="67"/>
      <c r="YX2484" s="60"/>
      <c r="YY2484" s="60"/>
      <c r="YZ2484" s="60"/>
      <c r="ZA2484" s="57"/>
      <c r="ZB2484" s="61"/>
      <c r="ZC2484" s="57"/>
      <c r="ZD2484" s="57"/>
      <c r="ZE2484" s="67"/>
      <c r="ZF2484" s="60"/>
      <c r="ZG2484" s="60"/>
      <c r="ZH2484" s="60"/>
      <c r="ZI2484" s="57"/>
      <c r="ZJ2484" s="61"/>
      <c r="ZK2484" s="57"/>
      <c r="ZL2484" s="57"/>
      <c r="ZM2484" s="67"/>
      <c r="ZN2484" s="60"/>
      <c r="ZO2484" s="60"/>
      <c r="ZP2484" s="60"/>
      <c r="ZQ2484" s="57"/>
      <c r="ZR2484" s="61"/>
      <c r="ZS2484" s="57"/>
      <c r="ZT2484" s="57"/>
      <c r="ZU2484" s="67"/>
      <c r="ZV2484" s="60"/>
      <c r="ZW2484" s="60"/>
      <c r="ZX2484" s="60"/>
      <c r="ZY2484" s="57"/>
      <c r="ZZ2484" s="61"/>
      <c r="AAA2484" s="57"/>
      <c r="AAB2484" s="57"/>
      <c r="AAC2484" s="67"/>
      <c r="AAD2484" s="60"/>
      <c r="AAE2484" s="60"/>
      <c r="AAF2484" s="60"/>
      <c r="AAG2484" s="57"/>
      <c r="AAH2484" s="61"/>
      <c r="AAI2484" s="57"/>
      <c r="AAJ2484" s="57"/>
      <c r="AAK2484" s="67"/>
      <c r="AAL2484" s="60"/>
      <c r="AAM2484" s="60"/>
      <c r="AAN2484" s="60"/>
      <c r="AAO2484" s="57"/>
      <c r="AAP2484" s="61"/>
      <c r="AAQ2484" s="57"/>
      <c r="AAR2484" s="57"/>
      <c r="AAS2484" s="67"/>
      <c r="AAT2484" s="60"/>
      <c r="AAU2484" s="60"/>
      <c r="AAV2484" s="60"/>
      <c r="AAW2484" s="57"/>
      <c r="AAX2484" s="61"/>
      <c r="AAY2484" s="57"/>
      <c r="AAZ2484" s="57"/>
      <c r="ABA2484" s="67"/>
      <c r="ABB2484" s="60"/>
      <c r="ABC2484" s="60"/>
      <c r="ABD2484" s="60"/>
      <c r="ABE2484" s="57"/>
      <c r="ABF2484" s="61"/>
      <c r="ABG2484" s="57"/>
      <c r="ABH2484" s="57"/>
      <c r="ABI2484" s="67"/>
      <c r="ABJ2484" s="60"/>
      <c r="ABK2484" s="60"/>
      <c r="ABL2484" s="60"/>
      <c r="ABM2484" s="57"/>
      <c r="ABN2484" s="61"/>
      <c r="ABO2484" s="57"/>
      <c r="ABP2484" s="57"/>
      <c r="ABQ2484" s="67"/>
      <c r="ABR2484" s="60"/>
      <c r="ABS2484" s="60"/>
      <c r="ABT2484" s="60"/>
      <c r="ABU2484" s="57"/>
      <c r="ABV2484" s="61"/>
      <c r="ABW2484" s="57"/>
      <c r="ABX2484" s="57"/>
      <c r="ABY2484" s="67"/>
      <c r="ABZ2484" s="60"/>
      <c r="ACA2484" s="60"/>
      <c r="ACB2484" s="60"/>
      <c r="ACC2484" s="57"/>
      <c r="ACD2484" s="61"/>
      <c r="ACE2484" s="57"/>
      <c r="ACF2484" s="57"/>
      <c r="ACG2484" s="67"/>
      <c r="ACH2484" s="60"/>
      <c r="ACI2484" s="60"/>
      <c r="ACJ2484" s="60"/>
      <c r="ACK2484" s="57"/>
      <c r="ACL2484" s="61"/>
      <c r="ACM2484" s="57"/>
      <c r="ACN2484" s="57"/>
      <c r="ACO2484" s="67"/>
      <c r="ACP2484" s="60"/>
      <c r="ACQ2484" s="60"/>
      <c r="ACR2484" s="60"/>
      <c r="ACS2484" s="57"/>
      <c r="ACT2484" s="61"/>
      <c r="ACU2484" s="57"/>
      <c r="ACV2484" s="57"/>
      <c r="ACW2484" s="67"/>
      <c r="ACX2484" s="60"/>
      <c r="ACY2484" s="60"/>
      <c r="ACZ2484" s="60"/>
      <c r="ADA2484" s="57"/>
      <c r="ADB2484" s="61"/>
      <c r="ADC2484" s="57"/>
      <c r="ADD2484" s="57"/>
      <c r="ADE2484" s="67"/>
      <c r="ADF2484" s="60"/>
      <c r="ADG2484" s="60"/>
      <c r="ADH2484" s="60"/>
      <c r="ADI2484" s="57"/>
      <c r="ADJ2484" s="61"/>
      <c r="ADK2484" s="57"/>
      <c r="ADL2484" s="57"/>
      <c r="ADM2484" s="67"/>
      <c r="ADN2484" s="60"/>
      <c r="ADO2484" s="60"/>
      <c r="ADP2484" s="60"/>
      <c r="ADQ2484" s="57"/>
      <c r="ADR2484" s="61"/>
      <c r="ADS2484" s="57"/>
      <c r="ADT2484" s="57"/>
      <c r="ADU2484" s="67"/>
      <c r="ADV2484" s="60"/>
      <c r="ADW2484" s="60"/>
      <c r="ADX2484" s="60"/>
      <c r="ADY2484" s="57"/>
      <c r="ADZ2484" s="61"/>
      <c r="AEA2484" s="57"/>
      <c r="AEB2484" s="57"/>
      <c r="AEC2484" s="67"/>
      <c r="AED2484" s="60"/>
      <c r="AEE2484" s="60"/>
      <c r="AEF2484" s="60"/>
      <c r="AEG2484" s="57"/>
      <c r="AEH2484" s="61"/>
      <c r="AEI2484" s="57"/>
      <c r="AEJ2484" s="57"/>
      <c r="AEK2484" s="67"/>
      <c r="AEL2484" s="60"/>
      <c r="AEM2484" s="60"/>
      <c r="AEN2484" s="60"/>
      <c r="AEO2484" s="57"/>
      <c r="AEP2484" s="61"/>
      <c r="AEQ2484" s="57"/>
      <c r="AER2484" s="57"/>
      <c r="AES2484" s="67"/>
      <c r="AET2484" s="60"/>
      <c r="AEU2484" s="60"/>
      <c r="AEV2484" s="60"/>
      <c r="AEW2484" s="57"/>
      <c r="AEX2484" s="61"/>
      <c r="AEY2484" s="57"/>
      <c r="AEZ2484" s="57"/>
      <c r="AFA2484" s="67"/>
      <c r="AFB2484" s="60"/>
      <c r="AFC2484" s="60"/>
      <c r="AFD2484" s="60"/>
      <c r="AFE2484" s="57"/>
      <c r="AFF2484" s="61"/>
      <c r="AFG2484" s="57"/>
      <c r="AFH2484" s="57"/>
      <c r="AFI2484" s="67"/>
      <c r="AFJ2484" s="60"/>
      <c r="AFK2484" s="60"/>
      <c r="AFL2484" s="60"/>
      <c r="AFM2484" s="57"/>
      <c r="AFN2484" s="61"/>
      <c r="AFO2484" s="57"/>
      <c r="AFP2484" s="57"/>
      <c r="AFQ2484" s="67"/>
      <c r="AFR2484" s="60"/>
      <c r="AFS2484" s="60"/>
      <c r="AFT2484" s="60"/>
      <c r="AFU2484" s="57"/>
      <c r="AFV2484" s="61"/>
      <c r="AFW2484" s="57"/>
      <c r="AFX2484" s="57"/>
      <c r="AFY2484" s="67"/>
      <c r="AFZ2484" s="60"/>
      <c r="AGA2484" s="60"/>
      <c r="AGB2484" s="60"/>
      <c r="AGC2484" s="57"/>
      <c r="AGD2484" s="61"/>
      <c r="AGE2484" s="57"/>
      <c r="AGF2484" s="57"/>
      <c r="AGG2484" s="67"/>
      <c r="AGH2484" s="60"/>
      <c r="AGI2484" s="60"/>
      <c r="AGJ2484" s="60"/>
      <c r="AGK2484" s="57"/>
      <c r="AGL2484" s="61"/>
      <c r="AGM2484" s="57"/>
      <c r="AGN2484" s="57"/>
      <c r="AGO2484" s="67"/>
      <c r="AGP2484" s="60"/>
      <c r="AGQ2484" s="60"/>
      <c r="AGR2484" s="60"/>
      <c r="AGS2484" s="57"/>
      <c r="AGT2484" s="61"/>
      <c r="AGU2484" s="57"/>
      <c r="AGV2484" s="57"/>
      <c r="AGW2484" s="67"/>
      <c r="AGX2484" s="60"/>
      <c r="AGY2484" s="60"/>
      <c r="AGZ2484" s="60"/>
      <c r="AHA2484" s="57"/>
      <c r="AHB2484" s="61"/>
      <c r="AHC2484" s="57"/>
      <c r="AHD2484" s="57"/>
      <c r="AHE2484" s="67"/>
      <c r="AHF2484" s="60"/>
      <c r="AHG2484" s="60"/>
      <c r="AHH2484" s="60"/>
      <c r="AHI2484" s="57"/>
      <c r="AHJ2484" s="61"/>
      <c r="AHK2484" s="57"/>
      <c r="AHL2484" s="57"/>
      <c r="AHM2484" s="67"/>
      <c r="AHN2484" s="60"/>
      <c r="AHO2484" s="60"/>
      <c r="AHP2484" s="60"/>
      <c r="AHQ2484" s="57"/>
      <c r="AHR2484" s="61"/>
      <c r="AHS2484" s="57"/>
      <c r="AHT2484" s="57"/>
      <c r="AHU2484" s="67"/>
      <c r="AHV2484" s="60"/>
      <c r="AHW2484" s="60"/>
      <c r="AHX2484" s="60"/>
      <c r="AHY2484" s="57"/>
      <c r="AHZ2484" s="61"/>
      <c r="AIA2484" s="57"/>
      <c r="AIB2484" s="57"/>
      <c r="AIC2484" s="67"/>
      <c r="AID2484" s="60"/>
      <c r="AIE2484" s="60"/>
      <c r="AIF2484" s="60"/>
      <c r="AIG2484" s="57"/>
      <c r="AIH2484" s="61"/>
      <c r="AII2484" s="57"/>
      <c r="AIJ2484" s="57"/>
      <c r="AIK2484" s="67"/>
      <c r="AIL2484" s="60"/>
      <c r="AIM2484" s="60"/>
      <c r="AIN2484" s="60"/>
      <c r="AIO2484" s="57"/>
      <c r="AIP2484" s="61"/>
      <c r="AIQ2484" s="57"/>
      <c r="AIR2484" s="57"/>
      <c r="AIS2484" s="67"/>
      <c r="AIT2484" s="60"/>
      <c r="AIU2484" s="60"/>
      <c r="AIV2484" s="60"/>
      <c r="AIW2484" s="57"/>
      <c r="AIX2484" s="61"/>
      <c r="AIY2484" s="57"/>
      <c r="AIZ2484" s="57"/>
      <c r="AJA2484" s="67"/>
      <c r="AJB2484" s="60"/>
      <c r="AJC2484" s="60"/>
      <c r="AJD2484" s="60"/>
      <c r="AJE2484" s="57"/>
      <c r="AJF2484" s="61"/>
      <c r="AJG2484" s="57"/>
      <c r="AJH2484" s="57"/>
      <c r="AJI2484" s="67"/>
      <c r="AJJ2484" s="60"/>
      <c r="AJK2484" s="60"/>
      <c r="AJL2484" s="60"/>
      <c r="AJM2484" s="57"/>
      <c r="AJN2484" s="61"/>
      <c r="AJO2484" s="57"/>
      <c r="AJP2484" s="57"/>
      <c r="AJQ2484" s="67"/>
      <c r="AJR2484" s="60"/>
      <c r="AJS2484" s="60"/>
      <c r="AJT2484" s="60"/>
      <c r="AJU2484" s="57"/>
      <c r="AJV2484" s="61"/>
      <c r="AJW2484" s="57"/>
      <c r="AJX2484" s="57"/>
      <c r="AJY2484" s="67"/>
      <c r="AJZ2484" s="60"/>
      <c r="AKA2484" s="60"/>
      <c r="AKB2484" s="60"/>
      <c r="AKC2484" s="57"/>
      <c r="AKD2484" s="61"/>
      <c r="AKE2484" s="57"/>
      <c r="AKF2484" s="57"/>
      <c r="AKG2484" s="67"/>
      <c r="AKH2484" s="60"/>
      <c r="AKI2484" s="60"/>
      <c r="AKJ2484" s="60"/>
      <c r="AKK2484" s="57"/>
      <c r="AKL2484" s="61"/>
      <c r="AKM2484" s="57"/>
      <c r="AKN2484" s="57"/>
      <c r="AKO2484" s="67"/>
      <c r="AKP2484" s="60"/>
      <c r="AKQ2484" s="60"/>
      <c r="AKR2484" s="60"/>
      <c r="AKS2484" s="57"/>
      <c r="AKT2484" s="61"/>
      <c r="AKU2484" s="57"/>
      <c r="AKV2484" s="57"/>
      <c r="AKW2484" s="67"/>
      <c r="AKX2484" s="60"/>
      <c r="AKY2484" s="60"/>
      <c r="AKZ2484" s="60"/>
      <c r="ALA2484" s="57"/>
      <c r="ALB2484" s="61"/>
      <c r="ALC2484" s="57"/>
      <c r="ALD2484" s="57"/>
      <c r="ALE2484" s="67"/>
      <c r="ALF2484" s="60"/>
      <c r="ALG2484" s="60"/>
      <c r="ALH2484" s="60"/>
      <c r="ALI2484" s="57"/>
      <c r="ALJ2484" s="61"/>
      <c r="ALK2484" s="57"/>
      <c r="ALL2484" s="57"/>
      <c r="ALM2484" s="67"/>
      <c r="ALN2484" s="60"/>
      <c r="ALO2484" s="60"/>
      <c r="ALP2484" s="60"/>
      <c r="ALQ2484" s="57"/>
      <c r="ALR2484" s="61"/>
      <c r="ALS2484" s="57"/>
      <c r="ALT2484" s="57"/>
      <c r="ALU2484" s="67"/>
      <c r="ALV2484" s="60"/>
      <c r="ALW2484" s="60"/>
      <c r="ALX2484" s="60"/>
      <c r="ALY2484" s="57"/>
      <c r="ALZ2484" s="61"/>
      <c r="AMA2484" s="57"/>
      <c r="AMB2484" s="57"/>
      <c r="AMC2484" s="67"/>
      <c r="AMD2484" s="60"/>
      <c r="AME2484" s="60"/>
      <c r="AMF2484" s="60"/>
      <c r="AMG2484" s="57"/>
      <c r="AMH2484" s="61"/>
      <c r="AMI2484" s="57"/>
      <c r="AMJ2484" s="57"/>
      <c r="AMK2484" s="67"/>
      <c r="AML2484" s="60"/>
      <c r="AMM2484" s="60"/>
      <c r="AMN2484" s="60"/>
      <c r="AMO2484" s="57"/>
      <c r="AMP2484" s="61"/>
      <c r="AMQ2484" s="57"/>
      <c r="AMR2484" s="57"/>
      <c r="AMS2484" s="67"/>
      <c r="AMT2484" s="60"/>
      <c r="AMU2484" s="60"/>
      <c r="AMV2484" s="60"/>
      <c r="AMW2484" s="57"/>
      <c r="AMX2484" s="61"/>
      <c r="AMY2484" s="57"/>
      <c r="AMZ2484" s="57"/>
      <c r="ANA2484" s="67"/>
      <c r="ANB2484" s="60"/>
      <c r="ANC2484" s="60"/>
      <c r="AND2484" s="60"/>
      <c r="ANE2484" s="57"/>
      <c r="ANF2484" s="61"/>
      <c r="ANG2484" s="57"/>
      <c r="ANH2484" s="57"/>
      <c r="ANI2484" s="67"/>
      <c r="ANJ2484" s="60"/>
      <c r="ANK2484" s="60"/>
      <c r="ANL2484" s="60"/>
      <c r="ANM2484" s="57"/>
      <c r="ANN2484" s="61"/>
      <c r="ANO2484" s="57"/>
      <c r="ANP2484" s="57"/>
      <c r="ANQ2484" s="67"/>
      <c r="ANR2484" s="60"/>
      <c r="ANS2484" s="60"/>
      <c r="ANT2484" s="60"/>
      <c r="ANU2484" s="57"/>
      <c r="ANV2484" s="61"/>
      <c r="ANW2484" s="57"/>
      <c r="ANX2484" s="57"/>
      <c r="ANY2484" s="67"/>
      <c r="ANZ2484" s="60"/>
      <c r="AOA2484" s="60"/>
      <c r="AOB2484" s="60"/>
      <c r="AOC2484" s="57"/>
      <c r="AOD2484" s="61"/>
      <c r="AOE2484" s="57"/>
      <c r="AOF2484" s="57"/>
      <c r="AOG2484" s="67"/>
      <c r="AOH2484" s="60"/>
      <c r="AOI2484" s="60"/>
      <c r="AOJ2484" s="60"/>
      <c r="AOK2484" s="57"/>
      <c r="AOL2484" s="61"/>
      <c r="AOM2484" s="57"/>
      <c r="AON2484" s="57"/>
      <c r="AOO2484" s="67"/>
      <c r="AOP2484" s="60"/>
      <c r="AOQ2484" s="60"/>
      <c r="AOR2484" s="60"/>
      <c r="AOS2484" s="57"/>
      <c r="AOT2484" s="61"/>
      <c r="AOU2484" s="57"/>
      <c r="AOV2484" s="57"/>
      <c r="AOW2484" s="67"/>
      <c r="AOX2484" s="60"/>
      <c r="AOY2484" s="60"/>
      <c r="AOZ2484" s="60"/>
      <c r="APA2484" s="57"/>
      <c r="APB2484" s="61"/>
      <c r="APC2484" s="57"/>
      <c r="APD2484" s="57"/>
      <c r="APE2484" s="67"/>
      <c r="APF2484" s="60"/>
      <c r="APG2484" s="60"/>
      <c r="APH2484" s="60"/>
      <c r="API2484" s="57"/>
      <c r="APJ2484" s="61"/>
      <c r="APK2484" s="57"/>
      <c r="APL2484" s="57"/>
      <c r="APM2484" s="67"/>
      <c r="APN2484" s="60"/>
      <c r="APO2484" s="60"/>
      <c r="APP2484" s="60"/>
      <c r="APQ2484" s="57"/>
      <c r="APR2484" s="61"/>
      <c r="APS2484" s="57"/>
      <c r="APT2484" s="57"/>
      <c r="APU2484" s="67"/>
      <c r="APV2484" s="60"/>
      <c r="APW2484" s="60"/>
      <c r="APX2484" s="60"/>
      <c r="APY2484" s="57"/>
      <c r="APZ2484" s="61"/>
      <c r="AQA2484" s="57"/>
      <c r="AQB2484" s="57"/>
      <c r="AQC2484" s="67"/>
      <c r="AQD2484" s="60"/>
      <c r="AQE2484" s="60"/>
      <c r="AQF2484" s="60"/>
      <c r="AQG2484" s="57"/>
      <c r="AQH2484" s="61"/>
      <c r="AQI2484" s="57"/>
      <c r="AQJ2484" s="57"/>
      <c r="AQK2484" s="67"/>
      <c r="AQL2484" s="60"/>
      <c r="AQM2484" s="60"/>
      <c r="AQN2484" s="60"/>
      <c r="AQO2484" s="57"/>
      <c r="AQP2484" s="61"/>
      <c r="AQQ2484" s="57"/>
      <c r="AQR2484" s="57"/>
      <c r="AQS2484" s="67"/>
      <c r="AQT2484" s="60"/>
      <c r="AQU2484" s="60"/>
      <c r="AQV2484" s="60"/>
      <c r="AQW2484" s="57"/>
      <c r="AQX2484" s="61"/>
      <c r="AQY2484" s="57"/>
      <c r="AQZ2484" s="57"/>
      <c r="ARA2484" s="67"/>
      <c r="ARB2484" s="60"/>
      <c r="ARC2484" s="60"/>
      <c r="ARD2484" s="60"/>
      <c r="ARE2484" s="57"/>
      <c r="ARF2484" s="61"/>
      <c r="ARG2484" s="57"/>
      <c r="ARH2484" s="57"/>
      <c r="ARI2484" s="67"/>
      <c r="ARJ2484" s="60"/>
      <c r="ARK2484" s="60"/>
      <c r="ARL2484" s="60"/>
      <c r="ARM2484" s="57"/>
      <c r="ARN2484" s="61"/>
      <c r="ARO2484" s="57"/>
      <c r="ARP2484" s="57"/>
      <c r="ARQ2484" s="67"/>
      <c r="ARR2484" s="60"/>
      <c r="ARS2484" s="60"/>
      <c r="ART2484" s="60"/>
      <c r="ARU2484" s="57"/>
      <c r="ARV2484" s="61"/>
      <c r="ARW2484" s="57"/>
      <c r="ARX2484" s="57"/>
      <c r="ARY2484" s="67"/>
      <c r="ARZ2484" s="60"/>
      <c r="ASA2484" s="60"/>
      <c r="ASB2484" s="60"/>
      <c r="ASC2484" s="57"/>
      <c r="ASD2484" s="61"/>
      <c r="ASE2484" s="57"/>
      <c r="ASF2484" s="57"/>
      <c r="ASG2484" s="67"/>
      <c r="ASH2484" s="60"/>
      <c r="ASI2484" s="60"/>
      <c r="ASJ2484" s="60"/>
      <c r="ASK2484" s="57"/>
      <c r="ASL2484" s="61"/>
      <c r="ASM2484" s="57"/>
      <c r="ASN2484" s="57"/>
      <c r="ASO2484" s="67"/>
      <c r="ASP2484" s="60"/>
      <c r="ASQ2484" s="60"/>
      <c r="ASR2484" s="60"/>
      <c r="ASS2484" s="57"/>
      <c r="AST2484" s="61"/>
      <c r="ASU2484" s="57"/>
      <c r="ASV2484" s="57"/>
      <c r="ASW2484" s="67"/>
      <c r="ASX2484" s="60"/>
      <c r="ASY2484" s="60"/>
      <c r="ASZ2484" s="60"/>
      <c r="ATA2484" s="57"/>
      <c r="ATB2484" s="61"/>
      <c r="ATC2484" s="57"/>
      <c r="ATD2484" s="57"/>
      <c r="ATE2484" s="67"/>
      <c r="ATF2484" s="60"/>
      <c r="ATG2484" s="60"/>
      <c r="ATH2484" s="60"/>
      <c r="ATI2484" s="57"/>
      <c r="ATJ2484" s="61"/>
      <c r="ATK2484" s="57"/>
      <c r="ATL2484" s="57"/>
      <c r="ATM2484" s="67"/>
      <c r="ATN2484" s="60"/>
      <c r="ATO2484" s="60"/>
      <c r="ATP2484" s="60"/>
      <c r="ATQ2484" s="57"/>
      <c r="ATR2484" s="61"/>
      <c r="ATS2484" s="57"/>
      <c r="ATT2484" s="57"/>
      <c r="ATU2484" s="67"/>
      <c r="ATV2484" s="60"/>
      <c r="ATW2484" s="60"/>
      <c r="ATX2484" s="60"/>
      <c r="ATY2484" s="57"/>
      <c r="ATZ2484" s="61"/>
      <c r="AUA2484" s="57"/>
      <c r="AUB2484" s="57"/>
      <c r="AUC2484" s="67"/>
      <c r="AUD2484" s="60"/>
      <c r="AUE2484" s="60"/>
      <c r="AUF2484" s="60"/>
      <c r="AUG2484" s="57"/>
      <c r="AUH2484" s="61"/>
      <c r="AUI2484" s="57"/>
      <c r="AUJ2484" s="57"/>
      <c r="AUK2484" s="67"/>
      <c r="AUL2484" s="60"/>
      <c r="AUM2484" s="60"/>
      <c r="AUN2484" s="60"/>
      <c r="AUO2484" s="57"/>
      <c r="AUP2484" s="61"/>
      <c r="AUQ2484" s="57"/>
      <c r="AUR2484" s="57"/>
      <c r="AUS2484" s="67"/>
      <c r="AUT2484" s="60"/>
      <c r="AUU2484" s="60"/>
      <c r="AUV2484" s="60"/>
      <c r="AUW2484" s="57"/>
      <c r="AUX2484" s="61"/>
      <c r="AUY2484" s="57"/>
      <c r="AUZ2484" s="57"/>
      <c r="AVA2484" s="67"/>
      <c r="AVB2484" s="60"/>
      <c r="AVC2484" s="60"/>
      <c r="AVD2484" s="60"/>
      <c r="AVE2484" s="57"/>
      <c r="AVF2484" s="61"/>
      <c r="AVG2484" s="57"/>
      <c r="AVH2484" s="57"/>
      <c r="AVI2484" s="67"/>
      <c r="AVJ2484" s="60"/>
      <c r="AVK2484" s="60"/>
      <c r="AVL2484" s="60"/>
      <c r="AVM2484" s="57"/>
      <c r="AVN2484" s="61"/>
      <c r="AVO2484" s="57"/>
      <c r="AVP2484" s="57"/>
      <c r="AVQ2484" s="67"/>
      <c r="AVR2484" s="60"/>
      <c r="AVS2484" s="60"/>
      <c r="AVT2484" s="60"/>
      <c r="AVU2484" s="57"/>
      <c r="AVV2484" s="61"/>
      <c r="AVW2484" s="57"/>
      <c r="AVX2484" s="57"/>
      <c r="AVY2484" s="67"/>
      <c r="AVZ2484" s="60"/>
      <c r="AWA2484" s="60"/>
      <c r="AWB2484" s="60"/>
      <c r="AWC2484" s="57"/>
      <c r="AWD2484" s="61"/>
      <c r="AWE2484" s="57"/>
      <c r="AWF2484" s="57"/>
      <c r="AWG2484" s="67"/>
      <c r="AWH2484" s="60"/>
      <c r="AWI2484" s="60"/>
      <c r="AWJ2484" s="60"/>
      <c r="AWK2484" s="57"/>
      <c r="AWL2484" s="61"/>
      <c r="AWM2484" s="57"/>
      <c r="AWN2484" s="57"/>
      <c r="AWO2484" s="67"/>
      <c r="AWP2484" s="60"/>
      <c r="AWQ2484" s="60"/>
      <c r="AWR2484" s="60"/>
      <c r="AWS2484" s="57"/>
      <c r="AWT2484" s="61"/>
      <c r="AWU2484" s="57"/>
      <c r="AWV2484" s="57"/>
      <c r="AWW2484" s="67"/>
      <c r="AWX2484" s="60"/>
      <c r="AWY2484" s="60"/>
      <c r="AWZ2484" s="60"/>
      <c r="AXA2484" s="57"/>
      <c r="AXB2484" s="61"/>
      <c r="AXC2484" s="57"/>
      <c r="AXD2484" s="57"/>
      <c r="AXE2484" s="67"/>
      <c r="AXF2484" s="60"/>
      <c r="AXG2484" s="60"/>
      <c r="AXH2484" s="60"/>
      <c r="AXI2484" s="57"/>
      <c r="AXJ2484" s="61"/>
      <c r="AXK2484" s="57"/>
      <c r="AXL2484" s="57"/>
      <c r="AXM2484" s="67"/>
      <c r="AXN2484" s="60"/>
      <c r="AXO2484" s="60"/>
      <c r="AXP2484" s="60"/>
      <c r="AXQ2484" s="57"/>
      <c r="AXR2484" s="61"/>
      <c r="AXS2484" s="57"/>
      <c r="AXT2484" s="57"/>
      <c r="AXU2484" s="67"/>
      <c r="AXV2484" s="60"/>
      <c r="AXW2484" s="60"/>
      <c r="AXX2484" s="60"/>
      <c r="AXY2484" s="57"/>
      <c r="AXZ2484" s="61"/>
      <c r="AYA2484" s="57"/>
      <c r="AYB2484" s="57"/>
      <c r="AYC2484" s="67"/>
      <c r="AYD2484" s="60"/>
      <c r="AYE2484" s="60"/>
      <c r="AYF2484" s="60"/>
      <c r="AYG2484" s="57"/>
      <c r="AYH2484" s="61"/>
      <c r="AYI2484" s="57"/>
      <c r="AYJ2484" s="57"/>
      <c r="AYK2484" s="67"/>
      <c r="AYL2484" s="60"/>
      <c r="AYM2484" s="60"/>
      <c r="AYN2484" s="60"/>
      <c r="AYO2484" s="57"/>
      <c r="AYP2484" s="61"/>
      <c r="AYQ2484" s="57"/>
      <c r="AYR2484" s="57"/>
      <c r="AYS2484" s="67"/>
      <c r="AYT2484" s="60"/>
      <c r="AYU2484" s="60"/>
      <c r="AYV2484" s="60"/>
      <c r="AYW2484" s="57"/>
      <c r="AYX2484" s="61"/>
      <c r="AYY2484" s="57"/>
      <c r="AYZ2484" s="57"/>
      <c r="AZA2484" s="67"/>
      <c r="AZB2484" s="60"/>
      <c r="AZC2484" s="60"/>
      <c r="AZD2484" s="60"/>
      <c r="AZE2484" s="57"/>
      <c r="AZF2484" s="61"/>
      <c r="AZG2484" s="57"/>
      <c r="AZH2484" s="57"/>
      <c r="AZI2484" s="67"/>
      <c r="AZJ2484" s="60"/>
      <c r="AZK2484" s="60"/>
      <c r="AZL2484" s="60"/>
      <c r="AZM2484" s="57"/>
      <c r="AZN2484" s="61"/>
      <c r="AZO2484" s="57"/>
      <c r="AZP2484" s="57"/>
      <c r="AZQ2484" s="67"/>
      <c r="AZR2484" s="60"/>
      <c r="AZS2484" s="60"/>
      <c r="AZT2484" s="60"/>
      <c r="AZU2484" s="57"/>
      <c r="AZV2484" s="61"/>
      <c r="AZW2484" s="57"/>
      <c r="AZX2484" s="57"/>
      <c r="AZY2484" s="67"/>
      <c r="AZZ2484" s="60"/>
      <c r="BAA2484" s="60"/>
      <c r="BAB2484" s="60"/>
      <c r="BAC2484" s="57"/>
      <c r="BAD2484" s="61"/>
      <c r="BAE2484" s="57"/>
      <c r="BAF2484" s="57"/>
      <c r="BAG2484" s="67"/>
      <c r="BAH2484" s="60"/>
      <c r="BAI2484" s="60"/>
      <c r="BAJ2484" s="60"/>
      <c r="BAK2484" s="57"/>
      <c r="BAL2484" s="61"/>
      <c r="BAM2484" s="57"/>
      <c r="BAN2484" s="57"/>
      <c r="BAO2484" s="67"/>
      <c r="BAP2484" s="60"/>
      <c r="BAQ2484" s="60"/>
      <c r="BAR2484" s="60"/>
      <c r="BAS2484" s="57"/>
      <c r="BAT2484" s="61"/>
      <c r="BAU2484" s="57"/>
      <c r="BAV2484" s="57"/>
      <c r="BAW2484" s="67"/>
      <c r="BAX2484" s="60"/>
      <c r="BAY2484" s="60"/>
      <c r="BAZ2484" s="60"/>
      <c r="BBA2484" s="57"/>
      <c r="BBB2484" s="61"/>
      <c r="BBC2484" s="57"/>
      <c r="BBD2484" s="57"/>
      <c r="BBE2484" s="67"/>
      <c r="BBF2484" s="60"/>
      <c r="BBG2484" s="60"/>
      <c r="BBH2484" s="60"/>
      <c r="BBI2484" s="57"/>
      <c r="BBJ2484" s="61"/>
      <c r="BBK2484" s="57"/>
      <c r="BBL2484" s="57"/>
      <c r="BBM2484" s="67"/>
      <c r="BBN2484" s="60"/>
      <c r="BBO2484" s="60"/>
      <c r="BBP2484" s="60"/>
      <c r="BBQ2484" s="57"/>
      <c r="BBR2484" s="61"/>
      <c r="BBS2484" s="57"/>
      <c r="BBT2484" s="57"/>
      <c r="BBU2484" s="67"/>
      <c r="BBV2484" s="60"/>
      <c r="BBW2484" s="60"/>
      <c r="BBX2484" s="60"/>
      <c r="BBY2484" s="57"/>
      <c r="BBZ2484" s="61"/>
      <c r="BCA2484" s="57"/>
      <c r="BCB2484" s="57"/>
      <c r="BCC2484" s="67"/>
      <c r="BCD2484" s="60"/>
      <c r="BCE2484" s="60"/>
      <c r="BCF2484" s="60"/>
      <c r="BCG2484" s="57"/>
      <c r="BCH2484" s="61"/>
      <c r="BCI2484" s="57"/>
      <c r="BCJ2484" s="57"/>
      <c r="BCK2484" s="67"/>
      <c r="BCL2484" s="60"/>
      <c r="BCM2484" s="60"/>
      <c r="BCN2484" s="60"/>
      <c r="BCO2484" s="57"/>
      <c r="BCP2484" s="61"/>
      <c r="BCQ2484" s="57"/>
      <c r="BCR2484" s="57"/>
      <c r="BCS2484" s="67"/>
      <c r="BCT2484" s="60"/>
      <c r="BCU2484" s="60"/>
      <c r="BCV2484" s="60"/>
      <c r="BCW2484" s="57"/>
      <c r="BCX2484" s="61"/>
      <c r="BCY2484" s="57"/>
      <c r="BCZ2484" s="57"/>
      <c r="BDA2484" s="67"/>
      <c r="BDB2484" s="60"/>
      <c r="BDC2484" s="60"/>
      <c r="BDD2484" s="60"/>
      <c r="BDE2484" s="57"/>
      <c r="BDF2484" s="61"/>
      <c r="BDG2484" s="57"/>
      <c r="BDH2484" s="57"/>
      <c r="BDI2484" s="67"/>
      <c r="BDJ2484" s="60"/>
      <c r="BDK2484" s="60"/>
      <c r="BDL2484" s="60"/>
      <c r="BDM2484" s="57"/>
      <c r="BDN2484" s="61"/>
      <c r="BDO2484" s="57"/>
      <c r="BDP2484" s="57"/>
      <c r="BDQ2484" s="67"/>
      <c r="BDR2484" s="60"/>
      <c r="BDS2484" s="60"/>
      <c r="BDT2484" s="60"/>
      <c r="BDU2484" s="57"/>
      <c r="BDV2484" s="61"/>
      <c r="BDW2484" s="57"/>
      <c r="BDX2484" s="57"/>
      <c r="BDY2484" s="67"/>
      <c r="BDZ2484" s="60"/>
      <c r="BEA2484" s="60"/>
      <c r="BEB2484" s="60"/>
      <c r="BEC2484" s="57"/>
      <c r="BED2484" s="61"/>
      <c r="BEE2484" s="57"/>
      <c r="BEF2484" s="57"/>
      <c r="BEG2484" s="67"/>
      <c r="BEH2484" s="60"/>
      <c r="BEI2484" s="60"/>
      <c r="BEJ2484" s="60"/>
      <c r="BEK2484" s="57"/>
      <c r="BEL2484" s="61"/>
      <c r="BEM2484" s="57"/>
      <c r="BEN2484" s="57"/>
      <c r="BEO2484" s="67"/>
      <c r="BEP2484" s="60"/>
      <c r="BEQ2484" s="60"/>
      <c r="BER2484" s="60"/>
      <c r="BES2484" s="57"/>
      <c r="BET2484" s="61"/>
      <c r="BEU2484" s="57"/>
      <c r="BEV2484" s="57"/>
      <c r="BEW2484" s="67"/>
      <c r="BEX2484" s="60"/>
      <c r="BEY2484" s="60"/>
      <c r="BEZ2484" s="60"/>
      <c r="BFA2484" s="57"/>
      <c r="BFB2484" s="61"/>
      <c r="BFC2484" s="57"/>
      <c r="BFD2484" s="57"/>
      <c r="BFE2484" s="67"/>
      <c r="BFF2484" s="60"/>
      <c r="BFG2484" s="60"/>
      <c r="BFH2484" s="60"/>
      <c r="BFI2484" s="57"/>
      <c r="BFJ2484" s="61"/>
      <c r="BFK2484" s="57"/>
      <c r="BFL2484" s="57"/>
      <c r="BFM2484" s="67"/>
      <c r="BFN2484" s="60"/>
      <c r="BFO2484" s="60"/>
      <c r="BFP2484" s="60"/>
      <c r="BFQ2484" s="57"/>
      <c r="BFR2484" s="61"/>
      <c r="BFS2484" s="57"/>
      <c r="BFT2484" s="57"/>
      <c r="BFU2484" s="67"/>
      <c r="BFV2484" s="60"/>
      <c r="BFW2484" s="60"/>
      <c r="BFX2484" s="60"/>
      <c r="BFY2484" s="57"/>
      <c r="BFZ2484" s="61"/>
      <c r="BGA2484" s="57"/>
      <c r="BGB2484" s="57"/>
      <c r="BGC2484" s="67"/>
      <c r="BGD2484" s="60"/>
      <c r="BGE2484" s="60"/>
      <c r="BGF2484" s="60"/>
      <c r="BGG2484" s="57"/>
      <c r="BGH2484" s="61"/>
      <c r="BGI2484" s="57"/>
      <c r="BGJ2484" s="57"/>
      <c r="BGK2484" s="67"/>
      <c r="BGL2484" s="60"/>
      <c r="BGM2484" s="60"/>
      <c r="BGN2484" s="60"/>
      <c r="BGO2484" s="57"/>
      <c r="BGP2484" s="61"/>
      <c r="BGQ2484" s="57"/>
      <c r="BGR2484" s="57"/>
      <c r="BGS2484" s="67"/>
      <c r="BGT2484" s="60"/>
      <c r="BGU2484" s="60"/>
      <c r="BGV2484" s="60"/>
      <c r="BGW2484" s="57"/>
      <c r="BGX2484" s="61"/>
      <c r="BGY2484" s="57"/>
      <c r="BGZ2484" s="57"/>
      <c r="BHA2484" s="67"/>
      <c r="BHB2484" s="60"/>
      <c r="BHC2484" s="60"/>
      <c r="BHD2484" s="60"/>
      <c r="BHE2484" s="57"/>
      <c r="BHF2484" s="61"/>
      <c r="BHG2484" s="57"/>
      <c r="BHH2484" s="57"/>
      <c r="BHI2484" s="67"/>
      <c r="BHJ2484" s="60"/>
      <c r="BHK2484" s="60"/>
      <c r="BHL2484" s="60"/>
      <c r="BHM2484" s="57"/>
      <c r="BHN2484" s="61"/>
      <c r="BHO2484" s="57"/>
      <c r="BHP2484" s="57"/>
      <c r="BHQ2484" s="67"/>
      <c r="BHR2484" s="60"/>
      <c r="BHS2484" s="60"/>
      <c r="BHT2484" s="60"/>
      <c r="BHU2484" s="57"/>
      <c r="BHV2484" s="61"/>
      <c r="BHW2484" s="57"/>
      <c r="BHX2484" s="57"/>
      <c r="BHY2484" s="67"/>
      <c r="BHZ2484" s="60"/>
      <c r="BIA2484" s="60"/>
      <c r="BIB2484" s="60"/>
      <c r="BIC2484" s="57"/>
      <c r="BID2484" s="61"/>
      <c r="BIE2484" s="57"/>
      <c r="BIF2484" s="57"/>
      <c r="BIG2484" s="67"/>
      <c r="BIH2484" s="60"/>
      <c r="BII2484" s="60"/>
      <c r="BIJ2484" s="60"/>
      <c r="BIK2484" s="57"/>
      <c r="BIL2484" s="61"/>
      <c r="BIM2484" s="57"/>
      <c r="BIN2484" s="57"/>
      <c r="BIO2484" s="67"/>
      <c r="BIP2484" s="60"/>
      <c r="BIQ2484" s="60"/>
      <c r="BIR2484" s="60"/>
      <c r="BIS2484" s="57"/>
      <c r="BIT2484" s="61"/>
      <c r="BIU2484" s="57"/>
      <c r="BIV2484" s="57"/>
      <c r="BIW2484" s="67"/>
      <c r="BIX2484" s="60"/>
      <c r="BIY2484" s="60"/>
      <c r="BIZ2484" s="60"/>
      <c r="BJA2484" s="57"/>
      <c r="BJB2484" s="61"/>
      <c r="BJC2484" s="57"/>
      <c r="BJD2484" s="57"/>
      <c r="BJE2484" s="67"/>
      <c r="BJF2484" s="60"/>
      <c r="BJG2484" s="60"/>
      <c r="BJH2484" s="60"/>
      <c r="BJI2484" s="57"/>
      <c r="BJJ2484" s="61"/>
      <c r="BJK2484" s="57"/>
      <c r="BJL2484" s="57"/>
      <c r="BJM2484" s="67"/>
      <c r="BJN2484" s="60"/>
      <c r="BJO2484" s="60"/>
      <c r="BJP2484" s="60"/>
      <c r="BJQ2484" s="57"/>
      <c r="BJR2484" s="61"/>
      <c r="BJS2484" s="57"/>
      <c r="BJT2484" s="57"/>
      <c r="BJU2484" s="67"/>
      <c r="BJV2484" s="60"/>
      <c r="BJW2484" s="60"/>
      <c r="BJX2484" s="60"/>
      <c r="BJY2484" s="57"/>
      <c r="BJZ2484" s="61"/>
      <c r="BKA2484" s="57"/>
      <c r="BKB2484" s="57"/>
      <c r="BKC2484" s="67"/>
      <c r="BKD2484" s="60"/>
      <c r="BKE2484" s="60"/>
      <c r="BKF2484" s="60"/>
      <c r="BKG2484" s="57"/>
      <c r="BKH2484" s="61"/>
      <c r="BKI2484" s="57"/>
      <c r="BKJ2484" s="57"/>
      <c r="BKK2484" s="67"/>
      <c r="BKL2484" s="60"/>
      <c r="BKM2484" s="60"/>
      <c r="BKN2484" s="60"/>
      <c r="BKO2484" s="57"/>
      <c r="BKP2484" s="61"/>
      <c r="BKQ2484" s="57"/>
      <c r="BKR2484" s="57"/>
      <c r="BKS2484" s="67"/>
      <c r="BKT2484" s="60"/>
      <c r="BKU2484" s="60"/>
      <c r="BKV2484" s="60"/>
      <c r="BKW2484" s="57"/>
      <c r="BKX2484" s="61"/>
      <c r="BKY2484" s="57"/>
      <c r="BKZ2484" s="57"/>
      <c r="BLA2484" s="67"/>
      <c r="BLB2484" s="60"/>
      <c r="BLC2484" s="60"/>
      <c r="BLD2484" s="60"/>
      <c r="BLE2484" s="57"/>
      <c r="BLF2484" s="61"/>
      <c r="BLG2484" s="57"/>
      <c r="BLH2484" s="57"/>
      <c r="BLI2484" s="67"/>
      <c r="BLJ2484" s="60"/>
      <c r="BLK2484" s="60"/>
      <c r="BLL2484" s="60"/>
      <c r="BLM2484" s="57"/>
      <c r="BLN2484" s="61"/>
      <c r="BLO2484" s="57"/>
      <c r="BLP2484" s="57"/>
      <c r="BLQ2484" s="67"/>
      <c r="BLR2484" s="60"/>
      <c r="BLS2484" s="60"/>
      <c r="BLT2484" s="60"/>
      <c r="BLU2484" s="57"/>
      <c r="BLV2484" s="61"/>
      <c r="BLW2484" s="57"/>
      <c r="BLX2484" s="57"/>
      <c r="BLY2484" s="67"/>
      <c r="BLZ2484" s="60"/>
      <c r="BMA2484" s="60"/>
      <c r="BMB2484" s="60"/>
      <c r="BMC2484" s="57"/>
      <c r="BMD2484" s="61"/>
      <c r="BME2484" s="57"/>
      <c r="BMF2484" s="57"/>
      <c r="BMG2484" s="67"/>
      <c r="BMH2484" s="60"/>
      <c r="BMI2484" s="60"/>
      <c r="BMJ2484" s="60"/>
      <c r="BMK2484" s="57"/>
      <c r="BML2484" s="61"/>
      <c r="BMM2484" s="57"/>
      <c r="BMN2484" s="57"/>
      <c r="BMO2484" s="67"/>
      <c r="BMP2484" s="60"/>
      <c r="BMQ2484" s="60"/>
      <c r="BMR2484" s="60"/>
      <c r="BMS2484" s="57"/>
      <c r="BMT2484" s="61"/>
      <c r="BMU2484" s="57"/>
      <c r="BMV2484" s="57"/>
      <c r="BMW2484" s="67"/>
      <c r="BMX2484" s="60"/>
      <c r="BMY2484" s="60"/>
      <c r="BMZ2484" s="60"/>
      <c r="BNA2484" s="57"/>
      <c r="BNB2484" s="61"/>
      <c r="BNC2484" s="57"/>
      <c r="BND2484" s="57"/>
      <c r="BNE2484" s="67"/>
      <c r="BNF2484" s="60"/>
      <c r="BNG2484" s="60"/>
      <c r="BNH2484" s="60"/>
      <c r="BNI2484" s="57"/>
      <c r="BNJ2484" s="61"/>
      <c r="BNK2484" s="57"/>
      <c r="BNL2484" s="57"/>
      <c r="BNM2484" s="67"/>
      <c r="BNN2484" s="60"/>
      <c r="BNO2484" s="60"/>
      <c r="BNP2484" s="60"/>
      <c r="BNQ2484" s="57"/>
      <c r="BNR2484" s="61"/>
      <c r="BNS2484" s="57"/>
      <c r="BNT2484" s="57"/>
      <c r="BNU2484" s="67"/>
      <c r="BNV2484" s="60"/>
      <c r="BNW2484" s="60"/>
      <c r="BNX2484" s="60"/>
      <c r="BNY2484" s="57"/>
      <c r="BNZ2484" s="61"/>
      <c r="BOA2484" s="57"/>
      <c r="BOB2484" s="57"/>
      <c r="BOC2484" s="67"/>
      <c r="BOD2484" s="60"/>
      <c r="BOE2484" s="60"/>
      <c r="BOF2484" s="60"/>
      <c r="BOG2484" s="57"/>
      <c r="BOH2484" s="61"/>
      <c r="BOI2484" s="57"/>
      <c r="BOJ2484" s="57"/>
      <c r="BOK2484" s="67"/>
      <c r="BOL2484" s="60"/>
      <c r="BOM2484" s="60"/>
      <c r="BON2484" s="60"/>
      <c r="BOO2484" s="57"/>
      <c r="BOP2484" s="61"/>
      <c r="BOQ2484" s="57"/>
      <c r="BOR2484" s="57"/>
      <c r="BOS2484" s="67"/>
      <c r="BOT2484" s="60"/>
      <c r="BOU2484" s="60"/>
      <c r="BOV2484" s="60"/>
      <c r="BOW2484" s="57"/>
      <c r="BOX2484" s="61"/>
      <c r="BOY2484" s="57"/>
      <c r="BOZ2484" s="57"/>
      <c r="BPA2484" s="67"/>
      <c r="BPB2484" s="60"/>
      <c r="BPC2484" s="60"/>
      <c r="BPD2484" s="60"/>
      <c r="BPE2484" s="57"/>
      <c r="BPF2484" s="61"/>
      <c r="BPG2484" s="57"/>
      <c r="BPH2484" s="57"/>
      <c r="BPI2484" s="67"/>
      <c r="BPJ2484" s="60"/>
      <c r="BPK2484" s="60"/>
      <c r="BPL2484" s="60"/>
      <c r="BPM2484" s="57"/>
      <c r="BPN2484" s="61"/>
      <c r="BPO2484" s="57"/>
      <c r="BPP2484" s="57"/>
      <c r="BPQ2484" s="67"/>
      <c r="BPR2484" s="60"/>
      <c r="BPS2484" s="60"/>
      <c r="BPT2484" s="60"/>
      <c r="BPU2484" s="57"/>
      <c r="BPV2484" s="61"/>
      <c r="BPW2484" s="57"/>
      <c r="BPX2484" s="57"/>
      <c r="BPY2484" s="67"/>
      <c r="BPZ2484" s="60"/>
      <c r="BQA2484" s="60"/>
      <c r="BQB2484" s="60"/>
      <c r="BQC2484" s="57"/>
      <c r="BQD2484" s="61"/>
      <c r="BQE2484" s="57"/>
      <c r="BQF2484" s="57"/>
      <c r="BQG2484" s="67"/>
      <c r="BQH2484" s="60"/>
      <c r="BQI2484" s="60"/>
      <c r="BQJ2484" s="60"/>
      <c r="BQK2484" s="57"/>
      <c r="BQL2484" s="61"/>
      <c r="BQM2484" s="57"/>
      <c r="BQN2484" s="57"/>
      <c r="BQO2484" s="67"/>
      <c r="BQP2484" s="60"/>
      <c r="BQQ2484" s="60"/>
      <c r="BQR2484" s="60"/>
      <c r="BQS2484" s="57"/>
      <c r="BQT2484" s="61"/>
      <c r="BQU2484" s="57"/>
      <c r="BQV2484" s="57"/>
      <c r="BQW2484" s="67"/>
      <c r="BQX2484" s="60"/>
      <c r="BQY2484" s="60"/>
      <c r="BQZ2484" s="60"/>
      <c r="BRA2484" s="57"/>
      <c r="BRB2484" s="61"/>
      <c r="BRC2484" s="57"/>
      <c r="BRD2484" s="57"/>
      <c r="BRE2484" s="67"/>
      <c r="BRF2484" s="60"/>
      <c r="BRG2484" s="60"/>
      <c r="BRH2484" s="60"/>
      <c r="BRI2484" s="57"/>
      <c r="BRJ2484" s="61"/>
      <c r="BRK2484" s="57"/>
      <c r="BRL2484" s="57"/>
      <c r="BRM2484" s="67"/>
      <c r="BRN2484" s="60"/>
      <c r="BRO2484" s="60"/>
      <c r="BRP2484" s="60"/>
      <c r="BRQ2484" s="57"/>
      <c r="BRR2484" s="61"/>
      <c r="BRS2484" s="57"/>
      <c r="BRT2484" s="57"/>
      <c r="BRU2484" s="67"/>
      <c r="BRV2484" s="60"/>
      <c r="BRW2484" s="60"/>
      <c r="BRX2484" s="60"/>
      <c r="BRY2484" s="57"/>
      <c r="BRZ2484" s="61"/>
      <c r="BSA2484" s="57"/>
      <c r="BSB2484" s="57"/>
      <c r="BSC2484" s="67"/>
      <c r="BSD2484" s="60"/>
      <c r="BSE2484" s="60"/>
      <c r="BSF2484" s="60"/>
      <c r="BSG2484" s="57"/>
      <c r="BSH2484" s="61"/>
      <c r="BSI2484" s="57"/>
      <c r="BSJ2484" s="57"/>
      <c r="BSK2484" s="67"/>
      <c r="BSL2484" s="60"/>
      <c r="BSM2484" s="60"/>
      <c r="BSN2484" s="60"/>
      <c r="BSO2484" s="57"/>
      <c r="BSP2484" s="61"/>
      <c r="BSQ2484" s="57"/>
      <c r="BSR2484" s="57"/>
      <c r="BSS2484" s="67"/>
      <c r="BST2484" s="60"/>
      <c r="BSU2484" s="60"/>
      <c r="BSV2484" s="60"/>
      <c r="BSW2484" s="57"/>
      <c r="BSX2484" s="61"/>
      <c r="BSY2484" s="57"/>
      <c r="BSZ2484" s="57"/>
      <c r="BTA2484" s="67"/>
      <c r="BTB2484" s="60"/>
      <c r="BTC2484" s="60"/>
      <c r="BTD2484" s="60"/>
      <c r="BTE2484" s="57"/>
      <c r="BTF2484" s="61"/>
      <c r="BTG2484" s="57"/>
      <c r="BTH2484" s="57"/>
      <c r="BTI2484" s="67"/>
      <c r="BTJ2484" s="60"/>
      <c r="BTK2484" s="60"/>
      <c r="BTL2484" s="60"/>
      <c r="BTM2484" s="57"/>
      <c r="BTN2484" s="61"/>
      <c r="BTO2484" s="57"/>
      <c r="BTP2484" s="57"/>
      <c r="BTQ2484" s="67"/>
      <c r="BTR2484" s="60"/>
      <c r="BTS2484" s="60"/>
      <c r="BTT2484" s="60"/>
      <c r="BTU2484" s="57"/>
      <c r="BTV2484" s="61"/>
      <c r="BTW2484" s="57"/>
      <c r="BTX2484" s="57"/>
      <c r="BTY2484" s="67"/>
      <c r="BTZ2484" s="60"/>
      <c r="BUA2484" s="60"/>
      <c r="BUB2484" s="60"/>
      <c r="BUC2484" s="57"/>
      <c r="BUD2484" s="61"/>
      <c r="BUE2484" s="57"/>
      <c r="BUF2484" s="57"/>
      <c r="BUG2484" s="67"/>
      <c r="BUH2484" s="60"/>
      <c r="BUI2484" s="60"/>
      <c r="BUJ2484" s="60"/>
      <c r="BUK2484" s="57"/>
      <c r="BUL2484" s="61"/>
      <c r="BUM2484" s="57"/>
      <c r="BUN2484" s="57"/>
      <c r="BUO2484" s="67"/>
      <c r="BUP2484" s="60"/>
      <c r="BUQ2484" s="60"/>
      <c r="BUR2484" s="60"/>
      <c r="BUS2484" s="57"/>
      <c r="BUT2484" s="61"/>
      <c r="BUU2484" s="57"/>
      <c r="BUV2484" s="57"/>
      <c r="BUW2484" s="67"/>
      <c r="BUX2484" s="60"/>
      <c r="BUY2484" s="60"/>
      <c r="BUZ2484" s="60"/>
      <c r="BVA2484" s="57"/>
      <c r="BVB2484" s="61"/>
      <c r="BVC2484" s="57"/>
      <c r="BVD2484" s="57"/>
      <c r="BVE2484" s="67"/>
      <c r="BVF2484" s="60"/>
      <c r="BVG2484" s="60"/>
      <c r="BVH2484" s="60"/>
      <c r="BVI2484" s="57"/>
      <c r="BVJ2484" s="61"/>
      <c r="BVK2484" s="57"/>
      <c r="BVL2484" s="57"/>
      <c r="BVM2484" s="67"/>
      <c r="BVN2484" s="60"/>
      <c r="BVO2484" s="60"/>
      <c r="BVP2484" s="60"/>
      <c r="BVQ2484" s="57"/>
      <c r="BVR2484" s="61"/>
      <c r="BVS2484" s="57"/>
      <c r="BVT2484" s="57"/>
      <c r="BVU2484" s="67"/>
      <c r="BVV2484" s="60"/>
      <c r="BVW2484" s="60"/>
      <c r="BVX2484" s="60"/>
      <c r="BVY2484" s="57"/>
      <c r="BVZ2484" s="61"/>
      <c r="BWA2484" s="57"/>
      <c r="BWB2484" s="57"/>
      <c r="BWC2484" s="67"/>
      <c r="BWD2484" s="60"/>
      <c r="BWE2484" s="60"/>
      <c r="BWF2484" s="60"/>
      <c r="BWG2484" s="57"/>
      <c r="BWH2484" s="61"/>
      <c r="BWI2484" s="57"/>
      <c r="BWJ2484" s="57"/>
      <c r="BWK2484" s="67"/>
      <c r="BWL2484" s="60"/>
      <c r="BWM2484" s="60"/>
      <c r="BWN2484" s="60"/>
      <c r="BWO2484" s="57"/>
      <c r="BWP2484" s="61"/>
      <c r="BWQ2484" s="57"/>
      <c r="BWR2484" s="57"/>
      <c r="BWS2484" s="67"/>
      <c r="BWT2484" s="60"/>
      <c r="BWU2484" s="60"/>
      <c r="BWV2484" s="60"/>
      <c r="BWW2484" s="57"/>
      <c r="BWX2484" s="61"/>
      <c r="BWY2484" s="57"/>
      <c r="BWZ2484" s="57"/>
      <c r="BXA2484" s="67"/>
      <c r="BXB2484" s="60"/>
      <c r="BXC2484" s="60"/>
      <c r="BXD2484" s="60"/>
      <c r="BXE2484" s="57"/>
      <c r="BXF2484" s="61"/>
      <c r="BXG2484" s="57"/>
      <c r="BXH2484" s="57"/>
      <c r="BXI2484" s="67"/>
      <c r="BXJ2484" s="60"/>
      <c r="BXK2484" s="60"/>
      <c r="BXL2484" s="60"/>
      <c r="BXM2484" s="57"/>
      <c r="BXN2484" s="61"/>
      <c r="BXO2484" s="57"/>
      <c r="BXP2484" s="57"/>
      <c r="BXQ2484" s="67"/>
      <c r="BXR2484" s="60"/>
      <c r="BXS2484" s="60"/>
      <c r="BXT2484" s="60"/>
      <c r="BXU2484" s="57"/>
      <c r="BXV2484" s="61"/>
      <c r="BXW2484" s="57"/>
      <c r="BXX2484" s="57"/>
      <c r="BXY2484" s="67"/>
      <c r="BXZ2484" s="60"/>
      <c r="BYA2484" s="60"/>
      <c r="BYB2484" s="60"/>
      <c r="BYC2484" s="57"/>
      <c r="BYD2484" s="61"/>
      <c r="BYE2484" s="57"/>
      <c r="BYF2484" s="57"/>
      <c r="BYG2484" s="67"/>
      <c r="BYH2484" s="60"/>
      <c r="BYI2484" s="60"/>
      <c r="BYJ2484" s="60"/>
      <c r="BYK2484" s="57"/>
      <c r="BYL2484" s="61"/>
      <c r="BYM2484" s="57"/>
      <c r="BYN2484" s="57"/>
      <c r="BYO2484" s="67"/>
      <c r="BYP2484" s="60"/>
      <c r="BYQ2484" s="60"/>
      <c r="BYR2484" s="60"/>
      <c r="BYS2484" s="57"/>
      <c r="BYT2484" s="61"/>
      <c r="BYU2484" s="57"/>
      <c r="BYV2484" s="57"/>
      <c r="BYW2484" s="67"/>
      <c r="BYX2484" s="60"/>
      <c r="BYY2484" s="60"/>
      <c r="BYZ2484" s="60"/>
      <c r="BZA2484" s="57"/>
      <c r="BZB2484" s="61"/>
      <c r="BZC2484" s="57"/>
      <c r="BZD2484" s="57"/>
      <c r="BZE2484" s="67"/>
      <c r="BZF2484" s="60"/>
      <c r="BZG2484" s="60"/>
      <c r="BZH2484" s="60"/>
      <c r="BZI2484" s="57"/>
      <c r="BZJ2484" s="61"/>
      <c r="BZK2484" s="57"/>
      <c r="BZL2484" s="57"/>
      <c r="BZM2484" s="67"/>
      <c r="BZN2484" s="60"/>
      <c r="BZO2484" s="60"/>
      <c r="BZP2484" s="60"/>
      <c r="BZQ2484" s="57"/>
      <c r="BZR2484" s="61"/>
      <c r="BZS2484" s="57"/>
      <c r="BZT2484" s="57"/>
      <c r="BZU2484" s="67"/>
      <c r="BZV2484" s="60"/>
      <c r="BZW2484" s="60"/>
      <c r="BZX2484" s="60"/>
      <c r="BZY2484" s="57"/>
      <c r="BZZ2484" s="61"/>
      <c r="CAA2484" s="57"/>
      <c r="CAB2484" s="57"/>
      <c r="CAC2484" s="67"/>
      <c r="CAD2484" s="60"/>
      <c r="CAE2484" s="60"/>
      <c r="CAF2484" s="60"/>
      <c r="CAG2484" s="57"/>
      <c r="CAH2484" s="61"/>
      <c r="CAI2484" s="57"/>
      <c r="CAJ2484" s="57"/>
      <c r="CAK2484" s="67"/>
      <c r="CAL2484" s="60"/>
      <c r="CAM2484" s="60"/>
      <c r="CAN2484" s="60"/>
      <c r="CAO2484" s="57"/>
      <c r="CAP2484" s="61"/>
      <c r="CAQ2484" s="57"/>
      <c r="CAR2484" s="57"/>
      <c r="CAS2484" s="67"/>
      <c r="CAT2484" s="60"/>
      <c r="CAU2484" s="60"/>
      <c r="CAV2484" s="60"/>
      <c r="CAW2484" s="57"/>
      <c r="CAX2484" s="61"/>
      <c r="CAY2484" s="57"/>
      <c r="CAZ2484" s="57"/>
      <c r="CBA2484" s="67"/>
      <c r="CBB2484" s="60"/>
      <c r="CBC2484" s="60"/>
      <c r="CBD2484" s="60"/>
      <c r="CBE2484" s="57"/>
      <c r="CBF2484" s="61"/>
      <c r="CBG2484" s="57"/>
      <c r="CBH2484" s="57"/>
      <c r="CBI2484" s="67"/>
      <c r="CBJ2484" s="60"/>
      <c r="CBK2484" s="60"/>
      <c r="CBL2484" s="60"/>
      <c r="CBM2484" s="57"/>
      <c r="CBN2484" s="61"/>
      <c r="CBO2484" s="57"/>
      <c r="CBP2484" s="57"/>
      <c r="CBQ2484" s="67"/>
      <c r="CBR2484" s="60"/>
      <c r="CBS2484" s="60"/>
      <c r="CBT2484" s="60"/>
      <c r="CBU2484" s="57"/>
      <c r="CBV2484" s="61"/>
      <c r="CBW2484" s="57"/>
      <c r="CBX2484" s="57"/>
      <c r="CBY2484" s="67"/>
      <c r="CBZ2484" s="60"/>
      <c r="CCA2484" s="60"/>
      <c r="CCB2484" s="60"/>
      <c r="CCC2484" s="57"/>
      <c r="CCD2484" s="61"/>
      <c r="CCE2484" s="57"/>
      <c r="CCF2484" s="57"/>
      <c r="CCG2484" s="67"/>
      <c r="CCH2484" s="60"/>
      <c r="CCI2484" s="60"/>
      <c r="CCJ2484" s="60"/>
      <c r="CCK2484" s="57"/>
      <c r="CCL2484" s="61"/>
      <c r="CCM2484" s="57"/>
      <c r="CCN2484" s="57"/>
      <c r="CCO2484" s="67"/>
      <c r="CCP2484" s="60"/>
      <c r="CCQ2484" s="60"/>
      <c r="CCR2484" s="60"/>
      <c r="CCS2484" s="57"/>
      <c r="CCT2484" s="61"/>
      <c r="CCU2484" s="57"/>
      <c r="CCV2484" s="57"/>
      <c r="CCW2484" s="67"/>
      <c r="CCX2484" s="60"/>
      <c r="CCY2484" s="60"/>
      <c r="CCZ2484" s="60"/>
      <c r="CDA2484" s="57"/>
      <c r="CDB2484" s="61"/>
      <c r="CDC2484" s="57"/>
      <c r="CDD2484" s="57"/>
      <c r="CDE2484" s="67"/>
      <c r="CDF2484" s="60"/>
      <c r="CDG2484" s="60"/>
      <c r="CDH2484" s="60"/>
      <c r="CDI2484" s="57"/>
      <c r="CDJ2484" s="61"/>
      <c r="CDK2484" s="57"/>
      <c r="CDL2484" s="57"/>
      <c r="CDM2484" s="67"/>
      <c r="CDN2484" s="60"/>
      <c r="CDO2484" s="60"/>
      <c r="CDP2484" s="60"/>
      <c r="CDQ2484" s="57"/>
      <c r="CDR2484" s="61"/>
      <c r="CDS2484" s="57"/>
      <c r="CDT2484" s="57"/>
      <c r="CDU2484" s="67"/>
      <c r="CDV2484" s="60"/>
      <c r="CDW2484" s="60"/>
      <c r="CDX2484" s="60"/>
      <c r="CDY2484" s="57"/>
      <c r="CDZ2484" s="61"/>
      <c r="CEA2484" s="57"/>
      <c r="CEB2484" s="57"/>
      <c r="CEC2484" s="67"/>
      <c r="CED2484" s="60"/>
      <c r="CEE2484" s="60"/>
      <c r="CEF2484" s="60"/>
      <c r="CEG2484" s="57"/>
      <c r="CEH2484" s="61"/>
      <c r="CEI2484" s="57"/>
      <c r="CEJ2484" s="57"/>
      <c r="CEK2484" s="67"/>
      <c r="CEL2484" s="60"/>
      <c r="CEM2484" s="60"/>
      <c r="CEN2484" s="60"/>
      <c r="CEO2484" s="57"/>
      <c r="CEP2484" s="61"/>
      <c r="CEQ2484" s="57"/>
      <c r="CER2484" s="57"/>
      <c r="CES2484" s="67"/>
      <c r="CET2484" s="60"/>
      <c r="CEU2484" s="60"/>
      <c r="CEV2484" s="60"/>
      <c r="CEW2484" s="57"/>
      <c r="CEX2484" s="61"/>
      <c r="CEY2484" s="57"/>
      <c r="CEZ2484" s="57"/>
      <c r="CFA2484" s="67"/>
      <c r="CFB2484" s="60"/>
      <c r="CFC2484" s="60"/>
      <c r="CFD2484" s="60"/>
      <c r="CFE2484" s="57"/>
      <c r="CFF2484" s="61"/>
      <c r="CFG2484" s="57"/>
      <c r="CFH2484" s="57"/>
      <c r="CFI2484" s="67"/>
      <c r="CFJ2484" s="60"/>
      <c r="CFK2484" s="60"/>
      <c r="CFL2484" s="60"/>
      <c r="CFM2484" s="57"/>
      <c r="CFN2484" s="61"/>
      <c r="CFO2484" s="57"/>
      <c r="CFP2484" s="57"/>
      <c r="CFQ2484" s="67"/>
      <c r="CFR2484" s="60"/>
      <c r="CFS2484" s="60"/>
      <c r="CFT2484" s="60"/>
      <c r="CFU2484" s="57"/>
      <c r="CFV2484" s="61"/>
      <c r="CFW2484" s="57"/>
      <c r="CFX2484" s="57"/>
      <c r="CFY2484" s="67"/>
      <c r="CFZ2484" s="60"/>
      <c r="CGA2484" s="60"/>
      <c r="CGB2484" s="60"/>
      <c r="CGC2484" s="57"/>
      <c r="CGD2484" s="61"/>
      <c r="CGE2484" s="57"/>
      <c r="CGF2484" s="57"/>
      <c r="CGG2484" s="67"/>
      <c r="CGH2484" s="60"/>
      <c r="CGI2484" s="60"/>
      <c r="CGJ2484" s="60"/>
      <c r="CGK2484" s="57"/>
      <c r="CGL2484" s="61"/>
      <c r="CGM2484" s="57"/>
      <c r="CGN2484" s="57"/>
      <c r="CGO2484" s="67"/>
      <c r="CGP2484" s="60"/>
      <c r="CGQ2484" s="60"/>
      <c r="CGR2484" s="60"/>
      <c r="CGS2484" s="57"/>
      <c r="CGT2484" s="61"/>
      <c r="CGU2484" s="57"/>
      <c r="CGV2484" s="57"/>
      <c r="CGW2484" s="67"/>
      <c r="CGX2484" s="60"/>
      <c r="CGY2484" s="60"/>
      <c r="CGZ2484" s="60"/>
      <c r="CHA2484" s="57"/>
      <c r="CHB2484" s="61"/>
      <c r="CHC2484" s="57"/>
      <c r="CHD2484" s="57"/>
      <c r="CHE2484" s="67"/>
      <c r="CHF2484" s="60"/>
      <c r="CHG2484" s="60"/>
      <c r="CHH2484" s="60"/>
      <c r="CHI2484" s="57"/>
      <c r="CHJ2484" s="61"/>
      <c r="CHK2484" s="57"/>
      <c r="CHL2484" s="57"/>
      <c r="CHM2484" s="67"/>
      <c r="CHN2484" s="60"/>
      <c r="CHO2484" s="60"/>
      <c r="CHP2484" s="60"/>
      <c r="CHQ2484" s="57"/>
      <c r="CHR2484" s="61"/>
      <c r="CHS2484" s="57"/>
      <c r="CHT2484" s="57"/>
      <c r="CHU2484" s="67"/>
      <c r="CHV2484" s="60"/>
      <c r="CHW2484" s="60"/>
      <c r="CHX2484" s="60"/>
      <c r="CHY2484" s="57"/>
      <c r="CHZ2484" s="61"/>
      <c r="CIA2484" s="57"/>
      <c r="CIB2484" s="57"/>
      <c r="CIC2484" s="67"/>
      <c r="CID2484" s="60"/>
      <c r="CIE2484" s="60"/>
      <c r="CIF2484" s="60"/>
      <c r="CIG2484" s="57"/>
      <c r="CIH2484" s="61"/>
      <c r="CII2484" s="57"/>
      <c r="CIJ2484" s="57"/>
      <c r="CIK2484" s="67"/>
      <c r="CIL2484" s="60"/>
      <c r="CIM2484" s="60"/>
      <c r="CIN2484" s="60"/>
      <c r="CIO2484" s="57"/>
      <c r="CIP2484" s="61"/>
      <c r="CIQ2484" s="57"/>
      <c r="CIR2484" s="57"/>
      <c r="CIS2484" s="67"/>
      <c r="CIT2484" s="60"/>
      <c r="CIU2484" s="60"/>
      <c r="CIV2484" s="60"/>
      <c r="CIW2484" s="57"/>
      <c r="CIX2484" s="61"/>
      <c r="CIY2484" s="57"/>
      <c r="CIZ2484" s="57"/>
      <c r="CJA2484" s="67"/>
      <c r="CJB2484" s="60"/>
      <c r="CJC2484" s="60"/>
      <c r="CJD2484" s="60"/>
      <c r="CJE2484" s="57"/>
      <c r="CJF2484" s="61"/>
      <c r="CJG2484" s="57"/>
      <c r="CJH2484" s="57"/>
      <c r="CJI2484" s="67"/>
      <c r="CJJ2484" s="60"/>
      <c r="CJK2484" s="60"/>
      <c r="CJL2484" s="60"/>
      <c r="CJM2484" s="57"/>
      <c r="CJN2484" s="61"/>
      <c r="CJO2484" s="57"/>
      <c r="CJP2484" s="57"/>
      <c r="CJQ2484" s="67"/>
      <c r="CJR2484" s="60"/>
      <c r="CJS2484" s="60"/>
      <c r="CJT2484" s="60"/>
      <c r="CJU2484" s="57"/>
      <c r="CJV2484" s="61"/>
      <c r="CJW2484" s="57"/>
      <c r="CJX2484" s="57"/>
      <c r="CJY2484" s="67"/>
      <c r="CJZ2484" s="60"/>
      <c r="CKA2484" s="60"/>
      <c r="CKB2484" s="60"/>
      <c r="CKC2484" s="57"/>
      <c r="CKD2484" s="61"/>
      <c r="CKE2484" s="57"/>
      <c r="CKF2484" s="57"/>
      <c r="CKG2484" s="67"/>
      <c r="CKH2484" s="60"/>
      <c r="CKI2484" s="60"/>
      <c r="CKJ2484" s="60"/>
      <c r="CKK2484" s="57"/>
      <c r="CKL2484" s="61"/>
      <c r="CKM2484" s="57"/>
      <c r="CKN2484" s="57"/>
      <c r="CKO2484" s="67"/>
      <c r="CKP2484" s="60"/>
      <c r="CKQ2484" s="60"/>
      <c r="CKR2484" s="60"/>
      <c r="CKS2484" s="57"/>
      <c r="CKT2484" s="61"/>
      <c r="CKU2484" s="57"/>
      <c r="CKV2484" s="57"/>
      <c r="CKW2484" s="67"/>
      <c r="CKX2484" s="60"/>
      <c r="CKY2484" s="60"/>
      <c r="CKZ2484" s="60"/>
      <c r="CLA2484" s="57"/>
      <c r="CLB2484" s="61"/>
      <c r="CLC2484" s="57"/>
      <c r="CLD2484" s="57"/>
      <c r="CLE2484" s="67"/>
      <c r="CLF2484" s="60"/>
      <c r="CLG2484" s="60"/>
      <c r="CLH2484" s="60"/>
      <c r="CLI2484" s="57"/>
      <c r="CLJ2484" s="61"/>
      <c r="CLK2484" s="57"/>
      <c r="CLL2484" s="57"/>
      <c r="CLM2484" s="67"/>
      <c r="CLN2484" s="60"/>
      <c r="CLO2484" s="60"/>
      <c r="CLP2484" s="60"/>
      <c r="CLQ2484" s="57"/>
      <c r="CLR2484" s="61"/>
      <c r="CLS2484" s="57"/>
      <c r="CLT2484" s="57"/>
      <c r="CLU2484" s="67"/>
      <c r="CLV2484" s="60"/>
      <c r="CLW2484" s="60"/>
      <c r="CLX2484" s="60"/>
      <c r="CLY2484" s="57"/>
      <c r="CLZ2484" s="61"/>
      <c r="CMA2484" s="57"/>
      <c r="CMB2484" s="57"/>
      <c r="CMC2484" s="67"/>
      <c r="CMD2484" s="60"/>
      <c r="CME2484" s="60"/>
      <c r="CMF2484" s="60"/>
      <c r="CMG2484" s="57"/>
      <c r="CMH2484" s="61"/>
      <c r="CMI2484" s="57"/>
      <c r="CMJ2484" s="57"/>
      <c r="CMK2484" s="67"/>
      <c r="CML2484" s="60"/>
      <c r="CMM2484" s="60"/>
      <c r="CMN2484" s="60"/>
      <c r="CMO2484" s="57"/>
      <c r="CMP2484" s="61"/>
      <c r="CMQ2484" s="57"/>
      <c r="CMR2484" s="57"/>
      <c r="CMS2484" s="67"/>
      <c r="CMT2484" s="60"/>
      <c r="CMU2484" s="60"/>
      <c r="CMV2484" s="60"/>
      <c r="CMW2484" s="57"/>
      <c r="CMX2484" s="61"/>
      <c r="CMY2484" s="57"/>
      <c r="CMZ2484" s="57"/>
      <c r="CNA2484" s="67"/>
      <c r="CNB2484" s="60"/>
      <c r="CNC2484" s="60"/>
      <c r="CND2484" s="60"/>
      <c r="CNE2484" s="57"/>
      <c r="CNF2484" s="61"/>
      <c r="CNG2484" s="57"/>
      <c r="CNH2484" s="57"/>
      <c r="CNI2484" s="67"/>
      <c r="CNJ2484" s="60"/>
      <c r="CNK2484" s="60"/>
      <c r="CNL2484" s="60"/>
      <c r="CNM2484" s="57"/>
      <c r="CNN2484" s="61"/>
      <c r="CNO2484" s="57"/>
      <c r="CNP2484" s="57"/>
      <c r="CNQ2484" s="67"/>
      <c r="CNR2484" s="60"/>
      <c r="CNS2484" s="60"/>
      <c r="CNT2484" s="60"/>
      <c r="CNU2484" s="57"/>
      <c r="CNV2484" s="61"/>
      <c r="CNW2484" s="57"/>
      <c r="CNX2484" s="57"/>
      <c r="CNY2484" s="67"/>
      <c r="CNZ2484" s="60"/>
      <c r="COA2484" s="60"/>
      <c r="COB2484" s="60"/>
      <c r="COC2484" s="57"/>
      <c r="COD2484" s="61"/>
      <c r="COE2484" s="57"/>
      <c r="COF2484" s="57"/>
      <c r="COG2484" s="67"/>
      <c r="COH2484" s="60"/>
      <c r="COI2484" s="60"/>
      <c r="COJ2484" s="60"/>
      <c r="COK2484" s="57"/>
      <c r="COL2484" s="61"/>
      <c r="COM2484" s="57"/>
      <c r="CON2484" s="57"/>
      <c r="COO2484" s="67"/>
      <c r="COP2484" s="60"/>
      <c r="COQ2484" s="60"/>
      <c r="COR2484" s="60"/>
      <c r="COS2484" s="57"/>
      <c r="COT2484" s="61"/>
      <c r="COU2484" s="57"/>
      <c r="COV2484" s="57"/>
      <c r="COW2484" s="67"/>
      <c r="COX2484" s="60"/>
      <c r="COY2484" s="60"/>
      <c r="COZ2484" s="60"/>
      <c r="CPA2484" s="57"/>
      <c r="CPB2484" s="61"/>
      <c r="CPC2484" s="57"/>
      <c r="CPD2484" s="57"/>
      <c r="CPE2484" s="67"/>
      <c r="CPF2484" s="60"/>
      <c r="CPG2484" s="60"/>
      <c r="CPH2484" s="60"/>
      <c r="CPI2484" s="57"/>
      <c r="CPJ2484" s="61"/>
      <c r="CPK2484" s="57"/>
      <c r="CPL2484" s="57"/>
      <c r="CPM2484" s="67"/>
      <c r="CPN2484" s="60"/>
      <c r="CPO2484" s="60"/>
      <c r="CPP2484" s="60"/>
      <c r="CPQ2484" s="57"/>
      <c r="CPR2484" s="61"/>
      <c r="CPS2484" s="57"/>
      <c r="CPT2484" s="57"/>
      <c r="CPU2484" s="67"/>
      <c r="CPV2484" s="60"/>
      <c r="CPW2484" s="60"/>
      <c r="CPX2484" s="60"/>
      <c r="CPY2484" s="57"/>
      <c r="CPZ2484" s="61"/>
      <c r="CQA2484" s="57"/>
      <c r="CQB2484" s="57"/>
      <c r="CQC2484" s="67"/>
      <c r="CQD2484" s="60"/>
      <c r="CQE2484" s="60"/>
      <c r="CQF2484" s="60"/>
      <c r="CQG2484" s="57"/>
      <c r="CQH2484" s="61"/>
      <c r="CQI2484" s="57"/>
      <c r="CQJ2484" s="57"/>
      <c r="CQK2484" s="67"/>
      <c r="CQL2484" s="60"/>
      <c r="CQM2484" s="60"/>
      <c r="CQN2484" s="60"/>
      <c r="CQO2484" s="57"/>
      <c r="CQP2484" s="61"/>
      <c r="CQQ2484" s="57"/>
      <c r="CQR2484" s="57"/>
      <c r="CQS2484" s="67"/>
      <c r="CQT2484" s="60"/>
      <c r="CQU2484" s="60"/>
      <c r="CQV2484" s="60"/>
      <c r="CQW2484" s="57"/>
      <c r="CQX2484" s="61"/>
      <c r="CQY2484" s="57"/>
      <c r="CQZ2484" s="57"/>
      <c r="CRA2484" s="67"/>
      <c r="CRB2484" s="60"/>
      <c r="CRC2484" s="60"/>
      <c r="CRD2484" s="60"/>
      <c r="CRE2484" s="57"/>
      <c r="CRF2484" s="61"/>
      <c r="CRG2484" s="57"/>
      <c r="CRH2484" s="57"/>
      <c r="CRI2484" s="67"/>
      <c r="CRJ2484" s="60"/>
      <c r="CRK2484" s="60"/>
      <c r="CRL2484" s="60"/>
      <c r="CRM2484" s="57"/>
      <c r="CRN2484" s="61"/>
      <c r="CRO2484" s="57"/>
      <c r="CRP2484" s="57"/>
      <c r="CRQ2484" s="67"/>
      <c r="CRR2484" s="60"/>
      <c r="CRS2484" s="60"/>
      <c r="CRT2484" s="60"/>
      <c r="CRU2484" s="57"/>
      <c r="CRV2484" s="61"/>
      <c r="CRW2484" s="57"/>
      <c r="CRX2484" s="57"/>
      <c r="CRY2484" s="67"/>
      <c r="CRZ2484" s="60"/>
      <c r="CSA2484" s="60"/>
      <c r="CSB2484" s="60"/>
      <c r="CSC2484" s="57"/>
      <c r="CSD2484" s="61"/>
      <c r="CSE2484" s="57"/>
      <c r="CSF2484" s="57"/>
      <c r="CSG2484" s="67"/>
      <c r="CSH2484" s="60"/>
      <c r="CSI2484" s="60"/>
      <c r="CSJ2484" s="60"/>
      <c r="CSK2484" s="57"/>
      <c r="CSL2484" s="61"/>
      <c r="CSM2484" s="57"/>
      <c r="CSN2484" s="57"/>
      <c r="CSO2484" s="67"/>
      <c r="CSP2484" s="60"/>
      <c r="CSQ2484" s="60"/>
      <c r="CSR2484" s="60"/>
      <c r="CSS2484" s="57"/>
      <c r="CST2484" s="61"/>
      <c r="CSU2484" s="57"/>
      <c r="CSV2484" s="57"/>
      <c r="CSW2484" s="67"/>
      <c r="CSX2484" s="60"/>
      <c r="CSY2484" s="60"/>
      <c r="CSZ2484" s="60"/>
      <c r="CTA2484" s="57"/>
      <c r="CTB2484" s="61"/>
      <c r="CTC2484" s="57"/>
      <c r="CTD2484" s="57"/>
      <c r="CTE2484" s="67"/>
      <c r="CTF2484" s="60"/>
      <c r="CTG2484" s="60"/>
      <c r="CTH2484" s="60"/>
      <c r="CTI2484" s="57"/>
      <c r="CTJ2484" s="61"/>
      <c r="CTK2484" s="57"/>
      <c r="CTL2484" s="57"/>
      <c r="CTM2484" s="67"/>
      <c r="CTN2484" s="60"/>
      <c r="CTO2484" s="60"/>
      <c r="CTP2484" s="60"/>
      <c r="CTQ2484" s="57"/>
      <c r="CTR2484" s="61"/>
      <c r="CTS2484" s="57"/>
      <c r="CTT2484" s="57"/>
      <c r="CTU2484" s="67"/>
      <c r="CTV2484" s="60"/>
      <c r="CTW2484" s="60"/>
      <c r="CTX2484" s="60"/>
      <c r="CTY2484" s="57"/>
      <c r="CTZ2484" s="61"/>
      <c r="CUA2484" s="57"/>
      <c r="CUB2484" s="57"/>
      <c r="CUC2484" s="67"/>
      <c r="CUD2484" s="60"/>
      <c r="CUE2484" s="60"/>
      <c r="CUF2484" s="60"/>
      <c r="CUG2484" s="57"/>
      <c r="CUH2484" s="61"/>
      <c r="CUI2484" s="57"/>
      <c r="CUJ2484" s="57"/>
      <c r="CUK2484" s="67"/>
      <c r="CUL2484" s="60"/>
      <c r="CUM2484" s="60"/>
      <c r="CUN2484" s="60"/>
      <c r="CUO2484" s="57"/>
      <c r="CUP2484" s="61"/>
      <c r="CUQ2484" s="57"/>
      <c r="CUR2484" s="57"/>
      <c r="CUS2484" s="67"/>
      <c r="CUT2484" s="60"/>
      <c r="CUU2484" s="60"/>
      <c r="CUV2484" s="60"/>
      <c r="CUW2484" s="57"/>
      <c r="CUX2484" s="61"/>
      <c r="CUY2484" s="57"/>
      <c r="CUZ2484" s="57"/>
      <c r="CVA2484" s="67"/>
      <c r="CVB2484" s="60"/>
      <c r="CVC2484" s="60"/>
      <c r="CVD2484" s="60"/>
      <c r="CVE2484" s="57"/>
      <c r="CVF2484" s="61"/>
      <c r="CVG2484" s="57"/>
      <c r="CVH2484" s="57"/>
      <c r="CVI2484" s="67"/>
      <c r="CVJ2484" s="60"/>
      <c r="CVK2484" s="60"/>
      <c r="CVL2484" s="60"/>
      <c r="CVM2484" s="57"/>
      <c r="CVN2484" s="61"/>
      <c r="CVO2484" s="57"/>
      <c r="CVP2484" s="57"/>
      <c r="CVQ2484" s="67"/>
      <c r="CVR2484" s="60"/>
      <c r="CVS2484" s="60"/>
      <c r="CVT2484" s="60"/>
      <c r="CVU2484" s="57"/>
      <c r="CVV2484" s="61"/>
      <c r="CVW2484" s="57"/>
      <c r="CVX2484" s="57"/>
      <c r="CVY2484" s="67"/>
      <c r="CVZ2484" s="60"/>
      <c r="CWA2484" s="60"/>
      <c r="CWB2484" s="60"/>
      <c r="CWC2484" s="57"/>
      <c r="CWD2484" s="61"/>
      <c r="CWE2484" s="57"/>
      <c r="CWF2484" s="57"/>
      <c r="CWG2484" s="67"/>
      <c r="CWH2484" s="60"/>
      <c r="CWI2484" s="60"/>
      <c r="CWJ2484" s="60"/>
      <c r="CWK2484" s="57"/>
      <c r="CWL2484" s="61"/>
      <c r="CWM2484" s="57"/>
      <c r="CWN2484" s="57"/>
      <c r="CWO2484" s="67"/>
      <c r="CWP2484" s="60"/>
      <c r="CWQ2484" s="60"/>
      <c r="CWR2484" s="60"/>
      <c r="CWS2484" s="57"/>
      <c r="CWT2484" s="61"/>
      <c r="CWU2484" s="57"/>
      <c r="CWV2484" s="57"/>
      <c r="CWW2484" s="67"/>
      <c r="CWX2484" s="60"/>
      <c r="CWY2484" s="60"/>
      <c r="CWZ2484" s="60"/>
      <c r="CXA2484" s="57"/>
      <c r="CXB2484" s="61"/>
      <c r="CXC2484" s="57"/>
      <c r="CXD2484" s="57"/>
      <c r="CXE2484" s="67"/>
      <c r="CXF2484" s="60"/>
      <c r="CXG2484" s="60"/>
      <c r="CXH2484" s="60"/>
      <c r="CXI2484" s="57"/>
      <c r="CXJ2484" s="61"/>
      <c r="CXK2484" s="57"/>
      <c r="CXL2484" s="57"/>
      <c r="CXM2484" s="67"/>
      <c r="CXN2484" s="60"/>
      <c r="CXO2484" s="60"/>
      <c r="CXP2484" s="60"/>
      <c r="CXQ2484" s="57"/>
      <c r="CXR2484" s="61"/>
      <c r="CXS2484" s="57"/>
      <c r="CXT2484" s="57"/>
      <c r="CXU2484" s="67"/>
      <c r="CXV2484" s="60"/>
      <c r="CXW2484" s="60"/>
      <c r="CXX2484" s="60"/>
      <c r="CXY2484" s="57"/>
      <c r="CXZ2484" s="61"/>
      <c r="CYA2484" s="57"/>
      <c r="CYB2484" s="57"/>
      <c r="CYC2484" s="67"/>
      <c r="CYD2484" s="60"/>
      <c r="CYE2484" s="60"/>
      <c r="CYF2484" s="60"/>
      <c r="CYG2484" s="57"/>
      <c r="CYH2484" s="61"/>
      <c r="CYI2484" s="57"/>
      <c r="CYJ2484" s="57"/>
      <c r="CYK2484" s="67"/>
      <c r="CYL2484" s="60"/>
      <c r="CYM2484" s="60"/>
      <c r="CYN2484" s="60"/>
      <c r="CYO2484" s="57"/>
      <c r="CYP2484" s="61"/>
      <c r="CYQ2484" s="57"/>
      <c r="CYR2484" s="57"/>
      <c r="CYS2484" s="67"/>
      <c r="CYT2484" s="60"/>
      <c r="CYU2484" s="60"/>
      <c r="CYV2484" s="60"/>
      <c r="CYW2484" s="57"/>
      <c r="CYX2484" s="61"/>
      <c r="CYY2484" s="57"/>
      <c r="CYZ2484" s="57"/>
      <c r="CZA2484" s="67"/>
      <c r="CZB2484" s="60"/>
      <c r="CZC2484" s="60"/>
      <c r="CZD2484" s="60"/>
      <c r="CZE2484" s="57"/>
      <c r="CZF2484" s="61"/>
      <c r="CZG2484" s="57"/>
      <c r="CZH2484" s="57"/>
      <c r="CZI2484" s="67"/>
      <c r="CZJ2484" s="60"/>
      <c r="CZK2484" s="60"/>
      <c r="CZL2484" s="60"/>
      <c r="CZM2484" s="57"/>
      <c r="CZN2484" s="61"/>
      <c r="CZO2484" s="57"/>
      <c r="CZP2484" s="57"/>
      <c r="CZQ2484" s="67"/>
      <c r="CZR2484" s="60"/>
      <c r="CZS2484" s="60"/>
      <c r="CZT2484" s="60"/>
      <c r="CZU2484" s="57"/>
      <c r="CZV2484" s="61"/>
      <c r="CZW2484" s="57"/>
      <c r="CZX2484" s="57"/>
      <c r="CZY2484" s="67"/>
      <c r="CZZ2484" s="60"/>
      <c r="DAA2484" s="60"/>
      <c r="DAB2484" s="60"/>
      <c r="DAC2484" s="57"/>
      <c r="DAD2484" s="61"/>
      <c r="DAE2484" s="57"/>
      <c r="DAF2484" s="57"/>
      <c r="DAG2484" s="67"/>
      <c r="DAH2484" s="60"/>
      <c r="DAI2484" s="60"/>
      <c r="DAJ2484" s="60"/>
      <c r="DAK2484" s="57"/>
      <c r="DAL2484" s="61"/>
      <c r="DAM2484" s="57"/>
      <c r="DAN2484" s="57"/>
      <c r="DAO2484" s="67"/>
      <c r="DAP2484" s="60"/>
      <c r="DAQ2484" s="60"/>
      <c r="DAR2484" s="60"/>
      <c r="DAS2484" s="57"/>
      <c r="DAT2484" s="61"/>
      <c r="DAU2484" s="57"/>
      <c r="DAV2484" s="57"/>
      <c r="DAW2484" s="67"/>
      <c r="DAX2484" s="60"/>
      <c r="DAY2484" s="60"/>
      <c r="DAZ2484" s="60"/>
      <c r="DBA2484" s="57"/>
      <c r="DBB2484" s="61"/>
      <c r="DBC2484" s="57"/>
      <c r="DBD2484" s="57"/>
      <c r="DBE2484" s="67"/>
      <c r="DBF2484" s="60"/>
      <c r="DBG2484" s="60"/>
      <c r="DBH2484" s="60"/>
      <c r="DBI2484" s="57"/>
      <c r="DBJ2484" s="61"/>
      <c r="DBK2484" s="57"/>
      <c r="DBL2484" s="57"/>
      <c r="DBM2484" s="67"/>
      <c r="DBN2484" s="60"/>
      <c r="DBO2484" s="60"/>
      <c r="DBP2484" s="60"/>
      <c r="DBQ2484" s="57"/>
      <c r="DBR2484" s="61"/>
      <c r="DBS2484" s="57"/>
      <c r="DBT2484" s="57"/>
      <c r="DBU2484" s="67"/>
      <c r="DBV2484" s="60"/>
      <c r="DBW2484" s="60"/>
      <c r="DBX2484" s="60"/>
      <c r="DBY2484" s="57"/>
      <c r="DBZ2484" s="61"/>
      <c r="DCA2484" s="57"/>
      <c r="DCB2484" s="57"/>
      <c r="DCC2484" s="67"/>
      <c r="DCD2484" s="60"/>
      <c r="DCE2484" s="60"/>
      <c r="DCF2484" s="60"/>
      <c r="DCG2484" s="57"/>
      <c r="DCH2484" s="61"/>
      <c r="DCI2484" s="57"/>
      <c r="DCJ2484" s="57"/>
      <c r="DCK2484" s="67"/>
      <c r="DCL2484" s="60"/>
      <c r="DCM2484" s="60"/>
      <c r="DCN2484" s="60"/>
      <c r="DCO2484" s="57"/>
      <c r="DCP2484" s="61"/>
      <c r="DCQ2484" s="57"/>
      <c r="DCR2484" s="57"/>
      <c r="DCS2484" s="67"/>
      <c r="DCT2484" s="60"/>
      <c r="DCU2484" s="60"/>
      <c r="DCV2484" s="60"/>
      <c r="DCW2484" s="57"/>
      <c r="DCX2484" s="61"/>
      <c r="DCY2484" s="57"/>
      <c r="DCZ2484" s="57"/>
      <c r="DDA2484" s="67"/>
      <c r="DDB2484" s="60"/>
      <c r="DDC2484" s="60"/>
      <c r="DDD2484" s="60"/>
      <c r="DDE2484" s="57"/>
      <c r="DDF2484" s="61"/>
      <c r="DDG2484" s="57"/>
      <c r="DDH2484" s="57"/>
      <c r="DDI2484" s="67"/>
      <c r="DDJ2484" s="60"/>
      <c r="DDK2484" s="60"/>
      <c r="DDL2484" s="60"/>
      <c r="DDM2484" s="57"/>
      <c r="DDN2484" s="61"/>
      <c r="DDO2484" s="57"/>
      <c r="DDP2484" s="57"/>
      <c r="DDQ2484" s="67"/>
      <c r="DDR2484" s="60"/>
      <c r="DDS2484" s="60"/>
      <c r="DDT2484" s="60"/>
      <c r="DDU2484" s="57"/>
      <c r="DDV2484" s="61"/>
      <c r="DDW2484" s="57"/>
      <c r="DDX2484" s="57"/>
      <c r="DDY2484" s="67"/>
      <c r="DDZ2484" s="60"/>
      <c r="DEA2484" s="60"/>
      <c r="DEB2484" s="60"/>
      <c r="DEC2484" s="57"/>
      <c r="DED2484" s="61"/>
      <c r="DEE2484" s="57"/>
      <c r="DEF2484" s="57"/>
      <c r="DEG2484" s="67"/>
      <c r="DEH2484" s="60"/>
      <c r="DEI2484" s="60"/>
      <c r="DEJ2484" s="60"/>
      <c r="DEK2484" s="57"/>
      <c r="DEL2484" s="61"/>
      <c r="DEM2484" s="57"/>
      <c r="DEN2484" s="57"/>
      <c r="DEO2484" s="67"/>
      <c r="DEP2484" s="60"/>
      <c r="DEQ2484" s="60"/>
      <c r="DER2484" s="60"/>
      <c r="DES2484" s="57"/>
      <c r="DET2484" s="61"/>
      <c r="DEU2484" s="57"/>
      <c r="DEV2484" s="57"/>
      <c r="DEW2484" s="67"/>
      <c r="DEX2484" s="60"/>
      <c r="DEY2484" s="60"/>
      <c r="DEZ2484" s="60"/>
      <c r="DFA2484" s="57"/>
      <c r="DFB2484" s="61"/>
      <c r="DFC2484" s="57"/>
      <c r="DFD2484" s="57"/>
      <c r="DFE2484" s="67"/>
      <c r="DFF2484" s="60"/>
      <c r="DFG2484" s="60"/>
      <c r="DFH2484" s="60"/>
      <c r="DFI2484" s="57"/>
      <c r="DFJ2484" s="61"/>
      <c r="DFK2484" s="57"/>
      <c r="DFL2484" s="57"/>
      <c r="DFM2484" s="67"/>
      <c r="DFN2484" s="60"/>
      <c r="DFO2484" s="60"/>
      <c r="DFP2484" s="60"/>
      <c r="DFQ2484" s="57"/>
      <c r="DFR2484" s="61"/>
      <c r="DFS2484" s="57"/>
      <c r="DFT2484" s="57"/>
      <c r="DFU2484" s="67"/>
      <c r="DFV2484" s="60"/>
      <c r="DFW2484" s="60"/>
      <c r="DFX2484" s="60"/>
      <c r="DFY2484" s="57"/>
      <c r="DFZ2484" s="61"/>
      <c r="DGA2484" s="57"/>
      <c r="DGB2484" s="57"/>
      <c r="DGC2484" s="67"/>
      <c r="DGD2484" s="60"/>
      <c r="DGE2484" s="60"/>
      <c r="DGF2484" s="60"/>
      <c r="DGG2484" s="57"/>
      <c r="DGH2484" s="61"/>
      <c r="DGI2484" s="57"/>
      <c r="DGJ2484" s="57"/>
      <c r="DGK2484" s="67"/>
      <c r="DGL2484" s="60"/>
      <c r="DGM2484" s="60"/>
      <c r="DGN2484" s="60"/>
      <c r="DGO2484" s="57"/>
      <c r="DGP2484" s="61"/>
      <c r="DGQ2484" s="57"/>
      <c r="DGR2484" s="57"/>
      <c r="DGS2484" s="67"/>
      <c r="DGT2484" s="60"/>
      <c r="DGU2484" s="60"/>
      <c r="DGV2484" s="60"/>
      <c r="DGW2484" s="57"/>
      <c r="DGX2484" s="61"/>
      <c r="DGY2484" s="57"/>
      <c r="DGZ2484" s="57"/>
      <c r="DHA2484" s="67"/>
      <c r="DHB2484" s="60"/>
      <c r="DHC2484" s="60"/>
      <c r="DHD2484" s="60"/>
      <c r="DHE2484" s="57"/>
      <c r="DHF2484" s="61"/>
      <c r="DHG2484" s="57"/>
      <c r="DHH2484" s="57"/>
      <c r="DHI2484" s="67"/>
      <c r="DHJ2484" s="60"/>
      <c r="DHK2484" s="60"/>
      <c r="DHL2484" s="60"/>
      <c r="DHM2484" s="57"/>
      <c r="DHN2484" s="61"/>
      <c r="DHO2484" s="57"/>
      <c r="DHP2484" s="57"/>
      <c r="DHQ2484" s="67"/>
      <c r="DHR2484" s="60"/>
      <c r="DHS2484" s="60"/>
      <c r="DHT2484" s="60"/>
      <c r="DHU2484" s="57"/>
      <c r="DHV2484" s="61"/>
      <c r="DHW2484" s="57"/>
      <c r="DHX2484" s="57"/>
      <c r="DHY2484" s="67"/>
      <c r="DHZ2484" s="60"/>
      <c r="DIA2484" s="60"/>
      <c r="DIB2484" s="60"/>
      <c r="DIC2484" s="57"/>
      <c r="DID2484" s="61"/>
      <c r="DIE2484" s="57"/>
      <c r="DIF2484" s="57"/>
      <c r="DIG2484" s="67"/>
      <c r="DIH2484" s="60"/>
      <c r="DII2484" s="60"/>
      <c r="DIJ2484" s="60"/>
      <c r="DIK2484" s="57"/>
      <c r="DIL2484" s="61"/>
      <c r="DIM2484" s="57"/>
      <c r="DIN2484" s="57"/>
      <c r="DIO2484" s="67"/>
      <c r="DIP2484" s="60"/>
      <c r="DIQ2484" s="60"/>
      <c r="DIR2484" s="60"/>
      <c r="DIS2484" s="57"/>
      <c r="DIT2484" s="61"/>
      <c r="DIU2484" s="57"/>
      <c r="DIV2484" s="57"/>
      <c r="DIW2484" s="67"/>
      <c r="DIX2484" s="60"/>
      <c r="DIY2484" s="60"/>
      <c r="DIZ2484" s="60"/>
      <c r="DJA2484" s="57"/>
      <c r="DJB2484" s="61"/>
      <c r="DJC2484" s="57"/>
      <c r="DJD2484" s="57"/>
      <c r="DJE2484" s="67"/>
      <c r="DJF2484" s="60"/>
      <c r="DJG2484" s="60"/>
      <c r="DJH2484" s="60"/>
      <c r="DJI2484" s="57"/>
      <c r="DJJ2484" s="61"/>
      <c r="DJK2484" s="57"/>
      <c r="DJL2484" s="57"/>
      <c r="DJM2484" s="67"/>
      <c r="DJN2484" s="60"/>
      <c r="DJO2484" s="60"/>
      <c r="DJP2484" s="60"/>
      <c r="DJQ2484" s="57"/>
      <c r="DJR2484" s="61"/>
      <c r="DJS2484" s="57"/>
      <c r="DJT2484" s="57"/>
      <c r="DJU2484" s="67"/>
      <c r="DJV2484" s="60"/>
      <c r="DJW2484" s="60"/>
      <c r="DJX2484" s="60"/>
      <c r="DJY2484" s="57"/>
      <c r="DJZ2484" s="61"/>
      <c r="DKA2484" s="57"/>
      <c r="DKB2484" s="57"/>
      <c r="DKC2484" s="67"/>
      <c r="DKD2484" s="60"/>
      <c r="DKE2484" s="60"/>
      <c r="DKF2484" s="60"/>
      <c r="DKG2484" s="57"/>
      <c r="DKH2484" s="61"/>
      <c r="DKI2484" s="57"/>
      <c r="DKJ2484" s="57"/>
      <c r="DKK2484" s="67"/>
      <c r="DKL2484" s="60"/>
      <c r="DKM2484" s="60"/>
      <c r="DKN2484" s="60"/>
      <c r="DKO2484" s="57"/>
      <c r="DKP2484" s="61"/>
      <c r="DKQ2484" s="57"/>
      <c r="DKR2484" s="57"/>
      <c r="DKS2484" s="67"/>
      <c r="DKT2484" s="60"/>
      <c r="DKU2484" s="60"/>
      <c r="DKV2484" s="60"/>
      <c r="DKW2484" s="57"/>
      <c r="DKX2484" s="61"/>
      <c r="DKY2484" s="57"/>
      <c r="DKZ2484" s="57"/>
      <c r="DLA2484" s="67"/>
      <c r="DLB2484" s="60"/>
      <c r="DLC2484" s="60"/>
      <c r="DLD2484" s="60"/>
      <c r="DLE2484" s="57"/>
      <c r="DLF2484" s="61"/>
      <c r="DLG2484" s="57"/>
      <c r="DLH2484" s="57"/>
      <c r="DLI2484" s="67"/>
      <c r="DLJ2484" s="60"/>
      <c r="DLK2484" s="60"/>
      <c r="DLL2484" s="60"/>
      <c r="DLM2484" s="57"/>
      <c r="DLN2484" s="61"/>
      <c r="DLO2484" s="57"/>
      <c r="DLP2484" s="57"/>
      <c r="DLQ2484" s="67"/>
      <c r="DLR2484" s="60"/>
      <c r="DLS2484" s="60"/>
      <c r="DLT2484" s="60"/>
      <c r="DLU2484" s="57"/>
      <c r="DLV2484" s="61"/>
      <c r="DLW2484" s="57"/>
      <c r="DLX2484" s="57"/>
      <c r="DLY2484" s="67"/>
      <c r="DLZ2484" s="60"/>
      <c r="DMA2484" s="60"/>
      <c r="DMB2484" s="60"/>
      <c r="DMC2484" s="57"/>
      <c r="DMD2484" s="61"/>
      <c r="DME2484" s="57"/>
      <c r="DMF2484" s="57"/>
      <c r="DMG2484" s="67"/>
      <c r="DMH2484" s="60"/>
      <c r="DMI2484" s="60"/>
      <c r="DMJ2484" s="60"/>
      <c r="DMK2484" s="57"/>
      <c r="DML2484" s="61"/>
      <c r="DMM2484" s="57"/>
      <c r="DMN2484" s="57"/>
      <c r="DMO2484" s="67"/>
      <c r="DMP2484" s="60"/>
      <c r="DMQ2484" s="60"/>
      <c r="DMR2484" s="60"/>
      <c r="DMS2484" s="57"/>
      <c r="DMT2484" s="61"/>
      <c r="DMU2484" s="57"/>
      <c r="DMV2484" s="57"/>
      <c r="DMW2484" s="67"/>
      <c r="DMX2484" s="60"/>
      <c r="DMY2484" s="60"/>
      <c r="DMZ2484" s="60"/>
      <c r="DNA2484" s="57"/>
      <c r="DNB2484" s="61"/>
      <c r="DNC2484" s="57"/>
      <c r="DND2484" s="57"/>
      <c r="DNE2484" s="67"/>
      <c r="DNF2484" s="60"/>
      <c r="DNG2484" s="60"/>
      <c r="DNH2484" s="60"/>
      <c r="DNI2484" s="57"/>
      <c r="DNJ2484" s="61"/>
      <c r="DNK2484" s="57"/>
      <c r="DNL2484" s="57"/>
      <c r="DNM2484" s="67"/>
      <c r="DNN2484" s="60"/>
      <c r="DNO2484" s="60"/>
      <c r="DNP2484" s="60"/>
      <c r="DNQ2484" s="57"/>
      <c r="DNR2484" s="61"/>
      <c r="DNS2484" s="57"/>
      <c r="DNT2484" s="57"/>
      <c r="DNU2484" s="67"/>
      <c r="DNV2484" s="60"/>
      <c r="DNW2484" s="60"/>
      <c r="DNX2484" s="60"/>
      <c r="DNY2484" s="57"/>
      <c r="DNZ2484" s="61"/>
      <c r="DOA2484" s="57"/>
      <c r="DOB2484" s="57"/>
      <c r="DOC2484" s="67"/>
      <c r="DOD2484" s="60"/>
      <c r="DOE2484" s="60"/>
      <c r="DOF2484" s="60"/>
      <c r="DOG2484" s="57"/>
      <c r="DOH2484" s="61"/>
      <c r="DOI2484" s="57"/>
      <c r="DOJ2484" s="57"/>
      <c r="DOK2484" s="67"/>
      <c r="DOL2484" s="60"/>
      <c r="DOM2484" s="60"/>
      <c r="DON2484" s="60"/>
      <c r="DOO2484" s="57"/>
      <c r="DOP2484" s="61"/>
      <c r="DOQ2484" s="57"/>
      <c r="DOR2484" s="57"/>
      <c r="DOS2484" s="67"/>
      <c r="DOT2484" s="60"/>
      <c r="DOU2484" s="60"/>
      <c r="DOV2484" s="60"/>
      <c r="DOW2484" s="57"/>
      <c r="DOX2484" s="61"/>
      <c r="DOY2484" s="57"/>
      <c r="DOZ2484" s="57"/>
      <c r="DPA2484" s="67"/>
      <c r="DPB2484" s="60"/>
      <c r="DPC2484" s="60"/>
      <c r="DPD2484" s="60"/>
      <c r="DPE2484" s="57"/>
      <c r="DPF2484" s="61"/>
      <c r="DPG2484" s="57"/>
      <c r="DPH2484" s="57"/>
      <c r="DPI2484" s="67"/>
      <c r="DPJ2484" s="60"/>
      <c r="DPK2484" s="60"/>
      <c r="DPL2484" s="60"/>
      <c r="DPM2484" s="57"/>
      <c r="DPN2484" s="61"/>
      <c r="DPO2484" s="57"/>
      <c r="DPP2484" s="57"/>
      <c r="DPQ2484" s="67"/>
      <c r="DPR2484" s="60"/>
      <c r="DPS2484" s="60"/>
      <c r="DPT2484" s="60"/>
      <c r="DPU2484" s="57"/>
      <c r="DPV2484" s="61"/>
      <c r="DPW2484" s="57"/>
      <c r="DPX2484" s="57"/>
      <c r="DPY2484" s="67"/>
      <c r="DPZ2484" s="60"/>
      <c r="DQA2484" s="60"/>
      <c r="DQB2484" s="60"/>
      <c r="DQC2484" s="57"/>
      <c r="DQD2484" s="61"/>
      <c r="DQE2484" s="57"/>
      <c r="DQF2484" s="57"/>
      <c r="DQG2484" s="67"/>
      <c r="DQH2484" s="60"/>
      <c r="DQI2484" s="60"/>
      <c r="DQJ2484" s="60"/>
      <c r="DQK2484" s="57"/>
      <c r="DQL2484" s="61"/>
      <c r="DQM2484" s="57"/>
      <c r="DQN2484" s="57"/>
      <c r="DQO2484" s="67"/>
      <c r="DQP2484" s="60"/>
      <c r="DQQ2484" s="60"/>
      <c r="DQR2484" s="60"/>
      <c r="DQS2484" s="57"/>
      <c r="DQT2484" s="61"/>
      <c r="DQU2484" s="57"/>
      <c r="DQV2484" s="57"/>
      <c r="DQW2484" s="67"/>
      <c r="DQX2484" s="60"/>
      <c r="DQY2484" s="60"/>
      <c r="DQZ2484" s="60"/>
      <c r="DRA2484" s="57"/>
      <c r="DRB2484" s="61"/>
      <c r="DRC2484" s="57"/>
      <c r="DRD2484" s="57"/>
      <c r="DRE2484" s="67"/>
      <c r="DRF2484" s="60"/>
      <c r="DRG2484" s="60"/>
      <c r="DRH2484" s="60"/>
      <c r="DRI2484" s="57"/>
      <c r="DRJ2484" s="61"/>
      <c r="DRK2484" s="57"/>
      <c r="DRL2484" s="57"/>
      <c r="DRM2484" s="67"/>
      <c r="DRN2484" s="60"/>
      <c r="DRO2484" s="60"/>
      <c r="DRP2484" s="60"/>
      <c r="DRQ2484" s="57"/>
      <c r="DRR2484" s="61"/>
      <c r="DRS2484" s="57"/>
      <c r="DRT2484" s="57"/>
      <c r="DRU2484" s="67"/>
      <c r="DRV2484" s="60"/>
      <c r="DRW2484" s="60"/>
      <c r="DRX2484" s="60"/>
      <c r="DRY2484" s="57"/>
      <c r="DRZ2484" s="61"/>
      <c r="DSA2484" s="57"/>
      <c r="DSB2484" s="57"/>
      <c r="DSC2484" s="67"/>
      <c r="DSD2484" s="60"/>
      <c r="DSE2484" s="60"/>
      <c r="DSF2484" s="60"/>
      <c r="DSG2484" s="57"/>
      <c r="DSH2484" s="61"/>
      <c r="DSI2484" s="57"/>
      <c r="DSJ2484" s="57"/>
      <c r="DSK2484" s="67"/>
      <c r="DSL2484" s="60"/>
      <c r="DSM2484" s="60"/>
      <c r="DSN2484" s="60"/>
      <c r="DSO2484" s="57"/>
      <c r="DSP2484" s="61"/>
      <c r="DSQ2484" s="57"/>
      <c r="DSR2484" s="57"/>
      <c r="DSS2484" s="67"/>
      <c r="DST2484" s="60"/>
      <c r="DSU2484" s="60"/>
      <c r="DSV2484" s="60"/>
      <c r="DSW2484" s="57"/>
      <c r="DSX2484" s="61"/>
      <c r="DSY2484" s="57"/>
      <c r="DSZ2484" s="57"/>
      <c r="DTA2484" s="67"/>
      <c r="DTB2484" s="60"/>
      <c r="DTC2484" s="60"/>
      <c r="DTD2484" s="60"/>
      <c r="DTE2484" s="57"/>
      <c r="DTF2484" s="61"/>
      <c r="DTG2484" s="57"/>
      <c r="DTH2484" s="57"/>
      <c r="DTI2484" s="67"/>
      <c r="DTJ2484" s="60"/>
      <c r="DTK2484" s="60"/>
      <c r="DTL2484" s="60"/>
      <c r="DTM2484" s="57"/>
      <c r="DTN2484" s="61"/>
      <c r="DTO2484" s="57"/>
      <c r="DTP2484" s="57"/>
      <c r="DTQ2484" s="67"/>
      <c r="DTR2484" s="60"/>
      <c r="DTS2484" s="60"/>
      <c r="DTT2484" s="60"/>
      <c r="DTU2484" s="57"/>
      <c r="DTV2484" s="61"/>
      <c r="DTW2484" s="57"/>
      <c r="DTX2484" s="57"/>
      <c r="DTY2484" s="67"/>
      <c r="DTZ2484" s="60"/>
      <c r="DUA2484" s="60"/>
      <c r="DUB2484" s="60"/>
      <c r="DUC2484" s="57"/>
      <c r="DUD2484" s="61"/>
      <c r="DUE2484" s="57"/>
      <c r="DUF2484" s="57"/>
      <c r="DUG2484" s="67"/>
      <c r="DUH2484" s="60"/>
      <c r="DUI2484" s="60"/>
      <c r="DUJ2484" s="60"/>
      <c r="DUK2484" s="57"/>
      <c r="DUL2484" s="61"/>
      <c r="DUM2484" s="57"/>
      <c r="DUN2484" s="57"/>
      <c r="DUO2484" s="67"/>
      <c r="DUP2484" s="60"/>
      <c r="DUQ2484" s="60"/>
      <c r="DUR2484" s="60"/>
      <c r="DUS2484" s="57"/>
      <c r="DUT2484" s="61"/>
      <c r="DUU2484" s="57"/>
      <c r="DUV2484" s="57"/>
      <c r="DUW2484" s="67"/>
      <c r="DUX2484" s="60"/>
      <c r="DUY2484" s="60"/>
      <c r="DUZ2484" s="60"/>
      <c r="DVA2484" s="57"/>
      <c r="DVB2484" s="61"/>
      <c r="DVC2484" s="57"/>
      <c r="DVD2484" s="57"/>
      <c r="DVE2484" s="67"/>
      <c r="DVF2484" s="60"/>
      <c r="DVG2484" s="60"/>
      <c r="DVH2484" s="60"/>
      <c r="DVI2484" s="57"/>
      <c r="DVJ2484" s="61"/>
      <c r="DVK2484" s="57"/>
      <c r="DVL2484" s="57"/>
      <c r="DVM2484" s="67"/>
      <c r="DVN2484" s="60"/>
      <c r="DVO2484" s="60"/>
      <c r="DVP2484" s="60"/>
      <c r="DVQ2484" s="57"/>
      <c r="DVR2484" s="61"/>
      <c r="DVS2484" s="57"/>
      <c r="DVT2484" s="57"/>
      <c r="DVU2484" s="67"/>
      <c r="DVV2484" s="60"/>
      <c r="DVW2484" s="60"/>
      <c r="DVX2484" s="60"/>
      <c r="DVY2484" s="57"/>
      <c r="DVZ2484" s="61"/>
      <c r="DWA2484" s="57"/>
      <c r="DWB2484" s="57"/>
      <c r="DWC2484" s="67"/>
      <c r="DWD2484" s="60"/>
      <c r="DWE2484" s="60"/>
      <c r="DWF2484" s="60"/>
      <c r="DWG2484" s="57"/>
      <c r="DWH2484" s="61"/>
      <c r="DWI2484" s="57"/>
      <c r="DWJ2484" s="57"/>
      <c r="DWK2484" s="67"/>
      <c r="DWL2484" s="60"/>
      <c r="DWM2484" s="60"/>
      <c r="DWN2484" s="60"/>
      <c r="DWO2484" s="57"/>
      <c r="DWP2484" s="61"/>
      <c r="DWQ2484" s="57"/>
      <c r="DWR2484" s="57"/>
      <c r="DWS2484" s="67"/>
      <c r="DWT2484" s="60"/>
      <c r="DWU2484" s="60"/>
      <c r="DWV2484" s="60"/>
      <c r="DWW2484" s="57"/>
      <c r="DWX2484" s="61"/>
      <c r="DWY2484" s="57"/>
      <c r="DWZ2484" s="57"/>
      <c r="DXA2484" s="67"/>
      <c r="DXB2484" s="60"/>
      <c r="DXC2484" s="60"/>
      <c r="DXD2484" s="60"/>
      <c r="DXE2484" s="57"/>
      <c r="DXF2484" s="61"/>
      <c r="DXG2484" s="57"/>
      <c r="DXH2484" s="57"/>
      <c r="DXI2484" s="67"/>
      <c r="DXJ2484" s="60"/>
      <c r="DXK2484" s="60"/>
      <c r="DXL2484" s="60"/>
      <c r="DXM2484" s="57"/>
      <c r="DXN2484" s="61"/>
      <c r="DXO2484" s="57"/>
      <c r="DXP2484" s="57"/>
      <c r="DXQ2484" s="67"/>
      <c r="DXR2484" s="60"/>
      <c r="DXS2484" s="60"/>
      <c r="DXT2484" s="60"/>
      <c r="DXU2484" s="57"/>
      <c r="DXV2484" s="61"/>
      <c r="DXW2484" s="57"/>
      <c r="DXX2484" s="57"/>
      <c r="DXY2484" s="67"/>
      <c r="DXZ2484" s="60"/>
      <c r="DYA2484" s="60"/>
      <c r="DYB2484" s="60"/>
      <c r="DYC2484" s="57"/>
      <c r="DYD2484" s="61"/>
      <c r="DYE2484" s="57"/>
      <c r="DYF2484" s="57"/>
      <c r="DYG2484" s="67"/>
      <c r="DYH2484" s="60"/>
      <c r="DYI2484" s="60"/>
      <c r="DYJ2484" s="60"/>
      <c r="DYK2484" s="57"/>
      <c r="DYL2484" s="61"/>
      <c r="DYM2484" s="57"/>
      <c r="DYN2484" s="57"/>
      <c r="DYO2484" s="67"/>
      <c r="DYP2484" s="60"/>
      <c r="DYQ2484" s="60"/>
      <c r="DYR2484" s="60"/>
      <c r="DYS2484" s="57"/>
      <c r="DYT2484" s="61"/>
      <c r="DYU2484" s="57"/>
      <c r="DYV2484" s="57"/>
      <c r="DYW2484" s="67"/>
      <c r="DYX2484" s="60"/>
      <c r="DYY2484" s="60"/>
      <c r="DYZ2484" s="60"/>
      <c r="DZA2484" s="57"/>
      <c r="DZB2484" s="61"/>
      <c r="DZC2484" s="57"/>
      <c r="DZD2484" s="57"/>
      <c r="DZE2484" s="67"/>
      <c r="DZF2484" s="60"/>
      <c r="DZG2484" s="60"/>
      <c r="DZH2484" s="60"/>
      <c r="DZI2484" s="57"/>
      <c r="DZJ2484" s="61"/>
      <c r="DZK2484" s="57"/>
      <c r="DZL2484" s="57"/>
      <c r="DZM2484" s="67"/>
      <c r="DZN2484" s="60"/>
      <c r="DZO2484" s="60"/>
      <c r="DZP2484" s="60"/>
      <c r="DZQ2484" s="57"/>
      <c r="DZR2484" s="61"/>
      <c r="DZS2484" s="57"/>
      <c r="DZT2484" s="57"/>
      <c r="DZU2484" s="67"/>
      <c r="DZV2484" s="60"/>
      <c r="DZW2484" s="60"/>
      <c r="DZX2484" s="60"/>
      <c r="DZY2484" s="57"/>
      <c r="DZZ2484" s="61"/>
      <c r="EAA2484" s="57"/>
      <c r="EAB2484" s="57"/>
      <c r="EAC2484" s="67"/>
      <c r="EAD2484" s="60"/>
      <c r="EAE2484" s="60"/>
      <c r="EAF2484" s="60"/>
      <c r="EAG2484" s="57"/>
      <c r="EAH2484" s="61"/>
      <c r="EAI2484" s="57"/>
      <c r="EAJ2484" s="57"/>
      <c r="EAK2484" s="67"/>
      <c r="EAL2484" s="60"/>
      <c r="EAM2484" s="60"/>
      <c r="EAN2484" s="60"/>
      <c r="EAO2484" s="57"/>
      <c r="EAP2484" s="61"/>
      <c r="EAQ2484" s="57"/>
      <c r="EAR2484" s="57"/>
      <c r="EAS2484" s="67"/>
      <c r="EAT2484" s="60"/>
      <c r="EAU2484" s="60"/>
      <c r="EAV2484" s="60"/>
      <c r="EAW2484" s="57"/>
      <c r="EAX2484" s="61"/>
      <c r="EAY2484" s="57"/>
      <c r="EAZ2484" s="57"/>
      <c r="EBA2484" s="67"/>
      <c r="EBB2484" s="60"/>
      <c r="EBC2484" s="60"/>
      <c r="EBD2484" s="60"/>
      <c r="EBE2484" s="57"/>
      <c r="EBF2484" s="61"/>
      <c r="EBG2484" s="57"/>
      <c r="EBH2484" s="57"/>
      <c r="EBI2484" s="67"/>
      <c r="EBJ2484" s="60"/>
      <c r="EBK2484" s="60"/>
      <c r="EBL2484" s="60"/>
      <c r="EBM2484" s="57"/>
      <c r="EBN2484" s="61"/>
      <c r="EBO2484" s="57"/>
      <c r="EBP2484" s="57"/>
      <c r="EBQ2484" s="67"/>
      <c r="EBR2484" s="60"/>
      <c r="EBS2484" s="60"/>
      <c r="EBT2484" s="60"/>
      <c r="EBU2484" s="57"/>
      <c r="EBV2484" s="61"/>
      <c r="EBW2484" s="57"/>
      <c r="EBX2484" s="57"/>
      <c r="EBY2484" s="67"/>
      <c r="EBZ2484" s="60"/>
      <c r="ECA2484" s="60"/>
      <c r="ECB2484" s="60"/>
      <c r="ECC2484" s="57"/>
      <c r="ECD2484" s="61"/>
      <c r="ECE2484" s="57"/>
      <c r="ECF2484" s="57"/>
      <c r="ECG2484" s="67"/>
      <c r="ECH2484" s="60"/>
      <c r="ECI2484" s="60"/>
      <c r="ECJ2484" s="60"/>
      <c r="ECK2484" s="57"/>
      <c r="ECL2484" s="61"/>
      <c r="ECM2484" s="57"/>
      <c r="ECN2484" s="57"/>
      <c r="ECO2484" s="67"/>
      <c r="ECP2484" s="60"/>
      <c r="ECQ2484" s="60"/>
      <c r="ECR2484" s="60"/>
      <c r="ECS2484" s="57"/>
      <c r="ECT2484" s="61"/>
      <c r="ECU2484" s="57"/>
      <c r="ECV2484" s="57"/>
      <c r="ECW2484" s="67"/>
      <c r="ECX2484" s="60"/>
      <c r="ECY2484" s="60"/>
      <c r="ECZ2484" s="60"/>
      <c r="EDA2484" s="57"/>
      <c r="EDB2484" s="61"/>
      <c r="EDC2484" s="57"/>
      <c r="EDD2484" s="57"/>
      <c r="EDE2484" s="67"/>
      <c r="EDF2484" s="60"/>
      <c r="EDG2484" s="60"/>
      <c r="EDH2484" s="60"/>
      <c r="EDI2484" s="57"/>
      <c r="EDJ2484" s="61"/>
      <c r="EDK2484" s="57"/>
      <c r="EDL2484" s="57"/>
      <c r="EDM2484" s="67"/>
      <c r="EDN2484" s="60"/>
      <c r="EDO2484" s="60"/>
      <c r="EDP2484" s="60"/>
      <c r="EDQ2484" s="57"/>
      <c r="EDR2484" s="61"/>
      <c r="EDS2484" s="57"/>
      <c r="EDT2484" s="57"/>
      <c r="EDU2484" s="67"/>
      <c r="EDV2484" s="60"/>
      <c r="EDW2484" s="60"/>
      <c r="EDX2484" s="60"/>
      <c r="EDY2484" s="57"/>
      <c r="EDZ2484" s="61"/>
      <c r="EEA2484" s="57"/>
      <c r="EEB2484" s="57"/>
      <c r="EEC2484" s="67"/>
      <c r="EED2484" s="60"/>
      <c r="EEE2484" s="60"/>
      <c r="EEF2484" s="60"/>
      <c r="EEG2484" s="57"/>
      <c r="EEH2484" s="61"/>
      <c r="EEI2484" s="57"/>
      <c r="EEJ2484" s="57"/>
      <c r="EEK2484" s="67"/>
      <c r="EEL2484" s="60"/>
      <c r="EEM2484" s="60"/>
      <c r="EEN2484" s="60"/>
      <c r="EEO2484" s="57"/>
      <c r="EEP2484" s="61"/>
      <c r="EEQ2484" s="57"/>
      <c r="EER2484" s="57"/>
      <c r="EES2484" s="67"/>
      <c r="EET2484" s="60"/>
      <c r="EEU2484" s="60"/>
      <c r="EEV2484" s="60"/>
      <c r="EEW2484" s="57"/>
      <c r="EEX2484" s="61"/>
      <c r="EEY2484" s="57"/>
      <c r="EEZ2484" s="57"/>
      <c r="EFA2484" s="67"/>
      <c r="EFB2484" s="60"/>
      <c r="EFC2484" s="60"/>
      <c r="EFD2484" s="60"/>
      <c r="EFE2484" s="57"/>
      <c r="EFF2484" s="61"/>
      <c r="EFG2484" s="57"/>
      <c r="EFH2484" s="57"/>
      <c r="EFI2484" s="67"/>
      <c r="EFJ2484" s="60"/>
      <c r="EFK2484" s="60"/>
      <c r="EFL2484" s="60"/>
      <c r="EFM2484" s="57"/>
      <c r="EFN2484" s="61"/>
      <c r="EFO2484" s="57"/>
      <c r="EFP2484" s="57"/>
      <c r="EFQ2484" s="67"/>
      <c r="EFR2484" s="60"/>
      <c r="EFS2484" s="60"/>
      <c r="EFT2484" s="60"/>
      <c r="EFU2484" s="57"/>
      <c r="EFV2484" s="61"/>
      <c r="EFW2484" s="57"/>
      <c r="EFX2484" s="57"/>
      <c r="EFY2484" s="67"/>
      <c r="EFZ2484" s="60"/>
      <c r="EGA2484" s="60"/>
      <c r="EGB2484" s="60"/>
      <c r="EGC2484" s="57"/>
      <c r="EGD2484" s="61"/>
      <c r="EGE2484" s="57"/>
      <c r="EGF2484" s="57"/>
      <c r="EGG2484" s="67"/>
      <c r="EGH2484" s="60"/>
      <c r="EGI2484" s="60"/>
      <c r="EGJ2484" s="60"/>
      <c r="EGK2484" s="57"/>
      <c r="EGL2484" s="61"/>
      <c r="EGM2484" s="57"/>
      <c r="EGN2484" s="57"/>
      <c r="EGO2484" s="67"/>
      <c r="EGP2484" s="60"/>
      <c r="EGQ2484" s="60"/>
      <c r="EGR2484" s="60"/>
      <c r="EGS2484" s="57"/>
      <c r="EGT2484" s="61"/>
      <c r="EGU2484" s="57"/>
      <c r="EGV2484" s="57"/>
      <c r="EGW2484" s="67"/>
      <c r="EGX2484" s="60"/>
      <c r="EGY2484" s="60"/>
      <c r="EGZ2484" s="60"/>
      <c r="EHA2484" s="57"/>
      <c r="EHB2484" s="61"/>
      <c r="EHC2484" s="57"/>
      <c r="EHD2484" s="57"/>
      <c r="EHE2484" s="67"/>
      <c r="EHF2484" s="60"/>
      <c r="EHG2484" s="60"/>
      <c r="EHH2484" s="60"/>
      <c r="EHI2484" s="57"/>
      <c r="EHJ2484" s="61"/>
      <c r="EHK2484" s="57"/>
      <c r="EHL2484" s="57"/>
      <c r="EHM2484" s="67"/>
      <c r="EHN2484" s="60"/>
      <c r="EHO2484" s="60"/>
      <c r="EHP2484" s="60"/>
      <c r="EHQ2484" s="57"/>
      <c r="EHR2484" s="61"/>
      <c r="EHS2484" s="57"/>
      <c r="EHT2484" s="57"/>
      <c r="EHU2484" s="67"/>
      <c r="EHV2484" s="60"/>
      <c r="EHW2484" s="60"/>
      <c r="EHX2484" s="60"/>
      <c r="EHY2484" s="57"/>
      <c r="EHZ2484" s="61"/>
      <c r="EIA2484" s="57"/>
      <c r="EIB2484" s="57"/>
      <c r="EIC2484" s="67"/>
      <c r="EID2484" s="60"/>
      <c r="EIE2484" s="60"/>
      <c r="EIF2484" s="60"/>
      <c r="EIG2484" s="57"/>
      <c r="EIH2484" s="61"/>
      <c r="EII2484" s="57"/>
      <c r="EIJ2484" s="57"/>
      <c r="EIK2484" s="67"/>
      <c r="EIL2484" s="60"/>
      <c r="EIM2484" s="60"/>
      <c r="EIN2484" s="60"/>
      <c r="EIO2484" s="57"/>
      <c r="EIP2484" s="61"/>
      <c r="EIQ2484" s="57"/>
      <c r="EIR2484" s="57"/>
      <c r="EIS2484" s="67"/>
      <c r="EIT2484" s="60"/>
      <c r="EIU2484" s="60"/>
      <c r="EIV2484" s="60"/>
      <c r="EIW2484" s="57"/>
      <c r="EIX2484" s="61"/>
      <c r="EIY2484" s="57"/>
      <c r="EIZ2484" s="57"/>
      <c r="EJA2484" s="67"/>
      <c r="EJB2484" s="60"/>
      <c r="EJC2484" s="60"/>
      <c r="EJD2484" s="60"/>
      <c r="EJE2484" s="57"/>
      <c r="EJF2484" s="61"/>
      <c r="EJG2484" s="57"/>
      <c r="EJH2484" s="57"/>
      <c r="EJI2484" s="67"/>
      <c r="EJJ2484" s="60"/>
      <c r="EJK2484" s="60"/>
      <c r="EJL2484" s="60"/>
      <c r="EJM2484" s="57"/>
      <c r="EJN2484" s="61"/>
      <c r="EJO2484" s="57"/>
      <c r="EJP2484" s="57"/>
      <c r="EJQ2484" s="67"/>
      <c r="EJR2484" s="60"/>
      <c r="EJS2484" s="60"/>
      <c r="EJT2484" s="60"/>
      <c r="EJU2484" s="57"/>
      <c r="EJV2484" s="61"/>
      <c r="EJW2484" s="57"/>
      <c r="EJX2484" s="57"/>
      <c r="EJY2484" s="67"/>
      <c r="EJZ2484" s="60"/>
      <c r="EKA2484" s="60"/>
      <c r="EKB2484" s="60"/>
      <c r="EKC2484" s="57"/>
      <c r="EKD2484" s="61"/>
      <c r="EKE2484" s="57"/>
      <c r="EKF2484" s="57"/>
      <c r="EKG2484" s="67"/>
      <c r="EKH2484" s="60"/>
      <c r="EKI2484" s="60"/>
      <c r="EKJ2484" s="60"/>
      <c r="EKK2484" s="57"/>
      <c r="EKL2484" s="61"/>
      <c r="EKM2484" s="57"/>
      <c r="EKN2484" s="57"/>
      <c r="EKO2484" s="67"/>
      <c r="EKP2484" s="60"/>
      <c r="EKQ2484" s="60"/>
      <c r="EKR2484" s="60"/>
      <c r="EKS2484" s="57"/>
      <c r="EKT2484" s="61"/>
      <c r="EKU2484" s="57"/>
      <c r="EKV2484" s="57"/>
      <c r="EKW2484" s="67"/>
      <c r="EKX2484" s="60"/>
      <c r="EKY2484" s="60"/>
      <c r="EKZ2484" s="60"/>
      <c r="ELA2484" s="57"/>
      <c r="ELB2484" s="61"/>
      <c r="ELC2484" s="57"/>
      <c r="ELD2484" s="57"/>
      <c r="ELE2484" s="67"/>
      <c r="ELF2484" s="60"/>
      <c r="ELG2484" s="60"/>
      <c r="ELH2484" s="60"/>
      <c r="ELI2484" s="57"/>
      <c r="ELJ2484" s="61"/>
      <c r="ELK2484" s="57"/>
      <c r="ELL2484" s="57"/>
      <c r="ELM2484" s="67"/>
      <c r="ELN2484" s="60"/>
      <c r="ELO2484" s="60"/>
      <c r="ELP2484" s="60"/>
      <c r="ELQ2484" s="57"/>
      <c r="ELR2484" s="61"/>
      <c r="ELS2484" s="57"/>
      <c r="ELT2484" s="57"/>
      <c r="ELU2484" s="67"/>
      <c r="ELV2484" s="60"/>
      <c r="ELW2484" s="60"/>
      <c r="ELX2484" s="60"/>
      <c r="ELY2484" s="57"/>
      <c r="ELZ2484" s="61"/>
      <c r="EMA2484" s="57"/>
      <c r="EMB2484" s="57"/>
      <c r="EMC2484" s="67"/>
      <c r="EMD2484" s="60"/>
      <c r="EME2484" s="60"/>
      <c r="EMF2484" s="60"/>
      <c r="EMG2484" s="57"/>
      <c r="EMH2484" s="61"/>
      <c r="EMI2484" s="57"/>
      <c r="EMJ2484" s="57"/>
      <c r="EMK2484" s="67"/>
      <c r="EML2484" s="60"/>
      <c r="EMM2484" s="60"/>
      <c r="EMN2484" s="60"/>
      <c r="EMO2484" s="57"/>
      <c r="EMP2484" s="61"/>
      <c r="EMQ2484" s="57"/>
      <c r="EMR2484" s="57"/>
      <c r="EMS2484" s="67"/>
      <c r="EMT2484" s="60"/>
      <c r="EMU2484" s="60"/>
      <c r="EMV2484" s="60"/>
      <c r="EMW2484" s="57"/>
      <c r="EMX2484" s="61"/>
      <c r="EMY2484" s="57"/>
      <c r="EMZ2484" s="57"/>
      <c r="ENA2484" s="67"/>
      <c r="ENB2484" s="60"/>
      <c r="ENC2484" s="60"/>
      <c r="END2484" s="60"/>
      <c r="ENE2484" s="57"/>
      <c r="ENF2484" s="61"/>
      <c r="ENG2484" s="57"/>
      <c r="ENH2484" s="57"/>
      <c r="ENI2484" s="67"/>
      <c r="ENJ2484" s="60"/>
      <c r="ENK2484" s="60"/>
      <c r="ENL2484" s="60"/>
      <c r="ENM2484" s="57"/>
      <c r="ENN2484" s="61"/>
      <c r="ENO2484" s="57"/>
      <c r="ENP2484" s="57"/>
      <c r="ENQ2484" s="67"/>
      <c r="ENR2484" s="60"/>
      <c r="ENS2484" s="60"/>
      <c r="ENT2484" s="60"/>
      <c r="ENU2484" s="57"/>
      <c r="ENV2484" s="61"/>
      <c r="ENW2484" s="57"/>
      <c r="ENX2484" s="57"/>
      <c r="ENY2484" s="67"/>
      <c r="ENZ2484" s="60"/>
      <c r="EOA2484" s="60"/>
      <c r="EOB2484" s="60"/>
      <c r="EOC2484" s="57"/>
      <c r="EOD2484" s="61"/>
      <c r="EOE2484" s="57"/>
      <c r="EOF2484" s="57"/>
      <c r="EOG2484" s="67"/>
      <c r="EOH2484" s="60"/>
      <c r="EOI2484" s="60"/>
      <c r="EOJ2484" s="60"/>
      <c r="EOK2484" s="57"/>
      <c r="EOL2484" s="61"/>
      <c r="EOM2484" s="57"/>
      <c r="EON2484" s="57"/>
      <c r="EOO2484" s="67"/>
      <c r="EOP2484" s="60"/>
      <c r="EOQ2484" s="60"/>
      <c r="EOR2484" s="60"/>
      <c r="EOS2484" s="57"/>
      <c r="EOT2484" s="61"/>
      <c r="EOU2484" s="57"/>
      <c r="EOV2484" s="57"/>
      <c r="EOW2484" s="67"/>
      <c r="EOX2484" s="60"/>
      <c r="EOY2484" s="60"/>
      <c r="EOZ2484" s="60"/>
      <c r="EPA2484" s="57"/>
      <c r="EPB2484" s="61"/>
      <c r="EPC2484" s="57"/>
      <c r="EPD2484" s="57"/>
      <c r="EPE2484" s="67"/>
      <c r="EPF2484" s="60"/>
      <c r="EPG2484" s="60"/>
      <c r="EPH2484" s="60"/>
      <c r="EPI2484" s="57"/>
      <c r="EPJ2484" s="61"/>
      <c r="EPK2484" s="57"/>
      <c r="EPL2484" s="57"/>
      <c r="EPM2484" s="67"/>
      <c r="EPN2484" s="60"/>
      <c r="EPO2484" s="60"/>
      <c r="EPP2484" s="60"/>
      <c r="EPQ2484" s="57"/>
      <c r="EPR2484" s="61"/>
      <c r="EPS2484" s="57"/>
      <c r="EPT2484" s="57"/>
      <c r="EPU2484" s="67"/>
      <c r="EPV2484" s="60"/>
      <c r="EPW2484" s="60"/>
      <c r="EPX2484" s="60"/>
      <c r="EPY2484" s="57"/>
      <c r="EPZ2484" s="61"/>
      <c r="EQA2484" s="57"/>
      <c r="EQB2484" s="57"/>
      <c r="EQC2484" s="67"/>
      <c r="EQD2484" s="60"/>
      <c r="EQE2484" s="60"/>
      <c r="EQF2484" s="60"/>
      <c r="EQG2484" s="57"/>
      <c r="EQH2484" s="61"/>
      <c r="EQI2484" s="57"/>
      <c r="EQJ2484" s="57"/>
      <c r="EQK2484" s="67"/>
      <c r="EQL2484" s="60"/>
      <c r="EQM2484" s="60"/>
      <c r="EQN2484" s="60"/>
      <c r="EQO2484" s="57"/>
      <c r="EQP2484" s="61"/>
      <c r="EQQ2484" s="57"/>
      <c r="EQR2484" s="57"/>
      <c r="EQS2484" s="67"/>
      <c r="EQT2484" s="60"/>
      <c r="EQU2484" s="60"/>
      <c r="EQV2484" s="60"/>
      <c r="EQW2484" s="57"/>
      <c r="EQX2484" s="61"/>
      <c r="EQY2484" s="57"/>
      <c r="EQZ2484" s="57"/>
      <c r="ERA2484" s="67"/>
      <c r="ERB2484" s="60"/>
      <c r="ERC2484" s="60"/>
      <c r="ERD2484" s="60"/>
      <c r="ERE2484" s="57"/>
      <c r="ERF2484" s="61"/>
      <c r="ERG2484" s="57"/>
      <c r="ERH2484" s="57"/>
      <c r="ERI2484" s="67"/>
      <c r="ERJ2484" s="60"/>
      <c r="ERK2484" s="60"/>
      <c r="ERL2484" s="60"/>
      <c r="ERM2484" s="57"/>
      <c r="ERN2484" s="61"/>
      <c r="ERO2484" s="57"/>
      <c r="ERP2484" s="57"/>
      <c r="ERQ2484" s="67"/>
      <c r="ERR2484" s="60"/>
      <c r="ERS2484" s="60"/>
      <c r="ERT2484" s="60"/>
      <c r="ERU2484" s="57"/>
      <c r="ERV2484" s="61"/>
      <c r="ERW2484" s="57"/>
      <c r="ERX2484" s="57"/>
      <c r="ERY2484" s="67"/>
      <c r="ERZ2484" s="60"/>
      <c r="ESA2484" s="60"/>
      <c r="ESB2484" s="60"/>
      <c r="ESC2484" s="57"/>
      <c r="ESD2484" s="61"/>
      <c r="ESE2484" s="57"/>
      <c r="ESF2484" s="57"/>
      <c r="ESG2484" s="67"/>
      <c r="ESH2484" s="60"/>
      <c r="ESI2484" s="60"/>
      <c r="ESJ2484" s="60"/>
      <c r="ESK2484" s="57"/>
      <c r="ESL2484" s="61"/>
      <c r="ESM2484" s="57"/>
      <c r="ESN2484" s="57"/>
      <c r="ESO2484" s="67"/>
      <c r="ESP2484" s="60"/>
      <c r="ESQ2484" s="60"/>
      <c r="ESR2484" s="60"/>
      <c r="ESS2484" s="57"/>
      <c r="EST2484" s="61"/>
      <c r="ESU2484" s="57"/>
      <c r="ESV2484" s="57"/>
      <c r="ESW2484" s="67"/>
      <c r="ESX2484" s="60"/>
      <c r="ESY2484" s="60"/>
      <c r="ESZ2484" s="60"/>
      <c r="ETA2484" s="57"/>
      <c r="ETB2484" s="61"/>
      <c r="ETC2484" s="57"/>
      <c r="ETD2484" s="57"/>
      <c r="ETE2484" s="67"/>
      <c r="ETF2484" s="60"/>
      <c r="ETG2484" s="60"/>
      <c r="ETH2484" s="60"/>
      <c r="ETI2484" s="57"/>
      <c r="ETJ2484" s="61"/>
      <c r="ETK2484" s="57"/>
      <c r="ETL2484" s="57"/>
      <c r="ETM2484" s="67"/>
      <c r="ETN2484" s="60"/>
      <c r="ETO2484" s="60"/>
      <c r="ETP2484" s="60"/>
      <c r="ETQ2484" s="57"/>
      <c r="ETR2484" s="61"/>
      <c r="ETS2484" s="57"/>
      <c r="ETT2484" s="57"/>
      <c r="ETU2484" s="67"/>
      <c r="ETV2484" s="60"/>
      <c r="ETW2484" s="60"/>
      <c r="ETX2484" s="60"/>
      <c r="ETY2484" s="57"/>
      <c r="ETZ2484" s="61"/>
      <c r="EUA2484" s="57"/>
      <c r="EUB2484" s="57"/>
      <c r="EUC2484" s="67"/>
      <c r="EUD2484" s="60"/>
      <c r="EUE2484" s="60"/>
      <c r="EUF2484" s="60"/>
      <c r="EUG2484" s="57"/>
      <c r="EUH2484" s="61"/>
      <c r="EUI2484" s="57"/>
      <c r="EUJ2484" s="57"/>
      <c r="EUK2484" s="67"/>
      <c r="EUL2484" s="60"/>
      <c r="EUM2484" s="60"/>
      <c r="EUN2484" s="60"/>
      <c r="EUO2484" s="57"/>
      <c r="EUP2484" s="61"/>
      <c r="EUQ2484" s="57"/>
      <c r="EUR2484" s="57"/>
      <c r="EUS2484" s="67"/>
      <c r="EUT2484" s="60"/>
      <c r="EUU2484" s="60"/>
      <c r="EUV2484" s="60"/>
      <c r="EUW2484" s="57"/>
      <c r="EUX2484" s="61"/>
      <c r="EUY2484" s="57"/>
      <c r="EUZ2484" s="57"/>
      <c r="EVA2484" s="67"/>
      <c r="EVB2484" s="60"/>
      <c r="EVC2484" s="60"/>
      <c r="EVD2484" s="60"/>
      <c r="EVE2484" s="57"/>
      <c r="EVF2484" s="61"/>
      <c r="EVG2484" s="57"/>
      <c r="EVH2484" s="57"/>
      <c r="EVI2484" s="67"/>
      <c r="EVJ2484" s="60"/>
      <c r="EVK2484" s="60"/>
      <c r="EVL2484" s="60"/>
      <c r="EVM2484" s="57"/>
      <c r="EVN2484" s="61"/>
      <c r="EVO2484" s="57"/>
      <c r="EVP2484" s="57"/>
      <c r="EVQ2484" s="67"/>
      <c r="EVR2484" s="60"/>
      <c r="EVS2484" s="60"/>
      <c r="EVT2484" s="60"/>
      <c r="EVU2484" s="57"/>
      <c r="EVV2484" s="61"/>
      <c r="EVW2484" s="57"/>
      <c r="EVX2484" s="57"/>
      <c r="EVY2484" s="67"/>
      <c r="EVZ2484" s="60"/>
      <c r="EWA2484" s="60"/>
      <c r="EWB2484" s="60"/>
      <c r="EWC2484" s="57"/>
      <c r="EWD2484" s="61"/>
      <c r="EWE2484" s="57"/>
      <c r="EWF2484" s="57"/>
      <c r="EWG2484" s="67"/>
      <c r="EWH2484" s="60"/>
      <c r="EWI2484" s="60"/>
      <c r="EWJ2484" s="60"/>
      <c r="EWK2484" s="57"/>
      <c r="EWL2484" s="61"/>
      <c r="EWM2484" s="57"/>
      <c r="EWN2484" s="57"/>
      <c r="EWO2484" s="67"/>
      <c r="EWP2484" s="60"/>
      <c r="EWQ2484" s="60"/>
      <c r="EWR2484" s="60"/>
      <c r="EWS2484" s="57"/>
      <c r="EWT2484" s="61"/>
      <c r="EWU2484" s="57"/>
      <c r="EWV2484" s="57"/>
      <c r="EWW2484" s="67"/>
      <c r="EWX2484" s="60"/>
      <c r="EWY2484" s="60"/>
      <c r="EWZ2484" s="60"/>
      <c r="EXA2484" s="57"/>
      <c r="EXB2484" s="61"/>
      <c r="EXC2484" s="57"/>
      <c r="EXD2484" s="57"/>
      <c r="EXE2484" s="67"/>
      <c r="EXF2484" s="60"/>
      <c r="EXG2484" s="60"/>
      <c r="EXH2484" s="60"/>
      <c r="EXI2484" s="57"/>
      <c r="EXJ2484" s="61"/>
      <c r="EXK2484" s="57"/>
      <c r="EXL2484" s="57"/>
      <c r="EXM2484" s="67"/>
      <c r="EXN2484" s="60"/>
      <c r="EXO2484" s="60"/>
      <c r="EXP2484" s="60"/>
      <c r="EXQ2484" s="57"/>
      <c r="EXR2484" s="61"/>
      <c r="EXS2484" s="57"/>
      <c r="EXT2484" s="57"/>
      <c r="EXU2484" s="67"/>
      <c r="EXV2484" s="60"/>
      <c r="EXW2484" s="60"/>
      <c r="EXX2484" s="60"/>
      <c r="EXY2484" s="57"/>
      <c r="EXZ2484" s="61"/>
      <c r="EYA2484" s="57"/>
      <c r="EYB2484" s="57"/>
      <c r="EYC2484" s="67"/>
      <c r="EYD2484" s="60"/>
      <c r="EYE2484" s="60"/>
      <c r="EYF2484" s="60"/>
      <c r="EYG2484" s="57"/>
      <c r="EYH2484" s="61"/>
      <c r="EYI2484" s="57"/>
      <c r="EYJ2484" s="57"/>
      <c r="EYK2484" s="67"/>
      <c r="EYL2484" s="60"/>
      <c r="EYM2484" s="60"/>
      <c r="EYN2484" s="60"/>
      <c r="EYO2484" s="57"/>
      <c r="EYP2484" s="61"/>
      <c r="EYQ2484" s="57"/>
      <c r="EYR2484" s="57"/>
      <c r="EYS2484" s="67"/>
      <c r="EYT2484" s="60"/>
      <c r="EYU2484" s="60"/>
      <c r="EYV2484" s="60"/>
      <c r="EYW2484" s="57"/>
      <c r="EYX2484" s="61"/>
      <c r="EYY2484" s="57"/>
      <c r="EYZ2484" s="57"/>
      <c r="EZA2484" s="67"/>
      <c r="EZB2484" s="60"/>
      <c r="EZC2484" s="60"/>
      <c r="EZD2484" s="60"/>
      <c r="EZE2484" s="57"/>
      <c r="EZF2484" s="61"/>
      <c r="EZG2484" s="57"/>
      <c r="EZH2484" s="57"/>
      <c r="EZI2484" s="67"/>
      <c r="EZJ2484" s="60"/>
      <c r="EZK2484" s="60"/>
      <c r="EZL2484" s="60"/>
      <c r="EZM2484" s="57"/>
      <c r="EZN2484" s="61"/>
      <c r="EZO2484" s="57"/>
      <c r="EZP2484" s="57"/>
      <c r="EZQ2484" s="67"/>
      <c r="EZR2484" s="60"/>
      <c r="EZS2484" s="60"/>
      <c r="EZT2484" s="60"/>
      <c r="EZU2484" s="57"/>
      <c r="EZV2484" s="61"/>
      <c r="EZW2484" s="57"/>
      <c r="EZX2484" s="57"/>
      <c r="EZY2484" s="67"/>
      <c r="EZZ2484" s="60"/>
      <c r="FAA2484" s="60"/>
      <c r="FAB2484" s="60"/>
      <c r="FAC2484" s="57"/>
      <c r="FAD2484" s="61"/>
      <c r="FAE2484" s="57"/>
      <c r="FAF2484" s="57"/>
      <c r="FAG2484" s="67"/>
      <c r="FAH2484" s="60"/>
      <c r="FAI2484" s="60"/>
      <c r="FAJ2484" s="60"/>
      <c r="FAK2484" s="57"/>
      <c r="FAL2484" s="61"/>
      <c r="FAM2484" s="57"/>
      <c r="FAN2484" s="57"/>
      <c r="FAO2484" s="67"/>
      <c r="FAP2484" s="60"/>
      <c r="FAQ2484" s="60"/>
      <c r="FAR2484" s="60"/>
      <c r="FAS2484" s="57"/>
      <c r="FAT2484" s="61"/>
      <c r="FAU2484" s="57"/>
      <c r="FAV2484" s="57"/>
      <c r="FAW2484" s="67"/>
      <c r="FAX2484" s="60"/>
      <c r="FAY2484" s="60"/>
      <c r="FAZ2484" s="60"/>
      <c r="FBA2484" s="57"/>
      <c r="FBB2484" s="61"/>
      <c r="FBC2484" s="57"/>
      <c r="FBD2484" s="57"/>
      <c r="FBE2484" s="67"/>
      <c r="FBF2484" s="60"/>
      <c r="FBG2484" s="60"/>
      <c r="FBH2484" s="60"/>
      <c r="FBI2484" s="57"/>
      <c r="FBJ2484" s="61"/>
      <c r="FBK2484" s="57"/>
      <c r="FBL2484" s="57"/>
      <c r="FBM2484" s="67"/>
      <c r="FBN2484" s="60"/>
      <c r="FBO2484" s="60"/>
      <c r="FBP2484" s="60"/>
      <c r="FBQ2484" s="57"/>
      <c r="FBR2484" s="61"/>
      <c r="FBS2484" s="57"/>
      <c r="FBT2484" s="57"/>
      <c r="FBU2484" s="67"/>
      <c r="FBV2484" s="60"/>
      <c r="FBW2484" s="60"/>
      <c r="FBX2484" s="60"/>
      <c r="FBY2484" s="57"/>
      <c r="FBZ2484" s="61"/>
      <c r="FCA2484" s="57"/>
      <c r="FCB2484" s="57"/>
      <c r="FCC2484" s="67"/>
      <c r="FCD2484" s="60"/>
      <c r="FCE2484" s="60"/>
      <c r="FCF2484" s="60"/>
      <c r="FCG2484" s="57"/>
      <c r="FCH2484" s="61"/>
      <c r="FCI2484" s="57"/>
      <c r="FCJ2484" s="57"/>
      <c r="FCK2484" s="67"/>
      <c r="FCL2484" s="60"/>
      <c r="FCM2484" s="60"/>
      <c r="FCN2484" s="60"/>
      <c r="FCO2484" s="57"/>
      <c r="FCP2484" s="61"/>
      <c r="FCQ2484" s="57"/>
      <c r="FCR2484" s="57"/>
      <c r="FCS2484" s="67"/>
      <c r="FCT2484" s="60"/>
      <c r="FCU2484" s="60"/>
      <c r="FCV2484" s="60"/>
      <c r="FCW2484" s="57"/>
      <c r="FCX2484" s="61"/>
      <c r="FCY2484" s="57"/>
      <c r="FCZ2484" s="57"/>
      <c r="FDA2484" s="67"/>
      <c r="FDB2484" s="60"/>
      <c r="FDC2484" s="60"/>
      <c r="FDD2484" s="60"/>
      <c r="FDE2484" s="57"/>
      <c r="FDF2484" s="61"/>
      <c r="FDG2484" s="57"/>
      <c r="FDH2484" s="57"/>
      <c r="FDI2484" s="67"/>
      <c r="FDJ2484" s="60"/>
      <c r="FDK2484" s="60"/>
      <c r="FDL2484" s="60"/>
      <c r="FDM2484" s="57"/>
      <c r="FDN2484" s="61"/>
      <c r="FDO2484" s="57"/>
      <c r="FDP2484" s="57"/>
      <c r="FDQ2484" s="67"/>
      <c r="FDR2484" s="60"/>
      <c r="FDS2484" s="60"/>
      <c r="FDT2484" s="60"/>
      <c r="FDU2484" s="57"/>
      <c r="FDV2484" s="61"/>
      <c r="FDW2484" s="57"/>
      <c r="FDX2484" s="57"/>
      <c r="FDY2484" s="67"/>
      <c r="FDZ2484" s="60"/>
      <c r="FEA2484" s="60"/>
      <c r="FEB2484" s="60"/>
      <c r="FEC2484" s="57"/>
      <c r="FED2484" s="61"/>
      <c r="FEE2484" s="57"/>
      <c r="FEF2484" s="57"/>
      <c r="FEG2484" s="67"/>
      <c r="FEH2484" s="60"/>
      <c r="FEI2484" s="60"/>
      <c r="FEJ2484" s="60"/>
      <c r="FEK2484" s="57"/>
      <c r="FEL2484" s="61"/>
      <c r="FEM2484" s="57"/>
      <c r="FEN2484" s="57"/>
      <c r="FEO2484" s="67"/>
      <c r="FEP2484" s="60"/>
      <c r="FEQ2484" s="60"/>
      <c r="FER2484" s="60"/>
      <c r="FES2484" s="57"/>
      <c r="FET2484" s="61"/>
      <c r="FEU2484" s="57"/>
      <c r="FEV2484" s="57"/>
      <c r="FEW2484" s="67"/>
      <c r="FEX2484" s="60"/>
      <c r="FEY2484" s="60"/>
      <c r="FEZ2484" s="60"/>
      <c r="FFA2484" s="57"/>
      <c r="FFB2484" s="61"/>
      <c r="FFC2484" s="57"/>
      <c r="FFD2484" s="57"/>
      <c r="FFE2484" s="67"/>
      <c r="FFF2484" s="60"/>
      <c r="FFG2484" s="60"/>
      <c r="FFH2484" s="60"/>
      <c r="FFI2484" s="57"/>
      <c r="FFJ2484" s="61"/>
      <c r="FFK2484" s="57"/>
      <c r="FFL2484" s="57"/>
      <c r="FFM2484" s="67"/>
      <c r="FFN2484" s="60"/>
      <c r="FFO2484" s="60"/>
      <c r="FFP2484" s="60"/>
      <c r="FFQ2484" s="57"/>
      <c r="FFR2484" s="61"/>
      <c r="FFS2484" s="57"/>
      <c r="FFT2484" s="57"/>
      <c r="FFU2484" s="67"/>
      <c r="FFV2484" s="60"/>
      <c r="FFW2484" s="60"/>
      <c r="FFX2484" s="60"/>
      <c r="FFY2484" s="57"/>
      <c r="FFZ2484" s="61"/>
      <c r="FGA2484" s="57"/>
      <c r="FGB2484" s="57"/>
      <c r="FGC2484" s="67"/>
      <c r="FGD2484" s="60"/>
      <c r="FGE2484" s="60"/>
      <c r="FGF2484" s="60"/>
      <c r="FGG2484" s="57"/>
      <c r="FGH2484" s="61"/>
      <c r="FGI2484" s="57"/>
      <c r="FGJ2484" s="57"/>
      <c r="FGK2484" s="67"/>
      <c r="FGL2484" s="60"/>
      <c r="FGM2484" s="60"/>
      <c r="FGN2484" s="60"/>
      <c r="FGO2484" s="57"/>
      <c r="FGP2484" s="61"/>
      <c r="FGQ2484" s="57"/>
      <c r="FGR2484" s="57"/>
      <c r="FGS2484" s="67"/>
      <c r="FGT2484" s="60"/>
      <c r="FGU2484" s="60"/>
      <c r="FGV2484" s="60"/>
      <c r="FGW2484" s="57"/>
      <c r="FGX2484" s="61"/>
      <c r="FGY2484" s="57"/>
      <c r="FGZ2484" s="57"/>
      <c r="FHA2484" s="67"/>
      <c r="FHB2484" s="60"/>
      <c r="FHC2484" s="60"/>
      <c r="FHD2484" s="60"/>
      <c r="FHE2484" s="57"/>
      <c r="FHF2484" s="61"/>
      <c r="FHG2484" s="57"/>
      <c r="FHH2484" s="57"/>
      <c r="FHI2484" s="67"/>
      <c r="FHJ2484" s="60"/>
      <c r="FHK2484" s="60"/>
      <c r="FHL2484" s="60"/>
      <c r="FHM2484" s="57"/>
      <c r="FHN2484" s="61"/>
      <c r="FHO2484" s="57"/>
      <c r="FHP2484" s="57"/>
      <c r="FHQ2484" s="67"/>
      <c r="FHR2484" s="60"/>
      <c r="FHS2484" s="60"/>
      <c r="FHT2484" s="60"/>
      <c r="FHU2484" s="57"/>
      <c r="FHV2484" s="61"/>
      <c r="FHW2484" s="57"/>
      <c r="FHX2484" s="57"/>
      <c r="FHY2484" s="67"/>
      <c r="FHZ2484" s="60"/>
      <c r="FIA2484" s="60"/>
      <c r="FIB2484" s="60"/>
      <c r="FIC2484" s="57"/>
      <c r="FID2484" s="61"/>
      <c r="FIE2484" s="57"/>
      <c r="FIF2484" s="57"/>
      <c r="FIG2484" s="67"/>
      <c r="FIH2484" s="60"/>
      <c r="FII2484" s="60"/>
      <c r="FIJ2484" s="60"/>
      <c r="FIK2484" s="57"/>
      <c r="FIL2484" s="61"/>
      <c r="FIM2484" s="57"/>
      <c r="FIN2484" s="57"/>
      <c r="FIO2484" s="67"/>
      <c r="FIP2484" s="60"/>
      <c r="FIQ2484" s="60"/>
      <c r="FIR2484" s="60"/>
      <c r="FIS2484" s="57"/>
      <c r="FIT2484" s="61"/>
      <c r="FIU2484" s="57"/>
      <c r="FIV2484" s="57"/>
      <c r="FIW2484" s="67"/>
      <c r="FIX2484" s="60"/>
      <c r="FIY2484" s="60"/>
      <c r="FIZ2484" s="60"/>
      <c r="FJA2484" s="57"/>
      <c r="FJB2484" s="61"/>
      <c r="FJC2484" s="57"/>
      <c r="FJD2484" s="57"/>
      <c r="FJE2484" s="67"/>
      <c r="FJF2484" s="60"/>
      <c r="FJG2484" s="60"/>
      <c r="FJH2484" s="60"/>
      <c r="FJI2484" s="57"/>
      <c r="FJJ2484" s="61"/>
      <c r="FJK2484" s="57"/>
      <c r="FJL2484" s="57"/>
      <c r="FJM2484" s="67"/>
      <c r="FJN2484" s="60"/>
      <c r="FJO2484" s="60"/>
      <c r="FJP2484" s="60"/>
      <c r="FJQ2484" s="57"/>
      <c r="FJR2484" s="61"/>
      <c r="FJS2484" s="57"/>
      <c r="FJT2484" s="57"/>
      <c r="FJU2484" s="67"/>
      <c r="FJV2484" s="60"/>
      <c r="FJW2484" s="60"/>
      <c r="FJX2484" s="60"/>
      <c r="FJY2484" s="57"/>
      <c r="FJZ2484" s="61"/>
      <c r="FKA2484" s="57"/>
      <c r="FKB2484" s="57"/>
      <c r="FKC2484" s="67"/>
      <c r="FKD2484" s="60"/>
      <c r="FKE2484" s="60"/>
      <c r="FKF2484" s="60"/>
      <c r="FKG2484" s="57"/>
      <c r="FKH2484" s="61"/>
      <c r="FKI2484" s="57"/>
      <c r="FKJ2484" s="57"/>
      <c r="FKK2484" s="67"/>
      <c r="FKL2484" s="60"/>
      <c r="FKM2484" s="60"/>
      <c r="FKN2484" s="60"/>
      <c r="FKO2484" s="57"/>
      <c r="FKP2484" s="61"/>
      <c r="FKQ2484" s="57"/>
      <c r="FKR2484" s="57"/>
      <c r="FKS2484" s="67"/>
      <c r="FKT2484" s="60"/>
      <c r="FKU2484" s="60"/>
      <c r="FKV2484" s="60"/>
      <c r="FKW2484" s="57"/>
      <c r="FKX2484" s="61"/>
      <c r="FKY2484" s="57"/>
      <c r="FKZ2484" s="57"/>
      <c r="FLA2484" s="67"/>
      <c r="FLB2484" s="60"/>
      <c r="FLC2484" s="60"/>
      <c r="FLD2484" s="60"/>
      <c r="FLE2484" s="57"/>
      <c r="FLF2484" s="61"/>
      <c r="FLG2484" s="57"/>
      <c r="FLH2484" s="57"/>
      <c r="FLI2484" s="67"/>
      <c r="FLJ2484" s="60"/>
      <c r="FLK2484" s="60"/>
      <c r="FLL2484" s="60"/>
      <c r="FLM2484" s="57"/>
      <c r="FLN2484" s="61"/>
      <c r="FLO2484" s="57"/>
      <c r="FLP2484" s="57"/>
      <c r="FLQ2484" s="67"/>
      <c r="FLR2484" s="60"/>
      <c r="FLS2484" s="60"/>
      <c r="FLT2484" s="60"/>
      <c r="FLU2484" s="57"/>
      <c r="FLV2484" s="61"/>
      <c r="FLW2484" s="57"/>
      <c r="FLX2484" s="57"/>
      <c r="FLY2484" s="67"/>
      <c r="FLZ2484" s="60"/>
      <c r="FMA2484" s="60"/>
      <c r="FMB2484" s="60"/>
      <c r="FMC2484" s="57"/>
      <c r="FMD2484" s="61"/>
      <c r="FME2484" s="57"/>
      <c r="FMF2484" s="57"/>
      <c r="FMG2484" s="67"/>
      <c r="FMH2484" s="60"/>
      <c r="FMI2484" s="60"/>
      <c r="FMJ2484" s="60"/>
      <c r="FMK2484" s="57"/>
      <c r="FML2484" s="61"/>
      <c r="FMM2484" s="57"/>
      <c r="FMN2484" s="57"/>
      <c r="FMO2484" s="67"/>
      <c r="FMP2484" s="60"/>
      <c r="FMQ2484" s="60"/>
      <c r="FMR2484" s="60"/>
      <c r="FMS2484" s="57"/>
      <c r="FMT2484" s="61"/>
      <c r="FMU2484" s="57"/>
      <c r="FMV2484" s="57"/>
      <c r="FMW2484" s="67"/>
      <c r="FMX2484" s="60"/>
      <c r="FMY2484" s="60"/>
      <c r="FMZ2484" s="60"/>
      <c r="FNA2484" s="57"/>
      <c r="FNB2484" s="61"/>
      <c r="FNC2484" s="57"/>
      <c r="FND2484" s="57"/>
      <c r="FNE2484" s="67"/>
      <c r="FNF2484" s="60"/>
      <c r="FNG2484" s="60"/>
      <c r="FNH2484" s="60"/>
      <c r="FNI2484" s="57"/>
      <c r="FNJ2484" s="61"/>
      <c r="FNK2484" s="57"/>
      <c r="FNL2484" s="57"/>
      <c r="FNM2484" s="67"/>
      <c r="FNN2484" s="60"/>
      <c r="FNO2484" s="60"/>
      <c r="FNP2484" s="60"/>
      <c r="FNQ2484" s="57"/>
      <c r="FNR2484" s="61"/>
      <c r="FNS2484" s="57"/>
      <c r="FNT2484" s="57"/>
      <c r="FNU2484" s="67"/>
      <c r="FNV2484" s="60"/>
      <c r="FNW2484" s="60"/>
      <c r="FNX2484" s="60"/>
      <c r="FNY2484" s="57"/>
      <c r="FNZ2484" s="61"/>
      <c r="FOA2484" s="57"/>
      <c r="FOB2484" s="57"/>
      <c r="FOC2484" s="67"/>
      <c r="FOD2484" s="60"/>
      <c r="FOE2484" s="60"/>
      <c r="FOF2484" s="60"/>
      <c r="FOG2484" s="57"/>
      <c r="FOH2484" s="61"/>
      <c r="FOI2484" s="57"/>
      <c r="FOJ2484" s="57"/>
      <c r="FOK2484" s="67"/>
      <c r="FOL2484" s="60"/>
      <c r="FOM2484" s="60"/>
      <c r="FON2484" s="60"/>
      <c r="FOO2484" s="57"/>
      <c r="FOP2484" s="61"/>
      <c r="FOQ2484" s="57"/>
      <c r="FOR2484" s="57"/>
      <c r="FOS2484" s="67"/>
      <c r="FOT2484" s="60"/>
      <c r="FOU2484" s="60"/>
      <c r="FOV2484" s="60"/>
      <c r="FOW2484" s="57"/>
      <c r="FOX2484" s="61"/>
      <c r="FOY2484" s="57"/>
      <c r="FOZ2484" s="57"/>
      <c r="FPA2484" s="67"/>
      <c r="FPB2484" s="60"/>
      <c r="FPC2484" s="60"/>
      <c r="FPD2484" s="60"/>
      <c r="FPE2484" s="57"/>
      <c r="FPF2484" s="61"/>
      <c r="FPG2484" s="57"/>
      <c r="FPH2484" s="57"/>
      <c r="FPI2484" s="67"/>
      <c r="FPJ2484" s="60"/>
      <c r="FPK2484" s="60"/>
      <c r="FPL2484" s="60"/>
      <c r="FPM2484" s="57"/>
      <c r="FPN2484" s="61"/>
      <c r="FPO2484" s="57"/>
      <c r="FPP2484" s="57"/>
      <c r="FPQ2484" s="67"/>
      <c r="FPR2484" s="60"/>
      <c r="FPS2484" s="60"/>
      <c r="FPT2484" s="60"/>
      <c r="FPU2484" s="57"/>
      <c r="FPV2484" s="61"/>
      <c r="FPW2484" s="57"/>
      <c r="FPX2484" s="57"/>
      <c r="FPY2484" s="67"/>
      <c r="FPZ2484" s="60"/>
      <c r="FQA2484" s="60"/>
      <c r="FQB2484" s="60"/>
      <c r="FQC2484" s="57"/>
      <c r="FQD2484" s="61"/>
      <c r="FQE2484" s="57"/>
      <c r="FQF2484" s="57"/>
      <c r="FQG2484" s="67"/>
      <c r="FQH2484" s="60"/>
      <c r="FQI2484" s="60"/>
      <c r="FQJ2484" s="60"/>
      <c r="FQK2484" s="57"/>
      <c r="FQL2484" s="61"/>
      <c r="FQM2484" s="57"/>
      <c r="FQN2484" s="57"/>
      <c r="FQO2484" s="67"/>
      <c r="FQP2484" s="60"/>
      <c r="FQQ2484" s="60"/>
      <c r="FQR2484" s="60"/>
      <c r="FQS2484" s="57"/>
      <c r="FQT2484" s="61"/>
      <c r="FQU2484" s="57"/>
      <c r="FQV2484" s="57"/>
      <c r="FQW2484" s="67"/>
      <c r="FQX2484" s="60"/>
      <c r="FQY2484" s="60"/>
      <c r="FQZ2484" s="60"/>
      <c r="FRA2484" s="57"/>
      <c r="FRB2484" s="61"/>
      <c r="FRC2484" s="57"/>
      <c r="FRD2484" s="57"/>
      <c r="FRE2484" s="67"/>
      <c r="FRF2484" s="60"/>
      <c r="FRG2484" s="60"/>
      <c r="FRH2484" s="60"/>
      <c r="FRI2484" s="57"/>
      <c r="FRJ2484" s="61"/>
      <c r="FRK2484" s="57"/>
      <c r="FRL2484" s="57"/>
      <c r="FRM2484" s="67"/>
      <c r="FRN2484" s="60"/>
      <c r="FRO2484" s="60"/>
      <c r="FRP2484" s="60"/>
      <c r="FRQ2484" s="57"/>
      <c r="FRR2484" s="61"/>
      <c r="FRS2484" s="57"/>
      <c r="FRT2484" s="57"/>
      <c r="FRU2484" s="67"/>
      <c r="FRV2484" s="60"/>
      <c r="FRW2484" s="60"/>
      <c r="FRX2484" s="60"/>
      <c r="FRY2484" s="57"/>
      <c r="FRZ2484" s="61"/>
      <c r="FSA2484" s="57"/>
      <c r="FSB2484" s="57"/>
      <c r="FSC2484" s="67"/>
      <c r="FSD2484" s="60"/>
      <c r="FSE2484" s="60"/>
      <c r="FSF2484" s="60"/>
      <c r="FSG2484" s="57"/>
      <c r="FSH2484" s="61"/>
      <c r="FSI2484" s="57"/>
      <c r="FSJ2484" s="57"/>
      <c r="FSK2484" s="67"/>
      <c r="FSL2484" s="60"/>
      <c r="FSM2484" s="60"/>
      <c r="FSN2484" s="60"/>
      <c r="FSO2484" s="57"/>
      <c r="FSP2484" s="61"/>
      <c r="FSQ2484" s="57"/>
      <c r="FSR2484" s="57"/>
      <c r="FSS2484" s="67"/>
      <c r="FST2484" s="60"/>
      <c r="FSU2484" s="60"/>
      <c r="FSV2484" s="60"/>
      <c r="FSW2484" s="57"/>
      <c r="FSX2484" s="61"/>
      <c r="FSY2484" s="57"/>
      <c r="FSZ2484" s="57"/>
      <c r="FTA2484" s="67"/>
      <c r="FTB2484" s="60"/>
      <c r="FTC2484" s="60"/>
      <c r="FTD2484" s="60"/>
      <c r="FTE2484" s="57"/>
      <c r="FTF2484" s="61"/>
      <c r="FTG2484" s="57"/>
      <c r="FTH2484" s="57"/>
      <c r="FTI2484" s="67"/>
      <c r="FTJ2484" s="60"/>
      <c r="FTK2484" s="60"/>
      <c r="FTL2484" s="60"/>
      <c r="FTM2484" s="57"/>
      <c r="FTN2484" s="61"/>
      <c r="FTO2484" s="57"/>
      <c r="FTP2484" s="57"/>
      <c r="FTQ2484" s="67"/>
      <c r="FTR2484" s="60"/>
      <c r="FTS2484" s="60"/>
      <c r="FTT2484" s="60"/>
      <c r="FTU2484" s="57"/>
      <c r="FTV2484" s="61"/>
      <c r="FTW2484" s="57"/>
      <c r="FTX2484" s="57"/>
      <c r="FTY2484" s="67"/>
      <c r="FTZ2484" s="60"/>
      <c r="FUA2484" s="60"/>
      <c r="FUB2484" s="60"/>
      <c r="FUC2484" s="57"/>
      <c r="FUD2484" s="61"/>
      <c r="FUE2484" s="57"/>
      <c r="FUF2484" s="57"/>
      <c r="FUG2484" s="67"/>
      <c r="FUH2484" s="60"/>
      <c r="FUI2484" s="60"/>
      <c r="FUJ2484" s="60"/>
      <c r="FUK2484" s="57"/>
      <c r="FUL2484" s="61"/>
      <c r="FUM2484" s="57"/>
      <c r="FUN2484" s="57"/>
      <c r="FUO2484" s="67"/>
      <c r="FUP2484" s="60"/>
      <c r="FUQ2484" s="60"/>
      <c r="FUR2484" s="60"/>
      <c r="FUS2484" s="57"/>
      <c r="FUT2484" s="61"/>
      <c r="FUU2484" s="57"/>
      <c r="FUV2484" s="57"/>
      <c r="FUW2484" s="67"/>
      <c r="FUX2484" s="60"/>
      <c r="FUY2484" s="60"/>
      <c r="FUZ2484" s="60"/>
      <c r="FVA2484" s="57"/>
      <c r="FVB2484" s="61"/>
      <c r="FVC2484" s="57"/>
      <c r="FVD2484" s="57"/>
      <c r="FVE2484" s="67"/>
      <c r="FVF2484" s="60"/>
      <c r="FVG2484" s="60"/>
      <c r="FVH2484" s="60"/>
      <c r="FVI2484" s="57"/>
      <c r="FVJ2484" s="61"/>
      <c r="FVK2484" s="57"/>
      <c r="FVL2484" s="57"/>
      <c r="FVM2484" s="67"/>
      <c r="FVN2484" s="60"/>
      <c r="FVO2484" s="60"/>
      <c r="FVP2484" s="60"/>
      <c r="FVQ2484" s="57"/>
      <c r="FVR2484" s="61"/>
      <c r="FVS2484" s="57"/>
      <c r="FVT2484" s="57"/>
      <c r="FVU2484" s="67"/>
      <c r="FVV2484" s="60"/>
      <c r="FVW2484" s="60"/>
      <c r="FVX2484" s="60"/>
      <c r="FVY2484" s="57"/>
      <c r="FVZ2484" s="61"/>
      <c r="FWA2484" s="57"/>
      <c r="FWB2484" s="57"/>
      <c r="FWC2484" s="67"/>
      <c r="FWD2484" s="60"/>
      <c r="FWE2484" s="60"/>
      <c r="FWF2484" s="60"/>
      <c r="FWG2484" s="57"/>
      <c r="FWH2484" s="61"/>
      <c r="FWI2484" s="57"/>
      <c r="FWJ2484" s="57"/>
      <c r="FWK2484" s="67"/>
      <c r="FWL2484" s="60"/>
      <c r="FWM2484" s="60"/>
      <c r="FWN2484" s="60"/>
      <c r="FWO2484" s="57"/>
      <c r="FWP2484" s="61"/>
      <c r="FWQ2484" s="57"/>
      <c r="FWR2484" s="57"/>
      <c r="FWS2484" s="67"/>
      <c r="FWT2484" s="60"/>
      <c r="FWU2484" s="60"/>
      <c r="FWV2484" s="60"/>
      <c r="FWW2484" s="57"/>
      <c r="FWX2484" s="61"/>
      <c r="FWY2484" s="57"/>
      <c r="FWZ2484" s="57"/>
      <c r="FXA2484" s="67"/>
      <c r="FXB2484" s="60"/>
      <c r="FXC2484" s="60"/>
      <c r="FXD2484" s="60"/>
      <c r="FXE2484" s="57"/>
      <c r="FXF2484" s="61"/>
      <c r="FXG2484" s="57"/>
      <c r="FXH2484" s="57"/>
      <c r="FXI2484" s="67"/>
      <c r="FXJ2484" s="60"/>
      <c r="FXK2484" s="60"/>
      <c r="FXL2484" s="60"/>
      <c r="FXM2484" s="57"/>
      <c r="FXN2484" s="61"/>
      <c r="FXO2484" s="57"/>
      <c r="FXP2484" s="57"/>
      <c r="FXQ2484" s="67"/>
      <c r="FXR2484" s="60"/>
      <c r="FXS2484" s="60"/>
      <c r="FXT2484" s="60"/>
      <c r="FXU2484" s="57"/>
      <c r="FXV2484" s="61"/>
      <c r="FXW2484" s="57"/>
      <c r="FXX2484" s="57"/>
      <c r="FXY2484" s="67"/>
      <c r="FXZ2484" s="60"/>
      <c r="FYA2484" s="60"/>
      <c r="FYB2484" s="60"/>
      <c r="FYC2484" s="57"/>
      <c r="FYD2484" s="61"/>
      <c r="FYE2484" s="57"/>
      <c r="FYF2484" s="57"/>
      <c r="FYG2484" s="67"/>
      <c r="FYH2484" s="60"/>
      <c r="FYI2484" s="60"/>
      <c r="FYJ2484" s="60"/>
      <c r="FYK2484" s="57"/>
      <c r="FYL2484" s="61"/>
      <c r="FYM2484" s="57"/>
      <c r="FYN2484" s="57"/>
      <c r="FYO2484" s="67"/>
      <c r="FYP2484" s="60"/>
      <c r="FYQ2484" s="60"/>
      <c r="FYR2484" s="60"/>
      <c r="FYS2484" s="57"/>
      <c r="FYT2484" s="61"/>
      <c r="FYU2484" s="57"/>
      <c r="FYV2484" s="57"/>
      <c r="FYW2484" s="67"/>
      <c r="FYX2484" s="60"/>
      <c r="FYY2484" s="60"/>
      <c r="FYZ2484" s="60"/>
      <c r="FZA2484" s="57"/>
      <c r="FZB2484" s="61"/>
      <c r="FZC2484" s="57"/>
      <c r="FZD2484" s="57"/>
      <c r="FZE2484" s="67"/>
      <c r="FZF2484" s="60"/>
      <c r="FZG2484" s="60"/>
      <c r="FZH2484" s="60"/>
      <c r="FZI2484" s="57"/>
      <c r="FZJ2484" s="61"/>
      <c r="FZK2484" s="57"/>
      <c r="FZL2484" s="57"/>
      <c r="FZM2484" s="67"/>
      <c r="FZN2484" s="60"/>
      <c r="FZO2484" s="60"/>
      <c r="FZP2484" s="60"/>
      <c r="FZQ2484" s="57"/>
      <c r="FZR2484" s="61"/>
      <c r="FZS2484" s="57"/>
      <c r="FZT2484" s="57"/>
      <c r="FZU2484" s="67"/>
      <c r="FZV2484" s="60"/>
      <c r="FZW2484" s="60"/>
      <c r="FZX2484" s="60"/>
      <c r="FZY2484" s="57"/>
      <c r="FZZ2484" s="61"/>
      <c r="GAA2484" s="57"/>
      <c r="GAB2484" s="57"/>
      <c r="GAC2484" s="67"/>
      <c r="GAD2484" s="60"/>
      <c r="GAE2484" s="60"/>
      <c r="GAF2484" s="60"/>
      <c r="GAG2484" s="57"/>
      <c r="GAH2484" s="61"/>
      <c r="GAI2484" s="57"/>
      <c r="GAJ2484" s="57"/>
      <c r="GAK2484" s="67"/>
      <c r="GAL2484" s="60"/>
      <c r="GAM2484" s="60"/>
      <c r="GAN2484" s="60"/>
      <c r="GAO2484" s="57"/>
      <c r="GAP2484" s="61"/>
      <c r="GAQ2484" s="57"/>
      <c r="GAR2484" s="57"/>
      <c r="GAS2484" s="67"/>
      <c r="GAT2484" s="60"/>
      <c r="GAU2484" s="60"/>
      <c r="GAV2484" s="60"/>
      <c r="GAW2484" s="57"/>
      <c r="GAX2484" s="61"/>
      <c r="GAY2484" s="57"/>
      <c r="GAZ2484" s="57"/>
      <c r="GBA2484" s="67"/>
      <c r="GBB2484" s="60"/>
      <c r="GBC2484" s="60"/>
      <c r="GBD2484" s="60"/>
      <c r="GBE2484" s="57"/>
      <c r="GBF2484" s="61"/>
      <c r="GBG2484" s="57"/>
      <c r="GBH2484" s="57"/>
      <c r="GBI2484" s="67"/>
      <c r="GBJ2484" s="60"/>
      <c r="GBK2484" s="60"/>
      <c r="GBL2484" s="60"/>
      <c r="GBM2484" s="57"/>
      <c r="GBN2484" s="61"/>
      <c r="GBO2484" s="57"/>
      <c r="GBP2484" s="57"/>
      <c r="GBQ2484" s="67"/>
      <c r="GBR2484" s="60"/>
      <c r="GBS2484" s="60"/>
      <c r="GBT2484" s="60"/>
      <c r="GBU2484" s="57"/>
      <c r="GBV2484" s="61"/>
      <c r="GBW2484" s="57"/>
      <c r="GBX2484" s="57"/>
      <c r="GBY2484" s="67"/>
      <c r="GBZ2484" s="60"/>
      <c r="GCA2484" s="60"/>
      <c r="GCB2484" s="60"/>
      <c r="GCC2484" s="57"/>
      <c r="GCD2484" s="61"/>
      <c r="GCE2484" s="57"/>
      <c r="GCF2484" s="57"/>
      <c r="GCG2484" s="67"/>
      <c r="GCH2484" s="60"/>
      <c r="GCI2484" s="60"/>
      <c r="GCJ2484" s="60"/>
      <c r="GCK2484" s="57"/>
      <c r="GCL2484" s="61"/>
      <c r="GCM2484" s="57"/>
      <c r="GCN2484" s="57"/>
      <c r="GCO2484" s="67"/>
      <c r="GCP2484" s="60"/>
      <c r="GCQ2484" s="60"/>
      <c r="GCR2484" s="60"/>
      <c r="GCS2484" s="57"/>
      <c r="GCT2484" s="61"/>
      <c r="GCU2484" s="57"/>
      <c r="GCV2484" s="57"/>
      <c r="GCW2484" s="67"/>
      <c r="GCX2484" s="60"/>
      <c r="GCY2484" s="60"/>
      <c r="GCZ2484" s="60"/>
      <c r="GDA2484" s="57"/>
      <c r="GDB2484" s="61"/>
      <c r="GDC2484" s="57"/>
      <c r="GDD2484" s="57"/>
      <c r="GDE2484" s="67"/>
      <c r="GDF2484" s="60"/>
      <c r="GDG2484" s="60"/>
      <c r="GDH2484" s="60"/>
      <c r="GDI2484" s="57"/>
      <c r="GDJ2484" s="61"/>
      <c r="GDK2484" s="57"/>
      <c r="GDL2484" s="57"/>
      <c r="GDM2484" s="67"/>
      <c r="GDN2484" s="60"/>
      <c r="GDO2484" s="60"/>
      <c r="GDP2484" s="60"/>
      <c r="GDQ2484" s="57"/>
      <c r="GDR2484" s="61"/>
      <c r="GDS2484" s="57"/>
      <c r="GDT2484" s="57"/>
      <c r="GDU2484" s="67"/>
      <c r="GDV2484" s="60"/>
      <c r="GDW2484" s="60"/>
      <c r="GDX2484" s="60"/>
      <c r="GDY2484" s="57"/>
      <c r="GDZ2484" s="61"/>
      <c r="GEA2484" s="57"/>
      <c r="GEB2484" s="57"/>
      <c r="GEC2484" s="67"/>
      <c r="GED2484" s="60"/>
      <c r="GEE2484" s="60"/>
      <c r="GEF2484" s="60"/>
      <c r="GEG2484" s="57"/>
      <c r="GEH2484" s="61"/>
      <c r="GEI2484" s="57"/>
      <c r="GEJ2484" s="57"/>
      <c r="GEK2484" s="67"/>
      <c r="GEL2484" s="60"/>
      <c r="GEM2484" s="60"/>
      <c r="GEN2484" s="60"/>
      <c r="GEO2484" s="57"/>
      <c r="GEP2484" s="61"/>
      <c r="GEQ2484" s="57"/>
      <c r="GER2484" s="57"/>
      <c r="GES2484" s="67"/>
      <c r="GET2484" s="60"/>
      <c r="GEU2484" s="60"/>
      <c r="GEV2484" s="60"/>
      <c r="GEW2484" s="57"/>
      <c r="GEX2484" s="61"/>
      <c r="GEY2484" s="57"/>
      <c r="GEZ2484" s="57"/>
      <c r="GFA2484" s="67"/>
      <c r="GFB2484" s="60"/>
      <c r="GFC2484" s="60"/>
      <c r="GFD2484" s="60"/>
      <c r="GFE2484" s="57"/>
      <c r="GFF2484" s="61"/>
      <c r="GFG2484" s="57"/>
      <c r="GFH2484" s="57"/>
      <c r="GFI2484" s="67"/>
      <c r="GFJ2484" s="60"/>
      <c r="GFK2484" s="60"/>
      <c r="GFL2484" s="60"/>
      <c r="GFM2484" s="57"/>
      <c r="GFN2484" s="61"/>
      <c r="GFO2484" s="57"/>
      <c r="GFP2484" s="57"/>
      <c r="GFQ2484" s="67"/>
      <c r="GFR2484" s="60"/>
      <c r="GFS2484" s="60"/>
      <c r="GFT2484" s="60"/>
      <c r="GFU2484" s="57"/>
      <c r="GFV2484" s="61"/>
      <c r="GFW2484" s="57"/>
      <c r="GFX2484" s="57"/>
      <c r="GFY2484" s="67"/>
      <c r="GFZ2484" s="60"/>
      <c r="GGA2484" s="60"/>
      <c r="GGB2484" s="60"/>
      <c r="GGC2484" s="57"/>
      <c r="GGD2484" s="61"/>
      <c r="GGE2484" s="57"/>
      <c r="GGF2484" s="57"/>
      <c r="GGG2484" s="67"/>
      <c r="GGH2484" s="60"/>
      <c r="GGI2484" s="60"/>
      <c r="GGJ2484" s="60"/>
      <c r="GGK2484" s="57"/>
      <c r="GGL2484" s="61"/>
      <c r="GGM2484" s="57"/>
      <c r="GGN2484" s="57"/>
      <c r="GGO2484" s="67"/>
      <c r="GGP2484" s="60"/>
      <c r="GGQ2484" s="60"/>
      <c r="GGR2484" s="60"/>
      <c r="GGS2484" s="57"/>
      <c r="GGT2484" s="61"/>
      <c r="GGU2484" s="57"/>
      <c r="GGV2484" s="57"/>
      <c r="GGW2484" s="67"/>
      <c r="GGX2484" s="60"/>
      <c r="GGY2484" s="60"/>
      <c r="GGZ2484" s="60"/>
      <c r="GHA2484" s="57"/>
      <c r="GHB2484" s="61"/>
      <c r="GHC2484" s="57"/>
      <c r="GHD2484" s="57"/>
      <c r="GHE2484" s="67"/>
      <c r="GHF2484" s="60"/>
      <c r="GHG2484" s="60"/>
      <c r="GHH2484" s="60"/>
      <c r="GHI2484" s="57"/>
      <c r="GHJ2484" s="61"/>
      <c r="GHK2484" s="57"/>
      <c r="GHL2484" s="57"/>
      <c r="GHM2484" s="67"/>
      <c r="GHN2484" s="60"/>
      <c r="GHO2484" s="60"/>
      <c r="GHP2484" s="60"/>
      <c r="GHQ2484" s="57"/>
      <c r="GHR2484" s="61"/>
      <c r="GHS2484" s="57"/>
      <c r="GHT2484" s="57"/>
      <c r="GHU2484" s="67"/>
      <c r="GHV2484" s="60"/>
      <c r="GHW2484" s="60"/>
      <c r="GHX2484" s="60"/>
      <c r="GHY2484" s="57"/>
      <c r="GHZ2484" s="61"/>
      <c r="GIA2484" s="57"/>
      <c r="GIB2484" s="57"/>
      <c r="GIC2484" s="67"/>
      <c r="GID2484" s="60"/>
      <c r="GIE2484" s="60"/>
      <c r="GIF2484" s="60"/>
      <c r="GIG2484" s="57"/>
      <c r="GIH2484" s="61"/>
      <c r="GII2484" s="57"/>
      <c r="GIJ2484" s="57"/>
      <c r="GIK2484" s="67"/>
      <c r="GIL2484" s="60"/>
      <c r="GIM2484" s="60"/>
      <c r="GIN2484" s="60"/>
      <c r="GIO2484" s="57"/>
      <c r="GIP2484" s="61"/>
      <c r="GIQ2484" s="57"/>
      <c r="GIR2484" s="57"/>
      <c r="GIS2484" s="67"/>
      <c r="GIT2484" s="60"/>
      <c r="GIU2484" s="60"/>
      <c r="GIV2484" s="60"/>
      <c r="GIW2484" s="57"/>
      <c r="GIX2484" s="61"/>
      <c r="GIY2484" s="57"/>
      <c r="GIZ2484" s="57"/>
      <c r="GJA2484" s="67"/>
      <c r="GJB2484" s="60"/>
      <c r="GJC2484" s="60"/>
      <c r="GJD2484" s="60"/>
      <c r="GJE2484" s="57"/>
      <c r="GJF2484" s="61"/>
      <c r="GJG2484" s="57"/>
      <c r="GJH2484" s="57"/>
      <c r="GJI2484" s="67"/>
      <c r="GJJ2484" s="60"/>
      <c r="GJK2484" s="60"/>
      <c r="GJL2484" s="60"/>
      <c r="GJM2484" s="57"/>
      <c r="GJN2484" s="61"/>
      <c r="GJO2484" s="57"/>
      <c r="GJP2484" s="57"/>
      <c r="GJQ2484" s="67"/>
      <c r="GJR2484" s="60"/>
      <c r="GJS2484" s="60"/>
      <c r="GJT2484" s="60"/>
      <c r="GJU2484" s="57"/>
      <c r="GJV2484" s="61"/>
      <c r="GJW2484" s="57"/>
      <c r="GJX2484" s="57"/>
      <c r="GJY2484" s="67"/>
      <c r="GJZ2484" s="60"/>
      <c r="GKA2484" s="60"/>
      <c r="GKB2484" s="60"/>
      <c r="GKC2484" s="57"/>
      <c r="GKD2484" s="61"/>
      <c r="GKE2484" s="57"/>
      <c r="GKF2484" s="57"/>
      <c r="GKG2484" s="67"/>
      <c r="GKH2484" s="60"/>
      <c r="GKI2484" s="60"/>
      <c r="GKJ2484" s="60"/>
      <c r="GKK2484" s="57"/>
      <c r="GKL2484" s="61"/>
      <c r="GKM2484" s="57"/>
      <c r="GKN2484" s="57"/>
      <c r="GKO2484" s="67"/>
      <c r="GKP2484" s="60"/>
      <c r="GKQ2484" s="60"/>
      <c r="GKR2484" s="60"/>
      <c r="GKS2484" s="57"/>
      <c r="GKT2484" s="61"/>
      <c r="GKU2484" s="57"/>
      <c r="GKV2484" s="57"/>
      <c r="GKW2484" s="67"/>
      <c r="GKX2484" s="60"/>
      <c r="GKY2484" s="60"/>
      <c r="GKZ2484" s="60"/>
      <c r="GLA2484" s="57"/>
      <c r="GLB2484" s="61"/>
      <c r="GLC2484" s="57"/>
      <c r="GLD2484" s="57"/>
      <c r="GLE2484" s="67"/>
      <c r="GLF2484" s="60"/>
      <c r="GLG2484" s="60"/>
      <c r="GLH2484" s="60"/>
      <c r="GLI2484" s="57"/>
      <c r="GLJ2484" s="61"/>
      <c r="GLK2484" s="57"/>
      <c r="GLL2484" s="57"/>
      <c r="GLM2484" s="67"/>
      <c r="GLN2484" s="60"/>
      <c r="GLO2484" s="60"/>
      <c r="GLP2484" s="60"/>
      <c r="GLQ2484" s="57"/>
      <c r="GLR2484" s="61"/>
      <c r="GLS2484" s="57"/>
      <c r="GLT2484" s="57"/>
      <c r="GLU2484" s="67"/>
      <c r="GLV2484" s="60"/>
      <c r="GLW2484" s="60"/>
      <c r="GLX2484" s="60"/>
      <c r="GLY2484" s="57"/>
      <c r="GLZ2484" s="61"/>
      <c r="GMA2484" s="57"/>
      <c r="GMB2484" s="57"/>
      <c r="GMC2484" s="67"/>
      <c r="GMD2484" s="60"/>
      <c r="GME2484" s="60"/>
      <c r="GMF2484" s="60"/>
      <c r="GMG2484" s="57"/>
      <c r="GMH2484" s="61"/>
      <c r="GMI2484" s="57"/>
      <c r="GMJ2484" s="57"/>
      <c r="GMK2484" s="67"/>
      <c r="GML2484" s="60"/>
      <c r="GMM2484" s="60"/>
      <c r="GMN2484" s="60"/>
      <c r="GMO2484" s="57"/>
      <c r="GMP2484" s="61"/>
      <c r="GMQ2484" s="57"/>
      <c r="GMR2484" s="57"/>
      <c r="GMS2484" s="67"/>
      <c r="GMT2484" s="60"/>
      <c r="GMU2484" s="60"/>
      <c r="GMV2484" s="60"/>
      <c r="GMW2484" s="57"/>
      <c r="GMX2484" s="61"/>
      <c r="GMY2484" s="57"/>
      <c r="GMZ2484" s="57"/>
      <c r="GNA2484" s="67"/>
      <c r="GNB2484" s="60"/>
      <c r="GNC2484" s="60"/>
      <c r="GND2484" s="60"/>
      <c r="GNE2484" s="57"/>
      <c r="GNF2484" s="61"/>
      <c r="GNG2484" s="57"/>
      <c r="GNH2484" s="57"/>
      <c r="GNI2484" s="67"/>
      <c r="GNJ2484" s="60"/>
      <c r="GNK2484" s="60"/>
      <c r="GNL2484" s="60"/>
      <c r="GNM2484" s="57"/>
      <c r="GNN2484" s="61"/>
      <c r="GNO2484" s="57"/>
      <c r="GNP2484" s="57"/>
      <c r="GNQ2484" s="67"/>
      <c r="GNR2484" s="60"/>
      <c r="GNS2484" s="60"/>
      <c r="GNT2484" s="60"/>
      <c r="GNU2484" s="57"/>
      <c r="GNV2484" s="61"/>
      <c r="GNW2484" s="57"/>
      <c r="GNX2484" s="57"/>
      <c r="GNY2484" s="67"/>
      <c r="GNZ2484" s="60"/>
      <c r="GOA2484" s="60"/>
      <c r="GOB2484" s="60"/>
      <c r="GOC2484" s="57"/>
      <c r="GOD2484" s="61"/>
      <c r="GOE2484" s="57"/>
      <c r="GOF2484" s="57"/>
      <c r="GOG2484" s="67"/>
      <c r="GOH2484" s="60"/>
      <c r="GOI2484" s="60"/>
      <c r="GOJ2484" s="60"/>
      <c r="GOK2484" s="57"/>
      <c r="GOL2484" s="61"/>
      <c r="GOM2484" s="57"/>
      <c r="GON2484" s="57"/>
      <c r="GOO2484" s="67"/>
      <c r="GOP2484" s="60"/>
      <c r="GOQ2484" s="60"/>
      <c r="GOR2484" s="60"/>
      <c r="GOS2484" s="57"/>
      <c r="GOT2484" s="61"/>
      <c r="GOU2484" s="57"/>
      <c r="GOV2484" s="57"/>
      <c r="GOW2484" s="67"/>
      <c r="GOX2484" s="60"/>
      <c r="GOY2484" s="60"/>
      <c r="GOZ2484" s="60"/>
      <c r="GPA2484" s="57"/>
      <c r="GPB2484" s="61"/>
      <c r="GPC2484" s="57"/>
      <c r="GPD2484" s="57"/>
      <c r="GPE2484" s="67"/>
      <c r="GPF2484" s="60"/>
      <c r="GPG2484" s="60"/>
      <c r="GPH2484" s="60"/>
      <c r="GPI2484" s="57"/>
      <c r="GPJ2484" s="61"/>
      <c r="GPK2484" s="57"/>
      <c r="GPL2484" s="57"/>
      <c r="GPM2484" s="67"/>
      <c r="GPN2484" s="60"/>
      <c r="GPO2484" s="60"/>
      <c r="GPP2484" s="60"/>
      <c r="GPQ2484" s="57"/>
      <c r="GPR2484" s="61"/>
      <c r="GPS2484" s="57"/>
      <c r="GPT2484" s="57"/>
      <c r="GPU2484" s="67"/>
      <c r="GPV2484" s="60"/>
      <c r="GPW2484" s="60"/>
      <c r="GPX2484" s="60"/>
      <c r="GPY2484" s="57"/>
      <c r="GPZ2484" s="61"/>
      <c r="GQA2484" s="57"/>
      <c r="GQB2484" s="57"/>
      <c r="GQC2484" s="67"/>
      <c r="GQD2484" s="60"/>
      <c r="GQE2484" s="60"/>
      <c r="GQF2484" s="60"/>
      <c r="GQG2484" s="57"/>
      <c r="GQH2484" s="61"/>
      <c r="GQI2484" s="57"/>
      <c r="GQJ2484" s="57"/>
      <c r="GQK2484" s="67"/>
      <c r="GQL2484" s="60"/>
      <c r="GQM2484" s="60"/>
      <c r="GQN2484" s="60"/>
      <c r="GQO2484" s="57"/>
      <c r="GQP2484" s="61"/>
      <c r="GQQ2484" s="57"/>
      <c r="GQR2484" s="57"/>
      <c r="GQS2484" s="67"/>
      <c r="GQT2484" s="60"/>
      <c r="GQU2484" s="60"/>
      <c r="GQV2484" s="60"/>
      <c r="GQW2484" s="57"/>
      <c r="GQX2484" s="61"/>
      <c r="GQY2484" s="57"/>
      <c r="GQZ2484" s="57"/>
      <c r="GRA2484" s="67"/>
      <c r="GRB2484" s="60"/>
      <c r="GRC2484" s="60"/>
      <c r="GRD2484" s="60"/>
      <c r="GRE2484" s="57"/>
      <c r="GRF2484" s="61"/>
      <c r="GRG2484" s="57"/>
      <c r="GRH2484" s="57"/>
      <c r="GRI2484" s="67"/>
      <c r="GRJ2484" s="60"/>
      <c r="GRK2484" s="60"/>
      <c r="GRL2484" s="60"/>
      <c r="GRM2484" s="57"/>
      <c r="GRN2484" s="61"/>
      <c r="GRO2484" s="57"/>
      <c r="GRP2484" s="57"/>
      <c r="GRQ2484" s="67"/>
      <c r="GRR2484" s="60"/>
      <c r="GRS2484" s="60"/>
      <c r="GRT2484" s="60"/>
      <c r="GRU2484" s="57"/>
      <c r="GRV2484" s="61"/>
      <c r="GRW2484" s="57"/>
      <c r="GRX2484" s="57"/>
      <c r="GRY2484" s="67"/>
      <c r="GRZ2484" s="60"/>
      <c r="GSA2484" s="60"/>
      <c r="GSB2484" s="60"/>
      <c r="GSC2484" s="57"/>
      <c r="GSD2484" s="61"/>
      <c r="GSE2484" s="57"/>
      <c r="GSF2484" s="57"/>
      <c r="GSG2484" s="67"/>
      <c r="GSH2484" s="60"/>
      <c r="GSI2484" s="60"/>
      <c r="GSJ2484" s="60"/>
      <c r="GSK2484" s="57"/>
      <c r="GSL2484" s="61"/>
      <c r="GSM2484" s="57"/>
      <c r="GSN2484" s="57"/>
      <c r="GSO2484" s="67"/>
      <c r="GSP2484" s="60"/>
      <c r="GSQ2484" s="60"/>
      <c r="GSR2484" s="60"/>
      <c r="GSS2484" s="57"/>
      <c r="GST2484" s="61"/>
      <c r="GSU2484" s="57"/>
      <c r="GSV2484" s="57"/>
      <c r="GSW2484" s="67"/>
      <c r="GSX2484" s="60"/>
      <c r="GSY2484" s="60"/>
      <c r="GSZ2484" s="60"/>
      <c r="GTA2484" s="57"/>
      <c r="GTB2484" s="61"/>
      <c r="GTC2484" s="57"/>
      <c r="GTD2484" s="57"/>
      <c r="GTE2484" s="67"/>
      <c r="GTF2484" s="60"/>
      <c r="GTG2484" s="60"/>
      <c r="GTH2484" s="60"/>
      <c r="GTI2484" s="57"/>
      <c r="GTJ2484" s="61"/>
      <c r="GTK2484" s="57"/>
      <c r="GTL2484" s="57"/>
      <c r="GTM2484" s="67"/>
      <c r="GTN2484" s="60"/>
      <c r="GTO2484" s="60"/>
      <c r="GTP2484" s="60"/>
      <c r="GTQ2484" s="57"/>
      <c r="GTR2484" s="61"/>
      <c r="GTS2484" s="57"/>
      <c r="GTT2484" s="57"/>
      <c r="GTU2484" s="67"/>
      <c r="GTV2484" s="60"/>
      <c r="GTW2484" s="60"/>
      <c r="GTX2484" s="60"/>
      <c r="GTY2484" s="57"/>
      <c r="GTZ2484" s="61"/>
      <c r="GUA2484" s="57"/>
      <c r="GUB2484" s="57"/>
      <c r="GUC2484" s="67"/>
      <c r="GUD2484" s="60"/>
      <c r="GUE2484" s="60"/>
      <c r="GUF2484" s="60"/>
      <c r="GUG2484" s="57"/>
      <c r="GUH2484" s="61"/>
      <c r="GUI2484" s="57"/>
      <c r="GUJ2484" s="57"/>
      <c r="GUK2484" s="67"/>
      <c r="GUL2484" s="60"/>
      <c r="GUM2484" s="60"/>
      <c r="GUN2484" s="60"/>
      <c r="GUO2484" s="57"/>
      <c r="GUP2484" s="61"/>
      <c r="GUQ2484" s="57"/>
      <c r="GUR2484" s="57"/>
      <c r="GUS2484" s="67"/>
      <c r="GUT2484" s="60"/>
      <c r="GUU2484" s="60"/>
      <c r="GUV2484" s="60"/>
      <c r="GUW2484" s="57"/>
      <c r="GUX2484" s="61"/>
      <c r="GUY2484" s="57"/>
      <c r="GUZ2484" s="57"/>
      <c r="GVA2484" s="67"/>
      <c r="GVB2484" s="60"/>
      <c r="GVC2484" s="60"/>
      <c r="GVD2484" s="60"/>
      <c r="GVE2484" s="57"/>
      <c r="GVF2484" s="61"/>
      <c r="GVG2484" s="57"/>
      <c r="GVH2484" s="57"/>
      <c r="GVI2484" s="67"/>
      <c r="GVJ2484" s="60"/>
      <c r="GVK2484" s="60"/>
      <c r="GVL2484" s="60"/>
      <c r="GVM2484" s="57"/>
      <c r="GVN2484" s="61"/>
      <c r="GVO2484" s="57"/>
      <c r="GVP2484" s="57"/>
      <c r="GVQ2484" s="67"/>
      <c r="GVR2484" s="60"/>
      <c r="GVS2484" s="60"/>
      <c r="GVT2484" s="60"/>
      <c r="GVU2484" s="57"/>
      <c r="GVV2484" s="61"/>
      <c r="GVW2484" s="57"/>
      <c r="GVX2484" s="57"/>
      <c r="GVY2484" s="67"/>
      <c r="GVZ2484" s="60"/>
      <c r="GWA2484" s="60"/>
      <c r="GWB2484" s="60"/>
      <c r="GWC2484" s="57"/>
      <c r="GWD2484" s="61"/>
      <c r="GWE2484" s="57"/>
      <c r="GWF2484" s="57"/>
      <c r="GWG2484" s="67"/>
      <c r="GWH2484" s="60"/>
      <c r="GWI2484" s="60"/>
      <c r="GWJ2484" s="60"/>
      <c r="GWK2484" s="57"/>
      <c r="GWL2484" s="61"/>
      <c r="GWM2484" s="57"/>
      <c r="GWN2484" s="57"/>
      <c r="GWO2484" s="67"/>
      <c r="GWP2484" s="60"/>
      <c r="GWQ2484" s="60"/>
      <c r="GWR2484" s="60"/>
      <c r="GWS2484" s="57"/>
      <c r="GWT2484" s="61"/>
      <c r="GWU2484" s="57"/>
      <c r="GWV2484" s="57"/>
      <c r="GWW2484" s="67"/>
      <c r="GWX2484" s="60"/>
      <c r="GWY2484" s="60"/>
      <c r="GWZ2484" s="60"/>
      <c r="GXA2484" s="57"/>
      <c r="GXB2484" s="61"/>
      <c r="GXC2484" s="57"/>
      <c r="GXD2484" s="57"/>
      <c r="GXE2484" s="67"/>
      <c r="GXF2484" s="60"/>
      <c r="GXG2484" s="60"/>
      <c r="GXH2484" s="60"/>
      <c r="GXI2484" s="57"/>
      <c r="GXJ2484" s="61"/>
      <c r="GXK2484" s="57"/>
      <c r="GXL2484" s="57"/>
      <c r="GXM2484" s="67"/>
      <c r="GXN2484" s="60"/>
      <c r="GXO2484" s="60"/>
      <c r="GXP2484" s="60"/>
      <c r="GXQ2484" s="57"/>
      <c r="GXR2484" s="61"/>
      <c r="GXS2484" s="57"/>
      <c r="GXT2484" s="57"/>
      <c r="GXU2484" s="67"/>
      <c r="GXV2484" s="60"/>
      <c r="GXW2484" s="60"/>
      <c r="GXX2484" s="60"/>
      <c r="GXY2484" s="57"/>
      <c r="GXZ2484" s="61"/>
      <c r="GYA2484" s="57"/>
      <c r="GYB2484" s="57"/>
      <c r="GYC2484" s="67"/>
      <c r="GYD2484" s="60"/>
      <c r="GYE2484" s="60"/>
      <c r="GYF2484" s="60"/>
      <c r="GYG2484" s="57"/>
      <c r="GYH2484" s="61"/>
      <c r="GYI2484" s="57"/>
      <c r="GYJ2484" s="57"/>
      <c r="GYK2484" s="67"/>
      <c r="GYL2484" s="60"/>
      <c r="GYM2484" s="60"/>
      <c r="GYN2484" s="60"/>
      <c r="GYO2484" s="57"/>
      <c r="GYP2484" s="61"/>
      <c r="GYQ2484" s="57"/>
      <c r="GYR2484" s="57"/>
      <c r="GYS2484" s="67"/>
      <c r="GYT2484" s="60"/>
      <c r="GYU2484" s="60"/>
      <c r="GYV2484" s="60"/>
      <c r="GYW2484" s="57"/>
      <c r="GYX2484" s="61"/>
      <c r="GYY2484" s="57"/>
      <c r="GYZ2484" s="57"/>
      <c r="GZA2484" s="67"/>
      <c r="GZB2484" s="60"/>
      <c r="GZC2484" s="60"/>
      <c r="GZD2484" s="60"/>
      <c r="GZE2484" s="57"/>
      <c r="GZF2484" s="61"/>
      <c r="GZG2484" s="57"/>
      <c r="GZH2484" s="57"/>
      <c r="GZI2484" s="67"/>
      <c r="GZJ2484" s="60"/>
      <c r="GZK2484" s="60"/>
      <c r="GZL2484" s="60"/>
      <c r="GZM2484" s="57"/>
      <c r="GZN2484" s="61"/>
      <c r="GZO2484" s="57"/>
      <c r="GZP2484" s="57"/>
      <c r="GZQ2484" s="67"/>
      <c r="GZR2484" s="60"/>
      <c r="GZS2484" s="60"/>
      <c r="GZT2484" s="60"/>
      <c r="GZU2484" s="57"/>
      <c r="GZV2484" s="61"/>
      <c r="GZW2484" s="57"/>
      <c r="GZX2484" s="57"/>
      <c r="GZY2484" s="67"/>
      <c r="GZZ2484" s="60"/>
      <c r="HAA2484" s="60"/>
      <c r="HAB2484" s="60"/>
      <c r="HAC2484" s="57"/>
      <c r="HAD2484" s="61"/>
      <c r="HAE2484" s="57"/>
      <c r="HAF2484" s="57"/>
      <c r="HAG2484" s="67"/>
      <c r="HAH2484" s="60"/>
      <c r="HAI2484" s="60"/>
      <c r="HAJ2484" s="60"/>
      <c r="HAK2484" s="57"/>
      <c r="HAL2484" s="61"/>
      <c r="HAM2484" s="57"/>
      <c r="HAN2484" s="57"/>
      <c r="HAO2484" s="67"/>
      <c r="HAP2484" s="60"/>
      <c r="HAQ2484" s="60"/>
      <c r="HAR2484" s="60"/>
      <c r="HAS2484" s="57"/>
      <c r="HAT2484" s="61"/>
      <c r="HAU2484" s="57"/>
      <c r="HAV2484" s="57"/>
      <c r="HAW2484" s="67"/>
      <c r="HAX2484" s="60"/>
      <c r="HAY2484" s="60"/>
      <c r="HAZ2484" s="60"/>
      <c r="HBA2484" s="57"/>
      <c r="HBB2484" s="61"/>
      <c r="HBC2484" s="57"/>
      <c r="HBD2484" s="57"/>
      <c r="HBE2484" s="67"/>
      <c r="HBF2484" s="60"/>
      <c r="HBG2484" s="60"/>
      <c r="HBH2484" s="60"/>
      <c r="HBI2484" s="57"/>
      <c r="HBJ2484" s="61"/>
      <c r="HBK2484" s="57"/>
      <c r="HBL2484" s="57"/>
      <c r="HBM2484" s="67"/>
      <c r="HBN2484" s="60"/>
      <c r="HBO2484" s="60"/>
      <c r="HBP2484" s="60"/>
      <c r="HBQ2484" s="57"/>
      <c r="HBR2484" s="61"/>
      <c r="HBS2484" s="57"/>
      <c r="HBT2484" s="57"/>
      <c r="HBU2484" s="67"/>
      <c r="HBV2484" s="60"/>
      <c r="HBW2484" s="60"/>
      <c r="HBX2484" s="60"/>
      <c r="HBY2484" s="57"/>
      <c r="HBZ2484" s="61"/>
      <c r="HCA2484" s="57"/>
      <c r="HCB2484" s="57"/>
      <c r="HCC2484" s="67"/>
      <c r="HCD2484" s="60"/>
      <c r="HCE2484" s="60"/>
      <c r="HCF2484" s="60"/>
      <c r="HCG2484" s="57"/>
      <c r="HCH2484" s="61"/>
      <c r="HCI2484" s="57"/>
      <c r="HCJ2484" s="57"/>
      <c r="HCK2484" s="67"/>
      <c r="HCL2484" s="60"/>
      <c r="HCM2484" s="60"/>
      <c r="HCN2484" s="60"/>
      <c r="HCO2484" s="57"/>
      <c r="HCP2484" s="61"/>
      <c r="HCQ2484" s="57"/>
      <c r="HCR2484" s="57"/>
      <c r="HCS2484" s="67"/>
      <c r="HCT2484" s="60"/>
      <c r="HCU2484" s="60"/>
      <c r="HCV2484" s="60"/>
      <c r="HCW2484" s="57"/>
      <c r="HCX2484" s="61"/>
      <c r="HCY2484" s="57"/>
      <c r="HCZ2484" s="57"/>
      <c r="HDA2484" s="67"/>
      <c r="HDB2484" s="60"/>
      <c r="HDC2484" s="60"/>
      <c r="HDD2484" s="60"/>
      <c r="HDE2484" s="57"/>
      <c r="HDF2484" s="61"/>
      <c r="HDG2484" s="57"/>
      <c r="HDH2484" s="57"/>
      <c r="HDI2484" s="67"/>
      <c r="HDJ2484" s="60"/>
      <c r="HDK2484" s="60"/>
      <c r="HDL2484" s="60"/>
      <c r="HDM2484" s="57"/>
      <c r="HDN2484" s="61"/>
      <c r="HDO2484" s="57"/>
      <c r="HDP2484" s="57"/>
      <c r="HDQ2484" s="67"/>
      <c r="HDR2484" s="60"/>
      <c r="HDS2484" s="60"/>
      <c r="HDT2484" s="60"/>
      <c r="HDU2484" s="57"/>
      <c r="HDV2484" s="61"/>
      <c r="HDW2484" s="57"/>
      <c r="HDX2484" s="57"/>
      <c r="HDY2484" s="67"/>
      <c r="HDZ2484" s="60"/>
      <c r="HEA2484" s="60"/>
      <c r="HEB2484" s="60"/>
      <c r="HEC2484" s="57"/>
      <c r="HED2484" s="61"/>
      <c r="HEE2484" s="57"/>
      <c r="HEF2484" s="57"/>
      <c r="HEG2484" s="67"/>
      <c r="HEH2484" s="60"/>
      <c r="HEI2484" s="60"/>
      <c r="HEJ2484" s="60"/>
      <c r="HEK2484" s="57"/>
      <c r="HEL2484" s="61"/>
      <c r="HEM2484" s="57"/>
      <c r="HEN2484" s="57"/>
      <c r="HEO2484" s="67"/>
      <c r="HEP2484" s="60"/>
      <c r="HEQ2484" s="60"/>
      <c r="HER2484" s="60"/>
      <c r="HES2484" s="57"/>
      <c r="HET2484" s="61"/>
      <c r="HEU2484" s="57"/>
      <c r="HEV2484" s="57"/>
      <c r="HEW2484" s="67"/>
      <c r="HEX2484" s="60"/>
      <c r="HEY2484" s="60"/>
      <c r="HEZ2484" s="60"/>
      <c r="HFA2484" s="57"/>
      <c r="HFB2484" s="61"/>
      <c r="HFC2484" s="57"/>
      <c r="HFD2484" s="57"/>
      <c r="HFE2484" s="67"/>
      <c r="HFF2484" s="60"/>
      <c r="HFG2484" s="60"/>
      <c r="HFH2484" s="60"/>
      <c r="HFI2484" s="57"/>
      <c r="HFJ2484" s="61"/>
      <c r="HFK2484" s="57"/>
      <c r="HFL2484" s="57"/>
      <c r="HFM2484" s="67"/>
      <c r="HFN2484" s="60"/>
      <c r="HFO2484" s="60"/>
      <c r="HFP2484" s="60"/>
      <c r="HFQ2484" s="57"/>
      <c r="HFR2484" s="61"/>
      <c r="HFS2484" s="57"/>
      <c r="HFT2484" s="57"/>
      <c r="HFU2484" s="67"/>
      <c r="HFV2484" s="60"/>
      <c r="HFW2484" s="60"/>
      <c r="HFX2484" s="60"/>
      <c r="HFY2484" s="57"/>
      <c r="HFZ2484" s="61"/>
      <c r="HGA2484" s="57"/>
      <c r="HGB2484" s="57"/>
      <c r="HGC2484" s="67"/>
      <c r="HGD2484" s="60"/>
      <c r="HGE2484" s="60"/>
      <c r="HGF2484" s="60"/>
      <c r="HGG2484" s="57"/>
      <c r="HGH2484" s="61"/>
      <c r="HGI2484" s="57"/>
      <c r="HGJ2484" s="57"/>
      <c r="HGK2484" s="67"/>
      <c r="HGL2484" s="60"/>
      <c r="HGM2484" s="60"/>
      <c r="HGN2484" s="60"/>
      <c r="HGO2484" s="57"/>
      <c r="HGP2484" s="61"/>
      <c r="HGQ2484" s="57"/>
      <c r="HGR2484" s="57"/>
      <c r="HGS2484" s="67"/>
      <c r="HGT2484" s="60"/>
      <c r="HGU2484" s="60"/>
      <c r="HGV2484" s="60"/>
      <c r="HGW2484" s="57"/>
      <c r="HGX2484" s="61"/>
      <c r="HGY2484" s="57"/>
      <c r="HGZ2484" s="57"/>
      <c r="HHA2484" s="67"/>
      <c r="HHB2484" s="60"/>
      <c r="HHC2484" s="60"/>
      <c r="HHD2484" s="60"/>
      <c r="HHE2484" s="57"/>
      <c r="HHF2484" s="61"/>
      <c r="HHG2484" s="57"/>
      <c r="HHH2484" s="57"/>
      <c r="HHI2484" s="67"/>
      <c r="HHJ2484" s="60"/>
      <c r="HHK2484" s="60"/>
      <c r="HHL2484" s="60"/>
      <c r="HHM2484" s="57"/>
      <c r="HHN2484" s="61"/>
      <c r="HHO2484" s="57"/>
      <c r="HHP2484" s="57"/>
      <c r="HHQ2484" s="67"/>
      <c r="HHR2484" s="60"/>
      <c r="HHS2484" s="60"/>
      <c r="HHT2484" s="60"/>
      <c r="HHU2484" s="57"/>
      <c r="HHV2484" s="61"/>
      <c r="HHW2484" s="57"/>
      <c r="HHX2484" s="57"/>
      <c r="HHY2484" s="67"/>
      <c r="HHZ2484" s="60"/>
      <c r="HIA2484" s="60"/>
      <c r="HIB2484" s="60"/>
      <c r="HIC2484" s="57"/>
      <c r="HID2484" s="61"/>
      <c r="HIE2484" s="57"/>
      <c r="HIF2484" s="57"/>
      <c r="HIG2484" s="67"/>
      <c r="HIH2484" s="60"/>
      <c r="HII2484" s="60"/>
      <c r="HIJ2484" s="60"/>
      <c r="HIK2484" s="57"/>
      <c r="HIL2484" s="61"/>
      <c r="HIM2484" s="57"/>
      <c r="HIN2484" s="57"/>
      <c r="HIO2484" s="67"/>
      <c r="HIP2484" s="60"/>
      <c r="HIQ2484" s="60"/>
      <c r="HIR2484" s="60"/>
      <c r="HIS2484" s="57"/>
      <c r="HIT2484" s="61"/>
      <c r="HIU2484" s="57"/>
      <c r="HIV2484" s="57"/>
      <c r="HIW2484" s="67"/>
      <c r="HIX2484" s="60"/>
      <c r="HIY2484" s="60"/>
      <c r="HIZ2484" s="60"/>
      <c r="HJA2484" s="57"/>
      <c r="HJB2484" s="61"/>
      <c r="HJC2484" s="57"/>
      <c r="HJD2484" s="57"/>
      <c r="HJE2484" s="67"/>
      <c r="HJF2484" s="60"/>
      <c r="HJG2484" s="60"/>
      <c r="HJH2484" s="60"/>
      <c r="HJI2484" s="57"/>
      <c r="HJJ2484" s="61"/>
      <c r="HJK2484" s="57"/>
      <c r="HJL2484" s="57"/>
      <c r="HJM2484" s="67"/>
      <c r="HJN2484" s="60"/>
      <c r="HJO2484" s="60"/>
      <c r="HJP2484" s="60"/>
      <c r="HJQ2484" s="57"/>
      <c r="HJR2484" s="61"/>
      <c r="HJS2484" s="57"/>
      <c r="HJT2484" s="57"/>
      <c r="HJU2484" s="67"/>
      <c r="HJV2484" s="60"/>
      <c r="HJW2484" s="60"/>
      <c r="HJX2484" s="60"/>
      <c r="HJY2484" s="57"/>
      <c r="HJZ2484" s="61"/>
      <c r="HKA2484" s="57"/>
      <c r="HKB2484" s="57"/>
      <c r="HKC2484" s="67"/>
      <c r="HKD2484" s="60"/>
      <c r="HKE2484" s="60"/>
      <c r="HKF2484" s="60"/>
      <c r="HKG2484" s="57"/>
      <c r="HKH2484" s="61"/>
      <c r="HKI2484" s="57"/>
      <c r="HKJ2484" s="57"/>
      <c r="HKK2484" s="67"/>
      <c r="HKL2484" s="60"/>
      <c r="HKM2484" s="60"/>
      <c r="HKN2484" s="60"/>
      <c r="HKO2484" s="57"/>
      <c r="HKP2484" s="61"/>
      <c r="HKQ2484" s="57"/>
      <c r="HKR2484" s="57"/>
      <c r="HKS2484" s="67"/>
      <c r="HKT2484" s="60"/>
      <c r="HKU2484" s="60"/>
      <c r="HKV2484" s="60"/>
      <c r="HKW2484" s="57"/>
      <c r="HKX2484" s="61"/>
      <c r="HKY2484" s="57"/>
      <c r="HKZ2484" s="57"/>
      <c r="HLA2484" s="67"/>
      <c r="HLB2484" s="60"/>
      <c r="HLC2484" s="60"/>
      <c r="HLD2484" s="60"/>
      <c r="HLE2484" s="57"/>
      <c r="HLF2484" s="61"/>
      <c r="HLG2484" s="57"/>
      <c r="HLH2484" s="57"/>
      <c r="HLI2484" s="67"/>
      <c r="HLJ2484" s="60"/>
      <c r="HLK2484" s="60"/>
      <c r="HLL2484" s="60"/>
      <c r="HLM2484" s="57"/>
      <c r="HLN2484" s="61"/>
      <c r="HLO2484" s="57"/>
      <c r="HLP2484" s="57"/>
      <c r="HLQ2484" s="67"/>
      <c r="HLR2484" s="60"/>
      <c r="HLS2484" s="60"/>
      <c r="HLT2484" s="60"/>
      <c r="HLU2484" s="57"/>
      <c r="HLV2484" s="61"/>
      <c r="HLW2484" s="57"/>
      <c r="HLX2484" s="57"/>
      <c r="HLY2484" s="67"/>
      <c r="HLZ2484" s="60"/>
      <c r="HMA2484" s="60"/>
      <c r="HMB2484" s="60"/>
      <c r="HMC2484" s="57"/>
      <c r="HMD2484" s="61"/>
      <c r="HME2484" s="57"/>
      <c r="HMF2484" s="57"/>
      <c r="HMG2484" s="67"/>
      <c r="HMH2484" s="60"/>
      <c r="HMI2484" s="60"/>
      <c r="HMJ2484" s="60"/>
      <c r="HMK2484" s="57"/>
      <c r="HML2484" s="61"/>
      <c r="HMM2484" s="57"/>
      <c r="HMN2484" s="57"/>
      <c r="HMO2484" s="67"/>
      <c r="HMP2484" s="60"/>
      <c r="HMQ2484" s="60"/>
      <c r="HMR2484" s="60"/>
      <c r="HMS2484" s="57"/>
      <c r="HMT2484" s="61"/>
      <c r="HMU2484" s="57"/>
      <c r="HMV2484" s="57"/>
      <c r="HMW2484" s="67"/>
      <c r="HMX2484" s="60"/>
      <c r="HMY2484" s="60"/>
      <c r="HMZ2484" s="60"/>
      <c r="HNA2484" s="57"/>
      <c r="HNB2484" s="61"/>
      <c r="HNC2484" s="57"/>
      <c r="HND2484" s="57"/>
      <c r="HNE2484" s="67"/>
      <c r="HNF2484" s="60"/>
      <c r="HNG2484" s="60"/>
      <c r="HNH2484" s="60"/>
      <c r="HNI2484" s="57"/>
      <c r="HNJ2484" s="61"/>
      <c r="HNK2484" s="57"/>
      <c r="HNL2484" s="57"/>
      <c r="HNM2484" s="67"/>
      <c r="HNN2484" s="60"/>
      <c r="HNO2484" s="60"/>
      <c r="HNP2484" s="60"/>
      <c r="HNQ2484" s="57"/>
      <c r="HNR2484" s="61"/>
      <c r="HNS2484" s="57"/>
      <c r="HNT2484" s="57"/>
      <c r="HNU2484" s="67"/>
      <c r="HNV2484" s="60"/>
      <c r="HNW2484" s="60"/>
      <c r="HNX2484" s="60"/>
      <c r="HNY2484" s="57"/>
      <c r="HNZ2484" s="61"/>
      <c r="HOA2484" s="57"/>
      <c r="HOB2484" s="57"/>
      <c r="HOC2484" s="67"/>
      <c r="HOD2484" s="60"/>
      <c r="HOE2484" s="60"/>
      <c r="HOF2484" s="60"/>
      <c r="HOG2484" s="57"/>
      <c r="HOH2484" s="61"/>
      <c r="HOI2484" s="57"/>
      <c r="HOJ2484" s="57"/>
      <c r="HOK2484" s="67"/>
      <c r="HOL2484" s="60"/>
      <c r="HOM2484" s="60"/>
      <c r="HON2484" s="60"/>
      <c r="HOO2484" s="57"/>
      <c r="HOP2484" s="61"/>
      <c r="HOQ2484" s="57"/>
      <c r="HOR2484" s="57"/>
      <c r="HOS2484" s="67"/>
      <c r="HOT2484" s="60"/>
      <c r="HOU2484" s="60"/>
      <c r="HOV2484" s="60"/>
      <c r="HOW2484" s="57"/>
      <c r="HOX2484" s="61"/>
      <c r="HOY2484" s="57"/>
      <c r="HOZ2484" s="57"/>
      <c r="HPA2484" s="67"/>
      <c r="HPB2484" s="60"/>
      <c r="HPC2484" s="60"/>
      <c r="HPD2484" s="60"/>
      <c r="HPE2484" s="57"/>
      <c r="HPF2484" s="61"/>
      <c r="HPG2484" s="57"/>
      <c r="HPH2484" s="57"/>
      <c r="HPI2484" s="67"/>
      <c r="HPJ2484" s="60"/>
      <c r="HPK2484" s="60"/>
      <c r="HPL2484" s="60"/>
      <c r="HPM2484" s="57"/>
      <c r="HPN2484" s="61"/>
      <c r="HPO2484" s="57"/>
      <c r="HPP2484" s="57"/>
      <c r="HPQ2484" s="67"/>
      <c r="HPR2484" s="60"/>
      <c r="HPS2484" s="60"/>
      <c r="HPT2484" s="60"/>
      <c r="HPU2484" s="57"/>
      <c r="HPV2484" s="61"/>
      <c r="HPW2484" s="57"/>
      <c r="HPX2484" s="57"/>
      <c r="HPY2484" s="67"/>
      <c r="HPZ2484" s="60"/>
      <c r="HQA2484" s="60"/>
      <c r="HQB2484" s="60"/>
      <c r="HQC2484" s="57"/>
      <c r="HQD2484" s="61"/>
      <c r="HQE2484" s="57"/>
      <c r="HQF2484" s="57"/>
      <c r="HQG2484" s="67"/>
      <c r="HQH2484" s="60"/>
      <c r="HQI2484" s="60"/>
      <c r="HQJ2484" s="60"/>
      <c r="HQK2484" s="57"/>
      <c r="HQL2484" s="61"/>
      <c r="HQM2484" s="57"/>
      <c r="HQN2484" s="57"/>
      <c r="HQO2484" s="67"/>
      <c r="HQP2484" s="60"/>
      <c r="HQQ2484" s="60"/>
      <c r="HQR2484" s="60"/>
      <c r="HQS2484" s="57"/>
      <c r="HQT2484" s="61"/>
      <c r="HQU2484" s="57"/>
      <c r="HQV2484" s="57"/>
      <c r="HQW2484" s="67"/>
      <c r="HQX2484" s="60"/>
      <c r="HQY2484" s="60"/>
      <c r="HQZ2484" s="60"/>
      <c r="HRA2484" s="57"/>
      <c r="HRB2484" s="61"/>
      <c r="HRC2484" s="57"/>
      <c r="HRD2484" s="57"/>
      <c r="HRE2484" s="67"/>
      <c r="HRF2484" s="60"/>
      <c r="HRG2484" s="60"/>
      <c r="HRH2484" s="60"/>
      <c r="HRI2484" s="57"/>
      <c r="HRJ2484" s="61"/>
      <c r="HRK2484" s="57"/>
      <c r="HRL2484" s="57"/>
      <c r="HRM2484" s="67"/>
      <c r="HRN2484" s="60"/>
      <c r="HRO2484" s="60"/>
      <c r="HRP2484" s="60"/>
      <c r="HRQ2484" s="57"/>
      <c r="HRR2484" s="61"/>
      <c r="HRS2484" s="57"/>
      <c r="HRT2484" s="57"/>
      <c r="HRU2484" s="67"/>
      <c r="HRV2484" s="60"/>
      <c r="HRW2484" s="60"/>
      <c r="HRX2484" s="60"/>
      <c r="HRY2484" s="57"/>
      <c r="HRZ2484" s="61"/>
      <c r="HSA2484" s="57"/>
      <c r="HSB2484" s="57"/>
      <c r="HSC2484" s="67"/>
      <c r="HSD2484" s="60"/>
      <c r="HSE2484" s="60"/>
      <c r="HSF2484" s="60"/>
      <c r="HSG2484" s="57"/>
      <c r="HSH2484" s="61"/>
      <c r="HSI2484" s="57"/>
      <c r="HSJ2484" s="57"/>
      <c r="HSK2484" s="67"/>
      <c r="HSL2484" s="60"/>
      <c r="HSM2484" s="60"/>
      <c r="HSN2484" s="60"/>
      <c r="HSO2484" s="57"/>
      <c r="HSP2484" s="61"/>
      <c r="HSQ2484" s="57"/>
      <c r="HSR2484" s="57"/>
      <c r="HSS2484" s="67"/>
      <c r="HST2484" s="60"/>
      <c r="HSU2484" s="60"/>
      <c r="HSV2484" s="60"/>
      <c r="HSW2484" s="57"/>
      <c r="HSX2484" s="61"/>
      <c r="HSY2484" s="57"/>
      <c r="HSZ2484" s="57"/>
      <c r="HTA2484" s="67"/>
      <c r="HTB2484" s="60"/>
      <c r="HTC2484" s="60"/>
      <c r="HTD2484" s="60"/>
      <c r="HTE2484" s="57"/>
      <c r="HTF2484" s="61"/>
      <c r="HTG2484" s="57"/>
      <c r="HTH2484" s="57"/>
      <c r="HTI2484" s="67"/>
      <c r="HTJ2484" s="60"/>
      <c r="HTK2484" s="60"/>
      <c r="HTL2484" s="60"/>
      <c r="HTM2484" s="57"/>
      <c r="HTN2484" s="61"/>
      <c r="HTO2484" s="57"/>
      <c r="HTP2484" s="57"/>
      <c r="HTQ2484" s="67"/>
      <c r="HTR2484" s="60"/>
      <c r="HTS2484" s="60"/>
      <c r="HTT2484" s="60"/>
      <c r="HTU2484" s="57"/>
      <c r="HTV2484" s="61"/>
      <c r="HTW2484" s="57"/>
      <c r="HTX2484" s="57"/>
      <c r="HTY2484" s="67"/>
      <c r="HTZ2484" s="60"/>
      <c r="HUA2484" s="60"/>
      <c r="HUB2484" s="60"/>
      <c r="HUC2484" s="57"/>
      <c r="HUD2484" s="61"/>
      <c r="HUE2484" s="57"/>
      <c r="HUF2484" s="57"/>
      <c r="HUG2484" s="67"/>
      <c r="HUH2484" s="60"/>
      <c r="HUI2484" s="60"/>
      <c r="HUJ2484" s="60"/>
      <c r="HUK2484" s="57"/>
      <c r="HUL2484" s="61"/>
      <c r="HUM2484" s="57"/>
      <c r="HUN2484" s="57"/>
      <c r="HUO2484" s="67"/>
      <c r="HUP2484" s="60"/>
      <c r="HUQ2484" s="60"/>
      <c r="HUR2484" s="60"/>
      <c r="HUS2484" s="57"/>
      <c r="HUT2484" s="61"/>
      <c r="HUU2484" s="57"/>
      <c r="HUV2484" s="57"/>
      <c r="HUW2484" s="67"/>
      <c r="HUX2484" s="60"/>
      <c r="HUY2484" s="60"/>
      <c r="HUZ2484" s="60"/>
      <c r="HVA2484" s="57"/>
      <c r="HVB2484" s="61"/>
      <c r="HVC2484" s="57"/>
      <c r="HVD2484" s="57"/>
      <c r="HVE2484" s="67"/>
      <c r="HVF2484" s="60"/>
      <c r="HVG2484" s="60"/>
      <c r="HVH2484" s="60"/>
      <c r="HVI2484" s="57"/>
      <c r="HVJ2484" s="61"/>
      <c r="HVK2484" s="57"/>
      <c r="HVL2484" s="57"/>
      <c r="HVM2484" s="67"/>
      <c r="HVN2484" s="60"/>
      <c r="HVO2484" s="60"/>
      <c r="HVP2484" s="60"/>
      <c r="HVQ2484" s="57"/>
      <c r="HVR2484" s="61"/>
      <c r="HVS2484" s="57"/>
      <c r="HVT2484" s="57"/>
      <c r="HVU2484" s="67"/>
      <c r="HVV2484" s="60"/>
      <c r="HVW2484" s="60"/>
      <c r="HVX2484" s="60"/>
      <c r="HVY2484" s="57"/>
      <c r="HVZ2484" s="61"/>
      <c r="HWA2484" s="57"/>
      <c r="HWB2484" s="57"/>
      <c r="HWC2484" s="67"/>
      <c r="HWD2484" s="60"/>
      <c r="HWE2484" s="60"/>
      <c r="HWF2484" s="60"/>
      <c r="HWG2484" s="57"/>
      <c r="HWH2484" s="61"/>
      <c r="HWI2484" s="57"/>
      <c r="HWJ2484" s="57"/>
      <c r="HWK2484" s="67"/>
      <c r="HWL2484" s="60"/>
      <c r="HWM2484" s="60"/>
      <c r="HWN2484" s="60"/>
      <c r="HWO2484" s="57"/>
      <c r="HWP2484" s="61"/>
      <c r="HWQ2484" s="57"/>
      <c r="HWR2484" s="57"/>
      <c r="HWS2484" s="67"/>
      <c r="HWT2484" s="60"/>
      <c r="HWU2484" s="60"/>
      <c r="HWV2484" s="60"/>
      <c r="HWW2484" s="57"/>
      <c r="HWX2484" s="61"/>
      <c r="HWY2484" s="57"/>
      <c r="HWZ2484" s="57"/>
      <c r="HXA2484" s="67"/>
      <c r="HXB2484" s="60"/>
      <c r="HXC2484" s="60"/>
      <c r="HXD2484" s="60"/>
      <c r="HXE2484" s="57"/>
      <c r="HXF2484" s="61"/>
      <c r="HXG2484" s="57"/>
      <c r="HXH2484" s="57"/>
      <c r="HXI2484" s="67"/>
      <c r="HXJ2484" s="60"/>
      <c r="HXK2484" s="60"/>
      <c r="HXL2484" s="60"/>
      <c r="HXM2484" s="57"/>
      <c r="HXN2484" s="61"/>
      <c r="HXO2484" s="57"/>
      <c r="HXP2484" s="57"/>
      <c r="HXQ2484" s="67"/>
      <c r="HXR2484" s="60"/>
      <c r="HXS2484" s="60"/>
      <c r="HXT2484" s="60"/>
      <c r="HXU2484" s="57"/>
      <c r="HXV2484" s="61"/>
      <c r="HXW2484" s="57"/>
      <c r="HXX2484" s="57"/>
      <c r="HXY2484" s="67"/>
      <c r="HXZ2484" s="60"/>
      <c r="HYA2484" s="60"/>
      <c r="HYB2484" s="60"/>
      <c r="HYC2484" s="57"/>
      <c r="HYD2484" s="61"/>
      <c r="HYE2484" s="57"/>
      <c r="HYF2484" s="57"/>
      <c r="HYG2484" s="67"/>
      <c r="HYH2484" s="60"/>
      <c r="HYI2484" s="60"/>
      <c r="HYJ2484" s="60"/>
      <c r="HYK2484" s="57"/>
      <c r="HYL2484" s="61"/>
      <c r="HYM2484" s="57"/>
      <c r="HYN2484" s="57"/>
      <c r="HYO2484" s="67"/>
      <c r="HYP2484" s="60"/>
      <c r="HYQ2484" s="60"/>
      <c r="HYR2484" s="60"/>
      <c r="HYS2484" s="57"/>
      <c r="HYT2484" s="61"/>
      <c r="HYU2484" s="57"/>
      <c r="HYV2484" s="57"/>
      <c r="HYW2484" s="67"/>
      <c r="HYX2484" s="60"/>
      <c r="HYY2484" s="60"/>
      <c r="HYZ2484" s="60"/>
      <c r="HZA2484" s="57"/>
      <c r="HZB2484" s="61"/>
      <c r="HZC2484" s="57"/>
      <c r="HZD2484" s="57"/>
      <c r="HZE2484" s="67"/>
      <c r="HZF2484" s="60"/>
      <c r="HZG2484" s="60"/>
      <c r="HZH2484" s="60"/>
      <c r="HZI2484" s="57"/>
      <c r="HZJ2484" s="61"/>
      <c r="HZK2484" s="57"/>
      <c r="HZL2484" s="57"/>
      <c r="HZM2484" s="67"/>
      <c r="HZN2484" s="60"/>
      <c r="HZO2484" s="60"/>
      <c r="HZP2484" s="60"/>
      <c r="HZQ2484" s="57"/>
      <c r="HZR2484" s="61"/>
      <c r="HZS2484" s="57"/>
      <c r="HZT2484" s="57"/>
      <c r="HZU2484" s="67"/>
      <c r="HZV2484" s="60"/>
      <c r="HZW2484" s="60"/>
      <c r="HZX2484" s="60"/>
      <c r="HZY2484" s="57"/>
      <c r="HZZ2484" s="61"/>
      <c r="IAA2484" s="57"/>
      <c r="IAB2484" s="57"/>
      <c r="IAC2484" s="67"/>
      <c r="IAD2484" s="60"/>
      <c r="IAE2484" s="60"/>
      <c r="IAF2484" s="60"/>
      <c r="IAG2484" s="57"/>
      <c r="IAH2484" s="61"/>
      <c r="IAI2484" s="57"/>
      <c r="IAJ2484" s="57"/>
      <c r="IAK2484" s="67"/>
      <c r="IAL2484" s="60"/>
      <c r="IAM2484" s="60"/>
      <c r="IAN2484" s="60"/>
      <c r="IAO2484" s="57"/>
      <c r="IAP2484" s="61"/>
      <c r="IAQ2484" s="57"/>
      <c r="IAR2484" s="57"/>
      <c r="IAS2484" s="67"/>
      <c r="IAT2484" s="60"/>
      <c r="IAU2484" s="60"/>
      <c r="IAV2484" s="60"/>
      <c r="IAW2484" s="57"/>
      <c r="IAX2484" s="61"/>
      <c r="IAY2484" s="57"/>
      <c r="IAZ2484" s="57"/>
      <c r="IBA2484" s="67"/>
      <c r="IBB2484" s="60"/>
      <c r="IBC2484" s="60"/>
      <c r="IBD2484" s="60"/>
      <c r="IBE2484" s="57"/>
      <c r="IBF2484" s="61"/>
      <c r="IBG2484" s="57"/>
      <c r="IBH2484" s="57"/>
      <c r="IBI2484" s="67"/>
      <c r="IBJ2484" s="60"/>
      <c r="IBK2484" s="60"/>
      <c r="IBL2484" s="60"/>
      <c r="IBM2484" s="57"/>
      <c r="IBN2484" s="61"/>
      <c r="IBO2484" s="57"/>
      <c r="IBP2484" s="57"/>
      <c r="IBQ2484" s="67"/>
      <c r="IBR2484" s="60"/>
      <c r="IBS2484" s="60"/>
      <c r="IBT2484" s="60"/>
      <c r="IBU2484" s="57"/>
      <c r="IBV2484" s="61"/>
      <c r="IBW2484" s="57"/>
      <c r="IBX2484" s="57"/>
      <c r="IBY2484" s="67"/>
      <c r="IBZ2484" s="60"/>
      <c r="ICA2484" s="60"/>
      <c r="ICB2484" s="60"/>
      <c r="ICC2484" s="57"/>
      <c r="ICD2484" s="61"/>
      <c r="ICE2484" s="57"/>
      <c r="ICF2484" s="57"/>
      <c r="ICG2484" s="67"/>
      <c r="ICH2484" s="60"/>
      <c r="ICI2484" s="60"/>
      <c r="ICJ2484" s="60"/>
      <c r="ICK2484" s="57"/>
      <c r="ICL2484" s="61"/>
      <c r="ICM2484" s="57"/>
      <c r="ICN2484" s="57"/>
      <c r="ICO2484" s="67"/>
      <c r="ICP2484" s="60"/>
      <c r="ICQ2484" s="60"/>
      <c r="ICR2484" s="60"/>
      <c r="ICS2484" s="57"/>
      <c r="ICT2484" s="61"/>
      <c r="ICU2484" s="57"/>
      <c r="ICV2484" s="57"/>
      <c r="ICW2484" s="67"/>
      <c r="ICX2484" s="60"/>
      <c r="ICY2484" s="60"/>
      <c r="ICZ2484" s="60"/>
      <c r="IDA2484" s="57"/>
      <c r="IDB2484" s="61"/>
      <c r="IDC2484" s="57"/>
      <c r="IDD2484" s="57"/>
      <c r="IDE2484" s="67"/>
      <c r="IDF2484" s="60"/>
      <c r="IDG2484" s="60"/>
      <c r="IDH2484" s="60"/>
      <c r="IDI2484" s="57"/>
      <c r="IDJ2484" s="61"/>
      <c r="IDK2484" s="57"/>
      <c r="IDL2484" s="57"/>
      <c r="IDM2484" s="67"/>
      <c r="IDN2484" s="60"/>
      <c r="IDO2484" s="60"/>
      <c r="IDP2484" s="60"/>
      <c r="IDQ2484" s="57"/>
      <c r="IDR2484" s="61"/>
      <c r="IDS2484" s="57"/>
      <c r="IDT2484" s="57"/>
      <c r="IDU2484" s="67"/>
      <c r="IDV2484" s="60"/>
      <c r="IDW2484" s="60"/>
      <c r="IDX2484" s="60"/>
      <c r="IDY2484" s="57"/>
      <c r="IDZ2484" s="61"/>
      <c r="IEA2484" s="57"/>
      <c r="IEB2484" s="57"/>
      <c r="IEC2484" s="67"/>
      <c r="IED2484" s="60"/>
      <c r="IEE2484" s="60"/>
      <c r="IEF2484" s="60"/>
      <c r="IEG2484" s="57"/>
      <c r="IEH2484" s="61"/>
      <c r="IEI2484" s="57"/>
      <c r="IEJ2484" s="57"/>
      <c r="IEK2484" s="67"/>
      <c r="IEL2484" s="60"/>
      <c r="IEM2484" s="60"/>
      <c r="IEN2484" s="60"/>
      <c r="IEO2484" s="57"/>
      <c r="IEP2484" s="61"/>
      <c r="IEQ2484" s="57"/>
      <c r="IER2484" s="57"/>
      <c r="IES2484" s="67"/>
      <c r="IET2484" s="60"/>
      <c r="IEU2484" s="60"/>
      <c r="IEV2484" s="60"/>
      <c r="IEW2484" s="57"/>
      <c r="IEX2484" s="61"/>
      <c r="IEY2484" s="57"/>
      <c r="IEZ2484" s="57"/>
      <c r="IFA2484" s="67"/>
      <c r="IFB2484" s="60"/>
      <c r="IFC2484" s="60"/>
      <c r="IFD2484" s="60"/>
      <c r="IFE2484" s="57"/>
      <c r="IFF2484" s="61"/>
      <c r="IFG2484" s="57"/>
      <c r="IFH2484" s="57"/>
      <c r="IFI2484" s="67"/>
      <c r="IFJ2484" s="60"/>
      <c r="IFK2484" s="60"/>
      <c r="IFL2484" s="60"/>
      <c r="IFM2484" s="57"/>
      <c r="IFN2484" s="61"/>
      <c r="IFO2484" s="57"/>
      <c r="IFP2484" s="57"/>
      <c r="IFQ2484" s="67"/>
      <c r="IFR2484" s="60"/>
      <c r="IFS2484" s="60"/>
      <c r="IFT2484" s="60"/>
      <c r="IFU2484" s="57"/>
      <c r="IFV2484" s="61"/>
      <c r="IFW2484" s="57"/>
      <c r="IFX2484" s="57"/>
      <c r="IFY2484" s="67"/>
      <c r="IFZ2484" s="60"/>
      <c r="IGA2484" s="60"/>
      <c r="IGB2484" s="60"/>
      <c r="IGC2484" s="57"/>
      <c r="IGD2484" s="61"/>
      <c r="IGE2484" s="57"/>
      <c r="IGF2484" s="57"/>
      <c r="IGG2484" s="67"/>
      <c r="IGH2484" s="60"/>
      <c r="IGI2484" s="60"/>
      <c r="IGJ2484" s="60"/>
      <c r="IGK2484" s="57"/>
      <c r="IGL2484" s="61"/>
      <c r="IGM2484" s="57"/>
      <c r="IGN2484" s="57"/>
      <c r="IGO2484" s="67"/>
      <c r="IGP2484" s="60"/>
      <c r="IGQ2484" s="60"/>
      <c r="IGR2484" s="60"/>
      <c r="IGS2484" s="57"/>
      <c r="IGT2484" s="61"/>
      <c r="IGU2484" s="57"/>
      <c r="IGV2484" s="57"/>
      <c r="IGW2484" s="67"/>
      <c r="IGX2484" s="60"/>
      <c r="IGY2484" s="60"/>
      <c r="IGZ2484" s="60"/>
      <c r="IHA2484" s="57"/>
      <c r="IHB2484" s="61"/>
      <c r="IHC2484" s="57"/>
      <c r="IHD2484" s="57"/>
      <c r="IHE2484" s="67"/>
      <c r="IHF2484" s="60"/>
      <c r="IHG2484" s="60"/>
      <c r="IHH2484" s="60"/>
      <c r="IHI2484" s="57"/>
      <c r="IHJ2484" s="61"/>
      <c r="IHK2484" s="57"/>
      <c r="IHL2484" s="57"/>
      <c r="IHM2484" s="67"/>
      <c r="IHN2484" s="60"/>
      <c r="IHO2484" s="60"/>
      <c r="IHP2484" s="60"/>
      <c r="IHQ2484" s="57"/>
      <c r="IHR2484" s="61"/>
      <c r="IHS2484" s="57"/>
      <c r="IHT2484" s="57"/>
      <c r="IHU2484" s="67"/>
      <c r="IHV2484" s="60"/>
      <c r="IHW2484" s="60"/>
      <c r="IHX2484" s="60"/>
      <c r="IHY2484" s="57"/>
      <c r="IHZ2484" s="61"/>
      <c r="IIA2484" s="57"/>
      <c r="IIB2484" s="57"/>
      <c r="IIC2484" s="67"/>
      <c r="IID2484" s="60"/>
      <c r="IIE2484" s="60"/>
      <c r="IIF2484" s="60"/>
      <c r="IIG2484" s="57"/>
      <c r="IIH2484" s="61"/>
      <c r="III2484" s="57"/>
      <c r="IIJ2484" s="57"/>
      <c r="IIK2484" s="67"/>
      <c r="IIL2484" s="60"/>
      <c r="IIM2484" s="60"/>
      <c r="IIN2484" s="60"/>
      <c r="IIO2484" s="57"/>
      <c r="IIP2484" s="61"/>
      <c r="IIQ2484" s="57"/>
      <c r="IIR2484" s="57"/>
      <c r="IIS2484" s="67"/>
      <c r="IIT2484" s="60"/>
      <c r="IIU2484" s="60"/>
      <c r="IIV2484" s="60"/>
      <c r="IIW2484" s="57"/>
      <c r="IIX2484" s="61"/>
      <c r="IIY2484" s="57"/>
      <c r="IIZ2484" s="57"/>
      <c r="IJA2484" s="67"/>
      <c r="IJB2484" s="60"/>
      <c r="IJC2484" s="60"/>
      <c r="IJD2484" s="60"/>
      <c r="IJE2484" s="57"/>
      <c r="IJF2484" s="61"/>
      <c r="IJG2484" s="57"/>
      <c r="IJH2484" s="57"/>
      <c r="IJI2484" s="67"/>
      <c r="IJJ2484" s="60"/>
      <c r="IJK2484" s="60"/>
      <c r="IJL2484" s="60"/>
      <c r="IJM2484" s="57"/>
      <c r="IJN2484" s="61"/>
      <c r="IJO2484" s="57"/>
      <c r="IJP2484" s="57"/>
      <c r="IJQ2484" s="67"/>
      <c r="IJR2484" s="60"/>
      <c r="IJS2484" s="60"/>
      <c r="IJT2484" s="60"/>
      <c r="IJU2484" s="57"/>
      <c r="IJV2484" s="61"/>
      <c r="IJW2484" s="57"/>
      <c r="IJX2484" s="57"/>
      <c r="IJY2484" s="67"/>
      <c r="IJZ2484" s="60"/>
      <c r="IKA2484" s="60"/>
      <c r="IKB2484" s="60"/>
      <c r="IKC2484" s="57"/>
      <c r="IKD2484" s="61"/>
      <c r="IKE2484" s="57"/>
      <c r="IKF2484" s="57"/>
      <c r="IKG2484" s="67"/>
      <c r="IKH2484" s="60"/>
      <c r="IKI2484" s="60"/>
      <c r="IKJ2484" s="60"/>
      <c r="IKK2484" s="57"/>
      <c r="IKL2484" s="61"/>
      <c r="IKM2484" s="57"/>
      <c r="IKN2484" s="57"/>
      <c r="IKO2484" s="67"/>
      <c r="IKP2484" s="60"/>
      <c r="IKQ2484" s="60"/>
      <c r="IKR2484" s="60"/>
      <c r="IKS2484" s="57"/>
      <c r="IKT2484" s="61"/>
      <c r="IKU2484" s="57"/>
      <c r="IKV2484" s="57"/>
      <c r="IKW2484" s="67"/>
      <c r="IKX2484" s="60"/>
      <c r="IKY2484" s="60"/>
      <c r="IKZ2484" s="60"/>
      <c r="ILA2484" s="57"/>
      <c r="ILB2484" s="61"/>
      <c r="ILC2484" s="57"/>
      <c r="ILD2484" s="57"/>
      <c r="ILE2484" s="67"/>
      <c r="ILF2484" s="60"/>
      <c r="ILG2484" s="60"/>
      <c r="ILH2484" s="60"/>
      <c r="ILI2484" s="57"/>
      <c r="ILJ2484" s="61"/>
      <c r="ILK2484" s="57"/>
      <c r="ILL2484" s="57"/>
      <c r="ILM2484" s="67"/>
      <c r="ILN2484" s="60"/>
      <c r="ILO2484" s="60"/>
      <c r="ILP2484" s="60"/>
      <c r="ILQ2484" s="57"/>
      <c r="ILR2484" s="61"/>
      <c r="ILS2484" s="57"/>
      <c r="ILT2484" s="57"/>
      <c r="ILU2484" s="67"/>
      <c r="ILV2484" s="60"/>
      <c r="ILW2484" s="60"/>
      <c r="ILX2484" s="60"/>
      <c r="ILY2484" s="57"/>
      <c r="ILZ2484" s="61"/>
      <c r="IMA2484" s="57"/>
      <c r="IMB2484" s="57"/>
      <c r="IMC2484" s="67"/>
      <c r="IMD2484" s="60"/>
      <c r="IME2484" s="60"/>
      <c r="IMF2484" s="60"/>
      <c r="IMG2484" s="57"/>
      <c r="IMH2484" s="61"/>
      <c r="IMI2484" s="57"/>
      <c r="IMJ2484" s="57"/>
      <c r="IMK2484" s="67"/>
      <c r="IML2484" s="60"/>
      <c r="IMM2484" s="60"/>
      <c r="IMN2484" s="60"/>
      <c r="IMO2484" s="57"/>
      <c r="IMP2484" s="61"/>
      <c r="IMQ2484" s="57"/>
      <c r="IMR2484" s="57"/>
      <c r="IMS2484" s="67"/>
      <c r="IMT2484" s="60"/>
      <c r="IMU2484" s="60"/>
      <c r="IMV2484" s="60"/>
      <c r="IMW2484" s="57"/>
      <c r="IMX2484" s="61"/>
      <c r="IMY2484" s="57"/>
      <c r="IMZ2484" s="57"/>
      <c r="INA2484" s="67"/>
      <c r="INB2484" s="60"/>
      <c r="INC2484" s="60"/>
      <c r="IND2484" s="60"/>
      <c r="INE2484" s="57"/>
      <c r="INF2484" s="61"/>
      <c r="ING2484" s="57"/>
      <c r="INH2484" s="57"/>
      <c r="INI2484" s="67"/>
      <c r="INJ2484" s="60"/>
      <c r="INK2484" s="60"/>
      <c r="INL2484" s="60"/>
      <c r="INM2484" s="57"/>
      <c r="INN2484" s="61"/>
      <c r="INO2484" s="57"/>
      <c r="INP2484" s="57"/>
      <c r="INQ2484" s="67"/>
      <c r="INR2484" s="60"/>
      <c r="INS2484" s="60"/>
      <c r="INT2484" s="60"/>
      <c r="INU2484" s="57"/>
      <c r="INV2484" s="61"/>
      <c r="INW2484" s="57"/>
      <c r="INX2484" s="57"/>
      <c r="INY2484" s="67"/>
      <c r="INZ2484" s="60"/>
      <c r="IOA2484" s="60"/>
      <c r="IOB2484" s="60"/>
      <c r="IOC2484" s="57"/>
      <c r="IOD2484" s="61"/>
      <c r="IOE2484" s="57"/>
      <c r="IOF2484" s="57"/>
      <c r="IOG2484" s="67"/>
      <c r="IOH2484" s="60"/>
      <c r="IOI2484" s="60"/>
      <c r="IOJ2484" s="60"/>
      <c r="IOK2484" s="57"/>
      <c r="IOL2484" s="61"/>
      <c r="IOM2484" s="57"/>
      <c r="ION2484" s="57"/>
      <c r="IOO2484" s="67"/>
      <c r="IOP2484" s="60"/>
      <c r="IOQ2484" s="60"/>
      <c r="IOR2484" s="60"/>
      <c r="IOS2484" s="57"/>
      <c r="IOT2484" s="61"/>
      <c r="IOU2484" s="57"/>
      <c r="IOV2484" s="57"/>
      <c r="IOW2484" s="67"/>
      <c r="IOX2484" s="60"/>
      <c r="IOY2484" s="60"/>
      <c r="IOZ2484" s="60"/>
      <c r="IPA2484" s="57"/>
      <c r="IPB2484" s="61"/>
      <c r="IPC2484" s="57"/>
      <c r="IPD2484" s="57"/>
      <c r="IPE2484" s="67"/>
      <c r="IPF2484" s="60"/>
      <c r="IPG2484" s="60"/>
      <c r="IPH2484" s="60"/>
      <c r="IPI2484" s="57"/>
      <c r="IPJ2484" s="61"/>
      <c r="IPK2484" s="57"/>
      <c r="IPL2484" s="57"/>
      <c r="IPM2484" s="67"/>
      <c r="IPN2484" s="60"/>
      <c r="IPO2484" s="60"/>
      <c r="IPP2484" s="60"/>
      <c r="IPQ2484" s="57"/>
      <c r="IPR2484" s="61"/>
      <c r="IPS2484" s="57"/>
      <c r="IPT2484" s="57"/>
      <c r="IPU2484" s="67"/>
      <c r="IPV2484" s="60"/>
      <c r="IPW2484" s="60"/>
      <c r="IPX2484" s="60"/>
      <c r="IPY2484" s="57"/>
      <c r="IPZ2484" s="61"/>
      <c r="IQA2484" s="57"/>
      <c r="IQB2484" s="57"/>
      <c r="IQC2484" s="67"/>
      <c r="IQD2484" s="60"/>
      <c r="IQE2484" s="60"/>
      <c r="IQF2484" s="60"/>
      <c r="IQG2484" s="57"/>
      <c r="IQH2484" s="61"/>
      <c r="IQI2484" s="57"/>
      <c r="IQJ2484" s="57"/>
      <c r="IQK2484" s="67"/>
      <c r="IQL2484" s="60"/>
      <c r="IQM2484" s="60"/>
      <c r="IQN2484" s="60"/>
      <c r="IQO2484" s="57"/>
      <c r="IQP2484" s="61"/>
      <c r="IQQ2484" s="57"/>
      <c r="IQR2484" s="57"/>
      <c r="IQS2484" s="67"/>
      <c r="IQT2484" s="60"/>
      <c r="IQU2484" s="60"/>
      <c r="IQV2484" s="60"/>
      <c r="IQW2484" s="57"/>
      <c r="IQX2484" s="61"/>
      <c r="IQY2484" s="57"/>
      <c r="IQZ2484" s="57"/>
      <c r="IRA2484" s="67"/>
      <c r="IRB2484" s="60"/>
      <c r="IRC2484" s="60"/>
      <c r="IRD2484" s="60"/>
      <c r="IRE2484" s="57"/>
      <c r="IRF2484" s="61"/>
      <c r="IRG2484" s="57"/>
      <c r="IRH2484" s="57"/>
      <c r="IRI2484" s="67"/>
      <c r="IRJ2484" s="60"/>
      <c r="IRK2484" s="60"/>
      <c r="IRL2484" s="60"/>
      <c r="IRM2484" s="57"/>
      <c r="IRN2484" s="61"/>
      <c r="IRO2484" s="57"/>
      <c r="IRP2484" s="57"/>
      <c r="IRQ2484" s="67"/>
      <c r="IRR2484" s="60"/>
      <c r="IRS2484" s="60"/>
      <c r="IRT2484" s="60"/>
      <c r="IRU2484" s="57"/>
      <c r="IRV2484" s="61"/>
      <c r="IRW2484" s="57"/>
      <c r="IRX2484" s="57"/>
      <c r="IRY2484" s="67"/>
      <c r="IRZ2484" s="60"/>
      <c r="ISA2484" s="60"/>
      <c r="ISB2484" s="60"/>
      <c r="ISC2484" s="57"/>
      <c r="ISD2484" s="61"/>
      <c r="ISE2484" s="57"/>
      <c r="ISF2484" s="57"/>
      <c r="ISG2484" s="67"/>
      <c r="ISH2484" s="60"/>
      <c r="ISI2484" s="60"/>
      <c r="ISJ2484" s="60"/>
      <c r="ISK2484" s="57"/>
      <c r="ISL2484" s="61"/>
      <c r="ISM2484" s="57"/>
      <c r="ISN2484" s="57"/>
      <c r="ISO2484" s="67"/>
      <c r="ISP2484" s="60"/>
      <c r="ISQ2484" s="60"/>
      <c r="ISR2484" s="60"/>
      <c r="ISS2484" s="57"/>
      <c r="IST2484" s="61"/>
      <c r="ISU2484" s="57"/>
      <c r="ISV2484" s="57"/>
      <c r="ISW2484" s="67"/>
      <c r="ISX2484" s="60"/>
      <c r="ISY2484" s="60"/>
      <c r="ISZ2484" s="60"/>
      <c r="ITA2484" s="57"/>
      <c r="ITB2484" s="61"/>
      <c r="ITC2484" s="57"/>
      <c r="ITD2484" s="57"/>
      <c r="ITE2484" s="67"/>
      <c r="ITF2484" s="60"/>
      <c r="ITG2484" s="60"/>
      <c r="ITH2484" s="60"/>
      <c r="ITI2484" s="57"/>
      <c r="ITJ2484" s="61"/>
      <c r="ITK2484" s="57"/>
      <c r="ITL2484" s="57"/>
      <c r="ITM2484" s="67"/>
      <c r="ITN2484" s="60"/>
      <c r="ITO2484" s="60"/>
      <c r="ITP2484" s="60"/>
      <c r="ITQ2484" s="57"/>
      <c r="ITR2484" s="61"/>
      <c r="ITS2484" s="57"/>
      <c r="ITT2484" s="57"/>
      <c r="ITU2484" s="67"/>
      <c r="ITV2484" s="60"/>
      <c r="ITW2484" s="60"/>
      <c r="ITX2484" s="60"/>
      <c r="ITY2484" s="57"/>
      <c r="ITZ2484" s="61"/>
      <c r="IUA2484" s="57"/>
      <c r="IUB2484" s="57"/>
      <c r="IUC2484" s="67"/>
      <c r="IUD2484" s="60"/>
      <c r="IUE2484" s="60"/>
      <c r="IUF2484" s="60"/>
      <c r="IUG2484" s="57"/>
      <c r="IUH2484" s="61"/>
      <c r="IUI2484" s="57"/>
      <c r="IUJ2484" s="57"/>
      <c r="IUK2484" s="67"/>
      <c r="IUL2484" s="60"/>
      <c r="IUM2484" s="60"/>
      <c r="IUN2484" s="60"/>
      <c r="IUO2484" s="57"/>
      <c r="IUP2484" s="61"/>
      <c r="IUQ2484" s="57"/>
      <c r="IUR2484" s="57"/>
      <c r="IUS2484" s="67"/>
      <c r="IUT2484" s="60"/>
      <c r="IUU2484" s="60"/>
      <c r="IUV2484" s="60"/>
      <c r="IUW2484" s="57"/>
      <c r="IUX2484" s="61"/>
      <c r="IUY2484" s="57"/>
      <c r="IUZ2484" s="57"/>
      <c r="IVA2484" s="67"/>
      <c r="IVB2484" s="60"/>
      <c r="IVC2484" s="60"/>
      <c r="IVD2484" s="60"/>
      <c r="IVE2484" s="57"/>
      <c r="IVF2484" s="61"/>
      <c r="IVG2484" s="57"/>
      <c r="IVH2484" s="57"/>
      <c r="IVI2484" s="67"/>
      <c r="IVJ2484" s="60"/>
      <c r="IVK2484" s="60"/>
      <c r="IVL2484" s="60"/>
      <c r="IVM2484" s="57"/>
      <c r="IVN2484" s="61"/>
      <c r="IVO2484" s="57"/>
      <c r="IVP2484" s="57"/>
      <c r="IVQ2484" s="67"/>
      <c r="IVR2484" s="60"/>
      <c r="IVS2484" s="60"/>
      <c r="IVT2484" s="60"/>
      <c r="IVU2484" s="57"/>
      <c r="IVV2484" s="61"/>
      <c r="IVW2484" s="57"/>
      <c r="IVX2484" s="57"/>
      <c r="IVY2484" s="67"/>
      <c r="IVZ2484" s="60"/>
      <c r="IWA2484" s="60"/>
      <c r="IWB2484" s="60"/>
      <c r="IWC2484" s="57"/>
      <c r="IWD2484" s="61"/>
      <c r="IWE2484" s="57"/>
      <c r="IWF2484" s="57"/>
      <c r="IWG2484" s="67"/>
      <c r="IWH2484" s="60"/>
      <c r="IWI2484" s="60"/>
      <c r="IWJ2484" s="60"/>
      <c r="IWK2484" s="57"/>
      <c r="IWL2484" s="61"/>
      <c r="IWM2484" s="57"/>
      <c r="IWN2484" s="57"/>
      <c r="IWO2484" s="67"/>
      <c r="IWP2484" s="60"/>
      <c r="IWQ2484" s="60"/>
      <c r="IWR2484" s="60"/>
      <c r="IWS2484" s="57"/>
      <c r="IWT2484" s="61"/>
      <c r="IWU2484" s="57"/>
      <c r="IWV2484" s="57"/>
      <c r="IWW2484" s="67"/>
      <c r="IWX2484" s="60"/>
      <c r="IWY2484" s="60"/>
      <c r="IWZ2484" s="60"/>
      <c r="IXA2484" s="57"/>
      <c r="IXB2484" s="61"/>
      <c r="IXC2484" s="57"/>
      <c r="IXD2484" s="57"/>
      <c r="IXE2484" s="67"/>
      <c r="IXF2484" s="60"/>
      <c r="IXG2484" s="60"/>
      <c r="IXH2484" s="60"/>
      <c r="IXI2484" s="57"/>
      <c r="IXJ2484" s="61"/>
      <c r="IXK2484" s="57"/>
      <c r="IXL2484" s="57"/>
      <c r="IXM2484" s="67"/>
      <c r="IXN2484" s="60"/>
      <c r="IXO2484" s="60"/>
      <c r="IXP2484" s="60"/>
      <c r="IXQ2484" s="57"/>
      <c r="IXR2484" s="61"/>
      <c r="IXS2484" s="57"/>
      <c r="IXT2484" s="57"/>
      <c r="IXU2484" s="67"/>
      <c r="IXV2484" s="60"/>
      <c r="IXW2484" s="60"/>
      <c r="IXX2484" s="60"/>
      <c r="IXY2484" s="57"/>
      <c r="IXZ2484" s="61"/>
      <c r="IYA2484" s="57"/>
      <c r="IYB2484" s="57"/>
      <c r="IYC2484" s="67"/>
      <c r="IYD2484" s="60"/>
      <c r="IYE2484" s="60"/>
      <c r="IYF2484" s="60"/>
      <c r="IYG2484" s="57"/>
      <c r="IYH2484" s="61"/>
      <c r="IYI2484" s="57"/>
      <c r="IYJ2484" s="57"/>
      <c r="IYK2484" s="67"/>
      <c r="IYL2484" s="60"/>
      <c r="IYM2484" s="60"/>
      <c r="IYN2484" s="60"/>
      <c r="IYO2484" s="57"/>
      <c r="IYP2484" s="61"/>
      <c r="IYQ2484" s="57"/>
      <c r="IYR2484" s="57"/>
      <c r="IYS2484" s="67"/>
      <c r="IYT2484" s="60"/>
      <c r="IYU2484" s="60"/>
      <c r="IYV2484" s="60"/>
      <c r="IYW2484" s="57"/>
      <c r="IYX2484" s="61"/>
      <c r="IYY2484" s="57"/>
      <c r="IYZ2484" s="57"/>
      <c r="IZA2484" s="67"/>
      <c r="IZB2484" s="60"/>
      <c r="IZC2484" s="60"/>
      <c r="IZD2484" s="60"/>
      <c r="IZE2484" s="57"/>
      <c r="IZF2484" s="61"/>
      <c r="IZG2484" s="57"/>
      <c r="IZH2484" s="57"/>
      <c r="IZI2484" s="67"/>
      <c r="IZJ2484" s="60"/>
      <c r="IZK2484" s="60"/>
      <c r="IZL2484" s="60"/>
      <c r="IZM2484" s="57"/>
      <c r="IZN2484" s="61"/>
      <c r="IZO2484" s="57"/>
      <c r="IZP2484" s="57"/>
      <c r="IZQ2484" s="67"/>
      <c r="IZR2484" s="60"/>
      <c r="IZS2484" s="60"/>
      <c r="IZT2484" s="60"/>
      <c r="IZU2484" s="57"/>
      <c r="IZV2484" s="61"/>
      <c r="IZW2484" s="57"/>
      <c r="IZX2484" s="57"/>
      <c r="IZY2484" s="67"/>
      <c r="IZZ2484" s="60"/>
      <c r="JAA2484" s="60"/>
      <c r="JAB2484" s="60"/>
      <c r="JAC2484" s="57"/>
      <c r="JAD2484" s="61"/>
      <c r="JAE2484" s="57"/>
      <c r="JAF2484" s="57"/>
      <c r="JAG2484" s="67"/>
      <c r="JAH2484" s="60"/>
      <c r="JAI2484" s="60"/>
      <c r="JAJ2484" s="60"/>
      <c r="JAK2484" s="57"/>
      <c r="JAL2484" s="61"/>
      <c r="JAM2484" s="57"/>
      <c r="JAN2484" s="57"/>
      <c r="JAO2484" s="67"/>
      <c r="JAP2484" s="60"/>
      <c r="JAQ2484" s="60"/>
      <c r="JAR2484" s="60"/>
      <c r="JAS2484" s="57"/>
      <c r="JAT2484" s="61"/>
      <c r="JAU2484" s="57"/>
      <c r="JAV2484" s="57"/>
      <c r="JAW2484" s="67"/>
      <c r="JAX2484" s="60"/>
      <c r="JAY2484" s="60"/>
      <c r="JAZ2484" s="60"/>
      <c r="JBA2484" s="57"/>
      <c r="JBB2484" s="61"/>
      <c r="JBC2484" s="57"/>
      <c r="JBD2484" s="57"/>
      <c r="JBE2484" s="67"/>
      <c r="JBF2484" s="60"/>
      <c r="JBG2484" s="60"/>
      <c r="JBH2484" s="60"/>
      <c r="JBI2484" s="57"/>
      <c r="JBJ2484" s="61"/>
      <c r="JBK2484" s="57"/>
      <c r="JBL2484" s="57"/>
      <c r="JBM2484" s="67"/>
      <c r="JBN2484" s="60"/>
      <c r="JBO2484" s="60"/>
      <c r="JBP2484" s="60"/>
      <c r="JBQ2484" s="57"/>
      <c r="JBR2484" s="61"/>
      <c r="JBS2484" s="57"/>
      <c r="JBT2484" s="57"/>
      <c r="JBU2484" s="67"/>
      <c r="JBV2484" s="60"/>
      <c r="JBW2484" s="60"/>
      <c r="JBX2484" s="60"/>
      <c r="JBY2484" s="57"/>
      <c r="JBZ2484" s="61"/>
      <c r="JCA2484" s="57"/>
      <c r="JCB2484" s="57"/>
      <c r="JCC2484" s="67"/>
      <c r="JCD2484" s="60"/>
      <c r="JCE2484" s="60"/>
      <c r="JCF2484" s="60"/>
      <c r="JCG2484" s="57"/>
      <c r="JCH2484" s="61"/>
      <c r="JCI2484" s="57"/>
      <c r="JCJ2484" s="57"/>
      <c r="JCK2484" s="67"/>
      <c r="JCL2484" s="60"/>
      <c r="JCM2484" s="60"/>
      <c r="JCN2484" s="60"/>
      <c r="JCO2484" s="57"/>
      <c r="JCP2484" s="61"/>
      <c r="JCQ2484" s="57"/>
      <c r="JCR2484" s="57"/>
      <c r="JCS2484" s="67"/>
      <c r="JCT2484" s="60"/>
      <c r="JCU2484" s="60"/>
      <c r="JCV2484" s="60"/>
      <c r="JCW2484" s="57"/>
      <c r="JCX2484" s="61"/>
      <c r="JCY2484" s="57"/>
      <c r="JCZ2484" s="57"/>
      <c r="JDA2484" s="67"/>
      <c r="JDB2484" s="60"/>
      <c r="JDC2484" s="60"/>
      <c r="JDD2484" s="60"/>
      <c r="JDE2484" s="57"/>
      <c r="JDF2484" s="61"/>
      <c r="JDG2484" s="57"/>
      <c r="JDH2484" s="57"/>
      <c r="JDI2484" s="67"/>
      <c r="JDJ2484" s="60"/>
      <c r="JDK2484" s="60"/>
      <c r="JDL2484" s="60"/>
      <c r="JDM2484" s="57"/>
      <c r="JDN2484" s="61"/>
      <c r="JDO2484" s="57"/>
      <c r="JDP2484" s="57"/>
      <c r="JDQ2484" s="67"/>
      <c r="JDR2484" s="60"/>
      <c r="JDS2484" s="60"/>
      <c r="JDT2484" s="60"/>
      <c r="JDU2484" s="57"/>
      <c r="JDV2484" s="61"/>
      <c r="JDW2484" s="57"/>
      <c r="JDX2484" s="57"/>
      <c r="JDY2484" s="67"/>
      <c r="JDZ2484" s="60"/>
      <c r="JEA2484" s="60"/>
      <c r="JEB2484" s="60"/>
      <c r="JEC2484" s="57"/>
      <c r="JED2484" s="61"/>
      <c r="JEE2484" s="57"/>
      <c r="JEF2484" s="57"/>
      <c r="JEG2484" s="67"/>
      <c r="JEH2484" s="60"/>
      <c r="JEI2484" s="60"/>
      <c r="JEJ2484" s="60"/>
      <c r="JEK2484" s="57"/>
      <c r="JEL2484" s="61"/>
      <c r="JEM2484" s="57"/>
      <c r="JEN2484" s="57"/>
      <c r="JEO2484" s="67"/>
      <c r="JEP2484" s="60"/>
      <c r="JEQ2484" s="60"/>
      <c r="JER2484" s="60"/>
      <c r="JES2484" s="57"/>
      <c r="JET2484" s="61"/>
      <c r="JEU2484" s="57"/>
      <c r="JEV2484" s="57"/>
      <c r="JEW2484" s="67"/>
      <c r="JEX2484" s="60"/>
      <c r="JEY2484" s="60"/>
      <c r="JEZ2484" s="60"/>
      <c r="JFA2484" s="57"/>
      <c r="JFB2484" s="61"/>
      <c r="JFC2484" s="57"/>
      <c r="JFD2484" s="57"/>
      <c r="JFE2484" s="67"/>
      <c r="JFF2484" s="60"/>
      <c r="JFG2484" s="60"/>
      <c r="JFH2484" s="60"/>
      <c r="JFI2484" s="57"/>
      <c r="JFJ2484" s="61"/>
      <c r="JFK2484" s="57"/>
      <c r="JFL2484" s="57"/>
      <c r="JFM2484" s="67"/>
      <c r="JFN2484" s="60"/>
      <c r="JFO2484" s="60"/>
      <c r="JFP2484" s="60"/>
      <c r="JFQ2484" s="57"/>
      <c r="JFR2484" s="61"/>
      <c r="JFS2484" s="57"/>
      <c r="JFT2484" s="57"/>
      <c r="JFU2484" s="67"/>
      <c r="JFV2484" s="60"/>
      <c r="JFW2484" s="60"/>
      <c r="JFX2484" s="60"/>
      <c r="JFY2484" s="57"/>
      <c r="JFZ2484" s="61"/>
      <c r="JGA2484" s="57"/>
      <c r="JGB2484" s="57"/>
      <c r="JGC2484" s="67"/>
      <c r="JGD2484" s="60"/>
      <c r="JGE2484" s="60"/>
      <c r="JGF2484" s="60"/>
      <c r="JGG2484" s="57"/>
      <c r="JGH2484" s="61"/>
      <c r="JGI2484" s="57"/>
      <c r="JGJ2484" s="57"/>
      <c r="JGK2484" s="67"/>
      <c r="JGL2484" s="60"/>
      <c r="JGM2484" s="60"/>
      <c r="JGN2484" s="60"/>
      <c r="JGO2484" s="57"/>
      <c r="JGP2484" s="61"/>
      <c r="JGQ2484" s="57"/>
      <c r="JGR2484" s="57"/>
      <c r="JGS2484" s="67"/>
      <c r="JGT2484" s="60"/>
      <c r="JGU2484" s="60"/>
      <c r="JGV2484" s="60"/>
      <c r="JGW2484" s="57"/>
      <c r="JGX2484" s="61"/>
      <c r="JGY2484" s="57"/>
      <c r="JGZ2484" s="57"/>
      <c r="JHA2484" s="67"/>
      <c r="JHB2484" s="60"/>
      <c r="JHC2484" s="60"/>
      <c r="JHD2484" s="60"/>
      <c r="JHE2484" s="57"/>
      <c r="JHF2484" s="61"/>
      <c r="JHG2484" s="57"/>
      <c r="JHH2484" s="57"/>
      <c r="JHI2484" s="67"/>
      <c r="JHJ2484" s="60"/>
      <c r="JHK2484" s="60"/>
      <c r="JHL2484" s="60"/>
      <c r="JHM2484" s="57"/>
      <c r="JHN2484" s="61"/>
      <c r="JHO2484" s="57"/>
      <c r="JHP2484" s="57"/>
      <c r="JHQ2484" s="67"/>
      <c r="JHR2484" s="60"/>
      <c r="JHS2484" s="60"/>
      <c r="JHT2484" s="60"/>
      <c r="JHU2484" s="57"/>
      <c r="JHV2484" s="61"/>
      <c r="JHW2484" s="57"/>
      <c r="JHX2484" s="57"/>
      <c r="JHY2484" s="67"/>
      <c r="JHZ2484" s="60"/>
      <c r="JIA2484" s="60"/>
      <c r="JIB2484" s="60"/>
      <c r="JIC2484" s="57"/>
      <c r="JID2484" s="61"/>
      <c r="JIE2484" s="57"/>
      <c r="JIF2484" s="57"/>
      <c r="JIG2484" s="67"/>
      <c r="JIH2484" s="60"/>
      <c r="JII2484" s="60"/>
      <c r="JIJ2484" s="60"/>
      <c r="JIK2484" s="57"/>
      <c r="JIL2484" s="61"/>
      <c r="JIM2484" s="57"/>
      <c r="JIN2484" s="57"/>
      <c r="JIO2484" s="67"/>
      <c r="JIP2484" s="60"/>
      <c r="JIQ2484" s="60"/>
      <c r="JIR2484" s="60"/>
      <c r="JIS2484" s="57"/>
      <c r="JIT2484" s="61"/>
      <c r="JIU2484" s="57"/>
      <c r="JIV2484" s="57"/>
      <c r="JIW2484" s="67"/>
      <c r="JIX2484" s="60"/>
      <c r="JIY2484" s="60"/>
      <c r="JIZ2484" s="60"/>
      <c r="JJA2484" s="57"/>
      <c r="JJB2484" s="61"/>
      <c r="JJC2484" s="57"/>
      <c r="JJD2484" s="57"/>
      <c r="JJE2484" s="67"/>
      <c r="JJF2484" s="60"/>
      <c r="JJG2484" s="60"/>
      <c r="JJH2484" s="60"/>
      <c r="JJI2484" s="57"/>
      <c r="JJJ2484" s="61"/>
      <c r="JJK2484" s="57"/>
      <c r="JJL2484" s="57"/>
      <c r="JJM2484" s="67"/>
      <c r="JJN2484" s="60"/>
      <c r="JJO2484" s="60"/>
      <c r="JJP2484" s="60"/>
      <c r="JJQ2484" s="57"/>
      <c r="JJR2484" s="61"/>
      <c r="JJS2484" s="57"/>
      <c r="JJT2484" s="57"/>
      <c r="JJU2484" s="67"/>
      <c r="JJV2484" s="60"/>
      <c r="JJW2484" s="60"/>
      <c r="JJX2484" s="60"/>
      <c r="JJY2484" s="57"/>
      <c r="JJZ2484" s="61"/>
      <c r="JKA2484" s="57"/>
      <c r="JKB2484" s="57"/>
      <c r="JKC2484" s="67"/>
      <c r="JKD2484" s="60"/>
      <c r="JKE2484" s="60"/>
      <c r="JKF2484" s="60"/>
      <c r="JKG2484" s="57"/>
      <c r="JKH2484" s="61"/>
      <c r="JKI2484" s="57"/>
      <c r="JKJ2484" s="57"/>
      <c r="JKK2484" s="67"/>
      <c r="JKL2484" s="60"/>
      <c r="JKM2484" s="60"/>
      <c r="JKN2484" s="60"/>
      <c r="JKO2484" s="57"/>
      <c r="JKP2484" s="61"/>
      <c r="JKQ2484" s="57"/>
      <c r="JKR2484" s="57"/>
      <c r="JKS2484" s="67"/>
      <c r="JKT2484" s="60"/>
      <c r="JKU2484" s="60"/>
      <c r="JKV2484" s="60"/>
      <c r="JKW2484" s="57"/>
      <c r="JKX2484" s="61"/>
      <c r="JKY2484" s="57"/>
      <c r="JKZ2484" s="57"/>
      <c r="JLA2484" s="67"/>
      <c r="JLB2484" s="60"/>
      <c r="JLC2484" s="60"/>
      <c r="JLD2484" s="60"/>
      <c r="JLE2484" s="57"/>
      <c r="JLF2484" s="61"/>
      <c r="JLG2484" s="57"/>
      <c r="JLH2484" s="57"/>
      <c r="JLI2484" s="67"/>
      <c r="JLJ2484" s="60"/>
      <c r="JLK2484" s="60"/>
      <c r="JLL2484" s="60"/>
      <c r="JLM2484" s="57"/>
      <c r="JLN2484" s="61"/>
      <c r="JLO2484" s="57"/>
      <c r="JLP2484" s="57"/>
      <c r="JLQ2484" s="67"/>
      <c r="JLR2484" s="60"/>
      <c r="JLS2484" s="60"/>
      <c r="JLT2484" s="60"/>
      <c r="JLU2484" s="57"/>
      <c r="JLV2484" s="61"/>
      <c r="JLW2484" s="57"/>
      <c r="JLX2484" s="57"/>
      <c r="JLY2484" s="67"/>
      <c r="JLZ2484" s="60"/>
      <c r="JMA2484" s="60"/>
      <c r="JMB2484" s="60"/>
      <c r="JMC2484" s="57"/>
      <c r="JMD2484" s="61"/>
      <c r="JME2484" s="57"/>
      <c r="JMF2484" s="57"/>
      <c r="JMG2484" s="67"/>
      <c r="JMH2484" s="60"/>
      <c r="JMI2484" s="60"/>
      <c r="JMJ2484" s="60"/>
      <c r="JMK2484" s="57"/>
      <c r="JML2484" s="61"/>
      <c r="JMM2484" s="57"/>
      <c r="JMN2484" s="57"/>
      <c r="JMO2484" s="67"/>
      <c r="JMP2484" s="60"/>
      <c r="JMQ2484" s="60"/>
      <c r="JMR2484" s="60"/>
      <c r="JMS2484" s="57"/>
      <c r="JMT2484" s="61"/>
      <c r="JMU2484" s="57"/>
      <c r="JMV2484" s="57"/>
      <c r="JMW2484" s="67"/>
      <c r="JMX2484" s="60"/>
      <c r="JMY2484" s="60"/>
      <c r="JMZ2484" s="60"/>
      <c r="JNA2484" s="57"/>
      <c r="JNB2484" s="61"/>
      <c r="JNC2484" s="57"/>
      <c r="JND2484" s="57"/>
      <c r="JNE2484" s="67"/>
      <c r="JNF2484" s="60"/>
      <c r="JNG2484" s="60"/>
      <c r="JNH2484" s="60"/>
      <c r="JNI2484" s="57"/>
      <c r="JNJ2484" s="61"/>
      <c r="JNK2484" s="57"/>
      <c r="JNL2484" s="57"/>
      <c r="JNM2484" s="67"/>
      <c r="JNN2484" s="60"/>
      <c r="JNO2484" s="60"/>
      <c r="JNP2484" s="60"/>
      <c r="JNQ2484" s="57"/>
      <c r="JNR2484" s="61"/>
      <c r="JNS2484" s="57"/>
      <c r="JNT2484" s="57"/>
      <c r="JNU2484" s="67"/>
      <c r="JNV2484" s="60"/>
      <c r="JNW2484" s="60"/>
      <c r="JNX2484" s="60"/>
      <c r="JNY2484" s="57"/>
      <c r="JNZ2484" s="61"/>
      <c r="JOA2484" s="57"/>
      <c r="JOB2484" s="57"/>
      <c r="JOC2484" s="67"/>
      <c r="JOD2484" s="60"/>
      <c r="JOE2484" s="60"/>
      <c r="JOF2484" s="60"/>
      <c r="JOG2484" s="57"/>
      <c r="JOH2484" s="61"/>
      <c r="JOI2484" s="57"/>
      <c r="JOJ2484" s="57"/>
      <c r="JOK2484" s="67"/>
      <c r="JOL2484" s="60"/>
      <c r="JOM2484" s="60"/>
      <c r="JON2484" s="60"/>
      <c r="JOO2484" s="57"/>
      <c r="JOP2484" s="61"/>
      <c r="JOQ2484" s="57"/>
      <c r="JOR2484" s="57"/>
      <c r="JOS2484" s="67"/>
      <c r="JOT2484" s="60"/>
      <c r="JOU2484" s="60"/>
      <c r="JOV2484" s="60"/>
      <c r="JOW2484" s="57"/>
      <c r="JOX2484" s="61"/>
      <c r="JOY2484" s="57"/>
      <c r="JOZ2484" s="57"/>
      <c r="JPA2484" s="67"/>
      <c r="JPB2484" s="60"/>
      <c r="JPC2484" s="60"/>
      <c r="JPD2484" s="60"/>
      <c r="JPE2484" s="57"/>
      <c r="JPF2484" s="61"/>
      <c r="JPG2484" s="57"/>
      <c r="JPH2484" s="57"/>
      <c r="JPI2484" s="67"/>
      <c r="JPJ2484" s="60"/>
      <c r="JPK2484" s="60"/>
      <c r="JPL2484" s="60"/>
      <c r="JPM2484" s="57"/>
      <c r="JPN2484" s="61"/>
      <c r="JPO2484" s="57"/>
      <c r="JPP2484" s="57"/>
      <c r="JPQ2484" s="67"/>
      <c r="JPR2484" s="60"/>
      <c r="JPS2484" s="60"/>
      <c r="JPT2484" s="60"/>
      <c r="JPU2484" s="57"/>
      <c r="JPV2484" s="61"/>
      <c r="JPW2484" s="57"/>
      <c r="JPX2484" s="57"/>
      <c r="JPY2484" s="67"/>
      <c r="JPZ2484" s="60"/>
      <c r="JQA2484" s="60"/>
      <c r="JQB2484" s="60"/>
      <c r="JQC2484" s="57"/>
      <c r="JQD2484" s="61"/>
      <c r="JQE2484" s="57"/>
      <c r="JQF2484" s="57"/>
      <c r="JQG2484" s="67"/>
      <c r="JQH2484" s="60"/>
      <c r="JQI2484" s="60"/>
      <c r="JQJ2484" s="60"/>
      <c r="JQK2484" s="57"/>
      <c r="JQL2484" s="61"/>
      <c r="JQM2484" s="57"/>
      <c r="JQN2484" s="57"/>
      <c r="JQO2484" s="67"/>
      <c r="JQP2484" s="60"/>
      <c r="JQQ2484" s="60"/>
      <c r="JQR2484" s="60"/>
      <c r="JQS2484" s="57"/>
      <c r="JQT2484" s="61"/>
      <c r="JQU2484" s="57"/>
      <c r="JQV2484" s="57"/>
      <c r="JQW2484" s="67"/>
      <c r="JQX2484" s="60"/>
      <c r="JQY2484" s="60"/>
      <c r="JQZ2484" s="60"/>
      <c r="JRA2484" s="57"/>
      <c r="JRB2484" s="61"/>
      <c r="JRC2484" s="57"/>
      <c r="JRD2484" s="57"/>
      <c r="JRE2484" s="67"/>
      <c r="JRF2484" s="60"/>
      <c r="JRG2484" s="60"/>
      <c r="JRH2484" s="60"/>
      <c r="JRI2484" s="57"/>
      <c r="JRJ2484" s="61"/>
      <c r="JRK2484" s="57"/>
      <c r="JRL2484" s="57"/>
      <c r="JRM2484" s="67"/>
      <c r="JRN2484" s="60"/>
      <c r="JRO2484" s="60"/>
      <c r="JRP2484" s="60"/>
      <c r="JRQ2484" s="57"/>
      <c r="JRR2484" s="61"/>
      <c r="JRS2484" s="57"/>
      <c r="JRT2484" s="57"/>
      <c r="JRU2484" s="67"/>
      <c r="JRV2484" s="60"/>
      <c r="JRW2484" s="60"/>
      <c r="JRX2484" s="60"/>
      <c r="JRY2484" s="57"/>
      <c r="JRZ2484" s="61"/>
      <c r="JSA2484" s="57"/>
      <c r="JSB2484" s="57"/>
      <c r="JSC2484" s="67"/>
      <c r="JSD2484" s="60"/>
      <c r="JSE2484" s="60"/>
      <c r="JSF2484" s="60"/>
      <c r="JSG2484" s="57"/>
      <c r="JSH2484" s="61"/>
      <c r="JSI2484" s="57"/>
      <c r="JSJ2484" s="57"/>
      <c r="JSK2484" s="67"/>
      <c r="JSL2484" s="60"/>
      <c r="JSM2484" s="60"/>
      <c r="JSN2484" s="60"/>
      <c r="JSO2484" s="57"/>
      <c r="JSP2484" s="61"/>
      <c r="JSQ2484" s="57"/>
      <c r="JSR2484" s="57"/>
      <c r="JSS2484" s="67"/>
      <c r="JST2484" s="60"/>
      <c r="JSU2484" s="60"/>
      <c r="JSV2484" s="60"/>
      <c r="JSW2484" s="57"/>
      <c r="JSX2484" s="61"/>
      <c r="JSY2484" s="57"/>
      <c r="JSZ2484" s="57"/>
      <c r="JTA2484" s="67"/>
      <c r="JTB2484" s="60"/>
      <c r="JTC2484" s="60"/>
      <c r="JTD2484" s="60"/>
      <c r="JTE2484" s="57"/>
      <c r="JTF2484" s="61"/>
      <c r="JTG2484" s="57"/>
      <c r="JTH2484" s="57"/>
      <c r="JTI2484" s="67"/>
      <c r="JTJ2484" s="60"/>
      <c r="JTK2484" s="60"/>
      <c r="JTL2484" s="60"/>
      <c r="JTM2484" s="57"/>
      <c r="JTN2484" s="61"/>
      <c r="JTO2484" s="57"/>
      <c r="JTP2484" s="57"/>
      <c r="JTQ2484" s="67"/>
      <c r="JTR2484" s="60"/>
      <c r="JTS2484" s="60"/>
      <c r="JTT2484" s="60"/>
      <c r="JTU2484" s="57"/>
      <c r="JTV2484" s="61"/>
      <c r="JTW2484" s="57"/>
      <c r="JTX2484" s="57"/>
      <c r="JTY2484" s="67"/>
      <c r="JTZ2484" s="60"/>
      <c r="JUA2484" s="60"/>
      <c r="JUB2484" s="60"/>
      <c r="JUC2484" s="57"/>
      <c r="JUD2484" s="61"/>
      <c r="JUE2484" s="57"/>
      <c r="JUF2484" s="57"/>
      <c r="JUG2484" s="67"/>
      <c r="JUH2484" s="60"/>
      <c r="JUI2484" s="60"/>
      <c r="JUJ2484" s="60"/>
      <c r="JUK2484" s="57"/>
      <c r="JUL2484" s="61"/>
      <c r="JUM2484" s="57"/>
      <c r="JUN2484" s="57"/>
      <c r="JUO2484" s="67"/>
      <c r="JUP2484" s="60"/>
      <c r="JUQ2484" s="60"/>
      <c r="JUR2484" s="60"/>
      <c r="JUS2484" s="57"/>
      <c r="JUT2484" s="61"/>
      <c r="JUU2484" s="57"/>
      <c r="JUV2484" s="57"/>
      <c r="JUW2484" s="67"/>
      <c r="JUX2484" s="60"/>
      <c r="JUY2484" s="60"/>
      <c r="JUZ2484" s="60"/>
      <c r="JVA2484" s="57"/>
      <c r="JVB2484" s="61"/>
      <c r="JVC2484" s="57"/>
      <c r="JVD2484" s="57"/>
      <c r="JVE2484" s="67"/>
      <c r="JVF2484" s="60"/>
      <c r="JVG2484" s="60"/>
      <c r="JVH2484" s="60"/>
      <c r="JVI2484" s="57"/>
      <c r="JVJ2484" s="61"/>
      <c r="JVK2484" s="57"/>
      <c r="JVL2484" s="57"/>
      <c r="JVM2484" s="67"/>
      <c r="JVN2484" s="60"/>
      <c r="JVO2484" s="60"/>
      <c r="JVP2484" s="60"/>
      <c r="JVQ2484" s="57"/>
      <c r="JVR2484" s="61"/>
      <c r="JVS2484" s="57"/>
      <c r="JVT2484" s="57"/>
      <c r="JVU2484" s="67"/>
      <c r="JVV2484" s="60"/>
      <c r="JVW2484" s="60"/>
      <c r="JVX2484" s="60"/>
      <c r="JVY2484" s="57"/>
      <c r="JVZ2484" s="61"/>
      <c r="JWA2484" s="57"/>
      <c r="JWB2484" s="57"/>
      <c r="JWC2484" s="67"/>
      <c r="JWD2484" s="60"/>
      <c r="JWE2484" s="60"/>
      <c r="JWF2484" s="60"/>
      <c r="JWG2484" s="57"/>
      <c r="JWH2484" s="61"/>
      <c r="JWI2484" s="57"/>
      <c r="JWJ2484" s="57"/>
      <c r="JWK2484" s="67"/>
      <c r="JWL2484" s="60"/>
      <c r="JWM2484" s="60"/>
      <c r="JWN2484" s="60"/>
      <c r="JWO2484" s="57"/>
      <c r="JWP2484" s="61"/>
      <c r="JWQ2484" s="57"/>
      <c r="JWR2484" s="57"/>
      <c r="JWS2484" s="67"/>
      <c r="JWT2484" s="60"/>
      <c r="JWU2484" s="60"/>
      <c r="JWV2484" s="60"/>
      <c r="JWW2484" s="57"/>
      <c r="JWX2484" s="61"/>
      <c r="JWY2484" s="57"/>
      <c r="JWZ2484" s="57"/>
      <c r="JXA2484" s="67"/>
      <c r="JXB2484" s="60"/>
      <c r="JXC2484" s="60"/>
      <c r="JXD2484" s="60"/>
      <c r="JXE2484" s="57"/>
      <c r="JXF2484" s="61"/>
      <c r="JXG2484" s="57"/>
      <c r="JXH2484" s="57"/>
      <c r="JXI2484" s="67"/>
      <c r="JXJ2484" s="60"/>
      <c r="JXK2484" s="60"/>
      <c r="JXL2484" s="60"/>
      <c r="JXM2484" s="57"/>
      <c r="JXN2484" s="61"/>
      <c r="JXO2484" s="57"/>
      <c r="JXP2484" s="57"/>
      <c r="JXQ2484" s="67"/>
      <c r="JXR2484" s="60"/>
      <c r="JXS2484" s="60"/>
      <c r="JXT2484" s="60"/>
      <c r="JXU2484" s="57"/>
      <c r="JXV2484" s="61"/>
      <c r="JXW2484" s="57"/>
      <c r="JXX2484" s="57"/>
      <c r="JXY2484" s="67"/>
      <c r="JXZ2484" s="60"/>
      <c r="JYA2484" s="60"/>
      <c r="JYB2484" s="60"/>
      <c r="JYC2484" s="57"/>
      <c r="JYD2484" s="61"/>
      <c r="JYE2484" s="57"/>
      <c r="JYF2484" s="57"/>
      <c r="JYG2484" s="67"/>
      <c r="JYH2484" s="60"/>
      <c r="JYI2484" s="60"/>
      <c r="JYJ2484" s="60"/>
      <c r="JYK2484" s="57"/>
      <c r="JYL2484" s="61"/>
      <c r="JYM2484" s="57"/>
      <c r="JYN2484" s="57"/>
      <c r="JYO2484" s="67"/>
      <c r="JYP2484" s="60"/>
      <c r="JYQ2484" s="60"/>
      <c r="JYR2484" s="60"/>
      <c r="JYS2484" s="57"/>
      <c r="JYT2484" s="61"/>
      <c r="JYU2484" s="57"/>
      <c r="JYV2484" s="57"/>
      <c r="JYW2484" s="67"/>
      <c r="JYX2484" s="60"/>
      <c r="JYY2484" s="60"/>
      <c r="JYZ2484" s="60"/>
      <c r="JZA2484" s="57"/>
      <c r="JZB2484" s="61"/>
      <c r="JZC2484" s="57"/>
      <c r="JZD2484" s="57"/>
      <c r="JZE2484" s="67"/>
      <c r="JZF2484" s="60"/>
      <c r="JZG2484" s="60"/>
      <c r="JZH2484" s="60"/>
      <c r="JZI2484" s="57"/>
      <c r="JZJ2484" s="61"/>
      <c r="JZK2484" s="57"/>
      <c r="JZL2484" s="57"/>
      <c r="JZM2484" s="67"/>
      <c r="JZN2484" s="60"/>
      <c r="JZO2484" s="60"/>
      <c r="JZP2484" s="60"/>
      <c r="JZQ2484" s="57"/>
      <c r="JZR2484" s="61"/>
      <c r="JZS2484" s="57"/>
      <c r="JZT2484" s="57"/>
      <c r="JZU2484" s="67"/>
      <c r="JZV2484" s="60"/>
      <c r="JZW2484" s="60"/>
      <c r="JZX2484" s="60"/>
      <c r="JZY2484" s="57"/>
      <c r="JZZ2484" s="61"/>
      <c r="KAA2484" s="57"/>
      <c r="KAB2484" s="57"/>
      <c r="KAC2484" s="67"/>
      <c r="KAD2484" s="60"/>
      <c r="KAE2484" s="60"/>
      <c r="KAF2484" s="60"/>
      <c r="KAG2484" s="57"/>
      <c r="KAH2484" s="61"/>
      <c r="KAI2484" s="57"/>
      <c r="KAJ2484" s="57"/>
      <c r="KAK2484" s="67"/>
      <c r="KAL2484" s="60"/>
      <c r="KAM2484" s="60"/>
      <c r="KAN2484" s="60"/>
      <c r="KAO2484" s="57"/>
      <c r="KAP2484" s="61"/>
      <c r="KAQ2484" s="57"/>
      <c r="KAR2484" s="57"/>
      <c r="KAS2484" s="67"/>
      <c r="KAT2484" s="60"/>
      <c r="KAU2484" s="60"/>
      <c r="KAV2484" s="60"/>
      <c r="KAW2484" s="57"/>
      <c r="KAX2484" s="61"/>
      <c r="KAY2484" s="57"/>
      <c r="KAZ2484" s="57"/>
      <c r="KBA2484" s="67"/>
      <c r="KBB2484" s="60"/>
      <c r="KBC2484" s="60"/>
      <c r="KBD2484" s="60"/>
      <c r="KBE2484" s="57"/>
      <c r="KBF2484" s="61"/>
      <c r="KBG2484" s="57"/>
      <c r="KBH2484" s="57"/>
      <c r="KBI2484" s="67"/>
      <c r="KBJ2484" s="60"/>
      <c r="KBK2484" s="60"/>
      <c r="KBL2484" s="60"/>
      <c r="KBM2484" s="57"/>
      <c r="KBN2484" s="61"/>
      <c r="KBO2484" s="57"/>
      <c r="KBP2484" s="57"/>
      <c r="KBQ2484" s="67"/>
      <c r="KBR2484" s="60"/>
      <c r="KBS2484" s="60"/>
      <c r="KBT2484" s="60"/>
      <c r="KBU2484" s="57"/>
      <c r="KBV2484" s="61"/>
      <c r="KBW2484" s="57"/>
      <c r="KBX2484" s="57"/>
      <c r="KBY2484" s="67"/>
      <c r="KBZ2484" s="60"/>
      <c r="KCA2484" s="60"/>
      <c r="KCB2484" s="60"/>
      <c r="KCC2484" s="57"/>
      <c r="KCD2484" s="61"/>
      <c r="KCE2484" s="57"/>
      <c r="KCF2484" s="57"/>
      <c r="KCG2484" s="67"/>
      <c r="KCH2484" s="60"/>
      <c r="KCI2484" s="60"/>
      <c r="KCJ2484" s="60"/>
      <c r="KCK2484" s="57"/>
      <c r="KCL2484" s="61"/>
      <c r="KCM2484" s="57"/>
      <c r="KCN2484" s="57"/>
      <c r="KCO2484" s="67"/>
      <c r="KCP2484" s="60"/>
      <c r="KCQ2484" s="60"/>
      <c r="KCR2484" s="60"/>
      <c r="KCS2484" s="57"/>
      <c r="KCT2484" s="61"/>
      <c r="KCU2484" s="57"/>
      <c r="KCV2484" s="57"/>
      <c r="KCW2484" s="67"/>
      <c r="KCX2484" s="60"/>
      <c r="KCY2484" s="60"/>
      <c r="KCZ2484" s="60"/>
      <c r="KDA2484" s="57"/>
      <c r="KDB2484" s="61"/>
      <c r="KDC2484" s="57"/>
      <c r="KDD2484" s="57"/>
      <c r="KDE2484" s="67"/>
      <c r="KDF2484" s="60"/>
      <c r="KDG2484" s="60"/>
      <c r="KDH2484" s="60"/>
      <c r="KDI2484" s="57"/>
      <c r="KDJ2484" s="61"/>
      <c r="KDK2484" s="57"/>
      <c r="KDL2484" s="57"/>
      <c r="KDM2484" s="67"/>
      <c r="KDN2484" s="60"/>
      <c r="KDO2484" s="60"/>
      <c r="KDP2484" s="60"/>
      <c r="KDQ2484" s="57"/>
      <c r="KDR2484" s="61"/>
      <c r="KDS2484" s="57"/>
      <c r="KDT2484" s="57"/>
      <c r="KDU2484" s="67"/>
      <c r="KDV2484" s="60"/>
      <c r="KDW2484" s="60"/>
      <c r="KDX2484" s="60"/>
      <c r="KDY2484" s="57"/>
      <c r="KDZ2484" s="61"/>
      <c r="KEA2484" s="57"/>
      <c r="KEB2484" s="57"/>
      <c r="KEC2484" s="67"/>
      <c r="KED2484" s="60"/>
      <c r="KEE2484" s="60"/>
      <c r="KEF2484" s="60"/>
      <c r="KEG2484" s="57"/>
      <c r="KEH2484" s="61"/>
      <c r="KEI2484" s="57"/>
      <c r="KEJ2484" s="57"/>
      <c r="KEK2484" s="67"/>
      <c r="KEL2484" s="60"/>
      <c r="KEM2484" s="60"/>
      <c r="KEN2484" s="60"/>
      <c r="KEO2484" s="57"/>
      <c r="KEP2484" s="61"/>
      <c r="KEQ2484" s="57"/>
      <c r="KER2484" s="57"/>
      <c r="KES2484" s="67"/>
      <c r="KET2484" s="60"/>
      <c r="KEU2484" s="60"/>
      <c r="KEV2484" s="60"/>
      <c r="KEW2484" s="57"/>
      <c r="KEX2484" s="61"/>
      <c r="KEY2484" s="57"/>
      <c r="KEZ2484" s="57"/>
      <c r="KFA2484" s="67"/>
      <c r="KFB2484" s="60"/>
      <c r="KFC2484" s="60"/>
      <c r="KFD2484" s="60"/>
      <c r="KFE2484" s="57"/>
      <c r="KFF2484" s="61"/>
      <c r="KFG2484" s="57"/>
      <c r="KFH2484" s="57"/>
      <c r="KFI2484" s="67"/>
      <c r="KFJ2484" s="60"/>
      <c r="KFK2484" s="60"/>
      <c r="KFL2484" s="60"/>
      <c r="KFM2484" s="57"/>
      <c r="KFN2484" s="61"/>
      <c r="KFO2484" s="57"/>
      <c r="KFP2484" s="57"/>
      <c r="KFQ2484" s="67"/>
      <c r="KFR2484" s="60"/>
      <c r="KFS2484" s="60"/>
      <c r="KFT2484" s="60"/>
      <c r="KFU2484" s="57"/>
      <c r="KFV2484" s="61"/>
      <c r="KFW2484" s="57"/>
      <c r="KFX2484" s="57"/>
      <c r="KFY2484" s="67"/>
      <c r="KFZ2484" s="60"/>
      <c r="KGA2484" s="60"/>
      <c r="KGB2484" s="60"/>
      <c r="KGC2484" s="57"/>
      <c r="KGD2484" s="61"/>
      <c r="KGE2484" s="57"/>
      <c r="KGF2484" s="57"/>
      <c r="KGG2484" s="67"/>
      <c r="KGH2484" s="60"/>
      <c r="KGI2484" s="60"/>
      <c r="KGJ2484" s="60"/>
      <c r="KGK2484" s="57"/>
      <c r="KGL2484" s="61"/>
      <c r="KGM2484" s="57"/>
      <c r="KGN2484" s="57"/>
      <c r="KGO2484" s="67"/>
      <c r="KGP2484" s="60"/>
      <c r="KGQ2484" s="60"/>
      <c r="KGR2484" s="60"/>
      <c r="KGS2484" s="57"/>
      <c r="KGT2484" s="61"/>
      <c r="KGU2484" s="57"/>
      <c r="KGV2484" s="57"/>
      <c r="KGW2484" s="67"/>
      <c r="KGX2484" s="60"/>
      <c r="KGY2484" s="60"/>
      <c r="KGZ2484" s="60"/>
      <c r="KHA2484" s="57"/>
      <c r="KHB2484" s="61"/>
      <c r="KHC2484" s="57"/>
      <c r="KHD2484" s="57"/>
      <c r="KHE2484" s="67"/>
      <c r="KHF2484" s="60"/>
      <c r="KHG2484" s="60"/>
      <c r="KHH2484" s="60"/>
      <c r="KHI2484" s="57"/>
      <c r="KHJ2484" s="61"/>
      <c r="KHK2484" s="57"/>
      <c r="KHL2484" s="57"/>
      <c r="KHM2484" s="67"/>
      <c r="KHN2484" s="60"/>
      <c r="KHO2484" s="60"/>
      <c r="KHP2484" s="60"/>
      <c r="KHQ2484" s="57"/>
      <c r="KHR2484" s="61"/>
      <c r="KHS2484" s="57"/>
      <c r="KHT2484" s="57"/>
      <c r="KHU2484" s="67"/>
      <c r="KHV2484" s="60"/>
      <c r="KHW2484" s="60"/>
      <c r="KHX2484" s="60"/>
      <c r="KHY2484" s="57"/>
      <c r="KHZ2484" s="61"/>
      <c r="KIA2484" s="57"/>
      <c r="KIB2484" s="57"/>
      <c r="KIC2484" s="67"/>
      <c r="KID2484" s="60"/>
      <c r="KIE2484" s="60"/>
      <c r="KIF2484" s="60"/>
      <c r="KIG2484" s="57"/>
      <c r="KIH2484" s="61"/>
      <c r="KII2484" s="57"/>
      <c r="KIJ2484" s="57"/>
      <c r="KIK2484" s="67"/>
      <c r="KIL2484" s="60"/>
      <c r="KIM2484" s="60"/>
      <c r="KIN2484" s="60"/>
      <c r="KIO2484" s="57"/>
      <c r="KIP2484" s="61"/>
      <c r="KIQ2484" s="57"/>
      <c r="KIR2484" s="57"/>
      <c r="KIS2484" s="67"/>
      <c r="KIT2484" s="60"/>
      <c r="KIU2484" s="60"/>
      <c r="KIV2484" s="60"/>
      <c r="KIW2484" s="57"/>
      <c r="KIX2484" s="61"/>
      <c r="KIY2484" s="57"/>
      <c r="KIZ2484" s="57"/>
      <c r="KJA2484" s="67"/>
      <c r="KJB2484" s="60"/>
      <c r="KJC2484" s="60"/>
      <c r="KJD2484" s="60"/>
      <c r="KJE2484" s="57"/>
      <c r="KJF2484" s="61"/>
      <c r="KJG2484" s="57"/>
      <c r="KJH2484" s="57"/>
      <c r="KJI2484" s="67"/>
      <c r="KJJ2484" s="60"/>
      <c r="KJK2484" s="60"/>
      <c r="KJL2484" s="60"/>
      <c r="KJM2484" s="57"/>
      <c r="KJN2484" s="61"/>
      <c r="KJO2484" s="57"/>
      <c r="KJP2484" s="57"/>
      <c r="KJQ2484" s="67"/>
      <c r="KJR2484" s="60"/>
      <c r="KJS2484" s="60"/>
      <c r="KJT2484" s="60"/>
      <c r="KJU2484" s="57"/>
      <c r="KJV2484" s="61"/>
      <c r="KJW2484" s="57"/>
      <c r="KJX2484" s="57"/>
      <c r="KJY2484" s="67"/>
      <c r="KJZ2484" s="60"/>
      <c r="KKA2484" s="60"/>
      <c r="KKB2484" s="60"/>
      <c r="KKC2484" s="57"/>
      <c r="KKD2484" s="61"/>
      <c r="KKE2484" s="57"/>
      <c r="KKF2484" s="57"/>
      <c r="KKG2484" s="67"/>
      <c r="KKH2484" s="60"/>
      <c r="KKI2484" s="60"/>
      <c r="KKJ2484" s="60"/>
      <c r="KKK2484" s="57"/>
      <c r="KKL2484" s="61"/>
      <c r="KKM2484" s="57"/>
      <c r="KKN2484" s="57"/>
      <c r="KKO2484" s="67"/>
      <c r="KKP2484" s="60"/>
      <c r="KKQ2484" s="60"/>
      <c r="KKR2484" s="60"/>
      <c r="KKS2484" s="57"/>
      <c r="KKT2484" s="61"/>
      <c r="KKU2484" s="57"/>
      <c r="KKV2484" s="57"/>
      <c r="KKW2484" s="67"/>
      <c r="KKX2484" s="60"/>
      <c r="KKY2484" s="60"/>
      <c r="KKZ2484" s="60"/>
      <c r="KLA2484" s="57"/>
      <c r="KLB2484" s="61"/>
      <c r="KLC2484" s="57"/>
      <c r="KLD2484" s="57"/>
      <c r="KLE2484" s="67"/>
      <c r="KLF2484" s="60"/>
      <c r="KLG2484" s="60"/>
      <c r="KLH2484" s="60"/>
      <c r="KLI2484" s="57"/>
      <c r="KLJ2484" s="61"/>
      <c r="KLK2484" s="57"/>
      <c r="KLL2484" s="57"/>
      <c r="KLM2484" s="67"/>
      <c r="KLN2484" s="60"/>
      <c r="KLO2484" s="60"/>
      <c r="KLP2484" s="60"/>
      <c r="KLQ2484" s="57"/>
      <c r="KLR2484" s="61"/>
      <c r="KLS2484" s="57"/>
      <c r="KLT2484" s="57"/>
      <c r="KLU2484" s="67"/>
      <c r="KLV2484" s="60"/>
      <c r="KLW2484" s="60"/>
      <c r="KLX2484" s="60"/>
      <c r="KLY2484" s="57"/>
      <c r="KLZ2484" s="61"/>
      <c r="KMA2484" s="57"/>
      <c r="KMB2484" s="57"/>
      <c r="KMC2484" s="67"/>
      <c r="KMD2484" s="60"/>
      <c r="KME2484" s="60"/>
      <c r="KMF2484" s="60"/>
      <c r="KMG2484" s="57"/>
      <c r="KMH2484" s="61"/>
      <c r="KMI2484" s="57"/>
      <c r="KMJ2484" s="57"/>
      <c r="KMK2484" s="67"/>
      <c r="KML2484" s="60"/>
      <c r="KMM2484" s="60"/>
      <c r="KMN2484" s="60"/>
      <c r="KMO2484" s="57"/>
      <c r="KMP2484" s="61"/>
      <c r="KMQ2484" s="57"/>
      <c r="KMR2484" s="57"/>
      <c r="KMS2484" s="67"/>
      <c r="KMT2484" s="60"/>
      <c r="KMU2484" s="60"/>
      <c r="KMV2484" s="60"/>
      <c r="KMW2484" s="57"/>
      <c r="KMX2484" s="61"/>
      <c r="KMY2484" s="57"/>
      <c r="KMZ2484" s="57"/>
      <c r="KNA2484" s="67"/>
      <c r="KNB2484" s="60"/>
      <c r="KNC2484" s="60"/>
      <c r="KND2484" s="60"/>
      <c r="KNE2484" s="57"/>
      <c r="KNF2484" s="61"/>
      <c r="KNG2484" s="57"/>
      <c r="KNH2484" s="57"/>
      <c r="KNI2484" s="67"/>
      <c r="KNJ2484" s="60"/>
      <c r="KNK2484" s="60"/>
      <c r="KNL2484" s="60"/>
      <c r="KNM2484" s="57"/>
      <c r="KNN2484" s="61"/>
      <c r="KNO2484" s="57"/>
      <c r="KNP2484" s="57"/>
      <c r="KNQ2484" s="67"/>
      <c r="KNR2484" s="60"/>
      <c r="KNS2484" s="60"/>
      <c r="KNT2484" s="60"/>
      <c r="KNU2484" s="57"/>
      <c r="KNV2484" s="61"/>
      <c r="KNW2484" s="57"/>
      <c r="KNX2484" s="57"/>
      <c r="KNY2484" s="67"/>
      <c r="KNZ2484" s="60"/>
      <c r="KOA2484" s="60"/>
      <c r="KOB2484" s="60"/>
      <c r="KOC2484" s="57"/>
      <c r="KOD2484" s="61"/>
      <c r="KOE2484" s="57"/>
      <c r="KOF2484" s="57"/>
      <c r="KOG2484" s="67"/>
      <c r="KOH2484" s="60"/>
      <c r="KOI2484" s="60"/>
      <c r="KOJ2484" s="60"/>
      <c r="KOK2484" s="57"/>
      <c r="KOL2484" s="61"/>
      <c r="KOM2484" s="57"/>
      <c r="KON2484" s="57"/>
      <c r="KOO2484" s="67"/>
      <c r="KOP2484" s="60"/>
      <c r="KOQ2484" s="60"/>
      <c r="KOR2484" s="60"/>
      <c r="KOS2484" s="57"/>
      <c r="KOT2484" s="61"/>
      <c r="KOU2484" s="57"/>
      <c r="KOV2484" s="57"/>
      <c r="KOW2484" s="67"/>
      <c r="KOX2484" s="60"/>
      <c r="KOY2484" s="60"/>
      <c r="KOZ2484" s="60"/>
      <c r="KPA2484" s="57"/>
      <c r="KPB2484" s="61"/>
      <c r="KPC2484" s="57"/>
      <c r="KPD2484" s="57"/>
      <c r="KPE2484" s="67"/>
      <c r="KPF2484" s="60"/>
      <c r="KPG2484" s="60"/>
      <c r="KPH2484" s="60"/>
      <c r="KPI2484" s="57"/>
      <c r="KPJ2484" s="61"/>
      <c r="KPK2484" s="57"/>
      <c r="KPL2484" s="57"/>
      <c r="KPM2484" s="67"/>
      <c r="KPN2484" s="60"/>
      <c r="KPO2484" s="60"/>
      <c r="KPP2484" s="60"/>
      <c r="KPQ2484" s="57"/>
      <c r="KPR2484" s="61"/>
      <c r="KPS2484" s="57"/>
      <c r="KPT2484" s="57"/>
      <c r="KPU2484" s="67"/>
      <c r="KPV2484" s="60"/>
      <c r="KPW2484" s="60"/>
      <c r="KPX2484" s="60"/>
      <c r="KPY2484" s="57"/>
      <c r="KPZ2484" s="61"/>
      <c r="KQA2484" s="57"/>
      <c r="KQB2484" s="57"/>
      <c r="KQC2484" s="67"/>
      <c r="KQD2484" s="60"/>
      <c r="KQE2484" s="60"/>
      <c r="KQF2484" s="60"/>
      <c r="KQG2484" s="57"/>
      <c r="KQH2484" s="61"/>
      <c r="KQI2484" s="57"/>
      <c r="KQJ2484" s="57"/>
      <c r="KQK2484" s="67"/>
      <c r="KQL2484" s="60"/>
      <c r="KQM2484" s="60"/>
      <c r="KQN2484" s="60"/>
      <c r="KQO2484" s="57"/>
      <c r="KQP2484" s="61"/>
      <c r="KQQ2484" s="57"/>
      <c r="KQR2484" s="57"/>
      <c r="KQS2484" s="67"/>
      <c r="KQT2484" s="60"/>
      <c r="KQU2484" s="60"/>
      <c r="KQV2484" s="60"/>
      <c r="KQW2484" s="57"/>
      <c r="KQX2484" s="61"/>
      <c r="KQY2484" s="57"/>
      <c r="KQZ2484" s="57"/>
      <c r="KRA2484" s="67"/>
      <c r="KRB2484" s="60"/>
      <c r="KRC2484" s="60"/>
      <c r="KRD2484" s="60"/>
      <c r="KRE2484" s="57"/>
      <c r="KRF2484" s="61"/>
      <c r="KRG2484" s="57"/>
      <c r="KRH2484" s="57"/>
      <c r="KRI2484" s="67"/>
      <c r="KRJ2484" s="60"/>
      <c r="KRK2484" s="60"/>
      <c r="KRL2484" s="60"/>
      <c r="KRM2484" s="57"/>
      <c r="KRN2484" s="61"/>
      <c r="KRO2484" s="57"/>
      <c r="KRP2484" s="57"/>
      <c r="KRQ2484" s="67"/>
      <c r="KRR2484" s="60"/>
      <c r="KRS2484" s="60"/>
      <c r="KRT2484" s="60"/>
      <c r="KRU2484" s="57"/>
      <c r="KRV2484" s="61"/>
      <c r="KRW2484" s="57"/>
      <c r="KRX2484" s="57"/>
      <c r="KRY2484" s="67"/>
      <c r="KRZ2484" s="60"/>
      <c r="KSA2484" s="60"/>
      <c r="KSB2484" s="60"/>
      <c r="KSC2484" s="57"/>
      <c r="KSD2484" s="61"/>
      <c r="KSE2484" s="57"/>
      <c r="KSF2484" s="57"/>
      <c r="KSG2484" s="67"/>
      <c r="KSH2484" s="60"/>
      <c r="KSI2484" s="60"/>
      <c r="KSJ2484" s="60"/>
      <c r="KSK2484" s="57"/>
      <c r="KSL2484" s="61"/>
      <c r="KSM2484" s="57"/>
      <c r="KSN2484" s="57"/>
      <c r="KSO2484" s="67"/>
      <c r="KSP2484" s="60"/>
      <c r="KSQ2484" s="60"/>
      <c r="KSR2484" s="60"/>
      <c r="KSS2484" s="57"/>
      <c r="KST2484" s="61"/>
      <c r="KSU2484" s="57"/>
      <c r="KSV2484" s="57"/>
      <c r="KSW2484" s="67"/>
      <c r="KSX2484" s="60"/>
      <c r="KSY2484" s="60"/>
      <c r="KSZ2484" s="60"/>
      <c r="KTA2484" s="57"/>
      <c r="KTB2484" s="61"/>
      <c r="KTC2484" s="57"/>
      <c r="KTD2484" s="57"/>
      <c r="KTE2484" s="67"/>
      <c r="KTF2484" s="60"/>
      <c r="KTG2484" s="60"/>
      <c r="KTH2484" s="60"/>
      <c r="KTI2484" s="57"/>
      <c r="KTJ2484" s="61"/>
      <c r="KTK2484" s="57"/>
      <c r="KTL2484" s="57"/>
      <c r="KTM2484" s="67"/>
      <c r="KTN2484" s="60"/>
      <c r="KTO2484" s="60"/>
      <c r="KTP2484" s="60"/>
      <c r="KTQ2484" s="57"/>
      <c r="KTR2484" s="61"/>
      <c r="KTS2484" s="57"/>
      <c r="KTT2484" s="57"/>
      <c r="KTU2484" s="67"/>
      <c r="KTV2484" s="60"/>
      <c r="KTW2484" s="60"/>
      <c r="KTX2484" s="60"/>
      <c r="KTY2484" s="57"/>
      <c r="KTZ2484" s="61"/>
      <c r="KUA2484" s="57"/>
      <c r="KUB2484" s="57"/>
      <c r="KUC2484" s="67"/>
      <c r="KUD2484" s="60"/>
      <c r="KUE2484" s="60"/>
      <c r="KUF2484" s="60"/>
      <c r="KUG2484" s="57"/>
      <c r="KUH2484" s="61"/>
      <c r="KUI2484" s="57"/>
      <c r="KUJ2484" s="57"/>
      <c r="KUK2484" s="67"/>
      <c r="KUL2484" s="60"/>
      <c r="KUM2484" s="60"/>
      <c r="KUN2484" s="60"/>
      <c r="KUO2484" s="57"/>
      <c r="KUP2484" s="61"/>
      <c r="KUQ2484" s="57"/>
      <c r="KUR2484" s="57"/>
      <c r="KUS2484" s="67"/>
      <c r="KUT2484" s="60"/>
      <c r="KUU2484" s="60"/>
      <c r="KUV2484" s="60"/>
      <c r="KUW2484" s="57"/>
      <c r="KUX2484" s="61"/>
      <c r="KUY2484" s="57"/>
      <c r="KUZ2484" s="57"/>
      <c r="KVA2484" s="67"/>
      <c r="KVB2484" s="60"/>
      <c r="KVC2484" s="60"/>
      <c r="KVD2484" s="60"/>
      <c r="KVE2484" s="57"/>
      <c r="KVF2484" s="61"/>
      <c r="KVG2484" s="57"/>
      <c r="KVH2484" s="57"/>
      <c r="KVI2484" s="67"/>
      <c r="KVJ2484" s="60"/>
      <c r="KVK2484" s="60"/>
      <c r="KVL2484" s="60"/>
      <c r="KVM2484" s="57"/>
      <c r="KVN2484" s="61"/>
      <c r="KVO2484" s="57"/>
      <c r="KVP2484" s="57"/>
      <c r="KVQ2484" s="67"/>
      <c r="KVR2484" s="60"/>
      <c r="KVS2484" s="60"/>
      <c r="KVT2484" s="60"/>
      <c r="KVU2484" s="57"/>
      <c r="KVV2484" s="61"/>
      <c r="KVW2484" s="57"/>
      <c r="KVX2484" s="57"/>
      <c r="KVY2484" s="67"/>
      <c r="KVZ2484" s="60"/>
      <c r="KWA2484" s="60"/>
      <c r="KWB2484" s="60"/>
      <c r="KWC2484" s="57"/>
      <c r="KWD2484" s="61"/>
      <c r="KWE2484" s="57"/>
      <c r="KWF2484" s="57"/>
      <c r="KWG2484" s="67"/>
      <c r="KWH2484" s="60"/>
      <c r="KWI2484" s="60"/>
      <c r="KWJ2484" s="60"/>
      <c r="KWK2484" s="57"/>
      <c r="KWL2484" s="61"/>
      <c r="KWM2484" s="57"/>
      <c r="KWN2484" s="57"/>
      <c r="KWO2484" s="67"/>
      <c r="KWP2484" s="60"/>
      <c r="KWQ2484" s="60"/>
      <c r="KWR2484" s="60"/>
      <c r="KWS2484" s="57"/>
      <c r="KWT2484" s="61"/>
      <c r="KWU2484" s="57"/>
      <c r="KWV2484" s="57"/>
      <c r="KWW2484" s="67"/>
      <c r="KWX2484" s="60"/>
      <c r="KWY2484" s="60"/>
      <c r="KWZ2484" s="60"/>
      <c r="KXA2484" s="57"/>
      <c r="KXB2484" s="61"/>
      <c r="KXC2484" s="57"/>
      <c r="KXD2484" s="57"/>
      <c r="KXE2484" s="67"/>
      <c r="KXF2484" s="60"/>
      <c r="KXG2484" s="60"/>
      <c r="KXH2484" s="60"/>
      <c r="KXI2484" s="57"/>
      <c r="KXJ2484" s="61"/>
      <c r="KXK2484" s="57"/>
      <c r="KXL2484" s="57"/>
      <c r="KXM2484" s="67"/>
      <c r="KXN2484" s="60"/>
      <c r="KXO2484" s="60"/>
      <c r="KXP2484" s="60"/>
      <c r="KXQ2484" s="57"/>
      <c r="KXR2484" s="61"/>
      <c r="KXS2484" s="57"/>
      <c r="KXT2484" s="57"/>
      <c r="KXU2484" s="67"/>
      <c r="KXV2484" s="60"/>
      <c r="KXW2484" s="60"/>
      <c r="KXX2484" s="60"/>
      <c r="KXY2484" s="57"/>
      <c r="KXZ2484" s="61"/>
      <c r="KYA2484" s="57"/>
      <c r="KYB2484" s="57"/>
      <c r="KYC2484" s="67"/>
      <c r="KYD2484" s="60"/>
      <c r="KYE2484" s="60"/>
      <c r="KYF2484" s="60"/>
      <c r="KYG2484" s="57"/>
      <c r="KYH2484" s="61"/>
      <c r="KYI2484" s="57"/>
      <c r="KYJ2484" s="57"/>
      <c r="KYK2484" s="67"/>
      <c r="KYL2484" s="60"/>
      <c r="KYM2484" s="60"/>
      <c r="KYN2484" s="60"/>
      <c r="KYO2484" s="57"/>
      <c r="KYP2484" s="61"/>
      <c r="KYQ2484" s="57"/>
      <c r="KYR2484" s="57"/>
      <c r="KYS2484" s="67"/>
      <c r="KYT2484" s="60"/>
      <c r="KYU2484" s="60"/>
      <c r="KYV2484" s="60"/>
      <c r="KYW2484" s="57"/>
      <c r="KYX2484" s="61"/>
      <c r="KYY2484" s="57"/>
      <c r="KYZ2484" s="57"/>
      <c r="KZA2484" s="67"/>
      <c r="KZB2484" s="60"/>
      <c r="KZC2484" s="60"/>
      <c r="KZD2484" s="60"/>
      <c r="KZE2484" s="57"/>
      <c r="KZF2484" s="61"/>
      <c r="KZG2484" s="57"/>
      <c r="KZH2484" s="57"/>
      <c r="KZI2484" s="67"/>
      <c r="KZJ2484" s="60"/>
      <c r="KZK2484" s="60"/>
      <c r="KZL2484" s="60"/>
      <c r="KZM2484" s="57"/>
      <c r="KZN2484" s="61"/>
      <c r="KZO2484" s="57"/>
      <c r="KZP2484" s="57"/>
      <c r="KZQ2484" s="67"/>
      <c r="KZR2484" s="60"/>
      <c r="KZS2484" s="60"/>
      <c r="KZT2484" s="60"/>
      <c r="KZU2484" s="57"/>
      <c r="KZV2484" s="61"/>
      <c r="KZW2484" s="57"/>
      <c r="KZX2484" s="57"/>
      <c r="KZY2484" s="67"/>
      <c r="KZZ2484" s="60"/>
      <c r="LAA2484" s="60"/>
      <c r="LAB2484" s="60"/>
      <c r="LAC2484" s="57"/>
      <c r="LAD2484" s="61"/>
      <c r="LAE2484" s="57"/>
      <c r="LAF2484" s="57"/>
      <c r="LAG2484" s="67"/>
      <c r="LAH2484" s="60"/>
      <c r="LAI2484" s="60"/>
      <c r="LAJ2484" s="60"/>
      <c r="LAK2484" s="57"/>
      <c r="LAL2484" s="61"/>
      <c r="LAM2484" s="57"/>
      <c r="LAN2484" s="57"/>
      <c r="LAO2484" s="67"/>
      <c r="LAP2484" s="60"/>
      <c r="LAQ2484" s="60"/>
      <c r="LAR2484" s="60"/>
      <c r="LAS2484" s="57"/>
      <c r="LAT2484" s="61"/>
      <c r="LAU2484" s="57"/>
      <c r="LAV2484" s="57"/>
      <c r="LAW2484" s="67"/>
      <c r="LAX2484" s="60"/>
      <c r="LAY2484" s="60"/>
      <c r="LAZ2484" s="60"/>
      <c r="LBA2484" s="57"/>
      <c r="LBB2484" s="61"/>
      <c r="LBC2484" s="57"/>
      <c r="LBD2484" s="57"/>
      <c r="LBE2484" s="67"/>
      <c r="LBF2484" s="60"/>
      <c r="LBG2484" s="60"/>
      <c r="LBH2484" s="60"/>
      <c r="LBI2484" s="57"/>
      <c r="LBJ2484" s="61"/>
      <c r="LBK2484" s="57"/>
      <c r="LBL2484" s="57"/>
      <c r="LBM2484" s="67"/>
      <c r="LBN2484" s="60"/>
      <c r="LBO2484" s="60"/>
      <c r="LBP2484" s="60"/>
      <c r="LBQ2484" s="57"/>
      <c r="LBR2484" s="61"/>
      <c r="LBS2484" s="57"/>
      <c r="LBT2484" s="57"/>
      <c r="LBU2484" s="67"/>
      <c r="LBV2484" s="60"/>
      <c r="LBW2484" s="60"/>
      <c r="LBX2484" s="60"/>
      <c r="LBY2484" s="57"/>
      <c r="LBZ2484" s="61"/>
      <c r="LCA2484" s="57"/>
      <c r="LCB2484" s="57"/>
      <c r="LCC2484" s="67"/>
      <c r="LCD2484" s="60"/>
      <c r="LCE2484" s="60"/>
      <c r="LCF2484" s="60"/>
      <c r="LCG2484" s="57"/>
      <c r="LCH2484" s="61"/>
      <c r="LCI2484" s="57"/>
      <c r="LCJ2484" s="57"/>
      <c r="LCK2484" s="67"/>
      <c r="LCL2484" s="60"/>
      <c r="LCM2484" s="60"/>
      <c r="LCN2484" s="60"/>
      <c r="LCO2484" s="57"/>
      <c r="LCP2484" s="61"/>
      <c r="LCQ2484" s="57"/>
      <c r="LCR2484" s="57"/>
      <c r="LCS2484" s="67"/>
      <c r="LCT2484" s="60"/>
      <c r="LCU2484" s="60"/>
      <c r="LCV2484" s="60"/>
      <c r="LCW2484" s="57"/>
      <c r="LCX2484" s="61"/>
      <c r="LCY2484" s="57"/>
      <c r="LCZ2484" s="57"/>
      <c r="LDA2484" s="67"/>
      <c r="LDB2484" s="60"/>
      <c r="LDC2484" s="60"/>
      <c r="LDD2484" s="60"/>
      <c r="LDE2484" s="57"/>
      <c r="LDF2484" s="61"/>
      <c r="LDG2484" s="57"/>
      <c r="LDH2484" s="57"/>
      <c r="LDI2484" s="67"/>
      <c r="LDJ2484" s="60"/>
      <c r="LDK2484" s="60"/>
      <c r="LDL2484" s="60"/>
      <c r="LDM2484" s="57"/>
      <c r="LDN2484" s="61"/>
      <c r="LDO2484" s="57"/>
      <c r="LDP2484" s="57"/>
      <c r="LDQ2484" s="67"/>
      <c r="LDR2484" s="60"/>
      <c r="LDS2484" s="60"/>
      <c r="LDT2484" s="60"/>
      <c r="LDU2484" s="57"/>
      <c r="LDV2484" s="61"/>
      <c r="LDW2484" s="57"/>
      <c r="LDX2484" s="57"/>
      <c r="LDY2484" s="67"/>
      <c r="LDZ2484" s="60"/>
      <c r="LEA2484" s="60"/>
      <c r="LEB2484" s="60"/>
      <c r="LEC2484" s="57"/>
      <c r="LED2484" s="61"/>
      <c r="LEE2484" s="57"/>
      <c r="LEF2484" s="57"/>
      <c r="LEG2484" s="67"/>
      <c r="LEH2484" s="60"/>
      <c r="LEI2484" s="60"/>
      <c r="LEJ2484" s="60"/>
      <c r="LEK2484" s="57"/>
      <c r="LEL2484" s="61"/>
      <c r="LEM2484" s="57"/>
      <c r="LEN2484" s="57"/>
      <c r="LEO2484" s="67"/>
      <c r="LEP2484" s="60"/>
      <c r="LEQ2484" s="60"/>
      <c r="LER2484" s="60"/>
      <c r="LES2484" s="57"/>
      <c r="LET2484" s="61"/>
      <c r="LEU2484" s="57"/>
      <c r="LEV2484" s="57"/>
      <c r="LEW2484" s="67"/>
      <c r="LEX2484" s="60"/>
      <c r="LEY2484" s="60"/>
      <c r="LEZ2484" s="60"/>
      <c r="LFA2484" s="57"/>
      <c r="LFB2484" s="61"/>
      <c r="LFC2484" s="57"/>
      <c r="LFD2484" s="57"/>
      <c r="LFE2484" s="67"/>
      <c r="LFF2484" s="60"/>
      <c r="LFG2484" s="60"/>
      <c r="LFH2484" s="60"/>
      <c r="LFI2484" s="57"/>
      <c r="LFJ2484" s="61"/>
      <c r="LFK2484" s="57"/>
      <c r="LFL2484" s="57"/>
      <c r="LFM2484" s="67"/>
      <c r="LFN2484" s="60"/>
      <c r="LFO2484" s="60"/>
      <c r="LFP2484" s="60"/>
      <c r="LFQ2484" s="57"/>
      <c r="LFR2484" s="61"/>
      <c r="LFS2484" s="57"/>
      <c r="LFT2484" s="57"/>
      <c r="LFU2484" s="67"/>
      <c r="LFV2484" s="60"/>
      <c r="LFW2484" s="60"/>
      <c r="LFX2484" s="60"/>
      <c r="LFY2484" s="57"/>
      <c r="LFZ2484" s="61"/>
      <c r="LGA2484" s="57"/>
      <c r="LGB2484" s="57"/>
      <c r="LGC2484" s="67"/>
      <c r="LGD2484" s="60"/>
      <c r="LGE2484" s="60"/>
      <c r="LGF2484" s="60"/>
      <c r="LGG2484" s="57"/>
      <c r="LGH2484" s="61"/>
      <c r="LGI2484" s="57"/>
      <c r="LGJ2484" s="57"/>
      <c r="LGK2484" s="67"/>
      <c r="LGL2484" s="60"/>
      <c r="LGM2484" s="60"/>
      <c r="LGN2484" s="60"/>
      <c r="LGO2484" s="57"/>
      <c r="LGP2484" s="61"/>
      <c r="LGQ2484" s="57"/>
      <c r="LGR2484" s="57"/>
      <c r="LGS2484" s="67"/>
      <c r="LGT2484" s="60"/>
      <c r="LGU2484" s="60"/>
      <c r="LGV2484" s="60"/>
      <c r="LGW2484" s="57"/>
      <c r="LGX2484" s="61"/>
      <c r="LGY2484" s="57"/>
      <c r="LGZ2484" s="57"/>
      <c r="LHA2484" s="67"/>
      <c r="LHB2484" s="60"/>
      <c r="LHC2484" s="60"/>
      <c r="LHD2484" s="60"/>
      <c r="LHE2484" s="57"/>
      <c r="LHF2484" s="61"/>
      <c r="LHG2484" s="57"/>
      <c r="LHH2484" s="57"/>
      <c r="LHI2484" s="67"/>
      <c r="LHJ2484" s="60"/>
      <c r="LHK2484" s="60"/>
      <c r="LHL2484" s="60"/>
      <c r="LHM2484" s="57"/>
      <c r="LHN2484" s="61"/>
      <c r="LHO2484" s="57"/>
      <c r="LHP2484" s="57"/>
      <c r="LHQ2484" s="67"/>
      <c r="LHR2484" s="60"/>
      <c r="LHS2484" s="60"/>
      <c r="LHT2484" s="60"/>
      <c r="LHU2484" s="57"/>
      <c r="LHV2484" s="61"/>
      <c r="LHW2484" s="57"/>
      <c r="LHX2484" s="57"/>
      <c r="LHY2484" s="67"/>
      <c r="LHZ2484" s="60"/>
      <c r="LIA2484" s="60"/>
      <c r="LIB2484" s="60"/>
      <c r="LIC2484" s="57"/>
      <c r="LID2484" s="61"/>
      <c r="LIE2484" s="57"/>
      <c r="LIF2484" s="57"/>
      <c r="LIG2484" s="67"/>
      <c r="LIH2484" s="60"/>
      <c r="LII2484" s="60"/>
      <c r="LIJ2484" s="60"/>
      <c r="LIK2484" s="57"/>
      <c r="LIL2484" s="61"/>
      <c r="LIM2484" s="57"/>
      <c r="LIN2484" s="57"/>
      <c r="LIO2484" s="67"/>
      <c r="LIP2484" s="60"/>
      <c r="LIQ2484" s="60"/>
      <c r="LIR2484" s="60"/>
      <c r="LIS2484" s="57"/>
      <c r="LIT2484" s="61"/>
      <c r="LIU2484" s="57"/>
      <c r="LIV2484" s="57"/>
      <c r="LIW2484" s="67"/>
      <c r="LIX2484" s="60"/>
      <c r="LIY2484" s="60"/>
      <c r="LIZ2484" s="60"/>
      <c r="LJA2484" s="57"/>
      <c r="LJB2484" s="61"/>
      <c r="LJC2484" s="57"/>
      <c r="LJD2484" s="57"/>
      <c r="LJE2484" s="67"/>
      <c r="LJF2484" s="60"/>
      <c r="LJG2484" s="60"/>
      <c r="LJH2484" s="60"/>
      <c r="LJI2484" s="57"/>
      <c r="LJJ2484" s="61"/>
      <c r="LJK2484" s="57"/>
      <c r="LJL2484" s="57"/>
      <c r="LJM2484" s="67"/>
      <c r="LJN2484" s="60"/>
      <c r="LJO2484" s="60"/>
      <c r="LJP2484" s="60"/>
      <c r="LJQ2484" s="57"/>
      <c r="LJR2484" s="61"/>
      <c r="LJS2484" s="57"/>
      <c r="LJT2484" s="57"/>
      <c r="LJU2484" s="67"/>
      <c r="LJV2484" s="60"/>
      <c r="LJW2484" s="60"/>
      <c r="LJX2484" s="60"/>
      <c r="LJY2484" s="57"/>
      <c r="LJZ2484" s="61"/>
      <c r="LKA2484" s="57"/>
      <c r="LKB2484" s="57"/>
      <c r="LKC2484" s="67"/>
      <c r="LKD2484" s="60"/>
      <c r="LKE2484" s="60"/>
      <c r="LKF2484" s="60"/>
      <c r="LKG2484" s="57"/>
      <c r="LKH2484" s="61"/>
      <c r="LKI2484" s="57"/>
      <c r="LKJ2484" s="57"/>
      <c r="LKK2484" s="67"/>
      <c r="LKL2484" s="60"/>
      <c r="LKM2484" s="60"/>
      <c r="LKN2484" s="60"/>
      <c r="LKO2484" s="57"/>
      <c r="LKP2484" s="61"/>
      <c r="LKQ2484" s="57"/>
      <c r="LKR2484" s="57"/>
      <c r="LKS2484" s="67"/>
      <c r="LKT2484" s="60"/>
      <c r="LKU2484" s="60"/>
      <c r="LKV2484" s="60"/>
      <c r="LKW2484" s="57"/>
      <c r="LKX2484" s="61"/>
      <c r="LKY2484" s="57"/>
      <c r="LKZ2484" s="57"/>
      <c r="LLA2484" s="67"/>
      <c r="LLB2484" s="60"/>
      <c r="LLC2484" s="60"/>
      <c r="LLD2484" s="60"/>
      <c r="LLE2484" s="57"/>
      <c r="LLF2484" s="61"/>
      <c r="LLG2484" s="57"/>
      <c r="LLH2484" s="57"/>
      <c r="LLI2484" s="67"/>
      <c r="LLJ2484" s="60"/>
      <c r="LLK2484" s="60"/>
      <c r="LLL2484" s="60"/>
      <c r="LLM2484" s="57"/>
      <c r="LLN2484" s="61"/>
      <c r="LLO2484" s="57"/>
      <c r="LLP2484" s="57"/>
      <c r="LLQ2484" s="67"/>
      <c r="LLR2484" s="60"/>
      <c r="LLS2484" s="60"/>
      <c r="LLT2484" s="60"/>
      <c r="LLU2484" s="57"/>
      <c r="LLV2484" s="61"/>
      <c r="LLW2484" s="57"/>
      <c r="LLX2484" s="57"/>
      <c r="LLY2484" s="67"/>
      <c r="LLZ2484" s="60"/>
      <c r="LMA2484" s="60"/>
      <c r="LMB2484" s="60"/>
      <c r="LMC2484" s="57"/>
      <c r="LMD2484" s="61"/>
      <c r="LME2484" s="57"/>
      <c r="LMF2484" s="57"/>
      <c r="LMG2484" s="67"/>
      <c r="LMH2484" s="60"/>
      <c r="LMI2484" s="60"/>
      <c r="LMJ2484" s="60"/>
      <c r="LMK2484" s="57"/>
      <c r="LML2484" s="61"/>
      <c r="LMM2484" s="57"/>
      <c r="LMN2484" s="57"/>
      <c r="LMO2484" s="67"/>
      <c r="LMP2484" s="60"/>
      <c r="LMQ2484" s="60"/>
      <c r="LMR2484" s="60"/>
      <c r="LMS2484" s="57"/>
      <c r="LMT2484" s="61"/>
      <c r="LMU2484" s="57"/>
      <c r="LMV2484" s="57"/>
      <c r="LMW2484" s="67"/>
      <c r="LMX2484" s="60"/>
      <c r="LMY2484" s="60"/>
      <c r="LMZ2484" s="60"/>
      <c r="LNA2484" s="57"/>
      <c r="LNB2484" s="61"/>
      <c r="LNC2484" s="57"/>
      <c r="LND2484" s="57"/>
      <c r="LNE2484" s="67"/>
      <c r="LNF2484" s="60"/>
      <c r="LNG2484" s="60"/>
      <c r="LNH2484" s="60"/>
      <c r="LNI2484" s="57"/>
      <c r="LNJ2484" s="61"/>
      <c r="LNK2484" s="57"/>
      <c r="LNL2484" s="57"/>
      <c r="LNM2484" s="67"/>
      <c r="LNN2484" s="60"/>
      <c r="LNO2484" s="60"/>
      <c r="LNP2484" s="60"/>
      <c r="LNQ2484" s="57"/>
      <c r="LNR2484" s="61"/>
      <c r="LNS2484" s="57"/>
      <c r="LNT2484" s="57"/>
      <c r="LNU2484" s="67"/>
      <c r="LNV2484" s="60"/>
      <c r="LNW2484" s="60"/>
      <c r="LNX2484" s="60"/>
      <c r="LNY2484" s="57"/>
      <c r="LNZ2484" s="61"/>
      <c r="LOA2484" s="57"/>
      <c r="LOB2484" s="57"/>
      <c r="LOC2484" s="67"/>
      <c r="LOD2484" s="60"/>
      <c r="LOE2484" s="60"/>
      <c r="LOF2484" s="60"/>
      <c r="LOG2484" s="57"/>
      <c r="LOH2484" s="61"/>
      <c r="LOI2484" s="57"/>
      <c r="LOJ2484" s="57"/>
      <c r="LOK2484" s="67"/>
      <c r="LOL2484" s="60"/>
      <c r="LOM2484" s="60"/>
      <c r="LON2484" s="60"/>
      <c r="LOO2484" s="57"/>
      <c r="LOP2484" s="61"/>
      <c r="LOQ2484" s="57"/>
      <c r="LOR2484" s="57"/>
      <c r="LOS2484" s="67"/>
      <c r="LOT2484" s="60"/>
      <c r="LOU2484" s="60"/>
      <c r="LOV2484" s="60"/>
      <c r="LOW2484" s="57"/>
      <c r="LOX2484" s="61"/>
      <c r="LOY2484" s="57"/>
      <c r="LOZ2484" s="57"/>
      <c r="LPA2484" s="67"/>
      <c r="LPB2484" s="60"/>
      <c r="LPC2484" s="60"/>
      <c r="LPD2484" s="60"/>
      <c r="LPE2484" s="57"/>
      <c r="LPF2484" s="61"/>
      <c r="LPG2484" s="57"/>
      <c r="LPH2484" s="57"/>
      <c r="LPI2484" s="67"/>
      <c r="LPJ2484" s="60"/>
      <c r="LPK2484" s="60"/>
      <c r="LPL2484" s="60"/>
      <c r="LPM2484" s="57"/>
      <c r="LPN2484" s="61"/>
      <c r="LPO2484" s="57"/>
      <c r="LPP2484" s="57"/>
      <c r="LPQ2484" s="67"/>
      <c r="LPR2484" s="60"/>
      <c r="LPS2484" s="60"/>
      <c r="LPT2484" s="60"/>
      <c r="LPU2484" s="57"/>
      <c r="LPV2484" s="61"/>
      <c r="LPW2484" s="57"/>
      <c r="LPX2484" s="57"/>
      <c r="LPY2484" s="67"/>
      <c r="LPZ2484" s="60"/>
      <c r="LQA2484" s="60"/>
      <c r="LQB2484" s="60"/>
      <c r="LQC2484" s="57"/>
      <c r="LQD2484" s="61"/>
      <c r="LQE2484" s="57"/>
      <c r="LQF2484" s="57"/>
      <c r="LQG2484" s="67"/>
      <c r="LQH2484" s="60"/>
      <c r="LQI2484" s="60"/>
      <c r="LQJ2484" s="60"/>
      <c r="LQK2484" s="57"/>
      <c r="LQL2484" s="61"/>
      <c r="LQM2484" s="57"/>
      <c r="LQN2484" s="57"/>
      <c r="LQO2484" s="67"/>
      <c r="LQP2484" s="60"/>
      <c r="LQQ2484" s="60"/>
      <c r="LQR2484" s="60"/>
      <c r="LQS2484" s="57"/>
      <c r="LQT2484" s="61"/>
      <c r="LQU2484" s="57"/>
      <c r="LQV2484" s="57"/>
      <c r="LQW2484" s="67"/>
      <c r="LQX2484" s="60"/>
      <c r="LQY2484" s="60"/>
      <c r="LQZ2484" s="60"/>
      <c r="LRA2484" s="57"/>
      <c r="LRB2484" s="61"/>
      <c r="LRC2484" s="57"/>
      <c r="LRD2484" s="57"/>
      <c r="LRE2484" s="67"/>
      <c r="LRF2484" s="60"/>
      <c r="LRG2484" s="60"/>
      <c r="LRH2484" s="60"/>
      <c r="LRI2484" s="57"/>
      <c r="LRJ2484" s="61"/>
      <c r="LRK2484" s="57"/>
      <c r="LRL2484" s="57"/>
      <c r="LRM2484" s="67"/>
      <c r="LRN2484" s="60"/>
      <c r="LRO2484" s="60"/>
      <c r="LRP2484" s="60"/>
      <c r="LRQ2484" s="57"/>
      <c r="LRR2484" s="61"/>
      <c r="LRS2484" s="57"/>
      <c r="LRT2484" s="57"/>
      <c r="LRU2484" s="67"/>
      <c r="LRV2484" s="60"/>
      <c r="LRW2484" s="60"/>
      <c r="LRX2484" s="60"/>
      <c r="LRY2484" s="57"/>
      <c r="LRZ2484" s="61"/>
      <c r="LSA2484" s="57"/>
      <c r="LSB2484" s="57"/>
      <c r="LSC2484" s="67"/>
      <c r="LSD2484" s="60"/>
      <c r="LSE2484" s="60"/>
      <c r="LSF2484" s="60"/>
      <c r="LSG2484" s="57"/>
      <c r="LSH2484" s="61"/>
      <c r="LSI2484" s="57"/>
      <c r="LSJ2484" s="57"/>
      <c r="LSK2484" s="67"/>
      <c r="LSL2484" s="60"/>
      <c r="LSM2484" s="60"/>
      <c r="LSN2484" s="60"/>
      <c r="LSO2484" s="57"/>
      <c r="LSP2484" s="61"/>
      <c r="LSQ2484" s="57"/>
      <c r="LSR2484" s="57"/>
      <c r="LSS2484" s="67"/>
      <c r="LST2484" s="60"/>
      <c r="LSU2484" s="60"/>
      <c r="LSV2484" s="60"/>
      <c r="LSW2484" s="57"/>
      <c r="LSX2484" s="61"/>
      <c r="LSY2484" s="57"/>
      <c r="LSZ2484" s="57"/>
      <c r="LTA2484" s="67"/>
      <c r="LTB2484" s="60"/>
      <c r="LTC2484" s="60"/>
      <c r="LTD2484" s="60"/>
      <c r="LTE2484" s="57"/>
      <c r="LTF2484" s="61"/>
      <c r="LTG2484" s="57"/>
      <c r="LTH2484" s="57"/>
      <c r="LTI2484" s="67"/>
      <c r="LTJ2484" s="60"/>
      <c r="LTK2484" s="60"/>
      <c r="LTL2484" s="60"/>
      <c r="LTM2484" s="57"/>
      <c r="LTN2484" s="61"/>
      <c r="LTO2484" s="57"/>
      <c r="LTP2484" s="57"/>
      <c r="LTQ2484" s="67"/>
      <c r="LTR2484" s="60"/>
      <c r="LTS2484" s="60"/>
      <c r="LTT2484" s="60"/>
      <c r="LTU2484" s="57"/>
      <c r="LTV2484" s="61"/>
      <c r="LTW2484" s="57"/>
      <c r="LTX2484" s="57"/>
      <c r="LTY2484" s="67"/>
      <c r="LTZ2484" s="60"/>
      <c r="LUA2484" s="60"/>
      <c r="LUB2484" s="60"/>
      <c r="LUC2484" s="57"/>
      <c r="LUD2484" s="61"/>
      <c r="LUE2484" s="57"/>
      <c r="LUF2484" s="57"/>
      <c r="LUG2484" s="67"/>
      <c r="LUH2484" s="60"/>
      <c r="LUI2484" s="60"/>
      <c r="LUJ2484" s="60"/>
      <c r="LUK2484" s="57"/>
      <c r="LUL2484" s="61"/>
      <c r="LUM2484" s="57"/>
      <c r="LUN2484" s="57"/>
      <c r="LUO2484" s="67"/>
      <c r="LUP2484" s="60"/>
      <c r="LUQ2484" s="60"/>
      <c r="LUR2484" s="60"/>
      <c r="LUS2484" s="57"/>
      <c r="LUT2484" s="61"/>
      <c r="LUU2484" s="57"/>
      <c r="LUV2484" s="57"/>
      <c r="LUW2484" s="67"/>
      <c r="LUX2484" s="60"/>
      <c r="LUY2484" s="60"/>
      <c r="LUZ2484" s="60"/>
      <c r="LVA2484" s="57"/>
      <c r="LVB2484" s="61"/>
      <c r="LVC2484" s="57"/>
      <c r="LVD2484" s="57"/>
      <c r="LVE2484" s="67"/>
      <c r="LVF2484" s="60"/>
      <c r="LVG2484" s="60"/>
      <c r="LVH2484" s="60"/>
      <c r="LVI2484" s="57"/>
      <c r="LVJ2484" s="61"/>
      <c r="LVK2484" s="57"/>
      <c r="LVL2484" s="57"/>
      <c r="LVM2484" s="67"/>
      <c r="LVN2484" s="60"/>
      <c r="LVO2484" s="60"/>
      <c r="LVP2484" s="60"/>
      <c r="LVQ2484" s="57"/>
      <c r="LVR2484" s="61"/>
      <c r="LVS2484" s="57"/>
      <c r="LVT2484" s="57"/>
      <c r="LVU2484" s="67"/>
      <c r="LVV2484" s="60"/>
      <c r="LVW2484" s="60"/>
      <c r="LVX2484" s="60"/>
      <c r="LVY2484" s="57"/>
      <c r="LVZ2484" s="61"/>
      <c r="LWA2484" s="57"/>
      <c r="LWB2484" s="57"/>
      <c r="LWC2484" s="67"/>
      <c r="LWD2484" s="60"/>
      <c r="LWE2484" s="60"/>
      <c r="LWF2484" s="60"/>
      <c r="LWG2484" s="57"/>
      <c r="LWH2484" s="61"/>
      <c r="LWI2484" s="57"/>
      <c r="LWJ2484" s="57"/>
      <c r="LWK2484" s="67"/>
      <c r="LWL2484" s="60"/>
      <c r="LWM2484" s="60"/>
      <c r="LWN2484" s="60"/>
      <c r="LWO2484" s="57"/>
      <c r="LWP2484" s="61"/>
      <c r="LWQ2484" s="57"/>
      <c r="LWR2484" s="57"/>
      <c r="LWS2484" s="67"/>
      <c r="LWT2484" s="60"/>
      <c r="LWU2484" s="60"/>
      <c r="LWV2484" s="60"/>
      <c r="LWW2484" s="57"/>
      <c r="LWX2484" s="61"/>
      <c r="LWY2484" s="57"/>
      <c r="LWZ2484" s="57"/>
      <c r="LXA2484" s="67"/>
      <c r="LXB2484" s="60"/>
      <c r="LXC2484" s="60"/>
      <c r="LXD2484" s="60"/>
      <c r="LXE2484" s="57"/>
      <c r="LXF2484" s="61"/>
      <c r="LXG2484" s="57"/>
      <c r="LXH2484" s="57"/>
      <c r="LXI2484" s="67"/>
      <c r="LXJ2484" s="60"/>
      <c r="LXK2484" s="60"/>
      <c r="LXL2484" s="60"/>
      <c r="LXM2484" s="57"/>
      <c r="LXN2484" s="61"/>
      <c r="LXO2484" s="57"/>
      <c r="LXP2484" s="57"/>
      <c r="LXQ2484" s="67"/>
      <c r="LXR2484" s="60"/>
      <c r="LXS2484" s="60"/>
      <c r="LXT2484" s="60"/>
      <c r="LXU2484" s="57"/>
      <c r="LXV2484" s="61"/>
      <c r="LXW2484" s="57"/>
      <c r="LXX2484" s="57"/>
      <c r="LXY2484" s="67"/>
      <c r="LXZ2484" s="60"/>
      <c r="LYA2484" s="60"/>
      <c r="LYB2484" s="60"/>
      <c r="LYC2484" s="57"/>
      <c r="LYD2484" s="61"/>
      <c r="LYE2484" s="57"/>
      <c r="LYF2484" s="57"/>
      <c r="LYG2484" s="67"/>
      <c r="LYH2484" s="60"/>
      <c r="LYI2484" s="60"/>
      <c r="LYJ2484" s="60"/>
      <c r="LYK2484" s="57"/>
      <c r="LYL2484" s="61"/>
      <c r="LYM2484" s="57"/>
      <c r="LYN2484" s="57"/>
      <c r="LYO2484" s="67"/>
      <c r="LYP2484" s="60"/>
      <c r="LYQ2484" s="60"/>
      <c r="LYR2484" s="60"/>
      <c r="LYS2484" s="57"/>
      <c r="LYT2484" s="61"/>
      <c r="LYU2484" s="57"/>
      <c r="LYV2484" s="57"/>
      <c r="LYW2484" s="67"/>
      <c r="LYX2484" s="60"/>
      <c r="LYY2484" s="60"/>
      <c r="LYZ2484" s="60"/>
      <c r="LZA2484" s="57"/>
      <c r="LZB2484" s="61"/>
      <c r="LZC2484" s="57"/>
      <c r="LZD2484" s="57"/>
      <c r="LZE2484" s="67"/>
      <c r="LZF2484" s="60"/>
      <c r="LZG2484" s="60"/>
      <c r="LZH2484" s="60"/>
      <c r="LZI2484" s="57"/>
      <c r="LZJ2484" s="61"/>
      <c r="LZK2484" s="57"/>
      <c r="LZL2484" s="57"/>
      <c r="LZM2484" s="67"/>
      <c r="LZN2484" s="60"/>
      <c r="LZO2484" s="60"/>
      <c r="LZP2484" s="60"/>
      <c r="LZQ2484" s="57"/>
      <c r="LZR2484" s="61"/>
      <c r="LZS2484" s="57"/>
      <c r="LZT2484" s="57"/>
      <c r="LZU2484" s="67"/>
      <c r="LZV2484" s="60"/>
      <c r="LZW2484" s="60"/>
      <c r="LZX2484" s="60"/>
      <c r="LZY2484" s="57"/>
      <c r="LZZ2484" s="61"/>
      <c r="MAA2484" s="57"/>
      <c r="MAB2484" s="57"/>
      <c r="MAC2484" s="67"/>
      <c r="MAD2484" s="60"/>
      <c r="MAE2484" s="60"/>
      <c r="MAF2484" s="60"/>
      <c r="MAG2484" s="57"/>
      <c r="MAH2484" s="61"/>
      <c r="MAI2484" s="57"/>
      <c r="MAJ2484" s="57"/>
      <c r="MAK2484" s="67"/>
      <c r="MAL2484" s="60"/>
      <c r="MAM2484" s="60"/>
      <c r="MAN2484" s="60"/>
      <c r="MAO2484" s="57"/>
      <c r="MAP2484" s="61"/>
      <c r="MAQ2484" s="57"/>
      <c r="MAR2484" s="57"/>
      <c r="MAS2484" s="67"/>
      <c r="MAT2484" s="60"/>
      <c r="MAU2484" s="60"/>
      <c r="MAV2484" s="60"/>
      <c r="MAW2484" s="57"/>
      <c r="MAX2484" s="61"/>
      <c r="MAY2484" s="57"/>
      <c r="MAZ2484" s="57"/>
      <c r="MBA2484" s="67"/>
      <c r="MBB2484" s="60"/>
      <c r="MBC2484" s="60"/>
      <c r="MBD2484" s="60"/>
      <c r="MBE2484" s="57"/>
      <c r="MBF2484" s="61"/>
      <c r="MBG2484" s="57"/>
      <c r="MBH2484" s="57"/>
      <c r="MBI2484" s="67"/>
      <c r="MBJ2484" s="60"/>
      <c r="MBK2484" s="60"/>
      <c r="MBL2484" s="60"/>
      <c r="MBM2484" s="57"/>
      <c r="MBN2484" s="61"/>
      <c r="MBO2484" s="57"/>
      <c r="MBP2484" s="57"/>
      <c r="MBQ2484" s="67"/>
      <c r="MBR2484" s="60"/>
      <c r="MBS2484" s="60"/>
      <c r="MBT2484" s="60"/>
      <c r="MBU2484" s="57"/>
      <c r="MBV2484" s="61"/>
      <c r="MBW2484" s="57"/>
      <c r="MBX2484" s="57"/>
      <c r="MBY2484" s="67"/>
      <c r="MBZ2484" s="60"/>
      <c r="MCA2484" s="60"/>
      <c r="MCB2484" s="60"/>
      <c r="MCC2484" s="57"/>
      <c r="MCD2484" s="61"/>
      <c r="MCE2484" s="57"/>
      <c r="MCF2484" s="57"/>
      <c r="MCG2484" s="67"/>
      <c r="MCH2484" s="60"/>
      <c r="MCI2484" s="60"/>
      <c r="MCJ2484" s="60"/>
      <c r="MCK2484" s="57"/>
      <c r="MCL2484" s="61"/>
      <c r="MCM2484" s="57"/>
      <c r="MCN2484" s="57"/>
      <c r="MCO2484" s="67"/>
      <c r="MCP2484" s="60"/>
      <c r="MCQ2484" s="60"/>
      <c r="MCR2484" s="60"/>
      <c r="MCS2484" s="57"/>
      <c r="MCT2484" s="61"/>
      <c r="MCU2484" s="57"/>
      <c r="MCV2484" s="57"/>
      <c r="MCW2484" s="67"/>
      <c r="MCX2484" s="60"/>
      <c r="MCY2484" s="60"/>
      <c r="MCZ2484" s="60"/>
      <c r="MDA2484" s="57"/>
      <c r="MDB2484" s="61"/>
      <c r="MDC2484" s="57"/>
      <c r="MDD2484" s="57"/>
      <c r="MDE2484" s="67"/>
      <c r="MDF2484" s="60"/>
      <c r="MDG2484" s="60"/>
      <c r="MDH2484" s="60"/>
      <c r="MDI2484" s="57"/>
      <c r="MDJ2484" s="61"/>
      <c r="MDK2484" s="57"/>
      <c r="MDL2484" s="57"/>
      <c r="MDM2484" s="67"/>
      <c r="MDN2484" s="60"/>
      <c r="MDO2484" s="60"/>
      <c r="MDP2484" s="60"/>
      <c r="MDQ2484" s="57"/>
      <c r="MDR2484" s="61"/>
      <c r="MDS2484" s="57"/>
      <c r="MDT2484" s="57"/>
      <c r="MDU2484" s="67"/>
      <c r="MDV2484" s="60"/>
      <c r="MDW2484" s="60"/>
      <c r="MDX2484" s="60"/>
      <c r="MDY2484" s="57"/>
      <c r="MDZ2484" s="61"/>
      <c r="MEA2484" s="57"/>
      <c r="MEB2484" s="57"/>
      <c r="MEC2484" s="67"/>
      <c r="MED2484" s="60"/>
      <c r="MEE2484" s="60"/>
      <c r="MEF2484" s="60"/>
      <c r="MEG2484" s="57"/>
      <c r="MEH2484" s="61"/>
      <c r="MEI2484" s="57"/>
      <c r="MEJ2484" s="57"/>
      <c r="MEK2484" s="67"/>
      <c r="MEL2484" s="60"/>
      <c r="MEM2484" s="60"/>
      <c r="MEN2484" s="60"/>
      <c r="MEO2484" s="57"/>
      <c r="MEP2484" s="61"/>
      <c r="MEQ2484" s="57"/>
      <c r="MER2484" s="57"/>
      <c r="MES2484" s="67"/>
      <c r="MET2484" s="60"/>
      <c r="MEU2484" s="60"/>
      <c r="MEV2484" s="60"/>
      <c r="MEW2484" s="57"/>
      <c r="MEX2484" s="61"/>
      <c r="MEY2484" s="57"/>
      <c r="MEZ2484" s="57"/>
      <c r="MFA2484" s="67"/>
      <c r="MFB2484" s="60"/>
      <c r="MFC2484" s="60"/>
      <c r="MFD2484" s="60"/>
      <c r="MFE2484" s="57"/>
      <c r="MFF2484" s="61"/>
      <c r="MFG2484" s="57"/>
      <c r="MFH2484" s="57"/>
      <c r="MFI2484" s="67"/>
      <c r="MFJ2484" s="60"/>
      <c r="MFK2484" s="60"/>
      <c r="MFL2484" s="60"/>
      <c r="MFM2484" s="57"/>
      <c r="MFN2484" s="61"/>
      <c r="MFO2484" s="57"/>
      <c r="MFP2484" s="57"/>
      <c r="MFQ2484" s="67"/>
      <c r="MFR2484" s="60"/>
      <c r="MFS2484" s="60"/>
      <c r="MFT2484" s="60"/>
      <c r="MFU2484" s="57"/>
      <c r="MFV2484" s="61"/>
      <c r="MFW2484" s="57"/>
      <c r="MFX2484" s="57"/>
      <c r="MFY2484" s="67"/>
      <c r="MFZ2484" s="60"/>
      <c r="MGA2484" s="60"/>
      <c r="MGB2484" s="60"/>
      <c r="MGC2484" s="57"/>
      <c r="MGD2484" s="61"/>
      <c r="MGE2484" s="57"/>
      <c r="MGF2484" s="57"/>
      <c r="MGG2484" s="67"/>
      <c r="MGH2484" s="60"/>
      <c r="MGI2484" s="60"/>
      <c r="MGJ2484" s="60"/>
      <c r="MGK2484" s="57"/>
      <c r="MGL2484" s="61"/>
      <c r="MGM2484" s="57"/>
      <c r="MGN2484" s="57"/>
      <c r="MGO2484" s="67"/>
      <c r="MGP2484" s="60"/>
      <c r="MGQ2484" s="60"/>
      <c r="MGR2484" s="60"/>
      <c r="MGS2484" s="57"/>
      <c r="MGT2484" s="61"/>
      <c r="MGU2484" s="57"/>
      <c r="MGV2484" s="57"/>
      <c r="MGW2484" s="67"/>
      <c r="MGX2484" s="60"/>
      <c r="MGY2484" s="60"/>
      <c r="MGZ2484" s="60"/>
      <c r="MHA2484" s="57"/>
      <c r="MHB2484" s="61"/>
      <c r="MHC2484" s="57"/>
      <c r="MHD2484" s="57"/>
      <c r="MHE2484" s="67"/>
      <c r="MHF2484" s="60"/>
      <c r="MHG2484" s="60"/>
      <c r="MHH2484" s="60"/>
      <c r="MHI2484" s="57"/>
      <c r="MHJ2484" s="61"/>
      <c r="MHK2484" s="57"/>
      <c r="MHL2484" s="57"/>
      <c r="MHM2484" s="67"/>
      <c r="MHN2484" s="60"/>
      <c r="MHO2484" s="60"/>
      <c r="MHP2484" s="60"/>
      <c r="MHQ2484" s="57"/>
      <c r="MHR2484" s="61"/>
      <c r="MHS2484" s="57"/>
      <c r="MHT2484" s="57"/>
      <c r="MHU2484" s="67"/>
      <c r="MHV2484" s="60"/>
      <c r="MHW2484" s="60"/>
      <c r="MHX2484" s="60"/>
      <c r="MHY2484" s="57"/>
      <c r="MHZ2484" s="61"/>
      <c r="MIA2484" s="57"/>
      <c r="MIB2484" s="57"/>
      <c r="MIC2484" s="67"/>
      <c r="MID2484" s="60"/>
      <c r="MIE2484" s="60"/>
      <c r="MIF2484" s="60"/>
      <c r="MIG2484" s="57"/>
      <c r="MIH2484" s="61"/>
      <c r="MII2484" s="57"/>
      <c r="MIJ2484" s="57"/>
      <c r="MIK2484" s="67"/>
      <c r="MIL2484" s="60"/>
      <c r="MIM2484" s="60"/>
      <c r="MIN2484" s="60"/>
      <c r="MIO2484" s="57"/>
      <c r="MIP2484" s="61"/>
      <c r="MIQ2484" s="57"/>
      <c r="MIR2484" s="57"/>
      <c r="MIS2484" s="67"/>
      <c r="MIT2484" s="60"/>
      <c r="MIU2484" s="60"/>
      <c r="MIV2484" s="60"/>
      <c r="MIW2484" s="57"/>
      <c r="MIX2484" s="61"/>
      <c r="MIY2484" s="57"/>
      <c r="MIZ2484" s="57"/>
      <c r="MJA2484" s="67"/>
      <c r="MJB2484" s="60"/>
      <c r="MJC2484" s="60"/>
      <c r="MJD2484" s="60"/>
      <c r="MJE2484" s="57"/>
      <c r="MJF2484" s="61"/>
      <c r="MJG2484" s="57"/>
      <c r="MJH2484" s="57"/>
      <c r="MJI2484" s="67"/>
      <c r="MJJ2484" s="60"/>
      <c r="MJK2484" s="60"/>
      <c r="MJL2484" s="60"/>
      <c r="MJM2484" s="57"/>
      <c r="MJN2484" s="61"/>
      <c r="MJO2484" s="57"/>
      <c r="MJP2484" s="57"/>
      <c r="MJQ2484" s="67"/>
      <c r="MJR2484" s="60"/>
      <c r="MJS2484" s="60"/>
      <c r="MJT2484" s="60"/>
      <c r="MJU2484" s="57"/>
      <c r="MJV2484" s="61"/>
      <c r="MJW2484" s="57"/>
      <c r="MJX2484" s="57"/>
      <c r="MJY2484" s="67"/>
      <c r="MJZ2484" s="60"/>
      <c r="MKA2484" s="60"/>
      <c r="MKB2484" s="60"/>
      <c r="MKC2484" s="57"/>
      <c r="MKD2484" s="61"/>
      <c r="MKE2484" s="57"/>
      <c r="MKF2484" s="57"/>
      <c r="MKG2484" s="67"/>
      <c r="MKH2484" s="60"/>
      <c r="MKI2484" s="60"/>
      <c r="MKJ2484" s="60"/>
      <c r="MKK2484" s="57"/>
      <c r="MKL2484" s="61"/>
      <c r="MKM2484" s="57"/>
      <c r="MKN2484" s="57"/>
      <c r="MKO2484" s="67"/>
      <c r="MKP2484" s="60"/>
      <c r="MKQ2484" s="60"/>
      <c r="MKR2484" s="60"/>
      <c r="MKS2484" s="57"/>
      <c r="MKT2484" s="61"/>
      <c r="MKU2484" s="57"/>
      <c r="MKV2484" s="57"/>
      <c r="MKW2484" s="67"/>
      <c r="MKX2484" s="60"/>
      <c r="MKY2484" s="60"/>
      <c r="MKZ2484" s="60"/>
      <c r="MLA2484" s="57"/>
      <c r="MLB2484" s="61"/>
      <c r="MLC2484" s="57"/>
      <c r="MLD2484" s="57"/>
      <c r="MLE2484" s="67"/>
      <c r="MLF2484" s="60"/>
      <c r="MLG2484" s="60"/>
      <c r="MLH2484" s="60"/>
      <c r="MLI2484" s="57"/>
      <c r="MLJ2484" s="61"/>
      <c r="MLK2484" s="57"/>
      <c r="MLL2484" s="57"/>
      <c r="MLM2484" s="67"/>
      <c r="MLN2484" s="60"/>
      <c r="MLO2484" s="60"/>
      <c r="MLP2484" s="60"/>
      <c r="MLQ2484" s="57"/>
      <c r="MLR2484" s="61"/>
      <c r="MLS2484" s="57"/>
      <c r="MLT2484" s="57"/>
      <c r="MLU2484" s="67"/>
      <c r="MLV2484" s="60"/>
      <c r="MLW2484" s="60"/>
      <c r="MLX2484" s="60"/>
      <c r="MLY2484" s="57"/>
      <c r="MLZ2484" s="61"/>
      <c r="MMA2484" s="57"/>
      <c r="MMB2484" s="57"/>
      <c r="MMC2484" s="67"/>
      <c r="MMD2484" s="60"/>
      <c r="MME2484" s="60"/>
      <c r="MMF2484" s="60"/>
      <c r="MMG2484" s="57"/>
      <c r="MMH2484" s="61"/>
      <c r="MMI2484" s="57"/>
      <c r="MMJ2484" s="57"/>
      <c r="MMK2484" s="67"/>
      <c r="MML2484" s="60"/>
      <c r="MMM2484" s="60"/>
      <c r="MMN2484" s="60"/>
      <c r="MMO2484" s="57"/>
      <c r="MMP2484" s="61"/>
      <c r="MMQ2484" s="57"/>
      <c r="MMR2484" s="57"/>
      <c r="MMS2484" s="67"/>
      <c r="MMT2484" s="60"/>
      <c r="MMU2484" s="60"/>
      <c r="MMV2484" s="60"/>
      <c r="MMW2484" s="57"/>
      <c r="MMX2484" s="61"/>
      <c r="MMY2484" s="57"/>
      <c r="MMZ2484" s="57"/>
      <c r="MNA2484" s="67"/>
      <c r="MNB2484" s="60"/>
      <c r="MNC2484" s="60"/>
      <c r="MND2484" s="60"/>
      <c r="MNE2484" s="57"/>
      <c r="MNF2484" s="61"/>
      <c r="MNG2484" s="57"/>
      <c r="MNH2484" s="57"/>
      <c r="MNI2484" s="67"/>
      <c r="MNJ2484" s="60"/>
      <c r="MNK2484" s="60"/>
      <c r="MNL2484" s="60"/>
      <c r="MNM2484" s="57"/>
      <c r="MNN2484" s="61"/>
      <c r="MNO2484" s="57"/>
      <c r="MNP2484" s="57"/>
      <c r="MNQ2484" s="67"/>
      <c r="MNR2484" s="60"/>
      <c r="MNS2484" s="60"/>
      <c r="MNT2484" s="60"/>
      <c r="MNU2484" s="57"/>
      <c r="MNV2484" s="61"/>
      <c r="MNW2484" s="57"/>
      <c r="MNX2484" s="57"/>
      <c r="MNY2484" s="67"/>
      <c r="MNZ2484" s="60"/>
      <c r="MOA2484" s="60"/>
      <c r="MOB2484" s="60"/>
      <c r="MOC2484" s="57"/>
      <c r="MOD2484" s="61"/>
      <c r="MOE2484" s="57"/>
      <c r="MOF2484" s="57"/>
      <c r="MOG2484" s="67"/>
      <c r="MOH2484" s="60"/>
      <c r="MOI2484" s="60"/>
      <c r="MOJ2484" s="60"/>
      <c r="MOK2484" s="57"/>
      <c r="MOL2484" s="61"/>
      <c r="MOM2484" s="57"/>
      <c r="MON2484" s="57"/>
      <c r="MOO2484" s="67"/>
      <c r="MOP2484" s="60"/>
      <c r="MOQ2484" s="60"/>
      <c r="MOR2484" s="60"/>
      <c r="MOS2484" s="57"/>
      <c r="MOT2484" s="61"/>
      <c r="MOU2484" s="57"/>
      <c r="MOV2484" s="57"/>
      <c r="MOW2484" s="67"/>
      <c r="MOX2484" s="60"/>
      <c r="MOY2484" s="60"/>
      <c r="MOZ2484" s="60"/>
      <c r="MPA2484" s="57"/>
      <c r="MPB2484" s="61"/>
      <c r="MPC2484" s="57"/>
      <c r="MPD2484" s="57"/>
      <c r="MPE2484" s="67"/>
      <c r="MPF2484" s="60"/>
      <c r="MPG2484" s="60"/>
      <c r="MPH2484" s="60"/>
      <c r="MPI2484" s="57"/>
      <c r="MPJ2484" s="61"/>
      <c r="MPK2484" s="57"/>
      <c r="MPL2484" s="57"/>
      <c r="MPM2484" s="67"/>
      <c r="MPN2484" s="60"/>
      <c r="MPO2484" s="60"/>
      <c r="MPP2484" s="60"/>
      <c r="MPQ2484" s="57"/>
      <c r="MPR2484" s="61"/>
      <c r="MPS2484" s="57"/>
      <c r="MPT2484" s="57"/>
      <c r="MPU2484" s="67"/>
      <c r="MPV2484" s="60"/>
      <c r="MPW2484" s="60"/>
      <c r="MPX2484" s="60"/>
      <c r="MPY2484" s="57"/>
      <c r="MPZ2484" s="61"/>
      <c r="MQA2484" s="57"/>
      <c r="MQB2484" s="57"/>
      <c r="MQC2484" s="67"/>
      <c r="MQD2484" s="60"/>
      <c r="MQE2484" s="60"/>
      <c r="MQF2484" s="60"/>
      <c r="MQG2484" s="57"/>
      <c r="MQH2484" s="61"/>
      <c r="MQI2484" s="57"/>
      <c r="MQJ2484" s="57"/>
      <c r="MQK2484" s="67"/>
      <c r="MQL2484" s="60"/>
      <c r="MQM2484" s="60"/>
      <c r="MQN2484" s="60"/>
      <c r="MQO2484" s="57"/>
      <c r="MQP2484" s="61"/>
      <c r="MQQ2484" s="57"/>
      <c r="MQR2484" s="57"/>
      <c r="MQS2484" s="67"/>
      <c r="MQT2484" s="60"/>
      <c r="MQU2484" s="60"/>
      <c r="MQV2484" s="60"/>
      <c r="MQW2484" s="57"/>
      <c r="MQX2484" s="61"/>
      <c r="MQY2484" s="57"/>
      <c r="MQZ2484" s="57"/>
      <c r="MRA2484" s="67"/>
      <c r="MRB2484" s="60"/>
      <c r="MRC2484" s="60"/>
      <c r="MRD2484" s="60"/>
      <c r="MRE2484" s="57"/>
      <c r="MRF2484" s="61"/>
      <c r="MRG2484" s="57"/>
      <c r="MRH2484" s="57"/>
      <c r="MRI2484" s="67"/>
      <c r="MRJ2484" s="60"/>
      <c r="MRK2484" s="60"/>
      <c r="MRL2484" s="60"/>
      <c r="MRM2484" s="57"/>
      <c r="MRN2484" s="61"/>
      <c r="MRO2484" s="57"/>
      <c r="MRP2484" s="57"/>
      <c r="MRQ2484" s="67"/>
      <c r="MRR2484" s="60"/>
      <c r="MRS2484" s="60"/>
      <c r="MRT2484" s="60"/>
      <c r="MRU2484" s="57"/>
      <c r="MRV2484" s="61"/>
      <c r="MRW2484" s="57"/>
      <c r="MRX2484" s="57"/>
      <c r="MRY2484" s="67"/>
      <c r="MRZ2484" s="60"/>
      <c r="MSA2484" s="60"/>
      <c r="MSB2484" s="60"/>
      <c r="MSC2484" s="57"/>
      <c r="MSD2484" s="61"/>
      <c r="MSE2484" s="57"/>
      <c r="MSF2484" s="57"/>
      <c r="MSG2484" s="67"/>
      <c r="MSH2484" s="60"/>
      <c r="MSI2484" s="60"/>
      <c r="MSJ2484" s="60"/>
      <c r="MSK2484" s="57"/>
      <c r="MSL2484" s="61"/>
      <c r="MSM2484" s="57"/>
      <c r="MSN2484" s="57"/>
      <c r="MSO2484" s="67"/>
      <c r="MSP2484" s="60"/>
      <c r="MSQ2484" s="60"/>
      <c r="MSR2484" s="60"/>
      <c r="MSS2484" s="57"/>
      <c r="MST2484" s="61"/>
      <c r="MSU2484" s="57"/>
      <c r="MSV2484" s="57"/>
      <c r="MSW2484" s="67"/>
      <c r="MSX2484" s="60"/>
      <c r="MSY2484" s="60"/>
      <c r="MSZ2484" s="60"/>
      <c r="MTA2484" s="57"/>
      <c r="MTB2484" s="61"/>
      <c r="MTC2484" s="57"/>
      <c r="MTD2484" s="57"/>
      <c r="MTE2484" s="67"/>
      <c r="MTF2484" s="60"/>
      <c r="MTG2484" s="60"/>
      <c r="MTH2484" s="60"/>
      <c r="MTI2484" s="57"/>
      <c r="MTJ2484" s="61"/>
      <c r="MTK2484" s="57"/>
      <c r="MTL2484" s="57"/>
      <c r="MTM2484" s="67"/>
      <c r="MTN2484" s="60"/>
      <c r="MTO2484" s="60"/>
      <c r="MTP2484" s="60"/>
      <c r="MTQ2484" s="57"/>
      <c r="MTR2484" s="61"/>
      <c r="MTS2484" s="57"/>
      <c r="MTT2484" s="57"/>
      <c r="MTU2484" s="67"/>
      <c r="MTV2484" s="60"/>
      <c r="MTW2484" s="60"/>
      <c r="MTX2484" s="60"/>
      <c r="MTY2484" s="57"/>
      <c r="MTZ2484" s="61"/>
      <c r="MUA2484" s="57"/>
      <c r="MUB2484" s="57"/>
      <c r="MUC2484" s="67"/>
      <c r="MUD2484" s="60"/>
      <c r="MUE2484" s="60"/>
      <c r="MUF2484" s="60"/>
      <c r="MUG2484" s="57"/>
      <c r="MUH2484" s="61"/>
      <c r="MUI2484" s="57"/>
      <c r="MUJ2484" s="57"/>
      <c r="MUK2484" s="67"/>
      <c r="MUL2484" s="60"/>
      <c r="MUM2484" s="60"/>
      <c r="MUN2484" s="60"/>
      <c r="MUO2484" s="57"/>
      <c r="MUP2484" s="61"/>
      <c r="MUQ2484" s="57"/>
      <c r="MUR2484" s="57"/>
      <c r="MUS2484" s="67"/>
      <c r="MUT2484" s="60"/>
      <c r="MUU2484" s="60"/>
      <c r="MUV2484" s="60"/>
      <c r="MUW2484" s="57"/>
      <c r="MUX2484" s="61"/>
      <c r="MUY2484" s="57"/>
      <c r="MUZ2484" s="57"/>
      <c r="MVA2484" s="67"/>
      <c r="MVB2484" s="60"/>
      <c r="MVC2484" s="60"/>
      <c r="MVD2484" s="60"/>
      <c r="MVE2484" s="57"/>
      <c r="MVF2484" s="61"/>
      <c r="MVG2484" s="57"/>
      <c r="MVH2484" s="57"/>
      <c r="MVI2484" s="67"/>
      <c r="MVJ2484" s="60"/>
      <c r="MVK2484" s="60"/>
      <c r="MVL2484" s="60"/>
      <c r="MVM2484" s="57"/>
      <c r="MVN2484" s="61"/>
      <c r="MVO2484" s="57"/>
      <c r="MVP2484" s="57"/>
      <c r="MVQ2484" s="67"/>
      <c r="MVR2484" s="60"/>
      <c r="MVS2484" s="60"/>
      <c r="MVT2484" s="60"/>
      <c r="MVU2484" s="57"/>
      <c r="MVV2484" s="61"/>
      <c r="MVW2484" s="57"/>
      <c r="MVX2484" s="57"/>
      <c r="MVY2484" s="67"/>
      <c r="MVZ2484" s="60"/>
      <c r="MWA2484" s="60"/>
      <c r="MWB2484" s="60"/>
      <c r="MWC2484" s="57"/>
      <c r="MWD2484" s="61"/>
      <c r="MWE2484" s="57"/>
      <c r="MWF2484" s="57"/>
      <c r="MWG2484" s="67"/>
      <c r="MWH2484" s="60"/>
      <c r="MWI2484" s="60"/>
      <c r="MWJ2484" s="60"/>
      <c r="MWK2484" s="57"/>
      <c r="MWL2484" s="61"/>
      <c r="MWM2484" s="57"/>
      <c r="MWN2484" s="57"/>
      <c r="MWO2484" s="67"/>
      <c r="MWP2484" s="60"/>
      <c r="MWQ2484" s="60"/>
      <c r="MWR2484" s="60"/>
      <c r="MWS2484" s="57"/>
      <c r="MWT2484" s="61"/>
      <c r="MWU2484" s="57"/>
      <c r="MWV2484" s="57"/>
      <c r="MWW2484" s="67"/>
      <c r="MWX2484" s="60"/>
      <c r="MWY2484" s="60"/>
      <c r="MWZ2484" s="60"/>
      <c r="MXA2484" s="57"/>
      <c r="MXB2484" s="61"/>
      <c r="MXC2484" s="57"/>
      <c r="MXD2484" s="57"/>
      <c r="MXE2484" s="67"/>
      <c r="MXF2484" s="60"/>
      <c r="MXG2484" s="60"/>
      <c r="MXH2484" s="60"/>
      <c r="MXI2484" s="57"/>
      <c r="MXJ2484" s="61"/>
      <c r="MXK2484" s="57"/>
      <c r="MXL2484" s="57"/>
      <c r="MXM2484" s="67"/>
      <c r="MXN2484" s="60"/>
      <c r="MXO2484" s="60"/>
      <c r="MXP2484" s="60"/>
      <c r="MXQ2484" s="57"/>
      <c r="MXR2484" s="61"/>
      <c r="MXS2484" s="57"/>
      <c r="MXT2484" s="57"/>
      <c r="MXU2484" s="67"/>
      <c r="MXV2484" s="60"/>
      <c r="MXW2484" s="60"/>
      <c r="MXX2484" s="60"/>
      <c r="MXY2484" s="57"/>
      <c r="MXZ2484" s="61"/>
      <c r="MYA2484" s="57"/>
      <c r="MYB2484" s="57"/>
      <c r="MYC2484" s="67"/>
      <c r="MYD2484" s="60"/>
      <c r="MYE2484" s="60"/>
      <c r="MYF2484" s="60"/>
      <c r="MYG2484" s="57"/>
      <c r="MYH2484" s="61"/>
      <c r="MYI2484" s="57"/>
      <c r="MYJ2484" s="57"/>
      <c r="MYK2484" s="67"/>
      <c r="MYL2484" s="60"/>
      <c r="MYM2484" s="60"/>
      <c r="MYN2484" s="60"/>
      <c r="MYO2484" s="57"/>
      <c r="MYP2484" s="61"/>
      <c r="MYQ2484" s="57"/>
      <c r="MYR2484" s="57"/>
      <c r="MYS2484" s="67"/>
      <c r="MYT2484" s="60"/>
      <c r="MYU2484" s="60"/>
      <c r="MYV2484" s="60"/>
      <c r="MYW2484" s="57"/>
      <c r="MYX2484" s="61"/>
      <c r="MYY2484" s="57"/>
      <c r="MYZ2484" s="57"/>
      <c r="MZA2484" s="67"/>
      <c r="MZB2484" s="60"/>
      <c r="MZC2484" s="60"/>
      <c r="MZD2484" s="60"/>
      <c r="MZE2484" s="57"/>
      <c r="MZF2484" s="61"/>
      <c r="MZG2484" s="57"/>
      <c r="MZH2484" s="57"/>
      <c r="MZI2484" s="67"/>
      <c r="MZJ2484" s="60"/>
      <c r="MZK2484" s="60"/>
      <c r="MZL2484" s="60"/>
      <c r="MZM2484" s="57"/>
      <c r="MZN2484" s="61"/>
      <c r="MZO2484" s="57"/>
      <c r="MZP2484" s="57"/>
      <c r="MZQ2484" s="67"/>
      <c r="MZR2484" s="60"/>
      <c r="MZS2484" s="60"/>
      <c r="MZT2484" s="60"/>
      <c r="MZU2484" s="57"/>
      <c r="MZV2484" s="61"/>
      <c r="MZW2484" s="57"/>
      <c r="MZX2484" s="57"/>
      <c r="MZY2484" s="67"/>
      <c r="MZZ2484" s="60"/>
      <c r="NAA2484" s="60"/>
      <c r="NAB2484" s="60"/>
      <c r="NAC2484" s="57"/>
      <c r="NAD2484" s="61"/>
      <c r="NAE2484" s="57"/>
      <c r="NAF2484" s="57"/>
      <c r="NAG2484" s="67"/>
      <c r="NAH2484" s="60"/>
      <c r="NAI2484" s="60"/>
      <c r="NAJ2484" s="60"/>
      <c r="NAK2484" s="57"/>
      <c r="NAL2484" s="61"/>
      <c r="NAM2484" s="57"/>
      <c r="NAN2484" s="57"/>
      <c r="NAO2484" s="67"/>
      <c r="NAP2484" s="60"/>
      <c r="NAQ2484" s="60"/>
      <c r="NAR2484" s="60"/>
      <c r="NAS2484" s="57"/>
      <c r="NAT2484" s="61"/>
      <c r="NAU2484" s="57"/>
      <c r="NAV2484" s="57"/>
      <c r="NAW2484" s="67"/>
      <c r="NAX2484" s="60"/>
      <c r="NAY2484" s="60"/>
      <c r="NAZ2484" s="60"/>
      <c r="NBA2484" s="57"/>
      <c r="NBB2484" s="61"/>
      <c r="NBC2484" s="57"/>
      <c r="NBD2484" s="57"/>
      <c r="NBE2484" s="67"/>
      <c r="NBF2484" s="60"/>
      <c r="NBG2484" s="60"/>
      <c r="NBH2484" s="60"/>
      <c r="NBI2484" s="57"/>
      <c r="NBJ2484" s="61"/>
      <c r="NBK2484" s="57"/>
      <c r="NBL2484" s="57"/>
      <c r="NBM2484" s="67"/>
      <c r="NBN2484" s="60"/>
      <c r="NBO2484" s="60"/>
      <c r="NBP2484" s="60"/>
      <c r="NBQ2484" s="57"/>
      <c r="NBR2484" s="61"/>
      <c r="NBS2484" s="57"/>
      <c r="NBT2484" s="57"/>
      <c r="NBU2484" s="67"/>
      <c r="NBV2484" s="60"/>
      <c r="NBW2484" s="60"/>
      <c r="NBX2484" s="60"/>
      <c r="NBY2484" s="57"/>
      <c r="NBZ2484" s="61"/>
      <c r="NCA2484" s="57"/>
      <c r="NCB2484" s="57"/>
      <c r="NCC2484" s="67"/>
      <c r="NCD2484" s="60"/>
      <c r="NCE2484" s="60"/>
      <c r="NCF2484" s="60"/>
      <c r="NCG2484" s="57"/>
      <c r="NCH2484" s="61"/>
      <c r="NCI2484" s="57"/>
      <c r="NCJ2484" s="57"/>
      <c r="NCK2484" s="67"/>
      <c r="NCL2484" s="60"/>
      <c r="NCM2484" s="60"/>
      <c r="NCN2484" s="60"/>
      <c r="NCO2484" s="57"/>
      <c r="NCP2484" s="61"/>
      <c r="NCQ2484" s="57"/>
      <c r="NCR2484" s="57"/>
      <c r="NCS2484" s="67"/>
      <c r="NCT2484" s="60"/>
      <c r="NCU2484" s="60"/>
      <c r="NCV2484" s="60"/>
      <c r="NCW2484" s="57"/>
      <c r="NCX2484" s="61"/>
      <c r="NCY2484" s="57"/>
      <c r="NCZ2484" s="57"/>
      <c r="NDA2484" s="67"/>
      <c r="NDB2484" s="60"/>
      <c r="NDC2484" s="60"/>
      <c r="NDD2484" s="60"/>
      <c r="NDE2484" s="57"/>
      <c r="NDF2484" s="61"/>
      <c r="NDG2484" s="57"/>
      <c r="NDH2484" s="57"/>
      <c r="NDI2484" s="67"/>
      <c r="NDJ2484" s="60"/>
      <c r="NDK2484" s="60"/>
      <c r="NDL2484" s="60"/>
      <c r="NDM2484" s="57"/>
      <c r="NDN2484" s="61"/>
      <c r="NDO2484" s="57"/>
      <c r="NDP2484" s="57"/>
      <c r="NDQ2484" s="67"/>
      <c r="NDR2484" s="60"/>
      <c r="NDS2484" s="60"/>
      <c r="NDT2484" s="60"/>
      <c r="NDU2484" s="57"/>
      <c r="NDV2484" s="61"/>
      <c r="NDW2484" s="57"/>
      <c r="NDX2484" s="57"/>
      <c r="NDY2484" s="67"/>
      <c r="NDZ2484" s="60"/>
      <c r="NEA2484" s="60"/>
      <c r="NEB2484" s="60"/>
      <c r="NEC2484" s="57"/>
      <c r="NED2484" s="61"/>
      <c r="NEE2484" s="57"/>
      <c r="NEF2484" s="57"/>
      <c r="NEG2484" s="67"/>
      <c r="NEH2484" s="60"/>
      <c r="NEI2484" s="60"/>
      <c r="NEJ2484" s="60"/>
      <c r="NEK2484" s="57"/>
      <c r="NEL2484" s="61"/>
      <c r="NEM2484" s="57"/>
      <c r="NEN2484" s="57"/>
      <c r="NEO2484" s="67"/>
      <c r="NEP2484" s="60"/>
      <c r="NEQ2484" s="60"/>
      <c r="NER2484" s="60"/>
      <c r="NES2484" s="57"/>
      <c r="NET2484" s="61"/>
      <c r="NEU2484" s="57"/>
      <c r="NEV2484" s="57"/>
      <c r="NEW2484" s="67"/>
      <c r="NEX2484" s="60"/>
      <c r="NEY2484" s="60"/>
      <c r="NEZ2484" s="60"/>
      <c r="NFA2484" s="57"/>
      <c r="NFB2484" s="61"/>
      <c r="NFC2484" s="57"/>
      <c r="NFD2484" s="57"/>
      <c r="NFE2484" s="67"/>
      <c r="NFF2484" s="60"/>
      <c r="NFG2484" s="60"/>
      <c r="NFH2484" s="60"/>
      <c r="NFI2484" s="57"/>
      <c r="NFJ2484" s="61"/>
      <c r="NFK2484" s="57"/>
      <c r="NFL2484" s="57"/>
      <c r="NFM2484" s="67"/>
      <c r="NFN2484" s="60"/>
      <c r="NFO2484" s="60"/>
      <c r="NFP2484" s="60"/>
      <c r="NFQ2484" s="57"/>
      <c r="NFR2484" s="61"/>
      <c r="NFS2484" s="57"/>
      <c r="NFT2484" s="57"/>
      <c r="NFU2484" s="67"/>
      <c r="NFV2484" s="60"/>
      <c r="NFW2484" s="60"/>
      <c r="NFX2484" s="60"/>
      <c r="NFY2484" s="57"/>
      <c r="NFZ2484" s="61"/>
      <c r="NGA2484" s="57"/>
      <c r="NGB2484" s="57"/>
      <c r="NGC2484" s="67"/>
      <c r="NGD2484" s="60"/>
      <c r="NGE2484" s="60"/>
      <c r="NGF2484" s="60"/>
      <c r="NGG2484" s="57"/>
      <c r="NGH2484" s="61"/>
      <c r="NGI2484" s="57"/>
      <c r="NGJ2484" s="57"/>
      <c r="NGK2484" s="67"/>
      <c r="NGL2484" s="60"/>
      <c r="NGM2484" s="60"/>
      <c r="NGN2484" s="60"/>
      <c r="NGO2484" s="57"/>
      <c r="NGP2484" s="61"/>
      <c r="NGQ2484" s="57"/>
      <c r="NGR2484" s="57"/>
      <c r="NGS2484" s="67"/>
      <c r="NGT2484" s="60"/>
      <c r="NGU2484" s="60"/>
      <c r="NGV2484" s="60"/>
      <c r="NGW2484" s="57"/>
      <c r="NGX2484" s="61"/>
      <c r="NGY2484" s="57"/>
      <c r="NGZ2484" s="57"/>
      <c r="NHA2484" s="67"/>
      <c r="NHB2484" s="60"/>
      <c r="NHC2484" s="60"/>
      <c r="NHD2484" s="60"/>
      <c r="NHE2484" s="57"/>
      <c r="NHF2484" s="61"/>
      <c r="NHG2484" s="57"/>
      <c r="NHH2484" s="57"/>
      <c r="NHI2484" s="67"/>
      <c r="NHJ2484" s="60"/>
      <c r="NHK2484" s="60"/>
      <c r="NHL2484" s="60"/>
      <c r="NHM2484" s="57"/>
      <c r="NHN2484" s="61"/>
      <c r="NHO2484" s="57"/>
      <c r="NHP2484" s="57"/>
      <c r="NHQ2484" s="67"/>
      <c r="NHR2484" s="60"/>
      <c r="NHS2484" s="60"/>
      <c r="NHT2484" s="60"/>
      <c r="NHU2484" s="57"/>
      <c r="NHV2484" s="61"/>
      <c r="NHW2484" s="57"/>
      <c r="NHX2484" s="57"/>
      <c r="NHY2484" s="67"/>
      <c r="NHZ2484" s="60"/>
      <c r="NIA2484" s="60"/>
      <c r="NIB2484" s="60"/>
      <c r="NIC2484" s="57"/>
      <c r="NID2484" s="61"/>
      <c r="NIE2484" s="57"/>
      <c r="NIF2484" s="57"/>
      <c r="NIG2484" s="67"/>
      <c r="NIH2484" s="60"/>
      <c r="NII2484" s="60"/>
      <c r="NIJ2484" s="60"/>
      <c r="NIK2484" s="57"/>
      <c r="NIL2484" s="61"/>
      <c r="NIM2484" s="57"/>
      <c r="NIN2484" s="57"/>
      <c r="NIO2484" s="67"/>
      <c r="NIP2484" s="60"/>
      <c r="NIQ2484" s="60"/>
      <c r="NIR2484" s="60"/>
      <c r="NIS2484" s="57"/>
      <c r="NIT2484" s="61"/>
      <c r="NIU2484" s="57"/>
      <c r="NIV2484" s="57"/>
      <c r="NIW2484" s="67"/>
      <c r="NIX2484" s="60"/>
      <c r="NIY2484" s="60"/>
      <c r="NIZ2484" s="60"/>
      <c r="NJA2484" s="57"/>
      <c r="NJB2484" s="61"/>
      <c r="NJC2484" s="57"/>
      <c r="NJD2484" s="57"/>
      <c r="NJE2484" s="67"/>
      <c r="NJF2484" s="60"/>
      <c r="NJG2484" s="60"/>
      <c r="NJH2484" s="60"/>
      <c r="NJI2484" s="57"/>
      <c r="NJJ2484" s="61"/>
      <c r="NJK2484" s="57"/>
      <c r="NJL2484" s="57"/>
      <c r="NJM2484" s="67"/>
      <c r="NJN2484" s="60"/>
      <c r="NJO2484" s="60"/>
      <c r="NJP2484" s="60"/>
      <c r="NJQ2484" s="57"/>
      <c r="NJR2484" s="61"/>
      <c r="NJS2484" s="57"/>
      <c r="NJT2484" s="57"/>
      <c r="NJU2484" s="67"/>
      <c r="NJV2484" s="60"/>
      <c r="NJW2484" s="60"/>
      <c r="NJX2484" s="60"/>
      <c r="NJY2484" s="57"/>
      <c r="NJZ2484" s="61"/>
      <c r="NKA2484" s="57"/>
      <c r="NKB2484" s="57"/>
      <c r="NKC2484" s="67"/>
      <c r="NKD2484" s="60"/>
      <c r="NKE2484" s="60"/>
      <c r="NKF2484" s="60"/>
      <c r="NKG2484" s="57"/>
      <c r="NKH2484" s="61"/>
      <c r="NKI2484" s="57"/>
      <c r="NKJ2484" s="57"/>
      <c r="NKK2484" s="67"/>
      <c r="NKL2484" s="60"/>
      <c r="NKM2484" s="60"/>
      <c r="NKN2484" s="60"/>
      <c r="NKO2484" s="57"/>
      <c r="NKP2484" s="61"/>
      <c r="NKQ2484" s="57"/>
      <c r="NKR2484" s="57"/>
      <c r="NKS2484" s="67"/>
      <c r="NKT2484" s="60"/>
      <c r="NKU2484" s="60"/>
      <c r="NKV2484" s="60"/>
      <c r="NKW2484" s="57"/>
      <c r="NKX2484" s="61"/>
      <c r="NKY2484" s="57"/>
      <c r="NKZ2484" s="57"/>
      <c r="NLA2484" s="67"/>
      <c r="NLB2484" s="60"/>
      <c r="NLC2484" s="60"/>
      <c r="NLD2484" s="60"/>
      <c r="NLE2484" s="57"/>
      <c r="NLF2484" s="61"/>
      <c r="NLG2484" s="57"/>
      <c r="NLH2484" s="57"/>
      <c r="NLI2484" s="67"/>
      <c r="NLJ2484" s="60"/>
      <c r="NLK2484" s="60"/>
      <c r="NLL2484" s="60"/>
      <c r="NLM2484" s="57"/>
      <c r="NLN2484" s="61"/>
      <c r="NLO2484" s="57"/>
      <c r="NLP2484" s="57"/>
      <c r="NLQ2484" s="67"/>
      <c r="NLR2484" s="60"/>
      <c r="NLS2484" s="60"/>
      <c r="NLT2484" s="60"/>
      <c r="NLU2484" s="57"/>
      <c r="NLV2484" s="61"/>
      <c r="NLW2484" s="57"/>
      <c r="NLX2484" s="57"/>
      <c r="NLY2484" s="67"/>
      <c r="NLZ2484" s="60"/>
      <c r="NMA2484" s="60"/>
      <c r="NMB2484" s="60"/>
      <c r="NMC2484" s="57"/>
      <c r="NMD2484" s="61"/>
      <c r="NME2484" s="57"/>
      <c r="NMF2484" s="57"/>
      <c r="NMG2484" s="67"/>
      <c r="NMH2484" s="60"/>
      <c r="NMI2484" s="60"/>
      <c r="NMJ2484" s="60"/>
      <c r="NMK2484" s="57"/>
      <c r="NML2484" s="61"/>
      <c r="NMM2484" s="57"/>
      <c r="NMN2484" s="57"/>
      <c r="NMO2484" s="67"/>
      <c r="NMP2484" s="60"/>
      <c r="NMQ2484" s="60"/>
      <c r="NMR2484" s="60"/>
      <c r="NMS2484" s="57"/>
      <c r="NMT2484" s="61"/>
      <c r="NMU2484" s="57"/>
      <c r="NMV2484" s="57"/>
      <c r="NMW2484" s="67"/>
      <c r="NMX2484" s="60"/>
      <c r="NMY2484" s="60"/>
      <c r="NMZ2484" s="60"/>
      <c r="NNA2484" s="57"/>
      <c r="NNB2484" s="61"/>
      <c r="NNC2484" s="57"/>
      <c r="NND2484" s="57"/>
      <c r="NNE2484" s="67"/>
      <c r="NNF2484" s="60"/>
      <c r="NNG2484" s="60"/>
      <c r="NNH2484" s="60"/>
      <c r="NNI2484" s="57"/>
      <c r="NNJ2484" s="61"/>
      <c r="NNK2484" s="57"/>
      <c r="NNL2484" s="57"/>
      <c r="NNM2484" s="67"/>
      <c r="NNN2484" s="60"/>
      <c r="NNO2484" s="60"/>
      <c r="NNP2484" s="60"/>
      <c r="NNQ2484" s="57"/>
      <c r="NNR2484" s="61"/>
      <c r="NNS2484" s="57"/>
      <c r="NNT2484" s="57"/>
      <c r="NNU2484" s="67"/>
      <c r="NNV2484" s="60"/>
      <c r="NNW2484" s="60"/>
      <c r="NNX2484" s="60"/>
      <c r="NNY2484" s="57"/>
      <c r="NNZ2484" s="61"/>
      <c r="NOA2484" s="57"/>
      <c r="NOB2484" s="57"/>
      <c r="NOC2484" s="67"/>
      <c r="NOD2484" s="60"/>
      <c r="NOE2484" s="60"/>
      <c r="NOF2484" s="60"/>
      <c r="NOG2484" s="57"/>
      <c r="NOH2484" s="61"/>
      <c r="NOI2484" s="57"/>
      <c r="NOJ2484" s="57"/>
      <c r="NOK2484" s="67"/>
      <c r="NOL2484" s="60"/>
      <c r="NOM2484" s="60"/>
      <c r="NON2484" s="60"/>
      <c r="NOO2484" s="57"/>
      <c r="NOP2484" s="61"/>
      <c r="NOQ2484" s="57"/>
      <c r="NOR2484" s="57"/>
      <c r="NOS2484" s="67"/>
      <c r="NOT2484" s="60"/>
      <c r="NOU2484" s="60"/>
      <c r="NOV2484" s="60"/>
      <c r="NOW2484" s="57"/>
      <c r="NOX2484" s="61"/>
      <c r="NOY2484" s="57"/>
      <c r="NOZ2484" s="57"/>
      <c r="NPA2484" s="67"/>
      <c r="NPB2484" s="60"/>
      <c r="NPC2484" s="60"/>
      <c r="NPD2484" s="60"/>
      <c r="NPE2484" s="57"/>
      <c r="NPF2484" s="61"/>
      <c r="NPG2484" s="57"/>
      <c r="NPH2484" s="57"/>
      <c r="NPI2484" s="67"/>
      <c r="NPJ2484" s="60"/>
      <c r="NPK2484" s="60"/>
      <c r="NPL2484" s="60"/>
      <c r="NPM2484" s="57"/>
      <c r="NPN2484" s="61"/>
      <c r="NPO2484" s="57"/>
      <c r="NPP2484" s="57"/>
      <c r="NPQ2484" s="67"/>
      <c r="NPR2484" s="60"/>
      <c r="NPS2484" s="60"/>
      <c r="NPT2484" s="60"/>
      <c r="NPU2484" s="57"/>
      <c r="NPV2484" s="61"/>
      <c r="NPW2484" s="57"/>
      <c r="NPX2484" s="57"/>
      <c r="NPY2484" s="67"/>
      <c r="NPZ2484" s="60"/>
      <c r="NQA2484" s="60"/>
      <c r="NQB2484" s="60"/>
      <c r="NQC2484" s="57"/>
      <c r="NQD2484" s="61"/>
      <c r="NQE2484" s="57"/>
      <c r="NQF2484" s="57"/>
      <c r="NQG2484" s="67"/>
      <c r="NQH2484" s="60"/>
      <c r="NQI2484" s="60"/>
      <c r="NQJ2484" s="60"/>
      <c r="NQK2484" s="57"/>
      <c r="NQL2484" s="61"/>
      <c r="NQM2484" s="57"/>
      <c r="NQN2484" s="57"/>
      <c r="NQO2484" s="67"/>
      <c r="NQP2484" s="60"/>
      <c r="NQQ2484" s="60"/>
      <c r="NQR2484" s="60"/>
      <c r="NQS2484" s="57"/>
      <c r="NQT2484" s="61"/>
      <c r="NQU2484" s="57"/>
      <c r="NQV2484" s="57"/>
      <c r="NQW2484" s="67"/>
      <c r="NQX2484" s="60"/>
      <c r="NQY2484" s="60"/>
      <c r="NQZ2484" s="60"/>
      <c r="NRA2484" s="57"/>
      <c r="NRB2484" s="61"/>
      <c r="NRC2484" s="57"/>
      <c r="NRD2484" s="57"/>
      <c r="NRE2484" s="67"/>
      <c r="NRF2484" s="60"/>
      <c r="NRG2484" s="60"/>
      <c r="NRH2484" s="60"/>
      <c r="NRI2484" s="57"/>
      <c r="NRJ2484" s="61"/>
      <c r="NRK2484" s="57"/>
      <c r="NRL2484" s="57"/>
      <c r="NRM2484" s="67"/>
      <c r="NRN2484" s="60"/>
      <c r="NRO2484" s="60"/>
      <c r="NRP2484" s="60"/>
      <c r="NRQ2484" s="57"/>
      <c r="NRR2484" s="61"/>
      <c r="NRS2484" s="57"/>
      <c r="NRT2484" s="57"/>
      <c r="NRU2484" s="67"/>
      <c r="NRV2484" s="60"/>
      <c r="NRW2484" s="60"/>
      <c r="NRX2484" s="60"/>
      <c r="NRY2484" s="57"/>
      <c r="NRZ2484" s="61"/>
      <c r="NSA2484" s="57"/>
      <c r="NSB2484" s="57"/>
      <c r="NSC2484" s="67"/>
      <c r="NSD2484" s="60"/>
      <c r="NSE2484" s="60"/>
      <c r="NSF2484" s="60"/>
      <c r="NSG2484" s="57"/>
      <c r="NSH2484" s="61"/>
      <c r="NSI2484" s="57"/>
      <c r="NSJ2484" s="57"/>
      <c r="NSK2484" s="67"/>
      <c r="NSL2484" s="60"/>
      <c r="NSM2484" s="60"/>
      <c r="NSN2484" s="60"/>
      <c r="NSO2484" s="57"/>
      <c r="NSP2484" s="61"/>
      <c r="NSQ2484" s="57"/>
      <c r="NSR2484" s="57"/>
      <c r="NSS2484" s="67"/>
      <c r="NST2484" s="60"/>
      <c r="NSU2484" s="60"/>
      <c r="NSV2484" s="60"/>
      <c r="NSW2484" s="57"/>
      <c r="NSX2484" s="61"/>
      <c r="NSY2484" s="57"/>
      <c r="NSZ2484" s="57"/>
      <c r="NTA2484" s="67"/>
      <c r="NTB2484" s="60"/>
      <c r="NTC2484" s="60"/>
      <c r="NTD2484" s="60"/>
      <c r="NTE2484" s="57"/>
      <c r="NTF2484" s="61"/>
      <c r="NTG2484" s="57"/>
      <c r="NTH2484" s="57"/>
      <c r="NTI2484" s="67"/>
      <c r="NTJ2484" s="60"/>
      <c r="NTK2484" s="60"/>
      <c r="NTL2484" s="60"/>
      <c r="NTM2484" s="57"/>
      <c r="NTN2484" s="61"/>
      <c r="NTO2484" s="57"/>
      <c r="NTP2484" s="57"/>
      <c r="NTQ2484" s="67"/>
      <c r="NTR2484" s="60"/>
      <c r="NTS2484" s="60"/>
      <c r="NTT2484" s="60"/>
      <c r="NTU2484" s="57"/>
      <c r="NTV2484" s="61"/>
      <c r="NTW2484" s="57"/>
      <c r="NTX2484" s="57"/>
      <c r="NTY2484" s="67"/>
      <c r="NTZ2484" s="60"/>
      <c r="NUA2484" s="60"/>
      <c r="NUB2484" s="60"/>
      <c r="NUC2484" s="57"/>
      <c r="NUD2484" s="61"/>
      <c r="NUE2484" s="57"/>
      <c r="NUF2484" s="57"/>
      <c r="NUG2484" s="67"/>
      <c r="NUH2484" s="60"/>
      <c r="NUI2484" s="60"/>
      <c r="NUJ2484" s="60"/>
      <c r="NUK2484" s="57"/>
      <c r="NUL2484" s="61"/>
      <c r="NUM2484" s="57"/>
      <c r="NUN2484" s="57"/>
      <c r="NUO2484" s="67"/>
      <c r="NUP2484" s="60"/>
      <c r="NUQ2484" s="60"/>
      <c r="NUR2484" s="60"/>
      <c r="NUS2484" s="57"/>
      <c r="NUT2484" s="61"/>
      <c r="NUU2484" s="57"/>
      <c r="NUV2484" s="57"/>
      <c r="NUW2484" s="67"/>
      <c r="NUX2484" s="60"/>
      <c r="NUY2484" s="60"/>
      <c r="NUZ2484" s="60"/>
      <c r="NVA2484" s="57"/>
      <c r="NVB2484" s="61"/>
      <c r="NVC2484" s="57"/>
      <c r="NVD2484" s="57"/>
      <c r="NVE2484" s="67"/>
      <c r="NVF2484" s="60"/>
      <c r="NVG2484" s="60"/>
      <c r="NVH2484" s="60"/>
      <c r="NVI2484" s="57"/>
      <c r="NVJ2484" s="61"/>
      <c r="NVK2484" s="57"/>
      <c r="NVL2484" s="57"/>
      <c r="NVM2484" s="67"/>
      <c r="NVN2484" s="60"/>
      <c r="NVO2484" s="60"/>
      <c r="NVP2484" s="60"/>
      <c r="NVQ2484" s="57"/>
      <c r="NVR2484" s="61"/>
      <c r="NVS2484" s="57"/>
      <c r="NVT2484" s="57"/>
      <c r="NVU2484" s="67"/>
      <c r="NVV2484" s="60"/>
      <c r="NVW2484" s="60"/>
      <c r="NVX2484" s="60"/>
      <c r="NVY2484" s="57"/>
      <c r="NVZ2484" s="61"/>
      <c r="NWA2484" s="57"/>
      <c r="NWB2484" s="57"/>
      <c r="NWC2484" s="67"/>
      <c r="NWD2484" s="60"/>
      <c r="NWE2484" s="60"/>
      <c r="NWF2484" s="60"/>
      <c r="NWG2484" s="57"/>
      <c r="NWH2484" s="61"/>
      <c r="NWI2484" s="57"/>
      <c r="NWJ2484" s="57"/>
      <c r="NWK2484" s="67"/>
      <c r="NWL2484" s="60"/>
      <c r="NWM2484" s="60"/>
      <c r="NWN2484" s="60"/>
      <c r="NWO2484" s="57"/>
      <c r="NWP2484" s="61"/>
      <c r="NWQ2484" s="57"/>
      <c r="NWR2484" s="57"/>
      <c r="NWS2484" s="67"/>
      <c r="NWT2484" s="60"/>
      <c r="NWU2484" s="60"/>
      <c r="NWV2484" s="60"/>
      <c r="NWW2484" s="57"/>
      <c r="NWX2484" s="61"/>
      <c r="NWY2484" s="57"/>
      <c r="NWZ2484" s="57"/>
      <c r="NXA2484" s="67"/>
      <c r="NXB2484" s="60"/>
      <c r="NXC2484" s="60"/>
      <c r="NXD2484" s="60"/>
      <c r="NXE2484" s="57"/>
      <c r="NXF2484" s="61"/>
      <c r="NXG2484" s="57"/>
      <c r="NXH2484" s="57"/>
      <c r="NXI2484" s="67"/>
      <c r="NXJ2484" s="60"/>
      <c r="NXK2484" s="60"/>
      <c r="NXL2484" s="60"/>
      <c r="NXM2484" s="57"/>
      <c r="NXN2484" s="61"/>
      <c r="NXO2484" s="57"/>
      <c r="NXP2484" s="57"/>
      <c r="NXQ2484" s="67"/>
      <c r="NXR2484" s="60"/>
      <c r="NXS2484" s="60"/>
      <c r="NXT2484" s="60"/>
      <c r="NXU2484" s="57"/>
      <c r="NXV2484" s="61"/>
      <c r="NXW2484" s="57"/>
      <c r="NXX2484" s="57"/>
      <c r="NXY2484" s="67"/>
      <c r="NXZ2484" s="60"/>
      <c r="NYA2484" s="60"/>
      <c r="NYB2484" s="60"/>
      <c r="NYC2484" s="57"/>
      <c r="NYD2484" s="61"/>
      <c r="NYE2484" s="57"/>
      <c r="NYF2484" s="57"/>
      <c r="NYG2484" s="67"/>
      <c r="NYH2484" s="60"/>
      <c r="NYI2484" s="60"/>
      <c r="NYJ2484" s="60"/>
      <c r="NYK2484" s="57"/>
      <c r="NYL2484" s="61"/>
      <c r="NYM2484" s="57"/>
      <c r="NYN2484" s="57"/>
      <c r="NYO2484" s="67"/>
      <c r="NYP2484" s="60"/>
      <c r="NYQ2484" s="60"/>
      <c r="NYR2484" s="60"/>
      <c r="NYS2484" s="57"/>
      <c r="NYT2484" s="61"/>
      <c r="NYU2484" s="57"/>
      <c r="NYV2484" s="57"/>
      <c r="NYW2484" s="67"/>
      <c r="NYX2484" s="60"/>
      <c r="NYY2484" s="60"/>
      <c r="NYZ2484" s="60"/>
      <c r="NZA2484" s="57"/>
      <c r="NZB2484" s="61"/>
      <c r="NZC2484" s="57"/>
      <c r="NZD2484" s="57"/>
      <c r="NZE2484" s="67"/>
      <c r="NZF2484" s="60"/>
      <c r="NZG2484" s="60"/>
      <c r="NZH2484" s="60"/>
      <c r="NZI2484" s="57"/>
      <c r="NZJ2484" s="61"/>
      <c r="NZK2484" s="57"/>
      <c r="NZL2484" s="57"/>
      <c r="NZM2484" s="67"/>
      <c r="NZN2484" s="60"/>
      <c r="NZO2484" s="60"/>
      <c r="NZP2484" s="60"/>
      <c r="NZQ2484" s="57"/>
      <c r="NZR2484" s="61"/>
      <c r="NZS2484" s="57"/>
      <c r="NZT2484" s="57"/>
      <c r="NZU2484" s="67"/>
      <c r="NZV2484" s="60"/>
      <c r="NZW2484" s="60"/>
      <c r="NZX2484" s="60"/>
      <c r="NZY2484" s="57"/>
      <c r="NZZ2484" s="61"/>
      <c r="OAA2484" s="57"/>
      <c r="OAB2484" s="57"/>
      <c r="OAC2484" s="67"/>
      <c r="OAD2484" s="60"/>
      <c r="OAE2484" s="60"/>
      <c r="OAF2484" s="60"/>
      <c r="OAG2484" s="57"/>
      <c r="OAH2484" s="61"/>
      <c r="OAI2484" s="57"/>
      <c r="OAJ2484" s="57"/>
      <c r="OAK2484" s="67"/>
      <c r="OAL2484" s="60"/>
      <c r="OAM2484" s="60"/>
      <c r="OAN2484" s="60"/>
      <c r="OAO2484" s="57"/>
      <c r="OAP2484" s="61"/>
      <c r="OAQ2484" s="57"/>
      <c r="OAR2484" s="57"/>
      <c r="OAS2484" s="67"/>
      <c r="OAT2484" s="60"/>
      <c r="OAU2484" s="60"/>
      <c r="OAV2484" s="60"/>
      <c r="OAW2484" s="57"/>
      <c r="OAX2484" s="61"/>
      <c r="OAY2484" s="57"/>
      <c r="OAZ2484" s="57"/>
      <c r="OBA2484" s="67"/>
      <c r="OBB2484" s="60"/>
      <c r="OBC2484" s="60"/>
      <c r="OBD2484" s="60"/>
      <c r="OBE2484" s="57"/>
      <c r="OBF2484" s="61"/>
      <c r="OBG2484" s="57"/>
      <c r="OBH2484" s="57"/>
      <c r="OBI2484" s="67"/>
      <c r="OBJ2484" s="60"/>
      <c r="OBK2484" s="60"/>
      <c r="OBL2484" s="60"/>
      <c r="OBM2484" s="57"/>
      <c r="OBN2484" s="61"/>
      <c r="OBO2484" s="57"/>
      <c r="OBP2484" s="57"/>
      <c r="OBQ2484" s="67"/>
      <c r="OBR2484" s="60"/>
      <c r="OBS2484" s="60"/>
      <c r="OBT2484" s="60"/>
      <c r="OBU2484" s="57"/>
      <c r="OBV2484" s="61"/>
      <c r="OBW2484" s="57"/>
      <c r="OBX2484" s="57"/>
      <c r="OBY2484" s="67"/>
      <c r="OBZ2484" s="60"/>
      <c r="OCA2484" s="60"/>
      <c r="OCB2484" s="60"/>
      <c r="OCC2484" s="57"/>
      <c r="OCD2484" s="61"/>
      <c r="OCE2484" s="57"/>
      <c r="OCF2484" s="57"/>
      <c r="OCG2484" s="67"/>
      <c r="OCH2484" s="60"/>
      <c r="OCI2484" s="60"/>
      <c r="OCJ2484" s="60"/>
      <c r="OCK2484" s="57"/>
      <c r="OCL2484" s="61"/>
      <c r="OCM2484" s="57"/>
      <c r="OCN2484" s="57"/>
      <c r="OCO2484" s="67"/>
      <c r="OCP2484" s="60"/>
      <c r="OCQ2484" s="60"/>
      <c r="OCR2484" s="60"/>
      <c r="OCS2484" s="57"/>
      <c r="OCT2484" s="61"/>
      <c r="OCU2484" s="57"/>
      <c r="OCV2484" s="57"/>
      <c r="OCW2484" s="67"/>
      <c r="OCX2484" s="60"/>
      <c r="OCY2484" s="60"/>
      <c r="OCZ2484" s="60"/>
      <c r="ODA2484" s="57"/>
      <c r="ODB2484" s="61"/>
      <c r="ODC2484" s="57"/>
      <c r="ODD2484" s="57"/>
      <c r="ODE2484" s="67"/>
      <c r="ODF2484" s="60"/>
      <c r="ODG2484" s="60"/>
      <c r="ODH2484" s="60"/>
      <c r="ODI2484" s="57"/>
      <c r="ODJ2484" s="61"/>
      <c r="ODK2484" s="57"/>
      <c r="ODL2484" s="57"/>
      <c r="ODM2484" s="67"/>
      <c r="ODN2484" s="60"/>
      <c r="ODO2484" s="60"/>
      <c r="ODP2484" s="60"/>
      <c r="ODQ2484" s="57"/>
      <c r="ODR2484" s="61"/>
      <c r="ODS2484" s="57"/>
      <c r="ODT2484" s="57"/>
      <c r="ODU2484" s="67"/>
      <c r="ODV2484" s="60"/>
      <c r="ODW2484" s="60"/>
      <c r="ODX2484" s="60"/>
      <c r="ODY2484" s="57"/>
      <c r="ODZ2484" s="61"/>
      <c r="OEA2484" s="57"/>
      <c r="OEB2484" s="57"/>
      <c r="OEC2484" s="67"/>
      <c r="OED2484" s="60"/>
      <c r="OEE2484" s="60"/>
      <c r="OEF2484" s="60"/>
      <c r="OEG2484" s="57"/>
      <c r="OEH2484" s="61"/>
      <c r="OEI2484" s="57"/>
      <c r="OEJ2484" s="57"/>
      <c r="OEK2484" s="67"/>
      <c r="OEL2484" s="60"/>
      <c r="OEM2484" s="60"/>
      <c r="OEN2484" s="60"/>
      <c r="OEO2484" s="57"/>
      <c r="OEP2484" s="61"/>
      <c r="OEQ2484" s="57"/>
      <c r="OER2484" s="57"/>
      <c r="OES2484" s="67"/>
      <c r="OET2484" s="60"/>
      <c r="OEU2484" s="60"/>
      <c r="OEV2484" s="60"/>
      <c r="OEW2484" s="57"/>
      <c r="OEX2484" s="61"/>
      <c r="OEY2484" s="57"/>
      <c r="OEZ2484" s="57"/>
      <c r="OFA2484" s="67"/>
      <c r="OFB2484" s="60"/>
      <c r="OFC2484" s="60"/>
      <c r="OFD2484" s="60"/>
      <c r="OFE2484" s="57"/>
      <c r="OFF2484" s="61"/>
      <c r="OFG2484" s="57"/>
      <c r="OFH2484" s="57"/>
      <c r="OFI2484" s="67"/>
      <c r="OFJ2484" s="60"/>
      <c r="OFK2484" s="60"/>
      <c r="OFL2484" s="60"/>
      <c r="OFM2484" s="57"/>
      <c r="OFN2484" s="61"/>
      <c r="OFO2484" s="57"/>
      <c r="OFP2484" s="57"/>
      <c r="OFQ2484" s="67"/>
      <c r="OFR2484" s="60"/>
      <c r="OFS2484" s="60"/>
      <c r="OFT2484" s="60"/>
      <c r="OFU2484" s="57"/>
      <c r="OFV2484" s="61"/>
      <c r="OFW2484" s="57"/>
      <c r="OFX2484" s="57"/>
      <c r="OFY2484" s="67"/>
      <c r="OFZ2484" s="60"/>
      <c r="OGA2484" s="60"/>
      <c r="OGB2484" s="60"/>
      <c r="OGC2484" s="57"/>
      <c r="OGD2484" s="61"/>
      <c r="OGE2484" s="57"/>
      <c r="OGF2484" s="57"/>
      <c r="OGG2484" s="67"/>
      <c r="OGH2484" s="60"/>
      <c r="OGI2484" s="60"/>
      <c r="OGJ2484" s="60"/>
      <c r="OGK2484" s="57"/>
      <c r="OGL2484" s="61"/>
      <c r="OGM2484" s="57"/>
      <c r="OGN2484" s="57"/>
      <c r="OGO2484" s="67"/>
      <c r="OGP2484" s="60"/>
      <c r="OGQ2484" s="60"/>
      <c r="OGR2484" s="60"/>
      <c r="OGS2484" s="57"/>
      <c r="OGT2484" s="61"/>
      <c r="OGU2484" s="57"/>
      <c r="OGV2484" s="57"/>
      <c r="OGW2484" s="67"/>
      <c r="OGX2484" s="60"/>
      <c r="OGY2484" s="60"/>
      <c r="OGZ2484" s="60"/>
      <c r="OHA2484" s="57"/>
      <c r="OHB2484" s="61"/>
      <c r="OHC2484" s="57"/>
      <c r="OHD2484" s="57"/>
      <c r="OHE2484" s="67"/>
      <c r="OHF2484" s="60"/>
      <c r="OHG2484" s="60"/>
      <c r="OHH2484" s="60"/>
      <c r="OHI2484" s="57"/>
      <c r="OHJ2484" s="61"/>
      <c r="OHK2484" s="57"/>
      <c r="OHL2484" s="57"/>
      <c r="OHM2484" s="67"/>
      <c r="OHN2484" s="60"/>
      <c r="OHO2484" s="60"/>
      <c r="OHP2484" s="60"/>
      <c r="OHQ2484" s="57"/>
      <c r="OHR2484" s="61"/>
      <c r="OHS2484" s="57"/>
      <c r="OHT2484" s="57"/>
      <c r="OHU2484" s="67"/>
      <c r="OHV2484" s="60"/>
      <c r="OHW2484" s="60"/>
      <c r="OHX2484" s="60"/>
      <c r="OHY2484" s="57"/>
      <c r="OHZ2484" s="61"/>
      <c r="OIA2484" s="57"/>
      <c r="OIB2484" s="57"/>
      <c r="OIC2484" s="67"/>
      <c r="OID2484" s="60"/>
      <c r="OIE2484" s="60"/>
      <c r="OIF2484" s="60"/>
      <c r="OIG2484" s="57"/>
      <c r="OIH2484" s="61"/>
      <c r="OII2484" s="57"/>
      <c r="OIJ2484" s="57"/>
      <c r="OIK2484" s="67"/>
      <c r="OIL2484" s="60"/>
      <c r="OIM2484" s="60"/>
      <c r="OIN2484" s="60"/>
      <c r="OIO2484" s="57"/>
      <c r="OIP2484" s="61"/>
      <c r="OIQ2484" s="57"/>
      <c r="OIR2484" s="57"/>
      <c r="OIS2484" s="67"/>
      <c r="OIT2484" s="60"/>
      <c r="OIU2484" s="60"/>
      <c r="OIV2484" s="60"/>
      <c r="OIW2484" s="57"/>
      <c r="OIX2484" s="61"/>
      <c r="OIY2484" s="57"/>
      <c r="OIZ2484" s="57"/>
      <c r="OJA2484" s="67"/>
      <c r="OJB2484" s="60"/>
      <c r="OJC2484" s="60"/>
      <c r="OJD2484" s="60"/>
      <c r="OJE2484" s="57"/>
      <c r="OJF2484" s="61"/>
      <c r="OJG2484" s="57"/>
      <c r="OJH2484" s="57"/>
      <c r="OJI2484" s="67"/>
      <c r="OJJ2484" s="60"/>
      <c r="OJK2484" s="60"/>
      <c r="OJL2484" s="60"/>
      <c r="OJM2484" s="57"/>
      <c r="OJN2484" s="61"/>
      <c r="OJO2484" s="57"/>
      <c r="OJP2484" s="57"/>
      <c r="OJQ2484" s="67"/>
      <c r="OJR2484" s="60"/>
      <c r="OJS2484" s="60"/>
      <c r="OJT2484" s="60"/>
      <c r="OJU2484" s="57"/>
      <c r="OJV2484" s="61"/>
      <c r="OJW2484" s="57"/>
      <c r="OJX2484" s="57"/>
      <c r="OJY2484" s="67"/>
      <c r="OJZ2484" s="60"/>
      <c r="OKA2484" s="60"/>
      <c r="OKB2484" s="60"/>
      <c r="OKC2484" s="57"/>
      <c r="OKD2484" s="61"/>
      <c r="OKE2484" s="57"/>
      <c r="OKF2484" s="57"/>
      <c r="OKG2484" s="67"/>
      <c r="OKH2484" s="60"/>
      <c r="OKI2484" s="60"/>
      <c r="OKJ2484" s="60"/>
      <c r="OKK2484" s="57"/>
      <c r="OKL2484" s="61"/>
      <c r="OKM2484" s="57"/>
      <c r="OKN2484" s="57"/>
      <c r="OKO2484" s="67"/>
      <c r="OKP2484" s="60"/>
      <c r="OKQ2484" s="60"/>
      <c r="OKR2484" s="60"/>
      <c r="OKS2484" s="57"/>
      <c r="OKT2484" s="61"/>
      <c r="OKU2484" s="57"/>
      <c r="OKV2484" s="57"/>
      <c r="OKW2484" s="67"/>
      <c r="OKX2484" s="60"/>
      <c r="OKY2484" s="60"/>
      <c r="OKZ2484" s="60"/>
      <c r="OLA2484" s="57"/>
      <c r="OLB2484" s="61"/>
      <c r="OLC2484" s="57"/>
      <c r="OLD2484" s="57"/>
      <c r="OLE2484" s="67"/>
      <c r="OLF2484" s="60"/>
      <c r="OLG2484" s="60"/>
      <c r="OLH2484" s="60"/>
      <c r="OLI2484" s="57"/>
      <c r="OLJ2484" s="61"/>
      <c r="OLK2484" s="57"/>
      <c r="OLL2484" s="57"/>
      <c r="OLM2484" s="67"/>
      <c r="OLN2484" s="60"/>
      <c r="OLO2484" s="60"/>
      <c r="OLP2484" s="60"/>
      <c r="OLQ2484" s="57"/>
      <c r="OLR2484" s="61"/>
      <c r="OLS2484" s="57"/>
      <c r="OLT2484" s="57"/>
      <c r="OLU2484" s="67"/>
      <c r="OLV2484" s="60"/>
      <c r="OLW2484" s="60"/>
      <c r="OLX2484" s="60"/>
      <c r="OLY2484" s="57"/>
      <c r="OLZ2484" s="61"/>
      <c r="OMA2484" s="57"/>
      <c r="OMB2484" s="57"/>
      <c r="OMC2484" s="67"/>
      <c r="OMD2484" s="60"/>
      <c r="OME2484" s="60"/>
      <c r="OMF2484" s="60"/>
      <c r="OMG2484" s="57"/>
      <c r="OMH2484" s="61"/>
      <c r="OMI2484" s="57"/>
      <c r="OMJ2484" s="57"/>
      <c r="OMK2484" s="67"/>
      <c r="OML2484" s="60"/>
      <c r="OMM2484" s="60"/>
      <c r="OMN2484" s="60"/>
      <c r="OMO2484" s="57"/>
      <c r="OMP2484" s="61"/>
      <c r="OMQ2484" s="57"/>
      <c r="OMR2484" s="57"/>
      <c r="OMS2484" s="67"/>
      <c r="OMT2484" s="60"/>
      <c r="OMU2484" s="60"/>
      <c r="OMV2484" s="60"/>
      <c r="OMW2484" s="57"/>
      <c r="OMX2484" s="61"/>
      <c r="OMY2484" s="57"/>
      <c r="OMZ2484" s="57"/>
      <c r="ONA2484" s="67"/>
      <c r="ONB2484" s="60"/>
      <c r="ONC2484" s="60"/>
      <c r="OND2484" s="60"/>
      <c r="ONE2484" s="57"/>
      <c r="ONF2484" s="61"/>
      <c r="ONG2484" s="57"/>
      <c r="ONH2484" s="57"/>
      <c r="ONI2484" s="67"/>
      <c r="ONJ2484" s="60"/>
      <c r="ONK2484" s="60"/>
      <c r="ONL2484" s="60"/>
      <c r="ONM2484" s="57"/>
      <c r="ONN2484" s="61"/>
      <c r="ONO2484" s="57"/>
      <c r="ONP2484" s="57"/>
      <c r="ONQ2484" s="67"/>
      <c r="ONR2484" s="60"/>
      <c r="ONS2484" s="60"/>
      <c r="ONT2484" s="60"/>
      <c r="ONU2484" s="57"/>
      <c r="ONV2484" s="61"/>
      <c r="ONW2484" s="57"/>
      <c r="ONX2484" s="57"/>
      <c r="ONY2484" s="67"/>
      <c r="ONZ2484" s="60"/>
      <c r="OOA2484" s="60"/>
      <c r="OOB2484" s="60"/>
      <c r="OOC2484" s="57"/>
      <c r="OOD2484" s="61"/>
      <c r="OOE2484" s="57"/>
      <c r="OOF2484" s="57"/>
      <c r="OOG2484" s="67"/>
      <c r="OOH2484" s="60"/>
      <c r="OOI2484" s="60"/>
      <c r="OOJ2484" s="60"/>
      <c r="OOK2484" s="57"/>
      <c r="OOL2484" s="61"/>
      <c r="OOM2484" s="57"/>
      <c r="OON2484" s="57"/>
      <c r="OOO2484" s="67"/>
      <c r="OOP2484" s="60"/>
      <c r="OOQ2484" s="60"/>
      <c r="OOR2484" s="60"/>
      <c r="OOS2484" s="57"/>
      <c r="OOT2484" s="61"/>
      <c r="OOU2484" s="57"/>
      <c r="OOV2484" s="57"/>
      <c r="OOW2484" s="67"/>
      <c r="OOX2484" s="60"/>
      <c r="OOY2484" s="60"/>
      <c r="OOZ2484" s="60"/>
      <c r="OPA2484" s="57"/>
      <c r="OPB2484" s="61"/>
      <c r="OPC2484" s="57"/>
      <c r="OPD2484" s="57"/>
      <c r="OPE2484" s="67"/>
      <c r="OPF2484" s="60"/>
      <c r="OPG2484" s="60"/>
      <c r="OPH2484" s="60"/>
      <c r="OPI2484" s="57"/>
      <c r="OPJ2484" s="61"/>
      <c r="OPK2484" s="57"/>
      <c r="OPL2484" s="57"/>
      <c r="OPM2484" s="67"/>
      <c r="OPN2484" s="60"/>
      <c r="OPO2484" s="60"/>
      <c r="OPP2484" s="60"/>
      <c r="OPQ2484" s="57"/>
      <c r="OPR2484" s="61"/>
      <c r="OPS2484" s="57"/>
      <c r="OPT2484" s="57"/>
      <c r="OPU2484" s="67"/>
      <c r="OPV2484" s="60"/>
      <c r="OPW2484" s="60"/>
      <c r="OPX2484" s="60"/>
      <c r="OPY2484" s="57"/>
      <c r="OPZ2484" s="61"/>
      <c r="OQA2484" s="57"/>
      <c r="OQB2484" s="57"/>
      <c r="OQC2484" s="67"/>
      <c r="OQD2484" s="60"/>
      <c r="OQE2484" s="60"/>
      <c r="OQF2484" s="60"/>
      <c r="OQG2484" s="57"/>
      <c r="OQH2484" s="61"/>
      <c r="OQI2484" s="57"/>
      <c r="OQJ2484" s="57"/>
      <c r="OQK2484" s="67"/>
      <c r="OQL2484" s="60"/>
      <c r="OQM2484" s="60"/>
      <c r="OQN2484" s="60"/>
      <c r="OQO2484" s="57"/>
      <c r="OQP2484" s="61"/>
      <c r="OQQ2484" s="57"/>
      <c r="OQR2484" s="57"/>
      <c r="OQS2484" s="67"/>
      <c r="OQT2484" s="60"/>
      <c r="OQU2484" s="60"/>
      <c r="OQV2484" s="60"/>
      <c r="OQW2484" s="57"/>
      <c r="OQX2484" s="61"/>
      <c r="OQY2484" s="57"/>
      <c r="OQZ2484" s="57"/>
      <c r="ORA2484" s="67"/>
      <c r="ORB2484" s="60"/>
      <c r="ORC2484" s="60"/>
      <c r="ORD2484" s="60"/>
      <c r="ORE2484" s="57"/>
      <c r="ORF2484" s="61"/>
      <c r="ORG2484" s="57"/>
      <c r="ORH2484" s="57"/>
      <c r="ORI2484" s="67"/>
      <c r="ORJ2484" s="60"/>
      <c r="ORK2484" s="60"/>
      <c r="ORL2484" s="60"/>
      <c r="ORM2484" s="57"/>
      <c r="ORN2484" s="61"/>
      <c r="ORO2484" s="57"/>
      <c r="ORP2484" s="57"/>
      <c r="ORQ2484" s="67"/>
      <c r="ORR2484" s="60"/>
      <c r="ORS2484" s="60"/>
      <c r="ORT2484" s="60"/>
      <c r="ORU2484" s="57"/>
      <c r="ORV2484" s="61"/>
      <c r="ORW2484" s="57"/>
      <c r="ORX2484" s="57"/>
      <c r="ORY2484" s="67"/>
      <c r="ORZ2484" s="60"/>
      <c r="OSA2484" s="60"/>
      <c r="OSB2484" s="60"/>
      <c r="OSC2484" s="57"/>
      <c r="OSD2484" s="61"/>
      <c r="OSE2484" s="57"/>
      <c r="OSF2484" s="57"/>
      <c r="OSG2484" s="67"/>
      <c r="OSH2484" s="60"/>
      <c r="OSI2484" s="60"/>
      <c r="OSJ2484" s="60"/>
      <c r="OSK2484" s="57"/>
      <c r="OSL2484" s="61"/>
      <c r="OSM2484" s="57"/>
      <c r="OSN2484" s="57"/>
      <c r="OSO2484" s="67"/>
      <c r="OSP2484" s="60"/>
      <c r="OSQ2484" s="60"/>
      <c r="OSR2484" s="60"/>
      <c r="OSS2484" s="57"/>
      <c r="OST2484" s="61"/>
      <c r="OSU2484" s="57"/>
      <c r="OSV2484" s="57"/>
      <c r="OSW2484" s="67"/>
      <c r="OSX2484" s="60"/>
      <c r="OSY2484" s="60"/>
      <c r="OSZ2484" s="60"/>
      <c r="OTA2484" s="57"/>
      <c r="OTB2484" s="61"/>
      <c r="OTC2484" s="57"/>
      <c r="OTD2484" s="57"/>
      <c r="OTE2484" s="67"/>
      <c r="OTF2484" s="60"/>
      <c r="OTG2484" s="60"/>
      <c r="OTH2484" s="60"/>
      <c r="OTI2484" s="57"/>
      <c r="OTJ2484" s="61"/>
      <c r="OTK2484" s="57"/>
      <c r="OTL2484" s="57"/>
      <c r="OTM2484" s="67"/>
      <c r="OTN2484" s="60"/>
      <c r="OTO2484" s="60"/>
      <c r="OTP2484" s="60"/>
      <c r="OTQ2484" s="57"/>
      <c r="OTR2484" s="61"/>
      <c r="OTS2484" s="57"/>
      <c r="OTT2484" s="57"/>
      <c r="OTU2484" s="67"/>
      <c r="OTV2484" s="60"/>
      <c r="OTW2484" s="60"/>
      <c r="OTX2484" s="60"/>
      <c r="OTY2484" s="57"/>
      <c r="OTZ2484" s="61"/>
      <c r="OUA2484" s="57"/>
      <c r="OUB2484" s="57"/>
      <c r="OUC2484" s="67"/>
      <c r="OUD2484" s="60"/>
      <c r="OUE2484" s="60"/>
      <c r="OUF2484" s="60"/>
      <c r="OUG2484" s="57"/>
      <c r="OUH2484" s="61"/>
      <c r="OUI2484" s="57"/>
      <c r="OUJ2484" s="57"/>
      <c r="OUK2484" s="67"/>
      <c r="OUL2484" s="60"/>
      <c r="OUM2484" s="60"/>
      <c r="OUN2484" s="60"/>
      <c r="OUO2484" s="57"/>
      <c r="OUP2484" s="61"/>
      <c r="OUQ2484" s="57"/>
      <c r="OUR2484" s="57"/>
      <c r="OUS2484" s="67"/>
      <c r="OUT2484" s="60"/>
      <c r="OUU2484" s="60"/>
      <c r="OUV2484" s="60"/>
      <c r="OUW2484" s="57"/>
      <c r="OUX2484" s="61"/>
      <c r="OUY2484" s="57"/>
      <c r="OUZ2484" s="57"/>
      <c r="OVA2484" s="67"/>
      <c r="OVB2484" s="60"/>
      <c r="OVC2484" s="60"/>
      <c r="OVD2484" s="60"/>
      <c r="OVE2484" s="57"/>
      <c r="OVF2484" s="61"/>
      <c r="OVG2484" s="57"/>
      <c r="OVH2484" s="57"/>
      <c r="OVI2484" s="67"/>
      <c r="OVJ2484" s="60"/>
      <c r="OVK2484" s="60"/>
      <c r="OVL2484" s="60"/>
      <c r="OVM2484" s="57"/>
      <c r="OVN2484" s="61"/>
      <c r="OVO2484" s="57"/>
      <c r="OVP2484" s="57"/>
      <c r="OVQ2484" s="67"/>
      <c r="OVR2484" s="60"/>
      <c r="OVS2484" s="60"/>
      <c r="OVT2484" s="60"/>
      <c r="OVU2484" s="57"/>
      <c r="OVV2484" s="61"/>
      <c r="OVW2484" s="57"/>
      <c r="OVX2484" s="57"/>
      <c r="OVY2484" s="67"/>
      <c r="OVZ2484" s="60"/>
      <c r="OWA2484" s="60"/>
      <c r="OWB2484" s="60"/>
      <c r="OWC2484" s="57"/>
      <c r="OWD2484" s="61"/>
      <c r="OWE2484" s="57"/>
      <c r="OWF2484" s="57"/>
      <c r="OWG2484" s="67"/>
      <c r="OWH2484" s="60"/>
      <c r="OWI2484" s="60"/>
      <c r="OWJ2484" s="60"/>
      <c r="OWK2484" s="57"/>
      <c r="OWL2484" s="61"/>
      <c r="OWM2484" s="57"/>
      <c r="OWN2484" s="57"/>
      <c r="OWO2484" s="67"/>
      <c r="OWP2484" s="60"/>
      <c r="OWQ2484" s="60"/>
      <c r="OWR2484" s="60"/>
      <c r="OWS2484" s="57"/>
      <c r="OWT2484" s="61"/>
      <c r="OWU2484" s="57"/>
      <c r="OWV2484" s="57"/>
      <c r="OWW2484" s="67"/>
      <c r="OWX2484" s="60"/>
      <c r="OWY2484" s="60"/>
      <c r="OWZ2484" s="60"/>
      <c r="OXA2484" s="57"/>
      <c r="OXB2484" s="61"/>
      <c r="OXC2484" s="57"/>
      <c r="OXD2484" s="57"/>
      <c r="OXE2484" s="67"/>
      <c r="OXF2484" s="60"/>
      <c r="OXG2484" s="60"/>
      <c r="OXH2484" s="60"/>
      <c r="OXI2484" s="57"/>
      <c r="OXJ2484" s="61"/>
      <c r="OXK2484" s="57"/>
      <c r="OXL2484" s="57"/>
      <c r="OXM2484" s="67"/>
      <c r="OXN2484" s="60"/>
      <c r="OXO2484" s="60"/>
      <c r="OXP2484" s="60"/>
      <c r="OXQ2484" s="57"/>
      <c r="OXR2484" s="61"/>
      <c r="OXS2484" s="57"/>
      <c r="OXT2484" s="57"/>
      <c r="OXU2484" s="67"/>
      <c r="OXV2484" s="60"/>
      <c r="OXW2484" s="60"/>
      <c r="OXX2484" s="60"/>
      <c r="OXY2484" s="57"/>
      <c r="OXZ2484" s="61"/>
      <c r="OYA2484" s="57"/>
      <c r="OYB2484" s="57"/>
      <c r="OYC2484" s="67"/>
      <c r="OYD2484" s="60"/>
      <c r="OYE2484" s="60"/>
      <c r="OYF2484" s="60"/>
      <c r="OYG2484" s="57"/>
      <c r="OYH2484" s="61"/>
      <c r="OYI2484" s="57"/>
      <c r="OYJ2484" s="57"/>
      <c r="OYK2484" s="67"/>
      <c r="OYL2484" s="60"/>
      <c r="OYM2484" s="60"/>
      <c r="OYN2484" s="60"/>
      <c r="OYO2484" s="57"/>
      <c r="OYP2484" s="61"/>
      <c r="OYQ2484" s="57"/>
      <c r="OYR2484" s="57"/>
      <c r="OYS2484" s="67"/>
      <c r="OYT2484" s="60"/>
      <c r="OYU2484" s="60"/>
      <c r="OYV2484" s="60"/>
      <c r="OYW2484" s="57"/>
      <c r="OYX2484" s="61"/>
      <c r="OYY2484" s="57"/>
      <c r="OYZ2484" s="57"/>
      <c r="OZA2484" s="67"/>
      <c r="OZB2484" s="60"/>
      <c r="OZC2484" s="60"/>
      <c r="OZD2484" s="60"/>
      <c r="OZE2484" s="57"/>
      <c r="OZF2484" s="61"/>
      <c r="OZG2484" s="57"/>
      <c r="OZH2484" s="57"/>
      <c r="OZI2484" s="67"/>
      <c r="OZJ2484" s="60"/>
      <c r="OZK2484" s="60"/>
      <c r="OZL2484" s="60"/>
      <c r="OZM2484" s="57"/>
      <c r="OZN2484" s="61"/>
      <c r="OZO2484" s="57"/>
      <c r="OZP2484" s="57"/>
      <c r="OZQ2484" s="67"/>
      <c r="OZR2484" s="60"/>
      <c r="OZS2484" s="60"/>
      <c r="OZT2484" s="60"/>
      <c r="OZU2484" s="57"/>
      <c r="OZV2484" s="61"/>
      <c r="OZW2484" s="57"/>
      <c r="OZX2484" s="57"/>
      <c r="OZY2484" s="67"/>
      <c r="OZZ2484" s="60"/>
      <c r="PAA2484" s="60"/>
      <c r="PAB2484" s="60"/>
      <c r="PAC2484" s="57"/>
      <c r="PAD2484" s="61"/>
      <c r="PAE2484" s="57"/>
      <c r="PAF2484" s="57"/>
      <c r="PAG2484" s="67"/>
      <c r="PAH2484" s="60"/>
      <c r="PAI2484" s="60"/>
      <c r="PAJ2484" s="60"/>
      <c r="PAK2484" s="57"/>
      <c r="PAL2484" s="61"/>
      <c r="PAM2484" s="57"/>
      <c r="PAN2484" s="57"/>
      <c r="PAO2484" s="67"/>
      <c r="PAP2484" s="60"/>
      <c r="PAQ2484" s="60"/>
      <c r="PAR2484" s="60"/>
      <c r="PAS2484" s="57"/>
      <c r="PAT2484" s="61"/>
      <c r="PAU2484" s="57"/>
      <c r="PAV2484" s="57"/>
      <c r="PAW2484" s="67"/>
      <c r="PAX2484" s="60"/>
      <c r="PAY2484" s="60"/>
      <c r="PAZ2484" s="60"/>
      <c r="PBA2484" s="57"/>
      <c r="PBB2484" s="61"/>
      <c r="PBC2484" s="57"/>
      <c r="PBD2484" s="57"/>
      <c r="PBE2484" s="67"/>
      <c r="PBF2484" s="60"/>
      <c r="PBG2484" s="60"/>
      <c r="PBH2484" s="60"/>
      <c r="PBI2484" s="57"/>
      <c r="PBJ2484" s="61"/>
      <c r="PBK2484" s="57"/>
      <c r="PBL2484" s="57"/>
      <c r="PBM2484" s="67"/>
      <c r="PBN2484" s="60"/>
      <c r="PBO2484" s="60"/>
      <c r="PBP2484" s="60"/>
      <c r="PBQ2484" s="57"/>
      <c r="PBR2484" s="61"/>
      <c r="PBS2484" s="57"/>
      <c r="PBT2484" s="57"/>
      <c r="PBU2484" s="67"/>
      <c r="PBV2484" s="60"/>
      <c r="PBW2484" s="60"/>
      <c r="PBX2484" s="60"/>
      <c r="PBY2484" s="57"/>
      <c r="PBZ2484" s="61"/>
      <c r="PCA2484" s="57"/>
      <c r="PCB2484" s="57"/>
      <c r="PCC2484" s="67"/>
      <c r="PCD2484" s="60"/>
      <c r="PCE2484" s="60"/>
      <c r="PCF2484" s="60"/>
      <c r="PCG2484" s="57"/>
      <c r="PCH2484" s="61"/>
      <c r="PCI2484" s="57"/>
      <c r="PCJ2484" s="57"/>
      <c r="PCK2484" s="67"/>
      <c r="PCL2484" s="60"/>
      <c r="PCM2484" s="60"/>
      <c r="PCN2484" s="60"/>
      <c r="PCO2484" s="57"/>
      <c r="PCP2484" s="61"/>
      <c r="PCQ2484" s="57"/>
      <c r="PCR2484" s="57"/>
      <c r="PCS2484" s="67"/>
      <c r="PCT2484" s="60"/>
      <c r="PCU2484" s="60"/>
      <c r="PCV2484" s="60"/>
      <c r="PCW2484" s="57"/>
      <c r="PCX2484" s="61"/>
      <c r="PCY2484" s="57"/>
      <c r="PCZ2484" s="57"/>
      <c r="PDA2484" s="67"/>
      <c r="PDB2484" s="60"/>
      <c r="PDC2484" s="60"/>
      <c r="PDD2484" s="60"/>
      <c r="PDE2484" s="57"/>
      <c r="PDF2484" s="61"/>
      <c r="PDG2484" s="57"/>
      <c r="PDH2484" s="57"/>
      <c r="PDI2484" s="67"/>
      <c r="PDJ2484" s="60"/>
      <c r="PDK2484" s="60"/>
      <c r="PDL2484" s="60"/>
      <c r="PDM2484" s="57"/>
      <c r="PDN2484" s="61"/>
      <c r="PDO2484" s="57"/>
      <c r="PDP2484" s="57"/>
      <c r="PDQ2484" s="67"/>
      <c r="PDR2484" s="60"/>
      <c r="PDS2484" s="60"/>
      <c r="PDT2484" s="60"/>
      <c r="PDU2484" s="57"/>
      <c r="PDV2484" s="61"/>
      <c r="PDW2484" s="57"/>
      <c r="PDX2484" s="57"/>
      <c r="PDY2484" s="67"/>
      <c r="PDZ2484" s="60"/>
      <c r="PEA2484" s="60"/>
      <c r="PEB2484" s="60"/>
      <c r="PEC2484" s="57"/>
      <c r="PED2484" s="61"/>
      <c r="PEE2484" s="57"/>
      <c r="PEF2484" s="57"/>
      <c r="PEG2484" s="67"/>
      <c r="PEH2484" s="60"/>
      <c r="PEI2484" s="60"/>
      <c r="PEJ2484" s="60"/>
      <c r="PEK2484" s="57"/>
      <c r="PEL2484" s="61"/>
      <c r="PEM2484" s="57"/>
      <c r="PEN2484" s="57"/>
      <c r="PEO2484" s="67"/>
      <c r="PEP2484" s="60"/>
      <c r="PEQ2484" s="60"/>
      <c r="PER2484" s="60"/>
      <c r="PES2484" s="57"/>
      <c r="PET2484" s="61"/>
      <c r="PEU2484" s="57"/>
      <c r="PEV2484" s="57"/>
      <c r="PEW2484" s="67"/>
      <c r="PEX2484" s="60"/>
      <c r="PEY2484" s="60"/>
      <c r="PEZ2484" s="60"/>
      <c r="PFA2484" s="57"/>
      <c r="PFB2484" s="61"/>
      <c r="PFC2484" s="57"/>
      <c r="PFD2484" s="57"/>
      <c r="PFE2484" s="67"/>
      <c r="PFF2484" s="60"/>
      <c r="PFG2484" s="60"/>
      <c r="PFH2484" s="60"/>
      <c r="PFI2484" s="57"/>
      <c r="PFJ2484" s="61"/>
      <c r="PFK2484" s="57"/>
      <c r="PFL2484" s="57"/>
      <c r="PFM2484" s="67"/>
      <c r="PFN2484" s="60"/>
      <c r="PFO2484" s="60"/>
      <c r="PFP2484" s="60"/>
      <c r="PFQ2484" s="57"/>
      <c r="PFR2484" s="61"/>
      <c r="PFS2484" s="57"/>
      <c r="PFT2484" s="57"/>
      <c r="PFU2484" s="67"/>
      <c r="PFV2484" s="60"/>
      <c r="PFW2484" s="60"/>
      <c r="PFX2484" s="60"/>
      <c r="PFY2484" s="57"/>
      <c r="PFZ2484" s="61"/>
      <c r="PGA2484" s="57"/>
      <c r="PGB2484" s="57"/>
      <c r="PGC2484" s="67"/>
      <c r="PGD2484" s="60"/>
      <c r="PGE2484" s="60"/>
      <c r="PGF2484" s="60"/>
      <c r="PGG2484" s="57"/>
      <c r="PGH2484" s="61"/>
      <c r="PGI2484" s="57"/>
      <c r="PGJ2484" s="57"/>
      <c r="PGK2484" s="67"/>
      <c r="PGL2484" s="60"/>
      <c r="PGM2484" s="60"/>
      <c r="PGN2484" s="60"/>
      <c r="PGO2484" s="57"/>
      <c r="PGP2484" s="61"/>
      <c r="PGQ2484" s="57"/>
      <c r="PGR2484" s="57"/>
      <c r="PGS2484" s="67"/>
      <c r="PGT2484" s="60"/>
      <c r="PGU2484" s="60"/>
      <c r="PGV2484" s="60"/>
      <c r="PGW2484" s="57"/>
      <c r="PGX2484" s="61"/>
      <c r="PGY2484" s="57"/>
      <c r="PGZ2484" s="57"/>
      <c r="PHA2484" s="67"/>
      <c r="PHB2484" s="60"/>
      <c r="PHC2484" s="60"/>
      <c r="PHD2484" s="60"/>
      <c r="PHE2484" s="57"/>
      <c r="PHF2484" s="61"/>
      <c r="PHG2484" s="57"/>
      <c r="PHH2484" s="57"/>
      <c r="PHI2484" s="67"/>
      <c r="PHJ2484" s="60"/>
      <c r="PHK2484" s="60"/>
      <c r="PHL2484" s="60"/>
      <c r="PHM2484" s="57"/>
      <c r="PHN2484" s="61"/>
      <c r="PHO2484" s="57"/>
      <c r="PHP2484" s="57"/>
      <c r="PHQ2484" s="67"/>
      <c r="PHR2484" s="60"/>
      <c r="PHS2484" s="60"/>
      <c r="PHT2484" s="60"/>
      <c r="PHU2484" s="57"/>
      <c r="PHV2484" s="61"/>
      <c r="PHW2484" s="57"/>
      <c r="PHX2484" s="57"/>
      <c r="PHY2484" s="67"/>
      <c r="PHZ2484" s="60"/>
      <c r="PIA2484" s="60"/>
      <c r="PIB2484" s="60"/>
      <c r="PIC2484" s="57"/>
      <c r="PID2484" s="61"/>
      <c r="PIE2484" s="57"/>
      <c r="PIF2484" s="57"/>
      <c r="PIG2484" s="67"/>
      <c r="PIH2484" s="60"/>
      <c r="PII2484" s="60"/>
      <c r="PIJ2484" s="60"/>
      <c r="PIK2484" s="57"/>
      <c r="PIL2484" s="61"/>
      <c r="PIM2484" s="57"/>
      <c r="PIN2484" s="57"/>
      <c r="PIO2484" s="67"/>
      <c r="PIP2484" s="60"/>
      <c r="PIQ2484" s="60"/>
      <c r="PIR2484" s="60"/>
      <c r="PIS2484" s="57"/>
      <c r="PIT2484" s="61"/>
      <c r="PIU2484" s="57"/>
      <c r="PIV2484" s="57"/>
      <c r="PIW2484" s="67"/>
      <c r="PIX2484" s="60"/>
      <c r="PIY2484" s="60"/>
      <c r="PIZ2484" s="60"/>
      <c r="PJA2484" s="57"/>
      <c r="PJB2484" s="61"/>
      <c r="PJC2484" s="57"/>
      <c r="PJD2484" s="57"/>
      <c r="PJE2484" s="67"/>
      <c r="PJF2484" s="60"/>
      <c r="PJG2484" s="60"/>
      <c r="PJH2484" s="60"/>
      <c r="PJI2484" s="57"/>
      <c r="PJJ2484" s="61"/>
      <c r="PJK2484" s="57"/>
      <c r="PJL2484" s="57"/>
      <c r="PJM2484" s="67"/>
      <c r="PJN2484" s="60"/>
      <c r="PJO2484" s="60"/>
      <c r="PJP2484" s="60"/>
      <c r="PJQ2484" s="57"/>
      <c r="PJR2484" s="61"/>
      <c r="PJS2484" s="57"/>
      <c r="PJT2484" s="57"/>
      <c r="PJU2484" s="67"/>
      <c r="PJV2484" s="60"/>
      <c r="PJW2484" s="60"/>
      <c r="PJX2484" s="60"/>
      <c r="PJY2484" s="57"/>
      <c r="PJZ2484" s="61"/>
      <c r="PKA2484" s="57"/>
      <c r="PKB2484" s="57"/>
      <c r="PKC2484" s="67"/>
      <c r="PKD2484" s="60"/>
      <c r="PKE2484" s="60"/>
      <c r="PKF2484" s="60"/>
      <c r="PKG2484" s="57"/>
      <c r="PKH2484" s="61"/>
      <c r="PKI2484" s="57"/>
      <c r="PKJ2484" s="57"/>
      <c r="PKK2484" s="67"/>
      <c r="PKL2484" s="60"/>
      <c r="PKM2484" s="60"/>
      <c r="PKN2484" s="60"/>
      <c r="PKO2484" s="57"/>
      <c r="PKP2484" s="61"/>
      <c r="PKQ2484" s="57"/>
      <c r="PKR2484" s="57"/>
      <c r="PKS2484" s="67"/>
      <c r="PKT2484" s="60"/>
      <c r="PKU2484" s="60"/>
      <c r="PKV2484" s="60"/>
      <c r="PKW2484" s="57"/>
      <c r="PKX2484" s="61"/>
      <c r="PKY2484" s="57"/>
      <c r="PKZ2484" s="57"/>
      <c r="PLA2484" s="67"/>
      <c r="PLB2484" s="60"/>
      <c r="PLC2484" s="60"/>
      <c r="PLD2484" s="60"/>
      <c r="PLE2484" s="57"/>
      <c r="PLF2484" s="61"/>
      <c r="PLG2484" s="57"/>
      <c r="PLH2484" s="57"/>
      <c r="PLI2484" s="67"/>
      <c r="PLJ2484" s="60"/>
      <c r="PLK2484" s="60"/>
      <c r="PLL2484" s="60"/>
      <c r="PLM2484" s="57"/>
      <c r="PLN2484" s="61"/>
      <c r="PLO2484" s="57"/>
      <c r="PLP2484" s="57"/>
      <c r="PLQ2484" s="67"/>
      <c r="PLR2484" s="60"/>
      <c r="PLS2484" s="60"/>
      <c r="PLT2484" s="60"/>
      <c r="PLU2484" s="57"/>
      <c r="PLV2484" s="61"/>
      <c r="PLW2484" s="57"/>
      <c r="PLX2484" s="57"/>
      <c r="PLY2484" s="67"/>
      <c r="PLZ2484" s="60"/>
      <c r="PMA2484" s="60"/>
      <c r="PMB2484" s="60"/>
      <c r="PMC2484" s="57"/>
      <c r="PMD2484" s="61"/>
      <c r="PME2484" s="57"/>
      <c r="PMF2484" s="57"/>
      <c r="PMG2484" s="67"/>
      <c r="PMH2484" s="60"/>
      <c r="PMI2484" s="60"/>
      <c r="PMJ2484" s="60"/>
      <c r="PMK2484" s="57"/>
      <c r="PML2484" s="61"/>
      <c r="PMM2484" s="57"/>
      <c r="PMN2484" s="57"/>
      <c r="PMO2484" s="67"/>
      <c r="PMP2484" s="60"/>
      <c r="PMQ2484" s="60"/>
      <c r="PMR2484" s="60"/>
      <c r="PMS2484" s="57"/>
      <c r="PMT2484" s="61"/>
      <c r="PMU2484" s="57"/>
      <c r="PMV2484" s="57"/>
      <c r="PMW2484" s="67"/>
      <c r="PMX2484" s="60"/>
      <c r="PMY2484" s="60"/>
      <c r="PMZ2484" s="60"/>
      <c r="PNA2484" s="57"/>
      <c r="PNB2484" s="61"/>
      <c r="PNC2484" s="57"/>
      <c r="PND2484" s="57"/>
      <c r="PNE2484" s="67"/>
      <c r="PNF2484" s="60"/>
      <c r="PNG2484" s="60"/>
      <c r="PNH2484" s="60"/>
      <c r="PNI2484" s="57"/>
      <c r="PNJ2484" s="61"/>
      <c r="PNK2484" s="57"/>
      <c r="PNL2484" s="57"/>
      <c r="PNM2484" s="67"/>
      <c r="PNN2484" s="60"/>
      <c r="PNO2484" s="60"/>
      <c r="PNP2484" s="60"/>
      <c r="PNQ2484" s="57"/>
      <c r="PNR2484" s="61"/>
      <c r="PNS2484" s="57"/>
      <c r="PNT2484" s="57"/>
      <c r="PNU2484" s="67"/>
      <c r="PNV2484" s="60"/>
      <c r="PNW2484" s="60"/>
      <c r="PNX2484" s="60"/>
      <c r="PNY2484" s="57"/>
      <c r="PNZ2484" s="61"/>
      <c r="POA2484" s="57"/>
      <c r="POB2484" s="57"/>
      <c r="POC2484" s="67"/>
      <c r="POD2484" s="60"/>
      <c r="POE2484" s="60"/>
      <c r="POF2484" s="60"/>
      <c r="POG2484" s="57"/>
      <c r="POH2484" s="61"/>
      <c r="POI2484" s="57"/>
      <c r="POJ2484" s="57"/>
      <c r="POK2484" s="67"/>
      <c r="POL2484" s="60"/>
      <c r="POM2484" s="60"/>
      <c r="PON2484" s="60"/>
      <c r="POO2484" s="57"/>
      <c r="POP2484" s="61"/>
      <c r="POQ2484" s="57"/>
      <c r="POR2484" s="57"/>
      <c r="POS2484" s="67"/>
      <c r="POT2484" s="60"/>
      <c r="POU2484" s="60"/>
      <c r="POV2484" s="60"/>
      <c r="POW2484" s="57"/>
      <c r="POX2484" s="61"/>
      <c r="POY2484" s="57"/>
      <c r="POZ2484" s="57"/>
      <c r="PPA2484" s="67"/>
      <c r="PPB2484" s="60"/>
      <c r="PPC2484" s="60"/>
      <c r="PPD2484" s="60"/>
      <c r="PPE2484" s="57"/>
      <c r="PPF2484" s="61"/>
      <c r="PPG2484" s="57"/>
      <c r="PPH2484" s="57"/>
      <c r="PPI2484" s="67"/>
      <c r="PPJ2484" s="60"/>
      <c r="PPK2484" s="60"/>
      <c r="PPL2484" s="60"/>
      <c r="PPM2484" s="57"/>
      <c r="PPN2484" s="61"/>
      <c r="PPO2484" s="57"/>
      <c r="PPP2484" s="57"/>
      <c r="PPQ2484" s="67"/>
      <c r="PPR2484" s="60"/>
      <c r="PPS2484" s="60"/>
      <c r="PPT2484" s="60"/>
      <c r="PPU2484" s="57"/>
      <c r="PPV2484" s="61"/>
      <c r="PPW2484" s="57"/>
      <c r="PPX2484" s="57"/>
      <c r="PPY2484" s="67"/>
      <c r="PPZ2484" s="60"/>
      <c r="PQA2484" s="60"/>
      <c r="PQB2484" s="60"/>
      <c r="PQC2484" s="57"/>
      <c r="PQD2484" s="61"/>
      <c r="PQE2484" s="57"/>
      <c r="PQF2484" s="57"/>
      <c r="PQG2484" s="67"/>
      <c r="PQH2484" s="60"/>
      <c r="PQI2484" s="60"/>
      <c r="PQJ2484" s="60"/>
      <c r="PQK2484" s="57"/>
      <c r="PQL2484" s="61"/>
      <c r="PQM2484" s="57"/>
      <c r="PQN2484" s="57"/>
      <c r="PQO2484" s="67"/>
      <c r="PQP2484" s="60"/>
      <c r="PQQ2484" s="60"/>
      <c r="PQR2484" s="60"/>
      <c r="PQS2484" s="57"/>
      <c r="PQT2484" s="61"/>
      <c r="PQU2484" s="57"/>
      <c r="PQV2484" s="57"/>
      <c r="PQW2484" s="67"/>
      <c r="PQX2484" s="60"/>
      <c r="PQY2484" s="60"/>
      <c r="PQZ2484" s="60"/>
      <c r="PRA2484" s="57"/>
      <c r="PRB2484" s="61"/>
      <c r="PRC2484" s="57"/>
      <c r="PRD2484" s="57"/>
      <c r="PRE2484" s="67"/>
      <c r="PRF2484" s="60"/>
      <c r="PRG2484" s="60"/>
      <c r="PRH2484" s="60"/>
      <c r="PRI2484" s="57"/>
      <c r="PRJ2484" s="61"/>
      <c r="PRK2484" s="57"/>
      <c r="PRL2484" s="57"/>
      <c r="PRM2484" s="67"/>
      <c r="PRN2484" s="60"/>
      <c r="PRO2484" s="60"/>
      <c r="PRP2484" s="60"/>
      <c r="PRQ2484" s="57"/>
      <c r="PRR2484" s="61"/>
      <c r="PRS2484" s="57"/>
      <c r="PRT2484" s="57"/>
      <c r="PRU2484" s="67"/>
      <c r="PRV2484" s="60"/>
      <c r="PRW2484" s="60"/>
      <c r="PRX2484" s="60"/>
      <c r="PRY2484" s="57"/>
      <c r="PRZ2484" s="61"/>
      <c r="PSA2484" s="57"/>
      <c r="PSB2484" s="57"/>
      <c r="PSC2484" s="67"/>
      <c r="PSD2484" s="60"/>
      <c r="PSE2484" s="60"/>
      <c r="PSF2484" s="60"/>
      <c r="PSG2484" s="57"/>
      <c r="PSH2484" s="61"/>
      <c r="PSI2484" s="57"/>
      <c r="PSJ2484" s="57"/>
      <c r="PSK2484" s="67"/>
      <c r="PSL2484" s="60"/>
      <c r="PSM2484" s="60"/>
      <c r="PSN2484" s="60"/>
      <c r="PSO2484" s="57"/>
      <c r="PSP2484" s="61"/>
      <c r="PSQ2484" s="57"/>
      <c r="PSR2484" s="57"/>
      <c r="PSS2484" s="67"/>
      <c r="PST2484" s="60"/>
      <c r="PSU2484" s="60"/>
      <c r="PSV2484" s="60"/>
      <c r="PSW2484" s="57"/>
      <c r="PSX2484" s="61"/>
      <c r="PSY2484" s="57"/>
      <c r="PSZ2484" s="57"/>
      <c r="PTA2484" s="67"/>
      <c r="PTB2484" s="60"/>
      <c r="PTC2484" s="60"/>
      <c r="PTD2484" s="60"/>
      <c r="PTE2484" s="57"/>
      <c r="PTF2484" s="61"/>
      <c r="PTG2484" s="57"/>
      <c r="PTH2484" s="57"/>
      <c r="PTI2484" s="67"/>
      <c r="PTJ2484" s="60"/>
      <c r="PTK2484" s="60"/>
      <c r="PTL2484" s="60"/>
      <c r="PTM2484" s="57"/>
      <c r="PTN2484" s="61"/>
      <c r="PTO2484" s="57"/>
      <c r="PTP2484" s="57"/>
      <c r="PTQ2484" s="67"/>
      <c r="PTR2484" s="60"/>
      <c r="PTS2484" s="60"/>
      <c r="PTT2484" s="60"/>
      <c r="PTU2484" s="57"/>
      <c r="PTV2484" s="61"/>
      <c r="PTW2484" s="57"/>
      <c r="PTX2484" s="57"/>
      <c r="PTY2484" s="67"/>
      <c r="PTZ2484" s="60"/>
      <c r="PUA2484" s="60"/>
      <c r="PUB2484" s="60"/>
      <c r="PUC2484" s="57"/>
      <c r="PUD2484" s="61"/>
      <c r="PUE2484" s="57"/>
      <c r="PUF2484" s="57"/>
      <c r="PUG2484" s="67"/>
      <c r="PUH2484" s="60"/>
      <c r="PUI2484" s="60"/>
      <c r="PUJ2484" s="60"/>
      <c r="PUK2484" s="57"/>
      <c r="PUL2484" s="61"/>
      <c r="PUM2484" s="57"/>
      <c r="PUN2484" s="57"/>
      <c r="PUO2484" s="67"/>
      <c r="PUP2484" s="60"/>
      <c r="PUQ2484" s="60"/>
      <c r="PUR2484" s="60"/>
      <c r="PUS2484" s="57"/>
      <c r="PUT2484" s="61"/>
      <c r="PUU2484" s="57"/>
      <c r="PUV2484" s="57"/>
      <c r="PUW2484" s="67"/>
      <c r="PUX2484" s="60"/>
      <c r="PUY2484" s="60"/>
      <c r="PUZ2484" s="60"/>
      <c r="PVA2484" s="57"/>
      <c r="PVB2484" s="61"/>
      <c r="PVC2484" s="57"/>
      <c r="PVD2484" s="57"/>
      <c r="PVE2484" s="67"/>
      <c r="PVF2484" s="60"/>
      <c r="PVG2484" s="60"/>
      <c r="PVH2484" s="60"/>
      <c r="PVI2484" s="57"/>
      <c r="PVJ2484" s="61"/>
      <c r="PVK2484" s="57"/>
      <c r="PVL2484" s="57"/>
      <c r="PVM2484" s="67"/>
      <c r="PVN2484" s="60"/>
      <c r="PVO2484" s="60"/>
      <c r="PVP2484" s="60"/>
      <c r="PVQ2484" s="57"/>
      <c r="PVR2484" s="61"/>
      <c r="PVS2484" s="57"/>
      <c r="PVT2484" s="57"/>
      <c r="PVU2484" s="67"/>
      <c r="PVV2484" s="60"/>
      <c r="PVW2484" s="60"/>
      <c r="PVX2484" s="60"/>
      <c r="PVY2484" s="57"/>
      <c r="PVZ2484" s="61"/>
      <c r="PWA2484" s="57"/>
      <c r="PWB2484" s="57"/>
      <c r="PWC2484" s="67"/>
      <c r="PWD2484" s="60"/>
      <c r="PWE2484" s="60"/>
      <c r="PWF2484" s="60"/>
      <c r="PWG2484" s="57"/>
      <c r="PWH2484" s="61"/>
      <c r="PWI2484" s="57"/>
      <c r="PWJ2484" s="57"/>
      <c r="PWK2484" s="67"/>
      <c r="PWL2484" s="60"/>
      <c r="PWM2484" s="60"/>
      <c r="PWN2484" s="60"/>
      <c r="PWO2484" s="57"/>
      <c r="PWP2484" s="61"/>
      <c r="PWQ2484" s="57"/>
      <c r="PWR2484" s="57"/>
      <c r="PWS2484" s="67"/>
      <c r="PWT2484" s="60"/>
      <c r="PWU2484" s="60"/>
      <c r="PWV2484" s="60"/>
      <c r="PWW2484" s="57"/>
      <c r="PWX2484" s="61"/>
      <c r="PWY2484" s="57"/>
      <c r="PWZ2484" s="57"/>
      <c r="PXA2484" s="67"/>
      <c r="PXB2484" s="60"/>
      <c r="PXC2484" s="60"/>
      <c r="PXD2484" s="60"/>
      <c r="PXE2484" s="57"/>
      <c r="PXF2484" s="61"/>
      <c r="PXG2484" s="57"/>
      <c r="PXH2484" s="57"/>
      <c r="PXI2484" s="67"/>
      <c r="PXJ2484" s="60"/>
      <c r="PXK2484" s="60"/>
      <c r="PXL2484" s="60"/>
      <c r="PXM2484" s="57"/>
      <c r="PXN2484" s="61"/>
      <c r="PXO2484" s="57"/>
      <c r="PXP2484" s="57"/>
      <c r="PXQ2484" s="67"/>
      <c r="PXR2484" s="60"/>
      <c r="PXS2484" s="60"/>
      <c r="PXT2484" s="60"/>
      <c r="PXU2484" s="57"/>
      <c r="PXV2484" s="61"/>
      <c r="PXW2484" s="57"/>
      <c r="PXX2484" s="57"/>
      <c r="PXY2484" s="67"/>
      <c r="PXZ2484" s="60"/>
      <c r="PYA2484" s="60"/>
      <c r="PYB2484" s="60"/>
      <c r="PYC2484" s="57"/>
      <c r="PYD2484" s="61"/>
      <c r="PYE2484" s="57"/>
      <c r="PYF2484" s="57"/>
      <c r="PYG2484" s="67"/>
      <c r="PYH2484" s="60"/>
      <c r="PYI2484" s="60"/>
      <c r="PYJ2484" s="60"/>
      <c r="PYK2484" s="57"/>
      <c r="PYL2484" s="61"/>
      <c r="PYM2484" s="57"/>
      <c r="PYN2484" s="57"/>
      <c r="PYO2484" s="67"/>
      <c r="PYP2484" s="60"/>
      <c r="PYQ2484" s="60"/>
      <c r="PYR2484" s="60"/>
      <c r="PYS2484" s="57"/>
      <c r="PYT2484" s="61"/>
      <c r="PYU2484" s="57"/>
      <c r="PYV2484" s="57"/>
      <c r="PYW2484" s="67"/>
      <c r="PYX2484" s="60"/>
      <c r="PYY2484" s="60"/>
      <c r="PYZ2484" s="60"/>
      <c r="PZA2484" s="57"/>
      <c r="PZB2484" s="61"/>
      <c r="PZC2484" s="57"/>
      <c r="PZD2484" s="57"/>
      <c r="PZE2484" s="67"/>
      <c r="PZF2484" s="60"/>
      <c r="PZG2484" s="60"/>
      <c r="PZH2484" s="60"/>
      <c r="PZI2484" s="57"/>
      <c r="PZJ2484" s="61"/>
      <c r="PZK2484" s="57"/>
      <c r="PZL2484" s="57"/>
      <c r="PZM2484" s="67"/>
      <c r="PZN2484" s="60"/>
      <c r="PZO2484" s="60"/>
      <c r="PZP2484" s="60"/>
      <c r="PZQ2484" s="57"/>
      <c r="PZR2484" s="61"/>
      <c r="PZS2484" s="57"/>
      <c r="PZT2484" s="57"/>
      <c r="PZU2484" s="67"/>
      <c r="PZV2484" s="60"/>
      <c r="PZW2484" s="60"/>
      <c r="PZX2484" s="60"/>
      <c r="PZY2484" s="57"/>
      <c r="PZZ2484" s="61"/>
      <c r="QAA2484" s="57"/>
      <c r="QAB2484" s="57"/>
      <c r="QAC2484" s="67"/>
      <c r="QAD2484" s="60"/>
      <c r="QAE2484" s="60"/>
      <c r="QAF2484" s="60"/>
      <c r="QAG2484" s="57"/>
      <c r="QAH2484" s="61"/>
      <c r="QAI2484" s="57"/>
      <c r="QAJ2484" s="57"/>
      <c r="QAK2484" s="67"/>
      <c r="QAL2484" s="60"/>
      <c r="QAM2484" s="60"/>
      <c r="QAN2484" s="60"/>
      <c r="QAO2484" s="57"/>
      <c r="QAP2484" s="61"/>
      <c r="QAQ2484" s="57"/>
      <c r="QAR2484" s="57"/>
      <c r="QAS2484" s="67"/>
      <c r="QAT2484" s="60"/>
      <c r="QAU2484" s="60"/>
      <c r="QAV2484" s="60"/>
      <c r="QAW2484" s="57"/>
      <c r="QAX2484" s="61"/>
      <c r="QAY2484" s="57"/>
      <c r="QAZ2484" s="57"/>
      <c r="QBA2484" s="67"/>
      <c r="QBB2484" s="60"/>
      <c r="QBC2484" s="60"/>
      <c r="QBD2484" s="60"/>
      <c r="QBE2484" s="57"/>
      <c r="QBF2484" s="61"/>
      <c r="QBG2484" s="57"/>
      <c r="QBH2484" s="57"/>
      <c r="QBI2484" s="67"/>
      <c r="QBJ2484" s="60"/>
      <c r="QBK2484" s="60"/>
      <c r="QBL2484" s="60"/>
      <c r="QBM2484" s="57"/>
      <c r="QBN2484" s="61"/>
      <c r="QBO2484" s="57"/>
      <c r="QBP2484" s="57"/>
      <c r="QBQ2484" s="67"/>
      <c r="QBR2484" s="60"/>
      <c r="QBS2484" s="60"/>
      <c r="QBT2484" s="60"/>
      <c r="QBU2484" s="57"/>
      <c r="QBV2484" s="61"/>
      <c r="QBW2484" s="57"/>
      <c r="QBX2484" s="57"/>
      <c r="QBY2484" s="67"/>
      <c r="QBZ2484" s="60"/>
      <c r="QCA2484" s="60"/>
      <c r="QCB2484" s="60"/>
      <c r="QCC2484" s="57"/>
      <c r="QCD2484" s="61"/>
      <c r="QCE2484" s="57"/>
      <c r="QCF2484" s="57"/>
      <c r="QCG2484" s="67"/>
      <c r="QCH2484" s="60"/>
      <c r="QCI2484" s="60"/>
      <c r="QCJ2484" s="60"/>
      <c r="QCK2484" s="57"/>
      <c r="QCL2484" s="61"/>
      <c r="QCM2484" s="57"/>
      <c r="QCN2484" s="57"/>
      <c r="QCO2484" s="67"/>
      <c r="QCP2484" s="60"/>
      <c r="QCQ2484" s="60"/>
      <c r="QCR2484" s="60"/>
      <c r="QCS2484" s="57"/>
      <c r="QCT2484" s="61"/>
      <c r="QCU2484" s="57"/>
      <c r="QCV2484" s="57"/>
      <c r="QCW2484" s="67"/>
      <c r="QCX2484" s="60"/>
      <c r="QCY2484" s="60"/>
      <c r="QCZ2484" s="60"/>
      <c r="QDA2484" s="57"/>
      <c r="QDB2484" s="61"/>
      <c r="QDC2484" s="57"/>
      <c r="QDD2484" s="57"/>
      <c r="QDE2484" s="67"/>
      <c r="QDF2484" s="60"/>
      <c r="QDG2484" s="60"/>
      <c r="QDH2484" s="60"/>
      <c r="QDI2484" s="57"/>
      <c r="QDJ2484" s="61"/>
      <c r="QDK2484" s="57"/>
      <c r="QDL2484" s="57"/>
      <c r="QDM2484" s="67"/>
      <c r="QDN2484" s="60"/>
      <c r="QDO2484" s="60"/>
      <c r="QDP2484" s="60"/>
      <c r="QDQ2484" s="57"/>
      <c r="QDR2484" s="61"/>
      <c r="QDS2484" s="57"/>
      <c r="QDT2484" s="57"/>
      <c r="QDU2484" s="67"/>
      <c r="QDV2484" s="60"/>
      <c r="QDW2484" s="60"/>
      <c r="QDX2484" s="60"/>
      <c r="QDY2484" s="57"/>
      <c r="QDZ2484" s="61"/>
      <c r="QEA2484" s="57"/>
      <c r="QEB2484" s="57"/>
      <c r="QEC2484" s="67"/>
      <c r="QED2484" s="60"/>
      <c r="QEE2484" s="60"/>
      <c r="QEF2484" s="60"/>
      <c r="QEG2484" s="57"/>
      <c r="QEH2484" s="61"/>
      <c r="QEI2484" s="57"/>
      <c r="QEJ2484" s="57"/>
      <c r="QEK2484" s="67"/>
      <c r="QEL2484" s="60"/>
      <c r="QEM2484" s="60"/>
      <c r="QEN2484" s="60"/>
      <c r="QEO2484" s="57"/>
      <c r="QEP2484" s="61"/>
      <c r="QEQ2484" s="57"/>
      <c r="QER2484" s="57"/>
      <c r="QES2484" s="67"/>
      <c r="QET2484" s="60"/>
      <c r="QEU2484" s="60"/>
      <c r="QEV2484" s="60"/>
      <c r="QEW2484" s="57"/>
      <c r="QEX2484" s="61"/>
      <c r="QEY2484" s="57"/>
      <c r="QEZ2484" s="57"/>
      <c r="QFA2484" s="67"/>
      <c r="QFB2484" s="60"/>
      <c r="QFC2484" s="60"/>
      <c r="QFD2484" s="60"/>
      <c r="QFE2484" s="57"/>
      <c r="QFF2484" s="61"/>
      <c r="QFG2484" s="57"/>
      <c r="QFH2484" s="57"/>
      <c r="QFI2484" s="67"/>
      <c r="QFJ2484" s="60"/>
      <c r="QFK2484" s="60"/>
      <c r="QFL2484" s="60"/>
      <c r="QFM2484" s="57"/>
      <c r="QFN2484" s="61"/>
      <c r="QFO2484" s="57"/>
      <c r="QFP2484" s="57"/>
      <c r="QFQ2484" s="67"/>
      <c r="QFR2484" s="60"/>
      <c r="QFS2484" s="60"/>
      <c r="QFT2484" s="60"/>
      <c r="QFU2484" s="57"/>
      <c r="QFV2484" s="61"/>
      <c r="QFW2484" s="57"/>
      <c r="QFX2484" s="57"/>
      <c r="QFY2484" s="67"/>
      <c r="QFZ2484" s="60"/>
      <c r="QGA2484" s="60"/>
      <c r="QGB2484" s="60"/>
      <c r="QGC2484" s="57"/>
      <c r="QGD2484" s="61"/>
      <c r="QGE2484" s="57"/>
      <c r="QGF2484" s="57"/>
      <c r="QGG2484" s="67"/>
      <c r="QGH2484" s="60"/>
      <c r="QGI2484" s="60"/>
      <c r="QGJ2484" s="60"/>
      <c r="QGK2484" s="57"/>
      <c r="QGL2484" s="61"/>
      <c r="QGM2484" s="57"/>
      <c r="QGN2484" s="57"/>
      <c r="QGO2484" s="67"/>
      <c r="QGP2484" s="60"/>
      <c r="QGQ2484" s="60"/>
      <c r="QGR2484" s="60"/>
      <c r="QGS2484" s="57"/>
      <c r="QGT2484" s="61"/>
      <c r="QGU2484" s="57"/>
      <c r="QGV2484" s="57"/>
      <c r="QGW2484" s="67"/>
      <c r="QGX2484" s="60"/>
      <c r="QGY2484" s="60"/>
      <c r="QGZ2484" s="60"/>
      <c r="QHA2484" s="57"/>
      <c r="QHB2484" s="61"/>
      <c r="QHC2484" s="57"/>
      <c r="QHD2484" s="57"/>
      <c r="QHE2484" s="67"/>
      <c r="QHF2484" s="60"/>
      <c r="QHG2484" s="60"/>
      <c r="QHH2484" s="60"/>
      <c r="QHI2484" s="57"/>
      <c r="QHJ2484" s="61"/>
      <c r="QHK2484" s="57"/>
      <c r="QHL2484" s="57"/>
      <c r="QHM2484" s="67"/>
      <c r="QHN2484" s="60"/>
      <c r="QHO2484" s="60"/>
      <c r="QHP2484" s="60"/>
      <c r="QHQ2484" s="57"/>
      <c r="QHR2484" s="61"/>
      <c r="QHS2484" s="57"/>
      <c r="QHT2484" s="57"/>
      <c r="QHU2484" s="67"/>
      <c r="QHV2484" s="60"/>
      <c r="QHW2484" s="60"/>
      <c r="QHX2484" s="60"/>
      <c r="QHY2484" s="57"/>
      <c r="QHZ2484" s="61"/>
      <c r="QIA2484" s="57"/>
      <c r="QIB2484" s="57"/>
      <c r="QIC2484" s="67"/>
      <c r="QID2484" s="60"/>
      <c r="QIE2484" s="60"/>
      <c r="QIF2484" s="60"/>
      <c r="QIG2484" s="57"/>
      <c r="QIH2484" s="61"/>
      <c r="QII2484" s="57"/>
      <c r="QIJ2484" s="57"/>
      <c r="QIK2484" s="67"/>
      <c r="QIL2484" s="60"/>
      <c r="QIM2484" s="60"/>
      <c r="QIN2484" s="60"/>
      <c r="QIO2484" s="57"/>
      <c r="QIP2484" s="61"/>
      <c r="QIQ2484" s="57"/>
      <c r="QIR2484" s="57"/>
      <c r="QIS2484" s="67"/>
      <c r="QIT2484" s="60"/>
      <c r="QIU2484" s="60"/>
      <c r="QIV2484" s="60"/>
      <c r="QIW2484" s="57"/>
      <c r="QIX2484" s="61"/>
      <c r="QIY2484" s="57"/>
      <c r="QIZ2484" s="57"/>
      <c r="QJA2484" s="67"/>
      <c r="QJB2484" s="60"/>
      <c r="QJC2484" s="60"/>
      <c r="QJD2484" s="60"/>
      <c r="QJE2484" s="57"/>
      <c r="QJF2484" s="61"/>
      <c r="QJG2484" s="57"/>
      <c r="QJH2484" s="57"/>
      <c r="QJI2484" s="67"/>
      <c r="QJJ2484" s="60"/>
      <c r="QJK2484" s="60"/>
      <c r="QJL2484" s="60"/>
      <c r="QJM2484" s="57"/>
      <c r="QJN2484" s="61"/>
      <c r="QJO2484" s="57"/>
      <c r="QJP2484" s="57"/>
      <c r="QJQ2484" s="67"/>
      <c r="QJR2484" s="60"/>
      <c r="QJS2484" s="60"/>
      <c r="QJT2484" s="60"/>
      <c r="QJU2484" s="57"/>
      <c r="QJV2484" s="61"/>
      <c r="QJW2484" s="57"/>
      <c r="QJX2484" s="57"/>
      <c r="QJY2484" s="67"/>
      <c r="QJZ2484" s="60"/>
      <c r="QKA2484" s="60"/>
      <c r="QKB2484" s="60"/>
      <c r="QKC2484" s="57"/>
      <c r="QKD2484" s="61"/>
      <c r="QKE2484" s="57"/>
      <c r="QKF2484" s="57"/>
      <c r="QKG2484" s="67"/>
      <c r="QKH2484" s="60"/>
      <c r="QKI2484" s="60"/>
      <c r="QKJ2484" s="60"/>
      <c r="QKK2484" s="57"/>
      <c r="QKL2484" s="61"/>
      <c r="QKM2484" s="57"/>
      <c r="QKN2484" s="57"/>
      <c r="QKO2484" s="67"/>
      <c r="QKP2484" s="60"/>
      <c r="QKQ2484" s="60"/>
      <c r="QKR2484" s="60"/>
      <c r="QKS2484" s="57"/>
      <c r="QKT2484" s="61"/>
      <c r="QKU2484" s="57"/>
      <c r="QKV2484" s="57"/>
      <c r="QKW2484" s="67"/>
      <c r="QKX2484" s="60"/>
      <c r="QKY2484" s="60"/>
      <c r="QKZ2484" s="60"/>
      <c r="QLA2484" s="57"/>
      <c r="QLB2484" s="61"/>
      <c r="QLC2484" s="57"/>
      <c r="QLD2484" s="57"/>
      <c r="QLE2484" s="67"/>
      <c r="QLF2484" s="60"/>
      <c r="QLG2484" s="60"/>
      <c r="QLH2484" s="60"/>
      <c r="QLI2484" s="57"/>
      <c r="QLJ2484" s="61"/>
      <c r="QLK2484" s="57"/>
      <c r="QLL2484" s="57"/>
      <c r="QLM2484" s="67"/>
      <c r="QLN2484" s="60"/>
      <c r="QLO2484" s="60"/>
      <c r="QLP2484" s="60"/>
      <c r="QLQ2484" s="57"/>
      <c r="QLR2484" s="61"/>
      <c r="QLS2484" s="57"/>
      <c r="QLT2484" s="57"/>
      <c r="QLU2484" s="67"/>
      <c r="QLV2484" s="60"/>
      <c r="QLW2484" s="60"/>
      <c r="QLX2484" s="60"/>
      <c r="QLY2484" s="57"/>
      <c r="QLZ2484" s="61"/>
      <c r="QMA2484" s="57"/>
      <c r="QMB2484" s="57"/>
      <c r="QMC2484" s="67"/>
      <c r="QMD2484" s="60"/>
      <c r="QME2484" s="60"/>
      <c r="QMF2484" s="60"/>
      <c r="QMG2484" s="57"/>
      <c r="QMH2484" s="61"/>
      <c r="QMI2484" s="57"/>
      <c r="QMJ2484" s="57"/>
      <c r="QMK2484" s="67"/>
      <c r="QML2484" s="60"/>
      <c r="QMM2484" s="60"/>
      <c r="QMN2484" s="60"/>
      <c r="QMO2484" s="57"/>
      <c r="QMP2484" s="61"/>
      <c r="QMQ2484" s="57"/>
      <c r="QMR2484" s="57"/>
      <c r="QMS2484" s="67"/>
      <c r="QMT2484" s="60"/>
      <c r="QMU2484" s="60"/>
      <c r="QMV2484" s="60"/>
      <c r="QMW2484" s="57"/>
      <c r="QMX2484" s="61"/>
      <c r="QMY2484" s="57"/>
      <c r="QMZ2484" s="57"/>
      <c r="QNA2484" s="67"/>
      <c r="QNB2484" s="60"/>
      <c r="QNC2484" s="60"/>
      <c r="QND2484" s="60"/>
      <c r="QNE2484" s="57"/>
      <c r="QNF2484" s="61"/>
      <c r="QNG2484" s="57"/>
      <c r="QNH2484" s="57"/>
      <c r="QNI2484" s="67"/>
      <c r="QNJ2484" s="60"/>
      <c r="QNK2484" s="60"/>
      <c r="QNL2484" s="60"/>
      <c r="QNM2484" s="57"/>
      <c r="QNN2484" s="61"/>
      <c r="QNO2484" s="57"/>
      <c r="QNP2484" s="57"/>
      <c r="QNQ2484" s="67"/>
      <c r="QNR2484" s="60"/>
      <c r="QNS2484" s="60"/>
      <c r="QNT2484" s="60"/>
      <c r="QNU2484" s="57"/>
      <c r="QNV2484" s="61"/>
      <c r="QNW2484" s="57"/>
      <c r="QNX2484" s="57"/>
      <c r="QNY2484" s="67"/>
      <c r="QNZ2484" s="60"/>
      <c r="QOA2484" s="60"/>
      <c r="QOB2484" s="60"/>
      <c r="QOC2484" s="57"/>
      <c r="QOD2484" s="61"/>
      <c r="QOE2484" s="57"/>
      <c r="QOF2484" s="57"/>
      <c r="QOG2484" s="67"/>
      <c r="QOH2484" s="60"/>
      <c r="QOI2484" s="60"/>
      <c r="QOJ2484" s="60"/>
      <c r="QOK2484" s="57"/>
      <c r="QOL2484" s="61"/>
      <c r="QOM2484" s="57"/>
      <c r="QON2484" s="57"/>
      <c r="QOO2484" s="67"/>
      <c r="QOP2484" s="60"/>
      <c r="QOQ2484" s="60"/>
      <c r="QOR2484" s="60"/>
      <c r="QOS2484" s="57"/>
      <c r="QOT2484" s="61"/>
      <c r="QOU2484" s="57"/>
      <c r="QOV2484" s="57"/>
      <c r="QOW2484" s="67"/>
      <c r="QOX2484" s="60"/>
      <c r="QOY2484" s="60"/>
      <c r="QOZ2484" s="60"/>
      <c r="QPA2484" s="57"/>
      <c r="QPB2484" s="61"/>
      <c r="QPC2484" s="57"/>
      <c r="QPD2484" s="57"/>
      <c r="QPE2484" s="67"/>
      <c r="QPF2484" s="60"/>
      <c r="QPG2484" s="60"/>
      <c r="QPH2484" s="60"/>
      <c r="QPI2484" s="57"/>
      <c r="QPJ2484" s="61"/>
      <c r="QPK2484" s="57"/>
      <c r="QPL2484" s="57"/>
      <c r="QPM2484" s="67"/>
      <c r="QPN2484" s="60"/>
      <c r="QPO2484" s="60"/>
      <c r="QPP2484" s="60"/>
      <c r="QPQ2484" s="57"/>
      <c r="QPR2484" s="61"/>
      <c r="QPS2484" s="57"/>
      <c r="QPT2484" s="57"/>
      <c r="QPU2484" s="67"/>
      <c r="QPV2484" s="60"/>
      <c r="QPW2484" s="60"/>
      <c r="QPX2484" s="60"/>
      <c r="QPY2484" s="57"/>
      <c r="QPZ2484" s="61"/>
      <c r="QQA2484" s="57"/>
      <c r="QQB2484" s="57"/>
      <c r="QQC2484" s="67"/>
      <c r="QQD2484" s="60"/>
      <c r="QQE2484" s="60"/>
      <c r="QQF2484" s="60"/>
      <c r="QQG2484" s="57"/>
      <c r="QQH2484" s="61"/>
      <c r="QQI2484" s="57"/>
      <c r="QQJ2484" s="57"/>
      <c r="QQK2484" s="67"/>
      <c r="QQL2484" s="60"/>
      <c r="QQM2484" s="60"/>
      <c r="QQN2484" s="60"/>
      <c r="QQO2484" s="57"/>
      <c r="QQP2484" s="61"/>
      <c r="QQQ2484" s="57"/>
      <c r="QQR2484" s="57"/>
      <c r="QQS2484" s="67"/>
      <c r="QQT2484" s="60"/>
      <c r="QQU2484" s="60"/>
      <c r="QQV2484" s="60"/>
      <c r="QQW2484" s="57"/>
      <c r="QQX2484" s="61"/>
      <c r="QQY2484" s="57"/>
      <c r="QQZ2484" s="57"/>
      <c r="QRA2484" s="67"/>
      <c r="QRB2484" s="60"/>
      <c r="QRC2484" s="60"/>
      <c r="QRD2484" s="60"/>
      <c r="QRE2484" s="57"/>
      <c r="QRF2484" s="61"/>
      <c r="QRG2484" s="57"/>
      <c r="QRH2484" s="57"/>
      <c r="QRI2484" s="67"/>
      <c r="QRJ2484" s="60"/>
      <c r="QRK2484" s="60"/>
      <c r="QRL2484" s="60"/>
      <c r="QRM2484" s="57"/>
      <c r="QRN2484" s="61"/>
      <c r="QRO2484" s="57"/>
      <c r="QRP2484" s="57"/>
      <c r="QRQ2484" s="67"/>
      <c r="QRR2484" s="60"/>
      <c r="QRS2484" s="60"/>
      <c r="QRT2484" s="60"/>
      <c r="QRU2484" s="57"/>
      <c r="QRV2484" s="61"/>
      <c r="QRW2484" s="57"/>
      <c r="QRX2484" s="57"/>
      <c r="QRY2484" s="67"/>
      <c r="QRZ2484" s="60"/>
      <c r="QSA2484" s="60"/>
      <c r="QSB2484" s="60"/>
      <c r="QSC2484" s="57"/>
      <c r="QSD2484" s="61"/>
      <c r="QSE2484" s="57"/>
      <c r="QSF2484" s="57"/>
      <c r="QSG2484" s="67"/>
      <c r="QSH2484" s="60"/>
      <c r="QSI2484" s="60"/>
      <c r="QSJ2484" s="60"/>
      <c r="QSK2484" s="57"/>
      <c r="QSL2484" s="61"/>
      <c r="QSM2484" s="57"/>
      <c r="QSN2484" s="57"/>
      <c r="QSO2484" s="67"/>
      <c r="QSP2484" s="60"/>
      <c r="QSQ2484" s="60"/>
      <c r="QSR2484" s="60"/>
      <c r="QSS2484" s="57"/>
      <c r="QST2484" s="61"/>
      <c r="QSU2484" s="57"/>
      <c r="QSV2484" s="57"/>
      <c r="QSW2484" s="67"/>
      <c r="QSX2484" s="60"/>
      <c r="QSY2484" s="60"/>
      <c r="QSZ2484" s="60"/>
      <c r="QTA2484" s="57"/>
      <c r="QTB2484" s="61"/>
      <c r="QTC2484" s="57"/>
      <c r="QTD2484" s="57"/>
      <c r="QTE2484" s="67"/>
      <c r="QTF2484" s="60"/>
      <c r="QTG2484" s="60"/>
      <c r="QTH2484" s="60"/>
      <c r="QTI2484" s="57"/>
      <c r="QTJ2484" s="61"/>
      <c r="QTK2484" s="57"/>
      <c r="QTL2484" s="57"/>
      <c r="QTM2484" s="67"/>
      <c r="QTN2484" s="60"/>
      <c r="QTO2484" s="60"/>
      <c r="QTP2484" s="60"/>
      <c r="QTQ2484" s="57"/>
      <c r="QTR2484" s="61"/>
      <c r="QTS2484" s="57"/>
      <c r="QTT2484" s="57"/>
      <c r="QTU2484" s="67"/>
      <c r="QTV2484" s="60"/>
      <c r="QTW2484" s="60"/>
      <c r="QTX2484" s="60"/>
      <c r="QTY2484" s="57"/>
      <c r="QTZ2484" s="61"/>
      <c r="QUA2484" s="57"/>
      <c r="QUB2484" s="57"/>
      <c r="QUC2484" s="67"/>
      <c r="QUD2484" s="60"/>
      <c r="QUE2484" s="60"/>
      <c r="QUF2484" s="60"/>
      <c r="QUG2484" s="57"/>
      <c r="QUH2484" s="61"/>
      <c r="QUI2484" s="57"/>
      <c r="QUJ2484" s="57"/>
      <c r="QUK2484" s="67"/>
      <c r="QUL2484" s="60"/>
      <c r="QUM2484" s="60"/>
      <c r="QUN2484" s="60"/>
      <c r="QUO2484" s="57"/>
      <c r="QUP2484" s="61"/>
      <c r="QUQ2484" s="57"/>
      <c r="QUR2484" s="57"/>
      <c r="QUS2484" s="67"/>
      <c r="QUT2484" s="60"/>
      <c r="QUU2484" s="60"/>
      <c r="QUV2484" s="60"/>
      <c r="QUW2484" s="57"/>
      <c r="QUX2484" s="61"/>
      <c r="QUY2484" s="57"/>
      <c r="QUZ2484" s="57"/>
      <c r="QVA2484" s="67"/>
      <c r="QVB2484" s="60"/>
      <c r="QVC2484" s="60"/>
      <c r="QVD2484" s="60"/>
      <c r="QVE2484" s="57"/>
      <c r="QVF2484" s="61"/>
      <c r="QVG2484" s="57"/>
      <c r="QVH2484" s="57"/>
      <c r="QVI2484" s="67"/>
      <c r="QVJ2484" s="60"/>
      <c r="QVK2484" s="60"/>
      <c r="QVL2484" s="60"/>
      <c r="QVM2484" s="57"/>
      <c r="QVN2484" s="61"/>
      <c r="QVO2484" s="57"/>
      <c r="QVP2484" s="57"/>
      <c r="QVQ2484" s="67"/>
      <c r="QVR2484" s="60"/>
      <c r="QVS2484" s="60"/>
      <c r="QVT2484" s="60"/>
      <c r="QVU2484" s="57"/>
      <c r="QVV2484" s="61"/>
      <c r="QVW2484" s="57"/>
      <c r="QVX2484" s="57"/>
      <c r="QVY2484" s="67"/>
      <c r="QVZ2484" s="60"/>
      <c r="QWA2484" s="60"/>
      <c r="QWB2484" s="60"/>
      <c r="QWC2484" s="57"/>
      <c r="QWD2484" s="61"/>
      <c r="QWE2484" s="57"/>
      <c r="QWF2484" s="57"/>
      <c r="QWG2484" s="67"/>
      <c r="QWH2484" s="60"/>
      <c r="QWI2484" s="60"/>
      <c r="QWJ2484" s="60"/>
      <c r="QWK2484" s="57"/>
      <c r="QWL2484" s="61"/>
      <c r="QWM2484" s="57"/>
      <c r="QWN2484" s="57"/>
      <c r="QWO2484" s="67"/>
      <c r="QWP2484" s="60"/>
      <c r="QWQ2484" s="60"/>
      <c r="QWR2484" s="60"/>
      <c r="QWS2484" s="57"/>
      <c r="QWT2484" s="61"/>
      <c r="QWU2484" s="57"/>
      <c r="QWV2484" s="57"/>
      <c r="QWW2484" s="67"/>
      <c r="QWX2484" s="60"/>
      <c r="QWY2484" s="60"/>
      <c r="QWZ2484" s="60"/>
      <c r="QXA2484" s="57"/>
      <c r="QXB2484" s="61"/>
      <c r="QXC2484" s="57"/>
      <c r="QXD2484" s="57"/>
      <c r="QXE2484" s="67"/>
      <c r="QXF2484" s="60"/>
      <c r="QXG2484" s="60"/>
      <c r="QXH2484" s="60"/>
      <c r="QXI2484" s="57"/>
      <c r="QXJ2484" s="61"/>
      <c r="QXK2484" s="57"/>
      <c r="QXL2484" s="57"/>
      <c r="QXM2484" s="67"/>
      <c r="QXN2484" s="60"/>
      <c r="QXO2484" s="60"/>
      <c r="QXP2484" s="60"/>
      <c r="QXQ2484" s="57"/>
      <c r="QXR2484" s="61"/>
      <c r="QXS2484" s="57"/>
      <c r="QXT2484" s="57"/>
      <c r="QXU2484" s="67"/>
      <c r="QXV2484" s="60"/>
      <c r="QXW2484" s="60"/>
      <c r="QXX2484" s="60"/>
      <c r="QXY2484" s="57"/>
      <c r="QXZ2484" s="61"/>
      <c r="QYA2484" s="57"/>
      <c r="QYB2484" s="57"/>
      <c r="QYC2484" s="67"/>
      <c r="QYD2484" s="60"/>
      <c r="QYE2484" s="60"/>
      <c r="QYF2484" s="60"/>
      <c r="QYG2484" s="57"/>
      <c r="QYH2484" s="61"/>
      <c r="QYI2484" s="57"/>
      <c r="QYJ2484" s="57"/>
      <c r="QYK2484" s="67"/>
      <c r="QYL2484" s="60"/>
      <c r="QYM2484" s="60"/>
      <c r="QYN2484" s="60"/>
      <c r="QYO2484" s="57"/>
      <c r="QYP2484" s="61"/>
      <c r="QYQ2484" s="57"/>
      <c r="QYR2484" s="57"/>
      <c r="QYS2484" s="67"/>
      <c r="QYT2484" s="60"/>
      <c r="QYU2484" s="60"/>
      <c r="QYV2484" s="60"/>
      <c r="QYW2484" s="57"/>
      <c r="QYX2484" s="61"/>
      <c r="QYY2484" s="57"/>
      <c r="QYZ2484" s="57"/>
      <c r="QZA2484" s="67"/>
      <c r="QZB2484" s="60"/>
      <c r="QZC2484" s="60"/>
      <c r="QZD2484" s="60"/>
      <c r="QZE2484" s="57"/>
      <c r="QZF2484" s="61"/>
      <c r="QZG2484" s="57"/>
      <c r="QZH2484" s="57"/>
      <c r="QZI2484" s="67"/>
      <c r="QZJ2484" s="60"/>
      <c r="QZK2484" s="60"/>
      <c r="QZL2484" s="60"/>
      <c r="QZM2484" s="57"/>
      <c r="QZN2484" s="61"/>
      <c r="QZO2484" s="57"/>
      <c r="QZP2484" s="57"/>
      <c r="QZQ2484" s="67"/>
      <c r="QZR2484" s="60"/>
      <c r="QZS2484" s="60"/>
      <c r="QZT2484" s="60"/>
      <c r="QZU2484" s="57"/>
      <c r="QZV2484" s="61"/>
      <c r="QZW2484" s="57"/>
      <c r="QZX2484" s="57"/>
      <c r="QZY2484" s="67"/>
      <c r="QZZ2484" s="60"/>
      <c r="RAA2484" s="60"/>
      <c r="RAB2484" s="60"/>
      <c r="RAC2484" s="57"/>
      <c r="RAD2484" s="61"/>
      <c r="RAE2484" s="57"/>
      <c r="RAF2484" s="57"/>
      <c r="RAG2484" s="67"/>
      <c r="RAH2484" s="60"/>
      <c r="RAI2484" s="60"/>
      <c r="RAJ2484" s="60"/>
      <c r="RAK2484" s="57"/>
      <c r="RAL2484" s="61"/>
      <c r="RAM2484" s="57"/>
      <c r="RAN2484" s="57"/>
      <c r="RAO2484" s="67"/>
      <c r="RAP2484" s="60"/>
      <c r="RAQ2484" s="60"/>
      <c r="RAR2484" s="60"/>
      <c r="RAS2484" s="57"/>
      <c r="RAT2484" s="61"/>
      <c r="RAU2484" s="57"/>
      <c r="RAV2484" s="57"/>
      <c r="RAW2484" s="67"/>
      <c r="RAX2484" s="60"/>
      <c r="RAY2484" s="60"/>
      <c r="RAZ2484" s="60"/>
      <c r="RBA2484" s="57"/>
      <c r="RBB2484" s="61"/>
      <c r="RBC2484" s="57"/>
      <c r="RBD2484" s="57"/>
      <c r="RBE2484" s="67"/>
      <c r="RBF2484" s="60"/>
      <c r="RBG2484" s="60"/>
      <c r="RBH2484" s="60"/>
      <c r="RBI2484" s="57"/>
      <c r="RBJ2484" s="61"/>
      <c r="RBK2484" s="57"/>
      <c r="RBL2484" s="57"/>
      <c r="RBM2484" s="67"/>
      <c r="RBN2484" s="60"/>
      <c r="RBO2484" s="60"/>
      <c r="RBP2484" s="60"/>
      <c r="RBQ2484" s="57"/>
      <c r="RBR2484" s="61"/>
      <c r="RBS2484" s="57"/>
      <c r="RBT2484" s="57"/>
      <c r="RBU2484" s="67"/>
      <c r="RBV2484" s="60"/>
      <c r="RBW2484" s="60"/>
      <c r="RBX2484" s="60"/>
      <c r="RBY2484" s="57"/>
      <c r="RBZ2484" s="61"/>
      <c r="RCA2484" s="57"/>
      <c r="RCB2484" s="57"/>
      <c r="RCC2484" s="67"/>
      <c r="RCD2484" s="60"/>
      <c r="RCE2484" s="60"/>
      <c r="RCF2484" s="60"/>
      <c r="RCG2484" s="57"/>
      <c r="RCH2484" s="61"/>
      <c r="RCI2484" s="57"/>
      <c r="RCJ2484" s="57"/>
      <c r="RCK2484" s="67"/>
      <c r="RCL2484" s="60"/>
      <c r="RCM2484" s="60"/>
      <c r="RCN2484" s="60"/>
      <c r="RCO2484" s="57"/>
      <c r="RCP2484" s="61"/>
      <c r="RCQ2484" s="57"/>
      <c r="RCR2484" s="57"/>
      <c r="RCS2484" s="67"/>
      <c r="RCT2484" s="60"/>
      <c r="RCU2484" s="60"/>
      <c r="RCV2484" s="60"/>
      <c r="RCW2484" s="57"/>
      <c r="RCX2484" s="61"/>
      <c r="RCY2484" s="57"/>
      <c r="RCZ2484" s="57"/>
      <c r="RDA2484" s="67"/>
      <c r="RDB2484" s="60"/>
      <c r="RDC2484" s="60"/>
      <c r="RDD2484" s="60"/>
      <c r="RDE2484" s="57"/>
      <c r="RDF2484" s="61"/>
      <c r="RDG2484" s="57"/>
      <c r="RDH2484" s="57"/>
      <c r="RDI2484" s="67"/>
      <c r="RDJ2484" s="60"/>
      <c r="RDK2484" s="60"/>
      <c r="RDL2484" s="60"/>
      <c r="RDM2484" s="57"/>
      <c r="RDN2484" s="61"/>
      <c r="RDO2484" s="57"/>
      <c r="RDP2484" s="57"/>
      <c r="RDQ2484" s="67"/>
      <c r="RDR2484" s="60"/>
      <c r="RDS2484" s="60"/>
      <c r="RDT2484" s="60"/>
      <c r="RDU2484" s="57"/>
      <c r="RDV2484" s="61"/>
      <c r="RDW2484" s="57"/>
      <c r="RDX2484" s="57"/>
      <c r="RDY2484" s="67"/>
      <c r="RDZ2484" s="60"/>
      <c r="REA2484" s="60"/>
      <c r="REB2484" s="60"/>
      <c r="REC2484" s="57"/>
      <c r="RED2484" s="61"/>
      <c r="REE2484" s="57"/>
      <c r="REF2484" s="57"/>
      <c r="REG2484" s="67"/>
      <c r="REH2484" s="60"/>
      <c r="REI2484" s="60"/>
      <c r="REJ2484" s="60"/>
      <c r="REK2484" s="57"/>
      <c r="REL2484" s="61"/>
      <c r="REM2484" s="57"/>
      <c r="REN2484" s="57"/>
      <c r="REO2484" s="67"/>
      <c r="REP2484" s="60"/>
      <c r="REQ2484" s="60"/>
      <c r="RER2484" s="60"/>
      <c r="RES2484" s="57"/>
      <c r="RET2484" s="61"/>
      <c r="REU2484" s="57"/>
      <c r="REV2484" s="57"/>
      <c r="REW2484" s="67"/>
      <c r="REX2484" s="60"/>
      <c r="REY2484" s="60"/>
      <c r="REZ2484" s="60"/>
      <c r="RFA2484" s="57"/>
      <c r="RFB2484" s="61"/>
      <c r="RFC2484" s="57"/>
      <c r="RFD2484" s="57"/>
      <c r="RFE2484" s="67"/>
      <c r="RFF2484" s="60"/>
      <c r="RFG2484" s="60"/>
      <c r="RFH2484" s="60"/>
      <c r="RFI2484" s="57"/>
      <c r="RFJ2484" s="61"/>
      <c r="RFK2484" s="57"/>
      <c r="RFL2484" s="57"/>
      <c r="RFM2484" s="67"/>
      <c r="RFN2484" s="60"/>
      <c r="RFO2484" s="60"/>
      <c r="RFP2484" s="60"/>
      <c r="RFQ2484" s="57"/>
      <c r="RFR2484" s="61"/>
      <c r="RFS2484" s="57"/>
      <c r="RFT2484" s="57"/>
      <c r="RFU2484" s="67"/>
      <c r="RFV2484" s="60"/>
      <c r="RFW2484" s="60"/>
      <c r="RFX2484" s="60"/>
      <c r="RFY2484" s="57"/>
      <c r="RFZ2484" s="61"/>
      <c r="RGA2484" s="57"/>
      <c r="RGB2484" s="57"/>
      <c r="RGC2484" s="67"/>
      <c r="RGD2484" s="60"/>
      <c r="RGE2484" s="60"/>
      <c r="RGF2484" s="60"/>
      <c r="RGG2484" s="57"/>
      <c r="RGH2484" s="61"/>
      <c r="RGI2484" s="57"/>
      <c r="RGJ2484" s="57"/>
      <c r="RGK2484" s="67"/>
      <c r="RGL2484" s="60"/>
      <c r="RGM2484" s="60"/>
      <c r="RGN2484" s="60"/>
      <c r="RGO2484" s="57"/>
      <c r="RGP2484" s="61"/>
      <c r="RGQ2484" s="57"/>
      <c r="RGR2484" s="57"/>
      <c r="RGS2484" s="67"/>
      <c r="RGT2484" s="60"/>
      <c r="RGU2484" s="60"/>
      <c r="RGV2484" s="60"/>
      <c r="RGW2484" s="57"/>
      <c r="RGX2484" s="61"/>
      <c r="RGY2484" s="57"/>
      <c r="RGZ2484" s="57"/>
      <c r="RHA2484" s="67"/>
      <c r="RHB2484" s="60"/>
      <c r="RHC2484" s="60"/>
      <c r="RHD2484" s="60"/>
      <c r="RHE2484" s="57"/>
      <c r="RHF2484" s="61"/>
      <c r="RHG2484" s="57"/>
      <c r="RHH2484" s="57"/>
      <c r="RHI2484" s="67"/>
      <c r="RHJ2484" s="60"/>
      <c r="RHK2484" s="60"/>
      <c r="RHL2484" s="60"/>
      <c r="RHM2484" s="57"/>
      <c r="RHN2484" s="61"/>
      <c r="RHO2484" s="57"/>
      <c r="RHP2484" s="57"/>
      <c r="RHQ2484" s="67"/>
      <c r="RHR2484" s="60"/>
      <c r="RHS2484" s="60"/>
      <c r="RHT2484" s="60"/>
      <c r="RHU2484" s="57"/>
      <c r="RHV2484" s="61"/>
      <c r="RHW2484" s="57"/>
      <c r="RHX2484" s="57"/>
      <c r="RHY2484" s="67"/>
      <c r="RHZ2484" s="60"/>
      <c r="RIA2484" s="60"/>
      <c r="RIB2484" s="60"/>
      <c r="RIC2484" s="57"/>
      <c r="RID2484" s="61"/>
      <c r="RIE2484" s="57"/>
      <c r="RIF2484" s="57"/>
      <c r="RIG2484" s="67"/>
      <c r="RIH2484" s="60"/>
      <c r="RII2484" s="60"/>
      <c r="RIJ2484" s="60"/>
      <c r="RIK2484" s="57"/>
      <c r="RIL2484" s="61"/>
      <c r="RIM2484" s="57"/>
      <c r="RIN2484" s="57"/>
      <c r="RIO2484" s="67"/>
      <c r="RIP2484" s="60"/>
      <c r="RIQ2484" s="60"/>
      <c r="RIR2484" s="60"/>
      <c r="RIS2484" s="57"/>
      <c r="RIT2484" s="61"/>
      <c r="RIU2484" s="57"/>
      <c r="RIV2484" s="57"/>
      <c r="RIW2484" s="67"/>
      <c r="RIX2484" s="60"/>
      <c r="RIY2484" s="60"/>
      <c r="RIZ2484" s="60"/>
      <c r="RJA2484" s="57"/>
      <c r="RJB2484" s="61"/>
      <c r="RJC2484" s="57"/>
      <c r="RJD2484" s="57"/>
      <c r="RJE2484" s="67"/>
      <c r="RJF2484" s="60"/>
      <c r="RJG2484" s="60"/>
      <c r="RJH2484" s="60"/>
      <c r="RJI2484" s="57"/>
      <c r="RJJ2484" s="61"/>
      <c r="RJK2484" s="57"/>
      <c r="RJL2484" s="57"/>
      <c r="RJM2484" s="67"/>
      <c r="RJN2484" s="60"/>
      <c r="RJO2484" s="60"/>
      <c r="RJP2484" s="60"/>
      <c r="RJQ2484" s="57"/>
      <c r="RJR2484" s="61"/>
      <c r="RJS2484" s="57"/>
      <c r="RJT2484" s="57"/>
      <c r="RJU2484" s="67"/>
      <c r="RJV2484" s="60"/>
      <c r="RJW2484" s="60"/>
      <c r="RJX2484" s="60"/>
      <c r="RJY2484" s="57"/>
      <c r="RJZ2484" s="61"/>
      <c r="RKA2484" s="57"/>
      <c r="RKB2484" s="57"/>
      <c r="RKC2484" s="67"/>
      <c r="RKD2484" s="60"/>
      <c r="RKE2484" s="60"/>
      <c r="RKF2484" s="60"/>
      <c r="RKG2484" s="57"/>
      <c r="RKH2484" s="61"/>
      <c r="RKI2484" s="57"/>
      <c r="RKJ2484" s="57"/>
      <c r="RKK2484" s="67"/>
      <c r="RKL2484" s="60"/>
      <c r="RKM2484" s="60"/>
      <c r="RKN2484" s="60"/>
      <c r="RKO2484" s="57"/>
      <c r="RKP2484" s="61"/>
      <c r="RKQ2484" s="57"/>
      <c r="RKR2484" s="57"/>
      <c r="RKS2484" s="67"/>
      <c r="RKT2484" s="60"/>
      <c r="RKU2484" s="60"/>
      <c r="RKV2484" s="60"/>
      <c r="RKW2484" s="57"/>
      <c r="RKX2484" s="61"/>
      <c r="RKY2484" s="57"/>
      <c r="RKZ2484" s="57"/>
      <c r="RLA2484" s="67"/>
      <c r="RLB2484" s="60"/>
      <c r="RLC2484" s="60"/>
      <c r="RLD2484" s="60"/>
      <c r="RLE2484" s="57"/>
      <c r="RLF2484" s="61"/>
      <c r="RLG2484" s="57"/>
      <c r="RLH2484" s="57"/>
      <c r="RLI2484" s="67"/>
      <c r="RLJ2484" s="60"/>
      <c r="RLK2484" s="60"/>
      <c r="RLL2484" s="60"/>
      <c r="RLM2484" s="57"/>
      <c r="RLN2484" s="61"/>
      <c r="RLO2484" s="57"/>
      <c r="RLP2484" s="57"/>
      <c r="RLQ2484" s="67"/>
      <c r="RLR2484" s="60"/>
      <c r="RLS2484" s="60"/>
      <c r="RLT2484" s="60"/>
      <c r="RLU2484" s="57"/>
      <c r="RLV2484" s="61"/>
      <c r="RLW2484" s="57"/>
      <c r="RLX2484" s="57"/>
      <c r="RLY2484" s="67"/>
      <c r="RLZ2484" s="60"/>
      <c r="RMA2484" s="60"/>
      <c r="RMB2484" s="60"/>
      <c r="RMC2484" s="57"/>
      <c r="RMD2484" s="61"/>
      <c r="RME2484" s="57"/>
      <c r="RMF2484" s="57"/>
      <c r="RMG2484" s="67"/>
      <c r="RMH2484" s="60"/>
      <c r="RMI2484" s="60"/>
      <c r="RMJ2484" s="60"/>
      <c r="RMK2484" s="57"/>
      <c r="RML2484" s="61"/>
      <c r="RMM2484" s="57"/>
      <c r="RMN2484" s="57"/>
      <c r="RMO2484" s="67"/>
      <c r="RMP2484" s="60"/>
      <c r="RMQ2484" s="60"/>
      <c r="RMR2484" s="60"/>
      <c r="RMS2484" s="57"/>
      <c r="RMT2484" s="61"/>
      <c r="RMU2484" s="57"/>
      <c r="RMV2484" s="57"/>
      <c r="RMW2484" s="67"/>
      <c r="RMX2484" s="60"/>
      <c r="RMY2484" s="60"/>
      <c r="RMZ2484" s="60"/>
      <c r="RNA2484" s="57"/>
      <c r="RNB2484" s="61"/>
      <c r="RNC2484" s="57"/>
      <c r="RND2484" s="57"/>
      <c r="RNE2484" s="67"/>
      <c r="RNF2484" s="60"/>
      <c r="RNG2484" s="60"/>
      <c r="RNH2484" s="60"/>
      <c r="RNI2484" s="57"/>
      <c r="RNJ2484" s="61"/>
      <c r="RNK2484" s="57"/>
      <c r="RNL2484" s="57"/>
      <c r="RNM2484" s="67"/>
      <c r="RNN2484" s="60"/>
      <c r="RNO2484" s="60"/>
      <c r="RNP2484" s="60"/>
      <c r="RNQ2484" s="57"/>
      <c r="RNR2484" s="61"/>
      <c r="RNS2484" s="57"/>
      <c r="RNT2484" s="57"/>
      <c r="RNU2484" s="67"/>
      <c r="RNV2484" s="60"/>
      <c r="RNW2484" s="60"/>
      <c r="RNX2484" s="60"/>
      <c r="RNY2484" s="57"/>
      <c r="RNZ2484" s="61"/>
      <c r="ROA2484" s="57"/>
      <c r="ROB2484" s="57"/>
      <c r="ROC2484" s="67"/>
      <c r="ROD2484" s="60"/>
      <c r="ROE2484" s="60"/>
      <c r="ROF2484" s="60"/>
      <c r="ROG2484" s="57"/>
      <c r="ROH2484" s="61"/>
      <c r="ROI2484" s="57"/>
      <c r="ROJ2484" s="57"/>
      <c r="ROK2484" s="67"/>
      <c r="ROL2484" s="60"/>
      <c r="ROM2484" s="60"/>
      <c r="RON2484" s="60"/>
      <c r="ROO2484" s="57"/>
      <c r="ROP2484" s="61"/>
      <c r="ROQ2484" s="57"/>
      <c r="ROR2484" s="57"/>
      <c r="ROS2484" s="67"/>
      <c r="ROT2484" s="60"/>
      <c r="ROU2484" s="60"/>
      <c r="ROV2484" s="60"/>
      <c r="ROW2484" s="57"/>
      <c r="ROX2484" s="61"/>
      <c r="ROY2484" s="57"/>
      <c r="ROZ2484" s="57"/>
      <c r="RPA2484" s="67"/>
      <c r="RPB2484" s="60"/>
      <c r="RPC2484" s="60"/>
      <c r="RPD2484" s="60"/>
      <c r="RPE2484" s="57"/>
      <c r="RPF2484" s="61"/>
      <c r="RPG2484" s="57"/>
      <c r="RPH2484" s="57"/>
      <c r="RPI2484" s="67"/>
      <c r="RPJ2484" s="60"/>
      <c r="RPK2484" s="60"/>
      <c r="RPL2484" s="60"/>
      <c r="RPM2484" s="57"/>
      <c r="RPN2484" s="61"/>
      <c r="RPO2484" s="57"/>
      <c r="RPP2484" s="57"/>
      <c r="RPQ2484" s="67"/>
      <c r="RPR2484" s="60"/>
      <c r="RPS2484" s="60"/>
      <c r="RPT2484" s="60"/>
      <c r="RPU2484" s="57"/>
      <c r="RPV2484" s="61"/>
      <c r="RPW2484" s="57"/>
      <c r="RPX2484" s="57"/>
      <c r="RPY2484" s="67"/>
      <c r="RPZ2484" s="60"/>
      <c r="RQA2484" s="60"/>
      <c r="RQB2484" s="60"/>
      <c r="RQC2484" s="57"/>
      <c r="RQD2484" s="61"/>
      <c r="RQE2484" s="57"/>
      <c r="RQF2484" s="57"/>
      <c r="RQG2484" s="67"/>
      <c r="RQH2484" s="60"/>
      <c r="RQI2484" s="60"/>
      <c r="RQJ2484" s="60"/>
      <c r="RQK2484" s="57"/>
      <c r="RQL2484" s="61"/>
      <c r="RQM2484" s="57"/>
      <c r="RQN2484" s="57"/>
      <c r="RQO2484" s="67"/>
      <c r="RQP2484" s="60"/>
      <c r="RQQ2484" s="60"/>
      <c r="RQR2484" s="60"/>
      <c r="RQS2484" s="57"/>
      <c r="RQT2484" s="61"/>
      <c r="RQU2484" s="57"/>
      <c r="RQV2484" s="57"/>
      <c r="RQW2484" s="67"/>
      <c r="RQX2484" s="60"/>
      <c r="RQY2484" s="60"/>
      <c r="RQZ2484" s="60"/>
      <c r="RRA2484" s="57"/>
      <c r="RRB2484" s="61"/>
      <c r="RRC2484" s="57"/>
      <c r="RRD2484" s="57"/>
      <c r="RRE2484" s="67"/>
      <c r="RRF2484" s="60"/>
      <c r="RRG2484" s="60"/>
      <c r="RRH2484" s="60"/>
      <c r="RRI2484" s="57"/>
      <c r="RRJ2484" s="61"/>
      <c r="RRK2484" s="57"/>
      <c r="RRL2484" s="57"/>
      <c r="RRM2484" s="67"/>
      <c r="RRN2484" s="60"/>
      <c r="RRO2484" s="60"/>
      <c r="RRP2484" s="60"/>
      <c r="RRQ2484" s="57"/>
      <c r="RRR2484" s="61"/>
      <c r="RRS2484" s="57"/>
      <c r="RRT2484" s="57"/>
      <c r="RRU2484" s="67"/>
      <c r="RRV2484" s="60"/>
      <c r="RRW2484" s="60"/>
      <c r="RRX2484" s="60"/>
      <c r="RRY2484" s="57"/>
      <c r="RRZ2484" s="61"/>
      <c r="RSA2484" s="57"/>
      <c r="RSB2484" s="57"/>
      <c r="RSC2484" s="67"/>
      <c r="RSD2484" s="60"/>
      <c r="RSE2484" s="60"/>
      <c r="RSF2484" s="60"/>
      <c r="RSG2484" s="57"/>
      <c r="RSH2484" s="61"/>
      <c r="RSI2484" s="57"/>
      <c r="RSJ2484" s="57"/>
      <c r="RSK2484" s="67"/>
      <c r="RSL2484" s="60"/>
      <c r="RSM2484" s="60"/>
      <c r="RSN2484" s="60"/>
      <c r="RSO2484" s="57"/>
      <c r="RSP2484" s="61"/>
      <c r="RSQ2484" s="57"/>
      <c r="RSR2484" s="57"/>
      <c r="RSS2484" s="67"/>
      <c r="RST2484" s="60"/>
      <c r="RSU2484" s="60"/>
      <c r="RSV2484" s="60"/>
      <c r="RSW2484" s="57"/>
      <c r="RSX2484" s="61"/>
      <c r="RSY2484" s="57"/>
      <c r="RSZ2484" s="57"/>
      <c r="RTA2484" s="67"/>
      <c r="RTB2484" s="60"/>
      <c r="RTC2484" s="60"/>
      <c r="RTD2484" s="60"/>
      <c r="RTE2484" s="57"/>
      <c r="RTF2484" s="61"/>
      <c r="RTG2484" s="57"/>
      <c r="RTH2484" s="57"/>
      <c r="RTI2484" s="67"/>
      <c r="RTJ2484" s="60"/>
      <c r="RTK2484" s="60"/>
      <c r="RTL2484" s="60"/>
      <c r="RTM2484" s="57"/>
      <c r="RTN2484" s="61"/>
      <c r="RTO2484" s="57"/>
      <c r="RTP2484" s="57"/>
      <c r="RTQ2484" s="67"/>
      <c r="RTR2484" s="60"/>
      <c r="RTS2484" s="60"/>
      <c r="RTT2484" s="60"/>
      <c r="RTU2484" s="57"/>
      <c r="RTV2484" s="61"/>
      <c r="RTW2484" s="57"/>
      <c r="RTX2484" s="57"/>
      <c r="RTY2484" s="67"/>
      <c r="RTZ2484" s="60"/>
      <c r="RUA2484" s="60"/>
      <c r="RUB2484" s="60"/>
      <c r="RUC2484" s="57"/>
      <c r="RUD2484" s="61"/>
      <c r="RUE2484" s="57"/>
      <c r="RUF2484" s="57"/>
      <c r="RUG2484" s="67"/>
      <c r="RUH2484" s="60"/>
      <c r="RUI2484" s="60"/>
      <c r="RUJ2484" s="60"/>
      <c r="RUK2484" s="57"/>
      <c r="RUL2484" s="61"/>
      <c r="RUM2484" s="57"/>
      <c r="RUN2484" s="57"/>
      <c r="RUO2484" s="67"/>
      <c r="RUP2484" s="60"/>
      <c r="RUQ2484" s="60"/>
      <c r="RUR2484" s="60"/>
      <c r="RUS2484" s="57"/>
      <c r="RUT2484" s="61"/>
      <c r="RUU2484" s="57"/>
      <c r="RUV2484" s="57"/>
      <c r="RUW2484" s="67"/>
      <c r="RUX2484" s="60"/>
      <c r="RUY2484" s="60"/>
      <c r="RUZ2484" s="60"/>
      <c r="RVA2484" s="57"/>
      <c r="RVB2484" s="61"/>
      <c r="RVC2484" s="57"/>
      <c r="RVD2484" s="57"/>
      <c r="RVE2484" s="67"/>
      <c r="RVF2484" s="60"/>
      <c r="RVG2484" s="60"/>
      <c r="RVH2484" s="60"/>
      <c r="RVI2484" s="57"/>
      <c r="RVJ2484" s="61"/>
      <c r="RVK2484" s="57"/>
      <c r="RVL2484" s="57"/>
      <c r="RVM2484" s="67"/>
      <c r="RVN2484" s="60"/>
      <c r="RVO2484" s="60"/>
      <c r="RVP2484" s="60"/>
      <c r="RVQ2484" s="57"/>
      <c r="RVR2484" s="61"/>
      <c r="RVS2484" s="57"/>
      <c r="RVT2484" s="57"/>
      <c r="RVU2484" s="67"/>
      <c r="RVV2484" s="60"/>
      <c r="RVW2484" s="60"/>
      <c r="RVX2484" s="60"/>
      <c r="RVY2484" s="57"/>
      <c r="RVZ2484" s="61"/>
      <c r="RWA2484" s="57"/>
      <c r="RWB2484" s="57"/>
      <c r="RWC2484" s="67"/>
      <c r="RWD2484" s="60"/>
      <c r="RWE2484" s="60"/>
      <c r="RWF2484" s="60"/>
      <c r="RWG2484" s="57"/>
      <c r="RWH2484" s="61"/>
      <c r="RWI2484" s="57"/>
      <c r="RWJ2484" s="57"/>
      <c r="RWK2484" s="67"/>
      <c r="RWL2484" s="60"/>
      <c r="RWM2484" s="60"/>
      <c r="RWN2484" s="60"/>
      <c r="RWO2484" s="57"/>
      <c r="RWP2484" s="61"/>
      <c r="RWQ2484" s="57"/>
      <c r="RWR2484" s="57"/>
      <c r="RWS2484" s="67"/>
      <c r="RWT2484" s="60"/>
      <c r="RWU2484" s="60"/>
      <c r="RWV2484" s="60"/>
      <c r="RWW2484" s="57"/>
      <c r="RWX2484" s="61"/>
      <c r="RWY2484" s="57"/>
      <c r="RWZ2484" s="57"/>
      <c r="RXA2484" s="67"/>
      <c r="RXB2484" s="60"/>
      <c r="RXC2484" s="60"/>
      <c r="RXD2484" s="60"/>
      <c r="RXE2484" s="57"/>
      <c r="RXF2484" s="61"/>
      <c r="RXG2484" s="57"/>
      <c r="RXH2484" s="57"/>
      <c r="RXI2484" s="67"/>
      <c r="RXJ2484" s="60"/>
      <c r="RXK2484" s="60"/>
      <c r="RXL2484" s="60"/>
      <c r="RXM2484" s="57"/>
      <c r="RXN2484" s="61"/>
      <c r="RXO2484" s="57"/>
      <c r="RXP2484" s="57"/>
      <c r="RXQ2484" s="67"/>
      <c r="RXR2484" s="60"/>
      <c r="RXS2484" s="60"/>
      <c r="RXT2484" s="60"/>
      <c r="RXU2484" s="57"/>
      <c r="RXV2484" s="61"/>
      <c r="RXW2484" s="57"/>
      <c r="RXX2484" s="57"/>
      <c r="RXY2484" s="67"/>
      <c r="RXZ2484" s="60"/>
      <c r="RYA2484" s="60"/>
      <c r="RYB2484" s="60"/>
      <c r="RYC2484" s="57"/>
      <c r="RYD2484" s="61"/>
      <c r="RYE2484" s="57"/>
      <c r="RYF2484" s="57"/>
      <c r="RYG2484" s="67"/>
      <c r="RYH2484" s="60"/>
      <c r="RYI2484" s="60"/>
      <c r="RYJ2484" s="60"/>
      <c r="RYK2484" s="57"/>
      <c r="RYL2484" s="61"/>
      <c r="RYM2484" s="57"/>
      <c r="RYN2484" s="57"/>
      <c r="RYO2484" s="67"/>
      <c r="RYP2484" s="60"/>
      <c r="RYQ2484" s="60"/>
      <c r="RYR2484" s="60"/>
      <c r="RYS2484" s="57"/>
      <c r="RYT2484" s="61"/>
      <c r="RYU2484" s="57"/>
      <c r="RYV2484" s="57"/>
      <c r="RYW2484" s="67"/>
      <c r="RYX2484" s="60"/>
      <c r="RYY2484" s="60"/>
      <c r="RYZ2484" s="60"/>
      <c r="RZA2484" s="57"/>
      <c r="RZB2484" s="61"/>
      <c r="RZC2484" s="57"/>
      <c r="RZD2484" s="57"/>
      <c r="RZE2484" s="67"/>
      <c r="RZF2484" s="60"/>
      <c r="RZG2484" s="60"/>
      <c r="RZH2484" s="60"/>
      <c r="RZI2484" s="57"/>
      <c r="RZJ2484" s="61"/>
      <c r="RZK2484" s="57"/>
      <c r="RZL2484" s="57"/>
      <c r="RZM2484" s="67"/>
      <c r="RZN2484" s="60"/>
      <c r="RZO2484" s="60"/>
      <c r="RZP2484" s="60"/>
      <c r="RZQ2484" s="57"/>
      <c r="RZR2484" s="61"/>
      <c r="RZS2484" s="57"/>
      <c r="RZT2484" s="57"/>
      <c r="RZU2484" s="67"/>
      <c r="RZV2484" s="60"/>
      <c r="RZW2484" s="60"/>
      <c r="RZX2484" s="60"/>
      <c r="RZY2484" s="57"/>
      <c r="RZZ2484" s="61"/>
      <c r="SAA2484" s="57"/>
      <c r="SAB2484" s="57"/>
      <c r="SAC2484" s="67"/>
      <c r="SAD2484" s="60"/>
      <c r="SAE2484" s="60"/>
      <c r="SAF2484" s="60"/>
      <c r="SAG2484" s="57"/>
      <c r="SAH2484" s="61"/>
      <c r="SAI2484" s="57"/>
      <c r="SAJ2484" s="57"/>
      <c r="SAK2484" s="67"/>
      <c r="SAL2484" s="60"/>
      <c r="SAM2484" s="60"/>
      <c r="SAN2484" s="60"/>
      <c r="SAO2484" s="57"/>
      <c r="SAP2484" s="61"/>
      <c r="SAQ2484" s="57"/>
      <c r="SAR2484" s="57"/>
      <c r="SAS2484" s="67"/>
      <c r="SAT2484" s="60"/>
      <c r="SAU2484" s="60"/>
      <c r="SAV2484" s="60"/>
      <c r="SAW2484" s="57"/>
      <c r="SAX2484" s="61"/>
      <c r="SAY2484" s="57"/>
      <c r="SAZ2484" s="57"/>
      <c r="SBA2484" s="67"/>
      <c r="SBB2484" s="60"/>
      <c r="SBC2484" s="60"/>
      <c r="SBD2484" s="60"/>
      <c r="SBE2484" s="57"/>
      <c r="SBF2484" s="61"/>
      <c r="SBG2484" s="57"/>
      <c r="SBH2484" s="57"/>
      <c r="SBI2484" s="67"/>
      <c r="SBJ2484" s="60"/>
      <c r="SBK2484" s="60"/>
      <c r="SBL2484" s="60"/>
      <c r="SBM2484" s="57"/>
      <c r="SBN2484" s="61"/>
      <c r="SBO2484" s="57"/>
      <c r="SBP2484" s="57"/>
      <c r="SBQ2484" s="67"/>
      <c r="SBR2484" s="60"/>
      <c r="SBS2484" s="60"/>
      <c r="SBT2484" s="60"/>
      <c r="SBU2484" s="57"/>
      <c r="SBV2484" s="61"/>
      <c r="SBW2484" s="57"/>
      <c r="SBX2484" s="57"/>
      <c r="SBY2484" s="67"/>
      <c r="SBZ2484" s="60"/>
      <c r="SCA2484" s="60"/>
      <c r="SCB2484" s="60"/>
      <c r="SCC2484" s="57"/>
      <c r="SCD2484" s="61"/>
      <c r="SCE2484" s="57"/>
      <c r="SCF2484" s="57"/>
      <c r="SCG2484" s="67"/>
      <c r="SCH2484" s="60"/>
      <c r="SCI2484" s="60"/>
      <c r="SCJ2484" s="60"/>
      <c r="SCK2484" s="57"/>
      <c r="SCL2484" s="61"/>
      <c r="SCM2484" s="57"/>
      <c r="SCN2484" s="57"/>
      <c r="SCO2484" s="67"/>
      <c r="SCP2484" s="60"/>
      <c r="SCQ2484" s="60"/>
      <c r="SCR2484" s="60"/>
      <c r="SCS2484" s="57"/>
      <c r="SCT2484" s="61"/>
      <c r="SCU2484" s="57"/>
      <c r="SCV2484" s="57"/>
      <c r="SCW2484" s="67"/>
      <c r="SCX2484" s="60"/>
      <c r="SCY2484" s="60"/>
      <c r="SCZ2484" s="60"/>
      <c r="SDA2484" s="57"/>
      <c r="SDB2484" s="61"/>
      <c r="SDC2484" s="57"/>
      <c r="SDD2484" s="57"/>
      <c r="SDE2484" s="67"/>
      <c r="SDF2484" s="60"/>
      <c r="SDG2484" s="60"/>
      <c r="SDH2484" s="60"/>
      <c r="SDI2484" s="57"/>
      <c r="SDJ2484" s="61"/>
      <c r="SDK2484" s="57"/>
      <c r="SDL2484" s="57"/>
      <c r="SDM2484" s="67"/>
      <c r="SDN2484" s="60"/>
      <c r="SDO2484" s="60"/>
      <c r="SDP2484" s="60"/>
      <c r="SDQ2484" s="57"/>
      <c r="SDR2484" s="61"/>
      <c r="SDS2484" s="57"/>
      <c r="SDT2484" s="57"/>
      <c r="SDU2484" s="67"/>
      <c r="SDV2484" s="60"/>
      <c r="SDW2484" s="60"/>
      <c r="SDX2484" s="60"/>
      <c r="SDY2484" s="57"/>
      <c r="SDZ2484" s="61"/>
      <c r="SEA2484" s="57"/>
      <c r="SEB2484" s="57"/>
      <c r="SEC2484" s="67"/>
      <c r="SED2484" s="60"/>
      <c r="SEE2484" s="60"/>
      <c r="SEF2484" s="60"/>
      <c r="SEG2484" s="57"/>
      <c r="SEH2484" s="61"/>
      <c r="SEI2484" s="57"/>
      <c r="SEJ2484" s="57"/>
      <c r="SEK2484" s="67"/>
      <c r="SEL2484" s="60"/>
      <c r="SEM2484" s="60"/>
      <c r="SEN2484" s="60"/>
      <c r="SEO2484" s="57"/>
      <c r="SEP2484" s="61"/>
      <c r="SEQ2484" s="57"/>
      <c r="SER2484" s="57"/>
      <c r="SES2484" s="67"/>
      <c r="SET2484" s="60"/>
      <c r="SEU2484" s="60"/>
      <c r="SEV2484" s="60"/>
      <c r="SEW2484" s="57"/>
      <c r="SEX2484" s="61"/>
      <c r="SEY2484" s="57"/>
      <c r="SEZ2484" s="57"/>
      <c r="SFA2484" s="67"/>
      <c r="SFB2484" s="60"/>
      <c r="SFC2484" s="60"/>
      <c r="SFD2484" s="60"/>
      <c r="SFE2484" s="57"/>
      <c r="SFF2484" s="61"/>
      <c r="SFG2484" s="57"/>
      <c r="SFH2484" s="57"/>
      <c r="SFI2484" s="67"/>
      <c r="SFJ2484" s="60"/>
      <c r="SFK2484" s="60"/>
      <c r="SFL2484" s="60"/>
      <c r="SFM2484" s="57"/>
      <c r="SFN2484" s="61"/>
      <c r="SFO2484" s="57"/>
      <c r="SFP2484" s="57"/>
      <c r="SFQ2484" s="67"/>
      <c r="SFR2484" s="60"/>
      <c r="SFS2484" s="60"/>
      <c r="SFT2484" s="60"/>
      <c r="SFU2484" s="57"/>
      <c r="SFV2484" s="61"/>
      <c r="SFW2484" s="57"/>
      <c r="SFX2484" s="57"/>
      <c r="SFY2484" s="67"/>
      <c r="SFZ2484" s="60"/>
      <c r="SGA2484" s="60"/>
      <c r="SGB2484" s="60"/>
      <c r="SGC2484" s="57"/>
      <c r="SGD2484" s="61"/>
      <c r="SGE2484" s="57"/>
      <c r="SGF2484" s="57"/>
      <c r="SGG2484" s="67"/>
      <c r="SGH2484" s="60"/>
      <c r="SGI2484" s="60"/>
      <c r="SGJ2484" s="60"/>
      <c r="SGK2484" s="57"/>
      <c r="SGL2484" s="61"/>
      <c r="SGM2484" s="57"/>
      <c r="SGN2484" s="57"/>
      <c r="SGO2484" s="67"/>
      <c r="SGP2484" s="60"/>
      <c r="SGQ2484" s="60"/>
      <c r="SGR2484" s="60"/>
      <c r="SGS2484" s="57"/>
      <c r="SGT2484" s="61"/>
      <c r="SGU2484" s="57"/>
      <c r="SGV2484" s="57"/>
      <c r="SGW2484" s="67"/>
      <c r="SGX2484" s="60"/>
      <c r="SGY2484" s="60"/>
      <c r="SGZ2484" s="60"/>
      <c r="SHA2484" s="57"/>
      <c r="SHB2484" s="61"/>
      <c r="SHC2484" s="57"/>
      <c r="SHD2484" s="57"/>
      <c r="SHE2484" s="67"/>
      <c r="SHF2484" s="60"/>
      <c r="SHG2484" s="60"/>
      <c r="SHH2484" s="60"/>
      <c r="SHI2484" s="57"/>
      <c r="SHJ2484" s="61"/>
      <c r="SHK2484" s="57"/>
      <c r="SHL2484" s="57"/>
      <c r="SHM2484" s="67"/>
      <c r="SHN2484" s="60"/>
      <c r="SHO2484" s="60"/>
      <c r="SHP2484" s="60"/>
      <c r="SHQ2484" s="57"/>
      <c r="SHR2484" s="61"/>
      <c r="SHS2484" s="57"/>
      <c r="SHT2484" s="57"/>
      <c r="SHU2484" s="67"/>
      <c r="SHV2484" s="60"/>
      <c r="SHW2484" s="60"/>
      <c r="SHX2484" s="60"/>
      <c r="SHY2484" s="57"/>
      <c r="SHZ2484" s="61"/>
      <c r="SIA2484" s="57"/>
      <c r="SIB2484" s="57"/>
      <c r="SIC2484" s="67"/>
      <c r="SID2484" s="60"/>
      <c r="SIE2484" s="60"/>
      <c r="SIF2484" s="60"/>
      <c r="SIG2484" s="57"/>
      <c r="SIH2484" s="61"/>
      <c r="SII2484" s="57"/>
      <c r="SIJ2484" s="57"/>
      <c r="SIK2484" s="67"/>
      <c r="SIL2484" s="60"/>
      <c r="SIM2484" s="60"/>
      <c r="SIN2484" s="60"/>
      <c r="SIO2484" s="57"/>
      <c r="SIP2484" s="61"/>
      <c r="SIQ2484" s="57"/>
      <c r="SIR2484" s="57"/>
      <c r="SIS2484" s="67"/>
      <c r="SIT2484" s="60"/>
      <c r="SIU2484" s="60"/>
      <c r="SIV2484" s="60"/>
      <c r="SIW2484" s="57"/>
      <c r="SIX2484" s="61"/>
      <c r="SIY2484" s="57"/>
      <c r="SIZ2484" s="57"/>
      <c r="SJA2484" s="67"/>
      <c r="SJB2484" s="60"/>
      <c r="SJC2484" s="60"/>
      <c r="SJD2484" s="60"/>
      <c r="SJE2484" s="57"/>
      <c r="SJF2484" s="61"/>
      <c r="SJG2484" s="57"/>
      <c r="SJH2484" s="57"/>
      <c r="SJI2484" s="67"/>
      <c r="SJJ2484" s="60"/>
      <c r="SJK2484" s="60"/>
      <c r="SJL2484" s="60"/>
      <c r="SJM2484" s="57"/>
      <c r="SJN2484" s="61"/>
      <c r="SJO2484" s="57"/>
      <c r="SJP2484" s="57"/>
      <c r="SJQ2484" s="67"/>
      <c r="SJR2484" s="60"/>
      <c r="SJS2484" s="60"/>
      <c r="SJT2484" s="60"/>
      <c r="SJU2484" s="57"/>
      <c r="SJV2484" s="61"/>
      <c r="SJW2484" s="57"/>
      <c r="SJX2484" s="57"/>
      <c r="SJY2484" s="67"/>
      <c r="SJZ2484" s="60"/>
      <c r="SKA2484" s="60"/>
      <c r="SKB2484" s="60"/>
      <c r="SKC2484" s="57"/>
      <c r="SKD2484" s="61"/>
      <c r="SKE2484" s="57"/>
      <c r="SKF2484" s="57"/>
      <c r="SKG2484" s="67"/>
      <c r="SKH2484" s="60"/>
      <c r="SKI2484" s="60"/>
      <c r="SKJ2484" s="60"/>
      <c r="SKK2484" s="57"/>
      <c r="SKL2484" s="61"/>
      <c r="SKM2484" s="57"/>
      <c r="SKN2484" s="57"/>
      <c r="SKO2484" s="67"/>
      <c r="SKP2484" s="60"/>
      <c r="SKQ2484" s="60"/>
      <c r="SKR2484" s="60"/>
      <c r="SKS2484" s="57"/>
      <c r="SKT2484" s="61"/>
      <c r="SKU2484" s="57"/>
      <c r="SKV2484" s="57"/>
      <c r="SKW2484" s="67"/>
      <c r="SKX2484" s="60"/>
      <c r="SKY2484" s="60"/>
      <c r="SKZ2484" s="60"/>
      <c r="SLA2484" s="57"/>
      <c r="SLB2484" s="61"/>
      <c r="SLC2484" s="57"/>
      <c r="SLD2484" s="57"/>
      <c r="SLE2484" s="67"/>
      <c r="SLF2484" s="60"/>
      <c r="SLG2484" s="60"/>
      <c r="SLH2484" s="60"/>
      <c r="SLI2484" s="57"/>
      <c r="SLJ2484" s="61"/>
      <c r="SLK2484" s="57"/>
      <c r="SLL2484" s="57"/>
      <c r="SLM2484" s="67"/>
      <c r="SLN2484" s="60"/>
      <c r="SLO2484" s="60"/>
      <c r="SLP2484" s="60"/>
      <c r="SLQ2484" s="57"/>
      <c r="SLR2484" s="61"/>
      <c r="SLS2484" s="57"/>
      <c r="SLT2484" s="57"/>
      <c r="SLU2484" s="67"/>
      <c r="SLV2484" s="60"/>
      <c r="SLW2484" s="60"/>
      <c r="SLX2484" s="60"/>
      <c r="SLY2484" s="57"/>
      <c r="SLZ2484" s="61"/>
      <c r="SMA2484" s="57"/>
      <c r="SMB2484" s="57"/>
      <c r="SMC2484" s="67"/>
      <c r="SMD2484" s="60"/>
      <c r="SME2484" s="60"/>
      <c r="SMF2484" s="60"/>
      <c r="SMG2484" s="57"/>
      <c r="SMH2484" s="61"/>
      <c r="SMI2484" s="57"/>
      <c r="SMJ2484" s="57"/>
      <c r="SMK2484" s="67"/>
      <c r="SML2484" s="60"/>
      <c r="SMM2484" s="60"/>
      <c r="SMN2484" s="60"/>
      <c r="SMO2484" s="57"/>
      <c r="SMP2484" s="61"/>
      <c r="SMQ2484" s="57"/>
      <c r="SMR2484" s="57"/>
      <c r="SMS2484" s="67"/>
      <c r="SMT2484" s="60"/>
      <c r="SMU2484" s="60"/>
      <c r="SMV2484" s="60"/>
      <c r="SMW2484" s="57"/>
      <c r="SMX2484" s="61"/>
      <c r="SMY2484" s="57"/>
      <c r="SMZ2484" s="57"/>
      <c r="SNA2484" s="67"/>
      <c r="SNB2484" s="60"/>
      <c r="SNC2484" s="60"/>
      <c r="SND2484" s="60"/>
      <c r="SNE2484" s="57"/>
      <c r="SNF2484" s="61"/>
      <c r="SNG2484" s="57"/>
      <c r="SNH2484" s="57"/>
      <c r="SNI2484" s="67"/>
      <c r="SNJ2484" s="60"/>
      <c r="SNK2484" s="60"/>
      <c r="SNL2484" s="60"/>
      <c r="SNM2484" s="57"/>
      <c r="SNN2484" s="61"/>
      <c r="SNO2484" s="57"/>
      <c r="SNP2484" s="57"/>
      <c r="SNQ2484" s="67"/>
      <c r="SNR2484" s="60"/>
      <c r="SNS2484" s="60"/>
      <c r="SNT2484" s="60"/>
      <c r="SNU2484" s="57"/>
      <c r="SNV2484" s="61"/>
      <c r="SNW2484" s="57"/>
      <c r="SNX2484" s="57"/>
      <c r="SNY2484" s="67"/>
      <c r="SNZ2484" s="60"/>
      <c r="SOA2484" s="60"/>
      <c r="SOB2484" s="60"/>
      <c r="SOC2484" s="57"/>
      <c r="SOD2484" s="61"/>
      <c r="SOE2484" s="57"/>
      <c r="SOF2484" s="57"/>
      <c r="SOG2484" s="67"/>
      <c r="SOH2484" s="60"/>
      <c r="SOI2484" s="60"/>
      <c r="SOJ2484" s="60"/>
      <c r="SOK2484" s="57"/>
      <c r="SOL2484" s="61"/>
      <c r="SOM2484" s="57"/>
      <c r="SON2484" s="57"/>
      <c r="SOO2484" s="67"/>
      <c r="SOP2484" s="60"/>
      <c r="SOQ2484" s="60"/>
      <c r="SOR2484" s="60"/>
      <c r="SOS2484" s="57"/>
      <c r="SOT2484" s="61"/>
      <c r="SOU2484" s="57"/>
      <c r="SOV2484" s="57"/>
      <c r="SOW2484" s="67"/>
      <c r="SOX2484" s="60"/>
      <c r="SOY2484" s="60"/>
      <c r="SOZ2484" s="60"/>
      <c r="SPA2484" s="57"/>
      <c r="SPB2484" s="61"/>
      <c r="SPC2484" s="57"/>
      <c r="SPD2484" s="57"/>
      <c r="SPE2484" s="67"/>
      <c r="SPF2484" s="60"/>
      <c r="SPG2484" s="60"/>
      <c r="SPH2484" s="60"/>
      <c r="SPI2484" s="57"/>
      <c r="SPJ2484" s="61"/>
      <c r="SPK2484" s="57"/>
      <c r="SPL2484" s="57"/>
      <c r="SPM2484" s="67"/>
      <c r="SPN2484" s="60"/>
      <c r="SPO2484" s="60"/>
      <c r="SPP2484" s="60"/>
      <c r="SPQ2484" s="57"/>
      <c r="SPR2484" s="61"/>
      <c r="SPS2484" s="57"/>
      <c r="SPT2484" s="57"/>
      <c r="SPU2484" s="67"/>
      <c r="SPV2484" s="60"/>
      <c r="SPW2484" s="60"/>
      <c r="SPX2484" s="60"/>
      <c r="SPY2484" s="57"/>
      <c r="SPZ2484" s="61"/>
      <c r="SQA2484" s="57"/>
      <c r="SQB2484" s="57"/>
      <c r="SQC2484" s="67"/>
      <c r="SQD2484" s="60"/>
      <c r="SQE2484" s="60"/>
      <c r="SQF2484" s="60"/>
      <c r="SQG2484" s="57"/>
      <c r="SQH2484" s="61"/>
      <c r="SQI2484" s="57"/>
      <c r="SQJ2484" s="57"/>
      <c r="SQK2484" s="67"/>
      <c r="SQL2484" s="60"/>
      <c r="SQM2484" s="60"/>
      <c r="SQN2484" s="60"/>
      <c r="SQO2484" s="57"/>
      <c r="SQP2484" s="61"/>
      <c r="SQQ2484" s="57"/>
      <c r="SQR2484" s="57"/>
      <c r="SQS2484" s="67"/>
      <c r="SQT2484" s="60"/>
      <c r="SQU2484" s="60"/>
      <c r="SQV2484" s="60"/>
      <c r="SQW2484" s="57"/>
      <c r="SQX2484" s="61"/>
      <c r="SQY2484" s="57"/>
      <c r="SQZ2484" s="57"/>
      <c r="SRA2484" s="67"/>
      <c r="SRB2484" s="60"/>
      <c r="SRC2484" s="60"/>
      <c r="SRD2484" s="60"/>
      <c r="SRE2484" s="57"/>
      <c r="SRF2484" s="61"/>
      <c r="SRG2484" s="57"/>
      <c r="SRH2484" s="57"/>
      <c r="SRI2484" s="67"/>
      <c r="SRJ2484" s="60"/>
      <c r="SRK2484" s="60"/>
      <c r="SRL2484" s="60"/>
      <c r="SRM2484" s="57"/>
      <c r="SRN2484" s="61"/>
      <c r="SRO2484" s="57"/>
      <c r="SRP2484" s="57"/>
      <c r="SRQ2484" s="67"/>
      <c r="SRR2484" s="60"/>
      <c r="SRS2484" s="60"/>
      <c r="SRT2484" s="60"/>
      <c r="SRU2484" s="57"/>
      <c r="SRV2484" s="61"/>
      <c r="SRW2484" s="57"/>
      <c r="SRX2484" s="57"/>
      <c r="SRY2484" s="67"/>
      <c r="SRZ2484" s="60"/>
      <c r="SSA2484" s="60"/>
      <c r="SSB2484" s="60"/>
      <c r="SSC2484" s="57"/>
      <c r="SSD2484" s="61"/>
      <c r="SSE2484" s="57"/>
      <c r="SSF2484" s="57"/>
      <c r="SSG2484" s="67"/>
      <c r="SSH2484" s="60"/>
      <c r="SSI2484" s="60"/>
      <c r="SSJ2484" s="60"/>
      <c r="SSK2484" s="57"/>
      <c r="SSL2484" s="61"/>
      <c r="SSM2484" s="57"/>
      <c r="SSN2484" s="57"/>
      <c r="SSO2484" s="67"/>
      <c r="SSP2484" s="60"/>
      <c r="SSQ2484" s="60"/>
      <c r="SSR2484" s="60"/>
      <c r="SSS2484" s="57"/>
      <c r="SST2484" s="61"/>
      <c r="SSU2484" s="57"/>
      <c r="SSV2484" s="57"/>
      <c r="SSW2484" s="67"/>
      <c r="SSX2484" s="60"/>
      <c r="SSY2484" s="60"/>
      <c r="SSZ2484" s="60"/>
      <c r="STA2484" s="57"/>
      <c r="STB2484" s="61"/>
      <c r="STC2484" s="57"/>
      <c r="STD2484" s="57"/>
      <c r="STE2484" s="67"/>
      <c r="STF2484" s="60"/>
      <c r="STG2484" s="60"/>
      <c r="STH2484" s="60"/>
      <c r="STI2484" s="57"/>
      <c r="STJ2484" s="61"/>
      <c r="STK2484" s="57"/>
      <c r="STL2484" s="57"/>
      <c r="STM2484" s="67"/>
      <c r="STN2484" s="60"/>
      <c r="STO2484" s="60"/>
      <c r="STP2484" s="60"/>
      <c r="STQ2484" s="57"/>
      <c r="STR2484" s="61"/>
      <c r="STS2484" s="57"/>
      <c r="STT2484" s="57"/>
      <c r="STU2484" s="67"/>
      <c r="STV2484" s="60"/>
      <c r="STW2484" s="60"/>
      <c r="STX2484" s="60"/>
      <c r="STY2484" s="57"/>
      <c r="STZ2484" s="61"/>
      <c r="SUA2484" s="57"/>
      <c r="SUB2484" s="57"/>
      <c r="SUC2484" s="67"/>
      <c r="SUD2484" s="60"/>
      <c r="SUE2484" s="60"/>
      <c r="SUF2484" s="60"/>
      <c r="SUG2484" s="57"/>
      <c r="SUH2484" s="61"/>
      <c r="SUI2484" s="57"/>
      <c r="SUJ2484" s="57"/>
      <c r="SUK2484" s="67"/>
      <c r="SUL2484" s="60"/>
      <c r="SUM2484" s="60"/>
      <c r="SUN2484" s="60"/>
      <c r="SUO2484" s="57"/>
      <c r="SUP2484" s="61"/>
      <c r="SUQ2484" s="57"/>
      <c r="SUR2484" s="57"/>
      <c r="SUS2484" s="67"/>
      <c r="SUT2484" s="60"/>
      <c r="SUU2484" s="60"/>
      <c r="SUV2484" s="60"/>
      <c r="SUW2484" s="57"/>
      <c r="SUX2484" s="61"/>
      <c r="SUY2484" s="57"/>
      <c r="SUZ2484" s="57"/>
      <c r="SVA2484" s="67"/>
      <c r="SVB2484" s="60"/>
      <c r="SVC2484" s="60"/>
      <c r="SVD2484" s="60"/>
      <c r="SVE2484" s="57"/>
      <c r="SVF2484" s="61"/>
      <c r="SVG2484" s="57"/>
      <c r="SVH2484" s="57"/>
      <c r="SVI2484" s="67"/>
      <c r="SVJ2484" s="60"/>
      <c r="SVK2484" s="60"/>
      <c r="SVL2484" s="60"/>
      <c r="SVM2484" s="57"/>
      <c r="SVN2484" s="61"/>
      <c r="SVO2484" s="57"/>
      <c r="SVP2484" s="57"/>
      <c r="SVQ2484" s="67"/>
      <c r="SVR2484" s="60"/>
      <c r="SVS2484" s="60"/>
      <c r="SVT2484" s="60"/>
      <c r="SVU2484" s="57"/>
      <c r="SVV2484" s="61"/>
      <c r="SVW2484" s="57"/>
      <c r="SVX2484" s="57"/>
      <c r="SVY2484" s="67"/>
      <c r="SVZ2484" s="60"/>
      <c r="SWA2484" s="60"/>
      <c r="SWB2484" s="60"/>
      <c r="SWC2484" s="57"/>
      <c r="SWD2484" s="61"/>
      <c r="SWE2484" s="57"/>
      <c r="SWF2484" s="57"/>
      <c r="SWG2484" s="67"/>
      <c r="SWH2484" s="60"/>
      <c r="SWI2484" s="60"/>
      <c r="SWJ2484" s="60"/>
      <c r="SWK2484" s="57"/>
      <c r="SWL2484" s="61"/>
      <c r="SWM2484" s="57"/>
      <c r="SWN2484" s="57"/>
      <c r="SWO2484" s="67"/>
      <c r="SWP2484" s="60"/>
      <c r="SWQ2484" s="60"/>
      <c r="SWR2484" s="60"/>
      <c r="SWS2484" s="57"/>
      <c r="SWT2484" s="61"/>
      <c r="SWU2484" s="57"/>
      <c r="SWV2484" s="57"/>
      <c r="SWW2484" s="67"/>
      <c r="SWX2484" s="60"/>
      <c r="SWY2484" s="60"/>
      <c r="SWZ2484" s="60"/>
      <c r="SXA2484" s="57"/>
      <c r="SXB2484" s="61"/>
      <c r="SXC2484" s="57"/>
      <c r="SXD2484" s="57"/>
      <c r="SXE2484" s="67"/>
      <c r="SXF2484" s="60"/>
      <c r="SXG2484" s="60"/>
      <c r="SXH2484" s="60"/>
      <c r="SXI2484" s="57"/>
      <c r="SXJ2484" s="61"/>
      <c r="SXK2484" s="57"/>
      <c r="SXL2484" s="57"/>
      <c r="SXM2484" s="67"/>
      <c r="SXN2484" s="60"/>
      <c r="SXO2484" s="60"/>
      <c r="SXP2484" s="60"/>
      <c r="SXQ2484" s="57"/>
      <c r="SXR2484" s="61"/>
      <c r="SXS2484" s="57"/>
      <c r="SXT2484" s="57"/>
      <c r="SXU2484" s="67"/>
      <c r="SXV2484" s="60"/>
      <c r="SXW2484" s="60"/>
      <c r="SXX2484" s="60"/>
      <c r="SXY2484" s="57"/>
      <c r="SXZ2484" s="61"/>
      <c r="SYA2484" s="57"/>
      <c r="SYB2484" s="57"/>
      <c r="SYC2484" s="67"/>
      <c r="SYD2484" s="60"/>
      <c r="SYE2484" s="60"/>
      <c r="SYF2484" s="60"/>
      <c r="SYG2484" s="57"/>
      <c r="SYH2484" s="61"/>
      <c r="SYI2484" s="57"/>
      <c r="SYJ2484" s="57"/>
      <c r="SYK2484" s="67"/>
      <c r="SYL2484" s="60"/>
      <c r="SYM2484" s="60"/>
      <c r="SYN2484" s="60"/>
      <c r="SYO2484" s="57"/>
      <c r="SYP2484" s="61"/>
      <c r="SYQ2484" s="57"/>
      <c r="SYR2484" s="57"/>
      <c r="SYS2484" s="67"/>
      <c r="SYT2484" s="60"/>
      <c r="SYU2484" s="60"/>
      <c r="SYV2484" s="60"/>
      <c r="SYW2484" s="57"/>
      <c r="SYX2484" s="61"/>
      <c r="SYY2484" s="57"/>
      <c r="SYZ2484" s="57"/>
      <c r="SZA2484" s="67"/>
      <c r="SZB2484" s="60"/>
      <c r="SZC2484" s="60"/>
      <c r="SZD2484" s="60"/>
      <c r="SZE2484" s="57"/>
      <c r="SZF2484" s="61"/>
      <c r="SZG2484" s="57"/>
      <c r="SZH2484" s="57"/>
      <c r="SZI2484" s="67"/>
      <c r="SZJ2484" s="60"/>
      <c r="SZK2484" s="60"/>
      <c r="SZL2484" s="60"/>
      <c r="SZM2484" s="57"/>
      <c r="SZN2484" s="61"/>
      <c r="SZO2484" s="57"/>
      <c r="SZP2484" s="57"/>
      <c r="SZQ2484" s="67"/>
      <c r="SZR2484" s="60"/>
      <c r="SZS2484" s="60"/>
      <c r="SZT2484" s="60"/>
      <c r="SZU2484" s="57"/>
      <c r="SZV2484" s="61"/>
      <c r="SZW2484" s="57"/>
      <c r="SZX2484" s="57"/>
      <c r="SZY2484" s="67"/>
      <c r="SZZ2484" s="60"/>
      <c r="TAA2484" s="60"/>
      <c r="TAB2484" s="60"/>
      <c r="TAC2484" s="57"/>
      <c r="TAD2484" s="61"/>
      <c r="TAE2484" s="57"/>
      <c r="TAF2484" s="57"/>
      <c r="TAG2484" s="67"/>
      <c r="TAH2484" s="60"/>
      <c r="TAI2484" s="60"/>
      <c r="TAJ2484" s="60"/>
      <c r="TAK2484" s="57"/>
      <c r="TAL2484" s="61"/>
      <c r="TAM2484" s="57"/>
      <c r="TAN2484" s="57"/>
      <c r="TAO2484" s="67"/>
      <c r="TAP2484" s="60"/>
      <c r="TAQ2484" s="60"/>
      <c r="TAR2484" s="60"/>
      <c r="TAS2484" s="57"/>
      <c r="TAT2484" s="61"/>
      <c r="TAU2484" s="57"/>
      <c r="TAV2484" s="57"/>
      <c r="TAW2484" s="67"/>
      <c r="TAX2484" s="60"/>
      <c r="TAY2484" s="60"/>
      <c r="TAZ2484" s="60"/>
      <c r="TBA2484" s="57"/>
      <c r="TBB2484" s="61"/>
      <c r="TBC2484" s="57"/>
      <c r="TBD2484" s="57"/>
      <c r="TBE2484" s="67"/>
      <c r="TBF2484" s="60"/>
      <c r="TBG2484" s="60"/>
      <c r="TBH2484" s="60"/>
      <c r="TBI2484" s="57"/>
      <c r="TBJ2484" s="61"/>
      <c r="TBK2484" s="57"/>
      <c r="TBL2484" s="57"/>
      <c r="TBM2484" s="67"/>
      <c r="TBN2484" s="60"/>
      <c r="TBO2484" s="60"/>
      <c r="TBP2484" s="60"/>
      <c r="TBQ2484" s="57"/>
      <c r="TBR2484" s="61"/>
      <c r="TBS2484" s="57"/>
      <c r="TBT2484" s="57"/>
      <c r="TBU2484" s="67"/>
      <c r="TBV2484" s="60"/>
      <c r="TBW2484" s="60"/>
      <c r="TBX2484" s="60"/>
      <c r="TBY2484" s="57"/>
      <c r="TBZ2484" s="61"/>
      <c r="TCA2484" s="57"/>
      <c r="TCB2484" s="57"/>
      <c r="TCC2484" s="67"/>
      <c r="TCD2484" s="60"/>
      <c r="TCE2484" s="60"/>
      <c r="TCF2484" s="60"/>
      <c r="TCG2484" s="57"/>
      <c r="TCH2484" s="61"/>
      <c r="TCI2484" s="57"/>
      <c r="TCJ2484" s="57"/>
      <c r="TCK2484" s="67"/>
      <c r="TCL2484" s="60"/>
      <c r="TCM2484" s="60"/>
      <c r="TCN2484" s="60"/>
      <c r="TCO2484" s="57"/>
      <c r="TCP2484" s="61"/>
      <c r="TCQ2484" s="57"/>
      <c r="TCR2484" s="57"/>
      <c r="TCS2484" s="67"/>
      <c r="TCT2484" s="60"/>
      <c r="TCU2484" s="60"/>
      <c r="TCV2484" s="60"/>
      <c r="TCW2484" s="57"/>
      <c r="TCX2484" s="61"/>
      <c r="TCY2484" s="57"/>
      <c r="TCZ2484" s="57"/>
      <c r="TDA2484" s="67"/>
      <c r="TDB2484" s="60"/>
      <c r="TDC2484" s="60"/>
      <c r="TDD2484" s="60"/>
      <c r="TDE2484" s="57"/>
      <c r="TDF2484" s="61"/>
      <c r="TDG2484" s="57"/>
      <c r="TDH2484" s="57"/>
      <c r="TDI2484" s="67"/>
      <c r="TDJ2484" s="60"/>
      <c r="TDK2484" s="60"/>
      <c r="TDL2484" s="60"/>
      <c r="TDM2484" s="57"/>
      <c r="TDN2484" s="61"/>
      <c r="TDO2484" s="57"/>
      <c r="TDP2484" s="57"/>
      <c r="TDQ2484" s="67"/>
      <c r="TDR2484" s="60"/>
      <c r="TDS2484" s="60"/>
      <c r="TDT2484" s="60"/>
      <c r="TDU2484" s="57"/>
      <c r="TDV2484" s="61"/>
      <c r="TDW2484" s="57"/>
      <c r="TDX2484" s="57"/>
      <c r="TDY2484" s="67"/>
      <c r="TDZ2484" s="60"/>
      <c r="TEA2484" s="60"/>
      <c r="TEB2484" s="60"/>
      <c r="TEC2484" s="57"/>
      <c r="TED2484" s="61"/>
      <c r="TEE2484" s="57"/>
      <c r="TEF2484" s="57"/>
      <c r="TEG2484" s="67"/>
      <c r="TEH2484" s="60"/>
      <c r="TEI2484" s="60"/>
      <c r="TEJ2484" s="60"/>
      <c r="TEK2484" s="57"/>
      <c r="TEL2484" s="61"/>
      <c r="TEM2484" s="57"/>
      <c r="TEN2484" s="57"/>
      <c r="TEO2484" s="67"/>
      <c r="TEP2484" s="60"/>
      <c r="TEQ2484" s="60"/>
      <c r="TER2484" s="60"/>
      <c r="TES2484" s="57"/>
      <c r="TET2484" s="61"/>
      <c r="TEU2484" s="57"/>
      <c r="TEV2484" s="57"/>
      <c r="TEW2484" s="67"/>
      <c r="TEX2484" s="60"/>
      <c r="TEY2484" s="60"/>
      <c r="TEZ2484" s="60"/>
      <c r="TFA2484" s="57"/>
      <c r="TFB2484" s="61"/>
      <c r="TFC2484" s="57"/>
      <c r="TFD2484" s="57"/>
      <c r="TFE2484" s="67"/>
      <c r="TFF2484" s="60"/>
      <c r="TFG2484" s="60"/>
      <c r="TFH2484" s="60"/>
      <c r="TFI2484" s="57"/>
      <c r="TFJ2484" s="61"/>
      <c r="TFK2484" s="57"/>
      <c r="TFL2484" s="57"/>
      <c r="TFM2484" s="67"/>
      <c r="TFN2484" s="60"/>
      <c r="TFO2484" s="60"/>
      <c r="TFP2484" s="60"/>
      <c r="TFQ2484" s="57"/>
      <c r="TFR2484" s="61"/>
      <c r="TFS2484" s="57"/>
      <c r="TFT2484" s="57"/>
      <c r="TFU2484" s="67"/>
      <c r="TFV2484" s="60"/>
      <c r="TFW2484" s="60"/>
      <c r="TFX2484" s="60"/>
      <c r="TFY2484" s="57"/>
      <c r="TFZ2484" s="61"/>
      <c r="TGA2484" s="57"/>
      <c r="TGB2484" s="57"/>
      <c r="TGC2484" s="67"/>
      <c r="TGD2484" s="60"/>
      <c r="TGE2484" s="60"/>
      <c r="TGF2484" s="60"/>
      <c r="TGG2484" s="57"/>
      <c r="TGH2484" s="61"/>
      <c r="TGI2484" s="57"/>
      <c r="TGJ2484" s="57"/>
      <c r="TGK2484" s="67"/>
      <c r="TGL2484" s="60"/>
      <c r="TGM2484" s="60"/>
      <c r="TGN2484" s="60"/>
      <c r="TGO2484" s="57"/>
      <c r="TGP2484" s="61"/>
      <c r="TGQ2484" s="57"/>
      <c r="TGR2484" s="57"/>
      <c r="TGS2484" s="67"/>
      <c r="TGT2484" s="60"/>
      <c r="TGU2484" s="60"/>
      <c r="TGV2484" s="60"/>
      <c r="TGW2484" s="57"/>
      <c r="TGX2484" s="61"/>
      <c r="TGY2484" s="57"/>
      <c r="TGZ2484" s="57"/>
      <c r="THA2484" s="67"/>
      <c r="THB2484" s="60"/>
      <c r="THC2484" s="60"/>
      <c r="THD2484" s="60"/>
      <c r="THE2484" s="57"/>
      <c r="THF2484" s="61"/>
      <c r="THG2484" s="57"/>
      <c r="THH2484" s="57"/>
      <c r="THI2484" s="67"/>
      <c r="THJ2484" s="60"/>
      <c r="THK2484" s="60"/>
      <c r="THL2484" s="60"/>
      <c r="THM2484" s="57"/>
      <c r="THN2484" s="61"/>
      <c r="THO2484" s="57"/>
      <c r="THP2484" s="57"/>
      <c r="THQ2484" s="67"/>
      <c r="THR2484" s="60"/>
      <c r="THS2484" s="60"/>
      <c r="THT2484" s="60"/>
      <c r="THU2484" s="57"/>
      <c r="THV2484" s="61"/>
      <c r="THW2484" s="57"/>
      <c r="THX2484" s="57"/>
      <c r="THY2484" s="67"/>
      <c r="THZ2484" s="60"/>
      <c r="TIA2484" s="60"/>
      <c r="TIB2484" s="60"/>
      <c r="TIC2484" s="57"/>
      <c r="TID2484" s="61"/>
      <c r="TIE2484" s="57"/>
      <c r="TIF2484" s="57"/>
      <c r="TIG2484" s="67"/>
      <c r="TIH2484" s="60"/>
      <c r="TII2484" s="60"/>
      <c r="TIJ2484" s="60"/>
      <c r="TIK2484" s="57"/>
      <c r="TIL2484" s="61"/>
      <c r="TIM2484" s="57"/>
      <c r="TIN2484" s="57"/>
      <c r="TIO2484" s="67"/>
      <c r="TIP2484" s="60"/>
      <c r="TIQ2484" s="60"/>
      <c r="TIR2484" s="60"/>
      <c r="TIS2484" s="57"/>
      <c r="TIT2484" s="61"/>
      <c r="TIU2484" s="57"/>
      <c r="TIV2484" s="57"/>
      <c r="TIW2484" s="67"/>
      <c r="TIX2484" s="60"/>
      <c r="TIY2484" s="60"/>
      <c r="TIZ2484" s="60"/>
      <c r="TJA2484" s="57"/>
      <c r="TJB2484" s="61"/>
      <c r="TJC2484" s="57"/>
      <c r="TJD2484" s="57"/>
      <c r="TJE2484" s="67"/>
      <c r="TJF2484" s="60"/>
      <c r="TJG2484" s="60"/>
      <c r="TJH2484" s="60"/>
      <c r="TJI2484" s="57"/>
      <c r="TJJ2484" s="61"/>
      <c r="TJK2484" s="57"/>
      <c r="TJL2484" s="57"/>
      <c r="TJM2484" s="67"/>
      <c r="TJN2484" s="60"/>
      <c r="TJO2484" s="60"/>
      <c r="TJP2484" s="60"/>
      <c r="TJQ2484" s="57"/>
      <c r="TJR2484" s="61"/>
      <c r="TJS2484" s="57"/>
      <c r="TJT2484" s="57"/>
      <c r="TJU2484" s="67"/>
      <c r="TJV2484" s="60"/>
      <c r="TJW2484" s="60"/>
      <c r="TJX2484" s="60"/>
      <c r="TJY2484" s="57"/>
      <c r="TJZ2484" s="61"/>
      <c r="TKA2484" s="57"/>
      <c r="TKB2484" s="57"/>
      <c r="TKC2484" s="67"/>
      <c r="TKD2484" s="60"/>
      <c r="TKE2484" s="60"/>
      <c r="TKF2484" s="60"/>
      <c r="TKG2484" s="57"/>
      <c r="TKH2484" s="61"/>
      <c r="TKI2484" s="57"/>
      <c r="TKJ2484" s="57"/>
      <c r="TKK2484" s="67"/>
      <c r="TKL2484" s="60"/>
      <c r="TKM2484" s="60"/>
      <c r="TKN2484" s="60"/>
      <c r="TKO2484" s="57"/>
      <c r="TKP2484" s="61"/>
      <c r="TKQ2484" s="57"/>
      <c r="TKR2484" s="57"/>
      <c r="TKS2484" s="67"/>
      <c r="TKT2484" s="60"/>
      <c r="TKU2484" s="60"/>
      <c r="TKV2484" s="60"/>
      <c r="TKW2484" s="57"/>
      <c r="TKX2484" s="61"/>
      <c r="TKY2484" s="57"/>
      <c r="TKZ2484" s="57"/>
      <c r="TLA2484" s="67"/>
      <c r="TLB2484" s="60"/>
      <c r="TLC2484" s="60"/>
      <c r="TLD2484" s="60"/>
      <c r="TLE2484" s="57"/>
      <c r="TLF2484" s="61"/>
      <c r="TLG2484" s="57"/>
      <c r="TLH2484" s="57"/>
      <c r="TLI2484" s="67"/>
      <c r="TLJ2484" s="60"/>
      <c r="TLK2484" s="60"/>
      <c r="TLL2484" s="60"/>
      <c r="TLM2484" s="57"/>
      <c r="TLN2484" s="61"/>
      <c r="TLO2484" s="57"/>
      <c r="TLP2484" s="57"/>
      <c r="TLQ2484" s="67"/>
      <c r="TLR2484" s="60"/>
      <c r="TLS2484" s="60"/>
      <c r="TLT2484" s="60"/>
      <c r="TLU2484" s="57"/>
      <c r="TLV2484" s="61"/>
      <c r="TLW2484" s="57"/>
      <c r="TLX2484" s="57"/>
      <c r="TLY2484" s="67"/>
      <c r="TLZ2484" s="60"/>
      <c r="TMA2484" s="60"/>
      <c r="TMB2484" s="60"/>
      <c r="TMC2484" s="57"/>
      <c r="TMD2484" s="61"/>
      <c r="TME2484" s="57"/>
      <c r="TMF2484" s="57"/>
      <c r="TMG2484" s="67"/>
      <c r="TMH2484" s="60"/>
      <c r="TMI2484" s="60"/>
      <c r="TMJ2484" s="60"/>
      <c r="TMK2484" s="57"/>
      <c r="TML2484" s="61"/>
      <c r="TMM2484" s="57"/>
      <c r="TMN2484" s="57"/>
      <c r="TMO2484" s="67"/>
      <c r="TMP2484" s="60"/>
      <c r="TMQ2484" s="60"/>
      <c r="TMR2484" s="60"/>
      <c r="TMS2484" s="57"/>
      <c r="TMT2484" s="61"/>
      <c r="TMU2484" s="57"/>
      <c r="TMV2484" s="57"/>
      <c r="TMW2484" s="67"/>
      <c r="TMX2484" s="60"/>
      <c r="TMY2484" s="60"/>
      <c r="TMZ2484" s="60"/>
      <c r="TNA2484" s="57"/>
      <c r="TNB2484" s="61"/>
      <c r="TNC2484" s="57"/>
      <c r="TND2484" s="57"/>
      <c r="TNE2484" s="67"/>
      <c r="TNF2484" s="60"/>
      <c r="TNG2484" s="60"/>
      <c r="TNH2484" s="60"/>
      <c r="TNI2484" s="57"/>
      <c r="TNJ2484" s="61"/>
      <c r="TNK2484" s="57"/>
      <c r="TNL2484" s="57"/>
      <c r="TNM2484" s="67"/>
      <c r="TNN2484" s="60"/>
      <c r="TNO2484" s="60"/>
      <c r="TNP2484" s="60"/>
      <c r="TNQ2484" s="57"/>
      <c r="TNR2484" s="61"/>
      <c r="TNS2484" s="57"/>
      <c r="TNT2484" s="57"/>
      <c r="TNU2484" s="67"/>
      <c r="TNV2484" s="60"/>
      <c r="TNW2484" s="60"/>
      <c r="TNX2484" s="60"/>
      <c r="TNY2484" s="57"/>
      <c r="TNZ2484" s="61"/>
      <c r="TOA2484" s="57"/>
      <c r="TOB2484" s="57"/>
      <c r="TOC2484" s="67"/>
      <c r="TOD2484" s="60"/>
      <c r="TOE2484" s="60"/>
      <c r="TOF2484" s="60"/>
      <c r="TOG2484" s="57"/>
      <c r="TOH2484" s="61"/>
      <c r="TOI2484" s="57"/>
      <c r="TOJ2484" s="57"/>
      <c r="TOK2484" s="67"/>
      <c r="TOL2484" s="60"/>
      <c r="TOM2484" s="60"/>
      <c r="TON2484" s="60"/>
      <c r="TOO2484" s="57"/>
      <c r="TOP2484" s="61"/>
      <c r="TOQ2484" s="57"/>
      <c r="TOR2484" s="57"/>
      <c r="TOS2484" s="67"/>
      <c r="TOT2484" s="60"/>
      <c r="TOU2484" s="60"/>
      <c r="TOV2484" s="60"/>
      <c r="TOW2484" s="57"/>
      <c r="TOX2484" s="61"/>
      <c r="TOY2484" s="57"/>
      <c r="TOZ2484" s="57"/>
      <c r="TPA2484" s="67"/>
      <c r="TPB2484" s="60"/>
      <c r="TPC2484" s="60"/>
      <c r="TPD2484" s="60"/>
      <c r="TPE2484" s="57"/>
      <c r="TPF2484" s="61"/>
      <c r="TPG2484" s="57"/>
      <c r="TPH2484" s="57"/>
      <c r="TPI2484" s="67"/>
      <c r="TPJ2484" s="60"/>
      <c r="TPK2484" s="60"/>
      <c r="TPL2484" s="60"/>
      <c r="TPM2484" s="57"/>
      <c r="TPN2484" s="61"/>
      <c r="TPO2484" s="57"/>
      <c r="TPP2484" s="57"/>
      <c r="TPQ2484" s="67"/>
      <c r="TPR2484" s="60"/>
      <c r="TPS2484" s="60"/>
      <c r="TPT2484" s="60"/>
      <c r="TPU2484" s="57"/>
      <c r="TPV2484" s="61"/>
      <c r="TPW2484" s="57"/>
      <c r="TPX2484" s="57"/>
      <c r="TPY2484" s="67"/>
      <c r="TPZ2484" s="60"/>
      <c r="TQA2484" s="60"/>
      <c r="TQB2484" s="60"/>
      <c r="TQC2484" s="57"/>
      <c r="TQD2484" s="61"/>
      <c r="TQE2484" s="57"/>
      <c r="TQF2484" s="57"/>
      <c r="TQG2484" s="67"/>
      <c r="TQH2484" s="60"/>
      <c r="TQI2484" s="60"/>
      <c r="TQJ2484" s="60"/>
      <c r="TQK2484" s="57"/>
      <c r="TQL2484" s="61"/>
      <c r="TQM2484" s="57"/>
      <c r="TQN2484" s="57"/>
      <c r="TQO2484" s="67"/>
      <c r="TQP2484" s="60"/>
      <c r="TQQ2484" s="60"/>
      <c r="TQR2484" s="60"/>
      <c r="TQS2484" s="57"/>
      <c r="TQT2484" s="61"/>
      <c r="TQU2484" s="57"/>
      <c r="TQV2484" s="57"/>
      <c r="TQW2484" s="67"/>
      <c r="TQX2484" s="60"/>
      <c r="TQY2484" s="60"/>
      <c r="TQZ2484" s="60"/>
      <c r="TRA2484" s="57"/>
      <c r="TRB2484" s="61"/>
      <c r="TRC2484" s="57"/>
      <c r="TRD2484" s="57"/>
      <c r="TRE2484" s="67"/>
      <c r="TRF2484" s="60"/>
      <c r="TRG2484" s="60"/>
      <c r="TRH2484" s="60"/>
      <c r="TRI2484" s="57"/>
      <c r="TRJ2484" s="61"/>
      <c r="TRK2484" s="57"/>
      <c r="TRL2484" s="57"/>
      <c r="TRM2484" s="67"/>
      <c r="TRN2484" s="60"/>
      <c r="TRO2484" s="60"/>
      <c r="TRP2484" s="60"/>
      <c r="TRQ2484" s="57"/>
      <c r="TRR2484" s="61"/>
      <c r="TRS2484" s="57"/>
      <c r="TRT2484" s="57"/>
      <c r="TRU2484" s="67"/>
      <c r="TRV2484" s="60"/>
      <c r="TRW2484" s="60"/>
      <c r="TRX2484" s="60"/>
      <c r="TRY2484" s="57"/>
      <c r="TRZ2484" s="61"/>
      <c r="TSA2484" s="57"/>
      <c r="TSB2484" s="57"/>
      <c r="TSC2484" s="67"/>
      <c r="TSD2484" s="60"/>
      <c r="TSE2484" s="60"/>
      <c r="TSF2484" s="60"/>
      <c r="TSG2484" s="57"/>
      <c r="TSH2484" s="61"/>
      <c r="TSI2484" s="57"/>
      <c r="TSJ2484" s="57"/>
      <c r="TSK2484" s="67"/>
      <c r="TSL2484" s="60"/>
      <c r="TSM2484" s="60"/>
      <c r="TSN2484" s="60"/>
      <c r="TSO2484" s="57"/>
      <c r="TSP2484" s="61"/>
      <c r="TSQ2484" s="57"/>
      <c r="TSR2484" s="57"/>
      <c r="TSS2484" s="67"/>
      <c r="TST2484" s="60"/>
      <c r="TSU2484" s="60"/>
      <c r="TSV2484" s="60"/>
      <c r="TSW2484" s="57"/>
      <c r="TSX2484" s="61"/>
      <c r="TSY2484" s="57"/>
      <c r="TSZ2484" s="57"/>
      <c r="TTA2484" s="67"/>
      <c r="TTB2484" s="60"/>
      <c r="TTC2484" s="60"/>
      <c r="TTD2484" s="60"/>
      <c r="TTE2484" s="57"/>
      <c r="TTF2484" s="61"/>
      <c r="TTG2484" s="57"/>
      <c r="TTH2484" s="57"/>
      <c r="TTI2484" s="67"/>
      <c r="TTJ2484" s="60"/>
      <c r="TTK2484" s="60"/>
      <c r="TTL2484" s="60"/>
      <c r="TTM2484" s="57"/>
      <c r="TTN2484" s="61"/>
      <c r="TTO2484" s="57"/>
      <c r="TTP2484" s="57"/>
      <c r="TTQ2484" s="67"/>
      <c r="TTR2484" s="60"/>
      <c r="TTS2484" s="60"/>
      <c r="TTT2484" s="60"/>
      <c r="TTU2484" s="57"/>
      <c r="TTV2484" s="61"/>
      <c r="TTW2484" s="57"/>
      <c r="TTX2484" s="57"/>
      <c r="TTY2484" s="67"/>
      <c r="TTZ2484" s="60"/>
      <c r="TUA2484" s="60"/>
      <c r="TUB2484" s="60"/>
      <c r="TUC2484" s="57"/>
      <c r="TUD2484" s="61"/>
      <c r="TUE2484" s="57"/>
      <c r="TUF2484" s="57"/>
      <c r="TUG2484" s="67"/>
      <c r="TUH2484" s="60"/>
      <c r="TUI2484" s="60"/>
      <c r="TUJ2484" s="60"/>
      <c r="TUK2484" s="57"/>
      <c r="TUL2484" s="61"/>
      <c r="TUM2484" s="57"/>
      <c r="TUN2484" s="57"/>
      <c r="TUO2484" s="67"/>
      <c r="TUP2484" s="60"/>
      <c r="TUQ2484" s="60"/>
      <c r="TUR2484" s="60"/>
      <c r="TUS2484" s="57"/>
      <c r="TUT2484" s="61"/>
      <c r="TUU2484" s="57"/>
      <c r="TUV2484" s="57"/>
      <c r="TUW2484" s="67"/>
      <c r="TUX2484" s="60"/>
      <c r="TUY2484" s="60"/>
      <c r="TUZ2484" s="60"/>
      <c r="TVA2484" s="57"/>
      <c r="TVB2484" s="61"/>
      <c r="TVC2484" s="57"/>
      <c r="TVD2484" s="57"/>
      <c r="TVE2484" s="67"/>
      <c r="TVF2484" s="60"/>
      <c r="TVG2484" s="60"/>
      <c r="TVH2484" s="60"/>
      <c r="TVI2484" s="57"/>
      <c r="TVJ2484" s="61"/>
      <c r="TVK2484" s="57"/>
      <c r="TVL2484" s="57"/>
      <c r="TVM2484" s="67"/>
      <c r="TVN2484" s="60"/>
      <c r="TVO2484" s="60"/>
      <c r="TVP2484" s="60"/>
      <c r="TVQ2484" s="57"/>
      <c r="TVR2484" s="61"/>
      <c r="TVS2484" s="57"/>
      <c r="TVT2484" s="57"/>
      <c r="TVU2484" s="67"/>
      <c r="TVV2484" s="60"/>
      <c r="TVW2484" s="60"/>
      <c r="TVX2484" s="60"/>
      <c r="TVY2484" s="57"/>
      <c r="TVZ2484" s="61"/>
      <c r="TWA2484" s="57"/>
      <c r="TWB2484" s="57"/>
      <c r="TWC2484" s="67"/>
      <c r="TWD2484" s="60"/>
      <c r="TWE2484" s="60"/>
      <c r="TWF2484" s="60"/>
      <c r="TWG2484" s="57"/>
      <c r="TWH2484" s="61"/>
      <c r="TWI2484" s="57"/>
      <c r="TWJ2484" s="57"/>
      <c r="TWK2484" s="67"/>
      <c r="TWL2484" s="60"/>
      <c r="TWM2484" s="60"/>
      <c r="TWN2484" s="60"/>
      <c r="TWO2484" s="57"/>
      <c r="TWP2484" s="61"/>
      <c r="TWQ2484" s="57"/>
      <c r="TWR2484" s="57"/>
      <c r="TWS2484" s="67"/>
      <c r="TWT2484" s="60"/>
      <c r="TWU2484" s="60"/>
      <c r="TWV2484" s="60"/>
      <c r="TWW2484" s="57"/>
      <c r="TWX2484" s="61"/>
      <c r="TWY2484" s="57"/>
      <c r="TWZ2484" s="57"/>
      <c r="TXA2484" s="67"/>
      <c r="TXB2484" s="60"/>
      <c r="TXC2484" s="60"/>
      <c r="TXD2484" s="60"/>
      <c r="TXE2484" s="57"/>
      <c r="TXF2484" s="61"/>
      <c r="TXG2484" s="57"/>
      <c r="TXH2484" s="57"/>
      <c r="TXI2484" s="67"/>
      <c r="TXJ2484" s="60"/>
      <c r="TXK2484" s="60"/>
      <c r="TXL2484" s="60"/>
      <c r="TXM2484" s="57"/>
      <c r="TXN2484" s="61"/>
      <c r="TXO2484" s="57"/>
      <c r="TXP2484" s="57"/>
      <c r="TXQ2484" s="67"/>
      <c r="TXR2484" s="60"/>
      <c r="TXS2484" s="60"/>
      <c r="TXT2484" s="60"/>
      <c r="TXU2484" s="57"/>
      <c r="TXV2484" s="61"/>
      <c r="TXW2484" s="57"/>
      <c r="TXX2484" s="57"/>
      <c r="TXY2484" s="67"/>
      <c r="TXZ2484" s="60"/>
      <c r="TYA2484" s="60"/>
      <c r="TYB2484" s="60"/>
      <c r="TYC2484" s="57"/>
      <c r="TYD2484" s="61"/>
      <c r="TYE2484" s="57"/>
      <c r="TYF2484" s="57"/>
      <c r="TYG2484" s="67"/>
      <c r="TYH2484" s="60"/>
      <c r="TYI2484" s="60"/>
      <c r="TYJ2484" s="60"/>
      <c r="TYK2484" s="57"/>
      <c r="TYL2484" s="61"/>
      <c r="TYM2484" s="57"/>
      <c r="TYN2484" s="57"/>
      <c r="TYO2484" s="67"/>
      <c r="TYP2484" s="60"/>
      <c r="TYQ2484" s="60"/>
      <c r="TYR2484" s="60"/>
      <c r="TYS2484" s="57"/>
      <c r="TYT2484" s="61"/>
      <c r="TYU2484" s="57"/>
      <c r="TYV2484" s="57"/>
      <c r="TYW2484" s="67"/>
      <c r="TYX2484" s="60"/>
      <c r="TYY2484" s="60"/>
      <c r="TYZ2484" s="60"/>
      <c r="TZA2484" s="57"/>
      <c r="TZB2484" s="61"/>
      <c r="TZC2484" s="57"/>
      <c r="TZD2484" s="57"/>
      <c r="TZE2484" s="67"/>
      <c r="TZF2484" s="60"/>
      <c r="TZG2484" s="60"/>
      <c r="TZH2484" s="60"/>
      <c r="TZI2484" s="57"/>
      <c r="TZJ2484" s="61"/>
      <c r="TZK2484" s="57"/>
      <c r="TZL2484" s="57"/>
      <c r="TZM2484" s="67"/>
      <c r="TZN2484" s="60"/>
      <c r="TZO2484" s="60"/>
      <c r="TZP2484" s="60"/>
      <c r="TZQ2484" s="57"/>
      <c r="TZR2484" s="61"/>
      <c r="TZS2484" s="57"/>
      <c r="TZT2484" s="57"/>
      <c r="TZU2484" s="67"/>
      <c r="TZV2484" s="60"/>
      <c r="TZW2484" s="60"/>
      <c r="TZX2484" s="60"/>
      <c r="TZY2484" s="57"/>
      <c r="TZZ2484" s="61"/>
      <c r="UAA2484" s="57"/>
      <c r="UAB2484" s="57"/>
      <c r="UAC2484" s="67"/>
      <c r="UAD2484" s="60"/>
      <c r="UAE2484" s="60"/>
      <c r="UAF2484" s="60"/>
      <c r="UAG2484" s="57"/>
      <c r="UAH2484" s="61"/>
      <c r="UAI2484" s="57"/>
      <c r="UAJ2484" s="57"/>
      <c r="UAK2484" s="67"/>
      <c r="UAL2484" s="60"/>
      <c r="UAM2484" s="60"/>
      <c r="UAN2484" s="60"/>
      <c r="UAO2484" s="57"/>
      <c r="UAP2484" s="61"/>
      <c r="UAQ2484" s="57"/>
      <c r="UAR2484" s="57"/>
      <c r="UAS2484" s="67"/>
      <c r="UAT2484" s="60"/>
      <c r="UAU2484" s="60"/>
      <c r="UAV2484" s="60"/>
      <c r="UAW2484" s="57"/>
      <c r="UAX2484" s="61"/>
      <c r="UAY2484" s="57"/>
      <c r="UAZ2484" s="57"/>
      <c r="UBA2484" s="67"/>
      <c r="UBB2484" s="60"/>
      <c r="UBC2484" s="60"/>
      <c r="UBD2484" s="60"/>
      <c r="UBE2484" s="57"/>
      <c r="UBF2484" s="61"/>
      <c r="UBG2484" s="57"/>
      <c r="UBH2484" s="57"/>
      <c r="UBI2484" s="67"/>
      <c r="UBJ2484" s="60"/>
      <c r="UBK2484" s="60"/>
      <c r="UBL2484" s="60"/>
      <c r="UBM2484" s="57"/>
      <c r="UBN2484" s="61"/>
      <c r="UBO2484" s="57"/>
      <c r="UBP2484" s="57"/>
      <c r="UBQ2484" s="67"/>
      <c r="UBR2484" s="60"/>
      <c r="UBS2484" s="60"/>
      <c r="UBT2484" s="60"/>
      <c r="UBU2484" s="57"/>
      <c r="UBV2484" s="61"/>
      <c r="UBW2484" s="57"/>
      <c r="UBX2484" s="57"/>
      <c r="UBY2484" s="67"/>
      <c r="UBZ2484" s="60"/>
      <c r="UCA2484" s="60"/>
      <c r="UCB2484" s="60"/>
      <c r="UCC2484" s="57"/>
      <c r="UCD2484" s="61"/>
      <c r="UCE2484" s="57"/>
      <c r="UCF2484" s="57"/>
      <c r="UCG2484" s="67"/>
      <c r="UCH2484" s="60"/>
      <c r="UCI2484" s="60"/>
      <c r="UCJ2484" s="60"/>
      <c r="UCK2484" s="57"/>
      <c r="UCL2484" s="61"/>
      <c r="UCM2484" s="57"/>
      <c r="UCN2484" s="57"/>
      <c r="UCO2484" s="67"/>
      <c r="UCP2484" s="60"/>
      <c r="UCQ2484" s="60"/>
      <c r="UCR2484" s="60"/>
      <c r="UCS2484" s="57"/>
      <c r="UCT2484" s="61"/>
      <c r="UCU2484" s="57"/>
      <c r="UCV2484" s="57"/>
      <c r="UCW2484" s="67"/>
      <c r="UCX2484" s="60"/>
      <c r="UCY2484" s="60"/>
      <c r="UCZ2484" s="60"/>
      <c r="UDA2484" s="57"/>
      <c r="UDB2484" s="61"/>
      <c r="UDC2484" s="57"/>
      <c r="UDD2484" s="57"/>
      <c r="UDE2484" s="67"/>
      <c r="UDF2484" s="60"/>
      <c r="UDG2484" s="60"/>
      <c r="UDH2484" s="60"/>
      <c r="UDI2484" s="57"/>
      <c r="UDJ2484" s="61"/>
      <c r="UDK2484" s="57"/>
      <c r="UDL2484" s="57"/>
      <c r="UDM2484" s="67"/>
      <c r="UDN2484" s="60"/>
      <c r="UDO2484" s="60"/>
      <c r="UDP2484" s="60"/>
      <c r="UDQ2484" s="57"/>
      <c r="UDR2484" s="61"/>
      <c r="UDS2484" s="57"/>
      <c r="UDT2484" s="57"/>
      <c r="UDU2484" s="67"/>
      <c r="UDV2484" s="60"/>
      <c r="UDW2484" s="60"/>
      <c r="UDX2484" s="60"/>
      <c r="UDY2484" s="57"/>
      <c r="UDZ2484" s="61"/>
      <c r="UEA2484" s="57"/>
      <c r="UEB2484" s="57"/>
      <c r="UEC2484" s="67"/>
      <c r="UED2484" s="60"/>
      <c r="UEE2484" s="60"/>
      <c r="UEF2484" s="60"/>
      <c r="UEG2484" s="57"/>
      <c r="UEH2484" s="61"/>
      <c r="UEI2484" s="57"/>
      <c r="UEJ2484" s="57"/>
      <c r="UEK2484" s="67"/>
      <c r="UEL2484" s="60"/>
      <c r="UEM2484" s="60"/>
      <c r="UEN2484" s="60"/>
      <c r="UEO2484" s="57"/>
      <c r="UEP2484" s="61"/>
      <c r="UEQ2484" s="57"/>
      <c r="UER2484" s="57"/>
      <c r="UES2484" s="67"/>
      <c r="UET2484" s="60"/>
      <c r="UEU2484" s="60"/>
      <c r="UEV2484" s="60"/>
      <c r="UEW2484" s="57"/>
      <c r="UEX2484" s="61"/>
      <c r="UEY2484" s="57"/>
      <c r="UEZ2484" s="57"/>
      <c r="UFA2484" s="67"/>
      <c r="UFB2484" s="60"/>
      <c r="UFC2484" s="60"/>
      <c r="UFD2484" s="60"/>
      <c r="UFE2484" s="57"/>
      <c r="UFF2484" s="61"/>
      <c r="UFG2484" s="57"/>
      <c r="UFH2484" s="57"/>
      <c r="UFI2484" s="67"/>
      <c r="UFJ2484" s="60"/>
      <c r="UFK2484" s="60"/>
      <c r="UFL2484" s="60"/>
      <c r="UFM2484" s="57"/>
      <c r="UFN2484" s="61"/>
      <c r="UFO2484" s="57"/>
      <c r="UFP2484" s="57"/>
      <c r="UFQ2484" s="67"/>
      <c r="UFR2484" s="60"/>
      <c r="UFS2484" s="60"/>
      <c r="UFT2484" s="60"/>
      <c r="UFU2484" s="57"/>
      <c r="UFV2484" s="61"/>
      <c r="UFW2484" s="57"/>
      <c r="UFX2484" s="57"/>
      <c r="UFY2484" s="67"/>
      <c r="UFZ2484" s="60"/>
      <c r="UGA2484" s="60"/>
      <c r="UGB2484" s="60"/>
      <c r="UGC2484" s="57"/>
      <c r="UGD2484" s="61"/>
      <c r="UGE2484" s="57"/>
      <c r="UGF2484" s="57"/>
      <c r="UGG2484" s="67"/>
      <c r="UGH2484" s="60"/>
      <c r="UGI2484" s="60"/>
      <c r="UGJ2484" s="60"/>
      <c r="UGK2484" s="57"/>
      <c r="UGL2484" s="61"/>
      <c r="UGM2484" s="57"/>
      <c r="UGN2484" s="57"/>
      <c r="UGO2484" s="67"/>
      <c r="UGP2484" s="60"/>
      <c r="UGQ2484" s="60"/>
      <c r="UGR2484" s="60"/>
      <c r="UGS2484" s="57"/>
      <c r="UGT2484" s="61"/>
      <c r="UGU2484" s="57"/>
      <c r="UGV2484" s="57"/>
      <c r="UGW2484" s="67"/>
      <c r="UGX2484" s="60"/>
      <c r="UGY2484" s="60"/>
      <c r="UGZ2484" s="60"/>
      <c r="UHA2484" s="57"/>
      <c r="UHB2484" s="61"/>
      <c r="UHC2484" s="57"/>
      <c r="UHD2484" s="57"/>
      <c r="UHE2484" s="67"/>
      <c r="UHF2484" s="60"/>
      <c r="UHG2484" s="60"/>
      <c r="UHH2484" s="60"/>
      <c r="UHI2484" s="57"/>
      <c r="UHJ2484" s="61"/>
      <c r="UHK2484" s="57"/>
      <c r="UHL2484" s="57"/>
      <c r="UHM2484" s="67"/>
      <c r="UHN2484" s="60"/>
      <c r="UHO2484" s="60"/>
      <c r="UHP2484" s="60"/>
      <c r="UHQ2484" s="57"/>
      <c r="UHR2484" s="61"/>
      <c r="UHS2484" s="57"/>
      <c r="UHT2484" s="57"/>
      <c r="UHU2484" s="67"/>
      <c r="UHV2484" s="60"/>
      <c r="UHW2484" s="60"/>
      <c r="UHX2484" s="60"/>
      <c r="UHY2484" s="57"/>
      <c r="UHZ2484" s="61"/>
      <c r="UIA2484" s="57"/>
      <c r="UIB2484" s="57"/>
      <c r="UIC2484" s="67"/>
      <c r="UID2484" s="60"/>
      <c r="UIE2484" s="60"/>
      <c r="UIF2484" s="60"/>
      <c r="UIG2484" s="57"/>
      <c r="UIH2484" s="61"/>
      <c r="UII2484" s="57"/>
      <c r="UIJ2484" s="57"/>
      <c r="UIK2484" s="67"/>
      <c r="UIL2484" s="60"/>
      <c r="UIM2484" s="60"/>
      <c r="UIN2484" s="60"/>
      <c r="UIO2484" s="57"/>
      <c r="UIP2484" s="61"/>
      <c r="UIQ2484" s="57"/>
      <c r="UIR2484" s="57"/>
      <c r="UIS2484" s="67"/>
      <c r="UIT2484" s="60"/>
      <c r="UIU2484" s="60"/>
      <c r="UIV2484" s="60"/>
      <c r="UIW2484" s="57"/>
      <c r="UIX2484" s="61"/>
      <c r="UIY2484" s="57"/>
      <c r="UIZ2484" s="57"/>
      <c r="UJA2484" s="67"/>
      <c r="UJB2484" s="60"/>
      <c r="UJC2484" s="60"/>
      <c r="UJD2484" s="60"/>
      <c r="UJE2484" s="57"/>
      <c r="UJF2484" s="61"/>
      <c r="UJG2484" s="57"/>
      <c r="UJH2484" s="57"/>
      <c r="UJI2484" s="67"/>
      <c r="UJJ2484" s="60"/>
      <c r="UJK2484" s="60"/>
      <c r="UJL2484" s="60"/>
      <c r="UJM2484" s="57"/>
      <c r="UJN2484" s="61"/>
      <c r="UJO2484" s="57"/>
      <c r="UJP2484" s="57"/>
      <c r="UJQ2484" s="67"/>
      <c r="UJR2484" s="60"/>
      <c r="UJS2484" s="60"/>
      <c r="UJT2484" s="60"/>
      <c r="UJU2484" s="57"/>
      <c r="UJV2484" s="61"/>
      <c r="UJW2484" s="57"/>
      <c r="UJX2484" s="57"/>
      <c r="UJY2484" s="67"/>
      <c r="UJZ2484" s="60"/>
      <c r="UKA2484" s="60"/>
      <c r="UKB2484" s="60"/>
      <c r="UKC2484" s="57"/>
      <c r="UKD2484" s="61"/>
      <c r="UKE2484" s="57"/>
      <c r="UKF2484" s="57"/>
      <c r="UKG2484" s="67"/>
      <c r="UKH2484" s="60"/>
      <c r="UKI2484" s="60"/>
      <c r="UKJ2484" s="60"/>
      <c r="UKK2484" s="57"/>
      <c r="UKL2484" s="61"/>
      <c r="UKM2484" s="57"/>
      <c r="UKN2484" s="57"/>
      <c r="UKO2484" s="67"/>
      <c r="UKP2484" s="60"/>
      <c r="UKQ2484" s="60"/>
      <c r="UKR2484" s="60"/>
      <c r="UKS2484" s="57"/>
      <c r="UKT2484" s="61"/>
      <c r="UKU2484" s="57"/>
      <c r="UKV2484" s="57"/>
      <c r="UKW2484" s="67"/>
      <c r="UKX2484" s="60"/>
      <c r="UKY2484" s="60"/>
      <c r="UKZ2484" s="60"/>
      <c r="ULA2484" s="57"/>
      <c r="ULB2484" s="61"/>
      <c r="ULC2484" s="57"/>
      <c r="ULD2484" s="57"/>
      <c r="ULE2484" s="67"/>
      <c r="ULF2484" s="60"/>
      <c r="ULG2484" s="60"/>
      <c r="ULH2484" s="60"/>
      <c r="ULI2484" s="57"/>
      <c r="ULJ2484" s="61"/>
      <c r="ULK2484" s="57"/>
      <c r="ULL2484" s="57"/>
      <c r="ULM2484" s="67"/>
      <c r="ULN2484" s="60"/>
      <c r="ULO2484" s="60"/>
      <c r="ULP2484" s="60"/>
      <c r="ULQ2484" s="57"/>
      <c r="ULR2484" s="61"/>
      <c r="ULS2484" s="57"/>
      <c r="ULT2484" s="57"/>
      <c r="ULU2484" s="67"/>
      <c r="ULV2484" s="60"/>
      <c r="ULW2484" s="60"/>
      <c r="ULX2484" s="60"/>
      <c r="ULY2484" s="57"/>
      <c r="ULZ2484" s="61"/>
      <c r="UMA2484" s="57"/>
      <c r="UMB2484" s="57"/>
      <c r="UMC2484" s="67"/>
      <c r="UMD2484" s="60"/>
      <c r="UME2484" s="60"/>
      <c r="UMF2484" s="60"/>
      <c r="UMG2484" s="57"/>
      <c r="UMH2484" s="61"/>
      <c r="UMI2484" s="57"/>
      <c r="UMJ2484" s="57"/>
      <c r="UMK2484" s="67"/>
      <c r="UML2484" s="60"/>
      <c r="UMM2484" s="60"/>
      <c r="UMN2484" s="60"/>
      <c r="UMO2484" s="57"/>
      <c r="UMP2484" s="61"/>
      <c r="UMQ2484" s="57"/>
      <c r="UMR2484" s="57"/>
      <c r="UMS2484" s="67"/>
      <c r="UMT2484" s="60"/>
      <c r="UMU2484" s="60"/>
      <c r="UMV2484" s="60"/>
      <c r="UMW2484" s="57"/>
      <c r="UMX2484" s="61"/>
      <c r="UMY2484" s="57"/>
      <c r="UMZ2484" s="57"/>
      <c r="UNA2484" s="67"/>
      <c r="UNB2484" s="60"/>
      <c r="UNC2484" s="60"/>
      <c r="UND2484" s="60"/>
      <c r="UNE2484" s="57"/>
      <c r="UNF2484" s="61"/>
      <c r="UNG2484" s="57"/>
      <c r="UNH2484" s="57"/>
      <c r="UNI2484" s="67"/>
      <c r="UNJ2484" s="60"/>
      <c r="UNK2484" s="60"/>
      <c r="UNL2484" s="60"/>
      <c r="UNM2484" s="57"/>
      <c r="UNN2484" s="61"/>
      <c r="UNO2484" s="57"/>
      <c r="UNP2484" s="57"/>
      <c r="UNQ2484" s="67"/>
      <c r="UNR2484" s="60"/>
      <c r="UNS2484" s="60"/>
      <c r="UNT2484" s="60"/>
      <c r="UNU2484" s="57"/>
      <c r="UNV2484" s="61"/>
      <c r="UNW2484" s="57"/>
      <c r="UNX2484" s="57"/>
      <c r="UNY2484" s="67"/>
      <c r="UNZ2484" s="60"/>
      <c r="UOA2484" s="60"/>
      <c r="UOB2484" s="60"/>
      <c r="UOC2484" s="57"/>
      <c r="UOD2484" s="61"/>
      <c r="UOE2484" s="57"/>
      <c r="UOF2484" s="57"/>
      <c r="UOG2484" s="67"/>
      <c r="UOH2484" s="60"/>
      <c r="UOI2484" s="60"/>
      <c r="UOJ2484" s="60"/>
      <c r="UOK2484" s="57"/>
      <c r="UOL2484" s="61"/>
      <c r="UOM2484" s="57"/>
      <c r="UON2484" s="57"/>
      <c r="UOO2484" s="67"/>
      <c r="UOP2484" s="60"/>
      <c r="UOQ2484" s="60"/>
      <c r="UOR2484" s="60"/>
      <c r="UOS2484" s="57"/>
      <c r="UOT2484" s="61"/>
      <c r="UOU2484" s="57"/>
      <c r="UOV2484" s="57"/>
      <c r="UOW2484" s="67"/>
      <c r="UOX2484" s="60"/>
      <c r="UOY2484" s="60"/>
      <c r="UOZ2484" s="60"/>
      <c r="UPA2484" s="57"/>
      <c r="UPB2484" s="61"/>
      <c r="UPC2484" s="57"/>
      <c r="UPD2484" s="57"/>
      <c r="UPE2484" s="67"/>
      <c r="UPF2484" s="60"/>
      <c r="UPG2484" s="60"/>
      <c r="UPH2484" s="60"/>
      <c r="UPI2484" s="57"/>
      <c r="UPJ2484" s="61"/>
      <c r="UPK2484" s="57"/>
      <c r="UPL2484" s="57"/>
      <c r="UPM2484" s="67"/>
      <c r="UPN2484" s="60"/>
      <c r="UPO2484" s="60"/>
      <c r="UPP2484" s="60"/>
      <c r="UPQ2484" s="57"/>
      <c r="UPR2484" s="61"/>
      <c r="UPS2484" s="57"/>
      <c r="UPT2484" s="57"/>
      <c r="UPU2484" s="67"/>
      <c r="UPV2484" s="60"/>
      <c r="UPW2484" s="60"/>
      <c r="UPX2484" s="60"/>
      <c r="UPY2484" s="57"/>
      <c r="UPZ2484" s="61"/>
      <c r="UQA2484" s="57"/>
      <c r="UQB2484" s="57"/>
      <c r="UQC2484" s="67"/>
      <c r="UQD2484" s="60"/>
      <c r="UQE2484" s="60"/>
      <c r="UQF2484" s="60"/>
      <c r="UQG2484" s="57"/>
      <c r="UQH2484" s="61"/>
      <c r="UQI2484" s="57"/>
      <c r="UQJ2484" s="57"/>
      <c r="UQK2484" s="67"/>
      <c r="UQL2484" s="60"/>
      <c r="UQM2484" s="60"/>
      <c r="UQN2484" s="60"/>
      <c r="UQO2484" s="57"/>
      <c r="UQP2484" s="61"/>
      <c r="UQQ2484" s="57"/>
      <c r="UQR2484" s="57"/>
      <c r="UQS2484" s="67"/>
      <c r="UQT2484" s="60"/>
      <c r="UQU2484" s="60"/>
      <c r="UQV2484" s="60"/>
      <c r="UQW2484" s="57"/>
      <c r="UQX2484" s="61"/>
      <c r="UQY2484" s="57"/>
      <c r="UQZ2484" s="57"/>
      <c r="URA2484" s="67"/>
      <c r="URB2484" s="60"/>
      <c r="URC2484" s="60"/>
      <c r="URD2484" s="60"/>
      <c r="URE2484" s="57"/>
      <c r="URF2484" s="61"/>
      <c r="URG2484" s="57"/>
      <c r="URH2484" s="57"/>
      <c r="URI2484" s="67"/>
      <c r="URJ2484" s="60"/>
      <c r="URK2484" s="60"/>
      <c r="URL2484" s="60"/>
      <c r="URM2484" s="57"/>
      <c r="URN2484" s="61"/>
      <c r="URO2484" s="57"/>
      <c r="URP2484" s="57"/>
      <c r="URQ2484" s="67"/>
      <c r="URR2484" s="60"/>
      <c r="URS2484" s="60"/>
      <c r="URT2484" s="60"/>
      <c r="URU2484" s="57"/>
      <c r="URV2484" s="61"/>
      <c r="URW2484" s="57"/>
      <c r="URX2484" s="57"/>
      <c r="URY2484" s="67"/>
      <c r="URZ2484" s="60"/>
      <c r="USA2484" s="60"/>
      <c r="USB2484" s="60"/>
      <c r="USC2484" s="57"/>
      <c r="USD2484" s="61"/>
      <c r="USE2484" s="57"/>
      <c r="USF2484" s="57"/>
      <c r="USG2484" s="67"/>
      <c r="USH2484" s="60"/>
      <c r="USI2484" s="60"/>
      <c r="USJ2484" s="60"/>
      <c r="USK2484" s="57"/>
      <c r="USL2484" s="61"/>
      <c r="USM2484" s="57"/>
      <c r="USN2484" s="57"/>
      <c r="USO2484" s="67"/>
      <c r="USP2484" s="60"/>
      <c r="USQ2484" s="60"/>
      <c r="USR2484" s="60"/>
      <c r="USS2484" s="57"/>
      <c r="UST2484" s="61"/>
      <c r="USU2484" s="57"/>
      <c r="USV2484" s="57"/>
      <c r="USW2484" s="67"/>
      <c r="USX2484" s="60"/>
      <c r="USY2484" s="60"/>
      <c r="USZ2484" s="60"/>
      <c r="UTA2484" s="57"/>
      <c r="UTB2484" s="61"/>
      <c r="UTC2484" s="57"/>
      <c r="UTD2484" s="57"/>
      <c r="UTE2484" s="67"/>
      <c r="UTF2484" s="60"/>
      <c r="UTG2484" s="60"/>
      <c r="UTH2484" s="60"/>
      <c r="UTI2484" s="57"/>
      <c r="UTJ2484" s="61"/>
      <c r="UTK2484" s="57"/>
      <c r="UTL2484" s="57"/>
      <c r="UTM2484" s="67"/>
      <c r="UTN2484" s="60"/>
      <c r="UTO2484" s="60"/>
      <c r="UTP2484" s="60"/>
      <c r="UTQ2484" s="57"/>
      <c r="UTR2484" s="61"/>
      <c r="UTS2484" s="57"/>
      <c r="UTT2484" s="57"/>
      <c r="UTU2484" s="67"/>
      <c r="UTV2484" s="60"/>
      <c r="UTW2484" s="60"/>
      <c r="UTX2484" s="60"/>
      <c r="UTY2484" s="57"/>
      <c r="UTZ2484" s="61"/>
      <c r="UUA2484" s="57"/>
      <c r="UUB2484" s="57"/>
      <c r="UUC2484" s="67"/>
      <c r="UUD2484" s="60"/>
      <c r="UUE2484" s="60"/>
      <c r="UUF2484" s="60"/>
      <c r="UUG2484" s="57"/>
      <c r="UUH2484" s="61"/>
      <c r="UUI2484" s="57"/>
      <c r="UUJ2484" s="57"/>
      <c r="UUK2484" s="67"/>
      <c r="UUL2484" s="60"/>
      <c r="UUM2484" s="60"/>
      <c r="UUN2484" s="60"/>
      <c r="UUO2484" s="57"/>
      <c r="UUP2484" s="61"/>
      <c r="UUQ2484" s="57"/>
      <c r="UUR2484" s="57"/>
      <c r="UUS2484" s="67"/>
      <c r="UUT2484" s="60"/>
      <c r="UUU2484" s="60"/>
      <c r="UUV2484" s="60"/>
      <c r="UUW2484" s="57"/>
      <c r="UUX2484" s="61"/>
      <c r="UUY2484" s="57"/>
      <c r="UUZ2484" s="57"/>
      <c r="UVA2484" s="67"/>
      <c r="UVB2484" s="60"/>
      <c r="UVC2484" s="60"/>
      <c r="UVD2484" s="60"/>
      <c r="UVE2484" s="57"/>
      <c r="UVF2484" s="61"/>
      <c r="UVG2484" s="57"/>
      <c r="UVH2484" s="57"/>
      <c r="UVI2484" s="67"/>
      <c r="UVJ2484" s="60"/>
      <c r="UVK2484" s="60"/>
      <c r="UVL2484" s="60"/>
      <c r="UVM2484" s="57"/>
      <c r="UVN2484" s="61"/>
      <c r="UVO2484" s="57"/>
      <c r="UVP2484" s="57"/>
      <c r="UVQ2484" s="67"/>
      <c r="UVR2484" s="60"/>
      <c r="UVS2484" s="60"/>
      <c r="UVT2484" s="60"/>
      <c r="UVU2484" s="57"/>
      <c r="UVV2484" s="61"/>
      <c r="UVW2484" s="57"/>
      <c r="UVX2484" s="57"/>
      <c r="UVY2484" s="67"/>
      <c r="UVZ2484" s="60"/>
      <c r="UWA2484" s="60"/>
      <c r="UWB2484" s="60"/>
      <c r="UWC2484" s="57"/>
      <c r="UWD2484" s="61"/>
      <c r="UWE2484" s="57"/>
      <c r="UWF2484" s="57"/>
      <c r="UWG2484" s="67"/>
      <c r="UWH2484" s="60"/>
      <c r="UWI2484" s="60"/>
      <c r="UWJ2484" s="60"/>
      <c r="UWK2484" s="57"/>
      <c r="UWL2484" s="61"/>
      <c r="UWM2484" s="57"/>
      <c r="UWN2484" s="57"/>
      <c r="UWO2484" s="67"/>
      <c r="UWP2484" s="60"/>
      <c r="UWQ2484" s="60"/>
      <c r="UWR2484" s="60"/>
      <c r="UWS2484" s="57"/>
      <c r="UWT2484" s="61"/>
      <c r="UWU2484" s="57"/>
      <c r="UWV2484" s="57"/>
      <c r="UWW2484" s="67"/>
      <c r="UWX2484" s="60"/>
      <c r="UWY2484" s="60"/>
      <c r="UWZ2484" s="60"/>
      <c r="UXA2484" s="57"/>
      <c r="UXB2484" s="61"/>
      <c r="UXC2484" s="57"/>
      <c r="UXD2484" s="57"/>
      <c r="UXE2484" s="67"/>
      <c r="UXF2484" s="60"/>
      <c r="UXG2484" s="60"/>
      <c r="UXH2484" s="60"/>
      <c r="UXI2484" s="57"/>
      <c r="UXJ2484" s="61"/>
      <c r="UXK2484" s="57"/>
      <c r="UXL2484" s="57"/>
      <c r="UXM2484" s="67"/>
      <c r="UXN2484" s="60"/>
      <c r="UXO2484" s="60"/>
      <c r="UXP2484" s="60"/>
      <c r="UXQ2484" s="57"/>
      <c r="UXR2484" s="61"/>
      <c r="UXS2484" s="57"/>
      <c r="UXT2484" s="57"/>
      <c r="UXU2484" s="67"/>
      <c r="UXV2484" s="60"/>
      <c r="UXW2484" s="60"/>
      <c r="UXX2484" s="60"/>
      <c r="UXY2484" s="57"/>
      <c r="UXZ2484" s="61"/>
      <c r="UYA2484" s="57"/>
      <c r="UYB2484" s="57"/>
      <c r="UYC2484" s="67"/>
      <c r="UYD2484" s="60"/>
      <c r="UYE2484" s="60"/>
      <c r="UYF2484" s="60"/>
      <c r="UYG2484" s="57"/>
      <c r="UYH2484" s="61"/>
      <c r="UYI2484" s="57"/>
      <c r="UYJ2484" s="57"/>
      <c r="UYK2484" s="67"/>
      <c r="UYL2484" s="60"/>
      <c r="UYM2484" s="60"/>
      <c r="UYN2484" s="60"/>
      <c r="UYO2484" s="57"/>
      <c r="UYP2484" s="61"/>
      <c r="UYQ2484" s="57"/>
      <c r="UYR2484" s="57"/>
      <c r="UYS2484" s="67"/>
      <c r="UYT2484" s="60"/>
      <c r="UYU2484" s="60"/>
      <c r="UYV2484" s="60"/>
      <c r="UYW2484" s="57"/>
      <c r="UYX2484" s="61"/>
      <c r="UYY2484" s="57"/>
      <c r="UYZ2484" s="57"/>
      <c r="UZA2484" s="67"/>
      <c r="UZB2484" s="60"/>
      <c r="UZC2484" s="60"/>
      <c r="UZD2484" s="60"/>
      <c r="UZE2484" s="57"/>
      <c r="UZF2484" s="61"/>
      <c r="UZG2484" s="57"/>
      <c r="UZH2484" s="57"/>
      <c r="UZI2484" s="67"/>
      <c r="UZJ2484" s="60"/>
      <c r="UZK2484" s="60"/>
      <c r="UZL2484" s="60"/>
      <c r="UZM2484" s="57"/>
      <c r="UZN2484" s="61"/>
      <c r="UZO2484" s="57"/>
      <c r="UZP2484" s="57"/>
      <c r="UZQ2484" s="67"/>
      <c r="UZR2484" s="60"/>
      <c r="UZS2484" s="60"/>
      <c r="UZT2484" s="60"/>
      <c r="UZU2484" s="57"/>
      <c r="UZV2484" s="61"/>
      <c r="UZW2484" s="57"/>
      <c r="UZX2484" s="57"/>
      <c r="UZY2484" s="67"/>
      <c r="UZZ2484" s="60"/>
      <c r="VAA2484" s="60"/>
      <c r="VAB2484" s="60"/>
      <c r="VAC2484" s="57"/>
      <c r="VAD2484" s="61"/>
      <c r="VAE2484" s="57"/>
      <c r="VAF2484" s="57"/>
      <c r="VAG2484" s="67"/>
      <c r="VAH2484" s="60"/>
      <c r="VAI2484" s="60"/>
      <c r="VAJ2484" s="60"/>
      <c r="VAK2484" s="57"/>
      <c r="VAL2484" s="61"/>
      <c r="VAM2484" s="57"/>
      <c r="VAN2484" s="57"/>
      <c r="VAO2484" s="67"/>
      <c r="VAP2484" s="60"/>
      <c r="VAQ2484" s="60"/>
      <c r="VAR2484" s="60"/>
      <c r="VAS2484" s="57"/>
      <c r="VAT2484" s="61"/>
      <c r="VAU2484" s="57"/>
      <c r="VAV2484" s="57"/>
      <c r="VAW2484" s="67"/>
      <c r="VAX2484" s="60"/>
      <c r="VAY2484" s="60"/>
      <c r="VAZ2484" s="60"/>
      <c r="VBA2484" s="57"/>
      <c r="VBB2484" s="61"/>
      <c r="VBC2484" s="57"/>
      <c r="VBD2484" s="57"/>
      <c r="VBE2484" s="67"/>
      <c r="VBF2484" s="60"/>
      <c r="VBG2484" s="60"/>
      <c r="VBH2484" s="60"/>
      <c r="VBI2484" s="57"/>
      <c r="VBJ2484" s="61"/>
      <c r="VBK2484" s="57"/>
      <c r="VBL2484" s="57"/>
      <c r="VBM2484" s="67"/>
      <c r="VBN2484" s="60"/>
      <c r="VBO2484" s="60"/>
      <c r="VBP2484" s="60"/>
      <c r="VBQ2484" s="57"/>
      <c r="VBR2484" s="61"/>
      <c r="VBS2484" s="57"/>
      <c r="VBT2484" s="57"/>
      <c r="VBU2484" s="67"/>
      <c r="VBV2484" s="60"/>
      <c r="VBW2484" s="60"/>
      <c r="VBX2484" s="60"/>
      <c r="VBY2484" s="57"/>
      <c r="VBZ2484" s="61"/>
      <c r="VCA2484" s="57"/>
      <c r="VCB2484" s="57"/>
      <c r="VCC2484" s="67"/>
      <c r="VCD2484" s="60"/>
      <c r="VCE2484" s="60"/>
      <c r="VCF2484" s="60"/>
      <c r="VCG2484" s="57"/>
      <c r="VCH2484" s="61"/>
      <c r="VCI2484" s="57"/>
      <c r="VCJ2484" s="57"/>
      <c r="VCK2484" s="67"/>
      <c r="VCL2484" s="60"/>
      <c r="VCM2484" s="60"/>
      <c r="VCN2484" s="60"/>
      <c r="VCO2484" s="57"/>
      <c r="VCP2484" s="61"/>
      <c r="VCQ2484" s="57"/>
      <c r="VCR2484" s="57"/>
      <c r="VCS2484" s="67"/>
      <c r="VCT2484" s="60"/>
      <c r="VCU2484" s="60"/>
      <c r="VCV2484" s="60"/>
      <c r="VCW2484" s="57"/>
      <c r="VCX2484" s="61"/>
      <c r="VCY2484" s="57"/>
      <c r="VCZ2484" s="57"/>
      <c r="VDA2484" s="67"/>
      <c r="VDB2484" s="60"/>
      <c r="VDC2484" s="60"/>
      <c r="VDD2484" s="60"/>
      <c r="VDE2484" s="57"/>
      <c r="VDF2484" s="61"/>
      <c r="VDG2484" s="57"/>
      <c r="VDH2484" s="57"/>
      <c r="VDI2484" s="67"/>
      <c r="VDJ2484" s="60"/>
      <c r="VDK2484" s="60"/>
      <c r="VDL2484" s="60"/>
      <c r="VDM2484" s="57"/>
      <c r="VDN2484" s="61"/>
      <c r="VDO2484" s="57"/>
      <c r="VDP2484" s="57"/>
      <c r="VDQ2484" s="67"/>
      <c r="VDR2484" s="60"/>
      <c r="VDS2484" s="60"/>
      <c r="VDT2484" s="60"/>
      <c r="VDU2484" s="57"/>
      <c r="VDV2484" s="61"/>
      <c r="VDW2484" s="57"/>
      <c r="VDX2484" s="57"/>
      <c r="VDY2484" s="67"/>
      <c r="VDZ2484" s="60"/>
      <c r="VEA2484" s="60"/>
      <c r="VEB2484" s="60"/>
      <c r="VEC2484" s="57"/>
      <c r="VED2484" s="61"/>
      <c r="VEE2484" s="57"/>
      <c r="VEF2484" s="57"/>
      <c r="VEG2484" s="67"/>
      <c r="VEH2484" s="60"/>
      <c r="VEI2484" s="60"/>
      <c r="VEJ2484" s="60"/>
      <c r="VEK2484" s="57"/>
      <c r="VEL2484" s="61"/>
      <c r="VEM2484" s="57"/>
      <c r="VEN2484" s="57"/>
      <c r="VEO2484" s="67"/>
      <c r="VEP2484" s="60"/>
      <c r="VEQ2484" s="60"/>
      <c r="VER2484" s="60"/>
      <c r="VES2484" s="57"/>
      <c r="VET2484" s="61"/>
      <c r="VEU2484" s="57"/>
      <c r="VEV2484" s="57"/>
      <c r="VEW2484" s="67"/>
      <c r="VEX2484" s="60"/>
      <c r="VEY2484" s="60"/>
      <c r="VEZ2484" s="60"/>
      <c r="VFA2484" s="57"/>
      <c r="VFB2484" s="61"/>
      <c r="VFC2484" s="57"/>
      <c r="VFD2484" s="57"/>
      <c r="VFE2484" s="67"/>
      <c r="VFF2484" s="60"/>
      <c r="VFG2484" s="60"/>
      <c r="VFH2484" s="60"/>
      <c r="VFI2484" s="57"/>
      <c r="VFJ2484" s="61"/>
      <c r="VFK2484" s="57"/>
      <c r="VFL2484" s="57"/>
      <c r="VFM2484" s="67"/>
      <c r="VFN2484" s="60"/>
      <c r="VFO2484" s="60"/>
      <c r="VFP2484" s="60"/>
      <c r="VFQ2484" s="57"/>
      <c r="VFR2484" s="61"/>
      <c r="VFS2484" s="57"/>
      <c r="VFT2484" s="57"/>
      <c r="VFU2484" s="67"/>
      <c r="VFV2484" s="60"/>
      <c r="VFW2484" s="60"/>
      <c r="VFX2484" s="60"/>
      <c r="VFY2484" s="57"/>
      <c r="VFZ2484" s="61"/>
      <c r="VGA2484" s="57"/>
      <c r="VGB2484" s="57"/>
      <c r="VGC2484" s="67"/>
      <c r="VGD2484" s="60"/>
      <c r="VGE2484" s="60"/>
      <c r="VGF2484" s="60"/>
      <c r="VGG2484" s="57"/>
      <c r="VGH2484" s="61"/>
      <c r="VGI2484" s="57"/>
      <c r="VGJ2484" s="57"/>
      <c r="VGK2484" s="67"/>
      <c r="VGL2484" s="60"/>
      <c r="VGM2484" s="60"/>
      <c r="VGN2484" s="60"/>
      <c r="VGO2484" s="57"/>
      <c r="VGP2484" s="61"/>
      <c r="VGQ2484" s="57"/>
      <c r="VGR2484" s="57"/>
      <c r="VGS2484" s="67"/>
      <c r="VGT2484" s="60"/>
      <c r="VGU2484" s="60"/>
      <c r="VGV2484" s="60"/>
      <c r="VGW2484" s="57"/>
      <c r="VGX2484" s="61"/>
      <c r="VGY2484" s="57"/>
      <c r="VGZ2484" s="57"/>
      <c r="VHA2484" s="67"/>
      <c r="VHB2484" s="60"/>
      <c r="VHC2484" s="60"/>
      <c r="VHD2484" s="60"/>
      <c r="VHE2484" s="57"/>
      <c r="VHF2484" s="61"/>
      <c r="VHG2484" s="57"/>
      <c r="VHH2484" s="57"/>
      <c r="VHI2484" s="67"/>
      <c r="VHJ2484" s="60"/>
      <c r="VHK2484" s="60"/>
      <c r="VHL2484" s="60"/>
      <c r="VHM2484" s="57"/>
      <c r="VHN2484" s="61"/>
      <c r="VHO2484" s="57"/>
      <c r="VHP2484" s="57"/>
      <c r="VHQ2484" s="67"/>
      <c r="VHR2484" s="60"/>
      <c r="VHS2484" s="60"/>
      <c r="VHT2484" s="60"/>
      <c r="VHU2484" s="57"/>
      <c r="VHV2484" s="61"/>
      <c r="VHW2484" s="57"/>
      <c r="VHX2484" s="57"/>
      <c r="VHY2484" s="67"/>
      <c r="VHZ2484" s="60"/>
      <c r="VIA2484" s="60"/>
      <c r="VIB2484" s="60"/>
      <c r="VIC2484" s="57"/>
      <c r="VID2484" s="61"/>
      <c r="VIE2484" s="57"/>
      <c r="VIF2484" s="57"/>
      <c r="VIG2484" s="67"/>
      <c r="VIH2484" s="60"/>
      <c r="VII2484" s="60"/>
      <c r="VIJ2484" s="60"/>
      <c r="VIK2484" s="57"/>
      <c r="VIL2484" s="61"/>
      <c r="VIM2484" s="57"/>
      <c r="VIN2484" s="57"/>
      <c r="VIO2484" s="67"/>
      <c r="VIP2484" s="60"/>
      <c r="VIQ2484" s="60"/>
      <c r="VIR2484" s="60"/>
      <c r="VIS2484" s="57"/>
      <c r="VIT2484" s="61"/>
      <c r="VIU2484" s="57"/>
      <c r="VIV2484" s="57"/>
      <c r="VIW2484" s="67"/>
      <c r="VIX2484" s="60"/>
      <c r="VIY2484" s="60"/>
      <c r="VIZ2484" s="60"/>
      <c r="VJA2484" s="57"/>
      <c r="VJB2484" s="61"/>
      <c r="VJC2484" s="57"/>
      <c r="VJD2484" s="57"/>
      <c r="VJE2484" s="67"/>
      <c r="VJF2484" s="60"/>
      <c r="VJG2484" s="60"/>
      <c r="VJH2484" s="60"/>
      <c r="VJI2484" s="57"/>
      <c r="VJJ2484" s="61"/>
      <c r="VJK2484" s="57"/>
      <c r="VJL2484" s="57"/>
      <c r="VJM2484" s="67"/>
      <c r="VJN2484" s="60"/>
      <c r="VJO2484" s="60"/>
      <c r="VJP2484" s="60"/>
      <c r="VJQ2484" s="57"/>
      <c r="VJR2484" s="61"/>
      <c r="VJS2484" s="57"/>
      <c r="VJT2484" s="57"/>
      <c r="VJU2484" s="67"/>
      <c r="VJV2484" s="60"/>
      <c r="VJW2484" s="60"/>
      <c r="VJX2484" s="60"/>
      <c r="VJY2484" s="57"/>
      <c r="VJZ2484" s="61"/>
      <c r="VKA2484" s="57"/>
      <c r="VKB2484" s="57"/>
      <c r="VKC2484" s="67"/>
      <c r="VKD2484" s="60"/>
      <c r="VKE2484" s="60"/>
      <c r="VKF2484" s="60"/>
      <c r="VKG2484" s="57"/>
      <c r="VKH2484" s="61"/>
      <c r="VKI2484" s="57"/>
      <c r="VKJ2484" s="57"/>
      <c r="VKK2484" s="67"/>
      <c r="VKL2484" s="60"/>
      <c r="VKM2484" s="60"/>
      <c r="VKN2484" s="60"/>
      <c r="VKO2484" s="57"/>
      <c r="VKP2484" s="61"/>
      <c r="VKQ2484" s="57"/>
      <c r="VKR2484" s="57"/>
      <c r="VKS2484" s="67"/>
      <c r="VKT2484" s="60"/>
      <c r="VKU2484" s="60"/>
      <c r="VKV2484" s="60"/>
      <c r="VKW2484" s="57"/>
      <c r="VKX2484" s="61"/>
      <c r="VKY2484" s="57"/>
      <c r="VKZ2484" s="57"/>
      <c r="VLA2484" s="67"/>
      <c r="VLB2484" s="60"/>
      <c r="VLC2484" s="60"/>
      <c r="VLD2484" s="60"/>
      <c r="VLE2484" s="57"/>
      <c r="VLF2484" s="61"/>
      <c r="VLG2484" s="57"/>
      <c r="VLH2484" s="57"/>
      <c r="VLI2484" s="67"/>
      <c r="VLJ2484" s="60"/>
      <c r="VLK2484" s="60"/>
      <c r="VLL2484" s="60"/>
      <c r="VLM2484" s="57"/>
      <c r="VLN2484" s="61"/>
      <c r="VLO2484" s="57"/>
      <c r="VLP2484" s="57"/>
      <c r="VLQ2484" s="67"/>
      <c r="VLR2484" s="60"/>
      <c r="VLS2484" s="60"/>
      <c r="VLT2484" s="60"/>
      <c r="VLU2484" s="57"/>
      <c r="VLV2484" s="61"/>
      <c r="VLW2484" s="57"/>
      <c r="VLX2484" s="57"/>
      <c r="VLY2484" s="67"/>
      <c r="VLZ2484" s="60"/>
      <c r="VMA2484" s="60"/>
      <c r="VMB2484" s="60"/>
      <c r="VMC2484" s="57"/>
      <c r="VMD2484" s="61"/>
      <c r="VME2484" s="57"/>
      <c r="VMF2484" s="57"/>
      <c r="VMG2484" s="67"/>
      <c r="VMH2484" s="60"/>
      <c r="VMI2484" s="60"/>
      <c r="VMJ2484" s="60"/>
      <c r="VMK2484" s="57"/>
      <c r="VML2484" s="61"/>
      <c r="VMM2484" s="57"/>
      <c r="VMN2484" s="57"/>
      <c r="VMO2484" s="67"/>
      <c r="VMP2484" s="60"/>
      <c r="VMQ2484" s="60"/>
      <c r="VMR2484" s="60"/>
      <c r="VMS2484" s="57"/>
      <c r="VMT2484" s="61"/>
      <c r="VMU2484" s="57"/>
      <c r="VMV2484" s="57"/>
      <c r="VMW2484" s="67"/>
      <c r="VMX2484" s="60"/>
      <c r="VMY2484" s="60"/>
      <c r="VMZ2484" s="60"/>
      <c r="VNA2484" s="57"/>
      <c r="VNB2484" s="61"/>
      <c r="VNC2484" s="57"/>
      <c r="VND2484" s="57"/>
      <c r="VNE2484" s="67"/>
      <c r="VNF2484" s="60"/>
      <c r="VNG2484" s="60"/>
      <c r="VNH2484" s="60"/>
      <c r="VNI2484" s="57"/>
      <c r="VNJ2484" s="61"/>
      <c r="VNK2484" s="57"/>
      <c r="VNL2484" s="57"/>
      <c r="VNM2484" s="67"/>
      <c r="VNN2484" s="60"/>
      <c r="VNO2484" s="60"/>
      <c r="VNP2484" s="60"/>
      <c r="VNQ2484" s="57"/>
      <c r="VNR2484" s="61"/>
      <c r="VNS2484" s="57"/>
      <c r="VNT2484" s="57"/>
      <c r="VNU2484" s="67"/>
      <c r="VNV2484" s="60"/>
      <c r="VNW2484" s="60"/>
      <c r="VNX2484" s="60"/>
      <c r="VNY2484" s="57"/>
      <c r="VNZ2484" s="61"/>
      <c r="VOA2484" s="57"/>
      <c r="VOB2484" s="57"/>
      <c r="VOC2484" s="67"/>
      <c r="VOD2484" s="60"/>
      <c r="VOE2484" s="60"/>
      <c r="VOF2484" s="60"/>
      <c r="VOG2484" s="57"/>
      <c r="VOH2484" s="61"/>
      <c r="VOI2484" s="57"/>
      <c r="VOJ2484" s="57"/>
      <c r="VOK2484" s="67"/>
      <c r="VOL2484" s="60"/>
      <c r="VOM2484" s="60"/>
      <c r="VON2484" s="60"/>
      <c r="VOO2484" s="57"/>
      <c r="VOP2484" s="61"/>
      <c r="VOQ2484" s="57"/>
      <c r="VOR2484" s="57"/>
      <c r="VOS2484" s="67"/>
      <c r="VOT2484" s="60"/>
      <c r="VOU2484" s="60"/>
      <c r="VOV2484" s="60"/>
      <c r="VOW2484" s="57"/>
      <c r="VOX2484" s="61"/>
      <c r="VOY2484" s="57"/>
      <c r="VOZ2484" s="57"/>
      <c r="VPA2484" s="67"/>
      <c r="VPB2484" s="60"/>
      <c r="VPC2484" s="60"/>
      <c r="VPD2484" s="60"/>
      <c r="VPE2484" s="57"/>
      <c r="VPF2484" s="61"/>
      <c r="VPG2484" s="57"/>
      <c r="VPH2484" s="57"/>
      <c r="VPI2484" s="67"/>
      <c r="VPJ2484" s="60"/>
      <c r="VPK2484" s="60"/>
      <c r="VPL2484" s="60"/>
      <c r="VPM2484" s="57"/>
      <c r="VPN2484" s="61"/>
      <c r="VPO2484" s="57"/>
      <c r="VPP2484" s="57"/>
      <c r="VPQ2484" s="67"/>
      <c r="VPR2484" s="60"/>
      <c r="VPS2484" s="60"/>
      <c r="VPT2484" s="60"/>
      <c r="VPU2484" s="57"/>
      <c r="VPV2484" s="61"/>
      <c r="VPW2484" s="57"/>
      <c r="VPX2484" s="57"/>
      <c r="VPY2484" s="67"/>
      <c r="VPZ2484" s="60"/>
      <c r="VQA2484" s="60"/>
      <c r="VQB2484" s="60"/>
      <c r="VQC2484" s="57"/>
      <c r="VQD2484" s="61"/>
      <c r="VQE2484" s="57"/>
      <c r="VQF2484" s="57"/>
      <c r="VQG2484" s="67"/>
      <c r="VQH2484" s="60"/>
      <c r="VQI2484" s="60"/>
      <c r="VQJ2484" s="60"/>
      <c r="VQK2484" s="57"/>
      <c r="VQL2484" s="61"/>
      <c r="VQM2484" s="57"/>
      <c r="VQN2484" s="57"/>
      <c r="VQO2484" s="67"/>
      <c r="VQP2484" s="60"/>
      <c r="VQQ2484" s="60"/>
      <c r="VQR2484" s="60"/>
      <c r="VQS2484" s="57"/>
      <c r="VQT2484" s="61"/>
      <c r="VQU2484" s="57"/>
      <c r="VQV2484" s="57"/>
      <c r="VQW2484" s="67"/>
      <c r="VQX2484" s="60"/>
      <c r="VQY2484" s="60"/>
      <c r="VQZ2484" s="60"/>
      <c r="VRA2484" s="57"/>
      <c r="VRB2484" s="61"/>
      <c r="VRC2484" s="57"/>
      <c r="VRD2484" s="57"/>
      <c r="VRE2484" s="67"/>
      <c r="VRF2484" s="60"/>
      <c r="VRG2484" s="60"/>
      <c r="VRH2484" s="60"/>
      <c r="VRI2484" s="57"/>
      <c r="VRJ2484" s="61"/>
      <c r="VRK2484" s="57"/>
      <c r="VRL2484" s="57"/>
      <c r="VRM2484" s="67"/>
      <c r="VRN2484" s="60"/>
      <c r="VRO2484" s="60"/>
      <c r="VRP2484" s="60"/>
      <c r="VRQ2484" s="57"/>
      <c r="VRR2484" s="61"/>
      <c r="VRS2484" s="57"/>
      <c r="VRT2484" s="57"/>
      <c r="VRU2484" s="67"/>
      <c r="VRV2484" s="60"/>
      <c r="VRW2484" s="60"/>
      <c r="VRX2484" s="60"/>
      <c r="VRY2484" s="57"/>
      <c r="VRZ2484" s="61"/>
      <c r="VSA2484" s="57"/>
      <c r="VSB2484" s="57"/>
      <c r="VSC2484" s="67"/>
      <c r="VSD2484" s="60"/>
      <c r="VSE2484" s="60"/>
      <c r="VSF2484" s="60"/>
      <c r="VSG2484" s="57"/>
      <c r="VSH2484" s="61"/>
      <c r="VSI2484" s="57"/>
      <c r="VSJ2484" s="57"/>
      <c r="VSK2484" s="67"/>
      <c r="VSL2484" s="60"/>
      <c r="VSM2484" s="60"/>
      <c r="VSN2484" s="60"/>
      <c r="VSO2484" s="57"/>
      <c r="VSP2484" s="61"/>
      <c r="VSQ2484" s="57"/>
      <c r="VSR2484" s="57"/>
      <c r="VSS2484" s="67"/>
      <c r="VST2484" s="60"/>
      <c r="VSU2484" s="60"/>
      <c r="VSV2484" s="60"/>
      <c r="VSW2484" s="57"/>
      <c r="VSX2484" s="61"/>
      <c r="VSY2484" s="57"/>
      <c r="VSZ2484" s="57"/>
      <c r="VTA2484" s="67"/>
      <c r="VTB2484" s="60"/>
      <c r="VTC2484" s="60"/>
      <c r="VTD2484" s="60"/>
      <c r="VTE2484" s="57"/>
      <c r="VTF2484" s="61"/>
      <c r="VTG2484" s="57"/>
      <c r="VTH2484" s="57"/>
      <c r="VTI2484" s="67"/>
      <c r="VTJ2484" s="60"/>
      <c r="VTK2484" s="60"/>
      <c r="VTL2484" s="60"/>
      <c r="VTM2484" s="57"/>
      <c r="VTN2484" s="61"/>
      <c r="VTO2484" s="57"/>
      <c r="VTP2484" s="57"/>
      <c r="VTQ2484" s="67"/>
      <c r="VTR2484" s="60"/>
      <c r="VTS2484" s="60"/>
      <c r="VTT2484" s="60"/>
      <c r="VTU2484" s="57"/>
      <c r="VTV2484" s="61"/>
      <c r="VTW2484" s="57"/>
      <c r="VTX2484" s="57"/>
      <c r="VTY2484" s="67"/>
      <c r="VTZ2484" s="60"/>
      <c r="VUA2484" s="60"/>
      <c r="VUB2484" s="60"/>
      <c r="VUC2484" s="57"/>
      <c r="VUD2484" s="61"/>
      <c r="VUE2484" s="57"/>
      <c r="VUF2484" s="57"/>
      <c r="VUG2484" s="67"/>
      <c r="VUH2484" s="60"/>
      <c r="VUI2484" s="60"/>
      <c r="VUJ2484" s="60"/>
      <c r="VUK2484" s="57"/>
      <c r="VUL2484" s="61"/>
      <c r="VUM2484" s="57"/>
      <c r="VUN2484" s="57"/>
      <c r="VUO2484" s="67"/>
      <c r="VUP2484" s="60"/>
      <c r="VUQ2484" s="60"/>
      <c r="VUR2484" s="60"/>
      <c r="VUS2484" s="57"/>
      <c r="VUT2484" s="61"/>
      <c r="VUU2484" s="57"/>
      <c r="VUV2484" s="57"/>
      <c r="VUW2484" s="67"/>
      <c r="VUX2484" s="60"/>
      <c r="VUY2484" s="60"/>
      <c r="VUZ2484" s="60"/>
      <c r="VVA2484" s="57"/>
      <c r="VVB2484" s="61"/>
      <c r="VVC2484" s="57"/>
      <c r="VVD2484" s="57"/>
      <c r="VVE2484" s="67"/>
      <c r="VVF2484" s="60"/>
      <c r="VVG2484" s="60"/>
      <c r="VVH2484" s="60"/>
      <c r="VVI2484" s="57"/>
      <c r="VVJ2484" s="61"/>
      <c r="VVK2484" s="57"/>
      <c r="VVL2484" s="57"/>
      <c r="VVM2484" s="67"/>
      <c r="VVN2484" s="60"/>
      <c r="VVO2484" s="60"/>
      <c r="VVP2484" s="60"/>
      <c r="VVQ2484" s="57"/>
      <c r="VVR2484" s="61"/>
      <c r="VVS2484" s="57"/>
      <c r="VVT2484" s="57"/>
      <c r="VVU2484" s="67"/>
      <c r="VVV2484" s="60"/>
      <c r="VVW2484" s="60"/>
      <c r="VVX2484" s="60"/>
      <c r="VVY2484" s="57"/>
      <c r="VVZ2484" s="61"/>
      <c r="VWA2484" s="57"/>
      <c r="VWB2484" s="57"/>
      <c r="VWC2484" s="67"/>
      <c r="VWD2484" s="60"/>
      <c r="VWE2484" s="60"/>
      <c r="VWF2484" s="60"/>
      <c r="VWG2484" s="57"/>
      <c r="VWH2484" s="61"/>
      <c r="VWI2484" s="57"/>
      <c r="VWJ2484" s="57"/>
      <c r="VWK2484" s="67"/>
      <c r="VWL2484" s="60"/>
      <c r="VWM2484" s="60"/>
      <c r="VWN2484" s="60"/>
      <c r="VWO2484" s="57"/>
      <c r="VWP2484" s="61"/>
      <c r="VWQ2484" s="57"/>
      <c r="VWR2484" s="57"/>
      <c r="VWS2484" s="67"/>
      <c r="VWT2484" s="60"/>
      <c r="VWU2484" s="60"/>
      <c r="VWV2484" s="60"/>
      <c r="VWW2484" s="57"/>
      <c r="VWX2484" s="61"/>
      <c r="VWY2484" s="57"/>
      <c r="VWZ2484" s="57"/>
      <c r="VXA2484" s="67"/>
      <c r="VXB2484" s="60"/>
      <c r="VXC2484" s="60"/>
      <c r="VXD2484" s="60"/>
      <c r="VXE2484" s="57"/>
      <c r="VXF2484" s="61"/>
      <c r="VXG2484" s="57"/>
      <c r="VXH2484" s="57"/>
      <c r="VXI2484" s="67"/>
      <c r="VXJ2484" s="60"/>
      <c r="VXK2484" s="60"/>
      <c r="VXL2484" s="60"/>
      <c r="VXM2484" s="57"/>
      <c r="VXN2484" s="61"/>
      <c r="VXO2484" s="57"/>
      <c r="VXP2484" s="57"/>
      <c r="VXQ2484" s="67"/>
      <c r="VXR2484" s="60"/>
      <c r="VXS2484" s="60"/>
      <c r="VXT2484" s="60"/>
      <c r="VXU2484" s="57"/>
      <c r="VXV2484" s="61"/>
      <c r="VXW2484" s="57"/>
      <c r="VXX2484" s="57"/>
      <c r="VXY2484" s="67"/>
      <c r="VXZ2484" s="60"/>
      <c r="VYA2484" s="60"/>
      <c r="VYB2484" s="60"/>
      <c r="VYC2484" s="57"/>
      <c r="VYD2484" s="61"/>
      <c r="VYE2484" s="57"/>
      <c r="VYF2484" s="57"/>
      <c r="VYG2484" s="67"/>
      <c r="VYH2484" s="60"/>
      <c r="VYI2484" s="60"/>
      <c r="VYJ2484" s="60"/>
      <c r="VYK2484" s="57"/>
      <c r="VYL2484" s="61"/>
      <c r="VYM2484" s="57"/>
      <c r="VYN2484" s="57"/>
      <c r="VYO2484" s="67"/>
      <c r="VYP2484" s="60"/>
      <c r="VYQ2484" s="60"/>
      <c r="VYR2484" s="60"/>
      <c r="VYS2484" s="57"/>
      <c r="VYT2484" s="61"/>
      <c r="VYU2484" s="57"/>
      <c r="VYV2484" s="57"/>
      <c r="VYW2484" s="67"/>
      <c r="VYX2484" s="60"/>
      <c r="VYY2484" s="60"/>
      <c r="VYZ2484" s="60"/>
      <c r="VZA2484" s="57"/>
      <c r="VZB2484" s="61"/>
      <c r="VZC2484" s="57"/>
      <c r="VZD2484" s="57"/>
      <c r="VZE2484" s="67"/>
      <c r="VZF2484" s="60"/>
      <c r="VZG2484" s="60"/>
      <c r="VZH2484" s="60"/>
      <c r="VZI2484" s="57"/>
      <c r="VZJ2484" s="61"/>
      <c r="VZK2484" s="57"/>
      <c r="VZL2484" s="57"/>
      <c r="VZM2484" s="67"/>
      <c r="VZN2484" s="60"/>
      <c r="VZO2484" s="60"/>
      <c r="VZP2484" s="60"/>
      <c r="VZQ2484" s="57"/>
      <c r="VZR2484" s="61"/>
      <c r="VZS2484" s="57"/>
      <c r="VZT2484" s="57"/>
      <c r="VZU2484" s="67"/>
      <c r="VZV2484" s="60"/>
      <c r="VZW2484" s="60"/>
      <c r="VZX2484" s="60"/>
      <c r="VZY2484" s="57"/>
      <c r="VZZ2484" s="61"/>
      <c r="WAA2484" s="57"/>
      <c r="WAB2484" s="57"/>
      <c r="WAC2484" s="67"/>
      <c r="WAD2484" s="60"/>
      <c r="WAE2484" s="60"/>
      <c r="WAF2484" s="60"/>
      <c r="WAG2484" s="57"/>
      <c r="WAH2484" s="61"/>
      <c r="WAI2484" s="57"/>
      <c r="WAJ2484" s="57"/>
      <c r="WAK2484" s="67"/>
      <c r="WAL2484" s="60"/>
      <c r="WAM2484" s="60"/>
      <c r="WAN2484" s="60"/>
      <c r="WAO2484" s="57"/>
      <c r="WAP2484" s="61"/>
      <c r="WAQ2484" s="57"/>
      <c r="WAR2484" s="57"/>
      <c r="WAS2484" s="67"/>
      <c r="WAT2484" s="60"/>
      <c r="WAU2484" s="60"/>
      <c r="WAV2484" s="60"/>
      <c r="WAW2484" s="57"/>
      <c r="WAX2484" s="61"/>
      <c r="WAY2484" s="57"/>
      <c r="WAZ2484" s="57"/>
      <c r="WBA2484" s="67"/>
      <c r="WBB2484" s="60"/>
      <c r="WBC2484" s="60"/>
      <c r="WBD2484" s="60"/>
      <c r="WBE2484" s="57"/>
      <c r="WBF2484" s="61"/>
      <c r="WBG2484" s="57"/>
      <c r="WBH2484" s="57"/>
      <c r="WBI2484" s="67"/>
      <c r="WBJ2484" s="60"/>
      <c r="WBK2484" s="60"/>
      <c r="WBL2484" s="60"/>
      <c r="WBM2484" s="57"/>
      <c r="WBN2484" s="61"/>
      <c r="WBO2484" s="57"/>
      <c r="WBP2484" s="57"/>
      <c r="WBQ2484" s="67"/>
      <c r="WBR2484" s="60"/>
      <c r="WBS2484" s="60"/>
      <c r="WBT2484" s="60"/>
      <c r="WBU2484" s="57"/>
      <c r="WBV2484" s="61"/>
      <c r="WBW2484" s="57"/>
      <c r="WBX2484" s="57"/>
      <c r="WBY2484" s="67"/>
      <c r="WBZ2484" s="60"/>
      <c r="WCA2484" s="60"/>
      <c r="WCB2484" s="60"/>
      <c r="WCC2484" s="57"/>
      <c r="WCD2484" s="61"/>
      <c r="WCE2484" s="57"/>
      <c r="WCF2484" s="57"/>
      <c r="WCG2484" s="67"/>
      <c r="WCH2484" s="60"/>
      <c r="WCI2484" s="60"/>
      <c r="WCJ2484" s="60"/>
      <c r="WCK2484" s="57"/>
      <c r="WCL2484" s="61"/>
      <c r="WCM2484" s="57"/>
      <c r="WCN2484" s="57"/>
      <c r="WCO2484" s="67"/>
      <c r="WCP2484" s="60"/>
      <c r="WCQ2484" s="60"/>
      <c r="WCR2484" s="60"/>
      <c r="WCS2484" s="57"/>
      <c r="WCT2484" s="61"/>
      <c r="WCU2484" s="57"/>
      <c r="WCV2484" s="57"/>
      <c r="WCW2484" s="67"/>
      <c r="WCX2484" s="60"/>
      <c r="WCY2484" s="60"/>
      <c r="WCZ2484" s="60"/>
      <c r="WDA2484" s="57"/>
      <c r="WDB2484" s="61"/>
      <c r="WDC2484" s="57"/>
      <c r="WDD2484" s="57"/>
      <c r="WDE2484" s="67"/>
      <c r="WDF2484" s="60"/>
      <c r="WDG2484" s="60"/>
      <c r="WDH2484" s="60"/>
      <c r="WDI2484" s="57"/>
      <c r="WDJ2484" s="61"/>
      <c r="WDK2484" s="57"/>
      <c r="WDL2484" s="57"/>
      <c r="WDM2484" s="67"/>
      <c r="WDN2484" s="60"/>
      <c r="WDO2484" s="60"/>
      <c r="WDP2484" s="60"/>
      <c r="WDQ2484" s="57"/>
      <c r="WDR2484" s="61"/>
      <c r="WDS2484" s="57"/>
      <c r="WDT2484" s="57"/>
      <c r="WDU2484" s="67"/>
      <c r="WDV2484" s="60"/>
      <c r="WDW2484" s="60"/>
      <c r="WDX2484" s="60"/>
      <c r="WDY2484" s="57"/>
      <c r="WDZ2484" s="61"/>
      <c r="WEA2484" s="57"/>
      <c r="WEB2484" s="57"/>
      <c r="WEC2484" s="67"/>
      <c r="WED2484" s="60"/>
      <c r="WEE2484" s="60"/>
      <c r="WEF2484" s="60"/>
      <c r="WEG2484" s="57"/>
      <c r="WEH2484" s="61"/>
      <c r="WEI2484" s="57"/>
      <c r="WEJ2484" s="57"/>
      <c r="WEK2484" s="67"/>
      <c r="WEL2484" s="60"/>
      <c r="WEM2484" s="60"/>
      <c r="WEN2484" s="60"/>
      <c r="WEO2484" s="57"/>
      <c r="WEP2484" s="61"/>
      <c r="WEQ2484" s="57"/>
      <c r="WER2484" s="57"/>
      <c r="WES2484" s="67"/>
      <c r="WET2484" s="60"/>
      <c r="WEU2484" s="60"/>
      <c r="WEV2484" s="60"/>
      <c r="WEW2484" s="57"/>
      <c r="WEX2484" s="61"/>
      <c r="WEY2484" s="57"/>
      <c r="WEZ2484" s="57"/>
      <c r="WFA2484" s="67"/>
      <c r="WFB2484" s="60"/>
      <c r="WFC2484" s="60"/>
      <c r="WFD2484" s="60"/>
      <c r="WFE2484" s="57"/>
      <c r="WFF2484" s="61"/>
      <c r="WFG2484" s="57"/>
      <c r="WFH2484" s="57"/>
      <c r="WFI2484" s="67"/>
      <c r="WFJ2484" s="60"/>
      <c r="WFK2484" s="60"/>
      <c r="WFL2484" s="60"/>
      <c r="WFM2484" s="57"/>
      <c r="WFN2484" s="61"/>
      <c r="WFO2484" s="57"/>
      <c r="WFP2484" s="57"/>
      <c r="WFQ2484" s="67"/>
      <c r="WFR2484" s="60"/>
      <c r="WFS2484" s="60"/>
      <c r="WFT2484" s="60"/>
      <c r="WFU2484" s="57"/>
      <c r="WFV2484" s="61"/>
      <c r="WFW2484" s="57"/>
      <c r="WFX2484" s="57"/>
      <c r="WFY2484" s="67"/>
      <c r="WFZ2484" s="60"/>
      <c r="WGA2484" s="60"/>
      <c r="WGB2484" s="60"/>
      <c r="WGC2484" s="57"/>
      <c r="WGD2484" s="61"/>
      <c r="WGE2484" s="57"/>
      <c r="WGF2484" s="57"/>
      <c r="WGG2484" s="67"/>
      <c r="WGH2484" s="60"/>
      <c r="WGI2484" s="60"/>
      <c r="WGJ2484" s="60"/>
      <c r="WGK2484" s="57"/>
      <c r="WGL2484" s="61"/>
      <c r="WGM2484" s="57"/>
      <c r="WGN2484" s="57"/>
      <c r="WGO2484" s="67"/>
      <c r="WGP2484" s="60"/>
      <c r="WGQ2484" s="60"/>
      <c r="WGR2484" s="60"/>
      <c r="WGS2484" s="57"/>
      <c r="WGT2484" s="61"/>
      <c r="WGU2484" s="57"/>
      <c r="WGV2484" s="57"/>
      <c r="WGW2484" s="67"/>
      <c r="WGX2484" s="60"/>
      <c r="WGY2484" s="60"/>
      <c r="WGZ2484" s="60"/>
      <c r="WHA2484" s="57"/>
      <c r="WHB2484" s="61"/>
      <c r="WHC2484" s="57"/>
      <c r="WHD2484" s="57"/>
      <c r="WHE2484" s="67"/>
      <c r="WHF2484" s="60"/>
      <c r="WHG2484" s="60"/>
      <c r="WHH2484" s="60"/>
      <c r="WHI2484" s="57"/>
      <c r="WHJ2484" s="61"/>
      <c r="WHK2484" s="57"/>
      <c r="WHL2484" s="57"/>
      <c r="WHM2484" s="67"/>
      <c r="WHN2484" s="60"/>
      <c r="WHO2484" s="60"/>
      <c r="WHP2484" s="60"/>
      <c r="WHQ2484" s="57"/>
      <c r="WHR2484" s="61"/>
      <c r="WHS2484" s="57"/>
      <c r="WHT2484" s="57"/>
      <c r="WHU2484" s="67"/>
      <c r="WHV2484" s="60"/>
      <c r="WHW2484" s="60"/>
      <c r="WHX2484" s="60"/>
      <c r="WHY2484" s="57"/>
      <c r="WHZ2484" s="61"/>
      <c r="WIA2484" s="57"/>
      <c r="WIB2484" s="57"/>
      <c r="WIC2484" s="67"/>
      <c r="WID2484" s="60"/>
      <c r="WIE2484" s="60"/>
      <c r="WIF2484" s="60"/>
      <c r="WIG2484" s="57"/>
      <c r="WIH2484" s="61"/>
      <c r="WII2484" s="57"/>
      <c r="WIJ2484" s="57"/>
      <c r="WIK2484" s="67"/>
      <c r="WIL2484" s="60"/>
      <c r="WIM2484" s="60"/>
      <c r="WIN2484" s="60"/>
      <c r="WIO2484" s="57"/>
      <c r="WIP2484" s="61"/>
      <c r="WIQ2484" s="57"/>
      <c r="WIR2484" s="57"/>
      <c r="WIS2484" s="67"/>
      <c r="WIT2484" s="60"/>
      <c r="WIU2484" s="60"/>
      <c r="WIV2484" s="60"/>
      <c r="WIW2484" s="57"/>
      <c r="WIX2484" s="61"/>
      <c r="WIY2484" s="57"/>
      <c r="WIZ2484" s="57"/>
      <c r="WJA2484" s="67"/>
      <c r="WJB2484" s="60"/>
      <c r="WJC2484" s="60"/>
      <c r="WJD2484" s="60"/>
      <c r="WJE2484" s="57"/>
      <c r="WJF2484" s="61"/>
      <c r="WJG2484" s="57"/>
      <c r="WJH2484" s="57"/>
      <c r="WJI2484" s="67"/>
      <c r="WJJ2484" s="60"/>
      <c r="WJK2484" s="60"/>
      <c r="WJL2484" s="60"/>
      <c r="WJM2484" s="57"/>
      <c r="WJN2484" s="61"/>
      <c r="WJO2484" s="57"/>
      <c r="WJP2484" s="57"/>
      <c r="WJQ2484" s="67"/>
      <c r="WJR2484" s="60"/>
      <c r="WJS2484" s="60"/>
      <c r="WJT2484" s="60"/>
      <c r="WJU2484" s="57"/>
      <c r="WJV2484" s="61"/>
      <c r="WJW2484" s="57"/>
      <c r="WJX2484" s="57"/>
      <c r="WJY2484" s="67"/>
      <c r="WJZ2484" s="60"/>
      <c r="WKA2484" s="60"/>
      <c r="WKB2484" s="60"/>
      <c r="WKC2484" s="57"/>
      <c r="WKD2484" s="61"/>
      <c r="WKE2484" s="57"/>
      <c r="WKF2484" s="57"/>
      <c r="WKG2484" s="67"/>
      <c r="WKH2484" s="60"/>
      <c r="WKI2484" s="60"/>
      <c r="WKJ2484" s="60"/>
      <c r="WKK2484" s="57"/>
      <c r="WKL2484" s="61"/>
      <c r="WKM2484" s="57"/>
      <c r="WKN2484" s="57"/>
      <c r="WKO2484" s="67"/>
      <c r="WKP2484" s="60"/>
      <c r="WKQ2484" s="60"/>
      <c r="WKR2484" s="60"/>
      <c r="WKS2484" s="57"/>
      <c r="WKT2484" s="61"/>
      <c r="WKU2484" s="57"/>
      <c r="WKV2484" s="57"/>
      <c r="WKW2484" s="67"/>
      <c r="WKX2484" s="60"/>
      <c r="WKY2484" s="60"/>
      <c r="WKZ2484" s="60"/>
      <c r="WLA2484" s="57"/>
      <c r="WLB2484" s="61"/>
      <c r="WLC2484" s="57"/>
      <c r="WLD2484" s="57"/>
      <c r="WLE2484" s="67"/>
      <c r="WLF2484" s="60"/>
      <c r="WLG2484" s="60"/>
      <c r="WLH2484" s="60"/>
      <c r="WLI2484" s="57"/>
      <c r="WLJ2484" s="61"/>
      <c r="WLK2484" s="57"/>
      <c r="WLL2484" s="57"/>
      <c r="WLM2484" s="67"/>
      <c r="WLN2484" s="60"/>
      <c r="WLO2484" s="60"/>
      <c r="WLP2484" s="60"/>
      <c r="WLQ2484" s="57"/>
      <c r="WLR2484" s="61"/>
      <c r="WLS2484" s="57"/>
      <c r="WLT2484" s="57"/>
      <c r="WLU2484" s="67"/>
      <c r="WLV2484" s="60"/>
      <c r="WLW2484" s="60"/>
      <c r="WLX2484" s="60"/>
      <c r="WLY2484" s="57"/>
      <c r="WLZ2484" s="61"/>
      <c r="WMA2484" s="57"/>
      <c r="WMB2484" s="57"/>
      <c r="WMC2484" s="67"/>
      <c r="WMD2484" s="60"/>
      <c r="WME2484" s="60"/>
      <c r="WMF2484" s="60"/>
      <c r="WMG2484" s="57"/>
      <c r="WMH2484" s="61"/>
      <c r="WMI2484" s="57"/>
      <c r="WMJ2484" s="57"/>
      <c r="WMK2484" s="67"/>
      <c r="WML2484" s="60"/>
      <c r="WMM2484" s="60"/>
      <c r="WMN2484" s="60"/>
      <c r="WMO2484" s="57"/>
      <c r="WMP2484" s="61"/>
      <c r="WMQ2484" s="57"/>
      <c r="WMR2484" s="57"/>
      <c r="WMS2484" s="67"/>
      <c r="WMT2484" s="60"/>
      <c r="WMU2484" s="60"/>
      <c r="WMV2484" s="60"/>
      <c r="WMW2484" s="57"/>
      <c r="WMX2484" s="61"/>
      <c r="WMY2484" s="57"/>
      <c r="WMZ2484" s="57"/>
      <c r="WNA2484" s="67"/>
      <c r="WNB2484" s="60"/>
      <c r="WNC2484" s="60"/>
      <c r="WND2484" s="60"/>
      <c r="WNE2484" s="57"/>
      <c r="WNF2484" s="61"/>
      <c r="WNG2484" s="57"/>
      <c r="WNH2484" s="57"/>
      <c r="WNI2484" s="67"/>
      <c r="WNJ2484" s="60"/>
      <c r="WNK2484" s="60"/>
      <c r="WNL2484" s="60"/>
      <c r="WNM2484" s="57"/>
      <c r="WNN2484" s="61"/>
      <c r="WNO2484" s="57"/>
      <c r="WNP2484" s="57"/>
      <c r="WNQ2484" s="67"/>
      <c r="WNR2484" s="60"/>
      <c r="WNS2484" s="60"/>
      <c r="WNT2484" s="60"/>
      <c r="WNU2484" s="57"/>
      <c r="WNV2484" s="61"/>
      <c r="WNW2484" s="57"/>
      <c r="WNX2484" s="57"/>
      <c r="WNY2484" s="67"/>
      <c r="WNZ2484" s="60"/>
      <c r="WOA2484" s="60"/>
      <c r="WOB2484" s="60"/>
      <c r="WOC2484" s="57"/>
      <c r="WOD2484" s="61"/>
      <c r="WOE2484" s="57"/>
      <c r="WOF2484" s="57"/>
      <c r="WOG2484" s="67"/>
      <c r="WOH2484" s="60"/>
      <c r="WOI2484" s="60"/>
      <c r="WOJ2484" s="60"/>
      <c r="WOK2484" s="57"/>
      <c r="WOL2484" s="61"/>
      <c r="WOM2484" s="57"/>
      <c r="WON2484" s="57"/>
      <c r="WOO2484" s="67"/>
      <c r="WOP2484" s="60"/>
      <c r="WOQ2484" s="60"/>
      <c r="WOR2484" s="60"/>
      <c r="WOS2484" s="57"/>
      <c r="WOT2484" s="61"/>
      <c r="WOU2484" s="57"/>
      <c r="WOV2484" s="57"/>
      <c r="WOW2484" s="67"/>
      <c r="WOX2484" s="60"/>
      <c r="WOY2484" s="60"/>
      <c r="WOZ2484" s="60"/>
      <c r="WPA2484" s="57"/>
      <c r="WPB2484" s="61"/>
      <c r="WPC2484" s="57"/>
      <c r="WPD2484" s="57"/>
      <c r="WPE2484" s="67"/>
      <c r="WPF2484" s="60"/>
      <c r="WPG2484" s="60"/>
      <c r="WPH2484" s="60"/>
      <c r="WPI2484" s="57"/>
      <c r="WPJ2484" s="61"/>
      <c r="WPK2484" s="57"/>
      <c r="WPL2484" s="57"/>
      <c r="WPM2484" s="67"/>
      <c r="WPN2484" s="60"/>
      <c r="WPO2484" s="60"/>
      <c r="WPP2484" s="60"/>
      <c r="WPQ2484" s="57"/>
      <c r="WPR2484" s="61"/>
      <c r="WPS2484" s="57"/>
      <c r="WPT2484" s="57"/>
      <c r="WPU2484" s="67"/>
      <c r="WPV2484" s="60"/>
      <c r="WPW2484" s="60"/>
      <c r="WPX2484" s="60"/>
      <c r="WPY2484" s="57"/>
      <c r="WPZ2484" s="61"/>
      <c r="WQA2484" s="57"/>
      <c r="WQB2484" s="57"/>
      <c r="WQC2484" s="67"/>
      <c r="WQD2484" s="60"/>
      <c r="WQE2484" s="60"/>
      <c r="WQF2484" s="60"/>
      <c r="WQG2484" s="57"/>
      <c r="WQH2484" s="61"/>
      <c r="WQI2484" s="57"/>
      <c r="WQJ2484" s="57"/>
      <c r="WQK2484" s="67"/>
      <c r="WQL2484" s="60"/>
      <c r="WQM2484" s="60"/>
      <c r="WQN2484" s="60"/>
      <c r="WQO2484" s="57"/>
      <c r="WQP2484" s="61"/>
      <c r="WQQ2484" s="57"/>
      <c r="WQR2484" s="57"/>
      <c r="WQS2484" s="67"/>
      <c r="WQT2484" s="60"/>
      <c r="WQU2484" s="60"/>
      <c r="WQV2484" s="60"/>
      <c r="WQW2484" s="57"/>
      <c r="WQX2484" s="61"/>
      <c r="WQY2484" s="57"/>
      <c r="WQZ2484" s="57"/>
      <c r="WRA2484" s="67"/>
      <c r="WRB2484" s="60"/>
      <c r="WRC2484" s="60"/>
      <c r="WRD2484" s="60"/>
      <c r="WRE2484" s="57"/>
      <c r="WRF2484" s="61"/>
      <c r="WRG2484" s="57"/>
      <c r="WRH2484" s="57"/>
      <c r="WRI2484" s="67"/>
      <c r="WRJ2484" s="60"/>
      <c r="WRK2484" s="60"/>
      <c r="WRL2484" s="60"/>
      <c r="WRM2484" s="57"/>
      <c r="WRN2484" s="61"/>
      <c r="WRO2484" s="57"/>
      <c r="WRP2484" s="57"/>
      <c r="WRQ2484" s="67"/>
      <c r="WRR2484" s="60"/>
      <c r="WRS2484" s="60"/>
      <c r="WRT2484" s="60"/>
      <c r="WRU2484" s="57"/>
      <c r="WRV2484" s="61"/>
      <c r="WRW2484" s="57"/>
      <c r="WRX2484" s="57"/>
      <c r="WRY2484" s="67"/>
      <c r="WRZ2484" s="60"/>
      <c r="WSA2484" s="60"/>
      <c r="WSB2484" s="60"/>
      <c r="WSC2484" s="57"/>
      <c r="WSD2484" s="61"/>
      <c r="WSE2484" s="57"/>
      <c r="WSF2484" s="57"/>
      <c r="WSG2484" s="67"/>
      <c r="WSH2484" s="60"/>
      <c r="WSI2484" s="60"/>
      <c r="WSJ2484" s="60"/>
      <c r="WSK2484" s="57"/>
      <c r="WSL2484" s="61"/>
      <c r="WSM2484" s="57"/>
      <c r="WSN2484" s="57"/>
      <c r="WSO2484" s="67"/>
      <c r="WSP2484" s="60"/>
      <c r="WSQ2484" s="60"/>
      <c r="WSR2484" s="60"/>
      <c r="WSS2484" s="57"/>
      <c r="WST2484" s="61"/>
      <c r="WSU2484" s="57"/>
      <c r="WSV2484" s="57"/>
      <c r="WSW2484" s="67"/>
      <c r="WSX2484" s="60"/>
      <c r="WSY2484" s="60"/>
      <c r="WSZ2484" s="60"/>
      <c r="WTA2484" s="57"/>
      <c r="WTB2484" s="61"/>
      <c r="WTC2484" s="57"/>
      <c r="WTD2484" s="57"/>
      <c r="WTE2484" s="67"/>
      <c r="WTF2484" s="60"/>
      <c r="WTG2484" s="60"/>
      <c r="WTH2484" s="60"/>
      <c r="WTI2484" s="57"/>
      <c r="WTJ2484" s="61"/>
      <c r="WTK2484" s="57"/>
      <c r="WTL2484" s="57"/>
      <c r="WTM2484" s="67"/>
      <c r="WTN2484" s="60"/>
      <c r="WTO2484" s="60"/>
      <c r="WTP2484" s="60"/>
      <c r="WTQ2484" s="57"/>
      <c r="WTR2484" s="61"/>
      <c r="WTS2484" s="57"/>
      <c r="WTT2484" s="57"/>
      <c r="WTU2484" s="67"/>
      <c r="WTV2484" s="60"/>
      <c r="WTW2484" s="60"/>
      <c r="WTX2484" s="60"/>
      <c r="WTY2484" s="57"/>
      <c r="WTZ2484" s="61"/>
      <c r="WUA2484" s="57"/>
      <c r="WUB2484" s="57"/>
      <c r="WUC2484" s="67"/>
      <c r="WUD2484" s="60"/>
      <c r="WUE2484" s="60"/>
      <c r="WUF2484" s="60"/>
      <c r="WUG2484" s="57"/>
      <c r="WUH2484" s="61"/>
      <c r="WUI2484" s="57"/>
      <c r="WUJ2484" s="57"/>
      <c r="WUK2484" s="67"/>
      <c r="WUL2484" s="60"/>
      <c r="WUM2484" s="60"/>
      <c r="WUN2484" s="60"/>
      <c r="WUO2484" s="57"/>
      <c r="WUP2484" s="61"/>
      <c r="WUQ2484" s="57"/>
      <c r="WUR2484" s="57"/>
      <c r="WUS2484" s="67"/>
      <c r="WUT2484" s="60"/>
      <c r="WUU2484" s="60"/>
      <c r="WUV2484" s="60"/>
      <c r="WUW2484" s="57"/>
      <c r="WUX2484" s="61"/>
      <c r="WUY2484" s="57"/>
      <c r="WUZ2484" s="57"/>
      <c r="WVA2484" s="67"/>
      <c r="WVB2484" s="60"/>
      <c r="WVC2484" s="60"/>
      <c r="WVD2484" s="60"/>
      <c r="WVE2484" s="57"/>
      <c r="WVF2484" s="61"/>
      <c r="WVG2484" s="57"/>
      <c r="WVH2484" s="57"/>
      <c r="WVI2484" s="67"/>
      <c r="WVJ2484" s="60"/>
      <c r="WVK2484" s="60"/>
      <c r="WVL2484" s="60"/>
      <c r="WVM2484" s="57"/>
      <c r="WVN2484" s="61"/>
      <c r="WVO2484" s="57"/>
      <c r="WVP2484" s="57"/>
      <c r="WVQ2484" s="67"/>
      <c r="WVR2484" s="60"/>
      <c r="WVS2484" s="60"/>
      <c r="WVT2484" s="60"/>
      <c r="WVU2484" s="57"/>
      <c r="WVV2484" s="61"/>
      <c r="WVW2484" s="57"/>
      <c r="WVX2484" s="57"/>
      <c r="WVY2484" s="67"/>
      <c r="WVZ2484" s="60"/>
      <c r="WWA2484" s="60"/>
      <c r="WWB2484" s="60"/>
      <c r="WWC2484" s="57"/>
      <c r="WWD2484" s="61"/>
      <c r="WWE2484" s="57"/>
      <c r="WWF2484" s="57"/>
      <c r="WWG2484" s="67"/>
      <c r="WWH2484" s="60"/>
      <c r="WWI2484" s="60"/>
      <c r="WWJ2484" s="60"/>
      <c r="WWK2484" s="57"/>
      <c r="WWL2484" s="61"/>
      <c r="WWM2484" s="57"/>
      <c r="WWN2484" s="57"/>
      <c r="WWO2484" s="67"/>
      <c r="WWP2484" s="60"/>
      <c r="WWQ2484" s="60"/>
      <c r="WWR2484" s="60"/>
      <c r="WWS2484" s="57"/>
      <c r="WWT2484" s="61"/>
      <c r="WWU2484" s="57"/>
      <c r="WWV2484" s="57"/>
      <c r="WWW2484" s="67"/>
      <c r="WWX2484" s="60"/>
      <c r="WWY2484" s="60"/>
      <c r="WWZ2484" s="60"/>
      <c r="WXA2484" s="57"/>
      <c r="WXB2484" s="61"/>
      <c r="WXC2484" s="57"/>
      <c r="WXD2484" s="57"/>
      <c r="WXE2484" s="67"/>
      <c r="WXF2484" s="60"/>
      <c r="WXG2484" s="60"/>
      <c r="WXH2484" s="60"/>
      <c r="WXI2484" s="57"/>
      <c r="WXJ2484" s="61"/>
      <c r="WXK2484" s="57"/>
      <c r="WXL2484" s="57"/>
      <c r="WXM2484" s="67"/>
      <c r="WXN2484" s="60"/>
      <c r="WXO2484" s="60"/>
      <c r="WXP2484" s="60"/>
      <c r="WXQ2484" s="57"/>
      <c r="WXR2484" s="61"/>
      <c r="WXS2484" s="57"/>
      <c r="WXT2484" s="57"/>
      <c r="WXU2484" s="67"/>
      <c r="WXV2484" s="60"/>
      <c r="WXW2484" s="60"/>
      <c r="WXX2484" s="60"/>
      <c r="WXY2484" s="57"/>
      <c r="WXZ2484" s="61"/>
      <c r="WYA2484" s="57"/>
      <c r="WYB2484" s="57"/>
      <c r="WYC2484" s="67"/>
      <c r="WYD2484" s="60"/>
      <c r="WYE2484" s="60"/>
      <c r="WYF2484" s="60"/>
      <c r="WYG2484" s="57"/>
      <c r="WYH2484" s="61"/>
      <c r="WYI2484" s="57"/>
      <c r="WYJ2484" s="57"/>
      <c r="WYK2484" s="67"/>
      <c r="WYL2484" s="60"/>
      <c r="WYM2484" s="60"/>
      <c r="WYN2484" s="60"/>
      <c r="WYO2484" s="57"/>
      <c r="WYP2484" s="61"/>
      <c r="WYQ2484" s="57"/>
      <c r="WYR2484" s="57"/>
      <c r="WYS2484" s="67"/>
      <c r="WYT2484" s="60"/>
      <c r="WYU2484" s="60"/>
      <c r="WYV2484" s="60"/>
      <c r="WYW2484" s="57"/>
      <c r="WYX2484" s="61"/>
      <c r="WYY2484" s="57"/>
      <c r="WYZ2484" s="57"/>
      <c r="WZA2484" s="67"/>
      <c r="WZB2484" s="60"/>
      <c r="WZC2484" s="60"/>
      <c r="WZD2484" s="60"/>
      <c r="WZE2484" s="57"/>
      <c r="WZF2484" s="61"/>
      <c r="WZG2484" s="57"/>
      <c r="WZH2484" s="57"/>
      <c r="WZI2484" s="67"/>
      <c r="WZJ2484" s="60"/>
      <c r="WZK2484" s="60"/>
      <c r="WZL2484" s="60"/>
      <c r="WZM2484" s="57"/>
      <c r="WZN2484" s="61"/>
      <c r="WZO2484" s="57"/>
      <c r="WZP2484" s="57"/>
      <c r="WZQ2484" s="67"/>
      <c r="WZR2484" s="60"/>
      <c r="WZS2484" s="60"/>
      <c r="WZT2484" s="60"/>
      <c r="WZU2484" s="57"/>
      <c r="WZV2484" s="61"/>
      <c r="WZW2484" s="57"/>
      <c r="WZX2484" s="57"/>
      <c r="WZY2484" s="67"/>
      <c r="WZZ2484" s="60"/>
      <c r="XAA2484" s="60"/>
      <c r="XAB2484" s="60"/>
      <c r="XAC2484" s="57"/>
      <c r="XAD2484" s="61"/>
      <c r="XAE2484" s="57"/>
      <c r="XAF2484" s="57"/>
      <c r="XAG2484" s="67"/>
      <c r="XAH2484" s="60"/>
      <c r="XAI2484" s="60"/>
      <c r="XAJ2484" s="60"/>
      <c r="XAK2484" s="57"/>
      <c r="XAL2484" s="61"/>
      <c r="XAM2484" s="57"/>
      <c r="XAN2484" s="57"/>
      <c r="XAO2484" s="67"/>
      <c r="XAP2484" s="60"/>
      <c r="XAQ2484" s="60"/>
      <c r="XAR2484" s="60"/>
      <c r="XAS2484" s="57"/>
      <c r="XAT2484" s="61"/>
      <c r="XAU2484" s="57"/>
      <c r="XAV2484" s="57"/>
      <c r="XAW2484" s="67"/>
      <c r="XAX2484" s="60"/>
      <c r="XAY2484" s="60"/>
      <c r="XAZ2484" s="60"/>
      <c r="XBA2484" s="57"/>
      <c r="XBB2484" s="61"/>
      <c r="XBC2484" s="57"/>
      <c r="XBD2484" s="57"/>
      <c r="XBE2484" s="67"/>
      <c r="XBF2484" s="60"/>
      <c r="XBG2484" s="60"/>
      <c r="XBH2484" s="60"/>
      <c r="XBI2484" s="57"/>
      <c r="XBJ2484" s="61"/>
      <c r="XBK2484" s="57"/>
      <c r="XBL2484" s="57"/>
      <c r="XBM2484" s="67"/>
      <c r="XBN2484" s="60"/>
      <c r="XBO2484" s="60"/>
      <c r="XBP2484" s="60"/>
      <c r="XBQ2484" s="57"/>
      <c r="XBR2484" s="61"/>
      <c r="XBS2484" s="57"/>
      <c r="XBT2484" s="57"/>
      <c r="XBU2484" s="67"/>
      <c r="XBV2484" s="60"/>
      <c r="XBW2484" s="60"/>
      <c r="XBX2484" s="60"/>
      <c r="XBY2484" s="57"/>
      <c r="XBZ2484" s="61"/>
      <c r="XCA2484" s="57"/>
      <c r="XCB2484" s="57"/>
      <c r="XCC2484" s="67"/>
      <c r="XCD2484" s="60"/>
      <c r="XCE2484" s="60"/>
      <c r="XCF2484" s="60"/>
      <c r="XCG2484" s="57"/>
      <c r="XCH2484" s="61"/>
      <c r="XCI2484" s="57"/>
      <c r="XCJ2484" s="57"/>
      <c r="XCK2484" s="67"/>
      <c r="XCL2484" s="60"/>
      <c r="XCM2484" s="60"/>
      <c r="XCN2484" s="60"/>
      <c r="XCO2484" s="57"/>
      <c r="XCP2484" s="61"/>
      <c r="XCQ2484" s="57"/>
      <c r="XCR2484" s="57"/>
      <c r="XCS2484" s="67"/>
      <c r="XCT2484" s="60"/>
      <c r="XCU2484" s="60"/>
      <c r="XCV2484" s="60"/>
      <c r="XCW2484" s="57"/>
      <c r="XCX2484" s="61"/>
      <c r="XCY2484" s="57"/>
      <c r="XCZ2484" s="57"/>
      <c r="XDA2484" s="67"/>
      <c r="XDB2484" s="60"/>
      <c r="XDC2484" s="60"/>
      <c r="XDD2484" s="60"/>
      <c r="XDE2484" s="57"/>
      <c r="XDF2484" s="61"/>
      <c r="XDG2484" s="57"/>
      <c r="XDH2484" s="57"/>
      <c r="XDI2484" s="67"/>
      <c r="XDJ2484" s="60"/>
      <c r="XDK2484" s="60"/>
      <c r="XDL2484" s="60"/>
      <c r="XDM2484" s="57"/>
      <c r="XDN2484" s="61"/>
      <c r="XDO2484" s="57"/>
      <c r="XDP2484" s="57"/>
      <c r="XDQ2484" s="67"/>
      <c r="XDR2484" s="60"/>
      <c r="XDS2484" s="60"/>
      <c r="XDT2484" s="60"/>
      <c r="XDU2484" s="57"/>
      <c r="XDV2484" s="61"/>
      <c r="XDW2484" s="57"/>
      <c r="XDX2484" s="57"/>
      <c r="XDY2484" s="67"/>
      <c r="XDZ2484" s="60"/>
      <c r="XEA2484" s="60"/>
      <c r="XEB2484" s="60"/>
      <c r="XEC2484" s="57"/>
      <c r="XED2484" s="61"/>
      <c r="XEE2484" s="57"/>
      <c r="XEF2484" s="57"/>
      <c r="XEG2484" s="67"/>
      <c r="XEH2484" s="60"/>
      <c r="XEI2484" s="60"/>
      <c r="XEJ2484" s="60"/>
      <c r="XEK2484" s="57"/>
      <c r="XEL2484" s="61"/>
      <c r="XEM2484" s="57"/>
      <c r="XEN2484" s="57"/>
      <c r="XEO2484" s="67"/>
      <c r="XEP2484" s="60"/>
      <c r="XEQ2484" s="60"/>
      <c r="XER2484" s="60"/>
      <c r="XES2484" s="57"/>
      <c r="XET2484" s="61"/>
      <c r="XEU2484" s="57"/>
      <c r="XEV2484" s="57"/>
      <c r="XEW2484" s="67"/>
    </row>
    <row r="2485" ht="18" customHeight="1" spans="1:16377">
      <c r="A2485" s="6" t="s">
        <v>8209</v>
      </c>
      <c r="B2485" s="6" t="s">
        <v>8642</v>
      </c>
      <c r="C2485" s="6" t="s">
        <v>16420</v>
      </c>
      <c r="D2485" s="5" t="s">
        <v>16374</v>
      </c>
      <c r="E2485" s="6" t="s">
        <v>16421</v>
      </c>
      <c r="F2485" s="7" t="s">
        <v>11535</v>
      </c>
      <c r="G2485" s="58"/>
      <c r="H2485" s="58"/>
      <c r="I2485" s="58"/>
      <c r="J2485" s="60"/>
      <c r="K2485" s="60"/>
      <c r="L2485" s="60"/>
      <c r="M2485" s="58"/>
      <c r="N2485" s="61"/>
      <c r="O2485" s="58"/>
      <c r="P2485" s="58"/>
      <c r="Q2485" s="58"/>
      <c r="R2485" s="60"/>
      <c r="S2485" s="60"/>
      <c r="T2485" s="60"/>
      <c r="U2485" s="58"/>
      <c r="V2485" s="61"/>
      <c r="W2485" s="58"/>
      <c r="X2485" s="58"/>
      <c r="Y2485" s="58"/>
      <c r="Z2485" s="60"/>
      <c r="AA2485" s="60"/>
      <c r="AB2485" s="60"/>
      <c r="AC2485" s="58"/>
      <c r="AD2485" s="61"/>
      <c r="AE2485" s="58"/>
      <c r="AF2485" s="58"/>
      <c r="AG2485" s="58"/>
      <c r="AH2485" s="60"/>
      <c r="AI2485" s="60"/>
      <c r="AJ2485" s="60"/>
      <c r="AK2485" s="58"/>
      <c r="AL2485" s="61"/>
      <c r="AM2485" s="58"/>
      <c r="AN2485" s="58"/>
      <c r="AO2485" s="58"/>
      <c r="AP2485" s="60"/>
      <c r="AQ2485" s="60"/>
      <c r="AR2485" s="60"/>
      <c r="AS2485" s="58"/>
      <c r="AT2485" s="61"/>
      <c r="AU2485" s="58"/>
      <c r="AV2485" s="58"/>
      <c r="AW2485" s="58"/>
      <c r="AX2485" s="60"/>
      <c r="AY2485" s="60"/>
      <c r="AZ2485" s="60"/>
      <c r="BA2485" s="58"/>
      <c r="BB2485" s="61"/>
      <c r="BC2485" s="58"/>
      <c r="BD2485" s="58"/>
      <c r="BE2485" s="58"/>
      <c r="BF2485" s="60"/>
      <c r="BG2485" s="60"/>
      <c r="BH2485" s="60"/>
      <c r="BI2485" s="58"/>
      <c r="BJ2485" s="61"/>
      <c r="BK2485" s="58"/>
      <c r="BL2485" s="58"/>
      <c r="BM2485" s="58"/>
      <c r="BN2485" s="60"/>
      <c r="BO2485" s="60"/>
      <c r="BP2485" s="60"/>
      <c r="BQ2485" s="58"/>
      <c r="BR2485" s="61"/>
      <c r="BS2485" s="58"/>
      <c r="BT2485" s="58"/>
      <c r="BU2485" s="58"/>
      <c r="BV2485" s="60"/>
      <c r="BW2485" s="60"/>
      <c r="BX2485" s="60"/>
      <c r="BY2485" s="58"/>
      <c r="BZ2485" s="61"/>
      <c r="CA2485" s="58"/>
      <c r="CB2485" s="58"/>
      <c r="CC2485" s="58"/>
      <c r="CD2485" s="60"/>
      <c r="CE2485" s="60"/>
      <c r="CF2485" s="60"/>
      <c r="CG2485" s="58"/>
      <c r="CH2485" s="61"/>
      <c r="CI2485" s="58"/>
      <c r="CJ2485" s="58"/>
      <c r="CK2485" s="58"/>
      <c r="CL2485" s="60"/>
      <c r="CM2485" s="60"/>
      <c r="CN2485" s="60"/>
      <c r="CO2485" s="58"/>
      <c r="CP2485" s="61"/>
      <c r="CQ2485" s="58"/>
      <c r="CR2485" s="58"/>
      <c r="CS2485" s="58"/>
      <c r="CT2485" s="60"/>
      <c r="CU2485" s="60"/>
      <c r="CV2485" s="60"/>
      <c r="CW2485" s="58"/>
      <c r="CX2485" s="61"/>
      <c r="CY2485" s="58"/>
      <c r="CZ2485" s="58"/>
      <c r="DA2485" s="58"/>
      <c r="DB2485" s="60"/>
      <c r="DC2485" s="60"/>
      <c r="DD2485" s="60"/>
      <c r="DE2485" s="58"/>
      <c r="DF2485" s="61"/>
      <c r="DG2485" s="58"/>
      <c r="DH2485" s="58"/>
      <c r="DI2485" s="58"/>
      <c r="DJ2485" s="60"/>
      <c r="DK2485" s="60"/>
      <c r="DL2485" s="60"/>
      <c r="DM2485" s="58"/>
      <c r="DN2485" s="61"/>
      <c r="DO2485" s="58"/>
      <c r="DP2485" s="58"/>
      <c r="DQ2485" s="58"/>
      <c r="DR2485" s="60"/>
      <c r="DS2485" s="60"/>
      <c r="DT2485" s="60"/>
      <c r="DU2485" s="58"/>
      <c r="DV2485" s="61"/>
      <c r="DW2485" s="58"/>
      <c r="DX2485" s="58"/>
      <c r="DY2485" s="58"/>
      <c r="DZ2485" s="60"/>
      <c r="EA2485" s="60"/>
      <c r="EB2485" s="60"/>
      <c r="EC2485" s="58"/>
      <c r="ED2485" s="61"/>
      <c r="EE2485" s="58"/>
      <c r="EF2485" s="58"/>
      <c r="EG2485" s="58"/>
      <c r="EH2485" s="60"/>
      <c r="EI2485" s="60"/>
      <c r="EJ2485" s="60"/>
      <c r="EK2485" s="58"/>
      <c r="EL2485" s="61"/>
      <c r="EM2485" s="58"/>
      <c r="EN2485" s="58"/>
      <c r="EO2485" s="58"/>
      <c r="EP2485" s="60"/>
      <c r="EQ2485" s="60"/>
      <c r="ER2485" s="60"/>
      <c r="ES2485" s="58"/>
      <c r="ET2485" s="61"/>
      <c r="EU2485" s="58"/>
      <c r="EV2485" s="58"/>
      <c r="EW2485" s="58"/>
      <c r="EX2485" s="60"/>
      <c r="EY2485" s="60"/>
      <c r="EZ2485" s="60"/>
      <c r="FA2485" s="58"/>
      <c r="FB2485" s="61"/>
      <c r="FC2485" s="58"/>
      <c r="FD2485" s="58"/>
      <c r="FE2485" s="58"/>
      <c r="FF2485" s="60"/>
      <c r="FG2485" s="60"/>
      <c r="FH2485" s="60"/>
      <c r="FI2485" s="58"/>
      <c r="FJ2485" s="61"/>
      <c r="FK2485" s="58"/>
      <c r="FL2485" s="58"/>
      <c r="FM2485" s="58"/>
      <c r="FN2485" s="60"/>
      <c r="FO2485" s="60"/>
      <c r="FP2485" s="60"/>
      <c r="FQ2485" s="58"/>
      <c r="FR2485" s="61"/>
      <c r="FS2485" s="58"/>
      <c r="FT2485" s="58"/>
      <c r="FU2485" s="58"/>
      <c r="FV2485" s="60"/>
      <c r="FW2485" s="60"/>
      <c r="FX2485" s="60"/>
      <c r="FY2485" s="58"/>
      <c r="FZ2485" s="61"/>
      <c r="GA2485" s="58"/>
      <c r="GB2485" s="58"/>
      <c r="GC2485" s="58"/>
      <c r="GD2485" s="60"/>
      <c r="GE2485" s="60"/>
      <c r="GF2485" s="60"/>
      <c r="GG2485" s="58"/>
      <c r="GH2485" s="61"/>
      <c r="GI2485" s="58"/>
      <c r="GJ2485" s="58"/>
      <c r="GK2485" s="58"/>
      <c r="GL2485" s="60"/>
      <c r="GM2485" s="60"/>
      <c r="GN2485" s="60"/>
      <c r="GO2485" s="58"/>
      <c r="GP2485" s="61"/>
      <c r="GQ2485" s="58"/>
      <c r="GR2485" s="58"/>
      <c r="GS2485" s="58"/>
      <c r="GT2485" s="60"/>
      <c r="GU2485" s="60"/>
      <c r="GV2485" s="60"/>
      <c r="GW2485" s="58"/>
      <c r="GX2485" s="61"/>
      <c r="GY2485" s="58"/>
      <c r="GZ2485" s="58"/>
      <c r="HA2485" s="58"/>
      <c r="HB2485" s="60"/>
      <c r="HC2485" s="60"/>
      <c r="HD2485" s="60"/>
      <c r="HE2485" s="58"/>
      <c r="HF2485" s="61"/>
      <c r="HG2485" s="58"/>
      <c r="HH2485" s="58"/>
      <c r="HI2485" s="58"/>
      <c r="HJ2485" s="60"/>
      <c r="HK2485" s="60"/>
      <c r="HL2485" s="60"/>
      <c r="HM2485" s="58"/>
      <c r="HN2485" s="61"/>
      <c r="HO2485" s="58"/>
      <c r="HP2485" s="58"/>
      <c r="HQ2485" s="58"/>
      <c r="HR2485" s="60"/>
      <c r="HS2485" s="60"/>
      <c r="HT2485" s="60"/>
      <c r="HU2485" s="58"/>
      <c r="HV2485" s="61"/>
      <c r="HW2485" s="58"/>
      <c r="HX2485" s="58"/>
      <c r="HY2485" s="58"/>
      <c r="HZ2485" s="60"/>
      <c r="IA2485" s="60"/>
      <c r="IB2485" s="60"/>
      <c r="IC2485" s="58"/>
      <c r="ID2485" s="61"/>
      <c r="IE2485" s="58"/>
      <c r="IF2485" s="58"/>
      <c r="IG2485" s="58"/>
      <c r="IH2485" s="60"/>
      <c r="II2485" s="60"/>
      <c r="IJ2485" s="60"/>
      <c r="IK2485" s="58"/>
      <c r="IL2485" s="61"/>
      <c r="IM2485" s="58"/>
      <c r="IN2485" s="58"/>
      <c r="IO2485" s="58"/>
      <c r="IP2485" s="60"/>
      <c r="IQ2485" s="60"/>
      <c r="IR2485" s="60"/>
      <c r="IS2485" s="58"/>
      <c r="IT2485" s="61"/>
      <c r="IU2485" s="58"/>
      <c r="IV2485" s="58"/>
      <c r="IW2485" s="58"/>
      <c r="IX2485" s="60"/>
      <c r="IY2485" s="60"/>
      <c r="IZ2485" s="60"/>
      <c r="JA2485" s="58"/>
      <c r="JB2485" s="61"/>
      <c r="JC2485" s="58"/>
      <c r="JD2485" s="58"/>
      <c r="JE2485" s="58"/>
      <c r="JF2485" s="60"/>
      <c r="JG2485" s="60"/>
      <c r="JH2485" s="60"/>
      <c r="JI2485" s="58"/>
      <c r="JJ2485" s="61"/>
      <c r="JK2485" s="58"/>
      <c r="JL2485" s="58"/>
      <c r="JM2485" s="58"/>
      <c r="JN2485" s="60"/>
      <c r="JO2485" s="60"/>
      <c r="JP2485" s="60"/>
      <c r="JQ2485" s="58"/>
      <c r="JR2485" s="61"/>
      <c r="JS2485" s="58"/>
      <c r="JT2485" s="58"/>
      <c r="JU2485" s="58"/>
      <c r="JV2485" s="60"/>
      <c r="JW2485" s="60"/>
      <c r="JX2485" s="60"/>
      <c r="JY2485" s="58"/>
      <c r="JZ2485" s="61"/>
      <c r="KA2485" s="58"/>
      <c r="KB2485" s="58"/>
      <c r="KC2485" s="58"/>
      <c r="KD2485" s="60"/>
      <c r="KE2485" s="60"/>
      <c r="KF2485" s="60"/>
      <c r="KG2485" s="58"/>
      <c r="KH2485" s="61"/>
      <c r="KI2485" s="58"/>
      <c r="KJ2485" s="58"/>
      <c r="KK2485" s="58"/>
      <c r="KL2485" s="60"/>
      <c r="KM2485" s="60"/>
      <c r="KN2485" s="60"/>
      <c r="KO2485" s="58"/>
      <c r="KP2485" s="61"/>
      <c r="KQ2485" s="58"/>
      <c r="KR2485" s="58"/>
      <c r="KS2485" s="58"/>
      <c r="KT2485" s="60"/>
      <c r="KU2485" s="60"/>
      <c r="KV2485" s="60"/>
      <c r="KW2485" s="58"/>
      <c r="KX2485" s="61"/>
      <c r="KY2485" s="58"/>
      <c r="KZ2485" s="58"/>
      <c r="LA2485" s="58"/>
      <c r="LB2485" s="60"/>
      <c r="LC2485" s="60"/>
      <c r="LD2485" s="60"/>
      <c r="LE2485" s="58"/>
      <c r="LF2485" s="61"/>
      <c r="LG2485" s="58"/>
      <c r="LH2485" s="58"/>
      <c r="LI2485" s="58"/>
      <c r="LJ2485" s="60"/>
      <c r="LK2485" s="60"/>
      <c r="LL2485" s="60"/>
      <c r="LM2485" s="58"/>
      <c r="LN2485" s="61"/>
      <c r="LO2485" s="58"/>
      <c r="LP2485" s="58"/>
      <c r="LQ2485" s="58"/>
      <c r="LR2485" s="60"/>
      <c r="LS2485" s="60"/>
      <c r="LT2485" s="60"/>
      <c r="LU2485" s="58"/>
      <c r="LV2485" s="61"/>
      <c r="LW2485" s="58"/>
      <c r="LX2485" s="58"/>
      <c r="LY2485" s="58"/>
      <c r="LZ2485" s="60"/>
      <c r="MA2485" s="60"/>
      <c r="MB2485" s="60"/>
      <c r="MC2485" s="58"/>
      <c r="MD2485" s="61"/>
      <c r="ME2485" s="58"/>
      <c r="MF2485" s="58"/>
      <c r="MG2485" s="58"/>
      <c r="MH2485" s="60"/>
      <c r="MI2485" s="60"/>
      <c r="MJ2485" s="60"/>
      <c r="MK2485" s="58"/>
      <c r="ML2485" s="61"/>
      <c r="MM2485" s="58"/>
      <c r="MN2485" s="58"/>
      <c r="MO2485" s="58"/>
      <c r="MP2485" s="60"/>
      <c r="MQ2485" s="60"/>
      <c r="MR2485" s="60"/>
      <c r="MS2485" s="58"/>
      <c r="MT2485" s="61"/>
      <c r="MU2485" s="58"/>
      <c r="MV2485" s="58"/>
      <c r="MW2485" s="58"/>
      <c r="MX2485" s="60"/>
      <c r="MY2485" s="60"/>
      <c r="MZ2485" s="60"/>
      <c r="NA2485" s="58"/>
      <c r="NB2485" s="61"/>
      <c r="NC2485" s="58"/>
      <c r="ND2485" s="58"/>
      <c r="NE2485" s="58"/>
      <c r="NF2485" s="60"/>
      <c r="NG2485" s="60"/>
      <c r="NH2485" s="60"/>
      <c r="NI2485" s="58"/>
      <c r="NJ2485" s="61"/>
      <c r="NK2485" s="58"/>
      <c r="NL2485" s="58"/>
      <c r="NM2485" s="58"/>
      <c r="NN2485" s="60"/>
      <c r="NO2485" s="60"/>
      <c r="NP2485" s="60"/>
      <c r="NQ2485" s="58"/>
      <c r="NR2485" s="61"/>
      <c r="NS2485" s="58"/>
      <c r="NT2485" s="58"/>
      <c r="NU2485" s="58"/>
      <c r="NV2485" s="60"/>
      <c r="NW2485" s="60"/>
      <c r="NX2485" s="60"/>
      <c r="NY2485" s="58"/>
      <c r="NZ2485" s="61"/>
      <c r="OA2485" s="58"/>
      <c r="OB2485" s="58"/>
      <c r="OC2485" s="58"/>
      <c r="OD2485" s="60"/>
      <c r="OE2485" s="60"/>
      <c r="OF2485" s="60"/>
      <c r="OG2485" s="58"/>
      <c r="OH2485" s="61"/>
      <c r="OI2485" s="58"/>
      <c r="OJ2485" s="58"/>
      <c r="OK2485" s="58"/>
      <c r="OL2485" s="60"/>
      <c r="OM2485" s="60"/>
      <c r="ON2485" s="60"/>
      <c r="OO2485" s="58"/>
      <c r="OP2485" s="61"/>
      <c r="OQ2485" s="58"/>
      <c r="OR2485" s="58"/>
      <c r="OS2485" s="58"/>
      <c r="OT2485" s="60"/>
      <c r="OU2485" s="60"/>
      <c r="OV2485" s="60"/>
      <c r="OW2485" s="58"/>
      <c r="OX2485" s="61"/>
      <c r="OY2485" s="58"/>
      <c r="OZ2485" s="58"/>
      <c r="PA2485" s="58"/>
      <c r="PB2485" s="60"/>
      <c r="PC2485" s="60"/>
      <c r="PD2485" s="60"/>
      <c r="PE2485" s="58"/>
      <c r="PF2485" s="61"/>
      <c r="PG2485" s="58"/>
      <c r="PH2485" s="58"/>
      <c r="PI2485" s="58"/>
      <c r="PJ2485" s="60"/>
      <c r="PK2485" s="60"/>
      <c r="PL2485" s="60"/>
      <c r="PM2485" s="58"/>
      <c r="PN2485" s="61"/>
      <c r="PO2485" s="58"/>
      <c r="PP2485" s="58"/>
      <c r="PQ2485" s="58"/>
      <c r="PR2485" s="60"/>
      <c r="PS2485" s="60"/>
      <c r="PT2485" s="60"/>
      <c r="PU2485" s="58"/>
      <c r="PV2485" s="61"/>
      <c r="PW2485" s="58"/>
      <c r="PX2485" s="58"/>
      <c r="PY2485" s="58"/>
      <c r="PZ2485" s="60"/>
      <c r="QA2485" s="60"/>
      <c r="QB2485" s="60"/>
      <c r="QC2485" s="58"/>
      <c r="QD2485" s="61"/>
      <c r="QE2485" s="58"/>
      <c r="QF2485" s="58"/>
      <c r="QG2485" s="58"/>
      <c r="QH2485" s="60"/>
      <c r="QI2485" s="60"/>
      <c r="QJ2485" s="60"/>
      <c r="QK2485" s="58"/>
      <c r="QL2485" s="61"/>
      <c r="QM2485" s="58"/>
      <c r="QN2485" s="58"/>
      <c r="QO2485" s="58"/>
      <c r="QP2485" s="60"/>
      <c r="QQ2485" s="60"/>
      <c r="QR2485" s="60"/>
      <c r="QS2485" s="58"/>
      <c r="QT2485" s="61"/>
      <c r="QU2485" s="58"/>
      <c r="QV2485" s="58"/>
      <c r="QW2485" s="58"/>
      <c r="QX2485" s="60"/>
      <c r="QY2485" s="60"/>
      <c r="QZ2485" s="60"/>
      <c r="RA2485" s="58"/>
      <c r="RB2485" s="61"/>
      <c r="RC2485" s="58"/>
      <c r="RD2485" s="58"/>
      <c r="RE2485" s="58"/>
      <c r="RF2485" s="60"/>
      <c r="RG2485" s="60"/>
      <c r="RH2485" s="60"/>
      <c r="RI2485" s="58"/>
      <c r="RJ2485" s="61"/>
      <c r="RK2485" s="58"/>
      <c r="RL2485" s="58"/>
      <c r="RM2485" s="58"/>
      <c r="RN2485" s="60"/>
      <c r="RO2485" s="60"/>
      <c r="RP2485" s="60"/>
      <c r="RQ2485" s="58"/>
      <c r="RR2485" s="61"/>
      <c r="RS2485" s="58"/>
      <c r="RT2485" s="58"/>
      <c r="RU2485" s="58"/>
      <c r="RV2485" s="60"/>
      <c r="RW2485" s="60"/>
      <c r="RX2485" s="60"/>
      <c r="RY2485" s="58"/>
      <c r="RZ2485" s="61"/>
      <c r="SA2485" s="58"/>
      <c r="SB2485" s="58"/>
      <c r="SC2485" s="58"/>
      <c r="SD2485" s="60"/>
      <c r="SE2485" s="60"/>
      <c r="SF2485" s="60"/>
      <c r="SG2485" s="58"/>
      <c r="SH2485" s="61"/>
      <c r="SI2485" s="58"/>
      <c r="SJ2485" s="58"/>
      <c r="SK2485" s="58"/>
      <c r="SL2485" s="60"/>
      <c r="SM2485" s="60"/>
      <c r="SN2485" s="60"/>
      <c r="SO2485" s="58"/>
      <c r="SP2485" s="61"/>
      <c r="SQ2485" s="58"/>
      <c r="SR2485" s="58"/>
      <c r="SS2485" s="58"/>
      <c r="ST2485" s="60"/>
      <c r="SU2485" s="60"/>
      <c r="SV2485" s="60"/>
      <c r="SW2485" s="58"/>
      <c r="SX2485" s="61"/>
      <c r="SY2485" s="58"/>
      <c r="SZ2485" s="58"/>
      <c r="TA2485" s="58"/>
      <c r="TB2485" s="60"/>
      <c r="TC2485" s="60"/>
      <c r="TD2485" s="60"/>
      <c r="TE2485" s="58"/>
      <c r="TF2485" s="61"/>
      <c r="TG2485" s="58"/>
      <c r="TH2485" s="58"/>
      <c r="TI2485" s="58"/>
      <c r="TJ2485" s="60"/>
      <c r="TK2485" s="60"/>
      <c r="TL2485" s="60"/>
      <c r="TM2485" s="58"/>
      <c r="TN2485" s="61"/>
      <c r="TO2485" s="58"/>
      <c r="TP2485" s="58"/>
      <c r="TQ2485" s="58"/>
      <c r="TR2485" s="60"/>
      <c r="TS2485" s="60"/>
      <c r="TT2485" s="60"/>
      <c r="TU2485" s="58"/>
      <c r="TV2485" s="61"/>
      <c r="TW2485" s="58"/>
      <c r="TX2485" s="58"/>
      <c r="TY2485" s="58"/>
      <c r="TZ2485" s="60"/>
      <c r="UA2485" s="60"/>
      <c r="UB2485" s="60"/>
      <c r="UC2485" s="58"/>
      <c r="UD2485" s="61"/>
      <c r="UE2485" s="58"/>
      <c r="UF2485" s="58"/>
      <c r="UG2485" s="58"/>
      <c r="UH2485" s="60"/>
      <c r="UI2485" s="60"/>
      <c r="UJ2485" s="60"/>
      <c r="UK2485" s="58"/>
      <c r="UL2485" s="61"/>
      <c r="UM2485" s="58"/>
      <c r="UN2485" s="58"/>
      <c r="UO2485" s="58"/>
      <c r="UP2485" s="60"/>
      <c r="UQ2485" s="60"/>
      <c r="UR2485" s="60"/>
      <c r="US2485" s="58"/>
      <c r="UT2485" s="61"/>
      <c r="UU2485" s="58"/>
      <c r="UV2485" s="58"/>
      <c r="UW2485" s="58"/>
      <c r="UX2485" s="60"/>
      <c r="UY2485" s="60"/>
      <c r="UZ2485" s="60"/>
      <c r="VA2485" s="58"/>
      <c r="VB2485" s="61"/>
      <c r="VC2485" s="58"/>
      <c r="VD2485" s="58"/>
      <c r="VE2485" s="58"/>
      <c r="VF2485" s="60"/>
      <c r="VG2485" s="60"/>
      <c r="VH2485" s="60"/>
      <c r="VI2485" s="58"/>
      <c r="VJ2485" s="61"/>
      <c r="VK2485" s="58"/>
      <c r="VL2485" s="58"/>
      <c r="VM2485" s="58"/>
      <c r="VN2485" s="60"/>
      <c r="VO2485" s="60"/>
      <c r="VP2485" s="60"/>
      <c r="VQ2485" s="58"/>
      <c r="VR2485" s="61"/>
      <c r="VS2485" s="58"/>
      <c r="VT2485" s="58"/>
      <c r="VU2485" s="58"/>
      <c r="VV2485" s="60"/>
      <c r="VW2485" s="60"/>
      <c r="VX2485" s="60"/>
      <c r="VY2485" s="58"/>
      <c r="VZ2485" s="61"/>
      <c r="WA2485" s="58"/>
      <c r="WB2485" s="58"/>
      <c r="WC2485" s="58"/>
      <c r="WD2485" s="60"/>
      <c r="WE2485" s="60"/>
      <c r="WF2485" s="60"/>
      <c r="WG2485" s="58"/>
      <c r="WH2485" s="61"/>
      <c r="WI2485" s="58"/>
      <c r="WJ2485" s="58"/>
      <c r="WK2485" s="58"/>
      <c r="WL2485" s="60"/>
      <c r="WM2485" s="60"/>
      <c r="WN2485" s="60"/>
      <c r="WO2485" s="58"/>
      <c r="WP2485" s="61"/>
      <c r="WQ2485" s="58"/>
      <c r="WR2485" s="58"/>
      <c r="WS2485" s="58"/>
      <c r="WT2485" s="60"/>
      <c r="WU2485" s="60"/>
      <c r="WV2485" s="60"/>
      <c r="WW2485" s="58"/>
      <c r="WX2485" s="61"/>
      <c r="WY2485" s="58"/>
      <c r="WZ2485" s="58"/>
      <c r="XA2485" s="58"/>
      <c r="XB2485" s="60"/>
      <c r="XC2485" s="60"/>
      <c r="XD2485" s="60"/>
      <c r="XE2485" s="58"/>
      <c r="XF2485" s="61"/>
      <c r="XG2485" s="58"/>
      <c r="XH2485" s="58"/>
      <c r="XI2485" s="58"/>
      <c r="XJ2485" s="60"/>
      <c r="XK2485" s="60"/>
      <c r="XL2485" s="60"/>
      <c r="XM2485" s="58"/>
      <c r="XN2485" s="61"/>
      <c r="XO2485" s="58"/>
      <c r="XP2485" s="58"/>
      <c r="XQ2485" s="58"/>
      <c r="XR2485" s="60"/>
      <c r="XS2485" s="60"/>
      <c r="XT2485" s="60"/>
      <c r="XU2485" s="58"/>
      <c r="XV2485" s="61"/>
      <c r="XW2485" s="58"/>
      <c r="XX2485" s="58"/>
      <c r="XY2485" s="58"/>
      <c r="XZ2485" s="60"/>
      <c r="YA2485" s="60"/>
      <c r="YB2485" s="60"/>
      <c r="YC2485" s="58"/>
      <c r="YD2485" s="61"/>
      <c r="YE2485" s="58"/>
      <c r="YF2485" s="58"/>
      <c r="YG2485" s="58"/>
      <c r="YH2485" s="60"/>
      <c r="YI2485" s="60"/>
      <c r="YJ2485" s="60"/>
      <c r="YK2485" s="58"/>
      <c r="YL2485" s="61"/>
      <c r="YM2485" s="58"/>
      <c r="YN2485" s="58"/>
      <c r="YO2485" s="58"/>
      <c r="YP2485" s="60"/>
      <c r="YQ2485" s="60"/>
      <c r="YR2485" s="60"/>
      <c r="YS2485" s="58"/>
      <c r="YT2485" s="61"/>
      <c r="YU2485" s="58"/>
      <c r="YV2485" s="58"/>
      <c r="YW2485" s="58"/>
      <c r="YX2485" s="60"/>
      <c r="YY2485" s="60"/>
      <c r="YZ2485" s="60"/>
      <c r="ZA2485" s="58"/>
      <c r="ZB2485" s="61"/>
      <c r="ZC2485" s="58"/>
      <c r="ZD2485" s="58"/>
      <c r="ZE2485" s="58"/>
      <c r="ZF2485" s="60"/>
      <c r="ZG2485" s="60"/>
      <c r="ZH2485" s="60"/>
      <c r="ZI2485" s="58"/>
      <c r="ZJ2485" s="61"/>
      <c r="ZK2485" s="58"/>
      <c r="ZL2485" s="58"/>
      <c r="ZM2485" s="58"/>
      <c r="ZN2485" s="60"/>
      <c r="ZO2485" s="60"/>
      <c r="ZP2485" s="60"/>
      <c r="ZQ2485" s="58"/>
      <c r="ZR2485" s="61"/>
      <c r="ZS2485" s="58"/>
      <c r="ZT2485" s="58"/>
      <c r="ZU2485" s="58"/>
      <c r="ZV2485" s="60"/>
      <c r="ZW2485" s="60"/>
      <c r="ZX2485" s="60"/>
      <c r="ZY2485" s="58"/>
      <c r="ZZ2485" s="61"/>
      <c r="AAA2485" s="58"/>
      <c r="AAB2485" s="58"/>
      <c r="AAC2485" s="58"/>
      <c r="AAD2485" s="60"/>
      <c r="AAE2485" s="60"/>
      <c r="AAF2485" s="60"/>
      <c r="AAG2485" s="58"/>
      <c r="AAH2485" s="61"/>
      <c r="AAI2485" s="58"/>
      <c r="AAJ2485" s="58"/>
      <c r="AAK2485" s="58"/>
      <c r="AAL2485" s="60"/>
      <c r="AAM2485" s="60"/>
      <c r="AAN2485" s="60"/>
      <c r="AAO2485" s="58"/>
      <c r="AAP2485" s="61"/>
      <c r="AAQ2485" s="58"/>
      <c r="AAR2485" s="58"/>
      <c r="AAS2485" s="58"/>
      <c r="AAT2485" s="60"/>
      <c r="AAU2485" s="60"/>
      <c r="AAV2485" s="60"/>
      <c r="AAW2485" s="58"/>
      <c r="AAX2485" s="61"/>
      <c r="AAY2485" s="58"/>
      <c r="AAZ2485" s="58"/>
      <c r="ABA2485" s="58"/>
      <c r="ABB2485" s="60"/>
      <c r="ABC2485" s="60"/>
      <c r="ABD2485" s="60"/>
      <c r="ABE2485" s="58"/>
      <c r="ABF2485" s="61"/>
      <c r="ABG2485" s="58"/>
      <c r="ABH2485" s="58"/>
      <c r="ABI2485" s="58"/>
      <c r="ABJ2485" s="60"/>
      <c r="ABK2485" s="60"/>
      <c r="ABL2485" s="60"/>
      <c r="ABM2485" s="58"/>
      <c r="ABN2485" s="61"/>
      <c r="ABO2485" s="58"/>
      <c r="ABP2485" s="58"/>
      <c r="ABQ2485" s="58"/>
      <c r="ABR2485" s="60"/>
      <c r="ABS2485" s="60"/>
      <c r="ABT2485" s="60"/>
      <c r="ABU2485" s="58"/>
      <c r="ABV2485" s="61"/>
      <c r="ABW2485" s="58"/>
      <c r="ABX2485" s="58"/>
      <c r="ABY2485" s="58"/>
      <c r="ABZ2485" s="60"/>
      <c r="ACA2485" s="60"/>
      <c r="ACB2485" s="60"/>
      <c r="ACC2485" s="58"/>
      <c r="ACD2485" s="61"/>
      <c r="ACE2485" s="58"/>
      <c r="ACF2485" s="58"/>
      <c r="ACG2485" s="58"/>
      <c r="ACH2485" s="60"/>
      <c r="ACI2485" s="60"/>
      <c r="ACJ2485" s="60"/>
      <c r="ACK2485" s="58"/>
      <c r="ACL2485" s="61"/>
      <c r="ACM2485" s="58"/>
      <c r="ACN2485" s="58"/>
      <c r="ACO2485" s="58"/>
      <c r="ACP2485" s="60"/>
      <c r="ACQ2485" s="60"/>
      <c r="ACR2485" s="60"/>
      <c r="ACS2485" s="58"/>
      <c r="ACT2485" s="61"/>
      <c r="ACU2485" s="58"/>
      <c r="ACV2485" s="58"/>
      <c r="ACW2485" s="58"/>
      <c r="ACX2485" s="60"/>
      <c r="ACY2485" s="60"/>
      <c r="ACZ2485" s="60"/>
      <c r="ADA2485" s="58"/>
      <c r="ADB2485" s="61"/>
      <c r="ADC2485" s="58"/>
      <c r="ADD2485" s="58"/>
      <c r="ADE2485" s="58"/>
      <c r="ADF2485" s="60"/>
      <c r="ADG2485" s="60"/>
      <c r="ADH2485" s="60"/>
      <c r="ADI2485" s="58"/>
      <c r="ADJ2485" s="61"/>
      <c r="ADK2485" s="58"/>
      <c r="ADL2485" s="58"/>
      <c r="ADM2485" s="58"/>
      <c r="ADN2485" s="60"/>
      <c r="ADO2485" s="60"/>
      <c r="ADP2485" s="60"/>
      <c r="ADQ2485" s="58"/>
      <c r="ADR2485" s="61"/>
      <c r="ADS2485" s="58"/>
      <c r="ADT2485" s="58"/>
      <c r="ADU2485" s="58"/>
      <c r="ADV2485" s="60"/>
      <c r="ADW2485" s="60"/>
      <c r="ADX2485" s="60"/>
      <c r="ADY2485" s="58"/>
      <c r="ADZ2485" s="61"/>
      <c r="AEA2485" s="58"/>
      <c r="AEB2485" s="58"/>
      <c r="AEC2485" s="58"/>
      <c r="AED2485" s="60"/>
      <c r="AEE2485" s="60"/>
      <c r="AEF2485" s="60"/>
      <c r="AEG2485" s="58"/>
      <c r="AEH2485" s="61"/>
      <c r="AEI2485" s="58"/>
      <c r="AEJ2485" s="58"/>
      <c r="AEK2485" s="58"/>
      <c r="AEL2485" s="60"/>
      <c r="AEM2485" s="60"/>
      <c r="AEN2485" s="60"/>
      <c r="AEO2485" s="58"/>
      <c r="AEP2485" s="61"/>
      <c r="AEQ2485" s="58"/>
      <c r="AER2485" s="58"/>
      <c r="AES2485" s="58"/>
      <c r="AET2485" s="60"/>
      <c r="AEU2485" s="60"/>
      <c r="AEV2485" s="60"/>
      <c r="AEW2485" s="58"/>
      <c r="AEX2485" s="61"/>
      <c r="AEY2485" s="58"/>
      <c r="AEZ2485" s="58"/>
      <c r="AFA2485" s="58"/>
      <c r="AFB2485" s="60"/>
      <c r="AFC2485" s="60"/>
      <c r="AFD2485" s="60"/>
      <c r="AFE2485" s="58"/>
      <c r="AFF2485" s="61"/>
      <c r="AFG2485" s="58"/>
      <c r="AFH2485" s="58"/>
      <c r="AFI2485" s="58"/>
      <c r="AFJ2485" s="60"/>
      <c r="AFK2485" s="60"/>
      <c r="AFL2485" s="60"/>
      <c r="AFM2485" s="58"/>
      <c r="AFN2485" s="61"/>
      <c r="AFO2485" s="58"/>
      <c r="AFP2485" s="58"/>
      <c r="AFQ2485" s="58"/>
      <c r="AFR2485" s="60"/>
      <c r="AFS2485" s="60"/>
      <c r="AFT2485" s="60"/>
      <c r="AFU2485" s="58"/>
      <c r="AFV2485" s="61"/>
      <c r="AFW2485" s="58"/>
      <c r="AFX2485" s="58"/>
      <c r="AFY2485" s="58"/>
      <c r="AFZ2485" s="60"/>
      <c r="AGA2485" s="60"/>
      <c r="AGB2485" s="60"/>
      <c r="AGC2485" s="58"/>
      <c r="AGD2485" s="61"/>
      <c r="AGE2485" s="58"/>
      <c r="AGF2485" s="58"/>
      <c r="AGG2485" s="58"/>
      <c r="AGH2485" s="60"/>
      <c r="AGI2485" s="60"/>
      <c r="AGJ2485" s="60"/>
      <c r="AGK2485" s="58"/>
      <c r="AGL2485" s="61"/>
      <c r="AGM2485" s="58"/>
      <c r="AGN2485" s="58"/>
      <c r="AGO2485" s="58"/>
      <c r="AGP2485" s="60"/>
      <c r="AGQ2485" s="60"/>
      <c r="AGR2485" s="60"/>
      <c r="AGS2485" s="58"/>
      <c r="AGT2485" s="61"/>
      <c r="AGU2485" s="58"/>
      <c r="AGV2485" s="58"/>
      <c r="AGW2485" s="58"/>
      <c r="AGX2485" s="60"/>
      <c r="AGY2485" s="60"/>
      <c r="AGZ2485" s="60"/>
      <c r="AHA2485" s="58"/>
      <c r="AHB2485" s="61"/>
      <c r="AHC2485" s="58"/>
      <c r="AHD2485" s="58"/>
      <c r="AHE2485" s="58"/>
      <c r="AHF2485" s="60"/>
      <c r="AHG2485" s="60"/>
      <c r="AHH2485" s="60"/>
      <c r="AHI2485" s="58"/>
      <c r="AHJ2485" s="61"/>
      <c r="AHK2485" s="58"/>
      <c r="AHL2485" s="58"/>
      <c r="AHM2485" s="58"/>
      <c r="AHN2485" s="60"/>
      <c r="AHO2485" s="60"/>
      <c r="AHP2485" s="60"/>
      <c r="AHQ2485" s="58"/>
      <c r="AHR2485" s="61"/>
      <c r="AHS2485" s="58"/>
      <c r="AHT2485" s="58"/>
      <c r="AHU2485" s="58"/>
      <c r="AHV2485" s="60"/>
      <c r="AHW2485" s="60"/>
      <c r="AHX2485" s="60"/>
      <c r="AHY2485" s="58"/>
      <c r="AHZ2485" s="61"/>
      <c r="AIA2485" s="58"/>
      <c r="AIB2485" s="58"/>
      <c r="AIC2485" s="58"/>
      <c r="AID2485" s="60"/>
      <c r="AIE2485" s="60"/>
      <c r="AIF2485" s="60"/>
      <c r="AIG2485" s="58"/>
      <c r="AIH2485" s="61"/>
      <c r="AII2485" s="58"/>
      <c r="AIJ2485" s="58"/>
      <c r="AIK2485" s="58"/>
      <c r="AIL2485" s="60"/>
      <c r="AIM2485" s="60"/>
      <c r="AIN2485" s="60"/>
      <c r="AIO2485" s="58"/>
      <c r="AIP2485" s="61"/>
      <c r="AIQ2485" s="58"/>
      <c r="AIR2485" s="58"/>
      <c r="AIS2485" s="58"/>
      <c r="AIT2485" s="60"/>
      <c r="AIU2485" s="60"/>
      <c r="AIV2485" s="60"/>
      <c r="AIW2485" s="58"/>
      <c r="AIX2485" s="61"/>
      <c r="AIY2485" s="58"/>
      <c r="AIZ2485" s="58"/>
      <c r="AJA2485" s="58"/>
      <c r="AJB2485" s="60"/>
      <c r="AJC2485" s="60"/>
      <c r="AJD2485" s="60"/>
      <c r="AJE2485" s="58"/>
      <c r="AJF2485" s="61"/>
      <c r="AJG2485" s="58"/>
      <c r="AJH2485" s="58"/>
      <c r="AJI2485" s="58"/>
      <c r="AJJ2485" s="60"/>
      <c r="AJK2485" s="60"/>
      <c r="AJL2485" s="60"/>
      <c r="AJM2485" s="58"/>
      <c r="AJN2485" s="61"/>
      <c r="AJO2485" s="58"/>
      <c r="AJP2485" s="58"/>
      <c r="AJQ2485" s="58"/>
      <c r="AJR2485" s="60"/>
      <c r="AJS2485" s="60"/>
      <c r="AJT2485" s="60"/>
      <c r="AJU2485" s="58"/>
      <c r="AJV2485" s="61"/>
      <c r="AJW2485" s="58"/>
      <c r="AJX2485" s="58"/>
      <c r="AJY2485" s="58"/>
      <c r="AJZ2485" s="60"/>
      <c r="AKA2485" s="60"/>
      <c r="AKB2485" s="60"/>
      <c r="AKC2485" s="58"/>
      <c r="AKD2485" s="61"/>
      <c r="AKE2485" s="58"/>
      <c r="AKF2485" s="58"/>
      <c r="AKG2485" s="58"/>
      <c r="AKH2485" s="60"/>
      <c r="AKI2485" s="60"/>
      <c r="AKJ2485" s="60"/>
      <c r="AKK2485" s="58"/>
      <c r="AKL2485" s="61"/>
      <c r="AKM2485" s="58"/>
      <c r="AKN2485" s="58"/>
      <c r="AKO2485" s="58"/>
      <c r="AKP2485" s="60"/>
      <c r="AKQ2485" s="60"/>
      <c r="AKR2485" s="60"/>
      <c r="AKS2485" s="58"/>
      <c r="AKT2485" s="61"/>
      <c r="AKU2485" s="58"/>
      <c r="AKV2485" s="58"/>
      <c r="AKW2485" s="58"/>
      <c r="AKX2485" s="60"/>
      <c r="AKY2485" s="60"/>
      <c r="AKZ2485" s="60"/>
      <c r="ALA2485" s="58"/>
      <c r="ALB2485" s="61"/>
      <c r="ALC2485" s="58"/>
      <c r="ALD2485" s="58"/>
      <c r="ALE2485" s="58"/>
      <c r="ALF2485" s="60"/>
      <c r="ALG2485" s="60"/>
      <c r="ALH2485" s="60"/>
      <c r="ALI2485" s="58"/>
      <c r="ALJ2485" s="61"/>
      <c r="ALK2485" s="58"/>
      <c r="ALL2485" s="58"/>
      <c r="ALM2485" s="58"/>
      <c r="ALN2485" s="60"/>
      <c r="ALO2485" s="60"/>
      <c r="ALP2485" s="60"/>
      <c r="ALQ2485" s="58"/>
      <c r="ALR2485" s="61"/>
      <c r="ALS2485" s="58"/>
      <c r="ALT2485" s="58"/>
      <c r="ALU2485" s="58"/>
      <c r="ALV2485" s="60"/>
      <c r="ALW2485" s="60"/>
      <c r="ALX2485" s="60"/>
      <c r="ALY2485" s="58"/>
      <c r="ALZ2485" s="61"/>
      <c r="AMA2485" s="58"/>
      <c r="AMB2485" s="58"/>
      <c r="AMC2485" s="58"/>
      <c r="AMD2485" s="60"/>
      <c r="AME2485" s="60"/>
      <c r="AMF2485" s="60"/>
      <c r="AMG2485" s="58"/>
      <c r="AMH2485" s="61"/>
      <c r="AMI2485" s="58"/>
      <c r="AMJ2485" s="58"/>
      <c r="AMK2485" s="58"/>
      <c r="AML2485" s="60"/>
      <c r="AMM2485" s="60"/>
      <c r="AMN2485" s="60"/>
      <c r="AMO2485" s="58"/>
      <c r="AMP2485" s="61"/>
      <c r="AMQ2485" s="58"/>
      <c r="AMR2485" s="58"/>
      <c r="AMS2485" s="58"/>
      <c r="AMT2485" s="60"/>
      <c r="AMU2485" s="60"/>
      <c r="AMV2485" s="60"/>
      <c r="AMW2485" s="58"/>
      <c r="AMX2485" s="61"/>
      <c r="AMY2485" s="58"/>
      <c r="AMZ2485" s="58"/>
      <c r="ANA2485" s="58"/>
      <c r="ANB2485" s="60"/>
      <c r="ANC2485" s="60"/>
      <c r="AND2485" s="60"/>
      <c r="ANE2485" s="58"/>
      <c r="ANF2485" s="61"/>
      <c r="ANG2485" s="58"/>
      <c r="ANH2485" s="58"/>
      <c r="ANI2485" s="58"/>
      <c r="ANJ2485" s="60"/>
      <c r="ANK2485" s="60"/>
      <c r="ANL2485" s="60"/>
      <c r="ANM2485" s="58"/>
      <c r="ANN2485" s="61"/>
      <c r="ANO2485" s="58"/>
      <c r="ANP2485" s="58"/>
      <c r="ANQ2485" s="58"/>
      <c r="ANR2485" s="60"/>
      <c r="ANS2485" s="60"/>
      <c r="ANT2485" s="60"/>
      <c r="ANU2485" s="58"/>
      <c r="ANV2485" s="61"/>
      <c r="ANW2485" s="58"/>
      <c r="ANX2485" s="58"/>
      <c r="ANY2485" s="58"/>
      <c r="ANZ2485" s="60"/>
      <c r="AOA2485" s="60"/>
      <c r="AOB2485" s="60"/>
      <c r="AOC2485" s="58"/>
      <c r="AOD2485" s="61"/>
      <c r="AOE2485" s="58"/>
      <c r="AOF2485" s="58"/>
      <c r="AOG2485" s="58"/>
      <c r="AOH2485" s="60"/>
      <c r="AOI2485" s="60"/>
      <c r="AOJ2485" s="60"/>
      <c r="AOK2485" s="58"/>
      <c r="AOL2485" s="61"/>
      <c r="AOM2485" s="58"/>
      <c r="AON2485" s="58"/>
      <c r="AOO2485" s="58"/>
      <c r="AOP2485" s="60"/>
      <c r="AOQ2485" s="60"/>
      <c r="AOR2485" s="60"/>
      <c r="AOS2485" s="58"/>
      <c r="AOT2485" s="61"/>
      <c r="AOU2485" s="58"/>
      <c r="AOV2485" s="58"/>
      <c r="AOW2485" s="58"/>
      <c r="AOX2485" s="60"/>
      <c r="AOY2485" s="60"/>
      <c r="AOZ2485" s="60"/>
      <c r="APA2485" s="58"/>
      <c r="APB2485" s="61"/>
      <c r="APC2485" s="58"/>
      <c r="APD2485" s="58"/>
      <c r="APE2485" s="58"/>
      <c r="APF2485" s="60"/>
      <c r="APG2485" s="60"/>
      <c r="APH2485" s="60"/>
      <c r="API2485" s="58"/>
      <c r="APJ2485" s="61"/>
      <c r="APK2485" s="58"/>
      <c r="APL2485" s="58"/>
      <c r="APM2485" s="58"/>
      <c r="APN2485" s="60"/>
      <c r="APO2485" s="60"/>
      <c r="APP2485" s="60"/>
      <c r="APQ2485" s="58"/>
      <c r="APR2485" s="61"/>
      <c r="APS2485" s="58"/>
      <c r="APT2485" s="58"/>
      <c r="APU2485" s="58"/>
      <c r="APV2485" s="60"/>
      <c r="APW2485" s="60"/>
      <c r="APX2485" s="60"/>
      <c r="APY2485" s="58"/>
      <c r="APZ2485" s="61"/>
      <c r="AQA2485" s="58"/>
      <c r="AQB2485" s="58"/>
      <c r="AQC2485" s="58"/>
      <c r="AQD2485" s="60"/>
      <c r="AQE2485" s="60"/>
      <c r="AQF2485" s="60"/>
      <c r="AQG2485" s="58"/>
      <c r="AQH2485" s="61"/>
      <c r="AQI2485" s="58"/>
      <c r="AQJ2485" s="58"/>
      <c r="AQK2485" s="58"/>
      <c r="AQL2485" s="60"/>
      <c r="AQM2485" s="60"/>
      <c r="AQN2485" s="60"/>
      <c r="AQO2485" s="58"/>
      <c r="AQP2485" s="61"/>
      <c r="AQQ2485" s="58"/>
      <c r="AQR2485" s="58"/>
      <c r="AQS2485" s="58"/>
      <c r="AQT2485" s="60"/>
      <c r="AQU2485" s="60"/>
      <c r="AQV2485" s="60"/>
      <c r="AQW2485" s="58"/>
      <c r="AQX2485" s="61"/>
      <c r="AQY2485" s="58"/>
      <c r="AQZ2485" s="58"/>
      <c r="ARA2485" s="58"/>
      <c r="ARB2485" s="60"/>
      <c r="ARC2485" s="60"/>
      <c r="ARD2485" s="60"/>
      <c r="ARE2485" s="58"/>
      <c r="ARF2485" s="61"/>
      <c r="ARG2485" s="58"/>
      <c r="ARH2485" s="58"/>
      <c r="ARI2485" s="58"/>
      <c r="ARJ2485" s="60"/>
      <c r="ARK2485" s="60"/>
      <c r="ARL2485" s="60"/>
      <c r="ARM2485" s="58"/>
      <c r="ARN2485" s="61"/>
      <c r="ARO2485" s="58"/>
      <c r="ARP2485" s="58"/>
      <c r="ARQ2485" s="58"/>
      <c r="ARR2485" s="60"/>
      <c r="ARS2485" s="60"/>
      <c r="ART2485" s="60"/>
      <c r="ARU2485" s="58"/>
      <c r="ARV2485" s="61"/>
      <c r="ARW2485" s="58"/>
      <c r="ARX2485" s="58"/>
      <c r="ARY2485" s="58"/>
      <c r="ARZ2485" s="60"/>
      <c r="ASA2485" s="60"/>
      <c r="ASB2485" s="60"/>
      <c r="ASC2485" s="58"/>
      <c r="ASD2485" s="61"/>
      <c r="ASE2485" s="58"/>
      <c r="ASF2485" s="58"/>
      <c r="ASG2485" s="58"/>
      <c r="ASH2485" s="60"/>
      <c r="ASI2485" s="60"/>
      <c r="ASJ2485" s="60"/>
      <c r="ASK2485" s="58"/>
      <c r="ASL2485" s="61"/>
      <c r="ASM2485" s="58"/>
      <c r="ASN2485" s="58"/>
      <c r="ASO2485" s="58"/>
      <c r="ASP2485" s="60"/>
      <c r="ASQ2485" s="60"/>
      <c r="ASR2485" s="60"/>
      <c r="ASS2485" s="58"/>
      <c r="AST2485" s="61"/>
      <c r="ASU2485" s="58"/>
      <c r="ASV2485" s="58"/>
      <c r="ASW2485" s="58"/>
      <c r="ASX2485" s="60"/>
      <c r="ASY2485" s="60"/>
      <c r="ASZ2485" s="60"/>
      <c r="ATA2485" s="58"/>
      <c r="ATB2485" s="61"/>
      <c r="ATC2485" s="58"/>
      <c r="ATD2485" s="58"/>
      <c r="ATE2485" s="58"/>
      <c r="ATF2485" s="60"/>
      <c r="ATG2485" s="60"/>
      <c r="ATH2485" s="60"/>
      <c r="ATI2485" s="58"/>
      <c r="ATJ2485" s="61"/>
      <c r="ATK2485" s="58"/>
      <c r="ATL2485" s="58"/>
      <c r="ATM2485" s="58"/>
      <c r="ATN2485" s="60"/>
      <c r="ATO2485" s="60"/>
      <c r="ATP2485" s="60"/>
      <c r="ATQ2485" s="58"/>
      <c r="ATR2485" s="61"/>
      <c r="ATS2485" s="58"/>
      <c r="ATT2485" s="58"/>
      <c r="ATU2485" s="58"/>
      <c r="ATV2485" s="60"/>
      <c r="ATW2485" s="60"/>
      <c r="ATX2485" s="60"/>
      <c r="ATY2485" s="58"/>
      <c r="ATZ2485" s="61"/>
      <c r="AUA2485" s="58"/>
      <c r="AUB2485" s="58"/>
      <c r="AUC2485" s="58"/>
      <c r="AUD2485" s="60"/>
      <c r="AUE2485" s="60"/>
      <c r="AUF2485" s="60"/>
      <c r="AUG2485" s="58"/>
      <c r="AUH2485" s="61"/>
      <c r="AUI2485" s="58"/>
      <c r="AUJ2485" s="58"/>
      <c r="AUK2485" s="58"/>
      <c r="AUL2485" s="60"/>
      <c r="AUM2485" s="60"/>
      <c r="AUN2485" s="60"/>
      <c r="AUO2485" s="58"/>
      <c r="AUP2485" s="61"/>
      <c r="AUQ2485" s="58"/>
      <c r="AUR2485" s="58"/>
      <c r="AUS2485" s="58"/>
      <c r="AUT2485" s="60"/>
      <c r="AUU2485" s="60"/>
      <c r="AUV2485" s="60"/>
      <c r="AUW2485" s="58"/>
      <c r="AUX2485" s="61"/>
      <c r="AUY2485" s="58"/>
      <c r="AUZ2485" s="58"/>
      <c r="AVA2485" s="58"/>
      <c r="AVB2485" s="60"/>
      <c r="AVC2485" s="60"/>
      <c r="AVD2485" s="60"/>
      <c r="AVE2485" s="58"/>
      <c r="AVF2485" s="61"/>
      <c r="AVG2485" s="58"/>
      <c r="AVH2485" s="58"/>
      <c r="AVI2485" s="58"/>
      <c r="AVJ2485" s="60"/>
      <c r="AVK2485" s="60"/>
      <c r="AVL2485" s="60"/>
      <c r="AVM2485" s="58"/>
      <c r="AVN2485" s="61"/>
      <c r="AVO2485" s="58"/>
      <c r="AVP2485" s="58"/>
      <c r="AVQ2485" s="58"/>
      <c r="AVR2485" s="60"/>
      <c r="AVS2485" s="60"/>
      <c r="AVT2485" s="60"/>
      <c r="AVU2485" s="58"/>
      <c r="AVV2485" s="61"/>
      <c r="AVW2485" s="58"/>
      <c r="AVX2485" s="58"/>
      <c r="AVY2485" s="58"/>
      <c r="AVZ2485" s="60"/>
      <c r="AWA2485" s="60"/>
      <c r="AWB2485" s="60"/>
      <c r="AWC2485" s="58"/>
      <c r="AWD2485" s="61"/>
      <c r="AWE2485" s="58"/>
      <c r="AWF2485" s="58"/>
      <c r="AWG2485" s="58"/>
      <c r="AWH2485" s="60"/>
      <c r="AWI2485" s="60"/>
      <c r="AWJ2485" s="60"/>
      <c r="AWK2485" s="58"/>
      <c r="AWL2485" s="61"/>
      <c r="AWM2485" s="58"/>
      <c r="AWN2485" s="58"/>
      <c r="AWO2485" s="58"/>
      <c r="AWP2485" s="60"/>
      <c r="AWQ2485" s="60"/>
      <c r="AWR2485" s="60"/>
      <c r="AWS2485" s="58"/>
      <c r="AWT2485" s="61"/>
      <c r="AWU2485" s="58"/>
      <c r="AWV2485" s="58"/>
      <c r="AWW2485" s="58"/>
      <c r="AWX2485" s="60"/>
      <c r="AWY2485" s="60"/>
      <c r="AWZ2485" s="60"/>
      <c r="AXA2485" s="58"/>
      <c r="AXB2485" s="61"/>
      <c r="AXC2485" s="58"/>
      <c r="AXD2485" s="58"/>
      <c r="AXE2485" s="58"/>
      <c r="AXF2485" s="60"/>
      <c r="AXG2485" s="60"/>
      <c r="AXH2485" s="60"/>
      <c r="AXI2485" s="58"/>
      <c r="AXJ2485" s="61"/>
      <c r="AXK2485" s="58"/>
      <c r="AXL2485" s="58"/>
      <c r="AXM2485" s="58"/>
      <c r="AXN2485" s="60"/>
      <c r="AXO2485" s="60"/>
      <c r="AXP2485" s="60"/>
      <c r="AXQ2485" s="58"/>
      <c r="AXR2485" s="61"/>
      <c r="AXS2485" s="58"/>
      <c r="AXT2485" s="58"/>
      <c r="AXU2485" s="58"/>
      <c r="AXV2485" s="60"/>
      <c r="AXW2485" s="60"/>
      <c r="AXX2485" s="60"/>
      <c r="AXY2485" s="58"/>
      <c r="AXZ2485" s="61"/>
      <c r="AYA2485" s="58"/>
      <c r="AYB2485" s="58"/>
      <c r="AYC2485" s="58"/>
      <c r="AYD2485" s="60"/>
      <c r="AYE2485" s="60"/>
      <c r="AYF2485" s="60"/>
      <c r="AYG2485" s="58"/>
      <c r="AYH2485" s="61"/>
      <c r="AYI2485" s="58"/>
      <c r="AYJ2485" s="58"/>
      <c r="AYK2485" s="58"/>
      <c r="AYL2485" s="60"/>
      <c r="AYM2485" s="60"/>
      <c r="AYN2485" s="60"/>
      <c r="AYO2485" s="58"/>
      <c r="AYP2485" s="61"/>
      <c r="AYQ2485" s="58"/>
      <c r="AYR2485" s="58"/>
      <c r="AYS2485" s="58"/>
      <c r="AYT2485" s="60"/>
      <c r="AYU2485" s="60"/>
      <c r="AYV2485" s="60"/>
      <c r="AYW2485" s="58"/>
      <c r="AYX2485" s="61"/>
      <c r="AYY2485" s="58"/>
      <c r="AYZ2485" s="58"/>
      <c r="AZA2485" s="58"/>
      <c r="AZB2485" s="60"/>
      <c r="AZC2485" s="60"/>
      <c r="AZD2485" s="60"/>
      <c r="AZE2485" s="58"/>
      <c r="AZF2485" s="61"/>
      <c r="AZG2485" s="58"/>
      <c r="AZH2485" s="58"/>
      <c r="AZI2485" s="58"/>
      <c r="AZJ2485" s="60"/>
      <c r="AZK2485" s="60"/>
      <c r="AZL2485" s="60"/>
      <c r="AZM2485" s="58"/>
      <c r="AZN2485" s="61"/>
      <c r="AZO2485" s="58"/>
      <c r="AZP2485" s="58"/>
      <c r="AZQ2485" s="58"/>
      <c r="AZR2485" s="60"/>
      <c r="AZS2485" s="60"/>
      <c r="AZT2485" s="60"/>
      <c r="AZU2485" s="58"/>
      <c r="AZV2485" s="61"/>
      <c r="AZW2485" s="58"/>
      <c r="AZX2485" s="58"/>
      <c r="AZY2485" s="58"/>
      <c r="AZZ2485" s="60"/>
      <c r="BAA2485" s="60"/>
      <c r="BAB2485" s="60"/>
      <c r="BAC2485" s="58"/>
      <c r="BAD2485" s="61"/>
      <c r="BAE2485" s="58"/>
      <c r="BAF2485" s="58"/>
      <c r="BAG2485" s="58"/>
      <c r="BAH2485" s="60"/>
      <c r="BAI2485" s="60"/>
      <c r="BAJ2485" s="60"/>
      <c r="BAK2485" s="58"/>
      <c r="BAL2485" s="61"/>
      <c r="BAM2485" s="58"/>
      <c r="BAN2485" s="58"/>
      <c r="BAO2485" s="58"/>
      <c r="BAP2485" s="60"/>
      <c r="BAQ2485" s="60"/>
      <c r="BAR2485" s="60"/>
      <c r="BAS2485" s="58"/>
      <c r="BAT2485" s="61"/>
      <c r="BAU2485" s="58"/>
      <c r="BAV2485" s="58"/>
      <c r="BAW2485" s="58"/>
      <c r="BAX2485" s="60"/>
      <c r="BAY2485" s="60"/>
      <c r="BAZ2485" s="60"/>
      <c r="BBA2485" s="58"/>
      <c r="BBB2485" s="61"/>
      <c r="BBC2485" s="58"/>
      <c r="BBD2485" s="58"/>
      <c r="BBE2485" s="58"/>
      <c r="BBF2485" s="60"/>
      <c r="BBG2485" s="60"/>
      <c r="BBH2485" s="60"/>
      <c r="BBI2485" s="58"/>
      <c r="BBJ2485" s="61"/>
      <c r="BBK2485" s="58"/>
      <c r="BBL2485" s="58"/>
      <c r="BBM2485" s="58"/>
      <c r="BBN2485" s="60"/>
      <c r="BBO2485" s="60"/>
      <c r="BBP2485" s="60"/>
      <c r="BBQ2485" s="58"/>
      <c r="BBR2485" s="61"/>
      <c r="BBS2485" s="58"/>
      <c r="BBT2485" s="58"/>
      <c r="BBU2485" s="58"/>
      <c r="BBV2485" s="60"/>
      <c r="BBW2485" s="60"/>
      <c r="BBX2485" s="60"/>
      <c r="BBY2485" s="58"/>
      <c r="BBZ2485" s="61"/>
      <c r="BCA2485" s="58"/>
      <c r="BCB2485" s="58"/>
      <c r="BCC2485" s="58"/>
      <c r="BCD2485" s="60"/>
      <c r="BCE2485" s="60"/>
      <c r="BCF2485" s="60"/>
      <c r="BCG2485" s="58"/>
      <c r="BCH2485" s="61"/>
      <c r="BCI2485" s="58"/>
      <c r="BCJ2485" s="58"/>
      <c r="BCK2485" s="58"/>
      <c r="BCL2485" s="60"/>
      <c r="BCM2485" s="60"/>
      <c r="BCN2485" s="60"/>
      <c r="BCO2485" s="58"/>
      <c r="BCP2485" s="61"/>
      <c r="BCQ2485" s="58"/>
      <c r="BCR2485" s="58"/>
      <c r="BCS2485" s="58"/>
      <c r="BCT2485" s="60"/>
      <c r="BCU2485" s="60"/>
      <c r="BCV2485" s="60"/>
      <c r="BCW2485" s="58"/>
      <c r="BCX2485" s="61"/>
      <c r="BCY2485" s="58"/>
      <c r="BCZ2485" s="58"/>
      <c r="BDA2485" s="58"/>
      <c r="BDB2485" s="60"/>
      <c r="BDC2485" s="60"/>
      <c r="BDD2485" s="60"/>
      <c r="BDE2485" s="58"/>
      <c r="BDF2485" s="61"/>
      <c r="BDG2485" s="58"/>
      <c r="BDH2485" s="58"/>
      <c r="BDI2485" s="58"/>
      <c r="BDJ2485" s="60"/>
      <c r="BDK2485" s="60"/>
      <c r="BDL2485" s="60"/>
      <c r="BDM2485" s="58"/>
      <c r="BDN2485" s="61"/>
      <c r="BDO2485" s="58"/>
      <c r="BDP2485" s="58"/>
      <c r="BDQ2485" s="58"/>
      <c r="BDR2485" s="60"/>
      <c r="BDS2485" s="60"/>
      <c r="BDT2485" s="60"/>
      <c r="BDU2485" s="58"/>
      <c r="BDV2485" s="61"/>
      <c r="BDW2485" s="58"/>
      <c r="BDX2485" s="58"/>
      <c r="BDY2485" s="58"/>
      <c r="BDZ2485" s="60"/>
      <c r="BEA2485" s="60"/>
      <c r="BEB2485" s="60"/>
      <c r="BEC2485" s="58"/>
      <c r="BED2485" s="61"/>
      <c r="BEE2485" s="58"/>
      <c r="BEF2485" s="58"/>
      <c r="BEG2485" s="58"/>
      <c r="BEH2485" s="60"/>
      <c r="BEI2485" s="60"/>
      <c r="BEJ2485" s="60"/>
      <c r="BEK2485" s="58"/>
      <c r="BEL2485" s="61"/>
      <c r="BEM2485" s="58"/>
      <c r="BEN2485" s="58"/>
      <c r="BEO2485" s="58"/>
      <c r="BEP2485" s="60"/>
      <c r="BEQ2485" s="60"/>
      <c r="BER2485" s="60"/>
      <c r="BES2485" s="58"/>
      <c r="BET2485" s="61"/>
      <c r="BEU2485" s="58"/>
      <c r="BEV2485" s="58"/>
      <c r="BEW2485" s="58"/>
      <c r="BEX2485" s="60"/>
      <c r="BEY2485" s="60"/>
      <c r="BEZ2485" s="60"/>
      <c r="BFA2485" s="58"/>
      <c r="BFB2485" s="61"/>
      <c r="BFC2485" s="58"/>
      <c r="BFD2485" s="58"/>
      <c r="BFE2485" s="58"/>
      <c r="BFF2485" s="60"/>
      <c r="BFG2485" s="60"/>
      <c r="BFH2485" s="60"/>
      <c r="BFI2485" s="58"/>
      <c r="BFJ2485" s="61"/>
      <c r="BFK2485" s="58"/>
      <c r="BFL2485" s="58"/>
      <c r="BFM2485" s="58"/>
      <c r="BFN2485" s="60"/>
      <c r="BFO2485" s="60"/>
      <c r="BFP2485" s="60"/>
      <c r="BFQ2485" s="58"/>
      <c r="BFR2485" s="61"/>
      <c r="BFS2485" s="58"/>
      <c r="BFT2485" s="58"/>
      <c r="BFU2485" s="58"/>
      <c r="BFV2485" s="60"/>
      <c r="BFW2485" s="60"/>
      <c r="BFX2485" s="60"/>
      <c r="BFY2485" s="58"/>
      <c r="BFZ2485" s="61"/>
      <c r="BGA2485" s="58"/>
      <c r="BGB2485" s="58"/>
      <c r="BGC2485" s="58"/>
      <c r="BGD2485" s="60"/>
      <c r="BGE2485" s="60"/>
      <c r="BGF2485" s="60"/>
      <c r="BGG2485" s="58"/>
      <c r="BGH2485" s="61"/>
      <c r="BGI2485" s="58"/>
      <c r="BGJ2485" s="58"/>
      <c r="BGK2485" s="58"/>
      <c r="BGL2485" s="60"/>
      <c r="BGM2485" s="60"/>
      <c r="BGN2485" s="60"/>
      <c r="BGO2485" s="58"/>
      <c r="BGP2485" s="61"/>
      <c r="BGQ2485" s="58"/>
      <c r="BGR2485" s="58"/>
      <c r="BGS2485" s="58"/>
      <c r="BGT2485" s="60"/>
      <c r="BGU2485" s="60"/>
      <c r="BGV2485" s="60"/>
      <c r="BGW2485" s="58"/>
      <c r="BGX2485" s="61"/>
      <c r="BGY2485" s="58"/>
      <c r="BGZ2485" s="58"/>
      <c r="BHA2485" s="58"/>
      <c r="BHB2485" s="60"/>
      <c r="BHC2485" s="60"/>
      <c r="BHD2485" s="60"/>
      <c r="BHE2485" s="58"/>
      <c r="BHF2485" s="61"/>
      <c r="BHG2485" s="58"/>
      <c r="BHH2485" s="58"/>
      <c r="BHI2485" s="58"/>
      <c r="BHJ2485" s="60"/>
      <c r="BHK2485" s="60"/>
      <c r="BHL2485" s="60"/>
      <c r="BHM2485" s="58"/>
      <c r="BHN2485" s="61"/>
      <c r="BHO2485" s="58"/>
      <c r="BHP2485" s="58"/>
      <c r="BHQ2485" s="58"/>
      <c r="BHR2485" s="60"/>
      <c r="BHS2485" s="60"/>
      <c r="BHT2485" s="60"/>
      <c r="BHU2485" s="58"/>
      <c r="BHV2485" s="61"/>
      <c r="BHW2485" s="58"/>
      <c r="BHX2485" s="58"/>
      <c r="BHY2485" s="58"/>
      <c r="BHZ2485" s="60"/>
      <c r="BIA2485" s="60"/>
      <c r="BIB2485" s="60"/>
      <c r="BIC2485" s="58"/>
      <c r="BID2485" s="61"/>
      <c r="BIE2485" s="58"/>
      <c r="BIF2485" s="58"/>
      <c r="BIG2485" s="58"/>
      <c r="BIH2485" s="60"/>
      <c r="BII2485" s="60"/>
      <c r="BIJ2485" s="60"/>
      <c r="BIK2485" s="58"/>
      <c r="BIL2485" s="61"/>
      <c r="BIM2485" s="58"/>
      <c r="BIN2485" s="58"/>
      <c r="BIO2485" s="58"/>
      <c r="BIP2485" s="60"/>
      <c r="BIQ2485" s="60"/>
      <c r="BIR2485" s="60"/>
      <c r="BIS2485" s="58"/>
      <c r="BIT2485" s="61"/>
      <c r="BIU2485" s="58"/>
      <c r="BIV2485" s="58"/>
      <c r="BIW2485" s="58"/>
      <c r="BIX2485" s="60"/>
      <c r="BIY2485" s="60"/>
      <c r="BIZ2485" s="60"/>
      <c r="BJA2485" s="58"/>
      <c r="BJB2485" s="61"/>
      <c r="BJC2485" s="58"/>
      <c r="BJD2485" s="58"/>
      <c r="BJE2485" s="58"/>
      <c r="BJF2485" s="60"/>
      <c r="BJG2485" s="60"/>
      <c r="BJH2485" s="60"/>
      <c r="BJI2485" s="58"/>
      <c r="BJJ2485" s="61"/>
      <c r="BJK2485" s="58"/>
      <c r="BJL2485" s="58"/>
      <c r="BJM2485" s="58"/>
      <c r="BJN2485" s="60"/>
      <c r="BJO2485" s="60"/>
      <c r="BJP2485" s="60"/>
      <c r="BJQ2485" s="58"/>
      <c r="BJR2485" s="61"/>
      <c r="BJS2485" s="58"/>
      <c r="BJT2485" s="58"/>
      <c r="BJU2485" s="58"/>
      <c r="BJV2485" s="60"/>
      <c r="BJW2485" s="60"/>
      <c r="BJX2485" s="60"/>
      <c r="BJY2485" s="58"/>
      <c r="BJZ2485" s="61"/>
      <c r="BKA2485" s="58"/>
      <c r="BKB2485" s="58"/>
      <c r="BKC2485" s="58"/>
      <c r="BKD2485" s="60"/>
      <c r="BKE2485" s="60"/>
      <c r="BKF2485" s="60"/>
      <c r="BKG2485" s="58"/>
      <c r="BKH2485" s="61"/>
      <c r="BKI2485" s="58"/>
      <c r="BKJ2485" s="58"/>
      <c r="BKK2485" s="58"/>
      <c r="BKL2485" s="60"/>
      <c r="BKM2485" s="60"/>
      <c r="BKN2485" s="60"/>
      <c r="BKO2485" s="58"/>
      <c r="BKP2485" s="61"/>
      <c r="BKQ2485" s="58"/>
      <c r="BKR2485" s="58"/>
      <c r="BKS2485" s="58"/>
      <c r="BKT2485" s="60"/>
      <c r="BKU2485" s="60"/>
      <c r="BKV2485" s="60"/>
      <c r="BKW2485" s="58"/>
      <c r="BKX2485" s="61"/>
      <c r="BKY2485" s="58"/>
      <c r="BKZ2485" s="58"/>
      <c r="BLA2485" s="58"/>
      <c r="BLB2485" s="60"/>
      <c r="BLC2485" s="60"/>
      <c r="BLD2485" s="60"/>
      <c r="BLE2485" s="58"/>
      <c r="BLF2485" s="61"/>
      <c r="BLG2485" s="58"/>
      <c r="BLH2485" s="58"/>
      <c r="BLI2485" s="58"/>
      <c r="BLJ2485" s="60"/>
      <c r="BLK2485" s="60"/>
      <c r="BLL2485" s="60"/>
      <c r="BLM2485" s="58"/>
      <c r="BLN2485" s="61"/>
      <c r="BLO2485" s="58"/>
      <c r="BLP2485" s="58"/>
      <c r="BLQ2485" s="58"/>
      <c r="BLR2485" s="60"/>
      <c r="BLS2485" s="60"/>
      <c r="BLT2485" s="60"/>
      <c r="BLU2485" s="58"/>
      <c r="BLV2485" s="61"/>
      <c r="BLW2485" s="58"/>
      <c r="BLX2485" s="58"/>
      <c r="BLY2485" s="58"/>
      <c r="BLZ2485" s="60"/>
      <c r="BMA2485" s="60"/>
      <c r="BMB2485" s="60"/>
      <c r="BMC2485" s="58"/>
      <c r="BMD2485" s="61"/>
      <c r="BME2485" s="58"/>
      <c r="BMF2485" s="58"/>
      <c r="BMG2485" s="58"/>
      <c r="BMH2485" s="60"/>
      <c r="BMI2485" s="60"/>
      <c r="BMJ2485" s="60"/>
      <c r="BMK2485" s="58"/>
      <c r="BML2485" s="61"/>
      <c r="BMM2485" s="58"/>
      <c r="BMN2485" s="58"/>
      <c r="BMO2485" s="58"/>
      <c r="BMP2485" s="60"/>
      <c r="BMQ2485" s="60"/>
      <c r="BMR2485" s="60"/>
      <c r="BMS2485" s="58"/>
      <c r="BMT2485" s="61"/>
      <c r="BMU2485" s="58"/>
      <c r="BMV2485" s="58"/>
      <c r="BMW2485" s="58"/>
      <c r="BMX2485" s="60"/>
      <c r="BMY2485" s="60"/>
      <c r="BMZ2485" s="60"/>
      <c r="BNA2485" s="58"/>
      <c r="BNB2485" s="61"/>
      <c r="BNC2485" s="58"/>
      <c r="BND2485" s="58"/>
      <c r="BNE2485" s="58"/>
      <c r="BNF2485" s="60"/>
      <c r="BNG2485" s="60"/>
      <c r="BNH2485" s="60"/>
      <c r="BNI2485" s="58"/>
      <c r="BNJ2485" s="61"/>
      <c r="BNK2485" s="58"/>
      <c r="BNL2485" s="58"/>
      <c r="BNM2485" s="58"/>
      <c r="BNN2485" s="60"/>
      <c r="BNO2485" s="60"/>
      <c r="BNP2485" s="60"/>
      <c r="BNQ2485" s="58"/>
      <c r="BNR2485" s="61"/>
      <c r="BNS2485" s="58"/>
      <c r="BNT2485" s="58"/>
      <c r="BNU2485" s="58"/>
      <c r="BNV2485" s="60"/>
      <c r="BNW2485" s="60"/>
      <c r="BNX2485" s="60"/>
      <c r="BNY2485" s="58"/>
      <c r="BNZ2485" s="61"/>
      <c r="BOA2485" s="58"/>
      <c r="BOB2485" s="58"/>
      <c r="BOC2485" s="58"/>
      <c r="BOD2485" s="60"/>
      <c r="BOE2485" s="60"/>
      <c r="BOF2485" s="60"/>
      <c r="BOG2485" s="58"/>
      <c r="BOH2485" s="61"/>
      <c r="BOI2485" s="58"/>
      <c r="BOJ2485" s="58"/>
      <c r="BOK2485" s="58"/>
      <c r="BOL2485" s="60"/>
      <c r="BOM2485" s="60"/>
      <c r="BON2485" s="60"/>
      <c r="BOO2485" s="58"/>
      <c r="BOP2485" s="61"/>
      <c r="BOQ2485" s="58"/>
      <c r="BOR2485" s="58"/>
      <c r="BOS2485" s="58"/>
      <c r="BOT2485" s="60"/>
      <c r="BOU2485" s="60"/>
      <c r="BOV2485" s="60"/>
      <c r="BOW2485" s="58"/>
      <c r="BOX2485" s="61"/>
      <c r="BOY2485" s="58"/>
      <c r="BOZ2485" s="58"/>
      <c r="BPA2485" s="58"/>
      <c r="BPB2485" s="60"/>
      <c r="BPC2485" s="60"/>
      <c r="BPD2485" s="60"/>
      <c r="BPE2485" s="58"/>
      <c r="BPF2485" s="61"/>
      <c r="BPG2485" s="58"/>
      <c r="BPH2485" s="58"/>
      <c r="BPI2485" s="58"/>
      <c r="BPJ2485" s="60"/>
      <c r="BPK2485" s="60"/>
      <c r="BPL2485" s="60"/>
      <c r="BPM2485" s="58"/>
      <c r="BPN2485" s="61"/>
      <c r="BPO2485" s="58"/>
      <c r="BPP2485" s="58"/>
      <c r="BPQ2485" s="58"/>
      <c r="BPR2485" s="60"/>
      <c r="BPS2485" s="60"/>
      <c r="BPT2485" s="60"/>
      <c r="BPU2485" s="58"/>
      <c r="BPV2485" s="61"/>
      <c r="BPW2485" s="58"/>
      <c r="BPX2485" s="58"/>
      <c r="BPY2485" s="58"/>
      <c r="BPZ2485" s="60"/>
      <c r="BQA2485" s="60"/>
      <c r="BQB2485" s="60"/>
      <c r="BQC2485" s="58"/>
      <c r="BQD2485" s="61"/>
      <c r="BQE2485" s="58"/>
      <c r="BQF2485" s="58"/>
      <c r="BQG2485" s="58"/>
      <c r="BQH2485" s="60"/>
      <c r="BQI2485" s="60"/>
      <c r="BQJ2485" s="60"/>
      <c r="BQK2485" s="58"/>
      <c r="BQL2485" s="61"/>
      <c r="BQM2485" s="58"/>
      <c r="BQN2485" s="58"/>
      <c r="BQO2485" s="58"/>
      <c r="BQP2485" s="60"/>
      <c r="BQQ2485" s="60"/>
      <c r="BQR2485" s="60"/>
      <c r="BQS2485" s="58"/>
      <c r="BQT2485" s="61"/>
      <c r="BQU2485" s="58"/>
      <c r="BQV2485" s="58"/>
      <c r="BQW2485" s="58"/>
      <c r="BQX2485" s="60"/>
      <c r="BQY2485" s="60"/>
      <c r="BQZ2485" s="60"/>
      <c r="BRA2485" s="58"/>
      <c r="BRB2485" s="61"/>
      <c r="BRC2485" s="58"/>
      <c r="BRD2485" s="58"/>
      <c r="BRE2485" s="58"/>
      <c r="BRF2485" s="60"/>
      <c r="BRG2485" s="60"/>
      <c r="BRH2485" s="60"/>
      <c r="BRI2485" s="58"/>
      <c r="BRJ2485" s="61"/>
      <c r="BRK2485" s="58"/>
      <c r="BRL2485" s="58"/>
      <c r="BRM2485" s="58"/>
      <c r="BRN2485" s="60"/>
      <c r="BRO2485" s="60"/>
      <c r="BRP2485" s="60"/>
      <c r="BRQ2485" s="58"/>
      <c r="BRR2485" s="61"/>
      <c r="BRS2485" s="58"/>
      <c r="BRT2485" s="58"/>
      <c r="BRU2485" s="58"/>
      <c r="BRV2485" s="60"/>
      <c r="BRW2485" s="60"/>
      <c r="BRX2485" s="60"/>
      <c r="BRY2485" s="58"/>
      <c r="BRZ2485" s="61"/>
      <c r="BSA2485" s="58"/>
      <c r="BSB2485" s="58"/>
      <c r="BSC2485" s="58"/>
      <c r="BSD2485" s="60"/>
      <c r="BSE2485" s="60"/>
      <c r="BSF2485" s="60"/>
      <c r="BSG2485" s="58"/>
      <c r="BSH2485" s="61"/>
      <c r="BSI2485" s="58"/>
      <c r="BSJ2485" s="58"/>
      <c r="BSK2485" s="58"/>
      <c r="BSL2485" s="60"/>
      <c r="BSM2485" s="60"/>
      <c r="BSN2485" s="60"/>
      <c r="BSO2485" s="58"/>
      <c r="BSP2485" s="61"/>
      <c r="BSQ2485" s="58"/>
      <c r="BSR2485" s="58"/>
      <c r="BSS2485" s="58"/>
      <c r="BST2485" s="60"/>
      <c r="BSU2485" s="60"/>
      <c r="BSV2485" s="60"/>
      <c r="BSW2485" s="58"/>
      <c r="BSX2485" s="61"/>
      <c r="BSY2485" s="58"/>
      <c r="BSZ2485" s="58"/>
      <c r="BTA2485" s="58"/>
      <c r="BTB2485" s="60"/>
      <c r="BTC2485" s="60"/>
      <c r="BTD2485" s="60"/>
      <c r="BTE2485" s="58"/>
      <c r="BTF2485" s="61"/>
      <c r="BTG2485" s="58"/>
      <c r="BTH2485" s="58"/>
      <c r="BTI2485" s="58"/>
      <c r="BTJ2485" s="60"/>
      <c r="BTK2485" s="60"/>
      <c r="BTL2485" s="60"/>
      <c r="BTM2485" s="58"/>
      <c r="BTN2485" s="61"/>
      <c r="BTO2485" s="58"/>
      <c r="BTP2485" s="58"/>
      <c r="BTQ2485" s="58"/>
      <c r="BTR2485" s="60"/>
      <c r="BTS2485" s="60"/>
      <c r="BTT2485" s="60"/>
      <c r="BTU2485" s="58"/>
      <c r="BTV2485" s="61"/>
      <c r="BTW2485" s="58"/>
      <c r="BTX2485" s="58"/>
      <c r="BTY2485" s="58"/>
      <c r="BTZ2485" s="60"/>
      <c r="BUA2485" s="60"/>
      <c r="BUB2485" s="60"/>
      <c r="BUC2485" s="58"/>
      <c r="BUD2485" s="61"/>
      <c r="BUE2485" s="58"/>
      <c r="BUF2485" s="58"/>
      <c r="BUG2485" s="58"/>
      <c r="BUH2485" s="60"/>
      <c r="BUI2485" s="60"/>
      <c r="BUJ2485" s="60"/>
      <c r="BUK2485" s="58"/>
      <c r="BUL2485" s="61"/>
      <c r="BUM2485" s="58"/>
      <c r="BUN2485" s="58"/>
      <c r="BUO2485" s="58"/>
      <c r="BUP2485" s="60"/>
      <c r="BUQ2485" s="60"/>
      <c r="BUR2485" s="60"/>
      <c r="BUS2485" s="58"/>
      <c r="BUT2485" s="61"/>
      <c r="BUU2485" s="58"/>
      <c r="BUV2485" s="58"/>
      <c r="BUW2485" s="58"/>
      <c r="BUX2485" s="60"/>
      <c r="BUY2485" s="60"/>
      <c r="BUZ2485" s="60"/>
      <c r="BVA2485" s="58"/>
      <c r="BVB2485" s="61"/>
      <c r="BVC2485" s="58"/>
      <c r="BVD2485" s="58"/>
      <c r="BVE2485" s="58"/>
      <c r="BVF2485" s="60"/>
      <c r="BVG2485" s="60"/>
      <c r="BVH2485" s="60"/>
      <c r="BVI2485" s="58"/>
      <c r="BVJ2485" s="61"/>
      <c r="BVK2485" s="58"/>
      <c r="BVL2485" s="58"/>
      <c r="BVM2485" s="58"/>
      <c r="BVN2485" s="60"/>
      <c r="BVO2485" s="60"/>
      <c r="BVP2485" s="60"/>
      <c r="BVQ2485" s="58"/>
      <c r="BVR2485" s="61"/>
      <c r="BVS2485" s="58"/>
      <c r="BVT2485" s="58"/>
      <c r="BVU2485" s="58"/>
      <c r="BVV2485" s="60"/>
      <c r="BVW2485" s="60"/>
      <c r="BVX2485" s="60"/>
      <c r="BVY2485" s="58"/>
      <c r="BVZ2485" s="61"/>
      <c r="BWA2485" s="58"/>
      <c r="BWB2485" s="58"/>
      <c r="BWC2485" s="58"/>
      <c r="BWD2485" s="60"/>
      <c r="BWE2485" s="60"/>
      <c r="BWF2485" s="60"/>
      <c r="BWG2485" s="58"/>
      <c r="BWH2485" s="61"/>
      <c r="BWI2485" s="58"/>
      <c r="BWJ2485" s="58"/>
      <c r="BWK2485" s="58"/>
      <c r="BWL2485" s="60"/>
      <c r="BWM2485" s="60"/>
      <c r="BWN2485" s="60"/>
      <c r="BWO2485" s="58"/>
      <c r="BWP2485" s="61"/>
      <c r="BWQ2485" s="58"/>
      <c r="BWR2485" s="58"/>
      <c r="BWS2485" s="58"/>
      <c r="BWT2485" s="60"/>
      <c r="BWU2485" s="60"/>
      <c r="BWV2485" s="60"/>
      <c r="BWW2485" s="58"/>
      <c r="BWX2485" s="61"/>
      <c r="BWY2485" s="58"/>
      <c r="BWZ2485" s="58"/>
      <c r="BXA2485" s="58"/>
      <c r="BXB2485" s="60"/>
      <c r="BXC2485" s="60"/>
      <c r="BXD2485" s="60"/>
      <c r="BXE2485" s="58"/>
      <c r="BXF2485" s="61"/>
      <c r="BXG2485" s="58"/>
      <c r="BXH2485" s="58"/>
      <c r="BXI2485" s="58"/>
      <c r="BXJ2485" s="60"/>
      <c r="BXK2485" s="60"/>
      <c r="BXL2485" s="60"/>
      <c r="BXM2485" s="58"/>
      <c r="BXN2485" s="61"/>
      <c r="BXO2485" s="58"/>
      <c r="BXP2485" s="58"/>
      <c r="BXQ2485" s="58"/>
      <c r="BXR2485" s="60"/>
      <c r="BXS2485" s="60"/>
      <c r="BXT2485" s="60"/>
      <c r="BXU2485" s="58"/>
      <c r="BXV2485" s="61"/>
      <c r="BXW2485" s="58"/>
      <c r="BXX2485" s="58"/>
      <c r="BXY2485" s="58"/>
      <c r="BXZ2485" s="60"/>
      <c r="BYA2485" s="60"/>
      <c r="BYB2485" s="60"/>
      <c r="BYC2485" s="58"/>
      <c r="BYD2485" s="61"/>
      <c r="BYE2485" s="58"/>
      <c r="BYF2485" s="58"/>
      <c r="BYG2485" s="58"/>
      <c r="BYH2485" s="60"/>
      <c r="BYI2485" s="60"/>
      <c r="BYJ2485" s="60"/>
      <c r="BYK2485" s="58"/>
      <c r="BYL2485" s="61"/>
      <c r="BYM2485" s="58"/>
      <c r="BYN2485" s="58"/>
      <c r="BYO2485" s="58"/>
      <c r="BYP2485" s="60"/>
      <c r="BYQ2485" s="60"/>
      <c r="BYR2485" s="60"/>
      <c r="BYS2485" s="58"/>
      <c r="BYT2485" s="61"/>
      <c r="BYU2485" s="58"/>
      <c r="BYV2485" s="58"/>
      <c r="BYW2485" s="58"/>
      <c r="BYX2485" s="60"/>
      <c r="BYY2485" s="60"/>
      <c r="BYZ2485" s="60"/>
      <c r="BZA2485" s="58"/>
      <c r="BZB2485" s="61"/>
      <c r="BZC2485" s="58"/>
      <c r="BZD2485" s="58"/>
      <c r="BZE2485" s="58"/>
      <c r="BZF2485" s="60"/>
      <c r="BZG2485" s="60"/>
      <c r="BZH2485" s="60"/>
      <c r="BZI2485" s="58"/>
      <c r="BZJ2485" s="61"/>
      <c r="BZK2485" s="58"/>
      <c r="BZL2485" s="58"/>
      <c r="BZM2485" s="58"/>
      <c r="BZN2485" s="60"/>
      <c r="BZO2485" s="60"/>
      <c r="BZP2485" s="60"/>
      <c r="BZQ2485" s="58"/>
      <c r="BZR2485" s="61"/>
      <c r="BZS2485" s="58"/>
      <c r="BZT2485" s="58"/>
      <c r="BZU2485" s="58"/>
      <c r="BZV2485" s="60"/>
      <c r="BZW2485" s="60"/>
      <c r="BZX2485" s="60"/>
      <c r="BZY2485" s="58"/>
      <c r="BZZ2485" s="61"/>
      <c r="CAA2485" s="58"/>
      <c r="CAB2485" s="58"/>
      <c r="CAC2485" s="58"/>
      <c r="CAD2485" s="60"/>
      <c r="CAE2485" s="60"/>
      <c r="CAF2485" s="60"/>
      <c r="CAG2485" s="58"/>
      <c r="CAH2485" s="61"/>
      <c r="CAI2485" s="58"/>
      <c r="CAJ2485" s="58"/>
      <c r="CAK2485" s="58"/>
      <c r="CAL2485" s="60"/>
      <c r="CAM2485" s="60"/>
      <c r="CAN2485" s="60"/>
      <c r="CAO2485" s="58"/>
      <c r="CAP2485" s="61"/>
      <c r="CAQ2485" s="58"/>
      <c r="CAR2485" s="58"/>
      <c r="CAS2485" s="58"/>
      <c r="CAT2485" s="60"/>
      <c r="CAU2485" s="60"/>
      <c r="CAV2485" s="60"/>
      <c r="CAW2485" s="58"/>
      <c r="CAX2485" s="61"/>
      <c r="CAY2485" s="58"/>
      <c r="CAZ2485" s="58"/>
      <c r="CBA2485" s="58"/>
      <c r="CBB2485" s="60"/>
      <c r="CBC2485" s="60"/>
      <c r="CBD2485" s="60"/>
      <c r="CBE2485" s="58"/>
      <c r="CBF2485" s="61"/>
      <c r="CBG2485" s="58"/>
      <c r="CBH2485" s="58"/>
      <c r="CBI2485" s="58"/>
      <c r="CBJ2485" s="60"/>
      <c r="CBK2485" s="60"/>
      <c r="CBL2485" s="60"/>
      <c r="CBM2485" s="58"/>
      <c r="CBN2485" s="61"/>
      <c r="CBO2485" s="58"/>
      <c r="CBP2485" s="58"/>
      <c r="CBQ2485" s="58"/>
      <c r="CBR2485" s="60"/>
      <c r="CBS2485" s="60"/>
      <c r="CBT2485" s="60"/>
      <c r="CBU2485" s="58"/>
      <c r="CBV2485" s="61"/>
      <c r="CBW2485" s="58"/>
      <c r="CBX2485" s="58"/>
      <c r="CBY2485" s="58"/>
      <c r="CBZ2485" s="60"/>
      <c r="CCA2485" s="60"/>
      <c r="CCB2485" s="60"/>
      <c r="CCC2485" s="58"/>
      <c r="CCD2485" s="61"/>
      <c r="CCE2485" s="58"/>
      <c r="CCF2485" s="58"/>
      <c r="CCG2485" s="58"/>
      <c r="CCH2485" s="60"/>
      <c r="CCI2485" s="60"/>
      <c r="CCJ2485" s="60"/>
      <c r="CCK2485" s="58"/>
      <c r="CCL2485" s="61"/>
      <c r="CCM2485" s="58"/>
      <c r="CCN2485" s="58"/>
      <c r="CCO2485" s="58"/>
      <c r="CCP2485" s="60"/>
      <c r="CCQ2485" s="60"/>
      <c r="CCR2485" s="60"/>
      <c r="CCS2485" s="58"/>
      <c r="CCT2485" s="61"/>
      <c r="CCU2485" s="58"/>
      <c r="CCV2485" s="58"/>
      <c r="CCW2485" s="58"/>
      <c r="CCX2485" s="60"/>
      <c r="CCY2485" s="60"/>
      <c r="CCZ2485" s="60"/>
      <c r="CDA2485" s="58"/>
      <c r="CDB2485" s="61"/>
      <c r="CDC2485" s="58"/>
      <c r="CDD2485" s="58"/>
      <c r="CDE2485" s="58"/>
      <c r="CDF2485" s="60"/>
      <c r="CDG2485" s="60"/>
      <c r="CDH2485" s="60"/>
      <c r="CDI2485" s="58"/>
      <c r="CDJ2485" s="61"/>
      <c r="CDK2485" s="58"/>
      <c r="CDL2485" s="58"/>
      <c r="CDM2485" s="58"/>
      <c r="CDN2485" s="60"/>
      <c r="CDO2485" s="60"/>
      <c r="CDP2485" s="60"/>
      <c r="CDQ2485" s="58"/>
      <c r="CDR2485" s="61"/>
      <c r="CDS2485" s="58"/>
      <c r="CDT2485" s="58"/>
      <c r="CDU2485" s="58"/>
      <c r="CDV2485" s="60"/>
      <c r="CDW2485" s="60"/>
      <c r="CDX2485" s="60"/>
      <c r="CDY2485" s="58"/>
      <c r="CDZ2485" s="61"/>
      <c r="CEA2485" s="58"/>
      <c r="CEB2485" s="58"/>
      <c r="CEC2485" s="58"/>
      <c r="CED2485" s="60"/>
      <c r="CEE2485" s="60"/>
      <c r="CEF2485" s="60"/>
      <c r="CEG2485" s="58"/>
      <c r="CEH2485" s="61"/>
      <c r="CEI2485" s="58"/>
      <c r="CEJ2485" s="58"/>
      <c r="CEK2485" s="58"/>
      <c r="CEL2485" s="60"/>
      <c r="CEM2485" s="60"/>
      <c r="CEN2485" s="60"/>
      <c r="CEO2485" s="58"/>
      <c r="CEP2485" s="61"/>
      <c r="CEQ2485" s="58"/>
      <c r="CER2485" s="58"/>
      <c r="CES2485" s="58"/>
      <c r="CET2485" s="60"/>
      <c r="CEU2485" s="60"/>
      <c r="CEV2485" s="60"/>
      <c r="CEW2485" s="58"/>
      <c r="CEX2485" s="61"/>
      <c r="CEY2485" s="58"/>
      <c r="CEZ2485" s="58"/>
      <c r="CFA2485" s="58"/>
      <c r="CFB2485" s="60"/>
      <c r="CFC2485" s="60"/>
      <c r="CFD2485" s="60"/>
      <c r="CFE2485" s="58"/>
      <c r="CFF2485" s="61"/>
      <c r="CFG2485" s="58"/>
      <c r="CFH2485" s="58"/>
      <c r="CFI2485" s="58"/>
      <c r="CFJ2485" s="60"/>
      <c r="CFK2485" s="60"/>
      <c r="CFL2485" s="60"/>
      <c r="CFM2485" s="58"/>
      <c r="CFN2485" s="61"/>
      <c r="CFO2485" s="58"/>
      <c r="CFP2485" s="58"/>
      <c r="CFQ2485" s="58"/>
      <c r="CFR2485" s="60"/>
      <c r="CFS2485" s="60"/>
      <c r="CFT2485" s="60"/>
      <c r="CFU2485" s="58"/>
      <c r="CFV2485" s="61"/>
      <c r="CFW2485" s="58"/>
      <c r="CFX2485" s="58"/>
      <c r="CFY2485" s="58"/>
      <c r="CFZ2485" s="60"/>
      <c r="CGA2485" s="60"/>
      <c r="CGB2485" s="60"/>
      <c r="CGC2485" s="58"/>
      <c r="CGD2485" s="61"/>
      <c r="CGE2485" s="58"/>
      <c r="CGF2485" s="58"/>
      <c r="CGG2485" s="58"/>
      <c r="CGH2485" s="60"/>
      <c r="CGI2485" s="60"/>
      <c r="CGJ2485" s="60"/>
      <c r="CGK2485" s="58"/>
      <c r="CGL2485" s="61"/>
      <c r="CGM2485" s="58"/>
      <c r="CGN2485" s="58"/>
      <c r="CGO2485" s="58"/>
      <c r="CGP2485" s="60"/>
      <c r="CGQ2485" s="60"/>
      <c r="CGR2485" s="60"/>
      <c r="CGS2485" s="58"/>
      <c r="CGT2485" s="61"/>
      <c r="CGU2485" s="58"/>
      <c r="CGV2485" s="58"/>
      <c r="CGW2485" s="58"/>
      <c r="CGX2485" s="60"/>
      <c r="CGY2485" s="60"/>
      <c r="CGZ2485" s="60"/>
      <c r="CHA2485" s="58"/>
      <c r="CHB2485" s="61"/>
      <c r="CHC2485" s="58"/>
      <c r="CHD2485" s="58"/>
      <c r="CHE2485" s="58"/>
      <c r="CHF2485" s="60"/>
      <c r="CHG2485" s="60"/>
      <c r="CHH2485" s="60"/>
      <c r="CHI2485" s="58"/>
      <c r="CHJ2485" s="61"/>
      <c r="CHK2485" s="58"/>
      <c r="CHL2485" s="58"/>
      <c r="CHM2485" s="58"/>
      <c r="CHN2485" s="60"/>
      <c r="CHO2485" s="60"/>
      <c r="CHP2485" s="60"/>
      <c r="CHQ2485" s="58"/>
      <c r="CHR2485" s="61"/>
      <c r="CHS2485" s="58"/>
      <c r="CHT2485" s="58"/>
      <c r="CHU2485" s="58"/>
      <c r="CHV2485" s="60"/>
      <c r="CHW2485" s="60"/>
      <c r="CHX2485" s="60"/>
      <c r="CHY2485" s="58"/>
      <c r="CHZ2485" s="61"/>
      <c r="CIA2485" s="58"/>
      <c r="CIB2485" s="58"/>
      <c r="CIC2485" s="58"/>
      <c r="CID2485" s="60"/>
      <c r="CIE2485" s="60"/>
      <c r="CIF2485" s="60"/>
      <c r="CIG2485" s="58"/>
      <c r="CIH2485" s="61"/>
      <c r="CII2485" s="58"/>
      <c r="CIJ2485" s="58"/>
      <c r="CIK2485" s="58"/>
      <c r="CIL2485" s="60"/>
      <c r="CIM2485" s="60"/>
      <c r="CIN2485" s="60"/>
      <c r="CIO2485" s="58"/>
      <c r="CIP2485" s="61"/>
      <c r="CIQ2485" s="58"/>
      <c r="CIR2485" s="58"/>
      <c r="CIS2485" s="58"/>
      <c r="CIT2485" s="60"/>
      <c r="CIU2485" s="60"/>
      <c r="CIV2485" s="60"/>
      <c r="CIW2485" s="58"/>
      <c r="CIX2485" s="61"/>
      <c r="CIY2485" s="58"/>
      <c r="CIZ2485" s="58"/>
      <c r="CJA2485" s="58"/>
      <c r="CJB2485" s="60"/>
      <c r="CJC2485" s="60"/>
      <c r="CJD2485" s="60"/>
      <c r="CJE2485" s="58"/>
      <c r="CJF2485" s="61"/>
      <c r="CJG2485" s="58"/>
      <c r="CJH2485" s="58"/>
      <c r="CJI2485" s="58"/>
      <c r="CJJ2485" s="60"/>
      <c r="CJK2485" s="60"/>
      <c r="CJL2485" s="60"/>
      <c r="CJM2485" s="58"/>
      <c r="CJN2485" s="61"/>
      <c r="CJO2485" s="58"/>
      <c r="CJP2485" s="58"/>
      <c r="CJQ2485" s="58"/>
      <c r="CJR2485" s="60"/>
      <c r="CJS2485" s="60"/>
      <c r="CJT2485" s="60"/>
      <c r="CJU2485" s="58"/>
      <c r="CJV2485" s="61"/>
      <c r="CJW2485" s="58"/>
      <c r="CJX2485" s="58"/>
      <c r="CJY2485" s="58"/>
      <c r="CJZ2485" s="60"/>
      <c r="CKA2485" s="60"/>
      <c r="CKB2485" s="60"/>
      <c r="CKC2485" s="58"/>
      <c r="CKD2485" s="61"/>
      <c r="CKE2485" s="58"/>
      <c r="CKF2485" s="58"/>
      <c r="CKG2485" s="58"/>
      <c r="CKH2485" s="60"/>
      <c r="CKI2485" s="60"/>
      <c r="CKJ2485" s="60"/>
      <c r="CKK2485" s="58"/>
      <c r="CKL2485" s="61"/>
      <c r="CKM2485" s="58"/>
      <c r="CKN2485" s="58"/>
      <c r="CKO2485" s="58"/>
      <c r="CKP2485" s="60"/>
      <c r="CKQ2485" s="60"/>
      <c r="CKR2485" s="60"/>
      <c r="CKS2485" s="58"/>
      <c r="CKT2485" s="61"/>
      <c r="CKU2485" s="58"/>
      <c r="CKV2485" s="58"/>
      <c r="CKW2485" s="58"/>
      <c r="CKX2485" s="60"/>
      <c r="CKY2485" s="60"/>
      <c r="CKZ2485" s="60"/>
      <c r="CLA2485" s="58"/>
      <c r="CLB2485" s="61"/>
      <c r="CLC2485" s="58"/>
      <c r="CLD2485" s="58"/>
      <c r="CLE2485" s="58"/>
      <c r="CLF2485" s="60"/>
      <c r="CLG2485" s="60"/>
      <c r="CLH2485" s="60"/>
      <c r="CLI2485" s="58"/>
      <c r="CLJ2485" s="61"/>
      <c r="CLK2485" s="58"/>
      <c r="CLL2485" s="58"/>
      <c r="CLM2485" s="58"/>
      <c r="CLN2485" s="60"/>
      <c r="CLO2485" s="60"/>
      <c r="CLP2485" s="60"/>
      <c r="CLQ2485" s="58"/>
      <c r="CLR2485" s="61"/>
      <c r="CLS2485" s="58"/>
      <c r="CLT2485" s="58"/>
      <c r="CLU2485" s="58"/>
      <c r="CLV2485" s="60"/>
      <c r="CLW2485" s="60"/>
      <c r="CLX2485" s="60"/>
      <c r="CLY2485" s="58"/>
      <c r="CLZ2485" s="61"/>
      <c r="CMA2485" s="58"/>
      <c r="CMB2485" s="58"/>
      <c r="CMC2485" s="58"/>
      <c r="CMD2485" s="60"/>
      <c r="CME2485" s="60"/>
      <c r="CMF2485" s="60"/>
      <c r="CMG2485" s="58"/>
      <c r="CMH2485" s="61"/>
      <c r="CMI2485" s="58"/>
      <c r="CMJ2485" s="58"/>
      <c r="CMK2485" s="58"/>
      <c r="CML2485" s="60"/>
      <c r="CMM2485" s="60"/>
      <c r="CMN2485" s="60"/>
      <c r="CMO2485" s="58"/>
      <c r="CMP2485" s="61"/>
      <c r="CMQ2485" s="58"/>
      <c r="CMR2485" s="58"/>
      <c r="CMS2485" s="58"/>
      <c r="CMT2485" s="60"/>
      <c r="CMU2485" s="60"/>
      <c r="CMV2485" s="60"/>
      <c r="CMW2485" s="58"/>
      <c r="CMX2485" s="61"/>
      <c r="CMY2485" s="58"/>
      <c r="CMZ2485" s="58"/>
      <c r="CNA2485" s="58"/>
      <c r="CNB2485" s="60"/>
      <c r="CNC2485" s="60"/>
      <c r="CND2485" s="60"/>
      <c r="CNE2485" s="58"/>
      <c r="CNF2485" s="61"/>
      <c r="CNG2485" s="58"/>
      <c r="CNH2485" s="58"/>
      <c r="CNI2485" s="58"/>
      <c r="CNJ2485" s="60"/>
      <c r="CNK2485" s="60"/>
      <c r="CNL2485" s="60"/>
      <c r="CNM2485" s="58"/>
      <c r="CNN2485" s="61"/>
      <c r="CNO2485" s="58"/>
      <c r="CNP2485" s="58"/>
      <c r="CNQ2485" s="58"/>
      <c r="CNR2485" s="60"/>
      <c r="CNS2485" s="60"/>
      <c r="CNT2485" s="60"/>
      <c r="CNU2485" s="58"/>
      <c r="CNV2485" s="61"/>
      <c r="CNW2485" s="58"/>
      <c r="CNX2485" s="58"/>
      <c r="CNY2485" s="58"/>
      <c r="CNZ2485" s="60"/>
      <c r="COA2485" s="60"/>
      <c r="COB2485" s="60"/>
      <c r="COC2485" s="58"/>
      <c r="COD2485" s="61"/>
      <c r="COE2485" s="58"/>
      <c r="COF2485" s="58"/>
      <c r="COG2485" s="58"/>
      <c r="COH2485" s="60"/>
      <c r="COI2485" s="60"/>
      <c r="COJ2485" s="60"/>
      <c r="COK2485" s="58"/>
      <c r="COL2485" s="61"/>
      <c r="COM2485" s="58"/>
      <c r="CON2485" s="58"/>
      <c r="COO2485" s="58"/>
      <c r="COP2485" s="60"/>
      <c r="COQ2485" s="60"/>
      <c r="COR2485" s="60"/>
      <c r="COS2485" s="58"/>
      <c r="COT2485" s="61"/>
      <c r="COU2485" s="58"/>
      <c r="COV2485" s="58"/>
      <c r="COW2485" s="58"/>
      <c r="COX2485" s="60"/>
      <c r="COY2485" s="60"/>
      <c r="COZ2485" s="60"/>
      <c r="CPA2485" s="58"/>
      <c r="CPB2485" s="61"/>
      <c r="CPC2485" s="58"/>
      <c r="CPD2485" s="58"/>
      <c r="CPE2485" s="58"/>
      <c r="CPF2485" s="60"/>
      <c r="CPG2485" s="60"/>
      <c r="CPH2485" s="60"/>
      <c r="CPI2485" s="58"/>
      <c r="CPJ2485" s="61"/>
      <c r="CPK2485" s="58"/>
      <c r="CPL2485" s="58"/>
      <c r="CPM2485" s="58"/>
      <c r="CPN2485" s="60"/>
      <c r="CPO2485" s="60"/>
      <c r="CPP2485" s="60"/>
      <c r="CPQ2485" s="58"/>
      <c r="CPR2485" s="61"/>
      <c r="CPS2485" s="58"/>
      <c r="CPT2485" s="58"/>
      <c r="CPU2485" s="58"/>
      <c r="CPV2485" s="60"/>
      <c r="CPW2485" s="60"/>
      <c r="CPX2485" s="60"/>
      <c r="CPY2485" s="58"/>
      <c r="CPZ2485" s="61"/>
      <c r="CQA2485" s="58"/>
      <c r="CQB2485" s="58"/>
      <c r="CQC2485" s="58"/>
      <c r="CQD2485" s="60"/>
      <c r="CQE2485" s="60"/>
      <c r="CQF2485" s="60"/>
      <c r="CQG2485" s="58"/>
      <c r="CQH2485" s="61"/>
      <c r="CQI2485" s="58"/>
      <c r="CQJ2485" s="58"/>
      <c r="CQK2485" s="58"/>
      <c r="CQL2485" s="60"/>
      <c r="CQM2485" s="60"/>
      <c r="CQN2485" s="60"/>
      <c r="CQO2485" s="58"/>
      <c r="CQP2485" s="61"/>
      <c r="CQQ2485" s="58"/>
      <c r="CQR2485" s="58"/>
      <c r="CQS2485" s="58"/>
      <c r="CQT2485" s="60"/>
      <c r="CQU2485" s="60"/>
      <c r="CQV2485" s="60"/>
      <c r="CQW2485" s="58"/>
      <c r="CQX2485" s="61"/>
      <c r="CQY2485" s="58"/>
      <c r="CQZ2485" s="58"/>
      <c r="CRA2485" s="58"/>
      <c r="CRB2485" s="60"/>
      <c r="CRC2485" s="60"/>
      <c r="CRD2485" s="60"/>
      <c r="CRE2485" s="58"/>
      <c r="CRF2485" s="61"/>
      <c r="CRG2485" s="58"/>
      <c r="CRH2485" s="58"/>
      <c r="CRI2485" s="58"/>
      <c r="CRJ2485" s="60"/>
      <c r="CRK2485" s="60"/>
      <c r="CRL2485" s="60"/>
      <c r="CRM2485" s="58"/>
      <c r="CRN2485" s="61"/>
      <c r="CRO2485" s="58"/>
      <c r="CRP2485" s="58"/>
      <c r="CRQ2485" s="58"/>
      <c r="CRR2485" s="60"/>
      <c r="CRS2485" s="60"/>
      <c r="CRT2485" s="60"/>
      <c r="CRU2485" s="58"/>
      <c r="CRV2485" s="61"/>
      <c r="CRW2485" s="58"/>
      <c r="CRX2485" s="58"/>
      <c r="CRY2485" s="58"/>
      <c r="CRZ2485" s="60"/>
      <c r="CSA2485" s="60"/>
      <c r="CSB2485" s="60"/>
      <c r="CSC2485" s="58"/>
      <c r="CSD2485" s="61"/>
      <c r="CSE2485" s="58"/>
      <c r="CSF2485" s="58"/>
      <c r="CSG2485" s="58"/>
      <c r="CSH2485" s="60"/>
      <c r="CSI2485" s="60"/>
      <c r="CSJ2485" s="60"/>
      <c r="CSK2485" s="58"/>
      <c r="CSL2485" s="61"/>
      <c r="CSM2485" s="58"/>
      <c r="CSN2485" s="58"/>
      <c r="CSO2485" s="58"/>
      <c r="CSP2485" s="60"/>
      <c r="CSQ2485" s="60"/>
      <c r="CSR2485" s="60"/>
      <c r="CSS2485" s="58"/>
      <c r="CST2485" s="61"/>
      <c r="CSU2485" s="58"/>
      <c r="CSV2485" s="58"/>
      <c r="CSW2485" s="58"/>
      <c r="CSX2485" s="60"/>
      <c r="CSY2485" s="60"/>
      <c r="CSZ2485" s="60"/>
      <c r="CTA2485" s="58"/>
      <c r="CTB2485" s="61"/>
      <c r="CTC2485" s="58"/>
      <c r="CTD2485" s="58"/>
      <c r="CTE2485" s="58"/>
      <c r="CTF2485" s="60"/>
      <c r="CTG2485" s="60"/>
      <c r="CTH2485" s="60"/>
      <c r="CTI2485" s="58"/>
      <c r="CTJ2485" s="61"/>
      <c r="CTK2485" s="58"/>
      <c r="CTL2485" s="58"/>
      <c r="CTM2485" s="58"/>
      <c r="CTN2485" s="60"/>
      <c r="CTO2485" s="60"/>
      <c r="CTP2485" s="60"/>
      <c r="CTQ2485" s="58"/>
      <c r="CTR2485" s="61"/>
      <c r="CTS2485" s="58"/>
      <c r="CTT2485" s="58"/>
      <c r="CTU2485" s="58"/>
      <c r="CTV2485" s="60"/>
      <c r="CTW2485" s="60"/>
      <c r="CTX2485" s="60"/>
      <c r="CTY2485" s="58"/>
      <c r="CTZ2485" s="61"/>
      <c r="CUA2485" s="58"/>
      <c r="CUB2485" s="58"/>
      <c r="CUC2485" s="58"/>
      <c r="CUD2485" s="60"/>
      <c r="CUE2485" s="60"/>
      <c r="CUF2485" s="60"/>
      <c r="CUG2485" s="58"/>
      <c r="CUH2485" s="61"/>
      <c r="CUI2485" s="58"/>
      <c r="CUJ2485" s="58"/>
      <c r="CUK2485" s="58"/>
      <c r="CUL2485" s="60"/>
      <c r="CUM2485" s="60"/>
      <c r="CUN2485" s="60"/>
      <c r="CUO2485" s="58"/>
      <c r="CUP2485" s="61"/>
      <c r="CUQ2485" s="58"/>
      <c r="CUR2485" s="58"/>
      <c r="CUS2485" s="58"/>
      <c r="CUT2485" s="60"/>
      <c r="CUU2485" s="60"/>
      <c r="CUV2485" s="60"/>
      <c r="CUW2485" s="58"/>
      <c r="CUX2485" s="61"/>
      <c r="CUY2485" s="58"/>
      <c r="CUZ2485" s="58"/>
      <c r="CVA2485" s="58"/>
      <c r="CVB2485" s="60"/>
      <c r="CVC2485" s="60"/>
      <c r="CVD2485" s="60"/>
      <c r="CVE2485" s="58"/>
      <c r="CVF2485" s="61"/>
      <c r="CVG2485" s="58"/>
      <c r="CVH2485" s="58"/>
      <c r="CVI2485" s="58"/>
      <c r="CVJ2485" s="60"/>
      <c r="CVK2485" s="60"/>
      <c r="CVL2485" s="60"/>
      <c r="CVM2485" s="58"/>
      <c r="CVN2485" s="61"/>
      <c r="CVO2485" s="58"/>
      <c r="CVP2485" s="58"/>
      <c r="CVQ2485" s="58"/>
      <c r="CVR2485" s="60"/>
      <c r="CVS2485" s="60"/>
      <c r="CVT2485" s="60"/>
      <c r="CVU2485" s="58"/>
      <c r="CVV2485" s="61"/>
      <c r="CVW2485" s="58"/>
      <c r="CVX2485" s="58"/>
      <c r="CVY2485" s="58"/>
      <c r="CVZ2485" s="60"/>
      <c r="CWA2485" s="60"/>
      <c r="CWB2485" s="60"/>
      <c r="CWC2485" s="58"/>
      <c r="CWD2485" s="61"/>
      <c r="CWE2485" s="58"/>
      <c r="CWF2485" s="58"/>
      <c r="CWG2485" s="58"/>
      <c r="CWH2485" s="60"/>
      <c r="CWI2485" s="60"/>
      <c r="CWJ2485" s="60"/>
      <c r="CWK2485" s="58"/>
      <c r="CWL2485" s="61"/>
      <c r="CWM2485" s="58"/>
      <c r="CWN2485" s="58"/>
      <c r="CWO2485" s="58"/>
      <c r="CWP2485" s="60"/>
      <c r="CWQ2485" s="60"/>
      <c r="CWR2485" s="60"/>
      <c r="CWS2485" s="58"/>
      <c r="CWT2485" s="61"/>
      <c r="CWU2485" s="58"/>
      <c r="CWV2485" s="58"/>
      <c r="CWW2485" s="58"/>
      <c r="CWX2485" s="60"/>
      <c r="CWY2485" s="60"/>
      <c r="CWZ2485" s="60"/>
      <c r="CXA2485" s="58"/>
      <c r="CXB2485" s="61"/>
      <c r="CXC2485" s="58"/>
      <c r="CXD2485" s="58"/>
      <c r="CXE2485" s="58"/>
      <c r="CXF2485" s="60"/>
      <c r="CXG2485" s="60"/>
      <c r="CXH2485" s="60"/>
      <c r="CXI2485" s="58"/>
      <c r="CXJ2485" s="61"/>
      <c r="CXK2485" s="58"/>
      <c r="CXL2485" s="58"/>
      <c r="CXM2485" s="58"/>
      <c r="CXN2485" s="60"/>
      <c r="CXO2485" s="60"/>
      <c r="CXP2485" s="60"/>
      <c r="CXQ2485" s="58"/>
      <c r="CXR2485" s="61"/>
      <c r="CXS2485" s="58"/>
      <c r="CXT2485" s="58"/>
      <c r="CXU2485" s="58"/>
      <c r="CXV2485" s="60"/>
      <c r="CXW2485" s="60"/>
      <c r="CXX2485" s="60"/>
      <c r="CXY2485" s="58"/>
      <c r="CXZ2485" s="61"/>
      <c r="CYA2485" s="58"/>
      <c r="CYB2485" s="58"/>
      <c r="CYC2485" s="58"/>
      <c r="CYD2485" s="60"/>
      <c r="CYE2485" s="60"/>
      <c r="CYF2485" s="60"/>
      <c r="CYG2485" s="58"/>
      <c r="CYH2485" s="61"/>
      <c r="CYI2485" s="58"/>
      <c r="CYJ2485" s="58"/>
      <c r="CYK2485" s="58"/>
      <c r="CYL2485" s="60"/>
      <c r="CYM2485" s="60"/>
      <c r="CYN2485" s="60"/>
      <c r="CYO2485" s="58"/>
      <c r="CYP2485" s="61"/>
      <c r="CYQ2485" s="58"/>
      <c r="CYR2485" s="58"/>
      <c r="CYS2485" s="58"/>
      <c r="CYT2485" s="60"/>
      <c r="CYU2485" s="60"/>
      <c r="CYV2485" s="60"/>
      <c r="CYW2485" s="58"/>
      <c r="CYX2485" s="61"/>
      <c r="CYY2485" s="58"/>
      <c r="CYZ2485" s="58"/>
      <c r="CZA2485" s="58"/>
      <c r="CZB2485" s="60"/>
      <c r="CZC2485" s="60"/>
      <c r="CZD2485" s="60"/>
      <c r="CZE2485" s="58"/>
      <c r="CZF2485" s="61"/>
      <c r="CZG2485" s="58"/>
      <c r="CZH2485" s="58"/>
      <c r="CZI2485" s="58"/>
      <c r="CZJ2485" s="60"/>
      <c r="CZK2485" s="60"/>
      <c r="CZL2485" s="60"/>
      <c r="CZM2485" s="58"/>
      <c r="CZN2485" s="61"/>
      <c r="CZO2485" s="58"/>
      <c r="CZP2485" s="58"/>
      <c r="CZQ2485" s="58"/>
      <c r="CZR2485" s="60"/>
      <c r="CZS2485" s="60"/>
      <c r="CZT2485" s="60"/>
      <c r="CZU2485" s="58"/>
      <c r="CZV2485" s="61"/>
      <c r="CZW2485" s="58"/>
      <c r="CZX2485" s="58"/>
      <c r="CZY2485" s="58"/>
      <c r="CZZ2485" s="60"/>
      <c r="DAA2485" s="60"/>
      <c r="DAB2485" s="60"/>
      <c r="DAC2485" s="58"/>
      <c r="DAD2485" s="61"/>
      <c r="DAE2485" s="58"/>
      <c r="DAF2485" s="58"/>
      <c r="DAG2485" s="58"/>
      <c r="DAH2485" s="60"/>
      <c r="DAI2485" s="60"/>
      <c r="DAJ2485" s="60"/>
      <c r="DAK2485" s="58"/>
      <c r="DAL2485" s="61"/>
      <c r="DAM2485" s="58"/>
      <c r="DAN2485" s="58"/>
      <c r="DAO2485" s="58"/>
      <c r="DAP2485" s="60"/>
      <c r="DAQ2485" s="60"/>
      <c r="DAR2485" s="60"/>
      <c r="DAS2485" s="58"/>
      <c r="DAT2485" s="61"/>
      <c r="DAU2485" s="58"/>
      <c r="DAV2485" s="58"/>
      <c r="DAW2485" s="58"/>
      <c r="DAX2485" s="60"/>
      <c r="DAY2485" s="60"/>
      <c r="DAZ2485" s="60"/>
      <c r="DBA2485" s="58"/>
      <c r="DBB2485" s="61"/>
      <c r="DBC2485" s="58"/>
      <c r="DBD2485" s="58"/>
      <c r="DBE2485" s="58"/>
      <c r="DBF2485" s="60"/>
      <c r="DBG2485" s="60"/>
      <c r="DBH2485" s="60"/>
      <c r="DBI2485" s="58"/>
      <c r="DBJ2485" s="61"/>
      <c r="DBK2485" s="58"/>
      <c r="DBL2485" s="58"/>
      <c r="DBM2485" s="58"/>
      <c r="DBN2485" s="60"/>
      <c r="DBO2485" s="60"/>
      <c r="DBP2485" s="60"/>
      <c r="DBQ2485" s="58"/>
      <c r="DBR2485" s="61"/>
      <c r="DBS2485" s="58"/>
      <c r="DBT2485" s="58"/>
      <c r="DBU2485" s="58"/>
      <c r="DBV2485" s="60"/>
      <c r="DBW2485" s="60"/>
      <c r="DBX2485" s="60"/>
      <c r="DBY2485" s="58"/>
      <c r="DBZ2485" s="61"/>
      <c r="DCA2485" s="58"/>
      <c r="DCB2485" s="58"/>
      <c r="DCC2485" s="58"/>
      <c r="DCD2485" s="60"/>
      <c r="DCE2485" s="60"/>
      <c r="DCF2485" s="60"/>
      <c r="DCG2485" s="58"/>
      <c r="DCH2485" s="61"/>
      <c r="DCI2485" s="58"/>
      <c r="DCJ2485" s="58"/>
      <c r="DCK2485" s="58"/>
      <c r="DCL2485" s="60"/>
      <c r="DCM2485" s="60"/>
      <c r="DCN2485" s="60"/>
      <c r="DCO2485" s="58"/>
      <c r="DCP2485" s="61"/>
      <c r="DCQ2485" s="58"/>
      <c r="DCR2485" s="58"/>
      <c r="DCS2485" s="58"/>
      <c r="DCT2485" s="60"/>
      <c r="DCU2485" s="60"/>
      <c r="DCV2485" s="60"/>
      <c r="DCW2485" s="58"/>
      <c r="DCX2485" s="61"/>
      <c r="DCY2485" s="58"/>
      <c r="DCZ2485" s="58"/>
      <c r="DDA2485" s="58"/>
      <c r="DDB2485" s="60"/>
      <c r="DDC2485" s="60"/>
      <c r="DDD2485" s="60"/>
      <c r="DDE2485" s="58"/>
      <c r="DDF2485" s="61"/>
      <c r="DDG2485" s="58"/>
      <c r="DDH2485" s="58"/>
      <c r="DDI2485" s="58"/>
      <c r="DDJ2485" s="60"/>
      <c r="DDK2485" s="60"/>
      <c r="DDL2485" s="60"/>
      <c r="DDM2485" s="58"/>
      <c r="DDN2485" s="61"/>
      <c r="DDO2485" s="58"/>
      <c r="DDP2485" s="58"/>
      <c r="DDQ2485" s="58"/>
      <c r="DDR2485" s="60"/>
      <c r="DDS2485" s="60"/>
      <c r="DDT2485" s="60"/>
      <c r="DDU2485" s="58"/>
      <c r="DDV2485" s="61"/>
      <c r="DDW2485" s="58"/>
      <c r="DDX2485" s="58"/>
      <c r="DDY2485" s="58"/>
      <c r="DDZ2485" s="60"/>
      <c r="DEA2485" s="60"/>
      <c r="DEB2485" s="60"/>
      <c r="DEC2485" s="58"/>
      <c r="DED2485" s="61"/>
      <c r="DEE2485" s="58"/>
      <c r="DEF2485" s="58"/>
      <c r="DEG2485" s="58"/>
      <c r="DEH2485" s="60"/>
      <c r="DEI2485" s="60"/>
      <c r="DEJ2485" s="60"/>
      <c r="DEK2485" s="58"/>
      <c r="DEL2485" s="61"/>
      <c r="DEM2485" s="58"/>
      <c r="DEN2485" s="58"/>
      <c r="DEO2485" s="58"/>
      <c r="DEP2485" s="60"/>
      <c r="DEQ2485" s="60"/>
      <c r="DER2485" s="60"/>
      <c r="DES2485" s="58"/>
      <c r="DET2485" s="61"/>
      <c r="DEU2485" s="58"/>
      <c r="DEV2485" s="58"/>
      <c r="DEW2485" s="58"/>
      <c r="DEX2485" s="60"/>
      <c r="DEY2485" s="60"/>
      <c r="DEZ2485" s="60"/>
      <c r="DFA2485" s="58"/>
      <c r="DFB2485" s="61"/>
      <c r="DFC2485" s="58"/>
      <c r="DFD2485" s="58"/>
      <c r="DFE2485" s="58"/>
      <c r="DFF2485" s="60"/>
      <c r="DFG2485" s="60"/>
      <c r="DFH2485" s="60"/>
      <c r="DFI2485" s="58"/>
      <c r="DFJ2485" s="61"/>
      <c r="DFK2485" s="58"/>
      <c r="DFL2485" s="58"/>
      <c r="DFM2485" s="58"/>
      <c r="DFN2485" s="60"/>
      <c r="DFO2485" s="60"/>
      <c r="DFP2485" s="60"/>
      <c r="DFQ2485" s="58"/>
      <c r="DFR2485" s="61"/>
      <c r="DFS2485" s="58"/>
      <c r="DFT2485" s="58"/>
      <c r="DFU2485" s="58"/>
      <c r="DFV2485" s="60"/>
      <c r="DFW2485" s="60"/>
      <c r="DFX2485" s="60"/>
      <c r="DFY2485" s="58"/>
      <c r="DFZ2485" s="61"/>
      <c r="DGA2485" s="58"/>
      <c r="DGB2485" s="58"/>
      <c r="DGC2485" s="58"/>
      <c r="DGD2485" s="60"/>
      <c r="DGE2485" s="60"/>
      <c r="DGF2485" s="60"/>
      <c r="DGG2485" s="58"/>
      <c r="DGH2485" s="61"/>
      <c r="DGI2485" s="58"/>
      <c r="DGJ2485" s="58"/>
      <c r="DGK2485" s="58"/>
      <c r="DGL2485" s="60"/>
      <c r="DGM2485" s="60"/>
      <c r="DGN2485" s="60"/>
      <c r="DGO2485" s="58"/>
      <c r="DGP2485" s="61"/>
      <c r="DGQ2485" s="58"/>
      <c r="DGR2485" s="58"/>
      <c r="DGS2485" s="58"/>
      <c r="DGT2485" s="60"/>
      <c r="DGU2485" s="60"/>
      <c r="DGV2485" s="60"/>
      <c r="DGW2485" s="58"/>
      <c r="DGX2485" s="61"/>
      <c r="DGY2485" s="58"/>
      <c r="DGZ2485" s="58"/>
      <c r="DHA2485" s="58"/>
      <c r="DHB2485" s="60"/>
      <c r="DHC2485" s="60"/>
      <c r="DHD2485" s="60"/>
      <c r="DHE2485" s="58"/>
      <c r="DHF2485" s="61"/>
      <c r="DHG2485" s="58"/>
      <c r="DHH2485" s="58"/>
      <c r="DHI2485" s="58"/>
      <c r="DHJ2485" s="60"/>
      <c r="DHK2485" s="60"/>
      <c r="DHL2485" s="60"/>
      <c r="DHM2485" s="58"/>
      <c r="DHN2485" s="61"/>
      <c r="DHO2485" s="58"/>
      <c r="DHP2485" s="58"/>
      <c r="DHQ2485" s="58"/>
      <c r="DHR2485" s="60"/>
      <c r="DHS2485" s="60"/>
      <c r="DHT2485" s="60"/>
      <c r="DHU2485" s="58"/>
      <c r="DHV2485" s="61"/>
      <c r="DHW2485" s="58"/>
      <c r="DHX2485" s="58"/>
      <c r="DHY2485" s="58"/>
      <c r="DHZ2485" s="60"/>
      <c r="DIA2485" s="60"/>
      <c r="DIB2485" s="60"/>
      <c r="DIC2485" s="58"/>
      <c r="DID2485" s="61"/>
      <c r="DIE2485" s="58"/>
      <c r="DIF2485" s="58"/>
      <c r="DIG2485" s="58"/>
      <c r="DIH2485" s="60"/>
      <c r="DII2485" s="60"/>
      <c r="DIJ2485" s="60"/>
      <c r="DIK2485" s="58"/>
      <c r="DIL2485" s="61"/>
      <c r="DIM2485" s="58"/>
      <c r="DIN2485" s="58"/>
      <c r="DIO2485" s="58"/>
      <c r="DIP2485" s="60"/>
      <c r="DIQ2485" s="60"/>
      <c r="DIR2485" s="60"/>
      <c r="DIS2485" s="58"/>
      <c r="DIT2485" s="61"/>
      <c r="DIU2485" s="58"/>
      <c r="DIV2485" s="58"/>
      <c r="DIW2485" s="58"/>
      <c r="DIX2485" s="60"/>
      <c r="DIY2485" s="60"/>
      <c r="DIZ2485" s="60"/>
      <c r="DJA2485" s="58"/>
      <c r="DJB2485" s="61"/>
      <c r="DJC2485" s="58"/>
      <c r="DJD2485" s="58"/>
      <c r="DJE2485" s="58"/>
      <c r="DJF2485" s="60"/>
      <c r="DJG2485" s="60"/>
      <c r="DJH2485" s="60"/>
      <c r="DJI2485" s="58"/>
      <c r="DJJ2485" s="61"/>
      <c r="DJK2485" s="58"/>
      <c r="DJL2485" s="58"/>
      <c r="DJM2485" s="58"/>
      <c r="DJN2485" s="60"/>
      <c r="DJO2485" s="60"/>
      <c r="DJP2485" s="60"/>
      <c r="DJQ2485" s="58"/>
      <c r="DJR2485" s="61"/>
      <c r="DJS2485" s="58"/>
      <c r="DJT2485" s="58"/>
      <c r="DJU2485" s="58"/>
      <c r="DJV2485" s="60"/>
      <c r="DJW2485" s="60"/>
      <c r="DJX2485" s="60"/>
      <c r="DJY2485" s="58"/>
      <c r="DJZ2485" s="61"/>
      <c r="DKA2485" s="58"/>
      <c r="DKB2485" s="58"/>
      <c r="DKC2485" s="58"/>
      <c r="DKD2485" s="60"/>
      <c r="DKE2485" s="60"/>
      <c r="DKF2485" s="60"/>
      <c r="DKG2485" s="58"/>
      <c r="DKH2485" s="61"/>
      <c r="DKI2485" s="58"/>
      <c r="DKJ2485" s="58"/>
      <c r="DKK2485" s="58"/>
      <c r="DKL2485" s="60"/>
      <c r="DKM2485" s="60"/>
      <c r="DKN2485" s="60"/>
      <c r="DKO2485" s="58"/>
      <c r="DKP2485" s="61"/>
      <c r="DKQ2485" s="58"/>
      <c r="DKR2485" s="58"/>
      <c r="DKS2485" s="58"/>
      <c r="DKT2485" s="60"/>
      <c r="DKU2485" s="60"/>
      <c r="DKV2485" s="60"/>
      <c r="DKW2485" s="58"/>
      <c r="DKX2485" s="61"/>
      <c r="DKY2485" s="58"/>
      <c r="DKZ2485" s="58"/>
      <c r="DLA2485" s="58"/>
      <c r="DLB2485" s="60"/>
      <c r="DLC2485" s="60"/>
      <c r="DLD2485" s="60"/>
      <c r="DLE2485" s="58"/>
      <c r="DLF2485" s="61"/>
      <c r="DLG2485" s="58"/>
      <c r="DLH2485" s="58"/>
      <c r="DLI2485" s="58"/>
      <c r="DLJ2485" s="60"/>
      <c r="DLK2485" s="60"/>
      <c r="DLL2485" s="60"/>
      <c r="DLM2485" s="58"/>
      <c r="DLN2485" s="61"/>
      <c r="DLO2485" s="58"/>
      <c r="DLP2485" s="58"/>
      <c r="DLQ2485" s="58"/>
      <c r="DLR2485" s="60"/>
      <c r="DLS2485" s="60"/>
      <c r="DLT2485" s="60"/>
      <c r="DLU2485" s="58"/>
      <c r="DLV2485" s="61"/>
      <c r="DLW2485" s="58"/>
      <c r="DLX2485" s="58"/>
      <c r="DLY2485" s="58"/>
      <c r="DLZ2485" s="60"/>
      <c r="DMA2485" s="60"/>
      <c r="DMB2485" s="60"/>
      <c r="DMC2485" s="58"/>
      <c r="DMD2485" s="61"/>
      <c r="DME2485" s="58"/>
      <c r="DMF2485" s="58"/>
      <c r="DMG2485" s="58"/>
      <c r="DMH2485" s="60"/>
      <c r="DMI2485" s="60"/>
      <c r="DMJ2485" s="60"/>
      <c r="DMK2485" s="58"/>
      <c r="DML2485" s="61"/>
      <c r="DMM2485" s="58"/>
      <c r="DMN2485" s="58"/>
      <c r="DMO2485" s="58"/>
      <c r="DMP2485" s="60"/>
      <c r="DMQ2485" s="60"/>
      <c r="DMR2485" s="60"/>
      <c r="DMS2485" s="58"/>
      <c r="DMT2485" s="61"/>
      <c r="DMU2485" s="58"/>
      <c r="DMV2485" s="58"/>
      <c r="DMW2485" s="58"/>
      <c r="DMX2485" s="60"/>
      <c r="DMY2485" s="60"/>
      <c r="DMZ2485" s="60"/>
      <c r="DNA2485" s="58"/>
      <c r="DNB2485" s="61"/>
      <c r="DNC2485" s="58"/>
      <c r="DND2485" s="58"/>
      <c r="DNE2485" s="58"/>
      <c r="DNF2485" s="60"/>
      <c r="DNG2485" s="60"/>
      <c r="DNH2485" s="60"/>
      <c r="DNI2485" s="58"/>
      <c r="DNJ2485" s="61"/>
      <c r="DNK2485" s="58"/>
      <c r="DNL2485" s="58"/>
      <c r="DNM2485" s="58"/>
      <c r="DNN2485" s="60"/>
      <c r="DNO2485" s="60"/>
      <c r="DNP2485" s="60"/>
      <c r="DNQ2485" s="58"/>
      <c r="DNR2485" s="61"/>
      <c r="DNS2485" s="58"/>
      <c r="DNT2485" s="58"/>
      <c r="DNU2485" s="58"/>
      <c r="DNV2485" s="60"/>
      <c r="DNW2485" s="60"/>
      <c r="DNX2485" s="60"/>
      <c r="DNY2485" s="58"/>
      <c r="DNZ2485" s="61"/>
      <c r="DOA2485" s="58"/>
      <c r="DOB2485" s="58"/>
      <c r="DOC2485" s="58"/>
      <c r="DOD2485" s="60"/>
      <c r="DOE2485" s="60"/>
      <c r="DOF2485" s="60"/>
      <c r="DOG2485" s="58"/>
      <c r="DOH2485" s="61"/>
      <c r="DOI2485" s="58"/>
      <c r="DOJ2485" s="58"/>
      <c r="DOK2485" s="58"/>
      <c r="DOL2485" s="60"/>
      <c r="DOM2485" s="60"/>
      <c r="DON2485" s="60"/>
      <c r="DOO2485" s="58"/>
      <c r="DOP2485" s="61"/>
      <c r="DOQ2485" s="58"/>
      <c r="DOR2485" s="58"/>
      <c r="DOS2485" s="58"/>
      <c r="DOT2485" s="60"/>
      <c r="DOU2485" s="60"/>
      <c r="DOV2485" s="60"/>
      <c r="DOW2485" s="58"/>
      <c r="DOX2485" s="61"/>
      <c r="DOY2485" s="58"/>
      <c r="DOZ2485" s="58"/>
      <c r="DPA2485" s="58"/>
      <c r="DPB2485" s="60"/>
      <c r="DPC2485" s="60"/>
      <c r="DPD2485" s="60"/>
      <c r="DPE2485" s="58"/>
      <c r="DPF2485" s="61"/>
      <c r="DPG2485" s="58"/>
      <c r="DPH2485" s="58"/>
      <c r="DPI2485" s="58"/>
      <c r="DPJ2485" s="60"/>
      <c r="DPK2485" s="60"/>
      <c r="DPL2485" s="60"/>
      <c r="DPM2485" s="58"/>
      <c r="DPN2485" s="61"/>
      <c r="DPO2485" s="58"/>
      <c r="DPP2485" s="58"/>
      <c r="DPQ2485" s="58"/>
      <c r="DPR2485" s="60"/>
      <c r="DPS2485" s="60"/>
      <c r="DPT2485" s="60"/>
      <c r="DPU2485" s="58"/>
      <c r="DPV2485" s="61"/>
      <c r="DPW2485" s="58"/>
      <c r="DPX2485" s="58"/>
      <c r="DPY2485" s="58"/>
      <c r="DPZ2485" s="60"/>
      <c r="DQA2485" s="60"/>
      <c r="DQB2485" s="60"/>
      <c r="DQC2485" s="58"/>
      <c r="DQD2485" s="61"/>
      <c r="DQE2485" s="58"/>
      <c r="DQF2485" s="58"/>
      <c r="DQG2485" s="58"/>
      <c r="DQH2485" s="60"/>
      <c r="DQI2485" s="60"/>
      <c r="DQJ2485" s="60"/>
      <c r="DQK2485" s="58"/>
      <c r="DQL2485" s="61"/>
      <c r="DQM2485" s="58"/>
      <c r="DQN2485" s="58"/>
      <c r="DQO2485" s="58"/>
      <c r="DQP2485" s="60"/>
      <c r="DQQ2485" s="60"/>
      <c r="DQR2485" s="60"/>
      <c r="DQS2485" s="58"/>
      <c r="DQT2485" s="61"/>
      <c r="DQU2485" s="58"/>
      <c r="DQV2485" s="58"/>
      <c r="DQW2485" s="58"/>
      <c r="DQX2485" s="60"/>
      <c r="DQY2485" s="60"/>
      <c r="DQZ2485" s="60"/>
      <c r="DRA2485" s="58"/>
      <c r="DRB2485" s="61"/>
      <c r="DRC2485" s="58"/>
      <c r="DRD2485" s="58"/>
      <c r="DRE2485" s="58"/>
      <c r="DRF2485" s="60"/>
      <c r="DRG2485" s="60"/>
      <c r="DRH2485" s="60"/>
      <c r="DRI2485" s="58"/>
      <c r="DRJ2485" s="61"/>
      <c r="DRK2485" s="58"/>
      <c r="DRL2485" s="58"/>
      <c r="DRM2485" s="58"/>
      <c r="DRN2485" s="60"/>
      <c r="DRO2485" s="60"/>
      <c r="DRP2485" s="60"/>
      <c r="DRQ2485" s="58"/>
      <c r="DRR2485" s="61"/>
      <c r="DRS2485" s="58"/>
      <c r="DRT2485" s="58"/>
      <c r="DRU2485" s="58"/>
      <c r="DRV2485" s="60"/>
      <c r="DRW2485" s="60"/>
      <c r="DRX2485" s="60"/>
      <c r="DRY2485" s="58"/>
      <c r="DRZ2485" s="61"/>
      <c r="DSA2485" s="58"/>
      <c r="DSB2485" s="58"/>
      <c r="DSC2485" s="58"/>
      <c r="DSD2485" s="60"/>
      <c r="DSE2485" s="60"/>
      <c r="DSF2485" s="60"/>
      <c r="DSG2485" s="58"/>
      <c r="DSH2485" s="61"/>
      <c r="DSI2485" s="58"/>
      <c r="DSJ2485" s="58"/>
      <c r="DSK2485" s="58"/>
      <c r="DSL2485" s="60"/>
      <c r="DSM2485" s="60"/>
      <c r="DSN2485" s="60"/>
      <c r="DSO2485" s="58"/>
      <c r="DSP2485" s="61"/>
      <c r="DSQ2485" s="58"/>
      <c r="DSR2485" s="58"/>
      <c r="DSS2485" s="58"/>
      <c r="DST2485" s="60"/>
      <c r="DSU2485" s="60"/>
      <c r="DSV2485" s="60"/>
      <c r="DSW2485" s="58"/>
      <c r="DSX2485" s="61"/>
      <c r="DSY2485" s="58"/>
      <c r="DSZ2485" s="58"/>
      <c r="DTA2485" s="58"/>
      <c r="DTB2485" s="60"/>
      <c r="DTC2485" s="60"/>
      <c r="DTD2485" s="60"/>
      <c r="DTE2485" s="58"/>
      <c r="DTF2485" s="61"/>
      <c r="DTG2485" s="58"/>
      <c r="DTH2485" s="58"/>
      <c r="DTI2485" s="58"/>
      <c r="DTJ2485" s="60"/>
      <c r="DTK2485" s="60"/>
      <c r="DTL2485" s="60"/>
      <c r="DTM2485" s="58"/>
      <c r="DTN2485" s="61"/>
      <c r="DTO2485" s="58"/>
      <c r="DTP2485" s="58"/>
      <c r="DTQ2485" s="58"/>
      <c r="DTR2485" s="60"/>
      <c r="DTS2485" s="60"/>
      <c r="DTT2485" s="60"/>
      <c r="DTU2485" s="58"/>
      <c r="DTV2485" s="61"/>
      <c r="DTW2485" s="58"/>
      <c r="DTX2485" s="58"/>
      <c r="DTY2485" s="58"/>
      <c r="DTZ2485" s="60"/>
      <c r="DUA2485" s="60"/>
      <c r="DUB2485" s="60"/>
      <c r="DUC2485" s="58"/>
      <c r="DUD2485" s="61"/>
      <c r="DUE2485" s="58"/>
      <c r="DUF2485" s="58"/>
      <c r="DUG2485" s="58"/>
      <c r="DUH2485" s="60"/>
      <c r="DUI2485" s="60"/>
      <c r="DUJ2485" s="60"/>
      <c r="DUK2485" s="58"/>
      <c r="DUL2485" s="61"/>
      <c r="DUM2485" s="58"/>
      <c r="DUN2485" s="58"/>
      <c r="DUO2485" s="58"/>
      <c r="DUP2485" s="60"/>
      <c r="DUQ2485" s="60"/>
      <c r="DUR2485" s="60"/>
      <c r="DUS2485" s="58"/>
      <c r="DUT2485" s="61"/>
      <c r="DUU2485" s="58"/>
      <c r="DUV2485" s="58"/>
      <c r="DUW2485" s="58"/>
      <c r="DUX2485" s="60"/>
      <c r="DUY2485" s="60"/>
      <c r="DUZ2485" s="60"/>
      <c r="DVA2485" s="58"/>
      <c r="DVB2485" s="61"/>
      <c r="DVC2485" s="58"/>
      <c r="DVD2485" s="58"/>
      <c r="DVE2485" s="58"/>
      <c r="DVF2485" s="60"/>
      <c r="DVG2485" s="60"/>
      <c r="DVH2485" s="60"/>
      <c r="DVI2485" s="58"/>
      <c r="DVJ2485" s="61"/>
      <c r="DVK2485" s="58"/>
      <c r="DVL2485" s="58"/>
      <c r="DVM2485" s="58"/>
      <c r="DVN2485" s="60"/>
      <c r="DVO2485" s="60"/>
      <c r="DVP2485" s="60"/>
      <c r="DVQ2485" s="58"/>
      <c r="DVR2485" s="61"/>
      <c r="DVS2485" s="58"/>
      <c r="DVT2485" s="58"/>
      <c r="DVU2485" s="58"/>
      <c r="DVV2485" s="60"/>
      <c r="DVW2485" s="60"/>
      <c r="DVX2485" s="60"/>
      <c r="DVY2485" s="58"/>
      <c r="DVZ2485" s="61"/>
      <c r="DWA2485" s="58"/>
      <c r="DWB2485" s="58"/>
      <c r="DWC2485" s="58"/>
      <c r="DWD2485" s="60"/>
      <c r="DWE2485" s="60"/>
      <c r="DWF2485" s="60"/>
      <c r="DWG2485" s="58"/>
      <c r="DWH2485" s="61"/>
      <c r="DWI2485" s="58"/>
      <c r="DWJ2485" s="58"/>
      <c r="DWK2485" s="58"/>
      <c r="DWL2485" s="60"/>
      <c r="DWM2485" s="60"/>
      <c r="DWN2485" s="60"/>
      <c r="DWO2485" s="58"/>
      <c r="DWP2485" s="61"/>
      <c r="DWQ2485" s="58"/>
      <c r="DWR2485" s="58"/>
      <c r="DWS2485" s="58"/>
      <c r="DWT2485" s="60"/>
      <c r="DWU2485" s="60"/>
      <c r="DWV2485" s="60"/>
      <c r="DWW2485" s="58"/>
      <c r="DWX2485" s="61"/>
      <c r="DWY2485" s="58"/>
      <c r="DWZ2485" s="58"/>
      <c r="DXA2485" s="58"/>
      <c r="DXB2485" s="60"/>
      <c r="DXC2485" s="60"/>
      <c r="DXD2485" s="60"/>
      <c r="DXE2485" s="58"/>
      <c r="DXF2485" s="61"/>
      <c r="DXG2485" s="58"/>
      <c r="DXH2485" s="58"/>
      <c r="DXI2485" s="58"/>
      <c r="DXJ2485" s="60"/>
      <c r="DXK2485" s="60"/>
      <c r="DXL2485" s="60"/>
      <c r="DXM2485" s="58"/>
      <c r="DXN2485" s="61"/>
      <c r="DXO2485" s="58"/>
      <c r="DXP2485" s="58"/>
      <c r="DXQ2485" s="58"/>
      <c r="DXR2485" s="60"/>
      <c r="DXS2485" s="60"/>
      <c r="DXT2485" s="60"/>
      <c r="DXU2485" s="58"/>
      <c r="DXV2485" s="61"/>
      <c r="DXW2485" s="58"/>
      <c r="DXX2485" s="58"/>
      <c r="DXY2485" s="58"/>
      <c r="DXZ2485" s="60"/>
      <c r="DYA2485" s="60"/>
      <c r="DYB2485" s="60"/>
      <c r="DYC2485" s="58"/>
      <c r="DYD2485" s="61"/>
      <c r="DYE2485" s="58"/>
      <c r="DYF2485" s="58"/>
      <c r="DYG2485" s="58"/>
      <c r="DYH2485" s="60"/>
      <c r="DYI2485" s="60"/>
      <c r="DYJ2485" s="60"/>
      <c r="DYK2485" s="58"/>
      <c r="DYL2485" s="61"/>
      <c r="DYM2485" s="58"/>
      <c r="DYN2485" s="58"/>
      <c r="DYO2485" s="58"/>
      <c r="DYP2485" s="60"/>
      <c r="DYQ2485" s="60"/>
      <c r="DYR2485" s="60"/>
      <c r="DYS2485" s="58"/>
      <c r="DYT2485" s="61"/>
      <c r="DYU2485" s="58"/>
      <c r="DYV2485" s="58"/>
      <c r="DYW2485" s="58"/>
      <c r="DYX2485" s="60"/>
      <c r="DYY2485" s="60"/>
      <c r="DYZ2485" s="60"/>
      <c r="DZA2485" s="58"/>
      <c r="DZB2485" s="61"/>
      <c r="DZC2485" s="58"/>
      <c r="DZD2485" s="58"/>
      <c r="DZE2485" s="58"/>
      <c r="DZF2485" s="60"/>
      <c r="DZG2485" s="60"/>
      <c r="DZH2485" s="60"/>
      <c r="DZI2485" s="58"/>
      <c r="DZJ2485" s="61"/>
      <c r="DZK2485" s="58"/>
      <c r="DZL2485" s="58"/>
      <c r="DZM2485" s="58"/>
      <c r="DZN2485" s="60"/>
      <c r="DZO2485" s="60"/>
      <c r="DZP2485" s="60"/>
      <c r="DZQ2485" s="58"/>
      <c r="DZR2485" s="61"/>
      <c r="DZS2485" s="58"/>
      <c r="DZT2485" s="58"/>
      <c r="DZU2485" s="58"/>
      <c r="DZV2485" s="60"/>
      <c r="DZW2485" s="60"/>
      <c r="DZX2485" s="60"/>
      <c r="DZY2485" s="58"/>
      <c r="DZZ2485" s="61"/>
      <c r="EAA2485" s="58"/>
      <c r="EAB2485" s="58"/>
      <c r="EAC2485" s="58"/>
      <c r="EAD2485" s="60"/>
      <c r="EAE2485" s="60"/>
      <c r="EAF2485" s="60"/>
      <c r="EAG2485" s="58"/>
      <c r="EAH2485" s="61"/>
      <c r="EAI2485" s="58"/>
      <c r="EAJ2485" s="58"/>
      <c r="EAK2485" s="58"/>
      <c r="EAL2485" s="60"/>
      <c r="EAM2485" s="60"/>
      <c r="EAN2485" s="60"/>
      <c r="EAO2485" s="58"/>
      <c r="EAP2485" s="61"/>
      <c r="EAQ2485" s="58"/>
      <c r="EAR2485" s="58"/>
      <c r="EAS2485" s="58"/>
      <c r="EAT2485" s="60"/>
      <c r="EAU2485" s="60"/>
      <c r="EAV2485" s="60"/>
      <c r="EAW2485" s="58"/>
      <c r="EAX2485" s="61"/>
      <c r="EAY2485" s="58"/>
      <c r="EAZ2485" s="58"/>
      <c r="EBA2485" s="58"/>
      <c r="EBB2485" s="60"/>
      <c r="EBC2485" s="60"/>
      <c r="EBD2485" s="60"/>
      <c r="EBE2485" s="58"/>
      <c r="EBF2485" s="61"/>
      <c r="EBG2485" s="58"/>
      <c r="EBH2485" s="58"/>
      <c r="EBI2485" s="58"/>
      <c r="EBJ2485" s="60"/>
      <c r="EBK2485" s="60"/>
      <c r="EBL2485" s="60"/>
      <c r="EBM2485" s="58"/>
      <c r="EBN2485" s="61"/>
      <c r="EBO2485" s="58"/>
      <c r="EBP2485" s="58"/>
      <c r="EBQ2485" s="58"/>
      <c r="EBR2485" s="60"/>
      <c r="EBS2485" s="60"/>
      <c r="EBT2485" s="60"/>
      <c r="EBU2485" s="58"/>
      <c r="EBV2485" s="61"/>
      <c r="EBW2485" s="58"/>
      <c r="EBX2485" s="58"/>
      <c r="EBY2485" s="58"/>
      <c r="EBZ2485" s="60"/>
      <c r="ECA2485" s="60"/>
      <c r="ECB2485" s="60"/>
      <c r="ECC2485" s="58"/>
      <c r="ECD2485" s="61"/>
      <c r="ECE2485" s="58"/>
      <c r="ECF2485" s="58"/>
      <c r="ECG2485" s="58"/>
      <c r="ECH2485" s="60"/>
      <c r="ECI2485" s="60"/>
      <c r="ECJ2485" s="60"/>
      <c r="ECK2485" s="58"/>
      <c r="ECL2485" s="61"/>
      <c r="ECM2485" s="58"/>
      <c r="ECN2485" s="58"/>
      <c r="ECO2485" s="58"/>
      <c r="ECP2485" s="60"/>
      <c r="ECQ2485" s="60"/>
      <c r="ECR2485" s="60"/>
      <c r="ECS2485" s="58"/>
      <c r="ECT2485" s="61"/>
      <c r="ECU2485" s="58"/>
      <c r="ECV2485" s="58"/>
      <c r="ECW2485" s="58"/>
      <c r="ECX2485" s="60"/>
      <c r="ECY2485" s="60"/>
      <c r="ECZ2485" s="60"/>
      <c r="EDA2485" s="58"/>
      <c r="EDB2485" s="61"/>
      <c r="EDC2485" s="58"/>
      <c r="EDD2485" s="58"/>
      <c r="EDE2485" s="58"/>
      <c r="EDF2485" s="60"/>
      <c r="EDG2485" s="60"/>
      <c r="EDH2485" s="60"/>
      <c r="EDI2485" s="58"/>
      <c r="EDJ2485" s="61"/>
      <c r="EDK2485" s="58"/>
      <c r="EDL2485" s="58"/>
      <c r="EDM2485" s="58"/>
      <c r="EDN2485" s="60"/>
      <c r="EDO2485" s="60"/>
      <c r="EDP2485" s="60"/>
      <c r="EDQ2485" s="58"/>
      <c r="EDR2485" s="61"/>
      <c r="EDS2485" s="58"/>
      <c r="EDT2485" s="58"/>
      <c r="EDU2485" s="58"/>
      <c r="EDV2485" s="60"/>
      <c r="EDW2485" s="60"/>
      <c r="EDX2485" s="60"/>
      <c r="EDY2485" s="58"/>
      <c r="EDZ2485" s="61"/>
      <c r="EEA2485" s="58"/>
      <c r="EEB2485" s="58"/>
      <c r="EEC2485" s="58"/>
      <c r="EED2485" s="60"/>
      <c r="EEE2485" s="60"/>
      <c r="EEF2485" s="60"/>
      <c r="EEG2485" s="58"/>
      <c r="EEH2485" s="61"/>
      <c r="EEI2485" s="58"/>
      <c r="EEJ2485" s="58"/>
      <c r="EEK2485" s="58"/>
      <c r="EEL2485" s="60"/>
      <c r="EEM2485" s="60"/>
      <c r="EEN2485" s="60"/>
      <c r="EEO2485" s="58"/>
      <c r="EEP2485" s="61"/>
      <c r="EEQ2485" s="58"/>
      <c r="EER2485" s="58"/>
      <c r="EES2485" s="58"/>
      <c r="EET2485" s="60"/>
      <c r="EEU2485" s="60"/>
      <c r="EEV2485" s="60"/>
      <c r="EEW2485" s="58"/>
      <c r="EEX2485" s="61"/>
      <c r="EEY2485" s="58"/>
      <c r="EEZ2485" s="58"/>
      <c r="EFA2485" s="58"/>
      <c r="EFB2485" s="60"/>
      <c r="EFC2485" s="60"/>
      <c r="EFD2485" s="60"/>
      <c r="EFE2485" s="58"/>
      <c r="EFF2485" s="61"/>
      <c r="EFG2485" s="58"/>
      <c r="EFH2485" s="58"/>
      <c r="EFI2485" s="58"/>
      <c r="EFJ2485" s="60"/>
      <c r="EFK2485" s="60"/>
      <c r="EFL2485" s="60"/>
      <c r="EFM2485" s="58"/>
      <c r="EFN2485" s="61"/>
      <c r="EFO2485" s="58"/>
      <c r="EFP2485" s="58"/>
      <c r="EFQ2485" s="58"/>
      <c r="EFR2485" s="60"/>
      <c r="EFS2485" s="60"/>
      <c r="EFT2485" s="60"/>
      <c r="EFU2485" s="58"/>
      <c r="EFV2485" s="61"/>
      <c r="EFW2485" s="58"/>
      <c r="EFX2485" s="58"/>
      <c r="EFY2485" s="58"/>
      <c r="EFZ2485" s="60"/>
      <c r="EGA2485" s="60"/>
      <c r="EGB2485" s="60"/>
      <c r="EGC2485" s="58"/>
      <c r="EGD2485" s="61"/>
      <c r="EGE2485" s="58"/>
      <c r="EGF2485" s="58"/>
      <c r="EGG2485" s="58"/>
      <c r="EGH2485" s="60"/>
      <c r="EGI2485" s="60"/>
      <c r="EGJ2485" s="60"/>
      <c r="EGK2485" s="58"/>
      <c r="EGL2485" s="61"/>
      <c r="EGM2485" s="58"/>
      <c r="EGN2485" s="58"/>
      <c r="EGO2485" s="58"/>
      <c r="EGP2485" s="60"/>
      <c r="EGQ2485" s="60"/>
      <c r="EGR2485" s="60"/>
      <c r="EGS2485" s="58"/>
      <c r="EGT2485" s="61"/>
      <c r="EGU2485" s="58"/>
      <c r="EGV2485" s="58"/>
      <c r="EGW2485" s="58"/>
      <c r="EGX2485" s="60"/>
      <c r="EGY2485" s="60"/>
      <c r="EGZ2485" s="60"/>
      <c r="EHA2485" s="58"/>
      <c r="EHB2485" s="61"/>
      <c r="EHC2485" s="58"/>
      <c r="EHD2485" s="58"/>
      <c r="EHE2485" s="58"/>
      <c r="EHF2485" s="60"/>
      <c r="EHG2485" s="60"/>
      <c r="EHH2485" s="60"/>
      <c r="EHI2485" s="58"/>
      <c r="EHJ2485" s="61"/>
      <c r="EHK2485" s="58"/>
      <c r="EHL2485" s="58"/>
      <c r="EHM2485" s="58"/>
      <c r="EHN2485" s="60"/>
      <c r="EHO2485" s="60"/>
      <c r="EHP2485" s="60"/>
      <c r="EHQ2485" s="58"/>
      <c r="EHR2485" s="61"/>
      <c r="EHS2485" s="58"/>
      <c r="EHT2485" s="58"/>
      <c r="EHU2485" s="58"/>
      <c r="EHV2485" s="60"/>
      <c r="EHW2485" s="60"/>
      <c r="EHX2485" s="60"/>
      <c r="EHY2485" s="58"/>
      <c r="EHZ2485" s="61"/>
      <c r="EIA2485" s="58"/>
      <c r="EIB2485" s="58"/>
      <c r="EIC2485" s="58"/>
      <c r="EID2485" s="60"/>
      <c r="EIE2485" s="60"/>
      <c r="EIF2485" s="60"/>
      <c r="EIG2485" s="58"/>
      <c r="EIH2485" s="61"/>
      <c r="EII2485" s="58"/>
      <c r="EIJ2485" s="58"/>
      <c r="EIK2485" s="58"/>
      <c r="EIL2485" s="60"/>
      <c r="EIM2485" s="60"/>
      <c r="EIN2485" s="60"/>
      <c r="EIO2485" s="58"/>
      <c r="EIP2485" s="61"/>
      <c r="EIQ2485" s="58"/>
      <c r="EIR2485" s="58"/>
      <c r="EIS2485" s="58"/>
      <c r="EIT2485" s="60"/>
      <c r="EIU2485" s="60"/>
      <c r="EIV2485" s="60"/>
      <c r="EIW2485" s="58"/>
      <c r="EIX2485" s="61"/>
      <c r="EIY2485" s="58"/>
      <c r="EIZ2485" s="58"/>
      <c r="EJA2485" s="58"/>
      <c r="EJB2485" s="60"/>
      <c r="EJC2485" s="60"/>
      <c r="EJD2485" s="60"/>
      <c r="EJE2485" s="58"/>
      <c r="EJF2485" s="61"/>
      <c r="EJG2485" s="58"/>
      <c r="EJH2485" s="58"/>
      <c r="EJI2485" s="58"/>
      <c r="EJJ2485" s="60"/>
      <c r="EJK2485" s="60"/>
      <c r="EJL2485" s="60"/>
      <c r="EJM2485" s="58"/>
      <c r="EJN2485" s="61"/>
      <c r="EJO2485" s="58"/>
      <c r="EJP2485" s="58"/>
      <c r="EJQ2485" s="58"/>
      <c r="EJR2485" s="60"/>
      <c r="EJS2485" s="60"/>
      <c r="EJT2485" s="60"/>
      <c r="EJU2485" s="58"/>
      <c r="EJV2485" s="61"/>
      <c r="EJW2485" s="58"/>
      <c r="EJX2485" s="58"/>
      <c r="EJY2485" s="58"/>
      <c r="EJZ2485" s="60"/>
      <c r="EKA2485" s="60"/>
      <c r="EKB2485" s="60"/>
      <c r="EKC2485" s="58"/>
      <c r="EKD2485" s="61"/>
      <c r="EKE2485" s="58"/>
      <c r="EKF2485" s="58"/>
      <c r="EKG2485" s="58"/>
      <c r="EKH2485" s="60"/>
      <c r="EKI2485" s="60"/>
      <c r="EKJ2485" s="60"/>
      <c r="EKK2485" s="58"/>
      <c r="EKL2485" s="61"/>
      <c r="EKM2485" s="58"/>
      <c r="EKN2485" s="58"/>
      <c r="EKO2485" s="58"/>
      <c r="EKP2485" s="60"/>
      <c r="EKQ2485" s="60"/>
      <c r="EKR2485" s="60"/>
      <c r="EKS2485" s="58"/>
      <c r="EKT2485" s="61"/>
      <c r="EKU2485" s="58"/>
      <c r="EKV2485" s="58"/>
      <c r="EKW2485" s="58"/>
      <c r="EKX2485" s="60"/>
      <c r="EKY2485" s="60"/>
      <c r="EKZ2485" s="60"/>
      <c r="ELA2485" s="58"/>
      <c r="ELB2485" s="61"/>
      <c r="ELC2485" s="58"/>
      <c r="ELD2485" s="58"/>
      <c r="ELE2485" s="58"/>
      <c r="ELF2485" s="60"/>
      <c r="ELG2485" s="60"/>
      <c r="ELH2485" s="60"/>
      <c r="ELI2485" s="58"/>
      <c r="ELJ2485" s="61"/>
      <c r="ELK2485" s="58"/>
      <c r="ELL2485" s="58"/>
      <c r="ELM2485" s="58"/>
      <c r="ELN2485" s="60"/>
      <c r="ELO2485" s="60"/>
      <c r="ELP2485" s="60"/>
      <c r="ELQ2485" s="58"/>
      <c r="ELR2485" s="61"/>
      <c r="ELS2485" s="58"/>
      <c r="ELT2485" s="58"/>
      <c r="ELU2485" s="58"/>
      <c r="ELV2485" s="60"/>
      <c r="ELW2485" s="60"/>
      <c r="ELX2485" s="60"/>
      <c r="ELY2485" s="58"/>
      <c r="ELZ2485" s="61"/>
      <c r="EMA2485" s="58"/>
      <c r="EMB2485" s="58"/>
      <c r="EMC2485" s="58"/>
      <c r="EMD2485" s="60"/>
      <c r="EME2485" s="60"/>
      <c r="EMF2485" s="60"/>
      <c r="EMG2485" s="58"/>
      <c r="EMH2485" s="61"/>
      <c r="EMI2485" s="58"/>
      <c r="EMJ2485" s="58"/>
      <c r="EMK2485" s="58"/>
      <c r="EML2485" s="60"/>
      <c r="EMM2485" s="60"/>
      <c r="EMN2485" s="60"/>
      <c r="EMO2485" s="58"/>
      <c r="EMP2485" s="61"/>
      <c r="EMQ2485" s="58"/>
      <c r="EMR2485" s="58"/>
      <c r="EMS2485" s="58"/>
      <c r="EMT2485" s="60"/>
      <c r="EMU2485" s="60"/>
      <c r="EMV2485" s="60"/>
      <c r="EMW2485" s="58"/>
      <c r="EMX2485" s="61"/>
      <c r="EMY2485" s="58"/>
      <c r="EMZ2485" s="58"/>
      <c r="ENA2485" s="58"/>
      <c r="ENB2485" s="60"/>
      <c r="ENC2485" s="60"/>
      <c r="END2485" s="60"/>
      <c r="ENE2485" s="58"/>
      <c r="ENF2485" s="61"/>
      <c r="ENG2485" s="58"/>
      <c r="ENH2485" s="58"/>
      <c r="ENI2485" s="58"/>
      <c r="ENJ2485" s="60"/>
      <c r="ENK2485" s="60"/>
      <c r="ENL2485" s="60"/>
      <c r="ENM2485" s="58"/>
      <c r="ENN2485" s="61"/>
      <c r="ENO2485" s="58"/>
      <c r="ENP2485" s="58"/>
      <c r="ENQ2485" s="58"/>
      <c r="ENR2485" s="60"/>
      <c r="ENS2485" s="60"/>
      <c r="ENT2485" s="60"/>
      <c r="ENU2485" s="58"/>
      <c r="ENV2485" s="61"/>
      <c r="ENW2485" s="58"/>
      <c r="ENX2485" s="58"/>
      <c r="ENY2485" s="58"/>
      <c r="ENZ2485" s="60"/>
      <c r="EOA2485" s="60"/>
      <c r="EOB2485" s="60"/>
      <c r="EOC2485" s="58"/>
      <c r="EOD2485" s="61"/>
      <c r="EOE2485" s="58"/>
      <c r="EOF2485" s="58"/>
      <c r="EOG2485" s="58"/>
      <c r="EOH2485" s="60"/>
      <c r="EOI2485" s="60"/>
      <c r="EOJ2485" s="60"/>
      <c r="EOK2485" s="58"/>
      <c r="EOL2485" s="61"/>
      <c r="EOM2485" s="58"/>
      <c r="EON2485" s="58"/>
      <c r="EOO2485" s="58"/>
      <c r="EOP2485" s="60"/>
      <c r="EOQ2485" s="60"/>
      <c r="EOR2485" s="60"/>
      <c r="EOS2485" s="58"/>
      <c r="EOT2485" s="61"/>
      <c r="EOU2485" s="58"/>
      <c r="EOV2485" s="58"/>
      <c r="EOW2485" s="58"/>
      <c r="EOX2485" s="60"/>
      <c r="EOY2485" s="60"/>
      <c r="EOZ2485" s="60"/>
      <c r="EPA2485" s="58"/>
      <c r="EPB2485" s="61"/>
      <c r="EPC2485" s="58"/>
      <c r="EPD2485" s="58"/>
      <c r="EPE2485" s="58"/>
      <c r="EPF2485" s="60"/>
      <c r="EPG2485" s="60"/>
      <c r="EPH2485" s="60"/>
      <c r="EPI2485" s="58"/>
      <c r="EPJ2485" s="61"/>
      <c r="EPK2485" s="58"/>
      <c r="EPL2485" s="58"/>
      <c r="EPM2485" s="58"/>
      <c r="EPN2485" s="60"/>
      <c r="EPO2485" s="60"/>
      <c r="EPP2485" s="60"/>
      <c r="EPQ2485" s="58"/>
      <c r="EPR2485" s="61"/>
      <c r="EPS2485" s="58"/>
      <c r="EPT2485" s="58"/>
      <c r="EPU2485" s="58"/>
      <c r="EPV2485" s="60"/>
      <c r="EPW2485" s="60"/>
      <c r="EPX2485" s="60"/>
      <c r="EPY2485" s="58"/>
      <c r="EPZ2485" s="61"/>
      <c r="EQA2485" s="58"/>
      <c r="EQB2485" s="58"/>
      <c r="EQC2485" s="58"/>
      <c r="EQD2485" s="60"/>
      <c r="EQE2485" s="60"/>
      <c r="EQF2485" s="60"/>
      <c r="EQG2485" s="58"/>
      <c r="EQH2485" s="61"/>
      <c r="EQI2485" s="58"/>
      <c r="EQJ2485" s="58"/>
      <c r="EQK2485" s="58"/>
      <c r="EQL2485" s="60"/>
      <c r="EQM2485" s="60"/>
      <c r="EQN2485" s="60"/>
      <c r="EQO2485" s="58"/>
      <c r="EQP2485" s="61"/>
      <c r="EQQ2485" s="58"/>
      <c r="EQR2485" s="58"/>
      <c r="EQS2485" s="58"/>
      <c r="EQT2485" s="60"/>
      <c r="EQU2485" s="60"/>
      <c r="EQV2485" s="60"/>
      <c r="EQW2485" s="58"/>
      <c r="EQX2485" s="61"/>
      <c r="EQY2485" s="58"/>
      <c r="EQZ2485" s="58"/>
      <c r="ERA2485" s="58"/>
      <c r="ERB2485" s="60"/>
      <c r="ERC2485" s="60"/>
      <c r="ERD2485" s="60"/>
      <c r="ERE2485" s="58"/>
      <c r="ERF2485" s="61"/>
      <c r="ERG2485" s="58"/>
      <c r="ERH2485" s="58"/>
      <c r="ERI2485" s="58"/>
      <c r="ERJ2485" s="60"/>
      <c r="ERK2485" s="60"/>
      <c r="ERL2485" s="60"/>
      <c r="ERM2485" s="58"/>
      <c r="ERN2485" s="61"/>
      <c r="ERO2485" s="58"/>
      <c r="ERP2485" s="58"/>
      <c r="ERQ2485" s="58"/>
      <c r="ERR2485" s="60"/>
      <c r="ERS2485" s="60"/>
      <c r="ERT2485" s="60"/>
      <c r="ERU2485" s="58"/>
      <c r="ERV2485" s="61"/>
      <c r="ERW2485" s="58"/>
      <c r="ERX2485" s="58"/>
      <c r="ERY2485" s="58"/>
      <c r="ERZ2485" s="60"/>
      <c r="ESA2485" s="60"/>
      <c r="ESB2485" s="60"/>
      <c r="ESC2485" s="58"/>
      <c r="ESD2485" s="61"/>
      <c r="ESE2485" s="58"/>
      <c r="ESF2485" s="58"/>
      <c r="ESG2485" s="58"/>
      <c r="ESH2485" s="60"/>
      <c r="ESI2485" s="60"/>
      <c r="ESJ2485" s="60"/>
      <c r="ESK2485" s="58"/>
      <c r="ESL2485" s="61"/>
      <c r="ESM2485" s="58"/>
      <c r="ESN2485" s="58"/>
      <c r="ESO2485" s="58"/>
      <c r="ESP2485" s="60"/>
      <c r="ESQ2485" s="60"/>
      <c r="ESR2485" s="60"/>
      <c r="ESS2485" s="58"/>
      <c r="EST2485" s="61"/>
      <c r="ESU2485" s="58"/>
      <c r="ESV2485" s="58"/>
      <c r="ESW2485" s="58"/>
      <c r="ESX2485" s="60"/>
      <c r="ESY2485" s="60"/>
      <c r="ESZ2485" s="60"/>
      <c r="ETA2485" s="58"/>
      <c r="ETB2485" s="61"/>
      <c r="ETC2485" s="58"/>
      <c r="ETD2485" s="58"/>
      <c r="ETE2485" s="58"/>
      <c r="ETF2485" s="60"/>
      <c r="ETG2485" s="60"/>
      <c r="ETH2485" s="60"/>
      <c r="ETI2485" s="58"/>
      <c r="ETJ2485" s="61"/>
      <c r="ETK2485" s="58"/>
      <c r="ETL2485" s="58"/>
      <c r="ETM2485" s="58"/>
      <c r="ETN2485" s="60"/>
      <c r="ETO2485" s="60"/>
      <c r="ETP2485" s="60"/>
      <c r="ETQ2485" s="58"/>
      <c r="ETR2485" s="61"/>
      <c r="ETS2485" s="58"/>
      <c r="ETT2485" s="58"/>
      <c r="ETU2485" s="58"/>
      <c r="ETV2485" s="60"/>
      <c r="ETW2485" s="60"/>
      <c r="ETX2485" s="60"/>
      <c r="ETY2485" s="58"/>
      <c r="ETZ2485" s="61"/>
      <c r="EUA2485" s="58"/>
      <c r="EUB2485" s="58"/>
      <c r="EUC2485" s="58"/>
      <c r="EUD2485" s="60"/>
      <c r="EUE2485" s="60"/>
      <c r="EUF2485" s="60"/>
      <c r="EUG2485" s="58"/>
      <c r="EUH2485" s="61"/>
      <c r="EUI2485" s="58"/>
      <c r="EUJ2485" s="58"/>
      <c r="EUK2485" s="58"/>
      <c r="EUL2485" s="60"/>
      <c r="EUM2485" s="60"/>
      <c r="EUN2485" s="60"/>
      <c r="EUO2485" s="58"/>
      <c r="EUP2485" s="61"/>
      <c r="EUQ2485" s="58"/>
      <c r="EUR2485" s="58"/>
      <c r="EUS2485" s="58"/>
      <c r="EUT2485" s="60"/>
      <c r="EUU2485" s="60"/>
      <c r="EUV2485" s="60"/>
      <c r="EUW2485" s="58"/>
      <c r="EUX2485" s="61"/>
      <c r="EUY2485" s="58"/>
      <c r="EUZ2485" s="58"/>
      <c r="EVA2485" s="58"/>
      <c r="EVB2485" s="60"/>
      <c r="EVC2485" s="60"/>
      <c r="EVD2485" s="60"/>
      <c r="EVE2485" s="58"/>
      <c r="EVF2485" s="61"/>
      <c r="EVG2485" s="58"/>
      <c r="EVH2485" s="58"/>
      <c r="EVI2485" s="58"/>
      <c r="EVJ2485" s="60"/>
      <c r="EVK2485" s="60"/>
      <c r="EVL2485" s="60"/>
      <c r="EVM2485" s="58"/>
      <c r="EVN2485" s="61"/>
      <c r="EVO2485" s="58"/>
      <c r="EVP2485" s="58"/>
      <c r="EVQ2485" s="58"/>
      <c r="EVR2485" s="60"/>
      <c r="EVS2485" s="60"/>
      <c r="EVT2485" s="60"/>
      <c r="EVU2485" s="58"/>
      <c r="EVV2485" s="61"/>
      <c r="EVW2485" s="58"/>
      <c r="EVX2485" s="58"/>
      <c r="EVY2485" s="58"/>
      <c r="EVZ2485" s="60"/>
      <c r="EWA2485" s="60"/>
      <c r="EWB2485" s="60"/>
      <c r="EWC2485" s="58"/>
      <c r="EWD2485" s="61"/>
      <c r="EWE2485" s="58"/>
      <c r="EWF2485" s="58"/>
      <c r="EWG2485" s="58"/>
      <c r="EWH2485" s="60"/>
      <c r="EWI2485" s="60"/>
      <c r="EWJ2485" s="60"/>
      <c r="EWK2485" s="58"/>
      <c r="EWL2485" s="61"/>
      <c r="EWM2485" s="58"/>
      <c r="EWN2485" s="58"/>
      <c r="EWO2485" s="58"/>
      <c r="EWP2485" s="60"/>
      <c r="EWQ2485" s="60"/>
      <c r="EWR2485" s="60"/>
      <c r="EWS2485" s="58"/>
      <c r="EWT2485" s="61"/>
      <c r="EWU2485" s="58"/>
      <c r="EWV2485" s="58"/>
      <c r="EWW2485" s="58"/>
      <c r="EWX2485" s="60"/>
      <c r="EWY2485" s="60"/>
      <c r="EWZ2485" s="60"/>
      <c r="EXA2485" s="58"/>
      <c r="EXB2485" s="61"/>
      <c r="EXC2485" s="58"/>
      <c r="EXD2485" s="58"/>
      <c r="EXE2485" s="58"/>
      <c r="EXF2485" s="60"/>
      <c r="EXG2485" s="60"/>
      <c r="EXH2485" s="60"/>
      <c r="EXI2485" s="58"/>
      <c r="EXJ2485" s="61"/>
      <c r="EXK2485" s="58"/>
      <c r="EXL2485" s="58"/>
      <c r="EXM2485" s="58"/>
      <c r="EXN2485" s="60"/>
      <c r="EXO2485" s="60"/>
      <c r="EXP2485" s="60"/>
      <c r="EXQ2485" s="58"/>
      <c r="EXR2485" s="61"/>
      <c r="EXS2485" s="58"/>
      <c r="EXT2485" s="58"/>
      <c r="EXU2485" s="58"/>
      <c r="EXV2485" s="60"/>
      <c r="EXW2485" s="60"/>
      <c r="EXX2485" s="60"/>
      <c r="EXY2485" s="58"/>
      <c r="EXZ2485" s="61"/>
      <c r="EYA2485" s="58"/>
      <c r="EYB2485" s="58"/>
      <c r="EYC2485" s="58"/>
      <c r="EYD2485" s="60"/>
      <c r="EYE2485" s="60"/>
      <c r="EYF2485" s="60"/>
      <c r="EYG2485" s="58"/>
      <c r="EYH2485" s="61"/>
      <c r="EYI2485" s="58"/>
      <c r="EYJ2485" s="58"/>
      <c r="EYK2485" s="58"/>
      <c r="EYL2485" s="60"/>
      <c r="EYM2485" s="60"/>
      <c r="EYN2485" s="60"/>
      <c r="EYO2485" s="58"/>
      <c r="EYP2485" s="61"/>
      <c r="EYQ2485" s="58"/>
      <c r="EYR2485" s="58"/>
      <c r="EYS2485" s="58"/>
      <c r="EYT2485" s="60"/>
      <c r="EYU2485" s="60"/>
      <c r="EYV2485" s="60"/>
      <c r="EYW2485" s="58"/>
      <c r="EYX2485" s="61"/>
      <c r="EYY2485" s="58"/>
      <c r="EYZ2485" s="58"/>
      <c r="EZA2485" s="58"/>
      <c r="EZB2485" s="60"/>
      <c r="EZC2485" s="60"/>
      <c r="EZD2485" s="60"/>
      <c r="EZE2485" s="58"/>
      <c r="EZF2485" s="61"/>
      <c r="EZG2485" s="58"/>
      <c r="EZH2485" s="58"/>
      <c r="EZI2485" s="58"/>
      <c r="EZJ2485" s="60"/>
      <c r="EZK2485" s="60"/>
      <c r="EZL2485" s="60"/>
      <c r="EZM2485" s="58"/>
      <c r="EZN2485" s="61"/>
      <c r="EZO2485" s="58"/>
      <c r="EZP2485" s="58"/>
      <c r="EZQ2485" s="58"/>
      <c r="EZR2485" s="60"/>
      <c r="EZS2485" s="60"/>
      <c r="EZT2485" s="60"/>
      <c r="EZU2485" s="58"/>
      <c r="EZV2485" s="61"/>
      <c r="EZW2485" s="58"/>
      <c r="EZX2485" s="58"/>
      <c r="EZY2485" s="58"/>
      <c r="EZZ2485" s="60"/>
      <c r="FAA2485" s="60"/>
      <c r="FAB2485" s="60"/>
      <c r="FAC2485" s="58"/>
      <c r="FAD2485" s="61"/>
      <c r="FAE2485" s="58"/>
      <c r="FAF2485" s="58"/>
      <c r="FAG2485" s="58"/>
      <c r="FAH2485" s="60"/>
      <c r="FAI2485" s="60"/>
      <c r="FAJ2485" s="60"/>
      <c r="FAK2485" s="58"/>
      <c r="FAL2485" s="61"/>
      <c r="FAM2485" s="58"/>
      <c r="FAN2485" s="58"/>
      <c r="FAO2485" s="58"/>
      <c r="FAP2485" s="60"/>
      <c r="FAQ2485" s="60"/>
      <c r="FAR2485" s="60"/>
      <c r="FAS2485" s="58"/>
      <c r="FAT2485" s="61"/>
      <c r="FAU2485" s="58"/>
      <c r="FAV2485" s="58"/>
      <c r="FAW2485" s="58"/>
      <c r="FAX2485" s="60"/>
      <c r="FAY2485" s="60"/>
      <c r="FAZ2485" s="60"/>
      <c r="FBA2485" s="58"/>
      <c r="FBB2485" s="61"/>
      <c r="FBC2485" s="58"/>
      <c r="FBD2485" s="58"/>
      <c r="FBE2485" s="58"/>
      <c r="FBF2485" s="60"/>
      <c r="FBG2485" s="60"/>
      <c r="FBH2485" s="60"/>
      <c r="FBI2485" s="58"/>
      <c r="FBJ2485" s="61"/>
      <c r="FBK2485" s="58"/>
      <c r="FBL2485" s="58"/>
      <c r="FBM2485" s="58"/>
      <c r="FBN2485" s="60"/>
      <c r="FBO2485" s="60"/>
      <c r="FBP2485" s="60"/>
      <c r="FBQ2485" s="58"/>
      <c r="FBR2485" s="61"/>
      <c r="FBS2485" s="58"/>
      <c r="FBT2485" s="58"/>
      <c r="FBU2485" s="58"/>
      <c r="FBV2485" s="60"/>
      <c r="FBW2485" s="60"/>
      <c r="FBX2485" s="60"/>
      <c r="FBY2485" s="58"/>
      <c r="FBZ2485" s="61"/>
      <c r="FCA2485" s="58"/>
      <c r="FCB2485" s="58"/>
      <c r="FCC2485" s="58"/>
      <c r="FCD2485" s="60"/>
      <c r="FCE2485" s="60"/>
      <c r="FCF2485" s="60"/>
      <c r="FCG2485" s="58"/>
      <c r="FCH2485" s="61"/>
      <c r="FCI2485" s="58"/>
      <c r="FCJ2485" s="58"/>
      <c r="FCK2485" s="58"/>
      <c r="FCL2485" s="60"/>
      <c r="FCM2485" s="60"/>
      <c r="FCN2485" s="60"/>
      <c r="FCO2485" s="58"/>
      <c r="FCP2485" s="61"/>
      <c r="FCQ2485" s="58"/>
      <c r="FCR2485" s="58"/>
      <c r="FCS2485" s="58"/>
      <c r="FCT2485" s="60"/>
      <c r="FCU2485" s="60"/>
      <c r="FCV2485" s="60"/>
      <c r="FCW2485" s="58"/>
      <c r="FCX2485" s="61"/>
      <c r="FCY2485" s="58"/>
      <c r="FCZ2485" s="58"/>
      <c r="FDA2485" s="58"/>
      <c r="FDB2485" s="60"/>
      <c r="FDC2485" s="60"/>
      <c r="FDD2485" s="60"/>
      <c r="FDE2485" s="58"/>
      <c r="FDF2485" s="61"/>
      <c r="FDG2485" s="58"/>
      <c r="FDH2485" s="58"/>
      <c r="FDI2485" s="58"/>
      <c r="FDJ2485" s="60"/>
      <c r="FDK2485" s="60"/>
      <c r="FDL2485" s="60"/>
      <c r="FDM2485" s="58"/>
      <c r="FDN2485" s="61"/>
      <c r="FDO2485" s="58"/>
      <c r="FDP2485" s="58"/>
      <c r="FDQ2485" s="58"/>
      <c r="FDR2485" s="60"/>
      <c r="FDS2485" s="60"/>
      <c r="FDT2485" s="60"/>
      <c r="FDU2485" s="58"/>
      <c r="FDV2485" s="61"/>
      <c r="FDW2485" s="58"/>
      <c r="FDX2485" s="58"/>
      <c r="FDY2485" s="58"/>
      <c r="FDZ2485" s="60"/>
      <c r="FEA2485" s="60"/>
      <c r="FEB2485" s="60"/>
      <c r="FEC2485" s="58"/>
      <c r="FED2485" s="61"/>
      <c r="FEE2485" s="58"/>
      <c r="FEF2485" s="58"/>
      <c r="FEG2485" s="58"/>
      <c r="FEH2485" s="60"/>
      <c r="FEI2485" s="60"/>
      <c r="FEJ2485" s="60"/>
      <c r="FEK2485" s="58"/>
      <c r="FEL2485" s="61"/>
      <c r="FEM2485" s="58"/>
      <c r="FEN2485" s="58"/>
      <c r="FEO2485" s="58"/>
      <c r="FEP2485" s="60"/>
      <c r="FEQ2485" s="60"/>
      <c r="FER2485" s="60"/>
      <c r="FES2485" s="58"/>
      <c r="FET2485" s="61"/>
      <c r="FEU2485" s="58"/>
      <c r="FEV2485" s="58"/>
      <c r="FEW2485" s="58"/>
      <c r="FEX2485" s="60"/>
      <c r="FEY2485" s="60"/>
      <c r="FEZ2485" s="60"/>
      <c r="FFA2485" s="58"/>
      <c r="FFB2485" s="61"/>
      <c r="FFC2485" s="58"/>
      <c r="FFD2485" s="58"/>
      <c r="FFE2485" s="58"/>
      <c r="FFF2485" s="60"/>
      <c r="FFG2485" s="60"/>
      <c r="FFH2485" s="60"/>
      <c r="FFI2485" s="58"/>
      <c r="FFJ2485" s="61"/>
      <c r="FFK2485" s="58"/>
      <c r="FFL2485" s="58"/>
      <c r="FFM2485" s="58"/>
      <c r="FFN2485" s="60"/>
      <c r="FFO2485" s="60"/>
      <c r="FFP2485" s="60"/>
      <c r="FFQ2485" s="58"/>
      <c r="FFR2485" s="61"/>
      <c r="FFS2485" s="58"/>
      <c r="FFT2485" s="58"/>
      <c r="FFU2485" s="58"/>
      <c r="FFV2485" s="60"/>
      <c r="FFW2485" s="60"/>
      <c r="FFX2485" s="60"/>
      <c r="FFY2485" s="58"/>
      <c r="FFZ2485" s="61"/>
      <c r="FGA2485" s="58"/>
      <c r="FGB2485" s="58"/>
      <c r="FGC2485" s="58"/>
      <c r="FGD2485" s="60"/>
      <c r="FGE2485" s="60"/>
      <c r="FGF2485" s="60"/>
      <c r="FGG2485" s="58"/>
      <c r="FGH2485" s="61"/>
      <c r="FGI2485" s="58"/>
      <c r="FGJ2485" s="58"/>
      <c r="FGK2485" s="58"/>
      <c r="FGL2485" s="60"/>
      <c r="FGM2485" s="60"/>
      <c r="FGN2485" s="60"/>
      <c r="FGO2485" s="58"/>
      <c r="FGP2485" s="61"/>
      <c r="FGQ2485" s="58"/>
      <c r="FGR2485" s="58"/>
      <c r="FGS2485" s="58"/>
      <c r="FGT2485" s="60"/>
      <c r="FGU2485" s="60"/>
      <c r="FGV2485" s="60"/>
      <c r="FGW2485" s="58"/>
      <c r="FGX2485" s="61"/>
      <c r="FGY2485" s="58"/>
      <c r="FGZ2485" s="58"/>
      <c r="FHA2485" s="58"/>
      <c r="FHB2485" s="60"/>
      <c r="FHC2485" s="60"/>
      <c r="FHD2485" s="60"/>
      <c r="FHE2485" s="58"/>
      <c r="FHF2485" s="61"/>
      <c r="FHG2485" s="58"/>
      <c r="FHH2485" s="58"/>
      <c r="FHI2485" s="58"/>
      <c r="FHJ2485" s="60"/>
      <c r="FHK2485" s="60"/>
      <c r="FHL2485" s="60"/>
      <c r="FHM2485" s="58"/>
      <c r="FHN2485" s="61"/>
      <c r="FHO2485" s="58"/>
      <c r="FHP2485" s="58"/>
      <c r="FHQ2485" s="58"/>
      <c r="FHR2485" s="60"/>
      <c r="FHS2485" s="60"/>
      <c r="FHT2485" s="60"/>
      <c r="FHU2485" s="58"/>
      <c r="FHV2485" s="61"/>
      <c r="FHW2485" s="58"/>
      <c r="FHX2485" s="58"/>
      <c r="FHY2485" s="58"/>
      <c r="FHZ2485" s="60"/>
      <c r="FIA2485" s="60"/>
      <c r="FIB2485" s="60"/>
      <c r="FIC2485" s="58"/>
      <c r="FID2485" s="61"/>
      <c r="FIE2485" s="58"/>
      <c r="FIF2485" s="58"/>
      <c r="FIG2485" s="58"/>
      <c r="FIH2485" s="60"/>
      <c r="FII2485" s="60"/>
      <c r="FIJ2485" s="60"/>
      <c r="FIK2485" s="58"/>
      <c r="FIL2485" s="61"/>
      <c r="FIM2485" s="58"/>
      <c r="FIN2485" s="58"/>
      <c r="FIO2485" s="58"/>
      <c r="FIP2485" s="60"/>
      <c r="FIQ2485" s="60"/>
      <c r="FIR2485" s="60"/>
      <c r="FIS2485" s="58"/>
      <c r="FIT2485" s="61"/>
      <c r="FIU2485" s="58"/>
      <c r="FIV2485" s="58"/>
      <c r="FIW2485" s="58"/>
      <c r="FIX2485" s="60"/>
      <c r="FIY2485" s="60"/>
      <c r="FIZ2485" s="60"/>
      <c r="FJA2485" s="58"/>
      <c r="FJB2485" s="61"/>
      <c r="FJC2485" s="58"/>
      <c r="FJD2485" s="58"/>
      <c r="FJE2485" s="58"/>
      <c r="FJF2485" s="60"/>
      <c r="FJG2485" s="60"/>
      <c r="FJH2485" s="60"/>
      <c r="FJI2485" s="58"/>
      <c r="FJJ2485" s="61"/>
      <c r="FJK2485" s="58"/>
      <c r="FJL2485" s="58"/>
      <c r="FJM2485" s="58"/>
      <c r="FJN2485" s="60"/>
      <c r="FJO2485" s="60"/>
      <c r="FJP2485" s="60"/>
      <c r="FJQ2485" s="58"/>
      <c r="FJR2485" s="61"/>
      <c r="FJS2485" s="58"/>
      <c r="FJT2485" s="58"/>
      <c r="FJU2485" s="58"/>
      <c r="FJV2485" s="60"/>
      <c r="FJW2485" s="60"/>
      <c r="FJX2485" s="60"/>
      <c r="FJY2485" s="58"/>
      <c r="FJZ2485" s="61"/>
      <c r="FKA2485" s="58"/>
      <c r="FKB2485" s="58"/>
      <c r="FKC2485" s="58"/>
      <c r="FKD2485" s="60"/>
      <c r="FKE2485" s="60"/>
      <c r="FKF2485" s="60"/>
      <c r="FKG2485" s="58"/>
      <c r="FKH2485" s="61"/>
      <c r="FKI2485" s="58"/>
      <c r="FKJ2485" s="58"/>
      <c r="FKK2485" s="58"/>
      <c r="FKL2485" s="60"/>
      <c r="FKM2485" s="60"/>
      <c r="FKN2485" s="60"/>
      <c r="FKO2485" s="58"/>
      <c r="FKP2485" s="61"/>
      <c r="FKQ2485" s="58"/>
      <c r="FKR2485" s="58"/>
      <c r="FKS2485" s="58"/>
      <c r="FKT2485" s="60"/>
      <c r="FKU2485" s="60"/>
      <c r="FKV2485" s="60"/>
      <c r="FKW2485" s="58"/>
      <c r="FKX2485" s="61"/>
      <c r="FKY2485" s="58"/>
      <c r="FKZ2485" s="58"/>
      <c r="FLA2485" s="58"/>
      <c r="FLB2485" s="60"/>
      <c r="FLC2485" s="60"/>
      <c r="FLD2485" s="60"/>
      <c r="FLE2485" s="58"/>
      <c r="FLF2485" s="61"/>
      <c r="FLG2485" s="58"/>
      <c r="FLH2485" s="58"/>
      <c r="FLI2485" s="58"/>
      <c r="FLJ2485" s="60"/>
      <c r="FLK2485" s="60"/>
      <c r="FLL2485" s="60"/>
      <c r="FLM2485" s="58"/>
      <c r="FLN2485" s="61"/>
      <c r="FLO2485" s="58"/>
      <c r="FLP2485" s="58"/>
      <c r="FLQ2485" s="58"/>
      <c r="FLR2485" s="60"/>
      <c r="FLS2485" s="60"/>
      <c r="FLT2485" s="60"/>
      <c r="FLU2485" s="58"/>
      <c r="FLV2485" s="61"/>
      <c r="FLW2485" s="58"/>
      <c r="FLX2485" s="58"/>
      <c r="FLY2485" s="58"/>
      <c r="FLZ2485" s="60"/>
      <c r="FMA2485" s="60"/>
      <c r="FMB2485" s="60"/>
      <c r="FMC2485" s="58"/>
      <c r="FMD2485" s="61"/>
      <c r="FME2485" s="58"/>
      <c r="FMF2485" s="58"/>
      <c r="FMG2485" s="58"/>
      <c r="FMH2485" s="60"/>
      <c r="FMI2485" s="60"/>
      <c r="FMJ2485" s="60"/>
      <c r="FMK2485" s="58"/>
      <c r="FML2485" s="61"/>
      <c r="FMM2485" s="58"/>
      <c r="FMN2485" s="58"/>
      <c r="FMO2485" s="58"/>
      <c r="FMP2485" s="60"/>
      <c r="FMQ2485" s="60"/>
      <c r="FMR2485" s="60"/>
      <c r="FMS2485" s="58"/>
      <c r="FMT2485" s="61"/>
      <c r="FMU2485" s="58"/>
      <c r="FMV2485" s="58"/>
      <c r="FMW2485" s="58"/>
      <c r="FMX2485" s="60"/>
      <c r="FMY2485" s="60"/>
      <c r="FMZ2485" s="60"/>
      <c r="FNA2485" s="58"/>
      <c r="FNB2485" s="61"/>
      <c r="FNC2485" s="58"/>
      <c r="FND2485" s="58"/>
      <c r="FNE2485" s="58"/>
      <c r="FNF2485" s="60"/>
      <c r="FNG2485" s="60"/>
      <c r="FNH2485" s="60"/>
      <c r="FNI2485" s="58"/>
      <c r="FNJ2485" s="61"/>
      <c r="FNK2485" s="58"/>
      <c r="FNL2485" s="58"/>
      <c r="FNM2485" s="58"/>
      <c r="FNN2485" s="60"/>
      <c r="FNO2485" s="60"/>
      <c r="FNP2485" s="60"/>
      <c r="FNQ2485" s="58"/>
      <c r="FNR2485" s="61"/>
      <c r="FNS2485" s="58"/>
      <c r="FNT2485" s="58"/>
      <c r="FNU2485" s="58"/>
      <c r="FNV2485" s="60"/>
      <c r="FNW2485" s="60"/>
      <c r="FNX2485" s="60"/>
      <c r="FNY2485" s="58"/>
      <c r="FNZ2485" s="61"/>
      <c r="FOA2485" s="58"/>
      <c r="FOB2485" s="58"/>
      <c r="FOC2485" s="58"/>
      <c r="FOD2485" s="60"/>
      <c r="FOE2485" s="60"/>
      <c r="FOF2485" s="60"/>
      <c r="FOG2485" s="58"/>
      <c r="FOH2485" s="61"/>
      <c r="FOI2485" s="58"/>
      <c r="FOJ2485" s="58"/>
      <c r="FOK2485" s="58"/>
      <c r="FOL2485" s="60"/>
      <c r="FOM2485" s="60"/>
      <c r="FON2485" s="60"/>
      <c r="FOO2485" s="58"/>
      <c r="FOP2485" s="61"/>
      <c r="FOQ2485" s="58"/>
      <c r="FOR2485" s="58"/>
      <c r="FOS2485" s="58"/>
      <c r="FOT2485" s="60"/>
      <c r="FOU2485" s="60"/>
      <c r="FOV2485" s="60"/>
      <c r="FOW2485" s="58"/>
      <c r="FOX2485" s="61"/>
      <c r="FOY2485" s="58"/>
      <c r="FOZ2485" s="58"/>
      <c r="FPA2485" s="58"/>
      <c r="FPB2485" s="60"/>
      <c r="FPC2485" s="60"/>
      <c r="FPD2485" s="60"/>
      <c r="FPE2485" s="58"/>
      <c r="FPF2485" s="61"/>
      <c r="FPG2485" s="58"/>
      <c r="FPH2485" s="58"/>
      <c r="FPI2485" s="58"/>
      <c r="FPJ2485" s="60"/>
      <c r="FPK2485" s="60"/>
      <c r="FPL2485" s="60"/>
      <c r="FPM2485" s="58"/>
      <c r="FPN2485" s="61"/>
      <c r="FPO2485" s="58"/>
      <c r="FPP2485" s="58"/>
      <c r="FPQ2485" s="58"/>
      <c r="FPR2485" s="60"/>
      <c r="FPS2485" s="60"/>
      <c r="FPT2485" s="60"/>
      <c r="FPU2485" s="58"/>
      <c r="FPV2485" s="61"/>
      <c r="FPW2485" s="58"/>
      <c r="FPX2485" s="58"/>
      <c r="FPY2485" s="58"/>
      <c r="FPZ2485" s="60"/>
      <c r="FQA2485" s="60"/>
      <c r="FQB2485" s="60"/>
      <c r="FQC2485" s="58"/>
      <c r="FQD2485" s="61"/>
      <c r="FQE2485" s="58"/>
      <c r="FQF2485" s="58"/>
      <c r="FQG2485" s="58"/>
      <c r="FQH2485" s="60"/>
      <c r="FQI2485" s="60"/>
      <c r="FQJ2485" s="60"/>
      <c r="FQK2485" s="58"/>
      <c r="FQL2485" s="61"/>
      <c r="FQM2485" s="58"/>
      <c r="FQN2485" s="58"/>
      <c r="FQO2485" s="58"/>
      <c r="FQP2485" s="60"/>
      <c r="FQQ2485" s="60"/>
      <c r="FQR2485" s="60"/>
      <c r="FQS2485" s="58"/>
      <c r="FQT2485" s="61"/>
      <c r="FQU2485" s="58"/>
      <c r="FQV2485" s="58"/>
      <c r="FQW2485" s="58"/>
      <c r="FQX2485" s="60"/>
      <c r="FQY2485" s="60"/>
      <c r="FQZ2485" s="60"/>
      <c r="FRA2485" s="58"/>
      <c r="FRB2485" s="61"/>
      <c r="FRC2485" s="58"/>
      <c r="FRD2485" s="58"/>
      <c r="FRE2485" s="58"/>
      <c r="FRF2485" s="60"/>
      <c r="FRG2485" s="60"/>
      <c r="FRH2485" s="60"/>
      <c r="FRI2485" s="58"/>
      <c r="FRJ2485" s="61"/>
      <c r="FRK2485" s="58"/>
      <c r="FRL2485" s="58"/>
      <c r="FRM2485" s="58"/>
      <c r="FRN2485" s="60"/>
      <c r="FRO2485" s="60"/>
      <c r="FRP2485" s="60"/>
      <c r="FRQ2485" s="58"/>
      <c r="FRR2485" s="61"/>
      <c r="FRS2485" s="58"/>
      <c r="FRT2485" s="58"/>
      <c r="FRU2485" s="58"/>
      <c r="FRV2485" s="60"/>
      <c r="FRW2485" s="60"/>
      <c r="FRX2485" s="60"/>
      <c r="FRY2485" s="58"/>
      <c r="FRZ2485" s="61"/>
      <c r="FSA2485" s="58"/>
      <c r="FSB2485" s="58"/>
      <c r="FSC2485" s="58"/>
      <c r="FSD2485" s="60"/>
      <c r="FSE2485" s="60"/>
      <c r="FSF2485" s="60"/>
      <c r="FSG2485" s="58"/>
      <c r="FSH2485" s="61"/>
      <c r="FSI2485" s="58"/>
      <c r="FSJ2485" s="58"/>
      <c r="FSK2485" s="58"/>
      <c r="FSL2485" s="60"/>
      <c r="FSM2485" s="60"/>
      <c r="FSN2485" s="60"/>
      <c r="FSO2485" s="58"/>
      <c r="FSP2485" s="61"/>
      <c r="FSQ2485" s="58"/>
      <c r="FSR2485" s="58"/>
      <c r="FSS2485" s="58"/>
      <c r="FST2485" s="60"/>
      <c r="FSU2485" s="60"/>
      <c r="FSV2485" s="60"/>
      <c r="FSW2485" s="58"/>
      <c r="FSX2485" s="61"/>
      <c r="FSY2485" s="58"/>
      <c r="FSZ2485" s="58"/>
      <c r="FTA2485" s="58"/>
      <c r="FTB2485" s="60"/>
      <c r="FTC2485" s="60"/>
      <c r="FTD2485" s="60"/>
      <c r="FTE2485" s="58"/>
      <c r="FTF2485" s="61"/>
      <c r="FTG2485" s="58"/>
      <c r="FTH2485" s="58"/>
      <c r="FTI2485" s="58"/>
      <c r="FTJ2485" s="60"/>
      <c r="FTK2485" s="60"/>
      <c r="FTL2485" s="60"/>
      <c r="FTM2485" s="58"/>
      <c r="FTN2485" s="61"/>
      <c r="FTO2485" s="58"/>
      <c r="FTP2485" s="58"/>
      <c r="FTQ2485" s="58"/>
      <c r="FTR2485" s="60"/>
      <c r="FTS2485" s="60"/>
      <c r="FTT2485" s="60"/>
      <c r="FTU2485" s="58"/>
      <c r="FTV2485" s="61"/>
      <c r="FTW2485" s="58"/>
      <c r="FTX2485" s="58"/>
      <c r="FTY2485" s="58"/>
      <c r="FTZ2485" s="60"/>
      <c r="FUA2485" s="60"/>
      <c r="FUB2485" s="60"/>
      <c r="FUC2485" s="58"/>
      <c r="FUD2485" s="61"/>
      <c r="FUE2485" s="58"/>
      <c r="FUF2485" s="58"/>
      <c r="FUG2485" s="58"/>
      <c r="FUH2485" s="60"/>
      <c r="FUI2485" s="60"/>
      <c r="FUJ2485" s="60"/>
      <c r="FUK2485" s="58"/>
      <c r="FUL2485" s="61"/>
      <c r="FUM2485" s="58"/>
      <c r="FUN2485" s="58"/>
      <c r="FUO2485" s="58"/>
      <c r="FUP2485" s="60"/>
      <c r="FUQ2485" s="60"/>
      <c r="FUR2485" s="60"/>
      <c r="FUS2485" s="58"/>
      <c r="FUT2485" s="61"/>
      <c r="FUU2485" s="58"/>
      <c r="FUV2485" s="58"/>
      <c r="FUW2485" s="58"/>
      <c r="FUX2485" s="60"/>
      <c r="FUY2485" s="60"/>
      <c r="FUZ2485" s="60"/>
      <c r="FVA2485" s="58"/>
      <c r="FVB2485" s="61"/>
      <c r="FVC2485" s="58"/>
      <c r="FVD2485" s="58"/>
      <c r="FVE2485" s="58"/>
      <c r="FVF2485" s="60"/>
      <c r="FVG2485" s="60"/>
      <c r="FVH2485" s="60"/>
      <c r="FVI2485" s="58"/>
      <c r="FVJ2485" s="61"/>
      <c r="FVK2485" s="58"/>
      <c r="FVL2485" s="58"/>
      <c r="FVM2485" s="58"/>
      <c r="FVN2485" s="60"/>
      <c r="FVO2485" s="60"/>
      <c r="FVP2485" s="60"/>
      <c r="FVQ2485" s="58"/>
      <c r="FVR2485" s="61"/>
      <c r="FVS2485" s="58"/>
      <c r="FVT2485" s="58"/>
      <c r="FVU2485" s="58"/>
      <c r="FVV2485" s="60"/>
      <c r="FVW2485" s="60"/>
      <c r="FVX2485" s="60"/>
      <c r="FVY2485" s="58"/>
      <c r="FVZ2485" s="61"/>
      <c r="FWA2485" s="58"/>
      <c r="FWB2485" s="58"/>
      <c r="FWC2485" s="58"/>
      <c r="FWD2485" s="60"/>
      <c r="FWE2485" s="60"/>
      <c r="FWF2485" s="60"/>
      <c r="FWG2485" s="58"/>
      <c r="FWH2485" s="61"/>
      <c r="FWI2485" s="58"/>
      <c r="FWJ2485" s="58"/>
      <c r="FWK2485" s="58"/>
      <c r="FWL2485" s="60"/>
      <c r="FWM2485" s="60"/>
      <c r="FWN2485" s="60"/>
      <c r="FWO2485" s="58"/>
      <c r="FWP2485" s="61"/>
      <c r="FWQ2485" s="58"/>
      <c r="FWR2485" s="58"/>
      <c r="FWS2485" s="58"/>
      <c r="FWT2485" s="60"/>
      <c r="FWU2485" s="60"/>
      <c r="FWV2485" s="60"/>
      <c r="FWW2485" s="58"/>
      <c r="FWX2485" s="61"/>
      <c r="FWY2485" s="58"/>
      <c r="FWZ2485" s="58"/>
      <c r="FXA2485" s="58"/>
      <c r="FXB2485" s="60"/>
      <c r="FXC2485" s="60"/>
      <c r="FXD2485" s="60"/>
      <c r="FXE2485" s="58"/>
      <c r="FXF2485" s="61"/>
      <c r="FXG2485" s="58"/>
      <c r="FXH2485" s="58"/>
      <c r="FXI2485" s="58"/>
      <c r="FXJ2485" s="60"/>
      <c r="FXK2485" s="60"/>
      <c r="FXL2485" s="60"/>
      <c r="FXM2485" s="58"/>
      <c r="FXN2485" s="61"/>
      <c r="FXO2485" s="58"/>
      <c r="FXP2485" s="58"/>
      <c r="FXQ2485" s="58"/>
      <c r="FXR2485" s="60"/>
      <c r="FXS2485" s="60"/>
      <c r="FXT2485" s="60"/>
      <c r="FXU2485" s="58"/>
      <c r="FXV2485" s="61"/>
      <c r="FXW2485" s="58"/>
      <c r="FXX2485" s="58"/>
      <c r="FXY2485" s="58"/>
      <c r="FXZ2485" s="60"/>
      <c r="FYA2485" s="60"/>
      <c r="FYB2485" s="60"/>
      <c r="FYC2485" s="58"/>
      <c r="FYD2485" s="61"/>
      <c r="FYE2485" s="58"/>
      <c r="FYF2485" s="58"/>
      <c r="FYG2485" s="58"/>
      <c r="FYH2485" s="60"/>
      <c r="FYI2485" s="60"/>
      <c r="FYJ2485" s="60"/>
      <c r="FYK2485" s="58"/>
      <c r="FYL2485" s="61"/>
      <c r="FYM2485" s="58"/>
      <c r="FYN2485" s="58"/>
      <c r="FYO2485" s="58"/>
      <c r="FYP2485" s="60"/>
      <c r="FYQ2485" s="60"/>
      <c r="FYR2485" s="60"/>
      <c r="FYS2485" s="58"/>
      <c r="FYT2485" s="61"/>
      <c r="FYU2485" s="58"/>
      <c r="FYV2485" s="58"/>
      <c r="FYW2485" s="58"/>
      <c r="FYX2485" s="60"/>
      <c r="FYY2485" s="60"/>
      <c r="FYZ2485" s="60"/>
      <c r="FZA2485" s="58"/>
      <c r="FZB2485" s="61"/>
      <c r="FZC2485" s="58"/>
      <c r="FZD2485" s="58"/>
      <c r="FZE2485" s="58"/>
      <c r="FZF2485" s="60"/>
      <c r="FZG2485" s="60"/>
      <c r="FZH2485" s="60"/>
      <c r="FZI2485" s="58"/>
      <c r="FZJ2485" s="61"/>
      <c r="FZK2485" s="58"/>
      <c r="FZL2485" s="58"/>
      <c r="FZM2485" s="58"/>
      <c r="FZN2485" s="60"/>
      <c r="FZO2485" s="60"/>
      <c r="FZP2485" s="60"/>
      <c r="FZQ2485" s="58"/>
      <c r="FZR2485" s="61"/>
      <c r="FZS2485" s="58"/>
      <c r="FZT2485" s="58"/>
      <c r="FZU2485" s="58"/>
      <c r="FZV2485" s="60"/>
      <c r="FZW2485" s="60"/>
      <c r="FZX2485" s="60"/>
      <c r="FZY2485" s="58"/>
      <c r="FZZ2485" s="61"/>
      <c r="GAA2485" s="58"/>
      <c r="GAB2485" s="58"/>
      <c r="GAC2485" s="58"/>
      <c r="GAD2485" s="60"/>
      <c r="GAE2485" s="60"/>
      <c r="GAF2485" s="60"/>
      <c r="GAG2485" s="58"/>
      <c r="GAH2485" s="61"/>
      <c r="GAI2485" s="58"/>
      <c r="GAJ2485" s="58"/>
      <c r="GAK2485" s="58"/>
      <c r="GAL2485" s="60"/>
      <c r="GAM2485" s="60"/>
      <c r="GAN2485" s="60"/>
      <c r="GAO2485" s="58"/>
      <c r="GAP2485" s="61"/>
      <c r="GAQ2485" s="58"/>
      <c r="GAR2485" s="58"/>
      <c r="GAS2485" s="58"/>
      <c r="GAT2485" s="60"/>
      <c r="GAU2485" s="60"/>
      <c r="GAV2485" s="60"/>
      <c r="GAW2485" s="58"/>
      <c r="GAX2485" s="61"/>
      <c r="GAY2485" s="58"/>
      <c r="GAZ2485" s="58"/>
      <c r="GBA2485" s="58"/>
      <c r="GBB2485" s="60"/>
      <c r="GBC2485" s="60"/>
      <c r="GBD2485" s="60"/>
      <c r="GBE2485" s="58"/>
      <c r="GBF2485" s="61"/>
      <c r="GBG2485" s="58"/>
      <c r="GBH2485" s="58"/>
      <c r="GBI2485" s="58"/>
      <c r="GBJ2485" s="60"/>
      <c r="GBK2485" s="60"/>
      <c r="GBL2485" s="60"/>
      <c r="GBM2485" s="58"/>
      <c r="GBN2485" s="61"/>
      <c r="GBO2485" s="58"/>
      <c r="GBP2485" s="58"/>
      <c r="GBQ2485" s="58"/>
      <c r="GBR2485" s="60"/>
      <c r="GBS2485" s="60"/>
      <c r="GBT2485" s="60"/>
      <c r="GBU2485" s="58"/>
      <c r="GBV2485" s="61"/>
      <c r="GBW2485" s="58"/>
      <c r="GBX2485" s="58"/>
      <c r="GBY2485" s="58"/>
      <c r="GBZ2485" s="60"/>
      <c r="GCA2485" s="60"/>
      <c r="GCB2485" s="60"/>
      <c r="GCC2485" s="58"/>
      <c r="GCD2485" s="61"/>
      <c r="GCE2485" s="58"/>
      <c r="GCF2485" s="58"/>
      <c r="GCG2485" s="58"/>
      <c r="GCH2485" s="60"/>
      <c r="GCI2485" s="60"/>
      <c r="GCJ2485" s="60"/>
      <c r="GCK2485" s="58"/>
      <c r="GCL2485" s="61"/>
      <c r="GCM2485" s="58"/>
      <c r="GCN2485" s="58"/>
      <c r="GCO2485" s="58"/>
      <c r="GCP2485" s="60"/>
      <c r="GCQ2485" s="60"/>
      <c r="GCR2485" s="60"/>
      <c r="GCS2485" s="58"/>
      <c r="GCT2485" s="61"/>
      <c r="GCU2485" s="58"/>
      <c r="GCV2485" s="58"/>
      <c r="GCW2485" s="58"/>
      <c r="GCX2485" s="60"/>
      <c r="GCY2485" s="60"/>
      <c r="GCZ2485" s="60"/>
      <c r="GDA2485" s="58"/>
      <c r="GDB2485" s="61"/>
      <c r="GDC2485" s="58"/>
      <c r="GDD2485" s="58"/>
      <c r="GDE2485" s="58"/>
      <c r="GDF2485" s="60"/>
      <c r="GDG2485" s="60"/>
      <c r="GDH2485" s="60"/>
      <c r="GDI2485" s="58"/>
      <c r="GDJ2485" s="61"/>
      <c r="GDK2485" s="58"/>
      <c r="GDL2485" s="58"/>
      <c r="GDM2485" s="58"/>
      <c r="GDN2485" s="60"/>
      <c r="GDO2485" s="60"/>
      <c r="GDP2485" s="60"/>
      <c r="GDQ2485" s="58"/>
      <c r="GDR2485" s="61"/>
      <c r="GDS2485" s="58"/>
      <c r="GDT2485" s="58"/>
      <c r="GDU2485" s="58"/>
      <c r="GDV2485" s="60"/>
      <c r="GDW2485" s="60"/>
      <c r="GDX2485" s="60"/>
      <c r="GDY2485" s="58"/>
      <c r="GDZ2485" s="61"/>
      <c r="GEA2485" s="58"/>
      <c r="GEB2485" s="58"/>
      <c r="GEC2485" s="58"/>
      <c r="GED2485" s="60"/>
      <c r="GEE2485" s="60"/>
      <c r="GEF2485" s="60"/>
      <c r="GEG2485" s="58"/>
      <c r="GEH2485" s="61"/>
      <c r="GEI2485" s="58"/>
      <c r="GEJ2485" s="58"/>
      <c r="GEK2485" s="58"/>
      <c r="GEL2485" s="60"/>
      <c r="GEM2485" s="60"/>
      <c r="GEN2485" s="60"/>
      <c r="GEO2485" s="58"/>
      <c r="GEP2485" s="61"/>
      <c r="GEQ2485" s="58"/>
      <c r="GER2485" s="58"/>
      <c r="GES2485" s="58"/>
      <c r="GET2485" s="60"/>
      <c r="GEU2485" s="60"/>
      <c r="GEV2485" s="60"/>
      <c r="GEW2485" s="58"/>
      <c r="GEX2485" s="61"/>
      <c r="GEY2485" s="58"/>
      <c r="GEZ2485" s="58"/>
      <c r="GFA2485" s="58"/>
      <c r="GFB2485" s="60"/>
      <c r="GFC2485" s="60"/>
      <c r="GFD2485" s="60"/>
      <c r="GFE2485" s="58"/>
      <c r="GFF2485" s="61"/>
      <c r="GFG2485" s="58"/>
      <c r="GFH2485" s="58"/>
      <c r="GFI2485" s="58"/>
      <c r="GFJ2485" s="60"/>
      <c r="GFK2485" s="60"/>
      <c r="GFL2485" s="60"/>
      <c r="GFM2485" s="58"/>
      <c r="GFN2485" s="61"/>
      <c r="GFO2485" s="58"/>
      <c r="GFP2485" s="58"/>
      <c r="GFQ2485" s="58"/>
      <c r="GFR2485" s="60"/>
      <c r="GFS2485" s="60"/>
      <c r="GFT2485" s="60"/>
      <c r="GFU2485" s="58"/>
      <c r="GFV2485" s="61"/>
      <c r="GFW2485" s="58"/>
      <c r="GFX2485" s="58"/>
      <c r="GFY2485" s="58"/>
      <c r="GFZ2485" s="60"/>
      <c r="GGA2485" s="60"/>
      <c r="GGB2485" s="60"/>
      <c r="GGC2485" s="58"/>
      <c r="GGD2485" s="61"/>
      <c r="GGE2485" s="58"/>
      <c r="GGF2485" s="58"/>
      <c r="GGG2485" s="58"/>
      <c r="GGH2485" s="60"/>
      <c r="GGI2485" s="60"/>
      <c r="GGJ2485" s="60"/>
      <c r="GGK2485" s="58"/>
      <c r="GGL2485" s="61"/>
      <c r="GGM2485" s="58"/>
      <c r="GGN2485" s="58"/>
      <c r="GGO2485" s="58"/>
      <c r="GGP2485" s="60"/>
      <c r="GGQ2485" s="60"/>
      <c r="GGR2485" s="60"/>
      <c r="GGS2485" s="58"/>
      <c r="GGT2485" s="61"/>
      <c r="GGU2485" s="58"/>
      <c r="GGV2485" s="58"/>
      <c r="GGW2485" s="58"/>
      <c r="GGX2485" s="60"/>
      <c r="GGY2485" s="60"/>
      <c r="GGZ2485" s="60"/>
      <c r="GHA2485" s="58"/>
      <c r="GHB2485" s="61"/>
      <c r="GHC2485" s="58"/>
      <c r="GHD2485" s="58"/>
      <c r="GHE2485" s="58"/>
      <c r="GHF2485" s="60"/>
      <c r="GHG2485" s="60"/>
      <c r="GHH2485" s="60"/>
      <c r="GHI2485" s="58"/>
      <c r="GHJ2485" s="61"/>
      <c r="GHK2485" s="58"/>
      <c r="GHL2485" s="58"/>
      <c r="GHM2485" s="58"/>
      <c r="GHN2485" s="60"/>
      <c r="GHO2485" s="60"/>
      <c r="GHP2485" s="60"/>
      <c r="GHQ2485" s="58"/>
      <c r="GHR2485" s="61"/>
      <c r="GHS2485" s="58"/>
      <c r="GHT2485" s="58"/>
      <c r="GHU2485" s="58"/>
      <c r="GHV2485" s="60"/>
      <c r="GHW2485" s="60"/>
      <c r="GHX2485" s="60"/>
      <c r="GHY2485" s="58"/>
      <c r="GHZ2485" s="61"/>
      <c r="GIA2485" s="58"/>
      <c r="GIB2485" s="58"/>
      <c r="GIC2485" s="58"/>
      <c r="GID2485" s="60"/>
      <c r="GIE2485" s="60"/>
      <c r="GIF2485" s="60"/>
      <c r="GIG2485" s="58"/>
      <c r="GIH2485" s="61"/>
      <c r="GII2485" s="58"/>
      <c r="GIJ2485" s="58"/>
      <c r="GIK2485" s="58"/>
      <c r="GIL2485" s="60"/>
      <c r="GIM2485" s="60"/>
      <c r="GIN2485" s="60"/>
      <c r="GIO2485" s="58"/>
      <c r="GIP2485" s="61"/>
      <c r="GIQ2485" s="58"/>
      <c r="GIR2485" s="58"/>
      <c r="GIS2485" s="58"/>
      <c r="GIT2485" s="60"/>
      <c r="GIU2485" s="60"/>
      <c r="GIV2485" s="60"/>
      <c r="GIW2485" s="58"/>
      <c r="GIX2485" s="61"/>
      <c r="GIY2485" s="58"/>
      <c r="GIZ2485" s="58"/>
      <c r="GJA2485" s="58"/>
      <c r="GJB2485" s="60"/>
      <c r="GJC2485" s="60"/>
      <c r="GJD2485" s="60"/>
      <c r="GJE2485" s="58"/>
      <c r="GJF2485" s="61"/>
      <c r="GJG2485" s="58"/>
      <c r="GJH2485" s="58"/>
      <c r="GJI2485" s="58"/>
      <c r="GJJ2485" s="60"/>
      <c r="GJK2485" s="60"/>
      <c r="GJL2485" s="60"/>
      <c r="GJM2485" s="58"/>
      <c r="GJN2485" s="61"/>
      <c r="GJO2485" s="58"/>
      <c r="GJP2485" s="58"/>
      <c r="GJQ2485" s="58"/>
      <c r="GJR2485" s="60"/>
      <c r="GJS2485" s="60"/>
      <c r="GJT2485" s="60"/>
      <c r="GJU2485" s="58"/>
      <c r="GJV2485" s="61"/>
      <c r="GJW2485" s="58"/>
      <c r="GJX2485" s="58"/>
      <c r="GJY2485" s="58"/>
      <c r="GJZ2485" s="60"/>
      <c r="GKA2485" s="60"/>
      <c r="GKB2485" s="60"/>
      <c r="GKC2485" s="58"/>
      <c r="GKD2485" s="61"/>
      <c r="GKE2485" s="58"/>
      <c r="GKF2485" s="58"/>
      <c r="GKG2485" s="58"/>
      <c r="GKH2485" s="60"/>
      <c r="GKI2485" s="60"/>
      <c r="GKJ2485" s="60"/>
      <c r="GKK2485" s="58"/>
      <c r="GKL2485" s="61"/>
      <c r="GKM2485" s="58"/>
      <c r="GKN2485" s="58"/>
      <c r="GKO2485" s="58"/>
      <c r="GKP2485" s="60"/>
      <c r="GKQ2485" s="60"/>
      <c r="GKR2485" s="60"/>
      <c r="GKS2485" s="58"/>
      <c r="GKT2485" s="61"/>
      <c r="GKU2485" s="58"/>
      <c r="GKV2485" s="58"/>
      <c r="GKW2485" s="58"/>
      <c r="GKX2485" s="60"/>
      <c r="GKY2485" s="60"/>
      <c r="GKZ2485" s="60"/>
      <c r="GLA2485" s="58"/>
      <c r="GLB2485" s="61"/>
      <c r="GLC2485" s="58"/>
      <c r="GLD2485" s="58"/>
      <c r="GLE2485" s="58"/>
      <c r="GLF2485" s="60"/>
      <c r="GLG2485" s="60"/>
      <c r="GLH2485" s="60"/>
      <c r="GLI2485" s="58"/>
      <c r="GLJ2485" s="61"/>
      <c r="GLK2485" s="58"/>
      <c r="GLL2485" s="58"/>
      <c r="GLM2485" s="58"/>
      <c r="GLN2485" s="60"/>
      <c r="GLO2485" s="60"/>
      <c r="GLP2485" s="60"/>
      <c r="GLQ2485" s="58"/>
      <c r="GLR2485" s="61"/>
      <c r="GLS2485" s="58"/>
      <c r="GLT2485" s="58"/>
      <c r="GLU2485" s="58"/>
      <c r="GLV2485" s="60"/>
      <c r="GLW2485" s="60"/>
      <c r="GLX2485" s="60"/>
      <c r="GLY2485" s="58"/>
      <c r="GLZ2485" s="61"/>
      <c r="GMA2485" s="58"/>
      <c r="GMB2485" s="58"/>
      <c r="GMC2485" s="58"/>
      <c r="GMD2485" s="60"/>
      <c r="GME2485" s="60"/>
      <c r="GMF2485" s="60"/>
      <c r="GMG2485" s="58"/>
      <c r="GMH2485" s="61"/>
      <c r="GMI2485" s="58"/>
      <c r="GMJ2485" s="58"/>
      <c r="GMK2485" s="58"/>
      <c r="GML2485" s="60"/>
      <c r="GMM2485" s="60"/>
      <c r="GMN2485" s="60"/>
      <c r="GMO2485" s="58"/>
      <c r="GMP2485" s="61"/>
      <c r="GMQ2485" s="58"/>
      <c r="GMR2485" s="58"/>
      <c r="GMS2485" s="58"/>
      <c r="GMT2485" s="60"/>
      <c r="GMU2485" s="60"/>
      <c r="GMV2485" s="60"/>
      <c r="GMW2485" s="58"/>
      <c r="GMX2485" s="61"/>
      <c r="GMY2485" s="58"/>
      <c r="GMZ2485" s="58"/>
      <c r="GNA2485" s="58"/>
      <c r="GNB2485" s="60"/>
      <c r="GNC2485" s="60"/>
      <c r="GND2485" s="60"/>
      <c r="GNE2485" s="58"/>
      <c r="GNF2485" s="61"/>
      <c r="GNG2485" s="58"/>
      <c r="GNH2485" s="58"/>
      <c r="GNI2485" s="58"/>
      <c r="GNJ2485" s="60"/>
      <c r="GNK2485" s="60"/>
      <c r="GNL2485" s="60"/>
      <c r="GNM2485" s="58"/>
      <c r="GNN2485" s="61"/>
      <c r="GNO2485" s="58"/>
      <c r="GNP2485" s="58"/>
      <c r="GNQ2485" s="58"/>
      <c r="GNR2485" s="60"/>
      <c r="GNS2485" s="60"/>
      <c r="GNT2485" s="60"/>
      <c r="GNU2485" s="58"/>
      <c r="GNV2485" s="61"/>
      <c r="GNW2485" s="58"/>
      <c r="GNX2485" s="58"/>
      <c r="GNY2485" s="58"/>
      <c r="GNZ2485" s="60"/>
      <c r="GOA2485" s="60"/>
      <c r="GOB2485" s="60"/>
      <c r="GOC2485" s="58"/>
      <c r="GOD2485" s="61"/>
      <c r="GOE2485" s="58"/>
      <c r="GOF2485" s="58"/>
      <c r="GOG2485" s="58"/>
      <c r="GOH2485" s="60"/>
      <c r="GOI2485" s="60"/>
      <c r="GOJ2485" s="60"/>
      <c r="GOK2485" s="58"/>
      <c r="GOL2485" s="61"/>
      <c r="GOM2485" s="58"/>
      <c r="GON2485" s="58"/>
      <c r="GOO2485" s="58"/>
      <c r="GOP2485" s="60"/>
      <c r="GOQ2485" s="60"/>
      <c r="GOR2485" s="60"/>
      <c r="GOS2485" s="58"/>
      <c r="GOT2485" s="61"/>
      <c r="GOU2485" s="58"/>
      <c r="GOV2485" s="58"/>
      <c r="GOW2485" s="58"/>
      <c r="GOX2485" s="60"/>
      <c r="GOY2485" s="60"/>
      <c r="GOZ2485" s="60"/>
      <c r="GPA2485" s="58"/>
      <c r="GPB2485" s="61"/>
      <c r="GPC2485" s="58"/>
      <c r="GPD2485" s="58"/>
      <c r="GPE2485" s="58"/>
      <c r="GPF2485" s="60"/>
      <c r="GPG2485" s="60"/>
      <c r="GPH2485" s="60"/>
      <c r="GPI2485" s="58"/>
      <c r="GPJ2485" s="61"/>
      <c r="GPK2485" s="58"/>
      <c r="GPL2485" s="58"/>
      <c r="GPM2485" s="58"/>
      <c r="GPN2485" s="60"/>
      <c r="GPO2485" s="60"/>
      <c r="GPP2485" s="60"/>
      <c r="GPQ2485" s="58"/>
      <c r="GPR2485" s="61"/>
      <c r="GPS2485" s="58"/>
      <c r="GPT2485" s="58"/>
      <c r="GPU2485" s="58"/>
      <c r="GPV2485" s="60"/>
      <c r="GPW2485" s="60"/>
      <c r="GPX2485" s="60"/>
      <c r="GPY2485" s="58"/>
      <c r="GPZ2485" s="61"/>
      <c r="GQA2485" s="58"/>
      <c r="GQB2485" s="58"/>
      <c r="GQC2485" s="58"/>
      <c r="GQD2485" s="60"/>
      <c r="GQE2485" s="60"/>
      <c r="GQF2485" s="60"/>
      <c r="GQG2485" s="58"/>
      <c r="GQH2485" s="61"/>
      <c r="GQI2485" s="58"/>
      <c r="GQJ2485" s="58"/>
      <c r="GQK2485" s="58"/>
      <c r="GQL2485" s="60"/>
      <c r="GQM2485" s="60"/>
      <c r="GQN2485" s="60"/>
      <c r="GQO2485" s="58"/>
      <c r="GQP2485" s="61"/>
      <c r="GQQ2485" s="58"/>
      <c r="GQR2485" s="58"/>
      <c r="GQS2485" s="58"/>
      <c r="GQT2485" s="60"/>
      <c r="GQU2485" s="60"/>
      <c r="GQV2485" s="60"/>
      <c r="GQW2485" s="58"/>
      <c r="GQX2485" s="61"/>
      <c r="GQY2485" s="58"/>
      <c r="GQZ2485" s="58"/>
      <c r="GRA2485" s="58"/>
      <c r="GRB2485" s="60"/>
      <c r="GRC2485" s="60"/>
      <c r="GRD2485" s="60"/>
      <c r="GRE2485" s="58"/>
      <c r="GRF2485" s="61"/>
      <c r="GRG2485" s="58"/>
      <c r="GRH2485" s="58"/>
      <c r="GRI2485" s="58"/>
      <c r="GRJ2485" s="60"/>
      <c r="GRK2485" s="60"/>
      <c r="GRL2485" s="60"/>
      <c r="GRM2485" s="58"/>
      <c r="GRN2485" s="61"/>
      <c r="GRO2485" s="58"/>
      <c r="GRP2485" s="58"/>
      <c r="GRQ2485" s="58"/>
      <c r="GRR2485" s="60"/>
      <c r="GRS2485" s="60"/>
      <c r="GRT2485" s="60"/>
      <c r="GRU2485" s="58"/>
      <c r="GRV2485" s="61"/>
      <c r="GRW2485" s="58"/>
      <c r="GRX2485" s="58"/>
      <c r="GRY2485" s="58"/>
      <c r="GRZ2485" s="60"/>
      <c r="GSA2485" s="60"/>
      <c r="GSB2485" s="60"/>
      <c r="GSC2485" s="58"/>
      <c r="GSD2485" s="61"/>
      <c r="GSE2485" s="58"/>
      <c r="GSF2485" s="58"/>
      <c r="GSG2485" s="58"/>
      <c r="GSH2485" s="60"/>
      <c r="GSI2485" s="60"/>
      <c r="GSJ2485" s="60"/>
      <c r="GSK2485" s="58"/>
      <c r="GSL2485" s="61"/>
      <c r="GSM2485" s="58"/>
      <c r="GSN2485" s="58"/>
      <c r="GSO2485" s="58"/>
      <c r="GSP2485" s="60"/>
      <c r="GSQ2485" s="60"/>
      <c r="GSR2485" s="60"/>
      <c r="GSS2485" s="58"/>
      <c r="GST2485" s="61"/>
      <c r="GSU2485" s="58"/>
      <c r="GSV2485" s="58"/>
      <c r="GSW2485" s="58"/>
      <c r="GSX2485" s="60"/>
      <c r="GSY2485" s="60"/>
      <c r="GSZ2485" s="60"/>
      <c r="GTA2485" s="58"/>
      <c r="GTB2485" s="61"/>
      <c r="GTC2485" s="58"/>
      <c r="GTD2485" s="58"/>
      <c r="GTE2485" s="58"/>
      <c r="GTF2485" s="60"/>
      <c r="GTG2485" s="60"/>
      <c r="GTH2485" s="60"/>
      <c r="GTI2485" s="58"/>
      <c r="GTJ2485" s="61"/>
      <c r="GTK2485" s="58"/>
      <c r="GTL2485" s="58"/>
      <c r="GTM2485" s="58"/>
      <c r="GTN2485" s="60"/>
      <c r="GTO2485" s="60"/>
      <c r="GTP2485" s="60"/>
      <c r="GTQ2485" s="58"/>
      <c r="GTR2485" s="61"/>
      <c r="GTS2485" s="58"/>
      <c r="GTT2485" s="58"/>
      <c r="GTU2485" s="58"/>
      <c r="GTV2485" s="60"/>
      <c r="GTW2485" s="60"/>
      <c r="GTX2485" s="60"/>
      <c r="GTY2485" s="58"/>
      <c r="GTZ2485" s="61"/>
      <c r="GUA2485" s="58"/>
      <c r="GUB2485" s="58"/>
      <c r="GUC2485" s="58"/>
      <c r="GUD2485" s="60"/>
      <c r="GUE2485" s="60"/>
      <c r="GUF2485" s="60"/>
      <c r="GUG2485" s="58"/>
      <c r="GUH2485" s="61"/>
      <c r="GUI2485" s="58"/>
      <c r="GUJ2485" s="58"/>
      <c r="GUK2485" s="58"/>
      <c r="GUL2485" s="60"/>
      <c r="GUM2485" s="60"/>
      <c r="GUN2485" s="60"/>
      <c r="GUO2485" s="58"/>
      <c r="GUP2485" s="61"/>
      <c r="GUQ2485" s="58"/>
      <c r="GUR2485" s="58"/>
      <c r="GUS2485" s="58"/>
      <c r="GUT2485" s="60"/>
      <c r="GUU2485" s="60"/>
      <c r="GUV2485" s="60"/>
      <c r="GUW2485" s="58"/>
      <c r="GUX2485" s="61"/>
      <c r="GUY2485" s="58"/>
      <c r="GUZ2485" s="58"/>
      <c r="GVA2485" s="58"/>
      <c r="GVB2485" s="60"/>
      <c r="GVC2485" s="60"/>
      <c r="GVD2485" s="60"/>
      <c r="GVE2485" s="58"/>
      <c r="GVF2485" s="61"/>
      <c r="GVG2485" s="58"/>
      <c r="GVH2485" s="58"/>
      <c r="GVI2485" s="58"/>
      <c r="GVJ2485" s="60"/>
      <c r="GVK2485" s="60"/>
      <c r="GVL2485" s="60"/>
      <c r="GVM2485" s="58"/>
      <c r="GVN2485" s="61"/>
      <c r="GVO2485" s="58"/>
      <c r="GVP2485" s="58"/>
      <c r="GVQ2485" s="58"/>
      <c r="GVR2485" s="60"/>
      <c r="GVS2485" s="60"/>
      <c r="GVT2485" s="60"/>
      <c r="GVU2485" s="58"/>
      <c r="GVV2485" s="61"/>
      <c r="GVW2485" s="58"/>
      <c r="GVX2485" s="58"/>
      <c r="GVY2485" s="58"/>
      <c r="GVZ2485" s="60"/>
      <c r="GWA2485" s="60"/>
      <c r="GWB2485" s="60"/>
      <c r="GWC2485" s="58"/>
      <c r="GWD2485" s="61"/>
      <c r="GWE2485" s="58"/>
      <c r="GWF2485" s="58"/>
      <c r="GWG2485" s="58"/>
      <c r="GWH2485" s="60"/>
      <c r="GWI2485" s="60"/>
      <c r="GWJ2485" s="60"/>
      <c r="GWK2485" s="58"/>
      <c r="GWL2485" s="61"/>
      <c r="GWM2485" s="58"/>
      <c r="GWN2485" s="58"/>
      <c r="GWO2485" s="58"/>
      <c r="GWP2485" s="60"/>
      <c r="GWQ2485" s="60"/>
      <c r="GWR2485" s="60"/>
      <c r="GWS2485" s="58"/>
      <c r="GWT2485" s="61"/>
      <c r="GWU2485" s="58"/>
      <c r="GWV2485" s="58"/>
      <c r="GWW2485" s="58"/>
      <c r="GWX2485" s="60"/>
      <c r="GWY2485" s="60"/>
      <c r="GWZ2485" s="60"/>
      <c r="GXA2485" s="58"/>
      <c r="GXB2485" s="61"/>
      <c r="GXC2485" s="58"/>
      <c r="GXD2485" s="58"/>
      <c r="GXE2485" s="58"/>
      <c r="GXF2485" s="60"/>
      <c r="GXG2485" s="60"/>
      <c r="GXH2485" s="60"/>
      <c r="GXI2485" s="58"/>
      <c r="GXJ2485" s="61"/>
      <c r="GXK2485" s="58"/>
      <c r="GXL2485" s="58"/>
      <c r="GXM2485" s="58"/>
      <c r="GXN2485" s="60"/>
      <c r="GXO2485" s="60"/>
      <c r="GXP2485" s="60"/>
      <c r="GXQ2485" s="58"/>
      <c r="GXR2485" s="61"/>
      <c r="GXS2485" s="58"/>
      <c r="GXT2485" s="58"/>
      <c r="GXU2485" s="58"/>
      <c r="GXV2485" s="60"/>
      <c r="GXW2485" s="60"/>
      <c r="GXX2485" s="60"/>
      <c r="GXY2485" s="58"/>
      <c r="GXZ2485" s="61"/>
      <c r="GYA2485" s="58"/>
      <c r="GYB2485" s="58"/>
      <c r="GYC2485" s="58"/>
      <c r="GYD2485" s="60"/>
      <c r="GYE2485" s="60"/>
      <c r="GYF2485" s="60"/>
      <c r="GYG2485" s="58"/>
      <c r="GYH2485" s="61"/>
      <c r="GYI2485" s="58"/>
      <c r="GYJ2485" s="58"/>
      <c r="GYK2485" s="58"/>
      <c r="GYL2485" s="60"/>
      <c r="GYM2485" s="60"/>
      <c r="GYN2485" s="60"/>
      <c r="GYO2485" s="58"/>
      <c r="GYP2485" s="61"/>
      <c r="GYQ2485" s="58"/>
      <c r="GYR2485" s="58"/>
      <c r="GYS2485" s="58"/>
      <c r="GYT2485" s="60"/>
      <c r="GYU2485" s="60"/>
      <c r="GYV2485" s="60"/>
      <c r="GYW2485" s="58"/>
      <c r="GYX2485" s="61"/>
      <c r="GYY2485" s="58"/>
      <c r="GYZ2485" s="58"/>
      <c r="GZA2485" s="58"/>
      <c r="GZB2485" s="60"/>
      <c r="GZC2485" s="60"/>
      <c r="GZD2485" s="60"/>
      <c r="GZE2485" s="58"/>
      <c r="GZF2485" s="61"/>
      <c r="GZG2485" s="58"/>
      <c r="GZH2485" s="58"/>
      <c r="GZI2485" s="58"/>
      <c r="GZJ2485" s="60"/>
      <c r="GZK2485" s="60"/>
      <c r="GZL2485" s="60"/>
      <c r="GZM2485" s="58"/>
      <c r="GZN2485" s="61"/>
      <c r="GZO2485" s="58"/>
      <c r="GZP2485" s="58"/>
      <c r="GZQ2485" s="58"/>
      <c r="GZR2485" s="60"/>
      <c r="GZS2485" s="60"/>
      <c r="GZT2485" s="60"/>
      <c r="GZU2485" s="58"/>
      <c r="GZV2485" s="61"/>
      <c r="GZW2485" s="58"/>
      <c r="GZX2485" s="58"/>
      <c r="GZY2485" s="58"/>
      <c r="GZZ2485" s="60"/>
      <c r="HAA2485" s="60"/>
      <c r="HAB2485" s="60"/>
      <c r="HAC2485" s="58"/>
      <c r="HAD2485" s="61"/>
      <c r="HAE2485" s="58"/>
      <c r="HAF2485" s="58"/>
      <c r="HAG2485" s="58"/>
      <c r="HAH2485" s="60"/>
      <c r="HAI2485" s="60"/>
      <c r="HAJ2485" s="60"/>
      <c r="HAK2485" s="58"/>
      <c r="HAL2485" s="61"/>
      <c r="HAM2485" s="58"/>
      <c r="HAN2485" s="58"/>
      <c r="HAO2485" s="58"/>
      <c r="HAP2485" s="60"/>
      <c r="HAQ2485" s="60"/>
      <c r="HAR2485" s="60"/>
      <c r="HAS2485" s="58"/>
      <c r="HAT2485" s="61"/>
      <c r="HAU2485" s="58"/>
      <c r="HAV2485" s="58"/>
      <c r="HAW2485" s="58"/>
      <c r="HAX2485" s="60"/>
      <c r="HAY2485" s="60"/>
      <c r="HAZ2485" s="60"/>
      <c r="HBA2485" s="58"/>
      <c r="HBB2485" s="61"/>
      <c r="HBC2485" s="58"/>
      <c r="HBD2485" s="58"/>
      <c r="HBE2485" s="58"/>
      <c r="HBF2485" s="60"/>
      <c r="HBG2485" s="60"/>
      <c r="HBH2485" s="60"/>
      <c r="HBI2485" s="58"/>
      <c r="HBJ2485" s="61"/>
      <c r="HBK2485" s="58"/>
      <c r="HBL2485" s="58"/>
      <c r="HBM2485" s="58"/>
      <c r="HBN2485" s="60"/>
      <c r="HBO2485" s="60"/>
      <c r="HBP2485" s="60"/>
      <c r="HBQ2485" s="58"/>
      <c r="HBR2485" s="61"/>
      <c r="HBS2485" s="58"/>
      <c r="HBT2485" s="58"/>
      <c r="HBU2485" s="58"/>
      <c r="HBV2485" s="60"/>
      <c r="HBW2485" s="60"/>
      <c r="HBX2485" s="60"/>
      <c r="HBY2485" s="58"/>
      <c r="HBZ2485" s="61"/>
      <c r="HCA2485" s="58"/>
      <c r="HCB2485" s="58"/>
      <c r="HCC2485" s="58"/>
      <c r="HCD2485" s="60"/>
      <c r="HCE2485" s="60"/>
      <c r="HCF2485" s="60"/>
      <c r="HCG2485" s="58"/>
      <c r="HCH2485" s="61"/>
      <c r="HCI2485" s="58"/>
      <c r="HCJ2485" s="58"/>
      <c r="HCK2485" s="58"/>
      <c r="HCL2485" s="60"/>
      <c r="HCM2485" s="60"/>
      <c r="HCN2485" s="60"/>
      <c r="HCO2485" s="58"/>
      <c r="HCP2485" s="61"/>
      <c r="HCQ2485" s="58"/>
      <c r="HCR2485" s="58"/>
      <c r="HCS2485" s="58"/>
      <c r="HCT2485" s="60"/>
      <c r="HCU2485" s="60"/>
      <c r="HCV2485" s="60"/>
      <c r="HCW2485" s="58"/>
      <c r="HCX2485" s="61"/>
      <c r="HCY2485" s="58"/>
      <c r="HCZ2485" s="58"/>
      <c r="HDA2485" s="58"/>
      <c r="HDB2485" s="60"/>
      <c r="HDC2485" s="60"/>
      <c r="HDD2485" s="60"/>
      <c r="HDE2485" s="58"/>
      <c r="HDF2485" s="61"/>
      <c r="HDG2485" s="58"/>
      <c r="HDH2485" s="58"/>
      <c r="HDI2485" s="58"/>
      <c r="HDJ2485" s="60"/>
      <c r="HDK2485" s="60"/>
      <c r="HDL2485" s="60"/>
      <c r="HDM2485" s="58"/>
      <c r="HDN2485" s="61"/>
      <c r="HDO2485" s="58"/>
      <c r="HDP2485" s="58"/>
      <c r="HDQ2485" s="58"/>
      <c r="HDR2485" s="60"/>
      <c r="HDS2485" s="60"/>
      <c r="HDT2485" s="60"/>
      <c r="HDU2485" s="58"/>
      <c r="HDV2485" s="61"/>
      <c r="HDW2485" s="58"/>
      <c r="HDX2485" s="58"/>
      <c r="HDY2485" s="58"/>
      <c r="HDZ2485" s="60"/>
      <c r="HEA2485" s="60"/>
      <c r="HEB2485" s="60"/>
      <c r="HEC2485" s="58"/>
      <c r="HED2485" s="61"/>
      <c r="HEE2485" s="58"/>
      <c r="HEF2485" s="58"/>
      <c r="HEG2485" s="58"/>
      <c r="HEH2485" s="60"/>
      <c r="HEI2485" s="60"/>
      <c r="HEJ2485" s="60"/>
      <c r="HEK2485" s="58"/>
      <c r="HEL2485" s="61"/>
      <c r="HEM2485" s="58"/>
      <c r="HEN2485" s="58"/>
      <c r="HEO2485" s="58"/>
      <c r="HEP2485" s="60"/>
      <c r="HEQ2485" s="60"/>
      <c r="HER2485" s="60"/>
      <c r="HES2485" s="58"/>
      <c r="HET2485" s="61"/>
      <c r="HEU2485" s="58"/>
      <c r="HEV2485" s="58"/>
      <c r="HEW2485" s="58"/>
      <c r="HEX2485" s="60"/>
      <c r="HEY2485" s="60"/>
      <c r="HEZ2485" s="60"/>
      <c r="HFA2485" s="58"/>
      <c r="HFB2485" s="61"/>
      <c r="HFC2485" s="58"/>
      <c r="HFD2485" s="58"/>
      <c r="HFE2485" s="58"/>
      <c r="HFF2485" s="60"/>
      <c r="HFG2485" s="60"/>
      <c r="HFH2485" s="60"/>
      <c r="HFI2485" s="58"/>
      <c r="HFJ2485" s="61"/>
      <c r="HFK2485" s="58"/>
      <c r="HFL2485" s="58"/>
      <c r="HFM2485" s="58"/>
      <c r="HFN2485" s="60"/>
      <c r="HFO2485" s="60"/>
      <c r="HFP2485" s="60"/>
      <c r="HFQ2485" s="58"/>
      <c r="HFR2485" s="61"/>
      <c r="HFS2485" s="58"/>
      <c r="HFT2485" s="58"/>
      <c r="HFU2485" s="58"/>
      <c r="HFV2485" s="60"/>
      <c r="HFW2485" s="60"/>
      <c r="HFX2485" s="60"/>
      <c r="HFY2485" s="58"/>
      <c r="HFZ2485" s="61"/>
      <c r="HGA2485" s="58"/>
      <c r="HGB2485" s="58"/>
      <c r="HGC2485" s="58"/>
      <c r="HGD2485" s="60"/>
      <c r="HGE2485" s="60"/>
      <c r="HGF2485" s="60"/>
      <c r="HGG2485" s="58"/>
      <c r="HGH2485" s="61"/>
      <c r="HGI2485" s="58"/>
      <c r="HGJ2485" s="58"/>
      <c r="HGK2485" s="58"/>
      <c r="HGL2485" s="60"/>
      <c r="HGM2485" s="60"/>
      <c r="HGN2485" s="60"/>
      <c r="HGO2485" s="58"/>
      <c r="HGP2485" s="61"/>
      <c r="HGQ2485" s="58"/>
      <c r="HGR2485" s="58"/>
      <c r="HGS2485" s="58"/>
      <c r="HGT2485" s="60"/>
      <c r="HGU2485" s="60"/>
      <c r="HGV2485" s="60"/>
      <c r="HGW2485" s="58"/>
      <c r="HGX2485" s="61"/>
      <c r="HGY2485" s="58"/>
      <c r="HGZ2485" s="58"/>
      <c r="HHA2485" s="58"/>
      <c r="HHB2485" s="60"/>
      <c r="HHC2485" s="60"/>
      <c r="HHD2485" s="60"/>
      <c r="HHE2485" s="58"/>
      <c r="HHF2485" s="61"/>
      <c r="HHG2485" s="58"/>
      <c r="HHH2485" s="58"/>
      <c r="HHI2485" s="58"/>
      <c r="HHJ2485" s="60"/>
      <c r="HHK2485" s="60"/>
      <c r="HHL2485" s="60"/>
      <c r="HHM2485" s="58"/>
      <c r="HHN2485" s="61"/>
      <c r="HHO2485" s="58"/>
      <c r="HHP2485" s="58"/>
      <c r="HHQ2485" s="58"/>
      <c r="HHR2485" s="60"/>
      <c r="HHS2485" s="60"/>
      <c r="HHT2485" s="60"/>
      <c r="HHU2485" s="58"/>
      <c r="HHV2485" s="61"/>
      <c r="HHW2485" s="58"/>
      <c r="HHX2485" s="58"/>
      <c r="HHY2485" s="58"/>
      <c r="HHZ2485" s="60"/>
      <c r="HIA2485" s="60"/>
      <c r="HIB2485" s="60"/>
      <c r="HIC2485" s="58"/>
      <c r="HID2485" s="61"/>
      <c r="HIE2485" s="58"/>
      <c r="HIF2485" s="58"/>
      <c r="HIG2485" s="58"/>
      <c r="HIH2485" s="60"/>
      <c r="HII2485" s="60"/>
      <c r="HIJ2485" s="60"/>
      <c r="HIK2485" s="58"/>
      <c r="HIL2485" s="61"/>
      <c r="HIM2485" s="58"/>
      <c r="HIN2485" s="58"/>
      <c r="HIO2485" s="58"/>
      <c r="HIP2485" s="60"/>
      <c r="HIQ2485" s="60"/>
      <c r="HIR2485" s="60"/>
      <c r="HIS2485" s="58"/>
      <c r="HIT2485" s="61"/>
      <c r="HIU2485" s="58"/>
      <c r="HIV2485" s="58"/>
      <c r="HIW2485" s="58"/>
      <c r="HIX2485" s="60"/>
      <c r="HIY2485" s="60"/>
      <c r="HIZ2485" s="60"/>
      <c r="HJA2485" s="58"/>
      <c r="HJB2485" s="61"/>
      <c r="HJC2485" s="58"/>
      <c r="HJD2485" s="58"/>
      <c r="HJE2485" s="58"/>
      <c r="HJF2485" s="60"/>
      <c r="HJG2485" s="60"/>
      <c r="HJH2485" s="60"/>
      <c r="HJI2485" s="58"/>
      <c r="HJJ2485" s="61"/>
      <c r="HJK2485" s="58"/>
      <c r="HJL2485" s="58"/>
      <c r="HJM2485" s="58"/>
      <c r="HJN2485" s="60"/>
      <c r="HJO2485" s="60"/>
      <c r="HJP2485" s="60"/>
      <c r="HJQ2485" s="58"/>
      <c r="HJR2485" s="61"/>
      <c r="HJS2485" s="58"/>
      <c r="HJT2485" s="58"/>
      <c r="HJU2485" s="58"/>
      <c r="HJV2485" s="60"/>
      <c r="HJW2485" s="60"/>
      <c r="HJX2485" s="60"/>
      <c r="HJY2485" s="58"/>
      <c r="HJZ2485" s="61"/>
      <c r="HKA2485" s="58"/>
      <c r="HKB2485" s="58"/>
      <c r="HKC2485" s="58"/>
      <c r="HKD2485" s="60"/>
      <c r="HKE2485" s="60"/>
      <c r="HKF2485" s="60"/>
      <c r="HKG2485" s="58"/>
      <c r="HKH2485" s="61"/>
      <c r="HKI2485" s="58"/>
      <c r="HKJ2485" s="58"/>
      <c r="HKK2485" s="58"/>
      <c r="HKL2485" s="60"/>
      <c r="HKM2485" s="60"/>
      <c r="HKN2485" s="60"/>
      <c r="HKO2485" s="58"/>
      <c r="HKP2485" s="61"/>
      <c r="HKQ2485" s="58"/>
      <c r="HKR2485" s="58"/>
      <c r="HKS2485" s="58"/>
      <c r="HKT2485" s="60"/>
      <c r="HKU2485" s="60"/>
      <c r="HKV2485" s="60"/>
      <c r="HKW2485" s="58"/>
      <c r="HKX2485" s="61"/>
      <c r="HKY2485" s="58"/>
      <c r="HKZ2485" s="58"/>
      <c r="HLA2485" s="58"/>
      <c r="HLB2485" s="60"/>
      <c r="HLC2485" s="60"/>
      <c r="HLD2485" s="60"/>
      <c r="HLE2485" s="58"/>
      <c r="HLF2485" s="61"/>
      <c r="HLG2485" s="58"/>
      <c r="HLH2485" s="58"/>
      <c r="HLI2485" s="58"/>
      <c r="HLJ2485" s="60"/>
      <c r="HLK2485" s="60"/>
      <c r="HLL2485" s="60"/>
      <c r="HLM2485" s="58"/>
      <c r="HLN2485" s="61"/>
      <c r="HLO2485" s="58"/>
      <c r="HLP2485" s="58"/>
      <c r="HLQ2485" s="58"/>
      <c r="HLR2485" s="60"/>
      <c r="HLS2485" s="60"/>
      <c r="HLT2485" s="60"/>
      <c r="HLU2485" s="58"/>
      <c r="HLV2485" s="61"/>
      <c r="HLW2485" s="58"/>
      <c r="HLX2485" s="58"/>
      <c r="HLY2485" s="58"/>
      <c r="HLZ2485" s="60"/>
      <c r="HMA2485" s="60"/>
      <c r="HMB2485" s="60"/>
      <c r="HMC2485" s="58"/>
      <c r="HMD2485" s="61"/>
      <c r="HME2485" s="58"/>
      <c r="HMF2485" s="58"/>
      <c r="HMG2485" s="58"/>
      <c r="HMH2485" s="60"/>
      <c r="HMI2485" s="60"/>
      <c r="HMJ2485" s="60"/>
      <c r="HMK2485" s="58"/>
      <c r="HML2485" s="61"/>
      <c r="HMM2485" s="58"/>
      <c r="HMN2485" s="58"/>
      <c r="HMO2485" s="58"/>
      <c r="HMP2485" s="60"/>
      <c r="HMQ2485" s="60"/>
      <c r="HMR2485" s="60"/>
      <c r="HMS2485" s="58"/>
      <c r="HMT2485" s="61"/>
      <c r="HMU2485" s="58"/>
      <c r="HMV2485" s="58"/>
      <c r="HMW2485" s="58"/>
      <c r="HMX2485" s="60"/>
      <c r="HMY2485" s="60"/>
      <c r="HMZ2485" s="60"/>
      <c r="HNA2485" s="58"/>
      <c r="HNB2485" s="61"/>
      <c r="HNC2485" s="58"/>
      <c r="HND2485" s="58"/>
      <c r="HNE2485" s="58"/>
      <c r="HNF2485" s="60"/>
      <c r="HNG2485" s="60"/>
      <c r="HNH2485" s="60"/>
      <c r="HNI2485" s="58"/>
      <c r="HNJ2485" s="61"/>
      <c r="HNK2485" s="58"/>
      <c r="HNL2485" s="58"/>
      <c r="HNM2485" s="58"/>
      <c r="HNN2485" s="60"/>
      <c r="HNO2485" s="60"/>
      <c r="HNP2485" s="60"/>
      <c r="HNQ2485" s="58"/>
      <c r="HNR2485" s="61"/>
      <c r="HNS2485" s="58"/>
      <c r="HNT2485" s="58"/>
      <c r="HNU2485" s="58"/>
      <c r="HNV2485" s="60"/>
      <c r="HNW2485" s="60"/>
      <c r="HNX2485" s="60"/>
      <c r="HNY2485" s="58"/>
      <c r="HNZ2485" s="61"/>
      <c r="HOA2485" s="58"/>
      <c r="HOB2485" s="58"/>
      <c r="HOC2485" s="58"/>
      <c r="HOD2485" s="60"/>
      <c r="HOE2485" s="60"/>
      <c r="HOF2485" s="60"/>
      <c r="HOG2485" s="58"/>
      <c r="HOH2485" s="61"/>
      <c r="HOI2485" s="58"/>
      <c r="HOJ2485" s="58"/>
      <c r="HOK2485" s="58"/>
      <c r="HOL2485" s="60"/>
      <c r="HOM2485" s="60"/>
      <c r="HON2485" s="60"/>
      <c r="HOO2485" s="58"/>
      <c r="HOP2485" s="61"/>
      <c r="HOQ2485" s="58"/>
      <c r="HOR2485" s="58"/>
      <c r="HOS2485" s="58"/>
      <c r="HOT2485" s="60"/>
      <c r="HOU2485" s="60"/>
      <c r="HOV2485" s="60"/>
      <c r="HOW2485" s="58"/>
      <c r="HOX2485" s="61"/>
      <c r="HOY2485" s="58"/>
      <c r="HOZ2485" s="58"/>
      <c r="HPA2485" s="58"/>
      <c r="HPB2485" s="60"/>
      <c r="HPC2485" s="60"/>
      <c r="HPD2485" s="60"/>
      <c r="HPE2485" s="58"/>
      <c r="HPF2485" s="61"/>
      <c r="HPG2485" s="58"/>
      <c r="HPH2485" s="58"/>
      <c r="HPI2485" s="58"/>
      <c r="HPJ2485" s="60"/>
      <c r="HPK2485" s="60"/>
      <c r="HPL2485" s="60"/>
      <c r="HPM2485" s="58"/>
      <c r="HPN2485" s="61"/>
      <c r="HPO2485" s="58"/>
      <c r="HPP2485" s="58"/>
      <c r="HPQ2485" s="58"/>
      <c r="HPR2485" s="60"/>
      <c r="HPS2485" s="60"/>
      <c r="HPT2485" s="60"/>
      <c r="HPU2485" s="58"/>
      <c r="HPV2485" s="61"/>
      <c r="HPW2485" s="58"/>
      <c r="HPX2485" s="58"/>
      <c r="HPY2485" s="58"/>
      <c r="HPZ2485" s="60"/>
      <c r="HQA2485" s="60"/>
      <c r="HQB2485" s="60"/>
      <c r="HQC2485" s="58"/>
      <c r="HQD2485" s="61"/>
      <c r="HQE2485" s="58"/>
      <c r="HQF2485" s="58"/>
      <c r="HQG2485" s="58"/>
      <c r="HQH2485" s="60"/>
      <c r="HQI2485" s="60"/>
      <c r="HQJ2485" s="60"/>
      <c r="HQK2485" s="58"/>
      <c r="HQL2485" s="61"/>
      <c r="HQM2485" s="58"/>
      <c r="HQN2485" s="58"/>
      <c r="HQO2485" s="58"/>
      <c r="HQP2485" s="60"/>
      <c r="HQQ2485" s="60"/>
      <c r="HQR2485" s="60"/>
      <c r="HQS2485" s="58"/>
      <c r="HQT2485" s="61"/>
      <c r="HQU2485" s="58"/>
      <c r="HQV2485" s="58"/>
      <c r="HQW2485" s="58"/>
      <c r="HQX2485" s="60"/>
      <c r="HQY2485" s="60"/>
      <c r="HQZ2485" s="60"/>
      <c r="HRA2485" s="58"/>
      <c r="HRB2485" s="61"/>
      <c r="HRC2485" s="58"/>
      <c r="HRD2485" s="58"/>
      <c r="HRE2485" s="58"/>
      <c r="HRF2485" s="60"/>
      <c r="HRG2485" s="60"/>
      <c r="HRH2485" s="60"/>
      <c r="HRI2485" s="58"/>
      <c r="HRJ2485" s="61"/>
      <c r="HRK2485" s="58"/>
      <c r="HRL2485" s="58"/>
      <c r="HRM2485" s="58"/>
      <c r="HRN2485" s="60"/>
      <c r="HRO2485" s="60"/>
      <c r="HRP2485" s="60"/>
      <c r="HRQ2485" s="58"/>
      <c r="HRR2485" s="61"/>
      <c r="HRS2485" s="58"/>
      <c r="HRT2485" s="58"/>
      <c r="HRU2485" s="58"/>
      <c r="HRV2485" s="60"/>
      <c r="HRW2485" s="60"/>
      <c r="HRX2485" s="60"/>
      <c r="HRY2485" s="58"/>
      <c r="HRZ2485" s="61"/>
      <c r="HSA2485" s="58"/>
      <c r="HSB2485" s="58"/>
      <c r="HSC2485" s="58"/>
      <c r="HSD2485" s="60"/>
      <c r="HSE2485" s="60"/>
      <c r="HSF2485" s="60"/>
      <c r="HSG2485" s="58"/>
      <c r="HSH2485" s="61"/>
      <c r="HSI2485" s="58"/>
      <c r="HSJ2485" s="58"/>
      <c r="HSK2485" s="58"/>
      <c r="HSL2485" s="60"/>
      <c r="HSM2485" s="60"/>
      <c r="HSN2485" s="60"/>
      <c r="HSO2485" s="58"/>
      <c r="HSP2485" s="61"/>
      <c r="HSQ2485" s="58"/>
      <c r="HSR2485" s="58"/>
      <c r="HSS2485" s="58"/>
      <c r="HST2485" s="60"/>
      <c r="HSU2485" s="60"/>
      <c r="HSV2485" s="60"/>
      <c r="HSW2485" s="58"/>
      <c r="HSX2485" s="61"/>
      <c r="HSY2485" s="58"/>
      <c r="HSZ2485" s="58"/>
      <c r="HTA2485" s="58"/>
      <c r="HTB2485" s="60"/>
      <c r="HTC2485" s="60"/>
      <c r="HTD2485" s="60"/>
      <c r="HTE2485" s="58"/>
      <c r="HTF2485" s="61"/>
      <c r="HTG2485" s="58"/>
      <c r="HTH2485" s="58"/>
      <c r="HTI2485" s="58"/>
      <c r="HTJ2485" s="60"/>
      <c r="HTK2485" s="60"/>
      <c r="HTL2485" s="60"/>
      <c r="HTM2485" s="58"/>
      <c r="HTN2485" s="61"/>
      <c r="HTO2485" s="58"/>
      <c r="HTP2485" s="58"/>
      <c r="HTQ2485" s="58"/>
      <c r="HTR2485" s="60"/>
      <c r="HTS2485" s="60"/>
      <c r="HTT2485" s="60"/>
      <c r="HTU2485" s="58"/>
      <c r="HTV2485" s="61"/>
      <c r="HTW2485" s="58"/>
      <c r="HTX2485" s="58"/>
      <c r="HTY2485" s="58"/>
      <c r="HTZ2485" s="60"/>
      <c r="HUA2485" s="60"/>
      <c r="HUB2485" s="60"/>
      <c r="HUC2485" s="58"/>
      <c r="HUD2485" s="61"/>
      <c r="HUE2485" s="58"/>
      <c r="HUF2485" s="58"/>
      <c r="HUG2485" s="58"/>
      <c r="HUH2485" s="60"/>
      <c r="HUI2485" s="60"/>
      <c r="HUJ2485" s="60"/>
      <c r="HUK2485" s="58"/>
      <c r="HUL2485" s="61"/>
      <c r="HUM2485" s="58"/>
      <c r="HUN2485" s="58"/>
      <c r="HUO2485" s="58"/>
      <c r="HUP2485" s="60"/>
      <c r="HUQ2485" s="60"/>
      <c r="HUR2485" s="60"/>
      <c r="HUS2485" s="58"/>
      <c r="HUT2485" s="61"/>
      <c r="HUU2485" s="58"/>
      <c r="HUV2485" s="58"/>
      <c r="HUW2485" s="58"/>
      <c r="HUX2485" s="60"/>
      <c r="HUY2485" s="60"/>
      <c r="HUZ2485" s="60"/>
      <c r="HVA2485" s="58"/>
      <c r="HVB2485" s="61"/>
      <c r="HVC2485" s="58"/>
      <c r="HVD2485" s="58"/>
      <c r="HVE2485" s="58"/>
      <c r="HVF2485" s="60"/>
      <c r="HVG2485" s="60"/>
      <c r="HVH2485" s="60"/>
      <c r="HVI2485" s="58"/>
      <c r="HVJ2485" s="61"/>
      <c r="HVK2485" s="58"/>
      <c r="HVL2485" s="58"/>
      <c r="HVM2485" s="58"/>
      <c r="HVN2485" s="60"/>
      <c r="HVO2485" s="60"/>
      <c r="HVP2485" s="60"/>
      <c r="HVQ2485" s="58"/>
      <c r="HVR2485" s="61"/>
      <c r="HVS2485" s="58"/>
      <c r="HVT2485" s="58"/>
      <c r="HVU2485" s="58"/>
      <c r="HVV2485" s="60"/>
      <c r="HVW2485" s="60"/>
      <c r="HVX2485" s="60"/>
      <c r="HVY2485" s="58"/>
      <c r="HVZ2485" s="61"/>
      <c r="HWA2485" s="58"/>
      <c r="HWB2485" s="58"/>
      <c r="HWC2485" s="58"/>
      <c r="HWD2485" s="60"/>
      <c r="HWE2485" s="60"/>
      <c r="HWF2485" s="60"/>
      <c r="HWG2485" s="58"/>
      <c r="HWH2485" s="61"/>
      <c r="HWI2485" s="58"/>
      <c r="HWJ2485" s="58"/>
      <c r="HWK2485" s="58"/>
      <c r="HWL2485" s="60"/>
      <c r="HWM2485" s="60"/>
      <c r="HWN2485" s="60"/>
      <c r="HWO2485" s="58"/>
      <c r="HWP2485" s="61"/>
      <c r="HWQ2485" s="58"/>
      <c r="HWR2485" s="58"/>
      <c r="HWS2485" s="58"/>
      <c r="HWT2485" s="60"/>
      <c r="HWU2485" s="60"/>
      <c r="HWV2485" s="60"/>
      <c r="HWW2485" s="58"/>
      <c r="HWX2485" s="61"/>
      <c r="HWY2485" s="58"/>
      <c r="HWZ2485" s="58"/>
      <c r="HXA2485" s="58"/>
      <c r="HXB2485" s="60"/>
      <c r="HXC2485" s="60"/>
      <c r="HXD2485" s="60"/>
      <c r="HXE2485" s="58"/>
      <c r="HXF2485" s="61"/>
      <c r="HXG2485" s="58"/>
      <c r="HXH2485" s="58"/>
      <c r="HXI2485" s="58"/>
      <c r="HXJ2485" s="60"/>
      <c r="HXK2485" s="60"/>
      <c r="HXL2485" s="60"/>
      <c r="HXM2485" s="58"/>
      <c r="HXN2485" s="61"/>
      <c r="HXO2485" s="58"/>
      <c r="HXP2485" s="58"/>
      <c r="HXQ2485" s="58"/>
      <c r="HXR2485" s="60"/>
      <c r="HXS2485" s="60"/>
      <c r="HXT2485" s="60"/>
      <c r="HXU2485" s="58"/>
      <c r="HXV2485" s="61"/>
      <c r="HXW2485" s="58"/>
      <c r="HXX2485" s="58"/>
      <c r="HXY2485" s="58"/>
      <c r="HXZ2485" s="60"/>
      <c r="HYA2485" s="60"/>
      <c r="HYB2485" s="60"/>
      <c r="HYC2485" s="58"/>
      <c r="HYD2485" s="61"/>
      <c r="HYE2485" s="58"/>
      <c r="HYF2485" s="58"/>
      <c r="HYG2485" s="58"/>
      <c r="HYH2485" s="60"/>
      <c r="HYI2485" s="60"/>
      <c r="HYJ2485" s="60"/>
      <c r="HYK2485" s="58"/>
      <c r="HYL2485" s="61"/>
      <c r="HYM2485" s="58"/>
      <c r="HYN2485" s="58"/>
      <c r="HYO2485" s="58"/>
      <c r="HYP2485" s="60"/>
      <c r="HYQ2485" s="60"/>
      <c r="HYR2485" s="60"/>
      <c r="HYS2485" s="58"/>
      <c r="HYT2485" s="61"/>
      <c r="HYU2485" s="58"/>
      <c r="HYV2485" s="58"/>
      <c r="HYW2485" s="58"/>
      <c r="HYX2485" s="60"/>
      <c r="HYY2485" s="60"/>
      <c r="HYZ2485" s="60"/>
      <c r="HZA2485" s="58"/>
      <c r="HZB2485" s="61"/>
      <c r="HZC2485" s="58"/>
      <c r="HZD2485" s="58"/>
      <c r="HZE2485" s="58"/>
      <c r="HZF2485" s="60"/>
      <c r="HZG2485" s="60"/>
      <c r="HZH2485" s="60"/>
      <c r="HZI2485" s="58"/>
      <c r="HZJ2485" s="61"/>
      <c r="HZK2485" s="58"/>
      <c r="HZL2485" s="58"/>
      <c r="HZM2485" s="58"/>
      <c r="HZN2485" s="60"/>
      <c r="HZO2485" s="60"/>
      <c r="HZP2485" s="60"/>
      <c r="HZQ2485" s="58"/>
      <c r="HZR2485" s="61"/>
      <c r="HZS2485" s="58"/>
      <c r="HZT2485" s="58"/>
      <c r="HZU2485" s="58"/>
      <c r="HZV2485" s="60"/>
      <c r="HZW2485" s="60"/>
      <c r="HZX2485" s="60"/>
      <c r="HZY2485" s="58"/>
      <c r="HZZ2485" s="61"/>
      <c r="IAA2485" s="58"/>
      <c r="IAB2485" s="58"/>
      <c r="IAC2485" s="58"/>
      <c r="IAD2485" s="60"/>
      <c r="IAE2485" s="60"/>
      <c r="IAF2485" s="60"/>
      <c r="IAG2485" s="58"/>
      <c r="IAH2485" s="61"/>
      <c r="IAI2485" s="58"/>
      <c r="IAJ2485" s="58"/>
      <c r="IAK2485" s="58"/>
      <c r="IAL2485" s="60"/>
      <c r="IAM2485" s="60"/>
      <c r="IAN2485" s="60"/>
      <c r="IAO2485" s="58"/>
      <c r="IAP2485" s="61"/>
      <c r="IAQ2485" s="58"/>
      <c r="IAR2485" s="58"/>
      <c r="IAS2485" s="58"/>
      <c r="IAT2485" s="60"/>
      <c r="IAU2485" s="60"/>
      <c r="IAV2485" s="60"/>
      <c r="IAW2485" s="58"/>
      <c r="IAX2485" s="61"/>
      <c r="IAY2485" s="58"/>
      <c r="IAZ2485" s="58"/>
      <c r="IBA2485" s="58"/>
      <c r="IBB2485" s="60"/>
      <c r="IBC2485" s="60"/>
      <c r="IBD2485" s="60"/>
      <c r="IBE2485" s="58"/>
      <c r="IBF2485" s="61"/>
      <c r="IBG2485" s="58"/>
      <c r="IBH2485" s="58"/>
      <c r="IBI2485" s="58"/>
      <c r="IBJ2485" s="60"/>
      <c r="IBK2485" s="60"/>
      <c r="IBL2485" s="60"/>
      <c r="IBM2485" s="58"/>
      <c r="IBN2485" s="61"/>
      <c r="IBO2485" s="58"/>
      <c r="IBP2485" s="58"/>
      <c r="IBQ2485" s="58"/>
      <c r="IBR2485" s="60"/>
      <c r="IBS2485" s="60"/>
      <c r="IBT2485" s="60"/>
      <c r="IBU2485" s="58"/>
      <c r="IBV2485" s="61"/>
      <c r="IBW2485" s="58"/>
      <c r="IBX2485" s="58"/>
      <c r="IBY2485" s="58"/>
      <c r="IBZ2485" s="60"/>
      <c r="ICA2485" s="60"/>
      <c r="ICB2485" s="60"/>
      <c r="ICC2485" s="58"/>
      <c r="ICD2485" s="61"/>
      <c r="ICE2485" s="58"/>
      <c r="ICF2485" s="58"/>
      <c r="ICG2485" s="58"/>
      <c r="ICH2485" s="60"/>
      <c r="ICI2485" s="60"/>
      <c r="ICJ2485" s="60"/>
      <c r="ICK2485" s="58"/>
      <c r="ICL2485" s="61"/>
      <c r="ICM2485" s="58"/>
      <c r="ICN2485" s="58"/>
      <c r="ICO2485" s="58"/>
      <c r="ICP2485" s="60"/>
      <c r="ICQ2485" s="60"/>
      <c r="ICR2485" s="60"/>
      <c r="ICS2485" s="58"/>
      <c r="ICT2485" s="61"/>
      <c r="ICU2485" s="58"/>
      <c r="ICV2485" s="58"/>
      <c r="ICW2485" s="58"/>
      <c r="ICX2485" s="60"/>
      <c r="ICY2485" s="60"/>
      <c r="ICZ2485" s="60"/>
      <c r="IDA2485" s="58"/>
      <c r="IDB2485" s="61"/>
      <c r="IDC2485" s="58"/>
      <c r="IDD2485" s="58"/>
      <c r="IDE2485" s="58"/>
      <c r="IDF2485" s="60"/>
      <c r="IDG2485" s="60"/>
      <c r="IDH2485" s="60"/>
      <c r="IDI2485" s="58"/>
      <c r="IDJ2485" s="61"/>
      <c r="IDK2485" s="58"/>
      <c r="IDL2485" s="58"/>
      <c r="IDM2485" s="58"/>
      <c r="IDN2485" s="60"/>
      <c r="IDO2485" s="60"/>
      <c r="IDP2485" s="60"/>
      <c r="IDQ2485" s="58"/>
      <c r="IDR2485" s="61"/>
      <c r="IDS2485" s="58"/>
      <c r="IDT2485" s="58"/>
      <c r="IDU2485" s="58"/>
      <c r="IDV2485" s="60"/>
      <c r="IDW2485" s="60"/>
      <c r="IDX2485" s="60"/>
      <c r="IDY2485" s="58"/>
      <c r="IDZ2485" s="61"/>
      <c r="IEA2485" s="58"/>
      <c r="IEB2485" s="58"/>
      <c r="IEC2485" s="58"/>
      <c r="IED2485" s="60"/>
      <c r="IEE2485" s="60"/>
      <c r="IEF2485" s="60"/>
      <c r="IEG2485" s="58"/>
      <c r="IEH2485" s="61"/>
      <c r="IEI2485" s="58"/>
      <c r="IEJ2485" s="58"/>
      <c r="IEK2485" s="58"/>
      <c r="IEL2485" s="60"/>
      <c r="IEM2485" s="60"/>
      <c r="IEN2485" s="60"/>
      <c r="IEO2485" s="58"/>
      <c r="IEP2485" s="61"/>
      <c r="IEQ2485" s="58"/>
      <c r="IER2485" s="58"/>
      <c r="IES2485" s="58"/>
      <c r="IET2485" s="60"/>
      <c r="IEU2485" s="60"/>
      <c r="IEV2485" s="60"/>
      <c r="IEW2485" s="58"/>
      <c r="IEX2485" s="61"/>
      <c r="IEY2485" s="58"/>
      <c r="IEZ2485" s="58"/>
      <c r="IFA2485" s="58"/>
      <c r="IFB2485" s="60"/>
      <c r="IFC2485" s="60"/>
      <c r="IFD2485" s="60"/>
      <c r="IFE2485" s="58"/>
      <c r="IFF2485" s="61"/>
      <c r="IFG2485" s="58"/>
      <c r="IFH2485" s="58"/>
      <c r="IFI2485" s="58"/>
      <c r="IFJ2485" s="60"/>
      <c r="IFK2485" s="60"/>
      <c r="IFL2485" s="60"/>
      <c r="IFM2485" s="58"/>
      <c r="IFN2485" s="61"/>
      <c r="IFO2485" s="58"/>
      <c r="IFP2485" s="58"/>
      <c r="IFQ2485" s="58"/>
      <c r="IFR2485" s="60"/>
      <c r="IFS2485" s="60"/>
      <c r="IFT2485" s="60"/>
      <c r="IFU2485" s="58"/>
      <c r="IFV2485" s="61"/>
      <c r="IFW2485" s="58"/>
      <c r="IFX2485" s="58"/>
      <c r="IFY2485" s="58"/>
      <c r="IFZ2485" s="60"/>
      <c r="IGA2485" s="60"/>
      <c r="IGB2485" s="60"/>
      <c r="IGC2485" s="58"/>
      <c r="IGD2485" s="61"/>
      <c r="IGE2485" s="58"/>
      <c r="IGF2485" s="58"/>
      <c r="IGG2485" s="58"/>
      <c r="IGH2485" s="60"/>
      <c r="IGI2485" s="60"/>
      <c r="IGJ2485" s="60"/>
      <c r="IGK2485" s="58"/>
      <c r="IGL2485" s="61"/>
      <c r="IGM2485" s="58"/>
      <c r="IGN2485" s="58"/>
      <c r="IGO2485" s="58"/>
      <c r="IGP2485" s="60"/>
      <c r="IGQ2485" s="60"/>
      <c r="IGR2485" s="60"/>
      <c r="IGS2485" s="58"/>
      <c r="IGT2485" s="61"/>
      <c r="IGU2485" s="58"/>
      <c r="IGV2485" s="58"/>
      <c r="IGW2485" s="58"/>
      <c r="IGX2485" s="60"/>
      <c r="IGY2485" s="60"/>
      <c r="IGZ2485" s="60"/>
      <c r="IHA2485" s="58"/>
      <c r="IHB2485" s="61"/>
      <c r="IHC2485" s="58"/>
      <c r="IHD2485" s="58"/>
      <c r="IHE2485" s="58"/>
      <c r="IHF2485" s="60"/>
      <c r="IHG2485" s="60"/>
      <c r="IHH2485" s="60"/>
      <c r="IHI2485" s="58"/>
      <c r="IHJ2485" s="61"/>
      <c r="IHK2485" s="58"/>
      <c r="IHL2485" s="58"/>
      <c r="IHM2485" s="58"/>
      <c r="IHN2485" s="60"/>
      <c r="IHO2485" s="60"/>
      <c r="IHP2485" s="60"/>
      <c r="IHQ2485" s="58"/>
      <c r="IHR2485" s="61"/>
      <c r="IHS2485" s="58"/>
      <c r="IHT2485" s="58"/>
      <c r="IHU2485" s="58"/>
      <c r="IHV2485" s="60"/>
      <c r="IHW2485" s="60"/>
      <c r="IHX2485" s="60"/>
      <c r="IHY2485" s="58"/>
      <c r="IHZ2485" s="61"/>
      <c r="IIA2485" s="58"/>
      <c r="IIB2485" s="58"/>
      <c r="IIC2485" s="58"/>
      <c r="IID2485" s="60"/>
      <c r="IIE2485" s="60"/>
      <c r="IIF2485" s="60"/>
      <c r="IIG2485" s="58"/>
      <c r="IIH2485" s="61"/>
      <c r="III2485" s="58"/>
      <c r="IIJ2485" s="58"/>
      <c r="IIK2485" s="58"/>
      <c r="IIL2485" s="60"/>
      <c r="IIM2485" s="60"/>
      <c r="IIN2485" s="60"/>
      <c r="IIO2485" s="58"/>
      <c r="IIP2485" s="61"/>
      <c r="IIQ2485" s="58"/>
      <c r="IIR2485" s="58"/>
      <c r="IIS2485" s="58"/>
      <c r="IIT2485" s="60"/>
      <c r="IIU2485" s="60"/>
      <c r="IIV2485" s="60"/>
      <c r="IIW2485" s="58"/>
      <c r="IIX2485" s="61"/>
      <c r="IIY2485" s="58"/>
      <c r="IIZ2485" s="58"/>
      <c r="IJA2485" s="58"/>
      <c r="IJB2485" s="60"/>
      <c r="IJC2485" s="60"/>
      <c r="IJD2485" s="60"/>
      <c r="IJE2485" s="58"/>
      <c r="IJF2485" s="61"/>
      <c r="IJG2485" s="58"/>
      <c r="IJH2485" s="58"/>
      <c r="IJI2485" s="58"/>
      <c r="IJJ2485" s="60"/>
      <c r="IJK2485" s="60"/>
      <c r="IJL2485" s="60"/>
      <c r="IJM2485" s="58"/>
      <c r="IJN2485" s="61"/>
      <c r="IJO2485" s="58"/>
      <c r="IJP2485" s="58"/>
      <c r="IJQ2485" s="58"/>
      <c r="IJR2485" s="60"/>
      <c r="IJS2485" s="60"/>
      <c r="IJT2485" s="60"/>
      <c r="IJU2485" s="58"/>
      <c r="IJV2485" s="61"/>
      <c r="IJW2485" s="58"/>
      <c r="IJX2485" s="58"/>
      <c r="IJY2485" s="58"/>
      <c r="IJZ2485" s="60"/>
      <c r="IKA2485" s="60"/>
      <c r="IKB2485" s="60"/>
      <c r="IKC2485" s="58"/>
      <c r="IKD2485" s="61"/>
      <c r="IKE2485" s="58"/>
      <c r="IKF2485" s="58"/>
      <c r="IKG2485" s="58"/>
      <c r="IKH2485" s="60"/>
      <c r="IKI2485" s="60"/>
      <c r="IKJ2485" s="60"/>
      <c r="IKK2485" s="58"/>
      <c r="IKL2485" s="61"/>
      <c r="IKM2485" s="58"/>
      <c r="IKN2485" s="58"/>
      <c r="IKO2485" s="58"/>
      <c r="IKP2485" s="60"/>
      <c r="IKQ2485" s="60"/>
      <c r="IKR2485" s="60"/>
      <c r="IKS2485" s="58"/>
      <c r="IKT2485" s="61"/>
      <c r="IKU2485" s="58"/>
      <c r="IKV2485" s="58"/>
      <c r="IKW2485" s="58"/>
      <c r="IKX2485" s="60"/>
      <c r="IKY2485" s="60"/>
      <c r="IKZ2485" s="60"/>
      <c r="ILA2485" s="58"/>
      <c r="ILB2485" s="61"/>
      <c r="ILC2485" s="58"/>
      <c r="ILD2485" s="58"/>
      <c r="ILE2485" s="58"/>
      <c r="ILF2485" s="60"/>
      <c r="ILG2485" s="60"/>
      <c r="ILH2485" s="60"/>
      <c r="ILI2485" s="58"/>
      <c r="ILJ2485" s="61"/>
      <c r="ILK2485" s="58"/>
      <c r="ILL2485" s="58"/>
      <c r="ILM2485" s="58"/>
      <c r="ILN2485" s="60"/>
      <c r="ILO2485" s="60"/>
      <c r="ILP2485" s="60"/>
      <c r="ILQ2485" s="58"/>
      <c r="ILR2485" s="61"/>
      <c r="ILS2485" s="58"/>
      <c r="ILT2485" s="58"/>
      <c r="ILU2485" s="58"/>
      <c r="ILV2485" s="60"/>
      <c r="ILW2485" s="60"/>
      <c r="ILX2485" s="60"/>
      <c r="ILY2485" s="58"/>
      <c r="ILZ2485" s="61"/>
      <c r="IMA2485" s="58"/>
      <c r="IMB2485" s="58"/>
      <c r="IMC2485" s="58"/>
      <c r="IMD2485" s="60"/>
      <c r="IME2485" s="60"/>
      <c r="IMF2485" s="60"/>
      <c r="IMG2485" s="58"/>
      <c r="IMH2485" s="61"/>
      <c r="IMI2485" s="58"/>
      <c r="IMJ2485" s="58"/>
      <c r="IMK2485" s="58"/>
      <c r="IML2485" s="60"/>
      <c r="IMM2485" s="60"/>
      <c r="IMN2485" s="60"/>
      <c r="IMO2485" s="58"/>
      <c r="IMP2485" s="61"/>
      <c r="IMQ2485" s="58"/>
      <c r="IMR2485" s="58"/>
      <c r="IMS2485" s="58"/>
      <c r="IMT2485" s="60"/>
      <c r="IMU2485" s="60"/>
      <c r="IMV2485" s="60"/>
      <c r="IMW2485" s="58"/>
      <c r="IMX2485" s="61"/>
      <c r="IMY2485" s="58"/>
      <c r="IMZ2485" s="58"/>
      <c r="INA2485" s="58"/>
      <c r="INB2485" s="60"/>
      <c r="INC2485" s="60"/>
      <c r="IND2485" s="60"/>
      <c r="INE2485" s="58"/>
      <c r="INF2485" s="61"/>
      <c r="ING2485" s="58"/>
      <c r="INH2485" s="58"/>
      <c r="INI2485" s="58"/>
      <c r="INJ2485" s="60"/>
      <c r="INK2485" s="60"/>
      <c r="INL2485" s="60"/>
      <c r="INM2485" s="58"/>
      <c r="INN2485" s="61"/>
      <c r="INO2485" s="58"/>
      <c r="INP2485" s="58"/>
      <c r="INQ2485" s="58"/>
      <c r="INR2485" s="60"/>
      <c r="INS2485" s="60"/>
      <c r="INT2485" s="60"/>
      <c r="INU2485" s="58"/>
      <c r="INV2485" s="61"/>
      <c r="INW2485" s="58"/>
      <c r="INX2485" s="58"/>
      <c r="INY2485" s="58"/>
      <c r="INZ2485" s="60"/>
      <c r="IOA2485" s="60"/>
      <c r="IOB2485" s="60"/>
      <c r="IOC2485" s="58"/>
      <c r="IOD2485" s="61"/>
      <c r="IOE2485" s="58"/>
      <c r="IOF2485" s="58"/>
      <c r="IOG2485" s="58"/>
      <c r="IOH2485" s="60"/>
      <c r="IOI2485" s="60"/>
      <c r="IOJ2485" s="60"/>
      <c r="IOK2485" s="58"/>
      <c r="IOL2485" s="61"/>
      <c r="IOM2485" s="58"/>
      <c r="ION2485" s="58"/>
      <c r="IOO2485" s="58"/>
      <c r="IOP2485" s="60"/>
      <c r="IOQ2485" s="60"/>
      <c r="IOR2485" s="60"/>
      <c r="IOS2485" s="58"/>
      <c r="IOT2485" s="61"/>
      <c r="IOU2485" s="58"/>
      <c r="IOV2485" s="58"/>
      <c r="IOW2485" s="58"/>
      <c r="IOX2485" s="60"/>
      <c r="IOY2485" s="60"/>
      <c r="IOZ2485" s="60"/>
      <c r="IPA2485" s="58"/>
      <c r="IPB2485" s="61"/>
      <c r="IPC2485" s="58"/>
      <c r="IPD2485" s="58"/>
      <c r="IPE2485" s="58"/>
      <c r="IPF2485" s="60"/>
      <c r="IPG2485" s="60"/>
      <c r="IPH2485" s="60"/>
      <c r="IPI2485" s="58"/>
      <c r="IPJ2485" s="61"/>
      <c r="IPK2485" s="58"/>
      <c r="IPL2485" s="58"/>
      <c r="IPM2485" s="58"/>
      <c r="IPN2485" s="60"/>
      <c r="IPO2485" s="60"/>
      <c r="IPP2485" s="60"/>
      <c r="IPQ2485" s="58"/>
      <c r="IPR2485" s="61"/>
      <c r="IPS2485" s="58"/>
      <c r="IPT2485" s="58"/>
      <c r="IPU2485" s="58"/>
      <c r="IPV2485" s="60"/>
      <c r="IPW2485" s="60"/>
      <c r="IPX2485" s="60"/>
      <c r="IPY2485" s="58"/>
      <c r="IPZ2485" s="61"/>
      <c r="IQA2485" s="58"/>
      <c r="IQB2485" s="58"/>
      <c r="IQC2485" s="58"/>
      <c r="IQD2485" s="60"/>
      <c r="IQE2485" s="60"/>
      <c r="IQF2485" s="60"/>
      <c r="IQG2485" s="58"/>
      <c r="IQH2485" s="61"/>
      <c r="IQI2485" s="58"/>
      <c r="IQJ2485" s="58"/>
      <c r="IQK2485" s="58"/>
      <c r="IQL2485" s="60"/>
      <c r="IQM2485" s="60"/>
      <c r="IQN2485" s="60"/>
      <c r="IQO2485" s="58"/>
      <c r="IQP2485" s="61"/>
      <c r="IQQ2485" s="58"/>
      <c r="IQR2485" s="58"/>
      <c r="IQS2485" s="58"/>
      <c r="IQT2485" s="60"/>
      <c r="IQU2485" s="60"/>
      <c r="IQV2485" s="60"/>
      <c r="IQW2485" s="58"/>
      <c r="IQX2485" s="61"/>
      <c r="IQY2485" s="58"/>
      <c r="IQZ2485" s="58"/>
      <c r="IRA2485" s="58"/>
      <c r="IRB2485" s="60"/>
      <c r="IRC2485" s="60"/>
      <c r="IRD2485" s="60"/>
      <c r="IRE2485" s="58"/>
      <c r="IRF2485" s="61"/>
      <c r="IRG2485" s="58"/>
      <c r="IRH2485" s="58"/>
      <c r="IRI2485" s="58"/>
      <c r="IRJ2485" s="60"/>
      <c r="IRK2485" s="60"/>
      <c r="IRL2485" s="60"/>
      <c r="IRM2485" s="58"/>
      <c r="IRN2485" s="61"/>
      <c r="IRO2485" s="58"/>
      <c r="IRP2485" s="58"/>
      <c r="IRQ2485" s="58"/>
      <c r="IRR2485" s="60"/>
      <c r="IRS2485" s="60"/>
      <c r="IRT2485" s="60"/>
      <c r="IRU2485" s="58"/>
      <c r="IRV2485" s="61"/>
      <c r="IRW2485" s="58"/>
      <c r="IRX2485" s="58"/>
      <c r="IRY2485" s="58"/>
      <c r="IRZ2485" s="60"/>
      <c r="ISA2485" s="60"/>
      <c r="ISB2485" s="60"/>
      <c r="ISC2485" s="58"/>
      <c r="ISD2485" s="61"/>
      <c r="ISE2485" s="58"/>
      <c r="ISF2485" s="58"/>
      <c r="ISG2485" s="58"/>
      <c r="ISH2485" s="60"/>
      <c r="ISI2485" s="60"/>
      <c r="ISJ2485" s="60"/>
      <c r="ISK2485" s="58"/>
      <c r="ISL2485" s="61"/>
      <c r="ISM2485" s="58"/>
      <c r="ISN2485" s="58"/>
      <c r="ISO2485" s="58"/>
      <c r="ISP2485" s="60"/>
      <c r="ISQ2485" s="60"/>
      <c r="ISR2485" s="60"/>
      <c r="ISS2485" s="58"/>
      <c r="IST2485" s="61"/>
      <c r="ISU2485" s="58"/>
      <c r="ISV2485" s="58"/>
      <c r="ISW2485" s="58"/>
      <c r="ISX2485" s="60"/>
      <c r="ISY2485" s="60"/>
      <c r="ISZ2485" s="60"/>
      <c r="ITA2485" s="58"/>
      <c r="ITB2485" s="61"/>
      <c r="ITC2485" s="58"/>
      <c r="ITD2485" s="58"/>
      <c r="ITE2485" s="58"/>
      <c r="ITF2485" s="60"/>
      <c r="ITG2485" s="60"/>
      <c r="ITH2485" s="60"/>
      <c r="ITI2485" s="58"/>
      <c r="ITJ2485" s="61"/>
      <c r="ITK2485" s="58"/>
      <c r="ITL2485" s="58"/>
      <c r="ITM2485" s="58"/>
      <c r="ITN2485" s="60"/>
      <c r="ITO2485" s="60"/>
      <c r="ITP2485" s="60"/>
      <c r="ITQ2485" s="58"/>
      <c r="ITR2485" s="61"/>
      <c r="ITS2485" s="58"/>
      <c r="ITT2485" s="58"/>
      <c r="ITU2485" s="58"/>
      <c r="ITV2485" s="60"/>
      <c r="ITW2485" s="60"/>
      <c r="ITX2485" s="60"/>
      <c r="ITY2485" s="58"/>
      <c r="ITZ2485" s="61"/>
      <c r="IUA2485" s="58"/>
      <c r="IUB2485" s="58"/>
      <c r="IUC2485" s="58"/>
      <c r="IUD2485" s="60"/>
      <c r="IUE2485" s="60"/>
      <c r="IUF2485" s="60"/>
      <c r="IUG2485" s="58"/>
      <c r="IUH2485" s="61"/>
      <c r="IUI2485" s="58"/>
      <c r="IUJ2485" s="58"/>
      <c r="IUK2485" s="58"/>
      <c r="IUL2485" s="60"/>
      <c r="IUM2485" s="60"/>
      <c r="IUN2485" s="60"/>
      <c r="IUO2485" s="58"/>
      <c r="IUP2485" s="61"/>
      <c r="IUQ2485" s="58"/>
      <c r="IUR2485" s="58"/>
      <c r="IUS2485" s="58"/>
      <c r="IUT2485" s="60"/>
      <c r="IUU2485" s="60"/>
      <c r="IUV2485" s="60"/>
      <c r="IUW2485" s="58"/>
      <c r="IUX2485" s="61"/>
      <c r="IUY2485" s="58"/>
      <c r="IUZ2485" s="58"/>
      <c r="IVA2485" s="58"/>
      <c r="IVB2485" s="60"/>
      <c r="IVC2485" s="60"/>
      <c r="IVD2485" s="60"/>
      <c r="IVE2485" s="58"/>
      <c r="IVF2485" s="61"/>
      <c r="IVG2485" s="58"/>
      <c r="IVH2485" s="58"/>
      <c r="IVI2485" s="58"/>
      <c r="IVJ2485" s="60"/>
      <c r="IVK2485" s="60"/>
      <c r="IVL2485" s="60"/>
      <c r="IVM2485" s="58"/>
      <c r="IVN2485" s="61"/>
      <c r="IVO2485" s="58"/>
      <c r="IVP2485" s="58"/>
      <c r="IVQ2485" s="58"/>
      <c r="IVR2485" s="60"/>
      <c r="IVS2485" s="60"/>
      <c r="IVT2485" s="60"/>
      <c r="IVU2485" s="58"/>
      <c r="IVV2485" s="61"/>
      <c r="IVW2485" s="58"/>
      <c r="IVX2485" s="58"/>
      <c r="IVY2485" s="58"/>
      <c r="IVZ2485" s="60"/>
      <c r="IWA2485" s="60"/>
      <c r="IWB2485" s="60"/>
      <c r="IWC2485" s="58"/>
      <c r="IWD2485" s="61"/>
      <c r="IWE2485" s="58"/>
      <c r="IWF2485" s="58"/>
      <c r="IWG2485" s="58"/>
      <c r="IWH2485" s="60"/>
      <c r="IWI2485" s="60"/>
      <c r="IWJ2485" s="60"/>
      <c r="IWK2485" s="58"/>
      <c r="IWL2485" s="61"/>
      <c r="IWM2485" s="58"/>
      <c r="IWN2485" s="58"/>
      <c r="IWO2485" s="58"/>
      <c r="IWP2485" s="60"/>
      <c r="IWQ2485" s="60"/>
      <c r="IWR2485" s="60"/>
      <c r="IWS2485" s="58"/>
      <c r="IWT2485" s="61"/>
      <c r="IWU2485" s="58"/>
      <c r="IWV2485" s="58"/>
      <c r="IWW2485" s="58"/>
      <c r="IWX2485" s="60"/>
      <c r="IWY2485" s="60"/>
      <c r="IWZ2485" s="60"/>
      <c r="IXA2485" s="58"/>
      <c r="IXB2485" s="61"/>
      <c r="IXC2485" s="58"/>
      <c r="IXD2485" s="58"/>
      <c r="IXE2485" s="58"/>
      <c r="IXF2485" s="60"/>
      <c r="IXG2485" s="60"/>
      <c r="IXH2485" s="60"/>
      <c r="IXI2485" s="58"/>
      <c r="IXJ2485" s="61"/>
      <c r="IXK2485" s="58"/>
      <c r="IXL2485" s="58"/>
      <c r="IXM2485" s="58"/>
      <c r="IXN2485" s="60"/>
      <c r="IXO2485" s="60"/>
      <c r="IXP2485" s="60"/>
      <c r="IXQ2485" s="58"/>
      <c r="IXR2485" s="61"/>
      <c r="IXS2485" s="58"/>
      <c r="IXT2485" s="58"/>
      <c r="IXU2485" s="58"/>
      <c r="IXV2485" s="60"/>
      <c r="IXW2485" s="60"/>
      <c r="IXX2485" s="60"/>
      <c r="IXY2485" s="58"/>
      <c r="IXZ2485" s="61"/>
      <c r="IYA2485" s="58"/>
      <c r="IYB2485" s="58"/>
      <c r="IYC2485" s="58"/>
      <c r="IYD2485" s="60"/>
      <c r="IYE2485" s="60"/>
      <c r="IYF2485" s="60"/>
      <c r="IYG2485" s="58"/>
      <c r="IYH2485" s="61"/>
      <c r="IYI2485" s="58"/>
      <c r="IYJ2485" s="58"/>
      <c r="IYK2485" s="58"/>
      <c r="IYL2485" s="60"/>
      <c r="IYM2485" s="60"/>
      <c r="IYN2485" s="60"/>
      <c r="IYO2485" s="58"/>
      <c r="IYP2485" s="61"/>
      <c r="IYQ2485" s="58"/>
      <c r="IYR2485" s="58"/>
      <c r="IYS2485" s="58"/>
      <c r="IYT2485" s="60"/>
      <c r="IYU2485" s="60"/>
      <c r="IYV2485" s="60"/>
      <c r="IYW2485" s="58"/>
      <c r="IYX2485" s="61"/>
      <c r="IYY2485" s="58"/>
      <c r="IYZ2485" s="58"/>
      <c r="IZA2485" s="58"/>
      <c r="IZB2485" s="60"/>
      <c r="IZC2485" s="60"/>
      <c r="IZD2485" s="60"/>
      <c r="IZE2485" s="58"/>
      <c r="IZF2485" s="61"/>
      <c r="IZG2485" s="58"/>
      <c r="IZH2485" s="58"/>
      <c r="IZI2485" s="58"/>
      <c r="IZJ2485" s="60"/>
      <c r="IZK2485" s="60"/>
      <c r="IZL2485" s="60"/>
      <c r="IZM2485" s="58"/>
      <c r="IZN2485" s="61"/>
      <c r="IZO2485" s="58"/>
      <c r="IZP2485" s="58"/>
      <c r="IZQ2485" s="58"/>
      <c r="IZR2485" s="60"/>
      <c r="IZS2485" s="60"/>
      <c r="IZT2485" s="60"/>
      <c r="IZU2485" s="58"/>
      <c r="IZV2485" s="61"/>
      <c r="IZW2485" s="58"/>
      <c r="IZX2485" s="58"/>
      <c r="IZY2485" s="58"/>
      <c r="IZZ2485" s="60"/>
      <c r="JAA2485" s="60"/>
      <c r="JAB2485" s="60"/>
      <c r="JAC2485" s="58"/>
      <c r="JAD2485" s="61"/>
      <c r="JAE2485" s="58"/>
      <c r="JAF2485" s="58"/>
      <c r="JAG2485" s="58"/>
      <c r="JAH2485" s="60"/>
      <c r="JAI2485" s="60"/>
      <c r="JAJ2485" s="60"/>
      <c r="JAK2485" s="58"/>
      <c r="JAL2485" s="61"/>
      <c r="JAM2485" s="58"/>
      <c r="JAN2485" s="58"/>
      <c r="JAO2485" s="58"/>
      <c r="JAP2485" s="60"/>
      <c r="JAQ2485" s="60"/>
      <c r="JAR2485" s="60"/>
      <c r="JAS2485" s="58"/>
      <c r="JAT2485" s="61"/>
      <c r="JAU2485" s="58"/>
      <c r="JAV2485" s="58"/>
      <c r="JAW2485" s="58"/>
      <c r="JAX2485" s="60"/>
      <c r="JAY2485" s="60"/>
      <c r="JAZ2485" s="60"/>
      <c r="JBA2485" s="58"/>
      <c r="JBB2485" s="61"/>
      <c r="JBC2485" s="58"/>
      <c r="JBD2485" s="58"/>
      <c r="JBE2485" s="58"/>
      <c r="JBF2485" s="60"/>
      <c r="JBG2485" s="60"/>
      <c r="JBH2485" s="60"/>
      <c r="JBI2485" s="58"/>
      <c r="JBJ2485" s="61"/>
      <c r="JBK2485" s="58"/>
      <c r="JBL2485" s="58"/>
      <c r="JBM2485" s="58"/>
      <c r="JBN2485" s="60"/>
      <c r="JBO2485" s="60"/>
      <c r="JBP2485" s="60"/>
      <c r="JBQ2485" s="58"/>
      <c r="JBR2485" s="61"/>
      <c r="JBS2485" s="58"/>
      <c r="JBT2485" s="58"/>
      <c r="JBU2485" s="58"/>
      <c r="JBV2485" s="60"/>
      <c r="JBW2485" s="60"/>
      <c r="JBX2485" s="60"/>
      <c r="JBY2485" s="58"/>
      <c r="JBZ2485" s="61"/>
      <c r="JCA2485" s="58"/>
      <c r="JCB2485" s="58"/>
      <c r="JCC2485" s="58"/>
      <c r="JCD2485" s="60"/>
      <c r="JCE2485" s="60"/>
      <c r="JCF2485" s="60"/>
      <c r="JCG2485" s="58"/>
      <c r="JCH2485" s="61"/>
      <c r="JCI2485" s="58"/>
      <c r="JCJ2485" s="58"/>
      <c r="JCK2485" s="58"/>
      <c r="JCL2485" s="60"/>
      <c r="JCM2485" s="60"/>
      <c r="JCN2485" s="60"/>
      <c r="JCO2485" s="58"/>
      <c r="JCP2485" s="61"/>
      <c r="JCQ2485" s="58"/>
      <c r="JCR2485" s="58"/>
      <c r="JCS2485" s="58"/>
      <c r="JCT2485" s="60"/>
      <c r="JCU2485" s="60"/>
      <c r="JCV2485" s="60"/>
      <c r="JCW2485" s="58"/>
      <c r="JCX2485" s="61"/>
      <c r="JCY2485" s="58"/>
      <c r="JCZ2485" s="58"/>
      <c r="JDA2485" s="58"/>
      <c r="JDB2485" s="60"/>
      <c r="JDC2485" s="60"/>
      <c r="JDD2485" s="60"/>
      <c r="JDE2485" s="58"/>
      <c r="JDF2485" s="61"/>
      <c r="JDG2485" s="58"/>
      <c r="JDH2485" s="58"/>
      <c r="JDI2485" s="58"/>
      <c r="JDJ2485" s="60"/>
      <c r="JDK2485" s="60"/>
      <c r="JDL2485" s="60"/>
      <c r="JDM2485" s="58"/>
      <c r="JDN2485" s="61"/>
      <c r="JDO2485" s="58"/>
      <c r="JDP2485" s="58"/>
      <c r="JDQ2485" s="58"/>
      <c r="JDR2485" s="60"/>
      <c r="JDS2485" s="60"/>
      <c r="JDT2485" s="60"/>
      <c r="JDU2485" s="58"/>
      <c r="JDV2485" s="61"/>
      <c r="JDW2485" s="58"/>
      <c r="JDX2485" s="58"/>
      <c r="JDY2485" s="58"/>
      <c r="JDZ2485" s="60"/>
      <c r="JEA2485" s="60"/>
      <c r="JEB2485" s="60"/>
      <c r="JEC2485" s="58"/>
      <c r="JED2485" s="61"/>
      <c r="JEE2485" s="58"/>
      <c r="JEF2485" s="58"/>
      <c r="JEG2485" s="58"/>
      <c r="JEH2485" s="60"/>
      <c r="JEI2485" s="60"/>
      <c r="JEJ2485" s="60"/>
      <c r="JEK2485" s="58"/>
      <c r="JEL2485" s="61"/>
      <c r="JEM2485" s="58"/>
      <c r="JEN2485" s="58"/>
      <c r="JEO2485" s="58"/>
      <c r="JEP2485" s="60"/>
      <c r="JEQ2485" s="60"/>
      <c r="JER2485" s="60"/>
      <c r="JES2485" s="58"/>
      <c r="JET2485" s="61"/>
      <c r="JEU2485" s="58"/>
      <c r="JEV2485" s="58"/>
      <c r="JEW2485" s="58"/>
      <c r="JEX2485" s="60"/>
      <c r="JEY2485" s="60"/>
      <c r="JEZ2485" s="60"/>
      <c r="JFA2485" s="58"/>
      <c r="JFB2485" s="61"/>
      <c r="JFC2485" s="58"/>
      <c r="JFD2485" s="58"/>
      <c r="JFE2485" s="58"/>
      <c r="JFF2485" s="60"/>
      <c r="JFG2485" s="60"/>
      <c r="JFH2485" s="60"/>
      <c r="JFI2485" s="58"/>
      <c r="JFJ2485" s="61"/>
      <c r="JFK2485" s="58"/>
      <c r="JFL2485" s="58"/>
      <c r="JFM2485" s="58"/>
      <c r="JFN2485" s="60"/>
      <c r="JFO2485" s="60"/>
      <c r="JFP2485" s="60"/>
      <c r="JFQ2485" s="58"/>
      <c r="JFR2485" s="61"/>
      <c r="JFS2485" s="58"/>
      <c r="JFT2485" s="58"/>
      <c r="JFU2485" s="58"/>
      <c r="JFV2485" s="60"/>
      <c r="JFW2485" s="60"/>
      <c r="JFX2485" s="60"/>
      <c r="JFY2485" s="58"/>
      <c r="JFZ2485" s="61"/>
      <c r="JGA2485" s="58"/>
      <c r="JGB2485" s="58"/>
      <c r="JGC2485" s="58"/>
      <c r="JGD2485" s="60"/>
      <c r="JGE2485" s="60"/>
      <c r="JGF2485" s="60"/>
      <c r="JGG2485" s="58"/>
      <c r="JGH2485" s="61"/>
      <c r="JGI2485" s="58"/>
      <c r="JGJ2485" s="58"/>
      <c r="JGK2485" s="58"/>
      <c r="JGL2485" s="60"/>
      <c r="JGM2485" s="60"/>
      <c r="JGN2485" s="60"/>
      <c r="JGO2485" s="58"/>
      <c r="JGP2485" s="61"/>
      <c r="JGQ2485" s="58"/>
      <c r="JGR2485" s="58"/>
      <c r="JGS2485" s="58"/>
      <c r="JGT2485" s="60"/>
      <c r="JGU2485" s="60"/>
      <c r="JGV2485" s="60"/>
      <c r="JGW2485" s="58"/>
      <c r="JGX2485" s="61"/>
      <c r="JGY2485" s="58"/>
      <c r="JGZ2485" s="58"/>
      <c r="JHA2485" s="58"/>
      <c r="JHB2485" s="60"/>
      <c r="JHC2485" s="60"/>
      <c r="JHD2485" s="60"/>
      <c r="JHE2485" s="58"/>
      <c r="JHF2485" s="61"/>
      <c r="JHG2485" s="58"/>
      <c r="JHH2485" s="58"/>
      <c r="JHI2485" s="58"/>
      <c r="JHJ2485" s="60"/>
      <c r="JHK2485" s="60"/>
      <c r="JHL2485" s="60"/>
      <c r="JHM2485" s="58"/>
      <c r="JHN2485" s="61"/>
      <c r="JHO2485" s="58"/>
      <c r="JHP2485" s="58"/>
      <c r="JHQ2485" s="58"/>
      <c r="JHR2485" s="60"/>
      <c r="JHS2485" s="60"/>
      <c r="JHT2485" s="60"/>
      <c r="JHU2485" s="58"/>
      <c r="JHV2485" s="61"/>
      <c r="JHW2485" s="58"/>
      <c r="JHX2485" s="58"/>
      <c r="JHY2485" s="58"/>
      <c r="JHZ2485" s="60"/>
      <c r="JIA2485" s="60"/>
      <c r="JIB2485" s="60"/>
      <c r="JIC2485" s="58"/>
      <c r="JID2485" s="61"/>
      <c r="JIE2485" s="58"/>
      <c r="JIF2485" s="58"/>
      <c r="JIG2485" s="58"/>
      <c r="JIH2485" s="60"/>
      <c r="JII2485" s="60"/>
      <c r="JIJ2485" s="60"/>
      <c r="JIK2485" s="58"/>
      <c r="JIL2485" s="61"/>
      <c r="JIM2485" s="58"/>
      <c r="JIN2485" s="58"/>
      <c r="JIO2485" s="58"/>
      <c r="JIP2485" s="60"/>
      <c r="JIQ2485" s="60"/>
      <c r="JIR2485" s="60"/>
      <c r="JIS2485" s="58"/>
      <c r="JIT2485" s="61"/>
      <c r="JIU2485" s="58"/>
      <c r="JIV2485" s="58"/>
      <c r="JIW2485" s="58"/>
      <c r="JIX2485" s="60"/>
      <c r="JIY2485" s="60"/>
      <c r="JIZ2485" s="60"/>
      <c r="JJA2485" s="58"/>
      <c r="JJB2485" s="61"/>
      <c r="JJC2485" s="58"/>
      <c r="JJD2485" s="58"/>
      <c r="JJE2485" s="58"/>
      <c r="JJF2485" s="60"/>
      <c r="JJG2485" s="60"/>
      <c r="JJH2485" s="60"/>
      <c r="JJI2485" s="58"/>
      <c r="JJJ2485" s="61"/>
      <c r="JJK2485" s="58"/>
      <c r="JJL2485" s="58"/>
      <c r="JJM2485" s="58"/>
      <c r="JJN2485" s="60"/>
      <c r="JJO2485" s="60"/>
      <c r="JJP2485" s="60"/>
      <c r="JJQ2485" s="58"/>
      <c r="JJR2485" s="61"/>
      <c r="JJS2485" s="58"/>
      <c r="JJT2485" s="58"/>
      <c r="JJU2485" s="58"/>
      <c r="JJV2485" s="60"/>
      <c r="JJW2485" s="60"/>
      <c r="JJX2485" s="60"/>
      <c r="JJY2485" s="58"/>
      <c r="JJZ2485" s="61"/>
      <c r="JKA2485" s="58"/>
      <c r="JKB2485" s="58"/>
      <c r="JKC2485" s="58"/>
      <c r="JKD2485" s="60"/>
      <c r="JKE2485" s="60"/>
      <c r="JKF2485" s="60"/>
      <c r="JKG2485" s="58"/>
      <c r="JKH2485" s="61"/>
      <c r="JKI2485" s="58"/>
      <c r="JKJ2485" s="58"/>
      <c r="JKK2485" s="58"/>
      <c r="JKL2485" s="60"/>
      <c r="JKM2485" s="60"/>
      <c r="JKN2485" s="60"/>
      <c r="JKO2485" s="58"/>
      <c r="JKP2485" s="61"/>
      <c r="JKQ2485" s="58"/>
      <c r="JKR2485" s="58"/>
      <c r="JKS2485" s="58"/>
      <c r="JKT2485" s="60"/>
      <c r="JKU2485" s="60"/>
      <c r="JKV2485" s="60"/>
      <c r="JKW2485" s="58"/>
      <c r="JKX2485" s="61"/>
      <c r="JKY2485" s="58"/>
      <c r="JKZ2485" s="58"/>
      <c r="JLA2485" s="58"/>
      <c r="JLB2485" s="60"/>
      <c r="JLC2485" s="60"/>
      <c r="JLD2485" s="60"/>
      <c r="JLE2485" s="58"/>
      <c r="JLF2485" s="61"/>
      <c r="JLG2485" s="58"/>
      <c r="JLH2485" s="58"/>
      <c r="JLI2485" s="58"/>
      <c r="JLJ2485" s="60"/>
      <c r="JLK2485" s="60"/>
      <c r="JLL2485" s="60"/>
      <c r="JLM2485" s="58"/>
      <c r="JLN2485" s="61"/>
      <c r="JLO2485" s="58"/>
      <c r="JLP2485" s="58"/>
      <c r="JLQ2485" s="58"/>
      <c r="JLR2485" s="60"/>
      <c r="JLS2485" s="60"/>
      <c r="JLT2485" s="60"/>
      <c r="JLU2485" s="58"/>
      <c r="JLV2485" s="61"/>
      <c r="JLW2485" s="58"/>
      <c r="JLX2485" s="58"/>
      <c r="JLY2485" s="58"/>
      <c r="JLZ2485" s="60"/>
      <c r="JMA2485" s="60"/>
      <c r="JMB2485" s="60"/>
      <c r="JMC2485" s="58"/>
      <c r="JMD2485" s="61"/>
      <c r="JME2485" s="58"/>
      <c r="JMF2485" s="58"/>
      <c r="JMG2485" s="58"/>
      <c r="JMH2485" s="60"/>
      <c r="JMI2485" s="60"/>
      <c r="JMJ2485" s="60"/>
      <c r="JMK2485" s="58"/>
      <c r="JML2485" s="61"/>
      <c r="JMM2485" s="58"/>
      <c r="JMN2485" s="58"/>
      <c r="JMO2485" s="58"/>
      <c r="JMP2485" s="60"/>
      <c r="JMQ2485" s="60"/>
      <c r="JMR2485" s="60"/>
      <c r="JMS2485" s="58"/>
      <c r="JMT2485" s="61"/>
      <c r="JMU2485" s="58"/>
      <c r="JMV2485" s="58"/>
      <c r="JMW2485" s="58"/>
      <c r="JMX2485" s="60"/>
      <c r="JMY2485" s="60"/>
      <c r="JMZ2485" s="60"/>
      <c r="JNA2485" s="58"/>
      <c r="JNB2485" s="61"/>
      <c r="JNC2485" s="58"/>
      <c r="JND2485" s="58"/>
      <c r="JNE2485" s="58"/>
      <c r="JNF2485" s="60"/>
      <c r="JNG2485" s="60"/>
      <c r="JNH2485" s="60"/>
      <c r="JNI2485" s="58"/>
      <c r="JNJ2485" s="61"/>
      <c r="JNK2485" s="58"/>
      <c r="JNL2485" s="58"/>
      <c r="JNM2485" s="58"/>
      <c r="JNN2485" s="60"/>
      <c r="JNO2485" s="60"/>
      <c r="JNP2485" s="60"/>
      <c r="JNQ2485" s="58"/>
      <c r="JNR2485" s="61"/>
      <c r="JNS2485" s="58"/>
      <c r="JNT2485" s="58"/>
      <c r="JNU2485" s="58"/>
      <c r="JNV2485" s="60"/>
      <c r="JNW2485" s="60"/>
      <c r="JNX2485" s="60"/>
      <c r="JNY2485" s="58"/>
      <c r="JNZ2485" s="61"/>
      <c r="JOA2485" s="58"/>
      <c r="JOB2485" s="58"/>
      <c r="JOC2485" s="58"/>
      <c r="JOD2485" s="60"/>
      <c r="JOE2485" s="60"/>
      <c r="JOF2485" s="60"/>
      <c r="JOG2485" s="58"/>
      <c r="JOH2485" s="61"/>
      <c r="JOI2485" s="58"/>
      <c r="JOJ2485" s="58"/>
      <c r="JOK2485" s="58"/>
      <c r="JOL2485" s="60"/>
      <c r="JOM2485" s="60"/>
      <c r="JON2485" s="60"/>
      <c r="JOO2485" s="58"/>
      <c r="JOP2485" s="61"/>
      <c r="JOQ2485" s="58"/>
      <c r="JOR2485" s="58"/>
      <c r="JOS2485" s="58"/>
      <c r="JOT2485" s="60"/>
      <c r="JOU2485" s="60"/>
      <c r="JOV2485" s="60"/>
      <c r="JOW2485" s="58"/>
      <c r="JOX2485" s="61"/>
      <c r="JOY2485" s="58"/>
      <c r="JOZ2485" s="58"/>
      <c r="JPA2485" s="58"/>
      <c r="JPB2485" s="60"/>
      <c r="JPC2485" s="60"/>
      <c r="JPD2485" s="60"/>
      <c r="JPE2485" s="58"/>
      <c r="JPF2485" s="61"/>
      <c r="JPG2485" s="58"/>
      <c r="JPH2485" s="58"/>
      <c r="JPI2485" s="58"/>
      <c r="JPJ2485" s="60"/>
      <c r="JPK2485" s="60"/>
      <c r="JPL2485" s="60"/>
      <c r="JPM2485" s="58"/>
      <c r="JPN2485" s="61"/>
      <c r="JPO2485" s="58"/>
      <c r="JPP2485" s="58"/>
      <c r="JPQ2485" s="58"/>
      <c r="JPR2485" s="60"/>
      <c r="JPS2485" s="60"/>
      <c r="JPT2485" s="60"/>
      <c r="JPU2485" s="58"/>
      <c r="JPV2485" s="61"/>
      <c r="JPW2485" s="58"/>
      <c r="JPX2485" s="58"/>
      <c r="JPY2485" s="58"/>
      <c r="JPZ2485" s="60"/>
      <c r="JQA2485" s="60"/>
      <c r="JQB2485" s="60"/>
      <c r="JQC2485" s="58"/>
      <c r="JQD2485" s="61"/>
      <c r="JQE2485" s="58"/>
      <c r="JQF2485" s="58"/>
      <c r="JQG2485" s="58"/>
      <c r="JQH2485" s="60"/>
      <c r="JQI2485" s="60"/>
      <c r="JQJ2485" s="60"/>
      <c r="JQK2485" s="58"/>
      <c r="JQL2485" s="61"/>
      <c r="JQM2485" s="58"/>
      <c r="JQN2485" s="58"/>
      <c r="JQO2485" s="58"/>
      <c r="JQP2485" s="60"/>
      <c r="JQQ2485" s="60"/>
      <c r="JQR2485" s="60"/>
      <c r="JQS2485" s="58"/>
      <c r="JQT2485" s="61"/>
      <c r="JQU2485" s="58"/>
      <c r="JQV2485" s="58"/>
      <c r="JQW2485" s="58"/>
      <c r="JQX2485" s="60"/>
      <c r="JQY2485" s="60"/>
      <c r="JQZ2485" s="60"/>
      <c r="JRA2485" s="58"/>
      <c r="JRB2485" s="61"/>
      <c r="JRC2485" s="58"/>
      <c r="JRD2485" s="58"/>
      <c r="JRE2485" s="58"/>
      <c r="JRF2485" s="60"/>
      <c r="JRG2485" s="60"/>
      <c r="JRH2485" s="60"/>
      <c r="JRI2485" s="58"/>
      <c r="JRJ2485" s="61"/>
      <c r="JRK2485" s="58"/>
      <c r="JRL2485" s="58"/>
      <c r="JRM2485" s="58"/>
      <c r="JRN2485" s="60"/>
      <c r="JRO2485" s="60"/>
      <c r="JRP2485" s="60"/>
      <c r="JRQ2485" s="58"/>
      <c r="JRR2485" s="61"/>
      <c r="JRS2485" s="58"/>
      <c r="JRT2485" s="58"/>
      <c r="JRU2485" s="58"/>
      <c r="JRV2485" s="60"/>
      <c r="JRW2485" s="60"/>
      <c r="JRX2485" s="60"/>
      <c r="JRY2485" s="58"/>
      <c r="JRZ2485" s="61"/>
      <c r="JSA2485" s="58"/>
      <c r="JSB2485" s="58"/>
      <c r="JSC2485" s="58"/>
      <c r="JSD2485" s="60"/>
      <c r="JSE2485" s="60"/>
      <c r="JSF2485" s="60"/>
      <c r="JSG2485" s="58"/>
      <c r="JSH2485" s="61"/>
      <c r="JSI2485" s="58"/>
      <c r="JSJ2485" s="58"/>
      <c r="JSK2485" s="58"/>
      <c r="JSL2485" s="60"/>
      <c r="JSM2485" s="60"/>
      <c r="JSN2485" s="60"/>
      <c r="JSO2485" s="58"/>
      <c r="JSP2485" s="61"/>
      <c r="JSQ2485" s="58"/>
      <c r="JSR2485" s="58"/>
      <c r="JSS2485" s="58"/>
      <c r="JST2485" s="60"/>
      <c r="JSU2485" s="60"/>
      <c r="JSV2485" s="60"/>
      <c r="JSW2485" s="58"/>
      <c r="JSX2485" s="61"/>
      <c r="JSY2485" s="58"/>
      <c r="JSZ2485" s="58"/>
      <c r="JTA2485" s="58"/>
      <c r="JTB2485" s="60"/>
      <c r="JTC2485" s="60"/>
      <c r="JTD2485" s="60"/>
      <c r="JTE2485" s="58"/>
      <c r="JTF2485" s="61"/>
      <c r="JTG2485" s="58"/>
      <c r="JTH2485" s="58"/>
      <c r="JTI2485" s="58"/>
      <c r="JTJ2485" s="60"/>
      <c r="JTK2485" s="60"/>
      <c r="JTL2485" s="60"/>
      <c r="JTM2485" s="58"/>
      <c r="JTN2485" s="61"/>
      <c r="JTO2485" s="58"/>
      <c r="JTP2485" s="58"/>
      <c r="JTQ2485" s="58"/>
      <c r="JTR2485" s="60"/>
      <c r="JTS2485" s="60"/>
      <c r="JTT2485" s="60"/>
      <c r="JTU2485" s="58"/>
      <c r="JTV2485" s="61"/>
      <c r="JTW2485" s="58"/>
      <c r="JTX2485" s="58"/>
      <c r="JTY2485" s="58"/>
      <c r="JTZ2485" s="60"/>
      <c r="JUA2485" s="60"/>
      <c r="JUB2485" s="60"/>
      <c r="JUC2485" s="58"/>
      <c r="JUD2485" s="61"/>
      <c r="JUE2485" s="58"/>
      <c r="JUF2485" s="58"/>
      <c r="JUG2485" s="58"/>
      <c r="JUH2485" s="60"/>
      <c r="JUI2485" s="60"/>
      <c r="JUJ2485" s="60"/>
      <c r="JUK2485" s="58"/>
      <c r="JUL2485" s="61"/>
      <c r="JUM2485" s="58"/>
      <c r="JUN2485" s="58"/>
      <c r="JUO2485" s="58"/>
      <c r="JUP2485" s="60"/>
      <c r="JUQ2485" s="60"/>
      <c r="JUR2485" s="60"/>
      <c r="JUS2485" s="58"/>
      <c r="JUT2485" s="61"/>
      <c r="JUU2485" s="58"/>
      <c r="JUV2485" s="58"/>
      <c r="JUW2485" s="58"/>
      <c r="JUX2485" s="60"/>
      <c r="JUY2485" s="60"/>
      <c r="JUZ2485" s="60"/>
      <c r="JVA2485" s="58"/>
      <c r="JVB2485" s="61"/>
      <c r="JVC2485" s="58"/>
      <c r="JVD2485" s="58"/>
      <c r="JVE2485" s="58"/>
      <c r="JVF2485" s="60"/>
      <c r="JVG2485" s="60"/>
      <c r="JVH2485" s="60"/>
      <c r="JVI2485" s="58"/>
      <c r="JVJ2485" s="61"/>
      <c r="JVK2485" s="58"/>
      <c r="JVL2485" s="58"/>
      <c r="JVM2485" s="58"/>
      <c r="JVN2485" s="60"/>
      <c r="JVO2485" s="60"/>
      <c r="JVP2485" s="60"/>
      <c r="JVQ2485" s="58"/>
      <c r="JVR2485" s="61"/>
      <c r="JVS2485" s="58"/>
      <c r="JVT2485" s="58"/>
      <c r="JVU2485" s="58"/>
      <c r="JVV2485" s="60"/>
      <c r="JVW2485" s="60"/>
      <c r="JVX2485" s="60"/>
      <c r="JVY2485" s="58"/>
      <c r="JVZ2485" s="61"/>
      <c r="JWA2485" s="58"/>
      <c r="JWB2485" s="58"/>
      <c r="JWC2485" s="58"/>
      <c r="JWD2485" s="60"/>
      <c r="JWE2485" s="60"/>
      <c r="JWF2485" s="60"/>
      <c r="JWG2485" s="58"/>
      <c r="JWH2485" s="61"/>
      <c r="JWI2485" s="58"/>
      <c r="JWJ2485" s="58"/>
      <c r="JWK2485" s="58"/>
      <c r="JWL2485" s="60"/>
      <c r="JWM2485" s="60"/>
      <c r="JWN2485" s="60"/>
      <c r="JWO2485" s="58"/>
      <c r="JWP2485" s="61"/>
      <c r="JWQ2485" s="58"/>
      <c r="JWR2485" s="58"/>
      <c r="JWS2485" s="58"/>
      <c r="JWT2485" s="60"/>
      <c r="JWU2485" s="60"/>
      <c r="JWV2485" s="60"/>
      <c r="JWW2485" s="58"/>
      <c r="JWX2485" s="61"/>
      <c r="JWY2485" s="58"/>
      <c r="JWZ2485" s="58"/>
      <c r="JXA2485" s="58"/>
      <c r="JXB2485" s="60"/>
      <c r="JXC2485" s="60"/>
      <c r="JXD2485" s="60"/>
      <c r="JXE2485" s="58"/>
      <c r="JXF2485" s="61"/>
      <c r="JXG2485" s="58"/>
      <c r="JXH2485" s="58"/>
      <c r="JXI2485" s="58"/>
      <c r="JXJ2485" s="60"/>
      <c r="JXK2485" s="60"/>
      <c r="JXL2485" s="60"/>
      <c r="JXM2485" s="58"/>
      <c r="JXN2485" s="61"/>
      <c r="JXO2485" s="58"/>
      <c r="JXP2485" s="58"/>
      <c r="JXQ2485" s="58"/>
      <c r="JXR2485" s="60"/>
      <c r="JXS2485" s="60"/>
      <c r="JXT2485" s="60"/>
      <c r="JXU2485" s="58"/>
      <c r="JXV2485" s="61"/>
      <c r="JXW2485" s="58"/>
      <c r="JXX2485" s="58"/>
      <c r="JXY2485" s="58"/>
      <c r="JXZ2485" s="60"/>
      <c r="JYA2485" s="60"/>
      <c r="JYB2485" s="60"/>
      <c r="JYC2485" s="58"/>
      <c r="JYD2485" s="61"/>
      <c r="JYE2485" s="58"/>
      <c r="JYF2485" s="58"/>
      <c r="JYG2485" s="58"/>
      <c r="JYH2485" s="60"/>
      <c r="JYI2485" s="60"/>
      <c r="JYJ2485" s="60"/>
      <c r="JYK2485" s="58"/>
      <c r="JYL2485" s="61"/>
      <c r="JYM2485" s="58"/>
      <c r="JYN2485" s="58"/>
      <c r="JYO2485" s="58"/>
      <c r="JYP2485" s="60"/>
      <c r="JYQ2485" s="60"/>
      <c r="JYR2485" s="60"/>
      <c r="JYS2485" s="58"/>
      <c r="JYT2485" s="61"/>
      <c r="JYU2485" s="58"/>
      <c r="JYV2485" s="58"/>
      <c r="JYW2485" s="58"/>
      <c r="JYX2485" s="60"/>
      <c r="JYY2485" s="60"/>
      <c r="JYZ2485" s="60"/>
      <c r="JZA2485" s="58"/>
      <c r="JZB2485" s="61"/>
      <c r="JZC2485" s="58"/>
      <c r="JZD2485" s="58"/>
      <c r="JZE2485" s="58"/>
      <c r="JZF2485" s="60"/>
      <c r="JZG2485" s="60"/>
      <c r="JZH2485" s="60"/>
      <c r="JZI2485" s="58"/>
      <c r="JZJ2485" s="61"/>
      <c r="JZK2485" s="58"/>
      <c r="JZL2485" s="58"/>
      <c r="JZM2485" s="58"/>
      <c r="JZN2485" s="60"/>
      <c r="JZO2485" s="60"/>
      <c r="JZP2485" s="60"/>
      <c r="JZQ2485" s="58"/>
      <c r="JZR2485" s="61"/>
      <c r="JZS2485" s="58"/>
      <c r="JZT2485" s="58"/>
      <c r="JZU2485" s="58"/>
      <c r="JZV2485" s="60"/>
      <c r="JZW2485" s="60"/>
      <c r="JZX2485" s="60"/>
      <c r="JZY2485" s="58"/>
      <c r="JZZ2485" s="61"/>
      <c r="KAA2485" s="58"/>
      <c r="KAB2485" s="58"/>
      <c r="KAC2485" s="58"/>
      <c r="KAD2485" s="60"/>
      <c r="KAE2485" s="60"/>
      <c r="KAF2485" s="60"/>
      <c r="KAG2485" s="58"/>
      <c r="KAH2485" s="61"/>
      <c r="KAI2485" s="58"/>
      <c r="KAJ2485" s="58"/>
      <c r="KAK2485" s="58"/>
      <c r="KAL2485" s="60"/>
      <c r="KAM2485" s="60"/>
      <c r="KAN2485" s="60"/>
      <c r="KAO2485" s="58"/>
      <c r="KAP2485" s="61"/>
      <c r="KAQ2485" s="58"/>
      <c r="KAR2485" s="58"/>
      <c r="KAS2485" s="58"/>
      <c r="KAT2485" s="60"/>
      <c r="KAU2485" s="60"/>
      <c r="KAV2485" s="60"/>
      <c r="KAW2485" s="58"/>
      <c r="KAX2485" s="61"/>
      <c r="KAY2485" s="58"/>
      <c r="KAZ2485" s="58"/>
      <c r="KBA2485" s="58"/>
      <c r="KBB2485" s="60"/>
      <c r="KBC2485" s="60"/>
      <c r="KBD2485" s="60"/>
      <c r="KBE2485" s="58"/>
      <c r="KBF2485" s="61"/>
      <c r="KBG2485" s="58"/>
      <c r="KBH2485" s="58"/>
      <c r="KBI2485" s="58"/>
      <c r="KBJ2485" s="60"/>
      <c r="KBK2485" s="60"/>
      <c r="KBL2485" s="60"/>
      <c r="KBM2485" s="58"/>
      <c r="KBN2485" s="61"/>
      <c r="KBO2485" s="58"/>
      <c r="KBP2485" s="58"/>
      <c r="KBQ2485" s="58"/>
      <c r="KBR2485" s="60"/>
      <c r="KBS2485" s="60"/>
      <c r="KBT2485" s="60"/>
      <c r="KBU2485" s="58"/>
      <c r="KBV2485" s="61"/>
      <c r="KBW2485" s="58"/>
      <c r="KBX2485" s="58"/>
      <c r="KBY2485" s="58"/>
      <c r="KBZ2485" s="60"/>
      <c r="KCA2485" s="60"/>
      <c r="KCB2485" s="60"/>
      <c r="KCC2485" s="58"/>
      <c r="KCD2485" s="61"/>
      <c r="KCE2485" s="58"/>
      <c r="KCF2485" s="58"/>
      <c r="KCG2485" s="58"/>
      <c r="KCH2485" s="60"/>
      <c r="KCI2485" s="60"/>
      <c r="KCJ2485" s="60"/>
      <c r="KCK2485" s="58"/>
      <c r="KCL2485" s="61"/>
      <c r="KCM2485" s="58"/>
      <c r="KCN2485" s="58"/>
      <c r="KCO2485" s="58"/>
      <c r="KCP2485" s="60"/>
      <c r="KCQ2485" s="60"/>
      <c r="KCR2485" s="60"/>
      <c r="KCS2485" s="58"/>
      <c r="KCT2485" s="61"/>
      <c r="KCU2485" s="58"/>
      <c r="KCV2485" s="58"/>
      <c r="KCW2485" s="58"/>
      <c r="KCX2485" s="60"/>
      <c r="KCY2485" s="60"/>
      <c r="KCZ2485" s="60"/>
      <c r="KDA2485" s="58"/>
      <c r="KDB2485" s="61"/>
      <c r="KDC2485" s="58"/>
      <c r="KDD2485" s="58"/>
      <c r="KDE2485" s="58"/>
      <c r="KDF2485" s="60"/>
      <c r="KDG2485" s="60"/>
      <c r="KDH2485" s="60"/>
      <c r="KDI2485" s="58"/>
      <c r="KDJ2485" s="61"/>
      <c r="KDK2485" s="58"/>
      <c r="KDL2485" s="58"/>
      <c r="KDM2485" s="58"/>
      <c r="KDN2485" s="60"/>
      <c r="KDO2485" s="60"/>
      <c r="KDP2485" s="60"/>
      <c r="KDQ2485" s="58"/>
      <c r="KDR2485" s="61"/>
      <c r="KDS2485" s="58"/>
      <c r="KDT2485" s="58"/>
      <c r="KDU2485" s="58"/>
      <c r="KDV2485" s="60"/>
      <c r="KDW2485" s="60"/>
      <c r="KDX2485" s="60"/>
      <c r="KDY2485" s="58"/>
      <c r="KDZ2485" s="61"/>
      <c r="KEA2485" s="58"/>
      <c r="KEB2485" s="58"/>
      <c r="KEC2485" s="58"/>
      <c r="KED2485" s="60"/>
      <c r="KEE2485" s="60"/>
      <c r="KEF2485" s="60"/>
      <c r="KEG2485" s="58"/>
      <c r="KEH2485" s="61"/>
      <c r="KEI2485" s="58"/>
      <c r="KEJ2485" s="58"/>
      <c r="KEK2485" s="58"/>
      <c r="KEL2485" s="60"/>
      <c r="KEM2485" s="60"/>
      <c r="KEN2485" s="60"/>
      <c r="KEO2485" s="58"/>
      <c r="KEP2485" s="61"/>
      <c r="KEQ2485" s="58"/>
      <c r="KER2485" s="58"/>
      <c r="KES2485" s="58"/>
      <c r="KET2485" s="60"/>
      <c r="KEU2485" s="60"/>
      <c r="KEV2485" s="60"/>
      <c r="KEW2485" s="58"/>
      <c r="KEX2485" s="61"/>
      <c r="KEY2485" s="58"/>
      <c r="KEZ2485" s="58"/>
      <c r="KFA2485" s="58"/>
      <c r="KFB2485" s="60"/>
      <c r="KFC2485" s="60"/>
      <c r="KFD2485" s="60"/>
      <c r="KFE2485" s="58"/>
      <c r="KFF2485" s="61"/>
      <c r="KFG2485" s="58"/>
      <c r="KFH2485" s="58"/>
      <c r="KFI2485" s="58"/>
      <c r="KFJ2485" s="60"/>
      <c r="KFK2485" s="60"/>
      <c r="KFL2485" s="60"/>
      <c r="KFM2485" s="58"/>
      <c r="KFN2485" s="61"/>
      <c r="KFO2485" s="58"/>
      <c r="KFP2485" s="58"/>
      <c r="KFQ2485" s="58"/>
      <c r="KFR2485" s="60"/>
      <c r="KFS2485" s="60"/>
      <c r="KFT2485" s="60"/>
      <c r="KFU2485" s="58"/>
      <c r="KFV2485" s="61"/>
      <c r="KFW2485" s="58"/>
      <c r="KFX2485" s="58"/>
      <c r="KFY2485" s="58"/>
      <c r="KFZ2485" s="60"/>
      <c r="KGA2485" s="60"/>
      <c r="KGB2485" s="60"/>
      <c r="KGC2485" s="58"/>
      <c r="KGD2485" s="61"/>
      <c r="KGE2485" s="58"/>
      <c r="KGF2485" s="58"/>
      <c r="KGG2485" s="58"/>
      <c r="KGH2485" s="60"/>
      <c r="KGI2485" s="60"/>
      <c r="KGJ2485" s="60"/>
      <c r="KGK2485" s="58"/>
      <c r="KGL2485" s="61"/>
      <c r="KGM2485" s="58"/>
      <c r="KGN2485" s="58"/>
      <c r="KGO2485" s="58"/>
      <c r="KGP2485" s="60"/>
      <c r="KGQ2485" s="60"/>
      <c r="KGR2485" s="60"/>
      <c r="KGS2485" s="58"/>
      <c r="KGT2485" s="61"/>
      <c r="KGU2485" s="58"/>
      <c r="KGV2485" s="58"/>
      <c r="KGW2485" s="58"/>
      <c r="KGX2485" s="60"/>
      <c r="KGY2485" s="60"/>
      <c r="KGZ2485" s="60"/>
      <c r="KHA2485" s="58"/>
      <c r="KHB2485" s="61"/>
      <c r="KHC2485" s="58"/>
      <c r="KHD2485" s="58"/>
      <c r="KHE2485" s="58"/>
      <c r="KHF2485" s="60"/>
      <c r="KHG2485" s="60"/>
      <c r="KHH2485" s="60"/>
      <c r="KHI2485" s="58"/>
      <c r="KHJ2485" s="61"/>
      <c r="KHK2485" s="58"/>
      <c r="KHL2485" s="58"/>
      <c r="KHM2485" s="58"/>
      <c r="KHN2485" s="60"/>
      <c r="KHO2485" s="60"/>
      <c r="KHP2485" s="60"/>
      <c r="KHQ2485" s="58"/>
      <c r="KHR2485" s="61"/>
      <c r="KHS2485" s="58"/>
      <c r="KHT2485" s="58"/>
      <c r="KHU2485" s="58"/>
      <c r="KHV2485" s="60"/>
      <c r="KHW2485" s="60"/>
      <c r="KHX2485" s="60"/>
      <c r="KHY2485" s="58"/>
      <c r="KHZ2485" s="61"/>
      <c r="KIA2485" s="58"/>
      <c r="KIB2485" s="58"/>
      <c r="KIC2485" s="58"/>
      <c r="KID2485" s="60"/>
      <c r="KIE2485" s="60"/>
      <c r="KIF2485" s="60"/>
      <c r="KIG2485" s="58"/>
      <c r="KIH2485" s="61"/>
      <c r="KII2485" s="58"/>
      <c r="KIJ2485" s="58"/>
      <c r="KIK2485" s="58"/>
      <c r="KIL2485" s="60"/>
      <c r="KIM2485" s="60"/>
      <c r="KIN2485" s="60"/>
      <c r="KIO2485" s="58"/>
      <c r="KIP2485" s="61"/>
      <c r="KIQ2485" s="58"/>
      <c r="KIR2485" s="58"/>
      <c r="KIS2485" s="58"/>
      <c r="KIT2485" s="60"/>
      <c r="KIU2485" s="60"/>
      <c r="KIV2485" s="60"/>
      <c r="KIW2485" s="58"/>
      <c r="KIX2485" s="61"/>
      <c r="KIY2485" s="58"/>
      <c r="KIZ2485" s="58"/>
      <c r="KJA2485" s="58"/>
      <c r="KJB2485" s="60"/>
      <c r="KJC2485" s="60"/>
      <c r="KJD2485" s="60"/>
      <c r="KJE2485" s="58"/>
      <c r="KJF2485" s="61"/>
      <c r="KJG2485" s="58"/>
      <c r="KJH2485" s="58"/>
      <c r="KJI2485" s="58"/>
      <c r="KJJ2485" s="60"/>
      <c r="KJK2485" s="60"/>
      <c r="KJL2485" s="60"/>
      <c r="KJM2485" s="58"/>
      <c r="KJN2485" s="61"/>
      <c r="KJO2485" s="58"/>
      <c r="KJP2485" s="58"/>
      <c r="KJQ2485" s="58"/>
      <c r="KJR2485" s="60"/>
      <c r="KJS2485" s="60"/>
      <c r="KJT2485" s="60"/>
      <c r="KJU2485" s="58"/>
      <c r="KJV2485" s="61"/>
      <c r="KJW2485" s="58"/>
      <c r="KJX2485" s="58"/>
      <c r="KJY2485" s="58"/>
      <c r="KJZ2485" s="60"/>
      <c r="KKA2485" s="60"/>
      <c r="KKB2485" s="60"/>
      <c r="KKC2485" s="58"/>
      <c r="KKD2485" s="61"/>
      <c r="KKE2485" s="58"/>
      <c r="KKF2485" s="58"/>
      <c r="KKG2485" s="58"/>
      <c r="KKH2485" s="60"/>
      <c r="KKI2485" s="60"/>
      <c r="KKJ2485" s="60"/>
      <c r="KKK2485" s="58"/>
      <c r="KKL2485" s="61"/>
      <c r="KKM2485" s="58"/>
      <c r="KKN2485" s="58"/>
      <c r="KKO2485" s="58"/>
      <c r="KKP2485" s="60"/>
      <c r="KKQ2485" s="60"/>
      <c r="KKR2485" s="60"/>
      <c r="KKS2485" s="58"/>
      <c r="KKT2485" s="61"/>
      <c r="KKU2485" s="58"/>
      <c r="KKV2485" s="58"/>
      <c r="KKW2485" s="58"/>
      <c r="KKX2485" s="60"/>
      <c r="KKY2485" s="60"/>
      <c r="KKZ2485" s="60"/>
      <c r="KLA2485" s="58"/>
      <c r="KLB2485" s="61"/>
      <c r="KLC2485" s="58"/>
      <c r="KLD2485" s="58"/>
      <c r="KLE2485" s="58"/>
      <c r="KLF2485" s="60"/>
      <c r="KLG2485" s="60"/>
      <c r="KLH2485" s="60"/>
      <c r="KLI2485" s="58"/>
      <c r="KLJ2485" s="61"/>
      <c r="KLK2485" s="58"/>
      <c r="KLL2485" s="58"/>
      <c r="KLM2485" s="58"/>
      <c r="KLN2485" s="60"/>
      <c r="KLO2485" s="60"/>
      <c r="KLP2485" s="60"/>
      <c r="KLQ2485" s="58"/>
      <c r="KLR2485" s="61"/>
      <c r="KLS2485" s="58"/>
      <c r="KLT2485" s="58"/>
      <c r="KLU2485" s="58"/>
      <c r="KLV2485" s="60"/>
      <c r="KLW2485" s="60"/>
      <c r="KLX2485" s="60"/>
      <c r="KLY2485" s="58"/>
      <c r="KLZ2485" s="61"/>
      <c r="KMA2485" s="58"/>
      <c r="KMB2485" s="58"/>
      <c r="KMC2485" s="58"/>
      <c r="KMD2485" s="60"/>
      <c r="KME2485" s="60"/>
      <c r="KMF2485" s="60"/>
      <c r="KMG2485" s="58"/>
      <c r="KMH2485" s="61"/>
      <c r="KMI2485" s="58"/>
      <c r="KMJ2485" s="58"/>
      <c r="KMK2485" s="58"/>
      <c r="KML2485" s="60"/>
      <c r="KMM2485" s="60"/>
      <c r="KMN2485" s="60"/>
      <c r="KMO2485" s="58"/>
      <c r="KMP2485" s="61"/>
      <c r="KMQ2485" s="58"/>
      <c r="KMR2485" s="58"/>
      <c r="KMS2485" s="58"/>
      <c r="KMT2485" s="60"/>
      <c r="KMU2485" s="60"/>
      <c r="KMV2485" s="60"/>
      <c r="KMW2485" s="58"/>
      <c r="KMX2485" s="61"/>
      <c r="KMY2485" s="58"/>
      <c r="KMZ2485" s="58"/>
      <c r="KNA2485" s="58"/>
      <c r="KNB2485" s="60"/>
      <c r="KNC2485" s="60"/>
      <c r="KND2485" s="60"/>
      <c r="KNE2485" s="58"/>
      <c r="KNF2485" s="61"/>
      <c r="KNG2485" s="58"/>
      <c r="KNH2485" s="58"/>
      <c r="KNI2485" s="58"/>
      <c r="KNJ2485" s="60"/>
      <c r="KNK2485" s="60"/>
      <c r="KNL2485" s="60"/>
      <c r="KNM2485" s="58"/>
      <c r="KNN2485" s="61"/>
      <c r="KNO2485" s="58"/>
      <c r="KNP2485" s="58"/>
      <c r="KNQ2485" s="58"/>
      <c r="KNR2485" s="60"/>
      <c r="KNS2485" s="60"/>
      <c r="KNT2485" s="60"/>
      <c r="KNU2485" s="58"/>
      <c r="KNV2485" s="61"/>
      <c r="KNW2485" s="58"/>
      <c r="KNX2485" s="58"/>
      <c r="KNY2485" s="58"/>
      <c r="KNZ2485" s="60"/>
      <c r="KOA2485" s="60"/>
      <c r="KOB2485" s="60"/>
      <c r="KOC2485" s="58"/>
      <c r="KOD2485" s="61"/>
      <c r="KOE2485" s="58"/>
      <c r="KOF2485" s="58"/>
      <c r="KOG2485" s="58"/>
      <c r="KOH2485" s="60"/>
      <c r="KOI2485" s="60"/>
      <c r="KOJ2485" s="60"/>
      <c r="KOK2485" s="58"/>
      <c r="KOL2485" s="61"/>
      <c r="KOM2485" s="58"/>
      <c r="KON2485" s="58"/>
      <c r="KOO2485" s="58"/>
      <c r="KOP2485" s="60"/>
      <c r="KOQ2485" s="60"/>
      <c r="KOR2485" s="60"/>
      <c r="KOS2485" s="58"/>
      <c r="KOT2485" s="61"/>
      <c r="KOU2485" s="58"/>
      <c r="KOV2485" s="58"/>
      <c r="KOW2485" s="58"/>
      <c r="KOX2485" s="60"/>
      <c r="KOY2485" s="60"/>
      <c r="KOZ2485" s="60"/>
      <c r="KPA2485" s="58"/>
      <c r="KPB2485" s="61"/>
      <c r="KPC2485" s="58"/>
      <c r="KPD2485" s="58"/>
      <c r="KPE2485" s="58"/>
      <c r="KPF2485" s="60"/>
      <c r="KPG2485" s="60"/>
      <c r="KPH2485" s="60"/>
      <c r="KPI2485" s="58"/>
      <c r="KPJ2485" s="61"/>
      <c r="KPK2485" s="58"/>
      <c r="KPL2485" s="58"/>
      <c r="KPM2485" s="58"/>
      <c r="KPN2485" s="60"/>
      <c r="KPO2485" s="60"/>
      <c r="KPP2485" s="60"/>
      <c r="KPQ2485" s="58"/>
      <c r="KPR2485" s="61"/>
      <c r="KPS2485" s="58"/>
      <c r="KPT2485" s="58"/>
      <c r="KPU2485" s="58"/>
      <c r="KPV2485" s="60"/>
      <c r="KPW2485" s="60"/>
      <c r="KPX2485" s="60"/>
      <c r="KPY2485" s="58"/>
      <c r="KPZ2485" s="61"/>
      <c r="KQA2485" s="58"/>
      <c r="KQB2485" s="58"/>
      <c r="KQC2485" s="58"/>
      <c r="KQD2485" s="60"/>
      <c r="KQE2485" s="60"/>
      <c r="KQF2485" s="60"/>
      <c r="KQG2485" s="58"/>
      <c r="KQH2485" s="61"/>
      <c r="KQI2485" s="58"/>
      <c r="KQJ2485" s="58"/>
      <c r="KQK2485" s="58"/>
      <c r="KQL2485" s="60"/>
      <c r="KQM2485" s="60"/>
      <c r="KQN2485" s="60"/>
      <c r="KQO2485" s="58"/>
      <c r="KQP2485" s="61"/>
      <c r="KQQ2485" s="58"/>
      <c r="KQR2485" s="58"/>
      <c r="KQS2485" s="58"/>
      <c r="KQT2485" s="60"/>
      <c r="KQU2485" s="60"/>
      <c r="KQV2485" s="60"/>
      <c r="KQW2485" s="58"/>
      <c r="KQX2485" s="61"/>
      <c r="KQY2485" s="58"/>
      <c r="KQZ2485" s="58"/>
      <c r="KRA2485" s="58"/>
      <c r="KRB2485" s="60"/>
      <c r="KRC2485" s="60"/>
      <c r="KRD2485" s="60"/>
      <c r="KRE2485" s="58"/>
      <c r="KRF2485" s="61"/>
      <c r="KRG2485" s="58"/>
      <c r="KRH2485" s="58"/>
      <c r="KRI2485" s="58"/>
      <c r="KRJ2485" s="60"/>
      <c r="KRK2485" s="60"/>
      <c r="KRL2485" s="60"/>
      <c r="KRM2485" s="58"/>
      <c r="KRN2485" s="61"/>
      <c r="KRO2485" s="58"/>
      <c r="KRP2485" s="58"/>
      <c r="KRQ2485" s="58"/>
      <c r="KRR2485" s="60"/>
      <c r="KRS2485" s="60"/>
      <c r="KRT2485" s="60"/>
      <c r="KRU2485" s="58"/>
      <c r="KRV2485" s="61"/>
      <c r="KRW2485" s="58"/>
      <c r="KRX2485" s="58"/>
      <c r="KRY2485" s="58"/>
      <c r="KRZ2485" s="60"/>
      <c r="KSA2485" s="60"/>
      <c r="KSB2485" s="60"/>
      <c r="KSC2485" s="58"/>
      <c r="KSD2485" s="61"/>
      <c r="KSE2485" s="58"/>
      <c r="KSF2485" s="58"/>
      <c r="KSG2485" s="58"/>
      <c r="KSH2485" s="60"/>
      <c r="KSI2485" s="60"/>
      <c r="KSJ2485" s="60"/>
      <c r="KSK2485" s="58"/>
      <c r="KSL2485" s="61"/>
      <c r="KSM2485" s="58"/>
      <c r="KSN2485" s="58"/>
      <c r="KSO2485" s="58"/>
      <c r="KSP2485" s="60"/>
      <c r="KSQ2485" s="60"/>
      <c r="KSR2485" s="60"/>
      <c r="KSS2485" s="58"/>
      <c r="KST2485" s="61"/>
      <c r="KSU2485" s="58"/>
      <c r="KSV2485" s="58"/>
      <c r="KSW2485" s="58"/>
      <c r="KSX2485" s="60"/>
      <c r="KSY2485" s="60"/>
      <c r="KSZ2485" s="60"/>
      <c r="KTA2485" s="58"/>
      <c r="KTB2485" s="61"/>
      <c r="KTC2485" s="58"/>
      <c r="KTD2485" s="58"/>
      <c r="KTE2485" s="58"/>
      <c r="KTF2485" s="60"/>
      <c r="KTG2485" s="60"/>
      <c r="KTH2485" s="60"/>
      <c r="KTI2485" s="58"/>
      <c r="KTJ2485" s="61"/>
      <c r="KTK2485" s="58"/>
      <c r="KTL2485" s="58"/>
      <c r="KTM2485" s="58"/>
      <c r="KTN2485" s="60"/>
      <c r="KTO2485" s="60"/>
      <c r="KTP2485" s="60"/>
      <c r="KTQ2485" s="58"/>
      <c r="KTR2485" s="61"/>
      <c r="KTS2485" s="58"/>
      <c r="KTT2485" s="58"/>
      <c r="KTU2485" s="58"/>
      <c r="KTV2485" s="60"/>
      <c r="KTW2485" s="60"/>
      <c r="KTX2485" s="60"/>
      <c r="KTY2485" s="58"/>
      <c r="KTZ2485" s="61"/>
      <c r="KUA2485" s="58"/>
      <c r="KUB2485" s="58"/>
      <c r="KUC2485" s="58"/>
      <c r="KUD2485" s="60"/>
      <c r="KUE2485" s="60"/>
      <c r="KUF2485" s="60"/>
      <c r="KUG2485" s="58"/>
      <c r="KUH2485" s="61"/>
      <c r="KUI2485" s="58"/>
      <c r="KUJ2485" s="58"/>
      <c r="KUK2485" s="58"/>
      <c r="KUL2485" s="60"/>
      <c r="KUM2485" s="60"/>
      <c r="KUN2485" s="60"/>
      <c r="KUO2485" s="58"/>
      <c r="KUP2485" s="61"/>
      <c r="KUQ2485" s="58"/>
      <c r="KUR2485" s="58"/>
      <c r="KUS2485" s="58"/>
      <c r="KUT2485" s="60"/>
      <c r="KUU2485" s="60"/>
      <c r="KUV2485" s="60"/>
      <c r="KUW2485" s="58"/>
      <c r="KUX2485" s="61"/>
      <c r="KUY2485" s="58"/>
      <c r="KUZ2485" s="58"/>
      <c r="KVA2485" s="58"/>
      <c r="KVB2485" s="60"/>
      <c r="KVC2485" s="60"/>
      <c r="KVD2485" s="60"/>
      <c r="KVE2485" s="58"/>
      <c r="KVF2485" s="61"/>
      <c r="KVG2485" s="58"/>
      <c r="KVH2485" s="58"/>
      <c r="KVI2485" s="58"/>
      <c r="KVJ2485" s="60"/>
      <c r="KVK2485" s="60"/>
      <c r="KVL2485" s="60"/>
      <c r="KVM2485" s="58"/>
      <c r="KVN2485" s="61"/>
      <c r="KVO2485" s="58"/>
      <c r="KVP2485" s="58"/>
      <c r="KVQ2485" s="58"/>
      <c r="KVR2485" s="60"/>
      <c r="KVS2485" s="60"/>
      <c r="KVT2485" s="60"/>
      <c r="KVU2485" s="58"/>
      <c r="KVV2485" s="61"/>
      <c r="KVW2485" s="58"/>
      <c r="KVX2485" s="58"/>
      <c r="KVY2485" s="58"/>
      <c r="KVZ2485" s="60"/>
      <c r="KWA2485" s="60"/>
      <c r="KWB2485" s="60"/>
      <c r="KWC2485" s="58"/>
      <c r="KWD2485" s="61"/>
      <c r="KWE2485" s="58"/>
      <c r="KWF2485" s="58"/>
      <c r="KWG2485" s="58"/>
      <c r="KWH2485" s="60"/>
      <c r="KWI2485" s="60"/>
      <c r="KWJ2485" s="60"/>
      <c r="KWK2485" s="58"/>
      <c r="KWL2485" s="61"/>
      <c r="KWM2485" s="58"/>
      <c r="KWN2485" s="58"/>
      <c r="KWO2485" s="58"/>
      <c r="KWP2485" s="60"/>
      <c r="KWQ2485" s="60"/>
      <c r="KWR2485" s="60"/>
      <c r="KWS2485" s="58"/>
      <c r="KWT2485" s="61"/>
      <c r="KWU2485" s="58"/>
      <c r="KWV2485" s="58"/>
      <c r="KWW2485" s="58"/>
      <c r="KWX2485" s="60"/>
      <c r="KWY2485" s="60"/>
      <c r="KWZ2485" s="60"/>
      <c r="KXA2485" s="58"/>
      <c r="KXB2485" s="61"/>
      <c r="KXC2485" s="58"/>
      <c r="KXD2485" s="58"/>
      <c r="KXE2485" s="58"/>
      <c r="KXF2485" s="60"/>
      <c r="KXG2485" s="60"/>
      <c r="KXH2485" s="60"/>
      <c r="KXI2485" s="58"/>
      <c r="KXJ2485" s="61"/>
      <c r="KXK2485" s="58"/>
      <c r="KXL2485" s="58"/>
      <c r="KXM2485" s="58"/>
      <c r="KXN2485" s="60"/>
      <c r="KXO2485" s="60"/>
      <c r="KXP2485" s="60"/>
      <c r="KXQ2485" s="58"/>
      <c r="KXR2485" s="61"/>
      <c r="KXS2485" s="58"/>
      <c r="KXT2485" s="58"/>
      <c r="KXU2485" s="58"/>
      <c r="KXV2485" s="60"/>
      <c r="KXW2485" s="60"/>
      <c r="KXX2485" s="60"/>
      <c r="KXY2485" s="58"/>
      <c r="KXZ2485" s="61"/>
      <c r="KYA2485" s="58"/>
      <c r="KYB2485" s="58"/>
      <c r="KYC2485" s="58"/>
      <c r="KYD2485" s="60"/>
      <c r="KYE2485" s="60"/>
      <c r="KYF2485" s="60"/>
      <c r="KYG2485" s="58"/>
      <c r="KYH2485" s="61"/>
      <c r="KYI2485" s="58"/>
      <c r="KYJ2485" s="58"/>
      <c r="KYK2485" s="58"/>
      <c r="KYL2485" s="60"/>
      <c r="KYM2485" s="60"/>
      <c r="KYN2485" s="60"/>
      <c r="KYO2485" s="58"/>
      <c r="KYP2485" s="61"/>
      <c r="KYQ2485" s="58"/>
      <c r="KYR2485" s="58"/>
      <c r="KYS2485" s="58"/>
      <c r="KYT2485" s="60"/>
      <c r="KYU2485" s="60"/>
      <c r="KYV2485" s="60"/>
      <c r="KYW2485" s="58"/>
      <c r="KYX2485" s="61"/>
      <c r="KYY2485" s="58"/>
      <c r="KYZ2485" s="58"/>
      <c r="KZA2485" s="58"/>
      <c r="KZB2485" s="60"/>
      <c r="KZC2485" s="60"/>
      <c r="KZD2485" s="60"/>
      <c r="KZE2485" s="58"/>
      <c r="KZF2485" s="61"/>
      <c r="KZG2485" s="58"/>
      <c r="KZH2485" s="58"/>
      <c r="KZI2485" s="58"/>
      <c r="KZJ2485" s="60"/>
      <c r="KZK2485" s="60"/>
      <c r="KZL2485" s="60"/>
      <c r="KZM2485" s="58"/>
      <c r="KZN2485" s="61"/>
      <c r="KZO2485" s="58"/>
      <c r="KZP2485" s="58"/>
      <c r="KZQ2485" s="58"/>
      <c r="KZR2485" s="60"/>
      <c r="KZS2485" s="60"/>
      <c r="KZT2485" s="60"/>
      <c r="KZU2485" s="58"/>
      <c r="KZV2485" s="61"/>
      <c r="KZW2485" s="58"/>
      <c r="KZX2485" s="58"/>
      <c r="KZY2485" s="58"/>
      <c r="KZZ2485" s="60"/>
      <c r="LAA2485" s="60"/>
      <c r="LAB2485" s="60"/>
      <c r="LAC2485" s="58"/>
      <c r="LAD2485" s="61"/>
      <c r="LAE2485" s="58"/>
      <c r="LAF2485" s="58"/>
      <c r="LAG2485" s="58"/>
      <c r="LAH2485" s="60"/>
      <c r="LAI2485" s="60"/>
      <c r="LAJ2485" s="60"/>
      <c r="LAK2485" s="58"/>
      <c r="LAL2485" s="61"/>
      <c r="LAM2485" s="58"/>
      <c r="LAN2485" s="58"/>
      <c r="LAO2485" s="58"/>
      <c r="LAP2485" s="60"/>
      <c r="LAQ2485" s="60"/>
      <c r="LAR2485" s="60"/>
      <c r="LAS2485" s="58"/>
      <c r="LAT2485" s="61"/>
      <c r="LAU2485" s="58"/>
      <c r="LAV2485" s="58"/>
      <c r="LAW2485" s="58"/>
      <c r="LAX2485" s="60"/>
      <c r="LAY2485" s="60"/>
      <c r="LAZ2485" s="60"/>
      <c r="LBA2485" s="58"/>
      <c r="LBB2485" s="61"/>
      <c r="LBC2485" s="58"/>
      <c r="LBD2485" s="58"/>
      <c r="LBE2485" s="58"/>
      <c r="LBF2485" s="60"/>
      <c r="LBG2485" s="60"/>
      <c r="LBH2485" s="60"/>
      <c r="LBI2485" s="58"/>
      <c r="LBJ2485" s="61"/>
      <c r="LBK2485" s="58"/>
      <c r="LBL2485" s="58"/>
      <c r="LBM2485" s="58"/>
      <c r="LBN2485" s="60"/>
      <c r="LBO2485" s="60"/>
      <c r="LBP2485" s="60"/>
      <c r="LBQ2485" s="58"/>
      <c r="LBR2485" s="61"/>
      <c r="LBS2485" s="58"/>
      <c r="LBT2485" s="58"/>
      <c r="LBU2485" s="58"/>
      <c r="LBV2485" s="60"/>
      <c r="LBW2485" s="60"/>
      <c r="LBX2485" s="60"/>
      <c r="LBY2485" s="58"/>
      <c r="LBZ2485" s="61"/>
      <c r="LCA2485" s="58"/>
      <c r="LCB2485" s="58"/>
      <c r="LCC2485" s="58"/>
      <c r="LCD2485" s="60"/>
      <c r="LCE2485" s="60"/>
      <c r="LCF2485" s="60"/>
      <c r="LCG2485" s="58"/>
      <c r="LCH2485" s="61"/>
      <c r="LCI2485" s="58"/>
      <c r="LCJ2485" s="58"/>
      <c r="LCK2485" s="58"/>
      <c r="LCL2485" s="60"/>
      <c r="LCM2485" s="60"/>
      <c r="LCN2485" s="60"/>
      <c r="LCO2485" s="58"/>
      <c r="LCP2485" s="61"/>
      <c r="LCQ2485" s="58"/>
      <c r="LCR2485" s="58"/>
      <c r="LCS2485" s="58"/>
      <c r="LCT2485" s="60"/>
      <c r="LCU2485" s="60"/>
      <c r="LCV2485" s="60"/>
      <c r="LCW2485" s="58"/>
      <c r="LCX2485" s="61"/>
      <c r="LCY2485" s="58"/>
      <c r="LCZ2485" s="58"/>
      <c r="LDA2485" s="58"/>
      <c r="LDB2485" s="60"/>
      <c r="LDC2485" s="60"/>
      <c r="LDD2485" s="60"/>
      <c r="LDE2485" s="58"/>
      <c r="LDF2485" s="61"/>
      <c r="LDG2485" s="58"/>
      <c r="LDH2485" s="58"/>
      <c r="LDI2485" s="58"/>
      <c r="LDJ2485" s="60"/>
      <c r="LDK2485" s="60"/>
      <c r="LDL2485" s="60"/>
      <c r="LDM2485" s="58"/>
      <c r="LDN2485" s="61"/>
      <c r="LDO2485" s="58"/>
      <c r="LDP2485" s="58"/>
      <c r="LDQ2485" s="58"/>
      <c r="LDR2485" s="60"/>
      <c r="LDS2485" s="60"/>
      <c r="LDT2485" s="60"/>
      <c r="LDU2485" s="58"/>
      <c r="LDV2485" s="61"/>
      <c r="LDW2485" s="58"/>
      <c r="LDX2485" s="58"/>
      <c r="LDY2485" s="58"/>
      <c r="LDZ2485" s="60"/>
      <c r="LEA2485" s="60"/>
      <c r="LEB2485" s="60"/>
      <c r="LEC2485" s="58"/>
      <c r="LED2485" s="61"/>
      <c r="LEE2485" s="58"/>
      <c r="LEF2485" s="58"/>
      <c r="LEG2485" s="58"/>
      <c r="LEH2485" s="60"/>
      <c r="LEI2485" s="60"/>
      <c r="LEJ2485" s="60"/>
      <c r="LEK2485" s="58"/>
      <c r="LEL2485" s="61"/>
      <c r="LEM2485" s="58"/>
      <c r="LEN2485" s="58"/>
      <c r="LEO2485" s="58"/>
      <c r="LEP2485" s="60"/>
      <c r="LEQ2485" s="60"/>
      <c r="LER2485" s="60"/>
      <c r="LES2485" s="58"/>
      <c r="LET2485" s="61"/>
      <c r="LEU2485" s="58"/>
      <c r="LEV2485" s="58"/>
      <c r="LEW2485" s="58"/>
      <c r="LEX2485" s="60"/>
      <c r="LEY2485" s="60"/>
      <c r="LEZ2485" s="60"/>
      <c r="LFA2485" s="58"/>
      <c r="LFB2485" s="61"/>
      <c r="LFC2485" s="58"/>
      <c r="LFD2485" s="58"/>
      <c r="LFE2485" s="58"/>
      <c r="LFF2485" s="60"/>
      <c r="LFG2485" s="60"/>
      <c r="LFH2485" s="60"/>
      <c r="LFI2485" s="58"/>
      <c r="LFJ2485" s="61"/>
      <c r="LFK2485" s="58"/>
      <c r="LFL2485" s="58"/>
      <c r="LFM2485" s="58"/>
      <c r="LFN2485" s="60"/>
      <c r="LFO2485" s="60"/>
      <c r="LFP2485" s="60"/>
      <c r="LFQ2485" s="58"/>
      <c r="LFR2485" s="61"/>
      <c r="LFS2485" s="58"/>
      <c r="LFT2485" s="58"/>
      <c r="LFU2485" s="58"/>
      <c r="LFV2485" s="60"/>
      <c r="LFW2485" s="60"/>
      <c r="LFX2485" s="60"/>
      <c r="LFY2485" s="58"/>
      <c r="LFZ2485" s="61"/>
      <c r="LGA2485" s="58"/>
      <c r="LGB2485" s="58"/>
      <c r="LGC2485" s="58"/>
      <c r="LGD2485" s="60"/>
      <c r="LGE2485" s="60"/>
      <c r="LGF2485" s="60"/>
      <c r="LGG2485" s="58"/>
      <c r="LGH2485" s="61"/>
      <c r="LGI2485" s="58"/>
      <c r="LGJ2485" s="58"/>
      <c r="LGK2485" s="58"/>
      <c r="LGL2485" s="60"/>
      <c r="LGM2485" s="60"/>
      <c r="LGN2485" s="60"/>
      <c r="LGO2485" s="58"/>
      <c r="LGP2485" s="61"/>
      <c r="LGQ2485" s="58"/>
      <c r="LGR2485" s="58"/>
      <c r="LGS2485" s="58"/>
      <c r="LGT2485" s="60"/>
      <c r="LGU2485" s="60"/>
      <c r="LGV2485" s="60"/>
      <c r="LGW2485" s="58"/>
      <c r="LGX2485" s="61"/>
      <c r="LGY2485" s="58"/>
      <c r="LGZ2485" s="58"/>
      <c r="LHA2485" s="58"/>
      <c r="LHB2485" s="60"/>
      <c r="LHC2485" s="60"/>
      <c r="LHD2485" s="60"/>
      <c r="LHE2485" s="58"/>
      <c r="LHF2485" s="61"/>
      <c r="LHG2485" s="58"/>
      <c r="LHH2485" s="58"/>
      <c r="LHI2485" s="58"/>
      <c r="LHJ2485" s="60"/>
      <c r="LHK2485" s="60"/>
      <c r="LHL2485" s="60"/>
      <c r="LHM2485" s="58"/>
      <c r="LHN2485" s="61"/>
      <c r="LHO2485" s="58"/>
      <c r="LHP2485" s="58"/>
      <c r="LHQ2485" s="58"/>
      <c r="LHR2485" s="60"/>
      <c r="LHS2485" s="60"/>
      <c r="LHT2485" s="60"/>
      <c r="LHU2485" s="58"/>
      <c r="LHV2485" s="61"/>
      <c r="LHW2485" s="58"/>
      <c r="LHX2485" s="58"/>
      <c r="LHY2485" s="58"/>
      <c r="LHZ2485" s="60"/>
      <c r="LIA2485" s="60"/>
      <c r="LIB2485" s="60"/>
      <c r="LIC2485" s="58"/>
      <c r="LID2485" s="61"/>
      <c r="LIE2485" s="58"/>
      <c r="LIF2485" s="58"/>
      <c r="LIG2485" s="58"/>
      <c r="LIH2485" s="60"/>
      <c r="LII2485" s="60"/>
      <c r="LIJ2485" s="60"/>
      <c r="LIK2485" s="58"/>
      <c r="LIL2485" s="61"/>
      <c r="LIM2485" s="58"/>
      <c r="LIN2485" s="58"/>
      <c r="LIO2485" s="58"/>
      <c r="LIP2485" s="60"/>
      <c r="LIQ2485" s="60"/>
      <c r="LIR2485" s="60"/>
      <c r="LIS2485" s="58"/>
      <c r="LIT2485" s="61"/>
      <c r="LIU2485" s="58"/>
      <c r="LIV2485" s="58"/>
      <c r="LIW2485" s="58"/>
      <c r="LIX2485" s="60"/>
      <c r="LIY2485" s="60"/>
      <c r="LIZ2485" s="60"/>
      <c r="LJA2485" s="58"/>
      <c r="LJB2485" s="61"/>
      <c r="LJC2485" s="58"/>
      <c r="LJD2485" s="58"/>
      <c r="LJE2485" s="58"/>
      <c r="LJF2485" s="60"/>
      <c r="LJG2485" s="60"/>
      <c r="LJH2485" s="60"/>
      <c r="LJI2485" s="58"/>
      <c r="LJJ2485" s="61"/>
      <c r="LJK2485" s="58"/>
      <c r="LJL2485" s="58"/>
      <c r="LJM2485" s="58"/>
      <c r="LJN2485" s="60"/>
      <c r="LJO2485" s="60"/>
      <c r="LJP2485" s="60"/>
      <c r="LJQ2485" s="58"/>
      <c r="LJR2485" s="61"/>
      <c r="LJS2485" s="58"/>
      <c r="LJT2485" s="58"/>
      <c r="LJU2485" s="58"/>
      <c r="LJV2485" s="60"/>
      <c r="LJW2485" s="60"/>
      <c r="LJX2485" s="60"/>
      <c r="LJY2485" s="58"/>
      <c r="LJZ2485" s="61"/>
      <c r="LKA2485" s="58"/>
      <c r="LKB2485" s="58"/>
      <c r="LKC2485" s="58"/>
      <c r="LKD2485" s="60"/>
      <c r="LKE2485" s="60"/>
      <c r="LKF2485" s="60"/>
      <c r="LKG2485" s="58"/>
      <c r="LKH2485" s="61"/>
      <c r="LKI2485" s="58"/>
      <c r="LKJ2485" s="58"/>
      <c r="LKK2485" s="58"/>
      <c r="LKL2485" s="60"/>
      <c r="LKM2485" s="60"/>
      <c r="LKN2485" s="60"/>
      <c r="LKO2485" s="58"/>
      <c r="LKP2485" s="61"/>
      <c r="LKQ2485" s="58"/>
      <c r="LKR2485" s="58"/>
      <c r="LKS2485" s="58"/>
      <c r="LKT2485" s="60"/>
      <c r="LKU2485" s="60"/>
      <c r="LKV2485" s="60"/>
      <c r="LKW2485" s="58"/>
      <c r="LKX2485" s="61"/>
      <c r="LKY2485" s="58"/>
      <c r="LKZ2485" s="58"/>
      <c r="LLA2485" s="58"/>
      <c r="LLB2485" s="60"/>
      <c r="LLC2485" s="60"/>
      <c r="LLD2485" s="60"/>
      <c r="LLE2485" s="58"/>
      <c r="LLF2485" s="61"/>
      <c r="LLG2485" s="58"/>
      <c r="LLH2485" s="58"/>
      <c r="LLI2485" s="58"/>
      <c r="LLJ2485" s="60"/>
      <c r="LLK2485" s="60"/>
      <c r="LLL2485" s="60"/>
      <c r="LLM2485" s="58"/>
      <c r="LLN2485" s="61"/>
      <c r="LLO2485" s="58"/>
      <c r="LLP2485" s="58"/>
      <c r="LLQ2485" s="58"/>
      <c r="LLR2485" s="60"/>
      <c r="LLS2485" s="60"/>
      <c r="LLT2485" s="60"/>
      <c r="LLU2485" s="58"/>
      <c r="LLV2485" s="61"/>
      <c r="LLW2485" s="58"/>
      <c r="LLX2485" s="58"/>
      <c r="LLY2485" s="58"/>
      <c r="LLZ2485" s="60"/>
      <c r="LMA2485" s="60"/>
      <c r="LMB2485" s="60"/>
      <c r="LMC2485" s="58"/>
      <c r="LMD2485" s="61"/>
      <c r="LME2485" s="58"/>
      <c r="LMF2485" s="58"/>
      <c r="LMG2485" s="58"/>
      <c r="LMH2485" s="60"/>
      <c r="LMI2485" s="60"/>
      <c r="LMJ2485" s="60"/>
      <c r="LMK2485" s="58"/>
      <c r="LML2485" s="61"/>
      <c r="LMM2485" s="58"/>
      <c r="LMN2485" s="58"/>
      <c r="LMO2485" s="58"/>
      <c r="LMP2485" s="60"/>
      <c r="LMQ2485" s="60"/>
      <c r="LMR2485" s="60"/>
      <c r="LMS2485" s="58"/>
      <c r="LMT2485" s="61"/>
      <c r="LMU2485" s="58"/>
      <c r="LMV2485" s="58"/>
      <c r="LMW2485" s="58"/>
      <c r="LMX2485" s="60"/>
      <c r="LMY2485" s="60"/>
      <c r="LMZ2485" s="60"/>
      <c r="LNA2485" s="58"/>
      <c r="LNB2485" s="61"/>
      <c r="LNC2485" s="58"/>
      <c r="LND2485" s="58"/>
      <c r="LNE2485" s="58"/>
      <c r="LNF2485" s="60"/>
      <c r="LNG2485" s="60"/>
      <c r="LNH2485" s="60"/>
      <c r="LNI2485" s="58"/>
      <c r="LNJ2485" s="61"/>
      <c r="LNK2485" s="58"/>
      <c r="LNL2485" s="58"/>
      <c r="LNM2485" s="58"/>
      <c r="LNN2485" s="60"/>
      <c r="LNO2485" s="60"/>
      <c r="LNP2485" s="60"/>
      <c r="LNQ2485" s="58"/>
      <c r="LNR2485" s="61"/>
      <c r="LNS2485" s="58"/>
      <c r="LNT2485" s="58"/>
      <c r="LNU2485" s="58"/>
      <c r="LNV2485" s="60"/>
      <c r="LNW2485" s="60"/>
      <c r="LNX2485" s="60"/>
      <c r="LNY2485" s="58"/>
      <c r="LNZ2485" s="61"/>
      <c r="LOA2485" s="58"/>
      <c r="LOB2485" s="58"/>
      <c r="LOC2485" s="58"/>
      <c r="LOD2485" s="60"/>
      <c r="LOE2485" s="60"/>
      <c r="LOF2485" s="60"/>
      <c r="LOG2485" s="58"/>
      <c r="LOH2485" s="61"/>
      <c r="LOI2485" s="58"/>
      <c r="LOJ2485" s="58"/>
      <c r="LOK2485" s="58"/>
      <c r="LOL2485" s="60"/>
      <c r="LOM2485" s="60"/>
      <c r="LON2485" s="60"/>
      <c r="LOO2485" s="58"/>
      <c r="LOP2485" s="61"/>
      <c r="LOQ2485" s="58"/>
      <c r="LOR2485" s="58"/>
      <c r="LOS2485" s="58"/>
      <c r="LOT2485" s="60"/>
      <c r="LOU2485" s="60"/>
      <c r="LOV2485" s="60"/>
      <c r="LOW2485" s="58"/>
      <c r="LOX2485" s="61"/>
      <c r="LOY2485" s="58"/>
      <c r="LOZ2485" s="58"/>
      <c r="LPA2485" s="58"/>
      <c r="LPB2485" s="60"/>
      <c r="LPC2485" s="60"/>
      <c r="LPD2485" s="60"/>
      <c r="LPE2485" s="58"/>
      <c r="LPF2485" s="61"/>
      <c r="LPG2485" s="58"/>
      <c r="LPH2485" s="58"/>
      <c r="LPI2485" s="58"/>
      <c r="LPJ2485" s="60"/>
      <c r="LPK2485" s="60"/>
      <c r="LPL2485" s="60"/>
      <c r="LPM2485" s="58"/>
      <c r="LPN2485" s="61"/>
      <c r="LPO2485" s="58"/>
      <c r="LPP2485" s="58"/>
      <c r="LPQ2485" s="58"/>
      <c r="LPR2485" s="60"/>
      <c r="LPS2485" s="60"/>
      <c r="LPT2485" s="60"/>
      <c r="LPU2485" s="58"/>
      <c r="LPV2485" s="61"/>
      <c r="LPW2485" s="58"/>
      <c r="LPX2485" s="58"/>
      <c r="LPY2485" s="58"/>
      <c r="LPZ2485" s="60"/>
      <c r="LQA2485" s="60"/>
      <c r="LQB2485" s="60"/>
      <c r="LQC2485" s="58"/>
      <c r="LQD2485" s="61"/>
      <c r="LQE2485" s="58"/>
      <c r="LQF2485" s="58"/>
      <c r="LQG2485" s="58"/>
      <c r="LQH2485" s="60"/>
      <c r="LQI2485" s="60"/>
      <c r="LQJ2485" s="60"/>
      <c r="LQK2485" s="58"/>
      <c r="LQL2485" s="61"/>
      <c r="LQM2485" s="58"/>
      <c r="LQN2485" s="58"/>
      <c r="LQO2485" s="58"/>
      <c r="LQP2485" s="60"/>
      <c r="LQQ2485" s="60"/>
      <c r="LQR2485" s="60"/>
      <c r="LQS2485" s="58"/>
      <c r="LQT2485" s="61"/>
      <c r="LQU2485" s="58"/>
      <c r="LQV2485" s="58"/>
      <c r="LQW2485" s="58"/>
      <c r="LQX2485" s="60"/>
      <c r="LQY2485" s="60"/>
      <c r="LQZ2485" s="60"/>
      <c r="LRA2485" s="58"/>
      <c r="LRB2485" s="61"/>
      <c r="LRC2485" s="58"/>
      <c r="LRD2485" s="58"/>
      <c r="LRE2485" s="58"/>
      <c r="LRF2485" s="60"/>
      <c r="LRG2485" s="60"/>
      <c r="LRH2485" s="60"/>
      <c r="LRI2485" s="58"/>
      <c r="LRJ2485" s="61"/>
      <c r="LRK2485" s="58"/>
      <c r="LRL2485" s="58"/>
      <c r="LRM2485" s="58"/>
      <c r="LRN2485" s="60"/>
      <c r="LRO2485" s="60"/>
      <c r="LRP2485" s="60"/>
      <c r="LRQ2485" s="58"/>
      <c r="LRR2485" s="61"/>
      <c r="LRS2485" s="58"/>
      <c r="LRT2485" s="58"/>
      <c r="LRU2485" s="58"/>
      <c r="LRV2485" s="60"/>
      <c r="LRW2485" s="60"/>
      <c r="LRX2485" s="60"/>
      <c r="LRY2485" s="58"/>
      <c r="LRZ2485" s="61"/>
      <c r="LSA2485" s="58"/>
      <c r="LSB2485" s="58"/>
      <c r="LSC2485" s="58"/>
      <c r="LSD2485" s="60"/>
      <c r="LSE2485" s="60"/>
      <c r="LSF2485" s="60"/>
      <c r="LSG2485" s="58"/>
      <c r="LSH2485" s="61"/>
      <c r="LSI2485" s="58"/>
      <c r="LSJ2485" s="58"/>
      <c r="LSK2485" s="58"/>
      <c r="LSL2485" s="60"/>
      <c r="LSM2485" s="60"/>
      <c r="LSN2485" s="60"/>
      <c r="LSO2485" s="58"/>
      <c r="LSP2485" s="61"/>
      <c r="LSQ2485" s="58"/>
      <c r="LSR2485" s="58"/>
      <c r="LSS2485" s="58"/>
      <c r="LST2485" s="60"/>
      <c r="LSU2485" s="60"/>
      <c r="LSV2485" s="60"/>
      <c r="LSW2485" s="58"/>
      <c r="LSX2485" s="61"/>
      <c r="LSY2485" s="58"/>
      <c r="LSZ2485" s="58"/>
      <c r="LTA2485" s="58"/>
      <c r="LTB2485" s="60"/>
      <c r="LTC2485" s="60"/>
      <c r="LTD2485" s="60"/>
      <c r="LTE2485" s="58"/>
      <c r="LTF2485" s="61"/>
      <c r="LTG2485" s="58"/>
      <c r="LTH2485" s="58"/>
      <c r="LTI2485" s="58"/>
      <c r="LTJ2485" s="60"/>
      <c r="LTK2485" s="60"/>
      <c r="LTL2485" s="60"/>
      <c r="LTM2485" s="58"/>
      <c r="LTN2485" s="61"/>
      <c r="LTO2485" s="58"/>
      <c r="LTP2485" s="58"/>
      <c r="LTQ2485" s="58"/>
      <c r="LTR2485" s="60"/>
      <c r="LTS2485" s="60"/>
      <c r="LTT2485" s="60"/>
      <c r="LTU2485" s="58"/>
      <c r="LTV2485" s="61"/>
      <c r="LTW2485" s="58"/>
      <c r="LTX2485" s="58"/>
      <c r="LTY2485" s="58"/>
      <c r="LTZ2485" s="60"/>
      <c r="LUA2485" s="60"/>
      <c r="LUB2485" s="60"/>
      <c r="LUC2485" s="58"/>
      <c r="LUD2485" s="61"/>
      <c r="LUE2485" s="58"/>
      <c r="LUF2485" s="58"/>
      <c r="LUG2485" s="58"/>
      <c r="LUH2485" s="60"/>
      <c r="LUI2485" s="60"/>
      <c r="LUJ2485" s="60"/>
      <c r="LUK2485" s="58"/>
      <c r="LUL2485" s="61"/>
      <c r="LUM2485" s="58"/>
      <c r="LUN2485" s="58"/>
      <c r="LUO2485" s="58"/>
      <c r="LUP2485" s="60"/>
      <c r="LUQ2485" s="60"/>
      <c r="LUR2485" s="60"/>
      <c r="LUS2485" s="58"/>
      <c r="LUT2485" s="61"/>
      <c r="LUU2485" s="58"/>
      <c r="LUV2485" s="58"/>
      <c r="LUW2485" s="58"/>
      <c r="LUX2485" s="60"/>
      <c r="LUY2485" s="60"/>
      <c r="LUZ2485" s="60"/>
      <c r="LVA2485" s="58"/>
      <c r="LVB2485" s="61"/>
      <c r="LVC2485" s="58"/>
      <c r="LVD2485" s="58"/>
      <c r="LVE2485" s="58"/>
      <c r="LVF2485" s="60"/>
      <c r="LVG2485" s="60"/>
      <c r="LVH2485" s="60"/>
      <c r="LVI2485" s="58"/>
      <c r="LVJ2485" s="61"/>
      <c r="LVK2485" s="58"/>
      <c r="LVL2485" s="58"/>
      <c r="LVM2485" s="58"/>
      <c r="LVN2485" s="60"/>
      <c r="LVO2485" s="60"/>
      <c r="LVP2485" s="60"/>
      <c r="LVQ2485" s="58"/>
      <c r="LVR2485" s="61"/>
      <c r="LVS2485" s="58"/>
      <c r="LVT2485" s="58"/>
      <c r="LVU2485" s="58"/>
      <c r="LVV2485" s="60"/>
      <c r="LVW2485" s="60"/>
      <c r="LVX2485" s="60"/>
      <c r="LVY2485" s="58"/>
      <c r="LVZ2485" s="61"/>
      <c r="LWA2485" s="58"/>
      <c r="LWB2485" s="58"/>
      <c r="LWC2485" s="58"/>
      <c r="LWD2485" s="60"/>
      <c r="LWE2485" s="60"/>
      <c r="LWF2485" s="60"/>
      <c r="LWG2485" s="58"/>
      <c r="LWH2485" s="61"/>
      <c r="LWI2485" s="58"/>
      <c r="LWJ2485" s="58"/>
      <c r="LWK2485" s="58"/>
      <c r="LWL2485" s="60"/>
      <c r="LWM2485" s="60"/>
      <c r="LWN2485" s="60"/>
      <c r="LWO2485" s="58"/>
      <c r="LWP2485" s="61"/>
      <c r="LWQ2485" s="58"/>
      <c r="LWR2485" s="58"/>
      <c r="LWS2485" s="58"/>
      <c r="LWT2485" s="60"/>
      <c r="LWU2485" s="60"/>
      <c r="LWV2485" s="60"/>
      <c r="LWW2485" s="58"/>
      <c r="LWX2485" s="61"/>
      <c r="LWY2485" s="58"/>
      <c r="LWZ2485" s="58"/>
      <c r="LXA2485" s="58"/>
      <c r="LXB2485" s="60"/>
      <c r="LXC2485" s="60"/>
      <c r="LXD2485" s="60"/>
      <c r="LXE2485" s="58"/>
      <c r="LXF2485" s="61"/>
      <c r="LXG2485" s="58"/>
      <c r="LXH2485" s="58"/>
      <c r="LXI2485" s="58"/>
      <c r="LXJ2485" s="60"/>
      <c r="LXK2485" s="60"/>
      <c r="LXL2485" s="60"/>
      <c r="LXM2485" s="58"/>
      <c r="LXN2485" s="61"/>
      <c r="LXO2485" s="58"/>
      <c r="LXP2485" s="58"/>
      <c r="LXQ2485" s="58"/>
      <c r="LXR2485" s="60"/>
      <c r="LXS2485" s="60"/>
      <c r="LXT2485" s="60"/>
      <c r="LXU2485" s="58"/>
      <c r="LXV2485" s="61"/>
      <c r="LXW2485" s="58"/>
      <c r="LXX2485" s="58"/>
      <c r="LXY2485" s="58"/>
      <c r="LXZ2485" s="60"/>
      <c r="LYA2485" s="60"/>
      <c r="LYB2485" s="60"/>
      <c r="LYC2485" s="58"/>
      <c r="LYD2485" s="61"/>
      <c r="LYE2485" s="58"/>
      <c r="LYF2485" s="58"/>
      <c r="LYG2485" s="58"/>
      <c r="LYH2485" s="60"/>
      <c r="LYI2485" s="60"/>
      <c r="LYJ2485" s="60"/>
      <c r="LYK2485" s="58"/>
      <c r="LYL2485" s="61"/>
      <c r="LYM2485" s="58"/>
      <c r="LYN2485" s="58"/>
      <c r="LYO2485" s="58"/>
      <c r="LYP2485" s="60"/>
      <c r="LYQ2485" s="60"/>
      <c r="LYR2485" s="60"/>
      <c r="LYS2485" s="58"/>
      <c r="LYT2485" s="61"/>
      <c r="LYU2485" s="58"/>
      <c r="LYV2485" s="58"/>
      <c r="LYW2485" s="58"/>
      <c r="LYX2485" s="60"/>
      <c r="LYY2485" s="60"/>
      <c r="LYZ2485" s="60"/>
      <c r="LZA2485" s="58"/>
      <c r="LZB2485" s="61"/>
      <c r="LZC2485" s="58"/>
      <c r="LZD2485" s="58"/>
      <c r="LZE2485" s="58"/>
      <c r="LZF2485" s="60"/>
      <c r="LZG2485" s="60"/>
      <c r="LZH2485" s="60"/>
      <c r="LZI2485" s="58"/>
      <c r="LZJ2485" s="61"/>
      <c r="LZK2485" s="58"/>
      <c r="LZL2485" s="58"/>
      <c r="LZM2485" s="58"/>
      <c r="LZN2485" s="60"/>
      <c r="LZO2485" s="60"/>
      <c r="LZP2485" s="60"/>
      <c r="LZQ2485" s="58"/>
      <c r="LZR2485" s="61"/>
      <c r="LZS2485" s="58"/>
      <c r="LZT2485" s="58"/>
      <c r="LZU2485" s="58"/>
      <c r="LZV2485" s="60"/>
      <c r="LZW2485" s="60"/>
      <c r="LZX2485" s="60"/>
      <c r="LZY2485" s="58"/>
      <c r="LZZ2485" s="61"/>
      <c r="MAA2485" s="58"/>
      <c r="MAB2485" s="58"/>
      <c r="MAC2485" s="58"/>
      <c r="MAD2485" s="60"/>
      <c r="MAE2485" s="60"/>
      <c r="MAF2485" s="60"/>
      <c r="MAG2485" s="58"/>
      <c r="MAH2485" s="61"/>
      <c r="MAI2485" s="58"/>
      <c r="MAJ2485" s="58"/>
      <c r="MAK2485" s="58"/>
      <c r="MAL2485" s="60"/>
      <c r="MAM2485" s="60"/>
      <c r="MAN2485" s="60"/>
      <c r="MAO2485" s="58"/>
      <c r="MAP2485" s="61"/>
      <c r="MAQ2485" s="58"/>
      <c r="MAR2485" s="58"/>
      <c r="MAS2485" s="58"/>
      <c r="MAT2485" s="60"/>
      <c r="MAU2485" s="60"/>
      <c r="MAV2485" s="60"/>
      <c r="MAW2485" s="58"/>
      <c r="MAX2485" s="61"/>
      <c r="MAY2485" s="58"/>
      <c r="MAZ2485" s="58"/>
      <c r="MBA2485" s="58"/>
      <c r="MBB2485" s="60"/>
      <c r="MBC2485" s="60"/>
      <c r="MBD2485" s="60"/>
      <c r="MBE2485" s="58"/>
      <c r="MBF2485" s="61"/>
      <c r="MBG2485" s="58"/>
      <c r="MBH2485" s="58"/>
      <c r="MBI2485" s="58"/>
      <c r="MBJ2485" s="60"/>
      <c r="MBK2485" s="60"/>
      <c r="MBL2485" s="60"/>
      <c r="MBM2485" s="58"/>
      <c r="MBN2485" s="61"/>
      <c r="MBO2485" s="58"/>
      <c r="MBP2485" s="58"/>
      <c r="MBQ2485" s="58"/>
      <c r="MBR2485" s="60"/>
      <c r="MBS2485" s="60"/>
      <c r="MBT2485" s="60"/>
      <c r="MBU2485" s="58"/>
      <c r="MBV2485" s="61"/>
      <c r="MBW2485" s="58"/>
      <c r="MBX2485" s="58"/>
      <c r="MBY2485" s="58"/>
      <c r="MBZ2485" s="60"/>
      <c r="MCA2485" s="60"/>
      <c r="MCB2485" s="60"/>
      <c r="MCC2485" s="58"/>
      <c r="MCD2485" s="61"/>
      <c r="MCE2485" s="58"/>
      <c r="MCF2485" s="58"/>
      <c r="MCG2485" s="58"/>
      <c r="MCH2485" s="60"/>
      <c r="MCI2485" s="60"/>
      <c r="MCJ2485" s="60"/>
      <c r="MCK2485" s="58"/>
      <c r="MCL2485" s="61"/>
      <c r="MCM2485" s="58"/>
      <c r="MCN2485" s="58"/>
      <c r="MCO2485" s="58"/>
      <c r="MCP2485" s="60"/>
      <c r="MCQ2485" s="60"/>
      <c r="MCR2485" s="60"/>
      <c r="MCS2485" s="58"/>
      <c r="MCT2485" s="61"/>
      <c r="MCU2485" s="58"/>
      <c r="MCV2485" s="58"/>
      <c r="MCW2485" s="58"/>
      <c r="MCX2485" s="60"/>
      <c r="MCY2485" s="60"/>
      <c r="MCZ2485" s="60"/>
      <c r="MDA2485" s="58"/>
      <c r="MDB2485" s="61"/>
      <c r="MDC2485" s="58"/>
      <c r="MDD2485" s="58"/>
      <c r="MDE2485" s="58"/>
      <c r="MDF2485" s="60"/>
      <c r="MDG2485" s="60"/>
      <c r="MDH2485" s="60"/>
      <c r="MDI2485" s="58"/>
      <c r="MDJ2485" s="61"/>
      <c r="MDK2485" s="58"/>
      <c r="MDL2485" s="58"/>
      <c r="MDM2485" s="58"/>
      <c r="MDN2485" s="60"/>
      <c r="MDO2485" s="60"/>
      <c r="MDP2485" s="60"/>
      <c r="MDQ2485" s="58"/>
      <c r="MDR2485" s="61"/>
      <c r="MDS2485" s="58"/>
      <c r="MDT2485" s="58"/>
      <c r="MDU2485" s="58"/>
      <c r="MDV2485" s="60"/>
      <c r="MDW2485" s="60"/>
      <c r="MDX2485" s="60"/>
      <c r="MDY2485" s="58"/>
      <c r="MDZ2485" s="61"/>
      <c r="MEA2485" s="58"/>
      <c r="MEB2485" s="58"/>
      <c r="MEC2485" s="58"/>
      <c r="MED2485" s="60"/>
      <c r="MEE2485" s="60"/>
      <c r="MEF2485" s="60"/>
      <c r="MEG2485" s="58"/>
      <c r="MEH2485" s="61"/>
      <c r="MEI2485" s="58"/>
      <c r="MEJ2485" s="58"/>
      <c r="MEK2485" s="58"/>
      <c r="MEL2485" s="60"/>
      <c r="MEM2485" s="60"/>
      <c r="MEN2485" s="60"/>
      <c r="MEO2485" s="58"/>
      <c r="MEP2485" s="61"/>
      <c r="MEQ2485" s="58"/>
      <c r="MER2485" s="58"/>
      <c r="MES2485" s="58"/>
      <c r="MET2485" s="60"/>
      <c r="MEU2485" s="60"/>
      <c r="MEV2485" s="60"/>
      <c r="MEW2485" s="58"/>
      <c r="MEX2485" s="61"/>
      <c r="MEY2485" s="58"/>
      <c r="MEZ2485" s="58"/>
      <c r="MFA2485" s="58"/>
      <c r="MFB2485" s="60"/>
      <c r="MFC2485" s="60"/>
      <c r="MFD2485" s="60"/>
      <c r="MFE2485" s="58"/>
      <c r="MFF2485" s="61"/>
      <c r="MFG2485" s="58"/>
      <c r="MFH2485" s="58"/>
      <c r="MFI2485" s="58"/>
      <c r="MFJ2485" s="60"/>
      <c r="MFK2485" s="60"/>
      <c r="MFL2485" s="60"/>
      <c r="MFM2485" s="58"/>
      <c r="MFN2485" s="61"/>
      <c r="MFO2485" s="58"/>
      <c r="MFP2485" s="58"/>
      <c r="MFQ2485" s="58"/>
      <c r="MFR2485" s="60"/>
      <c r="MFS2485" s="60"/>
      <c r="MFT2485" s="60"/>
      <c r="MFU2485" s="58"/>
      <c r="MFV2485" s="61"/>
      <c r="MFW2485" s="58"/>
      <c r="MFX2485" s="58"/>
      <c r="MFY2485" s="58"/>
      <c r="MFZ2485" s="60"/>
      <c r="MGA2485" s="60"/>
      <c r="MGB2485" s="60"/>
      <c r="MGC2485" s="58"/>
      <c r="MGD2485" s="61"/>
      <c r="MGE2485" s="58"/>
      <c r="MGF2485" s="58"/>
      <c r="MGG2485" s="58"/>
      <c r="MGH2485" s="60"/>
      <c r="MGI2485" s="60"/>
      <c r="MGJ2485" s="60"/>
      <c r="MGK2485" s="58"/>
      <c r="MGL2485" s="61"/>
      <c r="MGM2485" s="58"/>
      <c r="MGN2485" s="58"/>
      <c r="MGO2485" s="58"/>
      <c r="MGP2485" s="60"/>
      <c r="MGQ2485" s="60"/>
      <c r="MGR2485" s="60"/>
      <c r="MGS2485" s="58"/>
      <c r="MGT2485" s="61"/>
      <c r="MGU2485" s="58"/>
      <c r="MGV2485" s="58"/>
      <c r="MGW2485" s="58"/>
      <c r="MGX2485" s="60"/>
      <c r="MGY2485" s="60"/>
      <c r="MGZ2485" s="60"/>
      <c r="MHA2485" s="58"/>
      <c r="MHB2485" s="61"/>
      <c r="MHC2485" s="58"/>
      <c r="MHD2485" s="58"/>
      <c r="MHE2485" s="58"/>
      <c r="MHF2485" s="60"/>
      <c r="MHG2485" s="60"/>
      <c r="MHH2485" s="60"/>
      <c r="MHI2485" s="58"/>
      <c r="MHJ2485" s="61"/>
      <c r="MHK2485" s="58"/>
      <c r="MHL2485" s="58"/>
      <c r="MHM2485" s="58"/>
      <c r="MHN2485" s="60"/>
      <c r="MHO2485" s="60"/>
      <c r="MHP2485" s="60"/>
      <c r="MHQ2485" s="58"/>
      <c r="MHR2485" s="61"/>
      <c r="MHS2485" s="58"/>
      <c r="MHT2485" s="58"/>
      <c r="MHU2485" s="58"/>
      <c r="MHV2485" s="60"/>
      <c r="MHW2485" s="60"/>
      <c r="MHX2485" s="60"/>
      <c r="MHY2485" s="58"/>
      <c r="MHZ2485" s="61"/>
      <c r="MIA2485" s="58"/>
      <c r="MIB2485" s="58"/>
      <c r="MIC2485" s="58"/>
      <c r="MID2485" s="60"/>
      <c r="MIE2485" s="60"/>
      <c r="MIF2485" s="60"/>
      <c r="MIG2485" s="58"/>
      <c r="MIH2485" s="61"/>
      <c r="MII2485" s="58"/>
      <c r="MIJ2485" s="58"/>
      <c r="MIK2485" s="58"/>
      <c r="MIL2485" s="60"/>
      <c r="MIM2485" s="60"/>
      <c r="MIN2485" s="60"/>
      <c r="MIO2485" s="58"/>
      <c r="MIP2485" s="61"/>
      <c r="MIQ2485" s="58"/>
      <c r="MIR2485" s="58"/>
      <c r="MIS2485" s="58"/>
      <c r="MIT2485" s="60"/>
      <c r="MIU2485" s="60"/>
      <c r="MIV2485" s="60"/>
      <c r="MIW2485" s="58"/>
      <c r="MIX2485" s="61"/>
      <c r="MIY2485" s="58"/>
      <c r="MIZ2485" s="58"/>
      <c r="MJA2485" s="58"/>
      <c r="MJB2485" s="60"/>
      <c r="MJC2485" s="60"/>
      <c r="MJD2485" s="60"/>
      <c r="MJE2485" s="58"/>
      <c r="MJF2485" s="61"/>
      <c r="MJG2485" s="58"/>
      <c r="MJH2485" s="58"/>
      <c r="MJI2485" s="58"/>
      <c r="MJJ2485" s="60"/>
      <c r="MJK2485" s="60"/>
      <c r="MJL2485" s="60"/>
      <c r="MJM2485" s="58"/>
      <c r="MJN2485" s="61"/>
      <c r="MJO2485" s="58"/>
      <c r="MJP2485" s="58"/>
      <c r="MJQ2485" s="58"/>
      <c r="MJR2485" s="60"/>
      <c r="MJS2485" s="60"/>
      <c r="MJT2485" s="60"/>
      <c r="MJU2485" s="58"/>
      <c r="MJV2485" s="61"/>
      <c r="MJW2485" s="58"/>
      <c r="MJX2485" s="58"/>
      <c r="MJY2485" s="58"/>
      <c r="MJZ2485" s="60"/>
      <c r="MKA2485" s="60"/>
      <c r="MKB2485" s="60"/>
      <c r="MKC2485" s="58"/>
      <c r="MKD2485" s="61"/>
      <c r="MKE2485" s="58"/>
      <c r="MKF2485" s="58"/>
      <c r="MKG2485" s="58"/>
      <c r="MKH2485" s="60"/>
      <c r="MKI2485" s="60"/>
      <c r="MKJ2485" s="60"/>
      <c r="MKK2485" s="58"/>
      <c r="MKL2485" s="61"/>
      <c r="MKM2485" s="58"/>
      <c r="MKN2485" s="58"/>
      <c r="MKO2485" s="58"/>
      <c r="MKP2485" s="60"/>
      <c r="MKQ2485" s="60"/>
      <c r="MKR2485" s="60"/>
      <c r="MKS2485" s="58"/>
      <c r="MKT2485" s="61"/>
      <c r="MKU2485" s="58"/>
      <c r="MKV2485" s="58"/>
      <c r="MKW2485" s="58"/>
      <c r="MKX2485" s="60"/>
      <c r="MKY2485" s="60"/>
      <c r="MKZ2485" s="60"/>
      <c r="MLA2485" s="58"/>
      <c r="MLB2485" s="61"/>
      <c r="MLC2485" s="58"/>
      <c r="MLD2485" s="58"/>
      <c r="MLE2485" s="58"/>
      <c r="MLF2485" s="60"/>
      <c r="MLG2485" s="60"/>
      <c r="MLH2485" s="60"/>
      <c r="MLI2485" s="58"/>
      <c r="MLJ2485" s="61"/>
      <c r="MLK2485" s="58"/>
      <c r="MLL2485" s="58"/>
      <c r="MLM2485" s="58"/>
      <c r="MLN2485" s="60"/>
      <c r="MLO2485" s="60"/>
      <c r="MLP2485" s="60"/>
      <c r="MLQ2485" s="58"/>
      <c r="MLR2485" s="61"/>
      <c r="MLS2485" s="58"/>
      <c r="MLT2485" s="58"/>
      <c r="MLU2485" s="58"/>
      <c r="MLV2485" s="60"/>
      <c r="MLW2485" s="60"/>
      <c r="MLX2485" s="60"/>
      <c r="MLY2485" s="58"/>
      <c r="MLZ2485" s="61"/>
      <c r="MMA2485" s="58"/>
      <c r="MMB2485" s="58"/>
      <c r="MMC2485" s="58"/>
      <c r="MMD2485" s="60"/>
      <c r="MME2485" s="60"/>
      <c r="MMF2485" s="60"/>
      <c r="MMG2485" s="58"/>
      <c r="MMH2485" s="61"/>
      <c r="MMI2485" s="58"/>
      <c r="MMJ2485" s="58"/>
      <c r="MMK2485" s="58"/>
      <c r="MML2485" s="60"/>
      <c r="MMM2485" s="60"/>
      <c r="MMN2485" s="60"/>
      <c r="MMO2485" s="58"/>
      <c r="MMP2485" s="61"/>
      <c r="MMQ2485" s="58"/>
      <c r="MMR2485" s="58"/>
      <c r="MMS2485" s="58"/>
      <c r="MMT2485" s="60"/>
      <c r="MMU2485" s="60"/>
      <c r="MMV2485" s="60"/>
      <c r="MMW2485" s="58"/>
      <c r="MMX2485" s="61"/>
      <c r="MMY2485" s="58"/>
      <c r="MMZ2485" s="58"/>
      <c r="MNA2485" s="58"/>
      <c r="MNB2485" s="60"/>
      <c r="MNC2485" s="60"/>
      <c r="MND2485" s="60"/>
      <c r="MNE2485" s="58"/>
      <c r="MNF2485" s="61"/>
      <c r="MNG2485" s="58"/>
      <c r="MNH2485" s="58"/>
      <c r="MNI2485" s="58"/>
      <c r="MNJ2485" s="60"/>
      <c r="MNK2485" s="60"/>
      <c r="MNL2485" s="60"/>
      <c r="MNM2485" s="58"/>
      <c r="MNN2485" s="61"/>
      <c r="MNO2485" s="58"/>
      <c r="MNP2485" s="58"/>
      <c r="MNQ2485" s="58"/>
      <c r="MNR2485" s="60"/>
      <c r="MNS2485" s="60"/>
      <c r="MNT2485" s="60"/>
      <c r="MNU2485" s="58"/>
      <c r="MNV2485" s="61"/>
      <c r="MNW2485" s="58"/>
      <c r="MNX2485" s="58"/>
      <c r="MNY2485" s="58"/>
      <c r="MNZ2485" s="60"/>
      <c r="MOA2485" s="60"/>
      <c r="MOB2485" s="60"/>
      <c r="MOC2485" s="58"/>
      <c r="MOD2485" s="61"/>
      <c r="MOE2485" s="58"/>
      <c r="MOF2485" s="58"/>
      <c r="MOG2485" s="58"/>
      <c r="MOH2485" s="60"/>
      <c r="MOI2485" s="60"/>
      <c r="MOJ2485" s="60"/>
      <c r="MOK2485" s="58"/>
      <c r="MOL2485" s="61"/>
      <c r="MOM2485" s="58"/>
      <c r="MON2485" s="58"/>
      <c r="MOO2485" s="58"/>
      <c r="MOP2485" s="60"/>
      <c r="MOQ2485" s="60"/>
      <c r="MOR2485" s="60"/>
      <c r="MOS2485" s="58"/>
      <c r="MOT2485" s="61"/>
      <c r="MOU2485" s="58"/>
      <c r="MOV2485" s="58"/>
      <c r="MOW2485" s="58"/>
      <c r="MOX2485" s="60"/>
      <c r="MOY2485" s="60"/>
      <c r="MOZ2485" s="60"/>
      <c r="MPA2485" s="58"/>
      <c r="MPB2485" s="61"/>
      <c r="MPC2485" s="58"/>
      <c r="MPD2485" s="58"/>
      <c r="MPE2485" s="58"/>
      <c r="MPF2485" s="60"/>
      <c r="MPG2485" s="60"/>
      <c r="MPH2485" s="60"/>
      <c r="MPI2485" s="58"/>
      <c r="MPJ2485" s="61"/>
      <c r="MPK2485" s="58"/>
      <c r="MPL2485" s="58"/>
      <c r="MPM2485" s="58"/>
      <c r="MPN2485" s="60"/>
      <c r="MPO2485" s="60"/>
      <c r="MPP2485" s="60"/>
      <c r="MPQ2485" s="58"/>
      <c r="MPR2485" s="61"/>
      <c r="MPS2485" s="58"/>
      <c r="MPT2485" s="58"/>
      <c r="MPU2485" s="58"/>
      <c r="MPV2485" s="60"/>
      <c r="MPW2485" s="60"/>
      <c r="MPX2485" s="60"/>
      <c r="MPY2485" s="58"/>
      <c r="MPZ2485" s="61"/>
      <c r="MQA2485" s="58"/>
      <c r="MQB2485" s="58"/>
      <c r="MQC2485" s="58"/>
      <c r="MQD2485" s="60"/>
      <c r="MQE2485" s="60"/>
      <c r="MQF2485" s="60"/>
      <c r="MQG2485" s="58"/>
      <c r="MQH2485" s="61"/>
      <c r="MQI2485" s="58"/>
      <c r="MQJ2485" s="58"/>
      <c r="MQK2485" s="58"/>
      <c r="MQL2485" s="60"/>
      <c r="MQM2485" s="60"/>
      <c r="MQN2485" s="60"/>
      <c r="MQO2485" s="58"/>
      <c r="MQP2485" s="61"/>
      <c r="MQQ2485" s="58"/>
      <c r="MQR2485" s="58"/>
      <c r="MQS2485" s="58"/>
      <c r="MQT2485" s="60"/>
      <c r="MQU2485" s="60"/>
      <c r="MQV2485" s="60"/>
      <c r="MQW2485" s="58"/>
      <c r="MQX2485" s="61"/>
      <c r="MQY2485" s="58"/>
      <c r="MQZ2485" s="58"/>
      <c r="MRA2485" s="58"/>
      <c r="MRB2485" s="60"/>
      <c r="MRC2485" s="60"/>
      <c r="MRD2485" s="60"/>
      <c r="MRE2485" s="58"/>
      <c r="MRF2485" s="61"/>
      <c r="MRG2485" s="58"/>
      <c r="MRH2485" s="58"/>
      <c r="MRI2485" s="58"/>
      <c r="MRJ2485" s="60"/>
      <c r="MRK2485" s="60"/>
      <c r="MRL2485" s="60"/>
      <c r="MRM2485" s="58"/>
      <c r="MRN2485" s="61"/>
      <c r="MRO2485" s="58"/>
      <c r="MRP2485" s="58"/>
      <c r="MRQ2485" s="58"/>
      <c r="MRR2485" s="60"/>
      <c r="MRS2485" s="60"/>
      <c r="MRT2485" s="60"/>
      <c r="MRU2485" s="58"/>
      <c r="MRV2485" s="61"/>
      <c r="MRW2485" s="58"/>
      <c r="MRX2485" s="58"/>
      <c r="MRY2485" s="58"/>
      <c r="MRZ2485" s="60"/>
      <c r="MSA2485" s="60"/>
      <c r="MSB2485" s="60"/>
      <c r="MSC2485" s="58"/>
      <c r="MSD2485" s="61"/>
      <c r="MSE2485" s="58"/>
      <c r="MSF2485" s="58"/>
      <c r="MSG2485" s="58"/>
      <c r="MSH2485" s="60"/>
      <c r="MSI2485" s="60"/>
      <c r="MSJ2485" s="60"/>
      <c r="MSK2485" s="58"/>
      <c r="MSL2485" s="61"/>
      <c r="MSM2485" s="58"/>
      <c r="MSN2485" s="58"/>
      <c r="MSO2485" s="58"/>
      <c r="MSP2485" s="60"/>
      <c r="MSQ2485" s="60"/>
      <c r="MSR2485" s="60"/>
      <c r="MSS2485" s="58"/>
      <c r="MST2485" s="61"/>
      <c r="MSU2485" s="58"/>
      <c r="MSV2485" s="58"/>
      <c r="MSW2485" s="58"/>
      <c r="MSX2485" s="60"/>
      <c r="MSY2485" s="60"/>
      <c r="MSZ2485" s="60"/>
      <c r="MTA2485" s="58"/>
      <c r="MTB2485" s="61"/>
      <c r="MTC2485" s="58"/>
      <c r="MTD2485" s="58"/>
      <c r="MTE2485" s="58"/>
      <c r="MTF2485" s="60"/>
      <c r="MTG2485" s="60"/>
      <c r="MTH2485" s="60"/>
      <c r="MTI2485" s="58"/>
      <c r="MTJ2485" s="61"/>
      <c r="MTK2485" s="58"/>
      <c r="MTL2485" s="58"/>
      <c r="MTM2485" s="58"/>
      <c r="MTN2485" s="60"/>
      <c r="MTO2485" s="60"/>
      <c r="MTP2485" s="60"/>
      <c r="MTQ2485" s="58"/>
      <c r="MTR2485" s="61"/>
      <c r="MTS2485" s="58"/>
      <c r="MTT2485" s="58"/>
      <c r="MTU2485" s="58"/>
      <c r="MTV2485" s="60"/>
      <c r="MTW2485" s="60"/>
      <c r="MTX2485" s="60"/>
      <c r="MTY2485" s="58"/>
      <c r="MTZ2485" s="61"/>
      <c r="MUA2485" s="58"/>
      <c r="MUB2485" s="58"/>
      <c r="MUC2485" s="58"/>
      <c r="MUD2485" s="60"/>
      <c r="MUE2485" s="60"/>
      <c r="MUF2485" s="60"/>
      <c r="MUG2485" s="58"/>
      <c r="MUH2485" s="61"/>
      <c r="MUI2485" s="58"/>
      <c r="MUJ2485" s="58"/>
      <c r="MUK2485" s="58"/>
      <c r="MUL2485" s="60"/>
      <c r="MUM2485" s="60"/>
      <c r="MUN2485" s="60"/>
      <c r="MUO2485" s="58"/>
      <c r="MUP2485" s="61"/>
      <c r="MUQ2485" s="58"/>
      <c r="MUR2485" s="58"/>
      <c r="MUS2485" s="58"/>
      <c r="MUT2485" s="60"/>
      <c r="MUU2485" s="60"/>
      <c r="MUV2485" s="60"/>
      <c r="MUW2485" s="58"/>
      <c r="MUX2485" s="61"/>
      <c r="MUY2485" s="58"/>
      <c r="MUZ2485" s="58"/>
      <c r="MVA2485" s="58"/>
      <c r="MVB2485" s="60"/>
      <c r="MVC2485" s="60"/>
      <c r="MVD2485" s="60"/>
      <c r="MVE2485" s="58"/>
      <c r="MVF2485" s="61"/>
      <c r="MVG2485" s="58"/>
      <c r="MVH2485" s="58"/>
      <c r="MVI2485" s="58"/>
      <c r="MVJ2485" s="60"/>
      <c r="MVK2485" s="60"/>
      <c r="MVL2485" s="60"/>
      <c r="MVM2485" s="58"/>
      <c r="MVN2485" s="61"/>
      <c r="MVO2485" s="58"/>
      <c r="MVP2485" s="58"/>
      <c r="MVQ2485" s="58"/>
      <c r="MVR2485" s="60"/>
      <c r="MVS2485" s="60"/>
      <c r="MVT2485" s="60"/>
      <c r="MVU2485" s="58"/>
      <c r="MVV2485" s="61"/>
      <c r="MVW2485" s="58"/>
      <c r="MVX2485" s="58"/>
      <c r="MVY2485" s="58"/>
      <c r="MVZ2485" s="60"/>
      <c r="MWA2485" s="60"/>
      <c r="MWB2485" s="60"/>
      <c r="MWC2485" s="58"/>
      <c r="MWD2485" s="61"/>
      <c r="MWE2485" s="58"/>
      <c r="MWF2485" s="58"/>
      <c r="MWG2485" s="58"/>
      <c r="MWH2485" s="60"/>
      <c r="MWI2485" s="60"/>
      <c r="MWJ2485" s="60"/>
      <c r="MWK2485" s="58"/>
      <c r="MWL2485" s="61"/>
      <c r="MWM2485" s="58"/>
      <c r="MWN2485" s="58"/>
      <c r="MWO2485" s="58"/>
      <c r="MWP2485" s="60"/>
      <c r="MWQ2485" s="60"/>
      <c r="MWR2485" s="60"/>
      <c r="MWS2485" s="58"/>
      <c r="MWT2485" s="61"/>
      <c r="MWU2485" s="58"/>
      <c r="MWV2485" s="58"/>
      <c r="MWW2485" s="58"/>
      <c r="MWX2485" s="60"/>
      <c r="MWY2485" s="60"/>
      <c r="MWZ2485" s="60"/>
      <c r="MXA2485" s="58"/>
      <c r="MXB2485" s="61"/>
      <c r="MXC2485" s="58"/>
      <c r="MXD2485" s="58"/>
      <c r="MXE2485" s="58"/>
      <c r="MXF2485" s="60"/>
      <c r="MXG2485" s="60"/>
      <c r="MXH2485" s="60"/>
      <c r="MXI2485" s="58"/>
      <c r="MXJ2485" s="61"/>
      <c r="MXK2485" s="58"/>
      <c r="MXL2485" s="58"/>
      <c r="MXM2485" s="58"/>
      <c r="MXN2485" s="60"/>
      <c r="MXO2485" s="60"/>
      <c r="MXP2485" s="60"/>
      <c r="MXQ2485" s="58"/>
      <c r="MXR2485" s="61"/>
      <c r="MXS2485" s="58"/>
      <c r="MXT2485" s="58"/>
      <c r="MXU2485" s="58"/>
      <c r="MXV2485" s="60"/>
      <c r="MXW2485" s="60"/>
      <c r="MXX2485" s="60"/>
      <c r="MXY2485" s="58"/>
      <c r="MXZ2485" s="61"/>
      <c r="MYA2485" s="58"/>
      <c r="MYB2485" s="58"/>
      <c r="MYC2485" s="58"/>
      <c r="MYD2485" s="60"/>
      <c r="MYE2485" s="60"/>
      <c r="MYF2485" s="60"/>
      <c r="MYG2485" s="58"/>
      <c r="MYH2485" s="61"/>
      <c r="MYI2485" s="58"/>
      <c r="MYJ2485" s="58"/>
      <c r="MYK2485" s="58"/>
      <c r="MYL2485" s="60"/>
      <c r="MYM2485" s="60"/>
      <c r="MYN2485" s="60"/>
      <c r="MYO2485" s="58"/>
      <c r="MYP2485" s="61"/>
      <c r="MYQ2485" s="58"/>
      <c r="MYR2485" s="58"/>
      <c r="MYS2485" s="58"/>
      <c r="MYT2485" s="60"/>
      <c r="MYU2485" s="60"/>
      <c r="MYV2485" s="60"/>
      <c r="MYW2485" s="58"/>
      <c r="MYX2485" s="61"/>
      <c r="MYY2485" s="58"/>
      <c r="MYZ2485" s="58"/>
      <c r="MZA2485" s="58"/>
      <c r="MZB2485" s="60"/>
      <c r="MZC2485" s="60"/>
      <c r="MZD2485" s="60"/>
      <c r="MZE2485" s="58"/>
      <c r="MZF2485" s="61"/>
      <c r="MZG2485" s="58"/>
      <c r="MZH2485" s="58"/>
      <c r="MZI2485" s="58"/>
      <c r="MZJ2485" s="60"/>
      <c r="MZK2485" s="60"/>
      <c r="MZL2485" s="60"/>
      <c r="MZM2485" s="58"/>
      <c r="MZN2485" s="61"/>
      <c r="MZO2485" s="58"/>
      <c r="MZP2485" s="58"/>
      <c r="MZQ2485" s="58"/>
      <c r="MZR2485" s="60"/>
      <c r="MZS2485" s="60"/>
      <c r="MZT2485" s="60"/>
      <c r="MZU2485" s="58"/>
      <c r="MZV2485" s="61"/>
      <c r="MZW2485" s="58"/>
      <c r="MZX2485" s="58"/>
      <c r="MZY2485" s="58"/>
      <c r="MZZ2485" s="60"/>
      <c r="NAA2485" s="60"/>
      <c r="NAB2485" s="60"/>
      <c r="NAC2485" s="58"/>
      <c r="NAD2485" s="61"/>
      <c r="NAE2485" s="58"/>
      <c r="NAF2485" s="58"/>
      <c r="NAG2485" s="58"/>
      <c r="NAH2485" s="60"/>
      <c r="NAI2485" s="60"/>
      <c r="NAJ2485" s="60"/>
      <c r="NAK2485" s="58"/>
      <c r="NAL2485" s="61"/>
      <c r="NAM2485" s="58"/>
      <c r="NAN2485" s="58"/>
      <c r="NAO2485" s="58"/>
      <c r="NAP2485" s="60"/>
      <c r="NAQ2485" s="60"/>
      <c r="NAR2485" s="60"/>
      <c r="NAS2485" s="58"/>
      <c r="NAT2485" s="61"/>
      <c r="NAU2485" s="58"/>
      <c r="NAV2485" s="58"/>
      <c r="NAW2485" s="58"/>
      <c r="NAX2485" s="60"/>
      <c r="NAY2485" s="60"/>
      <c r="NAZ2485" s="60"/>
      <c r="NBA2485" s="58"/>
      <c r="NBB2485" s="61"/>
      <c r="NBC2485" s="58"/>
      <c r="NBD2485" s="58"/>
      <c r="NBE2485" s="58"/>
      <c r="NBF2485" s="60"/>
      <c r="NBG2485" s="60"/>
      <c r="NBH2485" s="60"/>
      <c r="NBI2485" s="58"/>
      <c r="NBJ2485" s="61"/>
      <c r="NBK2485" s="58"/>
      <c r="NBL2485" s="58"/>
      <c r="NBM2485" s="58"/>
      <c r="NBN2485" s="60"/>
      <c r="NBO2485" s="60"/>
      <c r="NBP2485" s="60"/>
      <c r="NBQ2485" s="58"/>
      <c r="NBR2485" s="61"/>
      <c r="NBS2485" s="58"/>
      <c r="NBT2485" s="58"/>
      <c r="NBU2485" s="58"/>
      <c r="NBV2485" s="60"/>
      <c r="NBW2485" s="60"/>
      <c r="NBX2485" s="60"/>
      <c r="NBY2485" s="58"/>
      <c r="NBZ2485" s="61"/>
      <c r="NCA2485" s="58"/>
      <c r="NCB2485" s="58"/>
      <c r="NCC2485" s="58"/>
      <c r="NCD2485" s="60"/>
      <c r="NCE2485" s="60"/>
      <c r="NCF2485" s="60"/>
      <c r="NCG2485" s="58"/>
      <c r="NCH2485" s="61"/>
      <c r="NCI2485" s="58"/>
      <c r="NCJ2485" s="58"/>
      <c r="NCK2485" s="58"/>
      <c r="NCL2485" s="60"/>
      <c r="NCM2485" s="60"/>
      <c r="NCN2485" s="60"/>
      <c r="NCO2485" s="58"/>
      <c r="NCP2485" s="61"/>
      <c r="NCQ2485" s="58"/>
      <c r="NCR2485" s="58"/>
      <c r="NCS2485" s="58"/>
      <c r="NCT2485" s="60"/>
      <c r="NCU2485" s="60"/>
      <c r="NCV2485" s="60"/>
      <c r="NCW2485" s="58"/>
      <c r="NCX2485" s="61"/>
      <c r="NCY2485" s="58"/>
      <c r="NCZ2485" s="58"/>
      <c r="NDA2485" s="58"/>
      <c r="NDB2485" s="60"/>
      <c r="NDC2485" s="60"/>
      <c r="NDD2485" s="60"/>
      <c r="NDE2485" s="58"/>
      <c r="NDF2485" s="61"/>
      <c r="NDG2485" s="58"/>
      <c r="NDH2485" s="58"/>
      <c r="NDI2485" s="58"/>
      <c r="NDJ2485" s="60"/>
      <c r="NDK2485" s="60"/>
      <c r="NDL2485" s="60"/>
      <c r="NDM2485" s="58"/>
      <c r="NDN2485" s="61"/>
      <c r="NDO2485" s="58"/>
      <c r="NDP2485" s="58"/>
      <c r="NDQ2485" s="58"/>
      <c r="NDR2485" s="60"/>
      <c r="NDS2485" s="60"/>
      <c r="NDT2485" s="60"/>
      <c r="NDU2485" s="58"/>
      <c r="NDV2485" s="61"/>
      <c r="NDW2485" s="58"/>
      <c r="NDX2485" s="58"/>
      <c r="NDY2485" s="58"/>
      <c r="NDZ2485" s="60"/>
      <c r="NEA2485" s="60"/>
      <c r="NEB2485" s="60"/>
      <c r="NEC2485" s="58"/>
      <c r="NED2485" s="61"/>
      <c r="NEE2485" s="58"/>
      <c r="NEF2485" s="58"/>
      <c r="NEG2485" s="58"/>
      <c r="NEH2485" s="60"/>
      <c r="NEI2485" s="60"/>
      <c r="NEJ2485" s="60"/>
      <c r="NEK2485" s="58"/>
      <c r="NEL2485" s="61"/>
      <c r="NEM2485" s="58"/>
      <c r="NEN2485" s="58"/>
      <c r="NEO2485" s="58"/>
      <c r="NEP2485" s="60"/>
      <c r="NEQ2485" s="60"/>
      <c r="NER2485" s="60"/>
      <c r="NES2485" s="58"/>
      <c r="NET2485" s="61"/>
      <c r="NEU2485" s="58"/>
      <c r="NEV2485" s="58"/>
      <c r="NEW2485" s="58"/>
      <c r="NEX2485" s="60"/>
      <c r="NEY2485" s="60"/>
      <c r="NEZ2485" s="60"/>
      <c r="NFA2485" s="58"/>
      <c r="NFB2485" s="61"/>
      <c r="NFC2485" s="58"/>
      <c r="NFD2485" s="58"/>
      <c r="NFE2485" s="58"/>
      <c r="NFF2485" s="60"/>
      <c r="NFG2485" s="60"/>
      <c r="NFH2485" s="60"/>
      <c r="NFI2485" s="58"/>
      <c r="NFJ2485" s="61"/>
      <c r="NFK2485" s="58"/>
      <c r="NFL2485" s="58"/>
      <c r="NFM2485" s="58"/>
      <c r="NFN2485" s="60"/>
      <c r="NFO2485" s="60"/>
      <c r="NFP2485" s="60"/>
      <c r="NFQ2485" s="58"/>
      <c r="NFR2485" s="61"/>
      <c r="NFS2485" s="58"/>
      <c r="NFT2485" s="58"/>
      <c r="NFU2485" s="58"/>
      <c r="NFV2485" s="60"/>
      <c r="NFW2485" s="60"/>
      <c r="NFX2485" s="60"/>
      <c r="NFY2485" s="58"/>
      <c r="NFZ2485" s="61"/>
      <c r="NGA2485" s="58"/>
      <c r="NGB2485" s="58"/>
      <c r="NGC2485" s="58"/>
      <c r="NGD2485" s="60"/>
      <c r="NGE2485" s="60"/>
      <c r="NGF2485" s="60"/>
      <c r="NGG2485" s="58"/>
      <c r="NGH2485" s="61"/>
      <c r="NGI2485" s="58"/>
      <c r="NGJ2485" s="58"/>
      <c r="NGK2485" s="58"/>
      <c r="NGL2485" s="60"/>
      <c r="NGM2485" s="60"/>
      <c r="NGN2485" s="60"/>
      <c r="NGO2485" s="58"/>
      <c r="NGP2485" s="61"/>
      <c r="NGQ2485" s="58"/>
      <c r="NGR2485" s="58"/>
      <c r="NGS2485" s="58"/>
      <c r="NGT2485" s="60"/>
      <c r="NGU2485" s="60"/>
      <c r="NGV2485" s="60"/>
      <c r="NGW2485" s="58"/>
      <c r="NGX2485" s="61"/>
      <c r="NGY2485" s="58"/>
      <c r="NGZ2485" s="58"/>
      <c r="NHA2485" s="58"/>
      <c r="NHB2485" s="60"/>
      <c r="NHC2485" s="60"/>
      <c r="NHD2485" s="60"/>
      <c r="NHE2485" s="58"/>
      <c r="NHF2485" s="61"/>
      <c r="NHG2485" s="58"/>
      <c r="NHH2485" s="58"/>
      <c r="NHI2485" s="58"/>
      <c r="NHJ2485" s="60"/>
      <c r="NHK2485" s="60"/>
      <c r="NHL2485" s="60"/>
      <c r="NHM2485" s="58"/>
      <c r="NHN2485" s="61"/>
      <c r="NHO2485" s="58"/>
      <c r="NHP2485" s="58"/>
      <c r="NHQ2485" s="58"/>
      <c r="NHR2485" s="60"/>
      <c r="NHS2485" s="60"/>
      <c r="NHT2485" s="60"/>
      <c r="NHU2485" s="58"/>
      <c r="NHV2485" s="61"/>
      <c r="NHW2485" s="58"/>
      <c r="NHX2485" s="58"/>
      <c r="NHY2485" s="58"/>
      <c r="NHZ2485" s="60"/>
      <c r="NIA2485" s="60"/>
      <c r="NIB2485" s="60"/>
      <c r="NIC2485" s="58"/>
      <c r="NID2485" s="61"/>
      <c r="NIE2485" s="58"/>
      <c r="NIF2485" s="58"/>
      <c r="NIG2485" s="58"/>
      <c r="NIH2485" s="60"/>
      <c r="NII2485" s="60"/>
      <c r="NIJ2485" s="60"/>
      <c r="NIK2485" s="58"/>
      <c r="NIL2485" s="61"/>
      <c r="NIM2485" s="58"/>
      <c r="NIN2485" s="58"/>
      <c r="NIO2485" s="58"/>
      <c r="NIP2485" s="60"/>
      <c r="NIQ2485" s="60"/>
      <c r="NIR2485" s="60"/>
      <c r="NIS2485" s="58"/>
      <c r="NIT2485" s="61"/>
      <c r="NIU2485" s="58"/>
      <c r="NIV2485" s="58"/>
      <c r="NIW2485" s="58"/>
      <c r="NIX2485" s="60"/>
      <c r="NIY2485" s="60"/>
      <c r="NIZ2485" s="60"/>
      <c r="NJA2485" s="58"/>
      <c r="NJB2485" s="61"/>
      <c r="NJC2485" s="58"/>
      <c r="NJD2485" s="58"/>
      <c r="NJE2485" s="58"/>
      <c r="NJF2485" s="60"/>
      <c r="NJG2485" s="60"/>
      <c r="NJH2485" s="60"/>
      <c r="NJI2485" s="58"/>
      <c r="NJJ2485" s="61"/>
      <c r="NJK2485" s="58"/>
      <c r="NJL2485" s="58"/>
      <c r="NJM2485" s="58"/>
      <c r="NJN2485" s="60"/>
      <c r="NJO2485" s="60"/>
      <c r="NJP2485" s="60"/>
      <c r="NJQ2485" s="58"/>
      <c r="NJR2485" s="61"/>
      <c r="NJS2485" s="58"/>
      <c r="NJT2485" s="58"/>
      <c r="NJU2485" s="58"/>
      <c r="NJV2485" s="60"/>
      <c r="NJW2485" s="60"/>
      <c r="NJX2485" s="60"/>
      <c r="NJY2485" s="58"/>
      <c r="NJZ2485" s="61"/>
      <c r="NKA2485" s="58"/>
      <c r="NKB2485" s="58"/>
      <c r="NKC2485" s="58"/>
      <c r="NKD2485" s="60"/>
      <c r="NKE2485" s="60"/>
      <c r="NKF2485" s="60"/>
      <c r="NKG2485" s="58"/>
      <c r="NKH2485" s="61"/>
      <c r="NKI2485" s="58"/>
      <c r="NKJ2485" s="58"/>
      <c r="NKK2485" s="58"/>
      <c r="NKL2485" s="60"/>
      <c r="NKM2485" s="60"/>
      <c r="NKN2485" s="60"/>
      <c r="NKO2485" s="58"/>
      <c r="NKP2485" s="61"/>
      <c r="NKQ2485" s="58"/>
      <c r="NKR2485" s="58"/>
      <c r="NKS2485" s="58"/>
      <c r="NKT2485" s="60"/>
      <c r="NKU2485" s="60"/>
      <c r="NKV2485" s="60"/>
      <c r="NKW2485" s="58"/>
      <c r="NKX2485" s="61"/>
      <c r="NKY2485" s="58"/>
      <c r="NKZ2485" s="58"/>
      <c r="NLA2485" s="58"/>
      <c r="NLB2485" s="60"/>
      <c r="NLC2485" s="60"/>
      <c r="NLD2485" s="60"/>
      <c r="NLE2485" s="58"/>
      <c r="NLF2485" s="61"/>
      <c r="NLG2485" s="58"/>
      <c r="NLH2485" s="58"/>
      <c r="NLI2485" s="58"/>
      <c r="NLJ2485" s="60"/>
      <c r="NLK2485" s="60"/>
      <c r="NLL2485" s="60"/>
      <c r="NLM2485" s="58"/>
      <c r="NLN2485" s="61"/>
      <c r="NLO2485" s="58"/>
      <c r="NLP2485" s="58"/>
      <c r="NLQ2485" s="58"/>
      <c r="NLR2485" s="60"/>
      <c r="NLS2485" s="60"/>
      <c r="NLT2485" s="60"/>
      <c r="NLU2485" s="58"/>
      <c r="NLV2485" s="61"/>
      <c r="NLW2485" s="58"/>
      <c r="NLX2485" s="58"/>
      <c r="NLY2485" s="58"/>
      <c r="NLZ2485" s="60"/>
      <c r="NMA2485" s="60"/>
      <c r="NMB2485" s="60"/>
      <c r="NMC2485" s="58"/>
      <c r="NMD2485" s="61"/>
      <c r="NME2485" s="58"/>
      <c r="NMF2485" s="58"/>
      <c r="NMG2485" s="58"/>
      <c r="NMH2485" s="60"/>
      <c r="NMI2485" s="60"/>
      <c r="NMJ2485" s="60"/>
      <c r="NMK2485" s="58"/>
      <c r="NML2485" s="61"/>
      <c r="NMM2485" s="58"/>
      <c r="NMN2485" s="58"/>
      <c r="NMO2485" s="58"/>
      <c r="NMP2485" s="60"/>
      <c r="NMQ2485" s="60"/>
      <c r="NMR2485" s="60"/>
      <c r="NMS2485" s="58"/>
      <c r="NMT2485" s="61"/>
      <c r="NMU2485" s="58"/>
      <c r="NMV2485" s="58"/>
      <c r="NMW2485" s="58"/>
      <c r="NMX2485" s="60"/>
      <c r="NMY2485" s="60"/>
      <c r="NMZ2485" s="60"/>
      <c r="NNA2485" s="58"/>
      <c r="NNB2485" s="61"/>
      <c r="NNC2485" s="58"/>
      <c r="NND2485" s="58"/>
      <c r="NNE2485" s="58"/>
      <c r="NNF2485" s="60"/>
      <c r="NNG2485" s="60"/>
      <c r="NNH2485" s="60"/>
      <c r="NNI2485" s="58"/>
      <c r="NNJ2485" s="61"/>
      <c r="NNK2485" s="58"/>
      <c r="NNL2485" s="58"/>
      <c r="NNM2485" s="58"/>
      <c r="NNN2485" s="60"/>
      <c r="NNO2485" s="60"/>
      <c r="NNP2485" s="60"/>
      <c r="NNQ2485" s="58"/>
      <c r="NNR2485" s="61"/>
      <c r="NNS2485" s="58"/>
      <c r="NNT2485" s="58"/>
      <c r="NNU2485" s="58"/>
      <c r="NNV2485" s="60"/>
      <c r="NNW2485" s="60"/>
      <c r="NNX2485" s="60"/>
      <c r="NNY2485" s="58"/>
      <c r="NNZ2485" s="61"/>
      <c r="NOA2485" s="58"/>
      <c r="NOB2485" s="58"/>
      <c r="NOC2485" s="58"/>
      <c r="NOD2485" s="60"/>
      <c r="NOE2485" s="60"/>
      <c r="NOF2485" s="60"/>
      <c r="NOG2485" s="58"/>
      <c r="NOH2485" s="61"/>
      <c r="NOI2485" s="58"/>
      <c r="NOJ2485" s="58"/>
      <c r="NOK2485" s="58"/>
      <c r="NOL2485" s="60"/>
      <c r="NOM2485" s="60"/>
      <c r="NON2485" s="60"/>
      <c r="NOO2485" s="58"/>
      <c r="NOP2485" s="61"/>
      <c r="NOQ2485" s="58"/>
      <c r="NOR2485" s="58"/>
      <c r="NOS2485" s="58"/>
      <c r="NOT2485" s="60"/>
      <c r="NOU2485" s="60"/>
      <c r="NOV2485" s="60"/>
      <c r="NOW2485" s="58"/>
      <c r="NOX2485" s="61"/>
      <c r="NOY2485" s="58"/>
      <c r="NOZ2485" s="58"/>
      <c r="NPA2485" s="58"/>
      <c r="NPB2485" s="60"/>
      <c r="NPC2485" s="60"/>
      <c r="NPD2485" s="60"/>
      <c r="NPE2485" s="58"/>
      <c r="NPF2485" s="61"/>
      <c r="NPG2485" s="58"/>
      <c r="NPH2485" s="58"/>
      <c r="NPI2485" s="58"/>
      <c r="NPJ2485" s="60"/>
      <c r="NPK2485" s="60"/>
      <c r="NPL2485" s="60"/>
      <c r="NPM2485" s="58"/>
      <c r="NPN2485" s="61"/>
      <c r="NPO2485" s="58"/>
      <c r="NPP2485" s="58"/>
      <c r="NPQ2485" s="58"/>
      <c r="NPR2485" s="60"/>
      <c r="NPS2485" s="60"/>
      <c r="NPT2485" s="60"/>
      <c r="NPU2485" s="58"/>
      <c r="NPV2485" s="61"/>
      <c r="NPW2485" s="58"/>
      <c r="NPX2485" s="58"/>
      <c r="NPY2485" s="58"/>
      <c r="NPZ2485" s="60"/>
      <c r="NQA2485" s="60"/>
      <c r="NQB2485" s="60"/>
      <c r="NQC2485" s="58"/>
      <c r="NQD2485" s="61"/>
      <c r="NQE2485" s="58"/>
      <c r="NQF2485" s="58"/>
      <c r="NQG2485" s="58"/>
      <c r="NQH2485" s="60"/>
      <c r="NQI2485" s="60"/>
      <c r="NQJ2485" s="60"/>
      <c r="NQK2485" s="58"/>
      <c r="NQL2485" s="61"/>
      <c r="NQM2485" s="58"/>
      <c r="NQN2485" s="58"/>
      <c r="NQO2485" s="58"/>
      <c r="NQP2485" s="60"/>
      <c r="NQQ2485" s="60"/>
      <c r="NQR2485" s="60"/>
      <c r="NQS2485" s="58"/>
      <c r="NQT2485" s="61"/>
      <c r="NQU2485" s="58"/>
      <c r="NQV2485" s="58"/>
      <c r="NQW2485" s="58"/>
      <c r="NQX2485" s="60"/>
      <c r="NQY2485" s="60"/>
      <c r="NQZ2485" s="60"/>
      <c r="NRA2485" s="58"/>
      <c r="NRB2485" s="61"/>
      <c r="NRC2485" s="58"/>
      <c r="NRD2485" s="58"/>
      <c r="NRE2485" s="58"/>
      <c r="NRF2485" s="60"/>
      <c r="NRG2485" s="60"/>
      <c r="NRH2485" s="60"/>
      <c r="NRI2485" s="58"/>
      <c r="NRJ2485" s="61"/>
      <c r="NRK2485" s="58"/>
      <c r="NRL2485" s="58"/>
      <c r="NRM2485" s="58"/>
      <c r="NRN2485" s="60"/>
      <c r="NRO2485" s="60"/>
      <c r="NRP2485" s="60"/>
      <c r="NRQ2485" s="58"/>
      <c r="NRR2485" s="61"/>
      <c r="NRS2485" s="58"/>
      <c r="NRT2485" s="58"/>
      <c r="NRU2485" s="58"/>
      <c r="NRV2485" s="60"/>
      <c r="NRW2485" s="60"/>
      <c r="NRX2485" s="60"/>
      <c r="NRY2485" s="58"/>
      <c r="NRZ2485" s="61"/>
      <c r="NSA2485" s="58"/>
      <c r="NSB2485" s="58"/>
      <c r="NSC2485" s="58"/>
      <c r="NSD2485" s="60"/>
      <c r="NSE2485" s="60"/>
      <c r="NSF2485" s="60"/>
      <c r="NSG2485" s="58"/>
      <c r="NSH2485" s="61"/>
      <c r="NSI2485" s="58"/>
      <c r="NSJ2485" s="58"/>
      <c r="NSK2485" s="58"/>
      <c r="NSL2485" s="60"/>
      <c r="NSM2485" s="60"/>
      <c r="NSN2485" s="60"/>
      <c r="NSO2485" s="58"/>
      <c r="NSP2485" s="61"/>
      <c r="NSQ2485" s="58"/>
      <c r="NSR2485" s="58"/>
      <c r="NSS2485" s="58"/>
      <c r="NST2485" s="60"/>
      <c r="NSU2485" s="60"/>
      <c r="NSV2485" s="60"/>
      <c r="NSW2485" s="58"/>
      <c r="NSX2485" s="61"/>
      <c r="NSY2485" s="58"/>
      <c r="NSZ2485" s="58"/>
      <c r="NTA2485" s="58"/>
      <c r="NTB2485" s="60"/>
      <c r="NTC2485" s="60"/>
      <c r="NTD2485" s="60"/>
      <c r="NTE2485" s="58"/>
      <c r="NTF2485" s="61"/>
      <c r="NTG2485" s="58"/>
      <c r="NTH2485" s="58"/>
      <c r="NTI2485" s="58"/>
      <c r="NTJ2485" s="60"/>
      <c r="NTK2485" s="60"/>
      <c r="NTL2485" s="60"/>
      <c r="NTM2485" s="58"/>
      <c r="NTN2485" s="61"/>
      <c r="NTO2485" s="58"/>
      <c r="NTP2485" s="58"/>
      <c r="NTQ2485" s="58"/>
      <c r="NTR2485" s="60"/>
      <c r="NTS2485" s="60"/>
      <c r="NTT2485" s="60"/>
      <c r="NTU2485" s="58"/>
      <c r="NTV2485" s="61"/>
      <c r="NTW2485" s="58"/>
      <c r="NTX2485" s="58"/>
      <c r="NTY2485" s="58"/>
      <c r="NTZ2485" s="60"/>
      <c r="NUA2485" s="60"/>
      <c r="NUB2485" s="60"/>
      <c r="NUC2485" s="58"/>
      <c r="NUD2485" s="61"/>
      <c r="NUE2485" s="58"/>
      <c r="NUF2485" s="58"/>
      <c r="NUG2485" s="58"/>
      <c r="NUH2485" s="60"/>
      <c r="NUI2485" s="60"/>
      <c r="NUJ2485" s="60"/>
      <c r="NUK2485" s="58"/>
      <c r="NUL2485" s="61"/>
      <c r="NUM2485" s="58"/>
      <c r="NUN2485" s="58"/>
      <c r="NUO2485" s="58"/>
      <c r="NUP2485" s="60"/>
      <c r="NUQ2485" s="60"/>
      <c r="NUR2485" s="60"/>
      <c r="NUS2485" s="58"/>
      <c r="NUT2485" s="61"/>
      <c r="NUU2485" s="58"/>
      <c r="NUV2485" s="58"/>
      <c r="NUW2485" s="58"/>
      <c r="NUX2485" s="60"/>
      <c r="NUY2485" s="60"/>
      <c r="NUZ2485" s="60"/>
      <c r="NVA2485" s="58"/>
      <c r="NVB2485" s="61"/>
      <c r="NVC2485" s="58"/>
      <c r="NVD2485" s="58"/>
      <c r="NVE2485" s="58"/>
      <c r="NVF2485" s="60"/>
      <c r="NVG2485" s="60"/>
      <c r="NVH2485" s="60"/>
      <c r="NVI2485" s="58"/>
      <c r="NVJ2485" s="61"/>
      <c r="NVK2485" s="58"/>
      <c r="NVL2485" s="58"/>
      <c r="NVM2485" s="58"/>
      <c r="NVN2485" s="60"/>
      <c r="NVO2485" s="60"/>
      <c r="NVP2485" s="60"/>
      <c r="NVQ2485" s="58"/>
      <c r="NVR2485" s="61"/>
      <c r="NVS2485" s="58"/>
      <c r="NVT2485" s="58"/>
      <c r="NVU2485" s="58"/>
      <c r="NVV2485" s="60"/>
      <c r="NVW2485" s="60"/>
      <c r="NVX2485" s="60"/>
      <c r="NVY2485" s="58"/>
      <c r="NVZ2485" s="61"/>
      <c r="NWA2485" s="58"/>
      <c r="NWB2485" s="58"/>
      <c r="NWC2485" s="58"/>
      <c r="NWD2485" s="60"/>
      <c r="NWE2485" s="60"/>
      <c r="NWF2485" s="60"/>
      <c r="NWG2485" s="58"/>
      <c r="NWH2485" s="61"/>
      <c r="NWI2485" s="58"/>
      <c r="NWJ2485" s="58"/>
      <c r="NWK2485" s="58"/>
      <c r="NWL2485" s="60"/>
      <c r="NWM2485" s="60"/>
      <c r="NWN2485" s="60"/>
      <c r="NWO2485" s="58"/>
      <c r="NWP2485" s="61"/>
      <c r="NWQ2485" s="58"/>
      <c r="NWR2485" s="58"/>
      <c r="NWS2485" s="58"/>
      <c r="NWT2485" s="60"/>
      <c r="NWU2485" s="60"/>
      <c r="NWV2485" s="60"/>
      <c r="NWW2485" s="58"/>
      <c r="NWX2485" s="61"/>
      <c r="NWY2485" s="58"/>
      <c r="NWZ2485" s="58"/>
      <c r="NXA2485" s="58"/>
      <c r="NXB2485" s="60"/>
      <c r="NXC2485" s="60"/>
      <c r="NXD2485" s="60"/>
      <c r="NXE2485" s="58"/>
      <c r="NXF2485" s="61"/>
      <c r="NXG2485" s="58"/>
      <c r="NXH2485" s="58"/>
      <c r="NXI2485" s="58"/>
      <c r="NXJ2485" s="60"/>
      <c r="NXK2485" s="60"/>
      <c r="NXL2485" s="60"/>
      <c r="NXM2485" s="58"/>
      <c r="NXN2485" s="61"/>
      <c r="NXO2485" s="58"/>
      <c r="NXP2485" s="58"/>
      <c r="NXQ2485" s="58"/>
      <c r="NXR2485" s="60"/>
      <c r="NXS2485" s="60"/>
      <c r="NXT2485" s="60"/>
      <c r="NXU2485" s="58"/>
      <c r="NXV2485" s="61"/>
      <c r="NXW2485" s="58"/>
      <c r="NXX2485" s="58"/>
      <c r="NXY2485" s="58"/>
      <c r="NXZ2485" s="60"/>
      <c r="NYA2485" s="60"/>
      <c r="NYB2485" s="60"/>
      <c r="NYC2485" s="58"/>
      <c r="NYD2485" s="61"/>
      <c r="NYE2485" s="58"/>
      <c r="NYF2485" s="58"/>
      <c r="NYG2485" s="58"/>
      <c r="NYH2485" s="60"/>
      <c r="NYI2485" s="60"/>
      <c r="NYJ2485" s="60"/>
      <c r="NYK2485" s="58"/>
      <c r="NYL2485" s="61"/>
      <c r="NYM2485" s="58"/>
      <c r="NYN2485" s="58"/>
      <c r="NYO2485" s="58"/>
      <c r="NYP2485" s="60"/>
      <c r="NYQ2485" s="60"/>
      <c r="NYR2485" s="60"/>
      <c r="NYS2485" s="58"/>
      <c r="NYT2485" s="61"/>
      <c r="NYU2485" s="58"/>
      <c r="NYV2485" s="58"/>
      <c r="NYW2485" s="58"/>
      <c r="NYX2485" s="60"/>
      <c r="NYY2485" s="60"/>
      <c r="NYZ2485" s="60"/>
      <c r="NZA2485" s="58"/>
      <c r="NZB2485" s="61"/>
      <c r="NZC2485" s="58"/>
      <c r="NZD2485" s="58"/>
      <c r="NZE2485" s="58"/>
      <c r="NZF2485" s="60"/>
      <c r="NZG2485" s="60"/>
      <c r="NZH2485" s="60"/>
      <c r="NZI2485" s="58"/>
      <c r="NZJ2485" s="61"/>
      <c r="NZK2485" s="58"/>
      <c r="NZL2485" s="58"/>
      <c r="NZM2485" s="58"/>
      <c r="NZN2485" s="60"/>
      <c r="NZO2485" s="60"/>
      <c r="NZP2485" s="60"/>
      <c r="NZQ2485" s="58"/>
      <c r="NZR2485" s="61"/>
      <c r="NZS2485" s="58"/>
      <c r="NZT2485" s="58"/>
      <c r="NZU2485" s="58"/>
      <c r="NZV2485" s="60"/>
      <c r="NZW2485" s="60"/>
      <c r="NZX2485" s="60"/>
      <c r="NZY2485" s="58"/>
      <c r="NZZ2485" s="61"/>
      <c r="OAA2485" s="58"/>
      <c r="OAB2485" s="58"/>
      <c r="OAC2485" s="58"/>
      <c r="OAD2485" s="60"/>
      <c r="OAE2485" s="60"/>
      <c r="OAF2485" s="60"/>
      <c r="OAG2485" s="58"/>
      <c r="OAH2485" s="61"/>
      <c r="OAI2485" s="58"/>
      <c r="OAJ2485" s="58"/>
      <c r="OAK2485" s="58"/>
      <c r="OAL2485" s="60"/>
      <c r="OAM2485" s="60"/>
      <c r="OAN2485" s="60"/>
      <c r="OAO2485" s="58"/>
      <c r="OAP2485" s="61"/>
      <c r="OAQ2485" s="58"/>
      <c r="OAR2485" s="58"/>
      <c r="OAS2485" s="58"/>
      <c r="OAT2485" s="60"/>
      <c r="OAU2485" s="60"/>
      <c r="OAV2485" s="60"/>
      <c r="OAW2485" s="58"/>
      <c r="OAX2485" s="61"/>
      <c r="OAY2485" s="58"/>
      <c r="OAZ2485" s="58"/>
      <c r="OBA2485" s="58"/>
      <c r="OBB2485" s="60"/>
      <c r="OBC2485" s="60"/>
      <c r="OBD2485" s="60"/>
      <c r="OBE2485" s="58"/>
      <c r="OBF2485" s="61"/>
      <c r="OBG2485" s="58"/>
      <c r="OBH2485" s="58"/>
      <c r="OBI2485" s="58"/>
      <c r="OBJ2485" s="60"/>
      <c r="OBK2485" s="60"/>
      <c r="OBL2485" s="60"/>
      <c r="OBM2485" s="58"/>
      <c r="OBN2485" s="61"/>
      <c r="OBO2485" s="58"/>
      <c r="OBP2485" s="58"/>
      <c r="OBQ2485" s="58"/>
      <c r="OBR2485" s="60"/>
      <c r="OBS2485" s="60"/>
      <c r="OBT2485" s="60"/>
      <c r="OBU2485" s="58"/>
      <c r="OBV2485" s="61"/>
      <c r="OBW2485" s="58"/>
      <c r="OBX2485" s="58"/>
      <c r="OBY2485" s="58"/>
      <c r="OBZ2485" s="60"/>
      <c r="OCA2485" s="60"/>
      <c r="OCB2485" s="60"/>
      <c r="OCC2485" s="58"/>
      <c r="OCD2485" s="61"/>
      <c r="OCE2485" s="58"/>
      <c r="OCF2485" s="58"/>
      <c r="OCG2485" s="58"/>
      <c r="OCH2485" s="60"/>
      <c r="OCI2485" s="60"/>
      <c r="OCJ2485" s="60"/>
      <c r="OCK2485" s="58"/>
      <c r="OCL2485" s="61"/>
      <c r="OCM2485" s="58"/>
      <c r="OCN2485" s="58"/>
      <c r="OCO2485" s="58"/>
      <c r="OCP2485" s="60"/>
      <c r="OCQ2485" s="60"/>
      <c r="OCR2485" s="60"/>
      <c r="OCS2485" s="58"/>
      <c r="OCT2485" s="61"/>
      <c r="OCU2485" s="58"/>
      <c r="OCV2485" s="58"/>
      <c r="OCW2485" s="58"/>
      <c r="OCX2485" s="60"/>
      <c r="OCY2485" s="60"/>
      <c r="OCZ2485" s="60"/>
      <c r="ODA2485" s="58"/>
      <c r="ODB2485" s="61"/>
      <c r="ODC2485" s="58"/>
      <c r="ODD2485" s="58"/>
      <c r="ODE2485" s="58"/>
      <c r="ODF2485" s="60"/>
      <c r="ODG2485" s="60"/>
      <c r="ODH2485" s="60"/>
      <c r="ODI2485" s="58"/>
      <c r="ODJ2485" s="61"/>
      <c r="ODK2485" s="58"/>
      <c r="ODL2485" s="58"/>
      <c r="ODM2485" s="58"/>
      <c r="ODN2485" s="60"/>
      <c r="ODO2485" s="60"/>
      <c r="ODP2485" s="60"/>
      <c r="ODQ2485" s="58"/>
      <c r="ODR2485" s="61"/>
      <c r="ODS2485" s="58"/>
      <c r="ODT2485" s="58"/>
      <c r="ODU2485" s="58"/>
      <c r="ODV2485" s="60"/>
      <c r="ODW2485" s="60"/>
      <c r="ODX2485" s="60"/>
      <c r="ODY2485" s="58"/>
      <c r="ODZ2485" s="61"/>
      <c r="OEA2485" s="58"/>
      <c r="OEB2485" s="58"/>
      <c r="OEC2485" s="58"/>
      <c r="OED2485" s="60"/>
      <c r="OEE2485" s="60"/>
      <c r="OEF2485" s="60"/>
      <c r="OEG2485" s="58"/>
      <c r="OEH2485" s="61"/>
      <c r="OEI2485" s="58"/>
      <c r="OEJ2485" s="58"/>
      <c r="OEK2485" s="58"/>
      <c r="OEL2485" s="60"/>
      <c r="OEM2485" s="60"/>
      <c r="OEN2485" s="60"/>
      <c r="OEO2485" s="58"/>
      <c r="OEP2485" s="61"/>
      <c r="OEQ2485" s="58"/>
      <c r="OER2485" s="58"/>
      <c r="OES2485" s="58"/>
      <c r="OET2485" s="60"/>
      <c r="OEU2485" s="60"/>
      <c r="OEV2485" s="60"/>
      <c r="OEW2485" s="58"/>
      <c r="OEX2485" s="61"/>
      <c r="OEY2485" s="58"/>
      <c r="OEZ2485" s="58"/>
      <c r="OFA2485" s="58"/>
      <c r="OFB2485" s="60"/>
      <c r="OFC2485" s="60"/>
      <c r="OFD2485" s="60"/>
      <c r="OFE2485" s="58"/>
      <c r="OFF2485" s="61"/>
      <c r="OFG2485" s="58"/>
      <c r="OFH2485" s="58"/>
      <c r="OFI2485" s="58"/>
      <c r="OFJ2485" s="60"/>
      <c r="OFK2485" s="60"/>
      <c r="OFL2485" s="60"/>
      <c r="OFM2485" s="58"/>
      <c r="OFN2485" s="61"/>
      <c r="OFO2485" s="58"/>
      <c r="OFP2485" s="58"/>
      <c r="OFQ2485" s="58"/>
      <c r="OFR2485" s="60"/>
      <c r="OFS2485" s="60"/>
      <c r="OFT2485" s="60"/>
      <c r="OFU2485" s="58"/>
      <c r="OFV2485" s="61"/>
      <c r="OFW2485" s="58"/>
      <c r="OFX2485" s="58"/>
      <c r="OFY2485" s="58"/>
      <c r="OFZ2485" s="60"/>
      <c r="OGA2485" s="60"/>
      <c r="OGB2485" s="60"/>
      <c r="OGC2485" s="58"/>
      <c r="OGD2485" s="61"/>
      <c r="OGE2485" s="58"/>
      <c r="OGF2485" s="58"/>
      <c r="OGG2485" s="58"/>
      <c r="OGH2485" s="60"/>
      <c r="OGI2485" s="60"/>
      <c r="OGJ2485" s="60"/>
      <c r="OGK2485" s="58"/>
      <c r="OGL2485" s="61"/>
      <c r="OGM2485" s="58"/>
      <c r="OGN2485" s="58"/>
      <c r="OGO2485" s="58"/>
      <c r="OGP2485" s="60"/>
      <c r="OGQ2485" s="60"/>
      <c r="OGR2485" s="60"/>
      <c r="OGS2485" s="58"/>
      <c r="OGT2485" s="61"/>
      <c r="OGU2485" s="58"/>
      <c r="OGV2485" s="58"/>
      <c r="OGW2485" s="58"/>
      <c r="OGX2485" s="60"/>
      <c r="OGY2485" s="60"/>
      <c r="OGZ2485" s="60"/>
      <c r="OHA2485" s="58"/>
      <c r="OHB2485" s="61"/>
      <c r="OHC2485" s="58"/>
      <c r="OHD2485" s="58"/>
      <c r="OHE2485" s="58"/>
      <c r="OHF2485" s="60"/>
      <c r="OHG2485" s="60"/>
      <c r="OHH2485" s="60"/>
      <c r="OHI2485" s="58"/>
      <c r="OHJ2485" s="61"/>
      <c r="OHK2485" s="58"/>
      <c r="OHL2485" s="58"/>
      <c r="OHM2485" s="58"/>
      <c r="OHN2485" s="60"/>
      <c r="OHO2485" s="60"/>
      <c r="OHP2485" s="60"/>
      <c r="OHQ2485" s="58"/>
      <c r="OHR2485" s="61"/>
      <c r="OHS2485" s="58"/>
      <c r="OHT2485" s="58"/>
      <c r="OHU2485" s="58"/>
      <c r="OHV2485" s="60"/>
      <c r="OHW2485" s="60"/>
      <c r="OHX2485" s="60"/>
      <c r="OHY2485" s="58"/>
      <c r="OHZ2485" s="61"/>
      <c r="OIA2485" s="58"/>
      <c r="OIB2485" s="58"/>
      <c r="OIC2485" s="58"/>
      <c r="OID2485" s="60"/>
      <c r="OIE2485" s="60"/>
      <c r="OIF2485" s="60"/>
      <c r="OIG2485" s="58"/>
      <c r="OIH2485" s="61"/>
      <c r="OII2485" s="58"/>
      <c r="OIJ2485" s="58"/>
      <c r="OIK2485" s="58"/>
      <c r="OIL2485" s="60"/>
      <c r="OIM2485" s="60"/>
      <c r="OIN2485" s="60"/>
      <c r="OIO2485" s="58"/>
      <c r="OIP2485" s="61"/>
      <c r="OIQ2485" s="58"/>
      <c r="OIR2485" s="58"/>
      <c r="OIS2485" s="58"/>
      <c r="OIT2485" s="60"/>
      <c r="OIU2485" s="60"/>
      <c r="OIV2485" s="60"/>
      <c r="OIW2485" s="58"/>
      <c r="OIX2485" s="61"/>
      <c r="OIY2485" s="58"/>
      <c r="OIZ2485" s="58"/>
      <c r="OJA2485" s="58"/>
      <c r="OJB2485" s="60"/>
      <c r="OJC2485" s="60"/>
      <c r="OJD2485" s="60"/>
      <c r="OJE2485" s="58"/>
      <c r="OJF2485" s="61"/>
      <c r="OJG2485" s="58"/>
      <c r="OJH2485" s="58"/>
      <c r="OJI2485" s="58"/>
      <c r="OJJ2485" s="60"/>
      <c r="OJK2485" s="60"/>
      <c r="OJL2485" s="60"/>
      <c r="OJM2485" s="58"/>
      <c r="OJN2485" s="61"/>
      <c r="OJO2485" s="58"/>
      <c r="OJP2485" s="58"/>
      <c r="OJQ2485" s="58"/>
      <c r="OJR2485" s="60"/>
      <c r="OJS2485" s="60"/>
      <c r="OJT2485" s="60"/>
      <c r="OJU2485" s="58"/>
      <c r="OJV2485" s="61"/>
      <c r="OJW2485" s="58"/>
      <c r="OJX2485" s="58"/>
      <c r="OJY2485" s="58"/>
      <c r="OJZ2485" s="60"/>
      <c r="OKA2485" s="60"/>
      <c r="OKB2485" s="60"/>
      <c r="OKC2485" s="58"/>
      <c r="OKD2485" s="61"/>
      <c r="OKE2485" s="58"/>
      <c r="OKF2485" s="58"/>
      <c r="OKG2485" s="58"/>
      <c r="OKH2485" s="60"/>
      <c r="OKI2485" s="60"/>
      <c r="OKJ2485" s="60"/>
      <c r="OKK2485" s="58"/>
      <c r="OKL2485" s="61"/>
      <c r="OKM2485" s="58"/>
      <c r="OKN2485" s="58"/>
      <c r="OKO2485" s="58"/>
      <c r="OKP2485" s="60"/>
      <c r="OKQ2485" s="60"/>
      <c r="OKR2485" s="60"/>
      <c r="OKS2485" s="58"/>
      <c r="OKT2485" s="61"/>
      <c r="OKU2485" s="58"/>
      <c r="OKV2485" s="58"/>
      <c r="OKW2485" s="58"/>
      <c r="OKX2485" s="60"/>
      <c r="OKY2485" s="60"/>
      <c r="OKZ2485" s="60"/>
      <c r="OLA2485" s="58"/>
      <c r="OLB2485" s="61"/>
      <c r="OLC2485" s="58"/>
      <c r="OLD2485" s="58"/>
      <c r="OLE2485" s="58"/>
      <c r="OLF2485" s="60"/>
      <c r="OLG2485" s="60"/>
      <c r="OLH2485" s="60"/>
      <c r="OLI2485" s="58"/>
      <c r="OLJ2485" s="61"/>
      <c r="OLK2485" s="58"/>
      <c r="OLL2485" s="58"/>
      <c r="OLM2485" s="58"/>
      <c r="OLN2485" s="60"/>
      <c r="OLO2485" s="60"/>
      <c r="OLP2485" s="60"/>
      <c r="OLQ2485" s="58"/>
      <c r="OLR2485" s="61"/>
      <c r="OLS2485" s="58"/>
      <c r="OLT2485" s="58"/>
      <c r="OLU2485" s="58"/>
      <c r="OLV2485" s="60"/>
      <c r="OLW2485" s="60"/>
      <c r="OLX2485" s="60"/>
      <c r="OLY2485" s="58"/>
      <c r="OLZ2485" s="61"/>
      <c r="OMA2485" s="58"/>
      <c r="OMB2485" s="58"/>
      <c r="OMC2485" s="58"/>
      <c r="OMD2485" s="60"/>
      <c r="OME2485" s="60"/>
      <c r="OMF2485" s="60"/>
      <c r="OMG2485" s="58"/>
      <c r="OMH2485" s="61"/>
      <c r="OMI2485" s="58"/>
      <c r="OMJ2485" s="58"/>
      <c r="OMK2485" s="58"/>
      <c r="OML2485" s="60"/>
      <c r="OMM2485" s="60"/>
      <c r="OMN2485" s="60"/>
      <c r="OMO2485" s="58"/>
      <c r="OMP2485" s="61"/>
      <c r="OMQ2485" s="58"/>
      <c r="OMR2485" s="58"/>
      <c r="OMS2485" s="58"/>
      <c r="OMT2485" s="60"/>
      <c r="OMU2485" s="60"/>
      <c r="OMV2485" s="60"/>
      <c r="OMW2485" s="58"/>
      <c r="OMX2485" s="61"/>
      <c r="OMY2485" s="58"/>
      <c r="OMZ2485" s="58"/>
      <c r="ONA2485" s="58"/>
      <c r="ONB2485" s="60"/>
      <c r="ONC2485" s="60"/>
      <c r="OND2485" s="60"/>
      <c r="ONE2485" s="58"/>
      <c r="ONF2485" s="61"/>
      <c r="ONG2485" s="58"/>
      <c r="ONH2485" s="58"/>
      <c r="ONI2485" s="58"/>
      <c r="ONJ2485" s="60"/>
      <c r="ONK2485" s="60"/>
      <c r="ONL2485" s="60"/>
      <c r="ONM2485" s="58"/>
      <c r="ONN2485" s="61"/>
      <c r="ONO2485" s="58"/>
      <c r="ONP2485" s="58"/>
      <c r="ONQ2485" s="58"/>
      <c r="ONR2485" s="60"/>
      <c r="ONS2485" s="60"/>
      <c r="ONT2485" s="60"/>
      <c r="ONU2485" s="58"/>
      <c r="ONV2485" s="61"/>
      <c r="ONW2485" s="58"/>
      <c r="ONX2485" s="58"/>
      <c r="ONY2485" s="58"/>
      <c r="ONZ2485" s="60"/>
      <c r="OOA2485" s="60"/>
      <c r="OOB2485" s="60"/>
      <c r="OOC2485" s="58"/>
      <c r="OOD2485" s="61"/>
      <c r="OOE2485" s="58"/>
      <c r="OOF2485" s="58"/>
      <c r="OOG2485" s="58"/>
      <c r="OOH2485" s="60"/>
      <c r="OOI2485" s="60"/>
      <c r="OOJ2485" s="60"/>
      <c r="OOK2485" s="58"/>
      <c r="OOL2485" s="61"/>
      <c r="OOM2485" s="58"/>
      <c r="OON2485" s="58"/>
      <c r="OOO2485" s="58"/>
      <c r="OOP2485" s="60"/>
      <c r="OOQ2485" s="60"/>
      <c r="OOR2485" s="60"/>
      <c r="OOS2485" s="58"/>
      <c r="OOT2485" s="61"/>
      <c r="OOU2485" s="58"/>
      <c r="OOV2485" s="58"/>
      <c r="OOW2485" s="58"/>
      <c r="OOX2485" s="60"/>
      <c r="OOY2485" s="60"/>
      <c r="OOZ2485" s="60"/>
      <c r="OPA2485" s="58"/>
      <c r="OPB2485" s="61"/>
      <c r="OPC2485" s="58"/>
      <c r="OPD2485" s="58"/>
      <c r="OPE2485" s="58"/>
      <c r="OPF2485" s="60"/>
      <c r="OPG2485" s="60"/>
      <c r="OPH2485" s="60"/>
      <c r="OPI2485" s="58"/>
      <c r="OPJ2485" s="61"/>
      <c r="OPK2485" s="58"/>
      <c r="OPL2485" s="58"/>
      <c r="OPM2485" s="58"/>
      <c r="OPN2485" s="60"/>
      <c r="OPO2485" s="60"/>
      <c r="OPP2485" s="60"/>
      <c r="OPQ2485" s="58"/>
      <c r="OPR2485" s="61"/>
      <c r="OPS2485" s="58"/>
      <c r="OPT2485" s="58"/>
      <c r="OPU2485" s="58"/>
      <c r="OPV2485" s="60"/>
      <c r="OPW2485" s="60"/>
      <c r="OPX2485" s="60"/>
      <c r="OPY2485" s="58"/>
      <c r="OPZ2485" s="61"/>
      <c r="OQA2485" s="58"/>
      <c r="OQB2485" s="58"/>
      <c r="OQC2485" s="58"/>
      <c r="OQD2485" s="60"/>
      <c r="OQE2485" s="60"/>
      <c r="OQF2485" s="60"/>
      <c r="OQG2485" s="58"/>
      <c r="OQH2485" s="61"/>
      <c r="OQI2485" s="58"/>
      <c r="OQJ2485" s="58"/>
      <c r="OQK2485" s="58"/>
      <c r="OQL2485" s="60"/>
      <c r="OQM2485" s="60"/>
      <c r="OQN2485" s="60"/>
      <c r="OQO2485" s="58"/>
      <c r="OQP2485" s="61"/>
      <c r="OQQ2485" s="58"/>
      <c r="OQR2485" s="58"/>
      <c r="OQS2485" s="58"/>
      <c r="OQT2485" s="60"/>
      <c r="OQU2485" s="60"/>
      <c r="OQV2485" s="60"/>
      <c r="OQW2485" s="58"/>
      <c r="OQX2485" s="61"/>
      <c r="OQY2485" s="58"/>
      <c r="OQZ2485" s="58"/>
      <c r="ORA2485" s="58"/>
      <c r="ORB2485" s="60"/>
      <c r="ORC2485" s="60"/>
      <c r="ORD2485" s="60"/>
      <c r="ORE2485" s="58"/>
      <c r="ORF2485" s="61"/>
      <c r="ORG2485" s="58"/>
      <c r="ORH2485" s="58"/>
      <c r="ORI2485" s="58"/>
      <c r="ORJ2485" s="60"/>
      <c r="ORK2485" s="60"/>
      <c r="ORL2485" s="60"/>
      <c r="ORM2485" s="58"/>
      <c r="ORN2485" s="61"/>
      <c r="ORO2485" s="58"/>
      <c r="ORP2485" s="58"/>
      <c r="ORQ2485" s="58"/>
      <c r="ORR2485" s="60"/>
      <c r="ORS2485" s="60"/>
      <c r="ORT2485" s="60"/>
      <c r="ORU2485" s="58"/>
      <c r="ORV2485" s="61"/>
      <c r="ORW2485" s="58"/>
      <c r="ORX2485" s="58"/>
      <c r="ORY2485" s="58"/>
      <c r="ORZ2485" s="60"/>
      <c r="OSA2485" s="60"/>
      <c r="OSB2485" s="60"/>
      <c r="OSC2485" s="58"/>
      <c r="OSD2485" s="61"/>
      <c r="OSE2485" s="58"/>
      <c r="OSF2485" s="58"/>
      <c r="OSG2485" s="58"/>
      <c r="OSH2485" s="60"/>
      <c r="OSI2485" s="60"/>
      <c r="OSJ2485" s="60"/>
      <c r="OSK2485" s="58"/>
      <c r="OSL2485" s="61"/>
      <c r="OSM2485" s="58"/>
      <c r="OSN2485" s="58"/>
      <c r="OSO2485" s="58"/>
      <c r="OSP2485" s="60"/>
      <c r="OSQ2485" s="60"/>
      <c r="OSR2485" s="60"/>
      <c r="OSS2485" s="58"/>
      <c r="OST2485" s="61"/>
      <c r="OSU2485" s="58"/>
      <c r="OSV2485" s="58"/>
      <c r="OSW2485" s="58"/>
      <c r="OSX2485" s="60"/>
      <c r="OSY2485" s="60"/>
      <c r="OSZ2485" s="60"/>
      <c r="OTA2485" s="58"/>
      <c r="OTB2485" s="61"/>
      <c r="OTC2485" s="58"/>
      <c r="OTD2485" s="58"/>
      <c r="OTE2485" s="58"/>
      <c r="OTF2485" s="60"/>
      <c r="OTG2485" s="60"/>
      <c r="OTH2485" s="60"/>
      <c r="OTI2485" s="58"/>
      <c r="OTJ2485" s="61"/>
      <c r="OTK2485" s="58"/>
      <c r="OTL2485" s="58"/>
      <c r="OTM2485" s="58"/>
      <c r="OTN2485" s="60"/>
      <c r="OTO2485" s="60"/>
      <c r="OTP2485" s="60"/>
      <c r="OTQ2485" s="58"/>
      <c r="OTR2485" s="61"/>
      <c r="OTS2485" s="58"/>
      <c r="OTT2485" s="58"/>
      <c r="OTU2485" s="58"/>
      <c r="OTV2485" s="60"/>
      <c r="OTW2485" s="60"/>
      <c r="OTX2485" s="60"/>
      <c r="OTY2485" s="58"/>
      <c r="OTZ2485" s="61"/>
      <c r="OUA2485" s="58"/>
      <c r="OUB2485" s="58"/>
      <c r="OUC2485" s="58"/>
      <c r="OUD2485" s="60"/>
      <c r="OUE2485" s="60"/>
      <c r="OUF2485" s="60"/>
      <c r="OUG2485" s="58"/>
      <c r="OUH2485" s="61"/>
      <c r="OUI2485" s="58"/>
      <c r="OUJ2485" s="58"/>
      <c r="OUK2485" s="58"/>
      <c r="OUL2485" s="60"/>
      <c r="OUM2485" s="60"/>
      <c r="OUN2485" s="60"/>
      <c r="OUO2485" s="58"/>
      <c r="OUP2485" s="61"/>
      <c r="OUQ2485" s="58"/>
      <c r="OUR2485" s="58"/>
      <c r="OUS2485" s="58"/>
      <c r="OUT2485" s="60"/>
      <c r="OUU2485" s="60"/>
      <c r="OUV2485" s="60"/>
      <c r="OUW2485" s="58"/>
      <c r="OUX2485" s="61"/>
      <c r="OUY2485" s="58"/>
      <c r="OUZ2485" s="58"/>
      <c r="OVA2485" s="58"/>
      <c r="OVB2485" s="60"/>
      <c r="OVC2485" s="60"/>
      <c r="OVD2485" s="60"/>
      <c r="OVE2485" s="58"/>
      <c r="OVF2485" s="61"/>
      <c r="OVG2485" s="58"/>
      <c r="OVH2485" s="58"/>
      <c r="OVI2485" s="58"/>
      <c r="OVJ2485" s="60"/>
      <c r="OVK2485" s="60"/>
      <c r="OVL2485" s="60"/>
      <c r="OVM2485" s="58"/>
      <c r="OVN2485" s="61"/>
      <c r="OVO2485" s="58"/>
      <c r="OVP2485" s="58"/>
      <c r="OVQ2485" s="58"/>
      <c r="OVR2485" s="60"/>
      <c r="OVS2485" s="60"/>
      <c r="OVT2485" s="60"/>
      <c r="OVU2485" s="58"/>
      <c r="OVV2485" s="61"/>
      <c r="OVW2485" s="58"/>
      <c r="OVX2485" s="58"/>
      <c r="OVY2485" s="58"/>
      <c r="OVZ2485" s="60"/>
      <c r="OWA2485" s="60"/>
      <c r="OWB2485" s="60"/>
      <c r="OWC2485" s="58"/>
      <c r="OWD2485" s="61"/>
      <c r="OWE2485" s="58"/>
      <c r="OWF2485" s="58"/>
      <c r="OWG2485" s="58"/>
      <c r="OWH2485" s="60"/>
      <c r="OWI2485" s="60"/>
      <c r="OWJ2485" s="60"/>
      <c r="OWK2485" s="58"/>
      <c r="OWL2485" s="61"/>
      <c r="OWM2485" s="58"/>
      <c r="OWN2485" s="58"/>
      <c r="OWO2485" s="58"/>
      <c r="OWP2485" s="60"/>
      <c r="OWQ2485" s="60"/>
      <c r="OWR2485" s="60"/>
      <c r="OWS2485" s="58"/>
      <c r="OWT2485" s="61"/>
      <c r="OWU2485" s="58"/>
      <c r="OWV2485" s="58"/>
      <c r="OWW2485" s="58"/>
      <c r="OWX2485" s="60"/>
      <c r="OWY2485" s="60"/>
      <c r="OWZ2485" s="60"/>
      <c r="OXA2485" s="58"/>
      <c r="OXB2485" s="61"/>
      <c r="OXC2485" s="58"/>
      <c r="OXD2485" s="58"/>
      <c r="OXE2485" s="58"/>
      <c r="OXF2485" s="60"/>
      <c r="OXG2485" s="60"/>
      <c r="OXH2485" s="60"/>
      <c r="OXI2485" s="58"/>
      <c r="OXJ2485" s="61"/>
      <c r="OXK2485" s="58"/>
      <c r="OXL2485" s="58"/>
      <c r="OXM2485" s="58"/>
      <c r="OXN2485" s="60"/>
      <c r="OXO2485" s="60"/>
      <c r="OXP2485" s="60"/>
      <c r="OXQ2485" s="58"/>
      <c r="OXR2485" s="61"/>
      <c r="OXS2485" s="58"/>
      <c r="OXT2485" s="58"/>
      <c r="OXU2485" s="58"/>
      <c r="OXV2485" s="60"/>
      <c r="OXW2485" s="60"/>
      <c r="OXX2485" s="60"/>
      <c r="OXY2485" s="58"/>
      <c r="OXZ2485" s="61"/>
      <c r="OYA2485" s="58"/>
      <c r="OYB2485" s="58"/>
      <c r="OYC2485" s="58"/>
      <c r="OYD2485" s="60"/>
      <c r="OYE2485" s="60"/>
      <c r="OYF2485" s="60"/>
      <c r="OYG2485" s="58"/>
      <c r="OYH2485" s="61"/>
      <c r="OYI2485" s="58"/>
      <c r="OYJ2485" s="58"/>
      <c r="OYK2485" s="58"/>
      <c r="OYL2485" s="60"/>
      <c r="OYM2485" s="60"/>
      <c r="OYN2485" s="60"/>
      <c r="OYO2485" s="58"/>
      <c r="OYP2485" s="61"/>
      <c r="OYQ2485" s="58"/>
      <c r="OYR2485" s="58"/>
      <c r="OYS2485" s="58"/>
      <c r="OYT2485" s="60"/>
      <c r="OYU2485" s="60"/>
      <c r="OYV2485" s="60"/>
      <c r="OYW2485" s="58"/>
      <c r="OYX2485" s="61"/>
      <c r="OYY2485" s="58"/>
      <c r="OYZ2485" s="58"/>
      <c r="OZA2485" s="58"/>
      <c r="OZB2485" s="60"/>
      <c r="OZC2485" s="60"/>
      <c r="OZD2485" s="60"/>
      <c r="OZE2485" s="58"/>
      <c r="OZF2485" s="61"/>
      <c r="OZG2485" s="58"/>
      <c r="OZH2485" s="58"/>
      <c r="OZI2485" s="58"/>
      <c r="OZJ2485" s="60"/>
      <c r="OZK2485" s="60"/>
      <c r="OZL2485" s="60"/>
      <c r="OZM2485" s="58"/>
      <c r="OZN2485" s="61"/>
      <c r="OZO2485" s="58"/>
      <c r="OZP2485" s="58"/>
      <c r="OZQ2485" s="58"/>
      <c r="OZR2485" s="60"/>
      <c r="OZS2485" s="60"/>
      <c r="OZT2485" s="60"/>
      <c r="OZU2485" s="58"/>
      <c r="OZV2485" s="61"/>
      <c r="OZW2485" s="58"/>
      <c r="OZX2485" s="58"/>
      <c r="OZY2485" s="58"/>
      <c r="OZZ2485" s="60"/>
      <c r="PAA2485" s="60"/>
      <c r="PAB2485" s="60"/>
      <c r="PAC2485" s="58"/>
      <c r="PAD2485" s="61"/>
      <c r="PAE2485" s="58"/>
      <c r="PAF2485" s="58"/>
      <c r="PAG2485" s="58"/>
      <c r="PAH2485" s="60"/>
      <c r="PAI2485" s="60"/>
      <c r="PAJ2485" s="60"/>
      <c r="PAK2485" s="58"/>
      <c r="PAL2485" s="61"/>
      <c r="PAM2485" s="58"/>
      <c r="PAN2485" s="58"/>
      <c r="PAO2485" s="58"/>
      <c r="PAP2485" s="60"/>
      <c r="PAQ2485" s="60"/>
      <c r="PAR2485" s="60"/>
      <c r="PAS2485" s="58"/>
      <c r="PAT2485" s="61"/>
      <c r="PAU2485" s="58"/>
      <c r="PAV2485" s="58"/>
      <c r="PAW2485" s="58"/>
      <c r="PAX2485" s="60"/>
      <c r="PAY2485" s="60"/>
      <c r="PAZ2485" s="60"/>
      <c r="PBA2485" s="58"/>
      <c r="PBB2485" s="61"/>
      <c r="PBC2485" s="58"/>
      <c r="PBD2485" s="58"/>
      <c r="PBE2485" s="58"/>
      <c r="PBF2485" s="60"/>
      <c r="PBG2485" s="60"/>
      <c r="PBH2485" s="60"/>
      <c r="PBI2485" s="58"/>
      <c r="PBJ2485" s="61"/>
      <c r="PBK2485" s="58"/>
      <c r="PBL2485" s="58"/>
      <c r="PBM2485" s="58"/>
      <c r="PBN2485" s="60"/>
      <c r="PBO2485" s="60"/>
      <c r="PBP2485" s="60"/>
      <c r="PBQ2485" s="58"/>
      <c r="PBR2485" s="61"/>
      <c r="PBS2485" s="58"/>
      <c r="PBT2485" s="58"/>
      <c r="PBU2485" s="58"/>
      <c r="PBV2485" s="60"/>
      <c r="PBW2485" s="60"/>
      <c r="PBX2485" s="60"/>
      <c r="PBY2485" s="58"/>
      <c r="PBZ2485" s="61"/>
      <c r="PCA2485" s="58"/>
      <c r="PCB2485" s="58"/>
      <c r="PCC2485" s="58"/>
      <c r="PCD2485" s="60"/>
      <c r="PCE2485" s="60"/>
      <c r="PCF2485" s="60"/>
      <c r="PCG2485" s="58"/>
      <c r="PCH2485" s="61"/>
      <c r="PCI2485" s="58"/>
      <c r="PCJ2485" s="58"/>
      <c r="PCK2485" s="58"/>
      <c r="PCL2485" s="60"/>
      <c r="PCM2485" s="60"/>
      <c r="PCN2485" s="60"/>
      <c r="PCO2485" s="58"/>
      <c r="PCP2485" s="61"/>
      <c r="PCQ2485" s="58"/>
      <c r="PCR2485" s="58"/>
      <c r="PCS2485" s="58"/>
      <c r="PCT2485" s="60"/>
      <c r="PCU2485" s="60"/>
      <c r="PCV2485" s="60"/>
      <c r="PCW2485" s="58"/>
      <c r="PCX2485" s="61"/>
      <c r="PCY2485" s="58"/>
      <c r="PCZ2485" s="58"/>
      <c r="PDA2485" s="58"/>
      <c r="PDB2485" s="60"/>
      <c r="PDC2485" s="60"/>
      <c r="PDD2485" s="60"/>
      <c r="PDE2485" s="58"/>
      <c r="PDF2485" s="61"/>
      <c r="PDG2485" s="58"/>
      <c r="PDH2485" s="58"/>
      <c r="PDI2485" s="58"/>
      <c r="PDJ2485" s="60"/>
      <c r="PDK2485" s="60"/>
      <c r="PDL2485" s="60"/>
      <c r="PDM2485" s="58"/>
      <c r="PDN2485" s="61"/>
      <c r="PDO2485" s="58"/>
      <c r="PDP2485" s="58"/>
      <c r="PDQ2485" s="58"/>
      <c r="PDR2485" s="60"/>
      <c r="PDS2485" s="60"/>
      <c r="PDT2485" s="60"/>
      <c r="PDU2485" s="58"/>
      <c r="PDV2485" s="61"/>
      <c r="PDW2485" s="58"/>
      <c r="PDX2485" s="58"/>
      <c r="PDY2485" s="58"/>
      <c r="PDZ2485" s="60"/>
      <c r="PEA2485" s="60"/>
      <c r="PEB2485" s="60"/>
      <c r="PEC2485" s="58"/>
      <c r="PED2485" s="61"/>
      <c r="PEE2485" s="58"/>
      <c r="PEF2485" s="58"/>
      <c r="PEG2485" s="58"/>
      <c r="PEH2485" s="60"/>
      <c r="PEI2485" s="60"/>
      <c r="PEJ2485" s="60"/>
      <c r="PEK2485" s="58"/>
      <c r="PEL2485" s="61"/>
      <c r="PEM2485" s="58"/>
      <c r="PEN2485" s="58"/>
      <c r="PEO2485" s="58"/>
      <c r="PEP2485" s="60"/>
      <c r="PEQ2485" s="60"/>
      <c r="PER2485" s="60"/>
      <c r="PES2485" s="58"/>
      <c r="PET2485" s="61"/>
      <c r="PEU2485" s="58"/>
      <c r="PEV2485" s="58"/>
      <c r="PEW2485" s="58"/>
      <c r="PEX2485" s="60"/>
      <c r="PEY2485" s="60"/>
      <c r="PEZ2485" s="60"/>
      <c r="PFA2485" s="58"/>
      <c r="PFB2485" s="61"/>
      <c r="PFC2485" s="58"/>
      <c r="PFD2485" s="58"/>
      <c r="PFE2485" s="58"/>
      <c r="PFF2485" s="60"/>
      <c r="PFG2485" s="60"/>
      <c r="PFH2485" s="60"/>
      <c r="PFI2485" s="58"/>
      <c r="PFJ2485" s="61"/>
      <c r="PFK2485" s="58"/>
      <c r="PFL2485" s="58"/>
      <c r="PFM2485" s="58"/>
      <c r="PFN2485" s="60"/>
      <c r="PFO2485" s="60"/>
      <c r="PFP2485" s="60"/>
      <c r="PFQ2485" s="58"/>
      <c r="PFR2485" s="61"/>
      <c r="PFS2485" s="58"/>
      <c r="PFT2485" s="58"/>
      <c r="PFU2485" s="58"/>
      <c r="PFV2485" s="60"/>
      <c r="PFW2485" s="60"/>
      <c r="PFX2485" s="60"/>
      <c r="PFY2485" s="58"/>
      <c r="PFZ2485" s="61"/>
      <c r="PGA2485" s="58"/>
      <c r="PGB2485" s="58"/>
      <c r="PGC2485" s="58"/>
      <c r="PGD2485" s="60"/>
      <c r="PGE2485" s="60"/>
      <c r="PGF2485" s="60"/>
      <c r="PGG2485" s="58"/>
      <c r="PGH2485" s="61"/>
      <c r="PGI2485" s="58"/>
      <c r="PGJ2485" s="58"/>
      <c r="PGK2485" s="58"/>
      <c r="PGL2485" s="60"/>
      <c r="PGM2485" s="60"/>
      <c r="PGN2485" s="60"/>
      <c r="PGO2485" s="58"/>
      <c r="PGP2485" s="61"/>
      <c r="PGQ2485" s="58"/>
      <c r="PGR2485" s="58"/>
      <c r="PGS2485" s="58"/>
      <c r="PGT2485" s="60"/>
      <c r="PGU2485" s="60"/>
      <c r="PGV2485" s="60"/>
      <c r="PGW2485" s="58"/>
      <c r="PGX2485" s="61"/>
      <c r="PGY2485" s="58"/>
      <c r="PGZ2485" s="58"/>
      <c r="PHA2485" s="58"/>
      <c r="PHB2485" s="60"/>
      <c r="PHC2485" s="60"/>
      <c r="PHD2485" s="60"/>
      <c r="PHE2485" s="58"/>
      <c r="PHF2485" s="61"/>
      <c r="PHG2485" s="58"/>
      <c r="PHH2485" s="58"/>
      <c r="PHI2485" s="58"/>
      <c r="PHJ2485" s="60"/>
      <c r="PHK2485" s="60"/>
      <c r="PHL2485" s="60"/>
      <c r="PHM2485" s="58"/>
      <c r="PHN2485" s="61"/>
      <c r="PHO2485" s="58"/>
      <c r="PHP2485" s="58"/>
      <c r="PHQ2485" s="58"/>
      <c r="PHR2485" s="60"/>
      <c r="PHS2485" s="60"/>
      <c r="PHT2485" s="60"/>
      <c r="PHU2485" s="58"/>
      <c r="PHV2485" s="61"/>
      <c r="PHW2485" s="58"/>
      <c r="PHX2485" s="58"/>
      <c r="PHY2485" s="58"/>
      <c r="PHZ2485" s="60"/>
      <c r="PIA2485" s="60"/>
      <c r="PIB2485" s="60"/>
      <c r="PIC2485" s="58"/>
      <c r="PID2485" s="61"/>
      <c r="PIE2485" s="58"/>
      <c r="PIF2485" s="58"/>
      <c r="PIG2485" s="58"/>
      <c r="PIH2485" s="60"/>
      <c r="PII2485" s="60"/>
      <c r="PIJ2485" s="60"/>
      <c r="PIK2485" s="58"/>
      <c r="PIL2485" s="61"/>
      <c r="PIM2485" s="58"/>
      <c r="PIN2485" s="58"/>
      <c r="PIO2485" s="58"/>
      <c r="PIP2485" s="60"/>
      <c r="PIQ2485" s="60"/>
      <c r="PIR2485" s="60"/>
      <c r="PIS2485" s="58"/>
      <c r="PIT2485" s="61"/>
      <c r="PIU2485" s="58"/>
      <c r="PIV2485" s="58"/>
      <c r="PIW2485" s="58"/>
      <c r="PIX2485" s="60"/>
      <c r="PIY2485" s="60"/>
      <c r="PIZ2485" s="60"/>
      <c r="PJA2485" s="58"/>
      <c r="PJB2485" s="61"/>
      <c r="PJC2485" s="58"/>
      <c r="PJD2485" s="58"/>
      <c r="PJE2485" s="58"/>
      <c r="PJF2485" s="60"/>
      <c r="PJG2485" s="60"/>
      <c r="PJH2485" s="60"/>
      <c r="PJI2485" s="58"/>
      <c r="PJJ2485" s="61"/>
      <c r="PJK2485" s="58"/>
      <c r="PJL2485" s="58"/>
      <c r="PJM2485" s="58"/>
      <c r="PJN2485" s="60"/>
      <c r="PJO2485" s="60"/>
      <c r="PJP2485" s="60"/>
      <c r="PJQ2485" s="58"/>
      <c r="PJR2485" s="61"/>
      <c r="PJS2485" s="58"/>
      <c r="PJT2485" s="58"/>
      <c r="PJU2485" s="58"/>
      <c r="PJV2485" s="60"/>
      <c r="PJW2485" s="60"/>
      <c r="PJX2485" s="60"/>
      <c r="PJY2485" s="58"/>
      <c r="PJZ2485" s="61"/>
      <c r="PKA2485" s="58"/>
      <c r="PKB2485" s="58"/>
      <c r="PKC2485" s="58"/>
      <c r="PKD2485" s="60"/>
      <c r="PKE2485" s="60"/>
      <c r="PKF2485" s="60"/>
      <c r="PKG2485" s="58"/>
      <c r="PKH2485" s="61"/>
      <c r="PKI2485" s="58"/>
      <c r="PKJ2485" s="58"/>
      <c r="PKK2485" s="58"/>
      <c r="PKL2485" s="60"/>
      <c r="PKM2485" s="60"/>
      <c r="PKN2485" s="60"/>
      <c r="PKO2485" s="58"/>
      <c r="PKP2485" s="61"/>
      <c r="PKQ2485" s="58"/>
      <c r="PKR2485" s="58"/>
      <c r="PKS2485" s="58"/>
      <c r="PKT2485" s="60"/>
      <c r="PKU2485" s="60"/>
      <c r="PKV2485" s="60"/>
      <c r="PKW2485" s="58"/>
      <c r="PKX2485" s="61"/>
      <c r="PKY2485" s="58"/>
      <c r="PKZ2485" s="58"/>
      <c r="PLA2485" s="58"/>
      <c r="PLB2485" s="60"/>
      <c r="PLC2485" s="60"/>
      <c r="PLD2485" s="60"/>
      <c r="PLE2485" s="58"/>
      <c r="PLF2485" s="61"/>
      <c r="PLG2485" s="58"/>
      <c r="PLH2485" s="58"/>
      <c r="PLI2485" s="58"/>
      <c r="PLJ2485" s="60"/>
      <c r="PLK2485" s="60"/>
      <c r="PLL2485" s="60"/>
      <c r="PLM2485" s="58"/>
      <c r="PLN2485" s="61"/>
      <c r="PLO2485" s="58"/>
      <c r="PLP2485" s="58"/>
      <c r="PLQ2485" s="58"/>
      <c r="PLR2485" s="60"/>
      <c r="PLS2485" s="60"/>
      <c r="PLT2485" s="60"/>
      <c r="PLU2485" s="58"/>
      <c r="PLV2485" s="61"/>
      <c r="PLW2485" s="58"/>
      <c r="PLX2485" s="58"/>
      <c r="PLY2485" s="58"/>
      <c r="PLZ2485" s="60"/>
      <c r="PMA2485" s="60"/>
      <c r="PMB2485" s="60"/>
      <c r="PMC2485" s="58"/>
      <c r="PMD2485" s="61"/>
      <c r="PME2485" s="58"/>
      <c r="PMF2485" s="58"/>
      <c r="PMG2485" s="58"/>
      <c r="PMH2485" s="60"/>
      <c r="PMI2485" s="60"/>
      <c r="PMJ2485" s="60"/>
      <c r="PMK2485" s="58"/>
      <c r="PML2485" s="61"/>
      <c r="PMM2485" s="58"/>
      <c r="PMN2485" s="58"/>
      <c r="PMO2485" s="58"/>
      <c r="PMP2485" s="60"/>
      <c r="PMQ2485" s="60"/>
      <c r="PMR2485" s="60"/>
      <c r="PMS2485" s="58"/>
      <c r="PMT2485" s="61"/>
      <c r="PMU2485" s="58"/>
      <c r="PMV2485" s="58"/>
      <c r="PMW2485" s="58"/>
      <c r="PMX2485" s="60"/>
      <c r="PMY2485" s="60"/>
      <c r="PMZ2485" s="60"/>
      <c r="PNA2485" s="58"/>
      <c r="PNB2485" s="61"/>
      <c r="PNC2485" s="58"/>
      <c r="PND2485" s="58"/>
      <c r="PNE2485" s="58"/>
      <c r="PNF2485" s="60"/>
      <c r="PNG2485" s="60"/>
      <c r="PNH2485" s="60"/>
      <c r="PNI2485" s="58"/>
      <c r="PNJ2485" s="61"/>
      <c r="PNK2485" s="58"/>
      <c r="PNL2485" s="58"/>
      <c r="PNM2485" s="58"/>
      <c r="PNN2485" s="60"/>
      <c r="PNO2485" s="60"/>
      <c r="PNP2485" s="60"/>
      <c r="PNQ2485" s="58"/>
      <c r="PNR2485" s="61"/>
      <c r="PNS2485" s="58"/>
      <c r="PNT2485" s="58"/>
      <c r="PNU2485" s="58"/>
      <c r="PNV2485" s="60"/>
      <c r="PNW2485" s="60"/>
      <c r="PNX2485" s="60"/>
      <c r="PNY2485" s="58"/>
      <c r="PNZ2485" s="61"/>
      <c r="POA2485" s="58"/>
      <c r="POB2485" s="58"/>
      <c r="POC2485" s="58"/>
      <c r="POD2485" s="60"/>
      <c r="POE2485" s="60"/>
      <c r="POF2485" s="60"/>
      <c r="POG2485" s="58"/>
      <c r="POH2485" s="61"/>
      <c r="POI2485" s="58"/>
      <c r="POJ2485" s="58"/>
      <c r="POK2485" s="58"/>
      <c r="POL2485" s="60"/>
      <c r="POM2485" s="60"/>
      <c r="PON2485" s="60"/>
      <c r="POO2485" s="58"/>
      <c r="POP2485" s="61"/>
      <c r="POQ2485" s="58"/>
      <c r="POR2485" s="58"/>
      <c r="POS2485" s="58"/>
      <c r="POT2485" s="60"/>
      <c r="POU2485" s="60"/>
      <c r="POV2485" s="60"/>
      <c r="POW2485" s="58"/>
      <c r="POX2485" s="61"/>
      <c r="POY2485" s="58"/>
      <c r="POZ2485" s="58"/>
      <c r="PPA2485" s="58"/>
      <c r="PPB2485" s="60"/>
      <c r="PPC2485" s="60"/>
      <c r="PPD2485" s="60"/>
      <c r="PPE2485" s="58"/>
      <c r="PPF2485" s="61"/>
      <c r="PPG2485" s="58"/>
      <c r="PPH2485" s="58"/>
      <c r="PPI2485" s="58"/>
      <c r="PPJ2485" s="60"/>
      <c r="PPK2485" s="60"/>
      <c r="PPL2485" s="60"/>
      <c r="PPM2485" s="58"/>
      <c r="PPN2485" s="61"/>
      <c r="PPO2485" s="58"/>
      <c r="PPP2485" s="58"/>
      <c r="PPQ2485" s="58"/>
      <c r="PPR2485" s="60"/>
      <c r="PPS2485" s="60"/>
      <c r="PPT2485" s="60"/>
      <c r="PPU2485" s="58"/>
      <c r="PPV2485" s="61"/>
      <c r="PPW2485" s="58"/>
      <c r="PPX2485" s="58"/>
      <c r="PPY2485" s="58"/>
      <c r="PPZ2485" s="60"/>
      <c r="PQA2485" s="60"/>
      <c r="PQB2485" s="60"/>
      <c r="PQC2485" s="58"/>
      <c r="PQD2485" s="61"/>
      <c r="PQE2485" s="58"/>
      <c r="PQF2485" s="58"/>
      <c r="PQG2485" s="58"/>
      <c r="PQH2485" s="60"/>
      <c r="PQI2485" s="60"/>
      <c r="PQJ2485" s="60"/>
      <c r="PQK2485" s="58"/>
      <c r="PQL2485" s="61"/>
      <c r="PQM2485" s="58"/>
      <c r="PQN2485" s="58"/>
      <c r="PQO2485" s="58"/>
      <c r="PQP2485" s="60"/>
      <c r="PQQ2485" s="60"/>
      <c r="PQR2485" s="60"/>
      <c r="PQS2485" s="58"/>
      <c r="PQT2485" s="61"/>
      <c r="PQU2485" s="58"/>
      <c r="PQV2485" s="58"/>
      <c r="PQW2485" s="58"/>
      <c r="PQX2485" s="60"/>
      <c r="PQY2485" s="60"/>
      <c r="PQZ2485" s="60"/>
      <c r="PRA2485" s="58"/>
      <c r="PRB2485" s="61"/>
      <c r="PRC2485" s="58"/>
      <c r="PRD2485" s="58"/>
      <c r="PRE2485" s="58"/>
      <c r="PRF2485" s="60"/>
      <c r="PRG2485" s="60"/>
      <c r="PRH2485" s="60"/>
      <c r="PRI2485" s="58"/>
      <c r="PRJ2485" s="61"/>
      <c r="PRK2485" s="58"/>
      <c r="PRL2485" s="58"/>
      <c r="PRM2485" s="58"/>
      <c r="PRN2485" s="60"/>
      <c r="PRO2485" s="60"/>
      <c r="PRP2485" s="60"/>
      <c r="PRQ2485" s="58"/>
      <c r="PRR2485" s="61"/>
      <c r="PRS2485" s="58"/>
      <c r="PRT2485" s="58"/>
      <c r="PRU2485" s="58"/>
      <c r="PRV2485" s="60"/>
      <c r="PRW2485" s="60"/>
      <c r="PRX2485" s="60"/>
      <c r="PRY2485" s="58"/>
      <c r="PRZ2485" s="61"/>
      <c r="PSA2485" s="58"/>
      <c r="PSB2485" s="58"/>
      <c r="PSC2485" s="58"/>
      <c r="PSD2485" s="60"/>
      <c r="PSE2485" s="60"/>
      <c r="PSF2485" s="60"/>
      <c r="PSG2485" s="58"/>
      <c r="PSH2485" s="61"/>
      <c r="PSI2485" s="58"/>
      <c r="PSJ2485" s="58"/>
      <c r="PSK2485" s="58"/>
      <c r="PSL2485" s="60"/>
      <c r="PSM2485" s="60"/>
      <c r="PSN2485" s="60"/>
      <c r="PSO2485" s="58"/>
      <c r="PSP2485" s="61"/>
      <c r="PSQ2485" s="58"/>
      <c r="PSR2485" s="58"/>
      <c r="PSS2485" s="58"/>
      <c r="PST2485" s="60"/>
      <c r="PSU2485" s="60"/>
      <c r="PSV2485" s="60"/>
      <c r="PSW2485" s="58"/>
      <c r="PSX2485" s="61"/>
      <c r="PSY2485" s="58"/>
      <c r="PSZ2485" s="58"/>
      <c r="PTA2485" s="58"/>
      <c r="PTB2485" s="60"/>
      <c r="PTC2485" s="60"/>
      <c r="PTD2485" s="60"/>
      <c r="PTE2485" s="58"/>
      <c r="PTF2485" s="61"/>
      <c r="PTG2485" s="58"/>
      <c r="PTH2485" s="58"/>
      <c r="PTI2485" s="58"/>
      <c r="PTJ2485" s="60"/>
      <c r="PTK2485" s="60"/>
      <c r="PTL2485" s="60"/>
      <c r="PTM2485" s="58"/>
      <c r="PTN2485" s="61"/>
      <c r="PTO2485" s="58"/>
      <c r="PTP2485" s="58"/>
      <c r="PTQ2485" s="58"/>
      <c r="PTR2485" s="60"/>
      <c r="PTS2485" s="60"/>
      <c r="PTT2485" s="60"/>
      <c r="PTU2485" s="58"/>
      <c r="PTV2485" s="61"/>
      <c r="PTW2485" s="58"/>
      <c r="PTX2485" s="58"/>
      <c r="PTY2485" s="58"/>
      <c r="PTZ2485" s="60"/>
      <c r="PUA2485" s="60"/>
      <c r="PUB2485" s="60"/>
      <c r="PUC2485" s="58"/>
      <c r="PUD2485" s="61"/>
      <c r="PUE2485" s="58"/>
      <c r="PUF2485" s="58"/>
      <c r="PUG2485" s="58"/>
      <c r="PUH2485" s="60"/>
      <c r="PUI2485" s="60"/>
      <c r="PUJ2485" s="60"/>
      <c r="PUK2485" s="58"/>
      <c r="PUL2485" s="61"/>
      <c r="PUM2485" s="58"/>
      <c r="PUN2485" s="58"/>
      <c r="PUO2485" s="58"/>
      <c r="PUP2485" s="60"/>
      <c r="PUQ2485" s="60"/>
      <c r="PUR2485" s="60"/>
      <c r="PUS2485" s="58"/>
      <c r="PUT2485" s="61"/>
      <c r="PUU2485" s="58"/>
      <c r="PUV2485" s="58"/>
      <c r="PUW2485" s="58"/>
      <c r="PUX2485" s="60"/>
      <c r="PUY2485" s="60"/>
      <c r="PUZ2485" s="60"/>
      <c r="PVA2485" s="58"/>
      <c r="PVB2485" s="61"/>
      <c r="PVC2485" s="58"/>
      <c r="PVD2485" s="58"/>
      <c r="PVE2485" s="58"/>
      <c r="PVF2485" s="60"/>
      <c r="PVG2485" s="60"/>
      <c r="PVH2485" s="60"/>
      <c r="PVI2485" s="58"/>
      <c r="PVJ2485" s="61"/>
      <c r="PVK2485" s="58"/>
      <c r="PVL2485" s="58"/>
      <c r="PVM2485" s="58"/>
      <c r="PVN2485" s="60"/>
      <c r="PVO2485" s="60"/>
      <c r="PVP2485" s="60"/>
      <c r="PVQ2485" s="58"/>
      <c r="PVR2485" s="61"/>
      <c r="PVS2485" s="58"/>
      <c r="PVT2485" s="58"/>
      <c r="PVU2485" s="58"/>
      <c r="PVV2485" s="60"/>
      <c r="PVW2485" s="60"/>
      <c r="PVX2485" s="60"/>
      <c r="PVY2485" s="58"/>
      <c r="PVZ2485" s="61"/>
      <c r="PWA2485" s="58"/>
      <c r="PWB2485" s="58"/>
      <c r="PWC2485" s="58"/>
      <c r="PWD2485" s="60"/>
      <c r="PWE2485" s="60"/>
      <c r="PWF2485" s="60"/>
      <c r="PWG2485" s="58"/>
      <c r="PWH2485" s="61"/>
      <c r="PWI2485" s="58"/>
      <c r="PWJ2485" s="58"/>
      <c r="PWK2485" s="58"/>
      <c r="PWL2485" s="60"/>
      <c r="PWM2485" s="60"/>
      <c r="PWN2485" s="60"/>
      <c r="PWO2485" s="58"/>
      <c r="PWP2485" s="61"/>
      <c r="PWQ2485" s="58"/>
      <c r="PWR2485" s="58"/>
      <c r="PWS2485" s="58"/>
      <c r="PWT2485" s="60"/>
      <c r="PWU2485" s="60"/>
      <c r="PWV2485" s="60"/>
      <c r="PWW2485" s="58"/>
      <c r="PWX2485" s="61"/>
      <c r="PWY2485" s="58"/>
      <c r="PWZ2485" s="58"/>
      <c r="PXA2485" s="58"/>
      <c r="PXB2485" s="60"/>
      <c r="PXC2485" s="60"/>
      <c r="PXD2485" s="60"/>
      <c r="PXE2485" s="58"/>
      <c r="PXF2485" s="61"/>
      <c r="PXG2485" s="58"/>
      <c r="PXH2485" s="58"/>
      <c r="PXI2485" s="58"/>
      <c r="PXJ2485" s="60"/>
      <c r="PXK2485" s="60"/>
      <c r="PXL2485" s="60"/>
      <c r="PXM2485" s="58"/>
      <c r="PXN2485" s="61"/>
      <c r="PXO2485" s="58"/>
      <c r="PXP2485" s="58"/>
      <c r="PXQ2485" s="58"/>
      <c r="PXR2485" s="60"/>
      <c r="PXS2485" s="60"/>
      <c r="PXT2485" s="60"/>
      <c r="PXU2485" s="58"/>
      <c r="PXV2485" s="61"/>
      <c r="PXW2485" s="58"/>
      <c r="PXX2485" s="58"/>
      <c r="PXY2485" s="58"/>
      <c r="PXZ2485" s="60"/>
      <c r="PYA2485" s="60"/>
      <c r="PYB2485" s="60"/>
      <c r="PYC2485" s="58"/>
      <c r="PYD2485" s="61"/>
      <c r="PYE2485" s="58"/>
      <c r="PYF2485" s="58"/>
      <c r="PYG2485" s="58"/>
      <c r="PYH2485" s="60"/>
      <c r="PYI2485" s="60"/>
      <c r="PYJ2485" s="60"/>
      <c r="PYK2485" s="58"/>
      <c r="PYL2485" s="61"/>
      <c r="PYM2485" s="58"/>
      <c r="PYN2485" s="58"/>
      <c r="PYO2485" s="58"/>
      <c r="PYP2485" s="60"/>
      <c r="PYQ2485" s="60"/>
      <c r="PYR2485" s="60"/>
      <c r="PYS2485" s="58"/>
      <c r="PYT2485" s="61"/>
      <c r="PYU2485" s="58"/>
      <c r="PYV2485" s="58"/>
      <c r="PYW2485" s="58"/>
      <c r="PYX2485" s="60"/>
      <c r="PYY2485" s="60"/>
      <c r="PYZ2485" s="60"/>
      <c r="PZA2485" s="58"/>
      <c r="PZB2485" s="61"/>
      <c r="PZC2485" s="58"/>
      <c r="PZD2485" s="58"/>
      <c r="PZE2485" s="58"/>
      <c r="PZF2485" s="60"/>
      <c r="PZG2485" s="60"/>
      <c r="PZH2485" s="60"/>
      <c r="PZI2485" s="58"/>
      <c r="PZJ2485" s="61"/>
      <c r="PZK2485" s="58"/>
      <c r="PZL2485" s="58"/>
      <c r="PZM2485" s="58"/>
      <c r="PZN2485" s="60"/>
      <c r="PZO2485" s="60"/>
      <c r="PZP2485" s="60"/>
      <c r="PZQ2485" s="58"/>
      <c r="PZR2485" s="61"/>
      <c r="PZS2485" s="58"/>
      <c r="PZT2485" s="58"/>
      <c r="PZU2485" s="58"/>
      <c r="PZV2485" s="60"/>
      <c r="PZW2485" s="60"/>
      <c r="PZX2485" s="60"/>
      <c r="PZY2485" s="58"/>
      <c r="PZZ2485" s="61"/>
      <c r="QAA2485" s="58"/>
      <c r="QAB2485" s="58"/>
      <c r="QAC2485" s="58"/>
      <c r="QAD2485" s="60"/>
      <c r="QAE2485" s="60"/>
      <c r="QAF2485" s="60"/>
      <c r="QAG2485" s="58"/>
      <c r="QAH2485" s="61"/>
      <c r="QAI2485" s="58"/>
      <c r="QAJ2485" s="58"/>
      <c r="QAK2485" s="58"/>
      <c r="QAL2485" s="60"/>
      <c r="QAM2485" s="60"/>
      <c r="QAN2485" s="60"/>
      <c r="QAO2485" s="58"/>
      <c r="QAP2485" s="61"/>
      <c r="QAQ2485" s="58"/>
      <c r="QAR2485" s="58"/>
      <c r="QAS2485" s="58"/>
      <c r="QAT2485" s="60"/>
      <c r="QAU2485" s="60"/>
      <c r="QAV2485" s="60"/>
      <c r="QAW2485" s="58"/>
      <c r="QAX2485" s="61"/>
      <c r="QAY2485" s="58"/>
      <c r="QAZ2485" s="58"/>
      <c r="QBA2485" s="58"/>
      <c r="QBB2485" s="60"/>
      <c r="QBC2485" s="60"/>
      <c r="QBD2485" s="60"/>
      <c r="QBE2485" s="58"/>
      <c r="QBF2485" s="61"/>
      <c r="QBG2485" s="58"/>
      <c r="QBH2485" s="58"/>
      <c r="QBI2485" s="58"/>
      <c r="QBJ2485" s="60"/>
      <c r="QBK2485" s="60"/>
      <c r="QBL2485" s="60"/>
      <c r="QBM2485" s="58"/>
      <c r="QBN2485" s="61"/>
      <c r="QBO2485" s="58"/>
      <c r="QBP2485" s="58"/>
      <c r="QBQ2485" s="58"/>
      <c r="QBR2485" s="60"/>
      <c r="QBS2485" s="60"/>
      <c r="QBT2485" s="60"/>
      <c r="QBU2485" s="58"/>
      <c r="QBV2485" s="61"/>
      <c r="QBW2485" s="58"/>
      <c r="QBX2485" s="58"/>
      <c r="QBY2485" s="58"/>
      <c r="QBZ2485" s="60"/>
      <c r="QCA2485" s="60"/>
      <c r="QCB2485" s="60"/>
      <c r="QCC2485" s="58"/>
      <c r="QCD2485" s="61"/>
      <c r="QCE2485" s="58"/>
      <c r="QCF2485" s="58"/>
      <c r="QCG2485" s="58"/>
      <c r="QCH2485" s="60"/>
      <c r="QCI2485" s="60"/>
      <c r="QCJ2485" s="60"/>
      <c r="QCK2485" s="58"/>
      <c r="QCL2485" s="61"/>
      <c r="QCM2485" s="58"/>
      <c r="QCN2485" s="58"/>
      <c r="QCO2485" s="58"/>
      <c r="QCP2485" s="60"/>
      <c r="QCQ2485" s="60"/>
      <c r="QCR2485" s="60"/>
      <c r="QCS2485" s="58"/>
      <c r="QCT2485" s="61"/>
      <c r="QCU2485" s="58"/>
      <c r="QCV2485" s="58"/>
      <c r="QCW2485" s="58"/>
      <c r="QCX2485" s="60"/>
      <c r="QCY2485" s="60"/>
      <c r="QCZ2485" s="60"/>
      <c r="QDA2485" s="58"/>
      <c r="QDB2485" s="61"/>
      <c r="QDC2485" s="58"/>
      <c r="QDD2485" s="58"/>
      <c r="QDE2485" s="58"/>
      <c r="QDF2485" s="60"/>
      <c r="QDG2485" s="60"/>
      <c r="QDH2485" s="60"/>
      <c r="QDI2485" s="58"/>
      <c r="QDJ2485" s="61"/>
      <c r="QDK2485" s="58"/>
      <c r="QDL2485" s="58"/>
      <c r="QDM2485" s="58"/>
      <c r="QDN2485" s="60"/>
      <c r="QDO2485" s="60"/>
      <c r="QDP2485" s="60"/>
      <c r="QDQ2485" s="58"/>
      <c r="QDR2485" s="61"/>
      <c r="QDS2485" s="58"/>
      <c r="QDT2485" s="58"/>
      <c r="QDU2485" s="58"/>
      <c r="QDV2485" s="60"/>
      <c r="QDW2485" s="60"/>
      <c r="QDX2485" s="60"/>
      <c r="QDY2485" s="58"/>
      <c r="QDZ2485" s="61"/>
      <c r="QEA2485" s="58"/>
      <c r="QEB2485" s="58"/>
      <c r="QEC2485" s="58"/>
      <c r="QED2485" s="60"/>
      <c r="QEE2485" s="60"/>
      <c r="QEF2485" s="60"/>
      <c r="QEG2485" s="58"/>
      <c r="QEH2485" s="61"/>
      <c r="QEI2485" s="58"/>
      <c r="QEJ2485" s="58"/>
      <c r="QEK2485" s="58"/>
      <c r="QEL2485" s="60"/>
      <c r="QEM2485" s="60"/>
      <c r="QEN2485" s="60"/>
      <c r="QEO2485" s="58"/>
      <c r="QEP2485" s="61"/>
      <c r="QEQ2485" s="58"/>
      <c r="QER2485" s="58"/>
      <c r="QES2485" s="58"/>
      <c r="QET2485" s="60"/>
      <c r="QEU2485" s="60"/>
      <c r="QEV2485" s="60"/>
      <c r="QEW2485" s="58"/>
      <c r="QEX2485" s="61"/>
      <c r="QEY2485" s="58"/>
      <c r="QEZ2485" s="58"/>
      <c r="QFA2485" s="58"/>
      <c r="QFB2485" s="60"/>
      <c r="QFC2485" s="60"/>
      <c r="QFD2485" s="60"/>
      <c r="QFE2485" s="58"/>
      <c r="QFF2485" s="61"/>
      <c r="QFG2485" s="58"/>
      <c r="QFH2485" s="58"/>
      <c r="QFI2485" s="58"/>
      <c r="QFJ2485" s="60"/>
      <c r="QFK2485" s="60"/>
      <c r="QFL2485" s="60"/>
      <c r="QFM2485" s="58"/>
      <c r="QFN2485" s="61"/>
      <c r="QFO2485" s="58"/>
      <c r="QFP2485" s="58"/>
      <c r="QFQ2485" s="58"/>
      <c r="QFR2485" s="60"/>
      <c r="QFS2485" s="60"/>
      <c r="QFT2485" s="60"/>
      <c r="QFU2485" s="58"/>
      <c r="QFV2485" s="61"/>
      <c r="QFW2485" s="58"/>
      <c r="QFX2485" s="58"/>
      <c r="QFY2485" s="58"/>
      <c r="QFZ2485" s="60"/>
      <c r="QGA2485" s="60"/>
      <c r="QGB2485" s="60"/>
      <c r="QGC2485" s="58"/>
      <c r="QGD2485" s="61"/>
      <c r="QGE2485" s="58"/>
      <c r="QGF2485" s="58"/>
      <c r="QGG2485" s="58"/>
      <c r="QGH2485" s="60"/>
      <c r="QGI2485" s="60"/>
      <c r="QGJ2485" s="60"/>
      <c r="QGK2485" s="58"/>
      <c r="QGL2485" s="61"/>
      <c r="QGM2485" s="58"/>
      <c r="QGN2485" s="58"/>
      <c r="QGO2485" s="58"/>
      <c r="QGP2485" s="60"/>
      <c r="QGQ2485" s="60"/>
      <c r="QGR2485" s="60"/>
      <c r="QGS2485" s="58"/>
      <c r="QGT2485" s="61"/>
      <c r="QGU2485" s="58"/>
      <c r="QGV2485" s="58"/>
      <c r="QGW2485" s="58"/>
      <c r="QGX2485" s="60"/>
      <c r="QGY2485" s="60"/>
      <c r="QGZ2485" s="60"/>
      <c r="QHA2485" s="58"/>
      <c r="QHB2485" s="61"/>
      <c r="QHC2485" s="58"/>
      <c r="QHD2485" s="58"/>
      <c r="QHE2485" s="58"/>
      <c r="QHF2485" s="60"/>
      <c r="QHG2485" s="60"/>
      <c r="QHH2485" s="60"/>
      <c r="QHI2485" s="58"/>
      <c r="QHJ2485" s="61"/>
      <c r="QHK2485" s="58"/>
      <c r="QHL2485" s="58"/>
      <c r="QHM2485" s="58"/>
      <c r="QHN2485" s="60"/>
      <c r="QHO2485" s="60"/>
      <c r="QHP2485" s="60"/>
      <c r="QHQ2485" s="58"/>
      <c r="QHR2485" s="61"/>
      <c r="QHS2485" s="58"/>
      <c r="QHT2485" s="58"/>
      <c r="QHU2485" s="58"/>
      <c r="QHV2485" s="60"/>
      <c r="QHW2485" s="60"/>
      <c r="QHX2485" s="60"/>
      <c r="QHY2485" s="58"/>
      <c r="QHZ2485" s="61"/>
      <c r="QIA2485" s="58"/>
      <c r="QIB2485" s="58"/>
      <c r="QIC2485" s="58"/>
      <c r="QID2485" s="60"/>
      <c r="QIE2485" s="60"/>
      <c r="QIF2485" s="60"/>
      <c r="QIG2485" s="58"/>
      <c r="QIH2485" s="61"/>
      <c r="QII2485" s="58"/>
      <c r="QIJ2485" s="58"/>
      <c r="QIK2485" s="58"/>
      <c r="QIL2485" s="60"/>
      <c r="QIM2485" s="60"/>
      <c r="QIN2485" s="60"/>
      <c r="QIO2485" s="58"/>
      <c r="QIP2485" s="61"/>
      <c r="QIQ2485" s="58"/>
      <c r="QIR2485" s="58"/>
      <c r="QIS2485" s="58"/>
      <c r="QIT2485" s="60"/>
      <c r="QIU2485" s="60"/>
      <c r="QIV2485" s="60"/>
      <c r="QIW2485" s="58"/>
      <c r="QIX2485" s="61"/>
      <c r="QIY2485" s="58"/>
      <c r="QIZ2485" s="58"/>
      <c r="QJA2485" s="58"/>
      <c r="QJB2485" s="60"/>
      <c r="QJC2485" s="60"/>
      <c r="QJD2485" s="60"/>
      <c r="QJE2485" s="58"/>
      <c r="QJF2485" s="61"/>
      <c r="QJG2485" s="58"/>
      <c r="QJH2485" s="58"/>
      <c r="QJI2485" s="58"/>
      <c r="QJJ2485" s="60"/>
      <c r="QJK2485" s="60"/>
      <c r="QJL2485" s="60"/>
      <c r="QJM2485" s="58"/>
      <c r="QJN2485" s="61"/>
      <c r="QJO2485" s="58"/>
      <c r="QJP2485" s="58"/>
      <c r="QJQ2485" s="58"/>
      <c r="QJR2485" s="60"/>
      <c r="QJS2485" s="60"/>
      <c r="QJT2485" s="60"/>
      <c r="QJU2485" s="58"/>
      <c r="QJV2485" s="61"/>
      <c r="QJW2485" s="58"/>
      <c r="QJX2485" s="58"/>
      <c r="QJY2485" s="58"/>
      <c r="QJZ2485" s="60"/>
      <c r="QKA2485" s="60"/>
      <c r="QKB2485" s="60"/>
      <c r="QKC2485" s="58"/>
      <c r="QKD2485" s="61"/>
      <c r="QKE2485" s="58"/>
      <c r="QKF2485" s="58"/>
      <c r="QKG2485" s="58"/>
      <c r="QKH2485" s="60"/>
      <c r="QKI2485" s="60"/>
      <c r="QKJ2485" s="60"/>
      <c r="QKK2485" s="58"/>
      <c r="QKL2485" s="61"/>
      <c r="QKM2485" s="58"/>
      <c r="QKN2485" s="58"/>
      <c r="QKO2485" s="58"/>
      <c r="QKP2485" s="60"/>
      <c r="QKQ2485" s="60"/>
      <c r="QKR2485" s="60"/>
      <c r="QKS2485" s="58"/>
      <c r="QKT2485" s="61"/>
      <c r="QKU2485" s="58"/>
      <c r="QKV2485" s="58"/>
      <c r="QKW2485" s="58"/>
      <c r="QKX2485" s="60"/>
      <c r="QKY2485" s="60"/>
      <c r="QKZ2485" s="60"/>
      <c r="QLA2485" s="58"/>
      <c r="QLB2485" s="61"/>
      <c r="QLC2485" s="58"/>
      <c r="QLD2485" s="58"/>
      <c r="QLE2485" s="58"/>
      <c r="QLF2485" s="60"/>
      <c r="QLG2485" s="60"/>
      <c r="QLH2485" s="60"/>
      <c r="QLI2485" s="58"/>
      <c r="QLJ2485" s="61"/>
      <c r="QLK2485" s="58"/>
      <c r="QLL2485" s="58"/>
      <c r="QLM2485" s="58"/>
      <c r="QLN2485" s="60"/>
      <c r="QLO2485" s="60"/>
      <c r="QLP2485" s="60"/>
      <c r="QLQ2485" s="58"/>
      <c r="QLR2485" s="61"/>
      <c r="QLS2485" s="58"/>
      <c r="QLT2485" s="58"/>
      <c r="QLU2485" s="58"/>
      <c r="QLV2485" s="60"/>
      <c r="QLW2485" s="60"/>
      <c r="QLX2485" s="60"/>
      <c r="QLY2485" s="58"/>
      <c r="QLZ2485" s="61"/>
      <c r="QMA2485" s="58"/>
      <c r="QMB2485" s="58"/>
      <c r="QMC2485" s="58"/>
      <c r="QMD2485" s="60"/>
      <c r="QME2485" s="60"/>
      <c r="QMF2485" s="60"/>
      <c r="QMG2485" s="58"/>
      <c r="QMH2485" s="61"/>
      <c r="QMI2485" s="58"/>
      <c r="QMJ2485" s="58"/>
      <c r="QMK2485" s="58"/>
      <c r="QML2485" s="60"/>
      <c r="QMM2485" s="60"/>
      <c r="QMN2485" s="60"/>
      <c r="QMO2485" s="58"/>
      <c r="QMP2485" s="61"/>
      <c r="QMQ2485" s="58"/>
      <c r="QMR2485" s="58"/>
      <c r="QMS2485" s="58"/>
      <c r="QMT2485" s="60"/>
      <c r="QMU2485" s="60"/>
      <c r="QMV2485" s="60"/>
      <c r="QMW2485" s="58"/>
      <c r="QMX2485" s="61"/>
      <c r="QMY2485" s="58"/>
      <c r="QMZ2485" s="58"/>
      <c r="QNA2485" s="58"/>
      <c r="QNB2485" s="60"/>
      <c r="QNC2485" s="60"/>
      <c r="QND2485" s="60"/>
      <c r="QNE2485" s="58"/>
      <c r="QNF2485" s="61"/>
      <c r="QNG2485" s="58"/>
      <c r="QNH2485" s="58"/>
      <c r="QNI2485" s="58"/>
      <c r="QNJ2485" s="60"/>
      <c r="QNK2485" s="60"/>
      <c r="QNL2485" s="60"/>
      <c r="QNM2485" s="58"/>
      <c r="QNN2485" s="61"/>
      <c r="QNO2485" s="58"/>
      <c r="QNP2485" s="58"/>
      <c r="QNQ2485" s="58"/>
      <c r="QNR2485" s="60"/>
      <c r="QNS2485" s="60"/>
      <c r="QNT2485" s="60"/>
      <c r="QNU2485" s="58"/>
      <c r="QNV2485" s="61"/>
      <c r="QNW2485" s="58"/>
      <c r="QNX2485" s="58"/>
      <c r="QNY2485" s="58"/>
      <c r="QNZ2485" s="60"/>
      <c r="QOA2485" s="60"/>
      <c r="QOB2485" s="60"/>
      <c r="QOC2485" s="58"/>
      <c r="QOD2485" s="61"/>
      <c r="QOE2485" s="58"/>
      <c r="QOF2485" s="58"/>
      <c r="QOG2485" s="58"/>
      <c r="QOH2485" s="60"/>
      <c r="QOI2485" s="60"/>
      <c r="QOJ2485" s="60"/>
      <c r="QOK2485" s="58"/>
      <c r="QOL2485" s="61"/>
      <c r="QOM2485" s="58"/>
      <c r="QON2485" s="58"/>
      <c r="QOO2485" s="58"/>
      <c r="QOP2485" s="60"/>
      <c r="QOQ2485" s="60"/>
      <c r="QOR2485" s="60"/>
      <c r="QOS2485" s="58"/>
      <c r="QOT2485" s="61"/>
      <c r="QOU2485" s="58"/>
      <c r="QOV2485" s="58"/>
      <c r="QOW2485" s="58"/>
      <c r="QOX2485" s="60"/>
      <c r="QOY2485" s="60"/>
      <c r="QOZ2485" s="60"/>
      <c r="QPA2485" s="58"/>
      <c r="QPB2485" s="61"/>
      <c r="QPC2485" s="58"/>
      <c r="QPD2485" s="58"/>
      <c r="QPE2485" s="58"/>
      <c r="QPF2485" s="60"/>
      <c r="QPG2485" s="60"/>
      <c r="QPH2485" s="60"/>
      <c r="QPI2485" s="58"/>
      <c r="QPJ2485" s="61"/>
      <c r="QPK2485" s="58"/>
      <c r="QPL2485" s="58"/>
      <c r="QPM2485" s="58"/>
      <c r="QPN2485" s="60"/>
      <c r="QPO2485" s="60"/>
      <c r="QPP2485" s="60"/>
      <c r="QPQ2485" s="58"/>
      <c r="QPR2485" s="61"/>
      <c r="QPS2485" s="58"/>
      <c r="QPT2485" s="58"/>
      <c r="QPU2485" s="58"/>
      <c r="QPV2485" s="60"/>
      <c r="QPW2485" s="60"/>
      <c r="QPX2485" s="60"/>
      <c r="QPY2485" s="58"/>
      <c r="QPZ2485" s="61"/>
      <c r="QQA2485" s="58"/>
      <c r="QQB2485" s="58"/>
      <c r="QQC2485" s="58"/>
      <c r="QQD2485" s="60"/>
      <c r="QQE2485" s="60"/>
      <c r="QQF2485" s="60"/>
      <c r="QQG2485" s="58"/>
      <c r="QQH2485" s="61"/>
      <c r="QQI2485" s="58"/>
      <c r="QQJ2485" s="58"/>
      <c r="QQK2485" s="58"/>
      <c r="QQL2485" s="60"/>
      <c r="QQM2485" s="60"/>
      <c r="QQN2485" s="60"/>
      <c r="QQO2485" s="58"/>
      <c r="QQP2485" s="61"/>
      <c r="QQQ2485" s="58"/>
      <c r="QQR2485" s="58"/>
      <c r="QQS2485" s="58"/>
      <c r="QQT2485" s="60"/>
      <c r="QQU2485" s="60"/>
      <c r="QQV2485" s="60"/>
      <c r="QQW2485" s="58"/>
      <c r="QQX2485" s="61"/>
      <c r="QQY2485" s="58"/>
      <c r="QQZ2485" s="58"/>
      <c r="QRA2485" s="58"/>
      <c r="QRB2485" s="60"/>
      <c r="QRC2485" s="60"/>
      <c r="QRD2485" s="60"/>
      <c r="QRE2485" s="58"/>
      <c r="QRF2485" s="61"/>
      <c r="QRG2485" s="58"/>
      <c r="QRH2485" s="58"/>
      <c r="QRI2485" s="58"/>
      <c r="QRJ2485" s="60"/>
      <c r="QRK2485" s="60"/>
      <c r="QRL2485" s="60"/>
      <c r="QRM2485" s="58"/>
      <c r="QRN2485" s="61"/>
      <c r="QRO2485" s="58"/>
      <c r="QRP2485" s="58"/>
      <c r="QRQ2485" s="58"/>
      <c r="QRR2485" s="60"/>
      <c r="QRS2485" s="60"/>
      <c r="QRT2485" s="60"/>
      <c r="QRU2485" s="58"/>
      <c r="QRV2485" s="61"/>
      <c r="QRW2485" s="58"/>
      <c r="QRX2485" s="58"/>
      <c r="QRY2485" s="58"/>
      <c r="QRZ2485" s="60"/>
      <c r="QSA2485" s="60"/>
      <c r="QSB2485" s="60"/>
      <c r="QSC2485" s="58"/>
      <c r="QSD2485" s="61"/>
      <c r="QSE2485" s="58"/>
      <c r="QSF2485" s="58"/>
      <c r="QSG2485" s="58"/>
      <c r="QSH2485" s="60"/>
      <c r="QSI2485" s="60"/>
      <c r="QSJ2485" s="60"/>
      <c r="QSK2485" s="58"/>
      <c r="QSL2485" s="61"/>
      <c r="QSM2485" s="58"/>
      <c r="QSN2485" s="58"/>
      <c r="QSO2485" s="58"/>
      <c r="QSP2485" s="60"/>
      <c r="QSQ2485" s="60"/>
      <c r="QSR2485" s="60"/>
      <c r="QSS2485" s="58"/>
      <c r="QST2485" s="61"/>
      <c r="QSU2485" s="58"/>
      <c r="QSV2485" s="58"/>
      <c r="QSW2485" s="58"/>
      <c r="QSX2485" s="60"/>
      <c r="QSY2485" s="60"/>
      <c r="QSZ2485" s="60"/>
      <c r="QTA2485" s="58"/>
      <c r="QTB2485" s="61"/>
      <c r="QTC2485" s="58"/>
      <c r="QTD2485" s="58"/>
      <c r="QTE2485" s="58"/>
      <c r="QTF2485" s="60"/>
      <c r="QTG2485" s="60"/>
      <c r="QTH2485" s="60"/>
      <c r="QTI2485" s="58"/>
      <c r="QTJ2485" s="61"/>
      <c r="QTK2485" s="58"/>
      <c r="QTL2485" s="58"/>
      <c r="QTM2485" s="58"/>
      <c r="QTN2485" s="60"/>
      <c r="QTO2485" s="60"/>
      <c r="QTP2485" s="60"/>
      <c r="QTQ2485" s="58"/>
      <c r="QTR2485" s="61"/>
      <c r="QTS2485" s="58"/>
      <c r="QTT2485" s="58"/>
      <c r="QTU2485" s="58"/>
      <c r="QTV2485" s="60"/>
      <c r="QTW2485" s="60"/>
      <c r="QTX2485" s="60"/>
      <c r="QTY2485" s="58"/>
      <c r="QTZ2485" s="61"/>
      <c r="QUA2485" s="58"/>
      <c r="QUB2485" s="58"/>
      <c r="QUC2485" s="58"/>
      <c r="QUD2485" s="60"/>
      <c r="QUE2485" s="60"/>
      <c r="QUF2485" s="60"/>
      <c r="QUG2485" s="58"/>
      <c r="QUH2485" s="61"/>
      <c r="QUI2485" s="58"/>
      <c r="QUJ2485" s="58"/>
      <c r="QUK2485" s="58"/>
      <c r="QUL2485" s="60"/>
      <c r="QUM2485" s="60"/>
      <c r="QUN2485" s="60"/>
      <c r="QUO2485" s="58"/>
      <c r="QUP2485" s="61"/>
      <c r="QUQ2485" s="58"/>
      <c r="QUR2485" s="58"/>
      <c r="QUS2485" s="58"/>
      <c r="QUT2485" s="60"/>
      <c r="QUU2485" s="60"/>
      <c r="QUV2485" s="60"/>
      <c r="QUW2485" s="58"/>
      <c r="QUX2485" s="61"/>
      <c r="QUY2485" s="58"/>
      <c r="QUZ2485" s="58"/>
      <c r="QVA2485" s="58"/>
      <c r="QVB2485" s="60"/>
      <c r="QVC2485" s="60"/>
      <c r="QVD2485" s="60"/>
      <c r="QVE2485" s="58"/>
      <c r="QVF2485" s="61"/>
      <c r="QVG2485" s="58"/>
      <c r="QVH2485" s="58"/>
      <c r="QVI2485" s="58"/>
      <c r="QVJ2485" s="60"/>
      <c r="QVK2485" s="60"/>
      <c r="QVL2485" s="60"/>
      <c r="QVM2485" s="58"/>
      <c r="QVN2485" s="61"/>
      <c r="QVO2485" s="58"/>
      <c r="QVP2485" s="58"/>
      <c r="QVQ2485" s="58"/>
      <c r="QVR2485" s="60"/>
      <c r="QVS2485" s="60"/>
      <c r="QVT2485" s="60"/>
      <c r="QVU2485" s="58"/>
      <c r="QVV2485" s="61"/>
      <c r="QVW2485" s="58"/>
      <c r="QVX2485" s="58"/>
      <c r="QVY2485" s="58"/>
      <c r="QVZ2485" s="60"/>
      <c r="QWA2485" s="60"/>
      <c r="QWB2485" s="60"/>
      <c r="QWC2485" s="58"/>
      <c r="QWD2485" s="61"/>
      <c r="QWE2485" s="58"/>
      <c r="QWF2485" s="58"/>
      <c r="QWG2485" s="58"/>
      <c r="QWH2485" s="60"/>
      <c r="QWI2485" s="60"/>
      <c r="QWJ2485" s="60"/>
      <c r="QWK2485" s="58"/>
      <c r="QWL2485" s="61"/>
      <c r="QWM2485" s="58"/>
      <c r="QWN2485" s="58"/>
      <c r="QWO2485" s="58"/>
      <c r="QWP2485" s="60"/>
      <c r="QWQ2485" s="60"/>
      <c r="QWR2485" s="60"/>
      <c r="QWS2485" s="58"/>
      <c r="QWT2485" s="61"/>
      <c r="QWU2485" s="58"/>
      <c r="QWV2485" s="58"/>
      <c r="QWW2485" s="58"/>
      <c r="QWX2485" s="60"/>
      <c r="QWY2485" s="60"/>
      <c r="QWZ2485" s="60"/>
      <c r="QXA2485" s="58"/>
      <c r="QXB2485" s="61"/>
      <c r="QXC2485" s="58"/>
      <c r="QXD2485" s="58"/>
      <c r="QXE2485" s="58"/>
      <c r="QXF2485" s="60"/>
      <c r="QXG2485" s="60"/>
      <c r="QXH2485" s="60"/>
      <c r="QXI2485" s="58"/>
      <c r="QXJ2485" s="61"/>
      <c r="QXK2485" s="58"/>
      <c r="QXL2485" s="58"/>
      <c r="QXM2485" s="58"/>
      <c r="QXN2485" s="60"/>
      <c r="QXO2485" s="60"/>
      <c r="QXP2485" s="60"/>
      <c r="QXQ2485" s="58"/>
      <c r="QXR2485" s="61"/>
      <c r="QXS2485" s="58"/>
      <c r="QXT2485" s="58"/>
      <c r="QXU2485" s="58"/>
      <c r="QXV2485" s="60"/>
      <c r="QXW2485" s="60"/>
      <c r="QXX2485" s="60"/>
      <c r="QXY2485" s="58"/>
      <c r="QXZ2485" s="61"/>
      <c r="QYA2485" s="58"/>
      <c r="QYB2485" s="58"/>
      <c r="QYC2485" s="58"/>
      <c r="QYD2485" s="60"/>
      <c r="QYE2485" s="60"/>
      <c r="QYF2485" s="60"/>
      <c r="QYG2485" s="58"/>
      <c r="QYH2485" s="61"/>
      <c r="QYI2485" s="58"/>
      <c r="QYJ2485" s="58"/>
      <c r="QYK2485" s="58"/>
      <c r="QYL2485" s="60"/>
      <c r="QYM2485" s="60"/>
      <c r="QYN2485" s="60"/>
      <c r="QYO2485" s="58"/>
      <c r="QYP2485" s="61"/>
      <c r="QYQ2485" s="58"/>
      <c r="QYR2485" s="58"/>
      <c r="QYS2485" s="58"/>
      <c r="QYT2485" s="60"/>
      <c r="QYU2485" s="60"/>
      <c r="QYV2485" s="60"/>
      <c r="QYW2485" s="58"/>
      <c r="QYX2485" s="61"/>
      <c r="QYY2485" s="58"/>
      <c r="QYZ2485" s="58"/>
      <c r="QZA2485" s="58"/>
      <c r="QZB2485" s="60"/>
      <c r="QZC2485" s="60"/>
      <c r="QZD2485" s="60"/>
      <c r="QZE2485" s="58"/>
      <c r="QZF2485" s="61"/>
      <c r="QZG2485" s="58"/>
      <c r="QZH2485" s="58"/>
      <c r="QZI2485" s="58"/>
      <c r="QZJ2485" s="60"/>
      <c r="QZK2485" s="60"/>
      <c r="QZL2485" s="60"/>
      <c r="QZM2485" s="58"/>
      <c r="QZN2485" s="61"/>
      <c r="QZO2485" s="58"/>
      <c r="QZP2485" s="58"/>
      <c r="QZQ2485" s="58"/>
      <c r="QZR2485" s="60"/>
      <c r="QZS2485" s="60"/>
      <c r="QZT2485" s="60"/>
      <c r="QZU2485" s="58"/>
      <c r="QZV2485" s="61"/>
      <c r="QZW2485" s="58"/>
      <c r="QZX2485" s="58"/>
      <c r="QZY2485" s="58"/>
      <c r="QZZ2485" s="60"/>
      <c r="RAA2485" s="60"/>
      <c r="RAB2485" s="60"/>
      <c r="RAC2485" s="58"/>
      <c r="RAD2485" s="61"/>
      <c r="RAE2485" s="58"/>
      <c r="RAF2485" s="58"/>
      <c r="RAG2485" s="58"/>
      <c r="RAH2485" s="60"/>
      <c r="RAI2485" s="60"/>
      <c r="RAJ2485" s="60"/>
      <c r="RAK2485" s="58"/>
      <c r="RAL2485" s="61"/>
      <c r="RAM2485" s="58"/>
      <c r="RAN2485" s="58"/>
      <c r="RAO2485" s="58"/>
      <c r="RAP2485" s="60"/>
      <c r="RAQ2485" s="60"/>
      <c r="RAR2485" s="60"/>
      <c r="RAS2485" s="58"/>
      <c r="RAT2485" s="61"/>
      <c r="RAU2485" s="58"/>
      <c r="RAV2485" s="58"/>
      <c r="RAW2485" s="58"/>
      <c r="RAX2485" s="60"/>
      <c r="RAY2485" s="60"/>
      <c r="RAZ2485" s="60"/>
      <c r="RBA2485" s="58"/>
      <c r="RBB2485" s="61"/>
      <c r="RBC2485" s="58"/>
      <c r="RBD2485" s="58"/>
      <c r="RBE2485" s="58"/>
      <c r="RBF2485" s="60"/>
      <c r="RBG2485" s="60"/>
      <c r="RBH2485" s="60"/>
      <c r="RBI2485" s="58"/>
      <c r="RBJ2485" s="61"/>
      <c r="RBK2485" s="58"/>
      <c r="RBL2485" s="58"/>
      <c r="RBM2485" s="58"/>
      <c r="RBN2485" s="60"/>
      <c r="RBO2485" s="60"/>
      <c r="RBP2485" s="60"/>
      <c r="RBQ2485" s="58"/>
      <c r="RBR2485" s="61"/>
      <c r="RBS2485" s="58"/>
      <c r="RBT2485" s="58"/>
      <c r="RBU2485" s="58"/>
      <c r="RBV2485" s="60"/>
      <c r="RBW2485" s="60"/>
      <c r="RBX2485" s="60"/>
      <c r="RBY2485" s="58"/>
      <c r="RBZ2485" s="61"/>
      <c r="RCA2485" s="58"/>
      <c r="RCB2485" s="58"/>
      <c r="RCC2485" s="58"/>
      <c r="RCD2485" s="60"/>
      <c r="RCE2485" s="60"/>
      <c r="RCF2485" s="60"/>
      <c r="RCG2485" s="58"/>
      <c r="RCH2485" s="61"/>
      <c r="RCI2485" s="58"/>
      <c r="RCJ2485" s="58"/>
      <c r="RCK2485" s="58"/>
      <c r="RCL2485" s="60"/>
      <c r="RCM2485" s="60"/>
      <c r="RCN2485" s="60"/>
      <c r="RCO2485" s="58"/>
      <c r="RCP2485" s="61"/>
      <c r="RCQ2485" s="58"/>
      <c r="RCR2485" s="58"/>
      <c r="RCS2485" s="58"/>
      <c r="RCT2485" s="60"/>
      <c r="RCU2485" s="60"/>
      <c r="RCV2485" s="60"/>
      <c r="RCW2485" s="58"/>
      <c r="RCX2485" s="61"/>
      <c r="RCY2485" s="58"/>
      <c r="RCZ2485" s="58"/>
      <c r="RDA2485" s="58"/>
      <c r="RDB2485" s="60"/>
      <c r="RDC2485" s="60"/>
      <c r="RDD2485" s="60"/>
      <c r="RDE2485" s="58"/>
      <c r="RDF2485" s="61"/>
      <c r="RDG2485" s="58"/>
      <c r="RDH2485" s="58"/>
      <c r="RDI2485" s="58"/>
      <c r="RDJ2485" s="60"/>
      <c r="RDK2485" s="60"/>
      <c r="RDL2485" s="60"/>
      <c r="RDM2485" s="58"/>
      <c r="RDN2485" s="61"/>
      <c r="RDO2485" s="58"/>
      <c r="RDP2485" s="58"/>
      <c r="RDQ2485" s="58"/>
      <c r="RDR2485" s="60"/>
      <c r="RDS2485" s="60"/>
      <c r="RDT2485" s="60"/>
      <c r="RDU2485" s="58"/>
      <c r="RDV2485" s="61"/>
      <c r="RDW2485" s="58"/>
      <c r="RDX2485" s="58"/>
      <c r="RDY2485" s="58"/>
      <c r="RDZ2485" s="60"/>
      <c r="REA2485" s="60"/>
      <c r="REB2485" s="60"/>
      <c r="REC2485" s="58"/>
      <c r="RED2485" s="61"/>
      <c r="REE2485" s="58"/>
      <c r="REF2485" s="58"/>
      <c r="REG2485" s="58"/>
      <c r="REH2485" s="60"/>
      <c r="REI2485" s="60"/>
      <c r="REJ2485" s="60"/>
      <c r="REK2485" s="58"/>
      <c r="REL2485" s="61"/>
      <c r="REM2485" s="58"/>
      <c r="REN2485" s="58"/>
      <c r="REO2485" s="58"/>
      <c r="REP2485" s="60"/>
      <c r="REQ2485" s="60"/>
      <c r="RER2485" s="60"/>
      <c r="RES2485" s="58"/>
      <c r="RET2485" s="61"/>
      <c r="REU2485" s="58"/>
      <c r="REV2485" s="58"/>
      <c r="REW2485" s="58"/>
      <c r="REX2485" s="60"/>
      <c r="REY2485" s="60"/>
      <c r="REZ2485" s="60"/>
      <c r="RFA2485" s="58"/>
      <c r="RFB2485" s="61"/>
      <c r="RFC2485" s="58"/>
      <c r="RFD2485" s="58"/>
      <c r="RFE2485" s="58"/>
      <c r="RFF2485" s="60"/>
      <c r="RFG2485" s="60"/>
      <c r="RFH2485" s="60"/>
      <c r="RFI2485" s="58"/>
      <c r="RFJ2485" s="61"/>
      <c r="RFK2485" s="58"/>
      <c r="RFL2485" s="58"/>
      <c r="RFM2485" s="58"/>
      <c r="RFN2485" s="60"/>
      <c r="RFO2485" s="60"/>
      <c r="RFP2485" s="60"/>
      <c r="RFQ2485" s="58"/>
      <c r="RFR2485" s="61"/>
      <c r="RFS2485" s="58"/>
      <c r="RFT2485" s="58"/>
      <c r="RFU2485" s="58"/>
      <c r="RFV2485" s="60"/>
      <c r="RFW2485" s="60"/>
      <c r="RFX2485" s="60"/>
      <c r="RFY2485" s="58"/>
      <c r="RFZ2485" s="61"/>
      <c r="RGA2485" s="58"/>
      <c r="RGB2485" s="58"/>
      <c r="RGC2485" s="58"/>
      <c r="RGD2485" s="60"/>
      <c r="RGE2485" s="60"/>
      <c r="RGF2485" s="60"/>
      <c r="RGG2485" s="58"/>
      <c r="RGH2485" s="61"/>
      <c r="RGI2485" s="58"/>
      <c r="RGJ2485" s="58"/>
      <c r="RGK2485" s="58"/>
      <c r="RGL2485" s="60"/>
      <c r="RGM2485" s="60"/>
      <c r="RGN2485" s="60"/>
      <c r="RGO2485" s="58"/>
      <c r="RGP2485" s="61"/>
      <c r="RGQ2485" s="58"/>
      <c r="RGR2485" s="58"/>
      <c r="RGS2485" s="58"/>
      <c r="RGT2485" s="60"/>
      <c r="RGU2485" s="60"/>
      <c r="RGV2485" s="60"/>
      <c r="RGW2485" s="58"/>
      <c r="RGX2485" s="61"/>
      <c r="RGY2485" s="58"/>
      <c r="RGZ2485" s="58"/>
      <c r="RHA2485" s="58"/>
      <c r="RHB2485" s="60"/>
      <c r="RHC2485" s="60"/>
      <c r="RHD2485" s="60"/>
      <c r="RHE2485" s="58"/>
      <c r="RHF2485" s="61"/>
      <c r="RHG2485" s="58"/>
      <c r="RHH2485" s="58"/>
      <c r="RHI2485" s="58"/>
      <c r="RHJ2485" s="60"/>
      <c r="RHK2485" s="60"/>
      <c r="RHL2485" s="60"/>
      <c r="RHM2485" s="58"/>
      <c r="RHN2485" s="61"/>
      <c r="RHO2485" s="58"/>
      <c r="RHP2485" s="58"/>
      <c r="RHQ2485" s="58"/>
      <c r="RHR2485" s="60"/>
      <c r="RHS2485" s="60"/>
      <c r="RHT2485" s="60"/>
      <c r="RHU2485" s="58"/>
      <c r="RHV2485" s="61"/>
      <c r="RHW2485" s="58"/>
      <c r="RHX2485" s="58"/>
      <c r="RHY2485" s="58"/>
      <c r="RHZ2485" s="60"/>
      <c r="RIA2485" s="60"/>
      <c r="RIB2485" s="60"/>
      <c r="RIC2485" s="58"/>
      <c r="RID2485" s="61"/>
      <c r="RIE2485" s="58"/>
      <c r="RIF2485" s="58"/>
      <c r="RIG2485" s="58"/>
      <c r="RIH2485" s="60"/>
      <c r="RII2485" s="60"/>
      <c r="RIJ2485" s="60"/>
      <c r="RIK2485" s="58"/>
      <c r="RIL2485" s="61"/>
      <c r="RIM2485" s="58"/>
      <c r="RIN2485" s="58"/>
      <c r="RIO2485" s="58"/>
      <c r="RIP2485" s="60"/>
      <c r="RIQ2485" s="60"/>
      <c r="RIR2485" s="60"/>
      <c r="RIS2485" s="58"/>
      <c r="RIT2485" s="61"/>
      <c r="RIU2485" s="58"/>
      <c r="RIV2485" s="58"/>
      <c r="RIW2485" s="58"/>
      <c r="RIX2485" s="60"/>
      <c r="RIY2485" s="60"/>
      <c r="RIZ2485" s="60"/>
      <c r="RJA2485" s="58"/>
      <c r="RJB2485" s="61"/>
      <c r="RJC2485" s="58"/>
      <c r="RJD2485" s="58"/>
      <c r="RJE2485" s="58"/>
      <c r="RJF2485" s="60"/>
      <c r="RJG2485" s="60"/>
      <c r="RJH2485" s="60"/>
      <c r="RJI2485" s="58"/>
      <c r="RJJ2485" s="61"/>
      <c r="RJK2485" s="58"/>
      <c r="RJL2485" s="58"/>
      <c r="RJM2485" s="58"/>
      <c r="RJN2485" s="60"/>
      <c r="RJO2485" s="60"/>
      <c r="RJP2485" s="60"/>
      <c r="RJQ2485" s="58"/>
      <c r="RJR2485" s="61"/>
      <c r="RJS2485" s="58"/>
      <c r="RJT2485" s="58"/>
      <c r="RJU2485" s="58"/>
      <c r="RJV2485" s="60"/>
      <c r="RJW2485" s="60"/>
      <c r="RJX2485" s="60"/>
      <c r="RJY2485" s="58"/>
      <c r="RJZ2485" s="61"/>
      <c r="RKA2485" s="58"/>
      <c r="RKB2485" s="58"/>
      <c r="RKC2485" s="58"/>
      <c r="RKD2485" s="60"/>
      <c r="RKE2485" s="60"/>
      <c r="RKF2485" s="60"/>
      <c r="RKG2485" s="58"/>
      <c r="RKH2485" s="61"/>
      <c r="RKI2485" s="58"/>
      <c r="RKJ2485" s="58"/>
      <c r="RKK2485" s="58"/>
      <c r="RKL2485" s="60"/>
      <c r="RKM2485" s="60"/>
      <c r="RKN2485" s="60"/>
      <c r="RKO2485" s="58"/>
      <c r="RKP2485" s="61"/>
      <c r="RKQ2485" s="58"/>
      <c r="RKR2485" s="58"/>
      <c r="RKS2485" s="58"/>
      <c r="RKT2485" s="60"/>
      <c r="RKU2485" s="60"/>
      <c r="RKV2485" s="60"/>
      <c r="RKW2485" s="58"/>
      <c r="RKX2485" s="61"/>
      <c r="RKY2485" s="58"/>
      <c r="RKZ2485" s="58"/>
      <c r="RLA2485" s="58"/>
      <c r="RLB2485" s="60"/>
      <c r="RLC2485" s="60"/>
      <c r="RLD2485" s="60"/>
      <c r="RLE2485" s="58"/>
      <c r="RLF2485" s="61"/>
      <c r="RLG2485" s="58"/>
      <c r="RLH2485" s="58"/>
      <c r="RLI2485" s="58"/>
      <c r="RLJ2485" s="60"/>
      <c r="RLK2485" s="60"/>
      <c r="RLL2485" s="60"/>
      <c r="RLM2485" s="58"/>
      <c r="RLN2485" s="61"/>
      <c r="RLO2485" s="58"/>
      <c r="RLP2485" s="58"/>
      <c r="RLQ2485" s="58"/>
      <c r="RLR2485" s="60"/>
      <c r="RLS2485" s="60"/>
      <c r="RLT2485" s="60"/>
      <c r="RLU2485" s="58"/>
      <c r="RLV2485" s="61"/>
      <c r="RLW2485" s="58"/>
      <c r="RLX2485" s="58"/>
      <c r="RLY2485" s="58"/>
      <c r="RLZ2485" s="60"/>
      <c r="RMA2485" s="60"/>
      <c r="RMB2485" s="60"/>
      <c r="RMC2485" s="58"/>
      <c r="RMD2485" s="61"/>
      <c r="RME2485" s="58"/>
      <c r="RMF2485" s="58"/>
      <c r="RMG2485" s="58"/>
      <c r="RMH2485" s="60"/>
      <c r="RMI2485" s="60"/>
      <c r="RMJ2485" s="60"/>
      <c r="RMK2485" s="58"/>
      <c r="RML2485" s="61"/>
      <c r="RMM2485" s="58"/>
      <c r="RMN2485" s="58"/>
      <c r="RMO2485" s="58"/>
      <c r="RMP2485" s="60"/>
      <c r="RMQ2485" s="60"/>
      <c r="RMR2485" s="60"/>
      <c r="RMS2485" s="58"/>
      <c r="RMT2485" s="61"/>
      <c r="RMU2485" s="58"/>
      <c r="RMV2485" s="58"/>
      <c r="RMW2485" s="58"/>
      <c r="RMX2485" s="60"/>
      <c r="RMY2485" s="60"/>
      <c r="RMZ2485" s="60"/>
      <c r="RNA2485" s="58"/>
      <c r="RNB2485" s="61"/>
      <c r="RNC2485" s="58"/>
      <c r="RND2485" s="58"/>
      <c r="RNE2485" s="58"/>
      <c r="RNF2485" s="60"/>
      <c r="RNG2485" s="60"/>
      <c r="RNH2485" s="60"/>
      <c r="RNI2485" s="58"/>
      <c r="RNJ2485" s="61"/>
      <c r="RNK2485" s="58"/>
      <c r="RNL2485" s="58"/>
      <c r="RNM2485" s="58"/>
      <c r="RNN2485" s="60"/>
      <c r="RNO2485" s="60"/>
      <c r="RNP2485" s="60"/>
      <c r="RNQ2485" s="58"/>
      <c r="RNR2485" s="61"/>
      <c r="RNS2485" s="58"/>
      <c r="RNT2485" s="58"/>
      <c r="RNU2485" s="58"/>
      <c r="RNV2485" s="60"/>
      <c r="RNW2485" s="60"/>
      <c r="RNX2485" s="60"/>
      <c r="RNY2485" s="58"/>
      <c r="RNZ2485" s="61"/>
      <c r="ROA2485" s="58"/>
      <c r="ROB2485" s="58"/>
      <c r="ROC2485" s="58"/>
      <c r="ROD2485" s="60"/>
      <c r="ROE2485" s="60"/>
      <c r="ROF2485" s="60"/>
      <c r="ROG2485" s="58"/>
      <c r="ROH2485" s="61"/>
      <c r="ROI2485" s="58"/>
      <c r="ROJ2485" s="58"/>
      <c r="ROK2485" s="58"/>
      <c r="ROL2485" s="60"/>
      <c r="ROM2485" s="60"/>
      <c r="RON2485" s="60"/>
      <c r="ROO2485" s="58"/>
      <c r="ROP2485" s="61"/>
      <c r="ROQ2485" s="58"/>
      <c r="ROR2485" s="58"/>
      <c r="ROS2485" s="58"/>
      <c r="ROT2485" s="60"/>
      <c r="ROU2485" s="60"/>
      <c r="ROV2485" s="60"/>
      <c r="ROW2485" s="58"/>
      <c r="ROX2485" s="61"/>
      <c r="ROY2485" s="58"/>
      <c r="ROZ2485" s="58"/>
      <c r="RPA2485" s="58"/>
      <c r="RPB2485" s="60"/>
      <c r="RPC2485" s="60"/>
      <c r="RPD2485" s="60"/>
      <c r="RPE2485" s="58"/>
      <c r="RPF2485" s="61"/>
      <c r="RPG2485" s="58"/>
      <c r="RPH2485" s="58"/>
      <c r="RPI2485" s="58"/>
      <c r="RPJ2485" s="60"/>
      <c r="RPK2485" s="60"/>
      <c r="RPL2485" s="60"/>
      <c r="RPM2485" s="58"/>
      <c r="RPN2485" s="61"/>
      <c r="RPO2485" s="58"/>
      <c r="RPP2485" s="58"/>
      <c r="RPQ2485" s="58"/>
      <c r="RPR2485" s="60"/>
      <c r="RPS2485" s="60"/>
      <c r="RPT2485" s="60"/>
      <c r="RPU2485" s="58"/>
      <c r="RPV2485" s="61"/>
      <c r="RPW2485" s="58"/>
      <c r="RPX2485" s="58"/>
      <c r="RPY2485" s="58"/>
      <c r="RPZ2485" s="60"/>
      <c r="RQA2485" s="60"/>
      <c r="RQB2485" s="60"/>
      <c r="RQC2485" s="58"/>
      <c r="RQD2485" s="61"/>
      <c r="RQE2485" s="58"/>
      <c r="RQF2485" s="58"/>
      <c r="RQG2485" s="58"/>
      <c r="RQH2485" s="60"/>
      <c r="RQI2485" s="60"/>
      <c r="RQJ2485" s="60"/>
      <c r="RQK2485" s="58"/>
      <c r="RQL2485" s="61"/>
      <c r="RQM2485" s="58"/>
      <c r="RQN2485" s="58"/>
      <c r="RQO2485" s="58"/>
      <c r="RQP2485" s="60"/>
      <c r="RQQ2485" s="60"/>
      <c r="RQR2485" s="60"/>
      <c r="RQS2485" s="58"/>
      <c r="RQT2485" s="61"/>
      <c r="RQU2485" s="58"/>
      <c r="RQV2485" s="58"/>
      <c r="RQW2485" s="58"/>
      <c r="RQX2485" s="60"/>
      <c r="RQY2485" s="60"/>
      <c r="RQZ2485" s="60"/>
      <c r="RRA2485" s="58"/>
      <c r="RRB2485" s="61"/>
      <c r="RRC2485" s="58"/>
      <c r="RRD2485" s="58"/>
      <c r="RRE2485" s="58"/>
      <c r="RRF2485" s="60"/>
      <c r="RRG2485" s="60"/>
      <c r="RRH2485" s="60"/>
      <c r="RRI2485" s="58"/>
      <c r="RRJ2485" s="61"/>
      <c r="RRK2485" s="58"/>
      <c r="RRL2485" s="58"/>
      <c r="RRM2485" s="58"/>
      <c r="RRN2485" s="60"/>
      <c r="RRO2485" s="60"/>
      <c r="RRP2485" s="60"/>
      <c r="RRQ2485" s="58"/>
      <c r="RRR2485" s="61"/>
      <c r="RRS2485" s="58"/>
      <c r="RRT2485" s="58"/>
      <c r="RRU2485" s="58"/>
      <c r="RRV2485" s="60"/>
      <c r="RRW2485" s="60"/>
      <c r="RRX2485" s="60"/>
      <c r="RRY2485" s="58"/>
      <c r="RRZ2485" s="61"/>
      <c r="RSA2485" s="58"/>
      <c r="RSB2485" s="58"/>
      <c r="RSC2485" s="58"/>
      <c r="RSD2485" s="60"/>
      <c r="RSE2485" s="60"/>
      <c r="RSF2485" s="60"/>
      <c r="RSG2485" s="58"/>
      <c r="RSH2485" s="61"/>
      <c r="RSI2485" s="58"/>
      <c r="RSJ2485" s="58"/>
      <c r="RSK2485" s="58"/>
      <c r="RSL2485" s="60"/>
      <c r="RSM2485" s="60"/>
      <c r="RSN2485" s="60"/>
      <c r="RSO2485" s="58"/>
      <c r="RSP2485" s="61"/>
      <c r="RSQ2485" s="58"/>
      <c r="RSR2485" s="58"/>
      <c r="RSS2485" s="58"/>
      <c r="RST2485" s="60"/>
      <c r="RSU2485" s="60"/>
      <c r="RSV2485" s="60"/>
      <c r="RSW2485" s="58"/>
      <c r="RSX2485" s="61"/>
      <c r="RSY2485" s="58"/>
      <c r="RSZ2485" s="58"/>
      <c r="RTA2485" s="58"/>
      <c r="RTB2485" s="60"/>
      <c r="RTC2485" s="60"/>
      <c r="RTD2485" s="60"/>
      <c r="RTE2485" s="58"/>
      <c r="RTF2485" s="61"/>
      <c r="RTG2485" s="58"/>
      <c r="RTH2485" s="58"/>
      <c r="RTI2485" s="58"/>
      <c r="RTJ2485" s="60"/>
      <c r="RTK2485" s="60"/>
      <c r="RTL2485" s="60"/>
      <c r="RTM2485" s="58"/>
      <c r="RTN2485" s="61"/>
      <c r="RTO2485" s="58"/>
      <c r="RTP2485" s="58"/>
      <c r="RTQ2485" s="58"/>
      <c r="RTR2485" s="60"/>
      <c r="RTS2485" s="60"/>
      <c r="RTT2485" s="60"/>
      <c r="RTU2485" s="58"/>
      <c r="RTV2485" s="61"/>
      <c r="RTW2485" s="58"/>
      <c r="RTX2485" s="58"/>
      <c r="RTY2485" s="58"/>
      <c r="RTZ2485" s="60"/>
      <c r="RUA2485" s="60"/>
      <c r="RUB2485" s="60"/>
      <c r="RUC2485" s="58"/>
      <c r="RUD2485" s="61"/>
      <c r="RUE2485" s="58"/>
      <c r="RUF2485" s="58"/>
      <c r="RUG2485" s="58"/>
      <c r="RUH2485" s="60"/>
      <c r="RUI2485" s="60"/>
      <c r="RUJ2485" s="60"/>
      <c r="RUK2485" s="58"/>
      <c r="RUL2485" s="61"/>
      <c r="RUM2485" s="58"/>
      <c r="RUN2485" s="58"/>
      <c r="RUO2485" s="58"/>
      <c r="RUP2485" s="60"/>
      <c r="RUQ2485" s="60"/>
      <c r="RUR2485" s="60"/>
      <c r="RUS2485" s="58"/>
      <c r="RUT2485" s="61"/>
      <c r="RUU2485" s="58"/>
      <c r="RUV2485" s="58"/>
      <c r="RUW2485" s="58"/>
      <c r="RUX2485" s="60"/>
      <c r="RUY2485" s="60"/>
      <c r="RUZ2485" s="60"/>
      <c r="RVA2485" s="58"/>
      <c r="RVB2485" s="61"/>
      <c r="RVC2485" s="58"/>
      <c r="RVD2485" s="58"/>
      <c r="RVE2485" s="58"/>
      <c r="RVF2485" s="60"/>
      <c r="RVG2485" s="60"/>
      <c r="RVH2485" s="60"/>
      <c r="RVI2485" s="58"/>
      <c r="RVJ2485" s="61"/>
      <c r="RVK2485" s="58"/>
      <c r="RVL2485" s="58"/>
      <c r="RVM2485" s="58"/>
      <c r="RVN2485" s="60"/>
      <c r="RVO2485" s="60"/>
      <c r="RVP2485" s="60"/>
      <c r="RVQ2485" s="58"/>
      <c r="RVR2485" s="61"/>
      <c r="RVS2485" s="58"/>
      <c r="RVT2485" s="58"/>
      <c r="RVU2485" s="58"/>
      <c r="RVV2485" s="60"/>
      <c r="RVW2485" s="60"/>
      <c r="RVX2485" s="60"/>
      <c r="RVY2485" s="58"/>
      <c r="RVZ2485" s="61"/>
      <c r="RWA2485" s="58"/>
      <c r="RWB2485" s="58"/>
      <c r="RWC2485" s="58"/>
      <c r="RWD2485" s="60"/>
      <c r="RWE2485" s="60"/>
      <c r="RWF2485" s="60"/>
      <c r="RWG2485" s="58"/>
      <c r="RWH2485" s="61"/>
      <c r="RWI2485" s="58"/>
      <c r="RWJ2485" s="58"/>
      <c r="RWK2485" s="58"/>
      <c r="RWL2485" s="60"/>
      <c r="RWM2485" s="60"/>
      <c r="RWN2485" s="60"/>
      <c r="RWO2485" s="58"/>
      <c r="RWP2485" s="61"/>
      <c r="RWQ2485" s="58"/>
      <c r="RWR2485" s="58"/>
      <c r="RWS2485" s="58"/>
      <c r="RWT2485" s="60"/>
      <c r="RWU2485" s="60"/>
      <c r="RWV2485" s="60"/>
      <c r="RWW2485" s="58"/>
      <c r="RWX2485" s="61"/>
      <c r="RWY2485" s="58"/>
      <c r="RWZ2485" s="58"/>
      <c r="RXA2485" s="58"/>
      <c r="RXB2485" s="60"/>
      <c r="RXC2485" s="60"/>
      <c r="RXD2485" s="60"/>
      <c r="RXE2485" s="58"/>
      <c r="RXF2485" s="61"/>
      <c r="RXG2485" s="58"/>
      <c r="RXH2485" s="58"/>
      <c r="RXI2485" s="58"/>
      <c r="RXJ2485" s="60"/>
      <c r="RXK2485" s="60"/>
      <c r="RXL2485" s="60"/>
      <c r="RXM2485" s="58"/>
      <c r="RXN2485" s="61"/>
      <c r="RXO2485" s="58"/>
      <c r="RXP2485" s="58"/>
      <c r="RXQ2485" s="58"/>
      <c r="RXR2485" s="60"/>
      <c r="RXS2485" s="60"/>
      <c r="RXT2485" s="60"/>
      <c r="RXU2485" s="58"/>
      <c r="RXV2485" s="61"/>
      <c r="RXW2485" s="58"/>
      <c r="RXX2485" s="58"/>
      <c r="RXY2485" s="58"/>
      <c r="RXZ2485" s="60"/>
      <c r="RYA2485" s="60"/>
      <c r="RYB2485" s="60"/>
      <c r="RYC2485" s="58"/>
      <c r="RYD2485" s="61"/>
      <c r="RYE2485" s="58"/>
      <c r="RYF2485" s="58"/>
      <c r="RYG2485" s="58"/>
      <c r="RYH2485" s="60"/>
      <c r="RYI2485" s="60"/>
      <c r="RYJ2485" s="60"/>
      <c r="RYK2485" s="58"/>
      <c r="RYL2485" s="61"/>
      <c r="RYM2485" s="58"/>
      <c r="RYN2485" s="58"/>
      <c r="RYO2485" s="58"/>
      <c r="RYP2485" s="60"/>
      <c r="RYQ2485" s="60"/>
      <c r="RYR2485" s="60"/>
      <c r="RYS2485" s="58"/>
      <c r="RYT2485" s="61"/>
      <c r="RYU2485" s="58"/>
      <c r="RYV2485" s="58"/>
      <c r="RYW2485" s="58"/>
      <c r="RYX2485" s="60"/>
      <c r="RYY2485" s="60"/>
      <c r="RYZ2485" s="60"/>
      <c r="RZA2485" s="58"/>
      <c r="RZB2485" s="61"/>
      <c r="RZC2485" s="58"/>
      <c r="RZD2485" s="58"/>
      <c r="RZE2485" s="58"/>
      <c r="RZF2485" s="60"/>
      <c r="RZG2485" s="60"/>
      <c r="RZH2485" s="60"/>
      <c r="RZI2485" s="58"/>
      <c r="RZJ2485" s="61"/>
      <c r="RZK2485" s="58"/>
      <c r="RZL2485" s="58"/>
      <c r="RZM2485" s="58"/>
      <c r="RZN2485" s="60"/>
      <c r="RZO2485" s="60"/>
      <c r="RZP2485" s="60"/>
      <c r="RZQ2485" s="58"/>
      <c r="RZR2485" s="61"/>
      <c r="RZS2485" s="58"/>
      <c r="RZT2485" s="58"/>
      <c r="RZU2485" s="58"/>
      <c r="RZV2485" s="60"/>
      <c r="RZW2485" s="60"/>
      <c r="RZX2485" s="60"/>
      <c r="RZY2485" s="58"/>
      <c r="RZZ2485" s="61"/>
      <c r="SAA2485" s="58"/>
      <c r="SAB2485" s="58"/>
      <c r="SAC2485" s="58"/>
      <c r="SAD2485" s="60"/>
      <c r="SAE2485" s="60"/>
      <c r="SAF2485" s="60"/>
      <c r="SAG2485" s="58"/>
      <c r="SAH2485" s="61"/>
      <c r="SAI2485" s="58"/>
      <c r="SAJ2485" s="58"/>
      <c r="SAK2485" s="58"/>
      <c r="SAL2485" s="60"/>
      <c r="SAM2485" s="60"/>
      <c r="SAN2485" s="60"/>
      <c r="SAO2485" s="58"/>
      <c r="SAP2485" s="61"/>
      <c r="SAQ2485" s="58"/>
      <c r="SAR2485" s="58"/>
      <c r="SAS2485" s="58"/>
      <c r="SAT2485" s="60"/>
      <c r="SAU2485" s="60"/>
      <c r="SAV2485" s="60"/>
      <c r="SAW2485" s="58"/>
      <c r="SAX2485" s="61"/>
      <c r="SAY2485" s="58"/>
      <c r="SAZ2485" s="58"/>
      <c r="SBA2485" s="58"/>
      <c r="SBB2485" s="60"/>
      <c r="SBC2485" s="60"/>
      <c r="SBD2485" s="60"/>
      <c r="SBE2485" s="58"/>
      <c r="SBF2485" s="61"/>
      <c r="SBG2485" s="58"/>
      <c r="SBH2485" s="58"/>
      <c r="SBI2485" s="58"/>
      <c r="SBJ2485" s="60"/>
      <c r="SBK2485" s="60"/>
      <c r="SBL2485" s="60"/>
      <c r="SBM2485" s="58"/>
      <c r="SBN2485" s="61"/>
      <c r="SBO2485" s="58"/>
      <c r="SBP2485" s="58"/>
      <c r="SBQ2485" s="58"/>
      <c r="SBR2485" s="60"/>
      <c r="SBS2485" s="60"/>
      <c r="SBT2485" s="60"/>
      <c r="SBU2485" s="58"/>
      <c r="SBV2485" s="61"/>
      <c r="SBW2485" s="58"/>
      <c r="SBX2485" s="58"/>
      <c r="SBY2485" s="58"/>
      <c r="SBZ2485" s="60"/>
      <c r="SCA2485" s="60"/>
      <c r="SCB2485" s="60"/>
      <c r="SCC2485" s="58"/>
      <c r="SCD2485" s="61"/>
      <c r="SCE2485" s="58"/>
      <c r="SCF2485" s="58"/>
      <c r="SCG2485" s="58"/>
      <c r="SCH2485" s="60"/>
      <c r="SCI2485" s="60"/>
      <c r="SCJ2485" s="60"/>
      <c r="SCK2485" s="58"/>
      <c r="SCL2485" s="61"/>
      <c r="SCM2485" s="58"/>
      <c r="SCN2485" s="58"/>
      <c r="SCO2485" s="58"/>
      <c r="SCP2485" s="60"/>
      <c r="SCQ2485" s="60"/>
      <c r="SCR2485" s="60"/>
      <c r="SCS2485" s="58"/>
      <c r="SCT2485" s="61"/>
      <c r="SCU2485" s="58"/>
      <c r="SCV2485" s="58"/>
      <c r="SCW2485" s="58"/>
      <c r="SCX2485" s="60"/>
      <c r="SCY2485" s="60"/>
      <c r="SCZ2485" s="60"/>
      <c r="SDA2485" s="58"/>
      <c r="SDB2485" s="61"/>
      <c r="SDC2485" s="58"/>
      <c r="SDD2485" s="58"/>
      <c r="SDE2485" s="58"/>
      <c r="SDF2485" s="60"/>
      <c r="SDG2485" s="60"/>
      <c r="SDH2485" s="60"/>
      <c r="SDI2485" s="58"/>
      <c r="SDJ2485" s="61"/>
      <c r="SDK2485" s="58"/>
      <c r="SDL2485" s="58"/>
      <c r="SDM2485" s="58"/>
      <c r="SDN2485" s="60"/>
      <c r="SDO2485" s="60"/>
      <c r="SDP2485" s="60"/>
      <c r="SDQ2485" s="58"/>
      <c r="SDR2485" s="61"/>
      <c r="SDS2485" s="58"/>
      <c r="SDT2485" s="58"/>
      <c r="SDU2485" s="58"/>
      <c r="SDV2485" s="60"/>
      <c r="SDW2485" s="60"/>
      <c r="SDX2485" s="60"/>
      <c r="SDY2485" s="58"/>
      <c r="SDZ2485" s="61"/>
      <c r="SEA2485" s="58"/>
      <c r="SEB2485" s="58"/>
      <c r="SEC2485" s="58"/>
      <c r="SED2485" s="60"/>
      <c r="SEE2485" s="60"/>
      <c r="SEF2485" s="60"/>
      <c r="SEG2485" s="58"/>
      <c r="SEH2485" s="61"/>
      <c r="SEI2485" s="58"/>
      <c r="SEJ2485" s="58"/>
      <c r="SEK2485" s="58"/>
      <c r="SEL2485" s="60"/>
      <c r="SEM2485" s="60"/>
      <c r="SEN2485" s="60"/>
      <c r="SEO2485" s="58"/>
      <c r="SEP2485" s="61"/>
      <c r="SEQ2485" s="58"/>
      <c r="SER2485" s="58"/>
      <c r="SES2485" s="58"/>
      <c r="SET2485" s="60"/>
      <c r="SEU2485" s="60"/>
      <c r="SEV2485" s="60"/>
      <c r="SEW2485" s="58"/>
      <c r="SEX2485" s="61"/>
      <c r="SEY2485" s="58"/>
      <c r="SEZ2485" s="58"/>
      <c r="SFA2485" s="58"/>
      <c r="SFB2485" s="60"/>
      <c r="SFC2485" s="60"/>
      <c r="SFD2485" s="60"/>
      <c r="SFE2485" s="58"/>
      <c r="SFF2485" s="61"/>
      <c r="SFG2485" s="58"/>
      <c r="SFH2485" s="58"/>
      <c r="SFI2485" s="58"/>
      <c r="SFJ2485" s="60"/>
      <c r="SFK2485" s="60"/>
      <c r="SFL2485" s="60"/>
      <c r="SFM2485" s="58"/>
      <c r="SFN2485" s="61"/>
      <c r="SFO2485" s="58"/>
      <c r="SFP2485" s="58"/>
      <c r="SFQ2485" s="58"/>
      <c r="SFR2485" s="60"/>
      <c r="SFS2485" s="60"/>
      <c r="SFT2485" s="60"/>
      <c r="SFU2485" s="58"/>
      <c r="SFV2485" s="61"/>
      <c r="SFW2485" s="58"/>
      <c r="SFX2485" s="58"/>
      <c r="SFY2485" s="58"/>
      <c r="SFZ2485" s="60"/>
      <c r="SGA2485" s="60"/>
      <c r="SGB2485" s="60"/>
      <c r="SGC2485" s="58"/>
      <c r="SGD2485" s="61"/>
      <c r="SGE2485" s="58"/>
      <c r="SGF2485" s="58"/>
      <c r="SGG2485" s="58"/>
      <c r="SGH2485" s="60"/>
      <c r="SGI2485" s="60"/>
      <c r="SGJ2485" s="60"/>
      <c r="SGK2485" s="58"/>
      <c r="SGL2485" s="61"/>
      <c r="SGM2485" s="58"/>
      <c r="SGN2485" s="58"/>
      <c r="SGO2485" s="58"/>
      <c r="SGP2485" s="60"/>
      <c r="SGQ2485" s="60"/>
      <c r="SGR2485" s="60"/>
      <c r="SGS2485" s="58"/>
      <c r="SGT2485" s="61"/>
      <c r="SGU2485" s="58"/>
      <c r="SGV2485" s="58"/>
      <c r="SGW2485" s="58"/>
      <c r="SGX2485" s="60"/>
      <c r="SGY2485" s="60"/>
      <c r="SGZ2485" s="60"/>
      <c r="SHA2485" s="58"/>
      <c r="SHB2485" s="61"/>
      <c r="SHC2485" s="58"/>
      <c r="SHD2485" s="58"/>
      <c r="SHE2485" s="58"/>
      <c r="SHF2485" s="60"/>
      <c r="SHG2485" s="60"/>
      <c r="SHH2485" s="60"/>
      <c r="SHI2485" s="58"/>
      <c r="SHJ2485" s="61"/>
      <c r="SHK2485" s="58"/>
      <c r="SHL2485" s="58"/>
      <c r="SHM2485" s="58"/>
      <c r="SHN2485" s="60"/>
      <c r="SHO2485" s="60"/>
      <c r="SHP2485" s="60"/>
      <c r="SHQ2485" s="58"/>
      <c r="SHR2485" s="61"/>
      <c r="SHS2485" s="58"/>
      <c r="SHT2485" s="58"/>
      <c r="SHU2485" s="58"/>
      <c r="SHV2485" s="60"/>
      <c r="SHW2485" s="60"/>
      <c r="SHX2485" s="60"/>
      <c r="SHY2485" s="58"/>
      <c r="SHZ2485" s="61"/>
      <c r="SIA2485" s="58"/>
      <c r="SIB2485" s="58"/>
      <c r="SIC2485" s="58"/>
      <c r="SID2485" s="60"/>
      <c r="SIE2485" s="60"/>
      <c r="SIF2485" s="60"/>
      <c r="SIG2485" s="58"/>
      <c r="SIH2485" s="61"/>
      <c r="SII2485" s="58"/>
      <c r="SIJ2485" s="58"/>
      <c r="SIK2485" s="58"/>
      <c r="SIL2485" s="60"/>
      <c r="SIM2485" s="60"/>
      <c r="SIN2485" s="60"/>
      <c r="SIO2485" s="58"/>
      <c r="SIP2485" s="61"/>
      <c r="SIQ2485" s="58"/>
      <c r="SIR2485" s="58"/>
      <c r="SIS2485" s="58"/>
      <c r="SIT2485" s="60"/>
      <c r="SIU2485" s="60"/>
      <c r="SIV2485" s="60"/>
      <c r="SIW2485" s="58"/>
      <c r="SIX2485" s="61"/>
      <c r="SIY2485" s="58"/>
      <c r="SIZ2485" s="58"/>
      <c r="SJA2485" s="58"/>
      <c r="SJB2485" s="60"/>
      <c r="SJC2485" s="60"/>
      <c r="SJD2485" s="60"/>
      <c r="SJE2485" s="58"/>
      <c r="SJF2485" s="61"/>
      <c r="SJG2485" s="58"/>
      <c r="SJH2485" s="58"/>
      <c r="SJI2485" s="58"/>
      <c r="SJJ2485" s="60"/>
      <c r="SJK2485" s="60"/>
      <c r="SJL2485" s="60"/>
      <c r="SJM2485" s="58"/>
      <c r="SJN2485" s="61"/>
      <c r="SJO2485" s="58"/>
      <c r="SJP2485" s="58"/>
      <c r="SJQ2485" s="58"/>
      <c r="SJR2485" s="60"/>
      <c r="SJS2485" s="60"/>
      <c r="SJT2485" s="60"/>
      <c r="SJU2485" s="58"/>
      <c r="SJV2485" s="61"/>
      <c r="SJW2485" s="58"/>
      <c r="SJX2485" s="58"/>
      <c r="SJY2485" s="58"/>
      <c r="SJZ2485" s="60"/>
      <c r="SKA2485" s="60"/>
      <c r="SKB2485" s="60"/>
      <c r="SKC2485" s="58"/>
      <c r="SKD2485" s="61"/>
      <c r="SKE2485" s="58"/>
      <c r="SKF2485" s="58"/>
      <c r="SKG2485" s="58"/>
      <c r="SKH2485" s="60"/>
      <c r="SKI2485" s="60"/>
      <c r="SKJ2485" s="60"/>
      <c r="SKK2485" s="58"/>
      <c r="SKL2485" s="61"/>
      <c r="SKM2485" s="58"/>
      <c r="SKN2485" s="58"/>
      <c r="SKO2485" s="58"/>
      <c r="SKP2485" s="60"/>
      <c r="SKQ2485" s="60"/>
      <c r="SKR2485" s="60"/>
      <c r="SKS2485" s="58"/>
      <c r="SKT2485" s="61"/>
      <c r="SKU2485" s="58"/>
      <c r="SKV2485" s="58"/>
      <c r="SKW2485" s="58"/>
      <c r="SKX2485" s="60"/>
      <c r="SKY2485" s="60"/>
      <c r="SKZ2485" s="60"/>
      <c r="SLA2485" s="58"/>
      <c r="SLB2485" s="61"/>
      <c r="SLC2485" s="58"/>
      <c r="SLD2485" s="58"/>
      <c r="SLE2485" s="58"/>
      <c r="SLF2485" s="60"/>
      <c r="SLG2485" s="60"/>
      <c r="SLH2485" s="60"/>
      <c r="SLI2485" s="58"/>
      <c r="SLJ2485" s="61"/>
      <c r="SLK2485" s="58"/>
      <c r="SLL2485" s="58"/>
      <c r="SLM2485" s="58"/>
      <c r="SLN2485" s="60"/>
      <c r="SLO2485" s="60"/>
      <c r="SLP2485" s="60"/>
      <c r="SLQ2485" s="58"/>
      <c r="SLR2485" s="61"/>
      <c r="SLS2485" s="58"/>
      <c r="SLT2485" s="58"/>
      <c r="SLU2485" s="58"/>
      <c r="SLV2485" s="60"/>
      <c r="SLW2485" s="60"/>
      <c r="SLX2485" s="60"/>
      <c r="SLY2485" s="58"/>
      <c r="SLZ2485" s="61"/>
      <c r="SMA2485" s="58"/>
      <c r="SMB2485" s="58"/>
      <c r="SMC2485" s="58"/>
      <c r="SMD2485" s="60"/>
      <c r="SME2485" s="60"/>
      <c r="SMF2485" s="60"/>
      <c r="SMG2485" s="58"/>
      <c r="SMH2485" s="61"/>
      <c r="SMI2485" s="58"/>
      <c r="SMJ2485" s="58"/>
      <c r="SMK2485" s="58"/>
      <c r="SML2485" s="60"/>
      <c r="SMM2485" s="60"/>
      <c r="SMN2485" s="60"/>
      <c r="SMO2485" s="58"/>
      <c r="SMP2485" s="61"/>
      <c r="SMQ2485" s="58"/>
      <c r="SMR2485" s="58"/>
      <c r="SMS2485" s="58"/>
      <c r="SMT2485" s="60"/>
      <c r="SMU2485" s="60"/>
      <c r="SMV2485" s="60"/>
      <c r="SMW2485" s="58"/>
      <c r="SMX2485" s="61"/>
      <c r="SMY2485" s="58"/>
      <c r="SMZ2485" s="58"/>
      <c r="SNA2485" s="58"/>
      <c r="SNB2485" s="60"/>
      <c r="SNC2485" s="60"/>
      <c r="SND2485" s="60"/>
      <c r="SNE2485" s="58"/>
      <c r="SNF2485" s="61"/>
      <c r="SNG2485" s="58"/>
      <c r="SNH2485" s="58"/>
      <c r="SNI2485" s="58"/>
      <c r="SNJ2485" s="60"/>
      <c r="SNK2485" s="60"/>
      <c r="SNL2485" s="60"/>
      <c r="SNM2485" s="58"/>
      <c r="SNN2485" s="61"/>
      <c r="SNO2485" s="58"/>
      <c r="SNP2485" s="58"/>
      <c r="SNQ2485" s="58"/>
      <c r="SNR2485" s="60"/>
      <c r="SNS2485" s="60"/>
      <c r="SNT2485" s="60"/>
      <c r="SNU2485" s="58"/>
      <c r="SNV2485" s="61"/>
      <c r="SNW2485" s="58"/>
      <c r="SNX2485" s="58"/>
      <c r="SNY2485" s="58"/>
      <c r="SNZ2485" s="60"/>
      <c r="SOA2485" s="60"/>
      <c r="SOB2485" s="60"/>
      <c r="SOC2485" s="58"/>
      <c r="SOD2485" s="61"/>
      <c r="SOE2485" s="58"/>
      <c r="SOF2485" s="58"/>
      <c r="SOG2485" s="58"/>
      <c r="SOH2485" s="60"/>
      <c r="SOI2485" s="60"/>
      <c r="SOJ2485" s="60"/>
      <c r="SOK2485" s="58"/>
      <c r="SOL2485" s="61"/>
      <c r="SOM2485" s="58"/>
      <c r="SON2485" s="58"/>
      <c r="SOO2485" s="58"/>
      <c r="SOP2485" s="60"/>
      <c r="SOQ2485" s="60"/>
      <c r="SOR2485" s="60"/>
      <c r="SOS2485" s="58"/>
      <c r="SOT2485" s="61"/>
      <c r="SOU2485" s="58"/>
      <c r="SOV2485" s="58"/>
      <c r="SOW2485" s="58"/>
      <c r="SOX2485" s="60"/>
      <c r="SOY2485" s="60"/>
      <c r="SOZ2485" s="60"/>
      <c r="SPA2485" s="58"/>
      <c r="SPB2485" s="61"/>
      <c r="SPC2485" s="58"/>
      <c r="SPD2485" s="58"/>
      <c r="SPE2485" s="58"/>
      <c r="SPF2485" s="60"/>
      <c r="SPG2485" s="60"/>
      <c r="SPH2485" s="60"/>
      <c r="SPI2485" s="58"/>
      <c r="SPJ2485" s="61"/>
      <c r="SPK2485" s="58"/>
      <c r="SPL2485" s="58"/>
      <c r="SPM2485" s="58"/>
      <c r="SPN2485" s="60"/>
      <c r="SPO2485" s="60"/>
      <c r="SPP2485" s="60"/>
      <c r="SPQ2485" s="58"/>
      <c r="SPR2485" s="61"/>
      <c r="SPS2485" s="58"/>
      <c r="SPT2485" s="58"/>
      <c r="SPU2485" s="58"/>
      <c r="SPV2485" s="60"/>
      <c r="SPW2485" s="60"/>
      <c r="SPX2485" s="60"/>
      <c r="SPY2485" s="58"/>
      <c r="SPZ2485" s="61"/>
      <c r="SQA2485" s="58"/>
      <c r="SQB2485" s="58"/>
      <c r="SQC2485" s="58"/>
      <c r="SQD2485" s="60"/>
      <c r="SQE2485" s="60"/>
      <c r="SQF2485" s="60"/>
      <c r="SQG2485" s="58"/>
      <c r="SQH2485" s="61"/>
      <c r="SQI2485" s="58"/>
      <c r="SQJ2485" s="58"/>
      <c r="SQK2485" s="58"/>
      <c r="SQL2485" s="60"/>
      <c r="SQM2485" s="60"/>
      <c r="SQN2485" s="60"/>
      <c r="SQO2485" s="58"/>
      <c r="SQP2485" s="61"/>
      <c r="SQQ2485" s="58"/>
      <c r="SQR2485" s="58"/>
      <c r="SQS2485" s="58"/>
      <c r="SQT2485" s="60"/>
      <c r="SQU2485" s="60"/>
      <c r="SQV2485" s="60"/>
      <c r="SQW2485" s="58"/>
      <c r="SQX2485" s="61"/>
      <c r="SQY2485" s="58"/>
      <c r="SQZ2485" s="58"/>
      <c r="SRA2485" s="58"/>
      <c r="SRB2485" s="60"/>
      <c r="SRC2485" s="60"/>
      <c r="SRD2485" s="60"/>
      <c r="SRE2485" s="58"/>
      <c r="SRF2485" s="61"/>
      <c r="SRG2485" s="58"/>
      <c r="SRH2485" s="58"/>
      <c r="SRI2485" s="58"/>
      <c r="SRJ2485" s="60"/>
      <c r="SRK2485" s="60"/>
      <c r="SRL2485" s="60"/>
      <c r="SRM2485" s="58"/>
      <c r="SRN2485" s="61"/>
      <c r="SRO2485" s="58"/>
      <c r="SRP2485" s="58"/>
      <c r="SRQ2485" s="58"/>
      <c r="SRR2485" s="60"/>
      <c r="SRS2485" s="60"/>
      <c r="SRT2485" s="60"/>
      <c r="SRU2485" s="58"/>
      <c r="SRV2485" s="61"/>
      <c r="SRW2485" s="58"/>
      <c r="SRX2485" s="58"/>
      <c r="SRY2485" s="58"/>
      <c r="SRZ2485" s="60"/>
      <c r="SSA2485" s="60"/>
      <c r="SSB2485" s="60"/>
      <c r="SSC2485" s="58"/>
      <c r="SSD2485" s="61"/>
      <c r="SSE2485" s="58"/>
      <c r="SSF2485" s="58"/>
      <c r="SSG2485" s="58"/>
      <c r="SSH2485" s="60"/>
      <c r="SSI2485" s="60"/>
      <c r="SSJ2485" s="60"/>
      <c r="SSK2485" s="58"/>
      <c r="SSL2485" s="61"/>
      <c r="SSM2485" s="58"/>
      <c r="SSN2485" s="58"/>
      <c r="SSO2485" s="58"/>
      <c r="SSP2485" s="60"/>
      <c r="SSQ2485" s="60"/>
      <c r="SSR2485" s="60"/>
      <c r="SSS2485" s="58"/>
      <c r="SST2485" s="61"/>
      <c r="SSU2485" s="58"/>
      <c r="SSV2485" s="58"/>
      <c r="SSW2485" s="58"/>
      <c r="SSX2485" s="60"/>
      <c r="SSY2485" s="60"/>
      <c r="SSZ2485" s="60"/>
      <c r="STA2485" s="58"/>
      <c r="STB2485" s="61"/>
      <c r="STC2485" s="58"/>
      <c r="STD2485" s="58"/>
      <c r="STE2485" s="58"/>
      <c r="STF2485" s="60"/>
      <c r="STG2485" s="60"/>
      <c r="STH2485" s="60"/>
      <c r="STI2485" s="58"/>
      <c r="STJ2485" s="61"/>
      <c r="STK2485" s="58"/>
      <c r="STL2485" s="58"/>
      <c r="STM2485" s="58"/>
      <c r="STN2485" s="60"/>
      <c r="STO2485" s="60"/>
      <c r="STP2485" s="60"/>
      <c r="STQ2485" s="58"/>
      <c r="STR2485" s="61"/>
      <c r="STS2485" s="58"/>
      <c r="STT2485" s="58"/>
      <c r="STU2485" s="58"/>
      <c r="STV2485" s="60"/>
      <c r="STW2485" s="60"/>
      <c r="STX2485" s="60"/>
      <c r="STY2485" s="58"/>
      <c r="STZ2485" s="61"/>
      <c r="SUA2485" s="58"/>
      <c r="SUB2485" s="58"/>
      <c r="SUC2485" s="58"/>
      <c r="SUD2485" s="60"/>
      <c r="SUE2485" s="60"/>
      <c r="SUF2485" s="60"/>
      <c r="SUG2485" s="58"/>
      <c r="SUH2485" s="61"/>
      <c r="SUI2485" s="58"/>
      <c r="SUJ2485" s="58"/>
      <c r="SUK2485" s="58"/>
      <c r="SUL2485" s="60"/>
      <c r="SUM2485" s="60"/>
      <c r="SUN2485" s="60"/>
      <c r="SUO2485" s="58"/>
      <c r="SUP2485" s="61"/>
      <c r="SUQ2485" s="58"/>
      <c r="SUR2485" s="58"/>
      <c r="SUS2485" s="58"/>
      <c r="SUT2485" s="60"/>
      <c r="SUU2485" s="60"/>
      <c r="SUV2485" s="60"/>
      <c r="SUW2485" s="58"/>
      <c r="SUX2485" s="61"/>
      <c r="SUY2485" s="58"/>
      <c r="SUZ2485" s="58"/>
      <c r="SVA2485" s="58"/>
      <c r="SVB2485" s="60"/>
      <c r="SVC2485" s="60"/>
      <c r="SVD2485" s="60"/>
      <c r="SVE2485" s="58"/>
      <c r="SVF2485" s="61"/>
      <c r="SVG2485" s="58"/>
      <c r="SVH2485" s="58"/>
      <c r="SVI2485" s="58"/>
      <c r="SVJ2485" s="60"/>
      <c r="SVK2485" s="60"/>
      <c r="SVL2485" s="60"/>
      <c r="SVM2485" s="58"/>
      <c r="SVN2485" s="61"/>
      <c r="SVO2485" s="58"/>
      <c r="SVP2485" s="58"/>
      <c r="SVQ2485" s="58"/>
      <c r="SVR2485" s="60"/>
      <c r="SVS2485" s="60"/>
      <c r="SVT2485" s="60"/>
      <c r="SVU2485" s="58"/>
      <c r="SVV2485" s="61"/>
      <c r="SVW2485" s="58"/>
      <c r="SVX2485" s="58"/>
      <c r="SVY2485" s="58"/>
      <c r="SVZ2485" s="60"/>
      <c r="SWA2485" s="60"/>
      <c r="SWB2485" s="60"/>
      <c r="SWC2485" s="58"/>
      <c r="SWD2485" s="61"/>
      <c r="SWE2485" s="58"/>
      <c r="SWF2485" s="58"/>
      <c r="SWG2485" s="58"/>
      <c r="SWH2485" s="60"/>
      <c r="SWI2485" s="60"/>
      <c r="SWJ2485" s="60"/>
      <c r="SWK2485" s="58"/>
      <c r="SWL2485" s="61"/>
      <c r="SWM2485" s="58"/>
      <c r="SWN2485" s="58"/>
      <c r="SWO2485" s="58"/>
      <c r="SWP2485" s="60"/>
      <c r="SWQ2485" s="60"/>
      <c r="SWR2485" s="60"/>
      <c r="SWS2485" s="58"/>
      <c r="SWT2485" s="61"/>
      <c r="SWU2485" s="58"/>
      <c r="SWV2485" s="58"/>
      <c r="SWW2485" s="58"/>
      <c r="SWX2485" s="60"/>
      <c r="SWY2485" s="60"/>
      <c r="SWZ2485" s="60"/>
      <c r="SXA2485" s="58"/>
      <c r="SXB2485" s="61"/>
      <c r="SXC2485" s="58"/>
      <c r="SXD2485" s="58"/>
      <c r="SXE2485" s="58"/>
      <c r="SXF2485" s="60"/>
      <c r="SXG2485" s="60"/>
      <c r="SXH2485" s="60"/>
      <c r="SXI2485" s="58"/>
      <c r="SXJ2485" s="61"/>
      <c r="SXK2485" s="58"/>
      <c r="SXL2485" s="58"/>
      <c r="SXM2485" s="58"/>
      <c r="SXN2485" s="60"/>
      <c r="SXO2485" s="60"/>
      <c r="SXP2485" s="60"/>
      <c r="SXQ2485" s="58"/>
      <c r="SXR2485" s="61"/>
      <c r="SXS2485" s="58"/>
      <c r="SXT2485" s="58"/>
      <c r="SXU2485" s="58"/>
      <c r="SXV2485" s="60"/>
      <c r="SXW2485" s="60"/>
      <c r="SXX2485" s="60"/>
      <c r="SXY2485" s="58"/>
      <c r="SXZ2485" s="61"/>
      <c r="SYA2485" s="58"/>
      <c r="SYB2485" s="58"/>
      <c r="SYC2485" s="58"/>
      <c r="SYD2485" s="60"/>
      <c r="SYE2485" s="60"/>
      <c r="SYF2485" s="60"/>
      <c r="SYG2485" s="58"/>
      <c r="SYH2485" s="61"/>
      <c r="SYI2485" s="58"/>
      <c r="SYJ2485" s="58"/>
      <c r="SYK2485" s="58"/>
      <c r="SYL2485" s="60"/>
      <c r="SYM2485" s="60"/>
      <c r="SYN2485" s="60"/>
      <c r="SYO2485" s="58"/>
      <c r="SYP2485" s="61"/>
      <c r="SYQ2485" s="58"/>
      <c r="SYR2485" s="58"/>
      <c r="SYS2485" s="58"/>
      <c r="SYT2485" s="60"/>
      <c r="SYU2485" s="60"/>
      <c r="SYV2485" s="60"/>
      <c r="SYW2485" s="58"/>
      <c r="SYX2485" s="61"/>
      <c r="SYY2485" s="58"/>
      <c r="SYZ2485" s="58"/>
      <c r="SZA2485" s="58"/>
      <c r="SZB2485" s="60"/>
      <c r="SZC2485" s="60"/>
      <c r="SZD2485" s="60"/>
      <c r="SZE2485" s="58"/>
      <c r="SZF2485" s="61"/>
      <c r="SZG2485" s="58"/>
      <c r="SZH2485" s="58"/>
      <c r="SZI2485" s="58"/>
      <c r="SZJ2485" s="60"/>
      <c r="SZK2485" s="60"/>
      <c r="SZL2485" s="60"/>
      <c r="SZM2485" s="58"/>
      <c r="SZN2485" s="61"/>
      <c r="SZO2485" s="58"/>
      <c r="SZP2485" s="58"/>
      <c r="SZQ2485" s="58"/>
      <c r="SZR2485" s="60"/>
      <c r="SZS2485" s="60"/>
      <c r="SZT2485" s="60"/>
      <c r="SZU2485" s="58"/>
      <c r="SZV2485" s="61"/>
      <c r="SZW2485" s="58"/>
      <c r="SZX2485" s="58"/>
      <c r="SZY2485" s="58"/>
      <c r="SZZ2485" s="60"/>
      <c r="TAA2485" s="60"/>
      <c r="TAB2485" s="60"/>
      <c r="TAC2485" s="58"/>
      <c r="TAD2485" s="61"/>
      <c r="TAE2485" s="58"/>
      <c r="TAF2485" s="58"/>
      <c r="TAG2485" s="58"/>
      <c r="TAH2485" s="60"/>
      <c r="TAI2485" s="60"/>
      <c r="TAJ2485" s="60"/>
      <c r="TAK2485" s="58"/>
      <c r="TAL2485" s="61"/>
      <c r="TAM2485" s="58"/>
      <c r="TAN2485" s="58"/>
      <c r="TAO2485" s="58"/>
      <c r="TAP2485" s="60"/>
      <c r="TAQ2485" s="60"/>
      <c r="TAR2485" s="60"/>
      <c r="TAS2485" s="58"/>
      <c r="TAT2485" s="61"/>
      <c r="TAU2485" s="58"/>
      <c r="TAV2485" s="58"/>
      <c r="TAW2485" s="58"/>
      <c r="TAX2485" s="60"/>
      <c r="TAY2485" s="60"/>
      <c r="TAZ2485" s="60"/>
      <c r="TBA2485" s="58"/>
      <c r="TBB2485" s="61"/>
      <c r="TBC2485" s="58"/>
      <c r="TBD2485" s="58"/>
      <c r="TBE2485" s="58"/>
      <c r="TBF2485" s="60"/>
      <c r="TBG2485" s="60"/>
      <c r="TBH2485" s="60"/>
      <c r="TBI2485" s="58"/>
      <c r="TBJ2485" s="61"/>
      <c r="TBK2485" s="58"/>
      <c r="TBL2485" s="58"/>
      <c r="TBM2485" s="58"/>
      <c r="TBN2485" s="60"/>
      <c r="TBO2485" s="60"/>
      <c r="TBP2485" s="60"/>
      <c r="TBQ2485" s="58"/>
      <c r="TBR2485" s="61"/>
      <c r="TBS2485" s="58"/>
      <c r="TBT2485" s="58"/>
      <c r="TBU2485" s="58"/>
      <c r="TBV2485" s="60"/>
      <c r="TBW2485" s="60"/>
      <c r="TBX2485" s="60"/>
      <c r="TBY2485" s="58"/>
      <c r="TBZ2485" s="61"/>
      <c r="TCA2485" s="58"/>
      <c r="TCB2485" s="58"/>
      <c r="TCC2485" s="58"/>
      <c r="TCD2485" s="60"/>
      <c r="TCE2485" s="60"/>
      <c r="TCF2485" s="60"/>
      <c r="TCG2485" s="58"/>
      <c r="TCH2485" s="61"/>
      <c r="TCI2485" s="58"/>
      <c r="TCJ2485" s="58"/>
      <c r="TCK2485" s="58"/>
      <c r="TCL2485" s="60"/>
      <c r="TCM2485" s="60"/>
      <c r="TCN2485" s="60"/>
      <c r="TCO2485" s="58"/>
      <c r="TCP2485" s="61"/>
      <c r="TCQ2485" s="58"/>
      <c r="TCR2485" s="58"/>
      <c r="TCS2485" s="58"/>
      <c r="TCT2485" s="60"/>
      <c r="TCU2485" s="60"/>
      <c r="TCV2485" s="60"/>
      <c r="TCW2485" s="58"/>
      <c r="TCX2485" s="61"/>
      <c r="TCY2485" s="58"/>
      <c r="TCZ2485" s="58"/>
      <c r="TDA2485" s="58"/>
      <c r="TDB2485" s="60"/>
      <c r="TDC2485" s="60"/>
      <c r="TDD2485" s="60"/>
      <c r="TDE2485" s="58"/>
      <c r="TDF2485" s="61"/>
      <c r="TDG2485" s="58"/>
      <c r="TDH2485" s="58"/>
      <c r="TDI2485" s="58"/>
      <c r="TDJ2485" s="60"/>
      <c r="TDK2485" s="60"/>
      <c r="TDL2485" s="60"/>
      <c r="TDM2485" s="58"/>
      <c r="TDN2485" s="61"/>
      <c r="TDO2485" s="58"/>
      <c r="TDP2485" s="58"/>
      <c r="TDQ2485" s="58"/>
      <c r="TDR2485" s="60"/>
      <c r="TDS2485" s="60"/>
      <c r="TDT2485" s="60"/>
      <c r="TDU2485" s="58"/>
      <c r="TDV2485" s="61"/>
      <c r="TDW2485" s="58"/>
      <c r="TDX2485" s="58"/>
      <c r="TDY2485" s="58"/>
      <c r="TDZ2485" s="60"/>
      <c r="TEA2485" s="60"/>
      <c r="TEB2485" s="60"/>
      <c r="TEC2485" s="58"/>
      <c r="TED2485" s="61"/>
      <c r="TEE2485" s="58"/>
      <c r="TEF2485" s="58"/>
      <c r="TEG2485" s="58"/>
      <c r="TEH2485" s="60"/>
      <c r="TEI2485" s="60"/>
      <c r="TEJ2485" s="60"/>
      <c r="TEK2485" s="58"/>
      <c r="TEL2485" s="61"/>
      <c r="TEM2485" s="58"/>
      <c r="TEN2485" s="58"/>
      <c r="TEO2485" s="58"/>
      <c r="TEP2485" s="60"/>
      <c r="TEQ2485" s="60"/>
      <c r="TER2485" s="60"/>
      <c r="TES2485" s="58"/>
      <c r="TET2485" s="61"/>
      <c r="TEU2485" s="58"/>
      <c r="TEV2485" s="58"/>
      <c r="TEW2485" s="58"/>
      <c r="TEX2485" s="60"/>
      <c r="TEY2485" s="60"/>
      <c r="TEZ2485" s="60"/>
      <c r="TFA2485" s="58"/>
      <c r="TFB2485" s="61"/>
      <c r="TFC2485" s="58"/>
      <c r="TFD2485" s="58"/>
      <c r="TFE2485" s="58"/>
      <c r="TFF2485" s="60"/>
      <c r="TFG2485" s="60"/>
      <c r="TFH2485" s="60"/>
      <c r="TFI2485" s="58"/>
      <c r="TFJ2485" s="61"/>
      <c r="TFK2485" s="58"/>
      <c r="TFL2485" s="58"/>
      <c r="TFM2485" s="58"/>
      <c r="TFN2485" s="60"/>
      <c r="TFO2485" s="60"/>
      <c r="TFP2485" s="60"/>
      <c r="TFQ2485" s="58"/>
      <c r="TFR2485" s="61"/>
      <c r="TFS2485" s="58"/>
      <c r="TFT2485" s="58"/>
      <c r="TFU2485" s="58"/>
      <c r="TFV2485" s="60"/>
      <c r="TFW2485" s="60"/>
      <c r="TFX2485" s="60"/>
      <c r="TFY2485" s="58"/>
      <c r="TFZ2485" s="61"/>
      <c r="TGA2485" s="58"/>
      <c r="TGB2485" s="58"/>
      <c r="TGC2485" s="58"/>
      <c r="TGD2485" s="60"/>
      <c r="TGE2485" s="60"/>
      <c r="TGF2485" s="60"/>
      <c r="TGG2485" s="58"/>
      <c r="TGH2485" s="61"/>
      <c r="TGI2485" s="58"/>
      <c r="TGJ2485" s="58"/>
      <c r="TGK2485" s="58"/>
      <c r="TGL2485" s="60"/>
      <c r="TGM2485" s="60"/>
      <c r="TGN2485" s="60"/>
      <c r="TGO2485" s="58"/>
      <c r="TGP2485" s="61"/>
      <c r="TGQ2485" s="58"/>
      <c r="TGR2485" s="58"/>
      <c r="TGS2485" s="58"/>
      <c r="TGT2485" s="60"/>
      <c r="TGU2485" s="60"/>
      <c r="TGV2485" s="60"/>
      <c r="TGW2485" s="58"/>
      <c r="TGX2485" s="61"/>
      <c r="TGY2485" s="58"/>
      <c r="TGZ2485" s="58"/>
      <c r="THA2485" s="58"/>
      <c r="THB2485" s="60"/>
      <c r="THC2485" s="60"/>
      <c r="THD2485" s="60"/>
      <c r="THE2485" s="58"/>
      <c r="THF2485" s="61"/>
      <c r="THG2485" s="58"/>
      <c r="THH2485" s="58"/>
      <c r="THI2485" s="58"/>
      <c r="THJ2485" s="60"/>
      <c r="THK2485" s="60"/>
      <c r="THL2485" s="60"/>
      <c r="THM2485" s="58"/>
      <c r="THN2485" s="61"/>
      <c r="THO2485" s="58"/>
      <c r="THP2485" s="58"/>
      <c r="THQ2485" s="58"/>
      <c r="THR2485" s="60"/>
      <c r="THS2485" s="60"/>
      <c r="THT2485" s="60"/>
      <c r="THU2485" s="58"/>
      <c r="THV2485" s="61"/>
      <c r="THW2485" s="58"/>
      <c r="THX2485" s="58"/>
      <c r="THY2485" s="58"/>
      <c r="THZ2485" s="60"/>
      <c r="TIA2485" s="60"/>
      <c r="TIB2485" s="60"/>
      <c r="TIC2485" s="58"/>
      <c r="TID2485" s="61"/>
      <c r="TIE2485" s="58"/>
      <c r="TIF2485" s="58"/>
      <c r="TIG2485" s="58"/>
      <c r="TIH2485" s="60"/>
      <c r="TII2485" s="60"/>
      <c r="TIJ2485" s="60"/>
      <c r="TIK2485" s="58"/>
      <c r="TIL2485" s="61"/>
      <c r="TIM2485" s="58"/>
      <c r="TIN2485" s="58"/>
      <c r="TIO2485" s="58"/>
      <c r="TIP2485" s="60"/>
      <c r="TIQ2485" s="60"/>
      <c r="TIR2485" s="60"/>
      <c r="TIS2485" s="58"/>
      <c r="TIT2485" s="61"/>
      <c r="TIU2485" s="58"/>
      <c r="TIV2485" s="58"/>
      <c r="TIW2485" s="58"/>
      <c r="TIX2485" s="60"/>
      <c r="TIY2485" s="60"/>
      <c r="TIZ2485" s="60"/>
      <c r="TJA2485" s="58"/>
      <c r="TJB2485" s="61"/>
      <c r="TJC2485" s="58"/>
      <c r="TJD2485" s="58"/>
      <c r="TJE2485" s="58"/>
      <c r="TJF2485" s="60"/>
      <c r="TJG2485" s="60"/>
      <c r="TJH2485" s="60"/>
      <c r="TJI2485" s="58"/>
      <c r="TJJ2485" s="61"/>
      <c r="TJK2485" s="58"/>
      <c r="TJL2485" s="58"/>
      <c r="TJM2485" s="58"/>
      <c r="TJN2485" s="60"/>
      <c r="TJO2485" s="60"/>
      <c r="TJP2485" s="60"/>
      <c r="TJQ2485" s="58"/>
      <c r="TJR2485" s="61"/>
      <c r="TJS2485" s="58"/>
      <c r="TJT2485" s="58"/>
      <c r="TJU2485" s="58"/>
      <c r="TJV2485" s="60"/>
      <c r="TJW2485" s="60"/>
      <c r="TJX2485" s="60"/>
      <c r="TJY2485" s="58"/>
      <c r="TJZ2485" s="61"/>
      <c r="TKA2485" s="58"/>
      <c r="TKB2485" s="58"/>
      <c r="TKC2485" s="58"/>
      <c r="TKD2485" s="60"/>
      <c r="TKE2485" s="60"/>
      <c r="TKF2485" s="60"/>
      <c r="TKG2485" s="58"/>
      <c r="TKH2485" s="61"/>
      <c r="TKI2485" s="58"/>
      <c r="TKJ2485" s="58"/>
      <c r="TKK2485" s="58"/>
      <c r="TKL2485" s="60"/>
      <c r="TKM2485" s="60"/>
      <c r="TKN2485" s="60"/>
      <c r="TKO2485" s="58"/>
      <c r="TKP2485" s="61"/>
      <c r="TKQ2485" s="58"/>
      <c r="TKR2485" s="58"/>
      <c r="TKS2485" s="58"/>
      <c r="TKT2485" s="60"/>
      <c r="TKU2485" s="60"/>
      <c r="TKV2485" s="60"/>
      <c r="TKW2485" s="58"/>
      <c r="TKX2485" s="61"/>
      <c r="TKY2485" s="58"/>
      <c r="TKZ2485" s="58"/>
      <c r="TLA2485" s="58"/>
      <c r="TLB2485" s="60"/>
      <c r="TLC2485" s="60"/>
      <c r="TLD2485" s="60"/>
      <c r="TLE2485" s="58"/>
      <c r="TLF2485" s="61"/>
      <c r="TLG2485" s="58"/>
      <c r="TLH2485" s="58"/>
      <c r="TLI2485" s="58"/>
      <c r="TLJ2485" s="60"/>
      <c r="TLK2485" s="60"/>
      <c r="TLL2485" s="60"/>
      <c r="TLM2485" s="58"/>
      <c r="TLN2485" s="61"/>
      <c r="TLO2485" s="58"/>
      <c r="TLP2485" s="58"/>
      <c r="TLQ2485" s="58"/>
      <c r="TLR2485" s="60"/>
      <c r="TLS2485" s="60"/>
      <c r="TLT2485" s="60"/>
      <c r="TLU2485" s="58"/>
      <c r="TLV2485" s="61"/>
      <c r="TLW2485" s="58"/>
      <c r="TLX2485" s="58"/>
      <c r="TLY2485" s="58"/>
      <c r="TLZ2485" s="60"/>
      <c r="TMA2485" s="60"/>
      <c r="TMB2485" s="60"/>
      <c r="TMC2485" s="58"/>
      <c r="TMD2485" s="61"/>
      <c r="TME2485" s="58"/>
      <c r="TMF2485" s="58"/>
      <c r="TMG2485" s="58"/>
      <c r="TMH2485" s="60"/>
      <c r="TMI2485" s="60"/>
      <c r="TMJ2485" s="60"/>
      <c r="TMK2485" s="58"/>
      <c r="TML2485" s="61"/>
      <c r="TMM2485" s="58"/>
      <c r="TMN2485" s="58"/>
      <c r="TMO2485" s="58"/>
      <c r="TMP2485" s="60"/>
      <c r="TMQ2485" s="60"/>
      <c r="TMR2485" s="60"/>
      <c r="TMS2485" s="58"/>
      <c r="TMT2485" s="61"/>
      <c r="TMU2485" s="58"/>
      <c r="TMV2485" s="58"/>
      <c r="TMW2485" s="58"/>
      <c r="TMX2485" s="60"/>
      <c r="TMY2485" s="60"/>
      <c r="TMZ2485" s="60"/>
      <c r="TNA2485" s="58"/>
      <c r="TNB2485" s="61"/>
      <c r="TNC2485" s="58"/>
      <c r="TND2485" s="58"/>
      <c r="TNE2485" s="58"/>
      <c r="TNF2485" s="60"/>
      <c r="TNG2485" s="60"/>
      <c r="TNH2485" s="60"/>
      <c r="TNI2485" s="58"/>
      <c r="TNJ2485" s="61"/>
      <c r="TNK2485" s="58"/>
      <c r="TNL2485" s="58"/>
      <c r="TNM2485" s="58"/>
      <c r="TNN2485" s="60"/>
      <c r="TNO2485" s="60"/>
      <c r="TNP2485" s="60"/>
      <c r="TNQ2485" s="58"/>
      <c r="TNR2485" s="61"/>
      <c r="TNS2485" s="58"/>
      <c r="TNT2485" s="58"/>
      <c r="TNU2485" s="58"/>
      <c r="TNV2485" s="60"/>
      <c r="TNW2485" s="60"/>
      <c r="TNX2485" s="60"/>
      <c r="TNY2485" s="58"/>
      <c r="TNZ2485" s="61"/>
      <c r="TOA2485" s="58"/>
      <c r="TOB2485" s="58"/>
      <c r="TOC2485" s="58"/>
      <c r="TOD2485" s="60"/>
      <c r="TOE2485" s="60"/>
      <c r="TOF2485" s="60"/>
      <c r="TOG2485" s="58"/>
      <c r="TOH2485" s="61"/>
      <c r="TOI2485" s="58"/>
      <c r="TOJ2485" s="58"/>
      <c r="TOK2485" s="58"/>
      <c r="TOL2485" s="60"/>
      <c r="TOM2485" s="60"/>
      <c r="TON2485" s="60"/>
      <c r="TOO2485" s="58"/>
      <c r="TOP2485" s="61"/>
      <c r="TOQ2485" s="58"/>
      <c r="TOR2485" s="58"/>
      <c r="TOS2485" s="58"/>
      <c r="TOT2485" s="60"/>
      <c r="TOU2485" s="60"/>
      <c r="TOV2485" s="60"/>
      <c r="TOW2485" s="58"/>
      <c r="TOX2485" s="61"/>
      <c r="TOY2485" s="58"/>
      <c r="TOZ2485" s="58"/>
      <c r="TPA2485" s="58"/>
      <c r="TPB2485" s="60"/>
      <c r="TPC2485" s="60"/>
      <c r="TPD2485" s="60"/>
      <c r="TPE2485" s="58"/>
      <c r="TPF2485" s="61"/>
      <c r="TPG2485" s="58"/>
      <c r="TPH2485" s="58"/>
      <c r="TPI2485" s="58"/>
      <c r="TPJ2485" s="60"/>
      <c r="TPK2485" s="60"/>
      <c r="TPL2485" s="60"/>
      <c r="TPM2485" s="58"/>
      <c r="TPN2485" s="61"/>
      <c r="TPO2485" s="58"/>
      <c r="TPP2485" s="58"/>
      <c r="TPQ2485" s="58"/>
      <c r="TPR2485" s="60"/>
      <c r="TPS2485" s="60"/>
      <c r="TPT2485" s="60"/>
      <c r="TPU2485" s="58"/>
      <c r="TPV2485" s="61"/>
      <c r="TPW2485" s="58"/>
      <c r="TPX2485" s="58"/>
      <c r="TPY2485" s="58"/>
      <c r="TPZ2485" s="60"/>
      <c r="TQA2485" s="60"/>
      <c r="TQB2485" s="60"/>
      <c r="TQC2485" s="58"/>
      <c r="TQD2485" s="61"/>
      <c r="TQE2485" s="58"/>
      <c r="TQF2485" s="58"/>
      <c r="TQG2485" s="58"/>
      <c r="TQH2485" s="60"/>
      <c r="TQI2485" s="60"/>
      <c r="TQJ2485" s="60"/>
      <c r="TQK2485" s="58"/>
      <c r="TQL2485" s="61"/>
      <c r="TQM2485" s="58"/>
      <c r="TQN2485" s="58"/>
      <c r="TQO2485" s="58"/>
      <c r="TQP2485" s="60"/>
      <c r="TQQ2485" s="60"/>
      <c r="TQR2485" s="60"/>
      <c r="TQS2485" s="58"/>
      <c r="TQT2485" s="61"/>
      <c r="TQU2485" s="58"/>
      <c r="TQV2485" s="58"/>
      <c r="TQW2485" s="58"/>
      <c r="TQX2485" s="60"/>
      <c r="TQY2485" s="60"/>
      <c r="TQZ2485" s="60"/>
      <c r="TRA2485" s="58"/>
      <c r="TRB2485" s="61"/>
      <c r="TRC2485" s="58"/>
      <c r="TRD2485" s="58"/>
      <c r="TRE2485" s="58"/>
      <c r="TRF2485" s="60"/>
      <c r="TRG2485" s="60"/>
      <c r="TRH2485" s="60"/>
      <c r="TRI2485" s="58"/>
      <c r="TRJ2485" s="61"/>
      <c r="TRK2485" s="58"/>
      <c r="TRL2485" s="58"/>
      <c r="TRM2485" s="58"/>
      <c r="TRN2485" s="60"/>
      <c r="TRO2485" s="60"/>
      <c r="TRP2485" s="60"/>
      <c r="TRQ2485" s="58"/>
      <c r="TRR2485" s="61"/>
      <c r="TRS2485" s="58"/>
      <c r="TRT2485" s="58"/>
      <c r="TRU2485" s="58"/>
      <c r="TRV2485" s="60"/>
      <c r="TRW2485" s="60"/>
      <c r="TRX2485" s="60"/>
      <c r="TRY2485" s="58"/>
      <c r="TRZ2485" s="61"/>
      <c r="TSA2485" s="58"/>
      <c r="TSB2485" s="58"/>
      <c r="TSC2485" s="58"/>
      <c r="TSD2485" s="60"/>
      <c r="TSE2485" s="60"/>
      <c r="TSF2485" s="60"/>
      <c r="TSG2485" s="58"/>
      <c r="TSH2485" s="61"/>
      <c r="TSI2485" s="58"/>
      <c r="TSJ2485" s="58"/>
      <c r="TSK2485" s="58"/>
      <c r="TSL2485" s="60"/>
      <c r="TSM2485" s="60"/>
      <c r="TSN2485" s="60"/>
      <c r="TSO2485" s="58"/>
      <c r="TSP2485" s="61"/>
      <c r="TSQ2485" s="58"/>
      <c r="TSR2485" s="58"/>
      <c r="TSS2485" s="58"/>
      <c r="TST2485" s="60"/>
      <c r="TSU2485" s="60"/>
      <c r="TSV2485" s="60"/>
      <c r="TSW2485" s="58"/>
      <c r="TSX2485" s="61"/>
      <c r="TSY2485" s="58"/>
      <c r="TSZ2485" s="58"/>
      <c r="TTA2485" s="58"/>
      <c r="TTB2485" s="60"/>
      <c r="TTC2485" s="60"/>
      <c r="TTD2485" s="60"/>
      <c r="TTE2485" s="58"/>
      <c r="TTF2485" s="61"/>
      <c r="TTG2485" s="58"/>
      <c r="TTH2485" s="58"/>
      <c r="TTI2485" s="58"/>
      <c r="TTJ2485" s="60"/>
      <c r="TTK2485" s="60"/>
      <c r="TTL2485" s="60"/>
      <c r="TTM2485" s="58"/>
      <c r="TTN2485" s="61"/>
      <c r="TTO2485" s="58"/>
      <c r="TTP2485" s="58"/>
      <c r="TTQ2485" s="58"/>
      <c r="TTR2485" s="60"/>
      <c r="TTS2485" s="60"/>
      <c r="TTT2485" s="60"/>
      <c r="TTU2485" s="58"/>
      <c r="TTV2485" s="61"/>
      <c r="TTW2485" s="58"/>
      <c r="TTX2485" s="58"/>
      <c r="TTY2485" s="58"/>
      <c r="TTZ2485" s="60"/>
      <c r="TUA2485" s="60"/>
      <c r="TUB2485" s="60"/>
      <c r="TUC2485" s="58"/>
      <c r="TUD2485" s="61"/>
      <c r="TUE2485" s="58"/>
      <c r="TUF2485" s="58"/>
      <c r="TUG2485" s="58"/>
      <c r="TUH2485" s="60"/>
      <c r="TUI2485" s="60"/>
      <c r="TUJ2485" s="60"/>
      <c r="TUK2485" s="58"/>
      <c r="TUL2485" s="61"/>
      <c r="TUM2485" s="58"/>
      <c r="TUN2485" s="58"/>
      <c r="TUO2485" s="58"/>
      <c r="TUP2485" s="60"/>
      <c r="TUQ2485" s="60"/>
      <c r="TUR2485" s="60"/>
      <c r="TUS2485" s="58"/>
      <c r="TUT2485" s="61"/>
      <c r="TUU2485" s="58"/>
      <c r="TUV2485" s="58"/>
      <c r="TUW2485" s="58"/>
      <c r="TUX2485" s="60"/>
      <c r="TUY2485" s="60"/>
      <c r="TUZ2485" s="60"/>
      <c r="TVA2485" s="58"/>
      <c r="TVB2485" s="61"/>
      <c r="TVC2485" s="58"/>
      <c r="TVD2485" s="58"/>
      <c r="TVE2485" s="58"/>
      <c r="TVF2485" s="60"/>
      <c r="TVG2485" s="60"/>
      <c r="TVH2485" s="60"/>
      <c r="TVI2485" s="58"/>
      <c r="TVJ2485" s="61"/>
      <c r="TVK2485" s="58"/>
      <c r="TVL2485" s="58"/>
      <c r="TVM2485" s="58"/>
      <c r="TVN2485" s="60"/>
      <c r="TVO2485" s="60"/>
      <c r="TVP2485" s="60"/>
      <c r="TVQ2485" s="58"/>
      <c r="TVR2485" s="61"/>
      <c r="TVS2485" s="58"/>
      <c r="TVT2485" s="58"/>
      <c r="TVU2485" s="58"/>
      <c r="TVV2485" s="60"/>
      <c r="TVW2485" s="60"/>
      <c r="TVX2485" s="60"/>
      <c r="TVY2485" s="58"/>
      <c r="TVZ2485" s="61"/>
      <c r="TWA2485" s="58"/>
      <c r="TWB2485" s="58"/>
      <c r="TWC2485" s="58"/>
      <c r="TWD2485" s="60"/>
      <c r="TWE2485" s="60"/>
      <c r="TWF2485" s="60"/>
      <c r="TWG2485" s="58"/>
      <c r="TWH2485" s="61"/>
      <c r="TWI2485" s="58"/>
      <c r="TWJ2485" s="58"/>
      <c r="TWK2485" s="58"/>
      <c r="TWL2485" s="60"/>
      <c r="TWM2485" s="60"/>
      <c r="TWN2485" s="60"/>
      <c r="TWO2485" s="58"/>
      <c r="TWP2485" s="61"/>
      <c r="TWQ2485" s="58"/>
      <c r="TWR2485" s="58"/>
      <c r="TWS2485" s="58"/>
      <c r="TWT2485" s="60"/>
      <c r="TWU2485" s="60"/>
      <c r="TWV2485" s="60"/>
      <c r="TWW2485" s="58"/>
      <c r="TWX2485" s="61"/>
      <c r="TWY2485" s="58"/>
      <c r="TWZ2485" s="58"/>
      <c r="TXA2485" s="58"/>
      <c r="TXB2485" s="60"/>
      <c r="TXC2485" s="60"/>
      <c r="TXD2485" s="60"/>
      <c r="TXE2485" s="58"/>
      <c r="TXF2485" s="61"/>
      <c r="TXG2485" s="58"/>
      <c r="TXH2485" s="58"/>
      <c r="TXI2485" s="58"/>
      <c r="TXJ2485" s="60"/>
      <c r="TXK2485" s="60"/>
      <c r="TXL2485" s="60"/>
      <c r="TXM2485" s="58"/>
      <c r="TXN2485" s="61"/>
      <c r="TXO2485" s="58"/>
      <c r="TXP2485" s="58"/>
      <c r="TXQ2485" s="58"/>
      <c r="TXR2485" s="60"/>
      <c r="TXS2485" s="60"/>
      <c r="TXT2485" s="60"/>
      <c r="TXU2485" s="58"/>
      <c r="TXV2485" s="61"/>
      <c r="TXW2485" s="58"/>
      <c r="TXX2485" s="58"/>
      <c r="TXY2485" s="58"/>
      <c r="TXZ2485" s="60"/>
      <c r="TYA2485" s="60"/>
      <c r="TYB2485" s="60"/>
      <c r="TYC2485" s="58"/>
      <c r="TYD2485" s="61"/>
      <c r="TYE2485" s="58"/>
      <c r="TYF2485" s="58"/>
      <c r="TYG2485" s="58"/>
      <c r="TYH2485" s="60"/>
      <c r="TYI2485" s="60"/>
      <c r="TYJ2485" s="60"/>
      <c r="TYK2485" s="58"/>
      <c r="TYL2485" s="61"/>
      <c r="TYM2485" s="58"/>
      <c r="TYN2485" s="58"/>
      <c r="TYO2485" s="58"/>
      <c r="TYP2485" s="60"/>
      <c r="TYQ2485" s="60"/>
      <c r="TYR2485" s="60"/>
      <c r="TYS2485" s="58"/>
      <c r="TYT2485" s="61"/>
      <c r="TYU2485" s="58"/>
      <c r="TYV2485" s="58"/>
      <c r="TYW2485" s="58"/>
      <c r="TYX2485" s="60"/>
      <c r="TYY2485" s="60"/>
      <c r="TYZ2485" s="60"/>
      <c r="TZA2485" s="58"/>
      <c r="TZB2485" s="61"/>
      <c r="TZC2485" s="58"/>
      <c r="TZD2485" s="58"/>
      <c r="TZE2485" s="58"/>
      <c r="TZF2485" s="60"/>
      <c r="TZG2485" s="60"/>
      <c r="TZH2485" s="60"/>
      <c r="TZI2485" s="58"/>
      <c r="TZJ2485" s="61"/>
      <c r="TZK2485" s="58"/>
      <c r="TZL2485" s="58"/>
      <c r="TZM2485" s="58"/>
      <c r="TZN2485" s="60"/>
      <c r="TZO2485" s="60"/>
      <c r="TZP2485" s="60"/>
      <c r="TZQ2485" s="58"/>
      <c r="TZR2485" s="61"/>
      <c r="TZS2485" s="58"/>
      <c r="TZT2485" s="58"/>
      <c r="TZU2485" s="58"/>
      <c r="TZV2485" s="60"/>
      <c r="TZW2485" s="60"/>
      <c r="TZX2485" s="60"/>
      <c r="TZY2485" s="58"/>
      <c r="TZZ2485" s="61"/>
      <c r="UAA2485" s="58"/>
      <c r="UAB2485" s="58"/>
      <c r="UAC2485" s="58"/>
      <c r="UAD2485" s="60"/>
      <c r="UAE2485" s="60"/>
      <c r="UAF2485" s="60"/>
      <c r="UAG2485" s="58"/>
      <c r="UAH2485" s="61"/>
      <c r="UAI2485" s="58"/>
      <c r="UAJ2485" s="58"/>
      <c r="UAK2485" s="58"/>
      <c r="UAL2485" s="60"/>
      <c r="UAM2485" s="60"/>
      <c r="UAN2485" s="60"/>
      <c r="UAO2485" s="58"/>
      <c r="UAP2485" s="61"/>
      <c r="UAQ2485" s="58"/>
      <c r="UAR2485" s="58"/>
      <c r="UAS2485" s="58"/>
      <c r="UAT2485" s="60"/>
      <c r="UAU2485" s="60"/>
      <c r="UAV2485" s="60"/>
      <c r="UAW2485" s="58"/>
      <c r="UAX2485" s="61"/>
      <c r="UAY2485" s="58"/>
      <c r="UAZ2485" s="58"/>
      <c r="UBA2485" s="58"/>
      <c r="UBB2485" s="60"/>
      <c r="UBC2485" s="60"/>
      <c r="UBD2485" s="60"/>
      <c r="UBE2485" s="58"/>
      <c r="UBF2485" s="61"/>
      <c r="UBG2485" s="58"/>
      <c r="UBH2485" s="58"/>
      <c r="UBI2485" s="58"/>
      <c r="UBJ2485" s="60"/>
      <c r="UBK2485" s="60"/>
      <c r="UBL2485" s="60"/>
      <c r="UBM2485" s="58"/>
      <c r="UBN2485" s="61"/>
      <c r="UBO2485" s="58"/>
      <c r="UBP2485" s="58"/>
      <c r="UBQ2485" s="58"/>
      <c r="UBR2485" s="60"/>
      <c r="UBS2485" s="60"/>
      <c r="UBT2485" s="60"/>
      <c r="UBU2485" s="58"/>
      <c r="UBV2485" s="61"/>
      <c r="UBW2485" s="58"/>
      <c r="UBX2485" s="58"/>
      <c r="UBY2485" s="58"/>
      <c r="UBZ2485" s="60"/>
      <c r="UCA2485" s="60"/>
      <c r="UCB2485" s="60"/>
      <c r="UCC2485" s="58"/>
      <c r="UCD2485" s="61"/>
      <c r="UCE2485" s="58"/>
      <c r="UCF2485" s="58"/>
      <c r="UCG2485" s="58"/>
      <c r="UCH2485" s="60"/>
      <c r="UCI2485" s="60"/>
      <c r="UCJ2485" s="60"/>
      <c r="UCK2485" s="58"/>
      <c r="UCL2485" s="61"/>
      <c r="UCM2485" s="58"/>
      <c r="UCN2485" s="58"/>
      <c r="UCO2485" s="58"/>
      <c r="UCP2485" s="60"/>
      <c r="UCQ2485" s="60"/>
      <c r="UCR2485" s="60"/>
      <c r="UCS2485" s="58"/>
      <c r="UCT2485" s="61"/>
      <c r="UCU2485" s="58"/>
      <c r="UCV2485" s="58"/>
      <c r="UCW2485" s="58"/>
      <c r="UCX2485" s="60"/>
      <c r="UCY2485" s="60"/>
      <c r="UCZ2485" s="60"/>
      <c r="UDA2485" s="58"/>
      <c r="UDB2485" s="61"/>
      <c r="UDC2485" s="58"/>
      <c r="UDD2485" s="58"/>
      <c r="UDE2485" s="58"/>
      <c r="UDF2485" s="60"/>
      <c r="UDG2485" s="60"/>
      <c r="UDH2485" s="60"/>
      <c r="UDI2485" s="58"/>
      <c r="UDJ2485" s="61"/>
      <c r="UDK2485" s="58"/>
      <c r="UDL2485" s="58"/>
      <c r="UDM2485" s="58"/>
      <c r="UDN2485" s="60"/>
      <c r="UDO2485" s="60"/>
      <c r="UDP2485" s="60"/>
      <c r="UDQ2485" s="58"/>
      <c r="UDR2485" s="61"/>
      <c r="UDS2485" s="58"/>
      <c r="UDT2485" s="58"/>
      <c r="UDU2485" s="58"/>
      <c r="UDV2485" s="60"/>
      <c r="UDW2485" s="60"/>
      <c r="UDX2485" s="60"/>
      <c r="UDY2485" s="58"/>
      <c r="UDZ2485" s="61"/>
      <c r="UEA2485" s="58"/>
      <c r="UEB2485" s="58"/>
      <c r="UEC2485" s="58"/>
      <c r="UED2485" s="60"/>
      <c r="UEE2485" s="60"/>
      <c r="UEF2485" s="60"/>
      <c r="UEG2485" s="58"/>
      <c r="UEH2485" s="61"/>
      <c r="UEI2485" s="58"/>
      <c r="UEJ2485" s="58"/>
      <c r="UEK2485" s="58"/>
      <c r="UEL2485" s="60"/>
      <c r="UEM2485" s="60"/>
      <c r="UEN2485" s="60"/>
      <c r="UEO2485" s="58"/>
      <c r="UEP2485" s="61"/>
      <c r="UEQ2485" s="58"/>
      <c r="UER2485" s="58"/>
      <c r="UES2485" s="58"/>
      <c r="UET2485" s="60"/>
      <c r="UEU2485" s="60"/>
      <c r="UEV2485" s="60"/>
      <c r="UEW2485" s="58"/>
      <c r="UEX2485" s="61"/>
      <c r="UEY2485" s="58"/>
      <c r="UEZ2485" s="58"/>
      <c r="UFA2485" s="58"/>
      <c r="UFB2485" s="60"/>
      <c r="UFC2485" s="60"/>
      <c r="UFD2485" s="60"/>
      <c r="UFE2485" s="58"/>
      <c r="UFF2485" s="61"/>
      <c r="UFG2485" s="58"/>
      <c r="UFH2485" s="58"/>
      <c r="UFI2485" s="58"/>
      <c r="UFJ2485" s="60"/>
      <c r="UFK2485" s="60"/>
      <c r="UFL2485" s="60"/>
      <c r="UFM2485" s="58"/>
      <c r="UFN2485" s="61"/>
      <c r="UFO2485" s="58"/>
      <c r="UFP2485" s="58"/>
      <c r="UFQ2485" s="58"/>
      <c r="UFR2485" s="60"/>
      <c r="UFS2485" s="60"/>
      <c r="UFT2485" s="60"/>
      <c r="UFU2485" s="58"/>
      <c r="UFV2485" s="61"/>
      <c r="UFW2485" s="58"/>
      <c r="UFX2485" s="58"/>
      <c r="UFY2485" s="58"/>
      <c r="UFZ2485" s="60"/>
      <c r="UGA2485" s="60"/>
      <c r="UGB2485" s="60"/>
      <c r="UGC2485" s="58"/>
      <c r="UGD2485" s="61"/>
      <c r="UGE2485" s="58"/>
      <c r="UGF2485" s="58"/>
      <c r="UGG2485" s="58"/>
      <c r="UGH2485" s="60"/>
      <c r="UGI2485" s="60"/>
      <c r="UGJ2485" s="60"/>
      <c r="UGK2485" s="58"/>
      <c r="UGL2485" s="61"/>
      <c r="UGM2485" s="58"/>
      <c r="UGN2485" s="58"/>
      <c r="UGO2485" s="58"/>
      <c r="UGP2485" s="60"/>
      <c r="UGQ2485" s="60"/>
      <c r="UGR2485" s="60"/>
      <c r="UGS2485" s="58"/>
      <c r="UGT2485" s="61"/>
      <c r="UGU2485" s="58"/>
      <c r="UGV2485" s="58"/>
      <c r="UGW2485" s="58"/>
      <c r="UGX2485" s="60"/>
      <c r="UGY2485" s="60"/>
      <c r="UGZ2485" s="60"/>
      <c r="UHA2485" s="58"/>
      <c r="UHB2485" s="61"/>
      <c r="UHC2485" s="58"/>
      <c r="UHD2485" s="58"/>
      <c r="UHE2485" s="58"/>
      <c r="UHF2485" s="60"/>
      <c r="UHG2485" s="60"/>
      <c r="UHH2485" s="60"/>
      <c r="UHI2485" s="58"/>
      <c r="UHJ2485" s="61"/>
      <c r="UHK2485" s="58"/>
      <c r="UHL2485" s="58"/>
      <c r="UHM2485" s="58"/>
      <c r="UHN2485" s="60"/>
      <c r="UHO2485" s="60"/>
      <c r="UHP2485" s="60"/>
      <c r="UHQ2485" s="58"/>
      <c r="UHR2485" s="61"/>
      <c r="UHS2485" s="58"/>
      <c r="UHT2485" s="58"/>
      <c r="UHU2485" s="58"/>
      <c r="UHV2485" s="60"/>
      <c r="UHW2485" s="60"/>
      <c r="UHX2485" s="60"/>
      <c r="UHY2485" s="58"/>
      <c r="UHZ2485" s="61"/>
      <c r="UIA2485" s="58"/>
      <c r="UIB2485" s="58"/>
      <c r="UIC2485" s="58"/>
      <c r="UID2485" s="60"/>
      <c r="UIE2485" s="60"/>
      <c r="UIF2485" s="60"/>
      <c r="UIG2485" s="58"/>
      <c r="UIH2485" s="61"/>
      <c r="UII2485" s="58"/>
      <c r="UIJ2485" s="58"/>
      <c r="UIK2485" s="58"/>
      <c r="UIL2485" s="60"/>
      <c r="UIM2485" s="60"/>
      <c r="UIN2485" s="60"/>
      <c r="UIO2485" s="58"/>
      <c r="UIP2485" s="61"/>
      <c r="UIQ2485" s="58"/>
      <c r="UIR2485" s="58"/>
      <c r="UIS2485" s="58"/>
      <c r="UIT2485" s="60"/>
      <c r="UIU2485" s="60"/>
      <c r="UIV2485" s="60"/>
      <c r="UIW2485" s="58"/>
      <c r="UIX2485" s="61"/>
      <c r="UIY2485" s="58"/>
      <c r="UIZ2485" s="58"/>
      <c r="UJA2485" s="58"/>
      <c r="UJB2485" s="60"/>
      <c r="UJC2485" s="60"/>
      <c r="UJD2485" s="60"/>
      <c r="UJE2485" s="58"/>
      <c r="UJF2485" s="61"/>
      <c r="UJG2485" s="58"/>
      <c r="UJH2485" s="58"/>
      <c r="UJI2485" s="58"/>
      <c r="UJJ2485" s="60"/>
      <c r="UJK2485" s="60"/>
      <c r="UJL2485" s="60"/>
      <c r="UJM2485" s="58"/>
      <c r="UJN2485" s="61"/>
      <c r="UJO2485" s="58"/>
      <c r="UJP2485" s="58"/>
      <c r="UJQ2485" s="58"/>
      <c r="UJR2485" s="60"/>
      <c r="UJS2485" s="60"/>
      <c r="UJT2485" s="60"/>
      <c r="UJU2485" s="58"/>
      <c r="UJV2485" s="61"/>
      <c r="UJW2485" s="58"/>
      <c r="UJX2485" s="58"/>
      <c r="UJY2485" s="58"/>
      <c r="UJZ2485" s="60"/>
      <c r="UKA2485" s="60"/>
      <c r="UKB2485" s="60"/>
      <c r="UKC2485" s="58"/>
      <c r="UKD2485" s="61"/>
      <c r="UKE2485" s="58"/>
      <c r="UKF2485" s="58"/>
      <c r="UKG2485" s="58"/>
      <c r="UKH2485" s="60"/>
      <c r="UKI2485" s="60"/>
      <c r="UKJ2485" s="60"/>
      <c r="UKK2485" s="58"/>
      <c r="UKL2485" s="61"/>
      <c r="UKM2485" s="58"/>
      <c r="UKN2485" s="58"/>
      <c r="UKO2485" s="58"/>
      <c r="UKP2485" s="60"/>
      <c r="UKQ2485" s="60"/>
      <c r="UKR2485" s="60"/>
      <c r="UKS2485" s="58"/>
      <c r="UKT2485" s="61"/>
      <c r="UKU2485" s="58"/>
      <c r="UKV2485" s="58"/>
      <c r="UKW2485" s="58"/>
      <c r="UKX2485" s="60"/>
      <c r="UKY2485" s="60"/>
      <c r="UKZ2485" s="60"/>
      <c r="ULA2485" s="58"/>
      <c r="ULB2485" s="61"/>
      <c r="ULC2485" s="58"/>
      <c r="ULD2485" s="58"/>
      <c r="ULE2485" s="58"/>
      <c r="ULF2485" s="60"/>
      <c r="ULG2485" s="60"/>
      <c r="ULH2485" s="60"/>
      <c r="ULI2485" s="58"/>
      <c r="ULJ2485" s="61"/>
      <c r="ULK2485" s="58"/>
      <c r="ULL2485" s="58"/>
      <c r="ULM2485" s="58"/>
      <c r="ULN2485" s="60"/>
      <c r="ULO2485" s="60"/>
      <c r="ULP2485" s="60"/>
      <c r="ULQ2485" s="58"/>
      <c r="ULR2485" s="61"/>
      <c r="ULS2485" s="58"/>
      <c r="ULT2485" s="58"/>
      <c r="ULU2485" s="58"/>
      <c r="ULV2485" s="60"/>
      <c r="ULW2485" s="60"/>
      <c r="ULX2485" s="60"/>
      <c r="ULY2485" s="58"/>
      <c r="ULZ2485" s="61"/>
      <c r="UMA2485" s="58"/>
      <c r="UMB2485" s="58"/>
      <c r="UMC2485" s="58"/>
      <c r="UMD2485" s="60"/>
      <c r="UME2485" s="60"/>
      <c r="UMF2485" s="60"/>
      <c r="UMG2485" s="58"/>
      <c r="UMH2485" s="61"/>
      <c r="UMI2485" s="58"/>
      <c r="UMJ2485" s="58"/>
      <c r="UMK2485" s="58"/>
      <c r="UML2485" s="60"/>
      <c r="UMM2485" s="60"/>
      <c r="UMN2485" s="60"/>
      <c r="UMO2485" s="58"/>
      <c r="UMP2485" s="61"/>
      <c r="UMQ2485" s="58"/>
      <c r="UMR2485" s="58"/>
      <c r="UMS2485" s="58"/>
      <c r="UMT2485" s="60"/>
      <c r="UMU2485" s="60"/>
      <c r="UMV2485" s="60"/>
      <c r="UMW2485" s="58"/>
      <c r="UMX2485" s="61"/>
      <c r="UMY2485" s="58"/>
      <c r="UMZ2485" s="58"/>
      <c r="UNA2485" s="58"/>
      <c r="UNB2485" s="60"/>
      <c r="UNC2485" s="60"/>
      <c r="UND2485" s="60"/>
      <c r="UNE2485" s="58"/>
      <c r="UNF2485" s="61"/>
      <c r="UNG2485" s="58"/>
      <c r="UNH2485" s="58"/>
      <c r="UNI2485" s="58"/>
      <c r="UNJ2485" s="60"/>
      <c r="UNK2485" s="60"/>
      <c r="UNL2485" s="60"/>
      <c r="UNM2485" s="58"/>
      <c r="UNN2485" s="61"/>
      <c r="UNO2485" s="58"/>
      <c r="UNP2485" s="58"/>
      <c r="UNQ2485" s="58"/>
      <c r="UNR2485" s="60"/>
      <c r="UNS2485" s="60"/>
      <c r="UNT2485" s="60"/>
      <c r="UNU2485" s="58"/>
      <c r="UNV2485" s="61"/>
      <c r="UNW2485" s="58"/>
      <c r="UNX2485" s="58"/>
      <c r="UNY2485" s="58"/>
      <c r="UNZ2485" s="60"/>
      <c r="UOA2485" s="60"/>
      <c r="UOB2485" s="60"/>
      <c r="UOC2485" s="58"/>
      <c r="UOD2485" s="61"/>
      <c r="UOE2485" s="58"/>
      <c r="UOF2485" s="58"/>
      <c r="UOG2485" s="58"/>
      <c r="UOH2485" s="60"/>
      <c r="UOI2485" s="60"/>
      <c r="UOJ2485" s="60"/>
      <c r="UOK2485" s="58"/>
      <c r="UOL2485" s="61"/>
      <c r="UOM2485" s="58"/>
      <c r="UON2485" s="58"/>
      <c r="UOO2485" s="58"/>
      <c r="UOP2485" s="60"/>
      <c r="UOQ2485" s="60"/>
      <c r="UOR2485" s="60"/>
      <c r="UOS2485" s="58"/>
      <c r="UOT2485" s="61"/>
      <c r="UOU2485" s="58"/>
      <c r="UOV2485" s="58"/>
      <c r="UOW2485" s="58"/>
      <c r="UOX2485" s="60"/>
      <c r="UOY2485" s="60"/>
      <c r="UOZ2485" s="60"/>
      <c r="UPA2485" s="58"/>
      <c r="UPB2485" s="61"/>
      <c r="UPC2485" s="58"/>
      <c r="UPD2485" s="58"/>
      <c r="UPE2485" s="58"/>
      <c r="UPF2485" s="60"/>
      <c r="UPG2485" s="60"/>
      <c r="UPH2485" s="60"/>
      <c r="UPI2485" s="58"/>
      <c r="UPJ2485" s="61"/>
      <c r="UPK2485" s="58"/>
      <c r="UPL2485" s="58"/>
      <c r="UPM2485" s="58"/>
      <c r="UPN2485" s="60"/>
      <c r="UPO2485" s="60"/>
      <c r="UPP2485" s="60"/>
      <c r="UPQ2485" s="58"/>
      <c r="UPR2485" s="61"/>
      <c r="UPS2485" s="58"/>
      <c r="UPT2485" s="58"/>
      <c r="UPU2485" s="58"/>
      <c r="UPV2485" s="60"/>
      <c r="UPW2485" s="60"/>
      <c r="UPX2485" s="60"/>
      <c r="UPY2485" s="58"/>
      <c r="UPZ2485" s="61"/>
      <c r="UQA2485" s="58"/>
      <c r="UQB2485" s="58"/>
      <c r="UQC2485" s="58"/>
      <c r="UQD2485" s="60"/>
      <c r="UQE2485" s="60"/>
      <c r="UQF2485" s="60"/>
      <c r="UQG2485" s="58"/>
      <c r="UQH2485" s="61"/>
      <c r="UQI2485" s="58"/>
      <c r="UQJ2485" s="58"/>
      <c r="UQK2485" s="58"/>
      <c r="UQL2485" s="60"/>
      <c r="UQM2485" s="60"/>
      <c r="UQN2485" s="60"/>
      <c r="UQO2485" s="58"/>
      <c r="UQP2485" s="61"/>
      <c r="UQQ2485" s="58"/>
      <c r="UQR2485" s="58"/>
      <c r="UQS2485" s="58"/>
      <c r="UQT2485" s="60"/>
      <c r="UQU2485" s="60"/>
      <c r="UQV2485" s="60"/>
      <c r="UQW2485" s="58"/>
      <c r="UQX2485" s="61"/>
      <c r="UQY2485" s="58"/>
      <c r="UQZ2485" s="58"/>
      <c r="URA2485" s="58"/>
      <c r="URB2485" s="60"/>
      <c r="URC2485" s="60"/>
      <c r="URD2485" s="60"/>
      <c r="URE2485" s="58"/>
      <c r="URF2485" s="61"/>
      <c r="URG2485" s="58"/>
      <c r="URH2485" s="58"/>
      <c r="URI2485" s="58"/>
      <c r="URJ2485" s="60"/>
      <c r="URK2485" s="60"/>
      <c r="URL2485" s="60"/>
      <c r="URM2485" s="58"/>
      <c r="URN2485" s="61"/>
      <c r="URO2485" s="58"/>
      <c r="URP2485" s="58"/>
      <c r="URQ2485" s="58"/>
      <c r="URR2485" s="60"/>
      <c r="URS2485" s="60"/>
      <c r="URT2485" s="60"/>
      <c r="URU2485" s="58"/>
      <c r="URV2485" s="61"/>
      <c r="URW2485" s="58"/>
      <c r="URX2485" s="58"/>
      <c r="URY2485" s="58"/>
      <c r="URZ2485" s="60"/>
      <c r="USA2485" s="60"/>
      <c r="USB2485" s="60"/>
      <c r="USC2485" s="58"/>
      <c r="USD2485" s="61"/>
      <c r="USE2485" s="58"/>
      <c r="USF2485" s="58"/>
      <c r="USG2485" s="58"/>
      <c r="USH2485" s="60"/>
      <c r="USI2485" s="60"/>
      <c r="USJ2485" s="60"/>
      <c r="USK2485" s="58"/>
      <c r="USL2485" s="61"/>
      <c r="USM2485" s="58"/>
      <c r="USN2485" s="58"/>
      <c r="USO2485" s="58"/>
      <c r="USP2485" s="60"/>
      <c r="USQ2485" s="60"/>
      <c r="USR2485" s="60"/>
      <c r="USS2485" s="58"/>
      <c r="UST2485" s="61"/>
      <c r="USU2485" s="58"/>
      <c r="USV2485" s="58"/>
      <c r="USW2485" s="58"/>
      <c r="USX2485" s="60"/>
      <c r="USY2485" s="60"/>
      <c r="USZ2485" s="60"/>
      <c r="UTA2485" s="58"/>
      <c r="UTB2485" s="61"/>
      <c r="UTC2485" s="58"/>
      <c r="UTD2485" s="58"/>
      <c r="UTE2485" s="58"/>
      <c r="UTF2485" s="60"/>
      <c r="UTG2485" s="60"/>
      <c r="UTH2485" s="60"/>
      <c r="UTI2485" s="58"/>
      <c r="UTJ2485" s="61"/>
      <c r="UTK2485" s="58"/>
      <c r="UTL2485" s="58"/>
      <c r="UTM2485" s="58"/>
      <c r="UTN2485" s="60"/>
      <c r="UTO2485" s="60"/>
      <c r="UTP2485" s="60"/>
      <c r="UTQ2485" s="58"/>
      <c r="UTR2485" s="61"/>
      <c r="UTS2485" s="58"/>
      <c r="UTT2485" s="58"/>
      <c r="UTU2485" s="58"/>
      <c r="UTV2485" s="60"/>
      <c r="UTW2485" s="60"/>
      <c r="UTX2485" s="60"/>
      <c r="UTY2485" s="58"/>
      <c r="UTZ2485" s="61"/>
      <c r="UUA2485" s="58"/>
      <c r="UUB2485" s="58"/>
      <c r="UUC2485" s="58"/>
      <c r="UUD2485" s="60"/>
      <c r="UUE2485" s="60"/>
      <c r="UUF2485" s="60"/>
      <c r="UUG2485" s="58"/>
      <c r="UUH2485" s="61"/>
      <c r="UUI2485" s="58"/>
      <c r="UUJ2485" s="58"/>
      <c r="UUK2485" s="58"/>
      <c r="UUL2485" s="60"/>
      <c r="UUM2485" s="60"/>
      <c r="UUN2485" s="60"/>
      <c r="UUO2485" s="58"/>
      <c r="UUP2485" s="61"/>
      <c r="UUQ2485" s="58"/>
      <c r="UUR2485" s="58"/>
      <c r="UUS2485" s="58"/>
      <c r="UUT2485" s="60"/>
      <c r="UUU2485" s="60"/>
      <c r="UUV2485" s="60"/>
      <c r="UUW2485" s="58"/>
      <c r="UUX2485" s="61"/>
      <c r="UUY2485" s="58"/>
      <c r="UUZ2485" s="58"/>
      <c r="UVA2485" s="58"/>
      <c r="UVB2485" s="60"/>
      <c r="UVC2485" s="60"/>
      <c r="UVD2485" s="60"/>
      <c r="UVE2485" s="58"/>
      <c r="UVF2485" s="61"/>
      <c r="UVG2485" s="58"/>
      <c r="UVH2485" s="58"/>
      <c r="UVI2485" s="58"/>
      <c r="UVJ2485" s="60"/>
      <c r="UVK2485" s="60"/>
      <c r="UVL2485" s="60"/>
      <c r="UVM2485" s="58"/>
      <c r="UVN2485" s="61"/>
      <c r="UVO2485" s="58"/>
      <c r="UVP2485" s="58"/>
      <c r="UVQ2485" s="58"/>
      <c r="UVR2485" s="60"/>
      <c r="UVS2485" s="60"/>
      <c r="UVT2485" s="60"/>
      <c r="UVU2485" s="58"/>
      <c r="UVV2485" s="61"/>
      <c r="UVW2485" s="58"/>
      <c r="UVX2485" s="58"/>
      <c r="UVY2485" s="58"/>
      <c r="UVZ2485" s="60"/>
      <c r="UWA2485" s="60"/>
      <c r="UWB2485" s="60"/>
      <c r="UWC2485" s="58"/>
      <c r="UWD2485" s="61"/>
      <c r="UWE2485" s="58"/>
      <c r="UWF2485" s="58"/>
      <c r="UWG2485" s="58"/>
      <c r="UWH2485" s="60"/>
      <c r="UWI2485" s="60"/>
      <c r="UWJ2485" s="60"/>
      <c r="UWK2485" s="58"/>
      <c r="UWL2485" s="61"/>
      <c r="UWM2485" s="58"/>
      <c r="UWN2485" s="58"/>
      <c r="UWO2485" s="58"/>
      <c r="UWP2485" s="60"/>
      <c r="UWQ2485" s="60"/>
      <c r="UWR2485" s="60"/>
      <c r="UWS2485" s="58"/>
      <c r="UWT2485" s="61"/>
      <c r="UWU2485" s="58"/>
      <c r="UWV2485" s="58"/>
      <c r="UWW2485" s="58"/>
      <c r="UWX2485" s="60"/>
      <c r="UWY2485" s="60"/>
      <c r="UWZ2485" s="60"/>
      <c r="UXA2485" s="58"/>
      <c r="UXB2485" s="61"/>
      <c r="UXC2485" s="58"/>
      <c r="UXD2485" s="58"/>
      <c r="UXE2485" s="58"/>
      <c r="UXF2485" s="60"/>
      <c r="UXG2485" s="60"/>
      <c r="UXH2485" s="60"/>
      <c r="UXI2485" s="58"/>
      <c r="UXJ2485" s="61"/>
      <c r="UXK2485" s="58"/>
      <c r="UXL2485" s="58"/>
      <c r="UXM2485" s="58"/>
      <c r="UXN2485" s="60"/>
      <c r="UXO2485" s="60"/>
      <c r="UXP2485" s="60"/>
      <c r="UXQ2485" s="58"/>
      <c r="UXR2485" s="61"/>
      <c r="UXS2485" s="58"/>
      <c r="UXT2485" s="58"/>
      <c r="UXU2485" s="58"/>
      <c r="UXV2485" s="60"/>
      <c r="UXW2485" s="60"/>
      <c r="UXX2485" s="60"/>
      <c r="UXY2485" s="58"/>
      <c r="UXZ2485" s="61"/>
      <c r="UYA2485" s="58"/>
      <c r="UYB2485" s="58"/>
      <c r="UYC2485" s="58"/>
      <c r="UYD2485" s="60"/>
      <c r="UYE2485" s="60"/>
      <c r="UYF2485" s="60"/>
      <c r="UYG2485" s="58"/>
      <c r="UYH2485" s="61"/>
      <c r="UYI2485" s="58"/>
      <c r="UYJ2485" s="58"/>
      <c r="UYK2485" s="58"/>
      <c r="UYL2485" s="60"/>
      <c r="UYM2485" s="60"/>
      <c r="UYN2485" s="60"/>
      <c r="UYO2485" s="58"/>
      <c r="UYP2485" s="61"/>
      <c r="UYQ2485" s="58"/>
      <c r="UYR2485" s="58"/>
      <c r="UYS2485" s="58"/>
      <c r="UYT2485" s="60"/>
      <c r="UYU2485" s="60"/>
      <c r="UYV2485" s="60"/>
      <c r="UYW2485" s="58"/>
      <c r="UYX2485" s="61"/>
      <c r="UYY2485" s="58"/>
      <c r="UYZ2485" s="58"/>
      <c r="UZA2485" s="58"/>
      <c r="UZB2485" s="60"/>
      <c r="UZC2485" s="60"/>
      <c r="UZD2485" s="60"/>
      <c r="UZE2485" s="58"/>
      <c r="UZF2485" s="61"/>
      <c r="UZG2485" s="58"/>
      <c r="UZH2485" s="58"/>
      <c r="UZI2485" s="58"/>
      <c r="UZJ2485" s="60"/>
      <c r="UZK2485" s="60"/>
      <c r="UZL2485" s="60"/>
      <c r="UZM2485" s="58"/>
      <c r="UZN2485" s="61"/>
      <c r="UZO2485" s="58"/>
      <c r="UZP2485" s="58"/>
      <c r="UZQ2485" s="58"/>
      <c r="UZR2485" s="60"/>
      <c r="UZS2485" s="60"/>
      <c r="UZT2485" s="60"/>
      <c r="UZU2485" s="58"/>
      <c r="UZV2485" s="61"/>
      <c r="UZW2485" s="58"/>
      <c r="UZX2485" s="58"/>
      <c r="UZY2485" s="58"/>
      <c r="UZZ2485" s="60"/>
      <c r="VAA2485" s="60"/>
      <c r="VAB2485" s="60"/>
      <c r="VAC2485" s="58"/>
      <c r="VAD2485" s="61"/>
      <c r="VAE2485" s="58"/>
      <c r="VAF2485" s="58"/>
      <c r="VAG2485" s="58"/>
      <c r="VAH2485" s="60"/>
      <c r="VAI2485" s="60"/>
      <c r="VAJ2485" s="60"/>
      <c r="VAK2485" s="58"/>
      <c r="VAL2485" s="61"/>
      <c r="VAM2485" s="58"/>
      <c r="VAN2485" s="58"/>
      <c r="VAO2485" s="58"/>
      <c r="VAP2485" s="60"/>
      <c r="VAQ2485" s="60"/>
      <c r="VAR2485" s="60"/>
      <c r="VAS2485" s="58"/>
      <c r="VAT2485" s="61"/>
      <c r="VAU2485" s="58"/>
      <c r="VAV2485" s="58"/>
      <c r="VAW2485" s="58"/>
      <c r="VAX2485" s="60"/>
      <c r="VAY2485" s="60"/>
      <c r="VAZ2485" s="60"/>
      <c r="VBA2485" s="58"/>
      <c r="VBB2485" s="61"/>
      <c r="VBC2485" s="58"/>
      <c r="VBD2485" s="58"/>
      <c r="VBE2485" s="58"/>
      <c r="VBF2485" s="60"/>
      <c r="VBG2485" s="60"/>
      <c r="VBH2485" s="60"/>
      <c r="VBI2485" s="58"/>
      <c r="VBJ2485" s="61"/>
      <c r="VBK2485" s="58"/>
      <c r="VBL2485" s="58"/>
      <c r="VBM2485" s="58"/>
      <c r="VBN2485" s="60"/>
      <c r="VBO2485" s="60"/>
      <c r="VBP2485" s="60"/>
      <c r="VBQ2485" s="58"/>
      <c r="VBR2485" s="61"/>
      <c r="VBS2485" s="58"/>
      <c r="VBT2485" s="58"/>
      <c r="VBU2485" s="58"/>
      <c r="VBV2485" s="60"/>
      <c r="VBW2485" s="60"/>
      <c r="VBX2485" s="60"/>
      <c r="VBY2485" s="58"/>
      <c r="VBZ2485" s="61"/>
      <c r="VCA2485" s="58"/>
      <c r="VCB2485" s="58"/>
      <c r="VCC2485" s="58"/>
      <c r="VCD2485" s="60"/>
      <c r="VCE2485" s="60"/>
      <c r="VCF2485" s="60"/>
      <c r="VCG2485" s="58"/>
      <c r="VCH2485" s="61"/>
      <c r="VCI2485" s="58"/>
      <c r="VCJ2485" s="58"/>
      <c r="VCK2485" s="58"/>
      <c r="VCL2485" s="60"/>
      <c r="VCM2485" s="60"/>
      <c r="VCN2485" s="60"/>
      <c r="VCO2485" s="58"/>
      <c r="VCP2485" s="61"/>
      <c r="VCQ2485" s="58"/>
      <c r="VCR2485" s="58"/>
      <c r="VCS2485" s="58"/>
      <c r="VCT2485" s="60"/>
      <c r="VCU2485" s="60"/>
      <c r="VCV2485" s="60"/>
      <c r="VCW2485" s="58"/>
      <c r="VCX2485" s="61"/>
      <c r="VCY2485" s="58"/>
      <c r="VCZ2485" s="58"/>
      <c r="VDA2485" s="58"/>
      <c r="VDB2485" s="60"/>
      <c r="VDC2485" s="60"/>
      <c r="VDD2485" s="60"/>
      <c r="VDE2485" s="58"/>
      <c r="VDF2485" s="61"/>
      <c r="VDG2485" s="58"/>
      <c r="VDH2485" s="58"/>
      <c r="VDI2485" s="58"/>
      <c r="VDJ2485" s="60"/>
      <c r="VDK2485" s="60"/>
      <c r="VDL2485" s="60"/>
      <c r="VDM2485" s="58"/>
      <c r="VDN2485" s="61"/>
      <c r="VDO2485" s="58"/>
      <c r="VDP2485" s="58"/>
      <c r="VDQ2485" s="58"/>
      <c r="VDR2485" s="60"/>
      <c r="VDS2485" s="60"/>
      <c r="VDT2485" s="60"/>
      <c r="VDU2485" s="58"/>
      <c r="VDV2485" s="61"/>
      <c r="VDW2485" s="58"/>
      <c r="VDX2485" s="58"/>
      <c r="VDY2485" s="58"/>
      <c r="VDZ2485" s="60"/>
      <c r="VEA2485" s="60"/>
      <c r="VEB2485" s="60"/>
      <c r="VEC2485" s="58"/>
      <c r="VED2485" s="61"/>
      <c r="VEE2485" s="58"/>
      <c r="VEF2485" s="58"/>
      <c r="VEG2485" s="58"/>
      <c r="VEH2485" s="60"/>
      <c r="VEI2485" s="60"/>
      <c r="VEJ2485" s="60"/>
      <c r="VEK2485" s="58"/>
      <c r="VEL2485" s="61"/>
      <c r="VEM2485" s="58"/>
      <c r="VEN2485" s="58"/>
      <c r="VEO2485" s="58"/>
      <c r="VEP2485" s="60"/>
      <c r="VEQ2485" s="60"/>
      <c r="VER2485" s="60"/>
      <c r="VES2485" s="58"/>
      <c r="VET2485" s="61"/>
      <c r="VEU2485" s="58"/>
      <c r="VEV2485" s="58"/>
      <c r="VEW2485" s="58"/>
      <c r="VEX2485" s="60"/>
      <c r="VEY2485" s="60"/>
      <c r="VEZ2485" s="60"/>
      <c r="VFA2485" s="58"/>
      <c r="VFB2485" s="61"/>
      <c r="VFC2485" s="58"/>
      <c r="VFD2485" s="58"/>
      <c r="VFE2485" s="58"/>
      <c r="VFF2485" s="60"/>
      <c r="VFG2485" s="60"/>
      <c r="VFH2485" s="60"/>
      <c r="VFI2485" s="58"/>
      <c r="VFJ2485" s="61"/>
      <c r="VFK2485" s="58"/>
      <c r="VFL2485" s="58"/>
      <c r="VFM2485" s="58"/>
      <c r="VFN2485" s="60"/>
      <c r="VFO2485" s="60"/>
      <c r="VFP2485" s="60"/>
      <c r="VFQ2485" s="58"/>
      <c r="VFR2485" s="61"/>
      <c r="VFS2485" s="58"/>
      <c r="VFT2485" s="58"/>
      <c r="VFU2485" s="58"/>
      <c r="VFV2485" s="60"/>
      <c r="VFW2485" s="60"/>
      <c r="VFX2485" s="60"/>
      <c r="VFY2485" s="58"/>
      <c r="VFZ2485" s="61"/>
      <c r="VGA2485" s="58"/>
      <c r="VGB2485" s="58"/>
      <c r="VGC2485" s="58"/>
      <c r="VGD2485" s="60"/>
      <c r="VGE2485" s="60"/>
      <c r="VGF2485" s="60"/>
      <c r="VGG2485" s="58"/>
      <c r="VGH2485" s="61"/>
      <c r="VGI2485" s="58"/>
      <c r="VGJ2485" s="58"/>
      <c r="VGK2485" s="58"/>
      <c r="VGL2485" s="60"/>
      <c r="VGM2485" s="60"/>
      <c r="VGN2485" s="60"/>
      <c r="VGO2485" s="58"/>
      <c r="VGP2485" s="61"/>
      <c r="VGQ2485" s="58"/>
      <c r="VGR2485" s="58"/>
      <c r="VGS2485" s="58"/>
      <c r="VGT2485" s="60"/>
      <c r="VGU2485" s="60"/>
      <c r="VGV2485" s="60"/>
      <c r="VGW2485" s="58"/>
      <c r="VGX2485" s="61"/>
      <c r="VGY2485" s="58"/>
      <c r="VGZ2485" s="58"/>
      <c r="VHA2485" s="58"/>
      <c r="VHB2485" s="60"/>
      <c r="VHC2485" s="60"/>
      <c r="VHD2485" s="60"/>
      <c r="VHE2485" s="58"/>
      <c r="VHF2485" s="61"/>
      <c r="VHG2485" s="58"/>
      <c r="VHH2485" s="58"/>
      <c r="VHI2485" s="58"/>
      <c r="VHJ2485" s="60"/>
      <c r="VHK2485" s="60"/>
      <c r="VHL2485" s="60"/>
      <c r="VHM2485" s="58"/>
      <c r="VHN2485" s="61"/>
      <c r="VHO2485" s="58"/>
      <c r="VHP2485" s="58"/>
      <c r="VHQ2485" s="58"/>
      <c r="VHR2485" s="60"/>
      <c r="VHS2485" s="60"/>
      <c r="VHT2485" s="60"/>
      <c r="VHU2485" s="58"/>
      <c r="VHV2485" s="61"/>
      <c r="VHW2485" s="58"/>
      <c r="VHX2485" s="58"/>
      <c r="VHY2485" s="58"/>
      <c r="VHZ2485" s="60"/>
      <c r="VIA2485" s="60"/>
      <c r="VIB2485" s="60"/>
      <c r="VIC2485" s="58"/>
      <c r="VID2485" s="61"/>
      <c r="VIE2485" s="58"/>
      <c r="VIF2485" s="58"/>
      <c r="VIG2485" s="58"/>
      <c r="VIH2485" s="60"/>
      <c r="VII2485" s="60"/>
      <c r="VIJ2485" s="60"/>
      <c r="VIK2485" s="58"/>
      <c r="VIL2485" s="61"/>
      <c r="VIM2485" s="58"/>
      <c r="VIN2485" s="58"/>
      <c r="VIO2485" s="58"/>
      <c r="VIP2485" s="60"/>
      <c r="VIQ2485" s="60"/>
      <c r="VIR2485" s="60"/>
      <c r="VIS2485" s="58"/>
      <c r="VIT2485" s="61"/>
      <c r="VIU2485" s="58"/>
      <c r="VIV2485" s="58"/>
      <c r="VIW2485" s="58"/>
      <c r="VIX2485" s="60"/>
      <c r="VIY2485" s="60"/>
      <c r="VIZ2485" s="60"/>
      <c r="VJA2485" s="58"/>
      <c r="VJB2485" s="61"/>
      <c r="VJC2485" s="58"/>
      <c r="VJD2485" s="58"/>
      <c r="VJE2485" s="58"/>
      <c r="VJF2485" s="60"/>
      <c r="VJG2485" s="60"/>
      <c r="VJH2485" s="60"/>
      <c r="VJI2485" s="58"/>
      <c r="VJJ2485" s="61"/>
      <c r="VJK2485" s="58"/>
      <c r="VJL2485" s="58"/>
      <c r="VJM2485" s="58"/>
      <c r="VJN2485" s="60"/>
      <c r="VJO2485" s="60"/>
      <c r="VJP2485" s="60"/>
      <c r="VJQ2485" s="58"/>
      <c r="VJR2485" s="61"/>
      <c r="VJS2485" s="58"/>
      <c r="VJT2485" s="58"/>
      <c r="VJU2485" s="58"/>
      <c r="VJV2485" s="60"/>
      <c r="VJW2485" s="60"/>
      <c r="VJX2485" s="60"/>
      <c r="VJY2485" s="58"/>
      <c r="VJZ2485" s="61"/>
      <c r="VKA2485" s="58"/>
      <c r="VKB2485" s="58"/>
      <c r="VKC2485" s="58"/>
      <c r="VKD2485" s="60"/>
      <c r="VKE2485" s="60"/>
      <c r="VKF2485" s="60"/>
      <c r="VKG2485" s="58"/>
      <c r="VKH2485" s="61"/>
      <c r="VKI2485" s="58"/>
      <c r="VKJ2485" s="58"/>
      <c r="VKK2485" s="58"/>
      <c r="VKL2485" s="60"/>
      <c r="VKM2485" s="60"/>
      <c r="VKN2485" s="60"/>
      <c r="VKO2485" s="58"/>
      <c r="VKP2485" s="61"/>
      <c r="VKQ2485" s="58"/>
      <c r="VKR2485" s="58"/>
      <c r="VKS2485" s="58"/>
      <c r="VKT2485" s="60"/>
      <c r="VKU2485" s="60"/>
      <c r="VKV2485" s="60"/>
      <c r="VKW2485" s="58"/>
      <c r="VKX2485" s="61"/>
      <c r="VKY2485" s="58"/>
      <c r="VKZ2485" s="58"/>
      <c r="VLA2485" s="58"/>
      <c r="VLB2485" s="60"/>
      <c r="VLC2485" s="60"/>
      <c r="VLD2485" s="60"/>
      <c r="VLE2485" s="58"/>
      <c r="VLF2485" s="61"/>
      <c r="VLG2485" s="58"/>
      <c r="VLH2485" s="58"/>
      <c r="VLI2485" s="58"/>
      <c r="VLJ2485" s="60"/>
      <c r="VLK2485" s="60"/>
      <c r="VLL2485" s="60"/>
      <c r="VLM2485" s="58"/>
      <c r="VLN2485" s="61"/>
      <c r="VLO2485" s="58"/>
      <c r="VLP2485" s="58"/>
      <c r="VLQ2485" s="58"/>
      <c r="VLR2485" s="60"/>
      <c r="VLS2485" s="60"/>
      <c r="VLT2485" s="60"/>
      <c r="VLU2485" s="58"/>
      <c r="VLV2485" s="61"/>
      <c r="VLW2485" s="58"/>
      <c r="VLX2485" s="58"/>
      <c r="VLY2485" s="58"/>
      <c r="VLZ2485" s="60"/>
      <c r="VMA2485" s="60"/>
      <c r="VMB2485" s="60"/>
      <c r="VMC2485" s="58"/>
      <c r="VMD2485" s="61"/>
      <c r="VME2485" s="58"/>
      <c r="VMF2485" s="58"/>
      <c r="VMG2485" s="58"/>
      <c r="VMH2485" s="60"/>
      <c r="VMI2485" s="60"/>
      <c r="VMJ2485" s="60"/>
      <c r="VMK2485" s="58"/>
      <c r="VML2485" s="61"/>
      <c r="VMM2485" s="58"/>
      <c r="VMN2485" s="58"/>
      <c r="VMO2485" s="58"/>
      <c r="VMP2485" s="60"/>
      <c r="VMQ2485" s="60"/>
      <c r="VMR2485" s="60"/>
      <c r="VMS2485" s="58"/>
      <c r="VMT2485" s="61"/>
      <c r="VMU2485" s="58"/>
      <c r="VMV2485" s="58"/>
      <c r="VMW2485" s="58"/>
      <c r="VMX2485" s="60"/>
      <c r="VMY2485" s="60"/>
      <c r="VMZ2485" s="60"/>
      <c r="VNA2485" s="58"/>
      <c r="VNB2485" s="61"/>
      <c r="VNC2485" s="58"/>
      <c r="VND2485" s="58"/>
      <c r="VNE2485" s="58"/>
      <c r="VNF2485" s="60"/>
      <c r="VNG2485" s="60"/>
      <c r="VNH2485" s="60"/>
      <c r="VNI2485" s="58"/>
      <c r="VNJ2485" s="61"/>
      <c r="VNK2485" s="58"/>
      <c r="VNL2485" s="58"/>
      <c r="VNM2485" s="58"/>
      <c r="VNN2485" s="60"/>
      <c r="VNO2485" s="60"/>
      <c r="VNP2485" s="60"/>
      <c r="VNQ2485" s="58"/>
      <c r="VNR2485" s="61"/>
      <c r="VNS2485" s="58"/>
      <c r="VNT2485" s="58"/>
      <c r="VNU2485" s="58"/>
      <c r="VNV2485" s="60"/>
      <c r="VNW2485" s="60"/>
      <c r="VNX2485" s="60"/>
      <c r="VNY2485" s="58"/>
      <c r="VNZ2485" s="61"/>
      <c r="VOA2485" s="58"/>
      <c r="VOB2485" s="58"/>
      <c r="VOC2485" s="58"/>
      <c r="VOD2485" s="60"/>
      <c r="VOE2485" s="60"/>
      <c r="VOF2485" s="60"/>
      <c r="VOG2485" s="58"/>
      <c r="VOH2485" s="61"/>
      <c r="VOI2485" s="58"/>
      <c r="VOJ2485" s="58"/>
      <c r="VOK2485" s="58"/>
      <c r="VOL2485" s="60"/>
      <c r="VOM2485" s="60"/>
      <c r="VON2485" s="60"/>
      <c r="VOO2485" s="58"/>
      <c r="VOP2485" s="61"/>
      <c r="VOQ2485" s="58"/>
      <c r="VOR2485" s="58"/>
      <c r="VOS2485" s="58"/>
      <c r="VOT2485" s="60"/>
      <c r="VOU2485" s="60"/>
      <c r="VOV2485" s="60"/>
      <c r="VOW2485" s="58"/>
      <c r="VOX2485" s="61"/>
      <c r="VOY2485" s="58"/>
      <c r="VOZ2485" s="58"/>
      <c r="VPA2485" s="58"/>
      <c r="VPB2485" s="60"/>
      <c r="VPC2485" s="60"/>
      <c r="VPD2485" s="60"/>
      <c r="VPE2485" s="58"/>
      <c r="VPF2485" s="61"/>
      <c r="VPG2485" s="58"/>
      <c r="VPH2485" s="58"/>
      <c r="VPI2485" s="58"/>
      <c r="VPJ2485" s="60"/>
      <c r="VPK2485" s="60"/>
      <c r="VPL2485" s="60"/>
      <c r="VPM2485" s="58"/>
      <c r="VPN2485" s="61"/>
      <c r="VPO2485" s="58"/>
      <c r="VPP2485" s="58"/>
      <c r="VPQ2485" s="58"/>
      <c r="VPR2485" s="60"/>
      <c r="VPS2485" s="60"/>
      <c r="VPT2485" s="60"/>
      <c r="VPU2485" s="58"/>
      <c r="VPV2485" s="61"/>
      <c r="VPW2485" s="58"/>
      <c r="VPX2485" s="58"/>
      <c r="VPY2485" s="58"/>
      <c r="VPZ2485" s="60"/>
      <c r="VQA2485" s="60"/>
      <c r="VQB2485" s="60"/>
      <c r="VQC2485" s="58"/>
      <c r="VQD2485" s="61"/>
      <c r="VQE2485" s="58"/>
      <c r="VQF2485" s="58"/>
      <c r="VQG2485" s="58"/>
      <c r="VQH2485" s="60"/>
      <c r="VQI2485" s="60"/>
      <c r="VQJ2485" s="60"/>
      <c r="VQK2485" s="58"/>
      <c r="VQL2485" s="61"/>
      <c r="VQM2485" s="58"/>
      <c r="VQN2485" s="58"/>
      <c r="VQO2485" s="58"/>
      <c r="VQP2485" s="60"/>
      <c r="VQQ2485" s="60"/>
      <c r="VQR2485" s="60"/>
      <c r="VQS2485" s="58"/>
      <c r="VQT2485" s="61"/>
      <c r="VQU2485" s="58"/>
      <c r="VQV2485" s="58"/>
      <c r="VQW2485" s="58"/>
      <c r="VQX2485" s="60"/>
      <c r="VQY2485" s="60"/>
      <c r="VQZ2485" s="60"/>
      <c r="VRA2485" s="58"/>
      <c r="VRB2485" s="61"/>
      <c r="VRC2485" s="58"/>
      <c r="VRD2485" s="58"/>
      <c r="VRE2485" s="58"/>
      <c r="VRF2485" s="60"/>
      <c r="VRG2485" s="60"/>
      <c r="VRH2485" s="60"/>
      <c r="VRI2485" s="58"/>
      <c r="VRJ2485" s="61"/>
      <c r="VRK2485" s="58"/>
      <c r="VRL2485" s="58"/>
      <c r="VRM2485" s="58"/>
      <c r="VRN2485" s="60"/>
      <c r="VRO2485" s="60"/>
      <c r="VRP2485" s="60"/>
      <c r="VRQ2485" s="58"/>
      <c r="VRR2485" s="61"/>
      <c r="VRS2485" s="58"/>
      <c r="VRT2485" s="58"/>
      <c r="VRU2485" s="58"/>
      <c r="VRV2485" s="60"/>
      <c r="VRW2485" s="60"/>
      <c r="VRX2485" s="60"/>
      <c r="VRY2485" s="58"/>
      <c r="VRZ2485" s="61"/>
      <c r="VSA2485" s="58"/>
      <c r="VSB2485" s="58"/>
      <c r="VSC2485" s="58"/>
      <c r="VSD2485" s="60"/>
      <c r="VSE2485" s="60"/>
      <c r="VSF2485" s="60"/>
      <c r="VSG2485" s="58"/>
      <c r="VSH2485" s="61"/>
      <c r="VSI2485" s="58"/>
      <c r="VSJ2485" s="58"/>
      <c r="VSK2485" s="58"/>
      <c r="VSL2485" s="60"/>
      <c r="VSM2485" s="60"/>
      <c r="VSN2485" s="60"/>
      <c r="VSO2485" s="58"/>
      <c r="VSP2485" s="61"/>
      <c r="VSQ2485" s="58"/>
      <c r="VSR2485" s="58"/>
      <c r="VSS2485" s="58"/>
      <c r="VST2485" s="60"/>
      <c r="VSU2485" s="60"/>
      <c r="VSV2485" s="60"/>
      <c r="VSW2485" s="58"/>
      <c r="VSX2485" s="61"/>
      <c r="VSY2485" s="58"/>
      <c r="VSZ2485" s="58"/>
      <c r="VTA2485" s="58"/>
      <c r="VTB2485" s="60"/>
      <c r="VTC2485" s="60"/>
      <c r="VTD2485" s="60"/>
      <c r="VTE2485" s="58"/>
      <c r="VTF2485" s="61"/>
      <c r="VTG2485" s="58"/>
      <c r="VTH2485" s="58"/>
      <c r="VTI2485" s="58"/>
      <c r="VTJ2485" s="60"/>
      <c r="VTK2485" s="60"/>
      <c r="VTL2485" s="60"/>
      <c r="VTM2485" s="58"/>
      <c r="VTN2485" s="61"/>
      <c r="VTO2485" s="58"/>
      <c r="VTP2485" s="58"/>
      <c r="VTQ2485" s="58"/>
      <c r="VTR2485" s="60"/>
      <c r="VTS2485" s="60"/>
      <c r="VTT2485" s="60"/>
      <c r="VTU2485" s="58"/>
      <c r="VTV2485" s="61"/>
      <c r="VTW2485" s="58"/>
      <c r="VTX2485" s="58"/>
      <c r="VTY2485" s="58"/>
      <c r="VTZ2485" s="60"/>
      <c r="VUA2485" s="60"/>
      <c r="VUB2485" s="60"/>
      <c r="VUC2485" s="58"/>
      <c r="VUD2485" s="61"/>
      <c r="VUE2485" s="58"/>
      <c r="VUF2485" s="58"/>
      <c r="VUG2485" s="58"/>
      <c r="VUH2485" s="60"/>
      <c r="VUI2485" s="60"/>
      <c r="VUJ2485" s="60"/>
      <c r="VUK2485" s="58"/>
      <c r="VUL2485" s="61"/>
      <c r="VUM2485" s="58"/>
      <c r="VUN2485" s="58"/>
      <c r="VUO2485" s="58"/>
      <c r="VUP2485" s="60"/>
      <c r="VUQ2485" s="60"/>
      <c r="VUR2485" s="60"/>
      <c r="VUS2485" s="58"/>
      <c r="VUT2485" s="61"/>
      <c r="VUU2485" s="58"/>
      <c r="VUV2485" s="58"/>
      <c r="VUW2485" s="58"/>
      <c r="VUX2485" s="60"/>
      <c r="VUY2485" s="60"/>
      <c r="VUZ2485" s="60"/>
      <c r="VVA2485" s="58"/>
      <c r="VVB2485" s="61"/>
      <c r="VVC2485" s="58"/>
      <c r="VVD2485" s="58"/>
      <c r="VVE2485" s="58"/>
      <c r="VVF2485" s="60"/>
      <c r="VVG2485" s="60"/>
      <c r="VVH2485" s="60"/>
      <c r="VVI2485" s="58"/>
      <c r="VVJ2485" s="61"/>
      <c r="VVK2485" s="58"/>
      <c r="VVL2485" s="58"/>
      <c r="VVM2485" s="58"/>
      <c r="VVN2485" s="60"/>
      <c r="VVO2485" s="60"/>
      <c r="VVP2485" s="60"/>
      <c r="VVQ2485" s="58"/>
      <c r="VVR2485" s="61"/>
      <c r="VVS2485" s="58"/>
      <c r="VVT2485" s="58"/>
      <c r="VVU2485" s="58"/>
      <c r="VVV2485" s="60"/>
      <c r="VVW2485" s="60"/>
      <c r="VVX2485" s="60"/>
      <c r="VVY2485" s="58"/>
      <c r="VVZ2485" s="61"/>
      <c r="VWA2485" s="58"/>
      <c r="VWB2485" s="58"/>
      <c r="VWC2485" s="58"/>
      <c r="VWD2485" s="60"/>
      <c r="VWE2485" s="60"/>
      <c r="VWF2485" s="60"/>
      <c r="VWG2485" s="58"/>
      <c r="VWH2485" s="61"/>
      <c r="VWI2485" s="58"/>
      <c r="VWJ2485" s="58"/>
      <c r="VWK2485" s="58"/>
      <c r="VWL2485" s="60"/>
      <c r="VWM2485" s="60"/>
      <c r="VWN2485" s="60"/>
      <c r="VWO2485" s="58"/>
      <c r="VWP2485" s="61"/>
      <c r="VWQ2485" s="58"/>
      <c r="VWR2485" s="58"/>
      <c r="VWS2485" s="58"/>
      <c r="VWT2485" s="60"/>
      <c r="VWU2485" s="60"/>
      <c r="VWV2485" s="60"/>
      <c r="VWW2485" s="58"/>
      <c r="VWX2485" s="61"/>
      <c r="VWY2485" s="58"/>
      <c r="VWZ2485" s="58"/>
      <c r="VXA2485" s="58"/>
      <c r="VXB2485" s="60"/>
      <c r="VXC2485" s="60"/>
      <c r="VXD2485" s="60"/>
      <c r="VXE2485" s="58"/>
      <c r="VXF2485" s="61"/>
      <c r="VXG2485" s="58"/>
      <c r="VXH2485" s="58"/>
      <c r="VXI2485" s="58"/>
      <c r="VXJ2485" s="60"/>
      <c r="VXK2485" s="60"/>
      <c r="VXL2485" s="60"/>
      <c r="VXM2485" s="58"/>
      <c r="VXN2485" s="61"/>
      <c r="VXO2485" s="58"/>
      <c r="VXP2485" s="58"/>
      <c r="VXQ2485" s="58"/>
      <c r="VXR2485" s="60"/>
      <c r="VXS2485" s="60"/>
      <c r="VXT2485" s="60"/>
      <c r="VXU2485" s="58"/>
      <c r="VXV2485" s="61"/>
      <c r="VXW2485" s="58"/>
      <c r="VXX2485" s="58"/>
      <c r="VXY2485" s="58"/>
      <c r="VXZ2485" s="60"/>
      <c r="VYA2485" s="60"/>
      <c r="VYB2485" s="60"/>
      <c r="VYC2485" s="58"/>
      <c r="VYD2485" s="61"/>
      <c r="VYE2485" s="58"/>
      <c r="VYF2485" s="58"/>
      <c r="VYG2485" s="58"/>
      <c r="VYH2485" s="60"/>
      <c r="VYI2485" s="60"/>
      <c r="VYJ2485" s="60"/>
      <c r="VYK2485" s="58"/>
      <c r="VYL2485" s="61"/>
      <c r="VYM2485" s="58"/>
      <c r="VYN2485" s="58"/>
      <c r="VYO2485" s="58"/>
      <c r="VYP2485" s="60"/>
      <c r="VYQ2485" s="60"/>
      <c r="VYR2485" s="60"/>
      <c r="VYS2485" s="58"/>
      <c r="VYT2485" s="61"/>
      <c r="VYU2485" s="58"/>
      <c r="VYV2485" s="58"/>
      <c r="VYW2485" s="58"/>
      <c r="VYX2485" s="60"/>
      <c r="VYY2485" s="60"/>
      <c r="VYZ2485" s="60"/>
      <c r="VZA2485" s="58"/>
      <c r="VZB2485" s="61"/>
      <c r="VZC2485" s="58"/>
      <c r="VZD2485" s="58"/>
      <c r="VZE2485" s="58"/>
      <c r="VZF2485" s="60"/>
      <c r="VZG2485" s="60"/>
      <c r="VZH2485" s="60"/>
      <c r="VZI2485" s="58"/>
      <c r="VZJ2485" s="61"/>
      <c r="VZK2485" s="58"/>
      <c r="VZL2485" s="58"/>
      <c r="VZM2485" s="58"/>
      <c r="VZN2485" s="60"/>
      <c r="VZO2485" s="60"/>
      <c r="VZP2485" s="60"/>
      <c r="VZQ2485" s="58"/>
      <c r="VZR2485" s="61"/>
      <c r="VZS2485" s="58"/>
      <c r="VZT2485" s="58"/>
      <c r="VZU2485" s="58"/>
      <c r="VZV2485" s="60"/>
      <c r="VZW2485" s="60"/>
      <c r="VZX2485" s="60"/>
      <c r="VZY2485" s="58"/>
      <c r="VZZ2485" s="61"/>
      <c r="WAA2485" s="58"/>
      <c r="WAB2485" s="58"/>
      <c r="WAC2485" s="58"/>
      <c r="WAD2485" s="60"/>
      <c r="WAE2485" s="60"/>
      <c r="WAF2485" s="60"/>
      <c r="WAG2485" s="58"/>
      <c r="WAH2485" s="61"/>
      <c r="WAI2485" s="58"/>
      <c r="WAJ2485" s="58"/>
      <c r="WAK2485" s="58"/>
      <c r="WAL2485" s="60"/>
      <c r="WAM2485" s="60"/>
      <c r="WAN2485" s="60"/>
      <c r="WAO2485" s="58"/>
      <c r="WAP2485" s="61"/>
      <c r="WAQ2485" s="58"/>
      <c r="WAR2485" s="58"/>
      <c r="WAS2485" s="58"/>
      <c r="WAT2485" s="60"/>
      <c r="WAU2485" s="60"/>
      <c r="WAV2485" s="60"/>
      <c r="WAW2485" s="58"/>
      <c r="WAX2485" s="61"/>
      <c r="WAY2485" s="58"/>
      <c r="WAZ2485" s="58"/>
      <c r="WBA2485" s="58"/>
      <c r="WBB2485" s="60"/>
      <c r="WBC2485" s="60"/>
      <c r="WBD2485" s="60"/>
      <c r="WBE2485" s="58"/>
      <c r="WBF2485" s="61"/>
      <c r="WBG2485" s="58"/>
      <c r="WBH2485" s="58"/>
      <c r="WBI2485" s="58"/>
      <c r="WBJ2485" s="60"/>
      <c r="WBK2485" s="60"/>
      <c r="WBL2485" s="60"/>
      <c r="WBM2485" s="58"/>
      <c r="WBN2485" s="61"/>
      <c r="WBO2485" s="58"/>
      <c r="WBP2485" s="58"/>
      <c r="WBQ2485" s="58"/>
      <c r="WBR2485" s="60"/>
      <c r="WBS2485" s="60"/>
      <c r="WBT2485" s="60"/>
      <c r="WBU2485" s="58"/>
      <c r="WBV2485" s="61"/>
      <c r="WBW2485" s="58"/>
      <c r="WBX2485" s="58"/>
      <c r="WBY2485" s="58"/>
      <c r="WBZ2485" s="60"/>
      <c r="WCA2485" s="60"/>
      <c r="WCB2485" s="60"/>
      <c r="WCC2485" s="58"/>
      <c r="WCD2485" s="61"/>
      <c r="WCE2485" s="58"/>
      <c r="WCF2485" s="58"/>
      <c r="WCG2485" s="58"/>
      <c r="WCH2485" s="60"/>
      <c r="WCI2485" s="60"/>
      <c r="WCJ2485" s="60"/>
      <c r="WCK2485" s="58"/>
      <c r="WCL2485" s="61"/>
      <c r="WCM2485" s="58"/>
      <c r="WCN2485" s="58"/>
      <c r="WCO2485" s="58"/>
      <c r="WCP2485" s="60"/>
      <c r="WCQ2485" s="60"/>
      <c r="WCR2485" s="60"/>
      <c r="WCS2485" s="58"/>
      <c r="WCT2485" s="61"/>
      <c r="WCU2485" s="58"/>
      <c r="WCV2485" s="58"/>
      <c r="WCW2485" s="58"/>
      <c r="WCX2485" s="60"/>
      <c r="WCY2485" s="60"/>
      <c r="WCZ2485" s="60"/>
      <c r="WDA2485" s="58"/>
      <c r="WDB2485" s="61"/>
      <c r="WDC2485" s="58"/>
      <c r="WDD2485" s="58"/>
      <c r="WDE2485" s="58"/>
      <c r="WDF2485" s="60"/>
      <c r="WDG2485" s="60"/>
      <c r="WDH2485" s="60"/>
      <c r="WDI2485" s="58"/>
      <c r="WDJ2485" s="61"/>
      <c r="WDK2485" s="58"/>
      <c r="WDL2485" s="58"/>
      <c r="WDM2485" s="58"/>
      <c r="WDN2485" s="60"/>
      <c r="WDO2485" s="60"/>
      <c r="WDP2485" s="60"/>
      <c r="WDQ2485" s="58"/>
      <c r="WDR2485" s="61"/>
      <c r="WDS2485" s="58"/>
      <c r="WDT2485" s="58"/>
      <c r="WDU2485" s="58"/>
      <c r="WDV2485" s="60"/>
      <c r="WDW2485" s="60"/>
      <c r="WDX2485" s="60"/>
      <c r="WDY2485" s="58"/>
      <c r="WDZ2485" s="61"/>
      <c r="WEA2485" s="58"/>
      <c r="WEB2485" s="58"/>
      <c r="WEC2485" s="58"/>
      <c r="WED2485" s="60"/>
      <c r="WEE2485" s="60"/>
      <c r="WEF2485" s="60"/>
      <c r="WEG2485" s="58"/>
      <c r="WEH2485" s="61"/>
      <c r="WEI2485" s="58"/>
      <c r="WEJ2485" s="58"/>
      <c r="WEK2485" s="58"/>
      <c r="WEL2485" s="60"/>
      <c r="WEM2485" s="60"/>
      <c r="WEN2485" s="60"/>
      <c r="WEO2485" s="58"/>
      <c r="WEP2485" s="61"/>
      <c r="WEQ2485" s="58"/>
      <c r="WER2485" s="58"/>
      <c r="WES2485" s="58"/>
      <c r="WET2485" s="60"/>
      <c r="WEU2485" s="60"/>
      <c r="WEV2485" s="60"/>
      <c r="WEW2485" s="58"/>
      <c r="WEX2485" s="61"/>
      <c r="WEY2485" s="58"/>
      <c r="WEZ2485" s="58"/>
      <c r="WFA2485" s="58"/>
      <c r="WFB2485" s="60"/>
      <c r="WFC2485" s="60"/>
      <c r="WFD2485" s="60"/>
      <c r="WFE2485" s="58"/>
      <c r="WFF2485" s="61"/>
      <c r="WFG2485" s="58"/>
      <c r="WFH2485" s="58"/>
      <c r="WFI2485" s="58"/>
      <c r="WFJ2485" s="60"/>
      <c r="WFK2485" s="60"/>
      <c r="WFL2485" s="60"/>
      <c r="WFM2485" s="58"/>
      <c r="WFN2485" s="61"/>
      <c r="WFO2485" s="58"/>
      <c r="WFP2485" s="58"/>
      <c r="WFQ2485" s="58"/>
      <c r="WFR2485" s="60"/>
      <c r="WFS2485" s="60"/>
      <c r="WFT2485" s="60"/>
      <c r="WFU2485" s="58"/>
      <c r="WFV2485" s="61"/>
      <c r="WFW2485" s="58"/>
      <c r="WFX2485" s="58"/>
      <c r="WFY2485" s="58"/>
      <c r="WFZ2485" s="60"/>
      <c r="WGA2485" s="60"/>
      <c r="WGB2485" s="60"/>
      <c r="WGC2485" s="58"/>
      <c r="WGD2485" s="61"/>
      <c r="WGE2485" s="58"/>
      <c r="WGF2485" s="58"/>
      <c r="WGG2485" s="58"/>
      <c r="WGH2485" s="60"/>
      <c r="WGI2485" s="60"/>
      <c r="WGJ2485" s="60"/>
      <c r="WGK2485" s="58"/>
      <c r="WGL2485" s="61"/>
      <c r="WGM2485" s="58"/>
      <c r="WGN2485" s="58"/>
      <c r="WGO2485" s="58"/>
      <c r="WGP2485" s="60"/>
      <c r="WGQ2485" s="60"/>
      <c r="WGR2485" s="60"/>
      <c r="WGS2485" s="58"/>
      <c r="WGT2485" s="61"/>
      <c r="WGU2485" s="58"/>
      <c r="WGV2485" s="58"/>
      <c r="WGW2485" s="58"/>
      <c r="WGX2485" s="60"/>
      <c r="WGY2485" s="60"/>
      <c r="WGZ2485" s="60"/>
      <c r="WHA2485" s="58"/>
      <c r="WHB2485" s="61"/>
      <c r="WHC2485" s="58"/>
      <c r="WHD2485" s="58"/>
      <c r="WHE2485" s="58"/>
      <c r="WHF2485" s="60"/>
      <c r="WHG2485" s="60"/>
      <c r="WHH2485" s="60"/>
      <c r="WHI2485" s="58"/>
      <c r="WHJ2485" s="61"/>
      <c r="WHK2485" s="58"/>
      <c r="WHL2485" s="58"/>
      <c r="WHM2485" s="58"/>
      <c r="WHN2485" s="60"/>
      <c r="WHO2485" s="60"/>
      <c r="WHP2485" s="60"/>
      <c r="WHQ2485" s="58"/>
      <c r="WHR2485" s="61"/>
      <c r="WHS2485" s="58"/>
      <c r="WHT2485" s="58"/>
      <c r="WHU2485" s="58"/>
      <c r="WHV2485" s="60"/>
      <c r="WHW2485" s="60"/>
      <c r="WHX2485" s="60"/>
      <c r="WHY2485" s="58"/>
      <c r="WHZ2485" s="61"/>
      <c r="WIA2485" s="58"/>
      <c r="WIB2485" s="58"/>
      <c r="WIC2485" s="58"/>
      <c r="WID2485" s="60"/>
      <c r="WIE2485" s="60"/>
      <c r="WIF2485" s="60"/>
      <c r="WIG2485" s="58"/>
      <c r="WIH2485" s="61"/>
      <c r="WII2485" s="58"/>
      <c r="WIJ2485" s="58"/>
      <c r="WIK2485" s="58"/>
      <c r="WIL2485" s="60"/>
      <c r="WIM2485" s="60"/>
      <c r="WIN2485" s="60"/>
      <c r="WIO2485" s="58"/>
      <c r="WIP2485" s="61"/>
      <c r="WIQ2485" s="58"/>
      <c r="WIR2485" s="58"/>
      <c r="WIS2485" s="58"/>
      <c r="WIT2485" s="60"/>
      <c r="WIU2485" s="60"/>
      <c r="WIV2485" s="60"/>
      <c r="WIW2485" s="58"/>
      <c r="WIX2485" s="61"/>
      <c r="WIY2485" s="58"/>
      <c r="WIZ2485" s="58"/>
      <c r="WJA2485" s="58"/>
      <c r="WJB2485" s="60"/>
      <c r="WJC2485" s="60"/>
      <c r="WJD2485" s="60"/>
      <c r="WJE2485" s="58"/>
      <c r="WJF2485" s="61"/>
      <c r="WJG2485" s="58"/>
      <c r="WJH2485" s="58"/>
      <c r="WJI2485" s="58"/>
      <c r="WJJ2485" s="60"/>
      <c r="WJK2485" s="60"/>
      <c r="WJL2485" s="60"/>
      <c r="WJM2485" s="58"/>
      <c r="WJN2485" s="61"/>
      <c r="WJO2485" s="58"/>
      <c r="WJP2485" s="58"/>
      <c r="WJQ2485" s="58"/>
      <c r="WJR2485" s="60"/>
      <c r="WJS2485" s="60"/>
      <c r="WJT2485" s="60"/>
      <c r="WJU2485" s="58"/>
      <c r="WJV2485" s="61"/>
      <c r="WJW2485" s="58"/>
      <c r="WJX2485" s="58"/>
      <c r="WJY2485" s="58"/>
      <c r="WJZ2485" s="60"/>
      <c r="WKA2485" s="60"/>
      <c r="WKB2485" s="60"/>
      <c r="WKC2485" s="58"/>
      <c r="WKD2485" s="61"/>
      <c r="WKE2485" s="58"/>
      <c r="WKF2485" s="58"/>
      <c r="WKG2485" s="58"/>
      <c r="WKH2485" s="60"/>
      <c r="WKI2485" s="60"/>
      <c r="WKJ2485" s="60"/>
      <c r="WKK2485" s="58"/>
      <c r="WKL2485" s="61"/>
      <c r="WKM2485" s="58"/>
      <c r="WKN2485" s="58"/>
      <c r="WKO2485" s="58"/>
      <c r="WKP2485" s="60"/>
      <c r="WKQ2485" s="60"/>
      <c r="WKR2485" s="60"/>
      <c r="WKS2485" s="58"/>
      <c r="WKT2485" s="61"/>
      <c r="WKU2485" s="58"/>
      <c r="WKV2485" s="58"/>
      <c r="WKW2485" s="58"/>
      <c r="WKX2485" s="60"/>
      <c r="WKY2485" s="60"/>
      <c r="WKZ2485" s="60"/>
      <c r="WLA2485" s="58"/>
      <c r="WLB2485" s="61"/>
      <c r="WLC2485" s="58"/>
      <c r="WLD2485" s="58"/>
      <c r="WLE2485" s="58"/>
      <c r="WLF2485" s="60"/>
      <c r="WLG2485" s="60"/>
      <c r="WLH2485" s="60"/>
      <c r="WLI2485" s="58"/>
      <c r="WLJ2485" s="61"/>
      <c r="WLK2485" s="58"/>
      <c r="WLL2485" s="58"/>
      <c r="WLM2485" s="58"/>
      <c r="WLN2485" s="60"/>
      <c r="WLO2485" s="60"/>
      <c r="WLP2485" s="60"/>
      <c r="WLQ2485" s="58"/>
      <c r="WLR2485" s="61"/>
      <c r="WLS2485" s="58"/>
      <c r="WLT2485" s="58"/>
      <c r="WLU2485" s="58"/>
      <c r="WLV2485" s="60"/>
      <c r="WLW2485" s="60"/>
      <c r="WLX2485" s="60"/>
      <c r="WLY2485" s="58"/>
      <c r="WLZ2485" s="61"/>
      <c r="WMA2485" s="58"/>
      <c r="WMB2485" s="58"/>
      <c r="WMC2485" s="58"/>
      <c r="WMD2485" s="60"/>
      <c r="WME2485" s="60"/>
      <c r="WMF2485" s="60"/>
      <c r="WMG2485" s="58"/>
      <c r="WMH2485" s="61"/>
      <c r="WMI2485" s="58"/>
      <c r="WMJ2485" s="58"/>
      <c r="WMK2485" s="58"/>
      <c r="WML2485" s="60"/>
      <c r="WMM2485" s="60"/>
      <c r="WMN2485" s="60"/>
      <c r="WMO2485" s="58"/>
      <c r="WMP2485" s="61"/>
      <c r="WMQ2485" s="58"/>
      <c r="WMR2485" s="58"/>
      <c r="WMS2485" s="58"/>
      <c r="WMT2485" s="60"/>
      <c r="WMU2485" s="60"/>
      <c r="WMV2485" s="60"/>
      <c r="WMW2485" s="58"/>
      <c r="WMX2485" s="61"/>
      <c r="WMY2485" s="58"/>
      <c r="WMZ2485" s="58"/>
      <c r="WNA2485" s="58"/>
      <c r="WNB2485" s="60"/>
      <c r="WNC2485" s="60"/>
      <c r="WND2485" s="60"/>
      <c r="WNE2485" s="58"/>
      <c r="WNF2485" s="61"/>
      <c r="WNG2485" s="58"/>
      <c r="WNH2485" s="58"/>
      <c r="WNI2485" s="58"/>
      <c r="WNJ2485" s="60"/>
      <c r="WNK2485" s="60"/>
      <c r="WNL2485" s="60"/>
      <c r="WNM2485" s="58"/>
      <c r="WNN2485" s="61"/>
      <c r="WNO2485" s="58"/>
      <c r="WNP2485" s="58"/>
      <c r="WNQ2485" s="58"/>
      <c r="WNR2485" s="60"/>
      <c r="WNS2485" s="60"/>
      <c r="WNT2485" s="60"/>
      <c r="WNU2485" s="58"/>
      <c r="WNV2485" s="61"/>
      <c r="WNW2485" s="58"/>
      <c r="WNX2485" s="58"/>
      <c r="WNY2485" s="58"/>
      <c r="WNZ2485" s="60"/>
      <c r="WOA2485" s="60"/>
      <c r="WOB2485" s="60"/>
      <c r="WOC2485" s="58"/>
      <c r="WOD2485" s="61"/>
      <c r="WOE2485" s="58"/>
      <c r="WOF2485" s="58"/>
      <c r="WOG2485" s="58"/>
      <c r="WOH2485" s="60"/>
      <c r="WOI2485" s="60"/>
      <c r="WOJ2485" s="60"/>
      <c r="WOK2485" s="58"/>
      <c r="WOL2485" s="61"/>
      <c r="WOM2485" s="58"/>
      <c r="WON2485" s="58"/>
      <c r="WOO2485" s="58"/>
      <c r="WOP2485" s="60"/>
      <c r="WOQ2485" s="60"/>
      <c r="WOR2485" s="60"/>
      <c r="WOS2485" s="58"/>
      <c r="WOT2485" s="61"/>
      <c r="WOU2485" s="58"/>
      <c r="WOV2485" s="58"/>
      <c r="WOW2485" s="58"/>
      <c r="WOX2485" s="60"/>
      <c r="WOY2485" s="60"/>
      <c r="WOZ2485" s="60"/>
      <c r="WPA2485" s="58"/>
      <c r="WPB2485" s="61"/>
      <c r="WPC2485" s="58"/>
      <c r="WPD2485" s="58"/>
      <c r="WPE2485" s="58"/>
      <c r="WPF2485" s="60"/>
      <c r="WPG2485" s="60"/>
      <c r="WPH2485" s="60"/>
      <c r="WPI2485" s="58"/>
      <c r="WPJ2485" s="61"/>
      <c r="WPK2485" s="58"/>
      <c r="WPL2485" s="58"/>
      <c r="WPM2485" s="58"/>
      <c r="WPN2485" s="60"/>
      <c r="WPO2485" s="60"/>
      <c r="WPP2485" s="60"/>
      <c r="WPQ2485" s="58"/>
      <c r="WPR2485" s="61"/>
      <c r="WPS2485" s="58"/>
      <c r="WPT2485" s="58"/>
      <c r="WPU2485" s="58"/>
      <c r="WPV2485" s="60"/>
      <c r="WPW2485" s="60"/>
      <c r="WPX2485" s="60"/>
      <c r="WPY2485" s="58"/>
      <c r="WPZ2485" s="61"/>
      <c r="WQA2485" s="58"/>
      <c r="WQB2485" s="58"/>
      <c r="WQC2485" s="58"/>
      <c r="WQD2485" s="60"/>
      <c r="WQE2485" s="60"/>
      <c r="WQF2485" s="60"/>
      <c r="WQG2485" s="58"/>
      <c r="WQH2485" s="61"/>
      <c r="WQI2485" s="58"/>
      <c r="WQJ2485" s="58"/>
      <c r="WQK2485" s="58"/>
      <c r="WQL2485" s="60"/>
      <c r="WQM2485" s="60"/>
      <c r="WQN2485" s="60"/>
      <c r="WQO2485" s="58"/>
      <c r="WQP2485" s="61"/>
      <c r="WQQ2485" s="58"/>
      <c r="WQR2485" s="58"/>
      <c r="WQS2485" s="58"/>
      <c r="WQT2485" s="60"/>
      <c r="WQU2485" s="60"/>
      <c r="WQV2485" s="60"/>
      <c r="WQW2485" s="58"/>
      <c r="WQX2485" s="61"/>
      <c r="WQY2485" s="58"/>
      <c r="WQZ2485" s="58"/>
      <c r="WRA2485" s="58"/>
      <c r="WRB2485" s="60"/>
      <c r="WRC2485" s="60"/>
      <c r="WRD2485" s="60"/>
      <c r="WRE2485" s="58"/>
      <c r="WRF2485" s="61"/>
      <c r="WRG2485" s="58"/>
      <c r="WRH2485" s="58"/>
      <c r="WRI2485" s="58"/>
      <c r="WRJ2485" s="60"/>
      <c r="WRK2485" s="60"/>
      <c r="WRL2485" s="60"/>
      <c r="WRM2485" s="58"/>
      <c r="WRN2485" s="61"/>
      <c r="WRO2485" s="58"/>
      <c r="WRP2485" s="58"/>
      <c r="WRQ2485" s="58"/>
      <c r="WRR2485" s="60"/>
      <c r="WRS2485" s="60"/>
      <c r="WRT2485" s="60"/>
      <c r="WRU2485" s="58"/>
      <c r="WRV2485" s="61"/>
      <c r="WRW2485" s="58"/>
      <c r="WRX2485" s="58"/>
      <c r="WRY2485" s="58"/>
      <c r="WRZ2485" s="60"/>
      <c r="WSA2485" s="60"/>
      <c r="WSB2485" s="60"/>
      <c r="WSC2485" s="58"/>
      <c r="WSD2485" s="61"/>
      <c r="WSE2485" s="58"/>
      <c r="WSF2485" s="58"/>
      <c r="WSG2485" s="58"/>
      <c r="WSH2485" s="60"/>
      <c r="WSI2485" s="60"/>
      <c r="WSJ2485" s="60"/>
      <c r="WSK2485" s="58"/>
      <c r="WSL2485" s="61"/>
      <c r="WSM2485" s="58"/>
      <c r="WSN2485" s="58"/>
      <c r="WSO2485" s="58"/>
      <c r="WSP2485" s="60"/>
      <c r="WSQ2485" s="60"/>
      <c r="WSR2485" s="60"/>
      <c r="WSS2485" s="58"/>
      <c r="WST2485" s="61"/>
      <c r="WSU2485" s="58"/>
      <c r="WSV2485" s="58"/>
      <c r="WSW2485" s="58"/>
      <c r="WSX2485" s="60"/>
      <c r="WSY2485" s="60"/>
      <c r="WSZ2485" s="60"/>
      <c r="WTA2485" s="58"/>
      <c r="WTB2485" s="61"/>
      <c r="WTC2485" s="58"/>
      <c r="WTD2485" s="58"/>
      <c r="WTE2485" s="58"/>
      <c r="WTF2485" s="60"/>
      <c r="WTG2485" s="60"/>
      <c r="WTH2485" s="60"/>
      <c r="WTI2485" s="58"/>
      <c r="WTJ2485" s="61"/>
      <c r="WTK2485" s="58"/>
      <c r="WTL2485" s="58"/>
      <c r="WTM2485" s="58"/>
      <c r="WTN2485" s="60"/>
      <c r="WTO2485" s="60"/>
      <c r="WTP2485" s="60"/>
      <c r="WTQ2485" s="58"/>
      <c r="WTR2485" s="61"/>
      <c r="WTS2485" s="58"/>
      <c r="WTT2485" s="58"/>
      <c r="WTU2485" s="58"/>
      <c r="WTV2485" s="60"/>
      <c r="WTW2485" s="60"/>
      <c r="WTX2485" s="60"/>
      <c r="WTY2485" s="58"/>
      <c r="WTZ2485" s="61"/>
      <c r="WUA2485" s="58"/>
      <c r="WUB2485" s="58"/>
      <c r="WUC2485" s="58"/>
      <c r="WUD2485" s="60"/>
      <c r="WUE2485" s="60"/>
      <c r="WUF2485" s="60"/>
      <c r="WUG2485" s="58"/>
      <c r="WUH2485" s="61"/>
      <c r="WUI2485" s="58"/>
      <c r="WUJ2485" s="58"/>
      <c r="WUK2485" s="58"/>
      <c r="WUL2485" s="60"/>
      <c r="WUM2485" s="60"/>
      <c r="WUN2485" s="60"/>
      <c r="WUO2485" s="58"/>
      <c r="WUP2485" s="61"/>
      <c r="WUQ2485" s="58"/>
      <c r="WUR2485" s="58"/>
      <c r="WUS2485" s="58"/>
      <c r="WUT2485" s="60"/>
      <c r="WUU2485" s="60"/>
      <c r="WUV2485" s="60"/>
      <c r="WUW2485" s="58"/>
      <c r="WUX2485" s="61"/>
      <c r="WUY2485" s="58"/>
      <c r="WUZ2485" s="58"/>
      <c r="WVA2485" s="58"/>
      <c r="WVB2485" s="60"/>
      <c r="WVC2485" s="60"/>
      <c r="WVD2485" s="60"/>
      <c r="WVE2485" s="58"/>
      <c r="WVF2485" s="61"/>
      <c r="WVG2485" s="58"/>
      <c r="WVH2485" s="58"/>
      <c r="WVI2485" s="58"/>
      <c r="WVJ2485" s="60"/>
      <c r="WVK2485" s="60"/>
      <c r="WVL2485" s="60"/>
      <c r="WVM2485" s="58"/>
      <c r="WVN2485" s="61"/>
      <c r="WVO2485" s="58"/>
      <c r="WVP2485" s="58"/>
      <c r="WVQ2485" s="58"/>
      <c r="WVR2485" s="60"/>
      <c r="WVS2485" s="60"/>
      <c r="WVT2485" s="60"/>
      <c r="WVU2485" s="58"/>
      <c r="WVV2485" s="61"/>
      <c r="WVW2485" s="58"/>
      <c r="WVX2485" s="58"/>
      <c r="WVY2485" s="58"/>
      <c r="WVZ2485" s="60"/>
      <c r="WWA2485" s="60"/>
      <c r="WWB2485" s="60"/>
      <c r="WWC2485" s="58"/>
      <c r="WWD2485" s="61"/>
      <c r="WWE2485" s="58"/>
      <c r="WWF2485" s="58"/>
      <c r="WWG2485" s="58"/>
      <c r="WWH2485" s="60"/>
      <c r="WWI2485" s="60"/>
      <c r="WWJ2485" s="60"/>
      <c r="WWK2485" s="58"/>
      <c r="WWL2485" s="61"/>
      <c r="WWM2485" s="58"/>
      <c r="WWN2485" s="58"/>
      <c r="WWO2485" s="58"/>
      <c r="WWP2485" s="60"/>
      <c r="WWQ2485" s="60"/>
      <c r="WWR2485" s="60"/>
      <c r="WWS2485" s="58"/>
      <c r="WWT2485" s="61"/>
      <c r="WWU2485" s="58"/>
      <c r="WWV2485" s="58"/>
      <c r="WWW2485" s="58"/>
      <c r="WWX2485" s="60"/>
      <c r="WWY2485" s="60"/>
      <c r="WWZ2485" s="60"/>
      <c r="WXA2485" s="58"/>
      <c r="WXB2485" s="61"/>
      <c r="WXC2485" s="58"/>
      <c r="WXD2485" s="58"/>
      <c r="WXE2485" s="58"/>
      <c r="WXF2485" s="60"/>
      <c r="WXG2485" s="60"/>
      <c r="WXH2485" s="60"/>
      <c r="WXI2485" s="58"/>
      <c r="WXJ2485" s="61"/>
      <c r="WXK2485" s="58"/>
      <c r="WXL2485" s="58"/>
      <c r="WXM2485" s="58"/>
      <c r="WXN2485" s="60"/>
      <c r="WXO2485" s="60"/>
      <c r="WXP2485" s="60"/>
      <c r="WXQ2485" s="58"/>
      <c r="WXR2485" s="61"/>
      <c r="WXS2485" s="58"/>
      <c r="WXT2485" s="58"/>
      <c r="WXU2485" s="58"/>
      <c r="WXV2485" s="60"/>
      <c r="WXW2485" s="60"/>
      <c r="WXX2485" s="60"/>
      <c r="WXY2485" s="58"/>
      <c r="WXZ2485" s="61"/>
      <c r="WYA2485" s="58"/>
      <c r="WYB2485" s="58"/>
      <c r="WYC2485" s="58"/>
      <c r="WYD2485" s="60"/>
      <c r="WYE2485" s="60"/>
      <c r="WYF2485" s="60"/>
      <c r="WYG2485" s="58"/>
      <c r="WYH2485" s="61"/>
      <c r="WYI2485" s="58"/>
      <c r="WYJ2485" s="58"/>
      <c r="WYK2485" s="58"/>
      <c r="WYL2485" s="60"/>
      <c r="WYM2485" s="60"/>
      <c r="WYN2485" s="60"/>
      <c r="WYO2485" s="58"/>
      <c r="WYP2485" s="61"/>
      <c r="WYQ2485" s="58"/>
      <c r="WYR2485" s="58"/>
      <c r="WYS2485" s="58"/>
      <c r="WYT2485" s="60"/>
      <c r="WYU2485" s="60"/>
      <c r="WYV2485" s="60"/>
      <c r="WYW2485" s="58"/>
      <c r="WYX2485" s="61"/>
      <c r="WYY2485" s="58"/>
      <c r="WYZ2485" s="58"/>
      <c r="WZA2485" s="58"/>
      <c r="WZB2485" s="60"/>
      <c r="WZC2485" s="60"/>
      <c r="WZD2485" s="60"/>
      <c r="WZE2485" s="58"/>
      <c r="WZF2485" s="61"/>
      <c r="WZG2485" s="58"/>
      <c r="WZH2485" s="58"/>
      <c r="WZI2485" s="58"/>
      <c r="WZJ2485" s="60"/>
      <c r="WZK2485" s="60"/>
      <c r="WZL2485" s="60"/>
      <c r="WZM2485" s="58"/>
      <c r="WZN2485" s="61"/>
      <c r="WZO2485" s="58"/>
      <c r="WZP2485" s="58"/>
      <c r="WZQ2485" s="58"/>
      <c r="WZR2485" s="60"/>
      <c r="WZS2485" s="60"/>
      <c r="WZT2485" s="60"/>
      <c r="WZU2485" s="58"/>
      <c r="WZV2485" s="61"/>
      <c r="WZW2485" s="58"/>
      <c r="WZX2485" s="58"/>
      <c r="WZY2485" s="58"/>
      <c r="WZZ2485" s="60"/>
      <c r="XAA2485" s="60"/>
      <c r="XAB2485" s="60"/>
      <c r="XAC2485" s="58"/>
      <c r="XAD2485" s="61"/>
      <c r="XAE2485" s="58"/>
      <c r="XAF2485" s="58"/>
      <c r="XAG2485" s="58"/>
      <c r="XAH2485" s="60"/>
      <c r="XAI2485" s="60"/>
      <c r="XAJ2485" s="60"/>
      <c r="XAK2485" s="58"/>
      <c r="XAL2485" s="61"/>
      <c r="XAM2485" s="58"/>
      <c r="XAN2485" s="58"/>
      <c r="XAO2485" s="58"/>
      <c r="XAP2485" s="60"/>
      <c r="XAQ2485" s="60"/>
      <c r="XAR2485" s="60"/>
      <c r="XAS2485" s="58"/>
      <c r="XAT2485" s="61"/>
      <c r="XAU2485" s="58"/>
      <c r="XAV2485" s="58"/>
      <c r="XAW2485" s="58"/>
      <c r="XAX2485" s="60"/>
      <c r="XAY2485" s="60"/>
      <c r="XAZ2485" s="60"/>
      <c r="XBA2485" s="58"/>
      <c r="XBB2485" s="61"/>
      <c r="XBC2485" s="58"/>
      <c r="XBD2485" s="58"/>
      <c r="XBE2485" s="58"/>
      <c r="XBF2485" s="60"/>
      <c r="XBG2485" s="60"/>
      <c r="XBH2485" s="60"/>
      <c r="XBI2485" s="58"/>
      <c r="XBJ2485" s="61"/>
      <c r="XBK2485" s="58"/>
      <c r="XBL2485" s="58"/>
      <c r="XBM2485" s="58"/>
      <c r="XBN2485" s="60"/>
      <c r="XBO2485" s="60"/>
      <c r="XBP2485" s="60"/>
      <c r="XBQ2485" s="58"/>
      <c r="XBR2485" s="61"/>
      <c r="XBS2485" s="58"/>
      <c r="XBT2485" s="58"/>
      <c r="XBU2485" s="58"/>
      <c r="XBV2485" s="60"/>
      <c r="XBW2485" s="60"/>
      <c r="XBX2485" s="60"/>
      <c r="XBY2485" s="58"/>
      <c r="XBZ2485" s="61"/>
      <c r="XCA2485" s="58"/>
      <c r="XCB2485" s="58"/>
      <c r="XCC2485" s="58"/>
      <c r="XCD2485" s="60"/>
      <c r="XCE2485" s="60"/>
      <c r="XCF2485" s="60"/>
      <c r="XCG2485" s="58"/>
      <c r="XCH2485" s="61"/>
      <c r="XCI2485" s="58"/>
      <c r="XCJ2485" s="58"/>
      <c r="XCK2485" s="58"/>
      <c r="XCL2485" s="60"/>
      <c r="XCM2485" s="60"/>
      <c r="XCN2485" s="60"/>
      <c r="XCO2485" s="58"/>
      <c r="XCP2485" s="61"/>
      <c r="XCQ2485" s="58"/>
      <c r="XCR2485" s="58"/>
      <c r="XCS2485" s="58"/>
      <c r="XCT2485" s="60"/>
      <c r="XCU2485" s="60"/>
      <c r="XCV2485" s="60"/>
      <c r="XCW2485" s="58"/>
      <c r="XCX2485" s="61"/>
      <c r="XCY2485" s="58"/>
      <c r="XCZ2485" s="58"/>
      <c r="XDA2485" s="58"/>
      <c r="XDB2485" s="60"/>
      <c r="XDC2485" s="60"/>
      <c r="XDD2485" s="60"/>
      <c r="XDE2485" s="58"/>
      <c r="XDF2485" s="61"/>
      <c r="XDG2485" s="58"/>
      <c r="XDH2485" s="58"/>
      <c r="XDI2485" s="58"/>
      <c r="XDJ2485" s="60"/>
      <c r="XDK2485" s="60"/>
      <c r="XDL2485" s="60"/>
      <c r="XDM2485" s="58"/>
      <c r="XDN2485" s="61"/>
      <c r="XDO2485" s="58"/>
      <c r="XDP2485" s="58"/>
      <c r="XDQ2485" s="58"/>
      <c r="XDR2485" s="60"/>
      <c r="XDS2485" s="60"/>
      <c r="XDT2485" s="60"/>
      <c r="XDU2485" s="58"/>
      <c r="XDV2485" s="61"/>
      <c r="XDW2485" s="58"/>
      <c r="XDX2485" s="58"/>
      <c r="XDY2485" s="58"/>
      <c r="XDZ2485" s="60"/>
      <c r="XEA2485" s="60"/>
      <c r="XEB2485" s="60"/>
      <c r="XEC2485" s="58"/>
      <c r="XED2485" s="61"/>
      <c r="XEE2485" s="58"/>
      <c r="XEF2485" s="58"/>
      <c r="XEG2485" s="58"/>
      <c r="XEH2485" s="60"/>
      <c r="XEI2485" s="60"/>
      <c r="XEJ2485" s="60"/>
      <c r="XEK2485" s="58"/>
      <c r="XEL2485" s="61"/>
      <c r="XEM2485" s="58"/>
      <c r="XEN2485" s="58"/>
      <c r="XEO2485" s="58"/>
      <c r="XEP2485" s="60"/>
      <c r="XEQ2485" s="60"/>
      <c r="XER2485" s="60"/>
      <c r="XES2485" s="58"/>
      <c r="XET2485" s="61"/>
      <c r="XEU2485" s="58"/>
      <c r="XEV2485" s="58"/>
      <c r="XEW2485" s="58"/>
    </row>
    <row r="2486" ht="18" customHeight="1" spans="1:16377">
      <c r="A2486" s="6" t="s">
        <v>8209</v>
      </c>
      <c r="B2486" s="6" t="s">
        <v>8642</v>
      </c>
      <c r="C2486" s="6" t="s">
        <v>16422</v>
      </c>
      <c r="D2486" s="5" t="s">
        <v>16374</v>
      </c>
      <c r="E2486" s="6" t="s">
        <v>16423</v>
      </c>
      <c r="F2486" s="7" t="s">
        <v>11535</v>
      </c>
      <c r="G2486" s="58"/>
      <c r="H2486" s="58"/>
      <c r="I2486" s="58"/>
      <c r="J2486" s="60"/>
      <c r="K2486" s="60"/>
      <c r="L2486" s="60"/>
      <c r="M2486" s="58"/>
      <c r="N2486" s="61"/>
      <c r="O2486" s="58"/>
      <c r="P2486" s="58"/>
      <c r="Q2486" s="58"/>
      <c r="R2486" s="60"/>
      <c r="S2486" s="60"/>
      <c r="T2486" s="60"/>
      <c r="U2486" s="58"/>
      <c r="V2486" s="61"/>
      <c r="W2486" s="58"/>
      <c r="X2486" s="58"/>
      <c r="Y2486" s="58"/>
      <c r="Z2486" s="60"/>
      <c r="AA2486" s="60"/>
      <c r="AB2486" s="60"/>
      <c r="AC2486" s="58"/>
      <c r="AD2486" s="61"/>
      <c r="AE2486" s="58"/>
      <c r="AF2486" s="58"/>
      <c r="AG2486" s="58"/>
      <c r="AH2486" s="60"/>
      <c r="AI2486" s="60"/>
      <c r="AJ2486" s="60"/>
      <c r="AK2486" s="58"/>
      <c r="AL2486" s="61"/>
      <c r="AM2486" s="58"/>
      <c r="AN2486" s="58"/>
      <c r="AO2486" s="58"/>
      <c r="AP2486" s="60"/>
      <c r="AQ2486" s="60"/>
      <c r="AR2486" s="60"/>
      <c r="AS2486" s="58"/>
      <c r="AT2486" s="61"/>
      <c r="AU2486" s="58"/>
      <c r="AV2486" s="58"/>
      <c r="AW2486" s="58"/>
      <c r="AX2486" s="60"/>
      <c r="AY2486" s="60"/>
      <c r="AZ2486" s="60"/>
      <c r="BA2486" s="58"/>
      <c r="BB2486" s="61"/>
      <c r="BC2486" s="58"/>
      <c r="BD2486" s="58"/>
      <c r="BE2486" s="58"/>
      <c r="BF2486" s="60"/>
      <c r="BG2486" s="60"/>
      <c r="BH2486" s="60"/>
      <c r="BI2486" s="58"/>
      <c r="BJ2486" s="61"/>
      <c r="BK2486" s="58"/>
      <c r="BL2486" s="58"/>
      <c r="BM2486" s="58"/>
      <c r="BN2486" s="60"/>
      <c r="BO2486" s="60"/>
      <c r="BP2486" s="60"/>
      <c r="BQ2486" s="58"/>
      <c r="BR2486" s="61"/>
      <c r="BS2486" s="58"/>
      <c r="BT2486" s="58"/>
      <c r="BU2486" s="58"/>
      <c r="BV2486" s="60"/>
      <c r="BW2486" s="60"/>
      <c r="BX2486" s="60"/>
      <c r="BY2486" s="58"/>
      <c r="BZ2486" s="61"/>
      <c r="CA2486" s="58"/>
      <c r="CB2486" s="58"/>
      <c r="CC2486" s="58"/>
      <c r="CD2486" s="60"/>
      <c r="CE2486" s="60"/>
      <c r="CF2486" s="60"/>
      <c r="CG2486" s="58"/>
      <c r="CH2486" s="61"/>
      <c r="CI2486" s="58"/>
      <c r="CJ2486" s="58"/>
      <c r="CK2486" s="58"/>
      <c r="CL2486" s="60"/>
      <c r="CM2486" s="60"/>
      <c r="CN2486" s="60"/>
      <c r="CO2486" s="58"/>
      <c r="CP2486" s="61"/>
      <c r="CQ2486" s="58"/>
      <c r="CR2486" s="58"/>
      <c r="CS2486" s="58"/>
      <c r="CT2486" s="60"/>
      <c r="CU2486" s="60"/>
      <c r="CV2486" s="60"/>
      <c r="CW2486" s="58"/>
      <c r="CX2486" s="61"/>
      <c r="CY2486" s="58"/>
      <c r="CZ2486" s="58"/>
      <c r="DA2486" s="58"/>
      <c r="DB2486" s="60"/>
      <c r="DC2486" s="60"/>
      <c r="DD2486" s="60"/>
      <c r="DE2486" s="58"/>
      <c r="DF2486" s="61"/>
      <c r="DG2486" s="58"/>
      <c r="DH2486" s="58"/>
      <c r="DI2486" s="58"/>
      <c r="DJ2486" s="60"/>
      <c r="DK2486" s="60"/>
      <c r="DL2486" s="60"/>
      <c r="DM2486" s="58"/>
      <c r="DN2486" s="61"/>
      <c r="DO2486" s="58"/>
      <c r="DP2486" s="58"/>
      <c r="DQ2486" s="58"/>
      <c r="DR2486" s="60"/>
      <c r="DS2486" s="60"/>
      <c r="DT2486" s="60"/>
      <c r="DU2486" s="58"/>
      <c r="DV2486" s="61"/>
      <c r="DW2486" s="58"/>
      <c r="DX2486" s="58"/>
      <c r="DY2486" s="58"/>
      <c r="DZ2486" s="60"/>
      <c r="EA2486" s="60"/>
      <c r="EB2486" s="60"/>
      <c r="EC2486" s="58"/>
      <c r="ED2486" s="61"/>
      <c r="EE2486" s="58"/>
      <c r="EF2486" s="58"/>
      <c r="EG2486" s="58"/>
      <c r="EH2486" s="60"/>
      <c r="EI2486" s="60"/>
      <c r="EJ2486" s="60"/>
      <c r="EK2486" s="58"/>
      <c r="EL2486" s="61"/>
      <c r="EM2486" s="58"/>
      <c r="EN2486" s="58"/>
      <c r="EO2486" s="58"/>
      <c r="EP2486" s="60"/>
      <c r="EQ2486" s="60"/>
      <c r="ER2486" s="60"/>
      <c r="ES2486" s="58"/>
      <c r="ET2486" s="61"/>
      <c r="EU2486" s="58"/>
      <c r="EV2486" s="58"/>
      <c r="EW2486" s="58"/>
      <c r="EX2486" s="60"/>
      <c r="EY2486" s="60"/>
      <c r="EZ2486" s="60"/>
      <c r="FA2486" s="58"/>
      <c r="FB2486" s="61"/>
      <c r="FC2486" s="58"/>
      <c r="FD2486" s="58"/>
      <c r="FE2486" s="58"/>
      <c r="FF2486" s="60"/>
      <c r="FG2486" s="60"/>
      <c r="FH2486" s="60"/>
      <c r="FI2486" s="58"/>
      <c r="FJ2486" s="61"/>
      <c r="FK2486" s="58"/>
      <c r="FL2486" s="58"/>
      <c r="FM2486" s="58"/>
      <c r="FN2486" s="60"/>
      <c r="FO2486" s="60"/>
      <c r="FP2486" s="60"/>
      <c r="FQ2486" s="58"/>
      <c r="FR2486" s="61"/>
      <c r="FS2486" s="58"/>
      <c r="FT2486" s="58"/>
      <c r="FU2486" s="58"/>
      <c r="FV2486" s="60"/>
      <c r="FW2486" s="60"/>
      <c r="FX2486" s="60"/>
      <c r="FY2486" s="58"/>
      <c r="FZ2486" s="61"/>
      <c r="GA2486" s="58"/>
      <c r="GB2486" s="58"/>
      <c r="GC2486" s="58"/>
      <c r="GD2486" s="60"/>
      <c r="GE2486" s="60"/>
      <c r="GF2486" s="60"/>
      <c r="GG2486" s="58"/>
      <c r="GH2486" s="61"/>
      <c r="GI2486" s="58"/>
      <c r="GJ2486" s="58"/>
      <c r="GK2486" s="58"/>
      <c r="GL2486" s="60"/>
      <c r="GM2486" s="60"/>
      <c r="GN2486" s="60"/>
      <c r="GO2486" s="58"/>
      <c r="GP2486" s="61"/>
      <c r="GQ2486" s="58"/>
      <c r="GR2486" s="58"/>
      <c r="GS2486" s="58"/>
      <c r="GT2486" s="60"/>
      <c r="GU2486" s="60"/>
      <c r="GV2486" s="60"/>
      <c r="GW2486" s="58"/>
      <c r="GX2486" s="61"/>
      <c r="GY2486" s="58"/>
      <c r="GZ2486" s="58"/>
      <c r="HA2486" s="58"/>
      <c r="HB2486" s="60"/>
      <c r="HC2486" s="60"/>
      <c r="HD2486" s="60"/>
      <c r="HE2486" s="58"/>
      <c r="HF2486" s="61"/>
      <c r="HG2486" s="58"/>
      <c r="HH2486" s="58"/>
      <c r="HI2486" s="58"/>
      <c r="HJ2486" s="60"/>
      <c r="HK2486" s="60"/>
      <c r="HL2486" s="60"/>
      <c r="HM2486" s="58"/>
      <c r="HN2486" s="61"/>
      <c r="HO2486" s="58"/>
      <c r="HP2486" s="58"/>
      <c r="HQ2486" s="58"/>
      <c r="HR2486" s="60"/>
      <c r="HS2486" s="60"/>
      <c r="HT2486" s="60"/>
      <c r="HU2486" s="58"/>
      <c r="HV2486" s="61"/>
      <c r="HW2486" s="58"/>
      <c r="HX2486" s="58"/>
      <c r="HY2486" s="58"/>
      <c r="HZ2486" s="60"/>
      <c r="IA2486" s="60"/>
      <c r="IB2486" s="60"/>
      <c r="IC2486" s="58"/>
      <c r="ID2486" s="61"/>
      <c r="IE2486" s="58"/>
      <c r="IF2486" s="58"/>
      <c r="IG2486" s="58"/>
      <c r="IH2486" s="60"/>
      <c r="II2486" s="60"/>
      <c r="IJ2486" s="60"/>
      <c r="IK2486" s="58"/>
      <c r="IL2486" s="61"/>
      <c r="IM2486" s="58"/>
      <c r="IN2486" s="58"/>
      <c r="IO2486" s="58"/>
      <c r="IP2486" s="60"/>
      <c r="IQ2486" s="60"/>
      <c r="IR2486" s="60"/>
      <c r="IS2486" s="58"/>
      <c r="IT2486" s="61"/>
      <c r="IU2486" s="58"/>
      <c r="IV2486" s="58"/>
      <c r="IW2486" s="58"/>
      <c r="IX2486" s="60"/>
      <c r="IY2486" s="60"/>
      <c r="IZ2486" s="60"/>
      <c r="JA2486" s="58"/>
      <c r="JB2486" s="61"/>
      <c r="JC2486" s="58"/>
      <c r="JD2486" s="58"/>
      <c r="JE2486" s="58"/>
      <c r="JF2486" s="60"/>
      <c r="JG2486" s="60"/>
      <c r="JH2486" s="60"/>
      <c r="JI2486" s="58"/>
      <c r="JJ2486" s="61"/>
      <c r="JK2486" s="58"/>
      <c r="JL2486" s="58"/>
      <c r="JM2486" s="58"/>
      <c r="JN2486" s="60"/>
      <c r="JO2486" s="60"/>
      <c r="JP2486" s="60"/>
      <c r="JQ2486" s="58"/>
      <c r="JR2486" s="61"/>
      <c r="JS2486" s="58"/>
      <c r="JT2486" s="58"/>
      <c r="JU2486" s="58"/>
      <c r="JV2486" s="60"/>
      <c r="JW2486" s="60"/>
      <c r="JX2486" s="60"/>
      <c r="JY2486" s="58"/>
      <c r="JZ2486" s="61"/>
      <c r="KA2486" s="58"/>
      <c r="KB2486" s="58"/>
      <c r="KC2486" s="58"/>
      <c r="KD2486" s="60"/>
      <c r="KE2486" s="60"/>
      <c r="KF2486" s="60"/>
      <c r="KG2486" s="58"/>
      <c r="KH2486" s="61"/>
      <c r="KI2486" s="58"/>
      <c r="KJ2486" s="58"/>
      <c r="KK2486" s="58"/>
      <c r="KL2486" s="60"/>
      <c r="KM2486" s="60"/>
      <c r="KN2486" s="60"/>
      <c r="KO2486" s="58"/>
      <c r="KP2486" s="61"/>
      <c r="KQ2486" s="58"/>
      <c r="KR2486" s="58"/>
      <c r="KS2486" s="58"/>
      <c r="KT2486" s="60"/>
      <c r="KU2486" s="60"/>
      <c r="KV2486" s="60"/>
      <c r="KW2486" s="58"/>
      <c r="KX2486" s="61"/>
      <c r="KY2486" s="58"/>
      <c r="KZ2486" s="58"/>
      <c r="LA2486" s="58"/>
      <c r="LB2486" s="60"/>
      <c r="LC2486" s="60"/>
      <c r="LD2486" s="60"/>
      <c r="LE2486" s="58"/>
      <c r="LF2486" s="61"/>
      <c r="LG2486" s="58"/>
      <c r="LH2486" s="58"/>
      <c r="LI2486" s="58"/>
      <c r="LJ2486" s="60"/>
      <c r="LK2486" s="60"/>
      <c r="LL2486" s="60"/>
      <c r="LM2486" s="58"/>
      <c r="LN2486" s="61"/>
      <c r="LO2486" s="58"/>
      <c r="LP2486" s="58"/>
      <c r="LQ2486" s="58"/>
      <c r="LR2486" s="60"/>
      <c r="LS2486" s="60"/>
      <c r="LT2486" s="60"/>
      <c r="LU2486" s="58"/>
      <c r="LV2486" s="61"/>
      <c r="LW2486" s="58"/>
      <c r="LX2486" s="58"/>
      <c r="LY2486" s="58"/>
      <c r="LZ2486" s="60"/>
      <c r="MA2486" s="60"/>
      <c r="MB2486" s="60"/>
      <c r="MC2486" s="58"/>
      <c r="MD2486" s="61"/>
      <c r="ME2486" s="58"/>
      <c r="MF2486" s="58"/>
      <c r="MG2486" s="58"/>
      <c r="MH2486" s="60"/>
      <c r="MI2486" s="60"/>
      <c r="MJ2486" s="60"/>
      <c r="MK2486" s="58"/>
      <c r="ML2486" s="61"/>
      <c r="MM2486" s="58"/>
      <c r="MN2486" s="58"/>
      <c r="MO2486" s="58"/>
      <c r="MP2486" s="60"/>
      <c r="MQ2486" s="60"/>
      <c r="MR2486" s="60"/>
      <c r="MS2486" s="58"/>
      <c r="MT2486" s="61"/>
      <c r="MU2486" s="58"/>
      <c r="MV2486" s="58"/>
      <c r="MW2486" s="58"/>
      <c r="MX2486" s="60"/>
      <c r="MY2486" s="60"/>
      <c r="MZ2486" s="60"/>
      <c r="NA2486" s="58"/>
      <c r="NB2486" s="61"/>
      <c r="NC2486" s="58"/>
      <c r="ND2486" s="58"/>
      <c r="NE2486" s="58"/>
      <c r="NF2486" s="60"/>
      <c r="NG2486" s="60"/>
      <c r="NH2486" s="60"/>
      <c r="NI2486" s="58"/>
      <c r="NJ2486" s="61"/>
      <c r="NK2486" s="58"/>
      <c r="NL2486" s="58"/>
      <c r="NM2486" s="58"/>
      <c r="NN2486" s="60"/>
      <c r="NO2486" s="60"/>
      <c r="NP2486" s="60"/>
      <c r="NQ2486" s="58"/>
      <c r="NR2486" s="61"/>
      <c r="NS2486" s="58"/>
      <c r="NT2486" s="58"/>
      <c r="NU2486" s="58"/>
      <c r="NV2486" s="60"/>
      <c r="NW2486" s="60"/>
      <c r="NX2486" s="60"/>
      <c r="NY2486" s="58"/>
      <c r="NZ2486" s="61"/>
      <c r="OA2486" s="58"/>
      <c r="OB2486" s="58"/>
      <c r="OC2486" s="58"/>
      <c r="OD2486" s="60"/>
      <c r="OE2486" s="60"/>
      <c r="OF2486" s="60"/>
      <c r="OG2486" s="58"/>
      <c r="OH2486" s="61"/>
      <c r="OI2486" s="58"/>
      <c r="OJ2486" s="58"/>
      <c r="OK2486" s="58"/>
      <c r="OL2486" s="60"/>
      <c r="OM2486" s="60"/>
      <c r="ON2486" s="60"/>
      <c r="OO2486" s="58"/>
      <c r="OP2486" s="61"/>
      <c r="OQ2486" s="58"/>
      <c r="OR2486" s="58"/>
      <c r="OS2486" s="58"/>
      <c r="OT2486" s="60"/>
      <c r="OU2486" s="60"/>
      <c r="OV2486" s="60"/>
      <c r="OW2486" s="58"/>
      <c r="OX2486" s="61"/>
      <c r="OY2486" s="58"/>
      <c r="OZ2486" s="58"/>
      <c r="PA2486" s="58"/>
      <c r="PB2486" s="60"/>
      <c r="PC2486" s="60"/>
      <c r="PD2486" s="60"/>
      <c r="PE2486" s="58"/>
      <c r="PF2486" s="61"/>
      <c r="PG2486" s="58"/>
      <c r="PH2486" s="58"/>
      <c r="PI2486" s="58"/>
      <c r="PJ2486" s="60"/>
      <c r="PK2486" s="60"/>
      <c r="PL2486" s="60"/>
      <c r="PM2486" s="58"/>
      <c r="PN2486" s="61"/>
      <c r="PO2486" s="58"/>
      <c r="PP2486" s="58"/>
      <c r="PQ2486" s="58"/>
      <c r="PR2486" s="60"/>
      <c r="PS2486" s="60"/>
      <c r="PT2486" s="60"/>
      <c r="PU2486" s="58"/>
      <c r="PV2486" s="61"/>
      <c r="PW2486" s="58"/>
      <c r="PX2486" s="58"/>
      <c r="PY2486" s="58"/>
      <c r="PZ2486" s="60"/>
      <c r="QA2486" s="60"/>
      <c r="QB2486" s="60"/>
      <c r="QC2486" s="58"/>
      <c r="QD2486" s="61"/>
      <c r="QE2486" s="58"/>
      <c r="QF2486" s="58"/>
      <c r="QG2486" s="58"/>
      <c r="QH2486" s="60"/>
      <c r="QI2486" s="60"/>
      <c r="QJ2486" s="60"/>
      <c r="QK2486" s="58"/>
      <c r="QL2486" s="61"/>
      <c r="QM2486" s="58"/>
      <c r="QN2486" s="58"/>
      <c r="QO2486" s="58"/>
      <c r="QP2486" s="60"/>
      <c r="QQ2486" s="60"/>
      <c r="QR2486" s="60"/>
      <c r="QS2486" s="58"/>
      <c r="QT2486" s="61"/>
      <c r="QU2486" s="58"/>
      <c r="QV2486" s="58"/>
      <c r="QW2486" s="58"/>
      <c r="QX2486" s="60"/>
      <c r="QY2486" s="60"/>
      <c r="QZ2486" s="60"/>
      <c r="RA2486" s="58"/>
      <c r="RB2486" s="61"/>
      <c r="RC2486" s="58"/>
      <c r="RD2486" s="58"/>
      <c r="RE2486" s="58"/>
      <c r="RF2486" s="60"/>
      <c r="RG2486" s="60"/>
      <c r="RH2486" s="60"/>
      <c r="RI2486" s="58"/>
      <c r="RJ2486" s="61"/>
      <c r="RK2486" s="58"/>
      <c r="RL2486" s="58"/>
      <c r="RM2486" s="58"/>
      <c r="RN2486" s="60"/>
      <c r="RO2486" s="60"/>
      <c r="RP2486" s="60"/>
      <c r="RQ2486" s="58"/>
      <c r="RR2486" s="61"/>
      <c r="RS2486" s="58"/>
      <c r="RT2486" s="58"/>
      <c r="RU2486" s="58"/>
      <c r="RV2486" s="60"/>
      <c r="RW2486" s="60"/>
      <c r="RX2486" s="60"/>
      <c r="RY2486" s="58"/>
      <c r="RZ2486" s="61"/>
      <c r="SA2486" s="58"/>
      <c r="SB2486" s="58"/>
      <c r="SC2486" s="58"/>
      <c r="SD2486" s="60"/>
      <c r="SE2486" s="60"/>
      <c r="SF2486" s="60"/>
      <c r="SG2486" s="58"/>
      <c r="SH2486" s="61"/>
      <c r="SI2486" s="58"/>
      <c r="SJ2486" s="58"/>
      <c r="SK2486" s="58"/>
      <c r="SL2486" s="60"/>
      <c r="SM2486" s="60"/>
      <c r="SN2486" s="60"/>
      <c r="SO2486" s="58"/>
      <c r="SP2486" s="61"/>
      <c r="SQ2486" s="58"/>
      <c r="SR2486" s="58"/>
      <c r="SS2486" s="58"/>
      <c r="ST2486" s="60"/>
      <c r="SU2486" s="60"/>
      <c r="SV2486" s="60"/>
      <c r="SW2486" s="58"/>
      <c r="SX2486" s="61"/>
      <c r="SY2486" s="58"/>
      <c r="SZ2486" s="58"/>
      <c r="TA2486" s="58"/>
      <c r="TB2486" s="60"/>
      <c r="TC2486" s="60"/>
      <c r="TD2486" s="60"/>
      <c r="TE2486" s="58"/>
      <c r="TF2486" s="61"/>
      <c r="TG2486" s="58"/>
      <c r="TH2486" s="58"/>
      <c r="TI2486" s="58"/>
      <c r="TJ2486" s="60"/>
      <c r="TK2486" s="60"/>
      <c r="TL2486" s="60"/>
      <c r="TM2486" s="58"/>
      <c r="TN2486" s="61"/>
      <c r="TO2486" s="58"/>
      <c r="TP2486" s="58"/>
      <c r="TQ2486" s="58"/>
      <c r="TR2486" s="60"/>
      <c r="TS2486" s="60"/>
      <c r="TT2486" s="60"/>
      <c r="TU2486" s="58"/>
      <c r="TV2486" s="61"/>
      <c r="TW2486" s="58"/>
      <c r="TX2486" s="58"/>
      <c r="TY2486" s="58"/>
      <c r="TZ2486" s="60"/>
      <c r="UA2486" s="60"/>
      <c r="UB2486" s="60"/>
      <c r="UC2486" s="58"/>
      <c r="UD2486" s="61"/>
      <c r="UE2486" s="58"/>
      <c r="UF2486" s="58"/>
      <c r="UG2486" s="58"/>
      <c r="UH2486" s="60"/>
      <c r="UI2486" s="60"/>
      <c r="UJ2486" s="60"/>
      <c r="UK2486" s="58"/>
      <c r="UL2486" s="61"/>
      <c r="UM2486" s="58"/>
      <c r="UN2486" s="58"/>
      <c r="UO2486" s="58"/>
      <c r="UP2486" s="60"/>
      <c r="UQ2486" s="60"/>
      <c r="UR2486" s="60"/>
      <c r="US2486" s="58"/>
      <c r="UT2486" s="61"/>
      <c r="UU2486" s="58"/>
      <c r="UV2486" s="58"/>
      <c r="UW2486" s="58"/>
      <c r="UX2486" s="60"/>
      <c r="UY2486" s="60"/>
      <c r="UZ2486" s="60"/>
      <c r="VA2486" s="58"/>
      <c r="VB2486" s="61"/>
      <c r="VC2486" s="58"/>
      <c r="VD2486" s="58"/>
      <c r="VE2486" s="58"/>
      <c r="VF2486" s="60"/>
      <c r="VG2486" s="60"/>
      <c r="VH2486" s="60"/>
      <c r="VI2486" s="58"/>
      <c r="VJ2486" s="61"/>
      <c r="VK2486" s="58"/>
      <c r="VL2486" s="58"/>
      <c r="VM2486" s="58"/>
      <c r="VN2486" s="60"/>
      <c r="VO2486" s="60"/>
      <c r="VP2486" s="60"/>
      <c r="VQ2486" s="58"/>
      <c r="VR2486" s="61"/>
      <c r="VS2486" s="58"/>
      <c r="VT2486" s="58"/>
      <c r="VU2486" s="58"/>
      <c r="VV2486" s="60"/>
      <c r="VW2486" s="60"/>
      <c r="VX2486" s="60"/>
      <c r="VY2486" s="58"/>
      <c r="VZ2486" s="61"/>
      <c r="WA2486" s="58"/>
      <c r="WB2486" s="58"/>
      <c r="WC2486" s="58"/>
      <c r="WD2486" s="60"/>
      <c r="WE2486" s="60"/>
      <c r="WF2486" s="60"/>
      <c r="WG2486" s="58"/>
      <c r="WH2486" s="61"/>
      <c r="WI2486" s="58"/>
      <c r="WJ2486" s="58"/>
      <c r="WK2486" s="58"/>
      <c r="WL2486" s="60"/>
      <c r="WM2486" s="60"/>
      <c r="WN2486" s="60"/>
      <c r="WO2486" s="58"/>
      <c r="WP2486" s="61"/>
      <c r="WQ2486" s="58"/>
      <c r="WR2486" s="58"/>
      <c r="WS2486" s="58"/>
      <c r="WT2486" s="60"/>
      <c r="WU2486" s="60"/>
      <c r="WV2486" s="60"/>
      <c r="WW2486" s="58"/>
      <c r="WX2486" s="61"/>
      <c r="WY2486" s="58"/>
      <c r="WZ2486" s="58"/>
      <c r="XA2486" s="58"/>
      <c r="XB2486" s="60"/>
      <c r="XC2486" s="60"/>
      <c r="XD2486" s="60"/>
      <c r="XE2486" s="58"/>
      <c r="XF2486" s="61"/>
      <c r="XG2486" s="58"/>
      <c r="XH2486" s="58"/>
      <c r="XI2486" s="58"/>
      <c r="XJ2486" s="60"/>
      <c r="XK2486" s="60"/>
      <c r="XL2486" s="60"/>
      <c r="XM2486" s="58"/>
      <c r="XN2486" s="61"/>
      <c r="XO2486" s="58"/>
      <c r="XP2486" s="58"/>
      <c r="XQ2486" s="58"/>
      <c r="XR2486" s="60"/>
      <c r="XS2486" s="60"/>
      <c r="XT2486" s="60"/>
      <c r="XU2486" s="58"/>
      <c r="XV2486" s="61"/>
      <c r="XW2486" s="58"/>
      <c r="XX2486" s="58"/>
      <c r="XY2486" s="58"/>
      <c r="XZ2486" s="60"/>
      <c r="YA2486" s="60"/>
      <c r="YB2486" s="60"/>
      <c r="YC2486" s="58"/>
      <c r="YD2486" s="61"/>
      <c r="YE2486" s="58"/>
      <c r="YF2486" s="58"/>
      <c r="YG2486" s="58"/>
      <c r="YH2486" s="60"/>
      <c r="YI2486" s="60"/>
      <c r="YJ2486" s="60"/>
      <c r="YK2486" s="58"/>
      <c r="YL2486" s="61"/>
      <c r="YM2486" s="58"/>
      <c r="YN2486" s="58"/>
      <c r="YO2486" s="58"/>
      <c r="YP2486" s="60"/>
      <c r="YQ2486" s="60"/>
      <c r="YR2486" s="60"/>
      <c r="YS2486" s="58"/>
      <c r="YT2486" s="61"/>
      <c r="YU2486" s="58"/>
      <c r="YV2486" s="58"/>
      <c r="YW2486" s="58"/>
      <c r="YX2486" s="60"/>
      <c r="YY2486" s="60"/>
      <c r="YZ2486" s="60"/>
      <c r="ZA2486" s="58"/>
      <c r="ZB2486" s="61"/>
      <c r="ZC2486" s="58"/>
      <c r="ZD2486" s="58"/>
      <c r="ZE2486" s="58"/>
      <c r="ZF2486" s="60"/>
      <c r="ZG2486" s="60"/>
      <c r="ZH2486" s="60"/>
      <c r="ZI2486" s="58"/>
      <c r="ZJ2486" s="61"/>
      <c r="ZK2486" s="58"/>
      <c r="ZL2486" s="58"/>
      <c r="ZM2486" s="58"/>
      <c r="ZN2486" s="60"/>
      <c r="ZO2486" s="60"/>
      <c r="ZP2486" s="60"/>
      <c r="ZQ2486" s="58"/>
      <c r="ZR2486" s="61"/>
      <c r="ZS2486" s="58"/>
      <c r="ZT2486" s="58"/>
      <c r="ZU2486" s="58"/>
      <c r="ZV2486" s="60"/>
      <c r="ZW2486" s="60"/>
      <c r="ZX2486" s="60"/>
      <c r="ZY2486" s="58"/>
      <c r="ZZ2486" s="61"/>
      <c r="AAA2486" s="58"/>
      <c r="AAB2486" s="58"/>
      <c r="AAC2486" s="58"/>
      <c r="AAD2486" s="60"/>
      <c r="AAE2486" s="60"/>
      <c r="AAF2486" s="60"/>
      <c r="AAG2486" s="58"/>
      <c r="AAH2486" s="61"/>
      <c r="AAI2486" s="58"/>
      <c r="AAJ2486" s="58"/>
      <c r="AAK2486" s="58"/>
      <c r="AAL2486" s="60"/>
      <c r="AAM2486" s="60"/>
      <c r="AAN2486" s="60"/>
      <c r="AAO2486" s="58"/>
      <c r="AAP2486" s="61"/>
      <c r="AAQ2486" s="58"/>
      <c r="AAR2486" s="58"/>
      <c r="AAS2486" s="58"/>
      <c r="AAT2486" s="60"/>
      <c r="AAU2486" s="60"/>
      <c r="AAV2486" s="60"/>
      <c r="AAW2486" s="58"/>
      <c r="AAX2486" s="61"/>
      <c r="AAY2486" s="58"/>
      <c r="AAZ2486" s="58"/>
      <c r="ABA2486" s="58"/>
      <c r="ABB2486" s="60"/>
      <c r="ABC2486" s="60"/>
      <c r="ABD2486" s="60"/>
      <c r="ABE2486" s="58"/>
      <c r="ABF2486" s="61"/>
      <c r="ABG2486" s="58"/>
      <c r="ABH2486" s="58"/>
      <c r="ABI2486" s="58"/>
      <c r="ABJ2486" s="60"/>
      <c r="ABK2486" s="60"/>
      <c r="ABL2486" s="60"/>
      <c r="ABM2486" s="58"/>
      <c r="ABN2486" s="61"/>
      <c r="ABO2486" s="58"/>
      <c r="ABP2486" s="58"/>
      <c r="ABQ2486" s="58"/>
      <c r="ABR2486" s="60"/>
      <c r="ABS2486" s="60"/>
      <c r="ABT2486" s="60"/>
      <c r="ABU2486" s="58"/>
      <c r="ABV2486" s="61"/>
      <c r="ABW2486" s="58"/>
      <c r="ABX2486" s="58"/>
      <c r="ABY2486" s="58"/>
      <c r="ABZ2486" s="60"/>
      <c r="ACA2486" s="60"/>
      <c r="ACB2486" s="60"/>
      <c r="ACC2486" s="58"/>
      <c r="ACD2486" s="61"/>
      <c r="ACE2486" s="58"/>
      <c r="ACF2486" s="58"/>
      <c r="ACG2486" s="58"/>
      <c r="ACH2486" s="60"/>
      <c r="ACI2486" s="60"/>
      <c r="ACJ2486" s="60"/>
      <c r="ACK2486" s="58"/>
      <c r="ACL2486" s="61"/>
      <c r="ACM2486" s="58"/>
      <c r="ACN2486" s="58"/>
      <c r="ACO2486" s="58"/>
      <c r="ACP2486" s="60"/>
      <c r="ACQ2486" s="60"/>
      <c r="ACR2486" s="60"/>
      <c r="ACS2486" s="58"/>
      <c r="ACT2486" s="61"/>
      <c r="ACU2486" s="58"/>
      <c r="ACV2486" s="58"/>
      <c r="ACW2486" s="58"/>
      <c r="ACX2486" s="60"/>
      <c r="ACY2486" s="60"/>
      <c r="ACZ2486" s="60"/>
      <c r="ADA2486" s="58"/>
      <c r="ADB2486" s="61"/>
      <c r="ADC2486" s="58"/>
      <c r="ADD2486" s="58"/>
      <c r="ADE2486" s="58"/>
      <c r="ADF2486" s="60"/>
      <c r="ADG2486" s="60"/>
      <c r="ADH2486" s="60"/>
      <c r="ADI2486" s="58"/>
      <c r="ADJ2486" s="61"/>
      <c r="ADK2486" s="58"/>
      <c r="ADL2486" s="58"/>
      <c r="ADM2486" s="58"/>
      <c r="ADN2486" s="60"/>
      <c r="ADO2486" s="60"/>
      <c r="ADP2486" s="60"/>
      <c r="ADQ2486" s="58"/>
      <c r="ADR2486" s="61"/>
      <c r="ADS2486" s="58"/>
      <c r="ADT2486" s="58"/>
      <c r="ADU2486" s="58"/>
      <c r="ADV2486" s="60"/>
      <c r="ADW2486" s="60"/>
      <c r="ADX2486" s="60"/>
      <c r="ADY2486" s="58"/>
      <c r="ADZ2486" s="61"/>
      <c r="AEA2486" s="58"/>
      <c r="AEB2486" s="58"/>
      <c r="AEC2486" s="58"/>
      <c r="AED2486" s="60"/>
      <c r="AEE2486" s="60"/>
      <c r="AEF2486" s="60"/>
      <c r="AEG2486" s="58"/>
      <c r="AEH2486" s="61"/>
      <c r="AEI2486" s="58"/>
      <c r="AEJ2486" s="58"/>
      <c r="AEK2486" s="58"/>
      <c r="AEL2486" s="60"/>
      <c r="AEM2486" s="60"/>
      <c r="AEN2486" s="60"/>
      <c r="AEO2486" s="58"/>
      <c r="AEP2486" s="61"/>
      <c r="AEQ2486" s="58"/>
      <c r="AER2486" s="58"/>
      <c r="AES2486" s="58"/>
      <c r="AET2486" s="60"/>
      <c r="AEU2486" s="60"/>
      <c r="AEV2486" s="60"/>
      <c r="AEW2486" s="58"/>
      <c r="AEX2486" s="61"/>
      <c r="AEY2486" s="58"/>
      <c r="AEZ2486" s="58"/>
      <c r="AFA2486" s="58"/>
      <c r="AFB2486" s="60"/>
      <c r="AFC2486" s="60"/>
      <c r="AFD2486" s="60"/>
      <c r="AFE2486" s="58"/>
      <c r="AFF2486" s="61"/>
      <c r="AFG2486" s="58"/>
      <c r="AFH2486" s="58"/>
      <c r="AFI2486" s="58"/>
      <c r="AFJ2486" s="60"/>
      <c r="AFK2486" s="60"/>
      <c r="AFL2486" s="60"/>
      <c r="AFM2486" s="58"/>
      <c r="AFN2486" s="61"/>
      <c r="AFO2486" s="58"/>
      <c r="AFP2486" s="58"/>
      <c r="AFQ2486" s="58"/>
      <c r="AFR2486" s="60"/>
      <c r="AFS2486" s="60"/>
      <c r="AFT2486" s="60"/>
      <c r="AFU2486" s="58"/>
      <c r="AFV2486" s="61"/>
      <c r="AFW2486" s="58"/>
      <c r="AFX2486" s="58"/>
      <c r="AFY2486" s="58"/>
      <c r="AFZ2486" s="60"/>
      <c r="AGA2486" s="60"/>
      <c r="AGB2486" s="60"/>
      <c r="AGC2486" s="58"/>
      <c r="AGD2486" s="61"/>
      <c r="AGE2486" s="58"/>
      <c r="AGF2486" s="58"/>
      <c r="AGG2486" s="58"/>
      <c r="AGH2486" s="60"/>
      <c r="AGI2486" s="60"/>
      <c r="AGJ2486" s="60"/>
      <c r="AGK2486" s="58"/>
      <c r="AGL2486" s="61"/>
      <c r="AGM2486" s="58"/>
      <c r="AGN2486" s="58"/>
      <c r="AGO2486" s="58"/>
      <c r="AGP2486" s="60"/>
      <c r="AGQ2486" s="60"/>
      <c r="AGR2486" s="60"/>
      <c r="AGS2486" s="58"/>
      <c r="AGT2486" s="61"/>
      <c r="AGU2486" s="58"/>
      <c r="AGV2486" s="58"/>
      <c r="AGW2486" s="58"/>
      <c r="AGX2486" s="60"/>
      <c r="AGY2486" s="60"/>
      <c r="AGZ2486" s="60"/>
      <c r="AHA2486" s="58"/>
      <c r="AHB2486" s="61"/>
      <c r="AHC2486" s="58"/>
      <c r="AHD2486" s="58"/>
      <c r="AHE2486" s="58"/>
      <c r="AHF2486" s="60"/>
      <c r="AHG2486" s="60"/>
      <c r="AHH2486" s="60"/>
      <c r="AHI2486" s="58"/>
      <c r="AHJ2486" s="61"/>
      <c r="AHK2486" s="58"/>
      <c r="AHL2486" s="58"/>
      <c r="AHM2486" s="58"/>
      <c r="AHN2486" s="60"/>
      <c r="AHO2486" s="60"/>
      <c r="AHP2486" s="60"/>
      <c r="AHQ2486" s="58"/>
      <c r="AHR2486" s="61"/>
      <c r="AHS2486" s="58"/>
      <c r="AHT2486" s="58"/>
      <c r="AHU2486" s="58"/>
      <c r="AHV2486" s="60"/>
      <c r="AHW2486" s="60"/>
      <c r="AHX2486" s="60"/>
      <c r="AHY2486" s="58"/>
      <c r="AHZ2486" s="61"/>
      <c r="AIA2486" s="58"/>
      <c r="AIB2486" s="58"/>
      <c r="AIC2486" s="58"/>
      <c r="AID2486" s="60"/>
      <c r="AIE2486" s="60"/>
      <c r="AIF2486" s="60"/>
      <c r="AIG2486" s="58"/>
      <c r="AIH2486" s="61"/>
      <c r="AII2486" s="58"/>
      <c r="AIJ2486" s="58"/>
      <c r="AIK2486" s="58"/>
      <c r="AIL2486" s="60"/>
      <c r="AIM2486" s="60"/>
      <c r="AIN2486" s="60"/>
      <c r="AIO2486" s="58"/>
      <c r="AIP2486" s="61"/>
      <c r="AIQ2486" s="58"/>
      <c r="AIR2486" s="58"/>
      <c r="AIS2486" s="58"/>
      <c r="AIT2486" s="60"/>
      <c r="AIU2486" s="60"/>
      <c r="AIV2486" s="60"/>
      <c r="AIW2486" s="58"/>
      <c r="AIX2486" s="61"/>
      <c r="AIY2486" s="58"/>
      <c r="AIZ2486" s="58"/>
      <c r="AJA2486" s="58"/>
      <c r="AJB2486" s="60"/>
      <c r="AJC2486" s="60"/>
      <c r="AJD2486" s="60"/>
      <c r="AJE2486" s="58"/>
      <c r="AJF2486" s="61"/>
      <c r="AJG2486" s="58"/>
      <c r="AJH2486" s="58"/>
      <c r="AJI2486" s="58"/>
      <c r="AJJ2486" s="60"/>
      <c r="AJK2486" s="60"/>
      <c r="AJL2486" s="60"/>
      <c r="AJM2486" s="58"/>
      <c r="AJN2486" s="61"/>
      <c r="AJO2486" s="58"/>
      <c r="AJP2486" s="58"/>
      <c r="AJQ2486" s="58"/>
      <c r="AJR2486" s="60"/>
      <c r="AJS2486" s="60"/>
      <c r="AJT2486" s="60"/>
      <c r="AJU2486" s="58"/>
      <c r="AJV2486" s="61"/>
      <c r="AJW2486" s="58"/>
      <c r="AJX2486" s="58"/>
      <c r="AJY2486" s="58"/>
      <c r="AJZ2486" s="60"/>
      <c r="AKA2486" s="60"/>
      <c r="AKB2486" s="60"/>
      <c r="AKC2486" s="58"/>
      <c r="AKD2486" s="61"/>
      <c r="AKE2486" s="58"/>
      <c r="AKF2486" s="58"/>
      <c r="AKG2486" s="58"/>
      <c r="AKH2486" s="60"/>
      <c r="AKI2486" s="60"/>
      <c r="AKJ2486" s="60"/>
      <c r="AKK2486" s="58"/>
      <c r="AKL2486" s="61"/>
      <c r="AKM2486" s="58"/>
      <c r="AKN2486" s="58"/>
      <c r="AKO2486" s="58"/>
      <c r="AKP2486" s="60"/>
      <c r="AKQ2486" s="60"/>
      <c r="AKR2486" s="60"/>
      <c r="AKS2486" s="58"/>
      <c r="AKT2486" s="61"/>
      <c r="AKU2486" s="58"/>
      <c r="AKV2486" s="58"/>
      <c r="AKW2486" s="58"/>
      <c r="AKX2486" s="60"/>
      <c r="AKY2486" s="60"/>
      <c r="AKZ2486" s="60"/>
      <c r="ALA2486" s="58"/>
      <c r="ALB2486" s="61"/>
      <c r="ALC2486" s="58"/>
      <c r="ALD2486" s="58"/>
      <c r="ALE2486" s="58"/>
      <c r="ALF2486" s="60"/>
      <c r="ALG2486" s="60"/>
      <c r="ALH2486" s="60"/>
      <c r="ALI2486" s="58"/>
      <c r="ALJ2486" s="61"/>
      <c r="ALK2486" s="58"/>
      <c r="ALL2486" s="58"/>
      <c r="ALM2486" s="58"/>
      <c r="ALN2486" s="60"/>
      <c r="ALO2486" s="60"/>
      <c r="ALP2486" s="60"/>
      <c r="ALQ2486" s="58"/>
      <c r="ALR2486" s="61"/>
      <c r="ALS2486" s="58"/>
      <c r="ALT2486" s="58"/>
      <c r="ALU2486" s="58"/>
      <c r="ALV2486" s="60"/>
      <c r="ALW2486" s="60"/>
      <c r="ALX2486" s="60"/>
      <c r="ALY2486" s="58"/>
      <c r="ALZ2486" s="61"/>
      <c r="AMA2486" s="58"/>
      <c r="AMB2486" s="58"/>
      <c r="AMC2486" s="58"/>
      <c r="AMD2486" s="60"/>
      <c r="AME2486" s="60"/>
      <c r="AMF2486" s="60"/>
      <c r="AMG2486" s="58"/>
      <c r="AMH2486" s="61"/>
      <c r="AMI2486" s="58"/>
      <c r="AMJ2486" s="58"/>
      <c r="AMK2486" s="58"/>
      <c r="AML2486" s="60"/>
      <c r="AMM2486" s="60"/>
      <c r="AMN2486" s="60"/>
      <c r="AMO2486" s="58"/>
      <c r="AMP2486" s="61"/>
      <c r="AMQ2486" s="58"/>
      <c r="AMR2486" s="58"/>
      <c r="AMS2486" s="58"/>
      <c r="AMT2486" s="60"/>
      <c r="AMU2486" s="60"/>
      <c r="AMV2486" s="60"/>
      <c r="AMW2486" s="58"/>
      <c r="AMX2486" s="61"/>
      <c r="AMY2486" s="58"/>
      <c r="AMZ2486" s="58"/>
      <c r="ANA2486" s="58"/>
      <c r="ANB2486" s="60"/>
      <c r="ANC2486" s="60"/>
      <c r="AND2486" s="60"/>
      <c r="ANE2486" s="58"/>
      <c r="ANF2486" s="61"/>
      <c r="ANG2486" s="58"/>
      <c r="ANH2486" s="58"/>
      <c r="ANI2486" s="58"/>
      <c r="ANJ2486" s="60"/>
      <c r="ANK2486" s="60"/>
      <c r="ANL2486" s="60"/>
      <c r="ANM2486" s="58"/>
      <c r="ANN2486" s="61"/>
      <c r="ANO2486" s="58"/>
      <c r="ANP2486" s="58"/>
      <c r="ANQ2486" s="58"/>
      <c r="ANR2486" s="60"/>
      <c r="ANS2486" s="60"/>
      <c r="ANT2486" s="60"/>
      <c r="ANU2486" s="58"/>
      <c r="ANV2486" s="61"/>
      <c r="ANW2486" s="58"/>
      <c r="ANX2486" s="58"/>
      <c r="ANY2486" s="58"/>
      <c r="ANZ2486" s="60"/>
      <c r="AOA2486" s="60"/>
      <c r="AOB2486" s="60"/>
      <c r="AOC2486" s="58"/>
      <c r="AOD2486" s="61"/>
      <c r="AOE2486" s="58"/>
      <c r="AOF2486" s="58"/>
      <c r="AOG2486" s="58"/>
      <c r="AOH2486" s="60"/>
      <c r="AOI2486" s="60"/>
      <c r="AOJ2486" s="60"/>
      <c r="AOK2486" s="58"/>
      <c r="AOL2486" s="61"/>
      <c r="AOM2486" s="58"/>
      <c r="AON2486" s="58"/>
      <c r="AOO2486" s="58"/>
      <c r="AOP2486" s="60"/>
      <c r="AOQ2486" s="60"/>
      <c r="AOR2486" s="60"/>
      <c r="AOS2486" s="58"/>
      <c r="AOT2486" s="61"/>
      <c r="AOU2486" s="58"/>
      <c r="AOV2486" s="58"/>
      <c r="AOW2486" s="58"/>
      <c r="AOX2486" s="60"/>
      <c r="AOY2486" s="60"/>
      <c r="AOZ2486" s="60"/>
      <c r="APA2486" s="58"/>
      <c r="APB2486" s="61"/>
      <c r="APC2486" s="58"/>
      <c r="APD2486" s="58"/>
      <c r="APE2486" s="58"/>
      <c r="APF2486" s="60"/>
      <c r="APG2486" s="60"/>
      <c r="APH2486" s="60"/>
      <c r="API2486" s="58"/>
      <c r="APJ2486" s="61"/>
      <c r="APK2486" s="58"/>
      <c r="APL2486" s="58"/>
      <c r="APM2486" s="58"/>
      <c r="APN2486" s="60"/>
      <c r="APO2486" s="60"/>
      <c r="APP2486" s="60"/>
      <c r="APQ2486" s="58"/>
      <c r="APR2486" s="61"/>
      <c r="APS2486" s="58"/>
      <c r="APT2486" s="58"/>
      <c r="APU2486" s="58"/>
      <c r="APV2486" s="60"/>
      <c r="APW2486" s="60"/>
      <c r="APX2486" s="60"/>
      <c r="APY2486" s="58"/>
      <c r="APZ2486" s="61"/>
      <c r="AQA2486" s="58"/>
      <c r="AQB2486" s="58"/>
      <c r="AQC2486" s="58"/>
      <c r="AQD2486" s="60"/>
      <c r="AQE2486" s="60"/>
      <c r="AQF2486" s="60"/>
      <c r="AQG2486" s="58"/>
      <c r="AQH2486" s="61"/>
      <c r="AQI2486" s="58"/>
      <c r="AQJ2486" s="58"/>
      <c r="AQK2486" s="58"/>
      <c r="AQL2486" s="60"/>
      <c r="AQM2486" s="60"/>
      <c r="AQN2486" s="60"/>
      <c r="AQO2486" s="58"/>
      <c r="AQP2486" s="61"/>
      <c r="AQQ2486" s="58"/>
      <c r="AQR2486" s="58"/>
      <c r="AQS2486" s="58"/>
      <c r="AQT2486" s="60"/>
      <c r="AQU2486" s="60"/>
      <c r="AQV2486" s="60"/>
      <c r="AQW2486" s="58"/>
      <c r="AQX2486" s="61"/>
      <c r="AQY2486" s="58"/>
      <c r="AQZ2486" s="58"/>
      <c r="ARA2486" s="58"/>
      <c r="ARB2486" s="60"/>
      <c r="ARC2486" s="60"/>
      <c r="ARD2486" s="60"/>
      <c r="ARE2486" s="58"/>
      <c r="ARF2486" s="61"/>
      <c r="ARG2486" s="58"/>
      <c r="ARH2486" s="58"/>
      <c r="ARI2486" s="58"/>
      <c r="ARJ2486" s="60"/>
      <c r="ARK2486" s="60"/>
      <c r="ARL2486" s="60"/>
      <c r="ARM2486" s="58"/>
      <c r="ARN2486" s="61"/>
      <c r="ARO2486" s="58"/>
      <c r="ARP2486" s="58"/>
      <c r="ARQ2486" s="58"/>
      <c r="ARR2486" s="60"/>
      <c r="ARS2486" s="60"/>
      <c r="ART2486" s="60"/>
      <c r="ARU2486" s="58"/>
      <c r="ARV2486" s="61"/>
      <c r="ARW2486" s="58"/>
      <c r="ARX2486" s="58"/>
      <c r="ARY2486" s="58"/>
      <c r="ARZ2486" s="60"/>
      <c r="ASA2486" s="60"/>
      <c r="ASB2486" s="60"/>
      <c r="ASC2486" s="58"/>
      <c r="ASD2486" s="61"/>
      <c r="ASE2486" s="58"/>
      <c r="ASF2486" s="58"/>
      <c r="ASG2486" s="58"/>
      <c r="ASH2486" s="60"/>
      <c r="ASI2486" s="60"/>
      <c r="ASJ2486" s="60"/>
      <c r="ASK2486" s="58"/>
      <c r="ASL2486" s="61"/>
      <c r="ASM2486" s="58"/>
      <c r="ASN2486" s="58"/>
      <c r="ASO2486" s="58"/>
      <c r="ASP2486" s="60"/>
      <c r="ASQ2486" s="60"/>
      <c r="ASR2486" s="60"/>
      <c r="ASS2486" s="58"/>
      <c r="AST2486" s="61"/>
      <c r="ASU2486" s="58"/>
      <c r="ASV2486" s="58"/>
      <c r="ASW2486" s="58"/>
      <c r="ASX2486" s="60"/>
      <c r="ASY2486" s="60"/>
      <c r="ASZ2486" s="60"/>
      <c r="ATA2486" s="58"/>
      <c r="ATB2486" s="61"/>
      <c r="ATC2486" s="58"/>
      <c r="ATD2486" s="58"/>
      <c r="ATE2486" s="58"/>
      <c r="ATF2486" s="60"/>
      <c r="ATG2486" s="60"/>
      <c r="ATH2486" s="60"/>
      <c r="ATI2486" s="58"/>
      <c r="ATJ2486" s="61"/>
      <c r="ATK2486" s="58"/>
      <c r="ATL2486" s="58"/>
      <c r="ATM2486" s="58"/>
      <c r="ATN2486" s="60"/>
      <c r="ATO2486" s="60"/>
      <c r="ATP2486" s="60"/>
      <c r="ATQ2486" s="58"/>
      <c r="ATR2486" s="61"/>
      <c r="ATS2486" s="58"/>
      <c r="ATT2486" s="58"/>
      <c r="ATU2486" s="58"/>
      <c r="ATV2486" s="60"/>
      <c r="ATW2486" s="60"/>
      <c r="ATX2486" s="60"/>
      <c r="ATY2486" s="58"/>
      <c r="ATZ2486" s="61"/>
      <c r="AUA2486" s="58"/>
      <c r="AUB2486" s="58"/>
      <c r="AUC2486" s="58"/>
      <c r="AUD2486" s="60"/>
      <c r="AUE2486" s="60"/>
      <c r="AUF2486" s="60"/>
      <c r="AUG2486" s="58"/>
      <c r="AUH2486" s="61"/>
      <c r="AUI2486" s="58"/>
      <c r="AUJ2486" s="58"/>
      <c r="AUK2486" s="58"/>
      <c r="AUL2486" s="60"/>
      <c r="AUM2486" s="60"/>
      <c r="AUN2486" s="60"/>
      <c r="AUO2486" s="58"/>
      <c r="AUP2486" s="61"/>
      <c r="AUQ2486" s="58"/>
      <c r="AUR2486" s="58"/>
      <c r="AUS2486" s="58"/>
      <c r="AUT2486" s="60"/>
      <c r="AUU2486" s="60"/>
      <c r="AUV2486" s="60"/>
      <c r="AUW2486" s="58"/>
      <c r="AUX2486" s="61"/>
      <c r="AUY2486" s="58"/>
      <c r="AUZ2486" s="58"/>
      <c r="AVA2486" s="58"/>
      <c r="AVB2486" s="60"/>
      <c r="AVC2486" s="60"/>
      <c r="AVD2486" s="60"/>
      <c r="AVE2486" s="58"/>
      <c r="AVF2486" s="61"/>
      <c r="AVG2486" s="58"/>
      <c r="AVH2486" s="58"/>
      <c r="AVI2486" s="58"/>
      <c r="AVJ2486" s="60"/>
      <c r="AVK2486" s="60"/>
      <c r="AVL2486" s="60"/>
      <c r="AVM2486" s="58"/>
      <c r="AVN2486" s="61"/>
      <c r="AVO2486" s="58"/>
      <c r="AVP2486" s="58"/>
      <c r="AVQ2486" s="58"/>
      <c r="AVR2486" s="60"/>
      <c r="AVS2486" s="60"/>
      <c r="AVT2486" s="60"/>
      <c r="AVU2486" s="58"/>
      <c r="AVV2486" s="61"/>
      <c r="AVW2486" s="58"/>
      <c r="AVX2486" s="58"/>
      <c r="AVY2486" s="58"/>
      <c r="AVZ2486" s="60"/>
      <c r="AWA2486" s="60"/>
      <c r="AWB2486" s="60"/>
      <c r="AWC2486" s="58"/>
      <c r="AWD2486" s="61"/>
      <c r="AWE2486" s="58"/>
      <c r="AWF2486" s="58"/>
      <c r="AWG2486" s="58"/>
      <c r="AWH2486" s="60"/>
      <c r="AWI2486" s="60"/>
      <c r="AWJ2486" s="60"/>
      <c r="AWK2486" s="58"/>
      <c r="AWL2486" s="61"/>
      <c r="AWM2486" s="58"/>
      <c r="AWN2486" s="58"/>
      <c r="AWO2486" s="58"/>
      <c r="AWP2486" s="60"/>
      <c r="AWQ2486" s="60"/>
      <c r="AWR2486" s="60"/>
      <c r="AWS2486" s="58"/>
      <c r="AWT2486" s="61"/>
      <c r="AWU2486" s="58"/>
      <c r="AWV2486" s="58"/>
      <c r="AWW2486" s="58"/>
      <c r="AWX2486" s="60"/>
      <c r="AWY2486" s="60"/>
      <c r="AWZ2486" s="60"/>
      <c r="AXA2486" s="58"/>
      <c r="AXB2486" s="61"/>
      <c r="AXC2486" s="58"/>
      <c r="AXD2486" s="58"/>
      <c r="AXE2486" s="58"/>
      <c r="AXF2486" s="60"/>
      <c r="AXG2486" s="60"/>
      <c r="AXH2486" s="60"/>
      <c r="AXI2486" s="58"/>
      <c r="AXJ2486" s="61"/>
      <c r="AXK2486" s="58"/>
      <c r="AXL2486" s="58"/>
      <c r="AXM2486" s="58"/>
      <c r="AXN2486" s="60"/>
      <c r="AXO2486" s="60"/>
      <c r="AXP2486" s="60"/>
      <c r="AXQ2486" s="58"/>
      <c r="AXR2486" s="61"/>
      <c r="AXS2486" s="58"/>
      <c r="AXT2486" s="58"/>
      <c r="AXU2486" s="58"/>
      <c r="AXV2486" s="60"/>
      <c r="AXW2486" s="60"/>
      <c r="AXX2486" s="60"/>
      <c r="AXY2486" s="58"/>
      <c r="AXZ2486" s="61"/>
      <c r="AYA2486" s="58"/>
      <c r="AYB2486" s="58"/>
      <c r="AYC2486" s="58"/>
      <c r="AYD2486" s="60"/>
      <c r="AYE2486" s="60"/>
      <c r="AYF2486" s="60"/>
      <c r="AYG2486" s="58"/>
      <c r="AYH2486" s="61"/>
      <c r="AYI2486" s="58"/>
      <c r="AYJ2486" s="58"/>
      <c r="AYK2486" s="58"/>
      <c r="AYL2486" s="60"/>
      <c r="AYM2486" s="60"/>
      <c r="AYN2486" s="60"/>
      <c r="AYO2486" s="58"/>
      <c r="AYP2486" s="61"/>
      <c r="AYQ2486" s="58"/>
      <c r="AYR2486" s="58"/>
      <c r="AYS2486" s="58"/>
      <c r="AYT2486" s="60"/>
      <c r="AYU2486" s="60"/>
      <c r="AYV2486" s="60"/>
      <c r="AYW2486" s="58"/>
      <c r="AYX2486" s="61"/>
      <c r="AYY2486" s="58"/>
      <c r="AYZ2486" s="58"/>
      <c r="AZA2486" s="58"/>
      <c r="AZB2486" s="60"/>
      <c r="AZC2486" s="60"/>
      <c r="AZD2486" s="60"/>
      <c r="AZE2486" s="58"/>
      <c r="AZF2486" s="61"/>
      <c r="AZG2486" s="58"/>
      <c r="AZH2486" s="58"/>
      <c r="AZI2486" s="58"/>
      <c r="AZJ2486" s="60"/>
      <c r="AZK2486" s="60"/>
      <c r="AZL2486" s="60"/>
      <c r="AZM2486" s="58"/>
      <c r="AZN2486" s="61"/>
      <c r="AZO2486" s="58"/>
      <c r="AZP2486" s="58"/>
      <c r="AZQ2486" s="58"/>
      <c r="AZR2486" s="60"/>
      <c r="AZS2486" s="60"/>
      <c r="AZT2486" s="60"/>
      <c r="AZU2486" s="58"/>
      <c r="AZV2486" s="61"/>
      <c r="AZW2486" s="58"/>
      <c r="AZX2486" s="58"/>
      <c r="AZY2486" s="58"/>
      <c r="AZZ2486" s="60"/>
      <c r="BAA2486" s="60"/>
      <c r="BAB2486" s="60"/>
      <c r="BAC2486" s="58"/>
      <c r="BAD2486" s="61"/>
      <c r="BAE2486" s="58"/>
      <c r="BAF2486" s="58"/>
      <c r="BAG2486" s="58"/>
      <c r="BAH2486" s="60"/>
      <c r="BAI2486" s="60"/>
      <c r="BAJ2486" s="60"/>
      <c r="BAK2486" s="58"/>
      <c r="BAL2486" s="61"/>
      <c r="BAM2486" s="58"/>
      <c r="BAN2486" s="58"/>
      <c r="BAO2486" s="58"/>
      <c r="BAP2486" s="60"/>
      <c r="BAQ2486" s="60"/>
      <c r="BAR2486" s="60"/>
      <c r="BAS2486" s="58"/>
      <c r="BAT2486" s="61"/>
      <c r="BAU2486" s="58"/>
      <c r="BAV2486" s="58"/>
      <c r="BAW2486" s="58"/>
      <c r="BAX2486" s="60"/>
      <c r="BAY2486" s="60"/>
      <c r="BAZ2486" s="60"/>
      <c r="BBA2486" s="58"/>
      <c r="BBB2486" s="61"/>
      <c r="BBC2486" s="58"/>
      <c r="BBD2486" s="58"/>
      <c r="BBE2486" s="58"/>
      <c r="BBF2486" s="60"/>
      <c r="BBG2486" s="60"/>
      <c r="BBH2486" s="60"/>
      <c r="BBI2486" s="58"/>
      <c r="BBJ2486" s="61"/>
      <c r="BBK2486" s="58"/>
      <c r="BBL2486" s="58"/>
      <c r="BBM2486" s="58"/>
      <c r="BBN2486" s="60"/>
      <c r="BBO2486" s="60"/>
      <c r="BBP2486" s="60"/>
      <c r="BBQ2486" s="58"/>
      <c r="BBR2486" s="61"/>
      <c r="BBS2486" s="58"/>
      <c r="BBT2486" s="58"/>
      <c r="BBU2486" s="58"/>
      <c r="BBV2486" s="60"/>
      <c r="BBW2486" s="60"/>
      <c r="BBX2486" s="60"/>
      <c r="BBY2486" s="58"/>
      <c r="BBZ2486" s="61"/>
      <c r="BCA2486" s="58"/>
      <c r="BCB2486" s="58"/>
      <c r="BCC2486" s="58"/>
      <c r="BCD2486" s="60"/>
      <c r="BCE2486" s="60"/>
      <c r="BCF2486" s="60"/>
      <c r="BCG2486" s="58"/>
      <c r="BCH2486" s="61"/>
      <c r="BCI2486" s="58"/>
      <c r="BCJ2486" s="58"/>
      <c r="BCK2486" s="58"/>
      <c r="BCL2486" s="60"/>
      <c r="BCM2486" s="60"/>
      <c r="BCN2486" s="60"/>
      <c r="BCO2486" s="58"/>
      <c r="BCP2486" s="61"/>
      <c r="BCQ2486" s="58"/>
      <c r="BCR2486" s="58"/>
      <c r="BCS2486" s="58"/>
      <c r="BCT2486" s="60"/>
      <c r="BCU2486" s="60"/>
      <c r="BCV2486" s="60"/>
      <c r="BCW2486" s="58"/>
      <c r="BCX2486" s="61"/>
      <c r="BCY2486" s="58"/>
      <c r="BCZ2486" s="58"/>
      <c r="BDA2486" s="58"/>
      <c r="BDB2486" s="60"/>
      <c r="BDC2486" s="60"/>
      <c r="BDD2486" s="60"/>
      <c r="BDE2486" s="58"/>
      <c r="BDF2486" s="61"/>
      <c r="BDG2486" s="58"/>
      <c r="BDH2486" s="58"/>
      <c r="BDI2486" s="58"/>
      <c r="BDJ2486" s="60"/>
      <c r="BDK2486" s="60"/>
      <c r="BDL2486" s="60"/>
      <c r="BDM2486" s="58"/>
      <c r="BDN2486" s="61"/>
      <c r="BDO2486" s="58"/>
      <c r="BDP2486" s="58"/>
      <c r="BDQ2486" s="58"/>
      <c r="BDR2486" s="60"/>
      <c r="BDS2486" s="60"/>
      <c r="BDT2486" s="60"/>
      <c r="BDU2486" s="58"/>
      <c r="BDV2486" s="61"/>
      <c r="BDW2486" s="58"/>
      <c r="BDX2486" s="58"/>
      <c r="BDY2486" s="58"/>
      <c r="BDZ2486" s="60"/>
      <c r="BEA2486" s="60"/>
      <c r="BEB2486" s="60"/>
      <c r="BEC2486" s="58"/>
      <c r="BED2486" s="61"/>
      <c r="BEE2486" s="58"/>
      <c r="BEF2486" s="58"/>
      <c r="BEG2486" s="58"/>
      <c r="BEH2486" s="60"/>
      <c r="BEI2486" s="60"/>
      <c r="BEJ2486" s="60"/>
      <c r="BEK2486" s="58"/>
      <c r="BEL2486" s="61"/>
      <c r="BEM2486" s="58"/>
      <c r="BEN2486" s="58"/>
      <c r="BEO2486" s="58"/>
      <c r="BEP2486" s="60"/>
      <c r="BEQ2486" s="60"/>
      <c r="BER2486" s="60"/>
      <c r="BES2486" s="58"/>
      <c r="BET2486" s="61"/>
      <c r="BEU2486" s="58"/>
      <c r="BEV2486" s="58"/>
      <c r="BEW2486" s="58"/>
      <c r="BEX2486" s="60"/>
      <c r="BEY2486" s="60"/>
      <c r="BEZ2486" s="60"/>
      <c r="BFA2486" s="58"/>
      <c r="BFB2486" s="61"/>
      <c r="BFC2486" s="58"/>
      <c r="BFD2486" s="58"/>
      <c r="BFE2486" s="58"/>
      <c r="BFF2486" s="60"/>
      <c r="BFG2486" s="60"/>
      <c r="BFH2486" s="60"/>
      <c r="BFI2486" s="58"/>
      <c r="BFJ2486" s="61"/>
      <c r="BFK2486" s="58"/>
      <c r="BFL2486" s="58"/>
      <c r="BFM2486" s="58"/>
      <c r="BFN2486" s="60"/>
      <c r="BFO2486" s="60"/>
      <c r="BFP2486" s="60"/>
      <c r="BFQ2486" s="58"/>
      <c r="BFR2486" s="61"/>
      <c r="BFS2486" s="58"/>
      <c r="BFT2486" s="58"/>
      <c r="BFU2486" s="58"/>
      <c r="BFV2486" s="60"/>
      <c r="BFW2486" s="60"/>
      <c r="BFX2486" s="60"/>
      <c r="BFY2486" s="58"/>
      <c r="BFZ2486" s="61"/>
      <c r="BGA2486" s="58"/>
      <c r="BGB2486" s="58"/>
      <c r="BGC2486" s="58"/>
      <c r="BGD2486" s="60"/>
      <c r="BGE2486" s="60"/>
      <c r="BGF2486" s="60"/>
      <c r="BGG2486" s="58"/>
      <c r="BGH2486" s="61"/>
      <c r="BGI2486" s="58"/>
      <c r="BGJ2486" s="58"/>
      <c r="BGK2486" s="58"/>
      <c r="BGL2486" s="60"/>
      <c r="BGM2486" s="60"/>
      <c r="BGN2486" s="60"/>
      <c r="BGO2486" s="58"/>
      <c r="BGP2486" s="61"/>
      <c r="BGQ2486" s="58"/>
      <c r="BGR2486" s="58"/>
      <c r="BGS2486" s="58"/>
      <c r="BGT2486" s="60"/>
      <c r="BGU2486" s="60"/>
      <c r="BGV2486" s="60"/>
      <c r="BGW2486" s="58"/>
      <c r="BGX2486" s="61"/>
      <c r="BGY2486" s="58"/>
      <c r="BGZ2486" s="58"/>
      <c r="BHA2486" s="58"/>
      <c r="BHB2486" s="60"/>
      <c r="BHC2486" s="60"/>
      <c r="BHD2486" s="60"/>
      <c r="BHE2486" s="58"/>
      <c r="BHF2486" s="61"/>
      <c r="BHG2486" s="58"/>
      <c r="BHH2486" s="58"/>
      <c r="BHI2486" s="58"/>
      <c r="BHJ2486" s="60"/>
      <c r="BHK2486" s="60"/>
      <c r="BHL2486" s="60"/>
      <c r="BHM2486" s="58"/>
      <c r="BHN2486" s="61"/>
      <c r="BHO2486" s="58"/>
      <c r="BHP2486" s="58"/>
      <c r="BHQ2486" s="58"/>
      <c r="BHR2486" s="60"/>
      <c r="BHS2486" s="60"/>
      <c r="BHT2486" s="60"/>
      <c r="BHU2486" s="58"/>
      <c r="BHV2486" s="61"/>
      <c r="BHW2486" s="58"/>
      <c r="BHX2486" s="58"/>
      <c r="BHY2486" s="58"/>
      <c r="BHZ2486" s="60"/>
      <c r="BIA2486" s="60"/>
      <c r="BIB2486" s="60"/>
      <c r="BIC2486" s="58"/>
      <c r="BID2486" s="61"/>
      <c r="BIE2486" s="58"/>
      <c r="BIF2486" s="58"/>
      <c r="BIG2486" s="58"/>
      <c r="BIH2486" s="60"/>
      <c r="BII2486" s="60"/>
      <c r="BIJ2486" s="60"/>
      <c r="BIK2486" s="58"/>
      <c r="BIL2486" s="61"/>
      <c r="BIM2486" s="58"/>
      <c r="BIN2486" s="58"/>
      <c r="BIO2486" s="58"/>
      <c r="BIP2486" s="60"/>
      <c r="BIQ2486" s="60"/>
      <c r="BIR2486" s="60"/>
      <c r="BIS2486" s="58"/>
      <c r="BIT2486" s="61"/>
      <c r="BIU2486" s="58"/>
      <c r="BIV2486" s="58"/>
      <c r="BIW2486" s="58"/>
      <c r="BIX2486" s="60"/>
      <c r="BIY2486" s="60"/>
      <c r="BIZ2486" s="60"/>
      <c r="BJA2486" s="58"/>
      <c r="BJB2486" s="61"/>
      <c r="BJC2486" s="58"/>
      <c r="BJD2486" s="58"/>
      <c r="BJE2486" s="58"/>
      <c r="BJF2486" s="60"/>
      <c r="BJG2486" s="60"/>
      <c r="BJH2486" s="60"/>
      <c r="BJI2486" s="58"/>
      <c r="BJJ2486" s="61"/>
      <c r="BJK2486" s="58"/>
      <c r="BJL2486" s="58"/>
      <c r="BJM2486" s="58"/>
      <c r="BJN2486" s="60"/>
      <c r="BJO2486" s="60"/>
      <c r="BJP2486" s="60"/>
      <c r="BJQ2486" s="58"/>
      <c r="BJR2486" s="61"/>
      <c r="BJS2486" s="58"/>
      <c r="BJT2486" s="58"/>
      <c r="BJU2486" s="58"/>
      <c r="BJV2486" s="60"/>
      <c r="BJW2486" s="60"/>
      <c r="BJX2486" s="60"/>
      <c r="BJY2486" s="58"/>
      <c r="BJZ2486" s="61"/>
      <c r="BKA2486" s="58"/>
      <c r="BKB2486" s="58"/>
      <c r="BKC2486" s="58"/>
      <c r="BKD2486" s="60"/>
      <c r="BKE2486" s="60"/>
      <c r="BKF2486" s="60"/>
      <c r="BKG2486" s="58"/>
      <c r="BKH2486" s="61"/>
      <c r="BKI2486" s="58"/>
      <c r="BKJ2486" s="58"/>
      <c r="BKK2486" s="58"/>
      <c r="BKL2486" s="60"/>
      <c r="BKM2486" s="60"/>
      <c r="BKN2486" s="60"/>
      <c r="BKO2486" s="58"/>
      <c r="BKP2486" s="61"/>
      <c r="BKQ2486" s="58"/>
      <c r="BKR2486" s="58"/>
      <c r="BKS2486" s="58"/>
      <c r="BKT2486" s="60"/>
      <c r="BKU2486" s="60"/>
      <c r="BKV2486" s="60"/>
      <c r="BKW2486" s="58"/>
      <c r="BKX2486" s="61"/>
      <c r="BKY2486" s="58"/>
      <c r="BKZ2486" s="58"/>
      <c r="BLA2486" s="58"/>
      <c r="BLB2486" s="60"/>
      <c r="BLC2486" s="60"/>
      <c r="BLD2486" s="60"/>
      <c r="BLE2486" s="58"/>
      <c r="BLF2486" s="61"/>
      <c r="BLG2486" s="58"/>
      <c r="BLH2486" s="58"/>
      <c r="BLI2486" s="58"/>
      <c r="BLJ2486" s="60"/>
      <c r="BLK2486" s="60"/>
      <c r="BLL2486" s="60"/>
      <c r="BLM2486" s="58"/>
      <c r="BLN2486" s="61"/>
      <c r="BLO2486" s="58"/>
      <c r="BLP2486" s="58"/>
      <c r="BLQ2486" s="58"/>
      <c r="BLR2486" s="60"/>
      <c r="BLS2486" s="60"/>
      <c r="BLT2486" s="60"/>
      <c r="BLU2486" s="58"/>
      <c r="BLV2486" s="61"/>
      <c r="BLW2486" s="58"/>
      <c r="BLX2486" s="58"/>
      <c r="BLY2486" s="58"/>
      <c r="BLZ2486" s="60"/>
      <c r="BMA2486" s="60"/>
      <c r="BMB2486" s="60"/>
      <c r="BMC2486" s="58"/>
      <c r="BMD2486" s="61"/>
      <c r="BME2486" s="58"/>
      <c r="BMF2486" s="58"/>
      <c r="BMG2486" s="58"/>
      <c r="BMH2486" s="60"/>
      <c r="BMI2486" s="60"/>
      <c r="BMJ2486" s="60"/>
      <c r="BMK2486" s="58"/>
      <c r="BML2486" s="61"/>
      <c r="BMM2486" s="58"/>
      <c r="BMN2486" s="58"/>
      <c r="BMO2486" s="58"/>
      <c r="BMP2486" s="60"/>
      <c r="BMQ2486" s="60"/>
      <c r="BMR2486" s="60"/>
      <c r="BMS2486" s="58"/>
      <c r="BMT2486" s="61"/>
      <c r="BMU2486" s="58"/>
      <c r="BMV2486" s="58"/>
      <c r="BMW2486" s="58"/>
      <c r="BMX2486" s="60"/>
      <c r="BMY2486" s="60"/>
      <c r="BMZ2486" s="60"/>
      <c r="BNA2486" s="58"/>
      <c r="BNB2486" s="61"/>
      <c r="BNC2486" s="58"/>
      <c r="BND2486" s="58"/>
      <c r="BNE2486" s="58"/>
      <c r="BNF2486" s="60"/>
      <c r="BNG2486" s="60"/>
      <c r="BNH2486" s="60"/>
      <c r="BNI2486" s="58"/>
      <c r="BNJ2486" s="61"/>
      <c r="BNK2486" s="58"/>
      <c r="BNL2486" s="58"/>
      <c r="BNM2486" s="58"/>
      <c r="BNN2486" s="60"/>
      <c r="BNO2486" s="60"/>
      <c r="BNP2486" s="60"/>
      <c r="BNQ2486" s="58"/>
      <c r="BNR2486" s="61"/>
      <c r="BNS2486" s="58"/>
      <c r="BNT2486" s="58"/>
      <c r="BNU2486" s="58"/>
      <c r="BNV2486" s="60"/>
      <c r="BNW2486" s="60"/>
      <c r="BNX2486" s="60"/>
      <c r="BNY2486" s="58"/>
      <c r="BNZ2486" s="61"/>
      <c r="BOA2486" s="58"/>
      <c r="BOB2486" s="58"/>
      <c r="BOC2486" s="58"/>
      <c r="BOD2486" s="60"/>
      <c r="BOE2486" s="60"/>
      <c r="BOF2486" s="60"/>
      <c r="BOG2486" s="58"/>
      <c r="BOH2486" s="61"/>
      <c r="BOI2486" s="58"/>
      <c r="BOJ2486" s="58"/>
      <c r="BOK2486" s="58"/>
      <c r="BOL2486" s="60"/>
      <c r="BOM2486" s="60"/>
      <c r="BON2486" s="60"/>
      <c r="BOO2486" s="58"/>
      <c r="BOP2486" s="61"/>
      <c r="BOQ2486" s="58"/>
      <c r="BOR2486" s="58"/>
      <c r="BOS2486" s="58"/>
      <c r="BOT2486" s="60"/>
      <c r="BOU2486" s="60"/>
      <c r="BOV2486" s="60"/>
      <c r="BOW2486" s="58"/>
      <c r="BOX2486" s="61"/>
      <c r="BOY2486" s="58"/>
      <c r="BOZ2486" s="58"/>
      <c r="BPA2486" s="58"/>
      <c r="BPB2486" s="60"/>
      <c r="BPC2486" s="60"/>
      <c r="BPD2486" s="60"/>
      <c r="BPE2486" s="58"/>
      <c r="BPF2486" s="61"/>
      <c r="BPG2486" s="58"/>
      <c r="BPH2486" s="58"/>
      <c r="BPI2486" s="58"/>
      <c r="BPJ2486" s="60"/>
      <c r="BPK2486" s="60"/>
      <c r="BPL2486" s="60"/>
      <c r="BPM2486" s="58"/>
      <c r="BPN2486" s="61"/>
      <c r="BPO2486" s="58"/>
      <c r="BPP2486" s="58"/>
      <c r="BPQ2486" s="58"/>
      <c r="BPR2486" s="60"/>
      <c r="BPS2486" s="60"/>
      <c r="BPT2486" s="60"/>
      <c r="BPU2486" s="58"/>
      <c r="BPV2486" s="61"/>
      <c r="BPW2486" s="58"/>
      <c r="BPX2486" s="58"/>
      <c r="BPY2486" s="58"/>
      <c r="BPZ2486" s="60"/>
      <c r="BQA2486" s="60"/>
      <c r="BQB2486" s="60"/>
      <c r="BQC2486" s="58"/>
      <c r="BQD2486" s="61"/>
      <c r="BQE2486" s="58"/>
      <c r="BQF2486" s="58"/>
      <c r="BQG2486" s="58"/>
      <c r="BQH2486" s="60"/>
      <c r="BQI2486" s="60"/>
      <c r="BQJ2486" s="60"/>
      <c r="BQK2486" s="58"/>
      <c r="BQL2486" s="61"/>
      <c r="BQM2486" s="58"/>
      <c r="BQN2486" s="58"/>
      <c r="BQO2486" s="58"/>
      <c r="BQP2486" s="60"/>
      <c r="BQQ2486" s="60"/>
      <c r="BQR2486" s="60"/>
      <c r="BQS2486" s="58"/>
      <c r="BQT2486" s="61"/>
      <c r="BQU2486" s="58"/>
      <c r="BQV2486" s="58"/>
      <c r="BQW2486" s="58"/>
      <c r="BQX2486" s="60"/>
      <c r="BQY2486" s="60"/>
      <c r="BQZ2486" s="60"/>
      <c r="BRA2486" s="58"/>
      <c r="BRB2486" s="61"/>
      <c r="BRC2486" s="58"/>
      <c r="BRD2486" s="58"/>
      <c r="BRE2486" s="58"/>
      <c r="BRF2486" s="60"/>
      <c r="BRG2486" s="60"/>
      <c r="BRH2486" s="60"/>
      <c r="BRI2486" s="58"/>
      <c r="BRJ2486" s="61"/>
      <c r="BRK2486" s="58"/>
      <c r="BRL2486" s="58"/>
      <c r="BRM2486" s="58"/>
      <c r="BRN2486" s="60"/>
      <c r="BRO2486" s="60"/>
      <c r="BRP2486" s="60"/>
      <c r="BRQ2486" s="58"/>
      <c r="BRR2486" s="61"/>
      <c r="BRS2486" s="58"/>
      <c r="BRT2486" s="58"/>
      <c r="BRU2486" s="58"/>
      <c r="BRV2486" s="60"/>
      <c r="BRW2486" s="60"/>
      <c r="BRX2486" s="60"/>
      <c r="BRY2486" s="58"/>
      <c r="BRZ2486" s="61"/>
      <c r="BSA2486" s="58"/>
      <c r="BSB2486" s="58"/>
      <c r="BSC2486" s="58"/>
      <c r="BSD2486" s="60"/>
      <c r="BSE2486" s="60"/>
      <c r="BSF2486" s="60"/>
      <c r="BSG2486" s="58"/>
      <c r="BSH2486" s="61"/>
      <c r="BSI2486" s="58"/>
      <c r="BSJ2486" s="58"/>
      <c r="BSK2486" s="58"/>
      <c r="BSL2486" s="60"/>
      <c r="BSM2486" s="60"/>
      <c r="BSN2486" s="60"/>
      <c r="BSO2486" s="58"/>
      <c r="BSP2486" s="61"/>
      <c r="BSQ2486" s="58"/>
      <c r="BSR2486" s="58"/>
      <c r="BSS2486" s="58"/>
      <c r="BST2486" s="60"/>
      <c r="BSU2486" s="60"/>
      <c r="BSV2486" s="60"/>
      <c r="BSW2486" s="58"/>
      <c r="BSX2486" s="61"/>
      <c r="BSY2486" s="58"/>
      <c r="BSZ2486" s="58"/>
      <c r="BTA2486" s="58"/>
      <c r="BTB2486" s="60"/>
      <c r="BTC2486" s="60"/>
      <c r="BTD2486" s="60"/>
      <c r="BTE2486" s="58"/>
      <c r="BTF2486" s="61"/>
      <c r="BTG2486" s="58"/>
      <c r="BTH2486" s="58"/>
      <c r="BTI2486" s="58"/>
      <c r="BTJ2486" s="60"/>
      <c r="BTK2486" s="60"/>
      <c r="BTL2486" s="60"/>
      <c r="BTM2486" s="58"/>
      <c r="BTN2486" s="61"/>
      <c r="BTO2486" s="58"/>
      <c r="BTP2486" s="58"/>
      <c r="BTQ2486" s="58"/>
      <c r="BTR2486" s="60"/>
      <c r="BTS2486" s="60"/>
      <c r="BTT2486" s="60"/>
      <c r="BTU2486" s="58"/>
      <c r="BTV2486" s="61"/>
      <c r="BTW2486" s="58"/>
      <c r="BTX2486" s="58"/>
      <c r="BTY2486" s="58"/>
      <c r="BTZ2486" s="60"/>
      <c r="BUA2486" s="60"/>
      <c r="BUB2486" s="60"/>
      <c r="BUC2486" s="58"/>
      <c r="BUD2486" s="61"/>
      <c r="BUE2486" s="58"/>
      <c r="BUF2486" s="58"/>
      <c r="BUG2486" s="58"/>
      <c r="BUH2486" s="60"/>
      <c r="BUI2486" s="60"/>
      <c r="BUJ2486" s="60"/>
      <c r="BUK2486" s="58"/>
      <c r="BUL2486" s="61"/>
      <c r="BUM2486" s="58"/>
      <c r="BUN2486" s="58"/>
      <c r="BUO2486" s="58"/>
      <c r="BUP2486" s="60"/>
      <c r="BUQ2486" s="60"/>
      <c r="BUR2486" s="60"/>
      <c r="BUS2486" s="58"/>
      <c r="BUT2486" s="61"/>
      <c r="BUU2486" s="58"/>
      <c r="BUV2486" s="58"/>
      <c r="BUW2486" s="58"/>
      <c r="BUX2486" s="60"/>
      <c r="BUY2486" s="60"/>
      <c r="BUZ2486" s="60"/>
      <c r="BVA2486" s="58"/>
      <c r="BVB2486" s="61"/>
      <c r="BVC2486" s="58"/>
      <c r="BVD2486" s="58"/>
      <c r="BVE2486" s="58"/>
      <c r="BVF2486" s="60"/>
      <c r="BVG2486" s="60"/>
      <c r="BVH2486" s="60"/>
      <c r="BVI2486" s="58"/>
      <c r="BVJ2486" s="61"/>
      <c r="BVK2486" s="58"/>
      <c r="BVL2486" s="58"/>
      <c r="BVM2486" s="58"/>
      <c r="BVN2486" s="60"/>
      <c r="BVO2486" s="60"/>
      <c r="BVP2486" s="60"/>
      <c r="BVQ2486" s="58"/>
      <c r="BVR2486" s="61"/>
      <c r="BVS2486" s="58"/>
      <c r="BVT2486" s="58"/>
      <c r="BVU2486" s="58"/>
      <c r="BVV2486" s="60"/>
      <c r="BVW2486" s="60"/>
      <c r="BVX2486" s="60"/>
      <c r="BVY2486" s="58"/>
      <c r="BVZ2486" s="61"/>
      <c r="BWA2486" s="58"/>
      <c r="BWB2486" s="58"/>
      <c r="BWC2486" s="58"/>
      <c r="BWD2486" s="60"/>
      <c r="BWE2486" s="60"/>
      <c r="BWF2486" s="60"/>
      <c r="BWG2486" s="58"/>
      <c r="BWH2486" s="61"/>
      <c r="BWI2486" s="58"/>
      <c r="BWJ2486" s="58"/>
      <c r="BWK2486" s="58"/>
      <c r="BWL2486" s="60"/>
      <c r="BWM2486" s="60"/>
      <c r="BWN2486" s="60"/>
      <c r="BWO2486" s="58"/>
      <c r="BWP2486" s="61"/>
      <c r="BWQ2486" s="58"/>
      <c r="BWR2486" s="58"/>
      <c r="BWS2486" s="58"/>
      <c r="BWT2486" s="60"/>
      <c r="BWU2486" s="60"/>
      <c r="BWV2486" s="60"/>
      <c r="BWW2486" s="58"/>
      <c r="BWX2486" s="61"/>
      <c r="BWY2486" s="58"/>
      <c r="BWZ2486" s="58"/>
      <c r="BXA2486" s="58"/>
      <c r="BXB2486" s="60"/>
      <c r="BXC2486" s="60"/>
      <c r="BXD2486" s="60"/>
      <c r="BXE2486" s="58"/>
      <c r="BXF2486" s="61"/>
      <c r="BXG2486" s="58"/>
      <c r="BXH2486" s="58"/>
      <c r="BXI2486" s="58"/>
      <c r="BXJ2486" s="60"/>
      <c r="BXK2486" s="60"/>
      <c r="BXL2486" s="60"/>
      <c r="BXM2486" s="58"/>
      <c r="BXN2486" s="61"/>
      <c r="BXO2486" s="58"/>
      <c r="BXP2486" s="58"/>
      <c r="BXQ2486" s="58"/>
      <c r="BXR2486" s="60"/>
      <c r="BXS2486" s="60"/>
      <c r="BXT2486" s="60"/>
      <c r="BXU2486" s="58"/>
      <c r="BXV2486" s="61"/>
      <c r="BXW2486" s="58"/>
      <c r="BXX2486" s="58"/>
      <c r="BXY2486" s="58"/>
      <c r="BXZ2486" s="60"/>
      <c r="BYA2486" s="60"/>
      <c r="BYB2486" s="60"/>
      <c r="BYC2486" s="58"/>
      <c r="BYD2486" s="61"/>
      <c r="BYE2486" s="58"/>
      <c r="BYF2486" s="58"/>
      <c r="BYG2486" s="58"/>
      <c r="BYH2486" s="60"/>
      <c r="BYI2486" s="60"/>
      <c r="BYJ2486" s="60"/>
      <c r="BYK2486" s="58"/>
      <c r="BYL2486" s="61"/>
      <c r="BYM2486" s="58"/>
      <c r="BYN2486" s="58"/>
      <c r="BYO2486" s="58"/>
      <c r="BYP2486" s="60"/>
      <c r="BYQ2486" s="60"/>
      <c r="BYR2486" s="60"/>
      <c r="BYS2486" s="58"/>
      <c r="BYT2486" s="61"/>
      <c r="BYU2486" s="58"/>
      <c r="BYV2486" s="58"/>
      <c r="BYW2486" s="58"/>
      <c r="BYX2486" s="60"/>
      <c r="BYY2486" s="60"/>
      <c r="BYZ2486" s="60"/>
      <c r="BZA2486" s="58"/>
      <c r="BZB2486" s="61"/>
      <c r="BZC2486" s="58"/>
      <c r="BZD2486" s="58"/>
      <c r="BZE2486" s="58"/>
      <c r="BZF2486" s="60"/>
      <c r="BZG2486" s="60"/>
      <c r="BZH2486" s="60"/>
      <c r="BZI2486" s="58"/>
      <c r="BZJ2486" s="61"/>
      <c r="BZK2486" s="58"/>
      <c r="BZL2486" s="58"/>
      <c r="BZM2486" s="58"/>
      <c r="BZN2486" s="60"/>
      <c r="BZO2486" s="60"/>
      <c r="BZP2486" s="60"/>
      <c r="BZQ2486" s="58"/>
      <c r="BZR2486" s="61"/>
      <c r="BZS2486" s="58"/>
      <c r="BZT2486" s="58"/>
      <c r="BZU2486" s="58"/>
      <c r="BZV2486" s="60"/>
      <c r="BZW2486" s="60"/>
      <c r="BZX2486" s="60"/>
      <c r="BZY2486" s="58"/>
      <c r="BZZ2486" s="61"/>
      <c r="CAA2486" s="58"/>
      <c r="CAB2486" s="58"/>
      <c r="CAC2486" s="58"/>
      <c r="CAD2486" s="60"/>
      <c r="CAE2486" s="60"/>
      <c r="CAF2486" s="60"/>
      <c r="CAG2486" s="58"/>
      <c r="CAH2486" s="61"/>
      <c r="CAI2486" s="58"/>
      <c r="CAJ2486" s="58"/>
      <c r="CAK2486" s="58"/>
      <c r="CAL2486" s="60"/>
      <c r="CAM2486" s="60"/>
      <c r="CAN2486" s="60"/>
      <c r="CAO2486" s="58"/>
      <c r="CAP2486" s="61"/>
      <c r="CAQ2486" s="58"/>
      <c r="CAR2486" s="58"/>
      <c r="CAS2486" s="58"/>
      <c r="CAT2486" s="60"/>
      <c r="CAU2486" s="60"/>
      <c r="CAV2486" s="60"/>
      <c r="CAW2486" s="58"/>
      <c r="CAX2486" s="61"/>
      <c r="CAY2486" s="58"/>
      <c r="CAZ2486" s="58"/>
      <c r="CBA2486" s="58"/>
      <c r="CBB2486" s="60"/>
      <c r="CBC2486" s="60"/>
      <c r="CBD2486" s="60"/>
      <c r="CBE2486" s="58"/>
      <c r="CBF2486" s="61"/>
      <c r="CBG2486" s="58"/>
      <c r="CBH2486" s="58"/>
      <c r="CBI2486" s="58"/>
      <c r="CBJ2486" s="60"/>
      <c r="CBK2486" s="60"/>
      <c r="CBL2486" s="60"/>
      <c r="CBM2486" s="58"/>
      <c r="CBN2486" s="61"/>
      <c r="CBO2486" s="58"/>
      <c r="CBP2486" s="58"/>
      <c r="CBQ2486" s="58"/>
      <c r="CBR2486" s="60"/>
      <c r="CBS2486" s="60"/>
      <c r="CBT2486" s="60"/>
      <c r="CBU2486" s="58"/>
      <c r="CBV2486" s="61"/>
      <c r="CBW2486" s="58"/>
      <c r="CBX2486" s="58"/>
      <c r="CBY2486" s="58"/>
      <c r="CBZ2486" s="60"/>
      <c r="CCA2486" s="60"/>
      <c r="CCB2486" s="60"/>
      <c r="CCC2486" s="58"/>
      <c r="CCD2486" s="61"/>
      <c r="CCE2486" s="58"/>
      <c r="CCF2486" s="58"/>
      <c r="CCG2486" s="58"/>
      <c r="CCH2486" s="60"/>
      <c r="CCI2486" s="60"/>
      <c r="CCJ2486" s="60"/>
      <c r="CCK2486" s="58"/>
      <c r="CCL2486" s="61"/>
      <c r="CCM2486" s="58"/>
      <c r="CCN2486" s="58"/>
      <c r="CCO2486" s="58"/>
      <c r="CCP2486" s="60"/>
      <c r="CCQ2486" s="60"/>
      <c r="CCR2486" s="60"/>
      <c r="CCS2486" s="58"/>
      <c r="CCT2486" s="61"/>
      <c r="CCU2486" s="58"/>
      <c r="CCV2486" s="58"/>
      <c r="CCW2486" s="58"/>
      <c r="CCX2486" s="60"/>
      <c r="CCY2486" s="60"/>
      <c r="CCZ2486" s="60"/>
      <c r="CDA2486" s="58"/>
      <c r="CDB2486" s="61"/>
      <c r="CDC2486" s="58"/>
      <c r="CDD2486" s="58"/>
      <c r="CDE2486" s="58"/>
      <c r="CDF2486" s="60"/>
      <c r="CDG2486" s="60"/>
      <c r="CDH2486" s="60"/>
      <c r="CDI2486" s="58"/>
      <c r="CDJ2486" s="61"/>
      <c r="CDK2486" s="58"/>
      <c r="CDL2486" s="58"/>
      <c r="CDM2486" s="58"/>
      <c r="CDN2486" s="60"/>
      <c r="CDO2486" s="60"/>
      <c r="CDP2486" s="60"/>
      <c r="CDQ2486" s="58"/>
      <c r="CDR2486" s="61"/>
      <c r="CDS2486" s="58"/>
      <c r="CDT2486" s="58"/>
      <c r="CDU2486" s="58"/>
      <c r="CDV2486" s="60"/>
      <c r="CDW2486" s="60"/>
      <c r="CDX2486" s="60"/>
      <c r="CDY2486" s="58"/>
      <c r="CDZ2486" s="61"/>
      <c r="CEA2486" s="58"/>
      <c r="CEB2486" s="58"/>
      <c r="CEC2486" s="58"/>
      <c r="CED2486" s="60"/>
      <c r="CEE2486" s="60"/>
      <c r="CEF2486" s="60"/>
      <c r="CEG2486" s="58"/>
      <c r="CEH2486" s="61"/>
      <c r="CEI2486" s="58"/>
      <c r="CEJ2486" s="58"/>
      <c r="CEK2486" s="58"/>
      <c r="CEL2486" s="60"/>
      <c r="CEM2486" s="60"/>
      <c r="CEN2486" s="60"/>
      <c r="CEO2486" s="58"/>
      <c r="CEP2486" s="61"/>
      <c r="CEQ2486" s="58"/>
      <c r="CER2486" s="58"/>
      <c r="CES2486" s="58"/>
      <c r="CET2486" s="60"/>
      <c r="CEU2486" s="60"/>
      <c r="CEV2486" s="60"/>
      <c r="CEW2486" s="58"/>
      <c r="CEX2486" s="61"/>
      <c r="CEY2486" s="58"/>
      <c r="CEZ2486" s="58"/>
      <c r="CFA2486" s="58"/>
      <c r="CFB2486" s="60"/>
      <c r="CFC2486" s="60"/>
      <c r="CFD2486" s="60"/>
      <c r="CFE2486" s="58"/>
      <c r="CFF2486" s="61"/>
      <c r="CFG2486" s="58"/>
      <c r="CFH2486" s="58"/>
      <c r="CFI2486" s="58"/>
      <c r="CFJ2486" s="60"/>
      <c r="CFK2486" s="60"/>
      <c r="CFL2486" s="60"/>
      <c r="CFM2486" s="58"/>
      <c r="CFN2486" s="61"/>
      <c r="CFO2486" s="58"/>
      <c r="CFP2486" s="58"/>
      <c r="CFQ2486" s="58"/>
      <c r="CFR2486" s="60"/>
      <c r="CFS2486" s="60"/>
      <c r="CFT2486" s="60"/>
      <c r="CFU2486" s="58"/>
      <c r="CFV2486" s="61"/>
      <c r="CFW2486" s="58"/>
      <c r="CFX2486" s="58"/>
      <c r="CFY2486" s="58"/>
      <c r="CFZ2486" s="60"/>
      <c r="CGA2486" s="60"/>
      <c r="CGB2486" s="60"/>
      <c r="CGC2486" s="58"/>
      <c r="CGD2486" s="61"/>
      <c r="CGE2486" s="58"/>
      <c r="CGF2486" s="58"/>
      <c r="CGG2486" s="58"/>
      <c r="CGH2486" s="60"/>
      <c r="CGI2486" s="60"/>
      <c r="CGJ2486" s="60"/>
      <c r="CGK2486" s="58"/>
      <c r="CGL2486" s="61"/>
      <c r="CGM2486" s="58"/>
      <c r="CGN2486" s="58"/>
      <c r="CGO2486" s="58"/>
      <c r="CGP2486" s="60"/>
      <c r="CGQ2486" s="60"/>
      <c r="CGR2486" s="60"/>
      <c r="CGS2486" s="58"/>
      <c r="CGT2486" s="61"/>
      <c r="CGU2486" s="58"/>
      <c r="CGV2486" s="58"/>
      <c r="CGW2486" s="58"/>
      <c r="CGX2486" s="60"/>
      <c r="CGY2486" s="60"/>
      <c r="CGZ2486" s="60"/>
      <c r="CHA2486" s="58"/>
      <c r="CHB2486" s="61"/>
      <c r="CHC2486" s="58"/>
      <c r="CHD2486" s="58"/>
      <c r="CHE2486" s="58"/>
      <c r="CHF2486" s="60"/>
      <c r="CHG2486" s="60"/>
      <c r="CHH2486" s="60"/>
      <c r="CHI2486" s="58"/>
      <c r="CHJ2486" s="61"/>
      <c r="CHK2486" s="58"/>
      <c r="CHL2486" s="58"/>
      <c r="CHM2486" s="58"/>
      <c r="CHN2486" s="60"/>
      <c r="CHO2486" s="60"/>
      <c r="CHP2486" s="60"/>
      <c r="CHQ2486" s="58"/>
      <c r="CHR2486" s="61"/>
      <c r="CHS2486" s="58"/>
      <c r="CHT2486" s="58"/>
      <c r="CHU2486" s="58"/>
      <c r="CHV2486" s="60"/>
      <c r="CHW2486" s="60"/>
      <c r="CHX2486" s="60"/>
      <c r="CHY2486" s="58"/>
      <c r="CHZ2486" s="61"/>
      <c r="CIA2486" s="58"/>
      <c r="CIB2486" s="58"/>
      <c r="CIC2486" s="58"/>
      <c r="CID2486" s="60"/>
      <c r="CIE2486" s="60"/>
      <c r="CIF2486" s="60"/>
      <c r="CIG2486" s="58"/>
      <c r="CIH2486" s="61"/>
      <c r="CII2486" s="58"/>
      <c r="CIJ2486" s="58"/>
      <c r="CIK2486" s="58"/>
      <c r="CIL2486" s="60"/>
      <c r="CIM2486" s="60"/>
      <c r="CIN2486" s="60"/>
      <c r="CIO2486" s="58"/>
      <c r="CIP2486" s="61"/>
      <c r="CIQ2486" s="58"/>
      <c r="CIR2486" s="58"/>
      <c r="CIS2486" s="58"/>
      <c r="CIT2486" s="60"/>
      <c r="CIU2486" s="60"/>
      <c r="CIV2486" s="60"/>
      <c r="CIW2486" s="58"/>
      <c r="CIX2486" s="61"/>
      <c r="CIY2486" s="58"/>
      <c r="CIZ2486" s="58"/>
      <c r="CJA2486" s="58"/>
      <c r="CJB2486" s="60"/>
      <c r="CJC2486" s="60"/>
      <c r="CJD2486" s="60"/>
      <c r="CJE2486" s="58"/>
      <c r="CJF2486" s="61"/>
      <c r="CJG2486" s="58"/>
      <c r="CJH2486" s="58"/>
      <c r="CJI2486" s="58"/>
      <c r="CJJ2486" s="60"/>
      <c r="CJK2486" s="60"/>
      <c r="CJL2486" s="60"/>
      <c r="CJM2486" s="58"/>
      <c r="CJN2486" s="61"/>
      <c r="CJO2486" s="58"/>
      <c r="CJP2486" s="58"/>
      <c r="CJQ2486" s="58"/>
      <c r="CJR2486" s="60"/>
      <c r="CJS2486" s="60"/>
      <c r="CJT2486" s="60"/>
      <c r="CJU2486" s="58"/>
      <c r="CJV2486" s="61"/>
      <c r="CJW2486" s="58"/>
      <c r="CJX2486" s="58"/>
      <c r="CJY2486" s="58"/>
      <c r="CJZ2486" s="60"/>
      <c r="CKA2486" s="60"/>
      <c r="CKB2486" s="60"/>
      <c r="CKC2486" s="58"/>
      <c r="CKD2486" s="61"/>
      <c r="CKE2486" s="58"/>
      <c r="CKF2486" s="58"/>
      <c r="CKG2486" s="58"/>
      <c r="CKH2486" s="60"/>
      <c r="CKI2486" s="60"/>
      <c r="CKJ2486" s="60"/>
      <c r="CKK2486" s="58"/>
      <c r="CKL2486" s="61"/>
      <c r="CKM2486" s="58"/>
      <c r="CKN2486" s="58"/>
      <c r="CKO2486" s="58"/>
      <c r="CKP2486" s="60"/>
      <c r="CKQ2486" s="60"/>
      <c r="CKR2486" s="60"/>
      <c r="CKS2486" s="58"/>
      <c r="CKT2486" s="61"/>
      <c r="CKU2486" s="58"/>
      <c r="CKV2486" s="58"/>
      <c r="CKW2486" s="58"/>
      <c r="CKX2486" s="60"/>
      <c r="CKY2486" s="60"/>
      <c r="CKZ2486" s="60"/>
      <c r="CLA2486" s="58"/>
      <c r="CLB2486" s="61"/>
      <c r="CLC2486" s="58"/>
      <c r="CLD2486" s="58"/>
      <c r="CLE2486" s="58"/>
      <c r="CLF2486" s="60"/>
      <c r="CLG2486" s="60"/>
      <c r="CLH2486" s="60"/>
      <c r="CLI2486" s="58"/>
      <c r="CLJ2486" s="61"/>
      <c r="CLK2486" s="58"/>
      <c r="CLL2486" s="58"/>
      <c r="CLM2486" s="58"/>
      <c r="CLN2486" s="60"/>
      <c r="CLO2486" s="60"/>
      <c r="CLP2486" s="60"/>
      <c r="CLQ2486" s="58"/>
      <c r="CLR2486" s="61"/>
      <c r="CLS2486" s="58"/>
      <c r="CLT2486" s="58"/>
      <c r="CLU2486" s="58"/>
      <c r="CLV2486" s="60"/>
      <c r="CLW2486" s="60"/>
      <c r="CLX2486" s="60"/>
      <c r="CLY2486" s="58"/>
      <c r="CLZ2486" s="61"/>
      <c r="CMA2486" s="58"/>
      <c r="CMB2486" s="58"/>
      <c r="CMC2486" s="58"/>
      <c r="CMD2486" s="60"/>
      <c r="CME2486" s="60"/>
      <c r="CMF2486" s="60"/>
      <c r="CMG2486" s="58"/>
      <c r="CMH2486" s="61"/>
      <c r="CMI2486" s="58"/>
      <c r="CMJ2486" s="58"/>
      <c r="CMK2486" s="58"/>
      <c r="CML2486" s="60"/>
      <c r="CMM2486" s="60"/>
      <c r="CMN2486" s="60"/>
      <c r="CMO2486" s="58"/>
      <c r="CMP2486" s="61"/>
      <c r="CMQ2486" s="58"/>
      <c r="CMR2486" s="58"/>
      <c r="CMS2486" s="58"/>
      <c r="CMT2486" s="60"/>
      <c r="CMU2486" s="60"/>
      <c r="CMV2486" s="60"/>
      <c r="CMW2486" s="58"/>
      <c r="CMX2486" s="61"/>
      <c r="CMY2486" s="58"/>
      <c r="CMZ2486" s="58"/>
      <c r="CNA2486" s="58"/>
      <c r="CNB2486" s="60"/>
      <c r="CNC2486" s="60"/>
      <c r="CND2486" s="60"/>
      <c r="CNE2486" s="58"/>
      <c r="CNF2486" s="61"/>
      <c r="CNG2486" s="58"/>
      <c r="CNH2486" s="58"/>
      <c r="CNI2486" s="58"/>
      <c r="CNJ2486" s="60"/>
      <c r="CNK2486" s="60"/>
      <c r="CNL2486" s="60"/>
      <c r="CNM2486" s="58"/>
      <c r="CNN2486" s="61"/>
      <c r="CNO2486" s="58"/>
      <c r="CNP2486" s="58"/>
      <c r="CNQ2486" s="58"/>
      <c r="CNR2486" s="60"/>
      <c r="CNS2486" s="60"/>
      <c r="CNT2486" s="60"/>
      <c r="CNU2486" s="58"/>
      <c r="CNV2486" s="61"/>
      <c r="CNW2486" s="58"/>
      <c r="CNX2486" s="58"/>
      <c r="CNY2486" s="58"/>
      <c r="CNZ2486" s="60"/>
      <c r="COA2486" s="60"/>
      <c r="COB2486" s="60"/>
      <c r="COC2486" s="58"/>
      <c r="COD2486" s="61"/>
      <c r="COE2486" s="58"/>
      <c r="COF2486" s="58"/>
      <c r="COG2486" s="58"/>
      <c r="COH2486" s="60"/>
      <c r="COI2486" s="60"/>
      <c r="COJ2486" s="60"/>
      <c r="COK2486" s="58"/>
      <c r="COL2486" s="61"/>
      <c r="COM2486" s="58"/>
      <c r="CON2486" s="58"/>
      <c r="COO2486" s="58"/>
      <c r="COP2486" s="60"/>
      <c r="COQ2486" s="60"/>
      <c r="COR2486" s="60"/>
      <c r="COS2486" s="58"/>
      <c r="COT2486" s="61"/>
      <c r="COU2486" s="58"/>
      <c r="COV2486" s="58"/>
      <c r="COW2486" s="58"/>
      <c r="COX2486" s="60"/>
      <c r="COY2486" s="60"/>
      <c r="COZ2486" s="60"/>
      <c r="CPA2486" s="58"/>
      <c r="CPB2486" s="61"/>
      <c r="CPC2486" s="58"/>
      <c r="CPD2486" s="58"/>
      <c r="CPE2486" s="58"/>
      <c r="CPF2486" s="60"/>
      <c r="CPG2486" s="60"/>
      <c r="CPH2486" s="60"/>
      <c r="CPI2486" s="58"/>
      <c r="CPJ2486" s="61"/>
      <c r="CPK2486" s="58"/>
      <c r="CPL2486" s="58"/>
      <c r="CPM2486" s="58"/>
      <c r="CPN2486" s="60"/>
      <c r="CPO2486" s="60"/>
      <c r="CPP2486" s="60"/>
      <c r="CPQ2486" s="58"/>
      <c r="CPR2486" s="61"/>
      <c r="CPS2486" s="58"/>
      <c r="CPT2486" s="58"/>
      <c r="CPU2486" s="58"/>
      <c r="CPV2486" s="60"/>
      <c r="CPW2486" s="60"/>
      <c r="CPX2486" s="60"/>
      <c r="CPY2486" s="58"/>
      <c r="CPZ2486" s="61"/>
      <c r="CQA2486" s="58"/>
      <c r="CQB2486" s="58"/>
      <c r="CQC2486" s="58"/>
      <c r="CQD2486" s="60"/>
      <c r="CQE2486" s="60"/>
      <c r="CQF2486" s="60"/>
      <c r="CQG2486" s="58"/>
      <c r="CQH2486" s="61"/>
      <c r="CQI2486" s="58"/>
      <c r="CQJ2486" s="58"/>
      <c r="CQK2486" s="58"/>
      <c r="CQL2486" s="60"/>
      <c r="CQM2486" s="60"/>
      <c r="CQN2486" s="60"/>
      <c r="CQO2486" s="58"/>
      <c r="CQP2486" s="61"/>
      <c r="CQQ2486" s="58"/>
      <c r="CQR2486" s="58"/>
      <c r="CQS2486" s="58"/>
      <c r="CQT2486" s="60"/>
      <c r="CQU2486" s="60"/>
      <c r="CQV2486" s="60"/>
      <c r="CQW2486" s="58"/>
      <c r="CQX2486" s="61"/>
      <c r="CQY2486" s="58"/>
      <c r="CQZ2486" s="58"/>
      <c r="CRA2486" s="58"/>
      <c r="CRB2486" s="60"/>
      <c r="CRC2486" s="60"/>
      <c r="CRD2486" s="60"/>
      <c r="CRE2486" s="58"/>
      <c r="CRF2486" s="61"/>
      <c r="CRG2486" s="58"/>
      <c r="CRH2486" s="58"/>
      <c r="CRI2486" s="58"/>
      <c r="CRJ2486" s="60"/>
      <c r="CRK2486" s="60"/>
      <c r="CRL2486" s="60"/>
      <c r="CRM2486" s="58"/>
      <c r="CRN2486" s="61"/>
      <c r="CRO2486" s="58"/>
      <c r="CRP2486" s="58"/>
      <c r="CRQ2486" s="58"/>
      <c r="CRR2486" s="60"/>
      <c r="CRS2486" s="60"/>
      <c r="CRT2486" s="60"/>
      <c r="CRU2486" s="58"/>
      <c r="CRV2486" s="61"/>
      <c r="CRW2486" s="58"/>
      <c r="CRX2486" s="58"/>
      <c r="CRY2486" s="58"/>
      <c r="CRZ2486" s="60"/>
      <c r="CSA2486" s="60"/>
      <c r="CSB2486" s="60"/>
      <c r="CSC2486" s="58"/>
      <c r="CSD2486" s="61"/>
      <c r="CSE2486" s="58"/>
      <c r="CSF2486" s="58"/>
      <c r="CSG2486" s="58"/>
      <c r="CSH2486" s="60"/>
      <c r="CSI2486" s="60"/>
      <c r="CSJ2486" s="60"/>
      <c r="CSK2486" s="58"/>
      <c r="CSL2486" s="61"/>
      <c r="CSM2486" s="58"/>
      <c r="CSN2486" s="58"/>
      <c r="CSO2486" s="58"/>
      <c r="CSP2486" s="60"/>
      <c r="CSQ2486" s="60"/>
      <c r="CSR2486" s="60"/>
      <c r="CSS2486" s="58"/>
      <c r="CST2486" s="61"/>
      <c r="CSU2486" s="58"/>
      <c r="CSV2486" s="58"/>
      <c r="CSW2486" s="58"/>
      <c r="CSX2486" s="60"/>
      <c r="CSY2486" s="60"/>
      <c r="CSZ2486" s="60"/>
      <c r="CTA2486" s="58"/>
      <c r="CTB2486" s="61"/>
      <c r="CTC2486" s="58"/>
      <c r="CTD2486" s="58"/>
      <c r="CTE2486" s="58"/>
      <c r="CTF2486" s="60"/>
      <c r="CTG2486" s="60"/>
      <c r="CTH2486" s="60"/>
      <c r="CTI2486" s="58"/>
      <c r="CTJ2486" s="61"/>
      <c r="CTK2486" s="58"/>
      <c r="CTL2486" s="58"/>
      <c r="CTM2486" s="58"/>
      <c r="CTN2486" s="60"/>
      <c r="CTO2486" s="60"/>
      <c r="CTP2486" s="60"/>
      <c r="CTQ2486" s="58"/>
      <c r="CTR2486" s="61"/>
      <c r="CTS2486" s="58"/>
      <c r="CTT2486" s="58"/>
      <c r="CTU2486" s="58"/>
      <c r="CTV2486" s="60"/>
      <c r="CTW2486" s="60"/>
      <c r="CTX2486" s="60"/>
      <c r="CTY2486" s="58"/>
      <c r="CTZ2486" s="61"/>
      <c r="CUA2486" s="58"/>
      <c r="CUB2486" s="58"/>
      <c r="CUC2486" s="58"/>
      <c r="CUD2486" s="60"/>
      <c r="CUE2486" s="60"/>
      <c r="CUF2486" s="60"/>
      <c r="CUG2486" s="58"/>
      <c r="CUH2486" s="61"/>
      <c r="CUI2486" s="58"/>
      <c r="CUJ2486" s="58"/>
      <c r="CUK2486" s="58"/>
      <c r="CUL2486" s="60"/>
      <c r="CUM2486" s="60"/>
      <c r="CUN2486" s="60"/>
      <c r="CUO2486" s="58"/>
      <c r="CUP2486" s="61"/>
      <c r="CUQ2486" s="58"/>
      <c r="CUR2486" s="58"/>
      <c r="CUS2486" s="58"/>
      <c r="CUT2486" s="60"/>
      <c r="CUU2486" s="60"/>
      <c r="CUV2486" s="60"/>
      <c r="CUW2486" s="58"/>
      <c r="CUX2486" s="61"/>
      <c r="CUY2486" s="58"/>
      <c r="CUZ2486" s="58"/>
      <c r="CVA2486" s="58"/>
      <c r="CVB2486" s="60"/>
      <c r="CVC2486" s="60"/>
      <c r="CVD2486" s="60"/>
      <c r="CVE2486" s="58"/>
      <c r="CVF2486" s="61"/>
      <c r="CVG2486" s="58"/>
      <c r="CVH2486" s="58"/>
      <c r="CVI2486" s="58"/>
      <c r="CVJ2486" s="60"/>
      <c r="CVK2486" s="60"/>
      <c r="CVL2486" s="60"/>
      <c r="CVM2486" s="58"/>
      <c r="CVN2486" s="61"/>
      <c r="CVO2486" s="58"/>
      <c r="CVP2486" s="58"/>
      <c r="CVQ2486" s="58"/>
      <c r="CVR2486" s="60"/>
      <c r="CVS2486" s="60"/>
      <c r="CVT2486" s="60"/>
      <c r="CVU2486" s="58"/>
      <c r="CVV2486" s="61"/>
      <c r="CVW2486" s="58"/>
      <c r="CVX2486" s="58"/>
      <c r="CVY2486" s="58"/>
      <c r="CVZ2486" s="60"/>
      <c r="CWA2486" s="60"/>
      <c r="CWB2486" s="60"/>
      <c r="CWC2486" s="58"/>
      <c r="CWD2486" s="61"/>
      <c r="CWE2486" s="58"/>
      <c r="CWF2486" s="58"/>
      <c r="CWG2486" s="58"/>
      <c r="CWH2486" s="60"/>
      <c r="CWI2486" s="60"/>
      <c r="CWJ2486" s="60"/>
      <c r="CWK2486" s="58"/>
      <c r="CWL2486" s="61"/>
      <c r="CWM2486" s="58"/>
      <c r="CWN2486" s="58"/>
      <c r="CWO2486" s="58"/>
      <c r="CWP2486" s="60"/>
      <c r="CWQ2486" s="60"/>
      <c r="CWR2486" s="60"/>
      <c r="CWS2486" s="58"/>
      <c r="CWT2486" s="61"/>
      <c r="CWU2486" s="58"/>
      <c r="CWV2486" s="58"/>
      <c r="CWW2486" s="58"/>
      <c r="CWX2486" s="60"/>
      <c r="CWY2486" s="60"/>
      <c r="CWZ2486" s="60"/>
      <c r="CXA2486" s="58"/>
      <c r="CXB2486" s="61"/>
      <c r="CXC2486" s="58"/>
      <c r="CXD2486" s="58"/>
      <c r="CXE2486" s="58"/>
      <c r="CXF2486" s="60"/>
      <c r="CXG2486" s="60"/>
      <c r="CXH2486" s="60"/>
      <c r="CXI2486" s="58"/>
      <c r="CXJ2486" s="61"/>
      <c r="CXK2486" s="58"/>
      <c r="CXL2486" s="58"/>
      <c r="CXM2486" s="58"/>
      <c r="CXN2486" s="60"/>
      <c r="CXO2486" s="60"/>
      <c r="CXP2486" s="60"/>
      <c r="CXQ2486" s="58"/>
      <c r="CXR2486" s="61"/>
      <c r="CXS2486" s="58"/>
      <c r="CXT2486" s="58"/>
      <c r="CXU2486" s="58"/>
      <c r="CXV2486" s="60"/>
      <c r="CXW2486" s="60"/>
      <c r="CXX2486" s="60"/>
      <c r="CXY2486" s="58"/>
      <c r="CXZ2486" s="61"/>
      <c r="CYA2486" s="58"/>
      <c r="CYB2486" s="58"/>
      <c r="CYC2486" s="58"/>
      <c r="CYD2486" s="60"/>
      <c r="CYE2486" s="60"/>
      <c r="CYF2486" s="60"/>
      <c r="CYG2486" s="58"/>
      <c r="CYH2486" s="61"/>
      <c r="CYI2486" s="58"/>
      <c r="CYJ2486" s="58"/>
      <c r="CYK2486" s="58"/>
      <c r="CYL2486" s="60"/>
      <c r="CYM2486" s="60"/>
      <c r="CYN2486" s="60"/>
      <c r="CYO2486" s="58"/>
      <c r="CYP2486" s="61"/>
      <c r="CYQ2486" s="58"/>
      <c r="CYR2486" s="58"/>
      <c r="CYS2486" s="58"/>
      <c r="CYT2486" s="60"/>
      <c r="CYU2486" s="60"/>
      <c r="CYV2486" s="60"/>
      <c r="CYW2486" s="58"/>
      <c r="CYX2486" s="61"/>
      <c r="CYY2486" s="58"/>
      <c r="CYZ2486" s="58"/>
      <c r="CZA2486" s="58"/>
      <c r="CZB2486" s="60"/>
      <c r="CZC2486" s="60"/>
      <c r="CZD2486" s="60"/>
      <c r="CZE2486" s="58"/>
      <c r="CZF2486" s="61"/>
      <c r="CZG2486" s="58"/>
      <c r="CZH2486" s="58"/>
      <c r="CZI2486" s="58"/>
      <c r="CZJ2486" s="60"/>
      <c r="CZK2486" s="60"/>
      <c r="CZL2486" s="60"/>
      <c r="CZM2486" s="58"/>
      <c r="CZN2486" s="61"/>
      <c r="CZO2486" s="58"/>
      <c r="CZP2486" s="58"/>
      <c r="CZQ2486" s="58"/>
      <c r="CZR2486" s="60"/>
      <c r="CZS2486" s="60"/>
      <c r="CZT2486" s="60"/>
      <c r="CZU2486" s="58"/>
      <c r="CZV2486" s="61"/>
      <c r="CZW2486" s="58"/>
      <c r="CZX2486" s="58"/>
      <c r="CZY2486" s="58"/>
      <c r="CZZ2486" s="60"/>
      <c r="DAA2486" s="60"/>
      <c r="DAB2486" s="60"/>
      <c r="DAC2486" s="58"/>
      <c r="DAD2486" s="61"/>
      <c r="DAE2486" s="58"/>
      <c r="DAF2486" s="58"/>
      <c r="DAG2486" s="58"/>
      <c r="DAH2486" s="60"/>
      <c r="DAI2486" s="60"/>
      <c r="DAJ2486" s="60"/>
      <c r="DAK2486" s="58"/>
      <c r="DAL2486" s="61"/>
      <c r="DAM2486" s="58"/>
      <c r="DAN2486" s="58"/>
      <c r="DAO2486" s="58"/>
      <c r="DAP2486" s="60"/>
      <c r="DAQ2486" s="60"/>
      <c r="DAR2486" s="60"/>
      <c r="DAS2486" s="58"/>
      <c r="DAT2486" s="61"/>
      <c r="DAU2486" s="58"/>
      <c r="DAV2486" s="58"/>
      <c r="DAW2486" s="58"/>
      <c r="DAX2486" s="60"/>
      <c r="DAY2486" s="60"/>
      <c r="DAZ2486" s="60"/>
      <c r="DBA2486" s="58"/>
      <c r="DBB2486" s="61"/>
      <c r="DBC2486" s="58"/>
      <c r="DBD2486" s="58"/>
      <c r="DBE2486" s="58"/>
      <c r="DBF2486" s="60"/>
      <c r="DBG2486" s="60"/>
      <c r="DBH2486" s="60"/>
      <c r="DBI2486" s="58"/>
      <c r="DBJ2486" s="61"/>
      <c r="DBK2486" s="58"/>
      <c r="DBL2486" s="58"/>
      <c r="DBM2486" s="58"/>
      <c r="DBN2486" s="60"/>
      <c r="DBO2486" s="60"/>
      <c r="DBP2486" s="60"/>
      <c r="DBQ2486" s="58"/>
      <c r="DBR2486" s="61"/>
      <c r="DBS2486" s="58"/>
      <c r="DBT2486" s="58"/>
      <c r="DBU2486" s="58"/>
      <c r="DBV2486" s="60"/>
      <c r="DBW2486" s="60"/>
      <c r="DBX2486" s="60"/>
      <c r="DBY2486" s="58"/>
      <c r="DBZ2486" s="61"/>
      <c r="DCA2486" s="58"/>
      <c r="DCB2486" s="58"/>
      <c r="DCC2486" s="58"/>
      <c r="DCD2486" s="60"/>
      <c r="DCE2486" s="60"/>
      <c r="DCF2486" s="60"/>
      <c r="DCG2486" s="58"/>
      <c r="DCH2486" s="61"/>
      <c r="DCI2486" s="58"/>
      <c r="DCJ2486" s="58"/>
      <c r="DCK2486" s="58"/>
      <c r="DCL2486" s="60"/>
      <c r="DCM2486" s="60"/>
      <c r="DCN2486" s="60"/>
      <c r="DCO2486" s="58"/>
      <c r="DCP2486" s="61"/>
      <c r="DCQ2486" s="58"/>
      <c r="DCR2486" s="58"/>
      <c r="DCS2486" s="58"/>
      <c r="DCT2486" s="60"/>
      <c r="DCU2486" s="60"/>
      <c r="DCV2486" s="60"/>
      <c r="DCW2486" s="58"/>
      <c r="DCX2486" s="61"/>
      <c r="DCY2486" s="58"/>
      <c r="DCZ2486" s="58"/>
      <c r="DDA2486" s="58"/>
      <c r="DDB2486" s="60"/>
      <c r="DDC2486" s="60"/>
      <c r="DDD2486" s="60"/>
      <c r="DDE2486" s="58"/>
      <c r="DDF2486" s="61"/>
      <c r="DDG2486" s="58"/>
      <c r="DDH2486" s="58"/>
      <c r="DDI2486" s="58"/>
      <c r="DDJ2486" s="60"/>
      <c r="DDK2486" s="60"/>
      <c r="DDL2486" s="60"/>
      <c r="DDM2486" s="58"/>
      <c r="DDN2486" s="61"/>
      <c r="DDO2486" s="58"/>
      <c r="DDP2486" s="58"/>
      <c r="DDQ2486" s="58"/>
      <c r="DDR2486" s="60"/>
      <c r="DDS2486" s="60"/>
      <c r="DDT2486" s="60"/>
      <c r="DDU2486" s="58"/>
      <c r="DDV2486" s="61"/>
      <c r="DDW2486" s="58"/>
      <c r="DDX2486" s="58"/>
      <c r="DDY2486" s="58"/>
      <c r="DDZ2486" s="60"/>
      <c r="DEA2486" s="60"/>
      <c r="DEB2486" s="60"/>
      <c r="DEC2486" s="58"/>
      <c r="DED2486" s="61"/>
      <c r="DEE2486" s="58"/>
      <c r="DEF2486" s="58"/>
      <c r="DEG2486" s="58"/>
      <c r="DEH2486" s="60"/>
      <c r="DEI2486" s="60"/>
      <c r="DEJ2486" s="60"/>
      <c r="DEK2486" s="58"/>
      <c r="DEL2486" s="61"/>
      <c r="DEM2486" s="58"/>
      <c r="DEN2486" s="58"/>
      <c r="DEO2486" s="58"/>
      <c r="DEP2486" s="60"/>
      <c r="DEQ2486" s="60"/>
      <c r="DER2486" s="60"/>
      <c r="DES2486" s="58"/>
      <c r="DET2486" s="61"/>
      <c r="DEU2486" s="58"/>
      <c r="DEV2486" s="58"/>
      <c r="DEW2486" s="58"/>
      <c r="DEX2486" s="60"/>
      <c r="DEY2486" s="60"/>
      <c r="DEZ2486" s="60"/>
      <c r="DFA2486" s="58"/>
      <c r="DFB2486" s="61"/>
      <c r="DFC2486" s="58"/>
      <c r="DFD2486" s="58"/>
      <c r="DFE2486" s="58"/>
      <c r="DFF2486" s="60"/>
      <c r="DFG2486" s="60"/>
      <c r="DFH2486" s="60"/>
      <c r="DFI2486" s="58"/>
      <c r="DFJ2486" s="61"/>
      <c r="DFK2486" s="58"/>
      <c r="DFL2486" s="58"/>
      <c r="DFM2486" s="58"/>
      <c r="DFN2486" s="60"/>
      <c r="DFO2486" s="60"/>
      <c r="DFP2486" s="60"/>
      <c r="DFQ2486" s="58"/>
      <c r="DFR2486" s="61"/>
      <c r="DFS2486" s="58"/>
      <c r="DFT2486" s="58"/>
      <c r="DFU2486" s="58"/>
      <c r="DFV2486" s="60"/>
      <c r="DFW2486" s="60"/>
      <c r="DFX2486" s="60"/>
      <c r="DFY2486" s="58"/>
      <c r="DFZ2486" s="61"/>
      <c r="DGA2486" s="58"/>
      <c r="DGB2486" s="58"/>
      <c r="DGC2486" s="58"/>
      <c r="DGD2486" s="60"/>
      <c r="DGE2486" s="60"/>
      <c r="DGF2486" s="60"/>
      <c r="DGG2486" s="58"/>
      <c r="DGH2486" s="61"/>
      <c r="DGI2486" s="58"/>
      <c r="DGJ2486" s="58"/>
      <c r="DGK2486" s="58"/>
      <c r="DGL2486" s="60"/>
      <c r="DGM2486" s="60"/>
      <c r="DGN2486" s="60"/>
      <c r="DGO2486" s="58"/>
      <c r="DGP2486" s="61"/>
      <c r="DGQ2486" s="58"/>
      <c r="DGR2486" s="58"/>
      <c r="DGS2486" s="58"/>
      <c r="DGT2486" s="60"/>
      <c r="DGU2486" s="60"/>
      <c r="DGV2486" s="60"/>
      <c r="DGW2486" s="58"/>
      <c r="DGX2486" s="61"/>
      <c r="DGY2486" s="58"/>
      <c r="DGZ2486" s="58"/>
      <c r="DHA2486" s="58"/>
      <c r="DHB2486" s="60"/>
      <c r="DHC2486" s="60"/>
      <c r="DHD2486" s="60"/>
      <c r="DHE2486" s="58"/>
      <c r="DHF2486" s="61"/>
      <c r="DHG2486" s="58"/>
      <c r="DHH2486" s="58"/>
      <c r="DHI2486" s="58"/>
      <c r="DHJ2486" s="60"/>
      <c r="DHK2486" s="60"/>
      <c r="DHL2486" s="60"/>
      <c r="DHM2486" s="58"/>
      <c r="DHN2486" s="61"/>
      <c r="DHO2486" s="58"/>
      <c r="DHP2486" s="58"/>
      <c r="DHQ2486" s="58"/>
      <c r="DHR2486" s="60"/>
      <c r="DHS2486" s="60"/>
      <c r="DHT2486" s="60"/>
      <c r="DHU2486" s="58"/>
      <c r="DHV2486" s="61"/>
      <c r="DHW2486" s="58"/>
      <c r="DHX2486" s="58"/>
      <c r="DHY2486" s="58"/>
      <c r="DHZ2486" s="60"/>
      <c r="DIA2486" s="60"/>
      <c r="DIB2486" s="60"/>
      <c r="DIC2486" s="58"/>
      <c r="DID2486" s="61"/>
      <c r="DIE2486" s="58"/>
      <c r="DIF2486" s="58"/>
      <c r="DIG2486" s="58"/>
      <c r="DIH2486" s="60"/>
      <c r="DII2486" s="60"/>
      <c r="DIJ2486" s="60"/>
      <c r="DIK2486" s="58"/>
      <c r="DIL2486" s="61"/>
      <c r="DIM2486" s="58"/>
      <c r="DIN2486" s="58"/>
      <c r="DIO2486" s="58"/>
      <c r="DIP2486" s="60"/>
      <c r="DIQ2486" s="60"/>
      <c r="DIR2486" s="60"/>
      <c r="DIS2486" s="58"/>
      <c r="DIT2486" s="61"/>
      <c r="DIU2486" s="58"/>
      <c r="DIV2486" s="58"/>
      <c r="DIW2486" s="58"/>
      <c r="DIX2486" s="60"/>
      <c r="DIY2486" s="60"/>
      <c r="DIZ2486" s="60"/>
      <c r="DJA2486" s="58"/>
      <c r="DJB2486" s="61"/>
      <c r="DJC2486" s="58"/>
      <c r="DJD2486" s="58"/>
      <c r="DJE2486" s="58"/>
      <c r="DJF2486" s="60"/>
      <c r="DJG2486" s="60"/>
      <c r="DJH2486" s="60"/>
      <c r="DJI2486" s="58"/>
      <c r="DJJ2486" s="61"/>
      <c r="DJK2486" s="58"/>
      <c r="DJL2486" s="58"/>
      <c r="DJM2486" s="58"/>
      <c r="DJN2486" s="60"/>
      <c r="DJO2486" s="60"/>
      <c r="DJP2486" s="60"/>
      <c r="DJQ2486" s="58"/>
      <c r="DJR2486" s="61"/>
      <c r="DJS2486" s="58"/>
      <c r="DJT2486" s="58"/>
      <c r="DJU2486" s="58"/>
      <c r="DJV2486" s="60"/>
      <c r="DJW2486" s="60"/>
      <c r="DJX2486" s="60"/>
      <c r="DJY2486" s="58"/>
      <c r="DJZ2486" s="61"/>
      <c r="DKA2486" s="58"/>
      <c r="DKB2486" s="58"/>
      <c r="DKC2486" s="58"/>
      <c r="DKD2486" s="60"/>
      <c r="DKE2486" s="60"/>
      <c r="DKF2486" s="60"/>
      <c r="DKG2486" s="58"/>
      <c r="DKH2486" s="61"/>
      <c r="DKI2486" s="58"/>
      <c r="DKJ2486" s="58"/>
      <c r="DKK2486" s="58"/>
      <c r="DKL2486" s="60"/>
      <c r="DKM2486" s="60"/>
      <c r="DKN2486" s="60"/>
      <c r="DKO2486" s="58"/>
      <c r="DKP2486" s="61"/>
      <c r="DKQ2486" s="58"/>
      <c r="DKR2486" s="58"/>
      <c r="DKS2486" s="58"/>
      <c r="DKT2486" s="60"/>
      <c r="DKU2486" s="60"/>
      <c r="DKV2486" s="60"/>
      <c r="DKW2486" s="58"/>
      <c r="DKX2486" s="61"/>
      <c r="DKY2486" s="58"/>
      <c r="DKZ2486" s="58"/>
      <c r="DLA2486" s="58"/>
      <c r="DLB2486" s="60"/>
      <c r="DLC2486" s="60"/>
      <c r="DLD2486" s="60"/>
      <c r="DLE2486" s="58"/>
      <c r="DLF2486" s="61"/>
      <c r="DLG2486" s="58"/>
      <c r="DLH2486" s="58"/>
      <c r="DLI2486" s="58"/>
      <c r="DLJ2486" s="60"/>
      <c r="DLK2486" s="60"/>
      <c r="DLL2486" s="60"/>
      <c r="DLM2486" s="58"/>
      <c r="DLN2486" s="61"/>
      <c r="DLO2486" s="58"/>
      <c r="DLP2486" s="58"/>
      <c r="DLQ2486" s="58"/>
      <c r="DLR2486" s="60"/>
      <c r="DLS2486" s="60"/>
      <c r="DLT2486" s="60"/>
      <c r="DLU2486" s="58"/>
      <c r="DLV2486" s="61"/>
      <c r="DLW2486" s="58"/>
      <c r="DLX2486" s="58"/>
      <c r="DLY2486" s="58"/>
      <c r="DLZ2486" s="60"/>
      <c r="DMA2486" s="60"/>
      <c r="DMB2486" s="60"/>
      <c r="DMC2486" s="58"/>
      <c r="DMD2486" s="61"/>
      <c r="DME2486" s="58"/>
      <c r="DMF2486" s="58"/>
      <c r="DMG2486" s="58"/>
      <c r="DMH2486" s="60"/>
      <c r="DMI2486" s="60"/>
      <c r="DMJ2486" s="60"/>
      <c r="DMK2486" s="58"/>
      <c r="DML2486" s="61"/>
      <c r="DMM2486" s="58"/>
      <c r="DMN2486" s="58"/>
      <c r="DMO2486" s="58"/>
      <c r="DMP2486" s="60"/>
      <c r="DMQ2486" s="60"/>
      <c r="DMR2486" s="60"/>
      <c r="DMS2486" s="58"/>
      <c r="DMT2486" s="61"/>
      <c r="DMU2486" s="58"/>
      <c r="DMV2486" s="58"/>
      <c r="DMW2486" s="58"/>
      <c r="DMX2486" s="60"/>
      <c r="DMY2486" s="60"/>
      <c r="DMZ2486" s="60"/>
      <c r="DNA2486" s="58"/>
      <c r="DNB2486" s="61"/>
      <c r="DNC2486" s="58"/>
      <c r="DND2486" s="58"/>
      <c r="DNE2486" s="58"/>
      <c r="DNF2486" s="60"/>
      <c r="DNG2486" s="60"/>
      <c r="DNH2486" s="60"/>
      <c r="DNI2486" s="58"/>
      <c r="DNJ2486" s="61"/>
      <c r="DNK2486" s="58"/>
      <c r="DNL2486" s="58"/>
      <c r="DNM2486" s="58"/>
      <c r="DNN2486" s="60"/>
      <c r="DNO2486" s="60"/>
      <c r="DNP2486" s="60"/>
      <c r="DNQ2486" s="58"/>
      <c r="DNR2486" s="61"/>
      <c r="DNS2486" s="58"/>
      <c r="DNT2486" s="58"/>
      <c r="DNU2486" s="58"/>
      <c r="DNV2486" s="60"/>
      <c r="DNW2486" s="60"/>
      <c r="DNX2486" s="60"/>
      <c r="DNY2486" s="58"/>
      <c r="DNZ2486" s="61"/>
      <c r="DOA2486" s="58"/>
      <c r="DOB2486" s="58"/>
      <c r="DOC2486" s="58"/>
      <c r="DOD2486" s="60"/>
      <c r="DOE2486" s="60"/>
      <c r="DOF2486" s="60"/>
      <c r="DOG2486" s="58"/>
      <c r="DOH2486" s="61"/>
      <c r="DOI2486" s="58"/>
      <c r="DOJ2486" s="58"/>
      <c r="DOK2486" s="58"/>
      <c r="DOL2486" s="60"/>
      <c r="DOM2486" s="60"/>
      <c r="DON2486" s="60"/>
      <c r="DOO2486" s="58"/>
      <c r="DOP2486" s="61"/>
      <c r="DOQ2486" s="58"/>
      <c r="DOR2486" s="58"/>
      <c r="DOS2486" s="58"/>
      <c r="DOT2486" s="60"/>
      <c r="DOU2486" s="60"/>
      <c r="DOV2486" s="60"/>
      <c r="DOW2486" s="58"/>
      <c r="DOX2486" s="61"/>
      <c r="DOY2486" s="58"/>
      <c r="DOZ2486" s="58"/>
      <c r="DPA2486" s="58"/>
      <c r="DPB2486" s="60"/>
      <c r="DPC2486" s="60"/>
      <c r="DPD2486" s="60"/>
      <c r="DPE2486" s="58"/>
      <c r="DPF2486" s="61"/>
      <c r="DPG2486" s="58"/>
      <c r="DPH2486" s="58"/>
      <c r="DPI2486" s="58"/>
      <c r="DPJ2486" s="60"/>
      <c r="DPK2486" s="60"/>
      <c r="DPL2486" s="60"/>
      <c r="DPM2486" s="58"/>
      <c r="DPN2486" s="61"/>
      <c r="DPO2486" s="58"/>
      <c r="DPP2486" s="58"/>
      <c r="DPQ2486" s="58"/>
      <c r="DPR2486" s="60"/>
      <c r="DPS2486" s="60"/>
      <c r="DPT2486" s="60"/>
      <c r="DPU2486" s="58"/>
      <c r="DPV2486" s="61"/>
      <c r="DPW2486" s="58"/>
      <c r="DPX2486" s="58"/>
      <c r="DPY2486" s="58"/>
      <c r="DPZ2486" s="60"/>
      <c r="DQA2486" s="60"/>
      <c r="DQB2486" s="60"/>
      <c r="DQC2486" s="58"/>
      <c r="DQD2486" s="61"/>
      <c r="DQE2486" s="58"/>
      <c r="DQF2486" s="58"/>
      <c r="DQG2486" s="58"/>
      <c r="DQH2486" s="60"/>
      <c r="DQI2486" s="60"/>
      <c r="DQJ2486" s="60"/>
      <c r="DQK2486" s="58"/>
      <c r="DQL2486" s="61"/>
      <c r="DQM2486" s="58"/>
      <c r="DQN2486" s="58"/>
      <c r="DQO2486" s="58"/>
      <c r="DQP2486" s="60"/>
      <c r="DQQ2486" s="60"/>
      <c r="DQR2486" s="60"/>
      <c r="DQS2486" s="58"/>
      <c r="DQT2486" s="61"/>
      <c r="DQU2486" s="58"/>
      <c r="DQV2486" s="58"/>
      <c r="DQW2486" s="58"/>
      <c r="DQX2486" s="60"/>
      <c r="DQY2486" s="60"/>
      <c r="DQZ2486" s="60"/>
      <c r="DRA2486" s="58"/>
      <c r="DRB2486" s="61"/>
      <c r="DRC2486" s="58"/>
      <c r="DRD2486" s="58"/>
      <c r="DRE2486" s="58"/>
      <c r="DRF2486" s="60"/>
      <c r="DRG2486" s="60"/>
      <c r="DRH2486" s="60"/>
      <c r="DRI2486" s="58"/>
      <c r="DRJ2486" s="61"/>
      <c r="DRK2486" s="58"/>
      <c r="DRL2486" s="58"/>
      <c r="DRM2486" s="58"/>
      <c r="DRN2486" s="60"/>
      <c r="DRO2486" s="60"/>
      <c r="DRP2486" s="60"/>
      <c r="DRQ2486" s="58"/>
      <c r="DRR2486" s="61"/>
      <c r="DRS2486" s="58"/>
      <c r="DRT2486" s="58"/>
      <c r="DRU2486" s="58"/>
      <c r="DRV2486" s="60"/>
      <c r="DRW2486" s="60"/>
      <c r="DRX2486" s="60"/>
      <c r="DRY2486" s="58"/>
      <c r="DRZ2486" s="61"/>
      <c r="DSA2486" s="58"/>
      <c r="DSB2486" s="58"/>
      <c r="DSC2486" s="58"/>
      <c r="DSD2486" s="60"/>
      <c r="DSE2486" s="60"/>
      <c r="DSF2486" s="60"/>
      <c r="DSG2486" s="58"/>
      <c r="DSH2486" s="61"/>
      <c r="DSI2486" s="58"/>
      <c r="DSJ2486" s="58"/>
      <c r="DSK2486" s="58"/>
      <c r="DSL2486" s="60"/>
      <c r="DSM2486" s="60"/>
      <c r="DSN2486" s="60"/>
      <c r="DSO2486" s="58"/>
      <c r="DSP2486" s="61"/>
      <c r="DSQ2486" s="58"/>
      <c r="DSR2486" s="58"/>
      <c r="DSS2486" s="58"/>
      <c r="DST2486" s="60"/>
      <c r="DSU2486" s="60"/>
      <c r="DSV2486" s="60"/>
      <c r="DSW2486" s="58"/>
      <c r="DSX2486" s="61"/>
      <c r="DSY2486" s="58"/>
      <c r="DSZ2486" s="58"/>
      <c r="DTA2486" s="58"/>
      <c r="DTB2486" s="60"/>
      <c r="DTC2486" s="60"/>
      <c r="DTD2486" s="60"/>
      <c r="DTE2486" s="58"/>
      <c r="DTF2486" s="61"/>
      <c r="DTG2486" s="58"/>
      <c r="DTH2486" s="58"/>
      <c r="DTI2486" s="58"/>
      <c r="DTJ2486" s="60"/>
      <c r="DTK2486" s="60"/>
      <c r="DTL2486" s="60"/>
      <c r="DTM2486" s="58"/>
      <c r="DTN2486" s="61"/>
      <c r="DTO2486" s="58"/>
      <c r="DTP2486" s="58"/>
      <c r="DTQ2486" s="58"/>
      <c r="DTR2486" s="60"/>
      <c r="DTS2486" s="60"/>
      <c r="DTT2486" s="60"/>
      <c r="DTU2486" s="58"/>
      <c r="DTV2486" s="61"/>
      <c r="DTW2486" s="58"/>
      <c r="DTX2486" s="58"/>
      <c r="DTY2486" s="58"/>
      <c r="DTZ2486" s="60"/>
      <c r="DUA2486" s="60"/>
      <c r="DUB2486" s="60"/>
      <c r="DUC2486" s="58"/>
      <c r="DUD2486" s="61"/>
      <c r="DUE2486" s="58"/>
      <c r="DUF2486" s="58"/>
      <c r="DUG2486" s="58"/>
      <c r="DUH2486" s="60"/>
      <c r="DUI2486" s="60"/>
      <c r="DUJ2486" s="60"/>
      <c r="DUK2486" s="58"/>
      <c r="DUL2486" s="61"/>
      <c r="DUM2486" s="58"/>
      <c r="DUN2486" s="58"/>
      <c r="DUO2486" s="58"/>
      <c r="DUP2486" s="60"/>
      <c r="DUQ2486" s="60"/>
      <c r="DUR2486" s="60"/>
      <c r="DUS2486" s="58"/>
      <c r="DUT2486" s="61"/>
      <c r="DUU2486" s="58"/>
      <c r="DUV2486" s="58"/>
      <c r="DUW2486" s="58"/>
      <c r="DUX2486" s="60"/>
      <c r="DUY2486" s="60"/>
      <c r="DUZ2486" s="60"/>
      <c r="DVA2486" s="58"/>
      <c r="DVB2486" s="61"/>
      <c r="DVC2486" s="58"/>
      <c r="DVD2486" s="58"/>
      <c r="DVE2486" s="58"/>
      <c r="DVF2486" s="60"/>
      <c r="DVG2486" s="60"/>
      <c r="DVH2486" s="60"/>
      <c r="DVI2486" s="58"/>
      <c r="DVJ2486" s="61"/>
      <c r="DVK2486" s="58"/>
      <c r="DVL2486" s="58"/>
      <c r="DVM2486" s="58"/>
      <c r="DVN2486" s="60"/>
      <c r="DVO2486" s="60"/>
      <c r="DVP2486" s="60"/>
      <c r="DVQ2486" s="58"/>
      <c r="DVR2486" s="61"/>
      <c r="DVS2486" s="58"/>
      <c r="DVT2486" s="58"/>
      <c r="DVU2486" s="58"/>
      <c r="DVV2486" s="60"/>
      <c r="DVW2486" s="60"/>
      <c r="DVX2486" s="60"/>
      <c r="DVY2486" s="58"/>
      <c r="DVZ2486" s="61"/>
      <c r="DWA2486" s="58"/>
      <c r="DWB2486" s="58"/>
      <c r="DWC2486" s="58"/>
      <c r="DWD2486" s="60"/>
      <c r="DWE2486" s="60"/>
      <c r="DWF2486" s="60"/>
      <c r="DWG2486" s="58"/>
      <c r="DWH2486" s="61"/>
      <c r="DWI2486" s="58"/>
      <c r="DWJ2486" s="58"/>
      <c r="DWK2486" s="58"/>
      <c r="DWL2486" s="60"/>
      <c r="DWM2486" s="60"/>
      <c r="DWN2486" s="60"/>
      <c r="DWO2486" s="58"/>
      <c r="DWP2486" s="61"/>
      <c r="DWQ2486" s="58"/>
      <c r="DWR2486" s="58"/>
      <c r="DWS2486" s="58"/>
      <c r="DWT2486" s="60"/>
      <c r="DWU2486" s="60"/>
      <c r="DWV2486" s="60"/>
      <c r="DWW2486" s="58"/>
      <c r="DWX2486" s="61"/>
      <c r="DWY2486" s="58"/>
      <c r="DWZ2486" s="58"/>
      <c r="DXA2486" s="58"/>
      <c r="DXB2486" s="60"/>
      <c r="DXC2486" s="60"/>
      <c r="DXD2486" s="60"/>
      <c r="DXE2486" s="58"/>
      <c r="DXF2486" s="61"/>
      <c r="DXG2486" s="58"/>
      <c r="DXH2486" s="58"/>
      <c r="DXI2486" s="58"/>
      <c r="DXJ2486" s="60"/>
      <c r="DXK2486" s="60"/>
      <c r="DXL2486" s="60"/>
      <c r="DXM2486" s="58"/>
      <c r="DXN2486" s="61"/>
      <c r="DXO2486" s="58"/>
      <c r="DXP2486" s="58"/>
      <c r="DXQ2486" s="58"/>
      <c r="DXR2486" s="60"/>
      <c r="DXS2486" s="60"/>
      <c r="DXT2486" s="60"/>
      <c r="DXU2486" s="58"/>
      <c r="DXV2486" s="61"/>
      <c r="DXW2486" s="58"/>
      <c r="DXX2486" s="58"/>
      <c r="DXY2486" s="58"/>
      <c r="DXZ2486" s="60"/>
      <c r="DYA2486" s="60"/>
      <c r="DYB2486" s="60"/>
      <c r="DYC2486" s="58"/>
      <c r="DYD2486" s="61"/>
      <c r="DYE2486" s="58"/>
      <c r="DYF2486" s="58"/>
      <c r="DYG2486" s="58"/>
      <c r="DYH2486" s="60"/>
      <c r="DYI2486" s="60"/>
      <c r="DYJ2486" s="60"/>
      <c r="DYK2486" s="58"/>
      <c r="DYL2486" s="61"/>
      <c r="DYM2486" s="58"/>
      <c r="DYN2486" s="58"/>
      <c r="DYO2486" s="58"/>
      <c r="DYP2486" s="60"/>
      <c r="DYQ2486" s="60"/>
      <c r="DYR2486" s="60"/>
      <c r="DYS2486" s="58"/>
      <c r="DYT2486" s="61"/>
      <c r="DYU2486" s="58"/>
      <c r="DYV2486" s="58"/>
      <c r="DYW2486" s="58"/>
      <c r="DYX2486" s="60"/>
      <c r="DYY2486" s="60"/>
      <c r="DYZ2486" s="60"/>
      <c r="DZA2486" s="58"/>
      <c r="DZB2486" s="61"/>
      <c r="DZC2486" s="58"/>
      <c r="DZD2486" s="58"/>
      <c r="DZE2486" s="58"/>
      <c r="DZF2486" s="60"/>
      <c r="DZG2486" s="60"/>
      <c r="DZH2486" s="60"/>
      <c r="DZI2486" s="58"/>
      <c r="DZJ2486" s="61"/>
      <c r="DZK2486" s="58"/>
      <c r="DZL2486" s="58"/>
      <c r="DZM2486" s="58"/>
      <c r="DZN2486" s="60"/>
      <c r="DZO2486" s="60"/>
      <c r="DZP2486" s="60"/>
      <c r="DZQ2486" s="58"/>
      <c r="DZR2486" s="61"/>
      <c r="DZS2486" s="58"/>
      <c r="DZT2486" s="58"/>
      <c r="DZU2486" s="58"/>
      <c r="DZV2486" s="60"/>
      <c r="DZW2486" s="60"/>
      <c r="DZX2486" s="60"/>
      <c r="DZY2486" s="58"/>
      <c r="DZZ2486" s="61"/>
      <c r="EAA2486" s="58"/>
      <c r="EAB2486" s="58"/>
      <c r="EAC2486" s="58"/>
      <c r="EAD2486" s="60"/>
      <c r="EAE2486" s="60"/>
      <c r="EAF2486" s="60"/>
      <c r="EAG2486" s="58"/>
      <c r="EAH2486" s="61"/>
      <c r="EAI2486" s="58"/>
      <c r="EAJ2486" s="58"/>
      <c r="EAK2486" s="58"/>
      <c r="EAL2486" s="60"/>
      <c r="EAM2486" s="60"/>
      <c r="EAN2486" s="60"/>
      <c r="EAO2486" s="58"/>
      <c r="EAP2486" s="61"/>
      <c r="EAQ2486" s="58"/>
      <c r="EAR2486" s="58"/>
      <c r="EAS2486" s="58"/>
      <c r="EAT2486" s="60"/>
      <c r="EAU2486" s="60"/>
      <c r="EAV2486" s="60"/>
      <c r="EAW2486" s="58"/>
      <c r="EAX2486" s="61"/>
      <c r="EAY2486" s="58"/>
      <c r="EAZ2486" s="58"/>
      <c r="EBA2486" s="58"/>
      <c r="EBB2486" s="60"/>
      <c r="EBC2486" s="60"/>
      <c r="EBD2486" s="60"/>
      <c r="EBE2486" s="58"/>
      <c r="EBF2486" s="61"/>
      <c r="EBG2486" s="58"/>
      <c r="EBH2486" s="58"/>
      <c r="EBI2486" s="58"/>
      <c r="EBJ2486" s="60"/>
      <c r="EBK2486" s="60"/>
      <c r="EBL2486" s="60"/>
      <c r="EBM2486" s="58"/>
      <c r="EBN2486" s="61"/>
      <c r="EBO2486" s="58"/>
      <c r="EBP2486" s="58"/>
      <c r="EBQ2486" s="58"/>
      <c r="EBR2486" s="60"/>
      <c r="EBS2486" s="60"/>
      <c r="EBT2486" s="60"/>
      <c r="EBU2486" s="58"/>
      <c r="EBV2486" s="61"/>
      <c r="EBW2486" s="58"/>
      <c r="EBX2486" s="58"/>
      <c r="EBY2486" s="58"/>
      <c r="EBZ2486" s="60"/>
      <c r="ECA2486" s="60"/>
      <c r="ECB2486" s="60"/>
      <c r="ECC2486" s="58"/>
      <c r="ECD2486" s="61"/>
      <c r="ECE2486" s="58"/>
      <c r="ECF2486" s="58"/>
      <c r="ECG2486" s="58"/>
      <c r="ECH2486" s="60"/>
      <c r="ECI2486" s="60"/>
      <c r="ECJ2486" s="60"/>
      <c r="ECK2486" s="58"/>
      <c r="ECL2486" s="61"/>
      <c r="ECM2486" s="58"/>
      <c r="ECN2486" s="58"/>
      <c r="ECO2486" s="58"/>
      <c r="ECP2486" s="60"/>
      <c r="ECQ2486" s="60"/>
      <c r="ECR2486" s="60"/>
      <c r="ECS2486" s="58"/>
      <c r="ECT2486" s="61"/>
      <c r="ECU2486" s="58"/>
      <c r="ECV2486" s="58"/>
      <c r="ECW2486" s="58"/>
      <c r="ECX2486" s="60"/>
      <c r="ECY2486" s="60"/>
      <c r="ECZ2486" s="60"/>
      <c r="EDA2486" s="58"/>
      <c r="EDB2486" s="61"/>
      <c r="EDC2486" s="58"/>
      <c r="EDD2486" s="58"/>
      <c r="EDE2486" s="58"/>
      <c r="EDF2486" s="60"/>
      <c r="EDG2486" s="60"/>
      <c r="EDH2486" s="60"/>
      <c r="EDI2486" s="58"/>
      <c r="EDJ2486" s="61"/>
      <c r="EDK2486" s="58"/>
      <c r="EDL2486" s="58"/>
      <c r="EDM2486" s="58"/>
      <c r="EDN2486" s="60"/>
      <c r="EDO2486" s="60"/>
      <c r="EDP2486" s="60"/>
      <c r="EDQ2486" s="58"/>
      <c r="EDR2486" s="61"/>
      <c r="EDS2486" s="58"/>
      <c r="EDT2486" s="58"/>
      <c r="EDU2486" s="58"/>
      <c r="EDV2486" s="60"/>
      <c r="EDW2486" s="60"/>
      <c r="EDX2486" s="60"/>
      <c r="EDY2486" s="58"/>
      <c r="EDZ2486" s="61"/>
      <c r="EEA2486" s="58"/>
      <c r="EEB2486" s="58"/>
      <c r="EEC2486" s="58"/>
      <c r="EED2486" s="60"/>
      <c r="EEE2486" s="60"/>
      <c r="EEF2486" s="60"/>
      <c r="EEG2486" s="58"/>
      <c r="EEH2486" s="61"/>
      <c r="EEI2486" s="58"/>
      <c r="EEJ2486" s="58"/>
      <c r="EEK2486" s="58"/>
      <c r="EEL2486" s="60"/>
      <c r="EEM2486" s="60"/>
      <c r="EEN2486" s="60"/>
      <c r="EEO2486" s="58"/>
      <c r="EEP2486" s="61"/>
      <c r="EEQ2486" s="58"/>
      <c r="EER2486" s="58"/>
      <c r="EES2486" s="58"/>
      <c r="EET2486" s="60"/>
      <c r="EEU2486" s="60"/>
      <c r="EEV2486" s="60"/>
      <c r="EEW2486" s="58"/>
      <c r="EEX2486" s="61"/>
      <c r="EEY2486" s="58"/>
      <c r="EEZ2486" s="58"/>
      <c r="EFA2486" s="58"/>
      <c r="EFB2486" s="60"/>
      <c r="EFC2486" s="60"/>
      <c r="EFD2486" s="60"/>
      <c r="EFE2486" s="58"/>
      <c r="EFF2486" s="61"/>
      <c r="EFG2486" s="58"/>
      <c r="EFH2486" s="58"/>
      <c r="EFI2486" s="58"/>
      <c r="EFJ2486" s="60"/>
      <c r="EFK2486" s="60"/>
      <c r="EFL2486" s="60"/>
      <c r="EFM2486" s="58"/>
      <c r="EFN2486" s="61"/>
      <c r="EFO2486" s="58"/>
      <c r="EFP2486" s="58"/>
      <c r="EFQ2486" s="58"/>
      <c r="EFR2486" s="60"/>
      <c r="EFS2486" s="60"/>
      <c r="EFT2486" s="60"/>
      <c r="EFU2486" s="58"/>
      <c r="EFV2486" s="61"/>
      <c r="EFW2486" s="58"/>
      <c r="EFX2486" s="58"/>
      <c r="EFY2486" s="58"/>
      <c r="EFZ2486" s="60"/>
      <c r="EGA2486" s="60"/>
      <c r="EGB2486" s="60"/>
      <c r="EGC2486" s="58"/>
      <c r="EGD2486" s="61"/>
      <c r="EGE2486" s="58"/>
      <c r="EGF2486" s="58"/>
      <c r="EGG2486" s="58"/>
      <c r="EGH2486" s="60"/>
      <c r="EGI2486" s="60"/>
      <c r="EGJ2486" s="60"/>
      <c r="EGK2486" s="58"/>
      <c r="EGL2486" s="61"/>
      <c r="EGM2486" s="58"/>
      <c r="EGN2486" s="58"/>
      <c r="EGO2486" s="58"/>
      <c r="EGP2486" s="60"/>
      <c r="EGQ2486" s="60"/>
      <c r="EGR2486" s="60"/>
      <c r="EGS2486" s="58"/>
      <c r="EGT2486" s="61"/>
      <c r="EGU2486" s="58"/>
      <c r="EGV2486" s="58"/>
      <c r="EGW2486" s="58"/>
      <c r="EGX2486" s="60"/>
      <c r="EGY2486" s="60"/>
      <c r="EGZ2486" s="60"/>
      <c r="EHA2486" s="58"/>
      <c r="EHB2486" s="61"/>
      <c r="EHC2486" s="58"/>
      <c r="EHD2486" s="58"/>
      <c r="EHE2486" s="58"/>
      <c r="EHF2486" s="60"/>
      <c r="EHG2486" s="60"/>
      <c r="EHH2486" s="60"/>
      <c r="EHI2486" s="58"/>
      <c r="EHJ2486" s="61"/>
      <c r="EHK2486" s="58"/>
      <c r="EHL2486" s="58"/>
      <c r="EHM2486" s="58"/>
      <c r="EHN2486" s="60"/>
      <c r="EHO2486" s="60"/>
      <c r="EHP2486" s="60"/>
      <c r="EHQ2486" s="58"/>
      <c r="EHR2486" s="61"/>
      <c r="EHS2486" s="58"/>
      <c r="EHT2486" s="58"/>
      <c r="EHU2486" s="58"/>
      <c r="EHV2486" s="60"/>
      <c r="EHW2486" s="60"/>
      <c r="EHX2486" s="60"/>
      <c r="EHY2486" s="58"/>
      <c r="EHZ2486" s="61"/>
      <c r="EIA2486" s="58"/>
      <c r="EIB2486" s="58"/>
      <c r="EIC2486" s="58"/>
      <c r="EID2486" s="60"/>
      <c r="EIE2486" s="60"/>
      <c r="EIF2486" s="60"/>
      <c r="EIG2486" s="58"/>
      <c r="EIH2486" s="61"/>
      <c r="EII2486" s="58"/>
      <c r="EIJ2486" s="58"/>
      <c r="EIK2486" s="58"/>
      <c r="EIL2486" s="60"/>
      <c r="EIM2486" s="60"/>
      <c r="EIN2486" s="60"/>
      <c r="EIO2486" s="58"/>
      <c r="EIP2486" s="61"/>
      <c r="EIQ2486" s="58"/>
      <c r="EIR2486" s="58"/>
      <c r="EIS2486" s="58"/>
      <c r="EIT2486" s="60"/>
      <c r="EIU2486" s="60"/>
      <c r="EIV2486" s="60"/>
      <c r="EIW2486" s="58"/>
      <c r="EIX2486" s="61"/>
      <c r="EIY2486" s="58"/>
      <c r="EIZ2486" s="58"/>
      <c r="EJA2486" s="58"/>
      <c r="EJB2486" s="60"/>
      <c r="EJC2486" s="60"/>
      <c r="EJD2486" s="60"/>
      <c r="EJE2486" s="58"/>
      <c r="EJF2486" s="61"/>
      <c r="EJG2486" s="58"/>
      <c r="EJH2486" s="58"/>
      <c r="EJI2486" s="58"/>
      <c r="EJJ2486" s="60"/>
      <c r="EJK2486" s="60"/>
      <c r="EJL2486" s="60"/>
      <c r="EJM2486" s="58"/>
      <c r="EJN2486" s="61"/>
      <c r="EJO2486" s="58"/>
      <c r="EJP2486" s="58"/>
      <c r="EJQ2486" s="58"/>
      <c r="EJR2486" s="60"/>
      <c r="EJS2486" s="60"/>
      <c r="EJT2486" s="60"/>
      <c r="EJU2486" s="58"/>
      <c r="EJV2486" s="61"/>
      <c r="EJW2486" s="58"/>
      <c r="EJX2486" s="58"/>
      <c r="EJY2486" s="58"/>
      <c r="EJZ2486" s="60"/>
      <c r="EKA2486" s="60"/>
      <c r="EKB2486" s="60"/>
      <c r="EKC2486" s="58"/>
      <c r="EKD2486" s="61"/>
      <c r="EKE2486" s="58"/>
      <c r="EKF2486" s="58"/>
      <c r="EKG2486" s="58"/>
      <c r="EKH2486" s="60"/>
      <c r="EKI2486" s="60"/>
      <c r="EKJ2486" s="60"/>
      <c r="EKK2486" s="58"/>
      <c r="EKL2486" s="61"/>
      <c r="EKM2486" s="58"/>
      <c r="EKN2486" s="58"/>
      <c r="EKO2486" s="58"/>
      <c r="EKP2486" s="60"/>
      <c r="EKQ2486" s="60"/>
      <c r="EKR2486" s="60"/>
      <c r="EKS2486" s="58"/>
      <c r="EKT2486" s="61"/>
      <c r="EKU2486" s="58"/>
      <c r="EKV2486" s="58"/>
      <c r="EKW2486" s="58"/>
      <c r="EKX2486" s="60"/>
      <c r="EKY2486" s="60"/>
      <c r="EKZ2486" s="60"/>
      <c r="ELA2486" s="58"/>
      <c r="ELB2486" s="61"/>
      <c r="ELC2486" s="58"/>
      <c r="ELD2486" s="58"/>
      <c r="ELE2486" s="58"/>
      <c r="ELF2486" s="60"/>
      <c r="ELG2486" s="60"/>
      <c r="ELH2486" s="60"/>
      <c r="ELI2486" s="58"/>
      <c r="ELJ2486" s="61"/>
      <c r="ELK2486" s="58"/>
      <c r="ELL2486" s="58"/>
      <c r="ELM2486" s="58"/>
      <c r="ELN2486" s="60"/>
      <c r="ELO2486" s="60"/>
      <c r="ELP2486" s="60"/>
      <c r="ELQ2486" s="58"/>
      <c r="ELR2486" s="61"/>
      <c r="ELS2486" s="58"/>
      <c r="ELT2486" s="58"/>
      <c r="ELU2486" s="58"/>
      <c r="ELV2486" s="60"/>
      <c r="ELW2486" s="60"/>
      <c r="ELX2486" s="60"/>
      <c r="ELY2486" s="58"/>
      <c r="ELZ2486" s="61"/>
      <c r="EMA2486" s="58"/>
      <c r="EMB2486" s="58"/>
      <c r="EMC2486" s="58"/>
      <c r="EMD2486" s="60"/>
      <c r="EME2486" s="60"/>
      <c r="EMF2486" s="60"/>
      <c r="EMG2486" s="58"/>
      <c r="EMH2486" s="61"/>
      <c r="EMI2486" s="58"/>
      <c r="EMJ2486" s="58"/>
      <c r="EMK2486" s="58"/>
      <c r="EML2486" s="60"/>
      <c r="EMM2486" s="60"/>
      <c r="EMN2486" s="60"/>
      <c r="EMO2486" s="58"/>
      <c r="EMP2486" s="61"/>
      <c r="EMQ2486" s="58"/>
      <c r="EMR2486" s="58"/>
      <c r="EMS2486" s="58"/>
      <c r="EMT2486" s="60"/>
      <c r="EMU2486" s="60"/>
      <c r="EMV2486" s="60"/>
      <c r="EMW2486" s="58"/>
      <c r="EMX2486" s="61"/>
      <c r="EMY2486" s="58"/>
      <c r="EMZ2486" s="58"/>
      <c r="ENA2486" s="58"/>
      <c r="ENB2486" s="60"/>
      <c r="ENC2486" s="60"/>
      <c r="END2486" s="60"/>
      <c r="ENE2486" s="58"/>
      <c r="ENF2486" s="61"/>
      <c r="ENG2486" s="58"/>
      <c r="ENH2486" s="58"/>
      <c r="ENI2486" s="58"/>
      <c r="ENJ2486" s="60"/>
      <c r="ENK2486" s="60"/>
      <c r="ENL2486" s="60"/>
      <c r="ENM2486" s="58"/>
      <c r="ENN2486" s="61"/>
      <c r="ENO2486" s="58"/>
      <c r="ENP2486" s="58"/>
      <c r="ENQ2486" s="58"/>
      <c r="ENR2486" s="60"/>
      <c r="ENS2486" s="60"/>
      <c r="ENT2486" s="60"/>
      <c r="ENU2486" s="58"/>
      <c r="ENV2486" s="61"/>
      <c r="ENW2486" s="58"/>
      <c r="ENX2486" s="58"/>
      <c r="ENY2486" s="58"/>
      <c r="ENZ2486" s="60"/>
      <c r="EOA2486" s="60"/>
      <c r="EOB2486" s="60"/>
      <c r="EOC2486" s="58"/>
      <c r="EOD2486" s="61"/>
      <c r="EOE2486" s="58"/>
      <c r="EOF2486" s="58"/>
      <c r="EOG2486" s="58"/>
      <c r="EOH2486" s="60"/>
      <c r="EOI2486" s="60"/>
      <c r="EOJ2486" s="60"/>
      <c r="EOK2486" s="58"/>
      <c r="EOL2486" s="61"/>
      <c r="EOM2486" s="58"/>
      <c r="EON2486" s="58"/>
      <c r="EOO2486" s="58"/>
      <c r="EOP2486" s="60"/>
      <c r="EOQ2486" s="60"/>
      <c r="EOR2486" s="60"/>
      <c r="EOS2486" s="58"/>
      <c r="EOT2486" s="61"/>
      <c r="EOU2486" s="58"/>
      <c r="EOV2486" s="58"/>
      <c r="EOW2486" s="58"/>
      <c r="EOX2486" s="60"/>
      <c r="EOY2486" s="60"/>
      <c r="EOZ2486" s="60"/>
      <c r="EPA2486" s="58"/>
      <c r="EPB2486" s="61"/>
      <c r="EPC2486" s="58"/>
      <c r="EPD2486" s="58"/>
      <c r="EPE2486" s="58"/>
      <c r="EPF2486" s="60"/>
      <c r="EPG2486" s="60"/>
      <c r="EPH2486" s="60"/>
      <c r="EPI2486" s="58"/>
      <c r="EPJ2486" s="61"/>
      <c r="EPK2486" s="58"/>
      <c r="EPL2486" s="58"/>
      <c r="EPM2486" s="58"/>
      <c r="EPN2486" s="60"/>
      <c r="EPO2486" s="60"/>
      <c r="EPP2486" s="60"/>
      <c r="EPQ2486" s="58"/>
      <c r="EPR2486" s="61"/>
      <c r="EPS2486" s="58"/>
      <c r="EPT2486" s="58"/>
      <c r="EPU2486" s="58"/>
      <c r="EPV2486" s="60"/>
      <c r="EPW2486" s="60"/>
      <c r="EPX2486" s="60"/>
      <c r="EPY2486" s="58"/>
      <c r="EPZ2486" s="61"/>
      <c r="EQA2486" s="58"/>
      <c r="EQB2486" s="58"/>
      <c r="EQC2486" s="58"/>
      <c r="EQD2486" s="60"/>
      <c r="EQE2486" s="60"/>
      <c r="EQF2486" s="60"/>
      <c r="EQG2486" s="58"/>
      <c r="EQH2486" s="61"/>
      <c r="EQI2486" s="58"/>
      <c r="EQJ2486" s="58"/>
      <c r="EQK2486" s="58"/>
      <c r="EQL2486" s="60"/>
      <c r="EQM2486" s="60"/>
      <c r="EQN2486" s="60"/>
      <c r="EQO2486" s="58"/>
      <c r="EQP2486" s="61"/>
      <c r="EQQ2486" s="58"/>
      <c r="EQR2486" s="58"/>
      <c r="EQS2486" s="58"/>
      <c r="EQT2486" s="60"/>
      <c r="EQU2486" s="60"/>
      <c r="EQV2486" s="60"/>
      <c r="EQW2486" s="58"/>
      <c r="EQX2486" s="61"/>
      <c r="EQY2486" s="58"/>
      <c r="EQZ2486" s="58"/>
      <c r="ERA2486" s="58"/>
      <c r="ERB2486" s="60"/>
      <c r="ERC2486" s="60"/>
      <c r="ERD2486" s="60"/>
      <c r="ERE2486" s="58"/>
      <c r="ERF2486" s="61"/>
      <c r="ERG2486" s="58"/>
      <c r="ERH2486" s="58"/>
      <c r="ERI2486" s="58"/>
      <c r="ERJ2486" s="60"/>
      <c r="ERK2486" s="60"/>
      <c r="ERL2486" s="60"/>
      <c r="ERM2486" s="58"/>
      <c r="ERN2486" s="61"/>
      <c r="ERO2486" s="58"/>
      <c r="ERP2486" s="58"/>
      <c r="ERQ2486" s="58"/>
      <c r="ERR2486" s="60"/>
      <c r="ERS2486" s="60"/>
      <c r="ERT2486" s="60"/>
      <c r="ERU2486" s="58"/>
      <c r="ERV2486" s="61"/>
      <c r="ERW2486" s="58"/>
      <c r="ERX2486" s="58"/>
      <c r="ERY2486" s="58"/>
      <c r="ERZ2486" s="60"/>
      <c r="ESA2486" s="60"/>
      <c r="ESB2486" s="60"/>
      <c r="ESC2486" s="58"/>
      <c r="ESD2486" s="61"/>
      <c r="ESE2486" s="58"/>
      <c r="ESF2486" s="58"/>
      <c r="ESG2486" s="58"/>
      <c r="ESH2486" s="60"/>
      <c r="ESI2486" s="60"/>
      <c r="ESJ2486" s="60"/>
      <c r="ESK2486" s="58"/>
      <c r="ESL2486" s="61"/>
      <c r="ESM2486" s="58"/>
      <c r="ESN2486" s="58"/>
      <c r="ESO2486" s="58"/>
      <c r="ESP2486" s="60"/>
      <c r="ESQ2486" s="60"/>
      <c r="ESR2486" s="60"/>
      <c r="ESS2486" s="58"/>
      <c r="EST2486" s="61"/>
      <c r="ESU2486" s="58"/>
      <c r="ESV2486" s="58"/>
      <c r="ESW2486" s="58"/>
      <c r="ESX2486" s="60"/>
      <c r="ESY2486" s="60"/>
      <c r="ESZ2486" s="60"/>
      <c r="ETA2486" s="58"/>
      <c r="ETB2486" s="61"/>
      <c r="ETC2486" s="58"/>
      <c r="ETD2486" s="58"/>
      <c r="ETE2486" s="58"/>
      <c r="ETF2486" s="60"/>
      <c r="ETG2486" s="60"/>
      <c r="ETH2486" s="60"/>
      <c r="ETI2486" s="58"/>
      <c r="ETJ2486" s="61"/>
      <c r="ETK2486" s="58"/>
      <c r="ETL2486" s="58"/>
      <c r="ETM2486" s="58"/>
      <c r="ETN2486" s="60"/>
      <c r="ETO2486" s="60"/>
      <c r="ETP2486" s="60"/>
      <c r="ETQ2486" s="58"/>
      <c r="ETR2486" s="61"/>
      <c r="ETS2486" s="58"/>
      <c r="ETT2486" s="58"/>
      <c r="ETU2486" s="58"/>
      <c r="ETV2486" s="60"/>
      <c r="ETW2486" s="60"/>
      <c r="ETX2486" s="60"/>
      <c r="ETY2486" s="58"/>
      <c r="ETZ2486" s="61"/>
      <c r="EUA2486" s="58"/>
      <c r="EUB2486" s="58"/>
      <c r="EUC2486" s="58"/>
      <c r="EUD2486" s="60"/>
      <c r="EUE2486" s="60"/>
      <c r="EUF2486" s="60"/>
      <c r="EUG2486" s="58"/>
      <c r="EUH2486" s="61"/>
      <c r="EUI2486" s="58"/>
      <c r="EUJ2486" s="58"/>
      <c r="EUK2486" s="58"/>
      <c r="EUL2486" s="60"/>
      <c r="EUM2486" s="60"/>
      <c r="EUN2486" s="60"/>
      <c r="EUO2486" s="58"/>
      <c r="EUP2486" s="61"/>
      <c r="EUQ2486" s="58"/>
      <c r="EUR2486" s="58"/>
      <c r="EUS2486" s="58"/>
      <c r="EUT2486" s="60"/>
      <c r="EUU2486" s="60"/>
      <c r="EUV2486" s="60"/>
      <c r="EUW2486" s="58"/>
      <c r="EUX2486" s="61"/>
      <c r="EUY2486" s="58"/>
      <c r="EUZ2486" s="58"/>
      <c r="EVA2486" s="58"/>
      <c r="EVB2486" s="60"/>
      <c r="EVC2486" s="60"/>
      <c r="EVD2486" s="60"/>
      <c r="EVE2486" s="58"/>
      <c r="EVF2486" s="61"/>
      <c r="EVG2486" s="58"/>
      <c r="EVH2486" s="58"/>
      <c r="EVI2486" s="58"/>
      <c r="EVJ2486" s="60"/>
      <c r="EVK2486" s="60"/>
      <c r="EVL2486" s="60"/>
      <c r="EVM2486" s="58"/>
      <c r="EVN2486" s="61"/>
      <c r="EVO2486" s="58"/>
      <c r="EVP2486" s="58"/>
      <c r="EVQ2486" s="58"/>
      <c r="EVR2486" s="60"/>
      <c r="EVS2486" s="60"/>
      <c r="EVT2486" s="60"/>
      <c r="EVU2486" s="58"/>
      <c r="EVV2486" s="61"/>
      <c r="EVW2486" s="58"/>
      <c r="EVX2486" s="58"/>
      <c r="EVY2486" s="58"/>
      <c r="EVZ2486" s="60"/>
      <c r="EWA2486" s="60"/>
      <c r="EWB2486" s="60"/>
      <c r="EWC2486" s="58"/>
      <c r="EWD2486" s="61"/>
      <c r="EWE2486" s="58"/>
      <c r="EWF2486" s="58"/>
      <c r="EWG2486" s="58"/>
      <c r="EWH2486" s="60"/>
      <c r="EWI2486" s="60"/>
      <c r="EWJ2486" s="60"/>
      <c r="EWK2486" s="58"/>
      <c r="EWL2486" s="61"/>
      <c r="EWM2486" s="58"/>
      <c r="EWN2486" s="58"/>
      <c r="EWO2486" s="58"/>
      <c r="EWP2486" s="60"/>
      <c r="EWQ2486" s="60"/>
      <c r="EWR2486" s="60"/>
      <c r="EWS2486" s="58"/>
      <c r="EWT2486" s="61"/>
      <c r="EWU2486" s="58"/>
      <c r="EWV2486" s="58"/>
      <c r="EWW2486" s="58"/>
      <c r="EWX2486" s="60"/>
      <c r="EWY2486" s="60"/>
      <c r="EWZ2486" s="60"/>
      <c r="EXA2486" s="58"/>
      <c r="EXB2486" s="61"/>
      <c r="EXC2486" s="58"/>
      <c r="EXD2486" s="58"/>
      <c r="EXE2486" s="58"/>
      <c r="EXF2486" s="60"/>
      <c r="EXG2486" s="60"/>
      <c r="EXH2486" s="60"/>
      <c r="EXI2486" s="58"/>
      <c r="EXJ2486" s="61"/>
      <c r="EXK2486" s="58"/>
      <c r="EXL2486" s="58"/>
      <c r="EXM2486" s="58"/>
      <c r="EXN2486" s="60"/>
      <c r="EXO2486" s="60"/>
      <c r="EXP2486" s="60"/>
      <c r="EXQ2486" s="58"/>
      <c r="EXR2486" s="61"/>
      <c r="EXS2486" s="58"/>
      <c r="EXT2486" s="58"/>
      <c r="EXU2486" s="58"/>
      <c r="EXV2486" s="60"/>
      <c r="EXW2486" s="60"/>
      <c r="EXX2486" s="60"/>
      <c r="EXY2486" s="58"/>
      <c r="EXZ2486" s="61"/>
      <c r="EYA2486" s="58"/>
      <c r="EYB2486" s="58"/>
      <c r="EYC2486" s="58"/>
      <c r="EYD2486" s="60"/>
      <c r="EYE2486" s="60"/>
      <c r="EYF2486" s="60"/>
      <c r="EYG2486" s="58"/>
      <c r="EYH2486" s="61"/>
      <c r="EYI2486" s="58"/>
      <c r="EYJ2486" s="58"/>
      <c r="EYK2486" s="58"/>
      <c r="EYL2486" s="60"/>
      <c r="EYM2486" s="60"/>
      <c r="EYN2486" s="60"/>
      <c r="EYO2486" s="58"/>
      <c r="EYP2486" s="61"/>
      <c r="EYQ2486" s="58"/>
      <c r="EYR2486" s="58"/>
      <c r="EYS2486" s="58"/>
      <c r="EYT2486" s="60"/>
      <c r="EYU2486" s="60"/>
      <c r="EYV2486" s="60"/>
      <c r="EYW2486" s="58"/>
      <c r="EYX2486" s="61"/>
      <c r="EYY2486" s="58"/>
      <c r="EYZ2486" s="58"/>
      <c r="EZA2486" s="58"/>
      <c r="EZB2486" s="60"/>
      <c r="EZC2486" s="60"/>
      <c r="EZD2486" s="60"/>
      <c r="EZE2486" s="58"/>
      <c r="EZF2486" s="61"/>
      <c r="EZG2486" s="58"/>
      <c r="EZH2486" s="58"/>
      <c r="EZI2486" s="58"/>
      <c r="EZJ2486" s="60"/>
      <c r="EZK2486" s="60"/>
      <c r="EZL2486" s="60"/>
      <c r="EZM2486" s="58"/>
      <c r="EZN2486" s="61"/>
      <c r="EZO2486" s="58"/>
      <c r="EZP2486" s="58"/>
      <c r="EZQ2486" s="58"/>
      <c r="EZR2486" s="60"/>
      <c r="EZS2486" s="60"/>
      <c r="EZT2486" s="60"/>
      <c r="EZU2486" s="58"/>
      <c r="EZV2486" s="61"/>
      <c r="EZW2486" s="58"/>
      <c r="EZX2486" s="58"/>
      <c r="EZY2486" s="58"/>
      <c r="EZZ2486" s="60"/>
      <c r="FAA2486" s="60"/>
      <c r="FAB2486" s="60"/>
      <c r="FAC2486" s="58"/>
      <c r="FAD2486" s="61"/>
      <c r="FAE2486" s="58"/>
      <c r="FAF2486" s="58"/>
      <c r="FAG2486" s="58"/>
      <c r="FAH2486" s="60"/>
      <c r="FAI2486" s="60"/>
      <c r="FAJ2486" s="60"/>
      <c r="FAK2486" s="58"/>
      <c r="FAL2486" s="61"/>
      <c r="FAM2486" s="58"/>
      <c r="FAN2486" s="58"/>
      <c r="FAO2486" s="58"/>
      <c r="FAP2486" s="60"/>
      <c r="FAQ2486" s="60"/>
      <c r="FAR2486" s="60"/>
      <c r="FAS2486" s="58"/>
      <c r="FAT2486" s="61"/>
      <c r="FAU2486" s="58"/>
      <c r="FAV2486" s="58"/>
      <c r="FAW2486" s="58"/>
      <c r="FAX2486" s="60"/>
      <c r="FAY2486" s="60"/>
      <c r="FAZ2486" s="60"/>
      <c r="FBA2486" s="58"/>
      <c r="FBB2486" s="61"/>
      <c r="FBC2486" s="58"/>
      <c r="FBD2486" s="58"/>
      <c r="FBE2486" s="58"/>
      <c r="FBF2486" s="60"/>
      <c r="FBG2486" s="60"/>
      <c r="FBH2486" s="60"/>
      <c r="FBI2486" s="58"/>
      <c r="FBJ2486" s="61"/>
      <c r="FBK2486" s="58"/>
      <c r="FBL2486" s="58"/>
      <c r="FBM2486" s="58"/>
      <c r="FBN2486" s="60"/>
      <c r="FBO2486" s="60"/>
      <c r="FBP2486" s="60"/>
      <c r="FBQ2486" s="58"/>
      <c r="FBR2486" s="61"/>
      <c r="FBS2486" s="58"/>
      <c r="FBT2486" s="58"/>
      <c r="FBU2486" s="58"/>
      <c r="FBV2486" s="60"/>
      <c r="FBW2486" s="60"/>
      <c r="FBX2486" s="60"/>
      <c r="FBY2486" s="58"/>
      <c r="FBZ2486" s="61"/>
      <c r="FCA2486" s="58"/>
      <c r="FCB2486" s="58"/>
      <c r="FCC2486" s="58"/>
      <c r="FCD2486" s="60"/>
      <c r="FCE2486" s="60"/>
      <c r="FCF2486" s="60"/>
      <c r="FCG2486" s="58"/>
      <c r="FCH2486" s="61"/>
      <c r="FCI2486" s="58"/>
      <c r="FCJ2486" s="58"/>
      <c r="FCK2486" s="58"/>
      <c r="FCL2486" s="60"/>
      <c r="FCM2486" s="60"/>
      <c r="FCN2486" s="60"/>
      <c r="FCO2486" s="58"/>
      <c r="FCP2486" s="61"/>
      <c r="FCQ2486" s="58"/>
      <c r="FCR2486" s="58"/>
      <c r="FCS2486" s="58"/>
      <c r="FCT2486" s="60"/>
      <c r="FCU2486" s="60"/>
      <c r="FCV2486" s="60"/>
      <c r="FCW2486" s="58"/>
      <c r="FCX2486" s="61"/>
      <c r="FCY2486" s="58"/>
      <c r="FCZ2486" s="58"/>
      <c r="FDA2486" s="58"/>
      <c r="FDB2486" s="60"/>
      <c r="FDC2486" s="60"/>
      <c r="FDD2486" s="60"/>
      <c r="FDE2486" s="58"/>
      <c r="FDF2486" s="61"/>
      <c r="FDG2486" s="58"/>
      <c r="FDH2486" s="58"/>
      <c r="FDI2486" s="58"/>
      <c r="FDJ2486" s="60"/>
      <c r="FDK2486" s="60"/>
      <c r="FDL2486" s="60"/>
      <c r="FDM2486" s="58"/>
      <c r="FDN2486" s="61"/>
      <c r="FDO2486" s="58"/>
      <c r="FDP2486" s="58"/>
      <c r="FDQ2486" s="58"/>
      <c r="FDR2486" s="60"/>
      <c r="FDS2486" s="60"/>
      <c r="FDT2486" s="60"/>
      <c r="FDU2486" s="58"/>
      <c r="FDV2486" s="61"/>
      <c r="FDW2486" s="58"/>
      <c r="FDX2486" s="58"/>
      <c r="FDY2486" s="58"/>
      <c r="FDZ2486" s="60"/>
      <c r="FEA2486" s="60"/>
      <c r="FEB2486" s="60"/>
      <c r="FEC2486" s="58"/>
      <c r="FED2486" s="61"/>
      <c r="FEE2486" s="58"/>
      <c r="FEF2486" s="58"/>
      <c r="FEG2486" s="58"/>
      <c r="FEH2486" s="60"/>
      <c r="FEI2486" s="60"/>
      <c r="FEJ2486" s="60"/>
      <c r="FEK2486" s="58"/>
      <c r="FEL2486" s="61"/>
      <c r="FEM2486" s="58"/>
      <c r="FEN2486" s="58"/>
      <c r="FEO2486" s="58"/>
      <c r="FEP2486" s="60"/>
      <c r="FEQ2486" s="60"/>
      <c r="FER2486" s="60"/>
      <c r="FES2486" s="58"/>
      <c r="FET2486" s="61"/>
      <c r="FEU2486" s="58"/>
      <c r="FEV2486" s="58"/>
      <c r="FEW2486" s="58"/>
      <c r="FEX2486" s="60"/>
      <c r="FEY2486" s="60"/>
      <c r="FEZ2486" s="60"/>
      <c r="FFA2486" s="58"/>
      <c r="FFB2486" s="61"/>
      <c r="FFC2486" s="58"/>
      <c r="FFD2486" s="58"/>
      <c r="FFE2486" s="58"/>
      <c r="FFF2486" s="60"/>
      <c r="FFG2486" s="60"/>
      <c r="FFH2486" s="60"/>
      <c r="FFI2486" s="58"/>
      <c r="FFJ2486" s="61"/>
      <c r="FFK2486" s="58"/>
      <c r="FFL2486" s="58"/>
      <c r="FFM2486" s="58"/>
      <c r="FFN2486" s="60"/>
      <c r="FFO2486" s="60"/>
      <c r="FFP2486" s="60"/>
      <c r="FFQ2486" s="58"/>
      <c r="FFR2486" s="61"/>
      <c r="FFS2486" s="58"/>
      <c r="FFT2486" s="58"/>
      <c r="FFU2486" s="58"/>
      <c r="FFV2486" s="60"/>
      <c r="FFW2486" s="60"/>
      <c r="FFX2486" s="60"/>
      <c r="FFY2486" s="58"/>
      <c r="FFZ2486" s="61"/>
      <c r="FGA2486" s="58"/>
      <c r="FGB2486" s="58"/>
      <c r="FGC2486" s="58"/>
      <c r="FGD2486" s="60"/>
      <c r="FGE2486" s="60"/>
      <c r="FGF2486" s="60"/>
      <c r="FGG2486" s="58"/>
      <c r="FGH2486" s="61"/>
      <c r="FGI2486" s="58"/>
      <c r="FGJ2486" s="58"/>
      <c r="FGK2486" s="58"/>
      <c r="FGL2486" s="60"/>
      <c r="FGM2486" s="60"/>
      <c r="FGN2486" s="60"/>
      <c r="FGO2486" s="58"/>
      <c r="FGP2486" s="61"/>
      <c r="FGQ2486" s="58"/>
      <c r="FGR2486" s="58"/>
      <c r="FGS2486" s="58"/>
      <c r="FGT2486" s="60"/>
      <c r="FGU2486" s="60"/>
      <c r="FGV2486" s="60"/>
      <c r="FGW2486" s="58"/>
      <c r="FGX2486" s="61"/>
      <c r="FGY2486" s="58"/>
      <c r="FGZ2486" s="58"/>
      <c r="FHA2486" s="58"/>
      <c r="FHB2486" s="60"/>
      <c r="FHC2486" s="60"/>
      <c r="FHD2486" s="60"/>
      <c r="FHE2486" s="58"/>
      <c r="FHF2486" s="61"/>
      <c r="FHG2486" s="58"/>
      <c r="FHH2486" s="58"/>
      <c r="FHI2486" s="58"/>
      <c r="FHJ2486" s="60"/>
      <c r="FHK2486" s="60"/>
      <c r="FHL2486" s="60"/>
      <c r="FHM2486" s="58"/>
      <c r="FHN2486" s="61"/>
      <c r="FHO2486" s="58"/>
      <c r="FHP2486" s="58"/>
      <c r="FHQ2486" s="58"/>
      <c r="FHR2486" s="60"/>
      <c r="FHS2486" s="60"/>
      <c r="FHT2486" s="60"/>
      <c r="FHU2486" s="58"/>
      <c r="FHV2486" s="61"/>
      <c r="FHW2486" s="58"/>
      <c r="FHX2486" s="58"/>
      <c r="FHY2486" s="58"/>
      <c r="FHZ2486" s="60"/>
      <c r="FIA2486" s="60"/>
      <c r="FIB2486" s="60"/>
      <c r="FIC2486" s="58"/>
      <c r="FID2486" s="61"/>
      <c r="FIE2486" s="58"/>
      <c r="FIF2486" s="58"/>
      <c r="FIG2486" s="58"/>
      <c r="FIH2486" s="60"/>
      <c r="FII2486" s="60"/>
      <c r="FIJ2486" s="60"/>
      <c r="FIK2486" s="58"/>
      <c r="FIL2486" s="61"/>
      <c r="FIM2486" s="58"/>
      <c r="FIN2486" s="58"/>
      <c r="FIO2486" s="58"/>
      <c r="FIP2486" s="60"/>
      <c r="FIQ2486" s="60"/>
      <c r="FIR2486" s="60"/>
      <c r="FIS2486" s="58"/>
      <c r="FIT2486" s="61"/>
      <c r="FIU2486" s="58"/>
      <c r="FIV2486" s="58"/>
      <c r="FIW2486" s="58"/>
      <c r="FIX2486" s="60"/>
      <c r="FIY2486" s="60"/>
      <c r="FIZ2486" s="60"/>
      <c r="FJA2486" s="58"/>
      <c r="FJB2486" s="61"/>
      <c r="FJC2486" s="58"/>
      <c r="FJD2486" s="58"/>
      <c r="FJE2486" s="58"/>
      <c r="FJF2486" s="60"/>
      <c r="FJG2486" s="60"/>
      <c r="FJH2486" s="60"/>
      <c r="FJI2486" s="58"/>
      <c r="FJJ2486" s="61"/>
      <c r="FJK2486" s="58"/>
      <c r="FJL2486" s="58"/>
      <c r="FJM2486" s="58"/>
      <c r="FJN2486" s="60"/>
      <c r="FJO2486" s="60"/>
      <c r="FJP2486" s="60"/>
      <c r="FJQ2486" s="58"/>
      <c r="FJR2486" s="61"/>
      <c r="FJS2486" s="58"/>
      <c r="FJT2486" s="58"/>
      <c r="FJU2486" s="58"/>
      <c r="FJV2486" s="60"/>
      <c r="FJW2486" s="60"/>
      <c r="FJX2486" s="60"/>
      <c r="FJY2486" s="58"/>
      <c r="FJZ2486" s="61"/>
      <c r="FKA2486" s="58"/>
      <c r="FKB2486" s="58"/>
      <c r="FKC2486" s="58"/>
      <c r="FKD2486" s="60"/>
      <c r="FKE2486" s="60"/>
      <c r="FKF2486" s="60"/>
      <c r="FKG2486" s="58"/>
      <c r="FKH2486" s="61"/>
      <c r="FKI2486" s="58"/>
      <c r="FKJ2486" s="58"/>
      <c r="FKK2486" s="58"/>
      <c r="FKL2486" s="60"/>
      <c r="FKM2486" s="60"/>
      <c r="FKN2486" s="60"/>
      <c r="FKO2486" s="58"/>
      <c r="FKP2486" s="61"/>
      <c r="FKQ2486" s="58"/>
      <c r="FKR2486" s="58"/>
      <c r="FKS2486" s="58"/>
      <c r="FKT2486" s="60"/>
      <c r="FKU2486" s="60"/>
      <c r="FKV2486" s="60"/>
      <c r="FKW2486" s="58"/>
      <c r="FKX2486" s="61"/>
      <c r="FKY2486" s="58"/>
      <c r="FKZ2486" s="58"/>
      <c r="FLA2486" s="58"/>
      <c r="FLB2486" s="60"/>
      <c r="FLC2486" s="60"/>
      <c r="FLD2486" s="60"/>
      <c r="FLE2486" s="58"/>
      <c r="FLF2486" s="61"/>
      <c r="FLG2486" s="58"/>
      <c r="FLH2486" s="58"/>
      <c r="FLI2486" s="58"/>
      <c r="FLJ2486" s="60"/>
      <c r="FLK2486" s="60"/>
      <c r="FLL2486" s="60"/>
      <c r="FLM2486" s="58"/>
      <c r="FLN2486" s="61"/>
      <c r="FLO2486" s="58"/>
      <c r="FLP2486" s="58"/>
      <c r="FLQ2486" s="58"/>
      <c r="FLR2486" s="60"/>
      <c r="FLS2486" s="60"/>
      <c r="FLT2486" s="60"/>
      <c r="FLU2486" s="58"/>
      <c r="FLV2486" s="61"/>
      <c r="FLW2486" s="58"/>
      <c r="FLX2486" s="58"/>
      <c r="FLY2486" s="58"/>
      <c r="FLZ2486" s="60"/>
      <c r="FMA2486" s="60"/>
      <c r="FMB2486" s="60"/>
      <c r="FMC2486" s="58"/>
      <c r="FMD2486" s="61"/>
      <c r="FME2486" s="58"/>
      <c r="FMF2486" s="58"/>
      <c r="FMG2486" s="58"/>
      <c r="FMH2486" s="60"/>
      <c r="FMI2486" s="60"/>
      <c r="FMJ2486" s="60"/>
      <c r="FMK2486" s="58"/>
      <c r="FML2486" s="61"/>
      <c r="FMM2486" s="58"/>
      <c r="FMN2486" s="58"/>
      <c r="FMO2486" s="58"/>
      <c r="FMP2486" s="60"/>
      <c r="FMQ2486" s="60"/>
      <c r="FMR2486" s="60"/>
      <c r="FMS2486" s="58"/>
      <c r="FMT2486" s="61"/>
      <c r="FMU2486" s="58"/>
      <c r="FMV2486" s="58"/>
      <c r="FMW2486" s="58"/>
      <c r="FMX2486" s="60"/>
      <c r="FMY2486" s="60"/>
      <c r="FMZ2486" s="60"/>
      <c r="FNA2486" s="58"/>
      <c r="FNB2486" s="61"/>
      <c r="FNC2486" s="58"/>
      <c r="FND2486" s="58"/>
      <c r="FNE2486" s="58"/>
      <c r="FNF2486" s="60"/>
      <c r="FNG2486" s="60"/>
      <c r="FNH2486" s="60"/>
      <c r="FNI2486" s="58"/>
      <c r="FNJ2486" s="61"/>
      <c r="FNK2486" s="58"/>
      <c r="FNL2486" s="58"/>
      <c r="FNM2486" s="58"/>
      <c r="FNN2486" s="60"/>
      <c r="FNO2486" s="60"/>
      <c r="FNP2486" s="60"/>
      <c r="FNQ2486" s="58"/>
      <c r="FNR2486" s="61"/>
      <c r="FNS2486" s="58"/>
      <c r="FNT2486" s="58"/>
      <c r="FNU2486" s="58"/>
      <c r="FNV2486" s="60"/>
      <c r="FNW2486" s="60"/>
      <c r="FNX2486" s="60"/>
      <c r="FNY2486" s="58"/>
      <c r="FNZ2486" s="61"/>
      <c r="FOA2486" s="58"/>
      <c r="FOB2486" s="58"/>
      <c r="FOC2486" s="58"/>
      <c r="FOD2486" s="60"/>
      <c r="FOE2486" s="60"/>
      <c r="FOF2486" s="60"/>
      <c r="FOG2486" s="58"/>
      <c r="FOH2486" s="61"/>
      <c r="FOI2486" s="58"/>
      <c r="FOJ2486" s="58"/>
      <c r="FOK2486" s="58"/>
      <c r="FOL2486" s="60"/>
      <c r="FOM2486" s="60"/>
      <c r="FON2486" s="60"/>
      <c r="FOO2486" s="58"/>
      <c r="FOP2486" s="61"/>
      <c r="FOQ2486" s="58"/>
      <c r="FOR2486" s="58"/>
      <c r="FOS2486" s="58"/>
      <c r="FOT2486" s="60"/>
      <c r="FOU2486" s="60"/>
      <c r="FOV2486" s="60"/>
      <c r="FOW2486" s="58"/>
      <c r="FOX2486" s="61"/>
      <c r="FOY2486" s="58"/>
      <c r="FOZ2486" s="58"/>
      <c r="FPA2486" s="58"/>
      <c r="FPB2486" s="60"/>
      <c r="FPC2486" s="60"/>
      <c r="FPD2486" s="60"/>
      <c r="FPE2486" s="58"/>
      <c r="FPF2486" s="61"/>
      <c r="FPG2486" s="58"/>
      <c r="FPH2486" s="58"/>
      <c r="FPI2486" s="58"/>
      <c r="FPJ2486" s="60"/>
      <c r="FPK2486" s="60"/>
      <c r="FPL2486" s="60"/>
      <c r="FPM2486" s="58"/>
      <c r="FPN2486" s="61"/>
      <c r="FPO2486" s="58"/>
      <c r="FPP2486" s="58"/>
      <c r="FPQ2486" s="58"/>
      <c r="FPR2486" s="60"/>
      <c r="FPS2486" s="60"/>
      <c r="FPT2486" s="60"/>
      <c r="FPU2486" s="58"/>
      <c r="FPV2486" s="61"/>
      <c r="FPW2486" s="58"/>
      <c r="FPX2486" s="58"/>
      <c r="FPY2486" s="58"/>
      <c r="FPZ2486" s="60"/>
      <c r="FQA2486" s="60"/>
      <c r="FQB2486" s="60"/>
      <c r="FQC2486" s="58"/>
      <c r="FQD2486" s="61"/>
      <c r="FQE2486" s="58"/>
      <c r="FQF2486" s="58"/>
      <c r="FQG2486" s="58"/>
      <c r="FQH2486" s="60"/>
      <c r="FQI2486" s="60"/>
      <c r="FQJ2486" s="60"/>
      <c r="FQK2486" s="58"/>
      <c r="FQL2486" s="61"/>
      <c r="FQM2486" s="58"/>
      <c r="FQN2486" s="58"/>
      <c r="FQO2486" s="58"/>
      <c r="FQP2486" s="60"/>
      <c r="FQQ2486" s="60"/>
      <c r="FQR2486" s="60"/>
      <c r="FQS2486" s="58"/>
      <c r="FQT2486" s="61"/>
      <c r="FQU2486" s="58"/>
      <c r="FQV2486" s="58"/>
      <c r="FQW2486" s="58"/>
      <c r="FQX2486" s="60"/>
      <c r="FQY2486" s="60"/>
      <c r="FQZ2486" s="60"/>
      <c r="FRA2486" s="58"/>
      <c r="FRB2486" s="61"/>
      <c r="FRC2486" s="58"/>
      <c r="FRD2486" s="58"/>
      <c r="FRE2486" s="58"/>
      <c r="FRF2486" s="60"/>
      <c r="FRG2486" s="60"/>
      <c r="FRH2486" s="60"/>
      <c r="FRI2486" s="58"/>
      <c r="FRJ2486" s="61"/>
      <c r="FRK2486" s="58"/>
      <c r="FRL2486" s="58"/>
      <c r="FRM2486" s="58"/>
      <c r="FRN2486" s="60"/>
      <c r="FRO2486" s="60"/>
      <c r="FRP2486" s="60"/>
      <c r="FRQ2486" s="58"/>
      <c r="FRR2486" s="61"/>
      <c r="FRS2486" s="58"/>
      <c r="FRT2486" s="58"/>
      <c r="FRU2486" s="58"/>
      <c r="FRV2486" s="60"/>
      <c r="FRW2486" s="60"/>
      <c r="FRX2486" s="60"/>
      <c r="FRY2486" s="58"/>
      <c r="FRZ2486" s="61"/>
      <c r="FSA2486" s="58"/>
      <c r="FSB2486" s="58"/>
      <c r="FSC2486" s="58"/>
      <c r="FSD2486" s="60"/>
      <c r="FSE2486" s="60"/>
      <c r="FSF2486" s="60"/>
      <c r="FSG2486" s="58"/>
      <c r="FSH2486" s="61"/>
      <c r="FSI2486" s="58"/>
      <c r="FSJ2486" s="58"/>
      <c r="FSK2486" s="58"/>
      <c r="FSL2486" s="60"/>
      <c r="FSM2486" s="60"/>
      <c r="FSN2486" s="60"/>
      <c r="FSO2486" s="58"/>
      <c r="FSP2486" s="61"/>
      <c r="FSQ2486" s="58"/>
      <c r="FSR2486" s="58"/>
      <c r="FSS2486" s="58"/>
      <c r="FST2486" s="60"/>
      <c r="FSU2486" s="60"/>
      <c r="FSV2486" s="60"/>
      <c r="FSW2486" s="58"/>
      <c r="FSX2486" s="61"/>
      <c r="FSY2486" s="58"/>
      <c r="FSZ2486" s="58"/>
      <c r="FTA2486" s="58"/>
      <c r="FTB2486" s="60"/>
      <c r="FTC2486" s="60"/>
      <c r="FTD2486" s="60"/>
      <c r="FTE2486" s="58"/>
      <c r="FTF2486" s="61"/>
      <c r="FTG2486" s="58"/>
      <c r="FTH2486" s="58"/>
      <c r="FTI2486" s="58"/>
      <c r="FTJ2486" s="60"/>
      <c r="FTK2486" s="60"/>
      <c r="FTL2486" s="60"/>
      <c r="FTM2486" s="58"/>
      <c r="FTN2486" s="61"/>
      <c r="FTO2486" s="58"/>
      <c r="FTP2486" s="58"/>
      <c r="FTQ2486" s="58"/>
      <c r="FTR2486" s="60"/>
      <c r="FTS2486" s="60"/>
      <c r="FTT2486" s="60"/>
      <c r="FTU2486" s="58"/>
      <c r="FTV2486" s="61"/>
      <c r="FTW2486" s="58"/>
      <c r="FTX2486" s="58"/>
      <c r="FTY2486" s="58"/>
      <c r="FTZ2486" s="60"/>
      <c r="FUA2486" s="60"/>
      <c r="FUB2486" s="60"/>
      <c r="FUC2486" s="58"/>
      <c r="FUD2486" s="61"/>
      <c r="FUE2486" s="58"/>
      <c r="FUF2486" s="58"/>
      <c r="FUG2486" s="58"/>
      <c r="FUH2486" s="60"/>
      <c r="FUI2486" s="60"/>
      <c r="FUJ2486" s="60"/>
      <c r="FUK2486" s="58"/>
      <c r="FUL2486" s="61"/>
      <c r="FUM2486" s="58"/>
      <c r="FUN2486" s="58"/>
      <c r="FUO2486" s="58"/>
      <c r="FUP2486" s="60"/>
      <c r="FUQ2486" s="60"/>
      <c r="FUR2486" s="60"/>
      <c r="FUS2486" s="58"/>
      <c r="FUT2486" s="61"/>
      <c r="FUU2486" s="58"/>
      <c r="FUV2486" s="58"/>
      <c r="FUW2486" s="58"/>
      <c r="FUX2486" s="60"/>
      <c r="FUY2486" s="60"/>
      <c r="FUZ2486" s="60"/>
      <c r="FVA2486" s="58"/>
      <c r="FVB2486" s="61"/>
      <c r="FVC2486" s="58"/>
      <c r="FVD2486" s="58"/>
      <c r="FVE2486" s="58"/>
      <c r="FVF2486" s="60"/>
      <c r="FVG2486" s="60"/>
      <c r="FVH2486" s="60"/>
      <c r="FVI2486" s="58"/>
      <c r="FVJ2486" s="61"/>
      <c r="FVK2486" s="58"/>
      <c r="FVL2486" s="58"/>
      <c r="FVM2486" s="58"/>
      <c r="FVN2486" s="60"/>
      <c r="FVO2486" s="60"/>
      <c r="FVP2486" s="60"/>
      <c r="FVQ2486" s="58"/>
      <c r="FVR2486" s="61"/>
      <c r="FVS2486" s="58"/>
      <c r="FVT2486" s="58"/>
      <c r="FVU2486" s="58"/>
      <c r="FVV2486" s="60"/>
      <c r="FVW2486" s="60"/>
      <c r="FVX2486" s="60"/>
      <c r="FVY2486" s="58"/>
      <c r="FVZ2486" s="61"/>
      <c r="FWA2486" s="58"/>
      <c r="FWB2486" s="58"/>
      <c r="FWC2486" s="58"/>
      <c r="FWD2486" s="60"/>
      <c r="FWE2486" s="60"/>
      <c r="FWF2486" s="60"/>
      <c r="FWG2486" s="58"/>
      <c r="FWH2486" s="61"/>
      <c r="FWI2486" s="58"/>
      <c r="FWJ2486" s="58"/>
      <c r="FWK2486" s="58"/>
      <c r="FWL2486" s="60"/>
      <c r="FWM2486" s="60"/>
      <c r="FWN2486" s="60"/>
      <c r="FWO2486" s="58"/>
      <c r="FWP2486" s="61"/>
      <c r="FWQ2486" s="58"/>
      <c r="FWR2486" s="58"/>
      <c r="FWS2486" s="58"/>
      <c r="FWT2486" s="60"/>
      <c r="FWU2486" s="60"/>
      <c r="FWV2486" s="60"/>
      <c r="FWW2486" s="58"/>
      <c r="FWX2486" s="61"/>
      <c r="FWY2486" s="58"/>
      <c r="FWZ2486" s="58"/>
      <c r="FXA2486" s="58"/>
      <c r="FXB2486" s="60"/>
      <c r="FXC2486" s="60"/>
      <c r="FXD2486" s="60"/>
      <c r="FXE2486" s="58"/>
      <c r="FXF2486" s="61"/>
      <c r="FXG2486" s="58"/>
      <c r="FXH2486" s="58"/>
      <c r="FXI2486" s="58"/>
      <c r="FXJ2486" s="60"/>
      <c r="FXK2486" s="60"/>
      <c r="FXL2486" s="60"/>
      <c r="FXM2486" s="58"/>
      <c r="FXN2486" s="61"/>
      <c r="FXO2486" s="58"/>
      <c r="FXP2486" s="58"/>
      <c r="FXQ2486" s="58"/>
      <c r="FXR2486" s="60"/>
      <c r="FXS2486" s="60"/>
      <c r="FXT2486" s="60"/>
      <c r="FXU2486" s="58"/>
      <c r="FXV2486" s="61"/>
      <c r="FXW2486" s="58"/>
      <c r="FXX2486" s="58"/>
      <c r="FXY2486" s="58"/>
      <c r="FXZ2486" s="60"/>
      <c r="FYA2486" s="60"/>
      <c r="FYB2486" s="60"/>
      <c r="FYC2486" s="58"/>
      <c r="FYD2486" s="61"/>
      <c r="FYE2486" s="58"/>
      <c r="FYF2486" s="58"/>
      <c r="FYG2486" s="58"/>
      <c r="FYH2486" s="60"/>
      <c r="FYI2486" s="60"/>
      <c r="FYJ2486" s="60"/>
      <c r="FYK2486" s="58"/>
      <c r="FYL2486" s="61"/>
      <c r="FYM2486" s="58"/>
      <c r="FYN2486" s="58"/>
      <c r="FYO2486" s="58"/>
      <c r="FYP2486" s="60"/>
      <c r="FYQ2486" s="60"/>
      <c r="FYR2486" s="60"/>
      <c r="FYS2486" s="58"/>
      <c r="FYT2486" s="61"/>
      <c r="FYU2486" s="58"/>
      <c r="FYV2486" s="58"/>
      <c r="FYW2486" s="58"/>
      <c r="FYX2486" s="60"/>
      <c r="FYY2486" s="60"/>
      <c r="FYZ2486" s="60"/>
      <c r="FZA2486" s="58"/>
      <c r="FZB2486" s="61"/>
      <c r="FZC2486" s="58"/>
      <c r="FZD2486" s="58"/>
      <c r="FZE2486" s="58"/>
      <c r="FZF2486" s="60"/>
      <c r="FZG2486" s="60"/>
      <c r="FZH2486" s="60"/>
      <c r="FZI2486" s="58"/>
      <c r="FZJ2486" s="61"/>
      <c r="FZK2486" s="58"/>
      <c r="FZL2486" s="58"/>
      <c r="FZM2486" s="58"/>
      <c r="FZN2486" s="60"/>
      <c r="FZO2486" s="60"/>
      <c r="FZP2486" s="60"/>
      <c r="FZQ2486" s="58"/>
      <c r="FZR2486" s="61"/>
      <c r="FZS2486" s="58"/>
      <c r="FZT2486" s="58"/>
      <c r="FZU2486" s="58"/>
      <c r="FZV2486" s="60"/>
      <c r="FZW2486" s="60"/>
      <c r="FZX2486" s="60"/>
      <c r="FZY2486" s="58"/>
      <c r="FZZ2486" s="61"/>
      <c r="GAA2486" s="58"/>
      <c r="GAB2486" s="58"/>
      <c r="GAC2486" s="58"/>
      <c r="GAD2486" s="60"/>
      <c r="GAE2486" s="60"/>
      <c r="GAF2486" s="60"/>
      <c r="GAG2486" s="58"/>
      <c r="GAH2486" s="61"/>
      <c r="GAI2486" s="58"/>
      <c r="GAJ2486" s="58"/>
      <c r="GAK2486" s="58"/>
      <c r="GAL2486" s="60"/>
      <c r="GAM2486" s="60"/>
      <c r="GAN2486" s="60"/>
      <c r="GAO2486" s="58"/>
      <c r="GAP2486" s="61"/>
      <c r="GAQ2486" s="58"/>
      <c r="GAR2486" s="58"/>
      <c r="GAS2486" s="58"/>
      <c r="GAT2486" s="60"/>
      <c r="GAU2486" s="60"/>
      <c r="GAV2486" s="60"/>
      <c r="GAW2486" s="58"/>
      <c r="GAX2486" s="61"/>
      <c r="GAY2486" s="58"/>
      <c r="GAZ2486" s="58"/>
      <c r="GBA2486" s="58"/>
      <c r="GBB2486" s="60"/>
      <c r="GBC2486" s="60"/>
      <c r="GBD2486" s="60"/>
      <c r="GBE2486" s="58"/>
      <c r="GBF2486" s="61"/>
      <c r="GBG2486" s="58"/>
      <c r="GBH2486" s="58"/>
      <c r="GBI2486" s="58"/>
      <c r="GBJ2486" s="60"/>
      <c r="GBK2486" s="60"/>
      <c r="GBL2486" s="60"/>
      <c r="GBM2486" s="58"/>
      <c r="GBN2486" s="61"/>
      <c r="GBO2486" s="58"/>
      <c r="GBP2486" s="58"/>
      <c r="GBQ2486" s="58"/>
      <c r="GBR2486" s="60"/>
      <c r="GBS2486" s="60"/>
      <c r="GBT2486" s="60"/>
      <c r="GBU2486" s="58"/>
      <c r="GBV2486" s="61"/>
      <c r="GBW2486" s="58"/>
      <c r="GBX2486" s="58"/>
      <c r="GBY2486" s="58"/>
      <c r="GBZ2486" s="60"/>
      <c r="GCA2486" s="60"/>
      <c r="GCB2486" s="60"/>
      <c r="GCC2486" s="58"/>
      <c r="GCD2486" s="61"/>
      <c r="GCE2486" s="58"/>
      <c r="GCF2486" s="58"/>
      <c r="GCG2486" s="58"/>
      <c r="GCH2486" s="60"/>
      <c r="GCI2486" s="60"/>
      <c r="GCJ2486" s="60"/>
      <c r="GCK2486" s="58"/>
      <c r="GCL2486" s="61"/>
      <c r="GCM2486" s="58"/>
      <c r="GCN2486" s="58"/>
      <c r="GCO2486" s="58"/>
      <c r="GCP2486" s="60"/>
      <c r="GCQ2486" s="60"/>
      <c r="GCR2486" s="60"/>
      <c r="GCS2486" s="58"/>
      <c r="GCT2486" s="61"/>
      <c r="GCU2486" s="58"/>
      <c r="GCV2486" s="58"/>
      <c r="GCW2486" s="58"/>
      <c r="GCX2486" s="60"/>
      <c r="GCY2486" s="60"/>
      <c r="GCZ2486" s="60"/>
      <c r="GDA2486" s="58"/>
      <c r="GDB2486" s="61"/>
      <c r="GDC2486" s="58"/>
      <c r="GDD2486" s="58"/>
      <c r="GDE2486" s="58"/>
      <c r="GDF2486" s="60"/>
      <c r="GDG2486" s="60"/>
      <c r="GDH2486" s="60"/>
      <c r="GDI2486" s="58"/>
      <c r="GDJ2486" s="61"/>
      <c r="GDK2486" s="58"/>
      <c r="GDL2486" s="58"/>
      <c r="GDM2486" s="58"/>
      <c r="GDN2486" s="60"/>
      <c r="GDO2486" s="60"/>
      <c r="GDP2486" s="60"/>
      <c r="GDQ2486" s="58"/>
      <c r="GDR2486" s="61"/>
      <c r="GDS2486" s="58"/>
      <c r="GDT2486" s="58"/>
      <c r="GDU2486" s="58"/>
      <c r="GDV2486" s="60"/>
      <c r="GDW2486" s="60"/>
      <c r="GDX2486" s="60"/>
      <c r="GDY2486" s="58"/>
      <c r="GDZ2486" s="61"/>
      <c r="GEA2486" s="58"/>
      <c r="GEB2486" s="58"/>
      <c r="GEC2486" s="58"/>
      <c r="GED2486" s="60"/>
      <c r="GEE2486" s="60"/>
      <c r="GEF2486" s="60"/>
      <c r="GEG2486" s="58"/>
      <c r="GEH2486" s="61"/>
      <c r="GEI2486" s="58"/>
      <c r="GEJ2486" s="58"/>
      <c r="GEK2486" s="58"/>
      <c r="GEL2486" s="60"/>
      <c r="GEM2486" s="60"/>
      <c r="GEN2486" s="60"/>
      <c r="GEO2486" s="58"/>
      <c r="GEP2486" s="61"/>
      <c r="GEQ2486" s="58"/>
      <c r="GER2486" s="58"/>
      <c r="GES2486" s="58"/>
      <c r="GET2486" s="60"/>
      <c r="GEU2486" s="60"/>
      <c r="GEV2486" s="60"/>
      <c r="GEW2486" s="58"/>
      <c r="GEX2486" s="61"/>
      <c r="GEY2486" s="58"/>
      <c r="GEZ2486" s="58"/>
      <c r="GFA2486" s="58"/>
      <c r="GFB2486" s="60"/>
      <c r="GFC2486" s="60"/>
      <c r="GFD2486" s="60"/>
      <c r="GFE2486" s="58"/>
      <c r="GFF2486" s="61"/>
      <c r="GFG2486" s="58"/>
      <c r="GFH2486" s="58"/>
      <c r="GFI2486" s="58"/>
      <c r="GFJ2486" s="60"/>
      <c r="GFK2486" s="60"/>
      <c r="GFL2486" s="60"/>
      <c r="GFM2486" s="58"/>
      <c r="GFN2486" s="61"/>
      <c r="GFO2486" s="58"/>
      <c r="GFP2486" s="58"/>
      <c r="GFQ2486" s="58"/>
      <c r="GFR2486" s="60"/>
      <c r="GFS2486" s="60"/>
      <c r="GFT2486" s="60"/>
      <c r="GFU2486" s="58"/>
      <c r="GFV2486" s="61"/>
      <c r="GFW2486" s="58"/>
      <c r="GFX2486" s="58"/>
      <c r="GFY2486" s="58"/>
      <c r="GFZ2486" s="60"/>
      <c r="GGA2486" s="60"/>
      <c r="GGB2486" s="60"/>
      <c r="GGC2486" s="58"/>
      <c r="GGD2486" s="61"/>
      <c r="GGE2486" s="58"/>
      <c r="GGF2486" s="58"/>
      <c r="GGG2486" s="58"/>
      <c r="GGH2486" s="60"/>
      <c r="GGI2486" s="60"/>
      <c r="GGJ2486" s="60"/>
      <c r="GGK2486" s="58"/>
      <c r="GGL2486" s="61"/>
      <c r="GGM2486" s="58"/>
      <c r="GGN2486" s="58"/>
      <c r="GGO2486" s="58"/>
      <c r="GGP2486" s="60"/>
      <c r="GGQ2486" s="60"/>
      <c r="GGR2486" s="60"/>
      <c r="GGS2486" s="58"/>
      <c r="GGT2486" s="61"/>
      <c r="GGU2486" s="58"/>
      <c r="GGV2486" s="58"/>
      <c r="GGW2486" s="58"/>
      <c r="GGX2486" s="60"/>
      <c r="GGY2486" s="60"/>
      <c r="GGZ2486" s="60"/>
      <c r="GHA2486" s="58"/>
      <c r="GHB2486" s="61"/>
      <c r="GHC2486" s="58"/>
      <c r="GHD2486" s="58"/>
      <c r="GHE2486" s="58"/>
      <c r="GHF2486" s="60"/>
      <c r="GHG2486" s="60"/>
      <c r="GHH2486" s="60"/>
      <c r="GHI2486" s="58"/>
      <c r="GHJ2486" s="61"/>
      <c r="GHK2486" s="58"/>
      <c r="GHL2486" s="58"/>
      <c r="GHM2486" s="58"/>
      <c r="GHN2486" s="60"/>
      <c r="GHO2486" s="60"/>
      <c r="GHP2486" s="60"/>
      <c r="GHQ2486" s="58"/>
      <c r="GHR2486" s="61"/>
      <c r="GHS2486" s="58"/>
      <c r="GHT2486" s="58"/>
      <c r="GHU2486" s="58"/>
      <c r="GHV2486" s="60"/>
      <c r="GHW2486" s="60"/>
      <c r="GHX2486" s="60"/>
      <c r="GHY2486" s="58"/>
      <c r="GHZ2486" s="61"/>
      <c r="GIA2486" s="58"/>
      <c r="GIB2486" s="58"/>
      <c r="GIC2486" s="58"/>
      <c r="GID2486" s="60"/>
      <c r="GIE2486" s="60"/>
      <c r="GIF2486" s="60"/>
      <c r="GIG2486" s="58"/>
      <c r="GIH2486" s="61"/>
      <c r="GII2486" s="58"/>
      <c r="GIJ2486" s="58"/>
      <c r="GIK2486" s="58"/>
      <c r="GIL2486" s="60"/>
      <c r="GIM2486" s="60"/>
      <c r="GIN2486" s="60"/>
      <c r="GIO2486" s="58"/>
      <c r="GIP2486" s="61"/>
      <c r="GIQ2486" s="58"/>
      <c r="GIR2486" s="58"/>
      <c r="GIS2486" s="58"/>
      <c r="GIT2486" s="60"/>
      <c r="GIU2486" s="60"/>
      <c r="GIV2486" s="60"/>
      <c r="GIW2486" s="58"/>
      <c r="GIX2486" s="61"/>
      <c r="GIY2486" s="58"/>
      <c r="GIZ2486" s="58"/>
      <c r="GJA2486" s="58"/>
      <c r="GJB2486" s="60"/>
      <c r="GJC2486" s="60"/>
      <c r="GJD2486" s="60"/>
      <c r="GJE2486" s="58"/>
      <c r="GJF2486" s="61"/>
      <c r="GJG2486" s="58"/>
      <c r="GJH2486" s="58"/>
      <c r="GJI2486" s="58"/>
      <c r="GJJ2486" s="60"/>
      <c r="GJK2486" s="60"/>
      <c r="GJL2486" s="60"/>
      <c r="GJM2486" s="58"/>
      <c r="GJN2486" s="61"/>
      <c r="GJO2486" s="58"/>
      <c r="GJP2486" s="58"/>
      <c r="GJQ2486" s="58"/>
      <c r="GJR2486" s="60"/>
      <c r="GJS2486" s="60"/>
      <c r="GJT2486" s="60"/>
      <c r="GJU2486" s="58"/>
      <c r="GJV2486" s="61"/>
      <c r="GJW2486" s="58"/>
      <c r="GJX2486" s="58"/>
      <c r="GJY2486" s="58"/>
      <c r="GJZ2486" s="60"/>
      <c r="GKA2486" s="60"/>
      <c r="GKB2486" s="60"/>
      <c r="GKC2486" s="58"/>
      <c r="GKD2486" s="61"/>
      <c r="GKE2486" s="58"/>
      <c r="GKF2486" s="58"/>
      <c r="GKG2486" s="58"/>
      <c r="GKH2486" s="60"/>
      <c r="GKI2486" s="60"/>
      <c r="GKJ2486" s="60"/>
      <c r="GKK2486" s="58"/>
      <c r="GKL2486" s="61"/>
      <c r="GKM2486" s="58"/>
      <c r="GKN2486" s="58"/>
      <c r="GKO2486" s="58"/>
      <c r="GKP2486" s="60"/>
      <c r="GKQ2486" s="60"/>
      <c r="GKR2486" s="60"/>
      <c r="GKS2486" s="58"/>
      <c r="GKT2486" s="61"/>
      <c r="GKU2486" s="58"/>
      <c r="GKV2486" s="58"/>
      <c r="GKW2486" s="58"/>
      <c r="GKX2486" s="60"/>
      <c r="GKY2486" s="60"/>
      <c r="GKZ2486" s="60"/>
      <c r="GLA2486" s="58"/>
      <c r="GLB2486" s="61"/>
      <c r="GLC2486" s="58"/>
      <c r="GLD2486" s="58"/>
      <c r="GLE2486" s="58"/>
      <c r="GLF2486" s="60"/>
      <c r="GLG2486" s="60"/>
      <c r="GLH2486" s="60"/>
      <c r="GLI2486" s="58"/>
      <c r="GLJ2486" s="61"/>
      <c r="GLK2486" s="58"/>
      <c r="GLL2486" s="58"/>
      <c r="GLM2486" s="58"/>
      <c r="GLN2486" s="60"/>
      <c r="GLO2486" s="60"/>
      <c r="GLP2486" s="60"/>
      <c r="GLQ2486" s="58"/>
      <c r="GLR2486" s="61"/>
      <c r="GLS2486" s="58"/>
      <c r="GLT2486" s="58"/>
      <c r="GLU2486" s="58"/>
      <c r="GLV2486" s="60"/>
      <c r="GLW2486" s="60"/>
      <c r="GLX2486" s="60"/>
      <c r="GLY2486" s="58"/>
      <c r="GLZ2486" s="61"/>
      <c r="GMA2486" s="58"/>
      <c r="GMB2486" s="58"/>
      <c r="GMC2486" s="58"/>
      <c r="GMD2486" s="60"/>
      <c r="GME2486" s="60"/>
      <c r="GMF2486" s="60"/>
      <c r="GMG2486" s="58"/>
      <c r="GMH2486" s="61"/>
      <c r="GMI2486" s="58"/>
      <c r="GMJ2486" s="58"/>
      <c r="GMK2486" s="58"/>
      <c r="GML2486" s="60"/>
      <c r="GMM2486" s="60"/>
      <c r="GMN2486" s="60"/>
      <c r="GMO2486" s="58"/>
      <c r="GMP2486" s="61"/>
      <c r="GMQ2486" s="58"/>
      <c r="GMR2486" s="58"/>
      <c r="GMS2486" s="58"/>
      <c r="GMT2486" s="60"/>
      <c r="GMU2486" s="60"/>
      <c r="GMV2486" s="60"/>
      <c r="GMW2486" s="58"/>
      <c r="GMX2486" s="61"/>
      <c r="GMY2486" s="58"/>
      <c r="GMZ2486" s="58"/>
      <c r="GNA2486" s="58"/>
      <c r="GNB2486" s="60"/>
      <c r="GNC2486" s="60"/>
      <c r="GND2486" s="60"/>
      <c r="GNE2486" s="58"/>
      <c r="GNF2486" s="61"/>
      <c r="GNG2486" s="58"/>
      <c r="GNH2486" s="58"/>
      <c r="GNI2486" s="58"/>
      <c r="GNJ2486" s="60"/>
      <c r="GNK2486" s="60"/>
      <c r="GNL2486" s="60"/>
      <c r="GNM2486" s="58"/>
      <c r="GNN2486" s="61"/>
      <c r="GNO2486" s="58"/>
      <c r="GNP2486" s="58"/>
      <c r="GNQ2486" s="58"/>
      <c r="GNR2486" s="60"/>
      <c r="GNS2486" s="60"/>
      <c r="GNT2486" s="60"/>
      <c r="GNU2486" s="58"/>
      <c r="GNV2486" s="61"/>
      <c r="GNW2486" s="58"/>
      <c r="GNX2486" s="58"/>
      <c r="GNY2486" s="58"/>
      <c r="GNZ2486" s="60"/>
      <c r="GOA2486" s="60"/>
      <c r="GOB2486" s="60"/>
      <c r="GOC2486" s="58"/>
      <c r="GOD2486" s="61"/>
      <c r="GOE2486" s="58"/>
      <c r="GOF2486" s="58"/>
      <c r="GOG2486" s="58"/>
      <c r="GOH2486" s="60"/>
      <c r="GOI2486" s="60"/>
      <c r="GOJ2486" s="60"/>
      <c r="GOK2486" s="58"/>
      <c r="GOL2486" s="61"/>
      <c r="GOM2486" s="58"/>
      <c r="GON2486" s="58"/>
      <c r="GOO2486" s="58"/>
      <c r="GOP2486" s="60"/>
      <c r="GOQ2486" s="60"/>
      <c r="GOR2486" s="60"/>
      <c r="GOS2486" s="58"/>
      <c r="GOT2486" s="61"/>
      <c r="GOU2486" s="58"/>
      <c r="GOV2486" s="58"/>
      <c r="GOW2486" s="58"/>
      <c r="GOX2486" s="60"/>
      <c r="GOY2486" s="60"/>
      <c r="GOZ2486" s="60"/>
      <c r="GPA2486" s="58"/>
      <c r="GPB2486" s="61"/>
      <c r="GPC2486" s="58"/>
      <c r="GPD2486" s="58"/>
      <c r="GPE2486" s="58"/>
      <c r="GPF2486" s="60"/>
      <c r="GPG2486" s="60"/>
      <c r="GPH2486" s="60"/>
      <c r="GPI2486" s="58"/>
      <c r="GPJ2486" s="61"/>
      <c r="GPK2486" s="58"/>
      <c r="GPL2486" s="58"/>
      <c r="GPM2486" s="58"/>
      <c r="GPN2486" s="60"/>
      <c r="GPO2486" s="60"/>
      <c r="GPP2486" s="60"/>
      <c r="GPQ2486" s="58"/>
      <c r="GPR2486" s="61"/>
      <c r="GPS2486" s="58"/>
      <c r="GPT2486" s="58"/>
      <c r="GPU2486" s="58"/>
      <c r="GPV2486" s="60"/>
      <c r="GPW2486" s="60"/>
      <c r="GPX2486" s="60"/>
      <c r="GPY2486" s="58"/>
      <c r="GPZ2486" s="61"/>
      <c r="GQA2486" s="58"/>
      <c r="GQB2486" s="58"/>
      <c r="GQC2486" s="58"/>
      <c r="GQD2486" s="60"/>
      <c r="GQE2486" s="60"/>
      <c r="GQF2486" s="60"/>
      <c r="GQG2486" s="58"/>
      <c r="GQH2486" s="61"/>
      <c r="GQI2486" s="58"/>
      <c r="GQJ2486" s="58"/>
      <c r="GQK2486" s="58"/>
      <c r="GQL2486" s="60"/>
      <c r="GQM2486" s="60"/>
      <c r="GQN2486" s="60"/>
      <c r="GQO2486" s="58"/>
      <c r="GQP2486" s="61"/>
      <c r="GQQ2486" s="58"/>
      <c r="GQR2486" s="58"/>
      <c r="GQS2486" s="58"/>
      <c r="GQT2486" s="60"/>
      <c r="GQU2486" s="60"/>
      <c r="GQV2486" s="60"/>
      <c r="GQW2486" s="58"/>
      <c r="GQX2486" s="61"/>
      <c r="GQY2486" s="58"/>
      <c r="GQZ2486" s="58"/>
      <c r="GRA2486" s="58"/>
      <c r="GRB2486" s="60"/>
      <c r="GRC2486" s="60"/>
      <c r="GRD2486" s="60"/>
      <c r="GRE2486" s="58"/>
      <c r="GRF2486" s="61"/>
      <c r="GRG2486" s="58"/>
      <c r="GRH2486" s="58"/>
      <c r="GRI2486" s="58"/>
      <c r="GRJ2486" s="60"/>
      <c r="GRK2486" s="60"/>
      <c r="GRL2486" s="60"/>
      <c r="GRM2486" s="58"/>
      <c r="GRN2486" s="61"/>
      <c r="GRO2486" s="58"/>
      <c r="GRP2486" s="58"/>
      <c r="GRQ2486" s="58"/>
      <c r="GRR2486" s="60"/>
      <c r="GRS2486" s="60"/>
      <c r="GRT2486" s="60"/>
      <c r="GRU2486" s="58"/>
      <c r="GRV2486" s="61"/>
      <c r="GRW2486" s="58"/>
      <c r="GRX2486" s="58"/>
      <c r="GRY2486" s="58"/>
      <c r="GRZ2486" s="60"/>
      <c r="GSA2486" s="60"/>
      <c r="GSB2486" s="60"/>
      <c r="GSC2486" s="58"/>
      <c r="GSD2486" s="61"/>
      <c r="GSE2486" s="58"/>
      <c r="GSF2486" s="58"/>
      <c r="GSG2486" s="58"/>
      <c r="GSH2486" s="60"/>
      <c r="GSI2486" s="60"/>
      <c r="GSJ2486" s="60"/>
      <c r="GSK2486" s="58"/>
      <c r="GSL2486" s="61"/>
      <c r="GSM2486" s="58"/>
      <c r="GSN2486" s="58"/>
      <c r="GSO2486" s="58"/>
      <c r="GSP2486" s="60"/>
      <c r="GSQ2486" s="60"/>
      <c r="GSR2486" s="60"/>
      <c r="GSS2486" s="58"/>
      <c r="GST2486" s="61"/>
      <c r="GSU2486" s="58"/>
      <c r="GSV2486" s="58"/>
      <c r="GSW2486" s="58"/>
      <c r="GSX2486" s="60"/>
      <c r="GSY2486" s="60"/>
      <c r="GSZ2486" s="60"/>
      <c r="GTA2486" s="58"/>
      <c r="GTB2486" s="61"/>
      <c r="GTC2486" s="58"/>
      <c r="GTD2486" s="58"/>
      <c r="GTE2486" s="58"/>
      <c r="GTF2486" s="60"/>
      <c r="GTG2486" s="60"/>
      <c r="GTH2486" s="60"/>
      <c r="GTI2486" s="58"/>
      <c r="GTJ2486" s="61"/>
      <c r="GTK2486" s="58"/>
      <c r="GTL2486" s="58"/>
      <c r="GTM2486" s="58"/>
      <c r="GTN2486" s="60"/>
      <c r="GTO2486" s="60"/>
      <c r="GTP2486" s="60"/>
      <c r="GTQ2486" s="58"/>
      <c r="GTR2486" s="61"/>
      <c r="GTS2486" s="58"/>
      <c r="GTT2486" s="58"/>
      <c r="GTU2486" s="58"/>
      <c r="GTV2486" s="60"/>
      <c r="GTW2486" s="60"/>
      <c r="GTX2486" s="60"/>
      <c r="GTY2486" s="58"/>
      <c r="GTZ2486" s="61"/>
      <c r="GUA2486" s="58"/>
      <c r="GUB2486" s="58"/>
      <c r="GUC2486" s="58"/>
      <c r="GUD2486" s="60"/>
      <c r="GUE2486" s="60"/>
      <c r="GUF2486" s="60"/>
      <c r="GUG2486" s="58"/>
      <c r="GUH2486" s="61"/>
      <c r="GUI2486" s="58"/>
      <c r="GUJ2486" s="58"/>
      <c r="GUK2486" s="58"/>
      <c r="GUL2486" s="60"/>
      <c r="GUM2486" s="60"/>
      <c r="GUN2486" s="60"/>
      <c r="GUO2486" s="58"/>
      <c r="GUP2486" s="61"/>
      <c r="GUQ2486" s="58"/>
      <c r="GUR2486" s="58"/>
      <c r="GUS2486" s="58"/>
      <c r="GUT2486" s="60"/>
      <c r="GUU2486" s="60"/>
      <c r="GUV2486" s="60"/>
      <c r="GUW2486" s="58"/>
      <c r="GUX2486" s="61"/>
      <c r="GUY2486" s="58"/>
      <c r="GUZ2486" s="58"/>
      <c r="GVA2486" s="58"/>
      <c r="GVB2486" s="60"/>
      <c r="GVC2486" s="60"/>
      <c r="GVD2486" s="60"/>
      <c r="GVE2486" s="58"/>
      <c r="GVF2486" s="61"/>
      <c r="GVG2486" s="58"/>
      <c r="GVH2486" s="58"/>
      <c r="GVI2486" s="58"/>
      <c r="GVJ2486" s="60"/>
      <c r="GVK2486" s="60"/>
      <c r="GVL2486" s="60"/>
      <c r="GVM2486" s="58"/>
      <c r="GVN2486" s="61"/>
      <c r="GVO2486" s="58"/>
      <c r="GVP2486" s="58"/>
      <c r="GVQ2486" s="58"/>
      <c r="GVR2486" s="60"/>
      <c r="GVS2486" s="60"/>
      <c r="GVT2486" s="60"/>
      <c r="GVU2486" s="58"/>
      <c r="GVV2486" s="61"/>
      <c r="GVW2486" s="58"/>
      <c r="GVX2486" s="58"/>
      <c r="GVY2486" s="58"/>
      <c r="GVZ2486" s="60"/>
      <c r="GWA2486" s="60"/>
      <c r="GWB2486" s="60"/>
      <c r="GWC2486" s="58"/>
      <c r="GWD2486" s="61"/>
      <c r="GWE2486" s="58"/>
      <c r="GWF2486" s="58"/>
      <c r="GWG2486" s="58"/>
      <c r="GWH2486" s="60"/>
      <c r="GWI2486" s="60"/>
      <c r="GWJ2486" s="60"/>
      <c r="GWK2486" s="58"/>
      <c r="GWL2486" s="61"/>
      <c r="GWM2486" s="58"/>
      <c r="GWN2486" s="58"/>
      <c r="GWO2486" s="58"/>
      <c r="GWP2486" s="60"/>
      <c r="GWQ2486" s="60"/>
      <c r="GWR2486" s="60"/>
      <c r="GWS2486" s="58"/>
      <c r="GWT2486" s="61"/>
      <c r="GWU2486" s="58"/>
      <c r="GWV2486" s="58"/>
      <c r="GWW2486" s="58"/>
      <c r="GWX2486" s="60"/>
      <c r="GWY2486" s="60"/>
      <c r="GWZ2486" s="60"/>
      <c r="GXA2486" s="58"/>
      <c r="GXB2486" s="61"/>
      <c r="GXC2486" s="58"/>
      <c r="GXD2486" s="58"/>
      <c r="GXE2486" s="58"/>
      <c r="GXF2486" s="60"/>
      <c r="GXG2486" s="60"/>
      <c r="GXH2486" s="60"/>
      <c r="GXI2486" s="58"/>
      <c r="GXJ2486" s="61"/>
      <c r="GXK2486" s="58"/>
      <c r="GXL2486" s="58"/>
      <c r="GXM2486" s="58"/>
      <c r="GXN2486" s="60"/>
      <c r="GXO2486" s="60"/>
      <c r="GXP2486" s="60"/>
      <c r="GXQ2486" s="58"/>
      <c r="GXR2486" s="61"/>
      <c r="GXS2486" s="58"/>
      <c r="GXT2486" s="58"/>
      <c r="GXU2486" s="58"/>
      <c r="GXV2486" s="60"/>
      <c r="GXW2486" s="60"/>
      <c r="GXX2486" s="60"/>
      <c r="GXY2486" s="58"/>
      <c r="GXZ2486" s="61"/>
      <c r="GYA2486" s="58"/>
      <c r="GYB2486" s="58"/>
      <c r="GYC2486" s="58"/>
      <c r="GYD2486" s="60"/>
      <c r="GYE2486" s="60"/>
      <c r="GYF2486" s="60"/>
      <c r="GYG2486" s="58"/>
      <c r="GYH2486" s="61"/>
      <c r="GYI2486" s="58"/>
      <c r="GYJ2486" s="58"/>
      <c r="GYK2486" s="58"/>
      <c r="GYL2486" s="60"/>
      <c r="GYM2486" s="60"/>
      <c r="GYN2486" s="60"/>
      <c r="GYO2486" s="58"/>
      <c r="GYP2486" s="61"/>
      <c r="GYQ2486" s="58"/>
      <c r="GYR2486" s="58"/>
      <c r="GYS2486" s="58"/>
      <c r="GYT2486" s="60"/>
      <c r="GYU2486" s="60"/>
      <c r="GYV2486" s="60"/>
      <c r="GYW2486" s="58"/>
      <c r="GYX2486" s="61"/>
      <c r="GYY2486" s="58"/>
      <c r="GYZ2486" s="58"/>
      <c r="GZA2486" s="58"/>
      <c r="GZB2486" s="60"/>
      <c r="GZC2486" s="60"/>
      <c r="GZD2486" s="60"/>
      <c r="GZE2486" s="58"/>
      <c r="GZF2486" s="61"/>
      <c r="GZG2486" s="58"/>
      <c r="GZH2486" s="58"/>
      <c r="GZI2486" s="58"/>
      <c r="GZJ2486" s="60"/>
      <c r="GZK2486" s="60"/>
      <c r="GZL2486" s="60"/>
      <c r="GZM2486" s="58"/>
      <c r="GZN2486" s="61"/>
      <c r="GZO2486" s="58"/>
      <c r="GZP2486" s="58"/>
      <c r="GZQ2486" s="58"/>
      <c r="GZR2486" s="60"/>
      <c r="GZS2486" s="60"/>
      <c r="GZT2486" s="60"/>
      <c r="GZU2486" s="58"/>
      <c r="GZV2486" s="61"/>
      <c r="GZW2486" s="58"/>
      <c r="GZX2486" s="58"/>
      <c r="GZY2486" s="58"/>
      <c r="GZZ2486" s="60"/>
      <c r="HAA2486" s="60"/>
      <c r="HAB2486" s="60"/>
      <c r="HAC2486" s="58"/>
      <c r="HAD2486" s="61"/>
      <c r="HAE2486" s="58"/>
      <c r="HAF2486" s="58"/>
      <c r="HAG2486" s="58"/>
      <c r="HAH2486" s="60"/>
      <c r="HAI2486" s="60"/>
      <c r="HAJ2486" s="60"/>
      <c r="HAK2486" s="58"/>
      <c r="HAL2486" s="61"/>
      <c r="HAM2486" s="58"/>
      <c r="HAN2486" s="58"/>
      <c r="HAO2486" s="58"/>
      <c r="HAP2486" s="60"/>
      <c r="HAQ2486" s="60"/>
      <c r="HAR2486" s="60"/>
      <c r="HAS2486" s="58"/>
      <c r="HAT2486" s="61"/>
      <c r="HAU2486" s="58"/>
      <c r="HAV2486" s="58"/>
      <c r="HAW2486" s="58"/>
      <c r="HAX2486" s="60"/>
      <c r="HAY2486" s="60"/>
      <c r="HAZ2486" s="60"/>
      <c r="HBA2486" s="58"/>
      <c r="HBB2486" s="61"/>
      <c r="HBC2486" s="58"/>
      <c r="HBD2486" s="58"/>
      <c r="HBE2486" s="58"/>
      <c r="HBF2486" s="60"/>
      <c r="HBG2486" s="60"/>
      <c r="HBH2486" s="60"/>
      <c r="HBI2486" s="58"/>
      <c r="HBJ2486" s="61"/>
      <c r="HBK2486" s="58"/>
      <c r="HBL2486" s="58"/>
      <c r="HBM2486" s="58"/>
      <c r="HBN2486" s="60"/>
      <c r="HBO2486" s="60"/>
      <c r="HBP2486" s="60"/>
      <c r="HBQ2486" s="58"/>
      <c r="HBR2486" s="61"/>
      <c r="HBS2486" s="58"/>
      <c r="HBT2486" s="58"/>
      <c r="HBU2486" s="58"/>
      <c r="HBV2486" s="60"/>
      <c r="HBW2486" s="60"/>
      <c r="HBX2486" s="60"/>
      <c r="HBY2486" s="58"/>
      <c r="HBZ2486" s="61"/>
      <c r="HCA2486" s="58"/>
      <c r="HCB2486" s="58"/>
      <c r="HCC2486" s="58"/>
      <c r="HCD2486" s="60"/>
      <c r="HCE2486" s="60"/>
      <c r="HCF2486" s="60"/>
      <c r="HCG2486" s="58"/>
      <c r="HCH2486" s="61"/>
      <c r="HCI2486" s="58"/>
      <c r="HCJ2486" s="58"/>
      <c r="HCK2486" s="58"/>
      <c r="HCL2486" s="60"/>
      <c r="HCM2486" s="60"/>
      <c r="HCN2486" s="60"/>
      <c r="HCO2486" s="58"/>
      <c r="HCP2486" s="61"/>
      <c r="HCQ2486" s="58"/>
      <c r="HCR2486" s="58"/>
      <c r="HCS2486" s="58"/>
      <c r="HCT2486" s="60"/>
      <c r="HCU2486" s="60"/>
      <c r="HCV2486" s="60"/>
      <c r="HCW2486" s="58"/>
      <c r="HCX2486" s="61"/>
      <c r="HCY2486" s="58"/>
      <c r="HCZ2486" s="58"/>
      <c r="HDA2486" s="58"/>
      <c r="HDB2486" s="60"/>
      <c r="HDC2486" s="60"/>
      <c r="HDD2486" s="60"/>
      <c r="HDE2486" s="58"/>
      <c r="HDF2486" s="61"/>
      <c r="HDG2486" s="58"/>
      <c r="HDH2486" s="58"/>
      <c r="HDI2486" s="58"/>
      <c r="HDJ2486" s="60"/>
      <c r="HDK2486" s="60"/>
      <c r="HDL2486" s="60"/>
      <c r="HDM2486" s="58"/>
      <c r="HDN2486" s="61"/>
      <c r="HDO2486" s="58"/>
      <c r="HDP2486" s="58"/>
      <c r="HDQ2486" s="58"/>
      <c r="HDR2486" s="60"/>
      <c r="HDS2486" s="60"/>
      <c r="HDT2486" s="60"/>
      <c r="HDU2486" s="58"/>
      <c r="HDV2486" s="61"/>
      <c r="HDW2486" s="58"/>
      <c r="HDX2486" s="58"/>
      <c r="HDY2486" s="58"/>
      <c r="HDZ2486" s="60"/>
      <c r="HEA2486" s="60"/>
      <c r="HEB2486" s="60"/>
      <c r="HEC2486" s="58"/>
      <c r="HED2486" s="61"/>
      <c r="HEE2486" s="58"/>
      <c r="HEF2486" s="58"/>
      <c r="HEG2486" s="58"/>
      <c r="HEH2486" s="60"/>
      <c r="HEI2486" s="60"/>
      <c r="HEJ2486" s="60"/>
      <c r="HEK2486" s="58"/>
      <c r="HEL2486" s="61"/>
      <c r="HEM2486" s="58"/>
      <c r="HEN2486" s="58"/>
      <c r="HEO2486" s="58"/>
      <c r="HEP2486" s="60"/>
      <c r="HEQ2486" s="60"/>
      <c r="HER2486" s="60"/>
      <c r="HES2486" s="58"/>
      <c r="HET2486" s="61"/>
      <c r="HEU2486" s="58"/>
      <c r="HEV2486" s="58"/>
      <c r="HEW2486" s="58"/>
      <c r="HEX2486" s="60"/>
      <c r="HEY2486" s="60"/>
      <c r="HEZ2486" s="60"/>
      <c r="HFA2486" s="58"/>
      <c r="HFB2486" s="61"/>
      <c r="HFC2486" s="58"/>
      <c r="HFD2486" s="58"/>
      <c r="HFE2486" s="58"/>
      <c r="HFF2486" s="60"/>
      <c r="HFG2486" s="60"/>
      <c r="HFH2486" s="60"/>
      <c r="HFI2486" s="58"/>
      <c r="HFJ2486" s="61"/>
      <c r="HFK2486" s="58"/>
      <c r="HFL2486" s="58"/>
      <c r="HFM2486" s="58"/>
      <c r="HFN2486" s="60"/>
      <c r="HFO2486" s="60"/>
      <c r="HFP2486" s="60"/>
      <c r="HFQ2486" s="58"/>
      <c r="HFR2486" s="61"/>
      <c r="HFS2486" s="58"/>
      <c r="HFT2486" s="58"/>
      <c r="HFU2486" s="58"/>
      <c r="HFV2486" s="60"/>
      <c r="HFW2486" s="60"/>
      <c r="HFX2486" s="60"/>
      <c r="HFY2486" s="58"/>
      <c r="HFZ2486" s="61"/>
      <c r="HGA2486" s="58"/>
      <c r="HGB2486" s="58"/>
      <c r="HGC2486" s="58"/>
      <c r="HGD2486" s="60"/>
      <c r="HGE2486" s="60"/>
      <c r="HGF2486" s="60"/>
      <c r="HGG2486" s="58"/>
      <c r="HGH2486" s="61"/>
      <c r="HGI2486" s="58"/>
      <c r="HGJ2486" s="58"/>
      <c r="HGK2486" s="58"/>
      <c r="HGL2486" s="60"/>
      <c r="HGM2486" s="60"/>
      <c r="HGN2486" s="60"/>
      <c r="HGO2486" s="58"/>
      <c r="HGP2486" s="61"/>
      <c r="HGQ2486" s="58"/>
      <c r="HGR2486" s="58"/>
      <c r="HGS2486" s="58"/>
      <c r="HGT2486" s="60"/>
      <c r="HGU2486" s="60"/>
      <c r="HGV2486" s="60"/>
      <c r="HGW2486" s="58"/>
      <c r="HGX2486" s="61"/>
      <c r="HGY2486" s="58"/>
      <c r="HGZ2486" s="58"/>
      <c r="HHA2486" s="58"/>
      <c r="HHB2486" s="60"/>
      <c r="HHC2486" s="60"/>
      <c r="HHD2486" s="60"/>
      <c r="HHE2486" s="58"/>
      <c r="HHF2486" s="61"/>
      <c r="HHG2486" s="58"/>
      <c r="HHH2486" s="58"/>
      <c r="HHI2486" s="58"/>
      <c r="HHJ2486" s="60"/>
      <c r="HHK2486" s="60"/>
      <c r="HHL2486" s="60"/>
      <c r="HHM2486" s="58"/>
      <c r="HHN2486" s="61"/>
      <c r="HHO2486" s="58"/>
      <c r="HHP2486" s="58"/>
      <c r="HHQ2486" s="58"/>
      <c r="HHR2486" s="60"/>
      <c r="HHS2486" s="60"/>
      <c r="HHT2486" s="60"/>
      <c r="HHU2486" s="58"/>
      <c r="HHV2486" s="61"/>
      <c r="HHW2486" s="58"/>
      <c r="HHX2486" s="58"/>
      <c r="HHY2486" s="58"/>
      <c r="HHZ2486" s="60"/>
      <c r="HIA2486" s="60"/>
      <c r="HIB2486" s="60"/>
      <c r="HIC2486" s="58"/>
      <c r="HID2486" s="61"/>
      <c r="HIE2486" s="58"/>
      <c r="HIF2486" s="58"/>
      <c r="HIG2486" s="58"/>
      <c r="HIH2486" s="60"/>
      <c r="HII2486" s="60"/>
      <c r="HIJ2486" s="60"/>
      <c r="HIK2486" s="58"/>
      <c r="HIL2486" s="61"/>
      <c r="HIM2486" s="58"/>
      <c r="HIN2486" s="58"/>
      <c r="HIO2486" s="58"/>
      <c r="HIP2486" s="60"/>
      <c r="HIQ2486" s="60"/>
      <c r="HIR2486" s="60"/>
      <c r="HIS2486" s="58"/>
      <c r="HIT2486" s="61"/>
      <c r="HIU2486" s="58"/>
      <c r="HIV2486" s="58"/>
      <c r="HIW2486" s="58"/>
      <c r="HIX2486" s="60"/>
      <c r="HIY2486" s="60"/>
      <c r="HIZ2486" s="60"/>
      <c r="HJA2486" s="58"/>
      <c r="HJB2486" s="61"/>
      <c r="HJC2486" s="58"/>
      <c r="HJD2486" s="58"/>
      <c r="HJE2486" s="58"/>
      <c r="HJF2486" s="60"/>
      <c r="HJG2486" s="60"/>
      <c r="HJH2486" s="60"/>
      <c r="HJI2486" s="58"/>
      <c r="HJJ2486" s="61"/>
      <c r="HJK2486" s="58"/>
      <c r="HJL2486" s="58"/>
      <c r="HJM2486" s="58"/>
      <c r="HJN2486" s="60"/>
      <c r="HJO2486" s="60"/>
      <c r="HJP2486" s="60"/>
      <c r="HJQ2486" s="58"/>
      <c r="HJR2486" s="61"/>
      <c r="HJS2486" s="58"/>
      <c r="HJT2486" s="58"/>
      <c r="HJU2486" s="58"/>
      <c r="HJV2486" s="60"/>
      <c r="HJW2486" s="60"/>
      <c r="HJX2486" s="60"/>
      <c r="HJY2486" s="58"/>
      <c r="HJZ2486" s="61"/>
      <c r="HKA2486" s="58"/>
      <c r="HKB2486" s="58"/>
      <c r="HKC2486" s="58"/>
      <c r="HKD2486" s="60"/>
      <c r="HKE2486" s="60"/>
      <c r="HKF2486" s="60"/>
      <c r="HKG2486" s="58"/>
      <c r="HKH2486" s="61"/>
      <c r="HKI2486" s="58"/>
      <c r="HKJ2486" s="58"/>
      <c r="HKK2486" s="58"/>
      <c r="HKL2486" s="60"/>
      <c r="HKM2486" s="60"/>
      <c r="HKN2486" s="60"/>
      <c r="HKO2486" s="58"/>
      <c r="HKP2486" s="61"/>
      <c r="HKQ2486" s="58"/>
      <c r="HKR2486" s="58"/>
      <c r="HKS2486" s="58"/>
      <c r="HKT2486" s="60"/>
      <c r="HKU2486" s="60"/>
      <c r="HKV2486" s="60"/>
      <c r="HKW2486" s="58"/>
      <c r="HKX2486" s="61"/>
      <c r="HKY2486" s="58"/>
      <c r="HKZ2486" s="58"/>
      <c r="HLA2486" s="58"/>
      <c r="HLB2486" s="60"/>
      <c r="HLC2486" s="60"/>
      <c r="HLD2486" s="60"/>
      <c r="HLE2486" s="58"/>
      <c r="HLF2486" s="61"/>
      <c r="HLG2486" s="58"/>
      <c r="HLH2486" s="58"/>
      <c r="HLI2486" s="58"/>
      <c r="HLJ2486" s="60"/>
      <c r="HLK2486" s="60"/>
      <c r="HLL2486" s="60"/>
      <c r="HLM2486" s="58"/>
      <c r="HLN2486" s="61"/>
      <c r="HLO2486" s="58"/>
      <c r="HLP2486" s="58"/>
      <c r="HLQ2486" s="58"/>
      <c r="HLR2486" s="60"/>
      <c r="HLS2486" s="60"/>
      <c r="HLT2486" s="60"/>
      <c r="HLU2486" s="58"/>
      <c r="HLV2486" s="61"/>
      <c r="HLW2486" s="58"/>
      <c r="HLX2486" s="58"/>
      <c r="HLY2486" s="58"/>
      <c r="HLZ2486" s="60"/>
      <c r="HMA2486" s="60"/>
      <c r="HMB2486" s="60"/>
      <c r="HMC2486" s="58"/>
      <c r="HMD2486" s="61"/>
      <c r="HME2486" s="58"/>
      <c r="HMF2486" s="58"/>
      <c r="HMG2486" s="58"/>
      <c r="HMH2486" s="60"/>
      <c r="HMI2486" s="60"/>
      <c r="HMJ2486" s="60"/>
      <c r="HMK2486" s="58"/>
      <c r="HML2486" s="61"/>
      <c r="HMM2486" s="58"/>
      <c r="HMN2486" s="58"/>
      <c r="HMO2486" s="58"/>
      <c r="HMP2486" s="60"/>
      <c r="HMQ2486" s="60"/>
      <c r="HMR2486" s="60"/>
      <c r="HMS2486" s="58"/>
      <c r="HMT2486" s="61"/>
      <c r="HMU2486" s="58"/>
      <c r="HMV2486" s="58"/>
      <c r="HMW2486" s="58"/>
      <c r="HMX2486" s="60"/>
      <c r="HMY2486" s="60"/>
      <c r="HMZ2486" s="60"/>
      <c r="HNA2486" s="58"/>
      <c r="HNB2486" s="61"/>
      <c r="HNC2486" s="58"/>
      <c r="HND2486" s="58"/>
      <c r="HNE2486" s="58"/>
      <c r="HNF2486" s="60"/>
      <c r="HNG2486" s="60"/>
      <c r="HNH2486" s="60"/>
      <c r="HNI2486" s="58"/>
      <c r="HNJ2486" s="61"/>
      <c r="HNK2486" s="58"/>
      <c r="HNL2486" s="58"/>
      <c r="HNM2486" s="58"/>
      <c r="HNN2486" s="60"/>
      <c r="HNO2486" s="60"/>
      <c r="HNP2486" s="60"/>
      <c r="HNQ2486" s="58"/>
      <c r="HNR2486" s="61"/>
      <c r="HNS2486" s="58"/>
      <c r="HNT2486" s="58"/>
      <c r="HNU2486" s="58"/>
      <c r="HNV2486" s="60"/>
      <c r="HNW2486" s="60"/>
      <c r="HNX2486" s="60"/>
      <c r="HNY2486" s="58"/>
      <c r="HNZ2486" s="61"/>
      <c r="HOA2486" s="58"/>
      <c r="HOB2486" s="58"/>
      <c r="HOC2486" s="58"/>
      <c r="HOD2486" s="60"/>
      <c r="HOE2486" s="60"/>
      <c r="HOF2486" s="60"/>
      <c r="HOG2486" s="58"/>
      <c r="HOH2486" s="61"/>
      <c r="HOI2486" s="58"/>
      <c r="HOJ2486" s="58"/>
      <c r="HOK2486" s="58"/>
      <c r="HOL2486" s="60"/>
      <c r="HOM2486" s="60"/>
      <c r="HON2486" s="60"/>
      <c r="HOO2486" s="58"/>
      <c r="HOP2486" s="61"/>
      <c r="HOQ2486" s="58"/>
      <c r="HOR2486" s="58"/>
      <c r="HOS2486" s="58"/>
      <c r="HOT2486" s="60"/>
      <c r="HOU2486" s="60"/>
      <c r="HOV2486" s="60"/>
      <c r="HOW2486" s="58"/>
      <c r="HOX2486" s="61"/>
      <c r="HOY2486" s="58"/>
      <c r="HOZ2486" s="58"/>
      <c r="HPA2486" s="58"/>
      <c r="HPB2486" s="60"/>
      <c r="HPC2486" s="60"/>
      <c r="HPD2486" s="60"/>
      <c r="HPE2486" s="58"/>
      <c r="HPF2486" s="61"/>
      <c r="HPG2486" s="58"/>
      <c r="HPH2486" s="58"/>
      <c r="HPI2486" s="58"/>
      <c r="HPJ2486" s="60"/>
      <c r="HPK2486" s="60"/>
      <c r="HPL2486" s="60"/>
      <c r="HPM2486" s="58"/>
      <c r="HPN2486" s="61"/>
      <c r="HPO2486" s="58"/>
      <c r="HPP2486" s="58"/>
      <c r="HPQ2486" s="58"/>
      <c r="HPR2486" s="60"/>
      <c r="HPS2486" s="60"/>
      <c r="HPT2486" s="60"/>
      <c r="HPU2486" s="58"/>
      <c r="HPV2486" s="61"/>
      <c r="HPW2486" s="58"/>
      <c r="HPX2486" s="58"/>
      <c r="HPY2486" s="58"/>
      <c r="HPZ2486" s="60"/>
      <c r="HQA2486" s="60"/>
      <c r="HQB2486" s="60"/>
      <c r="HQC2486" s="58"/>
      <c r="HQD2486" s="61"/>
      <c r="HQE2486" s="58"/>
      <c r="HQF2486" s="58"/>
      <c r="HQG2486" s="58"/>
      <c r="HQH2486" s="60"/>
      <c r="HQI2486" s="60"/>
      <c r="HQJ2486" s="60"/>
      <c r="HQK2486" s="58"/>
      <c r="HQL2486" s="61"/>
      <c r="HQM2486" s="58"/>
      <c r="HQN2486" s="58"/>
      <c r="HQO2486" s="58"/>
      <c r="HQP2486" s="60"/>
      <c r="HQQ2486" s="60"/>
      <c r="HQR2486" s="60"/>
      <c r="HQS2486" s="58"/>
      <c r="HQT2486" s="61"/>
      <c r="HQU2486" s="58"/>
      <c r="HQV2486" s="58"/>
      <c r="HQW2486" s="58"/>
      <c r="HQX2486" s="60"/>
      <c r="HQY2486" s="60"/>
      <c r="HQZ2486" s="60"/>
      <c r="HRA2486" s="58"/>
      <c r="HRB2486" s="61"/>
      <c r="HRC2486" s="58"/>
      <c r="HRD2486" s="58"/>
      <c r="HRE2486" s="58"/>
      <c r="HRF2486" s="60"/>
      <c r="HRG2486" s="60"/>
      <c r="HRH2486" s="60"/>
      <c r="HRI2486" s="58"/>
      <c r="HRJ2486" s="61"/>
      <c r="HRK2486" s="58"/>
      <c r="HRL2486" s="58"/>
      <c r="HRM2486" s="58"/>
      <c r="HRN2486" s="60"/>
      <c r="HRO2486" s="60"/>
      <c r="HRP2486" s="60"/>
      <c r="HRQ2486" s="58"/>
      <c r="HRR2486" s="61"/>
      <c r="HRS2486" s="58"/>
      <c r="HRT2486" s="58"/>
      <c r="HRU2486" s="58"/>
      <c r="HRV2486" s="60"/>
      <c r="HRW2486" s="60"/>
      <c r="HRX2486" s="60"/>
      <c r="HRY2486" s="58"/>
      <c r="HRZ2486" s="61"/>
      <c r="HSA2486" s="58"/>
      <c r="HSB2486" s="58"/>
      <c r="HSC2486" s="58"/>
      <c r="HSD2486" s="60"/>
      <c r="HSE2486" s="60"/>
      <c r="HSF2486" s="60"/>
      <c r="HSG2486" s="58"/>
      <c r="HSH2486" s="61"/>
      <c r="HSI2486" s="58"/>
      <c r="HSJ2486" s="58"/>
      <c r="HSK2486" s="58"/>
      <c r="HSL2486" s="60"/>
      <c r="HSM2486" s="60"/>
      <c r="HSN2486" s="60"/>
      <c r="HSO2486" s="58"/>
      <c r="HSP2486" s="61"/>
      <c r="HSQ2486" s="58"/>
      <c r="HSR2486" s="58"/>
      <c r="HSS2486" s="58"/>
      <c r="HST2486" s="60"/>
      <c r="HSU2486" s="60"/>
      <c r="HSV2486" s="60"/>
      <c r="HSW2486" s="58"/>
      <c r="HSX2486" s="61"/>
      <c r="HSY2486" s="58"/>
      <c r="HSZ2486" s="58"/>
      <c r="HTA2486" s="58"/>
      <c r="HTB2486" s="60"/>
      <c r="HTC2486" s="60"/>
      <c r="HTD2486" s="60"/>
      <c r="HTE2486" s="58"/>
      <c r="HTF2486" s="61"/>
      <c r="HTG2486" s="58"/>
      <c r="HTH2486" s="58"/>
      <c r="HTI2486" s="58"/>
      <c r="HTJ2486" s="60"/>
      <c r="HTK2486" s="60"/>
      <c r="HTL2486" s="60"/>
      <c r="HTM2486" s="58"/>
      <c r="HTN2486" s="61"/>
      <c r="HTO2486" s="58"/>
      <c r="HTP2486" s="58"/>
      <c r="HTQ2486" s="58"/>
      <c r="HTR2486" s="60"/>
      <c r="HTS2486" s="60"/>
      <c r="HTT2486" s="60"/>
      <c r="HTU2486" s="58"/>
      <c r="HTV2486" s="61"/>
      <c r="HTW2486" s="58"/>
      <c r="HTX2486" s="58"/>
      <c r="HTY2486" s="58"/>
      <c r="HTZ2486" s="60"/>
      <c r="HUA2486" s="60"/>
      <c r="HUB2486" s="60"/>
      <c r="HUC2486" s="58"/>
      <c r="HUD2486" s="61"/>
      <c r="HUE2486" s="58"/>
      <c r="HUF2486" s="58"/>
      <c r="HUG2486" s="58"/>
      <c r="HUH2486" s="60"/>
      <c r="HUI2486" s="60"/>
      <c r="HUJ2486" s="60"/>
      <c r="HUK2486" s="58"/>
      <c r="HUL2486" s="61"/>
      <c r="HUM2486" s="58"/>
      <c r="HUN2486" s="58"/>
      <c r="HUO2486" s="58"/>
      <c r="HUP2486" s="60"/>
      <c r="HUQ2486" s="60"/>
      <c r="HUR2486" s="60"/>
      <c r="HUS2486" s="58"/>
      <c r="HUT2486" s="61"/>
      <c r="HUU2486" s="58"/>
      <c r="HUV2486" s="58"/>
      <c r="HUW2486" s="58"/>
      <c r="HUX2486" s="60"/>
      <c r="HUY2486" s="60"/>
      <c r="HUZ2486" s="60"/>
      <c r="HVA2486" s="58"/>
      <c r="HVB2486" s="61"/>
      <c r="HVC2486" s="58"/>
      <c r="HVD2486" s="58"/>
      <c r="HVE2486" s="58"/>
      <c r="HVF2486" s="60"/>
      <c r="HVG2486" s="60"/>
      <c r="HVH2486" s="60"/>
      <c r="HVI2486" s="58"/>
      <c r="HVJ2486" s="61"/>
      <c r="HVK2486" s="58"/>
      <c r="HVL2486" s="58"/>
      <c r="HVM2486" s="58"/>
      <c r="HVN2486" s="60"/>
      <c r="HVO2486" s="60"/>
      <c r="HVP2486" s="60"/>
      <c r="HVQ2486" s="58"/>
      <c r="HVR2486" s="61"/>
      <c r="HVS2486" s="58"/>
      <c r="HVT2486" s="58"/>
      <c r="HVU2486" s="58"/>
      <c r="HVV2486" s="60"/>
      <c r="HVW2486" s="60"/>
      <c r="HVX2486" s="60"/>
      <c r="HVY2486" s="58"/>
      <c r="HVZ2486" s="61"/>
      <c r="HWA2486" s="58"/>
      <c r="HWB2486" s="58"/>
      <c r="HWC2486" s="58"/>
      <c r="HWD2486" s="60"/>
      <c r="HWE2486" s="60"/>
      <c r="HWF2486" s="60"/>
      <c r="HWG2486" s="58"/>
      <c r="HWH2486" s="61"/>
      <c r="HWI2486" s="58"/>
      <c r="HWJ2486" s="58"/>
      <c r="HWK2486" s="58"/>
      <c r="HWL2486" s="60"/>
      <c r="HWM2486" s="60"/>
      <c r="HWN2486" s="60"/>
      <c r="HWO2486" s="58"/>
      <c r="HWP2486" s="61"/>
      <c r="HWQ2486" s="58"/>
      <c r="HWR2486" s="58"/>
      <c r="HWS2486" s="58"/>
      <c r="HWT2486" s="60"/>
      <c r="HWU2486" s="60"/>
      <c r="HWV2486" s="60"/>
      <c r="HWW2486" s="58"/>
      <c r="HWX2486" s="61"/>
      <c r="HWY2486" s="58"/>
      <c r="HWZ2486" s="58"/>
      <c r="HXA2486" s="58"/>
      <c r="HXB2486" s="60"/>
      <c r="HXC2486" s="60"/>
      <c r="HXD2486" s="60"/>
      <c r="HXE2486" s="58"/>
      <c r="HXF2486" s="61"/>
      <c r="HXG2486" s="58"/>
      <c r="HXH2486" s="58"/>
      <c r="HXI2486" s="58"/>
      <c r="HXJ2486" s="60"/>
      <c r="HXK2486" s="60"/>
      <c r="HXL2486" s="60"/>
      <c r="HXM2486" s="58"/>
      <c r="HXN2486" s="61"/>
      <c r="HXO2486" s="58"/>
      <c r="HXP2486" s="58"/>
      <c r="HXQ2486" s="58"/>
      <c r="HXR2486" s="60"/>
      <c r="HXS2486" s="60"/>
      <c r="HXT2486" s="60"/>
      <c r="HXU2486" s="58"/>
      <c r="HXV2486" s="61"/>
      <c r="HXW2486" s="58"/>
      <c r="HXX2486" s="58"/>
      <c r="HXY2486" s="58"/>
      <c r="HXZ2486" s="60"/>
      <c r="HYA2486" s="60"/>
      <c r="HYB2486" s="60"/>
      <c r="HYC2486" s="58"/>
      <c r="HYD2486" s="61"/>
      <c r="HYE2486" s="58"/>
      <c r="HYF2486" s="58"/>
      <c r="HYG2486" s="58"/>
      <c r="HYH2486" s="60"/>
      <c r="HYI2486" s="60"/>
      <c r="HYJ2486" s="60"/>
      <c r="HYK2486" s="58"/>
      <c r="HYL2486" s="61"/>
      <c r="HYM2486" s="58"/>
      <c r="HYN2486" s="58"/>
      <c r="HYO2486" s="58"/>
      <c r="HYP2486" s="60"/>
      <c r="HYQ2486" s="60"/>
      <c r="HYR2486" s="60"/>
      <c r="HYS2486" s="58"/>
      <c r="HYT2486" s="61"/>
      <c r="HYU2486" s="58"/>
      <c r="HYV2486" s="58"/>
      <c r="HYW2486" s="58"/>
      <c r="HYX2486" s="60"/>
      <c r="HYY2486" s="60"/>
      <c r="HYZ2486" s="60"/>
      <c r="HZA2486" s="58"/>
      <c r="HZB2486" s="61"/>
      <c r="HZC2486" s="58"/>
      <c r="HZD2486" s="58"/>
      <c r="HZE2486" s="58"/>
      <c r="HZF2486" s="60"/>
      <c r="HZG2486" s="60"/>
      <c r="HZH2486" s="60"/>
      <c r="HZI2486" s="58"/>
      <c r="HZJ2486" s="61"/>
      <c r="HZK2486" s="58"/>
      <c r="HZL2486" s="58"/>
      <c r="HZM2486" s="58"/>
      <c r="HZN2486" s="60"/>
      <c r="HZO2486" s="60"/>
      <c r="HZP2486" s="60"/>
      <c r="HZQ2486" s="58"/>
      <c r="HZR2486" s="61"/>
      <c r="HZS2486" s="58"/>
      <c r="HZT2486" s="58"/>
      <c r="HZU2486" s="58"/>
      <c r="HZV2486" s="60"/>
      <c r="HZW2486" s="60"/>
      <c r="HZX2486" s="60"/>
      <c r="HZY2486" s="58"/>
      <c r="HZZ2486" s="61"/>
      <c r="IAA2486" s="58"/>
      <c r="IAB2486" s="58"/>
      <c r="IAC2486" s="58"/>
      <c r="IAD2486" s="60"/>
      <c r="IAE2486" s="60"/>
      <c r="IAF2486" s="60"/>
      <c r="IAG2486" s="58"/>
      <c r="IAH2486" s="61"/>
      <c r="IAI2486" s="58"/>
      <c r="IAJ2486" s="58"/>
      <c r="IAK2486" s="58"/>
      <c r="IAL2486" s="60"/>
      <c r="IAM2486" s="60"/>
      <c r="IAN2486" s="60"/>
      <c r="IAO2486" s="58"/>
      <c r="IAP2486" s="61"/>
      <c r="IAQ2486" s="58"/>
      <c r="IAR2486" s="58"/>
      <c r="IAS2486" s="58"/>
      <c r="IAT2486" s="60"/>
      <c r="IAU2486" s="60"/>
      <c r="IAV2486" s="60"/>
      <c r="IAW2486" s="58"/>
      <c r="IAX2486" s="61"/>
      <c r="IAY2486" s="58"/>
      <c r="IAZ2486" s="58"/>
      <c r="IBA2486" s="58"/>
      <c r="IBB2486" s="60"/>
      <c r="IBC2486" s="60"/>
      <c r="IBD2486" s="60"/>
      <c r="IBE2486" s="58"/>
      <c r="IBF2486" s="61"/>
      <c r="IBG2486" s="58"/>
      <c r="IBH2486" s="58"/>
      <c r="IBI2486" s="58"/>
      <c r="IBJ2486" s="60"/>
      <c r="IBK2486" s="60"/>
      <c r="IBL2486" s="60"/>
      <c r="IBM2486" s="58"/>
      <c r="IBN2486" s="61"/>
      <c r="IBO2486" s="58"/>
      <c r="IBP2486" s="58"/>
      <c r="IBQ2486" s="58"/>
      <c r="IBR2486" s="60"/>
      <c r="IBS2486" s="60"/>
      <c r="IBT2486" s="60"/>
      <c r="IBU2486" s="58"/>
      <c r="IBV2486" s="61"/>
      <c r="IBW2486" s="58"/>
      <c r="IBX2486" s="58"/>
      <c r="IBY2486" s="58"/>
      <c r="IBZ2486" s="60"/>
      <c r="ICA2486" s="60"/>
      <c r="ICB2486" s="60"/>
      <c r="ICC2486" s="58"/>
      <c r="ICD2486" s="61"/>
      <c r="ICE2486" s="58"/>
      <c r="ICF2486" s="58"/>
      <c r="ICG2486" s="58"/>
      <c r="ICH2486" s="60"/>
      <c r="ICI2486" s="60"/>
      <c r="ICJ2486" s="60"/>
      <c r="ICK2486" s="58"/>
      <c r="ICL2486" s="61"/>
      <c r="ICM2486" s="58"/>
      <c r="ICN2486" s="58"/>
      <c r="ICO2486" s="58"/>
      <c r="ICP2486" s="60"/>
      <c r="ICQ2486" s="60"/>
      <c r="ICR2486" s="60"/>
      <c r="ICS2486" s="58"/>
      <c r="ICT2486" s="61"/>
      <c r="ICU2486" s="58"/>
      <c r="ICV2486" s="58"/>
      <c r="ICW2486" s="58"/>
      <c r="ICX2486" s="60"/>
      <c r="ICY2486" s="60"/>
      <c r="ICZ2486" s="60"/>
      <c r="IDA2486" s="58"/>
      <c r="IDB2486" s="61"/>
      <c r="IDC2486" s="58"/>
      <c r="IDD2486" s="58"/>
      <c r="IDE2486" s="58"/>
      <c r="IDF2486" s="60"/>
      <c r="IDG2486" s="60"/>
      <c r="IDH2486" s="60"/>
      <c r="IDI2486" s="58"/>
      <c r="IDJ2486" s="61"/>
      <c r="IDK2486" s="58"/>
      <c r="IDL2486" s="58"/>
      <c r="IDM2486" s="58"/>
      <c r="IDN2486" s="60"/>
      <c r="IDO2486" s="60"/>
      <c r="IDP2486" s="60"/>
      <c r="IDQ2486" s="58"/>
      <c r="IDR2486" s="61"/>
      <c r="IDS2486" s="58"/>
      <c r="IDT2486" s="58"/>
      <c r="IDU2486" s="58"/>
      <c r="IDV2486" s="60"/>
      <c r="IDW2486" s="60"/>
      <c r="IDX2486" s="60"/>
      <c r="IDY2486" s="58"/>
      <c r="IDZ2486" s="61"/>
      <c r="IEA2486" s="58"/>
      <c r="IEB2486" s="58"/>
      <c r="IEC2486" s="58"/>
      <c r="IED2486" s="60"/>
      <c r="IEE2486" s="60"/>
      <c r="IEF2486" s="60"/>
      <c r="IEG2486" s="58"/>
      <c r="IEH2486" s="61"/>
      <c r="IEI2486" s="58"/>
      <c r="IEJ2486" s="58"/>
      <c r="IEK2486" s="58"/>
      <c r="IEL2486" s="60"/>
      <c r="IEM2486" s="60"/>
      <c r="IEN2486" s="60"/>
      <c r="IEO2486" s="58"/>
      <c r="IEP2486" s="61"/>
      <c r="IEQ2486" s="58"/>
      <c r="IER2486" s="58"/>
      <c r="IES2486" s="58"/>
      <c r="IET2486" s="60"/>
      <c r="IEU2486" s="60"/>
      <c r="IEV2486" s="60"/>
      <c r="IEW2486" s="58"/>
      <c r="IEX2486" s="61"/>
      <c r="IEY2486" s="58"/>
      <c r="IEZ2486" s="58"/>
      <c r="IFA2486" s="58"/>
      <c r="IFB2486" s="60"/>
      <c r="IFC2486" s="60"/>
      <c r="IFD2486" s="60"/>
      <c r="IFE2486" s="58"/>
      <c r="IFF2486" s="61"/>
      <c r="IFG2486" s="58"/>
      <c r="IFH2486" s="58"/>
      <c r="IFI2486" s="58"/>
      <c r="IFJ2486" s="60"/>
      <c r="IFK2486" s="60"/>
      <c r="IFL2486" s="60"/>
      <c r="IFM2486" s="58"/>
      <c r="IFN2486" s="61"/>
      <c r="IFO2486" s="58"/>
      <c r="IFP2486" s="58"/>
      <c r="IFQ2486" s="58"/>
      <c r="IFR2486" s="60"/>
      <c r="IFS2486" s="60"/>
      <c r="IFT2486" s="60"/>
      <c r="IFU2486" s="58"/>
      <c r="IFV2486" s="61"/>
      <c r="IFW2486" s="58"/>
      <c r="IFX2486" s="58"/>
      <c r="IFY2486" s="58"/>
      <c r="IFZ2486" s="60"/>
      <c r="IGA2486" s="60"/>
      <c r="IGB2486" s="60"/>
      <c r="IGC2486" s="58"/>
      <c r="IGD2486" s="61"/>
      <c r="IGE2486" s="58"/>
      <c r="IGF2486" s="58"/>
      <c r="IGG2486" s="58"/>
      <c r="IGH2486" s="60"/>
      <c r="IGI2486" s="60"/>
      <c r="IGJ2486" s="60"/>
      <c r="IGK2486" s="58"/>
      <c r="IGL2486" s="61"/>
      <c r="IGM2486" s="58"/>
      <c r="IGN2486" s="58"/>
      <c r="IGO2486" s="58"/>
      <c r="IGP2486" s="60"/>
      <c r="IGQ2486" s="60"/>
      <c r="IGR2486" s="60"/>
      <c r="IGS2486" s="58"/>
      <c r="IGT2486" s="61"/>
      <c r="IGU2486" s="58"/>
      <c r="IGV2486" s="58"/>
      <c r="IGW2486" s="58"/>
      <c r="IGX2486" s="60"/>
      <c r="IGY2486" s="60"/>
      <c r="IGZ2486" s="60"/>
      <c r="IHA2486" s="58"/>
      <c r="IHB2486" s="61"/>
      <c r="IHC2486" s="58"/>
      <c r="IHD2486" s="58"/>
      <c r="IHE2486" s="58"/>
      <c r="IHF2486" s="60"/>
      <c r="IHG2486" s="60"/>
      <c r="IHH2486" s="60"/>
      <c r="IHI2486" s="58"/>
      <c r="IHJ2486" s="61"/>
      <c r="IHK2486" s="58"/>
      <c r="IHL2486" s="58"/>
      <c r="IHM2486" s="58"/>
      <c r="IHN2486" s="60"/>
      <c r="IHO2486" s="60"/>
      <c r="IHP2486" s="60"/>
      <c r="IHQ2486" s="58"/>
      <c r="IHR2486" s="61"/>
      <c r="IHS2486" s="58"/>
      <c r="IHT2486" s="58"/>
      <c r="IHU2486" s="58"/>
      <c r="IHV2486" s="60"/>
      <c r="IHW2486" s="60"/>
      <c r="IHX2486" s="60"/>
      <c r="IHY2486" s="58"/>
      <c r="IHZ2486" s="61"/>
      <c r="IIA2486" s="58"/>
      <c r="IIB2486" s="58"/>
      <c r="IIC2486" s="58"/>
      <c r="IID2486" s="60"/>
      <c r="IIE2486" s="60"/>
      <c r="IIF2486" s="60"/>
      <c r="IIG2486" s="58"/>
      <c r="IIH2486" s="61"/>
      <c r="III2486" s="58"/>
      <c r="IIJ2486" s="58"/>
      <c r="IIK2486" s="58"/>
      <c r="IIL2486" s="60"/>
      <c r="IIM2486" s="60"/>
      <c r="IIN2486" s="60"/>
      <c r="IIO2486" s="58"/>
      <c r="IIP2486" s="61"/>
      <c r="IIQ2486" s="58"/>
      <c r="IIR2486" s="58"/>
      <c r="IIS2486" s="58"/>
      <c r="IIT2486" s="60"/>
      <c r="IIU2486" s="60"/>
      <c r="IIV2486" s="60"/>
      <c r="IIW2486" s="58"/>
      <c r="IIX2486" s="61"/>
      <c r="IIY2486" s="58"/>
      <c r="IIZ2486" s="58"/>
      <c r="IJA2486" s="58"/>
      <c r="IJB2486" s="60"/>
      <c r="IJC2486" s="60"/>
      <c r="IJD2486" s="60"/>
      <c r="IJE2486" s="58"/>
      <c r="IJF2486" s="61"/>
      <c r="IJG2486" s="58"/>
      <c r="IJH2486" s="58"/>
      <c r="IJI2486" s="58"/>
      <c r="IJJ2486" s="60"/>
      <c r="IJK2486" s="60"/>
      <c r="IJL2486" s="60"/>
      <c r="IJM2486" s="58"/>
      <c r="IJN2486" s="61"/>
      <c r="IJO2486" s="58"/>
      <c r="IJP2486" s="58"/>
      <c r="IJQ2486" s="58"/>
      <c r="IJR2486" s="60"/>
      <c r="IJS2486" s="60"/>
      <c r="IJT2486" s="60"/>
      <c r="IJU2486" s="58"/>
      <c r="IJV2486" s="61"/>
      <c r="IJW2486" s="58"/>
      <c r="IJX2486" s="58"/>
      <c r="IJY2486" s="58"/>
      <c r="IJZ2486" s="60"/>
      <c r="IKA2486" s="60"/>
      <c r="IKB2486" s="60"/>
      <c r="IKC2486" s="58"/>
      <c r="IKD2486" s="61"/>
      <c r="IKE2486" s="58"/>
      <c r="IKF2486" s="58"/>
      <c r="IKG2486" s="58"/>
      <c r="IKH2486" s="60"/>
      <c r="IKI2486" s="60"/>
      <c r="IKJ2486" s="60"/>
      <c r="IKK2486" s="58"/>
      <c r="IKL2486" s="61"/>
      <c r="IKM2486" s="58"/>
      <c r="IKN2486" s="58"/>
      <c r="IKO2486" s="58"/>
      <c r="IKP2486" s="60"/>
      <c r="IKQ2486" s="60"/>
      <c r="IKR2486" s="60"/>
      <c r="IKS2486" s="58"/>
      <c r="IKT2486" s="61"/>
      <c r="IKU2486" s="58"/>
      <c r="IKV2486" s="58"/>
      <c r="IKW2486" s="58"/>
      <c r="IKX2486" s="60"/>
      <c r="IKY2486" s="60"/>
      <c r="IKZ2486" s="60"/>
      <c r="ILA2486" s="58"/>
      <c r="ILB2486" s="61"/>
      <c r="ILC2486" s="58"/>
      <c r="ILD2486" s="58"/>
      <c r="ILE2486" s="58"/>
      <c r="ILF2486" s="60"/>
      <c r="ILG2486" s="60"/>
      <c r="ILH2486" s="60"/>
      <c r="ILI2486" s="58"/>
      <c r="ILJ2486" s="61"/>
      <c r="ILK2486" s="58"/>
      <c r="ILL2486" s="58"/>
      <c r="ILM2486" s="58"/>
      <c r="ILN2486" s="60"/>
      <c r="ILO2486" s="60"/>
      <c r="ILP2486" s="60"/>
      <c r="ILQ2486" s="58"/>
      <c r="ILR2486" s="61"/>
      <c r="ILS2486" s="58"/>
      <c r="ILT2486" s="58"/>
      <c r="ILU2486" s="58"/>
      <c r="ILV2486" s="60"/>
      <c r="ILW2486" s="60"/>
      <c r="ILX2486" s="60"/>
      <c r="ILY2486" s="58"/>
      <c r="ILZ2486" s="61"/>
      <c r="IMA2486" s="58"/>
      <c r="IMB2486" s="58"/>
      <c r="IMC2486" s="58"/>
      <c r="IMD2486" s="60"/>
      <c r="IME2486" s="60"/>
      <c r="IMF2486" s="60"/>
      <c r="IMG2486" s="58"/>
      <c r="IMH2486" s="61"/>
      <c r="IMI2486" s="58"/>
      <c r="IMJ2486" s="58"/>
      <c r="IMK2486" s="58"/>
      <c r="IML2486" s="60"/>
      <c r="IMM2486" s="60"/>
      <c r="IMN2486" s="60"/>
      <c r="IMO2486" s="58"/>
      <c r="IMP2486" s="61"/>
      <c r="IMQ2486" s="58"/>
      <c r="IMR2486" s="58"/>
      <c r="IMS2486" s="58"/>
      <c r="IMT2486" s="60"/>
      <c r="IMU2486" s="60"/>
      <c r="IMV2486" s="60"/>
      <c r="IMW2486" s="58"/>
      <c r="IMX2486" s="61"/>
      <c r="IMY2486" s="58"/>
      <c r="IMZ2486" s="58"/>
      <c r="INA2486" s="58"/>
      <c r="INB2486" s="60"/>
      <c r="INC2486" s="60"/>
      <c r="IND2486" s="60"/>
      <c r="INE2486" s="58"/>
      <c r="INF2486" s="61"/>
      <c r="ING2486" s="58"/>
      <c r="INH2486" s="58"/>
      <c r="INI2486" s="58"/>
      <c r="INJ2486" s="60"/>
      <c r="INK2486" s="60"/>
      <c r="INL2486" s="60"/>
      <c r="INM2486" s="58"/>
      <c r="INN2486" s="61"/>
      <c r="INO2486" s="58"/>
      <c r="INP2486" s="58"/>
      <c r="INQ2486" s="58"/>
      <c r="INR2486" s="60"/>
      <c r="INS2486" s="60"/>
      <c r="INT2486" s="60"/>
      <c r="INU2486" s="58"/>
      <c r="INV2486" s="61"/>
      <c r="INW2486" s="58"/>
      <c r="INX2486" s="58"/>
      <c r="INY2486" s="58"/>
      <c r="INZ2486" s="60"/>
      <c r="IOA2486" s="60"/>
      <c r="IOB2486" s="60"/>
      <c r="IOC2486" s="58"/>
      <c r="IOD2486" s="61"/>
      <c r="IOE2486" s="58"/>
      <c r="IOF2486" s="58"/>
      <c r="IOG2486" s="58"/>
      <c r="IOH2486" s="60"/>
      <c r="IOI2486" s="60"/>
      <c r="IOJ2486" s="60"/>
      <c r="IOK2486" s="58"/>
      <c r="IOL2486" s="61"/>
      <c r="IOM2486" s="58"/>
      <c r="ION2486" s="58"/>
      <c r="IOO2486" s="58"/>
      <c r="IOP2486" s="60"/>
      <c r="IOQ2486" s="60"/>
      <c r="IOR2486" s="60"/>
      <c r="IOS2486" s="58"/>
      <c r="IOT2486" s="61"/>
      <c r="IOU2486" s="58"/>
      <c r="IOV2486" s="58"/>
      <c r="IOW2486" s="58"/>
      <c r="IOX2486" s="60"/>
      <c r="IOY2486" s="60"/>
      <c r="IOZ2486" s="60"/>
      <c r="IPA2486" s="58"/>
      <c r="IPB2486" s="61"/>
      <c r="IPC2486" s="58"/>
      <c r="IPD2486" s="58"/>
      <c r="IPE2486" s="58"/>
      <c r="IPF2486" s="60"/>
      <c r="IPG2486" s="60"/>
      <c r="IPH2486" s="60"/>
      <c r="IPI2486" s="58"/>
      <c r="IPJ2486" s="61"/>
      <c r="IPK2486" s="58"/>
      <c r="IPL2486" s="58"/>
      <c r="IPM2486" s="58"/>
      <c r="IPN2486" s="60"/>
      <c r="IPO2486" s="60"/>
      <c r="IPP2486" s="60"/>
      <c r="IPQ2486" s="58"/>
      <c r="IPR2486" s="61"/>
      <c r="IPS2486" s="58"/>
      <c r="IPT2486" s="58"/>
      <c r="IPU2486" s="58"/>
      <c r="IPV2486" s="60"/>
      <c r="IPW2486" s="60"/>
      <c r="IPX2486" s="60"/>
      <c r="IPY2486" s="58"/>
      <c r="IPZ2486" s="61"/>
      <c r="IQA2486" s="58"/>
      <c r="IQB2486" s="58"/>
      <c r="IQC2486" s="58"/>
      <c r="IQD2486" s="60"/>
      <c r="IQE2486" s="60"/>
      <c r="IQF2486" s="60"/>
      <c r="IQG2486" s="58"/>
      <c r="IQH2486" s="61"/>
      <c r="IQI2486" s="58"/>
      <c r="IQJ2486" s="58"/>
      <c r="IQK2486" s="58"/>
      <c r="IQL2486" s="60"/>
      <c r="IQM2486" s="60"/>
      <c r="IQN2486" s="60"/>
      <c r="IQO2486" s="58"/>
      <c r="IQP2486" s="61"/>
      <c r="IQQ2486" s="58"/>
      <c r="IQR2486" s="58"/>
      <c r="IQS2486" s="58"/>
      <c r="IQT2486" s="60"/>
      <c r="IQU2486" s="60"/>
      <c r="IQV2486" s="60"/>
      <c r="IQW2486" s="58"/>
      <c r="IQX2486" s="61"/>
      <c r="IQY2486" s="58"/>
      <c r="IQZ2486" s="58"/>
      <c r="IRA2486" s="58"/>
      <c r="IRB2486" s="60"/>
      <c r="IRC2486" s="60"/>
      <c r="IRD2486" s="60"/>
      <c r="IRE2486" s="58"/>
      <c r="IRF2486" s="61"/>
      <c r="IRG2486" s="58"/>
      <c r="IRH2486" s="58"/>
      <c r="IRI2486" s="58"/>
      <c r="IRJ2486" s="60"/>
      <c r="IRK2486" s="60"/>
      <c r="IRL2486" s="60"/>
      <c r="IRM2486" s="58"/>
      <c r="IRN2486" s="61"/>
      <c r="IRO2486" s="58"/>
      <c r="IRP2486" s="58"/>
      <c r="IRQ2486" s="58"/>
      <c r="IRR2486" s="60"/>
      <c r="IRS2486" s="60"/>
      <c r="IRT2486" s="60"/>
      <c r="IRU2486" s="58"/>
      <c r="IRV2486" s="61"/>
      <c r="IRW2486" s="58"/>
      <c r="IRX2486" s="58"/>
      <c r="IRY2486" s="58"/>
      <c r="IRZ2486" s="60"/>
      <c r="ISA2486" s="60"/>
      <c r="ISB2486" s="60"/>
      <c r="ISC2486" s="58"/>
      <c r="ISD2486" s="61"/>
      <c r="ISE2486" s="58"/>
      <c r="ISF2486" s="58"/>
      <c r="ISG2486" s="58"/>
      <c r="ISH2486" s="60"/>
      <c r="ISI2486" s="60"/>
      <c r="ISJ2486" s="60"/>
      <c r="ISK2486" s="58"/>
      <c r="ISL2486" s="61"/>
      <c r="ISM2486" s="58"/>
      <c r="ISN2486" s="58"/>
      <c r="ISO2486" s="58"/>
      <c r="ISP2486" s="60"/>
      <c r="ISQ2486" s="60"/>
      <c r="ISR2486" s="60"/>
      <c r="ISS2486" s="58"/>
      <c r="IST2486" s="61"/>
      <c r="ISU2486" s="58"/>
      <c r="ISV2486" s="58"/>
      <c r="ISW2486" s="58"/>
      <c r="ISX2486" s="60"/>
      <c r="ISY2486" s="60"/>
      <c r="ISZ2486" s="60"/>
      <c r="ITA2486" s="58"/>
      <c r="ITB2486" s="61"/>
      <c r="ITC2486" s="58"/>
      <c r="ITD2486" s="58"/>
      <c r="ITE2486" s="58"/>
      <c r="ITF2486" s="60"/>
      <c r="ITG2486" s="60"/>
      <c r="ITH2486" s="60"/>
      <c r="ITI2486" s="58"/>
      <c r="ITJ2486" s="61"/>
      <c r="ITK2486" s="58"/>
      <c r="ITL2486" s="58"/>
      <c r="ITM2486" s="58"/>
      <c r="ITN2486" s="60"/>
      <c r="ITO2486" s="60"/>
      <c r="ITP2486" s="60"/>
      <c r="ITQ2486" s="58"/>
      <c r="ITR2486" s="61"/>
      <c r="ITS2486" s="58"/>
      <c r="ITT2486" s="58"/>
      <c r="ITU2486" s="58"/>
      <c r="ITV2486" s="60"/>
      <c r="ITW2486" s="60"/>
      <c r="ITX2486" s="60"/>
      <c r="ITY2486" s="58"/>
      <c r="ITZ2486" s="61"/>
      <c r="IUA2486" s="58"/>
      <c r="IUB2486" s="58"/>
      <c r="IUC2486" s="58"/>
      <c r="IUD2486" s="60"/>
      <c r="IUE2486" s="60"/>
      <c r="IUF2486" s="60"/>
      <c r="IUG2486" s="58"/>
      <c r="IUH2486" s="61"/>
      <c r="IUI2486" s="58"/>
      <c r="IUJ2486" s="58"/>
      <c r="IUK2486" s="58"/>
      <c r="IUL2486" s="60"/>
      <c r="IUM2486" s="60"/>
      <c r="IUN2486" s="60"/>
      <c r="IUO2486" s="58"/>
      <c r="IUP2486" s="61"/>
      <c r="IUQ2486" s="58"/>
      <c r="IUR2486" s="58"/>
      <c r="IUS2486" s="58"/>
      <c r="IUT2486" s="60"/>
      <c r="IUU2486" s="60"/>
      <c r="IUV2486" s="60"/>
      <c r="IUW2486" s="58"/>
      <c r="IUX2486" s="61"/>
      <c r="IUY2486" s="58"/>
      <c r="IUZ2486" s="58"/>
      <c r="IVA2486" s="58"/>
      <c r="IVB2486" s="60"/>
      <c r="IVC2486" s="60"/>
      <c r="IVD2486" s="60"/>
      <c r="IVE2486" s="58"/>
      <c r="IVF2486" s="61"/>
      <c r="IVG2486" s="58"/>
      <c r="IVH2486" s="58"/>
      <c r="IVI2486" s="58"/>
      <c r="IVJ2486" s="60"/>
      <c r="IVK2486" s="60"/>
      <c r="IVL2486" s="60"/>
      <c r="IVM2486" s="58"/>
      <c r="IVN2486" s="61"/>
      <c r="IVO2486" s="58"/>
      <c r="IVP2486" s="58"/>
      <c r="IVQ2486" s="58"/>
      <c r="IVR2486" s="60"/>
      <c r="IVS2486" s="60"/>
      <c r="IVT2486" s="60"/>
      <c r="IVU2486" s="58"/>
      <c r="IVV2486" s="61"/>
      <c r="IVW2486" s="58"/>
      <c r="IVX2486" s="58"/>
      <c r="IVY2486" s="58"/>
      <c r="IVZ2486" s="60"/>
      <c r="IWA2486" s="60"/>
      <c r="IWB2486" s="60"/>
      <c r="IWC2486" s="58"/>
      <c r="IWD2486" s="61"/>
      <c r="IWE2486" s="58"/>
      <c r="IWF2486" s="58"/>
      <c r="IWG2486" s="58"/>
      <c r="IWH2486" s="60"/>
      <c r="IWI2486" s="60"/>
      <c r="IWJ2486" s="60"/>
      <c r="IWK2486" s="58"/>
      <c r="IWL2486" s="61"/>
      <c r="IWM2486" s="58"/>
      <c r="IWN2486" s="58"/>
      <c r="IWO2486" s="58"/>
      <c r="IWP2486" s="60"/>
      <c r="IWQ2486" s="60"/>
      <c r="IWR2486" s="60"/>
      <c r="IWS2486" s="58"/>
      <c r="IWT2486" s="61"/>
      <c r="IWU2486" s="58"/>
      <c r="IWV2486" s="58"/>
      <c r="IWW2486" s="58"/>
      <c r="IWX2486" s="60"/>
      <c r="IWY2486" s="60"/>
      <c r="IWZ2486" s="60"/>
      <c r="IXA2486" s="58"/>
      <c r="IXB2486" s="61"/>
      <c r="IXC2486" s="58"/>
      <c r="IXD2486" s="58"/>
      <c r="IXE2486" s="58"/>
      <c r="IXF2486" s="60"/>
      <c r="IXG2486" s="60"/>
      <c r="IXH2486" s="60"/>
      <c r="IXI2486" s="58"/>
      <c r="IXJ2486" s="61"/>
      <c r="IXK2486" s="58"/>
      <c r="IXL2486" s="58"/>
      <c r="IXM2486" s="58"/>
      <c r="IXN2486" s="60"/>
      <c r="IXO2486" s="60"/>
      <c r="IXP2486" s="60"/>
      <c r="IXQ2486" s="58"/>
      <c r="IXR2486" s="61"/>
      <c r="IXS2486" s="58"/>
      <c r="IXT2486" s="58"/>
      <c r="IXU2486" s="58"/>
      <c r="IXV2486" s="60"/>
      <c r="IXW2486" s="60"/>
      <c r="IXX2486" s="60"/>
      <c r="IXY2486" s="58"/>
      <c r="IXZ2486" s="61"/>
      <c r="IYA2486" s="58"/>
      <c r="IYB2486" s="58"/>
      <c r="IYC2486" s="58"/>
      <c r="IYD2486" s="60"/>
      <c r="IYE2486" s="60"/>
      <c r="IYF2486" s="60"/>
      <c r="IYG2486" s="58"/>
      <c r="IYH2486" s="61"/>
      <c r="IYI2486" s="58"/>
      <c r="IYJ2486" s="58"/>
      <c r="IYK2486" s="58"/>
      <c r="IYL2486" s="60"/>
      <c r="IYM2486" s="60"/>
      <c r="IYN2486" s="60"/>
      <c r="IYO2486" s="58"/>
      <c r="IYP2486" s="61"/>
      <c r="IYQ2486" s="58"/>
      <c r="IYR2486" s="58"/>
      <c r="IYS2486" s="58"/>
      <c r="IYT2486" s="60"/>
      <c r="IYU2486" s="60"/>
      <c r="IYV2486" s="60"/>
      <c r="IYW2486" s="58"/>
      <c r="IYX2486" s="61"/>
      <c r="IYY2486" s="58"/>
      <c r="IYZ2486" s="58"/>
      <c r="IZA2486" s="58"/>
      <c r="IZB2486" s="60"/>
      <c r="IZC2486" s="60"/>
      <c r="IZD2486" s="60"/>
      <c r="IZE2486" s="58"/>
      <c r="IZF2486" s="61"/>
      <c r="IZG2486" s="58"/>
      <c r="IZH2486" s="58"/>
      <c r="IZI2486" s="58"/>
      <c r="IZJ2486" s="60"/>
      <c r="IZK2486" s="60"/>
      <c r="IZL2486" s="60"/>
      <c r="IZM2486" s="58"/>
      <c r="IZN2486" s="61"/>
      <c r="IZO2486" s="58"/>
      <c r="IZP2486" s="58"/>
      <c r="IZQ2486" s="58"/>
      <c r="IZR2486" s="60"/>
      <c r="IZS2486" s="60"/>
      <c r="IZT2486" s="60"/>
      <c r="IZU2486" s="58"/>
      <c r="IZV2486" s="61"/>
      <c r="IZW2486" s="58"/>
      <c r="IZX2486" s="58"/>
      <c r="IZY2486" s="58"/>
      <c r="IZZ2486" s="60"/>
      <c r="JAA2486" s="60"/>
      <c r="JAB2486" s="60"/>
      <c r="JAC2486" s="58"/>
      <c r="JAD2486" s="61"/>
      <c r="JAE2486" s="58"/>
      <c r="JAF2486" s="58"/>
      <c r="JAG2486" s="58"/>
      <c r="JAH2486" s="60"/>
      <c r="JAI2486" s="60"/>
      <c r="JAJ2486" s="60"/>
      <c r="JAK2486" s="58"/>
      <c r="JAL2486" s="61"/>
      <c r="JAM2486" s="58"/>
      <c r="JAN2486" s="58"/>
      <c r="JAO2486" s="58"/>
      <c r="JAP2486" s="60"/>
      <c r="JAQ2486" s="60"/>
      <c r="JAR2486" s="60"/>
      <c r="JAS2486" s="58"/>
      <c r="JAT2486" s="61"/>
      <c r="JAU2486" s="58"/>
      <c r="JAV2486" s="58"/>
      <c r="JAW2486" s="58"/>
      <c r="JAX2486" s="60"/>
      <c r="JAY2486" s="60"/>
      <c r="JAZ2486" s="60"/>
      <c r="JBA2486" s="58"/>
      <c r="JBB2486" s="61"/>
      <c r="JBC2486" s="58"/>
      <c r="JBD2486" s="58"/>
      <c r="JBE2486" s="58"/>
      <c r="JBF2486" s="60"/>
      <c r="JBG2486" s="60"/>
      <c r="JBH2486" s="60"/>
      <c r="JBI2486" s="58"/>
      <c r="JBJ2486" s="61"/>
      <c r="JBK2486" s="58"/>
      <c r="JBL2486" s="58"/>
      <c r="JBM2486" s="58"/>
      <c r="JBN2486" s="60"/>
      <c r="JBO2486" s="60"/>
      <c r="JBP2486" s="60"/>
      <c r="JBQ2486" s="58"/>
      <c r="JBR2486" s="61"/>
      <c r="JBS2486" s="58"/>
      <c r="JBT2486" s="58"/>
      <c r="JBU2486" s="58"/>
      <c r="JBV2486" s="60"/>
      <c r="JBW2486" s="60"/>
      <c r="JBX2486" s="60"/>
      <c r="JBY2486" s="58"/>
      <c r="JBZ2486" s="61"/>
      <c r="JCA2486" s="58"/>
      <c r="JCB2486" s="58"/>
      <c r="JCC2486" s="58"/>
      <c r="JCD2486" s="60"/>
      <c r="JCE2486" s="60"/>
      <c r="JCF2486" s="60"/>
      <c r="JCG2486" s="58"/>
      <c r="JCH2486" s="61"/>
      <c r="JCI2486" s="58"/>
      <c r="JCJ2486" s="58"/>
      <c r="JCK2486" s="58"/>
      <c r="JCL2486" s="60"/>
      <c r="JCM2486" s="60"/>
      <c r="JCN2486" s="60"/>
      <c r="JCO2486" s="58"/>
      <c r="JCP2486" s="61"/>
      <c r="JCQ2486" s="58"/>
      <c r="JCR2486" s="58"/>
      <c r="JCS2486" s="58"/>
      <c r="JCT2486" s="60"/>
      <c r="JCU2486" s="60"/>
      <c r="JCV2486" s="60"/>
      <c r="JCW2486" s="58"/>
      <c r="JCX2486" s="61"/>
      <c r="JCY2486" s="58"/>
      <c r="JCZ2486" s="58"/>
      <c r="JDA2486" s="58"/>
      <c r="JDB2486" s="60"/>
      <c r="JDC2486" s="60"/>
      <c r="JDD2486" s="60"/>
      <c r="JDE2486" s="58"/>
      <c r="JDF2486" s="61"/>
      <c r="JDG2486" s="58"/>
      <c r="JDH2486" s="58"/>
      <c r="JDI2486" s="58"/>
      <c r="JDJ2486" s="60"/>
      <c r="JDK2486" s="60"/>
      <c r="JDL2486" s="60"/>
      <c r="JDM2486" s="58"/>
      <c r="JDN2486" s="61"/>
      <c r="JDO2486" s="58"/>
      <c r="JDP2486" s="58"/>
      <c r="JDQ2486" s="58"/>
      <c r="JDR2486" s="60"/>
      <c r="JDS2486" s="60"/>
      <c r="JDT2486" s="60"/>
      <c r="JDU2486" s="58"/>
      <c r="JDV2486" s="61"/>
      <c r="JDW2486" s="58"/>
      <c r="JDX2486" s="58"/>
      <c r="JDY2486" s="58"/>
      <c r="JDZ2486" s="60"/>
      <c r="JEA2486" s="60"/>
      <c r="JEB2486" s="60"/>
      <c r="JEC2486" s="58"/>
      <c r="JED2486" s="61"/>
      <c r="JEE2486" s="58"/>
      <c r="JEF2486" s="58"/>
      <c r="JEG2486" s="58"/>
      <c r="JEH2486" s="60"/>
      <c r="JEI2486" s="60"/>
      <c r="JEJ2486" s="60"/>
      <c r="JEK2486" s="58"/>
      <c r="JEL2486" s="61"/>
      <c r="JEM2486" s="58"/>
      <c r="JEN2486" s="58"/>
      <c r="JEO2486" s="58"/>
      <c r="JEP2486" s="60"/>
      <c r="JEQ2486" s="60"/>
      <c r="JER2486" s="60"/>
      <c r="JES2486" s="58"/>
      <c r="JET2486" s="61"/>
      <c r="JEU2486" s="58"/>
      <c r="JEV2486" s="58"/>
      <c r="JEW2486" s="58"/>
      <c r="JEX2486" s="60"/>
      <c r="JEY2486" s="60"/>
      <c r="JEZ2486" s="60"/>
      <c r="JFA2486" s="58"/>
      <c r="JFB2486" s="61"/>
      <c r="JFC2486" s="58"/>
      <c r="JFD2486" s="58"/>
      <c r="JFE2486" s="58"/>
      <c r="JFF2486" s="60"/>
      <c r="JFG2486" s="60"/>
      <c r="JFH2486" s="60"/>
      <c r="JFI2486" s="58"/>
      <c r="JFJ2486" s="61"/>
      <c r="JFK2486" s="58"/>
      <c r="JFL2486" s="58"/>
      <c r="JFM2486" s="58"/>
      <c r="JFN2486" s="60"/>
      <c r="JFO2486" s="60"/>
      <c r="JFP2486" s="60"/>
      <c r="JFQ2486" s="58"/>
      <c r="JFR2486" s="61"/>
      <c r="JFS2486" s="58"/>
      <c r="JFT2486" s="58"/>
      <c r="JFU2486" s="58"/>
      <c r="JFV2486" s="60"/>
      <c r="JFW2486" s="60"/>
      <c r="JFX2486" s="60"/>
      <c r="JFY2486" s="58"/>
      <c r="JFZ2486" s="61"/>
      <c r="JGA2486" s="58"/>
      <c r="JGB2486" s="58"/>
      <c r="JGC2486" s="58"/>
      <c r="JGD2486" s="60"/>
      <c r="JGE2486" s="60"/>
      <c r="JGF2486" s="60"/>
      <c r="JGG2486" s="58"/>
      <c r="JGH2486" s="61"/>
      <c r="JGI2486" s="58"/>
      <c r="JGJ2486" s="58"/>
      <c r="JGK2486" s="58"/>
      <c r="JGL2486" s="60"/>
      <c r="JGM2486" s="60"/>
      <c r="JGN2486" s="60"/>
      <c r="JGO2486" s="58"/>
      <c r="JGP2486" s="61"/>
      <c r="JGQ2486" s="58"/>
      <c r="JGR2486" s="58"/>
      <c r="JGS2486" s="58"/>
      <c r="JGT2486" s="60"/>
      <c r="JGU2486" s="60"/>
      <c r="JGV2486" s="60"/>
      <c r="JGW2486" s="58"/>
      <c r="JGX2486" s="61"/>
      <c r="JGY2486" s="58"/>
      <c r="JGZ2486" s="58"/>
      <c r="JHA2486" s="58"/>
      <c r="JHB2486" s="60"/>
      <c r="JHC2486" s="60"/>
      <c r="JHD2486" s="60"/>
      <c r="JHE2486" s="58"/>
      <c r="JHF2486" s="61"/>
      <c r="JHG2486" s="58"/>
      <c r="JHH2486" s="58"/>
      <c r="JHI2486" s="58"/>
      <c r="JHJ2486" s="60"/>
      <c r="JHK2486" s="60"/>
      <c r="JHL2486" s="60"/>
      <c r="JHM2486" s="58"/>
      <c r="JHN2486" s="61"/>
      <c r="JHO2486" s="58"/>
      <c r="JHP2486" s="58"/>
      <c r="JHQ2486" s="58"/>
      <c r="JHR2486" s="60"/>
      <c r="JHS2486" s="60"/>
      <c r="JHT2486" s="60"/>
      <c r="JHU2486" s="58"/>
      <c r="JHV2486" s="61"/>
      <c r="JHW2486" s="58"/>
      <c r="JHX2486" s="58"/>
      <c r="JHY2486" s="58"/>
      <c r="JHZ2486" s="60"/>
      <c r="JIA2486" s="60"/>
      <c r="JIB2486" s="60"/>
      <c r="JIC2486" s="58"/>
      <c r="JID2486" s="61"/>
      <c r="JIE2486" s="58"/>
      <c r="JIF2486" s="58"/>
      <c r="JIG2486" s="58"/>
      <c r="JIH2486" s="60"/>
      <c r="JII2486" s="60"/>
      <c r="JIJ2486" s="60"/>
      <c r="JIK2486" s="58"/>
      <c r="JIL2486" s="61"/>
      <c r="JIM2486" s="58"/>
      <c r="JIN2486" s="58"/>
      <c r="JIO2486" s="58"/>
      <c r="JIP2486" s="60"/>
      <c r="JIQ2486" s="60"/>
      <c r="JIR2486" s="60"/>
      <c r="JIS2486" s="58"/>
      <c r="JIT2486" s="61"/>
      <c r="JIU2486" s="58"/>
      <c r="JIV2486" s="58"/>
      <c r="JIW2486" s="58"/>
      <c r="JIX2486" s="60"/>
      <c r="JIY2486" s="60"/>
      <c r="JIZ2486" s="60"/>
      <c r="JJA2486" s="58"/>
      <c r="JJB2486" s="61"/>
      <c r="JJC2486" s="58"/>
      <c r="JJD2486" s="58"/>
      <c r="JJE2486" s="58"/>
      <c r="JJF2486" s="60"/>
      <c r="JJG2486" s="60"/>
      <c r="JJH2486" s="60"/>
      <c r="JJI2486" s="58"/>
      <c r="JJJ2486" s="61"/>
      <c r="JJK2486" s="58"/>
      <c r="JJL2486" s="58"/>
      <c r="JJM2486" s="58"/>
      <c r="JJN2486" s="60"/>
      <c r="JJO2486" s="60"/>
      <c r="JJP2486" s="60"/>
      <c r="JJQ2486" s="58"/>
      <c r="JJR2486" s="61"/>
      <c r="JJS2486" s="58"/>
      <c r="JJT2486" s="58"/>
      <c r="JJU2486" s="58"/>
      <c r="JJV2486" s="60"/>
      <c r="JJW2486" s="60"/>
      <c r="JJX2486" s="60"/>
      <c r="JJY2486" s="58"/>
      <c r="JJZ2486" s="61"/>
      <c r="JKA2486" s="58"/>
      <c r="JKB2486" s="58"/>
      <c r="JKC2486" s="58"/>
      <c r="JKD2486" s="60"/>
      <c r="JKE2486" s="60"/>
      <c r="JKF2486" s="60"/>
      <c r="JKG2486" s="58"/>
      <c r="JKH2486" s="61"/>
      <c r="JKI2486" s="58"/>
      <c r="JKJ2486" s="58"/>
      <c r="JKK2486" s="58"/>
      <c r="JKL2486" s="60"/>
      <c r="JKM2486" s="60"/>
      <c r="JKN2486" s="60"/>
      <c r="JKO2486" s="58"/>
      <c r="JKP2486" s="61"/>
      <c r="JKQ2486" s="58"/>
      <c r="JKR2486" s="58"/>
      <c r="JKS2486" s="58"/>
      <c r="JKT2486" s="60"/>
      <c r="JKU2486" s="60"/>
      <c r="JKV2486" s="60"/>
      <c r="JKW2486" s="58"/>
      <c r="JKX2486" s="61"/>
      <c r="JKY2486" s="58"/>
      <c r="JKZ2486" s="58"/>
      <c r="JLA2486" s="58"/>
      <c r="JLB2486" s="60"/>
      <c r="JLC2486" s="60"/>
      <c r="JLD2486" s="60"/>
      <c r="JLE2486" s="58"/>
      <c r="JLF2486" s="61"/>
      <c r="JLG2486" s="58"/>
      <c r="JLH2486" s="58"/>
      <c r="JLI2486" s="58"/>
      <c r="JLJ2486" s="60"/>
      <c r="JLK2486" s="60"/>
      <c r="JLL2486" s="60"/>
      <c r="JLM2486" s="58"/>
      <c r="JLN2486" s="61"/>
      <c r="JLO2486" s="58"/>
      <c r="JLP2486" s="58"/>
      <c r="JLQ2486" s="58"/>
      <c r="JLR2486" s="60"/>
      <c r="JLS2486" s="60"/>
      <c r="JLT2486" s="60"/>
      <c r="JLU2486" s="58"/>
      <c r="JLV2486" s="61"/>
      <c r="JLW2486" s="58"/>
      <c r="JLX2486" s="58"/>
      <c r="JLY2486" s="58"/>
      <c r="JLZ2486" s="60"/>
      <c r="JMA2486" s="60"/>
      <c r="JMB2486" s="60"/>
      <c r="JMC2486" s="58"/>
      <c r="JMD2486" s="61"/>
      <c r="JME2486" s="58"/>
      <c r="JMF2486" s="58"/>
      <c r="JMG2486" s="58"/>
      <c r="JMH2486" s="60"/>
      <c r="JMI2486" s="60"/>
      <c r="JMJ2486" s="60"/>
      <c r="JMK2486" s="58"/>
      <c r="JML2486" s="61"/>
      <c r="JMM2486" s="58"/>
      <c r="JMN2486" s="58"/>
      <c r="JMO2486" s="58"/>
      <c r="JMP2486" s="60"/>
      <c r="JMQ2486" s="60"/>
      <c r="JMR2486" s="60"/>
      <c r="JMS2486" s="58"/>
      <c r="JMT2486" s="61"/>
      <c r="JMU2486" s="58"/>
      <c r="JMV2486" s="58"/>
      <c r="JMW2486" s="58"/>
      <c r="JMX2486" s="60"/>
      <c r="JMY2486" s="60"/>
      <c r="JMZ2486" s="60"/>
      <c r="JNA2486" s="58"/>
      <c r="JNB2486" s="61"/>
      <c r="JNC2486" s="58"/>
      <c r="JND2486" s="58"/>
      <c r="JNE2486" s="58"/>
      <c r="JNF2486" s="60"/>
      <c r="JNG2486" s="60"/>
      <c r="JNH2486" s="60"/>
      <c r="JNI2486" s="58"/>
      <c r="JNJ2486" s="61"/>
      <c r="JNK2486" s="58"/>
      <c r="JNL2486" s="58"/>
      <c r="JNM2486" s="58"/>
      <c r="JNN2486" s="60"/>
      <c r="JNO2486" s="60"/>
      <c r="JNP2486" s="60"/>
      <c r="JNQ2486" s="58"/>
      <c r="JNR2486" s="61"/>
      <c r="JNS2486" s="58"/>
      <c r="JNT2486" s="58"/>
      <c r="JNU2486" s="58"/>
      <c r="JNV2486" s="60"/>
      <c r="JNW2486" s="60"/>
      <c r="JNX2486" s="60"/>
      <c r="JNY2486" s="58"/>
      <c r="JNZ2486" s="61"/>
      <c r="JOA2486" s="58"/>
      <c r="JOB2486" s="58"/>
      <c r="JOC2486" s="58"/>
      <c r="JOD2486" s="60"/>
      <c r="JOE2486" s="60"/>
      <c r="JOF2486" s="60"/>
      <c r="JOG2486" s="58"/>
      <c r="JOH2486" s="61"/>
      <c r="JOI2486" s="58"/>
      <c r="JOJ2486" s="58"/>
      <c r="JOK2486" s="58"/>
      <c r="JOL2486" s="60"/>
      <c r="JOM2486" s="60"/>
      <c r="JON2486" s="60"/>
      <c r="JOO2486" s="58"/>
      <c r="JOP2486" s="61"/>
      <c r="JOQ2486" s="58"/>
      <c r="JOR2486" s="58"/>
      <c r="JOS2486" s="58"/>
      <c r="JOT2486" s="60"/>
      <c r="JOU2486" s="60"/>
      <c r="JOV2486" s="60"/>
      <c r="JOW2486" s="58"/>
      <c r="JOX2486" s="61"/>
      <c r="JOY2486" s="58"/>
      <c r="JOZ2486" s="58"/>
      <c r="JPA2486" s="58"/>
      <c r="JPB2486" s="60"/>
      <c r="JPC2486" s="60"/>
      <c r="JPD2486" s="60"/>
      <c r="JPE2486" s="58"/>
      <c r="JPF2486" s="61"/>
      <c r="JPG2486" s="58"/>
      <c r="JPH2486" s="58"/>
      <c r="JPI2486" s="58"/>
      <c r="JPJ2486" s="60"/>
      <c r="JPK2486" s="60"/>
      <c r="JPL2486" s="60"/>
      <c r="JPM2486" s="58"/>
      <c r="JPN2486" s="61"/>
      <c r="JPO2486" s="58"/>
      <c r="JPP2486" s="58"/>
      <c r="JPQ2486" s="58"/>
      <c r="JPR2486" s="60"/>
      <c r="JPS2486" s="60"/>
      <c r="JPT2486" s="60"/>
      <c r="JPU2486" s="58"/>
      <c r="JPV2486" s="61"/>
      <c r="JPW2486" s="58"/>
      <c r="JPX2486" s="58"/>
      <c r="JPY2486" s="58"/>
      <c r="JPZ2486" s="60"/>
      <c r="JQA2486" s="60"/>
      <c r="JQB2486" s="60"/>
      <c r="JQC2486" s="58"/>
      <c r="JQD2486" s="61"/>
      <c r="JQE2486" s="58"/>
      <c r="JQF2486" s="58"/>
      <c r="JQG2486" s="58"/>
      <c r="JQH2486" s="60"/>
      <c r="JQI2486" s="60"/>
      <c r="JQJ2486" s="60"/>
      <c r="JQK2486" s="58"/>
      <c r="JQL2486" s="61"/>
      <c r="JQM2486" s="58"/>
      <c r="JQN2486" s="58"/>
      <c r="JQO2486" s="58"/>
      <c r="JQP2486" s="60"/>
      <c r="JQQ2486" s="60"/>
      <c r="JQR2486" s="60"/>
      <c r="JQS2486" s="58"/>
      <c r="JQT2486" s="61"/>
      <c r="JQU2486" s="58"/>
      <c r="JQV2486" s="58"/>
      <c r="JQW2486" s="58"/>
      <c r="JQX2486" s="60"/>
      <c r="JQY2486" s="60"/>
      <c r="JQZ2486" s="60"/>
      <c r="JRA2486" s="58"/>
      <c r="JRB2486" s="61"/>
      <c r="JRC2486" s="58"/>
      <c r="JRD2486" s="58"/>
      <c r="JRE2486" s="58"/>
      <c r="JRF2486" s="60"/>
      <c r="JRG2486" s="60"/>
      <c r="JRH2486" s="60"/>
      <c r="JRI2486" s="58"/>
      <c r="JRJ2486" s="61"/>
      <c r="JRK2486" s="58"/>
      <c r="JRL2486" s="58"/>
      <c r="JRM2486" s="58"/>
      <c r="JRN2486" s="60"/>
      <c r="JRO2486" s="60"/>
      <c r="JRP2486" s="60"/>
      <c r="JRQ2486" s="58"/>
      <c r="JRR2486" s="61"/>
      <c r="JRS2486" s="58"/>
      <c r="JRT2486" s="58"/>
      <c r="JRU2486" s="58"/>
      <c r="JRV2486" s="60"/>
      <c r="JRW2486" s="60"/>
      <c r="JRX2486" s="60"/>
      <c r="JRY2486" s="58"/>
      <c r="JRZ2486" s="61"/>
      <c r="JSA2486" s="58"/>
      <c r="JSB2486" s="58"/>
      <c r="JSC2486" s="58"/>
      <c r="JSD2486" s="60"/>
      <c r="JSE2486" s="60"/>
      <c r="JSF2486" s="60"/>
      <c r="JSG2486" s="58"/>
      <c r="JSH2486" s="61"/>
      <c r="JSI2486" s="58"/>
      <c r="JSJ2486" s="58"/>
      <c r="JSK2486" s="58"/>
      <c r="JSL2486" s="60"/>
      <c r="JSM2486" s="60"/>
      <c r="JSN2486" s="60"/>
      <c r="JSO2486" s="58"/>
      <c r="JSP2486" s="61"/>
      <c r="JSQ2486" s="58"/>
      <c r="JSR2486" s="58"/>
      <c r="JSS2486" s="58"/>
      <c r="JST2486" s="60"/>
      <c r="JSU2486" s="60"/>
      <c r="JSV2486" s="60"/>
      <c r="JSW2486" s="58"/>
      <c r="JSX2486" s="61"/>
      <c r="JSY2486" s="58"/>
      <c r="JSZ2486" s="58"/>
      <c r="JTA2486" s="58"/>
      <c r="JTB2486" s="60"/>
      <c r="JTC2486" s="60"/>
      <c r="JTD2486" s="60"/>
      <c r="JTE2486" s="58"/>
      <c r="JTF2486" s="61"/>
      <c r="JTG2486" s="58"/>
      <c r="JTH2486" s="58"/>
      <c r="JTI2486" s="58"/>
      <c r="JTJ2486" s="60"/>
      <c r="JTK2486" s="60"/>
      <c r="JTL2486" s="60"/>
      <c r="JTM2486" s="58"/>
      <c r="JTN2486" s="61"/>
      <c r="JTO2486" s="58"/>
      <c r="JTP2486" s="58"/>
      <c r="JTQ2486" s="58"/>
      <c r="JTR2486" s="60"/>
      <c r="JTS2486" s="60"/>
      <c r="JTT2486" s="60"/>
      <c r="JTU2486" s="58"/>
      <c r="JTV2486" s="61"/>
      <c r="JTW2486" s="58"/>
      <c r="JTX2486" s="58"/>
      <c r="JTY2486" s="58"/>
      <c r="JTZ2486" s="60"/>
      <c r="JUA2486" s="60"/>
      <c r="JUB2486" s="60"/>
      <c r="JUC2486" s="58"/>
      <c r="JUD2486" s="61"/>
      <c r="JUE2486" s="58"/>
      <c r="JUF2486" s="58"/>
      <c r="JUG2486" s="58"/>
      <c r="JUH2486" s="60"/>
      <c r="JUI2486" s="60"/>
      <c r="JUJ2486" s="60"/>
      <c r="JUK2486" s="58"/>
      <c r="JUL2486" s="61"/>
      <c r="JUM2486" s="58"/>
      <c r="JUN2486" s="58"/>
      <c r="JUO2486" s="58"/>
      <c r="JUP2486" s="60"/>
      <c r="JUQ2486" s="60"/>
      <c r="JUR2486" s="60"/>
      <c r="JUS2486" s="58"/>
      <c r="JUT2486" s="61"/>
      <c r="JUU2486" s="58"/>
      <c r="JUV2486" s="58"/>
      <c r="JUW2486" s="58"/>
      <c r="JUX2486" s="60"/>
      <c r="JUY2486" s="60"/>
      <c r="JUZ2486" s="60"/>
      <c r="JVA2486" s="58"/>
      <c r="JVB2486" s="61"/>
      <c r="JVC2486" s="58"/>
      <c r="JVD2486" s="58"/>
      <c r="JVE2486" s="58"/>
      <c r="JVF2486" s="60"/>
      <c r="JVG2486" s="60"/>
      <c r="JVH2486" s="60"/>
      <c r="JVI2486" s="58"/>
      <c r="JVJ2486" s="61"/>
      <c r="JVK2486" s="58"/>
      <c r="JVL2486" s="58"/>
      <c r="JVM2486" s="58"/>
      <c r="JVN2486" s="60"/>
      <c r="JVO2486" s="60"/>
      <c r="JVP2486" s="60"/>
      <c r="JVQ2486" s="58"/>
      <c r="JVR2486" s="61"/>
      <c r="JVS2486" s="58"/>
      <c r="JVT2486" s="58"/>
      <c r="JVU2486" s="58"/>
      <c r="JVV2486" s="60"/>
      <c r="JVW2486" s="60"/>
      <c r="JVX2486" s="60"/>
      <c r="JVY2486" s="58"/>
      <c r="JVZ2486" s="61"/>
      <c r="JWA2486" s="58"/>
      <c r="JWB2486" s="58"/>
      <c r="JWC2486" s="58"/>
      <c r="JWD2486" s="60"/>
      <c r="JWE2486" s="60"/>
      <c r="JWF2486" s="60"/>
      <c r="JWG2486" s="58"/>
      <c r="JWH2486" s="61"/>
      <c r="JWI2486" s="58"/>
      <c r="JWJ2486" s="58"/>
      <c r="JWK2486" s="58"/>
      <c r="JWL2486" s="60"/>
      <c r="JWM2486" s="60"/>
      <c r="JWN2486" s="60"/>
      <c r="JWO2486" s="58"/>
      <c r="JWP2486" s="61"/>
      <c r="JWQ2486" s="58"/>
      <c r="JWR2486" s="58"/>
      <c r="JWS2486" s="58"/>
      <c r="JWT2486" s="60"/>
      <c r="JWU2486" s="60"/>
      <c r="JWV2486" s="60"/>
      <c r="JWW2486" s="58"/>
      <c r="JWX2486" s="61"/>
      <c r="JWY2486" s="58"/>
      <c r="JWZ2486" s="58"/>
      <c r="JXA2486" s="58"/>
      <c r="JXB2486" s="60"/>
      <c r="JXC2486" s="60"/>
      <c r="JXD2486" s="60"/>
      <c r="JXE2486" s="58"/>
      <c r="JXF2486" s="61"/>
      <c r="JXG2486" s="58"/>
      <c r="JXH2486" s="58"/>
      <c r="JXI2486" s="58"/>
      <c r="JXJ2486" s="60"/>
      <c r="JXK2486" s="60"/>
      <c r="JXL2486" s="60"/>
      <c r="JXM2486" s="58"/>
      <c r="JXN2486" s="61"/>
      <c r="JXO2486" s="58"/>
      <c r="JXP2486" s="58"/>
      <c r="JXQ2486" s="58"/>
      <c r="JXR2486" s="60"/>
      <c r="JXS2486" s="60"/>
      <c r="JXT2486" s="60"/>
      <c r="JXU2486" s="58"/>
      <c r="JXV2486" s="61"/>
      <c r="JXW2486" s="58"/>
      <c r="JXX2486" s="58"/>
      <c r="JXY2486" s="58"/>
      <c r="JXZ2486" s="60"/>
      <c r="JYA2486" s="60"/>
      <c r="JYB2486" s="60"/>
      <c r="JYC2486" s="58"/>
      <c r="JYD2486" s="61"/>
      <c r="JYE2486" s="58"/>
      <c r="JYF2486" s="58"/>
      <c r="JYG2486" s="58"/>
      <c r="JYH2486" s="60"/>
      <c r="JYI2486" s="60"/>
      <c r="JYJ2486" s="60"/>
      <c r="JYK2486" s="58"/>
      <c r="JYL2486" s="61"/>
      <c r="JYM2486" s="58"/>
      <c r="JYN2486" s="58"/>
      <c r="JYO2486" s="58"/>
      <c r="JYP2486" s="60"/>
      <c r="JYQ2486" s="60"/>
      <c r="JYR2486" s="60"/>
      <c r="JYS2486" s="58"/>
      <c r="JYT2486" s="61"/>
      <c r="JYU2486" s="58"/>
      <c r="JYV2486" s="58"/>
      <c r="JYW2486" s="58"/>
      <c r="JYX2486" s="60"/>
      <c r="JYY2486" s="60"/>
      <c r="JYZ2486" s="60"/>
      <c r="JZA2486" s="58"/>
      <c r="JZB2486" s="61"/>
      <c r="JZC2486" s="58"/>
      <c r="JZD2486" s="58"/>
      <c r="JZE2486" s="58"/>
      <c r="JZF2486" s="60"/>
      <c r="JZG2486" s="60"/>
      <c r="JZH2486" s="60"/>
      <c r="JZI2486" s="58"/>
      <c r="JZJ2486" s="61"/>
      <c r="JZK2486" s="58"/>
      <c r="JZL2486" s="58"/>
      <c r="JZM2486" s="58"/>
      <c r="JZN2486" s="60"/>
      <c r="JZO2486" s="60"/>
      <c r="JZP2486" s="60"/>
      <c r="JZQ2486" s="58"/>
      <c r="JZR2486" s="61"/>
      <c r="JZS2486" s="58"/>
      <c r="JZT2486" s="58"/>
      <c r="JZU2486" s="58"/>
      <c r="JZV2486" s="60"/>
      <c r="JZW2486" s="60"/>
      <c r="JZX2486" s="60"/>
      <c r="JZY2486" s="58"/>
      <c r="JZZ2486" s="61"/>
      <c r="KAA2486" s="58"/>
      <c r="KAB2486" s="58"/>
      <c r="KAC2486" s="58"/>
      <c r="KAD2486" s="60"/>
      <c r="KAE2486" s="60"/>
      <c r="KAF2486" s="60"/>
      <c r="KAG2486" s="58"/>
      <c r="KAH2486" s="61"/>
      <c r="KAI2486" s="58"/>
      <c r="KAJ2486" s="58"/>
      <c r="KAK2486" s="58"/>
      <c r="KAL2486" s="60"/>
      <c r="KAM2486" s="60"/>
      <c r="KAN2486" s="60"/>
      <c r="KAO2486" s="58"/>
      <c r="KAP2486" s="61"/>
      <c r="KAQ2486" s="58"/>
      <c r="KAR2486" s="58"/>
      <c r="KAS2486" s="58"/>
      <c r="KAT2486" s="60"/>
      <c r="KAU2486" s="60"/>
      <c r="KAV2486" s="60"/>
      <c r="KAW2486" s="58"/>
      <c r="KAX2486" s="61"/>
      <c r="KAY2486" s="58"/>
      <c r="KAZ2486" s="58"/>
      <c r="KBA2486" s="58"/>
      <c r="KBB2486" s="60"/>
      <c r="KBC2486" s="60"/>
      <c r="KBD2486" s="60"/>
      <c r="KBE2486" s="58"/>
      <c r="KBF2486" s="61"/>
      <c r="KBG2486" s="58"/>
      <c r="KBH2486" s="58"/>
      <c r="KBI2486" s="58"/>
      <c r="KBJ2486" s="60"/>
      <c r="KBK2486" s="60"/>
      <c r="KBL2486" s="60"/>
      <c r="KBM2486" s="58"/>
      <c r="KBN2486" s="61"/>
      <c r="KBO2486" s="58"/>
      <c r="KBP2486" s="58"/>
      <c r="KBQ2486" s="58"/>
      <c r="KBR2486" s="60"/>
      <c r="KBS2486" s="60"/>
      <c r="KBT2486" s="60"/>
      <c r="KBU2486" s="58"/>
      <c r="KBV2486" s="61"/>
      <c r="KBW2486" s="58"/>
      <c r="KBX2486" s="58"/>
      <c r="KBY2486" s="58"/>
      <c r="KBZ2486" s="60"/>
      <c r="KCA2486" s="60"/>
      <c r="KCB2486" s="60"/>
      <c r="KCC2486" s="58"/>
      <c r="KCD2486" s="61"/>
      <c r="KCE2486" s="58"/>
      <c r="KCF2486" s="58"/>
      <c r="KCG2486" s="58"/>
      <c r="KCH2486" s="60"/>
      <c r="KCI2486" s="60"/>
      <c r="KCJ2486" s="60"/>
      <c r="KCK2486" s="58"/>
      <c r="KCL2486" s="61"/>
      <c r="KCM2486" s="58"/>
      <c r="KCN2486" s="58"/>
      <c r="KCO2486" s="58"/>
      <c r="KCP2486" s="60"/>
      <c r="KCQ2486" s="60"/>
      <c r="KCR2486" s="60"/>
      <c r="KCS2486" s="58"/>
      <c r="KCT2486" s="61"/>
      <c r="KCU2486" s="58"/>
      <c r="KCV2486" s="58"/>
      <c r="KCW2486" s="58"/>
      <c r="KCX2486" s="60"/>
      <c r="KCY2486" s="60"/>
      <c r="KCZ2486" s="60"/>
      <c r="KDA2486" s="58"/>
      <c r="KDB2486" s="61"/>
      <c r="KDC2486" s="58"/>
      <c r="KDD2486" s="58"/>
      <c r="KDE2486" s="58"/>
      <c r="KDF2486" s="60"/>
      <c r="KDG2486" s="60"/>
      <c r="KDH2486" s="60"/>
      <c r="KDI2486" s="58"/>
      <c r="KDJ2486" s="61"/>
      <c r="KDK2486" s="58"/>
      <c r="KDL2486" s="58"/>
      <c r="KDM2486" s="58"/>
      <c r="KDN2486" s="60"/>
      <c r="KDO2486" s="60"/>
      <c r="KDP2486" s="60"/>
      <c r="KDQ2486" s="58"/>
      <c r="KDR2486" s="61"/>
      <c r="KDS2486" s="58"/>
      <c r="KDT2486" s="58"/>
      <c r="KDU2486" s="58"/>
      <c r="KDV2486" s="60"/>
      <c r="KDW2486" s="60"/>
      <c r="KDX2486" s="60"/>
      <c r="KDY2486" s="58"/>
      <c r="KDZ2486" s="61"/>
      <c r="KEA2486" s="58"/>
      <c r="KEB2486" s="58"/>
      <c r="KEC2486" s="58"/>
      <c r="KED2486" s="60"/>
      <c r="KEE2486" s="60"/>
      <c r="KEF2486" s="60"/>
      <c r="KEG2486" s="58"/>
      <c r="KEH2486" s="61"/>
      <c r="KEI2486" s="58"/>
      <c r="KEJ2486" s="58"/>
      <c r="KEK2486" s="58"/>
      <c r="KEL2486" s="60"/>
      <c r="KEM2486" s="60"/>
      <c r="KEN2486" s="60"/>
      <c r="KEO2486" s="58"/>
      <c r="KEP2486" s="61"/>
      <c r="KEQ2486" s="58"/>
      <c r="KER2486" s="58"/>
      <c r="KES2486" s="58"/>
      <c r="KET2486" s="60"/>
      <c r="KEU2486" s="60"/>
      <c r="KEV2486" s="60"/>
      <c r="KEW2486" s="58"/>
      <c r="KEX2486" s="61"/>
      <c r="KEY2486" s="58"/>
      <c r="KEZ2486" s="58"/>
      <c r="KFA2486" s="58"/>
      <c r="KFB2486" s="60"/>
      <c r="KFC2486" s="60"/>
      <c r="KFD2486" s="60"/>
      <c r="KFE2486" s="58"/>
      <c r="KFF2486" s="61"/>
      <c r="KFG2486" s="58"/>
      <c r="KFH2486" s="58"/>
      <c r="KFI2486" s="58"/>
      <c r="KFJ2486" s="60"/>
      <c r="KFK2486" s="60"/>
      <c r="KFL2486" s="60"/>
      <c r="KFM2486" s="58"/>
      <c r="KFN2486" s="61"/>
      <c r="KFO2486" s="58"/>
      <c r="KFP2486" s="58"/>
      <c r="KFQ2486" s="58"/>
      <c r="KFR2486" s="60"/>
      <c r="KFS2486" s="60"/>
      <c r="KFT2486" s="60"/>
      <c r="KFU2486" s="58"/>
      <c r="KFV2486" s="61"/>
      <c r="KFW2486" s="58"/>
      <c r="KFX2486" s="58"/>
      <c r="KFY2486" s="58"/>
      <c r="KFZ2486" s="60"/>
      <c r="KGA2486" s="60"/>
      <c r="KGB2486" s="60"/>
      <c r="KGC2486" s="58"/>
      <c r="KGD2486" s="61"/>
      <c r="KGE2486" s="58"/>
      <c r="KGF2486" s="58"/>
      <c r="KGG2486" s="58"/>
      <c r="KGH2486" s="60"/>
      <c r="KGI2486" s="60"/>
      <c r="KGJ2486" s="60"/>
      <c r="KGK2486" s="58"/>
      <c r="KGL2486" s="61"/>
      <c r="KGM2486" s="58"/>
      <c r="KGN2486" s="58"/>
      <c r="KGO2486" s="58"/>
      <c r="KGP2486" s="60"/>
      <c r="KGQ2486" s="60"/>
      <c r="KGR2486" s="60"/>
      <c r="KGS2486" s="58"/>
      <c r="KGT2486" s="61"/>
      <c r="KGU2486" s="58"/>
      <c r="KGV2486" s="58"/>
      <c r="KGW2486" s="58"/>
      <c r="KGX2486" s="60"/>
      <c r="KGY2486" s="60"/>
      <c r="KGZ2486" s="60"/>
      <c r="KHA2486" s="58"/>
      <c r="KHB2486" s="61"/>
      <c r="KHC2486" s="58"/>
      <c r="KHD2486" s="58"/>
      <c r="KHE2486" s="58"/>
      <c r="KHF2486" s="60"/>
      <c r="KHG2486" s="60"/>
      <c r="KHH2486" s="60"/>
      <c r="KHI2486" s="58"/>
      <c r="KHJ2486" s="61"/>
      <c r="KHK2486" s="58"/>
      <c r="KHL2486" s="58"/>
      <c r="KHM2486" s="58"/>
      <c r="KHN2486" s="60"/>
      <c r="KHO2486" s="60"/>
      <c r="KHP2486" s="60"/>
      <c r="KHQ2486" s="58"/>
      <c r="KHR2486" s="61"/>
      <c r="KHS2486" s="58"/>
      <c r="KHT2486" s="58"/>
      <c r="KHU2486" s="58"/>
      <c r="KHV2486" s="60"/>
      <c r="KHW2486" s="60"/>
      <c r="KHX2486" s="60"/>
      <c r="KHY2486" s="58"/>
      <c r="KHZ2486" s="61"/>
      <c r="KIA2486" s="58"/>
      <c r="KIB2486" s="58"/>
      <c r="KIC2486" s="58"/>
      <c r="KID2486" s="60"/>
      <c r="KIE2486" s="60"/>
      <c r="KIF2486" s="60"/>
      <c r="KIG2486" s="58"/>
      <c r="KIH2486" s="61"/>
      <c r="KII2486" s="58"/>
      <c r="KIJ2486" s="58"/>
      <c r="KIK2486" s="58"/>
      <c r="KIL2486" s="60"/>
      <c r="KIM2486" s="60"/>
      <c r="KIN2486" s="60"/>
      <c r="KIO2486" s="58"/>
      <c r="KIP2486" s="61"/>
      <c r="KIQ2486" s="58"/>
      <c r="KIR2486" s="58"/>
      <c r="KIS2486" s="58"/>
      <c r="KIT2486" s="60"/>
      <c r="KIU2486" s="60"/>
      <c r="KIV2486" s="60"/>
      <c r="KIW2486" s="58"/>
      <c r="KIX2486" s="61"/>
      <c r="KIY2486" s="58"/>
      <c r="KIZ2486" s="58"/>
      <c r="KJA2486" s="58"/>
      <c r="KJB2486" s="60"/>
      <c r="KJC2486" s="60"/>
      <c r="KJD2486" s="60"/>
      <c r="KJE2486" s="58"/>
      <c r="KJF2486" s="61"/>
      <c r="KJG2486" s="58"/>
      <c r="KJH2486" s="58"/>
      <c r="KJI2486" s="58"/>
      <c r="KJJ2486" s="60"/>
      <c r="KJK2486" s="60"/>
      <c r="KJL2486" s="60"/>
      <c r="KJM2486" s="58"/>
      <c r="KJN2486" s="61"/>
      <c r="KJO2486" s="58"/>
      <c r="KJP2486" s="58"/>
      <c r="KJQ2486" s="58"/>
      <c r="KJR2486" s="60"/>
      <c r="KJS2486" s="60"/>
      <c r="KJT2486" s="60"/>
      <c r="KJU2486" s="58"/>
      <c r="KJV2486" s="61"/>
      <c r="KJW2486" s="58"/>
      <c r="KJX2486" s="58"/>
      <c r="KJY2486" s="58"/>
      <c r="KJZ2486" s="60"/>
      <c r="KKA2486" s="60"/>
      <c r="KKB2486" s="60"/>
      <c r="KKC2486" s="58"/>
      <c r="KKD2486" s="61"/>
      <c r="KKE2486" s="58"/>
      <c r="KKF2486" s="58"/>
      <c r="KKG2486" s="58"/>
      <c r="KKH2486" s="60"/>
      <c r="KKI2486" s="60"/>
      <c r="KKJ2486" s="60"/>
      <c r="KKK2486" s="58"/>
      <c r="KKL2486" s="61"/>
      <c r="KKM2486" s="58"/>
      <c r="KKN2486" s="58"/>
      <c r="KKO2486" s="58"/>
      <c r="KKP2486" s="60"/>
      <c r="KKQ2486" s="60"/>
      <c r="KKR2486" s="60"/>
      <c r="KKS2486" s="58"/>
      <c r="KKT2486" s="61"/>
      <c r="KKU2486" s="58"/>
      <c r="KKV2486" s="58"/>
      <c r="KKW2486" s="58"/>
      <c r="KKX2486" s="60"/>
      <c r="KKY2486" s="60"/>
      <c r="KKZ2486" s="60"/>
      <c r="KLA2486" s="58"/>
      <c r="KLB2486" s="61"/>
      <c r="KLC2486" s="58"/>
      <c r="KLD2486" s="58"/>
      <c r="KLE2486" s="58"/>
      <c r="KLF2486" s="60"/>
      <c r="KLG2486" s="60"/>
      <c r="KLH2486" s="60"/>
      <c r="KLI2486" s="58"/>
      <c r="KLJ2486" s="61"/>
      <c r="KLK2486" s="58"/>
      <c r="KLL2486" s="58"/>
      <c r="KLM2486" s="58"/>
      <c r="KLN2486" s="60"/>
      <c r="KLO2486" s="60"/>
      <c r="KLP2486" s="60"/>
      <c r="KLQ2486" s="58"/>
      <c r="KLR2486" s="61"/>
      <c r="KLS2486" s="58"/>
      <c r="KLT2486" s="58"/>
      <c r="KLU2486" s="58"/>
      <c r="KLV2486" s="60"/>
      <c r="KLW2486" s="60"/>
      <c r="KLX2486" s="60"/>
      <c r="KLY2486" s="58"/>
      <c r="KLZ2486" s="61"/>
      <c r="KMA2486" s="58"/>
      <c r="KMB2486" s="58"/>
      <c r="KMC2486" s="58"/>
      <c r="KMD2486" s="60"/>
      <c r="KME2486" s="60"/>
      <c r="KMF2486" s="60"/>
      <c r="KMG2486" s="58"/>
      <c r="KMH2486" s="61"/>
      <c r="KMI2486" s="58"/>
      <c r="KMJ2486" s="58"/>
      <c r="KMK2486" s="58"/>
      <c r="KML2486" s="60"/>
      <c r="KMM2486" s="60"/>
      <c r="KMN2486" s="60"/>
      <c r="KMO2486" s="58"/>
      <c r="KMP2486" s="61"/>
      <c r="KMQ2486" s="58"/>
      <c r="KMR2486" s="58"/>
      <c r="KMS2486" s="58"/>
      <c r="KMT2486" s="60"/>
      <c r="KMU2486" s="60"/>
      <c r="KMV2486" s="60"/>
      <c r="KMW2486" s="58"/>
      <c r="KMX2486" s="61"/>
      <c r="KMY2486" s="58"/>
      <c r="KMZ2486" s="58"/>
      <c r="KNA2486" s="58"/>
      <c r="KNB2486" s="60"/>
      <c r="KNC2486" s="60"/>
      <c r="KND2486" s="60"/>
      <c r="KNE2486" s="58"/>
      <c r="KNF2486" s="61"/>
      <c r="KNG2486" s="58"/>
      <c r="KNH2486" s="58"/>
      <c r="KNI2486" s="58"/>
      <c r="KNJ2486" s="60"/>
      <c r="KNK2486" s="60"/>
      <c r="KNL2486" s="60"/>
      <c r="KNM2486" s="58"/>
      <c r="KNN2486" s="61"/>
      <c r="KNO2486" s="58"/>
      <c r="KNP2486" s="58"/>
      <c r="KNQ2486" s="58"/>
      <c r="KNR2486" s="60"/>
      <c r="KNS2486" s="60"/>
      <c r="KNT2486" s="60"/>
      <c r="KNU2486" s="58"/>
      <c r="KNV2486" s="61"/>
      <c r="KNW2486" s="58"/>
      <c r="KNX2486" s="58"/>
      <c r="KNY2486" s="58"/>
      <c r="KNZ2486" s="60"/>
      <c r="KOA2486" s="60"/>
      <c r="KOB2486" s="60"/>
      <c r="KOC2486" s="58"/>
      <c r="KOD2486" s="61"/>
      <c r="KOE2486" s="58"/>
      <c r="KOF2486" s="58"/>
      <c r="KOG2486" s="58"/>
      <c r="KOH2486" s="60"/>
      <c r="KOI2486" s="60"/>
      <c r="KOJ2486" s="60"/>
      <c r="KOK2486" s="58"/>
      <c r="KOL2486" s="61"/>
      <c r="KOM2486" s="58"/>
      <c r="KON2486" s="58"/>
      <c r="KOO2486" s="58"/>
      <c r="KOP2486" s="60"/>
      <c r="KOQ2486" s="60"/>
      <c r="KOR2486" s="60"/>
      <c r="KOS2486" s="58"/>
      <c r="KOT2486" s="61"/>
      <c r="KOU2486" s="58"/>
      <c r="KOV2486" s="58"/>
      <c r="KOW2486" s="58"/>
      <c r="KOX2486" s="60"/>
      <c r="KOY2486" s="60"/>
      <c r="KOZ2486" s="60"/>
      <c r="KPA2486" s="58"/>
      <c r="KPB2486" s="61"/>
      <c r="KPC2486" s="58"/>
      <c r="KPD2486" s="58"/>
      <c r="KPE2486" s="58"/>
      <c r="KPF2486" s="60"/>
      <c r="KPG2486" s="60"/>
      <c r="KPH2486" s="60"/>
      <c r="KPI2486" s="58"/>
      <c r="KPJ2486" s="61"/>
      <c r="KPK2486" s="58"/>
      <c r="KPL2486" s="58"/>
      <c r="KPM2486" s="58"/>
      <c r="KPN2486" s="60"/>
      <c r="KPO2486" s="60"/>
      <c r="KPP2486" s="60"/>
      <c r="KPQ2486" s="58"/>
      <c r="KPR2486" s="61"/>
      <c r="KPS2486" s="58"/>
      <c r="KPT2486" s="58"/>
      <c r="KPU2486" s="58"/>
      <c r="KPV2486" s="60"/>
      <c r="KPW2486" s="60"/>
      <c r="KPX2486" s="60"/>
      <c r="KPY2486" s="58"/>
      <c r="KPZ2486" s="61"/>
      <c r="KQA2486" s="58"/>
      <c r="KQB2486" s="58"/>
      <c r="KQC2486" s="58"/>
      <c r="KQD2486" s="60"/>
      <c r="KQE2486" s="60"/>
      <c r="KQF2486" s="60"/>
      <c r="KQG2486" s="58"/>
      <c r="KQH2486" s="61"/>
      <c r="KQI2486" s="58"/>
      <c r="KQJ2486" s="58"/>
      <c r="KQK2486" s="58"/>
      <c r="KQL2486" s="60"/>
      <c r="KQM2486" s="60"/>
      <c r="KQN2486" s="60"/>
      <c r="KQO2486" s="58"/>
      <c r="KQP2486" s="61"/>
      <c r="KQQ2486" s="58"/>
      <c r="KQR2486" s="58"/>
      <c r="KQS2486" s="58"/>
      <c r="KQT2486" s="60"/>
      <c r="KQU2486" s="60"/>
      <c r="KQV2486" s="60"/>
      <c r="KQW2486" s="58"/>
      <c r="KQX2486" s="61"/>
      <c r="KQY2486" s="58"/>
      <c r="KQZ2486" s="58"/>
      <c r="KRA2486" s="58"/>
      <c r="KRB2486" s="60"/>
      <c r="KRC2486" s="60"/>
      <c r="KRD2486" s="60"/>
      <c r="KRE2486" s="58"/>
      <c r="KRF2486" s="61"/>
      <c r="KRG2486" s="58"/>
      <c r="KRH2486" s="58"/>
      <c r="KRI2486" s="58"/>
      <c r="KRJ2486" s="60"/>
      <c r="KRK2486" s="60"/>
      <c r="KRL2486" s="60"/>
      <c r="KRM2486" s="58"/>
      <c r="KRN2486" s="61"/>
      <c r="KRO2486" s="58"/>
      <c r="KRP2486" s="58"/>
      <c r="KRQ2486" s="58"/>
      <c r="KRR2486" s="60"/>
      <c r="KRS2486" s="60"/>
      <c r="KRT2486" s="60"/>
      <c r="KRU2486" s="58"/>
      <c r="KRV2486" s="61"/>
      <c r="KRW2486" s="58"/>
      <c r="KRX2486" s="58"/>
      <c r="KRY2486" s="58"/>
      <c r="KRZ2486" s="60"/>
      <c r="KSA2486" s="60"/>
      <c r="KSB2486" s="60"/>
      <c r="KSC2486" s="58"/>
      <c r="KSD2486" s="61"/>
      <c r="KSE2486" s="58"/>
      <c r="KSF2486" s="58"/>
      <c r="KSG2486" s="58"/>
      <c r="KSH2486" s="60"/>
      <c r="KSI2486" s="60"/>
      <c r="KSJ2486" s="60"/>
      <c r="KSK2486" s="58"/>
      <c r="KSL2486" s="61"/>
      <c r="KSM2486" s="58"/>
      <c r="KSN2486" s="58"/>
      <c r="KSO2486" s="58"/>
      <c r="KSP2486" s="60"/>
      <c r="KSQ2486" s="60"/>
      <c r="KSR2486" s="60"/>
      <c r="KSS2486" s="58"/>
      <c r="KST2486" s="61"/>
      <c r="KSU2486" s="58"/>
      <c r="KSV2486" s="58"/>
      <c r="KSW2486" s="58"/>
      <c r="KSX2486" s="60"/>
      <c r="KSY2486" s="60"/>
      <c r="KSZ2486" s="60"/>
      <c r="KTA2486" s="58"/>
      <c r="KTB2486" s="61"/>
      <c r="KTC2486" s="58"/>
      <c r="KTD2486" s="58"/>
      <c r="KTE2486" s="58"/>
      <c r="KTF2486" s="60"/>
      <c r="KTG2486" s="60"/>
      <c r="KTH2486" s="60"/>
      <c r="KTI2486" s="58"/>
      <c r="KTJ2486" s="61"/>
      <c r="KTK2486" s="58"/>
      <c r="KTL2486" s="58"/>
      <c r="KTM2486" s="58"/>
      <c r="KTN2486" s="60"/>
      <c r="KTO2486" s="60"/>
      <c r="KTP2486" s="60"/>
      <c r="KTQ2486" s="58"/>
      <c r="KTR2486" s="61"/>
      <c r="KTS2486" s="58"/>
      <c r="KTT2486" s="58"/>
      <c r="KTU2486" s="58"/>
      <c r="KTV2486" s="60"/>
      <c r="KTW2486" s="60"/>
      <c r="KTX2486" s="60"/>
      <c r="KTY2486" s="58"/>
      <c r="KTZ2486" s="61"/>
      <c r="KUA2486" s="58"/>
      <c r="KUB2486" s="58"/>
      <c r="KUC2486" s="58"/>
      <c r="KUD2486" s="60"/>
      <c r="KUE2486" s="60"/>
      <c r="KUF2486" s="60"/>
      <c r="KUG2486" s="58"/>
      <c r="KUH2486" s="61"/>
      <c r="KUI2486" s="58"/>
      <c r="KUJ2486" s="58"/>
      <c r="KUK2486" s="58"/>
      <c r="KUL2486" s="60"/>
      <c r="KUM2486" s="60"/>
      <c r="KUN2486" s="60"/>
      <c r="KUO2486" s="58"/>
      <c r="KUP2486" s="61"/>
      <c r="KUQ2486" s="58"/>
      <c r="KUR2486" s="58"/>
      <c r="KUS2486" s="58"/>
      <c r="KUT2486" s="60"/>
      <c r="KUU2486" s="60"/>
      <c r="KUV2486" s="60"/>
      <c r="KUW2486" s="58"/>
      <c r="KUX2486" s="61"/>
      <c r="KUY2486" s="58"/>
      <c r="KUZ2486" s="58"/>
      <c r="KVA2486" s="58"/>
      <c r="KVB2486" s="60"/>
      <c r="KVC2486" s="60"/>
      <c r="KVD2486" s="60"/>
      <c r="KVE2486" s="58"/>
      <c r="KVF2486" s="61"/>
      <c r="KVG2486" s="58"/>
      <c r="KVH2486" s="58"/>
      <c r="KVI2486" s="58"/>
      <c r="KVJ2486" s="60"/>
      <c r="KVK2486" s="60"/>
      <c r="KVL2486" s="60"/>
      <c r="KVM2486" s="58"/>
      <c r="KVN2486" s="61"/>
      <c r="KVO2486" s="58"/>
      <c r="KVP2486" s="58"/>
      <c r="KVQ2486" s="58"/>
      <c r="KVR2486" s="60"/>
      <c r="KVS2486" s="60"/>
      <c r="KVT2486" s="60"/>
      <c r="KVU2486" s="58"/>
      <c r="KVV2486" s="61"/>
      <c r="KVW2486" s="58"/>
      <c r="KVX2486" s="58"/>
      <c r="KVY2486" s="58"/>
      <c r="KVZ2486" s="60"/>
      <c r="KWA2486" s="60"/>
      <c r="KWB2486" s="60"/>
      <c r="KWC2486" s="58"/>
      <c r="KWD2486" s="61"/>
      <c r="KWE2486" s="58"/>
      <c r="KWF2486" s="58"/>
      <c r="KWG2486" s="58"/>
      <c r="KWH2486" s="60"/>
      <c r="KWI2486" s="60"/>
      <c r="KWJ2486" s="60"/>
      <c r="KWK2486" s="58"/>
      <c r="KWL2486" s="61"/>
      <c r="KWM2486" s="58"/>
      <c r="KWN2486" s="58"/>
      <c r="KWO2486" s="58"/>
      <c r="KWP2486" s="60"/>
      <c r="KWQ2486" s="60"/>
      <c r="KWR2486" s="60"/>
      <c r="KWS2486" s="58"/>
      <c r="KWT2486" s="61"/>
      <c r="KWU2486" s="58"/>
      <c r="KWV2486" s="58"/>
      <c r="KWW2486" s="58"/>
      <c r="KWX2486" s="60"/>
      <c r="KWY2486" s="60"/>
      <c r="KWZ2486" s="60"/>
      <c r="KXA2486" s="58"/>
      <c r="KXB2486" s="61"/>
      <c r="KXC2486" s="58"/>
      <c r="KXD2486" s="58"/>
      <c r="KXE2486" s="58"/>
      <c r="KXF2486" s="60"/>
      <c r="KXG2486" s="60"/>
      <c r="KXH2486" s="60"/>
      <c r="KXI2486" s="58"/>
      <c r="KXJ2486" s="61"/>
      <c r="KXK2486" s="58"/>
      <c r="KXL2486" s="58"/>
      <c r="KXM2486" s="58"/>
      <c r="KXN2486" s="60"/>
      <c r="KXO2486" s="60"/>
      <c r="KXP2486" s="60"/>
      <c r="KXQ2486" s="58"/>
      <c r="KXR2486" s="61"/>
      <c r="KXS2486" s="58"/>
      <c r="KXT2486" s="58"/>
      <c r="KXU2486" s="58"/>
      <c r="KXV2486" s="60"/>
      <c r="KXW2486" s="60"/>
      <c r="KXX2486" s="60"/>
      <c r="KXY2486" s="58"/>
      <c r="KXZ2486" s="61"/>
      <c r="KYA2486" s="58"/>
      <c r="KYB2486" s="58"/>
      <c r="KYC2486" s="58"/>
      <c r="KYD2486" s="60"/>
      <c r="KYE2486" s="60"/>
      <c r="KYF2486" s="60"/>
      <c r="KYG2486" s="58"/>
      <c r="KYH2486" s="61"/>
      <c r="KYI2486" s="58"/>
      <c r="KYJ2486" s="58"/>
      <c r="KYK2486" s="58"/>
      <c r="KYL2486" s="60"/>
      <c r="KYM2486" s="60"/>
      <c r="KYN2486" s="60"/>
      <c r="KYO2486" s="58"/>
      <c r="KYP2486" s="61"/>
      <c r="KYQ2486" s="58"/>
      <c r="KYR2486" s="58"/>
      <c r="KYS2486" s="58"/>
      <c r="KYT2486" s="60"/>
      <c r="KYU2486" s="60"/>
      <c r="KYV2486" s="60"/>
      <c r="KYW2486" s="58"/>
      <c r="KYX2486" s="61"/>
      <c r="KYY2486" s="58"/>
      <c r="KYZ2486" s="58"/>
      <c r="KZA2486" s="58"/>
      <c r="KZB2486" s="60"/>
      <c r="KZC2486" s="60"/>
      <c r="KZD2486" s="60"/>
      <c r="KZE2486" s="58"/>
      <c r="KZF2486" s="61"/>
      <c r="KZG2486" s="58"/>
      <c r="KZH2486" s="58"/>
      <c r="KZI2486" s="58"/>
      <c r="KZJ2486" s="60"/>
      <c r="KZK2486" s="60"/>
      <c r="KZL2486" s="60"/>
      <c r="KZM2486" s="58"/>
      <c r="KZN2486" s="61"/>
      <c r="KZO2486" s="58"/>
      <c r="KZP2486" s="58"/>
      <c r="KZQ2486" s="58"/>
      <c r="KZR2486" s="60"/>
      <c r="KZS2486" s="60"/>
      <c r="KZT2486" s="60"/>
      <c r="KZU2486" s="58"/>
      <c r="KZV2486" s="61"/>
      <c r="KZW2486" s="58"/>
      <c r="KZX2486" s="58"/>
      <c r="KZY2486" s="58"/>
      <c r="KZZ2486" s="60"/>
      <c r="LAA2486" s="60"/>
      <c r="LAB2486" s="60"/>
      <c r="LAC2486" s="58"/>
      <c r="LAD2486" s="61"/>
      <c r="LAE2486" s="58"/>
      <c r="LAF2486" s="58"/>
      <c r="LAG2486" s="58"/>
      <c r="LAH2486" s="60"/>
      <c r="LAI2486" s="60"/>
      <c r="LAJ2486" s="60"/>
      <c r="LAK2486" s="58"/>
      <c r="LAL2486" s="61"/>
      <c r="LAM2486" s="58"/>
      <c r="LAN2486" s="58"/>
      <c r="LAO2486" s="58"/>
      <c r="LAP2486" s="60"/>
      <c r="LAQ2486" s="60"/>
      <c r="LAR2486" s="60"/>
      <c r="LAS2486" s="58"/>
      <c r="LAT2486" s="61"/>
      <c r="LAU2486" s="58"/>
      <c r="LAV2486" s="58"/>
      <c r="LAW2486" s="58"/>
      <c r="LAX2486" s="60"/>
      <c r="LAY2486" s="60"/>
      <c r="LAZ2486" s="60"/>
      <c r="LBA2486" s="58"/>
      <c r="LBB2486" s="61"/>
      <c r="LBC2486" s="58"/>
      <c r="LBD2486" s="58"/>
      <c r="LBE2486" s="58"/>
      <c r="LBF2486" s="60"/>
      <c r="LBG2486" s="60"/>
      <c r="LBH2486" s="60"/>
      <c r="LBI2486" s="58"/>
      <c r="LBJ2486" s="61"/>
      <c r="LBK2486" s="58"/>
      <c r="LBL2486" s="58"/>
      <c r="LBM2486" s="58"/>
      <c r="LBN2486" s="60"/>
      <c r="LBO2486" s="60"/>
      <c r="LBP2486" s="60"/>
      <c r="LBQ2486" s="58"/>
      <c r="LBR2486" s="61"/>
      <c r="LBS2486" s="58"/>
      <c r="LBT2486" s="58"/>
      <c r="LBU2486" s="58"/>
      <c r="LBV2486" s="60"/>
      <c r="LBW2486" s="60"/>
      <c r="LBX2486" s="60"/>
      <c r="LBY2486" s="58"/>
      <c r="LBZ2486" s="61"/>
      <c r="LCA2486" s="58"/>
      <c r="LCB2486" s="58"/>
      <c r="LCC2486" s="58"/>
      <c r="LCD2486" s="60"/>
      <c r="LCE2486" s="60"/>
      <c r="LCF2486" s="60"/>
      <c r="LCG2486" s="58"/>
      <c r="LCH2486" s="61"/>
      <c r="LCI2486" s="58"/>
      <c r="LCJ2486" s="58"/>
      <c r="LCK2486" s="58"/>
      <c r="LCL2486" s="60"/>
      <c r="LCM2486" s="60"/>
      <c r="LCN2486" s="60"/>
      <c r="LCO2486" s="58"/>
      <c r="LCP2486" s="61"/>
      <c r="LCQ2486" s="58"/>
      <c r="LCR2486" s="58"/>
      <c r="LCS2486" s="58"/>
      <c r="LCT2486" s="60"/>
      <c r="LCU2486" s="60"/>
      <c r="LCV2486" s="60"/>
      <c r="LCW2486" s="58"/>
      <c r="LCX2486" s="61"/>
      <c r="LCY2486" s="58"/>
      <c r="LCZ2486" s="58"/>
      <c r="LDA2486" s="58"/>
      <c r="LDB2486" s="60"/>
      <c r="LDC2486" s="60"/>
      <c r="LDD2486" s="60"/>
      <c r="LDE2486" s="58"/>
      <c r="LDF2486" s="61"/>
      <c r="LDG2486" s="58"/>
      <c r="LDH2486" s="58"/>
      <c r="LDI2486" s="58"/>
      <c r="LDJ2486" s="60"/>
      <c r="LDK2486" s="60"/>
      <c r="LDL2486" s="60"/>
      <c r="LDM2486" s="58"/>
      <c r="LDN2486" s="61"/>
      <c r="LDO2486" s="58"/>
      <c r="LDP2486" s="58"/>
      <c r="LDQ2486" s="58"/>
      <c r="LDR2486" s="60"/>
      <c r="LDS2486" s="60"/>
      <c r="LDT2486" s="60"/>
      <c r="LDU2486" s="58"/>
      <c r="LDV2486" s="61"/>
      <c r="LDW2486" s="58"/>
      <c r="LDX2486" s="58"/>
      <c r="LDY2486" s="58"/>
      <c r="LDZ2486" s="60"/>
      <c r="LEA2486" s="60"/>
      <c r="LEB2486" s="60"/>
      <c r="LEC2486" s="58"/>
      <c r="LED2486" s="61"/>
      <c r="LEE2486" s="58"/>
      <c r="LEF2486" s="58"/>
      <c r="LEG2486" s="58"/>
      <c r="LEH2486" s="60"/>
      <c r="LEI2486" s="60"/>
      <c r="LEJ2486" s="60"/>
      <c r="LEK2486" s="58"/>
      <c r="LEL2486" s="61"/>
      <c r="LEM2486" s="58"/>
      <c r="LEN2486" s="58"/>
      <c r="LEO2486" s="58"/>
      <c r="LEP2486" s="60"/>
      <c r="LEQ2486" s="60"/>
      <c r="LER2486" s="60"/>
      <c r="LES2486" s="58"/>
      <c r="LET2486" s="61"/>
      <c r="LEU2486" s="58"/>
      <c r="LEV2486" s="58"/>
      <c r="LEW2486" s="58"/>
      <c r="LEX2486" s="60"/>
      <c r="LEY2486" s="60"/>
      <c r="LEZ2486" s="60"/>
      <c r="LFA2486" s="58"/>
      <c r="LFB2486" s="61"/>
      <c r="LFC2486" s="58"/>
      <c r="LFD2486" s="58"/>
      <c r="LFE2486" s="58"/>
      <c r="LFF2486" s="60"/>
      <c r="LFG2486" s="60"/>
      <c r="LFH2486" s="60"/>
      <c r="LFI2486" s="58"/>
      <c r="LFJ2486" s="61"/>
      <c r="LFK2486" s="58"/>
      <c r="LFL2486" s="58"/>
      <c r="LFM2486" s="58"/>
      <c r="LFN2486" s="60"/>
      <c r="LFO2486" s="60"/>
      <c r="LFP2486" s="60"/>
      <c r="LFQ2486" s="58"/>
      <c r="LFR2486" s="61"/>
      <c r="LFS2486" s="58"/>
      <c r="LFT2486" s="58"/>
      <c r="LFU2486" s="58"/>
      <c r="LFV2486" s="60"/>
      <c r="LFW2486" s="60"/>
      <c r="LFX2486" s="60"/>
      <c r="LFY2486" s="58"/>
      <c r="LFZ2486" s="61"/>
      <c r="LGA2486" s="58"/>
      <c r="LGB2486" s="58"/>
      <c r="LGC2486" s="58"/>
      <c r="LGD2486" s="60"/>
      <c r="LGE2486" s="60"/>
      <c r="LGF2486" s="60"/>
      <c r="LGG2486" s="58"/>
      <c r="LGH2486" s="61"/>
      <c r="LGI2486" s="58"/>
      <c r="LGJ2486" s="58"/>
      <c r="LGK2486" s="58"/>
      <c r="LGL2486" s="60"/>
      <c r="LGM2486" s="60"/>
      <c r="LGN2486" s="60"/>
      <c r="LGO2486" s="58"/>
      <c r="LGP2486" s="61"/>
      <c r="LGQ2486" s="58"/>
      <c r="LGR2486" s="58"/>
      <c r="LGS2486" s="58"/>
      <c r="LGT2486" s="60"/>
      <c r="LGU2486" s="60"/>
      <c r="LGV2486" s="60"/>
      <c r="LGW2486" s="58"/>
      <c r="LGX2486" s="61"/>
      <c r="LGY2486" s="58"/>
      <c r="LGZ2486" s="58"/>
      <c r="LHA2486" s="58"/>
      <c r="LHB2486" s="60"/>
      <c r="LHC2486" s="60"/>
      <c r="LHD2486" s="60"/>
      <c r="LHE2486" s="58"/>
      <c r="LHF2486" s="61"/>
      <c r="LHG2486" s="58"/>
      <c r="LHH2486" s="58"/>
      <c r="LHI2486" s="58"/>
      <c r="LHJ2486" s="60"/>
      <c r="LHK2486" s="60"/>
      <c r="LHL2486" s="60"/>
      <c r="LHM2486" s="58"/>
      <c r="LHN2486" s="61"/>
      <c r="LHO2486" s="58"/>
      <c r="LHP2486" s="58"/>
      <c r="LHQ2486" s="58"/>
      <c r="LHR2486" s="60"/>
      <c r="LHS2486" s="60"/>
      <c r="LHT2486" s="60"/>
      <c r="LHU2486" s="58"/>
      <c r="LHV2486" s="61"/>
      <c r="LHW2486" s="58"/>
      <c r="LHX2486" s="58"/>
      <c r="LHY2486" s="58"/>
      <c r="LHZ2486" s="60"/>
      <c r="LIA2486" s="60"/>
      <c r="LIB2486" s="60"/>
      <c r="LIC2486" s="58"/>
      <c r="LID2486" s="61"/>
      <c r="LIE2486" s="58"/>
      <c r="LIF2486" s="58"/>
      <c r="LIG2486" s="58"/>
      <c r="LIH2486" s="60"/>
      <c r="LII2486" s="60"/>
      <c r="LIJ2486" s="60"/>
      <c r="LIK2486" s="58"/>
      <c r="LIL2486" s="61"/>
      <c r="LIM2486" s="58"/>
      <c r="LIN2486" s="58"/>
      <c r="LIO2486" s="58"/>
      <c r="LIP2486" s="60"/>
      <c r="LIQ2486" s="60"/>
      <c r="LIR2486" s="60"/>
      <c r="LIS2486" s="58"/>
      <c r="LIT2486" s="61"/>
      <c r="LIU2486" s="58"/>
      <c r="LIV2486" s="58"/>
      <c r="LIW2486" s="58"/>
      <c r="LIX2486" s="60"/>
      <c r="LIY2486" s="60"/>
      <c r="LIZ2486" s="60"/>
      <c r="LJA2486" s="58"/>
      <c r="LJB2486" s="61"/>
      <c r="LJC2486" s="58"/>
      <c r="LJD2486" s="58"/>
      <c r="LJE2486" s="58"/>
      <c r="LJF2486" s="60"/>
      <c r="LJG2486" s="60"/>
      <c r="LJH2486" s="60"/>
      <c r="LJI2486" s="58"/>
      <c r="LJJ2486" s="61"/>
      <c r="LJK2486" s="58"/>
      <c r="LJL2486" s="58"/>
      <c r="LJM2486" s="58"/>
      <c r="LJN2486" s="60"/>
      <c r="LJO2486" s="60"/>
      <c r="LJP2486" s="60"/>
      <c r="LJQ2486" s="58"/>
      <c r="LJR2486" s="61"/>
      <c r="LJS2486" s="58"/>
      <c r="LJT2486" s="58"/>
      <c r="LJU2486" s="58"/>
      <c r="LJV2486" s="60"/>
      <c r="LJW2486" s="60"/>
      <c r="LJX2486" s="60"/>
      <c r="LJY2486" s="58"/>
      <c r="LJZ2486" s="61"/>
      <c r="LKA2486" s="58"/>
      <c r="LKB2486" s="58"/>
      <c r="LKC2486" s="58"/>
      <c r="LKD2486" s="60"/>
      <c r="LKE2486" s="60"/>
      <c r="LKF2486" s="60"/>
      <c r="LKG2486" s="58"/>
      <c r="LKH2486" s="61"/>
      <c r="LKI2486" s="58"/>
      <c r="LKJ2486" s="58"/>
      <c r="LKK2486" s="58"/>
      <c r="LKL2486" s="60"/>
      <c r="LKM2486" s="60"/>
      <c r="LKN2486" s="60"/>
      <c r="LKO2486" s="58"/>
      <c r="LKP2486" s="61"/>
      <c r="LKQ2486" s="58"/>
      <c r="LKR2486" s="58"/>
      <c r="LKS2486" s="58"/>
      <c r="LKT2486" s="60"/>
      <c r="LKU2486" s="60"/>
      <c r="LKV2486" s="60"/>
      <c r="LKW2486" s="58"/>
      <c r="LKX2486" s="61"/>
      <c r="LKY2486" s="58"/>
      <c r="LKZ2486" s="58"/>
      <c r="LLA2486" s="58"/>
      <c r="LLB2486" s="60"/>
      <c r="LLC2486" s="60"/>
      <c r="LLD2486" s="60"/>
      <c r="LLE2486" s="58"/>
      <c r="LLF2486" s="61"/>
      <c r="LLG2486" s="58"/>
      <c r="LLH2486" s="58"/>
      <c r="LLI2486" s="58"/>
      <c r="LLJ2486" s="60"/>
      <c r="LLK2486" s="60"/>
      <c r="LLL2486" s="60"/>
      <c r="LLM2486" s="58"/>
      <c r="LLN2486" s="61"/>
      <c r="LLO2486" s="58"/>
      <c r="LLP2486" s="58"/>
      <c r="LLQ2486" s="58"/>
      <c r="LLR2486" s="60"/>
      <c r="LLS2486" s="60"/>
      <c r="LLT2486" s="60"/>
      <c r="LLU2486" s="58"/>
      <c r="LLV2486" s="61"/>
      <c r="LLW2486" s="58"/>
      <c r="LLX2486" s="58"/>
      <c r="LLY2486" s="58"/>
      <c r="LLZ2486" s="60"/>
      <c r="LMA2486" s="60"/>
      <c r="LMB2486" s="60"/>
      <c r="LMC2486" s="58"/>
      <c r="LMD2486" s="61"/>
      <c r="LME2486" s="58"/>
      <c r="LMF2486" s="58"/>
      <c r="LMG2486" s="58"/>
      <c r="LMH2486" s="60"/>
      <c r="LMI2486" s="60"/>
      <c r="LMJ2486" s="60"/>
      <c r="LMK2486" s="58"/>
      <c r="LML2486" s="61"/>
      <c r="LMM2486" s="58"/>
      <c r="LMN2486" s="58"/>
      <c r="LMO2486" s="58"/>
      <c r="LMP2486" s="60"/>
      <c r="LMQ2486" s="60"/>
      <c r="LMR2486" s="60"/>
      <c r="LMS2486" s="58"/>
      <c r="LMT2486" s="61"/>
      <c r="LMU2486" s="58"/>
      <c r="LMV2486" s="58"/>
      <c r="LMW2486" s="58"/>
      <c r="LMX2486" s="60"/>
      <c r="LMY2486" s="60"/>
      <c r="LMZ2486" s="60"/>
      <c r="LNA2486" s="58"/>
      <c r="LNB2486" s="61"/>
      <c r="LNC2486" s="58"/>
      <c r="LND2486" s="58"/>
      <c r="LNE2486" s="58"/>
      <c r="LNF2486" s="60"/>
      <c r="LNG2486" s="60"/>
      <c r="LNH2486" s="60"/>
      <c r="LNI2486" s="58"/>
      <c r="LNJ2486" s="61"/>
      <c r="LNK2486" s="58"/>
      <c r="LNL2486" s="58"/>
      <c r="LNM2486" s="58"/>
      <c r="LNN2486" s="60"/>
      <c r="LNO2486" s="60"/>
      <c r="LNP2486" s="60"/>
      <c r="LNQ2486" s="58"/>
      <c r="LNR2486" s="61"/>
      <c r="LNS2486" s="58"/>
      <c r="LNT2486" s="58"/>
      <c r="LNU2486" s="58"/>
      <c r="LNV2486" s="60"/>
      <c r="LNW2486" s="60"/>
      <c r="LNX2486" s="60"/>
      <c r="LNY2486" s="58"/>
      <c r="LNZ2486" s="61"/>
      <c r="LOA2486" s="58"/>
      <c r="LOB2486" s="58"/>
      <c r="LOC2486" s="58"/>
      <c r="LOD2486" s="60"/>
      <c r="LOE2486" s="60"/>
      <c r="LOF2486" s="60"/>
      <c r="LOG2486" s="58"/>
      <c r="LOH2486" s="61"/>
      <c r="LOI2486" s="58"/>
      <c r="LOJ2486" s="58"/>
      <c r="LOK2486" s="58"/>
      <c r="LOL2486" s="60"/>
      <c r="LOM2486" s="60"/>
      <c r="LON2486" s="60"/>
      <c r="LOO2486" s="58"/>
      <c r="LOP2486" s="61"/>
      <c r="LOQ2486" s="58"/>
      <c r="LOR2486" s="58"/>
      <c r="LOS2486" s="58"/>
      <c r="LOT2486" s="60"/>
      <c r="LOU2486" s="60"/>
      <c r="LOV2486" s="60"/>
      <c r="LOW2486" s="58"/>
      <c r="LOX2486" s="61"/>
      <c r="LOY2486" s="58"/>
      <c r="LOZ2486" s="58"/>
      <c r="LPA2486" s="58"/>
      <c r="LPB2486" s="60"/>
      <c r="LPC2486" s="60"/>
      <c r="LPD2486" s="60"/>
      <c r="LPE2486" s="58"/>
      <c r="LPF2486" s="61"/>
      <c r="LPG2486" s="58"/>
      <c r="LPH2486" s="58"/>
      <c r="LPI2486" s="58"/>
      <c r="LPJ2486" s="60"/>
      <c r="LPK2486" s="60"/>
      <c r="LPL2486" s="60"/>
      <c r="LPM2486" s="58"/>
      <c r="LPN2486" s="61"/>
      <c r="LPO2486" s="58"/>
      <c r="LPP2486" s="58"/>
      <c r="LPQ2486" s="58"/>
      <c r="LPR2486" s="60"/>
      <c r="LPS2486" s="60"/>
      <c r="LPT2486" s="60"/>
      <c r="LPU2486" s="58"/>
      <c r="LPV2486" s="61"/>
      <c r="LPW2486" s="58"/>
      <c r="LPX2486" s="58"/>
      <c r="LPY2486" s="58"/>
      <c r="LPZ2486" s="60"/>
      <c r="LQA2486" s="60"/>
      <c r="LQB2486" s="60"/>
      <c r="LQC2486" s="58"/>
      <c r="LQD2486" s="61"/>
      <c r="LQE2486" s="58"/>
      <c r="LQF2486" s="58"/>
      <c r="LQG2486" s="58"/>
      <c r="LQH2486" s="60"/>
      <c r="LQI2486" s="60"/>
      <c r="LQJ2486" s="60"/>
      <c r="LQK2486" s="58"/>
      <c r="LQL2486" s="61"/>
      <c r="LQM2486" s="58"/>
      <c r="LQN2486" s="58"/>
      <c r="LQO2486" s="58"/>
      <c r="LQP2486" s="60"/>
      <c r="LQQ2486" s="60"/>
      <c r="LQR2486" s="60"/>
      <c r="LQS2486" s="58"/>
      <c r="LQT2486" s="61"/>
      <c r="LQU2486" s="58"/>
      <c r="LQV2486" s="58"/>
      <c r="LQW2486" s="58"/>
      <c r="LQX2486" s="60"/>
      <c r="LQY2486" s="60"/>
      <c r="LQZ2486" s="60"/>
      <c r="LRA2486" s="58"/>
      <c r="LRB2486" s="61"/>
      <c r="LRC2486" s="58"/>
      <c r="LRD2486" s="58"/>
      <c r="LRE2486" s="58"/>
      <c r="LRF2486" s="60"/>
      <c r="LRG2486" s="60"/>
      <c r="LRH2486" s="60"/>
      <c r="LRI2486" s="58"/>
      <c r="LRJ2486" s="61"/>
      <c r="LRK2486" s="58"/>
      <c r="LRL2486" s="58"/>
      <c r="LRM2486" s="58"/>
      <c r="LRN2486" s="60"/>
      <c r="LRO2486" s="60"/>
      <c r="LRP2486" s="60"/>
      <c r="LRQ2486" s="58"/>
      <c r="LRR2486" s="61"/>
      <c r="LRS2486" s="58"/>
      <c r="LRT2486" s="58"/>
      <c r="LRU2486" s="58"/>
      <c r="LRV2486" s="60"/>
      <c r="LRW2486" s="60"/>
      <c r="LRX2486" s="60"/>
      <c r="LRY2486" s="58"/>
      <c r="LRZ2486" s="61"/>
      <c r="LSA2486" s="58"/>
      <c r="LSB2486" s="58"/>
      <c r="LSC2486" s="58"/>
      <c r="LSD2486" s="60"/>
      <c r="LSE2486" s="60"/>
      <c r="LSF2486" s="60"/>
      <c r="LSG2486" s="58"/>
      <c r="LSH2486" s="61"/>
      <c r="LSI2486" s="58"/>
      <c r="LSJ2486" s="58"/>
      <c r="LSK2486" s="58"/>
      <c r="LSL2486" s="60"/>
      <c r="LSM2486" s="60"/>
      <c r="LSN2486" s="60"/>
      <c r="LSO2486" s="58"/>
      <c r="LSP2486" s="61"/>
      <c r="LSQ2486" s="58"/>
      <c r="LSR2486" s="58"/>
      <c r="LSS2486" s="58"/>
      <c r="LST2486" s="60"/>
      <c r="LSU2486" s="60"/>
      <c r="LSV2486" s="60"/>
      <c r="LSW2486" s="58"/>
      <c r="LSX2486" s="61"/>
      <c r="LSY2486" s="58"/>
      <c r="LSZ2486" s="58"/>
      <c r="LTA2486" s="58"/>
      <c r="LTB2486" s="60"/>
      <c r="LTC2486" s="60"/>
      <c r="LTD2486" s="60"/>
      <c r="LTE2486" s="58"/>
      <c r="LTF2486" s="61"/>
      <c r="LTG2486" s="58"/>
      <c r="LTH2486" s="58"/>
      <c r="LTI2486" s="58"/>
      <c r="LTJ2486" s="60"/>
      <c r="LTK2486" s="60"/>
      <c r="LTL2486" s="60"/>
      <c r="LTM2486" s="58"/>
      <c r="LTN2486" s="61"/>
      <c r="LTO2486" s="58"/>
      <c r="LTP2486" s="58"/>
      <c r="LTQ2486" s="58"/>
      <c r="LTR2486" s="60"/>
      <c r="LTS2486" s="60"/>
      <c r="LTT2486" s="60"/>
      <c r="LTU2486" s="58"/>
      <c r="LTV2486" s="61"/>
      <c r="LTW2486" s="58"/>
      <c r="LTX2486" s="58"/>
      <c r="LTY2486" s="58"/>
      <c r="LTZ2486" s="60"/>
      <c r="LUA2486" s="60"/>
      <c r="LUB2486" s="60"/>
      <c r="LUC2486" s="58"/>
      <c r="LUD2486" s="61"/>
      <c r="LUE2486" s="58"/>
      <c r="LUF2486" s="58"/>
      <c r="LUG2486" s="58"/>
      <c r="LUH2486" s="60"/>
      <c r="LUI2486" s="60"/>
      <c r="LUJ2486" s="60"/>
      <c r="LUK2486" s="58"/>
      <c r="LUL2486" s="61"/>
      <c r="LUM2486" s="58"/>
      <c r="LUN2486" s="58"/>
      <c r="LUO2486" s="58"/>
      <c r="LUP2486" s="60"/>
      <c r="LUQ2486" s="60"/>
      <c r="LUR2486" s="60"/>
      <c r="LUS2486" s="58"/>
      <c r="LUT2486" s="61"/>
      <c r="LUU2486" s="58"/>
      <c r="LUV2486" s="58"/>
      <c r="LUW2486" s="58"/>
      <c r="LUX2486" s="60"/>
      <c r="LUY2486" s="60"/>
      <c r="LUZ2486" s="60"/>
      <c r="LVA2486" s="58"/>
      <c r="LVB2486" s="61"/>
      <c r="LVC2486" s="58"/>
      <c r="LVD2486" s="58"/>
      <c r="LVE2486" s="58"/>
      <c r="LVF2486" s="60"/>
      <c r="LVG2486" s="60"/>
      <c r="LVH2486" s="60"/>
      <c r="LVI2486" s="58"/>
      <c r="LVJ2486" s="61"/>
      <c r="LVK2486" s="58"/>
      <c r="LVL2486" s="58"/>
      <c r="LVM2486" s="58"/>
      <c r="LVN2486" s="60"/>
      <c r="LVO2486" s="60"/>
      <c r="LVP2486" s="60"/>
      <c r="LVQ2486" s="58"/>
      <c r="LVR2486" s="61"/>
      <c r="LVS2486" s="58"/>
      <c r="LVT2486" s="58"/>
      <c r="LVU2486" s="58"/>
      <c r="LVV2486" s="60"/>
      <c r="LVW2486" s="60"/>
      <c r="LVX2486" s="60"/>
      <c r="LVY2486" s="58"/>
      <c r="LVZ2486" s="61"/>
      <c r="LWA2486" s="58"/>
      <c r="LWB2486" s="58"/>
      <c r="LWC2486" s="58"/>
      <c r="LWD2486" s="60"/>
      <c r="LWE2486" s="60"/>
      <c r="LWF2486" s="60"/>
      <c r="LWG2486" s="58"/>
      <c r="LWH2486" s="61"/>
      <c r="LWI2486" s="58"/>
      <c r="LWJ2486" s="58"/>
      <c r="LWK2486" s="58"/>
      <c r="LWL2486" s="60"/>
      <c r="LWM2486" s="60"/>
      <c r="LWN2486" s="60"/>
      <c r="LWO2486" s="58"/>
      <c r="LWP2486" s="61"/>
      <c r="LWQ2486" s="58"/>
      <c r="LWR2486" s="58"/>
      <c r="LWS2486" s="58"/>
      <c r="LWT2486" s="60"/>
      <c r="LWU2486" s="60"/>
      <c r="LWV2486" s="60"/>
      <c r="LWW2486" s="58"/>
      <c r="LWX2486" s="61"/>
      <c r="LWY2486" s="58"/>
      <c r="LWZ2486" s="58"/>
      <c r="LXA2486" s="58"/>
      <c r="LXB2486" s="60"/>
      <c r="LXC2486" s="60"/>
      <c r="LXD2486" s="60"/>
      <c r="LXE2486" s="58"/>
      <c r="LXF2486" s="61"/>
      <c r="LXG2486" s="58"/>
      <c r="LXH2486" s="58"/>
      <c r="LXI2486" s="58"/>
      <c r="LXJ2486" s="60"/>
      <c r="LXK2486" s="60"/>
      <c r="LXL2486" s="60"/>
      <c r="LXM2486" s="58"/>
      <c r="LXN2486" s="61"/>
      <c r="LXO2486" s="58"/>
      <c r="LXP2486" s="58"/>
      <c r="LXQ2486" s="58"/>
      <c r="LXR2486" s="60"/>
      <c r="LXS2486" s="60"/>
      <c r="LXT2486" s="60"/>
      <c r="LXU2486" s="58"/>
      <c r="LXV2486" s="61"/>
      <c r="LXW2486" s="58"/>
      <c r="LXX2486" s="58"/>
      <c r="LXY2486" s="58"/>
      <c r="LXZ2486" s="60"/>
      <c r="LYA2486" s="60"/>
      <c r="LYB2486" s="60"/>
      <c r="LYC2486" s="58"/>
      <c r="LYD2486" s="61"/>
      <c r="LYE2486" s="58"/>
      <c r="LYF2486" s="58"/>
      <c r="LYG2486" s="58"/>
      <c r="LYH2486" s="60"/>
      <c r="LYI2486" s="60"/>
      <c r="LYJ2486" s="60"/>
      <c r="LYK2486" s="58"/>
      <c r="LYL2486" s="61"/>
      <c r="LYM2486" s="58"/>
      <c r="LYN2486" s="58"/>
      <c r="LYO2486" s="58"/>
      <c r="LYP2486" s="60"/>
      <c r="LYQ2486" s="60"/>
      <c r="LYR2486" s="60"/>
      <c r="LYS2486" s="58"/>
      <c r="LYT2486" s="61"/>
      <c r="LYU2486" s="58"/>
      <c r="LYV2486" s="58"/>
      <c r="LYW2486" s="58"/>
      <c r="LYX2486" s="60"/>
      <c r="LYY2486" s="60"/>
      <c r="LYZ2486" s="60"/>
      <c r="LZA2486" s="58"/>
      <c r="LZB2486" s="61"/>
      <c r="LZC2486" s="58"/>
      <c r="LZD2486" s="58"/>
      <c r="LZE2486" s="58"/>
      <c r="LZF2486" s="60"/>
      <c r="LZG2486" s="60"/>
      <c r="LZH2486" s="60"/>
      <c r="LZI2486" s="58"/>
      <c r="LZJ2486" s="61"/>
      <c r="LZK2486" s="58"/>
      <c r="LZL2486" s="58"/>
      <c r="LZM2486" s="58"/>
      <c r="LZN2486" s="60"/>
      <c r="LZO2486" s="60"/>
      <c r="LZP2486" s="60"/>
      <c r="LZQ2486" s="58"/>
      <c r="LZR2486" s="61"/>
      <c r="LZS2486" s="58"/>
      <c r="LZT2486" s="58"/>
      <c r="LZU2486" s="58"/>
      <c r="LZV2486" s="60"/>
      <c r="LZW2486" s="60"/>
      <c r="LZX2486" s="60"/>
      <c r="LZY2486" s="58"/>
      <c r="LZZ2486" s="61"/>
      <c r="MAA2486" s="58"/>
      <c r="MAB2486" s="58"/>
      <c r="MAC2486" s="58"/>
      <c r="MAD2486" s="60"/>
      <c r="MAE2486" s="60"/>
      <c r="MAF2486" s="60"/>
      <c r="MAG2486" s="58"/>
      <c r="MAH2486" s="61"/>
      <c r="MAI2486" s="58"/>
      <c r="MAJ2486" s="58"/>
      <c r="MAK2486" s="58"/>
      <c r="MAL2486" s="60"/>
      <c r="MAM2486" s="60"/>
      <c r="MAN2486" s="60"/>
      <c r="MAO2486" s="58"/>
      <c r="MAP2486" s="61"/>
      <c r="MAQ2486" s="58"/>
      <c r="MAR2486" s="58"/>
      <c r="MAS2486" s="58"/>
      <c r="MAT2486" s="60"/>
      <c r="MAU2486" s="60"/>
      <c r="MAV2486" s="60"/>
      <c r="MAW2486" s="58"/>
      <c r="MAX2486" s="61"/>
      <c r="MAY2486" s="58"/>
      <c r="MAZ2486" s="58"/>
      <c r="MBA2486" s="58"/>
      <c r="MBB2486" s="60"/>
      <c r="MBC2486" s="60"/>
      <c r="MBD2486" s="60"/>
      <c r="MBE2486" s="58"/>
      <c r="MBF2486" s="61"/>
      <c r="MBG2486" s="58"/>
      <c r="MBH2486" s="58"/>
      <c r="MBI2486" s="58"/>
      <c r="MBJ2486" s="60"/>
      <c r="MBK2486" s="60"/>
      <c r="MBL2486" s="60"/>
      <c r="MBM2486" s="58"/>
      <c r="MBN2486" s="61"/>
      <c r="MBO2486" s="58"/>
      <c r="MBP2486" s="58"/>
      <c r="MBQ2486" s="58"/>
      <c r="MBR2486" s="60"/>
      <c r="MBS2486" s="60"/>
      <c r="MBT2486" s="60"/>
      <c r="MBU2486" s="58"/>
      <c r="MBV2486" s="61"/>
      <c r="MBW2486" s="58"/>
      <c r="MBX2486" s="58"/>
      <c r="MBY2486" s="58"/>
      <c r="MBZ2486" s="60"/>
      <c r="MCA2486" s="60"/>
      <c r="MCB2486" s="60"/>
      <c r="MCC2486" s="58"/>
      <c r="MCD2486" s="61"/>
      <c r="MCE2486" s="58"/>
      <c r="MCF2486" s="58"/>
      <c r="MCG2486" s="58"/>
      <c r="MCH2486" s="60"/>
      <c r="MCI2486" s="60"/>
      <c r="MCJ2486" s="60"/>
      <c r="MCK2486" s="58"/>
      <c r="MCL2486" s="61"/>
      <c r="MCM2486" s="58"/>
      <c r="MCN2486" s="58"/>
      <c r="MCO2486" s="58"/>
      <c r="MCP2486" s="60"/>
      <c r="MCQ2486" s="60"/>
      <c r="MCR2486" s="60"/>
      <c r="MCS2486" s="58"/>
      <c r="MCT2486" s="61"/>
      <c r="MCU2486" s="58"/>
      <c r="MCV2486" s="58"/>
      <c r="MCW2486" s="58"/>
      <c r="MCX2486" s="60"/>
      <c r="MCY2486" s="60"/>
      <c r="MCZ2486" s="60"/>
      <c r="MDA2486" s="58"/>
      <c r="MDB2486" s="61"/>
      <c r="MDC2486" s="58"/>
      <c r="MDD2486" s="58"/>
      <c r="MDE2486" s="58"/>
      <c r="MDF2486" s="60"/>
      <c r="MDG2486" s="60"/>
      <c r="MDH2486" s="60"/>
      <c r="MDI2486" s="58"/>
      <c r="MDJ2486" s="61"/>
      <c r="MDK2486" s="58"/>
      <c r="MDL2486" s="58"/>
      <c r="MDM2486" s="58"/>
      <c r="MDN2486" s="60"/>
      <c r="MDO2486" s="60"/>
      <c r="MDP2486" s="60"/>
      <c r="MDQ2486" s="58"/>
      <c r="MDR2486" s="61"/>
      <c r="MDS2486" s="58"/>
      <c r="MDT2486" s="58"/>
      <c r="MDU2486" s="58"/>
      <c r="MDV2486" s="60"/>
      <c r="MDW2486" s="60"/>
      <c r="MDX2486" s="60"/>
      <c r="MDY2486" s="58"/>
      <c r="MDZ2486" s="61"/>
      <c r="MEA2486" s="58"/>
      <c r="MEB2486" s="58"/>
      <c r="MEC2486" s="58"/>
      <c r="MED2486" s="60"/>
      <c r="MEE2486" s="60"/>
      <c r="MEF2486" s="60"/>
      <c r="MEG2486" s="58"/>
      <c r="MEH2486" s="61"/>
      <c r="MEI2486" s="58"/>
      <c r="MEJ2486" s="58"/>
      <c r="MEK2486" s="58"/>
      <c r="MEL2486" s="60"/>
      <c r="MEM2486" s="60"/>
      <c r="MEN2486" s="60"/>
      <c r="MEO2486" s="58"/>
      <c r="MEP2486" s="61"/>
      <c r="MEQ2486" s="58"/>
      <c r="MER2486" s="58"/>
      <c r="MES2486" s="58"/>
      <c r="MET2486" s="60"/>
      <c r="MEU2486" s="60"/>
      <c r="MEV2486" s="60"/>
      <c r="MEW2486" s="58"/>
      <c r="MEX2486" s="61"/>
      <c r="MEY2486" s="58"/>
      <c r="MEZ2486" s="58"/>
      <c r="MFA2486" s="58"/>
      <c r="MFB2486" s="60"/>
      <c r="MFC2486" s="60"/>
      <c r="MFD2486" s="60"/>
      <c r="MFE2486" s="58"/>
      <c r="MFF2486" s="61"/>
      <c r="MFG2486" s="58"/>
      <c r="MFH2486" s="58"/>
      <c r="MFI2486" s="58"/>
      <c r="MFJ2486" s="60"/>
      <c r="MFK2486" s="60"/>
      <c r="MFL2486" s="60"/>
      <c r="MFM2486" s="58"/>
      <c r="MFN2486" s="61"/>
      <c r="MFO2486" s="58"/>
      <c r="MFP2486" s="58"/>
      <c r="MFQ2486" s="58"/>
      <c r="MFR2486" s="60"/>
      <c r="MFS2486" s="60"/>
      <c r="MFT2486" s="60"/>
      <c r="MFU2486" s="58"/>
      <c r="MFV2486" s="61"/>
      <c r="MFW2486" s="58"/>
      <c r="MFX2486" s="58"/>
      <c r="MFY2486" s="58"/>
      <c r="MFZ2486" s="60"/>
      <c r="MGA2486" s="60"/>
      <c r="MGB2486" s="60"/>
      <c r="MGC2486" s="58"/>
      <c r="MGD2486" s="61"/>
      <c r="MGE2486" s="58"/>
      <c r="MGF2486" s="58"/>
      <c r="MGG2486" s="58"/>
      <c r="MGH2486" s="60"/>
      <c r="MGI2486" s="60"/>
      <c r="MGJ2486" s="60"/>
      <c r="MGK2486" s="58"/>
      <c r="MGL2486" s="61"/>
      <c r="MGM2486" s="58"/>
      <c r="MGN2486" s="58"/>
      <c r="MGO2486" s="58"/>
      <c r="MGP2486" s="60"/>
      <c r="MGQ2486" s="60"/>
      <c r="MGR2486" s="60"/>
      <c r="MGS2486" s="58"/>
      <c r="MGT2486" s="61"/>
      <c r="MGU2486" s="58"/>
      <c r="MGV2486" s="58"/>
      <c r="MGW2486" s="58"/>
      <c r="MGX2486" s="60"/>
      <c r="MGY2486" s="60"/>
      <c r="MGZ2486" s="60"/>
      <c r="MHA2486" s="58"/>
      <c r="MHB2486" s="61"/>
      <c r="MHC2486" s="58"/>
      <c r="MHD2486" s="58"/>
      <c r="MHE2486" s="58"/>
      <c r="MHF2486" s="60"/>
      <c r="MHG2486" s="60"/>
      <c r="MHH2486" s="60"/>
      <c r="MHI2486" s="58"/>
      <c r="MHJ2486" s="61"/>
      <c r="MHK2486" s="58"/>
      <c r="MHL2486" s="58"/>
      <c r="MHM2486" s="58"/>
      <c r="MHN2486" s="60"/>
      <c r="MHO2486" s="60"/>
      <c r="MHP2486" s="60"/>
      <c r="MHQ2486" s="58"/>
      <c r="MHR2486" s="61"/>
      <c r="MHS2486" s="58"/>
      <c r="MHT2486" s="58"/>
      <c r="MHU2486" s="58"/>
      <c r="MHV2486" s="60"/>
      <c r="MHW2486" s="60"/>
      <c r="MHX2486" s="60"/>
      <c r="MHY2486" s="58"/>
      <c r="MHZ2486" s="61"/>
      <c r="MIA2486" s="58"/>
      <c r="MIB2486" s="58"/>
      <c r="MIC2486" s="58"/>
      <c r="MID2486" s="60"/>
      <c r="MIE2486" s="60"/>
      <c r="MIF2486" s="60"/>
      <c r="MIG2486" s="58"/>
      <c r="MIH2486" s="61"/>
      <c r="MII2486" s="58"/>
      <c r="MIJ2486" s="58"/>
      <c r="MIK2486" s="58"/>
      <c r="MIL2486" s="60"/>
      <c r="MIM2486" s="60"/>
      <c r="MIN2486" s="60"/>
      <c r="MIO2486" s="58"/>
      <c r="MIP2486" s="61"/>
      <c r="MIQ2486" s="58"/>
      <c r="MIR2486" s="58"/>
      <c r="MIS2486" s="58"/>
      <c r="MIT2486" s="60"/>
      <c r="MIU2486" s="60"/>
      <c r="MIV2486" s="60"/>
      <c r="MIW2486" s="58"/>
      <c r="MIX2486" s="61"/>
      <c r="MIY2486" s="58"/>
      <c r="MIZ2486" s="58"/>
      <c r="MJA2486" s="58"/>
      <c r="MJB2486" s="60"/>
      <c r="MJC2486" s="60"/>
      <c r="MJD2486" s="60"/>
      <c r="MJE2486" s="58"/>
      <c r="MJF2486" s="61"/>
      <c r="MJG2486" s="58"/>
      <c r="MJH2486" s="58"/>
      <c r="MJI2486" s="58"/>
      <c r="MJJ2486" s="60"/>
      <c r="MJK2486" s="60"/>
      <c r="MJL2486" s="60"/>
      <c r="MJM2486" s="58"/>
      <c r="MJN2486" s="61"/>
      <c r="MJO2486" s="58"/>
      <c r="MJP2486" s="58"/>
      <c r="MJQ2486" s="58"/>
      <c r="MJR2486" s="60"/>
      <c r="MJS2486" s="60"/>
      <c r="MJT2486" s="60"/>
      <c r="MJU2486" s="58"/>
      <c r="MJV2486" s="61"/>
      <c r="MJW2486" s="58"/>
      <c r="MJX2486" s="58"/>
      <c r="MJY2486" s="58"/>
      <c r="MJZ2486" s="60"/>
      <c r="MKA2486" s="60"/>
      <c r="MKB2486" s="60"/>
      <c r="MKC2486" s="58"/>
      <c r="MKD2486" s="61"/>
      <c r="MKE2486" s="58"/>
      <c r="MKF2486" s="58"/>
      <c r="MKG2486" s="58"/>
      <c r="MKH2486" s="60"/>
      <c r="MKI2486" s="60"/>
      <c r="MKJ2486" s="60"/>
      <c r="MKK2486" s="58"/>
      <c r="MKL2486" s="61"/>
      <c r="MKM2486" s="58"/>
      <c r="MKN2486" s="58"/>
      <c r="MKO2486" s="58"/>
      <c r="MKP2486" s="60"/>
      <c r="MKQ2486" s="60"/>
      <c r="MKR2486" s="60"/>
      <c r="MKS2486" s="58"/>
      <c r="MKT2486" s="61"/>
      <c r="MKU2486" s="58"/>
      <c r="MKV2486" s="58"/>
      <c r="MKW2486" s="58"/>
      <c r="MKX2486" s="60"/>
      <c r="MKY2486" s="60"/>
      <c r="MKZ2486" s="60"/>
      <c r="MLA2486" s="58"/>
      <c r="MLB2486" s="61"/>
      <c r="MLC2486" s="58"/>
      <c r="MLD2486" s="58"/>
      <c r="MLE2486" s="58"/>
      <c r="MLF2486" s="60"/>
      <c r="MLG2486" s="60"/>
      <c r="MLH2486" s="60"/>
      <c r="MLI2486" s="58"/>
      <c r="MLJ2486" s="61"/>
      <c r="MLK2486" s="58"/>
      <c r="MLL2486" s="58"/>
      <c r="MLM2486" s="58"/>
      <c r="MLN2486" s="60"/>
      <c r="MLO2486" s="60"/>
      <c r="MLP2486" s="60"/>
      <c r="MLQ2486" s="58"/>
      <c r="MLR2486" s="61"/>
      <c r="MLS2486" s="58"/>
      <c r="MLT2486" s="58"/>
      <c r="MLU2486" s="58"/>
      <c r="MLV2486" s="60"/>
      <c r="MLW2486" s="60"/>
      <c r="MLX2486" s="60"/>
      <c r="MLY2486" s="58"/>
      <c r="MLZ2486" s="61"/>
      <c r="MMA2486" s="58"/>
      <c r="MMB2486" s="58"/>
      <c r="MMC2486" s="58"/>
      <c r="MMD2486" s="60"/>
      <c r="MME2486" s="60"/>
      <c r="MMF2486" s="60"/>
      <c r="MMG2486" s="58"/>
      <c r="MMH2486" s="61"/>
      <c r="MMI2486" s="58"/>
      <c r="MMJ2486" s="58"/>
      <c r="MMK2486" s="58"/>
      <c r="MML2486" s="60"/>
      <c r="MMM2486" s="60"/>
      <c r="MMN2486" s="60"/>
      <c r="MMO2486" s="58"/>
      <c r="MMP2486" s="61"/>
      <c r="MMQ2486" s="58"/>
      <c r="MMR2486" s="58"/>
      <c r="MMS2486" s="58"/>
      <c r="MMT2486" s="60"/>
      <c r="MMU2486" s="60"/>
      <c r="MMV2486" s="60"/>
      <c r="MMW2486" s="58"/>
      <c r="MMX2486" s="61"/>
      <c r="MMY2486" s="58"/>
      <c r="MMZ2486" s="58"/>
      <c r="MNA2486" s="58"/>
      <c r="MNB2486" s="60"/>
      <c r="MNC2486" s="60"/>
      <c r="MND2486" s="60"/>
      <c r="MNE2486" s="58"/>
      <c r="MNF2486" s="61"/>
      <c r="MNG2486" s="58"/>
      <c r="MNH2486" s="58"/>
      <c r="MNI2486" s="58"/>
      <c r="MNJ2486" s="60"/>
      <c r="MNK2486" s="60"/>
      <c r="MNL2486" s="60"/>
      <c r="MNM2486" s="58"/>
      <c r="MNN2486" s="61"/>
      <c r="MNO2486" s="58"/>
      <c r="MNP2486" s="58"/>
      <c r="MNQ2486" s="58"/>
      <c r="MNR2486" s="60"/>
      <c r="MNS2486" s="60"/>
      <c r="MNT2486" s="60"/>
      <c r="MNU2486" s="58"/>
      <c r="MNV2486" s="61"/>
      <c r="MNW2486" s="58"/>
      <c r="MNX2486" s="58"/>
      <c r="MNY2486" s="58"/>
      <c r="MNZ2486" s="60"/>
      <c r="MOA2486" s="60"/>
      <c r="MOB2486" s="60"/>
      <c r="MOC2486" s="58"/>
      <c r="MOD2486" s="61"/>
      <c r="MOE2486" s="58"/>
      <c r="MOF2486" s="58"/>
      <c r="MOG2486" s="58"/>
      <c r="MOH2486" s="60"/>
      <c r="MOI2486" s="60"/>
      <c r="MOJ2486" s="60"/>
      <c r="MOK2486" s="58"/>
      <c r="MOL2486" s="61"/>
      <c r="MOM2486" s="58"/>
      <c r="MON2486" s="58"/>
      <c r="MOO2486" s="58"/>
      <c r="MOP2486" s="60"/>
      <c r="MOQ2486" s="60"/>
      <c r="MOR2486" s="60"/>
      <c r="MOS2486" s="58"/>
      <c r="MOT2486" s="61"/>
      <c r="MOU2486" s="58"/>
      <c r="MOV2486" s="58"/>
      <c r="MOW2486" s="58"/>
      <c r="MOX2486" s="60"/>
      <c r="MOY2486" s="60"/>
      <c r="MOZ2486" s="60"/>
      <c r="MPA2486" s="58"/>
      <c r="MPB2486" s="61"/>
      <c r="MPC2486" s="58"/>
      <c r="MPD2486" s="58"/>
      <c r="MPE2486" s="58"/>
      <c r="MPF2486" s="60"/>
      <c r="MPG2486" s="60"/>
      <c r="MPH2486" s="60"/>
      <c r="MPI2486" s="58"/>
      <c r="MPJ2486" s="61"/>
      <c r="MPK2486" s="58"/>
      <c r="MPL2486" s="58"/>
      <c r="MPM2486" s="58"/>
      <c r="MPN2486" s="60"/>
      <c r="MPO2486" s="60"/>
      <c r="MPP2486" s="60"/>
      <c r="MPQ2486" s="58"/>
      <c r="MPR2486" s="61"/>
      <c r="MPS2486" s="58"/>
      <c r="MPT2486" s="58"/>
      <c r="MPU2486" s="58"/>
      <c r="MPV2486" s="60"/>
      <c r="MPW2486" s="60"/>
      <c r="MPX2486" s="60"/>
      <c r="MPY2486" s="58"/>
      <c r="MPZ2486" s="61"/>
      <c r="MQA2486" s="58"/>
      <c r="MQB2486" s="58"/>
      <c r="MQC2486" s="58"/>
      <c r="MQD2486" s="60"/>
      <c r="MQE2486" s="60"/>
      <c r="MQF2486" s="60"/>
      <c r="MQG2486" s="58"/>
      <c r="MQH2486" s="61"/>
      <c r="MQI2486" s="58"/>
      <c r="MQJ2486" s="58"/>
      <c r="MQK2486" s="58"/>
      <c r="MQL2486" s="60"/>
      <c r="MQM2486" s="60"/>
      <c r="MQN2486" s="60"/>
      <c r="MQO2486" s="58"/>
      <c r="MQP2486" s="61"/>
      <c r="MQQ2486" s="58"/>
      <c r="MQR2486" s="58"/>
      <c r="MQS2486" s="58"/>
      <c r="MQT2486" s="60"/>
      <c r="MQU2486" s="60"/>
      <c r="MQV2486" s="60"/>
      <c r="MQW2486" s="58"/>
      <c r="MQX2486" s="61"/>
      <c r="MQY2486" s="58"/>
      <c r="MQZ2486" s="58"/>
      <c r="MRA2486" s="58"/>
      <c r="MRB2486" s="60"/>
      <c r="MRC2486" s="60"/>
      <c r="MRD2486" s="60"/>
      <c r="MRE2486" s="58"/>
      <c r="MRF2486" s="61"/>
      <c r="MRG2486" s="58"/>
      <c r="MRH2486" s="58"/>
      <c r="MRI2486" s="58"/>
      <c r="MRJ2486" s="60"/>
      <c r="MRK2486" s="60"/>
      <c r="MRL2486" s="60"/>
      <c r="MRM2486" s="58"/>
      <c r="MRN2486" s="61"/>
      <c r="MRO2486" s="58"/>
      <c r="MRP2486" s="58"/>
      <c r="MRQ2486" s="58"/>
      <c r="MRR2486" s="60"/>
      <c r="MRS2486" s="60"/>
      <c r="MRT2486" s="60"/>
      <c r="MRU2486" s="58"/>
      <c r="MRV2486" s="61"/>
      <c r="MRW2486" s="58"/>
      <c r="MRX2486" s="58"/>
      <c r="MRY2486" s="58"/>
      <c r="MRZ2486" s="60"/>
      <c r="MSA2486" s="60"/>
      <c r="MSB2486" s="60"/>
      <c r="MSC2486" s="58"/>
      <c r="MSD2486" s="61"/>
      <c r="MSE2486" s="58"/>
      <c r="MSF2486" s="58"/>
      <c r="MSG2486" s="58"/>
      <c r="MSH2486" s="60"/>
      <c r="MSI2486" s="60"/>
      <c r="MSJ2486" s="60"/>
      <c r="MSK2486" s="58"/>
      <c r="MSL2486" s="61"/>
      <c r="MSM2486" s="58"/>
      <c r="MSN2486" s="58"/>
      <c r="MSO2486" s="58"/>
      <c r="MSP2486" s="60"/>
      <c r="MSQ2486" s="60"/>
      <c r="MSR2486" s="60"/>
      <c r="MSS2486" s="58"/>
      <c r="MST2486" s="61"/>
      <c r="MSU2486" s="58"/>
      <c r="MSV2486" s="58"/>
      <c r="MSW2486" s="58"/>
      <c r="MSX2486" s="60"/>
      <c r="MSY2486" s="60"/>
      <c r="MSZ2486" s="60"/>
      <c r="MTA2486" s="58"/>
      <c r="MTB2486" s="61"/>
      <c r="MTC2486" s="58"/>
      <c r="MTD2486" s="58"/>
      <c r="MTE2486" s="58"/>
      <c r="MTF2486" s="60"/>
      <c r="MTG2486" s="60"/>
      <c r="MTH2486" s="60"/>
      <c r="MTI2486" s="58"/>
      <c r="MTJ2486" s="61"/>
      <c r="MTK2486" s="58"/>
      <c r="MTL2486" s="58"/>
      <c r="MTM2486" s="58"/>
      <c r="MTN2486" s="60"/>
      <c r="MTO2486" s="60"/>
      <c r="MTP2486" s="60"/>
      <c r="MTQ2486" s="58"/>
      <c r="MTR2486" s="61"/>
      <c r="MTS2486" s="58"/>
      <c r="MTT2486" s="58"/>
      <c r="MTU2486" s="58"/>
      <c r="MTV2486" s="60"/>
      <c r="MTW2486" s="60"/>
      <c r="MTX2486" s="60"/>
      <c r="MTY2486" s="58"/>
      <c r="MTZ2486" s="61"/>
      <c r="MUA2486" s="58"/>
      <c r="MUB2486" s="58"/>
      <c r="MUC2486" s="58"/>
      <c r="MUD2486" s="60"/>
      <c r="MUE2486" s="60"/>
      <c r="MUF2486" s="60"/>
      <c r="MUG2486" s="58"/>
      <c r="MUH2486" s="61"/>
      <c r="MUI2486" s="58"/>
      <c r="MUJ2486" s="58"/>
      <c r="MUK2486" s="58"/>
      <c r="MUL2486" s="60"/>
      <c r="MUM2486" s="60"/>
      <c r="MUN2486" s="60"/>
      <c r="MUO2486" s="58"/>
      <c r="MUP2486" s="61"/>
      <c r="MUQ2486" s="58"/>
      <c r="MUR2486" s="58"/>
      <c r="MUS2486" s="58"/>
      <c r="MUT2486" s="60"/>
      <c r="MUU2486" s="60"/>
      <c r="MUV2486" s="60"/>
      <c r="MUW2486" s="58"/>
      <c r="MUX2486" s="61"/>
      <c r="MUY2486" s="58"/>
      <c r="MUZ2486" s="58"/>
      <c r="MVA2486" s="58"/>
      <c r="MVB2486" s="60"/>
      <c r="MVC2486" s="60"/>
      <c r="MVD2486" s="60"/>
      <c r="MVE2486" s="58"/>
      <c r="MVF2486" s="61"/>
      <c r="MVG2486" s="58"/>
      <c r="MVH2486" s="58"/>
      <c r="MVI2486" s="58"/>
      <c r="MVJ2486" s="60"/>
      <c r="MVK2486" s="60"/>
      <c r="MVL2486" s="60"/>
      <c r="MVM2486" s="58"/>
      <c r="MVN2486" s="61"/>
      <c r="MVO2486" s="58"/>
      <c r="MVP2486" s="58"/>
      <c r="MVQ2486" s="58"/>
      <c r="MVR2486" s="60"/>
      <c r="MVS2486" s="60"/>
      <c r="MVT2486" s="60"/>
      <c r="MVU2486" s="58"/>
      <c r="MVV2486" s="61"/>
      <c r="MVW2486" s="58"/>
      <c r="MVX2486" s="58"/>
      <c r="MVY2486" s="58"/>
      <c r="MVZ2486" s="60"/>
      <c r="MWA2486" s="60"/>
      <c r="MWB2486" s="60"/>
      <c r="MWC2486" s="58"/>
      <c r="MWD2486" s="61"/>
      <c r="MWE2486" s="58"/>
      <c r="MWF2486" s="58"/>
      <c r="MWG2486" s="58"/>
      <c r="MWH2486" s="60"/>
      <c r="MWI2486" s="60"/>
      <c r="MWJ2486" s="60"/>
      <c r="MWK2486" s="58"/>
      <c r="MWL2486" s="61"/>
      <c r="MWM2486" s="58"/>
      <c r="MWN2486" s="58"/>
      <c r="MWO2486" s="58"/>
      <c r="MWP2486" s="60"/>
      <c r="MWQ2486" s="60"/>
      <c r="MWR2486" s="60"/>
      <c r="MWS2486" s="58"/>
      <c r="MWT2486" s="61"/>
      <c r="MWU2486" s="58"/>
      <c r="MWV2486" s="58"/>
      <c r="MWW2486" s="58"/>
      <c r="MWX2486" s="60"/>
      <c r="MWY2486" s="60"/>
      <c r="MWZ2486" s="60"/>
      <c r="MXA2486" s="58"/>
      <c r="MXB2486" s="61"/>
      <c r="MXC2486" s="58"/>
      <c r="MXD2486" s="58"/>
      <c r="MXE2486" s="58"/>
      <c r="MXF2486" s="60"/>
      <c r="MXG2486" s="60"/>
      <c r="MXH2486" s="60"/>
      <c r="MXI2486" s="58"/>
      <c r="MXJ2486" s="61"/>
      <c r="MXK2486" s="58"/>
      <c r="MXL2486" s="58"/>
      <c r="MXM2486" s="58"/>
      <c r="MXN2486" s="60"/>
      <c r="MXO2486" s="60"/>
      <c r="MXP2486" s="60"/>
      <c r="MXQ2486" s="58"/>
      <c r="MXR2486" s="61"/>
      <c r="MXS2486" s="58"/>
      <c r="MXT2486" s="58"/>
      <c r="MXU2486" s="58"/>
      <c r="MXV2486" s="60"/>
      <c r="MXW2486" s="60"/>
      <c r="MXX2486" s="60"/>
      <c r="MXY2486" s="58"/>
      <c r="MXZ2486" s="61"/>
      <c r="MYA2486" s="58"/>
      <c r="MYB2486" s="58"/>
      <c r="MYC2486" s="58"/>
      <c r="MYD2486" s="60"/>
      <c r="MYE2486" s="60"/>
      <c r="MYF2486" s="60"/>
      <c r="MYG2486" s="58"/>
      <c r="MYH2486" s="61"/>
      <c r="MYI2486" s="58"/>
      <c r="MYJ2486" s="58"/>
      <c r="MYK2486" s="58"/>
      <c r="MYL2486" s="60"/>
      <c r="MYM2486" s="60"/>
      <c r="MYN2486" s="60"/>
      <c r="MYO2486" s="58"/>
      <c r="MYP2486" s="61"/>
      <c r="MYQ2486" s="58"/>
      <c r="MYR2486" s="58"/>
      <c r="MYS2486" s="58"/>
      <c r="MYT2486" s="60"/>
      <c r="MYU2486" s="60"/>
      <c r="MYV2486" s="60"/>
      <c r="MYW2486" s="58"/>
      <c r="MYX2486" s="61"/>
      <c r="MYY2486" s="58"/>
      <c r="MYZ2486" s="58"/>
      <c r="MZA2486" s="58"/>
      <c r="MZB2486" s="60"/>
      <c r="MZC2486" s="60"/>
      <c r="MZD2486" s="60"/>
      <c r="MZE2486" s="58"/>
      <c r="MZF2486" s="61"/>
      <c r="MZG2486" s="58"/>
      <c r="MZH2486" s="58"/>
      <c r="MZI2486" s="58"/>
      <c r="MZJ2486" s="60"/>
      <c r="MZK2486" s="60"/>
      <c r="MZL2486" s="60"/>
      <c r="MZM2486" s="58"/>
      <c r="MZN2486" s="61"/>
      <c r="MZO2486" s="58"/>
      <c r="MZP2486" s="58"/>
      <c r="MZQ2486" s="58"/>
      <c r="MZR2486" s="60"/>
      <c r="MZS2486" s="60"/>
      <c r="MZT2486" s="60"/>
      <c r="MZU2486" s="58"/>
      <c r="MZV2486" s="61"/>
      <c r="MZW2486" s="58"/>
      <c r="MZX2486" s="58"/>
      <c r="MZY2486" s="58"/>
      <c r="MZZ2486" s="60"/>
      <c r="NAA2486" s="60"/>
      <c r="NAB2486" s="60"/>
      <c r="NAC2486" s="58"/>
      <c r="NAD2486" s="61"/>
      <c r="NAE2486" s="58"/>
      <c r="NAF2486" s="58"/>
      <c r="NAG2486" s="58"/>
      <c r="NAH2486" s="60"/>
      <c r="NAI2486" s="60"/>
      <c r="NAJ2486" s="60"/>
      <c r="NAK2486" s="58"/>
      <c r="NAL2486" s="61"/>
      <c r="NAM2486" s="58"/>
      <c r="NAN2486" s="58"/>
      <c r="NAO2486" s="58"/>
      <c r="NAP2486" s="60"/>
      <c r="NAQ2486" s="60"/>
      <c r="NAR2486" s="60"/>
      <c r="NAS2486" s="58"/>
      <c r="NAT2486" s="61"/>
      <c r="NAU2486" s="58"/>
      <c r="NAV2486" s="58"/>
      <c r="NAW2486" s="58"/>
      <c r="NAX2486" s="60"/>
      <c r="NAY2486" s="60"/>
      <c r="NAZ2486" s="60"/>
      <c r="NBA2486" s="58"/>
      <c r="NBB2486" s="61"/>
      <c r="NBC2486" s="58"/>
      <c r="NBD2486" s="58"/>
      <c r="NBE2486" s="58"/>
      <c r="NBF2486" s="60"/>
      <c r="NBG2486" s="60"/>
      <c r="NBH2486" s="60"/>
      <c r="NBI2486" s="58"/>
      <c r="NBJ2486" s="61"/>
      <c r="NBK2486" s="58"/>
      <c r="NBL2486" s="58"/>
      <c r="NBM2486" s="58"/>
      <c r="NBN2486" s="60"/>
      <c r="NBO2486" s="60"/>
      <c r="NBP2486" s="60"/>
      <c r="NBQ2486" s="58"/>
      <c r="NBR2486" s="61"/>
      <c r="NBS2486" s="58"/>
      <c r="NBT2486" s="58"/>
      <c r="NBU2486" s="58"/>
      <c r="NBV2486" s="60"/>
      <c r="NBW2486" s="60"/>
      <c r="NBX2486" s="60"/>
      <c r="NBY2486" s="58"/>
      <c r="NBZ2486" s="61"/>
      <c r="NCA2486" s="58"/>
      <c r="NCB2486" s="58"/>
      <c r="NCC2486" s="58"/>
      <c r="NCD2486" s="60"/>
      <c r="NCE2486" s="60"/>
      <c r="NCF2486" s="60"/>
      <c r="NCG2486" s="58"/>
      <c r="NCH2486" s="61"/>
      <c r="NCI2486" s="58"/>
      <c r="NCJ2486" s="58"/>
      <c r="NCK2486" s="58"/>
      <c r="NCL2486" s="60"/>
      <c r="NCM2486" s="60"/>
      <c r="NCN2486" s="60"/>
      <c r="NCO2486" s="58"/>
      <c r="NCP2486" s="61"/>
      <c r="NCQ2486" s="58"/>
      <c r="NCR2486" s="58"/>
      <c r="NCS2486" s="58"/>
      <c r="NCT2486" s="60"/>
      <c r="NCU2486" s="60"/>
      <c r="NCV2486" s="60"/>
      <c r="NCW2486" s="58"/>
      <c r="NCX2486" s="61"/>
      <c r="NCY2486" s="58"/>
      <c r="NCZ2486" s="58"/>
      <c r="NDA2486" s="58"/>
      <c r="NDB2486" s="60"/>
      <c r="NDC2486" s="60"/>
      <c r="NDD2486" s="60"/>
      <c r="NDE2486" s="58"/>
      <c r="NDF2486" s="61"/>
      <c r="NDG2486" s="58"/>
      <c r="NDH2486" s="58"/>
      <c r="NDI2486" s="58"/>
      <c r="NDJ2486" s="60"/>
      <c r="NDK2486" s="60"/>
      <c r="NDL2486" s="60"/>
      <c r="NDM2486" s="58"/>
      <c r="NDN2486" s="61"/>
      <c r="NDO2486" s="58"/>
      <c r="NDP2486" s="58"/>
      <c r="NDQ2486" s="58"/>
      <c r="NDR2486" s="60"/>
      <c r="NDS2486" s="60"/>
      <c r="NDT2486" s="60"/>
      <c r="NDU2486" s="58"/>
      <c r="NDV2486" s="61"/>
      <c r="NDW2486" s="58"/>
      <c r="NDX2486" s="58"/>
      <c r="NDY2486" s="58"/>
      <c r="NDZ2486" s="60"/>
      <c r="NEA2486" s="60"/>
      <c r="NEB2486" s="60"/>
      <c r="NEC2486" s="58"/>
      <c r="NED2486" s="61"/>
      <c r="NEE2486" s="58"/>
      <c r="NEF2486" s="58"/>
      <c r="NEG2486" s="58"/>
      <c r="NEH2486" s="60"/>
      <c r="NEI2486" s="60"/>
      <c r="NEJ2486" s="60"/>
      <c r="NEK2486" s="58"/>
      <c r="NEL2486" s="61"/>
      <c r="NEM2486" s="58"/>
      <c r="NEN2486" s="58"/>
      <c r="NEO2486" s="58"/>
      <c r="NEP2486" s="60"/>
      <c r="NEQ2486" s="60"/>
      <c r="NER2486" s="60"/>
      <c r="NES2486" s="58"/>
      <c r="NET2486" s="61"/>
      <c r="NEU2486" s="58"/>
      <c r="NEV2486" s="58"/>
      <c r="NEW2486" s="58"/>
      <c r="NEX2486" s="60"/>
      <c r="NEY2486" s="60"/>
      <c r="NEZ2486" s="60"/>
      <c r="NFA2486" s="58"/>
      <c r="NFB2486" s="61"/>
      <c r="NFC2486" s="58"/>
      <c r="NFD2486" s="58"/>
      <c r="NFE2486" s="58"/>
      <c r="NFF2486" s="60"/>
      <c r="NFG2486" s="60"/>
      <c r="NFH2486" s="60"/>
      <c r="NFI2486" s="58"/>
      <c r="NFJ2486" s="61"/>
      <c r="NFK2486" s="58"/>
      <c r="NFL2486" s="58"/>
      <c r="NFM2486" s="58"/>
      <c r="NFN2486" s="60"/>
      <c r="NFO2486" s="60"/>
      <c r="NFP2486" s="60"/>
      <c r="NFQ2486" s="58"/>
      <c r="NFR2486" s="61"/>
      <c r="NFS2486" s="58"/>
      <c r="NFT2486" s="58"/>
      <c r="NFU2486" s="58"/>
      <c r="NFV2486" s="60"/>
      <c r="NFW2486" s="60"/>
      <c r="NFX2486" s="60"/>
      <c r="NFY2486" s="58"/>
      <c r="NFZ2486" s="61"/>
      <c r="NGA2486" s="58"/>
      <c r="NGB2486" s="58"/>
      <c r="NGC2486" s="58"/>
      <c r="NGD2486" s="60"/>
      <c r="NGE2486" s="60"/>
      <c r="NGF2486" s="60"/>
      <c r="NGG2486" s="58"/>
      <c r="NGH2486" s="61"/>
      <c r="NGI2486" s="58"/>
      <c r="NGJ2486" s="58"/>
      <c r="NGK2486" s="58"/>
      <c r="NGL2486" s="60"/>
      <c r="NGM2486" s="60"/>
      <c r="NGN2486" s="60"/>
      <c r="NGO2486" s="58"/>
      <c r="NGP2486" s="61"/>
      <c r="NGQ2486" s="58"/>
      <c r="NGR2486" s="58"/>
      <c r="NGS2486" s="58"/>
      <c r="NGT2486" s="60"/>
      <c r="NGU2486" s="60"/>
      <c r="NGV2486" s="60"/>
      <c r="NGW2486" s="58"/>
      <c r="NGX2486" s="61"/>
      <c r="NGY2486" s="58"/>
      <c r="NGZ2486" s="58"/>
      <c r="NHA2486" s="58"/>
      <c r="NHB2486" s="60"/>
      <c r="NHC2486" s="60"/>
      <c r="NHD2486" s="60"/>
      <c r="NHE2486" s="58"/>
      <c r="NHF2486" s="61"/>
      <c r="NHG2486" s="58"/>
      <c r="NHH2486" s="58"/>
      <c r="NHI2486" s="58"/>
      <c r="NHJ2486" s="60"/>
      <c r="NHK2486" s="60"/>
      <c r="NHL2486" s="60"/>
      <c r="NHM2486" s="58"/>
      <c r="NHN2486" s="61"/>
      <c r="NHO2486" s="58"/>
      <c r="NHP2486" s="58"/>
      <c r="NHQ2486" s="58"/>
      <c r="NHR2486" s="60"/>
      <c r="NHS2486" s="60"/>
      <c r="NHT2486" s="60"/>
      <c r="NHU2486" s="58"/>
      <c r="NHV2486" s="61"/>
      <c r="NHW2486" s="58"/>
      <c r="NHX2486" s="58"/>
      <c r="NHY2486" s="58"/>
      <c r="NHZ2486" s="60"/>
      <c r="NIA2486" s="60"/>
      <c r="NIB2486" s="60"/>
      <c r="NIC2486" s="58"/>
      <c r="NID2486" s="61"/>
      <c r="NIE2486" s="58"/>
      <c r="NIF2486" s="58"/>
      <c r="NIG2486" s="58"/>
      <c r="NIH2486" s="60"/>
      <c r="NII2486" s="60"/>
      <c r="NIJ2486" s="60"/>
      <c r="NIK2486" s="58"/>
      <c r="NIL2486" s="61"/>
      <c r="NIM2486" s="58"/>
      <c r="NIN2486" s="58"/>
      <c r="NIO2486" s="58"/>
      <c r="NIP2486" s="60"/>
      <c r="NIQ2486" s="60"/>
      <c r="NIR2486" s="60"/>
      <c r="NIS2486" s="58"/>
      <c r="NIT2486" s="61"/>
      <c r="NIU2486" s="58"/>
      <c r="NIV2486" s="58"/>
      <c r="NIW2486" s="58"/>
      <c r="NIX2486" s="60"/>
      <c r="NIY2486" s="60"/>
      <c r="NIZ2486" s="60"/>
      <c r="NJA2486" s="58"/>
      <c r="NJB2486" s="61"/>
      <c r="NJC2486" s="58"/>
      <c r="NJD2486" s="58"/>
      <c r="NJE2486" s="58"/>
      <c r="NJF2486" s="60"/>
      <c r="NJG2486" s="60"/>
      <c r="NJH2486" s="60"/>
      <c r="NJI2486" s="58"/>
      <c r="NJJ2486" s="61"/>
      <c r="NJK2486" s="58"/>
      <c r="NJL2486" s="58"/>
      <c r="NJM2486" s="58"/>
      <c r="NJN2486" s="60"/>
      <c r="NJO2486" s="60"/>
      <c r="NJP2486" s="60"/>
      <c r="NJQ2486" s="58"/>
      <c r="NJR2486" s="61"/>
      <c r="NJS2486" s="58"/>
      <c r="NJT2486" s="58"/>
      <c r="NJU2486" s="58"/>
      <c r="NJV2486" s="60"/>
      <c r="NJW2486" s="60"/>
      <c r="NJX2486" s="60"/>
      <c r="NJY2486" s="58"/>
      <c r="NJZ2486" s="61"/>
      <c r="NKA2486" s="58"/>
      <c r="NKB2486" s="58"/>
      <c r="NKC2486" s="58"/>
      <c r="NKD2486" s="60"/>
      <c r="NKE2486" s="60"/>
      <c r="NKF2486" s="60"/>
      <c r="NKG2486" s="58"/>
      <c r="NKH2486" s="61"/>
      <c r="NKI2486" s="58"/>
      <c r="NKJ2486" s="58"/>
      <c r="NKK2486" s="58"/>
      <c r="NKL2486" s="60"/>
      <c r="NKM2486" s="60"/>
      <c r="NKN2486" s="60"/>
      <c r="NKO2486" s="58"/>
      <c r="NKP2486" s="61"/>
      <c r="NKQ2486" s="58"/>
      <c r="NKR2486" s="58"/>
      <c r="NKS2486" s="58"/>
      <c r="NKT2486" s="60"/>
      <c r="NKU2486" s="60"/>
      <c r="NKV2486" s="60"/>
      <c r="NKW2486" s="58"/>
      <c r="NKX2486" s="61"/>
      <c r="NKY2486" s="58"/>
      <c r="NKZ2486" s="58"/>
      <c r="NLA2486" s="58"/>
      <c r="NLB2486" s="60"/>
      <c r="NLC2486" s="60"/>
      <c r="NLD2486" s="60"/>
      <c r="NLE2486" s="58"/>
      <c r="NLF2486" s="61"/>
      <c r="NLG2486" s="58"/>
      <c r="NLH2486" s="58"/>
      <c r="NLI2486" s="58"/>
      <c r="NLJ2486" s="60"/>
      <c r="NLK2486" s="60"/>
      <c r="NLL2486" s="60"/>
      <c r="NLM2486" s="58"/>
      <c r="NLN2486" s="61"/>
      <c r="NLO2486" s="58"/>
      <c r="NLP2486" s="58"/>
      <c r="NLQ2486" s="58"/>
      <c r="NLR2486" s="60"/>
      <c r="NLS2486" s="60"/>
      <c r="NLT2486" s="60"/>
      <c r="NLU2486" s="58"/>
      <c r="NLV2486" s="61"/>
      <c r="NLW2486" s="58"/>
      <c r="NLX2486" s="58"/>
      <c r="NLY2486" s="58"/>
      <c r="NLZ2486" s="60"/>
      <c r="NMA2486" s="60"/>
      <c r="NMB2486" s="60"/>
      <c r="NMC2486" s="58"/>
      <c r="NMD2486" s="61"/>
      <c r="NME2486" s="58"/>
      <c r="NMF2486" s="58"/>
      <c r="NMG2486" s="58"/>
      <c r="NMH2486" s="60"/>
      <c r="NMI2486" s="60"/>
      <c r="NMJ2486" s="60"/>
      <c r="NMK2486" s="58"/>
      <c r="NML2486" s="61"/>
      <c r="NMM2486" s="58"/>
      <c r="NMN2486" s="58"/>
      <c r="NMO2486" s="58"/>
      <c r="NMP2486" s="60"/>
      <c r="NMQ2486" s="60"/>
      <c r="NMR2486" s="60"/>
      <c r="NMS2486" s="58"/>
      <c r="NMT2486" s="61"/>
      <c r="NMU2486" s="58"/>
      <c r="NMV2486" s="58"/>
      <c r="NMW2486" s="58"/>
      <c r="NMX2486" s="60"/>
      <c r="NMY2486" s="60"/>
      <c r="NMZ2486" s="60"/>
      <c r="NNA2486" s="58"/>
      <c r="NNB2486" s="61"/>
      <c r="NNC2486" s="58"/>
      <c r="NND2486" s="58"/>
      <c r="NNE2486" s="58"/>
      <c r="NNF2486" s="60"/>
      <c r="NNG2486" s="60"/>
      <c r="NNH2486" s="60"/>
      <c r="NNI2486" s="58"/>
      <c r="NNJ2486" s="61"/>
      <c r="NNK2486" s="58"/>
      <c r="NNL2486" s="58"/>
      <c r="NNM2486" s="58"/>
      <c r="NNN2486" s="60"/>
      <c r="NNO2486" s="60"/>
      <c r="NNP2486" s="60"/>
      <c r="NNQ2486" s="58"/>
      <c r="NNR2486" s="61"/>
      <c r="NNS2486" s="58"/>
      <c r="NNT2486" s="58"/>
      <c r="NNU2486" s="58"/>
      <c r="NNV2486" s="60"/>
      <c r="NNW2486" s="60"/>
      <c r="NNX2486" s="60"/>
      <c r="NNY2486" s="58"/>
      <c r="NNZ2486" s="61"/>
      <c r="NOA2486" s="58"/>
      <c r="NOB2486" s="58"/>
      <c r="NOC2486" s="58"/>
      <c r="NOD2486" s="60"/>
      <c r="NOE2486" s="60"/>
      <c r="NOF2486" s="60"/>
      <c r="NOG2486" s="58"/>
      <c r="NOH2486" s="61"/>
      <c r="NOI2486" s="58"/>
      <c r="NOJ2486" s="58"/>
      <c r="NOK2486" s="58"/>
      <c r="NOL2486" s="60"/>
      <c r="NOM2486" s="60"/>
      <c r="NON2486" s="60"/>
      <c r="NOO2486" s="58"/>
      <c r="NOP2486" s="61"/>
      <c r="NOQ2486" s="58"/>
      <c r="NOR2486" s="58"/>
      <c r="NOS2486" s="58"/>
      <c r="NOT2486" s="60"/>
      <c r="NOU2486" s="60"/>
      <c r="NOV2486" s="60"/>
      <c r="NOW2486" s="58"/>
      <c r="NOX2486" s="61"/>
      <c r="NOY2486" s="58"/>
      <c r="NOZ2486" s="58"/>
      <c r="NPA2486" s="58"/>
      <c r="NPB2486" s="60"/>
      <c r="NPC2486" s="60"/>
      <c r="NPD2486" s="60"/>
      <c r="NPE2486" s="58"/>
      <c r="NPF2486" s="61"/>
      <c r="NPG2486" s="58"/>
      <c r="NPH2486" s="58"/>
      <c r="NPI2486" s="58"/>
      <c r="NPJ2486" s="60"/>
      <c r="NPK2486" s="60"/>
      <c r="NPL2486" s="60"/>
      <c r="NPM2486" s="58"/>
      <c r="NPN2486" s="61"/>
      <c r="NPO2486" s="58"/>
      <c r="NPP2486" s="58"/>
      <c r="NPQ2486" s="58"/>
      <c r="NPR2486" s="60"/>
      <c r="NPS2486" s="60"/>
      <c r="NPT2486" s="60"/>
      <c r="NPU2486" s="58"/>
      <c r="NPV2486" s="61"/>
      <c r="NPW2486" s="58"/>
      <c r="NPX2486" s="58"/>
      <c r="NPY2486" s="58"/>
      <c r="NPZ2486" s="60"/>
      <c r="NQA2486" s="60"/>
      <c r="NQB2486" s="60"/>
      <c r="NQC2486" s="58"/>
      <c r="NQD2486" s="61"/>
      <c r="NQE2486" s="58"/>
      <c r="NQF2486" s="58"/>
      <c r="NQG2486" s="58"/>
      <c r="NQH2486" s="60"/>
      <c r="NQI2486" s="60"/>
      <c r="NQJ2486" s="60"/>
      <c r="NQK2486" s="58"/>
      <c r="NQL2486" s="61"/>
      <c r="NQM2486" s="58"/>
      <c r="NQN2486" s="58"/>
      <c r="NQO2486" s="58"/>
      <c r="NQP2486" s="60"/>
      <c r="NQQ2486" s="60"/>
      <c r="NQR2486" s="60"/>
      <c r="NQS2486" s="58"/>
      <c r="NQT2486" s="61"/>
      <c r="NQU2486" s="58"/>
      <c r="NQV2486" s="58"/>
      <c r="NQW2486" s="58"/>
      <c r="NQX2486" s="60"/>
      <c r="NQY2486" s="60"/>
      <c r="NQZ2486" s="60"/>
      <c r="NRA2486" s="58"/>
      <c r="NRB2486" s="61"/>
      <c r="NRC2486" s="58"/>
      <c r="NRD2486" s="58"/>
      <c r="NRE2486" s="58"/>
      <c r="NRF2486" s="60"/>
      <c r="NRG2486" s="60"/>
      <c r="NRH2486" s="60"/>
      <c r="NRI2486" s="58"/>
      <c r="NRJ2486" s="61"/>
      <c r="NRK2486" s="58"/>
      <c r="NRL2486" s="58"/>
      <c r="NRM2486" s="58"/>
      <c r="NRN2486" s="60"/>
      <c r="NRO2486" s="60"/>
      <c r="NRP2486" s="60"/>
      <c r="NRQ2486" s="58"/>
      <c r="NRR2486" s="61"/>
      <c r="NRS2486" s="58"/>
      <c r="NRT2486" s="58"/>
      <c r="NRU2486" s="58"/>
      <c r="NRV2486" s="60"/>
      <c r="NRW2486" s="60"/>
      <c r="NRX2486" s="60"/>
      <c r="NRY2486" s="58"/>
      <c r="NRZ2486" s="61"/>
      <c r="NSA2486" s="58"/>
      <c r="NSB2486" s="58"/>
      <c r="NSC2486" s="58"/>
      <c r="NSD2486" s="60"/>
      <c r="NSE2486" s="60"/>
      <c r="NSF2486" s="60"/>
      <c r="NSG2486" s="58"/>
      <c r="NSH2486" s="61"/>
      <c r="NSI2486" s="58"/>
      <c r="NSJ2486" s="58"/>
      <c r="NSK2486" s="58"/>
      <c r="NSL2486" s="60"/>
      <c r="NSM2486" s="60"/>
      <c r="NSN2486" s="60"/>
      <c r="NSO2486" s="58"/>
      <c r="NSP2486" s="61"/>
      <c r="NSQ2486" s="58"/>
      <c r="NSR2486" s="58"/>
      <c r="NSS2486" s="58"/>
      <c r="NST2486" s="60"/>
      <c r="NSU2486" s="60"/>
      <c r="NSV2486" s="60"/>
      <c r="NSW2486" s="58"/>
      <c r="NSX2486" s="61"/>
      <c r="NSY2486" s="58"/>
      <c r="NSZ2486" s="58"/>
      <c r="NTA2486" s="58"/>
      <c r="NTB2486" s="60"/>
      <c r="NTC2486" s="60"/>
      <c r="NTD2486" s="60"/>
      <c r="NTE2486" s="58"/>
      <c r="NTF2486" s="61"/>
      <c r="NTG2486" s="58"/>
      <c r="NTH2486" s="58"/>
      <c r="NTI2486" s="58"/>
      <c r="NTJ2486" s="60"/>
      <c r="NTK2486" s="60"/>
      <c r="NTL2486" s="60"/>
      <c r="NTM2486" s="58"/>
      <c r="NTN2486" s="61"/>
      <c r="NTO2486" s="58"/>
      <c r="NTP2486" s="58"/>
      <c r="NTQ2486" s="58"/>
      <c r="NTR2486" s="60"/>
      <c r="NTS2486" s="60"/>
      <c r="NTT2486" s="60"/>
      <c r="NTU2486" s="58"/>
      <c r="NTV2486" s="61"/>
      <c r="NTW2486" s="58"/>
      <c r="NTX2486" s="58"/>
      <c r="NTY2486" s="58"/>
      <c r="NTZ2486" s="60"/>
      <c r="NUA2486" s="60"/>
      <c r="NUB2486" s="60"/>
      <c r="NUC2486" s="58"/>
      <c r="NUD2486" s="61"/>
      <c r="NUE2486" s="58"/>
      <c r="NUF2486" s="58"/>
      <c r="NUG2486" s="58"/>
      <c r="NUH2486" s="60"/>
      <c r="NUI2486" s="60"/>
      <c r="NUJ2486" s="60"/>
      <c r="NUK2486" s="58"/>
      <c r="NUL2486" s="61"/>
      <c r="NUM2486" s="58"/>
      <c r="NUN2486" s="58"/>
      <c r="NUO2486" s="58"/>
      <c r="NUP2486" s="60"/>
      <c r="NUQ2486" s="60"/>
      <c r="NUR2486" s="60"/>
      <c r="NUS2486" s="58"/>
      <c r="NUT2486" s="61"/>
      <c r="NUU2486" s="58"/>
      <c r="NUV2486" s="58"/>
      <c r="NUW2486" s="58"/>
      <c r="NUX2486" s="60"/>
      <c r="NUY2486" s="60"/>
      <c r="NUZ2486" s="60"/>
      <c r="NVA2486" s="58"/>
      <c r="NVB2486" s="61"/>
      <c r="NVC2486" s="58"/>
      <c r="NVD2486" s="58"/>
      <c r="NVE2486" s="58"/>
      <c r="NVF2486" s="60"/>
      <c r="NVG2486" s="60"/>
      <c r="NVH2486" s="60"/>
      <c r="NVI2486" s="58"/>
      <c r="NVJ2486" s="61"/>
      <c r="NVK2486" s="58"/>
      <c r="NVL2486" s="58"/>
      <c r="NVM2486" s="58"/>
      <c r="NVN2486" s="60"/>
      <c r="NVO2486" s="60"/>
      <c r="NVP2486" s="60"/>
      <c r="NVQ2486" s="58"/>
      <c r="NVR2486" s="61"/>
      <c r="NVS2486" s="58"/>
      <c r="NVT2486" s="58"/>
      <c r="NVU2486" s="58"/>
      <c r="NVV2486" s="60"/>
      <c r="NVW2486" s="60"/>
      <c r="NVX2486" s="60"/>
      <c r="NVY2486" s="58"/>
      <c r="NVZ2486" s="61"/>
      <c r="NWA2486" s="58"/>
      <c r="NWB2486" s="58"/>
      <c r="NWC2486" s="58"/>
      <c r="NWD2486" s="60"/>
      <c r="NWE2486" s="60"/>
      <c r="NWF2486" s="60"/>
      <c r="NWG2486" s="58"/>
      <c r="NWH2486" s="61"/>
      <c r="NWI2486" s="58"/>
      <c r="NWJ2486" s="58"/>
      <c r="NWK2486" s="58"/>
      <c r="NWL2486" s="60"/>
      <c r="NWM2486" s="60"/>
      <c r="NWN2486" s="60"/>
      <c r="NWO2486" s="58"/>
      <c r="NWP2486" s="61"/>
      <c r="NWQ2486" s="58"/>
      <c r="NWR2486" s="58"/>
      <c r="NWS2486" s="58"/>
      <c r="NWT2486" s="60"/>
      <c r="NWU2486" s="60"/>
      <c r="NWV2486" s="60"/>
      <c r="NWW2486" s="58"/>
      <c r="NWX2486" s="61"/>
      <c r="NWY2486" s="58"/>
      <c r="NWZ2486" s="58"/>
      <c r="NXA2486" s="58"/>
      <c r="NXB2486" s="60"/>
      <c r="NXC2486" s="60"/>
      <c r="NXD2486" s="60"/>
      <c r="NXE2486" s="58"/>
      <c r="NXF2486" s="61"/>
      <c r="NXG2486" s="58"/>
      <c r="NXH2486" s="58"/>
      <c r="NXI2486" s="58"/>
      <c r="NXJ2486" s="60"/>
      <c r="NXK2486" s="60"/>
      <c r="NXL2486" s="60"/>
      <c r="NXM2486" s="58"/>
      <c r="NXN2486" s="61"/>
      <c r="NXO2486" s="58"/>
      <c r="NXP2486" s="58"/>
      <c r="NXQ2486" s="58"/>
      <c r="NXR2486" s="60"/>
      <c r="NXS2486" s="60"/>
      <c r="NXT2486" s="60"/>
      <c r="NXU2486" s="58"/>
      <c r="NXV2486" s="61"/>
      <c r="NXW2486" s="58"/>
      <c r="NXX2486" s="58"/>
      <c r="NXY2486" s="58"/>
      <c r="NXZ2486" s="60"/>
      <c r="NYA2486" s="60"/>
      <c r="NYB2486" s="60"/>
      <c r="NYC2486" s="58"/>
      <c r="NYD2486" s="61"/>
      <c r="NYE2486" s="58"/>
      <c r="NYF2486" s="58"/>
      <c r="NYG2486" s="58"/>
      <c r="NYH2486" s="60"/>
      <c r="NYI2486" s="60"/>
      <c r="NYJ2486" s="60"/>
      <c r="NYK2486" s="58"/>
      <c r="NYL2486" s="61"/>
      <c r="NYM2486" s="58"/>
      <c r="NYN2486" s="58"/>
      <c r="NYO2486" s="58"/>
      <c r="NYP2486" s="60"/>
      <c r="NYQ2486" s="60"/>
      <c r="NYR2486" s="60"/>
      <c r="NYS2486" s="58"/>
      <c r="NYT2486" s="61"/>
      <c r="NYU2486" s="58"/>
      <c r="NYV2486" s="58"/>
      <c r="NYW2486" s="58"/>
      <c r="NYX2486" s="60"/>
      <c r="NYY2486" s="60"/>
      <c r="NYZ2486" s="60"/>
      <c r="NZA2486" s="58"/>
      <c r="NZB2486" s="61"/>
      <c r="NZC2486" s="58"/>
      <c r="NZD2486" s="58"/>
      <c r="NZE2486" s="58"/>
      <c r="NZF2486" s="60"/>
      <c r="NZG2486" s="60"/>
      <c r="NZH2486" s="60"/>
      <c r="NZI2486" s="58"/>
      <c r="NZJ2486" s="61"/>
      <c r="NZK2486" s="58"/>
      <c r="NZL2486" s="58"/>
      <c r="NZM2486" s="58"/>
      <c r="NZN2486" s="60"/>
      <c r="NZO2486" s="60"/>
      <c r="NZP2486" s="60"/>
      <c r="NZQ2486" s="58"/>
      <c r="NZR2486" s="61"/>
      <c r="NZS2486" s="58"/>
      <c r="NZT2486" s="58"/>
      <c r="NZU2486" s="58"/>
      <c r="NZV2486" s="60"/>
      <c r="NZW2486" s="60"/>
      <c r="NZX2486" s="60"/>
      <c r="NZY2486" s="58"/>
      <c r="NZZ2486" s="61"/>
      <c r="OAA2486" s="58"/>
      <c r="OAB2486" s="58"/>
      <c r="OAC2486" s="58"/>
      <c r="OAD2486" s="60"/>
      <c r="OAE2486" s="60"/>
      <c r="OAF2486" s="60"/>
      <c r="OAG2486" s="58"/>
      <c r="OAH2486" s="61"/>
      <c r="OAI2486" s="58"/>
      <c r="OAJ2486" s="58"/>
      <c r="OAK2486" s="58"/>
      <c r="OAL2486" s="60"/>
      <c r="OAM2486" s="60"/>
      <c r="OAN2486" s="60"/>
      <c r="OAO2486" s="58"/>
      <c r="OAP2486" s="61"/>
      <c r="OAQ2486" s="58"/>
      <c r="OAR2486" s="58"/>
      <c r="OAS2486" s="58"/>
      <c r="OAT2486" s="60"/>
      <c r="OAU2486" s="60"/>
      <c r="OAV2486" s="60"/>
      <c r="OAW2486" s="58"/>
      <c r="OAX2486" s="61"/>
      <c r="OAY2486" s="58"/>
      <c r="OAZ2486" s="58"/>
      <c r="OBA2486" s="58"/>
      <c r="OBB2486" s="60"/>
      <c r="OBC2486" s="60"/>
      <c r="OBD2486" s="60"/>
      <c r="OBE2486" s="58"/>
      <c r="OBF2486" s="61"/>
      <c r="OBG2486" s="58"/>
      <c r="OBH2486" s="58"/>
      <c r="OBI2486" s="58"/>
      <c r="OBJ2486" s="60"/>
      <c r="OBK2486" s="60"/>
      <c r="OBL2486" s="60"/>
      <c r="OBM2486" s="58"/>
      <c r="OBN2486" s="61"/>
      <c r="OBO2486" s="58"/>
      <c r="OBP2486" s="58"/>
      <c r="OBQ2486" s="58"/>
      <c r="OBR2486" s="60"/>
      <c r="OBS2486" s="60"/>
      <c r="OBT2486" s="60"/>
      <c r="OBU2486" s="58"/>
      <c r="OBV2486" s="61"/>
      <c r="OBW2486" s="58"/>
      <c r="OBX2486" s="58"/>
      <c r="OBY2486" s="58"/>
      <c r="OBZ2486" s="60"/>
      <c r="OCA2486" s="60"/>
      <c r="OCB2486" s="60"/>
      <c r="OCC2486" s="58"/>
      <c r="OCD2486" s="61"/>
      <c r="OCE2486" s="58"/>
      <c r="OCF2486" s="58"/>
      <c r="OCG2486" s="58"/>
      <c r="OCH2486" s="60"/>
      <c r="OCI2486" s="60"/>
      <c r="OCJ2486" s="60"/>
      <c r="OCK2486" s="58"/>
      <c r="OCL2486" s="61"/>
      <c r="OCM2486" s="58"/>
      <c r="OCN2486" s="58"/>
      <c r="OCO2486" s="58"/>
      <c r="OCP2486" s="60"/>
      <c r="OCQ2486" s="60"/>
      <c r="OCR2486" s="60"/>
      <c r="OCS2486" s="58"/>
      <c r="OCT2486" s="61"/>
      <c r="OCU2486" s="58"/>
      <c r="OCV2486" s="58"/>
      <c r="OCW2486" s="58"/>
      <c r="OCX2486" s="60"/>
      <c r="OCY2486" s="60"/>
      <c r="OCZ2486" s="60"/>
      <c r="ODA2486" s="58"/>
      <c r="ODB2486" s="61"/>
      <c r="ODC2486" s="58"/>
      <c r="ODD2486" s="58"/>
      <c r="ODE2486" s="58"/>
      <c r="ODF2486" s="60"/>
      <c r="ODG2486" s="60"/>
      <c r="ODH2486" s="60"/>
      <c r="ODI2486" s="58"/>
      <c r="ODJ2486" s="61"/>
      <c r="ODK2486" s="58"/>
      <c r="ODL2486" s="58"/>
      <c r="ODM2486" s="58"/>
      <c r="ODN2486" s="60"/>
      <c r="ODO2486" s="60"/>
      <c r="ODP2486" s="60"/>
      <c r="ODQ2486" s="58"/>
      <c r="ODR2486" s="61"/>
      <c r="ODS2486" s="58"/>
      <c r="ODT2486" s="58"/>
      <c r="ODU2486" s="58"/>
      <c r="ODV2486" s="60"/>
      <c r="ODW2486" s="60"/>
      <c r="ODX2486" s="60"/>
      <c r="ODY2486" s="58"/>
      <c r="ODZ2486" s="61"/>
      <c r="OEA2486" s="58"/>
      <c r="OEB2486" s="58"/>
      <c r="OEC2486" s="58"/>
      <c r="OED2486" s="60"/>
      <c r="OEE2486" s="60"/>
      <c r="OEF2486" s="60"/>
      <c r="OEG2486" s="58"/>
      <c r="OEH2486" s="61"/>
      <c r="OEI2486" s="58"/>
      <c r="OEJ2486" s="58"/>
      <c r="OEK2486" s="58"/>
      <c r="OEL2486" s="60"/>
      <c r="OEM2486" s="60"/>
      <c r="OEN2486" s="60"/>
      <c r="OEO2486" s="58"/>
      <c r="OEP2486" s="61"/>
      <c r="OEQ2486" s="58"/>
      <c r="OER2486" s="58"/>
      <c r="OES2486" s="58"/>
      <c r="OET2486" s="60"/>
      <c r="OEU2486" s="60"/>
      <c r="OEV2486" s="60"/>
      <c r="OEW2486" s="58"/>
      <c r="OEX2486" s="61"/>
      <c r="OEY2486" s="58"/>
      <c r="OEZ2486" s="58"/>
      <c r="OFA2486" s="58"/>
      <c r="OFB2486" s="60"/>
      <c r="OFC2486" s="60"/>
      <c r="OFD2486" s="60"/>
      <c r="OFE2486" s="58"/>
      <c r="OFF2486" s="61"/>
      <c r="OFG2486" s="58"/>
      <c r="OFH2486" s="58"/>
      <c r="OFI2486" s="58"/>
      <c r="OFJ2486" s="60"/>
      <c r="OFK2486" s="60"/>
      <c r="OFL2486" s="60"/>
      <c r="OFM2486" s="58"/>
      <c r="OFN2486" s="61"/>
      <c r="OFO2486" s="58"/>
      <c r="OFP2486" s="58"/>
      <c r="OFQ2486" s="58"/>
      <c r="OFR2486" s="60"/>
      <c r="OFS2486" s="60"/>
      <c r="OFT2486" s="60"/>
      <c r="OFU2486" s="58"/>
      <c r="OFV2486" s="61"/>
      <c r="OFW2486" s="58"/>
      <c r="OFX2486" s="58"/>
      <c r="OFY2486" s="58"/>
      <c r="OFZ2486" s="60"/>
      <c r="OGA2486" s="60"/>
      <c r="OGB2486" s="60"/>
      <c r="OGC2486" s="58"/>
      <c r="OGD2486" s="61"/>
      <c r="OGE2486" s="58"/>
      <c r="OGF2486" s="58"/>
      <c r="OGG2486" s="58"/>
      <c r="OGH2486" s="60"/>
      <c r="OGI2486" s="60"/>
      <c r="OGJ2486" s="60"/>
      <c r="OGK2486" s="58"/>
      <c r="OGL2486" s="61"/>
      <c r="OGM2486" s="58"/>
      <c r="OGN2486" s="58"/>
      <c r="OGO2486" s="58"/>
      <c r="OGP2486" s="60"/>
      <c r="OGQ2486" s="60"/>
      <c r="OGR2486" s="60"/>
      <c r="OGS2486" s="58"/>
      <c r="OGT2486" s="61"/>
      <c r="OGU2486" s="58"/>
      <c r="OGV2486" s="58"/>
      <c r="OGW2486" s="58"/>
      <c r="OGX2486" s="60"/>
      <c r="OGY2486" s="60"/>
      <c r="OGZ2486" s="60"/>
      <c r="OHA2486" s="58"/>
      <c r="OHB2486" s="61"/>
      <c r="OHC2486" s="58"/>
      <c r="OHD2486" s="58"/>
      <c r="OHE2486" s="58"/>
      <c r="OHF2486" s="60"/>
      <c r="OHG2486" s="60"/>
      <c r="OHH2486" s="60"/>
      <c r="OHI2486" s="58"/>
      <c r="OHJ2486" s="61"/>
      <c r="OHK2486" s="58"/>
      <c r="OHL2486" s="58"/>
      <c r="OHM2486" s="58"/>
      <c r="OHN2486" s="60"/>
      <c r="OHO2486" s="60"/>
      <c r="OHP2486" s="60"/>
      <c r="OHQ2486" s="58"/>
      <c r="OHR2486" s="61"/>
      <c r="OHS2486" s="58"/>
      <c r="OHT2486" s="58"/>
      <c r="OHU2486" s="58"/>
      <c r="OHV2486" s="60"/>
      <c r="OHW2486" s="60"/>
      <c r="OHX2486" s="60"/>
      <c r="OHY2486" s="58"/>
      <c r="OHZ2486" s="61"/>
      <c r="OIA2486" s="58"/>
      <c r="OIB2486" s="58"/>
      <c r="OIC2486" s="58"/>
      <c r="OID2486" s="60"/>
      <c r="OIE2486" s="60"/>
      <c r="OIF2486" s="60"/>
      <c r="OIG2486" s="58"/>
      <c r="OIH2486" s="61"/>
      <c r="OII2486" s="58"/>
      <c r="OIJ2486" s="58"/>
      <c r="OIK2486" s="58"/>
      <c r="OIL2486" s="60"/>
      <c r="OIM2486" s="60"/>
      <c r="OIN2486" s="60"/>
      <c r="OIO2486" s="58"/>
      <c r="OIP2486" s="61"/>
      <c r="OIQ2486" s="58"/>
      <c r="OIR2486" s="58"/>
      <c r="OIS2486" s="58"/>
      <c r="OIT2486" s="60"/>
      <c r="OIU2486" s="60"/>
      <c r="OIV2486" s="60"/>
      <c r="OIW2486" s="58"/>
      <c r="OIX2486" s="61"/>
      <c r="OIY2486" s="58"/>
      <c r="OIZ2486" s="58"/>
      <c r="OJA2486" s="58"/>
      <c r="OJB2486" s="60"/>
      <c r="OJC2486" s="60"/>
      <c r="OJD2486" s="60"/>
      <c r="OJE2486" s="58"/>
      <c r="OJF2486" s="61"/>
      <c r="OJG2486" s="58"/>
      <c r="OJH2486" s="58"/>
      <c r="OJI2486" s="58"/>
      <c r="OJJ2486" s="60"/>
      <c r="OJK2486" s="60"/>
      <c r="OJL2486" s="60"/>
      <c r="OJM2486" s="58"/>
      <c r="OJN2486" s="61"/>
      <c r="OJO2486" s="58"/>
      <c r="OJP2486" s="58"/>
      <c r="OJQ2486" s="58"/>
      <c r="OJR2486" s="60"/>
      <c r="OJS2486" s="60"/>
      <c r="OJT2486" s="60"/>
      <c r="OJU2486" s="58"/>
      <c r="OJV2486" s="61"/>
      <c r="OJW2486" s="58"/>
      <c r="OJX2486" s="58"/>
      <c r="OJY2486" s="58"/>
      <c r="OJZ2486" s="60"/>
      <c r="OKA2486" s="60"/>
      <c r="OKB2486" s="60"/>
      <c r="OKC2486" s="58"/>
      <c r="OKD2486" s="61"/>
      <c r="OKE2486" s="58"/>
      <c r="OKF2486" s="58"/>
      <c r="OKG2486" s="58"/>
      <c r="OKH2486" s="60"/>
      <c r="OKI2486" s="60"/>
      <c r="OKJ2486" s="60"/>
      <c r="OKK2486" s="58"/>
      <c r="OKL2486" s="61"/>
      <c r="OKM2486" s="58"/>
      <c r="OKN2486" s="58"/>
      <c r="OKO2486" s="58"/>
      <c r="OKP2486" s="60"/>
      <c r="OKQ2486" s="60"/>
      <c r="OKR2486" s="60"/>
      <c r="OKS2486" s="58"/>
      <c r="OKT2486" s="61"/>
      <c r="OKU2486" s="58"/>
      <c r="OKV2486" s="58"/>
      <c r="OKW2486" s="58"/>
      <c r="OKX2486" s="60"/>
      <c r="OKY2486" s="60"/>
      <c r="OKZ2486" s="60"/>
      <c r="OLA2486" s="58"/>
      <c r="OLB2486" s="61"/>
      <c r="OLC2486" s="58"/>
      <c r="OLD2486" s="58"/>
      <c r="OLE2486" s="58"/>
      <c r="OLF2486" s="60"/>
      <c r="OLG2486" s="60"/>
      <c r="OLH2486" s="60"/>
      <c r="OLI2486" s="58"/>
      <c r="OLJ2486" s="61"/>
      <c r="OLK2486" s="58"/>
      <c r="OLL2486" s="58"/>
      <c r="OLM2486" s="58"/>
      <c r="OLN2486" s="60"/>
      <c r="OLO2486" s="60"/>
      <c r="OLP2486" s="60"/>
      <c r="OLQ2486" s="58"/>
      <c r="OLR2486" s="61"/>
      <c r="OLS2486" s="58"/>
      <c r="OLT2486" s="58"/>
      <c r="OLU2486" s="58"/>
      <c r="OLV2486" s="60"/>
      <c r="OLW2486" s="60"/>
      <c r="OLX2486" s="60"/>
      <c r="OLY2486" s="58"/>
      <c r="OLZ2486" s="61"/>
      <c r="OMA2486" s="58"/>
      <c r="OMB2486" s="58"/>
      <c r="OMC2486" s="58"/>
      <c r="OMD2486" s="60"/>
      <c r="OME2486" s="60"/>
      <c r="OMF2486" s="60"/>
      <c r="OMG2486" s="58"/>
      <c r="OMH2486" s="61"/>
      <c r="OMI2486" s="58"/>
      <c r="OMJ2486" s="58"/>
      <c r="OMK2486" s="58"/>
      <c r="OML2486" s="60"/>
      <c r="OMM2486" s="60"/>
      <c r="OMN2486" s="60"/>
      <c r="OMO2486" s="58"/>
      <c r="OMP2486" s="61"/>
      <c r="OMQ2486" s="58"/>
      <c r="OMR2486" s="58"/>
      <c r="OMS2486" s="58"/>
      <c r="OMT2486" s="60"/>
      <c r="OMU2486" s="60"/>
      <c r="OMV2486" s="60"/>
      <c r="OMW2486" s="58"/>
      <c r="OMX2486" s="61"/>
      <c r="OMY2486" s="58"/>
      <c r="OMZ2486" s="58"/>
      <c r="ONA2486" s="58"/>
      <c r="ONB2486" s="60"/>
      <c r="ONC2486" s="60"/>
      <c r="OND2486" s="60"/>
      <c r="ONE2486" s="58"/>
      <c r="ONF2486" s="61"/>
      <c r="ONG2486" s="58"/>
      <c r="ONH2486" s="58"/>
      <c r="ONI2486" s="58"/>
      <c r="ONJ2486" s="60"/>
      <c r="ONK2486" s="60"/>
      <c r="ONL2486" s="60"/>
      <c r="ONM2486" s="58"/>
      <c r="ONN2486" s="61"/>
      <c r="ONO2486" s="58"/>
      <c r="ONP2486" s="58"/>
      <c r="ONQ2486" s="58"/>
      <c r="ONR2486" s="60"/>
      <c r="ONS2486" s="60"/>
      <c r="ONT2486" s="60"/>
      <c r="ONU2486" s="58"/>
      <c r="ONV2486" s="61"/>
      <c r="ONW2486" s="58"/>
      <c r="ONX2486" s="58"/>
      <c r="ONY2486" s="58"/>
      <c r="ONZ2486" s="60"/>
      <c r="OOA2486" s="60"/>
      <c r="OOB2486" s="60"/>
      <c r="OOC2486" s="58"/>
      <c r="OOD2486" s="61"/>
      <c r="OOE2486" s="58"/>
      <c r="OOF2486" s="58"/>
      <c r="OOG2486" s="58"/>
      <c r="OOH2486" s="60"/>
      <c r="OOI2486" s="60"/>
      <c r="OOJ2486" s="60"/>
      <c r="OOK2486" s="58"/>
      <c r="OOL2486" s="61"/>
      <c r="OOM2486" s="58"/>
      <c r="OON2486" s="58"/>
      <c r="OOO2486" s="58"/>
      <c r="OOP2486" s="60"/>
      <c r="OOQ2486" s="60"/>
      <c r="OOR2486" s="60"/>
      <c r="OOS2486" s="58"/>
      <c r="OOT2486" s="61"/>
      <c r="OOU2486" s="58"/>
      <c r="OOV2486" s="58"/>
      <c r="OOW2486" s="58"/>
      <c r="OOX2486" s="60"/>
      <c r="OOY2486" s="60"/>
      <c r="OOZ2486" s="60"/>
      <c r="OPA2486" s="58"/>
      <c r="OPB2486" s="61"/>
      <c r="OPC2486" s="58"/>
      <c r="OPD2486" s="58"/>
      <c r="OPE2486" s="58"/>
      <c r="OPF2486" s="60"/>
      <c r="OPG2486" s="60"/>
      <c r="OPH2486" s="60"/>
      <c r="OPI2486" s="58"/>
      <c r="OPJ2486" s="61"/>
      <c r="OPK2486" s="58"/>
      <c r="OPL2486" s="58"/>
      <c r="OPM2486" s="58"/>
      <c r="OPN2486" s="60"/>
      <c r="OPO2486" s="60"/>
      <c r="OPP2486" s="60"/>
      <c r="OPQ2486" s="58"/>
      <c r="OPR2486" s="61"/>
      <c r="OPS2486" s="58"/>
      <c r="OPT2486" s="58"/>
      <c r="OPU2486" s="58"/>
      <c r="OPV2486" s="60"/>
      <c r="OPW2486" s="60"/>
      <c r="OPX2486" s="60"/>
      <c r="OPY2486" s="58"/>
      <c r="OPZ2486" s="61"/>
      <c r="OQA2486" s="58"/>
      <c r="OQB2486" s="58"/>
      <c r="OQC2486" s="58"/>
      <c r="OQD2486" s="60"/>
      <c r="OQE2486" s="60"/>
      <c r="OQF2486" s="60"/>
      <c r="OQG2486" s="58"/>
      <c r="OQH2486" s="61"/>
      <c r="OQI2486" s="58"/>
      <c r="OQJ2486" s="58"/>
      <c r="OQK2486" s="58"/>
      <c r="OQL2486" s="60"/>
      <c r="OQM2486" s="60"/>
      <c r="OQN2486" s="60"/>
      <c r="OQO2486" s="58"/>
      <c r="OQP2486" s="61"/>
      <c r="OQQ2486" s="58"/>
      <c r="OQR2486" s="58"/>
      <c r="OQS2486" s="58"/>
      <c r="OQT2486" s="60"/>
      <c r="OQU2486" s="60"/>
      <c r="OQV2486" s="60"/>
      <c r="OQW2486" s="58"/>
      <c r="OQX2486" s="61"/>
      <c r="OQY2486" s="58"/>
      <c r="OQZ2486" s="58"/>
      <c r="ORA2486" s="58"/>
      <c r="ORB2486" s="60"/>
      <c r="ORC2486" s="60"/>
      <c r="ORD2486" s="60"/>
      <c r="ORE2486" s="58"/>
      <c r="ORF2486" s="61"/>
      <c r="ORG2486" s="58"/>
      <c r="ORH2486" s="58"/>
      <c r="ORI2486" s="58"/>
      <c r="ORJ2486" s="60"/>
      <c r="ORK2486" s="60"/>
      <c r="ORL2486" s="60"/>
      <c r="ORM2486" s="58"/>
      <c r="ORN2486" s="61"/>
      <c r="ORO2486" s="58"/>
      <c r="ORP2486" s="58"/>
      <c r="ORQ2486" s="58"/>
      <c r="ORR2486" s="60"/>
      <c r="ORS2486" s="60"/>
      <c r="ORT2486" s="60"/>
      <c r="ORU2486" s="58"/>
      <c r="ORV2486" s="61"/>
      <c r="ORW2486" s="58"/>
      <c r="ORX2486" s="58"/>
      <c r="ORY2486" s="58"/>
      <c r="ORZ2486" s="60"/>
      <c r="OSA2486" s="60"/>
      <c r="OSB2486" s="60"/>
      <c r="OSC2486" s="58"/>
      <c r="OSD2486" s="61"/>
      <c r="OSE2486" s="58"/>
      <c r="OSF2486" s="58"/>
      <c r="OSG2486" s="58"/>
      <c r="OSH2486" s="60"/>
      <c r="OSI2486" s="60"/>
      <c r="OSJ2486" s="60"/>
      <c r="OSK2486" s="58"/>
      <c r="OSL2486" s="61"/>
      <c r="OSM2486" s="58"/>
      <c r="OSN2486" s="58"/>
      <c r="OSO2486" s="58"/>
      <c r="OSP2486" s="60"/>
      <c r="OSQ2486" s="60"/>
      <c r="OSR2486" s="60"/>
      <c r="OSS2486" s="58"/>
      <c r="OST2486" s="61"/>
      <c r="OSU2486" s="58"/>
      <c r="OSV2486" s="58"/>
      <c r="OSW2486" s="58"/>
      <c r="OSX2486" s="60"/>
      <c r="OSY2486" s="60"/>
      <c r="OSZ2486" s="60"/>
      <c r="OTA2486" s="58"/>
      <c r="OTB2486" s="61"/>
      <c r="OTC2486" s="58"/>
      <c r="OTD2486" s="58"/>
      <c r="OTE2486" s="58"/>
      <c r="OTF2486" s="60"/>
      <c r="OTG2486" s="60"/>
      <c r="OTH2486" s="60"/>
      <c r="OTI2486" s="58"/>
      <c r="OTJ2486" s="61"/>
      <c r="OTK2486" s="58"/>
      <c r="OTL2486" s="58"/>
      <c r="OTM2486" s="58"/>
      <c r="OTN2486" s="60"/>
      <c r="OTO2486" s="60"/>
      <c r="OTP2486" s="60"/>
      <c r="OTQ2486" s="58"/>
      <c r="OTR2486" s="61"/>
      <c r="OTS2486" s="58"/>
      <c r="OTT2486" s="58"/>
      <c r="OTU2486" s="58"/>
      <c r="OTV2486" s="60"/>
      <c r="OTW2486" s="60"/>
      <c r="OTX2486" s="60"/>
      <c r="OTY2486" s="58"/>
      <c r="OTZ2486" s="61"/>
      <c r="OUA2486" s="58"/>
      <c r="OUB2486" s="58"/>
      <c r="OUC2486" s="58"/>
      <c r="OUD2486" s="60"/>
      <c r="OUE2486" s="60"/>
      <c r="OUF2486" s="60"/>
      <c r="OUG2486" s="58"/>
      <c r="OUH2486" s="61"/>
      <c r="OUI2486" s="58"/>
      <c r="OUJ2486" s="58"/>
      <c r="OUK2486" s="58"/>
      <c r="OUL2486" s="60"/>
      <c r="OUM2486" s="60"/>
      <c r="OUN2486" s="60"/>
      <c r="OUO2486" s="58"/>
      <c r="OUP2486" s="61"/>
      <c r="OUQ2486" s="58"/>
      <c r="OUR2486" s="58"/>
      <c r="OUS2486" s="58"/>
      <c r="OUT2486" s="60"/>
      <c r="OUU2486" s="60"/>
      <c r="OUV2486" s="60"/>
      <c r="OUW2486" s="58"/>
      <c r="OUX2486" s="61"/>
      <c r="OUY2486" s="58"/>
      <c r="OUZ2486" s="58"/>
      <c r="OVA2486" s="58"/>
      <c r="OVB2486" s="60"/>
      <c r="OVC2486" s="60"/>
      <c r="OVD2486" s="60"/>
      <c r="OVE2486" s="58"/>
      <c r="OVF2486" s="61"/>
      <c r="OVG2486" s="58"/>
      <c r="OVH2486" s="58"/>
      <c r="OVI2486" s="58"/>
      <c r="OVJ2486" s="60"/>
      <c r="OVK2486" s="60"/>
      <c r="OVL2486" s="60"/>
      <c r="OVM2486" s="58"/>
      <c r="OVN2486" s="61"/>
      <c r="OVO2486" s="58"/>
      <c r="OVP2486" s="58"/>
      <c r="OVQ2486" s="58"/>
      <c r="OVR2486" s="60"/>
      <c r="OVS2486" s="60"/>
      <c r="OVT2486" s="60"/>
      <c r="OVU2486" s="58"/>
      <c r="OVV2486" s="61"/>
      <c r="OVW2486" s="58"/>
      <c r="OVX2486" s="58"/>
      <c r="OVY2486" s="58"/>
      <c r="OVZ2486" s="60"/>
      <c r="OWA2486" s="60"/>
      <c r="OWB2486" s="60"/>
      <c r="OWC2486" s="58"/>
      <c r="OWD2486" s="61"/>
      <c r="OWE2486" s="58"/>
      <c r="OWF2486" s="58"/>
      <c r="OWG2486" s="58"/>
      <c r="OWH2486" s="60"/>
      <c r="OWI2486" s="60"/>
      <c r="OWJ2486" s="60"/>
      <c r="OWK2486" s="58"/>
      <c r="OWL2486" s="61"/>
      <c r="OWM2486" s="58"/>
      <c r="OWN2486" s="58"/>
      <c r="OWO2486" s="58"/>
      <c r="OWP2486" s="60"/>
      <c r="OWQ2486" s="60"/>
      <c r="OWR2486" s="60"/>
      <c r="OWS2486" s="58"/>
      <c r="OWT2486" s="61"/>
      <c r="OWU2486" s="58"/>
      <c r="OWV2486" s="58"/>
      <c r="OWW2486" s="58"/>
      <c r="OWX2486" s="60"/>
      <c r="OWY2486" s="60"/>
      <c r="OWZ2486" s="60"/>
      <c r="OXA2486" s="58"/>
      <c r="OXB2486" s="61"/>
      <c r="OXC2486" s="58"/>
      <c r="OXD2486" s="58"/>
      <c r="OXE2486" s="58"/>
      <c r="OXF2486" s="60"/>
      <c r="OXG2486" s="60"/>
      <c r="OXH2486" s="60"/>
      <c r="OXI2486" s="58"/>
      <c r="OXJ2486" s="61"/>
      <c r="OXK2486" s="58"/>
      <c r="OXL2486" s="58"/>
      <c r="OXM2486" s="58"/>
      <c r="OXN2486" s="60"/>
      <c r="OXO2486" s="60"/>
      <c r="OXP2486" s="60"/>
      <c r="OXQ2486" s="58"/>
      <c r="OXR2486" s="61"/>
      <c r="OXS2486" s="58"/>
      <c r="OXT2486" s="58"/>
      <c r="OXU2486" s="58"/>
      <c r="OXV2486" s="60"/>
      <c r="OXW2486" s="60"/>
      <c r="OXX2486" s="60"/>
      <c r="OXY2486" s="58"/>
      <c r="OXZ2486" s="61"/>
      <c r="OYA2486" s="58"/>
      <c r="OYB2486" s="58"/>
      <c r="OYC2486" s="58"/>
      <c r="OYD2486" s="60"/>
      <c r="OYE2486" s="60"/>
      <c r="OYF2486" s="60"/>
      <c r="OYG2486" s="58"/>
      <c r="OYH2486" s="61"/>
      <c r="OYI2486" s="58"/>
      <c r="OYJ2486" s="58"/>
      <c r="OYK2486" s="58"/>
      <c r="OYL2486" s="60"/>
      <c r="OYM2486" s="60"/>
      <c r="OYN2486" s="60"/>
      <c r="OYO2486" s="58"/>
      <c r="OYP2486" s="61"/>
      <c r="OYQ2486" s="58"/>
      <c r="OYR2486" s="58"/>
      <c r="OYS2486" s="58"/>
      <c r="OYT2486" s="60"/>
      <c r="OYU2486" s="60"/>
      <c r="OYV2486" s="60"/>
      <c r="OYW2486" s="58"/>
      <c r="OYX2486" s="61"/>
      <c r="OYY2486" s="58"/>
      <c r="OYZ2486" s="58"/>
      <c r="OZA2486" s="58"/>
      <c r="OZB2486" s="60"/>
      <c r="OZC2486" s="60"/>
      <c r="OZD2486" s="60"/>
      <c r="OZE2486" s="58"/>
      <c r="OZF2486" s="61"/>
      <c r="OZG2486" s="58"/>
      <c r="OZH2486" s="58"/>
      <c r="OZI2486" s="58"/>
      <c r="OZJ2486" s="60"/>
      <c r="OZK2486" s="60"/>
      <c r="OZL2486" s="60"/>
      <c r="OZM2486" s="58"/>
      <c r="OZN2486" s="61"/>
      <c r="OZO2486" s="58"/>
      <c r="OZP2486" s="58"/>
      <c r="OZQ2486" s="58"/>
      <c r="OZR2486" s="60"/>
      <c r="OZS2486" s="60"/>
      <c r="OZT2486" s="60"/>
      <c r="OZU2486" s="58"/>
      <c r="OZV2486" s="61"/>
      <c r="OZW2486" s="58"/>
      <c r="OZX2486" s="58"/>
      <c r="OZY2486" s="58"/>
      <c r="OZZ2486" s="60"/>
      <c r="PAA2486" s="60"/>
      <c r="PAB2486" s="60"/>
      <c r="PAC2486" s="58"/>
      <c r="PAD2486" s="61"/>
      <c r="PAE2486" s="58"/>
      <c r="PAF2486" s="58"/>
      <c r="PAG2486" s="58"/>
      <c r="PAH2486" s="60"/>
      <c r="PAI2486" s="60"/>
      <c r="PAJ2486" s="60"/>
      <c r="PAK2486" s="58"/>
      <c r="PAL2486" s="61"/>
      <c r="PAM2486" s="58"/>
      <c r="PAN2486" s="58"/>
      <c r="PAO2486" s="58"/>
      <c r="PAP2486" s="60"/>
      <c r="PAQ2486" s="60"/>
      <c r="PAR2486" s="60"/>
      <c r="PAS2486" s="58"/>
      <c r="PAT2486" s="61"/>
      <c r="PAU2486" s="58"/>
      <c r="PAV2486" s="58"/>
      <c r="PAW2486" s="58"/>
      <c r="PAX2486" s="60"/>
      <c r="PAY2486" s="60"/>
      <c r="PAZ2486" s="60"/>
      <c r="PBA2486" s="58"/>
      <c r="PBB2486" s="61"/>
      <c r="PBC2486" s="58"/>
      <c r="PBD2486" s="58"/>
      <c r="PBE2486" s="58"/>
      <c r="PBF2486" s="60"/>
      <c r="PBG2486" s="60"/>
      <c r="PBH2486" s="60"/>
      <c r="PBI2486" s="58"/>
      <c r="PBJ2486" s="61"/>
      <c r="PBK2486" s="58"/>
      <c r="PBL2486" s="58"/>
      <c r="PBM2486" s="58"/>
      <c r="PBN2486" s="60"/>
      <c r="PBO2486" s="60"/>
      <c r="PBP2486" s="60"/>
      <c r="PBQ2486" s="58"/>
      <c r="PBR2486" s="61"/>
      <c r="PBS2486" s="58"/>
      <c r="PBT2486" s="58"/>
      <c r="PBU2486" s="58"/>
      <c r="PBV2486" s="60"/>
      <c r="PBW2486" s="60"/>
      <c r="PBX2486" s="60"/>
      <c r="PBY2486" s="58"/>
      <c r="PBZ2486" s="61"/>
      <c r="PCA2486" s="58"/>
      <c r="PCB2486" s="58"/>
      <c r="PCC2486" s="58"/>
      <c r="PCD2486" s="60"/>
      <c r="PCE2486" s="60"/>
      <c r="PCF2486" s="60"/>
      <c r="PCG2486" s="58"/>
      <c r="PCH2486" s="61"/>
      <c r="PCI2486" s="58"/>
      <c r="PCJ2486" s="58"/>
      <c r="PCK2486" s="58"/>
      <c r="PCL2486" s="60"/>
      <c r="PCM2486" s="60"/>
      <c r="PCN2486" s="60"/>
      <c r="PCO2486" s="58"/>
      <c r="PCP2486" s="61"/>
      <c r="PCQ2486" s="58"/>
      <c r="PCR2486" s="58"/>
      <c r="PCS2486" s="58"/>
      <c r="PCT2486" s="60"/>
      <c r="PCU2486" s="60"/>
      <c r="PCV2486" s="60"/>
      <c r="PCW2486" s="58"/>
      <c r="PCX2486" s="61"/>
      <c r="PCY2486" s="58"/>
      <c r="PCZ2486" s="58"/>
      <c r="PDA2486" s="58"/>
      <c r="PDB2486" s="60"/>
      <c r="PDC2486" s="60"/>
      <c r="PDD2486" s="60"/>
      <c r="PDE2486" s="58"/>
      <c r="PDF2486" s="61"/>
      <c r="PDG2486" s="58"/>
      <c r="PDH2486" s="58"/>
      <c r="PDI2486" s="58"/>
      <c r="PDJ2486" s="60"/>
      <c r="PDK2486" s="60"/>
      <c r="PDL2486" s="60"/>
      <c r="PDM2486" s="58"/>
      <c r="PDN2486" s="61"/>
      <c r="PDO2486" s="58"/>
      <c r="PDP2486" s="58"/>
      <c r="PDQ2486" s="58"/>
      <c r="PDR2486" s="60"/>
      <c r="PDS2486" s="60"/>
      <c r="PDT2486" s="60"/>
      <c r="PDU2486" s="58"/>
      <c r="PDV2486" s="61"/>
      <c r="PDW2486" s="58"/>
      <c r="PDX2486" s="58"/>
      <c r="PDY2486" s="58"/>
      <c r="PDZ2486" s="60"/>
      <c r="PEA2486" s="60"/>
      <c r="PEB2486" s="60"/>
      <c r="PEC2486" s="58"/>
      <c r="PED2486" s="61"/>
      <c r="PEE2486" s="58"/>
      <c r="PEF2486" s="58"/>
      <c r="PEG2486" s="58"/>
      <c r="PEH2486" s="60"/>
      <c r="PEI2486" s="60"/>
      <c r="PEJ2486" s="60"/>
      <c r="PEK2486" s="58"/>
      <c r="PEL2486" s="61"/>
      <c r="PEM2486" s="58"/>
      <c r="PEN2486" s="58"/>
      <c r="PEO2486" s="58"/>
      <c r="PEP2486" s="60"/>
      <c r="PEQ2486" s="60"/>
      <c r="PER2486" s="60"/>
      <c r="PES2486" s="58"/>
      <c r="PET2486" s="61"/>
      <c r="PEU2486" s="58"/>
      <c r="PEV2486" s="58"/>
      <c r="PEW2486" s="58"/>
      <c r="PEX2486" s="60"/>
      <c r="PEY2486" s="60"/>
      <c r="PEZ2486" s="60"/>
      <c r="PFA2486" s="58"/>
      <c r="PFB2486" s="61"/>
      <c r="PFC2486" s="58"/>
      <c r="PFD2486" s="58"/>
      <c r="PFE2486" s="58"/>
      <c r="PFF2486" s="60"/>
      <c r="PFG2486" s="60"/>
      <c r="PFH2486" s="60"/>
      <c r="PFI2486" s="58"/>
      <c r="PFJ2486" s="61"/>
      <c r="PFK2486" s="58"/>
      <c r="PFL2486" s="58"/>
      <c r="PFM2486" s="58"/>
      <c r="PFN2486" s="60"/>
      <c r="PFO2486" s="60"/>
      <c r="PFP2486" s="60"/>
      <c r="PFQ2486" s="58"/>
      <c r="PFR2486" s="61"/>
      <c r="PFS2486" s="58"/>
      <c r="PFT2486" s="58"/>
      <c r="PFU2486" s="58"/>
      <c r="PFV2486" s="60"/>
      <c r="PFW2486" s="60"/>
      <c r="PFX2486" s="60"/>
      <c r="PFY2486" s="58"/>
      <c r="PFZ2486" s="61"/>
      <c r="PGA2486" s="58"/>
      <c r="PGB2486" s="58"/>
      <c r="PGC2486" s="58"/>
      <c r="PGD2486" s="60"/>
      <c r="PGE2486" s="60"/>
      <c r="PGF2486" s="60"/>
      <c r="PGG2486" s="58"/>
      <c r="PGH2486" s="61"/>
      <c r="PGI2486" s="58"/>
      <c r="PGJ2486" s="58"/>
      <c r="PGK2486" s="58"/>
      <c r="PGL2486" s="60"/>
      <c r="PGM2486" s="60"/>
      <c r="PGN2486" s="60"/>
      <c r="PGO2486" s="58"/>
      <c r="PGP2486" s="61"/>
      <c r="PGQ2486" s="58"/>
      <c r="PGR2486" s="58"/>
      <c r="PGS2486" s="58"/>
      <c r="PGT2486" s="60"/>
      <c r="PGU2486" s="60"/>
      <c r="PGV2486" s="60"/>
      <c r="PGW2486" s="58"/>
      <c r="PGX2486" s="61"/>
      <c r="PGY2486" s="58"/>
      <c r="PGZ2486" s="58"/>
      <c r="PHA2486" s="58"/>
      <c r="PHB2486" s="60"/>
      <c r="PHC2486" s="60"/>
      <c r="PHD2486" s="60"/>
      <c r="PHE2486" s="58"/>
      <c r="PHF2486" s="61"/>
      <c r="PHG2486" s="58"/>
      <c r="PHH2486" s="58"/>
      <c r="PHI2486" s="58"/>
      <c r="PHJ2486" s="60"/>
      <c r="PHK2486" s="60"/>
      <c r="PHL2486" s="60"/>
      <c r="PHM2486" s="58"/>
      <c r="PHN2486" s="61"/>
      <c r="PHO2486" s="58"/>
      <c r="PHP2486" s="58"/>
      <c r="PHQ2486" s="58"/>
      <c r="PHR2486" s="60"/>
      <c r="PHS2486" s="60"/>
      <c r="PHT2486" s="60"/>
      <c r="PHU2486" s="58"/>
      <c r="PHV2486" s="61"/>
      <c r="PHW2486" s="58"/>
      <c r="PHX2486" s="58"/>
      <c r="PHY2486" s="58"/>
      <c r="PHZ2486" s="60"/>
      <c r="PIA2486" s="60"/>
      <c r="PIB2486" s="60"/>
      <c r="PIC2486" s="58"/>
      <c r="PID2486" s="61"/>
      <c r="PIE2486" s="58"/>
      <c r="PIF2486" s="58"/>
      <c r="PIG2486" s="58"/>
      <c r="PIH2486" s="60"/>
      <c r="PII2486" s="60"/>
      <c r="PIJ2486" s="60"/>
      <c r="PIK2486" s="58"/>
      <c r="PIL2486" s="61"/>
      <c r="PIM2486" s="58"/>
      <c r="PIN2486" s="58"/>
      <c r="PIO2486" s="58"/>
      <c r="PIP2486" s="60"/>
      <c r="PIQ2486" s="60"/>
      <c r="PIR2486" s="60"/>
      <c r="PIS2486" s="58"/>
      <c r="PIT2486" s="61"/>
      <c r="PIU2486" s="58"/>
      <c r="PIV2486" s="58"/>
      <c r="PIW2486" s="58"/>
      <c r="PIX2486" s="60"/>
      <c r="PIY2486" s="60"/>
      <c r="PIZ2486" s="60"/>
      <c r="PJA2486" s="58"/>
      <c r="PJB2486" s="61"/>
      <c r="PJC2486" s="58"/>
      <c r="PJD2486" s="58"/>
      <c r="PJE2486" s="58"/>
      <c r="PJF2486" s="60"/>
      <c r="PJG2486" s="60"/>
      <c r="PJH2486" s="60"/>
      <c r="PJI2486" s="58"/>
      <c r="PJJ2486" s="61"/>
      <c r="PJK2486" s="58"/>
      <c r="PJL2486" s="58"/>
      <c r="PJM2486" s="58"/>
      <c r="PJN2486" s="60"/>
      <c r="PJO2486" s="60"/>
      <c r="PJP2486" s="60"/>
      <c r="PJQ2486" s="58"/>
      <c r="PJR2486" s="61"/>
      <c r="PJS2486" s="58"/>
      <c r="PJT2486" s="58"/>
      <c r="PJU2486" s="58"/>
      <c r="PJV2486" s="60"/>
      <c r="PJW2486" s="60"/>
      <c r="PJX2486" s="60"/>
      <c r="PJY2486" s="58"/>
      <c r="PJZ2486" s="61"/>
      <c r="PKA2486" s="58"/>
      <c r="PKB2486" s="58"/>
      <c r="PKC2486" s="58"/>
      <c r="PKD2486" s="60"/>
      <c r="PKE2486" s="60"/>
      <c r="PKF2486" s="60"/>
      <c r="PKG2486" s="58"/>
      <c r="PKH2486" s="61"/>
      <c r="PKI2486" s="58"/>
      <c r="PKJ2486" s="58"/>
      <c r="PKK2486" s="58"/>
      <c r="PKL2486" s="60"/>
      <c r="PKM2486" s="60"/>
      <c r="PKN2486" s="60"/>
      <c r="PKO2486" s="58"/>
      <c r="PKP2486" s="61"/>
      <c r="PKQ2486" s="58"/>
      <c r="PKR2486" s="58"/>
      <c r="PKS2486" s="58"/>
      <c r="PKT2486" s="60"/>
      <c r="PKU2486" s="60"/>
      <c r="PKV2486" s="60"/>
      <c r="PKW2486" s="58"/>
      <c r="PKX2486" s="61"/>
      <c r="PKY2486" s="58"/>
      <c r="PKZ2486" s="58"/>
      <c r="PLA2486" s="58"/>
      <c r="PLB2486" s="60"/>
      <c r="PLC2486" s="60"/>
      <c r="PLD2486" s="60"/>
      <c r="PLE2486" s="58"/>
      <c r="PLF2486" s="61"/>
      <c r="PLG2486" s="58"/>
      <c r="PLH2486" s="58"/>
      <c r="PLI2486" s="58"/>
      <c r="PLJ2486" s="60"/>
      <c r="PLK2486" s="60"/>
      <c r="PLL2486" s="60"/>
      <c r="PLM2486" s="58"/>
      <c r="PLN2486" s="61"/>
      <c r="PLO2486" s="58"/>
      <c r="PLP2486" s="58"/>
      <c r="PLQ2486" s="58"/>
      <c r="PLR2486" s="60"/>
      <c r="PLS2486" s="60"/>
      <c r="PLT2486" s="60"/>
      <c r="PLU2486" s="58"/>
      <c r="PLV2486" s="61"/>
      <c r="PLW2486" s="58"/>
      <c r="PLX2486" s="58"/>
      <c r="PLY2486" s="58"/>
      <c r="PLZ2486" s="60"/>
      <c r="PMA2486" s="60"/>
      <c r="PMB2486" s="60"/>
      <c r="PMC2486" s="58"/>
      <c r="PMD2486" s="61"/>
      <c r="PME2486" s="58"/>
      <c r="PMF2486" s="58"/>
      <c r="PMG2486" s="58"/>
      <c r="PMH2486" s="60"/>
      <c r="PMI2486" s="60"/>
      <c r="PMJ2486" s="60"/>
      <c r="PMK2486" s="58"/>
      <c r="PML2486" s="61"/>
      <c r="PMM2486" s="58"/>
      <c r="PMN2486" s="58"/>
      <c r="PMO2486" s="58"/>
      <c r="PMP2486" s="60"/>
      <c r="PMQ2486" s="60"/>
      <c r="PMR2486" s="60"/>
      <c r="PMS2486" s="58"/>
      <c r="PMT2486" s="61"/>
      <c r="PMU2486" s="58"/>
      <c r="PMV2486" s="58"/>
      <c r="PMW2486" s="58"/>
      <c r="PMX2486" s="60"/>
      <c r="PMY2486" s="60"/>
      <c r="PMZ2486" s="60"/>
      <c r="PNA2486" s="58"/>
      <c r="PNB2486" s="61"/>
      <c r="PNC2486" s="58"/>
      <c r="PND2486" s="58"/>
      <c r="PNE2486" s="58"/>
      <c r="PNF2486" s="60"/>
      <c r="PNG2486" s="60"/>
      <c r="PNH2486" s="60"/>
      <c r="PNI2486" s="58"/>
      <c r="PNJ2486" s="61"/>
      <c r="PNK2486" s="58"/>
      <c r="PNL2486" s="58"/>
      <c r="PNM2486" s="58"/>
      <c r="PNN2486" s="60"/>
      <c r="PNO2486" s="60"/>
      <c r="PNP2486" s="60"/>
      <c r="PNQ2486" s="58"/>
      <c r="PNR2486" s="61"/>
      <c r="PNS2486" s="58"/>
      <c r="PNT2486" s="58"/>
      <c r="PNU2486" s="58"/>
      <c r="PNV2486" s="60"/>
      <c r="PNW2486" s="60"/>
      <c r="PNX2486" s="60"/>
      <c r="PNY2486" s="58"/>
      <c r="PNZ2486" s="61"/>
      <c r="POA2486" s="58"/>
      <c r="POB2486" s="58"/>
      <c r="POC2486" s="58"/>
      <c r="POD2486" s="60"/>
      <c r="POE2486" s="60"/>
      <c r="POF2486" s="60"/>
      <c r="POG2486" s="58"/>
      <c r="POH2486" s="61"/>
      <c r="POI2486" s="58"/>
      <c r="POJ2486" s="58"/>
      <c r="POK2486" s="58"/>
      <c r="POL2486" s="60"/>
      <c r="POM2486" s="60"/>
      <c r="PON2486" s="60"/>
      <c r="POO2486" s="58"/>
      <c r="POP2486" s="61"/>
      <c r="POQ2486" s="58"/>
      <c r="POR2486" s="58"/>
      <c r="POS2486" s="58"/>
      <c r="POT2486" s="60"/>
      <c r="POU2486" s="60"/>
      <c r="POV2486" s="60"/>
      <c r="POW2486" s="58"/>
      <c r="POX2486" s="61"/>
      <c r="POY2486" s="58"/>
      <c r="POZ2486" s="58"/>
      <c r="PPA2486" s="58"/>
      <c r="PPB2486" s="60"/>
      <c r="PPC2486" s="60"/>
      <c r="PPD2486" s="60"/>
      <c r="PPE2486" s="58"/>
      <c r="PPF2486" s="61"/>
      <c r="PPG2486" s="58"/>
      <c r="PPH2486" s="58"/>
      <c r="PPI2486" s="58"/>
      <c r="PPJ2486" s="60"/>
      <c r="PPK2486" s="60"/>
      <c r="PPL2486" s="60"/>
      <c r="PPM2486" s="58"/>
      <c r="PPN2486" s="61"/>
      <c r="PPO2486" s="58"/>
      <c r="PPP2486" s="58"/>
      <c r="PPQ2486" s="58"/>
      <c r="PPR2486" s="60"/>
      <c r="PPS2486" s="60"/>
      <c r="PPT2486" s="60"/>
      <c r="PPU2486" s="58"/>
      <c r="PPV2486" s="61"/>
      <c r="PPW2486" s="58"/>
      <c r="PPX2486" s="58"/>
      <c r="PPY2486" s="58"/>
      <c r="PPZ2486" s="60"/>
      <c r="PQA2486" s="60"/>
      <c r="PQB2486" s="60"/>
      <c r="PQC2486" s="58"/>
      <c r="PQD2486" s="61"/>
      <c r="PQE2486" s="58"/>
      <c r="PQF2486" s="58"/>
      <c r="PQG2486" s="58"/>
      <c r="PQH2486" s="60"/>
      <c r="PQI2486" s="60"/>
      <c r="PQJ2486" s="60"/>
      <c r="PQK2486" s="58"/>
      <c r="PQL2486" s="61"/>
      <c r="PQM2486" s="58"/>
      <c r="PQN2486" s="58"/>
      <c r="PQO2486" s="58"/>
      <c r="PQP2486" s="60"/>
      <c r="PQQ2486" s="60"/>
      <c r="PQR2486" s="60"/>
      <c r="PQS2486" s="58"/>
      <c r="PQT2486" s="61"/>
      <c r="PQU2486" s="58"/>
      <c r="PQV2486" s="58"/>
      <c r="PQW2486" s="58"/>
      <c r="PQX2486" s="60"/>
      <c r="PQY2486" s="60"/>
      <c r="PQZ2486" s="60"/>
      <c r="PRA2486" s="58"/>
      <c r="PRB2486" s="61"/>
      <c r="PRC2486" s="58"/>
      <c r="PRD2486" s="58"/>
      <c r="PRE2486" s="58"/>
      <c r="PRF2486" s="60"/>
      <c r="PRG2486" s="60"/>
      <c r="PRH2486" s="60"/>
      <c r="PRI2486" s="58"/>
      <c r="PRJ2486" s="61"/>
      <c r="PRK2486" s="58"/>
      <c r="PRL2486" s="58"/>
      <c r="PRM2486" s="58"/>
      <c r="PRN2486" s="60"/>
      <c r="PRO2486" s="60"/>
      <c r="PRP2486" s="60"/>
      <c r="PRQ2486" s="58"/>
      <c r="PRR2486" s="61"/>
      <c r="PRS2486" s="58"/>
      <c r="PRT2486" s="58"/>
      <c r="PRU2486" s="58"/>
      <c r="PRV2486" s="60"/>
      <c r="PRW2486" s="60"/>
      <c r="PRX2486" s="60"/>
      <c r="PRY2486" s="58"/>
      <c r="PRZ2486" s="61"/>
      <c r="PSA2486" s="58"/>
      <c r="PSB2486" s="58"/>
      <c r="PSC2486" s="58"/>
      <c r="PSD2486" s="60"/>
      <c r="PSE2486" s="60"/>
      <c r="PSF2486" s="60"/>
      <c r="PSG2486" s="58"/>
      <c r="PSH2486" s="61"/>
      <c r="PSI2486" s="58"/>
      <c r="PSJ2486" s="58"/>
      <c r="PSK2486" s="58"/>
      <c r="PSL2486" s="60"/>
      <c r="PSM2486" s="60"/>
      <c r="PSN2486" s="60"/>
      <c r="PSO2486" s="58"/>
      <c r="PSP2486" s="61"/>
      <c r="PSQ2486" s="58"/>
      <c r="PSR2486" s="58"/>
      <c r="PSS2486" s="58"/>
      <c r="PST2486" s="60"/>
      <c r="PSU2486" s="60"/>
      <c r="PSV2486" s="60"/>
      <c r="PSW2486" s="58"/>
      <c r="PSX2486" s="61"/>
      <c r="PSY2486" s="58"/>
      <c r="PSZ2486" s="58"/>
      <c r="PTA2486" s="58"/>
      <c r="PTB2486" s="60"/>
      <c r="PTC2486" s="60"/>
      <c r="PTD2486" s="60"/>
      <c r="PTE2486" s="58"/>
      <c r="PTF2486" s="61"/>
      <c r="PTG2486" s="58"/>
      <c r="PTH2486" s="58"/>
      <c r="PTI2486" s="58"/>
      <c r="PTJ2486" s="60"/>
      <c r="PTK2486" s="60"/>
      <c r="PTL2486" s="60"/>
      <c r="PTM2486" s="58"/>
      <c r="PTN2486" s="61"/>
      <c r="PTO2486" s="58"/>
      <c r="PTP2486" s="58"/>
      <c r="PTQ2486" s="58"/>
      <c r="PTR2486" s="60"/>
      <c r="PTS2486" s="60"/>
      <c r="PTT2486" s="60"/>
      <c r="PTU2486" s="58"/>
      <c r="PTV2486" s="61"/>
      <c r="PTW2486" s="58"/>
      <c r="PTX2486" s="58"/>
      <c r="PTY2486" s="58"/>
      <c r="PTZ2486" s="60"/>
      <c r="PUA2486" s="60"/>
      <c r="PUB2486" s="60"/>
      <c r="PUC2486" s="58"/>
      <c r="PUD2486" s="61"/>
      <c r="PUE2486" s="58"/>
      <c r="PUF2486" s="58"/>
      <c r="PUG2486" s="58"/>
      <c r="PUH2486" s="60"/>
      <c r="PUI2486" s="60"/>
      <c r="PUJ2486" s="60"/>
      <c r="PUK2486" s="58"/>
      <c r="PUL2486" s="61"/>
      <c r="PUM2486" s="58"/>
      <c r="PUN2486" s="58"/>
      <c r="PUO2486" s="58"/>
      <c r="PUP2486" s="60"/>
      <c r="PUQ2486" s="60"/>
      <c r="PUR2486" s="60"/>
      <c r="PUS2486" s="58"/>
      <c r="PUT2486" s="61"/>
      <c r="PUU2486" s="58"/>
      <c r="PUV2486" s="58"/>
      <c r="PUW2486" s="58"/>
      <c r="PUX2486" s="60"/>
      <c r="PUY2486" s="60"/>
      <c r="PUZ2486" s="60"/>
      <c r="PVA2486" s="58"/>
      <c r="PVB2486" s="61"/>
      <c r="PVC2486" s="58"/>
      <c r="PVD2486" s="58"/>
      <c r="PVE2486" s="58"/>
      <c r="PVF2486" s="60"/>
      <c r="PVG2486" s="60"/>
      <c r="PVH2486" s="60"/>
      <c r="PVI2486" s="58"/>
      <c r="PVJ2486" s="61"/>
      <c r="PVK2486" s="58"/>
      <c r="PVL2486" s="58"/>
      <c r="PVM2486" s="58"/>
      <c r="PVN2486" s="60"/>
      <c r="PVO2486" s="60"/>
      <c r="PVP2486" s="60"/>
      <c r="PVQ2486" s="58"/>
      <c r="PVR2486" s="61"/>
      <c r="PVS2486" s="58"/>
      <c r="PVT2486" s="58"/>
      <c r="PVU2486" s="58"/>
      <c r="PVV2486" s="60"/>
      <c r="PVW2486" s="60"/>
      <c r="PVX2486" s="60"/>
      <c r="PVY2486" s="58"/>
      <c r="PVZ2486" s="61"/>
      <c r="PWA2486" s="58"/>
      <c r="PWB2486" s="58"/>
      <c r="PWC2486" s="58"/>
      <c r="PWD2486" s="60"/>
      <c r="PWE2486" s="60"/>
      <c r="PWF2486" s="60"/>
      <c r="PWG2486" s="58"/>
      <c r="PWH2486" s="61"/>
      <c r="PWI2486" s="58"/>
      <c r="PWJ2486" s="58"/>
      <c r="PWK2486" s="58"/>
      <c r="PWL2486" s="60"/>
      <c r="PWM2486" s="60"/>
      <c r="PWN2486" s="60"/>
      <c r="PWO2486" s="58"/>
      <c r="PWP2486" s="61"/>
      <c r="PWQ2486" s="58"/>
      <c r="PWR2486" s="58"/>
      <c r="PWS2486" s="58"/>
      <c r="PWT2486" s="60"/>
      <c r="PWU2486" s="60"/>
      <c r="PWV2486" s="60"/>
      <c r="PWW2486" s="58"/>
      <c r="PWX2486" s="61"/>
      <c r="PWY2486" s="58"/>
      <c r="PWZ2486" s="58"/>
      <c r="PXA2486" s="58"/>
      <c r="PXB2486" s="60"/>
      <c r="PXC2486" s="60"/>
      <c r="PXD2486" s="60"/>
      <c r="PXE2486" s="58"/>
      <c r="PXF2486" s="61"/>
      <c r="PXG2486" s="58"/>
      <c r="PXH2486" s="58"/>
      <c r="PXI2486" s="58"/>
      <c r="PXJ2486" s="60"/>
      <c r="PXK2486" s="60"/>
      <c r="PXL2486" s="60"/>
      <c r="PXM2486" s="58"/>
      <c r="PXN2486" s="61"/>
      <c r="PXO2486" s="58"/>
      <c r="PXP2486" s="58"/>
      <c r="PXQ2486" s="58"/>
      <c r="PXR2486" s="60"/>
      <c r="PXS2486" s="60"/>
      <c r="PXT2486" s="60"/>
      <c r="PXU2486" s="58"/>
      <c r="PXV2486" s="61"/>
      <c r="PXW2486" s="58"/>
      <c r="PXX2486" s="58"/>
      <c r="PXY2486" s="58"/>
      <c r="PXZ2486" s="60"/>
      <c r="PYA2486" s="60"/>
      <c r="PYB2486" s="60"/>
      <c r="PYC2486" s="58"/>
      <c r="PYD2486" s="61"/>
      <c r="PYE2486" s="58"/>
      <c r="PYF2486" s="58"/>
      <c r="PYG2486" s="58"/>
      <c r="PYH2486" s="60"/>
      <c r="PYI2486" s="60"/>
      <c r="PYJ2486" s="60"/>
      <c r="PYK2486" s="58"/>
      <c r="PYL2486" s="61"/>
      <c r="PYM2486" s="58"/>
      <c r="PYN2486" s="58"/>
      <c r="PYO2486" s="58"/>
      <c r="PYP2486" s="60"/>
      <c r="PYQ2486" s="60"/>
      <c r="PYR2486" s="60"/>
      <c r="PYS2486" s="58"/>
      <c r="PYT2486" s="61"/>
      <c r="PYU2486" s="58"/>
      <c r="PYV2486" s="58"/>
      <c r="PYW2486" s="58"/>
      <c r="PYX2486" s="60"/>
      <c r="PYY2486" s="60"/>
      <c r="PYZ2486" s="60"/>
      <c r="PZA2486" s="58"/>
      <c r="PZB2486" s="61"/>
      <c r="PZC2486" s="58"/>
      <c r="PZD2486" s="58"/>
      <c r="PZE2486" s="58"/>
      <c r="PZF2486" s="60"/>
      <c r="PZG2486" s="60"/>
      <c r="PZH2486" s="60"/>
      <c r="PZI2486" s="58"/>
      <c r="PZJ2486" s="61"/>
      <c r="PZK2486" s="58"/>
      <c r="PZL2486" s="58"/>
      <c r="PZM2486" s="58"/>
      <c r="PZN2486" s="60"/>
      <c r="PZO2486" s="60"/>
      <c r="PZP2486" s="60"/>
      <c r="PZQ2486" s="58"/>
      <c r="PZR2486" s="61"/>
      <c r="PZS2486" s="58"/>
      <c r="PZT2486" s="58"/>
      <c r="PZU2486" s="58"/>
      <c r="PZV2486" s="60"/>
      <c r="PZW2486" s="60"/>
      <c r="PZX2486" s="60"/>
      <c r="PZY2486" s="58"/>
      <c r="PZZ2486" s="61"/>
      <c r="QAA2486" s="58"/>
      <c r="QAB2486" s="58"/>
      <c r="QAC2486" s="58"/>
      <c r="QAD2486" s="60"/>
      <c r="QAE2486" s="60"/>
      <c r="QAF2486" s="60"/>
      <c r="QAG2486" s="58"/>
      <c r="QAH2486" s="61"/>
      <c r="QAI2486" s="58"/>
      <c r="QAJ2486" s="58"/>
      <c r="QAK2486" s="58"/>
      <c r="QAL2486" s="60"/>
      <c r="QAM2486" s="60"/>
      <c r="QAN2486" s="60"/>
      <c r="QAO2486" s="58"/>
      <c r="QAP2486" s="61"/>
      <c r="QAQ2486" s="58"/>
      <c r="QAR2486" s="58"/>
      <c r="QAS2486" s="58"/>
      <c r="QAT2486" s="60"/>
      <c r="QAU2486" s="60"/>
      <c r="QAV2486" s="60"/>
      <c r="QAW2486" s="58"/>
      <c r="QAX2486" s="61"/>
      <c r="QAY2486" s="58"/>
      <c r="QAZ2486" s="58"/>
      <c r="QBA2486" s="58"/>
      <c r="QBB2486" s="60"/>
      <c r="QBC2486" s="60"/>
      <c r="QBD2486" s="60"/>
      <c r="QBE2486" s="58"/>
      <c r="QBF2486" s="61"/>
      <c r="QBG2486" s="58"/>
      <c r="QBH2486" s="58"/>
      <c r="QBI2486" s="58"/>
      <c r="QBJ2486" s="60"/>
      <c r="QBK2486" s="60"/>
      <c r="QBL2486" s="60"/>
      <c r="QBM2486" s="58"/>
      <c r="QBN2486" s="61"/>
      <c r="QBO2486" s="58"/>
      <c r="QBP2486" s="58"/>
      <c r="QBQ2486" s="58"/>
      <c r="QBR2486" s="60"/>
      <c r="QBS2486" s="60"/>
      <c r="QBT2486" s="60"/>
      <c r="QBU2486" s="58"/>
      <c r="QBV2486" s="61"/>
      <c r="QBW2486" s="58"/>
      <c r="QBX2486" s="58"/>
      <c r="QBY2486" s="58"/>
      <c r="QBZ2486" s="60"/>
      <c r="QCA2486" s="60"/>
      <c r="QCB2486" s="60"/>
      <c r="QCC2486" s="58"/>
      <c r="QCD2486" s="61"/>
      <c r="QCE2486" s="58"/>
      <c r="QCF2486" s="58"/>
      <c r="QCG2486" s="58"/>
      <c r="QCH2486" s="60"/>
      <c r="QCI2486" s="60"/>
      <c r="QCJ2486" s="60"/>
      <c r="QCK2486" s="58"/>
      <c r="QCL2486" s="61"/>
      <c r="QCM2486" s="58"/>
      <c r="QCN2486" s="58"/>
      <c r="QCO2486" s="58"/>
      <c r="QCP2486" s="60"/>
      <c r="QCQ2486" s="60"/>
      <c r="QCR2486" s="60"/>
      <c r="QCS2486" s="58"/>
      <c r="QCT2486" s="61"/>
      <c r="QCU2486" s="58"/>
      <c r="QCV2486" s="58"/>
      <c r="QCW2486" s="58"/>
      <c r="QCX2486" s="60"/>
      <c r="QCY2486" s="60"/>
      <c r="QCZ2486" s="60"/>
      <c r="QDA2486" s="58"/>
      <c r="QDB2486" s="61"/>
      <c r="QDC2486" s="58"/>
      <c r="QDD2486" s="58"/>
      <c r="QDE2486" s="58"/>
      <c r="QDF2486" s="60"/>
      <c r="QDG2486" s="60"/>
      <c r="QDH2486" s="60"/>
      <c r="QDI2486" s="58"/>
      <c r="QDJ2486" s="61"/>
      <c r="QDK2486" s="58"/>
      <c r="QDL2486" s="58"/>
      <c r="QDM2486" s="58"/>
      <c r="QDN2486" s="60"/>
      <c r="QDO2486" s="60"/>
      <c r="QDP2486" s="60"/>
      <c r="QDQ2486" s="58"/>
      <c r="QDR2486" s="61"/>
      <c r="QDS2486" s="58"/>
      <c r="QDT2486" s="58"/>
      <c r="QDU2486" s="58"/>
      <c r="QDV2486" s="60"/>
      <c r="QDW2486" s="60"/>
      <c r="QDX2486" s="60"/>
      <c r="QDY2486" s="58"/>
      <c r="QDZ2486" s="61"/>
      <c r="QEA2486" s="58"/>
      <c r="QEB2486" s="58"/>
      <c r="QEC2486" s="58"/>
      <c r="QED2486" s="60"/>
      <c r="QEE2486" s="60"/>
      <c r="QEF2486" s="60"/>
      <c r="QEG2486" s="58"/>
      <c r="QEH2486" s="61"/>
      <c r="QEI2486" s="58"/>
      <c r="QEJ2486" s="58"/>
      <c r="QEK2486" s="58"/>
      <c r="QEL2486" s="60"/>
      <c r="QEM2486" s="60"/>
      <c r="QEN2486" s="60"/>
      <c r="QEO2486" s="58"/>
      <c r="QEP2486" s="61"/>
      <c r="QEQ2486" s="58"/>
      <c r="QER2486" s="58"/>
      <c r="QES2486" s="58"/>
      <c r="QET2486" s="60"/>
      <c r="QEU2486" s="60"/>
      <c r="QEV2486" s="60"/>
      <c r="QEW2486" s="58"/>
      <c r="QEX2486" s="61"/>
      <c r="QEY2486" s="58"/>
      <c r="QEZ2486" s="58"/>
      <c r="QFA2486" s="58"/>
      <c r="QFB2486" s="60"/>
      <c r="QFC2486" s="60"/>
      <c r="QFD2486" s="60"/>
      <c r="QFE2486" s="58"/>
      <c r="QFF2486" s="61"/>
      <c r="QFG2486" s="58"/>
      <c r="QFH2486" s="58"/>
      <c r="QFI2486" s="58"/>
      <c r="QFJ2486" s="60"/>
      <c r="QFK2486" s="60"/>
      <c r="QFL2486" s="60"/>
      <c r="QFM2486" s="58"/>
      <c r="QFN2486" s="61"/>
      <c r="QFO2486" s="58"/>
      <c r="QFP2486" s="58"/>
      <c r="QFQ2486" s="58"/>
      <c r="QFR2486" s="60"/>
      <c r="QFS2486" s="60"/>
      <c r="QFT2486" s="60"/>
      <c r="QFU2486" s="58"/>
      <c r="QFV2486" s="61"/>
      <c r="QFW2486" s="58"/>
      <c r="QFX2486" s="58"/>
      <c r="QFY2486" s="58"/>
      <c r="QFZ2486" s="60"/>
      <c r="QGA2486" s="60"/>
      <c r="QGB2486" s="60"/>
      <c r="QGC2486" s="58"/>
      <c r="QGD2486" s="61"/>
      <c r="QGE2486" s="58"/>
      <c r="QGF2486" s="58"/>
      <c r="QGG2486" s="58"/>
      <c r="QGH2486" s="60"/>
      <c r="QGI2486" s="60"/>
      <c r="QGJ2486" s="60"/>
      <c r="QGK2486" s="58"/>
      <c r="QGL2486" s="61"/>
      <c r="QGM2486" s="58"/>
      <c r="QGN2486" s="58"/>
      <c r="QGO2486" s="58"/>
      <c r="QGP2486" s="60"/>
      <c r="QGQ2486" s="60"/>
      <c r="QGR2486" s="60"/>
      <c r="QGS2486" s="58"/>
      <c r="QGT2486" s="61"/>
      <c r="QGU2486" s="58"/>
      <c r="QGV2486" s="58"/>
      <c r="QGW2486" s="58"/>
      <c r="QGX2486" s="60"/>
      <c r="QGY2486" s="60"/>
      <c r="QGZ2486" s="60"/>
      <c r="QHA2486" s="58"/>
      <c r="QHB2486" s="61"/>
      <c r="QHC2486" s="58"/>
      <c r="QHD2486" s="58"/>
      <c r="QHE2486" s="58"/>
      <c r="QHF2486" s="60"/>
      <c r="QHG2486" s="60"/>
      <c r="QHH2486" s="60"/>
      <c r="QHI2486" s="58"/>
      <c r="QHJ2486" s="61"/>
      <c r="QHK2486" s="58"/>
      <c r="QHL2486" s="58"/>
      <c r="QHM2486" s="58"/>
      <c r="QHN2486" s="60"/>
      <c r="QHO2486" s="60"/>
      <c r="QHP2486" s="60"/>
      <c r="QHQ2486" s="58"/>
      <c r="QHR2486" s="61"/>
      <c r="QHS2486" s="58"/>
      <c r="QHT2486" s="58"/>
      <c r="QHU2486" s="58"/>
      <c r="QHV2486" s="60"/>
      <c r="QHW2486" s="60"/>
      <c r="QHX2486" s="60"/>
      <c r="QHY2486" s="58"/>
      <c r="QHZ2486" s="61"/>
      <c r="QIA2486" s="58"/>
      <c r="QIB2486" s="58"/>
      <c r="QIC2486" s="58"/>
      <c r="QID2486" s="60"/>
      <c r="QIE2486" s="60"/>
      <c r="QIF2486" s="60"/>
      <c r="QIG2486" s="58"/>
      <c r="QIH2486" s="61"/>
      <c r="QII2486" s="58"/>
      <c r="QIJ2486" s="58"/>
      <c r="QIK2486" s="58"/>
      <c r="QIL2486" s="60"/>
      <c r="QIM2486" s="60"/>
      <c r="QIN2486" s="60"/>
      <c r="QIO2486" s="58"/>
      <c r="QIP2486" s="61"/>
      <c r="QIQ2486" s="58"/>
      <c r="QIR2486" s="58"/>
      <c r="QIS2486" s="58"/>
      <c r="QIT2486" s="60"/>
      <c r="QIU2486" s="60"/>
      <c r="QIV2486" s="60"/>
      <c r="QIW2486" s="58"/>
      <c r="QIX2486" s="61"/>
      <c r="QIY2486" s="58"/>
      <c r="QIZ2486" s="58"/>
      <c r="QJA2486" s="58"/>
      <c r="QJB2486" s="60"/>
      <c r="QJC2486" s="60"/>
      <c r="QJD2486" s="60"/>
      <c r="QJE2486" s="58"/>
      <c r="QJF2486" s="61"/>
      <c r="QJG2486" s="58"/>
      <c r="QJH2486" s="58"/>
      <c r="QJI2486" s="58"/>
      <c r="QJJ2486" s="60"/>
      <c r="QJK2486" s="60"/>
      <c r="QJL2486" s="60"/>
      <c r="QJM2486" s="58"/>
      <c r="QJN2486" s="61"/>
      <c r="QJO2486" s="58"/>
      <c r="QJP2486" s="58"/>
      <c r="QJQ2486" s="58"/>
      <c r="QJR2486" s="60"/>
      <c r="QJS2486" s="60"/>
      <c r="QJT2486" s="60"/>
      <c r="QJU2486" s="58"/>
      <c r="QJV2486" s="61"/>
      <c r="QJW2486" s="58"/>
      <c r="QJX2486" s="58"/>
      <c r="QJY2486" s="58"/>
      <c r="QJZ2486" s="60"/>
      <c r="QKA2486" s="60"/>
      <c r="QKB2486" s="60"/>
      <c r="QKC2486" s="58"/>
      <c r="QKD2486" s="61"/>
      <c r="QKE2486" s="58"/>
      <c r="QKF2486" s="58"/>
      <c r="QKG2486" s="58"/>
      <c r="QKH2486" s="60"/>
      <c r="QKI2486" s="60"/>
      <c r="QKJ2486" s="60"/>
      <c r="QKK2486" s="58"/>
      <c r="QKL2486" s="61"/>
      <c r="QKM2486" s="58"/>
      <c r="QKN2486" s="58"/>
      <c r="QKO2486" s="58"/>
      <c r="QKP2486" s="60"/>
      <c r="QKQ2486" s="60"/>
      <c r="QKR2486" s="60"/>
      <c r="QKS2486" s="58"/>
      <c r="QKT2486" s="61"/>
      <c r="QKU2486" s="58"/>
      <c r="QKV2486" s="58"/>
      <c r="QKW2486" s="58"/>
      <c r="QKX2486" s="60"/>
      <c r="QKY2486" s="60"/>
      <c r="QKZ2486" s="60"/>
      <c r="QLA2486" s="58"/>
      <c r="QLB2486" s="61"/>
      <c r="QLC2486" s="58"/>
      <c r="QLD2486" s="58"/>
      <c r="QLE2486" s="58"/>
      <c r="QLF2486" s="60"/>
      <c r="QLG2486" s="60"/>
      <c r="QLH2486" s="60"/>
      <c r="QLI2486" s="58"/>
      <c r="QLJ2486" s="61"/>
      <c r="QLK2486" s="58"/>
      <c r="QLL2486" s="58"/>
      <c r="QLM2486" s="58"/>
      <c r="QLN2486" s="60"/>
      <c r="QLO2486" s="60"/>
      <c r="QLP2486" s="60"/>
      <c r="QLQ2486" s="58"/>
      <c r="QLR2486" s="61"/>
      <c r="QLS2486" s="58"/>
      <c r="QLT2486" s="58"/>
      <c r="QLU2486" s="58"/>
      <c r="QLV2486" s="60"/>
      <c r="QLW2486" s="60"/>
      <c r="QLX2486" s="60"/>
      <c r="QLY2486" s="58"/>
      <c r="QLZ2486" s="61"/>
      <c r="QMA2486" s="58"/>
      <c r="QMB2486" s="58"/>
      <c r="QMC2486" s="58"/>
      <c r="QMD2486" s="60"/>
      <c r="QME2486" s="60"/>
      <c r="QMF2486" s="60"/>
      <c r="QMG2486" s="58"/>
      <c r="QMH2486" s="61"/>
      <c r="QMI2486" s="58"/>
      <c r="QMJ2486" s="58"/>
      <c r="QMK2486" s="58"/>
      <c r="QML2486" s="60"/>
      <c r="QMM2486" s="60"/>
      <c r="QMN2486" s="60"/>
      <c r="QMO2486" s="58"/>
      <c r="QMP2486" s="61"/>
      <c r="QMQ2486" s="58"/>
      <c r="QMR2486" s="58"/>
      <c r="QMS2486" s="58"/>
      <c r="QMT2486" s="60"/>
      <c r="QMU2486" s="60"/>
      <c r="QMV2486" s="60"/>
      <c r="QMW2486" s="58"/>
      <c r="QMX2486" s="61"/>
      <c r="QMY2486" s="58"/>
      <c r="QMZ2486" s="58"/>
      <c r="QNA2486" s="58"/>
      <c r="QNB2486" s="60"/>
      <c r="QNC2486" s="60"/>
      <c r="QND2486" s="60"/>
      <c r="QNE2486" s="58"/>
      <c r="QNF2486" s="61"/>
      <c r="QNG2486" s="58"/>
      <c r="QNH2486" s="58"/>
      <c r="QNI2486" s="58"/>
      <c r="QNJ2486" s="60"/>
      <c r="QNK2486" s="60"/>
      <c r="QNL2486" s="60"/>
      <c r="QNM2486" s="58"/>
      <c r="QNN2486" s="61"/>
      <c r="QNO2486" s="58"/>
      <c r="QNP2486" s="58"/>
      <c r="QNQ2486" s="58"/>
      <c r="QNR2486" s="60"/>
      <c r="QNS2486" s="60"/>
      <c r="QNT2486" s="60"/>
      <c r="QNU2486" s="58"/>
      <c r="QNV2486" s="61"/>
      <c r="QNW2486" s="58"/>
      <c r="QNX2486" s="58"/>
      <c r="QNY2486" s="58"/>
      <c r="QNZ2486" s="60"/>
      <c r="QOA2486" s="60"/>
      <c r="QOB2486" s="60"/>
      <c r="QOC2486" s="58"/>
      <c r="QOD2486" s="61"/>
      <c r="QOE2486" s="58"/>
      <c r="QOF2486" s="58"/>
      <c r="QOG2486" s="58"/>
      <c r="QOH2486" s="60"/>
      <c r="QOI2486" s="60"/>
      <c r="QOJ2486" s="60"/>
      <c r="QOK2486" s="58"/>
      <c r="QOL2486" s="61"/>
      <c r="QOM2486" s="58"/>
      <c r="QON2486" s="58"/>
      <c r="QOO2486" s="58"/>
      <c r="QOP2486" s="60"/>
      <c r="QOQ2486" s="60"/>
      <c r="QOR2486" s="60"/>
      <c r="QOS2486" s="58"/>
      <c r="QOT2486" s="61"/>
      <c r="QOU2486" s="58"/>
      <c r="QOV2486" s="58"/>
      <c r="QOW2486" s="58"/>
      <c r="QOX2486" s="60"/>
      <c r="QOY2486" s="60"/>
      <c r="QOZ2486" s="60"/>
      <c r="QPA2486" s="58"/>
      <c r="QPB2486" s="61"/>
      <c r="QPC2486" s="58"/>
      <c r="QPD2486" s="58"/>
      <c r="QPE2486" s="58"/>
      <c r="QPF2486" s="60"/>
      <c r="QPG2486" s="60"/>
      <c r="QPH2486" s="60"/>
      <c r="QPI2486" s="58"/>
      <c r="QPJ2486" s="61"/>
      <c r="QPK2486" s="58"/>
      <c r="QPL2486" s="58"/>
      <c r="QPM2486" s="58"/>
      <c r="QPN2486" s="60"/>
      <c r="QPO2486" s="60"/>
      <c r="QPP2486" s="60"/>
      <c r="QPQ2486" s="58"/>
      <c r="QPR2486" s="61"/>
      <c r="QPS2486" s="58"/>
      <c r="QPT2486" s="58"/>
      <c r="QPU2486" s="58"/>
      <c r="QPV2486" s="60"/>
      <c r="QPW2486" s="60"/>
      <c r="QPX2486" s="60"/>
      <c r="QPY2486" s="58"/>
      <c r="QPZ2486" s="61"/>
      <c r="QQA2486" s="58"/>
      <c r="QQB2486" s="58"/>
      <c r="QQC2486" s="58"/>
      <c r="QQD2486" s="60"/>
      <c r="QQE2486" s="60"/>
      <c r="QQF2486" s="60"/>
      <c r="QQG2486" s="58"/>
      <c r="QQH2486" s="61"/>
      <c r="QQI2486" s="58"/>
      <c r="QQJ2486" s="58"/>
      <c r="QQK2486" s="58"/>
      <c r="QQL2486" s="60"/>
      <c r="QQM2486" s="60"/>
      <c r="QQN2486" s="60"/>
      <c r="QQO2486" s="58"/>
      <c r="QQP2486" s="61"/>
      <c r="QQQ2486" s="58"/>
      <c r="QQR2486" s="58"/>
      <c r="QQS2486" s="58"/>
      <c r="QQT2486" s="60"/>
      <c r="QQU2486" s="60"/>
      <c r="QQV2486" s="60"/>
      <c r="QQW2486" s="58"/>
      <c r="QQX2486" s="61"/>
      <c r="QQY2486" s="58"/>
      <c r="QQZ2486" s="58"/>
      <c r="QRA2486" s="58"/>
      <c r="QRB2486" s="60"/>
      <c r="QRC2486" s="60"/>
      <c r="QRD2486" s="60"/>
      <c r="QRE2486" s="58"/>
      <c r="QRF2486" s="61"/>
      <c r="QRG2486" s="58"/>
      <c r="QRH2486" s="58"/>
      <c r="QRI2486" s="58"/>
      <c r="QRJ2486" s="60"/>
      <c r="QRK2486" s="60"/>
      <c r="QRL2486" s="60"/>
      <c r="QRM2486" s="58"/>
      <c r="QRN2486" s="61"/>
      <c r="QRO2486" s="58"/>
      <c r="QRP2486" s="58"/>
      <c r="QRQ2486" s="58"/>
      <c r="QRR2486" s="60"/>
      <c r="QRS2486" s="60"/>
      <c r="QRT2486" s="60"/>
      <c r="QRU2486" s="58"/>
      <c r="QRV2486" s="61"/>
      <c r="QRW2486" s="58"/>
      <c r="QRX2486" s="58"/>
      <c r="QRY2486" s="58"/>
      <c r="QRZ2486" s="60"/>
      <c r="QSA2486" s="60"/>
      <c r="QSB2486" s="60"/>
      <c r="QSC2486" s="58"/>
      <c r="QSD2486" s="61"/>
      <c r="QSE2486" s="58"/>
      <c r="QSF2486" s="58"/>
      <c r="QSG2486" s="58"/>
      <c r="QSH2486" s="60"/>
      <c r="QSI2486" s="60"/>
      <c r="QSJ2486" s="60"/>
      <c r="QSK2486" s="58"/>
      <c r="QSL2486" s="61"/>
      <c r="QSM2486" s="58"/>
      <c r="QSN2486" s="58"/>
      <c r="QSO2486" s="58"/>
      <c r="QSP2486" s="60"/>
      <c r="QSQ2486" s="60"/>
      <c r="QSR2486" s="60"/>
      <c r="QSS2486" s="58"/>
      <c r="QST2486" s="61"/>
      <c r="QSU2486" s="58"/>
      <c r="QSV2486" s="58"/>
      <c r="QSW2486" s="58"/>
      <c r="QSX2486" s="60"/>
      <c r="QSY2486" s="60"/>
      <c r="QSZ2486" s="60"/>
      <c r="QTA2486" s="58"/>
      <c r="QTB2486" s="61"/>
      <c r="QTC2486" s="58"/>
      <c r="QTD2486" s="58"/>
      <c r="QTE2486" s="58"/>
      <c r="QTF2486" s="60"/>
      <c r="QTG2486" s="60"/>
      <c r="QTH2486" s="60"/>
      <c r="QTI2486" s="58"/>
      <c r="QTJ2486" s="61"/>
      <c r="QTK2486" s="58"/>
      <c r="QTL2486" s="58"/>
      <c r="QTM2486" s="58"/>
      <c r="QTN2486" s="60"/>
      <c r="QTO2486" s="60"/>
      <c r="QTP2486" s="60"/>
      <c r="QTQ2486" s="58"/>
      <c r="QTR2486" s="61"/>
      <c r="QTS2486" s="58"/>
      <c r="QTT2486" s="58"/>
      <c r="QTU2486" s="58"/>
      <c r="QTV2486" s="60"/>
      <c r="QTW2486" s="60"/>
      <c r="QTX2486" s="60"/>
      <c r="QTY2486" s="58"/>
      <c r="QTZ2486" s="61"/>
      <c r="QUA2486" s="58"/>
      <c r="QUB2486" s="58"/>
      <c r="QUC2486" s="58"/>
      <c r="QUD2486" s="60"/>
      <c r="QUE2486" s="60"/>
      <c r="QUF2486" s="60"/>
      <c r="QUG2486" s="58"/>
      <c r="QUH2486" s="61"/>
      <c r="QUI2486" s="58"/>
      <c r="QUJ2486" s="58"/>
      <c r="QUK2486" s="58"/>
      <c r="QUL2486" s="60"/>
      <c r="QUM2486" s="60"/>
      <c r="QUN2486" s="60"/>
      <c r="QUO2486" s="58"/>
      <c r="QUP2486" s="61"/>
      <c r="QUQ2486" s="58"/>
      <c r="QUR2486" s="58"/>
      <c r="QUS2486" s="58"/>
      <c r="QUT2486" s="60"/>
      <c r="QUU2486" s="60"/>
      <c r="QUV2486" s="60"/>
      <c r="QUW2486" s="58"/>
      <c r="QUX2486" s="61"/>
      <c r="QUY2486" s="58"/>
      <c r="QUZ2486" s="58"/>
      <c r="QVA2486" s="58"/>
      <c r="QVB2486" s="60"/>
      <c r="QVC2486" s="60"/>
      <c r="QVD2486" s="60"/>
      <c r="QVE2486" s="58"/>
      <c r="QVF2486" s="61"/>
      <c r="QVG2486" s="58"/>
      <c r="QVH2486" s="58"/>
      <c r="QVI2486" s="58"/>
      <c r="QVJ2486" s="60"/>
      <c r="QVK2486" s="60"/>
      <c r="QVL2486" s="60"/>
      <c r="QVM2486" s="58"/>
      <c r="QVN2486" s="61"/>
      <c r="QVO2486" s="58"/>
      <c r="QVP2486" s="58"/>
      <c r="QVQ2486" s="58"/>
      <c r="QVR2486" s="60"/>
      <c r="QVS2486" s="60"/>
      <c r="QVT2486" s="60"/>
      <c r="QVU2486" s="58"/>
      <c r="QVV2486" s="61"/>
      <c r="QVW2486" s="58"/>
      <c r="QVX2486" s="58"/>
      <c r="QVY2486" s="58"/>
      <c r="QVZ2486" s="60"/>
      <c r="QWA2486" s="60"/>
      <c r="QWB2486" s="60"/>
      <c r="QWC2486" s="58"/>
      <c r="QWD2486" s="61"/>
      <c r="QWE2486" s="58"/>
      <c r="QWF2486" s="58"/>
      <c r="QWG2486" s="58"/>
      <c r="QWH2486" s="60"/>
      <c r="QWI2486" s="60"/>
      <c r="QWJ2486" s="60"/>
      <c r="QWK2486" s="58"/>
      <c r="QWL2486" s="61"/>
      <c r="QWM2486" s="58"/>
      <c r="QWN2486" s="58"/>
      <c r="QWO2486" s="58"/>
      <c r="QWP2486" s="60"/>
      <c r="QWQ2486" s="60"/>
      <c r="QWR2486" s="60"/>
      <c r="QWS2486" s="58"/>
      <c r="QWT2486" s="61"/>
      <c r="QWU2486" s="58"/>
      <c r="QWV2486" s="58"/>
      <c r="QWW2486" s="58"/>
      <c r="QWX2486" s="60"/>
      <c r="QWY2486" s="60"/>
      <c r="QWZ2486" s="60"/>
      <c r="QXA2486" s="58"/>
      <c r="QXB2486" s="61"/>
      <c r="QXC2486" s="58"/>
      <c r="QXD2486" s="58"/>
      <c r="QXE2486" s="58"/>
      <c r="QXF2486" s="60"/>
      <c r="QXG2486" s="60"/>
      <c r="QXH2486" s="60"/>
      <c r="QXI2486" s="58"/>
      <c r="QXJ2486" s="61"/>
      <c r="QXK2486" s="58"/>
      <c r="QXL2486" s="58"/>
      <c r="QXM2486" s="58"/>
      <c r="QXN2486" s="60"/>
      <c r="QXO2486" s="60"/>
      <c r="QXP2486" s="60"/>
      <c r="QXQ2486" s="58"/>
      <c r="QXR2486" s="61"/>
      <c r="QXS2486" s="58"/>
      <c r="QXT2486" s="58"/>
      <c r="QXU2486" s="58"/>
      <c r="QXV2486" s="60"/>
      <c r="QXW2486" s="60"/>
      <c r="QXX2486" s="60"/>
      <c r="QXY2486" s="58"/>
      <c r="QXZ2486" s="61"/>
      <c r="QYA2486" s="58"/>
      <c r="QYB2486" s="58"/>
      <c r="QYC2486" s="58"/>
      <c r="QYD2486" s="60"/>
      <c r="QYE2486" s="60"/>
      <c r="QYF2486" s="60"/>
      <c r="QYG2486" s="58"/>
      <c r="QYH2486" s="61"/>
      <c r="QYI2486" s="58"/>
      <c r="QYJ2486" s="58"/>
      <c r="QYK2486" s="58"/>
      <c r="QYL2486" s="60"/>
      <c r="QYM2486" s="60"/>
      <c r="QYN2486" s="60"/>
      <c r="QYO2486" s="58"/>
      <c r="QYP2486" s="61"/>
      <c r="QYQ2486" s="58"/>
      <c r="QYR2486" s="58"/>
      <c r="QYS2486" s="58"/>
      <c r="QYT2486" s="60"/>
      <c r="QYU2486" s="60"/>
      <c r="QYV2486" s="60"/>
      <c r="QYW2486" s="58"/>
      <c r="QYX2486" s="61"/>
      <c r="QYY2486" s="58"/>
      <c r="QYZ2486" s="58"/>
      <c r="QZA2486" s="58"/>
      <c r="QZB2486" s="60"/>
      <c r="QZC2486" s="60"/>
      <c r="QZD2486" s="60"/>
      <c r="QZE2486" s="58"/>
      <c r="QZF2486" s="61"/>
      <c r="QZG2486" s="58"/>
      <c r="QZH2486" s="58"/>
      <c r="QZI2486" s="58"/>
      <c r="QZJ2486" s="60"/>
      <c r="QZK2486" s="60"/>
      <c r="QZL2486" s="60"/>
      <c r="QZM2486" s="58"/>
      <c r="QZN2486" s="61"/>
      <c r="QZO2486" s="58"/>
      <c r="QZP2486" s="58"/>
      <c r="QZQ2486" s="58"/>
      <c r="QZR2486" s="60"/>
      <c r="QZS2486" s="60"/>
      <c r="QZT2486" s="60"/>
      <c r="QZU2486" s="58"/>
      <c r="QZV2486" s="61"/>
      <c r="QZW2486" s="58"/>
      <c r="QZX2486" s="58"/>
      <c r="QZY2486" s="58"/>
      <c r="QZZ2486" s="60"/>
      <c r="RAA2486" s="60"/>
      <c r="RAB2486" s="60"/>
      <c r="RAC2486" s="58"/>
      <c r="RAD2486" s="61"/>
      <c r="RAE2486" s="58"/>
      <c r="RAF2486" s="58"/>
      <c r="RAG2486" s="58"/>
      <c r="RAH2486" s="60"/>
      <c r="RAI2486" s="60"/>
      <c r="RAJ2486" s="60"/>
      <c r="RAK2486" s="58"/>
      <c r="RAL2486" s="61"/>
      <c r="RAM2486" s="58"/>
      <c r="RAN2486" s="58"/>
      <c r="RAO2486" s="58"/>
      <c r="RAP2486" s="60"/>
      <c r="RAQ2486" s="60"/>
      <c r="RAR2486" s="60"/>
      <c r="RAS2486" s="58"/>
      <c r="RAT2486" s="61"/>
      <c r="RAU2486" s="58"/>
      <c r="RAV2486" s="58"/>
      <c r="RAW2486" s="58"/>
      <c r="RAX2486" s="60"/>
      <c r="RAY2486" s="60"/>
      <c r="RAZ2486" s="60"/>
      <c r="RBA2486" s="58"/>
      <c r="RBB2486" s="61"/>
      <c r="RBC2486" s="58"/>
      <c r="RBD2486" s="58"/>
      <c r="RBE2486" s="58"/>
      <c r="RBF2486" s="60"/>
      <c r="RBG2486" s="60"/>
      <c r="RBH2486" s="60"/>
      <c r="RBI2486" s="58"/>
      <c r="RBJ2486" s="61"/>
      <c r="RBK2486" s="58"/>
      <c r="RBL2486" s="58"/>
      <c r="RBM2486" s="58"/>
      <c r="RBN2486" s="60"/>
      <c r="RBO2486" s="60"/>
      <c r="RBP2486" s="60"/>
      <c r="RBQ2486" s="58"/>
      <c r="RBR2486" s="61"/>
      <c r="RBS2486" s="58"/>
      <c r="RBT2486" s="58"/>
      <c r="RBU2486" s="58"/>
      <c r="RBV2486" s="60"/>
      <c r="RBW2486" s="60"/>
      <c r="RBX2486" s="60"/>
      <c r="RBY2486" s="58"/>
      <c r="RBZ2486" s="61"/>
      <c r="RCA2486" s="58"/>
      <c r="RCB2486" s="58"/>
      <c r="RCC2486" s="58"/>
      <c r="RCD2486" s="60"/>
      <c r="RCE2486" s="60"/>
      <c r="RCF2486" s="60"/>
      <c r="RCG2486" s="58"/>
      <c r="RCH2486" s="61"/>
      <c r="RCI2486" s="58"/>
      <c r="RCJ2486" s="58"/>
      <c r="RCK2486" s="58"/>
      <c r="RCL2486" s="60"/>
      <c r="RCM2486" s="60"/>
      <c r="RCN2486" s="60"/>
      <c r="RCO2486" s="58"/>
      <c r="RCP2486" s="61"/>
      <c r="RCQ2486" s="58"/>
      <c r="RCR2486" s="58"/>
      <c r="RCS2486" s="58"/>
      <c r="RCT2486" s="60"/>
      <c r="RCU2486" s="60"/>
      <c r="RCV2486" s="60"/>
      <c r="RCW2486" s="58"/>
      <c r="RCX2486" s="61"/>
      <c r="RCY2486" s="58"/>
      <c r="RCZ2486" s="58"/>
      <c r="RDA2486" s="58"/>
      <c r="RDB2486" s="60"/>
      <c r="RDC2486" s="60"/>
      <c r="RDD2486" s="60"/>
      <c r="RDE2486" s="58"/>
      <c r="RDF2486" s="61"/>
      <c r="RDG2486" s="58"/>
      <c r="RDH2486" s="58"/>
      <c r="RDI2486" s="58"/>
      <c r="RDJ2486" s="60"/>
      <c r="RDK2486" s="60"/>
      <c r="RDL2486" s="60"/>
      <c r="RDM2486" s="58"/>
      <c r="RDN2486" s="61"/>
      <c r="RDO2486" s="58"/>
      <c r="RDP2486" s="58"/>
      <c r="RDQ2486" s="58"/>
      <c r="RDR2486" s="60"/>
      <c r="RDS2486" s="60"/>
      <c r="RDT2486" s="60"/>
      <c r="RDU2486" s="58"/>
      <c r="RDV2486" s="61"/>
      <c r="RDW2486" s="58"/>
      <c r="RDX2486" s="58"/>
      <c r="RDY2486" s="58"/>
      <c r="RDZ2486" s="60"/>
      <c r="REA2486" s="60"/>
      <c r="REB2486" s="60"/>
      <c r="REC2486" s="58"/>
      <c r="RED2486" s="61"/>
      <c r="REE2486" s="58"/>
      <c r="REF2486" s="58"/>
      <c r="REG2486" s="58"/>
      <c r="REH2486" s="60"/>
      <c r="REI2486" s="60"/>
      <c r="REJ2486" s="60"/>
      <c r="REK2486" s="58"/>
      <c r="REL2486" s="61"/>
      <c r="REM2486" s="58"/>
      <c r="REN2486" s="58"/>
      <c r="REO2486" s="58"/>
      <c r="REP2486" s="60"/>
      <c r="REQ2486" s="60"/>
      <c r="RER2486" s="60"/>
      <c r="RES2486" s="58"/>
      <c r="RET2486" s="61"/>
      <c r="REU2486" s="58"/>
      <c r="REV2486" s="58"/>
      <c r="REW2486" s="58"/>
      <c r="REX2486" s="60"/>
      <c r="REY2486" s="60"/>
      <c r="REZ2486" s="60"/>
      <c r="RFA2486" s="58"/>
      <c r="RFB2486" s="61"/>
      <c r="RFC2486" s="58"/>
      <c r="RFD2486" s="58"/>
      <c r="RFE2486" s="58"/>
      <c r="RFF2486" s="60"/>
      <c r="RFG2486" s="60"/>
      <c r="RFH2486" s="60"/>
      <c r="RFI2486" s="58"/>
      <c r="RFJ2486" s="61"/>
      <c r="RFK2486" s="58"/>
      <c r="RFL2486" s="58"/>
      <c r="RFM2486" s="58"/>
      <c r="RFN2486" s="60"/>
      <c r="RFO2486" s="60"/>
      <c r="RFP2486" s="60"/>
      <c r="RFQ2486" s="58"/>
      <c r="RFR2486" s="61"/>
      <c r="RFS2486" s="58"/>
      <c r="RFT2486" s="58"/>
      <c r="RFU2486" s="58"/>
      <c r="RFV2486" s="60"/>
      <c r="RFW2486" s="60"/>
      <c r="RFX2486" s="60"/>
      <c r="RFY2486" s="58"/>
      <c r="RFZ2486" s="61"/>
      <c r="RGA2486" s="58"/>
      <c r="RGB2486" s="58"/>
      <c r="RGC2486" s="58"/>
      <c r="RGD2486" s="60"/>
      <c r="RGE2486" s="60"/>
      <c r="RGF2486" s="60"/>
      <c r="RGG2486" s="58"/>
      <c r="RGH2486" s="61"/>
      <c r="RGI2486" s="58"/>
      <c r="RGJ2486" s="58"/>
      <c r="RGK2486" s="58"/>
      <c r="RGL2486" s="60"/>
      <c r="RGM2486" s="60"/>
      <c r="RGN2486" s="60"/>
      <c r="RGO2486" s="58"/>
      <c r="RGP2486" s="61"/>
      <c r="RGQ2486" s="58"/>
      <c r="RGR2486" s="58"/>
      <c r="RGS2486" s="58"/>
      <c r="RGT2486" s="60"/>
      <c r="RGU2486" s="60"/>
      <c r="RGV2486" s="60"/>
      <c r="RGW2486" s="58"/>
      <c r="RGX2486" s="61"/>
      <c r="RGY2486" s="58"/>
      <c r="RGZ2486" s="58"/>
      <c r="RHA2486" s="58"/>
      <c r="RHB2486" s="60"/>
      <c r="RHC2486" s="60"/>
      <c r="RHD2486" s="60"/>
      <c r="RHE2486" s="58"/>
      <c r="RHF2486" s="61"/>
      <c r="RHG2486" s="58"/>
      <c r="RHH2486" s="58"/>
      <c r="RHI2486" s="58"/>
      <c r="RHJ2486" s="60"/>
      <c r="RHK2486" s="60"/>
      <c r="RHL2486" s="60"/>
      <c r="RHM2486" s="58"/>
      <c r="RHN2486" s="61"/>
      <c r="RHO2486" s="58"/>
      <c r="RHP2486" s="58"/>
      <c r="RHQ2486" s="58"/>
      <c r="RHR2486" s="60"/>
      <c r="RHS2486" s="60"/>
      <c r="RHT2486" s="60"/>
      <c r="RHU2486" s="58"/>
      <c r="RHV2486" s="61"/>
      <c r="RHW2486" s="58"/>
      <c r="RHX2486" s="58"/>
      <c r="RHY2486" s="58"/>
      <c r="RHZ2486" s="60"/>
      <c r="RIA2486" s="60"/>
      <c r="RIB2486" s="60"/>
      <c r="RIC2486" s="58"/>
      <c r="RID2486" s="61"/>
      <c r="RIE2486" s="58"/>
      <c r="RIF2486" s="58"/>
      <c r="RIG2486" s="58"/>
      <c r="RIH2486" s="60"/>
      <c r="RII2486" s="60"/>
      <c r="RIJ2486" s="60"/>
      <c r="RIK2486" s="58"/>
      <c r="RIL2486" s="61"/>
      <c r="RIM2486" s="58"/>
      <c r="RIN2486" s="58"/>
      <c r="RIO2486" s="58"/>
      <c r="RIP2486" s="60"/>
      <c r="RIQ2486" s="60"/>
      <c r="RIR2486" s="60"/>
      <c r="RIS2486" s="58"/>
      <c r="RIT2486" s="61"/>
      <c r="RIU2486" s="58"/>
      <c r="RIV2486" s="58"/>
      <c r="RIW2486" s="58"/>
      <c r="RIX2486" s="60"/>
      <c r="RIY2486" s="60"/>
      <c r="RIZ2486" s="60"/>
      <c r="RJA2486" s="58"/>
      <c r="RJB2486" s="61"/>
      <c r="RJC2486" s="58"/>
      <c r="RJD2486" s="58"/>
      <c r="RJE2486" s="58"/>
      <c r="RJF2486" s="60"/>
      <c r="RJG2486" s="60"/>
      <c r="RJH2486" s="60"/>
      <c r="RJI2486" s="58"/>
      <c r="RJJ2486" s="61"/>
      <c r="RJK2486" s="58"/>
      <c r="RJL2486" s="58"/>
      <c r="RJM2486" s="58"/>
      <c r="RJN2486" s="60"/>
      <c r="RJO2486" s="60"/>
      <c r="RJP2486" s="60"/>
      <c r="RJQ2486" s="58"/>
      <c r="RJR2486" s="61"/>
      <c r="RJS2486" s="58"/>
      <c r="RJT2486" s="58"/>
      <c r="RJU2486" s="58"/>
      <c r="RJV2486" s="60"/>
      <c r="RJW2486" s="60"/>
      <c r="RJX2486" s="60"/>
      <c r="RJY2486" s="58"/>
      <c r="RJZ2486" s="61"/>
      <c r="RKA2486" s="58"/>
      <c r="RKB2486" s="58"/>
      <c r="RKC2486" s="58"/>
      <c r="RKD2486" s="60"/>
      <c r="RKE2486" s="60"/>
      <c r="RKF2486" s="60"/>
      <c r="RKG2486" s="58"/>
      <c r="RKH2486" s="61"/>
      <c r="RKI2486" s="58"/>
      <c r="RKJ2486" s="58"/>
      <c r="RKK2486" s="58"/>
      <c r="RKL2486" s="60"/>
      <c r="RKM2486" s="60"/>
      <c r="RKN2486" s="60"/>
      <c r="RKO2486" s="58"/>
      <c r="RKP2486" s="61"/>
      <c r="RKQ2486" s="58"/>
      <c r="RKR2486" s="58"/>
      <c r="RKS2486" s="58"/>
      <c r="RKT2486" s="60"/>
      <c r="RKU2486" s="60"/>
      <c r="RKV2486" s="60"/>
      <c r="RKW2486" s="58"/>
      <c r="RKX2486" s="61"/>
      <c r="RKY2486" s="58"/>
      <c r="RKZ2486" s="58"/>
      <c r="RLA2486" s="58"/>
      <c r="RLB2486" s="60"/>
      <c r="RLC2486" s="60"/>
      <c r="RLD2486" s="60"/>
      <c r="RLE2486" s="58"/>
      <c r="RLF2486" s="61"/>
      <c r="RLG2486" s="58"/>
      <c r="RLH2486" s="58"/>
      <c r="RLI2486" s="58"/>
      <c r="RLJ2486" s="60"/>
      <c r="RLK2486" s="60"/>
      <c r="RLL2486" s="60"/>
      <c r="RLM2486" s="58"/>
      <c r="RLN2486" s="61"/>
      <c r="RLO2486" s="58"/>
      <c r="RLP2486" s="58"/>
      <c r="RLQ2486" s="58"/>
      <c r="RLR2486" s="60"/>
      <c r="RLS2486" s="60"/>
      <c r="RLT2486" s="60"/>
      <c r="RLU2486" s="58"/>
      <c r="RLV2486" s="61"/>
      <c r="RLW2486" s="58"/>
      <c r="RLX2486" s="58"/>
      <c r="RLY2486" s="58"/>
      <c r="RLZ2486" s="60"/>
      <c r="RMA2486" s="60"/>
      <c r="RMB2486" s="60"/>
      <c r="RMC2486" s="58"/>
      <c r="RMD2486" s="61"/>
      <c r="RME2486" s="58"/>
      <c r="RMF2486" s="58"/>
      <c r="RMG2486" s="58"/>
      <c r="RMH2486" s="60"/>
      <c r="RMI2486" s="60"/>
      <c r="RMJ2486" s="60"/>
      <c r="RMK2486" s="58"/>
      <c r="RML2486" s="61"/>
      <c r="RMM2486" s="58"/>
      <c r="RMN2486" s="58"/>
      <c r="RMO2486" s="58"/>
      <c r="RMP2486" s="60"/>
      <c r="RMQ2486" s="60"/>
      <c r="RMR2486" s="60"/>
      <c r="RMS2486" s="58"/>
      <c r="RMT2486" s="61"/>
      <c r="RMU2486" s="58"/>
      <c r="RMV2486" s="58"/>
      <c r="RMW2486" s="58"/>
      <c r="RMX2486" s="60"/>
      <c r="RMY2486" s="60"/>
      <c r="RMZ2486" s="60"/>
      <c r="RNA2486" s="58"/>
      <c r="RNB2486" s="61"/>
      <c r="RNC2486" s="58"/>
      <c r="RND2486" s="58"/>
      <c r="RNE2486" s="58"/>
      <c r="RNF2486" s="60"/>
      <c r="RNG2486" s="60"/>
      <c r="RNH2486" s="60"/>
      <c r="RNI2486" s="58"/>
      <c r="RNJ2486" s="61"/>
      <c r="RNK2486" s="58"/>
      <c r="RNL2486" s="58"/>
      <c r="RNM2486" s="58"/>
      <c r="RNN2486" s="60"/>
      <c r="RNO2486" s="60"/>
      <c r="RNP2486" s="60"/>
      <c r="RNQ2486" s="58"/>
      <c r="RNR2486" s="61"/>
      <c r="RNS2486" s="58"/>
      <c r="RNT2486" s="58"/>
      <c r="RNU2486" s="58"/>
      <c r="RNV2486" s="60"/>
      <c r="RNW2486" s="60"/>
      <c r="RNX2486" s="60"/>
      <c r="RNY2486" s="58"/>
      <c r="RNZ2486" s="61"/>
      <c r="ROA2486" s="58"/>
      <c r="ROB2486" s="58"/>
      <c r="ROC2486" s="58"/>
      <c r="ROD2486" s="60"/>
      <c r="ROE2486" s="60"/>
      <c r="ROF2486" s="60"/>
      <c r="ROG2486" s="58"/>
      <c r="ROH2486" s="61"/>
      <c r="ROI2486" s="58"/>
      <c r="ROJ2486" s="58"/>
      <c r="ROK2486" s="58"/>
      <c r="ROL2486" s="60"/>
      <c r="ROM2486" s="60"/>
      <c r="RON2486" s="60"/>
      <c r="ROO2486" s="58"/>
      <c r="ROP2486" s="61"/>
      <c r="ROQ2486" s="58"/>
      <c r="ROR2486" s="58"/>
      <c r="ROS2486" s="58"/>
      <c r="ROT2486" s="60"/>
      <c r="ROU2486" s="60"/>
      <c r="ROV2486" s="60"/>
      <c r="ROW2486" s="58"/>
      <c r="ROX2486" s="61"/>
      <c r="ROY2486" s="58"/>
      <c r="ROZ2486" s="58"/>
      <c r="RPA2486" s="58"/>
      <c r="RPB2486" s="60"/>
      <c r="RPC2486" s="60"/>
      <c r="RPD2486" s="60"/>
      <c r="RPE2486" s="58"/>
      <c r="RPF2486" s="61"/>
      <c r="RPG2486" s="58"/>
      <c r="RPH2486" s="58"/>
      <c r="RPI2486" s="58"/>
      <c r="RPJ2486" s="60"/>
      <c r="RPK2486" s="60"/>
      <c r="RPL2486" s="60"/>
      <c r="RPM2486" s="58"/>
      <c r="RPN2486" s="61"/>
      <c r="RPO2486" s="58"/>
      <c r="RPP2486" s="58"/>
      <c r="RPQ2486" s="58"/>
      <c r="RPR2486" s="60"/>
      <c r="RPS2486" s="60"/>
      <c r="RPT2486" s="60"/>
      <c r="RPU2486" s="58"/>
      <c r="RPV2486" s="61"/>
      <c r="RPW2486" s="58"/>
      <c r="RPX2486" s="58"/>
      <c r="RPY2486" s="58"/>
      <c r="RPZ2486" s="60"/>
      <c r="RQA2486" s="60"/>
      <c r="RQB2486" s="60"/>
      <c r="RQC2486" s="58"/>
      <c r="RQD2486" s="61"/>
      <c r="RQE2486" s="58"/>
      <c r="RQF2486" s="58"/>
      <c r="RQG2486" s="58"/>
      <c r="RQH2486" s="60"/>
      <c r="RQI2486" s="60"/>
      <c r="RQJ2486" s="60"/>
      <c r="RQK2486" s="58"/>
      <c r="RQL2486" s="61"/>
      <c r="RQM2486" s="58"/>
      <c r="RQN2486" s="58"/>
      <c r="RQO2486" s="58"/>
      <c r="RQP2486" s="60"/>
      <c r="RQQ2486" s="60"/>
      <c r="RQR2486" s="60"/>
      <c r="RQS2486" s="58"/>
      <c r="RQT2486" s="61"/>
      <c r="RQU2486" s="58"/>
      <c r="RQV2486" s="58"/>
      <c r="RQW2486" s="58"/>
      <c r="RQX2486" s="60"/>
      <c r="RQY2486" s="60"/>
      <c r="RQZ2486" s="60"/>
      <c r="RRA2486" s="58"/>
      <c r="RRB2486" s="61"/>
      <c r="RRC2486" s="58"/>
      <c r="RRD2486" s="58"/>
      <c r="RRE2486" s="58"/>
      <c r="RRF2486" s="60"/>
      <c r="RRG2486" s="60"/>
      <c r="RRH2486" s="60"/>
      <c r="RRI2486" s="58"/>
      <c r="RRJ2486" s="61"/>
      <c r="RRK2486" s="58"/>
      <c r="RRL2486" s="58"/>
      <c r="RRM2486" s="58"/>
      <c r="RRN2486" s="60"/>
      <c r="RRO2486" s="60"/>
      <c r="RRP2486" s="60"/>
      <c r="RRQ2486" s="58"/>
      <c r="RRR2486" s="61"/>
      <c r="RRS2486" s="58"/>
      <c r="RRT2486" s="58"/>
      <c r="RRU2486" s="58"/>
      <c r="RRV2486" s="60"/>
      <c r="RRW2486" s="60"/>
      <c r="RRX2486" s="60"/>
      <c r="RRY2486" s="58"/>
      <c r="RRZ2486" s="61"/>
      <c r="RSA2486" s="58"/>
      <c r="RSB2486" s="58"/>
      <c r="RSC2486" s="58"/>
      <c r="RSD2486" s="60"/>
      <c r="RSE2486" s="60"/>
      <c r="RSF2486" s="60"/>
      <c r="RSG2486" s="58"/>
      <c r="RSH2486" s="61"/>
      <c r="RSI2486" s="58"/>
      <c r="RSJ2486" s="58"/>
      <c r="RSK2486" s="58"/>
      <c r="RSL2486" s="60"/>
      <c r="RSM2486" s="60"/>
      <c r="RSN2486" s="60"/>
      <c r="RSO2486" s="58"/>
      <c r="RSP2486" s="61"/>
      <c r="RSQ2486" s="58"/>
      <c r="RSR2486" s="58"/>
      <c r="RSS2486" s="58"/>
      <c r="RST2486" s="60"/>
      <c r="RSU2486" s="60"/>
      <c r="RSV2486" s="60"/>
      <c r="RSW2486" s="58"/>
      <c r="RSX2486" s="61"/>
      <c r="RSY2486" s="58"/>
      <c r="RSZ2486" s="58"/>
      <c r="RTA2486" s="58"/>
      <c r="RTB2486" s="60"/>
      <c r="RTC2486" s="60"/>
      <c r="RTD2486" s="60"/>
      <c r="RTE2486" s="58"/>
      <c r="RTF2486" s="61"/>
      <c r="RTG2486" s="58"/>
      <c r="RTH2486" s="58"/>
      <c r="RTI2486" s="58"/>
      <c r="RTJ2486" s="60"/>
      <c r="RTK2486" s="60"/>
      <c r="RTL2486" s="60"/>
      <c r="RTM2486" s="58"/>
      <c r="RTN2486" s="61"/>
      <c r="RTO2486" s="58"/>
      <c r="RTP2486" s="58"/>
      <c r="RTQ2486" s="58"/>
      <c r="RTR2486" s="60"/>
      <c r="RTS2486" s="60"/>
      <c r="RTT2486" s="60"/>
      <c r="RTU2486" s="58"/>
      <c r="RTV2486" s="61"/>
      <c r="RTW2486" s="58"/>
      <c r="RTX2486" s="58"/>
      <c r="RTY2486" s="58"/>
      <c r="RTZ2486" s="60"/>
      <c r="RUA2486" s="60"/>
      <c r="RUB2486" s="60"/>
      <c r="RUC2486" s="58"/>
      <c r="RUD2486" s="61"/>
      <c r="RUE2486" s="58"/>
      <c r="RUF2486" s="58"/>
      <c r="RUG2486" s="58"/>
      <c r="RUH2486" s="60"/>
      <c r="RUI2486" s="60"/>
      <c r="RUJ2486" s="60"/>
      <c r="RUK2486" s="58"/>
      <c r="RUL2486" s="61"/>
      <c r="RUM2486" s="58"/>
      <c r="RUN2486" s="58"/>
      <c r="RUO2486" s="58"/>
      <c r="RUP2486" s="60"/>
      <c r="RUQ2486" s="60"/>
      <c r="RUR2486" s="60"/>
      <c r="RUS2486" s="58"/>
      <c r="RUT2486" s="61"/>
      <c r="RUU2486" s="58"/>
      <c r="RUV2486" s="58"/>
      <c r="RUW2486" s="58"/>
      <c r="RUX2486" s="60"/>
      <c r="RUY2486" s="60"/>
      <c r="RUZ2486" s="60"/>
      <c r="RVA2486" s="58"/>
      <c r="RVB2486" s="61"/>
      <c r="RVC2486" s="58"/>
      <c r="RVD2486" s="58"/>
      <c r="RVE2486" s="58"/>
      <c r="RVF2486" s="60"/>
      <c r="RVG2486" s="60"/>
      <c r="RVH2486" s="60"/>
      <c r="RVI2486" s="58"/>
      <c r="RVJ2486" s="61"/>
      <c r="RVK2486" s="58"/>
      <c r="RVL2486" s="58"/>
      <c r="RVM2486" s="58"/>
      <c r="RVN2486" s="60"/>
      <c r="RVO2486" s="60"/>
      <c r="RVP2486" s="60"/>
      <c r="RVQ2486" s="58"/>
      <c r="RVR2486" s="61"/>
      <c r="RVS2486" s="58"/>
      <c r="RVT2486" s="58"/>
      <c r="RVU2486" s="58"/>
      <c r="RVV2486" s="60"/>
      <c r="RVW2486" s="60"/>
      <c r="RVX2486" s="60"/>
      <c r="RVY2486" s="58"/>
      <c r="RVZ2486" s="61"/>
      <c r="RWA2486" s="58"/>
      <c r="RWB2486" s="58"/>
      <c r="RWC2486" s="58"/>
      <c r="RWD2486" s="60"/>
      <c r="RWE2486" s="60"/>
      <c r="RWF2486" s="60"/>
      <c r="RWG2486" s="58"/>
      <c r="RWH2486" s="61"/>
      <c r="RWI2486" s="58"/>
      <c r="RWJ2486" s="58"/>
      <c r="RWK2486" s="58"/>
      <c r="RWL2486" s="60"/>
      <c r="RWM2486" s="60"/>
      <c r="RWN2486" s="60"/>
      <c r="RWO2486" s="58"/>
      <c r="RWP2486" s="61"/>
      <c r="RWQ2486" s="58"/>
      <c r="RWR2486" s="58"/>
      <c r="RWS2486" s="58"/>
      <c r="RWT2486" s="60"/>
      <c r="RWU2486" s="60"/>
      <c r="RWV2486" s="60"/>
      <c r="RWW2486" s="58"/>
      <c r="RWX2486" s="61"/>
      <c r="RWY2486" s="58"/>
      <c r="RWZ2486" s="58"/>
      <c r="RXA2486" s="58"/>
      <c r="RXB2486" s="60"/>
      <c r="RXC2486" s="60"/>
      <c r="RXD2486" s="60"/>
      <c r="RXE2486" s="58"/>
      <c r="RXF2486" s="61"/>
      <c r="RXG2486" s="58"/>
      <c r="RXH2486" s="58"/>
      <c r="RXI2486" s="58"/>
      <c r="RXJ2486" s="60"/>
      <c r="RXK2486" s="60"/>
      <c r="RXL2486" s="60"/>
      <c r="RXM2486" s="58"/>
      <c r="RXN2486" s="61"/>
      <c r="RXO2486" s="58"/>
      <c r="RXP2486" s="58"/>
      <c r="RXQ2486" s="58"/>
      <c r="RXR2486" s="60"/>
      <c r="RXS2486" s="60"/>
      <c r="RXT2486" s="60"/>
      <c r="RXU2486" s="58"/>
      <c r="RXV2486" s="61"/>
      <c r="RXW2486" s="58"/>
      <c r="RXX2486" s="58"/>
      <c r="RXY2486" s="58"/>
      <c r="RXZ2486" s="60"/>
      <c r="RYA2486" s="60"/>
      <c r="RYB2486" s="60"/>
      <c r="RYC2486" s="58"/>
      <c r="RYD2486" s="61"/>
      <c r="RYE2486" s="58"/>
      <c r="RYF2486" s="58"/>
      <c r="RYG2486" s="58"/>
      <c r="RYH2486" s="60"/>
      <c r="RYI2486" s="60"/>
      <c r="RYJ2486" s="60"/>
      <c r="RYK2486" s="58"/>
      <c r="RYL2486" s="61"/>
      <c r="RYM2486" s="58"/>
      <c r="RYN2486" s="58"/>
      <c r="RYO2486" s="58"/>
      <c r="RYP2486" s="60"/>
      <c r="RYQ2486" s="60"/>
      <c r="RYR2486" s="60"/>
      <c r="RYS2486" s="58"/>
      <c r="RYT2486" s="61"/>
      <c r="RYU2486" s="58"/>
      <c r="RYV2486" s="58"/>
      <c r="RYW2486" s="58"/>
      <c r="RYX2486" s="60"/>
      <c r="RYY2486" s="60"/>
      <c r="RYZ2486" s="60"/>
      <c r="RZA2486" s="58"/>
      <c r="RZB2486" s="61"/>
      <c r="RZC2486" s="58"/>
      <c r="RZD2486" s="58"/>
      <c r="RZE2486" s="58"/>
      <c r="RZF2486" s="60"/>
      <c r="RZG2486" s="60"/>
      <c r="RZH2486" s="60"/>
      <c r="RZI2486" s="58"/>
      <c r="RZJ2486" s="61"/>
      <c r="RZK2486" s="58"/>
      <c r="RZL2486" s="58"/>
      <c r="RZM2486" s="58"/>
      <c r="RZN2486" s="60"/>
      <c r="RZO2486" s="60"/>
      <c r="RZP2486" s="60"/>
      <c r="RZQ2486" s="58"/>
      <c r="RZR2486" s="61"/>
      <c r="RZS2486" s="58"/>
      <c r="RZT2486" s="58"/>
      <c r="RZU2486" s="58"/>
      <c r="RZV2486" s="60"/>
      <c r="RZW2486" s="60"/>
      <c r="RZX2486" s="60"/>
      <c r="RZY2486" s="58"/>
      <c r="RZZ2486" s="61"/>
      <c r="SAA2486" s="58"/>
      <c r="SAB2486" s="58"/>
      <c r="SAC2486" s="58"/>
      <c r="SAD2486" s="60"/>
      <c r="SAE2486" s="60"/>
      <c r="SAF2486" s="60"/>
      <c r="SAG2486" s="58"/>
      <c r="SAH2486" s="61"/>
      <c r="SAI2486" s="58"/>
      <c r="SAJ2486" s="58"/>
      <c r="SAK2486" s="58"/>
      <c r="SAL2486" s="60"/>
      <c r="SAM2486" s="60"/>
      <c r="SAN2486" s="60"/>
      <c r="SAO2486" s="58"/>
      <c r="SAP2486" s="61"/>
      <c r="SAQ2486" s="58"/>
      <c r="SAR2486" s="58"/>
      <c r="SAS2486" s="58"/>
      <c r="SAT2486" s="60"/>
      <c r="SAU2486" s="60"/>
      <c r="SAV2486" s="60"/>
      <c r="SAW2486" s="58"/>
      <c r="SAX2486" s="61"/>
      <c r="SAY2486" s="58"/>
      <c r="SAZ2486" s="58"/>
      <c r="SBA2486" s="58"/>
      <c r="SBB2486" s="60"/>
      <c r="SBC2486" s="60"/>
      <c r="SBD2486" s="60"/>
      <c r="SBE2486" s="58"/>
      <c r="SBF2486" s="61"/>
      <c r="SBG2486" s="58"/>
      <c r="SBH2486" s="58"/>
      <c r="SBI2486" s="58"/>
      <c r="SBJ2486" s="60"/>
      <c r="SBK2486" s="60"/>
      <c r="SBL2486" s="60"/>
      <c r="SBM2486" s="58"/>
      <c r="SBN2486" s="61"/>
      <c r="SBO2486" s="58"/>
      <c r="SBP2486" s="58"/>
      <c r="SBQ2486" s="58"/>
      <c r="SBR2486" s="60"/>
      <c r="SBS2486" s="60"/>
      <c r="SBT2486" s="60"/>
      <c r="SBU2486" s="58"/>
      <c r="SBV2486" s="61"/>
      <c r="SBW2486" s="58"/>
      <c r="SBX2486" s="58"/>
      <c r="SBY2486" s="58"/>
      <c r="SBZ2486" s="60"/>
      <c r="SCA2486" s="60"/>
      <c r="SCB2486" s="60"/>
      <c r="SCC2486" s="58"/>
      <c r="SCD2486" s="61"/>
      <c r="SCE2486" s="58"/>
      <c r="SCF2486" s="58"/>
      <c r="SCG2486" s="58"/>
      <c r="SCH2486" s="60"/>
      <c r="SCI2486" s="60"/>
      <c r="SCJ2486" s="60"/>
      <c r="SCK2486" s="58"/>
      <c r="SCL2486" s="61"/>
      <c r="SCM2486" s="58"/>
      <c r="SCN2486" s="58"/>
      <c r="SCO2486" s="58"/>
      <c r="SCP2486" s="60"/>
      <c r="SCQ2486" s="60"/>
      <c r="SCR2486" s="60"/>
      <c r="SCS2486" s="58"/>
      <c r="SCT2486" s="61"/>
      <c r="SCU2486" s="58"/>
      <c r="SCV2486" s="58"/>
      <c r="SCW2486" s="58"/>
      <c r="SCX2486" s="60"/>
      <c r="SCY2486" s="60"/>
      <c r="SCZ2486" s="60"/>
      <c r="SDA2486" s="58"/>
      <c r="SDB2486" s="61"/>
      <c r="SDC2486" s="58"/>
      <c r="SDD2486" s="58"/>
      <c r="SDE2486" s="58"/>
      <c r="SDF2486" s="60"/>
      <c r="SDG2486" s="60"/>
      <c r="SDH2486" s="60"/>
      <c r="SDI2486" s="58"/>
      <c r="SDJ2486" s="61"/>
      <c r="SDK2486" s="58"/>
      <c r="SDL2486" s="58"/>
      <c r="SDM2486" s="58"/>
      <c r="SDN2486" s="60"/>
      <c r="SDO2486" s="60"/>
      <c r="SDP2486" s="60"/>
      <c r="SDQ2486" s="58"/>
      <c r="SDR2486" s="61"/>
      <c r="SDS2486" s="58"/>
      <c r="SDT2486" s="58"/>
      <c r="SDU2486" s="58"/>
      <c r="SDV2486" s="60"/>
      <c r="SDW2486" s="60"/>
      <c r="SDX2486" s="60"/>
      <c r="SDY2486" s="58"/>
      <c r="SDZ2486" s="61"/>
      <c r="SEA2486" s="58"/>
      <c r="SEB2486" s="58"/>
      <c r="SEC2486" s="58"/>
      <c r="SED2486" s="60"/>
      <c r="SEE2486" s="60"/>
      <c r="SEF2486" s="60"/>
      <c r="SEG2486" s="58"/>
      <c r="SEH2486" s="61"/>
      <c r="SEI2486" s="58"/>
      <c r="SEJ2486" s="58"/>
      <c r="SEK2486" s="58"/>
      <c r="SEL2486" s="60"/>
      <c r="SEM2486" s="60"/>
      <c r="SEN2486" s="60"/>
      <c r="SEO2486" s="58"/>
      <c r="SEP2486" s="61"/>
      <c r="SEQ2486" s="58"/>
      <c r="SER2486" s="58"/>
      <c r="SES2486" s="58"/>
      <c r="SET2486" s="60"/>
      <c r="SEU2486" s="60"/>
      <c r="SEV2486" s="60"/>
      <c r="SEW2486" s="58"/>
      <c r="SEX2486" s="61"/>
      <c r="SEY2486" s="58"/>
      <c r="SEZ2486" s="58"/>
      <c r="SFA2486" s="58"/>
      <c r="SFB2486" s="60"/>
      <c r="SFC2486" s="60"/>
      <c r="SFD2486" s="60"/>
      <c r="SFE2486" s="58"/>
      <c r="SFF2486" s="61"/>
      <c r="SFG2486" s="58"/>
      <c r="SFH2486" s="58"/>
      <c r="SFI2486" s="58"/>
      <c r="SFJ2486" s="60"/>
      <c r="SFK2486" s="60"/>
      <c r="SFL2486" s="60"/>
      <c r="SFM2486" s="58"/>
      <c r="SFN2486" s="61"/>
      <c r="SFO2486" s="58"/>
      <c r="SFP2486" s="58"/>
      <c r="SFQ2486" s="58"/>
      <c r="SFR2486" s="60"/>
      <c r="SFS2486" s="60"/>
      <c r="SFT2486" s="60"/>
      <c r="SFU2486" s="58"/>
      <c r="SFV2486" s="61"/>
      <c r="SFW2486" s="58"/>
      <c r="SFX2486" s="58"/>
      <c r="SFY2486" s="58"/>
      <c r="SFZ2486" s="60"/>
      <c r="SGA2486" s="60"/>
      <c r="SGB2486" s="60"/>
      <c r="SGC2486" s="58"/>
      <c r="SGD2486" s="61"/>
      <c r="SGE2486" s="58"/>
      <c r="SGF2486" s="58"/>
      <c r="SGG2486" s="58"/>
      <c r="SGH2486" s="60"/>
      <c r="SGI2486" s="60"/>
      <c r="SGJ2486" s="60"/>
      <c r="SGK2486" s="58"/>
      <c r="SGL2486" s="61"/>
      <c r="SGM2486" s="58"/>
      <c r="SGN2486" s="58"/>
      <c r="SGO2486" s="58"/>
      <c r="SGP2486" s="60"/>
      <c r="SGQ2486" s="60"/>
      <c r="SGR2486" s="60"/>
      <c r="SGS2486" s="58"/>
      <c r="SGT2486" s="61"/>
      <c r="SGU2486" s="58"/>
      <c r="SGV2486" s="58"/>
      <c r="SGW2486" s="58"/>
      <c r="SGX2486" s="60"/>
      <c r="SGY2486" s="60"/>
      <c r="SGZ2486" s="60"/>
      <c r="SHA2486" s="58"/>
      <c r="SHB2486" s="61"/>
      <c r="SHC2486" s="58"/>
      <c r="SHD2486" s="58"/>
      <c r="SHE2486" s="58"/>
      <c r="SHF2486" s="60"/>
      <c r="SHG2486" s="60"/>
      <c r="SHH2486" s="60"/>
      <c r="SHI2486" s="58"/>
      <c r="SHJ2486" s="61"/>
      <c r="SHK2486" s="58"/>
      <c r="SHL2486" s="58"/>
      <c r="SHM2486" s="58"/>
      <c r="SHN2486" s="60"/>
      <c r="SHO2486" s="60"/>
      <c r="SHP2486" s="60"/>
      <c r="SHQ2486" s="58"/>
      <c r="SHR2486" s="61"/>
      <c r="SHS2486" s="58"/>
      <c r="SHT2486" s="58"/>
      <c r="SHU2486" s="58"/>
      <c r="SHV2486" s="60"/>
      <c r="SHW2486" s="60"/>
      <c r="SHX2486" s="60"/>
      <c r="SHY2486" s="58"/>
      <c r="SHZ2486" s="61"/>
      <c r="SIA2486" s="58"/>
      <c r="SIB2486" s="58"/>
      <c r="SIC2486" s="58"/>
      <c r="SID2486" s="60"/>
      <c r="SIE2486" s="60"/>
      <c r="SIF2486" s="60"/>
      <c r="SIG2486" s="58"/>
      <c r="SIH2486" s="61"/>
      <c r="SII2486" s="58"/>
      <c r="SIJ2486" s="58"/>
      <c r="SIK2486" s="58"/>
      <c r="SIL2486" s="60"/>
      <c r="SIM2486" s="60"/>
      <c r="SIN2486" s="60"/>
      <c r="SIO2486" s="58"/>
      <c r="SIP2486" s="61"/>
      <c r="SIQ2486" s="58"/>
      <c r="SIR2486" s="58"/>
      <c r="SIS2486" s="58"/>
      <c r="SIT2486" s="60"/>
      <c r="SIU2486" s="60"/>
      <c r="SIV2486" s="60"/>
      <c r="SIW2486" s="58"/>
      <c r="SIX2486" s="61"/>
      <c r="SIY2486" s="58"/>
      <c r="SIZ2486" s="58"/>
      <c r="SJA2486" s="58"/>
      <c r="SJB2486" s="60"/>
      <c r="SJC2486" s="60"/>
      <c r="SJD2486" s="60"/>
      <c r="SJE2486" s="58"/>
      <c r="SJF2486" s="61"/>
      <c r="SJG2486" s="58"/>
      <c r="SJH2486" s="58"/>
      <c r="SJI2486" s="58"/>
      <c r="SJJ2486" s="60"/>
      <c r="SJK2486" s="60"/>
      <c r="SJL2486" s="60"/>
      <c r="SJM2486" s="58"/>
      <c r="SJN2486" s="61"/>
      <c r="SJO2486" s="58"/>
      <c r="SJP2486" s="58"/>
      <c r="SJQ2486" s="58"/>
      <c r="SJR2486" s="60"/>
      <c r="SJS2486" s="60"/>
      <c r="SJT2486" s="60"/>
      <c r="SJU2486" s="58"/>
      <c r="SJV2486" s="61"/>
      <c r="SJW2486" s="58"/>
      <c r="SJX2486" s="58"/>
      <c r="SJY2486" s="58"/>
      <c r="SJZ2486" s="60"/>
      <c r="SKA2486" s="60"/>
      <c r="SKB2486" s="60"/>
      <c r="SKC2486" s="58"/>
      <c r="SKD2486" s="61"/>
      <c r="SKE2486" s="58"/>
      <c r="SKF2486" s="58"/>
      <c r="SKG2486" s="58"/>
      <c r="SKH2486" s="60"/>
      <c r="SKI2486" s="60"/>
      <c r="SKJ2486" s="60"/>
      <c r="SKK2486" s="58"/>
      <c r="SKL2486" s="61"/>
      <c r="SKM2486" s="58"/>
      <c r="SKN2486" s="58"/>
      <c r="SKO2486" s="58"/>
      <c r="SKP2486" s="60"/>
      <c r="SKQ2486" s="60"/>
      <c r="SKR2486" s="60"/>
      <c r="SKS2486" s="58"/>
      <c r="SKT2486" s="61"/>
      <c r="SKU2486" s="58"/>
      <c r="SKV2486" s="58"/>
      <c r="SKW2486" s="58"/>
      <c r="SKX2486" s="60"/>
      <c r="SKY2486" s="60"/>
      <c r="SKZ2486" s="60"/>
      <c r="SLA2486" s="58"/>
      <c r="SLB2486" s="61"/>
      <c r="SLC2486" s="58"/>
      <c r="SLD2486" s="58"/>
      <c r="SLE2486" s="58"/>
      <c r="SLF2486" s="60"/>
      <c r="SLG2486" s="60"/>
      <c r="SLH2486" s="60"/>
      <c r="SLI2486" s="58"/>
      <c r="SLJ2486" s="61"/>
      <c r="SLK2486" s="58"/>
      <c r="SLL2486" s="58"/>
      <c r="SLM2486" s="58"/>
      <c r="SLN2486" s="60"/>
      <c r="SLO2486" s="60"/>
      <c r="SLP2486" s="60"/>
      <c r="SLQ2486" s="58"/>
      <c r="SLR2486" s="61"/>
      <c r="SLS2486" s="58"/>
      <c r="SLT2486" s="58"/>
      <c r="SLU2486" s="58"/>
      <c r="SLV2486" s="60"/>
      <c r="SLW2486" s="60"/>
      <c r="SLX2486" s="60"/>
      <c r="SLY2486" s="58"/>
      <c r="SLZ2486" s="61"/>
      <c r="SMA2486" s="58"/>
      <c r="SMB2486" s="58"/>
      <c r="SMC2486" s="58"/>
      <c r="SMD2486" s="60"/>
      <c r="SME2486" s="60"/>
      <c r="SMF2486" s="60"/>
      <c r="SMG2486" s="58"/>
      <c r="SMH2486" s="61"/>
      <c r="SMI2486" s="58"/>
      <c r="SMJ2486" s="58"/>
      <c r="SMK2486" s="58"/>
      <c r="SML2486" s="60"/>
      <c r="SMM2486" s="60"/>
      <c r="SMN2486" s="60"/>
      <c r="SMO2486" s="58"/>
      <c r="SMP2486" s="61"/>
      <c r="SMQ2486" s="58"/>
      <c r="SMR2486" s="58"/>
      <c r="SMS2486" s="58"/>
      <c r="SMT2486" s="60"/>
      <c r="SMU2486" s="60"/>
      <c r="SMV2486" s="60"/>
      <c r="SMW2486" s="58"/>
      <c r="SMX2486" s="61"/>
      <c r="SMY2486" s="58"/>
      <c r="SMZ2486" s="58"/>
      <c r="SNA2486" s="58"/>
      <c r="SNB2486" s="60"/>
      <c r="SNC2486" s="60"/>
      <c r="SND2486" s="60"/>
      <c r="SNE2486" s="58"/>
      <c r="SNF2486" s="61"/>
      <c r="SNG2486" s="58"/>
      <c r="SNH2486" s="58"/>
      <c r="SNI2486" s="58"/>
      <c r="SNJ2486" s="60"/>
      <c r="SNK2486" s="60"/>
      <c r="SNL2486" s="60"/>
      <c r="SNM2486" s="58"/>
      <c r="SNN2486" s="61"/>
      <c r="SNO2486" s="58"/>
      <c r="SNP2486" s="58"/>
      <c r="SNQ2486" s="58"/>
      <c r="SNR2486" s="60"/>
      <c r="SNS2486" s="60"/>
      <c r="SNT2486" s="60"/>
      <c r="SNU2486" s="58"/>
      <c r="SNV2486" s="61"/>
      <c r="SNW2486" s="58"/>
      <c r="SNX2486" s="58"/>
      <c r="SNY2486" s="58"/>
      <c r="SNZ2486" s="60"/>
      <c r="SOA2486" s="60"/>
      <c r="SOB2486" s="60"/>
      <c r="SOC2486" s="58"/>
      <c r="SOD2486" s="61"/>
      <c r="SOE2486" s="58"/>
      <c r="SOF2486" s="58"/>
      <c r="SOG2486" s="58"/>
      <c r="SOH2486" s="60"/>
      <c r="SOI2486" s="60"/>
      <c r="SOJ2486" s="60"/>
      <c r="SOK2486" s="58"/>
      <c r="SOL2486" s="61"/>
      <c r="SOM2486" s="58"/>
      <c r="SON2486" s="58"/>
      <c r="SOO2486" s="58"/>
      <c r="SOP2486" s="60"/>
      <c r="SOQ2486" s="60"/>
      <c r="SOR2486" s="60"/>
      <c r="SOS2486" s="58"/>
      <c r="SOT2486" s="61"/>
      <c r="SOU2486" s="58"/>
      <c r="SOV2486" s="58"/>
      <c r="SOW2486" s="58"/>
      <c r="SOX2486" s="60"/>
      <c r="SOY2486" s="60"/>
      <c r="SOZ2486" s="60"/>
      <c r="SPA2486" s="58"/>
      <c r="SPB2486" s="61"/>
      <c r="SPC2486" s="58"/>
      <c r="SPD2486" s="58"/>
      <c r="SPE2486" s="58"/>
      <c r="SPF2486" s="60"/>
      <c r="SPG2486" s="60"/>
      <c r="SPH2486" s="60"/>
      <c r="SPI2486" s="58"/>
      <c r="SPJ2486" s="61"/>
      <c r="SPK2486" s="58"/>
      <c r="SPL2486" s="58"/>
      <c r="SPM2486" s="58"/>
      <c r="SPN2486" s="60"/>
      <c r="SPO2486" s="60"/>
      <c r="SPP2486" s="60"/>
      <c r="SPQ2486" s="58"/>
      <c r="SPR2486" s="61"/>
      <c r="SPS2486" s="58"/>
      <c r="SPT2486" s="58"/>
      <c r="SPU2486" s="58"/>
      <c r="SPV2486" s="60"/>
      <c r="SPW2486" s="60"/>
      <c r="SPX2486" s="60"/>
      <c r="SPY2486" s="58"/>
      <c r="SPZ2486" s="61"/>
      <c r="SQA2486" s="58"/>
      <c r="SQB2486" s="58"/>
      <c r="SQC2486" s="58"/>
      <c r="SQD2486" s="60"/>
      <c r="SQE2486" s="60"/>
      <c r="SQF2486" s="60"/>
      <c r="SQG2486" s="58"/>
      <c r="SQH2486" s="61"/>
      <c r="SQI2486" s="58"/>
      <c r="SQJ2486" s="58"/>
      <c r="SQK2486" s="58"/>
      <c r="SQL2486" s="60"/>
      <c r="SQM2486" s="60"/>
      <c r="SQN2486" s="60"/>
      <c r="SQO2486" s="58"/>
      <c r="SQP2486" s="61"/>
      <c r="SQQ2486" s="58"/>
      <c r="SQR2486" s="58"/>
      <c r="SQS2486" s="58"/>
      <c r="SQT2486" s="60"/>
      <c r="SQU2486" s="60"/>
      <c r="SQV2486" s="60"/>
      <c r="SQW2486" s="58"/>
      <c r="SQX2486" s="61"/>
      <c r="SQY2486" s="58"/>
      <c r="SQZ2486" s="58"/>
      <c r="SRA2486" s="58"/>
      <c r="SRB2486" s="60"/>
      <c r="SRC2486" s="60"/>
      <c r="SRD2486" s="60"/>
      <c r="SRE2486" s="58"/>
      <c r="SRF2486" s="61"/>
      <c r="SRG2486" s="58"/>
      <c r="SRH2486" s="58"/>
      <c r="SRI2486" s="58"/>
      <c r="SRJ2486" s="60"/>
      <c r="SRK2486" s="60"/>
      <c r="SRL2486" s="60"/>
      <c r="SRM2486" s="58"/>
      <c r="SRN2486" s="61"/>
      <c r="SRO2486" s="58"/>
      <c r="SRP2486" s="58"/>
      <c r="SRQ2486" s="58"/>
      <c r="SRR2486" s="60"/>
      <c r="SRS2486" s="60"/>
      <c r="SRT2486" s="60"/>
      <c r="SRU2486" s="58"/>
      <c r="SRV2486" s="61"/>
      <c r="SRW2486" s="58"/>
      <c r="SRX2486" s="58"/>
      <c r="SRY2486" s="58"/>
      <c r="SRZ2486" s="60"/>
      <c r="SSA2486" s="60"/>
      <c r="SSB2486" s="60"/>
      <c r="SSC2486" s="58"/>
      <c r="SSD2486" s="61"/>
      <c r="SSE2486" s="58"/>
      <c r="SSF2486" s="58"/>
      <c r="SSG2486" s="58"/>
      <c r="SSH2486" s="60"/>
      <c r="SSI2486" s="60"/>
      <c r="SSJ2486" s="60"/>
      <c r="SSK2486" s="58"/>
      <c r="SSL2486" s="61"/>
      <c r="SSM2486" s="58"/>
      <c r="SSN2486" s="58"/>
      <c r="SSO2486" s="58"/>
      <c r="SSP2486" s="60"/>
      <c r="SSQ2486" s="60"/>
      <c r="SSR2486" s="60"/>
      <c r="SSS2486" s="58"/>
      <c r="SST2486" s="61"/>
      <c r="SSU2486" s="58"/>
      <c r="SSV2486" s="58"/>
      <c r="SSW2486" s="58"/>
      <c r="SSX2486" s="60"/>
      <c r="SSY2486" s="60"/>
      <c r="SSZ2486" s="60"/>
      <c r="STA2486" s="58"/>
      <c r="STB2486" s="61"/>
      <c r="STC2486" s="58"/>
      <c r="STD2486" s="58"/>
      <c r="STE2486" s="58"/>
      <c r="STF2486" s="60"/>
      <c r="STG2486" s="60"/>
      <c r="STH2486" s="60"/>
      <c r="STI2486" s="58"/>
      <c r="STJ2486" s="61"/>
      <c r="STK2486" s="58"/>
      <c r="STL2486" s="58"/>
      <c r="STM2486" s="58"/>
      <c r="STN2486" s="60"/>
      <c r="STO2486" s="60"/>
      <c r="STP2486" s="60"/>
      <c r="STQ2486" s="58"/>
      <c r="STR2486" s="61"/>
      <c r="STS2486" s="58"/>
      <c r="STT2486" s="58"/>
      <c r="STU2486" s="58"/>
      <c r="STV2486" s="60"/>
      <c r="STW2486" s="60"/>
      <c r="STX2486" s="60"/>
      <c r="STY2486" s="58"/>
      <c r="STZ2486" s="61"/>
      <c r="SUA2486" s="58"/>
      <c r="SUB2486" s="58"/>
      <c r="SUC2486" s="58"/>
      <c r="SUD2486" s="60"/>
      <c r="SUE2486" s="60"/>
      <c r="SUF2486" s="60"/>
      <c r="SUG2486" s="58"/>
      <c r="SUH2486" s="61"/>
      <c r="SUI2486" s="58"/>
      <c r="SUJ2486" s="58"/>
      <c r="SUK2486" s="58"/>
      <c r="SUL2486" s="60"/>
      <c r="SUM2486" s="60"/>
      <c r="SUN2486" s="60"/>
      <c r="SUO2486" s="58"/>
      <c r="SUP2486" s="61"/>
      <c r="SUQ2486" s="58"/>
      <c r="SUR2486" s="58"/>
      <c r="SUS2486" s="58"/>
      <c r="SUT2486" s="60"/>
      <c r="SUU2486" s="60"/>
      <c r="SUV2486" s="60"/>
      <c r="SUW2486" s="58"/>
      <c r="SUX2486" s="61"/>
      <c r="SUY2486" s="58"/>
      <c r="SUZ2486" s="58"/>
      <c r="SVA2486" s="58"/>
      <c r="SVB2486" s="60"/>
      <c r="SVC2486" s="60"/>
      <c r="SVD2486" s="60"/>
      <c r="SVE2486" s="58"/>
      <c r="SVF2486" s="61"/>
      <c r="SVG2486" s="58"/>
      <c r="SVH2486" s="58"/>
      <c r="SVI2486" s="58"/>
      <c r="SVJ2486" s="60"/>
      <c r="SVK2486" s="60"/>
      <c r="SVL2486" s="60"/>
      <c r="SVM2486" s="58"/>
      <c r="SVN2486" s="61"/>
      <c r="SVO2486" s="58"/>
      <c r="SVP2486" s="58"/>
      <c r="SVQ2486" s="58"/>
      <c r="SVR2486" s="60"/>
      <c r="SVS2486" s="60"/>
      <c r="SVT2486" s="60"/>
      <c r="SVU2486" s="58"/>
      <c r="SVV2486" s="61"/>
      <c r="SVW2486" s="58"/>
      <c r="SVX2486" s="58"/>
      <c r="SVY2486" s="58"/>
      <c r="SVZ2486" s="60"/>
      <c r="SWA2486" s="60"/>
      <c r="SWB2486" s="60"/>
      <c r="SWC2486" s="58"/>
      <c r="SWD2486" s="61"/>
      <c r="SWE2486" s="58"/>
      <c r="SWF2486" s="58"/>
      <c r="SWG2486" s="58"/>
      <c r="SWH2486" s="60"/>
      <c r="SWI2486" s="60"/>
      <c r="SWJ2486" s="60"/>
      <c r="SWK2486" s="58"/>
      <c r="SWL2486" s="61"/>
      <c r="SWM2486" s="58"/>
      <c r="SWN2486" s="58"/>
      <c r="SWO2486" s="58"/>
      <c r="SWP2486" s="60"/>
      <c r="SWQ2486" s="60"/>
      <c r="SWR2486" s="60"/>
      <c r="SWS2486" s="58"/>
      <c r="SWT2486" s="61"/>
      <c r="SWU2486" s="58"/>
      <c r="SWV2486" s="58"/>
      <c r="SWW2486" s="58"/>
      <c r="SWX2486" s="60"/>
      <c r="SWY2486" s="60"/>
      <c r="SWZ2486" s="60"/>
      <c r="SXA2486" s="58"/>
      <c r="SXB2486" s="61"/>
      <c r="SXC2486" s="58"/>
      <c r="SXD2486" s="58"/>
      <c r="SXE2486" s="58"/>
      <c r="SXF2486" s="60"/>
      <c r="SXG2486" s="60"/>
      <c r="SXH2486" s="60"/>
      <c r="SXI2486" s="58"/>
      <c r="SXJ2486" s="61"/>
      <c r="SXK2486" s="58"/>
      <c r="SXL2486" s="58"/>
      <c r="SXM2486" s="58"/>
      <c r="SXN2486" s="60"/>
      <c r="SXO2486" s="60"/>
      <c r="SXP2486" s="60"/>
      <c r="SXQ2486" s="58"/>
      <c r="SXR2486" s="61"/>
      <c r="SXS2486" s="58"/>
      <c r="SXT2486" s="58"/>
      <c r="SXU2486" s="58"/>
      <c r="SXV2486" s="60"/>
      <c r="SXW2486" s="60"/>
      <c r="SXX2486" s="60"/>
      <c r="SXY2486" s="58"/>
      <c r="SXZ2486" s="61"/>
      <c r="SYA2486" s="58"/>
      <c r="SYB2486" s="58"/>
      <c r="SYC2486" s="58"/>
      <c r="SYD2486" s="60"/>
      <c r="SYE2486" s="60"/>
      <c r="SYF2486" s="60"/>
      <c r="SYG2486" s="58"/>
      <c r="SYH2486" s="61"/>
      <c r="SYI2486" s="58"/>
      <c r="SYJ2486" s="58"/>
      <c r="SYK2486" s="58"/>
      <c r="SYL2486" s="60"/>
      <c r="SYM2486" s="60"/>
      <c r="SYN2486" s="60"/>
      <c r="SYO2486" s="58"/>
      <c r="SYP2486" s="61"/>
      <c r="SYQ2486" s="58"/>
      <c r="SYR2486" s="58"/>
      <c r="SYS2486" s="58"/>
      <c r="SYT2486" s="60"/>
      <c r="SYU2486" s="60"/>
      <c r="SYV2486" s="60"/>
      <c r="SYW2486" s="58"/>
      <c r="SYX2486" s="61"/>
      <c r="SYY2486" s="58"/>
      <c r="SYZ2486" s="58"/>
      <c r="SZA2486" s="58"/>
      <c r="SZB2486" s="60"/>
      <c r="SZC2486" s="60"/>
      <c r="SZD2486" s="60"/>
      <c r="SZE2486" s="58"/>
      <c r="SZF2486" s="61"/>
      <c r="SZG2486" s="58"/>
      <c r="SZH2486" s="58"/>
      <c r="SZI2486" s="58"/>
      <c r="SZJ2486" s="60"/>
      <c r="SZK2486" s="60"/>
      <c r="SZL2486" s="60"/>
      <c r="SZM2486" s="58"/>
      <c r="SZN2486" s="61"/>
      <c r="SZO2486" s="58"/>
      <c r="SZP2486" s="58"/>
      <c r="SZQ2486" s="58"/>
      <c r="SZR2486" s="60"/>
      <c r="SZS2486" s="60"/>
      <c r="SZT2486" s="60"/>
      <c r="SZU2486" s="58"/>
      <c r="SZV2486" s="61"/>
      <c r="SZW2486" s="58"/>
      <c r="SZX2486" s="58"/>
      <c r="SZY2486" s="58"/>
      <c r="SZZ2486" s="60"/>
      <c r="TAA2486" s="60"/>
      <c r="TAB2486" s="60"/>
      <c r="TAC2486" s="58"/>
      <c r="TAD2486" s="61"/>
      <c r="TAE2486" s="58"/>
      <c r="TAF2486" s="58"/>
      <c r="TAG2486" s="58"/>
      <c r="TAH2486" s="60"/>
      <c r="TAI2486" s="60"/>
      <c r="TAJ2486" s="60"/>
      <c r="TAK2486" s="58"/>
      <c r="TAL2486" s="61"/>
      <c r="TAM2486" s="58"/>
      <c r="TAN2486" s="58"/>
      <c r="TAO2486" s="58"/>
      <c r="TAP2486" s="60"/>
      <c r="TAQ2486" s="60"/>
      <c r="TAR2486" s="60"/>
      <c r="TAS2486" s="58"/>
      <c r="TAT2486" s="61"/>
      <c r="TAU2486" s="58"/>
      <c r="TAV2486" s="58"/>
      <c r="TAW2486" s="58"/>
      <c r="TAX2486" s="60"/>
      <c r="TAY2486" s="60"/>
      <c r="TAZ2486" s="60"/>
      <c r="TBA2486" s="58"/>
      <c r="TBB2486" s="61"/>
      <c r="TBC2486" s="58"/>
      <c r="TBD2486" s="58"/>
      <c r="TBE2486" s="58"/>
      <c r="TBF2486" s="60"/>
      <c r="TBG2486" s="60"/>
      <c r="TBH2486" s="60"/>
      <c r="TBI2486" s="58"/>
      <c r="TBJ2486" s="61"/>
      <c r="TBK2486" s="58"/>
      <c r="TBL2486" s="58"/>
      <c r="TBM2486" s="58"/>
      <c r="TBN2486" s="60"/>
      <c r="TBO2486" s="60"/>
      <c r="TBP2486" s="60"/>
      <c r="TBQ2486" s="58"/>
      <c r="TBR2486" s="61"/>
      <c r="TBS2486" s="58"/>
      <c r="TBT2486" s="58"/>
      <c r="TBU2486" s="58"/>
      <c r="TBV2486" s="60"/>
      <c r="TBW2486" s="60"/>
      <c r="TBX2486" s="60"/>
      <c r="TBY2486" s="58"/>
      <c r="TBZ2486" s="61"/>
      <c r="TCA2486" s="58"/>
      <c r="TCB2486" s="58"/>
      <c r="TCC2486" s="58"/>
      <c r="TCD2486" s="60"/>
      <c r="TCE2486" s="60"/>
      <c r="TCF2486" s="60"/>
      <c r="TCG2486" s="58"/>
      <c r="TCH2486" s="61"/>
      <c r="TCI2486" s="58"/>
      <c r="TCJ2486" s="58"/>
      <c r="TCK2486" s="58"/>
      <c r="TCL2486" s="60"/>
      <c r="TCM2486" s="60"/>
      <c r="TCN2486" s="60"/>
      <c r="TCO2486" s="58"/>
      <c r="TCP2486" s="61"/>
      <c r="TCQ2486" s="58"/>
      <c r="TCR2486" s="58"/>
      <c r="TCS2486" s="58"/>
      <c r="TCT2486" s="60"/>
      <c r="TCU2486" s="60"/>
      <c r="TCV2486" s="60"/>
      <c r="TCW2486" s="58"/>
      <c r="TCX2486" s="61"/>
      <c r="TCY2486" s="58"/>
      <c r="TCZ2486" s="58"/>
      <c r="TDA2486" s="58"/>
      <c r="TDB2486" s="60"/>
      <c r="TDC2486" s="60"/>
      <c r="TDD2486" s="60"/>
      <c r="TDE2486" s="58"/>
      <c r="TDF2486" s="61"/>
      <c r="TDG2486" s="58"/>
      <c r="TDH2486" s="58"/>
      <c r="TDI2486" s="58"/>
      <c r="TDJ2486" s="60"/>
      <c r="TDK2486" s="60"/>
      <c r="TDL2486" s="60"/>
      <c r="TDM2486" s="58"/>
      <c r="TDN2486" s="61"/>
      <c r="TDO2486" s="58"/>
      <c r="TDP2486" s="58"/>
      <c r="TDQ2486" s="58"/>
      <c r="TDR2486" s="60"/>
      <c r="TDS2486" s="60"/>
      <c r="TDT2486" s="60"/>
      <c r="TDU2486" s="58"/>
      <c r="TDV2486" s="61"/>
      <c r="TDW2486" s="58"/>
      <c r="TDX2486" s="58"/>
      <c r="TDY2486" s="58"/>
      <c r="TDZ2486" s="60"/>
      <c r="TEA2486" s="60"/>
      <c r="TEB2486" s="60"/>
      <c r="TEC2486" s="58"/>
      <c r="TED2486" s="61"/>
      <c r="TEE2486" s="58"/>
      <c r="TEF2486" s="58"/>
      <c r="TEG2486" s="58"/>
      <c r="TEH2486" s="60"/>
      <c r="TEI2486" s="60"/>
      <c r="TEJ2486" s="60"/>
      <c r="TEK2486" s="58"/>
      <c r="TEL2486" s="61"/>
      <c r="TEM2486" s="58"/>
      <c r="TEN2486" s="58"/>
      <c r="TEO2486" s="58"/>
      <c r="TEP2486" s="60"/>
      <c r="TEQ2486" s="60"/>
      <c r="TER2486" s="60"/>
      <c r="TES2486" s="58"/>
      <c r="TET2486" s="61"/>
      <c r="TEU2486" s="58"/>
      <c r="TEV2486" s="58"/>
      <c r="TEW2486" s="58"/>
      <c r="TEX2486" s="60"/>
      <c r="TEY2486" s="60"/>
      <c r="TEZ2486" s="60"/>
      <c r="TFA2486" s="58"/>
      <c r="TFB2486" s="61"/>
      <c r="TFC2486" s="58"/>
      <c r="TFD2486" s="58"/>
      <c r="TFE2486" s="58"/>
      <c r="TFF2486" s="60"/>
      <c r="TFG2486" s="60"/>
      <c r="TFH2486" s="60"/>
      <c r="TFI2486" s="58"/>
      <c r="TFJ2486" s="61"/>
      <c r="TFK2486" s="58"/>
      <c r="TFL2486" s="58"/>
      <c r="TFM2486" s="58"/>
      <c r="TFN2486" s="60"/>
      <c r="TFO2486" s="60"/>
      <c r="TFP2486" s="60"/>
      <c r="TFQ2486" s="58"/>
      <c r="TFR2486" s="61"/>
      <c r="TFS2486" s="58"/>
      <c r="TFT2486" s="58"/>
      <c r="TFU2486" s="58"/>
      <c r="TFV2486" s="60"/>
      <c r="TFW2486" s="60"/>
      <c r="TFX2486" s="60"/>
      <c r="TFY2486" s="58"/>
      <c r="TFZ2486" s="61"/>
      <c r="TGA2486" s="58"/>
      <c r="TGB2486" s="58"/>
      <c r="TGC2486" s="58"/>
      <c r="TGD2486" s="60"/>
      <c r="TGE2486" s="60"/>
      <c r="TGF2486" s="60"/>
      <c r="TGG2486" s="58"/>
      <c r="TGH2486" s="61"/>
      <c r="TGI2486" s="58"/>
      <c r="TGJ2486" s="58"/>
      <c r="TGK2486" s="58"/>
      <c r="TGL2486" s="60"/>
      <c r="TGM2486" s="60"/>
      <c r="TGN2486" s="60"/>
      <c r="TGO2486" s="58"/>
      <c r="TGP2486" s="61"/>
      <c r="TGQ2486" s="58"/>
      <c r="TGR2486" s="58"/>
      <c r="TGS2486" s="58"/>
      <c r="TGT2486" s="60"/>
      <c r="TGU2486" s="60"/>
      <c r="TGV2486" s="60"/>
      <c r="TGW2486" s="58"/>
      <c r="TGX2486" s="61"/>
      <c r="TGY2486" s="58"/>
      <c r="TGZ2486" s="58"/>
      <c r="THA2486" s="58"/>
      <c r="THB2486" s="60"/>
      <c r="THC2486" s="60"/>
      <c r="THD2486" s="60"/>
      <c r="THE2486" s="58"/>
      <c r="THF2486" s="61"/>
      <c r="THG2486" s="58"/>
      <c r="THH2486" s="58"/>
      <c r="THI2486" s="58"/>
      <c r="THJ2486" s="60"/>
      <c r="THK2486" s="60"/>
      <c r="THL2486" s="60"/>
      <c r="THM2486" s="58"/>
      <c r="THN2486" s="61"/>
      <c r="THO2486" s="58"/>
      <c r="THP2486" s="58"/>
      <c r="THQ2486" s="58"/>
      <c r="THR2486" s="60"/>
      <c r="THS2486" s="60"/>
      <c r="THT2486" s="60"/>
      <c r="THU2486" s="58"/>
      <c r="THV2486" s="61"/>
      <c r="THW2486" s="58"/>
      <c r="THX2486" s="58"/>
      <c r="THY2486" s="58"/>
      <c r="THZ2486" s="60"/>
      <c r="TIA2486" s="60"/>
      <c r="TIB2486" s="60"/>
      <c r="TIC2486" s="58"/>
      <c r="TID2486" s="61"/>
      <c r="TIE2486" s="58"/>
      <c r="TIF2486" s="58"/>
      <c r="TIG2486" s="58"/>
      <c r="TIH2486" s="60"/>
      <c r="TII2486" s="60"/>
      <c r="TIJ2486" s="60"/>
      <c r="TIK2486" s="58"/>
      <c r="TIL2486" s="61"/>
      <c r="TIM2486" s="58"/>
      <c r="TIN2486" s="58"/>
      <c r="TIO2486" s="58"/>
      <c r="TIP2486" s="60"/>
      <c r="TIQ2486" s="60"/>
      <c r="TIR2486" s="60"/>
      <c r="TIS2486" s="58"/>
      <c r="TIT2486" s="61"/>
      <c r="TIU2486" s="58"/>
      <c r="TIV2486" s="58"/>
      <c r="TIW2486" s="58"/>
      <c r="TIX2486" s="60"/>
      <c r="TIY2486" s="60"/>
      <c r="TIZ2486" s="60"/>
      <c r="TJA2486" s="58"/>
      <c r="TJB2486" s="61"/>
      <c r="TJC2486" s="58"/>
      <c r="TJD2486" s="58"/>
      <c r="TJE2486" s="58"/>
      <c r="TJF2486" s="60"/>
      <c r="TJG2486" s="60"/>
      <c r="TJH2486" s="60"/>
      <c r="TJI2486" s="58"/>
      <c r="TJJ2486" s="61"/>
      <c r="TJK2486" s="58"/>
      <c r="TJL2486" s="58"/>
      <c r="TJM2486" s="58"/>
      <c r="TJN2486" s="60"/>
      <c r="TJO2486" s="60"/>
      <c r="TJP2486" s="60"/>
      <c r="TJQ2486" s="58"/>
      <c r="TJR2486" s="61"/>
      <c r="TJS2486" s="58"/>
      <c r="TJT2486" s="58"/>
      <c r="TJU2486" s="58"/>
      <c r="TJV2486" s="60"/>
      <c r="TJW2486" s="60"/>
      <c r="TJX2486" s="60"/>
      <c r="TJY2486" s="58"/>
      <c r="TJZ2486" s="61"/>
      <c r="TKA2486" s="58"/>
      <c r="TKB2486" s="58"/>
      <c r="TKC2486" s="58"/>
      <c r="TKD2486" s="60"/>
      <c r="TKE2486" s="60"/>
      <c r="TKF2486" s="60"/>
      <c r="TKG2486" s="58"/>
      <c r="TKH2486" s="61"/>
      <c r="TKI2486" s="58"/>
      <c r="TKJ2486" s="58"/>
      <c r="TKK2486" s="58"/>
      <c r="TKL2486" s="60"/>
      <c r="TKM2486" s="60"/>
      <c r="TKN2486" s="60"/>
      <c r="TKO2486" s="58"/>
      <c r="TKP2486" s="61"/>
      <c r="TKQ2486" s="58"/>
      <c r="TKR2486" s="58"/>
      <c r="TKS2486" s="58"/>
      <c r="TKT2486" s="60"/>
      <c r="TKU2486" s="60"/>
      <c r="TKV2486" s="60"/>
      <c r="TKW2486" s="58"/>
      <c r="TKX2486" s="61"/>
      <c r="TKY2486" s="58"/>
      <c r="TKZ2486" s="58"/>
      <c r="TLA2486" s="58"/>
      <c r="TLB2486" s="60"/>
      <c r="TLC2486" s="60"/>
      <c r="TLD2486" s="60"/>
      <c r="TLE2486" s="58"/>
      <c r="TLF2486" s="61"/>
      <c r="TLG2486" s="58"/>
      <c r="TLH2486" s="58"/>
      <c r="TLI2486" s="58"/>
      <c r="TLJ2486" s="60"/>
      <c r="TLK2486" s="60"/>
      <c r="TLL2486" s="60"/>
      <c r="TLM2486" s="58"/>
      <c r="TLN2486" s="61"/>
      <c r="TLO2486" s="58"/>
      <c r="TLP2486" s="58"/>
      <c r="TLQ2486" s="58"/>
      <c r="TLR2486" s="60"/>
      <c r="TLS2486" s="60"/>
      <c r="TLT2486" s="60"/>
      <c r="TLU2486" s="58"/>
      <c r="TLV2486" s="61"/>
      <c r="TLW2486" s="58"/>
      <c r="TLX2486" s="58"/>
      <c r="TLY2486" s="58"/>
      <c r="TLZ2486" s="60"/>
      <c r="TMA2486" s="60"/>
      <c r="TMB2486" s="60"/>
      <c r="TMC2486" s="58"/>
      <c r="TMD2486" s="61"/>
      <c r="TME2486" s="58"/>
      <c r="TMF2486" s="58"/>
      <c r="TMG2486" s="58"/>
      <c r="TMH2486" s="60"/>
      <c r="TMI2486" s="60"/>
      <c r="TMJ2486" s="60"/>
      <c r="TMK2486" s="58"/>
      <c r="TML2486" s="61"/>
      <c r="TMM2486" s="58"/>
      <c r="TMN2486" s="58"/>
      <c r="TMO2486" s="58"/>
      <c r="TMP2486" s="60"/>
      <c r="TMQ2486" s="60"/>
      <c r="TMR2486" s="60"/>
      <c r="TMS2486" s="58"/>
      <c r="TMT2486" s="61"/>
      <c r="TMU2486" s="58"/>
      <c r="TMV2486" s="58"/>
      <c r="TMW2486" s="58"/>
      <c r="TMX2486" s="60"/>
      <c r="TMY2486" s="60"/>
      <c r="TMZ2486" s="60"/>
      <c r="TNA2486" s="58"/>
      <c r="TNB2486" s="61"/>
      <c r="TNC2486" s="58"/>
      <c r="TND2486" s="58"/>
      <c r="TNE2486" s="58"/>
      <c r="TNF2486" s="60"/>
      <c r="TNG2486" s="60"/>
      <c r="TNH2486" s="60"/>
      <c r="TNI2486" s="58"/>
      <c r="TNJ2486" s="61"/>
      <c r="TNK2486" s="58"/>
      <c r="TNL2486" s="58"/>
      <c r="TNM2486" s="58"/>
      <c r="TNN2486" s="60"/>
      <c r="TNO2486" s="60"/>
      <c r="TNP2486" s="60"/>
      <c r="TNQ2486" s="58"/>
      <c r="TNR2486" s="61"/>
      <c r="TNS2486" s="58"/>
      <c r="TNT2486" s="58"/>
      <c r="TNU2486" s="58"/>
      <c r="TNV2486" s="60"/>
      <c r="TNW2486" s="60"/>
      <c r="TNX2486" s="60"/>
      <c r="TNY2486" s="58"/>
      <c r="TNZ2486" s="61"/>
      <c r="TOA2486" s="58"/>
      <c r="TOB2486" s="58"/>
      <c r="TOC2486" s="58"/>
      <c r="TOD2486" s="60"/>
      <c r="TOE2486" s="60"/>
      <c r="TOF2486" s="60"/>
      <c r="TOG2486" s="58"/>
      <c r="TOH2486" s="61"/>
      <c r="TOI2486" s="58"/>
      <c r="TOJ2486" s="58"/>
      <c r="TOK2486" s="58"/>
      <c r="TOL2486" s="60"/>
      <c r="TOM2486" s="60"/>
      <c r="TON2486" s="60"/>
      <c r="TOO2486" s="58"/>
      <c r="TOP2486" s="61"/>
      <c r="TOQ2486" s="58"/>
      <c r="TOR2486" s="58"/>
      <c r="TOS2486" s="58"/>
      <c r="TOT2486" s="60"/>
      <c r="TOU2486" s="60"/>
      <c r="TOV2486" s="60"/>
      <c r="TOW2486" s="58"/>
      <c r="TOX2486" s="61"/>
      <c r="TOY2486" s="58"/>
      <c r="TOZ2486" s="58"/>
      <c r="TPA2486" s="58"/>
      <c r="TPB2486" s="60"/>
      <c r="TPC2486" s="60"/>
      <c r="TPD2486" s="60"/>
      <c r="TPE2486" s="58"/>
      <c r="TPF2486" s="61"/>
      <c r="TPG2486" s="58"/>
      <c r="TPH2486" s="58"/>
      <c r="TPI2486" s="58"/>
      <c r="TPJ2486" s="60"/>
      <c r="TPK2486" s="60"/>
      <c r="TPL2486" s="60"/>
      <c r="TPM2486" s="58"/>
      <c r="TPN2486" s="61"/>
      <c r="TPO2486" s="58"/>
      <c r="TPP2486" s="58"/>
      <c r="TPQ2486" s="58"/>
      <c r="TPR2486" s="60"/>
      <c r="TPS2486" s="60"/>
      <c r="TPT2486" s="60"/>
      <c r="TPU2486" s="58"/>
      <c r="TPV2486" s="61"/>
      <c r="TPW2486" s="58"/>
      <c r="TPX2486" s="58"/>
      <c r="TPY2486" s="58"/>
      <c r="TPZ2486" s="60"/>
      <c r="TQA2486" s="60"/>
      <c r="TQB2486" s="60"/>
      <c r="TQC2486" s="58"/>
      <c r="TQD2486" s="61"/>
      <c r="TQE2486" s="58"/>
      <c r="TQF2486" s="58"/>
      <c r="TQG2486" s="58"/>
      <c r="TQH2486" s="60"/>
      <c r="TQI2486" s="60"/>
      <c r="TQJ2486" s="60"/>
      <c r="TQK2486" s="58"/>
      <c r="TQL2486" s="61"/>
      <c r="TQM2486" s="58"/>
      <c r="TQN2486" s="58"/>
      <c r="TQO2486" s="58"/>
      <c r="TQP2486" s="60"/>
      <c r="TQQ2486" s="60"/>
      <c r="TQR2486" s="60"/>
      <c r="TQS2486" s="58"/>
      <c r="TQT2486" s="61"/>
      <c r="TQU2486" s="58"/>
      <c r="TQV2486" s="58"/>
      <c r="TQW2486" s="58"/>
      <c r="TQX2486" s="60"/>
      <c r="TQY2486" s="60"/>
      <c r="TQZ2486" s="60"/>
      <c r="TRA2486" s="58"/>
      <c r="TRB2486" s="61"/>
      <c r="TRC2486" s="58"/>
      <c r="TRD2486" s="58"/>
      <c r="TRE2486" s="58"/>
      <c r="TRF2486" s="60"/>
      <c r="TRG2486" s="60"/>
      <c r="TRH2486" s="60"/>
      <c r="TRI2486" s="58"/>
      <c r="TRJ2486" s="61"/>
      <c r="TRK2486" s="58"/>
      <c r="TRL2486" s="58"/>
      <c r="TRM2486" s="58"/>
      <c r="TRN2486" s="60"/>
      <c r="TRO2486" s="60"/>
      <c r="TRP2486" s="60"/>
      <c r="TRQ2486" s="58"/>
      <c r="TRR2486" s="61"/>
      <c r="TRS2486" s="58"/>
      <c r="TRT2486" s="58"/>
      <c r="TRU2486" s="58"/>
      <c r="TRV2486" s="60"/>
      <c r="TRW2486" s="60"/>
      <c r="TRX2486" s="60"/>
      <c r="TRY2486" s="58"/>
      <c r="TRZ2486" s="61"/>
      <c r="TSA2486" s="58"/>
      <c r="TSB2486" s="58"/>
      <c r="TSC2486" s="58"/>
      <c r="TSD2486" s="60"/>
      <c r="TSE2486" s="60"/>
      <c r="TSF2486" s="60"/>
      <c r="TSG2486" s="58"/>
      <c r="TSH2486" s="61"/>
      <c r="TSI2486" s="58"/>
      <c r="TSJ2486" s="58"/>
      <c r="TSK2486" s="58"/>
      <c r="TSL2486" s="60"/>
      <c r="TSM2486" s="60"/>
      <c r="TSN2486" s="60"/>
      <c r="TSO2486" s="58"/>
      <c r="TSP2486" s="61"/>
      <c r="TSQ2486" s="58"/>
      <c r="TSR2486" s="58"/>
      <c r="TSS2486" s="58"/>
      <c r="TST2486" s="60"/>
      <c r="TSU2486" s="60"/>
      <c r="TSV2486" s="60"/>
      <c r="TSW2486" s="58"/>
      <c r="TSX2486" s="61"/>
      <c r="TSY2486" s="58"/>
      <c r="TSZ2486" s="58"/>
      <c r="TTA2486" s="58"/>
      <c r="TTB2486" s="60"/>
      <c r="TTC2486" s="60"/>
      <c r="TTD2486" s="60"/>
      <c r="TTE2486" s="58"/>
      <c r="TTF2486" s="61"/>
      <c r="TTG2486" s="58"/>
      <c r="TTH2486" s="58"/>
      <c r="TTI2486" s="58"/>
      <c r="TTJ2486" s="60"/>
      <c r="TTK2486" s="60"/>
      <c r="TTL2486" s="60"/>
      <c r="TTM2486" s="58"/>
      <c r="TTN2486" s="61"/>
      <c r="TTO2486" s="58"/>
      <c r="TTP2486" s="58"/>
      <c r="TTQ2486" s="58"/>
      <c r="TTR2486" s="60"/>
      <c r="TTS2486" s="60"/>
      <c r="TTT2486" s="60"/>
      <c r="TTU2486" s="58"/>
      <c r="TTV2486" s="61"/>
      <c r="TTW2486" s="58"/>
      <c r="TTX2486" s="58"/>
      <c r="TTY2486" s="58"/>
      <c r="TTZ2486" s="60"/>
      <c r="TUA2486" s="60"/>
      <c r="TUB2486" s="60"/>
      <c r="TUC2486" s="58"/>
      <c r="TUD2486" s="61"/>
      <c r="TUE2486" s="58"/>
      <c r="TUF2486" s="58"/>
      <c r="TUG2486" s="58"/>
      <c r="TUH2486" s="60"/>
      <c r="TUI2486" s="60"/>
      <c r="TUJ2486" s="60"/>
      <c r="TUK2486" s="58"/>
      <c r="TUL2486" s="61"/>
      <c r="TUM2486" s="58"/>
      <c r="TUN2486" s="58"/>
      <c r="TUO2486" s="58"/>
      <c r="TUP2486" s="60"/>
      <c r="TUQ2486" s="60"/>
      <c r="TUR2486" s="60"/>
      <c r="TUS2486" s="58"/>
      <c r="TUT2486" s="61"/>
      <c r="TUU2486" s="58"/>
      <c r="TUV2486" s="58"/>
      <c r="TUW2486" s="58"/>
      <c r="TUX2486" s="60"/>
      <c r="TUY2486" s="60"/>
      <c r="TUZ2486" s="60"/>
      <c r="TVA2486" s="58"/>
      <c r="TVB2486" s="61"/>
      <c r="TVC2486" s="58"/>
      <c r="TVD2486" s="58"/>
      <c r="TVE2486" s="58"/>
      <c r="TVF2486" s="60"/>
      <c r="TVG2486" s="60"/>
      <c r="TVH2486" s="60"/>
      <c r="TVI2486" s="58"/>
      <c r="TVJ2486" s="61"/>
      <c r="TVK2486" s="58"/>
      <c r="TVL2486" s="58"/>
      <c r="TVM2486" s="58"/>
      <c r="TVN2486" s="60"/>
      <c r="TVO2486" s="60"/>
      <c r="TVP2486" s="60"/>
      <c r="TVQ2486" s="58"/>
      <c r="TVR2486" s="61"/>
      <c r="TVS2486" s="58"/>
      <c r="TVT2486" s="58"/>
      <c r="TVU2486" s="58"/>
      <c r="TVV2486" s="60"/>
      <c r="TVW2486" s="60"/>
      <c r="TVX2486" s="60"/>
      <c r="TVY2486" s="58"/>
      <c r="TVZ2486" s="61"/>
      <c r="TWA2486" s="58"/>
      <c r="TWB2486" s="58"/>
      <c r="TWC2486" s="58"/>
      <c r="TWD2486" s="60"/>
      <c r="TWE2486" s="60"/>
      <c r="TWF2486" s="60"/>
      <c r="TWG2486" s="58"/>
      <c r="TWH2486" s="61"/>
      <c r="TWI2486" s="58"/>
      <c r="TWJ2486" s="58"/>
      <c r="TWK2486" s="58"/>
      <c r="TWL2486" s="60"/>
      <c r="TWM2486" s="60"/>
      <c r="TWN2486" s="60"/>
      <c r="TWO2486" s="58"/>
      <c r="TWP2486" s="61"/>
      <c r="TWQ2486" s="58"/>
      <c r="TWR2486" s="58"/>
      <c r="TWS2486" s="58"/>
      <c r="TWT2486" s="60"/>
      <c r="TWU2486" s="60"/>
      <c r="TWV2486" s="60"/>
      <c r="TWW2486" s="58"/>
      <c r="TWX2486" s="61"/>
      <c r="TWY2486" s="58"/>
      <c r="TWZ2486" s="58"/>
      <c r="TXA2486" s="58"/>
      <c r="TXB2486" s="60"/>
      <c r="TXC2486" s="60"/>
      <c r="TXD2486" s="60"/>
      <c r="TXE2486" s="58"/>
      <c r="TXF2486" s="61"/>
      <c r="TXG2486" s="58"/>
      <c r="TXH2486" s="58"/>
      <c r="TXI2486" s="58"/>
      <c r="TXJ2486" s="60"/>
      <c r="TXK2486" s="60"/>
      <c r="TXL2486" s="60"/>
      <c r="TXM2486" s="58"/>
      <c r="TXN2486" s="61"/>
      <c r="TXO2486" s="58"/>
      <c r="TXP2486" s="58"/>
      <c r="TXQ2486" s="58"/>
      <c r="TXR2486" s="60"/>
      <c r="TXS2486" s="60"/>
      <c r="TXT2486" s="60"/>
      <c r="TXU2486" s="58"/>
      <c r="TXV2486" s="61"/>
      <c r="TXW2486" s="58"/>
      <c r="TXX2486" s="58"/>
      <c r="TXY2486" s="58"/>
      <c r="TXZ2486" s="60"/>
      <c r="TYA2486" s="60"/>
      <c r="TYB2486" s="60"/>
      <c r="TYC2486" s="58"/>
      <c r="TYD2486" s="61"/>
      <c r="TYE2486" s="58"/>
      <c r="TYF2486" s="58"/>
      <c r="TYG2486" s="58"/>
      <c r="TYH2486" s="60"/>
      <c r="TYI2486" s="60"/>
      <c r="TYJ2486" s="60"/>
      <c r="TYK2486" s="58"/>
      <c r="TYL2486" s="61"/>
      <c r="TYM2486" s="58"/>
      <c r="TYN2486" s="58"/>
      <c r="TYO2486" s="58"/>
      <c r="TYP2486" s="60"/>
      <c r="TYQ2486" s="60"/>
      <c r="TYR2486" s="60"/>
      <c r="TYS2486" s="58"/>
      <c r="TYT2486" s="61"/>
      <c r="TYU2486" s="58"/>
      <c r="TYV2486" s="58"/>
      <c r="TYW2486" s="58"/>
      <c r="TYX2486" s="60"/>
      <c r="TYY2486" s="60"/>
      <c r="TYZ2486" s="60"/>
      <c r="TZA2486" s="58"/>
      <c r="TZB2486" s="61"/>
      <c r="TZC2486" s="58"/>
      <c r="TZD2486" s="58"/>
      <c r="TZE2486" s="58"/>
      <c r="TZF2486" s="60"/>
      <c r="TZG2486" s="60"/>
      <c r="TZH2486" s="60"/>
      <c r="TZI2486" s="58"/>
      <c r="TZJ2486" s="61"/>
      <c r="TZK2486" s="58"/>
      <c r="TZL2486" s="58"/>
      <c r="TZM2486" s="58"/>
      <c r="TZN2486" s="60"/>
      <c r="TZO2486" s="60"/>
      <c r="TZP2486" s="60"/>
      <c r="TZQ2486" s="58"/>
      <c r="TZR2486" s="61"/>
      <c r="TZS2486" s="58"/>
      <c r="TZT2486" s="58"/>
      <c r="TZU2486" s="58"/>
      <c r="TZV2486" s="60"/>
      <c r="TZW2486" s="60"/>
      <c r="TZX2486" s="60"/>
      <c r="TZY2486" s="58"/>
      <c r="TZZ2486" s="61"/>
      <c r="UAA2486" s="58"/>
      <c r="UAB2486" s="58"/>
      <c r="UAC2486" s="58"/>
      <c r="UAD2486" s="60"/>
      <c r="UAE2486" s="60"/>
      <c r="UAF2486" s="60"/>
      <c r="UAG2486" s="58"/>
      <c r="UAH2486" s="61"/>
      <c r="UAI2486" s="58"/>
      <c r="UAJ2486" s="58"/>
      <c r="UAK2486" s="58"/>
      <c r="UAL2486" s="60"/>
      <c r="UAM2486" s="60"/>
      <c r="UAN2486" s="60"/>
      <c r="UAO2486" s="58"/>
      <c r="UAP2486" s="61"/>
      <c r="UAQ2486" s="58"/>
      <c r="UAR2486" s="58"/>
      <c r="UAS2486" s="58"/>
      <c r="UAT2486" s="60"/>
      <c r="UAU2486" s="60"/>
      <c r="UAV2486" s="60"/>
      <c r="UAW2486" s="58"/>
      <c r="UAX2486" s="61"/>
      <c r="UAY2486" s="58"/>
      <c r="UAZ2486" s="58"/>
      <c r="UBA2486" s="58"/>
      <c r="UBB2486" s="60"/>
      <c r="UBC2486" s="60"/>
      <c r="UBD2486" s="60"/>
      <c r="UBE2486" s="58"/>
      <c r="UBF2486" s="61"/>
      <c r="UBG2486" s="58"/>
      <c r="UBH2486" s="58"/>
      <c r="UBI2486" s="58"/>
      <c r="UBJ2486" s="60"/>
      <c r="UBK2486" s="60"/>
      <c r="UBL2486" s="60"/>
      <c r="UBM2486" s="58"/>
      <c r="UBN2486" s="61"/>
      <c r="UBO2486" s="58"/>
      <c r="UBP2486" s="58"/>
      <c r="UBQ2486" s="58"/>
      <c r="UBR2486" s="60"/>
      <c r="UBS2486" s="60"/>
      <c r="UBT2486" s="60"/>
      <c r="UBU2486" s="58"/>
      <c r="UBV2486" s="61"/>
      <c r="UBW2486" s="58"/>
      <c r="UBX2486" s="58"/>
      <c r="UBY2486" s="58"/>
      <c r="UBZ2486" s="60"/>
      <c r="UCA2486" s="60"/>
      <c r="UCB2486" s="60"/>
      <c r="UCC2486" s="58"/>
      <c r="UCD2486" s="61"/>
      <c r="UCE2486" s="58"/>
      <c r="UCF2486" s="58"/>
      <c r="UCG2486" s="58"/>
      <c r="UCH2486" s="60"/>
      <c r="UCI2486" s="60"/>
      <c r="UCJ2486" s="60"/>
      <c r="UCK2486" s="58"/>
      <c r="UCL2486" s="61"/>
      <c r="UCM2486" s="58"/>
      <c r="UCN2486" s="58"/>
      <c r="UCO2486" s="58"/>
      <c r="UCP2486" s="60"/>
      <c r="UCQ2486" s="60"/>
      <c r="UCR2486" s="60"/>
      <c r="UCS2486" s="58"/>
      <c r="UCT2486" s="61"/>
      <c r="UCU2486" s="58"/>
      <c r="UCV2486" s="58"/>
      <c r="UCW2486" s="58"/>
      <c r="UCX2486" s="60"/>
      <c r="UCY2486" s="60"/>
      <c r="UCZ2486" s="60"/>
      <c r="UDA2486" s="58"/>
      <c r="UDB2486" s="61"/>
      <c r="UDC2486" s="58"/>
      <c r="UDD2486" s="58"/>
      <c r="UDE2486" s="58"/>
      <c r="UDF2486" s="60"/>
      <c r="UDG2486" s="60"/>
      <c r="UDH2486" s="60"/>
      <c r="UDI2486" s="58"/>
      <c r="UDJ2486" s="61"/>
      <c r="UDK2486" s="58"/>
      <c r="UDL2486" s="58"/>
      <c r="UDM2486" s="58"/>
      <c r="UDN2486" s="60"/>
      <c r="UDO2486" s="60"/>
      <c r="UDP2486" s="60"/>
      <c r="UDQ2486" s="58"/>
      <c r="UDR2486" s="61"/>
      <c r="UDS2486" s="58"/>
      <c r="UDT2486" s="58"/>
      <c r="UDU2486" s="58"/>
      <c r="UDV2486" s="60"/>
      <c r="UDW2486" s="60"/>
      <c r="UDX2486" s="60"/>
      <c r="UDY2486" s="58"/>
      <c r="UDZ2486" s="61"/>
      <c r="UEA2486" s="58"/>
      <c r="UEB2486" s="58"/>
      <c r="UEC2486" s="58"/>
      <c r="UED2486" s="60"/>
      <c r="UEE2486" s="60"/>
      <c r="UEF2486" s="60"/>
      <c r="UEG2486" s="58"/>
      <c r="UEH2486" s="61"/>
      <c r="UEI2486" s="58"/>
      <c r="UEJ2486" s="58"/>
      <c r="UEK2486" s="58"/>
      <c r="UEL2486" s="60"/>
      <c r="UEM2486" s="60"/>
      <c r="UEN2486" s="60"/>
      <c r="UEO2486" s="58"/>
      <c r="UEP2486" s="61"/>
      <c r="UEQ2486" s="58"/>
      <c r="UER2486" s="58"/>
      <c r="UES2486" s="58"/>
      <c r="UET2486" s="60"/>
      <c r="UEU2486" s="60"/>
      <c r="UEV2486" s="60"/>
      <c r="UEW2486" s="58"/>
      <c r="UEX2486" s="61"/>
      <c r="UEY2486" s="58"/>
      <c r="UEZ2486" s="58"/>
      <c r="UFA2486" s="58"/>
      <c r="UFB2486" s="60"/>
      <c r="UFC2486" s="60"/>
      <c r="UFD2486" s="60"/>
      <c r="UFE2486" s="58"/>
      <c r="UFF2486" s="61"/>
      <c r="UFG2486" s="58"/>
      <c r="UFH2486" s="58"/>
      <c r="UFI2486" s="58"/>
      <c r="UFJ2486" s="60"/>
      <c r="UFK2486" s="60"/>
      <c r="UFL2486" s="60"/>
      <c r="UFM2486" s="58"/>
      <c r="UFN2486" s="61"/>
      <c r="UFO2486" s="58"/>
      <c r="UFP2486" s="58"/>
      <c r="UFQ2486" s="58"/>
      <c r="UFR2486" s="60"/>
      <c r="UFS2486" s="60"/>
      <c r="UFT2486" s="60"/>
      <c r="UFU2486" s="58"/>
      <c r="UFV2486" s="61"/>
      <c r="UFW2486" s="58"/>
      <c r="UFX2486" s="58"/>
      <c r="UFY2486" s="58"/>
      <c r="UFZ2486" s="60"/>
      <c r="UGA2486" s="60"/>
      <c r="UGB2486" s="60"/>
      <c r="UGC2486" s="58"/>
      <c r="UGD2486" s="61"/>
      <c r="UGE2486" s="58"/>
      <c r="UGF2486" s="58"/>
      <c r="UGG2486" s="58"/>
      <c r="UGH2486" s="60"/>
      <c r="UGI2486" s="60"/>
      <c r="UGJ2486" s="60"/>
      <c r="UGK2486" s="58"/>
      <c r="UGL2486" s="61"/>
      <c r="UGM2486" s="58"/>
      <c r="UGN2486" s="58"/>
      <c r="UGO2486" s="58"/>
      <c r="UGP2486" s="60"/>
      <c r="UGQ2486" s="60"/>
      <c r="UGR2486" s="60"/>
      <c r="UGS2486" s="58"/>
      <c r="UGT2486" s="61"/>
      <c r="UGU2486" s="58"/>
      <c r="UGV2486" s="58"/>
      <c r="UGW2486" s="58"/>
      <c r="UGX2486" s="60"/>
      <c r="UGY2486" s="60"/>
      <c r="UGZ2486" s="60"/>
      <c r="UHA2486" s="58"/>
      <c r="UHB2486" s="61"/>
      <c r="UHC2486" s="58"/>
      <c r="UHD2486" s="58"/>
      <c r="UHE2486" s="58"/>
      <c r="UHF2486" s="60"/>
      <c r="UHG2486" s="60"/>
      <c r="UHH2486" s="60"/>
      <c r="UHI2486" s="58"/>
      <c r="UHJ2486" s="61"/>
      <c r="UHK2486" s="58"/>
      <c r="UHL2486" s="58"/>
      <c r="UHM2486" s="58"/>
      <c r="UHN2486" s="60"/>
      <c r="UHO2486" s="60"/>
      <c r="UHP2486" s="60"/>
      <c r="UHQ2486" s="58"/>
      <c r="UHR2486" s="61"/>
      <c r="UHS2486" s="58"/>
      <c r="UHT2486" s="58"/>
      <c r="UHU2486" s="58"/>
      <c r="UHV2486" s="60"/>
      <c r="UHW2486" s="60"/>
      <c r="UHX2486" s="60"/>
      <c r="UHY2486" s="58"/>
      <c r="UHZ2486" s="61"/>
      <c r="UIA2486" s="58"/>
      <c r="UIB2486" s="58"/>
      <c r="UIC2486" s="58"/>
      <c r="UID2486" s="60"/>
      <c r="UIE2486" s="60"/>
      <c r="UIF2486" s="60"/>
      <c r="UIG2486" s="58"/>
      <c r="UIH2486" s="61"/>
      <c r="UII2486" s="58"/>
      <c r="UIJ2486" s="58"/>
      <c r="UIK2486" s="58"/>
      <c r="UIL2486" s="60"/>
      <c r="UIM2486" s="60"/>
      <c r="UIN2486" s="60"/>
      <c r="UIO2486" s="58"/>
      <c r="UIP2486" s="61"/>
      <c r="UIQ2486" s="58"/>
      <c r="UIR2486" s="58"/>
      <c r="UIS2486" s="58"/>
      <c r="UIT2486" s="60"/>
      <c r="UIU2486" s="60"/>
      <c r="UIV2486" s="60"/>
      <c r="UIW2486" s="58"/>
      <c r="UIX2486" s="61"/>
      <c r="UIY2486" s="58"/>
      <c r="UIZ2486" s="58"/>
      <c r="UJA2486" s="58"/>
      <c r="UJB2486" s="60"/>
      <c r="UJC2486" s="60"/>
      <c r="UJD2486" s="60"/>
      <c r="UJE2486" s="58"/>
      <c r="UJF2486" s="61"/>
      <c r="UJG2486" s="58"/>
      <c r="UJH2486" s="58"/>
      <c r="UJI2486" s="58"/>
      <c r="UJJ2486" s="60"/>
      <c r="UJK2486" s="60"/>
      <c r="UJL2486" s="60"/>
      <c r="UJM2486" s="58"/>
      <c r="UJN2486" s="61"/>
      <c r="UJO2486" s="58"/>
      <c r="UJP2486" s="58"/>
      <c r="UJQ2486" s="58"/>
      <c r="UJR2486" s="60"/>
      <c r="UJS2486" s="60"/>
      <c r="UJT2486" s="60"/>
      <c r="UJU2486" s="58"/>
      <c r="UJV2486" s="61"/>
      <c r="UJW2486" s="58"/>
      <c r="UJX2486" s="58"/>
      <c r="UJY2486" s="58"/>
      <c r="UJZ2486" s="60"/>
      <c r="UKA2486" s="60"/>
      <c r="UKB2486" s="60"/>
      <c r="UKC2486" s="58"/>
      <c r="UKD2486" s="61"/>
      <c r="UKE2486" s="58"/>
      <c r="UKF2486" s="58"/>
      <c r="UKG2486" s="58"/>
      <c r="UKH2486" s="60"/>
      <c r="UKI2486" s="60"/>
      <c r="UKJ2486" s="60"/>
      <c r="UKK2486" s="58"/>
      <c r="UKL2486" s="61"/>
      <c r="UKM2486" s="58"/>
      <c r="UKN2486" s="58"/>
      <c r="UKO2486" s="58"/>
      <c r="UKP2486" s="60"/>
      <c r="UKQ2486" s="60"/>
      <c r="UKR2486" s="60"/>
      <c r="UKS2486" s="58"/>
      <c r="UKT2486" s="61"/>
      <c r="UKU2486" s="58"/>
      <c r="UKV2486" s="58"/>
      <c r="UKW2486" s="58"/>
      <c r="UKX2486" s="60"/>
      <c r="UKY2486" s="60"/>
      <c r="UKZ2486" s="60"/>
      <c r="ULA2486" s="58"/>
      <c r="ULB2486" s="61"/>
      <c r="ULC2486" s="58"/>
      <c r="ULD2486" s="58"/>
      <c r="ULE2486" s="58"/>
      <c r="ULF2486" s="60"/>
      <c r="ULG2486" s="60"/>
      <c r="ULH2486" s="60"/>
      <c r="ULI2486" s="58"/>
      <c r="ULJ2486" s="61"/>
      <c r="ULK2486" s="58"/>
      <c r="ULL2486" s="58"/>
      <c r="ULM2486" s="58"/>
      <c r="ULN2486" s="60"/>
      <c r="ULO2486" s="60"/>
      <c r="ULP2486" s="60"/>
      <c r="ULQ2486" s="58"/>
      <c r="ULR2486" s="61"/>
      <c r="ULS2486" s="58"/>
      <c r="ULT2486" s="58"/>
      <c r="ULU2486" s="58"/>
      <c r="ULV2486" s="60"/>
      <c r="ULW2486" s="60"/>
      <c r="ULX2486" s="60"/>
      <c r="ULY2486" s="58"/>
      <c r="ULZ2486" s="61"/>
      <c r="UMA2486" s="58"/>
      <c r="UMB2486" s="58"/>
      <c r="UMC2486" s="58"/>
      <c r="UMD2486" s="60"/>
      <c r="UME2486" s="60"/>
      <c r="UMF2486" s="60"/>
      <c r="UMG2486" s="58"/>
      <c r="UMH2486" s="61"/>
      <c r="UMI2486" s="58"/>
      <c r="UMJ2486" s="58"/>
      <c r="UMK2486" s="58"/>
      <c r="UML2486" s="60"/>
      <c r="UMM2486" s="60"/>
      <c r="UMN2486" s="60"/>
      <c r="UMO2486" s="58"/>
      <c r="UMP2486" s="61"/>
      <c r="UMQ2486" s="58"/>
      <c r="UMR2486" s="58"/>
      <c r="UMS2486" s="58"/>
      <c r="UMT2486" s="60"/>
      <c r="UMU2486" s="60"/>
      <c r="UMV2486" s="60"/>
      <c r="UMW2486" s="58"/>
      <c r="UMX2486" s="61"/>
      <c r="UMY2486" s="58"/>
      <c r="UMZ2486" s="58"/>
      <c r="UNA2486" s="58"/>
      <c r="UNB2486" s="60"/>
      <c r="UNC2486" s="60"/>
      <c r="UND2486" s="60"/>
      <c r="UNE2486" s="58"/>
      <c r="UNF2486" s="61"/>
      <c r="UNG2486" s="58"/>
      <c r="UNH2486" s="58"/>
      <c r="UNI2486" s="58"/>
      <c r="UNJ2486" s="60"/>
      <c r="UNK2486" s="60"/>
      <c r="UNL2486" s="60"/>
      <c r="UNM2486" s="58"/>
      <c r="UNN2486" s="61"/>
      <c r="UNO2486" s="58"/>
      <c r="UNP2486" s="58"/>
      <c r="UNQ2486" s="58"/>
      <c r="UNR2486" s="60"/>
      <c r="UNS2486" s="60"/>
      <c r="UNT2486" s="60"/>
      <c r="UNU2486" s="58"/>
      <c r="UNV2486" s="61"/>
      <c r="UNW2486" s="58"/>
      <c r="UNX2486" s="58"/>
      <c r="UNY2486" s="58"/>
      <c r="UNZ2486" s="60"/>
      <c r="UOA2486" s="60"/>
      <c r="UOB2486" s="60"/>
      <c r="UOC2486" s="58"/>
      <c r="UOD2486" s="61"/>
      <c r="UOE2486" s="58"/>
      <c r="UOF2486" s="58"/>
      <c r="UOG2486" s="58"/>
      <c r="UOH2486" s="60"/>
      <c r="UOI2486" s="60"/>
      <c r="UOJ2486" s="60"/>
      <c r="UOK2486" s="58"/>
      <c r="UOL2486" s="61"/>
      <c r="UOM2486" s="58"/>
      <c r="UON2486" s="58"/>
      <c r="UOO2486" s="58"/>
      <c r="UOP2486" s="60"/>
      <c r="UOQ2486" s="60"/>
      <c r="UOR2486" s="60"/>
      <c r="UOS2486" s="58"/>
      <c r="UOT2486" s="61"/>
      <c r="UOU2486" s="58"/>
      <c r="UOV2486" s="58"/>
      <c r="UOW2486" s="58"/>
      <c r="UOX2486" s="60"/>
      <c r="UOY2486" s="60"/>
      <c r="UOZ2486" s="60"/>
      <c r="UPA2486" s="58"/>
      <c r="UPB2486" s="61"/>
      <c r="UPC2486" s="58"/>
      <c r="UPD2486" s="58"/>
      <c r="UPE2486" s="58"/>
      <c r="UPF2486" s="60"/>
      <c r="UPG2486" s="60"/>
      <c r="UPH2486" s="60"/>
      <c r="UPI2486" s="58"/>
      <c r="UPJ2486" s="61"/>
      <c r="UPK2486" s="58"/>
      <c r="UPL2486" s="58"/>
      <c r="UPM2486" s="58"/>
      <c r="UPN2486" s="60"/>
      <c r="UPO2486" s="60"/>
      <c r="UPP2486" s="60"/>
      <c r="UPQ2486" s="58"/>
      <c r="UPR2486" s="61"/>
      <c r="UPS2486" s="58"/>
      <c r="UPT2486" s="58"/>
      <c r="UPU2486" s="58"/>
      <c r="UPV2486" s="60"/>
      <c r="UPW2486" s="60"/>
      <c r="UPX2486" s="60"/>
      <c r="UPY2486" s="58"/>
      <c r="UPZ2486" s="61"/>
      <c r="UQA2486" s="58"/>
      <c r="UQB2486" s="58"/>
      <c r="UQC2486" s="58"/>
      <c r="UQD2486" s="60"/>
      <c r="UQE2486" s="60"/>
      <c r="UQF2486" s="60"/>
      <c r="UQG2486" s="58"/>
      <c r="UQH2486" s="61"/>
      <c r="UQI2486" s="58"/>
      <c r="UQJ2486" s="58"/>
      <c r="UQK2486" s="58"/>
      <c r="UQL2486" s="60"/>
      <c r="UQM2486" s="60"/>
      <c r="UQN2486" s="60"/>
      <c r="UQO2486" s="58"/>
      <c r="UQP2486" s="61"/>
      <c r="UQQ2486" s="58"/>
      <c r="UQR2486" s="58"/>
      <c r="UQS2486" s="58"/>
      <c r="UQT2486" s="60"/>
      <c r="UQU2486" s="60"/>
      <c r="UQV2486" s="60"/>
      <c r="UQW2486" s="58"/>
      <c r="UQX2486" s="61"/>
      <c r="UQY2486" s="58"/>
      <c r="UQZ2486" s="58"/>
      <c r="URA2486" s="58"/>
      <c r="URB2486" s="60"/>
      <c r="URC2486" s="60"/>
      <c r="URD2486" s="60"/>
      <c r="URE2486" s="58"/>
      <c r="URF2486" s="61"/>
      <c r="URG2486" s="58"/>
      <c r="URH2486" s="58"/>
      <c r="URI2486" s="58"/>
      <c r="URJ2486" s="60"/>
      <c r="URK2486" s="60"/>
      <c r="URL2486" s="60"/>
      <c r="URM2486" s="58"/>
      <c r="URN2486" s="61"/>
      <c r="URO2486" s="58"/>
      <c r="URP2486" s="58"/>
      <c r="URQ2486" s="58"/>
      <c r="URR2486" s="60"/>
      <c r="URS2486" s="60"/>
      <c r="URT2486" s="60"/>
      <c r="URU2486" s="58"/>
      <c r="URV2486" s="61"/>
      <c r="URW2486" s="58"/>
      <c r="URX2486" s="58"/>
      <c r="URY2486" s="58"/>
      <c r="URZ2486" s="60"/>
      <c r="USA2486" s="60"/>
      <c r="USB2486" s="60"/>
      <c r="USC2486" s="58"/>
      <c r="USD2486" s="61"/>
      <c r="USE2486" s="58"/>
      <c r="USF2486" s="58"/>
      <c r="USG2486" s="58"/>
      <c r="USH2486" s="60"/>
      <c r="USI2486" s="60"/>
      <c r="USJ2486" s="60"/>
      <c r="USK2486" s="58"/>
      <c r="USL2486" s="61"/>
      <c r="USM2486" s="58"/>
      <c r="USN2486" s="58"/>
      <c r="USO2486" s="58"/>
      <c r="USP2486" s="60"/>
      <c r="USQ2486" s="60"/>
      <c r="USR2486" s="60"/>
      <c r="USS2486" s="58"/>
      <c r="UST2486" s="61"/>
      <c r="USU2486" s="58"/>
      <c r="USV2486" s="58"/>
      <c r="USW2486" s="58"/>
      <c r="USX2486" s="60"/>
      <c r="USY2486" s="60"/>
      <c r="USZ2486" s="60"/>
      <c r="UTA2486" s="58"/>
      <c r="UTB2486" s="61"/>
      <c r="UTC2486" s="58"/>
      <c r="UTD2486" s="58"/>
      <c r="UTE2486" s="58"/>
      <c r="UTF2486" s="60"/>
      <c r="UTG2486" s="60"/>
      <c r="UTH2486" s="60"/>
      <c r="UTI2486" s="58"/>
      <c r="UTJ2486" s="61"/>
      <c r="UTK2486" s="58"/>
      <c r="UTL2486" s="58"/>
      <c r="UTM2486" s="58"/>
      <c r="UTN2486" s="60"/>
      <c r="UTO2486" s="60"/>
      <c r="UTP2486" s="60"/>
      <c r="UTQ2486" s="58"/>
      <c r="UTR2486" s="61"/>
      <c r="UTS2486" s="58"/>
      <c r="UTT2486" s="58"/>
      <c r="UTU2486" s="58"/>
      <c r="UTV2486" s="60"/>
      <c r="UTW2486" s="60"/>
      <c r="UTX2486" s="60"/>
      <c r="UTY2486" s="58"/>
      <c r="UTZ2486" s="61"/>
      <c r="UUA2486" s="58"/>
      <c r="UUB2486" s="58"/>
      <c r="UUC2486" s="58"/>
      <c r="UUD2486" s="60"/>
      <c r="UUE2486" s="60"/>
      <c r="UUF2486" s="60"/>
      <c r="UUG2486" s="58"/>
      <c r="UUH2486" s="61"/>
      <c r="UUI2486" s="58"/>
      <c r="UUJ2486" s="58"/>
      <c r="UUK2486" s="58"/>
      <c r="UUL2486" s="60"/>
      <c r="UUM2486" s="60"/>
      <c r="UUN2486" s="60"/>
      <c r="UUO2486" s="58"/>
      <c r="UUP2486" s="61"/>
      <c r="UUQ2486" s="58"/>
      <c r="UUR2486" s="58"/>
      <c r="UUS2486" s="58"/>
      <c r="UUT2486" s="60"/>
      <c r="UUU2486" s="60"/>
      <c r="UUV2486" s="60"/>
      <c r="UUW2486" s="58"/>
      <c r="UUX2486" s="61"/>
      <c r="UUY2486" s="58"/>
      <c r="UUZ2486" s="58"/>
      <c r="UVA2486" s="58"/>
      <c r="UVB2486" s="60"/>
      <c r="UVC2486" s="60"/>
      <c r="UVD2486" s="60"/>
      <c r="UVE2486" s="58"/>
      <c r="UVF2486" s="61"/>
      <c r="UVG2486" s="58"/>
      <c r="UVH2486" s="58"/>
      <c r="UVI2486" s="58"/>
      <c r="UVJ2486" s="60"/>
      <c r="UVK2486" s="60"/>
      <c r="UVL2486" s="60"/>
      <c r="UVM2486" s="58"/>
      <c r="UVN2486" s="61"/>
      <c r="UVO2486" s="58"/>
      <c r="UVP2486" s="58"/>
      <c r="UVQ2486" s="58"/>
      <c r="UVR2486" s="60"/>
      <c r="UVS2486" s="60"/>
      <c r="UVT2486" s="60"/>
      <c r="UVU2486" s="58"/>
      <c r="UVV2486" s="61"/>
      <c r="UVW2486" s="58"/>
      <c r="UVX2486" s="58"/>
      <c r="UVY2486" s="58"/>
      <c r="UVZ2486" s="60"/>
      <c r="UWA2486" s="60"/>
      <c r="UWB2486" s="60"/>
      <c r="UWC2486" s="58"/>
      <c r="UWD2486" s="61"/>
      <c r="UWE2486" s="58"/>
      <c r="UWF2486" s="58"/>
      <c r="UWG2486" s="58"/>
      <c r="UWH2486" s="60"/>
      <c r="UWI2486" s="60"/>
      <c r="UWJ2486" s="60"/>
      <c r="UWK2486" s="58"/>
      <c r="UWL2486" s="61"/>
      <c r="UWM2486" s="58"/>
      <c r="UWN2486" s="58"/>
      <c r="UWO2486" s="58"/>
      <c r="UWP2486" s="60"/>
      <c r="UWQ2486" s="60"/>
      <c r="UWR2486" s="60"/>
      <c r="UWS2486" s="58"/>
      <c r="UWT2486" s="61"/>
      <c r="UWU2486" s="58"/>
      <c r="UWV2486" s="58"/>
      <c r="UWW2486" s="58"/>
      <c r="UWX2486" s="60"/>
      <c r="UWY2486" s="60"/>
      <c r="UWZ2486" s="60"/>
      <c r="UXA2486" s="58"/>
      <c r="UXB2486" s="61"/>
      <c r="UXC2486" s="58"/>
      <c r="UXD2486" s="58"/>
      <c r="UXE2486" s="58"/>
      <c r="UXF2486" s="60"/>
      <c r="UXG2486" s="60"/>
      <c r="UXH2486" s="60"/>
      <c r="UXI2486" s="58"/>
      <c r="UXJ2486" s="61"/>
      <c r="UXK2486" s="58"/>
      <c r="UXL2486" s="58"/>
      <c r="UXM2486" s="58"/>
      <c r="UXN2486" s="60"/>
      <c r="UXO2486" s="60"/>
      <c r="UXP2486" s="60"/>
      <c r="UXQ2486" s="58"/>
      <c r="UXR2486" s="61"/>
      <c r="UXS2486" s="58"/>
      <c r="UXT2486" s="58"/>
      <c r="UXU2486" s="58"/>
      <c r="UXV2486" s="60"/>
      <c r="UXW2486" s="60"/>
      <c r="UXX2486" s="60"/>
      <c r="UXY2486" s="58"/>
      <c r="UXZ2486" s="61"/>
      <c r="UYA2486" s="58"/>
      <c r="UYB2486" s="58"/>
      <c r="UYC2486" s="58"/>
      <c r="UYD2486" s="60"/>
      <c r="UYE2486" s="60"/>
      <c r="UYF2486" s="60"/>
      <c r="UYG2486" s="58"/>
      <c r="UYH2486" s="61"/>
      <c r="UYI2486" s="58"/>
      <c r="UYJ2486" s="58"/>
      <c r="UYK2486" s="58"/>
      <c r="UYL2486" s="60"/>
      <c r="UYM2486" s="60"/>
      <c r="UYN2486" s="60"/>
      <c r="UYO2486" s="58"/>
      <c r="UYP2486" s="61"/>
      <c r="UYQ2486" s="58"/>
      <c r="UYR2486" s="58"/>
      <c r="UYS2486" s="58"/>
      <c r="UYT2486" s="60"/>
      <c r="UYU2486" s="60"/>
      <c r="UYV2486" s="60"/>
      <c r="UYW2486" s="58"/>
      <c r="UYX2486" s="61"/>
      <c r="UYY2486" s="58"/>
      <c r="UYZ2486" s="58"/>
      <c r="UZA2486" s="58"/>
      <c r="UZB2486" s="60"/>
      <c r="UZC2486" s="60"/>
      <c r="UZD2486" s="60"/>
      <c r="UZE2486" s="58"/>
      <c r="UZF2486" s="61"/>
      <c r="UZG2486" s="58"/>
      <c r="UZH2486" s="58"/>
      <c r="UZI2486" s="58"/>
      <c r="UZJ2486" s="60"/>
      <c r="UZK2486" s="60"/>
      <c r="UZL2486" s="60"/>
      <c r="UZM2486" s="58"/>
      <c r="UZN2486" s="61"/>
      <c r="UZO2486" s="58"/>
      <c r="UZP2486" s="58"/>
      <c r="UZQ2486" s="58"/>
      <c r="UZR2486" s="60"/>
      <c r="UZS2486" s="60"/>
      <c r="UZT2486" s="60"/>
      <c r="UZU2486" s="58"/>
      <c r="UZV2486" s="61"/>
      <c r="UZW2486" s="58"/>
      <c r="UZX2486" s="58"/>
      <c r="UZY2486" s="58"/>
      <c r="UZZ2486" s="60"/>
      <c r="VAA2486" s="60"/>
      <c r="VAB2486" s="60"/>
      <c r="VAC2486" s="58"/>
      <c r="VAD2486" s="61"/>
      <c r="VAE2486" s="58"/>
      <c r="VAF2486" s="58"/>
      <c r="VAG2486" s="58"/>
      <c r="VAH2486" s="60"/>
      <c r="VAI2486" s="60"/>
      <c r="VAJ2486" s="60"/>
      <c r="VAK2486" s="58"/>
      <c r="VAL2486" s="61"/>
      <c r="VAM2486" s="58"/>
      <c r="VAN2486" s="58"/>
      <c r="VAO2486" s="58"/>
      <c r="VAP2486" s="60"/>
      <c r="VAQ2486" s="60"/>
      <c r="VAR2486" s="60"/>
      <c r="VAS2486" s="58"/>
      <c r="VAT2486" s="61"/>
      <c r="VAU2486" s="58"/>
      <c r="VAV2486" s="58"/>
      <c r="VAW2486" s="58"/>
      <c r="VAX2486" s="60"/>
      <c r="VAY2486" s="60"/>
      <c r="VAZ2486" s="60"/>
      <c r="VBA2486" s="58"/>
      <c r="VBB2486" s="61"/>
      <c r="VBC2486" s="58"/>
      <c r="VBD2486" s="58"/>
      <c r="VBE2486" s="58"/>
      <c r="VBF2486" s="60"/>
      <c r="VBG2486" s="60"/>
      <c r="VBH2486" s="60"/>
      <c r="VBI2486" s="58"/>
      <c r="VBJ2486" s="61"/>
      <c r="VBK2486" s="58"/>
      <c r="VBL2486" s="58"/>
      <c r="VBM2486" s="58"/>
      <c r="VBN2486" s="60"/>
      <c r="VBO2486" s="60"/>
      <c r="VBP2486" s="60"/>
      <c r="VBQ2486" s="58"/>
      <c r="VBR2486" s="61"/>
      <c r="VBS2486" s="58"/>
      <c r="VBT2486" s="58"/>
      <c r="VBU2486" s="58"/>
      <c r="VBV2486" s="60"/>
      <c r="VBW2486" s="60"/>
      <c r="VBX2486" s="60"/>
      <c r="VBY2486" s="58"/>
      <c r="VBZ2486" s="61"/>
      <c r="VCA2486" s="58"/>
      <c r="VCB2486" s="58"/>
      <c r="VCC2486" s="58"/>
      <c r="VCD2486" s="60"/>
      <c r="VCE2486" s="60"/>
      <c r="VCF2486" s="60"/>
      <c r="VCG2486" s="58"/>
      <c r="VCH2486" s="61"/>
      <c r="VCI2486" s="58"/>
      <c r="VCJ2486" s="58"/>
      <c r="VCK2486" s="58"/>
      <c r="VCL2486" s="60"/>
      <c r="VCM2486" s="60"/>
      <c r="VCN2486" s="60"/>
      <c r="VCO2486" s="58"/>
      <c r="VCP2486" s="61"/>
      <c r="VCQ2486" s="58"/>
      <c r="VCR2486" s="58"/>
      <c r="VCS2486" s="58"/>
      <c r="VCT2486" s="60"/>
      <c r="VCU2486" s="60"/>
      <c r="VCV2486" s="60"/>
      <c r="VCW2486" s="58"/>
      <c r="VCX2486" s="61"/>
      <c r="VCY2486" s="58"/>
      <c r="VCZ2486" s="58"/>
      <c r="VDA2486" s="58"/>
      <c r="VDB2486" s="60"/>
      <c r="VDC2486" s="60"/>
      <c r="VDD2486" s="60"/>
      <c r="VDE2486" s="58"/>
      <c r="VDF2486" s="61"/>
      <c r="VDG2486" s="58"/>
      <c r="VDH2486" s="58"/>
      <c r="VDI2486" s="58"/>
      <c r="VDJ2486" s="60"/>
      <c r="VDK2486" s="60"/>
      <c r="VDL2486" s="60"/>
      <c r="VDM2486" s="58"/>
      <c r="VDN2486" s="61"/>
      <c r="VDO2486" s="58"/>
      <c r="VDP2486" s="58"/>
      <c r="VDQ2486" s="58"/>
      <c r="VDR2486" s="60"/>
      <c r="VDS2486" s="60"/>
      <c r="VDT2486" s="60"/>
      <c r="VDU2486" s="58"/>
      <c r="VDV2486" s="61"/>
      <c r="VDW2486" s="58"/>
      <c r="VDX2486" s="58"/>
      <c r="VDY2486" s="58"/>
      <c r="VDZ2486" s="60"/>
      <c r="VEA2486" s="60"/>
      <c r="VEB2486" s="60"/>
      <c r="VEC2486" s="58"/>
      <c r="VED2486" s="61"/>
      <c r="VEE2486" s="58"/>
      <c r="VEF2486" s="58"/>
      <c r="VEG2486" s="58"/>
      <c r="VEH2486" s="60"/>
      <c r="VEI2486" s="60"/>
      <c r="VEJ2486" s="60"/>
      <c r="VEK2486" s="58"/>
      <c r="VEL2486" s="61"/>
      <c r="VEM2486" s="58"/>
      <c r="VEN2486" s="58"/>
      <c r="VEO2486" s="58"/>
      <c r="VEP2486" s="60"/>
      <c r="VEQ2486" s="60"/>
      <c r="VER2486" s="60"/>
      <c r="VES2486" s="58"/>
      <c r="VET2486" s="61"/>
      <c r="VEU2486" s="58"/>
      <c r="VEV2486" s="58"/>
      <c r="VEW2486" s="58"/>
      <c r="VEX2486" s="60"/>
      <c r="VEY2486" s="60"/>
      <c r="VEZ2486" s="60"/>
      <c r="VFA2486" s="58"/>
      <c r="VFB2486" s="61"/>
      <c r="VFC2486" s="58"/>
      <c r="VFD2486" s="58"/>
      <c r="VFE2486" s="58"/>
      <c r="VFF2486" s="60"/>
      <c r="VFG2486" s="60"/>
      <c r="VFH2486" s="60"/>
      <c r="VFI2486" s="58"/>
      <c r="VFJ2486" s="61"/>
      <c r="VFK2486" s="58"/>
      <c r="VFL2486" s="58"/>
      <c r="VFM2486" s="58"/>
      <c r="VFN2486" s="60"/>
      <c r="VFO2486" s="60"/>
      <c r="VFP2486" s="60"/>
      <c r="VFQ2486" s="58"/>
      <c r="VFR2486" s="61"/>
      <c r="VFS2486" s="58"/>
      <c r="VFT2486" s="58"/>
      <c r="VFU2486" s="58"/>
      <c r="VFV2486" s="60"/>
      <c r="VFW2486" s="60"/>
      <c r="VFX2486" s="60"/>
      <c r="VFY2486" s="58"/>
      <c r="VFZ2486" s="61"/>
      <c r="VGA2486" s="58"/>
      <c r="VGB2486" s="58"/>
      <c r="VGC2486" s="58"/>
      <c r="VGD2486" s="60"/>
      <c r="VGE2486" s="60"/>
      <c r="VGF2486" s="60"/>
      <c r="VGG2486" s="58"/>
      <c r="VGH2486" s="61"/>
      <c r="VGI2486" s="58"/>
      <c r="VGJ2486" s="58"/>
      <c r="VGK2486" s="58"/>
      <c r="VGL2486" s="60"/>
      <c r="VGM2486" s="60"/>
      <c r="VGN2486" s="60"/>
      <c r="VGO2486" s="58"/>
      <c r="VGP2486" s="61"/>
      <c r="VGQ2486" s="58"/>
      <c r="VGR2486" s="58"/>
      <c r="VGS2486" s="58"/>
      <c r="VGT2486" s="60"/>
      <c r="VGU2486" s="60"/>
      <c r="VGV2486" s="60"/>
      <c r="VGW2486" s="58"/>
      <c r="VGX2486" s="61"/>
      <c r="VGY2486" s="58"/>
      <c r="VGZ2486" s="58"/>
      <c r="VHA2486" s="58"/>
      <c r="VHB2486" s="60"/>
      <c r="VHC2486" s="60"/>
      <c r="VHD2486" s="60"/>
      <c r="VHE2486" s="58"/>
      <c r="VHF2486" s="61"/>
      <c r="VHG2486" s="58"/>
      <c r="VHH2486" s="58"/>
      <c r="VHI2486" s="58"/>
      <c r="VHJ2486" s="60"/>
      <c r="VHK2486" s="60"/>
      <c r="VHL2486" s="60"/>
      <c r="VHM2486" s="58"/>
      <c r="VHN2486" s="61"/>
      <c r="VHO2486" s="58"/>
      <c r="VHP2486" s="58"/>
      <c r="VHQ2486" s="58"/>
      <c r="VHR2486" s="60"/>
      <c r="VHS2486" s="60"/>
      <c r="VHT2486" s="60"/>
      <c r="VHU2486" s="58"/>
      <c r="VHV2486" s="61"/>
      <c r="VHW2486" s="58"/>
      <c r="VHX2486" s="58"/>
      <c r="VHY2486" s="58"/>
      <c r="VHZ2486" s="60"/>
      <c r="VIA2486" s="60"/>
      <c r="VIB2486" s="60"/>
      <c r="VIC2486" s="58"/>
      <c r="VID2486" s="61"/>
      <c r="VIE2486" s="58"/>
      <c r="VIF2486" s="58"/>
      <c r="VIG2486" s="58"/>
      <c r="VIH2486" s="60"/>
      <c r="VII2486" s="60"/>
      <c r="VIJ2486" s="60"/>
      <c r="VIK2486" s="58"/>
      <c r="VIL2486" s="61"/>
      <c r="VIM2486" s="58"/>
      <c r="VIN2486" s="58"/>
      <c r="VIO2486" s="58"/>
      <c r="VIP2486" s="60"/>
      <c r="VIQ2486" s="60"/>
      <c r="VIR2486" s="60"/>
      <c r="VIS2486" s="58"/>
      <c r="VIT2486" s="61"/>
      <c r="VIU2486" s="58"/>
      <c r="VIV2486" s="58"/>
      <c r="VIW2486" s="58"/>
      <c r="VIX2486" s="60"/>
      <c r="VIY2486" s="60"/>
      <c r="VIZ2486" s="60"/>
      <c r="VJA2486" s="58"/>
      <c r="VJB2486" s="61"/>
      <c r="VJC2486" s="58"/>
      <c r="VJD2486" s="58"/>
      <c r="VJE2486" s="58"/>
      <c r="VJF2486" s="60"/>
      <c r="VJG2486" s="60"/>
      <c r="VJH2486" s="60"/>
      <c r="VJI2486" s="58"/>
      <c r="VJJ2486" s="61"/>
      <c r="VJK2486" s="58"/>
      <c r="VJL2486" s="58"/>
      <c r="VJM2486" s="58"/>
      <c r="VJN2486" s="60"/>
      <c r="VJO2486" s="60"/>
      <c r="VJP2486" s="60"/>
      <c r="VJQ2486" s="58"/>
      <c r="VJR2486" s="61"/>
      <c r="VJS2486" s="58"/>
      <c r="VJT2486" s="58"/>
      <c r="VJU2486" s="58"/>
      <c r="VJV2486" s="60"/>
      <c r="VJW2486" s="60"/>
      <c r="VJX2486" s="60"/>
      <c r="VJY2486" s="58"/>
      <c r="VJZ2486" s="61"/>
      <c r="VKA2486" s="58"/>
      <c r="VKB2486" s="58"/>
      <c r="VKC2486" s="58"/>
      <c r="VKD2486" s="60"/>
      <c r="VKE2486" s="60"/>
      <c r="VKF2486" s="60"/>
      <c r="VKG2486" s="58"/>
      <c r="VKH2486" s="61"/>
      <c r="VKI2486" s="58"/>
      <c r="VKJ2486" s="58"/>
      <c r="VKK2486" s="58"/>
      <c r="VKL2486" s="60"/>
      <c r="VKM2486" s="60"/>
      <c r="VKN2486" s="60"/>
      <c r="VKO2486" s="58"/>
      <c r="VKP2486" s="61"/>
      <c r="VKQ2486" s="58"/>
      <c r="VKR2486" s="58"/>
      <c r="VKS2486" s="58"/>
      <c r="VKT2486" s="60"/>
      <c r="VKU2486" s="60"/>
      <c r="VKV2486" s="60"/>
      <c r="VKW2486" s="58"/>
      <c r="VKX2486" s="61"/>
      <c r="VKY2486" s="58"/>
      <c r="VKZ2486" s="58"/>
      <c r="VLA2486" s="58"/>
      <c r="VLB2486" s="60"/>
      <c r="VLC2486" s="60"/>
      <c r="VLD2486" s="60"/>
      <c r="VLE2486" s="58"/>
      <c r="VLF2486" s="61"/>
      <c r="VLG2486" s="58"/>
      <c r="VLH2486" s="58"/>
      <c r="VLI2486" s="58"/>
      <c r="VLJ2486" s="60"/>
      <c r="VLK2486" s="60"/>
      <c r="VLL2486" s="60"/>
      <c r="VLM2486" s="58"/>
      <c r="VLN2486" s="61"/>
      <c r="VLO2486" s="58"/>
      <c r="VLP2486" s="58"/>
      <c r="VLQ2486" s="58"/>
      <c r="VLR2486" s="60"/>
      <c r="VLS2486" s="60"/>
      <c r="VLT2486" s="60"/>
      <c r="VLU2486" s="58"/>
      <c r="VLV2486" s="61"/>
      <c r="VLW2486" s="58"/>
      <c r="VLX2486" s="58"/>
      <c r="VLY2486" s="58"/>
      <c r="VLZ2486" s="60"/>
      <c r="VMA2486" s="60"/>
      <c r="VMB2486" s="60"/>
      <c r="VMC2486" s="58"/>
      <c r="VMD2486" s="61"/>
      <c r="VME2486" s="58"/>
      <c r="VMF2486" s="58"/>
      <c r="VMG2486" s="58"/>
      <c r="VMH2486" s="60"/>
      <c r="VMI2486" s="60"/>
      <c r="VMJ2486" s="60"/>
      <c r="VMK2486" s="58"/>
      <c r="VML2486" s="61"/>
      <c r="VMM2486" s="58"/>
      <c r="VMN2486" s="58"/>
      <c r="VMO2486" s="58"/>
      <c r="VMP2486" s="60"/>
      <c r="VMQ2486" s="60"/>
      <c r="VMR2486" s="60"/>
      <c r="VMS2486" s="58"/>
      <c r="VMT2486" s="61"/>
      <c r="VMU2486" s="58"/>
      <c r="VMV2486" s="58"/>
      <c r="VMW2486" s="58"/>
      <c r="VMX2486" s="60"/>
      <c r="VMY2486" s="60"/>
      <c r="VMZ2486" s="60"/>
      <c r="VNA2486" s="58"/>
      <c r="VNB2486" s="61"/>
      <c r="VNC2486" s="58"/>
      <c r="VND2486" s="58"/>
      <c r="VNE2486" s="58"/>
      <c r="VNF2486" s="60"/>
      <c r="VNG2486" s="60"/>
      <c r="VNH2486" s="60"/>
      <c r="VNI2486" s="58"/>
      <c r="VNJ2486" s="61"/>
      <c r="VNK2486" s="58"/>
      <c r="VNL2486" s="58"/>
      <c r="VNM2486" s="58"/>
      <c r="VNN2486" s="60"/>
      <c r="VNO2486" s="60"/>
      <c r="VNP2486" s="60"/>
      <c r="VNQ2486" s="58"/>
      <c r="VNR2486" s="61"/>
      <c r="VNS2486" s="58"/>
      <c r="VNT2486" s="58"/>
      <c r="VNU2486" s="58"/>
      <c r="VNV2486" s="60"/>
      <c r="VNW2486" s="60"/>
      <c r="VNX2486" s="60"/>
      <c r="VNY2486" s="58"/>
      <c r="VNZ2486" s="61"/>
      <c r="VOA2486" s="58"/>
      <c r="VOB2486" s="58"/>
      <c r="VOC2486" s="58"/>
      <c r="VOD2486" s="60"/>
      <c r="VOE2486" s="60"/>
      <c r="VOF2486" s="60"/>
      <c r="VOG2486" s="58"/>
      <c r="VOH2486" s="61"/>
      <c r="VOI2486" s="58"/>
      <c r="VOJ2486" s="58"/>
      <c r="VOK2486" s="58"/>
      <c r="VOL2486" s="60"/>
      <c r="VOM2486" s="60"/>
      <c r="VON2486" s="60"/>
      <c r="VOO2486" s="58"/>
      <c r="VOP2486" s="61"/>
      <c r="VOQ2486" s="58"/>
      <c r="VOR2486" s="58"/>
      <c r="VOS2486" s="58"/>
      <c r="VOT2486" s="60"/>
      <c r="VOU2486" s="60"/>
      <c r="VOV2486" s="60"/>
      <c r="VOW2486" s="58"/>
      <c r="VOX2486" s="61"/>
      <c r="VOY2486" s="58"/>
      <c r="VOZ2486" s="58"/>
      <c r="VPA2486" s="58"/>
      <c r="VPB2486" s="60"/>
      <c r="VPC2486" s="60"/>
      <c r="VPD2486" s="60"/>
      <c r="VPE2486" s="58"/>
      <c r="VPF2486" s="61"/>
      <c r="VPG2486" s="58"/>
      <c r="VPH2486" s="58"/>
      <c r="VPI2486" s="58"/>
      <c r="VPJ2486" s="60"/>
      <c r="VPK2486" s="60"/>
      <c r="VPL2486" s="60"/>
      <c r="VPM2486" s="58"/>
      <c r="VPN2486" s="61"/>
      <c r="VPO2486" s="58"/>
      <c r="VPP2486" s="58"/>
      <c r="VPQ2486" s="58"/>
      <c r="VPR2486" s="60"/>
      <c r="VPS2486" s="60"/>
      <c r="VPT2486" s="60"/>
      <c r="VPU2486" s="58"/>
      <c r="VPV2486" s="61"/>
      <c r="VPW2486" s="58"/>
      <c r="VPX2486" s="58"/>
      <c r="VPY2486" s="58"/>
      <c r="VPZ2486" s="60"/>
      <c r="VQA2486" s="60"/>
      <c r="VQB2486" s="60"/>
      <c r="VQC2486" s="58"/>
      <c r="VQD2486" s="61"/>
      <c r="VQE2486" s="58"/>
      <c r="VQF2486" s="58"/>
      <c r="VQG2486" s="58"/>
      <c r="VQH2486" s="60"/>
      <c r="VQI2486" s="60"/>
      <c r="VQJ2486" s="60"/>
      <c r="VQK2486" s="58"/>
      <c r="VQL2486" s="61"/>
      <c r="VQM2486" s="58"/>
      <c r="VQN2486" s="58"/>
      <c r="VQO2486" s="58"/>
      <c r="VQP2486" s="60"/>
      <c r="VQQ2486" s="60"/>
      <c r="VQR2486" s="60"/>
      <c r="VQS2486" s="58"/>
      <c r="VQT2486" s="61"/>
      <c r="VQU2486" s="58"/>
      <c r="VQV2486" s="58"/>
      <c r="VQW2486" s="58"/>
      <c r="VQX2486" s="60"/>
      <c r="VQY2486" s="60"/>
      <c r="VQZ2486" s="60"/>
      <c r="VRA2486" s="58"/>
      <c r="VRB2486" s="61"/>
      <c r="VRC2486" s="58"/>
      <c r="VRD2486" s="58"/>
      <c r="VRE2486" s="58"/>
      <c r="VRF2486" s="60"/>
      <c r="VRG2486" s="60"/>
      <c r="VRH2486" s="60"/>
      <c r="VRI2486" s="58"/>
      <c r="VRJ2486" s="61"/>
      <c r="VRK2486" s="58"/>
      <c r="VRL2486" s="58"/>
      <c r="VRM2486" s="58"/>
      <c r="VRN2486" s="60"/>
      <c r="VRO2486" s="60"/>
      <c r="VRP2486" s="60"/>
      <c r="VRQ2486" s="58"/>
      <c r="VRR2486" s="61"/>
      <c r="VRS2486" s="58"/>
      <c r="VRT2486" s="58"/>
      <c r="VRU2486" s="58"/>
      <c r="VRV2486" s="60"/>
      <c r="VRW2486" s="60"/>
      <c r="VRX2486" s="60"/>
      <c r="VRY2486" s="58"/>
      <c r="VRZ2486" s="61"/>
      <c r="VSA2486" s="58"/>
      <c r="VSB2486" s="58"/>
      <c r="VSC2486" s="58"/>
      <c r="VSD2486" s="60"/>
      <c r="VSE2486" s="60"/>
      <c r="VSF2486" s="60"/>
      <c r="VSG2486" s="58"/>
      <c r="VSH2486" s="61"/>
      <c r="VSI2486" s="58"/>
      <c r="VSJ2486" s="58"/>
      <c r="VSK2486" s="58"/>
      <c r="VSL2486" s="60"/>
      <c r="VSM2486" s="60"/>
      <c r="VSN2486" s="60"/>
      <c r="VSO2486" s="58"/>
      <c r="VSP2486" s="61"/>
      <c r="VSQ2486" s="58"/>
      <c r="VSR2486" s="58"/>
      <c r="VSS2486" s="58"/>
      <c r="VST2486" s="60"/>
      <c r="VSU2486" s="60"/>
      <c r="VSV2486" s="60"/>
      <c r="VSW2486" s="58"/>
      <c r="VSX2486" s="61"/>
      <c r="VSY2486" s="58"/>
      <c r="VSZ2486" s="58"/>
      <c r="VTA2486" s="58"/>
      <c r="VTB2486" s="60"/>
      <c r="VTC2486" s="60"/>
      <c r="VTD2486" s="60"/>
      <c r="VTE2486" s="58"/>
      <c r="VTF2486" s="61"/>
      <c r="VTG2486" s="58"/>
      <c r="VTH2486" s="58"/>
      <c r="VTI2486" s="58"/>
      <c r="VTJ2486" s="60"/>
      <c r="VTK2486" s="60"/>
      <c r="VTL2486" s="60"/>
      <c r="VTM2486" s="58"/>
      <c r="VTN2486" s="61"/>
      <c r="VTO2486" s="58"/>
      <c r="VTP2486" s="58"/>
      <c r="VTQ2486" s="58"/>
      <c r="VTR2486" s="60"/>
      <c r="VTS2486" s="60"/>
      <c r="VTT2486" s="60"/>
      <c r="VTU2486" s="58"/>
      <c r="VTV2486" s="61"/>
      <c r="VTW2486" s="58"/>
      <c r="VTX2486" s="58"/>
      <c r="VTY2486" s="58"/>
      <c r="VTZ2486" s="60"/>
      <c r="VUA2486" s="60"/>
      <c r="VUB2486" s="60"/>
      <c r="VUC2486" s="58"/>
      <c r="VUD2486" s="61"/>
      <c r="VUE2486" s="58"/>
      <c r="VUF2486" s="58"/>
      <c r="VUG2486" s="58"/>
      <c r="VUH2486" s="60"/>
      <c r="VUI2486" s="60"/>
      <c r="VUJ2486" s="60"/>
      <c r="VUK2486" s="58"/>
      <c r="VUL2486" s="61"/>
      <c r="VUM2486" s="58"/>
      <c r="VUN2486" s="58"/>
      <c r="VUO2486" s="58"/>
      <c r="VUP2486" s="60"/>
      <c r="VUQ2486" s="60"/>
      <c r="VUR2486" s="60"/>
      <c r="VUS2486" s="58"/>
      <c r="VUT2486" s="61"/>
      <c r="VUU2486" s="58"/>
      <c r="VUV2486" s="58"/>
      <c r="VUW2486" s="58"/>
      <c r="VUX2486" s="60"/>
      <c r="VUY2486" s="60"/>
      <c r="VUZ2486" s="60"/>
      <c r="VVA2486" s="58"/>
      <c r="VVB2486" s="61"/>
      <c r="VVC2486" s="58"/>
      <c r="VVD2486" s="58"/>
      <c r="VVE2486" s="58"/>
      <c r="VVF2486" s="60"/>
      <c r="VVG2486" s="60"/>
      <c r="VVH2486" s="60"/>
      <c r="VVI2486" s="58"/>
      <c r="VVJ2486" s="61"/>
      <c r="VVK2486" s="58"/>
      <c r="VVL2486" s="58"/>
      <c r="VVM2486" s="58"/>
      <c r="VVN2486" s="60"/>
      <c r="VVO2486" s="60"/>
      <c r="VVP2486" s="60"/>
      <c r="VVQ2486" s="58"/>
      <c r="VVR2486" s="61"/>
      <c r="VVS2486" s="58"/>
      <c r="VVT2486" s="58"/>
      <c r="VVU2486" s="58"/>
      <c r="VVV2486" s="60"/>
      <c r="VVW2486" s="60"/>
      <c r="VVX2486" s="60"/>
      <c r="VVY2486" s="58"/>
      <c r="VVZ2486" s="61"/>
      <c r="VWA2486" s="58"/>
      <c r="VWB2486" s="58"/>
      <c r="VWC2486" s="58"/>
      <c r="VWD2486" s="60"/>
      <c r="VWE2486" s="60"/>
      <c r="VWF2486" s="60"/>
      <c r="VWG2486" s="58"/>
      <c r="VWH2486" s="61"/>
      <c r="VWI2486" s="58"/>
      <c r="VWJ2486" s="58"/>
      <c r="VWK2486" s="58"/>
      <c r="VWL2486" s="60"/>
      <c r="VWM2486" s="60"/>
      <c r="VWN2486" s="60"/>
      <c r="VWO2486" s="58"/>
      <c r="VWP2486" s="61"/>
      <c r="VWQ2486" s="58"/>
      <c r="VWR2486" s="58"/>
      <c r="VWS2486" s="58"/>
      <c r="VWT2486" s="60"/>
      <c r="VWU2486" s="60"/>
      <c r="VWV2486" s="60"/>
      <c r="VWW2486" s="58"/>
      <c r="VWX2486" s="61"/>
      <c r="VWY2486" s="58"/>
      <c r="VWZ2486" s="58"/>
      <c r="VXA2486" s="58"/>
      <c r="VXB2486" s="60"/>
      <c r="VXC2486" s="60"/>
      <c r="VXD2486" s="60"/>
      <c r="VXE2486" s="58"/>
      <c r="VXF2486" s="61"/>
      <c r="VXG2486" s="58"/>
      <c r="VXH2486" s="58"/>
      <c r="VXI2486" s="58"/>
      <c r="VXJ2486" s="60"/>
      <c r="VXK2486" s="60"/>
      <c r="VXL2486" s="60"/>
      <c r="VXM2486" s="58"/>
      <c r="VXN2486" s="61"/>
      <c r="VXO2486" s="58"/>
      <c r="VXP2486" s="58"/>
      <c r="VXQ2486" s="58"/>
      <c r="VXR2486" s="60"/>
      <c r="VXS2486" s="60"/>
      <c r="VXT2486" s="60"/>
      <c r="VXU2486" s="58"/>
      <c r="VXV2486" s="61"/>
      <c r="VXW2486" s="58"/>
      <c r="VXX2486" s="58"/>
      <c r="VXY2486" s="58"/>
      <c r="VXZ2486" s="60"/>
      <c r="VYA2486" s="60"/>
      <c r="VYB2486" s="60"/>
      <c r="VYC2486" s="58"/>
      <c r="VYD2486" s="61"/>
      <c r="VYE2486" s="58"/>
      <c r="VYF2486" s="58"/>
      <c r="VYG2486" s="58"/>
      <c r="VYH2486" s="60"/>
      <c r="VYI2486" s="60"/>
      <c r="VYJ2486" s="60"/>
      <c r="VYK2486" s="58"/>
      <c r="VYL2486" s="61"/>
      <c r="VYM2486" s="58"/>
      <c r="VYN2486" s="58"/>
      <c r="VYO2486" s="58"/>
      <c r="VYP2486" s="60"/>
      <c r="VYQ2486" s="60"/>
      <c r="VYR2486" s="60"/>
      <c r="VYS2486" s="58"/>
      <c r="VYT2486" s="61"/>
      <c r="VYU2486" s="58"/>
      <c r="VYV2486" s="58"/>
      <c r="VYW2486" s="58"/>
      <c r="VYX2486" s="60"/>
      <c r="VYY2486" s="60"/>
      <c r="VYZ2486" s="60"/>
      <c r="VZA2486" s="58"/>
      <c r="VZB2486" s="61"/>
      <c r="VZC2486" s="58"/>
      <c r="VZD2486" s="58"/>
      <c r="VZE2486" s="58"/>
      <c r="VZF2486" s="60"/>
      <c r="VZG2486" s="60"/>
      <c r="VZH2486" s="60"/>
      <c r="VZI2486" s="58"/>
      <c r="VZJ2486" s="61"/>
      <c r="VZK2486" s="58"/>
      <c r="VZL2486" s="58"/>
      <c r="VZM2486" s="58"/>
      <c r="VZN2486" s="60"/>
      <c r="VZO2486" s="60"/>
      <c r="VZP2486" s="60"/>
      <c r="VZQ2486" s="58"/>
      <c r="VZR2486" s="61"/>
      <c r="VZS2486" s="58"/>
      <c r="VZT2486" s="58"/>
      <c r="VZU2486" s="58"/>
      <c r="VZV2486" s="60"/>
      <c r="VZW2486" s="60"/>
      <c r="VZX2486" s="60"/>
      <c r="VZY2486" s="58"/>
      <c r="VZZ2486" s="61"/>
      <c r="WAA2486" s="58"/>
      <c r="WAB2486" s="58"/>
      <c r="WAC2486" s="58"/>
      <c r="WAD2486" s="60"/>
      <c r="WAE2486" s="60"/>
      <c r="WAF2486" s="60"/>
      <c r="WAG2486" s="58"/>
      <c r="WAH2486" s="61"/>
      <c r="WAI2486" s="58"/>
      <c r="WAJ2486" s="58"/>
      <c r="WAK2486" s="58"/>
      <c r="WAL2486" s="60"/>
      <c r="WAM2486" s="60"/>
      <c r="WAN2486" s="60"/>
      <c r="WAO2486" s="58"/>
      <c r="WAP2486" s="61"/>
      <c r="WAQ2486" s="58"/>
      <c r="WAR2486" s="58"/>
      <c r="WAS2486" s="58"/>
      <c r="WAT2486" s="60"/>
      <c r="WAU2486" s="60"/>
      <c r="WAV2486" s="60"/>
      <c r="WAW2486" s="58"/>
      <c r="WAX2486" s="61"/>
      <c r="WAY2486" s="58"/>
      <c r="WAZ2486" s="58"/>
      <c r="WBA2486" s="58"/>
      <c r="WBB2486" s="60"/>
      <c r="WBC2486" s="60"/>
      <c r="WBD2486" s="60"/>
      <c r="WBE2486" s="58"/>
      <c r="WBF2486" s="61"/>
      <c r="WBG2486" s="58"/>
      <c r="WBH2486" s="58"/>
      <c r="WBI2486" s="58"/>
      <c r="WBJ2486" s="60"/>
      <c r="WBK2486" s="60"/>
      <c r="WBL2486" s="60"/>
      <c r="WBM2486" s="58"/>
      <c r="WBN2486" s="61"/>
      <c r="WBO2486" s="58"/>
      <c r="WBP2486" s="58"/>
      <c r="WBQ2486" s="58"/>
      <c r="WBR2486" s="60"/>
      <c r="WBS2486" s="60"/>
      <c r="WBT2486" s="60"/>
      <c r="WBU2486" s="58"/>
      <c r="WBV2486" s="61"/>
      <c r="WBW2486" s="58"/>
      <c r="WBX2486" s="58"/>
      <c r="WBY2486" s="58"/>
      <c r="WBZ2486" s="60"/>
      <c r="WCA2486" s="60"/>
      <c r="WCB2486" s="60"/>
      <c r="WCC2486" s="58"/>
      <c r="WCD2486" s="61"/>
      <c r="WCE2486" s="58"/>
      <c r="WCF2486" s="58"/>
      <c r="WCG2486" s="58"/>
      <c r="WCH2486" s="60"/>
      <c r="WCI2486" s="60"/>
      <c r="WCJ2486" s="60"/>
      <c r="WCK2486" s="58"/>
      <c r="WCL2486" s="61"/>
      <c r="WCM2486" s="58"/>
      <c r="WCN2486" s="58"/>
      <c r="WCO2486" s="58"/>
      <c r="WCP2486" s="60"/>
      <c r="WCQ2486" s="60"/>
      <c r="WCR2486" s="60"/>
      <c r="WCS2486" s="58"/>
      <c r="WCT2486" s="61"/>
      <c r="WCU2486" s="58"/>
      <c r="WCV2486" s="58"/>
      <c r="WCW2486" s="58"/>
      <c r="WCX2486" s="60"/>
      <c r="WCY2486" s="60"/>
      <c r="WCZ2486" s="60"/>
      <c r="WDA2486" s="58"/>
      <c r="WDB2486" s="61"/>
      <c r="WDC2486" s="58"/>
      <c r="WDD2486" s="58"/>
      <c r="WDE2486" s="58"/>
      <c r="WDF2486" s="60"/>
      <c r="WDG2486" s="60"/>
      <c r="WDH2486" s="60"/>
      <c r="WDI2486" s="58"/>
      <c r="WDJ2486" s="61"/>
      <c r="WDK2486" s="58"/>
      <c r="WDL2486" s="58"/>
      <c r="WDM2486" s="58"/>
      <c r="WDN2486" s="60"/>
      <c r="WDO2486" s="60"/>
      <c r="WDP2486" s="60"/>
      <c r="WDQ2486" s="58"/>
      <c r="WDR2486" s="61"/>
      <c r="WDS2486" s="58"/>
      <c r="WDT2486" s="58"/>
      <c r="WDU2486" s="58"/>
      <c r="WDV2486" s="60"/>
      <c r="WDW2486" s="60"/>
      <c r="WDX2486" s="60"/>
      <c r="WDY2486" s="58"/>
      <c r="WDZ2486" s="61"/>
      <c r="WEA2486" s="58"/>
      <c r="WEB2486" s="58"/>
      <c r="WEC2486" s="58"/>
      <c r="WED2486" s="60"/>
      <c r="WEE2486" s="60"/>
      <c r="WEF2486" s="60"/>
      <c r="WEG2486" s="58"/>
      <c r="WEH2486" s="61"/>
      <c r="WEI2486" s="58"/>
      <c r="WEJ2486" s="58"/>
      <c r="WEK2486" s="58"/>
      <c r="WEL2486" s="60"/>
      <c r="WEM2486" s="60"/>
      <c r="WEN2486" s="60"/>
      <c r="WEO2486" s="58"/>
      <c r="WEP2486" s="61"/>
      <c r="WEQ2486" s="58"/>
      <c r="WER2486" s="58"/>
      <c r="WES2486" s="58"/>
      <c r="WET2486" s="60"/>
      <c r="WEU2486" s="60"/>
      <c r="WEV2486" s="60"/>
      <c r="WEW2486" s="58"/>
      <c r="WEX2486" s="61"/>
      <c r="WEY2486" s="58"/>
      <c r="WEZ2486" s="58"/>
      <c r="WFA2486" s="58"/>
      <c r="WFB2486" s="60"/>
      <c r="WFC2486" s="60"/>
      <c r="WFD2486" s="60"/>
      <c r="WFE2486" s="58"/>
      <c r="WFF2486" s="61"/>
      <c r="WFG2486" s="58"/>
      <c r="WFH2486" s="58"/>
      <c r="WFI2486" s="58"/>
      <c r="WFJ2486" s="60"/>
      <c r="WFK2486" s="60"/>
      <c r="WFL2486" s="60"/>
      <c r="WFM2486" s="58"/>
      <c r="WFN2486" s="61"/>
      <c r="WFO2486" s="58"/>
      <c r="WFP2486" s="58"/>
      <c r="WFQ2486" s="58"/>
      <c r="WFR2486" s="60"/>
      <c r="WFS2486" s="60"/>
      <c r="WFT2486" s="60"/>
      <c r="WFU2486" s="58"/>
      <c r="WFV2486" s="61"/>
      <c r="WFW2486" s="58"/>
      <c r="WFX2486" s="58"/>
      <c r="WFY2486" s="58"/>
      <c r="WFZ2486" s="60"/>
      <c r="WGA2486" s="60"/>
      <c r="WGB2486" s="60"/>
      <c r="WGC2486" s="58"/>
      <c r="WGD2486" s="61"/>
      <c r="WGE2486" s="58"/>
      <c r="WGF2486" s="58"/>
      <c r="WGG2486" s="58"/>
      <c r="WGH2486" s="60"/>
      <c r="WGI2486" s="60"/>
      <c r="WGJ2486" s="60"/>
      <c r="WGK2486" s="58"/>
      <c r="WGL2486" s="61"/>
      <c r="WGM2486" s="58"/>
      <c r="WGN2486" s="58"/>
      <c r="WGO2486" s="58"/>
      <c r="WGP2486" s="60"/>
      <c r="WGQ2486" s="60"/>
      <c r="WGR2486" s="60"/>
      <c r="WGS2486" s="58"/>
      <c r="WGT2486" s="61"/>
      <c r="WGU2486" s="58"/>
      <c r="WGV2486" s="58"/>
      <c r="WGW2486" s="58"/>
      <c r="WGX2486" s="60"/>
      <c r="WGY2486" s="60"/>
      <c r="WGZ2486" s="60"/>
      <c r="WHA2486" s="58"/>
      <c r="WHB2486" s="61"/>
      <c r="WHC2486" s="58"/>
      <c r="WHD2486" s="58"/>
      <c r="WHE2486" s="58"/>
      <c r="WHF2486" s="60"/>
      <c r="WHG2486" s="60"/>
      <c r="WHH2486" s="60"/>
      <c r="WHI2486" s="58"/>
      <c r="WHJ2486" s="61"/>
      <c r="WHK2486" s="58"/>
      <c r="WHL2486" s="58"/>
      <c r="WHM2486" s="58"/>
      <c r="WHN2486" s="60"/>
      <c r="WHO2486" s="60"/>
      <c r="WHP2486" s="60"/>
      <c r="WHQ2486" s="58"/>
      <c r="WHR2486" s="61"/>
      <c r="WHS2486" s="58"/>
      <c r="WHT2486" s="58"/>
      <c r="WHU2486" s="58"/>
      <c r="WHV2486" s="60"/>
      <c r="WHW2486" s="60"/>
      <c r="WHX2486" s="60"/>
      <c r="WHY2486" s="58"/>
      <c r="WHZ2486" s="61"/>
      <c r="WIA2486" s="58"/>
      <c r="WIB2486" s="58"/>
      <c r="WIC2486" s="58"/>
      <c r="WID2486" s="60"/>
      <c r="WIE2486" s="60"/>
      <c r="WIF2486" s="60"/>
      <c r="WIG2486" s="58"/>
      <c r="WIH2486" s="61"/>
      <c r="WII2486" s="58"/>
      <c r="WIJ2486" s="58"/>
      <c r="WIK2486" s="58"/>
      <c r="WIL2486" s="60"/>
      <c r="WIM2486" s="60"/>
      <c r="WIN2486" s="60"/>
      <c r="WIO2486" s="58"/>
      <c r="WIP2486" s="61"/>
      <c r="WIQ2486" s="58"/>
      <c r="WIR2486" s="58"/>
      <c r="WIS2486" s="58"/>
      <c r="WIT2486" s="60"/>
      <c r="WIU2486" s="60"/>
      <c r="WIV2486" s="60"/>
      <c r="WIW2486" s="58"/>
      <c r="WIX2486" s="61"/>
      <c r="WIY2486" s="58"/>
      <c r="WIZ2486" s="58"/>
      <c r="WJA2486" s="58"/>
      <c r="WJB2486" s="60"/>
      <c r="WJC2486" s="60"/>
      <c r="WJD2486" s="60"/>
      <c r="WJE2486" s="58"/>
      <c r="WJF2486" s="61"/>
      <c r="WJG2486" s="58"/>
      <c r="WJH2486" s="58"/>
      <c r="WJI2486" s="58"/>
      <c r="WJJ2486" s="60"/>
      <c r="WJK2486" s="60"/>
      <c r="WJL2486" s="60"/>
      <c r="WJM2486" s="58"/>
      <c r="WJN2486" s="61"/>
      <c r="WJO2486" s="58"/>
      <c r="WJP2486" s="58"/>
      <c r="WJQ2486" s="58"/>
      <c r="WJR2486" s="60"/>
      <c r="WJS2486" s="60"/>
      <c r="WJT2486" s="60"/>
      <c r="WJU2486" s="58"/>
      <c r="WJV2486" s="61"/>
      <c r="WJW2486" s="58"/>
      <c r="WJX2486" s="58"/>
      <c r="WJY2486" s="58"/>
      <c r="WJZ2486" s="60"/>
      <c r="WKA2486" s="60"/>
      <c r="WKB2486" s="60"/>
      <c r="WKC2486" s="58"/>
      <c r="WKD2486" s="61"/>
      <c r="WKE2486" s="58"/>
      <c r="WKF2486" s="58"/>
      <c r="WKG2486" s="58"/>
      <c r="WKH2486" s="60"/>
      <c r="WKI2486" s="60"/>
      <c r="WKJ2486" s="60"/>
      <c r="WKK2486" s="58"/>
      <c r="WKL2486" s="61"/>
      <c r="WKM2486" s="58"/>
      <c r="WKN2486" s="58"/>
      <c r="WKO2486" s="58"/>
      <c r="WKP2486" s="60"/>
      <c r="WKQ2486" s="60"/>
      <c r="WKR2486" s="60"/>
      <c r="WKS2486" s="58"/>
      <c r="WKT2486" s="61"/>
      <c r="WKU2486" s="58"/>
      <c r="WKV2486" s="58"/>
      <c r="WKW2486" s="58"/>
      <c r="WKX2486" s="60"/>
      <c r="WKY2486" s="60"/>
      <c r="WKZ2486" s="60"/>
      <c r="WLA2486" s="58"/>
      <c r="WLB2486" s="61"/>
      <c r="WLC2486" s="58"/>
      <c r="WLD2486" s="58"/>
      <c r="WLE2486" s="58"/>
      <c r="WLF2486" s="60"/>
      <c r="WLG2486" s="60"/>
      <c r="WLH2486" s="60"/>
      <c r="WLI2486" s="58"/>
      <c r="WLJ2486" s="61"/>
      <c r="WLK2486" s="58"/>
      <c r="WLL2486" s="58"/>
      <c r="WLM2486" s="58"/>
      <c r="WLN2486" s="60"/>
      <c r="WLO2486" s="60"/>
      <c r="WLP2486" s="60"/>
      <c r="WLQ2486" s="58"/>
      <c r="WLR2486" s="61"/>
      <c r="WLS2486" s="58"/>
      <c r="WLT2486" s="58"/>
      <c r="WLU2486" s="58"/>
      <c r="WLV2486" s="60"/>
      <c r="WLW2486" s="60"/>
      <c r="WLX2486" s="60"/>
      <c r="WLY2486" s="58"/>
      <c r="WLZ2486" s="61"/>
      <c r="WMA2486" s="58"/>
      <c r="WMB2486" s="58"/>
      <c r="WMC2486" s="58"/>
      <c r="WMD2486" s="60"/>
      <c r="WME2486" s="60"/>
      <c r="WMF2486" s="60"/>
      <c r="WMG2486" s="58"/>
      <c r="WMH2486" s="61"/>
      <c r="WMI2486" s="58"/>
      <c r="WMJ2486" s="58"/>
      <c r="WMK2486" s="58"/>
      <c r="WML2486" s="60"/>
      <c r="WMM2486" s="60"/>
      <c r="WMN2486" s="60"/>
      <c r="WMO2486" s="58"/>
      <c r="WMP2486" s="61"/>
      <c r="WMQ2486" s="58"/>
      <c r="WMR2486" s="58"/>
      <c r="WMS2486" s="58"/>
      <c r="WMT2486" s="60"/>
      <c r="WMU2486" s="60"/>
      <c r="WMV2486" s="60"/>
      <c r="WMW2486" s="58"/>
      <c r="WMX2486" s="61"/>
      <c r="WMY2486" s="58"/>
      <c r="WMZ2486" s="58"/>
      <c r="WNA2486" s="58"/>
      <c r="WNB2486" s="60"/>
      <c r="WNC2486" s="60"/>
      <c r="WND2486" s="60"/>
      <c r="WNE2486" s="58"/>
      <c r="WNF2486" s="61"/>
      <c r="WNG2486" s="58"/>
      <c r="WNH2486" s="58"/>
      <c r="WNI2486" s="58"/>
      <c r="WNJ2486" s="60"/>
      <c r="WNK2486" s="60"/>
      <c r="WNL2486" s="60"/>
      <c r="WNM2486" s="58"/>
      <c r="WNN2486" s="61"/>
      <c r="WNO2486" s="58"/>
      <c r="WNP2486" s="58"/>
      <c r="WNQ2486" s="58"/>
      <c r="WNR2486" s="60"/>
      <c r="WNS2486" s="60"/>
      <c r="WNT2486" s="60"/>
      <c r="WNU2486" s="58"/>
      <c r="WNV2486" s="61"/>
      <c r="WNW2486" s="58"/>
      <c r="WNX2486" s="58"/>
      <c r="WNY2486" s="58"/>
      <c r="WNZ2486" s="60"/>
      <c r="WOA2486" s="60"/>
      <c r="WOB2486" s="60"/>
      <c r="WOC2486" s="58"/>
      <c r="WOD2486" s="61"/>
      <c r="WOE2486" s="58"/>
      <c r="WOF2486" s="58"/>
      <c r="WOG2486" s="58"/>
      <c r="WOH2486" s="60"/>
      <c r="WOI2486" s="60"/>
      <c r="WOJ2486" s="60"/>
      <c r="WOK2486" s="58"/>
      <c r="WOL2486" s="61"/>
      <c r="WOM2486" s="58"/>
      <c r="WON2486" s="58"/>
      <c r="WOO2486" s="58"/>
      <c r="WOP2486" s="60"/>
      <c r="WOQ2486" s="60"/>
      <c r="WOR2486" s="60"/>
      <c r="WOS2486" s="58"/>
      <c r="WOT2486" s="61"/>
      <c r="WOU2486" s="58"/>
      <c r="WOV2486" s="58"/>
      <c r="WOW2486" s="58"/>
      <c r="WOX2486" s="60"/>
      <c r="WOY2486" s="60"/>
      <c r="WOZ2486" s="60"/>
      <c r="WPA2486" s="58"/>
      <c r="WPB2486" s="61"/>
      <c r="WPC2486" s="58"/>
      <c r="WPD2486" s="58"/>
      <c r="WPE2486" s="58"/>
      <c r="WPF2486" s="60"/>
      <c r="WPG2486" s="60"/>
      <c r="WPH2486" s="60"/>
      <c r="WPI2486" s="58"/>
      <c r="WPJ2486" s="61"/>
      <c r="WPK2486" s="58"/>
      <c r="WPL2486" s="58"/>
      <c r="WPM2486" s="58"/>
      <c r="WPN2486" s="60"/>
      <c r="WPO2486" s="60"/>
      <c r="WPP2486" s="60"/>
      <c r="WPQ2486" s="58"/>
      <c r="WPR2486" s="61"/>
      <c r="WPS2486" s="58"/>
      <c r="WPT2486" s="58"/>
      <c r="WPU2486" s="58"/>
      <c r="WPV2486" s="60"/>
      <c r="WPW2486" s="60"/>
      <c r="WPX2486" s="60"/>
      <c r="WPY2486" s="58"/>
      <c r="WPZ2486" s="61"/>
      <c r="WQA2486" s="58"/>
      <c r="WQB2486" s="58"/>
      <c r="WQC2486" s="58"/>
      <c r="WQD2486" s="60"/>
      <c r="WQE2486" s="60"/>
      <c r="WQF2486" s="60"/>
      <c r="WQG2486" s="58"/>
      <c r="WQH2486" s="61"/>
      <c r="WQI2486" s="58"/>
      <c r="WQJ2486" s="58"/>
      <c r="WQK2486" s="58"/>
      <c r="WQL2486" s="60"/>
      <c r="WQM2486" s="60"/>
      <c r="WQN2486" s="60"/>
      <c r="WQO2486" s="58"/>
      <c r="WQP2486" s="61"/>
      <c r="WQQ2486" s="58"/>
      <c r="WQR2486" s="58"/>
      <c r="WQS2486" s="58"/>
      <c r="WQT2486" s="60"/>
      <c r="WQU2486" s="60"/>
      <c r="WQV2486" s="60"/>
      <c r="WQW2486" s="58"/>
      <c r="WQX2486" s="61"/>
      <c r="WQY2486" s="58"/>
      <c r="WQZ2486" s="58"/>
      <c r="WRA2486" s="58"/>
      <c r="WRB2486" s="60"/>
      <c r="WRC2486" s="60"/>
      <c r="WRD2486" s="60"/>
      <c r="WRE2486" s="58"/>
      <c r="WRF2486" s="61"/>
      <c r="WRG2486" s="58"/>
      <c r="WRH2486" s="58"/>
      <c r="WRI2486" s="58"/>
      <c r="WRJ2486" s="60"/>
      <c r="WRK2486" s="60"/>
      <c r="WRL2486" s="60"/>
      <c r="WRM2486" s="58"/>
      <c r="WRN2486" s="61"/>
      <c r="WRO2486" s="58"/>
      <c r="WRP2486" s="58"/>
      <c r="WRQ2486" s="58"/>
      <c r="WRR2486" s="60"/>
      <c r="WRS2486" s="60"/>
      <c r="WRT2486" s="60"/>
      <c r="WRU2486" s="58"/>
      <c r="WRV2486" s="61"/>
      <c r="WRW2486" s="58"/>
      <c r="WRX2486" s="58"/>
      <c r="WRY2486" s="58"/>
      <c r="WRZ2486" s="60"/>
      <c r="WSA2486" s="60"/>
      <c r="WSB2486" s="60"/>
      <c r="WSC2486" s="58"/>
      <c r="WSD2486" s="61"/>
      <c r="WSE2486" s="58"/>
      <c r="WSF2486" s="58"/>
      <c r="WSG2486" s="58"/>
      <c r="WSH2486" s="60"/>
      <c r="WSI2486" s="60"/>
      <c r="WSJ2486" s="60"/>
      <c r="WSK2486" s="58"/>
      <c r="WSL2486" s="61"/>
      <c r="WSM2486" s="58"/>
      <c r="WSN2486" s="58"/>
      <c r="WSO2486" s="58"/>
      <c r="WSP2486" s="60"/>
      <c r="WSQ2486" s="60"/>
      <c r="WSR2486" s="60"/>
      <c r="WSS2486" s="58"/>
      <c r="WST2486" s="61"/>
      <c r="WSU2486" s="58"/>
      <c r="WSV2486" s="58"/>
      <c r="WSW2486" s="58"/>
      <c r="WSX2486" s="60"/>
      <c r="WSY2486" s="60"/>
      <c r="WSZ2486" s="60"/>
      <c r="WTA2486" s="58"/>
      <c r="WTB2486" s="61"/>
      <c r="WTC2486" s="58"/>
      <c r="WTD2486" s="58"/>
      <c r="WTE2486" s="58"/>
      <c r="WTF2486" s="60"/>
      <c r="WTG2486" s="60"/>
      <c r="WTH2486" s="60"/>
      <c r="WTI2486" s="58"/>
      <c r="WTJ2486" s="61"/>
      <c r="WTK2486" s="58"/>
      <c r="WTL2486" s="58"/>
      <c r="WTM2486" s="58"/>
      <c r="WTN2486" s="60"/>
      <c r="WTO2486" s="60"/>
      <c r="WTP2486" s="60"/>
      <c r="WTQ2486" s="58"/>
      <c r="WTR2486" s="61"/>
      <c r="WTS2486" s="58"/>
      <c r="WTT2486" s="58"/>
      <c r="WTU2486" s="58"/>
      <c r="WTV2486" s="60"/>
      <c r="WTW2486" s="60"/>
      <c r="WTX2486" s="60"/>
      <c r="WTY2486" s="58"/>
      <c r="WTZ2486" s="61"/>
      <c r="WUA2486" s="58"/>
      <c r="WUB2486" s="58"/>
      <c r="WUC2486" s="58"/>
      <c r="WUD2486" s="60"/>
      <c r="WUE2486" s="60"/>
      <c r="WUF2486" s="60"/>
      <c r="WUG2486" s="58"/>
      <c r="WUH2486" s="61"/>
      <c r="WUI2486" s="58"/>
      <c r="WUJ2486" s="58"/>
      <c r="WUK2486" s="58"/>
      <c r="WUL2486" s="60"/>
      <c r="WUM2486" s="60"/>
      <c r="WUN2486" s="60"/>
      <c r="WUO2486" s="58"/>
      <c r="WUP2486" s="61"/>
      <c r="WUQ2486" s="58"/>
      <c r="WUR2486" s="58"/>
      <c r="WUS2486" s="58"/>
      <c r="WUT2486" s="60"/>
      <c r="WUU2486" s="60"/>
      <c r="WUV2486" s="60"/>
      <c r="WUW2486" s="58"/>
      <c r="WUX2486" s="61"/>
      <c r="WUY2486" s="58"/>
      <c r="WUZ2486" s="58"/>
      <c r="WVA2486" s="58"/>
      <c r="WVB2486" s="60"/>
      <c r="WVC2486" s="60"/>
      <c r="WVD2486" s="60"/>
      <c r="WVE2486" s="58"/>
      <c r="WVF2486" s="61"/>
      <c r="WVG2486" s="58"/>
      <c r="WVH2486" s="58"/>
      <c r="WVI2486" s="58"/>
      <c r="WVJ2486" s="60"/>
      <c r="WVK2486" s="60"/>
      <c r="WVL2486" s="60"/>
      <c r="WVM2486" s="58"/>
      <c r="WVN2486" s="61"/>
      <c r="WVO2486" s="58"/>
      <c r="WVP2486" s="58"/>
      <c r="WVQ2486" s="58"/>
      <c r="WVR2486" s="60"/>
      <c r="WVS2486" s="60"/>
      <c r="WVT2486" s="60"/>
      <c r="WVU2486" s="58"/>
      <c r="WVV2486" s="61"/>
      <c r="WVW2486" s="58"/>
      <c r="WVX2486" s="58"/>
      <c r="WVY2486" s="58"/>
      <c r="WVZ2486" s="60"/>
      <c r="WWA2486" s="60"/>
      <c r="WWB2486" s="60"/>
      <c r="WWC2486" s="58"/>
      <c r="WWD2486" s="61"/>
      <c r="WWE2486" s="58"/>
      <c r="WWF2486" s="58"/>
      <c r="WWG2486" s="58"/>
      <c r="WWH2486" s="60"/>
      <c r="WWI2486" s="60"/>
      <c r="WWJ2486" s="60"/>
      <c r="WWK2486" s="58"/>
      <c r="WWL2486" s="61"/>
      <c r="WWM2486" s="58"/>
      <c r="WWN2486" s="58"/>
      <c r="WWO2486" s="58"/>
      <c r="WWP2486" s="60"/>
      <c r="WWQ2486" s="60"/>
      <c r="WWR2486" s="60"/>
      <c r="WWS2486" s="58"/>
      <c r="WWT2486" s="61"/>
      <c r="WWU2486" s="58"/>
      <c r="WWV2486" s="58"/>
      <c r="WWW2486" s="58"/>
      <c r="WWX2486" s="60"/>
      <c r="WWY2486" s="60"/>
      <c r="WWZ2486" s="60"/>
      <c r="WXA2486" s="58"/>
      <c r="WXB2486" s="61"/>
      <c r="WXC2486" s="58"/>
      <c r="WXD2486" s="58"/>
      <c r="WXE2486" s="58"/>
      <c r="WXF2486" s="60"/>
      <c r="WXG2486" s="60"/>
      <c r="WXH2486" s="60"/>
      <c r="WXI2486" s="58"/>
      <c r="WXJ2486" s="61"/>
      <c r="WXK2486" s="58"/>
      <c r="WXL2486" s="58"/>
      <c r="WXM2486" s="58"/>
      <c r="WXN2486" s="60"/>
      <c r="WXO2486" s="60"/>
      <c r="WXP2486" s="60"/>
      <c r="WXQ2486" s="58"/>
      <c r="WXR2486" s="61"/>
      <c r="WXS2486" s="58"/>
      <c r="WXT2486" s="58"/>
      <c r="WXU2486" s="58"/>
      <c r="WXV2486" s="60"/>
      <c r="WXW2486" s="60"/>
      <c r="WXX2486" s="60"/>
      <c r="WXY2486" s="58"/>
      <c r="WXZ2486" s="61"/>
      <c r="WYA2486" s="58"/>
      <c r="WYB2486" s="58"/>
      <c r="WYC2486" s="58"/>
      <c r="WYD2486" s="60"/>
      <c r="WYE2486" s="60"/>
      <c r="WYF2486" s="60"/>
      <c r="WYG2486" s="58"/>
      <c r="WYH2486" s="61"/>
      <c r="WYI2486" s="58"/>
      <c r="WYJ2486" s="58"/>
      <c r="WYK2486" s="58"/>
      <c r="WYL2486" s="60"/>
      <c r="WYM2486" s="60"/>
      <c r="WYN2486" s="60"/>
      <c r="WYO2486" s="58"/>
      <c r="WYP2486" s="61"/>
      <c r="WYQ2486" s="58"/>
      <c r="WYR2486" s="58"/>
      <c r="WYS2486" s="58"/>
      <c r="WYT2486" s="60"/>
      <c r="WYU2486" s="60"/>
      <c r="WYV2486" s="60"/>
      <c r="WYW2486" s="58"/>
      <c r="WYX2486" s="61"/>
      <c r="WYY2486" s="58"/>
      <c r="WYZ2486" s="58"/>
      <c r="WZA2486" s="58"/>
      <c r="WZB2486" s="60"/>
      <c r="WZC2486" s="60"/>
      <c r="WZD2486" s="60"/>
      <c r="WZE2486" s="58"/>
      <c r="WZF2486" s="61"/>
      <c r="WZG2486" s="58"/>
      <c r="WZH2486" s="58"/>
      <c r="WZI2486" s="58"/>
      <c r="WZJ2486" s="60"/>
      <c r="WZK2486" s="60"/>
      <c r="WZL2486" s="60"/>
      <c r="WZM2486" s="58"/>
      <c r="WZN2486" s="61"/>
      <c r="WZO2486" s="58"/>
      <c r="WZP2486" s="58"/>
      <c r="WZQ2486" s="58"/>
      <c r="WZR2486" s="60"/>
      <c r="WZS2486" s="60"/>
      <c r="WZT2486" s="60"/>
      <c r="WZU2486" s="58"/>
      <c r="WZV2486" s="61"/>
      <c r="WZW2486" s="58"/>
      <c r="WZX2486" s="58"/>
      <c r="WZY2486" s="58"/>
      <c r="WZZ2486" s="60"/>
      <c r="XAA2486" s="60"/>
      <c r="XAB2486" s="60"/>
      <c r="XAC2486" s="58"/>
      <c r="XAD2486" s="61"/>
      <c r="XAE2486" s="58"/>
      <c r="XAF2486" s="58"/>
      <c r="XAG2486" s="58"/>
      <c r="XAH2486" s="60"/>
      <c r="XAI2486" s="60"/>
      <c r="XAJ2486" s="60"/>
      <c r="XAK2486" s="58"/>
      <c r="XAL2486" s="61"/>
      <c r="XAM2486" s="58"/>
      <c r="XAN2486" s="58"/>
      <c r="XAO2486" s="58"/>
      <c r="XAP2486" s="60"/>
      <c r="XAQ2486" s="60"/>
      <c r="XAR2486" s="60"/>
      <c r="XAS2486" s="58"/>
      <c r="XAT2486" s="61"/>
      <c r="XAU2486" s="58"/>
      <c r="XAV2486" s="58"/>
      <c r="XAW2486" s="58"/>
      <c r="XAX2486" s="60"/>
      <c r="XAY2486" s="60"/>
      <c r="XAZ2486" s="60"/>
      <c r="XBA2486" s="58"/>
      <c r="XBB2486" s="61"/>
      <c r="XBC2486" s="58"/>
      <c r="XBD2486" s="58"/>
      <c r="XBE2486" s="58"/>
      <c r="XBF2486" s="60"/>
      <c r="XBG2486" s="60"/>
      <c r="XBH2486" s="60"/>
      <c r="XBI2486" s="58"/>
      <c r="XBJ2486" s="61"/>
      <c r="XBK2486" s="58"/>
      <c r="XBL2486" s="58"/>
      <c r="XBM2486" s="58"/>
      <c r="XBN2486" s="60"/>
      <c r="XBO2486" s="60"/>
      <c r="XBP2486" s="60"/>
      <c r="XBQ2486" s="58"/>
      <c r="XBR2486" s="61"/>
      <c r="XBS2486" s="58"/>
      <c r="XBT2486" s="58"/>
      <c r="XBU2486" s="58"/>
      <c r="XBV2486" s="60"/>
      <c r="XBW2486" s="60"/>
      <c r="XBX2486" s="60"/>
      <c r="XBY2486" s="58"/>
      <c r="XBZ2486" s="61"/>
      <c r="XCA2486" s="58"/>
      <c r="XCB2486" s="58"/>
      <c r="XCC2486" s="58"/>
      <c r="XCD2486" s="60"/>
      <c r="XCE2486" s="60"/>
      <c r="XCF2486" s="60"/>
      <c r="XCG2486" s="58"/>
      <c r="XCH2486" s="61"/>
      <c r="XCI2486" s="58"/>
      <c r="XCJ2486" s="58"/>
      <c r="XCK2486" s="58"/>
      <c r="XCL2486" s="60"/>
      <c r="XCM2486" s="60"/>
      <c r="XCN2486" s="60"/>
      <c r="XCO2486" s="58"/>
      <c r="XCP2486" s="61"/>
      <c r="XCQ2486" s="58"/>
      <c r="XCR2486" s="58"/>
      <c r="XCS2486" s="58"/>
      <c r="XCT2486" s="60"/>
      <c r="XCU2486" s="60"/>
      <c r="XCV2486" s="60"/>
      <c r="XCW2486" s="58"/>
      <c r="XCX2486" s="61"/>
      <c r="XCY2486" s="58"/>
      <c r="XCZ2486" s="58"/>
      <c r="XDA2486" s="58"/>
      <c r="XDB2486" s="60"/>
      <c r="XDC2486" s="60"/>
      <c r="XDD2486" s="60"/>
      <c r="XDE2486" s="58"/>
      <c r="XDF2486" s="61"/>
      <c r="XDG2486" s="58"/>
      <c r="XDH2486" s="58"/>
      <c r="XDI2486" s="58"/>
      <c r="XDJ2486" s="60"/>
      <c r="XDK2486" s="60"/>
      <c r="XDL2486" s="60"/>
      <c r="XDM2486" s="58"/>
      <c r="XDN2486" s="61"/>
      <c r="XDO2486" s="58"/>
      <c r="XDP2486" s="58"/>
      <c r="XDQ2486" s="58"/>
      <c r="XDR2486" s="60"/>
      <c r="XDS2486" s="60"/>
      <c r="XDT2486" s="60"/>
      <c r="XDU2486" s="58"/>
      <c r="XDV2486" s="61"/>
      <c r="XDW2486" s="58"/>
      <c r="XDX2486" s="58"/>
      <c r="XDY2486" s="58"/>
      <c r="XDZ2486" s="60"/>
      <c r="XEA2486" s="60"/>
      <c r="XEB2486" s="60"/>
      <c r="XEC2486" s="58"/>
      <c r="XED2486" s="61"/>
      <c r="XEE2486" s="58"/>
      <c r="XEF2486" s="58"/>
      <c r="XEG2486" s="58"/>
      <c r="XEH2486" s="60"/>
      <c r="XEI2486" s="60"/>
      <c r="XEJ2486" s="60"/>
      <c r="XEK2486" s="58"/>
      <c r="XEL2486" s="61"/>
      <c r="XEM2486" s="58"/>
      <c r="XEN2486" s="58"/>
      <c r="XEO2486" s="58"/>
      <c r="XEP2486" s="60"/>
      <c r="XEQ2486" s="60"/>
      <c r="XER2486" s="60"/>
      <c r="XES2486" s="58"/>
      <c r="XET2486" s="61"/>
      <c r="XEU2486" s="58"/>
      <c r="XEV2486" s="58"/>
      <c r="XEW2486" s="58"/>
    </row>
    <row r="2487" ht="18" customHeight="1" spans="1:16377">
      <c r="A2487" s="6" t="s">
        <v>8209</v>
      </c>
      <c r="B2487" s="6" t="s">
        <v>8642</v>
      </c>
      <c r="C2487" s="6" t="s">
        <v>8835</v>
      </c>
      <c r="D2487" s="5" t="s">
        <v>16374</v>
      </c>
      <c r="E2487" s="195" t="s">
        <v>8836</v>
      </c>
      <c r="F2487" s="7" t="s">
        <v>11535</v>
      </c>
      <c r="G2487" s="58"/>
      <c r="H2487" s="58"/>
      <c r="I2487" s="58"/>
      <c r="J2487" s="60"/>
      <c r="K2487" s="60"/>
      <c r="L2487" s="60"/>
      <c r="M2487" s="58"/>
      <c r="N2487" s="61"/>
      <c r="O2487" s="58"/>
      <c r="P2487" s="58"/>
      <c r="Q2487" s="58"/>
      <c r="R2487" s="60"/>
      <c r="S2487" s="60"/>
      <c r="T2487" s="60"/>
      <c r="U2487" s="58"/>
      <c r="V2487" s="61"/>
      <c r="W2487" s="58"/>
      <c r="X2487" s="58"/>
      <c r="Y2487" s="58"/>
      <c r="Z2487" s="60"/>
      <c r="AA2487" s="60"/>
      <c r="AB2487" s="60"/>
      <c r="AC2487" s="58"/>
      <c r="AD2487" s="61"/>
      <c r="AE2487" s="58"/>
      <c r="AF2487" s="58"/>
      <c r="AG2487" s="58"/>
      <c r="AH2487" s="60"/>
      <c r="AI2487" s="60"/>
      <c r="AJ2487" s="60"/>
      <c r="AK2487" s="58"/>
      <c r="AL2487" s="61"/>
      <c r="AM2487" s="58"/>
      <c r="AN2487" s="58"/>
      <c r="AO2487" s="58"/>
      <c r="AP2487" s="60"/>
      <c r="AQ2487" s="60"/>
      <c r="AR2487" s="60"/>
      <c r="AS2487" s="58"/>
      <c r="AT2487" s="61"/>
      <c r="AU2487" s="58"/>
      <c r="AV2487" s="58"/>
      <c r="AW2487" s="58"/>
      <c r="AX2487" s="60"/>
      <c r="AY2487" s="60"/>
      <c r="AZ2487" s="60"/>
      <c r="BA2487" s="58"/>
      <c r="BB2487" s="61"/>
      <c r="BC2487" s="58"/>
      <c r="BD2487" s="58"/>
      <c r="BE2487" s="58"/>
      <c r="BF2487" s="60"/>
      <c r="BG2487" s="60"/>
      <c r="BH2487" s="60"/>
      <c r="BI2487" s="58"/>
      <c r="BJ2487" s="61"/>
      <c r="BK2487" s="58"/>
      <c r="BL2487" s="58"/>
      <c r="BM2487" s="58"/>
      <c r="BN2487" s="60"/>
      <c r="BO2487" s="60"/>
      <c r="BP2487" s="60"/>
      <c r="BQ2487" s="58"/>
      <c r="BR2487" s="61"/>
      <c r="BS2487" s="58"/>
      <c r="BT2487" s="58"/>
      <c r="BU2487" s="58"/>
      <c r="BV2487" s="60"/>
      <c r="BW2487" s="60"/>
      <c r="BX2487" s="60"/>
      <c r="BY2487" s="58"/>
      <c r="BZ2487" s="61"/>
      <c r="CA2487" s="58"/>
      <c r="CB2487" s="58"/>
      <c r="CC2487" s="58"/>
      <c r="CD2487" s="60"/>
      <c r="CE2487" s="60"/>
      <c r="CF2487" s="60"/>
      <c r="CG2487" s="58"/>
      <c r="CH2487" s="61"/>
      <c r="CI2487" s="58"/>
      <c r="CJ2487" s="58"/>
      <c r="CK2487" s="58"/>
      <c r="CL2487" s="60"/>
      <c r="CM2487" s="60"/>
      <c r="CN2487" s="60"/>
      <c r="CO2487" s="58"/>
      <c r="CP2487" s="61"/>
      <c r="CQ2487" s="58"/>
      <c r="CR2487" s="58"/>
      <c r="CS2487" s="58"/>
      <c r="CT2487" s="60"/>
      <c r="CU2487" s="60"/>
      <c r="CV2487" s="60"/>
      <c r="CW2487" s="58"/>
      <c r="CX2487" s="61"/>
      <c r="CY2487" s="58"/>
      <c r="CZ2487" s="58"/>
      <c r="DA2487" s="58"/>
      <c r="DB2487" s="60"/>
      <c r="DC2487" s="60"/>
      <c r="DD2487" s="60"/>
      <c r="DE2487" s="58"/>
      <c r="DF2487" s="61"/>
      <c r="DG2487" s="58"/>
      <c r="DH2487" s="58"/>
      <c r="DI2487" s="58"/>
      <c r="DJ2487" s="60"/>
      <c r="DK2487" s="60"/>
      <c r="DL2487" s="60"/>
      <c r="DM2487" s="58"/>
      <c r="DN2487" s="61"/>
      <c r="DO2487" s="58"/>
      <c r="DP2487" s="58"/>
      <c r="DQ2487" s="58"/>
      <c r="DR2487" s="60"/>
      <c r="DS2487" s="60"/>
      <c r="DT2487" s="60"/>
      <c r="DU2487" s="58"/>
      <c r="DV2487" s="61"/>
      <c r="DW2487" s="58"/>
      <c r="DX2487" s="58"/>
      <c r="DY2487" s="58"/>
      <c r="DZ2487" s="60"/>
      <c r="EA2487" s="60"/>
      <c r="EB2487" s="60"/>
      <c r="EC2487" s="58"/>
      <c r="ED2487" s="61"/>
      <c r="EE2487" s="58"/>
      <c r="EF2487" s="58"/>
      <c r="EG2487" s="58"/>
      <c r="EH2487" s="60"/>
      <c r="EI2487" s="60"/>
      <c r="EJ2487" s="60"/>
      <c r="EK2487" s="58"/>
      <c r="EL2487" s="61"/>
      <c r="EM2487" s="58"/>
      <c r="EN2487" s="58"/>
      <c r="EO2487" s="58"/>
      <c r="EP2487" s="60"/>
      <c r="EQ2487" s="60"/>
      <c r="ER2487" s="60"/>
      <c r="ES2487" s="58"/>
      <c r="ET2487" s="61"/>
      <c r="EU2487" s="58"/>
      <c r="EV2487" s="58"/>
      <c r="EW2487" s="58"/>
      <c r="EX2487" s="60"/>
      <c r="EY2487" s="60"/>
      <c r="EZ2487" s="60"/>
      <c r="FA2487" s="58"/>
      <c r="FB2487" s="61"/>
      <c r="FC2487" s="58"/>
      <c r="FD2487" s="58"/>
      <c r="FE2487" s="58"/>
      <c r="FF2487" s="60"/>
      <c r="FG2487" s="60"/>
      <c r="FH2487" s="60"/>
      <c r="FI2487" s="58"/>
      <c r="FJ2487" s="61"/>
      <c r="FK2487" s="58"/>
      <c r="FL2487" s="58"/>
      <c r="FM2487" s="58"/>
      <c r="FN2487" s="60"/>
      <c r="FO2487" s="60"/>
      <c r="FP2487" s="60"/>
      <c r="FQ2487" s="58"/>
      <c r="FR2487" s="61"/>
      <c r="FS2487" s="58"/>
      <c r="FT2487" s="58"/>
      <c r="FU2487" s="58"/>
      <c r="FV2487" s="60"/>
      <c r="FW2487" s="60"/>
      <c r="FX2487" s="60"/>
      <c r="FY2487" s="58"/>
      <c r="FZ2487" s="61"/>
      <c r="GA2487" s="58"/>
      <c r="GB2487" s="58"/>
      <c r="GC2487" s="58"/>
      <c r="GD2487" s="60"/>
      <c r="GE2487" s="60"/>
      <c r="GF2487" s="60"/>
      <c r="GG2487" s="58"/>
      <c r="GH2487" s="61"/>
      <c r="GI2487" s="58"/>
      <c r="GJ2487" s="58"/>
      <c r="GK2487" s="58"/>
      <c r="GL2487" s="60"/>
      <c r="GM2487" s="60"/>
      <c r="GN2487" s="60"/>
      <c r="GO2487" s="58"/>
      <c r="GP2487" s="61"/>
      <c r="GQ2487" s="58"/>
      <c r="GR2487" s="58"/>
      <c r="GS2487" s="58"/>
      <c r="GT2487" s="60"/>
      <c r="GU2487" s="60"/>
      <c r="GV2487" s="60"/>
      <c r="GW2487" s="58"/>
      <c r="GX2487" s="61"/>
      <c r="GY2487" s="58"/>
      <c r="GZ2487" s="58"/>
      <c r="HA2487" s="58"/>
      <c r="HB2487" s="60"/>
      <c r="HC2487" s="60"/>
      <c r="HD2487" s="60"/>
      <c r="HE2487" s="58"/>
      <c r="HF2487" s="61"/>
      <c r="HG2487" s="58"/>
      <c r="HH2487" s="58"/>
      <c r="HI2487" s="58"/>
      <c r="HJ2487" s="60"/>
      <c r="HK2487" s="60"/>
      <c r="HL2487" s="60"/>
      <c r="HM2487" s="58"/>
      <c r="HN2487" s="61"/>
      <c r="HO2487" s="58"/>
      <c r="HP2487" s="58"/>
      <c r="HQ2487" s="58"/>
      <c r="HR2487" s="60"/>
      <c r="HS2487" s="60"/>
      <c r="HT2487" s="60"/>
      <c r="HU2487" s="58"/>
      <c r="HV2487" s="61"/>
      <c r="HW2487" s="58"/>
      <c r="HX2487" s="58"/>
      <c r="HY2487" s="58"/>
      <c r="HZ2487" s="60"/>
      <c r="IA2487" s="60"/>
      <c r="IB2487" s="60"/>
      <c r="IC2487" s="58"/>
      <c r="ID2487" s="61"/>
      <c r="IE2487" s="58"/>
      <c r="IF2487" s="58"/>
      <c r="IG2487" s="58"/>
      <c r="IH2487" s="60"/>
      <c r="II2487" s="60"/>
      <c r="IJ2487" s="60"/>
      <c r="IK2487" s="58"/>
      <c r="IL2487" s="61"/>
      <c r="IM2487" s="58"/>
      <c r="IN2487" s="58"/>
      <c r="IO2487" s="58"/>
      <c r="IP2487" s="60"/>
      <c r="IQ2487" s="60"/>
      <c r="IR2487" s="60"/>
      <c r="IS2487" s="58"/>
      <c r="IT2487" s="61"/>
      <c r="IU2487" s="58"/>
      <c r="IV2487" s="58"/>
      <c r="IW2487" s="58"/>
      <c r="IX2487" s="60"/>
      <c r="IY2487" s="60"/>
      <c r="IZ2487" s="60"/>
      <c r="JA2487" s="58"/>
      <c r="JB2487" s="61"/>
      <c r="JC2487" s="58"/>
      <c r="JD2487" s="58"/>
      <c r="JE2487" s="58"/>
      <c r="JF2487" s="60"/>
      <c r="JG2487" s="60"/>
      <c r="JH2487" s="60"/>
      <c r="JI2487" s="58"/>
      <c r="JJ2487" s="61"/>
      <c r="JK2487" s="58"/>
      <c r="JL2487" s="58"/>
      <c r="JM2487" s="58"/>
      <c r="JN2487" s="60"/>
      <c r="JO2487" s="60"/>
      <c r="JP2487" s="60"/>
      <c r="JQ2487" s="58"/>
      <c r="JR2487" s="61"/>
      <c r="JS2487" s="58"/>
      <c r="JT2487" s="58"/>
      <c r="JU2487" s="58"/>
      <c r="JV2487" s="60"/>
      <c r="JW2487" s="60"/>
      <c r="JX2487" s="60"/>
      <c r="JY2487" s="58"/>
      <c r="JZ2487" s="61"/>
      <c r="KA2487" s="58"/>
      <c r="KB2487" s="58"/>
      <c r="KC2487" s="58"/>
      <c r="KD2487" s="60"/>
      <c r="KE2487" s="60"/>
      <c r="KF2487" s="60"/>
      <c r="KG2487" s="58"/>
      <c r="KH2487" s="61"/>
      <c r="KI2487" s="58"/>
      <c r="KJ2487" s="58"/>
      <c r="KK2487" s="58"/>
      <c r="KL2487" s="60"/>
      <c r="KM2487" s="60"/>
      <c r="KN2487" s="60"/>
      <c r="KO2487" s="58"/>
      <c r="KP2487" s="61"/>
      <c r="KQ2487" s="58"/>
      <c r="KR2487" s="58"/>
      <c r="KS2487" s="58"/>
      <c r="KT2487" s="60"/>
      <c r="KU2487" s="60"/>
      <c r="KV2487" s="60"/>
      <c r="KW2487" s="58"/>
      <c r="KX2487" s="61"/>
      <c r="KY2487" s="58"/>
      <c r="KZ2487" s="58"/>
      <c r="LA2487" s="58"/>
      <c r="LB2487" s="60"/>
      <c r="LC2487" s="60"/>
      <c r="LD2487" s="60"/>
      <c r="LE2487" s="58"/>
      <c r="LF2487" s="61"/>
      <c r="LG2487" s="58"/>
      <c r="LH2487" s="58"/>
      <c r="LI2487" s="58"/>
      <c r="LJ2487" s="60"/>
      <c r="LK2487" s="60"/>
      <c r="LL2487" s="60"/>
      <c r="LM2487" s="58"/>
      <c r="LN2487" s="61"/>
      <c r="LO2487" s="58"/>
      <c r="LP2487" s="58"/>
      <c r="LQ2487" s="58"/>
      <c r="LR2487" s="60"/>
      <c r="LS2487" s="60"/>
      <c r="LT2487" s="60"/>
      <c r="LU2487" s="58"/>
      <c r="LV2487" s="61"/>
      <c r="LW2487" s="58"/>
      <c r="LX2487" s="58"/>
      <c r="LY2487" s="58"/>
      <c r="LZ2487" s="60"/>
      <c r="MA2487" s="60"/>
      <c r="MB2487" s="60"/>
      <c r="MC2487" s="58"/>
      <c r="MD2487" s="61"/>
      <c r="ME2487" s="58"/>
      <c r="MF2487" s="58"/>
      <c r="MG2487" s="58"/>
      <c r="MH2487" s="60"/>
      <c r="MI2487" s="60"/>
      <c r="MJ2487" s="60"/>
      <c r="MK2487" s="58"/>
      <c r="ML2487" s="61"/>
      <c r="MM2487" s="58"/>
      <c r="MN2487" s="58"/>
      <c r="MO2487" s="58"/>
      <c r="MP2487" s="60"/>
      <c r="MQ2487" s="60"/>
      <c r="MR2487" s="60"/>
      <c r="MS2487" s="58"/>
      <c r="MT2487" s="61"/>
      <c r="MU2487" s="58"/>
      <c r="MV2487" s="58"/>
      <c r="MW2487" s="58"/>
      <c r="MX2487" s="60"/>
      <c r="MY2487" s="60"/>
      <c r="MZ2487" s="60"/>
      <c r="NA2487" s="58"/>
      <c r="NB2487" s="61"/>
      <c r="NC2487" s="58"/>
      <c r="ND2487" s="58"/>
      <c r="NE2487" s="58"/>
      <c r="NF2487" s="60"/>
      <c r="NG2487" s="60"/>
      <c r="NH2487" s="60"/>
      <c r="NI2487" s="58"/>
      <c r="NJ2487" s="61"/>
      <c r="NK2487" s="58"/>
      <c r="NL2487" s="58"/>
      <c r="NM2487" s="58"/>
      <c r="NN2487" s="60"/>
      <c r="NO2487" s="60"/>
      <c r="NP2487" s="60"/>
      <c r="NQ2487" s="58"/>
      <c r="NR2487" s="61"/>
      <c r="NS2487" s="58"/>
      <c r="NT2487" s="58"/>
      <c r="NU2487" s="58"/>
      <c r="NV2487" s="60"/>
      <c r="NW2487" s="60"/>
      <c r="NX2487" s="60"/>
      <c r="NY2487" s="58"/>
      <c r="NZ2487" s="61"/>
      <c r="OA2487" s="58"/>
      <c r="OB2487" s="58"/>
      <c r="OC2487" s="58"/>
      <c r="OD2487" s="60"/>
      <c r="OE2487" s="60"/>
      <c r="OF2487" s="60"/>
      <c r="OG2487" s="58"/>
      <c r="OH2487" s="61"/>
      <c r="OI2487" s="58"/>
      <c r="OJ2487" s="58"/>
      <c r="OK2487" s="58"/>
      <c r="OL2487" s="60"/>
      <c r="OM2487" s="60"/>
      <c r="ON2487" s="60"/>
      <c r="OO2487" s="58"/>
      <c r="OP2487" s="61"/>
      <c r="OQ2487" s="58"/>
      <c r="OR2487" s="58"/>
      <c r="OS2487" s="58"/>
      <c r="OT2487" s="60"/>
      <c r="OU2487" s="60"/>
      <c r="OV2487" s="60"/>
      <c r="OW2487" s="58"/>
      <c r="OX2487" s="61"/>
      <c r="OY2487" s="58"/>
      <c r="OZ2487" s="58"/>
      <c r="PA2487" s="58"/>
      <c r="PB2487" s="60"/>
      <c r="PC2487" s="60"/>
      <c r="PD2487" s="60"/>
      <c r="PE2487" s="58"/>
      <c r="PF2487" s="61"/>
      <c r="PG2487" s="58"/>
      <c r="PH2487" s="58"/>
      <c r="PI2487" s="58"/>
      <c r="PJ2487" s="60"/>
      <c r="PK2487" s="60"/>
      <c r="PL2487" s="60"/>
      <c r="PM2487" s="58"/>
      <c r="PN2487" s="61"/>
      <c r="PO2487" s="58"/>
      <c r="PP2487" s="58"/>
      <c r="PQ2487" s="58"/>
      <c r="PR2487" s="60"/>
      <c r="PS2487" s="60"/>
      <c r="PT2487" s="60"/>
      <c r="PU2487" s="58"/>
      <c r="PV2487" s="61"/>
      <c r="PW2487" s="58"/>
      <c r="PX2487" s="58"/>
      <c r="PY2487" s="58"/>
      <c r="PZ2487" s="60"/>
      <c r="QA2487" s="60"/>
      <c r="QB2487" s="60"/>
      <c r="QC2487" s="58"/>
      <c r="QD2487" s="61"/>
      <c r="QE2487" s="58"/>
      <c r="QF2487" s="58"/>
      <c r="QG2487" s="58"/>
      <c r="QH2487" s="60"/>
      <c r="QI2487" s="60"/>
      <c r="QJ2487" s="60"/>
      <c r="QK2487" s="58"/>
      <c r="QL2487" s="61"/>
      <c r="QM2487" s="58"/>
      <c r="QN2487" s="58"/>
      <c r="QO2487" s="58"/>
      <c r="QP2487" s="60"/>
      <c r="QQ2487" s="60"/>
      <c r="QR2487" s="60"/>
      <c r="QS2487" s="58"/>
      <c r="QT2487" s="61"/>
      <c r="QU2487" s="58"/>
      <c r="QV2487" s="58"/>
      <c r="QW2487" s="58"/>
      <c r="QX2487" s="60"/>
      <c r="QY2487" s="60"/>
      <c r="QZ2487" s="60"/>
      <c r="RA2487" s="58"/>
      <c r="RB2487" s="61"/>
      <c r="RC2487" s="58"/>
      <c r="RD2487" s="58"/>
      <c r="RE2487" s="58"/>
      <c r="RF2487" s="60"/>
      <c r="RG2487" s="60"/>
      <c r="RH2487" s="60"/>
      <c r="RI2487" s="58"/>
      <c r="RJ2487" s="61"/>
      <c r="RK2487" s="58"/>
      <c r="RL2487" s="58"/>
      <c r="RM2487" s="58"/>
      <c r="RN2487" s="60"/>
      <c r="RO2487" s="60"/>
      <c r="RP2487" s="60"/>
      <c r="RQ2487" s="58"/>
      <c r="RR2487" s="61"/>
      <c r="RS2487" s="58"/>
      <c r="RT2487" s="58"/>
      <c r="RU2487" s="58"/>
      <c r="RV2487" s="60"/>
      <c r="RW2487" s="60"/>
      <c r="RX2487" s="60"/>
      <c r="RY2487" s="58"/>
      <c r="RZ2487" s="61"/>
      <c r="SA2487" s="58"/>
      <c r="SB2487" s="58"/>
      <c r="SC2487" s="58"/>
      <c r="SD2487" s="60"/>
      <c r="SE2487" s="60"/>
      <c r="SF2487" s="60"/>
      <c r="SG2487" s="58"/>
      <c r="SH2487" s="61"/>
      <c r="SI2487" s="58"/>
      <c r="SJ2487" s="58"/>
      <c r="SK2487" s="58"/>
      <c r="SL2487" s="60"/>
      <c r="SM2487" s="60"/>
      <c r="SN2487" s="60"/>
      <c r="SO2487" s="58"/>
      <c r="SP2487" s="61"/>
      <c r="SQ2487" s="58"/>
      <c r="SR2487" s="58"/>
      <c r="SS2487" s="58"/>
      <c r="ST2487" s="60"/>
      <c r="SU2487" s="60"/>
      <c r="SV2487" s="60"/>
      <c r="SW2487" s="58"/>
      <c r="SX2487" s="61"/>
      <c r="SY2487" s="58"/>
      <c r="SZ2487" s="58"/>
      <c r="TA2487" s="58"/>
      <c r="TB2487" s="60"/>
      <c r="TC2487" s="60"/>
      <c r="TD2487" s="60"/>
      <c r="TE2487" s="58"/>
      <c r="TF2487" s="61"/>
      <c r="TG2487" s="58"/>
      <c r="TH2487" s="58"/>
      <c r="TI2487" s="58"/>
      <c r="TJ2487" s="60"/>
      <c r="TK2487" s="60"/>
      <c r="TL2487" s="60"/>
      <c r="TM2487" s="58"/>
      <c r="TN2487" s="61"/>
      <c r="TO2487" s="58"/>
      <c r="TP2487" s="58"/>
      <c r="TQ2487" s="58"/>
      <c r="TR2487" s="60"/>
      <c r="TS2487" s="60"/>
      <c r="TT2487" s="60"/>
      <c r="TU2487" s="58"/>
      <c r="TV2487" s="61"/>
      <c r="TW2487" s="58"/>
      <c r="TX2487" s="58"/>
      <c r="TY2487" s="58"/>
      <c r="TZ2487" s="60"/>
      <c r="UA2487" s="60"/>
      <c r="UB2487" s="60"/>
      <c r="UC2487" s="58"/>
      <c r="UD2487" s="61"/>
      <c r="UE2487" s="58"/>
      <c r="UF2487" s="58"/>
      <c r="UG2487" s="58"/>
      <c r="UH2487" s="60"/>
      <c r="UI2487" s="60"/>
      <c r="UJ2487" s="60"/>
      <c r="UK2487" s="58"/>
      <c r="UL2487" s="61"/>
      <c r="UM2487" s="58"/>
      <c r="UN2487" s="58"/>
      <c r="UO2487" s="58"/>
      <c r="UP2487" s="60"/>
      <c r="UQ2487" s="60"/>
      <c r="UR2487" s="60"/>
      <c r="US2487" s="58"/>
      <c r="UT2487" s="61"/>
      <c r="UU2487" s="58"/>
      <c r="UV2487" s="58"/>
      <c r="UW2487" s="58"/>
      <c r="UX2487" s="60"/>
      <c r="UY2487" s="60"/>
      <c r="UZ2487" s="60"/>
      <c r="VA2487" s="58"/>
      <c r="VB2487" s="61"/>
      <c r="VC2487" s="58"/>
      <c r="VD2487" s="58"/>
      <c r="VE2487" s="58"/>
      <c r="VF2487" s="60"/>
      <c r="VG2487" s="60"/>
      <c r="VH2487" s="60"/>
      <c r="VI2487" s="58"/>
      <c r="VJ2487" s="61"/>
      <c r="VK2487" s="58"/>
      <c r="VL2487" s="58"/>
      <c r="VM2487" s="58"/>
      <c r="VN2487" s="60"/>
      <c r="VO2487" s="60"/>
      <c r="VP2487" s="60"/>
      <c r="VQ2487" s="58"/>
      <c r="VR2487" s="61"/>
      <c r="VS2487" s="58"/>
      <c r="VT2487" s="58"/>
      <c r="VU2487" s="58"/>
      <c r="VV2487" s="60"/>
      <c r="VW2487" s="60"/>
      <c r="VX2487" s="60"/>
      <c r="VY2487" s="58"/>
      <c r="VZ2487" s="61"/>
      <c r="WA2487" s="58"/>
      <c r="WB2487" s="58"/>
      <c r="WC2487" s="58"/>
      <c r="WD2487" s="60"/>
      <c r="WE2487" s="60"/>
      <c r="WF2487" s="60"/>
      <c r="WG2487" s="58"/>
      <c r="WH2487" s="61"/>
      <c r="WI2487" s="58"/>
      <c r="WJ2487" s="58"/>
      <c r="WK2487" s="58"/>
      <c r="WL2487" s="60"/>
      <c r="WM2487" s="60"/>
      <c r="WN2487" s="60"/>
      <c r="WO2487" s="58"/>
      <c r="WP2487" s="61"/>
      <c r="WQ2487" s="58"/>
      <c r="WR2487" s="58"/>
      <c r="WS2487" s="58"/>
      <c r="WT2487" s="60"/>
      <c r="WU2487" s="60"/>
      <c r="WV2487" s="60"/>
      <c r="WW2487" s="58"/>
      <c r="WX2487" s="61"/>
      <c r="WY2487" s="58"/>
      <c r="WZ2487" s="58"/>
      <c r="XA2487" s="58"/>
      <c r="XB2487" s="60"/>
      <c r="XC2487" s="60"/>
      <c r="XD2487" s="60"/>
      <c r="XE2487" s="58"/>
      <c r="XF2487" s="61"/>
      <c r="XG2487" s="58"/>
      <c r="XH2487" s="58"/>
      <c r="XI2487" s="58"/>
      <c r="XJ2487" s="60"/>
      <c r="XK2487" s="60"/>
      <c r="XL2487" s="60"/>
      <c r="XM2487" s="58"/>
      <c r="XN2487" s="61"/>
      <c r="XO2487" s="58"/>
      <c r="XP2487" s="58"/>
      <c r="XQ2487" s="58"/>
      <c r="XR2487" s="60"/>
      <c r="XS2487" s="60"/>
      <c r="XT2487" s="60"/>
      <c r="XU2487" s="58"/>
      <c r="XV2487" s="61"/>
      <c r="XW2487" s="58"/>
      <c r="XX2487" s="58"/>
      <c r="XY2487" s="58"/>
      <c r="XZ2487" s="60"/>
      <c r="YA2487" s="60"/>
      <c r="YB2487" s="60"/>
      <c r="YC2487" s="58"/>
      <c r="YD2487" s="61"/>
      <c r="YE2487" s="58"/>
      <c r="YF2487" s="58"/>
      <c r="YG2487" s="58"/>
      <c r="YH2487" s="60"/>
      <c r="YI2487" s="60"/>
      <c r="YJ2487" s="60"/>
      <c r="YK2487" s="58"/>
      <c r="YL2487" s="61"/>
      <c r="YM2487" s="58"/>
      <c r="YN2487" s="58"/>
      <c r="YO2487" s="58"/>
      <c r="YP2487" s="60"/>
      <c r="YQ2487" s="60"/>
      <c r="YR2487" s="60"/>
      <c r="YS2487" s="58"/>
      <c r="YT2487" s="61"/>
      <c r="YU2487" s="58"/>
      <c r="YV2487" s="58"/>
      <c r="YW2487" s="58"/>
      <c r="YX2487" s="60"/>
      <c r="YY2487" s="60"/>
      <c r="YZ2487" s="60"/>
      <c r="ZA2487" s="58"/>
      <c r="ZB2487" s="61"/>
      <c r="ZC2487" s="58"/>
      <c r="ZD2487" s="58"/>
      <c r="ZE2487" s="58"/>
      <c r="ZF2487" s="60"/>
      <c r="ZG2487" s="60"/>
      <c r="ZH2487" s="60"/>
      <c r="ZI2487" s="58"/>
      <c r="ZJ2487" s="61"/>
      <c r="ZK2487" s="58"/>
      <c r="ZL2487" s="58"/>
      <c r="ZM2487" s="58"/>
      <c r="ZN2487" s="60"/>
      <c r="ZO2487" s="60"/>
      <c r="ZP2487" s="60"/>
      <c r="ZQ2487" s="58"/>
      <c r="ZR2487" s="61"/>
      <c r="ZS2487" s="58"/>
      <c r="ZT2487" s="58"/>
      <c r="ZU2487" s="58"/>
      <c r="ZV2487" s="60"/>
      <c r="ZW2487" s="60"/>
      <c r="ZX2487" s="60"/>
      <c r="ZY2487" s="58"/>
      <c r="ZZ2487" s="61"/>
      <c r="AAA2487" s="58"/>
      <c r="AAB2487" s="58"/>
      <c r="AAC2487" s="58"/>
      <c r="AAD2487" s="60"/>
      <c r="AAE2487" s="60"/>
      <c r="AAF2487" s="60"/>
      <c r="AAG2487" s="58"/>
      <c r="AAH2487" s="61"/>
      <c r="AAI2487" s="58"/>
      <c r="AAJ2487" s="58"/>
      <c r="AAK2487" s="58"/>
      <c r="AAL2487" s="60"/>
      <c r="AAM2487" s="60"/>
      <c r="AAN2487" s="60"/>
      <c r="AAO2487" s="58"/>
      <c r="AAP2487" s="61"/>
      <c r="AAQ2487" s="58"/>
      <c r="AAR2487" s="58"/>
      <c r="AAS2487" s="58"/>
      <c r="AAT2487" s="60"/>
      <c r="AAU2487" s="60"/>
      <c r="AAV2487" s="60"/>
      <c r="AAW2487" s="58"/>
      <c r="AAX2487" s="61"/>
      <c r="AAY2487" s="58"/>
      <c r="AAZ2487" s="58"/>
      <c r="ABA2487" s="58"/>
      <c r="ABB2487" s="60"/>
      <c r="ABC2487" s="60"/>
      <c r="ABD2487" s="60"/>
      <c r="ABE2487" s="58"/>
      <c r="ABF2487" s="61"/>
      <c r="ABG2487" s="58"/>
      <c r="ABH2487" s="58"/>
      <c r="ABI2487" s="58"/>
      <c r="ABJ2487" s="60"/>
      <c r="ABK2487" s="60"/>
      <c r="ABL2487" s="60"/>
      <c r="ABM2487" s="58"/>
      <c r="ABN2487" s="61"/>
      <c r="ABO2487" s="58"/>
      <c r="ABP2487" s="58"/>
      <c r="ABQ2487" s="58"/>
      <c r="ABR2487" s="60"/>
      <c r="ABS2487" s="60"/>
      <c r="ABT2487" s="60"/>
      <c r="ABU2487" s="58"/>
      <c r="ABV2487" s="61"/>
      <c r="ABW2487" s="58"/>
      <c r="ABX2487" s="58"/>
      <c r="ABY2487" s="58"/>
      <c r="ABZ2487" s="60"/>
      <c r="ACA2487" s="60"/>
      <c r="ACB2487" s="60"/>
      <c r="ACC2487" s="58"/>
      <c r="ACD2487" s="61"/>
      <c r="ACE2487" s="58"/>
      <c r="ACF2487" s="58"/>
      <c r="ACG2487" s="58"/>
      <c r="ACH2487" s="60"/>
      <c r="ACI2487" s="60"/>
      <c r="ACJ2487" s="60"/>
      <c r="ACK2487" s="58"/>
      <c r="ACL2487" s="61"/>
      <c r="ACM2487" s="58"/>
      <c r="ACN2487" s="58"/>
      <c r="ACO2487" s="58"/>
      <c r="ACP2487" s="60"/>
      <c r="ACQ2487" s="60"/>
      <c r="ACR2487" s="60"/>
      <c r="ACS2487" s="58"/>
      <c r="ACT2487" s="61"/>
      <c r="ACU2487" s="58"/>
      <c r="ACV2487" s="58"/>
      <c r="ACW2487" s="58"/>
      <c r="ACX2487" s="60"/>
      <c r="ACY2487" s="60"/>
      <c r="ACZ2487" s="60"/>
      <c r="ADA2487" s="58"/>
      <c r="ADB2487" s="61"/>
      <c r="ADC2487" s="58"/>
      <c r="ADD2487" s="58"/>
      <c r="ADE2487" s="58"/>
      <c r="ADF2487" s="60"/>
      <c r="ADG2487" s="60"/>
      <c r="ADH2487" s="60"/>
      <c r="ADI2487" s="58"/>
      <c r="ADJ2487" s="61"/>
      <c r="ADK2487" s="58"/>
      <c r="ADL2487" s="58"/>
      <c r="ADM2487" s="58"/>
      <c r="ADN2487" s="60"/>
      <c r="ADO2487" s="60"/>
      <c r="ADP2487" s="60"/>
      <c r="ADQ2487" s="58"/>
      <c r="ADR2487" s="61"/>
      <c r="ADS2487" s="58"/>
      <c r="ADT2487" s="58"/>
      <c r="ADU2487" s="58"/>
      <c r="ADV2487" s="60"/>
      <c r="ADW2487" s="60"/>
      <c r="ADX2487" s="60"/>
      <c r="ADY2487" s="58"/>
      <c r="ADZ2487" s="61"/>
      <c r="AEA2487" s="58"/>
      <c r="AEB2487" s="58"/>
      <c r="AEC2487" s="58"/>
      <c r="AED2487" s="60"/>
      <c r="AEE2487" s="60"/>
      <c r="AEF2487" s="60"/>
      <c r="AEG2487" s="58"/>
      <c r="AEH2487" s="61"/>
      <c r="AEI2487" s="58"/>
      <c r="AEJ2487" s="58"/>
      <c r="AEK2487" s="58"/>
      <c r="AEL2487" s="60"/>
      <c r="AEM2487" s="60"/>
      <c r="AEN2487" s="60"/>
      <c r="AEO2487" s="58"/>
      <c r="AEP2487" s="61"/>
      <c r="AEQ2487" s="58"/>
      <c r="AER2487" s="58"/>
      <c r="AES2487" s="58"/>
      <c r="AET2487" s="60"/>
      <c r="AEU2487" s="60"/>
      <c r="AEV2487" s="60"/>
      <c r="AEW2487" s="58"/>
      <c r="AEX2487" s="61"/>
      <c r="AEY2487" s="58"/>
      <c r="AEZ2487" s="58"/>
      <c r="AFA2487" s="58"/>
      <c r="AFB2487" s="60"/>
      <c r="AFC2487" s="60"/>
      <c r="AFD2487" s="60"/>
      <c r="AFE2487" s="58"/>
      <c r="AFF2487" s="61"/>
      <c r="AFG2487" s="58"/>
      <c r="AFH2487" s="58"/>
      <c r="AFI2487" s="58"/>
      <c r="AFJ2487" s="60"/>
      <c r="AFK2487" s="60"/>
      <c r="AFL2487" s="60"/>
      <c r="AFM2487" s="58"/>
      <c r="AFN2487" s="61"/>
      <c r="AFO2487" s="58"/>
      <c r="AFP2487" s="58"/>
      <c r="AFQ2487" s="58"/>
      <c r="AFR2487" s="60"/>
      <c r="AFS2487" s="60"/>
      <c r="AFT2487" s="60"/>
      <c r="AFU2487" s="58"/>
      <c r="AFV2487" s="61"/>
      <c r="AFW2487" s="58"/>
      <c r="AFX2487" s="58"/>
      <c r="AFY2487" s="58"/>
      <c r="AFZ2487" s="60"/>
      <c r="AGA2487" s="60"/>
      <c r="AGB2487" s="60"/>
      <c r="AGC2487" s="58"/>
      <c r="AGD2487" s="61"/>
      <c r="AGE2487" s="58"/>
      <c r="AGF2487" s="58"/>
      <c r="AGG2487" s="58"/>
      <c r="AGH2487" s="60"/>
      <c r="AGI2487" s="60"/>
      <c r="AGJ2487" s="60"/>
      <c r="AGK2487" s="58"/>
      <c r="AGL2487" s="61"/>
      <c r="AGM2487" s="58"/>
      <c r="AGN2487" s="58"/>
      <c r="AGO2487" s="58"/>
      <c r="AGP2487" s="60"/>
      <c r="AGQ2487" s="60"/>
      <c r="AGR2487" s="60"/>
      <c r="AGS2487" s="58"/>
      <c r="AGT2487" s="61"/>
      <c r="AGU2487" s="58"/>
      <c r="AGV2487" s="58"/>
      <c r="AGW2487" s="58"/>
      <c r="AGX2487" s="60"/>
      <c r="AGY2487" s="60"/>
      <c r="AGZ2487" s="60"/>
      <c r="AHA2487" s="58"/>
      <c r="AHB2487" s="61"/>
      <c r="AHC2487" s="58"/>
      <c r="AHD2487" s="58"/>
      <c r="AHE2487" s="58"/>
      <c r="AHF2487" s="60"/>
      <c r="AHG2487" s="60"/>
      <c r="AHH2487" s="60"/>
      <c r="AHI2487" s="58"/>
      <c r="AHJ2487" s="61"/>
      <c r="AHK2487" s="58"/>
      <c r="AHL2487" s="58"/>
      <c r="AHM2487" s="58"/>
      <c r="AHN2487" s="60"/>
      <c r="AHO2487" s="60"/>
      <c r="AHP2487" s="60"/>
      <c r="AHQ2487" s="58"/>
      <c r="AHR2487" s="61"/>
      <c r="AHS2487" s="58"/>
      <c r="AHT2487" s="58"/>
      <c r="AHU2487" s="58"/>
      <c r="AHV2487" s="60"/>
      <c r="AHW2487" s="60"/>
      <c r="AHX2487" s="60"/>
      <c r="AHY2487" s="58"/>
      <c r="AHZ2487" s="61"/>
      <c r="AIA2487" s="58"/>
      <c r="AIB2487" s="58"/>
      <c r="AIC2487" s="58"/>
      <c r="AID2487" s="60"/>
      <c r="AIE2487" s="60"/>
      <c r="AIF2487" s="60"/>
      <c r="AIG2487" s="58"/>
      <c r="AIH2487" s="61"/>
      <c r="AII2487" s="58"/>
      <c r="AIJ2487" s="58"/>
      <c r="AIK2487" s="58"/>
      <c r="AIL2487" s="60"/>
      <c r="AIM2487" s="60"/>
      <c r="AIN2487" s="60"/>
      <c r="AIO2487" s="58"/>
      <c r="AIP2487" s="61"/>
      <c r="AIQ2487" s="58"/>
      <c r="AIR2487" s="58"/>
      <c r="AIS2487" s="58"/>
      <c r="AIT2487" s="60"/>
      <c r="AIU2487" s="60"/>
      <c r="AIV2487" s="60"/>
      <c r="AIW2487" s="58"/>
      <c r="AIX2487" s="61"/>
      <c r="AIY2487" s="58"/>
      <c r="AIZ2487" s="58"/>
      <c r="AJA2487" s="58"/>
      <c r="AJB2487" s="60"/>
      <c r="AJC2487" s="60"/>
      <c r="AJD2487" s="60"/>
      <c r="AJE2487" s="58"/>
      <c r="AJF2487" s="61"/>
      <c r="AJG2487" s="58"/>
      <c r="AJH2487" s="58"/>
      <c r="AJI2487" s="58"/>
      <c r="AJJ2487" s="60"/>
      <c r="AJK2487" s="60"/>
      <c r="AJL2487" s="60"/>
      <c r="AJM2487" s="58"/>
      <c r="AJN2487" s="61"/>
      <c r="AJO2487" s="58"/>
      <c r="AJP2487" s="58"/>
      <c r="AJQ2487" s="58"/>
      <c r="AJR2487" s="60"/>
      <c r="AJS2487" s="60"/>
      <c r="AJT2487" s="60"/>
      <c r="AJU2487" s="58"/>
      <c r="AJV2487" s="61"/>
      <c r="AJW2487" s="58"/>
      <c r="AJX2487" s="58"/>
      <c r="AJY2487" s="58"/>
      <c r="AJZ2487" s="60"/>
      <c r="AKA2487" s="60"/>
      <c r="AKB2487" s="60"/>
      <c r="AKC2487" s="58"/>
      <c r="AKD2487" s="61"/>
      <c r="AKE2487" s="58"/>
      <c r="AKF2487" s="58"/>
      <c r="AKG2487" s="58"/>
      <c r="AKH2487" s="60"/>
      <c r="AKI2487" s="60"/>
      <c r="AKJ2487" s="60"/>
      <c r="AKK2487" s="58"/>
      <c r="AKL2487" s="61"/>
      <c r="AKM2487" s="58"/>
      <c r="AKN2487" s="58"/>
      <c r="AKO2487" s="58"/>
      <c r="AKP2487" s="60"/>
      <c r="AKQ2487" s="60"/>
      <c r="AKR2487" s="60"/>
      <c r="AKS2487" s="58"/>
      <c r="AKT2487" s="61"/>
      <c r="AKU2487" s="58"/>
      <c r="AKV2487" s="58"/>
      <c r="AKW2487" s="58"/>
      <c r="AKX2487" s="60"/>
      <c r="AKY2487" s="60"/>
      <c r="AKZ2487" s="60"/>
      <c r="ALA2487" s="58"/>
      <c r="ALB2487" s="61"/>
      <c r="ALC2487" s="58"/>
      <c r="ALD2487" s="58"/>
      <c r="ALE2487" s="58"/>
      <c r="ALF2487" s="60"/>
      <c r="ALG2487" s="60"/>
      <c r="ALH2487" s="60"/>
      <c r="ALI2487" s="58"/>
      <c r="ALJ2487" s="61"/>
      <c r="ALK2487" s="58"/>
      <c r="ALL2487" s="58"/>
      <c r="ALM2487" s="58"/>
      <c r="ALN2487" s="60"/>
      <c r="ALO2487" s="60"/>
      <c r="ALP2487" s="60"/>
      <c r="ALQ2487" s="58"/>
      <c r="ALR2487" s="61"/>
      <c r="ALS2487" s="58"/>
      <c r="ALT2487" s="58"/>
      <c r="ALU2487" s="58"/>
      <c r="ALV2487" s="60"/>
      <c r="ALW2487" s="60"/>
      <c r="ALX2487" s="60"/>
      <c r="ALY2487" s="58"/>
      <c r="ALZ2487" s="61"/>
      <c r="AMA2487" s="58"/>
      <c r="AMB2487" s="58"/>
      <c r="AMC2487" s="58"/>
      <c r="AMD2487" s="60"/>
      <c r="AME2487" s="60"/>
      <c r="AMF2487" s="60"/>
      <c r="AMG2487" s="58"/>
      <c r="AMH2487" s="61"/>
      <c r="AMI2487" s="58"/>
      <c r="AMJ2487" s="58"/>
      <c r="AMK2487" s="58"/>
      <c r="AML2487" s="60"/>
      <c r="AMM2487" s="60"/>
      <c r="AMN2487" s="60"/>
      <c r="AMO2487" s="58"/>
      <c r="AMP2487" s="61"/>
      <c r="AMQ2487" s="58"/>
      <c r="AMR2487" s="58"/>
      <c r="AMS2487" s="58"/>
      <c r="AMT2487" s="60"/>
      <c r="AMU2487" s="60"/>
      <c r="AMV2487" s="60"/>
      <c r="AMW2487" s="58"/>
      <c r="AMX2487" s="61"/>
      <c r="AMY2487" s="58"/>
      <c r="AMZ2487" s="58"/>
      <c r="ANA2487" s="58"/>
      <c r="ANB2487" s="60"/>
      <c r="ANC2487" s="60"/>
      <c r="AND2487" s="60"/>
      <c r="ANE2487" s="58"/>
      <c r="ANF2487" s="61"/>
      <c r="ANG2487" s="58"/>
      <c r="ANH2487" s="58"/>
      <c r="ANI2487" s="58"/>
      <c r="ANJ2487" s="60"/>
      <c r="ANK2487" s="60"/>
      <c r="ANL2487" s="60"/>
      <c r="ANM2487" s="58"/>
      <c r="ANN2487" s="61"/>
      <c r="ANO2487" s="58"/>
      <c r="ANP2487" s="58"/>
      <c r="ANQ2487" s="58"/>
      <c r="ANR2487" s="60"/>
      <c r="ANS2487" s="60"/>
      <c r="ANT2487" s="60"/>
      <c r="ANU2487" s="58"/>
      <c r="ANV2487" s="61"/>
      <c r="ANW2487" s="58"/>
      <c r="ANX2487" s="58"/>
      <c r="ANY2487" s="58"/>
      <c r="ANZ2487" s="60"/>
      <c r="AOA2487" s="60"/>
      <c r="AOB2487" s="60"/>
      <c r="AOC2487" s="58"/>
      <c r="AOD2487" s="61"/>
      <c r="AOE2487" s="58"/>
      <c r="AOF2487" s="58"/>
      <c r="AOG2487" s="58"/>
      <c r="AOH2487" s="60"/>
      <c r="AOI2487" s="60"/>
      <c r="AOJ2487" s="60"/>
      <c r="AOK2487" s="58"/>
      <c r="AOL2487" s="61"/>
      <c r="AOM2487" s="58"/>
      <c r="AON2487" s="58"/>
      <c r="AOO2487" s="58"/>
      <c r="AOP2487" s="60"/>
      <c r="AOQ2487" s="60"/>
      <c r="AOR2487" s="60"/>
      <c r="AOS2487" s="58"/>
      <c r="AOT2487" s="61"/>
      <c r="AOU2487" s="58"/>
      <c r="AOV2487" s="58"/>
      <c r="AOW2487" s="58"/>
      <c r="AOX2487" s="60"/>
      <c r="AOY2487" s="60"/>
      <c r="AOZ2487" s="60"/>
      <c r="APA2487" s="58"/>
      <c r="APB2487" s="61"/>
      <c r="APC2487" s="58"/>
      <c r="APD2487" s="58"/>
      <c r="APE2487" s="58"/>
      <c r="APF2487" s="60"/>
      <c r="APG2487" s="60"/>
      <c r="APH2487" s="60"/>
      <c r="API2487" s="58"/>
      <c r="APJ2487" s="61"/>
      <c r="APK2487" s="58"/>
      <c r="APL2487" s="58"/>
      <c r="APM2487" s="58"/>
      <c r="APN2487" s="60"/>
      <c r="APO2487" s="60"/>
      <c r="APP2487" s="60"/>
      <c r="APQ2487" s="58"/>
      <c r="APR2487" s="61"/>
      <c r="APS2487" s="58"/>
      <c r="APT2487" s="58"/>
      <c r="APU2487" s="58"/>
      <c r="APV2487" s="60"/>
      <c r="APW2487" s="60"/>
      <c r="APX2487" s="60"/>
      <c r="APY2487" s="58"/>
      <c r="APZ2487" s="61"/>
      <c r="AQA2487" s="58"/>
      <c r="AQB2487" s="58"/>
      <c r="AQC2487" s="58"/>
      <c r="AQD2487" s="60"/>
      <c r="AQE2487" s="60"/>
      <c r="AQF2487" s="60"/>
      <c r="AQG2487" s="58"/>
      <c r="AQH2487" s="61"/>
      <c r="AQI2487" s="58"/>
      <c r="AQJ2487" s="58"/>
      <c r="AQK2487" s="58"/>
      <c r="AQL2487" s="60"/>
      <c r="AQM2487" s="60"/>
      <c r="AQN2487" s="60"/>
      <c r="AQO2487" s="58"/>
      <c r="AQP2487" s="61"/>
      <c r="AQQ2487" s="58"/>
      <c r="AQR2487" s="58"/>
      <c r="AQS2487" s="58"/>
      <c r="AQT2487" s="60"/>
      <c r="AQU2487" s="60"/>
      <c r="AQV2487" s="60"/>
      <c r="AQW2487" s="58"/>
      <c r="AQX2487" s="61"/>
      <c r="AQY2487" s="58"/>
      <c r="AQZ2487" s="58"/>
      <c r="ARA2487" s="58"/>
      <c r="ARB2487" s="60"/>
      <c r="ARC2487" s="60"/>
      <c r="ARD2487" s="60"/>
      <c r="ARE2487" s="58"/>
      <c r="ARF2487" s="61"/>
      <c r="ARG2487" s="58"/>
      <c r="ARH2487" s="58"/>
      <c r="ARI2487" s="58"/>
      <c r="ARJ2487" s="60"/>
      <c r="ARK2487" s="60"/>
      <c r="ARL2487" s="60"/>
      <c r="ARM2487" s="58"/>
      <c r="ARN2487" s="61"/>
      <c r="ARO2487" s="58"/>
      <c r="ARP2487" s="58"/>
      <c r="ARQ2487" s="58"/>
      <c r="ARR2487" s="60"/>
      <c r="ARS2487" s="60"/>
      <c r="ART2487" s="60"/>
      <c r="ARU2487" s="58"/>
      <c r="ARV2487" s="61"/>
      <c r="ARW2487" s="58"/>
      <c r="ARX2487" s="58"/>
      <c r="ARY2487" s="58"/>
      <c r="ARZ2487" s="60"/>
      <c r="ASA2487" s="60"/>
      <c r="ASB2487" s="60"/>
      <c r="ASC2487" s="58"/>
      <c r="ASD2487" s="61"/>
      <c r="ASE2487" s="58"/>
      <c r="ASF2487" s="58"/>
      <c r="ASG2487" s="58"/>
      <c r="ASH2487" s="60"/>
      <c r="ASI2487" s="60"/>
      <c r="ASJ2487" s="60"/>
      <c r="ASK2487" s="58"/>
      <c r="ASL2487" s="61"/>
      <c r="ASM2487" s="58"/>
      <c r="ASN2487" s="58"/>
      <c r="ASO2487" s="58"/>
      <c r="ASP2487" s="60"/>
      <c r="ASQ2487" s="60"/>
      <c r="ASR2487" s="60"/>
      <c r="ASS2487" s="58"/>
      <c r="AST2487" s="61"/>
      <c r="ASU2487" s="58"/>
      <c r="ASV2487" s="58"/>
      <c r="ASW2487" s="58"/>
      <c r="ASX2487" s="60"/>
      <c r="ASY2487" s="60"/>
      <c r="ASZ2487" s="60"/>
      <c r="ATA2487" s="58"/>
      <c r="ATB2487" s="61"/>
      <c r="ATC2487" s="58"/>
      <c r="ATD2487" s="58"/>
      <c r="ATE2487" s="58"/>
      <c r="ATF2487" s="60"/>
      <c r="ATG2487" s="60"/>
      <c r="ATH2487" s="60"/>
      <c r="ATI2487" s="58"/>
      <c r="ATJ2487" s="61"/>
      <c r="ATK2487" s="58"/>
      <c r="ATL2487" s="58"/>
      <c r="ATM2487" s="58"/>
      <c r="ATN2487" s="60"/>
      <c r="ATO2487" s="60"/>
      <c r="ATP2487" s="60"/>
      <c r="ATQ2487" s="58"/>
      <c r="ATR2487" s="61"/>
      <c r="ATS2487" s="58"/>
      <c r="ATT2487" s="58"/>
      <c r="ATU2487" s="58"/>
      <c r="ATV2487" s="60"/>
      <c r="ATW2487" s="60"/>
      <c r="ATX2487" s="60"/>
      <c r="ATY2487" s="58"/>
      <c r="ATZ2487" s="61"/>
      <c r="AUA2487" s="58"/>
      <c r="AUB2487" s="58"/>
      <c r="AUC2487" s="58"/>
      <c r="AUD2487" s="60"/>
      <c r="AUE2487" s="60"/>
      <c r="AUF2487" s="60"/>
      <c r="AUG2487" s="58"/>
      <c r="AUH2487" s="61"/>
      <c r="AUI2487" s="58"/>
      <c r="AUJ2487" s="58"/>
      <c r="AUK2487" s="58"/>
      <c r="AUL2487" s="60"/>
      <c r="AUM2487" s="60"/>
      <c r="AUN2487" s="60"/>
      <c r="AUO2487" s="58"/>
      <c r="AUP2487" s="61"/>
      <c r="AUQ2487" s="58"/>
      <c r="AUR2487" s="58"/>
      <c r="AUS2487" s="58"/>
      <c r="AUT2487" s="60"/>
      <c r="AUU2487" s="60"/>
      <c r="AUV2487" s="60"/>
      <c r="AUW2487" s="58"/>
      <c r="AUX2487" s="61"/>
      <c r="AUY2487" s="58"/>
      <c r="AUZ2487" s="58"/>
      <c r="AVA2487" s="58"/>
      <c r="AVB2487" s="60"/>
      <c r="AVC2487" s="60"/>
      <c r="AVD2487" s="60"/>
      <c r="AVE2487" s="58"/>
      <c r="AVF2487" s="61"/>
      <c r="AVG2487" s="58"/>
      <c r="AVH2487" s="58"/>
      <c r="AVI2487" s="58"/>
      <c r="AVJ2487" s="60"/>
      <c r="AVK2487" s="60"/>
      <c r="AVL2487" s="60"/>
      <c r="AVM2487" s="58"/>
      <c r="AVN2487" s="61"/>
      <c r="AVO2487" s="58"/>
      <c r="AVP2487" s="58"/>
      <c r="AVQ2487" s="58"/>
      <c r="AVR2487" s="60"/>
      <c r="AVS2487" s="60"/>
      <c r="AVT2487" s="60"/>
      <c r="AVU2487" s="58"/>
      <c r="AVV2487" s="61"/>
      <c r="AVW2487" s="58"/>
      <c r="AVX2487" s="58"/>
      <c r="AVY2487" s="58"/>
      <c r="AVZ2487" s="60"/>
      <c r="AWA2487" s="60"/>
      <c r="AWB2487" s="60"/>
      <c r="AWC2487" s="58"/>
      <c r="AWD2487" s="61"/>
      <c r="AWE2487" s="58"/>
      <c r="AWF2487" s="58"/>
      <c r="AWG2487" s="58"/>
      <c r="AWH2487" s="60"/>
      <c r="AWI2487" s="60"/>
      <c r="AWJ2487" s="60"/>
      <c r="AWK2487" s="58"/>
      <c r="AWL2487" s="61"/>
      <c r="AWM2487" s="58"/>
      <c r="AWN2487" s="58"/>
      <c r="AWO2487" s="58"/>
      <c r="AWP2487" s="60"/>
      <c r="AWQ2487" s="60"/>
      <c r="AWR2487" s="60"/>
      <c r="AWS2487" s="58"/>
      <c r="AWT2487" s="61"/>
      <c r="AWU2487" s="58"/>
      <c r="AWV2487" s="58"/>
      <c r="AWW2487" s="58"/>
      <c r="AWX2487" s="60"/>
      <c r="AWY2487" s="60"/>
      <c r="AWZ2487" s="60"/>
      <c r="AXA2487" s="58"/>
      <c r="AXB2487" s="61"/>
      <c r="AXC2487" s="58"/>
      <c r="AXD2487" s="58"/>
      <c r="AXE2487" s="58"/>
      <c r="AXF2487" s="60"/>
      <c r="AXG2487" s="60"/>
      <c r="AXH2487" s="60"/>
      <c r="AXI2487" s="58"/>
      <c r="AXJ2487" s="61"/>
      <c r="AXK2487" s="58"/>
      <c r="AXL2487" s="58"/>
      <c r="AXM2487" s="58"/>
      <c r="AXN2487" s="60"/>
      <c r="AXO2487" s="60"/>
      <c r="AXP2487" s="60"/>
      <c r="AXQ2487" s="58"/>
      <c r="AXR2487" s="61"/>
      <c r="AXS2487" s="58"/>
      <c r="AXT2487" s="58"/>
      <c r="AXU2487" s="58"/>
      <c r="AXV2487" s="60"/>
      <c r="AXW2487" s="60"/>
      <c r="AXX2487" s="60"/>
      <c r="AXY2487" s="58"/>
      <c r="AXZ2487" s="61"/>
      <c r="AYA2487" s="58"/>
      <c r="AYB2487" s="58"/>
      <c r="AYC2487" s="58"/>
      <c r="AYD2487" s="60"/>
      <c r="AYE2487" s="60"/>
      <c r="AYF2487" s="60"/>
      <c r="AYG2487" s="58"/>
      <c r="AYH2487" s="61"/>
      <c r="AYI2487" s="58"/>
      <c r="AYJ2487" s="58"/>
      <c r="AYK2487" s="58"/>
      <c r="AYL2487" s="60"/>
      <c r="AYM2487" s="60"/>
      <c r="AYN2487" s="60"/>
      <c r="AYO2487" s="58"/>
      <c r="AYP2487" s="61"/>
      <c r="AYQ2487" s="58"/>
      <c r="AYR2487" s="58"/>
      <c r="AYS2487" s="58"/>
      <c r="AYT2487" s="60"/>
      <c r="AYU2487" s="60"/>
      <c r="AYV2487" s="60"/>
      <c r="AYW2487" s="58"/>
      <c r="AYX2487" s="61"/>
      <c r="AYY2487" s="58"/>
      <c r="AYZ2487" s="58"/>
      <c r="AZA2487" s="58"/>
      <c r="AZB2487" s="60"/>
      <c r="AZC2487" s="60"/>
      <c r="AZD2487" s="60"/>
      <c r="AZE2487" s="58"/>
      <c r="AZF2487" s="61"/>
      <c r="AZG2487" s="58"/>
      <c r="AZH2487" s="58"/>
      <c r="AZI2487" s="58"/>
      <c r="AZJ2487" s="60"/>
      <c r="AZK2487" s="60"/>
      <c r="AZL2487" s="60"/>
      <c r="AZM2487" s="58"/>
      <c r="AZN2487" s="61"/>
      <c r="AZO2487" s="58"/>
      <c r="AZP2487" s="58"/>
      <c r="AZQ2487" s="58"/>
      <c r="AZR2487" s="60"/>
      <c r="AZS2487" s="60"/>
      <c r="AZT2487" s="60"/>
      <c r="AZU2487" s="58"/>
      <c r="AZV2487" s="61"/>
      <c r="AZW2487" s="58"/>
      <c r="AZX2487" s="58"/>
      <c r="AZY2487" s="58"/>
      <c r="AZZ2487" s="60"/>
      <c r="BAA2487" s="60"/>
      <c r="BAB2487" s="60"/>
      <c r="BAC2487" s="58"/>
      <c r="BAD2487" s="61"/>
      <c r="BAE2487" s="58"/>
      <c r="BAF2487" s="58"/>
      <c r="BAG2487" s="58"/>
      <c r="BAH2487" s="60"/>
      <c r="BAI2487" s="60"/>
      <c r="BAJ2487" s="60"/>
      <c r="BAK2487" s="58"/>
      <c r="BAL2487" s="61"/>
      <c r="BAM2487" s="58"/>
      <c r="BAN2487" s="58"/>
      <c r="BAO2487" s="58"/>
      <c r="BAP2487" s="60"/>
      <c r="BAQ2487" s="60"/>
      <c r="BAR2487" s="60"/>
      <c r="BAS2487" s="58"/>
      <c r="BAT2487" s="61"/>
      <c r="BAU2487" s="58"/>
      <c r="BAV2487" s="58"/>
      <c r="BAW2487" s="58"/>
      <c r="BAX2487" s="60"/>
      <c r="BAY2487" s="60"/>
      <c r="BAZ2487" s="60"/>
      <c r="BBA2487" s="58"/>
      <c r="BBB2487" s="61"/>
      <c r="BBC2487" s="58"/>
      <c r="BBD2487" s="58"/>
      <c r="BBE2487" s="58"/>
      <c r="BBF2487" s="60"/>
      <c r="BBG2487" s="60"/>
      <c r="BBH2487" s="60"/>
      <c r="BBI2487" s="58"/>
      <c r="BBJ2487" s="61"/>
      <c r="BBK2487" s="58"/>
      <c r="BBL2487" s="58"/>
      <c r="BBM2487" s="58"/>
      <c r="BBN2487" s="60"/>
      <c r="BBO2487" s="60"/>
      <c r="BBP2487" s="60"/>
      <c r="BBQ2487" s="58"/>
      <c r="BBR2487" s="61"/>
      <c r="BBS2487" s="58"/>
      <c r="BBT2487" s="58"/>
      <c r="BBU2487" s="58"/>
      <c r="BBV2487" s="60"/>
      <c r="BBW2487" s="60"/>
      <c r="BBX2487" s="60"/>
      <c r="BBY2487" s="58"/>
      <c r="BBZ2487" s="61"/>
      <c r="BCA2487" s="58"/>
      <c r="BCB2487" s="58"/>
      <c r="BCC2487" s="58"/>
      <c r="BCD2487" s="60"/>
      <c r="BCE2487" s="60"/>
      <c r="BCF2487" s="60"/>
      <c r="BCG2487" s="58"/>
      <c r="BCH2487" s="61"/>
      <c r="BCI2487" s="58"/>
      <c r="BCJ2487" s="58"/>
      <c r="BCK2487" s="58"/>
      <c r="BCL2487" s="60"/>
      <c r="BCM2487" s="60"/>
      <c r="BCN2487" s="60"/>
      <c r="BCO2487" s="58"/>
      <c r="BCP2487" s="61"/>
      <c r="BCQ2487" s="58"/>
      <c r="BCR2487" s="58"/>
      <c r="BCS2487" s="58"/>
      <c r="BCT2487" s="60"/>
      <c r="BCU2487" s="60"/>
      <c r="BCV2487" s="60"/>
      <c r="BCW2487" s="58"/>
      <c r="BCX2487" s="61"/>
      <c r="BCY2487" s="58"/>
      <c r="BCZ2487" s="58"/>
      <c r="BDA2487" s="58"/>
      <c r="BDB2487" s="60"/>
      <c r="BDC2487" s="60"/>
      <c r="BDD2487" s="60"/>
      <c r="BDE2487" s="58"/>
      <c r="BDF2487" s="61"/>
      <c r="BDG2487" s="58"/>
      <c r="BDH2487" s="58"/>
      <c r="BDI2487" s="58"/>
      <c r="BDJ2487" s="60"/>
      <c r="BDK2487" s="60"/>
      <c r="BDL2487" s="60"/>
      <c r="BDM2487" s="58"/>
      <c r="BDN2487" s="61"/>
      <c r="BDO2487" s="58"/>
      <c r="BDP2487" s="58"/>
      <c r="BDQ2487" s="58"/>
      <c r="BDR2487" s="60"/>
      <c r="BDS2487" s="60"/>
      <c r="BDT2487" s="60"/>
      <c r="BDU2487" s="58"/>
      <c r="BDV2487" s="61"/>
      <c r="BDW2487" s="58"/>
      <c r="BDX2487" s="58"/>
      <c r="BDY2487" s="58"/>
      <c r="BDZ2487" s="60"/>
      <c r="BEA2487" s="60"/>
      <c r="BEB2487" s="60"/>
      <c r="BEC2487" s="58"/>
      <c r="BED2487" s="61"/>
      <c r="BEE2487" s="58"/>
      <c r="BEF2487" s="58"/>
      <c r="BEG2487" s="58"/>
      <c r="BEH2487" s="60"/>
      <c r="BEI2487" s="60"/>
      <c r="BEJ2487" s="60"/>
      <c r="BEK2487" s="58"/>
      <c r="BEL2487" s="61"/>
      <c r="BEM2487" s="58"/>
      <c r="BEN2487" s="58"/>
      <c r="BEO2487" s="58"/>
      <c r="BEP2487" s="60"/>
      <c r="BEQ2487" s="60"/>
      <c r="BER2487" s="60"/>
      <c r="BES2487" s="58"/>
      <c r="BET2487" s="61"/>
      <c r="BEU2487" s="58"/>
      <c r="BEV2487" s="58"/>
      <c r="BEW2487" s="58"/>
      <c r="BEX2487" s="60"/>
      <c r="BEY2487" s="60"/>
      <c r="BEZ2487" s="60"/>
      <c r="BFA2487" s="58"/>
      <c r="BFB2487" s="61"/>
      <c r="BFC2487" s="58"/>
      <c r="BFD2487" s="58"/>
      <c r="BFE2487" s="58"/>
      <c r="BFF2487" s="60"/>
      <c r="BFG2487" s="60"/>
      <c r="BFH2487" s="60"/>
      <c r="BFI2487" s="58"/>
      <c r="BFJ2487" s="61"/>
      <c r="BFK2487" s="58"/>
      <c r="BFL2487" s="58"/>
      <c r="BFM2487" s="58"/>
      <c r="BFN2487" s="60"/>
      <c r="BFO2487" s="60"/>
      <c r="BFP2487" s="60"/>
      <c r="BFQ2487" s="58"/>
      <c r="BFR2487" s="61"/>
      <c r="BFS2487" s="58"/>
      <c r="BFT2487" s="58"/>
      <c r="BFU2487" s="58"/>
      <c r="BFV2487" s="60"/>
      <c r="BFW2487" s="60"/>
      <c r="BFX2487" s="60"/>
      <c r="BFY2487" s="58"/>
      <c r="BFZ2487" s="61"/>
      <c r="BGA2487" s="58"/>
      <c r="BGB2487" s="58"/>
      <c r="BGC2487" s="58"/>
      <c r="BGD2487" s="60"/>
      <c r="BGE2487" s="60"/>
      <c r="BGF2487" s="60"/>
      <c r="BGG2487" s="58"/>
      <c r="BGH2487" s="61"/>
      <c r="BGI2487" s="58"/>
      <c r="BGJ2487" s="58"/>
      <c r="BGK2487" s="58"/>
      <c r="BGL2487" s="60"/>
      <c r="BGM2487" s="60"/>
      <c r="BGN2487" s="60"/>
      <c r="BGO2487" s="58"/>
      <c r="BGP2487" s="61"/>
      <c r="BGQ2487" s="58"/>
      <c r="BGR2487" s="58"/>
      <c r="BGS2487" s="58"/>
      <c r="BGT2487" s="60"/>
      <c r="BGU2487" s="60"/>
      <c r="BGV2487" s="60"/>
      <c r="BGW2487" s="58"/>
      <c r="BGX2487" s="61"/>
      <c r="BGY2487" s="58"/>
      <c r="BGZ2487" s="58"/>
      <c r="BHA2487" s="58"/>
      <c r="BHB2487" s="60"/>
      <c r="BHC2487" s="60"/>
      <c r="BHD2487" s="60"/>
      <c r="BHE2487" s="58"/>
      <c r="BHF2487" s="61"/>
      <c r="BHG2487" s="58"/>
      <c r="BHH2487" s="58"/>
      <c r="BHI2487" s="58"/>
      <c r="BHJ2487" s="60"/>
      <c r="BHK2487" s="60"/>
      <c r="BHL2487" s="60"/>
      <c r="BHM2487" s="58"/>
      <c r="BHN2487" s="61"/>
      <c r="BHO2487" s="58"/>
      <c r="BHP2487" s="58"/>
      <c r="BHQ2487" s="58"/>
      <c r="BHR2487" s="60"/>
      <c r="BHS2487" s="60"/>
      <c r="BHT2487" s="60"/>
      <c r="BHU2487" s="58"/>
      <c r="BHV2487" s="61"/>
      <c r="BHW2487" s="58"/>
      <c r="BHX2487" s="58"/>
      <c r="BHY2487" s="58"/>
      <c r="BHZ2487" s="60"/>
      <c r="BIA2487" s="60"/>
      <c r="BIB2487" s="60"/>
      <c r="BIC2487" s="58"/>
      <c r="BID2487" s="61"/>
      <c r="BIE2487" s="58"/>
      <c r="BIF2487" s="58"/>
      <c r="BIG2487" s="58"/>
      <c r="BIH2487" s="60"/>
      <c r="BII2487" s="60"/>
      <c r="BIJ2487" s="60"/>
      <c r="BIK2487" s="58"/>
      <c r="BIL2487" s="61"/>
      <c r="BIM2487" s="58"/>
      <c r="BIN2487" s="58"/>
      <c r="BIO2487" s="58"/>
      <c r="BIP2487" s="60"/>
      <c r="BIQ2487" s="60"/>
      <c r="BIR2487" s="60"/>
      <c r="BIS2487" s="58"/>
      <c r="BIT2487" s="61"/>
      <c r="BIU2487" s="58"/>
      <c r="BIV2487" s="58"/>
      <c r="BIW2487" s="58"/>
      <c r="BIX2487" s="60"/>
      <c r="BIY2487" s="60"/>
      <c r="BIZ2487" s="60"/>
      <c r="BJA2487" s="58"/>
      <c r="BJB2487" s="61"/>
      <c r="BJC2487" s="58"/>
      <c r="BJD2487" s="58"/>
      <c r="BJE2487" s="58"/>
      <c r="BJF2487" s="60"/>
      <c r="BJG2487" s="60"/>
      <c r="BJH2487" s="60"/>
      <c r="BJI2487" s="58"/>
      <c r="BJJ2487" s="61"/>
      <c r="BJK2487" s="58"/>
      <c r="BJL2487" s="58"/>
      <c r="BJM2487" s="58"/>
      <c r="BJN2487" s="60"/>
      <c r="BJO2487" s="60"/>
      <c r="BJP2487" s="60"/>
      <c r="BJQ2487" s="58"/>
      <c r="BJR2487" s="61"/>
      <c r="BJS2487" s="58"/>
      <c r="BJT2487" s="58"/>
      <c r="BJU2487" s="58"/>
      <c r="BJV2487" s="60"/>
      <c r="BJW2487" s="60"/>
      <c r="BJX2487" s="60"/>
      <c r="BJY2487" s="58"/>
      <c r="BJZ2487" s="61"/>
      <c r="BKA2487" s="58"/>
      <c r="BKB2487" s="58"/>
      <c r="BKC2487" s="58"/>
      <c r="BKD2487" s="60"/>
      <c r="BKE2487" s="60"/>
      <c r="BKF2487" s="60"/>
      <c r="BKG2487" s="58"/>
      <c r="BKH2487" s="61"/>
      <c r="BKI2487" s="58"/>
      <c r="BKJ2487" s="58"/>
      <c r="BKK2487" s="58"/>
      <c r="BKL2487" s="60"/>
      <c r="BKM2487" s="60"/>
      <c r="BKN2487" s="60"/>
      <c r="BKO2487" s="58"/>
      <c r="BKP2487" s="61"/>
      <c r="BKQ2487" s="58"/>
      <c r="BKR2487" s="58"/>
      <c r="BKS2487" s="58"/>
      <c r="BKT2487" s="60"/>
      <c r="BKU2487" s="60"/>
      <c r="BKV2487" s="60"/>
      <c r="BKW2487" s="58"/>
      <c r="BKX2487" s="61"/>
      <c r="BKY2487" s="58"/>
      <c r="BKZ2487" s="58"/>
      <c r="BLA2487" s="58"/>
      <c r="BLB2487" s="60"/>
      <c r="BLC2487" s="60"/>
      <c r="BLD2487" s="60"/>
      <c r="BLE2487" s="58"/>
      <c r="BLF2487" s="61"/>
      <c r="BLG2487" s="58"/>
      <c r="BLH2487" s="58"/>
      <c r="BLI2487" s="58"/>
      <c r="BLJ2487" s="60"/>
      <c r="BLK2487" s="60"/>
      <c r="BLL2487" s="60"/>
      <c r="BLM2487" s="58"/>
      <c r="BLN2487" s="61"/>
      <c r="BLO2487" s="58"/>
      <c r="BLP2487" s="58"/>
      <c r="BLQ2487" s="58"/>
      <c r="BLR2487" s="60"/>
      <c r="BLS2487" s="60"/>
      <c r="BLT2487" s="60"/>
      <c r="BLU2487" s="58"/>
      <c r="BLV2487" s="61"/>
      <c r="BLW2487" s="58"/>
      <c r="BLX2487" s="58"/>
      <c r="BLY2487" s="58"/>
      <c r="BLZ2487" s="60"/>
      <c r="BMA2487" s="60"/>
      <c r="BMB2487" s="60"/>
      <c r="BMC2487" s="58"/>
      <c r="BMD2487" s="61"/>
      <c r="BME2487" s="58"/>
      <c r="BMF2487" s="58"/>
      <c r="BMG2487" s="58"/>
      <c r="BMH2487" s="60"/>
      <c r="BMI2487" s="60"/>
      <c r="BMJ2487" s="60"/>
      <c r="BMK2487" s="58"/>
      <c r="BML2487" s="61"/>
      <c r="BMM2487" s="58"/>
      <c r="BMN2487" s="58"/>
      <c r="BMO2487" s="58"/>
      <c r="BMP2487" s="60"/>
      <c r="BMQ2487" s="60"/>
      <c r="BMR2487" s="60"/>
      <c r="BMS2487" s="58"/>
      <c r="BMT2487" s="61"/>
      <c r="BMU2487" s="58"/>
      <c r="BMV2487" s="58"/>
      <c r="BMW2487" s="58"/>
      <c r="BMX2487" s="60"/>
      <c r="BMY2487" s="60"/>
      <c r="BMZ2487" s="60"/>
      <c r="BNA2487" s="58"/>
      <c r="BNB2487" s="61"/>
      <c r="BNC2487" s="58"/>
      <c r="BND2487" s="58"/>
      <c r="BNE2487" s="58"/>
      <c r="BNF2487" s="60"/>
      <c r="BNG2487" s="60"/>
      <c r="BNH2487" s="60"/>
      <c r="BNI2487" s="58"/>
      <c r="BNJ2487" s="61"/>
      <c r="BNK2487" s="58"/>
      <c r="BNL2487" s="58"/>
      <c r="BNM2487" s="58"/>
      <c r="BNN2487" s="60"/>
      <c r="BNO2487" s="60"/>
      <c r="BNP2487" s="60"/>
      <c r="BNQ2487" s="58"/>
      <c r="BNR2487" s="61"/>
      <c r="BNS2487" s="58"/>
      <c r="BNT2487" s="58"/>
      <c r="BNU2487" s="58"/>
      <c r="BNV2487" s="60"/>
      <c r="BNW2487" s="60"/>
      <c r="BNX2487" s="60"/>
      <c r="BNY2487" s="58"/>
      <c r="BNZ2487" s="61"/>
      <c r="BOA2487" s="58"/>
      <c r="BOB2487" s="58"/>
      <c r="BOC2487" s="58"/>
      <c r="BOD2487" s="60"/>
      <c r="BOE2487" s="60"/>
      <c r="BOF2487" s="60"/>
      <c r="BOG2487" s="58"/>
      <c r="BOH2487" s="61"/>
      <c r="BOI2487" s="58"/>
      <c r="BOJ2487" s="58"/>
      <c r="BOK2487" s="58"/>
      <c r="BOL2487" s="60"/>
      <c r="BOM2487" s="60"/>
      <c r="BON2487" s="60"/>
      <c r="BOO2487" s="58"/>
      <c r="BOP2487" s="61"/>
      <c r="BOQ2487" s="58"/>
      <c r="BOR2487" s="58"/>
      <c r="BOS2487" s="58"/>
      <c r="BOT2487" s="60"/>
      <c r="BOU2487" s="60"/>
      <c r="BOV2487" s="60"/>
      <c r="BOW2487" s="58"/>
      <c r="BOX2487" s="61"/>
      <c r="BOY2487" s="58"/>
      <c r="BOZ2487" s="58"/>
      <c r="BPA2487" s="58"/>
      <c r="BPB2487" s="60"/>
      <c r="BPC2487" s="60"/>
      <c r="BPD2487" s="60"/>
      <c r="BPE2487" s="58"/>
      <c r="BPF2487" s="61"/>
      <c r="BPG2487" s="58"/>
      <c r="BPH2487" s="58"/>
      <c r="BPI2487" s="58"/>
      <c r="BPJ2487" s="60"/>
      <c r="BPK2487" s="60"/>
      <c r="BPL2487" s="60"/>
      <c r="BPM2487" s="58"/>
      <c r="BPN2487" s="61"/>
      <c r="BPO2487" s="58"/>
      <c r="BPP2487" s="58"/>
      <c r="BPQ2487" s="58"/>
      <c r="BPR2487" s="60"/>
      <c r="BPS2487" s="60"/>
      <c r="BPT2487" s="60"/>
      <c r="BPU2487" s="58"/>
      <c r="BPV2487" s="61"/>
      <c r="BPW2487" s="58"/>
      <c r="BPX2487" s="58"/>
      <c r="BPY2487" s="58"/>
      <c r="BPZ2487" s="60"/>
      <c r="BQA2487" s="60"/>
      <c r="BQB2487" s="60"/>
      <c r="BQC2487" s="58"/>
      <c r="BQD2487" s="61"/>
      <c r="BQE2487" s="58"/>
      <c r="BQF2487" s="58"/>
      <c r="BQG2487" s="58"/>
      <c r="BQH2487" s="60"/>
      <c r="BQI2487" s="60"/>
      <c r="BQJ2487" s="60"/>
      <c r="BQK2487" s="58"/>
      <c r="BQL2487" s="61"/>
      <c r="BQM2487" s="58"/>
      <c r="BQN2487" s="58"/>
      <c r="BQO2487" s="58"/>
      <c r="BQP2487" s="60"/>
      <c r="BQQ2487" s="60"/>
      <c r="BQR2487" s="60"/>
      <c r="BQS2487" s="58"/>
      <c r="BQT2487" s="61"/>
      <c r="BQU2487" s="58"/>
      <c r="BQV2487" s="58"/>
      <c r="BQW2487" s="58"/>
      <c r="BQX2487" s="60"/>
      <c r="BQY2487" s="60"/>
      <c r="BQZ2487" s="60"/>
      <c r="BRA2487" s="58"/>
      <c r="BRB2487" s="61"/>
      <c r="BRC2487" s="58"/>
      <c r="BRD2487" s="58"/>
      <c r="BRE2487" s="58"/>
      <c r="BRF2487" s="60"/>
      <c r="BRG2487" s="60"/>
      <c r="BRH2487" s="60"/>
      <c r="BRI2487" s="58"/>
      <c r="BRJ2487" s="61"/>
      <c r="BRK2487" s="58"/>
      <c r="BRL2487" s="58"/>
      <c r="BRM2487" s="58"/>
      <c r="BRN2487" s="60"/>
      <c r="BRO2487" s="60"/>
      <c r="BRP2487" s="60"/>
      <c r="BRQ2487" s="58"/>
      <c r="BRR2487" s="61"/>
      <c r="BRS2487" s="58"/>
      <c r="BRT2487" s="58"/>
      <c r="BRU2487" s="58"/>
      <c r="BRV2487" s="60"/>
      <c r="BRW2487" s="60"/>
      <c r="BRX2487" s="60"/>
      <c r="BRY2487" s="58"/>
      <c r="BRZ2487" s="61"/>
      <c r="BSA2487" s="58"/>
      <c r="BSB2487" s="58"/>
      <c r="BSC2487" s="58"/>
      <c r="BSD2487" s="60"/>
      <c r="BSE2487" s="60"/>
      <c r="BSF2487" s="60"/>
      <c r="BSG2487" s="58"/>
      <c r="BSH2487" s="61"/>
      <c r="BSI2487" s="58"/>
      <c r="BSJ2487" s="58"/>
      <c r="BSK2487" s="58"/>
      <c r="BSL2487" s="60"/>
      <c r="BSM2487" s="60"/>
      <c r="BSN2487" s="60"/>
      <c r="BSO2487" s="58"/>
      <c r="BSP2487" s="61"/>
      <c r="BSQ2487" s="58"/>
      <c r="BSR2487" s="58"/>
      <c r="BSS2487" s="58"/>
      <c r="BST2487" s="60"/>
      <c r="BSU2487" s="60"/>
      <c r="BSV2487" s="60"/>
      <c r="BSW2487" s="58"/>
      <c r="BSX2487" s="61"/>
      <c r="BSY2487" s="58"/>
      <c r="BSZ2487" s="58"/>
      <c r="BTA2487" s="58"/>
      <c r="BTB2487" s="60"/>
      <c r="BTC2487" s="60"/>
      <c r="BTD2487" s="60"/>
      <c r="BTE2487" s="58"/>
      <c r="BTF2487" s="61"/>
      <c r="BTG2487" s="58"/>
      <c r="BTH2487" s="58"/>
      <c r="BTI2487" s="58"/>
      <c r="BTJ2487" s="60"/>
      <c r="BTK2487" s="60"/>
      <c r="BTL2487" s="60"/>
      <c r="BTM2487" s="58"/>
      <c r="BTN2487" s="61"/>
      <c r="BTO2487" s="58"/>
      <c r="BTP2487" s="58"/>
      <c r="BTQ2487" s="58"/>
      <c r="BTR2487" s="60"/>
      <c r="BTS2487" s="60"/>
      <c r="BTT2487" s="60"/>
      <c r="BTU2487" s="58"/>
      <c r="BTV2487" s="61"/>
      <c r="BTW2487" s="58"/>
      <c r="BTX2487" s="58"/>
      <c r="BTY2487" s="58"/>
      <c r="BTZ2487" s="60"/>
      <c r="BUA2487" s="60"/>
      <c r="BUB2487" s="60"/>
      <c r="BUC2487" s="58"/>
      <c r="BUD2487" s="61"/>
      <c r="BUE2487" s="58"/>
      <c r="BUF2487" s="58"/>
      <c r="BUG2487" s="58"/>
      <c r="BUH2487" s="60"/>
      <c r="BUI2487" s="60"/>
      <c r="BUJ2487" s="60"/>
      <c r="BUK2487" s="58"/>
      <c r="BUL2487" s="61"/>
      <c r="BUM2487" s="58"/>
      <c r="BUN2487" s="58"/>
      <c r="BUO2487" s="58"/>
      <c r="BUP2487" s="60"/>
      <c r="BUQ2487" s="60"/>
      <c r="BUR2487" s="60"/>
      <c r="BUS2487" s="58"/>
      <c r="BUT2487" s="61"/>
      <c r="BUU2487" s="58"/>
      <c r="BUV2487" s="58"/>
      <c r="BUW2487" s="58"/>
      <c r="BUX2487" s="60"/>
      <c r="BUY2487" s="60"/>
      <c r="BUZ2487" s="60"/>
      <c r="BVA2487" s="58"/>
      <c r="BVB2487" s="61"/>
      <c r="BVC2487" s="58"/>
      <c r="BVD2487" s="58"/>
      <c r="BVE2487" s="58"/>
      <c r="BVF2487" s="60"/>
      <c r="BVG2487" s="60"/>
      <c r="BVH2487" s="60"/>
      <c r="BVI2487" s="58"/>
      <c r="BVJ2487" s="61"/>
      <c r="BVK2487" s="58"/>
      <c r="BVL2487" s="58"/>
      <c r="BVM2487" s="58"/>
      <c r="BVN2487" s="60"/>
      <c r="BVO2487" s="60"/>
      <c r="BVP2487" s="60"/>
      <c r="BVQ2487" s="58"/>
      <c r="BVR2487" s="61"/>
      <c r="BVS2487" s="58"/>
      <c r="BVT2487" s="58"/>
      <c r="BVU2487" s="58"/>
      <c r="BVV2487" s="60"/>
      <c r="BVW2487" s="60"/>
      <c r="BVX2487" s="60"/>
      <c r="BVY2487" s="58"/>
      <c r="BVZ2487" s="61"/>
      <c r="BWA2487" s="58"/>
      <c r="BWB2487" s="58"/>
      <c r="BWC2487" s="58"/>
      <c r="BWD2487" s="60"/>
      <c r="BWE2487" s="60"/>
      <c r="BWF2487" s="60"/>
      <c r="BWG2487" s="58"/>
      <c r="BWH2487" s="61"/>
      <c r="BWI2487" s="58"/>
      <c r="BWJ2487" s="58"/>
      <c r="BWK2487" s="58"/>
      <c r="BWL2487" s="60"/>
      <c r="BWM2487" s="60"/>
      <c r="BWN2487" s="60"/>
      <c r="BWO2487" s="58"/>
      <c r="BWP2487" s="61"/>
      <c r="BWQ2487" s="58"/>
      <c r="BWR2487" s="58"/>
      <c r="BWS2487" s="58"/>
      <c r="BWT2487" s="60"/>
      <c r="BWU2487" s="60"/>
      <c r="BWV2487" s="60"/>
      <c r="BWW2487" s="58"/>
      <c r="BWX2487" s="61"/>
      <c r="BWY2487" s="58"/>
      <c r="BWZ2487" s="58"/>
      <c r="BXA2487" s="58"/>
      <c r="BXB2487" s="60"/>
      <c r="BXC2487" s="60"/>
      <c r="BXD2487" s="60"/>
      <c r="BXE2487" s="58"/>
      <c r="BXF2487" s="61"/>
      <c r="BXG2487" s="58"/>
      <c r="BXH2487" s="58"/>
      <c r="BXI2487" s="58"/>
      <c r="BXJ2487" s="60"/>
      <c r="BXK2487" s="60"/>
      <c r="BXL2487" s="60"/>
      <c r="BXM2487" s="58"/>
      <c r="BXN2487" s="61"/>
      <c r="BXO2487" s="58"/>
      <c r="BXP2487" s="58"/>
      <c r="BXQ2487" s="58"/>
      <c r="BXR2487" s="60"/>
      <c r="BXS2487" s="60"/>
      <c r="BXT2487" s="60"/>
      <c r="BXU2487" s="58"/>
      <c r="BXV2487" s="61"/>
      <c r="BXW2487" s="58"/>
      <c r="BXX2487" s="58"/>
      <c r="BXY2487" s="58"/>
      <c r="BXZ2487" s="60"/>
      <c r="BYA2487" s="60"/>
      <c r="BYB2487" s="60"/>
      <c r="BYC2487" s="58"/>
      <c r="BYD2487" s="61"/>
      <c r="BYE2487" s="58"/>
      <c r="BYF2487" s="58"/>
      <c r="BYG2487" s="58"/>
      <c r="BYH2487" s="60"/>
      <c r="BYI2487" s="60"/>
      <c r="BYJ2487" s="60"/>
      <c r="BYK2487" s="58"/>
      <c r="BYL2487" s="61"/>
      <c r="BYM2487" s="58"/>
      <c r="BYN2487" s="58"/>
      <c r="BYO2487" s="58"/>
      <c r="BYP2487" s="60"/>
      <c r="BYQ2487" s="60"/>
      <c r="BYR2487" s="60"/>
      <c r="BYS2487" s="58"/>
      <c r="BYT2487" s="61"/>
      <c r="BYU2487" s="58"/>
      <c r="BYV2487" s="58"/>
      <c r="BYW2487" s="58"/>
      <c r="BYX2487" s="60"/>
      <c r="BYY2487" s="60"/>
      <c r="BYZ2487" s="60"/>
      <c r="BZA2487" s="58"/>
      <c r="BZB2487" s="61"/>
      <c r="BZC2487" s="58"/>
      <c r="BZD2487" s="58"/>
      <c r="BZE2487" s="58"/>
      <c r="BZF2487" s="60"/>
      <c r="BZG2487" s="60"/>
      <c r="BZH2487" s="60"/>
      <c r="BZI2487" s="58"/>
      <c r="BZJ2487" s="61"/>
      <c r="BZK2487" s="58"/>
      <c r="BZL2487" s="58"/>
      <c r="BZM2487" s="58"/>
      <c r="BZN2487" s="60"/>
      <c r="BZO2487" s="60"/>
      <c r="BZP2487" s="60"/>
      <c r="BZQ2487" s="58"/>
      <c r="BZR2487" s="61"/>
      <c r="BZS2487" s="58"/>
      <c r="BZT2487" s="58"/>
      <c r="BZU2487" s="58"/>
      <c r="BZV2487" s="60"/>
      <c r="BZW2487" s="60"/>
      <c r="BZX2487" s="60"/>
      <c r="BZY2487" s="58"/>
      <c r="BZZ2487" s="61"/>
      <c r="CAA2487" s="58"/>
      <c r="CAB2487" s="58"/>
      <c r="CAC2487" s="58"/>
      <c r="CAD2487" s="60"/>
      <c r="CAE2487" s="60"/>
      <c r="CAF2487" s="60"/>
      <c r="CAG2487" s="58"/>
      <c r="CAH2487" s="61"/>
      <c r="CAI2487" s="58"/>
      <c r="CAJ2487" s="58"/>
      <c r="CAK2487" s="58"/>
      <c r="CAL2487" s="60"/>
      <c r="CAM2487" s="60"/>
      <c r="CAN2487" s="60"/>
      <c r="CAO2487" s="58"/>
      <c r="CAP2487" s="61"/>
      <c r="CAQ2487" s="58"/>
      <c r="CAR2487" s="58"/>
      <c r="CAS2487" s="58"/>
      <c r="CAT2487" s="60"/>
      <c r="CAU2487" s="60"/>
      <c r="CAV2487" s="60"/>
      <c r="CAW2487" s="58"/>
      <c r="CAX2487" s="61"/>
      <c r="CAY2487" s="58"/>
      <c r="CAZ2487" s="58"/>
      <c r="CBA2487" s="58"/>
      <c r="CBB2487" s="60"/>
      <c r="CBC2487" s="60"/>
      <c r="CBD2487" s="60"/>
      <c r="CBE2487" s="58"/>
      <c r="CBF2487" s="61"/>
      <c r="CBG2487" s="58"/>
      <c r="CBH2487" s="58"/>
      <c r="CBI2487" s="58"/>
      <c r="CBJ2487" s="60"/>
      <c r="CBK2487" s="60"/>
      <c r="CBL2487" s="60"/>
      <c r="CBM2487" s="58"/>
      <c r="CBN2487" s="61"/>
      <c r="CBO2487" s="58"/>
      <c r="CBP2487" s="58"/>
      <c r="CBQ2487" s="58"/>
      <c r="CBR2487" s="60"/>
      <c r="CBS2487" s="60"/>
      <c r="CBT2487" s="60"/>
      <c r="CBU2487" s="58"/>
      <c r="CBV2487" s="61"/>
      <c r="CBW2487" s="58"/>
      <c r="CBX2487" s="58"/>
      <c r="CBY2487" s="58"/>
      <c r="CBZ2487" s="60"/>
      <c r="CCA2487" s="60"/>
      <c r="CCB2487" s="60"/>
      <c r="CCC2487" s="58"/>
      <c r="CCD2487" s="61"/>
      <c r="CCE2487" s="58"/>
      <c r="CCF2487" s="58"/>
      <c r="CCG2487" s="58"/>
      <c r="CCH2487" s="60"/>
      <c r="CCI2487" s="60"/>
      <c r="CCJ2487" s="60"/>
      <c r="CCK2487" s="58"/>
      <c r="CCL2487" s="61"/>
      <c r="CCM2487" s="58"/>
      <c r="CCN2487" s="58"/>
      <c r="CCO2487" s="58"/>
      <c r="CCP2487" s="60"/>
      <c r="CCQ2487" s="60"/>
      <c r="CCR2487" s="60"/>
      <c r="CCS2487" s="58"/>
      <c r="CCT2487" s="61"/>
      <c r="CCU2487" s="58"/>
      <c r="CCV2487" s="58"/>
      <c r="CCW2487" s="58"/>
      <c r="CCX2487" s="60"/>
      <c r="CCY2487" s="60"/>
      <c r="CCZ2487" s="60"/>
      <c r="CDA2487" s="58"/>
      <c r="CDB2487" s="61"/>
      <c r="CDC2487" s="58"/>
      <c r="CDD2487" s="58"/>
      <c r="CDE2487" s="58"/>
      <c r="CDF2487" s="60"/>
      <c r="CDG2487" s="60"/>
      <c r="CDH2487" s="60"/>
      <c r="CDI2487" s="58"/>
      <c r="CDJ2487" s="61"/>
      <c r="CDK2487" s="58"/>
      <c r="CDL2487" s="58"/>
      <c r="CDM2487" s="58"/>
      <c r="CDN2487" s="60"/>
      <c r="CDO2487" s="60"/>
      <c r="CDP2487" s="60"/>
      <c r="CDQ2487" s="58"/>
      <c r="CDR2487" s="61"/>
      <c r="CDS2487" s="58"/>
      <c r="CDT2487" s="58"/>
      <c r="CDU2487" s="58"/>
      <c r="CDV2487" s="60"/>
      <c r="CDW2487" s="60"/>
      <c r="CDX2487" s="60"/>
      <c r="CDY2487" s="58"/>
      <c r="CDZ2487" s="61"/>
      <c r="CEA2487" s="58"/>
      <c r="CEB2487" s="58"/>
      <c r="CEC2487" s="58"/>
      <c r="CED2487" s="60"/>
      <c r="CEE2487" s="60"/>
      <c r="CEF2487" s="60"/>
      <c r="CEG2487" s="58"/>
      <c r="CEH2487" s="61"/>
      <c r="CEI2487" s="58"/>
      <c r="CEJ2487" s="58"/>
      <c r="CEK2487" s="58"/>
      <c r="CEL2487" s="60"/>
      <c r="CEM2487" s="60"/>
      <c r="CEN2487" s="60"/>
      <c r="CEO2487" s="58"/>
      <c r="CEP2487" s="61"/>
      <c r="CEQ2487" s="58"/>
      <c r="CER2487" s="58"/>
      <c r="CES2487" s="58"/>
      <c r="CET2487" s="60"/>
      <c r="CEU2487" s="60"/>
      <c r="CEV2487" s="60"/>
      <c r="CEW2487" s="58"/>
      <c r="CEX2487" s="61"/>
      <c r="CEY2487" s="58"/>
      <c r="CEZ2487" s="58"/>
      <c r="CFA2487" s="58"/>
      <c r="CFB2487" s="60"/>
      <c r="CFC2487" s="60"/>
      <c r="CFD2487" s="60"/>
      <c r="CFE2487" s="58"/>
      <c r="CFF2487" s="61"/>
      <c r="CFG2487" s="58"/>
      <c r="CFH2487" s="58"/>
      <c r="CFI2487" s="58"/>
      <c r="CFJ2487" s="60"/>
      <c r="CFK2487" s="60"/>
      <c r="CFL2487" s="60"/>
      <c r="CFM2487" s="58"/>
      <c r="CFN2487" s="61"/>
      <c r="CFO2487" s="58"/>
      <c r="CFP2487" s="58"/>
      <c r="CFQ2487" s="58"/>
      <c r="CFR2487" s="60"/>
      <c r="CFS2487" s="60"/>
      <c r="CFT2487" s="60"/>
      <c r="CFU2487" s="58"/>
      <c r="CFV2487" s="61"/>
      <c r="CFW2487" s="58"/>
      <c r="CFX2487" s="58"/>
      <c r="CFY2487" s="58"/>
      <c r="CFZ2487" s="60"/>
      <c r="CGA2487" s="60"/>
      <c r="CGB2487" s="60"/>
      <c r="CGC2487" s="58"/>
      <c r="CGD2487" s="61"/>
      <c r="CGE2487" s="58"/>
      <c r="CGF2487" s="58"/>
      <c r="CGG2487" s="58"/>
      <c r="CGH2487" s="60"/>
      <c r="CGI2487" s="60"/>
      <c r="CGJ2487" s="60"/>
      <c r="CGK2487" s="58"/>
      <c r="CGL2487" s="61"/>
      <c r="CGM2487" s="58"/>
      <c r="CGN2487" s="58"/>
      <c r="CGO2487" s="58"/>
      <c r="CGP2487" s="60"/>
      <c r="CGQ2487" s="60"/>
      <c r="CGR2487" s="60"/>
      <c r="CGS2487" s="58"/>
      <c r="CGT2487" s="61"/>
      <c r="CGU2487" s="58"/>
      <c r="CGV2487" s="58"/>
      <c r="CGW2487" s="58"/>
      <c r="CGX2487" s="60"/>
      <c r="CGY2487" s="60"/>
      <c r="CGZ2487" s="60"/>
      <c r="CHA2487" s="58"/>
      <c r="CHB2487" s="61"/>
      <c r="CHC2487" s="58"/>
      <c r="CHD2487" s="58"/>
      <c r="CHE2487" s="58"/>
      <c r="CHF2487" s="60"/>
      <c r="CHG2487" s="60"/>
      <c r="CHH2487" s="60"/>
      <c r="CHI2487" s="58"/>
      <c r="CHJ2487" s="61"/>
      <c r="CHK2487" s="58"/>
      <c r="CHL2487" s="58"/>
      <c r="CHM2487" s="58"/>
      <c r="CHN2487" s="60"/>
      <c r="CHO2487" s="60"/>
      <c r="CHP2487" s="60"/>
      <c r="CHQ2487" s="58"/>
      <c r="CHR2487" s="61"/>
      <c r="CHS2487" s="58"/>
      <c r="CHT2487" s="58"/>
      <c r="CHU2487" s="58"/>
      <c r="CHV2487" s="60"/>
      <c r="CHW2487" s="60"/>
      <c r="CHX2487" s="60"/>
      <c r="CHY2487" s="58"/>
      <c r="CHZ2487" s="61"/>
      <c r="CIA2487" s="58"/>
      <c r="CIB2487" s="58"/>
      <c r="CIC2487" s="58"/>
      <c r="CID2487" s="60"/>
      <c r="CIE2487" s="60"/>
      <c r="CIF2487" s="60"/>
      <c r="CIG2487" s="58"/>
      <c r="CIH2487" s="61"/>
      <c r="CII2487" s="58"/>
      <c r="CIJ2487" s="58"/>
      <c r="CIK2487" s="58"/>
      <c r="CIL2487" s="60"/>
      <c r="CIM2487" s="60"/>
      <c r="CIN2487" s="60"/>
      <c r="CIO2487" s="58"/>
      <c r="CIP2487" s="61"/>
      <c r="CIQ2487" s="58"/>
      <c r="CIR2487" s="58"/>
      <c r="CIS2487" s="58"/>
      <c r="CIT2487" s="60"/>
      <c r="CIU2487" s="60"/>
      <c r="CIV2487" s="60"/>
      <c r="CIW2487" s="58"/>
      <c r="CIX2487" s="61"/>
      <c r="CIY2487" s="58"/>
      <c r="CIZ2487" s="58"/>
      <c r="CJA2487" s="58"/>
      <c r="CJB2487" s="60"/>
      <c r="CJC2487" s="60"/>
      <c r="CJD2487" s="60"/>
      <c r="CJE2487" s="58"/>
      <c r="CJF2487" s="61"/>
      <c r="CJG2487" s="58"/>
      <c r="CJH2487" s="58"/>
      <c r="CJI2487" s="58"/>
      <c r="CJJ2487" s="60"/>
      <c r="CJK2487" s="60"/>
      <c r="CJL2487" s="60"/>
      <c r="CJM2487" s="58"/>
      <c r="CJN2487" s="61"/>
      <c r="CJO2487" s="58"/>
      <c r="CJP2487" s="58"/>
      <c r="CJQ2487" s="58"/>
      <c r="CJR2487" s="60"/>
      <c r="CJS2487" s="60"/>
      <c r="CJT2487" s="60"/>
      <c r="CJU2487" s="58"/>
      <c r="CJV2487" s="61"/>
      <c r="CJW2487" s="58"/>
      <c r="CJX2487" s="58"/>
      <c r="CJY2487" s="58"/>
      <c r="CJZ2487" s="60"/>
      <c r="CKA2487" s="60"/>
      <c r="CKB2487" s="60"/>
      <c r="CKC2487" s="58"/>
      <c r="CKD2487" s="61"/>
      <c r="CKE2487" s="58"/>
      <c r="CKF2487" s="58"/>
      <c r="CKG2487" s="58"/>
      <c r="CKH2487" s="60"/>
      <c r="CKI2487" s="60"/>
      <c r="CKJ2487" s="60"/>
      <c r="CKK2487" s="58"/>
      <c r="CKL2487" s="61"/>
      <c r="CKM2487" s="58"/>
      <c r="CKN2487" s="58"/>
      <c r="CKO2487" s="58"/>
      <c r="CKP2487" s="60"/>
      <c r="CKQ2487" s="60"/>
      <c r="CKR2487" s="60"/>
      <c r="CKS2487" s="58"/>
      <c r="CKT2487" s="61"/>
      <c r="CKU2487" s="58"/>
      <c r="CKV2487" s="58"/>
      <c r="CKW2487" s="58"/>
      <c r="CKX2487" s="60"/>
      <c r="CKY2487" s="60"/>
      <c r="CKZ2487" s="60"/>
      <c r="CLA2487" s="58"/>
      <c r="CLB2487" s="61"/>
      <c r="CLC2487" s="58"/>
      <c r="CLD2487" s="58"/>
      <c r="CLE2487" s="58"/>
      <c r="CLF2487" s="60"/>
      <c r="CLG2487" s="60"/>
      <c r="CLH2487" s="60"/>
      <c r="CLI2487" s="58"/>
      <c r="CLJ2487" s="61"/>
      <c r="CLK2487" s="58"/>
      <c r="CLL2487" s="58"/>
      <c r="CLM2487" s="58"/>
      <c r="CLN2487" s="60"/>
      <c r="CLO2487" s="60"/>
      <c r="CLP2487" s="60"/>
      <c r="CLQ2487" s="58"/>
      <c r="CLR2487" s="61"/>
      <c r="CLS2487" s="58"/>
      <c r="CLT2487" s="58"/>
      <c r="CLU2487" s="58"/>
      <c r="CLV2487" s="60"/>
      <c r="CLW2487" s="60"/>
      <c r="CLX2487" s="60"/>
      <c r="CLY2487" s="58"/>
      <c r="CLZ2487" s="61"/>
      <c r="CMA2487" s="58"/>
      <c r="CMB2487" s="58"/>
      <c r="CMC2487" s="58"/>
      <c r="CMD2487" s="60"/>
      <c r="CME2487" s="60"/>
      <c r="CMF2487" s="60"/>
      <c r="CMG2487" s="58"/>
      <c r="CMH2487" s="61"/>
      <c r="CMI2487" s="58"/>
      <c r="CMJ2487" s="58"/>
      <c r="CMK2487" s="58"/>
      <c r="CML2487" s="60"/>
      <c r="CMM2487" s="60"/>
      <c r="CMN2487" s="60"/>
      <c r="CMO2487" s="58"/>
      <c r="CMP2487" s="61"/>
      <c r="CMQ2487" s="58"/>
      <c r="CMR2487" s="58"/>
      <c r="CMS2487" s="58"/>
      <c r="CMT2487" s="60"/>
      <c r="CMU2487" s="60"/>
      <c r="CMV2487" s="60"/>
      <c r="CMW2487" s="58"/>
      <c r="CMX2487" s="61"/>
      <c r="CMY2487" s="58"/>
      <c r="CMZ2487" s="58"/>
      <c r="CNA2487" s="58"/>
      <c r="CNB2487" s="60"/>
      <c r="CNC2487" s="60"/>
      <c r="CND2487" s="60"/>
      <c r="CNE2487" s="58"/>
      <c r="CNF2487" s="61"/>
      <c r="CNG2487" s="58"/>
      <c r="CNH2487" s="58"/>
      <c r="CNI2487" s="58"/>
      <c r="CNJ2487" s="60"/>
      <c r="CNK2487" s="60"/>
      <c r="CNL2487" s="60"/>
      <c r="CNM2487" s="58"/>
      <c r="CNN2487" s="61"/>
      <c r="CNO2487" s="58"/>
      <c r="CNP2487" s="58"/>
      <c r="CNQ2487" s="58"/>
      <c r="CNR2487" s="60"/>
      <c r="CNS2487" s="60"/>
      <c r="CNT2487" s="60"/>
      <c r="CNU2487" s="58"/>
      <c r="CNV2487" s="61"/>
      <c r="CNW2487" s="58"/>
      <c r="CNX2487" s="58"/>
      <c r="CNY2487" s="58"/>
      <c r="CNZ2487" s="60"/>
      <c r="COA2487" s="60"/>
      <c r="COB2487" s="60"/>
      <c r="COC2487" s="58"/>
      <c r="COD2487" s="61"/>
      <c r="COE2487" s="58"/>
      <c r="COF2487" s="58"/>
      <c r="COG2487" s="58"/>
      <c r="COH2487" s="60"/>
      <c r="COI2487" s="60"/>
      <c r="COJ2487" s="60"/>
      <c r="COK2487" s="58"/>
      <c r="COL2487" s="61"/>
      <c r="COM2487" s="58"/>
      <c r="CON2487" s="58"/>
      <c r="COO2487" s="58"/>
      <c r="COP2487" s="60"/>
      <c r="COQ2487" s="60"/>
      <c r="COR2487" s="60"/>
      <c r="COS2487" s="58"/>
      <c r="COT2487" s="61"/>
      <c r="COU2487" s="58"/>
      <c r="COV2487" s="58"/>
      <c r="COW2487" s="58"/>
      <c r="COX2487" s="60"/>
      <c r="COY2487" s="60"/>
      <c r="COZ2487" s="60"/>
      <c r="CPA2487" s="58"/>
      <c r="CPB2487" s="61"/>
      <c r="CPC2487" s="58"/>
      <c r="CPD2487" s="58"/>
      <c r="CPE2487" s="58"/>
      <c r="CPF2487" s="60"/>
      <c r="CPG2487" s="60"/>
      <c r="CPH2487" s="60"/>
      <c r="CPI2487" s="58"/>
      <c r="CPJ2487" s="61"/>
      <c r="CPK2487" s="58"/>
      <c r="CPL2487" s="58"/>
      <c r="CPM2487" s="58"/>
      <c r="CPN2487" s="60"/>
      <c r="CPO2487" s="60"/>
      <c r="CPP2487" s="60"/>
      <c r="CPQ2487" s="58"/>
      <c r="CPR2487" s="61"/>
      <c r="CPS2487" s="58"/>
      <c r="CPT2487" s="58"/>
      <c r="CPU2487" s="58"/>
      <c r="CPV2487" s="60"/>
      <c r="CPW2487" s="60"/>
      <c r="CPX2487" s="60"/>
      <c r="CPY2487" s="58"/>
      <c r="CPZ2487" s="61"/>
      <c r="CQA2487" s="58"/>
      <c r="CQB2487" s="58"/>
      <c r="CQC2487" s="58"/>
      <c r="CQD2487" s="60"/>
      <c r="CQE2487" s="60"/>
      <c r="CQF2487" s="60"/>
      <c r="CQG2487" s="58"/>
      <c r="CQH2487" s="61"/>
      <c r="CQI2487" s="58"/>
      <c r="CQJ2487" s="58"/>
      <c r="CQK2487" s="58"/>
      <c r="CQL2487" s="60"/>
      <c r="CQM2487" s="60"/>
      <c r="CQN2487" s="60"/>
      <c r="CQO2487" s="58"/>
      <c r="CQP2487" s="61"/>
      <c r="CQQ2487" s="58"/>
      <c r="CQR2487" s="58"/>
      <c r="CQS2487" s="58"/>
      <c r="CQT2487" s="60"/>
      <c r="CQU2487" s="60"/>
      <c r="CQV2487" s="60"/>
      <c r="CQW2487" s="58"/>
      <c r="CQX2487" s="61"/>
      <c r="CQY2487" s="58"/>
      <c r="CQZ2487" s="58"/>
      <c r="CRA2487" s="58"/>
      <c r="CRB2487" s="60"/>
      <c r="CRC2487" s="60"/>
      <c r="CRD2487" s="60"/>
      <c r="CRE2487" s="58"/>
      <c r="CRF2487" s="61"/>
      <c r="CRG2487" s="58"/>
      <c r="CRH2487" s="58"/>
      <c r="CRI2487" s="58"/>
      <c r="CRJ2487" s="60"/>
      <c r="CRK2487" s="60"/>
      <c r="CRL2487" s="60"/>
      <c r="CRM2487" s="58"/>
      <c r="CRN2487" s="61"/>
      <c r="CRO2487" s="58"/>
      <c r="CRP2487" s="58"/>
      <c r="CRQ2487" s="58"/>
      <c r="CRR2487" s="60"/>
      <c r="CRS2487" s="60"/>
      <c r="CRT2487" s="60"/>
      <c r="CRU2487" s="58"/>
      <c r="CRV2487" s="61"/>
      <c r="CRW2487" s="58"/>
      <c r="CRX2487" s="58"/>
      <c r="CRY2487" s="58"/>
      <c r="CRZ2487" s="60"/>
      <c r="CSA2487" s="60"/>
      <c r="CSB2487" s="60"/>
      <c r="CSC2487" s="58"/>
      <c r="CSD2487" s="61"/>
      <c r="CSE2487" s="58"/>
      <c r="CSF2487" s="58"/>
      <c r="CSG2487" s="58"/>
      <c r="CSH2487" s="60"/>
      <c r="CSI2487" s="60"/>
      <c r="CSJ2487" s="60"/>
      <c r="CSK2487" s="58"/>
      <c r="CSL2487" s="61"/>
      <c r="CSM2487" s="58"/>
      <c r="CSN2487" s="58"/>
      <c r="CSO2487" s="58"/>
      <c r="CSP2487" s="60"/>
      <c r="CSQ2487" s="60"/>
      <c r="CSR2487" s="60"/>
      <c r="CSS2487" s="58"/>
      <c r="CST2487" s="61"/>
      <c r="CSU2487" s="58"/>
      <c r="CSV2487" s="58"/>
      <c r="CSW2487" s="58"/>
      <c r="CSX2487" s="60"/>
      <c r="CSY2487" s="60"/>
      <c r="CSZ2487" s="60"/>
      <c r="CTA2487" s="58"/>
      <c r="CTB2487" s="61"/>
      <c r="CTC2487" s="58"/>
      <c r="CTD2487" s="58"/>
      <c r="CTE2487" s="58"/>
      <c r="CTF2487" s="60"/>
      <c r="CTG2487" s="60"/>
      <c r="CTH2487" s="60"/>
      <c r="CTI2487" s="58"/>
      <c r="CTJ2487" s="61"/>
      <c r="CTK2487" s="58"/>
      <c r="CTL2487" s="58"/>
      <c r="CTM2487" s="58"/>
      <c r="CTN2487" s="60"/>
      <c r="CTO2487" s="60"/>
      <c r="CTP2487" s="60"/>
      <c r="CTQ2487" s="58"/>
      <c r="CTR2487" s="61"/>
      <c r="CTS2487" s="58"/>
      <c r="CTT2487" s="58"/>
      <c r="CTU2487" s="58"/>
      <c r="CTV2487" s="60"/>
      <c r="CTW2487" s="60"/>
      <c r="CTX2487" s="60"/>
      <c r="CTY2487" s="58"/>
      <c r="CTZ2487" s="61"/>
      <c r="CUA2487" s="58"/>
      <c r="CUB2487" s="58"/>
      <c r="CUC2487" s="58"/>
      <c r="CUD2487" s="60"/>
      <c r="CUE2487" s="60"/>
      <c r="CUF2487" s="60"/>
      <c r="CUG2487" s="58"/>
      <c r="CUH2487" s="61"/>
      <c r="CUI2487" s="58"/>
      <c r="CUJ2487" s="58"/>
      <c r="CUK2487" s="58"/>
      <c r="CUL2487" s="60"/>
      <c r="CUM2487" s="60"/>
      <c r="CUN2487" s="60"/>
      <c r="CUO2487" s="58"/>
      <c r="CUP2487" s="61"/>
      <c r="CUQ2487" s="58"/>
      <c r="CUR2487" s="58"/>
      <c r="CUS2487" s="58"/>
      <c r="CUT2487" s="60"/>
      <c r="CUU2487" s="60"/>
      <c r="CUV2487" s="60"/>
      <c r="CUW2487" s="58"/>
      <c r="CUX2487" s="61"/>
      <c r="CUY2487" s="58"/>
      <c r="CUZ2487" s="58"/>
      <c r="CVA2487" s="58"/>
      <c r="CVB2487" s="60"/>
      <c r="CVC2487" s="60"/>
      <c r="CVD2487" s="60"/>
      <c r="CVE2487" s="58"/>
      <c r="CVF2487" s="61"/>
      <c r="CVG2487" s="58"/>
      <c r="CVH2487" s="58"/>
      <c r="CVI2487" s="58"/>
      <c r="CVJ2487" s="60"/>
      <c r="CVK2487" s="60"/>
      <c r="CVL2487" s="60"/>
      <c r="CVM2487" s="58"/>
      <c r="CVN2487" s="61"/>
      <c r="CVO2487" s="58"/>
      <c r="CVP2487" s="58"/>
      <c r="CVQ2487" s="58"/>
      <c r="CVR2487" s="60"/>
      <c r="CVS2487" s="60"/>
      <c r="CVT2487" s="60"/>
      <c r="CVU2487" s="58"/>
      <c r="CVV2487" s="61"/>
      <c r="CVW2487" s="58"/>
      <c r="CVX2487" s="58"/>
      <c r="CVY2487" s="58"/>
      <c r="CVZ2487" s="60"/>
      <c r="CWA2487" s="60"/>
      <c r="CWB2487" s="60"/>
      <c r="CWC2487" s="58"/>
      <c r="CWD2487" s="61"/>
      <c r="CWE2487" s="58"/>
      <c r="CWF2487" s="58"/>
      <c r="CWG2487" s="58"/>
      <c r="CWH2487" s="60"/>
      <c r="CWI2487" s="60"/>
      <c r="CWJ2487" s="60"/>
      <c r="CWK2487" s="58"/>
      <c r="CWL2487" s="61"/>
      <c r="CWM2487" s="58"/>
      <c r="CWN2487" s="58"/>
      <c r="CWO2487" s="58"/>
      <c r="CWP2487" s="60"/>
      <c r="CWQ2487" s="60"/>
      <c r="CWR2487" s="60"/>
      <c r="CWS2487" s="58"/>
      <c r="CWT2487" s="61"/>
      <c r="CWU2487" s="58"/>
      <c r="CWV2487" s="58"/>
      <c r="CWW2487" s="58"/>
      <c r="CWX2487" s="60"/>
      <c r="CWY2487" s="60"/>
      <c r="CWZ2487" s="60"/>
      <c r="CXA2487" s="58"/>
      <c r="CXB2487" s="61"/>
      <c r="CXC2487" s="58"/>
      <c r="CXD2487" s="58"/>
      <c r="CXE2487" s="58"/>
      <c r="CXF2487" s="60"/>
      <c r="CXG2487" s="60"/>
      <c r="CXH2487" s="60"/>
      <c r="CXI2487" s="58"/>
      <c r="CXJ2487" s="61"/>
      <c r="CXK2487" s="58"/>
      <c r="CXL2487" s="58"/>
      <c r="CXM2487" s="58"/>
      <c r="CXN2487" s="60"/>
      <c r="CXO2487" s="60"/>
      <c r="CXP2487" s="60"/>
      <c r="CXQ2487" s="58"/>
      <c r="CXR2487" s="61"/>
      <c r="CXS2487" s="58"/>
      <c r="CXT2487" s="58"/>
      <c r="CXU2487" s="58"/>
      <c r="CXV2487" s="60"/>
      <c r="CXW2487" s="60"/>
      <c r="CXX2487" s="60"/>
      <c r="CXY2487" s="58"/>
      <c r="CXZ2487" s="61"/>
      <c r="CYA2487" s="58"/>
      <c r="CYB2487" s="58"/>
      <c r="CYC2487" s="58"/>
      <c r="CYD2487" s="60"/>
      <c r="CYE2487" s="60"/>
      <c r="CYF2487" s="60"/>
      <c r="CYG2487" s="58"/>
      <c r="CYH2487" s="61"/>
      <c r="CYI2487" s="58"/>
      <c r="CYJ2487" s="58"/>
      <c r="CYK2487" s="58"/>
      <c r="CYL2487" s="60"/>
      <c r="CYM2487" s="60"/>
      <c r="CYN2487" s="60"/>
      <c r="CYO2487" s="58"/>
      <c r="CYP2487" s="61"/>
      <c r="CYQ2487" s="58"/>
      <c r="CYR2487" s="58"/>
      <c r="CYS2487" s="58"/>
      <c r="CYT2487" s="60"/>
      <c r="CYU2487" s="60"/>
      <c r="CYV2487" s="60"/>
      <c r="CYW2487" s="58"/>
      <c r="CYX2487" s="61"/>
      <c r="CYY2487" s="58"/>
      <c r="CYZ2487" s="58"/>
      <c r="CZA2487" s="58"/>
      <c r="CZB2487" s="60"/>
      <c r="CZC2487" s="60"/>
      <c r="CZD2487" s="60"/>
      <c r="CZE2487" s="58"/>
      <c r="CZF2487" s="61"/>
      <c r="CZG2487" s="58"/>
      <c r="CZH2487" s="58"/>
      <c r="CZI2487" s="58"/>
      <c r="CZJ2487" s="60"/>
      <c r="CZK2487" s="60"/>
      <c r="CZL2487" s="60"/>
      <c r="CZM2487" s="58"/>
      <c r="CZN2487" s="61"/>
      <c r="CZO2487" s="58"/>
      <c r="CZP2487" s="58"/>
      <c r="CZQ2487" s="58"/>
      <c r="CZR2487" s="60"/>
      <c r="CZS2487" s="60"/>
      <c r="CZT2487" s="60"/>
      <c r="CZU2487" s="58"/>
      <c r="CZV2487" s="61"/>
      <c r="CZW2487" s="58"/>
      <c r="CZX2487" s="58"/>
      <c r="CZY2487" s="58"/>
      <c r="CZZ2487" s="60"/>
      <c r="DAA2487" s="60"/>
      <c r="DAB2487" s="60"/>
      <c r="DAC2487" s="58"/>
      <c r="DAD2487" s="61"/>
      <c r="DAE2487" s="58"/>
      <c r="DAF2487" s="58"/>
      <c r="DAG2487" s="58"/>
      <c r="DAH2487" s="60"/>
      <c r="DAI2487" s="60"/>
      <c r="DAJ2487" s="60"/>
      <c r="DAK2487" s="58"/>
      <c r="DAL2487" s="61"/>
      <c r="DAM2487" s="58"/>
      <c r="DAN2487" s="58"/>
      <c r="DAO2487" s="58"/>
      <c r="DAP2487" s="60"/>
      <c r="DAQ2487" s="60"/>
      <c r="DAR2487" s="60"/>
      <c r="DAS2487" s="58"/>
      <c r="DAT2487" s="61"/>
      <c r="DAU2487" s="58"/>
      <c r="DAV2487" s="58"/>
      <c r="DAW2487" s="58"/>
      <c r="DAX2487" s="60"/>
      <c r="DAY2487" s="60"/>
      <c r="DAZ2487" s="60"/>
      <c r="DBA2487" s="58"/>
      <c r="DBB2487" s="61"/>
      <c r="DBC2487" s="58"/>
      <c r="DBD2487" s="58"/>
      <c r="DBE2487" s="58"/>
      <c r="DBF2487" s="60"/>
      <c r="DBG2487" s="60"/>
      <c r="DBH2487" s="60"/>
      <c r="DBI2487" s="58"/>
      <c r="DBJ2487" s="61"/>
      <c r="DBK2487" s="58"/>
      <c r="DBL2487" s="58"/>
      <c r="DBM2487" s="58"/>
      <c r="DBN2487" s="60"/>
      <c r="DBO2487" s="60"/>
      <c r="DBP2487" s="60"/>
      <c r="DBQ2487" s="58"/>
      <c r="DBR2487" s="61"/>
      <c r="DBS2487" s="58"/>
      <c r="DBT2487" s="58"/>
      <c r="DBU2487" s="58"/>
      <c r="DBV2487" s="60"/>
      <c r="DBW2487" s="60"/>
      <c r="DBX2487" s="60"/>
      <c r="DBY2487" s="58"/>
      <c r="DBZ2487" s="61"/>
      <c r="DCA2487" s="58"/>
      <c r="DCB2487" s="58"/>
      <c r="DCC2487" s="58"/>
      <c r="DCD2487" s="60"/>
      <c r="DCE2487" s="60"/>
      <c r="DCF2487" s="60"/>
      <c r="DCG2487" s="58"/>
      <c r="DCH2487" s="61"/>
      <c r="DCI2487" s="58"/>
      <c r="DCJ2487" s="58"/>
      <c r="DCK2487" s="58"/>
      <c r="DCL2487" s="60"/>
      <c r="DCM2487" s="60"/>
      <c r="DCN2487" s="60"/>
      <c r="DCO2487" s="58"/>
      <c r="DCP2487" s="61"/>
      <c r="DCQ2487" s="58"/>
      <c r="DCR2487" s="58"/>
      <c r="DCS2487" s="58"/>
      <c r="DCT2487" s="60"/>
      <c r="DCU2487" s="60"/>
      <c r="DCV2487" s="60"/>
      <c r="DCW2487" s="58"/>
      <c r="DCX2487" s="61"/>
      <c r="DCY2487" s="58"/>
      <c r="DCZ2487" s="58"/>
      <c r="DDA2487" s="58"/>
      <c r="DDB2487" s="60"/>
      <c r="DDC2487" s="60"/>
      <c r="DDD2487" s="60"/>
      <c r="DDE2487" s="58"/>
      <c r="DDF2487" s="61"/>
      <c r="DDG2487" s="58"/>
      <c r="DDH2487" s="58"/>
      <c r="DDI2487" s="58"/>
      <c r="DDJ2487" s="60"/>
      <c r="DDK2487" s="60"/>
      <c r="DDL2487" s="60"/>
      <c r="DDM2487" s="58"/>
      <c r="DDN2487" s="61"/>
      <c r="DDO2487" s="58"/>
      <c r="DDP2487" s="58"/>
      <c r="DDQ2487" s="58"/>
      <c r="DDR2487" s="60"/>
      <c r="DDS2487" s="60"/>
      <c r="DDT2487" s="60"/>
      <c r="DDU2487" s="58"/>
      <c r="DDV2487" s="61"/>
      <c r="DDW2487" s="58"/>
      <c r="DDX2487" s="58"/>
      <c r="DDY2487" s="58"/>
      <c r="DDZ2487" s="60"/>
      <c r="DEA2487" s="60"/>
      <c r="DEB2487" s="60"/>
      <c r="DEC2487" s="58"/>
      <c r="DED2487" s="61"/>
      <c r="DEE2487" s="58"/>
      <c r="DEF2487" s="58"/>
      <c r="DEG2487" s="58"/>
      <c r="DEH2487" s="60"/>
      <c r="DEI2487" s="60"/>
      <c r="DEJ2487" s="60"/>
      <c r="DEK2487" s="58"/>
      <c r="DEL2487" s="61"/>
      <c r="DEM2487" s="58"/>
      <c r="DEN2487" s="58"/>
      <c r="DEO2487" s="58"/>
      <c r="DEP2487" s="60"/>
      <c r="DEQ2487" s="60"/>
      <c r="DER2487" s="60"/>
      <c r="DES2487" s="58"/>
      <c r="DET2487" s="61"/>
      <c r="DEU2487" s="58"/>
      <c r="DEV2487" s="58"/>
      <c r="DEW2487" s="58"/>
      <c r="DEX2487" s="60"/>
      <c r="DEY2487" s="60"/>
      <c r="DEZ2487" s="60"/>
      <c r="DFA2487" s="58"/>
      <c r="DFB2487" s="61"/>
      <c r="DFC2487" s="58"/>
      <c r="DFD2487" s="58"/>
      <c r="DFE2487" s="58"/>
      <c r="DFF2487" s="60"/>
      <c r="DFG2487" s="60"/>
      <c r="DFH2487" s="60"/>
      <c r="DFI2487" s="58"/>
      <c r="DFJ2487" s="61"/>
      <c r="DFK2487" s="58"/>
      <c r="DFL2487" s="58"/>
      <c r="DFM2487" s="58"/>
      <c r="DFN2487" s="60"/>
      <c r="DFO2487" s="60"/>
      <c r="DFP2487" s="60"/>
      <c r="DFQ2487" s="58"/>
      <c r="DFR2487" s="61"/>
      <c r="DFS2487" s="58"/>
      <c r="DFT2487" s="58"/>
      <c r="DFU2487" s="58"/>
      <c r="DFV2487" s="60"/>
      <c r="DFW2487" s="60"/>
      <c r="DFX2487" s="60"/>
      <c r="DFY2487" s="58"/>
      <c r="DFZ2487" s="61"/>
      <c r="DGA2487" s="58"/>
      <c r="DGB2487" s="58"/>
      <c r="DGC2487" s="58"/>
      <c r="DGD2487" s="60"/>
      <c r="DGE2487" s="60"/>
      <c r="DGF2487" s="60"/>
      <c r="DGG2487" s="58"/>
      <c r="DGH2487" s="61"/>
      <c r="DGI2487" s="58"/>
      <c r="DGJ2487" s="58"/>
      <c r="DGK2487" s="58"/>
      <c r="DGL2487" s="60"/>
      <c r="DGM2487" s="60"/>
      <c r="DGN2487" s="60"/>
      <c r="DGO2487" s="58"/>
      <c r="DGP2487" s="61"/>
      <c r="DGQ2487" s="58"/>
      <c r="DGR2487" s="58"/>
      <c r="DGS2487" s="58"/>
      <c r="DGT2487" s="60"/>
      <c r="DGU2487" s="60"/>
      <c r="DGV2487" s="60"/>
      <c r="DGW2487" s="58"/>
      <c r="DGX2487" s="61"/>
      <c r="DGY2487" s="58"/>
      <c r="DGZ2487" s="58"/>
      <c r="DHA2487" s="58"/>
      <c r="DHB2487" s="60"/>
      <c r="DHC2487" s="60"/>
      <c r="DHD2487" s="60"/>
      <c r="DHE2487" s="58"/>
      <c r="DHF2487" s="61"/>
      <c r="DHG2487" s="58"/>
      <c r="DHH2487" s="58"/>
      <c r="DHI2487" s="58"/>
      <c r="DHJ2487" s="60"/>
      <c r="DHK2487" s="60"/>
      <c r="DHL2487" s="60"/>
      <c r="DHM2487" s="58"/>
      <c r="DHN2487" s="61"/>
      <c r="DHO2487" s="58"/>
      <c r="DHP2487" s="58"/>
      <c r="DHQ2487" s="58"/>
      <c r="DHR2487" s="60"/>
      <c r="DHS2487" s="60"/>
      <c r="DHT2487" s="60"/>
      <c r="DHU2487" s="58"/>
      <c r="DHV2487" s="61"/>
      <c r="DHW2487" s="58"/>
      <c r="DHX2487" s="58"/>
      <c r="DHY2487" s="58"/>
      <c r="DHZ2487" s="60"/>
      <c r="DIA2487" s="60"/>
      <c r="DIB2487" s="60"/>
      <c r="DIC2487" s="58"/>
      <c r="DID2487" s="61"/>
      <c r="DIE2487" s="58"/>
      <c r="DIF2487" s="58"/>
      <c r="DIG2487" s="58"/>
      <c r="DIH2487" s="60"/>
      <c r="DII2487" s="60"/>
      <c r="DIJ2487" s="60"/>
      <c r="DIK2487" s="58"/>
      <c r="DIL2487" s="61"/>
      <c r="DIM2487" s="58"/>
      <c r="DIN2487" s="58"/>
      <c r="DIO2487" s="58"/>
      <c r="DIP2487" s="60"/>
      <c r="DIQ2487" s="60"/>
      <c r="DIR2487" s="60"/>
      <c r="DIS2487" s="58"/>
      <c r="DIT2487" s="61"/>
      <c r="DIU2487" s="58"/>
      <c r="DIV2487" s="58"/>
      <c r="DIW2487" s="58"/>
      <c r="DIX2487" s="60"/>
      <c r="DIY2487" s="60"/>
      <c r="DIZ2487" s="60"/>
      <c r="DJA2487" s="58"/>
      <c r="DJB2487" s="61"/>
      <c r="DJC2487" s="58"/>
      <c r="DJD2487" s="58"/>
      <c r="DJE2487" s="58"/>
      <c r="DJF2487" s="60"/>
      <c r="DJG2487" s="60"/>
      <c r="DJH2487" s="60"/>
      <c r="DJI2487" s="58"/>
      <c r="DJJ2487" s="61"/>
      <c r="DJK2487" s="58"/>
      <c r="DJL2487" s="58"/>
      <c r="DJM2487" s="58"/>
      <c r="DJN2487" s="60"/>
      <c r="DJO2487" s="60"/>
      <c r="DJP2487" s="60"/>
      <c r="DJQ2487" s="58"/>
      <c r="DJR2487" s="61"/>
      <c r="DJS2487" s="58"/>
      <c r="DJT2487" s="58"/>
      <c r="DJU2487" s="58"/>
      <c r="DJV2487" s="60"/>
      <c r="DJW2487" s="60"/>
      <c r="DJX2487" s="60"/>
      <c r="DJY2487" s="58"/>
      <c r="DJZ2487" s="61"/>
      <c r="DKA2487" s="58"/>
      <c r="DKB2487" s="58"/>
      <c r="DKC2487" s="58"/>
      <c r="DKD2487" s="60"/>
      <c r="DKE2487" s="60"/>
      <c r="DKF2487" s="60"/>
      <c r="DKG2487" s="58"/>
      <c r="DKH2487" s="61"/>
      <c r="DKI2487" s="58"/>
      <c r="DKJ2487" s="58"/>
      <c r="DKK2487" s="58"/>
      <c r="DKL2487" s="60"/>
      <c r="DKM2487" s="60"/>
      <c r="DKN2487" s="60"/>
      <c r="DKO2487" s="58"/>
      <c r="DKP2487" s="61"/>
      <c r="DKQ2487" s="58"/>
      <c r="DKR2487" s="58"/>
      <c r="DKS2487" s="58"/>
      <c r="DKT2487" s="60"/>
      <c r="DKU2487" s="60"/>
      <c r="DKV2487" s="60"/>
      <c r="DKW2487" s="58"/>
      <c r="DKX2487" s="61"/>
      <c r="DKY2487" s="58"/>
      <c r="DKZ2487" s="58"/>
      <c r="DLA2487" s="58"/>
      <c r="DLB2487" s="60"/>
      <c r="DLC2487" s="60"/>
      <c r="DLD2487" s="60"/>
      <c r="DLE2487" s="58"/>
      <c r="DLF2487" s="61"/>
      <c r="DLG2487" s="58"/>
      <c r="DLH2487" s="58"/>
      <c r="DLI2487" s="58"/>
      <c r="DLJ2487" s="60"/>
      <c r="DLK2487" s="60"/>
      <c r="DLL2487" s="60"/>
      <c r="DLM2487" s="58"/>
      <c r="DLN2487" s="61"/>
      <c r="DLO2487" s="58"/>
      <c r="DLP2487" s="58"/>
      <c r="DLQ2487" s="58"/>
      <c r="DLR2487" s="60"/>
      <c r="DLS2487" s="60"/>
      <c r="DLT2487" s="60"/>
      <c r="DLU2487" s="58"/>
      <c r="DLV2487" s="61"/>
      <c r="DLW2487" s="58"/>
      <c r="DLX2487" s="58"/>
      <c r="DLY2487" s="58"/>
      <c r="DLZ2487" s="60"/>
      <c r="DMA2487" s="60"/>
      <c r="DMB2487" s="60"/>
      <c r="DMC2487" s="58"/>
      <c r="DMD2487" s="61"/>
      <c r="DME2487" s="58"/>
      <c r="DMF2487" s="58"/>
      <c r="DMG2487" s="58"/>
      <c r="DMH2487" s="60"/>
      <c r="DMI2487" s="60"/>
      <c r="DMJ2487" s="60"/>
      <c r="DMK2487" s="58"/>
      <c r="DML2487" s="61"/>
      <c r="DMM2487" s="58"/>
      <c r="DMN2487" s="58"/>
      <c r="DMO2487" s="58"/>
      <c r="DMP2487" s="60"/>
      <c r="DMQ2487" s="60"/>
      <c r="DMR2487" s="60"/>
      <c r="DMS2487" s="58"/>
      <c r="DMT2487" s="61"/>
      <c r="DMU2487" s="58"/>
      <c r="DMV2487" s="58"/>
      <c r="DMW2487" s="58"/>
      <c r="DMX2487" s="60"/>
      <c r="DMY2487" s="60"/>
      <c r="DMZ2487" s="60"/>
      <c r="DNA2487" s="58"/>
      <c r="DNB2487" s="61"/>
      <c r="DNC2487" s="58"/>
      <c r="DND2487" s="58"/>
      <c r="DNE2487" s="58"/>
      <c r="DNF2487" s="60"/>
      <c r="DNG2487" s="60"/>
      <c r="DNH2487" s="60"/>
      <c r="DNI2487" s="58"/>
      <c r="DNJ2487" s="61"/>
      <c r="DNK2487" s="58"/>
      <c r="DNL2487" s="58"/>
      <c r="DNM2487" s="58"/>
      <c r="DNN2487" s="60"/>
      <c r="DNO2487" s="60"/>
      <c r="DNP2487" s="60"/>
      <c r="DNQ2487" s="58"/>
      <c r="DNR2487" s="61"/>
      <c r="DNS2487" s="58"/>
      <c r="DNT2487" s="58"/>
      <c r="DNU2487" s="58"/>
      <c r="DNV2487" s="60"/>
      <c r="DNW2487" s="60"/>
      <c r="DNX2487" s="60"/>
      <c r="DNY2487" s="58"/>
      <c r="DNZ2487" s="61"/>
      <c r="DOA2487" s="58"/>
      <c r="DOB2487" s="58"/>
      <c r="DOC2487" s="58"/>
      <c r="DOD2487" s="60"/>
      <c r="DOE2487" s="60"/>
      <c r="DOF2487" s="60"/>
      <c r="DOG2487" s="58"/>
      <c r="DOH2487" s="61"/>
      <c r="DOI2487" s="58"/>
      <c r="DOJ2487" s="58"/>
      <c r="DOK2487" s="58"/>
      <c r="DOL2487" s="60"/>
      <c r="DOM2487" s="60"/>
      <c r="DON2487" s="60"/>
      <c r="DOO2487" s="58"/>
      <c r="DOP2487" s="61"/>
      <c r="DOQ2487" s="58"/>
      <c r="DOR2487" s="58"/>
      <c r="DOS2487" s="58"/>
      <c r="DOT2487" s="60"/>
      <c r="DOU2487" s="60"/>
      <c r="DOV2487" s="60"/>
      <c r="DOW2487" s="58"/>
      <c r="DOX2487" s="61"/>
      <c r="DOY2487" s="58"/>
      <c r="DOZ2487" s="58"/>
      <c r="DPA2487" s="58"/>
      <c r="DPB2487" s="60"/>
      <c r="DPC2487" s="60"/>
      <c r="DPD2487" s="60"/>
      <c r="DPE2487" s="58"/>
      <c r="DPF2487" s="61"/>
      <c r="DPG2487" s="58"/>
      <c r="DPH2487" s="58"/>
      <c r="DPI2487" s="58"/>
      <c r="DPJ2487" s="60"/>
      <c r="DPK2487" s="60"/>
      <c r="DPL2487" s="60"/>
      <c r="DPM2487" s="58"/>
      <c r="DPN2487" s="61"/>
      <c r="DPO2487" s="58"/>
      <c r="DPP2487" s="58"/>
      <c r="DPQ2487" s="58"/>
      <c r="DPR2487" s="60"/>
      <c r="DPS2487" s="60"/>
      <c r="DPT2487" s="60"/>
      <c r="DPU2487" s="58"/>
      <c r="DPV2487" s="61"/>
      <c r="DPW2487" s="58"/>
      <c r="DPX2487" s="58"/>
      <c r="DPY2487" s="58"/>
      <c r="DPZ2487" s="60"/>
      <c r="DQA2487" s="60"/>
      <c r="DQB2487" s="60"/>
      <c r="DQC2487" s="58"/>
      <c r="DQD2487" s="61"/>
      <c r="DQE2487" s="58"/>
      <c r="DQF2487" s="58"/>
      <c r="DQG2487" s="58"/>
      <c r="DQH2487" s="60"/>
      <c r="DQI2487" s="60"/>
      <c r="DQJ2487" s="60"/>
      <c r="DQK2487" s="58"/>
      <c r="DQL2487" s="61"/>
      <c r="DQM2487" s="58"/>
      <c r="DQN2487" s="58"/>
      <c r="DQO2487" s="58"/>
      <c r="DQP2487" s="60"/>
      <c r="DQQ2487" s="60"/>
      <c r="DQR2487" s="60"/>
      <c r="DQS2487" s="58"/>
      <c r="DQT2487" s="61"/>
      <c r="DQU2487" s="58"/>
      <c r="DQV2487" s="58"/>
      <c r="DQW2487" s="58"/>
      <c r="DQX2487" s="60"/>
      <c r="DQY2487" s="60"/>
      <c r="DQZ2487" s="60"/>
      <c r="DRA2487" s="58"/>
      <c r="DRB2487" s="61"/>
      <c r="DRC2487" s="58"/>
      <c r="DRD2487" s="58"/>
      <c r="DRE2487" s="58"/>
      <c r="DRF2487" s="60"/>
      <c r="DRG2487" s="60"/>
      <c r="DRH2487" s="60"/>
      <c r="DRI2487" s="58"/>
      <c r="DRJ2487" s="61"/>
      <c r="DRK2487" s="58"/>
      <c r="DRL2487" s="58"/>
      <c r="DRM2487" s="58"/>
      <c r="DRN2487" s="60"/>
      <c r="DRO2487" s="60"/>
      <c r="DRP2487" s="60"/>
      <c r="DRQ2487" s="58"/>
      <c r="DRR2487" s="61"/>
      <c r="DRS2487" s="58"/>
      <c r="DRT2487" s="58"/>
      <c r="DRU2487" s="58"/>
      <c r="DRV2487" s="60"/>
      <c r="DRW2487" s="60"/>
      <c r="DRX2487" s="60"/>
      <c r="DRY2487" s="58"/>
      <c r="DRZ2487" s="61"/>
      <c r="DSA2487" s="58"/>
      <c r="DSB2487" s="58"/>
      <c r="DSC2487" s="58"/>
      <c r="DSD2487" s="60"/>
      <c r="DSE2487" s="60"/>
      <c r="DSF2487" s="60"/>
      <c r="DSG2487" s="58"/>
      <c r="DSH2487" s="61"/>
      <c r="DSI2487" s="58"/>
      <c r="DSJ2487" s="58"/>
      <c r="DSK2487" s="58"/>
      <c r="DSL2487" s="60"/>
      <c r="DSM2487" s="60"/>
      <c r="DSN2487" s="60"/>
      <c r="DSO2487" s="58"/>
      <c r="DSP2487" s="61"/>
      <c r="DSQ2487" s="58"/>
      <c r="DSR2487" s="58"/>
      <c r="DSS2487" s="58"/>
      <c r="DST2487" s="60"/>
      <c r="DSU2487" s="60"/>
      <c r="DSV2487" s="60"/>
      <c r="DSW2487" s="58"/>
      <c r="DSX2487" s="61"/>
      <c r="DSY2487" s="58"/>
      <c r="DSZ2487" s="58"/>
      <c r="DTA2487" s="58"/>
      <c r="DTB2487" s="60"/>
      <c r="DTC2487" s="60"/>
      <c r="DTD2487" s="60"/>
      <c r="DTE2487" s="58"/>
      <c r="DTF2487" s="61"/>
      <c r="DTG2487" s="58"/>
      <c r="DTH2487" s="58"/>
      <c r="DTI2487" s="58"/>
      <c r="DTJ2487" s="60"/>
      <c r="DTK2487" s="60"/>
      <c r="DTL2487" s="60"/>
      <c r="DTM2487" s="58"/>
      <c r="DTN2487" s="61"/>
      <c r="DTO2487" s="58"/>
      <c r="DTP2487" s="58"/>
      <c r="DTQ2487" s="58"/>
      <c r="DTR2487" s="60"/>
      <c r="DTS2487" s="60"/>
      <c r="DTT2487" s="60"/>
      <c r="DTU2487" s="58"/>
      <c r="DTV2487" s="61"/>
      <c r="DTW2487" s="58"/>
      <c r="DTX2487" s="58"/>
      <c r="DTY2487" s="58"/>
      <c r="DTZ2487" s="60"/>
      <c r="DUA2487" s="60"/>
      <c r="DUB2487" s="60"/>
      <c r="DUC2487" s="58"/>
      <c r="DUD2487" s="61"/>
      <c r="DUE2487" s="58"/>
      <c r="DUF2487" s="58"/>
      <c r="DUG2487" s="58"/>
      <c r="DUH2487" s="60"/>
      <c r="DUI2487" s="60"/>
      <c r="DUJ2487" s="60"/>
      <c r="DUK2487" s="58"/>
      <c r="DUL2487" s="61"/>
      <c r="DUM2487" s="58"/>
      <c r="DUN2487" s="58"/>
      <c r="DUO2487" s="58"/>
      <c r="DUP2487" s="60"/>
      <c r="DUQ2487" s="60"/>
      <c r="DUR2487" s="60"/>
      <c r="DUS2487" s="58"/>
      <c r="DUT2487" s="61"/>
      <c r="DUU2487" s="58"/>
      <c r="DUV2487" s="58"/>
      <c r="DUW2487" s="58"/>
      <c r="DUX2487" s="60"/>
      <c r="DUY2487" s="60"/>
      <c r="DUZ2487" s="60"/>
      <c r="DVA2487" s="58"/>
      <c r="DVB2487" s="61"/>
      <c r="DVC2487" s="58"/>
      <c r="DVD2487" s="58"/>
      <c r="DVE2487" s="58"/>
      <c r="DVF2487" s="60"/>
      <c r="DVG2487" s="60"/>
      <c r="DVH2487" s="60"/>
      <c r="DVI2487" s="58"/>
      <c r="DVJ2487" s="61"/>
      <c r="DVK2487" s="58"/>
      <c r="DVL2487" s="58"/>
      <c r="DVM2487" s="58"/>
      <c r="DVN2487" s="60"/>
      <c r="DVO2487" s="60"/>
      <c r="DVP2487" s="60"/>
      <c r="DVQ2487" s="58"/>
      <c r="DVR2487" s="61"/>
      <c r="DVS2487" s="58"/>
      <c r="DVT2487" s="58"/>
      <c r="DVU2487" s="58"/>
      <c r="DVV2487" s="60"/>
      <c r="DVW2487" s="60"/>
      <c r="DVX2487" s="60"/>
      <c r="DVY2487" s="58"/>
      <c r="DVZ2487" s="61"/>
      <c r="DWA2487" s="58"/>
      <c r="DWB2487" s="58"/>
      <c r="DWC2487" s="58"/>
      <c r="DWD2487" s="60"/>
      <c r="DWE2487" s="60"/>
      <c r="DWF2487" s="60"/>
      <c r="DWG2487" s="58"/>
      <c r="DWH2487" s="61"/>
      <c r="DWI2487" s="58"/>
      <c r="DWJ2487" s="58"/>
      <c r="DWK2487" s="58"/>
      <c r="DWL2487" s="60"/>
      <c r="DWM2487" s="60"/>
      <c r="DWN2487" s="60"/>
      <c r="DWO2487" s="58"/>
      <c r="DWP2487" s="61"/>
      <c r="DWQ2487" s="58"/>
      <c r="DWR2487" s="58"/>
      <c r="DWS2487" s="58"/>
      <c r="DWT2487" s="60"/>
      <c r="DWU2487" s="60"/>
      <c r="DWV2487" s="60"/>
      <c r="DWW2487" s="58"/>
      <c r="DWX2487" s="61"/>
      <c r="DWY2487" s="58"/>
      <c r="DWZ2487" s="58"/>
      <c r="DXA2487" s="58"/>
      <c r="DXB2487" s="60"/>
      <c r="DXC2487" s="60"/>
      <c r="DXD2487" s="60"/>
      <c r="DXE2487" s="58"/>
      <c r="DXF2487" s="61"/>
      <c r="DXG2487" s="58"/>
      <c r="DXH2487" s="58"/>
      <c r="DXI2487" s="58"/>
      <c r="DXJ2487" s="60"/>
      <c r="DXK2487" s="60"/>
      <c r="DXL2487" s="60"/>
      <c r="DXM2487" s="58"/>
      <c r="DXN2487" s="61"/>
      <c r="DXO2487" s="58"/>
      <c r="DXP2487" s="58"/>
      <c r="DXQ2487" s="58"/>
      <c r="DXR2487" s="60"/>
      <c r="DXS2487" s="60"/>
      <c r="DXT2487" s="60"/>
      <c r="DXU2487" s="58"/>
      <c r="DXV2487" s="61"/>
      <c r="DXW2487" s="58"/>
      <c r="DXX2487" s="58"/>
      <c r="DXY2487" s="58"/>
      <c r="DXZ2487" s="60"/>
      <c r="DYA2487" s="60"/>
      <c r="DYB2487" s="60"/>
      <c r="DYC2487" s="58"/>
      <c r="DYD2487" s="61"/>
      <c r="DYE2487" s="58"/>
      <c r="DYF2487" s="58"/>
      <c r="DYG2487" s="58"/>
      <c r="DYH2487" s="60"/>
      <c r="DYI2487" s="60"/>
      <c r="DYJ2487" s="60"/>
      <c r="DYK2487" s="58"/>
      <c r="DYL2487" s="61"/>
      <c r="DYM2487" s="58"/>
      <c r="DYN2487" s="58"/>
      <c r="DYO2487" s="58"/>
      <c r="DYP2487" s="60"/>
      <c r="DYQ2487" s="60"/>
      <c r="DYR2487" s="60"/>
      <c r="DYS2487" s="58"/>
      <c r="DYT2487" s="61"/>
      <c r="DYU2487" s="58"/>
      <c r="DYV2487" s="58"/>
      <c r="DYW2487" s="58"/>
      <c r="DYX2487" s="60"/>
      <c r="DYY2487" s="60"/>
      <c r="DYZ2487" s="60"/>
      <c r="DZA2487" s="58"/>
      <c r="DZB2487" s="61"/>
      <c r="DZC2487" s="58"/>
      <c r="DZD2487" s="58"/>
      <c r="DZE2487" s="58"/>
      <c r="DZF2487" s="60"/>
      <c r="DZG2487" s="60"/>
      <c r="DZH2487" s="60"/>
      <c r="DZI2487" s="58"/>
      <c r="DZJ2487" s="61"/>
      <c r="DZK2487" s="58"/>
      <c r="DZL2487" s="58"/>
      <c r="DZM2487" s="58"/>
      <c r="DZN2487" s="60"/>
      <c r="DZO2487" s="60"/>
      <c r="DZP2487" s="60"/>
      <c r="DZQ2487" s="58"/>
      <c r="DZR2487" s="61"/>
      <c r="DZS2487" s="58"/>
      <c r="DZT2487" s="58"/>
      <c r="DZU2487" s="58"/>
      <c r="DZV2487" s="60"/>
      <c r="DZW2487" s="60"/>
      <c r="DZX2487" s="60"/>
      <c r="DZY2487" s="58"/>
      <c r="DZZ2487" s="61"/>
      <c r="EAA2487" s="58"/>
      <c r="EAB2487" s="58"/>
      <c r="EAC2487" s="58"/>
      <c r="EAD2487" s="60"/>
      <c r="EAE2487" s="60"/>
      <c r="EAF2487" s="60"/>
      <c r="EAG2487" s="58"/>
      <c r="EAH2487" s="61"/>
      <c r="EAI2487" s="58"/>
      <c r="EAJ2487" s="58"/>
      <c r="EAK2487" s="58"/>
      <c r="EAL2487" s="60"/>
      <c r="EAM2487" s="60"/>
      <c r="EAN2487" s="60"/>
      <c r="EAO2487" s="58"/>
      <c r="EAP2487" s="61"/>
      <c r="EAQ2487" s="58"/>
      <c r="EAR2487" s="58"/>
      <c r="EAS2487" s="58"/>
      <c r="EAT2487" s="60"/>
      <c r="EAU2487" s="60"/>
      <c r="EAV2487" s="60"/>
      <c r="EAW2487" s="58"/>
      <c r="EAX2487" s="61"/>
      <c r="EAY2487" s="58"/>
      <c r="EAZ2487" s="58"/>
      <c r="EBA2487" s="58"/>
      <c r="EBB2487" s="60"/>
      <c r="EBC2487" s="60"/>
      <c r="EBD2487" s="60"/>
      <c r="EBE2487" s="58"/>
      <c r="EBF2487" s="61"/>
      <c r="EBG2487" s="58"/>
      <c r="EBH2487" s="58"/>
      <c r="EBI2487" s="58"/>
      <c r="EBJ2487" s="60"/>
      <c r="EBK2487" s="60"/>
      <c r="EBL2487" s="60"/>
      <c r="EBM2487" s="58"/>
      <c r="EBN2487" s="61"/>
      <c r="EBO2487" s="58"/>
      <c r="EBP2487" s="58"/>
      <c r="EBQ2487" s="58"/>
      <c r="EBR2487" s="60"/>
      <c r="EBS2487" s="60"/>
      <c r="EBT2487" s="60"/>
      <c r="EBU2487" s="58"/>
      <c r="EBV2487" s="61"/>
      <c r="EBW2487" s="58"/>
      <c r="EBX2487" s="58"/>
      <c r="EBY2487" s="58"/>
      <c r="EBZ2487" s="60"/>
      <c r="ECA2487" s="60"/>
      <c r="ECB2487" s="60"/>
      <c r="ECC2487" s="58"/>
      <c r="ECD2487" s="61"/>
      <c r="ECE2487" s="58"/>
      <c r="ECF2487" s="58"/>
      <c r="ECG2487" s="58"/>
      <c r="ECH2487" s="60"/>
      <c r="ECI2487" s="60"/>
      <c r="ECJ2487" s="60"/>
      <c r="ECK2487" s="58"/>
      <c r="ECL2487" s="61"/>
      <c r="ECM2487" s="58"/>
      <c r="ECN2487" s="58"/>
      <c r="ECO2487" s="58"/>
      <c r="ECP2487" s="60"/>
      <c r="ECQ2487" s="60"/>
      <c r="ECR2487" s="60"/>
      <c r="ECS2487" s="58"/>
      <c r="ECT2487" s="61"/>
      <c r="ECU2487" s="58"/>
      <c r="ECV2487" s="58"/>
      <c r="ECW2487" s="58"/>
      <c r="ECX2487" s="60"/>
      <c r="ECY2487" s="60"/>
      <c r="ECZ2487" s="60"/>
      <c r="EDA2487" s="58"/>
      <c r="EDB2487" s="61"/>
      <c r="EDC2487" s="58"/>
      <c r="EDD2487" s="58"/>
      <c r="EDE2487" s="58"/>
      <c r="EDF2487" s="60"/>
      <c r="EDG2487" s="60"/>
      <c r="EDH2487" s="60"/>
      <c r="EDI2487" s="58"/>
      <c r="EDJ2487" s="61"/>
      <c r="EDK2487" s="58"/>
      <c r="EDL2487" s="58"/>
      <c r="EDM2487" s="58"/>
      <c r="EDN2487" s="60"/>
      <c r="EDO2487" s="60"/>
      <c r="EDP2487" s="60"/>
      <c r="EDQ2487" s="58"/>
      <c r="EDR2487" s="61"/>
      <c r="EDS2487" s="58"/>
      <c r="EDT2487" s="58"/>
      <c r="EDU2487" s="58"/>
      <c r="EDV2487" s="60"/>
      <c r="EDW2487" s="60"/>
      <c r="EDX2487" s="60"/>
      <c r="EDY2487" s="58"/>
      <c r="EDZ2487" s="61"/>
      <c r="EEA2487" s="58"/>
      <c r="EEB2487" s="58"/>
      <c r="EEC2487" s="58"/>
      <c r="EED2487" s="60"/>
      <c r="EEE2487" s="60"/>
      <c r="EEF2487" s="60"/>
      <c r="EEG2487" s="58"/>
      <c r="EEH2487" s="61"/>
      <c r="EEI2487" s="58"/>
      <c r="EEJ2487" s="58"/>
      <c r="EEK2487" s="58"/>
      <c r="EEL2487" s="60"/>
      <c r="EEM2487" s="60"/>
      <c r="EEN2487" s="60"/>
      <c r="EEO2487" s="58"/>
      <c r="EEP2487" s="61"/>
      <c r="EEQ2487" s="58"/>
      <c r="EER2487" s="58"/>
      <c r="EES2487" s="58"/>
      <c r="EET2487" s="60"/>
      <c r="EEU2487" s="60"/>
      <c r="EEV2487" s="60"/>
      <c r="EEW2487" s="58"/>
      <c r="EEX2487" s="61"/>
      <c r="EEY2487" s="58"/>
      <c r="EEZ2487" s="58"/>
      <c r="EFA2487" s="58"/>
      <c r="EFB2487" s="60"/>
      <c r="EFC2487" s="60"/>
      <c r="EFD2487" s="60"/>
      <c r="EFE2487" s="58"/>
      <c r="EFF2487" s="61"/>
      <c r="EFG2487" s="58"/>
      <c r="EFH2487" s="58"/>
      <c r="EFI2487" s="58"/>
      <c r="EFJ2487" s="60"/>
      <c r="EFK2487" s="60"/>
      <c r="EFL2487" s="60"/>
      <c r="EFM2487" s="58"/>
      <c r="EFN2487" s="61"/>
      <c r="EFO2487" s="58"/>
      <c r="EFP2487" s="58"/>
      <c r="EFQ2487" s="58"/>
      <c r="EFR2487" s="60"/>
      <c r="EFS2487" s="60"/>
      <c r="EFT2487" s="60"/>
      <c r="EFU2487" s="58"/>
      <c r="EFV2487" s="61"/>
      <c r="EFW2487" s="58"/>
      <c r="EFX2487" s="58"/>
      <c r="EFY2487" s="58"/>
      <c r="EFZ2487" s="60"/>
      <c r="EGA2487" s="60"/>
      <c r="EGB2487" s="60"/>
      <c r="EGC2487" s="58"/>
      <c r="EGD2487" s="61"/>
      <c r="EGE2487" s="58"/>
      <c r="EGF2487" s="58"/>
      <c r="EGG2487" s="58"/>
      <c r="EGH2487" s="60"/>
      <c r="EGI2487" s="60"/>
      <c r="EGJ2487" s="60"/>
      <c r="EGK2487" s="58"/>
      <c r="EGL2487" s="61"/>
      <c r="EGM2487" s="58"/>
      <c r="EGN2487" s="58"/>
      <c r="EGO2487" s="58"/>
      <c r="EGP2487" s="60"/>
      <c r="EGQ2487" s="60"/>
      <c r="EGR2487" s="60"/>
      <c r="EGS2487" s="58"/>
      <c r="EGT2487" s="61"/>
      <c r="EGU2487" s="58"/>
      <c r="EGV2487" s="58"/>
      <c r="EGW2487" s="58"/>
      <c r="EGX2487" s="60"/>
      <c r="EGY2487" s="60"/>
      <c r="EGZ2487" s="60"/>
      <c r="EHA2487" s="58"/>
      <c r="EHB2487" s="61"/>
      <c r="EHC2487" s="58"/>
      <c r="EHD2487" s="58"/>
      <c r="EHE2487" s="58"/>
      <c r="EHF2487" s="60"/>
      <c r="EHG2487" s="60"/>
      <c r="EHH2487" s="60"/>
      <c r="EHI2487" s="58"/>
      <c r="EHJ2487" s="61"/>
      <c r="EHK2487" s="58"/>
      <c r="EHL2487" s="58"/>
      <c r="EHM2487" s="58"/>
      <c r="EHN2487" s="60"/>
      <c r="EHO2487" s="60"/>
      <c r="EHP2487" s="60"/>
      <c r="EHQ2487" s="58"/>
      <c r="EHR2487" s="61"/>
      <c r="EHS2487" s="58"/>
      <c r="EHT2487" s="58"/>
      <c r="EHU2487" s="58"/>
      <c r="EHV2487" s="60"/>
      <c r="EHW2487" s="60"/>
      <c r="EHX2487" s="60"/>
      <c r="EHY2487" s="58"/>
      <c r="EHZ2487" s="61"/>
      <c r="EIA2487" s="58"/>
      <c r="EIB2487" s="58"/>
      <c r="EIC2487" s="58"/>
      <c r="EID2487" s="60"/>
      <c r="EIE2487" s="60"/>
      <c r="EIF2487" s="60"/>
      <c r="EIG2487" s="58"/>
      <c r="EIH2487" s="61"/>
      <c r="EII2487" s="58"/>
      <c r="EIJ2487" s="58"/>
      <c r="EIK2487" s="58"/>
      <c r="EIL2487" s="60"/>
      <c r="EIM2487" s="60"/>
      <c r="EIN2487" s="60"/>
      <c r="EIO2487" s="58"/>
      <c r="EIP2487" s="61"/>
      <c r="EIQ2487" s="58"/>
      <c r="EIR2487" s="58"/>
      <c r="EIS2487" s="58"/>
      <c r="EIT2487" s="60"/>
      <c r="EIU2487" s="60"/>
      <c r="EIV2487" s="60"/>
      <c r="EIW2487" s="58"/>
      <c r="EIX2487" s="61"/>
      <c r="EIY2487" s="58"/>
      <c r="EIZ2487" s="58"/>
      <c r="EJA2487" s="58"/>
      <c r="EJB2487" s="60"/>
      <c r="EJC2487" s="60"/>
      <c r="EJD2487" s="60"/>
      <c r="EJE2487" s="58"/>
      <c r="EJF2487" s="61"/>
      <c r="EJG2487" s="58"/>
      <c r="EJH2487" s="58"/>
      <c r="EJI2487" s="58"/>
      <c r="EJJ2487" s="60"/>
      <c r="EJK2487" s="60"/>
      <c r="EJL2487" s="60"/>
      <c r="EJM2487" s="58"/>
      <c r="EJN2487" s="61"/>
      <c r="EJO2487" s="58"/>
      <c r="EJP2487" s="58"/>
      <c r="EJQ2487" s="58"/>
      <c r="EJR2487" s="60"/>
      <c r="EJS2487" s="60"/>
      <c r="EJT2487" s="60"/>
      <c r="EJU2487" s="58"/>
      <c r="EJV2487" s="61"/>
      <c r="EJW2487" s="58"/>
      <c r="EJX2487" s="58"/>
      <c r="EJY2487" s="58"/>
      <c r="EJZ2487" s="60"/>
      <c r="EKA2487" s="60"/>
      <c r="EKB2487" s="60"/>
      <c r="EKC2487" s="58"/>
      <c r="EKD2487" s="61"/>
      <c r="EKE2487" s="58"/>
      <c r="EKF2487" s="58"/>
      <c r="EKG2487" s="58"/>
      <c r="EKH2487" s="60"/>
      <c r="EKI2487" s="60"/>
      <c r="EKJ2487" s="60"/>
      <c r="EKK2487" s="58"/>
      <c r="EKL2487" s="61"/>
      <c r="EKM2487" s="58"/>
      <c r="EKN2487" s="58"/>
      <c r="EKO2487" s="58"/>
      <c r="EKP2487" s="60"/>
      <c r="EKQ2487" s="60"/>
      <c r="EKR2487" s="60"/>
      <c r="EKS2487" s="58"/>
      <c r="EKT2487" s="61"/>
      <c r="EKU2487" s="58"/>
      <c r="EKV2487" s="58"/>
      <c r="EKW2487" s="58"/>
      <c r="EKX2487" s="60"/>
      <c r="EKY2487" s="60"/>
      <c r="EKZ2487" s="60"/>
      <c r="ELA2487" s="58"/>
      <c r="ELB2487" s="61"/>
      <c r="ELC2487" s="58"/>
      <c r="ELD2487" s="58"/>
      <c r="ELE2487" s="58"/>
      <c r="ELF2487" s="60"/>
      <c r="ELG2487" s="60"/>
      <c r="ELH2487" s="60"/>
      <c r="ELI2487" s="58"/>
      <c r="ELJ2487" s="61"/>
      <c r="ELK2487" s="58"/>
      <c r="ELL2487" s="58"/>
      <c r="ELM2487" s="58"/>
      <c r="ELN2487" s="60"/>
      <c r="ELO2487" s="60"/>
      <c r="ELP2487" s="60"/>
      <c r="ELQ2487" s="58"/>
      <c r="ELR2487" s="61"/>
      <c r="ELS2487" s="58"/>
      <c r="ELT2487" s="58"/>
      <c r="ELU2487" s="58"/>
      <c r="ELV2487" s="60"/>
      <c r="ELW2487" s="60"/>
      <c r="ELX2487" s="60"/>
      <c r="ELY2487" s="58"/>
      <c r="ELZ2487" s="61"/>
      <c r="EMA2487" s="58"/>
      <c r="EMB2487" s="58"/>
      <c r="EMC2487" s="58"/>
      <c r="EMD2487" s="60"/>
      <c r="EME2487" s="60"/>
      <c r="EMF2487" s="60"/>
      <c r="EMG2487" s="58"/>
      <c r="EMH2487" s="61"/>
      <c r="EMI2487" s="58"/>
      <c r="EMJ2487" s="58"/>
      <c r="EMK2487" s="58"/>
      <c r="EML2487" s="60"/>
      <c r="EMM2487" s="60"/>
      <c r="EMN2487" s="60"/>
      <c r="EMO2487" s="58"/>
      <c r="EMP2487" s="61"/>
      <c r="EMQ2487" s="58"/>
      <c r="EMR2487" s="58"/>
      <c r="EMS2487" s="58"/>
      <c r="EMT2487" s="60"/>
      <c r="EMU2487" s="60"/>
      <c r="EMV2487" s="60"/>
      <c r="EMW2487" s="58"/>
      <c r="EMX2487" s="61"/>
      <c r="EMY2487" s="58"/>
      <c r="EMZ2487" s="58"/>
      <c r="ENA2487" s="58"/>
      <c r="ENB2487" s="60"/>
      <c r="ENC2487" s="60"/>
      <c r="END2487" s="60"/>
      <c r="ENE2487" s="58"/>
      <c r="ENF2487" s="61"/>
      <c r="ENG2487" s="58"/>
      <c r="ENH2487" s="58"/>
      <c r="ENI2487" s="58"/>
      <c r="ENJ2487" s="60"/>
      <c r="ENK2487" s="60"/>
      <c r="ENL2487" s="60"/>
      <c r="ENM2487" s="58"/>
      <c r="ENN2487" s="61"/>
      <c r="ENO2487" s="58"/>
      <c r="ENP2487" s="58"/>
      <c r="ENQ2487" s="58"/>
      <c r="ENR2487" s="60"/>
      <c r="ENS2487" s="60"/>
      <c r="ENT2487" s="60"/>
      <c r="ENU2487" s="58"/>
      <c r="ENV2487" s="61"/>
      <c r="ENW2487" s="58"/>
      <c r="ENX2487" s="58"/>
      <c r="ENY2487" s="58"/>
      <c r="ENZ2487" s="60"/>
      <c r="EOA2487" s="60"/>
      <c r="EOB2487" s="60"/>
      <c r="EOC2487" s="58"/>
      <c r="EOD2487" s="61"/>
      <c r="EOE2487" s="58"/>
      <c r="EOF2487" s="58"/>
      <c r="EOG2487" s="58"/>
      <c r="EOH2487" s="60"/>
      <c r="EOI2487" s="60"/>
      <c r="EOJ2487" s="60"/>
      <c r="EOK2487" s="58"/>
      <c r="EOL2487" s="61"/>
      <c r="EOM2487" s="58"/>
      <c r="EON2487" s="58"/>
      <c r="EOO2487" s="58"/>
      <c r="EOP2487" s="60"/>
      <c r="EOQ2487" s="60"/>
      <c r="EOR2487" s="60"/>
      <c r="EOS2487" s="58"/>
      <c r="EOT2487" s="61"/>
      <c r="EOU2487" s="58"/>
      <c r="EOV2487" s="58"/>
      <c r="EOW2487" s="58"/>
      <c r="EOX2487" s="60"/>
      <c r="EOY2487" s="60"/>
      <c r="EOZ2487" s="60"/>
      <c r="EPA2487" s="58"/>
      <c r="EPB2487" s="61"/>
      <c r="EPC2487" s="58"/>
      <c r="EPD2487" s="58"/>
      <c r="EPE2487" s="58"/>
      <c r="EPF2487" s="60"/>
      <c r="EPG2487" s="60"/>
      <c r="EPH2487" s="60"/>
      <c r="EPI2487" s="58"/>
      <c r="EPJ2487" s="61"/>
      <c r="EPK2487" s="58"/>
      <c r="EPL2487" s="58"/>
      <c r="EPM2487" s="58"/>
      <c r="EPN2487" s="60"/>
      <c r="EPO2487" s="60"/>
      <c r="EPP2487" s="60"/>
      <c r="EPQ2487" s="58"/>
      <c r="EPR2487" s="61"/>
      <c r="EPS2487" s="58"/>
      <c r="EPT2487" s="58"/>
      <c r="EPU2487" s="58"/>
      <c r="EPV2487" s="60"/>
      <c r="EPW2487" s="60"/>
      <c r="EPX2487" s="60"/>
      <c r="EPY2487" s="58"/>
      <c r="EPZ2487" s="61"/>
      <c r="EQA2487" s="58"/>
      <c r="EQB2487" s="58"/>
      <c r="EQC2487" s="58"/>
      <c r="EQD2487" s="60"/>
      <c r="EQE2487" s="60"/>
      <c r="EQF2487" s="60"/>
      <c r="EQG2487" s="58"/>
      <c r="EQH2487" s="61"/>
      <c r="EQI2487" s="58"/>
      <c r="EQJ2487" s="58"/>
      <c r="EQK2487" s="58"/>
      <c r="EQL2487" s="60"/>
      <c r="EQM2487" s="60"/>
      <c r="EQN2487" s="60"/>
      <c r="EQO2487" s="58"/>
      <c r="EQP2487" s="61"/>
      <c r="EQQ2487" s="58"/>
      <c r="EQR2487" s="58"/>
      <c r="EQS2487" s="58"/>
      <c r="EQT2487" s="60"/>
      <c r="EQU2487" s="60"/>
      <c r="EQV2487" s="60"/>
      <c r="EQW2487" s="58"/>
      <c r="EQX2487" s="61"/>
      <c r="EQY2487" s="58"/>
      <c r="EQZ2487" s="58"/>
      <c r="ERA2487" s="58"/>
      <c r="ERB2487" s="60"/>
      <c r="ERC2487" s="60"/>
      <c r="ERD2487" s="60"/>
      <c r="ERE2487" s="58"/>
      <c r="ERF2487" s="61"/>
      <c r="ERG2487" s="58"/>
      <c r="ERH2487" s="58"/>
      <c r="ERI2487" s="58"/>
      <c r="ERJ2487" s="60"/>
      <c r="ERK2487" s="60"/>
      <c r="ERL2487" s="60"/>
      <c r="ERM2487" s="58"/>
      <c r="ERN2487" s="61"/>
      <c r="ERO2487" s="58"/>
      <c r="ERP2487" s="58"/>
      <c r="ERQ2487" s="58"/>
      <c r="ERR2487" s="60"/>
      <c r="ERS2487" s="60"/>
      <c r="ERT2487" s="60"/>
      <c r="ERU2487" s="58"/>
      <c r="ERV2487" s="61"/>
      <c r="ERW2487" s="58"/>
      <c r="ERX2487" s="58"/>
      <c r="ERY2487" s="58"/>
      <c r="ERZ2487" s="60"/>
      <c r="ESA2487" s="60"/>
      <c r="ESB2487" s="60"/>
      <c r="ESC2487" s="58"/>
      <c r="ESD2487" s="61"/>
      <c r="ESE2487" s="58"/>
      <c r="ESF2487" s="58"/>
      <c r="ESG2487" s="58"/>
      <c r="ESH2487" s="60"/>
      <c r="ESI2487" s="60"/>
      <c r="ESJ2487" s="60"/>
      <c r="ESK2487" s="58"/>
      <c r="ESL2487" s="61"/>
      <c r="ESM2487" s="58"/>
      <c r="ESN2487" s="58"/>
      <c r="ESO2487" s="58"/>
      <c r="ESP2487" s="60"/>
      <c r="ESQ2487" s="60"/>
      <c r="ESR2487" s="60"/>
      <c r="ESS2487" s="58"/>
      <c r="EST2487" s="61"/>
      <c r="ESU2487" s="58"/>
      <c r="ESV2487" s="58"/>
      <c r="ESW2487" s="58"/>
      <c r="ESX2487" s="60"/>
      <c r="ESY2487" s="60"/>
      <c r="ESZ2487" s="60"/>
      <c r="ETA2487" s="58"/>
      <c r="ETB2487" s="61"/>
      <c r="ETC2487" s="58"/>
      <c r="ETD2487" s="58"/>
      <c r="ETE2487" s="58"/>
      <c r="ETF2487" s="60"/>
      <c r="ETG2487" s="60"/>
      <c r="ETH2487" s="60"/>
      <c r="ETI2487" s="58"/>
      <c r="ETJ2487" s="61"/>
      <c r="ETK2487" s="58"/>
      <c r="ETL2487" s="58"/>
      <c r="ETM2487" s="58"/>
      <c r="ETN2487" s="60"/>
      <c r="ETO2487" s="60"/>
      <c r="ETP2487" s="60"/>
      <c r="ETQ2487" s="58"/>
      <c r="ETR2487" s="61"/>
      <c r="ETS2487" s="58"/>
      <c r="ETT2487" s="58"/>
      <c r="ETU2487" s="58"/>
      <c r="ETV2487" s="60"/>
      <c r="ETW2487" s="60"/>
      <c r="ETX2487" s="60"/>
      <c r="ETY2487" s="58"/>
      <c r="ETZ2487" s="61"/>
      <c r="EUA2487" s="58"/>
      <c r="EUB2487" s="58"/>
      <c r="EUC2487" s="58"/>
      <c r="EUD2487" s="60"/>
      <c r="EUE2487" s="60"/>
      <c r="EUF2487" s="60"/>
      <c r="EUG2487" s="58"/>
      <c r="EUH2487" s="61"/>
      <c r="EUI2487" s="58"/>
      <c r="EUJ2487" s="58"/>
      <c r="EUK2487" s="58"/>
      <c r="EUL2487" s="60"/>
      <c r="EUM2487" s="60"/>
      <c r="EUN2487" s="60"/>
      <c r="EUO2487" s="58"/>
      <c r="EUP2487" s="61"/>
      <c r="EUQ2487" s="58"/>
      <c r="EUR2487" s="58"/>
      <c r="EUS2487" s="58"/>
      <c r="EUT2487" s="60"/>
      <c r="EUU2487" s="60"/>
      <c r="EUV2487" s="60"/>
      <c r="EUW2487" s="58"/>
      <c r="EUX2487" s="61"/>
      <c r="EUY2487" s="58"/>
      <c r="EUZ2487" s="58"/>
      <c r="EVA2487" s="58"/>
      <c r="EVB2487" s="60"/>
      <c r="EVC2487" s="60"/>
      <c r="EVD2487" s="60"/>
      <c r="EVE2487" s="58"/>
      <c r="EVF2487" s="61"/>
      <c r="EVG2487" s="58"/>
      <c r="EVH2487" s="58"/>
      <c r="EVI2487" s="58"/>
      <c r="EVJ2487" s="60"/>
      <c r="EVK2487" s="60"/>
      <c r="EVL2487" s="60"/>
      <c r="EVM2487" s="58"/>
      <c r="EVN2487" s="61"/>
      <c r="EVO2487" s="58"/>
      <c r="EVP2487" s="58"/>
      <c r="EVQ2487" s="58"/>
      <c r="EVR2487" s="60"/>
      <c r="EVS2487" s="60"/>
      <c r="EVT2487" s="60"/>
      <c r="EVU2487" s="58"/>
      <c r="EVV2487" s="61"/>
      <c r="EVW2487" s="58"/>
      <c r="EVX2487" s="58"/>
      <c r="EVY2487" s="58"/>
      <c r="EVZ2487" s="60"/>
      <c r="EWA2487" s="60"/>
      <c r="EWB2487" s="60"/>
      <c r="EWC2487" s="58"/>
      <c r="EWD2487" s="61"/>
      <c r="EWE2487" s="58"/>
      <c r="EWF2487" s="58"/>
      <c r="EWG2487" s="58"/>
      <c r="EWH2487" s="60"/>
      <c r="EWI2487" s="60"/>
      <c r="EWJ2487" s="60"/>
      <c r="EWK2487" s="58"/>
      <c r="EWL2487" s="61"/>
      <c r="EWM2487" s="58"/>
      <c r="EWN2487" s="58"/>
      <c r="EWO2487" s="58"/>
      <c r="EWP2487" s="60"/>
      <c r="EWQ2487" s="60"/>
      <c r="EWR2487" s="60"/>
      <c r="EWS2487" s="58"/>
      <c r="EWT2487" s="61"/>
      <c r="EWU2487" s="58"/>
      <c r="EWV2487" s="58"/>
      <c r="EWW2487" s="58"/>
      <c r="EWX2487" s="60"/>
      <c r="EWY2487" s="60"/>
      <c r="EWZ2487" s="60"/>
      <c r="EXA2487" s="58"/>
      <c r="EXB2487" s="61"/>
      <c r="EXC2487" s="58"/>
      <c r="EXD2487" s="58"/>
      <c r="EXE2487" s="58"/>
      <c r="EXF2487" s="60"/>
      <c r="EXG2487" s="60"/>
      <c r="EXH2487" s="60"/>
      <c r="EXI2487" s="58"/>
      <c r="EXJ2487" s="61"/>
      <c r="EXK2487" s="58"/>
      <c r="EXL2487" s="58"/>
      <c r="EXM2487" s="58"/>
      <c r="EXN2487" s="60"/>
      <c r="EXO2487" s="60"/>
      <c r="EXP2487" s="60"/>
      <c r="EXQ2487" s="58"/>
      <c r="EXR2487" s="61"/>
      <c r="EXS2487" s="58"/>
      <c r="EXT2487" s="58"/>
      <c r="EXU2487" s="58"/>
      <c r="EXV2487" s="60"/>
      <c r="EXW2487" s="60"/>
      <c r="EXX2487" s="60"/>
      <c r="EXY2487" s="58"/>
      <c r="EXZ2487" s="61"/>
      <c r="EYA2487" s="58"/>
      <c r="EYB2487" s="58"/>
      <c r="EYC2487" s="58"/>
      <c r="EYD2487" s="60"/>
      <c r="EYE2487" s="60"/>
      <c r="EYF2487" s="60"/>
      <c r="EYG2487" s="58"/>
      <c r="EYH2487" s="61"/>
      <c r="EYI2487" s="58"/>
      <c r="EYJ2487" s="58"/>
      <c r="EYK2487" s="58"/>
      <c r="EYL2487" s="60"/>
      <c r="EYM2487" s="60"/>
      <c r="EYN2487" s="60"/>
      <c r="EYO2487" s="58"/>
      <c r="EYP2487" s="61"/>
      <c r="EYQ2487" s="58"/>
      <c r="EYR2487" s="58"/>
      <c r="EYS2487" s="58"/>
      <c r="EYT2487" s="60"/>
      <c r="EYU2487" s="60"/>
      <c r="EYV2487" s="60"/>
      <c r="EYW2487" s="58"/>
      <c r="EYX2487" s="61"/>
      <c r="EYY2487" s="58"/>
      <c r="EYZ2487" s="58"/>
      <c r="EZA2487" s="58"/>
      <c r="EZB2487" s="60"/>
      <c r="EZC2487" s="60"/>
      <c r="EZD2487" s="60"/>
      <c r="EZE2487" s="58"/>
      <c r="EZF2487" s="61"/>
      <c r="EZG2487" s="58"/>
      <c r="EZH2487" s="58"/>
      <c r="EZI2487" s="58"/>
      <c r="EZJ2487" s="60"/>
      <c r="EZK2487" s="60"/>
      <c r="EZL2487" s="60"/>
      <c r="EZM2487" s="58"/>
      <c r="EZN2487" s="61"/>
      <c r="EZO2487" s="58"/>
      <c r="EZP2487" s="58"/>
      <c r="EZQ2487" s="58"/>
      <c r="EZR2487" s="60"/>
      <c r="EZS2487" s="60"/>
      <c r="EZT2487" s="60"/>
      <c r="EZU2487" s="58"/>
      <c r="EZV2487" s="61"/>
      <c r="EZW2487" s="58"/>
      <c r="EZX2487" s="58"/>
      <c r="EZY2487" s="58"/>
      <c r="EZZ2487" s="60"/>
      <c r="FAA2487" s="60"/>
      <c r="FAB2487" s="60"/>
      <c r="FAC2487" s="58"/>
      <c r="FAD2487" s="61"/>
      <c r="FAE2487" s="58"/>
      <c r="FAF2487" s="58"/>
      <c r="FAG2487" s="58"/>
      <c r="FAH2487" s="60"/>
      <c r="FAI2487" s="60"/>
      <c r="FAJ2487" s="60"/>
      <c r="FAK2487" s="58"/>
      <c r="FAL2487" s="61"/>
      <c r="FAM2487" s="58"/>
      <c r="FAN2487" s="58"/>
      <c r="FAO2487" s="58"/>
      <c r="FAP2487" s="60"/>
      <c r="FAQ2487" s="60"/>
      <c r="FAR2487" s="60"/>
      <c r="FAS2487" s="58"/>
      <c r="FAT2487" s="61"/>
      <c r="FAU2487" s="58"/>
      <c r="FAV2487" s="58"/>
      <c r="FAW2487" s="58"/>
      <c r="FAX2487" s="60"/>
      <c r="FAY2487" s="60"/>
      <c r="FAZ2487" s="60"/>
      <c r="FBA2487" s="58"/>
      <c r="FBB2487" s="61"/>
      <c r="FBC2487" s="58"/>
      <c r="FBD2487" s="58"/>
      <c r="FBE2487" s="58"/>
      <c r="FBF2487" s="60"/>
      <c r="FBG2487" s="60"/>
      <c r="FBH2487" s="60"/>
      <c r="FBI2487" s="58"/>
      <c r="FBJ2487" s="61"/>
      <c r="FBK2487" s="58"/>
      <c r="FBL2487" s="58"/>
      <c r="FBM2487" s="58"/>
      <c r="FBN2487" s="60"/>
      <c r="FBO2487" s="60"/>
      <c r="FBP2487" s="60"/>
      <c r="FBQ2487" s="58"/>
      <c r="FBR2487" s="61"/>
      <c r="FBS2487" s="58"/>
      <c r="FBT2487" s="58"/>
      <c r="FBU2487" s="58"/>
      <c r="FBV2487" s="60"/>
      <c r="FBW2487" s="60"/>
      <c r="FBX2487" s="60"/>
      <c r="FBY2487" s="58"/>
      <c r="FBZ2487" s="61"/>
      <c r="FCA2487" s="58"/>
      <c r="FCB2487" s="58"/>
      <c r="FCC2487" s="58"/>
      <c r="FCD2487" s="60"/>
      <c r="FCE2487" s="60"/>
      <c r="FCF2487" s="60"/>
      <c r="FCG2487" s="58"/>
      <c r="FCH2487" s="61"/>
      <c r="FCI2487" s="58"/>
      <c r="FCJ2487" s="58"/>
      <c r="FCK2487" s="58"/>
      <c r="FCL2487" s="60"/>
      <c r="FCM2487" s="60"/>
      <c r="FCN2487" s="60"/>
      <c r="FCO2487" s="58"/>
      <c r="FCP2487" s="61"/>
      <c r="FCQ2487" s="58"/>
      <c r="FCR2487" s="58"/>
      <c r="FCS2487" s="58"/>
      <c r="FCT2487" s="60"/>
      <c r="FCU2487" s="60"/>
      <c r="FCV2487" s="60"/>
      <c r="FCW2487" s="58"/>
      <c r="FCX2487" s="61"/>
      <c r="FCY2487" s="58"/>
      <c r="FCZ2487" s="58"/>
      <c r="FDA2487" s="58"/>
      <c r="FDB2487" s="60"/>
      <c r="FDC2487" s="60"/>
      <c r="FDD2487" s="60"/>
      <c r="FDE2487" s="58"/>
      <c r="FDF2487" s="61"/>
      <c r="FDG2487" s="58"/>
      <c r="FDH2487" s="58"/>
      <c r="FDI2487" s="58"/>
      <c r="FDJ2487" s="60"/>
      <c r="FDK2487" s="60"/>
      <c r="FDL2487" s="60"/>
      <c r="FDM2487" s="58"/>
      <c r="FDN2487" s="61"/>
      <c r="FDO2487" s="58"/>
      <c r="FDP2487" s="58"/>
      <c r="FDQ2487" s="58"/>
      <c r="FDR2487" s="60"/>
      <c r="FDS2487" s="60"/>
      <c r="FDT2487" s="60"/>
      <c r="FDU2487" s="58"/>
      <c r="FDV2487" s="61"/>
      <c r="FDW2487" s="58"/>
      <c r="FDX2487" s="58"/>
      <c r="FDY2487" s="58"/>
      <c r="FDZ2487" s="60"/>
      <c r="FEA2487" s="60"/>
      <c r="FEB2487" s="60"/>
      <c r="FEC2487" s="58"/>
      <c r="FED2487" s="61"/>
      <c r="FEE2487" s="58"/>
      <c r="FEF2487" s="58"/>
      <c r="FEG2487" s="58"/>
      <c r="FEH2487" s="60"/>
      <c r="FEI2487" s="60"/>
      <c r="FEJ2487" s="60"/>
      <c r="FEK2487" s="58"/>
      <c r="FEL2487" s="61"/>
      <c r="FEM2487" s="58"/>
      <c r="FEN2487" s="58"/>
      <c r="FEO2487" s="58"/>
      <c r="FEP2487" s="60"/>
      <c r="FEQ2487" s="60"/>
      <c r="FER2487" s="60"/>
      <c r="FES2487" s="58"/>
      <c r="FET2487" s="61"/>
      <c r="FEU2487" s="58"/>
      <c r="FEV2487" s="58"/>
      <c r="FEW2487" s="58"/>
      <c r="FEX2487" s="60"/>
      <c r="FEY2487" s="60"/>
      <c r="FEZ2487" s="60"/>
      <c r="FFA2487" s="58"/>
      <c r="FFB2487" s="61"/>
      <c r="FFC2487" s="58"/>
      <c r="FFD2487" s="58"/>
      <c r="FFE2487" s="58"/>
      <c r="FFF2487" s="60"/>
      <c r="FFG2487" s="60"/>
      <c r="FFH2487" s="60"/>
      <c r="FFI2487" s="58"/>
      <c r="FFJ2487" s="61"/>
      <c r="FFK2487" s="58"/>
      <c r="FFL2487" s="58"/>
      <c r="FFM2487" s="58"/>
      <c r="FFN2487" s="60"/>
      <c r="FFO2487" s="60"/>
      <c r="FFP2487" s="60"/>
      <c r="FFQ2487" s="58"/>
      <c r="FFR2487" s="61"/>
      <c r="FFS2487" s="58"/>
      <c r="FFT2487" s="58"/>
      <c r="FFU2487" s="58"/>
      <c r="FFV2487" s="60"/>
      <c r="FFW2487" s="60"/>
      <c r="FFX2487" s="60"/>
      <c r="FFY2487" s="58"/>
      <c r="FFZ2487" s="61"/>
      <c r="FGA2487" s="58"/>
      <c r="FGB2487" s="58"/>
      <c r="FGC2487" s="58"/>
      <c r="FGD2487" s="60"/>
      <c r="FGE2487" s="60"/>
      <c r="FGF2487" s="60"/>
      <c r="FGG2487" s="58"/>
      <c r="FGH2487" s="61"/>
      <c r="FGI2487" s="58"/>
      <c r="FGJ2487" s="58"/>
      <c r="FGK2487" s="58"/>
      <c r="FGL2487" s="60"/>
      <c r="FGM2487" s="60"/>
      <c r="FGN2487" s="60"/>
      <c r="FGO2487" s="58"/>
      <c r="FGP2487" s="61"/>
      <c r="FGQ2487" s="58"/>
      <c r="FGR2487" s="58"/>
      <c r="FGS2487" s="58"/>
      <c r="FGT2487" s="60"/>
      <c r="FGU2487" s="60"/>
      <c r="FGV2487" s="60"/>
      <c r="FGW2487" s="58"/>
      <c r="FGX2487" s="61"/>
      <c r="FGY2487" s="58"/>
      <c r="FGZ2487" s="58"/>
      <c r="FHA2487" s="58"/>
      <c r="FHB2487" s="60"/>
      <c r="FHC2487" s="60"/>
      <c r="FHD2487" s="60"/>
      <c r="FHE2487" s="58"/>
      <c r="FHF2487" s="61"/>
      <c r="FHG2487" s="58"/>
      <c r="FHH2487" s="58"/>
      <c r="FHI2487" s="58"/>
      <c r="FHJ2487" s="60"/>
      <c r="FHK2487" s="60"/>
      <c r="FHL2487" s="60"/>
      <c r="FHM2487" s="58"/>
      <c r="FHN2487" s="61"/>
      <c r="FHO2487" s="58"/>
      <c r="FHP2487" s="58"/>
      <c r="FHQ2487" s="58"/>
      <c r="FHR2487" s="60"/>
      <c r="FHS2487" s="60"/>
      <c r="FHT2487" s="60"/>
      <c r="FHU2487" s="58"/>
      <c r="FHV2487" s="61"/>
      <c r="FHW2487" s="58"/>
      <c r="FHX2487" s="58"/>
      <c r="FHY2487" s="58"/>
      <c r="FHZ2487" s="60"/>
      <c r="FIA2487" s="60"/>
      <c r="FIB2487" s="60"/>
      <c r="FIC2487" s="58"/>
      <c r="FID2487" s="61"/>
      <c r="FIE2487" s="58"/>
      <c r="FIF2487" s="58"/>
      <c r="FIG2487" s="58"/>
      <c r="FIH2487" s="60"/>
      <c r="FII2487" s="60"/>
      <c r="FIJ2487" s="60"/>
      <c r="FIK2487" s="58"/>
      <c r="FIL2487" s="61"/>
      <c r="FIM2487" s="58"/>
      <c r="FIN2487" s="58"/>
      <c r="FIO2487" s="58"/>
      <c r="FIP2487" s="60"/>
      <c r="FIQ2487" s="60"/>
      <c r="FIR2487" s="60"/>
      <c r="FIS2487" s="58"/>
      <c r="FIT2487" s="61"/>
      <c r="FIU2487" s="58"/>
      <c r="FIV2487" s="58"/>
      <c r="FIW2487" s="58"/>
      <c r="FIX2487" s="60"/>
      <c r="FIY2487" s="60"/>
      <c r="FIZ2487" s="60"/>
      <c r="FJA2487" s="58"/>
      <c r="FJB2487" s="61"/>
      <c r="FJC2487" s="58"/>
      <c r="FJD2487" s="58"/>
      <c r="FJE2487" s="58"/>
      <c r="FJF2487" s="60"/>
      <c r="FJG2487" s="60"/>
      <c r="FJH2487" s="60"/>
      <c r="FJI2487" s="58"/>
      <c r="FJJ2487" s="61"/>
      <c r="FJK2487" s="58"/>
      <c r="FJL2487" s="58"/>
      <c r="FJM2487" s="58"/>
      <c r="FJN2487" s="60"/>
      <c r="FJO2487" s="60"/>
      <c r="FJP2487" s="60"/>
      <c r="FJQ2487" s="58"/>
      <c r="FJR2487" s="61"/>
      <c r="FJS2487" s="58"/>
      <c r="FJT2487" s="58"/>
      <c r="FJU2487" s="58"/>
      <c r="FJV2487" s="60"/>
      <c r="FJW2487" s="60"/>
      <c r="FJX2487" s="60"/>
      <c r="FJY2487" s="58"/>
      <c r="FJZ2487" s="61"/>
      <c r="FKA2487" s="58"/>
      <c r="FKB2487" s="58"/>
      <c r="FKC2487" s="58"/>
      <c r="FKD2487" s="60"/>
      <c r="FKE2487" s="60"/>
      <c r="FKF2487" s="60"/>
      <c r="FKG2487" s="58"/>
      <c r="FKH2487" s="61"/>
      <c r="FKI2487" s="58"/>
      <c r="FKJ2487" s="58"/>
      <c r="FKK2487" s="58"/>
      <c r="FKL2487" s="60"/>
      <c r="FKM2487" s="60"/>
      <c r="FKN2487" s="60"/>
      <c r="FKO2487" s="58"/>
      <c r="FKP2487" s="61"/>
      <c r="FKQ2487" s="58"/>
      <c r="FKR2487" s="58"/>
      <c r="FKS2487" s="58"/>
      <c r="FKT2487" s="60"/>
      <c r="FKU2487" s="60"/>
      <c r="FKV2487" s="60"/>
      <c r="FKW2487" s="58"/>
      <c r="FKX2487" s="61"/>
      <c r="FKY2487" s="58"/>
      <c r="FKZ2487" s="58"/>
      <c r="FLA2487" s="58"/>
      <c r="FLB2487" s="60"/>
      <c r="FLC2487" s="60"/>
      <c r="FLD2487" s="60"/>
      <c r="FLE2487" s="58"/>
      <c r="FLF2487" s="61"/>
      <c r="FLG2487" s="58"/>
      <c r="FLH2487" s="58"/>
      <c r="FLI2487" s="58"/>
      <c r="FLJ2487" s="60"/>
      <c r="FLK2487" s="60"/>
      <c r="FLL2487" s="60"/>
      <c r="FLM2487" s="58"/>
      <c r="FLN2487" s="61"/>
      <c r="FLO2487" s="58"/>
      <c r="FLP2487" s="58"/>
      <c r="FLQ2487" s="58"/>
      <c r="FLR2487" s="60"/>
      <c r="FLS2487" s="60"/>
      <c r="FLT2487" s="60"/>
      <c r="FLU2487" s="58"/>
      <c r="FLV2487" s="61"/>
      <c r="FLW2487" s="58"/>
      <c r="FLX2487" s="58"/>
      <c r="FLY2487" s="58"/>
      <c r="FLZ2487" s="60"/>
      <c r="FMA2487" s="60"/>
      <c r="FMB2487" s="60"/>
      <c r="FMC2487" s="58"/>
      <c r="FMD2487" s="61"/>
      <c r="FME2487" s="58"/>
      <c r="FMF2487" s="58"/>
      <c r="FMG2487" s="58"/>
      <c r="FMH2487" s="60"/>
      <c r="FMI2487" s="60"/>
      <c r="FMJ2487" s="60"/>
      <c r="FMK2487" s="58"/>
      <c r="FML2487" s="61"/>
      <c r="FMM2487" s="58"/>
      <c r="FMN2487" s="58"/>
      <c r="FMO2487" s="58"/>
      <c r="FMP2487" s="60"/>
      <c r="FMQ2487" s="60"/>
      <c r="FMR2487" s="60"/>
      <c r="FMS2487" s="58"/>
      <c r="FMT2487" s="61"/>
      <c r="FMU2487" s="58"/>
      <c r="FMV2487" s="58"/>
      <c r="FMW2487" s="58"/>
      <c r="FMX2487" s="60"/>
      <c r="FMY2487" s="60"/>
      <c r="FMZ2487" s="60"/>
      <c r="FNA2487" s="58"/>
      <c r="FNB2487" s="61"/>
      <c r="FNC2487" s="58"/>
      <c r="FND2487" s="58"/>
      <c r="FNE2487" s="58"/>
      <c r="FNF2487" s="60"/>
      <c r="FNG2487" s="60"/>
      <c r="FNH2487" s="60"/>
      <c r="FNI2487" s="58"/>
      <c r="FNJ2487" s="61"/>
      <c r="FNK2487" s="58"/>
      <c r="FNL2487" s="58"/>
      <c r="FNM2487" s="58"/>
      <c r="FNN2487" s="60"/>
      <c r="FNO2487" s="60"/>
      <c r="FNP2487" s="60"/>
      <c r="FNQ2487" s="58"/>
      <c r="FNR2487" s="61"/>
      <c r="FNS2487" s="58"/>
      <c r="FNT2487" s="58"/>
      <c r="FNU2487" s="58"/>
      <c r="FNV2487" s="60"/>
      <c r="FNW2487" s="60"/>
      <c r="FNX2487" s="60"/>
      <c r="FNY2487" s="58"/>
      <c r="FNZ2487" s="61"/>
      <c r="FOA2487" s="58"/>
      <c r="FOB2487" s="58"/>
      <c r="FOC2487" s="58"/>
      <c r="FOD2487" s="60"/>
      <c r="FOE2487" s="60"/>
      <c r="FOF2487" s="60"/>
      <c r="FOG2487" s="58"/>
      <c r="FOH2487" s="61"/>
      <c r="FOI2487" s="58"/>
      <c r="FOJ2487" s="58"/>
      <c r="FOK2487" s="58"/>
      <c r="FOL2487" s="60"/>
      <c r="FOM2487" s="60"/>
      <c r="FON2487" s="60"/>
      <c r="FOO2487" s="58"/>
      <c r="FOP2487" s="61"/>
      <c r="FOQ2487" s="58"/>
      <c r="FOR2487" s="58"/>
      <c r="FOS2487" s="58"/>
      <c r="FOT2487" s="60"/>
      <c r="FOU2487" s="60"/>
      <c r="FOV2487" s="60"/>
      <c r="FOW2487" s="58"/>
      <c r="FOX2487" s="61"/>
      <c r="FOY2487" s="58"/>
      <c r="FOZ2487" s="58"/>
      <c r="FPA2487" s="58"/>
      <c r="FPB2487" s="60"/>
      <c r="FPC2487" s="60"/>
      <c r="FPD2487" s="60"/>
      <c r="FPE2487" s="58"/>
      <c r="FPF2487" s="61"/>
      <c r="FPG2487" s="58"/>
      <c r="FPH2487" s="58"/>
      <c r="FPI2487" s="58"/>
      <c r="FPJ2487" s="60"/>
      <c r="FPK2487" s="60"/>
      <c r="FPL2487" s="60"/>
      <c r="FPM2487" s="58"/>
      <c r="FPN2487" s="61"/>
      <c r="FPO2487" s="58"/>
      <c r="FPP2487" s="58"/>
      <c r="FPQ2487" s="58"/>
      <c r="FPR2487" s="60"/>
      <c r="FPS2487" s="60"/>
      <c r="FPT2487" s="60"/>
      <c r="FPU2487" s="58"/>
      <c r="FPV2487" s="61"/>
      <c r="FPW2487" s="58"/>
      <c r="FPX2487" s="58"/>
      <c r="FPY2487" s="58"/>
      <c r="FPZ2487" s="60"/>
      <c r="FQA2487" s="60"/>
      <c r="FQB2487" s="60"/>
      <c r="FQC2487" s="58"/>
      <c r="FQD2487" s="61"/>
      <c r="FQE2487" s="58"/>
      <c r="FQF2487" s="58"/>
      <c r="FQG2487" s="58"/>
      <c r="FQH2487" s="60"/>
      <c r="FQI2487" s="60"/>
      <c r="FQJ2487" s="60"/>
      <c r="FQK2487" s="58"/>
      <c r="FQL2487" s="61"/>
      <c r="FQM2487" s="58"/>
      <c r="FQN2487" s="58"/>
      <c r="FQO2487" s="58"/>
      <c r="FQP2487" s="60"/>
      <c r="FQQ2487" s="60"/>
      <c r="FQR2487" s="60"/>
      <c r="FQS2487" s="58"/>
      <c r="FQT2487" s="61"/>
      <c r="FQU2487" s="58"/>
      <c r="FQV2487" s="58"/>
      <c r="FQW2487" s="58"/>
      <c r="FQX2487" s="60"/>
      <c r="FQY2487" s="60"/>
      <c r="FQZ2487" s="60"/>
      <c r="FRA2487" s="58"/>
      <c r="FRB2487" s="61"/>
      <c r="FRC2487" s="58"/>
      <c r="FRD2487" s="58"/>
      <c r="FRE2487" s="58"/>
      <c r="FRF2487" s="60"/>
      <c r="FRG2487" s="60"/>
      <c r="FRH2487" s="60"/>
      <c r="FRI2487" s="58"/>
      <c r="FRJ2487" s="61"/>
      <c r="FRK2487" s="58"/>
      <c r="FRL2487" s="58"/>
      <c r="FRM2487" s="58"/>
      <c r="FRN2487" s="60"/>
      <c r="FRO2487" s="60"/>
      <c r="FRP2487" s="60"/>
      <c r="FRQ2487" s="58"/>
      <c r="FRR2487" s="61"/>
      <c r="FRS2487" s="58"/>
      <c r="FRT2487" s="58"/>
      <c r="FRU2487" s="58"/>
      <c r="FRV2487" s="60"/>
      <c r="FRW2487" s="60"/>
      <c r="FRX2487" s="60"/>
      <c r="FRY2487" s="58"/>
      <c r="FRZ2487" s="61"/>
      <c r="FSA2487" s="58"/>
      <c r="FSB2487" s="58"/>
      <c r="FSC2487" s="58"/>
      <c r="FSD2487" s="60"/>
      <c r="FSE2487" s="60"/>
      <c r="FSF2487" s="60"/>
      <c r="FSG2487" s="58"/>
      <c r="FSH2487" s="61"/>
      <c r="FSI2487" s="58"/>
      <c r="FSJ2487" s="58"/>
      <c r="FSK2487" s="58"/>
      <c r="FSL2487" s="60"/>
      <c r="FSM2487" s="60"/>
      <c r="FSN2487" s="60"/>
      <c r="FSO2487" s="58"/>
      <c r="FSP2487" s="61"/>
      <c r="FSQ2487" s="58"/>
      <c r="FSR2487" s="58"/>
      <c r="FSS2487" s="58"/>
      <c r="FST2487" s="60"/>
      <c r="FSU2487" s="60"/>
      <c r="FSV2487" s="60"/>
      <c r="FSW2487" s="58"/>
      <c r="FSX2487" s="61"/>
      <c r="FSY2487" s="58"/>
      <c r="FSZ2487" s="58"/>
      <c r="FTA2487" s="58"/>
      <c r="FTB2487" s="60"/>
      <c r="FTC2487" s="60"/>
      <c r="FTD2487" s="60"/>
      <c r="FTE2487" s="58"/>
      <c r="FTF2487" s="61"/>
      <c r="FTG2487" s="58"/>
      <c r="FTH2487" s="58"/>
      <c r="FTI2487" s="58"/>
      <c r="FTJ2487" s="60"/>
      <c r="FTK2487" s="60"/>
      <c r="FTL2487" s="60"/>
      <c r="FTM2487" s="58"/>
      <c r="FTN2487" s="61"/>
      <c r="FTO2487" s="58"/>
      <c r="FTP2487" s="58"/>
      <c r="FTQ2487" s="58"/>
      <c r="FTR2487" s="60"/>
      <c r="FTS2487" s="60"/>
      <c r="FTT2487" s="60"/>
      <c r="FTU2487" s="58"/>
      <c r="FTV2487" s="61"/>
      <c r="FTW2487" s="58"/>
      <c r="FTX2487" s="58"/>
      <c r="FTY2487" s="58"/>
      <c r="FTZ2487" s="60"/>
      <c r="FUA2487" s="60"/>
      <c r="FUB2487" s="60"/>
      <c r="FUC2487" s="58"/>
      <c r="FUD2487" s="61"/>
      <c r="FUE2487" s="58"/>
      <c r="FUF2487" s="58"/>
      <c r="FUG2487" s="58"/>
      <c r="FUH2487" s="60"/>
      <c r="FUI2487" s="60"/>
      <c r="FUJ2487" s="60"/>
      <c r="FUK2487" s="58"/>
      <c r="FUL2487" s="61"/>
      <c r="FUM2487" s="58"/>
      <c r="FUN2487" s="58"/>
      <c r="FUO2487" s="58"/>
      <c r="FUP2487" s="60"/>
      <c r="FUQ2487" s="60"/>
      <c r="FUR2487" s="60"/>
      <c r="FUS2487" s="58"/>
      <c r="FUT2487" s="61"/>
      <c r="FUU2487" s="58"/>
      <c r="FUV2487" s="58"/>
      <c r="FUW2487" s="58"/>
      <c r="FUX2487" s="60"/>
      <c r="FUY2487" s="60"/>
      <c r="FUZ2487" s="60"/>
      <c r="FVA2487" s="58"/>
      <c r="FVB2487" s="61"/>
      <c r="FVC2487" s="58"/>
      <c r="FVD2487" s="58"/>
      <c r="FVE2487" s="58"/>
      <c r="FVF2487" s="60"/>
      <c r="FVG2487" s="60"/>
      <c r="FVH2487" s="60"/>
      <c r="FVI2487" s="58"/>
      <c r="FVJ2487" s="61"/>
      <c r="FVK2487" s="58"/>
      <c r="FVL2487" s="58"/>
      <c r="FVM2487" s="58"/>
      <c r="FVN2487" s="60"/>
      <c r="FVO2487" s="60"/>
      <c r="FVP2487" s="60"/>
      <c r="FVQ2487" s="58"/>
      <c r="FVR2487" s="61"/>
      <c r="FVS2487" s="58"/>
      <c r="FVT2487" s="58"/>
      <c r="FVU2487" s="58"/>
      <c r="FVV2487" s="60"/>
      <c r="FVW2487" s="60"/>
      <c r="FVX2487" s="60"/>
      <c r="FVY2487" s="58"/>
      <c r="FVZ2487" s="61"/>
      <c r="FWA2487" s="58"/>
      <c r="FWB2487" s="58"/>
      <c r="FWC2487" s="58"/>
      <c r="FWD2487" s="60"/>
      <c r="FWE2487" s="60"/>
      <c r="FWF2487" s="60"/>
      <c r="FWG2487" s="58"/>
      <c r="FWH2487" s="61"/>
      <c r="FWI2487" s="58"/>
      <c r="FWJ2487" s="58"/>
      <c r="FWK2487" s="58"/>
      <c r="FWL2487" s="60"/>
      <c r="FWM2487" s="60"/>
      <c r="FWN2487" s="60"/>
      <c r="FWO2487" s="58"/>
      <c r="FWP2487" s="61"/>
      <c r="FWQ2487" s="58"/>
      <c r="FWR2487" s="58"/>
      <c r="FWS2487" s="58"/>
      <c r="FWT2487" s="60"/>
      <c r="FWU2487" s="60"/>
      <c r="FWV2487" s="60"/>
      <c r="FWW2487" s="58"/>
      <c r="FWX2487" s="61"/>
      <c r="FWY2487" s="58"/>
      <c r="FWZ2487" s="58"/>
      <c r="FXA2487" s="58"/>
      <c r="FXB2487" s="60"/>
      <c r="FXC2487" s="60"/>
      <c r="FXD2487" s="60"/>
      <c r="FXE2487" s="58"/>
      <c r="FXF2487" s="61"/>
      <c r="FXG2487" s="58"/>
      <c r="FXH2487" s="58"/>
      <c r="FXI2487" s="58"/>
      <c r="FXJ2487" s="60"/>
      <c r="FXK2487" s="60"/>
      <c r="FXL2487" s="60"/>
      <c r="FXM2487" s="58"/>
      <c r="FXN2487" s="61"/>
      <c r="FXO2487" s="58"/>
      <c r="FXP2487" s="58"/>
      <c r="FXQ2487" s="58"/>
      <c r="FXR2487" s="60"/>
      <c r="FXS2487" s="60"/>
      <c r="FXT2487" s="60"/>
      <c r="FXU2487" s="58"/>
      <c r="FXV2487" s="61"/>
      <c r="FXW2487" s="58"/>
      <c r="FXX2487" s="58"/>
      <c r="FXY2487" s="58"/>
      <c r="FXZ2487" s="60"/>
      <c r="FYA2487" s="60"/>
      <c r="FYB2487" s="60"/>
      <c r="FYC2487" s="58"/>
      <c r="FYD2487" s="61"/>
      <c r="FYE2487" s="58"/>
      <c r="FYF2487" s="58"/>
      <c r="FYG2487" s="58"/>
      <c r="FYH2487" s="60"/>
      <c r="FYI2487" s="60"/>
      <c r="FYJ2487" s="60"/>
      <c r="FYK2487" s="58"/>
      <c r="FYL2487" s="61"/>
      <c r="FYM2487" s="58"/>
      <c r="FYN2487" s="58"/>
      <c r="FYO2487" s="58"/>
      <c r="FYP2487" s="60"/>
      <c r="FYQ2487" s="60"/>
      <c r="FYR2487" s="60"/>
      <c r="FYS2487" s="58"/>
      <c r="FYT2487" s="61"/>
      <c r="FYU2487" s="58"/>
      <c r="FYV2487" s="58"/>
      <c r="FYW2487" s="58"/>
      <c r="FYX2487" s="60"/>
      <c r="FYY2487" s="60"/>
      <c r="FYZ2487" s="60"/>
      <c r="FZA2487" s="58"/>
      <c r="FZB2487" s="61"/>
      <c r="FZC2487" s="58"/>
      <c r="FZD2487" s="58"/>
      <c r="FZE2487" s="58"/>
      <c r="FZF2487" s="60"/>
      <c r="FZG2487" s="60"/>
      <c r="FZH2487" s="60"/>
      <c r="FZI2487" s="58"/>
      <c r="FZJ2487" s="61"/>
      <c r="FZK2487" s="58"/>
      <c r="FZL2487" s="58"/>
      <c r="FZM2487" s="58"/>
      <c r="FZN2487" s="60"/>
      <c r="FZO2487" s="60"/>
      <c r="FZP2487" s="60"/>
      <c r="FZQ2487" s="58"/>
      <c r="FZR2487" s="61"/>
      <c r="FZS2487" s="58"/>
      <c r="FZT2487" s="58"/>
      <c r="FZU2487" s="58"/>
      <c r="FZV2487" s="60"/>
      <c r="FZW2487" s="60"/>
      <c r="FZX2487" s="60"/>
      <c r="FZY2487" s="58"/>
      <c r="FZZ2487" s="61"/>
      <c r="GAA2487" s="58"/>
      <c r="GAB2487" s="58"/>
      <c r="GAC2487" s="58"/>
      <c r="GAD2487" s="60"/>
      <c r="GAE2487" s="60"/>
      <c r="GAF2487" s="60"/>
      <c r="GAG2487" s="58"/>
      <c r="GAH2487" s="61"/>
      <c r="GAI2487" s="58"/>
      <c r="GAJ2487" s="58"/>
      <c r="GAK2487" s="58"/>
      <c r="GAL2487" s="60"/>
      <c r="GAM2487" s="60"/>
      <c r="GAN2487" s="60"/>
      <c r="GAO2487" s="58"/>
      <c r="GAP2487" s="61"/>
      <c r="GAQ2487" s="58"/>
      <c r="GAR2487" s="58"/>
      <c r="GAS2487" s="58"/>
      <c r="GAT2487" s="60"/>
      <c r="GAU2487" s="60"/>
      <c r="GAV2487" s="60"/>
      <c r="GAW2487" s="58"/>
      <c r="GAX2487" s="61"/>
      <c r="GAY2487" s="58"/>
      <c r="GAZ2487" s="58"/>
      <c r="GBA2487" s="58"/>
      <c r="GBB2487" s="60"/>
      <c r="GBC2487" s="60"/>
      <c r="GBD2487" s="60"/>
      <c r="GBE2487" s="58"/>
      <c r="GBF2487" s="61"/>
      <c r="GBG2487" s="58"/>
      <c r="GBH2487" s="58"/>
      <c r="GBI2487" s="58"/>
      <c r="GBJ2487" s="60"/>
      <c r="GBK2487" s="60"/>
      <c r="GBL2487" s="60"/>
      <c r="GBM2487" s="58"/>
      <c r="GBN2487" s="61"/>
      <c r="GBO2487" s="58"/>
      <c r="GBP2487" s="58"/>
      <c r="GBQ2487" s="58"/>
      <c r="GBR2487" s="60"/>
      <c r="GBS2487" s="60"/>
      <c r="GBT2487" s="60"/>
      <c r="GBU2487" s="58"/>
      <c r="GBV2487" s="61"/>
      <c r="GBW2487" s="58"/>
      <c r="GBX2487" s="58"/>
      <c r="GBY2487" s="58"/>
      <c r="GBZ2487" s="60"/>
      <c r="GCA2487" s="60"/>
      <c r="GCB2487" s="60"/>
      <c r="GCC2487" s="58"/>
      <c r="GCD2487" s="61"/>
      <c r="GCE2487" s="58"/>
      <c r="GCF2487" s="58"/>
      <c r="GCG2487" s="58"/>
      <c r="GCH2487" s="60"/>
      <c r="GCI2487" s="60"/>
      <c r="GCJ2487" s="60"/>
      <c r="GCK2487" s="58"/>
      <c r="GCL2487" s="61"/>
      <c r="GCM2487" s="58"/>
      <c r="GCN2487" s="58"/>
      <c r="GCO2487" s="58"/>
      <c r="GCP2487" s="60"/>
      <c r="GCQ2487" s="60"/>
      <c r="GCR2487" s="60"/>
      <c r="GCS2487" s="58"/>
      <c r="GCT2487" s="61"/>
      <c r="GCU2487" s="58"/>
      <c r="GCV2487" s="58"/>
      <c r="GCW2487" s="58"/>
      <c r="GCX2487" s="60"/>
      <c r="GCY2487" s="60"/>
      <c r="GCZ2487" s="60"/>
      <c r="GDA2487" s="58"/>
      <c r="GDB2487" s="61"/>
      <c r="GDC2487" s="58"/>
      <c r="GDD2487" s="58"/>
      <c r="GDE2487" s="58"/>
      <c r="GDF2487" s="60"/>
      <c r="GDG2487" s="60"/>
      <c r="GDH2487" s="60"/>
      <c r="GDI2487" s="58"/>
      <c r="GDJ2487" s="61"/>
      <c r="GDK2487" s="58"/>
      <c r="GDL2487" s="58"/>
      <c r="GDM2487" s="58"/>
      <c r="GDN2487" s="60"/>
      <c r="GDO2487" s="60"/>
      <c r="GDP2487" s="60"/>
      <c r="GDQ2487" s="58"/>
      <c r="GDR2487" s="61"/>
      <c r="GDS2487" s="58"/>
      <c r="GDT2487" s="58"/>
      <c r="GDU2487" s="58"/>
      <c r="GDV2487" s="60"/>
      <c r="GDW2487" s="60"/>
      <c r="GDX2487" s="60"/>
      <c r="GDY2487" s="58"/>
      <c r="GDZ2487" s="61"/>
      <c r="GEA2487" s="58"/>
      <c r="GEB2487" s="58"/>
      <c r="GEC2487" s="58"/>
      <c r="GED2487" s="60"/>
      <c r="GEE2487" s="60"/>
      <c r="GEF2487" s="60"/>
      <c r="GEG2487" s="58"/>
      <c r="GEH2487" s="61"/>
      <c r="GEI2487" s="58"/>
      <c r="GEJ2487" s="58"/>
      <c r="GEK2487" s="58"/>
      <c r="GEL2487" s="60"/>
      <c r="GEM2487" s="60"/>
      <c r="GEN2487" s="60"/>
      <c r="GEO2487" s="58"/>
      <c r="GEP2487" s="61"/>
      <c r="GEQ2487" s="58"/>
      <c r="GER2487" s="58"/>
      <c r="GES2487" s="58"/>
      <c r="GET2487" s="60"/>
      <c r="GEU2487" s="60"/>
      <c r="GEV2487" s="60"/>
      <c r="GEW2487" s="58"/>
      <c r="GEX2487" s="61"/>
      <c r="GEY2487" s="58"/>
      <c r="GEZ2487" s="58"/>
      <c r="GFA2487" s="58"/>
      <c r="GFB2487" s="60"/>
      <c r="GFC2487" s="60"/>
      <c r="GFD2487" s="60"/>
      <c r="GFE2487" s="58"/>
      <c r="GFF2487" s="61"/>
      <c r="GFG2487" s="58"/>
      <c r="GFH2487" s="58"/>
      <c r="GFI2487" s="58"/>
      <c r="GFJ2487" s="60"/>
      <c r="GFK2487" s="60"/>
      <c r="GFL2487" s="60"/>
      <c r="GFM2487" s="58"/>
      <c r="GFN2487" s="61"/>
      <c r="GFO2487" s="58"/>
      <c r="GFP2487" s="58"/>
      <c r="GFQ2487" s="58"/>
      <c r="GFR2487" s="60"/>
      <c r="GFS2487" s="60"/>
      <c r="GFT2487" s="60"/>
      <c r="GFU2487" s="58"/>
      <c r="GFV2487" s="61"/>
      <c r="GFW2487" s="58"/>
      <c r="GFX2487" s="58"/>
      <c r="GFY2487" s="58"/>
      <c r="GFZ2487" s="60"/>
      <c r="GGA2487" s="60"/>
      <c r="GGB2487" s="60"/>
      <c r="GGC2487" s="58"/>
      <c r="GGD2487" s="61"/>
      <c r="GGE2487" s="58"/>
      <c r="GGF2487" s="58"/>
      <c r="GGG2487" s="58"/>
      <c r="GGH2487" s="60"/>
      <c r="GGI2487" s="60"/>
      <c r="GGJ2487" s="60"/>
      <c r="GGK2487" s="58"/>
      <c r="GGL2487" s="61"/>
      <c r="GGM2487" s="58"/>
      <c r="GGN2487" s="58"/>
      <c r="GGO2487" s="58"/>
      <c r="GGP2487" s="60"/>
      <c r="GGQ2487" s="60"/>
      <c r="GGR2487" s="60"/>
      <c r="GGS2487" s="58"/>
      <c r="GGT2487" s="61"/>
      <c r="GGU2487" s="58"/>
      <c r="GGV2487" s="58"/>
      <c r="GGW2487" s="58"/>
      <c r="GGX2487" s="60"/>
      <c r="GGY2487" s="60"/>
      <c r="GGZ2487" s="60"/>
      <c r="GHA2487" s="58"/>
      <c r="GHB2487" s="61"/>
      <c r="GHC2487" s="58"/>
      <c r="GHD2487" s="58"/>
      <c r="GHE2487" s="58"/>
      <c r="GHF2487" s="60"/>
      <c r="GHG2487" s="60"/>
      <c r="GHH2487" s="60"/>
      <c r="GHI2487" s="58"/>
      <c r="GHJ2487" s="61"/>
      <c r="GHK2487" s="58"/>
      <c r="GHL2487" s="58"/>
      <c r="GHM2487" s="58"/>
      <c r="GHN2487" s="60"/>
      <c r="GHO2487" s="60"/>
      <c r="GHP2487" s="60"/>
      <c r="GHQ2487" s="58"/>
      <c r="GHR2487" s="61"/>
      <c r="GHS2487" s="58"/>
      <c r="GHT2487" s="58"/>
      <c r="GHU2487" s="58"/>
      <c r="GHV2487" s="60"/>
      <c r="GHW2487" s="60"/>
      <c r="GHX2487" s="60"/>
      <c r="GHY2487" s="58"/>
      <c r="GHZ2487" s="61"/>
      <c r="GIA2487" s="58"/>
      <c r="GIB2487" s="58"/>
      <c r="GIC2487" s="58"/>
      <c r="GID2487" s="60"/>
      <c r="GIE2487" s="60"/>
      <c r="GIF2487" s="60"/>
      <c r="GIG2487" s="58"/>
      <c r="GIH2487" s="61"/>
      <c r="GII2487" s="58"/>
      <c r="GIJ2487" s="58"/>
      <c r="GIK2487" s="58"/>
      <c r="GIL2487" s="60"/>
      <c r="GIM2487" s="60"/>
      <c r="GIN2487" s="60"/>
      <c r="GIO2487" s="58"/>
      <c r="GIP2487" s="61"/>
      <c r="GIQ2487" s="58"/>
      <c r="GIR2487" s="58"/>
      <c r="GIS2487" s="58"/>
      <c r="GIT2487" s="60"/>
      <c r="GIU2487" s="60"/>
      <c r="GIV2487" s="60"/>
      <c r="GIW2487" s="58"/>
      <c r="GIX2487" s="61"/>
      <c r="GIY2487" s="58"/>
      <c r="GIZ2487" s="58"/>
      <c r="GJA2487" s="58"/>
      <c r="GJB2487" s="60"/>
      <c r="GJC2487" s="60"/>
      <c r="GJD2487" s="60"/>
      <c r="GJE2487" s="58"/>
      <c r="GJF2487" s="61"/>
      <c r="GJG2487" s="58"/>
      <c r="GJH2487" s="58"/>
      <c r="GJI2487" s="58"/>
      <c r="GJJ2487" s="60"/>
      <c r="GJK2487" s="60"/>
      <c r="GJL2487" s="60"/>
      <c r="GJM2487" s="58"/>
      <c r="GJN2487" s="61"/>
      <c r="GJO2487" s="58"/>
      <c r="GJP2487" s="58"/>
      <c r="GJQ2487" s="58"/>
      <c r="GJR2487" s="60"/>
      <c r="GJS2487" s="60"/>
      <c r="GJT2487" s="60"/>
      <c r="GJU2487" s="58"/>
      <c r="GJV2487" s="61"/>
      <c r="GJW2487" s="58"/>
      <c r="GJX2487" s="58"/>
      <c r="GJY2487" s="58"/>
      <c r="GJZ2487" s="60"/>
      <c r="GKA2487" s="60"/>
      <c r="GKB2487" s="60"/>
      <c r="GKC2487" s="58"/>
      <c r="GKD2487" s="61"/>
      <c r="GKE2487" s="58"/>
      <c r="GKF2487" s="58"/>
      <c r="GKG2487" s="58"/>
      <c r="GKH2487" s="60"/>
      <c r="GKI2487" s="60"/>
      <c r="GKJ2487" s="60"/>
      <c r="GKK2487" s="58"/>
      <c r="GKL2487" s="61"/>
      <c r="GKM2487" s="58"/>
      <c r="GKN2487" s="58"/>
      <c r="GKO2487" s="58"/>
      <c r="GKP2487" s="60"/>
      <c r="GKQ2487" s="60"/>
      <c r="GKR2487" s="60"/>
      <c r="GKS2487" s="58"/>
      <c r="GKT2487" s="61"/>
      <c r="GKU2487" s="58"/>
      <c r="GKV2487" s="58"/>
      <c r="GKW2487" s="58"/>
      <c r="GKX2487" s="60"/>
      <c r="GKY2487" s="60"/>
      <c r="GKZ2487" s="60"/>
      <c r="GLA2487" s="58"/>
      <c r="GLB2487" s="61"/>
      <c r="GLC2487" s="58"/>
      <c r="GLD2487" s="58"/>
      <c r="GLE2487" s="58"/>
      <c r="GLF2487" s="60"/>
      <c r="GLG2487" s="60"/>
      <c r="GLH2487" s="60"/>
      <c r="GLI2487" s="58"/>
      <c r="GLJ2487" s="61"/>
      <c r="GLK2487" s="58"/>
      <c r="GLL2487" s="58"/>
      <c r="GLM2487" s="58"/>
      <c r="GLN2487" s="60"/>
      <c r="GLO2487" s="60"/>
      <c r="GLP2487" s="60"/>
      <c r="GLQ2487" s="58"/>
      <c r="GLR2487" s="61"/>
      <c r="GLS2487" s="58"/>
      <c r="GLT2487" s="58"/>
      <c r="GLU2487" s="58"/>
      <c r="GLV2487" s="60"/>
      <c r="GLW2487" s="60"/>
      <c r="GLX2487" s="60"/>
      <c r="GLY2487" s="58"/>
      <c r="GLZ2487" s="61"/>
      <c r="GMA2487" s="58"/>
      <c r="GMB2487" s="58"/>
      <c r="GMC2487" s="58"/>
      <c r="GMD2487" s="60"/>
      <c r="GME2487" s="60"/>
      <c r="GMF2487" s="60"/>
      <c r="GMG2487" s="58"/>
      <c r="GMH2487" s="61"/>
      <c r="GMI2487" s="58"/>
      <c r="GMJ2487" s="58"/>
      <c r="GMK2487" s="58"/>
      <c r="GML2487" s="60"/>
      <c r="GMM2487" s="60"/>
      <c r="GMN2487" s="60"/>
      <c r="GMO2487" s="58"/>
      <c r="GMP2487" s="61"/>
      <c r="GMQ2487" s="58"/>
      <c r="GMR2487" s="58"/>
      <c r="GMS2487" s="58"/>
      <c r="GMT2487" s="60"/>
      <c r="GMU2487" s="60"/>
      <c r="GMV2487" s="60"/>
      <c r="GMW2487" s="58"/>
      <c r="GMX2487" s="61"/>
      <c r="GMY2487" s="58"/>
      <c r="GMZ2487" s="58"/>
      <c r="GNA2487" s="58"/>
      <c r="GNB2487" s="60"/>
      <c r="GNC2487" s="60"/>
      <c r="GND2487" s="60"/>
      <c r="GNE2487" s="58"/>
      <c r="GNF2487" s="61"/>
      <c r="GNG2487" s="58"/>
      <c r="GNH2487" s="58"/>
      <c r="GNI2487" s="58"/>
      <c r="GNJ2487" s="60"/>
      <c r="GNK2487" s="60"/>
      <c r="GNL2487" s="60"/>
      <c r="GNM2487" s="58"/>
      <c r="GNN2487" s="61"/>
      <c r="GNO2487" s="58"/>
      <c r="GNP2487" s="58"/>
      <c r="GNQ2487" s="58"/>
      <c r="GNR2487" s="60"/>
      <c r="GNS2487" s="60"/>
      <c r="GNT2487" s="60"/>
      <c r="GNU2487" s="58"/>
      <c r="GNV2487" s="61"/>
      <c r="GNW2487" s="58"/>
      <c r="GNX2487" s="58"/>
      <c r="GNY2487" s="58"/>
      <c r="GNZ2487" s="60"/>
      <c r="GOA2487" s="60"/>
      <c r="GOB2487" s="60"/>
      <c r="GOC2487" s="58"/>
      <c r="GOD2487" s="61"/>
      <c r="GOE2487" s="58"/>
      <c r="GOF2487" s="58"/>
      <c r="GOG2487" s="58"/>
      <c r="GOH2487" s="60"/>
      <c r="GOI2487" s="60"/>
      <c r="GOJ2487" s="60"/>
      <c r="GOK2487" s="58"/>
      <c r="GOL2487" s="61"/>
      <c r="GOM2487" s="58"/>
      <c r="GON2487" s="58"/>
      <c r="GOO2487" s="58"/>
      <c r="GOP2487" s="60"/>
      <c r="GOQ2487" s="60"/>
      <c r="GOR2487" s="60"/>
      <c r="GOS2487" s="58"/>
      <c r="GOT2487" s="61"/>
      <c r="GOU2487" s="58"/>
      <c r="GOV2487" s="58"/>
      <c r="GOW2487" s="58"/>
      <c r="GOX2487" s="60"/>
      <c r="GOY2487" s="60"/>
      <c r="GOZ2487" s="60"/>
      <c r="GPA2487" s="58"/>
      <c r="GPB2487" s="61"/>
      <c r="GPC2487" s="58"/>
      <c r="GPD2487" s="58"/>
      <c r="GPE2487" s="58"/>
      <c r="GPF2487" s="60"/>
      <c r="GPG2487" s="60"/>
      <c r="GPH2487" s="60"/>
      <c r="GPI2487" s="58"/>
      <c r="GPJ2487" s="61"/>
      <c r="GPK2487" s="58"/>
      <c r="GPL2487" s="58"/>
      <c r="GPM2487" s="58"/>
      <c r="GPN2487" s="60"/>
      <c r="GPO2487" s="60"/>
      <c r="GPP2487" s="60"/>
      <c r="GPQ2487" s="58"/>
      <c r="GPR2487" s="61"/>
      <c r="GPS2487" s="58"/>
      <c r="GPT2487" s="58"/>
      <c r="GPU2487" s="58"/>
      <c r="GPV2487" s="60"/>
      <c r="GPW2487" s="60"/>
      <c r="GPX2487" s="60"/>
      <c r="GPY2487" s="58"/>
      <c r="GPZ2487" s="61"/>
      <c r="GQA2487" s="58"/>
      <c r="GQB2487" s="58"/>
      <c r="GQC2487" s="58"/>
      <c r="GQD2487" s="60"/>
      <c r="GQE2487" s="60"/>
      <c r="GQF2487" s="60"/>
      <c r="GQG2487" s="58"/>
      <c r="GQH2487" s="61"/>
      <c r="GQI2487" s="58"/>
      <c r="GQJ2487" s="58"/>
      <c r="GQK2487" s="58"/>
      <c r="GQL2487" s="60"/>
      <c r="GQM2487" s="60"/>
      <c r="GQN2487" s="60"/>
      <c r="GQO2487" s="58"/>
      <c r="GQP2487" s="61"/>
      <c r="GQQ2487" s="58"/>
      <c r="GQR2487" s="58"/>
      <c r="GQS2487" s="58"/>
      <c r="GQT2487" s="60"/>
      <c r="GQU2487" s="60"/>
      <c r="GQV2487" s="60"/>
      <c r="GQW2487" s="58"/>
      <c r="GQX2487" s="61"/>
      <c r="GQY2487" s="58"/>
      <c r="GQZ2487" s="58"/>
      <c r="GRA2487" s="58"/>
      <c r="GRB2487" s="60"/>
      <c r="GRC2487" s="60"/>
      <c r="GRD2487" s="60"/>
      <c r="GRE2487" s="58"/>
      <c r="GRF2487" s="61"/>
      <c r="GRG2487" s="58"/>
      <c r="GRH2487" s="58"/>
      <c r="GRI2487" s="58"/>
      <c r="GRJ2487" s="60"/>
      <c r="GRK2487" s="60"/>
      <c r="GRL2487" s="60"/>
      <c r="GRM2487" s="58"/>
      <c r="GRN2487" s="61"/>
      <c r="GRO2487" s="58"/>
      <c r="GRP2487" s="58"/>
      <c r="GRQ2487" s="58"/>
      <c r="GRR2487" s="60"/>
      <c r="GRS2487" s="60"/>
      <c r="GRT2487" s="60"/>
      <c r="GRU2487" s="58"/>
      <c r="GRV2487" s="61"/>
      <c r="GRW2487" s="58"/>
      <c r="GRX2487" s="58"/>
      <c r="GRY2487" s="58"/>
      <c r="GRZ2487" s="60"/>
      <c r="GSA2487" s="60"/>
      <c r="GSB2487" s="60"/>
      <c r="GSC2487" s="58"/>
      <c r="GSD2487" s="61"/>
      <c r="GSE2487" s="58"/>
      <c r="GSF2487" s="58"/>
      <c r="GSG2487" s="58"/>
      <c r="GSH2487" s="60"/>
      <c r="GSI2487" s="60"/>
      <c r="GSJ2487" s="60"/>
      <c r="GSK2487" s="58"/>
      <c r="GSL2487" s="61"/>
      <c r="GSM2487" s="58"/>
      <c r="GSN2487" s="58"/>
      <c r="GSO2487" s="58"/>
      <c r="GSP2487" s="60"/>
      <c r="GSQ2487" s="60"/>
      <c r="GSR2487" s="60"/>
      <c r="GSS2487" s="58"/>
      <c r="GST2487" s="61"/>
      <c r="GSU2487" s="58"/>
      <c r="GSV2487" s="58"/>
      <c r="GSW2487" s="58"/>
      <c r="GSX2487" s="60"/>
      <c r="GSY2487" s="60"/>
      <c r="GSZ2487" s="60"/>
      <c r="GTA2487" s="58"/>
      <c r="GTB2487" s="61"/>
      <c r="GTC2487" s="58"/>
      <c r="GTD2487" s="58"/>
      <c r="GTE2487" s="58"/>
      <c r="GTF2487" s="60"/>
      <c r="GTG2487" s="60"/>
      <c r="GTH2487" s="60"/>
      <c r="GTI2487" s="58"/>
      <c r="GTJ2487" s="61"/>
      <c r="GTK2487" s="58"/>
      <c r="GTL2487" s="58"/>
      <c r="GTM2487" s="58"/>
      <c r="GTN2487" s="60"/>
      <c r="GTO2487" s="60"/>
      <c r="GTP2487" s="60"/>
      <c r="GTQ2487" s="58"/>
      <c r="GTR2487" s="61"/>
      <c r="GTS2487" s="58"/>
      <c r="GTT2487" s="58"/>
      <c r="GTU2487" s="58"/>
      <c r="GTV2487" s="60"/>
      <c r="GTW2487" s="60"/>
      <c r="GTX2487" s="60"/>
      <c r="GTY2487" s="58"/>
      <c r="GTZ2487" s="61"/>
      <c r="GUA2487" s="58"/>
      <c r="GUB2487" s="58"/>
      <c r="GUC2487" s="58"/>
      <c r="GUD2487" s="60"/>
      <c r="GUE2487" s="60"/>
      <c r="GUF2487" s="60"/>
      <c r="GUG2487" s="58"/>
      <c r="GUH2487" s="61"/>
      <c r="GUI2487" s="58"/>
      <c r="GUJ2487" s="58"/>
      <c r="GUK2487" s="58"/>
      <c r="GUL2487" s="60"/>
      <c r="GUM2487" s="60"/>
      <c r="GUN2487" s="60"/>
      <c r="GUO2487" s="58"/>
      <c r="GUP2487" s="61"/>
      <c r="GUQ2487" s="58"/>
      <c r="GUR2487" s="58"/>
      <c r="GUS2487" s="58"/>
      <c r="GUT2487" s="60"/>
      <c r="GUU2487" s="60"/>
      <c r="GUV2487" s="60"/>
      <c r="GUW2487" s="58"/>
      <c r="GUX2487" s="61"/>
      <c r="GUY2487" s="58"/>
      <c r="GUZ2487" s="58"/>
      <c r="GVA2487" s="58"/>
      <c r="GVB2487" s="60"/>
      <c r="GVC2487" s="60"/>
      <c r="GVD2487" s="60"/>
      <c r="GVE2487" s="58"/>
      <c r="GVF2487" s="61"/>
      <c r="GVG2487" s="58"/>
      <c r="GVH2487" s="58"/>
      <c r="GVI2487" s="58"/>
      <c r="GVJ2487" s="60"/>
      <c r="GVK2487" s="60"/>
      <c r="GVL2487" s="60"/>
      <c r="GVM2487" s="58"/>
      <c r="GVN2487" s="61"/>
      <c r="GVO2487" s="58"/>
      <c r="GVP2487" s="58"/>
      <c r="GVQ2487" s="58"/>
      <c r="GVR2487" s="60"/>
      <c r="GVS2487" s="60"/>
      <c r="GVT2487" s="60"/>
      <c r="GVU2487" s="58"/>
      <c r="GVV2487" s="61"/>
      <c r="GVW2487" s="58"/>
      <c r="GVX2487" s="58"/>
      <c r="GVY2487" s="58"/>
      <c r="GVZ2487" s="60"/>
      <c r="GWA2487" s="60"/>
      <c r="GWB2487" s="60"/>
      <c r="GWC2487" s="58"/>
      <c r="GWD2487" s="61"/>
      <c r="GWE2487" s="58"/>
      <c r="GWF2487" s="58"/>
      <c r="GWG2487" s="58"/>
      <c r="GWH2487" s="60"/>
      <c r="GWI2487" s="60"/>
      <c r="GWJ2487" s="60"/>
      <c r="GWK2487" s="58"/>
      <c r="GWL2487" s="61"/>
      <c r="GWM2487" s="58"/>
      <c r="GWN2487" s="58"/>
      <c r="GWO2487" s="58"/>
      <c r="GWP2487" s="60"/>
      <c r="GWQ2487" s="60"/>
      <c r="GWR2487" s="60"/>
      <c r="GWS2487" s="58"/>
      <c r="GWT2487" s="61"/>
      <c r="GWU2487" s="58"/>
      <c r="GWV2487" s="58"/>
      <c r="GWW2487" s="58"/>
      <c r="GWX2487" s="60"/>
      <c r="GWY2487" s="60"/>
      <c r="GWZ2487" s="60"/>
      <c r="GXA2487" s="58"/>
      <c r="GXB2487" s="61"/>
      <c r="GXC2487" s="58"/>
      <c r="GXD2487" s="58"/>
      <c r="GXE2487" s="58"/>
      <c r="GXF2487" s="60"/>
      <c r="GXG2487" s="60"/>
      <c r="GXH2487" s="60"/>
      <c r="GXI2487" s="58"/>
      <c r="GXJ2487" s="61"/>
      <c r="GXK2487" s="58"/>
      <c r="GXL2487" s="58"/>
      <c r="GXM2487" s="58"/>
      <c r="GXN2487" s="60"/>
      <c r="GXO2487" s="60"/>
      <c r="GXP2487" s="60"/>
      <c r="GXQ2487" s="58"/>
      <c r="GXR2487" s="61"/>
      <c r="GXS2487" s="58"/>
      <c r="GXT2487" s="58"/>
      <c r="GXU2487" s="58"/>
      <c r="GXV2487" s="60"/>
      <c r="GXW2487" s="60"/>
      <c r="GXX2487" s="60"/>
      <c r="GXY2487" s="58"/>
      <c r="GXZ2487" s="61"/>
      <c r="GYA2487" s="58"/>
      <c r="GYB2487" s="58"/>
      <c r="GYC2487" s="58"/>
      <c r="GYD2487" s="60"/>
      <c r="GYE2487" s="60"/>
      <c r="GYF2487" s="60"/>
      <c r="GYG2487" s="58"/>
      <c r="GYH2487" s="61"/>
      <c r="GYI2487" s="58"/>
      <c r="GYJ2487" s="58"/>
      <c r="GYK2487" s="58"/>
      <c r="GYL2487" s="60"/>
      <c r="GYM2487" s="60"/>
      <c r="GYN2487" s="60"/>
      <c r="GYO2487" s="58"/>
      <c r="GYP2487" s="61"/>
      <c r="GYQ2487" s="58"/>
      <c r="GYR2487" s="58"/>
      <c r="GYS2487" s="58"/>
      <c r="GYT2487" s="60"/>
      <c r="GYU2487" s="60"/>
      <c r="GYV2487" s="60"/>
      <c r="GYW2487" s="58"/>
      <c r="GYX2487" s="61"/>
      <c r="GYY2487" s="58"/>
      <c r="GYZ2487" s="58"/>
      <c r="GZA2487" s="58"/>
      <c r="GZB2487" s="60"/>
      <c r="GZC2487" s="60"/>
      <c r="GZD2487" s="60"/>
      <c r="GZE2487" s="58"/>
      <c r="GZF2487" s="61"/>
      <c r="GZG2487" s="58"/>
      <c r="GZH2487" s="58"/>
      <c r="GZI2487" s="58"/>
      <c r="GZJ2487" s="60"/>
      <c r="GZK2487" s="60"/>
      <c r="GZL2487" s="60"/>
      <c r="GZM2487" s="58"/>
      <c r="GZN2487" s="61"/>
      <c r="GZO2487" s="58"/>
      <c r="GZP2487" s="58"/>
      <c r="GZQ2487" s="58"/>
      <c r="GZR2487" s="60"/>
      <c r="GZS2487" s="60"/>
      <c r="GZT2487" s="60"/>
      <c r="GZU2487" s="58"/>
      <c r="GZV2487" s="61"/>
      <c r="GZW2487" s="58"/>
      <c r="GZX2487" s="58"/>
      <c r="GZY2487" s="58"/>
      <c r="GZZ2487" s="60"/>
      <c r="HAA2487" s="60"/>
      <c r="HAB2487" s="60"/>
      <c r="HAC2487" s="58"/>
      <c r="HAD2487" s="61"/>
      <c r="HAE2487" s="58"/>
      <c r="HAF2487" s="58"/>
      <c r="HAG2487" s="58"/>
      <c r="HAH2487" s="60"/>
      <c r="HAI2487" s="60"/>
      <c r="HAJ2487" s="60"/>
      <c r="HAK2487" s="58"/>
      <c r="HAL2487" s="61"/>
      <c r="HAM2487" s="58"/>
      <c r="HAN2487" s="58"/>
      <c r="HAO2487" s="58"/>
      <c r="HAP2487" s="60"/>
      <c r="HAQ2487" s="60"/>
      <c r="HAR2487" s="60"/>
      <c r="HAS2487" s="58"/>
      <c r="HAT2487" s="61"/>
      <c r="HAU2487" s="58"/>
      <c r="HAV2487" s="58"/>
      <c r="HAW2487" s="58"/>
      <c r="HAX2487" s="60"/>
      <c r="HAY2487" s="60"/>
      <c r="HAZ2487" s="60"/>
      <c r="HBA2487" s="58"/>
      <c r="HBB2487" s="61"/>
      <c r="HBC2487" s="58"/>
      <c r="HBD2487" s="58"/>
      <c r="HBE2487" s="58"/>
      <c r="HBF2487" s="60"/>
      <c r="HBG2487" s="60"/>
      <c r="HBH2487" s="60"/>
      <c r="HBI2487" s="58"/>
      <c r="HBJ2487" s="61"/>
      <c r="HBK2487" s="58"/>
      <c r="HBL2487" s="58"/>
      <c r="HBM2487" s="58"/>
      <c r="HBN2487" s="60"/>
      <c r="HBO2487" s="60"/>
      <c r="HBP2487" s="60"/>
      <c r="HBQ2487" s="58"/>
      <c r="HBR2487" s="61"/>
      <c r="HBS2487" s="58"/>
      <c r="HBT2487" s="58"/>
      <c r="HBU2487" s="58"/>
      <c r="HBV2487" s="60"/>
      <c r="HBW2487" s="60"/>
      <c r="HBX2487" s="60"/>
      <c r="HBY2487" s="58"/>
      <c r="HBZ2487" s="61"/>
      <c r="HCA2487" s="58"/>
      <c r="HCB2487" s="58"/>
      <c r="HCC2487" s="58"/>
      <c r="HCD2487" s="60"/>
      <c r="HCE2487" s="60"/>
      <c r="HCF2487" s="60"/>
      <c r="HCG2487" s="58"/>
      <c r="HCH2487" s="61"/>
      <c r="HCI2487" s="58"/>
      <c r="HCJ2487" s="58"/>
      <c r="HCK2487" s="58"/>
      <c r="HCL2487" s="60"/>
      <c r="HCM2487" s="60"/>
      <c r="HCN2487" s="60"/>
      <c r="HCO2487" s="58"/>
      <c r="HCP2487" s="61"/>
      <c r="HCQ2487" s="58"/>
      <c r="HCR2487" s="58"/>
      <c r="HCS2487" s="58"/>
      <c r="HCT2487" s="60"/>
      <c r="HCU2487" s="60"/>
      <c r="HCV2487" s="60"/>
      <c r="HCW2487" s="58"/>
      <c r="HCX2487" s="61"/>
      <c r="HCY2487" s="58"/>
      <c r="HCZ2487" s="58"/>
      <c r="HDA2487" s="58"/>
      <c r="HDB2487" s="60"/>
      <c r="HDC2487" s="60"/>
      <c r="HDD2487" s="60"/>
      <c r="HDE2487" s="58"/>
      <c r="HDF2487" s="61"/>
      <c r="HDG2487" s="58"/>
      <c r="HDH2487" s="58"/>
      <c r="HDI2487" s="58"/>
      <c r="HDJ2487" s="60"/>
      <c r="HDK2487" s="60"/>
      <c r="HDL2487" s="60"/>
      <c r="HDM2487" s="58"/>
      <c r="HDN2487" s="61"/>
      <c r="HDO2487" s="58"/>
      <c r="HDP2487" s="58"/>
      <c r="HDQ2487" s="58"/>
      <c r="HDR2487" s="60"/>
      <c r="HDS2487" s="60"/>
      <c r="HDT2487" s="60"/>
      <c r="HDU2487" s="58"/>
      <c r="HDV2487" s="61"/>
      <c r="HDW2487" s="58"/>
      <c r="HDX2487" s="58"/>
      <c r="HDY2487" s="58"/>
      <c r="HDZ2487" s="60"/>
      <c r="HEA2487" s="60"/>
      <c r="HEB2487" s="60"/>
      <c r="HEC2487" s="58"/>
      <c r="HED2487" s="61"/>
      <c r="HEE2487" s="58"/>
      <c r="HEF2487" s="58"/>
      <c r="HEG2487" s="58"/>
      <c r="HEH2487" s="60"/>
      <c r="HEI2487" s="60"/>
      <c r="HEJ2487" s="60"/>
      <c r="HEK2487" s="58"/>
      <c r="HEL2487" s="61"/>
      <c r="HEM2487" s="58"/>
      <c r="HEN2487" s="58"/>
      <c r="HEO2487" s="58"/>
      <c r="HEP2487" s="60"/>
      <c r="HEQ2487" s="60"/>
      <c r="HER2487" s="60"/>
      <c r="HES2487" s="58"/>
      <c r="HET2487" s="61"/>
      <c r="HEU2487" s="58"/>
      <c r="HEV2487" s="58"/>
      <c r="HEW2487" s="58"/>
      <c r="HEX2487" s="60"/>
      <c r="HEY2487" s="60"/>
      <c r="HEZ2487" s="60"/>
      <c r="HFA2487" s="58"/>
      <c r="HFB2487" s="61"/>
      <c r="HFC2487" s="58"/>
      <c r="HFD2487" s="58"/>
      <c r="HFE2487" s="58"/>
      <c r="HFF2487" s="60"/>
      <c r="HFG2487" s="60"/>
      <c r="HFH2487" s="60"/>
      <c r="HFI2487" s="58"/>
      <c r="HFJ2487" s="61"/>
      <c r="HFK2487" s="58"/>
      <c r="HFL2487" s="58"/>
      <c r="HFM2487" s="58"/>
      <c r="HFN2487" s="60"/>
      <c r="HFO2487" s="60"/>
      <c r="HFP2487" s="60"/>
      <c r="HFQ2487" s="58"/>
      <c r="HFR2487" s="61"/>
      <c r="HFS2487" s="58"/>
      <c r="HFT2487" s="58"/>
      <c r="HFU2487" s="58"/>
      <c r="HFV2487" s="60"/>
      <c r="HFW2487" s="60"/>
      <c r="HFX2487" s="60"/>
      <c r="HFY2487" s="58"/>
      <c r="HFZ2487" s="61"/>
      <c r="HGA2487" s="58"/>
      <c r="HGB2487" s="58"/>
      <c r="HGC2487" s="58"/>
      <c r="HGD2487" s="60"/>
      <c r="HGE2487" s="60"/>
      <c r="HGF2487" s="60"/>
      <c r="HGG2487" s="58"/>
      <c r="HGH2487" s="61"/>
      <c r="HGI2487" s="58"/>
      <c r="HGJ2487" s="58"/>
      <c r="HGK2487" s="58"/>
      <c r="HGL2487" s="60"/>
      <c r="HGM2487" s="60"/>
      <c r="HGN2487" s="60"/>
      <c r="HGO2487" s="58"/>
      <c r="HGP2487" s="61"/>
      <c r="HGQ2487" s="58"/>
      <c r="HGR2487" s="58"/>
      <c r="HGS2487" s="58"/>
      <c r="HGT2487" s="60"/>
      <c r="HGU2487" s="60"/>
      <c r="HGV2487" s="60"/>
      <c r="HGW2487" s="58"/>
      <c r="HGX2487" s="61"/>
      <c r="HGY2487" s="58"/>
      <c r="HGZ2487" s="58"/>
      <c r="HHA2487" s="58"/>
      <c r="HHB2487" s="60"/>
      <c r="HHC2487" s="60"/>
      <c r="HHD2487" s="60"/>
      <c r="HHE2487" s="58"/>
      <c r="HHF2487" s="61"/>
      <c r="HHG2487" s="58"/>
      <c r="HHH2487" s="58"/>
      <c r="HHI2487" s="58"/>
      <c r="HHJ2487" s="60"/>
      <c r="HHK2487" s="60"/>
      <c r="HHL2487" s="60"/>
      <c r="HHM2487" s="58"/>
      <c r="HHN2487" s="61"/>
      <c r="HHO2487" s="58"/>
      <c r="HHP2487" s="58"/>
      <c r="HHQ2487" s="58"/>
      <c r="HHR2487" s="60"/>
      <c r="HHS2487" s="60"/>
      <c r="HHT2487" s="60"/>
      <c r="HHU2487" s="58"/>
      <c r="HHV2487" s="61"/>
      <c r="HHW2487" s="58"/>
      <c r="HHX2487" s="58"/>
      <c r="HHY2487" s="58"/>
      <c r="HHZ2487" s="60"/>
      <c r="HIA2487" s="60"/>
      <c r="HIB2487" s="60"/>
      <c r="HIC2487" s="58"/>
      <c r="HID2487" s="61"/>
      <c r="HIE2487" s="58"/>
      <c r="HIF2487" s="58"/>
      <c r="HIG2487" s="58"/>
      <c r="HIH2487" s="60"/>
      <c r="HII2487" s="60"/>
      <c r="HIJ2487" s="60"/>
      <c r="HIK2487" s="58"/>
      <c r="HIL2487" s="61"/>
      <c r="HIM2487" s="58"/>
      <c r="HIN2487" s="58"/>
      <c r="HIO2487" s="58"/>
      <c r="HIP2487" s="60"/>
      <c r="HIQ2487" s="60"/>
      <c r="HIR2487" s="60"/>
      <c r="HIS2487" s="58"/>
      <c r="HIT2487" s="61"/>
      <c r="HIU2487" s="58"/>
      <c r="HIV2487" s="58"/>
      <c r="HIW2487" s="58"/>
      <c r="HIX2487" s="60"/>
      <c r="HIY2487" s="60"/>
      <c r="HIZ2487" s="60"/>
      <c r="HJA2487" s="58"/>
      <c r="HJB2487" s="61"/>
      <c r="HJC2487" s="58"/>
      <c r="HJD2487" s="58"/>
      <c r="HJE2487" s="58"/>
      <c r="HJF2487" s="60"/>
      <c r="HJG2487" s="60"/>
      <c r="HJH2487" s="60"/>
      <c r="HJI2487" s="58"/>
      <c r="HJJ2487" s="61"/>
      <c r="HJK2487" s="58"/>
      <c r="HJL2487" s="58"/>
      <c r="HJM2487" s="58"/>
      <c r="HJN2487" s="60"/>
      <c r="HJO2487" s="60"/>
      <c r="HJP2487" s="60"/>
      <c r="HJQ2487" s="58"/>
      <c r="HJR2487" s="61"/>
      <c r="HJS2487" s="58"/>
      <c r="HJT2487" s="58"/>
      <c r="HJU2487" s="58"/>
      <c r="HJV2487" s="60"/>
      <c r="HJW2487" s="60"/>
      <c r="HJX2487" s="60"/>
      <c r="HJY2487" s="58"/>
      <c r="HJZ2487" s="61"/>
      <c r="HKA2487" s="58"/>
      <c r="HKB2487" s="58"/>
      <c r="HKC2487" s="58"/>
      <c r="HKD2487" s="60"/>
      <c r="HKE2487" s="60"/>
      <c r="HKF2487" s="60"/>
      <c r="HKG2487" s="58"/>
      <c r="HKH2487" s="61"/>
      <c r="HKI2487" s="58"/>
      <c r="HKJ2487" s="58"/>
      <c r="HKK2487" s="58"/>
      <c r="HKL2487" s="60"/>
      <c r="HKM2487" s="60"/>
      <c r="HKN2487" s="60"/>
      <c r="HKO2487" s="58"/>
      <c r="HKP2487" s="61"/>
      <c r="HKQ2487" s="58"/>
      <c r="HKR2487" s="58"/>
      <c r="HKS2487" s="58"/>
      <c r="HKT2487" s="60"/>
      <c r="HKU2487" s="60"/>
      <c r="HKV2487" s="60"/>
      <c r="HKW2487" s="58"/>
      <c r="HKX2487" s="61"/>
      <c r="HKY2487" s="58"/>
      <c r="HKZ2487" s="58"/>
      <c r="HLA2487" s="58"/>
      <c r="HLB2487" s="60"/>
      <c r="HLC2487" s="60"/>
      <c r="HLD2487" s="60"/>
      <c r="HLE2487" s="58"/>
      <c r="HLF2487" s="61"/>
      <c r="HLG2487" s="58"/>
      <c r="HLH2487" s="58"/>
      <c r="HLI2487" s="58"/>
      <c r="HLJ2487" s="60"/>
      <c r="HLK2487" s="60"/>
      <c r="HLL2487" s="60"/>
      <c r="HLM2487" s="58"/>
      <c r="HLN2487" s="61"/>
      <c r="HLO2487" s="58"/>
      <c r="HLP2487" s="58"/>
      <c r="HLQ2487" s="58"/>
      <c r="HLR2487" s="60"/>
      <c r="HLS2487" s="60"/>
      <c r="HLT2487" s="60"/>
      <c r="HLU2487" s="58"/>
      <c r="HLV2487" s="61"/>
      <c r="HLW2487" s="58"/>
      <c r="HLX2487" s="58"/>
      <c r="HLY2487" s="58"/>
      <c r="HLZ2487" s="60"/>
      <c r="HMA2487" s="60"/>
      <c r="HMB2487" s="60"/>
      <c r="HMC2487" s="58"/>
      <c r="HMD2487" s="61"/>
      <c r="HME2487" s="58"/>
      <c r="HMF2487" s="58"/>
      <c r="HMG2487" s="58"/>
      <c r="HMH2487" s="60"/>
      <c r="HMI2487" s="60"/>
      <c r="HMJ2487" s="60"/>
      <c r="HMK2487" s="58"/>
      <c r="HML2487" s="61"/>
      <c r="HMM2487" s="58"/>
      <c r="HMN2487" s="58"/>
      <c r="HMO2487" s="58"/>
      <c r="HMP2487" s="60"/>
      <c r="HMQ2487" s="60"/>
      <c r="HMR2487" s="60"/>
      <c r="HMS2487" s="58"/>
      <c r="HMT2487" s="61"/>
      <c r="HMU2487" s="58"/>
      <c r="HMV2487" s="58"/>
      <c r="HMW2487" s="58"/>
      <c r="HMX2487" s="60"/>
      <c r="HMY2487" s="60"/>
      <c r="HMZ2487" s="60"/>
      <c r="HNA2487" s="58"/>
      <c r="HNB2487" s="61"/>
      <c r="HNC2487" s="58"/>
      <c r="HND2487" s="58"/>
      <c r="HNE2487" s="58"/>
      <c r="HNF2487" s="60"/>
      <c r="HNG2487" s="60"/>
      <c r="HNH2487" s="60"/>
      <c r="HNI2487" s="58"/>
      <c r="HNJ2487" s="61"/>
      <c r="HNK2487" s="58"/>
      <c r="HNL2487" s="58"/>
      <c r="HNM2487" s="58"/>
      <c r="HNN2487" s="60"/>
      <c r="HNO2487" s="60"/>
      <c r="HNP2487" s="60"/>
      <c r="HNQ2487" s="58"/>
      <c r="HNR2487" s="61"/>
      <c r="HNS2487" s="58"/>
      <c r="HNT2487" s="58"/>
      <c r="HNU2487" s="58"/>
      <c r="HNV2487" s="60"/>
      <c r="HNW2487" s="60"/>
      <c r="HNX2487" s="60"/>
      <c r="HNY2487" s="58"/>
      <c r="HNZ2487" s="61"/>
      <c r="HOA2487" s="58"/>
      <c r="HOB2487" s="58"/>
      <c r="HOC2487" s="58"/>
      <c r="HOD2487" s="60"/>
      <c r="HOE2487" s="60"/>
      <c r="HOF2487" s="60"/>
      <c r="HOG2487" s="58"/>
      <c r="HOH2487" s="61"/>
      <c r="HOI2487" s="58"/>
      <c r="HOJ2487" s="58"/>
      <c r="HOK2487" s="58"/>
      <c r="HOL2487" s="60"/>
      <c r="HOM2487" s="60"/>
      <c r="HON2487" s="60"/>
      <c r="HOO2487" s="58"/>
      <c r="HOP2487" s="61"/>
      <c r="HOQ2487" s="58"/>
      <c r="HOR2487" s="58"/>
      <c r="HOS2487" s="58"/>
      <c r="HOT2487" s="60"/>
      <c r="HOU2487" s="60"/>
      <c r="HOV2487" s="60"/>
      <c r="HOW2487" s="58"/>
      <c r="HOX2487" s="61"/>
      <c r="HOY2487" s="58"/>
      <c r="HOZ2487" s="58"/>
      <c r="HPA2487" s="58"/>
      <c r="HPB2487" s="60"/>
      <c r="HPC2487" s="60"/>
      <c r="HPD2487" s="60"/>
      <c r="HPE2487" s="58"/>
      <c r="HPF2487" s="61"/>
      <c r="HPG2487" s="58"/>
      <c r="HPH2487" s="58"/>
      <c r="HPI2487" s="58"/>
      <c r="HPJ2487" s="60"/>
      <c r="HPK2487" s="60"/>
      <c r="HPL2487" s="60"/>
      <c r="HPM2487" s="58"/>
      <c r="HPN2487" s="61"/>
      <c r="HPO2487" s="58"/>
      <c r="HPP2487" s="58"/>
      <c r="HPQ2487" s="58"/>
      <c r="HPR2487" s="60"/>
      <c r="HPS2487" s="60"/>
      <c r="HPT2487" s="60"/>
      <c r="HPU2487" s="58"/>
      <c r="HPV2487" s="61"/>
      <c r="HPW2487" s="58"/>
      <c r="HPX2487" s="58"/>
      <c r="HPY2487" s="58"/>
      <c r="HPZ2487" s="60"/>
      <c r="HQA2487" s="60"/>
      <c r="HQB2487" s="60"/>
      <c r="HQC2487" s="58"/>
      <c r="HQD2487" s="61"/>
      <c r="HQE2487" s="58"/>
      <c r="HQF2487" s="58"/>
      <c r="HQG2487" s="58"/>
      <c r="HQH2487" s="60"/>
      <c r="HQI2487" s="60"/>
      <c r="HQJ2487" s="60"/>
      <c r="HQK2487" s="58"/>
      <c r="HQL2487" s="61"/>
      <c r="HQM2487" s="58"/>
      <c r="HQN2487" s="58"/>
      <c r="HQO2487" s="58"/>
      <c r="HQP2487" s="60"/>
      <c r="HQQ2487" s="60"/>
      <c r="HQR2487" s="60"/>
      <c r="HQS2487" s="58"/>
      <c r="HQT2487" s="61"/>
      <c r="HQU2487" s="58"/>
      <c r="HQV2487" s="58"/>
      <c r="HQW2487" s="58"/>
      <c r="HQX2487" s="60"/>
      <c r="HQY2487" s="60"/>
      <c r="HQZ2487" s="60"/>
      <c r="HRA2487" s="58"/>
      <c r="HRB2487" s="61"/>
      <c r="HRC2487" s="58"/>
      <c r="HRD2487" s="58"/>
      <c r="HRE2487" s="58"/>
      <c r="HRF2487" s="60"/>
      <c r="HRG2487" s="60"/>
      <c r="HRH2487" s="60"/>
      <c r="HRI2487" s="58"/>
      <c r="HRJ2487" s="61"/>
      <c r="HRK2487" s="58"/>
      <c r="HRL2487" s="58"/>
      <c r="HRM2487" s="58"/>
      <c r="HRN2487" s="60"/>
      <c r="HRO2487" s="60"/>
      <c r="HRP2487" s="60"/>
      <c r="HRQ2487" s="58"/>
      <c r="HRR2487" s="61"/>
      <c r="HRS2487" s="58"/>
      <c r="HRT2487" s="58"/>
      <c r="HRU2487" s="58"/>
      <c r="HRV2487" s="60"/>
      <c r="HRW2487" s="60"/>
      <c r="HRX2487" s="60"/>
      <c r="HRY2487" s="58"/>
      <c r="HRZ2487" s="61"/>
      <c r="HSA2487" s="58"/>
      <c r="HSB2487" s="58"/>
      <c r="HSC2487" s="58"/>
      <c r="HSD2487" s="60"/>
      <c r="HSE2487" s="60"/>
      <c r="HSF2487" s="60"/>
      <c r="HSG2487" s="58"/>
      <c r="HSH2487" s="61"/>
      <c r="HSI2487" s="58"/>
      <c r="HSJ2487" s="58"/>
      <c r="HSK2487" s="58"/>
      <c r="HSL2487" s="60"/>
      <c r="HSM2487" s="60"/>
      <c r="HSN2487" s="60"/>
      <c r="HSO2487" s="58"/>
      <c r="HSP2487" s="61"/>
      <c r="HSQ2487" s="58"/>
      <c r="HSR2487" s="58"/>
      <c r="HSS2487" s="58"/>
      <c r="HST2487" s="60"/>
      <c r="HSU2487" s="60"/>
      <c r="HSV2487" s="60"/>
      <c r="HSW2487" s="58"/>
      <c r="HSX2487" s="61"/>
      <c r="HSY2487" s="58"/>
      <c r="HSZ2487" s="58"/>
      <c r="HTA2487" s="58"/>
      <c r="HTB2487" s="60"/>
      <c r="HTC2487" s="60"/>
      <c r="HTD2487" s="60"/>
      <c r="HTE2487" s="58"/>
      <c r="HTF2487" s="61"/>
      <c r="HTG2487" s="58"/>
      <c r="HTH2487" s="58"/>
      <c r="HTI2487" s="58"/>
      <c r="HTJ2487" s="60"/>
      <c r="HTK2487" s="60"/>
      <c r="HTL2487" s="60"/>
      <c r="HTM2487" s="58"/>
      <c r="HTN2487" s="61"/>
      <c r="HTO2487" s="58"/>
      <c r="HTP2487" s="58"/>
      <c r="HTQ2487" s="58"/>
      <c r="HTR2487" s="60"/>
      <c r="HTS2487" s="60"/>
      <c r="HTT2487" s="60"/>
      <c r="HTU2487" s="58"/>
      <c r="HTV2487" s="61"/>
      <c r="HTW2487" s="58"/>
      <c r="HTX2487" s="58"/>
      <c r="HTY2487" s="58"/>
      <c r="HTZ2487" s="60"/>
      <c r="HUA2487" s="60"/>
      <c r="HUB2487" s="60"/>
      <c r="HUC2487" s="58"/>
      <c r="HUD2487" s="61"/>
      <c r="HUE2487" s="58"/>
      <c r="HUF2487" s="58"/>
      <c r="HUG2487" s="58"/>
      <c r="HUH2487" s="60"/>
      <c r="HUI2487" s="60"/>
      <c r="HUJ2487" s="60"/>
      <c r="HUK2487" s="58"/>
      <c r="HUL2487" s="61"/>
      <c r="HUM2487" s="58"/>
      <c r="HUN2487" s="58"/>
      <c r="HUO2487" s="58"/>
      <c r="HUP2487" s="60"/>
      <c r="HUQ2487" s="60"/>
      <c r="HUR2487" s="60"/>
      <c r="HUS2487" s="58"/>
      <c r="HUT2487" s="61"/>
      <c r="HUU2487" s="58"/>
      <c r="HUV2487" s="58"/>
      <c r="HUW2487" s="58"/>
      <c r="HUX2487" s="60"/>
      <c r="HUY2487" s="60"/>
      <c r="HUZ2487" s="60"/>
      <c r="HVA2487" s="58"/>
      <c r="HVB2487" s="61"/>
      <c r="HVC2487" s="58"/>
      <c r="HVD2487" s="58"/>
      <c r="HVE2487" s="58"/>
      <c r="HVF2487" s="60"/>
      <c r="HVG2487" s="60"/>
      <c r="HVH2487" s="60"/>
      <c r="HVI2487" s="58"/>
      <c r="HVJ2487" s="61"/>
      <c r="HVK2487" s="58"/>
      <c r="HVL2487" s="58"/>
      <c r="HVM2487" s="58"/>
      <c r="HVN2487" s="60"/>
      <c r="HVO2487" s="60"/>
      <c r="HVP2487" s="60"/>
      <c r="HVQ2487" s="58"/>
      <c r="HVR2487" s="61"/>
      <c r="HVS2487" s="58"/>
      <c r="HVT2487" s="58"/>
      <c r="HVU2487" s="58"/>
      <c r="HVV2487" s="60"/>
      <c r="HVW2487" s="60"/>
      <c r="HVX2487" s="60"/>
      <c r="HVY2487" s="58"/>
      <c r="HVZ2487" s="61"/>
      <c r="HWA2487" s="58"/>
      <c r="HWB2487" s="58"/>
      <c r="HWC2487" s="58"/>
      <c r="HWD2487" s="60"/>
      <c r="HWE2487" s="60"/>
      <c r="HWF2487" s="60"/>
      <c r="HWG2487" s="58"/>
      <c r="HWH2487" s="61"/>
      <c r="HWI2487" s="58"/>
      <c r="HWJ2487" s="58"/>
      <c r="HWK2487" s="58"/>
      <c r="HWL2487" s="60"/>
      <c r="HWM2487" s="60"/>
      <c r="HWN2487" s="60"/>
      <c r="HWO2487" s="58"/>
      <c r="HWP2487" s="61"/>
      <c r="HWQ2487" s="58"/>
      <c r="HWR2487" s="58"/>
      <c r="HWS2487" s="58"/>
      <c r="HWT2487" s="60"/>
      <c r="HWU2487" s="60"/>
      <c r="HWV2487" s="60"/>
      <c r="HWW2487" s="58"/>
      <c r="HWX2487" s="61"/>
      <c r="HWY2487" s="58"/>
      <c r="HWZ2487" s="58"/>
      <c r="HXA2487" s="58"/>
      <c r="HXB2487" s="60"/>
      <c r="HXC2487" s="60"/>
      <c r="HXD2487" s="60"/>
      <c r="HXE2487" s="58"/>
      <c r="HXF2487" s="61"/>
      <c r="HXG2487" s="58"/>
      <c r="HXH2487" s="58"/>
      <c r="HXI2487" s="58"/>
      <c r="HXJ2487" s="60"/>
      <c r="HXK2487" s="60"/>
      <c r="HXL2487" s="60"/>
      <c r="HXM2487" s="58"/>
      <c r="HXN2487" s="61"/>
      <c r="HXO2487" s="58"/>
      <c r="HXP2487" s="58"/>
      <c r="HXQ2487" s="58"/>
      <c r="HXR2487" s="60"/>
      <c r="HXS2487" s="60"/>
      <c r="HXT2487" s="60"/>
      <c r="HXU2487" s="58"/>
      <c r="HXV2487" s="61"/>
      <c r="HXW2487" s="58"/>
      <c r="HXX2487" s="58"/>
      <c r="HXY2487" s="58"/>
      <c r="HXZ2487" s="60"/>
      <c r="HYA2487" s="60"/>
      <c r="HYB2487" s="60"/>
      <c r="HYC2487" s="58"/>
      <c r="HYD2487" s="61"/>
      <c r="HYE2487" s="58"/>
      <c r="HYF2487" s="58"/>
      <c r="HYG2487" s="58"/>
      <c r="HYH2487" s="60"/>
      <c r="HYI2487" s="60"/>
      <c r="HYJ2487" s="60"/>
      <c r="HYK2487" s="58"/>
      <c r="HYL2487" s="61"/>
      <c r="HYM2487" s="58"/>
      <c r="HYN2487" s="58"/>
      <c r="HYO2487" s="58"/>
      <c r="HYP2487" s="60"/>
      <c r="HYQ2487" s="60"/>
      <c r="HYR2487" s="60"/>
      <c r="HYS2487" s="58"/>
      <c r="HYT2487" s="61"/>
      <c r="HYU2487" s="58"/>
      <c r="HYV2487" s="58"/>
      <c r="HYW2487" s="58"/>
      <c r="HYX2487" s="60"/>
      <c r="HYY2487" s="60"/>
      <c r="HYZ2487" s="60"/>
      <c r="HZA2487" s="58"/>
      <c r="HZB2487" s="61"/>
      <c r="HZC2487" s="58"/>
      <c r="HZD2487" s="58"/>
      <c r="HZE2487" s="58"/>
      <c r="HZF2487" s="60"/>
      <c r="HZG2487" s="60"/>
      <c r="HZH2487" s="60"/>
      <c r="HZI2487" s="58"/>
      <c r="HZJ2487" s="61"/>
      <c r="HZK2487" s="58"/>
      <c r="HZL2487" s="58"/>
      <c r="HZM2487" s="58"/>
      <c r="HZN2487" s="60"/>
      <c r="HZO2487" s="60"/>
      <c r="HZP2487" s="60"/>
      <c r="HZQ2487" s="58"/>
      <c r="HZR2487" s="61"/>
      <c r="HZS2487" s="58"/>
      <c r="HZT2487" s="58"/>
      <c r="HZU2487" s="58"/>
      <c r="HZV2487" s="60"/>
      <c r="HZW2487" s="60"/>
      <c r="HZX2487" s="60"/>
      <c r="HZY2487" s="58"/>
      <c r="HZZ2487" s="61"/>
      <c r="IAA2487" s="58"/>
      <c r="IAB2487" s="58"/>
      <c r="IAC2487" s="58"/>
      <c r="IAD2487" s="60"/>
      <c r="IAE2487" s="60"/>
      <c r="IAF2487" s="60"/>
      <c r="IAG2487" s="58"/>
      <c r="IAH2487" s="61"/>
      <c r="IAI2487" s="58"/>
      <c r="IAJ2487" s="58"/>
      <c r="IAK2487" s="58"/>
      <c r="IAL2487" s="60"/>
      <c r="IAM2487" s="60"/>
      <c r="IAN2487" s="60"/>
      <c r="IAO2487" s="58"/>
      <c r="IAP2487" s="61"/>
      <c r="IAQ2487" s="58"/>
      <c r="IAR2487" s="58"/>
      <c r="IAS2487" s="58"/>
      <c r="IAT2487" s="60"/>
      <c r="IAU2487" s="60"/>
      <c r="IAV2487" s="60"/>
      <c r="IAW2487" s="58"/>
      <c r="IAX2487" s="61"/>
      <c r="IAY2487" s="58"/>
      <c r="IAZ2487" s="58"/>
      <c r="IBA2487" s="58"/>
      <c r="IBB2487" s="60"/>
      <c r="IBC2487" s="60"/>
      <c r="IBD2487" s="60"/>
      <c r="IBE2487" s="58"/>
      <c r="IBF2487" s="61"/>
      <c r="IBG2487" s="58"/>
      <c r="IBH2487" s="58"/>
      <c r="IBI2487" s="58"/>
      <c r="IBJ2487" s="60"/>
      <c r="IBK2487" s="60"/>
      <c r="IBL2487" s="60"/>
      <c r="IBM2487" s="58"/>
      <c r="IBN2487" s="61"/>
      <c r="IBO2487" s="58"/>
      <c r="IBP2487" s="58"/>
      <c r="IBQ2487" s="58"/>
      <c r="IBR2487" s="60"/>
      <c r="IBS2487" s="60"/>
      <c r="IBT2487" s="60"/>
      <c r="IBU2487" s="58"/>
      <c r="IBV2487" s="61"/>
      <c r="IBW2487" s="58"/>
      <c r="IBX2487" s="58"/>
      <c r="IBY2487" s="58"/>
      <c r="IBZ2487" s="60"/>
      <c r="ICA2487" s="60"/>
      <c r="ICB2487" s="60"/>
      <c r="ICC2487" s="58"/>
      <c r="ICD2487" s="61"/>
      <c r="ICE2487" s="58"/>
      <c r="ICF2487" s="58"/>
      <c r="ICG2487" s="58"/>
      <c r="ICH2487" s="60"/>
      <c r="ICI2487" s="60"/>
      <c r="ICJ2487" s="60"/>
      <c r="ICK2487" s="58"/>
      <c r="ICL2487" s="61"/>
      <c r="ICM2487" s="58"/>
      <c r="ICN2487" s="58"/>
      <c r="ICO2487" s="58"/>
      <c r="ICP2487" s="60"/>
      <c r="ICQ2487" s="60"/>
      <c r="ICR2487" s="60"/>
      <c r="ICS2487" s="58"/>
      <c r="ICT2487" s="61"/>
      <c r="ICU2487" s="58"/>
      <c r="ICV2487" s="58"/>
      <c r="ICW2487" s="58"/>
      <c r="ICX2487" s="60"/>
      <c r="ICY2487" s="60"/>
      <c r="ICZ2487" s="60"/>
      <c r="IDA2487" s="58"/>
      <c r="IDB2487" s="61"/>
      <c r="IDC2487" s="58"/>
      <c r="IDD2487" s="58"/>
      <c r="IDE2487" s="58"/>
      <c r="IDF2487" s="60"/>
      <c r="IDG2487" s="60"/>
      <c r="IDH2487" s="60"/>
      <c r="IDI2487" s="58"/>
      <c r="IDJ2487" s="61"/>
      <c r="IDK2487" s="58"/>
      <c r="IDL2487" s="58"/>
      <c r="IDM2487" s="58"/>
      <c r="IDN2487" s="60"/>
      <c r="IDO2487" s="60"/>
      <c r="IDP2487" s="60"/>
      <c r="IDQ2487" s="58"/>
      <c r="IDR2487" s="61"/>
      <c r="IDS2487" s="58"/>
      <c r="IDT2487" s="58"/>
      <c r="IDU2487" s="58"/>
      <c r="IDV2487" s="60"/>
      <c r="IDW2487" s="60"/>
      <c r="IDX2487" s="60"/>
      <c r="IDY2487" s="58"/>
      <c r="IDZ2487" s="61"/>
      <c r="IEA2487" s="58"/>
      <c r="IEB2487" s="58"/>
      <c r="IEC2487" s="58"/>
      <c r="IED2487" s="60"/>
      <c r="IEE2487" s="60"/>
      <c r="IEF2487" s="60"/>
      <c r="IEG2487" s="58"/>
      <c r="IEH2487" s="61"/>
      <c r="IEI2487" s="58"/>
      <c r="IEJ2487" s="58"/>
      <c r="IEK2487" s="58"/>
      <c r="IEL2487" s="60"/>
      <c r="IEM2487" s="60"/>
      <c r="IEN2487" s="60"/>
      <c r="IEO2487" s="58"/>
      <c r="IEP2487" s="61"/>
      <c r="IEQ2487" s="58"/>
      <c r="IER2487" s="58"/>
      <c r="IES2487" s="58"/>
      <c r="IET2487" s="60"/>
      <c r="IEU2487" s="60"/>
      <c r="IEV2487" s="60"/>
      <c r="IEW2487" s="58"/>
      <c r="IEX2487" s="61"/>
      <c r="IEY2487" s="58"/>
      <c r="IEZ2487" s="58"/>
      <c r="IFA2487" s="58"/>
      <c r="IFB2487" s="60"/>
      <c r="IFC2487" s="60"/>
      <c r="IFD2487" s="60"/>
      <c r="IFE2487" s="58"/>
      <c r="IFF2487" s="61"/>
      <c r="IFG2487" s="58"/>
      <c r="IFH2487" s="58"/>
      <c r="IFI2487" s="58"/>
      <c r="IFJ2487" s="60"/>
      <c r="IFK2487" s="60"/>
      <c r="IFL2487" s="60"/>
      <c r="IFM2487" s="58"/>
      <c r="IFN2487" s="61"/>
      <c r="IFO2487" s="58"/>
      <c r="IFP2487" s="58"/>
      <c r="IFQ2487" s="58"/>
      <c r="IFR2487" s="60"/>
      <c r="IFS2487" s="60"/>
      <c r="IFT2487" s="60"/>
      <c r="IFU2487" s="58"/>
      <c r="IFV2487" s="61"/>
      <c r="IFW2487" s="58"/>
      <c r="IFX2487" s="58"/>
      <c r="IFY2487" s="58"/>
      <c r="IFZ2487" s="60"/>
      <c r="IGA2487" s="60"/>
      <c r="IGB2487" s="60"/>
      <c r="IGC2487" s="58"/>
      <c r="IGD2487" s="61"/>
      <c r="IGE2487" s="58"/>
      <c r="IGF2487" s="58"/>
      <c r="IGG2487" s="58"/>
      <c r="IGH2487" s="60"/>
      <c r="IGI2487" s="60"/>
      <c r="IGJ2487" s="60"/>
      <c r="IGK2487" s="58"/>
      <c r="IGL2487" s="61"/>
      <c r="IGM2487" s="58"/>
      <c r="IGN2487" s="58"/>
      <c r="IGO2487" s="58"/>
      <c r="IGP2487" s="60"/>
      <c r="IGQ2487" s="60"/>
      <c r="IGR2487" s="60"/>
      <c r="IGS2487" s="58"/>
      <c r="IGT2487" s="61"/>
      <c r="IGU2487" s="58"/>
      <c r="IGV2487" s="58"/>
      <c r="IGW2487" s="58"/>
      <c r="IGX2487" s="60"/>
      <c r="IGY2487" s="60"/>
      <c r="IGZ2487" s="60"/>
      <c r="IHA2487" s="58"/>
      <c r="IHB2487" s="61"/>
      <c r="IHC2487" s="58"/>
      <c r="IHD2487" s="58"/>
      <c r="IHE2487" s="58"/>
      <c r="IHF2487" s="60"/>
      <c r="IHG2487" s="60"/>
      <c r="IHH2487" s="60"/>
      <c r="IHI2487" s="58"/>
      <c r="IHJ2487" s="61"/>
      <c r="IHK2487" s="58"/>
      <c r="IHL2487" s="58"/>
      <c r="IHM2487" s="58"/>
      <c r="IHN2487" s="60"/>
      <c r="IHO2487" s="60"/>
      <c r="IHP2487" s="60"/>
      <c r="IHQ2487" s="58"/>
      <c r="IHR2487" s="61"/>
      <c r="IHS2487" s="58"/>
      <c r="IHT2487" s="58"/>
      <c r="IHU2487" s="58"/>
      <c r="IHV2487" s="60"/>
      <c r="IHW2487" s="60"/>
      <c r="IHX2487" s="60"/>
      <c r="IHY2487" s="58"/>
      <c r="IHZ2487" s="61"/>
      <c r="IIA2487" s="58"/>
      <c r="IIB2487" s="58"/>
      <c r="IIC2487" s="58"/>
      <c r="IID2487" s="60"/>
      <c r="IIE2487" s="60"/>
      <c r="IIF2487" s="60"/>
      <c r="IIG2487" s="58"/>
      <c r="IIH2487" s="61"/>
      <c r="III2487" s="58"/>
      <c r="IIJ2487" s="58"/>
      <c r="IIK2487" s="58"/>
      <c r="IIL2487" s="60"/>
      <c r="IIM2487" s="60"/>
      <c r="IIN2487" s="60"/>
      <c r="IIO2487" s="58"/>
      <c r="IIP2487" s="61"/>
      <c r="IIQ2487" s="58"/>
      <c r="IIR2487" s="58"/>
      <c r="IIS2487" s="58"/>
      <c r="IIT2487" s="60"/>
      <c r="IIU2487" s="60"/>
      <c r="IIV2487" s="60"/>
      <c r="IIW2487" s="58"/>
      <c r="IIX2487" s="61"/>
      <c r="IIY2487" s="58"/>
      <c r="IIZ2487" s="58"/>
      <c r="IJA2487" s="58"/>
      <c r="IJB2487" s="60"/>
      <c r="IJC2487" s="60"/>
      <c r="IJD2487" s="60"/>
      <c r="IJE2487" s="58"/>
      <c r="IJF2487" s="61"/>
      <c r="IJG2487" s="58"/>
      <c r="IJH2487" s="58"/>
      <c r="IJI2487" s="58"/>
      <c r="IJJ2487" s="60"/>
      <c r="IJK2487" s="60"/>
      <c r="IJL2487" s="60"/>
      <c r="IJM2487" s="58"/>
      <c r="IJN2487" s="61"/>
      <c r="IJO2487" s="58"/>
      <c r="IJP2487" s="58"/>
      <c r="IJQ2487" s="58"/>
      <c r="IJR2487" s="60"/>
      <c r="IJS2487" s="60"/>
      <c r="IJT2487" s="60"/>
      <c r="IJU2487" s="58"/>
      <c r="IJV2487" s="61"/>
      <c r="IJW2487" s="58"/>
      <c r="IJX2487" s="58"/>
      <c r="IJY2487" s="58"/>
      <c r="IJZ2487" s="60"/>
      <c r="IKA2487" s="60"/>
      <c r="IKB2487" s="60"/>
      <c r="IKC2487" s="58"/>
      <c r="IKD2487" s="61"/>
      <c r="IKE2487" s="58"/>
      <c r="IKF2487" s="58"/>
      <c r="IKG2487" s="58"/>
      <c r="IKH2487" s="60"/>
      <c r="IKI2487" s="60"/>
      <c r="IKJ2487" s="60"/>
      <c r="IKK2487" s="58"/>
      <c r="IKL2487" s="61"/>
      <c r="IKM2487" s="58"/>
      <c r="IKN2487" s="58"/>
      <c r="IKO2487" s="58"/>
      <c r="IKP2487" s="60"/>
      <c r="IKQ2487" s="60"/>
      <c r="IKR2487" s="60"/>
      <c r="IKS2487" s="58"/>
      <c r="IKT2487" s="61"/>
      <c r="IKU2487" s="58"/>
      <c r="IKV2487" s="58"/>
      <c r="IKW2487" s="58"/>
      <c r="IKX2487" s="60"/>
      <c r="IKY2487" s="60"/>
      <c r="IKZ2487" s="60"/>
      <c r="ILA2487" s="58"/>
      <c r="ILB2487" s="61"/>
      <c r="ILC2487" s="58"/>
      <c r="ILD2487" s="58"/>
      <c r="ILE2487" s="58"/>
      <c r="ILF2487" s="60"/>
      <c r="ILG2487" s="60"/>
      <c r="ILH2487" s="60"/>
      <c r="ILI2487" s="58"/>
      <c r="ILJ2487" s="61"/>
      <c r="ILK2487" s="58"/>
      <c r="ILL2487" s="58"/>
      <c r="ILM2487" s="58"/>
      <c r="ILN2487" s="60"/>
      <c r="ILO2487" s="60"/>
      <c r="ILP2487" s="60"/>
      <c r="ILQ2487" s="58"/>
      <c r="ILR2487" s="61"/>
      <c r="ILS2487" s="58"/>
      <c r="ILT2487" s="58"/>
      <c r="ILU2487" s="58"/>
      <c r="ILV2487" s="60"/>
      <c r="ILW2487" s="60"/>
      <c r="ILX2487" s="60"/>
      <c r="ILY2487" s="58"/>
      <c r="ILZ2487" s="61"/>
      <c r="IMA2487" s="58"/>
      <c r="IMB2487" s="58"/>
      <c r="IMC2487" s="58"/>
      <c r="IMD2487" s="60"/>
      <c r="IME2487" s="60"/>
      <c r="IMF2487" s="60"/>
      <c r="IMG2487" s="58"/>
      <c r="IMH2487" s="61"/>
      <c r="IMI2487" s="58"/>
      <c r="IMJ2487" s="58"/>
      <c r="IMK2487" s="58"/>
      <c r="IML2487" s="60"/>
      <c r="IMM2487" s="60"/>
      <c r="IMN2487" s="60"/>
      <c r="IMO2487" s="58"/>
      <c r="IMP2487" s="61"/>
      <c r="IMQ2487" s="58"/>
      <c r="IMR2487" s="58"/>
      <c r="IMS2487" s="58"/>
      <c r="IMT2487" s="60"/>
      <c r="IMU2487" s="60"/>
      <c r="IMV2487" s="60"/>
      <c r="IMW2487" s="58"/>
      <c r="IMX2487" s="61"/>
      <c r="IMY2487" s="58"/>
      <c r="IMZ2487" s="58"/>
      <c r="INA2487" s="58"/>
      <c r="INB2487" s="60"/>
      <c r="INC2487" s="60"/>
      <c r="IND2487" s="60"/>
      <c r="INE2487" s="58"/>
      <c r="INF2487" s="61"/>
      <c r="ING2487" s="58"/>
      <c r="INH2487" s="58"/>
      <c r="INI2487" s="58"/>
      <c r="INJ2487" s="60"/>
      <c r="INK2487" s="60"/>
      <c r="INL2487" s="60"/>
      <c r="INM2487" s="58"/>
      <c r="INN2487" s="61"/>
      <c r="INO2487" s="58"/>
      <c r="INP2487" s="58"/>
      <c r="INQ2487" s="58"/>
      <c r="INR2487" s="60"/>
      <c r="INS2487" s="60"/>
      <c r="INT2487" s="60"/>
      <c r="INU2487" s="58"/>
      <c r="INV2487" s="61"/>
      <c r="INW2487" s="58"/>
      <c r="INX2487" s="58"/>
      <c r="INY2487" s="58"/>
      <c r="INZ2487" s="60"/>
      <c r="IOA2487" s="60"/>
      <c r="IOB2487" s="60"/>
      <c r="IOC2487" s="58"/>
      <c r="IOD2487" s="61"/>
      <c r="IOE2487" s="58"/>
      <c r="IOF2487" s="58"/>
      <c r="IOG2487" s="58"/>
      <c r="IOH2487" s="60"/>
      <c r="IOI2487" s="60"/>
      <c r="IOJ2487" s="60"/>
      <c r="IOK2487" s="58"/>
      <c r="IOL2487" s="61"/>
      <c r="IOM2487" s="58"/>
      <c r="ION2487" s="58"/>
      <c r="IOO2487" s="58"/>
      <c r="IOP2487" s="60"/>
      <c r="IOQ2487" s="60"/>
      <c r="IOR2487" s="60"/>
      <c r="IOS2487" s="58"/>
      <c r="IOT2487" s="61"/>
      <c r="IOU2487" s="58"/>
      <c r="IOV2487" s="58"/>
      <c r="IOW2487" s="58"/>
      <c r="IOX2487" s="60"/>
      <c r="IOY2487" s="60"/>
      <c r="IOZ2487" s="60"/>
      <c r="IPA2487" s="58"/>
      <c r="IPB2487" s="61"/>
      <c r="IPC2487" s="58"/>
      <c r="IPD2487" s="58"/>
      <c r="IPE2487" s="58"/>
      <c r="IPF2487" s="60"/>
      <c r="IPG2487" s="60"/>
      <c r="IPH2487" s="60"/>
      <c r="IPI2487" s="58"/>
      <c r="IPJ2487" s="61"/>
      <c r="IPK2487" s="58"/>
      <c r="IPL2487" s="58"/>
      <c r="IPM2487" s="58"/>
      <c r="IPN2487" s="60"/>
      <c r="IPO2487" s="60"/>
      <c r="IPP2487" s="60"/>
      <c r="IPQ2487" s="58"/>
      <c r="IPR2487" s="61"/>
      <c r="IPS2487" s="58"/>
      <c r="IPT2487" s="58"/>
      <c r="IPU2487" s="58"/>
      <c r="IPV2487" s="60"/>
      <c r="IPW2487" s="60"/>
      <c r="IPX2487" s="60"/>
      <c r="IPY2487" s="58"/>
      <c r="IPZ2487" s="61"/>
      <c r="IQA2487" s="58"/>
      <c r="IQB2487" s="58"/>
      <c r="IQC2487" s="58"/>
      <c r="IQD2487" s="60"/>
      <c r="IQE2487" s="60"/>
      <c r="IQF2487" s="60"/>
      <c r="IQG2487" s="58"/>
      <c r="IQH2487" s="61"/>
      <c r="IQI2487" s="58"/>
      <c r="IQJ2487" s="58"/>
      <c r="IQK2487" s="58"/>
      <c r="IQL2487" s="60"/>
      <c r="IQM2487" s="60"/>
      <c r="IQN2487" s="60"/>
      <c r="IQO2487" s="58"/>
      <c r="IQP2487" s="61"/>
      <c r="IQQ2487" s="58"/>
      <c r="IQR2487" s="58"/>
      <c r="IQS2487" s="58"/>
      <c r="IQT2487" s="60"/>
      <c r="IQU2487" s="60"/>
      <c r="IQV2487" s="60"/>
      <c r="IQW2487" s="58"/>
      <c r="IQX2487" s="61"/>
      <c r="IQY2487" s="58"/>
      <c r="IQZ2487" s="58"/>
      <c r="IRA2487" s="58"/>
      <c r="IRB2487" s="60"/>
      <c r="IRC2487" s="60"/>
      <c r="IRD2487" s="60"/>
      <c r="IRE2487" s="58"/>
      <c r="IRF2487" s="61"/>
      <c r="IRG2487" s="58"/>
      <c r="IRH2487" s="58"/>
      <c r="IRI2487" s="58"/>
      <c r="IRJ2487" s="60"/>
      <c r="IRK2487" s="60"/>
      <c r="IRL2487" s="60"/>
      <c r="IRM2487" s="58"/>
      <c r="IRN2487" s="61"/>
      <c r="IRO2487" s="58"/>
      <c r="IRP2487" s="58"/>
      <c r="IRQ2487" s="58"/>
      <c r="IRR2487" s="60"/>
      <c r="IRS2487" s="60"/>
      <c r="IRT2487" s="60"/>
      <c r="IRU2487" s="58"/>
      <c r="IRV2487" s="61"/>
      <c r="IRW2487" s="58"/>
      <c r="IRX2487" s="58"/>
      <c r="IRY2487" s="58"/>
      <c r="IRZ2487" s="60"/>
      <c r="ISA2487" s="60"/>
      <c r="ISB2487" s="60"/>
      <c r="ISC2487" s="58"/>
      <c r="ISD2487" s="61"/>
      <c r="ISE2487" s="58"/>
      <c r="ISF2487" s="58"/>
      <c r="ISG2487" s="58"/>
      <c r="ISH2487" s="60"/>
      <c r="ISI2487" s="60"/>
      <c r="ISJ2487" s="60"/>
      <c r="ISK2487" s="58"/>
      <c r="ISL2487" s="61"/>
      <c r="ISM2487" s="58"/>
      <c r="ISN2487" s="58"/>
      <c r="ISO2487" s="58"/>
      <c r="ISP2487" s="60"/>
      <c r="ISQ2487" s="60"/>
      <c r="ISR2487" s="60"/>
      <c r="ISS2487" s="58"/>
      <c r="IST2487" s="61"/>
      <c r="ISU2487" s="58"/>
      <c r="ISV2487" s="58"/>
      <c r="ISW2487" s="58"/>
      <c r="ISX2487" s="60"/>
      <c r="ISY2487" s="60"/>
      <c r="ISZ2487" s="60"/>
      <c r="ITA2487" s="58"/>
      <c r="ITB2487" s="61"/>
      <c r="ITC2487" s="58"/>
      <c r="ITD2487" s="58"/>
      <c r="ITE2487" s="58"/>
      <c r="ITF2487" s="60"/>
      <c r="ITG2487" s="60"/>
      <c r="ITH2487" s="60"/>
      <c r="ITI2487" s="58"/>
      <c r="ITJ2487" s="61"/>
      <c r="ITK2487" s="58"/>
      <c r="ITL2487" s="58"/>
      <c r="ITM2487" s="58"/>
      <c r="ITN2487" s="60"/>
      <c r="ITO2487" s="60"/>
      <c r="ITP2487" s="60"/>
      <c r="ITQ2487" s="58"/>
      <c r="ITR2487" s="61"/>
      <c r="ITS2487" s="58"/>
      <c r="ITT2487" s="58"/>
      <c r="ITU2487" s="58"/>
      <c r="ITV2487" s="60"/>
      <c r="ITW2487" s="60"/>
      <c r="ITX2487" s="60"/>
      <c r="ITY2487" s="58"/>
      <c r="ITZ2487" s="61"/>
      <c r="IUA2487" s="58"/>
      <c r="IUB2487" s="58"/>
      <c r="IUC2487" s="58"/>
      <c r="IUD2487" s="60"/>
      <c r="IUE2487" s="60"/>
      <c r="IUF2487" s="60"/>
      <c r="IUG2487" s="58"/>
      <c r="IUH2487" s="61"/>
      <c r="IUI2487" s="58"/>
      <c r="IUJ2487" s="58"/>
      <c r="IUK2487" s="58"/>
      <c r="IUL2487" s="60"/>
      <c r="IUM2487" s="60"/>
      <c r="IUN2487" s="60"/>
      <c r="IUO2487" s="58"/>
      <c r="IUP2487" s="61"/>
      <c r="IUQ2487" s="58"/>
      <c r="IUR2487" s="58"/>
      <c r="IUS2487" s="58"/>
      <c r="IUT2487" s="60"/>
      <c r="IUU2487" s="60"/>
      <c r="IUV2487" s="60"/>
      <c r="IUW2487" s="58"/>
      <c r="IUX2487" s="61"/>
      <c r="IUY2487" s="58"/>
      <c r="IUZ2487" s="58"/>
      <c r="IVA2487" s="58"/>
      <c r="IVB2487" s="60"/>
      <c r="IVC2487" s="60"/>
      <c r="IVD2487" s="60"/>
      <c r="IVE2487" s="58"/>
      <c r="IVF2487" s="61"/>
      <c r="IVG2487" s="58"/>
      <c r="IVH2487" s="58"/>
      <c r="IVI2487" s="58"/>
      <c r="IVJ2487" s="60"/>
      <c r="IVK2487" s="60"/>
      <c r="IVL2487" s="60"/>
      <c r="IVM2487" s="58"/>
      <c r="IVN2487" s="61"/>
      <c r="IVO2487" s="58"/>
      <c r="IVP2487" s="58"/>
      <c r="IVQ2487" s="58"/>
      <c r="IVR2487" s="60"/>
      <c r="IVS2487" s="60"/>
      <c r="IVT2487" s="60"/>
      <c r="IVU2487" s="58"/>
      <c r="IVV2487" s="61"/>
      <c r="IVW2487" s="58"/>
      <c r="IVX2487" s="58"/>
      <c r="IVY2487" s="58"/>
      <c r="IVZ2487" s="60"/>
      <c r="IWA2487" s="60"/>
      <c r="IWB2487" s="60"/>
      <c r="IWC2487" s="58"/>
      <c r="IWD2487" s="61"/>
      <c r="IWE2487" s="58"/>
      <c r="IWF2487" s="58"/>
      <c r="IWG2487" s="58"/>
      <c r="IWH2487" s="60"/>
      <c r="IWI2487" s="60"/>
      <c r="IWJ2487" s="60"/>
      <c r="IWK2487" s="58"/>
      <c r="IWL2487" s="61"/>
      <c r="IWM2487" s="58"/>
      <c r="IWN2487" s="58"/>
      <c r="IWO2487" s="58"/>
      <c r="IWP2487" s="60"/>
      <c r="IWQ2487" s="60"/>
      <c r="IWR2487" s="60"/>
      <c r="IWS2487" s="58"/>
      <c r="IWT2487" s="61"/>
      <c r="IWU2487" s="58"/>
      <c r="IWV2487" s="58"/>
      <c r="IWW2487" s="58"/>
      <c r="IWX2487" s="60"/>
      <c r="IWY2487" s="60"/>
      <c r="IWZ2487" s="60"/>
      <c r="IXA2487" s="58"/>
      <c r="IXB2487" s="61"/>
      <c r="IXC2487" s="58"/>
      <c r="IXD2487" s="58"/>
      <c r="IXE2487" s="58"/>
      <c r="IXF2487" s="60"/>
      <c r="IXG2487" s="60"/>
      <c r="IXH2487" s="60"/>
      <c r="IXI2487" s="58"/>
      <c r="IXJ2487" s="61"/>
      <c r="IXK2487" s="58"/>
      <c r="IXL2487" s="58"/>
      <c r="IXM2487" s="58"/>
      <c r="IXN2487" s="60"/>
      <c r="IXO2487" s="60"/>
      <c r="IXP2487" s="60"/>
      <c r="IXQ2487" s="58"/>
      <c r="IXR2487" s="61"/>
      <c r="IXS2487" s="58"/>
      <c r="IXT2487" s="58"/>
      <c r="IXU2487" s="58"/>
      <c r="IXV2487" s="60"/>
      <c r="IXW2487" s="60"/>
      <c r="IXX2487" s="60"/>
      <c r="IXY2487" s="58"/>
      <c r="IXZ2487" s="61"/>
      <c r="IYA2487" s="58"/>
      <c r="IYB2487" s="58"/>
      <c r="IYC2487" s="58"/>
      <c r="IYD2487" s="60"/>
      <c r="IYE2487" s="60"/>
      <c r="IYF2487" s="60"/>
      <c r="IYG2487" s="58"/>
      <c r="IYH2487" s="61"/>
      <c r="IYI2487" s="58"/>
      <c r="IYJ2487" s="58"/>
      <c r="IYK2487" s="58"/>
      <c r="IYL2487" s="60"/>
      <c r="IYM2487" s="60"/>
      <c r="IYN2487" s="60"/>
      <c r="IYO2487" s="58"/>
      <c r="IYP2487" s="61"/>
      <c r="IYQ2487" s="58"/>
      <c r="IYR2487" s="58"/>
      <c r="IYS2487" s="58"/>
      <c r="IYT2487" s="60"/>
      <c r="IYU2487" s="60"/>
      <c r="IYV2487" s="60"/>
      <c r="IYW2487" s="58"/>
      <c r="IYX2487" s="61"/>
      <c r="IYY2487" s="58"/>
      <c r="IYZ2487" s="58"/>
      <c r="IZA2487" s="58"/>
      <c r="IZB2487" s="60"/>
      <c r="IZC2487" s="60"/>
      <c r="IZD2487" s="60"/>
      <c r="IZE2487" s="58"/>
      <c r="IZF2487" s="61"/>
      <c r="IZG2487" s="58"/>
      <c r="IZH2487" s="58"/>
      <c r="IZI2487" s="58"/>
      <c r="IZJ2487" s="60"/>
      <c r="IZK2487" s="60"/>
      <c r="IZL2487" s="60"/>
      <c r="IZM2487" s="58"/>
      <c r="IZN2487" s="61"/>
      <c r="IZO2487" s="58"/>
      <c r="IZP2487" s="58"/>
      <c r="IZQ2487" s="58"/>
      <c r="IZR2487" s="60"/>
      <c r="IZS2487" s="60"/>
      <c r="IZT2487" s="60"/>
      <c r="IZU2487" s="58"/>
      <c r="IZV2487" s="61"/>
      <c r="IZW2487" s="58"/>
      <c r="IZX2487" s="58"/>
      <c r="IZY2487" s="58"/>
      <c r="IZZ2487" s="60"/>
      <c r="JAA2487" s="60"/>
      <c r="JAB2487" s="60"/>
      <c r="JAC2487" s="58"/>
      <c r="JAD2487" s="61"/>
      <c r="JAE2487" s="58"/>
      <c r="JAF2487" s="58"/>
      <c r="JAG2487" s="58"/>
      <c r="JAH2487" s="60"/>
      <c r="JAI2487" s="60"/>
      <c r="JAJ2487" s="60"/>
      <c r="JAK2487" s="58"/>
      <c r="JAL2487" s="61"/>
      <c r="JAM2487" s="58"/>
      <c r="JAN2487" s="58"/>
      <c r="JAO2487" s="58"/>
      <c r="JAP2487" s="60"/>
      <c r="JAQ2487" s="60"/>
      <c r="JAR2487" s="60"/>
      <c r="JAS2487" s="58"/>
      <c r="JAT2487" s="61"/>
      <c r="JAU2487" s="58"/>
      <c r="JAV2487" s="58"/>
      <c r="JAW2487" s="58"/>
      <c r="JAX2487" s="60"/>
      <c r="JAY2487" s="60"/>
      <c r="JAZ2487" s="60"/>
      <c r="JBA2487" s="58"/>
      <c r="JBB2487" s="61"/>
      <c r="JBC2487" s="58"/>
      <c r="JBD2487" s="58"/>
      <c r="JBE2487" s="58"/>
      <c r="JBF2487" s="60"/>
      <c r="JBG2487" s="60"/>
      <c r="JBH2487" s="60"/>
      <c r="JBI2487" s="58"/>
      <c r="JBJ2487" s="61"/>
      <c r="JBK2487" s="58"/>
      <c r="JBL2487" s="58"/>
      <c r="JBM2487" s="58"/>
      <c r="JBN2487" s="60"/>
      <c r="JBO2487" s="60"/>
      <c r="JBP2487" s="60"/>
      <c r="JBQ2487" s="58"/>
      <c r="JBR2487" s="61"/>
      <c r="JBS2487" s="58"/>
      <c r="JBT2487" s="58"/>
      <c r="JBU2487" s="58"/>
      <c r="JBV2487" s="60"/>
      <c r="JBW2487" s="60"/>
      <c r="JBX2487" s="60"/>
      <c r="JBY2487" s="58"/>
      <c r="JBZ2487" s="61"/>
      <c r="JCA2487" s="58"/>
      <c r="JCB2487" s="58"/>
      <c r="JCC2487" s="58"/>
      <c r="JCD2487" s="60"/>
      <c r="JCE2487" s="60"/>
      <c r="JCF2487" s="60"/>
      <c r="JCG2487" s="58"/>
      <c r="JCH2487" s="61"/>
      <c r="JCI2487" s="58"/>
      <c r="JCJ2487" s="58"/>
      <c r="JCK2487" s="58"/>
      <c r="JCL2487" s="60"/>
      <c r="JCM2487" s="60"/>
      <c r="JCN2487" s="60"/>
      <c r="JCO2487" s="58"/>
      <c r="JCP2487" s="61"/>
      <c r="JCQ2487" s="58"/>
      <c r="JCR2487" s="58"/>
      <c r="JCS2487" s="58"/>
      <c r="JCT2487" s="60"/>
      <c r="JCU2487" s="60"/>
      <c r="JCV2487" s="60"/>
      <c r="JCW2487" s="58"/>
      <c r="JCX2487" s="61"/>
      <c r="JCY2487" s="58"/>
      <c r="JCZ2487" s="58"/>
      <c r="JDA2487" s="58"/>
      <c r="JDB2487" s="60"/>
      <c r="JDC2487" s="60"/>
      <c r="JDD2487" s="60"/>
      <c r="JDE2487" s="58"/>
      <c r="JDF2487" s="61"/>
      <c r="JDG2487" s="58"/>
      <c r="JDH2487" s="58"/>
      <c r="JDI2487" s="58"/>
      <c r="JDJ2487" s="60"/>
      <c r="JDK2487" s="60"/>
      <c r="JDL2487" s="60"/>
      <c r="JDM2487" s="58"/>
      <c r="JDN2487" s="61"/>
      <c r="JDO2487" s="58"/>
      <c r="JDP2487" s="58"/>
      <c r="JDQ2487" s="58"/>
      <c r="JDR2487" s="60"/>
      <c r="JDS2487" s="60"/>
      <c r="JDT2487" s="60"/>
      <c r="JDU2487" s="58"/>
      <c r="JDV2487" s="61"/>
      <c r="JDW2487" s="58"/>
      <c r="JDX2487" s="58"/>
      <c r="JDY2487" s="58"/>
      <c r="JDZ2487" s="60"/>
      <c r="JEA2487" s="60"/>
      <c r="JEB2487" s="60"/>
      <c r="JEC2487" s="58"/>
      <c r="JED2487" s="61"/>
      <c r="JEE2487" s="58"/>
      <c r="JEF2487" s="58"/>
      <c r="JEG2487" s="58"/>
      <c r="JEH2487" s="60"/>
      <c r="JEI2487" s="60"/>
      <c r="JEJ2487" s="60"/>
      <c r="JEK2487" s="58"/>
      <c r="JEL2487" s="61"/>
      <c r="JEM2487" s="58"/>
      <c r="JEN2487" s="58"/>
      <c r="JEO2487" s="58"/>
      <c r="JEP2487" s="60"/>
      <c r="JEQ2487" s="60"/>
      <c r="JER2487" s="60"/>
      <c r="JES2487" s="58"/>
      <c r="JET2487" s="61"/>
      <c r="JEU2487" s="58"/>
      <c r="JEV2487" s="58"/>
      <c r="JEW2487" s="58"/>
      <c r="JEX2487" s="60"/>
      <c r="JEY2487" s="60"/>
      <c r="JEZ2487" s="60"/>
      <c r="JFA2487" s="58"/>
      <c r="JFB2487" s="61"/>
      <c r="JFC2487" s="58"/>
      <c r="JFD2487" s="58"/>
      <c r="JFE2487" s="58"/>
      <c r="JFF2487" s="60"/>
      <c r="JFG2487" s="60"/>
      <c r="JFH2487" s="60"/>
      <c r="JFI2487" s="58"/>
      <c r="JFJ2487" s="61"/>
      <c r="JFK2487" s="58"/>
      <c r="JFL2487" s="58"/>
      <c r="JFM2487" s="58"/>
      <c r="JFN2487" s="60"/>
      <c r="JFO2487" s="60"/>
      <c r="JFP2487" s="60"/>
      <c r="JFQ2487" s="58"/>
      <c r="JFR2487" s="61"/>
      <c r="JFS2487" s="58"/>
      <c r="JFT2487" s="58"/>
      <c r="JFU2487" s="58"/>
      <c r="JFV2487" s="60"/>
      <c r="JFW2487" s="60"/>
      <c r="JFX2487" s="60"/>
      <c r="JFY2487" s="58"/>
      <c r="JFZ2487" s="61"/>
      <c r="JGA2487" s="58"/>
      <c r="JGB2487" s="58"/>
      <c r="JGC2487" s="58"/>
      <c r="JGD2487" s="60"/>
      <c r="JGE2487" s="60"/>
      <c r="JGF2487" s="60"/>
      <c r="JGG2487" s="58"/>
      <c r="JGH2487" s="61"/>
      <c r="JGI2487" s="58"/>
      <c r="JGJ2487" s="58"/>
      <c r="JGK2487" s="58"/>
      <c r="JGL2487" s="60"/>
      <c r="JGM2487" s="60"/>
      <c r="JGN2487" s="60"/>
      <c r="JGO2487" s="58"/>
      <c r="JGP2487" s="61"/>
      <c r="JGQ2487" s="58"/>
      <c r="JGR2487" s="58"/>
      <c r="JGS2487" s="58"/>
      <c r="JGT2487" s="60"/>
      <c r="JGU2487" s="60"/>
      <c r="JGV2487" s="60"/>
      <c r="JGW2487" s="58"/>
      <c r="JGX2487" s="61"/>
      <c r="JGY2487" s="58"/>
      <c r="JGZ2487" s="58"/>
      <c r="JHA2487" s="58"/>
      <c r="JHB2487" s="60"/>
      <c r="JHC2487" s="60"/>
      <c r="JHD2487" s="60"/>
      <c r="JHE2487" s="58"/>
      <c r="JHF2487" s="61"/>
      <c r="JHG2487" s="58"/>
      <c r="JHH2487" s="58"/>
      <c r="JHI2487" s="58"/>
      <c r="JHJ2487" s="60"/>
      <c r="JHK2487" s="60"/>
      <c r="JHL2487" s="60"/>
      <c r="JHM2487" s="58"/>
      <c r="JHN2487" s="61"/>
      <c r="JHO2487" s="58"/>
      <c r="JHP2487" s="58"/>
      <c r="JHQ2487" s="58"/>
      <c r="JHR2487" s="60"/>
      <c r="JHS2487" s="60"/>
      <c r="JHT2487" s="60"/>
      <c r="JHU2487" s="58"/>
      <c r="JHV2487" s="61"/>
      <c r="JHW2487" s="58"/>
      <c r="JHX2487" s="58"/>
      <c r="JHY2487" s="58"/>
      <c r="JHZ2487" s="60"/>
      <c r="JIA2487" s="60"/>
      <c r="JIB2487" s="60"/>
      <c r="JIC2487" s="58"/>
      <c r="JID2487" s="61"/>
      <c r="JIE2487" s="58"/>
      <c r="JIF2487" s="58"/>
      <c r="JIG2487" s="58"/>
      <c r="JIH2487" s="60"/>
      <c r="JII2487" s="60"/>
      <c r="JIJ2487" s="60"/>
      <c r="JIK2487" s="58"/>
      <c r="JIL2487" s="61"/>
      <c r="JIM2487" s="58"/>
      <c r="JIN2487" s="58"/>
      <c r="JIO2487" s="58"/>
      <c r="JIP2487" s="60"/>
      <c r="JIQ2487" s="60"/>
      <c r="JIR2487" s="60"/>
      <c r="JIS2487" s="58"/>
      <c r="JIT2487" s="61"/>
      <c r="JIU2487" s="58"/>
      <c r="JIV2487" s="58"/>
      <c r="JIW2487" s="58"/>
      <c r="JIX2487" s="60"/>
      <c r="JIY2487" s="60"/>
      <c r="JIZ2487" s="60"/>
      <c r="JJA2487" s="58"/>
      <c r="JJB2487" s="61"/>
      <c r="JJC2487" s="58"/>
      <c r="JJD2487" s="58"/>
      <c r="JJE2487" s="58"/>
      <c r="JJF2487" s="60"/>
      <c r="JJG2487" s="60"/>
      <c r="JJH2487" s="60"/>
      <c r="JJI2487" s="58"/>
      <c r="JJJ2487" s="61"/>
      <c r="JJK2487" s="58"/>
      <c r="JJL2487" s="58"/>
      <c r="JJM2487" s="58"/>
      <c r="JJN2487" s="60"/>
      <c r="JJO2487" s="60"/>
      <c r="JJP2487" s="60"/>
      <c r="JJQ2487" s="58"/>
      <c r="JJR2487" s="61"/>
      <c r="JJS2487" s="58"/>
      <c r="JJT2487" s="58"/>
      <c r="JJU2487" s="58"/>
      <c r="JJV2487" s="60"/>
      <c r="JJW2487" s="60"/>
      <c r="JJX2487" s="60"/>
      <c r="JJY2487" s="58"/>
      <c r="JJZ2487" s="61"/>
      <c r="JKA2487" s="58"/>
      <c r="JKB2487" s="58"/>
      <c r="JKC2487" s="58"/>
      <c r="JKD2487" s="60"/>
      <c r="JKE2487" s="60"/>
      <c r="JKF2487" s="60"/>
      <c r="JKG2487" s="58"/>
      <c r="JKH2487" s="61"/>
      <c r="JKI2487" s="58"/>
      <c r="JKJ2487" s="58"/>
      <c r="JKK2487" s="58"/>
      <c r="JKL2487" s="60"/>
      <c r="JKM2487" s="60"/>
      <c r="JKN2487" s="60"/>
      <c r="JKO2487" s="58"/>
      <c r="JKP2487" s="61"/>
      <c r="JKQ2487" s="58"/>
      <c r="JKR2487" s="58"/>
      <c r="JKS2487" s="58"/>
      <c r="JKT2487" s="60"/>
      <c r="JKU2487" s="60"/>
      <c r="JKV2487" s="60"/>
      <c r="JKW2487" s="58"/>
      <c r="JKX2487" s="61"/>
      <c r="JKY2487" s="58"/>
      <c r="JKZ2487" s="58"/>
      <c r="JLA2487" s="58"/>
      <c r="JLB2487" s="60"/>
      <c r="JLC2487" s="60"/>
      <c r="JLD2487" s="60"/>
      <c r="JLE2487" s="58"/>
      <c r="JLF2487" s="61"/>
      <c r="JLG2487" s="58"/>
      <c r="JLH2487" s="58"/>
      <c r="JLI2487" s="58"/>
      <c r="JLJ2487" s="60"/>
      <c r="JLK2487" s="60"/>
      <c r="JLL2487" s="60"/>
      <c r="JLM2487" s="58"/>
      <c r="JLN2487" s="61"/>
      <c r="JLO2487" s="58"/>
      <c r="JLP2487" s="58"/>
      <c r="JLQ2487" s="58"/>
      <c r="JLR2487" s="60"/>
      <c r="JLS2487" s="60"/>
      <c r="JLT2487" s="60"/>
      <c r="JLU2487" s="58"/>
      <c r="JLV2487" s="61"/>
      <c r="JLW2487" s="58"/>
      <c r="JLX2487" s="58"/>
      <c r="JLY2487" s="58"/>
      <c r="JLZ2487" s="60"/>
      <c r="JMA2487" s="60"/>
      <c r="JMB2487" s="60"/>
      <c r="JMC2487" s="58"/>
      <c r="JMD2487" s="61"/>
      <c r="JME2487" s="58"/>
      <c r="JMF2487" s="58"/>
      <c r="JMG2487" s="58"/>
      <c r="JMH2487" s="60"/>
      <c r="JMI2487" s="60"/>
      <c r="JMJ2487" s="60"/>
      <c r="JMK2487" s="58"/>
      <c r="JML2487" s="61"/>
      <c r="JMM2487" s="58"/>
      <c r="JMN2487" s="58"/>
      <c r="JMO2487" s="58"/>
      <c r="JMP2487" s="60"/>
      <c r="JMQ2487" s="60"/>
      <c r="JMR2487" s="60"/>
      <c r="JMS2487" s="58"/>
      <c r="JMT2487" s="61"/>
      <c r="JMU2487" s="58"/>
      <c r="JMV2487" s="58"/>
      <c r="JMW2487" s="58"/>
      <c r="JMX2487" s="60"/>
      <c r="JMY2487" s="60"/>
      <c r="JMZ2487" s="60"/>
      <c r="JNA2487" s="58"/>
      <c r="JNB2487" s="61"/>
      <c r="JNC2487" s="58"/>
      <c r="JND2487" s="58"/>
      <c r="JNE2487" s="58"/>
      <c r="JNF2487" s="60"/>
      <c r="JNG2487" s="60"/>
      <c r="JNH2487" s="60"/>
      <c r="JNI2487" s="58"/>
      <c r="JNJ2487" s="61"/>
      <c r="JNK2487" s="58"/>
      <c r="JNL2487" s="58"/>
      <c r="JNM2487" s="58"/>
      <c r="JNN2487" s="60"/>
      <c r="JNO2487" s="60"/>
      <c r="JNP2487" s="60"/>
      <c r="JNQ2487" s="58"/>
      <c r="JNR2487" s="61"/>
      <c r="JNS2487" s="58"/>
      <c r="JNT2487" s="58"/>
      <c r="JNU2487" s="58"/>
      <c r="JNV2487" s="60"/>
      <c r="JNW2487" s="60"/>
      <c r="JNX2487" s="60"/>
      <c r="JNY2487" s="58"/>
      <c r="JNZ2487" s="61"/>
      <c r="JOA2487" s="58"/>
      <c r="JOB2487" s="58"/>
      <c r="JOC2487" s="58"/>
      <c r="JOD2487" s="60"/>
      <c r="JOE2487" s="60"/>
      <c r="JOF2487" s="60"/>
      <c r="JOG2487" s="58"/>
      <c r="JOH2487" s="61"/>
      <c r="JOI2487" s="58"/>
      <c r="JOJ2487" s="58"/>
      <c r="JOK2487" s="58"/>
      <c r="JOL2487" s="60"/>
      <c r="JOM2487" s="60"/>
      <c r="JON2487" s="60"/>
      <c r="JOO2487" s="58"/>
      <c r="JOP2487" s="61"/>
      <c r="JOQ2487" s="58"/>
      <c r="JOR2487" s="58"/>
      <c r="JOS2487" s="58"/>
      <c r="JOT2487" s="60"/>
      <c r="JOU2487" s="60"/>
      <c r="JOV2487" s="60"/>
      <c r="JOW2487" s="58"/>
      <c r="JOX2487" s="61"/>
      <c r="JOY2487" s="58"/>
      <c r="JOZ2487" s="58"/>
      <c r="JPA2487" s="58"/>
      <c r="JPB2487" s="60"/>
      <c r="JPC2487" s="60"/>
      <c r="JPD2487" s="60"/>
      <c r="JPE2487" s="58"/>
      <c r="JPF2487" s="61"/>
      <c r="JPG2487" s="58"/>
      <c r="JPH2487" s="58"/>
      <c r="JPI2487" s="58"/>
      <c r="JPJ2487" s="60"/>
      <c r="JPK2487" s="60"/>
      <c r="JPL2487" s="60"/>
      <c r="JPM2487" s="58"/>
      <c r="JPN2487" s="61"/>
      <c r="JPO2487" s="58"/>
      <c r="JPP2487" s="58"/>
      <c r="JPQ2487" s="58"/>
      <c r="JPR2487" s="60"/>
      <c r="JPS2487" s="60"/>
      <c r="JPT2487" s="60"/>
      <c r="JPU2487" s="58"/>
      <c r="JPV2487" s="61"/>
      <c r="JPW2487" s="58"/>
      <c r="JPX2487" s="58"/>
      <c r="JPY2487" s="58"/>
      <c r="JPZ2487" s="60"/>
      <c r="JQA2487" s="60"/>
      <c r="JQB2487" s="60"/>
      <c r="JQC2487" s="58"/>
      <c r="JQD2487" s="61"/>
      <c r="JQE2487" s="58"/>
      <c r="JQF2487" s="58"/>
      <c r="JQG2487" s="58"/>
      <c r="JQH2487" s="60"/>
      <c r="JQI2487" s="60"/>
      <c r="JQJ2487" s="60"/>
      <c r="JQK2487" s="58"/>
      <c r="JQL2487" s="61"/>
      <c r="JQM2487" s="58"/>
      <c r="JQN2487" s="58"/>
      <c r="JQO2487" s="58"/>
      <c r="JQP2487" s="60"/>
      <c r="JQQ2487" s="60"/>
      <c r="JQR2487" s="60"/>
      <c r="JQS2487" s="58"/>
      <c r="JQT2487" s="61"/>
      <c r="JQU2487" s="58"/>
      <c r="JQV2487" s="58"/>
      <c r="JQW2487" s="58"/>
      <c r="JQX2487" s="60"/>
      <c r="JQY2487" s="60"/>
      <c r="JQZ2487" s="60"/>
      <c r="JRA2487" s="58"/>
      <c r="JRB2487" s="61"/>
      <c r="JRC2487" s="58"/>
      <c r="JRD2487" s="58"/>
      <c r="JRE2487" s="58"/>
      <c r="JRF2487" s="60"/>
      <c r="JRG2487" s="60"/>
      <c r="JRH2487" s="60"/>
      <c r="JRI2487" s="58"/>
      <c r="JRJ2487" s="61"/>
      <c r="JRK2487" s="58"/>
      <c r="JRL2487" s="58"/>
      <c r="JRM2487" s="58"/>
      <c r="JRN2487" s="60"/>
      <c r="JRO2487" s="60"/>
      <c r="JRP2487" s="60"/>
      <c r="JRQ2487" s="58"/>
      <c r="JRR2487" s="61"/>
      <c r="JRS2487" s="58"/>
      <c r="JRT2487" s="58"/>
      <c r="JRU2487" s="58"/>
      <c r="JRV2487" s="60"/>
      <c r="JRW2487" s="60"/>
      <c r="JRX2487" s="60"/>
      <c r="JRY2487" s="58"/>
      <c r="JRZ2487" s="61"/>
      <c r="JSA2487" s="58"/>
      <c r="JSB2487" s="58"/>
      <c r="JSC2487" s="58"/>
      <c r="JSD2487" s="60"/>
      <c r="JSE2487" s="60"/>
      <c r="JSF2487" s="60"/>
      <c r="JSG2487" s="58"/>
      <c r="JSH2487" s="61"/>
      <c r="JSI2487" s="58"/>
      <c r="JSJ2487" s="58"/>
      <c r="JSK2487" s="58"/>
      <c r="JSL2487" s="60"/>
      <c r="JSM2487" s="60"/>
      <c r="JSN2487" s="60"/>
      <c r="JSO2487" s="58"/>
      <c r="JSP2487" s="61"/>
      <c r="JSQ2487" s="58"/>
      <c r="JSR2487" s="58"/>
      <c r="JSS2487" s="58"/>
      <c r="JST2487" s="60"/>
      <c r="JSU2487" s="60"/>
      <c r="JSV2487" s="60"/>
      <c r="JSW2487" s="58"/>
      <c r="JSX2487" s="61"/>
      <c r="JSY2487" s="58"/>
      <c r="JSZ2487" s="58"/>
      <c r="JTA2487" s="58"/>
      <c r="JTB2487" s="60"/>
      <c r="JTC2487" s="60"/>
      <c r="JTD2487" s="60"/>
      <c r="JTE2487" s="58"/>
      <c r="JTF2487" s="61"/>
      <c r="JTG2487" s="58"/>
      <c r="JTH2487" s="58"/>
      <c r="JTI2487" s="58"/>
      <c r="JTJ2487" s="60"/>
      <c r="JTK2487" s="60"/>
      <c r="JTL2487" s="60"/>
      <c r="JTM2487" s="58"/>
      <c r="JTN2487" s="61"/>
      <c r="JTO2487" s="58"/>
      <c r="JTP2487" s="58"/>
      <c r="JTQ2487" s="58"/>
      <c r="JTR2487" s="60"/>
      <c r="JTS2487" s="60"/>
      <c r="JTT2487" s="60"/>
      <c r="JTU2487" s="58"/>
      <c r="JTV2487" s="61"/>
      <c r="JTW2487" s="58"/>
      <c r="JTX2487" s="58"/>
      <c r="JTY2487" s="58"/>
      <c r="JTZ2487" s="60"/>
      <c r="JUA2487" s="60"/>
      <c r="JUB2487" s="60"/>
      <c r="JUC2487" s="58"/>
      <c r="JUD2487" s="61"/>
      <c r="JUE2487" s="58"/>
      <c r="JUF2487" s="58"/>
      <c r="JUG2487" s="58"/>
      <c r="JUH2487" s="60"/>
      <c r="JUI2487" s="60"/>
      <c r="JUJ2487" s="60"/>
      <c r="JUK2487" s="58"/>
      <c r="JUL2487" s="61"/>
      <c r="JUM2487" s="58"/>
      <c r="JUN2487" s="58"/>
      <c r="JUO2487" s="58"/>
      <c r="JUP2487" s="60"/>
      <c r="JUQ2487" s="60"/>
      <c r="JUR2487" s="60"/>
      <c r="JUS2487" s="58"/>
      <c r="JUT2487" s="61"/>
      <c r="JUU2487" s="58"/>
      <c r="JUV2487" s="58"/>
      <c r="JUW2487" s="58"/>
      <c r="JUX2487" s="60"/>
      <c r="JUY2487" s="60"/>
      <c r="JUZ2487" s="60"/>
      <c r="JVA2487" s="58"/>
      <c r="JVB2487" s="61"/>
      <c r="JVC2487" s="58"/>
      <c r="JVD2487" s="58"/>
      <c r="JVE2487" s="58"/>
      <c r="JVF2487" s="60"/>
      <c r="JVG2487" s="60"/>
      <c r="JVH2487" s="60"/>
      <c r="JVI2487" s="58"/>
      <c r="JVJ2487" s="61"/>
      <c r="JVK2487" s="58"/>
      <c r="JVL2487" s="58"/>
      <c r="JVM2487" s="58"/>
      <c r="JVN2487" s="60"/>
      <c r="JVO2487" s="60"/>
      <c r="JVP2487" s="60"/>
      <c r="JVQ2487" s="58"/>
      <c r="JVR2487" s="61"/>
      <c r="JVS2487" s="58"/>
      <c r="JVT2487" s="58"/>
      <c r="JVU2487" s="58"/>
      <c r="JVV2487" s="60"/>
      <c r="JVW2487" s="60"/>
      <c r="JVX2487" s="60"/>
      <c r="JVY2487" s="58"/>
      <c r="JVZ2487" s="61"/>
      <c r="JWA2487" s="58"/>
      <c r="JWB2487" s="58"/>
      <c r="JWC2487" s="58"/>
      <c r="JWD2487" s="60"/>
      <c r="JWE2487" s="60"/>
      <c r="JWF2487" s="60"/>
      <c r="JWG2487" s="58"/>
      <c r="JWH2487" s="61"/>
      <c r="JWI2487" s="58"/>
      <c r="JWJ2487" s="58"/>
      <c r="JWK2487" s="58"/>
      <c r="JWL2487" s="60"/>
      <c r="JWM2487" s="60"/>
      <c r="JWN2487" s="60"/>
      <c r="JWO2487" s="58"/>
      <c r="JWP2487" s="61"/>
      <c r="JWQ2487" s="58"/>
      <c r="JWR2487" s="58"/>
      <c r="JWS2487" s="58"/>
      <c r="JWT2487" s="60"/>
      <c r="JWU2487" s="60"/>
      <c r="JWV2487" s="60"/>
      <c r="JWW2487" s="58"/>
      <c r="JWX2487" s="61"/>
      <c r="JWY2487" s="58"/>
      <c r="JWZ2487" s="58"/>
      <c r="JXA2487" s="58"/>
      <c r="JXB2487" s="60"/>
      <c r="JXC2487" s="60"/>
      <c r="JXD2487" s="60"/>
      <c r="JXE2487" s="58"/>
      <c r="JXF2487" s="61"/>
      <c r="JXG2487" s="58"/>
      <c r="JXH2487" s="58"/>
      <c r="JXI2487" s="58"/>
      <c r="JXJ2487" s="60"/>
      <c r="JXK2487" s="60"/>
      <c r="JXL2487" s="60"/>
      <c r="JXM2487" s="58"/>
      <c r="JXN2487" s="61"/>
      <c r="JXO2487" s="58"/>
      <c r="JXP2487" s="58"/>
      <c r="JXQ2487" s="58"/>
      <c r="JXR2487" s="60"/>
      <c r="JXS2487" s="60"/>
      <c r="JXT2487" s="60"/>
      <c r="JXU2487" s="58"/>
      <c r="JXV2487" s="61"/>
      <c r="JXW2487" s="58"/>
      <c r="JXX2487" s="58"/>
      <c r="JXY2487" s="58"/>
      <c r="JXZ2487" s="60"/>
      <c r="JYA2487" s="60"/>
      <c r="JYB2487" s="60"/>
      <c r="JYC2487" s="58"/>
      <c r="JYD2487" s="61"/>
      <c r="JYE2487" s="58"/>
      <c r="JYF2487" s="58"/>
      <c r="JYG2487" s="58"/>
      <c r="JYH2487" s="60"/>
      <c r="JYI2487" s="60"/>
      <c r="JYJ2487" s="60"/>
      <c r="JYK2487" s="58"/>
      <c r="JYL2487" s="61"/>
      <c r="JYM2487" s="58"/>
      <c r="JYN2487" s="58"/>
      <c r="JYO2487" s="58"/>
      <c r="JYP2487" s="60"/>
      <c r="JYQ2487" s="60"/>
      <c r="JYR2487" s="60"/>
      <c r="JYS2487" s="58"/>
      <c r="JYT2487" s="61"/>
      <c r="JYU2487" s="58"/>
      <c r="JYV2487" s="58"/>
      <c r="JYW2487" s="58"/>
      <c r="JYX2487" s="60"/>
      <c r="JYY2487" s="60"/>
      <c r="JYZ2487" s="60"/>
      <c r="JZA2487" s="58"/>
      <c r="JZB2487" s="61"/>
      <c r="JZC2487" s="58"/>
      <c r="JZD2487" s="58"/>
      <c r="JZE2487" s="58"/>
      <c r="JZF2487" s="60"/>
      <c r="JZG2487" s="60"/>
      <c r="JZH2487" s="60"/>
      <c r="JZI2487" s="58"/>
      <c r="JZJ2487" s="61"/>
      <c r="JZK2487" s="58"/>
      <c r="JZL2487" s="58"/>
      <c r="JZM2487" s="58"/>
      <c r="JZN2487" s="60"/>
      <c r="JZO2487" s="60"/>
      <c r="JZP2487" s="60"/>
      <c r="JZQ2487" s="58"/>
      <c r="JZR2487" s="61"/>
      <c r="JZS2487" s="58"/>
      <c r="JZT2487" s="58"/>
      <c r="JZU2487" s="58"/>
      <c r="JZV2487" s="60"/>
      <c r="JZW2487" s="60"/>
      <c r="JZX2487" s="60"/>
      <c r="JZY2487" s="58"/>
      <c r="JZZ2487" s="61"/>
      <c r="KAA2487" s="58"/>
      <c r="KAB2487" s="58"/>
      <c r="KAC2487" s="58"/>
      <c r="KAD2487" s="60"/>
      <c r="KAE2487" s="60"/>
      <c r="KAF2487" s="60"/>
      <c r="KAG2487" s="58"/>
      <c r="KAH2487" s="61"/>
      <c r="KAI2487" s="58"/>
      <c r="KAJ2487" s="58"/>
      <c r="KAK2487" s="58"/>
      <c r="KAL2487" s="60"/>
      <c r="KAM2487" s="60"/>
      <c r="KAN2487" s="60"/>
      <c r="KAO2487" s="58"/>
      <c r="KAP2487" s="61"/>
      <c r="KAQ2487" s="58"/>
      <c r="KAR2487" s="58"/>
      <c r="KAS2487" s="58"/>
      <c r="KAT2487" s="60"/>
      <c r="KAU2487" s="60"/>
      <c r="KAV2487" s="60"/>
      <c r="KAW2487" s="58"/>
      <c r="KAX2487" s="61"/>
      <c r="KAY2487" s="58"/>
      <c r="KAZ2487" s="58"/>
      <c r="KBA2487" s="58"/>
      <c r="KBB2487" s="60"/>
      <c r="KBC2487" s="60"/>
      <c r="KBD2487" s="60"/>
      <c r="KBE2487" s="58"/>
      <c r="KBF2487" s="61"/>
      <c r="KBG2487" s="58"/>
      <c r="KBH2487" s="58"/>
      <c r="KBI2487" s="58"/>
      <c r="KBJ2487" s="60"/>
      <c r="KBK2487" s="60"/>
      <c r="KBL2487" s="60"/>
      <c r="KBM2487" s="58"/>
      <c r="KBN2487" s="61"/>
      <c r="KBO2487" s="58"/>
      <c r="KBP2487" s="58"/>
      <c r="KBQ2487" s="58"/>
      <c r="KBR2487" s="60"/>
      <c r="KBS2487" s="60"/>
      <c r="KBT2487" s="60"/>
      <c r="KBU2487" s="58"/>
      <c r="KBV2487" s="61"/>
      <c r="KBW2487" s="58"/>
      <c r="KBX2487" s="58"/>
      <c r="KBY2487" s="58"/>
      <c r="KBZ2487" s="60"/>
      <c r="KCA2487" s="60"/>
      <c r="KCB2487" s="60"/>
      <c r="KCC2487" s="58"/>
      <c r="KCD2487" s="61"/>
      <c r="KCE2487" s="58"/>
      <c r="KCF2487" s="58"/>
      <c r="KCG2487" s="58"/>
      <c r="KCH2487" s="60"/>
      <c r="KCI2487" s="60"/>
      <c r="KCJ2487" s="60"/>
      <c r="KCK2487" s="58"/>
      <c r="KCL2487" s="61"/>
      <c r="KCM2487" s="58"/>
      <c r="KCN2487" s="58"/>
      <c r="KCO2487" s="58"/>
      <c r="KCP2487" s="60"/>
      <c r="KCQ2487" s="60"/>
      <c r="KCR2487" s="60"/>
      <c r="KCS2487" s="58"/>
      <c r="KCT2487" s="61"/>
      <c r="KCU2487" s="58"/>
      <c r="KCV2487" s="58"/>
      <c r="KCW2487" s="58"/>
      <c r="KCX2487" s="60"/>
      <c r="KCY2487" s="60"/>
      <c r="KCZ2487" s="60"/>
      <c r="KDA2487" s="58"/>
      <c r="KDB2487" s="61"/>
      <c r="KDC2487" s="58"/>
      <c r="KDD2487" s="58"/>
      <c r="KDE2487" s="58"/>
      <c r="KDF2487" s="60"/>
      <c r="KDG2487" s="60"/>
      <c r="KDH2487" s="60"/>
      <c r="KDI2487" s="58"/>
      <c r="KDJ2487" s="61"/>
      <c r="KDK2487" s="58"/>
      <c r="KDL2487" s="58"/>
      <c r="KDM2487" s="58"/>
      <c r="KDN2487" s="60"/>
      <c r="KDO2487" s="60"/>
      <c r="KDP2487" s="60"/>
      <c r="KDQ2487" s="58"/>
      <c r="KDR2487" s="61"/>
      <c r="KDS2487" s="58"/>
      <c r="KDT2487" s="58"/>
      <c r="KDU2487" s="58"/>
      <c r="KDV2487" s="60"/>
      <c r="KDW2487" s="60"/>
      <c r="KDX2487" s="60"/>
      <c r="KDY2487" s="58"/>
      <c r="KDZ2487" s="61"/>
      <c r="KEA2487" s="58"/>
      <c r="KEB2487" s="58"/>
      <c r="KEC2487" s="58"/>
      <c r="KED2487" s="60"/>
      <c r="KEE2487" s="60"/>
      <c r="KEF2487" s="60"/>
      <c r="KEG2487" s="58"/>
      <c r="KEH2487" s="61"/>
      <c r="KEI2487" s="58"/>
      <c r="KEJ2487" s="58"/>
      <c r="KEK2487" s="58"/>
      <c r="KEL2487" s="60"/>
      <c r="KEM2487" s="60"/>
      <c r="KEN2487" s="60"/>
      <c r="KEO2487" s="58"/>
      <c r="KEP2487" s="61"/>
      <c r="KEQ2487" s="58"/>
      <c r="KER2487" s="58"/>
      <c r="KES2487" s="58"/>
      <c r="KET2487" s="60"/>
      <c r="KEU2487" s="60"/>
      <c r="KEV2487" s="60"/>
      <c r="KEW2487" s="58"/>
      <c r="KEX2487" s="61"/>
      <c r="KEY2487" s="58"/>
      <c r="KEZ2487" s="58"/>
      <c r="KFA2487" s="58"/>
      <c r="KFB2487" s="60"/>
      <c r="KFC2487" s="60"/>
      <c r="KFD2487" s="60"/>
      <c r="KFE2487" s="58"/>
      <c r="KFF2487" s="61"/>
      <c r="KFG2487" s="58"/>
      <c r="KFH2487" s="58"/>
      <c r="KFI2487" s="58"/>
      <c r="KFJ2487" s="60"/>
      <c r="KFK2487" s="60"/>
      <c r="KFL2487" s="60"/>
      <c r="KFM2487" s="58"/>
      <c r="KFN2487" s="61"/>
      <c r="KFO2487" s="58"/>
      <c r="KFP2487" s="58"/>
      <c r="KFQ2487" s="58"/>
      <c r="KFR2487" s="60"/>
      <c r="KFS2487" s="60"/>
      <c r="KFT2487" s="60"/>
      <c r="KFU2487" s="58"/>
      <c r="KFV2487" s="61"/>
      <c r="KFW2487" s="58"/>
      <c r="KFX2487" s="58"/>
      <c r="KFY2487" s="58"/>
      <c r="KFZ2487" s="60"/>
      <c r="KGA2487" s="60"/>
      <c r="KGB2487" s="60"/>
      <c r="KGC2487" s="58"/>
      <c r="KGD2487" s="61"/>
      <c r="KGE2487" s="58"/>
      <c r="KGF2487" s="58"/>
      <c r="KGG2487" s="58"/>
      <c r="KGH2487" s="60"/>
      <c r="KGI2487" s="60"/>
      <c r="KGJ2487" s="60"/>
      <c r="KGK2487" s="58"/>
      <c r="KGL2487" s="61"/>
      <c r="KGM2487" s="58"/>
      <c r="KGN2487" s="58"/>
      <c r="KGO2487" s="58"/>
      <c r="KGP2487" s="60"/>
      <c r="KGQ2487" s="60"/>
      <c r="KGR2487" s="60"/>
      <c r="KGS2487" s="58"/>
      <c r="KGT2487" s="61"/>
      <c r="KGU2487" s="58"/>
      <c r="KGV2487" s="58"/>
      <c r="KGW2487" s="58"/>
      <c r="KGX2487" s="60"/>
      <c r="KGY2487" s="60"/>
      <c r="KGZ2487" s="60"/>
      <c r="KHA2487" s="58"/>
      <c r="KHB2487" s="61"/>
      <c r="KHC2487" s="58"/>
      <c r="KHD2487" s="58"/>
      <c r="KHE2487" s="58"/>
      <c r="KHF2487" s="60"/>
      <c r="KHG2487" s="60"/>
      <c r="KHH2487" s="60"/>
      <c r="KHI2487" s="58"/>
      <c r="KHJ2487" s="61"/>
      <c r="KHK2487" s="58"/>
      <c r="KHL2487" s="58"/>
      <c r="KHM2487" s="58"/>
      <c r="KHN2487" s="60"/>
      <c r="KHO2487" s="60"/>
      <c r="KHP2487" s="60"/>
      <c r="KHQ2487" s="58"/>
      <c r="KHR2487" s="61"/>
      <c r="KHS2487" s="58"/>
      <c r="KHT2487" s="58"/>
      <c r="KHU2487" s="58"/>
      <c r="KHV2487" s="60"/>
      <c r="KHW2487" s="60"/>
      <c r="KHX2487" s="60"/>
      <c r="KHY2487" s="58"/>
      <c r="KHZ2487" s="61"/>
      <c r="KIA2487" s="58"/>
      <c r="KIB2487" s="58"/>
      <c r="KIC2487" s="58"/>
      <c r="KID2487" s="60"/>
      <c r="KIE2487" s="60"/>
      <c r="KIF2487" s="60"/>
      <c r="KIG2487" s="58"/>
      <c r="KIH2487" s="61"/>
      <c r="KII2487" s="58"/>
      <c r="KIJ2487" s="58"/>
      <c r="KIK2487" s="58"/>
      <c r="KIL2487" s="60"/>
      <c r="KIM2487" s="60"/>
      <c r="KIN2487" s="60"/>
      <c r="KIO2487" s="58"/>
      <c r="KIP2487" s="61"/>
      <c r="KIQ2487" s="58"/>
      <c r="KIR2487" s="58"/>
      <c r="KIS2487" s="58"/>
      <c r="KIT2487" s="60"/>
      <c r="KIU2487" s="60"/>
      <c r="KIV2487" s="60"/>
      <c r="KIW2487" s="58"/>
      <c r="KIX2487" s="61"/>
      <c r="KIY2487" s="58"/>
      <c r="KIZ2487" s="58"/>
      <c r="KJA2487" s="58"/>
      <c r="KJB2487" s="60"/>
      <c r="KJC2487" s="60"/>
      <c r="KJD2487" s="60"/>
      <c r="KJE2487" s="58"/>
      <c r="KJF2487" s="61"/>
      <c r="KJG2487" s="58"/>
      <c r="KJH2487" s="58"/>
      <c r="KJI2487" s="58"/>
      <c r="KJJ2487" s="60"/>
      <c r="KJK2487" s="60"/>
      <c r="KJL2487" s="60"/>
      <c r="KJM2487" s="58"/>
      <c r="KJN2487" s="61"/>
      <c r="KJO2487" s="58"/>
      <c r="KJP2487" s="58"/>
      <c r="KJQ2487" s="58"/>
      <c r="KJR2487" s="60"/>
      <c r="KJS2487" s="60"/>
      <c r="KJT2487" s="60"/>
      <c r="KJU2487" s="58"/>
      <c r="KJV2487" s="61"/>
      <c r="KJW2487" s="58"/>
      <c r="KJX2487" s="58"/>
      <c r="KJY2487" s="58"/>
      <c r="KJZ2487" s="60"/>
      <c r="KKA2487" s="60"/>
      <c r="KKB2487" s="60"/>
      <c r="KKC2487" s="58"/>
      <c r="KKD2487" s="61"/>
      <c r="KKE2487" s="58"/>
      <c r="KKF2487" s="58"/>
      <c r="KKG2487" s="58"/>
      <c r="KKH2487" s="60"/>
      <c r="KKI2487" s="60"/>
      <c r="KKJ2487" s="60"/>
      <c r="KKK2487" s="58"/>
      <c r="KKL2487" s="61"/>
      <c r="KKM2487" s="58"/>
      <c r="KKN2487" s="58"/>
      <c r="KKO2487" s="58"/>
      <c r="KKP2487" s="60"/>
      <c r="KKQ2487" s="60"/>
      <c r="KKR2487" s="60"/>
      <c r="KKS2487" s="58"/>
      <c r="KKT2487" s="61"/>
      <c r="KKU2487" s="58"/>
      <c r="KKV2487" s="58"/>
      <c r="KKW2487" s="58"/>
      <c r="KKX2487" s="60"/>
      <c r="KKY2487" s="60"/>
      <c r="KKZ2487" s="60"/>
      <c r="KLA2487" s="58"/>
      <c r="KLB2487" s="61"/>
      <c r="KLC2487" s="58"/>
      <c r="KLD2487" s="58"/>
      <c r="KLE2487" s="58"/>
      <c r="KLF2487" s="60"/>
      <c r="KLG2487" s="60"/>
      <c r="KLH2487" s="60"/>
      <c r="KLI2487" s="58"/>
      <c r="KLJ2487" s="61"/>
      <c r="KLK2487" s="58"/>
      <c r="KLL2487" s="58"/>
      <c r="KLM2487" s="58"/>
      <c r="KLN2487" s="60"/>
      <c r="KLO2487" s="60"/>
      <c r="KLP2487" s="60"/>
      <c r="KLQ2487" s="58"/>
      <c r="KLR2487" s="61"/>
      <c r="KLS2487" s="58"/>
      <c r="KLT2487" s="58"/>
      <c r="KLU2487" s="58"/>
      <c r="KLV2487" s="60"/>
      <c r="KLW2487" s="60"/>
      <c r="KLX2487" s="60"/>
      <c r="KLY2487" s="58"/>
      <c r="KLZ2487" s="61"/>
      <c r="KMA2487" s="58"/>
      <c r="KMB2487" s="58"/>
      <c r="KMC2487" s="58"/>
      <c r="KMD2487" s="60"/>
      <c r="KME2487" s="60"/>
      <c r="KMF2487" s="60"/>
      <c r="KMG2487" s="58"/>
      <c r="KMH2487" s="61"/>
      <c r="KMI2487" s="58"/>
      <c r="KMJ2487" s="58"/>
      <c r="KMK2487" s="58"/>
      <c r="KML2487" s="60"/>
      <c r="KMM2487" s="60"/>
      <c r="KMN2487" s="60"/>
      <c r="KMO2487" s="58"/>
      <c r="KMP2487" s="61"/>
      <c r="KMQ2487" s="58"/>
      <c r="KMR2487" s="58"/>
      <c r="KMS2487" s="58"/>
      <c r="KMT2487" s="60"/>
      <c r="KMU2487" s="60"/>
      <c r="KMV2487" s="60"/>
      <c r="KMW2487" s="58"/>
      <c r="KMX2487" s="61"/>
      <c r="KMY2487" s="58"/>
      <c r="KMZ2487" s="58"/>
      <c r="KNA2487" s="58"/>
      <c r="KNB2487" s="60"/>
      <c r="KNC2487" s="60"/>
      <c r="KND2487" s="60"/>
      <c r="KNE2487" s="58"/>
      <c r="KNF2487" s="61"/>
      <c r="KNG2487" s="58"/>
      <c r="KNH2487" s="58"/>
      <c r="KNI2487" s="58"/>
      <c r="KNJ2487" s="60"/>
      <c r="KNK2487" s="60"/>
      <c r="KNL2487" s="60"/>
      <c r="KNM2487" s="58"/>
      <c r="KNN2487" s="61"/>
      <c r="KNO2487" s="58"/>
      <c r="KNP2487" s="58"/>
      <c r="KNQ2487" s="58"/>
      <c r="KNR2487" s="60"/>
      <c r="KNS2487" s="60"/>
      <c r="KNT2487" s="60"/>
      <c r="KNU2487" s="58"/>
      <c r="KNV2487" s="61"/>
      <c r="KNW2487" s="58"/>
      <c r="KNX2487" s="58"/>
      <c r="KNY2487" s="58"/>
      <c r="KNZ2487" s="60"/>
      <c r="KOA2487" s="60"/>
      <c r="KOB2487" s="60"/>
      <c r="KOC2487" s="58"/>
      <c r="KOD2487" s="61"/>
      <c r="KOE2487" s="58"/>
      <c r="KOF2487" s="58"/>
      <c r="KOG2487" s="58"/>
      <c r="KOH2487" s="60"/>
      <c r="KOI2487" s="60"/>
      <c r="KOJ2487" s="60"/>
      <c r="KOK2487" s="58"/>
      <c r="KOL2487" s="61"/>
      <c r="KOM2487" s="58"/>
      <c r="KON2487" s="58"/>
      <c r="KOO2487" s="58"/>
      <c r="KOP2487" s="60"/>
      <c r="KOQ2487" s="60"/>
      <c r="KOR2487" s="60"/>
      <c r="KOS2487" s="58"/>
      <c r="KOT2487" s="61"/>
      <c r="KOU2487" s="58"/>
      <c r="KOV2487" s="58"/>
      <c r="KOW2487" s="58"/>
      <c r="KOX2487" s="60"/>
      <c r="KOY2487" s="60"/>
      <c r="KOZ2487" s="60"/>
      <c r="KPA2487" s="58"/>
      <c r="KPB2487" s="61"/>
      <c r="KPC2487" s="58"/>
      <c r="KPD2487" s="58"/>
      <c r="KPE2487" s="58"/>
      <c r="KPF2487" s="60"/>
      <c r="KPG2487" s="60"/>
      <c r="KPH2487" s="60"/>
      <c r="KPI2487" s="58"/>
      <c r="KPJ2487" s="61"/>
      <c r="KPK2487" s="58"/>
      <c r="KPL2487" s="58"/>
      <c r="KPM2487" s="58"/>
      <c r="KPN2487" s="60"/>
      <c r="KPO2487" s="60"/>
      <c r="KPP2487" s="60"/>
      <c r="KPQ2487" s="58"/>
      <c r="KPR2487" s="61"/>
      <c r="KPS2487" s="58"/>
      <c r="KPT2487" s="58"/>
      <c r="KPU2487" s="58"/>
      <c r="KPV2487" s="60"/>
      <c r="KPW2487" s="60"/>
      <c r="KPX2487" s="60"/>
      <c r="KPY2487" s="58"/>
      <c r="KPZ2487" s="61"/>
      <c r="KQA2487" s="58"/>
      <c r="KQB2487" s="58"/>
      <c r="KQC2487" s="58"/>
      <c r="KQD2487" s="60"/>
      <c r="KQE2487" s="60"/>
      <c r="KQF2487" s="60"/>
      <c r="KQG2487" s="58"/>
      <c r="KQH2487" s="61"/>
      <c r="KQI2487" s="58"/>
      <c r="KQJ2487" s="58"/>
      <c r="KQK2487" s="58"/>
      <c r="KQL2487" s="60"/>
      <c r="KQM2487" s="60"/>
      <c r="KQN2487" s="60"/>
      <c r="KQO2487" s="58"/>
      <c r="KQP2487" s="61"/>
      <c r="KQQ2487" s="58"/>
      <c r="KQR2487" s="58"/>
      <c r="KQS2487" s="58"/>
      <c r="KQT2487" s="60"/>
      <c r="KQU2487" s="60"/>
      <c r="KQV2487" s="60"/>
      <c r="KQW2487" s="58"/>
      <c r="KQX2487" s="61"/>
      <c r="KQY2487" s="58"/>
      <c r="KQZ2487" s="58"/>
      <c r="KRA2487" s="58"/>
      <c r="KRB2487" s="60"/>
      <c r="KRC2487" s="60"/>
      <c r="KRD2487" s="60"/>
      <c r="KRE2487" s="58"/>
      <c r="KRF2487" s="61"/>
      <c r="KRG2487" s="58"/>
      <c r="KRH2487" s="58"/>
      <c r="KRI2487" s="58"/>
      <c r="KRJ2487" s="60"/>
      <c r="KRK2487" s="60"/>
      <c r="KRL2487" s="60"/>
      <c r="KRM2487" s="58"/>
      <c r="KRN2487" s="61"/>
      <c r="KRO2487" s="58"/>
      <c r="KRP2487" s="58"/>
      <c r="KRQ2487" s="58"/>
      <c r="KRR2487" s="60"/>
      <c r="KRS2487" s="60"/>
      <c r="KRT2487" s="60"/>
      <c r="KRU2487" s="58"/>
      <c r="KRV2487" s="61"/>
      <c r="KRW2487" s="58"/>
      <c r="KRX2487" s="58"/>
      <c r="KRY2487" s="58"/>
      <c r="KRZ2487" s="60"/>
      <c r="KSA2487" s="60"/>
      <c r="KSB2487" s="60"/>
      <c r="KSC2487" s="58"/>
      <c r="KSD2487" s="61"/>
      <c r="KSE2487" s="58"/>
      <c r="KSF2487" s="58"/>
      <c r="KSG2487" s="58"/>
      <c r="KSH2487" s="60"/>
      <c r="KSI2487" s="60"/>
      <c r="KSJ2487" s="60"/>
      <c r="KSK2487" s="58"/>
      <c r="KSL2487" s="61"/>
      <c r="KSM2487" s="58"/>
      <c r="KSN2487" s="58"/>
      <c r="KSO2487" s="58"/>
      <c r="KSP2487" s="60"/>
      <c r="KSQ2487" s="60"/>
      <c r="KSR2487" s="60"/>
      <c r="KSS2487" s="58"/>
      <c r="KST2487" s="61"/>
      <c r="KSU2487" s="58"/>
      <c r="KSV2487" s="58"/>
      <c r="KSW2487" s="58"/>
      <c r="KSX2487" s="60"/>
      <c r="KSY2487" s="60"/>
      <c r="KSZ2487" s="60"/>
      <c r="KTA2487" s="58"/>
      <c r="KTB2487" s="61"/>
      <c r="KTC2487" s="58"/>
      <c r="KTD2487" s="58"/>
      <c r="KTE2487" s="58"/>
      <c r="KTF2487" s="60"/>
      <c r="KTG2487" s="60"/>
      <c r="KTH2487" s="60"/>
      <c r="KTI2487" s="58"/>
      <c r="KTJ2487" s="61"/>
      <c r="KTK2487" s="58"/>
      <c r="KTL2487" s="58"/>
      <c r="KTM2487" s="58"/>
      <c r="KTN2487" s="60"/>
      <c r="KTO2487" s="60"/>
      <c r="KTP2487" s="60"/>
      <c r="KTQ2487" s="58"/>
      <c r="KTR2487" s="61"/>
      <c r="KTS2487" s="58"/>
      <c r="KTT2487" s="58"/>
      <c r="KTU2487" s="58"/>
      <c r="KTV2487" s="60"/>
      <c r="KTW2487" s="60"/>
      <c r="KTX2487" s="60"/>
      <c r="KTY2487" s="58"/>
      <c r="KTZ2487" s="61"/>
      <c r="KUA2487" s="58"/>
      <c r="KUB2487" s="58"/>
      <c r="KUC2487" s="58"/>
      <c r="KUD2487" s="60"/>
      <c r="KUE2487" s="60"/>
      <c r="KUF2487" s="60"/>
      <c r="KUG2487" s="58"/>
      <c r="KUH2487" s="61"/>
      <c r="KUI2487" s="58"/>
      <c r="KUJ2487" s="58"/>
      <c r="KUK2487" s="58"/>
      <c r="KUL2487" s="60"/>
      <c r="KUM2487" s="60"/>
      <c r="KUN2487" s="60"/>
      <c r="KUO2487" s="58"/>
      <c r="KUP2487" s="61"/>
      <c r="KUQ2487" s="58"/>
      <c r="KUR2487" s="58"/>
      <c r="KUS2487" s="58"/>
      <c r="KUT2487" s="60"/>
      <c r="KUU2487" s="60"/>
      <c r="KUV2487" s="60"/>
      <c r="KUW2487" s="58"/>
      <c r="KUX2487" s="61"/>
      <c r="KUY2487" s="58"/>
      <c r="KUZ2487" s="58"/>
      <c r="KVA2487" s="58"/>
      <c r="KVB2487" s="60"/>
      <c r="KVC2487" s="60"/>
      <c r="KVD2487" s="60"/>
      <c r="KVE2487" s="58"/>
      <c r="KVF2487" s="61"/>
      <c r="KVG2487" s="58"/>
      <c r="KVH2487" s="58"/>
      <c r="KVI2487" s="58"/>
      <c r="KVJ2487" s="60"/>
      <c r="KVK2487" s="60"/>
      <c r="KVL2487" s="60"/>
      <c r="KVM2487" s="58"/>
      <c r="KVN2487" s="61"/>
      <c r="KVO2487" s="58"/>
      <c r="KVP2487" s="58"/>
      <c r="KVQ2487" s="58"/>
      <c r="KVR2487" s="60"/>
      <c r="KVS2487" s="60"/>
      <c r="KVT2487" s="60"/>
      <c r="KVU2487" s="58"/>
      <c r="KVV2487" s="61"/>
      <c r="KVW2487" s="58"/>
      <c r="KVX2487" s="58"/>
      <c r="KVY2487" s="58"/>
      <c r="KVZ2487" s="60"/>
      <c r="KWA2487" s="60"/>
      <c r="KWB2487" s="60"/>
      <c r="KWC2487" s="58"/>
      <c r="KWD2487" s="61"/>
      <c r="KWE2487" s="58"/>
      <c r="KWF2487" s="58"/>
      <c r="KWG2487" s="58"/>
      <c r="KWH2487" s="60"/>
      <c r="KWI2487" s="60"/>
      <c r="KWJ2487" s="60"/>
      <c r="KWK2487" s="58"/>
      <c r="KWL2487" s="61"/>
      <c r="KWM2487" s="58"/>
      <c r="KWN2487" s="58"/>
      <c r="KWO2487" s="58"/>
      <c r="KWP2487" s="60"/>
      <c r="KWQ2487" s="60"/>
      <c r="KWR2487" s="60"/>
      <c r="KWS2487" s="58"/>
      <c r="KWT2487" s="61"/>
      <c r="KWU2487" s="58"/>
      <c r="KWV2487" s="58"/>
      <c r="KWW2487" s="58"/>
      <c r="KWX2487" s="60"/>
      <c r="KWY2487" s="60"/>
      <c r="KWZ2487" s="60"/>
      <c r="KXA2487" s="58"/>
      <c r="KXB2487" s="61"/>
      <c r="KXC2487" s="58"/>
      <c r="KXD2487" s="58"/>
      <c r="KXE2487" s="58"/>
      <c r="KXF2487" s="60"/>
      <c r="KXG2487" s="60"/>
      <c r="KXH2487" s="60"/>
      <c r="KXI2487" s="58"/>
      <c r="KXJ2487" s="61"/>
      <c r="KXK2487" s="58"/>
      <c r="KXL2487" s="58"/>
      <c r="KXM2487" s="58"/>
      <c r="KXN2487" s="60"/>
      <c r="KXO2487" s="60"/>
      <c r="KXP2487" s="60"/>
      <c r="KXQ2487" s="58"/>
      <c r="KXR2487" s="61"/>
      <c r="KXS2487" s="58"/>
      <c r="KXT2487" s="58"/>
      <c r="KXU2487" s="58"/>
      <c r="KXV2487" s="60"/>
      <c r="KXW2487" s="60"/>
      <c r="KXX2487" s="60"/>
      <c r="KXY2487" s="58"/>
      <c r="KXZ2487" s="61"/>
      <c r="KYA2487" s="58"/>
      <c r="KYB2487" s="58"/>
      <c r="KYC2487" s="58"/>
      <c r="KYD2487" s="60"/>
      <c r="KYE2487" s="60"/>
      <c r="KYF2487" s="60"/>
      <c r="KYG2487" s="58"/>
      <c r="KYH2487" s="61"/>
      <c r="KYI2487" s="58"/>
      <c r="KYJ2487" s="58"/>
      <c r="KYK2487" s="58"/>
      <c r="KYL2487" s="60"/>
      <c r="KYM2487" s="60"/>
      <c r="KYN2487" s="60"/>
      <c r="KYO2487" s="58"/>
      <c r="KYP2487" s="61"/>
      <c r="KYQ2487" s="58"/>
      <c r="KYR2487" s="58"/>
      <c r="KYS2487" s="58"/>
      <c r="KYT2487" s="60"/>
      <c r="KYU2487" s="60"/>
      <c r="KYV2487" s="60"/>
      <c r="KYW2487" s="58"/>
      <c r="KYX2487" s="61"/>
      <c r="KYY2487" s="58"/>
      <c r="KYZ2487" s="58"/>
      <c r="KZA2487" s="58"/>
      <c r="KZB2487" s="60"/>
      <c r="KZC2487" s="60"/>
      <c r="KZD2487" s="60"/>
      <c r="KZE2487" s="58"/>
      <c r="KZF2487" s="61"/>
      <c r="KZG2487" s="58"/>
      <c r="KZH2487" s="58"/>
      <c r="KZI2487" s="58"/>
      <c r="KZJ2487" s="60"/>
      <c r="KZK2487" s="60"/>
      <c r="KZL2487" s="60"/>
      <c r="KZM2487" s="58"/>
      <c r="KZN2487" s="61"/>
      <c r="KZO2487" s="58"/>
      <c r="KZP2487" s="58"/>
      <c r="KZQ2487" s="58"/>
      <c r="KZR2487" s="60"/>
      <c r="KZS2487" s="60"/>
      <c r="KZT2487" s="60"/>
      <c r="KZU2487" s="58"/>
      <c r="KZV2487" s="61"/>
      <c r="KZW2487" s="58"/>
      <c r="KZX2487" s="58"/>
      <c r="KZY2487" s="58"/>
      <c r="KZZ2487" s="60"/>
      <c r="LAA2487" s="60"/>
      <c r="LAB2487" s="60"/>
      <c r="LAC2487" s="58"/>
      <c r="LAD2487" s="61"/>
      <c r="LAE2487" s="58"/>
      <c r="LAF2487" s="58"/>
      <c r="LAG2487" s="58"/>
      <c r="LAH2487" s="60"/>
      <c r="LAI2487" s="60"/>
      <c r="LAJ2487" s="60"/>
      <c r="LAK2487" s="58"/>
      <c r="LAL2487" s="61"/>
      <c r="LAM2487" s="58"/>
      <c r="LAN2487" s="58"/>
      <c r="LAO2487" s="58"/>
      <c r="LAP2487" s="60"/>
      <c r="LAQ2487" s="60"/>
      <c r="LAR2487" s="60"/>
      <c r="LAS2487" s="58"/>
      <c r="LAT2487" s="61"/>
      <c r="LAU2487" s="58"/>
      <c r="LAV2487" s="58"/>
      <c r="LAW2487" s="58"/>
      <c r="LAX2487" s="60"/>
      <c r="LAY2487" s="60"/>
      <c r="LAZ2487" s="60"/>
      <c r="LBA2487" s="58"/>
      <c r="LBB2487" s="61"/>
      <c r="LBC2487" s="58"/>
      <c r="LBD2487" s="58"/>
      <c r="LBE2487" s="58"/>
      <c r="LBF2487" s="60"/>
      <c r="LBG2487" s="60"/>
      <c r="LBH2487" s="60"/>
      <c r="LBI2487" s="58"/>
      <c r="LBJ2487" s="61"/>
      <c r="LBK2487" s="58"/>
      <c r="LBL2487" s="58"/>
      <c r="LBM2487" s="58"/>
      <c r="LBN2487" s="60"/>
      <c r="LBO2487" s="60"/>
      <c r="LBP2487" s="60"/>
      <c r="LBQ2487" s="58"/>
      <c r="LBR2487" s="61"/>
      <c r="LBS2487" s="58"/>
      <c r="LBT2487" s="58"/>
      <c r="LBU2487" s="58"/>
      <c r="LBV2487" s="60"/>
      <c r="LBW2487" s="60"/>
      <c r="LBX2487" s="60"/>
      <c r="LBY2487" s="58"/>
      <c r="LBZ2487" s="61"/>
      <c r="LCA2487" s="58"/>
      <c r="LCB2487" s="58"/>
      <c r="LCC2487" s="58"/>
      <c r="LCD2487" s="60"/>
      <c r="LCE2487" s="60"/>
      <c r="LCF2487" s="60"/>
      <c r="LCG2487" s="58"/>
      <c r="LCH2487" s="61"/>
      <c r="LCI2487" s="58"/>
      <c r="LCJ2487" s="58"/>
      <c r="LCK2487" s="58"/>
      <c r="LCL2487" s="60"/>
      <c r="LCM2487" s="60"/>
      <c r="LCN2487" s="60"/>
      <c r="LCO2487" s="58"/>
      <c r="LCP2487" s="61"/>
      <c r="LCQ2487" s="58"/>
      <c r="LCR2487" s="58"/>
      <c r="LCS2487" s="58"/>
      <c r="LCT2487" s="60"/>
      <c r="LCU2487" s="60"/>
      <c r="LCV2487" s="60"/>
      <c r="LCW2487" s="58"/>
      <c r="LCX2487" s="61"/>
      <c r="LCY2487" s="58"/>
      <c r="LCZ2487" s="58"/>
      <c r="LDA2487" s="58"/>
      <c r="LDB2487" s="60"/>
      <c r="LDC2487" s="60"/>
      <c r="LDD2487" s="60"/>
      <c r="LDE2487" s="58"/>
      <c r="LDF2487" s="61"/>
      <c r="LDG2487" s="58"/>
      <c r="LDH2487" s="58"/>
      <c r="LDI2487" s="58"/>
      <c r="LDJ2487" s="60"/>
      <c r="LDK2487" s="60"/>
      <c r="LDL2487" s="60"/>
      <c r="LDM2487" s="58"/>
      <c r="LDN2487" s="61"/>
      <c r="LDO2487" s="58"/>
      <c r="LDP2487" s="58"/>
      <c r="LDQ2487" s="58"/>
      <c r="LDR2487" s="60"/>
      <c r="LDS2487" s="60"/>
      <c r="LDT2487" s="60"/>
      <c r="LDU2487" s="58"/>
      <c r="LDV2487" s="61"/>
      <c r="LDW2487" s="58"/>
      <c r="LDX2487" s="58"/>
      <c r="LDY2487" s="58"/>
      <c r="LDZ2487" s="60"/>
      <c r="LEA2487" s="60"/>
      <c r="LEB2487" s="60"/>
      <c r="LEC2487" s="58"/>
      <c r="LED2487" s="61"/>
      <c r="LEE2487" s="58"/>
      <c r="LEF2487" s="58"/>
      <c r="LEG2487" s="58"/>
      <c r="LEH2487" s="60"/>
      <c r="LEI2487" s="60"/>
      <c r="LEJ2487" s="60"/>
      <c r="LEK2487" s="58"/>
      <c r="LEL2487" s="61"/>
      <c r="LEM2487" s="58"/>
      <c r="LEN2487" s="58"/>
      <c r="LEO2487" s="58"/>
      <c r="LEP2487" s="60"/>
      <c r="LEQ2487" s="60"/>
      <c r="LER2487" s="60"/>
      <c r="LES2487" s="58"/>
      <c r="LET2487" s="61"/>
      <c r="LEU2487" s="58"/>
      <c r="LEV2487" s="58"/>
      <c r="LEW2487" s="58"/>
      <c r="LEX2487" s="60"/>
      <c r="LEY2487" s="60"/>
      <c r="LEZ2487" s="60"/>
      <c r="LFA2487" s="58"/>
      <c r="LFB2487" s="61"/>
      <c r="LFC2487" s="58"/>
      <c r="LFD2487" s="58"/>
      <c r="LFE2487" s="58"/>
      <c r="LFF2487" s="60"/>
      <c r="LFG2487" s="60"/>
      <c r="LFH2487" s="60"/>
      <c r="LFI2487" s="58"/>
      <c r="LFJ2487" s="61"/>
      <c r="LFK2487" s="58"/>
      <c r="LFL2487" s="58"/>
      <c r="LFM2487" s="58"/>
      <c r="LFN2487" s="60"/>
      <c r="LFO2487" s="60"/>
      <c r="LFP2487" s="60"/>
      <c r="LFQ2487" s="58"/>
      <c r="LFR2487" s="61"/>
      <c r="LFS2487" s="58"/>
      <c r="LFT2487" s="58"/>
      <c r="LFU2487" s="58"/>
      <c r="LFV2487" s="60"/>
      <c r="LFW2487" s="60"/>
      <c r="LFX2487" s="60"/>
      <c r="LFY2487" s="58"/>
      <c r="LFZ2487" s="61"/>
      <c r="LGA2487" s="58"/>
      <c r="LGB2487" s="58"/>
      <c r="LGC2487" s="58"/>
      <c r="LGD2487" s="60"/>
      <c r="LGE2487" s="60"/>
      <c r="LGF2487" s="60"/>
      <c r="LGG2487" s="58"/>
      <c r="LGH2487" s="61"/>
      <c r="LGI2487" s="58"/>
      <c r="LGJ2487" s="58"/>
      <c r="LGK2487" s="58"/>
      <c r="LGL2487" s="60"/>
      <c r="LGM2487" s="60"/>
      <c r="LGN2487" s="60"/>
      <c r="LGO2487" s="58"/>
      <c r="LGP2487" s="61"/>
      <c r="LGQ2487" s="58"/>
      <c r="LGR2487" s="58"/>
      <c r="LGS2487" s="58"/>
      <c r="LGT2487" s="60"/>
      <c r="LGU2487" s="60"/>
      <c r="LGV2487" s="60"/>
      <c r="LGW2487" s="58"/>
      <c r="LGX2487" s="61"/>
      <c r="LGY2487" s="58"/>
      <c r="LGZ2487" s="58"/>
      <c r="LHA2487" s="58"/>
      <c r="LHB2487" s="60"/>
      <c r="LHC2487" s="60"/>
      <c r="LHD2487" s="60"/>
      <c r="LHE2487" s="58"/>
      <c r="LHF2487" s="61"/>
      <c r="LHG2487" s="58"/>
      <c r="LHH2487" s="58"/>
      <c r="LHI2487" s="58"/>
      <c r="LHJ2487" s="60"/>
      <c r="LHK2487" s="60"/>
      <c r="LHL2487" s="60"/>
      <c r="LHM2487" s="58"/>
      <c r="LHN2487" s="61"/>
      <c r="LHO2487" s="58"/>
      <c r="LHP2487" s="58"/>
      <c r="LHQ2487" s="58"/>
      <c r="LHR2487" s="60"/>
      <c r="LHS2487" s="60"/>
      <c r="LHT2487" s="60"/>
      <c r="LHU2487" s="58"/>
      <c r="LHV2487" s="61"/>
      <c r="LHW2487" s="58"/>
      <c r="LHX2487" s="58"/>
      <c r="LHY2487" s="58"/>
      <c r="LHZ2487" s="60"/>
      <c r="LIA2487" s="60"/>
      <c r="LIB2487" s="60"/>
      <c r="LIC2487" s="58"/>
      <c r="LID2487" s="61"/>
      <c r="LIE2487" s="58"/>
      <c r="LIF2487" s="58"/>
      <c r="LIG2487" s="58"/>
      <c r="LIH2487" s="60"/>
      <c r="LII2487" s="60"/>
      <c r="LIJ2487" s="60"/>
      <c r="LIK2487" s="58"/>
      <c r="LIL2487" s="61"/>
      <c r="LIM2487" s="58"/>
      <c r="LIN2487" s="58"/>
      <c r="LIO2487" s="58"/>
      <c r="LIP2487" s="60"/>
      <c r="LIQ2487" s="60"/>
      <c r="LIR2487" s="60"/>
      <c r="LIS2487" s="58"/>
      <c r="LIT2487" s="61"/>
      <c r="LIU2487" s="58"/>
      <c r="LIV2487" s="58"/>
      <c r="LIW2487" s="58"/>
      <c r="LIX2487" s="60"/>
      <c r="LIY2487" s="60"/>
      <c r="LIZ2487" s="60"/>
      <c r="LJA2487" s="58"/>
      <c r="LJB2487" s="61"/>
      <c r="LJC2487" s="58"/>
      <c r="LJD2487" s="58"/>
      <c r="LJE2487" s="58"/>
      <c r="LJF2487" s="60"/>
      <c r="LJG2487" s="60"/>
      <c r="LJH2487" s="60"/>
      <c r="LJI2487" s="58"/>
      <c r="LJJ2487" s="61"/>
      <c r="LJK2487" s="58"/>
      <c r="LJL2487" s="58"/>
      <c r="LJM2487" s="58"/>
      <c r="LJN2487" s="60"/>
      <c r="LJO2487" s="60"/>
      <c r="LJP2487" s="60"/>
      <c r="LJQ2487" s="58"/>
      <c r="LJR2487" s="61"/>
      <c r="LJS2487" s="58"/>
      <c r="LJT2487" s="58"/>
      <c r="LJU2487" s="58"/>
      <c r="LJV2487" s="60"/>
      <c r="LJW2487" s="60"/>
      <c r="LJX2487" s="60"/>
      <c r="LJY2487" s="58"/>
      <c r="LJZ2487" s="61"/>
      <c r="LKA2487" s="58"/>
      <c r="LKB2487" s="58"/>
      <c r="LKC2487" s="58"/>
      <c r="LKD2487" s="60"/>
      <c r="LKE2487" s="60"/>
      <c r="LKF2487" s="60"/>
      <c r="LKG2487" s="58"/>
      <c r="LKH2487" s="61"/>
      <c r="LKI2487" s="58"/>
      <c r="LKJ2487" s="58"/>
      <c r="LKK2487" s="58"/>
      <c r="LKL2487" s="60"/>
      <c r="LKM2487" s="60"/>
      <c r="LKN2487" s="60"/>
      <c r="LKO2487" s="58"/>
      <c r="LKP2487" s="61"/>
      <c r="LKQ2487" s="58"/>
      <c r="LKR2487" s="58"/>
      <c r="LKS2487" s="58"/>
      <c r="LKT2487" s="60"/>
      <c r="LKU2487" s="60"/>
      <c r="LKV2487" s="60"/>
      <c r="LKW2487" s="58"/>
      <c r="LKX2487" s="61"/>
      <c r="LKY2487" s="58"/>
      <c r="LKZ2487" s="58"/>
      <c r="LLA2487" s="58"/>
      <c r="LLB2487" s="60"/>
      <c r="LLC2487" s="60"/>
      <c r="LLD2487" s="60"/>
      <c r="LLE2487" s="58"/>
      <c r="LLF2487" s="61"/>
      <c r="LLG2487" s="58"/>
      <c r="LLH2487" s="58"/>
      <c r="LLI2487" s="58"/>
      <c r="LLJ2487" s="60"/>
      <c r="LLK2487" s="60"/>
      <c r="LLL2487" s="60"/>
      <c r="LLM2487" s="58"/>
      <c r="LLN2487" s="61"/>
      <c r="LLO2487" s="58"/>
      <c r="LLP2487" s="58"/>
      <c r="LLQ2487" s="58"/>
      <c r="LLR2487" s="60"/>
      <c r="LLS2487" s="60"/>
      <c r="LLT2487" s="60"/>
      <c r="LLU2487" s="58"/>
      <c r="LLV2487" s="61"/>
      <c r="LLW2487" s="58"/>
      <c r="LLX2487" s="58"/>
      <c r="LLY2487" s="58"/>
      <c r="LLZ2487" s="60"/>
      <c r="LMA2487" s="60"/>
      <c r="LMB2487" s="60"/>
      <c r="LMC2487" s="58"/>
      <c r="LMD2487" s="61"/>
      <c r="LME2487" s="58"/>
      <c r="LMF2487" s="58"/>
      <c r="LMG2487" s="58"/>
      <c r="LMH2487" s="60"/>
      <c r="LMI2487" s="60"/>
      <c r="LMJ2487" s="60"/>
      <c r="LMK2487" s="58"/>
      <c r="LML2487" s="61"/>
      <c r="LMM2487" s="58"/>
      <c r="LMN2487" s="58"/>
      <c r="LMO2487" s="58"/>
      <c r="LMP2487" s="60"/>
      <c r="LMQ2487" s="60"/>
      <c r="LMR2487" s="60"/>
      <c r="LMS2487" s="58"/>
      <c r="LMT2487" s="61"/>
      <c r="LMU2487" s="58"/>
      <c r="LMV2487" s="58"/>
      <c r="LMW2487" s="58"/>
      <c r="LMX2487" s="60"/>
      <c r="LMY2487" s="60"/>
      <c r="LMZ2487" s="60"/>
      <c r="LNA2487" s="58"/>
      <c r="LNB2487" s="61"/>
      <c r="LNC2487" s="58"/>
      <c r="LND2487" s="58"/>
      <c r="LNE2487" s="58"/>
      <c r="LNF2487" s="60"/>
      <c r="LNG2487" s="60"/>
      <c r="LNH2487" s="60"/>
      <c r="LNI2487" s="58"/>
      <c r="LNJ2487" s="61"/>
      <c r="LNK2487" s="58"/>
      <c r="LNL2487" s="58"/>
      <c r="LNM2487" s="58"/>
      <c r="LNN2487" s="60"/>
      <c r="LNO2487" s="60"/>
      <c r="LNP2487" s="60"/>
      <c r="LNQ2487" s="58"/>
      <c r="LNR2487" s="61"/>
      <c r="LNS2487" s="58"/>
      <c r="LNT2487" s="58"/>
      <c r="LNU2487" s="58"/>
      <c r="LNV2487" s="60"/>
      <c r="LNW2487" s="60"/>
      <c r="LNX2487" s="60"/>
      <c r="LNY2487" s="58"/>
      <c r="LNZ2487" s="61"/>
      <c r="LOA2487" s="58"/>
      <c r="LOB2487" s="58"/>
      <c r="LOC2487" s="58"/>
      <c r="LOD2487" s="60"/>
      <c r="LOE2487" s="60"/>
      <c r="LOF2487" s="60"/>
      <c r="LOG2487" s="58"/>
      <c r="LOH2487" s="61"/>
      <c r="LOI2487" s="58"/>
      <c r="LOJ2487" s="58"/>
      <c r="LOK2487" s="58"/>
      <c r="LOL2487" s="60"/>
      <c r="LOM2487" s="60"/>
      <c r="LON2487" s="60"/>
      <c r="LOO2487" s="58"/>
      <c r="LOP2487" s="61"/>
      <c r="LOQ2487" s="58"/>
      <c r="LOR2487" s="58"/>
      <c r="LOS2487" s="58"/>
      <c r="LOT2487" s="60"/>
      <c r="LOU2487" s="60"/>
      <c r="LOV2487" s="60"/>
      <c r="LOW2487" s="58"/>
      <c r="LOX2487" s="61"/>
      <c r="LOY2487" s="58"/>
      <c r="LOZ2487" s="58"/>
      <c r="LPA2487" s="58"/>
      <c r="LPB2487" s="60"/>
      <c r="LPC2487" s="60"/>
      <c r="LPD2487" s="60"/>
      <c r="LPE2487" s="58"/>
      <c r="LPF2487" s="61"/>
      <c r="LPG2487" s="58"/>
      <c r="LPH2487" s="58"/>
      <c r="LPI2487" s="58"/>
      <c r="LPJ2487" s="60"/>
      <c r="LPK2487" s="60"/>
      <c r="LPL2487" s="60"/>
      <c r="LPM2487" s="58"/>
      <c r="LPN2487" s="61"/>
      <c r="LPO2487" s="58"/>
      <c r="LPP2487" s="58"/>
      <c r="LPQ2487" s="58"/>
      <c r="LPR2487" s="60"/>
      <c r="LPS2487" s="60"/>
      <c r="LPT2487" s="60"/>
      <c r="LPU2487" s="58"/>
      <c r="LPV2487" s="61"/>
      <c r="LPW2487" s="58"/>
      <c r="LPX2487" s="58"/>
      <c r="LPY2487" s="58"/>
      <c r="LPZ2487" s="60"/>
      <c r="LQA2487" s="60"/>
      <c r="LQB2487" s="60"/>
      <c r="LQC2487" s="58"/>
      <c r="LQD2487" s="61"/>
      <c r="LQE2487" s="58"/>
      <c r="LQF2487" s="58"/>
      <c r="LQG2487" s="58"/>
      <c r="LQH2487" s="60"/>
      <c r="LQI2487" s="60"/>
      <c r="LQJ2487" s="60"/>
      <c r="LQK2487" s="58"/>
      <c r="LQL2487" s="61"/>
      <c r="LQM2487" s="58"/>
      <c r="LQN2487" s="58"/>
      <c r="LQO2487" s="58"/>
      <c r="LQP2487" s="60"/>
      <c r="LQQ2487" s="60"/>
      <c r="LQR2487" s="60"/>
      <c r="LQS2487" s="58"/>
      <c r="LQT2487" s="61"/>
      <c r="LQU2487" s="58"/>
      <c r="LQV2487" s="58"/>
      <c r="LQW2487" s="58"/>
      <c r="LQX2487" s="60"/>
      <c r="LQY2487" s="60"/>
      <c r="LQZ2487" s="60"/>
      <c r="LRA2487" s="58"/>
      <c r="LRB2487" s="61"/>
      <c r="LRC2487" s="58"/>
      <c r="LRD2487" s="58"/>
      <c r="LRE2487" s="58"/>
      <c r="LRF2487" s="60"/>
      <c r="LRG2487" s="60"/>
      <c r="LRH2487" s="60"/>
      <c r="LRI2487" s="58"/>
      <c r="LRJ2487" s="61"/>
      <c r="LRK2487" s="58"/>
      <c r="LRL2487" s="58"/>
      <c r="LRM2487" s="58"/>
      <c r="LRN2487" s="60"/>
      <c r="LRO2487" s="60"/>
      <c r="LRP2487" s="60"/>
      <c r="LRQ2487" s="58"/>
      <c r="LRR2487" s="61"/>
      <c r="LRS2487" s="58"/>
      <c r="LRT2487" s="58"/>
      <c r="LRU2487" s="58"/>
      <c r="LRV2487" s="60"/>
      <c r="LRW2487" s="60"/>
      <c r="LRX2487" s="60"/>
      <c r="LRY2487" s="58"/>
      <c r="LRZ2487" s="61"/>
      <c r="LSA2487" s="58"/>
      <c r="LSB2487" s="58"/>
      <c r="LSC2487" s="58"/>
      <c r="LSD2487" s="60"/>
      <c r="LSE2487" s="60"/>
      <c r="LSF2487" s="60"/>
      <c r="LSG2487" s="58"/>
      <c r="LSH2487" s="61"/>
      <c r="LSI2487" s="58"/>
      <c r="LSJ2487" s="58"/>
      <c r="LSK2487" s="58"/>
      <c r="LSL2487" s="60"/>
      <c r="LSM2487" s="60"/>
      <c r="LSN2487" s="60"/>
      <c r="LSO2487" s="58"/>
      <c r="LSP2487" s="61"/>
      <c r="LSQ2487" s="58"/>
      <c r="LSR2487" s="58"/>
      <c r="LSS2487" s="58"/>
      <c r="LST2487" s="60"/>
      <c r="LSU2487" s="60"/>
      <c r="LSV2487" s="60"/>
      <c r="LSW2487" s="58"/>
      <c r="LSX2487" s="61"/>
      <c r="LSY2487" s="58"/>
      <c r="LSZ2487" s="58"/>
      <c r="LTA2487" s="58"/>
      <c r="LTB2487" s="60"/>
      <c r="LTC2487" s="60"/>
      <c r="LTD2487" s="60"/>
      <c r="LTE2487" s="58"/>
      <c r="LTF2487" s="61"/>
      <c r="LTG2487" s="58"/>
      <c r="LTH2487" s="58"/>
      <c r="LTI2487" s="58"/>
      <c r="LTJ2487" s="60"/>
      <c r="LTK2487" s="60"/>
      <c r="LTL2487" s="60"/>
      <c r="LTM2487" s="58"/>
      <c r="LTN2487" s="61"/>
      <c r="LTO2487" s="58"/>
      <c r="LTP2487" s="58"/>
      <c r="LTQ2487" s="58"/>
      <c r="LTR2487" s="60"/>
      <c r="LTS2487" s="60"/>
      <c r="LTT2487" s="60"/>
      <c r="LTU2487" s="58"/>
      <c r="LTV2487" s="61"/>
      <c r="LTW2487" s="58"/>
      <c r="LTX2487" s="58"/>
      <c r="LTY2487" s="58"/>
      <c r="LTZ2487" s="60"/>
      <c r="LUA2487" s="60"/>
      <c r="LUB2487" s="60"/>
      <c r="LUC2487" s="58"/>
      <c r="LUD2487" s="61"/>
      <c r="LUE2487" s="58"/>
      <c r="LUF2487" s="58"/>
      <c r="LUG2487" s="58"/>
      <c r="LUH2487" s="60"/>
      <c r="LUI2487" s="60"/>
      <c r="LUJ2487" s="60"/>
      <c r="LUK2487" s="58"/>
      <c r="LUL2487" s="61"/>
      <c r="LUM2487" s="58"/>
      <c r="LUN2487" s="58"/>
      <c r="LUO2487" s="58"/>
      <c r="LUP2487" s="60"/>
      <c r="LUQ2487" s="60"/>
      <c r="LUR2487" s="60"/>
      <c r="LUS2487" s="58"/>
      <c r="LUT2487" s="61"/>
      <c r="LUU2487" s="58"/>
      <c r="LUV2487" s="58"/>
      <c r="LUW2487" s="58"/>
      <c r="LUX2487" s="60"/>
      <c r="LUY2487" s="60"/>
      <c r="LUZ2487" s="60"/>
      <c r="LVA2487" s="58"/>
      <c r="LVB2487" s="61"/>
      <c r="LVC2487" s="58"/>
      <c r="LVD2487" s="58"/>
      <c r="LVE2487" s="58"/>
      <c r="LVF2487" s="60"/>
      <c r="LVG2487" s="60"/>
      <c r="LVH2487" s="60"/>
      <c r="LVI2487" s="58"/>
      <c r="LVJ2487" s="61"/>
      <c r="LVK2487" s="58"/>
      <c r="LVL2487" s="58"/>
      <c r="LVM2487" s="58"/>
      <c r="LVN2487" s="60"/>
      <c r="LVO2487" s="60"/>
      <c r="LVP2487" s="60"/>
      <c r="LVQ2487" s="58"/>
      <c r="LVR2487" s="61"/>
      <c r="LVS2487" s="58"/>
      <c r="LVT2487" s="58"/>
      <c r="LVU2487" s="58"/>
      <c r="LVV2487" s="60"/>
      <c r="LVW2487" s="60"/>
      <c r="LVX2487" s="60"/>
      <c r="LVY2487" s="58"/>
      <c r="LVZ2487" s="61"/>
      <c r="LWA2487" s="58"/>
      <c r="LWB2487" s="58"/>
      <c r="LWC2487" s="58"/>
      <c r="LWD2487" s="60"/>
      <c r="LWE2487" s="60"/>
      <c r="LWF2487" s="60"/>
      <c r="LWG2487" s="58"/>
      <c r="LWH2487" s="61"/>
      <c r="LWI2487" s="58"/>
      <c r="LWJ2487" s="58"/>
      <c r="LWK2487" s="58"/>
      <c r="LWL2487" s="60"/>
      <c r="LWM2487" s="60"/>
      <c r="LWN2487" s="60"/>
      <c r="LWO2487" s="58"/>
      <c r="LWP2487" s="61"/>
      <c r="LWQ2487" s="58"/>
      <c r="LWR2487" s="58"/>
      <c r="LWS2487" s="58"/>
      <c r="LWT2487" s="60"/>
      <c r="LWU2487" s="60"/>
      <c r="LWV2487" s="60"/>
      <c r="LWW2487" s="58"/>
      <c r="LWX2487" s="61"/>
      <c r="LWY2487" s="58"/>
      <c r="LWZ2487" s="58"/>
      <c r="LXA2487" s="58"/>
      <c r="LXB2487" s="60"/>
      <c r="LXC2487" s="60"/>
      <c r="LXD2487" s="60"/>
      <c r="LXE2487" s="58"/>
      <c r="LXF2487" s="61"/>
      <c r="LXG2487" s="58"/>
      <c r="LXH2487" s="58"/>
      <c r="LXI2487" s="58"/>
      <c r="LXJ2487" s="60"/>
      <c r="LXK2487" s="60"/>
      <c r="LXL2487" s="60"/>
      <c r="LXM2487" s="58"/>
      <c r="LXN2487" s="61"/>
      <c r="LXO2487" s="58"/>
      <c r="LXP2487" s="58"/>
      <c r="LXQ2487" s="58"/>
      <c r="LXR2487" s="60"/>
      <c r="LXS2487" s="60"/>
      <c r="LXT2487" s="60"/>
      <c r="LXU2487" s="58"/>
      <c r="LXV2487" s="61"/>
      <c r="LXW2487" s="58"/>
      <c r="LXX2487" s="58"/>
      <c r="LXY2487" s="58"/>
      <c r="LXZ2487" s="60"/>
      <c r="LYA2487" s="60"/>
      <c r="LYB2487" s="60"/>
      <c r="LYC2487" s="58"/>
      <c r="LYD2487" s="61"/>
      <c r="LYE2487" s="58"/>
      <c r="LYF2487" s="58"/>
      <c r="LYG2487" s="58"/>
      <c r="LYH2487" s="60"/>
      <c r="LYI2487" s="60"/>
      <c r="LYJ2487" s="60"/>
      <c r="LYK2487" s="58"/>
      <c r="LYL2487" s="61"/>
      <c r="LYM2487" s="58"/>
      <c r="LYN2487" s="58"/>
      <c r="LYO2487" s="58"/>
      <c r="LYP2487" s="60"/>
      <c r="LYQ2487" s="60"/>
      <c r="LYR2487" s="60"/>
      <c r="LYS2487" s="58"/>
      <c r="LYT2487" s="61"/>
      <c r="LYU2487" s="58"/>
      <c r="LYV2487" s="58"/>
      <c r="LYW2487" s="58"/>
      <c r="LYX2487" s="60"/>
      <c r="LYY2487" s="60"/>
      <c r="LYZ2487" s="60"/>
      <c r="LZA2487" s="58"/>
      <c r="LZB2487" s="61"/>
      <c r="LZC2487" s="58"/>
      <c r="LZD2487" s="58"/>
      <c r="LZE2487" s="58"/>
      <c r="LZF2487" s="60"/>
      <c r="LZG2487" s="60"/>
      <c r="LZH2487" s="60"/>
      <c r="LZI2487" s="58"/>
      <c r="LZJ2487" s="61"/>
      <c r="LZK2487" s="58"/>
      <c r="LZL2487" s="58"/>
      <c r="LZM2487" s="58"/>
      <c r="LZN2487" s="60"/>
      <c r="LZO2487" s="60"/>
      <c r="LZP2487" s="60"/>
      <c r="LZQ2487" s="58"/>
      <c r="LZR2487" s="61"/>
      <c r="LZS2487" s="58"/>
      <c r="LZT2487" s="58"/>
      <c r="LZU2487" s="58"/>
      <c r="LZV2487" s="60"/>
      <c r="LZW2487" s="60"/>
      <c r="LZX2487" s="60"/>
      <c r="LZY2487" s="58"/>
      <c r="LZZ2487" s="61"/>
      <c r="MAA2487" s="58"/>
      <c r="MAB2487" s="58"/>
      <c r="MAC2487" s="58"/>
      <c r="MAD2487" s="60"/>
      <c r="MAE2487" s="60"/>
      <c r="MAF2487" s="60"/>
      <c r="MAG2487" s="58"/>
      <c r="MAH2487" s="61"/>
      <c r="MAI2487" s="58"/>
      <c r="MAJ2487" s="58"/>
      <c r="MAK2487" s="58"/>
      <c r="MAL2487" s="60"/>
      <c r="MAM2487" s="60"/>
      <c r="MAN2487" s="60"/>
      <c r="MAO2487" s="58"/>
      <c r="MAP2487" s="61"/>
      <c r="MAQ2487" s="58"/>
      <c r="MAR2487" s="58"/>
      <c r="MAS2487" s="58"/>
      <c r="MAT2487" s="60"/>
      <c r="MAU2487" s="60"/>
      <c r="MAV2487" s="60"/>
      <c r="MAW2487" s="58"/>
      <c r="MAX2487" s="61"/>
      <c r="MAY2487" s="58"/>
      <c r="MAZ2487" s="58"/>
      <c r="MBA2487" s="58"/>
      <c r="MBB2487" s="60"/>
      <c r="MBC2487" s="60"/>
      <c r="MBD2487" s="60"/>
      <c r="MBE2487" s="58"/>
      <c r="MBF2487" s="61"/>
      <c r="MBG2487" s="58"/>
      <c r="MBH2487" s="58"/>
      <c r="MBI2487" s="58"/>
      <c r="MBJ2487" s="60"/>
      <c r="MBK2487" s="60"/>
      <c r="MBL2487" s="60"/>
      <c r="MBM2487" s="58"/>
      <c r="MBN2487" s="61"/>
      <c r="MBO2487" s="58"/>
      <c r="MBP2487" s="58"/>
      <c r="MBQ2487" s="58"/>
      <c r="MBR2487" s="60"/>
      <c r="MBS2487" s="60"/>
      <c r="MBT2487" s="60"/>
      <c r="MBU2487" s="58"/>
      <c r="MBV2487" s="61"/>
      <c r="MBW2487" s="58"/>
      <c r="MBX2487" s="58"/>
      <c r="MBY2487" s="58"/>
      <c r="MBZ2487" s="60"/>
      <c r="MCA2487" s="60"/>
      <c r="MCB2487" s="60"/>
      <c r="MCC2487" s="58"/>
      <c r="MCD2487" s="61"/>
      <c r="MCE2487" s="58"/>
      <c r="MCF2487" s="58"/>
      <c r="MCG2487" s="58"/>
      <c r="MCH2487" s="60"/>
      <c r="MCI2487" s="60"/>
      <c r="MCJ2487" s="60"/>
      <c r="MCK2487" s="58"/>
      <c r="MCL2487" s="61"/>
      <c r="MCM2487" s="58"/>
      <c r="MCN2487" s="58"/>
      <c r="MCO2487" s="58"/>
      <c r="MCP2487" s="60"/>
      <c r="MCQ2487" s="60"/>
      <c r="MCR2487" s="60"/>
      <c r="MCS2487" s="58"/>
      <c r="MCT2487" s="61"/>
      <c r="MCU2487" s="58"/>
      <c r="MCV2487" s="58"/>
      <c r="MCW2487" s="58"/>
      <c r="MCX2487" s="60"/>
      <c r="MCY2487" s="60"/>
      <c r="MCZ2487" s="60"/>
      <c r="MDA2487" s="58"/>
      <c r="MDB2487" s="61"/>
      <c r="MDC2487" s="58"/>
      <c r="MDD2487" s="58"/>
      <c r="MDE2487" s="58"/>
      <c r="MDF2487" s="60"/>
      <c r="MDG2487" s="60"/>
      <c r="MDH2487" s="60"/>
      <c r="MDI2487" s="58"/>
      <c r="MDJ2487" s="61"/>
      <c r="MDK2487" s="58"/>
      <c r="MDL2487" s="58"/>
      <c r="MDM2487" s="58"/>
      <c r="MDN2487" s="60"/>
      <c r="MDO2487" s="60"/>
      <c r="MDP2487" s="60"/>
      <c r="MDQ2487" s="58"/>
      <c r="MDR2487" s="61"/>
      <c r="MDS2487" s="58"/>
      <c r="MDT2487" s="58"/>
      <c r="MDU2487" s="58"/>
      <c r="MDV2487" s="60"/>
      <c r="MDW2487" s="60"/>
      <c r="MDX2487" s="60"/>
      <c r="MDY2487" s="58"/>
      <c r="MDZ2487" s="61"/>
      <c r="MEA2487" s="58"/>
      <c r="MEB2487" s="58"/>
      <c r="MEC2487" s="58"/>
      <c r="MED2487" s="60"/>
      <c r="MEE2487" s="60"/>
      <c r="MEF2487" s="60"/>
      <c r="MEG2487" s="58"/>
      <c r="MEH2487" s="61"/>
      <c r="MEI2487" s="58"/>
      <c r="MEJ2487" s="58"/>
      <c r="MEK2487" s="58"/>
      <c r="MEL2487" s="60"/>
      <c r="MEM2487" s="60"/>
      <c r="MEN2487" s="60"/>
      <c r="MEO2487" s="58"/>
      <c r="MEP2487" s="61"/>
      <c r="MEQ2487" s="58"/>
      <c r="MER2487" s="58"/>
      <c r="MES2487" s="58"/>
      <c r="MET2487" s="60"/>
      <c r="MEU2487" s="60"/>
      <c r="MEV2487" s="60"/>
      <c r="MEW2487" s="58"/>
      <c r="MEX2487" s="61"/>
      <c r="MEY2487" s="58"/>
      <c r="MEZ2487" s="58"/>
      <c r="MFA2487" s="58"/>
      <c r="MFB2487" s="60"/>
      <c r="MFC2487" s="60"/>
      <c r="MFD2487" s="60"/>
      <c r="MFE2487" s="58"/>
      <c r="MFF2487" s="61"/>
      <c r="MFG2487" s="58"/>
      <c r="MFH2487" s="58"/>
      <c r="MFI2487" s="58"/>
      <c r="MFJ2487" s="60"/>
      <c r="MFK2487" s="60"/>
      <c r="MFL2487" s="60"/>
      <c r="MFM2487" s="58"/>
      <c r="MFN2487" s="61"/>
      <c r="MFO2487" s="58"/>
      <c r="MFP2487" s="58"/>
      <c r="MFQ2487" s="58"/>
      <c r="MFR2487" s="60"/>
      <c r="MFS2487" s="60"/>
      <c r="MFT2487" s="60"/>
      <c r="MFU2487" s="58"/>
      <c r="MFV2487" s="61"/>
      <c r="MFW2487" s="58"/>
      <c r="MFX2487" s="58"/>
      <c r="MFY2487" s="58"/>
      <c r="MFZ2487" s="60"/>
      <c r="MGA2487" s="60"/>
      <c r="MGB2487" s="60"/>
      <c r="MGC2487" s="58"/>
      <c r="MGD2487" s="61"/>
      <c r="MGE2487" s="58"/>
      <c r="MGF2487" s="58"/>
      <c r="MGG2487" s="58"/>
      <c r="MGH2487" s="60"/>
      <c r="MGI2487" s="60"/>
      <c r="MGJ2487" s="60"/>
      <c r="MGK2487" s="58"/>
      <c r="MGL2487" s="61"/>
      <c r="MGM2487" s="58"/>
      <c r="MGN2487" s="58"/>
      <c r="MGO2487" s="58"/>
      <c r="MGP2487" s="60"/>
      <c r="MGQ2487" s="60"/>
      <c r="MGR2487" s="60"/>
      <c r="MGS2487" s="58"/>
      <c r="MGT2487" s="61"/>
      <c r="MGU2487" s="58"/>
      <c r="MGV2487" s="58"/>
      <c r="MGW2487" s="58"/>
      <c r="MGX2487" s="60"/>
      <c r="MGY2487" s="60"/>
      <c r="MGZ2487" s="60"/>
      <c r="MHA2487" s="58"/>
      <c r="MHB2487" s="61"/>
      <c r="MHC2487" s="58"/>
      <c r="MHD2487" s="58"/>
      <c r="MHE2487" s="58"/>
      <c r="MHF2487" s="60"/>
      <c r="MHG2487" s="60"/>
      <c r="MHH2487" s="60"/>
      <c r="MHI2487" s="58"/>
      <c r="MHJ2487" s="61"/>
      <c r="MHK2487" s="58"/>
      <c r="MHL2487" s="58"/>
      <c r="MHM2487" s="58"/>
      <c r="MHN2487" s="60"/>
      <c r="MHO2487" s="60"/>
      <c r="MHP2487" s="60"/>
      <c r="MHQ2487" s="58"/>
      <c r="MHR2487" s="61"/>
      <c r="MHS2487" s="58"/>
      <c r="MHT2487" s="58"/>
      <c r="MHU2487" s="58"/>
      <c r="MHV2487" s="60"/>
      <c r="MHW2487" s="60"/>
      <c r="MHX2487" s="60"/>
      <c r="MHY2487" s="58"/>
      <c r="MHZ2487" s="61"/>
      <c r="MIA2487" s="58"/>
      <c r="MIB2487" s="58"/>
      <c r="MIC2487" s="58"/>
      <c r="MID2487" s="60"/>
      <c r="MIE2487" s="60"/>
      <c r="MIF2487" s="60"/>
      <c r="MIG2487" s="58"/>
      <c r="MIH2487" s="61"/>
      <c r="MII2487" s="58"/>
      <c r="MIJ2487" s="58"/>
      <c r="MIK2487" s="58"/>
      <c r="MIL2487" s="60"/>
      <c r="MIM2487" s="60"/>
      <c r="MIN2487" s="60"/>
      <c r="MIO2487" s="58"/>
      <c r="MIP2487" s="61"/>
      <c r="MIQ2487" s="58"/>
      <c r="MIR2487" s="58"/>
      <c r="MIS2487" s="58"/>
      <c r="MIT2487" s="60"/>
      <c r="MIU2487" s="60"/>
      <c r="MIV2487" s="60"/>
      <c r="MIW2487" s="58"/>
      <c r="MIX2487" s="61"/>
      <c r="MIY2487" s="58"/>
      <c r="MIZ2487" s="58"/>
      <c r="MJA2487" s="58"/>
      <c r="MJB2487" s="60"/>
      <c r="MJC2487" s="60"/>
      <c r="MJD2487" s="60"/>
      <c r="MJE2487" s="58"/>
      <c r="MJF2487" s="61"/>
      <c r="MJG2487" s="58"/>
      <c r="MJH2487" s="58"/>
      <c r="MJI2487" s="58"/>
      <c r="MJJ2487" s="60"/>
      <c r="MJK2487" s="60"/>
      <c r="MJL2487" s="60"/>
      <c r="MJM2487" s="58"/>
      <c r="MJN2487" s="61"/>
      <c r="MJO2487" s="58"/>
      <c r="MJP2487" s="58"/>
      <c r="MJQ2487" s="58"/>
      <c r="MJR2487" s="60"/>
      <c r="MJS2487" s="60"/>
      <c r="MJT2487" s="60"/>
      <c r="MJU2487" s="58"/>
      <c r="MJV2487" s="61"/>
      <c r="MJW2487" s="58"/>
      <c r="MJX2487" s="58"/>
      <c r="MJY2487" s="58"/>
      <c r="MJZ2487" s="60"/>
      <c r="MKA2487" s="60"/>
      <c r="MKB2487" s="60"/>
      <c r="MKC2487" s="58"/>
      <c r="MKD2487" s="61"/>
      <c r="MKE2487" s="58"/>
      <c r="MKF2487" s="58"/>
      <c r="MKG2487" s="58"/>
      <c r="MKH2487" s="60"/>
      <c r="MKI2487" s="60"/>
      <c r="MKJ2487" s="60"/>
      <c r="MKK2487" s="58"/>
      <c r="MKL2487" s="61"/>
      <c r="MKM2487" s="58"/>
      <c r="MKN2487" s="58"/>
      <c r="MKO2487" s="58"/>
      <c r="MKP2487" s="60"/>
      <c r="MKQ2487" s="60"/>
      <c r="MKR2487" s="60"/>
      <c r="MKS2487" s="58"/>
      <c r="MKT2487" s="61"/>
      <c r="MKU2487" s="58"/>
      <c r="MKV2487" s="58"/>
      <c r="MKW2487" s="58"/>
      <c r="MKX2487" s="60"/>
      <c r="MKY2487" s="60"/>
      <c r="MKZ2487" s="60"/>
      <c r="MLA2487" s="58"/>
      <c r="MLB2487" s="61"/>
      <c r="MLC2487" s="58"/>
      <c r="MLD2487" s="58"/>
      <c r="MLE2487" s="58"/>
      <c r="MLF2487" s="60"/>
      <c r="MLG2487" s="60"/>
      <c r="MLH2487" s="60"/>
      <c r="MLI2487" s="58"/>
      <c r="MLJ2487" s="61"/>
      <c r="MLK2487" s="58"/>
      <c r="MLL2487" s="58"/>
      <c r="MLM2487" s="58"/>
      <c r="MLN2487" s="60"/>
      <c r="MLO2487" s="60"/>
      <c r="MLP2487" s="60"/>
      <c r="MLQ2487" s="58"/>
      <c r="MLR2487" s="61"/>
      <c r="MLS2487" s="58"/>
      <c r="MLT2487" s="58"/>
      <c r="MLU2487" s="58"/>
      <c r="MLV2487" s="60"/>
      <c r="MLW2487" s="60"/>
      <c r="MLX2487" s="60"/>
      <c r="MLY2487" s="58"/>
      <c r="MLZ2487" s="61"/>
      <c r="MMA2487" s="58"/>
      <c r="MMB2487" s="58"/>
      <c r="MMC2487" s="58"/>
      <c r="MMD2487" s="60"/>
      <c r="MME2487" s="60"/>
      <c r="MMF2487" s="60"/>
      <c r="MMG2487" s="58"/>
      <c r="MMH2487" s="61"/>
      <c r="MMI2487" s="58"/>
      <c r="MMJ2487" s="58"/>
      <c r="MMK2487" s="58"/>
      <c r="MML2487" s="60"/>
      <c r="MMM2487" s="60"/>
      <c r="MMN2487" s="60"/>
      <c r="MMO2487" s="58"/>
      <c r="MMP2487" s="61"/>
      <c r="MMQ2487" s="58"/>
      <c r="MMR2487" s="58"/>
      <c r="MMS2487" s="58"/>
      <c r="MMT2487" s="60"/>
      <c r="MMU2487" s="60"/>
      <c r="MMV2487" s="60"/>
      <c r="MMW2487" s="58"/>
      <c r="MMX2487" s="61"/>
      <c r="MMY2487" s="58"/>
      <c r="MMZ2487" s="58"/>
      <c r="MNA2487" s="58"/>
      <c r="MNB2487" s="60"/>
      <c r="MNC2487" s="60"/>
      <c r="MND2487" s="60"/>
      <c r="MNE2487" s="58"/>
      <c r="MNF2487" s="61"/>
      <c r="MNG2487" s="58"/>
      <c r="MNH2487" s="58"/>
      <c r="MNI2487" s="58"/>
      <c r="MNJ2487" s="60"/>
      <c r="MNK2487" s="60"/>
      <c r="MNL2487" s="60"/>
      <c r="MNM2487" s="58"/>
      <c r="MNN2487" s="61"/>
      <c r="MNO2487" s="58"/>
      <c r="MNP2487" s="58"/>
      <c r="MNQ2487" s="58"/>
      <c r="MNR2487" s="60"/>
      <c r="MNS2487" s="60"/>
      <c r="MNT2487" s="60"/>
      <c r="MNU2487" s="58"/>
      <c r="MNV2487" s="61"/>
      <c r="MNW2487" s="58"/>
      <c r="MNX2487" s="58"/>
      <c r="MNY2487" s="58"/>
      <c r="MNZ2487" s="60"/>
      <c r="MOA2487" s="60"/>
      <c r="MOB2487" s="60"/>
      <c r="MOC2487" s="58"/>
      <c r="MOD2487" s="61"/>
      <c r="MOE2487" s="58"/>
      <c r="MOF2487" s="58"/>
      <c r="MOG2487" s="58"/>
      <c r="MOH2487" s="60"/>
      <c r="MOI2487" s="60"/>
      <c r="MOJ2487" s="60"/>
      <c r="MOK2487" s="58"/>
      <c r="MOL2487" s="61"/>
      <c r="MOM2487" s="58"/>
      <c r="MON2487" s="58"/>
      <c r="MOO2487" s="58"/>
      <c r="MOP2487" s="60"/>
      <c r="MOQ2487" s="60"/>
      <c r="MOR2487" s="60"/>
      <c r="MOS2487" s="58"/>
      <c r="MOT2487" s="61"/>
      <c r="MOU2487" s="58"/>
      <c r="MOV2487" s="58"/>
      <c r="MOW2487" s="58"/>
      <c r="MOX2487" s="60"/>
      <c r="MOY2487" s="60"/>
      <c r="MOZ2487" s="60"/>
      <c r="MPA2487" s="58"/>
      <c r="MPB2487" s="61"/>
      <c r="MPC2487" s="58"/>
      <c r="MPD2487" s="58"/>
      <c r="MPE2487" s="58"/>
      <c r="MPF2487" s="60"/>
      <c r="MPG2487" s="60"/>
      <c r="MPH2487" s="60"/>
      <c r="MPI2487" s="58"/>
      <c r="MPJ2487" s="61"/>
      <c r="MPK2487" s="58"/>
      <c r="MPL2487" s="58"/>
      <c r="MPM2487" s="58"/>
      <c r="MPN2487" s="60"/>
      <c r="MPO2487" s="60"/>
      <c r="MPP2487" s="60"/>
      <c r="MPQ2487" s="58"/>
      <c r="MPR2487" s="61"/>
      <c r="MPS2487" s="58"/>
      <c r="MPT2487" s="58"/>
      <c r="MPU2487" s="58"/>
      <c r="MPV2487" s="60"/>
      <c r="MPW2487" s="60"/>
      <c r="MPX2487" s="60"/>
      <c r="MPY2487" s="58"/>
      <c r="MPZ2487" s="61"/>
      <c r="MQA2487" s="58"/>
      <c r="MQB2487" s="58"/>
      <c r="MQC2487" s="58"/>
      <c r="MQD2487" s="60"/>
      <c r="MQE2487" s="60"/>
      <c r="MQF2487" s="60"/>
      <c r="MQG2487" s="58"/>
      <c r="MQH2487" s="61"/>
      <c r="MQI2487" s="58"/>
      <c r="MQJ2487" s="58"/>
      <c r="MQK2487" s="58"/>
      <c r="MQL2487" s="60"/>
      <c r="MQM2487" s="60"/>
      <c r="MQN2487" s="60"/>
      <c r="MQO2487" s="58"/>
      <c r="MQP2487" s="61"/>
      <c r="MQQ2487" s="58"/>
      <c r="MQR2487" s="58"/>
      <c r="MQS2487" s="58"/>
      <c r="MQT2487" s="60"/>
      <c r="MQU2487" s="60"/>
      <c r="MQV2487" s="60"/>
      <c r="MQW2487" s="58"/>
      <c r="MQX2487" s="61"/>
      <c r="MQY2487" s="58"/>
      <c r="MQZ2487" s="58"/>
      <c r="MRA2487" s="58"/>
      <c r="MRB2487" s="60"/>
      <c r="MRC2487" s="60"/>
      <c r="MRD2487" s="60"/>
      <c r="MRE2487" s="58"/>
      <c r="MRF2487" s="61"/>
      <c r="MRG2487" s="58"/>
      <c r="MRH2487" s="58"/>
      <c r="MRI2487" s="58"/>
      <c r="MRJ2487" s="60"/>
      <c r="MRK2487" s="60"/>
      <c r="MRL2487" s="60"/>
      <c r="MRM2487" s="58"/>
      <c r="MRN2487" s="61"/>
      <c r="MRO2487" s="58"/>
      <c r="MRP2487" s="58"/>
      <c r="MRQ2487" s="58"/>
      <c r="MRR2487" s="60"/>
      <c r="MRS2487" s="60"/>
      <c r="MRT2487" s="60"/>
      <c r="MRU2487" s="58"/>
      <c r="MRV2487" s="61"/>
      <c r="MRW2487" s="58"/>
      <c r="MRX2487" s="58"/>
      <c r="MRY2487" s="58"/>
      <c r="MRZ2487" s="60"/>
      <c r="MSA2487" s="60"/>
      <c r="MSB2487" s="60"/>
      <c r="MSC2487" s="58"/>
      <c r="MSD2487" s="61"/>
      <c r="MSE2487" s="58"/>
      <c r="MSF2487" s="58"/>
      <c r="MSG2487" s="58"/>
      <c r="MSH2487" s="60"/>
      <c r="MSI2487" s="60"/>
      <c r="MSJ2487" s="60"/>
      <c r="MSK2487" s="58"/>
      <c r="MSL2487" s="61"/>
      <c r="MSM2487" s="58"/>
      <c r="MSN2487" s="58"/>
      <c r="MSO2487" s="58"/>
      <c r="MSP2487" s="60"/>
      <c r="MSQ2487" s="60"/>
      <c r="MSR2487" s="60"/>
      <c r="MSS2487" s="58"/>
      <c r="MST2487" s="61"/>
      <c r="MSU2487" s="58"/>
      <c r="MSV2487" s="58"/>
      <c r="MSW2487" s="58"/>
      <c r="MSX2487" s="60"/>
      <c r="MSY2487" s="60"/>
      <c r="MSZ2487" s="60"/>
      <c r="MTA2487" s="58"/>
      <c r="MTB2487" s="61"/>
      <c r="MTC2487" s="58"/>
      <c r="MTD2487" s="58"/>
      <c r="MTE2487" s="58"/>
      <c r="MTF2487" s="60"/>
      <c r="MTG2487" s="60"/>
      <c r="MTH2487" s="60"/>
      <c r="MTI2487" s="58"/>
      <c r="MTJ2487" s="61"/>
      <c r="MTK2487" s="58"/>
      <c r="MTL2487" s="58"/>
      <c r="MTM2487" s="58"/>
      <c r="MTN2487" s="60"/>
      <c r="MTO2487" s="60"/>
      <c r="MTP2487" s="60"/>
      <c r="MTQ2487" s="58"/>
      <c r="MTR2487" s="61"/>
      <c r="MTS2487" s="58"/>
      <c r="MTT2487" s="58"/>
      <c r="MTU2487" s="58"/>
      <c r="MTV2487" s="60"/>
      <c r="MTW2487" s="60"/>
      <c r="MTX2487" s="60"/>
      <c r="MTY2487" s="58"/>
      <c r="MTZ2487" s="61"/>
      <c r="MUA2487" s="58"/>
      <c r="MUB2487" s="58"/>
      <c r="MUC2487" s="58"/>
      <c r="MUD2487" s="60"/>
      <c r="MUE2487" s="60"/>
      <c r="MUF2487" s="60"/>
      <c r="MUG2487" s="58"/>
      <c r="MUH2487" s="61"/>
      <c r="MUI2487" s="58"/>
      <c r="MUJ2487" s="58"/>
      <c r="MUK2487" s="58"/>
      <c r="MUL2487" s="60"/>
      <c r="MUM2487" s="60"/>
      <c r="MUN2487" s="60"/>
      <c r="MUO2487" s="58"/>
      <c r="MUP2487" s="61"/>
      <c r="MUQ2487" s="58"/>
      <c r="MUR2487" s="58"/>
      <c r="MUS2487" s="58"/>
      <c r="MUT2487" s="60"/>
      <c r="MUU2487" s="60"/>
      <c r="MUV2487" s="60"/>
      <c r="MUW2487" s="58"/>
      <c r="MUX2487" s="61"/>
      <c r="MUY2487" s="58"/>
      <c r="MUZ2487" s="58"/>
      <c r="MVA2487" s="58"/>
      <c r="MVB2487" s="60"/>
      <c r="MVC2487" s="60"/>
      <c r="MVD2487" s="60"/>
      <c r="MVE2487" s="58"/>
      <c r="MVF2487" s="61"/>
      <c r="MVG2487" s="58"/>
      <c r="MVH2487" s="58"/>
      <c r="MVI2487" s="58"/>
      <c r="MVJ2487" s="60"/>
      <c r="MVK2487" s="60"/>
      <c r="MVL2487" s="60"/>
      <c r="MVM2487" s="58"/>
      <c r="MVN2487" s="61"/>
      <c r="MVO2487" s="58"/>
      <c r="MVP2487" s="58"/>
      <c r="MVQ2487" s="58"/>
      <c r="MVR2487" s="60"/>
      <c r="MVS2487" s="60"/>
      <c r="MVT2487" s="60"/>
      <c r="MVU2487" s="58"/>
      <c r="MVV2487" s="61"/>
      <c r="MVW2487" s="58"/>
      <c r="MVX2487" s="58"/>
      <c r="MVY2487" s="58"/>
      <c r="MVZ2487" s="60"/>
      <c r="MWA2487" s="60"/>
      <c r="MWB2487" s="60"/>
      <c r="MWC2487" s="58"/>
      <c r="MWD2487" s="61"/>
      <c r="MWE2487" s="58"/>
      <c r="MWF2487" s="58"/>
      <c r="MWG2487" s="58"/>
      <c r="MWH2487" s="60"/>
      <c r="MWI2487" s="60"/>
      <c r="MWJ2487" s="60"/>
      <c r="MWK2487" s="58"/>
      <c r="MWL2487" s="61"/>
      <c r="MWM2487" s="58"/>
      <c r="MWN2487" s="58"/>
      <c r="MWO2487" s="58"/>
      <c r="MWP2487" s="60"/>
      <c r="MWQ2487" s="60"/>
      <c r="MWR2487" s="60"/>
      <c r="MWS2487" s="58"/>
      <c r="MWT2487" s="61"/>
      <c r="MWU2487" s="58"/>
      <c r="MWV2487" s="58"/>
      <c r="MWW2487" s="58"/>
      <c r="MWX2487" s="60"/>
      <c r="MWY2487" s="60"/>
      <c r="MWZ2487" s="60"/>
      <c r="MXA2487" s="58"/>
      <c r="MXB2487" s="61"/>
      <c r="MXC2487" s="58"/>
      <c r="MXD2487" s="58"/>
      <c r="MXE2487" s="58"/>
      <c r="MXF2487" s="60"/>
      <c r="MXG2487" s="60"/>
      <c r="MXH2487" s="60"/>
      <c r="MXI2487" s="58"/>
      <c r="MXJ2487" s="61"/>
      <c r="MXK2487" s="58"/>
      <c r="MXL2487" s="58"/>
      <c r="MXM2487" s="58"/>
      <c r="MXN2487" s="60"/>
      <c r="MXO2487" s="60"/>
      <c r="MXP2487" s="60"/>
      <c r="MXQ2487" s="58"/>
      <c r="MXR2487" s="61"/>
      <c r="MXS2487" s="58"/>
      <c r="MXT2487" s="58"/>
      <c r="MXU2487" s="58"/>
      <c r="MXV2487" s="60"/>
      <c r="MXW2487" s="60"/>
      <c r="MXX2487" s="60"/>
      <c r="MXY2487" s="58"/>
      <c r="MXZ2487" s="61"/>
      <c r="MYA2487" s="58"/>
      <c r="MYB2487" s="58"/>
      <c r="MYC2487" s="58"/>
      <c r="MYD2487" s="60"/>
      <c r="MYE2487" s="60"/>
      <c r="MYF2487" s="60"/>
      <c r="MYG2487" s="58"/>
      <c r="MYH2487" s="61"/>
      <c r="MYI2487" s="58"/>
      <c r="MYJ2487" s="58"/>
      <c r="MYK2487" s="58"/>
      <c r="MYL2487" s="60"/>
      <c r="MYM2487" s="60"/>
      <c r="MYN2487" s="60"/>
      <c r="MYO2487" s="58"/>
      <c r="MYP2487" s="61"/>
      <c r="MYQ2487" s="58"/>
      <c r="MYR2487" s="58"/>
      <c r="MYS2487" s="58"/>
      <c r="MYT2487" s="60"/>
      <c r="MYU2487" s="60"/>
      <c r="MYV2487" s="60"/>
      <c r="MYW2487" s="58"/>
      <c r="MYX2487" s="61"/>
      <c r="MYY2487" s="58"/>
      <c r="MYZ2487" s="58"/>
      <c r="MZA2487" s="58"/>
      <c r="MZB2487" s="60"/>
      <c r="MZC2487" s="60"/>
      <c r="MZD2487" s="60"/>
      <c r="MZE2487" s="58"/>
      <c r="MZF2487" s="61"/>
      <c r="MZG2487" s="58"/>
      <c r="MZH2487" s="58"/>
      <c r="MZI2487" s="58"/>
      <c r="MZJ2487" s="60"/>
      <c r="MZK2487" s="60"/>
      <c r="MZL2487" s="60"/>
      <c r="MZM2487" s="58"/>
      <c r="MZN2487" s="61"/>
      <c r="MZO2487" s="58"/>
      <c r="MZP2487" s="58"/>
      <c r="MZQ2487" s="58"/>
      <c r="MZR2487" s="60"/>
      <c r="MZS2487" s="60"/>
      <c r="MZT2487" s="60"/>
      <c r="MZU2487" s="58"/>
      <c r="MZV2487" s="61"/>
      <c r="MZW2487" s="58"/>
      <c r="MZX2487" s="58"/>
      <c r="MZY2487" s="58"/>
      <c r="MZZ2487" s="60"/>
      <c r="NAA2487" s="60"/>
      <c r="NAB2487" s="60"/>
      <c r="NAC2487" s="58"/>
      <c r="NAD2487" s="61"/>
      <c r="NAE2487" s="58"/>
      <c r="NAF2487" s="58"/>
      <c r="NAG2487" s="58"/>
      <c r="NAH2487" s="60"/>
      <c r="NAI2487" s="60"/>
      <c r="NAJ2487" s="60"/>
      <c r="NAK2487" s="58"/>
      <c r="NAL2487" s="61"/>
      <c r="NAM2487" s="58"/>
      <c r="NAN2487" s="58"/>
      <c r="NAO2487" s="58"/>
      <c r="NAP2487" s="60"/>
      <c r="NAQ2487" s="60"/>
      <c r="NAR2487" s="60"/>
      <c r="NAS2487" s="58"/>
      <c r="NAT2487" s="61"/>
      <c r="NAU2487" s="58"/>
      <c r="NAV2487" s="58"/>
      <c r="NAW2487" s="58"/>
      <c r="NAX2487" s="60"/>
      <c r="NAY2487" s="60"/>
      <c r="NAZ2487" s="60"/>
      <c r="NBA2487" s="58"/>
      <c r="NBB2487" s="61"/>
      <c r="NBC2487" s="58"/>
      <c r="NBD2487" s="58"/>
      <c r="NBE2487" s="58"/>
      <c r="NBF2487" s="60"/>
      <c r="NBG2487" s="60"/>
      <c r="NBH2487" s="60"/>
      <c r="NBI2487" s="58"/>
      <c r="NBJ2487" s="61"/>
      <c r="NBK2487" s="58"/>
      <c r="NBL2487" s="58"/>
      <c r="NBM2487" s="58"/>
      <c r="NBN2487" s="60"/>
      <c r="NBO2487" s="60"/>
      <c r="NBP2487" s="60"/>
      <c r="NBQ2487" s="58"/>
      <c r="NBR2487" s="61"/>
      <c r="NBS2487" s="58"/>
      <c r="NBT2487" s="58"/>
      <c r="NBU2487" s="58"/>
      <c r="NBV2487" s="60"/>
      <c r="NBW2487" s="60"/>
      <c r="NBX2487" s="60"/>
      <c r="NBY2487" s="58"/>
      <c r="NBZ2487" s="61"/>
      <c r="NCA2487" s="58"/>
      <c r="NCB2487" s="58"/>
      <c r="NCC2487" s="58"/>
      <c r="NCD2487" s="60"/>
      <c r="NCE2487" s="60"/>
      <c r="NCF2487" s="60"/>
      <c r="NCG2487" s="58"/>
      <c r="NCH2487" s="61"/>
      <c r="NCI2487" s="58"/>
      <c r="NCJ2487" s="58"/>
      <c r="NCK2487" s="58"/>
      <c r="NCL2487" s="60"/>
      <c r="NCM2487" s="60"/>
      <c r="NCN2487" s="60"/>
      <c r="NCO2487" s="58"/>
      <c r="NCP2487" s="61"/>
      <c r="NCQ2487" s="58"/>
      <c r="NCR2487" s="58"/>
      <c r="NCS2487" s="58"/>
      <c r="NCT2487" s="60"/>
      <c r="NCU2487" s="60"/>
      <c r="NCV2487" s="60"/>
      <c r="NCW2487" s="58"/>
      <c r="NCX2487" s="61"/>
      <c r="NCY2487" s="58"/>
      <c r="NCZ2487" s="58"/>
      <c r="NDA2487" s="58"/>
      <c r="NDB2487" s="60"/>
      <c r="NDC2487" s="60"/>
      <c r="NDD2487" s="60"/>
      <c r="NDE2487" s="58"/>
      <c r="NDF2487" s="61"/>
      <c r="NDG2487" s="58"/>
      <c r="NDH2487" s="58"/>
      <c r="NDI2487" s="58"/>
      <c r="NDJ2487" s="60"/>
      <c r="NDK2487" s="60"/>
      <c r="NDL2487" s="60"/>
      <c r="NDM2487" s="58"/>
      <c r="NDN2487" s="61"/>
      <c r="NDO2487" s="58"/>
      <c r="NDP2487" s="58"/>
      <c r="NDQ2487" s="58"/>
      <c r="NDR2487" s="60"/>
      <c r="NDS2487" s="60"/>
      <c r="NDT2487" s="60"/>
      <c r="NDU2487" s="58"/>
      <c r="NDV2487" s="61"/>
      <c r="NDW2487" s="58"/>
      <c r="NDX2487" s="58"/>
      <c r="NDY2487" s="58"/>
      <c r="NDZ2487" s="60"/>
      <c r="NEA2487" s="60"/>
      <c r="NEB2487" s="60"/>
      <c r="NEC2487" s="58"/>
      <c r="NED2487" s="61"/>
      <c r="NEE2487" s="58"/>
      <c r="NEF2487" s="58"/>
      <c r="NEG2487" s="58"/>
      <c r="NEH2487" s="60"/>
      <c r="NEI2487" s="60"/>
      <c r="NEJ2487" s="60"/>
      <c r="NEK2487" s="58"/>
      <c r="NEL2487" s="61"/>
      <c r="NEM2487" s="58"/>
      <c r="NEN2487" s="58"/>
      <c r="NEO2487" s="58"/>
      <c r="NEP2487" s="60"/>
      <c r="NEQ2487" s="60"/>
      <c r="NER2487" s="60"/>
      <c r="NES2487" s="58"/>
      <c r="NET2487" s="61"/>
      <c r="NEU2487" s="58"/>
      <c r="NEV2487" s="58"/>
      <c r="NEW2487" s="58"/>
      <c r="NEX2487" s="60"/>
      <c r="NEY2487" s="60"/>
      <c r="NEZ2487" s="60"/>
      <c r="NFA2487" s="58"/>
      <c r="NFB2487" s="61"/>
      <c r="NFC2487" s="58"/>
      <c r="NFD2487" s="58"/>
      <c r="NFE2487" s="58"/>
      <c r="NFF2487" s="60"/>
      <c r="NFG2487" s="60"/>
      <c r="NFH2487" s="60"/>
      <c r="NFI2487" s="58"/>
      <c r="NFJ2487" s="61"/>
      <c r="NFK2487" s="58"/>
      <c r="NFL2487" s="58"/>
      <c r="NFM2487" s="58"/>
      <c r="NFN2487" s="60"/>
      <c r="NFO2487" s="60"/>
      <c r="NFP2487" s="60"/>
      <c r="NFQ2487" s="58"/>
      <c r="NFR2487" s="61"/>
      <c r="NFS2487" s="58"/>
      <c r="NFT2487" s="58"/>
      <c r="NFU2487" s="58"/>
      <c r="NFV2487" s="60"/>
      <c r="NFW2487" s="60"/>
      <c r="NFX2487" s="60"/>
      <c r="NFY2487" s="58"/>
      <c r="NFZ2487" s="61"/>
      <c r="NGA2487" s="58"/>
      <c r="NGB2487" s="58"/>
      <c r="NGC2487" s="58"/>
      <c r="NGD2487" s="60"/>
      <c r="NGE2487" s="60"/>
      <c r="NGF2487" s="60"/>
      <c r="NGG2487" s="58"/>
      <c r="NGH2487" s="61"/>
      <c r="NGI2487" s="58"/>
      <c r="NGJ2487" s="58"/>
      <c r="NGK2487" s="58"/>
      <c r="NGL2487" s="60"/>
      <c r="NGM2487" s="60"/>
      <c r="NGN2487" s="60"/>
      <c r="NGO2487" s="58"/>
      <c r="NGP2487" s="61"/>
      <c r="NGQ2487" s="58"/>
      <c r="NGR2487" s="58"/>
      <c r="NGS2487" s="58"/>
      <c r="NGT2487" s="60"/>
      <c r="NGU2487" s="60"/>
      <c r="NGV2487" s="60"/>
      <c r="NGW2487" s="58"/>
      <c r="NGX2487" s="61"/>
      <c r="NGY2487" s="58"/>
      <c r="NGZ2487" s="58"/>
      <c r="NHA2487" s="58"/>
      <c r="NHB2487" s="60"/>
      <c r="NHC2487" s="60"/>
      <c r="NHD2487" s="60"/>
      <c r="NHE2487" s="58"/>
      <c r="NHF2487" s="61"/>
      <c r="NHG2487" s="58"/>
      <c r="NHH2487" s="58"/>
      <c r="NHI2487" s="58"/>
      <c r="NHJ2487" s="60"/>
      <c r="NHK2487" s="60"/>
      <c r="NHL2487" s="60"/>
      <c r="NHM2487" s="58"/>
      <c r="NHN2487" s="61"/>
      <c r="NHO2487" s="58"/>
      <c r="NHP2487" s="58"/>
      <c r="NHQ2487" s="58"/>
      <c r="NHR2487" s="60"/>
      <c r="NHS2487" s="60"/>
      <c r="NHT2487" s="60"/>
      <c r="NHU2487" s="58"/>
      <c r="NHV2487" s="61"/>
      <c r="NHW2487" s="58"/>
      <c r="NHX2487" s="58"/>
      <c r="NHY2487" s="58"/>
      <c r="NHZ2487" s="60"/>
      <c r="NIA2487" s="60"/>
      <c r="NIB2487" s="60"/>
      <c r="NIC2487" s="58"/>
      <c r="NID2487" s="61"/>
      <c r="NIE2487" s="58"/>
      <c r="NIF2487" s="58"/>
      <c r="NIG2487" s="58"/>
      <c r="NIH2487" s="60"/>
      <c r="NII2487" s="60"/>
      <c r="NIJ2487" s="60"/>
      <c r="NIK2487" s="58"/>
      <c r="NIL2487" s="61"/>
      <c r="NIM2487" s="58"/>
      <c r="NIN2487" s="58"/>
      <c r="NIO2487" s="58"/>
      <c r="NIP2487" s="60"/>
      <c r="NIQ2487" s="60"/>
      <c r="NIR2487" s="60"/>
      <c r="NIS2487" s="58"/>
      <c r="NIT2487" s="61"/>
      <c r="NIU2487" s="58"/>
      <c r="NIV2487" s="58"/>
      <c r="NIW2487" s="58"/>
      <c r="NIX2487" s="60"/>
      <c r="NIY2487" s="60"/>
      <c r="NIZ2487" s="60"/>
      <c r="NJA2487" s="58"/>
      <c r="NJB2487" s="61"/>
      <c r="NJC2487" s="58"/>
      <c r="NJD2487" s="58"/>
      <c r="NJE2487" s="58"/>
      <c r="NJF2487" s="60"/>
      <c r="NJG2487" s="60"/>
      <c r="NJH2487" s="60"/>
      <c r="NJI2487" s="58"/>
      <c r="NJJ2487" s="61"/>
      <c r="NJK2487" s="58"/>
      <c r="NJL2487" s="58"/>
      <c r="NJM2487" s="58"/>
      <c r="NJN2487" s="60"/>
      <c r="NJO2487" s="60"/>
      <c r="NJP2487" s="60"/>
      <c r="NJQ2487" s="58"/>
      <c r="NJR2487" s="61"/>
      <c r="NJS2487" s="58"/>
      <c r="NJT2487" s="58"/>
      <c r="NJU2487" s="58"/>
      <c r="NJV2487" s="60"/>
      <c r="NJW2487" s="60"/>
      <c r="NJX2487" s="60"/>
      <c r="NJY2487" s="58"/>
      <c r="NJZ2487" s="61"/>
      <c r="NKA2487" s="58"/>
      <c r="NKB2487" s="58"/>
      <c r="NKC2487" s="58"/>
      <c r="NKD2487" s="60"/>
      <c r="NKE2487" s="60"/>
      <c r="NKF2487" s="60"/>
      <c r="NKG2487" s="58"/>
      <c r="NKH2487" s="61"/>
      <c r="NKI2487" s="58"/>
      <c r="NKJ2487" s="58"/>
      <c r="NKK2487" s="58"/>
      <c r="NKL2487" s="60"/>
      <c r="NKM2487" s="60"/>
      <c r="NKN2487" s="60"/>
      <c r="NKO2487" s="58"/>
      <c r="NKP2487" s="61"/>
      <c r="NKQ2487" s="58"/>
      <c r="NKR2487" s="58"/>
      <c r="NKS2487" s="58"/>
      <c r="NKT2487" s="60"/>
      <c r="NKU2487" s="60"/>
      <c r="NKV2487" s="60"/>
      <c r="NKW2487" s="58"/>
      <c r="NKX2487" s="61"/>
      <c r="NKY2487" s="58"/>
      <c r="NKZ2487" s="58"/>
      <c r="NLA2487" s="58"/>
      <c r="NLB2487" s="60"/>
      <c r="NLC2487" s="60"/>
      <c r="NLD2487" s="60"/>
      <c r="NLE2487" s="58"/>
      <c r="NLF2487" s="61"/>
      <c r="NLG2487" s="58"/>
      <c r="NLH2487" s="58"/>
      <c r="NLI2487" s="58"/>
      <c r="NLJ2487" s="60"/>
      <c r="NLK2487" s="60"/>
      <c r="NLL2487" s="60"/>
      <c r="NLM2487" s="58"/>
      <c r="NLN2487" s="61"/>
      <c r="NLO2487" s="58"/>
      <c r="NLP2487" s="58"/>
      <c r="NLQ2487" s="58"/>
      <c r="NLR2487" s="60"/>
      <c r="NLS2487" s="60"/>
      <c r="NLT2487" s="60"/>
      <c r="NLU2487" s="58"/>
      <c r="NLV2487" s="61"/>
      <c r="NLW2487" s="58"/>
      <c r="NLX2487" s="58"/>
      <c r="NLY2487" s="58"/>
      <c r="NLZ2487" s="60"/>
      <c r="NMA2487" s="60"/>
      <c r="NMB2487" s="60"/>
      <c r="NMC2487" s="58"/>
      <c r="NMD2487" s="61"/>
      <c r="NME2487" s="58"/>
      <c r="NMF2487" s="58"/>
      <c r="NMG2487" s="58"/>
      <c r="NMH2487" s="60"/>
      <c r="NMI2487" s="60"/>
      <c r="NMJ2487" s="60"/>
      <c r="NMK2487" s="58"/>
      <c r="NML2487" s="61"/>
      <c r="NMM2487" s="58"/>
      <c r="NMN2487" s="58"/>
      <c r="NMO2487" s="58"/>
      <c r="NMP2487" s="60"/>
      <c r="NMQ2487" s="60"/>
      <c r="NMR2487" s="60"/>
      <c r="NMS2487" s="58"/>
      <c r="NMT2487" s="61"/>
      <c r="NMU2487" s="58"/>
      <c r="NMV2487" s="58"/>
      <c r="NMW2487" s="58"/>
      <c r="NMX2487" s="60"/>
      <c r="NMY2487" s="60"/>
      <c r="NMZ2487" s="60"/>
      <c r="NNA2487" s="58"/>
      <c r="NNB2487" s="61"/>
      <c r="NNC2487" s="58"/>
      <c r="NND2487" s="58"/>
      <c r="NNE2487" s="58"/>
      <c r="NNF2487" s="60"/>
      <c r="NNG2487" s="60"/>
      <c r="NNH2487" s="60"/>
      <c r="NNI2487" s="58"/>
      <c r="NNJ2487" s="61"/>
      <c r="NNK2487" s="58"/>
      <c r="NNL2487" s="58"/>
      <c r="NNM2487" s="58"/>
      <c r="NNN2487" s="60"/>
      <c r="NNO2487" s="60"/>
      <c r="NNP2487" s="60"/>
      <c r="NNQ2487" s="58"/>
      <c r="NNR2487" s="61"/>
      <c r="NNS2487" s="58"/>
      <c r="NNT2487" s="58"/>
      <c r="NNU2487" s="58"/>
      <c r="NNV2487" s="60"/>
      <c r="NNW2487" s="60"/>
      <c r="NNX2487" s="60"/>
      <c r="NNY2487" s="58"/>
      <c r="NNZ2487" s="61"/>
      <c r="NOA2487" s="58"/>
      <c r="NOB2487" s="58"/>
      <c r="NOC2487" s="58"/>
      <c r="NOD2487" s="60"/>
      <c r="NOE2487" s="60"/>
      <c r="NOF2487" s="60"/>
      <c r="NOG2487" s="58"/>
      <c r="NOH2487" s="61"/>
      <c r="NOI2487" s="58"/>
      <c r="NOJ2487" s="58"/>
      <c r="NOK2487" s="58"/>
      <c r="NOL2487" s="60"/>
      <c r="NOM2487" s="60"/>
      <c r="NON2487" s="60"/>
      <c r="NOO2487" s="58"/>
      <c r="NOP2487" s="61"/>
      <c r="NOQ2487" s="58"/>
      <c r="NOR2487" s="58"/>
      <c r="NOS2487" s="58"/>
      <c r="NOT2487" s="60"/>
      <c r="NOU2487" s="60"/>
      <c r="NOV2487" s="60"/>
      <c r="NOW2487" s="58"/>
      <c r="NOX2487" s="61"/>
      <c r="NOY2487" s="58"/>
      <c r="NOZ2487" s="58"/>
      <c r="NPA2487" s="58"/>
      <c r="NPB2487" s="60"/>
      <c r="NPC2487" s="60"/>
      <c r="NPD2487" s="60"/>
      <c r="NPE2487" s="58"/>
      <c r="NPF2487" s="61"/>
      <c r="NPG2487" s="58"/>
      <c r="NPH2487" s="58"/>
      <c r="NPI2487" s="58"/>
      <c r="NPJ2487" s="60"/>
      <c r="NPK2487" s="60"/>
      <c r="NPL2487" s="60"/>
      <c r="NPM2487" s="58"/>
      <c r="NPN2487" s="61"/>
      <c r="NPO2487" s="58"/>
      <c r="NPP2487" s="58"/>
      <c r="NPQ2487" s="58"/>
      <c r="NPR2487" s="60"/>
      <c r="NPS2487" s="60"/>
      <c r="NPT2487" s="60"/>
      <c r="NPU2487" s="58"/>
      <c r="NPV2487" s="61"/>
      <c r="NPW2487" s="58"/>
      <c r="NPX2487" s="58"/>
      <c r="NPY2487" s="58"/>
      <c r="NPZ2487" s="60"/>
      <c r="NQA2487" s="60"/>
      <c r="NQB2487" s="60"/>
      <c r="NQC2487" s="58"/>
      <c r="NQD2487" s="61"/>
      <c r="NQE2487" s="58"/>
      <c r="NQF2487" s="58"/>
      <c r="NQG2487" s="58"/>
      <c r="NQH2487" s="60"/>
      <c r="NQI2487" s="60"/>
      <c r="NQJ2487" s="60"/>
      <c r="NQK2487" s="58"/>
      <c r="NQL2487" s="61"/>
      <c r="NQM2487" s="58"/>
      <c r="NQN2487" s="58"/>
      <c r="NQO2487" s="58"/>
      <c r="NQP2487" s="60"/>
      <c r="NQQ2487" s="60"/>
      <c r="NQR2487" s="60"/>
      <c r="NQS2487" s="58"/>
      <c r="NQT2487" s="61"/>
      <c r="NQU2487" s="58"/>
      <c r="NQV2487" s="58"/>
      <c r="NQW2487" s="58"/>
      <c r="NQX2487" s="60"/>
      <c r="NQY2487" s="60"/>
      <c r="NQZ2487" s="60"/>
      <c r="NRA2487" s="58"/>
      <c r="NRB2487" s="61"/>
      <c r="NRC2487" s="58"/>
      <c r="NRD2487" s="58"/>
      <c r="NRE2487" s="58"/>
      <c r="NRF2487" s="60"/>
      <c r="NRG2487" s="60"/>
      <c r="NRH2487" s="60"/>
      <c r="NRI2487" s="58"/>
      <c r="NRJ2487" s="61"/>
      <c r="NRK2487" s="58"/>
      <c r="NRL2487" s="58"/>
      <c r="NRM2487" s="58"/>
      <c r="NRN2487" s="60"/>
      <c r="NRO2487" s="60"/>
      <c r="NRP2487" s="60"/>
      <c r="NRQ2487" s="58"/>
      <c r="NRR2487" s="61"/>
      <c r="NRS2487" s="58"/>
      <c r="NRT2487" s="58"/>
      <c r="NRU2487" s="58"/>
      <c r="NRV2487" s="60"/>
      <c r="NRW2487" s="60"/>
      <c r="NRX2487" s="60"/>
      <c r="NRY2487" s="58"/>
      <c r="NRZ2487" s="61"/>
      <c r="NSA2487" s="58"/>
      <c r="NSB2487" s="58"/>
      <c r="NSC2487" s="58"/>
      <c r="NSD2487" s="60"/>
      <c r="NSE2487" s="60"/>
      <c r="NSF2487" s="60"/>
      <c r="NSG2487" s="58"/>
      <c r="NSH2487" s="61"/>
      <c r="NSI2487" s="58"/>
      <c r="NSJ2487" s="58"/>
      <c r="NSK2487" s="58"/>
      <c r="NSL2487" s="60"/>
      <c r="NSM2487" s="60"/>
      <c r="NSN2487" s="60"/>
      <c r="NSO2487" s="58"/>
      <c r="NSP2487" s="61"/>
      <c r="NSQ2487" s="58"/>
      <c r="NSR2487" s="58"/>
      <c r="NSS2487" s="58"/>
      <c r="NST2487" s="60"/>
      <c r="NSU2487" s="60"/>
      <c r="NSV2487" s="60"/>
      <c r="NSW2487" s="58"/>
      <c r="NSX2487" s="61"/>
      <c r="NSY2487" s="58"/>
      <c r="NSZ2487" s="58"/>
      <c r="NTA2487" s="58"/>
      <c r="NTB2487" s="60"/>
      <c r="NTC2487" s="60"/>
      <c r="NTD2487" s="60"/>
      <c r="NTE2487" s="58"/>
      <c r="NTF2487" s="61"/>
      <c r="NTG2487" s="58"/>
      <c r="NTH2487" s="58"/>
      <c r="NTI2487" s="58"/>
      <c r="NTJ2487" s="60"/>
      <c r="NTK2487" s="60"/>
      <c r="NTL2487" s="60"/>
      <c r="NTM2487" s="58"/>
      <c r="NTN2487" s="61"/>
      <c r="NTO2487" s="58"/>
      <c r="NTP2487" s="58"/>
      <c r="NTQ2487" s="58"/>
      <c r="NTR2487" s="60"/>
      <c r="NTS2487" s="60"/>
      <c r="NTT2487" s="60"/>
      <c r="NTU2487" s="58"/>
      <c r="NTV2487" s="61"/>
      <c r="NTW2487" s="58"/>
      <c r="NTX2487" s="58"/>
      <c r="NTY2487" s="58"/>
      <c r="NTZ2487" s="60"/>
      <c r="NUA2487" s="60"/>
      <c r="NUB2487" s="60"/>
      <c r="NUC2487" s="58"/>
      <c r="NUD2487" s="61"/>
      <c r="NUE2487" s="58"/>
      <c r="NUF2487" s="58"/>
      <c r="NUG2487" s="58"/>
      <c r="NUH2487" s="60"/>
      <c r="NUI2487" s="60"/>
      <c r="NUJ2487" s="60"/>
      <c r="NUK2487" s="58"/>
      <c r="NUL2487" s="61"/>
      <c r="NUM2487" s="58"/>
      <c r="NUN2487" s="58"/>
      <c r="NUO2487" s="58"/>
      <c r="NUP2487" s="60"/>
      <c r="NUQ2487" s="60"/>
      <c r="NUR2487" s="60"/>
      <c r="NUS2487" s="58"/>
      <c r="NUT2487" s="61"/>
      <c r="NUU2487" s="58"/>
      <c r="NUV2487" s="58"/>
      <c r="NUW2487" s="58"/>
      <c r="NUX2487" s="60"/>
      <c r="NUY2487" s="60"/>
      <c r="NUZ2487" s="60"/>
      <c r="NVA2487" s="58"/>
      <c r="NVB2487" s="61"/>
      <c r="NVC2487" s="58"/>
      <c r="NVD2487" s="58"/>
      <c r="NVE2487" s="58"/>
      <c r="NVF2487" s="60"/>
      <c r="NVG2487" s="60"/>
      <c r="NVH2487" s="60"/>
      <c r="NVI2487" s="58"/>
      <c r="NVJ2487" s="61"/>
      <c r="NVK2487" s="58"/>
      <c r="NVL2487" s="58"/>
      <c r="NVM2487" s="58"/>
      <c r="NVN2487" s="60"/>
      <c r="NVO2487" s="60"/>
      <c r="NVP2487" s="60"/>
      <c r="NVQ2487" s="58"/>
      <c r="NVR2487" s="61"/>
      <c r="NVS2487" s="58"/>
      <c r="NVT2487" s="58"/>
      <c r="NVU2487" s="58"/>
      <c r="NVV2487" s="60"/>
      <c r="NVW2487" s="60"/>
      <c r="NVX2487" s="60"/>
      <c r="NVY2487" s="58"/>
      <c r="NVZ2487" s="61"/>
      <c r="NWA2487" s="58"/>
      <c r="NWB2487" s="58"/>
      <c r="NWC2487" s="58"/>
      <c r="NWD2487" s="60"/>
      <c r="NWE2487" s="60"/>
      <c r="NWF2487" s="60"/>
      <c r="NWG2487" s="58"/>
      <c r="NWH2487" s="61"/>
      <c r="NWI2487" s="58"/>
      <c r="NWJ2487" s="58"/>
      <c r="NWK2487" s="58"/>
      <c r="NWL2487" s="60"/>
      <c r="NWM2487" s="60"/>
      <c r="NWN2487" s="60"/>
      <c r="NWO2487" s="58"/>
      <c r="NWP2487" s="61"/>
      <c r="NWQ2487" s="58"/>
      <c r="NWR2487" s="58"/>
      <c r="NWS2487" s="58"/>
      <c r="NWT2487" s="60"/>
      <c r="NWU2487" s="60"/>
      <c r="NWV2487" s="60"/>
      <c r="NWW2487" s="58"/>
      <c r="NWX2487" s="61"/>
      <c r="NWY2487" s="58"/>
      <c r="NWZ2487" s="58"/>
      <c r="NXA2487" s="58"/>
      <c r="NXB2487" s="60"/>
      <c r="NXC2487" s="60"/>
      <c r="NXD2487" s="60"/>
      <c r="NXE2487" s="58"/>
      <c r="NXF2487" s="61"/>
      <c r="NXG2487" s="58"/>
      <c r="NXH2487" s="58"/>
      <c r="NXI2487" s="58"/>
      <c r="NXJ2487" s="60"/>
      <c r="NXK2487" s="60"/>
      <c r="NXL2487" s="60"/>
      <c r="NXM2487" s="58"/>
      <c r="NXN2487" s="61"/>
      <c r="NXO2487" s="58"/>
      <c r="NXP2487" s="58"/>
      <c r="NXQ2487" s="58"/>
      <c r="NXR2487" s="60"/>
      <c r="NXS2487" s="60"/>
      <c r="NXT2487" s="60"/>
      <c r="NXU2487" s="58"/>
      <c r="NXV2487" s="61"/>
      <c r="NXW2487" s="58"/>
      <c r="NXX2487" s="58"/>
      <c r="NXY2487" s="58"/>
      <c r="NXZ2487" s="60"/>
      <c r="NYA2487" s="60"/>
      <c r="NYB2487" s="60"/>
      <c r="NYC2487" s="58"/>
      <c r="NYD2487" s="61"/>
      <c r="NYE2487" s="58"/>
      <c r="NYF2487" s="58"/>
      <c r="NYG2487" s="58"/>
      <c r="NYH2487" s="60"/>
      <c r="NYI2487" s="60"/>
      <c r="NYJ2487" s="60"/>
      <c r="NYK2487" s="58"/>
      <c r="NYL2487" s="61"/>
      <c r="NYM2487" s="58"/>
      <c r="NYN2487" s="58"/>
      <c r="NYO2487" s="58"/>
      <c r="NYP2487" s="60"/>
      <c r="NYQ2487" s="60"/>
      <c r="NYR2487" s="60"/>
      <c r="NYS2487" s="58"/>
      <c r="NYT2487" s="61"/>
      <c r="NYU2487" s="58"/>
      <c r="NYV2487" s="58"/>
      <c r="NYW2487" s="58"/>
      <c r="NYX2487" s="60"/>
      <c r="NYY2487" s="60"/>
      <c r="NYZ2487" s="60"/>
      <c r="NZA2487" s="58"/>
      <c r="NZB2487" s="61"/>
      <c r="NZC2487" s="58"/>
      <c r="NZD2487" s="58"/>
      <c r="NZE2487" s="58"/>
      <c r="NZF2487" s="60"/>
      <c r="NZG2487" s="60"/>
      <c r="NZH2487" s="60"/>
      <c r="NZI2487" s="58"/>
      <c r="NZJ2487" s="61"/>
      <c r="NZK2487" s="58"/>
      <c r="NZL2487" s="58"/>
      <c r="NZM2487" s="58"/>
      <c r="NZN2487" s="60"/>
      <c r="NZO2487" s="60"/>
      <c r="NZP2487" s="60"/>
      <c r="NZQ2487" s="58"/>
      <c r="NZR2487" s="61"/>
      <c r="NZS2487" s="58"/>
      <c r="NZT2487" s="58"/>
      <c r="NZU2487" s="58"/>
      <c r="NZV2487" s="60"/>
      <c r="NZW2487" s="60"/>
      <c r="NZX2487" s="60"/>
      <c r="NZY2487" s="58"/>
      <c r="NZZ2487" s="61"/>
      <c r="OAA2487" s="58"/>
      <c r="OAB2487" s="58"/>
      <c r="OAC2487" s="58"/>
      <c r="OAD2487" s="60"/>
      <c r="OAE2487" s="60"/>
      <c r="OAF2487" s="60"/>
      <c r="OAG2487" s="58"/>
      <c r="OAH2487" s="61"/>
      <c r="OAI2487" s="58"/>
      <c r="OAJ2487" s="58"/>
      <c r="OAK2487" s="58"/>
      <c r="OAL2487" s="60"/>
      <c r="OAM2487" s="60"/>
      <c r="OAN2487" s="60"/>
      <c r="OAO2487" s="58"/>
      <c r="OAP2487" s="61"/>
      <c r="OAQ2487" s="58"/>
      <c r="OAR2487" s="58"/>
      <c r="OAS2487" s="58"/>
      <c r="OAT2487" s="60"/>
      <c r="OAU2487" s="60"/>
      <c r="OAV2487" s="60"/>
      <c r="OAW2487" s="58"/>
      <c r="OAX2487" s="61"/>
      <c r="OAY2487" s="58"/>
      <c r="OAZ2487" s="58"/>
      <c r="OBA2487" s="58"/>
      <c r="OBB2487" s="60"/>
      <c r="OBC2487" s="60"/>
      <c r="OBD2487" s="60"/>
      <c r="OBE2487" s="58"/>
      <c r="OBF2487" s="61"/>
      <c r="OBG2487" s="58"/>
      <c r="OBH2487" s="58"/>
      <c r="OBI2487" s="58"/>
      <c r="OBJ2487" s="60"/>
      <c r="OBK2487" s="60"/>
      <c r="OBL2487" s="60"/>
      <c r="OBM2487" s="58"/>
      <c r="OBN2487" s="61"/>
      <c r="OBO2487" s="58"/>
      <c r="OBP2487" s="58"/>
      <c r="OBQ2487" s="58"/>
      <c r="OBR2487" s="60"/>
      <c r="OBS2487" s="60"/>
      <c r="OBT2487" s="60"/>
      <c r="OBU2487" s="58"/>
      <c r="OBV2487" s="61"/>
      <c r="OBW2487" s="58"/>
      <c r="OBX2487" s="58"/>
      <c r="OBY2487" s="58"/>
      <c r="OBZ2487" s="60"/>
      <c r="OCA2487" s="60"/>
      <c r="OCB2487" s="60"/>
      <c r="OCC2487" s="58"/>
      <c r="OCD2487" s="61"/>
      <c r="OCE2487" s="58"/>
      <c r="OCF2487" s="58"/>
      <c r="OCG2487" s="58"/>
      <c r="OCH2487" s="60"/>
      <c r="OCI2487" s="60"/>
      <c r="OCJ2487" s="60"/>
      <c r="OCK2487" s="58"/>
      <c r="OCL2487" s="61"/>
      <c r="OCM2487" s="58"/>
      <c r="OCN2487" s="58"/>
      <c r="OCO2487" s="58"/>
      <c r="OCP2487" s="60"/>
      <c r="OCQ2487" s="60"/>
      <c r="OCR2487" s="60"/>
      <c r="OCS2487" s="58"/>
      <c r="OCT2487" s="61"/>
      <c r="OCU2487" s="58"/>
      <c r="OCV2487" s="58"/>
      <c r="OCW2487" s="58"/>
      <c r="OCX2487" s="60"/>
      <c r="OCY2487" s="60"/>
      <c r="OCZ2487" s="60"/>
      <c r="ODA2487" s="58"/>
      <c r="ODB2487" s="61"/>
      <c r="ODC2487" s="58"/>
      <c r="ODD2487" s="58"/>
      <c r="ODE2487" s="58"/>
      <c r="ODF2487" s="60"/>
      <c r="ODG2487" s="60"/>
      <c r="ODH2487" s="60"/>
      <c r="ODI2487" s="58"/>
      <c r="ODJ2487" s="61"/>
      <c r="ODK2487" s="58"/>
      <c r="ODL2487" s="58"/>
      <c r="ODM2487" s="58"/>
      <c r="ODN2487" s="60"/>
      <c r="ODO2487" s="60"/>
      <c r="ODP2487" s="60"/>
      <c r="ODQ2487" s="58"/>
      <c r="ODR2487" s="61"/>
      <c r="ODS2487" s="58"/>
      <c r="ODT2487" s="58"/>
      <c r="ODU2487" s="58"/>
      <c r="ODV2487" s="60"/>
      <c r="ODW2487" s="60"/>
      <c r="ODX2487" s="60"/>
      <c r="ODY2487" s="58"/>
      <c r="ODZ2487" s="61"/>
      <c r="OEA2487" s="58"/>
      <c r="OEB2487" s="58"/>
      <c r="OEC2487" s="58"/>
      <c r="OED2487" s="60"/>
      <c r="OEE2487" s="60"/>
      <c r="OEF2487" s="60"/>
      <c r="OEG2487" s="58"/>
      <c r="OEH2487" s="61"/>
      <c r="OEI2487" s="58"/>
      <c r="OEJ2487" s="58"/>
      <c r="OEK2487" s="58"/>
      <c r="OEL2487" s="60"/>
      <c r="OEM2487" s="60"/>
      <c r="OEN2487" s="60"/>
      <c r="OEO2487" s="58"/>
      <c r="OEP2487" s="61"/>
      <c r="OEQ2487" s="58"/>
      <c r="OER2487" s="58"/>
      <c r="OES2487" s="58"/>
      <c r="OET2487" s="60"/>
      <c r="OEU2487" s="60"/>
      <c r="OEV2487" s="60"/>
      <c r="OEW2487" s="58"/>
      <c r="OEX2487" s="61"/>
      <c r="OEY2487" s="58"/>
      <c r="OEZ2487" s="58"/>
      <c r="OFA2487" s="58"/>
      <c r="OFB2487" s="60"/>
      <c r="OFC2487" s="60"/>
      <c r="OFD2487" s="60"/>
      <c r="OFE2487" s="58"/>
      <c r="OFF2487" s="61"/>
      <c r="OFG2487" s="58"/>
      <c r="OFH2487" s="58"/>
      <c r="OFI2487" s="58"/>
      <c r="OFJ2487" s="60"/>
      <c r="OFK2487" s="60"/>
      <c r="OFL2487" s="60"/>
      <c r="OFM2487" s="58"/>
      <c r="OFN2487" s="61"/>
      <c r="OFO2487" s="58"/>
      <c r="OFP2487" s="58"/>
      <c r="OFQ2487" s="58"/>
      <c r="OFR2487" s="60"/>
      <c r="OFS2487" s="60"/>
      <c r="OFT2487" s="60"/>
      <c r="OFU2487" s="58"/>
      <c r="OFV2487" s="61"/>
      <c r="OFW2487" s="58"/>
      <c r="OFX2487" s="58"/>
      <c r="OFY2487" s="58"/>
      <c r="OFZ2487" s="60"/>
      <c r="OGA2487" s="60"/>
      <c r="OGB2487" s="60"/>
      <c r="OGC2487" s="58"/>
      <c r="OGD2487" s="61"/>
      <c r="OGE2487" s="58"/>
      <c r="OGF2487" s="58"/>
      <c r="OGG2487" s="58"/>
      <c r="OGH2487" s="60"/>
      <c r="OGI2487" s="60"/>
      <c r="OGJ2487" s="60"/>
      <c r="OGK2487" s="58"/>
      <c r="OGL2487" s="61"/>
      <c r="OGM2487" s="58"/>
      <c r="OGN2487" s="58"/>
      <c r="OGO2487" s="58"/>
      <c r="OGP2487" s="60"/>
      <c r="OGQ2487" s="60"/>
      <c r="OGR2487" s="60"/>
      <c r="OGS2487" s="58"/>
      <c r="OGT2487" s="61"/>
      <c r="OGU2487" s="58"/>
      <c r="OGV2487" s="58"/>
      <c r="OGW2487" s="58"/>
      <c r="OGX2487" s="60"/>
      <c r="OGY2487" s="60"/>
      <c r="OGZ2487" s="60"/>
      <c r="OHA2487" s="58"/>
      <c r="OHB2487" s="61"/>
      <c r="OHC2487" s="58"/>
      <c r="OHD2487" s="58"/>
      <c r="OHE2487" s="58"/>
      <c r="OHF2487" s="60"/>
      <c r="OHG2487" s="60"/>
      <c r="OHH2487" s="60"/>
      <c r="OHI2487" s="58"/>
      <c r="OHJ2487" s="61"/>
      <c r="OHK2487" s="58"/>
      <c r="OHL2487" s="58"/>
      <c r="OHM2487" s="58"/>
      <c r="OHN2487" s="60"/>
      <c r="OHO2487" s="60"/>
      <c r="OHP2487" s="60"/>
      <c r="OHQ2487" s="58"/>
      <c r="OHR2487" s="61"/>
      <c r="OHS2487" s="58"/>
      <c r="OHT2487" s="58"/>
      <c r="OHU2487" s="58"/>
      <c r="OHV2487" s="60"/>
      <c r="OHW2487" s="60"/>
      <c r="OHX2487" s="60"/>
      <c r="OHY2487" s="58"/>
      <c r="OHZ2487" s="61"/>
      <c r="OIA2487" s="58"/>
      <c r="OIB2487" s="58"/>
      <c r="OIC2487" s="58"/>
      <c r="OID2487" s="60"/>
      <c r="OIE2487" s="60"/>
      <c r="OIF2487" s="60"/>
      <c r="OIG2487" s="58"/>
      <c r="OIH2487" s="61"/>
      <c r="OII2487" s="58"/>
      <c r="OIJ2487" s="58"/>
      <c r="OIK2487" s="58"/>
      <c r="OIL2487" s="60"/>
      <c r="OIM2487" s="60"/>
      <c r="OIN2487" s="60"/>
      <c r="OIO2487" s="58"/>
      <c r="OIP2487" s="61"/>
      <c r="OIQ2487" s="58"/>
      <c r="OIR2487" s="58"/>
      <c r="OIS2487" s="58"/>
      <c r="OIT2487" s="60"/>
      <c r="OIU2487" s="60"/>
      <c r="OIV2487" s="60"/>
      <c r="OIW2487" s="58"/>
      <c r="OIX2487" s="61"/>
      <c r="OIY2487" s="58"/>
      <c r="OIZ2487" s="58"/>
      <c r="OJA2487" s="58"/>
      <c r="OJB2487" s="60"/>
      <c r="OJC2487" s="60"/>
      <c r="OJD2487" s="60"/>
      <c r="OJE2487" s="58"/>
      <c r="OJF2487" s="61"/>
      <c r="OJG2487" s="58"/>
      <c r="OJH2487" s="58"/>
      <c r="OJI2487" s="58"/>
      <c r="OJJ2487" s="60"/>
      <c r="OJK2487" s="60"/>
      <c r="OJL2487" s="60"/>
      <c r="OJM2487" s="58"/>
      <c r="OJN2487" s="61"/>
      <c r="OJO2487" s="58"/>
      <c r="OJP2487" s="58"/>
      <c r="OJQ2487" s="58"/>
      <c r="OJR2487" s="60"/>
      <c r="OJS2487" s="60"/>
      <c r="OJT2487" s="60"/>
      <c r="OJU2487" s="58"/>
      <c r="OJV2487" s="61"/>
      <c r="OJW2487" s="58"/>
      <c r="OJX2487" s="58"/>
      <c r="OJY2487" s="58"/>
      <c r="OJZ2487" s="60"/>
      <c r="OKA2487" s="60"/>
      <c r="OKB2487" s="60"/>
      <c r="OKC2487" s="58"/>
      <c r="OKD2487" s="61"/>
      <c r="OKE2487" s="58"/>
      <c r="OKF2487" s="58"/>
      <c r="OKG2487" s="58"/>
      <c r="OKH2487" s="60"/>
      <c r="OKI2487" s="60"/>
      <c r="OKJ2487" s="60"/>
      <c r="OKK2487" s="58"/>
      <c r="OKL2487" s="61"/>
      <c r="OKM2487" s="58"/>
      <c r="OKN2487" s="58"/>
      <c r="OKO2487" s="58"/>
      <c r="OKP2487" s="60"/>
      <c r="OKQ2487" s="60"/>
      <c r="OKR2487" s="60"/>
      <c r="OKS2487" s="58"/>
      <c r="OKT2487" s="61"/>
      <c r="OKU2487" s="58"/>
      <c r="OKV2487" s="58"/>
      <c r="OKW2487" s="58"/>
      <c r="OKX2487" s="60"/>
      <c r="OKY2487" s="60"/>
      <c r="OKZ2487" s="60"/>
      <c r="OLA2487" s="58"/>
      <c r="OLB2487" s="61"/>
      <c r="OLC2487" s="58"/>
      <c r="OLD2487" s="58"/>
      <c r="OLE2487" s="58"/>
      <c r="OLF2487" s="60"/>
      <c r="OLG2487" s="60"/>
      <c r="OLH2487" s="60"/>
      <c r="OLI2487" s="58"/>
      <c r="OLJ2487" s="61"/>
      <c r="OLK2487" s="58"/>
      <c r="OLL2487" s="58"/>
      <c r="OLM2487" s="58"/>
      <c r="OLN2487" s="60"/>
      <c r="OLO2487" s="60"/>
      <c r="OLP2487" s="60"/>
      <c r="OLQ2487" s="58"/>
      <c r="OLR2487" s="61"/>
      <c r="OLS2487" s="58"/>
      <c r="OLT2487" s="58"/>
      <c r="OLU2487" s="58"/>
      <c r="OLV2487" s="60"/>
      <c r="OLW2487" s="60"/>
      <c r="OLX2487" s="60"/>
      <c r="OLY2487" s="58"/>
      <c r="OLZ2487" s="61"/>
      <c r="OMA2487" s="58"/>
      <c r="OMB2487" s="58"/>
      <c r="OMC2487" s="58"/>
      <c r="OMD2487" s="60"/>
      <c r="OME2487" s="60"/>
      <c r="OMF2487" s="60"/>
      <c r="OMG2487" s="58"/>
      <c r="OMH2487" s="61"/>
      <c r="OMI2487" s="58"/>
      <c r="OMJ2487" s="58"/>
      <c r="OMK2487" s="58"/>
      <c r="OML2487" s="60"/>
      <c r="OMM2487" s="60"/>
      <c r="OMN2487" s="60"/>
      <c r="OMO2487" s="58"/>
      <c r="OMP2487" s="61"/>
      <c r="OMQ2487" s="58"/>
      <c r="OMR2487" s="58"/>
      <c r="OMS2487" s="58"/>
      <c r="OMT2487" s="60"/>
      <c r="OMU2487" s="60"/>
      <c r="OMV2487" s="60"/>
      <c r="OMW2487" s="58"/>
      <c r="OMX2487" s="61"/>
      <c r="OMY2487" s="58"/>
      <c r="OMZ2487" s="58"/>
      <c r="ONA2487" s="58"/>
      <c r="ONB2487" s="60"/>
      <c r="ONC2487" s="60"/>
      <c r="OND2487" s="60"/>
      <c r="ONE2487" s="58"/>
      <c r="ONF2487" s="61"/>
      <c r="ONG2487" s="58"/>
      <c r="ONH2487" s="58"/>
      <c r="ONI2487" s="58"/>
      <c r="ONJ2487" s="60"/>
      <c r="ONK2487" s="60"/>
      <c r="ONL2487" s="60"/>
      <c r="ONM2487" s="58"/>
      <c r="ONN2487" s="61"/>
      <c r="ONO2487" s="58"/>
      <c r="ONP2487" s="58"/>
      <c r="ONQ2487" s="58"/>
      <c r="ONR2487" s="60"/>
      <c r="ONS2487" s="60"/>
      <c r="ONT2487" s="60"/>
      <c r="ONU2487" s="58"/>
      <c r="ONV2487" s="61"/>
      <c r="ONW2487" s="58"/>
      <c r="ONX2487" s="58"/>
      <c r="ONY2487" s="58"/>
      <c r="ONZ2487" s="60"/>
      <c r="OOA2487" s="60"/>
      <c r="OOB2487" s="60"/>
      <c r="OOC2487" s="58"/>
      <c r="OOD2487" s="61"/>
      <c r="OOE2487" s="58"/>
      <c r="OOF2487" s="58"/>
      <c r="OOG2487" s="58"/>
      <c r="OOH2487" s="60"/>
      <c r="OOI2487" s="60"/>
      <c r="OOJ2487" s="60"/>
      <c r="OOK2487" s="58"/>
      <c r="OOL2487" s="61"/>
      <c r="OOM2487" s="58"/>
      <c r="OON2487" s="58"/>
      <c r="OOO2487" s="58"/>
      <c r="OOP2487" s="60"/>
      <c r="OOQ2487" s="60"/>
      <c r="OOR2487" s="60"/>
      <c r="OOS2487" s="58"/>
      <c r="OOT2487" s="61"/>
      <c r="OOU2487" s="58"/>
      <c r="OOV2487" s="58"/>
      <c r="OOW2487" s="58"/>
      <c r="OOX2487" s="60"/>
      <c r="OOY2487" s="60"/>
      <c r="OOZ2487" s="60"/>
      <c r="OPA2487" s="58"/>
      <c r="OPB2487" s="61"/>
      <c r="OPC2487" s="58"/>
      <c r="OPD2487" s="58"/>
      <c r="OPE2487" s="58"/>
      <c r="OPF2487" s="60"/>
      <c r="OPG2487" s="60"/>
      <c r="OPH2487" s="60"/>
      <c r="OPI2487" s="58"/>
      <c r="OPJ2487" s="61"/>
      <c r="OPK2487" s="58"/>
      <c r="OPL2487" s="58"/>
      <c r="OPM2487" s="58"/>
      <c r="OPN2487" s="60"/>
      <c r="OPO2487" s="60"/>
      <c r="OPP2487" s="60"/>
      <c r="OPQ2487" s="58"/>
      <c r="OPR2487" s="61"/>
      <c r="OPS2487" s="58"/>
      <c r="OPT2487" s="58"/>
      <c r="OPU2487" s="58"/>
      <c r="OPV2487" s="60"/>
      <c r="OPW2487" s="60"/>
      <c r="OPX2487" s="60"/>
      <c r="OPY2487" s="58"/>
      <c r="OPZ2487" s="61"/>
      <c r="OQA2487" s="58"/>
      <c r="OQB2487" s="58"/>
      <c r="OQC2487" s="58"/>
      <c r="OQD2487" s="60"/>
      <c r="OQE2487" s="60"/>
      <c r="OQF2487" s="60"/>
      <c r="OQG2487" s="58"/>
      <c r="OQH2487" s="61"/>
      <c r="OQI2487" s="58"/>
      <c r="OQJ2487" s="58"/>
      <c r="OQK2487" s="58"/>
      <c r="OQL2487" s="60"/>
      <c r="OQM2487" s="60"/>
      <c r="OQN2487" s="60"/>
      <c r="OQO2487" s="58"/>
      <c r="OQP2487" s="61"/>
      <c r="OQQ2487" s="58"/>
      <c r="OQR2487" s="58"/>
      <c r="OQS2487" s="58"/>
      <c r="OQT2487" s="60"/>
      <c r="OQU2487" s="60"/>
      <c r="OQV2487" s="60"/>
      <c r="OQW2487" s="58"/>
      <c r="OQX2487" s="61"/>
      <c r="OQY2487" s="58"/>
      <c r="OQZ2487" s="58"/>
      <c r="ORA2487" s="58"/>
      <c r="ORB2487" s="60"/>
      <c r="ORC2487" s="60"/>
      <c r="ORD2487" s="60"/>
      <c r="ORE2487" s="58"/>
      <c r="ORF2487" s="61"/>
      <c r="ORG2487" s="58"/>
      <c r="ORH2487" s="58"/>
      <c r="ORI2487" s="58"/>
      <c r="ORJ2487" s="60"/>
      <c r="ORK2487" s="60"/>
      <c r="ORL2487" s="60"/>
      <c r="ORM2487" s="58"/>
      <c r="ORN2487" s="61"/>
      <c r="ORO2487" s="58"/>
      <c r="ORP2487" s="58"/>
      <c r="ORQ2487" s="58"/>
      <c r="ORR2487" s="60"/>
      <c r="ORS2487" s="60"/>
      <c r="ORT2487" s="60"/>
      <c r="ORU2487" s="58"/>
      <c r="ORV2487" s="61"/>
      <c r="ORW2487" s="58"/>
      <c r="ORX2487" s="58"/>
      <c r="ORY2487" s="58"/>
      <c r="ORZ2487" s="60"/>
      <c r="OSA2487" s="60"/>
      <c r="OSB2487" s="60"/>
      <c r="OSC2487" s="58"/>
      <c r="OSD2487" s="61"/>
      <c r="OSE2487" s="58"/>
      <c r="OSF2487" s="58"/>
      <c r="OSG2487" s="58"/>
      <c r="OSH2487" s="60"/>
      <c r="OSI2487" s="60"/>
      <c r="OSJ2487" s="60"/>
      <c r="OSK2487" s="58"/>
      <c r="OSL2487" s="61"/>
      <c r="OSM2487" s="58"/>
      <c r="OSN2487" s="58"/>
      <c r="OSO2487" s="58"/>
      <c r="OSP2487" s="60"/>
      <c r="OSQ2487" s="60"/>
      <c r="OSR2487" s="60"/>
      <c r="OSS2487" s="58"/>
      <c r="OST2487" s="61"/>
      <c r="OSU2487" s="58"/>
      <c r="OSV2487" s="58"/>
      <c r="OSW2487" s="58"/>
      <c r="OSX2487" s="60"/>
      <c r="OSY2487" s="60"/>
      <c r="OSZ2487" s="60"/>
      <c r="OTA2487" s="58"/>
      <c r="OTB2487" s="61"/>
      <c r="OTC2487" s="58"/>
      <c r="OTD2487" s="58"/>
      <c r="OTE2487" s="58"/>
      <c r="OTF2487" s="60"/>
      <c r="OTG2487" s="60"/>
      <c r="OTH2487" s="60"/>
      <c r="OTI2487" s="58"/>
      <c r="OTJ2487" s="61"/>
      <c r="OTK2487" s="58"/>
      <c r="OTL2487" s="58"/>
      <c r="OTM2487" s="58"/>
      <c r="OTN2487" s="60"/>
      <c r="OTO2487" s="60"/>
      <c r="OTP2487" s="60"/>
      <c r="OTQ2487" s="58"/>
      <c r="OTR2487" s="61"/>
      <c r="OTS2487" s="58"/>
      <c r="OTT2487" s="58"/>
      <c r="OTU2487" s="58"/>
      <c r="OTV2487" s="60"/>
      <c r="OTW2487" s="60"/>
      <c r="OTX2487" s="60"/>
      <c r="OTY2487" s="58"/>
      <c r="OTZ2487" s="61"/>
      <c r="OUA2487" s="58"/>
      <c r="OUB2487" s="58"/>
      <c r="OUC2487" s="58"/>
      <c r="OUD2487" s="60"/>
      <c r="OUE2487" s="60"/>
      <c r="OUF2487" s="60"/>
      <c r="OUG2487" s="58"/>
      <c r="OUH2487" s="61"/>
      <c r="OUI2487" s="58"/>
      <c r="OUJ2487" s="58"/>
      <c r="OUK2487" s="58"/>
      <c r="OUL2487" s="60"/>
      <c r="OUM2487" s="60"/>
      <c r="OUN2487" s="60"/>
      <c r="OUO2487" s="58"/>
      <c r="OUP2487" s="61"/>
      <c r="OUQ2487" s="58"/>
      <c r="OUR2487" s="58"/>
      <c r="OUS2487" s="58"/>
      <c r="OUT2487" s="60"/>
      <c r="OUU2487" s="60"/>
      <c r="OUV2487" s="60"/>
      <c r="OUW2487" s="58"/>
      <c r="OUX2487" s="61"/>
      <c r="OUY2487" s="58"/>
      <c r="OUZ2487" s="58"/>
      <c r="OVA2487" s="58"/>
      <c r="OVB2487" s="60"/>
      <c r="OVC2487" s="60"/>
      <c r="OVD2487" s="60"/>
      <c r="OVE2487" s="58"/>
      <c r="OVF2487" s="61"/>
      <c r="OVG2487" s="58"/>
      <c r="OVH2487" s="58"/>
      <c r="OVI2487" s="58"/>
      <c r="OVJ2487" s="60"/>
      <c r="OVK2487" s="60"/>
      <c r="OVL2487" s="60"/>
      <c r="OVM2487" s="58"/>
      <c r="OVN2487" s="61"/>
      <c r="OVO2487" s="58"/>
      <c r="OVP2487" s="58"/>
      <c r="OVQ2487" s="58"/>
      <c r="OVR2487" s="60"/>
      <c r="OVS2487" s="60"/>
      <c r="OVT2487" s="60"/>
      <c r="OVU2487" s="58"/>
      <c r="OVV2487" s="61"/>
      <c r="OVW2487" s="58"/>
      <c r="OVX2487" s="58"/>
      <c r="OVY2487" s="58"/>
      <c r="OVZ2487" s="60"/>
      <c r="OWA2487" s="60"/>
      <c r="OWB2487" s="60"/>
      <c r="OWC2487" s="58"/>
      <c r="OWD2487" s="61"/>
      <c r="OWE2487" s="58"/>
      <c r="OWF2487" s="58"/>
      <c r="OWG2487" s="58"/>
      <c r="OWH2487" s="60"/>
      <c r="OWI2487" s="60"/>
      <c r="OWJ2487" s="60"/>
      <c r="OWK2487" s="58"/>
      <c r="OWL2487" s="61"/>
      <c r="OWM2487" s="58"/>
      <c r="OWN2487" s="58"/>
      <c r="OWO2487" s="58"/>
      <c r="OWP2487" s="60"/>
      <c r="OWQ2487" s="60"/>
      <c r="OWR2487" s="60"/>
      <c r="OWS2487" s="58"/>
      <c r="OWT2487" s="61"/>
      <c r="OWU2487" s="58"/>
      <c r="OWV2487" s="58"/>
      <c r="OWW2487" s="58"/>
      <c r="OWX2487" s="60"/>
      <c r="OWY2487" s="60"/>
      <c r="OWZ2487" s="60"/>
      <c r="OXA2487" s="58"/>
      <c r="OXB2487" s="61"/>
      <c r="OXC2487" s="58"/>
      <c r="OXD2487" s="58"/>
      <c r="OXE2487" s="58"/>
      <c r="OXF2487" s="60"/>
      <c r="OXG2487" s="60"/>
      <c r="OXH2487" s="60"/>
      <c r="OXI2487" s="58"/>
      <c r="OXJ2487" s="61"/>
      <c r="OXK2487" s="58"/>
      <c r="OXL2487" s="58"/>
      <c r="OXM2487" s="58"/>
      <c r="OXN2487" s="60"/>
      <c r="OXO2487" s="60"/>
      <c r="OXP2487" s="60"/>
      <c r="OXQ2487" s="58"/>
      <c r="OXR2487" s="61"/>
      <c r="OXS2487" s="58"/>
      <c r="OXT2487" s="58"/>
      <c r="OXU2487" s="58"/>
      <c r="OXV2487" s="60"/>
      <c r="OXW2487" s="60"/>
      <c r="OXX2487" s="60"/>
      <c r="OXY2487" s="58"/>
      <c r="OXZ2487" s="61"/>
      <c r="OYA2487" s="58"/>
      <c r="OYB2487" s="58"/>
      <c r="OYC2487" s="58"/>
      <c r="OYD2487" s="60"/>
      <c r="OYE2487" s="60"/>
      <c r="OYF2487" s="60"/>
      <c r="OYG2487" s="58"/>
      <c r="OYH2487" s="61"/>
      <c r="OYI2487" s="58"/>
      <c r="OYJ2487" s="58"/>
      <c r="OYK2487" s="58"/>
      <c r="OYL2487" s="60"/>
      <c r="OYM2487" s="60"/>
      <c r="OYN2487" s="60"/>
      <c r="OYO2487" s="58"/>
      <c r="OYP2487" s="61"/>
      <c r="OYQ2487" s="58"/>
      <c r="OYR2487" s="58"/>
      <c r="OYS2487" s="58"/>
      <c r="OYT2487" s="60"/>
      <c r="OYU2487" s="60"/>
      <c r="OYV2487" s="60"/>
      <c r="OYW2487" s="58"/>
      <c r="OYX2487" s="61"/>
      <c r="OYY2487" s="58"/>
      <c r="OYZ2487" s="58"/>
      <c r="OZA2487" s="58"/>
      <c r="OZB2487" s="60"/>
      <c r="OZC2487" s="60"/>
      <c r="OZD2487" s="60"/>
      <c r="OZE2487" s="58"/>
      <c r="OZF2487" s="61"/>
      <c r="OZG2487" s="58"/>
      <c r="OZH2487" s="58"/>
      <c r="OZI2487" s="58"/>
      <c r="OZJ2487" s="60"/>
      <c r="OZK2487" s="60"/>
      <c r="OZL2487" s="60"/>
      <c r="OZM2487" s="58"/>
      <c r="OZN2487" s="61"/>
      <c r="OZO2487" s="58"/>
      <c r="OZP2487" s="58"/>
      <c r="OZQ2487" s="58"/>
      <c r="OZR2487" s="60"/>
      <c r="OZS2487" s="60"/>
      <c r="OZT2487" s="60"/>
      <c r="OZU2487" s="58"/>
      <c r="OZV2487" s="61"/>
      <c r="OZW2487" s="58"/>
      <c r="OZX2487" s="58"/>
      <c r="OZY2487" s="58"/>
      <c r="OZZ2487" s="60"/>
      <c r="PAA2487" s="60"/>
      <c r="PAB2487" s="60"/>
      <c r="PAC2487" s="58"/>
      <c r="PAD2487" s="61"/>
      <c r="PAE2487" s="58"/>
      <c r="PAF2487" s="58"/>
      <c r="PAG2487" s="58"/>
      <c r="PAH2487" s="60"/>
      <c r="PAI2487" s="60"/>
      <c r="PAJ2487" s="60"/>
      <c r="PAK2487" s="58"/>
      <c r="PAL2487" s="61"/>
      <c r="PAM2487" s="58"/>
      <c r="PAN2487" s="58"/>
      <c r="PAO2487" s="58"/>
      <c r="PAP2487" s="60"/>
      <c r="PAQ2487" s="60"/>
      <c r="PAR2487" s="60"/>
      <c r="PAS2487" s="58"/>
      <c r="PAT2487" s="61"/>
      <c r="PAU2487" s="58"/>
      <c r="PAV2487" s="58"/>
      <c r="PAW2487" s="58"/>
      <c r="PAX2487" s="60"/>
      <c r="PAY2487" s="60"/>
      <c r="PAZ2487" s="60"/>
      <c r="PBA2487" s="58"/>
      <c r="PBB2487" s="61"/>
      <c r="PBC2487" s="58"/>
      <c r="PBD2487" s="58"/>
      <c r="PBE2487" s="58"/>
      <c r="PBF2487" s="60"/>
      <c r="PBG2487" s="60"/>
      <c r="PBH2487" s="60"/>
      <c r="PBI2487" s="58"/>
      <c r="PBJ2487" s="61"/>
      <c r="PBK2487" s="58"/>
      <c r="PBL2487" s="58"/>
      <c r="PBM2487" s="58"/>
      <c r="PBN2487" s="60"/>
      <c r="PBO2487" s="60"/>
      <c r="PBP2487" s="60"/>
      <c r="PBQ2487" s="58"/>
      <c r="PBR2487" s="61"/>
      <c r="PBS2487" s="58"/>
      <c r="PBT2487" s="58"/>
      <c r="PBU2487" s="58"/>
      <c r="PBV2487" s="60"/>
      <c r="PBW2487" s="60"/>
      <c r="PBX2487" s="60"/>
      <c r="PBY2487" s="58"/>
      <c r="PBZ2487" s="61"/>
      <c r="PCA2487" s="58"/>
      <c r="PCB2487" s="58"/>
      <c r="PCC2487" s="58"/>
      <c r="PCD2487" s="60"/>
      <c r="PCE2487" s="60"/>
      <c r="PCF2487" s="60"/>
      <c r="PCG2487" s="58"/>
      <c r="PCH2487" s="61"/>
      <c r="PCI2487" s="58"/>
      <c r="PCJ2487" s="58"/>
      <c r="PCK2487" s="58"/>
      <c r="PCL2487" s="60"/>
      <c r="PCM2487" s="60"/>
      <c r="PCN2487" s="60"/>
      <c r="PCO2487" s="58"/>
      <c r="PCP2487" s="61"/>
      <c r="PCQ2487" s="58"/>
      <c r="PCR2487" s="58"/>
      <c r="PCS2487" s="58"/>
      <c r="PCT2487" s="60"/>
      <c r="PCU2487" s="60"/>
      <c r="PCV2487" s="60"/>
      <c r="PCW2487" s="58"/>
      <c r="PCX2487" s="61"/>
      <c r="PCY2487" s="58"/>
      <c r="PCZ2487" s="58"/>
      <c r="PDA2487" s="58"/>
      <c r="PDB2487" s="60"/>
      <c r="PDC2487" s="60"/>
      <c r="PDD2487" s="60"/>
      <c r="PDE2487" s="58"/>
      <c r="PDF2487" s="61"/>
      <c r="PDG2487" s="58"/>
      <c r="PDH2487" s="58"/>
      <c r="PDI2487" s="58"/>
      <c r="PDJ2487" s="60"/>
      <c r="PDK2487" s="60"/>
      <c r="PDL2487" s="60"/>
      <c r="PDM2487" s="58"/>
      <c r="PDN2487" s="61"/>
      <c r="PDO2487" s="58"/>
      <c r="PDP2487" s="58"/>
      <c r="PDQ2487" s="58"/>
      <c r="PDR2487" s="60"/>
      <c r="PDS2487" s="60"/>
      <c r="PDT2487" s="60"/>
      <c r="PDU2487" s="58"/>
      <c r="PDV2487" s="61"/>
      <c r="PDW2487" s="58"/>
      <c r="PDX2487" s="58"/>
      <c r="PDY2487" s="58"/>
      <c r="PDZ2487" s="60"/>
      <c r="PEA2487" s="60"/>
      <c r="PEB2487" s="60"/>
      <c r="PEC2487" s="58"/>
      <c r="PED2487" s="61"/>
      <c r="PEE2487" s="58"/>
      <c r="PEF2487" s="58"/>
      <c r="PEG2487" s="58"/>
      <c r="PEH2487" s="60"/>
      <c r="PEI2487" s="60"/>
      <c r="PEJ2487" s="60"/>
      <c r="PEK2487" s="58"/>
      <c r="PEL2487" s="61"/>
      <c r="PEM2487" s="58"/>
      <c r="PEN2487" s="58"/>
      <c r="PEO2487" s="58"/>
      <c r="PEP2487" s="60"/>
      <c r="PEQ2487" s="60"/>
      <c r="PER2487" s="60"/>
      <c r="PES2487" s="58"/>
      <c r="PET2487" s="61"/>
      <c r="PEU2487" s="58"/>
      <c r="PEV2487" s="58"/>
      <c r="PEW2487" s="58"/>
      <c r="PEX2487" s="60"/>
      <c r="PEY2487" s="60"/>
      <c r="PEZ2487" s="60"/>
      <c r="PFA2487" s="58"/>
      <c r="PFB2487" s="61"/>
      <c r="PFC2487" s="58"/>
      <c r="PFD2487" s="58"/>
      <c r="PFE2487" s="58"/>
      <c r="PFF2487" s="60"/>
      <c r="PFG2487" s="60"/>
      <c r="PFH2487" s="60"/>
      <c r="PFI2487" s="58"/>
      <c r="PFJ2487" s="61"/>
      <c r="PFK2487" s="58"/>
      <c r="PFL2487" s="58"/>
      <c r="PFM2487" s="58"/>
      <c r="PFN2487" s="60"/>
      <c r="PFO2487" s="60"/>
      <c r="PFP2487" s="60"/>
      <c r="PFQ2487" s="58"/>
      <c r="PFR2487" s="61"/>
      <c r="PFS2487" s="58"/>
      <c r="PFT2487" s="58"/>
      <c r="PFU2487" s="58"/>
      <c r="PFV2487" s="60"/>
      <c r="PFW2487" s="60"/>
      <c r="PFX2487" s="60"/>
      <c r="PFY2487" s="58"/>
      <c r="PFZ2487" s="61"/>
      <c r="PGA2487" s="58"/>
      <c r="PGB2487" s="58"/>
      <c r="PGC2487" s="58"/>
      <c r="PGD2487" s="60"/>
      <c r="PGE2487" s="60"/>
      <c r="PGF2487" s="60"/>
      <c r="PGG2487" s="58"/>
      <c r="PGH2487" s="61"/>
      <c r="PGI2487" s="58"/>
      <c r="PGJ2487" s="58"/>
      <c r="PGK2487" s="58"/>
      <c r="PGL2487" s="60"/>
      <c r="PGM2487" s="60"/>
      <c r="PGN2487" s="60"/>
      <c r="PGO2487" s="58"/>
      <c r="PGP2487" s="61"/>
      <c r="PGQ2487" s="58"/>
      <c r="PGR2487" s="58"/>
      <c r="PGS2487" s="58"/>
      <c r="PGT2487" s="60"/>
      <c r="PGU2487" s="60"/>
      <c r="PGV2487" s="60"/>
      <c r="PGW2487" s="58"/>
      <c r="PGX2487" s="61"/>
      <c r="PGY2487" s="58"/>
      <c r="PGZ2487" s="58"/>
      <c r="PHA2487" s="58"/>
      <c r="PHB2487" s="60"/>
      <c r="PHC2487" s="60"/>
      <c r="PHD2487" s="60"/>
      <c r="PHE2487" s="58"/>
      <c r="PHF2487" s="61"/>
      <c r="PHG2487" s="58"/>
      <c r="PHH2487" s="58"/>
      <c r="PHI2487" s="58"/>
      <c r="PHJ2487" s="60"/>
      <c r="PHK2487" s="60"/>
      <c r="PHL2487" s="60"/>
      <c r="PHM2487" s="58"/>
      <c r="PHN2487" s="61"/>
      <c r="PHO2487" s="58"/>
      <c r="PHP2487" s="58"/>
      <c r="PHQ2487" s="58"/>
      <c r="PHR2487" s="60"/>
      <c r="PHS2487" s="60"/>
      <c r="PHT2487" s="60"/>
      <c r="PHU2487" s="58"/>
      <c r="PHV2487" s="61"/>
      <c r="PHW2487" s="58"/>
      <c r="PHX2487" s="58"/>
      <c r="PHY2487" s="58"/>
      <c r="PHZ2487" s="60"/>
      <c r="PIA2487" s="60"/>
      <c r="PIB2487" s="60"/>
      <c r="PIC2487" s="58"/>
      <c r="PID2487" s="61"/>
      <c r="PIE2487" s="58"/>
      <c r="PIF2487" s="58"/>
      <c r="PIG2487" s="58"/>
      <c r="PIH2487" s="60"/>
      <c r="PII2487" s="60"/>
      <c r="PIJ2487" s="60"/>
      <c r="PIK2487" s="58"/>
      <c r="PIL2487" s="61"/>
      <c r="PIM2487" s="58"/>
      <c r="PIN2487" s="58"/>
      <c r="PIO2487" s="58"/>
      <c r="PIP2487" s="60"/>
      <c r="PIQ2487" s="60"/>
      <c r="PIR2487" s="60"/>
      <c r="PIS2487" s="58"/>
      <c r="PIT2487" s="61"/>
      <c r="PIU2487" s="58"/>
      <c r="PIV2487" s="58"/>
      <c r="PIW2487" s="58"/>
      <c r="PIX2487" s="60"/>
      <c r="PIY2487" s="60"/>
      <c r="PIZ2487" s="60"/>
      <c r="PJA2487" s="58"/>
      <c r="PJB2487" s="61"/>
      <c r="PJC2487" s="58"/>
      <c r="PJD2487" s="58"/>
      <c r="PJE2487" s="58"/>
      <c r="PJF2487" s="60"/>
      <c r="PJG2487" s="60"/>
      <c r="PJH2487" s="60"/>
      <c r="PJI2487" s="58"/>
      <c r="PJJ2487" s="61"/>
      <c r="PJK2487" s="58"/>
      <c r="PJL2487" s="58"/>
      <c r="PJM2487" s="58"/>
      <c r="PJN2487" s="60"/>
      <c r="PJO2487" s="60"/>
      <c r="PJP2487" s="60"/>
      <c r="PJQ2487" s="58"/>
      <c r="PJR2487" s="61"/>
      <c r="PJS2487" s="58"/>
      <c r="PJT2487" s="58"/>
      <c r="PJU2487" s="58"/>
      <c r="PJV2487" s="60"/>
      <c r="PJW2487" s="60"/>
      <c r="PJX2487" s="60"/>
      <c r="PJY2487" s="58"/>
      <c r="PJZ2487" s="61"/>
      <c r="PKA2487" s="58"/>
      <c r="PKB2487" s="58"/>
      <c r="PKC2487" s="58"/>
      <c r="PKD2487" s="60"/>
      <c r="PKE2487" s="60"/>
      <c r="PKF2487" s="60"/>
      <c r="PKG2487" s="58"/>
      <c r="PKH2487" s="61"/>
      <c r="PKI2487" s="58"/>
      <c r="PKJ2487" s="58"/>
      <c r="PKK2487" s="58"/>
      <c r="PKL2487" s="60"/>
      <c r="PKM2487" s="60"/>
      <c r="PKN2487" s="60"/>
      <c r="PKO2487" s="58"/>
      <c r="PKP2487" s="61"/>
      <c r="PKQ2487" s="58"/>
      <c r="PKR2487" s="58"/>
      <c r="PKS2487" s="58"/>
      <c r="PKT2487" s="60"/>
      <c r="PKU2487" s="60"/>
      <c r="PKV2487" s="60"/>
      <c r="PKW2487" s="58"/>
      <c r="PKX2487" s="61"/>
      <c r="PKY2487" s="58"/>
      <c r="PKZ2487" s="58"/>
      <c r="PLA2487" s="58"/>
      <c r="PLB2487" s="60"/>
      <c r="PLC2487" s="60"/>
      <c r="PLD2487" s="60"/>
      <c r="PLE2487" s="58"/>
      <c r="PLF2487" s="61"/>
      <c r="PLG2487" s="58"/>
      <c r="PLH2487" s="58"/>
      <c r="PLI2487" s="58"/>
      <c r="PLJ2487" s="60"/>
      <c r="PLK2487" s="60"/>
      <c r="PLL2487" s="60"/>
      <c r="PLM2487" s="58"/>
      <c r="PLN2487" s="61"/>
      <c r="PLO2487" s="58"/>
      <c r="PLP2487" s="58"/>
      <c r="PLQ2487" s="58"/>
      <c r="PLR2487" s="60"/>
      <c r="PLS2487" s="60"/>
      <c r="PLT2487" s="60"/>
      <c r="PLU2487" s="58"/>
      <c r="PLV2487" s="61"/>
      <c r="PLW2487" s="58"/>
      <c r="PLX2487" s="58"/>
      <c r="PLY2487" s="58"/>
      <c r="PLZ2487" s="60"/>
      <c r="PMA2487" s="60"/>
      <c r="PMB2487" s="60"/>
      <c r="PMC2487" s="58"/>
      <c r="PMD2487" s="61"/>
      <c r="PME2487" s="58"/>
      <c r="PMF2487" s="58"/>
      <c r="PMG2487" s="58"/>
      <c r="PMH2487" s="60"/>
      <c r="PMI2487" s="60"/>
      <c r="PMJ2487" s="60"/>
      <c r="PMK2487" s="58"/>
      <c r="PML2487" s="61"/>
      <c r="PMM2487" s="58"/>
      <c r="PMN2487" s="58"/>
      <c r="PMO2487" s="58"/>
      <c r="PMP2487" s="60"/>
      <c r="PMQ2487" s="60"/>
      <c r="PMR2487" s="60"/>
      <c r="PMS2487" s="58"/>
      <c r="PMT2487" s="61"/>
      <c r="PMU2487" s="58"/>
      <c r="PMV2487" s="58"/>
      <c r="PMW2487" s="58"/>
      <c r="PMX2487" s="60"/>
      <c r="PMY2487" s="60"/>
      <c r="PMZ2487" s="60"/>
      <c r="PNA2487" s="58"/>
      <c r="PNB2487" s="61"/>
      <c r="PNC2487" s="58"/>
      <c r="PND2487" s="58"/>
      <c r="PNE2487" s="58"/>
      <c r="PNF2487" s="60"/>
      <c r="PNG2487" s="60"/>
      <c r="PNH2487" s="60"/>
      <c r="PNI2487" s="58"/>
      <c r="PNJ2487" s="61"/>
      <c r="PNK2487" s="58"/>
      <c r="PNL2487" s="58"/>
      <c r="PNM2487" s="58"/>
      <c r="PNN2487" s="60"/>
      <c r="PNO2487" s="60"/>
      <c r="PNP2487" s="60"/>
      <c r="PNQ2487" s="58"/>
      <c r="PNR2487" s="61"/>
      <c r="PNS2487" s="58"/>
      <c r="PNT2487" s="58"/>
      <c r="PNU2487" s="58"/>
      <c r="PNV2487" s="60"/>
      <c r="PNW2487" s="60"/>
      <c r="PNX2487" s="60"/>
      <c r="PNY2487" s="58"/>
      <c r="PNZ2487" s="61"/>
      <c r="POA2487" s="58"/>
      <c r="POB2487" s="58"/>
      <c r="POC2487" s="58"/>
      <c r="POD2487" s="60"/>
      <c r="POE2487" s="60"/>
      <c r="POF2487" s="60"/>
      <c r="POG2487" s="58"/>
      <c r="POH2487" s="61"/>
      <c r="POI2487" s="58"/>
      <c r="POJ2487" s="58"/>
      <c r="POK2487" s="58"/>
      <c r="POL2487" s="60"/>
      <c r="POM2487" s="60"/>
      <c r="PON2487" s="60"/>
      <c r="POO2487" s="58"/>
      <c r="POP2487" s="61"/>
      <c r="POQ2487" s="58"/>
      <c r="POR2487" s="58"/>
      <c r="POS2487" s="58"/>
      <c r="POT2487" s="60"/>
      <c r="POU2487" s="60"/>
      <c r="POV2487" s="60"/>
      <c r="POW2487" s="58"/>
      <c r="POX2487" s="61"/>
      <c r="POY2487" s="58"/>
      <c r="POZ2487" s="58"/>
      <c r="PPA2487" s="58"/>
      <c r="PPB2487" s="60"/>
      <c r="PPC2487" s="60"/>
      <c r="PPD2487" s="60"/>
      <c r="PPE2487" s="58"/>
      <c r="PPF2487" s="61"/>
      <c r="PPG2487" s="58"/>
      <c r="PPH2487" s="58"/>
      <c r="PPI2487" s="58"/>
      <c r="PPJ2487" s="60"/>
      <c r="PPK2487" s="60"/>
      <c r="PPL2487" s="60"/>
      <c r="PPM2487" s="58"/>
      <c r="PPN2487" s="61"/>
      <c r="PPO2487" s="58"/>
      <c r="PPP2487" s="58"/>
      <c r="PPQ2487" s="58"/>
      <c r="PPR2487" s="60"/>
      <c r="PPS2487" s="60"/>
      <c r="PPT2487" s="60"/>
      <c r="PPU2487" s="58"/>
      <c r="PPV2487" s="61"/>
      <c r="PPW2487" s="58"/>
      <c r="PPX2487" s="58"/>
      <c r="PPY2487" s="58"/>
      <c r="PPZ2487" s="60"/>
      <c r="PQA2487" s="60"/>
      <c r="PQB2487" s="60"/>
      <c r="PQC2487" s="58"/>
      <c r="PQD2487" s="61"/>
      <c r="PQE2487" s="58"/>
      <c r="PQF2487" s="58"/>
      <c r="PQG2487" s="58"/>
      <c r="PQH2487" s="60"/>
      <c r="PQI2487" s="60"/>
      <c r="PQJ2487" s="60"/>
      <c r="PQK2487" s="58"/>
      <c r="PQL2487" s="61"/>
      <c r="PQM2487" s="58"/>
      <c r="PQN2487" s="58"/>
      <c r="PQO2487" s="58"/>
      <c r="PQP2487" s="60"/>
      <c r="PQQ2487" s="60"/>
      <c r="PQR2487" s="60"/>
      <c r="PQS2487" s="58"/>
      <c r="PQT2487" s="61"/>
      <c r="PQU2487" s="58"/>
      <c r="PQV2487" s="58"/>
      <c r="PQW2487" s="58"/>
      <c r="PQX2487" s="60"/>
      <c r="PQY2487" s="60"/>
      <c r="PQZ2487" s="60"/>
      <c r="PRA2487" s="58"/>
      <c r="PRB2487" s="61"/>
      <c r="PRC2487" s="58"/>
      <c r="PRD2487" s="58"/>
      <c r="PRE2487" s="58"/>
      <c r="PRF2487" s="60"/>
      <c r="PRG2487" s="60"/>
      <c r="PRH2487" s="60"/>
      <c r="PRI2487" s="58"/>
      <c r="PRJ2487" s="61"/>
      <c r="PRK2487" s="58"/>
      <c r="PRL2487" s="58"/>
      <c r="PRM2487" s="58"/>
      <c r="PRN2487" s="60"/>
      <c r="PRO2487" s="60"/>
      <c r="PRP2487" s="60"/>
      <c r="PRQ2487" s="58"/>
      <c r="PRR2487" s="61"/>
      <c r="PRS2487" s="58"/>
      <c r="PRT2487" s="58"/>
      <c r="PRU2487" s="58"/>
      <c r="PRV2487" s="60"/>
      <c r="PRW2487" s="60"/>
      <c r="PRX2487" s="60"/>
      <c r="PRY2487" s="58"/>
      <c r="PRZ2487" s="61"/>
      <c r="PSA2487" s="58"/>
      <c r="PSB2487" s="58"/>
      <c r="PSC2487" s="58"/>
      <c r="PSD2487" s="60"/>
      <c r="PSE2487" s="60"/>
      <c r="PSF2487" s="60"/>
      <c r="PSG2487" s="58"/>
      <c r="PSH2487" s="61"/>
      <c r="PSI2487" s="58"/>
      <c r="PSJ2487" s="58"/>
      <c r="PSK2487" s="58"/>
      <c r="PSL2487" s="60"/>
      <c r="PSM2487" s="60"/>
      <c r="PSN2487" s="60"/>
      <c r="PSO2487" s="58"/>
      <c r="PSP2487" s="61"/>
      <c r="PSQ2487" s="58"/>
      <c r="PSR2487" s="58"/>
      <c r="PSS2487" s="58"/>
      <c r="PST2487" s="60"/>
      <c r="PSU2487" s="60"/>
      <c r="PSV2487" s="60"/>
      <c r="PSW2487" s="58"/>
      <c r="PSX2487" s="61"/>
      <c r="PSY2487" s="58"/>
      <c r="PSZ2487" s="58"/>
      <c r="PTA2487" s="58"/>
      <c r="PTB2487" s="60"/>
      <c r="PTC2487" s="60"/>
      <c r="PTD2487" s="60"/>
      <c r="PTE2487" s="58"/>
      <c r="PTF2487" s="61"/>
      <c r="PTG2487" s="58"/>
      <c r="PTH2487" s="58"/>
      <c r="PTI2487" s="58"/>
      <c r="PTJ2487" s="60"/>
      <c r="PTK2487" s="60"/>
      <c r="PTL2487" s="60"/>
      <c r="PTM2487" s="58"/>
      <c r="PTN2487" s="61"/>
      <c r="PTO2487" s="58"/>
      <c r="PTP2487" s="58"/>
      <c r="PTQ2487" s="58"/>
      <c r="PTR2487" s="60"/>
      <c r="PTS2487" s="60"/>
      <c r="PTT2487" s="60"/>
      <c r="PTU2487" s="58"/>
      <c r="PTV2487" s="61"/>
      <c r="PTW2487" s="58"/>
      <c r="PTX2487" s="58"/>
      <c r="PTY2487" s="58"/>
      <c r="PTZ2487" s="60"/>
      <c r="PUA2487" s="60"/>
      <c r="PUB2487" s="60"/>
      <c r="PUC2487" s="58"/>
      <c r="PUD2487" s="61"/>
      <c r="PUE2487" s="58"/>
      <c r="PUF2487" s="58"/>
      <c r="PUG2487" s="58"/>
      <c r="PUH2487" s="60"/>
      <c r="PUI2487" s="60"/>
      <c r="PUJ2487" s="60"/>
      <c r="PUK2487" s="58"/>
      <c r="PUL2487" s="61"/>
      <c r="PUM2487" s="58"/>
      <c r="PUN2487" s="58"/>
      <c r="PUO2487" s="58"/>
      <c r="PUP2487" s="60"/>
      <c r="PUQ2487" s="60"/>
      <c r="PUR2487" s="60"/>
      <c r="PUS2487" s="58"/>
      <c r="PUT2487" s="61"/>
      <c r="PUU2487" s="58"/>
      <c r="PUV2487" s="58"/>
      <c r="PUW2487" s="58"/>
      <c r="PUX2487" s="60"/>
      <c r="PUY2487" s="60"/>
      <c r="PUZ2487" s="60"/>
      <c r="PVA2487" s="58"/>
      <c r="PVB2487" s="61"/>
      <c r="PVC2487" s="58"/>
      <c r="PVD2487" s="58"/>
      <c r="PVE2487" s="58"/>
      <c r="PVF2487" s="60"/>
      <c r="PVG2487" s="60"/>
      <c r="PVH2487" s="60"/>
      <c r="PVI2487" s="58"/>
      <c r="PVJ2487" s="61"/>
      <c r="PVK2487" s="58"/>
      <c r="PVL2487" s="58"/>
      <c r="PVM2487" s="58"/>
      <c r="PVN2487" s="60"/>
      <c r="PVO2487" s="60"/>
      <c r="PVP2487" s="60"/>
      <c r="PVQ2487" s="58"/>
      <c r="PVR2487" s="61"/>
      <c r="PVS2487" s="58"/>
      <c r="PVT2487" s="58"/>
      <c r="PVU2487" s="58"/>
      <c r="PVV2487" s="60"/>
      <c r="PVW2487" s="60"/>
      <c r="PVX2487" s="60"/>
      <c r="PVY2487" s="58"/>
      <c r="PVZ2487" s="61"/>
      <c r="PWA2487" s="58"/>
      <c r="PWB2487" s="58"/>
      <c r="PWC2487" s="58"/>
      <c r="PWD2487" s="60"/>
      <c r="PWE2487" s="60"/>
      <c r="PWF2487" s="60"/>
      <c r="PWG2487" s="58"/>
      <c r="PWH2487" s="61"/>
      <c r="PWI2487" s="58"/>
      <c r="PWJ2487" s="58"/>
      <c r="PWK2487" s="58"/>
      <c r="PWL2487" s="60"/>
      <c r="PWM2487" s="60"/>
      <c r="PWN2487" s="60"/>
      <c r="PWO2487" s="58"/>
      <c r="PWP2487" s="61"/>
      <c r="PWQ2487" s="58"/>
      <c r="PWR2487" s="58"/>
      <c r="PWS2487" s="58"/>
      <c r="PWT2487" s="60"/>
      <c r="PWU2487" s="60"/>
      <c r="PWV2487" s="60"/>
      <c r="PWW2487" s="58"/>
      <c r="PWX2487" s="61"/>
      <c r="PWY2487" s="58"/>
      <c r="PWZ2487" s="58"/>
      <c r="PXA2487" s="58"/>
      <c r="PXB2487" s="60"/>
      <c r="PXC2487" s="60"/>
      <c r="PXD2487" s="60"/>
      <c r="PXE2487" s="58"/>
      <c r="PXF2487" s="61"/>
      <c r="PXG2487" s="58"/>
      <c r="PXH2487" s="58"/>
      <c r="PXI2487" s="58"/>
      <c r="PXJ2487" s="60"/>
      <c r="PXK2487" s="60"/>
      <c r="PXL2487" s="60"/>
      <c r="PXM2487" s="58"/>
      <c r="PXN2487" s="61"/>
      <c r="PXO2487" s="58"/>
      <c r="PXP2487" s="58"/>
      <c r="PXQ2487" s="58"/>
      <c r="PXR2487" s="60"/>
      <c r="PXS2487" s="60"/>
      <c r="PXT2487" s="60"/>
      <c r="PXU2487" s="58"/>
      <c r="PXV2487" s="61"/>
      <c r="PXW2487" s="58"/>
      <c r="PXX2487" s="58"/>
      <c r="PXY2487" s="58"/>
      <c r="PXZ2487" s="60"/>
      <c r="PYA2487" s="60"/>
      <c r="PYB2487" s="60"/>
      <c r="PYC2487" s="58"/>
      <c r="PYD2487" s="61"/>
      <c r="PYE2487" s="58"/>
      <c r="PYF2487" s="58"/>
      <c r="PYG2487" s="58"/>
      <c r="PYH2487" s="60"/>
      <c r="PYI2487" s="60"/>
      <c r="PYJ2487" s="60"/>
      <c r="PYK2487" s="58"/>
      <c r="PYL2487" s="61"/>
      <c r="PYM2487" s="58"/>
      <c r="PYN2487" s="58"/>
      <c r="PYO2487" s="58"/>
      <c r="PYP2487" s="60"/>
      <c r="PYQ2487" s="60"/>
      <c r="PYR2487" s="60"/>
      <c r="PYS2487" s="58"/>
      <c r="PYT2487" s="61"/>
      <c r="PYU2487" s="58"/>
      <c r="PYV2487" s="58"/>
      <c r="PYW2487" s="58"/>
      <c r="PYX2487" s="60"/>
      <c r="PYY2487" s="60"/>
      <c r="PYZ2487" s="60"/>
      <c r="PZA2487" s="58"/>
      <c r="PZB2487" s="61"/>
      <c r="PZC2487" s="58"/>
      <c r="PZD2487" s="58"/>
      <c r="PZE2487" s="58"/>
      <c r="PZF2487" s="60"/>
      <c r="PZG2487" s="60"/>
      <c r="PZH2487" s="60"/>
      <c r="PZI2487" s="58"/>
      <c r="PZJ2487" s="61"/>
      <c r="PZK2487" s="58"/>
      <c r="PZL2487" s="58"/>
      <c r="PZM2487" s="58"/>
      <c r="PZN2487" s="60"/>
      <c r="PZO2487" s="60"/>
      <c r="PZP2487" s="60"/>
      <c r="PZQ2487" s="58"/>
      <c r="PZR2487" s="61"/>
      <c r="PZS2487" s="58"/>
      <c r="PZT2487" s="58"/>
      <c r="PZU2487" s="58"/>
      <c r="PZV2487" s="60"/>
      <c r="PZW2487" s="60"/>
      <c r="PZX2487" s="60"/>
      <c r="PZY2487" s="58"/>
      <c r="PZZ2487" s="61"/>
      <c r="QAA2487" s="58"/>
      <c r="QAB2487" s="58"/>
      <c r="QAC2487" s="58"/>
      <c r="QAD2487" s="60"/>
      <c r="QAE2487" s="60"/>
      <c r="QAF2487" s="60"/>
      <c r="QAG2487" s="58"/>
      <c r="QAH2487" s="61"/>
      <c r="QAI2487" s="58"/>
      <c r="QAJ2487" s="58"/>
      <c r="QAK2487" s="58"/>
      <c r="QAL2487" s="60"/>
      <c r="QAM2487" s="60"/>
      <c r="QAN2487" s="60"/>
      <c r="QAO2487" s="58"/>
      <c r="QAP2487" s="61"/>
      <c r="QAQ2487" s="58"/>
      <c r="QAR2487" s="58"/>
      <c r="QAS2487" s="58"/>
      <c r="QAT2487" s="60"/>
      <c r="QAU2487" s="60"/>
      <c r="QAV2487" s="60"/>
      <c r="QAW2487" s="58"/>
      <c r="QAX2487" s="61"/>
      <c r="QAY2487" s="58"/>
      <c r="QAZ2487" s="58"/>
      <c r="QBA2487" s="58"/>
      <c r="QBB2487" s="60"/>
      <c r="QBC2487" s="60"/>
      <c r="QBD2487" s="60"/>
      <c r="QBE2487" s="58"/>
      <c r="QBF2487" s="61"/>
      <c r="QBG2487" s="58"/>
      <c r="QBH2487" s="58"/>
      <c r="QBI2487" s="58"/>
      <c r="QBJ2487" s="60"/>
      <c r="QBK2487" s="60"/>
      <c r="QBL2487" s="60"/>
      <c r="QBM2487" s="58"/>
      <c r="QBN2487" s="61"/>
      <c r="QBO2487" s="58"/>
      <c r="QBP2487" s="58"/>
      <c r="QBQ2487" s="58"/>
      <c r="QBR2487" s="60"/>
      <c r="QBS2487" s="60"/>
      <c r="QBT2487" s="60"/>
      <c r="QBU2487" s="58"/>
      <c r="QBV2487" s="61"/>
      <c r="QBW2487" s="58"/>
      <c r="QBX2487" s="58"/>
      <c r="QBY2487" s="58"/>
      <c r="QBZ2487" s="60"/>
      <c r="QCA2487" s="60"/>
      <c r="QCB2487" s="60"/>
      <c r="QCC2487" s="58"/>
      <c r="QCD2487" s="61"/>
      <c r="QCE2487" s="58"/>
      <c r="QCF2487" s="58"/>
      <c r="QCG2487" s="58"/>
      <c r="QCH2487" s="60"/>
      <c r="QCI2487" s="60"/>
      <c r="QCJ2487" s="60"/>
      <c r="QCK2487" s="58"/>
      <c r="QCL2487" s="61"/>
      <c r="QCM2487" s="58"/>
      <c r="QCN2487" s="58"/>
      <c r="QCO2487" s="58"/>
      <c r="QCP2487" s="60"/>
      <c r="QCQ2487" s="60"/>
      <c r="QCR2487" s="60"/>
      <c r="QCS2487" s="58"/>
      <c r="QCT2487" s="61"/>
      <c r="QCU2487" s="58"/>
      <c r="QCV2487" s="58"/>
      <c r="QCW2487" s="58"/>
      <c r="QCX2487" s="60"/>
      <c r="QCY2487" s="60"/>
      <c r="QCZ2487" s="60"/>
      <c r="QDA2487" s="58"/>
      <c r="QDB2487" s="61"/>
      <c r="QDC2487" s="58"/>
      <c r="QDD2487" s="58"/>
      <c r="QDE2487" s="58"/>
      <c r="QDF2487" s="60"/>
      <c r="QDG2487" s="60"/>
      <c r="QDH2487" s="60"/>
      <c r="QDI2487" s="58"/>
      <c r="QDJ2487" s="61"/>
      <c r="QDK2487" s="58"/>
      <c r="QDL2487" s="58"/>
      <c r="QDM2487" s="58"/>
      <c r="QDN2487" s="60"/>
      <c r="QDO2487" s="60"/>
      <c r="QDP2487" s="60"/>
      <c r="QDQ2487" s="58"/>
      <c r="QDR2487" s="61"/>
      <c r="QDS2487" s="58"/>
      <c r="QDT2487" s="58"/>
      <c r="QDU2487" s="58"/>
      <c r="QDV2487" s="60"/>
      <c r="QDW2487" s="60"/>
      <c r="QDX2487" s="60"/>
      <c r="QDY2487" s="58"/>
      <c r="QDZ2487" s="61"/>
      <c r="QEA2487" s="58"/>
      <c r="QEB2487" s="58"/>
      <c r="QEC2487" s="58"/>
      <c r="QED2487" s="60"/>
      <c r="QEE2487" s="60"/>
      <c r="QEF2487" s="60"/>
      <c r="QEG2487" s="58"/>
      <c r="QEH2487" s="61"/>
      <c r="QEI2487" s="58"/>
      <c r="QEJ2487" s="58"/>
      <c r="QEK2487" s="58"/>
      <c r="QEL2487" s="60"/>
      <c r="QEM2487" s="60"/>
      <c r="QEN2487" s="60"/>
      <c r="QEO2487" s="58"/>
      <c r="QEP2487" s="61"/>
      <c r="QEQ2487" s="58"/>
      <c r="QER2487" s="58"/>
      <c r="QES2487" s="58"/>
      <c r="QET2487" s="60"/>
      <c r="QEU2487" s="60"/>
      <c r="QEV2487" s="60"/>
      <c r="QEW2487" s="58"/>
      <c r="QEX2487" s="61"/>
      <c r="QEY2487" s="58"/>
      <c r="QEZ2487" s="58"/>
      <c r="QFA2487" s="58"/>
      <c r="QFB2487" s="60"/>
      <c r="QFC2487" s="60"/>
      <c r="QFD2487" s="60"/>
      <c r="QFE2487" s="58"/>
      <c r="QFF2487" s="61"/>
      <c r="QFG2487" s="58"/>
      <c r="QFH2487" s="58"/>
      <c r="QFI2487" s="58"/>
      <c r="QFJ2487" s="60"/>
      <c r="QFK2487" s="60"/>
      <c r="QFL2487" s="60"/>
      <c r="QFM2487" s="58"/>
      <c r="QFN2487" s="61"/>
      <c r="QFO2487" s="58"/>
      <c r="QFP2487" s="58"/>
      <c r="QFQ2487" s="58"/>
      <c r="QFR2487" s="60"/>
      <c r="QFS2487" s="60"/>
      <c r="QFT2487" s="60"/>
      <c r="QFU2487" s="58"/>
      <c r="QFV2487" s="61"/>
      <c r="QFW2487" s="58"/>
      <c r="QFX2487" s="58"/>
      <c r="QFY2487" s="58"/>
      <c r="QFZ2487" s="60"/>
      <c r="QGA2487" s="60"/>
      <c r="QGB2487" s="60"/>
      <c r="QGC2487" s="58"/>
      <c r="QGD2487" s="61"/>
      <c r="QGE2487" s="58"/>
      <c r="QGF2487" s="58"/>
      <c r="QGG2487" s="58"/>
      <c r="QGH2487" s="60"/>
      <c r="QGI2487" s="60"/>
      <c r="QGJ2487" s="60"/>
      <c r="QGK2487" s="58"/>
      <c r="QGL2487" s="61"/>
      <c r="QGM2487" s="58"/>
      <c r="QGN2487" s="58"/>
      <c r="QGO2487" s="58"/>
      <c r="QGP2487" s="60"/>
      <c r="QGQ2487" s="60"/>
      <c r="QGR2487" s="60"/>
      <c r="QGS2487" s="58"/>
      <c r="QGT2487" s="61"/>
      <c r="QGU2487" s="58"/>
      <c r="QGV2487" s="58"/>
      <c r="QGW2487" s="58"/>
      <c r="QGX2487" s="60"/>
      <c r="QGY2487" s="60"/>
      <c r="QGZ2487" s="60"/>
      <c r="QHA2487" s="58"/>
      <c r="QHB2487" s="61"/>
      <c r="QHC2487" s="58"/>
      <c r="QHD2487" s="58"/>
      <c r="QHE2487" s="58"/>
      <c r="QHF2487" s="60"/>
      <c r="QHG2487" s="60"/>
      <c r="QHH2487" s="60"/>
      <c r="QHI2487" s="58"/>
      <c r="QHJ2487" s="61"/>
      <c r="QHK2487" s="58"/>
      <c r="QHL2487" s="58"/>
      <c r="QHM2487" s="58"/>
      <c r="QHN2487" s="60"/>
      <c r="QHO2487" s="60"/>
      <c r="QHP2487" s="60"/>
      <c r="QHQ2487" s="58"/>
      <c r="QHR2487" s="61"/>
      <c r="QHS2487" s="58"/>
      <c r="QHT2487" s="58"/>
      <c r="QHU2487" s="58"/>
      <c r="QHV2487" s="60"/>
      <c r="QHW2487" s="60"/>
      <c r="QHX2487" s="60"/>
      <c r="QHY2487" s="58"/>
      <c r="QHZ2487" s="61"/>
      <c r="QIA2487" s="58"/>
      <c r="QIB2487" s="58"/>
      <c r="QIC2487" s="58"/>
      <c r="QID2487" s="60"/>
      <c r="QIE2487" s="60"/>
      <c r="QIF2487" s="60"/>
      <c r="QIG2487" s="58"/>
      <c r="QIH2487" s="61"/>
      <c r="QII2487" s="58"/>
      <c r="QIJ2487" s="58"/>
      <c r="QIK2487" s="58"/>
      <c r="QIL2487" s="60"/>
      <c r="QIM2487" s="60"/>
      <c r="QIN2487" s="60"/>
      <c r="QIO2487" s="58"/>
      <c r="QIP2487" s="61"/>
      <c r="QIQ2487" s="58"/>
      <c r="QIR2487" s="58"/>
      <c r="QIS2487" s="58"/>
      <c r="QIT2487" s="60"/>
      <c r="QIU2487" s="60"/>
      <c r="QIV2487" s="60"/>
      <c r="QIW2487" s="58"/>
      <c r="QIX2487" s="61"/>
      <c r="QIY2487" s="58"/>
      <c r="QIZ2487" s="58"/>
      <c r="QJA2487" s="58"/>
      <c r="QJB2487" s="60"/>
      <c r="QJC2487" s="60"/>
      <c r="QJD2487" s="60"/>
      <c r="QJE2487" s="58"/>
      <c r="QJF2487" s="61"/>
      <c r="QJG2487" s="58"/>
      <c r="QJH2487" s="58"/>
      <c r="QJI2487" s="58"/>
      <c r="QJJ2487" s="60"/>
      <c r="QJK2487" s="60"/>
      <c r="QJL2487" s="60"/>
      <c r="QJM2487" s="58"/>
      <c r="QJN2487" s="61"/>
      <c r="QJO2487" s="58"/>
      <c r="QJP2487" s="58"/>
      <c r="QJQ2487" s="58"/>
      <c r="QJR2487" s="60"/>
      <c r="QJS2487" s="60"/>
      <c r="QJT2487" s="60"/>
      <c r="QJU2487" s="58"/>
      <c r="QJV2487" s="61"/>
      <c r="QJW2487" s="58"/>
      <c r="QJX2487" s="58"/>
      <c r="QJY2487" s="58"/>
      <c r="QJZ2487" s="60"/>
      <c r="QKA2487" s="60"/>
      <c r="QKB2487" s="60"/>
      <c r="QKC2487" s="58"/>
      <c r="QKD2487" s="61"/>
      <c r="QKE2487" s="58"/>
      <c r="QKF2487" s="58"/>
      <c r="QKG2487" s="58"/>
      <c r="QKH2487" s="60"/>
      <c r="QKI2487" s="60"/>
      <c r="QKJ2487" s="60"/>
      <c r="QKK2487" s="58"/>
      <c r="QKL2487" s="61"/>
      <c r="QKM2487" s="58"/>
      <c r="QKN2487" s="58"/>
      <c r="QKO2487" s="58"/>
      <c r="QKP2487" s="60"/>
      <c r="QKQ2487" s="60"/>
      <c r="QKR2487" s="60"/>
      <c r="QKS2487" s="58"/>
      <c r="QKT2487" s="61"/>
      <c r="QKU2487" s="58"/>
      <c r="QKV2487" s="58"/>
      <c r="QKW2487" s="58"/>
      <c r="QKX2487" s="60"/>
      <c r="QKY2487" s="60"/>
      <c r="QKZ2487" s="60"/>
      <c r="QLA2487" s="58"/>
      <c r="QLB2487" s="61"/>
      <c r="QLC2487" s="58"/>
      <c r="QLD2487" s="58"/>
      <c r="QLE2487" s="58"/>
      <c r="QLF2487" s="60"/>
      <c r="QLG2487" s="60"/>
      <c r="QLH2487" s="60"/>
      <c r="QLI2487" s="58"/>
      <c r="QLJ2487" s="61"/>
      <c r="QLK2487" s="58"/>
      <c r="QLL2487" s="58"/>
      <c r="QLM2487" s="58"/>
      <c r="QLN2487" s="60"/>
      <c r="QLO2487" s="60"/>
      <c r="QLP2487" s="60"/>
      <c r="QLQ2487" s="58"/>
      <c r="QLR2487" s="61"/>
      <c r="QLS2487" s="58"/>
      <c r="QLT2487" s="58"/>
      <c r="QLU2487" s="58"/>
      <c r="QLV2487" s="60"/>
      <c r="QLW2487" s="60"/>
      <c r="QLX2487" s="60"/>
      <c r="QLY2487" s="58"/>
      <c r="QLZ2487" s="61"/>
      <c r="QMA2487" s="58"/>
      <c r="QMB2487" s="58"/>
      <c r="QMC2487" s="58"/>
      <c r="QMD2487" s="60"/>
      <c r="QME2487" s="60"/>
      <c r="QMF2487" s="60"/>
      <c r="QMG2487" s="58"/>
      <c r="QMH2487" s="61"/>
      <c r="QMI2487" s="58"/>
      <c r="QMJ2487" s="58"/>
      <c r="QMK2487" s="58"/>
      <c r="QML2487" s="60"/>
      <c r="QMM2487" s="60"/>
      <c r="QMN2487" s="60"/>
      <c r="QMO2487" s="58"/>
      <c r="QMP2487" s="61"/>
      <c r="QMQ2487" s="58"/>
      <c r="QMR2487" s="58"/>
      <c r="QMS2487" s="58"/>
      <c r="QMT2487" s="60"/>
      <c r="QMU2487" s="60"/>
      <c r="QMV2487" s="60"/>
      <c r="QMW2487" s="58"/>
      <c r="QMX2487" s="61"/>
      <c r="QMY2487" s="58"/>
      <c r="QMZ2487" s="58"/>
      <c r="QNA2487" s="58"/>
      <c r="QNB2487" s="60"/>
      <c r="QNC2487" s="60"/>
      <c r="QND2487" s="60"/>
      <c r="QNE2487" s="58"/>
      <c r="QNF2487" s="61"/>
      <c r="QNG2487" s="58"/>
      <c r="QNH2487" s="58"/>
      <c r="QNI2487" s="58"/>
      <c r="QNJ2487" s="60"/>
      <c r="QNK2487" s="60"/>
      <c r="QNL2487" s="60"/>
      <c r="QNM2487" s="58"/>
      <c r="QNN2487" s="61"/>
      <c r="QNO2487" s="58"/>
      <c r="QNP2487" s="58"/>
      <c r="QNQ2487" s="58"/>
      <c r="QNR2487" s="60"/>
      <c r="QNS2487" s="60"/>
      <c r="QNT2487" s="60"/>
      <c r="QNU2487" s="58"/>
      <c r="QNV2487" s="61"/>
      <c r="QNW2487" s="58"/>
      <c r="QNX2487" s="58"/>
      <c r="QNY2487" s="58"/>
      <c r="QNZ2487" s="60"/>
      <c r="QOA2487" s="60"/>
      <c r="QOB2487" s="60"/>
      <c r="QOC2487" s="58"/>
      <c r="QOD2487" s="61"/>
      <c r="QOE2487" s="58"/>
      <c r="QOF2487" s="58"/>
      <c r="QOG2487" s="58"/>
      <c r="QOH2487" s="60"/>
      <c r="QOI2487" s="60"/>
      <c r="QOJ2487" s="60"/>
      <c r="QOK2487" s="58"/>
      <c r="QOL2487" s="61"/>
      <c r="QOM2487" s="58"/>
      <c r="QON2487" s="58"/>
      <c r="QOO2487" s="58"/>
      <c r="QOP2487" s="60"/>
      <c r="QOQ2487" s="60"/>
      <c r="QOR2487" s="60"/>
      <c r="QOS2487" s="58"/>
      <c r="QOT2487" s="61"/>
      <c r="QOU2487" s="58"/>
      <c r="QOV2487" s="58"/>
      <c r="QOW2487" s="58"/>
      <c r="QOX2487" s="60"/>
      <c r="QOY2487" s="60"/>
      <c r="QOZ2487" s="60"/>
      <c r="QPA2487" s="58"/>
      <c r="QPB2487" s="61"/>
      <c r="QPC2487" s="58"/>
      <c r="QPD2487" s="58"/>
      <c r="QPE2487" s="58"/>
      <c r="QPF2487" s="60"/>
      <c r="QPG2487" s="60"/>
      <c r="QPH2487" s="60"/>
      <c r="QPI2487" s="58"/>
      <c r="QPJ2487" s="61"/>
      <c r="QPK2487" s="58"/>
      <c r="QPL2487" s="58"/>
      <c r="QPM2487" s="58"/>
      <c r="QPN2487" s="60"/>
      <c r="QPO2487" s="60"/>
      <c r="QPP2487" s="60"/>
      <c r="QPQ2487" s="58"/>
      <c r="QPR2487" s="61"/>
      <c r="QPS2487" s="58"/>
      <c r="QPT2487" s="58"/>
      <c r="QPU2487" s="58"/>
      <c r="QPV2487" s="60"/>
      <c r="QPW2487" s="60"/>
      <c r="QPX2487" s="60"/>
      <c r="QPY2487" s="58"/>
      <c r="QPZ2487" s="61"/>
      <c r="QQA2487" s="58"/>
      <c r="QQB2487" s="58"/>
      <c r="QQC2487" s="58"/>
      <c r="QQD2487" s="60"/>
      <c r="QQE2487" s="60"/>
      <c r="QQF2487" s="60"/>
      <c r="QQG2487" s="58"/>
      <c r="QQH2487" s="61"/>
      <c r="QQI2487" s="58"/>
      <c r="QQJ2487" s="58"/>
      <c r="QQK2487" s="58"/>
      <c r="QQL2487" s="60"/>
      <c r="QQM2487" s="60"/>
      <c r="QQN2487" s="60"/>
      <c r="QQO2487" s="58"/>
      <c r="QQP2487" s="61"/>
      <c r="QQQ2487" s="58"/>
      <c r="QQR2487" s="58"/>
      <c r="QQS2487" s="58"/>
      <c r="QQT2487" s="60"/>
      <c r="QQU2487" s="60"/>
      <c r="QQV2487" s="60"/>
      <c r="QQW2487" s="58"/>
      <c r="QQX2487" s="61"/>
      <c r="QQY2487" s="58"/>
      <c r="QQZ2487" s="58"/>
      <c r="QRA2487" s="58"/>
      <c r="QRB2487" s="60"/>
      <c r="QRC2487" s="60"/>
      <c r="QRD2487" s="60"/>
      <c r="QRE2487" s="58"/>
      <c r="QRF2487" s="61"/>
      <c r="QRG2487" s="58"/>
      <c r="QRH2487" s="58"/>
      <c r="QRI2487" s="58"/>
      <c r="QRJ2487" s="60"/>
      <c r="QRK2487" s="60"/>
      <c r="QRL2487" s="60"/>
      <c r="QRM2487" s="58"/>
      <c r="QRN2487" s="61"/>
      <c r="QRO2487" s="58"/>
      <c r="QRP2487" s="58"/>
      <c r="QRQ2487" s="58"/>
      <c r="QRR2487" s="60"/>
      <c r="QRS2487" s="60"/>
      <c r="QRT2487" s="60"/>
      <c r="QRU2487" s="58"/>
      <c r="QRV2487" s="61"/>
      <c r="QRW2487" s="58"/>
      <c r="QRX2487" s="58"/>
      <c r="QRY2487" s="58"/>
      <c r="QRZ2487" s="60"/>
      <c r="QSA2487" s="60"/>
      <c r="QSB2487" s="60"/>
      <c r="QSC2487" s="58"/>
      <c r="QSD2487" s="61"/>
      <c r="QSE2487" s="58"/>
      <c r="QSF2487" s="58"/>
      <c r="QSG2487" s="58"/>
      <c r="QSH2487" s="60"/>
      <c r="QSI2487" s="60"/>
      <c r="QSJ2487" s="60"/>
      <c r="QSK2487" s="58"/>
      <c r="QSL2487" s="61"/>
      <c r="QSM2487" s="58"/>
      <c r="QSN2487" s="58"/>
      <c r="QSO2487" s="58"/>
      <c r="QSP2487" s="60"/>
      <c r="QSQ2487" s="60"/>
      <c r="QSR2487" s="60"/>
      <c r="QSS2487" s="58"/>
      <c r="QST2487" s="61"/>
      <c r="QSU2487" s="58"/>
      <c r="QSV2487" s="58"/>
      <c r="QSW2487" s="58"/>
      <c r="QSX2487" s="60"/>
      <c r="QSY2487" s="60"/>
      <c r="QSZ2487" s="60"/>
      <c r="QTA2487" s="58"/>
      <c r="QTB2487" s="61"/>
      <c r="QTC2487" s="58"/>
      <c r="QTD2487" s="58"/>
      <c r="QTE2487" s="58"/>
      <c r="QTF2487" s="60"/>
      <c r="QTG2487" s="60"/>
      <c r="QTH2487" s="60"/>
      <c r="QTI2487" s="58"/>
      <c r="QTJ2487" s="61"/>
      <c r="QTK2487" s="58"/>
      <c r="QTL2487" s="58"/>
      <c r="QTM2487" s="58"/>
      <c r="QTN2487" s="60"/>
      <c r="QTO2487" s="60"/>
      <c r="QTP2487" s="60"/>
      <c r="QTQ2487" s="58"/>
      <c r="QTR2487" s="61"/>
      <c r="QTS2487" s="58"/>
      <c r="QTT2487" s="58"/>
      <c r="QTU2487" s="58"/>
      <c r="QTV2487" s="60"/>
      <c r="QTW2487" s="60"/>
      <c r="QTX2487" s="60"/>
      <c r="QTY2487" s="58"/>
      <c r="QTZ2487" s="61"/>
      <c r="QUA2487" s="58"/>
      <c r="QUB2487" s="58"/>
      <c r="QUC2487" s="58"/>
      <c r="QUD2487" s="60"/>
      <c r="QUE2487" s="60"/>
      <c r="QUF2487" s="60"/>
      <c r="QUG2487" s="58"/>
      <c r="QUH2487" s="61"/>
      <c r="QUI2487" s="58"/>
      <c r="QUJ2487" s="58"/>
      <c r="QUK2487" s="58"/>
      <c r="QUL2487" s="60"/>
      <c r="QUM2487" s="60"/>
      <c r="QUN2487" s="60"/>
      <c r="QUO2487" s="58"/>
      <c r="QUP2487" s="61"/>
      <c r="QUQ2487" s="58"/>
      <c r="QUR2487" s="58"/>
      <c r="QUS2487" s="58"/>
      <c r="QUT2487" s="60"/>
      <c r="QUU2487" s="60"/>
      <c r="QUV2487" s="60"/>
      <c r="QUW2487" s="58"/>
      <c r="QUX2487" s="61"/>
      <c r="QUY2487" s="58"/>
      <c r="QUZ2487" s="58"/>
      <c r="QVA2487" s="58"/>
      <c r="QVB2487" s="60"/>
      <c r="QVC2487" s="60"/>
      <c r="QVD2487" s="60"/>
      <c r="QVE2487" s="58"/>
      <c r="QVF2487" s="61"/>
      <c r="QVG2487" s="58"/>
      <c r="QVH2487" s="58"/>
      <c r="QVI2487" s="58"/>
      <c r="QVJ2487" s="60"/>
      <c r="QVK2487" s="60"/>
      <c r="QVL2487" s="60"/>
      <c r="QVM2487" s="58"/>
      <c r="QVN2487" s="61"/>
      <c r="QVO2487" s="58"/>
      <c r="QVP2487" s="58"/>
      <c r="QVQ2487" s="58"/>
      <c r="QVR2487" s="60"/>
      <c r="QVS2487" s="60"/>
      <c r="QVT2487" s="60"/>
      <c r="QVU2487" s="58"/>
      <c r="QVV2487" s="61"/>
      <c r="QVW2487" s="58"/>
      <c r="QVX2487" s="58"/>
      <c r="QVY2487" s="58"/>
      <c r="QVZ2487" s="60"/>
      <c r="QWA2487" s="60"/>
      <c r="QWB2487" s="60"/>
      <c r="QWC2487" s="58"/>
      <c r="QWD2487" s="61"/>
      <c r="QWE2487" s="58"/>
      <c r="QWF2487" s="58"/>
      <c r="QWG2487" s="58"/>
      <c r="QWH2487" s="60"/>
      <c r="QWI2487" s="60"/>
      <c r="QWJ2487" s="60"/>
      <c r="QWK2487" s="58"/>
      <c r="QWL2487" s="61"/>
      <c r="QWM2487" s="58"/>
      <c r="QWN2487" s="58"/>
      <c r="QWO2487" s="58"/>
      <c r="QWP2487" s="60"/>
      <c r="QWQ2487" s="60"/>
      <c r="QWR2487" s="60"/>
      <c r="QWS2487" s="58"/>
      <c r="QWT2487" s="61"/>
      <c r="QWU2487" s="58"/>
      <c r="QWV2487" s="58"/>
      <c r="QWW2487" s="58"/>
      <c r="QWX2487" s="60"/>
      <c r="QWY2487" s="60"/>
      <c r="QWZ2487" s="60"/>
      <c r="QXA2487" s="58"/>
      <c r="QXB2487" s="61"/>
      <c r="QXC2487" s="58"/>
      <c r="QXD2487" s="58"/>
      <c r="QXE2487" s="58"/>
      <c r="QXF2487" s="60"/>
      <c r="QXG2487" s="60"/>
      <c r="QXH2487" s="60"/>
      <c r="QXI2487" s="58"/>
      <c r="QXJ2487" s="61"/>
      <c r="QXK2487" s="58"/>
      <c r="QXL2487" s="58"/>
      <c r="QXM2487" s="58"/>
      <c r="QXN2487" s="60"/>
      <c r="QXO2487" s="60"/>
      <c r="QXP2487" s="60"/>
      <c r="QXQ2487" s="58"/>
      <c r="QXR2487" s="61"/>
      <c r="QXS2487" s="58"/>
      <c r="QXT2487" s="58"/>
      <c r="QXU2487" s="58"/>
      <c r="QXV2487" s="60"/>
      <c r="QXW2487" s="60"/>
      <c r="QXX2487" s="60"/>
      <c r="QXY2487" s="58"/>
      <c r="QXZ2487" s="61"/>
      <c r="QYA2487" s="58"/>
      <c r="QYB2487" s="58"/>
      <c r="QYC2487" s="58"/>
      <c r="QYD2487" s="60"/>
      <c r="QYE2487" s="60"/>
      <c r="QYF2487" s="60"/>
      <c r="QYG2487" s="58"/>
      <c r="QYH2487" s="61"/>
      <c r="QYI2487" s="58"/>
      <c r="QYJ2487" s="58"/>
      <c r="QYK2487" s="58"/>
      <c r="QYL2487" s="60"/>
      <c r="QYM2487" s="60"/>
      <c r="QYN2487" s="60"/>
      <c r="QYO2487" s="58"/>
      <c r="QYP2487" s="61"/>
      <c r="QYQ2487" s="58"/>
      <c r="QYR2487" s="58"/>
      <c r="QYS2487" s="58"/>
      <c r="QYT2487" s="60"/>
      <c r="QYU2487" s="60"/>
      <c r="QYV2487" s="60"/>
      <c r="QYW2487" s="58"/>
      <c r="QYX2487" s="61"/>
      <c r="QYY2487" s="58"/>
      <c r="QYZ2487" s="58"/>
      <c r="QZA2487" s="58"/>
      <c r="QZB2487" s="60"/>
      <c r="QZC2487" s="60"/>
      <c r="QZD2487" s="60"/>
      <c r="QZE2487" s="58"/>
      <c r="QZF2487" s="61"/>
      <c r="QZG2487" s="58"/>
      <c r="QZH2487" s="58"/>
      <c r="QZI2487" s="58"/>
      <c r="QZJ2487" s="60"/>
      <c r="QZK2487" s="60"/>
      <c r="QZL2487" s="60"/>
      <c r="QZM2487" s="58"/>
      <c r="QZN2487" s="61"/>
      <c r="QZO2487" s="58"/>
      <c r="QZP2487" s="58"/>
      <c r="QZQ2487" s="58"/>
      <c r="QZR2487" s="60"/>
      <c r="QZS2487" s="60"/>
      <c r="QZT2487" s="60"/>
      <c r="QZU2487" s="58"/>
      <c r="QZV2487" s="61"/>
      <c r="QZW2487" s="58"/>
      <c r="QZX2487" s="58"/>
      <c r="QZY2487" s="58"/>
      <c r="QZZ2487" s="60"/>
      <c r="RAA2487" s="60"/>
      <c r="RAB2487" s="60"/>
      <c r="RAC2487" s="58"/>
      <c r="RAD2487" s="61"/>
      <c r="RAE2487" s="58"/>
      <c r="RAF2487" s="58"/>
      <c r="RAG2487" s="58"/>
      <c r="RAH2487" s="60"/>
      <c r="RAI2487" s="60"/>
      <c r="RAJ2487" s="60"/>
      <c r="RAK2487" s="58"/>
      <c r="RAL2487" s="61"/>
      <c r="RAM2487" s="58"/>
      <c r="RAN2487" s="58"/>
      <c r="RAO2487" s="58"/>
      <c r="RAP2487" s="60"/>
      <c r="RAQ2487" s="60"/>
      <c r="RAR2487" s="60"/>
      <c r="RAS2487" s="58"/>
      <c r="RAT2487" s="61"/>
      <c r="RAU2487" s="58"/>
      <c r="RAV2487" s="58"/>
      <c r="RAW2487" s="58"/>
      <c r="RAX2487" s="60"/>
      <c r="RAY2487" s="60"/>
      <c r="RAZ2487" s="60"/>
      <c r="RBA2487" s="58"/>
      <c r="RBB2487" s="61"/>
      <c r="RBC2487" s="58"/>
      <c r="RBD2487" s="58"/>
      <c r="RBE2487" s="58"/>
      <c r="RBF2487" s="60"/>
      <c r="RBG2487" s="60"/>
      <c r="RBH2487" s="60"/>
      <c r="RBI2487" s="58"/>
      <c r="RBJ2487" s="61"/>
      <c r="RBK2487" s="58"/>
      <c r="RBL2487" s="58"/>
      <c r="RBM2487" s="58"/>
      <c r="RBN2487" s="60"/>
      <c r="RBO2487" s="60"/>
      <c r="RBP2487" s="60"/>
      <c r="RBQ2487" s="58"/>
      <c r="RBR2487" s="61"/>
      <c r="RBS2487" s="58"/>
      <c r="RBT2487" s="58"/>
      <c r="RBU2487" s="58"/>
      <c r="RBV2487" s="60"/>
      <c r="RBW2487" s="60"/>
      <c r="RBX2487" s="60"/>
      <c r="RBY2487" s="58"/>
      <c r="RBZ2487" s="61"/>
      <c r="RCA2487" s="58"/>
      <c r="RCB2487" s="58"/>
      <c r="RCC2487" s="58"/>
      <c r="RCD2487" s="60"/>
      <c r="RCE2487" s="60"/>
      <c r="RCF2487" s="60"/>
      <c r="RCG2487" s="58"/>
      <c r="RCH2487" s="61"/>
      <c r="RCI2487" s="58"/>
      <c r="RCJ2487" s="58"/>
      <c r="RCK2487" s="58"/>
      <c r="RCL2487" s="60"/>
      <c r="RCM2487" s="60"/>
      <c r="RCN2487" s="60"/>
      <c r="RCO2487" s="58"/>
      <c r="RCP2487" s="61"/>
      <c r="RCQ2487" s="58"/>
      <c r="RCR2487" s="58"/>
      <c r="RCS2487" s="58"/>
      <c r="RCT2487" s="60"/>
      <c r="RCU2487" s="60"/>
      <c r="RCV2487" s="60"/>
      <c r="RCW2487" s="58"/>
      <c r="RCX2487" s="61"/>
      <c r="RCY2487" s="58"/>
      <c r="RCZ2487" s="58"/>
      <c r="RDA2487" s="58"/>
      <c r="RDB2487" s="60"/>
      <c r="RDC2487" s="60"/>
      <c r="RDD2487" s="60"/>
      <c r="RDE2487" s="58"/>
      <c r="RDF2487" s="61"/>
      <c r="RDG2487" s="58"/>
      <c r="RDH2487" s="58"/>
      <c r="RDI2487" s="58"/>
      <c r="RDJ2487" s="60"/>
      <c r="RDK2487" s="60"/>
      <c r="RDL2487" s="60"/>
      <c r="RDM2487" s="58"/>
      <c r="RDN2487" s="61"/>
      <c r="RDO2487" s="58"/>
      <c r="RDP2487" s="58"/>
      <c r="RDQ2487" s="58"/>
      <c r="RDR2487" s="60"/>
      <c r="RDS2487" s="60"/>
      <c r="RDT2487" s="60"/>
      <c r="RDU2487" s="58"/>
      <c r="RDV2487" s="61"/>
      <c r="RDW2487" s="58"/>
      <c r="RDX2487" s="58"/>
      <c r="RDY2487" s="58"/>
      <c r="RDZ2487" s="60"/>
      <c r="REA2487" s="60"/>
      <c r="REB2487" s="60"/>
      <c r="REC2487" s="58"/>
      <c r="RED2487" s="61"/>
      <c r="REE2487" s="58"/>
      <c r="REF2487" s="58"/>
      <c r="REG2487" s="58"/>
      <c r="REH2487" s="60"/>
      <c r="REI2487" s="60"/>
      <c r="REJ2487" s="60"/>
      <c r="REK2487" s="58"/>
      <c r="REL2487" s="61"/>
      <c r="REM2487" s="58"/>
      <c r="REN2487" s="58"/>
      <c r="REO2487" s="58"/>
      <c r="REP2487" s="60"/>
      <c r="REQ2487" s="60"/>
      <c r="RER2487" s="60"/>
      <c r="RES2487" s="58"/>
      <c r="RET2487" s="61"/>
      <c r="REU2487" s="58"/>
      <c r="REV2487" s="58"/>
      <c r="REW2487" s="58"/>
      <c r="REX2487" s="60"/>
      <c r="REY2487" s="60"/>
      <c r="REZ2487" s="60"/>
      <c r="RFA2487" s="58"/>
      <c r="RFB2487" s="61"/>
      <c r="RFC2487" s="58"/>
      <c r="RFD2487" s="58"/>
      <c r="RFE2487" s="58"/>
      <c r="RFF2487" s="60"/>
      <c r="RFG2487" s="60"/>
      <c r="RFH2487" s="60"/>
      <c r="RFI2487" s="58"/>
      <c r="RFJ2487" s="61"/>
      <c r="RFK2487" s="58"/>
      <c r="RFL2487" s="58"/>
      <c r="RFM2487" s="58"/>
      <c r="RFN2487" s="60"/>
      <c r="RFO2487" s="60"/>
      <c r="RFP2487" s="60"/>
      <c r="RFQ2487" s="58"/>
      <c r="RFR2487" s="61"/>
      <c r="RFS2487" s="58"/>
      <c r="RFT2487" s="58"/>
      <c r="RFU2487" s="58"/>
      <c r="RFV2487" s="60"/>
      <c r="RFW2487" s="60"/>
      <c r="RFX2487" s="60"/>
      <c r="RFY2487" s="58"/>
      <c r="RFZ2487" s="61"/>
      <c r="RGA2487" s="58"/>
      <c r="RGB2487" s="58"/>
      <c r="RGC2487" s="58"/>
      <c r="RGD2487" s="60"/>
      <c r="RGE2487" s="60"/>
      <c r="RGF2487" s="60"/>
      <c r="RGG2487" s="58"/>
      <c r="RGH2487" s="61"/>
      <c r="RGI2487" s="58"/>
      <c r="RGJ2487" s="58"/>
      <c r="RGK2487" s="58"/>
      <c r="RGL2487" s="60"/>
      <c r="RGM2487" s="60"/>
      <c r="RGN2487" s="60"/>
      <c r="RGO2487" s="58"/>
      <c r="RGP2487" s="61"/>
      <c r="RGQ2487" s="58"/>
      <c r="RGR2487" s="58"/>
      <c r="RGS2487" s="58"/>
      <c r="RGT2487" s="60"/>
      <c r="RGU2487" s="60"/>
      <c r="RGV2487" s="60"/>
      <c r="RGW2487" s="58"/>
      <c r="RGX2487" s="61"/>
      <c r="RGY2487" s="58"/>
      <c r="RGZ2487" s="58"/>
      <c r="RHA2487" s="58"/>
      <c r="RHB2487" s="60"/>
      <c r="RHC2487" s="60"/>
      <c r="RHD2487" s="60"/>
      <c r="RHE2487" s="58"/>
      <c r="RHF2487" s="61"/>
      <c r="RHG2487" s="58"/>
      <c r="RHH2487" s="58"/>
      <c r="RHI2487" s="58"/>
      <c r="RHJ2487" s="60"/>
      <c r="RHK2487" s="60"/>
      <c r="RHL2487" s="60"/>
      <c r="RHM2487" s="58"/>
      <c r="RHN2487" s="61"/>
      <c r="RHO2487" s="58"/>
      <c r="RHP2487" s="58"/>
      <c r="RHQ2487" s="58"/>
      <c r="RHR2487" s="60"/>
      <c r="RHS2487" s="60"/>
      <c r="RHT2487" s="60"/>
      <c r="RHU2487" s="58"/>
      <c r="RHV2487" s="61"/>
      <c r="RHW2487" s="58"/>
      <c r="RHX2487" s="58"/>
      <c r="RHY2487" s="58"/>
      <c r="RHZ2487" s="60"/>
      <c r="RIA2487" s="60"/>
      <c r="RIB2487" s="60"/>
      <c r="RIC2487" s="58"/>
      <c r="RID2487" s="61"/>
      <c r="RIE2487" s="58"/>
      <c r="RIF2487" s="58"/>
      <c r="RIG2487" s="58"/>
      <c r="RIH2487" s="60"/>
      <c r="RII2487" s="60"/>
      <c r="RIJ2487" s="60"/>
      <c r="RIK2487" s="58"/>
      <c r="RIL2487" s="61"/>
      <c r="RIM2487" s="58"/>
      <c r="RIN2487" s="58"/>
      <c r="RIO2487" s="58"/>
      <c r="RIP2487" s="60"/>
      <c r="RIQ2487" s="60"/>
      <c r="RIR2487" s="60"/>
      <c r="RIS2487" s="58"/>
      <c r="RIT2487" s="61"/>
      <c r="RIU2487" s="58"/>
      <c r="RIV2487" s="58"/>
      <c r="RIW2487" s="58"/>
      <c r="RIX2487" s="60"/>
      <c r="RIY2487" s="60"/>
      <c r="RIZ2487" s="60"/>
      <c r="RJA2487" s="58"/>
      <c r="RJB2487" s="61"/>
      <c r="RJC2487" s="58"/>
      <c r="RJD2487" s="58"/>
      <c r="RJE2487" s="58"/>
      <c r="RJF2487" s="60"/>
      <c r="RJG2487" s="60"/>
      <c r="RJH2487" s="60"/>
      <c r="RJI2487" s="58"/>
      <c r="RJJ2487" s="61"/>
      <c r="RJK2487" s="58"/>
      <c r="RJL2487" s="58"/>
      <c r="RJM2487" s="58"/>
      <c r="RJN2487" s="60"/>
      <c r="RJO2487" s="60"/>
      <c r="RJP2487" s="60"/>
      <c r="RJQ2487" s="58"/>
      <c r="RJR2487" s="61"/>
      <c r="RJS2487" s="58"/>
      <c r="RJT2487" s="58"/>
      <c r="RJU2487" s="58"/>
      <c r="RJV2487" s="60"/>
      <c r="RJW2487" s="60"/>
      <c r="RJX2487" s="60"/>
      <c r="RJY2487" s="58"/>
      <c r="RJZ2487" s="61"/>
      <c r="RKA2487" s="58"/>
      <c r="RKB2487" s="58"/>
      <c r="RKC2487" s="58"/>
      <c r="RKD2487" s="60"/>
      <c r="RKE2487" s="60"/>
      <c r="RKF2487" s="60"/>
      <c r="RKG2487" s="58"/>
      <c r="RKH2487" s="61"/>
      <c r="RKI2487" s="58"/>
      <c r="RKJ2487" s="58"/>
      <c r="RKK2487" s="58"/>
      <c r="RKL2487" s="60"/>
      <c r="RKM2487" s="60"/>
      <c r="RKN2487" s="60"/>
      <c r="RKO2487" s="58"/>
      <c r="RKP2487" s="61"/>
      <c r="RKQ2487" s="58"/>
      <c r="RKR2487" s="58"/>
      <c r="RKS2487" s="58"/>
      <c r="RKT2487" s="60"/>
      <c r="RKU2487" s="60"/>
      <c r="RKV2487" s="60"/>
      <c r="RKW2487" s="58"/>
      <c r="RKX2487" s="61"/>
      <c r="RKY2487" s="58"/>
      <c r="RKZ2487" s="58"/>
      <c r="RLA2487" s="58"/>
      <c r="RLB2487" s="60"/>
      <c r="RLC2487" s="60"/>
      <c r="RLD2487" s="60"/>
      <c r="RLE2487" s="58"/>
      <c r="RLF2487" s="61"/>
      <c r="RLG2487" s="58"/>
      <c r="RLH2487" s="58"/>
      <c r="RLI2487" s="58"/>
      <c r="RLJ2487" s="60"/>
      <c r="RLK2487" s="60"/>
      <c r="RLL2487" s="60"/>
      <c r="RLM2487" s="58"/>
      <c r="RLN2487" s="61"/>
      <c r="RLO2487" s="58"/>
      <c r="RLP2487" s="58"/>
      <c r="RLQ2487" s="58"/>
      <c r="RLR2487" s="60"/>
      <c r="RLS2487" s="60"/>
      <c r="RLT2487" s="60"/>
      <c r="RLU2487" s="58"/>
      <c r="RLV2487" s="61"/>
      <c r="RLW2487" s="58"/>
      <c r="RLX2487" s="58"/>
      <c r="RLY2487" s="58"/>
      <c r="RLZ2487" s="60"/>
      <c r="RMA2487" s="60"/>
      <c r="RMB2487" s="60"/>
      <c r="RMC2487" s="58"/>
      <c r="RMD2487" s="61"/>
      <c r="RME2487" s="58"/>
      <c r="RMF2487" s="58"/>
      <c r="RMG2487" s="58"/>
      <c r="RMH2487" s="60"/>
      <c r="RMI2487" s="60"/>
      <c r="RMJ2487" s="60"/>
      <c r="RMK2487" s="58"/>
      <c r="RML2487" s="61"/>
      <c r="RMM2487" s="58"/>
      <c r="RMN2487" s="58"/>
      <c r="RMO2487" s="58"/>
      <c r="RMP2487" s="60"/>
      <c r="RMQ2487" s="60"/>
      <c r="RMR2487" s="60"/>
      <c r="RMS2487" s="58"/>
      <c r="RMT2487" s="61"/>
      <c r="RMU2487" s="58"/>
      <c r="RMV2487" s="58"/>
      <c r="RMW2487" s="58"/>
      <c r="RMX2487" s="60"/>
      <c r="RMY2487" s="60"/>
      <c r="RMZ2487" s="60"/>
      <c r="RNA2487" s="58"/>
      <c r="RNB2487" s="61"/>
      <c r="RNC2487" s="58"/>
      <c r="RND2487" s="58"/>
      <c r="RNE2487" s="58"/>
      <c r="RNF2487" s="60"/>
      <c r="RNG2487" s="60"/>
      <c r="RNH2487" s="60"/>
      <c r="RNI2487" s="58"/>
      <c r="RNJ2487" s="61"/>
      <c r="RNK2487" s="58"/>
      <c r="RNL2487" s="58"/>
      <c r="RNM2487" s="58"/>
      <c r="RNN2487" s="60"/>
      <c r="RNO2487" s="60"/>
      <c r="RNP2487" s="60"/>
      <c r="RNQ2487" s="58"/>
      <c r="RNR2487" s="61"/>
      <c r="RNS2487" s="58"/>
      <c r="RNT2487" s="58"/>
      <c r="RNU2487" s="58"/>
      <c r="RNV2487" s="60"/>
      <c r="RNW2487" s="60"/>
      <c r="RNX2487" s="60"/>
      <c r="RNY2487" s="58"/>
      <c r="RNZ2487" s="61"/>
      <c r="ROA2487" s="58"/>
      <c r="ROB2487" s="58"/>
      <c r="ROC2487" s="58"/>
      <c r="ROD2487" s="60"/>
      <c r="ROE2487" s="60"/>
      <c r="ROF2487" s="60"/>
      <c r="ROG2487" s="58"/>
      <c r="ROH2487" s="61"/>
      <c r="ROI2487" s="58"/>
      <c r="ROJ2487" s="58"/>
      <c r="ROK2487" s="58"/>
      <c r="ROL2487" s="60"/>
      <c r="ROM2487" s="60"/>
      <c r="RON2487" s="60"/>
      <c r="ROO2487" s="58"/>
      <c r="ROP2487" s="61"/>
      <c r="ROQ2487" s="58"/>
      <c r="ROR2487" s="58"/>
      <c r="ROS2487" s="58"/>
      <c r="ROT2487" s="60"/>
      <c r="ROU2487" s="60"/>
      <c r="ROV2487" s="60"/>
      <c r="ROW2487" s="58"/>
      <c r="ROX2487" s="61"/>
      <c r="ROY2487" s="58"/>
      <c r="ROZ2487" s="58"/>
      <c r="RPA2487" s="58"/>
      <c r="RPB2487" s="60"/>
      <c r="RPC2487" s="60"/>
      <c r="RPD2487" s="60"/>
      <c r="RPE2487" s="58"/>
      <c r="RPF2487" s="61"/>
      <c r="RPG2487" s="58"/>
      <c r="RPH2487" s="58"/>
      <c r="RPI2487" s="58"/>
      <c r="RPJ2487" s="60"/>
      <c r="RPK2487" s="60"/>
      <c r="RPL2487" s="60"/>
      <c r="RPM2487" s="58"/>
      <c r="RPN2487" s="61"/>
      <c r="RPO2487" s="58"/>
      <c r="RPP2487" s="58"/>
      <c r="RPQ2487" s="58"/>
      <c r="RPR2487" s="60"/>
      <c r="RPS2487" s="60"/>
      <c r="RPT2487" s="60"/>
      <c r="RPU2487" s="58"/>
      <c r="RPV2487" s="61"/>
      <c r="RPW2487" s="58"/>
      <c r="RPX2487" s="58"/>
      <c r="RPY2487" s="58"/>
      <c r="RPZ2487" s="60"/>
      <c r="RQA2487" s="60"/>
      <c r="RQB2487" s="60"/>
      <c r="RQC2487" s="58"/>
      <c r="RQD2487" s="61"/>
      <c r="RQE2487" s="58"/>
      <c r="RQF2487" s="58"/>
      <c r="RQG2487" s="58"/>
      <c r="RQH2487" s="60"/>
      <c r="RQI2487" s="60"/>
      <c r="RQJ2487" s="60"/>
      <c r="RQK2487" s="58"/>
      <c r="RQL2487" s="61"/>
      <c r="RQM2487" s="58"/>
      <c r="RQN2487" s="58"/>
      <c r="RQO2487" s="58"/>
      <c r="RQP2487" s="60"/>
      <c r="RQQ2487" s="60"/>
      <c r="RQR2487" s="60"/>
      <c r="RQS2487" s="58"/>
      <c r="RQT2487" s="61"/>
      <c r="RQU2487" s="58"/>
      <c r="RQV2487" s="58"/>
      <c r="RQW2487" s="58"/>
      <c r="RQX2487" s="60"/>
      <c r="RQY2487" s="60"/>
      <c r="RQZ2487" s="60"/>
      <c r="RRA2487" s="58"/>
      <c r="RRB2487" s="61"/>
      <c r="RRC2487" s="58"/>
      <c r="RRD2487" s="58"/>
      <c r="RRE2487" s="58"/>
      <c r="RRF2487" s="60"/>
      <c r="RRG2487" s="60"/>
      <c r="RRH2487" s="60"/>
      <c r="RRI2487" s="58"/>
      <c r="RRJ2487" s="61"/>
      <c r="RRK2487" s="58"/>
      <c r="RRL2487" s="58"/>
      <c r="RRM2487" s="58"/>
      <c r="RRN2487" s="60"/>
      <c r="RRO2487" s="60"/>
      <c r="RRP2487" s="60"/>
      <c r="RRQ2487" s="58"/>
      <c r="RRR2487" s="61"/>
      <c r="RRS2487" s="58"/>
      <c r="RRT2487" s="58"/>
      <c r="RRU2487" s="58"/>
      <c r="RRV2487" s="60"/>
      <c r="RRW2487" s="60"/>
      <c r="RRX2487" s="60"/>
      <c r="RRY2487" s="58"/>
      <c r="RRZ2487" s="61"/>
      <c r="RSA2487" s="58"/>
      <c r="RSB2487" s="58"/>
      <c r="RSC2487" s="58"/>
      <c r="RSD2487" s="60"/>
      <c r="RSE2487" s="60"/>
      <c r="RSF2487" s="60"/>
      <c r="RSG2487" s="58"/>
      <c r="RSH2487" s="61"/>
      <c r="RSI2487" s="58"/>
      <c r="RSJ2487" s="58"/>
      <c r="RSK2487" s="58"/>
      <c r="RSL2487" s="60"/>
      <c r="RSM2487" s="60"/>
      <c r="RSN2487" s="60"/>
      <c r="RSO2487" s="58"/>
      <c r="RSP2487" s="61"/>
      <c r="RSQ2487" s="58"/>
      <c r="RSR2487" s="58"/>
      <c r="RSS2487" s="58"/>
      <c r="RST2487" s="60"/>
      <c r="RSU2487" s="60"/>
      <c r="RSV2487" s="60"/>
      <c r="RSW2487" s="58"/>
      <c r="RSX2487" s="61"/>
      <c r="RSY2487" s="58"/>
      <c r="RSZ2487" s="58"/>
      <c r="RTA2487" s="58"/>
      <c r="RTB2487" s="60"/>
      <c r="RTC2487" s="60"/>
      <c r="RTD2487" s="60"/>
      <c r="RTE2487" s="58"/>
      <c r="RTF2487" s="61"/>
      <c r="RTG2487" s="58"/>
      <c r="RTH2487" s="58"/>
      <c r="RTI2487" s="58"/>
      <c r="RTJ2487" s="60"/>
      <c r="RTK2487" s="60"/>
      <c r="RTL2487" s="60"/>
      <c r="RTM2487" s="58"/>
      <c r="RTN2487" s="61"/>
      <c r="RTO2487" s="58"/>
      <c r="RTP2487" s="58"/>
      <c r="RTQ2487" s="58"/>
      <c r="RTR2487" s="60"/>
      <c r="RTS2487" s="60"/>
      <c r="RTT2487" s="60"/>
      <c r="RTU2487" s="58"/>
      <c r="RTV2487" s="61"/>
      <c r="RTW2487" s="58"/>
      <c r="RTX2487" s="58"/>
      <c r="RTY2487" s="58"/>
      <c r="RTZ2487" s="60"/>
      <c r="RUA2487" s="60"/>
      <c r="RUB2487" s="60"/>
      <c r="RUC2487" s="58"/>
      <c r="RUD2487" s="61"/>
      <c r="RUE2487" s="58"/>
      <c r="RUF2487" s="58"/>
      <c r="RUG2487" s="58"/>
      <c r="RUH2487" s="60"/>
      <c r="RUI2487" s="60"/>
      <c r="RUJ2487" s="60"/>
      <c r="RUK2487" s="58"/>
      <c r="RUL2487" s="61"/>
      <c r="RUM2487" s="58"/>
      <c r="RUN2487" s="58"/>
      <c r="RUO2487" s="58"/>
      <c r="RUP2487" s="60"/>
      <c r="RUQ2487" s="60"/>
      <c r="RUR2487" s="60"/>
      <c r="RUS2487" s="58"/>
      <c r="RUT2487" s="61"/>
      <c r="RUU2487" s="58"/>
      <c r="RUV2487" s="58"/>
      <c r="RUW2487" s="58"/>
      <c r="RUX2487" s="60"/>
      <c r="RUY2487" s="60"/>
      <c r="RUZ2487" s="60"/>
      <c r="RVA2487" s="58"/>
      <c r="RVB2487" s="61"/>
      <c r="RVC2487" s="58"/>
      <c r="RVD2487" s="58"/>
      <c r="RVE2487" s="58"/>
      <c r="RVF2487" s="60"/>
      <c r="RVG2487" s="60"/>
      <c r="RVH2487" s="60"/>
      <c r="RVI2487" s="58"/>
      <c r="RVJ2487" s="61"/>
      <c r="RVK2487" s="58"/>
      <c r="RVL2487" s="58"/>
      <c r="RVM2487" s="58"/>
      <c r="RVN2487" s="60"/>
      <c r="RVO2487" s="60"/>
      <c r="RVP2487" s="60"/>
      <c r="RVQ2487" s="58"/>
      <c r="RVR2487" s="61"/>
      <c r="RVS2487" s="58"/>
      <c r="RVT2487" s="58"/>
      <c r="RVU2487" s="58"/>
      <c r="RVV2487" s="60"/>
      <c r="RVW2487" s="60"/>
      <c r="RVX2487" s="60"/>
      <c r="RVY2487" s="58"/>
      <c r="RVZ2487" s="61"/>
      <c r="RWA2487" s="58"/>
      <c r="RWB2487" s="58"/>
      <c r="RWC2487" s="58"/>
      <c r="RWD2487" s="60"/>
      <c r="RWE2487" s="60"/>
      <c r="RWF2487" s="60"/>
      <c r="RWG2487" s="58"/>
      <c r="RWH2487" s="61"/>
      <c r="RWI2487" s="58"/>
      <c r="RWJ2487" s="58"/>
      <c r="RWK2487" s="58"/>
      <c r="RWL2487" s="60"/>
      <c r="RWM2487" s="60"/>
      <c r="RWN2487" s="60"/>
      <c r="RWO2487" s="58"/>
      <c r="RWP2487" s="61"/>
      <c r="RWQ2487" s="58"/>
      <c r="RWR2487" s="58"/>
      <c r="RWS2487" s="58"/>
      <c r="RWT2487" s="60"/>
      <c r="RWU2487" s="60"/>
      <c r="RWV2487" s="60"/>
      <c r="RWW2487" s="58"/>
      <c r="RWX2487" s="61"/>
      <c r="RWY2487" s="58"/>
      <c r="RWZ2487" s="58"/>
      <c r="RXA2487" s="58"/>
      <c r="RXB2487" s="60"/>
      <c r="RXC2487" s="60"/>
      <c r="RXD2487" s="60"/>
      <c r="RXE2487" s="58"/>
      <c r="RXF2487" s="61"/>
      <c r="RXG2487" s="58"/>
      <c r="RXH2487" s="58"/>
      <c r="RXI2487" s="58"/>
      <c r="RXJ2487" s="60"/>
      <c r="RXK2487" s="60"/>
      <c r="RXL2487" s="60"/>
      <c r="RXM2487" s="58"/>
      <c r="RXN2487" s="61"/>
      <c r="RXO2487" s="58"/>
      <c r="RXP2487" s="58"/>
      <c r="RXQ2487" s="58"/>
      <c r="RXR2487" s="60"/>
      <c r="RXS2487" s="60"/>
      <c r="RXT2487" s="60"/>
      <c r="RXU2487" s="58"/>
      <c r="RXV2487" s="61"/>
      <c r="RXW2487" s="58"/>
      <c r="RXX2487" s="58"/>
      <c r="RXY2487" s="58"/>
      <c r="RXZ2487" s="60"/>
      <c r="RYA2487" s="60"/>
      <c r="RYB2487" s="60"/>
      <c r="RYC2487" s="58"/>
      <c r="RYD2487" s="61"/>
      <c r="RYE2487" s="58"/>
      <c r="RYF2487" s="58"/>
      <c r="RYG2487" s="58"/>
      <c r="RYH2487" s="60"/>
      <c r="RYI2487" s="60"/>
      <c r="RYJ2487" s="60"/>
      <c r="RYK2487" s="58"/>
      <c r="RYL2487" s="61"/>
      <c r="RYM2487" s="58"/>
      <c r="RYN2487" s="58"/>
      <c r="RYO2487" s="58"/>
      <c r="RYP2487" s="60"/>
      <c r="RYQ2487" s="60"/>
      <c r="RYR2487" s="60"/>
      <c r="RYS2487" s="58"/>
      <c r="RYT2487" s="61"/>
      <c r="RYU2487" s="58"/>
      <c r="RYV2487" s="58"/>
      <c r="RYW2487" s="58"/>
      <c r="RYX2487" s="60"/>
      <c r="RYY2487" s="60"/>
      <c r="RYZ2487" s="60"/>
      <c r="RZA2487" s="58"/>
      <c r="RZB2487" s="61"/>
      <c r="RZC2487" s="58"/>
      <c r="RZD2487" s="58"/>
      <c r="RZE2487" s="58"/>
      <c r="RZF2487" s="60"/>
      <c r="RZG2487" s="60"/>
      <c r="RZH2487" s="60"/>
      <c r="RZI2487" s="58"/>
      <c r="RZJ2487" s="61"/>
      <c r="RZK2487" s="58"/>
      <c r="RZL2487" s="58"/>
      <c r="RZM2487" s="58"/>
      <c r="RZN2487" s="60"/>
      <c r="RZO2487" s="60"/>
      <c r="RZP2487" s="60"/>
      <c r="RZQ2487" s="58"/>
      <c r="RZR2487" s="61"/>
      <c r="RZS2487" s="58"/>
      <c r="RZT2487" s="58"/>
      <c r="RZU2487" s="58"/>
      <c r="RZV2487" s="60"/>
      <c r="RZW2487" s="60"/>
      <c r="RZX2487" s="60"/>
      <c r="RZY2487" s="58"/>
      <c r="RZZ2487" s="61"/>
      <c r="SAA2487" s="58"/>
      <c r="SAB2487" s="58"/>
      <c r="SAC2487" s="58"/>
      <c r="SAD2487" s="60"/>
      <c r="SAE2487" s="60"/>
      <c r="SAF2487" s="60"/>
      <c r="SAG2487" s="58"/>
      <c r="SAH2487" s="61"/>
      <c r="SAI2487" s="58"/>
      <c r="SAJ2487" s="58"/>
      <c r="SAK2487" s="58"/>
      <c r="SAL2487" s="60"/>
      <c r="SAM2487" s="60"/>
      <c r="SAN2487" s="60"/>
      <c r="SAO2487" s="58"/>
      <c r="SAP2487" s="61"/>
      <c r="SAQ2487" s="58"/>
      <c r="SAR2487" s="58"/>
      <c r="SAS2487" s="58"/>
      <c r="SAT2487" s="60"/>
      <c r="SAU2487" s="60"/>
      <c r="SAV2487" s="60"/>
      <c r="SAW2487" s="58"/>
      <c r="SAX2487" s="61"/>
      <c r="SAY2487" s="58"/>
      <c r="SAZ2487" s="58"/>
      <c r="SBA2487" s="58"/>
      <c r="SBB2487" s="60"/>
      <c r="SBC2487" s="60"/>
      <c r="SBD2487" s="60"/>
      <c r="SBE2487" s="58"/>
      <c r="SBF2487" s="61"/>
      <c r="SBG2487" s="58"/>
      <c r="SBH2487" s="58"/>
      <c r="SBI2487" s="58"/>
      <c r="SBJ2487" s="60"/>
      <c r="SBK2487" s="60"/>
      <c r="SBL2487" s="60"/>
      <c r="SBM2487" s="58"/>
      <c r="SBN2487" s="61"/>
      <c r="SBO2487" s="58"/>
      <c r="SBP2487" s="58"/>
      <c r="SBQ2487" s="58"/>
      <c r="SBR2487" s="60"/>
      <c r="SBS2487" s="60"/>
      <c r="SBT2487" s="60"/>
      <c r="SBU2487" s="58"/>
      <c r="SBV2487" s="61"/>
      <c r="SBW2487" s="58"/>
      <c r="SBX2487" s="58"/>
      <c r="SBY2487" s="58"/>
      <c r="SBZ2487" s="60"/>
      <c r="SCA2487" s="60"/>
      <c r="SCB2487" s="60"/>
      <c r="SCC2487" s="58"/>
      <c r="SCD2487" s="61"/>
      <c r="SCE2487" s="58"/>
      <c r="SCF2487" s="58"/>
      <c r="SCG2487" s="58"/>
      <c r="SCH2487" s="60"/>
      <c r="SCI2487" s="60"/>
      <c r="SCJ2487" s="60"/>
      <c r="SCK2487" s="58"/>
      <c r="SCL2487" s="61"/>
      <c r="SCM2487" s="58"/>
      <c r="SCN2487" s="58"/>
      <c r="SCO2487" s="58"/>
      <c r="SCP2487" s="60"/>
      <c r="SCQ2487" s="60"/>
      <c r="SCR2487" s="60"/>
      <c r="SCS2487" s="58"/>
      <c r="SCT2487" s="61"/>
      <c r="SCU2487" s="58"/>
      <c r="SCV2487" s="58"/>
      <c r="SCW2487" s="58"/>
      <c r="SCX2487" s="60"/>
      <c r="SCY2487" s="60"/>
      <c r="SCZ2487" s="60"/>
      <c r="SDA2487" s="58"/>
      <c r="SDB2487" s="61"/>
      <c r="SDC2487" s="58"/>
      <c r="SDD2487" s="58"/>
      <c r="SDE2487" s="58"/>
      <c r="SDF2487" s="60"/>
      <c r="SDG2487" s="60"/>
      <c r="SDH2487" s="60"/>
      <c r="SDI2487" s="58"/>
      <c r="SDJ2487" s="61"/>
      <c r="SDK2487" s="58"/>
      <c r="SDL2487" s="58"/>
      <c r="SDM2487" s="58"/>
      <c r="SDN2487" s="60"/>
      <c r="SDO2487" s="60"/>
      <c r="SDP2487" s="60"/>
      <c r="SDQ2487" s="58"/>
      <c r="SDR2487" s="61"/>
      <c r="SDS2487" s="58"/>
      <c r="SDT2487" s="58"/>
      <c r="SDU2487" s="58"/>
      <c r="SDV2487" s="60"/>
      <c r="SDW2487" s="60"/>
      <c r="SDX2487" s="60"/>
      <c r="SDY2487" s="58"/>
      <c r="SDZ2487" s="61"/>
      <c r="SEA2487" s="58"/>
      <c r="SEB2487" s="58"/>
      <c r="SEC2487" s="58"/>
      <c r="SED2487" s="60"/>
      <c r="SEE2487" s="60"/>
      <c r="SEF2487" s="60"/>
      <c r="SEG2487" s="58"/>
      <c r="SEH2487" s="61"/>
      <c r="SEI2487" s="58"/>
      <c r="SEJ2487" s="58"/>
      <c r="SEK2487" s="58"/>
      <c r="SEL2487" s="60"/>
      <c r="SEM2487" s="60"/>
      <c r="SEN2487" s="60"/>
      <c r="SEO2487" s="58"/>
      <c r="SEP2487" s="61"/>
      <c r="SEQ2487" s="58"/>
      <c r="SER2487" s="58"/>
      <c r="SES2487" s="58"/>
      <c r="SET2487" s="60"/>
      <c r="SEU2487" s="60"/>
      <c r="SEV2487" s="60"/>
      <c r="SEW2487" s="58"/>
      <c r="SEX2487" s="61"/>
      <c r="SEY2487" s="58"/>
      <c r="SEZ2487" s="58"/>
      <c r="SFA2487" s="58"/>
      <c r="SFB2487" s="60"/>
      <c r="SFC2487" s="60"/>
      <c r="SFD2487" s="60"/>
      <c r="SFE2487" s="58"/>
      <c r="SFF2487" s="61"/>
      <c r="SFG2487" s="58"/>
      <c r="SFH2487" s="58"/>
      <c r="SFI2487" s="58"/>
      <c r="SFJ2487" s="60"/>
      <c r="SFK2487" s="60"/>
      <c r="SFL2487" s="60"/>
      <c r="SFM2487" s="58"/>
      <c r="SFN2487" s="61"/>
      <c r="SFO2487" s="58"/>
      <c r="SFP2487" s="58"/>
      <c r="SFQ2487" s="58"/>
      <c r="SFR2487" s="60"/>
      <c r="SFS2487" s="60"/>
      <c r="SFT2487" s="60"/>
      <c r="SFU2487" s="58"/>
      <c r="SFV2487" s="61"/>
      <c r="SFW2487" s="58"/>
      <c r="SFX2487" s="58"/>
      <c r="SFY2487" s="58"/>
      <c r="SFZ2487" s="60"/>
      <c r="SGA2487" s="60"/>
      <c r="SGB2487" s="60"/>
      <c r="SGC2487" s="58"/>
      <c r="SGD2487" s="61"/>
      <c r="SGE2487" s="58"/>
      <c r="SGF2487" s="58"/>
      <c r="SGG2487" s="58"/>
      <c r="SGH2487" s="60"/>
      <c r="SGI2487" s="60"/>
      <c r="SGJ2487" s="60"/>
      <c r="SGK2487" s="58"/>
      <c r="SGL2487" s="61"/>
      <c r="SGM2487" s="58"/>
      <c r="SGN2487" s="58"/>
      <c r="SGO2487" s="58"/>
      <c r="SGP2487" s="60"/>
      <c r="SGQ2487" s="60"/>
      <c r="SGR2487" s="60"/>
      <c r="SGS2487" s="58"/>
      <c r="SGT2487" s="61"/>
      <c r="SGU2487" s="58"/>
      <c r="SGV2487" s="58"/>
      <c r="SGW2487" s="58"/>
      <c r="SGX2487" s="60"/>
      <c r="SGY2487" s="60"/>
      <c r="SGZ2487" s="60"/>
      <c r="SHA2487" s="58"/>
      <c r="SHB2487" s="61"/>
      <c r="SHC2487" s="58"/>
      <c r="SHD2487" s="58"/>
      <c r="SHE2487" s="58"/>
      <c r="SHF2487" s="60"/>
      <c r="SHG2487" s="60"/>
      <c r="SHH2487" s="60"/>
      <c r="SHI2487" s="58"/>
      <c r="SHJ2487" s="61"/>
      <c r="SHK2487" s="58"/>
      <c r="SHL2487" s="58"/>
      <c r="SHM2487" s="58"/>
      <c r="SHN2487" s="60"/>
      <c r="SHO2487" s="60"/>
      <c r="SHP2487" s="60"/>
      <c r="SHQ2487" s="58"/>
      <c r="SHR2487" s="61"/>
      <c r="SHS2487" s="58"/>
      <c r="SHT2487" s="58"/>
      <c r="SHU2487" s="58"/>
      <c r="SHV2487" s="60"/>
      <c r="SHW2487" s="60"/>
      <c r="SHX2487" s="60"/>
      <c r="SHY2487" s="58"/>
      <c r="SHZ2487" s="61"/>
      <c r="SIA2487" s="58"/>
      <c r="SIB2487" s="58"/>
      <c r="SIC2487" s="58"/>
      <c r="SID2487" s="60"/>
      <c r="SIE2487" s="60"/>
      <c r="SIF2487" s="60"/>
      <c r="SIG2487" s="58"/>
      <c r="SIH2487" s="61"/>
      <c r="SII2487" s="58"/>
      <c r="SIJ2487" s="58"/>
      <c r="SIK2487" s="58"/>
      <c r="SIL2487" s="60"/>
      <c r="SIM2487" s="60"/>
      <c r="SIN2487" s="60"/>
      <c r="SIO2487" s="58"/>
      <c r="SIP2487" s="61"/>
      <c r="SIQ2487" s="58"/>
      <c r="SIR2487" s="58"/>
      <c r="SIS2487" s="58"/>
      <c r="SIT2487" s="60"/>
      <c r="SIU2487" s="60"/>
      <c r="SIV2487" s="60"/>
      <c r="SIW2487" s="58"/>
      <c r="SIX2487" s="61"/>
      <c r="SIY2487" s="58"/>
      <c r="SIZ2487" s="58"/>
      <c r="SJA2487" s="58"/>
      <c r="SJB2487" s="60"/>
      <c r="SJC2487" s="60"/>
      <c r="SJD2487" s="60"/>
      <c r="SJE2487" s="58"/>
      <c r="SJF2487" s="61"/>
      <c r="SJG2487" s="58"/>
      <c r="SJH2487" s="58"/>
      <c r="SJI2487" s="58"/>
      <c r="SJJ2487" s="60"/>
      <c r="SJK2487" s="60"/>
      <c r="SJL2487" s="60"/>
      <c r="SJM2487" s="58"/>
      <c r="SJN2487" s="61"/>
      <c r="SJO2487" s="58"/>
      <c r="SJP2487" s="58"/>
      <c r="SJQ2487" s="58"/>
      <c r="SJR2487" s="60"/>
      <c r="SJS2487" s="60"/>
      <c r="SJT2487" s="60"/>
      <c r="SJU2487" s="58"/>
      <c r="SJV2487" s="61"/>
      <c r="SJW2487" s="58"/>
      <c r="SJX2487" s="58"/>
      <c r="SJY2487" s="58"/>
      <c r="SJZ2487" s="60"/>
      <c r="SKA2487" s="60"/>
      <c r="SKB2487" s="60"/>
      <c r="SKC2487" s="58"/>
      <c r="SKD2487" s="61"/>
      <c r="SKE2487" s="58"/>
      <c r="SKF2487" s="58"/>
      <c r="SKG2487" s="58"/>
      <c r="SKH2487" s="60"/>
      <c r="SKI2487" s="60"/>
      <c r="SKJ2487" s="60"/>
      <c r="SKK2487" s="58"/>
      <c r="SKL2487" s="61"/>
      <c r="SKM2487" s="58"/>
      <c r="SKN2487" s="58"/>
      <c r="SKO2487" s="58"/>
      <c r="SKP2487" s="60"/>
      <c r="SKQ2487" s="60"/>
      <c r="SKR2487" s="60"/>
      <c r="SKS2487" s="58"/>
      <c r="SKT2487" s="61"/>
      <c r="SKU2487" s="58"/>
      <c r="SKV2487" s="58"/>
      <c r="SKW2487" s="58"/>
      <c r="SKX2487" s="60"/>
      <c r="SKY2487" s="60"/>
      <c r="SKZ2487" s="60"/>
      <c r="SLA2487" s="58"/>
      <c r="SLB2487" s="61"/>
      <c r="SLC2487" s="58"/>
      <c r="SLD2487" s="58"/>
      <c r="SLE2487" s="58"/>
      <c r="SLF2487" s="60"/>
      <c r="SLG2487" s="60"/>
      <c r="SLH2487" s="60"/>
      <c r="SLI2487" s="58"/>
      <c r="SLJ2487" s="61"/>
      <c r="SLK2487" s="58"/>
      <c r="SLL2487" s="58"/>
      <c r="SLM2487" s="58"/>
      <c r="SLN2487" s="60"/>
      <c r="SLO2487" s="60"/>
      <c r="SLP2487" s="60"/>
      <c r="SLQ2487" s="58"/>
      <c r="SLR2487" s="61"/>
      <c r="SLS2487" s="58"/>
      <c r="SLT2487" s="58"/>
      <c r="SLU2487" s="58"/>
      <c r="SLV2487" s="60"/>
      <c r="SLW2487" s="60"/>
      <c r="SLX2487" s="60"/>
      <c r="SLY2487" s="58"/>
      <c r="SLZ2487" s="61"/>
      <c r="SMA2487" s="58"/>
      <c r="SMB2487" s="58"/>
      <c r="SMC2487" s="58"/>
      <c r="SMD2487" s="60"/>
      <c r="SME2487" s="60"/>
      <c r="SMF2487" s="60"/>
      <c r="SMG2487" s="58"/>
      <c r="SMH2487" s="61"/>
      <c r="SMI2487" s="58"/>
      <c r="SMJ2487" s="58"/>
      <c r="SMK2487" s="58"/>
      <c r="SML2487" s="60"/>
      <c r="SMM2487" s="60"/>
      <c r="SMN2487" s="60"/>
      <c r="SMO2487" s="58"/>
      <c r="SMP2487" s="61"/>
      <c r="SMQ2487" s="58"/>
      <c r="SMR2487" s="58"/>
      <c r="SMS2487" s="58"/>
      <c r="SMT2487" s="60"/>
      <c r="SMU2487" s="60"/>
      <c r="SMV2487" s="60"/>
      <c r="SMW2487" s="58"/>
      <c r="SMX2487" s="61"/>
      <c r="SMY2487" s="58"/>
      <c r="SMZ2487" s="58"/>
      <c r="SNA2487" s="58"/>
      <c r="SNB2487" s="60"/>
      <c r="SNC2487" s="60"/>
      <c r="SND2487" s="60"/>
      <c r="SNE2487" s="58"/>
      <c r="SNF2487" s="61"/>
      <c r="SNG2487" s="58"/>
      <c r="SNH2487" s="58"/>
      <c r="SNI2487" s="58"/>
      <c r="SNJ2487" s="60"/>
      <c r="SNK2487" s="60"/>
      <c r="SNL2487" s="60"/>
      <c r="SNM2487" s="58"/>
      <c r="SNN2487" s="61"/>
      <c r="SNO2487" s="58"/>
      <c r="SNP2487" s="58"/>
      <c r="SNQ2487" s="58"/>
      <c r="SNR2487" s="60"/>
      <c r="SNS2487" s="60"/>
      <c r="SNT2487" s="60"/>
      <c r="SNU2487" s="58"/>
      <c r="SNV2487" s="61"/>
      <c r="SNW2487" s="58"/>
      <c r="SNX2487" s="58"/>
      <c r="SNY2487" s="58"/>
      <c r="SNZ2487" s="60"/>
      <c r="SOA2487" s="60"/>
      <c r="SOB2487" s="60"/>
      <c r="SOC2487" s="58"/>
      <c r="SOD2487" s="61"/>
      <c r="SOE2487" s="58"/>
      <c r="SOF2487" s="58"/>
      <c r="SOG2487" s="58"/>
      <c r="SOH2487" s="60"/>
      <c r="SOI2487" s="60"/>
      <c r="SOJ2487" s="60"/>
      <c r="SOK2487" s="58"/>
      <c r="SOL2487" s="61"/>
      <c r="SOM2487" s="58"/>
      <c r="SON2487" s="58"/>
      <c r="SOO2487" s="58"/>
      <c r="SOP2487" s="60"/>
      <c r="SOQ2487" s="60"/>
      <c r="SOR2487" s="60"/>
      <c r="SOS2487" s="58"/>
      <c r="SOT2487" s="61"/>
      <c r="SOU2487" s="58"/>
      <c r="SOV2487" s="58"/>
      <c r="SOW2487" s="58"/>
      <c r="SOX2487" s="60"/>
      <c r="SOY2487" s="60"/>
      <c r="SOZ2487" s="60"/>
      <c r="SPA2487" s="58"/>
      <c r="SPB2487" s="61"/>
      <c r="SPC2487" s="58"/>
      <c r="SPD2487" s="58"/>
      <c r="SPE2487" s="58"/>
      <c r="SPF2487" s="60"/>
      <c r="SPG2487" s="60"/>
      <c r="SPH2487" s="60"/>
      <c r="SPI2487" s="58"/>
      <c r="SPJ2487" s="61"/>
      <c r="SPK2487" s="58"/>
      <c r="SPL2487" s="58"/>
      <c r="SPM2487" s="58"/>
      <c r="SPN2487" s="60"/>
      <c r="SPO2487" s="60"/>
      <c r="SPP2487" s="60"/>
      <c r="SPQ2487" s="58"/>
      <c r="SPR2487" s="61"/>
      <c r="SPS2487" s="58"/>
      <c r="SPT2487" s="58"/>
      <c r="SPU2487" s="58"/>
      <c r="SPV2487" s="60"/>
      <c r="SPW2487" s="60"/>
      <c r="SPX2487" s="60"/>
      <c r="SPY2487" s="58"/>
      <c r="SPZ2487" s="61"/>
      <c r="SQA2487" s="58"/>
      <c r="SQB2487" s="58"/>
      <c r="SQC2487" s="58"/>
      <c r="SQD2487" s="60"/>
      <c r="SQE2487" s="60"/>
      <c r="SQF2487" s="60"/>
      <c r="SQG2487" s="58"/>
      <c r="SQH2487" s="61"/>
      <c r="SQI2487" s="58"/>
      <c r="SQJ2487" s="58"/>
      <c r="SQK2487" s="58"/>
      <c r="SQL2487" s="60"/>
      <c r="SQM2487" s="60"/>
      <c r="SQN2487" s="60"/>
      <c r="SQO2487" s="58"/>
      <c r="SQP2487" s="61"/>
      <c r="SQQ2487" s="58"/>
      <c r="SQR2487" s="58"/>
      <c r="SQS2487" s="58"/>
      <c r="SQT2487" s="60"/>
      <c r="SQU2487" s="60"/>
      <c r="SQV2487" s="60"/>
      <c r="SQW2487" s="58"/>
      <c r="SQX2487" s="61"/>
      <c r="SQY2487" s="58"/>
      <c r="SQZ2487" s="58"/>
      <c r="SRA2487" s="58"/>
      <c r="SRB2487" s="60"/>
      <c r="SRC2487" s="60"/>
      <c r="SRD2487" s="60"/>
      <c r="SRE2487" s="58"/>
      <c r="SRF2487" s="61"/>
      <c r="SRG2487" s="58"/>
      <c r="SRH2487" s="58"/>
      <c r="SRI2487" s="58"/>
      <c r="SRJ2487" s="60"/>
      <c r="SRK2487" s="60"/>
      <c r="SRL2487" s="60"/>
      <c r="SRM2487" s="58"/>
      <c r="SRN2487" s="61"/>
      <c r="SRO2487" s="58"/>
      <c r="SRP2487" s="58"/>
      <c r="SRQ2487" s="58"/>
      <c r="SRR2487" s="60"/>
      <c r="SRS2487" s="60"/>
      <c r="SRT2487" s="60"/>
      <c r="SRU2487" s="58"/>
      <c r="SRV2487" s="61"/>
      <c r="SRW2487" s="58"/>
      <c r="SRX2487" s="58"/>
      <c r="SRY2487" s="58"/>
      <c r="SRZ2487" s="60"/>
      <c r="SSA2487" s="60"/>
      <c r="SSB2487" s="60"/>
      <c r="SSC2487" s="58"/>
      <c r="SSD2487" s="61"/>
      <c r="SSE2487" s="58"/>
      <c r="SSF2487" s="58"/>
      <c r="SSG2487" s="58"/>
      <c r="SSH2487" s="60"/>
      <c r="SSI2487" s="60"/>
      <c r="SSJ2487" s="60"/>
      <c r="SSK2487" s="58"/>
      <c r="SSL2487" s="61"/>
      <c r="SSM2487" s="58"/>
      <c r="SSN2487" s="58"/>
      <c r="SSO2487" s="58"/>
      <c r="SSP2487" s="60"/>
      <c r="SSQ2487" s="60"/>
      <c r="SSR2487" s="60"/>
      <c r="SSS2487" s="58"/>
      <c r="SST2487" s="61"/>
      <c r="SSU2487" s="58"/>
      <c r="SSV2487" s="58"/>
      <c r="SSW2487" s="58"/>
      <c r="SSX2487" s="60"/>
      <c r="SSY2487" s="60"/>
      <c r="SSZ2487" s="60"/>
      <c r="STA2487" s="58"/>
      <c r="STB2487" s="61"/>
      <c r="STC2487" s="58"/>
      <c r="STD2487" s="58"/>
      <c r="STE2487" s="58"/>
      <c r="STF2487" s="60"/>
      <c r="STG2487" s="60"/>
      <c r="STH2487" s="60"/>
      <c r="STI2487" s="58"/>
      <c r="STJ2487" s="61"/>
      <c r="STK2487" s="58"/>
      <c r="STL2487" s="58"/>
      <c r="STM2487" s="58"/>
      <c r="STN2487" s="60"/>
      <c r="STO2487" s="60"/>
      <c r="STP2487" s="60"/>
      <c r="STQ2487" s="58"/>
      <c r="STR2487" s="61"/>
      <c r="STS2487" s="58"/>
      <c r="STT2487" s="58"/>
      <c r="STU2487" s="58"/>
      <c r="STV2487" s="60"/>
      <c r="STW2487" s="60"/>
      <c r="STX2487" s="60"/>
      <c r="STY2487" s="58"/>
      <c r="STZ2487" s="61"/>
      <c r="SUA2487" s="58"/>
      <c r="SUB2487" s="58"/>
      <c r="SUC2487" s="58"/>
      <c r="SUD2487" s="60"/>
      <c r="SUE2487" s="60"/>
      <c r="SUF2487" s="60"/>
      <c r="SUG2487" s="58"/>
      <c r="SUH2487" s="61"/>
      <c r="SUI2487" s="58"/>
      <c r="SUJ2487" s="58"/>
      <c r="SUK2487" s="58"/>
      <c r="SUL2487" s="60"/>
      <c r="SUM2487" s="60"/>
      <c r="SUN2487" s="60"/>
      <c r="SUO2487" s="58"/>
      <c r="SUP2487" s="61"/>
      <c r="SUQ2487" s="58"/>
      <c r="SUR2487" s="58"/>
      <c r="SUS2487" s="58"/>
      <c r="SUT2487" s="60"/>
      <c r="SUU2487" s="60"/>
      <c r="SUV2487" s="60"/>
      <c r="SUW2487" s="58"/>
      <c r="SUX2487" s="61"/>
      <c r="SUY2487" s="58"/>
      <c r="SUZ2487" s="58"/>
      <c r="SVA2487" s="58"/>
      <c r="SVB2487" s="60"/>
      <c r="SVC2487" s="60"/>
      <c r="SVD2487" s="60"/>
      <c r="SVE2487" s="58"/>
      <c r="SVF2487" s="61"/>
      <c r="SVG2487" s="58"/>
      <c r="SVH2487" s="58"/>
      <c r="SVI2487" s="58"/>
      <c r="SVJ2487" s="60"/>
      <c r="SVK2487" s="60"/>
      <c r="SVL2487" s="60"/>
      <c r="SVM2487" s="58"/>
      <c r="SVN2487" s="61"/>
      <c r="SVO2487" s="58"/>
      <c r="SVP2487" s="58"/>
      <c r="SVQ2487" s="58"/>
      <c r="SVR2487" s="60"/>
      <c r="SVS2487" s="60"/>
      <c r="SVT2487" s="60"/>
      <c r="SVU2487" s="58"/>
      <c r="SVV2487" s="61"/>
      <c r="SVW2487" s="58"/>
      <c r="SVX2487" s="58"/>
      <c r="SVY2487" s="58"/>
      <c r="SVZ2487" s="60"/>
      <c r="SWA2487" s="60"/>
      <c r="SWB2487" s="60"/>
      <c r="SWC2487" s="58"/>
      <c r="SWD2487" s="61"/>
      <c r="SWE2487" s="58"/>
      <c r="SWF2487" s="58"/>
      <c r="SWG2487" s="58"/>
      <c r="SWH2487" s="60"/>
      <c r="SWI2487" s="60"/>
      <c r="SWJ2487" s="60"/>
      <c r="SWK2487" s="58"/>
      <c r="SWL2487" s="61"/>
      <c r="SWM2487" s="58"/>
      <c r="SWN2487" s="58"/>
      <c r="SWO2487" s="58"/>
      <c r="SWP2487" s="60"/>
      <c r="SWQ2487" s="60"/>
      <c r="SWR2487" s="60"/>
      <c r="SWS2487" s="58"/>
      <c r="SWT2487" s="61"/>
      <c r="SWU2487" s="58"/>
      <c r="SWV2487" s="58"/>
      <c r="SWW2487" s="58"/>
      <c r="SWX2487" s="60"/>
      <c r="SWY2487" s="60"/>
      <c r="SWZ2487" s="60"/>
      <c r="SXA2487" s="58"/>
      <c r="SXB2487" s="61"/>
      <c r="SXC2487" s="58"/>
      <c r="SXD2487" s="58"/>
      <c r="SXE2487" s="58"/>
      <c r="SXF2487" s="60"/>
      <c r="SXG2487" s="60"/>
      <c r="SXH2487" s="60"/>
      <c r="SXI2487" s="58"/>
      <c r="SXJ2487" s="61"/>
      <c r="SXK2487" s="58"/>
      <c r="SXL2487" s="58"/>
      <c r="SXM2487" s="58"/>
      <c r="SXN2487" s="60"/>
      <c r="SXO2487" s="60"/>
      <c r="SXP2487" s="60"/>
      <c r="SXQ2487" s="58"/>
      <c r="SXR2487" s="61"/>
      <c r="SXS2487" s="58"/>
      <c r="SXT2487" s="58"/>
      <c r="SXU2487" s="58"/>
      <c r="SXV2487" s="60"/>
      <c r="SXW2487" s="60"/>
      <c r="SXX2487" s="60"/>
      <c r="SXY2487" s="58"/>
      <c r="SXZ2487" s="61"/>
      <c r="SYA2487" s="58"/>
      <c r="SYB2487" s="58"/>
      <c r="SYC2487" s="58"/>
      <c r="SYD2487" s="60"/>
      <c r="SYE2487" s="60"/>
      <c r="SYF2487" s="60"/>
      <c r="SYG2487" s="58"/>
      <c r="SYH2487" s="61"/>
      <c r="SYI2487" s="58"/>
      <c r="SYJ2487" s="58"/>
      <c r="SYK2487" s="58"/>
      <c r="SYL2487" s="60"/>
      <c r="SYM2487" s="60"/>
      <c r="SYN2487" s="60"/>
      <c r="SYO2487" s="58"/>
      <c r="SYP2487" s="61"/>
      <c r="SYQ2487" s="58"/>
      <c r="SYR2487" s="58"/>
      <c r="SYS2487" s="58"/>
      <c r="SYT2487" s="60"/>
      <c r="SYU2487" s="60"/>
      <c r="SYV2487" s="60"/>
      <c r="SYW2487" s="58"/>
      <c r="SYX2487" s="61"/>
      <c r="SYY2487" s="58"/>
      <c r="SYZ2487" s="58"/>
      <c r="SZA2487" s="58"/>
      <c r="SZB2487" s="60"/>
      <c r="SZC2487" s="60"/>
      <c r="SZD2487" s="60"/>
      <c r="SZE2487" s="58"/>
      <c r="SZF2487" s="61"/>
      <c r="SZG2487" s="58"/>
      <c r="SZH2487" s="58"/>
      <c r="SZI2487" s="58"/>
      <c r="SZJ2487" s="60"/>
      <c r="SZK2487" s="60"/>
      <c r="SZL2487" s="60"/>
      <c r="SZM2487" s="58"/>
      <c r="SZN2487" s="61"/>
      <c r="SZO2487" s="58"/>
      <c r="SZP2487" s="58"/>
      <c r="SZQ2487" s="58"/>
      <c r="SZR2487" s="60"/>
      <c r="SZS2487" s="60"/>
      <c r="SZT2487" s="60"/>
      <c r="SZU2487" s="58"/>
      <c r="SZV2487" s="61"/>
      <c r="SZW2487" s="58"/>
      <c r="SZX2487" s="58"/>
      <c r="SZY2487" s="58"/>
      <c r="SZZ2487" s="60"/>
      <c r="TAA2487" s="60"/>
      <c r="TAB2487" s="60"/>
      <c r="TAC2487" s="58"/>
      <c r="TAD2487" s="61"/>
      <c r="TAE2487" s="58"/>
      <c r="TAF2487" s="58"/>
      <c r="TAG2487" s="58"/>
      <c r="TAH2487" s="60"/>
      <c r="TAI2487" s="60"/>
      <c r="TAJ2487" s="60"/>
      <c r="TAK2487" s="58"/>
      <c r="TAL2487" s="61"/>
      <c r="TAM2487" s="58"/>
      <c r="TAN2487" s="58"/>
      <c r="TAO2487" s="58"/>
      <c r="TAP2487" s="60"/>
      <c r="TAQ2487" s="60"/>
      <c r="TAR2487" s="60"/>
      <c r="TAS2487" s="58"/>
      <c r="TAT2487" s="61"/>
      <c r="TAU2487" s="58"/>
      <c r="TAV2487" s="58"/>
      <c r="TAW2487" s="58"/>
      <c r="TAX2487" s="60"/>
      <c r="TAY2487" s="60"/>
      <c r="TAZ2487" s="60"/>
      <c r="TBA2487" s="58"/>
      <c r="TBB2487" s="61"/>
      <c r="TBC2487" s="58"/>
      <c r="TBD2487" s="58"/>
      <c r="TBE2487" s="58"/>
      <c r="TBF2487" s="60"/>
      <c r="TBG2487" s="60"/>
      <c r="TBH2487" s="60"/>
      <c r="TBI2487" s="58"/>
      <c r="TBJ2487" s="61"/>
      <c r="TBK2487" s="58"/>
      <c r="TBL2487" s="58"/>
      <c r="TBM2487" s="58"/>
      <c r="TBN2487" s="60"/>
      <c r="TBO2487" s="60"/>
      <c r="TBP2487" s="60"/>
      <c r="TBQ2487" s="58"/>
      <c r="TBR2487" s="61"/>
      <c r="TBS2487" s="58"/>
      <c r="TBT2487" s="58"/>
      <c r="TBU2487" s="58"/>
      <c r="TBV2487" s="60"/>
      <c r="TBW2487" s="60"/>
      <c r="TBX2487" s="60"/>
      <c r="TBY2487" s="58"/>
      <c r="TBZ2487" s="61"/>
      <c r="TCA2487" s="58"/>
      <c r="TCB2487" s="58"/>
      <c r="TCC2487" s="58"/>
      <c r="TCD2487" s="60"/>
      <c r="TCE2487" s="60"/>
      <c r="TCF2487" s="60"/>
      <c r="TCG2487" s="58"/>
      <c r="TCH2487" s="61"/>
      <c r="TCI2487" s="58"/>
      <c r="TCJ2487" s="58"/>
      <c r="TCK2487" s="58"/>
      <c r="TCL2487" s="60"/>
      <c r="TCM2487" s="60"/>
      <c r="TCN2487" s="60"/>
      <c r="TCO2487" s="58"/>
      <c r="TCP2487" s="61"/>
      <c r="TCQ2487" s="58"/>
      <c r="TCR2487" s="58"/>
      <c r="TCS2487" s="58"/>
      <c r="TCT2487" s="60"/>
      <c r="TCU2487" s="60"/>
      <c r="TCV2487" s="60"/>
      <c r="TCW2487" s="58"/>
      <c r="TCX2487" s="61"/>
      <c r="TCY2487" s="58"/>
      <c r="TCZ2487" s="58"/>
      <c r="TDA2487" s="58"/>
      <c r="TDB2487" s="60"/>
      <c r="TDC2487" s="60"/>
      <c r="TDD2487" s="60"/>
      <c r="TDE2487" s="58"/>
      <c r="TDF2487" s="61"/>
      <c r="TDG2487" s="58"/>
      <c r="TDH2487" s="58"/>
      <c r="TDI2487" s="58"/>
      <c r="TDJ2487" s="60"/>
      <c r="TDK2487" s="60"/>
      <c r="TDL2487" s="60"/>
      <c r="TDM2487" s="58"/>
      <c r="TDN2487" s="61"/>
      <c r="TDO2487" s="58"/>
      <c r="TDP2487" s="58"/>
      <c r="TDQ2487" s="58"/>
      <c r="TDR2487" s="60"/>
      <c r="TDS2487" s="60"/>
      <c r="TDT2487" s="60"/>
      <c r="TDU2487" s="58"/>
      <c r="TDV2487" s="61"/>
      <c r="TDW2487" s="58"/>
      <c r="TDX2487" s="58"/>
      <c r="TDY2487" s="58"/>
      <c r="TDZ2487" s="60"/>
      <c r="TEA2487" s="60"/>
      <c r="TEB2487" s="60"/>
      <c r="TEC2487" s="58"/>
      <c r="TED2487" s="61"/>
      <c r="TEE2487" s="58"/>
      <c r="TEF2487" s="58"/>
      <c r="TEG2487" s="58"/>
      <c r="TEH2487" s="60"/>
      <c r="TEI2487" s="60"/>
      <c r="TEJ2487" s="60"/>
      <c r="TEK2487" s="58"/>
      <c r="TEL2487" s="61"/>
      <c r="TEM2487" s="58"/>
      <c r="TEN2487" s="58"/>
      <c r="TEO2487" s="58"/>
      <c r="TEP2487" s="60"/>
      <c r="TEQ2487" s="60"/>
      <c r="TER2487" s="60"/>
      <c r="TES2487" s="58"/>
      <c r="TET2487" s="61"/>
      <c r="TEU2487" s="58"/>
      <c r="TEV2487" s="58"/>
      <c r="TEW2487" s="58"/>
      <c r="TEX2487" s="60"/>
      <c r="TEY2487" s="60"/>
      <c r="TEZ2487" s="60"/>
      <c r="TFA2487" s="58"/>
      <c r="TFB2487" s="61"/>
      <c r="TFC2487" s="58"/>
      <c r="TFD2487" s="58"/>
      <c r="TFE2487" s="58"/>
      <c r="TFF2487" s="60"/>
      <c r="TFG2487" s="60"/>
      <c r="TFH2487" s="60"/>
      <c r="TFI2487" s="58"/>
      <c r="TFJ2487" s="61"/>
      <c r="TFK2487" s="58"/>
      <c r="TFL2487" s="58"/>
      <c r="TFM2487" s="58"/>
      <c r="TFN2487" s="60"/>
      <c r="TFO2487" s="60"/>
      <c r="TFP2487" s="60"/>
      <c r="TFQ2487" s="58"/>
      <c r="TFR2487" s="61"/>
      <c r="TFS2487" s="58"/>
      <c r="TFT2487" s="58"/>
      <c r="TFU2487" s="58"/>
      <c r="TFV2487" s="60"/>
      <c r="TFW2487" s="60"/>
      <c r="TFX2487" s="60"/>
      <c r="TFY2487" s="58"/>
      <c r="TFZ2487" s="61"/>
      <c r="TGA2487" s="58"/>
      <c r="TGB2487" s="58"/>
      <c r="TGC2487" s="58"/>
      <c r="TGD2487" s="60"/>
      <c r="TGE2487" s="60"/>
      <c r="TGF2487" s="60"/>
      <c r="TGG2487" s="58"/>
      <c r="TGH2487" s="61"/>
      <c r="TGI2487" s="58"/>
      <c r="TGJ2487" s="58"/>
      <c r="TGK2487" s="58"/>
      <c r="TGL2487" s="60"/>
      <c r="TGM2487" s="60"/>
      <c r="TGN2487" s="60"/>
      <c r="TGO2487" s="58"/>
      <c r="TGP2487" s="61"/>
      <c r="TGQ2487" s="58"/>
      <c r="TGR2487" s="58"/>
      <c r="TGS2487" s="58"/>
      <c r="TGT2487" s="60"/>
      <c r="TGU2487" s="60"/>
      <c r="TGV2487" s="60"/>
      <c r="TGW2487" s="58"/>
      <c r="TGX2487" s="61"/>
      <c r="TGY2487" s="58"/>
      <c r="TGZ2487" s="58"/>
      <c r="THA2487" s="58"/>
      <c r="THB2487" s="60"/>
      <c r="THC2487" s="60"/>
      <c r="THD2487" s="60"/>
      <c r="THE2487" s="58"/>
      <c r="THF2487" s="61"/>
      <c r="THG2487" s="58"/>
      <c r="THH2487" s="58"/>
      <c r="THI2487" s="58"/>
      <c r="THJ2487" s="60"/>
      <c r="THK2487" s="60"/>
      <c r="THL2487" s="60"/>
      <c r="THM2487" s="58"/>
      <c r="THN2487" s="61"/>
      <c r="THO2487" s="58"/>
      <c r="THP2487" s="58"/>
      <c r="THQ2487" s="58"/>
      <c r="THR2487" s="60"/>
      <c r="THS2487" s="60"/>
      <c r="THT2487" s="60"/>
      <c r="THU2487" s="58"/>
      <c r="THV2487" s="61"/>
      <c r="THW2487" s="58"/>
      <c r="THX2487" s="58"/>
      <c r="THY2487" s="58"/>
      <c r="THZ2487" s="60"/>
      <c r="TIA2487" s="60"/>
      <c r="TIB2487" s="60"/>
      <c r="TIC2487" s="58"/>
      <c r="TID2487" s="61"/>
      <c r="TIE2487" s="58"/>
      <c r="TIF2487" s="58"/>
      <c r="TIG2487" s="58"/>
      <c r="TIH2487" s="60"/>
      <c r="TII2487" s="60"/>
      <c r="TIJ2487" s="60"/>
      <c r="TIK2487" s="58"/>
      <c r="TIL2487" s="61"/>
      <c r="TIM2487" s="58"/>
      <c r="TIN2487" s="58"/>
      <c r="TIO2487" s="58"/>
      <c r="TIP2487" s="60"/>
      <c r="TIQ2487" s="60"/>
      <c r="TIR2487" s="60"/>
      <c r="TIS2487" s="58"/>
      <c r="TIT2487" s="61"/>
      <c r="TIU2487" s="58"/>
      <c r="TIV2487" s="58"/>
      <c r="TIW2487" s="58"/>
      <c r="TIX2487" s="60"/>
      <c r="TIY2487" s="60"/>
      <c r="TIZ2487" s="60"/>
      <c r="TJA2487" s="58"/>
      <c r="TJB2487" s="61"/>
      <c r="TJC2487" s="58"/>
      <c r="TJD2487" s="58"/>
      <c r="TJE2487" s="58"/>
      <c r="TJF2487" s="60"/>
      <c r="TJG2487" s="60"/>
      <c r="TJH2487" s="60"/>
      <c r="TJI2487" s="58"/>
      <c r="TJJ2487" s="61"/>
      <c r="TJK2487" s="58"/>
      <c r="TJL2487" s="58"/>
      <c r="TJM2487" s="58"/>
      <c r="TJN2487" s="60"/>
      <c r="TJO2487" s="60"/>
      <c r="TJP2487" s="60"/>
      <c r="TJQ2487" s="58"/>
      <c r="TJR2487" s="61"/>
      <c r="TJS2487" s="58"/>
      <c r="TJT2487" s="58"/>
      <c r="TJU2487" s="58"/>
      <c r="TJV2487" s="60"/>
      <c r="TJW2487" s="60"/>
      <c r="TJX2487" s="60"/>
      <c r="TJY2487" s="58"/>
      <c r="TJZ2487" s="61"/>
      <c r="TKA2487" s="58"/>
      <c r="TKB2487" s="58"/>
      <c r="TKC2487" s="58"/>
      <c r="TKD2487" s="60"/>
      <c r="TKE2487" s="60"/>
      <c r="TKF2487" s="60"/>
      <c r="TKG2487" s="58"/>
      <c r="TKH2487" s="61"/>
      <c r="TKI2487" s="58"/>
      <c r="TKJ2487" s="58"/>
      <c r="TKK2487" s="58"/>
      <c r="TKL2487" s="60"/>
      <c r="TKM2487" s="60"/>
      <c r="TKN2487" s="60"/>
      <c r="TKO2487" s="58"/>
      <c r="TKP2487" s="61"/>
      <c r="TKQ2487" s="58"/>
      <c r="TKR2487" s="58"/>
      <c r="TKS2487" s="58"/>
      <c r="TKT2487" s="60"/>
      <c r="TKU2487" s="60"/>
      <c r="TKV2487" s="60"/>
      <c r="TKW2487" s="58"/>
      <c r="TKX2487" s="61"/>
      <c r="TKY2487" s="58"/>
      <c r="TKZ2487" s="58"/>
      <c r="TLA2487" s="58"/>
      <c r="TLB2487" s="60"/>
      <c r="TLC2487" s="60"/>
      <c r="TLD2487" s="60"/>
      <c r="TLE2487" s="58"/>
      <c r="TLF2487" s="61"/>
      <c r="TLG2487" s="58"/>
      <c r="TLH2487" s="58"/>
      <c r="TLI2487" s="58"/>
      <c r="TLJ2487" s="60"/>
      <c r="TLK2487" s="60"/>
      <c r="TLL2487" s="60"/>
      <c r="TLM2487" s="58"/>
      <c r="TLN2487" s="61"/>
      <c r="TLO2487" s="58"/>
      <c r="TLP2487" s="58"/>
      <c r="TLQ2487" s="58"/>
      <c r="TLR2487" s="60"/>
      <c r="TLS2487" s="60"/>
      <c r="TLT2487" s="60"/>
      <c r="TLU2487" s="58"/>
      <c r="TLV2487" s="61"/>
      <c r="TLW2487" s="58"/>
      <c r="TLX2487" s="58"/>
      <c r="TLY2487" s="58"/>
      <c r="TLZ2487" s="60"/>
      <c r="TMA2487" s="60"/>
      <c r="TMB2487" s="60"/>
      <c r="TMC2487" s="58"/>
      <c r="TMD2487" s="61"/>
      <c r="TME2487" s="58"/>
      <c r="TMF2487" s="58"/>
      <c r="TMG2487" s="58"/>
      <c r="TMH2487" s="60"/>
      <c r="TMI2487" s="60"/>
      <c r="TMJ2487" s="60"/>
      <c r="TMK2487" s="58"/>
      <c r="TML2487" s="61"/>
      <c r="TMM2487" s="58"/>
      <c r="TMN2487" s="58"/>
      <c r="TMO2487" s="58"/>
      <c r="TMP2487" s="60"/>
      <c r="TMQ2487" s="60"/>
      <c r="TMR2487" s="60"/>
      <c r="TMS2487" s="58"/>
      <c r="TMT2487" s="61"/>
      <c r="TMU2487" s="58"/>
      <c r="TMV2487" s="58"/>
      <c r="TMW2487" s="58"/>
      <c r="TMX2487" s="60"/>
      <c r="TMY2487" s="60"/>
      <c r="TMZ2487" s="60"/>
      <c r="TNA2487" s="58"/>
      <c r="TNB2487" s="61"/>
      <c r="TNC2487" s="58"/>
      <c r="TND2487" s="58"/>
      <c r="TNE2487" s="58"/>
      <c r="TNF2487" s="60"/>
      <c r="TNG2487" s="60"/>
      <c r="TNH2487" s="60"/>
      <c r="TNI2487" s="58"/>
      <c r="TNJ2487" s="61"/>
      <c r="TNK2487" s="58"/>
      <c r="TNL2487" s="58"/>
      <c r="TNM2487" s="58"/>
      <c r="TNN2487" s="60"/>
      <c r="TNO2487" s="60"/>
      <c r="TNP2487" s="60"/>
      <c r="TNQ2487" s="58"/>
      <c r="TNR2487" s="61"/>
      <c r="TNS2487" s="58"/>
      <c r="TNT2487" s="58"/>
      <c r="TNU2487" s="58"/>
      <c r="TNV2487" s="60"/>
      <c r="TNW2487" s="60"/>
      <c r="TNX2487" s="60"/>
      <c r="TNY2487" s="58"/>
      <c r="TNZ2487" s="61"/>
      <c r="TOA2487" s="58"/>
      <c r="TOB2487" s="58"/>
      <c r="TOC2487" s="58"/>
      <c r="TOD2487" s="60"/>
      <c r="TOE2487" s="60"/>
      <c r="TOF2487" s="60"/>
      <c r="TOG2487" s="58"/>
      <c r="TOH2487" s="61"/>
      <c r="TOI2487" s="58"/>
      <c r="TOJ2487" s="58"/>
      <c r="TOK2487" s="58"/>
      <c r="TOL2487" s="60"/>
      <c r="TOM2487" s="60"/>
      <c r="TON2487" s="60"/>
      <c r="TOO2487" s="58"/>
      <c r="TOP2487" s="61"/>
      <c r="TOQ2487" s="58"/>
      <c r="TOR2487" s="58"/>
      <c r="TOS2487" s="58"/>
      <c r="TOT2487" s="60"/>
      <c r="TOU2487" s="60"/>
      <c r="TOV2487" s="60"/>
      <c r="TOW2487" s="58"/>
      <c r="TOX2487" s="61"/>
      <c r="TOY2487" s="58"/>
      <c r="TOZ2487" s="58"/>
      <c r="TPA2487" s="58"/>
      <c r="TPB2487" s="60"/>
      <c r="TPC2487" s="60"/>
      <c r="TPD2487" s="60"/>
      <c r="TPE2487" s="58"/>
      <c r="TPF2487" s="61"/>
      <c r="TPG2487" s="58"/>
      <c r="TPH2487" s="58"/>
      <c r="TPI2487" s="58"/>
      <c r="TPJ2487" s="60"/>
      <c r="TPK2487" s="60"/>
      <c r="TPL2487" s="60"/>
      <c r="TPM2487" s="58"/>
      <c r="TPN2487" s="61"/>
      <c r="TPO2487" s="58"/>
      <c r="TPP2487" s="58"/>
      <c r="TPQ2487" s="58"/>
      <c r="TPR2487" s="60"/>
      <c r="TPS2487" s="60"/>
      <c r="TPT2487" s="60"/>
      <c r="TPU2487" s="58"/>
      <c r="TPV2487" s="61"/>
      <c r="TPW2487" s="58"/>
      <c r="TPX2487" s="58"/>
      <c r="TPY2487" s="58"/>
      <c r="TPZ2487" s="60"/>
      <c r="TQA2487" s="60"/>
      <c r="TQB2487" s="60"/>
      <c r="TQC2487" s="58"/>
      <c r="TQD2487" s="61"/>
      <c r="TQE2487" s="58"/>
      <c r="TQF2487" s="58"/>
      <c r="TQG2487" s="58"/>
      <c r="TQH2487" s="60"/>
      <c r="TQI2487" s="60"/>
      <c r="TQJ2487" s="60"/>
      <c r="TQK2487" s="58"/>
      <c r="TQL2487" s="61"/>
      <c r="TQM2487" s="58"/>
      <c r="TQN2487" s="58"/>
      <c r="TQO2487" s="58"/>
      <c r="TQP2487" s="60"/>
      <c r="TQQ2487" s="60"/>
      <c r="TQR2487" s="60"/>
      <c r="TQS2487" s="58"/>
      <c r="TQT2487" s="61"/>
      <c r="TQU2487" s="58"/>
      <c r="TQV2487" s="58"/>
      <c r="TQW2487" s="58"/>
      <c r="TQX2487" s="60"/>
      <c r="TQY2487" s="60"/>
      <c r="TQZ2487" s="60"/>
      <c r="TRA2487" s="58"/>
      <c r="TRB2487" s="61"/>
      <c r="TRC2487" s="58"/>
      <c r="TRD2487" s="58"/>
      <c r="TRE2487" s="58"/>
      <c r="TRF2487" s="60"/>
      <c r="TRG2487" s="60"/>
      <c r="TRH2487" s="60"/>
      <c r="TRI2487" s="58"/>
      <c r="TRJ2487" s="61"/>
      <c r="TRK2487" s="58"/>
      <c r="TRL2487" s="58"/>
      <c r="TRM2487" s="58"/>
      <c r="TRN2487" s="60"/>
      <c r="TRO2487" s="60"/>
      <c r="TRP2487" s="60"/>
      <c r="TRQ2487" s="58"/>
      <c r="TRR2487" s="61"/>
      <c r="TRS2487" s="58"/>
      <c r="TRT2487" s="58"/>
      <c r="TRU2487" s="58"/>
      <c r="TRV2487" s="60"/>
      <c r="TRW2487" s="60"/>
      <c r="TRX2487" s="60"/>
      <c r="TRY2487" s="58"/>
      <c r="TRZ2487" s="61"/>
      <c r="TSA2487" s="58"/>
      <c r="TSB2487" s="58"/>
      <c r="TSC2487" s="58"/>
      <c r="TSD2487" s="60"/>
      <c r="TSE2487" s="60"/>
      <c r="TSF2487" s="60"/>
      <c r="TSG2487" s="58"/>
      <c r="TSH2487" s="61"/>
      <c r="TSI2487" s="58"/>
      <c r="TSJ2487" s="58"/>
      <c r="TSK2487" s="58"/>
      <c r="TSL2487" s="60"/>
      <c r="TSM2487" s="60"/>
      <c r="TSN2487" s="60"/>
      <c r="TSO2487" s="58"/>
      <c r="TSP2487" s="61"/>
      <c r="TSQ2487" s="58"/>
      <c r="TSR2487" s="58"/>
      <c r="TSS2487" s="58"/>
      <c r="TST2487" s="60"/>
      <c r="TSU2487" s="60"/>
      <c r="TSV2487" s="60"/>
      <c r="TSW2487" s="58"/>
      <c r="TSX2487" s="61"/>
      <c r="TSY2487" s="58"/>
      <c r="TSZ2487" s="58"/>
      <c r="TTA2487" s="58"/>
      <c r="TTB2487" s="60"/>
      <c r="TTC2487" s="60"/>
      <c r="TTD2487" s="60"/>
      <c r="TTE2487" s="58"/>
      <c r="TTF2487" s="61"/>
      <c r="TTG2487" s="58"/>
      <c r="TTH2487" s="58"/>
      <c r="TTI2487" s="58"/>
      <c r="TTJ2487" s="60"/>
      <c r="TTK2487" s="60"/>
      <c r="TTL2487" s="60"/>
      <c r="TTM2487" s="58"/>
      <c r="TTN2487" s="61"/>
      <c r="TTO2487" s="58"/>
      <c r="TTP2487" s="58"/>
      <c r="TTQ2487" s="58"/>
      <c r="TTR2487" s="60"/>
      <c r="TTS2487" s="60"/>
      <c r="TTT2487" s="60"/>
      <c r="TTU2487" s="58"/>
      <c r="TTV2487" s="61"/>
      <c r="TTW2487" s="58"/>
      <c r="TTX2487" s="58"/>
      <c r="TTY2487" s="58"/>
      <c r="TTZ2487" s="60"/>
      <c r="TUA2487" s="60"/>
      <c r="TUB2487" s="60"/>
      <c r="TUC2487" s="58"/>
      <c r="TUD2487" s="61"/>
      <c r="TUE2487" s="58"/>
      <c r="TUF2487" s="58"/>
      <c r="TUG2487" s="58"/>
      <c r="TUH2487" s="60"/>
      <c r="TUI2487" s="60"/>
      <c r="TUJ2487" s="60"/>
      <c r="TUK2487" s="58"/>
      <c r="TUL2487" s="61"/>
      <c r="TUM2487" s="58"/>
      <c r="TUN2487" s="58"/>
      <c r="TUO2487" s="58"/>
      <c r="TUP2487" s="60"/>
      <c r="TUQ2487" s="60"/>
      <c r="TUR2487" s="60"/>
      <c r="TUS2487" s="58"/>
      <c r="TUT2487" s="61"/>
      <c r="TUU2487" s="58"/>
      <c r="TUV2487" s="58"/>
      <c r="TUW2487" s="58"/>
      <c r="TUX2487" s="60"/>
      <c r="TUY2487" s="60"/>
      <c r="TUZ2487" s="60"/>
      <c r="TVA2487" s="58"/>
      <c r="TVB2487" s="61"/>
      <c r="TVC2487" s="58"/>
      <c r="TVD2487" s="58"/>
      <c r="TVE2487" s="58"/>
      <c r="TVF2487" s="60"/>
      <c r="TVG2487" s="60"/>
      <c r="TVH2487" s="60"/>
      <c r="TVI2487" s="58"/>
      <c r="TVJ2487" s="61"/>
      <c r="TVK2487" s="58"/>
      <c r="TVL2487" s="58"/>
      <c r="TVM2487" s="58"/>
      <c r="TVN2487" s="60"/>
      <c r="TVO2487" s="60"/>
      <c r="TVP2487" s="60"/>
      <c r="TVQ2487" s="58"/>
      <c r="TVR2487" s="61"/>
      <c r="TVS2487" s="58"/>
      <c r="TVT2487" s="58"/>
      <c r="TVU2487" s="58"/>
      <c r="TVV2487" s="60"/>
      <c r="TVW2487" s="60"/>
      <c r="TVX2487" s="60"/>
      <c r="TVY2487" s="58"/>
      <c r="TVZ2487" s="61"/>
      <c r="TWA2487" s="58"/>
      <c r="TWB2487" s="58"/>
      <c r="TWC2487" s="58"/>
      <c r="TWD2487" s="60"/>
      <c r="TWE2487" s="60"/>
      <c r="TWF2487" s="60"/>
      <c r="TWG2487" s="58"/>
      <c r="TWH2487" s="61"/>
      <c r="TWI2487" s="58"/>
      <c r="TWJ2487" s="58"/>
      <c r="TWK2487" s="58"/>
      <c r="TWL2487" s="60"/>
      <c r="TWM2487" s="60"/>
      <c r="TWN2487" s="60"/>
      <c r="TWO2487" s="58"/>
      <c r="TWP2487" s="61"/>
      <c r="TWQ2487" s="58"/>
      <c r="TWR2487" s="58"/>
      <c r="TWS2487" s="58"/>
      <c r="TWT2487" s="60"/>
      <c r="TWU2487" s="60"/>
      <c r="TWV2487" s="60"/>
      <c r="TWW2487" s="58"/>
      <c r="TWX2487" s="61"/>
      <c r="TWY2487" s="58"/>
      <c r="TWZ2487" s="58"/>
      <c r="TXA2487" s="58"/>
      <c r="TXB2487" s="60"/>
      <c r="TXC2487" s="60"/>
      <c r="TXD2487" s="60"/>
      <c r="TXE2487" s="58"/>
      <c r="TXF2487" s="61"/>
      <c r="TXG2487" s="58"/>
      <c r="TXH2487" s="58"/>
      <c r="TXI2487" s="58"/>
      <c r="TXJ2487" s="60"/>
      <c r="TXK2487" s="60"/>
      <c r="TXL2487" s="60"/>
      <c r="TXM2487" s="58"/>
      <c r="TXN2487" s="61"/>
      <c r="TXO2487" s="58"/>
      <c r="TXP2487" s="58"/>
      <c r="TXQ2487" s="58"/>
      <c r="TXR2487" s="60"/>
      <c r="TXS2487" s="60"/>
      <c r="TXT2487" s="60"/>
      <c r="TXU2487" s="58"/>
      <c r="TXV2487" s="61"/>
      <c r="TXW2487" s="58"/>
      <c r="TXX2487" s="58"/>
      <c r="TXY2487" s="58"/>
      <c r="TXZ2487" s="60"/>
      <c r="TYA2487" s="60"/>
      <c r="TYB2487" s="60"/>
      <c r="TYC2487" s="58"/>
      <c r="TYD2487" s="61"/>
      <c r="TYE2487" s="58"/>
      <c r="TYF2487" s="58"/>
      <c r="TYG2487" s="58"/>
      <c r="TYH2487" s="60"/>
      <c r="TYI2487" s="60"/>
      <c r="TYJ2487" s="60"/>
      <c r="TYK2487" s="58"/>
      <c r="TYL2487" s="61"/>
      <c r="TYM2487" s="58"/>
      <c r="TYN2487" s="58"/>
      <c r="TYO2487" s="58"/>
      <c r="TYP2487" s="60"/>
      <c r="TYQ2487" s="60"/>
      <c r="TYR2487" s="60"/>
      <c r="TYS2487" s="58"/>
      <c r="TYT2487" s="61"/>
      <c r="TYU2487" s="58"/>
      <c r="TYV2487" s="58"/>
      <c r="TYW2487" s="58"/>
      <c r="TYX2487" s="60"/>
      <c r="TYY2487" s="60"/>
      <c r="TYZ2487" s="60"/>
      <c r="TZA2487" s="58"/>
      <c r="TZB2487" s="61"/>
      <c r="TZC2487" s="58"/>
      <c r="TZD2487" s="58"/>
      <c r="TZE2487" s="58"/>
      <c r="TZF2487" s="60"/>
      <c r="TZG2487" s="60"/>
      <c r="TZH2487" s="60"/>
      <c r="TZI2487" s="58"/>
      <c r="TZJ2487" s="61"/>
      <c r="TZK2487" s="58"/>
      <c r="TZL2487" s="58"/>
      <c r="TZM2487" s="58"/>
      <c r="TZN2487" s="60"/>
      <c r="TZO2487" s="60"/>
      <c r="TZP2487" s="60"/>
      <c r="TZQ2487" s="58"/>
      <c r="TZR2487" s="61"/>
      <c r="TZS2487" s="58"/>
      <c r="TZT2487" s="58"/>
      <c r="TZU2487" s="58"/>
      <c r="TZV2487" s="60"/>
      <c r="TZW2487" s="60"/>
      <c r="TZX2487" s="60"/>
      <c r="TZY2487" s="58"/>
      <c r="TZZ2487" s="61"/>
      <c r="UAA2487" s="58"/>
      <c r="UAB2487" s="58"/>
      <c r="UAC2487" s="58"/>
      <c r="UAD2487" s="60"/>
      <c r="UAE2487" s="60"/>
      <c r="UAF2487" s="60"/>
      <c r="UAG2487" s="58"/>
      <c r="UAH2487" s="61"/>
      <c r="UAI2487" s="58"/>
      <c r="UAJ2487" s="58"/>
      <c r="UAK2487" s="58"/>
      <c r="UAL2487" s="60"/>
      <c r="UAM2487" s="60"/>
      <c r="UAN2487" s="60"/>
      <c r="UAO2487" s="58"/>
      <c r="UAP2487" s="61"/>
      <c r="UAQ2487" s="58"/>
      <c r="UAR2487" s="58"/>
      <c r="UAS2487" s="58"/>
      <c r="UAT2487" s="60"/>
      <c r="UAU2487" s="60"/>
      <c r="UAV2487" s="60"/>
      <c r="UAW2487" s="58"/>
      <c r="UAX2487" s="61"/>
      <c r="UAY2487" s="58"/>
      <c r="UAZ2487" s="58"/>
      <c r="UBA2487" s="58"/>
      <c r="UBB2487" s="60"/>
      <c r="UBC2487" s="60"/>
      <c r="UBD2487" s="60"/>
      <c r="UBE2487" s="58"/>
      <c r="UBF2487" s="61"/>
      <c r="UBG2487" s="58"/>
      <c r="UBH2487" s="58"/>
      <c r="UBI2487" s="58"/>
      <c r="UBJ2487" s="60"/>
      <c r="UBK2487" s="60"/>
      <c r="UBL2487" s="60"/>
      <c r="UBM2487" s="58"/>
      <c r="UBN2487" s="61"/>
      <c r="UBO2487" s="58"/>
      <c r="UBP2487" s="58"/>
      <c r="UBQ2487" s="58"/>
      <c r="UBR2487" s="60"/>
      <c r="UBS2487" s="60"/>
      <c r="UBT2487" s="60"/>
      <c r="UBU2487" s="58"/>
      <c r="UBV2487" s="61"/>
      <c r="UBW2487" s="58"/>
      <c r="UBX2487" s="58"/>
      <c r="UBY2487" s="58"/>
      <c r="UBZ2487" s="60"/>
      <c r="UCA2487" s="60"/>
      <c r="UCB2487" s="60"/>
      <c r="UCC2487" s="58"/>
      <c r="UCD2487" s="61"/>
      <c r="UCE2487" s="58"/>
      <c r="UCF2487" s="58"/>
      <c r="UCG2487" s="58"/>
      <c r="UCH2487" s="60"/>
      <c r="UCI2487" s="60"/>
      <c r="UCJ2487" s="60"/>
      <c r="UCK2487" s="58"/>
      <c r="UCL2487" s="61"/>
      <c r="UCM2487" s="58"/>
      <c r="UCN2487" s="58"/>
      <c r="UCO2487" s="58"/>
      <c r="UCP2487" s="60"/>
      <c r="UCQ2487" s="60"/>
      <c r="UCR2487" s="60"/>
      <c r="UCS2487" s="58"/>
      <c r="UCT2487" s="61"/>
      <c r="UCU2487" s="58"/>
      <c r="UCV2487" s="58"/>
      <c r="UCW2487" s="58"/>
      <c r="UCX2487" s="60"/>
      <c r="UCY2487" s="60"/>
      <c r="UCZ2487" s="60"/>
      <c r="UDA2487" s="58"/>
      <c r="UDB2487" s="61"/>
      <c r="UDC2487" s="58"/>
      <c r="UDD2487" s="58"/>
      <c r="UDE2487" s="58"/>
      <c r="UDF2487" s="60"/>
      <c r="UDG2487" s="60"/>
      <c r="UDH2487" s="60"/>
      <c r="UDI2487" s="58"/>
      <c r="UDJ2487" s="61"/>
      <c r="UDK2487" s="58"/>
      <c r="UDL2487" s="58"/>
      <c r="UDM2487" s="58"/>
      <c r="UDN2487" s="60"/>
      <c r="UDO2487" s="60"/>
      <c r="UDP2487" s="60"/>
      <c r="UDQ2487" s="58"/>
      <c r="UDR2487" s="61"/>
      <c r="UDS2487" s="58"/>
      <c r="UDT2487" s="58"/>
      <c r="UDU2487" s="58"/>
      <c r="UDV2487" s="60"/>
      <c r="UDW2487" s="60"/>
      <c r="UDX2487" s="60"/>
      <c r="UDY2487" s="58"/>
      <c r="UDZ2487" s="61"/>
      <c r="UEA2487" s="58"/>
      <c r="UEB2487" s="58"/>
      <c r="UEC2487" s="58"/>
      <c r="UED2487" s="60"/>
      <c r="UEE2487" s="60"/>
      <c r="UEF2487" s="60"/>
      <c r="UEG2487" s="58"/>
      <c r="UEH2487" s="61"/>
      <c r="UEI2487" s="58"/>
      <c r="UEJ2487" s="58"/>
      <c r="UEK2487" s="58"/>
      <c r="UEL2487" s="60"/>
      <c r="UEM2487" s="60"/>
      <c r="UEN2487" s="60"/>
      <c r="UEO2487" s="58"/>
      <c r="UEP2487" s="61"/>
      <c r="UEQ2487" s="58"/>
      <c r="UER2487" s="58"/>
      <c r="UES2487" s="58"/>
      <c r="UET2487" s="60"/>
      <c r="UEU2487" s="60"/>
      <c r="UEV2487" s="60"/>
      <c r="UEW2487" s="58"/>
      <c r="UEX2487" s="61"/>
      <c r="UEY2487" s="58"/>
      <c r="UEZ2487" s="58"/>
      <c r="UFA2487" s="58"/>
      <c r="UFB2487" s="60"/>
      <c r="UFC2487" s="60"/>
      <c r="UFD2487" s="60"/>
      <c r="UFE2487" s="58"/>
      <c r="UFF2487" s="61"/>
      <c r="UFG2487" s="58"/>
      <c r="UFH2487" s="58"/>
      <c r="UFI2487" s="58"/>
      <c r="UFJ2487" s="60"/>
      <c r="UFK2487" s="60"/>
      <c r="UFL2487" s="60"/>
      <c r="UFM2487" s="58"/>
      <c r="UFN2487" s="61"/>
      <c r="UFO2487" s="58"/>
      <c r="UFP2487" s="58"/>
      <c r="UFQ2487" s="58"/>
      <c r="UFR2487" s="60"/>
      <c r="UFS2487" s="60"/>
      <c r="UFT2487" s="60"/>
      <c r="UFU2487" s="58"/>
      <c r="UFV2487" s="61"/>
      <c r="UFW2487" s="58"/>
      <c r="UFX2487" s="58"/>
      <c r="UFY2487" s="58"/>
      <c r="UFZ2487" s="60"/>
      <c r="UGA2487" s="60"/>
      <c r="UGB2487" s="60"/>
      <c r="UGC2487" s="58"/>
      <c r="UGD2487" s="61"/>
      <c r="UGE2487" s="58"/>
      <c r="UGF2487" s="58"/>
      <c r="UGG2487" s="58"/>
      <c r="UGH2487" s="60"/>
      <c r="UGI2487" s="60"/>
      <c r="UGJ2487" s="60"/>
      <c r="UGK2487" s="58"/>
      <c r="UGL2487" s="61"/>
      <c r="UGM2487" s="58"/>
      <c r="UGN2487" s="58"/>
      <c r="UGO2487" s="58"/>
      <c r="UGP2487" s="60"/>
      <c r="UGQ2487" s="60"/>
      <c r="UGR2487" s="60"/>
      <c r="UGS2487" s="58"/>
      <c r="UGT2487" s="61"/>
      <c r="UGU2487" s="58"/>
      <c r="UGV2487" s="58"/>
      <c r="UGW2487" s="58"/>
      <c r="UGX2487" s="60"/>
      <c r="UGY2487" s="60"/>
      <c r="UGZ2487" s="60"/>
      <c r="UHA2487" s="58"/>
      <c r="UHB2487" s="61"/>
      <c r="UHC2487" s="58"/>
      <c r="UHD2487" s="58"/>
      <c r="UHE2487" s="58"/>
      <c r="UHF2487" s="60"/>
      <c r="UHG2487" s="60"/>
      <c r="UHH2487" s="60"/>
      <c r="UHI2487" s="58"/>
      <c r="UHJ2487" s="61"/>
      <c r="UHK2487" s="58"/>
      <c r="UHL2487" s="58"/>
      <c r="UHM2487" s="58"/>
      <c r="UHN2487" s="60"/>
      <c r="UHO2487" s="60"/>
      <c r="UHP2487" s="60"/>
      <c r="UHQ2487" s="58"/>
      <c r="UHR2487" s="61"/>
      <c r="UHS2487" s="58"/>
      <c r="UHT2487" s="58"/>
      <c r="UHU2487" s="58"/>
      <c r="UHV2487" s="60"/>
      <c r="UHW2487" s="60"/>
      <c r="UHX2487" s="60"/>
      <c r="UHY2487" s="58"/>
      <c r="UHZ2487" s="61"/>
      <c r="UIA2487" s="58"/>
      <c r="UIB2487" s="58"/>
      <c r="UIC2487" s="58"/>
      <c r="UID2487" s="60"/>
      <c r="UIE2487" s="60"/>
      <c r="UIF2487" s="60"/>
      <c r="UIG2487" s="58"/>
      <c r="UIH2487" s="61"/>
      <c r="UII2487" s="58"/>
      <c r="UIJ2487" s="58"/>
      <c r="UIK2487" s="58"/>
      <c r="UIL2487" s="60"/>
      <c r="UIM2487" s="60"/>
      <c r="UIN2487" s="60"/>
      <c r="UIO2487" s="58"/>
      <c r="UIP2487" s="61"/>
      <c r="UIQ2487" s="58"/>
      <c r="UIR2487" s="58"/>
      <c r="UIS2487" s="58"/>
      <c r="UIT2487" s="60"/>
      <c r="UIU2487" s="60"/>
      <c r="UIV2487" s="60"/>
      <c r="UIW2487" s="58"/>
      <c r="UIX2487" s="61"/>
      <c r="UIY2487" s="58"/>
      <c r="UIZ2487" s="58"/>
      <c r="UJA2487" s="58"/>
      <c r="UJB2487" s="60"/>
      <c r="UJC2487" s="60"/>
      <c r="UJD2487" s="60"/>
      <c r="UJE2487" s="58"/>
      <c r="UJF2487" s="61"/>
      <c r="UJG2487" s="58"/>
      <c r="UJH2487" s="58"/>
      <c r="UJI2487" s="58"/>
      <c r="UJJ2487" s="60"/>
      <c r="UJK2487" s="60"/>
      <c r="UJL2487" s="60"/>
      <c r="UJM2487" s="58"/>
      <c r="UJN2487" s="61"/>
      <c r="UJO2487" s="58"/>
      <c r="UJP2487" s="58"/>
      <c r="UJQ2487" s="58"/>
      <c r="UJR2487" s="60"/>
      <c r="UJS2487" s="60"/>
      <c r="UJT2487" s="60"/>
      <c r="UJU2487" s="58"/>
      <c r="UJV2487" s="61"/>
      <c r="UJW2487" s="58"/>
      <c r="UJX2487" s="58"/>
      <c r="UJY2487" s="58"/>
      <c r="UJZ2487" s="60"/>
      <c r="UKA2487" s="60"/>
      <c r="UKB2487" s="60"/>
      <c r="UKC2487" s="58"/>
      <c r="UKD2487" s="61"/>
      <c r="UKE2487" s="58"/>
      <c r="UKF2487" s="58"/>
      <c r="UKG2487" s="58"/>
      <c r="UKH2487" s="60"/>
      <c r="UKI2487" s="60"/>
      <c r="UKJ2487" s="60"/>
      <c r="UKK2487" s="58"/>
      <c r="UKL2487" s="61"/>
      <c r="UKM2487" s="58"/>
      <c r="UKN2487" s="58"/>
      <c r="UKO2487" s="58"/>
      <c r="UKP2487" s="60"/>
      <c r="UKQ2487" s="60"/>
      <c r="UKR2487" s="60"/>
      <c r="UKS2487" s="58"/>
      <c r="UKT2487" s="61"/>
      <c r="UKU2487" s="58"/>
      <c r="UKV2487" s="58"/>
      <c r="UKW2487" s="58"/>
      <c r="UKX2487" s="60"/>
      <c r="UKY2487" s="60"/>
      <c r="UKZ2487" s="60"/>
      <c r="ULA2487" s="58"/>
      <c r="ULB2487" s="61"/>
      <c r="ULC2487" s="58"/>
      <c r="ULD2487" s="58"/>
      <c r="ULE2487" s="58"/>
      <c r="ULF2487" s="60"/>
      <c r="ULG2487" s="60"/>
      <c r="ULH2487" s="60"/>
      <c r="ULI2487" s="58"/>
      <c r="ULJ2487" s="61"/>
      <c r="ULK2487" s="58"/>
      <c r="ULL2487" s="58"/>
      <c r="ULM2487" s="58"/>
      <c r="ULN2487" s="60"/>
      <c r="ULO2487" s="60"/>
      <c r="ULP2487" s="60"/>
      <c r="ULQ2487" s="58"/>
      <c r="ULR2487" s="61"/>
      <c r="ULS2487" s="58"/>
      <c r="ULT2487" s="58"/>
      <c r="ULU2487" s="58"/>
      <c r="ULV2487" s="60"/>
      <c r="ULW2487" s="60"/>
      <c r="ULX2487" s="60"/>
      <c r="ULY2487" s="58"/>
      <c r="ULZ2487" s="61"/>
      <c r="UMA2487" s="58"/>
      <c r="UMB2487" s="58"/>
      <c r="UMC2487" s="58"/>
      <c r="UMD2487" s="60"/>
      <c r="UME2487" s="60"/>
      <c r="UMF2487" s="60"/>
      <c r="UMG2487" s="58"/>
      <c r="UMH2487" s="61"/>
      <c r="UMI2487" s="58"/>
      <c r="UMJ2487" s="58"/>
      <c r="UMK2487" s="58"/>
      <c r="UML2487" s="60"/>
      <c r="UMM2487" s="60"/>
      <c r="UMN2487" s="60"/>
      <c r="UMO2487" s="58"/>
      <c r="UMP2487" s="61"/>
      <c r="UMQ2487" s="58"/>
      <c r="UMR2487" s="58"/>
      <c r="UMS2487" s="58"/>
      <c r="UMT2487" s="60"/>
      <c r="UMU2487" s="60"/>
      <c r="UMV2487" s="60"/>
      <c r="UMW2487" s="58"/>
      <c r="UMX2487" s="61"/>
      <c r="UMY2487" s="58"/>
      <c r="UMZ2487" s="58"/>
      <c r="UNA2487" s="58"/>
      <c r="UNB2487" s="60"/>
      <c r="UNC2487" s="60"/>
      <c r="UND2487" s="60"/>
      <c r="UNE2487" s="58"/>
      <c r="UNF2487" s="61"/>
      <c r="UNG2487" s="58"/>
      <c r="UNH2487" s="58"/>
      <c r="UNI2487" s="58"/>
      <c r="UNJ2487" s="60"/>
      <c r="UNK2487" s="60"/>
      <c r="UNL2487" s="60"/>
      <c r="UNM2487" s="58"/>
      <c r="UNN2487" s="61"/>
      <c r="UNO2487" s="58"/>
      <c r="UNP2487" s="58"/>
      <c r="UNQ2487" s="58"/>
      <c r="UNR2487" s="60"/>
      <c r="UNS2487" s="60"/>
      <c r="UNT2487" s="60"/>
      <c r="UNU2487" s="58"/>
      <c r="UNV2487" s="61"/>
      <c r="UNW2487" s="58"/>
      <c r="UNX2487" s="58"/>
      <c r="UNY2487" s="58"/>
      <c r="UNZ2487" s="60"/>
      <c r="UOA2487" s="60"/>
      <c r="UOB2487" s="60"/>
      <c r="UOC2487" s="58"/>
      <c r="UOD2487" s="61"/>
      <c r="UOE2487" s="58"/>
      <c r="UOF2487" s="58"/>
      <c r="UOG2487" s="58"/>
      <c r="UOH2487" s="60"/>
      <c r="UOI2487" s="60"/>
      <c r="UOJ2487" s="60"/>
      <c r="UOK2487" s="58"/>
      <c r="UOL2487" s="61"/>
      <c r="UOM2487" s="58"/>
      <c r="UON2487" s="58"/>
      <c r="UOO2487" s="58"/>
      <c r="UOP2487" s="60"/>
      <c r="UOQ2487" s="60"/>
      <c r="UOR2487" s="60"/>
      <c r="UOS2487" s="58"/>
      <c r="UOT2487" s="61"/>
      <c r="UOU2487" s="58"/>
      <c r="UOV2487" s="58"/>
      <c r="UOW2487" s="58"/>
      <c r="UOX2487" s="60"/>
      <c r="UOY2487" s="60"/>
      <c r="UOZ2487" s="60"/>
      <c r="UPA2487" s="58"/>
      <c r="UPB2487" s="61"/>
      <c r="UPC2487" s="58"/>
      <c r="UPD2487" s="58"/>
      <c r="UPE2487" s="58"/>
      <c r="UPF2487" s="60"/>
      <c r="UPG2487" s="60"/>
      <c r="UPH2487" s="60"/>
      <c r="UPI2487" s="58"/>
      <c r="UPJ2487" s="61"/>
      <c r="UPK2487" s="58"/>
      <c r="UPL2487" s="58"/>
      <c r="UPM2487" s="58"/>
      <c r="UPN2487" s="60"/>
      <c r="UPO2487" s="60"/>
      <c r="UPP2487" s="60"/>
      <c r="UPQ2487" s="58"/>
      <c r="UPR2487" s="61"/>
      <c r="UPS2487" s="58"/>
      <c r="UPT2487" s="58"/>
      <c r="UPU2487" s="58"/>
      <c r="UPV2487" s="60"/>
      <c r="UPW2487" s="60"/>
      <c r="UPX2487" s="60"/>
      <c r="UPY2487" s="58"/>
      <c r="UPZ2487" s="61"/>
      <c r="UQA2487" s="58"/>
      <c r="UQB2487" s="58"/>
      <c r="UQC2487" s="58"/>
      <c r="UQD2487" s="60"/>
      <c r="UQE2487" s="60"/>
      <c r="UQF2487" s="60"/>
      <c r="UQG2487" s="58"/>
      <c r="UQH2487" s="61"/>
      <c r="UQI2487" s="58"/>
      <c r="UQJ2487" s="58"/>
      <c r="UQK2487" s="58"/>
      <c r="UQL2487" s="60"/>
      <c r="UQM2487" s="60"/>
      <c r="UQN2487" s="60"/>
      <c r="UQO2487" s="58"/>
      <c r="UQP2487" s="61"/>
      <c r="UQQ2487" s="58"/>
      <c r="UQR2487" s="58"/>
      <c r="UQS2487" s="58"/>
      <c r="UQT2487" s="60"/>
      <c r="UQU2487" s="60"/>
      <c r="UQV2487" s="60"/>
      <c r="UQW2487" s="58"/>
      <c r="UQX2487" s="61"/>
      <c r="UQY2487" s="58"/>
      <c r="UQZ2487" s="58"/>
      <c r="URA2487" s="58"/>
      <c r="URB2487" s="60"/>
      <c r="URC2487" s="60"/>
      <c r="URD2487" s="60"/>
      <c r="URE2487" s="58"/>
      <c r="URF2487" s="61"/>
      <c r="URG2487" s="58"/>
      <c r="URH2487" s="58"/>
      <c r="URI2487" s="58"/>
      <c r="URJ2487" s="60"/>
      <c r="URK2487" s="60"/>
      <c r="URL2487" s="60"/>
      <c r="URM2487" s="58"/>
      <c r="URN2487" s="61"/>
      <c r="URO2487" s="58"/>
      <c r="URP2487" s="58"/>
      <c r="URQ2487" s="58"/>
      <c r="URR2487" s="60"/>
      <c r="URS2487" s="60"/>
      <c r="URT2487" s="60"/>
      <c r="URU2487" s="58"/>
      <c r="URV2487" s="61"/>
      <c r="URW2487" s="58"/>
      <c r="URX2487" s="58"/>
      <c r="URY2487" s="58"/>
      <c r="URZ2487" s="60"/>
      <c r="USA2487" s="60"/>
      <c r="USB2487" s="60"/>
      <c r="USC2487" s="58"/>
      <c r="USD2487" s="61"/>
      <c r="USE2487" s="58"/>
      <c r="USF2487" s="58"/>
      <c r="USG2487" s="58"/>
      <c r="USH2487" s="60"/>
      <c r="USI2487" s="60"/>
      <c r="USJ2487" s="60"/>
      <c r="USK2487" s="58"/>
      <c r="USL2487" s="61"/>
      <c r="USM2487" s="58"/>
      <c r="USN2487" s="58"/>
      <c r="USO2487" s="58"/>
      <c r="USP2487" s="60"/>
      <c r="USQ2487" s="60"/>
      <c r="USR2487" s="60"/>
      <c r="USS2487" s="58"/>
      <c r="UST2487" s="61"/>
      <c r="USU2487" s="58"/>
      <c r="USV2487" s="58"/>
      <c r="USW2487" s="58"/>
      <c r="USX2487" s="60"/>
      <c r="USY2487" s="60"/>
      <c r="USZ2487" s="60"/>
      <c r="UTA2487" s="58"/>
      <c r="UTB2487" s="61"/>
      <c r="UTC2487" s="58"/>
      <c r="UTD2487" s="58"/>
      <c r="UTE2487" s="58"/>
      <c r="UTF2487" s="60"/>
      <c r="UTG2487" s="60"/>
      <c r="UTH2487" s="60"/>
      <c r="UTI2487" s="58"/>
      <c r="UTJ2487" s="61"/>
      <c r="UTK2487" s="58"/>
      <c r="UTL2487" s="58"/>
      <c r="UTM2487" s="58"/>
      <c r="UTN2487" s="60"/>
      <c r="UTO2487" s="60"/>
      <c r="UTP2487" s="60"/>
      <c r="UTQ2487" s="58"/>
      <c r="UTR2487" s="61"/>
      <c r="UTS2487" s="58"/>
      <c r="UTT2487" s="58"/>
      <c r="UTU2487" s="58"/>
      <c r="UTV2487" s="60"/>
      <c r="UTW2487" s="60"/>
      <c r="UTX2487" s="60"/>
      <c r="UTY2487" s="58"/>
      <c r="UTZ2487" s="61"/>
      <c r="UUA2487" s="58"/>
      <c r="UUB2487" s="58"/>
      <c r="UUC2487" s="58"/>
      <c r="UUD2487" s="60"/>
      <c r="UUE2487" s="60"/>
      <c r="UUF2487" s="60"/>
      <c r="UUG2487" s="58"/>
      <c r="UUH2487" s="61"/>
      <c r="UUI2487" s="58"/>
      <c r="UUJ2487" s="58"/>
      <c r="UUK2487" s="58"/>
      <c r="UUL2487" s="60"/>
      <c r="UUM2487" s="60"/>
      <c r="UUN2487" s="60"/>
      <c r="UUO2487" s="58"/>
      <c r="UUP2487" s="61"/>
      <c r="UUQ2487" s="58"/>
      <c r="UUR2487" s="58"/>
      <c r="UUS2487" s="58"/>
      <c r="UUT2487" s="60"/>
      <c r="UUU2487" s="60"/>
      <c r="UUV2487" s="60"/>
      <c r="UUW2487" s="58"/>
      <c r="UUX2487" s="61"/>
      <c r="UUY2487" s="58"/>
      <c r="UUZ2487" s="58"/>
      <c r="UVA2487" s="58"/>
      <c r="UVB2487" s="60"/>
      <c r="UVC2487" s="60"/>
      <c r="UVD2487" s="60"/>
      <c r="UVE2487" s="58"/>
      <c r="UVF2487" s="61"/>
      <c r="UVG2487" s="58"/>
      <c r="UVH2487" s="58"/>
      <c r="UVI2487" s="58"/>
      <c r="UVJ2487" s="60"/>
      <c r="UVK2487" s="60"/>
      <c r="UVL2487" s="60"/>
      <c r="UVM2487" s="58"/>
      <c r="UVN2487" s="61"/>
      <c r="UVO2487" s="58"/>
      <c r="UVP2487" s="58"/>
      <c r="UVQ2487" s="58"/>
      <c r="UVR2487" s="60"/>
      <c r="UVS2487" s="60"/>
      <c r="UVT2487" s="60"/>
      <c r="UVU2487" s="58"/>
      <c r="UVV2487" s="61"/>
      <c r="UVW2487" s="58"/>
      <c r="UVX2487" s="58"/>
      <c r="UVY2487" s="58"/>
      <c r="UVZ2487" s="60"/>
      <c r="UWA2487" s="60"/>
      <c r="UWB2487" s="60"/>
      <c r="UWC2487" s="58"/>
      <c r="UWD2487" s="61"/>
      <c r="UWE2487" s="58"/>
      <c r="UWF2487" s="58"/>
      <c r="UWG2487" s="58"/>
      <c r="UWH2487" s="60"/>
      <c r="UWI2487" s="60"/>
      <c r="UWJ2487" s="60"/>
      <c r="UWK2487" s="58"/>
      <c r="UWL2487" s="61"/>
      <c r="UWM2487" s="58"/>
      <c r="UWN2487" s="58"/>
      <c r="UWO2487" s="58"/>
      <c r="UWP2487" s="60"/>
      <c r="UWQ2487" s="60"/>
      <c r="UWR2487" s="60"/>
      <c r="UWS2487" s="58"/>
      <c r="UWT2487" s="61"/>
      <c r="UWU2487" s="58"/>
      <c r="UWV2487" s="58"/>
      <c r="UWW2487" s="58"/>
      <c r="UWX2487" s="60"/>
      <c r="UWY2487" s="60"/>
      <c r="UWZ2487" s="60"/>
      <c r="UXA2487" s="58"/>
      <c r="UXB2487" s="61"/>
      <c r="UXC2487" s="58"/>
      <c r="UXD2487" s="58"/>
      <c r="UXE2487" s="58"/>
      <c r="UXF2487" s="60"/>
      <c r="UXG2487" s="60"/>
      <c r="UXH2487" s="60"/>
      <c r="UXI2487" s="58"/>
      <c r="UXJ2487" s="61"/>
      <c r="UXK2487" s="58"/>
      <c r="UXL2487" s="58"/>
      <c r="UXM2487" s="58"/>
      <c r="UXN2487" s="60"/>
      <c r="UXO2487" s="60"/>
      <c r="UXP2487" s="60"/>
      <c r="UXQ2487" s="58"/>
      <c r="UXR2487" s="61"/>
      <c r="UXS2487" s="58"/>
      <c r="UXT2487" s="58"/>
      <c r="UXU2487" s="58"/>
      <c r="UXV2487" s="60"/>
      <c r="UXW2487" s="60"/>
      <c r="UXX2487" s="60"/>
      <c r="UXY2487" s="58"/>
      <c r="UXZ2487" s="61"/>
      <c r="UYA2487" s="58"/>
      <c r="UYB2487" s="58"/>
      <c r="UYC2487" s="58"/>
      <c r="UYD2487" s="60"/>
      <c r="UYE2487" s="60"/>
      <c r="UYF2487" s="60"/>
      <c r="UYG2487" s="58"/>
      <c r="UYH2487" s="61"/>
      <c r="UYI2487" s="58"/>
      <c r="UYJ2487" s="58"/>
      <c r="UYK2487" s="58"/>
      <c r="UYL2487" s="60"/>
      <c r="UYM2487" s="60"/>
      <c r="UYN2487" s="60"/>
      <c r="UYO2487" s="58"/>
      <c r="UYP2487" s="61"/>
      <c r="UYQ2487" s="58"/>
      <c r="UYR2487" s="58"/>
      <c r="UYS2487" s="58"/>
      <c r="UYT2487" s="60"/>
      <c r="UYU2487" s="60"/>
      <c r="UYV2487" s="60"/>
      <c r="UYW2487" s="58"/>
      <c r="UYX2487" s="61"/>
      <c r="UYY2487" s="58"/>
      <c r="UYZ2487" s="58"/>
      <c r="UZA2487" s="58"/>
      <c r="UZB2487" s="60"/>
      <c r="UZC2487" s="60"/>
      <c r="UZD2487" s="60"/>
      <c r="UZE2487" s="58"/>
      <c r="UZF2487" s="61"/>
      <c r="UZG2487" s="58"/>
      <c r="UZH2487" s="58"/>
      <c r="UZI2487" s="58"/>
      <c r="UZJ2487" s="60"/>
      <c r="UZK2487" s="60"/>
      <c r="UZL2487" s="60"/>
      <c r="UZM2487" s="58"/>
      <c r="UZN2487" s="61"/>
      <c r="UZO2487" s="58"/>
      <c r="UZP2487" s="58"/>
      <c r="UZQ2487" s="58"/>
      <c r="UZR2487" s="60"/>
      <c r="UZS2487" s="60"/>
      <c r="UZT2487" s="60"/>
      <c r="UZU2487" s="58"/>
      <c r="UZV2487" s="61"/>
      <c r="UZW2487" s="58"/>
      <c r="UZX2487" s="58"/>
      <c r="UZY2487" s="58"/>
      <c r="UZZ2487" s="60"/>
      <c r="VAA2487" s="60"/>
      <c r="VAB2487" s="60"/>
      <c r="VAC2487" s="58"/>
      <c r="VAD2487" s="61"/>
      <c r="VAE2487" s="58"/>
      <c r="VAF2487" s="58"/>
      <c r="VAG2487" s="58"/>
      <c r="VAH2487" s="60"/>
      <c r="VAI2487" s="60"/>
      <c r="VAJ2487" s="60"/>
      <c r="VAK2487" s="58"/>
      <c r="VAL2487" s="61"/>
      <c r="VAM2487" s="58"/>
      <c r="VAN2487" s="58"/>
      <c r="VAO2487" s="58"/>
      <c r="VAP2487" s="60"/>
      <c r="VAQ2487" s="60"/>
      <c r="VAR2487" s="60"/>
      <c r="VAS2487" s="58"/>
      <c r="VAT2487" s="61"/>
      <c r="VAU2487" s="58"/>
      <c r="VAV2487" s="58"/>
      <c r="VAW2487" s="58"/>
      <c r="VAX2487" s="60"/>
      <c r="VAY2487" s="60"/>
      <c r="VAZ2487" s="60"/>
      <c r="VBA2487" s="58"/>
      <c r="VBB2487" s="61"/>
      <c r="VBC2487" s="58"/>
      <c r="VBD2487" s="58"/>
      <c r="VBE2487" s="58"/>
      <c r="VBF2487" s="60"/>
      <c r="VBG2487" s="60"/>
      <c r="VBH2487" s="60"/>
      <c r="VBI2487" s="58"/>
      <c r="VBJ2487" s="61"/>
      <c r="VBK2487" s="58"/>
      <c r="VBL2487" s="58"/>
      <c r="VBM2487" s="58"/>
      <c r="VBN2487" s="60"/>
      <c r="VBO2487" s="60"/>
      <c r="VBP2487" s="60"/>
      <c r="VBQ2487" s="58"/>
      <c r="VBR2487" s="61"/>
      <c r="VBS2487" s="58"/>
      <c r="VBT2487" s="58"/>
      <c r="VBU2487" s="58"/>
      <c r="VBV2487" s="60"/>
      <c r="VBW2487" s="60"/>
      <c r="VBX2487" s="60"/>
      <c r="VBY2487" s="58"/>
      <c r="VBZ2487" s="61"/>
      <c r="VCA2487" s="58"/>
      <c r="VCB2487" s="58"/>
      <c r="VCC2487" s="58"/>
      <c r="VCD2487" s="60"/>
      <c r="VCE2487" s="60"/>
      <c r="VCF2487" s="60"/>
      <c r="VCG2487" s="58"/>
      <c r="VCH2487" s="61"/>
      <c r="VCI2487" s="58"/>
      <c r="VCJ2487" s="58"/>
      <c r="VCK2487" s="58"/>
      <c r="VCL2487" s="60"/>
      <c r="VCM2487" s="60"/>
      <c r="VCN2487" s="60"/>
      <c r="VCO2487" s="58"/>
      <c r="VCP2487" s="61"/>
      <c r="VCQ2487" s="58"/>
      <c r="VCR2487" s="58"/>
      <c r="VCS2487" s="58"/>
      <c r="VCT2487" s="60"/>
      <c r="VCU2487" s="60"/>
      <c r="VCV2487" s="60"/>
      <c r="VCW2487" s="58"/>
      <c r="VCX2487" s="61"/>
      <c r="VCY2487" s="58"/>
      <c r="VCZ2487" s="58"/>
      <c r="VDA2487" s="58"/>
      <c r="VDB2487" s="60"/>
      <c r="VDC2487" s="60"/>
      <c r="VDD2487" s="60"/>
      <c r="VDE2487" s="58"/>
      <c r="VDF2487" s="61"/>
      <c r="VDG2487" s="58"/>
      <c r="VDH2487" s="58"/>
      <c r="VDI2487" s="58"/>
      <c r="VDJ2487" s="60"/>
      <c r="VDK2487" s="60"/>
      <c r="VDL2487" s="60"/>
      <c r="VDM2487" s="58"/>
      <c r="VDN2487" s="61"/>
      <c r="VDO2487" s="58"/>
      <c r="VDP2487" s="58"/>
      <c r="VDQ2487" s="58"/>
      <c r="VDR2487" s="60"/>
      <c r="VDS2487" s="60"/>
      <c r="VDT2487" s="60"/>
      <c r="VDU2487" s="58"/>
      <c r="VDV2487" s="61"/>
      <c r="VDW2487" s="58"/>
      <c r="VDX2487" s="58"/>
      <c r="VDY2487" s="58"/>
      <c r="VDZ2487" s="60"/>
      <c r="VEA2487" s="60"/>
      <c r="VEB2487" s="60"/>
      <c r="VEC2487" s="58"/>
      <c r="VED2487" s="61"/>
      <c r="VEE2487" s="58"/>
      <c r="VEF2487" s="58"/>
      <c r="VEG2487" s="58"/>
      <c r="VEH2487" s="60"/>
      <c r="VEI2487" s="60"/>
      <c r="VEJ2487" s="60"/>
      <c r="VEK2487" s="58"/>
      <c r="VEL2487" s="61"/>
      <c r="VEM2487" s="58"/>
      <c r="VEN2487" s="58"/>
      <c r="VEO2487" s="58"/>
      <c r="VEP2487" s="60"/>
      <c r="VEQ2487" s="60"/>
      <c r="VER2487" s="60"/>
      <c r="VES2487" s="58"/>
      <c r="VET2487" s="61"/>
      <c r="VEU2487" s="58"/>
      <c r="VEV2487" s="58"/>
      <c r="VEW2487" s="58"/>
      <c r="VEX2487" s="60"/>
      <c r="VEY2487" s="60"/>
      <c r="VEZ2487" s="60"/>
      <c r="VFA2487" s="58"/>
      <c r="VFB2487" s="61"/>
      <c r="VFC2487" s="58"/>
      <c r="VFD2487" s="58"/>
      <c r="VFE2487" s="58"/>
      <c r="VFF2487" s="60"/>
      <c r="VFG2487" s="60"/>
      <c r="VFH2487" s="60"/>
      <c r="VFI2487" s="58"/>
      <c r="VFJ2487" s="61"/>
      <c r="VFK2487" s="58"/>
      <c r="VFL2487" s="58"/>
      <c r="VFM2487" s="58"/>
      <c r="VFN2487" s="60"/>
      <c r="VFO2487" s="60"/>
      <c r="VFP2487" s="60"/>
      <c r="VFQ2487" s="58"/>
      <c r="VFR2487" s="61"/>
      <c r="VFS2487" s="58"/>
      <c r="VFT2487" s="58"/>
      <c r="VFU2487" s="58"/>
      <c r="VFV2487" s="60"/>
      <c r="VFW2487" s="60"/>
      <c r="VFX2487" s="60"/>
      <c r="VFY2487" s="58"/>
      <c r="VFZ2487" s="61"/>
      <c r="VGA2487" s="58"/>
      <c r="VGB2487" s="58"/>
      <c r="VGC2487" s="58"/>
      <c r="VGD2487" s="60"/>
      <c r="VGE2487" s="60"/>
      <c r="VGF2487" s="60"/>
      <c r="VGG2487" s="58"/>
      <c r="VGH2487" s="61"/>
      <c r="VGI2487" s="58"/>
      <c r="VGJ2487" s="58"/>
      <c r="VGK2487" s="58"/>
      <c r="VGL2487" s="60"/>
      <c r="VGM2487" s="60"/>
      <c r="VGN2487" s="60"/>
      <c r="VGO2487" s="58"/>
      <c r="VGP2487" s="61"/>
      <c r="VGQ2487" s="58"/>
      <c r="VGR2487" s="58"/>
      <c r="VGS2487" s="58"/>
      <c r="VGT2487" s="60"/>
      <c r="VGU2487" s="60"/>
      <c r="VGV2487" s="60"/>
      <c r="VGW2487" s="58"/>
      <c r="VGX2487" s="61"/>
      <c r="VGY2487" s="58"/>
      <c r="VGZ2487" s="58"/>
      <c r="VHA2487" s="58"/>
      <c r="VHB2487" s="60"/>
      <c r="VHC2487" s="60"/>
      <c r="VHD2487" s="60"/>
      <c r="VHE2487" s="58"/>
      <c r="VHF2487" s="61"/>
      <c r="VHG2487" s="58"/>
      <c r="VHH2487" s="58"/>
      <c r="VHI2487" s="58"/>
      <c r="VHJ2487" s="60"/>
      <c r="VHK2487" s="60"/>
      <c r="VHL2487" s="60"/>
      <c r="VHM2487" s="58"/>
      <c r="VHN2487" s="61"/>
      <c r="VHO2487" s="58"/>
      <c r="VHP2487" s="58"/>
      <c r="VHQ2487" s="58"/>
      <c r="VHR2487" s="60"/>
      <c r="VHS2487" s="60"/>
      <c r="VHT2487" s="60"/>
      <c r="VHU2487" s="58"/>
      <c r="VHV2487" s="61"/>
      <c r="VHW2487" s="58"/>
      <c r="VHX2487" s="58"/>
      <c r="VHY2487" s="58"/>
      <c r="VHZ2487" s="60"/>
      <c r="VIA2487" s="60"/>
      <c r="VIB2487" s="60"/>
      <c r="VIC2487" s="58"/>
      <c r="VID2487" s="61"/>
      <c r="VIE2487" s="58"/>
      <c r="VIF2487" s="58"/>
      <c r="VIG2487" s="58"/>
      <c r="VIH2487" s="60"/>
      <c r="VII2487" s="60"/>
      <c r="VIJ2487" s="60"/>
      <c r="VIK2487" s="58"/>
      <c r="VIL2487" s="61"/>
      <c r="VIM2487" s="58"/>
      <c r="VIN2487" s="58"/>
      <c r="VIO2487" s="58"/>
      <c r="VIP2487" s="60"/>
      <c r="VIQ2487" s="60"/>
      <c r="VIR2487" s="60"/>
      <c r="VIS2487" s="58"/>
      <c r="VIT2487" s="61"/>
      <c r="VIU2487" s="58"/>
      <c r="VIV2487" s="58"/>
      <c r="VIW2487" s="58"/>
      <c r="VIX2487" s="60"/>
      <c r="VIY2487" s="60"/>
      <c r="VIZ2487" s="60"/>
      <c r="VJA2487" s="58"/>
      <c r="VJB2487" s="61"/>
      <c r="VJC2487" s="58"/>
      <c r="VJD2487" s="58"/>
      <c r="VJE2487" s="58"/>
      <c r="VJF2487" s="60"/>
      <c r="VJG2487" s="60"/>
      <c r="VJH2487" s="60"/>
      <c r="VJI2487" s="58"/>
      <c r="VJJ2487" s="61"/>
      <c r="VJK2487" s="58"/>
      <c r="VJL2487" s="58"/>
      <c r="VJM2487" s="58"/>
      <c r="VJN2487" s="60"/>
      <c r="VJO2487" s="60"/>
      <c r="VJP2487" s="60"/>
      <c r="VJQ2487" s="58"/>
      <c r="VJR2487" s="61"/>
      <c r="VJS2487" s="58"/>
      <c r="VJT2487" s="58"/>
      <c r="VJU2487" s="58"/>
      <c r="VJV2487" s="60"/>
      <c r="VJW2487" s="60"/>
      <c r="VJX2487" s="60"/>
      <c r="VJY2487" s="58"/>
      <c r="VJZ2487" s="61"/>
      <c r="VKA2487" s="58"/>
      <c r="VKB2487" s="58"/>
      <c r="VKC2487" s="58"/>
      <c r="VKD2487" s="60"/>
      <c r="VKE2487" s="60"/>
      <c r="VKF2487" s="60"/>
      <c r="VKG2487" s="58"/>
      <c r="VKH2487" s="61"/>
      <c r="VKI2487" s="58"/>
      <c r="VKJ2487" s="58"/>
      <c r="VKK2487" s="58"/>
      <c r="VKL2487" s="60"/>
      <c r="VKM2487" s="60"/>
      <c r="VKN2487" s="60"/>
      <c r="VKO2487" s="58"/>
      <c r="VKP2487" s="61"/>
      <c r="VKQ2487" s="58"/>
      <c r="VKR2487" s="58"/>
      <c r="VKS2487" s="58"/>
      <c r="VKT2487" s="60"/>
      <c r="VKU2487" s="60"/>
      <c r="VKV2487" s="60"/>
      <c r="VKW2487" s="58"/>
      <c r="VKX2487" s="61"/>
      <c r="VKY2487" s="58"/>
      <c r="VKZ2487" s="58"/>
      <c r="VLA2487" s="58"/>
      <c r="VLB2487" s="60"/>
      <c r="VLC2487" s="60"/>
      <c r="VLD2487" s="60"/>
      <c r="VLE2487" s="58"/>
      <c r="VLF2487" s="61"/>
      <c r="VLG2487" s="58"/>
      <c r="VLH2487" s="58"/>
      <c r="VLI2487" s="58"/>
      <c r="VLJ2487" s="60"/>
      <c r="VLK2487" s="60"/>
      <c r="VLL2487" s="60"/>
      <c r="VLM2487" s="58"/>
      <c r="VLN2487" s="61"/>
      <c r="VLO2487" s="58"/>
      <c r="VLP2487" s="58"/>
      <c r="VLQ2487" s="58"/>
      <c r="VLR2487" s="60"/>
      <c r="VLS2487" s="60"/>
      <c r="VLT2487" s="60"/>
      <c r="VLU2487" s="58"/>
      <c r="VLV2487" s="61"/>
      <c r="VLW2487" s="58"/>
      <c r="VLX2487" s="58"/>
      <c r="VLY2487" s="58"/>
      <c r="VLZ2487" s="60"/>
      <c r="VMA2487" s="60"/>
      <c r="VMB2487" s="60"/>
      <c r="VMC2487" s="58"/>
      <c r="VMD2487" s="61"/>
      <c r="VME2487" s="58"/>
      <c r="VMF2487" s="58"/>
      <c r="VMG2487" s="58"/>
      <c r="VMH2487" s="60"/>
      <c r="VMI2487" s="60"/>
      <c r="VMJ2487" s="60"/>
      <c r="VMK2487" s="58"/>
      <c r="VML2487" s="61"/>
      <c r="VMM2487" s="58"/>
      <c r="VMN2487" s="58"/>
      <c r="VMO2487" s="58"/>
      <c r="VMP2487" s="60"/>
      <c r="VMQ2487" s="60"/>
      <c r="VMR2487" s="60"/>
      <c r="VMS2487" s="58"/>
      <c r="VMT2487" s="61"/>
      <c r="VMU2487" s="58"/>
      <c r="VMV2487" s="58"/>
      <c r="VMW2487" s="58"/>
      <c r="VMX2487" s="60"/>
      <c r="VMY2487" s="60"/>
      <c r="VMZ2487" s="60"/>
      <c r="VNA2487" s="58"/>
      <c r="VNB2487" s="61"/>
      <c r="VNC2487" s="58"/>
      <c r="VND2487" s="58"/>
      <c r="VNE2487" s="58"/>
      <c r="VNF2487" s="60"/>
      <c r="VNG2487" s="60"/>
      <c r="VNH2487" s="60"/>
      <c r="VNI2487" s="58"/>
      <c r="VNJ2487" s="61"/>
      <c r="VNK2487" s="58"/>
      <c r="VNL2487" s="58"/>
      <c r="VNM2487" s="58"/>
      <c r="VNN2487" s="60"/>
      <c r="VNO2487" s="60"/>
      <c r="VNP2487" s="60"/>
      <c r="VNQ2487" s="58"/>
      <c r="VNR2487" s="61"/>
      <c r="VNS2487" s="58"/>
      <c r="VNT2487" s="58"/>
      <c r="VNU2487" s="58"/>
      <c r="VNV2487" s="60"/>
      <c r="VNW2487" s="60"/>
      <c r="VNX2487" s="60"/>
      <c r="VNY2487" s="58"/>
      <c r="VNZ2487" s="61"/>
      <c r="VOA2487" s="58"/>
      <c r="VOB2487" s="58"/>
      <c r="VOC2487" s="58"/>
      <c r="VOD2487" s="60"/>
      <c r="VOE2487" s="60"/>
      <c r="VOF2487" s="60"/>
      <c r="VOG2487" s="58"/>
      <c r="VOH2487" s="61"/>
      <c r="VOI2487" s="58"/>
      <c r="VOJ2487" s="58"/>
      <c r="VOK2487" s="58"/>
      <c r="VOL2487" s="60"/>
      <c r="VOM2487" s="60"/>
      <c r="VON2487" s="60"/>
      <c r="VOO2487" s="58"/>
      <c r="VOP2487" s="61"/>
      <c r="VOQ2487" s="58"/>
      <c r="VOR2487" s="58"/>
      <c r="VOS2487" s="58"/>
      <c r="VOT2487" s="60"/>
      <c r="VOU2487" s="60"/>
      <c r="VOV2487" s="60"/>
      <c r="VOW2487" s="58"/>
      <c r="VOX2487" s="61"/>
      <c r="VOY2487" s="58"/>
      <c r="VOZ2487" s="58"/>
      <c r="VPA2487" s="58"/>
      <c r="VPB2487" s="60"/>
      <c r="VPC2487" s="60"/>
      <c r="VPD2487" s="60"/>
      <c r="VPE2487" s="58"/>
      <c r="VPF2487" s="61"/>
      <c r="VPG2487" s="58"/>
      <c r="VPH2487" s="58"/>
      <c r="VPI2487" s="58"/>
      <c r="VPJ2487" s="60"/>
      <c r="VPK2487" s="60"/>
      <c r="VPL2487" s="60"/>
      <c r="VPM2487" s="58"/>
      <c r="VPN2487" s="61"/>
      <c r="VPO2487" s="58"/>
      <c r="VPP2487" s="58"/>
      <c r="VPQ2487" s="58"/>
      <c r="VPR2487" s="60"/>
      <c r="VPS2487" s="60"/>
      <c r="VPT2487" s="60"/>
      <c r="VPU2487" s="58"/>
      <c r="VPV2487" s="61"/>
      <c r="VPW2487" s="58"/>
      <c r="VPX2487" s="58"/>
      <c r="VPY2487" s="58"/>
      <c r="VPZ2487" s="60"/>
      <c r="VQA2487" s="60"/>
      <c r="VQB2487" s="60"/>
      <c r="VQC2487" s="58"/>
      <c r="VQD2487" s="61"/>
      <c r="VQE2487" s="58"/>
      <c r="VQF2487" s="58"/>
      <c r="VQG2487" s="58"/>
      <c r="VQH2487" s="60"/>
      <c r="VQI2487" s="60"/>
      <c r="VQJ2487" s="60"/>
      <c r="VQK2487" s="58"/>
      <c r="VQL2487" s="61"/>
      <c r="VQM2487" s="58"/>
      <c r="VQN2487" s="58"/>
      <c r="VQO2487" s="58"/>
      <c r="VQP2487" s="60"/>
      <c r="VQQ2487" s="60"/>
      <c r="VQR2487" s="60"/>
      <c r="VQS2487" s="58"/>
      <c r="VQT2487" s="61"/>
      <c r="VQU2487" s="58"/>
      <c r="VQV2487" s="58"/>
      <c r="VQW2487" s="58"/>
      <c r="VQX2487" s="60"/>
      <c r="VQY2487" s="60"/>
      <c r="VQZ2487" s="60"/>
      <c r="VRA2487" s="58"/>
      <c r="VRB2487" s="61"/>
      <c r="VRC2487" s="58"/>
      <c r="VRD2487" s="58"/>
      <c r="VRE2487" s="58"/>
      <c r="VRF2487" s="60"/>
      <c r="VRG2487" s="60"/>
      <c r="VRH2487" s="60"/>
      <c r="VRI2487" s="58"/>
      <c r="VRJ2487" s="61"/>
      <c r="VRK2487" s="58"/>
      <c r="VRL2487" s="58"/>
      <c r="VRM2487" s="58"/>
      <c r="VRN2487" s="60"/>
      <c r="VRO2487" s="60"/>
      <c r="VRP2487" s="60"/>
      <c r="VRQ2487" s="58"/>
      <c r="VRR2487" s="61"/>
      <c r="VRS2487" s="58"/>
      <c r="VRT2487" s="58"/>
      <c r="VRU2487" s="58"/>
      <c r="VRV2487" s="60"/>
      <c r="VRW2487" s="60"/>
      <c r="VRX2487" s="60"/>
      <c r="VRY2487" s="58"/>
      <c r="VRZ2487" s="61"/>
      <c r="VSA2487" s="58"/>
      <c r="VSB2487" s="58"/>
      <c r="VSC2487" s="58"/>
      <c r="VSD2487" s="60"/>
      <c r="VSE2487" s="60"/>
      <c r="VSF2487" s="60"/>
      <c r="VSG2487" s="58"/>
      <c r="VSH2487" s="61"/>
      <c r="VSI2487" s="58"/>
      <c r="VSJ2487" s="58"/>
      <c r="VSK2487" s="58"/>
      <c r="VSL2487" s="60"/>
      <c r="VSM2487" s="60"/>
      <c r="VSN2487" s="60"/>
      <c r="VSO2487" s="58"/>
      <c r="VSP2487" s="61"/>
      <c r="VSQ2487" s="58"/>
      <c r="VSR2487" s="58"/>
      <c r="VSS2487" s="58"/>
      <c r="VST2487" s="60"/>
      <c r="VSU2487" s="60"/>
      <c r="VSV2487" s="60"/>
      <c r="VSW2487" s="58"/>
      <c r="VSX2487" s="61"/>
      <c r="VSY2487" s="58"/>
      <c r="VSZ2487" s="58"/>
      <c r="VTA2487" s="58"/>
      <c r="VTB2487" s="60"/>
      <c r="VTC2487" s="60"/>
      <c r="VTD2487" s="60"/>
      <c r="VTE2487" s="58"/>
      <c r="VTF2487" s="61"/>
      <c r="VTG2487" s="58"/>
      <c r="VTH2487" s="58"/>
      <c r="VTI2487" s="58"/>
      <c r="VTJ2487" s="60"/>
      <c r="VTK2487" s="60"/>
      <c r="VTL2487" s="60"/>
      <c r="VTM2487" s="58"/>
      <c r="VTN2487" s="61"/>
      <c r="VTO2487" s="58"/>
      <c r="VTP2487" s="58"/>
      <c r="VTQ2487" s="58"/>
      <c r="VTR2487" s="60"/>
      <c r="VTS2487" s="60"/>
      <c r="VTT2487" s="60"/>
      <c r="VTU2487" s="58"/>
      <c r="VTV2487" s="61"/>
      <c r="VTW2487" s="58"/>
      <c r="VTX2487" s="58"/>
      <c r="VTY2487" s="58"/>
      <c r="VTZ2487" s="60"/>
      <c r="VUA2487" s="60"/>
      <c r="VUB2487" s="60"/>
      <c r="VUC2487" s="58"/>
      <c r="VUD2487" s="61"/>
      <c r="VUE2487" s="58"/>
      <c r="VUF2487" s="58"/>
      <c r="VUG2487" s="58"/>
      <c r="VUH2487" s="60"/>
      <c r="VUI2487" s="60"/>
      <c r="VUJ2487" s="60"/>
      <c r="VUK2487" s="58"/>
      <c r="VUL2487" s="61"/>
      <c r="VUM2487" s="58"/>
      <c r="VUN2487" s="58"/>
      <c r="VUO2487" s="58"/>
      <c r="VUP2487" s="60"/>
      <c r="VUQ2487" s="60"/>
      <c r="VUR2487" s="60"/>
      <c r="VUS2487" s="58"/>
      <c r="VUT2487" s="61"/>
      <c r="VUU2487" s="58"/>
      <c r="VUV2487" s="58"/>
      <c r="VUW2487" s="58"/>
      <c r="VUX2487" s="60"/>
      <c r="VUY2487" s="60"/>
      <c r="VUZ2487" s="60"/>
      <c r="VVA2487" s="58"/>
      <c r="VVB2487" s="61"/>
      <c r="VVC2487" s="58"/>
      <c r="VVD2487" s="58"/>
      <c r="VVE2487" s="58"/>
      <c r="VVF2487" s="60"/>
      <c r="VVG2487" s="60"/>
      <c r="VVH2487" s="60"/>
      <c r="VVI2487" s="58"/>
      <c r="VVJ2487" s="61"/>
      <c r="VVK2487" s="58"/>
      <c r="VVL2487" s="58"/>
      <c r="VVM2487" s="58"/>
      <c r="VVN2487" s="60"/>
      <c r="VVO2487" s="60"/>
      <c r="VVP2487" s="60"/>
      <c r="VVQ2487" s="58"/>
      <c r="VVR2487" s="61"/>
      <c r="VVS2487" s="58"/>
      <c r="VVT2487" s="58"/>
      <c r="VVU2487" s="58"/>
      <c r="VVV2487" s="60"/>
      <c r="VVW2487" s="60"/>
      <c r="VVX2487" s="60"/>
      <c r="VVY2487" s="58"/>
      <c r="VVZ2487" s="61"/>
      <c r="VWA2487" s="58"/>
      <c r="VWB2487" s="58"/>
      <c r="VWC2487" s="58"/>
      <c r="VWD2487" s="60"/>
      <c r="VWE2487" s="60"/>
      <c r="VWF2487" s="60"/>
      <c r="VWG2487" s="58"/>
      <c r="VWH2487" s="61"/>
      <c r="VWI2487" s="58"/>
      <c r="VWJ2487" s="58"/>
      <c r="VWK2487" s="58"/>
      <c r="VWL2487" s="60"/>
      <c r="VWM2487" s="60"/>
      <c r="VWN2487" s="60"/>
      <c r="VWO2487" s="58"/>
      <c r="VWP2487" s="61"/>
      <c r="VWQ2487" s="58"/>
      <c r="VWR2487" s="58"/>
      <c r="VWS2487" s="58"/>
      <c r="VWT2487" s="60"/>
      <c r="VWU2487" s="60"/>
      <c r="VWV2487" s="60"/>
      <c r="VWW2487" s="58"/>
      <c r="VWX2487" s="61"/>
      <c r="VWY2487" s="58"/>
      <c r="VWZ2487" s="58"/>
      <c r="VXA2487" s="58"/>
      <c r="VXB2487" s="60"/>
      <c r="VXC2487" s="60"/>
      <c r="VXD2487" s="60"/>
      <c r="VXE2487" s="58"/>
      <c r="VXF2487" s="61"/>
      <c r="VXG2487" s="58"/>
      <c r="VXH2487" s="58"/>
      <c r="VXI2487" s="58"/>
      <c r="VXJ2487" s="60"/>
      <c r="VXK2487" s="60"/>
      <c r="VXL2487" s="60"/>
      <c r="VXM2487" s="58"/>
      <c r="VXN2487" s="61"/>
      <c r="VXO2487" s="58"/>
      <c r="VXP2487" s="58"/>
      <c r="VXQ2487" s="58"/>
      <c r="VXR2487" s="60"/>
      <c r="VXS2487" s="60"/>
      <c r="VXT2487" s="60"/>
      <c r="VXU2487" s="58"/>
      <c r="VXV2487" s="61"/>
      <c r="VXW2487" s="58"/>
      <c r="VXX2487" s="58"/>
      <c r="VXY2487" s="58"/>
      <c r="VXZ2487" s="60"/>
      <c r="VYA2487" s="60"/>
      <c r="VYB2487" s="60"/>
      <c r="VYC2487" s="58"/>
      <c r="VYD2487" s="61"/>
      <c r="VYE2487" s="58"/>
      <c r="VYF2487" s="58"/>
      <c r="VYG2487" s="58"/>
      <c r="VYH2487" s="60"/>
      <c r="VYI2487" s="60"/>
      <c r="VYJ2487" s="60"/>
      <c r="VYK2487" s="58"/>
      <c r="VYL2487" s="61"/>
      <c r="VYM2487" s="58"/>
      <c r="VYN2487" s="58"/>
      <c r="VYO2487" s="58"/>
      <c r="VYP2487" s="60"/>
      <c r="VYQ2487" s="60"/>
      <c r="VYR2487" s="60"/>
      <c r="VYS2487" s="58"/>
      <c r="VYT2487" s="61"/>
      <c r="VYU2487" s="58"/>
      <c r="VYV2487" s="58"/>
      <c r="VYW2487" s="58"/>
      <c r="VYX2487" s="60"/>
      <c r="VYY2487" s="60"/>
      <c r="VYZ2487" s="60"/>
      <c r="VZA2487" s="58"/>
      <c r="VZB2487" s="61"/>
      <c r="VZC2487" s="58"/>
      <c r="VZD2487" s="58"/>
      <c r="VZE2487" s="58"/>
      <c r="VZF2487" s="60"/>
      <c r="VZG2487" s="60"/>
      <c r="VZH2487" s="60"/>
      <c r="VZI2487" s="58"/>
      <c r="VZJ2487" s="61"/>
      <c r="VZK2487" s="58"/>
      <c r="VZL2487" s="58"/>
      <c r="VZM2487" s="58"/>
      <c r="VZN2487" s="60"/>
      <c r="VZO2487" s="60"/>
      <c r="VZP2487" s="60"/>
      <c r="VZQ2487" s="58"/>
      <c r="VZR2487" s="61"/>
      <c r="VZS2487" s="58"/>
      <c r="VZT2487" s="58"/>
      <c r="VZU2487" s="58"/>
      <c r="VZV2487" s="60"/>
      <c r="VZW2487" s="60"/>
      <c r="VZX2487" s="60"/>
      <c r="VZY2487" s="58"/>
      <c r="VZZ2487" s="61"/>
      <c r="WAA2487" s="58"/>
      <c r="WAB2487" s="58"/>
      <c r="WAC2487" s="58"/>
      <c r="WAD2487" s="60"/>
      <c r="WAE2487" s="60"/>
      <c r="WAF2487" s="60"/>
      <c r="WAG2487" s="58"/>
      <c r="WAH2487" s="61"/>
      <c r="WAI2487" s="58"/>
      <c r="WAJ2487" s="58"/>
      <c r="WAK2487" s="58"/>
      <c r="WAL2487" s="60"/>
      <c r="WAM2487" s="60"/>
      <c r="WAN2487" s="60"/>
      <c r="WAO2487" s="58"/>
      <c r="WAP2487" s="61"/>
      <c r="WAQ2487" s="58"/>
      <c r="WAR2487" s="58"/>
      <c r="WAS2487" s="58"/>
      <c r="WAT2487" s="60"/>
      <c r="WAU2487" s="60"/>
      <c r="WAV2487" s="60"/>
      <c r="WAW2487" s="58"/>
      <c r="WAX2487" s="61"/>
      <c r="WAY2487" s="58"/>
      <c r="WAZ2487" s="58"/>
      <c r="WBA2487" s="58"/>
      <c r="WBB2487" s="60"/>
      <c r="WBC2487" s="60"/>
      <c r="WBD2487" s="60"/>
      <c r="WBE2487" s="58"/>
      <c r="WBF2487" s="61"/>
      <c r="WBG2487" s="58"/>
      <c r="WBH2487" s="58"/>
      <c r="WBI2487" s="58"/>
      <c r="WBJ2487" s="60"/>
      <c r="WBK2487" s="60"/>
      <c r="WBL2487" s="60"/>
      <c r="WBM2487" s="58"/>
      <c r="WBN2487" s="61"/>
      <c r="WBO2487" s="58"/>
      <c r="WBP2487" s="58"/>
      <c r="WBQ2487" s="58"/>
      <c r="WBR2487" s="60"/>
      <c r="WBS2487" s="60"/>
      <c r="WBT2487" s="60"/>
      <c r="WBU2487" s="58"/>
      <c r="WBV2487" s="61"/>
      <c r="WBW2487" s="58"/>
      <c r="WBX2487" s="58"/>
      <c r="WBY2487" s="58"/>
      <c r="WBZ2487" s="60"/>
      <c r="WCA2487" s="60"/>
      <c r="WCB2487" s="60"/>
      <c r="WCC2487" s="58"/>
      <c r="WCD2487" s="61"/>
      <c r="WCE2487" s="58"/>
      <c r="WCF2487" s="58"/>
      <c r="WCG2487" s="58"/>
      <c r="WCH2487" s="60"/>
      <c r="WCI2487" s="60"/>
      <c r="WCJ2487" s="60"/>
      <c r="WCK2487" s="58"/>
      <c r="WCL2487" s="61"/>
      <c r="WCM2487" s="58"/>
      <c r="WCN2487" s="58"/>
      <c r="WCO2487" s="58"/>
      <c r="WCP2487" s="60"/>
      <c r="WCQ2487" s="60"/>
      <c r="WCR2487" s="60"/>
      <c r="WCS2487" s="58"/>
      <c r="WCT2487" s="61"/>
      <c r="WCU2487" s="58"/>
      <c r="WCV2487" s="58"/>
      <c r="WCW2487" s="58"/>
      <c r="WCX2487" s="60"/>
      <c r="WCY2487" s="60"/>
      <c r="WCZ2487" s="60"/>
      <c r="WDA2487" s="58"/>
      <c r="WDB2487" s="61"/>
      <c r="WDC2487" s="58"/>
      <c r="WDD2487" s="58"/>
      <c r="WDE2487" s="58"/>
      <c r="WDF2487" s="60"/>
      <c r="WDG2487" s="60"/>
      <c r="WDH2487" s="60"/>
      <c r="WDI2487" s="58"/>
      <c r="WDJ2487" s="61"/>
      <c r="WDK2487" s="58"/>
      <c r="WDL2487" s="58"/>
      <c r="WDM2487" s="58"/>
      <c r="WDN2487" s="60"/>
      <c r="WDO2487" s="60"/>
      <c r="WDP2487" s="60"/>
      <c r="WDQ2487" s="58"/>
      <c r="WDR2487" s="61"/>
      <c r="WDS2487" s="58"/>
      <c r="WDT2487" s="58"/>
      <c r="WDU2487" s="58"/>
      <c r="WDV2487" s="60"/>
      <c r="WDW2487" s="60"/>
      <c r="WDX2487" s="60"/>
      <c r="WDY2487" s="58"/>
      <c r="WDZ2487" s="61"/>
      <c r="WEA2487" s="58"/>
      <c r="WEB2487" s="58"/>
      <c r="WEC2487" s="58"/>
      <c r="WED2487" s="60"/>
      <c r="WEE2487" s="60"/>
      <c r="WEF2487" s="60"/>
      <c r="WEG2487" s="58"/>
      <c r="WEH2487" s="61"/>
      <c r="WEI2487" s="58"/>
      <c r="WEJ2487" s="58"/>
      <c r="WEK2487" s="58"/>
      <c r="WEL2487" s="60"/>
      <c r="WEM2487" s="60"/>
      <c r="WEN2487" s="60"/>
      <c r="WEO2487" s="58"/>
      <c r="WEP2487" s="61"/>
      <c r="WEQ2487" s="58"/>
      <c r="WER2487" s="58"/>
      <c r="WES2487" s="58"/>
      <c r="WET2487" s="60"/>
      <c r="WEU2487" s="60"/>
      <c r="WEV2487" s="60"/>
      <c r="WEW2487" s="58"/>
      <c r="WEX2487" s="61"/>
      <c r="WEY2487" s="58"/>
      <c r="WEZ2487" s="58"/>
      <c r="WFA2487" s="58"/>
      <c r="WFB2487" s="60"/>
      <c r="WFC2487" s="60"/>
      <c r="WFD2487" s="60"/>
      <c r="WFE2487" s="58"/>
      <c r="WFF2487" s="61"/>
      <c r="WFG2487" s="58"/>
      <c r="WFH2487" s="58"/>
      <c r="WFI2487" s="58"/>
      <c r="WFJ2487" s="60"/>
      <c r="WFK2487" s="60"/>
      <c r="WFL2487" s="60"/>
      <c r="WFM2487" s="58"/>
      <c r="WFN2487" s="61"/>
      <c r="WFO2487" s="58"/>
      <c r="WFP2487" s="58"/>
      <c r="WFQ2487" s="58"/>
      <c r="WFR2487" s="60"/>
      <c r="WFS2487" s="60"/>
      <c r="WFT2487" s="60"/>
      <c r="WFU2487" s="58"/>
      <c r="WFV2487" s="61"/>
      <c r="WFW2487" s="58"/>
      <c r="WFX2487" s="58"/>
      <c r="WFY2487" s="58"/>
      <c r="WFZ2487" s="60"/>
      <c r="WGA2487" s="60"/>
      <c r="WGB2487" s="60"/>
      <c r="WGC2487" s="58"/>
      <c r="WGD2487" s="61"/>
      <c r="WGE2487" s="58"/>
      <c r="WGF2487" s="58"/>
      <c r="WGG2487" s="58"/>
      <c r="WGH2487" s="60"/>
      <c r="WGI2487" s="60"/>
      <c r="WGJ2487" s="60"/>
      <c r="WGK2487" s="58"/>
      <c r="WGL2487" s="61"/>
      <c r="WGM2487" s="58"/>
      <c r="WGN2487" s="58"/>
      <c r="WGO2487" s="58"/>
      <c r="WGP2487" s="60"/>
      <c r="WGQ2487" s="60"/>
      <c r="WGR2487" s="60"/>
      <c r="WGS2487" s="58"/>
      <c r="WGT2487" s="61"/>
      <c r="WGU2487" s="58"/>
      <c r="WGV2487" s="58"/>
      <c r="WGW2487" s="58"/>
      <c r="WGX2487" s="60"/>
      <c r="WGY2487" s="60"/>
      <c r="WGZ2487" s="60"/>
      <c r="WHA2487" s="58"/>
      <c r="WHB2487" s="61"/>
      <c r="WHC2487" s="58"/>
      <c r="WHD2487" s="58"/>
      <c r="WHE2487" s="58"/>
      <c r="WHF2487" s="60"/>
      <c r="WHG2487" s="60"/>
      <c r="WHH2487" s="60"/>
      <c r="WHI2487" s="58"/>
      <c r="WHJ2487" s="61"/>
      <c r="WHK2487" s="58"/>
      <c r="WHL2487" s="58"/>
      <c r="WHM2487" s="58"/>
      <c r="WHN2487" s="60"/>
      <c r="WHO2487" s="60"/>
      <c r="WHP2487" s="60"/>
      <c r="WHQ2487" s="58"/>
      <c r="WHR2487" s="61"/>
      <c r="WHS2487" s="58"/>
      <c r="WHT2487" s="58"/>
      <c r="WHU2487" s="58"/>
      <c r="WHV2487" s="60"/>
      <c r="WHW2487" s="60"/>
      <c r="WHX2487" s="60"/>
      <c r="WHY2487" s="58"/>
      <c r="WHZ2487" s="61"/>
      <c r="WIA2487" s="58"/>
      <c r="WIB2487" s="58"/>
      <c r="WIC2487" s="58"/>
      <c r="WID2487" s="60"/>
      <c r="WIE2487" s="60"/>
      <c r="WIF2487" s="60"/>
      <c r="WIG2487" s="58"/>
      <c r="WIH2487" s="61"/>
      <c r="WII2487" s="58"/>
      <c r="WIJ2487" s="58"/>
      <c r="WIK2487" s="58"/>
      <c r="WIL2487" s="60"/>
      <c r="WIM2487" s="60"/>
      <c r="WIN2487" s="60"/>
      <c r="WIO2487" s="58"/>
      <c r="WIP2487" s="61"/>
      <c r="WIQ2487" s="58"/>
      <c r="WIR2487" s="58"/>
      <c r="WIS2487" s="58"/>
      <c r="WIT2487" s="60"/>
      <c r="WIU2487" s="60"/>
      <c r="WIV2487" s="60"/>
      <c r="WIW2487" s="58"/>
      <c r="WIX2487" s="61"/>
      <c r="WIY2487" s="58"/>
      <c r="WIZ2487" s="58"/>
      <c r="WJA2487" s="58"/>
      <c r="WJB2487" s="60"/>
      <c r="WJC2487" s="60"/>
      <c r="WJD2487" s="60"/>
      <c r="WJE2487" s="58"/>
      <c r="WJF2487" s="61"/>
      <c r="WJG2487" s="58"/>
      <c r="WJH2487" s="58"/>
      <c r="WJI2487" s="58"/>
      <c r="WJJ2487" s="60"/>
      <c r="WJK2487" s="60"/>
      <c r="WJL2487" s="60"/>
      <c r="WJM2487" s="58"/>
      <c r="WJN2487" s="61"/>
      <c r="WJO2487" s="58"/>
      <c r="WJP2487" s="58"/>
      <c r="WJQ2487" s="58"/>
      <c r="WJR2487" s="60"/>
      <c r="WJS2487" s="60"/>
      <c r="WJT2487" s="60"/>
      <c r="WJU2487" s="58"/>
      <c r="WJV2487" s="61"/>
      <c r="WJW2487" s="58"/>
      <c r="WJX2487" s="58"/>
      <c r="WJY2487" s="58"/>
      <c r="WJZ2487" s="60"/>
      <c r="WKA2487" s="60"/>
      <c r="WKB2487" s="60"/>
      <c r="WKC2487" s="58"/>
      <c r="WKD2487" s="61"/>
      <c r="WKE2487" s="58"/>
      <c r="WKF2487" s="58"/>
      <c r="WKG2487" s="58"/>
      <c r="WKH2487" s="60"/>
      <c r="WKI2487" s="60"/>
      <c r="WKJ2487" s="60"/>
      <c r="WKK2487" s="58"/>
      <c r="WKL2487" s="61"/>
      <c r="WKM2487" s="58"/>
      <c r="WKN2487" s="58"/>
      <c r="WKO2487" s="58"/>
      <c r="WKP2487" s="60"/>
      <c r="WKQ2487" s="60"/>
      <c r="WKR2487" s="60"/>
      <c r="WKS2487" s="58"/>
      <c r="WKT2487" s="61"/>
      <c r="WKU2487" s="58"/>
      <c r="WKV2487" s="58"/>
      <c r="WKW2487" s="58"/>
      <c r="WKX2487" s="60"/>
      <c r="WKY2487" s="60"/>
      <c r="WKZ2487" s="60"/>
      <c r="WLA2487" s="58"/>
      <c r="WLB2487" s="61"/>
      <c r="WLC2487" s="58"/>
      <c r="WLD2487" s="58"/>
      <c r="WLE2487" s="58"/>
      <c r="WLF2487" s="60"/>
      <c r="WLG2487" s="60"/>
      <c r="WLH2487" s="60"/>
      <c r="WLI2487" s="58"/>
      <c r="WLJ2487" s="61"/>
      <c r="WLK2487" s="58"/>
      <c r="WLL2487" s="58"/>
      <c r="WLM2487" s="58"/>
      <c r="WLN2487" s="60"/>
      <c r="WLO2487" s="60"/>
      <c r="WLP2487" s="60"/>
      <c r="WLQ2487" s="58"/>
      <c r="WLR2487" s="61"/>
      <c r="WLS2487" s="58"/>
      <c r="WLT2487" s="58"/>
      <c r="WLU2487" s="58"/>
      <c r="WLV2487" s="60"/>
      <c r="WLW2487" s="60"/>
      <c r="WLX2487" s="60"/>
      <c r="WLY2487" s="58"/>
      <c r="WLZ2487" s="61"/>
      <c r="WMA2487" s="58"/>
      <c r="WMB2487" s="58"/>
      <c r="WMC2487" s="58"/>
      <c r="WMD2487" s="60"/>
      <c r="WME2487" s="60"/>
      <c r="WMF2487" s="60"/>
      <c r="WMG2487" s="58"/>
      <c r="WMH2487" s="61"/>
      <c r="WMI2487" s="58"/>
      <c r="WMJ2487" s="58"/>
      <c r="WMK2487" s="58"/>
      <c r="WML2487" s="60"/>
      <c r="WMM2487" s="60"/>
      <c r="WMN2487" s="60"/>
      <c r="WMO2487" s="58"/>
      <c r="WMP2487" s="61"/>
      <c r="WMQ2487" s="58"/>
      <c r="WMR2487" s="58"/>
      <c r="WMS2487" s="58"/>
      <c r="WMT2487" s="60"/>
      <c r="WMU2487" s="60"/>
      <c r="WMV2487" s="60"/>
      <c r="WMW2487" s="58"/>
      <c r="WMX2487" s="61"/>
      <c r="WMY2487" s="58"/>
      <c r="WMZ2487" s="58"/>
      <c r="WNA2487" s="58"/>
      <c r="WNB2487" s="60"/>
      <c r="WNC2487" s="60"/>
      <c r="WND2487" s="60"/>
      <c r="WNE2487" s="58"/>
      <c r="WNF2487" s="61"/>
      <c r="WNG2487" s="58"/>
      <c r="WNH2487" s="58"/>
      <c r="WNI2487" s="58"/>
      <c r="WNJ2487" s="60"/>
      <c r="WNK2487" s="60"/>
      <c r="WNL2487" s="60"/>
      <c r="WNM2487" s="58"/>
      <c r="WNN2487" s="61"/>
      <c r="WNO2487" s="58"/>
      <c r="WNP2487" s="58"/>
      <c r="WNQ2487" s="58"/>
      <c r="WNR2487" s="60"/>
      <c r="WNS2487" s="60"/>
      <c r="WNT2487" s="60"/>
      <c r="WNU2487" s="58"/>
      <c r="WNV2487" s="61"/>
      <c r="WNW2487" s="58"/>
      <c r="WNX2487" s="58"/>
      <c r="WNY2487" s="58"/>
      <c r="WNZ2487" s="60"/>
      <c r="WOA2487" s="60"/>
      <c r="WOB2487" s="60"/>
      <c r="WOC2487" s="58"/>
      <c r="WOD2487" s="61"/>
      <c r="WOE2487" s="58"/>
      <c r="WOF2487" s="58"/>
      <c r="WOG2487" s="58"/>
      <c r="WOH2487" s="60"/>
      <c r="WOI2487" s="60"/>
      <c r="WOJ2487" s="60"/>
      <c r="WOK2487" s="58"/>
      <c r="WOL2487" s="61"/>
      <c r="WOM2487" s="58"/>
      <c r="WON2487" s="58"/>
      <c r="WOO2487" s="58"/>
      <c r="WOP2487" s="60"/>
      <c r="WOQ2487" s="60"/>
      <c r="WOR2487" s="60"/>
      <c r="WOS2487" s="58"/>
      <c r="WOT2487" s="61"/>
      <c r="WOU2487" s="58"/>
      <c r="WOV2487" s="58"/>
      <c r="WOW2487" s="58"/>
      <c r="WOX2487" s="60"/>
      <c r="WOY2487" s="60"/>
      <c r="WOZ2487" s="60"/>
      <c r="WPA2487" s="58"/>
      <c r="WPB2487" s="61"/>
      <c r="WPC2487" s="58"/>
      <c r="WPD2487" s="58"/>
      <c r="WPE2487" s="58"/>
      <c r="WPF2487" s="60"/>
      <c r="WPG2487" s="60"/>
      <c r="WPH2487" s="60"/>
      <c r="WPI2487" s="58"/>
      <c r="WPJ2487" s="61"/>
      <c r="WPK2487" s="58"/>
      <c r="WPL2487" s="58"/>
      <c r="WPM2487" s="58"/>
      <c r="WPN2487" s="60"/>
      <c r="WPO2487" s="60"/>
      <c r="WPP2487" s="60"/>
      <c r="WPQ2487" s="58"/>
      <c r="WPR2487" s="61"/>
      <c r="WPS2487" s="58"/>
      <c r="WPT2487" s="58"/>
      <c r="WPU2487" s="58"/>
      <c r="WPV2487" s="60"/>
      <c r="WPW2487" s="60"/>
      <c r="WPX2487" s="60"/>
      <c r="WPY2487" s="58"/>
      <c r="WPZ2487" s="61"/>
      <c r="WQA2487" s="58"/>
      <c r="WQB2487" s="58"/>
      <c r="WQC2487" s="58"/>
      <c r="WQD2487" s="60"/>
      <c r="WQE2487" s="60"/>
      <c r="WQF2487" s="60"/>
      <c r="WQG2487" s="58"/>
      <c r="WQH2487" s="61"/>
      <c r="WQI2487" s="58"/>
      <c r="WQJ2487" s="58"/>
      <c r="WQK2487" s="58"/>
      <c r="WQL2487" s="60"/>
      <c r="WQM2487" s="60"/>
      <c r="WQN2487" s="60"/>
      <c r="WQO2487" s="58"/>
      <c r="WQP2487" s="61"/>
      <c r="WQQ2487" s="58"/>
      <c r="WQR2487" s="58"/>
      <c r="WQS2487" s="58"/>
      <c r="WQT2487" s="60"/>
      <c r="WQU2487" s="60"/>
      <c r="WQV2487" s="60"/>
      <c r="WQW2487" s="58"/>
      <c r="WQX2487" s="61"/>
      <c r="WQY2487" s="58"/>
      <c r="WQZ2487" s="58"/>
      <c r="WRA2487" s="58"/>
      <c r="WRB2487" s="60"/>
      <c r="WRC2487" s="60"/>
      <c r="WRD2487" s="60"/>
      <c r="WRE2487" s="58"/>
      <c r="WRF2487" s="61"/>
      <c r="WRG2487" s="58"/>
      <c r="WRH2487" s="58"/>
      <c r="WRI2487" s="58"/>
      <c r="WRJ2487" s="60"/>
      <c r="WRK2487" s="60"/>
      <c r="WRL2487" s="60"/>
      <c r="WRM2487" s="58"/>
      <c r="WRN2487" s="61"/>
      <c r="WRO2487" s="58"/>
      <c r="WRP2487" s="58"/>
      <c r="WRQ2487" s="58"/>
      <c r="WRR2487" s="60"/>
      <c r="WRS2487" s="60"/>
      <c r="WRT2487" s="60"/>
      <c r="WRU2487" s="58"/>
      <c r="WRV2487" s="61"/>
      <c r="WRW2487" s="58"/>
      <c r="WRX2487" s="58"/>
      <c r="WRY2487" s="58"/>
      <c r="WRZ2487" s="60"/>
      <c r="WSA2487" s="60"/>
      <c r="WSB2487" s="60"/>
      <c r="WSC2487" s="58"/>
      <c r="WSD2487" s="61"/>
      <c r="WSE2487" s="58"/>
      <c r="WSF2487" s="58"/>
      <c r="WSG2487" s="58"/>
      <c r="WSH2487" s="60"/>
      <c r="WSI2487" s="60"/>
      <c r="WSJ2487" s="60"/>
      <c r="WSK2487" s="58"/>
      <c r="WSL2487" s="61"/>
      <c r="WSM2487" s="58"/>
      <c r="WSN2487" s="58"/>
      <c r="WSO2487" s="58"/>
      <c r="WSP2487" s="60"/>
      <c r="WSQ2487" s="60"/>
      <c r="WSR2487" s="60"/>
      <c r="WSS2487" s="58"/>
      <c r="WST2487" s="61"/>
      <c r="WSU2487" s="58"/>
      <c r="WSV2487" s="58"/>
      <c r="WSW2487" s="58"/>
      <c r="WSX2487" s="60"/>
      <c r="WSY2487" s="60"/>
      <c r="WSZ2487" s="60"/>
      <c r="WTA2487" s="58"/>
      <c r="WTB2487" s="61"/>
      <c r="WTC2487" s="58"/>
      <c r="WTD2487" s="58"/>
      <c r="WTE2487" s="58"/>
      <c r="WTF2487" s="60"/>
      <c r="WTG2487" s="60"/>
      <c r="WTH2487" s="60"/>
      <c r="WTI2487" s="58"/>
      <c r="WTJ2487" s="61"/>
      <c r="WTK2487" s="58"/>
      <c r="WTL2487" s="58"/>
      <c r="WTM2487" s="58"/>
      <c r="WTN2487" s="60"/>
      <c r="WTO2487" s="60"/>
      <c r="WTP2487" s="60"/>
      <c r="WTQ2487" s="58"/>
      <c r="WTR2487" s="61"/>
      <c r="WTS2487" s="58"/>
      <c r="WTT2487" s="58"/>
      <c r="WTU2487" s="58"/>
      <c r="WTV2487" s="60"/>
      <c r="WTW2487" s="60"/>
      <c r="WTX2487" s="60"/>
      <c r="WTY2487" s="58"/>
      <c r="WTZ2487" s="61"/>
      <c r="WUA2487" s="58"/>
      <c r="WUB2487" s="58"/>
      <c r="WUC2487" s="58"/>
      <c r="WUD2487" s="60"/>
      <c r="WUE2487" s="60"/>
      <c r="WUF2487" s="60"/>
      <c r="WUG2487" s="58"/>
      <c r="WUH2487" s="61"/>
      <c r="WUI2487" s="58"/>
      <c r="WUJ2487" s="58"/>
      <c r="WUK2487" s="58"/>
      <c r="WUL2487" s="60"/>
      <c r="WUM2487" s="60"/>
      <c r="WUN2487" s="60"/>
      <c r="WUO2487" s="58"/>
      <c r="WUP2487" s="61"/>
      <c r="WUQ2487" s="58"/>
      <c r="WUR2487" s="58"/>
      <c r="WUS2487" s="58"/>
      <c r="WUT2487" s="60"/>
      <c r="WUU2487" s="60"/>
      <c r="WUV2487" s="60"/>
      <c r="WUW2487" s="58"/>
      <c r="WUX2487" s="61"/>
      <c r="WUY2487" s="58"/>
      <c r="WUZ2487" s="58"/>
      <c r="WVA2487" s="58"/>
      <c r="WVB2487" s="60"/>
      <c r="WVC2487" s="60"/>
      <c r="WVD2487" s="60"/>
      <c r="WVE2487" s="58"/>
      <c r="WVF2487" s="61"/>
      <c r="WVG2487" s="58"/>
      <c r="WVH2487" s="58"/>
      <c r="WVI2487" s="58"/>
      <c r="WVJ2487" s="60"/>
      <c r="WVK2487" s="60"/>
      <c r="WVL2487" s="60"/>
      <c r="WVM2487" s="58"/>
      <c r="WVN2487" s="61"/>
      <c r="WVO2487" s="58"/>
      <c r="WVP2487" s="58"/>
      <c r="WVQ2487" s="58"/>
      <c r="WVR2487" s="60"/>
      <c r="WVS2487" s="60"/>
      <c r="WVT2487" s="60"/>
      <c r="WVU2487" s="58"/>
      <c r="WVV2487" s="61"/>
      <c r="WVW2487" s="58"/>
      <c r="WVX2487" s="58"/>
      <c r="WVY2487" s="58"/>
      <c r="WVZ2487" s="60"/>
      <c r="WWA2487" s="60"/>
      <c r="WWB2487" s="60"/>
      <c r="WWC2487" s="58"/>
      <c r="WWD2487" s="61"/>
      <c r="WWE2487" s="58"/>
      <c r="WWF2487" s="58"/>
      <c r="WWG2487" s="58"/>
      <c r="WWH2487" s="60"/>
      <c r="WWI2487" s="60"/>
      <c r="WWJ2487" s="60"/>
      <c r="WWK2487" s="58"/>
      <c r="WWL2487" s="61"/>
      <c r="WWM2487" s="58"/>
      <c r="WWN2487" s="58"/>
      <c r="WWO2487" s="58"/>
      <c r="WWP2487" s="60"/>
      <c r="WWQ2487" s="60"/>
      <c r="WWR2487" s="60"/>
      <c r="WWS2487" s="58"/>
      <c r="WWT2487" s="61"/>
      <c r="WWU2487" s="58"/>
      <c r="WWV2487" s="58"/>
      <c r="WWW2487" s="58"/>
      <c r="WWX2487" s="60"/>
      <c r="WWY2487" s="60"/>
      <c r="WWZ2487" s="60"/>
      <c r="WXA2487" s="58"/>
      <c r="WXB2487" s="61"/>
      <c r="WXC2487" s="58"/>
      <c r="WXD2487" s="58"/>
      <c r="WXE2487" s="58"/>
      <c r="WXF2487" s="60"/>
      <c r="WXG2487" s="60"/>
      <c r="WXH2487" s="60"/>
      <c r="WXI2487" s="58"/>
      <c r="WXJ2487" s="61"/>
      <c r="WXK2487" s="58"/>
      <c r="WXL2487" s="58"/>
      <c r="WXM2487" s="58"/>
      <c r="WXN2487" s="60"/>
      <c r="WXO2487" s="60"/>
      <c r="WXP2487" s="60"/>
      <c r="WXQ2487" s="58"/>
      <c r="WXR2487" s="61"/>
      <c r="WXS2487" s="58"/>
      <c r="WXT2487" s="58"/>
      <c r="WXU2487" s="58"/>
      <c r="WXV2487" s="60"/>
      <c r="WXW2487" s="60"/>
      <c r="WXX2487" s="60"/>
      <c r="WXY2487" s="58"/>
      <c r="WXZ2487" s="61"/>
      <c r="WYA2487" s="58"/>
      <c r="WYB2487" s="58"/>
      <c r="WYC2487" s="58"/>
      <c r="WYD2487" s="60"/>
      <c r="WYE2487" s="60"/>
      <c r="WYF2487" s="60"/>
      <c r="WYG2487" s="58"/>
      <c r="WYH2487" s="61"/>
      <c r="WYI2487" s="58"/>
      <c r="WYJ2487" s="58"/>
      <c r="WYK2487" s="58"/>
      <c r="WYL2487" s="60"/>
      <c r="WYM2487" s="60"/>
      <c r="WYN2487" s="60"/>
      <c r="WYO2487" s="58"/>
      <c r="WYP2487" s="61"/>
      <c r="WYQ2487" s="58"/>
      <c r="WYR2487" s="58"/>
      <c r="WYS2487" s="58"/>
      <c r="WYT2487" s="60"/>
      <c r="WYU2487" s="60"/>
      <c r="WYV2487" s="60"/>
      <c r="WYW2487" s="58"/>
      <c r="WYX2487" s="61"/>
      <c r="WYY2487" s="58"/>
      <c r="WYZ2487" s="58"/>
      <c r="WZA2487" s="58"/>
      <c r="WZB2487" s="60"/>
      <c r="WZC2487" s="60"/>
      <c r="WZD2487" s="60"/>
      <c r="WZE2487" s="58"/>
      <c r="WZF2487" s="61"/>
      <c r="WZG2487" s="58"/>
      <c r="WZH2487" s="58"/>
      <c r="WZI2487" s="58"/>
      <c r="WZJ2487" s="60"/>
      <c r="WZK2487" s="60"/>
      <c r="WZL2487" s="60"/>
      <c r="WZM2487" s="58"/>
      <c r="WZN2487" s="61"/>
      <c r="WZO2487" s="58"/>
      <c r="WZP2487" s="58"/>
      <c r="WZQ2487" s="58"/>
      <c r="WZR2487" s="60"/>
      <c r="WZS2487" s="60"/>
      <c r="WZT2487" s="60"/>
      <c r="WZU2487" s="58"/>
      <c r="WZV2487" s="61"/>
      <c r="WZW2487" s="58"/>
      <c r="WZX2487" s="58"/>
      <c r="WZY2487" s="58"/>
      <c r="WZZ2487" s="60"/>
      <c r="XAA2487" s="60"/>
      <c r="XAB2487" s="60"/>
      <c r="XAC2487" s="58"/>
      <c r="XAD2487" s="61"/>
      <c r="XAE2487" s="58"/>
      <c r="XAF2487" s="58"/>
      <c r="XAG2487" s="58"/>
      <c r="XAH2487" s="60"/>
      <c r="XAI2487" s="60"/>
      <c r="XAJ2487" s="60"/>
      <c r="XAK2487" s="58"/>
      <c r="XAL2487" s="61"/>
      <c r="XAM2487" s="58"/>
      <c r="XAN2487" s="58"/>
      <c r="XAO2487" s="58"/>
      <c r="XAP2487" s="60"/>
      <c r="XAQ2487" s="60"/>
      <c r="XAR2487" s="60"/>
      <c r="XAS2487" s="58"/>
      <c r="XAT2487" s="61"/>
      <c r="XAU2487" s="58"/>
      <c r="XAV2487" s="58"/>
      <c r="XAW2487" s="58"/>
      <c r="XAX2487" s="60"/>
      <c r="XAY2487" s="60"/>
      <c r="XAZ2487" s="60"/>
      <c r="XBA2487" s="58"/>
      <c r="XBB2487" s="61"/>
      <c r="XBC2487" s="58"/>
      <c r="XBD2487" s="58"/>
      <c r="XBE2487" s="58"/>
      <c r="XBF2487" s="60"/>
      <c r="XBG2487" s="60"/>
      <c r="XBH2487" s="60"/>
      <c r="XBI2487" s="58"/>
      <c r="XBJ2487" s="61"/>
      <c r="XBK2487" s="58"/>
      <c r="XBL2487" s="58"/>
      <c r="XBM2487" s="58"/>
      <c r="XBN2487" s="60"/>
      <c r="XBO2487" s="60"/>
      <c r="XBP2487" s="60"/>
      <c r="XBQ2487" s="58"/>
      <c r="XBR2487" s="61"/>
      <c r="XBS2487" s="58"/>
      <c r="XBT2487" s="58"/>
      <c r="XBU2487" s="58"/>
      <c r="XBV2487" s="60"/>
      <c r="XBW2487" s="60"/>
      <c r="XBX2487" s="60"/>
      <c r="XBY2487" s="58"/>
      <c r="XBZ2487" s="61"/>
      <c r="XCA2487" s="58"/>
      <c r="XCB2487" s="58"/>
      <c r="XCC2487" s="58"/>
      <c r="XCD2487" s="60"/>
      <c r="XCE2487" s="60"/>
      <c r="XCF2487" s="60"/>
      <c r="XCG2487" s="58"/>
      <c r="XCH2487" s="61"/>
      <c r="XCI2487" s="58"/>
      <c r="XCJ2487" s="58"/>
      <c r="XCK2487" s="58"/>
      <c r="XCL2487" s="60"/>
      <c r="XCM2487" s="60"/>
      <c r="XCN2487" s="60"/>
      <c r="XCO2487" s="58"/>
      <c r="XCP2487" s="61"/>
      <c r="XCQ2487" s="58"/>
      <c r="XCR2487" s="58"/>
      <c r="XCS2487" s="58"/>
      <c r="XCT2487" s="60"/>
      <c r="XCU2487" s="60"/>
      <c r="XCV2487" s="60"/>
      <c r="XCW2487" s="58"/>
      <c r="XCX2487" s="61"/>
      <c r="XCY2487" s="58"/>
      <c r="XCZ2487" s="58"/>
      <c r="XDA2487" s="58"/>
      <c r="XDB2487" s="60"/>
      <c r="XDC2487" s="60"/>
      <c r="XDD2487" s="60"/>
      <c r="XDE2487" s="58"/>
      <c r="XDF2487" s="61"/>
      <c r="XDG2487" s="58"/>
      <c r="XDH2487" s="58"/>
      <c r="XDI2487" s="58"/>
      <c r="XDJ2487" s="60"/>
      <c r="XDK2487" s="60"/>
      <c r="XDL2487" s="60"/>
      <c r="XDM2487" s="58"/>
      <c r="XDN2487" s="61"/>
      <c r="XDO2487" s="58"/>
      <c r="XDP2487" s="58"/>
      <c r="XDQ2487" s="58"/>
      <c r="XDR2487" s="60"/>
      <c r="XDS2487" s="60"/>
      <c r="XDT2487" s="60"/>
      <c r="XDU2487" s="58"/>
      <c r="XDV2487" s="61"/>
      <c r="XDW2487" s="58"/>
      <c r="XDX2487" s="58"/>
      <c r="XDY2487" s="58"/>
      <c r="XDZ2487" s="60"/>
      <c r="XEA2487" s="60"/>
      <c r="XEB2487" s="60"/>
      <c r="XEC2487" s="58"/>
      <c r="XED2487" s="61"/>
      <c r="XEE2487" s="58"/>
      <c r="XEF2487" s="58"/>
      <c r="XEG2487" s="58"/>
      <c r="XEH2487" s="60"/>
      <c r="XEI2487" s="60"/>
      <c r="XEJ2487" s="60"/>
      <c r="XEK2487" s="58"/>
      <c r="XEL2487" s="61"/>
      <c r="XEM2487" s="58"/>
      <c r="XEN2487" s="58"/>
      <c r="XEO2487" s="58"/>
      <c r="XEP2487" s="60"/>
      <c r="XEQ2487" s="60"/>
      <c r="XER2487" s="60"/>
      <c r="XES2487" s="58"/>
      <c r="XET2487" s="61"/>
      <c r="XEU2487" s="58"/>
      <c r="XEV2487" s="58"/>
      <c r="XEW2487" s="58"/>
    </row>
    <row r="2488" ht="18" customHeight="1" spans="1:16377">
      <c r="A2488" s="6" t="s">
        <v>8209</v>
      </c>
      <c r="B2488" s="6" t="s">
        <v>8642</v>
      </c>
      <c r="C2488" s="6" t="s">
        <v>16424</v>
      </c>
      <c r="D2488" s="5" t="s">
        <v>16374</v>
      </c>
      <c r="E2488" s="195" t="s">
        <v>16425</v>
      </c>
      <c r="F2488" s="7" t="s">
        <v>11535</v>
      </c>
      <c r="G2488" s="58"/>
      <c r="H2488" s="58"/>
      <c r="I2488" s="58"/>
      <c r="J2488" s="60"/>
      <c r="K2488" s="60"/>
      <c r="L2488" s="60"/>
      <c r="M2488" s="58"/>
      <c r="N2488" s="61"/>
      <c r="O2488" s="58"/>
      <c r="P2488" s="58"/>
      <c r="Q2488" s="58"/>
      <c r="R2488" s="60"/>
      <c r="S2488" s="60"/>
      <c r="T2488" s="60"/>
      <c r="U2488" s="58"/>
      <c r="V2488" s="61"/>
      <c r="W2488" s="58"/>
      <c r="X2488" s="58"/>
      <c r="Y2488" s="58"/>
      <c r="Z2488" s="60"/>
      <c r="AA2488" s="60"/>
      <c r="AB2488" s="60"/>
      <c r="AC2488" s="58"/>
      <c r="AD2488" s="61"/>
      <c r="AE2488" s="58"/>
      <c r="AF2488" s="58"/>
      <c r="AG2488" s="58"/>
      <c r="AH2488" s="60"/>
      <c r="AI2488" s="60"/>
      <c r="AJ2488" s="60"/>
      <c r="AK2488" s="58"/>
      <c r="AL2488" s="61"/>
      <c r="AM2488" s="58"/>
      <c r="AN2488" s="58"/>
      <c r="AO2488" s="58"/>
      <c r="AP2488" s="60"/>
      <c r="AQ2488" s="60"/>
      <c r="AR2488" s="60"/>
      <c r="AS2488" s="58"/>
      <c r="AT2488" s="61"/>
      <c r="AU2488" s="58"/>
      <c r="AV2488" s="58"/>
      <c r="AW2488" s="58"/>
      <c r="AX2488" s="60"/>
      <c r="AY2488" s="60"/>
      <c r="AZ2488" s="60"/>
      <c r="BA2488" s="58"/>
      <c r="BB2488" s="61"/>
      <c r="BC2488" s="58"/>
      <c r="BD2488" s="58"/>
      <c r="BE2488" s="58"/>
      <c r="BF2488" s="60"/>
      <c r="BG2488" s="60"/>
      <c r="BH2488" s="60"/>
      <c r="BI2488" s="58"/>
      <c r="BJ2488" s="61"/>
      <c r="BK2488" s="58"/>
      <c r="BL2488" s="58"/>
      <c r="BM2488" s="58"/>
      <c r="BN2488" s="60"/>
      <c r="BO2488" s="60"/>
      <c r="BP2488" s="60"/>
      <c r="BQ2488" s="58"/>
      <c r="BR2488" s="61"/>
      <c r="BS2488" s="58"/>
      <c r="BT2488" s="58"/>
      <c r="BU2488" s="58"/>
      <c r="BV2488" s="60"/>
      <c r="BW2488" s="60"/>
      <c r="BX2488" s="60"/>
      <c r="BY2488" s="58"/>
      <c r="BZ2488" s="61"/>
      <c r="CA2488" s="58"/>
      <c r="CB2488" s="58"/>
      <c r="CC2488" s="58"/>
      <c r="CD2488" s="60"/>
      <c r="CE2488" s="60"/>
      <c r="CF2488" s="60"/>
      <c r="CG2488" s="58"/>
      <c r="CH2488" s="61"/>
      <c r="CI2488" s="58"/>
      <c r="CJ2488" s="58"/>
      <c r="CK2488" s="58"/>
      <c r="CL2488" s="60"/>
      <c r="CM2488" s="60"/>
      <c r="CN2488" s="60"/>
      <c r="CO2488" s="58"/>
      <c r="CP2488" s="61"/>
      <c r="CQ2488" s="58"/>
      <c r="CR2488" s="58"/>
      <c r="CS2488" s="58"/>
      <c r="CT2488" s="60"/>
      <c r="CU2488" s="60"/>
      <c r="CV2488" s="60"/>
      <c r="CW2488" s="58"/>
      <c r="CX2488" s="61"/>
      <c r="CY2488" s="58"/>
      <c r="CZ2488" s="58"/>
      <c r="DA2488" s="58"/>
      <c r="DB2488" s="60"/>
      <c r="DC2488" s="60"/>
      <c r="DD2488" s="60"/>
      <c r="DE2488" s="58"/>
      <c r="DF2488" s="61"/>
      <c r="DG2488" s="58"/>
      <c r="DH2488" s="58"/>
      <c r="DI2488" s="58"/>
      <c r="DJ2488" s="60"/>
      <c r="DK2488" s="60"/>
      <c r="DL2488" s="60"/>
      <c r="DM2488" s="58"/>
      <c r="DN2488" s="61"/>
      <c r="DO2488" s="58"/>
      <c r="DP2488" s="58"/>
      <c r="DQ2488" s="58"/>
      <c r="DR2488" s="60"/>
      <c r="DS2488" s="60"/>
      <c r="DT2488" s="60"/>
      <c r="DU2488" s="58"/>
      <c r="DV2488" s="61"/>
      <c r="DW2488" s="58"/>
      <c r="DX2488" s="58"/>
      <c r="DY2488" s="58"/>
      <c r="DZ2488" s="60"/>
      <c r="EA2488" s="60"/>
      <c r="EB2488" s="60"/>
      <c r="EC2488" s="58"/>
      <c r="ED2488" s="61"/>
      <c r="EE2488" s="58"/>
      <c r="EF2488" s="58"/>
      <c r="EG2488" s="58"/>
      <c r="EH2488" s="60"/>
      <c r="EI2488" s="60"/>
      <c r="EJ2488" s="60"/>
      <c r="EK2488" s="58"/>
      <c r="EL2488" s="61"/>
      <c r="EM2488" s="58"/>
      <c r="EN2488" s="58"/>
      <c r="EO2488" s="58"/>
      <c r="EP2488" s="60"/>
      <c r="EQ2488" s="60"/>
      <c r="ER2488" s="60"/>
      <c r="ES2488" s="58"/>
      <c r="ET2488" s="61"/>
      <c r="EU2488" s="58"/>
      <c r="EV2488" s="58"/>
      <c r="EW2488" s="58"/>
      <c r="EX2488" s="60"/>
      <c r="EY2488" s="60"/>
      <c r="EZ2488" s="60"/>
      <c r="FA2488" s="58"/>
      <c r="FB2488" s="61"/>
      <c r="FC2488" s="58"/>
      <c r="FD2488" s="58"/>
      <c r="FE2488" s="58"/>
      <c r="FF2488" s="60"/>
      <c r="FG2488" s="60"/>
      <c r="FH2488" s="60"/>
      <c r="FI2488" s="58"/>
      <c r="FJ2488" s="61"/>
      <c r="FK2488" s="58"/>
      <c r="FL2488" s="58"/>
      <c r="FM2488" s="58"/>
      <c r="FN2488" s="60"/>
      <c r="FO2488" s="60"/>
      <c r="FP2488" s="60"/>
      <c r="FQ2488" s="58"/>
      <c r="FR2488" s="61"/>
      <c r="FS2488" s="58"/>
      <c r="FT2488" s="58"/>
      <c r="FU2488" s="58"/>
      <c r="FV2488" s="60"/>
      <c r="FW2488" s="60"/>
      <c r="FX2488" s="60"/>
      <c r="FY2488" s="58"/>
      <c r="FZ2488" s="61"/>
      <c r="GA2488" s="58"/>
      <c r="GB2488" s="58"/>
      <c r="GC2488" s="58"/>
      <c r="GD2488" s="60"/>
      <c r="GE2488" s="60"/>
      <c r="GF2488" s="60"/>
      <c r="GG2488" s="58"/>
      <c r="GH2488" s="61"/>
      <c r="GI2488" s="58"/>
      <c r="GJ2488" s="58"/>
      <c r="GK2488" s="58"/>
      <c r="GL2488" s="60"/>
      <c r="GM2488" s="60"/>
      <c r="GN2488" s="60"/>
      <c r="GO2488" s="58"/>
      <c r="GP2488" s="61"/>
      <c r="GQ2488" s="58"/>
      <c r="GR2488" s="58"/>
      <c r="GS2488" s="58"/>
      <c r="GT2488" s="60"/>
      <c r="GU2488" s="60"/>
      <c r="GV2488" s="60"/>
      <c r="GW2488" s="58"/>
      <c r="GX2488" s="61"/>
      <c r="GY2488" s="58"/>
      <c r="GZ2488" s="58"/>
      <c r="HA2488" s="58"/>
      <c r="HB2488" s="60"/>
      <c r="HC2488" s="60"/>
      <c r="HD2488" s="60"/>
      <c r="HE2488" s="58"/>
      <c r="HF2488" s="61"/>
      <c r="HG2488" s="58"/>
      <c r="HH2488" s="58"/>
      <c r="HI2488" s="58"/>
      <c r="HJ2488" s="60"/>
      <c r="HK2488" s="60"/>
      <c r="HL2488" s="60"/>
      <c r="HM2488" s="58"/>
      <c r="HN2488" s="61"/>
      <c r="HO2488" s="58"/>
      <c r="HP2488" s="58"/>
      <c r="HQ2488" s="58"/>
      <c r="HR2488" s="60"/>
      <c r="HS2488" s="60"/>
      <c r="HT2488" s="60"/>
      <c r="HU2488" s="58"/>
      <c r="HV2488" s="61"/>
      <c r="HW2488" s="58"/>
      <c r="HX2488" s="58"/>
      <c r="HY2488" s="58"/>
      <c r="HZ2488" s="60"/>
      <c r="IA2488" s="60"/>
      <c r="IB2488" s="60"/>
      <c r="IC2488" s="58"/>
      <c r="ID2488" s="61"/>
      <c r="IE2488" s="58"/>
      <c r="IF2488" s="58"/>
      <c r="IG2488" s="58"/>
      <c r="IH2488" s="60"/>
      <c r="II2488" s="60"/>
      <c r="IJ2488" s="60"/>
      <c r="IK2488" s="58"/>
      <c r="IL2488" s="61"/>
      <c r="IM2488" s="58"/>
      <c r="IN2488" s="58"/>
      <c r="IO2488" s="58"/>
      <c r="IP2488" s="60"/>
      <c r="IQ2488" s="60"/>
      <c r="IR2488" s="60"/>
      <c r="IS2488" s="58"/>
      <c r="IT2488" s="61"/>
      <c r="IU2488" s="58"/>
      <c r="IV2488" s="58"/>
      <c r="IW2488" s="58"/>
      <c r="IX2488" s="60"/>
      <c r="IY2488" s="60"/>
      <c r="IZ2488" s="60"/>
      <c r="JA2488" s="58"/>
      <c r="JB2488" s="61"/>
      <c r="JC2488" s="58"/>
      <c r="JD2488" s="58"/>
      <c r="JE2488" s="58"/>
      <c r="JF2488" s="60"/>
      <c r="JG2488" s="60"/>
      <c r="JH2488" s="60"/>
      <c r="JI2488" s="58"/>
      <c r="JJ2488" s="61"/>
      <c r="JK2488" s="58"/>
      <c r="JL2488" s="58"/>
      <c r="JM2488" s="58"/>
      <c r="JN2488" s="60"/>
      <c r="JO2488" s="60"/>
      <c r="JP2488" s="60"/>
      <c r="JQ2488" s="58"/>
      <c r="JR2488" s="61"/>
      <c r="JS2488" s="58"/>
      <c r="JT2488" s="58"/>
      <c r="JU2488" s="58"/>
      <c r="JV2488" s="60"/>
      <c r="JW2488" s="60"/>
      <c r="JX2488" s="60"/>
      <c r="JY2488" s="58"/>
      <c r="JZ2488" s="61"/>
      <c r="KA2488" s="58"/>
      <c r="KB2488" s="58"/>
      <c r="KC2488" s="58"/>
      <c r="KD2488" s="60"/>
      <c r="KE2488" s="60"/>
      <c r="KF2488" s="60"/>
      <c r="KG2488" s="58"/>
      <c r="KH2488" s="61"/>
      <c r="KI2488" s="58"/>
      <c r="KJ2488" s="58"/>
      <c r="KK2488" s="58"/>
      <c r="KL2488" s="60"/>
      <c r="KM2488" s="60"/>
      <c r="KN2488" s="60"/>
      <c r="KO2488" s="58"/>
      <c r="KP2488" s="61"/>
      <c r="KQ2488" s="58"/>
      <c r="KR2488" s="58"/>
      <c r="KS2488" s="58"/>
      <c r="KT2488" s="60"/>
      <c r="KU2488" s="60"/>
      <c r="KV2488" s="60"/>
      <c r="KW2488" s="58"/>
      <c r="KX2488" s="61"/>
      <c r="KY2488" s="58"/>
      <c r="KZ2488" s="58"/>
      <c r="LA2488" s="58"/>
      <c r="LB2488" s="60"/>
      <c r="LC2488" s="60"/>
      <c r="LD2488" s="60"/>
      <c r="LE2488" s="58"/>
      <c r="LF2488" s="61"/>
      <c r="LG2488" s="58"/>
      <c r="LH2488" s="58"/>
      <c r="LI2488" s="58"/>
      <c r="LJ2488" s="60"/>
      <c r="LK2488" s="60"/>
      <c r="LL2488" s="60"/>
      <c r="LM2488" s="58"/>
      <c r="LN2488" s="61"/>
      <c r="LO2488" s="58"/>
      <c r="LP2488" s="58"/>
      <c r="LQ2488" s="58"/>
      <c r="LR2488" s="60"/>
      <c r="LS2488" s="60"/>
      <c r="LT2488" s="60"/>
      <c r="LU2488" s="58"/>
      <c r="LV2488" s="61"/>
      <c r="LW2488" s="58"/>
      <c r="LX2488" s="58"/>
      <c r="LY2488" s="58"/>
      <c r="LZ2488" s="60"/>
      <c r="MA2488" s="60"/>
      <c r="MB2488" s="60"/>
      <c r="MC2488" s="58"/>
      <c r="MD2488" s="61"/>
      <c r="ME2488" s="58"/>
      <c r="MF2488" s="58"/>
      <c r="MG2488" s="58"/>
      <c r="MH2488" s="60"/>
      <c r="MI2488" s="60"/>
      <c r="MJ2488" s="60"/>
      <c r="MK2488" s="58"/>
      <c r="ML2488" s="61"/>
      <c r="MM2488" s="58"/>
      <c r="MN2488" s="58"/>
      <c r="MO2488" s="58"/>
      <c r="MP2488" s="60"/>
      <c r="MQ2488" s="60"/>
      <c r="MR2488" s="60"/>
      <c r="MS2488" s="58"/>
      <c r="MT2488" s="61"/>
      <c r="MU2488" s="58"/>
      <c r="MV2488" s="58"/>
      <c r="MW2488" s="58"/>
      <c r="MX2488" s="60"/>
      <c r="MY2488" s="60"/>
      <c r="MZ2488" s="60"/>
      <c r="NA2488" s="58"/>
      <c r="NB2488" s="61"/>
      <c r="NC2488" s="58"/>
      <c r="ND2488" s="58"/>
      <c r="NE2488" s="58"/>
      <c r="NF2488" s="60"/>
      <c r="NG2488" s="60"/>
      <c r="NH2488" s="60"/>
      <c r="NI2488" s="58"/>
      <c r="NJ2488" s="61"/>
      <c r="NK2488" s="58"/>
      <c r="NL2488" s="58"/>
      <c r="NM2488" s="58"/>
      <c r="NN2488" s="60"/>
      <c r="NO2488" s="60"/>
      <c r="NP2488" s="60"/>
      <c r="NQ2488" s="58"/>
      <c r="NR2488" s="61"/>
      <c r="NS2488" s="58"/>
      <c r="NT2488" s="58"/>
      <c r="NU2488" s="58"/>
      <c r="NV2488" s="60"/>
      <c r="NW2488" s="60"/>
      <c r="NX2488" s="60"/>
      <c r="NY2488" s="58"/>
      <c r="NZ2488" s="61"/>
      <c r="OA2488" s="58"/>
      <c r="OB2488" s="58"/>
      <c r="OC2488" s="58"/>
      <c r="OD2488" s="60"/>
      <c r="OE2488" s="60"/>
      <c r="OF2488" s="60"/>
      <c r="OG2488" s="58"/>
      <c r="OH2488" s="61"/>
      <c r="OI2488" s="58"/>
      <c r="OJ2488" s="58"/>
      <c r="OK2488" s="58"/>
      <c r="OL2488" s="60"/>
      <c r="OM2488" s="60"/>
      <c r="ON2488" s="60"/>
      <c r="OO2488" s="58"/>
      <c r="OP2488" s="61"/>
      <c r="OQ2488" s="58"/>
      <c r="OR2488" s="58"/>
      <c r="OS2488" s="58"/>
      <c r="OT2488" s="60"/>
      <c r="OU2488" s="60"/>
      <c r="OV2488" s="60"/>
      <c r="OW2488" s="58"/>
      <c r="OX2488" s="61"/>
      <c r="OY2488" s="58"/>
      <c r="OZ2488" s="58"/>
      <c r="PA2488" s="58"/>
      <c r="PB2488" s="60"/>
      <c r="PC2488" s="60"/>
      <c r="PD2488" s="60"/>
      <c r="PE2488" s="58"/>
      <c r="PF2488" s="61"/>
      <c r="PG2488" s="58"/>
      <c r="PH2488" s="58"/>
      <c r="PI2488" s="58"/>
      <c r="PJ2488" s="60"/>
      <c r="PK2488" s="60"/>
      <c r="PL2488" s="60"/>
      <c r="PM2488" s="58"/>
      <c r="PN2488" s="61"/>
      <c r="PO2488" s="58"/>
      <c r="PP2488" s="58"/>
      <c r="PQ2488" s="58"/>
      <c r="PR2488" s="60"/>
      <c r="PS2488" s="60"/>
      <c r="PT2488" s="60"/>
      <c r="PU2488" s="58"/>
      <c r="PV2488" s="61"/>
      <c r="PW2488" s="58"/>
      <c r="PX2488" s="58"/>
      <c r="PY2488" s="58"/>
      <c r="PZ2488" s="60"/>
      <c r="QA2488" s="60"/>
      <c r="QB2488" s="60"/>
      <c r="QC2488" s="58"/>
      <c r="QD2488" s="61"/>
      <c r="QE2488" s="58"/>
      <c r="QF2488" s="58"/>
      <c r="QG2488" s="58"/>
      <c r="QH2488" s="60"/>
      <c r="QI2488" s="60"/>
      <c r="QJ2488" s="60"/>
      <c r="QK2488" s="58"/>
      <c r="QL2488" s="61"/>
      <c r="QM2488" s="58"/>
      <c r="QN2488" s="58"/>
      <c r="QO2488" s="58"/>
      <c r="QP2488" s="60"/>
      <c r="QQ2488" s="60"/>
      <c r="QR2488" s="60"/>
      <c r="QS2488" s="58"/>
      <c r="QT2488" s="61"/>
      <c r="QU2488" s="58"/>
      <c r="QV2488" s="58"/>
      <c r="QW2488" s="58"/>
      <c r="QX2488" s="60"/>
      <c r="QY2488" s="60"/>
      <c r="QZ2488" s="60"/>
      <c r="RA2488" s="58"/>
      <c r="RB2488" s="61"/>
      <c r="RC2488" s="58"/>
      <c r="RD2488" s="58"/>
      <c r="RE2488" s="58"/>
      <c r="RF2488" s="60"/>
      <c r="RG2488" s="60"/>
      <c r="RH2488" s="60"/>
      <c r="RI2488" s="58"/>
      <c r="RJ2488" s="61"/>
      <c r="RK2488" s="58"/>
      <c r="RL2488" s="58"/>
      <c r="RM2488" s="58"/>
      <c r="RN2488" s="60"/>
      <c r="RO2488" s="60"/>
      <c r="RP2488" s="60"/>
      <c r="RQ2488" s="58"/>
      <c r="RR2488" s="61"/>
      <c r="RS2488" s="58"/>
      <c r="RT2488" s="58"/>
      <c r="RU2488" s="58"/>
      <c r="RV2488" s="60"/>
      <c r="RW2488" s="60"/>
      <c r="RX2488" s="60"/>
      <c r="RY2488" s="58"/>
      <c r="RZ2488" s="61"/>
      <c r="SA2488" s="58"/>
      <c r="SB2488" s="58"/>
      <c r="SC2488" s="58"/>
      <c r="SD2488" s="60"/>
      <c r="SE2488" s="60"/>
      <c r="SF2488" s="60"/>
      <c r="SG2488" s="58"/>
      <c r="SH2488" s="61"/>
      <c r="SI2488" s="58"/>
      <c r="SJ2488" s="58"/>
      <c r="SK2488" s="58"/>
      <c r="SL2488" s="60"/>
      <c r="SM2488" s="60"/>
      <c r="SN2488" s="60"/>
      <c r="SO2488" s="58"/>
      <c r="SP2488" s="61"/>
      <c r="SQ2488" s="58"/>
      <c r="SR2488" s="58"/>
      <c r="SS2488" s="58"/>
      <c r="ST2488" s="60"/>
      <c r="SU2488" s="60"/>
      <c r="SV2488" s="60"/>
      <c r="SW2488" s="58"/>
      <c r="SX2488" s="61"/>
      <c r="SY2488" s="58"/>
      <c r="SZ2488" s="58"/>
      <c r="TA2488" s="58"/>
      <c r="TB2488" s="60"/>
      <c r="TC2488" s="60"/>
      <c r="TD2488" s="60"/>
      <c r="TE2488" s="58"/>
      <c r="TF2488" s="61"/>
      <c r="TG2488" s="58"/>
      <c r="TH2488" s="58"/>
      <c r="TI2488" s="58"/>
      <c r="TJ2488" s="60"/>
      <c r="TK2488" s="60"/>
      <c r="TL2488" s="60"/>
      <c r="TM2488" s="58"/>
      <c r="TN2488" s="61"/>
      <c r="TO2488" s="58"/>
      <c r="TP2488" s="58"/>
      <c r="TQ2488" s="58"/>
      <c r="TR2488" s="60"/>
      <c r="TS2488" s="60"/>
      <c r="TT2488" s="60"/>
      <c r="TU2488" s="58"/>
      <c r="TV2488" s="61"/>
      <c r="TW2488" s="58"/>
      <c r="TX2488" s="58"/>
      <c r="TY2488" s="58"/>
      <c r="TZ2488" s="60"/>
      <c r="UA2488" s="60"/>
      <c r="UB2488" s="60"/>
      <c r="UC2488" s="58"/>
      <c r="UD2488" s="61"/>
      <c r="UE2488" s="58"/>
      <c r="UF2488" s="58"/>
      <c r="UG2488" s="58"/>
      <c r="UH2488" s="60"/>
      <c r="UI2488" s="60"/>
      <c r="UJ2488" s="60"/>
      <c r="UK2488" s="58"/>
      <c r="UL2488" s="61"/>
      <c r="UM2488" s="58"/>
      <c r="UN2488" s="58"/>
      <c r="UO2488" s="58"/>
      <c r="UP2488" s="60"/>
      <c r="UQ2488" s="60"/>
      <c r="UR2488" s="60"/>
      <c r="US2488" s="58"/>
      <c r="UT2488" s="61"/>
      <c r="UU2488" s="58"/>
      <c r="UV2488" s="58"/>
      <c r="UW2488" s="58"/>
      <c r="UX2488" s="60"/>
      <c r="UY2488" s="60"/>
      <c r="UZ2488" s="60"/>
      <c r="VA2488" s="58"/>
      <c r="VB2488" s="61"/>
      <c r="VC2488" s="58"/>
      <c r="VD2488" s="58"/>
      <c r="VE2488" s="58"/>
      <c r="VF2488" s="60"/>
      <c r="VG2488" s="60"/>
      <c r="VH2488" s="60"/>
      <c r="VI2488" s="58"/>
      <c r="VJ2488" s="61"/>
      <c r="VK2488" s="58"/>
      <c r="VL2488" s="58"/>
      <c r="VM2488" s="58"/>
      <c r="VN2488" s="60"/>
      <c r="VO2488" s="60"/>
      <c r="VP2488" s="60"/>
      <c r="VQ2488" s="58"/>
      <c r="VR2488" s="61"/>
      <c r="VS2488" s="58"/>
      <c r="VT2488" s="58"/>
      <c r="VU2488" s="58"/>
      <c r="VV2488" s="60"/>
      <c r="VW2488" s="60"/>
      <c r="VX2488" s="60"/>
      <c r="VY2488" s="58"/>
      <c r="VZ2488" s="61"/>
      <c r="WA2488" s="58"/>
      <c r="WB2488" s="58"/>
      <c r="WC2488" s="58"/>
      <c r="WD2488" s="60"/>
      <c r="WE2488" s="60"/>
      <c r="WF2488" s="60"/>
      <c r="WG2488" s="58"/>
      <c r="WH2488" s="61"/>
      <c r="WI2488" s="58"/>
      <c r="WJ2488" s="58"/>
      <c r="WK2488" s="58"/>
      <c r="WL2488" s="60"/>
      <c r="WM2488" s="60"/>
      <c r="WN2488" s="60"/>
      <c r="WO2488" s="58"/>
      <c r="WP2488" s="61"/>
      <c r="WQ2488" s="58"/>
      <c r="WR2488" s="58"/>
      <c r="WS2488" s="58"/>
      <c r="WT2488" s="60"/>
      <c r="WU2488" s="60"/>
      <c r="WV2488" s="60"/>
      <c r="WW2488" s="58"/>
      <c r="WX2488" s="61"/>
      <c r="WY2488" s="58"/>
      <c r="WZ2488" s="58"/>
      <c r="XA2488" s="58"/>
      <c r="XB2488" s="60"/>
      <c r="XC2488" s="60"/>
      <c r="XD2488" s="60"/>
      <c r="XE2488" s="58"/>
      <c r="XF2488" s="61"/>
      <c r="XG2488" s="58"/>
      <c r="XH2488" s="58"/>
      <c r="XI2488" s="58"/>
      <c r="XJ2488" s="60"/>
      <c r="XK2488" s="60"/>
      <c r="XL2488" s="60"/>
      <c r="XM2488" s="58"/>
      <c r="XN2488" s="61"/>
      <c r="XO2488" s="58"/>
      <c r="XP2488" s="58"/>
      <c r="XQ2488" s="58"/>
      <c r="XR2488" s="60"/>
      <c r="XS2488" s="60"/>
      <c r="XT2488" s="60"/>
      <c r="XU2488" s="58"/>
      <c r="XV2488" s="61"/>
      <c r="XW2488" s="58"/>
      <c r="XX2488" s="58"/>
      <c r="XY2488" s="58"/>
      <c r="XZ2488" s="60"/>
      <c r="YA2488" s="60"/>
      <c r="YB2488" s="60"/>
      <c r="YC2488" s="58"/>
      <c r="YD2488" s="61"/>
      <c r="YE2488" s="58"/>
      <c r="YF2488" s="58"/>
      <c r="YG2488" s="58"/>
      <c r="YH2488" s="60"/>
      <c r="YI2488" s="60"/>
      <c r="YJ2488" s="60"/>
      <c r="YK2488" s="58"/>
      <c r="YL2488" s="61"/>
      <c r="YM2488" s="58"/>
      <c r="YN2488" s="58"/>
      <c r="YO2488" s="58"/>
      <c r="YP2488" s="60"/>
      <c r="YQ2488" s="60"/>
      <c r="YR2488" s="60"/>
      <c r="YS2488" s="58"/>
      <c r="YT2488" s="61"/>
      <c r="YU2488" s="58"/>
      <c r="YV2488" s="58"/>
      <c r="YW2488" s="58"/>
      <c r="YX2488" s="60"/>
      <c r="YY2488" s="60"/>
      <c r="YZ2488" s="60"/>
      <c r="ZA2488" s="58"/>
      <c r="ZB2488" s="61"/>
      <c r="ZC2488" s="58"/>
      <c r="ZD2488" s="58"/>
      <c r="ZE2488" s="58"/>
      <c r="ZF2488" s="60"/>
      <c r="ZG2488" s="60"/>
      <c r="ZH2488" s="60"/>
      <c r="ZI2488" s="58"/>
      <c r="ZJ2488" s="61"/>
      <c r="ZK2488" s="58"/>
      <c r="ZL2488" s="58"/>
      <c r="ZM2488" s="58"/>
      <c r="ZN2488" s="60"/>
      <c r="ZO2488" s="60"/>
      <c r="ZP2488" s="60"/>
      <c r="ZQ2488" s="58"/>
      <c r="ZR2488" s="61"/>
      <c r="ZS2488" s="58"/>
      <c r="ZT2488" s="58"/>
      <c r="ZU2488" s="58"/>
      <c r="ZV2488" s="60"/>
      <c r="ZW2488" s="60"/>
      <c r="ZX2488" s="60"/>
      <c r="ZY2488" s="58"/>
      <c r="ZZ2488" s="61"/>
      <c r="AAA2488" s="58"/>
      <c r="AAB2488" s="58"/>
      <c r="AAC2488" s="58"/>
      <c r="AAD2488" s="60"/>
      <c r="AAE2488" s="60"/>
      <c r="AAF2488" s="60"/>
      <c r="AAG2488" s="58"/>
      <c r="AAH2488" s="61"/>
      <c r="AAI2488" s="58"/>
      <c r="AAJ2488" s="58"/>
      <c r="AAK2488" s="58"/>
      <c r="AAL2488" s="60"/>
      <c r="AAM2488" s="60"/>
      <c r="AAN2488" s="60"/>
      <c r="AAO2488" s="58"/>
      <c r="AAP2488" s="61"/>
      <c r="AAQ2488" s="58"/>
      <c r="AAR2488" s="58"/>
      <c r="AAS2488" s="58"/>
      <c r="AAT2488" s="60"/>
      <c r="AAU2488" s="60"/>
      <c r="AAV2488" s="60"/>
      <c r="AAW2488" s="58"/>
      <c r="AAX2488" s="61"/>
      <c r="AAY2488" s="58"/>
      <c r="AAZ2488" s="58"/>
      <c r="ABA2488" s="58"/>
      <c r="ABB2488" s="60"/>
      <c r="ABC2488" s="60"/>
      <c r="ABD2488" s="60"/>
      <c r="ABE2488" s="58"/>
      <c r="ABF2488" s="61"/>
      <c r="ABG2488" s="58"/>
      <c r="ABH2488" s="58"/>
      <c r="ABI2488" s="58"/>
      <c r="ABJ2488" s="60"/>
      <c r="ABK2488" s="60"/>
      <c r="ABL2488" s="60"/>
      <c r="ABM2488" s="58"/>
      <c r="ABN2488" s="61"/>
      <c r="ABO2488" s="58"/>
      <c r="ABP2488" s="58"/>
      <c r="ABQ2488" s="58"/>
      <c r="ABR2488" s="60"/>
      <c r="ABS2488" s="60"/>
      <c r="ABT2488" s="60"/>
      <c r="ABU2488" s="58"/>
      <c r="ABV2488" s="61"/>
      <c r="ABW2488" s="58"/>
      <c r="ABX2488" s="58"/>
      <c r="ABY2488" s="58"/>
      <c r="ABZ2488" s="60"/>
      <c r="ACA2488" s="60"/>
      <c r="ACB2488" s="60"/>
      <c r="ACC2488" s="58"/>
      <c r="ACD2488" s="61"/>
      <c r="ACE2488" s="58"/>
      <c r="ACF2488" s="58"/>
      <c r="ACG2488" s="58"/>
      <c r="ACH2488" s="60"/>
      <c r="ACI2488" s="60"/>
      <c r="ACJ2488" s="60"/>
      <c r="ACK2488" s="58"/>
      <c r="ACL2488" s="61"/>
      <c r="ACM2488" s="58"/>
      <c r="ACN2488" s="58"/>
      <c r="ACO2488" s="58"/>
      <c r="ACP2488" s="60"/>
      <c r="ACQ2488" s="60"/>
      <c r="ACR2488" s="60"/>
      <c r="ACS2488" s="58"/>
      <c r="ACT2488" s="61"/>
      <c r="ACU2488" s="58"/>
      <c r="ACV2488" s="58"/>
      <c r="ACW2488" s="58"/>
      <c r="ACX2488" s="60"/>
      <c r="ACY2488" s="60"/>
      <c r="ACZ2488" s="60"/>
      <c r="ADA2488" s="58"/>
      <c r="ADB2488" s="61"/>
      <c r="ADC2488" s="58"/>
      <c r="ADD2488" s="58"/>
      <c r="ADE2488" s="58"/>
      <c r="ADF2488" s="60"/>
      <c r="ADG2488" s="60"/>
      <c r="ADH2488" s="60"/>
      <c r="ADI2488" s="58"/>
      <c r="ADJ2488" s="61"/>
      <c r="ADK2488" s="58"/>
      <c r="ADL2488" s="58"/>
      <c r="ADM2488" s="58"/>
      <c r="ADN2488" s="60"/>
      <c r="ADO2488" s="60"/>
      <c r="ADP2488" s="60"/>
      <c r="ADQ2488" s="58"/>
      <c r="ADR2488" s="61"/>
      <c r="ADS2488" s="58"/>
      <c r="ADT2488" s="58"/>
      <c r="ADU2488" s="58"/>
      <c r="ADV2488" s="60"/>
      <c r="ADW2488" s="60"/>
      <c r="ADX2488" s="60"/>
      <c r="ADY2488" s="58"/>
      <c r="ADZ2488" s="61"/>
      <c r="AEA2488" s="58"/>
      <c r="AEB2488" s="58"/>
      <c r="AEC2488" s="58"/>
      <c r="AED2488" s="60"/>
      <c r="AEE2488" s="60"/>
      <c r="AEF2488" s="60"/>
      <c r="AEG2488" s="58"/>
      <c r="AEH2488" s="61"/>
      <c r="AEI2488" s="58"/>
      <c r="AEJ2488" s="58"/>
      <c r="AEK2488" s="58"/>
      <c r="AEL2488" s="60"/>
      <c r="AEM2488" s="60"/>
      <c r="AEN2488" s="60"/>
      <c r="AEO2488" s="58"/>
      <c r="AEP2488" s="61"/>
      <c r="AEQ2488" s="58"/>
      <c r="AER2488" s="58"/>
      <c r="AES2488" s="58"/>
      <c r="AET2488" s="60"/>
      <c r="AEU2488" s="60"/>
      <c r="AEV2488" s="60"/>
      <c r="AEW2488" s="58"/>
      <c r="AEX2488" s="61"/>
      <c r="AEY2488" s="58"/>
      <c r="AEZ2488" s="58"/>
      <c r="AFA2488" s="58"/>
      <c r="AFB2488" s="60"/>
      <c r="AFC2488" s="60"/>
      <c r="AFD2488" s="60"/>
      <c r="AFE2488" s="58"/>
      <c r="AFF2488" s="61"/>
      <c r="AFG2488" s="58"/>
      <c r="AFH2488" s="58"/>
      <c r="AFI2488" s="58"/>
      <c r="AFJ2488" s="60"/>
      <c r="AFK2488" s="60"/>
      <c r="AFL2488" s="60"/>
      <c r="AFM2488" s="58"/>
      <c r="AFN2488" s="61"/>
      <c r="AFO2488" s="58"/>
      <c r="AFP2488" s="58"/>
      <c r="AFQ2488" s="58"/>
      <c r="AFR2488" s="60"/>
      <c r="AFS2488" s="60"/>
      <c r="AFT2488" s="60"/>
      <c r="AFU2488" s="58"/>
      <c r="AFV2488" s="61"/>
      <c r="AFW2488" s="58"/>
      <c r="AFX2488" s="58"/>
      <c r="AFY2488" s="58"/>
      <c r="AFZ2488" s="60"/>
      <c r="AGA2488" s="60"/>
      <c r="AGB2488" s="60"/>
      <c r="AGC2488" s="58"/>
      <c r="AGD2488" s="61"/>
      <c r="AGE2488" s="58"/>
      <c r="AGF2488" s="58"/>
      <c r="AGG2488" s="58"/>
      <c r="AGH2488" s="60"/>
      <c r="AGI2488" s="60"/>
      <c r="AGJ2488" s="60"/>
      <c r="AGK2488" s="58"/>
      <c r="AGL2488" s="61"/>
      <c r="AGM2488" s="58"/>
      <c r="AGN2488" s="58"/>
      <c r="AGO2488" s="58"/>
      <c r="AGP2488" s="60"/>
      <c r="AGQ2488" s="60"/>
      <c r="AGR2488" s="60"/>
      <c r="AGS2488" s="58"/>
      <c r="AGT2488" s="61"/>
      <c r="AGU2488" s="58"/>
      <c r="AGV2488" s="58"/>
      <c r="AGW2488" s="58"/>
      <c r="AGX2488" s="60"/>
      <c r="AGY2488" s="60"/>
      <c r="AGZ2488" s="60"/>
      <c r="AHA2488" s="58"/>
      <c r="AHB2488" s="61"/>
      <c r="AHC2488" s="58"/>
      <c r="AHD2488" s="58"/>
      <c r="AHE2488" s="58"/>
      <c r="AHF2488" s="60"/>
      <c r="AHG2488" s="60"/>
      <c r="AHH2488" s="60"/>
      <c r="AHI2488" s="58"/>
      <c r="AHJ2488" s="61"/>
      <c r="AHK2488" s="58"/>
      <c r="AHL2488" s="58"/>
      <c r="AHM2488" s="58"/>
      <c r="AHN2488" s="60"/>
      <c r="AHO2488" s="60"/>
      <c r="AHP2488" s="60"/>
      <c r="AHQ2488" s="58"/>
      <c r="AHR2488" s="61"/>
      <c r="AHS2488" s="58"/>
      <c r="AHT2488" s="58"/>
      <c r="AHU2488" s="58"/>
      <c r="AHV2488" s="60"/>
      <c r="AHW2488" s="60"/>
      <c r="AHX2488" s="60"/>
      <c r="AHY2488" s="58"/>
      <c r="AHZ2488" s="61"/>
      <c r="AIA2488" s="58"/>
      <c r="AIB2488" s="58"/>
      <c r="AIC2488" s="58"/>
      <c r="AID2488" s="60"/>
      <c r="AIE2488" s="60"/>
      <c r="AIF2488" s="60"/>
      <c r="AIG2488" s="58"/>
      <c r="AIH2488" s="61"/>
      <c r="AII2488" s="58"/>
      <c r="AIJ2488" s="58"/>
      <c r="AIK2488" s="58"/>
      <c r="AIL2488" s="60"/>
      <c r="AIM2488" s="60"/>
      <c r="AIN2488" s="60"/>
      <c r="AIO2488" s="58"/>
      <c r="AIP2488" s="61"/>
      <c r="AIQ2488" s="58"/>
      <c r="AIR2488" s="58"/>
      <c r="AIS2488" s="58"/>
      <c r="AIT2488" s="60"/>
      <c r="AIU2488" s="60"/>
      <c r="AIV2488" s="60"/>
      <c r="AIW2488" s="58"/>
      <c r="AIX2488" s="61"/>
      <c r="AIY2488" s="58"/>
      <c r="AIZ2488" s="58"/>
      <c r="AJA2488" s="58"/>
      <c r="AJB2488" s="60"/>
      <c r="AJC2488" s="60"/>
      <c r="AJD2488" s="60"/>
      <c r="AJE2488" s="58"/>
      <c r="AJF2488" s="61"/>
      <c r="AJG2488" s="58"/>
      <c r="AJH2488" s="58"/>
      <c r="AJI2488" s="58"/>
      <c r="AJJ2488" s="60"/>
      <c r="AJK2488" s="60"/>
      <c r="AJL2488" s="60"/>
      <c r="AJM2488" s="58"/>
      <c r="AJN2488" s="61"/>
      <c r="AJO2488" s="58"/>
      <c r="AJP2488" s="58"/>
      <c r="AJQ2488" s="58"/>
      <c r="AJR2488" s="60"/>
      <c r="AJS2488" s="60"/>
      <c r="AJT2488" s="60"/>
      <c r="AJU2488" s="58"/>
      <c r="AJV2488" s="61"/>
      <c r="AJW2488" s="58"/>
      <c r="AJX2488" s="58"/>
      <c r="AJY2488" s="58"/>
      <c r="AJZ2488" s="60"/>
      <c r="AKA2488" s="60"/>
      <c r="AKB2488" s="60"/>
      <c r="AKC2488" s="58"/>
      <c r="AKD2488" s="61"/>
      <c r="AKE2488" s="58"/>
      <c r="AKF2488" s="58"/>
      <c r="AKG2488" s="58"/>
      <c r="AKH2488" s="60"/>
      <c r="AKI2488" s="60"/>
      <c r="AKJ2488" s="60"/>
      <c r="AKK2488" s="58"/>
      <c r="AKL2488" s="61"/>
      <c r="AKM2488" s="58"/>
      <c r="AKN2488" s="58"/>
      <c r="AKO2488" s="58"/>
      <c r="AKP2488" s="60"/>
      <c r="AKQ2488" s="60"/>
      <c r="AKR2488" s="60"/>
      <c r="AKS2488" s="58"/>
      <c r="AKT2488" s="61"/>
      <c r="AKU2488" s="58"/>
      <c r="AKV2488" s="58"/>
      <c r="AKW2488" s="58"/>
      <c r="AKX2488" s="60"/>
      <c r="AKY2488" s="60"/>
      <c r="AKZ2488" s="60"/>
      <c r="ALA2488" s="58"/>
      <c r="ALB2488" s="61"/>
      <c r="ALC2488" s="58"/>
      <c r="ALD2488" s="58"/>
      <c r="ALE2488" s="58"/>
      <c r="ALF2488" s="60"/>
      <c r="ALG2488" s="60"/>
      <c r="ALH2488" s="60"/>
      <c r="ALI2488" s="58"/>
      <c r="ALJ2488" s="61"/>
      <c r="ALK2488" s="58"/>
      <c r="ALL2488" s="58"/>
      <c r="ALM2488" s="58"/>
      <c r="ALN2488" s="60"/>
      <c r="ALO2488" s="60"/>
      <c r="ALP2488" s="60"/>
      <c r="ALQ2488" s="58"/>
      <c r="ALR2488" s="61"/>
      <c r="ALS2488" s="58"/>
      <c r="ALT2488" s="58"/>
      <c r="ALU2488" s="58"/>
      <c r="ALV2488" s="60"/>
      <c r="ALW2488" s="60"/>
      <c r="ALX2488" s="60"/>
      <c r="ALY2488" s="58"/>
      <c r="ALZ2488" s="61"/>
      <c r="AMA2488" s="58"/>
      <c r="AMB2488" s="58"/>
      <c r="AMC2488" s="58"/>
      <c r="AMD2488" s="60"/>
      <c r="AME2488" s="60"/>
      <c r="AMF2488" s="60"/>
      <c r="AMG2488" s="58"/>
      <c r="AMH2488" s="61"/>
      <c r="AMI2488" s="58"/>
      <c r="AMJ2488" s="58"/>
      <c r="AMK2488" s="58"/>
      <c r="AML2488" s="60"/>
      <c r="AMM2488" s="60"/>
      <c r="AMN2488" s="60"/>
      <c r="AMO2488" s="58"/>
      <c r="AMP2488" s="61"/>
      <c r="AMQ2488" s="58"/>
      <c r="AMR2488" s="58"/>
      <c r="AMS2488" s="58"/>
      <c r="AMT2488" s="60"/>
      <c r="AMU2488" s="60"/>
      <c r="AMV2488" s="60"/>
      <c r="AMW2488" s="58"/>
      <c r="AMX2488" s="61"/>
      <c r="AMY2488" s="58"/>
      <c r="AMZ2488" s="58"/>
      <c r="ANA2488" s="58"/>
      <c r="ANB2488" s="60"/>
      <c r="ANC2488" s="60"/>
      <c r="AND2488" s="60"/>
      <c r="ANE2488" s="58"/>
      <c r="ANF2488" s="61"/>
      <c r="ANG2488" s="58"/>
      <c r="ANH2488" s="58"/>
      <c r="ANI2488" s="58"/>
      <c r="ANJ2488" s="60"/>
      <c r="ANK2488" s="60"/>
      <c r="ANL2488" s="60"/>
      <c r="ANM2488" s="58"/>
      <c r="ANN2488" s="61"/>
      <c r="ANO2488" s="58"/>
      <c r="ANP2488" s="58"/>
      <c r="ANQ2488" s="58"/>
      <c r="ANR2488" s="60"/>
      <c r="ANS2488" s="60"/>
      <c r="ANT2488" s="60"/>
      <c r="ANU2488" s="58"/>
      <c r="ANV2488" s="61"/>
      <c r="ANW2488" s="58"/>
      <c r="ANX2488" s="58"/>
      <c r="ANY2488" s="58"/>
      <c r="ANZ2488" s="60"/>
      <c r="AOA2488" s="60"/>
      <c r="AOB2488" s="60"/>
      <c r="AOC2488" s="58"/>
      <c r="AOD2488" s="61"/>
      <c r="AOE2488" s="58"/>
      <c r="AOF2488" s="58"/>
      <c r="AOG2488" s="58"/>
      <c r="AOH2488" s="60"/>
      <c r="AOI2488" s="60"/>
      <c r="AOJ2488" s="60"/>
      <c r="AOK2488" s="58"/>
      <c r="AOL2488" s="61"/>
      <c r="AOM2488" s="58"/>
      <c r="AON2488" s="58"/>
      <c r="AOO2488" s="58"/>
      <c r="AOP2488" s="60"/>
      <c r="AOQ2488" s="60"/>
      <c r="AOR2488" s="60"/>
      <c r="AOS2488" s="58"/>
      <c r="AOT2488" s="61"/>
      <c r="AOU2488" s="58"/>
      <c r="AOV2488" s="58"/>
      <c r="AOW2488" s="58"/>
      <c r="AOX2488" s="60"/>
      <c r="AOY2488" s="60"/>
      <c r="AOZ2488" s="60"/>
      <c r="APA2488" s="58"/>
      <c r="APB2488" s="61"/>
      <c r="APC2488" s="58"/>
      <c r="APD2488" s="58"/>
      <c r="APE2488" s="58"/>
      <c r="APF2488" s="60"/>
      <c r="APG2488" s="60"/>
      <c r="APH2488" s="60"/>
      <c r="API2488" s="58"/>
      <c r="APJ2488" s="61"/>
      <c r="APK2488" s="58"/>
      <c r="APL2488" s="58"/>
      <c r="APM2488" s="58"/>
      <c r="APN2488" s="60"/>
      <c r="APO2488" s="60"/>
      <c r="APP2488" s="60"/>
      <c r="APQ2488" s="58"/>
      <c r="APR2488" s="61"/>
      <c r="APS2488" s="58"/>
      <c r="APT2488" s="58"/>
      <c r="APU2488" s="58"/>
      <c r="APV2488" s="60"/>
      <c r="APW2488" s="60"/>
      <c r="APX2488" s="60"/>
      <c r="APY2488" s="58"/>
      <c r="APZ2488" s="61"/>
      <c r="AQA2488" s="58"/>
      <c r="AQB2488" s="58"/>
      <c r="AQC2488" s="58"/>
      <c r="AQD2488" s="60"/>
      <c r="AQE2488" s="60"/>
      <c r="AQF2488" s="60"/>
      <c r="AQG2488" s="58"/>
      <c r="AQH2488" s="61"/>
      <c r="AQI2488" s="58"/>
      <c r="AQJ2488" s="58"/>
      <c r="AQK2488" s="58"/>
      <c r="AQL2488" s="60"/>
      <c r="AQM2488" s="60"/>
      <c r="AQN2488" s="60"/>
      <c r="AQO2488" s="58"/>
      <c r="AQP2488" s="61"/>
      <c r="AQQ2488" s="58"/>
      <c r="AQR2488" s="58"/>
      <c r="AQS2488" s="58"/>
      <c r="AQT2488" s="60"/>
      <c r="AQU2488" s="60"/>
      <c r="AQV2488" s="60"/>
      <c r="AQW2488" s="58"/>
      <c r="AQX2488" s="61"/>
      <c r="AQY2488" s="58"/>
      <c r="AQZ2488" s="58"/>
      <c r="ARA2488" s="58"/>
      <c r="ARB2488" s="60"/>
      <c r="ARC2488" s="60"/>
      <c r="ARD2488" s="60"/>
      <c r="ARE2488" s="58"/>
      <c r="ARF2488" s="61"/>
      <c r="ARG2488" s="58"/>
      <c r="ARH2488" s="58"/>
      <c r="ARI2488" s="58"/>
      <c r="ARJ2488" s="60"/>
      <c r="ARK2488" s="60"/>
      <c r="ARL2488" s="60"/>
      <c r="ARM2488" s="58"/>
      <c r="ARN2488" s="61"/>
      <c r="ARO2488" s="58"/>
      <c r="ARP2488" s="58"/>
      <c r="ARQ2488" s="58"/>
      <c r="ARR2488" s="60"/>
      <c r="ARS2488" s="60"/>
      <c r="ART2488" s="60"/>
      <c r="ARU2488" s="58"/>
      <c r="ARV2488" s="61"/>
      <c r="ARW2488" s="58"/>
      <c r="ARX2488" s="58"/>
      <c r="ARY2488" s="58"/>
      <c r="ARZ2488" s="60"/>
      <c r="ASA2488" s="60"/>
      <c r="ASB2488" s="60"/>
      <c r="ASC2488" s="58"/>
      <c r="ASD2488" s="61"/>
      <c r="ASE2488" s="58"/>
      <c r="ASF2488" s="58"/>
      <c r="ASG2488" s="58"/>
      <c r="ASH2488" s="60"/>
      <c r="ASI2488" s="60"/>
      <c r="ASJ2488" s="60"/>
      <c r="ASK2488" s="58"/>
      <c r="ASL2488" s="61"/>
      <c r="ASM2488" s="58"/>
      <c r="ASN2488" s="58"/>
      <c r="ASO2488" s="58"/>
      <c r="ASP2488" s="60"/>
      <c r="ASQ2488" s="60"/>
      <c r="ASR2488" s="60"/>
      <c r="ASS2488" s="58"/>
      <c r="AST2488" s="61"/>
      <c r="ASU2488" s="58"/>
      <c r="ASV2488" s="58"/>
      <c r="ASW2488" s="58"/>
      <c r="ASX2488" s="60"/>
      <c r="ASY2488" s="60"/>
      <c r="ASZ2488" s="60"/>
      <c r="ATA2488" s="58"/>
      <c r="ATB2488" s="61"/>
      <c r="ATC2488" s="58"/>
      <c r="ATD2488" s="58"/>
      <c r="ATE2488" s="58"/>
      <c r="ATF2488" s="60"/>
      <c r="ATG2488" s="60"/>
      <c r="ATH2488" s="60"/>
      <c r="ATI2488" s="58"/>
      <c r="ATJ2488" s="61"/>
      <c r="ATK2488" s="58"/>
      <c r="ATL2488" s="58"/>
      <c r="ATM2488" s="58"/>
      <c r="ATN2488" s="60"/>
      <c r="ATO2488" s="60"/>
      <c r="ATP2488" s="60"/>
      <c r="ATQ2488" s="58"/>
      <c r="ATR2488" s="61"/>
      <c r="ATS2488" s="58"/>
      <c r="ATT2488" s="58"/>
      <c r="ATU2488" s="58"/>
      <c r="ATV2488" s="60"/>
      <c r="ATW2488" s="60"/>
      <c r="ATX2488" s="60"/>
      <c r="ATY2488" s="58"/>
      <c r="ATZ2488" s="61"/>
      <c r="AUA2488" s="58"/>
      <c r="AUB2488" s="58"/>
      <c r="AUC2488" s="58"/>
      <c r="AUD2488" s="60"/>
      <c r="AUE2488" s="60"/>
      <c r="AUF2488" s="60"/>
      <c r="AUG2488" s="58"/>
      <c r="AUH2488" s="61"/>
      <c r="AUI2488" s="58"/>
      <c r="AUJ2488" s="58"/>
      <c r="AUK2488" s="58"/>
      <c r="AUL2488" s="60"/>
      <c r="AUM2488" s="60"/>
      <c r="AUN2488" s="60"/>
      <c r="AUO2488" s="58"/>
      <c r="AUP2488" s="61"/>
      <c r="AUQ2488" s="58"/>
      <c r="AUR2488" s="58"/>
      <c r="AUS2488" s="58"/>
      <c r="AUT2488" s="60"/>
      <c r="AUU2488" s="60"/>
      <c r="AUV2488" s="60"/>
      <c r="AUW2488" s="58"/>
      <c r="AUX2488" s="61"/>
      <c r="AUY2488" s="58"/>
      <c r="AUZ2488" s="58"/>
      <c r="AVA2488" s="58"/>
      <c r="AVB2488" s="60"/>
      <c r="AVC2488" s="60"/>
      <c r="AVD2488" s="60"/>
      <c r="AVE2488" s="58"/>
      <c r="AVF2488" s="61"/>
      <c r="AVG2488" s="58"/>
      <c r="AVH2488" s="58"/>
      <c r="AVI2488" s="58"/>
      <c r="AVJ2488" s="60"/>
      <c r="AVK2488" s="60"/>
      <c r="AVL2488" s="60"/>
      <c r="AVM2488" s="58"/>
      <c r="AVN2488" s="61"/>
      <c r="AVO2488" s="58"/>
      <c r="AVP2488" s="58"/>
      <c r="AVQ2488" s="58"/>
      <c r="AVR2488" s="60"/>
      <c r="AVS2488" s="60"/>
      <c r="AVT2488" s="60"/>
      <c r="AVU2488" s="58"/>
      <c r="AVV2488" s="61"/>
      <c r="AVW2488" s="58"/>
      <c r="AVX2488" s="58"/>
      <c r="AVY2488" s="58"/>
      <c r="AVZ2488" s="60"/>
      <c r="AWA2488" s="60"/>
      <c r="AWB2488" s="60"/>
      <c r="AWC2488" s="58"/>
      <c r="AWD2488" s="61"/>
      <c r="AWE2488" s="58"/>
      <c r="AWF2488" s="58"/>
      <c r="AWG2488" s="58"/>
      <c r="AWH2488" s="60"/>
      <c r="AWI2488" s="60"/>
      <c r="AWJ2488" s="60"/>
      <c r="AWK2488" s="58"/>
      <c r="AWL2488" s="61"/>
      <c r="AWM2488" s="58"/>
      <c r="AWN2488" s="58"/>
      <c r="AWO2488" s="58"/>
      <c r="AWP2488" s="60"/>
      <c r="AWQ2488" s="60"/>
      <c r="AWR2488" s="60"/>
      <c r="AWS2488" s="58"/>
      <c r="AWT2488" s="61"/>
      <c r="AWU2488" s="58"/>
      <c r="AWV2488" s="58"/>
      <c r="AWW2488" s="58"/>
      <c r="AWX2488" s="60"/>
      <c r="AWY2488" s="60"/>
      <c r="AWZ2488" s="60"/>
      <c r="AXA2488" s="58"/>
      <c r="AXB2488" s="61"/>
      <c r="AXC2488" s="58"/>
      <c r="AXD2488" s="58"/>
      <c r="AXE2488" s="58"/>
      <c r="AXF2488" s="60"/>
      <c r="AXG2488" s="60"/>
      <c r="AXH2488" s="60"/>
      <c r="AXI2488" s="58"/>
      <c r="AXJ2488" s="61"/>
      <c r="AXK2488" s="58"/>
      <c r="AXL2488" s="58"/>
      <c r="AXM2488" s="58"/>
      <c r="AXN2488" s="60"/>
      <c r="AXO2488" s="60"/>
      <c r="AXP2488" s="60"/>
      <c r="AXQ2488" s="58"/>
      <c r="AXR2488" s="61"/>
      <c r="AXS2488" s="58"/>
      <c r="AXT2488" s="58"/>
      <c r="AXU2488" s="58"/>
      <c r="AXV2488" s="60"/>
      <c r="AXW2488" s="60"/>
      <c r="AXX2488" s="60"/>
      <c r="AXY2488" s="58"/>
      <c r="AXZ2488" s="61"/>
      <c r="AYA2488" s="58"/>
      <c r="AYB2488" s="58"/>
      <c r="AYC2488" s="58"/>
      <c r="AYD2488" s="60"/>
      <c r="AYE2488" s="60"/>
      <c r="AYF2488" s="60"/>
      <c r="AYG2488" s="58"/>
      <c r="AYH2488" s="61"/>
      <c r="AYI2488" s="58"/>
      <c r="AYJ2488" s="58"/>
      <c r="AYK2488" s="58"/>
      <c r="AYL2488" s="60"/>
      <c r="AYM2488" s="60"/>
      <c r="AYN2488" s="60"/>
      <c r="AYO2488" s="58"/>
      <c r="AYP2488" s="61"/>
      <c r="AYQ2488" s="58"/>
      <c r="AYR2488" s="58"/>
      <c r="AYS2488" s="58"/>
      <c r="AYT2488" s="60"/>
      <c r="AYU2488" s="60"/>
      <c r="AYV2488" s="60"/>
      <c r="AYW2488" s="58"/>
      <c r="AYX2488" s="61"/>
      <c r="AYY2488" s="58"/>
      <c r="AYZ2488" s="58"/>
      <c r="AZA2488" s="58"/>
      <c r="AZB2488" s="60"/>
      <c r="AZC2488" s="60"/>
      <c r="AZD2488" s="60"/>
      <c r="AZE2488" s="58"/>
      <c r="AZF2488" s="61"/>
      <c r="AZG2488" s="58"/>
      <c r="AZH2488" s="58"/>
      <c r="AZI2488" s="58"/>
      <c r="AZJ2488" s="60"/>
      <c r="AZK2488" s="60"/>
      <c r="AZL2488" s="60"/>
      <c r="AZM2488" s="58"/>
      <c r="AZN2488" s="61"/>
      <c r="AZO2488" s="58"/>
      <c r="AZP2488" s="58"/>
      <c r="AZQ2488" s="58"/>
      <c r="AZR2488" s="60"/>
      <c r="AZS2488" s="60"/>
      <c r="AZT2488" s="60"/>
      <c r="AZU2488" s="58"/>
      <c r="AZV2488" s="61"/>
      <c r="AZW2488" s="58"/>
      <c r="AZX2488" s="58"/>
      <c r="AZY2488" s="58"/>
      <c r="AZZ2488" s="60"/>
      <c r="BAA2488" s="60"/>
      <c r="BAB2488" s="60"/>
      <c r="BAC2488" s="58"/>
      <c r="BAD2488" s="61"/>
      <c r="BAE2488" s="58"/>
      <c r="BAF2488" s="58"/>
      <c r="BAG2488" s="58"/>
      <c r="BAH2488" s="60"/>
      <c r="BAI2488" s="60"/>
      <c r="BAJ2488" s="60"/>
      <c r="BAK2488" s="58"/>
      <c r="BAL2488" s="61"/>
      <c r="BAM2488" s="58"/>
      <c r="BAN2488" s="58"/>
      <c r="BAO2488" s="58"/>
      <c r="BAP2488" s="60"/>
      <c r="BAQ2488" s="60"/>
      <c r="BAR2488" s="60"/>
      <c r="BAS2488" s="58"/>
      <c r="BAT2488" s="61"/>
      <c r="BAU2488" s="58"/>
      <c r="BAV2488" s="58"/>
      <c r="BAW2488" s="58"/>
      <c r="BAX2488" s="60"/>
      <c r="BAY2488" s="60"/>
      <c r="BAZ2488" s="60"/>
      <c r="BBA2488" s="58"/>
      <c r="BBB2488" s="61"/>
      <c r="BBC2488" s="58"/>
      <c r="BBD2488" s="58"/>
      <c r="BBE2488" s="58"/>
      <c r="BBF2488" s="60"/>
      <c r="BBG2488" s="60"/>
      <c r="BBH2488" s="60"/>
      <c r="BBI2488" s="58"/>
      <c r="BBJ2488" s="61"/>
      <c r="BBK2488" s="58"/>
      <c r="BBL2488" s="58"/>
      <c r="BBM2488" s="58"/>
      <c r="BBN2488" s="60"/>
      <c r="BBO2488" s="60"/>
      <c r="BBP2488" s="60"/>
      <c r="BBQ2488" s="58"/>
      <c r="BBR2488" s="61"/>
      <c r="BBS2488" s="58"/>
      <c r="BBT2488" s="58"/>
      <c r="BBU2488" s="58"/>
      <c r="BBV2488" s="60"/>
      <c r="BBW2488" s="60"/>
      <c r="BBX2488" s="60"/>
      <c r="BBY2488" s="58"/>
      <c r="BBZ2488" s="61"/>
      <c r="BCA2488" s="58"/>
      <c r="BCB2488" s="58"/>
      <c r="BCC2488" s="58"/>
      <c r="BCD2488" s="60"/>
      <c r="BCE2488" s="60"/>
      <c r="BCF2488" s="60"/>
      <c r="BCG2488" s="58"/>
      <c r="BCH2488" s="61"/>
      <c r="BCI2488" s="58"/>
      <c r="BCJ2488" s="58"/>
      <c r="BCK2488" s="58"/>
      <c r="BCL2488" s="60"/>
      <c r="BCM2488" s="60"/>
      <c r="BCN2488" s="60"/>
      <c r="BCO2488" s="58"/>
      <c r="BCP2488" s="61"/>
      <c r="BCQ2488" s="58"/>
      <c r="BCR2488" s="58"/>
      <c r="BCS2488" s="58"/>
      <c r="BCT2488" s="60"/>
      <c r="BCU2488" s="60"/>
      <c r="BCV2488" s="60"/>
      <c r="BCW2488" s="58"/>
      <c r="BCX2488" s="61"/>
      <c r="BCY2488" s="58"/>
      <c r="BCZ2488" s="58"/>
      <c r="BDA2488" s="58"/>
      <c r="BDB2488" s="60"/>
      <c r="BDC2488" s="60"/>
      <c r="BDD2488" s="60"/>
      <c r="BDE2488" s="58"/>
      <c r="BDF2488" s="61"/>
      <c r="BDG2488" s="58"/>
      <c r="BDH2488" s="58"/>
      <c r="BDI2488" s="58"/>
      <c r="BDJ2488" s="60"/>
      <c r="BDK2488" s="60"/>
      <c r="BDL2488" s="60"/>
      <c r="BDM2488" s="58"/>
      <c r="BDN2488" s="61"/>
      <c r="BDO2488" s="58"/>
      <c r="BDP2488" s="58"/>
      <c r="BDQ2488" s="58"/>
      <c r="BDR2488" s="60"/>
      <c r="BDS2488" s="60"/>
      <c r="BDT2488" s="60"/>
      <c r="BDU2488" s="58"/>
      <c r="BDV2488" s="61"/>
      <c r="BDW2488" s="58"/>
      <c r="BDX2488" s="58"/>
      <c r="BDY2488" s="58"/>
      <c r="BDZ2488" s="60"/>
      <c r="BEA2488" s="60"/>
      <c r="BEB2488" s="60"/>
      <c r="BEC2488" s="58"/>
      <c r="BED2488" s="61"/>
      <c r="BEE2488" s="58"/>
      <c r="BEF2488" s="58"/>
      <c r="BEG2488" s="58"/>
      <c r="BEH2488" s="60"/>
      <c r="BEI2488" s="60"/>
      <c r="BEJ2488" s="60"/>
      <c r="BEK2488" s="58"/>
      <c r="BEL2488" s="61"/>
      <c r="BEM2488" s="58"/>
      <c r="BEN2488" s="58"/>
      <c r="BEO2488" s="58"/>
      <c r="BEP2488" s="60"/>
      <c r="BEQ2488" s="60"/>
      <c r="BER2488" s="60"/>
      <c r="BES2488" s="58"/>
      <c r="BET2488" s="61"/>
      <c r="BEU2488" s="58"/>
      <c r="BEV2488" s="58"/>
      <c r="BEW2488" s="58"/>
      <c r="BEX2488" s="60"/>
      <c r="BEY2488" s="60"/>
      <c r="BEZ2488" s="60"/>
      <c r="BFA2488" s="58"/>
      <c r="BFB2488" s="61"/>
      <c r="BFC2488" s="58"/>
      <c r="BFD2488" s="58"/>
      <c r="BFE2488" s="58"/>
      <c r="BFF2488" s="60"/>
      <c r="BFG2488" s="60"/>
      <c r="BFH2488" s="60"/>
      <c r="BFI2488" s="58"/>
      <c r="BFJ2488" s="61"/>
      <c r="BFK2488" s="58"/>
      <c r="BFL2488" s="58"/>
      <c r="BFM2488" s="58"/>
      <c r="BFN2488" s="60"/>
      <c r="BFO2488" s="60"/>
      <c r="BFP2488" s="60"/>
      <c r="BFQ2488" s="58"/>
      <c r="BFR2488" s="61"/>
      <c r="BFS2488" s="58"/>
      <c r="BFT2488" s="58"/>
      <c r="BFU2488" s="58"/>
      <c r="BFV2488" s="60"/>
      <c r="BFW2488" s="60"/>
      <c r="BFX2488" s="60"/>
      <c r="BFY2488" s="58"/>
      <c r="BFZ2488" s="61"/>
      <c r="BGA2488" s="58"/>
      <c r="BGB2488" s="58"/>
      <c r="BGC2488" s="58"/>
      <c r="BGD2488" s="60"/>
      <c r="BGE2488" s="60"/>
      <c r="BGF2488" s="60"/>
      <c r="BGG2488" s="58"/>
      <c r="BGH2488" s="61"/>
      <c r="BGI2488" s="58"/>
      <c r="BGJ2488" s="58"/>
      <c r="BGK2488" s="58"/>
      <c r="BGL2488" s="60"/>
      <c r="BGM2488" s="60"/>
      <c r="BGN2488" s="60"/>
      <c r="BGO2488" s="58"/>
      <c r="BGP2488" s="61"/>
      <c r="BGQ2488" s="58"/>
      <c r="BGR2488" s="58"/>
      <c r="BGS2488" s="58"/>
      <c r="BGT2488" s="60"/>
      <c r="BGU2488" s="60"/>
      <c r="BGV2488" s="60"/>
      <c r="BGW2488" s="58"/>
      <c r="BGX2488" s="61"/>
      <c r="BGY2488" s="58"/>
      <c r="BGZ2488" s="58"/>
      <c r="BHA2488" s="58"/>
      <c r="BHB2488" s="60"/>
      <c r="BHC2488" s="60"/>
      <c r="BHD2488" s="60"/>
      <c r="BHE2488" s="58"/>
      <c r="BHF2488" s="61"/>
      <c r="BHG2488" s="58"/>
      <c r="BHH2488" s="58"/>
      <c r="BHI2488" s="58"/>
      <c r="BHJ2488" s="60"/>
      <c r="BHK2488" s="60"/>
      <c r="BHL2488" s="60"/>
      <c r="BHM2488" s="58"/>
      <c r="BHN2488" s="61"/>
      <c r="BHO2488" s="58"/>
      <c r="BHP2488" s="58"/>
      <c r="BHQ2488" s="58"/>
      <c r="BHR2488" s="60"/>
      <c r="BHS2488" s="60"/>
      <c r="BHT2488" s="60"/>
      <c r="BHU2488" s="58"/>
      <c r="BHV2488" s="61"/>
      <c r="BHW2488" s="58"/>
      <c r="BHX2488" s="58"/>
      <c r="BHY2488" s="58"/>
      <c r="BHZ2488" s="60"/>
      <c r="BIA2488" s="60"/>
      <c r="BIB2488" s="60"/>
      <c r="BIC2488" s="58"/>
      <c r="BID2488" s="61"/>
      <c r="BIE2488" s="58"/>
      <c r="BIF2488" s="58"/>
      <c r="BIG2488" s="58"/>
      <c r="BIH2488" s="60"/>
      <c r="BII2488" s="60"/>
      <c r="BIJ2488" s="60"/>
      <c r="BIK2488" s="58"/>
      <c r="BIL2488" s="61"/>
      <c r="BIM2488" s="58"/>
      <c r="BIN2488" s="58"/>
      <c r="BIO2488" s="58"/>
      <c r="BIP2488" s="60"/>
      <c r="BIQ2488" s="60"/>
      <c r="BIR2488" s="60"/>
      <c r="BIS2488" s="58"/>
      <c r="BIT2488" s="61"/>
      <c r="BIU2488" s="58"/>
      <c r="BIV2488" s="58"/>
      <c r="BIW2488" s="58"/>
      <c r="BIX2488" s="60"/>
      <c r="BIY2488" s="60"/>
      <c r="BIZ2488" s="60"/>
      <c r="BJA2488" s="58"/>
      <c r="BJB2488" s="61"/>
      <c r="BJC2488" s="58"/>
      <c r="BJD2488" s="58"/>
      <c r="BJE2488" s="58"/>
      <c r="BJF2488" s="60"/>
      <c r="BJG2488" s="60"/>
      <c r="BJH2488" s="60"/>
      <c r="BJI2488" s="58"/>
      <c r="BJJ2488" s="61"/>
      <c r="BJK2488" s="58"/>
      <c r="BJL2488" s="58"/>
      <c r="BJM2488" s="58"/>
      <c r="BJN2488" s="60"/>
      <c r="BJO2488" s="60"/>
      <c r="BJP2488" s="60"/>
      <c r="BJQ2488" s="58"/>
      <c r="BJR2488" s="61"/>
      <c r="BJS2488" s="58"/>
      <c r="BJT2488" s="58"/>
      <c r="BJU2488" s="58"/>
      <c r="BJV2488" s="60"/>
      <c r="BJW2488" s="60"/>
      <c r="BJX2488" s="60"/>
      <c r="BJY2488" s="58"/>
      <c r="BJZ2488" s="61"/>
      <c r="BKA2488" s="58"/>
      <c r="BKB2488" s="58"/>
      <c r="BKC2488" s="58"/>
      <c r="BKD2488" s="60"/>
      <c r="BKE2488" s="60"/>
      <c r="BKF2488" s="60"/>
      <c r="BKG2488" s="58"/>
      <c r="BKH2488" s="61"/>
      <c r="BKI2488" s="58"/>
      <c r="BKJ2488" s="58"/>
      <c r="BKK2488" s="58"/>
      <c r="BKL2488" s="60"/>
      <c r="BKM2488" s="60"/>
      <c r="BKN2488" s="60"/>
      <c r="BKO2488" s="58"/>
      <c r="BKP2488" s="61"/>
      <c r="BKQ2488" s="58"/>
      <c r="BKR2488" s="58"/>
      <c r="BKS2488" s="58"/>
      <c r="BKT2488" s="60"/>
      <c r="BKU2488" s="60"/>
      <c r="BKV2488" s="60"/>
      <c r="BKW2488" s="58"/>
      <c r="BKX2488" s="61"/>
      <c r="BKY2488" s="58"/>
      <c r="BKZ2488" s="58"/>
      <c r="BLA2488" s="58"/>
      <c r="BLB2488" s="60"/>
      <c r="BLC2488" s="60"/>
      <c r="BLD2488" s="60"/>
      <c r="BLE2488" s="58"/>
      <c r="BLF2488" s="61"/>
      <c r="BLG2488" s="58"/>
      <c r="BLH2488" s="58"/>
      <c r="BLI2488" s="58"/>
      <c r="BLJ2488" s="60"/>
      <c r="BLK2488" s="60"/>
      <c r="BLL2488" s="60"/>
      <c r="BLM2488" s="58"/>
      <c r="BLN2488" s="61"/>
      <c r="BLO2488" s="58"/>
      <c r="BLP2488" s="58"/>
      <c r="BLQ2488" s="58"/>
      <c r="BLR2488" s="60"/>
      <c r="BLS2488" s="60"/>
      <c r="BLT2488" s="60"/>
      <c r="BLU2488" s="58"/>
      <c r="BLV2488" s="61"/>
      <c r="BLW2488" s="58"/>
      <c r="BLX2488" s="58"/>
      <c r="BLY2488" s="58"/>
      <c r="BLZ2488" s="60"/>
      <c r="BMA2488" s="60"/>
      <c r="BMB2488" s="60"/>
      <c r="BMC2488" s="58"/>
      <c r="BMD2488" s="61"/>
      <c r="BME2488" s="58"/>
      <c r="BMF2488" s="58"/>
      <c r="BMG2488" s="58"/>
      <c r="BMH2488" s="60"/>
      <c r="BMI2488" s="60"/>
      <c r="BMJ2488" s="60"/>
      <c r="BMK2488" s="58"/>
      <c r="BML2488" s="61"/>
      <c r="BMM2488" s="58"/>
      <c r="BMN2488" s="58"/>
      <c r="BMO2488" s="58"/>
      <c r="BMP2488" s="60"/>
      <c r="BMQ2488" s="60"/>
      <c r="BMR2488" s="60"/>
      <c r="BMS2488" s="58"/>
      <c r="BMT2488" s="61"/>
      <c r="BMU2488" s="58"/>
      <c r="BMV2488" s="58"/>
      <c r="BMW2488" s="58"/>
      <c r="BMX2488" s="60"/>
      <c r="BMY2488" s="60"/>
      <c r="BMZ2488" s="60"/>
      <c r="BNA2488" s="58"/>
      <c r="BNB2488" s="61"/>
      <c r="BNC2488" s="58"/>
      <c r="BND2488" s="58"/>
      <c r="BNE2488" s="58"/>
      <c r="BNF2488" s="60"/>
      <c r="BNG2488" s="60"/>
      <c r="BNH2488" s="60"/>
      <c r="BNI2488" s="58"/>
      <c r="BNJ2488" s="61"/>
      <c r="BNK2488" s="58"/>
      <c r="BNL2488" s="58"/>
      <c r="BNM2488" s="58"/>
      <c r="BNN2488" s="60"/>
      <c r="BNO2488" s="60"/>
      <c r="BNP2488" s="60"/>
      <c r="BNQ2488" s="58"/>
      <c r="BNR2488" s="61"/>
      <c r="BNS2488" s="58"/>
      <c r="BNT2488" s="58"/>
      <c r="BNU2488" s="58"/>
      <c r="BNV2488" s="60"/>
      <c r="BNW2488" s="60"/>
      <c r="BNX2488" s="60"/>
      <c r="BNY2488" s="58"/>
      <c r="BNZ2488" s="61"/>
      <c r="BOA2488" s="58"/>
      <c r="BOB2488" s="58"/>
      <c r="BOC2488" s="58"/>
      <c r="BOD2488" s="60"/>
      <c r="BOE2488" s="60"/>
      <c r="BOF2488" s="60"/>
      <c r="BOG2488" s="58"/>
      <c r="BOH2488" s="61"/>
      <c r="BOI2488" s="58"/>
      <c r="BOJ2488" s="58"/>
      <c r="BOK2488" s="58"/>
      <c r="BOL2488" s="60"/>
      <c r="BOM2488" s="60"/>
      <c r="BON2488" s="60"/>
      <c r="BOO2488" s="58"/>
      <c r="BOP2488" s="61"/>
      <c r="BOQ2488" s="58"/>
      <c r="BOR2488" s="58"/>
      <c r="BOS2488" s="58"/>
      <c r="BOT2488" s="60"/>
      <c r="BOU2488" s="60"/>
      <c r="BOV2488" s="60"/>
      <c r="BOW2488" s="58"/>
      <c r="BOX2488" s="61"/>
      <c r="BOY2488" s="58"/>
      <c r="BOZ2488" s="58"/>
      <c r="BPA2488" s="58"/>
      <c r="BPB2488" s="60"/>
      <c r="BPC2488" s="60"/>
      <c r="BPD2488" s="60"/>
      <c r="BPE2488" s="58"/>
      <c r="BPF2488" s="61"/>
      <c r="BPG2488" s="58"/>
      <c r="BPH2488" s="58"/>
      <c r="BPI2488" s="58"/>
      <c r="BPJ2488" s="60"/>
      <c r="BPK2488" s="60"/>
      <c r="BPL2488" s="60"/>
      <c r="BPM2488" s="58"/>
      <c r="BPN2488" s="61"/>
      <c r="BPO2488" s="58"/>
      <c r="BPP2488" s="58"/>
      <c r="BPQ2488" s="58"/>
      <c r="BPR2488" s="60"/>
      <c r="BPS2488" s="60"/>
      <c r="BPT2488" s="60"/>
      <c r="BPU2488" s="58"/>
      <c r="BPV2488" s="61"/>
      <c r="BPW2488" s="58"/>
      <c r="BPX2488" s="58"/>
      <c r="BPY2488" s="58"/>
      <c r="BPZ2488" s="60"/>
      <c r="BQA2488" s="60"/>
      <c r="BQB2488" s="60"/>
      <c r="BQC2488" s="58"/>
      <c r="BQD2488" s="61"/>
      <c r="BQE2488" s="58"/>
      <c r="BQF2488" s="58"/>
      <c r="BQG2488" s="58"/>
      <c r="BQH2488" s="60"/>
      <c r="BQI2488" s="60"/>
      <c r="BQJ2488" s="60"/>
      <c r="BQK2488" s="58"/>
      <c r="BQL2488" s="61"/>
      <c r="BQM2488" s="58"/>
      <c r="BQN2488" s="58"/>
      <c r="BQO2488" s="58"/>
      <c r="BQP2488" s="60"/>
      <c r="BQQ2488" s="60"/>
      <c r="BQR2488" s="60"/>
      <c r="BQS2488" s="58"/>
      <c r="BQT2488" s="61"/>
      <c r="BQU2488" s="58"/>
      <c r="BQV2488" s="58"/>
      <c r="BQW2488" s="58"/>
      <c r="BQX2488" s="60"/>
      <c r="BQY2488" s="60"/>
      <c r="BQZ2488" s="60"/>
      <c r="BRA2488" s="58"/>
      <c r="BRB2488" s="61"/>
      <c r="BRC2488" s="58"/>
      <c r="BRD2488" s="58"/>
      <c r="BRE2488" s="58"/>
      <c r="BRF2488" s="60"/>
      <c r="BRG2488" s="60"/>
      <c r="BRH2488" s="60"/>
      <c r="BRI2488" s="58"/>
      <c r="BRJ2488" s="61"/>
      <c r="BRK2488" s="58"/>
      <c r="BRL2488" s="58"/>
      <c r="BRM2488" s="58"/>
      <c r="BRN2488" s="60"/>
      <c r="BRO2488" s="60"/>
      <c r="BRP2488" s="60"/>
      <c r="BRQ2488" s="58"/>
      <c r="BRR2488" s="61"/>
      <c r="BRS2488" s="58"/>
      <c r="BRT2488" s="58"/>
      <c r="BRU2488" s="58"/>
      <c r="BRV2488" s="60"/>
      <c r="BRW2488" s="60"/>
      <c r="BRX2488" s="60"/>
      <c r="BRY2488" s="58"/>
      <c r="BRZ2488" s="61"/>
      <c r="BSA2488" s="58"/>
      <c r="BSB2488" s="58"/>
      <c r="BSC2488" s="58"/>
      <c r="BSD2488" s="60"/>
      <c r="BSE2488" s="60"/>
      <c r="BSF2488" s="60"/>
      <c r="BSG2488" s="58"/>
      <c r="BSH2488" s="61"/>
      <c r="BSI2488" s="58"/>
      <c r="BSJ2488" s="58"/>
      <c r="BSK2488" s="58"/>
      <c r="BSL2488" s="60"/>
      <c r="BSM2488" s="60"/>
      <c r="BSN2488" s="60"/>
      <c r="BSO2488" s="58"/>
      <c r="BSP2488" s="61"/>
      <c r="BSQ2488" s="58"/>
      <c r="BSR2488" s="58"/>
      <c r="BSS2488" s="58"/>
      <c r="BST2488" s="60"/>
      <c r="BSU2488" s="60"/>
      <c r="BSV2488" s="60"/>
      <c r="BSW2488" s="58"/>
      <c r="BSX2488" s="61"/>
      <c r="BSY2488" s="58"/>
      <c r="BSZ2488" s="58"/>
      <c r="BTA2488" s="58"/>
      <c r="BTB2488" s="60"/>
      <c r="BTC2488" s="60"/>
      <c r="BTD2488" s="60"/>
      <c r="BTE2488" s="58"/>
      <c r="BTF2488" s="61"/>
      <c r="BTG2488" s="58"/>
      <c r="BTH2488" s="58"/>
      <c r="BTI2488" s="58"/>
      <c r="BTJ2488" s="60"/>
      <c r="BTK2488" s="60"/>
      <c r="BTL2488" s="60"/>
      <c r="BTM2488" s="58"/>
      <c r="BTN2488" s="61"/>
      <c r="BTO2488" s="58"/>
      <c r="BTP2488" s="58"/>
      <c r="BTQ2488" s="58"/>
      <c r="BTR2488" s="60"/>
      <c r="BTS2488" s="60"/>
      <c r="BTT2488" s="60"/>
      <c r="BTU2488" s="58"/>
      <c r="BTV2488" s="61"/>
      <c r="BTW2488" s="58"/>
      <c r="BTX2488" s="58"/>
      <c r="BTY2488" s="58"/>
      <c r="BTZ2488" s="60"/>
      <c r="BUA2488" s="60"/>
      <c r="BUB2488" s="60"/>
      <c r="BUC2488" s="58"/>
      <c r="BUD2488" s="61"/>
      <c r="BUE2488" s="58"/>
      <c r="BUF2488" s="58"/>
      <c r="BUG2488" s="58"/>
      <c r="BUH2488" s="60"/>
      <c r="BUI2488" s="60"/>
      <c r="BUJ2488" s="60"/>
      <c r="BUK2488" s="58"/>
      <c r="BUL2488" s="61"/>
      <c r="BUM2488" s="58"/>
      <c r="BUN2488" s="58"/>
      <c r="BUO2488" s="58"/>
      <c r="BUP2488" s="60"/>
      <c r="BUQ2488" s="60"/>
      <c r="BUR2488" s="60"/>
      <c r="BUS2488" s="58"/>
      <c r="BUT2488" s="61"/>
      <c r="BUU2488" s="58"/>
      <c r="BUV2488" s="58"/>
      <c r="BUW2488" s="58"/>
      <c r="BUX2488" s="60"/>
      <c r="BUY2488" s="60"/>
      <c r="BUZ2488" s="60"/>
      <c r="BVA2488" s="58"/>
      <c r="BVB2488" s="61"/>
      <c r="BVC2488" s="58"/>
      <c r="BVD2488" s="58"/>
      <c r="BVE2488" s="58"/>
      <c r="BVF2488" s="60"/>
      <c r="BVG2488" s="60"/>
      <c r="BVH2488" s="60"/>
      <c r="BVI2488" s="58"/>
      <c r="BVJ2488" s="61"/>
      <c r="BVK2488" s="58"/>
      <c r="BVL2488" s="58"/>
      <c r="BVM2488" s="58"/>
      <c r="BVN2488" s="60"/>
      <c r="BVO2488" s="60"/>
      <c r="BVP2488" s="60"/>
      <c r="BVQ2488" s="58"/>
      <c r="BVR2488" s="61"/>
      <c r="BVS2488" s="58"/>
      <c r="BVT2488" s="58"/>
      <c r="BVU2488" s="58"/>
      <c r="BVV2488" s="60"/>
      <c r="BVW2488" s="60"/>
      <c r="BVX2488" s="60"/>
      <c r="BVY2488" s="58"/>
      <c r="BVZ2488" s="61"/>
      <c r="BWA2488" s="58"/>
      <c r="BWB2488" s="58"/>
      <c r="BWC2488" s="58"/>
      <c r="BWD2488" s="60"/>
      <c r="BWE2488" s="60"/>
      <c r="BWF2488" s="60"/>
      <c r="BWG2488" s="58"/>
      <c r="BWH2488" s="61"/>
      <c r="BWI2488" s="58"/>
      <c r="BWJ2488" s="58"/>
      <c r="BWK2488" s="58"/>
      <c r="BWL2488" s="60"/>
      <c r="BWM2488" s="60"/>
      <c r="BWN2488" s="60"/>
      <c r="BWO2488" s="58"/>
      <c r="BWP2488" s="61"/>
      <c r="BWQ2488" s="58"/>
      <c r="BWR2488" s="58"/>
      <c r="BWS2488" s="58"/>
      <c r="BWT2488" s="60"/>
      <c r="BWU2488" s="60"/>
      <c r="BWV2488" s="60"/>
      <c r="BWW2488" s="58"/>
      <c r="BWX2488" s="61"/>
      <c r="BWY2488" s="58"/>
      <c r="BWZ2488" s="58"/>
      <c r="BXA2488" s="58"/>
      <c r="BXB2488" s="60"/>
      <c r="BXC2488" s="60"/>
      <c r="BXD2488" s="60"/>
      <c r="BXE2488" s="58"/>
      <c r="BXF2488" s="61"/>
      <c r="BXG2488" s="58"/>
      <c r="BXH2488" s="58"/>
      <c r="BXI2488" s="58"/>
      <c r="BXJ2488" s="60"/>
      <c r="BXK2488" s="60"/>
      <c r="BXL2488" s="60"/>
      <c r="BXM2488" s="58"/>
      <c r="BXN2488" s="61"/>
      <c r="BXO2488" s="58"/>
      <c r="BXP2488" s="58"/>
      <c r="BXQ2488" s="58"/>
      <c r="BXR2488" s="60"/>
      <c r="BXS2488" s="60"/>
      <c r="BXT2488" s="60"/>
      <c r="BXU2488" s="58"/>
      <c r="BXV2488" s="61"/>
      <c r="BXW2488" s="58"/>
      <c r="BXX2488" s="58"/>
      <c r="BXY2488" s="58"/>
      <c r="BXZ2488" s="60"/>
      <c r="BYA2488" s="60"/>
      <c r="BYB2488" s="60"/>
      <c r="BYC2488" s="58"/>
      <c r="BYD2488" s="61"/>
      <c r="BYE2488" s="58"/>
      <c r="BYF2488" s="58"/>
      <c r="BYG2488" s="58"/>
      <c r="BYH2488" s="60"/>
      <c r="BYI2488" s="60"/>
      <c r="BYJ2488" s="60"/>
      <c r="BYK2488" s="58"/>
      <c r="BYL2488" s="61"/>
      <c r="BYM2488" s="58"/>
      <c r="BYN2488" s="58"/>
      <c r="BYO2488" s="58"/>
      <c r="BYP2488" s="60"/>
      <c r="BYQ2488" s="60"/>
      <c r="BYR2488" s="60"/>
      <c r="BYS2488" s="58"/>
      <c r="BYT2488" s="61"/>
      <c r="BYU2488" s="58"/>
      <c r="BYV2488" s="58"/>
      <c r="BYW2488" s="58"/>
      <c r="BYX2488" s="60"/>
      <c r="BYY2488" s="60"/>
      <c r="BYZ2488" s="60"/>
      <c r="BZA2488" s="58"/>
      <c r="BZB2488" s="61"/>
      <c r="BZC2488" s="58"/>
      <c r="BZD2488" s="58"/>
      <c r="BZE2488" s="58"/>
      <c r="BZF2488" s="60"/>
      <c r="BZG2488" s="60"/>
      <c r="BZH2488" s="60"/>
      <c r="BZI2488" s="58"/>
      <c r="BZJ2488" s="61"/>
      <c r="BZK2488" s="58"/>
      <c r="BZL2488" s="58"/>
      <c r="BZM2488" s="58"/>
      <c r="BZN2488" s="60"/>
      <c r="BZO2488" s="60"/>
      <c r="BZP2488" s="60"/>
      <c r="BZQ2488" s="58"/>
      <c r="BZR2488" s="61"/>
      <c r="BZS2488" s="58"/>
      <c r="BZT2488" s="58"/>
      <c r="BZU2488" s="58"/>
      <c r="BZV2488" s="60"/>
      <c r="BZW2488" s="60"/>
      <c r="BZX2488" s="60"/>
      <c r="BZY2488" s="58"/>
      <c r="BZZ2488" s="61"/>
      <c r="CAA2488" s="58"/>
      <c r="CAB2488" s="58"/>
      <c r="CAC2488" s="58"/>
      <c r="CAD2488" s="60"/>
      <c r="CAE2488" s="60"/>
      <c r="CAF2488" s="60"/>
      <c r="CAG2488" s="58"/>
      <c r="CAH2488" s="61"/>
      <c r="CAI2488" s="58"/>
      <c r="CAJ2488" s="58"/>
      <c r="CAK2488" s="58"/>
      <c r="CAL2488" s="60"/>
      <c r="CAM2488" s="60"/>
      <c r="CAN2488" s="60"/>
      <c r="CAO2488" s="58"/>
      <c r="CAP2488" s="61"/>
      <c r="CAQ2488" s="58"/>
      <c r="CAR2488" s="58"/>
      <c r="CAS2488" s="58"/>
      <c r="CAT2488" s="60"/>
      <c r="CAU2488" s="60"/>
      <c r="CAV2488" s="60"/>
      <c r="CAW2488" s="58"/>
      <c r="CAX2488" s="61"/>
      <c r="CAY2488" s="58"/>
      <c r="CAZ2488" s="58"/>
      <c r="CBA2488" s="58"/>
      <c r="CBB2488" s="60"/>
      <c r="CBC2488" s="60"/>
      <c r="CBD2488" s="60"/>
      <c r="CBE2488" s="58"/>
      <c r="CBF2488" s="61"/>
      <c r="CBG2488" s="58"/>
      <c r="CBH2488" s="58"/>
      <c r="CBI2488" s="58"/>
      <c r="CBJ2488" s="60"/>
      <c r="CBK2488" s="60"/>
      <c r="CBL2488" s="60"/>
      <c r="CBM2488" s="58"/>
      <c r="CBN2488" s="61"/>
      <c r="CBO2488" s="58"/>
      <c r="CBP2488" s="58"/>
      <c r="CBQ2488" s="58"/>
      <c r="CBR2488" s="60"/>
      <c r="CBS2488" s="60"/>
      <c r="CBT2488" s="60"/>
      <c r="CBU2488" s="58"/>
      <c r="CBV2488" s="61"/>
      <c r="CBW2488" s="58"/>
      <c r="CBX2488" s="58"/>
      <c r="CBY2488" s="58"/>
      <c r="CBZ2488" s="60"/>
      <c r="CCA2488" s="60"/>
      <c r="CCB2488" s="60"/>
      <c r="CCC2488" s="58"/>
      <c r="CCD2488" s="61"/>
      <c r="CCE2488" s="58"/>
      <c r="CCF2488" s="58"/>
      <c r="CCG2488" s="58"/>
      <c r="CCH2488" s="60"/>
      <c r="CCI2488" s="60"/>
      <c r="CCJ2488" s="60"/>
      <c r="CCK2488" s="58"/>
      <c r="CCL2488" s="61"/>
      <c r="CCM2488" s="58"/>
      <c r="CCN2488" s="58"/>
      <c r="CCO2488" s="58"/>
      <c r="CCP2488" s="60"/>
      <c r="CCQ2488" s="60"/>
      <c r="CCR2488" s="60"/>
      <c r="CCS2488" s="58"/>
      <c r="CCT2488" s="61"/>
      <c r="CCU2488" s="58"/>
      <c r="CCV2488" s="58"/>
      <c r="CCW2488" s="58"/>
      <c r="CCX2488" s="60"/>
      <c r="CCY2488" s="60"/>
      <c r="CCZ2488" s="60"/>
      <c r="CDA2488" s="58"/>
      <c r="CDB2488" s="61"/>
      <c r="CDC2488" s="58"/>
      <c r="CDD2488" s="58"/>
      <c r="CDE2488" s="58"/>
      <c r="CDF2488" s="60"/>
      <c r="CDG2488" s="60"/>
      <c r="CDH2488" s="60"/>
      <c r="CDI2488" s="58"/>
      <c r="CDJ2488" s="61"/>
      <c r="CDK2488" s="58"/>
      <c r="CDL2488" s="58"/>
      <c r="CDM2488" s="58"/>
      <c r="CDN2488" s="60"/>
      <c r="CDO2488" s="60"/>
      <c r="CDP2488" s="60"/>
      <c r="CDQ2488" s="58"/>
      <c r="CDR2488" s="61"/>
      <c r="CDS2488" s="58"/>
      <c r="CDT2488" s="58"/>
      <c r="CDU2488" s="58"/>
      <c r="CDV2488" s="60"/>
      <c r="CDW2488" s="60"/>
      <c r="CDX2488" s="60"/>
      <c r="CDY2488" s="58"/>
      <c r="CDZ2488" s="61"/>
      <c r="CEA2488" s="58"/>
      <c r="CEB2488" s="58"/>
      <c r="CEC2488" s="58"/>
      <c r="CED2488" s="60"/>
      <c r="CEE2488" s="60"/>
      <c r="CEF2488" s="60"/>
      <c r="CEG2488" s="58"/>
      <c r="CEH2488" s="61"/>
      <c r="CEI2488" s="58"/>
      <c r="CEJ2488" s="58"/>
      <c r="CEK2488" s="58"/>
      <c r="CEL2488" s="60"/>
      <c r="CEM2488" s="60"/>
      <c r="CEN2488" s="60"/>
      <c r="CEO2488" s="58"/>
      <c r="CEP2488" s="61"/>
      <c r="CEQ2488" s="58"/>
      <c r="CER2488" s="58"/>
      <c r="CES2488" s="58"/>
      <c r="CET2488" s="60"/>
      <c r="CEU2488" s="60"/>
      <c r="CEV2488" s="60"/>
      <c r="CEW2488" s="58"/>
      <c r="CEX2488" s="61"/>
      <c r="CEY2488" s="58"/>
      <c r="CEZ2488" s="58"/>
      <c r="CFA2488" s="58"/>
      <c r="CFB2488" s="60"/>
      <c r="CFC2488" s="60"/>
      <c r="CFD2488" s="60"/>
      <c r="CFE2488" s="58"/>
      <c r="CFF2488" s="61"/>
      <c r="CFG2488" s="58"/>
      <c r="CFH2488" s="58"/>
      <c r="CFI2488" s="58"/>
      <c r="CFJ2488" s="60"/>
      <c r="CFK2488" s="60"/>
      <c r="CFL2488" s="60"/>
      <c r="CFM2488" s="58"/>
      <c r="CFN2488" s="61"/>
      <c r="CFO2488" s="58"/>
      <c r="CFP2488" s="58"/>
      <c r="CFQ2488" s="58"/>
      <c r="CFR2488" s="60"/>
      <c r="CFS2488" s="60"/>
      <c r="CFT2488" s="60"/>
      <c r="CFU2488" s="58"/>
      <c r="CFV2488" s="61"/>
      <c r="CFW2488" s="58"/>
      <c r="CFX2488" s="58"/>
      <c r="CFY2488" s="58"/>
      <c r="CFZ2488" s="60"/>
      <c r="CGA2488" s="60"/>
      <c r="CGB2488" s="60"/>
      <c r="CGC2488" s="58"/>
      <c r="CGD2488" s="61"/>
      <c r="CGE2488" s="58"/>
      <c r="CGF2488" s="58"/>
      <c r="CGG2488" s="58"/>
      <c r="CGH2488" s="60"/>
      <c r="CGI2488" s="60"/>
      <c r="CGJ2488" s="60"/>
      <c r="CGK2488" s="58"/>
      <c r="CGL2488" s="61"/>
      <c r="CGM2488" s="58"/>
      <c r="CGN2488" s="58"/>
      <c r="CGO2488" s="58"/>
      <c r="CGP2488" s="60"/>
      <c r="CGQ2488" s="60"/>
      <c r="CGR2488" s="60"/>
      <c r="CGS2488" s="58"/>
      <c r="CGT2488" s="61"/>
      <c r="CGU2488" s="58"/>
      <c r="CGV2488" s="58"/>
      <c r="CGW2488" s="58"/>
      <c r="CGX2488" s="60"/>
      <c r="CGY2488" s="60"/>
      <c r="CGZ2488" s="60"/>
      <c r="CHA2488" s="58"/>
      <c r="CHB2488" s="61"/>
      <c r="CHC2488" s="58"/>
      <c r="CHD2488" s="58"/>
      <c r="CHE2488" s="58"/>
      <c r="CHF2488" s="60"/>
      <c r="CHG2488" s="60"/>
      <c r="CHH2488" s="60"/>
      <c r="CHI2488" s="58"/>
      <c r="CHJ2488" s="61"/>
      <c r="CHK2488" s="58"/>
      <c r="CHL2488" s="58"/>
      <c r="CHM2488" s="58"/>
      <c r="CHN2488" s="60"/>
      <c r="CHO2488" s="60"/>
      <c r="CHP2488" s="60"/>
      <c r="CHQ2488" s="58"/>
      <c r="CHR2488" s="61"/>
      <c r="CHS2488" s="58"/>
      <c r="CHT2488" s="58"/>
      <c r="CHU2488" s="58"/>
      <c r="CHV2488" s="60"/>
      <c r="CHW2488" s="60"/>
      <c r="CHX2488" s="60"/>
      <c r="CHY2488" s="58"/>
      <c r="CHZ2488" s="61"/>
      <c r="CIA2488" s="58"/>
      <c r="CIB2488" s="58"/>
      <c r="CIC2488" s="58"/>
      <c r="CID2488" s="60"/>
      <c r="CIE2488" s="60"/>
      <c r="CIF2488" s="60"/>
      <c r="CIG2488" s="58"/>
      <c r="CIH2488" s="61"/>
      <c r="CII2488" s="58"/>
      <c r="CIJ2488" s="58"/>
      <c r="CIK2488" s="58"/>
      <c r="CIL2488" s="60"/>
      <c r="CIM2488" s="60"/>
      <c r="CIN2488" s="60"/>
      <c r="CIO2488" s="58"/>
      <c r="CIP2488" s="61"/>
      <c r="CIQ2488" s="58"/>
      <c r="CIR2488" s="58"/>
      <c r="CIS2488" s="58"/>
      <c r="CIT2488" s="60"/>
      <c r="CIU2488" s="60"/>
      <c r="CIV2488" s="60"/>
      <c r="CIW2488" s="58"/>
      <c r="CIX2488" s="61"/>
      <c r="CIY2488" s="58"/>
      <c r="CIZ2488" s="58"/>
      <c r="CJA2488" s="58"/>
      <c r="CJB2488" s="60"/>
      <c r="CJC2488" s="60"/>
      <c r="CJD2488" s="60"/>
      <c r="CJE2488" s="58"/>
      <c r="CJF2488" s="61"/>
      <c r="CJG2488" s="58"/>
      <c r="CJH2488" s="58"/>
      <c r="CJI2488" s="58"/>
      <c r="CJJ2488" s="60"/>
      <c r="CJK2488" s="60"/>
      <c r="CJL2488" s="60"/>
      <c r="CJM2488" s="58"/>
      <c r="CJN2488" s="61"/>
      <c r="CJO2488" s="58"/>
      <c r="CJP2488" s="58"/>
      <c r="CJQ2488" s="58"/>
      <c r="CJR2488" s="60"/>
      <c r="CJS2488" s="60"/>
      <c r="CJT2488" s="60"/>
      <c r="CJU2488" s="58"/>
      <c r="CJV2488" s="61"/>
      <c r="CJW2488" s="58"/>
      <c r="CJX2488" s="58"/>
      <c r="CJY2488" s="58"/>
      <c r="CJZ2488" s="60"/>
      <c r="CKA2488" s="60"/>
      <c r="CKB2488" s="60"/>
      <c r="CKC2488" s="58"/>
      <c r="CKD2488" s="61"/>
      <c r="CKE2488" s="58"/>
      <c r="CKF2488" s="58"/>
      <c r="CKG2488" s="58"/>
      <c r="CKH2488" s="60"/>
      <c r="CKI2488" s="60"/>
      <c r="CKJ2488" s="60"/>
      <c r="CKK2488" s="58"/>
      <c r="CKL2488" s="61"/>
      <c r="CKM2488" s="58"/>
      <c r="CKN2488" s="58"/>
      <c r="CKO2488" s="58"/>
      <c r="CKP2488" s="60"/>
      <c r="CKQ2488" s="60"/>
      <c r="CKR2488" s="60"/>
      <c r="CKS2488" s="58"/>
      <c r="CKT2488" s="61"/>
      <c r="CKU2488" s="58"/>
      <c r="CKV2488" s="58"/>
      <c r="CKW2488" s="58"/>
      <c r="CKX2488" s="60"/>
      <c r="CKY2488" s="60"/>
      <c r="CKZ2488" s="60"/>
      <c r="CLA2488" s="58"/>
      <c r="CLB2488" s="61"/>
      <c r="CLC2488" s="58"/>
      <c r="CLD2488" s="58"/>
      <c r="CLE2488" s="58"/>
      <c r="CLF2488" s="60"/>
      <c r="CLG2488" s="60"/>
      <c r="CLH2488" s="60"/>
      <c r="CLI2488" s="58"/>
      <c r="CLJ2488" s="61"/>
      <c r="CLK2488" s="58"/>
      <c r="CLL2488" s="58"/>
      <c r="CLM2488" s="58"/>
      <c r="CLN2488" s="60"/>
      <c r="CLO2488" s="60"/>
      <c r="CLP2488" s="60"/>
      <c r="CLQ2488" s="58"/>
      <c r="CLR2488" s="61"/>
      <c r="CLS2488" s="58"/>
      <c r="CLT2488" s="58"/>
      <c r="CLU2488" s="58"/>
      <c r="CLV2488" s="60"/>
      <c r="CLW2488" s="60"/>
      <c r="CLX2488" s="60"/>
      <c r="CLY2488" s="58"/>
      <c r="CLZ2488" s="61"/>
      <c r="CMA2488" s="58"/>
      <c r="CMB2488" s="58"/>
      <c r="CMC2488" s="58"/>
      <c r="CMD2488" s="60"/>
      <c r="CME2488" s="60"/>
      <c r="CMF2488" s="60"/>
      <c r="CMG2488" s="58"/>
      <c r="CMH2488" s="61"/>
      <c r="CMI2488" s="58"/>
      <c r="CMJ2488" s="58"/>
      <c r="CMK2488" s="58"/>
      <c r="CML2488" s="60"/>
      <c r="CMM2488" s="60"/>
      <c r="CMN2488" s="60"/>
      <c r="CMO2488" s="58"/>
      <c r="CMP2488" s="61"/>
      <c r="CMQ2488" s="58"/>
      <c r="CMR2488" s="58"/>
      <c r="CMS2488" s="58"/>
      <c r="CMT2488" s="60"/>
      <c r="CMU2488" s="60"/>
      <c r="CMV2488" s="60"/>
      <c r="CMW2488" s="58"/>
      <c r="CMX2488" s="61"/>
      <c r="CMY2488" s="58"/>
      <c r="CMZ2488" s="58"/>
      <c r="CNA2488" s="58"/>
      <c r="CNB2488" s="60"/>
      <c r="CNC2488" s="60"/>
      <c r="CND2488" s="60"/>
      <c r="CNE2488" s="58"/>
      <c r="CNF2488" s="61"/>
      <c r="CNG2488" s="58"/>
      <c r="CNH2488" s="58"/>
      <c r="CNI2488" s="58"/>
      <c r="CNJ2488" s="60"/>
      <c r="CNK2488" s="60"/>
      <c r="CNL2488" s="60"/>
      <c r="CNM2488" s="58"/>
      <c r="CNN2488" s="61"/>
      <c r="CNO2488" s="58"/>
      <c r="CNP2488" s="58"/>
      <c r="CNQ2488" s="58"/>
      <c r="CNR2488" s="60"/>
      <c r="CNS2488" s="60"/>
      <c r="CNT2488" s="60"/>
      <c r="CNU2488" s="58"/>
      <c r="CNV2488" s="61"/>
      <c r="CNW2488" s="58"/>
      <c r="CNX2488" s="58"/>
      <c r="CNY2488" s="58"/>
      <c r="CNZ2488" s="60"/>
      <c r="COA2488" s="60"/>
      <c r="COB2488" s="60"/>
      <c r="COC2488" s="58"/>
      <c r="COD2488" s="61"/>
      <c r="COE2488" s="58"/>
      <c r="COF2488" s="58"/>
      <c r="COG2488" s="58"/>
      <c r="COH2488" s="60"/>
      <c r="COI2488" s="60"/>
      <c r="COJ2488" s="60"/>
      <c r="COK2488" s="58"/>
      <c r="COL2488" s="61"/>
      <c r="COM2488" s="58"/>
      <c r="CON2488" s="58"/>
      <c r="COO2488" s="58"/>
      <c r="COP2488" s="60"/>
      <c r="COQ2488" s="60"/>
      <c r="COR2488" s="60"/>
      <c r="COS2488" s="58"/>
      <c r="COT2488" s="61"/>
      <c r="COU2488" s="58"/>
      <c r="COV2488" s="58"/>
      <c r="COW2488" s="58"/>
      <c r="COX2488" s="60"/>
      <c r="COY2488" s="60"/>
      <c r="COZ2488" s="60"/>
      <c r="CPA2488" s="58"/>
      <c r="CPB2488" s="61"/>
      <c r="CPC2488" s="58"/>
      <c r="CPD2488" s="58"/>
      <c r="CPE2488" s="58"/>
      <c r="CPF2488" s="60"/>
      <c r="CPG2488" s="60"/>
      <c r="CPH2488" s="60"/>
      <c r="CPI2488" s="58"/>
      <c r="CPJ2488" s="61"/>
      <c r="CPK2488" s="58"/>
      <c r="CPL2488" s="58"/>
      <c r="CPM2488" s="58"/>
      <c r="CPN2488" s="60"/>
      <c r="CPO2488" s="60"/>
      <c r="CPP2488" s="60"/>
      <c r="CPQ2488" s="58"/>
      <c r="CPR2488" s="61"/>
      <c r="CPS2488" s="58"/>
      <c r="CPT2488" s="58"/>
      <c r="CPU2488" s="58"/>
      <c r="CPV2488" s="60"/>
      <c r="CPW2488" s="60"/>
      <c r="CPX2488" s="60"/>
      <c r="CPY2488" s="58"/>
      <c r="CPZ2488" s="61"/>
      <c r="CQA2488" s="58"/>
      <c r="CQB2488" s="58"/>
      <c r="CQC2488" s="58"/>
      <c r="CQD2488" s="60"/>
      <c r="CQE2488" s="60"/>
      <c r="CQF2488" s="60"/>
      <c r="CQG2488" s="58"/>
      <c r="CQH2488" s="61"/>
      <c r="CQI2488" s="58"/>
      <c r="CQJ2488" s="58"/>
      <c r="CQK2488" s="58"/>
      <c r="CQL2488" s="60"/>
      <c r="CQM2488" s="60"/>
      <c r="CQN2488" s="60"/>
      <c r="CQO2488" s="58"/>
      <c r="CQP2488" s="61"/>
      <c r="CQQ2488" s="58"/>
      <c r="CQR2488" s="58"/>
      <c r="CQS2488" s="58"/>
      <c r="CQT2488" s="60"/>
      <c r="CQU2488" s="60"/>
      <c r="CQV2488" s="60"/>
      <c r="CQW2488" s="58"/>
      <c r="CQX2488" s="61"/>
      <c r="CQY2488" s="58"/>
      <c r="CQZ2488" s="58"/>
      <c r="CRA2488" s="58"/>
      <c r="CRB2488" s="60"/>
      <c r="CRC2488" s="60"/>
      <c r="CRD2488" s="60"/>
      <c r="CRE2488" s="58"/>
      <c r="CRF2488" s="61"/>
      <c r="CRG2488" s="58"/>
      <c r="CRH2488" s="58"/>
      <c r="CRI2488" s="58"/>
      <c r="CRJ2488" s="60"/>
      <c r="CRK2488" s="60"/>
      <c r="CRL2488" s="60"/>
      <c r="CRM2488" s="58"/>
      <c r="CRN2488" s="61"/>
      <c r="CRO2488" s="58"/>
      <c r="CRP2488" s="58"/>
      <c r="CRQ2488" s="58"/>
      <c r="CRR2488" s="60"/>
      <c r="CRS2488" s="60"/>
      <c r="CRT2488" s="60"/>
      <c r="CRU2488" s="58"/>
      <c r="CRV2488" s="61"/>
      <c r="CRW2488" s="58"/>
      <c r="CRX2488" s="58"/>
      <c r="CRY2488" s="58"/>
      <c r="CRZ2488" s="60"/>
      <c r="CSA2488" s="60"/>
      <c r="CSB2488" s="60"/>
      <c r="CSC2488" s="58"/>
      <c r="CSD2488" s="61"/>
      <c r="CSE2488" s="58"/>
      <c r="CSF2488" s="58"/>
      <c r="CSG2488" s="58"/>
      <c r="CSH2488" s="60"/>
      <c r="CSI2488" s="60"/>
      <c r="CSJ2488" s="60"/>
      <c r="CSK2488" s="58"/>
      <c r="CSL2488" s="61"/>
      <c r="CSM2488" s="58"/>
      <c r="CSN2488" s="58"/>
      <c r="CSO2488" s="58"/>
      <c r="CSP2488" s="60"/>
      <c r="CSQ2488" s="60"/>
      <c r="CSR2488" s="60"/>
      <c r="CSS2488" s="58"/>
      <c r="CST2488" s="61"/>
      <c r="CSU2488" s="58"/>
      <c r="CSV2488" s="58"/>
      <c r="CSW2488" s="58"/>
      <c r="CSX2488" s="60"/>
      <c r="CSY2488" s="60"/>
      <c r="CSZ2488" s="60"/>
      <c r="CTA2488" s="58"/>
      <c r="CTB2488" s="61"/>
      <c r="CTC2488" s="58"/>
      <c r="CTD2488" s="58"/>
      <c r="CTE2488" s="58"/>
      <c r="CTF2488" s="60"/>
      <c r="CTG2488" s="60"/>
      <c r="CTH2488" s="60"/>
      <c r="CTI2488" s="58"/>
      <c r="CTJ2488" s="61"/>
      <c r="CTK2488" s="58"/>
      <c r="CTL2488" s="58"/>
      <c r="CTM2488" s="58"/>
      <c r="CTN2488" s="60"/>
      <c r="CTO2488" s="60"/>
      <c r="CTP2488" s="60"/>
      <c r="CTQ2488" s="58"/>
      <c r="CTR2488" s="61"/>
      <c r="CTS2488" s="58"/>
      <c r="CTT2488" s="58"/>
      <c r="CTU2488" s="58"/>
      <c r="CTV2488" s="60"/>
      <c r="CTW2488" s="60"/>
      <c r="CTX2488" s="60"/>
      <c r="CTY2488" s="58"/>
      <c r="CTZ2488" s="61"/>
      <c r="CUA2488" s="58"/>
      <c r="CUB2488" s="58"/>
      <c r="CUC2488" s="58"/>
      <c r="CUD2488" s="60"/>
      <c r="CUE2488" s="60"/>
      <c r="CUF2488" s="60"/>
      <c r="CUG2488" s="58"/>
      <c r="CUH2488" s="61"/>
      <c r="CUI2488" s="58"/>
      <c r="CUJ2488" s="58"/>
      <c r="CUK2488" s="58"/>
      <c r="CUL2488" s="60"/>
      <c r="CUM2488" s="60"/>
      <c r="CUN2488" s="60"/>
      <c r="CUO2488" s="58"/>
      <c r="CUP2488" s="61"/>
      <c r="CUQ2488" s="58"/>
      <c r="CUR2488" s="58"/>
      <c r="CUS2488" s="58"/>
      <c r="CUT2488" s="60"/>
      <c r="CUU2488" s="60"/>
      <c r="CUV2488" s="60"/>
      <c r="CUW2488" s="58"/>
      <c r="CUX2488" s="61"/>
      <c r="CUY2488" s="58"/>
      <c r="CUZ2488" s="58"/>
      <c r="CVA2488" s="58"/>
      <c r="CVB2488" s="60"/>
      <c r="CVC2488" s="60"/>
      <c r="CVD2488" s="60"/>
      <c r="CVE2488" s="58"/>
      <c r="CVF2488" s="61"/>
      <c r="CVG2488" s="58"/>
      <c r="CVH2488" s="58"/>
      <c r="CVI2488" s="58"/>
      <c r="CVJ2488" s="60"/>
      <c r="CVK2488" s="60"/>
      <c r="CVL2488" s="60"/>
      <c r="CVM2488" s="58"/>
      <c r="CVN2488" s="61"/>
      <c r="CVO2488" s="58"/>
      <c r="CVP2488" s="58"/>
      <c r="CVQ2488" s="58"/>
      <c r="CVR2488" s="60"/>
      <c r="CVS2488" s="60"/>
      <c r="CVT2488" s="60"/>
      <c r="CVU2488" s="58"/>
      <c r="CVV2488" s="61"/>
      <c r="CVW2488" s="58"/>
      <c r="CVX2488" s="58"/>
      <c r="CVY2488" s="58"/>
      <c r="CVZ2488" s="60"/>
      <c r="CWA2488" s="60"/>
      <c r="CWB2488" s="60"/>
      <c r="CWC2488" s="58"/>
      <c r="CWD2488" s="61"/>
      <c r="CWE2488" s="58"/>
      <c r="CWF2488" s="58"/>
      <c r="CWG2488" s="58"/>
      <c r="CWH2488" s="60"/>
      <c r="CWI2488" s="60"/>
      <c r="CWJ2488" s="60"/>
      <c r="CWK2488" s="58"/>
      <c r="CWL2488" s="61"/>
      <c r="CWM2488" s="58"/>
      <c r="CWN2488" s="58"/>
      <c r="CWO2488" s="58"/>
      <c r="CWP2488" s="60"/>
      <c r="CWQ2488" s="60"/>
      <c r="CWR2488" s="60"/>
      <c r="CWS2488" s="58"/>
      <c r="CWT2488" s="61"/>
      <c r="CWU2488" s="58"/>
      <c r="CWV2488" s="58"/>
      <c r="CWW2488" s="58"/>
      <c r="CWX2488" s="60"/>
      <c r="CWY2488" s="60"/>
      <c r="CWZ2488" s="60"/>
      <c r="CXA2488" s="58"/>
      <c r="CXB2488" s="61"/>
      <c r="CXC2488" s="58"/>
      <c r="CXD2488" s="58"/>
      <c r="CXE2488" s="58"/>
      <c r="CXF2488" s="60"/>
      <c r="CXG2488" s="60"/>
      <c r="CXH2488" s="60"/>
      <c r="CXI2488" s="58"/>
      <c r="CXJ2488" s="61"/>
      <c r="CXK2488" s="58"/>
      <c r="CXL2488" s="58"/>
      <c r="CXM2488" s="58"/>
      <c r="CXN2488" s="60"/>
      <c r="CXO2488" s="60"/>
      <c r="CXP2488" s="60"/>
      <c r="CXQ2488" s="58"/>
      <c r="CXR2488" s="61"/>
      <c r="CXS2488" s="58"/>
      <c r="CXT2488" s="58"/>
      <c r="CXU2488" s="58"/>
      <c r="CXV2488" s="60"/>
      <c r="CXW2488" s="60"/>
      <c r="CXX2488" s="60"/>
      <c r="CXY2488" s="58"/>
      <c r="CXZ2488" s="61"/>
      <c r="CYA2488" s="58"/>
      <c r="CYB2488" s="58"/>
      <c r="CYC2488" s="58"/>
      <c r="CYD2488" s="60"/>
      <c r="CYE2488" s="60"/>
      <c r="CYF2488" s="60"/>
      <c r="CYG2488" s="58"/>
      <c r="CYH2488" s="61"/>
      <c r="CYI2488" s="58"/>
      <c r="CYJ2488" s="58"/>
      <c r="CYK2488" s="58"/>
      <c r="CYL2488" s="60"/>
      <c r="CYM2488" s="60"/>
      <c r="CYN2488" s="60"/>
      <c r="CYO2488" s="58"/>
      <c r="CYP2488" s="61"/>
      <c r="CYQ2488" s="58"/>
      <c r="CYR2488" s="58"/>
      <c r="CYS2488" s="58"/>
      <c r="CYT2488" s="60"/>
      <c r="CYU2488" s="60"/>
      <c r="CYV2488" s="60"/>
      <c r="CYW2488" s="58"/>
      <c r="CYX2488" s="61"/>
      <c r="CYY2488" s="58"/>
      <c r="CYZ2488" s="58"/>
      <c r="CZA2488" s="58"/>
      <c r="CZB2488" s="60"/>
      <c r="CZC2488" s="60"/>
      <c r="CZD2488" s="60"/>
      <c r="CZE2488" s="58"/>
      <c r="CZF2488" s="61"/>
      <c r="CZG2488" s="58"/>
      <c r="CZH2488" s="58"/>
      <c r="CZI2488" s="58"/>
      <c r="CZJ2488" s="60"/>
      <c r="CZK2488" s="60"/>
      <c r="CZL2488" s="60"/>
      <c r="CZM2488" s="58"/>
      <c r="CZN2488" s="61"/>
      <c r="CZO2488" s="58"/>
      <c r="CZP2488" s="58"/>
      <c r="CZQ2488" s="58"/>
      <c r="CZR2488" s="60"/>
      <c r="CZS2488" s="60"/>
      <c r="CZT2488" s="60"/>
      <c r="CZU2488" s="58"/>
      <c r="CZV2488" s="61"/>
      <c r="CZW2488" s="58"/>
      <c r="CZX2488" s="58"/>
      <c r="CZY2488" s="58"/>
      <c r="CZZ2488" s="60"/>
      <c r="DAA2488" s="60"/>
      <c r="DAB2488" s="60"/>
      <c r="DAC2488" s="58"/>
      <c r="DAD2488" s="61"/>
      <c r="DAE2488" s="58"/>
      <c r="DAF2488" s="58"/>
      <c r="DAG2488" s="58"/>
      <c r="DAH2488" s="60"/>
      <c r="DAI2488" s="60"/>
      <c r="DAJ2488" s="60"/>
      <c r="DAK2488" s="58"/>
      <c r="DAL2488" s="61"/>
      <c r="DAM2488" s="58"/>
      <c r="DAN2488" s="58"/>
      <c r="DAO2488" s="58"/>
      <c r="DAP2488" s="60"/>
      <c r="DAQ2488" s="60"/>
      <c r="DAR2488" s="60"/>
      <c r="DAS2488" s="58"/>
      <c r="DAT2488" s="61"/>
      <c r="DAU2488" s="58"/>
      <c r="DAV2488" s="58"/>
      <c r="DAW2488" s="58"/>
      <c r="DAX2488" s="60"/>
      <c r="DAY2488" s="60"/>
      <c r="DAZ2488" s="60"/>
      <c r="DBA2488" s="58"/>
      <c r="DBB2488" s="61"/>
      <c r="DBC2488" s="58"/>
      <c r="DBD2488" s="58"/>
      <c r="DBE2488" s="58"/>
      <c r="DBF2488" s="60"/>
      <c r="DBG2488" s="60"/>
      <c r="DBH2488" s="60"/>
      <c r="DBI2488" s="58"/>
      <c r="DBJ2488" s="61"/>
      <c r="DBK2488" s="58"/>
      <c r="DBL2488" s="58"/>
      <c r="DBM2488" s="58"/>
      <c r="DBN2488" s="60"/>
      <c r="DBO2488" s="60"/>
      <c r="DBP2488" s="60"/>
      <c r="DBQ2488" s="58"/>
      <c r="DBR2488" s="61"/>
      <c r="DBS2488" s="58"/>
      <c r="DBT2488" s="58"/>
      <c r="DBU2488" s="58"/>
      <c r="DBV2488" s="60"/>
      <c r="DBW2488" s="60"/>
      <c r="DBX2488" s="60"/>
      <c r="DBY2488" s="58"/>
      <c r="DBZ2488" s="61"/>
      <c r="DCA2488" s="58"/>
      <c r="DCB2488" s="58"/>
      <c r="DCC2488" s="58"/>
      <c r="DCD2488" s="60"/>
      <c r="DCE2488" s="60"/>
      <c r="DCF2488" s="60"/>
      <c r="DCG2488" s="58"/>
      <c r="DCH2488" s="61"/>
      <c r="DCI2488" s="58"/>
      <c r="DCJ2488" s="58"/>
      <c r="DCK2488" s="58"/>
      <c r="DCL2488" s="60"/>
      <c r="DCM2488" s="60"/>
      <c r="DCN2488" s="60"/>
      <c r="DCO2488" s="58"/>
      <c r="DCP2488" s="61"/>
      <c r="DCQ2488" s="58"/>
      <c r="DCR2488" s="58"/>
      <c r="DCS2488" s="58"/>
      <c r="DCT2488" s="60"/>
      <c r="DCU2488" s="60"/>
      <c r="DCV2488" s="60"/>
      <c r="DCW2488" s="58"/>
      <c r="DCX2488" s="61"/>
      <c r="DCY2488" s="58"/>
      <c r="DCZ2488" s="58"/>
      <c r="DDA2488" s="58"/>
      <c r="DDB2488" s="60"/>
      <c r="DDC2488" s="60"/>
      <c r="DDD2488" s="60"/>
      <c r="DDE2488" s="58"/>
      <c r="DDF2488" s="61"/>
      <c r="DDG2488" s="58"/>
      <c r="DDH2488" s="58"/>
      <c r="DDI2488" s="58"/>
      <c r="DDJ2488" s="60"/>
      <c r="DDK2488" s="60"/>
      <c r="DDL2488" s="60"/>
      <c r="DDM2488" s="58"/>
      <c r="DDN2488" s="61"/>
      <c r="DDO2488" s="58"/>
      <c r="DDP2488" s="58"/>
      <c r="DDQ2488" s="58"/>
      <c r="DDR2488" s="60"/>
      <c r="DDS2488" s="60"/>
      <c r="DDT2488" s="60"/>
      <c r="DDU2488" s="58"/>
      <c r="DDV2488" s="61"/>
      <c r="DDW2488" s="58"/>
      <c r="DDX2488" s="58"/>
      <c r="DDY2488" s="58"/>
      <c r="DDZ2488" s="60"/>
      <c r="DEA2488" s="60"/>
      <c r="DEB2488" s="60"/>
      <c r="DEC2488" s="58"/>
      <c r="DED2488" s="61"/>
      <c r="DEE2488" s="58"/>
      <c r="DEF2488" s="58"/>
      <c r="DEG2488" s="58"/>
      <c r="DEH2488" s="60"/>
      <c r="DEI2488" s="60"/>
      <c r="DEJ2488" s="60"/>
      <c r="DEK2488" s="58"/>
      <c r="DEL2488" s="61"/>
      <c r="DEM2488" s="58"/>
      <c r="DEN2488" s="58"/>
      <c r="DEO2488" s="58"/>
      <c r="DEP2488" s="60"/>
      <c r="DEQ2488" s="60"/>
      <c r="DER2488" s="60"/>
      <c r="DES2488" s="58"/>
      <c r="DET2488" s="61"/>
      <c r="DEU2488" s="58"/>
      <c r="DEV2488" s="58"/>
      <c r="DEW2488" s="58"/>
      <c r="DEX2488" s="60"/>
      <c r="DEY2488" s="60"/>
      <c r="DEZ2488" s="60"/>
      <c r="DFA2488" s="58"/>
      <c r="DFB2488" s="61"/>
      <c r="DFC2488" s="58"/>
      <c r="DFD2488" s="58"/>
      <c r="DFE2488" s="58"/>
      <c r="DFF2488" s="60"/>
      <c r="DFG2488" s="60"/>
      <c r="DFH2488" s="60"/>
      <c r="DFI2488" s="58"/>
      <c r="DFJ2488" s="61"/>
      <c r="DFK2488" s="58"/>
      <c r="DFL2488" s="58"/>
      <c r="DFM2488" s="58"/>
      <c r="DFN2488" s="60"/>
      <c r="DFO2488" s="60"/>
      <c r="DFP2488" s="60"/>
      <c r="DFQ2488" s="58"/>
      <c r="DFR2488" s="61"/>
      <c r="DFS2488" s="58"/>
      <c r="DFT2488" s="58"/>
      <c r="DFU2488" s="58"/>
      <c r="DFV2488" s="60"/>
      <c r="DFW2488" s="60"/>
      <c r="DFX2488" s="60"/>
      <c r="DFY2488" s="58"/>
      <c r="DFZ2488" s="61"/>
      <c r="DGA2488" s="58"/>
      <c r="DGB2488" s="58"/>
      <c r="DGC2488" s="58"/>
      <c r="DGD2488" s="60"/>
      <c r="DGE2488" s="60"/>
      <c r="DGF2488" s="60"/>
      <c r="DGG2488" s="58"/>
      <c r="DGH2488" s="61"/>
      <c r="DGI2488" s="58"/>
      <c r="DGJ2488" s="58"/>
      <c r="DGK2488" s="58"/>
      <c r="DGL2488" s="60"/>
      <c r="DGM2488" s="60"/>
      <c r="DGN2488" s="60"/>
      <c r="DGO2488" s="58"/>
      <c r="DGP2488" s="61"/>
      <c r="DGQ2488" s="58"/>
      <c r="DGR2488" s="58"/>
      <c r="DGS2488" s="58"/>
      <c r="DGT2488" s="60"/>
      <c r="DGU2488" s="60"/>
      <c r="DGV2488" s="60"/>
      <c r="DGW2488" s="58"/>
      <c r="DGX2488" s="61"/>
      <c r="DGY2488" s="58"/>
      <c r="DGZ2488" s="58"/>
      <c r="DHA2488" s="58"/>
      <c r="DHB2488" s="60"/>
      <c r="DHC2488" s="60"/>
      <c r="DHD2488" s="60"/>
      <c r="DHE2488" s="58"/>
      <c r="DHF2488" s="61"/>
      <c r="DHG2488" s="58"/>
      <c r="DHH2488" s="58"/>
      <c r="DHI2488" s="58"/>
      <c r="DHJ2488" s="60"/>
      <c r="DHK2488" s="60"/>
      <c r="DHL2488" s="60"/>
      <c r="DHM2488" s="58"/>
      <c r="DHN2488" s="61"/>
      <c r="DHO2488" s="58"/>
      <c r="DHP2488" s="58"/>
      <c r="DHQ2488" s="58"/>
      <c r="DHR2488" s="60"/>
      <c r="DHS2488" s="60"/>
      <c r="DHT2488" s="60"/>
      <c r="DHU2488" s="58"/>
      <c r="DHV2488" s="61"/>
      <c r="DHW2488" s="58"/>
      <c r="DHX2488" s="58"/>
      <c r="DHY2488" s="58"/>
      <c r="DHZ2488" s="60"/>
      <c r="DIA2488" s="60"/>
      <c r="DIB2488" s="60"/>
      <c r="DIC2488" s="58"/>
      <c r="DID2488" s="61"/>
      <c r="DIE2488" s="58"/>
      <c r="DIF2488" s="58"/>
      <c r="DIG2488" s="58"/>
      <c r="DIH2488" s="60"/>
      <c r="DII2488" s="60"/>
      <c r="DIJ2488" s="60"/>
      <c r="DIK2488" s="58"/>
      <c r="DIL2488" s="61"/>
      <c r="DIM2488" s="58"/>
      <c r="DIN2488" s="58"/>
      <c r="DIO2488" s="58"/>
      <c r="DIP2488" s="60"/>
      <c r="DIQ2488" s="60"/>
      <c r="DIR2488" s="60"/>
      <c r="DIS2488" s="58"/>
      <c r="DIT2488" s="61"/>
      <c r="DIU2488" s="58"/>
      <c r="DIV2488" s="58"/>
      <c r="DIW2488" s="58"/>
      <c r="DIX2488" s="60"/>
      <c r="DIY2488" s="60"/>
      <c r="DIZ2488" s="60"/>
      <c r="DJA2488" s="58"/>
      <c r="DJB2488" s="61"/>
      <c r="DJC2488" s="58"/>
      <c r="DJD2488" s="58"/>
      <c r="DJE2488" s="58"/>
      <c r="DJF2488" s="60"/>
      <c r="DJG2488" s="60"/>
      <c r="DJH2488" s="60"/>
      <c r="DJI2488" s="58"/>
      <c r="DJJ2488" s="61"/>
      <c r="DJK2488" s="58"/>
      <c r="DJL2488" s="58"/>
      <c r="DJM2488" s="58"/>
      <c r="DJN2488" s="60"/>
      <c r="DJO2488" s="60"/>
      <c r="DJP2488" s="60"/>
      <c r="DJQ2488" s="58"/>
      <c r="DJR2488" s="61"/>
      <c r="DJS2488" s="58"/>
      <c r="DJT2488" s="58"/>
      <c r="DJU2488" s="58"/>
      <c r="DJV2488" s="60"/>
      <c r="DJW2488" s="60"/>
      <c r="DJX2488" s="60"/>
      <c r="DJY2488" s="58"/>
      <c r="DJZ2488" s="61"/>
      <c r="DKA2488" s="58"/>
      <c r="DKB2488" s="58"/>
      <c r="DKC2488" s="58"/>
      <c r="DKD2488" s="60"/>
      <c r="DKE2488" s="60"/>
      <c r="DKF2488" s="60"/>
      <c r="DKG2488" s="58"/>
      <c r="DKH2488" s="61"/>
      <c r="DKI2488" s="58"/>
      <c r="DKJ2488" s="58"/>
      <c r="DKK2488" s="58"/>
      <c r="DKL2488" s="60"/>
      <c r="DKM2488" s="60"/>
      <c r="DKN2488" s="60"/>
      <c r="DKO2488" s="58"/>
      <c r="DKP2488" s="61"/>
      <c r="DKQ2488" s="58"/>
      <c r="DKR2488" s="58"/>
      <c r="DKS2488" s="58"/>
      <c r="DKT2488" s="60"/>
      <c r="DKU2488" s="60"/>
      <c r="DKV2488" s="60"/>
      <c r="DKW2488" s="58"/>
      <c r="DKX2488" s="61"/>
      <c r="DKY2488" s="58"/>
      <c r="DKZ2488" s="58"/>
      <c r="DLA2488" s="58"/>
      <c r="DLB2488" s="60"/>
      <c r="DLC2488" s="60"/>
      <c r="DLD2488" s="60"/>
      <c r="DLE2488" s="58"/>
      <c r="DLF2488" s="61"/>
      <c r="DLG2488" s="58"/>
      <c r="DLH2488" s="58"/>
      <c r="DLI2488" s="58"/>
      <c r="DLJ2488" s="60"/>
      <c r="DLK2488" s="60"/>
      <c r="DLL2488" s="60"/>
      <c r="DLM2488" s="58"/>
      <c r="DLN2488" s="61"/>
      <c r="DLO2488" s="58"/>
      <c r="DLP2488" s="58"/>
      <c r="DLQ2488" s="58"/>
      <c r="DLR2488" s="60"/>
      <c r="DLS2488" s="60"/>
      <c r="DLT2488" s="60"/>
      <c r="DLU2488" s="58"/>
      <c r="DLV2488" s="61"/>
      <c r="DLW2488" s="58"/>
      <c r="DLX2488" s="58"/>
      <c r="DLY2488" s="58"/>
      <c r="DLZ2488" s="60"/>
      <c r="DMA2488" s="60"/>
      <c r="DMB2488" s="60"/>
      <c r="DMC2488" s="58"/>
      <c r="DMD2488" s="61"/>
      <c r="DME2488" s="58"/>
      <c r="DMF2488" s="58"/>
      <c r="DMG2488" s="58"/>
      <c r="DMH2488" s="60"/>
      <c r="DMI2488" s="60"/>
      <c r="DMJ2488" s="60"/>
      <c r="DMK2488" s="58"/>
      <c r="DML2488" s="61"/>
      <c r="DMM2488" s="58"/>
      <c r="DMN2488" s="58"/>
      <c r="DMO2488" s="58"/>
      <c r="DMP2488" s="60"/>
      <c r="DMQ2488" s="60"/>
      <c r="DMR2488" s="60"/>
      <c r="DMS2488" s="58"/>
      <c r="DMT2488" s="61"/>
      <c r="DMU2488" s="58"/>
      <c r="DMV2488" s="58"/>
      <c r="DMW2488" s="58"/>
      <c r="DMX2488" s="60"/>
      <c r="DMY2488" s="60"/>
      <c r="DMZ2488" s="60"/>
      <c r="DNA2488" s="58"/>
      <c r="DNB2488" s="61"/>
      <c r="DNC2488" s="58"/>
      <c r="DND2488" s="58"/>
      <c r="DNE2488" s="58"/>
      <c r="DNF2488" s="60"/>
      <c r="DNG2488" s="60"/>
      <c r="DNH2488" s="60"/>
      <c r="DNI2488" s="58"/>
      <c r="DNJ2488" s="61"/>
      <c r="DNK2488" s="58"/>
      <c r="DNL2488" s="58"/>
      <c r="DNM2488" s="58"/>
      <c r="DNN2488" s="60"/>
      <c r="DNO2488" s="60"/>
      <c r="DNP2488" s="60"/>
      <c r="DNQ2488" s="58"/>
      <c r="DNR2488" s="61"/>
      <c r="DNS2488" s="58"/>
      <c r="DNT2488" s="58"/>
      <c r="DNU2488" s="58"/>
      <c r="DNV2488" s="60"/>
      <c r="DNW2488" s="60"/>
      <c r="DNX2488" s="60"/>
      <c r="DNY2488" s="58"/>
      <c r="DNZ2488" s="61"/>
      <c r="DOA2488" s="58"/>
      <c r="DOB2488" s="58"/>
      <c r="DOC2488" s="58"/>
      <c r="DOD2488" s="60"/>
      <c r="DOE2488" s="60"/>
      <c r="DOF2488" s="60"/>
      <c r="DOG2488" s="58"/>
      <c r="DOH2488" s="61"/>
      <c r="DOI2488" s="58"/>
      <c r="DOJ2488" s="58"/>
      <c r="DOK2488" s="58"/>
      <c r="DOL2488" s="60"/>
      <c r="DOM2488" s="60"/>
      <c r="DON2488" s="60"/>
      <c r="DOO2488" s="58"/>
      <c r="DOP2488" s="61"/>
      <c r="DOQ2488" s="58"/>
      <c r="DOR2488" s="58"/>
      <c r="DOS2488" s="58"/>
      <c r="DOT2488" s="60"/>
      <c r="DOU2488" s="60"/>
      <c r="DOV2488" s="60"/>
      <c r="DOW2488" s="58"/>
      <c r="DOX2488" s="61"/>
      <c r="DOY2488" s="58"/>
      <c r="DOZ2488" s="58"/>
      <c r="DPA2488" s="58"/>
      <c r="DPB2488" s="60"/>
      <c r="DPC2488" s="60"/>
      <c r="DPD2488" s="60"/>
      <c r="DPE2488" s="58"/>
      <c r="DPF2488" s="61"/>
      <c r="DPG2488" s="58"/>
      <c r="DPH2488" s="58"/>
      <c r="DPI2488" s="58"/>
      <c r="DPJ2488" s="60"/>
      <c r="DPK2488" s="60"/>
      <c r="DPL2488" s="60"/>
      <c r="DPM2488" s="58"/>
      <c r="DPN2488" s="61"/>
      <c r="DPO2488" s="58"/>
      <c r="DPP2488" s="58"/>
      <c r="DPQ2488" s="58"/>
      <c r="DPR2488" s="60"/>
      <c r="DPS2488" s="60"/>
      <c r="DPT2488" s="60"/>
      <c r="DPU2488" s="58"/>
      <c r="DPV2488" s="61"/>
      <c r="DPW2488" s="58"/>
      <c r="DPX2488" s="58"/>
      <c r="DPY2488" s="58"/>
      <c r="DPZ2488" s="60"/>
      <c r="DQA2488" s="60"/>
      <c r="DQB2488" s="60"/>
      <c r="DQC2488" s="58"/>
      <c r="DQD2488" s="61"/>
      <c r="DQE2488" s="58"/>
      <c r="DQF2488" s="58"/>
      <c r="DQG2488" s="58"/>
      <c r="DQH2488" s="60"/>
      <c r="DQI2488" s="60"/>
      <c r="DQJ2488" s="60"/>
      <c r="DQK2488" s="58"/>
      <c r="DQL2488" s="61"/>
      <c r="DQM2488" s="58"/>
      <c r="DQN2488" s="58"/>
      <c r="DQO2488" s="58"/>
      <c r="DQP2488" s="60"/>
      <c r="DQQ2488" s="60"/>
      <c r="DQR2488" s="60"/>
      <c r="DQS2488" s="58"/>
      <c r="DQT2488" s="61"/>
      <c r="DQU2488" s="58"/>
      <c r="DQV2488" s="58"/>
      <c r="DQW2488" s="58"/>
      <c r="DQX2488" s="60"/>
      <c r="DQY2488" s="60"/>
      <c r="DQZ2488" s="60"/>
      <c r="DRA2488" s="58"/>
      <c r="DRB2488" s="61"/>
      <c r="DRC2488" s="58"/>
      <c r="DRD2488" s="58"/>
      <c r="DRE2488" s="58"/>
      <c r="DRF2488" s="60"/>
      <c r="DRG2488" s="60"/>
      <c r="DRH2488" s="60"/>
      <c r="DRI2488" s="58"/>
      <c r="DRJ2488" s="61"/>
      <c r="DRK2488" s="58"/>
      <c r="DRL2488" s="58"/>
      <c r="DRM2488" s="58"/>
      <c r="DRN2488" s="60"/>
      <c r="DRO2488" s="60"/>
      <c r="DRP2488" s="60"/>
      <c r="DRQ2488" s="58"/>
      <c r="DRR2488" s="61"/>
      <c r="DRS2488" s="58"/>
      <c r="DRT2488" s="58"/>
      <c r="DRU2488" s="58"/>
      <c r="DRV2488" s="60"/>
      <c r="DRW2488" s="60"/>
      <c r="DRX2488" s="60"/>
      <c r="DRY2488" s="58"/>
      <c r="DRZ2488" s="61"/>
      <c r="DSA2488" s="58"/>
      <c r="DSB2488" s="58"/>
      <c r="DSC2488" s="58"/>
      <c r="DSD2488" s="60"/>
      <c r="DSE2488" s="60"/>
      <c r="DSF2488" s="60"/>
      <c r="DSG2488" s="58"/>
      <c r="DSH2488" s="61"/>
      <c r="DSI2488" s="58"/>
      <c r="DSJ2488" s="58"/>
      <c r="DSK2488" s="58"/>
      <c r="DSL2488" s="60"/>
      <c r="DSM2488" s="60"/>
      <c r="DSN2488" s="60"/>
      <c r="DSO2488" s="58"/>
      <c r="DSP2488" s="61"/>
      <c r="DSQ2488" s="58"/>
      <c r="DSR2488" s="58"/>
      <c r="DSS2488" s="58"/>
      <c r="DST2488" s="60"/>
      <c r="DSU2488" s="60"/>
      <c r="DSV2488" s="60"/>
      <c r="DSW2488" s="58"/>
      <c r="DSX2488" s="61"/>
      <c r="DSY2488" s="58"/>
      <c r="DSZ2488" s="58"/>
      <c r="DTA2488" s="58"/>
      <c r="DTB2488" s="60"/>
      <c r="DTC2488" s="60"/>
      <c r="DTD2488" s="60"/>
      <c r="DTE2488" s="58"/>
      <c r="DTF2488" s="61"/>
      <c r="DTG2488" s="58"/>
      <c r="DTH2488" s="58"/>
      <c r="DTI2488" s="58"/>
      <c r="DTJ2488" s="60"/>
      <c r="DTK2488" s="60"/>
      <c r="DTL2488" s="60"/>
      <c r="DTM2488" s="58"/>
      <c r="DTN2488" s="61"/>
      <c r="DTO2488" s="58"/>
      <c r="DTP2488" s="58"/>
      <c r="DTQ2488" s="58"/>
      <c r="DTR2488" s="60"/>
      <c r="DTS2488" s="60"/>
      <c r="DTT2488" s="60"/>
      <c r="DTU2488" s="58"/>
      <c r="DTV2488" s="61"/>
      <c r="DTW2488" s="58"/>
      <c r="DTX2488" s="58"/>
      <c r="DTY2488" s="58"/>
      <c r="DTZ2488" s="60"/>
      <c r="DUA2488" s="60"/>
      <c r="DUB2488" s="60"/>
      <c r="DUC2488" s="58"/>
      <c r="DUD2488" s="61"/>
      <c r="DUE2488" s="58"/>
      <c r="DUF2488" s="58"/>
      <c r="DUG2488" s="58"/>
      <c r="DUH2488" s="60"/>
      <c r="DUI2488" s="60"/>
      <c r="DUJ2488" s="60"/>
      <c r="DUK2488" s="58"/>
      <c r="DUL2488" s="61"/>
      <c r="DUM2488" s="58"/>
      <c r="DUN2488" s="58"/>
      <c r="DUO2488" s="58"/>
      <c r="DUP2488" s="60"/>
      <c r="DUQ2488" s="60"/>
      <c r="DUR2488" s="60"/>
      <c r="DUS2488" s="58"/>
      <c r="DUT2488" s="61"/>
      <c r="DUU2488" s="58"/>
      <c r="DUV2488" s="58"/>
      <c r="DUW2488" s="58"/>
      <c r="DUX2488" s="60"/>
      <c r="DUY2488" s="60"/>
      <c r="DUZ2488" s="60"/>
      <c r="DVA2488" s="58"/>
      <c r="DVB2488" s="61"/>
      <c r="DVC2488" s="58"/>
      <c r="DVD2488" s="58"/>
      <c r="DVE2488" s="58"/>
      <c r="DVF2488" s="60"/>
      <c r="DVG2488" s="60"/>
      <c r="DVH2488" s="60"/>
      <c r="DVI2488" s="58"/>
      <c r="DVJ2488" s="61"/>
      <c r="DVK2488" s="58"/>
      <c r="DVL2488" s="58"/>
      <c r="DVM2488" s="58"/>
      <c r="DVN2488" s="60"/>
      <c r="DVO2488" s="60"/>
      <c r="DVP2488" s="60"/>
      <c r="DVQ2488" s="58"/>
      <c r="DVR2488" s="61"/>
      <c r="DVS2488" s="58"/>
      <c r="DVT2488" s="58"/>
      <c r="DVU2488" s="58"/>
      <c r="DVV2488" s="60"/>
      <c r="DVW2488" s="60"/>
      <c r="DVX2488" s="60"/>
      <c r="DVY2488" s="58"/>
      <c r="DVZ2488" s="61"/>
      <c r="DWA2488" s="58"/>
      <c r="DWB2488" s="58"/>
      <c r="DWC2488" s="58"/>
      <c r="DWD2488" s="60"/>
      <c r="DWE2488" s="60"/>
      <c r="DWF2488" s="60"/>
      <c r="DWG2488" s="58"/>
      <c r="DWH2488" s="61"/>
      <c r="DWI2488" s="58"/>
      <c r="DWJ2488" s="58"/>
      <c r="DWK2488" s="58"/>
      <c r="DWL2488" s="60"/>
      <c r="DWM2488" s="60"/>
      <c r="DWN2488" s="60"/>
      <c r="DWO2488" s="58"/>
      <c r="DWP2488" s="61"/>
      <c r="DWQ2488" s="58"/>
      <c r="DWR2488" s="58"/>
      <c r="DWS2488" s="58"/>
      <c r="DWT2488" s="60"/>
      <c r="DWU2488" s="60"/>
      <c r="DWV2488" s="60"/>
      <c r="DWW2488" s="58"/>
      <c r="DWX2488" s="61"/>
      <c r="DWY2488" s="58"/>
      <c r="DWZ2488" s="58"/>
      <c r="DXA2488" s="58"/>
      <c r="DXB2488" s="60"/>
      <c r="DXC2488" s="60"/>
      <c r="DXD2488" s="60"/>
      <c r="DXE2488" s="58"/>
      <c r="DXF2488" s="61"/>
      <c r="DXG2488" s="58"/>
      <c r="DXH2488" s="58"/>
      <c r="DXI2488" s="58"/>
      <c r="DXJ2488" s="60"/>
      <c r="DXK2488" s="60"/>
      <c r="DXL2488" s="60"/>
      <c r="DXM2488" s="58"/>
      <c r="DXN2488" s="61"/>
      <c r="DXO2488" s="58"/>
      <c r="DXP2488" s="58"/>
      <c r="DXQ2488" s="58"/>
      <c r="DXR2488" s="60"/>
      <c r="DXS2488" s="60"/>
      <c r="DXT2488" s="60"/>
      <c r="DXU2488" s="58"/>
      <c r="DXV2488" s="61"/>
      <c r="DXW2488" s="58"/>
      <c r="DXX2488" s="58"/>
      <c r="DXY2488" s="58"/>
      <c r="DXZ2488" s="60"/>
      <c r="DYA2488" s="60"/>
      <c r="DYB2488" s="60"/>
      <c r="DYC2488" s="58"/>
      <c r="DYD2488" s="61"/>
      <c r="DYE2488" s="58"/>
      <c r="DYF2488" s="58"/>
      <c r="DYG2488" s="58"/>
      <c r="DYH2488" s="60"/>
      <c r="DYI2488" s="60"/>
      <c r="DYJ2488" s="60"/>
      <c r="DYK2488" s="58"/>
      <c r="DYL2488" s="61"/>
      <c r="DYM2488" s="58"/>
      <c r="DYN2488" s="58"/>
      <c r="DYO2488" s="58"/>
      <c r="DYP2488" s="60"/>
      <c r="DYQ2488" s="60"/>
      <c r="DYR2488" s="60"/>
      <c r="DYS2488" s="58"/>
      <c r="DYT2488" s="61"/>
      <c r="DYU2488" s="58"/>
      <c r="DYV2488" s="58"/>
      <c r="DYW2488" s="58"/>
      <c r="DYX2488" s="60"/>
      <c r="DYY2488" s="60"/>
      <c r="DYZ2488" s="60"/>
      <c r="DZA2488" s="58"/>
      <c r="DZB2488" s="61"/>
      <c r="DZC2488" s="58"/>
      <c r="DZD2488" s="58"/>
      <c r="DZE2488" s="58"/>
      <c r="DZF2488" s="60"/>
      <c r="DZG2488" s="60"/>
      <c r="DZH2488" s="60"/>
      <c r="DZI2488" s="58"/>
      <c r="DZJ2488" s="61"/>
      <c r="DZK2488" s="58"/>
      <c r="DZL2488" s="58"/>
      <c r="DZM2488" s="58"/>
      <c r="DZN2488" s="60"/>
      <c r="DZO2488" s="60"/>
      <c r="DZP2488" s="60"/>
      <c r="DZQ2488" s="58"/>
      <c r="DZR2488" s="61"/>
      <c r="DZS2488" s="58"/>
      <c r="DZT2488" s="58"/>
      <c r="DZU2488" s="58"/>
      <c r="DZV2488" s="60"/>
      <c r="DZW2488" s="60"/>
      <c r="DZX2488" s="60"/>
      <c r="DZY2488" s="58"/>
      <c r="DZZ2488" s="61"/>
      <c r="EAA2488" s="58"/>
      <c r="EAB2488" s="58"/>
      <c r="EAC2488" s="58"/>
      <c r="EAD2488" s="60"/>
      <c r="EAE2488" s="60"/>
      <c r="EAF2488" s="60"/>
      <c r="EAG2488" s="58"/>
      <c r="EAH2488" s="61"/>
      <c r="EAI2488" s="58"/>
      <c r="EAJ2488" s="58"/>
      <c r="EAK2488" s="58"/>
      <c r="EAL2488" s="60"/>
      <c r="EAM2488" s="60"/>
      <c r="EAN2488" s="60"/>
      <c r="EAO2488" s="58"/>
      <c r="EAP2488" s="61"/>
      <c r="EAQ2488" s="58"/>
      <c r="EAR2488" s="58"/>
      <c r="EAS2488" s="58"/>
      <c r="EAT2488" s="60"/>
      <c r="EAU2488" s="60"/>
      <c r="EAV2488" s="60"/>
      <c r="EAW2488" s="58"/>
      <c r="EAX2488" s="61"/>
      <c r="EAY2488" s="58"/>
      <c r="EAZ2488" s="58"/>
      <c r="EBA2488" s="58"/>
      <c r="EBB2488" s="60"/>
      <c r="EBC2488" s="60"/>
      <c r="EBD2488" s="60"/>
      <c r="EBE2488" s="58"/>
      <c r="EBF2488" s="61"/>
      <c r="EBG2488" s="58"/>
      <c r="EBH2488" s="58"/>
      <c r="EBI2488" s="58"/>
      <c r="EBJ2488" s="60"/>
      <c r="EBK2488" s="60"/>
      <c r="EBL2488" s="60"/>
      <c r="EBM2488" s="58"/>
      <c r="EBN2488" s="61"/>
      <c r="EBO2488" s="58"/>
      <c r="EBP2488" s="58"/>
      <c r="EBQ2488" s="58"/>
      <c r="EBR2488" s="60"/>
      <c r="EBS2488" s="60"/>
      <c r="EBT2488" s="60"/>
      <c r="EBU2488" s="58"/>
      <c r="EBV2488" s="61"/>
      <c r="EBW2488" s="58"/>
      <c r="EBX2488" s="58"/>
      <c r="EBY2488" s="58"/>
      <c r="EBZ2488" s="60"/>
      <c r="ECA2488" s="60"/>
      <c r="ECB2488" s="60"/>
      <c r="ECC2488" s="58"/>
      <c r="ECD2488" s="61"/>
      <c r="ECE2488" s="58"/>
      <c r="ECF2488" s="58"/>
      <c r="ECG2488" s="58"/>
      <c r="ECH2488" s="60"/>
      <c r="ECI2488" s="60"/>
      <c r="ECJ2488" s="60"/>
      <c r="ECK2488" s="58"/>
      <c r="ECL2488" s="61"/>
      <c r="ECM2488" s="58"/>
      <c r="ECN2488" s="58"/>
      <c r="ECO2488" s="58"/>
      <c r="ECP2488" s="60"/>
      <c r="ECQ2488" s="60"/>
      <c r="ECR2488" s="60"/>
      <c r="ECS2488" s="58"/>
      <c r="ECT2488" s="61"/>
      <c r="ECU2488" s="58"/>
      <c r="ECV2488" s="58"/>
      <c r="ECW2488" s="58"/>
      <c r="ECX2488" s="60"/>
      <c r="ECY2488" s="60"/>
      <c r="ECZ2488" s="60"/>
      <c r="EDA2488" s="58"/>
      <c r="EDB2488" s="61"/>
      <c r="EDC2488" s="58"/>
      <c r="EDD2488" s="58"/>
      <c r="EDE2488" s="58"/>
      <c r="EDF2488" s="60"/>
      <c r="EDG2488" s="60"/>
      <c r="EDH2488" s="60"/>
      <c r="EDI2488" s="58"/>
      <c r="EDJ2488" s="61"/>
      <c r="EDK2488" s="58"/>
      <c r="EDL2488" s="58"/>
      <c r="EDM2488" s="58"/>
      <c r="EDN2488" s="60"/>
      <c r="EDO2488" s="60"/>
      <c r="EDP2488" s="60"/>
      <c r="EDQ2488" s="58"/>
      <c r="EDR2488" s="61"/>
      <c r="EDS2488" s="58"/>
      <c r="EDT2488" s="58"/>
      <c r="EDU2488" s="58"/>
      <c r="EDV2488" s="60"/>
      <c r="EDW2488" s="60"/>
      <c r="EDX2488" s="60"/>
      <c r="EDY2488" s="58"/>
      <c r="EDZ2488" s="61"/>
      <c r="EEA2488" s="58"/>
      <c r="EEB2488" s="58"/>
      <c r="EEC2488" s="58"/>
      <c r="EED2488" s="60"/>
      <c r="EEE2488" s="60"/>
      <c r="EEF2488" s="60"/>
      <c r="EEG2488" s="58"/>
      <c r="EEH2488" s="61"/>
      <c r="EEI2488" s="58"/>
      <c r="EEJ2488" s="58"/>
      <c r="EEK2488" s="58"/>
      <c r="EEL2488" s="60"/>
      <c r="EEM2488" s="60"/>
      <c r="EEN2488" s="60"/>
      <c r="EEO2488" s="58"/>
      <c r="EEP2488" s="61"/>
      <c r="EEQ2488" s="58"/>
      <c r="EER2488" s="58"/>
      <c r="EES2488" s="58"/>
      <c r="EET2488" s="60"/>
      <c r="EEU2488" s="60"/>
      <c r="EEV2488" s="60"/>
      <c r="EEW2488" s="58"/>
      <c r="EEX2488" s="61"/>
      <c r="EEY2488" s="58"/>
      <c r="EEZ2488" s="58"/>
      <c r="EFA2488" s="58"/>
      <c r="EFB2488" s="60"/>
      <c r="EFC2488" s="60"/>
      <c r="EFD2488" s="60"/>
      <c r="EFE2488" s="58"/>
      <c r="EFF2488" s="61"/>
      <c r="EFG2488" s="58"/>
      <c r="EFH2488" s="58"/>
      <c r="EFI2488" s="58"/>
      <c r="EFJ2488" s="60"/>
      <c r="EFK2488" s="60"/>
      <c r="EFL2488" s="60"/>
      <c r="EFM2488" s="58"/>
      <c r="EFN2488" s="61"/>
      <c r="EFO2488" s="58"/>
      <c r="EFP2488" s="58"/>
      <c r="EFQ2488" s="58"/>
      <c r="EFR2488" s="60"/>
      <c r="EFS2488" s="60"/>
      <c r="EFT2488" s="60"/>
      <c r="EFU2488" s="58"/>
      <c r="EFV2488" s="61"/>
      <c r="EFW2488" s="58"/>
      <c r="EFX2488" s="58"/>
      <c r="EFY2488" s="58"/>
      <c r="EFZ2488" s="60"/>
      <c r="EGA2488" s="60"/>
      <c r="EGB2488" s="60"/>
      <c r="EGC2488" s="58"/>
      <c r="EGD2488" s="61"/>
      <c r="EGE2488" s="58"/>
      <c r="EGF2488" s="58"/>
      <c r="EGG2488" s="58"/>
      <c r="EGH2488" s="60"/>
      <c r="EGI2488" s="60"/>
      <c r="EGJ2488" s="60"/>
      <c r="EGK2488" s="58"/>
      <c r="EGL2488" s="61"/>
      <c r="EGM2488" s="58"/>
      <c r="EGN2488" s="58"/>
      <c r="EGO2488" s="58"/>
      <c r="EGP2488" s="60"/>
      <c r="EGQ2488" s="60"/>
      <c r="EGR2488" s="60"/>
      <c r="EGS2488" s="58"/>
      <c r="EGT2488" s="61"/>
      <c r="EGU2488" s="58"/>
      <c r="EGV2488" s="58"/>
      <c r="EGW2488" s="58"/>
      <c r="EGX2488" s="60"/>
      <c r="EGY2488" s="60"/>
      <c r="EGZ2488" s="60"/>
      <c r="EHA2488" s="58"/>
      <c r="EHB2488" s="61"/>
      <c r="EHC2488" s="58"/>
      <c r="EHD2488" s="58"/>
      <c r="EHE2488" s="58"/>
      <c r="EHF2488" s="60"/>
      <c r="EHG2488" s="60"/>
      <c r="EHH2488" s="60"/>
      <c r="EHI2488" s="58"/>
      <c r="EHJ2488" s="61"/>
      <c r="EHK2488" s="58"/>
      <c r="EHL2488" s="58"/>
      <c r="EHM2488" s="58"/>
      <c r="EHN2488" s="60"/>
      <c r="EHO2488" s="60"/>
      <c r="EHP2488" s="60"/>
      <c r="EHQ2488" s="58"/>
      <c r="EHR2488" s="61"/>
      <c r="EHS2488" s="58"/>
      <c r="EHT2488" s="58"/>
      <c r="EHU2488" s="58"/>
      <c r="EHV2488" s="60"/>
      <c r="EHW2488" s="60"/>
      <c r="EHX2488" s="60"/>
      <c r="EHY2488" s="58"/>
      <c r="EHZ2488" s="61"/>
      <c r="EIA2488" s="58"/>
      <c r="EIB2488" s="58"/>
      <c r="EIC2488" s="58"/>
      <c r="EID2488" s="60"/>
      <c r="EIE2488" s="60"/>
      <c r="EIF2488" s="60"/>
      <c r="EIG2488" s="58"/>
      <c r="EIH2488" s="61"/>
      <c r="EII2488" s="58"/>
      <c r="EIJ2488" s="58"/>
      <c r="EIK2488" s="58"/>
      <c r="EIL2488" s="60"/>
      <c r="EIM2488" s="60"/>
      <c r="EIN2488" s="60"/>
      <c r="EIO2488" s="58"/>
      <c r="EIP2488" s="61"/>
      <c r="EIQ2488" s="58"/>
      <c r="EIR2488" s="58"/>
      <c r="EIS2488" s="58"/>
      <c r="EIT2488" s="60"/>
      <c r="EIU2488" s="60"/>
      <c r="EIV2488" s="60"/>
      <c r="EIW2488" s="58"/>
      <c r="EIX2488" s="61"/>
      <c r="EIY2488" s="58"/>
      <c r="EIZ2488" s="58"/>
      <c r="EJA2488" s="58"/>
      <c r="EJB2488" s="60"/>
      <c r="EJC2488" s="60"/>
      <c r="EJD2488" s="60"/>
      <c r="EJE2488" s="58"/>
      <c r="EJF2488" s="61"/>
      <c r="EJG2488" s="58"/>
      <c r="EJH2488" s="58"/>
      <c r="EJI2488" s="58"/>
      <c r="EJJ2488" s="60"/>
      <c r="EJK2488" s="60"/>
      <c r="EJL2488" s="60"/>
      <c r="EJM2488" s="58"/>
      <c r="EJN2488" s="61"/>
      <c r="EJO2488" s="58"/>
      <c r="EJP2488" s="58"/>
      <c r="EJQ2488" s="58"/>
      <c r="EJR2488" s="60"/>
      <c r="EJS2488" s="60"/>
      <c r="EJT2488" s="60"/>
      <c r="EJU2488" s="58"/>
      <c r="EJV2488" s="61"/>
      <c r="EJW2488" s="58"/>
      <c r="EJX2488" s="58"/>
      <c r="EJY2488" s="58"/>
      <c r="EJZ2488" s="60"/>
      <c r="EKA2488" s="60"/>
      <c r="EKB2488" s="60"/>
      <c r="EKC2488" s="58"/>
      <c r="EKD2488" s="61"/>
      <c r="EKE2488" s="58"/>
      <c r="EKF2488" s="58"/>
      <c r="EKG2488" s="58"/>
      <c r="EKH2488" s="60"/>
      <c r="EKI2488" s="60"/>
      <c r="EKJ2488" s="60"/>
      <c r="EKK2488" s="58"/>
      <c r="EKL2488" s="61"/>
      <c r="EKM2488" s="58"/>
      <c r="EKN2488" s="58"/>
      <c r="EKO2488" s="58"/>
      <c r="EKP2488" s="60"/>
      <c r="EKQ2488" s="60"/>
      <c r="EKR2488" s="60"/>
      <c r="EKS2488" s="58"/>
      <c r="EKT2488" s="61"/>
      <c r="EKU2488" s="58"/>
      <c r="EKV2488" s="58"/>
      <c r="EKW2488" s="58"/>
      <c r="EKX2488" s="60"/>
      <c r="EKY2488" s="60"/>
      <c r="EKZ2488" s="60"/>
      <c r="ELA2488" s="58"/>
      <c r="ELB2488" s="61"/>
      <c r="ELC2488" s="58"/>
      <c r="ELD2488" s="58"/>
      <c r="ELE2488" s="58"/>
      <c r="ELF2488" s="60"/>
      <c r="ELG2488" s="60"/>
      <c r="ELH2488" s="60"/>
      <c r="ELI2488" s="58"/>
      <c r="ELJ2488" s="61"/>
      <c r="ELK2488" s="58"/>
      <c r="ELL2488" s="58"/>
      <c r="ELM2488" s="58"/>
      <c r="ELN2488" s="60"/>
      <c r="ELO2488" s="60"/>
      <c r="ELP2488" s="60"/>
      <c r="ELQ2488" s="58"/>
      <c r="ELR2488" s="61"/>
      <c r="ELS2488" s="58"/>
      <c r="ELT2488" s="58"/>
      <c r="ELU2488" s="58"/>
      <c r="ELV2488" s="60"/>
      <c r="ELW2488" s="60"/>
      <c r="ELX2488" s="60"/>
      <c r="ELY2488" s="58"/>
      <c r="ELZ2488" s="61"/>
      <c r="EMA2488" s="58"/>
      <c r="EMB2488" s="58"/>
      <c r="EMC2488" s="58"/>
      <c r="EMD2488" s="60"/>
      <c r="EME2488" s="60"/>
      <c r="EMF2488" s="60"/>
      <c r="EMG2488" s="58"/>
      <c r="EMH2488" s="61"/>
      <c r="EMI2488" s="58"/>
      <c r="EMJ2488" s="58"/>
      <c r="EMK2488" s="58"/>
      <c r="EML2488" s="60"/>
      <c r="EMM2488" s="60"/>
      <c r="EMN2488" s="60"/>
      <c r="EMO2488" s="58"/>
      <c r="EMP2488" s="61"/>
      <c r="EMQ2488" s="58"/>
      <c r="EMR2488" s="58"/>
      <c r="EMS2488" s="58"/>
      <c r="EMT2488" s="60"/>
      <c r="EMU2488" s="60"/>
      <c r="EMV2488" s="60"/>
      <c r="EMW2488" s="58"/>
      <c r="EMX2488" s="61"/>
      <c r="EMY2488" s="58"/>
      <c r="EMZ2488" s="58"/>
      <c r="ENA2488" s="58"/>
      <c r="ENB2488" s="60"/>
      <c r="ENC2488" s="60"/>
      <c r="END2488" s="60"/>
      <c r="ENE2488" s="58"/>
      <c r="ENF2488" s="61"/>
      <c r="ENG2488" s="58"/>
      <c r="ENH2488" s="58"/>
      <c r="ENI2488" s="58"/>
      <c r="ENJ2488" s="60"/>
      <c r="ENK2488" s="60"/>
      <c r="ENL2488" s="60"/>
      <c r="ENM2488" s="58"/>
      <c r="ENN2488" s="61"/>
      <c r="ENO2488" s="58"/>
      <c r="ENP2488" s="58"/>
      <c r="ENQ2488" s="58"/>
      <c r="ENR2488" s="60"/>
      <c r="ENS2488" s="60"/>
      <c r="ENT2488" s="60"/>
      <c r="ENU2488" s="58"/>
      <c r="ENV2488" s="61"/>
      <c r="ENW2488" s="58"/>
      <c r="ENX2488" s="58"/>
      <c r="ENY2488" s="58"/>
      <c r="ENZ2488" s="60"/>
      <c r="EOA2488" s="60"/>
      <c r="EOB2488" s="60"/>
      <c r="EOC2488" s="58"/>
      <c r="EOD2488" s="61"/>
      <c r="EOE2488" s="58"/>
      <c r="EOF2488" s="58"/>
      <c r="EOG2488" s="58"/>
      <c r="EOH2488" s="60"/>
      <c r="EOI2488" s="60"/>
      <c r="EOJ2488" s="60"/>
      <c r="EOK2488" s="58"/>
      <c r="EOL2488" s="61"/>
      <c r="EOM2488" s="58"/>
      <c r="EON2488" s="58"/>
      <c r="EOO2488" s="58"/>
      <c r="EOP2488" s="60"/>
      <c r="EOQ2488" s="60"/>
      <c r="EOR2488" s="60"/>
      <c r="EOS2488" s="58"/>
      <c r="EOT2488" s="61"/>
      <c r="EOU2488" s="58"/>
      <c r="EOV2488" s="58"/>
      <c r="EOW2488" s="58"/>
      <c r="EOX2488" s="60"/>
      <c r="EOY2488" s="60"/>
      <c r="EOZ2488" s="60"/>
      <c r="EPA2488" s="58"/>
      <c r="EPB2488" s="61"/>
      <c r="EPC2488" s="58"/>
      <c r="EPD2488" s="58"/>
      <c r="EPE2488" s="58"/>
      <c r="EPF2488" s="60"/>
      <c r="EPG2488" s="60"/>
      <c r="EPH2488" s="60"/>
      <c r="EPI2488" s="58"/>
      <c r="EPJ2488" s="61"/>
      <c r="EPK2488" s="58"/>
      <c r="EPL2488" s="58"/>
      <c r="EPM2488" s="58"/>
      <c r="EPN2488" s="60"/>
      <c r="EPO2488" s="60"/>
      <c r="EPP2488" s="60"/>
      <c r="EPQ2488" s="58"/>
      <c r="EPR2488" s="61"/>
      <c r="EPS2488" s="58"/>
      <c r="EPT2488" s="58"/>
      <c r="EPU2488" s="58"/>
      <c r="EPV2488" s="60"/>
      <c r="EPW2488" s="60"/>
      <c r="EPX2488" s="60"/>
      <c r="EPY2488" s="58"/>
      <c r="EPZ2488" s="61"/>
      <c r="EQA2488" s="58"/>
      <c r="EQB2488" s="58"/>
      <c r="EQC2488" s="58"/>
      <c r="EQD2488" s="60"/>
      <c r="EQE2488" s="60"/>
      <c r="EQF2488" s="60"/>
      <c r="EQG2488" s="58"/>
      <c r="EQH2488" s="61"/>
      <c r="EQI2488" s="58"/>
      <c r="EQJ2488" s="58"/>
      <c r="EQK2488" s="58"/>
      <c r="EQL2488" s="60"/>
      <c r="EQM2488" s="60"/>
      <c r="EQN2488" s="60"/>
      <c r="EQO2488" s="58"/>
      <c r="EQP2488" s="61"/>
      <c r="EQQ2488" s="58"/>
      <c r="EQR2488" s="58"/>
      <c r="EQS2488" s="58"/>
      <c r="EQT2488" s="60"/>
      <c r="EQU2488" s="60"/>
      <c r="EQV2488" s="60"/>
      <c r="EQW2488" s="58"/>
      <c r="EQX2488" s="61"/>
      <c r="EQY2488" s="58"/>
      <c r="EQZ2488" s="58"/>
      <c r="ERA2488" s="58"/>
      <c r="ERB2488" s="60"/>
      <c r="ERC2488" s="60"/>
      <c r="ERD2488" s="60"/>
      <c r="ERE2488" s="58"/>
      <c r="ERF2488" s="61"/>
      <c r="ERG2488" s="58"/>
      <c r="ERH2488" s="58"/>
      <c r="ERI2488" s="58"/>
      <c r="ERJ2488" s="60"/>
      <c r="ERK2488" s="60"/>
      <c r="ERL2488" s="60"/>
      <c r="ERM2488" s="58"/>
      <c r="ERN2488" s="61"/>
      <c r="ERO2488" s="58"/>
      <c r="ERP2488" s="58"/>
      <c r="ERQ2488" s="58"/>
      <c r="ERR2488" s="60"/>
      <c r="ERS2488" s="60"/>
      <c r="ERT2488" s="60"/>
      <c r="ERU2488" s="58"/>
      <c r="ERV2488" s="61"/>
      <c r="ERW2488" s="58"/>
      <c r="ERX2488" s="58"/>
      <c r="ERY2488" s="58"/>
      <c r="ERZ2488" s="60"/>
      <c r="ESA2488" s="60"/>
      <c r="ESB2488" s="60"/>
      <c r="ESC2488" s="58"/>
      <c r="ESD2488" s="61"/>
      <c r="ESE2488" s="58"/>
      <c r="ESF2488" s="58"/>
      <c r="ESG2488" s="58"/>
      <c r="ESH2488" s="60"/>
      <c r="ESI2488" s="60"/>
      <c r="ESJ2488" s="60"/>
      <c r="ESK2488" s="58"/>
      <c r="ESL2488" s="61"/>
      <c r="ESM2488" s="58"/>
      <c r="ESN2488" s="58"/>
      <c r="ESO2488" s="58"/>
      <c r="ESP2488" s="60"/>
      <c r="ESQ2488" s="60"/>
      <c r="ESR2488" s="60"/>
      <c r="ESS2488" s="58"/>
      <c r="EST2488" s="61"/>
      <c r="ESU2488" s="58"/>
      <c r="ESV2488" s="58"/>
      <c r="ESW2488" s="58"/>
      <c r="ESX2488" s="60"/>
      <c r="ESY2488" s="60"/>
      <c r="ESZ2488" s="60"/>
      <c r="ETA2488" s="58"/>
      <c r="ETB2488" s="61"/>
      <c r="ETC2488" s="58"/>
      <c r="ETD2488" s="58"/>
      <c r="ETE2488" s="58"/>
      <c r="ETF2488" s="60"/>
      <c r="ETG2488" s="60"/>
      <c r="ETH2488" s="60"/>
      <c r="ETI2488" s="58"/>
      <c r="ETJ2488" s="61"/>
      <c r="ETK2488" s="58"/>
      <c r="ETL2488" s="58"/>
      <c r="ETM2488" s="58"/>
      <c r="ETN2488" s="60"/>
      <c r="ETO2488" s="60"/>
      <c r="ETP2488" s="60"/>
      <c r="ETQ2488" s="58"/>
      <c r="ETR2488" s="61"/>
      <c r="ETS2488" s="58"/>
      <c r="ETT2488" s="58"/>
      <c r="ETU2488" s="58"/>
      <c r="ETV2488" s="60"/>
      <c r="ETW2488" s="60"/>
      <c r="ETX2488" s="60"/>
      <c r="ETY2488" s="58"/>
      <c r="ETZ2488" s="61"/>
      <c r="EUA2488" s="58"/>
      <c r="EUB2488" s="58"/>
      <c r="EUC2488" s="58"/>
      <c r="EUD2488" s="60"/>
      <c r="EUE2488" s="60"/>
      <c r="EUF2488" s="60"/>
      <c r="EUG2488" s="58"/>
      <c r="EUH2488" s="61"/>
      <c r="EUI2488" s="58"/>
      <c r="EUJ2488" s="58"/>
      <c r="EUK2488" s="58"/>
      <c r="EUL2488" s="60"/>
      <c r="EUM2488" s="60"/>
      <c r="EUN2488" s="60"/>
      <c r="EUO2488" s="58"/>
      <c r="EUP2488" s="61"/>
      <c r="EUQ2488" s="58"/>
      <c r="EUR2488" s="58"/>
      <c r="EUS2488" s="58"/>
      <c r="EUT2488" s="60"/>
      <c r="EUU2488" s="60"/>
      <c r="EUV2488" s="60"/>
      <c r="EUW2488" s="58"/>
      <c r="EUX2488" s="61"/>
      <c r="EUY2488" s="58"/>
      <c r="EUZ2488" s="58"/>
      <c r="EVA2488" s="58"/>
      <c r="EVB2488" s="60"/>
      <c r="EVC2488" s="60"/>
      <c r="EVD2488" s="60"/>
      <c r="EVE2488" s="58"/>
      <c r="EVF2488" s="61"/>
      <c r="EVG2488" s="58"/>
      <c r="EVH2488" s="58"/>
      <c r="EVI2488" s="58"/>
      <c r="EVJ2488" s="60"/>
      <c r="EVK2488" s="60"/>
      <c r="EVL2488" s="60"/>
      <c r="EVM2488" s="58"/>
      <c r="EVN2488" s="61"/>
      <c r="EVO2488" s="58"/>
      <c r="EVP2488" s="58"/>
      <c r="EVQ2488" s="58"/>
      <c r="EVR2488" s="60"/>
      <c r="EVS2488" s="60"/>
      <c r="EVT2488" s="60"/>
      <c r="EVU2488" s="58"/>
      <c r="EVV2488" s="61"/>
      <c r="EVW2488" s="58"/>
      <c r="EVX2488" s="58"/>
      <c r="EVY2488" s="58"/>
      <c r="EVZ2488" s="60"/>
      <c r="EWA2488" s="60"/>
      <c r="EWB2488" s="60"/>
      <c r="EWC2488" s="58"/>
      <c r="EWD2488" s="61"/>
      <c r="EWE2488" s="58"/>
      <c r="EWF2488" s="58"/>
      <c r="EWG2488" s="58"/>
      <c r="EWH2488" s="60"/>
      <c r="EWI2488" s="60"/>
      <c r="EWJ2488" s="60"/>
      <c r="EWK2488" s="58"/>
      <c r="EWL2488" s="61"/>
      <c r="EWM2488" s="58"/>
      <c r="EWN2488" s="58"/>
      <c r="EWO2488" s="58"/>
      <c r="EWP2488" s="60"/>
      <c r="EWQ2488" s="60"/>
      <c r="EWR2488" s="60"/>
      <c r="EWS2488" s="58"/>
      <c r="EWT2488" s="61"/>
      <c r="EWU2488" s="58"/>
      <c r="EWV2488" s="58"/>
      <c r="EWW2488" s="58"/>
      <c r="EWX2488" s="60"/>
      <c r="EWY2488" s="60"/>
      <c r="EWZ2488" s="60"/>
      <c r="EXA2488" s="58"/>
      <c r="EXB2488" s="61"/>
      <c r="EXC2488" s="58"/>
      <c r="EXD2488" s="58"/>
      <c r="EXE2488" s="58"/>
      <c r="EXF2488" s="60"/>
      <c r="EXG2488" s="60"/>
      <c r="EXH2488" s="60"/>
      <c r="EXI2488" s="58"/>
      <c r="EXJ2488" s="61"/>
      <c r="EXK2488" s="58"/>
      <c r="EXL2488" s="58"/>
      <c r="EXM2488" s="58"/>
      <c r="EXN2488" s="60"/>
      <c r="EXO2488" s="60"/>
      <c r="EXP2488" s="60"/>
      <c r="EXQ2488" s="58"/>
      <c r="EXR2488" s="61"/>
      <c r="EXS2488" s="58"/>
      <c r="EXT2488" s="58"/>
      <c r="EXU2488" s="58"/>
      <c r="EXV2488" s="60"/>
      <c r="EXW2488" s="60"/>
      <c r="EXX2488" s="60"/>
      <c r="EXY2488" s="58"/>
      <c r="EXZ2488" s="61"/>
      <c r="EYA2488" s="58"/>
      <c r="EYB2488" s="58"/>
      <c r="EYC2488" s="58"/>
      <c r="EYD2488" s="60"/>
      <c r="EYE2488" s="60"/>
      <c r="EYF2488" s="60"/>
      <c r="EYG2488" s="58"/>
      <c r="EYH2488" s="61"/>
      <c r="EYI2488" s="58"/>
      <c r="EYJ2488" s="58"/>
      <c r="EYK2488" s="58"/>
      <c r="EYL2488" s="60"/>
      <c r="EYM2488" s="60"/>
      <c r="EYN2488" s="60"/>
      <c r="EYO2488" s="58"/>
      <c r="EYP2488" s="61"/>
      <c r="EYQ2488" s="58"/>
      <c r="EYR2488" s="58"/>
      <c r="EYS2488" s="58"/>
      <c r="EYT2488" s="60"/>
      <c r="EYU2488" s="60"/>
      <c r="EYV2488" s="60"/>
      <c r="EYW2488" s="58"/>
      <c r="EYX2488" s="61"/>
      <c r="EYY2488" s="58"/>
      <c r="EYZ2488" s="58"/>
      <c r="EZA2488" s="58"/>
      <c r="EZB2488" s="60"/>
      <c r="EZC2488" s="60"/>
      <c r="EZD2488" s="60"/>
      <c r="EZE2488" s="58"/>
      <c r="EZF2488" s="61"/>
      <c r="EZG2488" s="58"/>
      <c r="EZH2488" s="58"/>
      <c r="EZI2488" s="58"/>
      <c r="EZJ2488" s="60"/>
      <c r="EZK2488" s="60"/>
      <c r="EZL2488" s="60"/>
      <c r="EZM2488" s="58"/>
      <c r="EZN2488" s="61"/>
      <c r="EZO2488" s="58"/>
      <c r="EZP2488" s="58"/>
      <c r="EZQ2488" s="58"/>
      <c r="EZR2488" s="60"/>
      <c r="EZS2488" s="60"/>
      <c r="EZT2488" s="60"/>
      <c r="EZU2488" s="58"/>
      <c r="EZV2488" s="61"/>
      <c r="EZW2488" s="58"/>
      <c r="EZX2488" s="58"/>
      <c r="EZY2488" s="58"/>
      <c r="EZZ2488" s="60"/>
      <c r="FAA2488" s="60"/>
      <c r="FAB2488" s="60"/>
      <c r="FAC2488" s="58"/>
      <c r="FAD2488" s="61"/>
      <c r="FAE2488" s="58"/>
      <c r="FAF2488" s="58"/>
      <c r="FAG2488" s="58"/>
      <c r="FAH2488" s="60"/>
      <c r="FAI2488" s="60"/>
      <c r="FAJ2488" s="60"/>
      <c r="FAK2488" s="58"/>
      <c r="FAL2488" s="61"/>
      <c r="FAM2488" s="58"/>
      <c r="FAN2488" s="58"/>
      <c r="FAO2488" s="58"/>
      <c r="FAP2488" s="60"/>
      <c r="FAQ2488" s="60"/>
      <c r="FAR2488" s="60"/>
      <c r="FAS2488" s="58"/>
      <c r="FAT2488" s="61"/>
      <c r="FAU2488" s="58"/>
      <c r="FAV2488" s="58"/>
      <c r="FAW2488" s="58"/>
      <c r="FAX2488" s="60"/>
      <c r="FAY2488" s="60"/>
      <c r="FAZ2488" s="60"/>
      <c r="FBA2488" s="58"/>
      <c r="FBB2488" s="61"/>
      <c r="FBC2488" s="58"/>
      <c r="FBD2488" s="58"/>
      <c r="FBE2488" s="58"/>
      <c r="FBF2488" s="60"/>
      <c r="FBG2488" s="60"/>
      <c r="FBH2488" s="60"/>
      <c r="FBI2488" s="58"/>
      <c r="FBJ2488" s="61"/>
      <c r="FBK2488" s="58"/>
      <c r="FBL2488" s="58"/>
      <c r="FBM2488" s="58"/>
      <c r="FBN2488" s="60"/>
      <c r="FBO2488" s="60"/>
      <c r="FBP2488" s="60"/>
      <c r="FBQ2488" s="58"/>
      <c r="FBR2488" s="61"/>
      <c r="FBS2488" s="58"/>
      <c r="FBT2488" s="58"/>
      <c r="FBU2488" s="58"/>
      <c r="FBV2488" s="60"/>
      <c r="FBW2488" s="60"/>
      <c r="FBX2488" s="60"/>
      <c r="FBY2488" s="58"/>
      <c r="FBZ2488" s="61"/>
      <c r="FCA2488" s="58"/>
      <c r="FCB2488" s="58"/>
      <c r="FCC2488" s="58"/>
      <c r="FCD2488" s="60"/>
      <c r="FCE2488" s="60"/>
      <c r="FCF2488" s="60"/>
      <c r="FCG2488" s="58"/>
      <c r="FCH2488" s="61"/>
      <c r="FCI2488" s="58"/>
      <c r="FCJ2488" s="58"/>
      <c r="FCK2488" s="58"/>
      <c r="FCL2488" s="60"/>
      <c r="FCM2488" s="60"/>
      <c r="FCN2488" s="60"/>
      <c r="FCO2488" s="58"/>
      <c r="FCP2488" s="61"/>
      <c r="FCQ2488" s="58"/>
      <c r="FCR2488" s="58"/>
      <c r="FCS2488" s="58"/>
      <c r="FCT2488" s="60"/>
      <c r="FCU2488" s="60"/>
      <c r="FCV2488" s="60"/>
      <c r="FCW2488" s="58"/>
      <c r="FCX2488" s="61"/>
      <c r="FCY2488" s="58"/>
      <c r="FCZ2488" s="58"/>
      <c r="FDA2488" s="58"/>
      <c r="FDB2488" s="60"/>
      <c r="FDC2488" s="60"/>
      <c r="FDD2488" s="60"/>
      <c r="FDE2488" s="58"/>
      <c r="FDF2488" s="61"/>
      <c r="FDG2488" s="58"/>
      <c r="FDH2488" s="58"/>
      <c r="FDI2488" s="58"/>
      <c r="FDJ2488" s="60"/>
      <c r="FDK2488" s="60"/>
      <c r="FDL2488" s="60"/>
      <c r="FDM2488" s="58"/>
      <c r="FDN2488" s="61"/>
      <c r="FDO2488" s="58"/>
      <c r="FDP2488" s="58"/>
      <c r="FDQ2488" s="58"/>
      <c r="FDR2488" s="60"/>
      <c r="FDS2488" s="60"/>
      <c r="FDT2488" s="60"/>
      <c r="FDU2488" s="58"/>
      <c r="FDV2488" s="61"/>
      <c r="FDW2488" s="58"/>
      <c r="FDX2488" s="58"/>
      <c r="FDY2488" s="58"/>
      <c r="FDZ2488" s="60"/>
      <c r="FEA2488" s="60"/>
      <c r="FEB2488" s="60"/>
      <c r="FEC2488" s="58"/>
      <c r="FED2488" s="61"/>
      <c r="FEE2488" s="58"/>
      <c r="FEF2488" s="58"/>
      <c r="FEG2488" s="58"/>
      <c r="FEH2488" s="60"/>
      <c r="FEI2488" s="60"/>
      <c r="FEJ2488" s="60"/>
      <c r="FEK2488" s="58"/>
      <c r="FEL2488" s="61"/>
      <c r="FEM2488" s="58"/>
      <c r="FEN2488" s="58"/>
      <c r="FEO2488" s="58"/>
      <c r="FEP2488" s="60"/>
      <c r="FEQ2488" s="60"/>
      <c r="FER2488" s="60"/>
      <c r="FES2488" s="58"/>
      <c r="FET2488" s="61"/>
      <c r="FEU2488" s="58"/>
      <c r="FEV2488" s="58"/>
      <c r="FEW2488" s="58"/>
      <c r="FEX2488" s="60"/>
      <c r="FEY2488" s="60"/>
      <c r="FEZ2488" s="60"/>
      <c r="FFA2488" s="58"/>
      <c r="FFB2488" s="61"/>
      <c r="FFC2488" s="58"/>
      <c r="FFD2488" s="58"/>
      <c r="FFE2488" s="58"/>
      <c r="FFF2488" s="60"/>
      <c r="FFG2488" s="60"/>
      <c r="FFH2488" s="60"/>
      <c r="FFI2488" s="58"/>
      <c r="FFJ2488" s="61"/>
      <c r="FFK2488" s="58"/>
      <c r="FFL2488" s="58"/>
      <c r="FFM2488" s="58"/>
      <c r="FFN2488" s="60"/>
      <c r="FFO2488" s="60"/>
      <c r="FFP2488" s="60"/>
      <c r="FFQ2488" s="58"/>
      <c r="FFR2488" s="61"/>
      <c r="FFS2488" s="58"/>
      <c r="FFT2488" s="58"/>
      <c r="FFU2488" s="58"/>
      <c r="FFV2488" s="60"/>
      <c r="FFW2488" s="60"/>
      <c r="FFX2488" s="60"/>
      <c r="FFY2488" s="58"/>
      <c r="FFZ2488" s="61"/>
      <c r="FGA2488" s="58"/>
      <c r="FGB2488" s="58"/>
      <c r="FGC2488" s="58"/>
      <c r="FGD2488" s="60"/>
      <c r="FGE2488" s="60"/>
      <c r="FGF2488" s="60"/>
      <c r="FGG2488" s="58"/>
      <c r="FGH2488" s="61"/>
      <c r="FGI2488" s="58"/>
      <c r="FGJ2488" s="58"/>
      <c r="FGK2488" s="58"/>
      <c r="FGL2488" s="60"/>
      <c r="FGM2488" s="60"/>
      <c r="FGN2488" s="60"/>
      <c r="FGO2488" s="58"/>
      <c r="FGP2488" s="61"/>
      <c r="FGQ2488" s="58"/>
      <c r="FGR2488" s="58"/>
      <c r="FGS2488" s="58"/>
      <c r="FGT2488" s="60"/>
      <c r="FGU2488" s="60"/>
      <c r="FGV2488" s="60"/>
      <c r="FGW2488" s="58"/>
      <c r="FGX2488" s="61"/>
      <c r="FGY2488" s="58"/>
      <c r="FGZ2488" s="58"/>
      <c r="FHA2488" s="58"/>
      <c r="FHB2488" s="60"/>
      <c r="FHC2488" s="60"/>
      <c r="FHD2488" s="60"/>
      <c r="FHE2488" s="58"/>
      <c r="FHF2488" s="61"/>
      <c r="FHG2488" s="58"/>
      <c r="FHH2488" s="58"/>
      <c r="FHI2488" s="58"/>
      <c r="FHJ2488" s="60"/>
      <c r="FHK2488" s="60"/>
      <c r="FHL2488" s="60"/>
      <c r="FHM2488" s="58"/>
      <c r="FHN2488" s="61"/>
      <c r="FHO2488" s="58"/>
      <c r="FHP2488" s="58"/>
      <c r="FHQ2488" s="58"/>
      <c r="FHR2488" s="60"/>
      <c r="FHS2488" s="60"/>
      <c r="FHT2488" s="60"/>
      <c r="FHU2488" s="58"/>
      <c r="FHV2488" s="61"/>
      <c r="FHW2488" s="58"/>
      <c r="FHX2488" s="58"/>
      <c r="FHY2488" s="58"/>
      <c r="FHZ2488" s="60"/>
      <c r="FIA2488" s="60"/>
      <c r="FIB2488" s="60"/>
      <c r="FIC2488" s="58"/>
      <c r="FID2488" s="61"/>
      <c r="FIE2488" s="58"/>
      <c r="FIF2488" s="58"/>
      <c r="FIG2488" s="58"/>
      <c r="FIH2488" s="60"/>
      <c r="FII2488" s="60"/>
      <c r="FIJ2488" s="60"/>
      <c r="FIK2488" s="58"/>
      <c r="FIL2488" s="61"/>
      <c r="FIM2488" s="58"/>
      <c r="FIN2488" s="58"/>
      <c r="FIO2488" s="58"/>
      <c r="FIP2488" s="60"/>
      <c r="FIQ2488" s="60"/>
      <c r="FIR2488" s="60"/>
      <c r="FIS2488" s="58"/>
      <c r="FIT2488" s="61"/>
      <c r="FIU2488" s="58"/>
      <c r="FIV2488" s="58"/>
      <c r="FIW2488" s="58"/>
      <c r="FIX2488" s="60"/>
      <c r="FIY2488" s="60"/>
      <c r="FIZ2488" s="60"/>
      <c r="FJA2488" s="58"/>
      <c r="FJB2488" s="61"/>
      <c r="FJC2488" s="58"/>
      <c r="FJD2488" s="58"/>
      <c r="FJE2488" s="58"/>
      <c r="FJF2488" s="60"/>
      <c r="FJG2488" s="60"/>
      <c r="FJH2488" s="60"/>
      <c r="FJI2488" s="58"/>
      <c r="FJJ2488" s="61"/>
      <c r="FJK2488" s="58"/>
      <c r="FJL2488" s="58"/>
      <c r="FJM2488" s="58"/>
      <c r="FJN2488" s="60"/>
      <c r="FJO2488" s="60"/>
      <c r="FJP2488" s="60"/>
      <c r="FJQ2488" s="58"/>
      <c r="FJR2488" s="61"/>
      <c r="FJS2488" s="58"/>
      <c r="FJT2488" s="58"/>
      <c r="FJU2488" s="58"/>
      <c r="FJV2488" s="60"/>
      <c r="FJW2488" s="60"/>
      <c r="FJX2488" s="60"/>
      <c r="FJY2488" s="58"/>
      <c r="FJZ2488" s="61"/>
      <c r="FKA2488" s="58"/>
      <c r="FKB2488" s="58"/>
      <c r="FKC2488" s="58"/>
      <c r="FKD2488" s="60"/>
      <c r="FKE2488" s="60"/>
      <c r="FKF2488" s="60"/>
      <c r="FKG2488" s="58"/>
      <c r="FKH2488" s="61"/>
      <c r="FKI2488" s="58"/>
      <c r="FKJ2488" s="58"/>
      <c r="FKK2488" s="58"/>
      <c r="FKL2488" s="60"/>
      <c r="FKM2488" s="60"/>
      <c r="FKN2488" s="60"/>
      <c r="FKO2488" s="58"/>
      <c r="FKP2488" s="61"/>
      <c r="FKQ2488" s="58"/>
      <c r="FKR2488" s="58"/>
      <c r="FKS2488" s="58"/>
      <c r="FKT2488" s="60"/>
      <c r="FKU2488" s="60"/>
      <c r="FKV2488" s="60"/>
      <c r="FKW2488" s="58"/>
      <c r="FKX2488" s="61"/>
      <c r="FKY2488" s="58"/>
      <c r="FKZ2488" s="58"/>
      <c r="FLA2488" s="58"/>
      <c r="FLB2488" s="60"/>
      <c r="FLC2488" s="60"/>
      <c r="FLD2488" s="60"/>
      <c r="FLE2488" s="58"/>
      <c r="FLF2488" s="61"/>
      <c r="FLG2488" s="58"/>
      <c r="FLH2488" s="58"/>
      <c r="FLI2488" s="58"/>
      <c r="FLJ2488" s="60"/>
      <c r="FLK2488" s="60"/>
      <c r="FLL2488" s="60"/>
      <c r="FLM2488" s="58"/>
      <c r="FLN2488" s="61"/>
      <c r="FLO2488" s="58"/>
      <c r="FLP2488" s="58"/>
      <c r="FLQ2488" s="58"/>
      <c r="FLR2488" s="60"/>
      <c r="FLS2488" s="60"/>
      <c r="FLT2488" s="60"/>
      <c r="FLU2488" s="58"/>
      <c r="FLV2488" s="61"/>
      <c r="FLW2488" s="58"/>
      <c r="FLX2488" s="58"/>
      <c r="FLY2488" s="58"/>
      <c r="FLZ2488" s="60"/>
      <c r="FMA2488" s="60"/>
      <c r="FMB2488" s="60"/>
      <c r="FMC2488" s="58"/>
      <c r="FMD2488" s="61"/>
      <c r="FME2488" s="58"/>
      <c r="FMF2488" s="58"/>
      <c r="FMG2488" s="58"/>
      <c r="FMH2488" s="60"/>
      <c r="FMI2488" s="60"/>
      <c r="FMJ2488" s="60"/>
      <c r="FMK2488" s="58"/>
      <c r="FML2488" s="61"/>
      <c r="FMM2488" s="58"/>
      <c r="FMN2488" s="58"/>
      <c r="FMO2488" s="58"/>
      <c r="FMP2488" s="60"/>
      <c r="FMQ2488" s="60"/>
      <c r="FMR2488" s="60"/>
      <c r="FMS2488" s="58"/>
      <c r="FMT2488" s="61"/>
      <c r="FMU2488" s="58"/>
      <c r="FMV2488" s="58"/>
      <c r="FMW2488" s="58"/>
      <c r="FMX2488" s="60"/>
      <c r="FMY2488" s="60"/>
      <c r="FMZ2488" s="60"/>
      <c r="FNA2488" s="58"/>
      <c r="FNB2488" s="61"/>
      <c r="FNC2488" s="58"/>
      <c r="FND2488" s="58"/>
      <c r="FNE2488" s="58"/>
      <c r="FNF2488" s="60"/>
      <c r="FNG2488" s="60"/>
      <c r="FNH2488" s="60"/>
      <c r="FNI2488" s="58"/>
      <c r="FNJ2488" s="61"/>
      <c r="FNK2488" s="58"/>
      <c r="FNL2488" s="58"/>
      <c r="FNM2488" s="58"/>
      <c r="FNN2488" s="60"/>
      <c r="FNO2488" s="60"/>
      <c r="FNP2488" s="60"/>
      <c r="FNQ2488" s="58"/>
      <c r="FNR2488" s="61"/>
      <c r="FNS2488" s="58"/>
      <c r="FNT2488" s="58"/>
      <c r="FNU2488" s="58"/>
      <c r="FNV2488" s="60"/>
      <c r="FNW2488" s="60"/>
      <c r="FNX2488" s="60"/>
      <c r="FNY2488" s="58"/>
      <c r="FNZ2488" s="61"/>
      <c r="FOA2488" s="58"/>
      <c r="FOB2488" s="58"/>
      <c r="FOC2488" s="58"/>
      <c r="FOD2488" s="60"/>
      <c r="FOE2488" s="60"/>
      <c r="FOF2488" s="60"/>
      <c r="FOG2488" s="58"/>
      <c r="FOH2488" s="61"/>
      <c r="FOI2488" s="58"/>
      <c r="FOJ2488" s="58"/>
      <c r="FOK2488" s="58"/>
      <c r="FOL2488" s="60"/>
      <c r="FOM2488" s="60"/>
      <c r="FON2488" s="60"/>
      <c r="FOO2488" s="58"/>
      <c r="FOP2488" s="61"/>
      <c r="FOQ2488" s="58"/>
      <c r="FOR2488" s="58"/>
      <c r="FOS2488" s="58"/>
      <c r="FOT2488" s="60"/>
      <c r="FOU2488" s="60"/>
      <c r="FOV2488" s="60"/>
      <c r="FOW2488" s="58"/>
      <c r="FOX2488" s="61"/>
      <c r="FOY2488" s="58"/>
      <c r="FOZ2488" s="58"/>
      <c r="FPA2488" s="58"/>
      <c r="FPB2488" s="60"/>
      <c r="FPC2488" s="60"/>
      <c r="FPD2488" s="60"/>
      <c r="FPE2488" s="58"/>
      <c r="FPF2488" s="61"/>
      <c r="FPG2488" s="58"/>
      <c r="FPH2488" s="58"/>
      <c r="FPI2488" s="58"/>
      <c r="FPJ2488" s="60"/>
      <c r="FPK2488" s="60"/>
      <c r="FPL2488" s="60"/>
      <c r="FPM2488" s="58"/>
      <c r="FPN2488" s="61"/>
      <c r="FPO2488" s="58"/>
      <c r="FPP2488" s="58"/>
      <c r="FPQ2488" s="58"/>
      <c r="FPR2488" s="60"/>
      <c r="FPS2488" s="60"/>
      <c r="FPT2488" s="60"/>
      <c r="FPU2488" s="58"/>
      <c r="FPV2488" s="61"/>
      <c r="FPW2488" s="58"/>
      <c r="FPX2488" s="58"/>
      <c r="FPY2488" s="58"/>
      <c r="FPZ2488" s="60"/>
      <c r="FQA2488" s="60"/>
      <c r="FQB2488" s="60"/>
      <c r="FQC2488" s="58"/>
      <c r="FQD2488" s="61"/>
      <c r="FQE2488" s="58"/>
      <c r="FQF2488" s="58"/>
      <c r="FQG2488" s="58"/>
      <c r="FQH2488" s="60"/>
      <c r="FQI2488" s="60"/>
      <c r="FQJ2488" s="60"/>
      <c r="FQK2488" s="58"/>
      <c r="FQL2488" s="61"/>
      <c r="FQM2488" s="58"/>
      <c r="FQN2488" s="58"/>
      <c r="FQO2488" s="58"/>
      <c r="FQP2488" s="60"/>
      <c r="FQQ2488" s="60"/>
      <c r="FQR2488" s="60"/>
      <c r="FQS2488" s="58"/>
      <c r="FQT2488" s="61"/>
      <c r="FQU2488" s="58"/>
      <c r="FQV2488" s="58"/>
      <c r="FQW2488" s="58"/>
      <c r="FQX2488" s="60"/>
      <c r="FQY2488" s="60"/>
      <c r="FQZ2488" s="60"/>
      <c r="FRA2488" s="58"/>
      <c r="FRB2488" s="61"/>
      <c r="FRC2488" s="58"/>
      <c r="FRD2488" s="58"/>
      <c r="FRE2488" s="58"/>
      <c r="FRF2488" s="60"/>
      <c r="FRG2488" s="60"/>
      <c r="FRH2488" s="60"/>
      <c r="FRI2488" s="58"/>
      <c r="FRJ2488" s="61"/>
      <c r="FRK2488" s="58"/>
      <c r="FRL2488" s="58"/>
      <c r="FRM2488" s="58"/>
      <c r="FRN2488" s="60"/>
      <c r="FRO2488" s="60"/>
      <c r="FRP2488" s="60"/>
      <c r="FRQ2488" s="58"/>
      <c r="FRR2488" s="61"/>
      <c r="FRS2488" s="58"/>
      <c r="FRT2488" s="58"/>
      <c r="FRU2488" s="58"/>
      <c r="FRV2488" s="60"/>
      <c r="FRW2488" s="60"/>
      <c r="FRX2488" s="60"/>
      <c r="FRY2488" s="58"/>
      <c r="FRZ2488" s="61"/>
      <c r="FSA2488" s="58"/>
      <c r="FSB2488" s="58"/>
      <c r="FSC2488" s="58"/>
      <c r="FSD2488" s="60"/>
      <c r="FSE2488" s="60"/>
      <c r="FSF2488" s="60"/>
      <c r="FSG2488" s="58"/>
      <c r="FSH2488" s="61"/>
      <c r="FSI2488" s="58"/>
      <c r="FSJ2488" s="58"/>
      <c r="FSK2488" s="58"/>
      <c r="FSL2488" s="60"/>
      <c r="FSM2488" s="60"/>
      <c r="FSN2488" s="60"/>
      <c r="FSO2488" s="58"/>
      <c r="FSP2488" s="61"/>
      <c r="FSQ2488" s="58"/>
      <c r="FSR2488" s="58"/>
      <c r="FSS2488" s="58"/>
      <c r="FST2488" s="60"/>
      <c r="FSU2488" s="60"/>
      <c r="FSV2488" s="60"/>
      <c r="FSW2488" s="58"/>
      <c r="FSX2488" s="61"/>
      <c r="FSY2488" s="58"/>
      <c r="FSZ2488" s="58"/>
      <c r="FTA2488" s="58"/>
      <c r="FTB2488" s="60"/>
      <c r="FTC2488" s="60"/>
      <c r="FTD2488" s="60"/>
      <c r="FTE2488" s="58"/>
      <c r="FTF2488" s="61"/>
      <c r="FTG2488" s="58"/>
      <c r="FTH2488" s="58"/>
      <c r="FTI2488" s="58"/>
      <c r="FTJ2488" s="60"/>
      <c r="FTK2488" s="60"/>
      <c r="FTL2488" s="60"/>
      <c r="FTM2488" s="58"/>
      <c r="FTN2488" s="61"/>
      <c r="FTO2488" s="58"/>
      <c r="FTP2488" s="58"/>
      <c r="FTQ2488" s="58"/>
      <c r="FTR2488" s="60"/>
      <c r="FTS2488" s="60"/>
      <c r="FTT2488" s="60"/>
      <c r="FTU2488" s="58"/>
      <c r="FTV2488" s="61"/>
      <c r="FTW2488" s="58"/>
      <c r="FTX2488" s="58"/>
      <c r="FTY2488" s="58"/>
      <c r="FTZ2488" s="60"/>
      <c r="FUA2488" s="60"/>
      <c r="FUB2488" s="60"/>
      <c r="FUC2488" s="58"/>
      <c r="FUD2488" s="61"/>
      <c r="FUE2488" s="58"/>
      <c r="FUF2488" s="58"/>
      <c r="FUG2488" s="58"/>
      <c r="FUH2488" s="60"/>
      <c r="FUI2488" s="60"/>
      <c r="FUJ2488" s="60"/>
      <c r="FUK2488" s="58"/>
      <c r="FUL2488" s="61"/>
      <c r="FUM2488" s="58"/>
      <c r="FUN2488" s="58"/>
      <c r="FUO2488" s="58"/>
      <c r="FUP2488" s="60"/>
      <c r="FUQ2488" s="60"/>
      <c r="FUR2488" s="60"/>
      <c r="FUS2488" s="58"/>
      <c r="FUT2488" s="61"/>
      <c r="FUU2488" s="58"/>
      <c r="FUV2488" s="58"/>
      <c r="FUW2488" s="58"/>
      <c r="FUX2488" s="60"/>
      <c r="FUY2488" s="60"/>
      <c r="FUZ2488" s="60"/>
      <c r="FVA2488" s="58"/>
      <c r="FVB2488" s="61"/>
      <c r="FVC2488" s="58"/>
      <c r="FVD2488" s="58"/>
      <c r="FVE2488" s="58"/>
      <c r="FVF2488" s="60"/>
      <c r="FVG2488" s="60"/>
      <c r="FVH2488" s="60"/>
      <c r="FVI2488" s="58"/>
      <c r="FVJ2488" s="61"/>
      <c r="FVK2488" s="58"/>
      <c r="FVL2488" s="58"/>
      <c r="FVM2488" s="58"/>
      <c r="FVN2488" s="60"/>
      <c r="FVO2488" s="60"/>
      <c r="FVP2488" s="60"/>
      <c r="FVQ2488" s="58"/>
      <c r="FVR2488" s="61"/>
      <c r="FVS2488" s="58"/>
      <c r="FVT2488" s="58"/>
      <c r="FVU2488" s="58"/>
      <c r="FVV2488" s="60"/>
      <c r="FVW2488" s="60"/>
      <c r="FVX2488" s="60"/>
      <c r="FVY2488" s="58"/>
      <c r="FVZ2488" s="61"/>
      <c r="FWA2488" s="58"/>
      <c r="FWB2488" s="58"/>
      <c r="FWC2488" s="58"/>
      <c r="FWD2488" s="60"/>
      <c r="FWE2488" s="60"/>
      <c r="FWF2488" s="60"/>
      <c r="FWG2488" s="58"/>
      <c r="FWH2488" s="61"/>
      <c r="FWI2488" s="58"/>
      <c r="FWJ2488" s="58"/>
      <c r="FWK2488" s="58"/>
      <c r="FWL2488" s="60"/>
      <c r="FWM2488" s="60"/>
      <c r="FWN2488" s="60"/>
      <c r="FWO2488" s="58"/>
      <c r="FWP2488" s="61"/>
      <c r="FWQ2488" s="58"/>
      <c r="FWR2488" s="58"/>
      <c r="FWS2488" s="58"/>
      <c r="FWT2488" s="60"/>
      <c r="FWU2488" s="60"/>
      <c r="FWV2488" s="60"/>
      <c r="FWW2488" s="58"/>
      <c r="FWX2488" s="61"/>
      <c r="FWY2488" s="58"/>
      <c r="FWZ2488" s="58"/>
      <c r="FXA2488" s="58"/>
      <c r="FXB2488" s="60"/>
      <c r="FXC2488" s="60"/>
      <c r="FXD2488" s="60"/>
      <c r="FXE2488" s="58"/>
      <c r="FXF2488" s="61"/>
      <c r="FXG2488" s="58"/>
      <c r="FXH2488" s="58"/>
      <c r="FXI2488" s="58"/>
      <c r="FXJ2488" s="60"/>
      <c r="FXK2488" s="60"/>
      <c r="FXL2488" s="60"/>
      <c r="FXM2488" s="58"/>
      <c r="FXN2488" s="61"/>
      <c r="FXO2488" s="58"/>
      <c r="FXP2488" s="58"/>
      <c r="FXQ2488" s="58"/>
      <c r="FXR2488" s="60"/>
      <c r="FXS2488" s="60"/>
      <c r="FXT2488" s="60"/>
      <c r="FXU2488" s="58"/>
      <c r="FXV2488" s="61"/>
      <c r="FXW2488" s="58"/>
      <c r="FXX2488" s="58"/>
      <c r="FXY2488" s="58"/>
      <c r="FXZ2488" s="60"/>
      <c r="FYA2488" s="60"/>
      <c r="FYB2488" s="60"/>
      <c r="FYC2488" s="58"/>
      <c r="FYD2488" s="61"/>
      <c r="FYE2488" s="58"/>
      <c r="FYF2488" s="58"/>
      <c r="FYG2488" s="58"/>
      <c r="FYH2488" s="60"/>
      <c r="FYI2488" s="60"/>
      <c r="FYJ2488" s="60"/>
      <c r="FYK2488" s="58"/>
      <c r="FYL2488" s="61"/>
      <c r="FYM2488" s="58"/>
      <c r="FYN2488" s="58"/>
      <c r="FYO2488" s="58"/>
      <c r="FYP2488" s="60"/>
      <c r="FYQ2488" s="60"/>
      <c r="FYR2488" s="60"/>
      <c r="FYS2488" s="58"/>
      <c r="FYT2488" s="61"/>
      <c r="FYU2488" s="58"/>
      <c r="FYV2488" s="58"/>
      <c r="FYW2488" s="58"/>
      <c r="FYX2488" s="60"/>
      <c r="FYY2488" s="60"/>
      <c r="FYZ2488" s="60"/>
      <c r="FZA2488" s="58"/>
      <c r="FZB2488" s="61"/>
      <c r="FZC2488" s="58"/>
      <c r="FZD2488" s="58"/>
      <c r="FZE2488" s="58"/>
      <c r="FZF2488" s="60"/>
      <c r="FZG2488" s="60"/>
      <c r="FZH2488" s="60"/>
      <c r="FZI2488" s="58"/>
      <c r="FZJ2488" s="61"/>
      <c r="FZK2488" s="58"/>
      <c r="FZL2488" s="58"/>
      <c r="FZM2488" s="58"/>
      <c r="FZN2488" s="60"/>
      <c r="FZO2488" s="60"/>
      <c r="FZP2488" s="60"/>
      <c r="FZQ2488" s="58"/>
      <c r="FZR2488" s="61"/>
      <c r="FZS2488" s="58"/>
      <c r="FZT2488" s="58"/>
      <c r="FZU2488" s="58"/>
      <c r="FZV2488" s="60"/>
      <c r="FZW2488" s="60"/>
      <c r="FZX2488" s="60"/>
      <c r="FZY2488" s="58"/>
      <c r="FZZ2488" s="61"/>
      <c r="GAA2488" s="58"/>
      <c r="GAB2488" s="58"/>
      <c r="GAC2488" s="58"/>
      <c r="GAD2488" s="60"/>
      <c r="GAE2488" s="60"/>
      <c r="GAF2488" s="60"/>
      <c r="GAG2488" s="58"/>
      <c r="GAH2488" s="61"/>
      <c r="GAI2488" s="58"/>
      <c r="GAJ2488" s="58"/>
      <c r="GAK2488" s="58"/>
      <c r="GAL2488" s="60"/>
      <c r="GAM2488" s="60"/>
      <c r="GAN2488" s="60"/>
      <c r="GAO2488" s="58"/>
      <c r="GAP2488" s="61"/>
      <c r="GAQ2488" s="58"/>
      <c r="GAR2488" s="58"/>
      <c r="GAS2488" s="58"/>
      <c r="GAT2488" s="60"/>
      <c r="GAU2488" s="60"/>
      <c r="GAV2488" s="60"/>
      <c r="GAW2488" s="58"/>
      <c r="GAX2488" s="61"/>
      <c r="GAY2488" s="58"/>
      <c r="GAZ2488" s="58"/>
      <c r="GBA2488" s="58"/>
      <c r="GBB2488" s="60"/>
      <c r="GBC2488" s="60"/>
      <c r="GBD2488" s="60"/>
      <c r="GBE2488" s="58"/>
      <c r="GBF2488" s="61"/>
      <c r="GBG2488" s="58"/>
      <c r="GBH2488" s="58"/>
      <c r="GBI2488" s="58"/>
      <c r="GBJ2488" s="60"/>
      <c r="GBK2488" s="60"/>
      <c r="GBL2488" s="60"/>
      <c r="GBM2488" s="58"/>
      <c r="GBN2488" s="61"/>
      <c r="GBO2488" s="58"/>
      <c r="GBP2488" s="58"/>
      <c r="GBQ2488" s="58"/>
      <c r="GBR2488" s="60"/>
      <c r="GBS2488" s="60"/>
      <c r="GBT2488" s="60"/>
      <c r="GBU2488" s="58"/>
      <c r="GBV2488" s="61"/>
      <c r="GBW2488" s="58"/>
      <c r="GBX2488" s="58"/>
      <c r="GBY2488" s="58"/>
      <c r="GBZ2488" s="60"/>
      <c r="GCA2488" s="60"/>
      <c r="GCB2488" s="60"/>
      <c r="GCC2488" s="58"/>
      <c r="GCD2488" s="61"/>
      <c r="GCE2488" s="58"/>
      <c r="GCF2488" s="58"/>
      <c r="GCG2488" s="58"/>
      <c r="GCH2488" s="60"/>
      <c r="GCI2488" s="60"/>
      <c r="GCJ2488" s="60"/>
      <c r="GCK2488" s="58"/>
      <c r="GCL2488" s="61"/>
      <c r="GCM2488" s="58"/>
      <c r="GCN2488" s="58"/>
      <c r="GCO2488" s="58"/>
      <c r="GCP2488" s="60"/>
      <c r="GCQ2488" s="60"/>
      <c r="GCR2488" s="60"/>
      <c r="GCS2488" s="58"/>
      <c r="GCT2488" s="61"/>
      <c r="GCU2488" s="58"/>
      <c r="GCV2488" s="58"/>
      <c r="GCW2488" s="58"/>
      <c r="GCX2488" s="60"/>
      <c r="GCY2488" s="60"/>
      <c r="GCZ2488" s="60"/>
      <c r="GDA2488" s="58"/>
      <c r="GDB2488" s="61"/>
      <c r="GDC2488" s="58"/>
      <c r="GDD2488" s="58"/>
      <c r="GDE2488" s="58"/>
      <c r="GDF2488" s="60"/>
      <c r="GDG2488" s="60"/>
      <c r="GDH2488" s="60"/>
      <c r="GDI2488" s="58"/>
      <c r="GDJ2488" s="61"/>
      <c r="GDK2488" s="58"/>
      <c r="GDL2488" s="58"/>
      <c r="GDM2488" s="58"/>
      <c r="GDN2488" s="60"/>
      <c r="GDO2488" s="60"/>
      <c r="GDP2488" s="60"/>
      <c r="GDQ2488" s="58"/>
      <c r="GDR2488" s="61"/>
      <c r="GDS2488" s="58"/>
      <c r="GDT2488" s="58"/>
      <c r="GDU2488" s="58"/>
      <c r="GDV2488" s="60"/>
      <c r="GDW2488" s="60"/>
      <c r="GDX2488" s="60"/>
      <c r="GDY2488" s="58"/>
      <c r="GDZ2488" s="61"/>
      <c r="GEA2488" s="58"/>
      <c r="GEB2488" s="58"/>
      <c r="GEC2488" s="58"/>
      <c r="GED2488" s="60"/>
      <c r="GEE2488" s="60"/>
      <c r="GEF2488" s="60"/>
      <c r="GEG2488" s="58"/>
      <c r="GEH2488" s="61"/>
      <c r="GEI2488" s="58"/>
      <c r="GEJ2488" s="58"/>
      <c r="GEK2488" s="58"/>
      <c r="GEL2488" s="60"/>
      <c r="GEM2488" s="60"/>
      <c r="GEN2488" s="60"/>
      <c r="GEO2488" s="58"/>
      <c r="GEP2488" s="61"/>
      <c r="GEQ2488" s="58"/>
      <c r="GER2488" s="58"/>
      <c r="GES2488" s="58"/>
      <c r="GET2488" s="60"/>
      <c r="GEU2488" s="60"/>
      <c r="GEV2488" s="60"/>
      <c r="GEW2488" s="58"/>
      <c r="GEX2488" s="61"/>
      <c r="GEY2488" s="58"/>
      <c r="GEZ2488" s="58"/>
      <c r="GFA2488" s="58"/>
      <c r="GFB2488" s="60"/>
      <c r="GFC2488" s="60"/>
      <c r="GFD2488" s="60"/>
      <c r="GFE2488" s="58"/>
      <c r="GFF2488" s="61"/>
      <c r="GFG2488" s="58"/>
      <c r="GFH2488" s="58"/>
      <c r="GFI2488" s="58"/>
      <c r="GFJ2488" s="60"/>
      <c r="GFK2488" s="60"/>
      <c r="GFL2488" s="60"/>
      <c r="GFM2488" s="58"/>
      <c r="GFN2488" s="61"/>
      <c r="GFO2488" s="58"/>
      <c r="GFP2488" s="58"/>
      <c r="GFQ2488" s="58"/>
      <c r="GFR2488" s="60"/>
      <c r="GFS2488" s="60"/>
      <c r="GFT2488" s="60"/>
      <c r="GFU2488" s="58"/>
      <c r="GFV2488" s="61"/>
      <c r="GFW2488" s="58"/>
      <c r="GFX2488" s="58"/>
      <c r="GFY2488" s="58"/>
      <c r="GFZ2488" s="60"/>
      <c r="GGA2488" s="60"/>
      <c r="GGB2488" s="60"/>
      <c r="GGC2488" s="58"/>
      <c r="GGD2488" s="61"/>
      <c r="GGE2488" s="58"/>
      <c r="GGF2488" s="58"/>
      <c r="GGG2488" s="58"/>
      <c r="GGH2488" s="60"/>
      <c r="GGI2488" s="60"/>
      <c r="GGJ2488" s="60"/>
      <c r="GGK2488" s="58"/>
      <c r="GGL2488" s="61"/>
      <c r="GGM2488" s="58"/>
      <c r="GGN2488" s="58"/>
      <c r="GGO2488" s="58"/>
      <c r="GGP2488" s="60"/>
      <c r="GGQ2488" s="60"/>
      <c r="GGR2488" s="60"/>
      <c r="GGS2488" s="58"/>
      <c r="GGT2488" s="61"/>
      <c r="GGU2488" s="58"/>
      <c r="GGV2488" s="58"/>
      <c r="GGW2488" s="58"/>
      <c r="GGX2488" s="60"/>
      <c r="GGY2488" s="60"/>
      <c r="GGZ2488" s="60"/>
      <c r="GHA2488" s="58"/>
      <c r="GHB2488" s="61"/>
      <c r="GHC2488" s="58"/>
      <c r="GHD2488" s="58"/>
      <c r="GHE2488" s="58"/>
      <c r="GHF2488" s="60"/>
      <c r="GHG2488" s="60"/>
      <c r="GHH2488" s="60"/>
      <c r="GHI2488" s="58"/>
      <c r="GHJ2488" s="61"/>
      <c r="GHK2488" s="58"/>
      <c r="GHL2488" s="58"/>
      <c r="GHM2488" s="58"/>
      <c r="GHN2488" s="60"/>
      <c r="GHO2488" s="60"/>
      <c r="GHP2488" s="60"/>
      <c r="GHQ2488" s="58"/>
      <c r="GHR2488" s="61"/>
      <c r="GHS2488" s="58"/>
      <c r="GHT2488" s="58"/>
      <c r="GHU2488" s="58"/>
      <c r="GHV2488" s="60"/>
      <c r="GHW2488" s="60"/>
      <c r="GHX2488" s="60"/>
      <c r="GHY2488" s="58"/>
      <c r="GHZ2488" s="61"/>
      <c r="GIA2488" s="58"/>
      <c r="GIB2488" s="58"/>
      <c r="GIC2488" s="58"/>
      <c r="GID2488" s="60"/>
      <c r="GIE2488" s="60"/>
      <c r="GIF2488" s="60"/>
      <c r="GIG2488" s="58"/>
      <c r="GIH2488" s="61"/>
      <c r="GII2488" s="58"/>
      <c r="GIJ2488" s="58"/>
      <c r="GIK2488" s="58"/>
      <c r="GIL2488" s="60"/>
      <c r="GIM2488" s="60"/>
      <c r="GIN2488" s="60"/>
      <c r="GIO2488" s="58"/>
      <c r="GIP2488" s="61"/>
      <c r="GIQ2488" s="58"/>
      <c r="GIR2488" s="58"/>
      <c r="GIS2488" s="58"/>
      <c r="GIT2488" s="60"/>
      <c r="GIU2488" s="60"/>
      <c r="GIV2488" s="60"/>
      <c r="GIW2488" s="58"/>
      <c r="GIX2488" s="61"/>
      <c r="GIY2488" s="58"/>
      <c r="GIZ2488" s="58"/>
      <c r="GJA2488" s="58"/>
      <c r="GJB2488" s="60"/>
      <c r="GJC2488" s="60"/>
      <c r="GJD2488" s="60"/>
      <c r="GJE2488" s="58"/>
      <c r="GJF2488" s="61"/>
      <c r="GJG2488" s="58"/>
      <c r="GJH2488" s="58"/>
      <c r="GJI2488" s="58"/>
      <c r="GJJ2488" s="60"/>
      <c r="GJK2488" s="60"/>
      <c r="GJL2488" s="60"/>
      <c r="GJM2488" s="58"/>
      <c r="GJN2488" s="61"/>
      <c r="GJO2488" s="58"/>
      <c r="GJP2488" s="58"/>
      <c r="GJQ2488" s="58"/>
      <c r="GJR2488" s="60"/>
      <c r="GJS2488" s="60"/>
      <c r="GJT2488" s="60"/>
      <c r="GJU2488" s="58"/>
      <c r="GJV2488" s="61"/>
      <c r="GJW2488" s="58"/>
      <c r="GJX2488" s="58"/>
      <c r="GJY2488" s="58"/>
      <c r="GJZ2488" s="60"/>
      <c r="GKA2488" s="60"/>
      <c r="GKB2488" s="60"/>
      <c r="GKC2488" s="58"/>
      <c r="GKD2488" s="61"/>
      <c r="GKE2488" s="58"/>
      <c r="GKF2488" s="58"/>
      <c r="GKG2488" s="58"/>
      <c r="GKH2488" s="60"/>
      <c r="GKI2488" s="60"/>
      <c r="GKJ2488" s="60"/>
      <c r="GKK2488" s="58"/>
      <c r="GKL2488" s="61"/>
      <c r="GKM2488" s="58"/>
      <c r="GKN2488" s="58"/>
      <c r="GKO2488" s="58"/>
      <c r="GKP2488" s="60"/>
      <c r="GKQ2488" s="60"/>
      <c r="GKR2488" s="60"/>
      <c r="GKS2488" s="58"/>
      <c r="GKT2488" s="61"/>
      <c r="GKU2488" s="58"/>
      <c r="GKV2488" s="58"/>
      <c r="GKW2488" s="58"/>
      <c r="GKX2488" s="60"/>
      <c r="GKY2488" s="60"/>
      <c r="GKZ2488" s="60"/>
      <c r="GLA2488" s="58"/>
      <c r="GLB2488" s="61"/>
      <c r="GLC2488" s="58"/>
      <c r="GLD2488" s="58"/>
      <c r="GLE2488" s="58"/>
      <c r="GLF2488" s="60"/>
      <c r="GLG2488" s="60"/>
      <c r="GLH2488" s="60"/>
      <c r="GLI2488" s="58"/>
      <c r="GLJ2488" s="61"/>
      <c r="GLK2488" s="58"/>
      <c r="GLL2488" s="58"/>
      <c r="GLM2488" s="58"/>
      <c r="GLN2488" s="60"/>
      <c r="GLO2488" s="60"/>
      <c r="GLP2488" s="60"/>
      <c r="GLQ2488" s="58"/>
      <c r="GLR2488" s="61"/>
      <c r="GLS2488" s="58"/>
      <c r="GLT2488" s="58"/>
      <c r="GLU2488" s="58"/>
      <c r="GLV2488" s="60"/>
      <c r="GLW2488" s="60"/>
      <c r="GLX2488" s="60"/>
      <c r="GLY2488" s="58"/>
      <c r="GLZ2488" s="61"/>
      <c r="GMA2488" s="58"/>
      <c r="GMB2488" s="58"/>
      <c r="GMC2488" s="58"/>
      <c r="GMD2488" s="60"/>
      <c r="GME2488" s="60"/>
      <c r="GMF2488" s="60"/>
      <c r="GMG2488" s="58"/>
      <c r="GMH2488" s="61"/>
      <c r="GMI2488" s="58"/>
      <c r="GMJ2488" s="58"/>
      <c r="GMK2488" s="58"/>
      <c r="GML2488" s="60"/>
      <c r="GMM2488" s="60"/>
      <c r="GMN2488" s="60"/>
      <c r="GMO2488" s="58"/>
      <c r="GMP2488" s="61"/>
      <c r="GMQ2488" s="58"/>
      <c r="GMR2488" s="58"/>
      <c r="GMS2488" s="58"/>
      <c r="GMT2488" s="60"/>
      <c r="GMU2488" s="60"/>
      <c r="GMV2488" s="60"/>
      <c r="GMW2488" s="58"/>
      <c r="GMX2488" s="61"/>
      <c r="GMY2488" s="58"/>
      <c r="GMZ2488" s="58"/>
      <c r="GNA2488" s="58"/>
      <c r="GNB2488" s="60"/>
      <c r="GNC2488" s="60"/>
      <c r="GND2488" s="60"/>
      <c r="GNE2488" s="58"/>
      <c r="GNF2488" s="61"/>
      <c r="GNG2488" s="58"/>
      <c r="GNH2488" s="58"/>
      <c r="GNI2488" s="58"/>
      <c r="GNJ2488" s="60"/>
      <c r="GNK2488" s="60"/>
      <c r="GNL2488" s="60"/>
      <c r="GNM2488" s="58"/>
      <c r="GNN2488" s="61"/>
      <c r="GNO2488" s="58"/>
      <c r="GNP2488" s="58"/>
      <c r="GNQ2488" s="58"/>
      <c r="GNR2488" s="60"/>
      <c r="GNS2488" s="60"/>
      <c r="GNT2488" s="60"/>
      <c r="GNU2488" s="58"/>
      <c r="GNV2488" s="61"/>
      <c r="GNW2488" s="58"/>
      <c r="GNX2488" s="58"/>
      <c r="GNY2488" s="58"/>
      <c r="GNZ2488" s="60"/>
      <c r="GOA2488" s="60"/>
      <c r="GOB2488" s="60"/>
      <c r="GOC2488" s="58"/>
      <c r="GOD2488" s="61"/>
      <c r="GOE2488" s="58"/>
      <c r="GOF2488" s="58"/>
      <c r="GOG2488" s="58"/>
      <c r="GOH2488" s="60"/>
      <c r="GOI2488" s="60"/>
      <c r="GOJ2488" s="60"/>
      <c r="GOK2488" s="58"/>
      <c r="GOL2488" s="61"/>
      <c r="GOM2488" s="58"/>
      <c r="GON2488" s="58"/>
      <c r="GOO2488" s="58"/>
      <c r="GOP2488" s="60"/>
      <c r="GOQ2488" s="60"/>
      <c r="GOR2488" s="60"/>
      <c r="GOS2488" s="58"/>
      <c r="GOT2488" s="61"/>
      <c r="GOU2488" s="58"/>
      <c r="GOV2488" s="58"/>
      <c r="GOW2488" s="58"/>
      <c r="GOX2488" s="60"/>
      <c r="GOY2488" s="60"/>
      <c r="GOZ2488" s="60"/>
      <c r="GPA2488" s="58"/>
      <c r="GPB2488" s="61"/>
      <c r="GPC2488" s="58"/>
      <c r="GPD2488" s="58"/>
      <c r="GPE2488" s="58"/>
      <c r="GPF2488" s="60"/>
      <c r="GPG2488" s="60"/>
      <c r="GPH2488" s="60"/>
      <c r="GPI2488" s="58"/>
      <c r="GPJ2488" s="61"/>
      <c r="GPK2488" s="58"/>
      <c r="GPL2488" s="58"/>
      <c r="GPM2488" s="58"/>
      <c r="GPN2488" s="60"/>
      <c r="GPO2488" s="60"/>
      <c r="GPP2488" s="60"/>
      <c r="GPQ2488" s="58"/>
      <c r="GPR2488" s="61"/>
      <c r="GPS2488" s="58"/>
      <c r="GPT2488" s="58"/>
      <c r="GPU2488" s="58"/>
      <c r="GPV2488" s="60"/>
      <c r="GPW2488" s="60"/>
      <c r="GPX2488" s="60"/>
      <c r="GPY2488" s="58"/>
      <c r="GPZ2488" s="61"/>
      <c r="GQA2488" s="58"/>
      <c r="GQB2488" s="58"/>
      <c r="GQC2488" s="58"/>
      <c r="GQD2488" s="60"/>
      <c r="GQE2488" s="60"/>
      <c r="GQF2488" s="60"/>
      <c r="GQG2488" s="58"/>
      <c r="GQH2488" s="61"/>
      <c r="GQI2488" s="58"/>
      <c r="GQJ2488" s="58"/>
      <c r="GQK2488" s="58"/>
      <c r="GQL2488" s="60"/>
      <c r="GQM2488" s="60"/>
      <c r="GQN2488" s="60"/>
      <c r="GQO2488" s="58"/>
      <c r="GQP2488" s="61"/>
      <c r="GQQ2488" s="58"/>
      <c r="GQR2488" s="58"/>
      <c r="GQS2488" s="58"/>
      <c r="GQT2488" s="60"/>
      <c r="GQU2488" s="60"/>
      <c r="GQV2488" s="60"/>
      <c r="GQW2488" s="58"/>
      <c r="GQX2488" s="61"/>
      <c r="GQY2488" s="58"/>
      <c r="GQZ2488" s="58"/>
      <c r="GRA2488" s="58"/>
      <c r="GRB2488" s="60"/>
      <c r="GRC2488" s="60"/>
      <c r="GRD2488" s="60"/>
      <c r="GRE2488" s="58"/>
      <c r="GRF2488" s="61"/>
      <c r="GRG2488" s="58"/>
      <c r="GRH2488" s="58"/>
      <c r="GRI2488" s="58"/>
      <c r="GRJ2488" s="60"/>
      <c r="GRK2488" s="60"/>
      <c r="GRL2488" s="60"/>
      <c r="GRM2488" s="58"/>
      <c r="GRN2488" s="61"/>
      <c r="GRO2488" s="58"/>
      <c r="GRP2488" s="58"/>
      <c r="GRQ2488" s="58"/>
      <c r="GRR2488" s="60"/>
      <c r="GRS2488" s="60"/>
      <c r="GRT2488" s="60"/>
      <c r="GRU2488" s="58"/>
      <c r="GRV2488" s="61"/>
      <c r="GRW2488" s="58"/>
      <c r="GRX2488" s="58"/>
      <c r="GRY2488" s="58"/>
      <c r="GRZ2488" s="60"/>
      <c r="GSA2488" s="60"/>
      <c r="GSB2488" s="60"/>
      <c r="GSC2488" s="58"/>
      <c r="GSD2488" s="61"/>
      <c r="GSE2488" s="58"/>
      <c r="GSF2488" s="58"/>
      <c r="GSG2488" s="58"/>
      <c r="GSH2488" s="60"/>
      <c r="GSI2488" s="60"/>
      <c r="GSJ2488" s="60"/>
      <c r="GSK2488" s="58"/>
      <c r="GSL2488" s="61"/>
      <c r="GSM2488" s="58"/>
      <c r="GSN2488" s="58"/>
      <c r="GSO2488" s="58"/>
      <c r="GSP2488" s="60"/>
      <c r="GSQ2488" s="60"/>
      <c r="GSR2488" s="60"/>
      <c r="GSS2488" s="58"/>
      <c r="GST2488" s="61"/>
      <c r="GSU2488" s="58"/>
      <c r="GSV2488" s="58"/>
      <c r="GSW2488" s="58"/>
      <c r="GSX2488" s="60"/>
      <c r="GSY2488" s="60"/>
      <c r="GSZ2488" s="60"/>
      <c r="GTA2488" s="58"/>
      <c r="GTB2488" s="61"/>
      <c r="GTC2488" s="58"/>
      <c r="GTD2488" s="58"/>
      <c r="GTE2488" s="58"/>
      <c r="GTF2488" s="60"/>
      <c r="GTG2488" s="60"/>
      <c r="GTH2488" s="60"/>
      <c r="GTI2488" s="58"/>
      <c r="GTJ2488" s="61"/>
      <c r="GTK2488" s="58"/>
      <c r="GTL2488" s="58"/>
      <c r="GTM2488" s="58"/>
      <c r="GTN2488" s="60"/>
      <c r="GTO2488" s="60"/>
      <c r="GTP2488" s="60"/>
      <c r="GTQ2488" s="58"/>
      <c r="GTR2488" s="61"/>
      <c r="GTS2488" s="58"/>
      <c r="GTT2488" s="58"/>
      <c r="GTU2488" s="58"/>
      <c r="GTV2488" s="60"/>
      <c r="GTW2488" s="60"/>
      <c r="GTX2488" s="60"/>
      <c r="GTY2488" s="58"/>
      <c r="GTZ2488" s="61"/>
      <c r="GUA2488" s="58"/>
      <c r="GUB2488" s="58"/>
      <c r="GUC2488" s="58"/>
      <c r="GUD2488" s="60"/>
      <c r="GUE2488" s="60"/>
      <c r="GUF2488" s="60"/>
      <c r="GUG2488" s="58"/>
      <c r="GUH2488" s="61"/>
      <c r="GUI2488" s="58"/>
      <c r="GUJ2488" s="58"/>
      <c r="GUK2488" s="58"/>
      <c r="GUL2488" s="60"/>
      <c r="GUM2488" s="60"/>
      <c r="GUN2488" s="60"/>
      <c r="GUO2488" s="58"/>
      <c r="GUP2488" s="61"/>
      <c r="GUQ2488" s="58"/>
      <c r="GUR2488" s="58"/>
      <c r="GUS2488" s="58"/>
      <c r="GUT2488" s="60"/>
      <c r="GUU2488" s="60"/>
      <c r="GUV2488" s="60"/>
      <c r="GUW2488" s="58"/>
      <c r="GUX2488" s="61"/>
      <c r="GUY2488" s="58"/>
      <c r="GUZ2488" s="58"/>
      <c r="GVA2488" s="58"/>
      <c r="GVB2488" s="60"/>
      <c r="GVC2488" s="60"/>
      <c r="GVD2488" s="60"/>
      <c r="GVE2488" s="58"/>
      <c r="GVF2488" s="61"/>
      <c r="GVG2488" s="58"/>
      <c r="GVH2488" s="58"/>
      <c r="GVI2488" s="58"/>
      <c r="GVJ2488" s="60"/>
      <c r="GVK2488" s="60"/>
      <c r="GVL2488" s="60"/>
      <c r="GVM2488" s="58"/>
      <c r="GVN2488" s="61"/>
      <c r="GVO2488" s="58"/>
      <c r="GVP2488" s="58"/>
      <c r="GVQ2488" s="58"/>
      <c r="GVR2488" s="60"/>
      <c r="GVS2488" s="60"/>
      <c r="GVT2488" s="60"/>
      <c r="GVU2488" s="58"/>
      <c r="GVV2488" s="61"/>
      <c r="GVW2488" s="58"/>
      <c r="GVX2488" s="58"/>
      <c r="GVY2488" s="58"/>
      <c r="GVZ2488" s="60"/>
      <c r="GWA2488" s="60"/>
      <c r="GWB2488" s="60"/>
      <c r="GWC2488" s="58"/>
      <c r="GWD2488" s="61"/>
      <c r="GWE2488" s="58"/>
      <c r="GWF2488" s="58"/>
      <c r="GWG2488" s="58"/>
      <c r="GWH2488" s="60"/>
      <c r="GWI2488" s="60"/>
      <c r="GWJ2488" s="60"/>
      <c r="GWK2488" s="58"/>
      <c r="GWL2488" s="61"/>
      <c r="GWM2488" s="58"/>
      <c r="GWN2488" s="58"/>
      <c r="GWO2488" s="58"/>
      <c r="GWP2488" s="60"/>
      <c r="GWQ2488" s="60"/>
      <c r="GWR2488" s="60"/>
      <c r="GWS2488" s="58"/>
      <c r="GWT2488" s="61"/>
      <c r="GWU2488" s="58"/>
      <c r="GWV2488" s="58"/>
      <c r="GWW2488" s="58"/>
      <c r="GWX2488" s="60"/>
      <c r="GWY2488" s="60"/>
      <c r="GWZ2488" s="60"/>
      <c r="GXA2488" s="58"/>
      <c r="GXB2488" s="61"/>
      <c r="GXC2488" s="58"/>
      <c r="GXD2488" s="58"/>
      <c r="GXE2488" s="58"/>
      <c r="GXF2488" s="60"/>
      <c r="GXG2488" s="60"/>
      <c r="GXH2488" s="60"/>
      <c r="GXI2488" s="58"/>
      <c r="GXJ2488" s="61"/>
      <c r="GXK2488" s="58"/>
      <c r="GXL2488" s="58"/>
      <c r="GXM2488" s="58"/>
      <c r="GXN2488" s="60"/>
      <c r="GXO2488" s="60"/>
      <c r="GXP2488" s="60"/>
      <c r="GXQ2488" s="58"/>
      <c r="GXR2488" s="61"/>
      <c r="GXS2488" s="58"/>
      <c r="GXT2488" s="58"/>
      <c r="GXU2488" s="58"/>
      <c r="GXV2488" s="60"/>
      <c r="GXW2488" s="60"/>
      <c r="GXX2488" s="60"/>
      <c r="GXY2488" s="58"/>
      <c r="GXZ2488" s="61"/>
      <c r="GYA2488" s="58"/>
      <c r="GYB2488" s="58"/>
      <c r="GYC2488" s="58"/>
      <c r="GYD2488" s="60"/>
      <c r="GYE2488" s="60"/>
      <c r="GYF2488" s="60"/>
      <c r="GYG2488" s="58"/>
      <c r="GYH2488" s="61"/>
      <c r="GYI2488" s="58"/>
      <c r="GYJ2488" s="58"/>
      <c r="GYK2488" s="58"/>
      <c r="GYL2488" s="60"/>
      <c r="GYM2488" s="60"/>
      <c r="GYN2488" s="60"/>
      <c r="GYO2488" s="58"/>
      <c r="GYP2488" s="61"/>
      <c r="GYQ2488" s="58"/>
      <c r="GYR2488" s="58"/>
      <c r="GYS2488" s="58"/>
      <c r="GYT2488" s="60"/>
      <c r="GYU2488" s="60"/>
      <c r="GYV2488" s="60"/>
      <c r="GYW2488" s="58"/>
      <c r="GYX2488" s="61"/>
      <c r="GYY2488" s="58"/>
      <c r="GYZ2488" s="58"/>
      <c r="GZA2488" s="58"/>
      <c r="GZB2488" s="60"/>
      <c r="GZC2488" s="60"/>
      <c r="GZD2488" s="60"/>
      <c r="GZE2488" s="58"/>
      <c r="GZF2488" s="61"/>
      <c r="GZG2488" s="58"/>
      <c r="GZH2488" s="58"/>
      <c r="GZI2488" s="58"/>
      <c r="GZJ2488" s="60"/>
      <c r="GZK2488" s="60"/>
      <c r="GZL2488" s="60"/>
      <c r="GZM2488" s="58"/>
      <c r="GZN2488" s="61"/>
      <c r="GZO2488" s="58"/>
      <c r="GZP2488" s="58"/>
      <c r="GZQ2488" s="58"/>
      <c r="GZR2488" s="60"/>
      <c r="GZS2488" s="60"/>
      <c r="GZT2488" s="60"/>
      <c r="GZU2488" s="58"/>
      <c r="GZV2488" s="61"/>
      <c r="GZW2488" s="58"/>
      <c r="GZX2488" s="58"/>
      <c r="GZY2488" s="58"/>
      <c r="GZZ2488" s="60"/>
      <c r="HAA2488" s="60"/>
      <c r="HAB2488" s="60"/>
      <c r="HAC2488" s="58"/>
      <c r="HAD2488" s="61"/>
      <c r="HAE2488" s="58"/>
      <c r="HAF2488" s="58"/>
      <c r="HAG2488" s="58"/>
      <c r="HAH2488" s="60"/>
      <c r="HAI2488" s="60"/>
      <c r="HAJ2488" s="60"/>
      <c r="HAK2488" s="58"/>
      <c r="HAL2488" s="61"/>
      <c r="HAM2488" s="58"/>
      <c r="HAN2488" s="58"/>
      <c r="HAO2488" s="58"/>
      <c r="HAP2488" s="60"/>
      <c r="HAQ2488" s="60"/>
      <c r="HAR2488" s="60"/>
      <c r="HAS2488" s="58"/>
      <c r="HAT2488" s="61"/>
      <c r="HAU2488" s="58"/>
      <c r="HAV2488" s="58"/>
      <c r="HAW2488" s="58"/>
      <c r="HAX2488" s="60"/>
      <c r="HAY2488" s="60"/>
      <c r="HAZ2488" s="60"/>
      <c r="HBA2488" s="58"/>
      <c r="HBB2488" s="61"/>
      <c r="HBC2488" s="58"/>
      <c r="HBD2488" s="58"/>
      <c r="HBE2488" s="58"/>
      <c r="HBF2488" s="60"/>
      <c r="HBG2488" s="60"/>
      <c r="HBH2488" s="60"/>
      <c r="HBI2488" s="58"/>
      <c r="HBJ2488" s="61"/>
      <c r="HBK2488" s="58"/>
      <c r="HBL2488" s="58"/>
      <c r="HBM2488" s="58"/>
      <c r="HBN2488" s="60"/>
      <c r="HBO2488" s="60"/>
      <c r="HBP2488" s="60"/>
      <c r="HBQ2488" s="58"/>
      <c r="HBR2488" s="61"/>
      <c r="HBS2488" s="58"/>
      <c r="HBT2488" s="58"/>
      <c r="HBU2488" s="58"/>
      <c r="HBV2488" s="60"/>
      <c r="HBW2488" s="60"/>
      <c r="HBX2488" s="60"/>
      <c r="HBY2488" s="58"/>
      <c r="HBZ2488" s="61"/>
      <c r="HCA2488" s="58"/>
      <c r="HCB2488" s="58"/>
      <c r="HCC2488" s="58"/>
      <c r="HCD2488" s="60"/>
      <c r="HCE2488" s="60"/>
      <c r="HCF2488" s="60"/>
      <c r="HCG2488" s="58"/>
      <c r="HCH2488" s="61"/>
      <c r="HCI2488" s="58"/>
      <c r="HCJ2488" s="58"/>
      <c r="HCK2488" s="58"/>
      <c r="HCL2488" s="60"/>
      <c r="HCM2488" s="60"/>
      <c r="HCN2488" s="60"/>
      <c r="HCO2488" s="58"/>
      <c r="HCP2488" s="61"/>
      <c r="HCQ2488" s="58"/>
      <c r="HCR2488" s="58"/>
      <c r="HCS2488" s="58"/>
      <c r="HCT2488" s="60"/>
      <c r="HCU2488" s="60"/>
      <c r="HCV2488" s="60"/>
      <c r="HCW2488" s="58"/>
      <c r="HCX2488" s="61"/>
      <c r="HCY2488" s="58"/>
      <c r="HCZ2488" s="58"/>
      <c r="HDA2488" s="58"/>
      <c r="HDB2488" s="60"/>
      <c r="HDC2488" s="60"/>
      <c r="HDD2488" s="60"/>
      <c r="HDE2488" s="58"/>
      <c r="HDF2488" s="61"/>
      <c r="HDG2488" s="58"/>
      <c r="HDH2488" s="58"/>
      <c r="HDI2488" s="58"/>
      <c r="HDJ2488" s="60"/>
      <c r="HDK2488" s="60"/>
      <c r="HDL2488" s="60"/>
      <c r="HDM2488" s="58"/>
      <c r="HDN2488" s="61"/>
      <c r="HDO2488" s="58"/>
      <c r="HDP2488" s="58"/>
      <c r="HDQ2488" s="58"/>
      <c r="HDR2488" s="60"/>
      <c r="HDS2488" s="60"/>
      <c r="HDT2488" s="60"/>
      <c r="HDU2488" s="58"/>
      <c r="HDV2488" s="61"/>
      <c r="HDW2488" s="58"/>
      <c r="HDX2488" s="58"/>
      <c r="HDY2488" s="58"/>
      <c r="HDZ2488" s="60"/>
      <c r="HEA2488" s="60"/>
      <c r="HEB2488" s="60"/>
      <c r="HEC2488" s="58"/>
      <c r="HED2488" s="61"/>
      <c r="HEE2488" s="58"/>
      <c r="HEF2488" s="58"/>
      <c r="HEG2488" s="58"/>
      <c r="HEH2488" s="60"/>
      <c r="HEI2488" s="60"/>
      <c r="HEJ2488" s="60"/>
      <c r="HEK2488" s="58"/>
      <c r="HEL2488" s="61"/>
      <c r="HEM2488" s="58"/>
      <c r="HEN2488" s="58"/>
      <c r="HEO2488" s="58"/>
      <c r="HEP2488" s="60"/>
      <c r="HEQ2488" s="60"/>
      <c r="HER2488" s="60"/>
      <c r="HES2488" s="58"/>
      <c r="HET2488" s="61"/>
      <c r="HEU2488" s="58"/>
      <c r="HEV2488" s="58"/>
      <c r="HEW2488" s="58"/>
      <c r="HEX2488" s="60"/>
      <c r="HEY2488" s="60"/>
      <c r="HEZ2488" s="60"/>
      <c r="HFA2488" s="58"/>
      <c r="HFB2488" s="61"/>
      <c r="HFC2488" s="58"/>
      <c r="HFD2488" s="58"/>
      <c r="HFE2488" s="58"/>
      <c r="HFF2488" s="60"/>
      <c r="HFG2488" s="60"/>
      <c r="HFH2488" s="60"/>
      <c r="HFI2488" s="58"/>
      <c r="HFJ2488" s="61"/>
      <c r="HFK2488" s="58"/>
      <c r="HFL2488" s="58"/>
      <c r="HFM2488" s="58"/>
      <c r="HFN2488" s="60"/>
      <c r="HFO2488" s="60"/>
      <c r="HFP2488" s="60"/>
      <c r="HFQ2488" s="58"/>
      <c r="HFR2488" s="61"/>
      <c r="HFS2488" s="58"/>
      <c r="HFT2488" s="58"/>
      <c r="HFU2488" s="58"/>
      <c r="HFV2488" s="60"/>
      <c r="HFW2488" s="60"/>
      <c r="HFX2488" s="60"/>
      <c r="HFY2488" s="58"/>
      <c r="HFZ2488" s="61"/>
      <c r="HGA2488" s="58"/>
      <c r="HGB2488" s="58"/>
      <c r="HGC2488" s="58"/>
      <c r="HGD2488" s="60"/>
      <c r="HGE2488" s="60"/>
      <c r="HGF2488" s="60"/>
      <c r="HGG2488" s="58"/>
      <c r="HGH2488" s="61"/>
      <c r="HGI2488" s="58"/>
      <c r="HGJ2488" s="58"/>
      <c r="HGK2488" s="58"/>
      <c r="HGL2488" s="60"/>
      <c r="HGM2488" s="60"/>
      <c r="HGN2488" s="60"/>
      <c r="HGO2488" s="58"/>
      <c r="HGP2488" s="61"/>
      <c r="HGQ2488" s="58"/>
      <c r="HGR2488" s="58"/>
      <c r="HGS2488" s="58"/>
      <c r="HGT2488" s="60"/>
      <c r="HGU2488" s="60"/>
      <c r="HGV2488" s="60"/>
      <c r="HGW2488" s="58"/>
      <c r="HGX2488" s="61"/>
      <c r="HGY2488" s="58"/>
      <c r="HGZ2488" s="58"/>
      <c r="HHA2488" s="58"/>
      <c r="HHB2488" s="60"/>
      <c r="HHC2488" s="60"/>
      <c r="HHD2488" s="60"/>
      <c r="HHE2488" s="58"/>
      <c r="HHF2488" s="61"/>
      <c r="HHG2488" s="58"/>
      <c r="HHH2488" s="58"/>
      <c r="HHI2488" s="58"/>
      <c r="HHJ2488" s="60"/>
      <c r="HHK2488" s="60"/>
      <c r="HHL2488" s="60"/>
      <c r="HHM2488" s="58"/>
      <c r="HHN2488" s="61"/>
      <c r="HHO2488" s="58"/>
      <c r="HHP2488" s="58"/>
      <c r="HHQ2488" s="58"/>
      <c r="HHR2488" s="60"/>
      <c r="HHS2488" s="60"/>
      <c r="HHT2488" s="60"/>
      <c r="HHU2488" s="58"/>
      <c r="HHV2488" s="61"/>
      <c r="HHW2488" s="58"/>
      <c r="HHX2488" s="58"/>
      <c r="HHY2488" s="58"/>
      <c r="HHZ2488" s="60"/>
      <c r="HIA2488" s="60"/>
      <c r="HIB2488" s="60"/>
      <c r="HIC2488" s="58"/>
      <c r="HID2488" s="61"/>
      <c r="HIE2488" s="58"/>
      <c r="HIF2488" s="58"/>
      <c r="HIG2488" s="58"/>
      <c r="HIH2488" s="60"/>
      <c r="HII2488" s="60"/>
      <c r="HIJ2488" s="60"/>
      <c r="HIK2488" s="58"/>
      <c r="HIL2488" s="61"/>
      <c r="HIM2488" s="58"/>
      <c r="HIN2488" s="58"/>
      <c r="HIO2488" s="58"/>
      <c r="HIP2488" s="60"/>
      <c r="HIQ2488" s="60"/>
      <c r="HIR2488" s="60"/>
      <c r="HIS2488" s="58"/>
      <c r="HIT2488" s="61"/>
      <c r="HIU2488" s="58"/>
      <c r="HIV2488" s="58"/>
      <c r="HIW2488" s="58"/>
      <c r="HIX2488" s="60"/>
      <c r="HIY2488" s="60"/>
      <c r="HIZ2488" s="60"/>
      <c r="HJA2488" s="58"/>
      <c r="HJB2488" s="61"/>
      <c r="HJC2488" s="58"/>
      <c r="HJD2488" s="58"/>
      <c r="HJE2488" s="58"/>
      <c r="HJF2488" s="60"/>
      <c r="HJG2488" s="60"/>
      <c r="HJH2488" s="60"/>
      <c r="HJI2488" s="58"/>
      <c r="HJJ2488" s="61"/>
      <c r="HJK2488" s="58"/>
      <c r="HJL2488" s="58"/>
      <c r="HJM2488" s="58"/>
      <c r="HJN2488" s="60"/>
      <c r="HJO2488" s="60"/>
      <c r="HJP2488" s="60"/>
      <c r="HJQ2488" s="58"/>
      <c r="HJR2488" s="61"/>
      <c r="HJS2488" s="58"/>
      <c r="HJT2488" s="58"/>
      <c r="HJU2488" s="58"/>
      <c r="HJV2488" s="60"/>
      <c r="HJW2488" s="60"/>
      <c r="HJX2488" s="60"/>
      <c r="HJY2488" s="58"/>
      <c r="HJZ2488" s="61"/>
      <c r="HKA2488" s="58"/>
      <c r="HKB2488" s="58"/>
      <c r="HKC2488" s="58"/>
      <c r="HKD2488" s="60"/>
      <c r="HKE2488" s="60"/>
      <c r="HKF2488" s="60"/>
      <c r="HKG2488" s="58"/>
      <c r="HKH2488" s="61"/>
      <c r="HKI2488" s="58"/>
      <c r="HKJ2488" s="58"/>
      <c r="HKK2488" s="58"/>
      <c r="HKL2488" s="60"/>
      <c r="HKM2488" s="60"/>
      <c r="HKN2488" s="60"/>
      <c r="HKO2488" s="58"/>
      <c r="HKP2488" s="61"/>
      <c r="HKQ2488" s="58"/>
      <c r="HKR2488" s="58"/>
      <c r="HKS2488" s="58"/>
      <c r="HKT2488" s="60"/>
      <c r="HKU2488" s="60"/>
      <c r="HKV2488" s="60"/>
      <c r="HKW2488" s="58"/>
      <c r="HKX2488" s="61"/>
      <c r="HKY2488" s="58"/>
      <c r="HKZ2488" s="58"/>
      <c r="HLA2488" s="58"/>
      <c r="HLB2488" s="60"/>
      <c r="HLC2488" s="60"/>
      <c r="HLD2488" s="60"/>
      <c r="HLE2488" s="58"/>
      <c r="HLF2488" s="61"/>
      <c r="HLG2488" s="58"/>
      <c r="HLH2488" s="58"/>
      <c r="HLI2488" s="58"/>
      <c r="HLJ2488" s="60"/>
      <c r="HLK2488" s="60"/>
      <c r="HLL2488" s="60"/>
      <c r="HLM2488" s="58"/>
      <c r="HLN2488" s="61"/>
      <c r="HLO2488" s="58"/>
      <c r="HLP2488" s="58"/>
      <c r="HLQ2488" s="58"/>
      <c r="HLR2488" s="60"/>
      <c r="HLS2488" s="60"/>
      <c r="HLT2488" s="60"/>
      <c r="HLU2488" s="58"/>
      <c r="HLV2488" s="61"/>
      <c r="HLW2488" s="58"/>
      <c r="HLX2488" s="58"/>
      <c r="HLY2488" s="58"/>
      <c r="HLZ2488" s="60"/>
      <c r="HMA2488" s="60"/>
      <c r="HMB2488" s="60"/>
      <c r="HMC2488" s="58"/>
      <c r="HMD2488" s="61"/>
      <c r="HME2488" s="58"/>
      <c r="HMF2488" s="58"/>
      <c r="HMG2488" s="58"/>
      <c r="HMH2488" s="60"/>
      <c r="HMI2488" s="60"/>
      <c r="HMJ2488" s="60"/>
      <c r="HMK2488" s="58"/>
      <c r="HML2488" s="61"/>
      <c r="HMM2488" s="58"/>
      <c r="HMN2488" s="58"/>
      <c r="HMO2488" s="58"/>
      <c r="HMP2488" s="60"/>
      <c r="HMQ2488" s="60"/>
      <c r="HMR2488" s="60"/>
      <c r="HMS2488" s="58"/>
      <c r="HMT2488" s="61"/>
      <c r="HMU2488" s="58"/>
      <c r="HMV2488" s="58"/>
      <c r="HMW2488" s="58"/>
      <c r="HMX2488" s="60"/>
      <c r="HMY2488" s="60"/>
      <c r="HMZ2488" s="60"/>
      <c r="HNA2488" s="58"/>
      <c r="HNB2488" s="61"/>
      <c r="HNC2488" s="58"/>
      <c r="HND2488" s="58"/>
      <c r="HNE2488" s="58"/>
      <c r="HNF2488" s="60"/>
      <c r="HNG2488" s="60"/>
      <c r="HNH2488" s="60"/>
      <c r="HNI2488" s="58"/>
      <c r="HNJ2488" s="61"/>
      <c r="HNK2488" s="58"/>
      <c r="HNL2488" s="58"/>
      <c r="HNM2488" s="58"/>
      <c r="HNN2488" s="60"/>
      <c r="HNO2488" s="60"/>
      <c r="HNP2488" s="60"/>
      <c r="HNQ2488" s="58"/>
      <c r="HNR2488" s="61"/>
      <c r="HNS2488" s="58"/>
      <c r="HNT2488" s="58"/>
      <c r="HNU2488" s="58"/>
      <c r="HNV2488" s="60"/>
      <c r="HNW2488" s="60"/>
      <c r="HNX2488" s="60"/>
      <c r="HNY2488" s="58"/>
      <c r="HNZ2488" s="61"/>
      <c r="HOA2488" s="58"/>
      <c r="HOB2488" s="58"/>
      <c r="HOC2488" s="58"/>
      <c r="HOD2488" s="60"/>
      <c r="HOE2488" s="60"/>
      <c r="HOF2488" s="60"/>
      <c r="HOG2488" s="58"/>
      <c r="HOH2488" s="61"/>
      <c r="HOI2488" s="58"/>
      <c r="HOJ2488" s="58"/>
      <c r="HOK2488" s="58"/>
      <c r="HOL2488" s="60"/>
      <c r="HOM2488" s="60"/>
      <c r="HON2488" s="60"/>
      <c r="HOO2488" s="58"/>
      <c r="HOP2488" s="61"/>
      <c r="HOQ2488" s="58"/>
      <c r="HOR2488" s="58"/>
      <c r="HOS2488" s="58"/>
      <c r="HOT2488" s="60"/>
      <c r="HOU2488" s="60"/>
      <c r="HOV2488" s="60"/>
      <c r="HOW2488" s="58"/>
      <c r="HOX2488" s="61"/>
      <c r="HOY2488" s="58"/>
      <c r="HOZ2488" s="58"/>
      <c r="HPA2488" s="58"/>
      <c r="HPB2488" s="60"/>
      <c r="HPC2488" s="60"/>
      <c r="HPD2488" s="60"/>
      <c r="HPE2488" s="58"/>
      <c r="HPF2488" s="61"/>
      <c r="HPG2488" s="58"/>
      <c r="HPH2488" s="58"/>
      <c r="HPI2488" s="58"/>
      <c r="HPJ2488" s="60"/>
      <c r="HPK2488" s="60"/>
      <c r="HPL2488" s="60"/>
      <c r="HPM2488" s="58"/>
      <c r="HPN2488" s="61"/>
      <c r="HPO2488" s="58"/>
      <c r="HPP2488" s="58"/>
      <c r="HPQ2488" s="58"/>
      <c r="HPR2488" s="60"/>
      <c r="HPS2488" s="60"/>
      <c r="HPT2488" s="60"/>
      <c r="HPU2488" s="58"/>
      <c r="HPV2488" s="61"/>
      <c r="HPW2488" s="58"/>
      <c r="HPX2488" s="58"/>
      <c r="HPY2488" s="58"/>
      <c r="HPZ2488" s="60"/>
      <c r="HQA2488" s="60"/>
      <c r="HQB2488" s="60"/>
      <c r="HQC2488" s="58"/>
      <c r="HQD2488" s="61"/>
      <c r="HQE2488" s="58"/>
      <c r="HQF2488" s="58"/>
      <c r="HQG2488" s="58"/>
      <c r="HQH2488" s="60"/>
      <c r="HQI2488" s="60"/>
      <c r="HQJ2488" s="60"/>
      <c r="HQK2488" s="58"/>
      <c r="HQL2488" s="61"/>
      <c r="HQM2488" s="58"/>
      <c r="HQN2488" s="58"/>
      <c r="HQO2488" s="58"/>
      <c r="HQP2488" s="60"/>
      <c r="HQQ2488" s="60"/>
      <c r="HQR2488" s="60"/>
      <c r="HQS2488" s="58"/>
      <c r="HQT2488" s="61"/>
      <c r="HQU2488" s="58"/>
      <c r="HQV2488" s="58"/>
      <c r="HQW2488" s="58"/>
      <c r="HQX2488" s="60"/>
      <c r="HQY2488" s="60"/>
      <c r="HQZ2488" s="60"/>
      <c r="HRA2488" s="58"/>
      <c r="HRB2488" s="61"/>
      <c r="HRC2488" s="58"/>
      <c r="HRD2488" s="58"/>
      <c r="HRE2488" s="58"/>
      <c r="HRF2488" s="60"/>
      <c r="HRG2488" s="60"/>
      <c r="HRH2488" s="60"/>
      <c r="HRI2488" s="58"/>
      <c r="HRJ2488" s="61"/>
      <c r="HRK2488" s="58"/>
      <c r="HRL2488" s="58"/>
      <c r="HRM2488" s="58"/>
      <c r="HRN2488" s="60"/>
      <c r="HRO2488" s="60"/>
      <c r="HRP2488" s="60"/>
      <c r="HRQ2488" s="58"/>
      <c r="HRR2488" s="61"/>
      <c r="HRS2488" s="58"/>
      <c r="HRT2488" s="58"/>
      <c r="HRU2488" s="58"/>
      <c r="HRV2488" s="60"/>
      <c r="HRW2488" s="60"/>
      <c r="HRX2488" s="60"/>
      <c r="HRY2488" s="58"/>
      <c r="HRZ2488" s="61"/>
      <c r="HSA2488" s="58"/>
      <c r="HSB2488" s="58"/>
      <c r="HSC2488" s="58"/>
      <c r="HSD2488" s="60"/>
      <c r="HSE2488" s="60"/>
      <c r="HSF2488" s="60"/>
      <c r="HSG2488" s="58"/>
      <c r="HSH2488" s="61"/>
      <c r="HSI2488" s="58"/>
      <c r="HSJ2488" s="58"/>
      <c r="HSK2488" s="58"/>
      <c r="HSL2488" s="60"/>
      <c r="HSM2488" s="60"/>
      <c r="HSN2488" s="60"/>
      <c r="HSO2488" s="58"/>
      <c r="HSP2488" s="61"/>
      <c r="HSQ2488" s="58"/>
      <c r="HSR2488" s="58"/>
      <c r="HSS2488" s="58"/>
      <c r="HST2488" s="60"/>
      <c r="HSU2488" s="60"/>
      <c r="HSV2488" s="60"/>
      <c r="HSW2488" s="58"/>
      <c r="HSX2488" s="61"/>
      <c r="HSY2488" s="58"/>
      <c r="HSZ2488" s="58"/>
      <c r="HTA2488" s="58"/>
      <c r="HTB2488" s="60"/>
      <c r="HTC2488" s="60"/>
      <c r="HTD2488" s="60"/>
      <c r="HTE2488" s="58"/>
      <c r="HTF2488" s="61"/>
      <c r="HTG2488" s="58"/>
      <c r="HTH2488" s="58"/>
      <c r="HTI2488" s="58"/>
      <c r="HTJ2488" s="60"/>
      <c r="HTK2488" s="60"/>
      <c r="HTL2488" s="60"/>
      <c r="HTM2488" s="58"/>
      <c r="HTN2488" s="61"/>
      <c r="HTO2488" s="58"/>
      <c r="HTP2488" s="58"/>
      <c r="HTQ2488" s="58"/>
      <c r="HTR2488" s="60"/>
      <c r="HTS2488" s="60"/>
      <c r="HTT2488" s="60"/>
      <c r="HTU2488" s="58"/>
      <c r="HTV2488" s="61"/>
      <c r="HTW2488" s="58"/>
      <c r="HTX2488" s="58"/>
      <c r="HTY2488" s="58"/>
      <c r="HTZ2488" s="60"/>
      <c r="HUA2488" s="60"/>
      <c r="HUB2488" s="60"/>
      <c r="HUC2488" s="58"/>
      <c r="HUD2488" s="61"/>
      <c r="HUE2488" s="58"/>
      <c r="HUF2488" s="58"/>
      <c r="HUG2488" s="58"/>
      <c r="HUH2488" s="60"/>
      <c r="HUI2488" s="60"/>
      <c r="HUJ2488" s="60"/>
      <c r="HUK2488" s="58"/>
      <c r="HUL2488" s="61"/>
      <c r="HUM2488" s="58"/>
      <c r="HUN2488" s="58"/>
      <c r="HUO2488" s="58"/>
      <c r="HUP2488" s="60"/>
      <c r="HUQ2488" s="60"/>
      <c r="HUR2488" s="60"/>
      <c r="HUS2488" s="58"/>
      <c r="HUT2488" s="61"/>
      <c r="HUU2488" s="58"/>
      <c r="HUV2488" s="58"/>
      <c r="HUW2488" s="58"/>
      <c r="HUX2488" s="60"/>
      <c r="HUY2488" s="60"/>
      <c r="HUZ2488" s="60"/>
      <c r="HVA2488" s="58"/>
      <c r="HVB2488" s="61"/>
      <c r="HVC2488" s="58"/>
      <c r="HVD2488" s="58"/>
      <c r="HVE2488" s="58"/>
      <c r="HVF2488" s="60"/>
      <c r="HVG2488" s="60"/>
      <c r="HVH2488" s="60"/>
      <c r="HVI2488" s="58"/>
      <c r="HVJ2488" s="61"/>
      <c r="HVK2488" s="58"/>
      <c r="HVL2488" s="58"/>
      <c r="HVM2488" s="58"/>
      <c r="HVN2488" s="60"/>
      <c r="HVO2488" s="60"/>
      <c r="HVP2488" s="60"/>
      <c r="HVQ2488" s="58"/>
      <c r="HVR2488" s="61"/>
      <c r="HVS2488" s="58"/>
      <c r="HVT2488" s="58"/>
      <c r="HVU2488" s="58"/>
      <c r="HVV2488" s="60"/>
      <c r="HVW2488" s="60"/>
      <c r="HVX2488" s="60"/>
      <c r="HVY2488" s="58"/>
      <c r="HVZ2488" s="61"/>
      <c r="HWA2488" s="58"/>
      <c r="HWB2488" s="58"/>
      <c r="HWC2488" s="58"/>
      <c r="HWD2488" s="60"/>
      <c r="HWE2488" s="60"/>
      <c r="HWF2488" s="60"/>
      <c r="HWG2488" s="58"/>
      <c r="HWH2488" s="61"/>
      <c r="HWI2488" s="58"/>
      <c r="HWJ2488" s="58"/>
      <c r="HWK2488" s="58"/>
      <c r="HWL2488" s="60"/>
      <c r="HWM2488" s="60"/>
      <c r="HWN2488" s="60"/>
      <c r="HWO2488" s="58"/>
      <c r="HWP2488" s="61"/>
      <c r="HWQ2488" s="58"/>
      <c r="HWR2488" s="58"/>
      <c r="HWS2488" s="58"/>
      <c r="HWT2488" s="60"/>
      <c r="HWU2488" s="60"/>
      <c r="HWV2488" s="60"/>
      <c r="HWW2488" s="58"/>
      <c r="HWX2488" s="61"/>
      <c r="HWY2488" s="58"/>
      <c r="HWZ2488" s="58"/>
      <c r="HXA2488" s="58"/>
      <c r="HXB2488" s="60"/>
      <c r="HXC2488" s="60"/>
      <c r="HXD2488" s="60"/>
      <c r="HXE2488" s="58"/>
      <c r="HXF2488" s="61"/>
      <c r="HXG2488" s="58"/>
      <c r="HXH2488" s="58"/>
      <c r="HXI2488" s="58"/>
      <c r="HXJ2488" s="60"/>
      <c r="HXK2488" s="60"/>
      <c r="HXL2488" s="60"/>
      <c r="HXM2488" s="58"/>
      <c r="HXN2488" s="61"/>
      <c r="HXO2488" s="58"/>
      <c r="HXP2488" s="58"/>
      <c r="HXQ2488" s="58"/>
      <c r="HXR2488" s="60"/>
      <c r="HXS2488" s="60"/>
      <c r="HXT2488" s="60"/>
      <c r="HXU2488" s="58"/>
      <c r="HXV2488" s="61"/>
      <c r="HXW2488" s="58"/>
      <c r="HXX2488" s="58"/>
      <c r="HXY2488" s="58"/>
      <c r="HXZ2488" s="60"/>
      <c r="HYA2488" s="60"/>
      <c r="HYB2488" s="60"/>
      <c r="HYC2488" s="58"/>
      <c r="HYD2488" s="61"/>
      <c r="HYE2488" s="58"/>
      <c r="HYF2488" s="58"/>
      <c r="HYG2488" s="58"/>
      <c r="HYH2488" s="60"/>
      <c r="HYI2488" s="60"/>
      <c r="HYJ2488" s="60"/>
      <c r="HYK2488" s="58"/>
      <c r="HYL2488" s="61"/>
      <c r="HYM2488" s="58"/>
      <c r="HYN2488" s="58"/>
      <c r="HYO2488" s="58"/>
      <c r="HYP2488" s="60"/>
      <c r="HYQ2488" s="60"/>
      <c r="HYR2488" s="60"/>
      <c r="HYS2488" s="58"/>
      <c r="HYT2488" s="61"/>
      <c r="HYU2488" s="58"/>
      <c r="HYV2488" s="58"/>
      <c r="HYW2488" s="58"/>
      <c r="HYX2488" s="60"/>
      <c r="HYY2488" s="60"/>
      <c r="HYZ2488" s="60"/>
      <c r="HZA2488" s="58"/>
      <c r="HZB2488" s="61"/>
      <c r="HZC2488" s="58"/>
      <c r="HZD2488" s="58"/>
      <c r="HZE2488" s="58"/>
      <c r="HZF2488" s="60"/>
      <c r="HZG2488" s="60"/>
      <c r="HZH2488" s="60"/>
      <c r="HZI2488" s="58"/>
      <c r="HZJ2488" s="61"/>
      <c r="HZK2488" s="58"/>
      <c r="HZL2488" s="58"/>
      <c r="HZM2488" s="58"/>
      <c r="HZN2488" s="60"/>
      <c r="HZO2488" s="60"/>
      <c r="HZP2488" s="60"/>
      <c r="HZQ2488" s="58"/>
      <c r="HZR2488" s="61"/>
      <c r="HZS2488" s="58"/>
      <c r="HZT2488" s="58"/>
      <c r="HZU2488" s="58"/>
      <c r="HZV2488" s="60"/>
      <c r="HZW2488" s="60"/>
      <c r="HZX2488" s="60"/>
      <c r="HZY2488" s="58"/>
      <c r="HZZ2488" s="61"/>
      <c r="IAA2488" s="58"/>
      <c r="IAB2488" s="58"/>
      <c r="IAC2488" s="58"/>
      <c r="IAD2488" s="60"/>
      <c r="IAE2488" s="60"/>
      <c r="IAF2488" s="60"/>
      <c r="IAG2488" s="58"/>
      <c r="IAH2488" s="61"/>
      <c r="IAI2488" s="58"/>
      <c r="IAJ2488" s="58"/>
      <c r="IAK2488" s="58"/>
      <c r="IAL2488" s="60"/>
      <c r="IAM2488" s="60"/>
      <c r="IAN2488" s="60"/>
      <c r="IAO2488" s="58"/>
      <c r="IAP2488" s="61"/>
      <c r="IAQ2488" s="58"/>
      <c r="IAR2488" s="58"/>
      <c r="IAS2488" s="58"/>
      <c r="IAT2488" s="60"/>
      <c r="IAU2488" s="60"/>
      <c r="IAV2488" s="60"/>
      <c r="IAW2488" s="58"/>
      <c r="IAX2488" s="61"/>
      <c r="IAY2488" s="58"/>
      <c r="IAZ2488" s="58"/>
      <c r="IBA2488" s="58"/>
      <c r="IBB2488" s="60"/>
      <c r="IBC2488" s="60"/>
      <c r="IBD2488" s="60"/>
      <c r="IBE2488" s="58"/>
      <c r="IBF2488" s="61"/>
      <c r="IBG2488" s="58"/>
      <c r="IBH2488" s="58"/>
      <c r="IBI2488" s="58"/>
      <c r="IBJ2488" s="60"/>
      <c r="IBK2488" s="60"/>
      <c r="IBL2488" s="60"/>
      <c r="IBM2488" s="58"/>
      <c r="IBN2488" s="61"/>
      <c r="IBO2488" s="58"/>
      <c r="IBP2488" s="58"/>
      <c r="IBQ2488" s="58"/>
      <c r="IBR2488" s="60"/>
      <c r="IBS2488" s="60"/>
      <c r="IBT2488" s="60"/>
      <c r="IBU2488" s="58"/>
      <c r="IBV2488" s="61"/>
      <c r="IBW2488" s="58"/>
      <c r="IBX2488" s="58"/>
      <c r="IBY2488" s="58"/>
      <c r="IBZ2488" s="60"/>
      <c r="ICA2488" s="60"/>
      <c r="ICB2488" s="60"/>
      <c r="ICC2488" s="58"/>
      <c r="ICD2488" s="61"/>
      <c r="ICE2488" s="58"/>
      <c r="ICF2488" s="58"/>
      <c r="ICG2488" s="58"/>
      <c r="ICH2488" s="60"/>
      <c r="ICI2488" s="60"/>
      <c r="ICJ2488" s="60"/>
      <c r="ICK2488" s="58"/>
      <c r="ICL2488" s="61"/>
      <c r="ICM2488" s="58"/>
      <c r="ICN2488" s="58"/>
      <c r="ICO2488" s="58"/>
      <c r="ICP2488" s="60"/>
      <c r="ICQ2488" s="60"/>
      <c r="ICR2488" s="60"/>
      <c r="ICS2488" s="58"/>
      <c r="ICT2488" s="61"/>
      <c r="ICU2488" s="58"/>
      <c r="ICV2488" s="58"/>
      <c r="ICW2488" s="58"/>
      <c r="ICX2488" s="60"/>
      <c r="ICY2488" s="60"/>
      <c r="ICZ2488" s="60"/>
      <c r="IDA2488" s="58"/>
      <c r="IDB2488" s="61"/>
      <c r="IDC2488" s="58"/>
      <c r="IDD2488" s="58"/>
      <c r="IDE2488" s="58"/>
      <c r="IDF2488" s="60"/>
      <c r="IDG2488" s="60"/>
      <c r="IDH2488" s="60"/>
      <c r="IDI2488" s="58"/>
      <c r="IDJ2488" s="61"/>
      <c r="IDK2488" s="58"/>
      <c r="IDL2488" s="58"/>
      <c r="IDM2488" s="58"/>
      <c r="IDN2488" s="60"/>
      <c r="IDO2488" s="60"/>
      <c r="IDP2488" s="60"/>
      <c r="IDQ2488" s="58"/>
      <c r="IDR2488" s="61"/>
      <c r="IDS2488" s="58"/>
      <c r="IDT2488" s="58"/>
      <c r="IDU2488" s="58"/>
      <c r="IDV2488" s="60"/>
      <c r="IDW2488" s="60"/>
      <c r="IDX2488" s="60"/>
      <c r="IDY2488" s="58"/>
      <c r="IDZ2488" s="61"/>
      <c r="IEA2488" s="58"/>
      <c r="IEB2488" s="58"/>
      <c r="IEC2488" s="58"/>
      <c r="IED2488" s="60"/>
      <c r="IEE2488" s="60"/>
      <c r="IEF2488" s="60"/>
      <c r="IEG2488" s="58"/>
      <c r="IEH2488" s="61"/>
      <c r="IEI2488" s="58"/>
      <c r="IEJ2488" s="58"/>
      <c r="IEK2488" s="58"/>
      <c r="IEL2488" s="60"/>
      <c r="IEM2488" s="60"/>
      <c r="IEN2488" s="60"/>
      <c r="IEO2488" s="58"/>
      <c r="IEP2488" s="61"/>
      <c r="IEQ2488" s="58"/>
      <c r="IER2488" s="58"/>
      <c r="IES2488" s="58"/>
      <c r="IET2488" s="60"/>
      <c r="IEU2488" s="60"/>
      <c r="IEV2488" s="60"/>
      <c r="IEW2488" s="58"/>
      <c r="IEX2488" s="61"/>
      <c r="IEY2488" s="58"/>
      <c r="IEZ2488" s="58"/>
      <c r="IFA2488" s="58"/>
      <c r="IFB2488" s="60"/>
      <c r="IFC2488" s="60"/>
      <c r="IFD2488" s="60"/>
      <c r="IFE2488" s="58"/>
      <c r="IFF2488" s="61"/>
      <c r="IFG2488" s="58"/>
      <c r="IFH2488" s="58"/>
      <c r="IFI2488" s="58"/>
      <c r="IFJ2488" s="60"/>
      <c r="IFK2488" s="60"/>
      <c r="IFL2488" s="60"/>
      <c r="IFM2488" s="58"/>
      <c r="IFN2488" s="61"/>
      <c r="IFO2488" s="58"/>
      <c r="IFP2488" s="58"/>
      <c r="IFQ2488" s="58"/>
      <c r="IFR2488" s="60"/>
      <c r="IFS2488" s="60"/>
      <c r="IFT2488" s="60"/>
      <c r="IFU2488" s="58"/>
      <c r="IFV2488" s="61"/>
      <c r="IFW2488" s="58"/>
      <c r="IFX2488" s="58"/>
      <c r="IFY2488" s="58"/>
      <c r="IFZ2488" s="60"/>
      <c r="IGA2488" s="60"/>
      <c r="IGB2488" s="60"/>
      <c r="IGC2488" s="58"/>
      <c r="IGD2488" s="61"/>
      <c r="IGE2488" s="58"/>
      <c r="IGF2488" s="58"/>
      <c r="IGG2488" s="58"/>
      <c r="IGH2488" s="60"/>
      <c r="IGI2488" s="60"/>
      <c r="IGJ2488" s="60"/>
      <c r="IGK2488" s="58"/>
      <c r="IGL2488" s="61"/>
      <c r="IGM2488" s="58"/>
      <c r="IGN2488" s="58"/>
      <c r="IGO2488" s="58"/>
      <c r="IGP2488" s="60"/>
      <c r="IGQ2488" s="60"/>
      <c r="IGR2488" s="60"/>
      <c r="IGS2488" s="58"/>
      <c r="IGT2488" s="61"/>
      <c r="IGU2488" s="58"/>
      <c r="IGV2488" s="58"/>
      <c r="IGW2488" s="58"/>
      <c r="IGX2488" s="60"/>
      <c r="IGY2488" s="60"/>
      <c r="IGZ2488" s="60"/>
      <c r="IHA2488" s="58"/>
      <c r="IHB2488" s="61"/>
      <c r="IHC2488" s="58"/>
      <c r="IHD2488" s="58"/>
      <c r="IHE2488" s="58"/>
      <c r="IHF2488" s="60"/>
      <c r="IHG2488" s="60"/>
      <c r="IHH2488" s="60"/>
      <c r="IHI2488" s="58"/>
      <c r="IHJ2488" s="61"/>
      <c r="IHK2488" s="58"/>
      <c r="IHL2488" s="58"/>
      <c r="IHM2488" s="58"/>
      <c r="IHN2488" s="60"/>
      <c r="IHO2488" s="60"/>
      <c r="IHP2488" s="60"/>
      <c r="IHQ2488" s="58"/>
      <c r="IHR2488" s="61"/>
      <c r="IHS2488" s="58"/>
      <c r="IHT2488" s="58"/>
      <c r="IHU2488" s="58"/>
      <c r="IHV2488" s="60"/>
      <c r="IHW2488" s="60"/>
      <c r="IHX2488" s="60"/>
      <c r="IHY2488" s="58"/>
      <c r="IHZ2488" s="61"/>
      <c r="IIA2488" s="58"/>
      <c r="IIB2488" s="58"/>
      <c r="IIC2488" s="58"/>
      <c r="IID2488" s="60"/>
      <c r="IIE2488" s="60"/>
      <c r="IIF2488" s="60"/>
      <c r="IIG2488" s="58"/>
      <c r="IIH2488" s="61"/>
      <c r="III2488" s="58"/>
      <c r="IIJ2488" s="58"/>
      <c r="IIK2488" s="58"/>
      <c r="IIL2488" s="60"/>
      <c r="IIM2488" s="60"/>
      <c r="IIN2488" s="60"/>
      <c r="IIO2488" s="58"/>
      <c r="IIP2488" s="61"/>
      <c r="IIQ2488" s="58"/>
      <c r="IIR2488" s="58"/>
      <c r="IIS2488" s="58"/>
      <c r="IIT2488" s="60"/>
      <c r="IIU2488" s="60"/>
      <c r="IIV2488" s="60"/>
      <c r="IIW2488" s="58"/>
      <c r="IIX2488" s="61"/>
      <c r="IIY2488" s="58"/>
      <c r="IIZ2488" s="58"/>
      <c r="IJA2488" s="58"/>
      <c r="IJB2488" s="60"/>
      <c r="IJC2488" s="60"/>
      <c r="IJD2488" s="60"/>
      <c r="IJE2488" s="58"/>
      <c r="IJF2488" s="61"/>
      <c r="IJG2488" s="58"/>
      <c r="IJH2488" s="58"/>
      <c r="IJI2488" s="58"/>
      <c r="IJJ2488" s="60"/>
      <c r="IJK2488" s="60"/>
      <c r="IJL2488" s="60"/>
      <c r="IJM2488" s="58"/>
      <c r="IJN2488" s="61"/>
      <c r="IJO2488" s="58"/>
      <c r="IJP2488" s="58"/>
      <c r="IJQ2488" s="58"/>
      <c r="IJR2488" s="60"/>
      <c r="IJS2488" s="60"/>
      <c r="IJT2488" s="60"/>
      <c r="IJU2488" s="58"/>
      <c r="IJV2488" s="61"/>
      <c r="IJW2488" s="58"/>
      <c r="IJX2488" s="58"/>
      <c r="IJY2488" s="58"/>
      <c r="IJZ2488" s="60"/>
      <c r="IKA2488" s="60"/>
      <c r="IKB2488" s="60"/>
      <c r="IKC2488" s="58"/>
      <c r="IKD2488" s="61"/>
      <c r="IKE2488" s="58"/>
      <c r="IKF2488" s="58"/>
      <c r="IKG2488" s="58"/>
      <c r="IKH2488" s="60"/>
      <c r="IKI2488" s="60"/>
      <c r="IKJ2488" s="60"/>
      <c r="IKK2488" s="58"/>
      <c r="IKL2488" s="61"/>
      <c r="IKM2488" s="58"/>
      <c r="IKN2488" s="58"/>
      <c r="IKO2488" s="58"/>
      <c r="IKP2488" s="60"/>
      <c r="IKQ2488" s="60"/>
      <c r="IKR2488" s="60"/>
      <c r="IKS2488" s="58"/>
      <c r="IKT2488" s="61"/>
      <c r="IKU2488" s="58"/>
      <c r="IKV2488" s="58"/>
      <c r="IKW2488" s="58"/>
      <c r="IKX2488" s="60"/>
      <c r="IKY2488" s="60"/>
      <c r="IKZ2488" s="60"/>
      <c r="ILA2488" s="58"/>
      <c r="ILB2488" s="61"/>
      <c r="ILC2488" s="58"/>
      <c r="ILD2488" s="58"/>
      <c r="ILE2488" s="58"/>
      <c r="ILF2488" s="60"/>
      <c r="ILG2488" s="60"/>
      <c r="ILH2488" s="60"/>
      <c r="ILI2488" s="58"/>
      <c r="ILJ2488" s="61"/>
      <c r="ILK2488" s="58"/>
      <c r="ILL2488" s="58"/>
      <c r="ILM2488" s="58"/>
      <c r="ILN2488" s="60"/>
      <c r="ILO2488" s="60"/>
      <c r="ILP2488" s="60"/>
      <c r="ILQ2488" s="58"/>
      <c r="ILR2488" s="61"/>
      <c r="ILS2488" s="58"/>
      <c r="ILT2488" s="58"/>
      <c r="ILU2488" s="58"/>
      <c r="ILV2488" s="60"/>
      <c r="ILW2488" s="60"/>
      <c r="ILX2488" s="60"/>
      <c r="ILY2488" s="58"/>
      <c r="ILZ2488" s="61"/>
      <c r="IMA2488" s="58"/>
      <c r="IMB2488" s="58"/>
      <c r="IMC2488" s="58"/>
      <c r="IMD2488" s="60"/>
      <c r="IME2488" s="60"/>
      <c r="IMF2488" s="60"/>
      <c r="IMG2488" s="58"/>
      <c r="IMH2488" s="61"/>
      <c r="IMI2488" s="58"/>
      <c r="IMJ2488" s="58"/>
      <c r="IMK2488" s="58"/>
      <c r="IML2488" s="60"/>
      <c r="IMM2488" s="60"/>
      <c r="IMN2488" s="60"/>
      <c r="IMO2488" s="58"/>
      <c r="IMP2488" s="61"/>
      <c r="IMQ2488" s="58"/>
      <c r="IMR2488" s="58"/>
      <c r="IMS2488" s="58"/>
      <c r="IMT2488" s="60"/>
      <c r="IMU2488" s="60"/>
      <c r="IMV2488" s="60"/>
      <c r="IMW2488" s="58"/>
      <c r="IMX2488" s="61"/>
      <c r="IMY2488" s="58"/>
      <c r="IMZ2488" s="58"/>
      <c r="INA2488" s="58"/>
      <c r="INB2488" s="60"/>
      <c r="INC2488" s="60"/>
      <c r="IND2488" s="60"/>
      <c r="INE2488" s="58"/>
      <c r="INF2488" s="61"/>
      <c r="ING2488" s="58"/>
      <c r="INH2488" s="58"/>
      <c r="INI2488" s="58"/>
      <c r="INJ2488" s="60"/>
      <c r="INK2488" s="60"/>
      <c r="INL2488" s="60"/>
      <c r="INM2488" s="58"/>
      <c r="INN2488" s="61"/>
      <c r="INO2488" s="58"/>
      <c r="INP2488" s="58"/>
      <c r="INQ2488" s="58"/>
      <c r="INR2488" s="60"/>
      <c r="INS2488" s="60"/>
      <c r="INT2488" s="60"/>
      <c r="INU2488" s="58"/>
      <c r="INV2488" s="61"/>
      <c r="INW2488" s="58"/>
      <c r="INX2488" s="58"/>
      <c r="INY2488" s="58"/>
      <c r="INZ2488" s="60"/>
      <c r="IOA2488" s="60"/>
      <c r="IOB2488" s="60"/>
      <c r="IOC2488" s="58"/>
      <c r="IOD2488" s="61"/>
      <c r="IOE2488" s="58"/>
      <c r="IOF2488" s="58"/>
      <c r="IOG2488" s="58"/>
      <c r="IOH2488" s="60"/>
      <c r="IOI2488" s="60"/>
      <c r="IOJ2488" s="60"/>
      <c r="IOK2488" s="58"/>
      <c r="IOL2488" s="61"/>
      <c r="IOM2488" s="58"/>
      <c r="ION2488" s="58"/>
      <c r="IOO2488" s="58"/>
      <c r="IOP2488" s="60"/>
      <c r="IOQ2488" s="60"/>
      <c r="IOR2488" s="60"/>
      <c r="IOS2488" s="58"/>
      <c r="IOT2488" s="61"/>
      <c r="IOU2488" s="58"/>
      <c r="IOV2488" s="58"/>
      <c r="IOW2488" s="58"/>
      <c r="IOX2488" s="60"/>
      <c r="IOY2488" s="60"/>
      <c r="IOZ2488" s="60"/>
      <c r="IPA2488" s="58"/>
      <c r="IPB2488" s="61"/>
      <c r="IPC2488" s="58"/>
      <c r="IPD2488" s="58"/>
      <c r="IPE2488" s="58"/>
      <c r="IPF2488" s="60"/>
      <c r="IPG2488" s="60"/>
      <c r="IPH2488" s="60"/>
      <c r="IPI2488" s="58"/>
      <c r="IPJ2488" s="61"/>
      <c r="IPK2488" s="58"/>
      <c r="IPL2488" s="58"/>
      <c r="IPM2488" s="58"/>
      <c r="IPN2488" s="60"/>
      <c r="IPO2488" s="60"/>
      <c r="IPP2488" s="60"/>
      <c r="IPQ2488" s="58"/>
      <c r="IPR2488" s="61"/>
      <c r="IPS2488" s="58"/>
      <c r="IPT2488" s="58"/>
      <c r="IPU2488" s="58"/>
      <c r="IPV2488" s="60"/>
      <c r="IPW2488" s="60"/>
      <c r="IPX2488" s="60"/>
      <c r="IPY2488" s="58"/>
      <c r="IPZ2488" s="61"/>
      <c r="IQA2488" s="58"/>
      <c r="IQB2488" s="58"/>
      <c r="IQC2488" s="58"/>
      <c r="IQD2488" s="60"/>
      <c r="IQE2488" s="60"/>
      <c r="IQF2488" s="60"/>
      <c r="IQG2488" s="58"/>
      <c r="IQH2488" s="61"/>
      <c r="IQI2488" s="58"/>
      <c r="IQJ2488" s="58"/>
      <c r="IQK2488" s="58"/>
      <c r="IQL2488" s="60"/>
      <c r="IQM2488" s="60"/>
      <c r="IQN2488" s="60"/>
      <c r="IQO2488" s="58"/>
      <c r="IQP2488" s="61"/>
      <c r="IQQ2488" s="58"/>
      <c r="IQR2488" s="58"/>
      <c r="IQS2488" s="58"/>
      <c r="IQT2488" s="60"/>
      <c r="IQU2488" s="60"/>
      <c r="IQV2488" s="60"/>
      <c r="IQW2488" s="58"/>
      <c r="IQX2488" s="61"/>
      <c r="IQY2488" s="58"/>
      <c r="IQZ2488" s="58"/>
      <c r="IRA2488" s="58"/>
      <c r="IRB2488" s="60"/>
      <c r="IRC2488" s="60"/>
      <c r="IRD2488" s="60"/>
      <c r="IRE2488" s="58"/>
      <c r="IRF2488" s="61"/>
      <c r="IRG2488" s="58"/>
      <c r="IRH2488" s="58"/>
      <c r="IRI2488" s="58"/>
      <c r="IRJ2488" s="60"/>
      <c r="IRK2488" s="60"/>
      <c r="IRL2488" s="60"/>
      <c r="IRM2488" s="58"/>
      <c r="IRN2488" s="61"/>
      <c r="IRO2488" s="58"/>
      <c r="IRP2488" s="58"/>
      <c r="IRQ2488" s="58"/>
      <c r="IRR2488" s="60"/>
      <c r="IRS2488" s="60"/>
      <c r="IRT2488" s="60"/>
      <c r="IRU2488" s="58"/>
      <c r="IRV2488" s="61"/>
      <c r="IRW2488" s="58"/>
      <c r="IRX2488" s="58"/>
      <c r="IRY2488" s="58"/>
      <c r="IRZ2488" s="60"/>
      <c r="ISA2488" s="60"/>
      <c r="ISB2488" s="60"/>
      <c r="ISC2488" s="58"/>
      <c r="ISD2488" s="61"/>
      <c r="ISE2488" s="58"/>
      <c r="ISF2488" s="58"/>
      <c r="ISG2488" s="58"/>
      <c r="ISH2488" s="60"/>
      <c r="ISI2488" s="60"/>
      <c r="ISJ2488" s="60"/>
      <c r="ISK2488" s="58"/>
      <c r="ISL2488" s="61"/>
      <c r="ISM2488" s="58"/>
      <c r="ISN2488" s="58"/>
      <c r="ISO2488" s="58"/>
      <c r="ISP2488" s="60"/>
      <c r="ISQ2488" s="60"/>
      <c r="ISR2488" s="60"/>
      <c r="ISS2488" s="58"/>
      <c r="IST2488" s="61"/>
      <c r="ISU2488" s="58"/>
      <c r="ISV2488" s="58"/>
      <c r="ISW2488" s="58"/>
      <c r="ISX2488" s="60"/>
      <c r="ISY2488" s="60"/>
      <c r="ISZ2488" s="60"/>
      <c r="ITA2488" s="58"/>
      <c r="ITB2488" s="61"/>
      <c r="ITC2488" s="58"/>
      <c r="ITD2488" s="58"/>
      <c r="ITE2488" s="58"/>
      <c r="ITF2488" s="60"/>
      <c r="ITG2488" s="60"/>
      <c r="ITH2488" s="60"/>
      <c r="ITI2488" s="58"/>
      <c r="ITJ2488" s="61"/>
      <c r="ITK2488" s="58"/>
      <c r="ITL2488" s="58"/>
      <c r="ITM2488" s="58"/>
      <c r="ITN2488" s="60"/>
      <c r="ITO2488" s="60"/>
      <c r="ITP2488" s="60"/>
      <c r="ITQ2488" s="58"/>
      <c r="ITR2488" s="61"/>
      <c r="ITS2488" s="58"/>
      <c r="ITT2488" s="58"/>
      <c r="ITU2488" s="58"/>
      <c r="ITV2488" s="60"/>
      <c r="ITW2488" s="60"/>
      <c r="ITX2488" s="60"/>
      <c r="ITY2488" s="58"/>
      <c r="ITZ2488" s="61"/>
      <c r="IUA2488" s="58"/>
      <c r="IUB2488" s="58"/>
      <c r="IUC2488" s="58"/>
      <c r="IUD2488" s="60"/>
      <c r="IUE2488" s="60"/>
      <c r="IUF2488" s="60"/>
      <c r="IUG2488" s="58"/>
      <c r="IUH2488" s="61"/>
      <c r="IUI2488" s="58"/>
      <c r="IUJ2488" s="58"/>
      <c r="IUK2488" s="58"/>
      <c r="IUL2488" s="60"/>
      <c r="IUM2488" s="60"/>
      <c r="IUN2488" s="60"/>
      <c r="IUO2488" s="58"/>
      <c r="IUP2488" s="61"/>
      <c r="IUQ2488" s="58"/>
      <c r="IUR2488" s="58"/>
      <c r="IUS2488" s="58"/>
      <c r="IUT2488" s="60"/>
      <c r="IUU2488" s="60"/>
      <c r="IUV2488" s="60"/>
      <c r="IUW2488" s="58"/>
      <c r="IUX2488" s="61"/>
      <c r="IUY2488" s="58"/>
      <c r="IUZ2488" s="58"/>
      <c r="IVA2488" s="58"/>
      <c r="IVB2488" s="60"/>
      <c r="IVC2488" s="60"/>
      <c r="IVD2488" s="60"/>
      <c r="IVE2488" s="58"/>
      <c r="IVF2488" s="61"/>
      <c r="IVG2488" s="58"/>
      <c r="IVH2488" s="58"/>
      <c r="IVI2488" s="58"/>
      <c r="IVJ2488" s="60"/>
      <c r="IVK2488" s="60"/>
      <c r="IVL2488" s="60"/>
      <c r="IVM2488" s="58"/>
      <c r="IVN2488" s="61"/>
      <c r="IVO2488" s="58"/>
      <c r="IVP2488" s="58"/>
      <c r="IVQ2488" s="58"/>
      <c r="IVR2488" s="60"/>
      <c r="IVS2488" s="60"/>
      <c r="IVT2488" s="60"/>
      <c r="IVU2488" s="58"/>
      <c r="IVV2488" s="61"/>
      <c r="IVW2488" s="58"/>
      <c r="IVX2488" s="58"/>
      <c r="IVY2488" s="58"/>
      <c r="IVZ2488" s="60"/>
      <c r="IWA2488" s="60"/>
      <c r="IWB2488" s="60"/>
      <c r="IWC2488" s="58"/>
      <c r="IWD2488" s="61"/>
      <c r="IWE2488" s="58"/>
      <c r="IWF2488" s="58"/>
      <c r="IWG2488" s="58"/>
      <c r="IWH2488" s="60"/>
      <c r="IWI2488" s="60"/>
      <c r="IWJ2488" s="60"/>
      <c r="IWK2488" s="58"/>
      <c r="IWL2488" s="61"/>
      <c r="IWM2488" s="58"/>
      <c r="IWN2488" s="58"/>
      <c r="IWO2488" s="58"/>
      <c r="IWP2488" s="60"/>
      <c r="IWQ2488" s="60"/>
      <c r="IWR2488" s="60"/>
      <c r="IWS2488" s="58"/>
      <c r="IWT2488" s="61"/>
      <c r="IWU2488" s="58"/>
      <c r="IWV2488" s="58"/>
      <c r="IWW2488" s="58"/>
      <c r="IWX2488" s="60"/>
      <c r="IWY2488" s="60"/>
      <c r="IWZ2488" s="60"/>
      <c r="IXA2488" s="58"/>
      <c r="IXB2488" s="61"/>
      <c r="IXC2488" s="58"/>
      <c r="IXD2488" s="58"/>
      <c r="IXE2488" s="58"/>
      <c r="IXF2488" s="60"/>
      <c r="IXG2488" s="60"/>
      <c r="IXH2488" s="60"/>
      <c r="IXI2488" s="58"/>
      <c r="IXJ2488" s="61"/>
      <c r="IXK2488" s="58"/>
      <c r="IXL2488" s="58"/>
      <c r="IXM2488" s="58"/>
      <c r="IXN2488" s="60"/>
      <c r="IXO2488" s="60"/>
      <c r="IXP2488" s="60"/>
      <c r="IXQ2488" s="58"/>
      <c r="IXR2488" s="61"/>
      <c r="IXS2488" s="58"/>
      <c r="IXT2488" s="58"/>
      <c r="IXU2488" s="58"/>
      <c r="IXV2488" s="60"/>
      <c r="IXW2488" s="60"/>
      <c r="IXX2488" s="60"/>
      <c r="IXY2488" s="58"/>
      <c r="IXZ2488" s="61"/>
      <c r="IYA2488" s="58"/>
      <c r="IYB2488" s="58"/>
      <c r="IYC2488" s="58"/>
      <c r="IYD2488" s="60"/>
      <c r="IYE2488" s="60"/>
      <c r="IYF2488" s="60"/>
      <c r="IYG2488" s="58"/>
      <c r="IYH2488" s="61"/>
      <c r="IYI2488" s="58"/>
      <c r="IYJ2488" s="58"/>
      <c r="IYK2488" s="58"/>
      <c r="IYL2488" s="60"/>
      <c r="IYM2488" s="60"/>
      <c r="IYN2488" s="60"/>
      <c r="IYO2488" s="58"/>
      <c r="IYP2488" s="61"/>
      <c r="IYQ2488" s="58"/>
      <c r="IYR2488" s="58"/>
      <c r="IYS2488" s="58"/>
      <c r="IYT2488" s="60"/>
      <c r="IYU2488" s="60"/>
      <c r="IYV2488" s="60"/>
      <c r="IYW2488" s="58"/>
      <c r="IYX2488" s="61"/>
      <c r="IYY2488" s="58"/>
      <c r="IYZ2488" s="58"/>
      <c r="IZA2488" s="58"/>
      <c r="IZB2488" s="60"/>
      <c r="IZC2488" s="60"/>
      <c r="IZD2488" s="60"/>
      <c r="IZE2488" s="58"/>
      <c r="IZF2488" s="61"/>
      <c r="IZG2488" s="58"/>
      <c r="IZH2488" s="58"/>
      <c r="IZI2488" s="58"/>
      <c r="IZJ2488" s="60"/>
      <c r="IZK2488" s="60"/>
      <c r="IZL2488" s="60"/>
      <c r="IZM2488" s="58"/>
      <c r="IZN2488" s="61"/>
      <c r="IZO2488" s="58"/>
      <c r="IZP2488" s="58"/>
      <c r="IZQ2488" s="58"/>
      <c r="IZR2488" s="60"/>
      <c r="IZS2488" s="60"/>
      <c r="IZT2488" s="60"/>
      <c r="IZU2488" s="58"/>
      <c r="IZV2488" s="61"/>
      <c r="IZW2488" s="58"/>
      <c r="IZX2488" s="58"/>
      <c r="IZY2488" s="58"/>
      <c r="IZZ2488" s="60"/>
      <c r="JAA2488" s="60"/>
      <c r="JAB2488" s="60"/>
      <c r="JAC2488" s="58"/>
      <c r="JAD2488" s="61"/>
      <c r="JAE2488" s="58"/>
      <c r="JAF2488" s="58"/>
      <c r="JAG2488" s="58"/>
      <c r="JAH2488" s="60"/>
      <c r="JAI2488" s="60"/>
      <c r="JAJ2488" s="60"/>
      <c r="JAK2488" s="58"/>
      <c r="JAL2488" s="61"/>
      <c r="JAM2488" s="58"/>
      <c r="JAN2488" s="58"/>
      <c r="JAO2488" s="58"/>
      <c r="JAP2488" s="60"/>
      <c r="JAQ2488" s="60"/>
      <c r="JAR2488" s="60"/>
      <c r="JAS2488" s="58"/>
      <c r="JAT2488" s="61"/>
      <c r="JAU2488" s="58"/>
      <c r="JAV2488" s="58"/>
      <c r="JAW2488" s="58"/>
      <c r="JAX2488" s="60"/>
      <c r="JAY2488" s="60"/>
      <c r="JAZ2488" s="60"/>
      <c r="JBA2488" s="58"/>
      <c r="JBB2488" s="61"/>
      <c r="JBC2488" s="58"/>
      <c r="JBD2488" s="58"/>
      <c r="JBE2488" s="58"/>
      <c r="JBF2488" s="60"/>
      <c r="JBG2488" s="60"/>
      <c r="JBH2488" s="60"/>
      <c r="JBI2488" s="58"/>
      <c r="JBJ2488" s="61"/>
      <c r="JBK2488" s="58"/>
      <c r="JBL2488" s="58"/>
      <c r="JBM2488" s="58"/>
      <c r="JBN2488" s="60"/>
      <c r="JBO2488" s="60"/>
      <c r="JBP2488" s="60"/>
      <c r="JBQ2488" s="58"/>
      <c r="JBR2488" s="61"/>
      <c r="JBS2488" s="58"/>
      <c r="JBT2488" s="58"/>
      <c r="JBU2488" s="58"/>
      <c r="JBV2488" s="60"/>
      <c r="JBW2488" s="60"/>
      <c r="JBX2488" s="60"/>
      <c r="JBY2488" s="58"/>
      <c r="JBZ2488" s="61"/>
      <c r="JCA2488" s="58"/>
      <c r="JCB2488" s="58"/>
      <c r="JCC2488" s="58"/>
      <c r="JCD2488" s="60"/>
      <c r="JCE2488" s="60"/>
      <c r="JCF2488" s="60"/>
      <c r="JCG2488" s="58"/>
      <c r="JCH2488" s="61"/>
      <c r="JCI2488" s="58"/>
      <c r="JCJ2488" s="58"/>
      <c r="JCK2488" s="58"/>
      <c r="JCL2488" s="60"/>
      <c r="JCM2488" s="60"/>
      <c r="JCN2488" s="60"/>
      <c r="JCO2488" s="58"/>
      <c r="JCP2488" s="61"/>
      <c r="JCQ2488" s="58"/>
      <c r="JCR2488" s="58"/>
      <c r="JCS2488" s="58"/>
      <c r="JCT2488" s="60"/>
      <c r="JCU2488" s="60"/>
      <c r="JCV2488" s="60"/>
      <c r="JCW2488" s="58"/>
      <c r="JCX2488" s="61"/>
      <c r="JCY2488" s="58"/>
      <c r="JCZ2488" s="58"/>
      <c r="JDA2488" s="58"/>
      <c r="JDB2488" s="60"/>
      <c r="JDC2488" s="60"/>
      <c r="JDD2488" s="60"/>
      <c r="JDE2488" s="58"/>
      <c r="JDF2488" s="61"/>
      <c r="JDG2488" s="58"/>
      <c r="JDH2488" s="58"/>
      <c r="JDI2488" s="58"/>
      <c r="JDJ2488" s="60"/>
      <c r="JDK2488" s="60"/>
      <c r="JDL2488" s="60"/>
      <c r="JDM2488" s="58"/>
      <c r="JDN2488" s="61"/>
      <c r="JDO2488" s="58"/>
      <c r="JDP2488" s="58"/>
      <c r="JDQ2488" s="58"/>
      <c r="JDR2488" s="60"/>
      <c r="JDS2488" s="60"/>
      <c r="JDT2488" s="60"/>
      <c r="JDU2488" s="58"/>
      <c r="JDV2488" s="61"/>
      <c r="JDW2488" s="58"/>
      <c r="JDX2488" s="58"/>
      <c r="JDY2488" s="58"/>
      <c r="JDZ2488" s="60"/>
      <c r="JEA2488" s="60"/>
      <c r="JEB2488" s="60"/>
      <c r="JEC2488" s="58"/>
      <c r="JED2488" s="61"/>
      <c r="JEE2488" s="58"/>
      <c r="JEF2488" s="58"/>
      <c r="JEG2488" s="58"/>
      <c r="JEH2488" s="60"/>
      <c r="JEI2488" s="60"/>
      <c r="JEJ2488" s="60"/>
      <c r="JEK2488" s="58"/>
      <c r="JEL2488" s="61"/>
      <c r="JEM2488" s="58"/>
      <c r="JEN2488" s="58"/>
      <c r="JEO2488" s="58"/>
      <c r="JEP2488" s="60"/>
      <c r="JEQ2488" s="60"/>
      <c r="JER2488" s="60"/>
      <c r="JES2488" s="58"/>
      <c r="JET2488" s="61"/>
      <c r="JEU2488" s="58"/>
      <c r="JEV2488" s="58"/>
      <c r="JEW2488" s="58"/>
      <c r="JEX2488" s="60"/>
      <c r="JEY2488" s="60"/>
      <c r="JEZ2488" s="60"/>
      <c r="JFA2488" s="58"/>
      <c r="JFB2488" s="61"/>
      <c r="JFC2488" s="58"/>
      <c r="JFD2488" s="58"/>
      <c r="JFE2488" s="58"/>
      <c r="JFF2488" s="60"/>
      <c r="JFG2488" s="60"/>
      <c r="JFH2488" s="60"/>
      <c r="JFI2488" s="58"/>
      <c r="JFJ2488" s="61"/>
      <c r="JFK2488" s="58"/>
      <c r="JFL2488" s="58"/>
      <c r="JFM2488" s="58"/>
      <c r="JFN2488" s="60"/>
      <c r="JFO2488" s="60"/>
      <c r="JFP2488" s="60"/>
      <c r="JFQ2488" s="58"/>
      <c r="JFR2488" s="61"/>
      <c r="JFS2488" s="58"/>
      <c r="JFT2488" s="58"/>
      <c r="JFU2488" s="58"/>
      <c r="JFV2488" s="60"/>
      <c r="JFW2488" s="60"/>
      <c r="JFX2488" s="60"/>
      <c r="JFY2488" s="58"/>
      <c r="JFZ2488" s="61"/>
      <c r="JGA2488" s="58"/>
      <c r="JGB2488" s="58"/>
      <c r="JGC2488" s="58"/>
      <c r="JGD2488" s="60"/>
      <c r="JGE2488" s="60"/>
      <c r="JGF2488" s="60"/>
      <c r="JGG2488" s="58"/>
      <c r="JGH2488" s="61"/>
      <c r="JGI2488" s="58"/>
      <c r="JGJ2488" s="58"/>
      <c r="JGK2488" s="58"/>
      <c r="JGL2488" s="60"/>
      <c r="JGM2488" s="60"/>
      <c r="JGN2488" s="60"/>
      <c r="JGO2488" s="58"/>
      <c r="JGP2488" s="61"/>
      <c r="JGQ2488" s="58"/>
      <c r="JGR2488" s="58"/>
      <c r="JGS2488" s="58"/>
      <c r="JGT2488" s="60"/>
      <c r="JGU2488" s="60"/>
      <c r="JGV2488" s="60"/>
      <c r="JGW2488" s="58"/>
      <c r="JGX2488" s="61"/>
      <c r="JGY2488" s="58"/>
      <c r="JGZ2488" s="58"/>
      <c r="JHA2488" s="58"/>
      <c r="JHB2488" s="60"/>
      <c r="JHC2488" s="60"/>
      <c r="JHD2488" s="60"/>
      <c r="JHE2488" s="58"/>
      <c r="JHF2488" s="61"/>
      <c r="JHG2488" s="58"/>
      <c r="JHH2488" s="58"/>
      <c r="JHI2488" s="58"/>
      <c r="JHJ2488" s="60"/>
      <c r="JHK2488" s="60"/>
      <c r="JHL2488" s="60"/>
      <c r="JHM2488" s="58"/>
      <c r="JHN2488" s="61"/>
      <c r="JHO2488" s="58"/>
      <c r="JHP2488" s="58"/>
      <c r="JHQ2488" s="58"/>
      <c r="JHR2488" s="60"/>
      <c r="JHS2488" s="60"/>
      <c r="JHT2488" s="60"/>
      <c r="JHU2488" s="58"/>
      <c r="JHV2488" s="61"/>
      <c r="JHW2488" s="58"/>
      <c r="JHX2488" s="58"/>
      <c r="JHY2488" s="58"/>
      <c r="JHZ2488" s="60"/>
      <c r="JIA2488" s="60"/>
      <c r="JIB2488" s="60"/>
      <c r="JIC2488" s="58"/>
      <c r="JID2488" s="61"/>
      <c r="JIE2488" s="58"/>
      <c r="JIF2488" s="58"/>
      <c r="JIG2488" s="58"/>
      <c r="JIH2488" s="60"/>
      <c r="JII2488" s="60"/>
      <c r="JIJ2488" s="60"/>
      <c r="JIK2488" s="58"/>
      <c r="JIL2488" s="61"/>
      <c r="JIM2488" s="58"/>
      <c r="JIN2488" s="58"/>
      <c r="JIO2488" s="58"/>
      <c r="JIP2488" s="60"/>
      <c r="JIQ2488" s="60"/>
      <c r="JIR2488" s="60"/>
      <c r="JIS2488" s="58"/>
      <c r="JIT2488" s="61"/>
      <c r="JIU2488" s="58"/>
      <c r="JIV2488" s="58"/>
      <c r="JIW2488" s="58"/>
      <c r="JIX2488" s="60"/>
      <c r="JIY2488" s="60"/>
      <c r="JIZ2488" s="60"/>
      <c r="JJA2488" s="58"/>
      <c r="JJB2488" s="61"/>
      <c r="JJC2488" s="58"/>
      <c r="JJD2488" s="58"/>
      <c r="JJE2488" s="58"/>
      <c r="JJF2488" s="60"/>
      <c r="JJG2488" s="60"/>
      <c r="JJH2488" s="60"/>
      <c r="JJI2488" s="58"/>
      <c r="JJJ2488" s="61"/>
      <c r="JJK2488" s="58"/>
      <c r="JJL2488" s="58"/>
      <c r="JJM2488" s="58"/>
      <c r="JJN2488" s="60"/>
      <c r="JJO2488" s="60"/>
      <c r="JJP2488" s="60"/>
      <c r="JJQ2488" s="58"/>
      <c r="JJR2488" s="61"/>
      <c r="JJS2488" s="58"/>
      <c r="JJT2488" s="58"/>
      <c r="JJU2488" s="58"/>
      <c r="JJV2488" s="60"/>
      <c r="JJW2488" s="60"/>
      <c r="JJX2488" s="60"/>
      <c r="JJY2488" s="58"/>
      <c r="JJZ2488" s="61"/>
      <c r="JKA2488" s="58"/>
      <c r="JKB2488" s="58"/>
      <c r="JKC2488" s="58"/>
      <c r="JKD2488" s="60"/>
      <c r="JKE2488" s="60"/>
      <c r="JKF2488" s="60"/>
      <c r="JKG2488" s="58"/>
      <c r="JKH2488" s="61"/>
      <c r="JKI2488" s="58"/>
      <c r="JKJ2488" s="58"/>
      <c r="JKK2488" s="58"/>
      <c r="JKL2488" s="60"/>
      <c r="JKM2488" s="60"/>
      <c r="JKN2488" s="60"/>
      <c r="JKO2488" s="58"/>
      <c r="JKP2488" s="61"/>
      <c r="JKQ2488" s="58"/>
      <c r="JKR2488" s="58"/>
      <c r="JKS2488" s="58"/>
      <c r="JKT2488" s="60"/>
      <c r="JKU2488" s="60"/>
      <c r="JKV2488" s="60"/>
      <c r="JKW2488" s="58"/>
      <c r="JKX2488" s="61"/>
      <c r="JKY2488" s="58"/>
      <c r="JKZ2488" s="58"/>
      <c r="JLA2488" s="58"/>
      <c r="JLB2488" s="60"/>
      <c r="JLC2488" s="60"/>
      <c r="JLD2488" s="60"/>
      <c r="JLE2488" s="58"/>
      <c r="JLF2488" s="61"/>
      <c r="JLG2488" s="58"/>
      <c r="JLH2488" s="58"/>
      <c r="JLI2488" s="58"/>
      <c r="JLJ2488" s="60"/>
      <c r="JLK2488" s="60"/>
      <c r="JLL2488" s="60"/>
      <c r="JLM2488" s="58"/>
      <c r="JLN2488" s="61"/>
      <c r="JLO2488" s="58"/>
      <c r="JLP2488" s="58"/>
      <c r="JLQ2488" s="58"/>
      <c r="JLR2488" s="60"/>
      <c r="JLS2488" s="60"/>
      <c r="JLT2488" s="60"/>
      <c r="JLU2488" s="58"/>
      <c r="JLV2488" s="61"/>
      <c r="JLW2488" s="58"/>
      <c r="JLX2488" s="58"/>
      <c r="JLY2488" s="58"/>
      <c r="JLZ2488" s="60"/>
      <c r="JMA2488" s="60"/>
      <c r="JMB2488" s="60"/>
      <c r="JMC2488" s="58"/>
      <c r="JMD2488" s="61"/>
      <c r="JME2488" s="58"/>
      <c r="JMF2488" s="58"/>
      <c r="JMG2488" s="58"/>
      <c r="JMH2488" s="60"/>
      <c r="JMI2488" s="60"/>
      <c r="JMJ2488" s="60"/>
      <c r="JMK2488" s="58"/>
      <c r="JML2488" s="61"/>
      <c r="JMM2488" s="58"/>
      <c r="JMN2488" s="58"/>
      <c r="JMO2488" s="58"/>
      <c r="JMP2488" s="60"/>
      <c r="JMQ2488" s="60"/>
      <c r="JMR2488" s="60"/>
      <c r="JMS2488" s="58"/>
      <c r="JMT2488" s="61"/>
      <c r="JMU2488" s="58"/>
      <c r="JMV2488" s="58"/>
      <c r="JMW2488" s="58"/>
      <c r="JMX2488" s="60"/>
      <c r="JMY2488" s="60"/>
      <c r="JMZ2488" s="60"/>
      <c r="JNA2488" s="58"/>
      <c r="JNB2488" s="61"/>
      <c r="JNC2488" s="58"/>
      <c r="JND2488" s="58"/>
      <c r="JNE2488" s="58"/>
      <c r="JNF2488" s="60"/>
      <c r="JNG2488" s="60"/>
      <c r="JNH2488" s="60"/>
      <c r="JNI2488" s="58"/>
      <c r="JNJ2488" s="61"/>
      <c r="JNK2488" s="58"/>
      <c r="JNL2488" s="58"/>
      <c r="JNM2488" s="58"/>
      <c r="JNN2488" s="60"/>
      <c r="JNO2488" s="60"/>
      <c r="JNP2488" s="60"/>
      <c r="JNQ2488" s="58"/>
      <c r="JNR2488" s="61"/>
      <c r="JNS2488" s="58"/>
      <c r="JNT2488" s="58"/>
      <c r="JNU2488" s="58"/>
      <c r="JNV2488" s="60"/>
      <c r="JNW2488" s="60"/>
      <c r="JNX2488" s="60"/>
      <c r="JNY2488" s="58"/>
      <c r="JNZ2488" s="61"/>
      <c r="JOA2488" s="58"/>
      <c r="JOB2488" s="58"/>
      <c r="JOC2488" s="58"/>
      <c r="JOD2488" s="60"/>
      <c r="JOE2488" s="60"/>
      <c r="JOF2488" s="60"/>
      <c r="JOG2488" s="58"/>
      <c r="JOH2488" s="61"/>
      <c r="JOI2488" s="58"/>
      <c r="JOJ2488" s="58"/>
      <c r="JOK2488" s="58"/>
      <c r="JOL2488" s="60"/>
      <c r="JOM2488" s="60"/>
      <c r="JON2488" s="60"/>
      <c r="JOO2488" s="58"/>
      <c r="JOP2488" s="61"/>
      <c r="JOQ2488" s="58"/>
      <c r="JOR2488" s="58"/>
      <c r="JOS2488" s="58"/>
      <c r="JOT2488" s="60"/>
      <c r="JOU2488" s="60"/>
      <c r="JOV2488" s="60"/>
      <c r="JOW2488" s="58"/>
      <c r="JOX2488" s="61"/>
      <c r="JOY2488" s="58"/>
      <c r="JOZ2488" s="58"/>
      <c r="JPA2488" s="58"/>
      <c r="JPB2488" s="60"/>
      <c r="JPC2488" s="60"/>
      <c r="JPD2488" s="60"/>
      <c r="JPE2488" s="58"/>
      <c r="JPF2488" s="61"/>
      <c r="JPG2488" s="58"/>
      <c r="JPH2488" s="58"/>
      <c r="JPI2488" s="58"/>
      <c r="JPJ2488" s="60"/>
      <c r="JPK2488" s="60"/>
      <c r="JPL2488" s="60"/>
      <c r="JPM2488" s="58"/>
      <c r="JPN2488" s="61"/>
      <c r="JPO2488" s="58"/>
      <c r="JPP2488" s="58"/>
      <c r="JPQ2488" s="58"/>
      <c r="JPR2488" s="60"/>
      <c r="JPS2488" s="60"/>
      <c r="JPT2488" s="60"/>
      <c r="JPU2488" s="58"/>
      <c r="JPV2488" s="61"/>
      <c r="JPW2488" s="58"/>
      <c r="JPX2488" s="58"/>
      <c r="JPY2488" s="58"/>
      <c r="JPZ2488" s="60"/>
      <c r="JQA2488" s="60"/>
      <c r="JQB2488" s="60"/>
      <c r="JQC2488" s="58"/>
      <c r="JQD2488" s="61"/>
      <c r="JQE2488" s="58"/>
      <c r="JQF2488" s="58"/>
      <c r="JQG2488" s="58"/>
      <c r="JQH2488" s="60"/>
      <c r="JQI2488" s="60"/>
      <c r="JQJ2488" s="60"/>
      <c r="JQK2488" s="58"/>
      <c r="JQL2488" s="61"/>
      <c r="JQM2488" s="58"/>
      <c r="JQN2488" s="58"/>
      <c r="JQO2488" s="58"/>
      <c r="JQP2488" s="60"/>
      <c r="JQQ2488" s="60"/>
      <c r="JQR2488" s="60"/>
      <c r="JQS2488" s="58"/>
      <c r="JQT2488" s="61"/>
      <c r="JQU2488" s="58"/>
      <c r="JQV2488" s="58"/>
      <c r="JQW2488" s="58"/>
      <c r="JQX2488" s="60"/>
      <c r="JQY2488" s="60"/>
      <c r="JQZ2488" s="60"/>
      <c r="JRA2488" s="58"/>
      <c r="JRB2488" s="61"/>
      <c r="JRC2488" s="58"/>
      <c r="JRD2488" s="58"/>
      <c r="JRE2488" s="58"/>
      <c r="JRF2488" s="60"/>
      <c r="JRG2488" s="60"/>
      <c r="JRH2488" s="60"/>
      <c r="JRI2488" s="58"/>
      <c r="JRJ2488" s="61"/>
      <c r="JRK2488" s="58"/>
      <c r="JRL2488" s="58"/>
      <c r="JRM2488" s="58"/>
      <c r="JRN2488" s="60"/>
      <c r="JRO2488" s="60"/>
      <c r="JRP2488" s="60"/>
      <c r="JRQ2488" s="58"/>
      <c r="JRR2488" s="61"/>
      <c r="JRS2488" s="58"/>
      <c r="JRT2488" s="58"/>
      <c r="JRU2488" s="58"/>
      <c r="JRV2488" s="60"/>
      <c r="JRW2488" s="60"/>
      <c r="JRX2488" s="60"/>
      <c r="JRY2488" s="58"/>
      <c r="JRZ2488" s="61"/>
      <c r="JSA2488" s="58"/>
      <c r="JSB2488" s="58"/>
      <c r="JSC2488" s="58"/>
      <c r="JSD2488" s="60"/>
      <c r="JSE2488" s="60"/>
      <c r="JSF2488" s="60"/>
      <c r="JSG2488" s="58"/>
      <c r="JSH2488" s="61"/>
      <c r="JSI2488" s="58"/>
      <c r="JSJ2488" s="58"/>
      <c r="JSK2488" s="58"/>
      <c r="JSL2488" s="60"/>
      <c r="JSM2488" s="60"/>
      <c r="JSN2488" s="60"/>
      <c r="JSO2488" s="58"/>
      <c r="JSP2488" s="61"/>
      <c r="JSQ2488" s="58"/>
      <c r="JSR2488" s="58"/>
      <c r="JSS2488" s="58"/>
      <c r="JST2488" s="60"/>
      <c r="JSU2488" s="60"/>
      <c r="JSV2488" s="60"/>
      <c r="JSW2488" s="58"/>
      <c r="JSX2488" s="61"/>
      <c r="JSY2488" s="58"/>
      <c r="JSZ2488" s="58"/>
      <c r="JTA2488" s="58"/>
      <c r="JTB2488" s="60"/>
      <c r="JTC2488" s="60"/>
      <c r="JTD2488" s="60"/>
      <c r="JTE2488" s="58"/>
      <c r="JTF2488" s="61"/>
      <c r="JTG2488" s="58"/>
      <c r="JTH2488" s="58"/>
      <c r="JTI2488" s="58"/>
      <c r="JTJ2488" s="60"/>
      <c r="JTK2488" s="60"/>
      <c r="JTL2488" s="60"/>
      <c r="JTM2488" s="58"/>
      <c r="JTN2488" s="61"/>
      <c r="JTO2488" s="58"/>
      <c r="JTP2488" s="58"/>
      <c r="JTQ2488" s="58"/>
      <c r="JTR2488" s="60"/>
      <c r="JTS2488" s="60"/>
      <c r="JTT2488" s="60"/>
      <c r="JTU2488" s="58"/>
      <c r="JTV2488" s="61"/>
      <c r="JTW2488" s="58"/>
      <c r="JTX2488" s="58"/>
      <c r="JTY2488" s="58"/>
      <c r="JTZ2488" s="60"/>
      <c r="JUA2488" s="60"/>
      <c r="JUB2488" s="60"/>
      <c r="JUC2488" s="58"/>
      <c r="JUD2488" s="61"/>
      <c r="JUE2488" s="58"/>
      <c r="JUF2488" s="58"/>
      <c r="JUG2488" s="58"/>
      <c r="JUH2488" s="60"/>
      <c r="JUI2488" s="60"/>
      <c r="JUJ2488" s="60"/>
      <c r="JUK2488" s="58"/>
      <c r="JUL2488" s="61"/>
      <c r="JUM2488" s="58"/>
      <c r="JUN2488" s="58"/>
      <c r="JUO2488" s="58"/>
      <c r="JUP2488" s="60"/>
      <c r="JUQ2488" s="60"/>
      <c r="JUR2488" s="60"/>
      <c r="JUS2488" s="58"/>
      <c r="JUT2488" s="61"/>
      <c r="JUU2488" s="58"/>
      <c r="JUV2488" s="58"/>
      <c r="JUW2488" s="58"/>
      <c r="JUX2488" s="60"/>
      <c r="JUY2488" s="60"/>
      <c r="JUZ2488" s="60"/>
      <c r="JVA2488" s="58"/>
      <c r="JVB2488" s="61"/>
      <c r="JVC2488" s="58"/>
      <c r="JVD2488" s="58"/>
      <c r="JVE2488" s="58"/>
      <c r="JVF2488" s="60"/>
      <c r="JVG2488" s="60"/>
      <c r="JVH2488" s="60"/>
      <c r="JVI2488" s="58"/>
      <c r="JVJ2488" s="61"/>
      <c r="JVK2488" s="58"/>
      <c r="JVL2488" s="58"/>
      <c r="JVM2488" s="58"/>
      <c r="JVN2488" s="60"/>
      <c r="JVO2488" s="60"/>
      <c r="JVP2488" s="60"/>
      <c r="JVQ2488" s="58"/>
      <c r="JVR2488" s="61"/>
      <c r="JVS2488" s="58"/>
      <c r="JVT2488" s="58"/>
      <c r="JVU2488" s="58"/>
      <c r="JVV2488" s="60"/>
      <c r="JVW2488" s="60"/>
      <c r="JVX2488" s="60"/>
      <c r="JVY2488" s="58"/>
      <c r="JVZ2488" s="61"/>
      <c r="JWA2488" s="58"/>
      <c r="JWB2488" s="58"/>
      <c r="JWC2488" s="58"/>
      <c r="JWD2488" s="60"/>
      <c r="JWE2488" s="60"/>
      <c r="JWF2488" s="60"/>
      <c r="JWG2488" s="58"/>
      <c r="JWH2488" s="61"/>
      <c r="JWI2488" s="58"/>
      <c r="JWJ2488" s="58"/>
      <c r="JWK2488" s="58"/>
      <c r="JWL2488" s="60"/>
      <c r="JWM2488" s="60"/>
      <c r="JWN2488" s="60"/>
      <c r="JWO2488" s="58"/>
      <c r="JWP2488" s="61"/>
      <c r="JWQ2488" s="58"/>
      <c r="JWR2488" s="58"/>
      <c r="JWS2488" s="58"/>
      <c r="JWT2488" s="60"/>
      <c r="JWU2488" s="60"/>
      <c r="JWV2488" s="60"/>
      <c r="JWW2488" s="58"/>
      <c r="JWX2488" s="61"/>
      <c r="JWY2488" s="58"/>
      <c r="JWZ2488" s="58"/>
      <c r="JXA2488" s="58"/>
      <c r="JXB2488" s="60"/>
      <c r="JXC2488" s="60"/>
      <c r="JXD2488" s="60"/>
      <c r="JXE2488" s="58"/>
      <c r="JXF2488" s="61"/>
      <c r="JXG2488" s="58"/>
      <c r="JXH2488" s="58"/>
      <c r="JXI2488" s="58"/>
      <c r="JXJ2488" s="60"/>
      <c r="JXK2488" s="60"/>
      <c r="JXL2488" s="60"/>
      <c r="JXM2488" s="58"/>
      <c r="JXN2488" s="61"/>
      <c r="JXO2488" s="58"/>
      <c r="JXP2488" s="58"/>
      <c r="JXQ2488" s="58"/>
      <c r="JXR2488" s="60"/>
      <c r="JXS2488" s="60"/>
      <c r="JXT2488" s="60"/>
      <c r="JXU2488" s="58"/>
      <c r="JXV2488" s="61"/>
      <c r="JXW2488" s="58"/>
      <c r="JXX2488" s="58"/>
      <c r="JXY2488" s="58"/>
      <c r="JXZ2488" s="60"/>
      <c r="JYA2488" s="60"/>
      <c r="JYB2488" s="60"/>
      <c r="JYC2488" s="58"/>
      <c r="JYD2488" s="61"/>
      <c r="JYE2488" s="58"/>
      <c r="JYF2488" s="58"/>
      <c r="JYG2488" s="58"/>
      <c r="JYH2488" s="60"/>
      <c r="JYI2488" s="60"/>
      <c r="JYJ2488" s="60"/>
      <c r="JYK2488" s="58"/>
      <c r="JYL2488" s="61"/>
      <c r="JYM2488" s="58"/>
      <c r="JYN2488" s="58"/>
      <c r="JYO2488" s="58"/>
      <c r="JYP2488" s="60"/>
      <c r="JYQ2488" s="60"/>
      <c r="JYR2488" s="60"/>
      <c r="JYS2488" s="58"/>
      <c r="JYT2488" s="61"/>
      <c r="JYU2488" s="58"/>
      <c r="JYV2488" s="58"/>
      <c r="JYW2488" s="58"/>
      <c r="JYX2488" s="60"/>
      <c r="JYY2488" s="60"/>
      <c r="JYZ2488" s="60"/>
      <c r="JZA2488" s="58"/>
      <c r="JZB2488" s="61"/>
      <c r="JZC2488" s="58"/>
      <c r="JZD2488" s="58"/>
      <c r="JZE2488" s="58"/>
      <c r="JZF2488" s="60"/>
      <c r="JZG2488" s="60"/>
      <c r="JZH2488" s="60"/>
      <c r="JZI2488" s="58"/>
      <c r="JZJ2488" s="61"/>
      <c r="JZK2488" s="58"/>
      <c r="JZL2488" s="58"/>
      <c r="JZM2488" s="58"/>
      <c r="JZN2488" s="60"/>
      <c r="JZO2488" s="60"/>
      <c r="JZP2488" s="60"/>
      <c r="JZQ2488" s="58"/>
      <c r="JZR2488" s="61"/>
      <c r="JZS2488" s="58"/>
      <c r="JZT2488" s="58"/>
      <c r="JZU2488" s="58"/>
      <c r="JZV2488" s="60"/>
      <c r="JZW2488" s="60"/>
      <c r="JZX2488" s="60"/>
      <c r="JZY2488" s="58"/>
      <c r="JZZ2488" s="61"/>
      <c r="KAA2488" s="58"/>
      <c r="KAB2488" s="58"/>
      <c r="KAC2488" s="58"/>
      <c r="KAD2488" s="60"/>
      <c r="KAE2488" s="60"/>
      <c r="KAF2488" s="60"/>
      <c r="KAG2488" s="58"/>
      <c r="KAH2488" s="61"/>
      <c r="KAI2488" s="58"/>
      <c r="KAJ2488" s="58"/>
      <c r="KAK2488" s="58"/>
      <c r="KAL2488" s="60"/>
      <c r="KAM2488" s="60"/>
      <c r="KAN2488" s="60"/>
      <c r="KAO2488" s="58"/>
      <c r="KAP2488" s="61"/>
      <c r="KAQ2488" s="58"/>
      <c r="KAR2488" s="58"/>
      <c r="KAS2488" s="58"/>
      <c r="KAT2488" s="60"/>
      <c r="KAU2488" s="60"/>
      <c r="KAV2488" s="60"/>
      <c r="KAW2488" s="58"/>
      <c r="KAX2488" s="61"/>
      <c r="KAY2488" s="58"/>
      <c r="KAZ2488" s="58"/>
      <c r="KBA2488" s="58"/>
      <c r="KBB2488" s="60"/>
      <c r="KBC2488" s="60"/>
      <c r="KBD2488" s="60"/>
      <c r="KBE2488" s="58"/>
      <c r="KBF2488" s="61"/>
      <c r="KBG2488" s="58"/>
      <c r="KBH2488" s="58"/>
      <c r="KBI2488" s="58"/>
      <c r="KBJ2488" s="60"/>
      <c r="KBK2488" s="60"/>
      <c r="KBL2488" s="60"/>
      <c r="KBM2488" s="58"/>
      <c r="KBN2488" s="61"/>
      <c r="KBO2488" s="58"/>
      <c r="KBP2488" s="58"/>
      <c r="KBQ2488" s="58"/>
      <c r="KBR2488" s="60"/>
      <c r="KBS2488" s="60"/>
      <c r="KBT2488" s="60"/>
      <c r="KBU2488" s="58"/>
      <c r="KBV2488" s="61"/>
      <c r="KBW2488" s="58"/>
      <c r="KBX2488" s="58"/>
      <c r="KBY2488" s="58"/>
      <c r="KBZ2488" s="60"/>
      <c r="KCA2488" s="60"/>
      <c r="KCB2488" s="60"/>
      <c r="KCC2488" s="58"/>
      <c r="KCD2488" s="61"/>
      <c r="KCE2488" s="58"/>
      <c r="KCF2488" s="58"/>
      <c r="KCG2488" s="58"/>
      <c r="KCH2488" s="60"/>
      <c r="KCI2488" s="60"/>
      <c r="KCJ2488" s="60"/>
      <c r="KCK2488" s="58"/>
      <c r="KCL2488" s="61"/>
      <c r="KCM2488" s="58"/>
      <c r="KCN2488" s="58"/>
      <c r="KCO2488" s="58"/>
      <c r="KCP2488" s="60"/>
      <c r="KCQ2488" s="60"/>
      <c r="KCR2488" s="60"/>
      <c r="KCS2488" s="58"/>
      <c r="KCT2488" s="61"/>
      <c r="KCU2488" s="58"/>
      <c r="KCV2488" s="58"/>
      <c r="KCW2488" s="58"/>
      <c r="KCX2488" s="60"/>
      <c r="KCY2488" s="60"/>
      <c r="KCZ2488" s="60"/>
      <c r="KDA2488" s="58"/>
      <c r="KDB2488" s="61"/>
      <c r="KDC2488" s="58"/>
      <c r="KDD2488" s="58"/>
      <c r="KDE2488" s="58"/>
      <c r="KDF2488" s="60"/>
      <c r="KDG2488" s="60"/>
      <c r="KDH2488" s="60"/>
      <c r="KDI2488" s="58"/>
      <c r="KDJ2488" s="61"/>
      <c r="KDK2488" s="58"/>
      <c r="KDL2488" s="58"/>
      <c r="KDM2488" s="58"/>
      <c r="KDN2488" s="60"/>
      <c r="KDO2488" s="60"/>
      <c r="KDP2488" s="60"/>
      <c r="KDQ2488" s="58"/>
      <c r="KDR2488" s="61"/>
      <c r="KDS2488" s="58"/>
      <c r="KDT2488" s="58"/>
      <c r="KDU2488" s="58"/>
      <c r="KDV2488" s="60"/>
      <c r="KDW2488" s="60"/>
      <c r="KDX2488" s="60"/>
      <c r="KDY2488" s="58"/>
      <c r="KDZ2488" s="61"/>
      <c r="KEA2488" s="58"/>
      <c r="KEB2488" s="58"/>
      <c r="KEC2488" s="58"/>
      <c r="KED2488" s="60"/>
      <c r="KEE2488" s="60"/>
      <c r="KEF2488" s="60"/>
      <c r="KEG2488" s="58"/>
      <c r="KEH2488" s="61"/>
      <c r="KEI2488" s="58"/>
      <c r="KEJ2488" s="58"/>
      <c r="KEK2488" s="58"/>
      <c r="KEL2488" s="60"/>
      <c r="KEM2488" s="60"/>
      <c r="KEN2488" s="60"/>
      <c r="KEO2488" s="58"/>
      <c r="KEP2488" s="61"/>
      <c r="KEQ2488" s="58"/>
      <c r="KER2488" s="58"/>
      <c r="KES2488" s="58"/>
      <c r="KET2488" s="60"/>
      <c r="KEU2488" s="60"/>
      <c r="KEV2488" s="60"/>
      <c r="KEW2488" s="58"/>
      <c r="KEX2488" s="61"/>
      <c r="KEY2488" s="58"/>
      <c r="KEZ2488" s="58"/>
      <c r="KFA2488" s="58"/>
      <c r="KFB2488" s="60"/>
      <c r="KFC2488" s="60"/>
      <c r="KFD2488" s="60"/>
      <c r="KFE2488" s="58"/>
      <c r="KFF2488" s="61"/>
      <c r="KFG2488" s="58"/>
      <c r="KFH2488" s="58"/>
      <c r="KFI2488" s="58"/>
      <c r="KFJ2488" s="60"/>
      <c r="KFK2488" s="60"/>
      <c r="KFL2488" s="60"/>
      <c r="KFM2488" s="58"/>
      <c r="KFN2488" s="61"/>
      <c r="KFO2488" s="58"/>
      <c r="KFP2488" s="58"/>
      <c r="KFQ2488" s="58"/>
      <c r="KFR2488" s="60"/>
      <c r="KFS2488" s="60"/>
      <c r="KFT2488" s="60"/>
      <c r="KFU2488" s="58"/>
      <c r="KFV2488" s="61"/>
      <c r="KFW2488" s="58"/>
      <c r="KFX2488" s="58"/>
      <c r="KFY2488" s="58"/>
      <c r="KFZ2488" s="60"/>
      <c r="KGA2488" s="60"/>
      <c r="KGB2488" s="60"/>
      <c r="KGC2488" s="58"/>
      <c r="KGD2488" s="61"/>
      <c r="KGE2488" s="58"/>
      <c r="KGF2488" s="58"/>
      <c r="KGG2488" s="58"/>
      <c r="KGH2488" s="60"/>
      <c r="KGI2488" s="60"/>
      <c r="KGJ2488" s="60"/>
      <c r="KGK2488" s="58"/>
      <c r="KGL2488" s="61"/>
      <c r="KGM2488" s="58"/>
      <c r="KGN2488" s="58"/>
      <c r="KGO2488" s="58"/>
      <c r="KGP2488" s="60"/>
      <c r="KGQ2488" s="60"/>
      <c r="KGR2488" s="60"/>
      <c r="KGS2488" s="58"/>
      <c r="KGT2488" s="61"/>
      <c r="KGU2488" s="58"/>
      <c r="KGV2488" s="58"/>
      <c r="KGW2488" s="58"/>
      <c r="KGX2488" s="60"/>
      <c r="KGY2488" s="60"/>
      <c r="KGZ2488" s="60"/>
      <c r="KHA2488" s="58"/>
      <c r="KHB2488" s="61"/>
      <c r="KHC2488" s="58"/>
      <c r="KHD2488" s="58"/>
      <c r="KHE2488" s="58"/>
      <c r="KHF2488" s="60"/>
      <c r="KHG2488" s="60"/>
      <c r="KHH2488" s="60"/>
      <c r="KHI2488" s="58"/>
      <c r="KHJ2488" s="61"/>
      <c r="KHK2488" s="58"/>
      <c r="KHL2488" s="58"/>
      <c r="KHM2488" s="58"/>
      <c r="KHN2488" s="60"/>
      <c r="KHO2488" s="60"/>
      <c r="KHP2488" s="60"/>
      <c r="KHQ2488" s="58"/>
      <c r="KHR2488" s="61"/>
      <c r="KHS2488" s="58"/>
      <c r="KHT2488" s="58"/>
      <c r="KHU2488" s="58"/>
      <c r="KHV2488" s="60"/>
      <c r="KHW2488" s="60"/>
      <c r="KHX2488" s="60"/>
      <c r="KHY2488" s="58"/>
      <c r="KHZ2488" s="61"/>
      <c r="KIA2488" s="58"/>
      <c r="KIB2488" s="58"/>
      <c r="KIC2488" s="58"/>
      <c r="KID2488" s="60"/>
      <c r="KIE2488" s="60"/>
      <c r="KIF2488" s="60"/>
      <c r="KIG2488" s="58"/>
      <c r="KIH2488" s="61"/>
      <c r="KII2488" s="58"/>
      <c r="KIJ2488" s="58"/>
      <c r="KIK2488" s="58"/>
      <c r="KIL2488" s="60"/>
      <c r="KIM2488" s="60"/>
      <c r="KIN2488" s="60"/>
      <c r="KIO2488" s="58"/>
      <c r="KIP2488" s="61"/>
      <c r="KIQ2488" s="58"/>
      <c r="KIR2488" s="58"/>
      <c r="KIS2488" s="58"/>
      <c r="KIT2488" s="60"/>
      <c r="KIU2488" s="60"/>
      <c r="KIV2488" s="60"/>
      <c r="KIW2488" s="58"/>
      <c r="KIX2488" s="61"/>
      <c r="KIY2488" s="58"/>
      <c r="KIZ2488" s="58"/>
      <c r="KJA2488" s="58"/>
      <c r="KJB2488" s="60"/>
      <c r="KJC2488" s="60"/>
      <c r="KJD2488" s="60"/>
      <c r="KJE2488" s="58"/>
      <c r="KJF2488" s="61"/>
      <c r="KJG2488" s="58"/>
      <c r="KJH2488" s="58"/>
      <c r="KJI2488" s="58"/>
      <c r="KJJ2488" s="60"/>
      <c r="KJK2488" s="60"/>
      <c r="KJL2488" s="60"/>
      <c r="KJM2488" s="58"/>
      <c r="KJN2488" s="61"/>
      <c r="KJO2488" s="58"/>
      <c r="KJP2488" s="58"/>
      <c r="KJQ2488" s="58"/>
      <c r="KJR2488" s="60"/>
      <c r="KJS2488" s="60"/>
      <c r="KJT2488" s="60"/>
      <c r="KJU2488" s="58"/>
      <c r="KJV2488" s="61"/>
      <c r="KJW2488" s="58"/>
      <c r="KJX2488" s="58"/>
      <c r="KJY2488" s="58"/>
      <c r="KJZ2488" s="60"/>
      <c r="KKA2488" s="60"/>
      <c r="KKB2488" s="60"/>
      <c r="KKC2488" s="58"/>
      <c r="KKD2488" s="61"/>
      <c r="KKE2488" s="58"/>
      <c r="KKF2488" s="58"/>
      <c r="KKG2488" s="58"/>
      <c r="KKH2488" s="60"/>
      <c r="KKI2488" s="60"/>
      <c r="KKJ2488" s="60"/>
      <c r="KKK2488" s="58"/>
      <c r="KKL2488" s="61"/>
      <c r="KKM2488" s="58"/>
      <c r="KKN2488" s="58"/>
      <c r="KKO2488" s="58"/>
      <c r="KKP2488" s="60"/>
      <c r="KKQ2488" s="60"/>
      <c r="KKR2488" s="60"/>
      <c r="KKS2488" s="58"/>
      <c r="KKT2488" s="61"/>
      <c r="KKU2488" s="58"/>
      <c r="KKV2488" s="58"/>
      <c r="KKW2488" s="58"/>
      <c r="KKX2488" s="60"/>
      <c r="KKY2488" s="60"/>
      <c r="KKZ2488" s="60"/>
      <c r="KLA2488" s="58"/>
      <c r="KLB2488" s="61"/>
      <c r="KLC2488" s="58"/>
      <c r="KLD2488" s="58"/>
      <c r="KLE2488" s="58"/>
      <c r="KLF2488" s="60"/>
      <c r="KLG2488" s="60"/>
      <c r="KLH2488" s="60"/>
      <c r="KLI2488" s="58"/>
      <c r="KLJ2488" s="61"/>
      <c r="KLK2488" s="58"/>
      <c r="KLL2488" s="58"/>
      <c r="KLM2488" s="58"/>
      <c r="KLN2488" s="60"/>
      <c r="KLO2488" s="60"/>
      <c r="KLP2488" s="60"/>
      <c r="KLQ2488" s="58"/>
      <c r="KLR2488" s="61"/>
      <c r="KLS2488" s="58"/>
      <c r="KLT2488" s="58"/>
      <c r="KLU2488" s="58"/>
      <c r="KLV2488" s="60"/>
      <c r="KLW2488" s="60"/>
      <c r="KLX2488" s="60"/>
      <c r="KLY2488" s="58"/>
      <c r="KLZ2488" s="61"/>
      <c r="KMA2488" s="58"/>
      <c r="KMB2488" s="58"/>
      <c r="KMC2488" s="58"/>
      <c r="KMD2488" s="60"/>
      <c r="KME2488" s="60"/>
      <c r="KMF2488" s="60"/>
      <c r="KMG2488" s="58"/>
      <c r="KMH2488" s="61"/>
      <c r="KMI2488" s="58"/>
      <c r="KMJ2488" s="58"/>
      <c r="KMK2488" s="58"/>
      <c r="KML2488" s="60"/>
      <c r="KMM2488" s="60"/>
      <c r="KMN2488" s="60"/>
      <c r="KMO2488" s="58"/>
      <c r="KMP2488" s="61"/>
      <c r="KMQ2488" s="58"/>
      <c r="KMR2488" s="58"/>
      <c r="KMS2488" s="58"/>
      <c r="KMT2488" s="60"/>
      <c r="KMU2488" s="60"/>
      <c r="KMV2488" s="60"/>
      <c r="KMW2488" s="58"/>
      <c r="KMX2488" s="61"/>
      <c r="KMY2488" s="58"/>
      <c r="KMZ2488" s="58"/>
      <c r="KNA2488" s="58"/>
      <c r="KNB2488" s="60"/>
      <c r="KNC2488" s="60"/>
      <c r="KND2488" s="60"/>
      <c r="KNE2488" s="58"/>
      <c r="KNF2488" s="61"/>
      <c r="KNG2488" s="58"/>
      <c r="KNH2488" s="58"/>
      <c r="KNI2488" s="58"/>
      <c r="KNJ2488" s="60"/>
      <c r="KNK2488" s="60"/>
      <c r="KNL2488" s="60"/>
      <c r="KNM2488" s="58"/>
      <c r="KNN2488" s="61"/>
      <c r="KNO2488" s="58"/>
      <c r="KNP2488" s="58"/>
      <c r="KNQ2488" s="58"/>
      <c r="KNR2488" s="60"/>
      <c r="KNS2488" s="60"/>
      <c r="KNT2488" s="60"/>
      <c r="KNU2488" s="58"/>
      <c r="KNV2488" s="61"/>
      <c r="KNW2488" s="58"/>
      <c r="KNX2488" s="58"/>
      <c r="KNY2488" s="58"/>
      <c r="KNZ2488" s="60"/>
      <c r="KOA2488" s="60"/>
      <c r="KOB2488" s="60"/>
      <c r="KOC2488" s="58"/>
      <c r="KOD2488" s="61"/>
      <c r="KOE2488" s="58"/>
      <c r="KOF2488" s="58"/>
      <c r="KOG2488" s="58"/>
      <c r="KOH2488" s="60"/>
      <c r="KOI2488" s="60"/>
      <c r="KOJ2488" s="60"/>
      <c r="KOK2488" s="58"/>
      <c r="KOL2488" s="61"/>
      <c r="KOM2488" s="58"/>
      <c r="KON2488" s="58"/>
      <c r="KOO2488" s="58"/>
      <c r="KOP2488" s="60"/>
      <c r="KOQ2488" s="60"/>
      <c r="KOR2488" s="60"/>
      <c r="KOS2488" s="58"/>
      <c r="KOT2488" s="61"/>
      <c r="KOU2488" s="58"/>
      <c r="KOV2488" s="58"/>
      <c r="KOW2488" s="58"/>
      <c r="KOX2488" s="60"/>
      <c r="KOY2488" s="60"/>
      <c r="KOZ2488" s="60"/>
      <c r="KPA2488" s="58"/>
      <c r="KPB2488" s="61"/>
      <c r="KPC2488" s="58"/>
      <c r="KPD2488" s="58"/>
      <c r="KPE2488" s="58"/>
      <c r="KPF2488" s="60"/>
      <c r="KPG2488" s="60"/>
      <c r="KPH2488" s="60"/>
      <c r="KPI2488" s="58"/>
      <c r="KPJ2488" s="61"/>
      <c r="KPK2488" s="58"/>
      <c r="KPL2488" s="58"/>
      <c r="KPM2488" s="58"/>
      <c r="KPN2488" s="60"/>
      <c r="KPO2488" s="60"/>
      <c r="KPP2488" s="60"/>
      <c r="KPQ2488" s="58"/>
      <c r="KPR2488" s="61"/>
      <c r="KPS2488" s="58"/>
      <c r="KPT2488" s="58"/>
      <c r="KPU2488" s="58"/>
      <c r="KPV2488" s="60"/>
      <c r="KPW2488" s="60"/>
      <c r="KPX2488" s="60"/>
      <c r="KPY2488" s="58"/>
      <c r="KPZ2488" s="61"/>
      <c r="KQA2488" s="58"/>
      <c r="KQB2488" s="58"/>
      <c r="KQC2488" s="58"/>
      <c r="KQD2488" s="60"/>
      <c r="KQE2488" s="60"/>
      <c r="KQF2488" s="60"/>
      <c r="KQG2488" s="58"/>
      <c r="KQH2488" s="61"/>
      <c r="KQI2488" s="58"/>
      <c r="KQJ2488" s="58"/>
      <c r="KQK2488" s="58"/>
      <c r="KQL2488" s="60"/>
      <c r="KQM2488" s="60"/>
      <c r="KQN2488" s="60"/>
      <c r="KQO2488" s="58"/>
      <c r="KQP2488" s="61"/>
      <c r="KQQ2488" s="58"/>
      <c r="KQR2488" s="58"/>
      <c r="KQS2488" s="58"/>
      <c r="KQT2488" s="60"/>
      <c r="KQU2488" s="60"/>
      <c r="KQV2488" s="60"/>
      <c r="KQW2488" s="58"/>
      <c r="KQX2488" s="61"/>
      <c r="KQY2488" s="58"/>
      <c r="KQZ2488" s="58"/>
      <c r="KRA2488" s="58"/>
      <c r="KRB2488" s="60"/>
      <c r="KRC2488" s="60"/>
      <c r="KRD2488" s="60"/>
      <c r="KRE2488" s="58"/>
      <c r="KRF2488" s="61"/>
      <c r="KRG2488" s="58"/>
      <c r="KRH2488" s="58"/>
      <c r="KRI2488" s="58"/>
      <c r="KRJ2488" s="60"/>
      <c r="KRK2488" s="60"/>
      <c r="KRL2488" s="60"/>
      <c r="KRM2488" s="58"/>
      <c r="KRN2488" s="61"/>
      <c r="KRO2488" s="58"/>
      <c r="KRP2488" s="58"/>
      <c r="KRQ2488" s="58"/>
      <c r="KRR2488" s="60"/>
      <c r="KRS2488" s="60"/>
      <c r="KRT2488" s="60"/>
      <c r="KRU2488" s="58"/>
      <c r="KRV2488" s="61"/>
      <c r="KRW2488" s="58"/>
      <c r="KRX2488" s="58"/>
      <c r="KRY2488" s="58"/>
      <c r="KRZ2488" s="60"/>
      <c r="KSA2488" s="60"/>
      <c r="KSB2488" s="60"/>
      <c r="KSC2488" s="58"/>
      <c r="KSD2488" s="61"/>
      <c r="KSE2488" s="58"/>
      <c r="KSF2488" s="58"/>
      <c r="KSG2488" s="58"/>
      <c r="KSH2488" s="60"/>
      <c r="KSI2488" s="60"/>
      <c r="KSJ2488" s="60"/>
      <c r="KSK2488" s="58"/>
      <c r="KSL2488" s="61"/>
      <c r="KSM2488" s="58"/>
      <c r="KSN2488" s="58"/>
      <c r="KSO2488" s="58"/>
      <c r="KSP2488" s="60"/>
      <c r="KSQ2488" s="60"/>
      <c r="KSR2488" s="60"/>
      <c r="KSS2488" s="58"/>
      <c r="KST2488" s="61"/>
      <c r="KSU2488" s="58"/>
      <c r="KSV2488" s="58"/>
      <c r="KSW2488" s="58"/>
      <c r="KSX2488" s="60"/>
      <c r="KSY2488" s="60"/>
      <c r="KSZ2488" s="60"/>
      <c r="KTA2488" s="58"/>
      <c r="KTB2488" s="61"/>
      <c r="KTC2488" s="58"/>
      <c r="KTD2488" s="58"/>
      <c r="KTE2488" s="58"/>
      <c r="KTF2488" s="60"/>
      <c r="KTG2488" s="60"/>
      <c r="KTH2488" s="60"/>
      <c r="KTI2488" s="58"/>
      <c r="KTJ2488" s="61"/>
      <c r="KTK2488" s="58"/>
      <c r="KTL2488" s="58"/>
      <c r="KTM2488" s="58"/>
      <c r="KTN2488" s="60"/>
      <c r="KTO2488" s="60"/>
      <c r="KTP2488" s="60"/>
      <c r="KTQ2488" s="58"/>
      <c r="KTR2488" s="61"/>
      <c r="KTS2488" s="58"/>
      <c r="KTT2488" s="58"/>
      <c r="KTU2488" s="58"/>
      <c r="KTV2488" s="60"/>
      <c r="KTW2488" s="60"/>
      <c r="KTX2488" s="60"/>
      <c r="KTY2488" s="58"/>
      <c r="KTZ2488" s="61"/>
      <c r="KUA2488" s="58"/>
      <c r="KUB2488" s="58"/>
      <c r="KUC2488" s="58"/>
      <c r="KUD2488" s="60"/>
      <c r="KUE2488" s="60"/>
      <c r="KUF2488" s="60"/>
      <c r="KUG2488" s="58"/>
      <c r="KUH2488" s="61"/>
      <c r="KUI2488" s="58"/>
      <c r="KUJ2488" s="58"/>
      <c r="KUK2488" s="58"/>
      <c r="KUL2488" s="60"/>
      <c r="KUM2488" s="60"/>
      <c r="KUN2488" s="60"/>
      <c r="KUO2488" s="58"/>
      <c r="KUP2488" s="61"/>
      <c r="KUQ2488" s="58"/>
      <c r="KUR2488" s="58"/>
      <c r="KUS2488" s="58"/>
      <c r="KUT2488" s="60"/>
      <c r="KUU2488" s="60"/>
      <c r="KUV2488" s="60"/>
      <c r="KUW2488" s="58"/>
      <c r="KUX2488" s="61"/>
      <c r="KUY2488" s="58"/>
      <c r="KUZ2488" s="58"/>
      <c r="KVA2488" s="58"/>
      <c r="KVB2488" s="60"/>
      <c r="KVC2488" s="60"/>
      <c r="KVD2488" s="60"/>
      <c r="KVE2488" s="58"/>
      <c r="KVF2488" s="61"/>
      <c r="KVG2488" s="58"/>
      <c r="KVH2488" s="58"/>
      <c r="KVI2488" s="58"/>
      <c r="KVJ2488" s="60"/>
      <c r="KVK2488" s="60"/>
      <c r="KVL2488" s="60"/>
      <c r="KVM2488" s="58"/>
      <c r="KVN2488" s="61"/>
      <c r="KVO2488" s="58"/>
      <c r="KVP2488" s="58"/>
      <c r="KVQ2488" s="58"/>
      <c r="KVR2488" s="60"/>
      <c r="KVS2488" s="60"/>
      <c r="KVT2488" s="60"/>
      <c r="KVU2488" s="58"/>
      <c r="KVV2488" s="61"/>
      <c r="KVW2488" s="58"/>
      <c r="KVX2488" s="58"/>
      <c r="KVY2488" s="58"/>
      <c r="KVZ2488" s="60"/>
      <c r="KWA2488" s="60"/>
      <c r="KWB2488" s="60"/>
      <c r="KWC2488" s="58"/>
      <c r="KWD2488" s="61"/>
      <c r="KWE2488" s="58"/>
      <c r="KWF2488" s="58"/>
      <c r="KWG2488" s="58"/>
      <c r="KWH2488" s="60"/>
      <c r="KWI2488" s="60"/>
      <c r="KWJ2488" s="60"/>
      <c r="KWK2488" s="58"/>
      <c r="KWL2488" s="61"/>
      <c r="KWM2488" s="58"/>
      <c r="KWN2488" s="58"/>
      <c r="KWO2488" s="58"/>
      <c r="KWP2488" s="60"/>
      <c r="KWQ2488" s="60"/>
      <c r="KWR2488" s="60"/>
      <c r="KWS2488" s="58"/>
      <c r="KWT2488" s="61"/>
      <c r="KWU2488" s="58"/>
      <c r="KWV2488" s="58"/>
      <c r="KWW2488" s="58"/>
      <c r="KWX2488" s="60"/>
      <c r="KWY2488" s="60"/>
      <c r="KWZ2488" s="60"/>
      <c r="KXA2488" s="58"/>
      <c r="KXB2488" s="61"/>
      <c r="KXC2488" s="58"/>
      <c r="KXD2488" s="58"/>
      <c r="KXE2488" s="58"/>
      <c r="KXF2488" s="60"/>
      <c r="KXG2488" s="60"/>
      <c r="KXH2488" s="60"/>
      <c r="KXI2488" s="58"/>
      <c r="KXJ2488" s="61"/>
      <c r="KXK2488" s="58"/>
      <c r="KXL2488" s="58"/>
      <c r="KXM2488" s="58"/>
      <c r="KXN2488" s="60"/>
      <c r="KXO2488" s="60"/>
      <c r="KXP2488" s="60"/>
      <c r="KXQ2488" s="58"/>
      <c r="KXR2488" s="61"/>
      <c r="KXS2488" s="58"/>
      <c r="KXT2488" s="58"/>
      <c r="KXU2488" s="58"/>
      <c r="KXV2488" s="60"/>
      <c r="KXW2488" s="60"/>
      <c r="KXX2488" s="60"/>
      <c r="KXY2488" s="58"/>
      <c r="KXZ2488" s="61"/>
      <c r="KYA2488" s="58"/>
      <c r="KYB2488" s="58"/>
      <c r="KYC2488" s="58"/>
      <c r="KYD2488" s="60"/>
      <c r="KYE2488" s="60"/>
      <c r="KYF2488" s="60"/>
      <c r="KYG2488" s="58"/>
      <c r="KYH2488" s="61"/>
      <c r="KYI2488" s="58"/>
      <c r="KYJ2488" s="58"/>
      <c r="KYK2488" s="58"/>
      <c r="KYL2488" s="60"/>
      <c r="KYM2488" s="60"/>
      <c r="KYN2488" s="60"/>
      <c r="KYO2488" s="58"/>
      <c r="KYP2488" s="61"/>
      <c r="KYQ2488" s="58"/>
      <c r="KYR2488" s="58"/>
      <c r="KYS2488" s="58"/>
      <c r="KYT2488" s="60"/>
      <c r="KYU2488" s="60"/>
      <c r="KYV2488" s="60"/>
      <c r="KYW2488" s="58"/>
      <c r="KYX2488" s="61"/>
      <c r="KYY2488" s="58"/>
      <c r="KYZ2488" s="58"/>
      <c r="KZA2488" s="58"/>
      <c r="KZB2488" s="60"/>
      <c r="KZC2488" s="60"/>
      <c r="KZD2488" s="60"/>
      <c r="KZE2488" s="58"/>
      <c r="KZF2488" s="61"/>
      <c r="KZG2488" s="58"/>
      <c r="KZH2488" s="58"/>
      <c r="KZI2488" s="58"/>
      <c r="KZJ2488" s="60"/>
      <c r="KZK2488" s="60"/>
      <c r="KZL2488" s="60"/>
      <c r="KZM2488" s="58"/>
      <c r="KZN2488" s="61"/>
      <c r="KZO2488" s="58"/>
      <c r="KZP2488" s="58"/>
      <c r="KZQ2488" s="58"/>
      <c r="KZR2488" s="60"/>
      <c r="KZS2488" s="60"/>
      <c r="KZT2488" s="60"/>
      <c r="KZU2488" s="58"/>
      <c r="KZV2488" s="61"/>
      <c r="KZW2488" s="58"/>
      <c r="KZX2488" s="58"/>
      <c r="KZY2488" s="58"/>
      <c r="KZZ2488" s="60"/>
      <c r="LAA2488" s="60"/>
      <c r="LAB2488" s="60"/>
      <c r="LAC2488" s="58"/>
      <c r="LAD2488" s="61"/>
      <c r="LAE2488" s="58"/>
      <c r="LAF2488" s="58"/>
      <c r="LAG2488" s="58"/>
      <c r="LAH2488" s="60"/>
      <c r="LAI2488" s="60"/>
      <c r="LAJ2488" s="60"/>
      <c r="LAK2488" s="58"/>
      <c r="LAL2488" s="61"/>
      <c r="LAM2488" s="58"/>
      <c r="LAN2488" s="58"/>
      <c r="LAO2488" s="58"/>
      <c r="LAP2488" s="60"/>
      <c r="LAQ2488" s="60"/>
      <c r="LAR2488" s="60"/>
      <c r="LAS2488" s="58"/>
      <c r="LAT2488" s="61"/>
      <c r="LAU2488" s="58"/>
      <c r="LAV2488" s="58"/>
      <c r="LAW2488" s="58"/>
      <c r="LAX2488" s="60"/>
      <c r="LAY2488" s="60"/>
      <c r="LAZ2488" s="60"/>
      <c r="LBA2488" s="58"/>
      <c r="LBB2488" s="61"/>
      <c r="LBC2488" s="58"/>
      <c r="LBD2488" s="58"/>
      <c r="LBE2488" s="58"/>
      <c r="LBF2488" s="60"/>
      <c r="LBG2488" s="60"/>
      <c r="LBH2488" s="60"/>
      <c r="LBI2488" s="58"/>
      <c r="LBJ2488" s="61"/>
      <c r="LBK2488" s="58"/>
      <c r="LBL2488" s="58"/>
      <c r="LBM2488" s="58"/>
      <c r="LBN2488" s="60"/>
      <c r="LBO2488" s="60"/>
      <c r="LBP2488" s="60"/>
      <c r="LBQ2488" s="58"/>
      <c r="LBR2488" s="61"/>
      <c r="LBS2488" s="58"/>
      <c r="LBT2488" s="58"/>
      <c r="LBU2488" s="58"/>
      <c r="LBV2488" s="60"/>
      <c r="LBW2488" s="60"/>
      <c r="LBX2488" s="60"/>
      <c r="LBY2488" s="58"/>
      <c r="LBZ2488" s="61"/>
      <c r="LCA2488" s="58"/>
      <c r="LCB2488" s="58"/>
      <c r="LCC2488" s="58"/>
      <c r="LCD2488" s="60"/>
      <c r="LCE2488" s="60"/>
      <c r="LCF2488" s="60"/>
      <c r="LCG2488" s="58"/>
      <c r="LCH2488" s="61"/>
      <c r="LCI2488" s="58"/>
      <c r="LCJ2488" s="58"/>
      <c r="LCK2488" s="58"/>
      <c r="LCL2488" s="60"/>
      <c r="LCM2488" s="60"/>
      <c r="LCN2488" s="60"/>
      <c r="LCO2488" s="58"/>
      <c r="LCP2488" s="61"/>
      <c r="LCQ2488" s="58"/>
      <c r="LCR2488" s="58"/>
      <c r="LCS2488" s="58"/>
      <c r="LCT2488" s="60"/>
      <c r="LCU2488" s="60"/>
      <c r="LCV2488" s="60"/>
      <c r="LCW2488" s="58"/>
      <c r="LCX2488" s="61"/>
      <c r="LCY2488" s="58"/>
      <c r="LCZ2488" s="58"/>
      <c r="LDA2488" s="58"/>
      <c r="LDB2488" s="60"/>
      <c r="LDC2488" s="60"/>
      <c r="LDD2488" s="60"/>
      <c r="LDE2488" s="58"/>
      <c r="LDF2488" s="61"/>
      <c r="LDG2488" s="58"/>
      <c r="LDH2488" s="58"/>
      <c r="LDI2488" s="58"/>
      <c r="LDJ2488" s="60"/>
      <c r="LDK2488" s="60"/>
      <c r="LDL2488" s="60"/>
      <c r="LDM2488" s="58"/>
      <c r="LDN2488" s="61"/>
      <c r="LDO2488" s="58"/>
      <c r="LDP2488" s="58"/>
      <c r="LDQ2488" s="58"/>
      <c r="LDR2488" s="60"/>
      <c r="LDS2488" s="60"/>
      <c r="LDT2488" s="60"/>
      <c r="LDU2488" s="58"/>
      <c r="LDV2488" s="61"/>
      <c r="LDW2488" s="58"/>
      <c r="LDX2488" s="58"/>
      <c r="LDY2488" s="58"/>
      <c r="LDZ2488" s="60"/>
      <c r="LEA2488" s="60"/>
      <c r="LEB2488" s="60"/>
      <c r="LEC2488" s="58"/>
      <c r="LED2488" s="61"/>
      <c r="LEE2488" s="58"/>
      <c r="LEF2488" s="58"/>
      <c r="LEG2488" s="58"/>
      <c r="LEH2488" s="60"/>
      <c r="LEI2488" s="60"/>
      <c r="LEJ2488" s="60"/>
      <c r="LEK2488" s="58"/>
      <c r="LEL2488" s="61"/>
      <c r="LEM2488" s="58"/>
      <c r="LEN2488" s="58"/>
      <c r="LEO2488" s="58"/>
      <c r="LEP2488" s="60"/>
      <c r="LEQ2488" s="60"/>
      <c r="LER2488" s="60"/>
      <c r="LES2488" s="58"/>
      <c r="LET2488" s="61"/>
      <c r="LEU2488" s="58"/>
      <c r="LEV2488" s="58"/>
      <c r="LEW2488" s="58"/>
      <c r="LEX2488" s="60"/>
      <c r="LEY2488" s="60"/>
      <c r="LEZ2488" s="60"/>
      <c r="LFA2488" s="58"/>
      <c r="LFB2488" s="61"/>
      <c r="LFC2488" s="58"/>
      <c r="LFD2488" s="58"/>
      <c r="LFE2488" s="58"/>
      <c r="LFF2488" s="60"/>
      <c r="LFG2488" s="60"/>
      <c r="LFH2488" s="60"/>
      <c r="LFI2488" s="58"/>
      <c r="LFJ2488" s="61"/>
      <c r="LFK2488" s="58"/>
      <c r="LFL2488" s="58"/>
      <c r="LFM2488" s="58"/>
      <c r="LFN2488" s="60"/>
      <c r="LFO2488" s="60"/>
      <c r="LFP2488" s="60"/>
      <c r="LFQ2488" s="58"/>
      <c r="LFR2488" s="61"/>
      <c r="LFS2488" s="58"/>
      <c r="LFT2488" s="58"/>
      <c r="LFU2488" s="58"/>
      <c r="LFV2488" s="60"/>
      <c r="LFW2488" s="60"/>
      <c r="LFX2488" s="60"/>
      <c r="LFY2488" s="58"/>
      <c r="LFZ2488" s="61"/>
      <c r="LGA2488" s="58"/>
      <c r="LGB2488" s="58"/>
      <c r="LGC2488" s="58"/>
      <c r="LGD2488" s="60"/>
      <c r="LGE2488" s="60"/>
      <c r="LGF2488" s="60"/>
      <c r="LGG2488" s="58"/>
      <c r="LGH2488" s="61"/>
      <c r="LGI2488" s="58"/>
      <c r="LGJ2488" s="58"/>
      <c r="LGK2488" s="58"/>
      <c r="LGL2488" s="60"/>
      <c r="LGM2488" s="60"/>
      <c r="LGN2488" s="60"/>
      <c r="LGO2488" s="58"/>
      <c r="LGP2488" s="61"/>
      <c r="LGQ2488" s="58"/>
      <c r="LGR2488" s="58"/>
      <c r="LGS2488" s="58"/>
      <c r="LGT2488" s="60"/>
      <c r="LGU2488" s="60"/>
      <c r="LGV2488" s="60"/>
      <c r="LGW2488" s="58"/>
      <c r="LGX2488" s="61"/>
      <c r="LGY2488" s="58"/>
      <c r="LGZ2488" s="58"/>
      <c r="LHA2488" s="58"/>
      <c r="LHB2488" s="60"/>
      <c r="LHC2488" s="60"/>
      <c r="LHD2488" s="60"/>
      <c r="LHE2488" s="58"/>
      <c r="LHF2488" s="61"/>
      <c r="LHG2488" s="58"/>
      <c r="LHH2488" s="58"/>
      <c r="LHI2488" s="58"/>
      <c r="LHJ2488" s="60"/>
      <c r="LHK2488" s="60"/>
      <c r="LHL2488" s="60"/>
      <c r="LHM2488" s="58"/>
      <c r="LHN2488" s="61"/>
      <c r="LHO2488" s="58"/>
      <c r="LHP2488" s="58"/>
      <c r="LHQ2488" s="58"/>
      <c r="LHR2488" s="60"/>
      <c r="LHS2488" s="60"/>
      <c r="LHT2488" s="60"/>
      <c r="LHU2488" s="58"/>
      <c r="LHV2488" s="61"/>
      <c r="LHW2488" s="58"/>
      <c r="LHX2488" s="58"/>
      <c r="LHY2488" s="58"/>
      <c r="LHZ2488" s="60"/>
      <c r="LIA2488" s="60"/>
      <c r="LIB2488" s="60"/>
      <c r="LIC2488" s="58"/>
      <c r="LID2488" s="61"/>
      <c r="LIE2488" s="58"/>
      <c r="LIF2488" s="58"/>
      <c r="LIG2488" s="58"/>
      <c r="LIH2488" s="60"/>
      <c r="LII2488" s="60"/>
      <c r="LIJ2488" s="60"/>
      <c r="LIK2488" s="58"/>
      <c r="LIL2488" s="61"/>
      <c r="LIM2488" s="58"/>
      <c r="LIN2488" s="58"/>
      <c r="LIO2488" s="58"/>
      <c r="LIP2488" s="60"/>
      <c r="LIQ2488" s="60"/>
      <c r="LIR2488" s="60"/>
      <c r="LIS2488" s="58"/>
      <c r="LIT2488" s="61"/>
      <c r="LIU2488" s="58"/>
      <c r="LIV2488" s="58"/>
      <c r="LIW2488" s="58"/>
      <c r="LIX2488" s="60"/>
      <c r="LIY2488" s="60"/>
      <c r="LIZ2488" s="60"/>
      <c r="LJA2488" s="58"/>
      <c r="LJB2488" s="61"/>
      <c r="LJC2488" s="58"/>
      <c r="LJD2488" s="58"/>
      <c r="LJE2488" s="58"/>
      <c r="LJF2488" s="60"/>
      <c r="LJG2488" s="60"/>
      <c r="LJH2488" s="60"/>
      <c r="LJI2488" s="58"/>
      <c r="LJJ2488" s="61"/>
      <c r="LJK2488" s="58"/>
      <c r="LJL2488" s="58"/>
      <c r="LJM2488" s="58"/>
      <c r="LJN2488" s="60"/>
      <c r="LJO2488" s="60"/>
      <c r="LJP2488" s="60"/>
      <c r="LJQ2488" s="58"/>
      <c r="LJR2488" s="61"/>
      <c r="LJS2488" s="58"/>
      <c r="LJT2488" s="58"/>
      <c r="LJU2488" s="58"/>
      <c r="LJV2488" s="60"/>
      <c r="LJW2488" s="60"/>
      <c r="LJX2488" s="60"/>
      <c r="LJY2488" s="58"/>
      <c r="LJZ2488" s="61"/>
      <c r="LKA2488" s="58"/>
      <c r="LKB2488" s="58"/>
      <c r="LKC2488" s="58"/>
      <c r="LKD2488" s="60"/>
      <c r="LKE2488" s="60"/>
      <c r="LKF2488" s="60"/>
      <c r="LKG2488" s="58"/>
      <c r="LKH2488" s="61"/>
      <c r="LKI2488" s="58"/>
      <c r="LKJ2488" s="58"/>
      <c r="LKK2488" s="58"/>
      <c r="LKL2488" s="60"/>
      <c r="LKM2488" s="60"/>
      <c r="LKN2488" s="60"/>
      <c r="LKO2488" s="58"/>
      <c r="LKP2488" s="61"/>
      <c r="LKQ2488" s="58"/>
      <c r="LKR2488" s="58"/>
      <c r="LKS2488" s="58"/>
      <c r="LKT2488" s="60"/>
      <c r="LKU2488" s="60"/>
      <c r="LKV2488" s="60"/>
      <c r="LKW2488" s="58"/>
      <c r="LKX2488" s="61"/>
      <c r="LKY2488" s="58"/>
      <c r="LKZ2488" s="58"/>
      <c r="LLA2488" s="58"/>
      <c r="LLB2488" s="60"/>
      <c r="LLC2488" s="60"/>
      <c r="LLD2488" s="60"/>
      <c r="LLE2488" s="58"/>
      <c r="LLF2488" s="61"/>
      <c r="LLG2488" s="58"/>
      <c r="LLH2488" s="58"/>
      <c r="LLI2488" s="58"/>
      <c r="LLJ2488" s="60"/>
      <c r="LLK2488" s="60"/>
      <c r="LLL2488" s="60"/>
      <c r="LLM2488" s="58"/>
      <c r="LLN2488" s="61"/>
      <c r="LLO2488" s="58"/>
      <c r="LLP2488" s="58"/>
      <c r="LLQ2488" s="58"/>
      <c r="LLR2488" s="60"/>
      <c r="LLS2488" s="60"/>
      <c r="LLT2488" s="60"/>
      <c r="LLU2488" s="58"/>
      <c r="LLV2488" s="61"/>
      <c r="LLW2488" s="58"/>
      <c r="LLX2488" s="58"/>
      <c r="LLY2488" s="58"/>
      <c r="LLZ2488" s="60"/>
      <c r="LMA2488" s="60"/>
      <c r="LMB2488" s="60"/>
      <c r="LMC2488" s="58"/>
      <c r="LMD2488" s="61"/>
      <c r="LME2488" s="58"/>
      <c r="LMF2488" s="58"/>
      <c r="LMG2488" s="58"/>
      <c r="LMH2488" s="60"/>
      <c r="LMI2488" s="60"/>
      <c r="LMJ2488" s="60"/>
      <c r="LMK2488" s="58"/>
      <c r="LML2488" s="61"/>
      <c r="LMM2488" s="58"/>
      <c r="LMN2488" s="58"/>
      <c r="LMO2488" s="58"/>
      <c r="LMP2488" s="60"/>
      <c r="LMQ2488" s="60"/>
      <c r="LMR2488" s="60"/>
      <c r="LMS2488" s="58"/>
      <c r="LMT2488" s="61"/>
      <c r="LMU2488" s="58"/>
      <c r="LMV2488" s="58"/>
      <c r="LMW2488" s="58"/>
      <c r="LMX2488" s="60"/>
      <c r="LMY2488" s="60"/>
      <c r="LMZ2488" s="60"/>
      <c r="LNA2488" s="58"/>
      <c r="LNB2488" s="61"/>
      <c r="LNC2488" s="58"/>
      <c r="LND2488" s="58"/>
      <c r="LNE2488" s="58"/>
      <c r="LNF2488" s="60"/>
      <c r="LNG2488" s="60"/>
      <c r="LNH2488" s="60"/>
      <c r="LNI2488" s="58"/>
      <c r="LNJ2488" s="61"/>
      <c r="LNK2488" s="58"/>
      <c r="LNL2488" s="58"/>
      <c r="LNM2488" s="58"/>
      <c r="LNN2488" s="60"/>
      <c r="LNO2488" s="60"/>
      <c r="LNP2488" s="60"/>
      <c r="LNQ2488" s="58"/>
      <c r="LNR2488" s="61"/>
      <c r="LNS2488" s="58"/>
      <c r="LNT2488" s="58"/>
      <c r="LNU2488" s="58"/>
      <c r="LNV2488" s="60"/>
      <c r="LNW2488" s="60"/>
      <c r="LNX2488" s="60"/>
      <c r="LNY2488" s="58"/>
      <c r="LNZ2488" s="61"/>
      <c r="LOA2488" s="58"/>
      <c r="LOB2488" s="58"/>
      <c r="LOC2488" s="58"/>
      <c r="LOD2488" s="60"/>
      <c r="LOE2488" s="60"/>
      <c r="LOF2488" s="60"/>
      <c r="LOG2488" s="58"/>
      <c r="LOH2488" s="61"/>
      <c r="LOI2488" s="58"/>
      <c r="LOJ2488" s="58"/>
      <c r="LOK2488" s="58"/>
      <c r="LOL2488" s="60"/>
      <c r="LOM2488" s="60"/>
      <c r="LON2488" s="60"/>
      <c r="LOO2488" s="58"/>
      <c r="LOP2488" s="61"/>
      <c r="LOQ2488" s="58"/>
      <c r="LOR2488" s="58"/>
      <c r="LOS2488" s="58"/>
      <c r="LOT2488" s="60"/>
      <c r="LOU2488" s="60"/>
      <c r="LOV2488" s="60"/>
      <c r="LOW2488" s="58"/>
      <c r="LOX2488" s="61"/>
      <c r="LOY2488" s="58"/>
      <c r="LOZ2488" s="58"/>
      <c r="LPA2488" s="58"/>
      <c r="LPB2488" s="60"/>
      <c r="LPC2488" s="60"/>
      <c r="LPD2488" s="60"/>
      <c r="LPE2488" s="58"/>
      <c r="LPF2488" s="61"/>
      <c r="LPG2488" s="58"/>
      <c r="LPH2488" s="58"/>
      <c r="LPI2488" s="58"/>
      <c r="LPJ2488" s="60"/>
      <c r="LPK2488" s="60"/>
      <c r="LPL2488" s="60"/>
      <c r="LPM2488" s="58"/>
      <c r="LPN2488" s="61"/>
      <c r="LPO2488" s="58"/>
      <c r="LPP2488" s="58"/>
      <c r="LPQ2488" s="58"/>
      <c r="LPR2488" s="60"/>
      <c r="LPS2488" s="60"/>
      <c r="LPT2488" s="60"/>
      <c r="LPU2488" s="58"/>
      <c r="LPV2488" s="61"/>
      <c r="LPW2488" s="58"/>
      <c r="LPX2488" s="58"/>
      <c r="LPY2488" s="58"/>
      <c r="LPZ2488" s="60"/>
      <c r="LQA2488" s="60"/>
      <c r="LQB2488" s="60"/>
      <c r="LQC2488" s="58"/>
      <c r="LQD2488" s="61"/>
      <c r="LQE2488" s="58"/>
      <c r="LQF2488" s="58"/>
      <c r="LQG2488" s="58"/>
      <c r="LQH2488" s="60"/>
      <c r="LQI2488" s="60"/>
      <c r="LQJ2488" s="60"/>
      <c r="LQK2488" s="58"/>
      <c r="LQL2488" s="61"/>
      <c r="LQM2488" s="58"/>
      <c r="LQN2488" s="58"/>
      <c r="LQO2488" s="58"/>
      <c r="LQP2488" s="60"/>
      <c r="LQQ2488" s="60"/>
      <c r="LQR2488" s="60"/>
      <c r="LQS2488" s="58"/>
      <c r="LQT2488" s="61"/>
      <c r="LQU2488" s="58"/>
      <c r="LQV2488" s="58"/>
      <c r="LQW2488" s="58"/>
      <c r="LQX2488" s="60"/>
      <c r="LQY2488" s="60"/>
      <c r="LQZ2488" s="60"/>
      <c r="LRA2488" s="58"/>
      <c r="LRB2488" s="61"/>
      <c r="LRC2488" s="58"/>
      <c r="LRD2488" s="58"/>
      <c r="LRE2488" s="58"/>
      <c r="LRF2488" s="60"/>
      <c r="LRG2488" s="60"/>
      <c r="LRH2488" s="60"/>
      <c r="LRI2488" s="58"/>
      <c r="LRJ2488" s="61"/>
      <c r="LRK2488" s="58"/>
      <c r="LRL2488" s="58"/>
      <c r="LRM2488" s="58"/>
      <c r="LRN2488" s="60"/>
      <c r="LRO2488" s="60"/>
      <c r="LRP2488" s="60"/>
      <c r="LRQ2488" s="58"/>
      <c r="LRR2488" s="61"/>
      <c r="LRS2488" s="58"/>
      <c r="LRT2488" s="58"/>
      <c r="LRU2488" s="58"/>
      <c r="LRV2488" s="60"/>
      <c r="LRW2488" s="60"/>
      <c r="LRX2488" s="60"/>
      <c r="LRY2488" s="58"/>
      <c r="LRZ2488" s="61"/>
      <c r="LSA2488" s="58"/>
      <c r="LSB2488" s="58"/>
      <c r="LSC2488" s="58"/>
      <c r="LSD2488" s="60"/>
      <c r="LSE2488" s="60"/>
      <c r="LSF2488" s="60"/>
      <c r="LSG2488" s="58"/>
      <c r="LSH2488" s="61"/>
      <c r="LSI2488" s="58"/>
      <c r="LSJ2488" s="58"/>
      <c r="LSK2488" s="58"/>
      <c r="LSL2488" s="60"/>
      <c r="LSM2488" s="60"/>
      <c r="LSN2488" s="60"/>
      <c r="LSO2488" s="58"/>
      <c r="LSP2488" s="61"/>
      <c r="LSQ2488" s="58"/>
      <c r="LSR2488" s="58"/>
      <c r="LSS2488" s="58"/>
      <c r="LST2488" s="60"/>
      <c r="LSU2488" s="60"/>
      <c r="LSV2488" s="60"/>
      <c r="LSW2488" s="58"/>
      <c r="LSX2488" s="61"/>
      <c r="LSY2488" s="58"/>
      <c r="LSZ2488" s="58"/>
      <c r="LTA2488" s="58"/>
      <c r="LTB2488" s="60"/>
      <c r="LTC2488" s="60"/>
      <c r="LTD2488" s="60"/>
      <c r="LTE2488" s="58"/>
      <c r="LTF2488" s="61"/>
      <c r="LTG2488" s="58"/>
      <c r="LTH2488" s="58"/>
      <c r="LTI2488" s="58"/>
      <c r="LTJ2488" s="60"/>
      <c r="LTK2488" s="60"/>
      <c r="LTL2488" s="60"/>
      <c r="LTM2488" s="58"/>
      <c r="LTN2488" s="61"/>
      <c r="LTO2488" s="58"/>
      <c r="LTP2488" s="58"/>
      <c r="LTQ2488" s="58"/>
      <c r="LTR2488" s="60"/>
      <c r="LTS2488" s="60"/>
      <c r="LTT2488" s="60"/>
      <c r="LTU2488" s="58"/>
      <c r="LTV2488" s="61"/>
      <c r="LTW2488" s="58"/>
      <c r="LTX2488" s="58"/>
      <c r="LTY2488" s="58"/>
      <c r="LTZ2488" s="60"/>
      <c r="LUA2488" s="60"/>
      <c r="LUB2488" s="60"/>
      <c r="LUC2488" s="58"/>
      <c r="LUD2488" s="61"/>
      <c r="LUE2488" s="58"/>
      <c r="LUF2488" s="58"/>
      <c r="LUG2488" s="58"/>
      <c r="LUH2488" s="60"/>
      <c r="LUI2488" s="60"/>
      <c r="LUJ2488" s="60"/>
      <c r="LUK2488" s="58"/>
      <c r="LUL2488" s="61"/>
      <c r="LUM2488" s="58"/>
      <c r="LUN2488" s="58"/>
      <c r="LUO2488" s="58"/>
      <c r="LUP2488" s="60"/>
      <c r="LUQ2488" s="60"/>
      <c r="LUR2488" s="60"/>
      <c r="LUS2488" s="58"/>
      <c r="LUT2488" s="61"/>
      <c r="LUU2488" s="58"/>
      <c r="LUV2488" s="58"/>
      <c r="LUW2488" s="58"/>
      <c r="LUX2488" s="60"/>
      <c r="LUY2488" s="60"/>
      <c r="LUZ2488" s="60"/>
      <c r="LVA2488" s="58"/>
      <c r="LVB2488" s="61"/>
      <c r="LVC2488" s="58"/>
      <c r="LVD2488" s="58"/>
      <c r="LVE2488" s="58"/>
      <c r="LVF2488" s="60"/>
      <c r="LVG2488" s="60"/>
      <c r="LVH2488" s="60"/>
      <c r="LVI2488" s="58"/>
      <c r="LVJ2488" s="61"/>
      <c r="LVK2488" s="58"/>
      <c r="LVL2488" s="58"/>
      <c r="LVM2488" s="58"/>
      <c r="LVN2488" s="60"/>
      <c r="LVO2488" s="60"/>
      <c r="LVP2488" s="60"/>
      <c r="LVQ2488" s="58"/>
      <c r="LVR2488" s="61"/>
      <c r="LVS2488" s="58"/>
      <c r="LVT2488" s="58"/>
      <c r="LVU2488" s="58"/>
      <c r="LVV2488" s="60"/>
      <c r="LVW2488" s="60"/>
      <c r="LVX2488" s="60"/>
      <c r="LVY2488" s="58"/>
      <c r="LVZ2488" s="61"/>
      <c r="LWA2488" s="58"/>
      <c r="LWB2488" s="58"/>
      <c r="LWC2488" s="58"/>
      <c r="LWD2488" s="60"/>
      <c r="LWE2488" s="60"/>
      <c r="LWF2488" s="60"/>
      <c r="LWG2488" s="58"/>
      <c r="LWH2488" s="61"/>
      <c r="LWI2488" s="58"/>
      <c r="LWJ2488" s="58"/>
      <c r="LWK2488" s="58"/>
      <c r="LWL2488" s="60"/>
      <c r="LWM2488" s="60"/>
      <c r="LWN2488" s="60"/>
      <c r="LWO2488" s="58"/>
      <c r="LWP2488" s="61"/>
      <c r="LWQ2488" s="58"/>
      <c r="LWR2488" s="58"/>
      <c r="LWS2488" s="58"/>
      <c r="LWT2488" s="60"/>
      <c r="LWU2488" s="60"/>
      <c r="LWV2488" s="60"/>
      <c r="LWW2488" s="58"/>
      <c r="LWX2488" s="61"/>
      <c r="LWY2488" s="58"/>
      <c r="LWZ2488" s="58"/>
      <c r="LXA2488" s="58"/>
      <c r="LXB2488" s="60"/>
      <c r="LXC2488" s="60"/>
      <c r="LXD2488" s="60"/>
      <c r="LXE2488" s="58"/>
      <c r="LXF2488" s="61"/>
      <c r="LXG2488" s="58"/>
      <c r="LXH2488" s="58"/>
      <c r="LXI2488" s="58"/>
      <c r="LXJ2488" s="60"/>
      <c r="LXK2488" s="60"/>
      <c r="LXL2488" s="60"/>
      <c r="LXM2488" s="58"/>
      <c r="LXN2488" s="61"/>
      <c r="LXO2488" s="58"/>
      <c r="LXP2488" s="58"/>
      <c r="LXQ2488" s="58"/>
      <c r="LXR2488" s="60"/>
      <c r="LXS2488" s="60"/>
      <c r="LXT2488" s="60"/>
      <c r="LXU2488" s="58"/>
      <c r="LXV2488" s="61"/>
      <c r="LXW2488" s="58"/>
      <c r="LXX2488" s="58"/>
      <c r="LXY2488" s="58"/>
      <c r="LXZ2488" s="60"/>
      <c r="LYA2488" s="60"/>
      <c r="LYB2488" s="60"/>
      <c r="LYC2488" s="58"/>
      <c r="LYD2488" s="61"/>
      <c r="LYE2488" s="58"/>
      <c r="LYF2488" s="58"/>
      <c r="LYG2488" s="58"/>
      <c r="LYH2488" s="60"/>
      <c r="LYI2488" s="60"/>
      <c r="LYJ2488" s="60"/>
      <c r="LYK2488" s="58"/>
      <c r="LYL2488" s="61"/>
      <c r="LYM2488" s="58"/>
      <c r="LYN2488" s="58"/>
      <c r="LYO2488" s="58"/>
      <c r="LYP2488" s="60"/>
      <c r="LYQ2488" s="60"/>
      <c r="LYR2488" s="60"/>
      <c r="LYS2488" s="58"/>
      <c r="LYT2488" s="61"/>
      <c r="LYU2488" s="58"/>
      <c r="LYV2488" s="58"/>
      <c r="LYW2488" s="58"/>
      <c r="LYX2488" s="60"/>
      <c r="LYY2488" s="60"/>
      <c r="LYZ2488" s="60"/>
      <c r="LZA2488" s="58"/>
      <c r="LZB2488" s="61"/>
      <c r="LZC2488" s="58"/>
      <c r="LZD2488" s="58"/>
      <c r="LZE2488" s="58"/>
      <c r="LZF2488" s="60"/>
      <c r="LZG2488" s="60"/>
      <c r="LZH2488" s="60"/>
      <c r="LZI2488" s="58"/>
      <c r="LZJ2488" s="61"/>
      <c r="LZK2488" s="58"/>
      <c r="LZL2488" s="58"/>
      <c r="LZM2488" s="58"/>
      <c r="LZN2488" s="60"/>
      <c r="LZO2488" s="60"/>
      <c r="LZP2488" s="60"/>
      <c r="LZQ2488" s="58"/>
      <c r="LZR2488" s="61"/>
      <c r="LZS2488" s="58"/>
      <c r="LZT2488" s="58"/>
      <c r="LZU2488" s="58"/>
      <c r="LZV2488" s="60"/>
      <c r="LZW2488" s="60"/>
      <c r="LZX2488" s="60"/>
      <c r="LZY2488" s="58"/>
      <c r="LZZ2488" s="61"/>
      <c r="MAA2488" s="58"/>
      <c r="MAB2488" s="58"/>
      <c r="MAC2488" s="58"/>
      <c r="MAD2488" s="60"/>
      <c r="MAE2488" s="60"/>
      <c r="MAF2488" s="60"/>
      <c r="MAG2488" s="58"/>
      <c r="MAH2488" s="61"/>
      <c r="MAI2488" s="58"/>
      <c r="MAJ2488" s="58"/>
      <c r="MAK2488" s="58"/>
      <c r="MAL2488" s="60"/>
      <c r="MAM2488" s="60"/>
      <c r="MAN2488" s="60"/>
      <c r="MAO2488" s="58"/>
      <c r="MAP2488" s="61"/>
      <c r="MAQ2488" s="58"/>
      <c r="MAR2488" s="58"/>
      <c r="MAS2488" s="58"/>
      <c r="MAT2488" s="60"/>
      <c r="MAU2488" s="60"/>
      <c r="MAV2488" s="60"/>
      <c r="MAW2488" s="58"/>
      <c r="MAX2488" s="61"/>
      <c r="MAY2488" s="58"/>
      <c r="MAZ2488" s="58"/>
      <c r="MBA2488" s="58"/>
      <c r="MBB2488" s="60"/>
      <c r="MBC2488" s="60"/>
      <c r="MBD2488" s="60"/>
      <c r="MBE2488" s="58"/>
      <c r="MBF2488" s="61"/>
      <c r="MBG2488" s="58"/>
      <c r="MBH2488" s="58"/>
      <c r="MBI2488" s="58"/>
      <c r="MBJ2488" s="60"/>
      <c r="MBK2488" s="60"/>
      <c r="MBL2488" s="60"/>
      <c r="MBM2488" s="58"/>
      <c r="MBN2488" s="61"/>
      <c r="MBO2488" s="58"/>
      <c r="MBP2488" s="58"/>
      <c r="MBQ2488" s="58"/>
      <c r="MBR2488" s="60"/>
      <c r="MBS2488" s="60"/>
      <c r="MBT2488" s="60"/>
      <c r="MBU2488" s="58"/>
      <c r="MBV2488" s="61"/>
      <c r="MBW2488" s="58"/>
      <c r="MBX2488" s="58"/>
      <c r="MBY2488" s="58"/>
      <c r="MBZ2488" s="60"/>
      <c r="MCA2488" s="60"/>
      <c r="MCB2488" s="60"/>
      <c r="MCC2488" s="58"/>
      <c r="MCD2488" s="61"/>
      <c r="MCE2488" s="58"/>
      <c r="MCF2488" s="58"/>
      <c r="MCG2488" s="58"/>
      <c r="MCH2488" s="60"/>
      <c r="MCI2488" s="60"/>
      <c r="MCJ2488" s="60"/>
      <c r="MCK2488" s="58"/>
      <c r="MCL2488" s="61"/>
      <c r="MCM2488" s="58"/>
      <c r="MCN2488" s="58"/>
      <c r="MCO2488" s="58"/>
      <c r="MCP2488" s="60"/>
      <c r="MCQ2488" s="60"/>
      <c r="MCR2488" s="60"/>
      <c r="MCS2488" s="58"/>
      <c r="MCT2488" s="61"/>
      <c r="MCU2488" s="58"/>
      <c r="MCV2488" s="58"/>
      <c r="MCW2488" s="58"/>
      <c r="MCX2488" s="60"/>
      <c r="MCY2488" s="60"/>
      <c r="MCZ2488" s="60"/>
      <c r="MDA2488" s="58"/>
      <c r="MDB2488" s="61"/>
      <c r="MDC2488" s="58"/>
      <c r="MDD2488" s="58"/>
      <c r="MDE2488" s="58"/>
      <c r="MDF2488" s="60"/>
      <c r="MDG2488" s="60"/>
      <c r="MDH2488" s="60"/>
      <c r="MDI2488" s="58"/>
      <c r="MDJ2488" s="61"/>
      <c r="MDK2488" s="58"/>
      <c r="MDL2488" s="58"/>
      <c r="MDM2488" s="58"/>
      <c r="MDN2488" s="60"/>
      <c r="MDO2488" s="60"/>
      <c r="MDP2488" s="60"/>
      <c r="MDQ2488" s="58"/>
      <c r="MDR2488" s="61"/>
      <c r="MDS2488" s="58"/>
      <c r="MDT2488" s="58"/>
      <c r="MDU2488" s="58"/>
      <c r="MDV2488" s="60"/>
      <c r="MDW2488" s="60"/>
      <c r="MDX2488" s="60"/>
      <c r="MDY2488" s="58"/>
      <c r="MDZ2488" s="61"/>
      <c r="MEA2488" s="58"/>
      <c r="MEB2488" s="58"/>
      <c r="MEC2488" s="58"/>
      <c r="MED2488" s="60"/>
      <c r="MEE2488" s="60"/>
      <c r="MEF2488" s="60"/>
      <c r="MEG2488" s="58"/>
      <c r="MEH2488" s="61"/>
      <c r="MEI2488" s="58"/>
      <c r="MEJ2488" s="58"/>
      <c r="MEK2488" s="58"/>
      <c r="MEL2488" s="60"/>
      <c r="MEM2488" s="60"/>
      <c r="MEN2488" s="60"/>
      <c r="MEO2488" s="58"/>
      <c r="MEP2488" s="61"/>
      <c r="MEQ2488" s="58"/>
      <c r="MER2488" s="58"/>
      <c r="MES2488" s="58"/>
      <c r="MET2488" s="60"/>
      <c r="MEU2488" s="60"/>
      <c r="MEV2488" s="60"/>
      <c r="MEW2488" s="58"/>
      <c r="MEX2488" s="61"/>
      <c r="MEY2488" s="58"/>
      <c r="MEZ2488" s="58"/>
      <c r="MFA2488" s="58"/>
      <c r="MFB2488" s="60"/>
      <c r="MFC2488" s="60"/>
      <c r="MFD2488" s="60"/>
      <c r="MFE2488" s="58"/>
      <c r="MFF2488" s="61"/>
      <c r="MFG2488" s="58"/>
      <c r="MFH2488" s="58"/>
      <c r="MFI2488" s="58"/>
      <c r="MFJ2488" s="60"/>
      <c r="MFK2488" s="60"/>
      <c r="MFL2488" s="60"/>
      <c r="MFM2488" s="58"/>
      <c r="MFN2488" s="61"/>
      <c r="MFO2488" s="58"/>
      <c r="MFP2488" s="58"/>
      <c r="MFQ2488" s="58"/>
      <c r="MFR2488" s="60"/>
      <c r="MFS2488" s="60"/>
      <c r="MFT2488" s="60"/>
      <c r="MFU2488" s="58"/>
      <c r="MFV2488" s="61"/>
      <c r="MFW2488" s="58"/>
      <c r="MFX2488" s="58"/>
      <c r="MFY2488" s="58"/>
      <c r="MFZ2488" s="60"/>
      <c r="MGA2488" s="60"/>
      <c r="MGB2488" s="60"/>
      <c r="MGC2488" s="58"/>
      <c r="MGD2488" s="61"/>
      <c r="MGE2488" s="58"/>
      <c r="MGF2488" s="58"/>
      <c r="MGG2488" s="58"/>
      <c r="MGH2488" s="60"/>
      <c r="MGI2488" s="60"/>
      <c r="MGJ2488" s="60"/>
      <c r="MGK2488" s="58"/>
      <c r="MGL2488" s="61"/>
      <c r="MGM2488" s="58"/>
      <c r="MGN2488" s="58"/>
      <c r="MGO2488" s="58"/>
      <c r="MGP2488" s="60"/>
      <c r="MGQ2488" s="60"/>
      <c r="MGR2488" s="60"/>
      <c r="MGS2488" s="58"/>
      <c r="MGT2488" s="61"/>
      <c r="MGU2488" s="58"/>
      <c r="MGV2488" s="58"/>
      <c r="MGW2488" s="58"/>
      <c r="MGX2488" s="60"/>
      <c r="MGY2488" s="60"/>
      <c r="MGZ2488" s="60"/>
      <c r="MHA2488" s="58"/>
      <c r="MHB2488" s="61"/>
      <c r="MHC2488" s="58"/>
      <c r="MHD2488" s="58"/>
      <c r="MHE2488" s="58"/>
      <c r="MHF2488" s="60"/>
      <c r="MHG2488" s="60"/>
      <c r="MHH2488" s="60"/>
      <c r="MHI2488" s="58"/>
      <c r="MHJ2488" s="61"/>
      <c r="MHK2488" s="58"/>
      <c r="MHL2488" s="58"/>
      <c r="MHM2488" s="58"/>
      <c r="MHN2488" s="60"/>
      <c r="MHO2488" s="60"/>
      <c r="MHP2488" s="60"/>
      <c r="MHQ2488" s="58"/>
      <c r="MHR2488" s="61"/>
      <c r="MHS2488" s="58"/>
      <c r="MHT2488" s="58"/>
      <c r="MHU2488" s="58"/>
      <c r="MHV2488" s="60"/>
      <c r="MHW2488" s="60"/>
      <c r="MHX2488" s="60"/>
      <c r="MHY2488" s="58"/>
      <c r="MHZ2488" s="61"/>
      <c r="MIA2488" s="58"/>
      <c r="MIB2488" s="58"/>
      <c r="MIC2488" s="58"/>
      <c r="MID2488" s="60"/>
      <c r="MIE2488" s="60"/>
      <c r="MIF2488" s="60"/>
      <c r="MIG2488" s="58"/>
      <c r="MIH2488" s="61"/>
      <c r="MII2488" s="58"/>
      <c r="MIJ2488" s="58"/>
      <c r="MIK2488" s="58"/>
      <c r="MIL2488" s="60"/>
      <c r="MIM2488" s="60"/>
      <c r="MIN2488" s="60"/>
      <c r="MIO2488" s="58"/>
      <c r="MIP2488" s="61"/>
      <c r="MIQ2488" s="58"/>
      <c r="MIR2488" s="58"/>
      <c r="MIS2488" s="58"/>
      <c r="MIT2488" s="60"/>
      <c r="MIU2488" s="60"/>
      <c r="MIV2488" s="60"/>
      <c r="MIW2488" s="58"/>
      <c r="MIX2488" s="61"/>
      <c r="MIY2488" s="58"/>
      <c r="MIZ2488" s="58"/>
      <c r="MJA2488" s="58"/>
      <c r="MJB2488" s="60"/>
      <c r="MJC2488" s="60"/>
      <c r="MJD2488" s="60"/>
      <c r="MJE2488" s="58"/>
      <c r="MJF2488" s="61"/>
      <c r="MJG2488" s="58"/>
      <c r="MJH2488" s="58"/>
      <c r="MJI2488" s="58"/>
      <c r="MJJ2488" s="60"/>
      <c r="MJK2488" s="60"/>
      <c r="MJL2488" s="60"/>
      <c r="MJM2488" s="58"/>
      <c r="MJN2488" s="61"/>
      <c r="MJO2488" s="58"/>
      <c r="MJP2488" s="58"/>
      <c r="MJQ2488" s="58"/>
      <c r="MJR2488" s="60"/>
      <c r="MJS2488" s="60"/>
      <c r="MJT2488" s="60"/>
      <c r="MJU2488" s="58"/>
      <c r="MJV2488" s="61"/>
      <c r="MJW2488" s="58"/>
      <c r="MJX2488" s="58"/>
      <c r="MJY2488" s="58"/>
      <c r="MJZ2488" s="60"/>
      <c r="MKA2488" s="60"/>
      <c r="MKB2488" s="60"/>
      <c r="MKC2488" s="58"/>
      <c r="MKD2488" s="61"/>
      <c r="MKE2488" s="58"/>
      <c r="MKF2488" s="58"/>
      <c r="MKG2488" s="58"/>
      <c r="MKH2488" s="60"/>
      <c r="MKI2488" s="60"/>
      <c r="MKJ2488" s="60"/>
      <c r="MKK2488" s="58"/>
      <c r="MKL2488" s="61"/>
      <c r="MKM2488" s="58"/>
      <c r="MKN2488" s="58"/>
      <c r="MKO2488" s="58"/>
      <c r="MKP2488" s="60"/>
      <c r="MKQ2488" s="60"/>
      <c r="MKR2488" s="60"/>
      <c r="MKS2488" s="58"/>
      <c r="MKT2488" s="61"/>
      <c r="MKU2488" s="58"/>
      <c r="MKV2488" s="58"/>
      <c r="MKW2488" s="58"/>
      <c r="MKX2488" s="60"/>
      <c r="MKY2488" s="60"/>
      <c r="MKZ2488" s="60"/>
      <c r="MLA2488" s="58"/>
      <c r="MLB2488" s="61"/>
      <c r="MLC2488" s="58"/>
      <c r="MLD2488" s="58"/>
      <c r="MLE2488" s="58"/>
      <c r="MLF2488" s="60"/>
      <c r="MLG2488" s="60"/>
      <c r="MLH2488" s="60"/>
      <c r="MLI2488" s="58"/>
      <c r="MLJ2488" s="61"/>
      <c r="MLK2488" s="58"/>
      <c r="MLL2488" s="58"/>
      <c r="MLM2488" s="58"/>
      <c r="MLN2488" s="60"/>
      <c r="MLO2488" s="60"/>
      <c r="MLP2488" s="60"/>
      <c r="MLQ2488" s="58"/>
      <c r="MLR2488" s="61"/>
      <c r="MLS2488" s="58"/>
      <c r="MLT2488" s="58"/>
      <c r="MLU2488" s="58"/>
      <c r="MLV2488" s="60"/>
      <c r="MLW2488" s="60"/>
      <c r="MLX2488" s="60"/>
      <c r="MLY2488" s="58"/>
      <c r="MLZ2488" s="61"/>
      <c r="MMA2488" s="58"/>
      <c r="MMB2488" s="58"/>
      <c r="MMC2488" s="58"/>
      <c r="MMD2488" s="60"/>
      <c r="MME2488" s="60"/>
      <c r="MMF2488" s="60"/>
      <c r="MMG2488" s="58"/>
      <c r="MMH2488" s="61"/>
      <c r="MMI2488" s="58"/>
      <c r="MMJ2488" s="58"/>
      <c r="MMK2488" s="58"/>
      <c r="MML2488" s="60"/>
      <c r="MMM2488" s="60"/>
      <c r="MMN2488" s="60"/>
      <c r="MMO2488" s="58"/>
      <c r="MMP2488" s="61"/>
      <c r="MMQ2488" s="58"/>
      <c r="MMR2488" s="58"/>
      <c r="MMS2488" s="58"/>
      <c r="MMT2488" s="60"/>
      <c r="MMU2488" s="60"/>
      <c r="MMV2488" s="60"/>
      <c r="MMW2488" s="58"/>
      <c r="MMX2488" s="61"/>
      <c r="MMY2488" s="58"/>
      <c r="MMZ2488" s="58"/>
      <c r="MNA2488" s="58"/>
      <c r="MNB2488" s="60"/>
      <c r="MNC2488" s="60"/>
      <c r="MND2488" s="60"/>
      <c r="MNE2488" s="58"/>
      <c r="MNF2488" s="61"/>
      <c r="MNG2488" s="58"/>
      <c r="MNH2488" s="58"/>
      <c r="MNI2488" s="58"/>
      <c r="MNJ2488" s="60"/>
      <c r="MNK2488" s="60"/>
      <c r="MNL2488" s="60"/>
      <c r="MNM2488" s="58"/>
      <c r="MNN2488" s="61"/>
      <c r="MNO2488" s="58"/>
      <c r="MNP2488" s="58"/>
      <c r="MNQ2488" s="58"/>
      <c r="MNR2488" s="60"/>
      <c r="MNS2488" s="60"/>
      <c r="MNT2488" s="60"/>
      <c r="MNU2488" s="58"/>
      <c r="MNV2488" s="61"/>
      <c r="MNW2488" s="58"/>
      <c r="MNX2488" s="58"/>
      <c r="MNY2488" s="58"/>
      <c r="MNZ2488" s="60"/>
      <c r="MOA2488" s="60"/>
      <c r="MOB2488" s="60"/>
      <c r="MOC2488" s="58"/>
      <c r="MOD2488" s="61"/>
      <c r="MOE2488" s="58"/>
      <c r="MOF2488" s="58"/>
      <c r="MOG2488" s="58"/>
      <c r="MOH2488" s="60"/>
      <c r="MOI2488" s="60"/>
      <c r="MOJ2488" s="60"/>
      <c r="MOK2488" s="58"/>
      <c r="MOL2488" s="61"/>
      <c r="MOM2488" s="58"/>
      <c r="MON2488" s="58"/>
      <c r="MOO2488" s="58"/>
      <c r="MOP2488" s="60"/>
      <c r="MOQ2488" s="60"/>
      <c r="MOR2488" s="60"/>
      <c r="MOS2488" s="58"/>
      <c r="MOT2488" s="61"/>
      <c r="MOU2488" s="58"/>
      <c r="MOV2488" s="58"/>
      <c r="MOW2488" s="58"/>
      <c r="MOX2488" s="60"/>
      <c r="MOY2488" s="60"/>
      <c r="MOZ2488" s="60"/>
      <c r="MPA2488" s="58"/>
      <c r="MPB2488" s="61"/>
      <c r="MPC2488" s="58"/>
      <c r="MPD2488" s="58"/>
      <c r="MPE2488" s="58"/>
      <c r="MPF2488" s="60"/>
      <c r="MPG2488" s="60"/>
      <c r="MPH2488" s="60"/>
      <c r="MPI2488" s="58"/>
      <c r="MPJ2488" s="61"/>
      <c r="MPK2488" s="58"/>
      <c r="MPL2488" s="58"/>
      <c r="MPM2488" s="58"/>
      <c r="MPN2488" s="60"/>
      <c r="MPO2488" s="60"/>
      <c r="MPP2488" s="60"/>
      <c r="MPQ2488" s="58"/>
      <c r="MPR2488" s="61"/>
      <c r="MPS2488" s="58"/>
      <c r="MPT2488" s="58"/>
      <c r="MPU2488" s="58"/>
      <c r="MPV2488" s="60"/>
      <c r="MPW2488" s="60"/>
      <c r="MPX2488" s="60"/>
      <c r="MPY2488" s="58"/>
      <c r="MPZ2488" s="61"/>
      <c r="MQA2488" s="58"/>
      <c r="MQB2488" s="58"/>
      <c r="MQC2488" s="58"/>
      <c r="MQD2488" s="60"/>
      <c r="MQE2488" s="60"/>
      <c r="MQF2488" s="60"/>
      <c r="MQG2488" s="58"/>
      <c r="MQH2488" s="61"/>
      <c r="MQI2488" s="58"/>
      <c r="MQJ2488" s="58"/>
      <c r="MQK2488" s="58"/>
      <c r="MQL2488" s="60"/>
      <c r="MQM2488" s="60"/>
      <c r="MQN2488" s="60"/>
      <c r="MQO2488" s="58"/>
      <c r="MQP2488" s="61"/>
      <c r="MQQ2488" s="58"/>
      <c r="MQR2488" s="58"/>
      <c r="MQS2488" s="58"/>
      <c r="MQT2488" s="60"/>
      <c r="MQU2488" s="60"/>
      <c r="MQV2488" s="60"/>
      <c r="MQW2488" s="58"/>
      <c r="MQX2488" s="61"/>
      <c r="MQY2488" s="58"/>
      <c r="MQZ2488" s="58"/>
      <c r="MRA2488" s="58"/>
      <c r="MRB2488" s="60"/>
      <c r="MRC2488" s="60"/>
      <c r="MRD2488" s="60"/>
      <c r="MRE2488" s="58"/>
      <c r="MRF2488" s="61"/>
      <c r="MRG2488" s="58"/>
      <c r="MRH2488" s="58"/>
      <c r="MRI2488" s="58"/>
      <c r="MRJ2488" s="60"/>
      <c r="MRK2488" s="60"/>
      <c r="MRL2488" s="60"/>
      <c r="MRM2488" s="58"/>
      <c r="MRN2488" s="61"/>
      <c r="MRO2488" s="58"/>
      <c r="MRP2488" s="58"/>
      <c r="MRQ2488" s="58"/>
      <c r="MRR2488" s="60"/>
      <c r="MRS2488" s="60"/>
      <c r="MRT2488" s="60"/>
      <c r="MRU2488" s="58"/>
      <c r="MRV2488" s="61"/>
      <c r="MRW2488" s="58"/>
      <c r="MRX2488" s="58"/>
      <c r="MRY2488" s="58"/>
      <c r="MRZ2488" s="60"/>
      <c r="MSA2488" s="60"/>
      <c r="MSB2488" s="60"/>
      <c r="MSC2488" s="58"/>
      <c r="MSD2488" s="61"/>
      <c r="MSE2488" s="58"/>
      <c r="MSF2488" s="58"/>
      <c r="MSG2488" s="58"/>
      <c r="MSH2488" s="60"/>
      <c r="MSI2488" s="60"/>
      <c r="MSJ2488" s="60"/>
      <c r="MSK2488" s="58"/>
      <c r="MSL2488" s="61"/>
      <c r="MSM2488" s="58"/>
      <c r="MSN2488" s="58"/>
      <c r="MSO2488" s="58"/>
      <c r="MSP2488" s="60"/>
      <c r="MSQ2488" s="60"/>
      <c r="MSR2488" s="60"/>
      <c r="MSS2488" s="58"/>
      <c r="MST2488" s="61"/>
      <c r="MSU2488" s="58"/>
      <c r="MSV2488" s="58"/>
      <c r="MSW2488" s="58"/>
      <c r="MSX2488" s="60"/>
      <c r="MSY2488" s="60"/>
      <c r="MSZ2488" s="60"/>
      <c r="MTA2488" s="58"/>
      <c r="MTB2488" s="61"/>
      <c r="MTC2488" s="58"/>
      <c r="MTD2488" s="58"/>
      <c r="MTE2488" s="58"/>
      <c r="MTF2488" s="60"/>
      <c r="MTG2488" s="60"/>
      <c r="MTH2488" s="60"/>
      <c r="MTI2488" s="58"/>
      <c r="MTJ2488" s="61"/>
      <c r="MTK2488" s="58"/>
      <c r="MTL2488" s="58"/>
      <c r="MTM2488" s="58"/>
      <c r="MTN2488" s="60"/>
      <c r="MTO2488" s="60"/>
      <c r="MTP2488" s="60"/>
      <c r="MTQ2488" s="58"/>
      <c r="MTR2488" s="61"/>
      <c r="MTS2488" s="58"/>
      <c r="MTT2488" s="58"/>
      <c r="MTU2488" s="58"/>
      <c r="MTV2488" s="60"/>
      <c r="MTW2488" s="60"/>
      <c r="MTX2488" s="60"/>
      <c r="MTY2488" s="58"/>
      <c r="MTZ2488" s="61"/>
      <c r="MUA2488" s="58"/>
      <c r="MUB2488" s="58"/>
      <c r="MUC2488" s="58"/>
      <c r="MUD2488" s="60"/>
      <c r="MUE2488" s="60"/>
      <c r="MUF2488" s="60"/>
      <c r="MUG2488" s="58"/>
      <c r="MUH2488" s="61"/>
      <c r="MUI2488" s="58"/>
      <c r="MUJ2488" s="58"/>
      <c r="MUK2488" s="58"/>
      <c r="MUL2488" s="60"/>
      <c r="MUM2488" s="60"/>
      <c r="MUN2488" s="60"/>
      <c r="MUO2488" s="58"/>
      <c r="MUP2488" s="61"/>
      <c r="MUQ2488" s="58"/>
      <c r="MUR2488" s="58"/>
      <c r="MUS2488" s="58"/>
      <c r="MUT2488" s="60"/>
      <c r="MUU2488" s="60"/>
      <c r="MUV2488" s="60"/>
      <c r="MUW2488" s="58"/>
      <c r="MUX2488" s="61"/>
      <c r="MUY2488" s="58"/>
      <c r="MUZ2488" s="58"/>
      <c r="MVA2488" s="58"/>
      <c r="MVB2488" s="60"/>
      <c r="MVC2488" s="60"/>
      <c r="MVD2488" s="60"/>
      <c r="MVE2488" s="58"/>
      <c r="MVF2488" s="61"/>
      <c r="MVG2488" s="58"/>
      <c r="MVH2488" s="58"/>
      <c r="MVI2488" s="58"/>
      <c r="MVJ2488" s="60"/>
      <c r="MVK2488" s="60"/>
      <c r="MVL2488" s="60"/>
      <c r="MVM2488" s="58"/>
      <c r="MVN2488" s="61"/>
      <c r="MVO2488" s="58"/>
      <c r="MVP2488" s="58"/>
      <c r="MVQ2488" s="58"/>
      <c r="MVR2488" s="60"/>
      <c r="MVS2488" s="60"/>
      <c r="MVT2488" s="60"/>
      <c r="MVU2488" s="58"/>
      <c r="MVV2488" s="61"/>
      <c r="MVW2488" s="58"/>
      <c r="MVX2488" s="58"/>
      <c r="MVY2488" s="58"/>
      <c r="MVZ2488" s="60"/>
      <c r="MWA2488" s="60"/>
      <c r="MWB2488" s="60"/>
      <c r="MWC2488" s="58"/>
      <c r="MWD2488" s="61"/>
      <c r="MWE2488" s="58"/>
      <c r="MWF2488" s="58"/>
      <c r="MWG2488" s="58"/>
      <c r="MWH2488" s="60"/>
      <c r="MWI2488" s="60"/>
      <c r="MWJ2488" s="60"/>
      <c r="MWK2488" s="58"/>
      <c r="MWL2488" s="61"/>
      <c r="MWM2488" s="58"/>
      <c r="MWN2488" s="58"/>
      <c r="MWO2488" s="58"/>
      <c r="MWP2488" s="60"/>
      <c r="MWQ2488" s="60"/>
      <c r="MWR2488" s="60"/>
      <c r="MWS2488" s="58"/>
      <c r="MWT2488" s="61"/>
      <c r="MWU2488" s="58"/>
      <c r="MWV2488" s="58"/>
      <c r="MWW2488" s="58"/>
      <c r="MWX2488" s="60"/>
      <c r="MWY2488" s="60"/>
      <c r="MWZ2488" s="60"/>
      <c r="MXA2488" s="58"/>
      <c r="MXB2488" s="61"/>
      <c r="MXC2488" s="58"/>
      <c r="MXD2488" s="58"/>
      <c r="MXE2488" s="58"/>
      <c r="MXF2488" s="60"/>
      <c r="MXG2488" s="60"/>
      <c r="MXH2488" s="60"/>
      <c r="MXI2488" s="58"/>
      <c r="MXJ2488" s="61"/>
      <c r="MXK2488" s="58"/>
      <c r="MXL2488" s="58"/>
      <c r="MXM2488" s="58"/>
      <c r="MXN2488" s="60"/>
      <c r="MXO2488" s="60"/>
      <c r="MXP2488" s="60"/>
      <c r="MXQ2488" s="58"/>
      <c r="MXR2488" s="61"/>
      <c r="MXS2488" s="58"/>
      <c r="MXT2488" s="58"/>
      <c r="MXU2488" s="58"/>
      <c r="MXV2488" s="60"/>
      <c r="MXW2488" s="60"/>
      <c r="MXX2488" s="60"/>
      <c r="MXY2488" s="58"/>
      <c r="MXZ2488" s="61"/>
      <c r="MYA2488" s="58"/>
      <c r="MYB2488" s="58"/>
      <c r="MYC2488" s="58"/>
      <c r="MYD2488" s="60"/>
      <c r="MYE2488" s="60"/>
      <c r="MYF2488" s="60"/>
      <c r="MYG2488" s="58"/>
      <c r="MYH2488" s="61"/>
      <c r="MYI2488" s="58"/>
      <c r="MYJ2488" s="58"/>
      <c r="MYK2488" s="58"/>
      <c r="MYL2488" s="60"/>
      <c r="MYM2488" s="60"/>
      <c r="MYN2488" s="60"/>
      <c r="MYO2488" s="58"/>
      <c r="MYP2488" s="61"/>
      <c r="MYQ2488" s="58"/>
      <c r="MYR2488" s="58"/>
      <c r="MYS2488" s="58"/>
      <c r="MYT2488" s="60"/>
      <c r="MYU2488" s="60"/>
      <c r="MYV2488" s="60"/>
      <c r="MYW2488" s="58"/>
      <c r="MYX2488" s="61"/>
      <c r="MYY2488" s="58"/>
      <c r="MYZ2488" s="58"/>
      <c r="MZA2488" s="58"/>
      <c r="MZB2488" s="60"/>
      <c r="MZC2488" s="60"/>
      <c r="MZD2488" s="60"/>
      <c r="MZE2488" s="58"/>
      <c r="MZF2488" s="61"/>
      <c r="MZG2488" s="58"/>
      <c r="MZH2488" s="58"/>
      <c r="MZI2488" s="58"/>
      <c r="MZJ2488" s="60"/>
      <c r="MZK2488" s="60"/>
      <c r="MZL2488" s="60"/>
      <c r="MZM2488" s="58"/>
      <c r="MZN2488" s="61"/>
      <c r="MZO2488" s="58"/>
      <c r="MZP2488" s="58"/>
      <c r="MZQ2488" s="58"/>
      <c r="MZR2488" s="60"/>
      <c r="MZS2488" s="60"/>
      <c r="MZT2488" s="60"/>
      <c r="MZU2488" s="58"/>
      <c r="MZV2488" s="61"/>
      <c r="MZW2488" s="58"/>
      <c r="MZX2488" s="58"/>
      <c r="MZY2488" s="58"/>
      <c r="MZZ2488" s="60"/>
      <c r="NAA2488" s="60"/>
      <c r="NAB2488" s="60"/>
      <c r="NAC2488" s="58"/>
      <c r="NAD2488" s="61"/>
      <c r="NAE2488" s="58"/>
      <c r="NAF2488" s="58"/>
      <c r="NAG2488" s="58"/>
      <c r="NAH2488" s="60"/>
      <c r="NAI2488" s="60"/>
      <c r="NAJ2488" s="60"/>
      <c r="NAK2488" s="58"/>
      <c r="NAL2488" s="61"/>
      <c r="NAM2488" s="58"/>
      <c r="NAN2488" s="58"/>
      <c r="NAO2488" s="58"/>
      <c r="NAP2488" s="60"/>
      <c r="NAQ2488" s="60"/>
      <c r="NAR2488" s="60"/>
      <c r="NAS2488" s="58"/>
      <c r="NAT2488" s="61"/>
      <c r="NAU2488" s="58"/>
      <c r="NAV2488" s="58"/>
      <c r="NAW2488" s="58"/>
      <c r="NAX2488" s="60"/>
      <c r="NAY2488" s="60"/>
      <c r="NAZ2488" s="60"/>
      <c r="NBA2488" s="58"/>
      <c r="NBB2488" s="61"/>
      <c r="NBC2488" s="58"/>
      <c r="NBD2488" s="58"/>
      <c r="NBE2488" s="58"/>
      <c r="NBF2488" s="60"/>
      <c r="NBG2488" s="60"/>
      <c r="NBH2488" s="60"/>
      <c r="NBI2488" s="58"/>
      <c r="NBJ2488" s="61"/>
      <c r="NBK2488" s="58"/>
      <c r="NBL2488" s="58"/>
      <c r="NBM2488" s="58"/>
      <c r="NBN2488" s="60"/>
      <c r="NBO2488" s="60"/>
      <c r="NBP2488" s="60"/>
      <c r="NBQ2488" s="58"/>
      <c r="NBR2488" s="61"/>
      <c r="NBS2488" s="58"/>
      <c r="NBT2488" s="58"/>
      <c r="NBU2488" s="58"/>
      <c r="NBV2488" s="60"/>
      <c r="NBW2488" s="60"/>
      <c r="NBX2488" s="60"/>
      <c r="NBY2488" s="58"/>
      <c r="NBZ2488" s="61"/>
      <c r="NCA2488" s="58"/>
      <c r="NCB2488" s="58"/>
      <c r="NCC2488" s="58"/>
      <c r="NCD2488" s="60"/>
      <c r="NCE2488" s="60"/>
      <c r="NCF2488" s="60"/>
      <c r="NCG2488" s="58"/>
      <c r="NCH2488" s="61"/>
      <c r="NCI2488" s="58"/>
      <c r="NCJ2488" s="58"/>
      <c r="NCK2488" s="58"/>
      <c r="NCL2488" s="60"/>
      <c r="NCM2488" s="60"/>
      <c r="NCN2488" s="60"/>
      <c r="NCO2488" s="58"/>
      <c r="NCP2488" s="61"/>
      <c r="NCQ2488" s="58"/>
      <c r="NCR2488" s="58"/>
      <c r="NCS2488" s="58"/>
      <c r="NCT2488" s="60"/>
      <c r="NCU2488" s="60"/>
      <c r="NCV2488" s="60"/>
      <c r="NCW2488" s="58"/>
      <c r="NCX2488" s="61"/>
      <c r="NCY2488" s="58"/>
      <c r="NCZ2488" s="58"/>
      <c r="NDA2488" s="58"/>
      <c r="NDB2488" s="60"/>
      <c r="NDC2488" s="60"/>
      <c r="NDD2488" s="60"/>
      <c r="NDE2488" s="58"/>
      <c r="NDF2488" s="61"/>
      <c r="NDG2488" s="58"/>
      <c r="NDH2488" s="58"/>
      <c r="NDI2488" s="58"/>
      <c r="NDJ2488" s="60"/>
      <c r="NDK2488" s="60"/>
      <c r="NDL2488" s="60"/>
      <c r="NDM2488" s="58"/>
      <c r="NDN2488" s="61"/>
      <c r="NDO2488" s="58"/>
      <c r="NDP2488" s="58"/>
      <c r="NDQ2488" s="58"/>
      <c r="NDR2488" s="60"/>
      <c r="NDS2488" s="60"/>
      <c r="NDT2488" s="60"/>
      <c r="NDU2488" s="58"/>
      <c r="NDV2488" s="61"/>
      <c r="NDW2488" s="58"/>
      <c r="NDX2488" s="58"/>
      <c r="NDY2488" s="58"/>
      <c r="NDZ2488" s="60"/>
      <c r="NEA2488" s="60"/>
      <c r="NEB2488" s="60"/>
      <c r="NEC2488" s="58"/>
      <c r="NED2488" s="61"/>
      <c r="NEE2488" s="58"/>
      <c r="NEF2488" s="58"/>
      <c r="NEG2488" s="58"/>
      <c r="NEH2488" s="60"/>
      <c r="NEI2488" s="60"/>
      <c r="NEJ2488" s="60"/>
      <c r="NEK2488" s="58"/>
      <c r="NEL2488" s="61"/>
      <c r="NEM2488" s="58"/>
      <c r="NEN2488" s="58"/>
      <c r="NEO2488" s="58"/>
      <c r="NEP2488" s="60"/>
      <c r="NEQ2488" s="60"/>
      <c r="NER2488" s="60"/>
      <c r="NES2488" s="58"/>
      <c r="NET2488" s="61"/>
      <c r="NEU2488" s="58"/>
      <c r="NEV2488" s="58"/>
      <c r="NEW2488" s="58"/>
      <c r="NEX2488" s="60"/>
      <c r="NEY2488" s="60"/>
      <c r="NEZ2488" s="60"/>
      <c r="NFA2488" s="58"/>
      <c r="NFB2488" s="61"/>
      <c r="NFC2488" s="58"/>
      <c r="NFD2488" s="58"/>
      <c r="NFE2488" s="58"/>
      <c r="NFF2488" s="60"/>
      <c r="NFG2488" s="60"/>
      <c r="NFH2488" s="60"/>
      <c r="NFI2488" s="58"/>
      <c r="NFJ2488" s="61"/>
      <c r="NFK2488" s="58"/>
      <c r="NFL2488" s="58"/>
      <c r="NFM2488" s="58"/>
      <c r="NFN2488" s="60"/>
      <c r="NFO2488" s="60"/>
      <c r="NFP2488" s="60"/>
      <c r="NFQ2488" s="58"/>
      <c r="NFR2488" s="61"/>
      <c r="NFS2488" s="58"/>
      <c r="NFT2488" s="58"/>
      <c r="NFU2488" s="58"/>
      <c r="NFV2488" s="60"/>
      <c r="NFW2488" s="60"/>
      <c r="NFX2488" s="60"/>
      <c r="NFY2488" s="58"/>
      <c r="NFZ2488" s="61"/>
      <c r="NGA2488" s="58"/>
      <c r="NGB2488" s="58"/>
      <c r="NGC2488" s="58"/>
      <c r="NGD2488" s="60"/>
      <c r="NGE2488" s="60"/>
      <c r="NGF2488" s="60"/>
      <c r="NGG2488" s="58"/>
      <c r="NGH2488" s="61"/>
      <c r="NGI2488" s="58"/>
      <c r="NGJ2488" s="58"/>
      <c r="NGK2488" s="58"/>
      <c r="NGL2488" s="60"/>
      <c r="NGM2488" s="60"/>
      <c r="NGN2488" s="60"/>
      <c r="NGO2488" s="58"/>
      <c r="NGP2488" s="61"/>
      <c r="NGQ2488" s="58"/>
      <c r="NGR2488" s="58"/>
      <c r="NGS2488" s="58"/>
      <c r="NGT2488" s="60"/>
      <c r="NGU2488" s="60"/>
      <c r="NGV2488" s="60"/>
      <c r="NGW2488" s="58"/>
      <c r="NGX2488" s="61"/>
      <c r="NGY2488" s="58"/>
      <c r="NGZ2488" s="58"/>
      <c r="NHA2488" s="58"/>
      <c r="NHB2488" s="60"/>
      <c r="NHC2488" s="60"/>
      <c r="NHD2488" s="60"/>
      <c r="NHE2488" s="58"/>
      <c r="NHF2488" s="61"/>
      <c r="NHG2488" s="58"/>
      <c r="NHH2488" s="58"/>
      <c r="NHI2488" s="58"/>
      <c r="NHJ2488" s="60"/>
      <c r="NHK2488" s="60"/>
      <c r="NHL2488" s="60"/>
      <c r="NHM2488" s="58"/>
      <c r="NHN2488" s="61"/>
      <c r="NHO2488" s="58"/>
      <c r="NHP2488" s="58"/>
      <c r="NHQ2488" s="58"/>
      <c r="NHR2488" s="60"/>
      <c r="NHS2488" s="60"/>
      <c r="NHT2488" s="60"/>
      <c r="NHU2488" s="58"/>
      <c r="NHV2488" s="61"/>
      <c r="NHW2488" s="58"/>
      <c r="NHX2488" s="58"/>
      <c r="NHY2488" s="58"/>
      <c r="NHZ2488" s="60"/>
      <c r="NIA2488" s="60"/>
      <c r="NIB2488" s="60"/>
      <c r="NIC2488" s="58"/>
      <c r="NID2488" s="61"/>
      <c r="NIE2488" s="58"/>
      <c r="NIF2488" s="58"/>
      <c r="NIG2488" s="58"/>
      <c r="NIH2488" s="60"/>
      <c r="NII2488" s="60"/>
      <c r="NIJ2488" s="60"/>
      <c r="NIK2488" s="58"/>
      <c r="NIL2488" s="61"/>
      <c r="NIM2488" s="58"/>
      <c r="NIN2488" s="58"/>
      <c r="NIO2488" s="58"/>
      <c r="NIP2488" s="60"/>
      <c r="NIQ2488" s="60"/>
      <c r="NIR2488" s="60"/>
      <c r="NIS2488" s="58"/>
      <c r="NIT2488" s="61"/>
      <c r="NIU2488" s="58"/>
      <c r="NIV2488" s="58"/>
      <c r="NIW2488" s="58"/>
      <c r="NIX2488" s="60"/>
      <c r="NIY2488" s="60"/>
      <c r="NIZ2488" s="60"/>
      <c r="NJA2488" s="58"/>
      <c r="NJB2488" s="61"/>
      <c r="NJC2488" s="58"/>
      <c r="NJD2488" s="58"/>
      <c r="NJE2488" s="58"/>
      <c r="NJF2488" s="60"/>
      <c r="NJG2488" s="60"/>
      <c r="NJH2488" s="60"/>
      <c r="NJI2488" s="58"/>
      <c r="NJJ2488" s="61"/>
      <c r="NJK2488" s="58"/>
      <c r="NJL2488" s="58"/>
      <c r="NJM2488" s="58"/>
      <c r="NJN2488" s="60"/>
      <c r="NJO2488" s="60"/>
      <c r="NJP2488" s="60"/>
      <c r="NJQ2488" s="58"/>
      <c r="NJR2488" s="61"/>
      <c r="NJS2488" s="58"/>
      <c r="NJT2488" s="58"/>
      <c r="NJU2488" s="58"/>
      <c r="NJV2488" s="60"/>
      <c r="NJW2488" s="60"/>
      <c r="NJX2488" s="60"/>
      <c r="NJY2488" s="58"/>
      <c r="NJZ2488" s="61"/>
      <c r="NKA2488" s="58"/>
      <c r="NKB2488" s="58"/>
      <c r="NKC2488" s="58"/>
      <c r="NKD2488" s="60"/>
      <c r="NKE2488" s="60"/>
      <c r="NKF2488" s="60"/>
      <c r="NKG2488" s="58"/>
      <c r="NKH2488" s="61"/>
      <c r="NKI2488" s="58"/>
      <c r="NKJ2488" s="58"/>
      <c r="NKK2488" s="58"/>
      <c r="NKL2488" s="60"/>
      <c r="NKM2488" s="60"/>
      <c r="NKN2488" s="60"/>
      <c r="NKO2488" s="58"/>
      <c r="NKP2488" s="61"/>
      <c r="NKQ2488" s="58"/>
      <c r="NKR2488" s="58"/>
      <c r="NKS2488" s="58"/>
      <c r="NKT2488" s="60"/>
      <c r="NKU2488" s="60"/>
      <c r="NKV2488" s="60"/>
      <c r="NKW2488" s="58"/>
      <c r="NKX2488" s="61"/>
      <c r="NKY2488" s="58"/>
      <c r="NKZ2488" s="58"/>
      <c r="NLA2488" s="58"/>
      <c r="NLB2488" s="60"/>
      <c r="NLC2488" s="60"/>
      <c r="NLD2488" s="60"/>
      <c r="NLE2488" s="58"/>
      <c r="NLF2488" s="61"/>
      <c r="NLG2488" s="58"/>
      <c r="NLH2488" s="58"/>
      <c r="NLI2488" s="58"/>
      <c r="NLJ2488" s="60"/>
      <c r="NLK2488" s="60"/>
      <c r="NLL2488" s="60"/>
      <c r="NLM2488" s="58"/>
      <c r="NLN2488" s="61"/>
      <c r="NLO2488" s="58"/>
      <c r="NLP2488" s="58"/>
      <c r="NLQ2488" s="58"/>
      <c r="NLR2488" s="60"/>
      <c r="NLS2488" s="60"/>
      <c r="NLT2488" s="60"/>
      <c r="NLU2488" s="58"/>
      <c r="NLV2488" s="61"/>
      <c r="NLW2488" s="58"/>
      <c r="NLX2488" s="58"/>
      <c r="NLY2488" s="58"/>
      <c r="NLZ2488" s="60"/>
      <c r="NMA2488" s="60"/>
      <c r="NMB2488" s="60"/>
      <c r="NMC2488" s="58"/>
      <c r="NMD2488" s="61"/>
      <c r="NME2488" s="58"/>
      <c r="NMF2488" s="58"/>
      <c r="NMG2488" s="58"/>
      <c r="NMH2488" s="60"/>
      <c r="NMI2488" s="60"/>
      <c r="NMJ2488" s="60"/>
      <c r="NMK2488" s="58"/>
      <c r="NML2488" s="61"/>
      <c r="NMM2488" s="58"/>
      <c r="NMN2488" s="58"/>
      <c r="NMO2488" s="58"/>
      <c r="NMP2488" s="60"/>
      <c r="NMQ2488" s="60"/>
      <c r="NMR2488" s="60"/>
      <c r="NMS2488" s="58"/>
      <c r="NMT2488" s="61"/>
      <c r="NMU2488" s="58"/>
      <c r="NMV2488" s="58"/>
      <c r="NMW2488" s="58"/>
      <c r="NMX2488" s="60"/>
      <c r="NMY2488" s="60"/>
      <c r="NMZ2488" s="60"/>
      <c r="NNA2488" s="58"/>
      <c r="NNB2488" s="61"/>
      <c r="NNC2488" s="58"/>
      <c r="NND2488" s="58"/>
      <c r="NNE2488" s="58"/>
      <c r="NNF2488" s="60"/>
      <c r="NNG2488" s="60"/>
      <c r="NNH2488" s="60"/>
      <c r="NNI2488" s="58"/>
      <c r="NNJ2488" s="61"/>
      <c r="NNK2488" s="58"/>
      <c r="NNL2488" s="58"/>
      <c r="NNM2488" s="58"/>
      <c r="NNN2488" s="60"/>
      <c r="NNO2488" s="60"/>
      <c r="NNP2488" s="60"/>
      <c r="NNQ2488" s="58"/>
      <c r="NNR2488" s="61"/>
      <c r="NNS2488" s="58"/>
      <c r="NNT2488" s="58"/>
      <c r="NNU2488" s="58"/>
      <c r="NNV2488" s="60"/>
      <c r="NNW2488" s="60"/>
      <c r="NNX2488" s="60"/>
      <c r="NNY2488" s="58"/>
      <c r="NNZ2488" s="61"/>
      <c r="NOA2488" s="58"/>
      <c r="NOB2488" s="58"/>
      <c r="NOC2488" s="58"/>
      <c r="NOD2488" s="60"/>
      <c r="NOE2488" s="60"/>
      <c r="NOF2488" s="60"/>
      <c r="NOG2488" s="58"/>
      <c r="NOH2488" s="61"/>
      <c r="NOI2488" s="58"/>
      <c r="NOJ2488" s="58"/>
      <c r="NOK2488" s="58"/>
      <c r="NOL2488" s="60"/>
      <c r="NOM2488" s="60"/>
      <c r="NON2488" s="60"/>
      <c r="NOO2488" s="58"/>
      <c r="NOP2488" s="61"/>
      <c r="NOQ2488" s="58"/>
      <c r="NOR2488" s="58"/>
      <c r="NOS2488" s="58"/>
      <c r="NOT2488" s="60"/>
      <c r="NOU2488" s="60"/>
      <c r="NOV2488" s="60"/>
      <c r="NOW2488" s="58"/>
      <c r="NOX2488" s="61"/>
      <c r="NOY2488" s="58"/>
      <c r="NOZ2488" s="58"/>
      <c r="NPA2488" s="58"/>
      <c r="NPB2488" s="60"/>
      <c r="NPC2488" s="60"/>
      <c r="NPD2488" s="60"/>
      <c r="NPE2488" s="58"/>
      <c r="NPF2488" s="61"/>
      <c r="NPG2488" s="58"/>
      <c r="NPH2488" s="58"/>
      <c r="NPI2488" s="58"/>
      <c r="NPJ2488" s="60"/>
      <c r="NPK2488" s="60"/>
      <c r="NPL2488" s="60"/>
      <c r="NPM2488" s="58"/>
      <c r="NPN2488" s="61"/>
      <c r="NPO2488" s="58"/>
      <c r="NPP2488" s="58"/>
      <c r="NPQ2488" s="58"/>
      <c r="NPR2488" s="60"/>
      <c r="NPS2488" s="60"/>
      <c r="NPT2488" s="60"/>
      <c r="NPU2488" s="58"/>
      <c r="NPV2488" s="61"/>
      <c r="NPW2488" s="58"/>
      <c r="NPX2488" s="58"/>
      <c r="NPY2488" s="58"/>
      <c r="NPZ2488" s="60"/>
      <c r="NQA2488" s="60"/>
      <c r="NQB2488" s="60"/>
      <c r="NQC2488" s="58"/>
      <c r="NQD2488" s="61"/>
      <c r="NQE2488" s="58"/>
      <c r="NQF2488" s="58"/>
      <c r="NQG2488" s="58"/>
      <c r="NQH2488" s="60"/>
      <c r="NQI2488" s="60"/>
      <c r="NQJ2488" s="60"/>
      <c r="NQK2488" s="58"/>
      <c r="NQL2488" s="61"/>
      <c r="NQM2488" s="58"/>
      <c r="NQN2488" s="58"/>
      <c r="NQO2488" s="58"/>
      <c r="NQP2488" s="60"/>
      <c r="NQQ2488" s="60"/>
      <c r="NQR2488" s="60"/>
      <c r="NQS2488" s="58"/>
      <c r="NQT2488" s="61"/>
      <c r="NQU2488" s="58"/>
      <c r="NQV2488" s="58"/>
      <c r="NQW2488" s="58"/>
      <c r="NQX2488" s="60"/>
      <c r="NQY2488" s="60"/>
      <c r="NQZ2488" s="60"/>
      <c r="NRA2488" s="58"/>
      <c r="NRB2488" s="61"/>
      <c r="NRC2488" s="58"/>
      <c r="NRD2488" s="58"/>
      <c r="NRE2488" s="58"/>
      <c r="NRF2488" s="60"/>
      <c r="NRG2488" s="60"/>
      <c r="NRH2488" s="60"/>
      <c r="NRI2488" s="58"/>
      <c r="NRJ2488" s="61"/>
      <c r="NRK2488" s="58"/>
      <c r="NRL2488" s="58"/>
      <c r="NRM2488" s="58"/>
      <c r="NRN2488" s="60"/>
      <c r="NRO2488" s="60"/>
      <c r="NRP2488" s="60"/>
      <c r="NRQ2488" s="58"/>
      <c r="NRR2488" s="61"/>
      <c r="NRS2488" s="58"/>
      <c r="NRT2488" s="58"/>
      <c r="NRU2488" s="58"/>
      <c r="NRV2488" s="60"/>
      <c r="NRW2488" s="60"/>
      <c r="NRX2488" s="60"/>
      <c r="NRY2488" s="58"/>
      <c r="NRZ2488" s="61"/>
      <c r="NSA2488" s="58"/>
      <c r="NSB2488" s="58"/>
      <c r="NSC2488" s="58"/>
      <c r="NSD2488" s="60"/>
      <c r="NSE2488" s="60"/>
      <c r="NSF2488" s="60"/>
      <c r="NSG2488" s="58"/>
      <c r="NSH2488" s="61"/>
      <c r="NSI2488" s="58"/>
      <c r="NSJ2488" s="58"/>
      <c r="NSK2488" s="58"/>
      <c r="NSL2488" s="60"/>
      <c r="NSM2488" s="60"/>
      <c r="NSN2488" s="60"/>
      <c r="NSO2488" s="58"/>
      <c r="NSP2488" s="61"/>
      <c r="NSQ2488" s="58"/>
      <c r="NSR2488" s="58"/>
      <c r="NSS2488" s="58"/>
      <c r="NST2488" s="60"/>
      <c r="NSU2488" s="60"/>
      <c r="NSV2488" s="60"/>
      <c r="NSW2488" s="58"/>
      <c r="NSX2488" s="61"/>
      <c r="NSY2488" s="58"/>
      <c r="NSZ2488" s="58"/>
      <c r="NTA2488" s="58"/>
      <c r="NTB2488" s="60"/>
      <c r="NTC2488" s="60"/>
      <c r="NTD2488" s="60"/>
      <c r="NTE2488" s="58"/>
      <c r="NTF2488" s="61"/>
      <c r="NTG2488" s="58"/>
      <c r="NTH2488" s="58"/>
      <c r="NTI2488" s="58"/>
      <c r="NTJ2488" s="60"/>
      <c r="NTK2488" s="60"/>
      <c r="NTL2488" s="60"/>
      <c r="NTM2488" s="58"/>
      <c r="NTN2488" s="61"/>
      <c r="NTO2488" s="58"/>
      <c r="NTP2488" s="58"/>
      <c r="NTQ2488" s="58"/>
      <c r="NTR2488" s="60"/>
      <c r="NTS2488" s="60"/>
      <c r="NTT2488" s="60"/>
      <c r="NTU2488" s="58"/>
      <c r="NTV2488" s="61"/>
      <c r="NTW2488" s="58"/>
      <c r="NTX2488" s="58"/>
      <c r="NTY2488" s="58"/>
      <c r="NTZ2488" s="60"/>
      <c r="NUA2488" s="60"/>
      <c r="NUB2488" s="60"/>
      <c r="NUC2488" s="58"/>
      <c r="NUD2488" s="61"/>
      <c r="NUE2488" s="58"/>
      <c r="NUF2488" s="58"/>
      <c r="NUG2488" s="58"/>
      <c r="NUH2488" s="60"/>
      <c r="NUI2488" s="60"/>
      <c r="NUJ2488" s="60"/>
      <c r="NUK2488" s="58"/>
      <c r="NUL2488" s="61"/>
      <c r="NUM2488" s="58"/>
      <c r="NUN2488" s="58"/>
      <c r="NUO2488" s="58"/>
      <c r="NUP2488" s="60"/>
      <c r="NUQ2488" s="60"/>
      <c r="NUR2488" s="60"/>
      <c r="NUS2488" s="58"/>
      <c r="NUT2488" s="61"/>
      <c r="NUU2488" s="58"/>
      <c r="NUV2488" s="58"/>
      <c r="NUW2488" s="58"/>
      <c r="NUX2488" s="60"/>
      <c r="NUY2488" s="60"/>
      <c r="NUZ2488" s="60"/>
      <c r="NVA2488" s="58"/>
      <c r="NVB2488" s="61"/>
      <c r="NVC2488" s="58"/>
      <c r="NVD2488" s="58"/>
      <c r="NVE2488" s="58"/>
      <c r="NVF2488" s="60"/>
      <c r="NVG2488" s="60"/>
      <c r="NVH2488" s="60"/>
      <c r="NVI2488" s="58"/>
      <c r="NVJ2488" s="61"/>
      <c r="NVK2488" s="58"/>
      <c r="NVL2488" s="58"/>
      <c r="NVM2488" s="58"/>
      <c r="NVN2488" s="60"/>
      <c r="NVO2488" s="60"/>
      <c r="NVP2488" s="60"/>
      <c r="NVQ2488" s="58"/>
      <c r="NVR2488" s="61"/>
      <c r="NVS2488" s="58"/>
      <c r="NVT2488" s="58"/>
      <c r="NVU2488" s="58"/>
      <c r="NVV2488" s="60"/>
      <c r="NVW2488" s="60"/>
      <c r="NVX2488" s="60"/>
      <c r="NVY2488" s="58"/>
      <c r="NVZ2488" s="61"/>
      <c r="NWA2488" s="58"/>
      <c r="NWB2488" s="58"/>
      <c r="NWC2488" s="58"/>
      <c r="NWD2488" s="60"/>
      <c r="NWE2488" s="60"/>
      <c r="NWF2488" s="60"/>
      <c r="NWG2488" s="58"/>
      <c r="NWH2488" s="61"/>
      <c r="NWI2488" s="58"/>
      <c r="NWJ2488" s="58"/>
      <c r="NWK2488" s="58"/>
      <c r="NWL2488" s="60"/>
      <c r="NWM2488" s="60"/>
      <c r="NWN2488" s="60"/>
      <c r="NWO2488" s="58"/>
      <c r="NWP2488" s="61"/>
      <c r="NWQ2488" s="58"/>
      <c r="NWR2488" s="58"/>
      <c r="NWS2488" s="58"/>
      <c r="NWT2488" s="60"/>
      <c r="NWU2488" s="60"/>
      <c r="NWV2488" s="60"/>
      <c r="NWW2488" s="58"/>
      <c r="NWX2488" s="61"/>
      <c r="NWY2488" s="58"/>
      <c r="NWZ2488" s="58"/>
      <c r="NXA2488" s="58"/>
      <c r="NXB2488" s="60"/>
      <c r="NXC2488" s="60"/>
      <c r="NXD2488" s="60"/>
      <c r="NXE2488" s="58"/>
      <c r="NXF2488" s="61"/>
      <c r="NXG2488" s="58"/>
      <c r="NXH2488" s="58"/>
      <c r="NXI2488" s="58"/>
      <c r="NXJ2488" s="60"/>
      <c r="NXK2488" s="60"/>
      <c r="NXL2488" s="60"/>
      <c r="NXM2488" s="58"/>
      <c r="NXN2488" s="61"/>
      <c r="NXO2488" s="58"/>
      <c r="NXP2488" s="58"/>
      <c r="NXQ2488" s="58"/>
      <c r="NXR2488" s="60"/>
      <c r="NXS2488" s="60"/>
      <c r="NXT2488" s="60"/>
      <c r="NXU2488" s="58"/>
      <c r="NXV2488" s="61"/>
      <c r="NXW2488" s="58"/>
      <c r="NXX2488" s="58"/>
      <c r="NXY2488" s="58"/>
      <c r="NXZ2488" s="60"/>
      <c r="NYA2488" s="60"/>
      <c r="NYB2488" s="60"/>
      <c r="NYC2488" s="58"/>
      <c r="NYD2488" s="61"/>
      <c r="NYE2488" s="58"/>
      <c r="NYF2488" s="58"/>
      <c r="NYG2488" s="58"/>
      <c r="NYH2488" s="60"/>
      <c r="NYI2488" s="60"/>
      <c r="NYJ2488" s="60"/>
      <c r="NYK2488" s="58"/>
      <c r="NYL2488" s="61"/>
      <c r="NYM2488" s="58"/>
      <c r="NYN2488" s="58"/>
      <c r="NYO2488" s="58"/>
      <c r="NYP2488" s="60"/>
      <c r="NYQ2488" s="60"/>
      <c r="NYR2488" s="60"/>
      <c r="NYS2488" s="58"/>
      <c r="NYT2488" s="61"/>
      <c r="NYU2488" s="58"/>
      <c r="NYV2488" s="58"/>
      <c r="NYW2488" s="58"/>
      <c r="NYX2488" s="60"/>
      <c r="NYY2488" s="60"/>
      <c r="NYZ2488" s="60"/>
      <c r="NZA2488" s="58"/>
      <c r="NZB2488" s="61"/>
      <c r="NZC2488" s="58"/>
      <c r="NZD2488" s="58"/>
      <c r="NZE2488" s="58"/>
      <c r="NZF2488" s="60"/>
      <c r="NZG2488" s="60"/>
      <c r="NZH2488" s="60"/>
      <c r="NZI2488" s="58"/>
      <c r="NZJ2488" s="61"/>
      <c r="NZK2488" s="58"/>
      <c r="NZL2488" s="58"/>
      <c r="NZM2488" s="58"/>
      <c r="NZN2488" s="60"/>
      <c r="NZO2488" s="60"/>
      <c r="NZP2488" s="60"/>
      <c r="NZQ2488" s="58"/>
      <c r="NZR2488" s="61"/>
      <c r="NZS2488" s="58"/>
      <c r="NZT2488" s="58"/>
      <c r="NZU2488" s="58"/>
      <c r="NZV2488" s="60"/>
      <c r="NZW2488" s="60"/>
      <c r="NZX2488" s="60"/>
      <c r="NZY2488" s="58"/>
      <c r="NZZ2488" s="61"/>
      <c r="OAA2488" s="58"/>
      <c r="OAB2488" s="58"/>
      <c r="OAC2488" s="58"/>
      <c r="OAD2488" s="60"/>
      <c r="OAE2488" s="60"/>
      <c r="OAF2488" s="60"/>
      <c r="OAG2488" s="58"/>
      <c r="OAH2488" s="61"/>
      <c r="OAI2488" s="58"/>
      <c r="OAJ2488" s="58"/>
      <c r="OAK2488" s="58"/>
      <c r="OAL2488" s="60"/>
      <c r="OAM2488" s="60"/>
      <c r="OAN2488" s="60"/>
      <c r="OAO2488" s="58"/>
      <c r="OAP2488" s="61"/>
      <c r="OAQ2488" s="58"/>
      <c r="OAR2488" s="58"/>
      <c r="OAS2488" s="58"/>
      <c r="OAT2488" s="60"/>
      <c r="OAU2488" s="60"/>
      <c r="OAV2488" s="60"/>
      <c r="OAW2488" s="58"/>
      <c r="OAX2488" s="61"/>
      <c r="OAY2488" s="58"/>
      <c r="OAZ2488" s="58"/>
      <c r="OBA2488" s="58"/>
      <c r="OBB2488" s="60"/>
      <c r="OBC2488" s="60"/>
      <c r="OBD2488" s="60"/>
      <c r="OBE2488" s="58"/>
      <c r="OBF2488" s="61"/>
      <c r="OBG2488" s="58"/>
      <c r="OBH2488" s="58"/>
      <c r="OBI2488" s="58"/>
      <c r="OBJ2488" s="60"/>
      <c r="OBK2488" s="60"/>
      <c r="OBL2488" s="60"/>
      <c r="OBM2488" s="58"/>
      <c r="OBN2488" s="61"/>
      <c r="OBO2488" s="58"/>
      <c r="OBP2488" s="58"/>
      <c r="OBQ2488" s="58"/>
      <c r="OBR2488" s="60"/>
      <c r="OBS2488" s="60"/>
      <c r="OBT2488" s="60"/>
      <c r="OBU2488" s="58"/>
      <c r="OBV2488" s="61"/>
      <c r="OBW2488" s="58"/>
      <c r="OBX2488" s="58"/>
      <c r="OBY2488" s="58"/>
      <c r="OBZ2488" s="60"/>
      <c r="OCA2488" s="60"/>
      <c r="OCB2488" s="60"/>
      <c r="OCC2488" s="58"/>
      <c r="OCD2488" s="61"/>
      <c r="OCE2488" s="58"/>
      <c r="OCF2488" s="58"/>
      <c r="OCG2488" s="58"/>
      <c r="OCH2488" s="60"/>
      <c r="OCI2488" s="60"/>
      <c r="OCJ2488" s="60"/>
      <c r="OCK2488" s="58"/>
      <c r="OCL2488" s="61"/>
      <c r="OCM2488" s="58"/>
      <c r="OCN2488" s="58"/>
      <c r="OCO2488" s="58"/>
      <c r="OCP2488" s="60"/>
      <c r="OCQ2488" s="60"/>
      <c r="OCR2488" s="60"/>
      <c r="OCS2488" s="58"/>
      <c r="OCT2488" s="61"/>
      <c r="OCU2488" s="58"/>
      <c r="OCV2488" s="58"/>
      <c r="OCW2488" s="58"/>
      <c r="OCX2488" s="60"/>
      <c r="OCY2488" s="60"/>
      <c r="OCZ2488" s="60"/>
      <c r="ODA2488" s="58"/>
      <c r="ODB2488" s="61"/>
      <c r="ODC2488" s="58"/>
      <c r="ODD2488" s="58"/>
      <c r="ODE2488" s="58"/>
      <c r="ODF2488" s="60"/>
      <c r="ODG2488" s="60"/>
      <c r="ODH2488" s="60"/>
      <c r="ODI2488" s="58"/>
      <c r="ODJ2488" s="61"/>
      <c r="ODK2488" s="58"/>
      <c r="ODL2488" s="58"/>
      <c r="ODM2488" s="58"/>
      <c r="ODN2488" s="60"/>
      <c r="ODO2488" s="60"/>
      <c r="ODP2488" s="60"/>
      <c r="ODQ2488" s="58"/>
      <c r="ODR2488" s="61"/>
      <c r="ODS2488" s="58"/>
      <c r="ODT2488" s="58"/>
      <c r="ODU2488" s="58"/>
      <c r="ODV2488" s="60"/>
      <c r="ODW2488" s="60"/>
      <c r="ODX2488" s="60"/>
      <c r="ODY2488" s="58"/>
      <c r="ODZ2488" s="61"/>
      <c r="OEA2488" s="58"/>
      <c r="OEB2488" s="58"/>
      <c r="OEC2488" s="58"/>
      <c r="OED2488" s="60"/>
      <c r="OEE2488" s="60"/>
      <c r="OEF2488" s="60"/>
      <c r="OEG2488" s="58"/>
      <c r="OEH2488" s="61"/>
      <c r="OEI2488" s="58"/>
      <c r="OEJ2488" s="58"/>
      <c r="OEK2488" s="58"/>
      <c r="OEL2488" s="60"/>
      <c r="OEM2488" s="60"/>
      <c r="OEN2488" s="60"/>
      <c r="OEO2488" s="58"/>
      <c r="OEP2488" s="61"/>
      <c r="OEQ2488" s="58"/>
      <c r="OER2488" s="58"/>
      <c r="OES2488" s="58"/>
      <c r="OET2488" s="60"/>
      <c r="OEU2488" s="60"/>
      <c r="OEV2488" s="60"/>
      <c r="OEW2488" s="58"/>
      <c r="OEX2488" s="61"/>
      <c r="OEY2488" s="58"/>
      <c r="OEZ2488" s="58"/>
      <c r="OFA2488" s="58"/>
      <c r="OFB2488" s="60"/>
      <c r="OFC2488" s="60"/>
      <c r="OFD2488" s="60"/>
      <c r="OFE2488" s="58"/>
      <c r="OFF2488" s="61"/>
      <c r="OFG2488" s="58"/>
      <c r="OFH2488" s="58"/>
      <c r="OFI2488" s="58"/>
      <c r="OFJ2488" s="60"/>
      <c r="OFK2488" s="60"/>
      <c r="OFL2488" s="60"/>
      <c r="OFM2488" s="58"/>
      <c r="OFN2488" s="61"/>
      <c r="OFO2488" s="58"/>
      <c r="OFP2488" s="58"/>
      <c r="OFQ2488" s="58"/>
      <c r="OFR2488" s="60"/>
      <c r="OFS2488" s="60"/>
      <c r="OFT2488" s="60"/>
      <c r="OFU2488" s="58"/>
      <c r="OFV2488" s="61"/>
      <c r="OFW2488" s="58"/>
      <c r="OFX2488" s="58"/>
      <c r="OFY2488" s="58"/>
      <c r="OFZ2488" s="60"/>
      <c r="OGA2488" s="60"/>
      <c r="OGB2488" s="60"/>
      <c r="OGC2488" s="58"/>
      <c r="OGD2488" s="61"/>
      <c r="OGE2488" s="58"/>
      <c r="OGF2488" s="58"/>
      <c r="OGG2488" s="58"/>
      <c r="OGH2488" s="60"/>
      <c r="OGI2488" s="60"/>
      <c r="OGJ2488" s="60"/>
      <c r="OGK2488" s="58"/>
      <c r="OGL2488" s="61"/>
      <c r="OGM2488" s="58"/>
      <c r="OGN2488" s="58"/>
      <c r="OGO2488" s="58"/>
      <c r="OGP2488" s="60"/>
      <c r="OGQ2488" s="60"/>
      <c r="OGR2488" s="60"/>
      <c r="OGS2488" s="58"/>
      <c r="OGT2488" s="61"/>
      <c r="OGU2488" s="58"/>
      <c r="OGV2488" s="58"/>
      <c r="OGW2488" s="58"/>
      <c r="OGX2488" s="60"/>
      <c r="OGY2488" s="60"/>
      <c r="OGZ2488" s="60"/>
      <c r="OHA2488" s="58"/>
      <c r="OHB2488" s="61"/>
      <c r="OHC2488" s="58"/>
      <c r="OHD2488" s="58"/>
      <c r="OHE2488" s="58"/>
      <c r="OHF2488" s="60"/>
      <c r="OHG2488" s="60"/>
      <c r="OHH2488" s="60"/>
      <c r="OHI2488" s="58"/>
      <c r="OHJ2488" s="61"/>
      <c r="OHK2488" s="58"/>
      <c r="OHL2488" s="58"/>
      <c r="OHM2488" s="58"/>
      <c r="OHN2488" s="60"/>
      <c r="OHO2488" s="60"/>
      <c r="OHP2488" s="60"/>
      <c r="OHQ2488" s="58"/>
      <c r="OHR2488" s="61"/>
      <c r="OHS2488" s="58"/>
      <c r="OHT2488" s="58"/>
      <c r="OHU2488" s="58"/>
      <c r="OHV2488" s="60"/>
      <c r="OHW2488" s="60"/>
      <c r="OHX2488" s="60"/>
      <c r="OHY2488" s="58"/>
      <c r="OHZ2488" s="61"/>
      <c r="OIA2488" s="58"/>
      <c r="OIB2488" s="58"/>
      <c r="OIC2488" s="58"/>
      <c r="OID2488" s="60"/>
      <c r="OIE2488" s="60"/>
      <c r="OIF2488" s="60"/>
      <c r="OIG2488" s="58"/>
      <c r="OIH2488" s="61"/>
      <c r="OII2488" s="58"/>
      <c r="OIJ2488" s="58"/>
      <c r="OIK2488" s="58"/>
      <c r="OIL2488" s="60"/>
      <c r="OIM2488" s="60"/>
      <c r="OIN2488" s="60"/>
      <c r="OIO2488" s="58"/>
      <c r="OIP2488" s="61"/>
      <c r="OIQ2488" s="58"/>
      <c r="OIR2488" s="58"/>
      <c r="OIS2488" s="58"/>
      <c r="OIT2488" s="60"/>
      <c r="OIU2488" s="60"/>
      <c r="OIV2488" s="60"/>
      <c r="OIW2488" s="58"/>
      <c r="OIX2488" s="61"/>
      <c r="OIY2488" s="58"/>
      <c r="OIZ2488" s="58"/>
      <c r="OJA2488" s="58"/>
      <c r="OJB2488" s="60"/>
      <c r="OJC2488" s="60"/>
      <c r="OJD2488" s="60"/>
      <c r="OJE2488" s="58"/>
      <c r="OJF2488" s="61"/>
      <c r="OJG2488" s="58"/>
      <c r="OJH2488" s="58"/>
      <c r="OJI2488" s="58"/>
      <c r="OJJ2488" s="60"/>
      <c r="OJK2488" s="60"/>
      <c r="OJL2488" s="60"/>
      <c r="OJM2488" s="58"/>
      <c r="OJN2488" s="61"/>
      <c r="OJO2488" s="58"/>
      <c r="OJP2488" s="58"/>
      <c r="OJQ2488" s="58"/>
      <c r="OJR2488" s="60"/>
      <c r="OJS2488" s="60"/>
      <c r="OJT2488" s="60"/>
      <c r="OJU2488" s="58"/>
      <c r="OJV2488" s="61"/>
      <c r="OJW2488" s="58"/>
      <c r="OJX2488" s="58"/>
      <c r="OJY2488" s="58"/>
      <c r="OJZ2488" s="60"/>
      <c r="OKA2488" s="60"/>
      <c r="OKB2488" s="60"/>
      <c r="OKC2488" s="58"/>
      <c r="OKD2488" s="61"/>
      <c r="OKE2488" s="58"/>
      <c r="OKF2488" s="58"/>
      <c r="OKG2488" s="58"/>
      <c r="OKH2488" s="60"/>
      <c r="OKI2488" s="60"/>
      <c r="OKJ2488" s="60"/>
      <c r="OKK2488" s="58"/>
      <c r="OKL2488" s="61"/>
      <c r="OKM2488" s="58"/>
      <c r="OKN2488" s="58"/>
      <c r="OKO2488" s="58"/>
      <c r="OKP2488" s="60"/>
      <c r="OKQ2488" s="60"/>
      <c r="OKR2488" s="60"/>
      <c r="OKS2488" s="58"/>
      <c r="OKT2488" s="61"/>
      <c r="OKU2488" s="58"/>
      <c r="OKV2488" s="58"/>
      <c r="OKW2488" s="58"/>
      <c r="OKX2488" s="60"/>
      <c r="OKY2488" s="60"/>
      <c r="OKZ2488" s="60"/>
      <c r="OLA2488" s="58"/>
      <c r="OLB2488" s="61"/>
      <c r="OLC2488" s="58"/>
      <c r="OLD2488" s="58"/>
      <c r="OLE2488" s="58"/>
      <c r="OLF2488" s="60"/>
      <c r="OLG2488" s="60"/>
      <c r="OLH2488" s="60"/>
      <c r="OLI2488" s="58"/>
      <c r="OLJ2488" s="61"/>
      <c r="OLK2488" s="58"/>
      <c r="OLL2488" s="58"/>
      <c r="OLM2488" s="58"/>
      <c r="OLN2488" s="60"/>
      <c r="OLO2488" s="60"/>
      <c r="OLP2488" s="60"/>
      <c r="OLQ2488" s="58"/>
      <c r="OLR2488" s="61"/>
      <c r="OLS2488" s="58"/>
      <c r="OLT2488" s="58"/>
      <c r="OLU2488" s="58"/>
      <c r="OLV2488" s="60"/>
      <c r="OLW2488" s="60"/>
      <c r="OLX2488" s="60"/>
      <c r="OLY2488" s="58"/>
      <c r="OLZ2488" s="61"/>
      <c r="OMA2488" s="58"/>
      <c r="OMB2488" s="58"/>
      <c r="OMC2488" s="58"/>
      <c r="OMD2488" s="60"/>
      <c r="OME2488" s="60"/>
      <c r="OMF2488" s="60"/>
      <c r="OMG2488" s="58"/>
      <c r="OMH2488" s="61"/>
      <c r="OMI2488" s="58"/>
      <c r="OMJ2488" s="58"/>
      <c r="OMK2488" s="58"/>
      <c r="OML2488" s="60"/>
      <c r="OMM2488" s="60"/>
      <c r="OMN2488" s="60"/>
      <c r="OMO2488" s="58"/>
      <c r="OMP2488" s="61"/>
      <c r="OMQ2488" s="58"/>
      <c r="OMR2488" s="58"/>
      <c r="OMS2488" s="58"/>
      <c r="OMT2488" s="60"/>
      <c r="OMU2488" s="60"/>
      <c r="OMV2488" s="60"/>
      <c r="OMW2488" s="58"/>
      <c r="OMX2488" s="61"/>
      <c r="OMY2488" s="58"/>
      <c r="OMZ2488" s="58"/>
      <c r="ONA2488" s="58"/>
      <c r="ONB2488" s="60"/>
      <c r="ONC2488" s="60"/>
      <c r="OND2488" s="60"/>
      <c r="ONE2488" s="58"/>
      <c r="ONF2488" s="61"/>
      <c r="ONG2488" s="58"/>
      <c r="ONH2488" s="58"/>
      <c r="ONI2488" s="58"/>
      <c r="ONJ2488" s="60"/>
      <c r="ONK2488" s="60"/>
      <c r="ONL2488" s="60"/>
      <c r="ONM2488" s="58"/>
      <c r="ONN2488" s="61"/>
      <c r="ONO2488" s="58"/>
      <c r="ONP2488" s="58"/>
      <c r="ONQ2488" s="58"/>
      <c r="ONR2488" s="60"/>
      <c r="ONS2488" s="60"/>
      <c r="ONT2488" s="60"/>
      <c r="ONU2488" s="58"/>
      <c r="ONV2488" s="61"/>
      <c r="ONW2488" s="58"/>
      <c r="ONX2488" s="58"/>
      <c r="ONY2488" s="58"/>
      <c r="ONZ2488" s="60"/>
      <c r="OOA2488" s="60"/>
      <c r="OOB2488" s="60"/>
      <c r="OOC2488" s="58"/>
      <c r="OOD2488" s="61"/>
      <c r="OOE2488" s="58"/>
      <c r="OOF2488" s="58"/>
      <c r="OOG2488" s="58"/>
      <c r="OOH2488" s="60"/>
      <c r="OOI2488" s="60"/>
      <c r="OOJ2488" s="60"/>
      <c r="OOK2488" s="58"/>
      <c r="OOL2488" s="61"/>
      <c r="OOM2488" s="58"/>
      <c r="OON2488" s="58"/>
      <c r="OOO2488" s="58"/>
      <c r="OOP2488" s="60"/>
      <c r="OOQ2488" s="60"/>
      <c r="OOR2488" s="60"/>
      <c r="OOS2488" s="58"/>
      <c r="OOT2488" s="61"/>
      <c r="OOU2488" s="58"/>
      <c r="OOV2488" s="58"/>
      <c r="OOW2488" s="58"/>
      <c r="OOX2488" s="60"/>
      <c r="OOY2488" s="60"/>
      <c r="OOZ2488" s="60"/>
      <c r="OPA2488" s="58"/>
      <c r="OPB2488" s="61"/>
      <c r="OPC2488" s="58"/>
      <c r="OPD2488" s="58"/>
      <c r="OPE2488" s="58"/>
      <c r="OPF2488" s="60"/>
      <c r="OPG2488" s="60"/>
      <c r="OPH2488" s="60"/>
      <c r="OPI2488" s="58"/>
      <c r="OPJ2488" s="61"/>
      <c r="OPK2488" s="58"/>
      <c r="OPL2488" s="58"/>
      <c r="OPM2488" s="58"/>
      <c r="OPN2488" s="60"/>
      <c r="OPO2488" s="60"/>
      <c r="OPP2488" s="60"/>
      <c r="OPQ2488" s="58"/>
      <c r="OPR2488" s="61"/>
      <c r="OPS2488" s="58"/>
      <c r="OPT2488" s="58"/>
      <c r="OPU2488" s="58"/>
      <c r="OPV2488" s="60"/>
      <c r="OPW2488" s="60"/>
      <c r="OPX2488" s="60"/>
      <c r="OPY2488" s="58"/>
      <c r="OPZ2488" s="61"/>
      <c r="OQA2488" s="58"/>
      <c r="OQB2488" s="58"/>
      <c r="OQC2488" s="58"/>
      <c r="OQD2488" s="60"/>
      <c r="OQE2488" s="60"/>
      <c r="OQF2488" s="60"/>
      <c r="OQG2488" s="58"/>
      <c r="OQH2488" s="61"/>
      <c r="OQI2488" s="58"/>
      <c r="OQJ2488" s="58"/>
      <c r="OQK2488" s="58"/>
      <c r="OQL2488" s="60"/>
      <c r="OQM2488" s="60"/>
      <c r="OQN2488" s="60"/>
      <c r="OQO2488" s="58"/>
      <c r="OQP2488" s="61"/>
      <c r="OQQ2488" s="58"/>
      <c r="OQR2488" s="58"/>
      <c r="OQS2488" s="58"/>
      <c r="OQT2488" s="60"/>
      <c r="OQU2488" s="60"/>
      <c r="OQV2488" s="60"/>
      <c r="OQW2488" s="58"/>
      <c r="OQX2488" s="61"/>
      <c r="OQY2488" s="58"/>
      <c r="OQZ2488" s="58"/>
      <c r="ORA2488" s="58"/>
      <c r="ORB2488" s="60"/>
      <c r="ORC2488" s="60"/>
      <c r="ORD2488" s="60"/>
      <c r="ORE2488" s="58"/>
      <c r="ORF2488" s="61"/>
      <c r="ORG2488" s="58"/>
      <c r="ORH2488" s="58"/>
      <c r="ORI2488" s="58"/>
      <c r="ORJ2488" s="60"/>
      <c r="ORK2488" s="60"/>
      <c r="ORL2488" s="60"/>
      <c r="ORM2488" s="58"/>
      <c r="ORN2488" s="61"/>
      <c r="ORO2488" s="58"/>
      <c r="ORP2488" s="58"/>
      <c r="ORQ2488" s="58"/>
      <c r="ORR2488" s="60"/>
      <c r="ORS2488" s="60"/>
      <c r="ORT2488" s="60"/>
      <c r="ORU2488" s="58"/>
      <c r="ORV2488" s="61"/>
      <c r="ORW2488" s="58"/>
      <c r="ORX2488" s="58"/>
      <c r="ORY2488" s="58"/>
      <c r="ORZ2488" s="60"/>
      <c r="OSA2488" s="60"/>
      <c r="OSB2488" s="60"/>
      <c r="OSC2488" s="58"/>
      <c r="OSD2488" s="61"/>
      <c r="OSE2488" s="58"/>
      <c r="OSF2488" s="58"/>
      <c r="OSG2488" s="58"/>
      <c r="OSH2488" s="60"/>
      <c r="OSI2488" s="60"/>
      <c r="OSJ2488" s="60"/>
      <c r="OSK2488" s="58"/>
      <c r="OSL2488" s="61"/>
      <c r="OSM2488" s="58"/>
      <c r="OSN2488" s="58"/>
      <c r="OSO2488" s="58"/>
      <c r="OSP2488" s="60"/>
      <c r="OSQ2488" s="60"/>
      <c r="OSR2488" s="60"/>
      <c r="OSS2488" s="58"/>
      <c r="OST2488" s="61"/>
      <c r="OSU2488" s="58"/>
      <c r="OSV2488" s="58"/>
      <c r="OSW2488" s="58"/>
      <c r="OSX2488" s="60"/>
      <c r="OSY2488" s="60"/>
      <c r="OSZ2488" s="60"/>
      <c r="OTA2488" s="58"/>
      <c r="OTB2488" s="61"/>
      <c r="OTC2488" s="58"/>
      <c r="OTD2488" s="58"/>
      <c r="OTE2488" s="58"/>
      <c r="OTF2488" s="60"/>
      <c r="OTG2488" s="60"/>
      <c r="OTH2488" s="60"/>
      <c r="OTI2488" s="58"/>
      <c r="OTJ2488" s="61"/>
      <c r="OTK2488" s="58"/>
      <c r="OTL2488" s="58"/>
      <c r="OTM2488" s="58"/>
      <c r="OTN2488" s="60"/>
      <c r="OTO2488" s="60"/>
      <c r="OTP2488" s="60"/>
      <c r="OTQ2488" s="58"/>
      <c r="OTR2488" s="61"/>
      <c r="OTS2488" s="58"/>
      <c r="OTT2488" s="58"/>
      <c r="OTU2488" s="58"/>
      <c r="OTV2488" s="60"/>
      <c r="OTW2488" s="60"/>
      <c r="OTX2488" s="60"/>
      <c r="OTY2488" s="58"/>
      <c r="OTZ2488" s="61"/>
      <c r="OUA2488" s="58"/>
      <c r="OUB2488" s="58"/>
      <c r="OUC2488" s="58"/>
      <c r="OUD2488" s="60"/>
      <c r="OUE2488" s="60"/>
      <c r="OUF2488" s="60"/>
      <c r="OUG2488" s="58"/>
      <c r="OUH2488" s="61"/>
      <c r="OUI2488" s="58"/>
      <c r="OUJ2488" s="58"/>
      <c r="OUK2488" s="58"/>
      <c r="OUL2488" s="60"/>
      <c r="OUM2488" s="60"/>
      <c r="OUN2488" s="60"/>
      <c r="OUO2488" s="58"/>
      <c r="OUP2488" s="61"/>
      <c r="OUQ2488" s="58"/>
      <c r="OUR2488" s="58"/>
      <c r="OUS2488" s="58"/>
      <c r="OUT2488" s="60"/>
      <c r="OUU2488" s="60"/>
      <c r="OUV2488" s="60"/>
      <c r="OUW2488" s="58"/>
      <c r="OUX2488" s="61"/>
      <c r="OUY2488" s="58"/>
      <c r="OUZ2488" s="58"/>
      <c r="OVA2488" s="58"/>
      <c r="OVB2488" s="60"/>
      <c r="OVC2488" s="60"/>
      <c r="OVD2488" s="60"/>
      <c r="OVE2488" s="58"/>
      <c r="OVF2488" s="61"/>
      <c r="OVG2488" s="58"/>
      <c r="OVH2488" s="58"/>
      <c r="OVI2488" s="58"/>
      <c r="OVJ2488" s="60"/>
      <c r="OVK2488" s="60"/>
      <c r="OVL2488" s="60"/>
      <c r="OVM2488" s="58"/>
      <c r="OVN2488" s="61"/>
      <c r="OVO2488" s="58"/>
      <c r="OVP2488" s="58"/>
      <c r="OVQ2488" s="58"/>
      <c r="OVR2488" s="60"/>
      <c r="OVS2488" s="60"/>
      <c r="OVT2488" s="60"/>
      <c r="OVU2488" s="58"/>
      <c r="OVV2488" s="61"/>
      <c r="OVW2488" s="58"/>
      <c r="OVX2488" s="58"/>
      <c r="OVY2488" s="58"/>
      <c r="OVZ2488" s="60"/>
      <c r="OWA2488" s="60"/>
      <c r="OWB2488" s="60"/>
      <c r="OWC2488" s="58"/>
      <c r="OWD2488" s="61"/>
      <c r="OWE2488" s="58"/>
      <c r="OWF2488" s="58"/>
      <c r="OWG2488" s="58"/>
      <c r="OWH2488" s="60"/>
      <c r="OWI2488" s="60"/>
      <c r="OWJ2488" s="60"/>
      <c r="OWK2488" s="58"/>
      <c r="OWL2488" s="61"/>
      <c r="OWM2488" s="58"/>
      <c r="OWN2488" s="58"/>
      <c r="OWO2488" s="58"/>
      <c r="OWP2488" s="60"/>
      <c r="OWQ2488" s="60"/>
      <c r="OWR2488" s="60"/>
      <c r="OWS2488" s="58"/>
      <c r="OWT2488" s="61"/>
      <c r="OWU2488" s="58"/>
      <c r="OWV2488" s="58"/>
      <c r="OWW2488" s="58"/>
      <c r="OWX2488" s="60"/>
      <c r="OWY2488" s="60"/>
      <c r="OWZ2488" s="60"/>
      <c r="OXA2488" s="58"/>
      <c r="OXB2488" s="61"/>
      <c r="OXC2488" s="58"/>
      <c r="OXD2488" s="58"/>
      <c r="OXE2488" s="58"/>
      <c r="OXF2488" s="60"/>
      <c r="OXG2488" s="60"/>
      <c r="OXH2488" s="60"/>
      <c r="OXI2488" s="58"/>
      <c r="OXJ2488" s="61"/>
      <c r="OXK2488" s="58"/>
      <c r="OXL2488" s="58"/>
      <c r="OXM2488" s="58"/>
      <c r="OXN2488" s="60"/>
      <c r="OXO2488" s="60"/>
      <c r="OXP2488" s="60"/>
      <c r="OXQ2488" s="58"/>
      <c r="OXR2488" s="61"/>
      <c r="OXS2488" s="58"/>
      <c r="OXT2488" s="58"/>
      <c r="OXU2488" s="58"/>
      <c r="OXV2488" s="60"/>
      <c r="OXW2488" s="60"/>
      <c r="OXX2488" s="60"/>
      <c r="OXY2488" s="58"/>
      <c r="OXZ2488" s="61"/>
      <c r="OYA2488" s="58"/>
      <c r="OYB2488" s="58"/>
      <c r="OYC2488" s="58"/>
      <c r="OYD2488" s="60"/>
      <c r="OYE2488" s="60"/>
      <c r="OYF2488" s="60"/>
      <c r="OYG2488" s="58"/>
      <c r="OYH2488" s="61"/>
      <c r="OYI2488" s="58"/>
      <c r="OYJ2488" s="58"/>
      <c r="OYK2488" s="58"/>
      <c r="OYL2488" s="60"/>
      <c r="OYM2488" s="60"/>
      <c r="OYN2488" s="60"/>
      <c r="OYO2488" s="58"/>
      <c r="OYP2488" s="61"/>
      <c r="OYQ2488" s="58"/>
      <c r="OYR2488" s="58"/>
      <c r="OYS2488" s="58"/>
      <c r="OYT2488" s="60"/>
      <c r="OYU2488" s="60"/>
      <c r="OYV2488" s="60"/>
      <c r="OYW2488" s="58"/>
      <c r="OYX2488" s="61"/>
      <c r="OYY2488" s="58"/>
      <c r="OYZ2488" s="58"/>
      <c r="OZA2488" s="58"/>
      <c r="OZB2488" s="60"/>
      <c r="OZC2488" s="60"/>
      <c r="OZD2488" s="60"/>
      <c r="OZE2488" s="58"/>
      <c r="OZF2488" s="61"/>
      <c r="OZG2488" s="58"/>
      <c r="OZH2488" s="58"/>
      <c r="OZI2488" s="58"/>
      <c r="OZJ2488" s="60"/>
      <c r="OZK2488" s="60"/>
      <c r="OZL2488" s="60"/>
      <c r="OZM2488" s="58"/>
      <c r="OZN2488" s="61"/>
      <c r="OZO2488" s="58"/>
      <c r="OZP2488" s="58"/>
      <c r="OZQ2488" s="58"/>
      <c r="OZR2488" s="60"/>
      <c r="OZS2488" s="60"/>
      <c r="OZT2488" s="60"/>
      <c r="OZU2488" s="58"/>
      <c r="OZV2488" s="61"/>
      <c r="OZW2488" s="58"/>
      <c r="OZX2488" s="58"/>
      <c r="OZY2488" s="58"/>
      <c r="OZZ2488" s="60"/>
      <c r="PAA2488" s="60"/>
      <c r="PAB2488" s="60"/>
      <c r="PAC2488" s="58"/>
      <c r="PAD2488" s="61"/>
      <c r="PAE2488" s="58"/>
      <c r="PAF2488" s="58"/>
      <c r="PAG2488" s="58"/>
      <c r="PAH2488" s="60"/>
      <c r="PAI2488" s="60"/>
      <c r="PAJ2488" s="60"/>
      <c r="PAK2488" s="58"/>
      <c r="PAL2488" s="61"/>
      <c r="PAM2488" s="58"/>
      <c r="PAN2488" s="58"/>
      <c r="PAO2488" s="58"/>
      <c r="PAP2488" s="60"/>
      <c r="PAQ2488" s="60"/>
      <c r="PAR2488" s="60"/>
      <c r="PAS2488" s="58"/>
      <c r="PAT2488" s="61"/>
      <c r="PAU2488" s="58"/>
      <c r="PAV2488" s="58"/>
      <c r="PAW2488" s="58"/>
      <c r="PAX2488" s="60"/>
      <c r="PAY2488" s="60"/>
      <c r="PAZ2488" s="60"/>
      <c r="PBA2488" s="58"/>
      <c r="PBB2488" s="61"/>
      <c r="PBC2488" s="58"/>
      <c r="PBD2488" s="58"/>
      <c r="PBE2488" s="58"/>
      <c r="PBF2488" s="60"/>
      <c r="PBG2488" s="60"/>
      <c r="PBH2488" s="60"/>
      <c r="PBI2488" s="58"/>
      <c r="PBJ2488" s="61"/>
      <c r="PBK2488" s="58"/>
      <c r="PBL2488" s="58"/>
      <c r="PBM2488" s="58"/>
      <c r="PBN2488" s="60"/>
      <c r="PBO2488" s="60"/>
      <c r="PBP2488" s="60"/>
      <c r="PBQ2488" s="58"/>
      <c r="PBR2488" s="61"/>
      <c r="PBS2488" s="58"/>
      <c r="PBT2488" s="58"/>
      <c r="PBU2488" s="58"/>
      <c r="PBV2488" s="60"/>
      <c r="PBW2488" s="60"/>
      <c r="PBX2488" s="60"/>
      <c r="PBY2488" s="58"/>
      <c r="PBZ2488" s="61"/>
      <c r="PCA2488" s="58"/>
      <c r="PCB2488" s="58"/>
      <c r="PCC2488" s="58"/>
      <c r="PCD2488" s="60"/>
      <c r="PCE2488" s="60"/>
      <c r="PCF2488" s="60"/>
      <c r="PCG2488" s="58"/>
      <c r="PCH2488" s="61"/>
      <c r="PCI2488" s="58"/>
      <c r="PCJ2488" s="58"/>
      <c r="PCK2488" s="58"/>
      <c r="PCL2488" s="60"/>
      <c r="PCM2488" s="60"/>
      <c r="PCN2488" s="60"/>
      <c r="PCO2488" s="58"/>
      <c r="PCP2488" s="61"/>
      <c r="PCQ2488" s="58"/>
      <c r="PCR2488" s="58"/>
      <c r="PCS2488" s="58"/>
      <c r="PCT2488" s="60"/>
      <c r="PCU2488" s="60"/>
      <c r="PCV2488" s="60"/>
      <c r="PCW2488" s="58"/>
      <c r="PCX2488" s="61"/>
      <c r="PCY2488" s="58"/>
      <c r="PCZ2488" s="58"/>
      <c r="PDA2488" s="58"/>
      <c r="PDB2488" s="60"/>
      <c r="PDC2488" s="60"/>
      <c r="PDD2488" s="60"/>
      <c r="PDE2488" s="58"/>
      <c r="PDF2488" s="61"/>
      <c r="PDG2488" s="58"/>
      <c r="PDH2488" s="58"/>
      <c r="PDI2488" s="58"/>
      <c r="PDJ2488" s="60"/>
      <c r="PDK2488" s="60"/>
      <c r="PDL2488" s="60"/>
      <c r="PDM2488" s="58"/>
      <c r="PDN2488" s="61"/>
      <c r="PDO2488" s="58"/>
      <c r="PDP2488" s="58"/>
      <c r="PDQ2488" s="58"/>
      <c r="PDR2488" s="60"/>
      <c r="PDS2488" s="60"/>
      <c r="PDT2488" s="60"/>
      <c r="PDU2488" s="58"/>
      <c r="PDV2488" s="61"/>
      <c r="PDW2488" s="58"/>
      <c r="PDX2488" s="58"/>
      <c r="PDY2488" s="58"/>
      <c r="PDZ2488" s="60"/>
      <c r="PEA2488" s="60"/>
      <c r="PEB2488" s="60"/>
      <c r="PEC2488" s="58"/>
      <c r="PED2488" s="61"/>
      <c r="PEE2488" s="58"/>
      <c r="PEF2488" s="58"/>
      <c r="PEG2488" s="58"/>
      <c r="PEH2488" s="60"/>
      <c r="PEI2488" s="60"/>
      <c r="PEJ2488" s="60"/>
      <c r="PEK2488" s="58"/>
      <c r="PEL2488" s="61"/>
      <c r="PEM2488" s="58"/>
      <c r="PEN2488" s="58"/>
      <c r="PEO2488" s="58"/>
      <c r="PEP2488" s="60"/>
      <c r="PEQ2488" s="60"/>
      <c r="PER2488" s="60"/>
      <c r="PES2488" s="58"/>
      <c r="PET2488" s="61"/>
      <c r="PEU2488" s="58"/>
      <c r="PEV2488" s="58"/>
      <c r="PEW2488" s="58"/>
      <c r="PEX2488" s="60"/>
      <c r="PEY2488" s="60"/>
      <c r="PEZ2488" s="60"/>
      <c r="PFA2488" s="58"/>
      <c r="PFB2488" s="61"/>
      <c r="PFC2488" s="58"/>
      <c r="PFD2488" s="58"/>
      <c r="PFE2488" s="58"/>
      <c r="PFF2488" s="60"/>
      <c r="PFG2488" s="60"/>
      <c r="PFH2488" s="60"/>
      <c r="PFI2488" s="58"/>
      <c r="PFJ2488" s="61"/>
      <c r="PFK2488" s="58"/>
      <c r="PFL2488" s="58"/>
      <c r="PFM2488" s="58"/>
      <c r="PFN2488" s="60"/>
      <c r="PFO2488" s="60"/>
      <c r="PFP2488" s="60"/>
      <c r="PFQ2488" s="58"/>
      <c r="PFR2488" s="61"/>
      <c r="PFS2488" s="58"/>
      <c r="PFT2488" s="58"/>
      <c r="PFU2488" s="58"/>
      <c r="PFV2488" s="60"/>
      <c r="PFW2488" s="60"/>
      <c r="PFX2488" s="60"/>
      <c r="PFY2488" s="58"/>
      <c r="PFZ2488" s="61"/>
      <c r="PGA2488" s="58"/>
      <c r="PGB2488" s="58"/>
      <c r="PGC2488" s="58"/>
      <c r="PGD2488" s="60"/>
      <c r="PGE2488" s="60"/>
      <c r="PGF2488" s="60"/>
      <c r="PGG2488" s="58"/>
      <c r="PGH2488" s="61"/>
      <c r="PGI2488" s="58"/>
      <c r="PGJ2488" s="58"/>
      <c r="PGK2488" s="58"/>
      <c r="PGL2488" s="60"/>
      <c r="PGM2488" s="60"/>
      <c r="PGN2488" s="60"/>
      <c r="PGO2488" s="58"/>
      <c r="PGP2488" s="61"/>
      <c r="PGQ2488" s="58"/>
      <c r="PGR2488" s="58"/>
      <c r="PGS2488" s="58"/>
      <c r="PGT2488" s="60"/>
      <c r="PGU2488" s="60"/>
      <c r="PGV2488" s="60"/>
      <c r="PGW2488" s="58"/>
      <c r="PGX2488" s="61"/>
      <c r="PGY2488" s="58"/>
      <c r="PGZ2488" s="58"/>
      <c r="PHA2488" s="58"/>
      <c r="PHB2488" s="60"/>
      <c r="PHC2488" s="60"/>
      <c r="PHD2488" s="60"/>
      <c r="PHE2488" s="58"/>
      <c r="PHF2488" s="61"/>
      <c r="PHG2488" s="58"/>
      <c r="PHH2488" s="58"/>
      <c r="PHI2488" s="58"/>
      <c r="PHJ2488" s="60"/>
      <c r="PHK2488" s="60"/>
      <c r="PHL2488" s="60"/>
      <c r="PHM2488" s="58"/>
      <c r="PHN2488" s="61"/>
      <c r="PHO2488" s="58"/>
      <c r="PHP2488" s="58"/>
      <c r="PHQ2488" s="58"/>
      <c r="PHR2488" s="60"/>
      <c r="PHS2488" s="60"/>
      <c r="PHT2488" s="60"/>
      <c r="PHU2488" s="58"/>
      <c r="PHV2488" s="61"/>
      <c r="PHW2488" s="58"/>
      <c r="PHX2488" s="58"/>
      <c r="PHY2488" s="58"/>
      <c r="PHZ2488" s="60"/>
      <c r="PIA2488" s="60"/>
      <c r="PIB2488" s="60"/>
      <c r="PIC2488" s="58"/>
      <c r="PID2488" s="61"/>
      <c r="PIE2488" s="58"/>
      <c r="PIF2488" s="58"/>
      <c r="PIG2488" s="58"/>
      <c r="PIH2488" s="60"/>
      <c r="PII2488" s="60"/>
      <c r="PIJ2488" s="60"/>
      <c r="PIK2488" s="58"/>
      <c r="PIL2488" s="61"/>
      <c r="PIM2488" s="58"/>
      <c r="PIN2488" s="58"/>
      <c r="PIO2488" s="58"/>
      <c r="PIP2488" s="60"/>
      <c r="PIQ2488" s="60"/>
      <c r="PIR2488" s="60"/>
      <c r="PIS2488" s="58"/>
      <c r="PIT2488" s="61"/>
      <c r="PIU2488" s="58"/>
      <c r="PIV2488" s="58"/>
      <c r="PIW2488" s="58"/>
      <c r="PIX2488" s="60"/>
      <c r="PIY2488" s="60"/>
      <c r="PIZ2488" s="60"/>
      <c r="PJA2488" s="58"/>
      <c r="PJB2488" s="61"/>
      <c r="PJC2488" s="58"/>
      <c r="PJD2488" s="58"/>
      <c r="PJE2488" s="58"/>
      <c r="PJF2488" s="60"/>
      <c r="PJG2488" s="60"/>
      <c r="PJH2488" s="60"/>
      <c r="PJI2488" s="58"/>
      <c r="PJJ2488" s="61"/>
      <c r="PJK2488" s="58"/>
      <c r="PJL2488" s="58"/>
      <c r="PJM2488" s="58"/>
      <c r="PJN2488" s="60"/>
      <c r="PJO2488" s="60"/>
      <c r="PJP2488" s="60"/>
      <c r="PJQ2488" s="58"/>
      <c r="PJR2488" s="61"/>
      <c r="PJS2488" s="58"/>
      <c r="PJT2488" s="58"/>
      <c r="PJU2488" s="58"/>
      <c r="PJV2488" s="60"/>
      <c r="PJW2488" s="60"/>
      <c r="PJX2488" s="60"/>
      <c r="PJY2488" s="58"/>
      <c r="PJZ2488" s="61"/>
      <c r="PKA2488" s="58"/>
      <c r="PKB2488" s="58"/>
      <c r="PKC2488" s="58"/>
      <c r="PKD2488" s="60"/>
      <c r="PKE2488" s="60"/>
      <c r="PKF2488" s="60"/>
      <c r="PKG2488" s="58"/>
      <c r="PKH2488" s="61"/>
      <c r="PKI2488" s="58"/>
      <c r="PKJ2488" s="58"/>
      <c r="PKK2488" s="58"/>
      <c r="PKL2488" s="60"/>
      <c r="PKM2488" s="60"/>
      <c r="PKN2488" s="60"/>
      <c r="PKO2488" s="58"/>
      <c r="PKP2488" s="61"/>
      <c r="PKQ2488" s="58"/>
      <c r="PKR2488" s="58"/>
      <c r="PKS2488" s="58"/>
      <c r="PKT2488" s="60"/>
      <c r="PKU2488" s="60"/>
      <c r="PKV2488" s="60"/>
      <c r="PKW2488" s="58"/>
      <c r="PKX2488" s="61"/>
      <c r="PKY2488" s="58"/>
      <c r="PKZ2488" s="58"/>
      <c r="PLA2488" s="58"/>
      <c r="PLB2488" s="60"/>
      <c r="PLC2488" s="60"/>
      <c r="PLD2488" s="60"/>
      <c r="PLE2488" s="58"/>
      <c r="PLF2488" s="61"/>
      <c r="PLG2488" s="58"/>
      <c r="PLH2488" s="58"/>
      <c r="PLI2488" s="58"/>
      <c r="PLJ2488" s="60"/>
      <c r="PLK2488" s="60"/>
      <c r="PLL2488" s="60"/>
      <c r="PLM2488" s="58"/>
      <c r="PLN2488" s="61"/>
      <c r="PLO2488" s="58"/>
      <c r="PLP2488" s="58"/>
      <c r="PLQ2488" s="58"/>
      <c r="PLR2488" s="60"/>
      <c r="PLS2488" s="60"/>
      <c r="PLT2488" s="60"/>
      <c r="PLU2488" s="58"/>
      <c r="PLV2488" s="61"/>
      <c r="PLW2488" s="58"/>
      <c r="PLX2488" s="58"/>
      <c r="PLY2488" s="58"/>
      <c r="PLZ2488" s="60"/>
      <c r="PMA2488" s="60"/>
      <c r="PMB2488" s="60"/>
      <c r="PMC2488" s="58"/>
      <c r="PMD2488" s="61"/>
      <c r="PME2488" s="58"/>
      <c r="PMF2488" s="58"/>
      <c r="PMG2488" s="58"/>
      <c r="PMH2488" s="60"/>
      <c r="PMI2488" s="60"/>
      <c r="PMJ2488" s="60"/>
      <c r="PMK2488" s="58"/>
      <c r="PML2488" s="61"/>
      <c r="PMM2488" s="58"/>
      <c r="PMN2488" s="58"/>
      <c r="PMO2488" s="58"/>
      <c r="PMP2488" s="60"/>
      <c r="PMQ2488" s="60"/>
      <c r="PMR2488" s="60"/>
      <c r="PMS2488" s="58"/>
      <c r="PMT2488" s="61"/>
      <c r="PMU2488" s="58"/>
      <c r="PMV2488" s="58"/>
      <c r="PMW2488" s="58"/>
      <c r="PMX2488" s="60"/>
      <c r="PMY2488" s="60"/>
      <c r="PMZ2488" s="60"/>
      <c r="PNA2488" s="58"/>
      <c r="PNB2488" s="61"/>
      <c r="PNC2488" s="58"/>
      <c r="PND2488" s="58"/>
      <c r="PNE2488" s="58"/>
      <c r="PNF2488" s="60"/>
      <c r="PNG2488" s="60"/>
      <c r="PNH2488" s="60"/>
      <c r="PNI2488" s="58"/>
      <c r="PNJ2488" s="61"/>
      <c r="PNK2488" s="58"/>
      <c r="PNL2488" s="58"/>
      <c r="PNM2488" s="58"/>
      <c r="PNN2488" s="60"/>
      <c r="PNO2488" s="60"/>
      <c r="PNP2488" s="60"/>
      <c r="PNQ2488" s="58"/>
      <c r="PNR2488" s="61"/>
      <c r="PNS2488" s="58"/>
      <c r="PNT2488" s="58"/>
      <c r="PNU2488" s="58"/>
      <c r="PNV2488" s="60"/>
      <c r="PNW2488" s="60"/>
      <c r="PNX2488" s="60"/>
      <c r="PNY2488" s="58"/>
      <c r="PNZ2488" s="61"/>
      <c r="POA2488" s="58"/>
      <c r="POB2488" s="58"/>
      <c r="POC2488" s="58"/>
      <c r="POD2488" s="60"/>
      <c r="POE2488" s="60"/>
      <c r="POF2488" s="60"/>
      <c r="POG2488" s="58"/>
      <c r="POH2488" s="61"/>
      <c r="POI2488" s="58"/>
      <c r="POJ2488" s="58"/>
      <c r="POK2488" s="58"/>
      <c r="POL2488" s="60"/>
      <c r="POM2488" s="60"/>
      <c r="PON2488" s="60"/>
      <c r="POO2488" s="58"/>
      <c r="POP2488" s="61"/>
      <c r="POQ2488" s="58"/>
      <c r="POR2488" s="58"/>
      <c r="POS2488" s="58"/>
      <c r="POT2488" s="60"/>
      <c r="POU2488" s="60"/>
      <c r="POV2488" s="60"/>
      <c r="POW2488" s="58"/>
      <c r="POX2488" s="61"/>
      <c r="POY2488" s="58"/>
      <c r="POZ2488" s="58"/>
      <c r="PPA2488" s="58"/>
      <c r="PPB2488" s="60"/>
      <c r="PPC2488" s="60"/>
      <c r="PPD2488" s="60"/>
      <c r="PPE2488" s="58"/>
      <c r="PPF2488" s="61"/>
      <c r="PPG2488" s="58"/>
      <c r="PPH2488" s="58"/>
      <c r="PPI2488" s="58"/>
      <c r="PPJ2488" s="60"/>
      <c r="PPK2488" s="60"/>
      <c r="PPL2488" s="60"/>
      <c r="PPM2488" s="58"/>
      <c r="PPN2488" s="61"/>
      <c r="PPO2488" s="58"/>
      <c r="PPP2488" s="58"/>
      <c r="PPQ2488" s="58"/>
      <c r="PPR2488" s="60"/>
      <c r="PPS2488" s="60"/>
      <c r="PPT2488" s="60"/>
      <c r="PPU2488" s="58"/>
      <c r="PPV2488" s="61"/>
      <c r="PPW2488" s="58"/>
      <c r="PPX2488" s="58"/>
      <c r="PPY2488" s="58"/>
      <c r="PPZ2488" s="60"/>
      <c r="PQA2488" s="60"/>
      <c r="PQB2488" s="60"/>
      <c r="PQC2488" s="58"/>
      <c r="PQD2488" s="61"/>
      <c r="PQE2488" s="58"/>
      <c r="PQF2488" s="58"/>
      <c r="PQG2488" s="58"/>
      <c r="PQH2488" s="60"/>
      <c r="PQI2488" s="60"/>
      <c r="PQJ2488" s="60"/>
      <c r="PQK2488" s="58"/>
      <c r="PQL2488" s="61"/>
      <c r="PQM2488" s="58"/>
      <c r="PQN2488" s="58"/>
      <c r="PQO2488" s="58"/>
      <c r="PQP2488" s="60"/>
      <c r="PQQ2488" s="60"/>
      <c r="PQR2488" s="60"/>
      <c r="PQS2488" s="58"/>
      <c r="PQT2488" s="61"/>
      <c r="PQU2488" s="58"/>
      <c r="PQV2488" s="58"/>
      <c r="PQW2488" s="58"/>
      <c r="PQX2488" s="60"/>
      <c r="PQY2488" s="60"/>
      <c r="PQZ2488" s="60"/>
      <c r="PRA2488" s="58"/>
      <c r="PRB2488" s="61"/>
      <c r="PRC2488" s="58"/>
      <c r="PRD2488" s="58"/>
      <c r="PRE2488" s="58"/>
      <c r="PRF2488" s="60"/>
      <c r="PRG2488" s="60"/>
      <c r="PRH2488" s="60"/>
      <c r="PRI2488" s="58"/>
      <c r="PRJ2488" s="61"/>
      <c r="PRK2488" s="58"/>
      <c r="PRL2488" s="58"/>
      <c r="PRM2488" s="58"/>
      <c r="PRN2488" s="60"/>
      <c r="PRO2488" s="60"/>
      <c r="PRP2488" s="60"/>
      <c r="PRQ2488" s="58"/>
      <c r="PRR2488" s="61"/>
      <c r="PRS2488" s="58"/>
      <c r="PRT2488" s="58"/>
      <c r="PRU2488" s="58"/>
      <c r="PRV2488" s="60"/>
      <c r="PRW2488" s="60"/>
      <c r="PRX2488" s="60"/>
      <c r="PRY2488" s="58"/>
      <c r="PRZ2488" s="61"/>
      <c r="PSA2488" s="58"/>
      <c r="PSB2488" s="58"/>
      <c r="PSC2488" s="58"/>
      <c r="PSD2488" s="60"/>
      <c r="PSE2488" s="60"/>
      <c r="PSF2488" s="60"/>
      <c r="PSG2488" s="58"/>
      <c r="PSH2488" s="61"/>
      <c r="PSI2488" s="58"/>
      <c r="PSJ2488" s="58"/>
      <c r="PSK2488" s="58"/>
      <c r="PSL2488" s="60"/>
      <c r="PSM2488" s="60"/>
      <c r="PSN2488" s="60"/>
      <c r="PSO2488" s="58"/>
      <c r="PSP2488" s="61"/>
      <c r="PSQ2488" s="58"/>
      <c r="PSR2488" s="58"/>
      <c r="PSS2488" s="58"/>
      <c r="PST2488" s="60"/>
      <c r="PSU2488" s="60"/>
      <c r="PSV2488" s="60"/>
      <c r="PSW2488" s="58"/>
      <c r="PSX2488" s="61"/>
      <c r="PSY2488" s="58"/>
      <c r="PSZ2488" s="58"/>
      <c r="PTA2488" s="58"/>
      <c r="PTB2488" s="60"/>
      <c r="PTC2488" s="60"/>
      <c r="PTD2488" s="60"/>
      <c r="PTE2488" s="58"/>
      <c r="PTF2488" s="61"/>
      <c r="PTG2488" s="58"/>
      <c r="PTH2488" s="58"/>
      <c r="PTI2488" s="58"/>
      <c r="PTJ2488" s="60"/>
      <c r="PTK2488" s="60"/>
      <c r="PTL2488" s="60"/>
      <c r="PTM2488" s="58"/>
      <c r="PTN2488" s="61"/>
      <c r="PTO2488" s="58"/>
      <c r="PTP2488" s="58"/>
      <c r="PTQ2488" s="58"/>
      <c r="PTR2488" s="60"/>
      <c r="PTS2488" s="60"/>
      <c r="PTT2488" s="60"/>
      <c r="PTU2488" s="58"/>
      <c r="PTV2488" s="61"/>
      <c r="PTW2488" s="58"/>
      <c r="PTX2488" s="58"/>
      <c r="PTY2488" s="58"/>
      <c r="PTZ2488" s="60"/>
      <c r="PUA2488" s="60"/>
      <c r="PUB2488" s="60"/>
      <c r="PUC2488" s="58"/>
      <c r="PUD2488" s="61"/>
      <c r="PUE2488" s="58"/>
      <c r="PUF2488" s="58"/>
      <c r="PUG2488" s="58"/>
      <c r="PUH2488" s="60"/>
      <c r="PUI2488" s="60"/>
      <c r="PUJ2488" s="60"/>
      <c r="PUK2488" s="58"/>
      <c r="PUL2488" s="61"/>
      <c r="PUM2488" s="58"/>
      <c r="PUN2488" s="58"/>
      <c r="PUO2488" s="58"/>
      <c r="PUP2488" s="60"/>
      <c r="PUQ2488" s="60"/>
      <c r="PUR2488" s="60"/>
      <c r="PUS2488" s="58"/>
      <c r="PUT2488" s="61"/>
      <c r="PUU2488" s="58"/>
      <c r="PUV2488" s="58"/>
      <c r="PUW2488" s="58"/>
      <c r="PUX2488" s="60"/>
      <c r="PUY2488" s="60"/>
      <c r="PUZ2488" s="60"/>
      <c r="PVA2488" s="58"/>
      <c r="PVB2488" s="61"/>
      <c r="PVC2488" s="58"/>
      <c r="PVD2488" s="58"/>
      <c r="PVE2488" s="58"/>
      <c r="PVF2488" s="60"/>
      <c r="PVG2488" s="60"/>
      <c r="PVH2488" s="60"/>
      <c r="PVI2488" s="58"/>
      <c r="PVJ2488" s="61"/>
      <c r="PVK2488" s="58"/>
      <c r="PVL2488" s="58"/>
      <c r="PVM2488" s="58"/>
      <c r="PVN2488" s="60"/>
      <c r="PVO2488" s="60"/>
      <c r="PVP2488" s="60"/>
      <c r="PVQ2488" s="58"/>
      <c r="PVR2488" s="61"/>
      <c r="PVS2488" s="58"/>
      <c r="PVT2488" s="58"/>
      <c r="PVU2488" s="58"/>
      <c r="PVV2488" s="60"/>
      <c r="PVW2488" s="60"/>
      <c r="PVX2488" s="60"/>
      <c r="PVY2488" s="58"/>
      <c r="PVZ2488" s="61"/>
      <c r="PWA2488" s="58"/>
      <c r="PWB2488" s="58"/>
      <c r="PWC2488" s="58"/>
      <c r="PWD2488" s="60"/>
      <c r="PWE2488" s="60"/>
      <c r="PWF2488" s="60"/>
      <c r="PWG2488" s="58"/>
      <c r="PWH2488" s="61"/>
      <c r="PWI2488" s="58"/>
      <c r="PWJ2488" s="58"/>
      <c r="PWK2488" s="58"/>
      <c r="PWL2488" s="60"/>
      <c r="PWM2488" s="60"/>
      <c r="PWN2488" s="60"/>
      <c r="PWO2488" s="58"/>
      <c r="PWP2488" s="61"/>
      <c r="PWQ2488" s="58"/>
      <c r="PWR2488" s="58"/>
      <c r="PWS2488" s="58"/>
      <c r="PWT2488" s="60"/>
      <c r="PWU2488" s="60"/>
      <c r="PWV2488" s="60"/>
      <c r="PWW2488" s="58"/>
      <c r="PWX2488" s="61"/>
      <c r="PWY2488" s="58"/>
      <c r="PWZ2488" s="58"/>
      <c r="PXA2488" s="58"/>
      <c r="PXB2488" s="60"/>
      <c r="PXC2488" s="60"/>
      <c r="PXD2488" s="60"/>
      <c r="PXE2488" s="58"/>
      <c r="PXF2488" s="61"/>
      <c r="PXG2488" s="58"/>
      <c r="PXH2488" s="58"/>
      <c r="PXI2488" s="58"/>
      <c r="PXJ2488" s="60"/>
      <c r="PXK2488" s="60"/>
      <c r="PXL2488" s="60"/>
      <c r="PXM2488" s="58"/>
      <c r="PXN2488" s="61"/>
      <c r="PXO2488" s="58"/>
      <c r="PXP2488" s="58"/>
      <c r="PXQ2488" s="58"/>
      <c r="PXR2488" s="60"/>
      <c r="PXS2488" s="60"/>
      <c r="PXT2488" s="60"/>
      <c r="PXU2488" s="58"/>
      <c r="PXV2488" s="61"/>
      <c r="PXW2488" s="58"/>
      <c r="PXX2488" s="58"/>
      <c r="PXY2488" s="58"/>
      <c r="PXZ2488" s="60"/>
      <c r="PYA2488" s="60"/>
      <c r="PYB2488" s="60"/>
      <c r="PYC2488" s="58"/>
      <c r="PYD2488" s="61"/>
      <c r="PYE2488" s="58"/>
      <c r="PYF2488" s="58"/>
      <c r="PYG2488" s="58"/>
      <c r="PYH2488" s="60"/>
      <c r="PYI2488" s="60"/>
      <c r="PYJ2488" s="60"/>
      <c r="PYK2488" s="58"/>
      <c r="PYL2488" s="61"/>
      <c r="PYM2488" s="58"/>
      <c r="PYN2488" s="58"/>
      <c r="PYO2488" s="58"/>
      <c r="PYP2488" s="60"/>
      <c r="PYQ2488" s="60"/>
      <c r="PYR2488" s="60"/>
      <c r="PYS2488" s="58"/>
      <c r="PYT2488" s="61"/>
      <c r="PYU2488" s="58"/>
      <c r="PYV2488" s="58"/>
      <c r="PYW2488" s="58"/>
      <c r="PYX2488" s="60"/>
      <c r="PYY2488" s="60"/>
      <c r="PYZ2488" s="60"/>
      <c r="PZA2488" s="58"/>
      <c r="PZB2488" s="61"/>
      <c r="PZC2488" s="58"/>
      <c r="PZD2488" s="58"/>
      <c r="PZE2488" s="58"/>
      <c r="PZF2488" s="60"/>
      <c r="PZG2488" s="60"/>
      <c r="PZH2488" s="60"/>
      <c r="PZI2488" s="58"/>
      <c r="PZJ2488" s="61"/>
      <c r="PZK2488" s="58"/>
      <c r="PZL2488" s="58"/>
      <c r="PZM2488" s="58"/>
      <c r="PZN2488" s="60"/>
      <c r="PZO2488" s="60"/>
      <c r="PZP2488" s="60"/>
      <c r="PZQ2488" s="58"/>
      <c r="PZR2488" s="61"/>
      <c r="PZS2488" s="58"/>
      <c r="PZT2488" s="58"/>
      <c r="PZU2488" s="58"/>
      <c r="PZV2488" s="60"/>
      <c r="PZW2488" s="60"/>
      <c r="PZX2488" s="60"/>
      <c r="PZY2488" s="58"/>
      <c r="PZZ2488" s="61"/>
      <c r="QAA2488" s="58"/>
      <c r="QAB2488" s="58"/>
      <c r="QAC2488" s="58"/>
      <c r="QAD2488" s="60"/>
      <c r="QAE2488" s="60"/>
      <c r="QAF2488" s="60"/>
      <c r="QAG2488" s="58"/>
      <c r="QAH2488" s="61"/>
      <c r="QAI2488" s="58"/>
      <c r="QAJ2488" s="58"/>
      <c r="QAK2488" s="58"/>
      <c r="QAL2488" s="60"/>
      <c r="QAM2488" s="60"/>
      <c r="QAN2488" s="60"/>
      <c r="QAO2488" s="58"/>
      <c r="QAP2488" s="61"/>
      <c r="QAQ2488" s="58"/>
      <c r="QAR2488" s="58"/>
      <c r="QAS2488" s="58"/>
      <c r="QAT2488" s="60"/>
      <c r="QAU2488" s="60"/>
      <c r="QAV2488" s="60"/>
      <c r="QAW2488" s="58"/>
      <c r="QAX2488" s="61"/>
      <c r="QAY2488" s="58"/>
      <c r="QAZ2488" s="58"/>
      <c r="QBA2488" s="58"/>
      <c r="QBB2488" s="60"/>
      <c r="QBC2488" s="60"/>
      <c r="QBD2488" s="60"/>
      <c r="QBE2488" s="58"/>
      <c r="QBF2488" s="61"/>
      <c r="QBG2488" s="58"/>
      <c r="QBH2488" s="58"/>
      <c r="QBI2488" s="58"/>
      <c r="QBJ2488" s="60"/>
      <c r="QBK2488" s="60"/>
      <c r="QBL2488" s="60"/>
      <c r="QBM2488" s="58"/>
      <c r="QBN2488" s="61"/>
      <c r="QBO2488" s="58"/>
      <c r="QBP2488" s="58"/>
      <c r="QBQ2488" s="58"/>
      <c r="QBR2488" s="60"/>
      <c r="QBS2488" s="60"/>
      <c r="QBT2488" s="60"/>
      <c r="QBU2488" s="58"/>
      <c r="QBV2488" s="61"/>
      <c r="QBW2488" s="58"/>
      <c r="QBX2488" s="58"/>
      <c r="QBY2488" s="58"/>
      <c r="QBZ2488" s="60"/>
      <c r="QCA2488" s="60"/>
      <c r="QCB2488" s="60"/>
      <c r="QCC2488" s="58"/>
      <c r="QCD2488" s="61"/>
      <c r="QCE2488" s="58"/>
      <c r="QCF2488" s="58"/>
      <c r="QCG2488" s="58"/>
      <c r="QCH2488" s="60"/>
      <c r="QCI2488" s="60"/>
      <c r="QCJ2488" s="60"/>
      <c r="QCK2488" s="58"/>
      <c r="QCL2488" s="61"/>
      <c r="QCM2488" s="58"/>
      <c r="QCN2488" s="58"/>
      <c r="QCO2488" s="58"/>
      <c r="QCP2488" s="60"/>
      <c r="QCQ2488" s="60"/>
      <c r="QCR2488" s="60"/>
      <c r="QCS2488" s="58"/>
      <c r="QCT2488" s="61"/>
      <c r="QCU2488" s="58"/>
      <c r="QCV2488" s="58"/>
      <c r="QCW2488" s="58"/>
      <c r="QCX2488" s="60"/>
      <c r="QCY2488" s="60"/>
      <c r="QCZ2488" s="60"/>
      <c r="QDA2488" s="58"/>
      <c r="QDB2488" s="61"/>
      <c r="QDC2488" s="58"/>
      <c r="QDD2488" s="58"/>
      <c r="QDE2488" s="58"/>
      <c r="QDF2488" s="60"/>
      <c r="QDG2488" s="60"/>
      <c r="QDH2488" s="60"/>
      <c r="QDI2488" s="58"/>
      <c r="QDJ2488" s="61"/>
      <c r="QDK2488" s="58"/>
      <c r="QDL2488" s="58"/>
      <c r="QDM2488" s="58"/>
      <c r="QDN2488" s="60"/>
      <c r="QDO2488" s="60"/>
      <c r="QDP2488" s="60"/>
      <c r="QDQ2488" s="58"/>
      <c r="QDR2488" s="61"/>
      <c r="QDS2488" s="58"/>
      <c r="QDT2488" s="58"/>
      <c r="QDU2488" s="58"/>
      <c r="QDV2488" s="60"/>
      <c r="QDW2488" s="60"/>
      <c r="QDX2488" s="60"/>
      <c r="QDY2488" s="58"/>
      <c r="QDZ2488" s="61"/>
      <c r="QEA2488" s="58"/>
      <c r="QEB2488" s="58"/>
      <c r="QEC2488" s="58"/>
      <c r="QED2488" s="60"/>
      <c r="QEE2488" s="60"/>
      <c r="QEF2488" s="60"/>
      <c r="QEG2488" s="58"/>
      <c r="QEH2488" s="61"/>
      <c r="QEI2488" s="58"/>
      <c r="QEJ2488" s="58"/>
      <c r="QEK2488" s="58"/>
      <c r="QEL2488" s="60"/>
      <c r="QEM2488" s="60"/>
      <c r="QEN2488" s="60"/>
      <c r="QEO2488" s="58"/>
      <c r="QEP2488" s="61"/>
      <c r="QEQ2488" s="58"/>
      <c r="QER2488" s="58"/>
      <c r="QES2488" s="58"/>
      <c r="QET2488" s="60"/>
      <c r="QEU2488" s="60"/>
      <c r="QEV2488" s="60"/>
      <c r="QEW2488" s="58"/>
      <c r="QEX2488" s="61"/>
      <c r="QEY2488" s="58"/>
      <c r="QEZ2488" s="58"/>
      <c r="QFA2488" s="58"/>
      <c r="QFB2488" s="60"/>
      <c r="QFC2488" s="60"/>
      <c r="QFD2488" s="60"/>
      <c r="QFE2488" s="58"/>
      <c r="QFF2488" s="61"/>
      <c r="QFG2488" s="58"/>
      <c r="QFH2488" s="58"/>
      <c r="QFI2488" s="58"/>
      <c r="QFJ2488" s="60"/>
      <c r="QFK2488" s="60"/>
      <c r="QFL2488" s="60"/>
      <c r="QFM2488" s="58"/>
      <c r="QFN2488" s="61"/>
      <c r="QFO2488" s="58"/>
      <c r="QFP2488" s="58"/>
      <c r="QFQ2488" s="58"/>
      <c r="QFR2488" s="60"/>
      <c r="QFS2488" s="60"/>
      <c r="QFT2488" s="60"/>
      <c r="QFU2488" s="58"/>
      <c r="QFV2488" s="61"/>
      <c r="QFW2488" s="58"/>
      <c r="QFX2488" s="58"/>
      <c r="QFY2488" s="58"/>
      <c r="QFZ2488" s="60"/>
      <c r="QGA2488" s="60"/>
      <c r="QGB2488" s="60"/>
      <c r="QGC2488" s="58"/>
      <c r="QGD2488" s="61"/>
      <c r="QGE2488" s="58"/>
      <c r="QGF2488" s="58"/>
      <c r="QGG2488" s="58"/>
      <c r="QGH2488" s="60"/>
      <c r="QGI2488" s="60"/>
      <c r="QGJ2488" s="60"/>
      <c r="QGK2488" s="58"/>
      <c r="QGL2488" s="61"/>
      <c r="QGM2488" s="58"/>
      <c r="QGN2488" s="58"/>
      <c r="QGO2488" s="58"/>
      <c r="QGP2488" s="60"/>
      <c r="QGQ2488" s="60"/>
      <c r="QGR2488" s="60"/>
      <c r="QGS2488" s="58"/>
      <c r="QGT2488" s="61"/>
      <c r="QGU2488" s="58"/>
      <c r="QGV2488" s="58"/>
      <c r="QGW2488" s="58"/>
      <c r="QGX2488" s="60"/>
      <c r="QGY2488" s="60"/>
      <c r="QGZ2488" s="60"/>
      <c r="QHA2488" s="58"/>
      <c r="QHB2488" s="61"/>
      <c r="QHC2488" s="58"/>
      <c r="QHD2488" s="58"/>
      <c r="QHE2488" s="58"/>
      <c r="QHF2488" s="60"/>
      <c r="QHG2488" s="60"/>
      <c r="QHH2488" s="60"/>
      <c r="QHI2488" s="58"/>
      <c r="QHJ2488" s="61"/>
      <c r="QHK2488" s="58"/>
      <c r="QHL2488" s="58"/>
      <c r="QHM2488" s="58"/>
      <c r="QHN2488" s="60"/>
      <c r="QHO2488" s="60"/>
      <c r="QHP2488" s="60"/>
      <c r="QHQ2488" s="58"/>
      <c r="QHR2488" s="61"/>
      <c r="QHS2488" s="58"/>
      <c r="QHT2488" s="58"/>
      <c r="QHU2488" s="58"/>
      <c r="QHV2488" s="60"/>
      <c r="QHW2488" s="60"/>
      <c r="QHX2488" s="60"/>
      <c r="QHY2488" s="58"/>
      <c r="QHZ2488" s="61"/>
      <c r="QIA2488" s="58"/>
      <c r="QIB2488" s="58"/>
      <c r="QIC2488" s="58"/>
      <c r="QID2488" s="60"/>
      <c r="QIE2488" s="60"/>
      <c r="QIF2488" s="60"/>
      <c r="QIG2488" s="58"/>
      <c r="QIH2488" s="61"/>
      <c r="QII2488" s="58"/>
      <c r="QIJ2488" s="58"/>
      <c r="QIK2488" s="58"/>
      <c r="QIL2488" s="60"/>
      <c r="QIM2488" s="60"/>
      <c r="QIN2488" s="60"/>
      <c r="QIO2488" s="58"/>
      <c r="QIP2488" s="61"/>
      <c r="QIQ2488" s="58"/>
      <c r="QIR2488" s="58"/>
      <c r="QIS2488" s="58"/>
      <c r="QIT2488" s="60"/>
      <c r="QIU2488" s="60"/>
      <c r="QIV2488" s="60"/>
      <c r="QIW2488" s="58"/>
      <c r="QIX2488" s="61"/>
      <c r="QIY2488" s="58"/>
      <c r="QIZ2488" s="58"/>
      <c r="QJA2488" s="58"/>
      <c r="QJB2488" s="60"/>
      <c r="QJC2488" s="60"/>
      <c r="QJD2488" s="60"/>
      <c r="QJE2488" s="58"/>
      <c r="QJF2488" s="61"/>
      <c r="QJG2488" s="58"/>
      <c r="QJH2488" s="58"/>
      <c r="QJI2488" s="58"/>
      <c r="QJJ2488" s="60"/>
      <c r="QJK2488" s="60"/>
      <c r="QJL2488" s="60"/>
      <c r="QJM2488" s="58"/>
      <c r="QJN2488" s="61"/>
      <c r="QJO2488" s="58"/>
      <c r="QJP2488" s="58"/>
      <c r="QJQ2488" s="58"/>
      <c r="QJR2488" s="60"/>
      <c r="QJS2488" s="60"/>
      <c r="QJT2488" s="60"/>
      <c r="QJU2488" s="58"/>
      <c r="QJV2488" s="61"/>
      <c r="QJW2488" s="58"/>
      <c r="QJX2488" s="58"/>
      <c r="QJY2488" s="58"/>
      <c r="QJZ2488" s="60"/>
      <c r="QKA2488" s="60"/>
      <c r="QKB2488" s="60"/>
      <c r="QKC2488" s="58"/>
      <c r="QKD2488" s="61"/>
      <c r="QKE2488" s="58"/>
      <c r="QKF2488" s="58"/>
      <c r="QKG2488" s="58"/>
      <c r="QKH2488" s="60"/>
      <c r="QKI2488" s="60"/>
      <c r="QKJ2488" s="60"/>
      <c r="QKK2488" s="58"/>
      <c r="QKL2488" s="61"/>
      <c r="QKM2488" s="58"/>
      <c r="QKN2488" s="58"/>
      <c r="QKO2488" s="58"/>
      <c r="QKP2488" s="60"/>
      <c r="QKQ2488" s="60"/>
      <c r="QKR2488" s="60"/>
      <c r="QKS2488" s="58"/>
      <c r="QKT2488" s="61"/>
      <c r="QKU2488" s="58"/>
      <c r="QKV2488" s="58"/>
      <c r="QKW2488" s="58"/>
      <c r="QKX2488" s="60"/>
      <c r="QKY2488" s="60"/>
      <c r="QKZ2488" s="60"/>
      <c r="QLA2488" s="58"/>
      <c r="QLB2488" s="61"/>
      <c r="QLC2488" s="58"/>
      <c r="QLD2488" s="58"/>
      <c r="QLE2488" s="58"/>
      <c r="QLF2488" s="60"/>
      <c r="QLG2488" s="60"/>
      <c r="QLH2488" s="60"/>
      <c r="QLI2488" s="58"/>
      <c r="QLJ2488" s="61"/>
      <c r="QLK2488" s="58"/>
      <c r="QLL2488" s="58"/>
      <c r="QLM2488" s="58"/>
      <c r="QLN2488" s="60"/>
      <c r="QLO2488" s="60"/>
      <c r="QLP2488" s="60"/>
      <c r="QLQ2488" s="58"/>
      <c r="QLR2488" s="61"/>
      <c r="QLS2488" s="58"/>
      <c r="QLT2488" s="58"/>
      <c r="QLU2488" s="58"/>
      <c r="QLV2488" s="60"/>
      <c r="QLW2488" s="60"/>
      <c r="QLX2488" s="60"/>
      <c r="QLY2488" s="58"/>
      <c r="QLZ2488" s="61"/>
      <c r="QMA2488" s="58"/>
      <c r="QMB2488" s="58"/>
      <c r="QMC2488" s="58"/>
      <c r="QMD2488" s="60"/>
      <c r="QME2488" s="60"/>
      <c r="QMF2488" s="60"/>
      <c r="QMG2488" s="58"/>
      <c r="QMH2488" s="61"/>
      <c r="QMI2488" s="58"/>
      <c r="QMJ2488" s="58"/>
      <c r="QMK2488" s="58"/>
      <c r="QML2488" s="60"/>
      <c r="QMM2488" s="60"/>
      <c r="QMN2488" s="60"/>
      <c r="QMO2488" s="58"/>
      <c r="QMP2488" s="61"/>
      <c r="QMQ2488" s="58"/>
      <c r="QMR2488" s="58"/>
      <c r="QMS2488" s="58"/>
      <c r="QMT2488" s="60"/>
      <c r="QMU2488" s="60"/>
      <c r="QMV2488" s="60"/>
      <c r="QMW2488" s="58"/>
      <c r="QMX2488" s="61"/>
      <c r="QMY2488" s="58"/>
      <c r="QMZ2488" s="58"/>
      <c r="QNA2488" s="58"/>
      <c r="QNB2488" s="60"/>
      <c r="QNC2488" s="60"/>
      <c r="QND2488" s="60"/>
      <c r="QNE2488" s="58"/>
      <c r="QNF2488" s="61"/>
      <c r="QNG2488" s="58"/>
      <c r="QNH2488" s="58"/>
      <c r="QNI2488" s="58"/>
      <c r="QNJ2488" s="60"/>
      <c r="QNK2488" s="60"/>
      <c r="QNL2488" s="60"/>
      <c r="QNM2488" s="58"/>
      <c r="QNN2488" s="61"/>
      <c r="QNO2488" s="58"/>
      <c r="QNP2488" s="58"/>
      <c r="QNQ2488" s="58"/>
      <c r="QNR2488" s="60"/>
      <c r="QNS2488" s="60"/>
      <c r="QNT2488" s="60"/>
      <c r="QNU2488" s="58"/>
      <c r="QNV2488" s="61"/>
      <c r="QNW2488" s="58"/>
      <c r="QNX2488" s="58"/>
      <c r="QNY2488" s="58"/>
      <c r="QNZ2488" s="60"/>
      <c r="QOA2488" s="60"/>
      <c r="QOB2488" s="60"/>
      <c r="QOC2488" s="58"/>
      <c r="QOD2488" s="61"/>
      <c r="QOE2488" s="58"/>
      <c r="QOF2488" s="58"/>
      <c r="QOG2488" s="58"/>
      <c r="QOH2488" s="60"/>
      <c r="QOI2488" s="60"/>
      <c r="QOJ2488" s="60"/>
      <c r="QOK2488" s="58"/>
      <c r="QOL2488" s="61"/>
      <c r="QOM2488" s="58"/>
      <c r="QON2488" s="58"/>
      <c r="QOO2488" s="58"/>
      <c r="QOP2488" s="60"/>
      <c r="QOQ2488" s="60"/>
      <c r="QOR2488" s="60"/>
      <c r="QOS2488" s="58"/>
      <c r="QOT2488" s="61"/>
      <c r="QOU2488" s="58"/>
      <c r="QOV2488" s="58"/>
      <c r="QOW2488" s="58"/>
      <c r="QOX2488" s="60"/>
      <c r="QOY2488" s="60"/>
      <c r="QOZ2488" s="60"/>
      <c r="QPA2488" s="58"/>
      <c r="QPB2488" s="61"/>
      <c r="QPC2488" s="58"/>
      <c r="QPD2488" s="58"/>
      <c r="QPE2488" s="58"/>
      <c r="QPF2488" s="60"/>
      <c r="QPG2488" s="60"/>
      <c r="QPH2488" s="60"/>
      <c r="QPI2488" s="58"/>
      <c r="QPJ2488" s="61"/>
      <c r="QPK2488" s="58"/>
      <c r="QPL2488" s="58"/>
      <c r="QPM2488" s="58"/>
      <c r="QPN2488" s="60"/>
      <c r="QPO2488" s="60"/>
      <c r="QPP2488" s="60"/>
      <c r="QPQ2488" s="58"/>
      <c r="QPR2488" s="61"/>
      <c r="QPS2488" s="58"/>
      <c r="QPT2488" s="58"/>
      <c r="QPU2488" s="58"/>
      <c r="QPV2488" s="60"/>
      <c r="QPW2488" s="60"/>
      <c r="QPX2488" s="60"/>
      <c r="QPY2488" s="58"/>
      <c r="QPZ2488" s="61"/>
      <c r="QQA2488" s="58"/>
      <c r="QQB2488" s="58"/>
      <c r="QQC2488" s="58"/>
      <c r="QQD2488" s="60"/>
      <c r="QQE2488" s="60"/>
      <c r="QQF2488" s="60"/>
      <c r="QQG2488" s="58"/>
      <c r="QQH2488" s="61"/>
      <c r="QQI2488" s="58"/>
      <c r="QQJ2488" s="58"/>
      <c r="QQK2488" s="58"/>
      <c r="QQL2488" s="60"/>
      <c r="QQM2488" s="60"/>
      <c r="QQN2488" s="60"/>
      <c r="QQO2488" s="58"/>
      <c r="QQP2488" s="61"/>
      <c r="QQQ2488" s="58"/>
      <c r="QQR2488" s="58"/>
      <c r="QQS2488" s="58"/>
      <c r="QQT2488" s="60"/>
      <c r="QQU2488" s="60"/>
      <c r="QQV2488" s="60"/>
      <c r="QQW2488" s="58"/>
      <c r="QQX2488" s="61"/>
      <c r="QQY2488" s="58"/>
      <c r="QQZ2488" s="58"/>
      <c r="QRA2488" s="58"/>
      <c r="QRB2488" s="60"/>
      <c r="QRC2488" s="60"/>
      <c r="QRD2488" s="60"/>
      <c r="QRE2488" s="58"/>
      <c r="QRF2488" s="61"/>
      <c r="QRG2488" s="58"/>
      <c r="QRH2488" s="58"/>
      <c r="QRI2488" s="58"/>
      <c r="QRJ2488" s="60"/>
      <c r="QRK2488" s="60"/>
      <c r="QRL2488" s="60"/>
      <c r="QRM2488" s="58"/>
      <c r="QRN2488" s="61"/>
      <c r="QRO2488" s="58"/>
      <c r="QRP2488" s="58"/>
      <c r="QRQ2488" s="58"/>
      <c r="QRR2488" s="60"/>
      <c r="QRS2488" s="60"/>
      <c r="QRT2488" s="60"/>
      <c r="QRU2488" s="58"/>
      <c r="QRV2488" s="61"/>
      <c r="QRW2488" s="58"/>
      <c r="QRX2488" s="58"/>
      <c r="QRY2488" s="58"/>
      <c r="QRZ2488" s="60"/>
      <c r="QSA2488" s="60"/>
      <c r="QSB2488" s="60"/>
      <c r="QSC2488" s="58"/>
      <c r="QSD2488" s="61"/>
      <c r="QSE2488" s="58"/>
      <c r="QSF2488" s="58"/>
      <c r="QSG2488" s="58"/>
      <c r="QSH2488" s="60"/>
      <c r="QSI2488" s="60"/>
      <c r="QSJ2488" s="60"/>
      <c r="QSK2488" s="58"/>
      <c r="QSL2488" s="61"/>
      <c r="QSM2488" s="58"/>
      <c r="QSN2488" s="58"/>
      <c r="QSO2488" s="58"/>
      <c r="QSP2488" s="60"/>
      <c r="QSQ2488" s="60"/>
      <c r="QSR2488" s="60"/>
      <c r="QSS2488" s="58"/>
      <c r="QST2488" s="61"/>
      <c r="QSU2488" s="58"/>
      <c r="QSV2488" s="58"/>
      <c r="QSW2488" s="58"/>
      <c r="QSX2488" s="60"/>
      <c r="QSY2488" s="60"/>
      <c r="QSZ2488" s="60"/>
      <c r="QTA2488" s="58"/>
      <c r="QTB2488" s="61"/>
      <c r="QTC2488" s="58"/>
      <c r="QTD2488" s="58"/>
      <c r="QTE2488" s="58"/>
      <c r="QTF2488" s="60"/>
      <c r="QTG2488" s="60"/>
      <c r="QTH2488" s="60"/>
      <c r="QTI2488" s="58"/>
      <c r="QTJ2488" s="61"/>
      <c r="QTK2488" s="58"/>
      <c r="QTL2488" s="58"/>
      <c r="QTM2488" s="58"/>
      <c r="QTN2488" s="60"/>
      <c r="QTO2488" s="60"/>
      <c r="QTP2488" s="60"/>
      <c r="QTQ2488" s="58"/>
      <c r="QTR2488" s="61"/>
      <c r="QTS2488" s="58"/>
      <c r="QTT2488" s="58"/>
      <c r="QTU2488" s="58"/>
      <c r="QTV2488" s="60"/>
      <c r="QTW2488" s="60"/>
      <c r="QTX2488" s="60"/>
      <c r="QTY2488" s="58"/>
      <c r="QTZ2488" s="61"/>
      <c r="QUA2488" s="58"/>
      <c r="QUB2488" s="58"/>
      <c r="QUC2488" s="58"/>
      <c r="QUD2488" s="60"/>
      <c r="QUE2488" s="60"/>
      <c r="QUF2488" s="60"/>
      <c r="QUG2488" s="58"/>
      <c r="QUH2488" s="61"/>
      <c r="QUI2488" s="58"/>
      <c r="QUJ2488" s="58"/>
      <c r="QUK2488" s="58"/>
      <c r="QUL2488" s="60"/>
      <c r="QUM2488" s="60"/>
      <c r="QUN2488" s="60"/>
      <c r="QUO2488" s="58"/>
      <c r="QUP2488" s="61"/>
      <c r="QUQ2488" s="58"/>
      <c r="QUR2488" s="58"/>
      <c r="QUS2488" s="58"/>
      <c r="QUT2488" s="60"/>
      <c r="QUU2488" s="60"/>
      <c r="QUV2488" s="60"/>
      <c r="QUW2488" s="58"/>
      <c r="QUX2488" s="61"/>
      <c r="QUY2488" s="58"/>
      <c r="QUZ2488" s="58"/>
      <c r="QVA2488" s="58"/>
      <c r="QVB2488" s="60"/>
      <c r="QVC2488" s="60"/>
      <c r="QVD2488" s="60"/>
      <c r="QVE2488" s="58"/>
      <c r="QVF2488" s="61"/>
      <c r="QVG2488" s="58"/>
      <c r="QVH2488" s="58"/>
      <c r="QVI2488" s="58"/>
      <c r="QVJ2488" s="60"/>
      <c r="QVK2488" s="60"/>
      <c r="QVL2488" s="60"/>
      <c r="QVM2488" s="58"/>
      <c r="QVN2488" s="61"/>
      <c r="QVO2488" s="58"/>
      <c r="QVP2488" s="58"/>
      <c r="QVQ2488" s="58"/>
      <c r="QVR2488" s="60"/>
      <c r="QVS2488" s="60"/>
      <c r="QVT2488" s="60"/>
      <c r="QVU2488" s="58"/>
      <c r="QVV2488" s="61"/>
      <c r="QVW2488" s="58"/>
      <c r="QVX2488" s="58"/>
      <c r="QVY2488" s="58"/>
      <c r="QVZ2488" s="60"/>
      <c r="QWA2488" s="60"/>
      <c r="QWB2488" s="60"/>
      <c r="QWC2488" s="58"/>
      <c r="QWD2488" s="61"/>
      <c r="QWE2488" s="58"/>
      <c r="QWF2488" s="58"/>
      <c r="QWG2488" s="58"/>
      <c r="QWH2488" s="60"/>
      <c r="QWI2488" s="60"/>
      <c r="QWJ2488" s="60"/>
      <c r="QWK2488" s="58"/>
      <c r="QWL2488" s="61"/>
      <c r="QWM2488" s="58"/>
      <c r="QWN2488" s="58"/>
      <c r="QWO2488" s="58"/>
      <c r="QWP2488" s="60"/>
      <c r="QWQ2488" s="60"/>
      <c r="QWR2488" s="60"/>
      <c r="QWS2488" s="58"/>
      <c r="QWT2488" s="61"/>
      <c r="QWU2488" s="58"/>
      <c r="QWV2488" s="58"/>
      <c r="QWW2488" s="58"/>
      <c r="QWX2488" s="60"/>
      <c r="QWY2488" s="60"/>
      <c r="QWZ2488" s="60"/>
      <c r="QXA2488" s="58"/>
      <c r="QXB2488" s="61"/>
      <c r="QXC2488" s="58"/>
      <c r="QXD2488" s="58"/>
      <c r="QXE2488" s="58"/>
      <c r="QXF2488" s="60"/>
      <c r="QXG2488" s="60"/>
      <c r="QXH2488" s="60"/>
      <c r="QXI2488" s="58"/>
      <c r="QXJ2488" s="61"/>
      <c r="QXK2488" s="58"/>
      <c r="QXL2488" s="58"/>
      <c r="QXM2488" s="58"/>
      <c r="QXN2488" s="60"/>
      <c r="QXO2488" s="60"/>
      <c r="QXP2488" s="60"/>
      <c r="QXQ2488" s="58"/>
      <c r="QXR2488" s="61"/>
      <c r="QXS2488" s="58"/>
      <c r="QXT2488" s="58"/>
      <c r="QXU2488" s="58"/>
      <c r="QXV2488" s="60"/>
      <c r="QXW2488" s="60"/>
      <c r="QXX2488" s="60"/>
      <c r="QXY2488" s="58"/>
      <c r="QXZ2488" s="61"/>
      <c r="QYA2488" s="58"/>
      <c r="QYB2488" s="58"/>
      <c r="QYC2488" s="58"/>
      <c r="QYD2488" s="60"/>
      <c r="QYE2488" s="60"/>
      <c r="QYF2488" s="60"/>
      <c r="QYG2488" s="58"/>
      <c r="QYH2488" s="61"/>
      <c r="QYI2488" s="58"/>
      <c r="QYJ2488" s="58"/>
      <c r="QYK2488" s="58"/>
      <c r="QYL2488" s="60"/>
      <c r="QYM2488" s="60"/>
      <c r="QYN2488" s="60"/>
      <c r="QYO2488" s="58"/>
      <c r="QYP2488" s="61"/>
      <c r="QYQ2488" s="58"/>
      <c r="QYR2488" s="58"/>
      <c r="QYS2488" s="58"/>
      <c r="QYT2488" s="60"/>
      <c r="QYU2488" s="60"/>
      <c r="QYV2488" s="60"/>
      <c r="QYW2488" s="58"/>
      <c r="QYX2488" s="61"/>
      <c r="QYY2488" s="58"/>
      <c r="QYZ2488" s="58"/>
      <c r="QZA2488" s="58"/>
      <c r="QZB2488" s="60"/>
      <c r="QZC2488" s="60"/>
      <c r="QZD2488" s="60"/>
      <c r="QZE2488" s="58"/>
      <c r="QZF2488" s="61"/>
      <c r="QZG2488" s="58"/>
      <c r="QZH2488" s="58"/>
      <c r="QZI2488" s="58"/>
      <c r="QZJ2488" s="60"/>
      <c r="QZK2488" s="60"/>
      <c r="QZL2488" s="60"/>
      <c r="QZM2488" s="58"/>
      <c r="QZN2488" s="61"/>
      <c r="QZO2488" s="58"/>
      <c r="QZP2488" s="58"/>
      <c r="QZQ2488" s="58"/>
      <c r="QZR2488" s="60"/>
      <c r="QZS2488" s="60"/>
      <c r="QZT2488" s="60"/>
      <c r="QZU2488" s="58"/>
      <c r="QZV2488" s="61"/>
      <c r="QZW2488" s="58"/>
      <c r="QZX2488" s="58"/>
      <c r="QZY2488" s="58"/>
      <c r="QZZ2488" s="60"/>
      <c r="RAA2488" s="60"/>
      <c r="RAB2488" s="60"/>
      <c r="RAC2488" s="58"/>
      <c r="RAD2488" s="61"/>
      <c r="RAE2488" s="58"/>
      <c r="RAF2488" s="58"/>
      <c r="RAG2488" s="58"/>
      <c r="RAH2488" s="60"/>
      <c r="RAI2488" s="60"/>
      <c r="RAJ2488" s="60"/>
      <c r="RAK2488" s="58"/>
      <c r="RAL2488" s="61"/>
      <c r="RAM2488" s="58"/>
      <c r="RAN2488" s="58"/>
      <c r="RAO2488" s="58"/>
      <c r="RAP2488" s="60"/>
      <c r="RAQ2488" s="60"/>
      <c r="RAR2488" s="60"/>
      <c r="RAS2488" s="58"/>
      <c r="RAT2488" s="61"/>
      <c r="RAU2488" s="58"/>
      <c r="RAV2488" s="58"/>
      <c r="RAW2488" s="58"/>
      <c r="RAX2488" s="60"/>
      <c r="RAY2488" s="60"/>
      <c r="RAZ2488" s="60"/>
      <c r="RBA2488" s="58"/>
      <c r="RBB2488" s="61"/>
      <c r="RBC2488" s="58"/>
      <c r="RBD2488" s="58"/>
      <c r="RBE2488" s="58"/>
      <c r="RBF2488" s="60"/>
      <c r="RBG2488" s="60"/>
      <c r="RBH2488" s="60"/>
      <c r="RBI2488" s="58"/>
      <c r="RBJ2488" s="61"/>
      <c r="RBK2488" s="58"/>
      <c r="RBL2488" s="58"/>
      <c r="RBM2488" s="58"/>
      <c r="RBN2488" s="60"/>
      <c r="RBO2488" s="60"/>
      <c r="RBP2488" s="60"/>
      <c r="RBQ2488" s="58"/>
      <c r="RBR2488" s="61"/>
      <c r="RBS2488" s="58"/>
      <c r="RBT2488" s="58"/>
      <c r="RBU2488" s="58"/>
      <c r="RBV2488" s="60"/>
      <c r="RBW2488" s="60"/>
      <c r="RBX2488" s="60"/>
      <c r="RBY2488" s="58"/>
      <c r="RBZ2488" s="61"/>
      <c r="RCA2488" s="58"/>
      <c r="RCB2488" s="58"/>
      <c r="RCC2488" s="58"/>
      <c r="RCD2488" s="60"/>
      <c r="RCE2488" s="60"/>
      <c r="RCF2488" s="60"/>
      <c r="RCG2488" s="58"/>
      <c r="RCH2488" s="61"/>
      <c r="RCI2488" s="58"/>
      <c r="RCJ2488" s="58"/>
      <c r="RCK2488" s="58"/>
      <c r="RCL2488" s="60"/>
      <c r="RCM2488" s="60"/>
      <c r="RCN2488" s="60"/>
      <c r="RCO2488" s="58"/>
      <c r="RCP2488" s="61"/>
      <c r="RCQ2488" s="58"/>
      <c r="RCR2488" s="58"/>
      <c r="RCS2488" s="58"/>
      <c r="RCT2488" s="60"/>
      <c r="RCU2488" s="60"/>
      <c r="RCV2488" s="60"/>
      <c r="RCW2488" s="58"/>
      <c r="RCX2488" s="61"/>
      <c r="RCY2488" s="58"/>
      <c r="RCZ2488" s="58"/>
      <c r="RDA2488" s="58"/>
      <c r="RDB2488" s="60"/>
      <c r="RDC2488" s="60"/>
      <c r="RDD2488" s="60"/>
      <c r="RDE2488" s="58"/>
      <c r="RDF2488" s="61"/>
      <c r="RDG2488" s="58"/>
      <c r="RDH2488" s="58"/>
      <c r="RDI2488" s="58"/>
      <c r="RDJ2488" s="60"/>
      <c r="RDK2488" s="60"/>
      <c r="RDL2488" s="60"/>
      <c r="RDM2488" s="58"/>
      <c r="RDN2488" s="61"/>
      <c r="RDO2488" s="58"/>
      <c r="RDP2488" s="58"/>
      <c r="RDQ2488" s="58"/>
      <c r="RDR2488" s="60"/>
      <c r="RDS2488" s="60"/>
      <c r="RDT2488" s="60"/>
      <c r="RDU2488" s="58"/>
      <c r="RDV2488" s="61"/>
      <c r="RDW2488" s="58"/>
      <c r="RDX2488" s="58"/>
      <c r="RDY2488" s="58"/>
      <c r="RDZ2488" s="60"/>
      <c r="REA2488" s="60"/>
      <c r="REB2488" s="60"/>
      <c r="REC2488" s="58"/>
      <c r="RED2488" s="61"/>
      <c r="REE2488" s="58"/>
      <c r="REF2488" s="58"/>
      <c r="REG2488" s="58"/>
      <c r="REH2488" s="60"/>
      <c r="REI2488" s="60"/>
      <c r="REJ2488" s="60"/>
      <c r="REK2488" s="58"/>
      <c r="REL2488" s="61"/>
      <c r="REM2488" s="58"/>
      <c r="REN2488" s="58"/>
      <c r="REO2488" s="58"/>
      <c r="REP2488" s="60"/>
      <c r="REQ2488" s="60"/>
      <c r="RER2488" s="60"/>
      <c r="RES2488" s="58"/>
      <c r="RET2488" s="61"/>
      <c r="REU2488" s="58"/>
      <c r="REV2488" s="58"/>
      <c r="REW2488" s="58"/>
      <c r="REX2488" s="60"/>
      <c r="REY2488" s="60"/>
      <c r="REZ2488" s="60"/>
      <c r="RFA2488" s="58"/>
      <c r="RFB2488" s="61"/>
      <c r="RFC2488" s="58"/>
      <c r="RFD2488" s="58"/>
      <c r="RFE2488" s="58"/>
      <c r="RFF2488" s="60"/>
      <c r="RFG2488" s="60"/>
      <c r="RFH2488" s="60"/>
      <c r="RFI2488" s="58"/>
      <c r="RFJ2488" s="61"/>
      <c r="RFK2488" s="58"/>
      <c r="RFL2488" s="58"/>
      <c r="RFM2488" s="58"/>
      <c r="RFN2488" s="60"/>
      <c r="RFO2488" s="60"/>
      <c r="RFP2488" s="60"/>
      <c r="RFQ2488" s="58"/>
      <c r="RFR2488" s="61"/>
      <c r="RFS2488" s="58"/>
      <c r="RFT2488" s="58"/>
      <c r="RFU2488" s="58"/>
      <c r="RFV2488" s="60"/>
      <c r="RFW2488" s="60"/>
      <c r="RFX2488" s="60"/>
      <c r="RFY2488" s="58"/>
      <c r="RFZ2488" s="61"/>
      <c r="RGA2488" s="58"/>
      <c r="RGB2488" s="58"/>
      <c r="RGC2488" s="58"/>
      <c r="RGD2488" s="60"/>
      <c r="RGE2488" s="60"/>
      <c r="RGF2488" s="60"/>
      <c r="RGG2488" s="58"/>
      <c r="RGH2488" s="61"/>
      <c r="RGI2488" s="58"/>
      <c r="RGJ2488" s="58"/>
      <c r="RGK2488" s="58"/>
      <c r="RGL2488" s="60"/>
      <c r="RGM2488" s="60"/>
      <c r="RGN2488" s="60"/>
      <c r="RGO2488" s="58"/>
      <c r="RGP2488" s="61"/>
      <c r="RGQ2488" s="58"/>
      <c r="RGR2488" s="58"/>
      <c r="RGS2488" s="58"/>
      <c r="RGT2488" s="60"/>
      <c r="RGU2488" s="60"/>
      <c r="RGV2488" s="60"/>
      <c r="RGW2488" s="58"/>
      <c r="RGX2488" s="61"/>
      <c r="RGY2488" s="58"/>
      <c r="RGZ2488" s="58"/>
      <c r="RHA2488" s="58"/>
      <c r="RHB2488" s="60"/>
      <c r="RHC2488" s="60"/>
      <c r="RHD2488" s="60"/>
      <c r="RHE2488" s="58"/>
      <c r="RHF2488" s="61"/>
      <c r="RHG2488" s="58"/>
      <c r="RHH2488" s="58"/>
      <c r="RHI2488" s="58"/>
      <c r="RHJ2488" s="60"/>
      <c r="RHK2488" s="60"/>
      <c r="RHL2488" s="60"/>
      <c r="RHM2488" s="58"/>
      <c r="RHN2488" s="61"/>
      <c r="RHO2488" s="58"/>
      <c r="RHP2488" s="58"/>
      <c r="RHQ2488" s="58"/>
      <c r="RHR2488" s="60"/>
      <c r="RHS2488" s="60"/>
      <c r="RHT2488" s="60"/>
      <c r="RHU2488" s="58"/>
      <c r="RHV2488" s="61"/>
      <c r="RHW2488" s="58"/>
      <c r="RHX2488" s="58"/>
      <c r="RHY2488" s="58"/>
      <c r="RHZ2488" s="60"/>
      <c r="RIA2488" s="60"/>
      <c r="RIB2488" s="60"/>
      <c r="RIC2488" s="58"/>
      <c r="RID2488" s="61"/>
      <c r="RIE2488" s="58"/>
      <c r="RIF2488" s="58"/>
      <c r="RIG2488" s="58"/>
      <c r="RIH2488" s="60"/>
      <c r="RII2488" s="60"/>
      <c r="RIJ2488" s="60"/>
      <c r="RIK2488" s="58"/>
      <c r="RIL2488" s="61"/>
      <c r="RIM2488" s="58"/>
      <c r="RIN2488" s="58"/>
      <c r="RIO2488" s="58"/>
      <c r="RIP2488" s="60"/>
      <c r="RIQ2488" s="60"/>
      <c r="RIR2488" s="60"/>
      <c r="RIS2488" s="58"/>
      <c r="RIT2488" s="61"/>
      <c r="RIU2488" s="58"/>
      <c r="RIV2488" s="58"/>
      <c r="RIW2488" s="58"/>
      <c r="RIX2488" s="60"/>
      <c r="RIY2488" s="60"/>
      <c r="RIZ2488" s="60"/>
      <c r="RJA2488" s="58"/>
      <c r="RJB2488" s="61"/>
      <c r="RJC2488" s="58"/>
      <c r="RJD2488" s="58"/>
      <c r="RJE2488" s="58"/>
      <c r="RJF2488" s="60"/>
      <c r="RJG2488" s="60"/>
      <c r="RJH2488" s="60"/>
      <c r="RJI2488" s="58"/>
      <c r="RJJ2488" s="61"/>
      <c r="RJK2488" s="58"/>
      <c r="RJL2488" s="58"/>
      <c r="RJM2488" s="58"/>
      <c r="RJN2488" s="60"/>
      <c r="RJO2488" s="60"/>
      <c r="RJP2488" s="60"/>
      <c r="RJQ2488" s="58"/>
      <c r="RJR2488" s="61"/>
      <c r="RJS2488" s="58"/>
      <c r="RJT2488" s="58"/>
      <c r="RJU2488" s="58"/>
      <c r="RJV2488" s="60"/>
      <c r="RJW2488" s="60"/>
      <c r="RJX2488" s="60"/>
      <c r="RJY2488" s="58"/>
      <c r="RJZ2488" s="61"/>
      <c r="RKA2488" s="58"/>
      <c r="RKB2488" s="58"/>
      <c r="RKC2488" s="58"/>
      <c r="RKD2488" s="60"/>
      <c r="RKE2488" s="60"/>
      <c r="RKF2488" s="60"/>
      <c r="RKG2488" s="58"/>
      <c r="RKH2488" s="61"/>
      <c r="RKI2488" s="58"/>
      <c r="RKJ2488" s="58"/>
      <c r="RKK2488" s="58"/>
      <c r="RKL2488" s="60"/>
      <c r="RKM2488" s="60"/>
      <c r="RKN2488" s="60"/>
      <c r="RKO2488" s="58"/>
      <c r="RKP2488" s="61"/>
      <c r="RKQ2488" s="58"/>
      <c r="RKR2488" s="58"/>
      <c r="RKS2488" s="58"/>
      <c r="RKT2488" s="60"/>
      <c r="RKU2488" s="60"/>
      <c r="RKV2488" s="60"/>
      <c r="RKW2488" s="58"/>
      <c r="RKX2488" s="61"/>
      <c r="RKY2488" s="58"/>
      <c r="RKZ2488" s="58"/>
      <c r="RLA2488" s="58"/>
      <c r="RLB2488" s="60"/>
      <c r="RLC2488" s="60"/>
      <c r="RLD2488" s="60"/>
      <c r="RLE2488" s="58"/>
      <c r="RLF2488" s="61"/>
      <c r="RLG2488" s="58"/>
      <c r="RLH2488" s="58"/>
      <c r="RLI2488" s="58"/>
      <c r="RLJ2488" s="60"/>
      <c r="RLK2488" s="60"/>
      <c r="RLL2488" s="60"/>
      <c r="RLM2488" s="58"/>
      <c r="RLN2488" s="61"/>
      <c r="RLO2488" s="58"/>
      <c r="RLP2488" s="58"/>
      <c r="RLQ2488" s="58"/>
      <c r="RLR2488" s="60"/>
      <c r="RLS2488" s="60"/>
      <c r="RLT2488" s="60"/>
      <c r="RLU2488" s="58"/>
      <c r="RLV2488" s="61"/>
      <c r="RLW2488" s="58"/>
      <c r="RLX2488" s="58"/>
      <c r="RLY2488" s="58"/>
      <c r="RLZ2488" s="60"/>
      <c r="RMA2488" s="60"/>
      <c r="RMB2488" s="60"/>
      <c r="RMC2488" s="58"/>
      <c r="RMD2488" s="61"/>
      <c r="RME2488" s="58"/>
      <c r="RMF2488" s="58"/>
      <c r="RMG2488" s="58"/>
      <c r="RMH2488" s="60"/>
      <c r="RMI2488" s="60"/>
      <c r="RMJ2488" s="60"/>
      <c r="RMK2488" s="58"/>
      <c r="RML2488" s="61"/>
      <c r="RMM2488" s="58"/>
      <c r="RMN2488" s="58"/>
      <c r="RMO2488" s="58"/>
      <c r="RMP2488" s="60"/>
      <c r="RMQ2488" s="60"/>
      <c r="RMR2488" s="60"/>
      <c r="RMS2488" s="58"/>
      <c r="RMT2488" s="61"/>
      <c r="RMU2488" s="58"/>
      <c r="RMV2488" s="58"/>
      <c r="RMW2488" s="58"/>
      <c r="RMX2488" s="60"/>
      <c r="RMY2488" s="60"/>
      <c r="RMZ2488" s="60"/>
      <c r="RNA2488" s="58"/>
      <c r="RNB2488" s="61"/>
      <c r="RNC2488" s="58"/>
      <c r="RND2488" s="58"/>
      <c r="RNE2488" s="58"/>
      <c r="RNF2488" s="60"/>
      <c r="RNG2488" s="60"/>
      <c r="RNH2488" s="60"/>
      <c r="RNI2488" s="58"/>
      <c r="RNJ2488" s="61"/>
      <c r="RNK2488" s="58"/>
      <c r="RNL2488" s="58"/>
      <c r="RNM2488" s="58"/>
      <c r="RNN2488" s="60"/>
      <c r="RNO2488" s="60"/>
      <c r="RNP2488" s="60"/>
      <c r="RNQ2488" s="58"/>
      <c r="RNR2488" s="61"/>
      <c r="RNS2488" s="58"/>
      <c r="RNT2488" s="58"/>
      <c r="RNU2488" s="58"/>
      <c r="RNV2488" s="60"/>
      <c r="RNW2488" s="60"/>
      <c r="RNX2488" s="60"/>
      <c r="RNY2488" s="58"/>
      <c r="RNZ2488" s="61"/>
      <c r="ROA2488" s="58"/>
      <c r="ROB2488" s="58"/>
      <c r="ROC2488" s="58"/>
      <c r="ROD2488" s="60"/>
      <c r="ROE2488" s="60"/>
      <c r="ROF2488" s="60"/>
      <c r="ROG2488" s="58"/>
      <c r="ROH2488" s="61"/>
      <c r="ROI2488" s="58"/>
      <c r="ROJ2488" s="58"/>
      <c r="ROK2488" s="58"/>
      <c r="ROL2488" s="60"/>
      <c r="ROM2488" s="60"/>
      <c r="RON2488" s="60"/>
      <c r="ROO2488" s="58"/>
      <c r="ROP2488" s="61"/>
      <c r="ROQ2488" s="58"/>
      <c r="ROR2488" s="58"/>
      <c r="ROS2488" s="58"/>
      <c r="ROT2488" s="60"/>
      <c r="ROU2488" s="60"/>
      <c r="ROV2488" s="60"/>
      <c r="ROW2488" s="58"/>
      <c r="ROX2488" s="61"/>
      <c r="ROY2488" s="58"/>
      <c r="ROZ2488" s="58"/>
      <c r="RPA2488" s="58"/>
      <c r="RPB2488" s="60"/>
      <c r="RPC2488" s="60"/>
      <c r="RPD2488" s="60"/>
      <c r="RPE2488" s="58"/>
      <c r="RPF2488" s="61"/>
      <c r="RPG2488" s="58"/>
      <c r="RPH2488" s="58"/>
      <c r="RPI2488" s="58"/>
      <c r="RPJ2488" s="60"/>
      <c r="RPK2488" s="60"/>
      <c r="RPL2488" s="60"/>
      <c r="RPM2488" s="58"/>
      <c r="RPN2488" s="61"/>
      <c r="RPO2488" s="58"/>
      <c r="RPP2488" s="58"/>
      <c r="RPQ2488" s="58"/>
      <c r="RPR2488" s="60"/>
      <c r="RPS2488" s="60"/>
      <c r="RPT2488" s="60"/>
      <c r="RPU2488" s="58"/>
      <c r="RPV2488" s="61"/>
      <c r="RPW2488" s="58"/>
      <c r="RPX2488" s="58"/>
      <c r="RPY2488" s="58"/>
      <c r="RPZ2488" s="60"/>
      <c r="RQA2488" s="60"/>
      <c r="RQB2488" s="60"/>
      <c r="RQC2488" s="58"/>
      <c r="RQD2488" s="61"/>
      <c r="RQE2488" s="58"/>
      <c r="RQF2488" s="58"/>
      <c r="RQG2488" s="58"/>
      <c r="RQH2488" s="60"/>
      <c r="RQI2488" s="60"/>
      <c r="RQJ2488" s="60"/>
      <c r="RQK2488" s="58"/>
      <c r="RQL2488" s="61"/>
      <c r="RQM2488" s="58"/>
      <c r="RQN2488" s="58"/>
      <c r="RQO2488" s="58"/>
      <c r="RQP2488" s="60"/>
      <c r="RQQ2488" s="60"/>
      <c r="RQR2488" s="60"/>
      <c r="RQS2488" s="58"/>
      <c r="RQT2488" s="61"/>
      <c r="RQU2488" s="58"/>
      <c r="RQV2488" s="58"/>
      <c r="RQW2488" s="58"/>
      <c r="RQX2488" s="60"/>
      <c r="RQY2488" s="60"/>
      <c r="RQZ2488" s="60"/>
      <c r="RRA2488" s="58"/>
      <c r="RRB2488" s="61"/>
      <c r="RRC2488" s="58"/>
      <c r="RRD2488" s="58"/>
      <c r="RRE2488" s="58"/>
      <c r="RRF2488" s="60"/>
      <c r="RRG2488" s="60"/>
      <c r="RRH2488" s="60"/>
      <c r="RRI2488" s="58"/>
      <c r="RRJ2488" s="61"/>
      <c r="RRK2488" s="58"/>
      <c r="RRL2488" s="58"/>
      <c r="RRM2488" s="58"/>
      <c r="RRN2488" s="60"/>
      <c r="RRO2488" s="60"/>
      <c r="RRP2488" s="60"/>
      <c r="RRQ2488" s="58"/>
      <c r="RRR2488" s="61"/>
      <c r="RRS2488" s="58"/>
      <c r="RRT2488" s="58"/>
      <c r="RRU2488" s="58"/>
      <c r="RRV2488" s="60"/>
      <c r="RRW2488" s="60"/>
      <c r="RRX2488" s="60"/>
      <c r="RRY2488" s="58"/>
      <c r="RRZ2488" s="61"/>
      <c r="RSA2488" s="58"/>
      <c r="RSB2488" s="58"/>
      <c r="RSC2488" s="58"/>
      <c r="RSD2488" s="60"/>
      <c r="RSE2488" s="60"/>
      <c r="RSF2488" s="60"/>
      <c r="RSG2488" s="58"/>
      <c r="RSH2488" s="61"/>
      <c r="RSI2488" s="58"/>
      <c r="RSJ2488" s="58"/>
      <c r="RSK2488" s="58"/>
      <c r="RSL2488" s="60"/>
      <c r="RSM2488" s="60"/>
      <c r="RSN2488" s="60"/>
      <c r="RSO2488" s="58"/>
      <c r="RSP2488" s="61"/>
      <c r="RSQ2488" s="58"/>
      <c r="RSR2488" s="58"/>
      <c r="RSS2488" s="58"/>
      <c r="RST2488" s="60"/>
      <c r="RSU2488" s="60"/>
      <c r="RSV2488" s="60"/>
      <c r="RSW2488" s="58"/>
      <c r="RSX2488" s="61"/>
      <c r="RSY2488" s="58"/>
      <c r="RSZ2488" s="58"/>
      <c r="RTA2488" s="58"/>
      <c r="RTB2488" s="60"/>
      <c r="RTC2488" s="60"/>
      <c r="RTD2488" s="60"/>
      <c r="RTE2488" s="58"/>
      <c r="RTF2488" s="61"/>
      <c r="RTG2488" s="58"/>
      <c r="RTH2488" s="58"/>
      <c r="RTI2488" s="58"/>
      <c r="RTJ2488" s="60"/>
      <c r="RTK2488" s="60"/>
      <c r="RTL2488" s="60"/>
      <c r="RTM2488" s="58"/>
      <c r="RTN2488" s="61"/>
      <c r="RTO2488" s="58"/>
      <c r="RTP2488" s="58"/>
      <c r="RTQ2488" s="58"/>
      <c r="RTR2488" s="60"/>
      <c r="RTS2488" s="60"/>
      <c r="RTT2488" s="60"/>
      <c r="RTU2488" s="58"/>
      <c r="RTV2488" s="61"/>
      <c r="RTW2488" s="58"/>
      <c r="RTX2488" s="58"/>
      <c r="RTY2488" s="58"/>
      <c r="RTZ2488" s="60"/>
      <c r="RUA2488" s="60"/>
      <c r="RUB2488" s="60"/>
      <c r="RUC2488" s="58"/>
      <c r="RUD2488" s="61"/>
      <c r="RUE2488" s="58"/>
      <c r="RUF2488" s="58"/>
      <c r="RUG2488" s="58"/>
      <c r="RUH2488" s="60"/>
      <c r="RUI2488" s="60"/>
      <c r="RUJ2488" s="60"/>
      <c r="RUK2488" s="58"/>
      <c r="RUL2488" s="61"/>
      <c r="RUM2488" s="58"/>
      <c r="RUN2488" s="58"/>
      <c r="RUO2488" s="58"/>
      <c r="RUP2488" s="60"/>
      <c r="RUQ2488" s="60"/>
      <c r="RUR2488" s="60"/>
      <c r="RUS2488" s="58"/>
      <c r="RUT2488" s="61"/>
      <c r="RUU2488" s="58"/>
      <c r="RUV2488" s="58"/>
      <c r="RUW2488" s="58"/>
      <c r="RUX2488" s="60"/>
      <c r="RUY2488" s="60"/>
      <c r="RUZ2488" s="60"/>
      <c r="RVA2488" s="58"/>
      <c r="RVB2488" s="61"/>
      <c r="RVC2488" s="58"/>
      <c r="RVD2488" s="58"/>
      <c r="RVE2488" s="58"/>
      <c r="RVF2488" s="60"/>
      <c r="RVG2488" s="60"/>
      <c r="RVH2488" s="60"/>
      <c r="RVI2488" s="58"/>
      <c r="RVJ2488" s="61"/>
      <c r="RVK2488" s="58"/>
      <c r="RVL2488" s="58"/>
      <c r="RVM2488" s="58"/>
      <c r="RVN2488" s="60"/>
      <c r="RVO2488" s="60"/>
      <c r="RVP2488" s="60"/>
      <c r="RVQ2488" s="58"/>
      <c r="RVR2488" s="61"/>
      <c r="RVS2488" s="58"/>
      <c r="RVT2488" s="58"/>
      <c r="RVU2488" s="58"/>
      <c r="RVV2488" s="60"/>
      <c r="RVW2488" s="60"/>
      <c r="RVX2488" s="60"/>
      <c r="RVY2488" s="58"/>
      <c r="RVZ2488" s="61"/>
      <c r="RWA2488" s="58"/>
      <c r="RWB2488" s="58"/>
      <c r="RWC2488" s="58"/>
      <c r="RWD2488" s="60"/>
      <c r="RWE2488" s="60"/>
      <c r="RWF2488" s="60"/>
      <c r="RWG2488" s="58"/>
      <c r="RWH2488" s="61"/>
      <c r="RWI2488" s="58"/>
      <c r="RWJ2488" s="58"/>
      <c r="RWK2488" s="58"/>
      <c r="RWL2488" s="60"/>
      <c r="RWM2488" s="60"/>
      <c r="RWN2488" s="60"/>
      <c r="RWO2488" s="58"/>
      <c r="RWP2488" s="61"/>
      <c r="RWQ2488" s="58"/>
      <c r="RWR2488" s="58"/>
      <c r="RWS2488" s="58"/>
      <c r="RWT2488" s="60"/>
      <c r="RWU2488" s="60"/>
      <c r="RWV2488" s="60"/>
      <c r="RWW2488" s="58"/>
      <c r="RWX2488" s="61"/>
      <c r="RWY2488" s="58"/>
      <c r="RWZ2488" s="58"/>
      <c r="RXA2488" s="58"/>
      <c r="RXB2488" s="60"/>
      <c r="RXC2488" s="60"/>
      <c r="RXD2488" s="60"/>
      <c r="RXE2488" s="58"/>
      <c r="RXF2488" s="61"/>
      <c r="RXG2488" s="58"/>
      <c r="RXH2488" s="58"/>
      <c r="RXI2488" s="58"/>
      <c r="RXJ2488" s="60"/>
      <c r="RXK2488" s="60"/>
      <c r="RXL2488" s="60"/>
      <c r="RXM2488" s="58"/>
      <c r="RXN2488" s="61"/>
      <c r="RXO2488" s="58"/>
      <c r="RXP2488" s="58"/>
      <c r="RXQ2488" s="58"/>
      <c r="RXR2488" s="60"/>
      <c r="RXS2488" s="60"/>
      <c r="RXT2488" s="60"/>
      <c r="RXU2488" s="58"/>
      <c r="RXV2488" s="61"/>
      <c r="RXW2488" s="58"/>
      <c r="RXX2488" s="58"/>
      <c r="RXY2488" s="58"/>
      <c r="RXZ2488" s="60"/>
      <c r="RYA2488" s="60"/>
      <c r="RYB2488" s="60"/>
      <c r="RYC2488" s="58"/>
      <c r="RYD2488" s="61"/>
      <c r="RYE2488" s="58"/>
      <c r="RYF2488" s="58"/>
      <c r="RYG2488" s="58"/>
      <c r="RYH2488" s="60"/>
      <c r="RYI2488" s="60"/>
      <c r="RYJ2488" s="60"/>
      <c r="RYK2488" s="58"/>
      <c r="RYL2488" s="61"/>
      <c r="RYM2488" s="58"/>
      <c r="RYN2488" s="58"/>
      <c r="RYO2488" s="58"/>
      <c r="RYP2488" s="60"/>
      <c r="RYQ2488" s="60"/>
      <c r="RYR2488" s="60"/>
      <c r="RYS2488" s="58"/>
      <c r="RYT2488" s="61"/>
      <c r="RYU2488" s="58"/>
      <c r="RYV2488" s="58"/>
      <c r="RYW2488" s="58"/>
      <c r="RYX2488" s="60"/>
      <c r="RYY2488" s="60"/>
      <c r="RYZ2488" s="60"/>
      <c r="RZA2488" s="58"/>
      <c r="RZB2488" s="61"/>
      <c r="RZC2488" s="58"/>
      <c r="RZD2488" s="58"/>
      <c r="RZE2488" s="58"/>
      <c r="RZF2488" s="60"/>
      <c r="RZG2488" s="60"/>
      <c r="RZH2488" s="60"/>
      <c r="RZI2488" s="58"/>
      <c r="RZJ2488" s="61"/>
      <c r="RZK2488" s="58"/>
      <c r="RZL2488" s="58"/>
      <c r="RZM2488" s="58"/>
      <c r="RZN2488" s="60"/>
      <c r="RZO2488" s="60"/>
      <c r="RZP2488" s="60"/>
      <c r="RZQ2488" s="58"/>
      <c r="RZR2488" s="61"/>
      <c r="RZS2488" s="58"/>
      <c r="RZT2488" s="58"/>
      <c r="RZU2488" s="58"/>
      <c r="RZV2488" s="60"/>
      <c r="RZW2488" s="60"/>
      <c r="RZX2488" s="60"/>
      <c r="RZY2488" s="58"/>
      <c r="RZZ2488" s="61"/>
      <c r="SAA2488" s="58"/>
      <c r="SAB2488" s="58"/>
      <c r="SAC2488" s="58"/>
      <c r="SAD2488" s="60"/>
      <c r="SAE2488" s="60"/>
      <c r="SAF2488" s="60"/>
      <c r="SAG2488" s="58"/>
      <c r="SAH2488" s="61"/>
      <c r="SAI2488" s="58"/>
      <c r="SAJ2488" s="58"/>
      <c r="SAK2488" s="58"/>
      <c r="SAL2488" s="60"/>
      <c r="SAM2488" s="60"/>
      <c r="SAN2488" s="60"/>
      <c r="SAO2488" s="58"/>
      <c r="SAP2488" s="61"/>
      <c r="SAQ2488" s="58"/>
      <c r="SAR2488" s="58"/>
      <c r="SAS2488" s="58"/>
      <c r="SAT2488" s="60"/>
      <c r="SAU2488" s="60"/>
      <c r="SAV2488" s="60"/>
      <c r="SAW2488" s="58"/>
      <c r="SAX2488" s="61"/>
      <c r="SAY2488" s="58"/>
      <c r="SAZ2488" s="58"/>
      <c r="SBA2488" s="58"/>
      <c r="SBB2488" s="60"/>
      <c r="SBC2488" s="60"/>
      <c r="SBD2488" s="60"/>
      <c r="SBE2488" s="58"/>
      <c r="SBF2488" s="61"/>
      <c r="SBG2488" s="58"/>
      <c r="SBH2488" s="58"/>
      <c r="SBI2488" s="58"/>
      <c r="SBJ2488" s="60"/>
      <c r="SBK2488" s="60"/>
      <c r="SBL2488" s="60"/>
      <c r="SBM2488" s="58"/>
      <c r="SBN2488" s="61"/>
      <c r="SBO2488" s="58"/>
      <c r="SBP2488" s="58"/>
      <c r="SBQ2488" s="58"/>
      <c r="SBR2488" s="60"/>
      <c r="SBS2488" s="60"/>
      <c r="SBT2488" s="60"/>
      <c r="SBU2488" s="58"/>
      <c r="SBV2488" s="61"/>
      <c r="SBW2488" s="58"/>
      <c r="SBX2488" s="58"/>
      <c r="SBY2488" s="58"/>
      <c r="SBZ2488" s="60"/>
      <c r="SCA2488" s="60"/>
      <c r="SCB2488" s="60"/>
      <c r="SCC2488" s="58"/>
      <c r="SCD2488" s="61"/>
      <c r="SCE2488" s="58"/>
      <c r="SCF2488" s="58"/>
      <c r="SCG2488" s="58"/>
      <c r="SCH2488" s="60"/>
      <c r="SCI2488" s="60"/>
      <c r="SCJ2488" s="60"/>
      <c r="SCK2488" s="58"/>
      <c r="SCL2488" s="61"/>
      <c r="SCM2488" s="58"/>
      <c r="SCN2488" s="58"/>
      <c r="SCO2488" s="58"/>
      <c r="SCP2488" s="60"/>
      <c r="SCQ2488" s="60"/>
      <c r="SCR2488" s="60"/>
      <c r="SCS2488" s="58"/>
      <c r="SCT2488" s="61"/>
      <c r="SCU2488" s="58"/>
      <c r="SCV2488" s="58"/>
      <c r="SCW2488" s="58"/>
      <c r="SCX2488" s="60"/>
      <c r="SCY2488" s="60"/>
      <c r="SCZ2488" s="60"/>
      <c r="SDA2488" s="58"/>
      <c r="SDB2488" s="61"/>
      <c r="SDC2488" s="58"/>
      <c r="SDD2488" s="58"/>
      <c r="SDE2488" s="58"/>
      <c r="SDF2488" s="60"/>
      <c r="SDG2488" s="60"/>
      <c r="SDH2488" s="60"/>
      <c r="SDI2488" s="58"/>
      <c r="SDJ2488" s="61"/>
      <c r="SDK2488" s="58"/>
      <c r="SDL2488" s="58"/>
      <c r="SDM2488" s="58"/>
      <c r="SDN2488" s="60"/>
      <c r="SDO2488" s="60"/>
      <c r="SDP2488" s="60"/>
      <c r="SDQ2488" s="58"/>
      <c r="SDR2488" s="61"/>
      <c r="SDS2488" s="58"/>
      <c r="SDT2488" s="58"/>
      <c r="SDU2488" s="58"/>
      <c r="SDV2488" s="60"/>
      <c r="SDW2488" s="60"/>
      <c r="SDX2488" s="60"/>
      <c r="SDY2488" s="58"/>
      <c r="SDZ2488" s="61"/>
      <c r="SEA2488" s="58"/>
      <c r="SEB2488" s="58"/>
      <c r="SEC2488" s="58"/>
      <c r="SED2488" s="60"/>
      <c r="SEE2488" s="60"/>
      <c r="SEF2488" s="60"/>
      <c r="SEG2488" s="58"/>
      <c r="SEH2488" s="61"/>
      <c r="SEI2488" s="58"/>
      <c r="SEJ2488" s="58"/>
      <c r="SEK2488" s="58"/>
      <c r="SEL2488" s="60"/>
      <c r="SEM2488" s="60"/>
      <c r="SEN2488" s="60"/>
      <c r="SEO2488" s="58"/>
      <c r="SEP2488" s="61"/>
      <c r="SEQ2488" s="58"/>
      <c r="SER2488" s="58"/>
      <c r="SES2488" s="58"/>
      <c r="SET2488" s="60"/>
      <c r="SEU2488" s="60"/>
      <c r="SEV2488" s="60"/>
      <c r="SEW2488" s="58"/>
      <c r="SEX2488" s="61"/>
      <c r="SEY2488" s="58"/>
      <c r="SEZ2488" s="58"/>
      <c r="SFA2488" s="58"/>
      <c r="SFB2488" s="60"/>
      <c r="SFC2488" s="60"/>
      <c r="SFD2488" s="60"/>
      <c r="SFE2488" s="58"/>
      <c r="SFF2488" s="61"/>
      <c r="SFG2488" s="58"/>
      <c r="SFH2488" s="58"/>
      <c r="SFI2488" s="58"/>
      <c r="SFJ2488" s="60"/>
      <c r="SFK2488" s="60"/>
      <c r="SFL2488" s="60"/>
      <c r="SFM2488" s="58"/>
      <c r="SFN2488" s="61"/>
      <c r="SFO2488" s="58"/>
      <c r="SFP2488" s="58"/>
      <c r="SFQ2488" s="58"/>
      <c r="SFR2488" s="60"/>
      <c r="SFS2488" s="60"/>
      <c r="SFT2488" s="60"/>
      <c r="SFU2488" s="58"/>
      <c r="SFV2488" s="61"/>
      <c r="SFW2488" s="58"/>
      <c r="SFX2488" s="58"/>
      <c r="SFY2488" s="58"/>
      <c r="SFZ2488" s="60"/>
      <c r="SGA2488" s="60"/>
      <c r="SGB2488" s="60"/>
      <c r="SGC2488" s="58"/>
      <c r="SGD2488" s="61"/>
      <c r="SGE2488" s="58"/>
      <c r="SGF2488" s="58"/>
      <c r="SGG2488" s="58"/>
      <c r="SGH2488" s="60"/>
      <c r="SGI2488" s="60"/>
      <c r="SGJ2488" s="60"/>
      <c r="SGK2488" s="58"/>
      <c r="SGL2488" s="61"/>
      <c r="SGM2488" s="58"/>
      <c r="SGN2488" s="58"/>
      <c r="SGO2488" s="58"/>
      <c r="SGP2488" s="60"/>
      <c r="SGQ2488" s="60"/>
      <c r="SGR2488" s="60"/>
      <c r="SGS2488" s="58"/>
      <c r="SGT2488" s="61"/>
      <c r="SGU2488" s="58"/>
      <c r="SGV2488" s="58"/>
      <c r="SGW2488" s="58"/>
      <c r="SGX2488" s="60"/>
      <c r="SGY2488" s="60"/>
      <c r="SGZ2488" s="60"/>
      <c r="SHA2488" s="58"/>
      <c r="SHB2488" s="61"/>
      <c r="SHC2488" s="58"/>
      <c r="SHD2488" s="58"/>
      <c r="SHE2488" s="58"/>
      <c r="SHF2488" s="60"/>
      <c r="SHG2488" s="60"/>
      <c r="SHH2488" s="60"/>
      <c r="SHI2488" s="58"/>
      <c r="SHJ2488" s="61"/>
      <c r="SHK2488" s="58"/>
      <c r="SHL2488" s="58"/>
      <c r="SHM2488" s="58"/>
      <c r="SHN2488" s="60"/>
      <c r="SHO2488" s="60"/>
      <c r="SHP2488" s="60"/>
      <c r="SHQ2488" s="58"/>
      <c r="SHR2488" s="61"/>
      <c r="SHS2488" s="58"/>
      <c r="SHT2488" s="58"/>
      <c r="SHU2488" s="58"/>
      <c r="SHV2488" s="60"/>
      <c r="SHW2488" s="60"/>
      <c r="SHX2488" s="60"/>
      <c r="SHY2488" s="58"/>
      <c r="SHZ2488" s="61"/>
      <c r="SIA2488" s="58"/>
      <c r="SIB2488" s="58"/>
      <c r="SIC2488" s="58"/>
      <c r="SID2488" s="60"/>
      <c r="SIE2488" s="60"/>
      <c r="SIF2488" s="60"/>
      <c r="SIG2488" s="58"/>
      <c r="SIH2488" s="61"/>
      <c r="SII2488" s="58"/>
      <c r="SIJ2488" s="58"/>
      <c r="SIK2488" s="58"/>
      <c r="SIL2488" s="60"/>
      <c r="SIM2488" s="60"/>
      <c r="SIN2488" s="60"/>
      <c r="SIO2488" s="58"/>
      <c r="SIP2488" s="61"/>
      <c r="SIQ2488" s="58"/>
      <c r="SIR2488" s="58"/>
      <c r="SIS2488" s="58"/>
      <c r="SIT2488" s="60"/>
      <c r="SIU2488" s="60"/>
      <c r="SIV2488" s="60"/>
      <c r="SIW2488" s="58"/>
      <c r="SIX2488" s="61"/>
      <c r="SIY2488" s="58"/>
      <c r="SIZ2488" s="58"/>
      <c r="SJA2488" s="58"/>
      <c r="SJB2488" s="60"/>
      <c r="SJC2488" s="60"/>
      <c r="SJD2488" s="60"/>
      <c r="SJE2488" s="58"/>
      <c r="SJF2488" s="61"/>
      <c r="SJG2488" s="58"/>
      <c r="SJH2488" s="58"/>
      <c r="SJI2488" s="58"/>
      <c r="SJJ2488" s="60"/>
      <c r="SJK2488" s="60"/>
      <c r="SJL2488" s="60"/>
      <c r="SJM2488" s="58"/>
      <c r="SJN2488" s="61"/>
      <c r="SJO2488" s="58"/>
      <c r="SJP2488" s="58"/>
      <c r="SJQ2488" s="58"/>
      <c r="SJR2488" s="60"/>
      <c r="SJS2488" s="60"/>
      <c r="SJT2488" s="60"/>
      <c r="SJU2488" s="58"/>
      <c r="SJV2488" s="61"/>
      <c r="SJW2488" s="58"/>
      <c r="SJX2488" s="58"/>
      <c r="SJY2488" s="58"/>
      <c r="SJZ2488" s="60"/>
      <c r="SKA2488" s="60"/>
      <c r="SKB2488" s="60"/>
      <c r="SKC2488" s="58"/>
      <c r="SKD2488" s="61"/>
      <c r="SKE2488" s="58"/>
      <c r="SKF2488" s="58"/>
      <c r="SKG2488" s="58"/>
      <c r="SKH2488" s="60"/>
      <c r="SKI2488" s="60"/>
      <c r="SKJ2488" s="60"/>
      <c r="SKK2488" s="58"/>
      <c r="SKL2488" s="61"/>
      <c r="SKM2488" s="58"/>
      <c r="SKN2488" s="58"/>
      <c r="SKO2488" s="58"/>
      <c r="SKP2488" s="60"/>
      <c r="SKQ2488" s="60"/>
      <c r="SKR2488" s="60"/>
      <c r="SKS2488" s="58"/>
      <c r="SKT2488" s="61"/>
      <c r="SKU2488" s="58"/>
      <c r="SKV2488" s="58"/>
      <c r="SKW2488" s="58"/>
      <c r="SKX2488" s="60"/>
      <c r="SKY2488" s="60"/>
      <c r="SKZ2488" s="60"/>
      <c r="SLA2488" s="58"/>
      <c r="SLB2488" s="61"/>
      <c r="SLC2488" s="58"/>
      <c r="SLD2488" s="58"/>
      <c r="SLE2488" s="58"/>
      <c r="SLF2488" s="60"/>
      <c r="SLG2488" s="60"/>
      <c r="SLH2488" s="60"/>
      <c r="SLI2488" s="58"/>
      <c r="SLJ2488" s="61"/>
      <c r="SLK2488" s="58"/>
      <c r="SLL2488" s="58"/>
      <c r="SLM2488" s="58"/>
      <c r="SLN2488" s="60"/>
      <c r="SLO2488" s="60"/>
      <c r="SLP2488" s="60"/>
      <c r="SLQ2488" s="58"/>
      <c r="SLR2488" s="61"/>
      <c r="SLS2488" s="58"/>
      <c r="SLT2488" s="58"/>
      <c r="SLU2488" s="58"/>
      <c r="SLV2488" s="60"/>
      <c r="SLW2488" s="60"/>
      <c r="SLX2488" s="60"/>
      <c r="SLY2488" s="58"/>
      <c r="SLZ2488" s="61"/>
      <c r="SMA2488" s="58"/>
      <c r="SMB2488" s="58"/>
      <c r="SMC2488" s="58"/>
      <c r="SMD2488" s="60"/>
      <c r="SME2488" s="60"/>
      <c r="SMF2488" s="60"/>
      <c r="SMG2488" s="58"/>
      <c r="SMH2488" s="61"/>
      <c r="SMI2488" s="58"/>
      <c r="SMJ2488" s="58"/>
      <c r="SMK2488" s="58"/>
      <c r="SML2488" s="60"/>
      <c r="SMM2488" s="60"/>
      <c r="SMN2488" s="60"/>
      <c r="SMO2488" s="58"/>
      <c r="SMP2488" s="61"/>
      <c r="SMQ2488" s="58"/>
      <c r="SMR2488" s="58"/>
      <c r="SMS2488" s="58"/>
      <c r="SMT2488" s="60"/>
      <c r="SMU2488" s="60"/>
      <c r="SMV2488" s="60"/>
      <c r="SMW2488" s="58"/>
      <c r="SMX2488" s="61"/>
      <c r="SMY2488" s="58"/>
      <c r="SMZ2488" s="58"/>
      <c r="SNA2488" s="58"/>
      <c r="SNB2488" s="60"/>
      <c r="SNC2488" s="60"/>
      <c r="SND2488" s="60"/>
      <c r="SNE2488" s="58"/>
      <c r="SNF2488" s="61"/>
      <c r="SNG2488" s="58"/>
      <c r="SNH2488" s="58"/>
      <c r="SNI2488" s="58"/>
      <c r="SNJ2488" s="60"/>
      <c r="SNK2488" s="60"/>
      <c r="SNL2488" s="60"/>
      <c r="SNM2488" s="58"/>
      <c r="SNN2488" s="61"/>
      <c r="SNO2488" s="58"/>
      <c r="SNP2488" s="58"/>
      <c r="SNQ2488" s="58"/>
      <c r="SNR2488" s="60"/>
      <c r="SNS2488" s="60"/>
      <c r="SNT2488" s="60"/>
      <c r="SNU2488" s="58"/>
      <c r="SNV2488" s="61"/>
      <c r="SNW2488" s="58"/>
      <c r="SNX2488" s="58"/>
      <c r="SNY2488" s="58"/>
      <c r="SNZ2488" s="60"/>
      <c r="SOA2488" s="60"/>
      <c r="SOB2488" s="60"/>
      <c r="SOC2488" s="58"/>
      <c r="SOD2488" s="61"/>
      <c r="SOE2488" s="58"/>
      <c r="SOF2488" s="58"/>
      <c r="SOG2488" s="58"/>
      <c r="SOH2488" s="60"/>
      <c r="SOI2488" s="60"/>
      <c r="SOJ2488" s="60"/>
      <c r="SOK2488" s="58"/>
      <c r="SOL2488" s="61"/>
      <c r="SOM2488" s="58"/>
      <c r="SON2488" s="58"/>
      <c r="SOO2488" s="58"/>
      <c r="SOP2488" s="60"/>
      <c r="SOQ2488" s="60"/>
      <c r="SOR2488" s="60"/>
      <c r="SOS2488" s="58"/>
      <c r="SOT2488" s="61"/>
      <c r="SOU2488" s="58"/>
      <c r="SOV2488" s="58"/>
      <c r="SOW2488" s="58"/>
      <c r="SOX2488" s="60"/>
      <c r="SOY2488" s="60"/>
      <c r="SOZ2488" s="60"/>
      <c r="SPA2488" s="58"/>
      <c r="SPB2488" s="61"/>
      <c r="SPC2488" s="58"/>
      <c r="SPD2488" s="58"/>
      <c r="SPE2488" s="58"/>
      <c r="SPF2488" s="60"/>
      <c r="SPG2488" s="60"/>
      <c r="SPH2488" s="60"/>
      <c r="SPI2488" s="58"/>
      <c r="SPJ2488" s="61"/>
      <c r="SPK2488" s="58"/>
      <c r="SPL2488" s="58"/>
      <c r="SPM2488" s="58"/>
      <c r="SPN2488" s="60"/>
      <c r="SPO2488" s="60"/>
      <c r="SPP2488" s="60"/>
      <c r="SPQ2488" s="58"/>
      <c r="SPR2488" s="61"/>
      <c r="SPS2488" s="58"/>
      <c r="SPT2488" s="58"/>
      <c r="SPU2488" s="58"/>
      <c r="SPV2488" s="60"/>
      <c r="SPW2488" s="60"/>
      <c r="SPX2488" s="60"/>
      <c r="SPY2488" s="58"/>
      <c r="SPZ2488" s="61"/>
      <c r="SQA2488" s="58"/>
      <c r="SQB2488" s="58"/>
      <c r="SQC2488" s="58"/>
      <c r="SQD2488" s="60"/>
      <c r="SQE2488" s="60"/>
      <c r="SQF2488" s="60"/>
      <c r="SQG2488" s="58"/>
      <c r="SQH2488" s="61"/>
      <c r="SQI2488" s="58"/>
      <c r="SQJ2488" s="58"/>
      <c r="SQK2488" s="58"/>
      <c r="SQL2488" s="60"/>
      <c r="SQM2488" s="60"/>
      <c r="SQN2488" s="60"/>
      <c r="SQO2488" s="58"/>
      <c r="SQP2488" s="61"/>
      <c r="SQQ2488" s="58"/>
      <c r="SQR2488" s="58"/>
      <c r="SQS2488" s="58"/>
      <c r="SQT2488" s="60"/>
      <c r="SQU2488" s="60"/>
      <c r="SQV2488" s="60"/>
      <c r="SQW2488" s="58"/>
      <c r="SQX2488" s="61"/>
      <c r="SQY2488" s="58"/>
      <c r="SQZ2488" s="58"/>
      <c r="SRA2488" s="58"/>
      <c r="SRB2488" s="60"/>
      <c r="SRC2488" s="60"/>
      <c r="SRD2488" s="60"/>
      <c r="SRE2488" s="58"/>
      <c r="SRF2488" s="61"/>
      <c r="SRG2488" s="58"/>
      <c r="SRH2488" s="58"/>
      <c r="SRI2488" s="58"/>
      <c r="SRJ2488" s="60"/>
      <c r="SRK2488" s="60"/>
      <c r="SRL2488" s="60"/>
      <c r="SRM2488" s="58"/>
      <c r="SRN2488" s="61"/>
      <c r="SRO2488" s="58"/>
      <c r="SRP2488" s="58"/>
      <c r="SRQ2488" s="58"/>
      <c r="SRR2488" s="60"/>
      <c r="SRS2488" s="60"/>
      <c r="SRT2488" s="60"/>
      <c r="SRU2488" s="58"/>
      <c r="SRV2488" s="61"/>
      <c r="SRW2488" s="58"/>
      <c r="SRX2488" s="58"/>
      <c r="SRY2488" s="58"/>
      <c r="SRZ2488" s="60"/>
      <c r="SSA2488" s="60"/>
      <c r="SSB2488" s="60"/>
      <c r="SSC2488" s="58"/>
      <c r="SSD2488" s="61"/>
      <c r="SSE2488" s="58"/>
      <c r="SSF2488" s="58"/>
      <c r="SSG2488" s="58"/>
      <c r="SSH2488" s="60"/>
      <c r="SSI2488" s="60"/>
      <c r="SSJ2488" s="60"/>
      <c r="SSK2488" s="58"/>
      <c r="SSL2488" s="61"/>
      <c r="SSM2488" s="58"/>
      <c r="SSN2488" s="58"/>
      <c r="SSO2488" s="58"/>
      <c r="SSP2488" s="60"/>
      <c r="SSQ2488" s="60"/>
      <c r="SSR2488" s="60"/>
      <c r="SSS2488" s="58"/>
      <c r="SST2488" s="61"/>
      <c r="SSU2488" s="58"/>
      <c r="SSV2488" s="58"/>
      <c r="SSW2488" s="58"/>
      <c r="SSX2488" s="60"/>
      <c r="SSY2488" s="60"/>
      <c r="SSZ2488" s="60"/>
      <c r="STA2488" s="58"/>
      <c r="STB2488" s="61"/>
      <c r="STC2488" s="58"/>
      <c r="STD2488" s="58"/>
      <c r="STE2488" s="58"/>
      <c r="STF2488" s="60"/>
      <c r="STG2488" s="60"/>
      <c r="STH2488" s="60"/>
      <c r="STI2488" s="58"/>
      <c r="STJ2488" s="61"/>
      <c r="STK2488" s="58"/>
      <c r="STL2488" s="58"/>
      <c r="STM2488" s="58"/>
      <c r="STN2488" s="60"/>
      <c r="STO2488" s="60"/>
      <c r="STP2488" s="60"/>
      <c r="STQ2488" s="58"/>
      <c r="STR2488" s="61"/>
      <c r="STS2488" s="58"/>
      <c r="STT2488" s="58"/>
      <c r="STU2488" s="58"/>
      <c r="STV2488" s="60"/>
      <c r="STW2488" s="60"/>
      <c r="STX2488" s="60"/>
      <c r="STY2488" s="58"/>
      <c r="STZ2488" s="61"/>
      <c r="SUA2488" s="58"/>
      <c r="SUB2488" s="58"/>
      <c r="SUC2488" s="58"/>
      <c r="SUD2488" s="60"/>
      <c r="SUE2488" s="60"/>
      <c r="SUF2488" s="60"/>
      <c r="SUG2488" s="58"/>
      <c r="SUH2488" s="61"/>
      <c r="SUI2488" s="58"/>
      <c r="SUJ2488" s="58"/>
      <c r="SUK2488" s="58"/>
      <c r="SUL2488" s="60"/>
      <c r="SUM2488" s="60"/>
      <c r="SUN2488" s="60"/>
      <c r="SUO2488" s="58"/>
      <c r="SUP2488" s="61"/>
      <c r="SUQ2488" s="58"/>
      <c r="SUR2488" s="58"/>
      <c r="SUS2488" s="58"/>
      <c r="SUT2488" s="60"/>
      <c r="SUU2488" s="60"/>
      <c r="SUV2488" s="60"/>
      <c r="SUW2488" s="58"/>
      <c r="SUX2488" s="61"/>
      <c r="SUY2488" s="58"/>
      <c r="SUZ2488" s="58"/>
      <c r="SVA2488" s="58"/>
      <c r="SVB2488" s="60"/>
      <c r="SVC2488" s="60"/>
      <c r="SVD2488" s="60"/>
      <c r="SVE2488" s="58"/>
      <c r="SVF2488" s="61"/>
      <c r="SVG2488" s="58"/>
      <c r="SVH2488" s="58"/>
      <c r="SVI2488" s="58"/>
      <c r="SVJ2488" s="60"/>
      <c r="SVK2488" s="60"/>
      <c r="SVL2488" s="60"/>
      <c r="SVM2488" s="58"/>
      <c r="SVN2488" s="61"/>
      <c r="SVO2488" s="58"/>
      <c r="SVP2488" s="58"/>
      <c r="SVQ2488" s="58"/>
      <c r="SVR2488" s="60"/>
      <c r="SVS2488" s="60"/>
      <c r="SVT2488" s="60"/>
      <c r="SVU2488" s="58"/>
      <c r="SVV2488" s="61"/>
      <c r="SVW2488" s="58"/>
      <c r="SVX2488" s="58"/>
      <c r="SVY2488" s="58"/>
      <c r="SVZ2488" s="60"/>
      <c r="SWA2488" s="60"/>
      <c r="SWB2488" s="60"/>
      <c r="SWC2488" s="58"/>
      <c r="SWD2488" s="61"/>
      <c r="SWE2488" s="58"/>
      <c r="SWF2488" s="58"/>
      <c r="SWG2488" s="58"/>
      <c r="SWH2488" s="60"/>
      <c r="SWI2488" s="60"/>
      <c r="SWJ2488" s="60"/>
      <c r="SWK2488" s="58"/>
      <c r="SWL2488" s="61"/>
      <c r="SWM2488" s="58"/>
      <c r="SWN2488" s="58"/>
      <c r="SWO2488" s="58"/>
      <c r="SWP2488" s="60"/>
      <c r="SWQ2488" s="60"/>
      <c r="SWR2488" s="60"/>
      <c r="SWS2488" s="58"/>
      <c r="SWT2488" s="61"/>
      <c r="SWU2488" s="58"/>
      <c r="SWV2488" s="58"/>
      <c r="SWW2488" s="58"/>
      <c r="SWX2488" s="60"/>
      <c r="SWY2488" s="60"/>
      <c r="SWZ2488" s="60"/>
      <c r="SXA2488" s="58"/>
      <c r="SXB2488" s="61"/>
      <c r="SXC2488" s="58"/>
      <c r="SXD2488" s="58"/>
      <c r="SXE2488" s="58"/>
      <c r="SXF2488" s="60"/>
      <c r="SXG2488" s="60"/>
      <c r="SXH2488" s="60"/>
      <c r="SXI2488" s="58"/>
      <c r="SXJ2488" s="61"/>
      <c r="SXK2488" s="58"/>
      <c r="SXL2488" s="58"/>
      <c r="SXM2488" s="58"/>
      <c r="SXN2488" s="60"/>
      <c r="SXO2488" s="60"/>
      <c r="SXP2488" s="60"/>
      <c r="SXQ2488" s="58"/>
      <c r="SXR2488" s="61"/>
      <c r="SXS2488" s="58"/>
      <c r="SXT2488" s="58"/>
      <c r="SXU2488" s="58"/>
      <c r="SXV2488" s="60"/>
      <c r="SXW2488" s="60"/>
      <c r="SXX2488" s="60"/>
      <c r="SXY2488" s="58"/>
      <c r="SXZ2488" s="61"/>
      <c r="SYA2488" s="58"/>
      <c r="SYB2488" s="58"/>
      <c r="SYC2488" s="58"/>
      <c r="SYD2488" s="60"/>
      <c r="SYE2488" s="60"/>
      <c r="SYF2488" s="60"/>
      <c r="SYG2488" s="58"/>
      <c r="SYH2488" s="61"/>
      <c r="SYI2488" s="58"/>
      <c r="SYJ2488" s="58"/>
      <c r="SYK2488" s="58"/>
      <c r="SYL2488" s="60"/>
      <c r="SYM2488" s="60"/>
      <c r="SYN2488" s="60"/>
      <c r="SYO2488" s="58"/>
      <c r="SYP2488" s="61"/>
      <c r="SYQ2488" s="58"/>
      <c r="SYR2488" s="58"/>
      <c r="SYS2488" s="58"/>
      <c r="SYT2488" s="60"/>
      <c r="SYU2488" s="60"/>
      <c r="SYV2488" s="60"/>
      <c r="SYW2488" s="58"/>
      <c r="SYX2488" s="61"/>
      <c r="SYY2488" s="58"/>
      <c r="SYZ2488" s="58"/>
      <c r="SZA2488" s="58"/>
      <c r="SZB2488" s="60"/>
      <c r="SZC2488" s="60"/>
      <c r="SZD2488" s="60"/>
      <c r="SZE2488" s="58"/>
      <c r="SZF2488" s="61"/>
      <c r="SZG2488" s="58"/>
      <c r="SZH2488" s="58"/>
      <c r="SZI2488" s="58"/>
      <c r="SZJ2488" s="60"/>
      <c r="SZK2488" s="60"/>
      <c r="SZL2488" s="60"/>
      <c r="SZM2488" s="58"/>
      <c r="SZN2488" s="61"/>
      <c r="SZO2488" s="58"/>
      <c r="SZP2488" s="58"/>
      <c r="SZQ2488" s="58"/>
      <c r="SZR2488" s="60"/>
      <c r="SZS2488" s="60"/>
      <c r="SZT2488" s="60"/>
      <c r="SZU2488" s="58"/>
      <c r="SZV2488" s="61"/>
      <c r="SZW2488" s="58"/>
      <c r="SZX2488" s="58"/>
      <c r="SZY2488" s="58"/>
      <c r="SZZ2488" s="60"/>
      <c r="TAA2488" s="60"/>
      <c r="TAB2488" s="60"/>
      <c r="TAC2488" s="58"/>
      <c r="TAD2488" s="61"/>
      <c r="TAE2488" s="58"/>
      <c r="TAF2488" s="58"/>
      <c r="TAG2488" s="58"/>
      <c r="TAH2488" s="60"/>
      <c r="TAI2488" s="60"/>
      <c r="TAJ2488" s="60"/>
      <c r="TAK2488" s="58"/>
      <c r="TAL2488" s="61"/>
      <c r="TAM2488" s="58"/>
      <c r="TAN2488" s="58"/>
      <c r="TAO2488" s="58"/>
      <c r="TAP2488" s="60"/>
      <c r="TAQ2488" s="60"/>
      <c r="TAR2488" s="60"/>
      <c r="TAS2488" s="58"/>
      <c r="TAT2488" s="61"/>
      <c r="TAU2488" s="58"/>
      <c r="TAV2488" s="58"/>
      <c r="TAW2488" s="58"/>
      <c r="TAX2488" s="60"/>
      <c r="TAY2488" s="60"/>
      <c r="TAZ2488" s="60"/>
      <c r="TBA2488" s="58"/>
      <c r="TBB2488" s="61"/>
      <c r="TBC2488" s="58"/>
      <c r="TBD2488" s="58"/>
      <c r="TBE2488" s="58"/>
      <c r="TBF2488" s="60"/>
      <c r="TBG2488" s="60"/>
      <c r="TBH2488" s="60"/>
      <c r="TBI2488" s="58"/>
      <c r="TBJ2488" s="61"/>
      <c r="TBK2488" s="58"/>
      <c r="TBL2488" s="58"/>
      <c r="TBM2488" s="58"/>
      <c r="TBN2488" s="60"/>
      <c r="TBO2488" s="60"/>
      <c r="TBP2488" s="60"/>
      <c r="TBQ2488" s="58"/>
      <c r="TBR2488" s="61"/>
      <c r="TBS2488" s="58"/>
      <c r="TBT2488" s="58"/>
      <c r="TBU2488" s="58"/>
      <c r="TBV2488" s="60"/>
      <c r="TBW2488" s="60"/>
      <c r="TBX2488" s="60"/>
      <c r="TBY2488" s="58"/>
      <c r="TBZ2488" s="61"/>
      <c r="TCA2488" s="58"/>
      <c r="TCB2488" s="58"/>
      <c r="TCC2488" s="58"/>
      <c r="TCD2488" s="60"/>
      <c r="TCE2488" s="60"/>
      <c r="TCF2488" s="60"/>
      <c r="TCG2488" s="58"/>
      <c r="TCH2488" s="61"/>
      <c r="TCI2488" s="58"/>
      <c r="TCJ2488" s="58"/>
      <c r="TCK2488" s="58"/>
      <c r="TCL2488" s="60"/>
      <c r="TCM2488" s="60"/>
      <c r="TCN2488" s="60"/>
      <c r="TCO2488" s="58"/>
      <c r="TCP2488" s="61"/>
      <c r="TCQ2488" s="58"/>
      <c r="TCR2488" s="58"/>
      <c r="TCS2488" s="58"/>
      <c r="TCT2488" s="60"/>
      <c r="TCU2488" s="60"/>
      <c r="TCV2488" s="60"/>
      <c r="TCW2488" s="58"/>
      <c r="TCX2488" s="61"/>
      <c r="TCY2488" s="58"/>
      <c r="TCZ2488" s="58"/>
      <c r="TDA2488" s="58"/>
      <c r="TDB2488" s="60"/>
      <c r="TDC2488" s="60"/>
      <c r="TDD2488" s="60"/>
      <c r="TDE2488" s="58"/>
      <c r="TDF2488" s="61"/>
      <c r="TDG2488" s="58"/>
      <c r="TDH2488" s="58"/>
      <c r="TDI2488" s="58"/>
      <c r="TDJ2488" s="60"/>
      <c r="TDK2488" s="60"/>
      <c r="TDL2488" s="60"/>
      <c r="TDM2488" s="58"/>
      <c r="TDN2488" s="61"/>
      <c r="TDO2488" s="58"/>
      <c r="TDP2488" s="58"/>
      <c r="TDQ2488" s="58"/>
      <c r="TDR2488" s="60"/>
      <c r="TDS2488" s="60"/>
      <c r="TDT2488" s="60"/>
      <c r="TDU2488" s="58"/>
      <c r="TDV2488" s="61"/>
      <c r="TDW2488" s="58"/>
      <c r="TDX2488" s="58"/>
      <c r="TDY2488" s="58"/>
      <c r="TDZ2488" s="60"/>
      <c r="TEA2488" s="60"/>
      <c r="TEB2488" s="60"/>
      <c r="TEC2488" s="58"/>
      <c r="TED2488" s="61"/>
      <c r="TEE2488" s="58"/>
      <c r="TEF2488" s="58"/>
      <c r="TEG2488" s="58"/>
      <c r="TEH2488" s="60"/>
      <c r="TEI2488" s="60"/>
      <c r="TEJ2488" s="60"/>
      <c r="TEK2488" s="58"/>
      <c r="TEL2488" s="61"/>
      <c r="TEM2488" s="58"/>
      <c r="TEN2488" s="58"/>
      <c r="TEO2488" s="58"/>
      <c r="TEP2488" s="60"/>
      <c r="TEQ2488" s="60"/>
      <c r="TER2488" s="60"/>
      <c r="TES2488" s="58"/>
      <c r="TET2488" s="61"/>
      <c r="TEU2488" s="58"/>
      <c r="TEV2488" s="58"/>
      <c r="TEW2488" s="58"/>
      <c r="TEX2488" s="60"/>
      <c r="TEY2488" s="60"/>
      <c r="TEZ2488" s="60"/>
      <c r="TFA2488" s="58"/>
      <c r="TFB2488" s="61"/>
      <c r="TFC2488" s="58"/>
      <c r="TFD2488" s="58"/>
      <c r="TFE2488" s="58"/>
      <c r="TFF2488" s="60"/>
      <c r="TFG2488" s="60"/>
      <c r="TFH2488" s="60"/>
      <c r="TFI2488" s="58"/>
      <c r="TFJ2488" s="61"/>
      <c r="TFK2488" s="58"/>
      <c r="TFL2488" s="58"/>
      <c r="TFM2488" s="58"/>
      <c r="TFN2488" s="60"/>
      <c r="TFO2488" s="60"/>
      <c r="TFP2488" s="60"/>
      <c r="TFQ2488" s="58"/>
      <c r="TFR2488" s="61"/>
      <c r="TFS2488" s="58"/>
      <c r="TFT2488" s="58"/>
      <c r="TFU2488" s="58"/>
      <c r="TFV2488" s="60"/>
      <c r="TFW2488" s="60"/>
      <c r="TFX2488" s="60"/>
      <c r="TFY2488" s="58"/>
      <c r="TFZ2488" s="61"/>
      <c r="TGA2488" s="58"/>
      <c r="TGB2488" s="58"/>
      <c r="TGC2488" s="58"/>
      <c r="TGD2488" s="60"/>
      <c r="TGE2488" s="60"/>
      <c r="TGF2488" s="60"/>
      <c r="TGG2488" s="58"/>
      <c r="TGH2488" s="61"/>
      <c r="TGI2488" s="58"/>
      <c r="TGJ2488" s="58"/>
      <c r="TGK2488" s="58"/>
      <c r="TGL2488" s="60"/>
      <c r="TGM2488" s="60"/>
      <c r="TGN2488" s="60"/>
      <c r="TGO2488" s="58"/>
      <c r="TGP2488" s="61"/>
      <c r="TGQ2488" s="58"/>
      <c r="TGR2488" s="58"/>
      <c r="TGS2488" s="58"/>
      <c r="TGT2488" s="60"/>
      <c r="TGU2488" s="60"/>
      <c r="TGV2488" s="60"/>
      <c r="TGW2488" s="58"/>
      <c r="TGX2488" s="61"/>
      <c r="TGY2488" s="58"/>
      <c r="TGZ2488" s="58"/>
      <c r="THA2488" s="58"/>
      <c r="THB2488" s="60"/>
      <c r="THC2488" s="60"/>
      <c r="THD2488" s="60"/>
      <c r="THE2488" s="58"/>
      <c r="THF2488" s="61"/>
      <c r="THG2488" s="58"/>
      <c r="THH2488" s="58"/>
      <c r="THI2488" s="58"/>
      <c r="THJ2488" s="60"/>
      <c r="THK2488" s="60"/>
      <c r="THL2488" s="60"/>
      <c r="THM2488" s="58"/>
      <c r="THN2488" s="61"/>
      <c r="THO2488" s="58"/>
      <c r="THP2488" s="58"/>
      <c r="THQ2488" s="58"/>
      <c r="THR2488" s="60"/>
      <c r="THS2488" s="60"/>
      <c r="THT2488" s="60"/>
      <c r="THU2488" s="58"/>
      <c r="THV2488" s="61"/>
      <c r="THW2488" s="58"/>
      <c r="THX2488" s="58"/>
      <c r="THY2488" s="58"/>
      <c r="THZ2488" s="60"/>
      <c r="TIA2488" s="60"/>
      <c r="TIB2488" s="60"/>
      <c r="TIC2488" s="58"/>
      <c r="TID2488" s="61"/>
      <c r="TIE2488" s="58"/>
      <c r="TIF2488" s="58"/>
      <c r="TIG2488" s="58"/>
      <c r="TIH2488" s="60"/>
      <c r="TII2488" s="60"/>
      <c r="TIJ2488" s="60"/>
      <c r="TIK2488" s="58"/>
      <c r="TIL2488" s="61"/>
      <c r="TIM2488" s="58"/>
      <c r="TIN2488" s="58"/>
      <c r="TIO2488" s="58"/>
      <c r="TIP2488" s="60"/>
      <c r="TIQ2488" s="60"/>
      <c r="TIR2488" s="60"/>
      <c r="TIS2488" s="58"/>
      <c r="TIT2488" s="61"/>
      <c r="TIU2488" s="58"/>
      <c r="TIV2488" s="58"/>
      <c r="TIW2488" s="58"/>
      <c r="TIX2488" s="60"/>
      <c r="TIY2488" s="60"/>
      <c r="TIZ2488" s="60"/>
      <c r="TJA2488" s="58"/>
      <c r="TJB2488" s="61"/>
      <c r="TJC2488" s="58"/>
      <c r="TJD2488" s="58"/>
      <c r="TJE2488" s="58"/>
      <c r="TJF2488" s="60"/>
      <c r="TJG2488" s="60"/>
      <c r="TJH2488" s="60"/>
      <c r="TJI2488" s="58"/>
      <c r="TJJ2488" s="61"/>
      <c r="TJK2488" s="58"/>
      <c r="TJL2488" s="58"/>
      <c r="TJM2488" s="58"/>
      <c r="TJN2488" s="60"/>
      <c r="TJO2488" s="60"/>
      <c r="TJP2488" s="60"/>
      <c r="TJQ2488" s="58"/>
      <c r="TJR2488" s="61"/>
      <c r="TJS2488" s="58"/>
      <c r="TJT2488" s="58"/>
      <c r="TJU2488" s="58"/>
      <c r="TJV2488" s="60"/>
      <c r="TJW2488" s="60"/>
      <c r="TJX2488" s="60"/>
      <c r="TJY2488" s="58"/>
      <c r="TJZ2488" s="61"/>
      <c r="TKA2488" s="58"/>
      <c r="TKB2488" s="58"/>
      <c r="TKC2488" s="58"/>
      <c r="TKD2488" s="60"/>
      <c r="TKE2488" s="60"/>
      <c r="TKF2488" s="60"/>
      <c r="TKG2488" s="58"/>
      <c r="TKH2488" s="61"/>
      <c r="TKI2488" s="58"/>
      <c r="TKJ2488" s="58"/>
      <c r="TKK2488" s="58"/>
      <c r="TKL2488" s="60"/>
      <c r="TKM2488" s="60"/>
      <c r="TKN2488" s="60"/>
      <c r="TKO2488" s="58"/>
      <c r="TKP2488" s="61"/>
      <c r="TKQ2488" s="58"/>
      <c r="TKR2488" s="58"/>
      <c r="TKS2488" s="58"/>
      <c r="TKT2488" s="60"/>
      <c r="TKU2488" s="60"/>
      <c r="TKV2488" s="60"/>
      <c r="TKW2488" s="58"/>
      <c r="TKX2488" s="61"/>
      <c r="TKY2488" s="58"/>
      <c r="TKZ2488" s="58"/>
      <c r="TLA2488" s="58"/>
      <c r="TLB2488" s="60"/>
      <c r="TLC2488" s="60"/>
      <c r="TLD2488" s="60"/>
      <c r="TLE2488" s="58"/>
      <c r="TLF2488" s="61"/>
      <c r="TLG2488" s="58"/>
      <c r="TLH2488" s="58"/>
      <c r="TLI2488" s="58"/>
      <c r="TLJ2488" s="60"/>
      <c r="TLK2488" s="60"/>
      <c r="TLL2488" s="60"/>
      <c r="TLM2488" s="58"/>
      <c r="TLN2488" s="61"/>
      <c r="TLO2488" s="58"/>
      <c r="TLP2488" s="58"/>
      <c r="TLQ2488" s="58"/>
      <c r="TLR2488" s="60"/>
      <c r="TLS2488" s="60"/>
      <c r="TLT2488" s="60"/>
      <c r="TLU2488" s="58"/>
      <c r="TLV2488" s="61"/>
      <c r="TLW2488" s="58"/>
      <c r="TLX2488" s="58"/>
      <c r="TLY2488" s="58"/>
      <c r="TLZ2488" s="60"/>
      <c r="TMA2488" s="60"/>
      <c r="TMB2488" s="60"/>
      <c r="TMC2488" s="58"/>
      <c r="TMD2488" s="61"/>
      <c r="TME2488" s="58"/>
      <c r="TMF2488" s="58"/>
      <c r="TMG2488" s="58"/>
      <c r="TMH2488" s="60"/>
      <c r="TMI2488" s="60"/>
      <c r="TMJ2488" s="60"/>
      <c r="TMK2488" s="58"/>
      <c r="TML2488" s="61"/>
      <c r="TMM2488" s="58"/>
      <c r="TMN2488" s="58"/>
      <c r="TMO2488" s="58"/>
      <c r="TMP2488" s="60"/>
      <c r="TMQ2488" s="60"/>
      <c r="TMR2488" s="60"/>
      <c r="TMS2488" s="58"/>
      <c r="TMT2488" s="61"/>
      <c r="TMU2488" s="58"/>
      <c r="TMV2488" s="58"/>
      <c r="TMW2488" s="58"/>
      <c r="TMX2488" s="60"/>
      <c r="TMY2488" s="60"/>
      <c r="TMZ2488" s="60"/>
      <c r="TNA2488" s="58"/>
      <c r="TNB2488" s="61"/>
      <c r="TNC2488" s="58"/>
      <c r="TND2488" s="58"/>
      <c r="TNE2488" s="58"/>
      <c r="TNF2488" s="60"/>
      <c r="TNG2488" s="60"/>
      <c r="TNH2488" s="60"/>
      <c r="TNI2488" s="58"/>
      <c r="TNJ2488" s="61"/>
      <c r="TNK2488" s="58"/>
      <c r="TNL2488" s="58"/>
      <c r="TNM2488" s="58"/>
      <c r="TNN2488" s="60"/>
      <c r="TNO2488" s="60"/>
      <c r="TNP2488" s="60"/>
      <c r="TNQ2488" s="58"/>
      <c r="TNR2488" s="61"/>
      <c r="TNS2488" s="58"/>
      <c r="TNT2488" s="58"/>
      <c r="TNU2488" s="58"/>
      <c r="TNV2488" s="60"/>
      <c r="TNW2488" s="60"/>
      <c r="TNX2488" s="60"/>
      <c r="TNY2488" s="58"/>
      <c r="TNZ2488" s="61"/>
      <c r="TOA2488" s="58"/>
      <c r="TOB2488" s="58"/>
      <c r="TOC2488" s="58"/>
      <c r="TOD2488" s="60"/>
      <c r="TOE2488" s="60"/>
      <c r="TOF2488" s="60"/>
      <c r="TOG2488" s="58"/>
      <c r="TOH2488" s="61"/>
      <c r="TOI2488" s="58"/>
      <c r="TOJ2488" s="58"/>
      <c r="TOK2488" s="58"/>
      <c r="TOL2488" s="60"/>
      <c r="TOM2488" s="60"/>
      <c r="TON2488" s="60"/>
      <c r="TOO2488" s="58"/>
      <c r="TOP2488" s="61"/>
      <c r="TOQ2488" s="58"/>
      <c r="TOR2488" s="58"/>
      <c r="TOS2488" s="58"/>
      <c r="TOT2488" s="60"/>
      <c r="TOU2488" s="60"/>
      <c r="TOV2488" s="60"/>
      <c r="TOW2488" s="58"/>
      <c r="TOX2488" s="61"/>
      <c r="TOY2488" s="58"/>
      <c r="TOZ2488" s="58"/>
      <c r="TPA2488" s="58"/>
      <c r="TPB2488" s="60"/>
      <c r="TPC2488" s="60"/>
      <c r="TPD2488" s="60"/>
      <c r="TPE2488" s="58"/>
      <c r="TPF2488" s="61"/>
      <c r="TPG2488" s="58"/>
      <c r="TPH2488" s="58"/>
      <c r="TPI2488" s="58"/>
      <c r="TPJ2488" s="60"/>
      <c r="TPK2488" s="60"/>
      <c r="TPL2488" s="60"/>
      <c r="TPM2488" s="58"/>
      <c r="TPN2488" s="61"/>
      <c r="TPO2488" s="58"/>
      <c r="TPP2488" s="58"/>
      <c r="TPQ2488" s="58"/>
      <c r="TPR2488" s="60"/>
      <c r="TPS2488" s="60"/>
      <c r="TPT2488" s="60"/>
      <c r="TPU2488" s="58"/>
      <c r="TPV2488" s="61"/>
      <c r="TPW2488" s="58"/>
      <c r="TPX2488" s="58"/>
      <c r="TPY2488" s="58"/>
      <c r="TPZ2488" s="60"/>
      <c r="TQA2488" s="60"/>
      <c r="TQB2488" s="60"/>
      <c r="TQC2488" s="58"/>
      <c r="TQD2488" s="61"/>
      <c r="TQE2488" s="58"/>
      <c r="TQF2488" s="58"/>
      <c r="TQG2488" s="58"/>
      <c r="TQH2488" s="60"/>
      <c r="TQI2488" s="60"/>
      <c r="TQJ2488" s="60"/>
      <c r="TQK2488" s="58"/>
      <c r="TQL2488" s="61"/>
      <c r="TQM2488" s="58"/>
      <c r="TQN2488" s="58"/>
      <c r="TQO2488" s="58"/>
      <c r="TQP2488" s="60"/>
      <c r="TQQ2488" s="60"/>
      <c r="TQR2488" s="60"/>
      <c r="TQS2488" s="58"/>
      <c r="TQT2488" s="61"/>
      <c r="TQU2488" s="58"/>
      <c r="TQV2488" s="58"/>
      <c r="TQW2488" s="58"/>
      <c r="TQX2488" s="60"/>
      <c r="TQY2488" s="60"/>
      <c r="TQZ2488" s="60"/>
      <c r="TRA2488" s="58"/>
      <c r="TRB2488" s="61"/>
      <c r="TRC2488" s="58"/>
      <c r="TRD2488" s="58"/>
      <c r="TRE2488" s="58"/>
      <c r="TRF2488" s="60"/>
      <c r="TRG2488" s="60"/>
      <c r="TRH2488" s="60"/>
      <c r="TRI2488" s="58"/>
      <c r="TRJ2488" s="61"/>
      <c r="TRK2488" s="58"/>
      <c r="TRL2488" s="58"/>
      <c r="TRM2488" s="58"/>
      <c r="TRN2488" s="60"/>
      <c r="TRO2488" s="60"/>
      <c r="TRP2488" s="60"/>
      <c r="TRQ2488" s="58"/>
      <c r="TRR2488" s="61"/>
      <c r="TRS2488" s="58"/>
      <c r="TRT2488" s="58"/>
      <c r="TRU2488" s="58"/>
      <c r="TRV2488" s="60"/>
      <c r="TRW2488" s="60"/>
      <c r="TRX2488" s="60"/>
      <c r="TRY2488" s="58"/>
      <c r="TRZ2488" s="61"/>
      <c r="TSA2488" s="58"/>
      <c r="TSB2488" s="58"/>
      <c r="TSC2488" s="58"/>
      <c r="TSD2488" s="60"/>
      <c r="TSE2488" s="60"/>
      <c r="TSF2488" s="60"/>
      <c r="TSG2488" s="58"/>
      <c r="TSH2488" s="61"/>
      <c r="TSI2488" s="58"/>
      <c r="TSJ2488" s="58"/>
      <c r="TSK2488" s="58"/>
      <c r="TSL2488" s="60"/>
      <c r="TSM2488" s="60"/>
      <c r="TSN2488" s="60"/>
      <c r="TSO2488" s="58"/>
      <c r="TSP2488" s="61"/>
      <c r="TSQ2488" s="58"/>
      <c r="TSR2488" s="58"/>
      <c r="TSS2488" s="58"/>
      <c r="TST2488" s="60"/>
      <c r="TSU2488" s="60"/>
      <c r="TSV2488" s="60"/>
      <c r="TSW2488" s="58"/>
      <c r="TSX2488" s="61"/>
      <c r="TSY2488" s="58"/>
      <c r="TSZ2488" s="58"/>
      <c r="TTA2488" s="58"/>
      <c r="TTB2488" s="60"/>
      <c r="TTC2488" s="60"/>
      <c r="TTD2488" s="60"/>
      <c r="TTE2488" s="58"/>
      <c r="TTF2488" s="61"/>
      <c r="TTG2488" s="58"/>
      <c r="TTH2488" s="58"/>
      <c r="TTI2488" s="58"/>
      <c r="TTJ2488" s="60"/>
      <c r="TTK2488" s="60"/>
      <c r="TTL2488" s="60"/>
      <c r="TTM2488" s="58"/>
      <c r="TTN2488" s="61"/>
      <c r="TTO2488" s="58"/>
      <c r="TTP2488" s="58"/>
      <c r="TTQ2488" s="58"/>
      <c r="TTR2488" s="60"/>
      <c r="TTS2488" s="60"/>
      <c r="TTT2488" s="60"/>
      <c r="TTU2488" s="58"/>
      <c r="TTV2488" s="61"/>
      <c r="TTW2488" s="58"/>
      <c r="TTX2488" s="58"/>
      <c r="TTY2488" s="58"/>
      <c r="TTZ2488" s="60"/>
      <c r="TUA2488" s="60"/>
      <c r="TUB2488" s="60"/>
      <c r="TUC2488" s="58"/>
      <c r="TUD2488" s="61"/>
      <c r="TUE2488" s="58"/>
      <c r="TUF2488" s="58"/>
      <c r="TUG2488" s="58"/>
      <c r="TUH2488" s="60"/>
      <c r="TUI2488" s="60"/>
      <c r="TUJ2488" s="60"/>
      <c r="TUK2488" s="58"/>
      <c r="TUL2488" s="61"/>
      <c r="TUM2488" s="58"/>
      <c r="TUN2488" s="58"/>
      <c r="TUO2488" s="58"/>
      <c r="TUP2488" s="60"/>
      <c r="TUQ2488" s="60"/>
      <c r="TUR2488" s="60"/>
      <c r="TUS2488" s="58"/>
      <c r="TUT2488" s="61"/>
      <c r="TUU2488" s="58"/>
      <c r="TUV2488" s="58"/>
      <c r="TUW2488" s="58"/>
      <c r="TUX2488" s="60"/>
      <c r="TUY2488" s="60"/>
      <c r="TUZ2488" s="60"/>
      <c r="TVA2488" s="58"/>
      <c r="TVB2488" s="61"/>
      <c r="TVC2488" s="58"/>
      <c r="TVD2488" s="58"/>
      <c r="TVE2488" s="58"/>
      <c r="TVF2488" s="60"/>
      <c r="TVG2488" s="60"/>
      <c r="TVH2488" s="60"/>
      <c r="TVI2488" s="58"/>
      <c r="TVJ2488" s="61"/>
      <c r="TVK2488" s="58"/>
      <c r="TVL2488" s="58"/>
      <c r="TVM2488" s="58"/>
      <c r="TVN2488" s="60"/>
      <c r="TVO2488" s="60"/>
      <c r="TVP2488" s="60"/>
      <c r="TVQ2488" s="58"/>
      <c r="TVR2488" s="61"/>
      <c r="TVS2488" s="58"/>
      <c r="TVT2488" s="58"/>
      <c r="TVU2488" s="58"/>
      <c r="TVV2488" s="60"/>
      <c r="TVW2488" s="60"/>
      <c r="TVX2488" s="60"/>
      <c r="TVY2488" s="58"/>
      <c r="TVZ2488" s="61"/>
      <c r="TWA2488" s="58"/>
      <c r="TWB2488" s="58"/>
      <c r="TWC2488" s="58"/>
      <c r="TWD2488" s="60"/>
      <c r="TWE2488" s="60"/>
      <c r="TWF2488" s="60"/>
      <c r="TWG2488" s="58"/>
      <c r="TWH2488" s="61"/>
      <c r="TWI2488" s="58"/>
      <c r="TWJ2488" s="58"/>
      <c r="TWK2488" s="58"/>
      <c r="TWL2488" s="60"/>
      <c r="TWM2488" s="60"/>
      <c r="TWN2488" s="60"/>
      <c r="TWO2488" s="58"/>
      <c r="TWP2488" s="61"/>
      <c r="TWQ2488" s="58"/>
      <c r="TWR2488" s="58"/>
      <c r="TWS2488" s="58"/>
      <c r="TWT2488" s="60"/>
      <c r="TWU2488" s="60"/>
      <c r="TWV2488" s="60"/>
      <c r="TWW2488" s="58"/>
      <c r="TWX2488" s="61"/>
      <c r="TWY2488" s="58"/>
      <c r="TWZ2488" s="58"/>
      <c r="TXA2488" s="58"/>
      <c r="TXB2488" s="60"/>
      <c r="TXC2488" s="60"/>
      <c r="TXD2488" s="60"/>
      <c r="TXE2488" s="58"/>
      <c r="TXF2488" s="61"/>
      <c r="TXG2488" s="58"/>
      <c r="TXH2488" s="58"/>
      <c r="TXI2488" s="58"/>
      <c r="TXJ2488" s="60"/>
      <c r="TXK2488" s="60"/>
      <c r="TXL2488" s="60"/>
      <c r="TXM2488" s="58"/>
      <c r="TXN2488" s="61"/>
      <c r="TXO2488" s="58"/>
      <c r="TXP2488" s="58"/>
      <c r="TXQ2488" s="58"/>
      <c r="TXR2488" s="60"/>
      <c r="TXS2488" s="60"/>
      <c r="TXT2488" s="60"/>
      <c r="TXU2488" s="58"/>
      <c r="TXV2488" s="61"/>
      <c r="TXW2488" s="58"/>
      <c r="TXX2488" s="58"/>
      <c r="TXY2488" s="58"/>
      <c r="TXZ2488" s="60"/>
      <c r="TYA2488" s="60"/>
      <c r="TYB2488" s="60"/>
      <c r="TYC2488" s="58"/>
      <c r="TYD2488" s="61"/>
      <c r="TYE2488" s="58"/>
      <c r="TYF2488" s="58"/>
      <c r="TYG2488" s="58"/>
      <c r="TYH2488" s="60"/>
      <c r="TYI2488" s="60"/>
      <c r="TYJ2488" s="60"/>
      <c r="TYK2488" s="58"/>
      <c r="TYL2488" s="61"/>
      <c r="TYM2488" s="58"/>
      <c r="TYN2488" s="58"/>
      <c r="TYO2488" s="58"/>
      <c r="TYP2488" s="60"/>
      <c r="TYQ2488" s="60"/>
      <c r="TYR2488" s="60"/>
      <c r="TYS2488" s="58"/>
      <c r="TYT2488" s="61"/>
      <c r="TYU2488" s="58"/>
      <c r="TYV2488" s="58"/>
      <c r="TYW2488" s="58"/>
      <c r="TYX2488" s="60"/>
      <c r="TYY2488" s="60"/>
      <c r="TYZ2488" s="60"/>
      <c r="TZA2488" s="58"/>
      <c r="TZB2488" s="61"/>
      <c r="TZC2488" s="58"/>
      <c r="TZD2488" s="58"/>
      <c r="TZE2488" s="58"/>
      <c r="TZF2488" s="60"/>
      <c r="TZG2488" s="60"/>
      <c r="TZH2488" s="60"/>
      <c r="TZI2488" s="58"/>
      <c r="TZJ2488" s="61"/>
      <c r="TZK2488" s="58"/>
      <c r="TZL2488" s="58"/>
      <c r="TZM2488" s="58"/>
      <c r="TZN2488" s="60"/>
      <c r="TZO2488" s="60"/>
      <c r="TZP2488" s="60"/>
      <c r="TZQ2488" s="58"/>
      <c r="TZR2488" s="61"/>
      <c r="TZS2488" s="58"/>
      <c r="TZT2488" s="58"/>
      <c r="TZU2488" s="58"/>
      <c r="TZV2488" s="60"/>
      <c r="TZW2488" s="60"/>
      <c r="TZX2488" s="60"/>
      <c r="TZY2488" s="58"/>
      <c r="TZZ2488" s="61"/>
      <c r="UAA2488" s="58"/>
      <c r="UAB2488" s="58"/>
      <c r="UAC2488" s="58"/>
      <c r="UAD2488" s="60"/>
      <c r="UAE2488" s="60"/>
      <c r="UAF2488" s="60"/>
      <c r="UAG2488" s="58"/>
      <c r="UAH2488" s="61"/>
      <c r="UAI2488" s="58"/>
      <c r="UAJ2488" s="58"/>
      <c r="UAK2488" s="58"/>
      <c r="UAL2488" s="60"/>
      <c r="UAM2488" s="60"/>
      <c r="UAN2488" s="60"/>
      <c r="UAO2488" s="58"/>
      <c r="UAP2488" s="61"/>
      <c r="UAQ2488" s="58"/>
      <c r="UAR2488" s="58"/>
      <c r="UAS2488" s="58"/>
      <c r="UAT2488" s="60"/>
      <c r="UAU2488" s="60"/>
      <c r="UAV2488" s="60"/>
      <c r="UAW2488" s="58"/>
      <c r="UAX2488" s="61"/>
      <c r="UAY2488" s="58"/>
      <c r="UAZ2488" s="58"/>
      <c r="UBA2488" s="58"/>
      <c r="UBB2488" s="60"/>
      <c r="UBC2488" s="60"/>
      <c r="UBD2488" s="60"/>
      <c r="UBE2488" s="58"/>
      <c r="UBF2488" s="61"/>
      <c r="UBG2488" s="58"/>
      <c r="UBH2488" s="58"/>
      <c r="UBI2488" s="58"/>
      <c r="UBJ2488" s="60"/>
      <c r="UBK2488" s="60"/>
      <c r="UBL2488" s="60"/>
      <c r="UBM2488" s="58"/>
      <c r="UBN2488" s="61"/>
      <c r="UBO2488" s="58"/>
      <c r="UBP2488" s="58"/>
      <c r="UBQ2488" s="58"/>
      <c r="UBR2488" s="60"/>
      <c r="UBS2488" s="60"/>
      <c r="UBT2488" s="60"/>
      <c r="UBU2488" s="58"/>
      <c r="UBV2488" s="61"/>
      <c r="UBW2488" s="58"/>
      <c r="UBX2488" s="58"/>
      <c r="UBY2488" s="58"/>
      <c r="UBZ2488" s="60"/>
      <c r="UCA2488" s="60"/>
      <c r="UCB2488" s="60"/>
      <c r="UCC2488" s="58"/>
      <c r="UCD2488" s="61"/>
      <c r="UCE2488" s="58"/>
      <c r="UCF2488" s="58"/>
      <c r="UCG2488" s="58"/>
      <c r="UCH2488" s="60"/>
      <c r="UCI2488" s="60"/>
      <c r="UCJ2488" s="60"/>
      <c r="UCK2488" s="58"/>
      <c r="UCL2488" s="61"/>
      <c r="UCM2488" s="58"/>
      <c r="UCN2488" s="58"/>
      <c r="UCO2488" s="58"/>
      <c r="UCP2488" s="60"/>
      <c r="UCQ2488" s="60"/>
      <c r="UCR2488" s="60"/>
      <c r="UCS2488" s="58"/>
      <c r="UCT2488" s="61"/>
      <c r="UCU2488" s="58"/>
      <c r="UCV2488" s="58"/>
      <c r="UCW2488" s="58"/>
      <c r="UCX2488" s="60"/>
      <c r="UCY2488" s="60"/>
      <c r="UCZ2488" s="60"/>
      <c r="UDA2488" s="58"/>
      <c r="UDB2488" s="61"/>
      <c r="UDC2488" s="58"/>
      <c r="UDD2488" s="58"/>
      <c r="UDE2488" s="58"/>
      <c r="UDF2488" s="60"/>
      <c r="UDG2488" s="60"/>
      <c r="UDH2488" s="60"/>
      <c r="UDI2488" s="58"/>
      <c r="UDJ2488" s="61"/>
      <c r="UDK2488" s="58"/>
      <c r="UDL2488" s="58"/>
      <c r="UDM2488" s="58"/>
      <c r="UDN2488" s="60"/>
      <c r="UDO2488" s="60"/>
      <c r="UDP2488" s="60"/>
      <c r="UDQ2488" s="58"/>
      <c r="UDR2488" s="61"/>
      <c r="UDS2488" s="58"/>
      <c r="UDT2488" s="58"/>
      <c r="UDU2488" s="58"/>
      <c r="UDV2488" s="60"/>
      <c r="UDW2488" s="60"/>
      <c r="UDX2488" s="60"/>
      <c r="UDY2488" s="58"/>
      <c r="UDZ2488" s="61"/>
      <c r="UEA2488" s="58"/>
      <c r="UEB2488" s="58"/>
      <c r="UEC2488" s="58"/>
      <c r="UED2488" s="60"/>
      <c r="UEE2488" s="60"/>
      <c r="UEF2488" s="60"/>
      <c r="UEG2488" s="58"/>
      <c r="UEH2488" s="61"/>
      <c r="UEI2488" s="58"/>
      <c r="UEJ2488" s="58"/>
      <c r="UEK2488" s="58"/>
      <c r="UEL2488" s="60"/>
      <c r="UEM2488" s="60"/>
      <c r="UEN2488" s="60"/>
      <c r="UEO2488" s="58"/>
      <c r="UEP2488" s="61"/>
      <c r="UEQ2488" s="58"/>
      <c r="UER2488" s="58"/>
      <c r="UES2488" s="58"/>
      <c r="UET2488" s="60"/>
      <c r="UEU2488" s="60"/>
      <c r="UEV2488" s="60"/>
      <c r="UEW2488" s="58"/>
      <c r="UEX2488" s="61"/>
      <c r="UEY2488" s="58"/>
      <c r="UEZ2488" s="58"/>
      <c r="UFA2488" s="58"/>
      <c r="UFB2488" s="60"/>
      <c r="UFC2488" s="60"/>
      <c r="UFD2488" s="60"/>
      <c r="UFE2488" s="58"/>
      <c r="UFF2488" s="61"/>
      <c r="UFG2488" s="58"/>
      <c r="UFH2488" s="58"/>
      <c r="UFI2488" s="58"/>
      <c r="UFJ2488" s="60"/>
      <c r="UFK2488" s="60"/>
      <c r="UFL2488" s="60"/>
      <c r="UFM2488" s="58"/>
      <c r="UFN2488" s="61"/>
      <c r="UFO2488" s="58"/>
      <c r="UFP2488" s="58"/>
      <c r="UFQ2488" s="58"/>
      <c r="UFR2488" s="60"/>
      <c r="UFS2488" s="60"/>
      <c r="UFT2488" s="60"/>
      <c r="UFU2488" s="58"/>
      <c r="UFV2488" s="61"/>
      <c r="UFW2488" s="58"/>
      <c r="UFX2488" s="58"/>
      <c r="UFY2488" s="58"/>
      <c r="UFZ2488" s="60"/>
      <c r="UGA2488" s="60"/>
      <c r="UGB2488" s="60"/>
      <c r="UGC2488" s="58"/>
      <c r="UGD2488" s="61"/>
      <c r="UGE2488" s="58"/>
      <c r="UGF2488" s="58"/>
      <c r="UGG2488" s="58"/>
      <c r="UGH2488" s="60"/>
      <c r="UGI2488" s="60"/>
      <c r="UGJ2488" s="60"/>
      <c r="UGK2488" s="58"/>
      <c r="UGL2488" s="61"/>
      <c r="UGM2488" s="58"/>
      <c r="UGN2488" s="58"/>
      <c r="UGO2488" s="58"/>
      <c r="UGP2488" s="60"/>
      <c r="UGQ2488" s="60"/>
      <c r="UGR2488" s="60"/>
      <c r="UGS2488" s="58"/>
      <c r="UGT2488" s="61"/>
      <c r="UGU2488" s="58"/>
      <c r="UGV2488" s="58"/>
      <c r="UGW2488" s="58"/>
      <c r="UGX2488" s="60"/>
      <c r="UGY2488" s="60"/>
      <c r="UGZ2488" s="60"/>
      <c r="UHA2488" s="58"/>
      <c r="UHB2488" s="61"/>
      <c r="UHC2488" s="58"/>
      <c r="UHD2488" s="58"/>
      <c r="UHE2488" s="58"/>
      <c r="UHF2488" s="60"/>
      <c r="UHG2488" s="60"/>
      <c r="UHH2488" s="60"/>
      <c r="UHI2488" s="58"/>
      <c r="UHJ2488" s="61"/>
      <c r="UHK2488" s="58"/>
      <c r="UHL2488" s="58"/>
      <c r="UHM2488" s="58"/>
      <c r="UHN2488" s="60"/>
      <c r="UHO2488" s="60"/>
      <c r="UHP2488" s="60"/>
      <c r="UHQ2488" s="58"/>
      <c r="UHR2488" s="61"/>
      <c r="UHS2488" s="58"/>
      <c r="UHT2488" s="58"/>
      <c r="UHU2488" s="58"/>
      <c r="UHV2488" s="60"/>
      <c r="UHW2488" s="60"/>
      <c r="UHX2488" s="60"/>
      <c r="UHY2488" s="58"/>
      <c r="UHZ2488" s="61"/>
      <c r="UIA2488" s="58"/>
      <c r="UIB2488" s="58"/>
      <c r="UIC2488" s="58"/>
      <c r="UID2488" s="60"/>
      <c r="UIE2488" s="60"/>
      <c r="UIF2488" s="60"/>
      <c r="UIG2488" s="58"/>
      <c r="UIH2488" s="61"/>
      <c r="UII2488" s="58"/>
      <c r="UIJ2488" s="58"/>
      <c r="UIK2488" s="58"/>
      <c r="UIL2488" s="60"/>
      <c r="UIM2488" s="60"/>
      <c r="UIN2488" s="60"/>
      <c r="UIO2488" s="58"/>
      <c r="UIP2488" s="61"/>
      <c r="UIQ2488" s="58"/>
      <c r="UIR2488" s="58"/>
      <c r="UIS2488" s="58"/>
      <c r="UIT2488" s="60"/>
      <c r="UIU2488" s="60"/>
      <c r="UIV2488" s="60"/>
      <c r="UIW2488" s="58"/>
      <c r="UIX2488" s="61"/>
      <c r="UIY2488" s="58"/>
      <c r="UIZ2488" s="58"/>
      <c r="UJA2488" s="58"/>
      <c r="UJB2488" s="60"/>
      <c r="UJC2488" s="60"/>
      <c r="UJD2488" s="60"/>
      <c r="UJE2488" s="58"/>
      <c r="UJF2488" s="61"/>
      <c r="UJG2488" s="58"/>
      <c r="UJH2488" s="58"/>
      <c r="UJI2488" s="58"/>
      <c r="UJJ2488" s="60"/>
      <c r="UJK2488" s="60"/>
      <c r="UJL2488" s="60"/>
      <c r="UJM2488" s="58"/>
      <c r="UJN2488" s="61"/>
      <c r="UJO2488" s="58"/>
      <c r="UJP2488" s="58"/>
      <c r="UJQ2488" s="58"/>
      <c r="UJR2488" s="60"/>
      <c r="UJS2488" s="60"/>
      <c r="UJT2488" s="60"/>
      <c r="UJU2488" s="58"/>
      <c r="UJV2488" s="61"/>
      <c r="UJW2488" s="58"/>
      <c r="UJX2488" s="58"/>
      <c r="UJY2488" s="58"/>
      <c r="UJZ2488" s="60"/>
      <c r="UKA2488" s="60"/>
      <c r="UKB2488" s="60"/>
      <c r="UKC2488" s="58"/>
      <c r="UKD2488" s="61"/>
      <c r="UKE2488" s="58"/>
      <c r="UKF2488" s="58"/>
      <c r="UKG2488" s="58"/>
      <c r="UKH2488" s="60"/>
      <c r="UKI2488" s="60"/>
      <c r="UKJ2488" s="60"/>
      <c r="UKK2488" s="58"/>
      <c r="UKL2488" s="61"/>
      <c r="UKM2488" s="58"/>
      <c r="UKN2488" s="58"/>
      <c r="UKO2488" s="58"/>
      <c r="UKP2488" s="60"/>
      <c r="UKQ2488" s="60"/>
      <c r="UKR2488" s="60"/>
      <c r="UKS2488" s="58"/>
      <c r="UKT2488" s="61"/>
      <c r="UKU2488" s="58"/>
      <c r="UKV2488" s="58"/>
      <c r="UKW2488" s="58"/>
      <c r="UKX2488" s="60"/>
      <c r="UKY2488" s="60"/>
      <c r="UKZ2488" s="60"/>
      <c r="ULA2488" s="58"/>
      <c r="ULB2488" s="61"/>
      <c r="ULC2488" s="58"/>
      <c r="ULD2488" s="58"/>
      <c r="ULE2488" s="58"/>
      <c r="ULF2488" s="60"/>
      <c r="ULG2488" s="60"/>
      <c r="ULH2488" s="60"/>
      <c r="ULI2488" s="58"/>
      <c r="ULJ2488" s="61"/>
      <c r="ULK2488" s="58"/>
      <c r="ULL2488" s="58"/>
      <c r="ULM2488" s="58"/>
      <c r="ULN2488" s="60"/>
      <c r="ULO2488" s="60"/>
      <c r="ULP2488" s="60"/>
      <c r="ULQ2488" s="58"/>
      <c r="ULR2488" s="61"/>
      <c r="ULS2488" s="58"/>
      <c r="ULT2488" s="58"/>
      <c r="ULU2488" s="58"/>
      <c r="ULV2488" s="60"/>
      <c r="ULW2488" s="60"/>
      <c r="ULX2488" s="60"/>
      <c r="ULY2488" s="58"/>
      <c r="ULZ2488" s="61"/>
      <c r="UMA2488" s="58"/>
      <c r="UMB2488" s="58"/>
      <c r="UMC2488" s="58"/>
      <c r="UMD2488" s="60"/>
      <c r="UME2488" s="60"/>
      <c r="UMF2488" s="60"/>
      <c r="UMG2488" s="58"/>
      <c r="UMH2488" s="61"/>
      <c r="UMI2488" s="58"/>
      <c r="UMJ2488" s="58"/>
      <c r="UMK2488" s="58"/>
      <c r="UML2488" s="60"/>
      <c r="UMM2488" s="60"/>
      <c r="UMN2488" s="60"/>
      <c r="UMO2488" s="58"/>
      <c r="UMP2488" s="61"/>
      <c r="UMQ2488" s="58"/>
      <c r="UMR2488" s="58"/>
      <c r="UMS2488" s="58"/>
      <c r="UMT2488" s="60"/>
      <c r="UMU2488" s="60"/>
      <c r="UMV2488" s="60"/>
      <c r="UMW2488" s="58"/>
      <c r="UMX2488" s="61"/>
      <c r="UMY2488" s="58"/>
      <c r="UMZ2488" s="58"/>
      <c r="UNA2488" s="58"/>
      <c r="UNB2488" s="60"/>
      <c r="UNC2488" s="60"/>
      <c r="UND2488" s="60"/>
      <c r="UNE2488" s="58"/>
      <c r="UNF2488" s="61"/>
      <c r="UNG2488" s="58"/>
      <c r="UNH2488" s="58"/>
      <c r="UNI2488" s="58"/>
      <c r="UNJ2488" s="60"/>
      <c r="UNK2488" s="60"/>
      <c r="UNL2488" s="60"/>
      <c r="UNM2488" s="58"/>
      <c r="UNN2488" s="61"/>
      <c r="UNO2488" s="58"/>
      <c r="UNP2488" s="58"/>
      <c r="UNQ2488" s="58"/>
      <c r="UNR2488" s="60"/>
      <c r="UNS2488" s="60"/>
      <c r="UNT2488" s="60"/>
      <c r="UNU2488" s="58"/>
      <c r="UNV2488" s="61"/>
      <c r="UNW2488" s="58"/>
      <c r="UNX2488" s="58"/>
      <c r="UNY2488" s="58"/>
      <c r="UNZ2488" s="60"/>
      <c r="UOA2488" s="60"/>
      <c r="UOB2488" s="60"/>
      <c r="UOC2488" s="58"/>
      <c r="UOD2488" s="61"/>
      <c r="UOE2488" s="58"/>
      <c r="UOF2488" s="58"/>
      <c r="UOG2488" s="58"/>
      <c r="UOH2488" s="60"/>
      <c r="UOI2488" s="60"/>
      <c r="UOJ2488" s="60"/>
      <c r="UOK2488" s="58"/>
      <c r="UOL2488" s="61"/>
      <c r="UOM2488" s="58"/>
      <c r="UON2488" s="58"/>
      <c r="UOO2488" s="58"/>
      <c r="UOP2488" s="60"/>
      <c r="UOQ2488" s="60"/>
      <c r="UOR2488" s="60"/>
      <c r="UOS2488" s="58"/>
      <c r="UOT2488" s="61"/>
      <c r="UOU2488" s="58"/>
      <c r="UOV2488" s="58"/>
      <c r="UOW2488" s="58"/>
      <c r="UOX2488" s="60"/>
      <c r="UOY2488" s="60"/>
      <c r="UOZ2488" s="60"/>
      <c r="UPA2488" s="58"/>
      <c r="UPB2488" s="61"/>
      <c r="UPC2488" s="58"/>
      <c r="UPD2488" s="58"/>
      <c r="UPE2488" s="58"/>
      <c r="UPF2488" s="60"/>
      <c r="UPG2488" s="60"/>
      <c r="UPH2488" s="60"/>
      <c r="UPI2488" s="58"/>
      <c r="UPJ2488" s="61"/>
      <c r="UPK2488" s="58"/>
      <c r="UPL2488" s="58"/>
      <c r="UPM2488" s="58"/>
      <c r="UPN2488" s="60"/>
      <c r="UPO2488" s="60"/>
      <c r="UPP2488" s="60"/>
      <c r="UPQ2488" s="58"/>
      <c r="UPR2488" s="61"/>
      <c r="UPS2488" s="58"/>
      <c r="UPT2488" s="58"/>
      <c r="UPU2488" s="58"/>
      <c r="UPV2488" s="60"/>
      <c r="UPW2488" s="60"/>
      <c r="UPX2488" s="60"/>
      <c r="UPY2488" s="58"/>
      <c r="UPZ2488" s="61"/>
      <c r="UQA2488" s="58"/>
      <c r="UQB2488" s="58"/>
      <c r="UQC2488" s="58"/>
      <c r="UQD2488" s="60"/>
      <c r="UQE2488" s="60"/>
      <c r="UQF2488" s="60"/>
      <c r="UQG2488" s="58"/>
      <c r="UQH2488" s="61"/>
      <c r="UQI2488" s="58"/>
      <c r="UQJ2488" s="58"/>
      <c r="UQK2488" s="58"/>
      <c r="UQL2488" s="60"/>
      <c r="UQM2488" s="60"/>
      <c r="UQN2488" s="60"/>
      <c r="UQO2488" s="58"/>
      <c r="UQP2488" s="61"/>
      <c r="UQQ2488" s="58"/>
      <c r="UQR2488" s="58"/>
      <c r="UQS2488" s="58"/>
      <c r="UQT2488" s="60"/>
      <c r="UQU2488" s="60"/>
      <c r="UQV2488" s="60"/>
      <c r="UQW2488" s="58"/>
      <c r="UQX2488" s="61"/>
      <c r="UQY2488" s="58"/>
      <c r="UQZ2488" s="58"/>
      <c r="URA2488" s="58"/>
      <c r="URB2488" s="60"/>
      <c r="URC2488" s="60"/>
      <c r="URD2488" s="60"/>
      <c r="URE2488" s="58"/>
      <c r="URF2488" s="61"/>
      <c r="URG2488" s="58"/>
      <c r="URH2488" s="58"/>
      <c r="URI2488" s="58"/>
      <c r="URJ2488" s="60"/>
      <c r="URK2488" s="60"/>
      <c r="URL2488" s="60"/>
      <c r="URM2488" s="58"/>
      <c r="URN2488" s="61"/>
      <c r="URO2488" s="58"/>
      <c r="URP2488" s="58"/>
      <c r="URQ2488" s="58"/>
      <c r="URR2488" s="60"/>
      <c r="URS2488" s="60"/>
      <c r="URT2488" s="60"/>
      <c r="URU2488" s="58"/>
      <c r="URV2488" s="61"/>
      <c r="URW2488" s="58"/>
      <c r="URX2488" s="58"/>
      <c r="URY2488" s="58"/>
      <c r="URZ2488" s="60"/>
      <c r="USA2488" s="60"/>
      <c r="USB2488" s="60"/>
      <c r="USC2488" s="58"/>
      <c r="USD2488" s="61"/>
      <c r="USE2488" s="58"/>
      <c r="USF2488" s="58"/>
      <c r="USG2488" s="58"/>
      <c r="USH2488" s="60"/>
      <c r="USI2488" s="60"/>
      <c r="USJ2488" s="60"/>
      <c r="USK2488" s="58"/>
      <c r="USL2488" s="61"/>
      <c r="USM2488" s="58"/>
      <c r="USN2488" s="58"/>
      <c r="USO2488" s="58"/>
      <c r="USP2488" s="60"/>
      <c r="USQ2488" s="60"/>
      <c r="USR2488" s="60"/>
      <c r="USS2488" s="58"/>
      <c r="UST2488" s="61"/>
      <c r="USU2488" s="58"/>
      <c r="USV2488" s="58"/>
      <c r="USW2488" s="58"/>
      <c r="USX2488" s="60"/>
      <c r="USY2488" s="60"/>
      <c r="USZ2488" s="60"/>
      <c r="UTA2488" s="58"/>
      <c r="UTB2488" s="61"/>
      <c r="UTC2488" s="58"/>
      <c r="UTD2488" s="58"/>
      <c r="UTE2488" s="58"/>
      <c r="UTF2488" s="60"/>
      <c r="UTG2488" s="60"/>
      <c r="UTH2488" s="60"/>
      <c r="UTI2488" s="58"/>
      <c r="UTJ2488" s="61"/>
      <c r="UTK2488" s="58"/>
      <c r="UTL2488" s="58"/>
      <c r="UTM2488" s="58"/>
      <c r="UTN2488" s="60"/>
      <c r="UTO2488" s="60"/>
      <c r="UTP2488" s="60"/>
      <c r="UTQ2488" s="58"/>
      <c r="UTR2488" s="61"/>
      <c r="UTS2488" s="58"/>
      <c r="UTT2488" s="58"/>
      <c r="UTU2488" s="58"/>
      <c r="UTV2488" s="60"/>
      <c r="UTW2488" s="60"/>
      <c r="UTX2488" s="60"/>
      <c r="UTY2488" s="58"/>
      <c r="UTZ2488" s="61"/>
      <c r="UUA2488" s="58"/>
      <c r="UUB2488" s="58"/>
      <c r="UUC2488" s="58"/>
      <c r="UUD2488" s="60"/>
      <c r="UUE2488" s="60"/>
      <c r="UUF2488" s="60"/>
      <c r="UUG2488" s="58"/>
      <c r="UUH2488" s="61"/>
      <c r="UUI2488" s="58"/>
      <c r="UUJ2488" s="58"/>
      <c r="UUK2488" s="58"/>
      <c r="UUL2488" s="60"/>
      <c r="UUM2488" s="60"/>
      <c r="UUN2488" s="60"/>
      <c r="UUO2488" s="58"/>
      <c r="UUP2488" s="61"/>
      <c r="UUQ2488" s="58"/>
      <c r="UUR2488" s="58"/>
      <c r="UUS2488" s="58"/>
      <c r="UUT2488" s="60"/>
      <c r="UUU2488" s="60"/>
      <c r="UUV2488" s="60"/>
      <c r="UUW2488" s="58"/>
      <c r="UUX2488" s="61"/>
      <c r="UUY2488" s="58"/>
      <c r="UUZ2488" s="58"/>
      <c r="UVA2488" s="58"/>
      <c r="UVB2488" s="60"/>
      <c r="UVC2488" s="60"/>
      <c r="UVD2488" s="60"/>
      <c r="UVE2488" s="58"/>
      <c r="UVF2488" s="61"/>
      <c r="UVG2488" s="58"/>
      <c r="UVH2488" s="58"/>
      <c r="UVI2488" s="58"/>
      <c r="UVJ2488" s="60"/>
      <c r="UVK2488" s="60"/>
      <c r="UVL2488" s="60"/>
      <c r="UVM2488" s="58"/>
      <c r="UVN2488" s="61"/>
      <c r="UVO2488" s="58"/>
      <c r="UVP2488" s="58"/>
      <c r="UVQ2488" s="58"/>
      <c r="UVR2488" s="60"/>
      <c r="UVS2488" s="60"/>
      <c r="UVT2488" s="60"/>
      <c r="UVU2488" s="58"/>
      <c r="UVV2488" s="61"/>
      <c r="UVW2488" s="58"/>
      <c r="UVX2488" s="58"/>
      <c r="UVY2488" s="58"/>
      <c r="UVZ2488" s="60"/>
      <c r="UWA2488" s="60"/>
      <c r="UWB2488" s="60"/>
      <c r="UWC2488" s="58"/>
      <c r="UWD2488" s="61"/>
      <c r="UWE2488" s="58"/>
      <c r="UWF2488" s="58"/>
      <c r="UWG2488" s="58"/>
      <c r="UWH2488" s="60"/>
      <c r="UWI2488" s="60"/>
      <c r="UWJ2488" s="60"/>
      <c r="UWK2488" s="58"/>
      <c r="UWL2488" s="61"/>
      <c r="UWM2488" s="58"/>
      <c r="UWN2488" s="58"/>
      <c r="UWO2488" s="58"/>
      <c r="UWP2488" s="60"/>
      <c r="UWQ2488" s="60"/>
      <c r="UWR2488" s="60"/>
      <c r="UWS2488" s="58"/>
      <c r="UWT2488" s="61"/>
      <c r="UWU2488" s="58"/>
      <c r="UWV2488" s="58"/>
      <c r="UWW2488" s="58"/>
      <c r="UWX2488" s="60"/>
      <c r="UWY2488" s="60"/>
      <c r="UWZ2488" s="60"/>
      <c r="UXA2488" s="58"/>
      <c r="UXB2488" s="61"/>
      <c r="UXC2488" s="58"/>
      <c r="UXD2488" s="58"/>
      <c r="UXE2488" s="58"/>
      <c r="UXF2488" s="60"/>
      <c r="UXG2488" s="60"/>
      <c r="UXH2488" s="60"/>
      <c r="UXI2488" s="58"/>
      <c r="UXJ2488" s="61"/>
      <c r="UXK2488" s="58"/>
      <c r="UXL2488" s="58"/>
      <c r="UXM2488" s="58"/>
      <c r="UXN2488" s="60"/>
      <c r="UXO2488" s="60"/>
      <c r="UXP2488" s="60"/>
      <c r="UXQ2488" s="58"/>
      <c r="UXR2488" s="61"/>
      <c r="UXS2488" s="58"/>
      <c r="UXT2488" s="58"/>
      <c r="UXU2488" s="58"/>
      <c r="UXV2488" s="60"/>
      <c r="UXW2488" s="60"/>
      <c r="UXX2488" s="60"/>
      <c r="UXY2488" s="58"/>
      <c r="UXZ2488" s="61"/>
      <c r="UYA2488" s="58"/>
      <c r="UYB2488" s="58"/>
      <c r="UYC2488" s="58"/>
      <c r="UYD2488" s="60"/>
      <c r="UYE2488" s="60"/>
      <c r="UYF2488" s="60"/>
      <c r="UYG2488" s="58"/>
      <c r="UYH2488" s="61"/>
      <c r="UYI2488" s="58"/>
      <c r="UYJ2488" s="58"/>
      <c r="UYK2488" s="58"/>
      <c r="UYL2488" s="60"/>
      <c r="UYM2488" s="60"/>
      <c r="UYN2488" s="60"/>
      <c r="UYO2488" s="58"/>
      <c r="UYP2488" s="61"/>
      <c r="UYQ2488" s="58"/>
      <c r="UYR2488" s="58"/>
      <c r="UYS2488" s="58"/>
      <c r="UYT2488" s="60"/>
      <c r="UYU2488" s="60"/>
      <c r="UYV2488" s="60"/>
      <c r="UYW2488" s="58"/>
      <c r="UYX2488" s="61"/>
      <c r="UYY2488" s="58"/>
      <c r="UYZ2488" s="58"/>
      <c r="UZA2488" s="58"/>
      <c r="UZB2488" s="60"/>
      <c r="UZC2488" s="60"/>
      <c r="UZD2488" s="60"/>
      <c r="UZE2488" s="58"/>
      <c r="UZF2488" s="61"/>
      <c r="UZG2488" s="58"/>
      <c r="UZH2488" s="58"/>
      <c r="UZI2488" s="58"/>
      <c r="UZJ2488" s="60"/>
      <c r="UZK2488" s="60"/>
      <c r="UZL2488" s="60"/>
      <c r="UZM2488" s="58"/>
      <c r="UZN2488" s="61"/>
      <c r="UZO2488" s="58"/>
      <c r="UZP2488" s="58"/>
      <c r="UZQ2488" s="58"/>
      <c r="UZR2488" s="60"/>
      <c r="UZS2488" s="60"/>
      <c r="UZT2488" s="60"/>
      <c r="UZU2488" s="58"/>
      <c r="UZV2488" s="61"/>
      <c r="UZW2488" s="58"/>
      <c r="UZX2488" s="58"/>
      <c r="UZY2488" s="58"/>
      <c r="UZZ2488" s="60"/>
      <c r="VAA2488" s="60"/>
      <c r="VAB2488" s="60"/>
      <c r="VAC2488" s="58"/>
      <c r="VAD2488" s="61"/>
      <c r="VAE2488" s="58"/>
      <c r="VAF2488" s="58"/>
      <c r="VAG2488" s="58"/>
      <c r="VAH2488" s="60"/>
      <c r="VAI2488" s="60"/>
      <c r="VAJ2488" s="60"/>
      <c r="VAK2488" s="58"/>
      <c r="VAL2488" s="61"/>
      <c r="VAM2488" s="58"/>
      <c r="VAN2488" s="58"/>
      <c r="VAO2488" s="58"/>
      <c r="VAP2488" s="60"/>
      <c r="VAQ2488" s="60"/>
      <c r="VAR2488" s="60"/>
      <c r="VAS2488" s="58"/>
      <c r="VAT2488" s="61"/>
      <c r="VAU2488" s="58"/>
      <c r="VAV2488" s="58"/>
      <c r="VAW2488" s="58"/>
      <c r="VAX2488" s="60"/>
      <c r="VAY2488" s="60"/>
      <c r="VAZ2488" s="60"/>
      <c r="VBA2488" s="58"/>
      <c r="VBB2488" s="61"/>
      <c r="VBC2488" s="58"/>
      <c r="VBD2488" s="58"/>
      <c r="VBE2488" s="58"/>
      <c r="VBF2488" s="60"/>
      <c r="VBG2488" s="60"/>
      <c r="VBH2488" s="60"/>
      <c r="VBI2488" s="58"/>
      <c r="VBJ2488" s="61"/>
      <c r="VBK2488" s="58"/>
      <c r="VBL2488" s="58"/>
      <c r="VBM2488" s="58"/>
      <c r="VBN2488" s="60"/>
      <c r="VBO2488" s="60"/>
      <c r="VBP2488" s="60"/>
      <c r="VBQ2488" s="58"/>
      <c r="VBR2488" s="61"/>
      <c r="VBS2488" s="58"/>
      <c r="VBT2488" s="58"/>
      <c r="VBU2488" s="58"/>
      <c r="VBV2488" s="60"/>
      <c r="VBW2488" s="60"/>
      <c r="VBX2488" s="60"/>
      <c r="VBY2488" s="58"/>
      <c r="VBZ2488" s="61"/>
      <c r="VCA2488" s="58"/>
      <c r="VCB2488" s="58"/>
      <c r="VCC2488" s="58"/>
      <c r="VCD2488" s="60"/>
      <c r="VCE2488" s="60"/>
      <c r="VCF2488" s="60"/>
      <c r="VCG2488" s="58"/>
      <c r="VCH2488" s="61"/>
      <c r="VCI2488" s="58"/>
      <c r="VCJ2488" s="58"/>
      <c r="VCK2488" s="58"/>
      <c r="VCL2488" s="60"/>
      <c r="VCM2488" s="60"/>
      <c r="VCN2488" s="60"/>
      <c r="VCO2488" s="58"/>
      <c r="VCP2488" s="61"/>
      <c r="VCQ2488" s="58"/>
      <c r="VCR2488" s="58"/>
      <c r="VCS2488" s="58"/>
      <c r="VCT2488" s="60"/>
      <c r="VCU2488" s="60"/>
      <c r="VCV2488" s="60"/>
      <c r="VCW2488" s="58"/>
      <c r="VCX2488" s="61"/>
      <c r="VCY2488" s="58"/>
      <c r="VCZ2488" s="58"/>
      <c r="VDA2488" s="58"/>
      <c r="VDB2488" s="60"/>
      <c r="VDC2488" s="60"/>
      <c r="VDD2488" s="60"/>
      <c r="VDE2488" s="58"/>
      <c r="VDF2488" s="61"/>
      <c r="VDG2488" s="58"/>
      <c r="VDH2488" s="58"/>
      <c r="VDI2488" s="58"/>
      <c r="VDJ2488" s="60"/>
      <c r="VDK2488" s="60"/>
      <c r="VDL2488" s="60"/>
      <c r="VDM2488" s="58"/>
      <c r="VDN2488" s="61"/>
      <c r="VDO2488" s="58"/>
      <c r="VDP2488" s="58"/>
      <c r="VDQ2488" s="58"/>
      <c r="VDR2488" s="60"/>
      <c r="VDS2488" s="60"/>
      <c r="VDT2488" s="60"/>
      <c r="VDU2488" s="58"/>
      <c r="VDV2488" s="61"/>
      <c r="VDW2488" s="58"/>
      <c r="VDX2488" s="58"/>
      <c r="VDY2488" s="58"/>
      <c r="VDZ2488" s="60"/>
      <c r="VEA2488" s="60"/>
      <c r="VEB2488" s="60"/>
      <c r="VEC2488" s="58"/>
      <c r="VED2488" s="61"/>
      <c r="VEE2488" s="58"/>
      <c r="VEF2488" s="58"/>
      <c r="VEG2488" s="58"/>
      <c r="VEH2488" s="60"/>
      <c r="VEI2488" s="60"/>
      <c r="VEJ2488" s="60"/>
      <c r="VEK2488" s="58"/>
      <c r="VEL2488" s="61"/>
      <c r="VEM2488" s="58"/>
      <c r="VEN2488" s="58"/>
      <c r="VEO2488" s="58"/>
      <c r="VEP2488" s="60"/>
      <c r="VEQ2488" s="60"/>
      <c r="VER2488" s="60"/>
      <c r="VES2488" s="58"/>
      <c r="VET2488" s="61"/>
      <c r="VEU2488" s="58"/>
      <c r="VEV2488" s="58"/>
      <c r="VEW2488" s="58"/>
      <c r="VEX2488" s="60"/>
      <c r="VEY2488" s="60"/>
      <c r="VEZ2488" s="60"/>
      <c r="VFA2488" s="58"/>
      <c r="VFB2488" s="61"/>
      <c r="VFC2488" s="58"/>
      <c r="VFD2488" s="58"/>
      <c r="VFE2488" s="58"/>
      <c r="VFF2488" s="60"/>
      <c r="VFG2488" s="60"/>
      <c r="VFH2488" s="60"/>
      <c r="VFI2488" s="58"/>
      <c r="VFJ2488" s="61"/>
      <c r="VFK2488" s="58"/>
      <c r="VFL2488" s="58"/>
      <c r="VFM2488" s="58"/>
      <c r="VFN2488" s="60"/>
      <c r="VFO2488" s="60"/>
      <c r="VFP2488" s="60"/>
      <c r="VFQ2488" s="58"/>
      <c r="VFR2488" s="61"/>
      <c r="VFS2488" s="58"/>
      <c r="VFT2488" s="58"/>
      <c r="VFU2488" s="58"/>
      <c r="VFV2488" s="60"/>
      <c r="VFW2488" s="60"/>
      <c r="VFX2488" s="60"/>
      <c r="VFY2488" s="58"/>
      <c r="VFZ2488" s="61"/>
      <c r="VGA2488" s="58"/>
      <c r="VGB2488" s="58"/>
      <c r="VGC2488" s="58"/>
      <c r="VGD2488" s="60"/>
      <c r="VGE2488" s="60"/>
      <c r="VGF2488" s="60"/>
      <c r="VGG2488" s="58"/>
      <c r="VGH2488" s="61"/>
      <c r="VGI2488" s="58"/>
      <c r="VGJ2488" s="58"/>
      <c r="VGK2488" s="58"/>
      <c r="VGL2488" s="60"/>
      <c r="VGM2488" s="60"/>
      <c r="VGN2488" s="60"/>
      <c r="VGO2488" s="58"/>
      <c r="VGP2488" s="61"/>
      <c r="VGQ2488" s="58"/>
      <c r="VGR2488" s="58"/>
      <c r="VGS2488" s="58"/>
      <c r="VGT2488" s="60"/>
      <c r="VGU2488" s="60"/>
      <c r="VGV2488" s="60"/>
      <c r="VGW2488" s="58"/>
      <c r="VGX2488" s="61"/>
      <c r="VGY2488" s="58"/>
      <c r="VGZ2488" s="58"/>
      <c r="VHA2488" s="58"/>
      <c r="VHB2488" s="60"/>
      <c r="VHC2488" s="60"/>
      <c r="VHD2488" s="60"/>
      <c r="VHE2488" s="58"/>
      <c r="VHF2488" s="61"/>
      <c r="VHG2488" s="58"/>
      <c r="VHH2488" s="58"/>
      <c r="VHI2488" s="58"/>
      <c r="VHJ2488" s="60"/>
      <c r="VHK2488" s="60"/>
      <c r="VHL2488" s="60"/>
      <c r="VHM2488" s="58"/>
      <c r="VHN2488" s="61"/>
      <c r="VHO2488" s="58"/>
      <c r="VHP2488" s="58"/>
      <c r="VHQ2488" s="58"/>
      <c r="VHR2488" s="60"/>
      <c r="VHS2488" s="60"/>
      <c r="VHT2488" s="60"/>
      <c r="VHU2488" s="58"/>
      <c r="VHV2488" s="61"/>
      <c r="VHW2488" s="58"/>
      <c r="VHX2488" s="58"/>
      <c r="VHY2488" s="58"/>
      <c r="VHZ2488" s="60"/>
      <c r="VIA2488" s="60"/>
      <c r="VIB2488" s="60"/>
      <c r="VIC2488" s="58"/>
      <c r="VID2488" s="61"/>
      <c r="VIE2488" s="58"/>
      <c r="VIF2488" s="58"/>
      <c r="VIG2488" s="58"/>
      <c r="VIH2488" s="60"/>
      <c r="VII2488" s="60"/>
      <c r="VIJ2488" s="60"/>
      <c r="VIK2488" s="58"/>
      <c r="VIL2488" s="61"/>
      <c r="VIM2488" s="58"/>
      <c r="VIN2488" s="58"/>
      <c r="VIO2488" s="58"/>
      <c r="VIP2488" s="60"/>
      <c r="VIQ2488" s="60"/>
      <c r="VIR2488" s="60"/>
      <c r="VIS2488" s="58"/>
      <c r="VIT2488" s="61"/>
      <c r="VIU2488" s="58"/>
      <c r="VIV2488" s="58"/>
      <c r="VIW2488" s="58"/>
      <c r="VIX2488" s="60"/>
      <c r="VIY2488" s="60"/>
      <c r="VIZ2488" s="60"/>
      <c r="VJA2488" s="58"/>
      <c r="VJB2488" s="61"/>
      <c r="VJC2488" s="58"/>
      <c r="VJD2488" s="58"/>
      <c r="VJE2488" s="58"/>
      <c r="VJF2488" s="60"/>
      <c r="VJG2488" s="60"/>
      <c r="VJH2488" s="60"/>
      <c r="VJI2488" s="58"/>
      <c r="VJJ2488" s="61"/>
      <c r="VJK2488" s="58"/>
      <c r="VJL2488" s="58"/>
      <c r="VJM2488" s="58"/>
      <c r="VJN2488" s="60"/>
      <c r="VJO2488" s="60"/>
      <c r="VJP2488" s="60"/>
      <c r="VJQ2488" s="58"/>
      <c r="VJR2488" s="61"/>
      <c r="VJS2488" s="58"/>
      <c r="VJT2488" s="58"/>
      <c r="VJU2488" s="58"/>
      <c r="VJV2488" s="60"/>
      <c r="VJW2488" s="60"/>
      <c r="VJX2488" s="60"/>
      <c r="VJY2488" s="58"/>
      <c r="VJZ2488" s="61"/>
      <c r="VKA2488" s="58"/>
      <c r="VKB2488" s="58"/>
      <c r="VKC2488" s="58"/>
      <c r="VKD2488" s="60"/>
      <c r="VKE2488" s="60"/>
      <c r="VKF2488" s="60"/>
      <c r="VKG2488" s="58"/>
      <c r="VKH2488" s="61"/>
      <c r="VKI2488" s="58"/>
      <c r="VKJ2488" s="58"/>
      <c r="VKK2488" s="58"/>
      <c r="VKL2488" s="60"/>
      <c r="VKM2488" s="60"/>
      <c r="VKN2488" s="60"/>
      <c r="VKO2488" s="58"/>
      <c r="VKP2488" s="61"/>
      <c r="VKQ2488" s="58"/>
      <c r="VKR2488" s="58"/>
      <c r="VKS2488" s="58"/>
      <c r="VKT2488" s="60"/>
      <c r="VKU2488" s="60"/>
      <c r="VKV2488" s="60"/>
      <c r="VKW2488" s="58"/>
      <c r="VKX2488" s="61"/>
      <c r="VKY2488" s="58"/>
      <c r="VKZ2488" s="58"/>
      <c r="VLA2488" s="58"/>
      <c r="VLB2488" s="60"/>
      <c r="VLC2488" s="60"/>
      <c r="VLD2488" s="60"/>
      <c r="VLE2488" s="58"/>
      <c r="VLF2488" s="61"/>
      <c r="VLG2488" s="58"/>
      <c r="VLH2488" s="58"/>
      <c r="VLI2488" s="58"/>
      <c r="VLJ2488" s="60"/>
      <c r="VLK2488" s="60"/>
      <c r="VLL2488" s="60"/>
      <c r="VLM2488" s="58"/>
      <c r="VLN2488" s="61"/>
      <c r="VLO2488" s="58"/>
      <c r="VLP2488" s="58"/>
      <c r="VLQ2488" s="58"/>
      <c r="VLR2488" s="60"/>
      <c r="VLS2488" s="60"/>
      <c r="VLT2488" s="60"/>
      <c r="VLU2488" s="58"/>
      <c r="VLV2488" s="61"/>
      <c r="VLW2488" s="58"/>
      <c r="VLX2488" s="58"/>
      <c r="VLY2488" s="58"/>
      <c r="VLZ2488" s="60"/>
      <c r="VMA2488" s="60"/>
      <c r="VMB2488" s="60"/>
      <c r="VMC2488" s="58"/>
      <c r="VMD2488" s="61"/>
      <c r="VME2488" s="58"/>
      <c r="VMF2488" s="58"/>
      <c r="VMG2488" s="58"/>
      <c r="VMH2488" s="60"/>
      <c r="VMI2488" s="60"/>
      <c r="VMJ2488" s="60"/>
      <c r="VMK2488" s="58"/>
      <c r="VML2488" s="61"/>
      <c r="VMM2488" s="58"/>
      <c r="VMN2488" s="58"/>
      <c r="VMO2488" s="58"/>
      <c r="VMP2488" s="60"/>
      <c r="VMQ2488" s="60"/>
      <c r="VMR2488" s="60"/>
      <c r="VMS2488" s="58"/>
      <c r="VMT2488" s="61"/>
      <c r="VMU2488" s="58"/>
      <c r="VMV2488" s="58"/>
      <c r="VMW2488" s="58"/>
      <c r="VMX2488" s="60"/>
      <c r="VMY2488" s="60"/>
      <c r="VMZ2488" s="60"/>
      <c r="VNA2488" s="58"/>
      <c r="VNB2488" s="61"/>
      <c r="VNC2488" s="58"/>
      <c r="VND2488" s="58"/>
      <c r="VNE2488" s="58"/>
      <c r="VNF2488" s="60"/>
      <c r="VNG2488" s="60"/>
      <c r="VNH2488" s="60"/>
      <c r="VNI2488" s="58"/>
      <c r="VNJ2488" s="61"/>
      <c r="VNK2488" s="58"/>
      <c r="VNL2488" s="58"/>
      <c r="VNM2488" s="58"/>
      <c r="VNN2488" s="60"/>
      <c r="VNO2488" s="60"/>
      <c r="VNP2488" s="60"/>
      <c r="VNQ2488" s="58"/>
      <c r="VNR2488" s="61"/>
      <c r="VNS2488" s="58"/>
      <c r="VNT2488" s="58"/>
      <c r="VNU2488" s="58"/>
      <c r="VNV2488" s="60"/>
      <c r="VNW2488" s="60"/>
      <c r="VNX2488" s="60"/>
      <c r="VNY2488" s="58"/>
      <c r="VNZ2488" s="61"/>
      <c r="VOA2488" s="58"/>
      <c r="VOB2488" s="58"/>
      <c r="VOC2488" s="58"/>
      <c r="VOD2488" s="60"/>
      <c r="VOE2488" s="60"/>
      <c r="VOF2488" s="60"/>
      <c r="VOG2488" s="58"/>
      <c r="VOH2488" s="61"/>
      <c r="VOI2488" s="58"/>
      <c r="VOJ2488" s="58"/>
      <c r="VOK2488" s="58"/>
      <c r="VOL2488" s="60"/>
      <c r="VOM2488" s="60"/>
      <c r="VON2488" s="60"/>
      <c r="VOO2488" s="58"/>
      <c r="VOP2488" s="61"/>
      <c r="VOQ2488" s="58"/>
      <c r="VOR2488" s="58"/>
      <c r="VOS2488" s="58"/>
      <c r="VOT2488" s="60"/>
      <c r="VOU2488" s="60"/>
      <c r="VOV2488" s="60"/>
      <c r="VOW2488" s="58"/>
      <c r="VOX2488" s="61"/>
      <c r="VOY2488" s="58"/>
      <c r="VOZ2488" s="58"/>
      <c r="VPA2488" s="58"/>
      <c r="VPB2488" s="60"/>
      <c r="VPC2488" s="60"/>
      <c r="VPD2488" s="60"/>
      <c r="VPE2488" s="58"/>
      <c r="VPF2488" s="61"/>
      <c r="VPG2488" s="58"/>
      <c r="VPH2488" s="58"/>
      <c r="VPI2488" s="58"/>
      <c r="VPJ2488" s="60"/>
      <c r="VPK2488" s="60"/>
      <c r="VPL2488" s="60"/>
      <c r="VPM2488" s="58"/>
      <c r="VPN2488" s="61"/>
      <c r="VPO2488" s="58"/>
      <c r="VPP2488" s="58"/>
      <c r="VPQ2488" s="58"/>
      <c r="VPR2488" s="60"/>
      <c r="VPS2488" s="60"/>
      <c r="VPT2488" s="60"/>
      <c r="VPU2488" s="58"/>
      <c r="VPV2488" s="61"/>
      <c r="VPW2488" s="58"/>
      <c r="VPX2488" s="58"/>
      <c r="VPY2488" s="58"/>
      <c r="VPZ2488" s="60"/>
      <c r="VQA2488" s="60"/>
      <c r="VQB2488" s="60"/>
      <c r="VQC2488" s="58"/>
      <c r="VQD2488" s="61"/>
      <c r="VQE2488" s="58"/>
      <c r="VQF2488" s="58"/>
      <c r="VQG2488" s="58"/>
      <c r="VQH2488" s="60"/>
      <c r="VQI2488" s="60"/>
      <c r="VQJ2488" s="60"/>
      <c r="VQK2488" s="58"/>
      <c r="VQL2488" s="61"/>
      <c r="VQM2488" s="58"/>
      <c r="VQN2488" s="58"/>
      <c r="VQO2488" s="58"/>
      <c r="VQP2488" s="60"/>
      <c r="VQQ2488" s="60"/>
      <c r="VQR2488" s="60"/>
      <c r="VQS2488" s="58"/>
      <c r="VQT2488" s="61"/>
      <c r="VQU2488" s="58"/>
      <c r="VQV2488" s="58"/>
      <c r="VQW2488" s="58"/>
      <c r="VQX2488" s="60"/>
      <c r="VQY2488" s="60"/>
      <c r="VQZ2488" s="60"/>
      <c r="VRA2488" s="58"/>
      <c r="VRB2488" s="61"/>
      <c r="VRC2488" s="58"/>
      <c r="VRD2488" s="58"/>
      <c r="VRE2488" s="58"/>
      <c r="VRF2488" s="60"/>
      <c r="VRG2488" s="60"/>
      <c r="VRH2488" s="60"/>
      <c r="VRI2488" s="58"/>
      <c r="VRJ2488" s="61"/>
      <c r="VRK2488" s="58"/>
      <c r="VRL2488" s="58"/>
      <c r="VRM2488" s="58"/>
      <c r="VRN2488" s="60"/>
      <c r="VRO2488" s="60"/>
      <c r="VRP2488" s="60"/>
      <c r="VRQ2488" s="58"/>
      <c r="VRR2488" s="61"/>
      <c r="VRS2488" s="58"/>
      <c r="VRT2488" s="58"/>
      <c r="VRU2488" s="58"/>
      <c r="VRV2488" s="60"/>
      <c r="VRW2488" s="60"/>
      <c r="VRX2488" s="60"/>
      <c r="VRY2488" s="58"/>
      <c r="VRZ2488" s="61"/>
      <c r="VSA2488" s="58"/>
      <c r="VSB2488" s="58"/>
      <c r="VSC2488" s="58"/>
      <c r="VSD2488" s="60"/>
      <c r="VSE2488" s="60"/>
      <c r="VSF2488" s="60"/>
      <c r="VSG2488" s="58"/>
      <c r="VSH2488" s="61"/>
      <c r="VSI2488" s="58"/>
      <c r="VSJ2488" s="58"/>
      <c r="VSK2488" s="58"/>
      <c r="VSL2488" s="60"/>
      <c r="VSM2488" s="60"/>
      <c r="VSN2488" s="60"/>
      <c r="VSO2488" s="58"/>
      <c r="VSP2488" s="61"/>
      <c r="VSQ2488" s="58"/>
      <c r="VSR2488" s="58"/>
      <c r="VSS2488" s="58"/>
      <c r="VST2488" s="60"/>
      <c r="VSU2488" s="60"/>
      <c r="VSV2488" s="60"/>
      <c r="VSW2488" s="58"/>
      <c r="VSX2488" s="61"/>
      <c r="VSY2488" s="58"/>
      <c r="VSZ2488" s="58"/>
      <c r="VTA2488" s="58"/>
      <c r="VTB2488" s="60"/>
      <c r="VTC2488" s="60"/>
      <c r="VTD2488" s="60"/>
      <c r="VTE2488" s="58"/>
      <c r="VTF2488" s="61"/>
      <c r="VTG2488" s="58"/>
      <c r="VTH2488" s="58"/>
      <c r="VTI2488" s="58"/>
      <c r="VTJ2488" s="60"/>
      <c r="VTK2488" s="60"/>
      <c r="VTL2488" s="60"/>
      <c r="VTM2488" s="58"/>
      <c r="VTN2488" s="61"/>
      <c r="VTO2488" s="58"/>
      <c r="VTP2488" s="58"/>
      <c r="VTQ2488" s="58"/>
      <c r="VTR2488" s="60"/>
      <c r="VTS2488" s="60"/>
      <c r="VTT2488" s="60"/>
      <c r="VTU2488" s="58"/>
      <c r="VTV2488" s="61"/>
      <c r="VTW2488" s="58"/>
      <c r="VTX2488" s="58"/>
      <c r="VTY2488" s="58"/>
      <c r="VTZ2488" s="60"/>
      <c r="VUA2488" s="60"/>
      <c r="VUB2488" s="60"/>
      <c r="VUC2488" s="58"/>
      <c r="VUD2488" s="61"/>
      <c r="VUE2488" s="58"/>
      <c r="VUF2488" s="58"/>
      <c r="VUG2488" s="58"/>
      <c r="VUH2488" s="60"/>
      <c r="VUI2488" s="60"/>
      <c r="VUJ2488" s="60"/>
      <c r="VUK2488" s="58"/>
      <c r="VUL2488" s="61"/>
      <c r="VUM2488" s="58"/>
      <c r="VUN2488" s="58"/>
      <c r="VUO2488" s="58"/>
      <c r="VUP2488" s="60"/>
      <c r="VUQ2488" s="60"/>
      <c r="VUR2488" s="60"/>
      <c r="VUS2488" s="58"/>
      <c r="VUT2488" s="61"/>
      <c r="VUU2488" s="58"/>
      <c r="VUV2488" s="58"/>
      <c r="VUW2488" s="58"/>
      <c r="VUX2488" s="60"/>
      <c r="VUY2488" s="60"/>
      <c r="VUZ2488" s="60"/>
      <c r="VVA2488" s="58"/>
      <c r="VVB2488" s="61"/>
      <c r="VVC2488" s="58"/>
      <c r="VVD2488" s="58"/>
      <c r="VVE2488" s="58"/>
      <c r="VVF2488" s="60"/>
      <c r="VVG2488" s="60"/>
      <c r="VVH2488" s="60"/>
      <c r="VVI2488" s="58"/>
      <c r="VVJ2488" s="61"/>
      <c r="VVK2488" s="58"/>
      <c r="VVL2488" s="58"/>
      <c r="VVM2488" s="58"/>
      <c r="VVN2488" s="60"/>
      <c r="VVO2488" s="60"/>
      <c r="VVP2488" s="60"/>
      <c r="VVQ2488" s="58"/>
      <c r="VVR2488" s="61"/>
      <c r="VVS2488" s="58"/>
      <c r="VVT2488" s="58"/>
      <c r="VVU2488" s="58"/>
      <c r="VVV2488" s="60"/>
      <c r="VVW2488" s="60"/>
      <c r="VVX2488" s="60"/>
      <c r="VVY2488" s="58"/>
      <c r="VVZ2488" s="61"/>
      <c r="VWA2488" s="58"/>
      <c r="VWB2488" s="58"/>
      <c r="VWC2488" s="58"/>
      <c r="VWD2488" s="60"/>
      <c r="VWE2488" s="60"/>
      <c r="VWF2488" s="60"/>
      <c r="VWG2488" s="58"/>
      <c r="VWH2488" s="61"/>
      <c r="VWI2488" s="58"/>
      <c r="VWJ2488" s="58"/>
      <c r="VWK2488" s="58"/>
      <c r="VWL2488" s="60"/>
      <c r="VWM2488" s="60"/>
      <c r="VWN2488" s="60"/>
      <c r="VWO2488" s="58"/>
      <c r="VWP2488" s="61"/>
      <c r="VWQ2488" s="58"/>
      <c r="VWR2488" s="58"/>
      <c r="VWS2488" s="58"/>
      <c r="VWT2488" s="60"/>
      <c r="VWU2488" s="60"/>
      <c r="VWV2488" s="60"/>
      <c r="VWW2488" s="58"/>
      <c r="VWX2488" s="61"/>
      <c r="VWY2488" s="58"/>
      <c r="VWZ2488" s="58"/>
      <c r="VXA2488" s="58"/>
      <c r="VXB2488" s="60"/>
      <c r="VXC2488" s="60"/>
      <c r="VXD2488" s="60"/>
      <c r="VXE2488" s="58"/>
      <c r="VXF2488" s="61"/>
      <c r="VXG2488" s="58"/>
      <c r="VXH2488" s="58"/>
      <c r="VXI2488" s="58"/>
      <c r="VXJ2488" s="60"/>
      <c r="VXK2488" s="60"/>
      <c r="VXL2488" s="60"/>
      <c r="VXM2488" s="58"/>
      <c r="VXN2488" s="61"/>
      <c r="VXO2488" s="58"/>
      <c r="VXP2488" s="58"/>
      <c r="VXQ2488" s="58"/>
      <c r="VXR2488" s="60"/>
      <c r="VXS2488" s="60"/>
      <c r="VXT2488" s="60"/>
      <c r="VXU2488" s="58"/>
      <c r="VXV2488" s="61"/>
      <c r="VXW2488" s="58"/>
      <c r="VXX2488" s="58"/>
      <c r="VXY2488" s="58"/>
      <c r="VXZ2488" s="60"/>
      <c r="VYA2488" s="60"/>
      <c r="VYB2488" s="60"/>
      <c r="VYC2488" s="58"/>
      <c r="VYD2488" s="61"/>
      <c r="VYE2488" s="58"/>
      <c r="VYF2488" s="58"/>
      <c r="VYG2488" s="58"/>
      <c r="VYH2488" s="60"/>
      <c r="VYI2488" s="60"/>
      <c r="VYJ2488" s="60"/>
      <c r="VYK2488" s="58"/>
      <c r="VYL2488" s="61"/>
      <c r="VYM2488" s="58"/>
      <c r="VYN2488" s="58"/>
      <c r="VYO2488" s="58"/>
      <c r="VYP2488" s="60"/>
      <c r="VYQ2488" s="60"/>
      <c r="VYR2488" s="60"/>
      <c r="VYS2488" s="58"/>
      <c r="VYT2488" s="61"/>
      <c r="VYU2488" s="58"/>
      <c r="VYV2488" s="58"/>
      <c r="VYW2488" s="58"/>
      <c r="VYX2488" s="60"/>
      <c r="VYY2488" s="60"/>
      <c r="VYZ2488" s="60"/>
      <c r="VZA2488" s="58"/>
      <c r="VZB2488" s="61"/>
      <c r="VZC2488" s="58"/>
      <c r="VZD2488" s="58"/>
      <c r="VZE2488" s="58"/>
      <c r="VZF2488" s="60"/>
      <c r="VZG2488" s="60"/>
      <c r="VZH2488" s="60"/>
      <c r="VZI2488" s="58"/>
      <c r="VZJ2488" s="61"/>
      <c r="VZK2488" s="58"/>
      <c r="VZL2488" s="58"/>
      <c r="VZM2488" s="58"/>
      <c r="VZN2488" s="60"/>
      <c r="VZO2488" s="60"/>
      <c r="VZP2488" s="60"/>
      <c r="VZQ2488" s="58"/>
      <c r="VZR2488" s="61"/>
      <c r="VZS2488" s="58"/>
      <c r="VZT2488" s="58"/>
      <c r="VZU2488" s="58"/>
      <c r="VZV2488" s="60"/>
      <c r="VZW2488" s="60"/>
      <c r="VZX2488" s="60"/>
      <c r="VZY2488" s="58"/>
      <c r="VZZ2488" s="61"/>
      <c r="WAA2488" s="58"/>
      <c r="WAB2488" s="58"/>
      <c r="WAC2488" s="58"/>
      <c r="WAD2488" s="60"/>
      <c r="WAE2488" s="60"/>
      <c r="WAF2488" s="60"/>
      <c r="WAG2488" s="58"/>
      <c r="WAH2488" s="61"/>
      <c r="WAI2488" s="58"/>
      <c r="WAJ2488" s="58"/>
      <c r="WAK2488" s="58"/>
      <c r="WAL2488" s="60"/>
      <c r="WAM2488" s="60"/>
      <c r="WAN2488" s="60"/>
      <c r="WAO2488" s="58"/>
      <c r="WAP2488" s="61"/>
      <c r="WAQ2488" s="58"/>
      <c r="WAR2488" s="58"/>
      <c r="WAS2488" s="58"/>
      <c r="WAT2488" s="60"/>
      <c r="WAU2488" s="60"/>
      <c r="WAV2488" s="60"/>
      <c r="WAW2488" s="58"/>
      <c r="WAX2488" s="61"/>
      <c r="WAY2488" s="58"/>
      <c r="WAZ2488" s="58"/>
      <c r="WBA2488" s="58"/>
      <c r="WBB2488" s="60"/>
      <c r="WBC2488" s="60"/>
      <c r="WBD2488" s="60"/>
      <c r="WBE2488" s="58"/>
      <c r="WBF2488" s="61"/>
      <c r="WBG2488" s="58"/>
      <c r="WBH2488" s="58"/>
      <c r="WBI2488" s="58"/>
      <c r="WBJ2488" s="60"/>
      <c r="WBK2488" s="60"/>
      <c r="WBL2488" s="60"/>
      <c r="WBM2488" s="58"/>
      <c r="WBN2488" s="61"/>
      <c r="WBO2488" s="58"/>
      <c r="WBP2488" s="58"/>
      <c r="WBQ2488" s="58"/>
      <c r="WBR2488" s="60"/>
      <c r="WBS2488" s="60"/>
      <c r="WBT2488" s="60"/>
      <c r="WBU2488" s="58"/>
      <c r="WBV2488" s="61"/>
      <c r="WBW2488" s="58"/>
      <c r="WBX2488" s="58"/>
      <c r="WBY2488" s="58"/>
      <c r="WBZ2488" s="60"/>
      <c r="WCA2488" s="60"/>
      <c r="WCB2488" s="60"/>
      <c r="WCC2488" s="58"/>
      <c r="WCD2488" s="61"/>
      <c r="WCE2488" s="58"/>
      <c r="WCF2488" s="58"/>
      <c r="WCG2488" s="58"/>
      <c r="WCH2488" s="60"/>
      <c r="WCI2488" s="60"/>
      <c r="WCJ2488" s="60"/>
      <c r="WCK2488" s="58"/>
      <c r="WCL2488" s="61"/>
      <c r="WCM2488" s="58"/>
      <c r="WCN2488" s="58"/>
      <c r="WCO2488" s="58"/>
      <c r="WCP2488" s="60"/>
      <c r="WCQ2488" s="60"/>
      <c r="WCR2488" s="60"/>
      <c r="WCS2488" s="58"/>
      <c r="WCT2488" s="61"/>
      <c r="WCU2488" s="58"/>
      <c r="WCV2488" s="58"/>
      <c r="WCW2488" s="58"/>
      <c r="WCX2488" s="60"/>
      <c r="WCY2488" s="60"/>
      <c r="WCZ2488" s="60"/>
      <c r="WDA2488" s="58"/>
      <c r="WDB2488" s="61"/>
      <c r="WDC2488" s="58"/>
      <c r="WDD2488" s="58"/>
      <c r="WDE2488" s="58"/>
      <c r="WDF2488" s="60"/>
      <c r="WDG2488" s="60"/>
      <c r="WDH2488" s="60"/>
      <c r="WDI2488" s="58"/>
      <c r="WDJ2488" s="61"/>
      <c r="WDK2488" s="58"/>
      <c r="WDL2488" s="58"/>
      <c r="WDM2488" s="58"/>
      <c r="WDN2488" s="60"/>
      <c r="WDO2488" s="60"/>
      <c r="WDP2488" s="60"/>
      <c r="WDQ2488" s="58"/>
      <c r="WDR2488" s="61"/>
      <c r="WDS2488" s="58"/>
      <c r="WDT2488" s="58"/>
      <c r="WDU2488" s="58"/>
      <c r="WDV2488" s="60"/>
      <c r="WDW2488" s="60"/>
      <c r="WDX2488" s="60"/>
      <c r="WDY2488" s="58"/>
      <c r="WDZ2488" s="61"/>
      <c r="WEA2488" s="58"/>
      <c r="WEB2488" s="58"/>
      <c r="WEC2488" s="58"/>
      <c r="WED2488" s="60"/>
      <c r="WEE2488" s="60"/>
      <c r="WEF2488" s="60"/>
      <c r="WEG2488" s="58"/>
      <c r="WEH2488" s="61"/>
      <c r="WEI2488" s="58"/>
      <c r="WEJ2488" s="58"/>
      <c r="WEK2488" s="58"/>
      <c r="WEL2488" s="60"/>
      <c r="WEM2488" s="60"/>
      <c r="WEN2488" s="60"/>
      <c r="WEO2488" s="58"/>
      <c r="WEP2488" s="61"/>
      <c r="WEQ2488" s="58"/>
      <c r="WER2488" s="58"/>
      <c r="WES2488" s="58"/>
      <c r="WET2488" s="60"/>
      <c r="WEU2488" s="60"/>
      <c r="WEV2488" s="60"/>
      <c r="WEW2488" s="58"/>
      <c r="WEX2488" s="61"/>
      <c r="WEY2488" s="58"/>
      <c r="WEZ2488" s="58"/>
      <c r="WFA2488" s="58"/>
      <c r="WFB2488" s="60"/>
      <c r="WFC2488" s="60"/>
      <c r="WFD2488" s="60"/>
      <c r="WFE2488" s="58"/>
      <c r="WFF2488" s="61"/>
      <c r="WFG2488" s="58"/>
      <c r="WFH2488" s="58"/>
      <c r="WFI2488" s="58"/>
      <c r="WFJ2488" s="60"/>
      <c r="WFK2488" s="60"/>
      <c r="WFL2488" s="60"/>
      <c r="WFM2488" s="58"/>
      <c r="WFN2488" s="61"/>
      <c r="WFO2488" s="58"/>
      <c r="WFP2488" s="58"/>
      <c r="WFQ2488" s="58"/>
      <c r="WFR2488" s="60"/>
      <c r="WFS2488" s="60"/>
      <c r="WFT2488" s="60"/>
      <c r="WFU2488" s="58"/>
      <c r="WFV2488" s="61"/>
      <c r="WFW2488" s="58"/>
      <c r="WFX2488" s="58"/>
      <c r="WFY2488" s="58"/>
      <c r="WFZ2488" s="60"/>
      <c r="WGA2488" s="60"/>
      <c r="WGB2488" s="60"/>
      <c r="WGC2488" s="58"/>
      <c r="WGD2488" s="61"/>
      <c r="WGE2488" s="58"/>
      <c r="WGF2488" s="58"/>
      <c r="WGG2488" s="58"/>
      <c r="WGH2488" s="60"/>
      <c r="WGI2488" s="60"/>
      <c r="WGJ2488" s="60"/>
      <c r="WGK2488" s="58"/>
      <c r="WGL2488" s="61"/>
      <c r="WGM2488" s="58"/>
      <c r="WGN2488" s="58"/>
      <c r="WGO2488" s="58"/>
      <c r="WGP2488" s="60"/>
      <c r="WGQ2488" s="60"/>
      <c r="WGR2488" s="60"/>
      <c r="WGS2488" s="58"/>
      <c r="WGT2488" s="61"/>
      <c r="WGU2488" s="58"/>
      <c r="WGV2488" s="58"/>
      <c r="WGW2488" s="58"/>
      <c r="WGX2488" s="60"/>
      <c r="WGY2488" s="60"/>
      <c r="WGZ2488" s="60"/>
      <c r="WHA2488" s="58"/>
      <c r="WHB2488" s="61"/>
      <c r="WHC2488" s="58"/>
      <c r="WHD2488" s="58"/>
      <c r="WHE2488" s="58"/>
      <c r="WHF2488" s="60"/>
      <c r="WHG2488" s="60"/>
      <c r="WHH2488" s="60"/>
      <c r="WHI2488" s="58"/>
      <c r="WHJ2488" s="61"/>
      <c r="WHK2488" s="58"/>
      <c r="WHL2488" s="58"/>
      <c r="WHM2488" s="58"/>
      <c r="WHN2488" s="60"/>
      <c r="WHO2488" s="60"/>
      <c r="WHP2488" s="60"/>
      <c r="WHQ2488" s="58"/>
      <c r="WHR2488" s="61"/>
      <c r="WHS2488" s="58"/>
      <c r="WHT2488" s="58"/>
      <c r="WHU2488" s="58"/>
      <c r="WHV2488" s="60"/>
      <c r="WHW2488" s="60"/>
      <c r="WHX2488" s="60"/>
      <c r="WHY2488" s="58"/>
      <c r="WHZ2488" s="61"/>
      <c r="WIA2488" s="58"/>
      <c r="WIB2488" s="58"/>
      <c r="WIC2488" s="58"/>
      <c r="WID2488" s="60"/>
      <c r="WIE2488" s="60"/>
      <c r="WIF2488" s="60"/>
      <c r="WIG2488" s="58"/>
      <c r="WIH2488" s="61"/>
      <c r="WII2488" s="58"/>
      <c r="WIJ2488" s="58"/>
      <c r="WIK2488" s="58"/>
      <c r="WIL2488" s="60"/>
      <c r="WIM2488" s="60"/>
      <c r="WIN2488" s="60"/>
      <c r="WIO2488" s="58"/>
      <c r="WIP2488" s="61"/>
      <c r="WIQ2488" s="58"/>
      <c r="WIR2488" s="58"/>
      <c r="WIS2488" s="58"/>
      <c r="WIT2488" s="60"/>
      <c r="WIU2488" s="60"/>
      <c r="WIV2488" s="60"/>
      <c r="WIW2488" s="58"/>
      <c r="WIX2488" s="61"/>
      <c r="WIY2488" s="58"/>
      <c r="WIZ2488" s="58"/>
      <c r="WJA2488" s="58"/>
      <c r="WJB2488" s="60"/>
      <c r="WJC2488" s="60"/>
      <c r="WJD2488" s="60"/>
      <c r="WJE2488" s="58"/>
      <c r="WJF2488" s="61"/>
      <c r="WJG2488" s="58"/>
      <c r="WJH2488" s="58"/>
      <c r="WJI2488" s="58"/>
      <c r="WJJ2488" s="60"/>
      <c r="WJK2488" s="60"/>
      <c r="WJL2488" s="60"/>
      <c r="WJM2488" s="58"/>
      <c r="WJN2488" s="61"/>
      <c r="WJO2488" s="58"/>
      <c r="WJP2488" s="58"/>
      <c r="WJQ2488" s="58"/>
      <c r="WJR2488" s="60"/>
      <c r="WJS2488" s="60"/>
      <c r="WJT2488" s="60"/>
      <c r="WJU2488" s="58"/>
      <c r="WJV2488" s="61"/>
      <c r="WJW2488" s="58"/>
      <c r="WJX2488" s="58"/>
      <c r="WJY2488" s="58"/>
      <c r="WJZ2488" s="60"/>
      <c r="WKA2488" s="60"/>
      <c r="WKB2488" s="60"/>
      <c r="WKC2488" s="58"/>
      <c r="WKD2488" s="61"/>
      <c r="WKE2488" s="58"/>
      <c r="WKF2488" s="58"/>
      <c r="WKG2488" s="58"/>
      <c r="WKH2488" s="60"/>
      <c r="WKI2488" s="60"/>
      <c r="WKJ2488" s="60"/>
      <c r="WKK2488" s="58"/>
      <c r="WKL2488" s="61"/>
      <c r="WKM2488" s="58"/>
      <c r="WKN2488" s="58"/>
      <c r="WKO2488" s="58"/>
      <c r="WKP2488" s="60"/>
      <c r="WKQ2488" s="60"/>
      <c r="WKR2488" s="60"/>
      <c r="WKS2488" s="58"/>
      <c r="WKT2488" s="61"/>
      <c r="WKU2488" s="58"/>
      <c r="WKV2488" s="58"/>
      <c r="WKW2488" s="58"/>
      <c r="WKX2488" s="60"/>
      <c r="WKY2488" s="60"/>
      <c r="WKZ2488" s="60"/>
      <c r="WLA2488" s="58"/>
      <c r="WLB2488" s="61"/>
      <c r="WLC2488" s="58"/>
      <c r="WLD2488" s="58"/>
      <c r="WLE2488" s="58"/>
      <c r="WLF2488" s="60"/>
      <c r="WLG2488" s="60"/>
      <c r="WLH2488" s="60"/>
      <c r="WLI2488" s="58"/>
      <c r="WLJ2488" s="61"/>
      <c r="WLK2488" s="58"/>
      <c r="WLL2488" s="58"/>
      <c r="WLM2488" s="58"/>
      <c r="WLN2488" s="60"/>
      <c r="WLO2488" s="60"/>
      <c r="WLP2488" s="60"/>
      <c r="WLQ2488" s="58"/>
      <c r="WLR2488" s="61"/>
      <c r="WLS2488" s="58"/>
      <c r="WLT2488" s="58"/>
      <c r="WLU2488" s="58"/>
      <c r="WLV2488" s="60"/>
      <c r="WLW2488" s="60"/>
      <c r="WLX2488" s="60"/>
      <c r="WLY2488" s="58"/>
      <c r="WLZ2488" s="61"/>
      <c r="WMA2488" s="58"/>
      <c r="WMB2488" s="58"/>
      <c r="WMC2488" s="58"/>
      <c r="WMD2488" s="60"/>
      <c r="WME2488" s="60"/>
      <c r="WMF2488" s="60"/>
      <c r="WMG2488" s="58"/>
      <c r="WMH2488" s="61"/>
      <c r="WMI2488" s="58"/>
      <c r="WMJ2488" s="58"/>
      <c r="WMK2488" s="58"/>
      <c r="WML2488" s="60"/>
      <c r="WMM2488" s="60"/>
      <c r="WMN2488" s="60"/>
      <c r="WMO2488" s="58"/>
      <c r="WMP2488" s="61"/>
      <c r="WMQ2488" s="58"/>
      <c r="WMR2488" s="58"/>
      <c r="WMS2488" s="58"/>
      <c r="WMT2488" s="60"/>
      <c r="WMU2488" s="60"/>
      <c r="WMV2488" s="60"/>
      <c r="WMW2488" s="58"/>
      <c r="WMX2488" s="61"/>
      <c r="WMY2488" s="58"/>
      <c r="WMZ2488" s="58"/>
      <c r="WNA2488" s="58"/>
      <c r="WNB2488" s="60"/>
      <c r="WNC2488" s="60"/>
      <c r="WND2488" s="60"/>
      <c r="WNE2488" s="58"/>
      <c r="WNF2488" s="61"/>
      <c r="WNG2488" s="58"/>
      <c r="WNH2488" s="58"/>
      <c r="WNI2488" s="58"/>
      <c r="WNJ2488" s="60"/>
      <c r="WNK2488" s="60"/>
      <c r="WNL2488" s="60"/>
      <c r="WNM2488" s="58"/>
      <c r="WNN2488" s="61"/>
      <c r="WNO2488" s="58"/>
      <c r="WNP2488" s="58"/>
      <c r="WNQ2488" s="58"/>
      <c r="WNR2488" s="60"/>
      <c r="WNS2488" s="60"/>
      <c r="WNT2488" s="60"/>
      <c r="WNU2488" s="58"/>
      <c r="WNV2488" s="61"/>
      <c r="WNW2488" s="58"/>
      <c r="WNX2488" s="58"/>
      <c r="WNY2488" s="58"/>
      <c r="WNZ2488" s="60"/>
      <c r="WOA2488" s="60"/>
      <c r="WOB2488" s="60"/>
      <c r="WOC2488" s="58"/>
      <c r="WOD2488" s="61"/>
      <c r="WOE2488" s="58"/>
      <c r="WOF2488" s="58"/>
      <c r="WOG2488" s="58"/>
      <c r="WOH2488" s="60"/>
      <c r="WOI2488" s="60"/>
      <c r="WOJ2488" s="60"/>
      <c r="WOK2488" s="58"/>
      <c r="WOL2488" s="61"/>
      <c r="WOM2488" s="58"/>
      <c r="WON2488" s="58"/>
      <c r="WOO2488" s="58"/>
      <c r="WOP2488" s="60"/>
      <c r="WOQ2488" s="60"/>
      <c r="WOR2488" s="60"/>
      <c r="WOS2488" s="58"/>
      <c r="WOT2488" s="61"/>
      <c r="WOU2488" s="58"/>
      <c r="WOV2488" s="58"/>
      <c r="WOW2488" s="58"/>
      <c r="WOX2488" s="60"/>
      <c r="WOY2488" s="60"/>
      <c r="WOZ2488" s="60"/>
      <c r="WPA2488" s="58"/>
      <c r="WPB2488" s="61"/>
      <c r="WPC2488" s="58"/>
      <c r="WPD2488" s="58"/>
      <c r="WPE2488" s="58"/>
      <c r="WPF2488" s="60"/>
      <c r="WPG2488" s="60"/>
      <c r="WPH2488" s="60"/>
      <c r="WPI2488" s="58"/>
      <c r="WPJ2488" s="61"/>
      <c r="WPK2488" s="58"/>
      <c r="WPL2488" s="58"/>
      <c r="WPM2488" s="58"/>
      <c r="WPN2488" s="60"/>
      <c r="WPO2488" s="60"/>
      <c r="WPP2488" s="60"/>
      <c r="WPQ2488" s="58"/>
      <c r="WPR2488" s="61"/>
      <c r="WPS2488" s="58"/>
      <c r="WPT2488" s="58"/>
      <c r="WPU2488" s="58"/>
      <c r="WPV2488" s="60"/>
      <c r="WPW2488" s="60"/>
      <c r="WPX2488" s="60"/>
      <c r="WPY2488" s="58"/>
      <c r="WPZ2488" s="61"/>
      <c r="WQA2488" s="58"/>
      <c r="WQB2488" s="58"/>
      <c r="WQC2488" s="58"/>
      <c r="WQD2488" s="60"/>
      <c r="WQE2488" s="60"/>
      <c r="WQF2488" s="60"/>
      <c r="WQG2488" s="58"/>
      <c r="WQH2488" s="61"/>
      <c r="WQI2488" s="58"/>
      <c r="WQJ2488" s="58"/>
      <c r="WQK2488" s="58"/>
      <c r="WQL2488" s="60"/>
      <c r="WQM2488" s="60"/>
      <c r="WQN2488" s="60"/>
      <c r="WQO2488" s="58"/>
      <c r="WQP2488" s="61"/>
      <c r="WQQ2488" s="58"/>
      <c r="WQR2488" s="58"/>
      <c r="WQS2488" s="58"/>
      <c r="WQT2488" s="60"/>
      <c r="WQU2488" s="60"/>
      <c r="WQV2488" s="60"/>
      <c r="WQW2488" s="58"/>
      <c r="WQX2488" s="61"/>
      <c r="WQY2488" s="58"/>
      <c r="WQZ2488" s="58"/>
      <c r="WRA2488" s="58"/>
      <c r="WRB2488" s="60"/>
      <c r="WRC2488" s="60"/>
      <c r="WRD2488" s="60"/>
      <c r="WRE2488" s="58"/>
      <c r="WRF2488" s="61"/>
      <c r="WRG2488" s="58"/>
      <c r="WRH2488" s="58"/>
      <c r="WRI2488" s="58"/>
      <c r="WRJ2488" s="60"/>
      <c r="WRK2488" s="60"/>
      <c r="WRL2488" s="60"/>
      <c r="WRM2488" s="58"/>
      <c r="WRN2488" s="61"/>
      <c r="WRO2488" s="58"/>
      <c r="WRP2488" s="58"/>
      <c r="WRQ2488" s="58"/>
      <c r="WRR2488" s="60"/>
      <c r="WRS2488" s="60"/>
      <c r="WRT2488" s="60"/>
      <c r="WRU2488" s="58"/>
      <c r="WRV2488" s="61"/>
      <c r="WRW2488" s="58"/>
      <c r="WRX2488" s="58"/>
      <c r="WRY2488" s="58"/>
      <c r="WRZ2488" s="60"/>
      <c r="WSA2488" s="60"/>
      <c r="WSB2488" s="60"/>
      <c r="WSC2488" s="58"/>
      <c r="WSD2488" s="61"/>
      <c r="WSE2488" s="58"/>
      <c r="WSF2488" s="58"/>
      <c r="WSG2488" s="58"/>
      <c r="WSH2488" s="60"/>
      <c r="WSI2488" s="60"/>
      <c r="WSJ2488" s="60"/>
      <c r="WSK2488" s="58"/>
      <c r="WSL2488" s="61"/>
      <c r="WSM2488" s="58"/>
      <c r="WSN2488" s="58"/>
      <c r="WSO2488" s="58"/>
      <c r="WSP2488" s="60"/>
      <c r="WSQ2488" s="60"/>
      <c r="WSR2488" s="60"/>
      <c r="WSS2488" s="58"/>
      <c r="WST2488" s="61"/>
      <c r="WSU2488" s="58"/>
      <c r="WSV2488" s="58"/>
      <c r="WSW2488" s="58"/>
      <c r="WSX2488" s="60"/>
      <c r="WSY2488" s="60"/>
      <c r="WSZ2488" s="60"/>
      <c r="WTA2488" s="58"/>
      <c r="WTB2488" s="61"/>
      <c r="WTC2488" s="58"/>
      <c r="WTD2488" s="58"/>
      <c r="WTE2488" s="58"/>
      <c r="WTF2488" s="60"/>
      <c r="WTG2488" s="60"/>
      <c r="WTH2488" s="60"/>
      <c r="WTI2488" s="58"/>
      <c r="WTJ2488" s="61"/>
      <c r="WTK2488" s="58"/>
      <c r="WTL2488" s="58"/>
      <c r="WTM2488" s="58"/>
      <c r="WTN2488" s="60"/>
      <c r="WTO2488" s="60"/>
      <c r="WTP2488" s="60"/>
      <c r="WTQ2488" s="58"/>
      <c r="WTR2488" s="61"/>
      <c r="WTS2488" s="58"/>
      <c r="WTT2488" s="58"/>
      <c r="WTU2488" s="58"/>
      <c r="WTV2488" s="60"/>
      <c r="WTW2488" s="60"/>
      <c r="WTX2488" s="60"/>
      <c r="WTY2488" s="58"/>
      <c r="WTZ2488" s="61"/>
      <c r="WUA2488" s="58"/>
      <c r="WUB2488" s="58"/>
      <c r="WUC2488" s="58"/>
      <c r="WUD2488" s="60"/>
      <c r="WUE2488" s="60"/>
      <c r="WUF2488" s="60"/>
      <c r="WUG2488" s="58"/>
      <c r="WUH2488" s="61"/>
      <c r="WUI2488" s="58"/>
      <c r="WUJ2488" s="58"/>
      <c r="WUK2488" s="58"/>
      <c r="WUL2488" s="60"/>
      <c r="WUM2488" s="60"/>
      <c r="WUN2488" s="60"/>
      <c r="WUO2488" s="58"/>
      <c r="WUP2488" s="61"/>
      <c r="WUQ2488" s="58"/>
      <c r="WUR2488" s="58"/>
      <c r="WUS2488" s="58"/>
      <c r="WUT2488" s="60"/>
      <c r="WUU2488" s="60"/>
      <c r="WUV2488" s="60"/>
      <c r="WUW2488" s="58"/>
      <c r="WUX2488" s="61"/>
      <c r="WUY2488" s="58"/>
      <c r="WUZ2488" s="58"/>
      <c r="WVA2488" s="58"/>
      <c r="WVB2488" s="60"/>
      <c r="WVC2488" s="60"/>
      <c r="WVD2488" s="60"/>
      <c r="WVE2488" s="58"/>
      <c r="WVF2488" s="61"/>
      <c r="WVG2488" s="58"/>
      <c r="WVH2488" s="58"/>
      <c r="WVI2488" s="58"/>
      <c r="WVJ2488" s="60"/>
      <c r="WVK2488" s="60"/>
      <c r="WVL2488" s="60"/>
      <c r="WVM2488" s="58"/>
      <c r="WVN2488" s="61"/>
      <c r="WVO2488" s="58"/>
      <c r="WVP2488" s="58"/>
      <c r="WVQ2488" s="58"/>
      <c r="WVR2488" s="60"/>
      <c r="WVS2488" s="60"/>
      <c r="WVT2488" s="60"/>
      <c r="WVU2488" s="58"/>
      <c r="WVV2488" s="61"/>
      <c r="WVW2488" s="58"/>
      <c r="WVX2488" s="58"/>
      <c r="WVY2488" s="58"/>
      <c r="WVZ2488" s="60"/>
      <c r="WWA2488" s="60"/>
      <c r="WWB2488" s="60"/>
      <c r="WWC2488" s="58"/>
      <c r="WWD2488" s="61"/>
      <c r="WWE2488" s="58"/>
      <c r="WWF2488" s="58"/>
      <c r="WWG2488" s="58"/>
      <c r="WWH2488" s="60"/>
      <c r="WWI2488" s="60"/>
      <c r="WWJ2488" s="60"/>
      <c r="WWK2488" s="58"/>
      <c r="WWL2488" s="61"/>
      <c r="WWM2488" s="58"/>
      <c r="WWN2488" s="58"/>
      <c r="WWO2488" s="58"/>
      <c r="WWP2488" s="60"/>
      <c r="WWQ2488" s="60"/>
      <c r="WWR2488" s="60"/>
      <c r="WWS2488" s="58"/>
      <c r="WWT2488" s="61"/>
      <c r="WWU2488" s="58"/>
      <c r="WWV2488" s="58"/>
      <c r="WWW2488" s="58"/>
      <c r="WWX2488" s="60"/>
      <c r="WWY2488" s="60"/>
      <c r="WWZ2488" s="60"/>
      <c r="WXA2488" s="58"/>
      <c r="WXB2488" s="61"/>
      <c r="WXC2488" s="58"/>
      <c r="WXD2488" s="58"/>
      <c r="WXE2488" s="58"/>
      <c r="WXF2488" s="60"/>
      <c r="WXG2488" s="60"/>
      <c r="WXH2488" s="60"/>
      <c r="WXI2488" s="58"/>
      <c r="WXJ2488" s="61"/>
      <c r="WXK2488" s="58"/>
      <c r="WXL2488" s="58"/>
      <c r="WXM2488" s="58"/>
      <c r="WXN2488" s="60"/>
      <c r="WXO2488" s="60"/>
      <c r="WXP2488" s="60"/>
      <c r="WXQ2488" s="58"/>
      <c r="WXR2488" s="61"/>
      <c r="WXS2488" s="58"/>
      <c r="WXT2488" s="58"/>
      <c r="WXU2488" s="58"/>
      <c r="WXV2488" s="60"/>
      <c r="WXW2488" s="60"/>
      <c r="WXX2488" s="60"/>
      <c r="WXY2488" s="58"/>
      <c r="WXZ2488" s="61"/>
      <c r="WYA2488" s="58"/>
      <c r="WYB2488" s="58"/>
      <c r="WYC2488" s="58"/>
      <c r="WYD2488" s="60"/>
      <c r="WYE2488" s="60"/>
      <c r="WYF2488" s="60"/>
      <c r="WYG2488" s="58"/>
      <c r="WYH2488" s="61"/>
      <c r="WYI2488" s="58"/>
      <c r="WYJ2488" s="58"/>
      <c r="WYK2488" s="58"/>
      <c r="WYL2488" s="60"/>
      <c r="WYM2488" s="60"/>
      <c r="WYN2488" s="60"/>
      <c r="WYO2488" s="58"/>
      <c r="WYP2488" s="61"/>
      <c r="WYQ2488" s="58"/>
      <c r="WYR2488" s="58"/>
      <c r="WYS2488" s="58"/>
      <c r="WYT2488" s="60"/>
      <c r="WYU2488" s="60"/>
      <c r="WYV2488" s="60"/>
      <c r="WYW2488" s="58"/>
      <c r="WYX2488" s="61"/>
      <c r="WYY2488" s="58"/>
      <c r="WYZ2488" s="58"/>
      <c r="WZA2488" s="58"/>
      <c r="WZB2488" s="60"/>
      <c r="WZC2488" s="60"/>
      <c r="WZD2488" s="60"/>
      <c r="WZE2488" s="58"/>
      <c r="WZF2488" s="61"/>
      <c r="WZG2488" s="58"/>
      <c r="WZH2488" s="58"/>
      <c r="WZI2488" s="58"/>
      <c r="WZJ2488" s="60"/>
      <c r="WZK2488" s="60"/>
      <c r="WZL2488" s="60"/>
      <c r="WZM2488" s="58"/>
      <c r="WZN2488" s="61"/>
      <c r="WZO2488" s="58"/>
      <c r="WZP2488" s="58"/>
      <c r="WZQ2488" s="58"/>
      <c r="WZR2488" s="60"/>
      <c r="WZS2488" s="60"/>
      <c r="WZT2488" s="60"/>
      <c r="WZU2488" s="58"/>
      <c r="WZV2488" s="61"/>
      <c r="WZW2488" s="58"/>
      <c r="WZX2488" s="58"/>
      <c r="WZY2488" s="58"/>
      <c r="WZZ2488" s="60"/>
      <c r="XAA2488" s="60"/>
      <c r="XAB2488" s="60"/>
      <c r="XAC2488" s="58"/>
      <c r="XAD2488" s="61"/>
      <c r="XAE2488" s="58"/>
      <c r="XAF2488" s="58"/>
      <c r="XAG2488" s="58"/>
      <c r="XAH2488" s="60"/>
      <c r="XAI2488" s="60"/>
      <c r="XAJ2488" s="60"/>
      <c r="XAK2488" s="58"/>
      <c r="XAL2488" s="61"/>
      <c r="XAM2488" s="58"/>
      <c r="XAN2488" s="58"/>
      <c r="XAO2488" s="58"/>
      <c r="XAP2488" s="60"/>
      <c r="XAQ2488" s="60"/>
      <c r="XAR2488" s="60"/>
      <c r="XAS2488" s="58"/>
      <c r="XAT2488" s="61"/>
      <c r="XAU2488" s="58"/>
      <c r="XAV2488" s="58"/>
      <c r="XAW2488" s="58"/>
      <c r="XAX2488" s="60"/>
      <c r="XAY2488" s="60"/>
      <c r="XAZ2488" s="60"/>
      <c r="XBA2488" s="58"/>
      <c r="XBB2488" s="61"/>
      <c r="XBC2488" s="58"/>
      <c r="XBD2488" s="58"/>
      <c r="XBE2488" s="58"/>
      <c r="XBF2488" s="60"/>
      <c r="XBG2488" s="60"/>
      <c r="XBH2488" s="60"/>
      <c r="XBI2488" s="58"/>
      <c r="XBJ2488" s="61"/>
      <c r="XBK2488" s="58"/>
      <c r="XBL2488" s="58"/>
      <c r="XBM2488" s="58"/>
      <c r="XBN2488" s="60"/>
      <c r="XBO2488" s="60"/>
      <c r="XBP2488" s="60"/>
      <c r="XBQ2488" s="58"/>
      <c r="XBR2488" s="61"/>
      <c r="XBS2488" s="58"/>
      <c r="XBT2488" s="58"/>
      <c r="XBU2488" s="58"/>
      <c r="XBV2488" s="60"/>
      <c r="XBW2488" s="60"/>
      <c r="XBX2488" s="60"/>
      <c r="XBY2488" s="58"/>
      <c r="XBZ2488" s="61"/>
      <c r="XCA2488" s="58"/>
      <c r="XCB2488" s="58"/>
      <c r="XCC2488" s="58"/>
      <c r="XCD2488" s="60"/>
      <c r="XCE2488" s="60"/>
      <c r="XCF2488" s="60"/>
      <c r="XCG2488" s="58"/>
      <c r="XCH2488" s="61"/>
      <c r="XCI2488" s="58"/>
      <c r="XCJ2488" s="58"/>
      <c r="XCK2488" s="58"/>
      <c r="XCL2488" s="60"/>
      <c r="XCM2488" s="60"/>
      <c r="XCN2488" s="60"/>
      <c r="XCO2488" s="58"/>
      <c r="XCP2488" s="61"/>
      <c r="XCQ2488" s="58"/>
      <c r="XCR2488" s="58"/>
      <c r="XCS2488" s="58"/>
      <c r="XCT2488" s="60"/>
      <c r="XCU2488" s="60"/>
      <c r="XCV2488" s="60"/>
      <c r="XCW2488" s="58"/>
      <c r="XCX2488" s="61"/>
      <c r="XCY2488" s="58"/>
      <c r="XCZ2488" s="58"/>
      <c r="XDA2488" s="58"/>
      <c r="XDB2488" s="60"/>
      <c r="XDC2488" s="60"/>
      <c r="XDD2488" s="60"/>
      <c r="XDE2488" s="58"/>
      <c r="XDF2488" s="61"/>
      <c r="XDG2488" s="58"/>
      <c r="XDH2488" s="58"/>
      <c r="XDI2488" s="58"/>
      <c r="XDJ2488" s="60"/>
      <c r="XDK2488" s="60"/>
      <c r="XDL2488" s="60"/>
      <c r="XDM2488" s="58"/>
      <c r="XDN2488" s="61"/>
      <c r="XDO2488" s="58"/>
      <c r="XDP2488" s="58"/>
      <c r="XDQ2488" s="58"/>
      <c r="XDR2488" s="60"/>
      <c r="XDS2488" s="60"/>
      <c r="XDT2488" s="60"/>
      <c r="XDU2488" s="58"/>
      <c r="XDV2488" s="61"/>
      <c r="XDW2488" s="58"/>
      <c r="XDX2488" s="58"/>
      <c r="XDY2488" s="58"/>
      <c r="XDZ2488" s="60"/>
      <c r="XEA2488" s="60"/>
      <c r="XEB2488" s="60"/>
      <c r="XEC2488" s="58"/>
      <c r="XED2488" s="61"/>
      <c r="XEE2488" s="58"/>
      <c r="XEF2488" s="58"/>
      <c r="XEG2488" s="58"/>
      <c r="XEH2488" s="60"/>
      <c r="XEI2488" s="60"/>
      <c r="XEJ2488" s="60"/>
      <c r="XEK2488" s="58"/>
      <c r="XEL2488" s="61"/>
      <c r="XEM2488" s="58"/>
      <c r="XEN2488" s="58"/>
      <c r="XEO2488" s="58"/>
      <c r="XEP2488" s="60"/>
      <c r="XEQ2488" s="60"/>
      <c r="XER2488" s="60"/>
      <c r="XES2488" s="58"/>
      <c r="XET2488" s="61"/>
      <c r="XEU2488" s="58"/>
      <c r="XEV2488" s="58"/>
      <c r="XEW2488" s="58"/>
    </row>
    <row r="2489" ht="18" customHeight="1" spans="1:16377">
      <c r="A2489" s="6" t="s">
        <v>8209</v>
      </c>
      <c r="B2489" s="6" t="s">
        <v>8642</v>
      </c>
      <c r="C2489" s="6" t="s">
        <v>16426</v>
      </c>
      <c r="D2489" s="5" t="s">
        <v>16374</v>
      </c>
      <c r="E2489" s="195" t="s">
        <v>16427</v>
      </c>
      <c r="F2489" s="7" t="s">
        <v>11535</v>
      </c>
      <c r="G2489" s="58"/>
      <c r="H2489" s="58"/>
      <c r="I2489" s="58"/>
      <c r="J2489" s="60"/>
      <c r="K2489" s="60"/>
      <c r="L2489" s="60"/>
      <c r="M2489" s="58"/>
      <c r="N2489" s="61"/>
      <c r="O2489" s="58"/>
      <c r="P2489" s="58"/>
      <c r="Q2489" s="58"/>
      <c r="R2489" s="60"/>
      <c r="S2489" s="60"/>
      <c r="T2489" s="60"/>
      <c r="U2489" s="58"/>
      <c r="V2489" s="61"/>
      <c r="W2489" s="58"/>
      <c r="X2489" s="58"/>
      <c r="Y2489" s="58"/>
      <c r="Z2489" s="60"/>
      <c r="AA2489" s="60"/>
      <c r="AB2489" s="60"/>
      <c r="AC2489" s="58"/>
      <c r="AD2489" s="61"/>
      <c r="AE2489" s="58"/>
      <c r="AF2489" s="58"/>
      <c r="AG2489" s="58"/>
      <c r="AH2489" s="60"/>
      <c r="AI2489" s="60"/>
      <c r="AJ2489" s="60"/>
      <c r="AK2489" s="58"/>
      <c r="AL2489" s="61"/>
      <c r="AM2489" s="58"/>
      <c r="AN2489" s="58"/>
      <c r="AO2489" s="58"/>
      <c r="AP2489" s="60"/>
      <c r="AQ2489" s="60"/>
      <c r="AR2489" s="60"/>
      <c r="AS2489" s="58"/>
      <c r="AT2489" s="61"/>
      <c r="AU2489" s="58"/>
      <c r="AV2489" s="58"/>
      <c r="AW2489" s="58"/>
      <c r="AX2489" s="60"/>
      <c r="AY2489" s="60"/>
      <c r="AZ2489" s="60"/>
      <c r="BA2489" s="58"/>
      <c r="BB2489" s="61"/>
      <c r="BC2489" s="58"/>
      <c r="BD2489" s="58"/>
      <c r="BE2489" s="58"/>
      <c r="BF2489" s="60"/>
      <c r="BG2489" s="60"/>
      <c r="BH2489" s="60"/>
      <c r="BI2489" s="58"/>
      <c r="BJ2489" s="61"/>
      <c r="BK2489" s="58"/>
      <c r="BL2489" s="58"/>
      <c r="BM2489" s="58"/>
      <c r="BN2489" s="60"/>
      <c r="BO2489" s="60"/>
      <c r="BP2489" s="60"/>
      <c r="BQ2489" s="58"/>
      <c r="BR2489" s="61"/>
      <c r="BS2489" s="58"/>
      <c r="BT2489" s="58"/>
      <c r="BU2489" s="58"/>
      <c r="BV2489" s="60"/>
      <c r="BW2489" s="60"/>
      <c r="BX2489" s="60"/>
      <c r="BY2489" s="58"/>
      <c r="BZ2489" s="61"/>
      <c r="CA2489" s="58"/>
      <c r="CB2489" s="58"/>
      <c r="CC2489" s="58"/>
      <c r="CD2489" s="60"/>
      <c r="CE2489" s="60"/>
      <c r="CF2489" s="60"/>
      <c r="CG2489" s="58"/>
      <c r="CH2489" s="61"/>
      <c r="CI2489" s="58"/>
      <c r="CJ2489" s="58"/>
      <c r="CK2489" s="58"/>
      <c r="CL2489" s="60"/>
      <c r="CM2489" s="60"/>
      <c r="CN2489" s="60"/>
      <c r="CO2489" s="58"/>
      <c r="CP2489" s="61"/>
      <c r="CQ2489" s="58"/>
      <c r="CR2489" s="58"/>
      <c r="CS2489" s="58"/>
      <c r="CT2489" s="60"/>
      <c r="CU2489" s="60"/>
      <c r="CV2489" s="60"/>
      <c r="CW2489" s="58"/>
      <c r="CX2489" s="61"/>
      <c r="CY2489" s="58"/>
      <c r="CZ2489" s="58"/>
      <c r="DA2489" s="58"/>
      <c r="DB2489" s="60"/>
      <c r="DC2489" s="60"/>
      <c r="DD2489" s="60"/>
      <c r="DE2489" s="58"/>
      <c r="DF2489" s="61"/>
      <c r="DG2489" s="58"/>
      <c r="DH2489" s="58"/>
      <c r="DI2489" s="58"/>
      <c r="DJ2489" s="60"/>
      <c r="DK2489" s="60"/>
      <c r="DL2489" s="60"/>
      <c r="DM2489" s="58"/>
      <c r="DN2489" s="61"/>
      <c r="DO2489" s="58"/>
      <c r="DP2489" s="58"/>
      <c r="DQ2489" s="58"/>
      <c r="DR2489" s="60"/>
      <c r="DS2489" s="60"/>
      <c r="DT2489" s="60"/>
      <c r="DU2489" s="58"/>
      <c r="DV2489" s="61"/>
      <c r="DW2489" s="58"/>
      <c r="DX2489" s="58"/>
      <c r="DY2489" s="58"/>
      <c r="DZ2489" s="60"/>
      <c r="EA2489" s="60"/>
      <c r="EB2489" s="60"/>
      <c r="EC2489" s="58"/>
      <c r="ED2489" s="61"/>
      <c r="EE2489" s="58"/>
      <c r="EF2489" s="58"/>
      <c r="EG2489" s="58"/>
      <c r="EH2489" s="60"/>
      <c r="EI2489" s="60"/>
      <c r="EJ2489" s="60"/>
      <c r="EK2489" s="58"/>
      <c r="EL2489" s="61"/>
      <c r="EM2489" s="58"/>
      <c r="EN2489" s="58"/>
      <c r="EO2489" s="58"/>
      <c r="EP2489" s="60"/>
      <c r="EQ2489" s="60"/>
      <c r="ER2489" s="60"/>
      <c r="ES2489" s="58"/>
      <c r="ET2489" s="61"/>
      <c r="EU2489" s="58"/>
      <c r="EV2489" s="58"/>
      <c r="EW2489" s="58"/>
      <c r="EX2489" s="60"/>
      <c r="EY2489" s="60"/>
      <c r="EZ2489" s="60"/>
      <c r="FA2489" s="58"/>
      <c r="FB2489" s="61"/>
      <c r="FC2489" s="58"/>
      <c r="FD2489" s="58"/>
      <c r="FE2489" s="58"/>
      <c r="FF2489" s="60"/>
      <c r="FG2489" s="60"/>
      <c r="FH2489" s="60"/>
      <c r="FI2489" s="58"/>
      <c r="FJ2489" s="61"/>
      <c r="FK2489" s="58"/>
      <c r="FL2489" s="58"/>
      <c r="FM2489" s="58"/>
      <c r="FN2489" s="60"/>
      <c r="FO2489" s="60"/>
      <c r="FP2489" s="60"/>
      <c r="FQ2489" s="58"/>
      <c r="FR2489" s="61"/>
      <c r="FS2489" s="58"/>
      <c r="FT2489" s="58"/>
      <c r="FU2489" s="58"/>
      <c r="FV2489" s="60"/>
      <c r="FW2489" s="60"/>
      <c r="FX2489" s="60"/>
      <c r="FY2489" s="58"/>
      <c r="FZ2489" s="61"/>
      <c r="GA2489" s="58"/>
      <c r="GB2489" s="58"/>
      <c r="GC2489" s="58"/>
      <c r="GD2489" s="60"/>
      <c r="GE2489" s="60"/>
      <c r="GF2489" s="60"/>
      <c r="GG2489" s="58"/>
      <c r="GH2489" s="61"/>
      <c r="GI2489" s="58"/>
      <c r="GJ2489" s="58"/>
      <c r="GK2489" s="58"/>
      <c r="GL2489" s="60"/>
      <c r="GM2489" s="60"/>
      <c r="GN2489" s="60"/>
      <c r="GO2489" s="58"/>
      <c r="GP2489" s="61"/>
      <c r="GQ2489" s="58"/>
      <c r="GR2489" s="58"/>
      <c r="GS2489" s="58"/>
      <c r="GT2489" s="60"/>
      <c r="GU2489" s="60"/>
      <c r="GV2489" s="60"/>
      <c r="GW2489" s="58"/>
      <c r="GX2489" s="61"/>
      <c r="GY2489" s="58"/>
      <c r="GZ2489" s="58"/>
      <c r="HA2489" s="58"/>
      <c r="HB2489" s="60"/>
      <c r="HC2489" s="60"/>
      <c r="HD2489" s="60"/>
      <c r="HE2489" s="58"/>
      <c r="HF2489" s="61"/>
      <c r="HG2489" s="58"/>
      <c r="HH2489" s="58"/>
      <c r="HI2489" s="58"/>
      <c r="HJ2489" s="60"/>
      <c r="HK2489" s="60"/>
      <c r="HL2489" s="60"/>
      <c r="HM2489" s="58"/>
      <c r="HN2489" s="61"/>
      <c r="HO2489" s="58"/>
      <c r="HP2489" s="58"/>
      <c r="HQ2489" s="58"/>
      <c r="HR2489" s="60"/>
      <c r="HS2489" s="60"/>
      <c r="HT2489" s="60"/>
      <c r="HU2489" s="58"/>
      <c r="HV2489" s="61"/>
      <c r="HW2489" s="58"/>
      <c r="HX2489" s="58"/>
      <c r="HY2489" s="58"/>
      <c r="HZ2489" s="60"/>
      <c r="IA2489" s="60"/>
      <c r="IB2489" s="60"/>
      <c r="IC2489" s="58"/>
      <c r="ID2489" s="61"/>
      <c r="IE2489" s="58"/>
      <c r="IF2489" s="58"/>
      <c r="IG2489" s="58"/>
      <c r="IH2489" s="60"/>
      <c r="II2489" s="60"/>
      <c r="IJ2489" s="60"/>
      <c r="IK2489" s="58"/>
      <c r="IL2489" s="61"/>
      <c r="IM2489" s="58"/>
      <c r="IN2489" s="58"/>
      <c r="IO2489" s="58"/>
      <c r="IP2489" s="60"/>
      <c r="IQ2489" s="60"/>
      <c r="IR2489" s="60"/>
      <c r="IS2489" s="58"/>
      <c r="IT2489" s="61"/>
      <c r="IU2489" s="58"/>
      <c r="IV2489" s="58"/>
      <c r="IW2489" s="58"/>
      <c r="IX2489" s="60"/>
      <c r="IY2489" s="60"/>
      <c r="IZ2489" s="60"/>
      <c r="JA2489" s="58"/>
      <c r="JB2489" s="61"/>
      <c r="JC2489" s="58"/>
      <c r="JD2489" s="58"/>
      <c r="JE2489" s="58"/>
      <c r="JF2489" s="60"/>
      <c r="JG2489" s="60"/>
      <c r="JH2489" s="60"/>
      <c r="JI2489" s="58"/>
      <c r="JJ2489" s="61"/>
      <c r="JK2489" s="58"/>
      <c r="JL2489" s="58"/>
      <c r="JM2489" s="58"/>
      <c r="JN2489" s="60"/>
      <c r="JO2489" s="60"/>
      <c r="JP2489" s="60"/>
      <c r="JQ2489" s="58"/>
      <c r="JR2489" s="61"/>
      <c r="JS2489" s="58"/>
      <c r="JT2489" s="58"/>
      <c r="JU2489" s="58"/>
      <c r="JV2489" s="60"/>
      <c r="JW2489" s="60"/>
      <c r="JX2489" s="60"/>
      <c r="JY2489" s="58"/>
      <c r="JZ2489" s="61"/>
      <c r="KA2489" s="58"/>
      <c r="KB2489" s="58"/>
      <c r="KC2489" s="58"/>
      <c r="KD2489" s="60"/>
      <c r="KE2489" s="60"/>
      <c r="KF2489" s="60"/>
      <c r="KG2489" s="58"/>
      <c r="KH2489" s="61"/>
      <c r="KI2489" s="58"/>
      <c r="KJ2489" s="58"/>
      <c r="KK2489" s="58"/>
      <c r="KL2489" s="60"/>
      <c r="KM2489" s="60"/>
      <c r="KN2489" s="60"/>
      <c r="KO2489" s="58"/>
      <c r="KP2489" s="61"/>
      <c r="KQ2489" s="58"/>
      <c r="KR2489" s="58"/>
      <c r="KS2489" s="58"/>
      <c r="KT2489" s="60"/>
      <c r="KU2489" s="60"/>
      <c r="KV2489" s="60"/>
      <c r="KW2489" s="58"/>
      <c r="KX2489" s="61"/>
      <c r="KY2489" s="58"/>
      <c r="KZ2489" s="58"/>
      <c r="LA2489" s="58"/>
      <c r="LB2489" s="60"/>
      <c r="LC2489" s="60"/>
      <c r="LD2489" s="60"/>
      <c r="LE2489" s="58"/>
      <c r="LF2489" s="61"/>
      <c r="LG2489" s="58"/>
      <c r="LH2489" s="58"/>
      <c r="LI2489" s="58"/>
      <c r="LJ2489" s="60"/>
      <c r="LK2489" s="60"/>
      <c r="LL2489" s="60"/>
      <c r="LM2489" s="58"/>
      <c r="LN2489" s="61"/>
      <c r="LO2489" s="58"/>
      <c r="LP2489" s="58"/>
      <c r="LQ2489" s="58"/>
      <c r="LR2489" s="60"/>
      <c r="LS2489" s="60"/>
      <c r="LT2489" s="60"/>
      <c r="LU2489" s="58"/>
      <c r="LV2489" s="61"/>
      <c r="LW2489" s="58"/>
      <c r="LX2489" s="58"/>
      <c r="LY2489" s="58"/>
      <c r="LZ2489" s="60"/>
      <c r="MA2489" s="60"/>
      <c r="MB2489" s="60"/>
      <c r="MC2489" s="58"/>
      <c r="MD2489" s="61"/>
      <c r="ME2489" s="58"/>
      <c r="MF2489" s="58"/>
      <c r="MG2489" s="58"/>
      <c r="MH2489" s="60"/>
      <c r="MI2489" s="60"/>
      <c r="MJ2489" s="60"/>
      <c r="MK2489" s="58"/>
      <c r="ML2489" s="61"/>
      <c r="MM2489" s="58"/>
      <c r="MN2489" s="58"/>
      <c r="MO2489" s="58"/>
      <c r="MP2489" s="60"/>
      <c r="MQ2489" s="60"/>
      <c r="MR2489" s="60"/>
      <c r="MS2489" s="58"/>
      <c r="MT2489" s="61"/>
      <c r="MU2489" s="58"/>
      <c r="MV2489" s="58"/>
      <c r="MW2489" s="58"/>
      <c r="MX2489" s="60"/>
      <c r="MY2489" s="60"/>
      <c r="MZ2489" s="60"/>
      <c r="NA2489" s="58"/>
      <c r="NB2489" s="61"/>
      <c r="NC2489" s="58"/>
      <c r="ND2489" s="58"/>
      <c r="NE2489" s="58"/>
      <c r="NF2489" s="60"/>
      <c r="NG2489" s="60"/>
      <c r="NH2489" s="60"/>
      <c r="NI2489" s="58"/>
      <c r="NJ2489" s="61"/>
      <c r="NK2489" s="58"/>
      <c r="NL2489" s="58"/>
      <c r="NM2489" s="58"/>
      <c r="NN2489" s="60"/>
      <c r="NO2489" s="60"/>
      <c r="NP2489" s="60"/>
      <c r="NQ2489" s="58"/>
      <c r="NR2489" s="61"/>
      <c r="NS2489" s="58"/>
      <c r="NT2489" s="58"/>
      <c r="NU2489" s="58"/>
      <c r="NV2489" s="60"/>
      <c r="NW2489" s="60"/>
      <c r="NX2489" s="60"/>
      <c r="NY2489" s="58"/>
      <c r="NZ2489" s="61"/>
      <c r="OA2489" s="58"/>
      <c r="OB2489" s="58"/>
      <c r="OC2489" s="58"/>
      <c r="OD2489" s="60"/>
      <c r="OE2489" s="60"/>
      <c r="OF2489" s="60"/>
      <c r="OG2489" s="58"/>
      <c r="OH2489" s="61"/>
      <c r="OI2489" s="58"/>
      <c r="OJ2489" s="58"/>
      <c r="OK2489" s="58"/>
      <c r="OL2489" s="60"/>
      <c r="OM2489" s="60"/>
      <c r="ON2489" s="60"/>
      <c r="OO2489" s="58"/>
      <c r="OP2489" s="61"/>
      <c r="OQ2489" s="58"/>
      <c r="OR2489" s="58"/>
      <c r="OS2489" s="58"/>
      <c r="OT2489" s="60"/>
      <c r="OU2489" s="60"/>
      <c r="OV2489" s="60"/>
      <c r="OW2489" s="58"/>
      <c r="OX2489" s="61"/>
      <c r="OY2489" s="58"/>
      <c r="OZ2489" s="58"/>
      <c r="PA2489" s="58"/>
      <c r="PB2489" s="60"/>
      <c r="PC2489" s="60"/>
      <c r="PD2489" s="60"/>
      <c r="PE2489" s="58"/>
      <c r="PF2489" s="61"/>
      <c r="PG2489" s="58"/>
      <c r="PH2489" s="58"/>
      <c r="PI2489" s="58"/>
      <c r="PJ2489" s="60"/>
      <c r="PK2489" s="60"/>
      <c r="PL2489" s="60"/>
      <c r="PM2489" s="58"/>
      <c r="PN2489" s="61"/>
      <c r="PO2489" s="58"/>
      <c r="PP2489" s="58"/>
      <c r="PQ2489" s="58"/>
      <c r="PR2489" s="60"/>
      <c r="PS2489" s="60"/>
      <c r="PT2489" s="60"/>
      <c r="PU2489" s="58"/>
      <c r="PV2489" s="61"/>
      <c r="PW2489" s="58"/>
      <c r="PX2489" s="58"/>
      <c r="PY2489" s="58"/>
      <c r="PZ2489" s="60"/>
      <c r="QA2489" s="60"/>
      <c r="QB2489" s="60"/>
      <c r="QC2489" s="58"/>
      <c r="QD2489" s="61"/>
      <c r="QE2489" s="58"/>
      <c r="QF2489" s="58"/>
      <c r="QG2489" s="58"/>
      <c r="QH2489" s="60"/>
      <c r="QI2489" s="60"/>
      <c r="QJ2489" s="60"/>
      <c r="QK2489" s="58"/>
      <c r="QL2489" s="61"/>
      <c r="QM2489" s="58"/>
      <c r="QN2489" s="58"/>
      <c r="QO2489" s="58"/>
      <c r="QP2489" s="60"/>
      <c r="QQ2489" s="60"/>
      <c r="QR2489" s="60"/>
      <c r="QS2489" s="58"/>
      <c r="QT2489" s="61"/>
      <c r="QU2489" s="58"/>
      <c r="QV2489" s="58"/>
      <c r="QW2489" s="58"/>
      <c r="QX2489" s="60"/>
      <c r="QY2489" s="60"/>
      <c r="QZ2489" s="60"/>
      <c r="RA2489" s="58"/>
      <c r="RB2489" s="61"/>
      <c r="RC2489" s="58"/>
      <c r="RD2489" s="58"/>
      <c r="RE2489" s="58"/>
      <c r="RF2489" s="60"/>
      <c r="RG2489" s="60"/>
      <c r="RH2489" s="60"/>
      <c r="RI2489" s="58"/>
      <c r="RJ2489" s="61"/>
      <c r="RK2489" s="58"/>
      <c r="RL2489" s="58"/>
      <c r="RM2489" s="58"/>
      <c r="RN2489" s="60"/>
      <c r="RO2489" s="60"/>
      <c r="RP2489" s="60"/>
      <c r="RQ2489" s="58"/>
      <c r="RR2489" s="61"/>
      <c r="RS2489" s="58"/>
      <c r="RT2489" s="58"/>
      <c r="RU2489" s="58"/>
      <c r="RV2489" s="60"/>
      <c r="RW2489" s="60"/>
      <c r="RX2489" s="60"/>
      <c r="RY2489" s="58"/>
      <c r="RZ2489" s="61"/>
      <c r="SA2489" s="58"/>
      <c r="SB2489" s="58"/>
      <c r="SC2489" s="58"/>
      <c r="SD2489" s="60"/>
      <c r="SE2489" s="60"/>
      <c r="SF2489" s="60"/>
      <c r="SG2489" s="58"/>
      <c r="SH2489" s="61"/>
      <c r="SI2489" s="58"/>
      <c r="SJ2489" s="58"/>
      <c r="SK2489" s="58"/>
      <c r="SL2489" s="60"/>
      <c r="SM2489" s="60"/>
      <c r="SN2489" s="60"/>
      <c r="SO2489" s="58"/>
      <c r="SP2489" s="61"/>
      <c r="SQ2489" s="58"/>
      <c r="SR2489" s="58"/>
      <c r="SS2489" s="58"/>
      <c r="ST2489" s="60"/>
      <c r="SU2489" s="60"/>
      <c r="SV2489" s="60"/>
      <c r="SW2489" s="58"/>
      <c r="SX2489" s="61"/>
      <c r="SY2489" s="58"/>
      <c r="SZ2489" s="58"/>
      <c r="TA2489" s="58"/>
      <c r="TB2489" s="60"/>
      <c r="TC2489" s="60"/>
      <c r="TD2489" s="60"/>
      <c r="TE2489" s="58"/>
      <c r="TF2489" s="61"/>
      <c r="TG2489" s="58"/>
      <c r="TH2489" s="58"/>
      <c r="TI2489" s="58"/>
      <c r="TJ2489" s="60"/>
      <c r="TK2489" s="60"/>
      <c r="TL2489" s="60"/>
      <c r="TM2489" s="58"/>
      <c r="TN2489" s="61"/>
      <c r="TO2489" s="58"/>
      <c r="TP2489" s="58"/>
      <c r="TQ2489" s="58"/>
      <c r="TR2489" s="60"/>
      <c r="TS2489" s="60"/>
      <c r="TT2489" s="60"/>
      <c r="TU2489" s="58"/>
      <c r="TV2489" s="61"/>
      <c r="TW2489" s="58"/>
      <c r="TX2489" s="58"/>
      <c r="TY2489" s="58"/>
      <c r="TZ2489" s="60"/>
      <c r="UA2489" s="60"/>
      <c r="UB2489" s="60"/>
      <c r="UC2489" s="58"/>
      <c r="UD2489" s="61"/>
      <c r="UE2489" s="58"/>
      <c r="UF2489" s="58"/>
      <c r="UG2489" s="58"/>
      <c r="UH2489" s="60"/>
      <c r="UI2489" s="60"/>
      <c r="UJ2489" s="60"/>
      <c r="UK2489" s="58"/>
      <c r="UL2489" s="61"/>
      <c r="UM2489" s="58"/>
      <c r="UN2489" s="58"/>
      <c r="UO2489" s="58"/>
      <c r="UP2489" s="60"/>
      <c r="UQ2489" s="60"/>
      <c r="UR2489" s="60"/>
      <c r="US2489" s="58"/>
      <c r="UT2489" s="61"/>
      <c r="UU2489" s="58"/>
      <c r="UV2489" s="58"/>
      <c r="UW2489" s="58"/>
      <c r="UX2489" s="60"/>
      <c r="UY2489" s="60"/>
      <c r="UZ2489" s="60"/>
      <c r="VA2489" s="58"/>
      <c r="VB2489" s="61"/>
      <c r="VC2489" s="58"/>
      <c r="VD2489" s="58"/>
      <c r="VE2489" s="58"/>
      <c r="VF2489" s="60"/>
      <c r="VG2489" s="60"/>
      <c r="VH2489" s="60"/>
      <c r="VI2489" s="58"/>
      <c r="VJ2489" s="61"/>
      <c r="VK2489" s="58"/>
      <c r="VL2489" s="58"/>
      <c r="VM2489" s="58"/>
      <c r="VN2489" s="60"/>
      <c r="VO2489" s="60"/>
      <c r="VP2489" s="60"/>
      <c r="VQ2489" s="58"/>
      <c r="VR2489" s="61"/>
      <c r="VS2489" s="58"/>
      <c r="VT2489" s="58"/>
      <c r="VU2489" s="58"/>
      <c r="VV2489" s="60"/>
      <c r="VW2489" s="60"/>
      <c r="VX2489" s="60"/>
      <c r="VY2489" s="58"/>
      <c r="VZ2489" s="61"/>
      <c r="WA2489" s="58"/>
      <c r="WB2489" s="58"/>
      <c r="WC2489" s="58"/>
      <c r="WD2489" s="60"/>
      <c r="WE2489" s="60"/>
      <c r="WF2489" s="60"/>
      <c r="WG2489" s="58"/>
      <c r="WH2489" s="61"/>
      <c r="WI2489" s="58"/>
      <c r="WJ2489" s="58"/>
      <c r="WK2489" s="58"/>
      <c r="WL2489" s="60"/>
      <c r="WM2489" s="60"/>
      <c r="WN2489" s="60"/>
      <c r="WO2489" s="58"/>
      <c r="WP2489" s="61"/>
      <c r="WQ2489" s="58"/>
      <c r="WR2489" s="58"/>
      <c r="WS2489" s="58"/>
      <c r="WT2489" s="60"/>
      <c r="WU2489" s="60"/>
      <c r="WV2489" s="60"/>
      <c r="WW2489" s="58"/>
      <c r="WX2489" s="61"/>
      <c r="WY2489" s="58"/>
      <c r="WZ2489" s="58"/>
      <c r="XA2489" s="58"/>
      <c r="XB2489" s="60"/>
      <c r="XC2489" s="60"/>
      <c r="XD2489" s="60"/>
      <c r="XE2489" s="58"/>
      <c r="XF2489" s="61"/>
      <c r="XG2489" s="58"/>
      <c r="XH2489" s="58"/>
      <c r="XI2489" s="58"/>
      <c r="XJ2489" s="60"/>
      <c r="XK2489" s="60"/>
      <c r="XL2489" s="60"/>
      <c r="XM2489" s="58"/>
      <c r="XN2489" s="61"/>
      <c r="XO2489" s="58"/>
      <c r="XP2489" s="58"/>
      <c r="XQ2489" s="58"/>
      <c r="XR2489" s="60"/>
      <c r="XS2489" s="60"/>
      <c r="XT2489" s="60"/>
      <c r="XU2489" s="58"/>
      <c r="XV2489" s="61"/>
      <c r="XW2489" s="58"/>
      <c r="XX2489" s="58"/>
      <c r="XY2489" s="58"/>
      <c r="XZ2489" s="60"/>
      <c r="YA2489" s="60"/>
      <c r="YB2489" s="60"/>
      <c r="YC2489" s="58"/>
      <c r="YD2489" s="61"/>
      <c r="YE2489" s="58"/>
      <c r="YF2489" s="58"/>
      <c r="YG2489" s="58"/>
      <c r="YH2489" s="60"/>
      <c r="YI2489" s="60"/>
      <c r="YJ2489" s="60"/>
      <c r="YK2489" s="58"/>
      <c r="YL2489" s="61"/>
      <c r="YM2489" s="58"/>
      <c r="YN2489" s="58"/>
      <c r="YO2489" s="58"/>
      <c r="YP2489" s="60"/>
      <c r="YQ2489" s="60"/>
      <c r="YR2489" s="60"/>
      <c r="YS2489" s="58"/>
      <c r="YT2489" s="61"/>
      <c r="YU2489" s="58"/>
      <c r="YV2489" s="58"/>
      <c r="YW2489" s="58"/>
      <c r="YX2489" s="60"/>
      <c r="YY2489" s="60"/>
      <c r="YZ2489" s="60"/>
      <c r="ZA2489" s="58"/>
      <c r="ZB2489" s="61"/>
      <c r="ZC2489" s="58"/>
      <c r="ZD2489" s="58"/>
      <c r="ZE2489" s="58"/>
      <c r="ZF2489" s="60"/>
      <c r="ZG2489" s="60"/>
      <c r="ZH2489" s="60"/>
      <c r="ZI2489" s="58"/>
      <c r="ZJ2489" s="61"/>
      <c r="ZK2489" s="58"/>
      <c r="ZL2489" s="58"/>
      <c r="ZM2489" s="58"/>
      <c r="ZN2489" s="60"/>
      <c r="ZO2489" s="60"/>
      <c r="ZP2489" s="60"/>
      <c r="ZQ2489" s="58"/>
      <c r="ZR2489" s="61"/>
      <c r="ZS2489" s="58"/>
      <c r="ZT2489" s="58"/>
      <c r="ZU2489" s="58"/>
      <c r="ZV2489" s="60"/>
      <c r="ZW2489" s="60"/>
      <c r="ZX2489" s="60"/>
      <c r="ZY2489" s="58"/>
      <c r="ZZ2489" s="61"/>
      <c r="AAA2489" s="58"/>
      <c r="AAB2489" s="58"/>
      <c r="AAC2489" s="58"/>
      <c r="AAD2489" s="60"/>
      <c r="AAE2489" s="60"/>
      <c r="AAF2489" s="60"/>
      <c r="AAG2489" s="58"/>
      <c r="AAH2489" s="61"/>
      <c r="AAI2489" s="58"/>
      <c r="AAJ2489" s="58"/>
      <c r="AAK2489" s="58"/>
      <c r="AAL2489" s="60"/>
      <c r="AAM2489" s="60"/>
      <c r="AAN2489" s="60"/>
      <c r="AAO2489" s="58"/>
      <c r="AAP2489" s="61"/>
      <c r="AAQ2489" s="58"/>
      <c r="AAR2489" s="58"/>
      <c r="AAS2489" s="58"/>
      <c r="AAT2489" s="60"/>
      <c r="AAU2489" s="60"/>
      <c r="AAV2489" s="60"/>
      <c r="AAW2489" s="58"/>
      <c r="AAX2489" s="61"/>
      <c r="AAY2489" s="58"/>
      <c r="AAZ2489" s="58"/>
      <c r="ABA2489" s="58"/>
      <c r="ABB2489" s="60"/>
      <c r="ABC2489" s="60"/>
      <c r="ABD2489" s="60"/>
      <c r="ABE2489" s="58"/>
      <c r="ABF2489" s="61"/>
      <c r="ABG2489" s="58"/>
      <c r="ABH2489" s="58"/>
      <c r="ABI2489" s="58"/>
      <c r="ABJ2489" s="60"/>
      <c r="ABK2489" s="60"/>
      <c r="ABL2489" s="60"/>
      <c r="ABM2489" s="58"/>
      <c r="ABN2489" s="61"/>
      <c r="ABO2489" s="58"/>
      <c r="ABP2489" s="58"/>
      <c r="ABQ2489" s="58"/>
      <c r="ABR2489" s="60"/>
      <c r="ABS2489" s="60"/>
      <c r="ABT2489" s="60"/>
      <c r="ABU2489" s="58"/>
      <c r="ABV2489" s="61"/>
      <c r="ABW2489" s="58"/>
      <c r="ABX2489" s="58"/>
      <c r="ABY2489" s="58"/>
      <c r="ABZ2489" s="60"/>
      <c r="ACA2489" s="60"/>
      <c r="ACB2489" s="60"/>
      <c r="ACC2489" s="58"/>
      <c r="ACD2489" s="61"/>
      <c r="ACE2489" s="58"/>
      <c r="ACF2489" s="58"/>
      <c r="ACG2489" s="58"/>
      <c r="ACH2489" s="60"/>
      <c r="ACI2489" s="60"/>
      <c r="ACJ2489" s="60"/>
      <c r="ACK2489" s="58"/>
      <c r="ACL2489" s="61"/>
      <c r="ACM2489" s="58"/>
      <c r="ACN2489" s="58"/>
      <c r="ACO2489" s="58"/>
      <c r="ACP2489" s="60"/>
      <c r="ACQ2489" s="60"/>
      <c r="ACR2489" s="60"/>
      <c r="ACS2489" s="58"/>
      <c r="ACT2489" s="61"/>
      <c r="ACU2489" s="58"/>
      <c r="ACV2489" s="58"/>
      <c r="ACW2489" s="58"/>
      <c r="ACX2489" s="60"/>
      <c r="ACY2489" s="60"/>
      <c r="ACZ2489" s="60"/>
      <c r="ADA2489" s="58"/>
      <c r="ADB2489" s="61"/>
      <c r="ADC2489" s="58"/>
      <c r="ADD2489" s="58"/>
      <c r="ADE2489" s="58"/>
      <c r="ADF2489" s="60"/>
      <c r="ADG2489" s="60"/>
      <c r="ADH2489" s="60"/>
      <c r="ADI2489" s="58"/>
      <c r="ADJ2489" s="61"/>
      <c r="ADK2489" s="58"/>
      <c r="ADL2489" s="58"/>
      <c r="ADM2489" s="58"/>
      <c r="ADN2489" s="60"/>
      <c r="ADO2489" s="60"/>
      <c r="ADP2489" s="60"/>
      <c r="ADQ2489" s="58"/>
      <c r="ADR2489" s="61"/>
      <c r="ADS2489" s="58"/>
      <c r="ADT2489" s="58"/>
      <c r="ADU2489" s="58"/>
      <c r="ADV2489" s="60"/>
      <c r="ADW2489" s="60"/>
      <c r="ADX2489" s="60"/>
      <c r="ADY2489" s="58"/>
      <c r="ADZ2489" s="61"/>
      <c r="AEA2489" s="58"/>
      <c r="AEB2489" s="58"/>
      <c r="AEC2489" s="58"/>
      <c r="AED2489" s="60"/>
      <c r="AEE2489" s="60"/>
      <c r="AEF2489" s="60"/>
      <c r="AEG2489" s="58"/>
      <c r="AEH2489" s="61"/>
      <c r="AEI2489" s="58"/>
      <c r="AEJ2489" s="58"/>
      <c r="AEK2489" s="58"/>
      <c r="AEL2489" s="60"/>
      <c r="AEM2489" s="60"/>
      <c r="AEN2489" s="60"/>
      <c r="AEO2489" s="58"/>
      <c r="AEP2489" s="61"/>
      <c r="AEQ2489" s="58"/>
      <c r="AER2489" s="58"/>
      <c r="AES2489" s="58"/>
      <c r="AET2489" s="60"/>
      <c r="AEU2489" s="60"/>
      <c r="AEV2489" s="60"/>
      <c r="AEW2489" s="58"/>
      <c r="AEX2489" s="61"/>
      <c r="AEY2489" s="58"/>
      <c r="AEZ2489" s="58"/>
      <c r="AFA2489" s="58"/>
      <c r="AFB2489" s="60"/>
      <c r="AFC2489" s="60"/>
      <c r="AFD2489" s="60"/>
      <c r="AFE2489" s="58"/>
      <c r="AFF2489" s="61"/>
      <c r="AFG2489" s="58"/>
      <c r="AFH2489" s="58"/>
      <c r="AFI2489" s="58"/>
      <c r="AFJ2489" s="60"/>
      <c r="AFK2489" s="60"/>
      <c r="AFL2489" s="60"/>
      <c r="AFM2489" s="58"/>
      <c r="AFN2489" s="61"/>
      <c r="AFO2489" s="58"/>
      <c r="AFP2489" s="58"/>
      <c r="AFQ2489" s="58"/>
      <c r="AFR2489" s="60"/>
      <c r="AFS2489" s="60"/>
      <c r="AFT2489" s="60"/>
      <c r="AFU2489" s="58"/>
      <c r="AFV2489" s="61"/>
      <c r="AFW2489" s="58"/>
      <c r="AFX2489" s="58"/>
      <c r="AFY2489" s="58"/>
      <c r="AFZ2489" s="60"/>
      <c r="AGA2489" s="60"/>
      <c r="AGB2489" s="60"/>
      <c r="AGC2489" s="58"/>
      <c r="AGD2489" s="61"/>
      <c r="AGE2489" s="58"/>
      <c r="AGF2489" s="58"/>
      <c r="AGG2489" s="58"/>
      <c r="AGH2489" s="60"/>
      <c r="AGI2489" s="60"/>
      <c r="AGJ2489" s="60"/>
      <c r="AGK2489" s="58"/>
      <c r="AGL2489" s="61"/>
      <c r="AGM2489" s="58"/>
      <c r="AGN2489" s="58"/>
      <c r="AGO2489" s="58"/>
      <c r="AGP2489" s="60"/>
      <c r="AGQ2489" s="60"/>
      <c r="AGR2489" s="60"/>
      <c r="AGS2489" s="58"/>
      <c r="AGT2489" s="61"/>
      <c r="AGU2489" s="58"/>
      <c r="AGV2489" s="58"/>
      <c r="AGW2489" s="58"/>
      <c r="AGX2489" s="60"/>
      <c r="AGY2489" s="60"/>
      <c r="AGZ2489" s="60"/>
      <c r="AHA2489" s="58"/>
      <c r="AHB2489" s="61"/>
      <c r="AHC2489" s="58"/>
      <c r="AHD2489" s="58"/>
      <c r="AHE2489" s="58"/>
      <c r="AHF2489" s="60"/>
      <c r="AHG2489" s="60"/>
      <c r="AHH2489" s="60"/>
      <c r="AHI2489" s="58"/>
      <c r="AHJ2489" s="61"/>
      <c r="AHK2489" s="58"/>
      <c r="AHL2489" s="58"/>
      <c r="AHM2489" s="58"/>
      <c r="AHN2489" s="60"/>
      <c r="AHO2489" s="60"/>
      <c r="AHP2489" s="60"/>
      <c r="AHQ2489" s="58"/>
      <c r="AHR2489" s="61"/>
      <c r="AHS2489" s="58"/>
      <c r="AHT2489" s="58"/>
      <c r="AHU2489" s="58"/>
      <c r="AHV2489" s="60"/>
      <c r="AHW2489" s="60"/>
      <c r="AHX2489" s="60"/>
      <c r="AHY2489" s="58"/>
      <c r="AHZ2489" s="61"/>
      <c r="AIA2489" s="58"/>
      <c r="AIB2489" s="58"/>
      <c r="AIC2489" s="58"/>
      <c r="AID2489" s="60"/>
      <c r="AIE2489" s="60"/>
      <c r="AIF2489" s="60"/>
      <c r="AIG2489" s="58"/>
      <c r="AIH2489" s="61"/>
      <c r="AII2489" s="58"/>
      <c r="AIJ2489" s="58"/>
      <c r="AIK2489" s="58"/>
      <c r="AIL2489" s="60"/>
      <c r="AIM2489" s="60"/>
      <c r="AIN2489" s="60"/>
      <c r="AIO2489" s="58"/>
      <c r="AIP2489" s="61"/>
      <c r="AIQ2489" s="58"/>
      <c r="AIR2489" s="58"/>
      <c r="AIS2489" s="58"/>
      <c r="AIT2489" s="60"/>
      <c r="AIU2489" s="60"/>
      <c r="AIV2489" s="60"/>
      <c r="AIW2489" s="58"/>
      <c r="AIX2489" s="61"/>
      <c r="AIY2489" s="58"/>
      <c r="AIZ2489" s="58"/>
      <c r="AJA2489" s="58"/>
      <c r="AJB2489" s="60"/>
      <c r="AJC2489" s="60"/>
      <c r="AJD2489" s="60"/>
      <c r="AJE2489" s="58"/>
      <c r="AJF2489" s="61"/>
      <c r="AJG2489" s="58"/>
      <c r="AJH2489" s="58"/>
      <c r="AJI2489" s="58"/>
      <c r="AJJ2489" s="60"/>
      <c r="AJK2489" s="60"/>
      <c r="AJL2489" s="60"/>
      <c r="AJM2489" s="58"/>
      <c r="AJN2489" s="61"/>
      <c r="AJO2489" s="58"/>
      <c r="AJP2489" s="58"/>
      <c r="AJQ2489" s="58"/>
      <c r="AJR2489" s="60"/>
      <c r="AJS2489" s="60"/>
      <c r="AJT2489" s="60"/>
      <c r="AJU2489" s="58"/>
      <c r="AJV2489" s="61"/>
      <c r="AJW2489" s="58"/>
      <c r="AJX2489" s="58"/>
      <c r="AJY2489" s="58"/>
      <c r="AJZ2489" s="60"/>
      <c r="AKA2489" s="60"/>
      <c r="AKB2489" s="60"/>
      <c r="AKC2489" s="58"/>
      <c r="AKD2489" s="61"/>
      <c r="AKE2489" s="58"/>
      <c r="AKF2489" s="58"/>
      <c r="AKG2489" s="58"/>
      <c r="AKH2489" s="60"/>
      <c r="AKI2489" s="60"/>
      <c r="AKJ2489" s="60"/>
      <c r="AKK2489" s="58"/>
      <c r="AKL2489" s="61"/>
      <c r="AKM2489" s="58"/>
      <c r="AKN2489" s="58"/>
      <c r="AKO2489" s="58"/>
      <c r="AKP2489" s="60"/>
      <c r="AKQ2489" s="60"/>
      <c r="AKR2489" s="60"/>
      <c r="AKS2489" s="58"/>
      <c r="AKT2489" s="61"/>
      <c r="AKU2489" s="58"/>
      <c r="AKV2489" s="58"/>
      <c r="AKW2489" s="58"/>
      <c r="AKX2489" s="60"/>
      <c r="AKY2489" s="60"/>
      <c r="AKZ2489" s="60"/>
      <c r="ALA2489" s="58"/>
      <c r="ALB2489" s="61"/>
      <c r="ALC2489" s="58"/>
      <c r="ALD2489" s="58"/>
      <c r="ALE2489" s="58"/>
      <c r="ALF2489" s="60"/>
      <c r="ALG2489" s="60"/>
      <c r="ALH2489" s="60"/>
      <c r="ALI2489" s="58"/>
      <c r="ALJ2489" s="61"/>
      <c r="ALK2489" s="58"/>
      <c r="ALL2489" s="58"/>
      <c r="ALM2489" s="58"/>
      <c r="ALN2489" s="60"/>
      <c r="ALO2489" s="60"/>
      <c r="ALP2489" s="60"/>
      <c r="ALQ2489" s="58"/>
      <c r="ALR2489" s="61"/>
      <c r="ALS2489" s="58"/>
      <c r="ALT2489" s="58"/>
      <c r="ALU2489" s="58"/>
      <c r="ALV2489" s="60"/>
      <c r="ALW2489" s="60"/>
      <c r="ALX2489" s="60"/>
      <c r="ALY2489" s="58"/>
      <c r="ALZ2489" s="61"/>
      <c r="AMA2489" s="58"/>
      <c r="AMB2489" s="58"/>
      <c r="AMC2489" s="58"/>
      <c r="AMD2489" s="60"/>
      <c r="AME2489" s="60"/>
      <c r="AMF2489" s="60"/>
      <c r="AMG2489" s="58"/>
      <c r="AMH2489" s="61"/>
      <c r="AMI2489" s="58"/>
      <c r="AMJ2489" s="58"/>
      <c r="AMK2489" s="58"/>
      <c r="AML2489" s="60"/>
      <c r="AMM2489" s="60"/>
      <c r="AMN2489" s="60"/>
      <c r="AMO2489" s="58"/>
      <c r="AMP2489" s="61"/>
      <c r="AMQ2489" s="58"/>
      <c r="AMR2489" s="58"/>
      <c r="AMS2489" s="58"/>
      <c r="AMT2489" s="60"/>
      <c r="AMU2489" s="60"/>
      <c r="AMV2489" s="60"/>
      <c r="AMW2489" s="58"/>
      <c r="AMX2489" s="61"/>
      <c r="AMY2489" s="58"/>
      <c r="AMZ2489" s="58"/>
      <c r="ANA2489" s="58"/>
      <c r="ANB2489" s="60"/>
      <c r="ANC2489" s="60"/>
      <c r="AND2489" s="60"/>
      <c r="ANE2489" s="58"/>
      <c r="ANF2489" s="61"/>
      <c r="ANG2489" s="58"/>
      <c r="ANH2489" s="58"/>
      <c r="ANI2489" s="58"/>
      <c r="ANJ2489" s="60"/>
      <c r="ANK2489" s="60"/>
      <c r="ANL2489" s="60"/>
      <c r="ANM2489" s="58"/>
      <c r="ANN2489" s="61"/>
      <c r="ANO2489" s="58"/>
      <c r="ANP2489" s="58"/>
      <c r="ANQ2489" s="58"/>
      <c r="ANR2489" s="60"/>
      <c r="ANS2489" s="60"/>
      <c r="ANT2489" s="60"/>
      <c r="ANU2489" s="58"/>
      <c r="ANV2489" s="61"/>
      <c r="ANW2489" s="58"/>
      <c r="ANX2489" s="58"/>
      <c r="ANY2489" s="58"/>
      <c r="ANZ2489" s="60"/>
      <c r="AOA2489" s="60"/>
      <c r="AOB2489" s="60"/>
      <c r="AOC2489" s="58"/>
      <c r="AOD2489" s="61"/>
      <c r="AOE2489" s="58"/>
      <c r="AOF2489" s="58"/>
      <c r="AOG2489" s="58"/>
      <c r="AOH2489" s="60"/>
      <c r="AOI2489" s="60"/>
      <c r="AOJ2489" s="60"/>
      <c r="AOK2489" s="58"/>
      <c r="AOL2489" s="61"/>
      <c r="AOM2489" s="58"/>
      <c r="AON2489" s="58"/>
      <c r="AOO2489" s="58"/>
      <c r="AOP2489" s="60"/>
      <c r="AOQ2489" s="60"/>
      <c r="AOR2489" s="60"/>
      <c r="AOS2489" s="58"/>
      <c r="AOT2489" s="61"/>
      <c r="AOU2489" s="58"/>
      <c r="AOV2489" s="58"/>
      <c r="AOW2489" s="58"/>
      <c r="AOX2489" s="60"/>
      <c r="AOY2489" s="60"/>
      <c r="AOZ2489" s="60"/>
      <c r="APA2489" s="58"/>
      <c r="APB2489" s="61"/>
      <c r="APC2489" s="58"/>
      <c r="APD2489" s="58"/>
      <c r="APE2489" s="58"/>
      <c r="APF2489" s="60"/>
      <c r="APG2489" s="60"/>
      <c r="APH2489" s="60"/>
      <c r="API2489" s="58"/>
      <c r="APJ2489" s="61"/>
      <c r="APK2489" s="58"/>
      <c r="APL2489" s="58"/>
      <c r="APM2489" s="58"/>
      <c r="APN2489" s="60"/>
      <c r="APO2489" s="60"/>
      <c r="APP2489" s="60"/>
      <c r="APQ2489" s="58"/>
      <c r="APR2489" s="61"/>
      <c r="APS2489" s="58"/>
      <c r="APT2489" s="58"/>
      <c r="APU2489" s="58"/>
      <c r="APV2489" s="60"/>
      <c r="APW2489" s="60"/>
      <c r="APX2489" s="60"/>
      <c r="APY2489" s="58"/>
      <c r="APZ2489" s="61"/>
      <c r="AQA2489" s="58"/>
      <c r="AQB2489" s="58"/>
      <c r="AQC2489" s="58"/>
      <c r="AQD2489" s="60"/>
      <c r="AQE2489" s="60"/>
      <c r="AQF2489" s="60"/>
      <c r="AQG2489" s="58"/>
      <c r="AQH2489" s="61"/>
      <c r="AQI2489" s="58"/>
      <c r="AQJ2489" s="58"/>
      <c r="AQK2489" s="58"/>
      <c r="AQL2489" s="60"/>
      <c r="AQM2489" s="60"/>
      <c r="AQN2489" s="60"/>
      <c r="AQO2489" s="58"/>
      <c r="AQP2489" s="61"/>
      <c r="AQQ2489" s="58"/>
      <c r="AQR2489" s="58"/>
      <c r="AQS2489" s="58"/>
      <c r="AQT2489" s="60"/>
      <c r="AQU2489" s="60"/>
      <c r="AQV2489" s="60"/>
      <c r="AQW2489" s="58"/>
      <c r="AQX2489" s="61"/>
      <c r="AQY2489" s="58"/>
      <c r="AQZ2489" s="58"/>
      <c r="ARA2489" s="58"/>
      <c r="ARB2489" s="60"/>
      <c r="ARC2489" s="60"/>
      <c r="ARD2489" s="60"/>
      <c r="ARE2489" s="58"/>
      <c r="ARF2489" s="61"/>
      <c r="ARG2489" s="58"/>
      <c r="ARH2489" s="58"/>
      <c r="ARI2489" s="58"/>
      <c r="ARJ2489" s="60"/>
      <c r="ARK2489" s="60"/>
      <c r="ARL2489" s="60"/>
      <c r="ARM2489" s="58"/>
      <c r="ARN2489" s="61"/>
      <c r="ARO2489" s="58"/>
      <c r="ARP2489" s="58"/>
      <c r="ARQ2489" s="58"/>
      <c r="ARR2489" s="60"/>
      <c r="ARS2489" s="60"/>
      <c r="ART2489" s="60"/>
      <c r="ARU2489" s="58"/>
      <c r="ARV2489" s="61"/>
      <c r="ARW2489" s="58"/>
      <c r="ARX2489" s="58"/>
      <c r="ARY2489" s="58"/>
      <c r="ARZ2489" s="60"/>
      <c r="ASA2489" s="60"/>
      <c r="ASB2489" s="60"/>
      <c r="ASC2489" s="58"/>
      <c r="ASD2489" s="61"/>
      <c r="ASE2489" s="58"/>
      <c r="ASF2489" s="58"/>
      <c r="ASG2489" s="58"/>
      <c r="ASH2489" s="60"/>
      <c r="ASI2489" s="60"/>
      <c r="ASJ2489" s="60"/>
      <c r="ASK2489" s="58"/>
      <c r="ASL2489" s="61"/>
      <c r="ASM2489" s="58"/>
      <c r="ASN2489" s="58"/>
      <c r="ASO2489" s="58"/>
      <c r="ASP2489" s="60"/>
      <c r="ASQ2489" s="60"/>
      <c r="ASR2489" s="60"/>
      <c r="ASS2489" s="58"/>
      <c r="AST2489" s="61"/>
      <c r="ASU2489" s="58"/>
      <c r="ASV2489" s="58"/>
      <c r="ASW2489" s="58"/>
      <c r="ASX2489" s="60"/>
      <c r="ASY2489" s="60"/>
      <c r="ASZ2489" s="60"/>
      <c r="ATA2489" s="58"/>
      <c r="ATB2489" s="61"/>
      <c r="ATC2489" s="58"/>
      <c r="ATD2489" s="58"/>
      <c r="ATE2489" s="58"/>
      <c r="ATF2489" s="60"/>
      <c r="ATG2489" s="60"/>
      <c r="ATH2489" s="60"/>
      <c r="ATI2489" s="58"/>
      <c r="ATJ2489" s="61"/>
      <c r="ATK2489" s="58"/>
      <c r="ATL2489" s="58"/>
      <c r="ATM2489" s="58"/>
      <c r="ATN2489" s="60"/>
      <c r="ATO2489" s="60"/>
      <c r="ATP2489" s="60"/>
      <c r="ATQ2489" s="58"/>
      <c r="ATR2489" s="61"/>
      <c r="ATS2489" s="58"/>
      <c r="ATT2489" s="58"/>
      <c r="ATU2489" s="58"/>
      <c r="ATV2489" s="60"/>
      <c r="ATW2489" s="60"/>
      <c r="ATX2489" s="60"/>
      <c r="ATY2489" s="58"/>
      <c r="ATZ2489" s="61"/>
      <c r="AUA2489" s="58"/>
      <c r="AUB2489" s="58"/>
      <c r="AUC2489" s="58"/>
      <c r="AUD2489" s="60"/>
      <c r="AUE2489" s="60"/>
      <c r="AUF2489" s="60"/>
      <c r="AUG2489" s="58"/>
      <c r="AUH2489" s="61"/>
      <c r="AUI2489" s="58"/>
      <c r="AUJ2489" s="58"/>
      <c r="AUK2489" s="58"/>
      <c r="AUL2489" s="60"/>
      <c r="AUM2489" s="60"/>
      <c r="AUN2489" s="60"/>
      <c r="AUO2489" s="58"/>
      <c r="AUP2489" s="61"/>
      <c r="AUQ2489" s="58"/>
      <c r="AUR2489" s="58"/>
      <c r="AUS2489" s="58"/>
      <c r="AUT2489" s="60"/>
      <c r="AUU2489" s="60"/>
      <c r="AUV2489" s="60"/>
      <c r="AUW2489" s="58"/>
      <c r="AUX2489" s="61"/>
      <c r="AUY2489" s="58"/>
      <c r="AUZ2489" s="58"/>
      <c r="AVA2489" s="58"/>
      <c r="AVB2489" s="60"/>
      <c r="AVC2489" s="60"/>
      <c r="AVD2489" s="60"/>
      <c r="AVE2489" s="58"/>
      <c r="AVF2489" s="61"/>
      <c r="AVG2489" s="58"/>
      <c r="AVH2489" s="58"/>
      <c r="AVI2489" s="58"/>
      <c r="AVJ2489" s="60"/>
      <c r="AVK2489" s="60"/>
      <c r="AVL2489" s="60"/>
      <c r="AVM2489" s="58"/>
      <c r="AVN2489" s="61"/>
      <c r="AVO2489" s="58"/>
      <c r="AVP2489" s="58"/>
      <c r="AVQ2489" s="58"/>
      <c r="AVR2489" s="60"/>
      <c r="AVS2489" s="60"/>
      <c r="AVT2489" s="60"/>
      <c r="AVU2489" s="58"/>
      <c r="AVV2489" s="61"/>
      <c r="AVW2489" s="58"/>
      <c r="AVX2489" s="58"/>
      <c r="AVY2489" s="58"/>
      <c r="AVZ2489" s="60"/>
      <c r="AWA2489" s="60"/>
      <c r="AWB2489" s="60"/>
      <c r="AWC2489" s="58"/>
      <c r="AWD2489" s="61"/>
      <c r="AWE2489" s="58"/>
      <c r="AWF2489" s="58"/>
      <c r="AWG2489" s="58"/>
      <c r="AWH2489" s="60"/>
      <c r="AWI2489" s="60"/>
      <c r="AWJ2489" s="60"/>
      <c r="AWK2489" s="58"/>
      <c r="AWL2489" s="61"/>
      <c r="AWM2489" s="58"/>
      <c r="AWN2489" s="58"/>
      <c r="AWO2489" s="58"/>
      <c r="AWP2489" s="60"/>
      <c r="AWQ2489" s="60"/>
      <c r="AWR2489" s="60"/>
      <c r="AWS2489" s="58"/>
      <c r="AWT2489" s="61"/>
      <c r="AWU2489" s="58"/>
      <c r="AWV2489" s="58"/>
      <c r="AWW2489" s="58"/>
      <c r="AWX2489" s="60"/>
      <c r="AWY2489" s="60"/>
      <c r="AWZ2489" s="60"/>
      <c r="AXA2489" s="58"/>
      <c r="AXB2489" s="61"/>
      <c r="AXC2489" s="58"/>
      <c r="AXD2489" s="58"/>
      <c r="AXE2489" s="58"/>
      <c r="AXF2489" s="60"/>
      <c r="AXG2489" s="60"/>
      <c r="AXH2489" s="60"/>
      <c r="AXI2489" s="58"/>
      <c r="AXJ2489" s="61"/>
      <c r="AXK2489" s="58"/>
      <c r="AXL2489" s="58"/>
      <c r="AXM2489" s="58"/>
      <c r="AXN2489" s="60"/>
      <c r="AXO2489" s="60"/>
      <c r="AXP2489" s="60"/>
      <c r="AXQ2489" s="58"/>
      <c r="AXR2489" s="61"/>
      <c r="AXS2489" s="58"/>
      <c r="AXT2489" s="58"/>
      <c r="AXU2489" s="58"/>
      <c r="AXV2489" s="60"/>
      <c r="AXW2489" s="60"/>
      <c r="AXX2489" s="60"/>
      <c r="AXY2489" s="58"/>
      <c r="AXZ2489" s="61"/>
      <c r="AYA2489" s="58"/>
      <c r="AYB2489" s="58"/>
      <c r="AYC2489" s="58"/>
      <c r="AYD2489" s="60"/>
      <c r="AYE2489" s="60"/>
      <c r="AYF2489" s="60"/>
      <c r="AYG2489" s="58"/>
      <c r="AYH2489" s="61"/>
      <c r="AYI2489" s="58"/>
      <c r="AYJ2489" s="58"/>
      <c r="AYK2489" s="58"/>
      <c r="AYL2489" s="60"/>
      <c r="AYM2489" s="60"/>
      <c r="AYN2489" s="60"/>
      <c r="AYO2489" s="58"/>
      <c r="AYP2489" s="61"/>
      <c r="AYQ2489" s="58"/>
      <c r="AYR2489" s="58"/>
      <c r="AYS2489" s="58"/>
      <c r="AYT2489" s="60"/>
      <c r="AYU2489" s="60"/>
      <c r="AYV2489" s="60"/>
      <c r="AYW2489" s="58"/>
      <c r="AYX2489" s="61"/>
      <c r="AYY2489" s="58"/>
      <c r="AYZ2489" s="58"/>
      <c r="AZA2489" s="58"/>
      <c r="AZB2489" s="60"/>
      <c r="AZC2489" s="60"/>
      <c r="AZD2489" s="60"/>
      <c r="AZE2489" s="58"/>
      <c r="AZF2489" s="61"/>
      <c r="AZG2489" s="58"/>
      <c r="AZH2489" s="58"/>
      <c r="AZI2489" s="58"/>
      <c r="AZJ2489" s="60"/>
      <c r="AZK2489" s="60"/>
      <c r="AZL2489" s="60"/>
      <c r="AZM2489" s="58"/>
      <c r="AZN2489" s="61"/>
      <c r="AZO2489" s="58"/>
      <c r="AZP2489" s="58"/>
      <c r="AZQ2489" s="58"/>
      <c r="AZR2489" s="60"/>
      <c r="AZS2489" s="60"/>
      <c r="AZT2489" s="60"/>
      <c r="AZU2489" s="58"/>
      <c r="AZV2489" s="61"/>
      <c r="AZW2489" s="58"/>
      <c r="AZX2489" s="58"/>
      <c r="AZY2489" s="58"/>
      <c r="AZZ2489" s="60"/>
      <c r="BAA2489" s="60"/>
      <c r="BAB2489" s="60"/>
      <c r="BAC2489" s="58"/>
      <c r="BAD2489" s="61"/>
      <c r="BAE2489" s="58"/>
      <c r="BAF2489" s="58"/>
      <c r="BAG2489" s="58"/>
      <c r="BAH2489" s="60"/>
      <c r="BAI2489" s="60"/>
      <c r="BAJ2489" s="60"/>
      <c r="BAK2489" s="58"/>
      <c r="BAL2489" s="61"/>
      <c r="BAM2489" s="58"/>
      <c r="BAN2489" s="58"/>
      <c r="BAO2489" s="58"/>
      <c r="BAP2489" s="60"/>
      <c r="BAQ2489" s="60"/>
      <c r="BAR2489" s="60"/>
      <c r="BAS2489" s="58"/>
      <c r="BAT2489" s="61"/>
      <c r="BAU2489" s="58"/>
      <c r="BAV2489" s="58"/>
      <c r="BAW2489" s="58"/>
      <c r="BAX2489" s="60"/>
      <c r="BAY2489" s="60"/>
      <c r="BAZ2489" s="60"/>
      <c r="BBA2489" s="58"/>
      <c r="BBB2489" s="61"/>
      <c r="BBC2489" s="58"/>
      <c r="BBD2489" s="58"/>
      <c r="BBE2489" s="58"/>
      <c r="BBF2489" s="60"/>
      <c r="BBG2489" s="60"/>
      <c r="BBH2489" s="60"/>
      <c r="BBI2489" s="58"/>
      <c r="BBJ2489" s="61"/>
      <c r="BBK2489" s="58"/>
      <c r="BBL2489" s="58"/>
      <c r="BBM2489" s="58"/>
      <c r="BBN2489" s="60"/>
      <c r="BBO2489" s="60"/>
      <c r="BBP2489" s="60"/>
      <c r="BBQ2489" s="58"/>
      <c r="BBR2489" s="61"/>
      <c r="BBS2489" s="58"/>
      <c r="BBT2489" s="58"/>
      <c r="BBU2489" s="58"/>
      <c r="BBV2489" s="60"/>
      <c r="BBW2489" s="60"/>
      <c r="BBX2489" s="60"/>
      <c r="BBY2489" s="58"/>
      <c r="BBZ2489" s="61"/>
      <c r="BCA2489" s="58"/>
      <c r="BCB2489" s="58"/>
      <c r="BCC2489" s="58"/>
      <c r="BCD2489" s="60"/>
      <c r="BCE2489" s="60"/>
      <c r="BCF2489" s="60"/>
      <c r="BCG2489" s="58"/>
      <c r="BCH2489" s="61"/>
      <c r="BCI2489" s="58"/>
      <c r="BCJ2489" s="58"/>
      <c r="BCK2489" s="58"/>
      <c r="BCL2489" s="60"/>
      <c r="BCM2489" s="60"/>
      <c r="BCN2489" s="60"/>
      <c r="BCO2489" s="58"/>
      <c r="BCP2489" s="61"/>
      <c r="BCQ2489" s="58"/>
      <c r="BCR2489" s="58"/>
      <c r="BCS2489" s="58"/>
      <c r="BCT2489" s="60"/>
      <c r="BCU2489" s="60"/>
      <c r="BCV2489" s="60"/>
      <c r="BCW2489" s="58"/>
      <c r="BCX2489" s="61"/>
      <c r="BCY2489" s="58"/>
      <c r="BCZ2489" s="58"/>
      <c r="BDA2489" s="58"/>
      <c r="BDB2489" s="60"/>
      <c r="BDC2489" s="60"/>
      <c r="BDD2489" s="60"/>
      <c r="BDE2489" s="58"/>
      <c r="BDF2489" s="61"/>
      <c r="BDG2489" s="58"/>
      <c r="BDH2489" s="58"/>
      <c r="BDI2489" s="58"/>
      <c r="BDJ2489" s="60"/>
      <c r="BDK2489" s="60"/>
      <c r="BDL2489" s="60"/>
      <c r="BDM2489" s="58"/>
      <c r="BDN2489" s="61"/>
      <c r="BDO2489" s="58"/>
      <c r="BDP2489" s="58"/>
      <c r="BDQ2489" s="58"/>
      <c r="BDR2489" s="60"/>
      <c r="BDS2489" s="60"/>
      <c r="BDT2489" s="60"/>
      <c r="BDU2489" s="58"/>
      <c r="BDV2489" s="61"/>
      <c r="BDW2489" s="58"/>
      <c r="BDX2489" s="58"/>
      <c r="BDY2489" s="58"/>
      <c r="BDZ2489" s="60"/>
      <c r="BEA2489" s="60"/>
      <c r="BEB2489" s="60"/>
      <c r="BEC2489" s="58"/>
      <c r="BED2489" s="61"/>
      <c r="BEE2489" s="58"/>
      <c r="BEF2489" s="58"/>
      <c r="BEG2489" s="58"/>
      <c r="BEH2489" s="60"/>
      <c r="BEI2489" s="60"/>
      <c r="BEJ2489" s="60"/>
      <c r="BEK2489" s="58"/>
      <c r="BEL2489" s="61"/>
      <c r="BEM2489" s="58"/>
      <c r="BEN2489" s="58"/>
      <c r="BEO2489" s="58"/>
      <c r="BEP2489" s="60"/>
      <c r="BEQ2489" s="60"/>
      <c r="BER2489" s="60"/>
      <c r="BES2489" s="58"/>
      <c r="BET2489" s="61"/>
      <c r="BEU2489" s="58"/>
      <c r="BEV2489" s="58"/>
      <c r="BEW2489" s="58"/>
      <c r="BEX2489" s="60"/>
      <c r="BEY2489" s="60"/>
      <c r="BEZ2489" s="60"/>
      <c r="BFA2489" s="58"/>
      <c r="BFB2489" s="61"/>
      <c r="BFC2489" s="58"/>
      <c r="BFD2489" s="58"/>
      <c r="BFE2489" s="58"/>
      <c r="BFF2489" s="60"/>
      <c r="BFG2489" s="60"/>
      <c r="BFH2489" s="60"/>
      <c r="BFI2489" s="58"/>
      <c r="BFJ2489" s="61"/>
      <c r="BFK2489" s="58"/>
      <c r="BFL2489" s="58"/>
      <c r="BFM2489" s="58"/>
      <c r="BFN2489" s="60"/>
      <c r="BFO2489" s="60"/>
      <c r="BFP2489" s="60"/>
      <c r="BFQ2489" s="58"/>
      <c r="BFR2489" s="61"/>
      <c r="BFS2489" s="58"/>
      <c r="BFT2489" s="58"/>
      <c r="BFU2489" s="58"/>
      <c r="BFV2489" s="60"/>
      <c r="BFW2489" s="60"/>
      <c r="BFX2489" s="60"/>
      <c r="BFY2489" s="58"/>
      <c r="BFZ2489" s="61"/>
      <c r="BGA2489" s="58"/>
      <c r="BGB2489" s="58"/>
      <c r="BGC2489" s="58"/>
      <c r="BGD2489" s="60"/>
      <c r="BGE2489" s="60"/>
      <c r="BGF2489" s="60"/>
      <c r="BGG2489" s="58"/>
      <c r="BGH2489" s="61"/>
      <c r="BGI2489" s="58"/>
      <c r="BGJ2489" s="58"/>
      <c r="BGK2489" s="58"/>
      <c r="BGL2489" s="60"/>
      <c r="BGM2489" s="60"/>
      <c r="BGN2489" s="60"/>
      <c r="BGO2489" s="58"/>
      <c r="BGP2489" s="61"/>
      <c r="BGQ2489" s="58"/>
      <c r="BGR2489" s="58"/>
      <c r="BGS2489" s="58"/>
      <c r="BGT2489" s="60"/>
      <c r="BGU2489" s="60"/>
      <c r="BGV2489" s="60"/>
      <c r="BGW2489" s="58"/>
      <c r="BGX2489" s="61"/>
      <c r="BGY2489" s="58"/>
      <c r="BGZ2489" s="58"/>
      <c r="BHA2489" s="58"/>
      <c r="BHB2489" s="60"/>
      <c r="BHC2489" s="60"/>
      <c r="BHD2489" s="60"/>
      <c r="BHE2489" s="58"/>
      <c r="BHF2489" s="61"/>
      <c r="BHG2489" s="58"/>
      <c r="BHH2489" s="58"/>
      <c r="BHI2489" s="58"/>
      <c r="BHJ2489" s="60"/>
      <c r="BHK2489" s="60"/>
      <c r="BHL2489" s="60"/>
      <c r="BHM2489" s="58"/>
      <c r="BHN2489" s="61"/>
      <c r="BHO2489" s="58"/>
      <c r="BHP2489" s="58"/>
      <c r="BHQ2489" s="58"/>
      <c r="BHR2489" s="60"/>
      <c r="BHS2489" s="60"/>
      <c r="BHT2489" s="60"/>
      <c r="BHU2489" s="58"/>
      <c r="BHV2489" s="61"/>
      <c r="BHW2489" s="58"/>
      <c r="BHX2489" s="58"/>
      <c r="BHY2489" s="58"/>
      <c r="BHZ2489" s="60"/>
      <c r="BIA2489" s="60"/>
      <c r="BIB2489" s="60"/>
      <c r="BIC2489" s="58"/>
      <c r="BID2489" s="61"/>
      <c r="BIE2489" s="58"/>
      <c r="BIF2489" s="58"/>
      <c r="BIG2489" s="58"/>
      <c r="BIH2489" s="60"/>
      <c r="BII2489" s="60"/>
      <c r="BIJ2489" s="60"/>
      <c r="BIK2489" s="58"/>
      <c r="BIL2489" s="61"/>
      <c r="BIM2489" s="58"/>
      <c r="BIN2489" s="58"/>
      <c r="BIO2489" s="58"/>
      <c r="BIP2489" s="60"/>
      <c r="BIQ2489" s="60"/>
      <c r="BIR2489" s="60"/>
      <c r="BIS2489" s="58"/>
      <c r="BIT2489" s="61"/>
      <c r="BIU2489" s="58"/>
      <c r="BIV2489" s="58"/>
      <c r="BIW2489" s="58"/>
      <c r="BIX2489" s="60"/>
      <c r="BIY2489" s="60"/>
      <c r="BIZ2489" s="60"/>
      <c r="BJA2489" s="58"/>
      <c r="BJB2489" s="61"/>
      <c r="BJC2489" s="58"/>
      <c r="BJD2489" s="58"/>
      <c r="BJE2489" s="58"/>
      <c r="BJF2489" s="60"/>
      <c r="BJG2489" s="60"/>
      <c r="BJH2489" s="60"/>
      <c r="BJI2489" s="58"/>
      <c r="BJJ2489" s="61"/>
      <c r="BJK2489" s="58"/>
      <c r="BJL2489" s="58"/>
      <c r="BJM2489" s="58"/>
      <c r="BJN2489" s="60"/>
      <c r="BJO2489" s="60"/>
      <c r="BJP2489" s="60"/>
      <c r="BJQ2489" s="58"/>
      <c r="BJR2489" s="61"/>
      <c r="BJS2489" s="58"/>
      <c r="BJT2489" s="58"/>
      <c r="BJU2489" s="58"/>
      <c r="BJV2489" s="60"/>
      <c r="BJW2489" s="60"/>
      <c r="BJX2489" s="60"/>
      <c r="BJY2489" s="58"/>
      <c r="BJZ2489" s="61"/>
      <c r="BKA2489" s="58"/>
      <c r="BKB2489" s="58"/>
      <c r="BKC2489" s="58"/>
      <c r="BKD2489" s="60"/>
      <c r="BKE2489" s="60"/>
      <c r="BKF2489" s="60"/>
      <c r="BKG2489" s="58"/>
      <c r="BKH2489" s="61"/>
      <c r="BKI2489" s="58"/>
      <c r="BKJ2489" s="58"/>
      <c r="BKK2489" s="58"/>
      <c r="BKL2489" s="60"/>
      <c r="BKM2489" s="60"/>
      <c r="BKN2489" s="60"/>
      <c r="BKO2489" s="58"/>
      <c r="BKP2489" s="61"/>
      <c r="BKQ2489" s="58"/>
      <c r="BKR2489" s="58"/>
      <c r="BKS2489" s="58"/>
      <c r="BKT2489" s="60"/>
      <c r="BKU2489" s="60"/>
      <c r="BKV2489" s="60"/>
      <c r="BKW2489" s="58"/>
      <c r="BKX2489" s="61"/>
      <c r="BKY2489" s="58"/>
      <c r="BKZ2489" s="58"/>
      <c r="BLA2489" s="58"/>
      <c r="BLB2489" s="60"/>
      <c r="BLC2489" s="60"/>
      <c r="BLD2489" s="60"/>
      <c r="BLE2489" s="58"/>
      <c r="BLF2489" s="61"/>
      <c r="BLG2489" s="58"/>
      <c r="BLH2489" s="58"/>
      <c r="BLI2489" s="58"/>
      <c r="BLJ2489" s="60"/>
      <c r="BLK2489" s="60"/>
      <c r="BLL2489" s="60"/>
      <c r="BLM2489" s="58"/>
      <c r="BLN2489" s="61"/>
      <c r="BLO2489" s="58"/>
      <c r="BLP2489" s="58"/>
      <c r="BLQ2489" s="58"/>
      <c r="BLR2489" s="60"/>
      <c r="BLS2489" s="60"/>
      <c r="BLT2489" s="60"/>
      <c r="BLU2489" s="58"/>
      <c r="BLV2489" s="61"/>
      <c r="BLW2489" s="58"/>
      <c r="BLX2489" s="58"/>
      <c r="BLY2489" s="58"/>
      <c r="BLZ2489" s="60"/>
      <c r="BMA2489" s="60"/>
      <c r="BMB2489" s="60"/>
      <c r="BMC2489" s="58"/>
      <c r="BMD2489" s="61"/>
      <c r="BME2489" s="58"/>
      <c r="BMF2489" s="58"/>
      <c r="BMG2489" s="58"/>
      <c r="BMH2489" s="60"/>
      <c r="BMI2489" s="60"/>
      <c r="BMJ2489" s="60"/>
      <c r="BMK2489" s="58"/>
      <c r="BML2489" s="61"/>
      <c r="BMM2489" s="58"/>
      <c r="BMN2489" s="58"/>
      <c r="BMO2489" s="58"/>
      <c r="BMP2489" s="60"/>
      <c r="BMQ2489" s="60"/>
      <c r="BMR2489" s="60"/>
      <c r="BMS2489" s="58"/>
      <c r="BMT2489" s="61"/>
      <c r="BMU2489" s="58"/>
      <c r="BMV2489" s="58"/>
      <c r="BMW2489" s="58"/>
      <c r="BMX2489" s="60"/>
      <c r="BMY2489" s="60"/>
      <c r="BMZ2489" s="60"/>
      <c r="BNA2489" s="58"/>
      <c r="BNB2489" s="61"/>
      <c r="BNC2489" s="58"/>
      <c r="BND2489" s="58"/>
      <c r="BNE2489" s="58"/>
      <c r="BNF2489" s="60"/>
      <c r="BNG2489" s="60"/>
      <c r="BNH2489" s="60"/>
      <c r="BNI2489" s="58"/>
      <c r="BNJ2489" s="61"/>
      <c r="BNK2489" s="58"/>
      <c r="BNL2489" s="58"/>
      <c r="BNM2489" s="58"/>
      <c r="BNN2489" s="60"/>
      <c r="BNO2489" s="60"/>
      <c r="BNP2489" s="60"/>
      <c r="BNQ2489" s="58"/>
      <c r="BNR2489" s="61"/>
      <c r="BNS2489" s="58"/>
      <c r="BNT2489" s="58"/>
      <c r="BNU2489" s="58"/>
      <c r="BNV2489" s="60"/>
      <c r="BNW2489" s="60"/>
      <c r="BNX2489" s="60"/>
      <c r="BNY2489" s="58"/>
      <c r="BNZ2489" s="61"/>
      <c r="BOA2489" s="58"/>
      <c r="BOB2489" s="58"/>
      <c r="BOC2489" s="58"/>
      <c r="BOD2489" s="60"/>
      <c r="BOE2489" s="60"/>
      <c r="BOF2489" s="60"/>
      <c r="BOG2489" s="58"/>
      <c r="BOH2489" s="61"/>
      <c r="BOI2489" s="58"/>
      <c r="BOJ2489" s="58"/>
      <c r="BOK2489" s="58"/>
      <c r="BOL2489" s="60"/>
      <c r="BOM2489" s="60"/>
      <c r="BON2489" s="60"/>
      <c r="BOO2489" s="58"/>
      <c r="BOP2489" s="61"/>
      <c r="BOQ2489" s="58"/>
      <c r="BOR2489" s="58"/>
      <c r="BOS2489" s="58"/>
      <c r="BOT2489" s="60"/>
      <c r="BOU2489" s="60"/>
      <c r="BOV2489" s="60"/>
      <c r="BOW2489" s="58"/>
      <c r="BOX2489" s="61"/>
      <c r="BOY2489" s="58"/>
      <c r="BOZ2489" s="58"/>
      <c r="BPA2489" s="58"/>
      <c r="BPB2489" s="60"/>
      <c r="BPC2489" s="60"/>
      <c r="BPD2489" s="60"/>
      <c r="BPE2489" s="58"/>
      <c r="BPF2489" s="61"/>
      <c r="BPG2489" s="58"/>
      <c r="BPH2489" s="58"/>
      <c r="BPI2489" s="58"/>
      <c r="BPJ2489" s="60"/>
      <c r="BPK2489" s="60"/>
      <c r="BPL2489" s="60"/>
      <c r="BPM2489" s="58"/>
      <c r="BPN2489" s="61"/>
      <c r="BPO2489" s="58"/>
      <c r="BPP2489" s="58"/>
      <c r="BPQ2489" s="58"/>
      <c r="BPR2489" s="60"/>
      <c r="BPS2489" s="60"/>
      <c r="BPT2489" s="60"/>
      <c r="BPU2489" s="58"/>
      <c r="BPV2489" s="61"/>
      <c r="BPW2489" s="58"/>
      <c r="BPX2489" s="58"/>
      <c r="BPY2489" s="58"/>
      <c r="BPZ2489" s="60"/>
      <c r="BQA2489" s="60"/>
      <c r="BQB2489" s="60"/>
      <c r="BQC2489" s="58"/>
      <c r="BQD2489" s="61"/>
      <c r="BQE2489" s="58"/>
      <c r="BQF2489" s="58"/>
      <c r="BQG2489" s="58"/>
      <c r="BQH2489" s="60"/>
      <c r="BQI2489" s="60"/>
      <c r="BQJ2489" s="60"/>
      <c r="BQK2489" s="58"/>
      <c r="BQL2489" s="61"/>
      <c r="BQM2489" s="58"/>
      <c r="BQN2489" s="58"/>
      <c r="BQO2489" s="58"/>
      <c r="BQP2489" s="60"/>
      <c r="BQQ2489" s="60"/>
      <c r="BQR2489" s="60"/>
      <c r="BQS2489" s="58"/>
      <c r="BQT2489" s="61"/>
      <c r="BQU2489" s="58"/>
      <c r="BQV2489" s="58"/>
      <c r="BQW2489" s="58"/>
      <c r="BQX2489" s="60"/>
      <c r="BQY2489" s="60"/>
      <c r="BQZ2489" s="60"/>
      <c r="BRA2489" s="58"/>
      <c r="BRB2489" s="61"/>
      <c r="BRC2489" s="58"/>
      <c r="BRD2489" s="58"/>
      <c r="BRE2489" s="58"/>
      <c r="BRF2489" s="60"/>
      <c r="BRG2489" s="60"/>
      <c r="BRH2489" s="60"/>
      <c r="BRI2489" s="58"/>
      <c r="BRJ2489" s="61"/>
      <c r="BRK2489" s="58"/>
      <c r="BRL2489" s="58"/>
      <c r="BRM2489" s="58"/>
      <c r="BRN2489" s="60"/>
      <c r="BRO2489" s="60"/>
      <c r="BRP2489" s="60"/>
      <c r="BRQ2489" s="58"/>
      <c r="BRR2489" s="61"/>
      <c r="BRS2489" s="58"/>
      <c r="BRT2489" s="58"/>
      <c r="BRU2489" s="58"/>
      <c r="BRV2489" s="60"/>
      <c r="BRW2489" s="60"/>
      <c r="BRX2489" s="60"/>
      <c r="BRY2489" s="58"/>
      <c r="BRZ2489" s="61"/>
      <c r="BSA2489" s="58"/>
      <c r="BSB2489" s="58"/>
      <c r="BSC2489" s="58"/>
      <c r="BSD2489" s="60"/>
      <c r="BSE2489" s="60"/>
      <c r="BSF2489" s="60"/>
      <c r="BSG2489" s="58"/>
      <c r="BSH2489" s="61"/>
      <c r="BSI2489" s="58"/>
      <c r="BSJ2489" s="58"/>
      <c r="BSK2489" s="58"/>
      <c r="BSL2489" s="60"/>
      <c r="BSM2489" s="60"/>
      <c r="BSN2489" s="60"/>
      <c r="BSO2489" s="58"/>
      <c r="BSP2489" s="61"/>
      <c r="BSQ2489" s="58"/>
      <c r="BSR2489" s="58"/>
      <c r="BSS2489" s="58"/>
      <c r="BST2489" s="60"/>
      <c r="BSU2489" s="60"/>
      <c r="BSV2489" s="60"/>
      <c r="BSW2489" s="58"/>
      <c r="BSX2489" s="61"/>
      <c r="BSY2489" s="58"/>
      <c r="BSZ2489" s="58"/>
      <c r="BTA2489" s="58"/>
      <c r="BTB2489" s="60"/>
      <c r="BTC2489" s="60"/>
      <c r="BTD2489" s="60"/>
      <c r="BTE2489" s="58"/>
      <c r="BTF2489" s="61"/>
      <c r="BTG2489" s="58"/>
      <c r="BTH2489" s="58"/>
      <c r="BTI2489" s="58"/>
      <c r="BTJ2489" s="60"/>
      <c r="BTK2489" s="60"/>
      <c r="BTL2489" s="60"/>
      <c r="BTM2489" s="58"/>
      <c r="BTN2489" s="61"/>
      <c r="BTO2489" s="58"/>
      <c r="BTP2489" s="58"/>
      <c r="BTQ2489" s="58"/>
      <c r="BTR2489" s="60"/>
      <c r="BTS2489" s="60"/>
      <c r="BTT2489" s="60"/>
      <c r="BTU2489" s="58"/>
      <c r="BTV2489" s="61"/>
      <c r="BTW2489" s="58"/>
      <c r="BTX2489" s="58"/>
      <c r="BTY2489" s="58"/>
      <c r="BTZ2489" s="60"/>
      <c r="BUA2489" s="60"/>
      <c r="BUB2489" s="60"/>
      <c r="BUC2489" s="58"/>
      <c r="BUD2489" s="61"/>
      <c r="BUE2489" s="58"/>
      <c r="BUF2489" s="58"/>
      <c r="BUG2489" s="58"/>
      <c r="BUH2489" s="60"/>
      <c r="BUI2489" s="60"/>
      <c r="BUJ2489" s="60"/>
      <c r="BUK2489" s="58"/>
      <c r="BUL2489" s="61"/>
      <c r="BUM2489" s="58"/>
      <c r="BUN2489" s="58"/>
      <c r="BUO2489" s="58"/>
      <c r="BUP2489" s="60"/>
      <c r="BUQ2489" s="60"/>
      <c r="BUR2489" s="60"/>
      <c r="BUS2489" s="58"/>
      <c r="BUT2489" s="61"/>
      <c r="BUU2489" s="58"/>
      <c r="BUV2489" s="58"/>
      <c r="BUW2489" s="58"/>
      <c r="BUX2489" s="60"/>
      <c r="BUY2489" s="60"/>
      <c r="BUZ2489" s="60"/>
      <c r="BVA2489" s="58"/>
      <c r="BVB2489" s="61"/>
      <c r="BVC2489" s="58"/>
      <c r="BVD2489" s="58"/>
      <c r="BVE2489" s="58"/>
      <c r="BVF2489" s="60"/>
      <c r="BVG2489" s="60"/>
      <c r="BVH2489" s="60"/>
      <c r="BVI2489" s="58"/>
      <c r="BVJ2489" s="61"/>
      <c r="BVK2489" s="58"/>
      <c r="BVL2489" s="58"/>
      <c r="BVM2489" s="58"/>
      <c r="BVN2489" s="60"/>
      <c r="BVO2489" s="60"/>
      <c r="BVP2489" s="60"/>
      <c r="BVQ2489" s="58"/>
      <c r="BVR2489" s="61"/>
      <c r="BVS2489" s="58"/>
      <c r="BVT2489" s="58"/>
      <c r="BVU2489" s="58"/>
      <c r="BVV2489" s="60"/>
      <c r="BVW2489" s="60"/>
      <c r="BVX2489" s="60"/>
      <c r="BVY2489" s="58"/>
      <c r="BVZ2489" s="61"/>
      <c r="BWA2489" s="58"/>
      <c r="BWB2489" s="58"/>
      <c r="BWC2489" s="58"/>
      <c r="BWD2489" s="60"/>
      <c r="BWE2489" s="60"/>
      <c r="BWF2489" s="60"/>
      <c r="BWG2489" s="58"/>
      <c r="BWH2489" s="61"/>
      <c r="BWI2489" s="58"/>
      <c r="BWJ2489" s="58"/>
      <c r="BWK2489" s="58"/>
      <c r="BWL2489" s="60"/>
      <c r="BWM2489" s="60"/>
      <c r="BWN2489" s="60"/>
      <c r="BWO2489" s="58"/>
      <c r="BWP2489" s="61"/>
      <c r="BWQ2489" s="58"/>
      <c r="BWR2489" s="58"/>
      <c r="BWS2489" s="58"/>
      <c r="BWT2489" s="60"/>
      <c r="BWU2489" s="60"/>
      <c r="BWV2489" s="60"/>
      <c r="BWW2489" s="58"/>
      <c r="BWX2489" s="61"/>
      <c r="BWY2489" s="58"/>
      <c r="BWZ2489" s="58"/>
      <c r="BXA2489" s="58"/>
      <c r="BXB2489" s="60"/>
      <c r="BXC2489" s="60"/>
      <c r="BXD2489" s="60"/>
      <c r="BXE2489" s="58"/>
      <c r="BXF2489" s="61"/>
      <c r="BXG2489" s="58"/>
      <c r="BXH2489" s="58"/>
      <c r="BXI2489" s="58"/>
      <c r="BXJ2489" s="60"/>
      <c r="BXK2489" s="60"/>
      <c r="BXL2489" s="60"/>
      <c r="BXM2489" s="58"/>
      <c r="BXN2489" s="61"/>
      <c r="BXO2489" s="58"/>
      <c r="BXP2489" s="58"/>
      <c r="BXQ2489" s="58"/>
      <c r="BXR2489" s="60"/>
      <c r="BXS2489" s="60"/>
      <c r="BXT2489" s="60"/>
      <c r="BXU2489" s="58"/>
      <c r="BXV2489" s="61"/>
      <c r="BXW2489" s="58"/>
      <c r="BXX2489" s="58"/>
      <c r="BXY2489" s="58"/>
      <c r="BXZ2489" s="60"/>
      <c r="BYA2489" s="60"/>
      <c r="BYB2489" s="60"/>
      <c r="BYC2489" s="58"/>
      <c r="BYD2489" s="61"/>
      <c r="BYE2489" s="58"/>
      <c r="BYF2489" s="58"/>
      <c r="BYG2489" s="58"/>
      <c r="BYH2489" s="60"/>
      <c r="BYI2489" s="60"/>
      <c r="BYJ2489" s="60"/>
      <c r="BYK2489" s="58"/>
      <c r="BYL2489" s="61"/>
      <c r="BYM2489" s="58"/>
      <c r="BYN2489" s="58"/>
      <c r="BYO2489" s="58"/>
      <c r="BYP2489" s="60"/>
      <c r="BYQ2489" s="60"/>
      <c r="BYR2489" s="60"/>
      <c r="BYS2489" s="58"/>
      <c r="BYT2489" s="61"/>
      <c r="BYU2489" s="58"/>
      <c r="BYV2489" s="58"/>
      <c r="BYW2489" s="58"/>
      <c r="BYX2489" s="60"/>
      <c r="BYY2489" s="60"/>
      <c r="BYZ2489" s="60"/>
      <c r="BZA2489" s="58"/>
      <c r="BZB2489" s="61"/>
      <c r="BZC2489" s="58"/>
      <c r="BZD2489" s="58"/>
      <c r="BZE2489" s="58"/>
      <c r="BZF2489" s="60"/>
      <c r="BZG2489" s="60"/>
      <c r="BZH2489" s="60"/>
      <c r="BZI2489" s="58"/>
      <c r="BZJ2489" s="61"/>
      <c r="BZK2489" s="58"/>
      <c r="BZL2489" s="58"/>
      <c r="BZM2489" s="58"/>
      <c r="BZN2489" s="60"/>
      <c r="BZO2489" s="60"/>
      <c r="BZP2489" s="60"/>
      <c r="BZQ2489" s="58"/>
      <c r="BZR2489" s="61"/>
      <c r="BZS2489" s="58"/>
      <c r="BZT2489" s="58"/>
      <c r="BZU2489" s="58"/>
      <c r="BZV2489" s="60"/>
      <c r="BZW2489" s="60"/>
      <c r="BZX2489" s="60"/>
      <c r="BZY2489" s="58"/>
      <c r="BZZ2489" s="61"/>
      <c r="CAA2489" s="58"/>
      <c r="CAB2489" s="58"/>
      <c r="CAC2489" s="58"/>
      <c r="CAD2489" s="60"/>
      <c r="CAE2489" s="60"/>
      <c r="CAF2489" s="60"/>
      <c r="CAG2489" s="58"/>
      <c r="CAH2489" s="61"/>
      <c r="CAI2489" s="58"/>
      <c r="CAJ2489" s="58"/>
      <c r="CAK2489" s="58"/>
      <c r="CAL2489" s="60"/>
      <c r="CAM2489" s="60"/>
      <c r="CAN2489" s="60"/>
      <c r="CAO2489" s="58"/>
      <c r="CAP2489" s="61"/>
      <c r="CAQ2489" s="58"/>
      <c r="CAR2489" s="58"/>
      <c r="CAS2489" s="58"/>
      <c r="CAT2489" s="60"/>
      <c r="CAU2489" s="60"/>
      <c r="CAV2489" s="60"/>
      <c r="CAW2489" s="58"/>
      <c r="CAX2489" s="61"/>
      <c r="CAY2489" s="58"/>
      <c r="CAZ2489" s="58"/>
      <c r="CBA2489" s="58"/>
      <c r="CBB2489" s="60"/>
      <c r="CBC2489" s="60"/>
      <c r="CBD2489" s="60"/>
      <c r="CBE2489" s="58"/>
      <c r="CBF2489" s="61"/>
      <c r="CBG2489" s="58"/>
      <c r="CBH2489" s="58"/>
      <c r="CBI2489" s="58"/>
      <c r="CBJ2489" s="60"/>
      <c r="CBK2489" s="60"/>
      <c r="CBL2489" s="60"/>
      <c r="CBM2489" s="58"/>
      <c r="CBN2489" s="61"/>
      <c r="CBO2489" s="58"/>
      <c r="CBP2489" s="58"/>
      <c r="CBQ2489" s="58"/>
      <c r="CBR2489" s="60"/>
      <c r="CBS2489" s="60"/>
      <c r="CBT2489" s="60"/>
      <c r="CBU2489" s="58"/>
      <c r="CBV2489" s="61"/>
      <c r="CBW2489" s="58"/>
      <c r="CBX2489" s="58"/>
      <c r="CBY2489" s="58"/>
      <c r="CBZ2489" s="60"/>
      <c r="CCA2489" s="60"/>
      <c r="CCB2489" s="60"/>
      <c r="CCC2489" s="58"/>
      <c r="CCD2489" s="61"/>
      <c r="CCE2489" s="58"/>
      <c r="CCF2489" s="58"/>
      <c r="CCG2489" s="58"/>
      <c r="CCH2489" s="60"/>
      <c r="CCI2489" s="60"/>
      <c r="CCJ2489" s="60"/>
      <c r="CCK2489" s="58"/>
      <c r="CCL2489" s="61"/>
      <c r="CCM2489" s="58"/>
      <c r="CCN2489" s="58"/>
      <c r="CCO2489" s="58"/>
      <c r="CCP2489" s="60"/>
      <c r="CCQ2489" s="60"/>
      <c r="CCR2489" s="60"/>
      <c r="CCS2489" s="58"/>
      <c r="CCT2489" s="61"/>
      <c r="CCU2489" s="58"/>
      <c r="CCV2489" s="58"/>
      <c r="CCW2489" s="58"/>
      <c r="CCX2489" s="60"/>
      <c r="CCY2489" s="60"/>
      <c r="CCZ2489" s="60"/>
      <c r="CDA2489" s="58"/>
      <c r="CDB2489" s="61"/>
      <c r="CDC2489" s="58"/>
      <c r="CDD2489" s="58"/>
      <c r="CDE2489" s="58"/>
      <c r="CDF2489" s="60"/>
      <c r="CDG2489" s="60"/>
      <c r="CDH2489" s="60"/>
      <c r="CDI2489" s="58"/>
      <c r="CDJ2489" s="61"/>
      <c r="CDK2489" s="58"/>
      <c r="CDL2489" s="58"/>
      <c r="CDM2489" s="58"/>
      <c r="CDN2489" s="60"/>
      <c r="CDO2489" s="60"/>
      <c r="CDP2489" s="60"/>
      <c r="CDQ2489" s="58"/>
      <c r="CDR2489" s="61"/>
      <c r="CDS2489" s="58"/>
      <c r="CDT2489" s="58"/>
      <c r="CDU2489" s="58"/>
      <c r="CDV2489" s="60"/>
      <c r="CDW2489" s="60"/>
      <c r="CDX2489" s="60"/>
      <c r="CDY2489" s="58"/>
      <c r="CDZ2489" s="61"/>
      <c r="CEA2489" s="58"/>
      <c r="CEB2489" s="58"/>
      <c r="CEC2489" s="58"/>
      <c r="CED2489" s="60"/>
      <c r="CEE2489" s="60"/>
      <c r="CEF2489" s="60"/>
      <c r="CEG2489" s="58"/>
      <c r="CEH2489" s="61"/>
      <c r="CEI2489" s="58"/>
      <c r="CEJ2489" s="58"/>
      <c r="CEK2489" s="58"/>
      <c r="CEL2489" s="60"/>
      <c r="CEM2489" s="60"/>
      <c r="CEN2489" s="60"/>
      <c r="CEO2489" s="58"/>
      <c r="CEP2489" s="61"/>
      <c r="CEQ2489" s="58"/>
      <c r="CER2489" s="58"/>
      <c r="CES2489" s="58"/>
      <c r="CET2489" s="60"/>
      <c r="CEU2489" s="60"/>
      <c r="CEV2489" s="60"/>
      <c r="CEW2489" s="58"/>
      <c r="CEX2489" s="61"/>
      <c r="CEY2489" s="58"/>
      <c r="CEZ2489" s="58"/>
      <c r="CFA2489" s="58"/>
      <c r="CFB2489" s="60"/>
      <c r="CFC2489" s="60"/>
      <c r="CFD2489" s="60"/>
      <c r="CFE2489" s="58"/>
      <c r="CFF2489" s="61"/>
      <c r="CFG2489" s="58"/>
      <c r="CFH2489" s="58"/>
      <c r="CFI2489" s="58"/>
      <c r="CFJ2489" s="60"/>
      <c r="CFK2489" s="60"/>
      <c r="CFL2489" s="60"/>
      <c r="CFM2489" s="58"/>
      <c r="CFN2489" s="61"/>
      <c r="CFO2489" s="58"/>
      <c r="CFP2489" s="58"/>
      <c r="CFQ2489" s="58"/>
      <c r="CFR2489" s="60"/>
      <c r="CFS2489" s="60"/>
      <c r="CFT2489" s="60"/>
      <c r="CFU2489" s="58"/>
      <c r="CFV2489" s="61"/>
      <c r="CFW2489" s="58"/>
      <c r="CFX2489" s="58"/>
      <c r="CFY2489" s="58"/>
      <c r="CFZ2489" s="60"/>
      <c r="CGA2489" s="60"/>
      <c r="CGB2489" s="60"/>
      <c r="CGC2489" s="58"/>
      <c r="CGD2489" s="61"/>
      <c r="CGE2489" s="58"/>
      <c r="CGF2489" s="58"/>
      <c r="CGG2489" s="58"/>
      <c r="CGH2489" s="60"/>
      <c r="CGI2489" s="60"/>
      <c r="CGJ2489" s="60"/>
      <c r="CGK2489" s="58"/>
      <c r="CGL2489" s="61"/>
      <c r="CGM2489" s="58"/>
      <c r="CGN2489" s="58"/>
      <c r="CGO2489" s="58"/>
      <c r="CGP2489" s="60"/>
      <c r="CGQ2489" s="60"/>
      <c r="CGR2489" s="60"/>
      <c r="CGS2489" s="58"/>
      <c r="CGT2489" s="61"/>
      <c r="CGU2489" s="58"/>
      <c r="CGV2489" s="58"/>
      <c r="CGW2489" s="58"/>
      <c r="CGX2489" s="60"/>
      <c r="CGY2489" s="60"/>
      <c r="CGZ2489" s="60"/>
      <c r="CHA2489" s="58"/>
      <c r="CHB2489" s="61"/>
      <c r="CHC2489" s="58"/>
      <c r="CHD2489" s="58"/>
      <c r="CHE2489" s="58"/>
      <c r="CHF2489" s="60"/>
      <c r="CHG2489" s="60"/>
      <c r="CHH2489" s="60"/>
      <c r="CHI2489" s="58"/>
      <c r="CHJ2489" s="61"/>
      <c r="CHK2489" s="58"/>
      <c r="CHL2489" s="58"/>
      <c r="CHM2489" s="58"/>
      <c r="CHN2489" s="60"/>
      <c r="CHO2489" s="60"/>
      <c r="CHP2489" s="60"/>
      <c r="CHQ2489" s="58"/>
      <c r="CHR2489" s="61"/>
      <c r="CHS2489" s="58"/>
      <c r="CHT2489" s="58"/>
      <c r="CHU2489" s="58"/>
      <c r="CHV2489" s="60"/>
      <c r="CHW2489" s="60"/>
      <c r="CHX2489" s="60"/>
      <c r="CHY2489" s="58"/>
      <c r="CHZ2489" s="61"/>
      <c r="CIA2489" s="58"/>
      <c r="CIB2489" s="58"/>
      <c r="CIC2489" s="58"/>
      <c r="CID2489" s="60"/>
      <c r="CIE2489" s="60"/>
      <c r="CIF2489" s="60"/>
      <c r="CIG2489" s="58"/>
      <c r="CIH2489" s="61"/>
      <c r="CII2489" s="58"/>
      <c r="CIJ2489" s="58"/>
      <c r="CIK2489" s="58"/>
      <c r="CIL2489" s="60"/>
      <c r="CIM2489" s="60"/>
      <c r="CIN2489" s="60"/>
      <c r="CIO2489" s="58"/>
      <c r="CIP2489" s="61"/>
      <c r="CIQ2489" s="58"/>
      <c r="CIR2489" s="58"/>
      <c r="CIS2489" s="58"/>
      <c r="CIT2489" s="60"/>
      <c r="CIU2489" s="60"/>
      <c r="CIV2489" s="60"/>
      <c r="CIW2489" s="58"/>
      <c r="CIX2489" s="61"/>
      <c r="CIY2489" s="58"/>
      <c r="CIZ2489" s="58"/>
      <c r="CJA2489" s="58"/>
      <c r="CJB2489" s="60"/>
      <c r="CJC2489" s="60"/>
      <c r="CJD2489" s="60"/>
      <c r="CJE2489" s="58"/>
      <c r="CJF2489" s="61"/>
      <c r="CJG2489" s="58"/>
      <c r="CJH2489" s="58"/>
      <c r="CJI2489" s="58"/>
      <c r="CJJ2489" s="60"/>
      <c r="CJK2489" s="60"/>
      <c r="CJL2489" s="60"/>
      <c r="CJM2489" s="58"/>
      <c r="CJN2489" s="61"/>
      <c r="CJO2489" s="58"/>
      <c r="CJP2489" s="58"/>
      <c r="CJQ2489" s="58"/>
      <c r="CJR2489" s="60"/>
      <c r="CJS2489" s="60"/>
      <c r="CJT2489" s="60"/>
      <c r="CJU2489" s="58"/>
      <c r="CJV2489" s="61"/>
      <c r="CJW2489" s="58"/>
      <c r="CJX2489" s="58"/>
      <c r="CJY2489" s="58"/>
      <c r="CJZ2489" s="60"/>
      <c r="CKA2489" s="60"/>
      <c r="CKB2489" s="60"/>
      <c r="CKC2489" s="58"/>
      <c r="CKD2489" s="61"/>
      <c r="CKE2489" s="58"/>
      <c r="CKF2489" s="58"/>
      <c r="CKG2489" s="58"/>
      <c r="CKH2489" s="60"/>
      <c r="CKI2489" s="60"/>
      <c r="CKJ2489" s="60"/>
      <c r="CKK2489" s="58"/>
      <c r="CKL2489" s="61"/>
      <c r="CKM2489" s="58"/>
      <c r="CKN2489" s="58"/>
      <c r="CKO2489" s="58"/>
      <c r="CKP2489" s="60"/>
      <c r="CKQ2489" s="60"/>
      <c r="CKR2489" s="60"/>
      <c r="CKS2489" s="58"/>
      <c r="CKT2489" s="61"/>
      <c r="CKU2489" s="58"/>
      <c r="CKV2489" s="58"/>
      <c r="CKW2489" s="58"/>
      <c r="CKX2489" s="60"/>
      <c r="CKY2489" s="60"/>
      <c r="CKZ2489" s="60"/>
      <c r="CLA2489" s="58"/>
      <c r="CLB2489" s="61"/>
      <c r="CLC2489" s="58"/>
      <c r="CLD2489" s="58"/>
      <c r="CLE2489" s="58"/>
      <c r="CLF2489" s="60"/>
      <c r="CLG2489" s="60"/>
      <c r="CLH2489" s="60"/>
      <c r="CLI2489" s="58"/>
      <c r="CLJ2489" s="61"/>
      <c r="CLK2489" s="58"/>
      <c r="CLL2489" s="58"/>
      <c r="CLM2489" s="58"/>
      <c r="CLN2489" s="60"/>
      <c r="CLO2489" s="60"/>
      <c r="CLP2489" s="60"/>
      <c r="CLQ2489" s="58"/>
      <c r="CLR2489" s="61"/>
      <c r="CLS2489" s="58"/>
      <c r="CLT2489" s="58"/>
      <c r="CLU2489" s="58"/>
      <c r="CLV2489" s="60"/>
      <c r="CLW2489" s="60"/>
      <c r="CLX2489" s="60"/>
      <c r="CLY2489" s="58"/>
      <c r="CLZ2489" s="61"/>
      <c r="CMA2489" s="58"/>
      <c r="CMB2489" s="58"/>
      <c r="CMC2489" s="58"/>
      <c r="CMD2489" s="60"/>
      <c r="CME2489" s="60"/>
      <c r="CMF2489" s="60"/>
      <c r="CMG2489" s="58"/>
      <c r="CMH2489" s="61"/>
      <c r="CMI2489" s="58"/>
      <c r="CMJ2489" s="58"/>
      <c r="CMK2489" s="58"/>
      <c r="CML2489" s="60"/>
      <c r="CMM2489" s="60"/>
      <c r="CMN2489" s="60"/>
      <c r="CMO2489" s="58"/>
      <c r="CMP2489" s="61"/>
      <c r="CMQ2489" s="58"/>
      <c r="CMR2489" s="58"/>
      <c r="CMS2489" s="58"/>
      <c r="CMT2489" s="60"/>
      <c r="CMU2489" s="60"/>
      <c r="CMV2489" s="60"/>
      <c r="CMW2489" s="58"/>
      <c r="CMX2489" s="61"/>
      <c r="CMY2489" s="58"/>
      <c r="CMZ2489" s="58"/>
      <c r="CNA2489" s="58"/>
      <c r="CNB2489" s="60"/>
      <c r="CNC2489" s="60"/>
      <c r="CND2489" s="60"/>
      <c r="CNE2489" s="58"/>
      <c r="CNF2489" s="61"/>
      <c r="CNG2489" s="58"/>
      <c r="CNH2489" s="58"/>
      <c r="CNI2489" s="58"/>
      <c r="CNJ2489" s="60"/>
      <c r="CNK2489" s="60"/>
      <c r="CNL2489" s="60"/>
      <c r="CNM2489" s="58"/>
      <c r="CNN2489" s="61"/>
      <c r="CNO2489" s="58"/>
      <c r="CNP2489" s="58"/>
      <c r="CNQ2489" s="58"/>
      <c r="CNR2489" s="60"/>
      <c r="CNS2489" s="60"/>
      <c r="CNT2489" s="60"/>
      <c r="CNU2489" s="58"/>
      <c r="CNV2489" s="61"/>
      <c r="CNW2489" s="58"/>
      <c r="CNX2489" s="58"/>
      <c r="CNY2489" s="58"/>
      <c r="CNZ2489" s="60"/>
      <c r="COA2489" s="60"/>
      <c r="COB2489" s="60"/>
      <c r="COC2489" s="58"/>
      <c r="COD2489" s="61"/>
      <c r="COE2489" s="58"/>
      <c r="COF2489" s="58"/>
      <c r="COG2489" s="58"/>
      <c r="COH2489" s="60"/>
      <c r="COI2489" s="60"/>
      <c r="COJ2489" s="60"/>
      <c r="COK2489" s="58"/>
      <c r="COL2489" s="61"/>
      <c r="COM2489" s="58"/>
      <c r="CON2489" s="58"/>
      <c r="COO2489" s="58"/>
      <c r="COP2489" s="60"/>
      <c r="COQ2489" s="60"/>
      <c r="COR2489" s="60"/>
      <c r="COS2489" s="58"/>
      <c r="COT2489" s="61"/>
      <c r="COU2489" s="58"/>
      <c r="COV2489" s="58"/>
      <c r="COW2489" s="58"/>
      <c r="COX2489" s="60"/>
      <c r="COY2489" s="60"/>
      <c r="COZ2489" s="60"/>
      <c r="CPA2489" s="58"/>
      <c r="CPB2489" s="61"/>
      <c r="CPC2489" s="58"/>
      <c r="CPD2489" s="58"/>
      <c r="CPE2489" s="58"/>
      <c r="CPF2489" s="60"/>
      <c r="CPG2489" s="60"/>
      <c r="CPH2489" s="60"/>
      <c r="CPI2489" s="58"/>
      <c r="CPJ2489" s="61"/>
      <c r="CPK2489" s="58"/>
      <c r="CPL2489" s="58"/>
      <c r="CPM2489" s="58"/>
      <c r="CPN2489" s="60"/>
      <c r="CPO2489" s="60"/>
      <c r="CPP2489" s="60"/>
      <c r="CPQ2489" s="58"/>
      <c r="CPR2489" s="61"/>
      <c r="CPS2489" s="58"/>
      <c r="CPT2489" s="58"/>
      <c r="CPU2489" s="58"/>
      <c r="CPV2489" s="60"/>
      <c r="CPW2489" s="60"/>
      <c r="CPX2489" s="60"/>
      <c r="CPY2489" s="58"/>
      <c r="CPZ2489" s="61"/>
      <c r="CQA2489" s="58"/>
      <c r="CQB2489" s="58"/>
      <c r="CQC2489" s="58"/>
      <c r="CQD2489" s="60"/>
      <c r="CQE2489" s="60"/>
      <c r="CQF2489" s="60"/>
      <c r="CQG2489" s="58"/>
      <c r="CQH2489" s="61"/>
      <c r="CQI2489" s="58"/>
      <c r="CQJ2489" s="58"/>
      <c r="CQK2489" s="58"/>
      <c r="CQL2489" s="60"/>
      <c r="CQM2489" s="60"/>
      <c r="CQN2489" s="60"/>
      <c r="CQO2489" s="58"/>
      <c r="CQP2489" s="61"/>
      <c r="CQQ2489" s="58"/>
      <c r="CQR2489" s="58"/>
      <c r="CQS2489" s="58"/>
      <c r="CQT2489" s="60"/>
      <c r="CQU2489" s="60"/>
      <c r="CQV2489" s="60"/>
      <c r="CQW2489" s="58"/>
      <c r="CQX2489" s="61"/>
      <c r="CQY2489" s="58"/>
      <c r="CQZ2489" s="58"/>
      <c r="CRA2489" s="58"/>
      <c r="CRB2489" s="60"/>
      <c r="CRC2489" s="60"/>
      <c r="CRD2489" s="60"/>
      <c r="CRE2489" s="58"/>
      <c r="CRF2489" s="61"/>
      <c r="CRG2489" s="58"/>
      <c r="CRH2489" s="58"/>
      <c r="CRI2489" s="58"/>
      <c r="CRJ2489" s="60"/>
      <c r="CRK2489" s="60"/>
      <c r="CRL2489" s="60"/>
      <c r="CRM2489" s="58"/>
      <c r="CRN2489" s="61"/>
      <c r="CRO2489" s="58"/>
      <c r="CRP2489" s="58"/>
      <c r="CRQ2489" s="58"/>
      <c r="CRR2489" s="60"/>
      <c r="CRS2489" s="60"/>
      <c r="CRT2489" s="60"/>
      <c r="CRU2489" s="58"/>
      <c r="CRV2489" s="61"/>
      <c r="CRW2489" s="58"/>
      <c r="CRX2489" s="58"/>
      <c r="CRY2489" s="58"/>
      <c r="CRZ2489" s="60"/>
      <c r="CSA2489" s="60"/>
      <c r="CSB2489" s="60"/>
      <c r="CSC2489" s="58"/>
      <c r="CSD2489" s="61"/>
      <c r="CSE2489" s="58"/>
      <c r="CSF2489" s="58"/>
      <c r="CSG2489" s="58"/>
      <c r="CSH2489" s="60"/>
      <c r="CSI2489" s="60"/>
      <c r="CSJ2489" s="60"/>
      <c r="CSK2489" s="58"/>
      <c r="CSL2489" s="61"/>
      <c r="CSM2489" s="58"/>
      <c r="CSN2489" s="58"/>
      <c r="CSO2489" s="58"/>
      <c r="CSP2489" s="60"/>
      <c r="CSQ2489" s="60"/>
      <c r="CSR2489" s="60"/>
      <c r="CSS2489" s="58"/>
      <c r="CST2489" s="61"/>
      <c r="CSU2489" s="58"/>
      <c r="CSV2489" s="58"/>
      <c r="CSW2489" s="58"/>
      <c r="CSX2489" s="60"/>
      <c r="CSY2489" s="60"/>
      <c r="CSZ2489" s="60"/>
      <c r="CTA2489" s="58"/>
      <c r="CTB2489" s="61"/>
      <c r="CTC2489" s="58"/>
      <c r="CTD2489" s="58"/>
      <c r="CTE2489" s="58"/>
      <c r="CTF2489" s="60"/>
      <c r="CTG2489" s="60"/>
      <c r="CTH2489" s="60"/>
      <c r="CTI2489" s="58"/>
      <c r="CTJ2489" s="61"/>
      <c r="CTK2489" s="58"/>
      <c r="CTL2489" s="58"/>
      <c r="CTM2489" s="58"/>
      <c r="CTN2489" s="60"/>
      <c r="CTO2489" s="60"/>
      <c r="CTP2489" s="60"/>
      <c r="CTQ2489" s="58"/>
      <c r="CTR2489" s="61"/>
      <c r="CTS2489" s="58"/>
      <c r="CTT2489" s="58"/>
      <c r="CTU2489" s="58"/>
      <c r="CTV2489" s="60"/>
      <c r="CTW2489" s="60"/>
      <c r="CTX2489" s="60"/>
      <c r="CTY2489" s="58"/>
      <c r="CTZ2489" s="61"/>
      <c r="CUA2489" s="58"/>
      <c r="CUB2489" s="58"/>
      <c r="CUC2489" s="58"/>
      <c r="CUD2489" s="60"/>
      <c r="CUE2489" s="60"/>
      <c r="CUF2489" s="60"/>
      <c r="CUG2489" s="58"/>
      <c r="CUH2489" s="61"/>
      <c r="CUI2489" s="58"/>
      <c r="CUJ2489" s="58"/>
      <c r="CUK2489" s="58"/>
      <c r="CUL2489" s="60"/>
      <c r="CUM2489" s="60"/>
      <c r="CUN2489" s="60"/>
      <c r="CUO2489" s="58"/>
      <c r="CUP2489" s="61"/>
      <c r="CUQ2489" s="58"/>
      <c r="CUR2489" s="58"/>
      <c r="CUS2489" s="58"/>
      <c r="CUT2489" s="60"/>
      <c r="CUU2489" s="60"/>
      <c r="CUV2489" s="60"/>
      <c r="CUW2489" s="58"/>
      <c r="CUX2489" s="61"/>
      <c r="CUY2489" s="58"/>
      <c r="CUZ2489" s="58"/>
      <c r="CVA2489" s="58"/>
      <c r="CVB2489" s="60"/>
      <c r="CVC2489" s="60"/>
      <c r="CVD2489" s="60"/>
      <c r="CVE2489" s="58"/>
      <c r="CVF2489" s="61"/>
      <c r="CVG2489" s="58"/>
      <c r="CVH2489" s="58"/>
      <c r="CVI2489" s="58"/>
      <c r="CVJ2489" s="60"/>
      <c r="CVK2489" s="60"/>
      <c r="CVL2489" s="60"/>
      <c r="CVM2489" s="58"/>
      <c r="CVN2489" s="61"/>
      <c r="CVO2489" s="58"/>
      <c r="CVP2489" s="58"/>
      <c r="CVQ2489" s="58"/>
      <c r="CVR2489" s="60"/>
      <c r="CVS2489" s="60"/>
      <c r="CVT2489" s="60"/>
      <c r="CVU2489" s="58"/>
      <c r="CVV2489" s="61"/>
      <c r="CVW2489" s="58"/>
      <c r="CVX2489" s="58"/>
      <c r="CVY2489" s="58"/>
      <c r="CVZ2489" s="60"/>
      <c r="CWA2489" s="60"/>
      <c r="CWB2489" s="60"/>
      <c r="CWC2489" s="58"/>
      <c r="CWD2489" s="61"/>
      <c r="CWE2489" s="58"/>
      <c r="CWF2489" s="58"/>
      <c r="CWG2489" s="58"/>
      <c r="CWH2489" s="60"/>
      <c r="CWI2489" s="60"/>
      <c r="CWJ2489" s="60"/>
      <c r="CWK2489" s="58"/>
      <c r="CWL2489" s="61"/>
      <c r="CWM2489" s="58"/>
      <c r="CWN2489" s="58"/>
      <c r="CWO2489" s="58"/>
      <c r="CWP2489" s="60"/>
      <c r="CWQ2489" s="60"/>
      <c r="CWR2489" s="60"/>
      <c r="CWS2489" s="58"/>
      <c r="CWT2489" s="61"/>
      <c r="CWU2489" s="58"/>
      <c r="CWV2489" s="58"/>
      <c r="CWW2489" s="58"/>
      <c r="CWX2489" s="60"/>
      <c r="CWY2489" s="60"/>
      <c r="CWZ2489" s="60"/>
      <c r="CXA2489" s="58"/>
      <c r="CXB2489" s="61"/>
      <c r="CXC2489" s="58"/>
      <c r="CXD2489" s="58"/>
      <c r="CXE2489" s="58"/>
      <c r="CXF2489" s="60"/>
      <c r="CXG2489" s="60"/>
      <c r="CXH2489" s="60"/>
      <c r="CXI2489" s="58"/>
      <c r="CXJ2489" s="61"/>
      <c r="CXK2489" s="58"/>
      <c r="CXL2489" s="58"/>
      <c r="CXM2489" s="58"/>
      <c r="CXN2489" s="60"/>
      <c r="CXO2489" s="60"/>
      <c r="CXP2489" s="60"/>
      <c r="CXQ2489" s="58"/>
      <c r="CXR2489" s="61"/>
      <c r="CXS2489" s="58"/>
      <c r="CXT2489" s="58"/>
      <c r="CXU2489" s="58"/>
      <c r="CXV2489" s="60"/>
      <c r="CXW2489" s="60"/>
      <c r="CXX2489" s="60"/>
      <c r="CXY2489" s="58"/>
      <c r="CXZ2489" s="61"/>
      <c r="CYA2489" s="58"/>
      <c r="CYB2489" s="58"/>
      <c r="CYC2489" s="58"/>
      <c r="CYD2489" s="60"/>
      <c r="CYE2489" s="60"/>
      <c r="CYF2489" s="60"/>
      <c r="CYG2489" s="58"/>
      <c r="CYH2489" s="61"/>
      <c r="CYI2489" s="58"/>
      <c r="CYJ2489" s="58"/>
      <c r="CYK2489" s="58"/>
      <c r="CYL2489" s="60"/>
      <c r="CYM2489" s="60"/>
      <c r="CYN2489" s="60"/>
      <c r="CYO2489" s="58"/>
      <c r="CYP2489" s="61"/>
      <c r="CYQ2489" s="58"/>
      <c r="CYR2489" s="58"/>
      <c r="CYS2489" s="58"/>
      <c r="CYT2489" s="60"/>
      <c r="CYU2489" s="60"/>
      <c r="CYV2489" s="60"/>
      <c r="CYW2489" s="58"/>
      <c r="CYX2489" s="61"/>
      <c r="CYY2489" s="58"/>
      <c r="CYZ2489" s="58"/>
      <c r="CZA2489" s="58"/>
      <c r="CZB2489" s="60"/>
      <c r="CZC2489" s="60"/>
      <c r="CZD2489" s="60"/>
      <c r="CZE2489" s="58"/>
      <c r="CZF2489" s="61"/>
      <c r="CZG2489" s="58"/>
      <c r="CZH2489" s="58"/>
      <c r="CZI2489" s="58"/>
      <c r="CZJ2489" s="60"/>
      <c r="CZK2489" s="60"/>
      <c r="CZL2489" s="60"/>
      <c r="CZM2489" s="58"/>
      <c r="CZN2489" s="61"/>
      <c r="CZO2489" s="58"/>
      <c r="CZP2489" s="58"/>
      <c r="CZQ2489" s="58"/>
      <c r="CZR2489" s="60"/>
      <c r="CZS2489" s="60"/>
      <c r="CZT2489" s="60"/>
      <c r="CZU2489" s="58"/>
      <c r="CZV2489" s="61"/>
      <c r="CZW2489" s="58"/>
      <c r="CZX2489" s="58"/>
      <c r="CZY2489" s="58"/>
      <c r="CZZ2489" s="60"/>
      <c r="DAA2489" s="60"/>
      <c r="DAB2489" s="60"/>
      <c r="DAC2489" s="58"/>
      <c r="DAD2489" s="61"/>
      <c r="DAE2489" s="58"/>
      <c r="DAF2489" s="58"/>
      <c r="DAG2489" s="58"/>
      <c r="DAH2489" s="60"/>
      <c r="DAI2489" s="60"/>
      <c r="DAJ2489" s="60"/>
      <c r="DAK2489" s="58"/>
      <c r="DAL2489" s="61"/>
      <c r="DAM2489" s="58"/>
      <c r="DAN2489" s="58"/>
      <c r="DAO2489" s="58"/>
      <c r="DAP2489" s="60"/>
      <c r="DAQ2489" s="60"/>
      <c r="DAR2489" s="60"/>
      <c r="DAS2489" s="58"/>
      <c r="DAT2489" s="61"/>
      <c r="DAU2489" s="58"/>
      <c r="DAV2489" s="58"/>
      <c r="DAW2489" s="58"/>
      <c r="DAX2489" s="60"/>
      <c r="DAY2489" s="60"/>
      <c r="DAZ2489" s="60"/>
      <c r="DBA2489" s="58"/>
      <c r="DBB2489" s="61"/>
      <c r="DBC2489" s="58"/>
      <c r="DBD2489" s="58"/>
      <c r="DBE2489" s="58"/>
      <c r="DBF2489" s="60"/>
      <c r="DBG2489" s="60"/>
      <c r="DBH2489" s="60"/>
      <c r="DBI2489" s="58"/>
      <c r="DBJ2489" s="61"/>
      <c r="DBK2489" s="58"/>
      <c r="DBL2489" s="58"/>
      <c r="DBM2489" s="58"/>
      <c r="DBN2489" s="60"/>
      <c r="DBO2489" s="60"/>
      <c r="DBP2489" s="60"/>
      <c r="DBQ2489" s="58"/>
      <c r="DBR2489" s="61"/>
      <c r="DBS2489" s="58"/>
      <c r="DBT2489" s="58"/>
      <c r="DBU2489" s="58"/>
      <c r="DBV2489" s="60"/>
      <c r="DBW2489" s="60"/>
      <c r="DBX2489" s="60"/>
      <c r="DBY2489" s="58"/>
      <c r="DBZ2489" s="61"/>
      <c r="DCA2489" s="58"/>
      <c r="DCB2489" s="58"/>
      <c r="DCC2489" s="58"/>
      <c r="DCD2489" s="60"/>
      <c r="DCE2489" s="60"/>
      <c r="DCF2489" s="60"/>
      <c r="DCG2489" s="58"/>
      <c r="DCH2489" s="61"/>
      <c r="DCI2489" s="58"/>
      <c r="DCJ2489" s="58"/>
      <c r="DCK2489" s="58"/>
      <c r="DCL2489" s="60"/>
      <c r="DCM2489" s="60"/>
      <c r="DCN2489" s="60"/>
      <c r="DCO2489" s="58"/>
      <c r="DCP2489" s="61"/>
      <c r="DCQ2489" s="58"/>
      <c r="DCR2489" s="58"/>
      <c r="DCS2489" s="58"/>
      <c r="DCT2489" s="60"/>
      <c r="DCU2489" s="60"/>
      <c r="DCV2489" s="60"/>
      <c r="DCW2489" s="58"/>
      <c r="DCX2489" s="61"/>
      <c r="DCY2489" s="58"/>
      <c r="DCZ2489" s="58"/>
      <c r="DDA2489" s="58"/>
      <c r="DDB2489" s="60"/>
      <c r="DDC2489" s="60"/>
      <c r="DDD2489" s="60"/>
      <c r="DDE2489" s="58"/>
      <c r="DDF2489" s="61"/>
      <c r="DDG2489" s="58"/>
      <c r="DDH2489" s="58"/>
      <c r="DDI2489" s="58"/>
      <c r="DDJ2489" s="60"/>
      <c r="DDK2489" s="60"/>
      <c r="DDL2489" s="60"/>
      <c r="DDM2489" s="58"/>
      <c r="DDN2489" s="61"/>
      <c r="DDO2489" s="58"/>
      <c r="DDP2489" s="58"/>
      <c r="DDQ2489" s="58"/>
      <c r="DDR2489" s="60"/>
      <c r="DDS2489" s="60"/>
      <c r="DDT2489" s="60"/>
      <c r="DDU2489" s="58"/>
      <c r="DDV2489" s="61"/>
      <c r="DDW2489" s="58"/>
      <c r="DDX2489" s="58"/>
      <c r="DDY2489" s="58"/>
      <c r="DDZ2489" s="60"/>
      <c r="DEA2489" s="60"/>
      <c r="DEB2489" s="60"/>
      <c r="DEC2489" s="58"/>
      <c r="DED2489" s="61"/>
      <c r="DEE2489" s="58"/>
      <c r="DEF2489" s="58"/>
      <c r="DEG2489" s="58"/>
      <c r="DEH2489" s="60"/>
      <c r="DEI2489" s="60"/>
      <c r="DEJ2489" s="60"/>
      <c r="DEK2489" s="58"/>
      <c r="DEL2489" s="61"/>
      <c r="DEM2489" s="58"/>
      <c r="DEN2489" s="58"/>
      <c r="DEO2489" s="58"/>
      <c r="DEP2489" s="60"/>
      <c r="DEQ2489" s="60"/>
      <c r="DER2489" s="60"/>
      <c r="DES2489" s="58"/>
      <c r="DET2489" s="61"/>
      <c r="DEU2489" s="58"/>
      <c r="DEV2489" s="58"/>
      <c r="DEW2489" s="58"/>
      <c r="DEX2489" s="60"/>
      <c r="DEY2489" s="60"/>
      <c r="DEZ2489" s="60"/>
      <c r="DFA2489" s="58"/>
      <c r="DFB2489" s="61"/>
      <c r="DFC2489" s="58"/>
      <c r="DFD2489" s="58"/>
      <c r="DFE2489" s="58"/>
      <c r="DFF2489" s="60"/>
      <c r="DFG2489" s="60"/>
      <c r="DFH2489" s="60"/>
      <c r="DFI2489" s="58"/>
      <c r="DFJ2489" s="61"/>
      <c r="DFK2489" s="58"/>
      <c r="DFL2489" s="58"/>
      <c r="DFM2489" s="58"/>
      <c r="DFN2489" s="60"/>
      <c r="DFO2489" s="60"/>
      <c r="DFP2489" s="60"/>
      <c r="DFQ2489" s="58"/>
      <c r="DFR2489" s="61"/>
      <c r="DFS2489" s="58"/>
      <c r="DFT2489" s="58"/>
      <c r="DFU2489" s="58"/>
      <c r="DFV2489" s="60"/>
      <c r="DFW2489" s="60"/>
      <c r="DFX2489" s="60"/>
      <c r="DFY2489" s="58"/>
      <c r="DFZ2489" s="61"/>
      <c r="DGA2489" s="58"/>
      <c r="DGB2489" s="58"/>
      <c r="DGC2489" s="58"/>
      <c r="DGD2489" s="60"/>
      <c r="DGE2489" s="60"/>
      <c r="DGF2489" s="60"/>
      <c r="DGG2489" s="58"/>
      <c r="DGH2489" s="61"/>
      <c r="DGI2489" s="58"/>
      <c r="DGJ2489" s="58"/>
      <c r="DGK2489" s="58"/>
      <c r="DGL2489" s="60"/>
      <c r="DGM2489" s="60"/>
      <c r="DGN2489" s="60"/>
      <c r="DGO2489" s="58"/>
      <c r="DGP2489" s="61"/>
      <c r="DGQ2489" s="58"/>
      <c r="DGR2489" s="58"/>
      <c r="DGS2489" s="58"/>
      <c r="DGT2489" s="60"/>
      <c r="DGU2489" s="60"/>
      <c r="DGV2489" s="60"/>
      <c r="DGW2489" s="58"/>
      <c r="DGX2489" s="61"/>
      <c r="DGY2489" s="58"/>
      <c r="DGZ2489" s="58"/>
      <c r="DHA2489" s="58"/>
      <c r="DHB2489" s="60"/>
      <c r="DHC2489" s="60"/>
      <c r="DHD2489" s="60"/>
      <c r="DHE2489" s="58"/>
      <c r="DHF2489" s="61"/>
      <c r="DHG2489" s="58"/>
      <c r="DHH2489" s="58"/>
      <c r="DHI2489" s="58"/>
      <c r="DHJ2489" s="60"/>
      <c r="DHK2489" s="60"/>
      <c r="DHL2489" s="60"/>
      <c r="DHM2489" s="58"/>
      <c r="DHN2489" s="61"/>
      <c r="DHO2489" s="58"/>
      <c r="DHP2489" s="58"/>
      <c r="DHQ2489" s="58"/>
      <c r="DHR2489" s="60"/>
      <c r="DHS2489" s="60"/>
      <c r="DHT2489" s="60"/>
      <c r="DHU2489" s="58"/>
      <c r="DHV2489" s="61"/>
      <c r="DHW2489" s="58"/>
      <c r="DHX2489" s="58"/>
      <c r="DHY2489" s="58"/>
      <c r="DHZ2489" s="60"/>
      <c r="DIA2489" s="60"/>
      <c r="DIB2489" s="60"/>
      <c r="DIC2489" s="58"/>
      <c r="DID2489" s="61"/>
      <c r="DIE2489" s="58"/>
      <c r="DIF2489" s="58"/>
      <c r="DIG2489" s="58"/>
      <c r="DIH2489" s="60"/>
      <c r="DII2489" s="60"/>
      <c r="DIJ2489" s="60"/>
      <c r="DIK2489" s="58"/>
      <c r="DIL2489" s="61"/>
      <c r="DIM2489" s="58"/>
      <c r="DIN2489" s="58"/>
      <c r="DIO2489" s="58"/>
      <c r="DIP2489" s="60"/>
      <c r="DIQ2489" s="60"/>
      <c r="DIR2489" s="60"/>
      <c r="DIS2489" s="58"/>
      <c r="DIT2489" s="61"/>
      <c r="DIU2489" s="58"/>
      <c r="DIV2489" s="58"/>
      <c r="DIW2489" s="58"/>
      <c r="DIX2489" s="60"/>
      <c r="DIY2489" s="60"/>
      <c r="DIZ2489" s="60"/>
      <c r="DJA2489" s="58"/>
      <c r="DJB2489" s="61"/>
      <c r="DJC2489" s="58"/>
      <c r="DJD2489" s="58"/>
      <c r="DJE2489" s="58"/>
      <c r="DJF2489" s="60"/>
      <c r="DJG2489" s="60"/>
      <c r="DJH2489" s="60"/>
      <c r="DJI2489" s="58"/>
      <c r="DJJ2489" s="61"/>
      <c r="DJK2489" s="58"/>
      <c r="DJL2489" s="58"/>
      <c r="DJM2489" s="58"/>
      <c r="DJN2489" s="60"/>
      <c r="DJO2489" s="60"/>
      <c r="DJP2489" s="60"/>
      <c r="DJQ2489" s="58"/>
      <c r="DJR2489" s="61"/>
      <c r="DJS2489" s="58"/>
      <c r="DJT2489" s="58"/>
      <c r="DJU2489" s="58"/>
      <c r="DJV2489" s="60"/>
      <c r="DJW2489" s="60"/>
      <c r="DJX2489" s="60"/>
      <c r="DJY2489" s="58"/>
      <c r="DJZ2489" s="61"/>
      <c r="DKA2489" s="58"/>
      <c r="DKB2489" s="58"/>
      <c r="DKC2489" s="58"/>
      <c r="DKD2489" s="60"/>
      <c r="DKE2489" s="60"/>
      <c r="DKF2489" s="60"/>
      <c r="DKG2489" s="58"/>
      <c r="DKH2489" s="61"/>
      <c r="DKI2489" s="58"/>
      <c r="DKJ2489" s="58"/>
      <c r="DKK2489" s="58"/>
      <c r="DKL2489" s="60"/>
      <c r="DKM2489" s="60"/>
      <c r="DKN2489" s="60"/>
      <c r="DKO2489" s="58"/>
      <c r="DKP2489" s="61"/>
      <c r="DKQ2489" s="58"/>
      <c r="DKR2489" s="58"/>
      <c r="DKS2489" s="58"/>
      <c r="DKT2489" s="60"/>
      <c r="DKU2489" s="60"/>
      <c r="DKV2489" s="60"/>
      <c r="DKW2489" s="58"/>
      <c r="DKX2489" s="61"/>
      <c r="DKY2489" s="58"/>
      <c r="DKZ2489" s="58"/>
      <c r="DLA2489" s="58"/>
      <c r="DLB2489" s="60"/>
      <c r="DLC2489" s="60"/>
      <c r="DLD2489" s="60"/>
      <c r="DLE2489" s="58"/>
      <c r="DLF2489" s="61"/>
      <c r="DLG2489" s="58"/>
      <c r="DLH2489" s="58"/>
      <c r="DLI2489" s="58"/>
      <c r="DLJ2489" s="60"/>
      <c r="DLK2489" s="60"/>
      <c r="DLL2489" s="60"/>
      <c r="DLM2489" s="58"/>
      <c r="DLN2489" s="61"/>
      <c r="DLO2489" s="58"/>
      <c r="DLP2489" s="58"/>
      <c r="DLQ2489" s="58"/>
      <c r="DLR2489" s="60"/>
      <c r="DLS2489" s="60"/>
      <c r="DLT2489" s="60"/>
      <c r="DLU2489" s="58"/>
      <c r="DLV2489" s="61"/>
      <c r="DLW2489" s="58"/>
      <c r="DLX2489" s="58"/>
      <c r="DLY2489" s="58"/>
      <c r="DLZ2489" s="60"/>
      <c r="DMA2489" s="60"/>
      <c r="DMB2489" s="60"/>
      <c r="DMC2489" s="58"/>
      <c r="DMD2489" s="61"/>
      <c r="DME2489" s="58"/>
      <c r="DMF2489" s="58"/>
      <c r="DMG2489" s="58"/>
      <c r="DMH2489" s="60"/>
      <c r="DMI2489" s="60"/>
      <c r="DMJ2489" s="60"/>
      <c r="DMK2489" s="58"/>
      <c r="DML2489" s="61"/>
      <c r="DMM2489" s="58"/>
      <c r="DMN2489" s="58"/>
      <c r="DMO2489" s="58"/>
      <c r="DMP2489" s="60"/>
      <c r="DMQ2489" s="60"/>
      <c r="DMR2489" s="60"/>
      <c r="DMS2489" s="58"/>
      <c r="DMT2489" s="61"/>
      <c r="DMU2489" s="58"/>
      <c r="DMV2489" s="58"/>
      <c r="DMW2489" s="58"/>
      <c r="DMX2489" s="60"/>
      <c r="DMY2489" s="60"/>
      <c r="DMZ2489" s="60"/>
      <c r="DNA2489" s="58"/>
      <c r="DNB2489" s="61"/>
      <c r="DNC2489" s="58"/>
      <c r="DND2489" s="58"/>
      <c r="DNE2489" s="58"/>
      <c r="DNF2489" s="60"/>
      <c r="DNG2489" s="60"/>
      <c r="DNH2489" s="60"/>
      <c r="DNI2489" s="58"/>
      <c r="DNJ2489" s="61"/>
      <c r="DNK2489" s="58"/>
      <c r="DNL2489" s="58"/>
      <c r="DNM2489" s="58"/>
      <c r="DNN2489" s="60"/>
      <c r="DNO2489" s="60"/>
      <c r="DNP2489" s="60"/>
      <c r="DNQ2489" s="58"/>
      <c r="DNR2489" s="61"/>
      <c r="DNS2489" s="58"/>
      <c r="DNT2489" s="58"/>
      <c r="DNU2489" s="58"/>
      <c r="DNV2489" s="60"/>
      <c r="DNW2489" s="60"/>
      <c r="DNX2489" s="60"/>
      <c r="DNY2489" s="58"/>
      <c r="DNZ2489" s="61"/>
      <c r="DOA2489" s="58"/>
      <c r="DOB2489" s="58"/>
      <c r="DOC2489" s="58"/>
      <c r="DOD2489" s="60"/>
      <c r="DOE2489" s="60"/>
      <c r="DOF2489" s="60"/>
      <c r="DOG2489" s="58"/>
      <c r="DOH2489" s="61"/>
      <c r="DOI2489" s="58"/>
      <c r="DOJ2489" s="58"/>
      <c r="DOK2489" s="58"/>
      <c r="DOL2489" s="60"/>
      <c r="DOM2489" s="60"/>
      <c r="DON2489" s="60"/>
      <c r="DOO2489" s="58"/>
      <c r="DOP2489" s="61"/>
      <c r="DOQ2489" s="58"/>
      <c r="DOR2489" s="58"/>
      <c r="DOS2489" s="58"/>
      <c r="DOT2489" s="60"/>
      <c r="DOU2489" s="60"/>
      <c r="DOV2489" s="60"/>
      <c r="DOW2489" s="58"/>
      <c r="DOX2489" s="61"/>
      <c r="DOY2489" s="58"/>
      <c r="DOZ2489" s="58"/>
      <c r="DPA2489" s="58"/>
      <c r="DPB2489" s="60"/>
      <c r="DPC2489" s="60"/>
      <c r="DPD2489" s="60"/>
      <c r="DPE2489" s="58"/>
      <c r="DPF2489" s="61"/>
      <c r="DPG2489" s="58"/>
      <c r="DPH2489" s="58"/>
      <c r="DPI2489" s="58"/>
      <c r="DPJ2489" s="60"/>
      <c r="DPK2489" s="60"/>
      <c r="DPL2489" s="60"/>
      <c r="DPM2489" s="58"/>
      <c r="DPN2489" s="61"/>
      <c r="DPO2489" s="58"/>
      <c r="DPP2489" s="58"/>
      <c r="DPQ2489" s="58"/>
      <c r="DPR2489" s="60"/>
      <c r="DPS2489" s="60"/>
      <c r="DPT2489" s="60"/>
      <c r="DPU2489" s="58"/>
      <c r="DPV2489" s="61"/>
      <c r="DPW2489" s="58"/>
      <c r="DPX2489" s="58"/>
      <c r="DPY2489" s="58"/>
      <c r="DPZ2489" s="60"/>
      <c r="DQA2489" s="60"/>
      <c r="DQB2489" s="60"/>
      <c r="DQC2489" s="58"/>
      <c r="DQD2489" s="61"/>
      <c r="DQE2489" s="58"/>
      <c r="DQF2489" s="58"/>
      <c r="DQG2489" s="58"/>
      <c r="DQH2489" s="60"/>
      <c r="DQI2489" s="60"/>
      <c r="DQJ2489" s="60"/>
      <c r="DQK2489" s="58"/>
      <c r="DQL2489" s="61"/>
      <c r="DQM2489" s="58"/>
      <c r="DQN2489" s="58"/>
      <c r="DQO2489" s="58"/>
      <c r="DQP2489" s="60"/>
      <c r="DQQ2489" s="60"/>
      <c r="DQR2489" s="60"/>
      <c r="DQS2489" s="58"/>
      <c r="DQT2489" s="61"/>
      <c r="DQU2489" s="58"/>
      <c r="DQV2489" s="58"/>
      <c r="DQW2489" s="58"/>
      <c r="DQX2489" s="60"/>
      <c r="DQY2489" s="60"/>
      <c r="DQZ2489" s="60"/>
      <c r="DRA2489" s="58"/>
      <c r="DRB2489" s="61"/>
      <c r="DRC2489" s="58"/>
      <c r="DRD2489" s="58"/>
      <c r="DRE2489" s="58"/>
      <c r="DRF2489" s="60"/>
      <c r="DRG2489" s="60"/>
      <c r="DRH2489" s="60"/>
      <c r="DRI2489" s="58"/>
      <c r="DRJ2489" s="61"/>
      <c r="DRK2489" s="58"/>
      <c r="DRL2489" s="58"/>
      <c r="DRM2489" s="58"/>
      <c r="DRN2489" s="60"/>
      <c r="DRO2489" s="60"/>
      <c r="DRP2489" s="60"/>
      <c r="DRQ2489" s="58"/>
      <c r="DRR2489" s="61"/>
      <c r="DRS2489" s="58"/>
      <c r="DRT2489" s="58"/>
      <c r="DRU2489" s="58"/>
      <c r="DRV2489" s="60"/>
      <c r="DRW2489" s="60"/>
      <c r="DRX2489" s="60"/>
      <c r="DRY2489" s="58"/>
      <c r="DRZ2489" s="61"/>
      <c r="DSA2489" s="58"/>
      <c r="DSB2489" s="58"/>
      <c r="DSC2489" s="58"/>
      <c r="DSD2489" s="60"/>
      <c r="DSE2489" s="60"/>
      <c r="DSF2489" s="60"/>
      <c r="DSG2489" s="58"/>
      <c r="DSH2489" s="61"/>
      <c r="DSI2489" s="58"/>
      <c r="DSJ2489" s="58"/>
      <c r="DSK2489" s="58"/>
      <c r="DSL2489" s="60"/>
      <c r="DSM2489" s="60"/>
      <c r="DSN2489" s="60"/>
      <c r="DSO2489" s="58"/>
      <c r="DSP2489" s="61"/>
      <c r="DSQ2489" s="58"/>
      <c r="DSR2489" s="58"/>
      <c r="DSS2489" s="58"/>
      <c r="DST2489" s="60"/>
      <c r="DSU2489" s="60"/>
      <c r="DSV2489" s="60"/>
      <c r="DSW2489" s="58"/>
      <c r="DSX2489" s="61"/>
      <c r="DSY2489" s="58"/>
      <c r="DSZ2489" s="58"/>
      <c r="DTA2489" s="58"/>
      <c r="DTB2489" s="60"/>
      <c r="DTC2489" s="60"/>
      <c r="DTD2489" s="60"/>
      <c r="DTE2489" s="58"/>
      <c r="DTF2489" s="61"/>
      <c r="DTG2489" s="58"/>
      <c r="DTH2489" s="58"/>
      <c r="DTI2489" s="58"/>
      <c r="DTJ2489" s="60"/>
      <c r="DTK2489" s="60"/>
      <c r="DTL2489" s="60"/>
      <c r="DTM2489" s="58"/>
      <c r="DTN2489" s="61"/>
      <c r="DTO2489" s="58"/>
      <c r="DTP2489" s="58"/>
      <c r="DTQ2489" s="58"/>
      <c r="DTR2489" s="60"/>
      <c r="DTS2489" s="60"/>
      <c r="DTT2489" s="60"/>
      <c r="DTU2489" s="58"/>
      <c r="DTV2489" s="61"/>
      <c r="DTW2489" s="58"/>
      <c r="DTX2489" s="58"/>
      <c r="DTY2489" s="58"/>
      <c r="DTZ2489" s="60"/>
      <c r="DUA2489" s="60"/>
      <c r="DUB2489" s="60"/>
      <c r="DUC2489" s="58"/>
      <c r="DUD2489" s="61"/>
      <c r="DUE2489" s="58"/>
      <c r="DUF2489" s="58"/>
      <c r="DUG2489" s="58"/>
      <c r="DUH2489" s="60"/>
      <c r="DUI2489" s="60"/>
      <c r="DUJ2489" s="60"/>
      <c r="DUK2489" s="58"/>
      <c r="DUL2489" s="61"/>
      <c r="DUM2489" s="58"/>
      <c r="DUN2489" s="58"/>
      <c r="DUO2489" s="58"/>
      <c r="DUP2489" s="60"/>
      <c r="DUQ2489" s="60"/>
      <c r="DUR2489" s="60"/>
      <c r="DUS2489" s="58"/>
      <c r="DUT2489" s="61"/>
      <c r="DUU2489" s="58"/>
      <c r="DUV2489" s="58"/>
      <c r="DUW2489" s="58"/>
      <c r="DUX2489" s="60"/>
      <c r="DUY2489" s="60"/>
      <c r="DUZ2489" s="60"/>
      <c r="DVA2489" s="58"/>
      <c r="DVB2489" s="61"/>
      <c r="DVC2489" s="58"/>
      <c r="DVD2489" s="58"/>
      <c r="DVE2489" s="58"/>
      <c r="DVF2489" s="60"/>
      <c r="DVG2489" s="60"/>
      <c r="DVH2489" s="60"/>
      <c r="DVI2489" s="58"/>
      <c r="DVJ2489" s="61"/>
      <c r="DVK2489" s="58"/>
      <c r="DVL2489" s="58"/>
      <c r="DVM2489" s="58"/>
      <c r="DVN2489" s="60"/>
      <c r="DVO2489" s="60"/>
      <c r="DVP2489" s="60"/>
      <c r="DVQ2489" s="58"/>
      <c r="DVR2489" s="61"/>
      <c r="DVS2489" s="58"/>
      <c r="DVT2489" s="58"/>
      <c r="DVU2489" s="58"/>
      <c r="DVV2489" s="60"/>
      <c r="DVW2489" s="60"/>
      <c r="DVX2489" s="60"/>
      <c r="DVY2489" s="58"/>
      <c r="DVZ2489" s="61"/>
      <c r="DWA2489" s="58"/>
      <c r="DWB2489" s="58"/>
      <c r="DWC2489" s="58"/>
      <c r="DWD2489" s="60"/>
      <c r="DWE2489" s="60"/>
      <c r="DWF2489" s="60"/>
      <c r="DWG2489" s="58"/>
      <c r="DWH2489" s="61"/>
      <c r="DWI2489" s="58"/>
      <c r="DWJ2489" s="58"/>
      <c r="DWK2489" s="58"/>
      <c r="DWL2489" s="60"/>
      <c r="DWM2489" s="60"/>
      <c r="DWN2489" s="60"/>
      <c r="DWO2489" s="58"/>
      <c r="DWP2489" s="61"/>
      <c r="DWQ2489" s="58"/>
      <c r="DWR2489" s="58"/>
      <c r="DWS2489" s="58"/>
      <c r="DWT2489" s="60"/>
      <c r="DWU2489" s="60"/>
      <c r="DWV2489" s="60"/>
      <c r="DWW2489" s="58"/>
      <c r="DWX2489" s="61"/>
      <c r="DWY2489" s="58"/>
      <c r="DWZ2489" s="58"/>
      <c r="DXA2489" s="58"/>
      <c r="DXB2489" s="60"/>
      <c r="DXC2489" s="60"/>
      <c r="DXD2489" s="60"/>
      <c r="DXE2489" s="58"/>
      <c r="DXF2489" s="61"/>
      <c r="DXG2489" s="58"/>
      <c r="DXH2489" s="58"/>
      <c r="DXI2489" s="58"/>
      <c r="DXJ2489" s="60"/>
      <c r="DXK2489" s="60"/>
      <c r="DXL2489" s="60"/>
      <c r="DXM2489" s="58"/>
      <c r="DXN2489" s="61"/>
      <c r="DXO2489" s="58"/>
      <c r="DXP2489" s="58"/>
      <c r="DXQ2489" s="58"/>
      <c r="DXR2489" s="60"/>
      <c r="DXS2489" s="60"/>
      <c r="DXT2489" s="60"/>
      <c r="DXU2489" s="58"/>
      <c r="DXV2489" s="61"/>
      <c r="DXW2489" s="58"/>
      <c r="DXX2489" s="58"/>
      <c r="DXY2489" s="58"/>
      <c r="DXZ2489" s="60"/>
      <c r="DYA2489" s="60"/>
      <c r="DYB2489" s="60"/>
      <c r="DYC2489" s="58"/>
      <c r="DYD2489" s="61"/>
      <c r="DYE2489" s="58"/>
      <c r="DYF2489" s="58"/>
      <c r="DYG2489" s="58"/>
      <c r="DYH2489" s="60"/>
      <c r="DYI2489" s="60"/>
      <c r="DYJ2489" s="60"/>
      <c r="DYK2489" s="58"/>
      <c r="DYL2489" s="61"/>
      <c r="DYM2489" s="58"/>
      <c r="DYN2489" s="58"/>
      <c r="DYO2489" s="58"/>
      <c r="DYP2489" s="60"/>
      <c r="DYQ2489" s="60"/>
      <c r="DYR2489" s="60"/>
      <c r="DYS2489" s="58"/>
      <c r="DYT2489" s="61"/>
      <c r="DYU2489" s="58"/>
      <c r="DYV2489" s="58"/>
      <c r="DYW2489" s="58"/>
      <c r="DYX2489" s="60"/>
      <c r="DYY2489" s="60"/>
      <c r="DYZ2489" s="60"/>
      <c r="DZA2489" s="58"/>
      <c r="DZB2489" s="61"/>
      <c r="DZC2489" s="58"/>
      <c r="DZD2489" s="58"/>
      <c r="DZE2489" s="58"/>
      <c r="DZF2489" s="60"/>
      <c r="DZG2489" s="60"/>
      <c r="DZH2489" s="60"/>
      <c r="DZI2489" s="58"/>
      <c r="DZJ2489" s="61"/>
      <c r="DZK2489" s="58"/>
      <c r="DZL2489" s="58"/>
      <c r="DZM2489" s="58"/>
      <c r="DZN2489" s="60"/>
      <c r="DZO2489" s="60"/>
      <c r="DZP2489" s="60"/>
      <c r="DZQ2489" s="58"/>
      <c r="DZR2489" s="61"/>
      <c r="DZS2489" s="58"/>
      <c r="DZT2489" s="58"/>
      <c r="DZU2489" s="58"/>
      <c r="DZV2489" s="60"/>
      <c r="DZW2489" s="60"/>
      <c r="DZX2489" s="60"/>
      <c r="DZY2489" s="58"/>
      <c r="DZZ2489" s="61"/>
      <c r="EAA2489" s="58"/>
      <c r="EAB2489" s="58"/>
      <c r="EAC2489" s="58"/>
      <c r="EAD2489" s="60"/>
      <c r="EAE2489" s="60"/>
      <c r="EAF2489" s="60"/>
      <c r="EAG2489" s="58"/>
      <c r="EAH2489" s="61"/>
      <c r="EAI2489" s="58"/>
      <c r="EAJ2489" s="58"/>
      <c r="EAK2489" s="58"/>
      <c r="EAL2489" s="60"/>
      <c r="EAM2489" s="60"/>
      <c r="EAN2489" s="60"/>
      <c r="EAO2489" s="58"/>
      <c r="EAP2489" s="61"/>
      <c r="EAQ2489" s="58"/>
      <c r="EAR2489" s="58"/>
      <c r="EAS2489" s="58"/>
      <c r="EAT2489" s="60"/>
      <c r="EAU2489" s="60"/>
      <c r="EAV2489" s="60"/>
      <c r="EAW2489" s="58"/>
      <c r="EAX2489" s="61"/>
      <c r="EAY2489" s="58"/>
      <c r="EAZ2489" s="58"/>
      <c r="EBA2489" s="58"/>
      <c r="EBB2489" s="60"/>
      <c r="EBC2489" s="60"/>
      <c r="EBD2489" s="60"/>
      <c r="EBE2489" s="58"/>
      <c r="EBF2489" s="61"/>
      <c r="EBG2489" s="58"/>
      <c r="EBH2489" s="58"/>
      <c r="EBI2489" s="58"/>
      <c r="EBJ2489" s="60"/>
      <c r="EBK2489" s="60"/>
      <c r="EBL2489" s="60"/>
      <c r="EBM2489" s="58"/>
      <c r="EBN2489" s="61"/>
      <c r="EBO2489" s="58"/>
      <c r="EBP2489" s="58"/>
      <c r="EBQ2489" s="58"/>
      <c r="EBR2489" s="60"/>
      <c r="EBS2489" s="60"/>
      <c r="EBT2489" s="60"/>
      <c r="EBU2489" s="58"/>
      <c r="EBV2489" s="61"/>
      <c r="EBW2489" s="58"/>
      <c r="EBX2489" s="58"/>
      <c r="EBY2489" s="58"/>
      <c r="EBZ2489" s="60"/>
      <c r="ECA2489" s="60"/>
      <c r="ECB2489" s="60"/>
      <c r="ECC2489" s="58"/>
      <c r="ECD2489" s="61"/>
      <c r="ECE2489" s="58"/>
      <c r="ECF2489" s="58"/>
      <c r="ECG2489" s="58"/>
      <c r="ECH2489" s="60"/>
      <c r="ECI2489" s="60"/>
      <c r="ECJ2489" s="60"/>
      <c r="ECK2489" s="58"/>
      <c r="ECL2489" s="61"/>
      <c r="ECM2489" s="58"/>
      <c r="ECN2489" s="58"/>
      <c r="ECO2489" s="58"/>
      <c r="ECP2489" s="60"/>
      <c r="ECQ2489" s="60"/>
      <c r="ECR2489" s="60"/>
      <c r="ECS2489" s="58"/>
      <c r="ECT2489" s="61"/>
      <c r="ECU2489" s="58"/>
      <c r="ECV2489" s="58"/>
      <c r="ECW2489" s="58"/>
      <c r="ECX2489" s="60"/>
      <c r="ECY2489" s="60"/>
      <c r="ECZ2489" s="60"/>
      <c r="EDA2489" s="58"/>
      <c r="EDB2489" s="61"/>
      <c r="EDC2489" s="58"/>
      <c r="EDD2489" s="58"/>
      <c r="EDE2489" s="58"/>
      <c r="EDF2489" s="60"/>
      <c r="EDG2489" s="60"/>
      <c r="EDH2489" s="60"/>
      <c r="EDI2489" s="58"/>
      <c r="EDJ2489" s="61"/>
      <c r="EDK2489" s="58"/>
      <c r="EDL2489" s="58"/>
      <c r="EDM2489" s="58"/>
      <c r="EDN2489" s="60"/>
      <c r="EDO2489" s="60"/>
      <c r="EDP2489" s="60"/>
      <c r="EDQ2489" s="58"/>
      <c r="EDR2489" s="61"/>
      <c r="EDS2489" s="58"/>
      <c r="EDT2489" s="58"/>
      <c r="EDU2489" s="58"/>
      <c r="EDV2489" s="60"/>
      <c r="EDW2489" s="60"/>
      <c r="EDX2489" s="60"/>
      <c r="EDY2489" s="58"/>
      <c r="EDZ2489" s="61"/>
      <c r="EEA2489" s="58"/>
      <c r="EEB2489" s="58"/>
      <c r="EEC2489" s="58"/>
      <c r="EED2489" s="60"/>
      <c r="EEE2489" s="60"/>
      <c r="EEF2489" s="60"/>
      <c r="EEG2489" s="58"/>
      <c r="EEH2489" s="61"/>
      <c r="EEI2489" s="58"/>
      <c r="EEJ2489" s="58"/>
      <c r="EEK2489" s="58"/>
      <c r="EEL2489" s="60"/>
      <c r="EEM2489" s="60"/>
      <c r="EEN2489" s="60"/>
      <c r="EEO2489" s="58"/>
      <c r="EEP2489" s="61"/>
      <c r="EEQ2489" s="58"/>
      <c r="EER2489" s="58"/>
      <c r="EES2489" s="58"/>
      <c r="EET2489" s="60"/>
      <c r="EEU2489" s="60"/>
      <c r="EEV2489" s="60"/>
      <c r="EEW2489" s="58"/>
      <c r="EEX2489" s="61"/>
      <c r="EEY2489" s="58"/>
      <c r="EEZ2489" s="58"/>
      <c r="EFA2489" s="58"/>
      <c r="EFB2489" s="60"/>
      <c r="EFC2489" s="60"/>
      <c r="EFD2489" s="60"/>
      <c r="EFE2489" s="58"/>
      <c r="EFF2489" s="61"/>
      <c r="EFG2489" s="58"/>
      <c r="EFH2489" s="58"/>
      <c r="EFI2489" s="58"/>
      <c r="EFJ2489" s="60"/>
      <c r="EFK2489" s="60"/>
      <c r="EFL2489" s="60"/>
      <c r="EFM2489" s="58"/>
      <c r="EFN2489" s="61"/>
      <c r="EFO2489" s="58"/>
      <c r="EFP2489" s="58"/>
      <c r="EFQ2489" s="58"/>
      <c r="EFR2489" s="60"/>
      <c r="EFS2489" s="60"/>
      <c r="EFT2489" s="60"/>
      <c r="EFU2489" s="58"/>
      <c r="EFV2489" s="61"/>
      <c r="EFW2489" s="58"/>
      <c r="EFX2489" s="58"/>
      <c r="EFY2489" s="58"/>
      <c r="EFZ2489" s="60"/>
      <c r="EGA2489" s="60"/>
      <c r="EGB2489" s="60"/>
      <c r="EGC2489" s="58"/>
      <c r="EGD2489" s="61"/>
      <c r="EGE2489" s="58"/>
      <c r="EGF2489" s="58"/>
      <c r="EGG2489" s="58"/>
      <c r="EGH2489" s="60"/>
      <c r="EGI2489" s="60"/>
      <c r="EGJ2489" s="60"/>
      <c r="EGK2489" s="58"/>
      <c r="EGL2489" s="61"/>
      <c r="EGM2489" s="58"/>
      <c r="EGN2489" s="58"/>
      <c r="EGO2489" s="58"/>
      <c r="EGP2489" s="60"/>
      <c r="EGQ2489" s="60"/>
      <c r="EGR2489" s="60"/>
      <c r="EGS2489" s="58"/>
      <c r="EGT2489" s="61"/>
      <c r="EGU2489" s="58"/>
      <c r="EGV2489" s="58"/>
      <c r="EGW2489" s="58"/>
      <c r="EGX2489" s="60"/>
      <c r="EGY2489" s="60"/>
      <c r="EGZ2489" s="60"/>
      <c r="EHA2489" s="58"/>
      <c r="EHB2489" s="61"/>
      <c r="EHC2489" s="58"/>
      <c r="EHD2489" s="58"/>
      <c r="EHE2489" s="58"/>
      <c r="EHF2489" s="60"/>
      <c r="EHG2489" s="60"/>
      <c r="EHH2489" s="60"/>
      <c r="EHI2489" s="58"/>
      <c r="EHJ2489" s="61"/>
      <c r="EHK2489" s="58"/>
      <c r="EHL2489" s="58"/>
      <c r="EHM2489" s="58"/>
      <c r="EHN2489" s="60"/>
      <c r="EHO2489" s="60"/>
      <c r="EHP2489" s="60"/>
      <c r="EHQ2489" s="58"/>
      <c r="EHR2489" s="61"/>
      <c r="EHS2489" s="58"/>
      <c r="EHT2489" s="58"/>
      <c r="EHU2489" s="58"/>
      <c r="EHV2489" s="60"/>
      <c r="EHW2489" s="60"/>
      <c r="EHX2489" s="60"/>
      <c r="EHY2489" s="58"/>
      <c r="EHZ2489" s="61"/>
      <c r="EIA2489" s="58"/>
      <c r="EIB2489" s="58"/>
      <c r="EIC2489" s="58"/>
      <c r="EID2489" s="60"/>
      <c r="EIE2489" s="60"/>
      <c r="EIF2489" s="60"/>
      <c r="EIG2489" s="58"/>
      <c r="EIH2489" s="61"/>
      <c r="EII2489" s="58"/>
      <c r="EIJ2489" s="58"/>
      <c r="EIK2489" s="58"/>
      <c r="EIL2489" s="60"/>
      <c r="EIM2489" s="60"/>
      <c r="EIN2489" s="60"/>
      <c r="EIO2489" s="58"/>
      <c r="EIP2489" s="61"/>
      <c r="EIQ2489" s="58"/>
      <c r="EIR2489" s="58"/>
      <c r="EIS2489" s="58"/>
      <c r="EIT2489" s="60"/>
      <c r="EIU2489" s="60"/>
      <c r="EIV2489" s="60"/>
      <c r="EIW2489" s="58"/>
      <c r="EIX2489" s="61"/>
      <c r="EIY2489" s="58"/>
      <c r="EIZ2489" s="58"/>
      <c r="EJA2489" s="58"/>
      <c r="EJB2489" s="60"/>
      <c r="EJC2489" s="60"/>
      <c r="EJD2489" s="60"/>
      <c r="EJE2489" s="58"/>
      <c r="EJF2489" s="61"/>
      <c r="EJG2489" s="58"/>
      <c r="EJH2489" s="58"/>
      <c r="EJI2489" s="58"/>
      <c r="EJJ2489" s="60"/>
      <c r="EJK2489" s="60"/>
      <c r="EJL2489" s="60"/>
      <c r="EJM2489" s="58"/>
      <c r="EJN2489" s="61"/>
      <c r="EJO2489" s="58"/>
      <c r="EJP2489" s="58"/>
      <c r="EJQ2489" s="58"/>
      <c r="EJR2489" s="60"/>
      <c r="EJS2489" s="60"/>
      <c r="EJT2489" s="60"/>
      <c r="EJU2489" s="58"/>
      <c r="EJV2489" s="61"/>
      <c r="EJW2489" s="58"/>
      <c r="EJX2489" s="58"/>
      <c r="EJY2489" s="58"/>
      <c r="EJZ2489" s="60"/>
      <c r="EKA2489" s="60"/>
      <c r="EKB2489" s="60"/>
      <c r="EKC2489" s="58"/>
      <c r="EKD2489" s="61"/>
      <c r="EKE2489" s="58"/>
      <c r="EKF2489" s="58"/>
      <c r="EKG2489" s="58"/>
      <c r="EKH2489" s="60"/>
      <c r="EKI2489" s="60"/>
      <c r="EKJ2489" s="60"/>
      <c r="EKK2489" s="58"/>
      <c r="EKL2489" s="61"/>
      <c r="EKM2489" s="58"/>
      <c r="EKN2489" s="58"/>
      <c r="EKO2489" s="58"/>
      <c r="EKP2489" s="60"/>
      <c r="EKQ2489" s="60"/>
      <c r="EKR2489" s="60"/>
      <c r="EKS2489" s="58"/>
      <c r="EKT2489" s="61"/>
      <c r="EKU2489" s="58"/>
      <c r="EKV2489" s="58"/>
      <c r="EKW2489" s="58"/>
      <c r="EKX2489" s="60"/>
      <c r="EKY2489" s="60"/>
      <c r="EKZ2489" s="60"/>
      <c r="ELA2489" s="58"/>
      <c r="ELB2489" s="61"/>
      <c r="ELC2489" s="58"/>
      <c r="ELD2489" s="58"/>
      <c r="ELE2489" s="58"/>
      <c r="ELF2489" s="60"/>
      <c r="ELG2489" s="60"/>
      <c r="ELH2489" s="60"/>
      <c r="ELI2489" s="58"/>
      <c r="ELJ2489" s="61"/>
      <c r="ELK2489" s="58"/>
      <c r="ELL2489" s="58"/>
      <c r="ELM2489" s="58"/>
      <c r="ELN2489" s="60"/>
      <c r="ELO2489" s="60"/>
      <c r="ELP2489" s="60"/>
      <c r="ELQ2489" s="58"/>
      <c r="ELR2489" s="61"/>
      <c r="ELS2489" s="58"/>
      <c r="ELT2489" s="58"/>
      <c r="ELU2489" s="58"/>
      <c r="ELV2489" s="60"/>
      <c r="ELW2489" s="60"/>
      <c r="ELX2489" s="60"/>
      <c r="ELY2489" s="58"/>
      <c r="ELZ2489" s="61"/>
      <c r="EMA2489" s="58"/>
      <c r="EMB2489" s="58"/>
      <c r="EMC2489" s="58"/>
      <c r="EMD2489" s="60"/>
      <c r="EME2489" s="60"/>
      <c r="EMF2489" s="60"/>
      <c r="EMG2489" s="58"/>
      <c r="EMH2489" s="61"/>
      <c r="EMI2489" s="58"/>
      <c r="EMJ2489" s="58"/>
      <c r="EMK2489" s="58"/>
      <c r="EML2489" s="60"/>
      <c r="EMM2489" s="60"/>
      <c r="EMN2489" s="60"/>
      <c r="EMO2489" s="58"/>
      <c r="EMP2489" s="61"/>
      <c r="EMQ2489" s="58"/>
      <c r="EMR2489" s="58"/>
      <c r="EMS2489" s="58"/>
      <c r="EMT2489" s="60"/>
      <c r="EMU2489" s="60"/>
      <c r="EMV2489" s="60"/>
      <c r="EMW2489" s="58"/>
      <c r="EMX2489" s="61"/>
      <c r="EMY2489" s="58"/>
      <c r="EMZ2489" s="58"/>
      <c r="ENA2489" s="58"/>
      <c r="ENB2489" s="60"/>
      <c r="ENC2489" s="60"/>
      <c r="END2489" s="60"/>
      <c r="ENE2489" s="58"/>
      <c r="ENF2489" s="61"/>
      <c r="ENG2489" s="58"/>
      <c r="ENH2489" s="58"/>
      <c r="ENI2489" s="58"/>
      <c r="ENJ2489" s="60"/>
      <c r="ENK2489" s="60"/>
      <c r="ENL2489" s="60"/>
      <c r="ENM2489" s="58"/>
      <c r="ENN2489" s="61"/>
      <c r="ENO2489" s="58"/>
      <c r="ENP2489" s="58"/>
      <c r="ENQ2489" s="58"/>
      <c r="ENR2489" s="60"/>
      <c r="ENS2489" s="60"/>
      <c r="ENT2489" s="60"/>
      <c r="ENU2489" s="58"/>
      <c r="ENV2489" s="61"/>
      <c r="ENW2489" s="58"/>
      <c r="ENX2489" s="58"/>
      <c r="ENY2489" s="58"/>
      <c r="ENZ2489" s="60"/>
      <c r="EOA2489" s="60"/>
      <c r="EOB2489" s="60"/>
      <c r="EOC2489" s="58"/>
      <c r="EOD2489" s="61"/>
      <c r="EOE2489" s="58"/>
      <c r="EOF2489" s="58"/>
      <c r="EOG2489" s="58"/>
      <c r="EOH2489" s="60"/>
      <c r="EOI2489" s="60"/>
      <c r="EOJ2489" s="60"/>
      <c r="EOK2489" s="58"/>
      <c r="EOL2489" s="61"/>
      <c r="EOM2489" s="58"/>
      <c r="EON2489" s="58"/>
      <c r="EOO2489" s="58"/>
      <c r="EOP2489" s="60"/>
      <c r="EOQ2489" s="60"/>
      <c r="EOR2489" s="60"/>
      <c r="EOS2489" s="58"/>
      <c r="EOT2489" s="61"/>
      <c r="EOU2489" s="58"/>
      <c r="EOV2489" s="58"/>
      <c r="EOW2489" s="58"/>
      <c r="EOX2489" s="60"/>
      <c r="EOY2489" s="60"/>
      <c r="EOZ2489" s="60"/>
      <c r="EPA2489" s="58"/>
      <c r="EPB2489" s="61"/>
      <c r="EPC2489" s="58"/>
      <c r="EPD2489" s="58"/>
      <c r="EPE2489" s="58"/>
      <c r="EPF2489" s="60"/>
      <c r="EPG2489" s="60"/>
      <c r="EPH2489" s="60"/>
      <c r="EPI2489" s="58"/>
      <c r="EPJ2489" s="61"/>
      <c r="EPK2489" s="58"/>
      <c r="EPL2489" s="58"/>
      <c r="EPM2489" s="58"/>
      <c r="EPN2489" s="60"/>
      <c r="EPO2489" s="60"/>
      <c r="EPP2489" s="60"/>
      <c r="EPQ2489" s="58"/>
      <c r="EPR2489" s="61"/>
      <c r="EPS2489" s="58"/>
      <c r="EPT2489" s="58"/>
      <c r="EPU2489" s="58"/>
      <c r="EPV2489" s="60"/>
      <c r="EPW2489" s="60"/>
      <c r="EPX2489" s="60"/>
      <c r="EPY2489" s="58"/>
      <c r="EPZ2489" s="61"/>
      <c r="EQA2489" s="58"/>
      <c r="EQB2489" s="58"/>
      <c r="EQC2489" s="58"/>
      <c r="EQD2489" s="60"/>
      <c r="EQE2489" s="60"/>
      <c r="EQF2489" s="60"/>
      <c r="EQG2489" s="58"/>
      <c r="EQH2489" s="61"/>
      <c r="EQI2489" s="58"/>
      <c r="EQJ2489" s="58"/>
      <c r="EQK2489" s="58"/>
      <c r="EQL2489" s="60"/>
      <c r="EQM2489" s="60"/>
      <c r="EQN2489" s="60"/>
      <c r="EQO2489" s="58"/>
      <c r="EQP2489" s="61"/>
      <c r="EQQ2489" s="58"/>
      <c r="EQR2489" s="58"/>
      <c r="EQS2489" s="58"/>
      <c r="EQT2489" s="60"/>
      <c r="EQU2489" s="60"/>
      <c r="EQV2489" s="60"/>
      <c r="EQW2489" s="58"/>
      <c r="EQX2489" s="61"/>
      <c r="EQY2489" s="58"/>
      <c r="EQZ2489" s="58"/>
      <c r="ERA2489" s="58"/>
      <c r="ERB2489" s="60"/>
      <c r="ERC2489" s="60"/>
      <c r="ERD2489" s="60"/>
      <c r="ERE2489" s="58"/>
      <c r="ERF2489" s="61"/>
      <c r="ERG2489" s="58"/>
      <c r="ERH2489" s="58"/>
      <c r="ERI2489" s="58"/>
      <c r="ERJ2489" s="60"/>
      <c r="ERK2489" s="60"/>
      <c r="ERL2489" s="60"/>
      <c r="ERM2489" s="58"/>
      <c r="ERN2489" s="61"/>
      <c r="ERO2489" s="58"/>
      <c r="ERP2489" s="58"/>
      <c r="ERQ2489" s="58"/>
      <c r="ERR2489" s="60"/>
      <c r="ERS2489" s="60"/>
      <c r="ERT2489" s="60"/>
      <c r="ERU2489" s="58"/>
      <c r="ERV2489" s="61"/>
      <c r="ERW2489" s="58"/>
      <c r="ERX2489" s="58"/>
      <c r="ERY2489" s="58"/>
      <c r="ERZ2489" s="60"/>
      <c r="ESA2489" s="60"/>
      <c r="ESB2489" s="60"/>
      <c r="ESC2489" s="58"/>
      <c r="ESD2489" s="61"/>
      <c r="ESE2489" s="58"/>
      <c r="ESF2489" s="58"/>
      <c r="ESG2489" s="58"/>
      <c r="ESH2489" s="60"/>
      <c r="ESI2489" s="60"/>
      <c r="ESJ2489" s="60"/>
      <c r="ESK2489" s="58"/>
      <c r="ESL2489" s="61"/>
      <c r="ESM2489" s="58"/>
      <c r="ESN2489" s="58"/>
      <c r="ESO2489" s="58"/>
      <c r="ESP2489" s="60"/>
      <c r="ESQ2489" s="60"/>
      <c r="ESR2489" s="60"/>
      <c r="ESS2489" s="58"/>
      <c r="EST2489" s="61"/>
      <c r="ESU2489" s="58"/>
      <c r="ESV2489" s="58"/>
      <c r="ESW2489" s="58"/>
      <c r="ESX2489" s="60"/>
      <c r="ESY2489" s="60"/>
      <c r="ESZ2489" s="60"/>
      <c r="ETA2489" s="58"/>
      <c r="ETB2489" s="61"/>
      <c r="ETC2489" s="58"/>
      <c r="ETD2489" s="58"/>
      <c r="ETE2489" s="58"/>
      <c r="ETF2489" s="60"/>
      <c r="ETG2489" s="60"/>
      <c r="ETH2489" s="60"/>
      <c r="ETI2489" s="58"/>
      <c r="ETJ2489" s="61"/>
      <c r="ETK2489" s="58"/>
      <c r="ETL2489" s="58"/>
      <c r="ETM2489" s="58"/>
      <c r="ETN2489" s="60"/>
      <c r="ETO2489" s="60"/>
      <c r="ETP2489" s="60"/>
      <c r="ETQ2489" s="58"/>
      <c r="ETR2489" s="61"/>
      <c r="ETS2489" s="58"/>
      <c r="ETT2489" s="58"/>
      <c r="ETU2489" s="58"/>
      <c r="ETV2489" s="60"/>
      <c r="ETW2489" s="60"/>
      <c r="ETX2489" s="60"/>
      <c r="ETY2489" s="58"/>
      <c r="ETZ2489" s="61"/>
      <c r="EUA2489" s="58"/>
      <c r="EUB2489" s="58"/>
      <c r="EUC2489" s="58"/>
      <c r="EUD2489" s="60"/>
      <c r="EUE2489" s="60"/>
      <c r="EUF2489" s="60"/>
      <c r="EUG2489" s="58"/>
      <c r="EUH2489" s="61"/>
      <c r="EUI2489" s="58"/>
      <c r="EUJ2489" s="58"/>
      <c r="EUK2489" s="58"/>
      <c r="EUL2489" s="60"/>
      <c r="EUM2489" s="60"/>
      <c r="EUN2489" s="60"/>
      <c r="EUO2489" s="58"/>
      <c r="EUP2489" s="61"/>
      <c r="EUQ2489" s="58"/>
      <c r="EUR2489" s="58"/>
      <c r="EUS2489" s="58"/>
      <c r="EUT2489" s="60"/>
      <c r="EUU2489" s="60"/>
      <c r="EUV2489" s="60"/>
      <c r="EUW2489" s="58"/>
      <c r="EUX2489" s="61"/>
      <c r="EUY2489" s="58"/>
      <c r="EUZ2489" s="58"/>
      <c r="EVA2489" s="58"/>
      <c r="EVB2489" s="60"/>
      <c r="EVC2489" s="60"/>
      <c r="EVD2489" s="60"/>
      <c r="EVE2489" s="58"/>
      <c r="EVF2489" s="61"/>
      <c r="EVG2489" s="58"/>
      <c r="EVH2489" s="58"/>
      <c r="EVI2489" s="58"/>
      <c r="EVJ2489" s="60"/>
      <c r="EVK2489" s="60"/>
      <c r="EVL2489" s="60"/>
      <c r="EVM2489" s="58"/>
      <c r="EVN2489" s="61"/>
      <c r="EVO2489" s="58"/>
      <c r="EVP2489" s="58"/>
      <c r="EVQ2489" s="58"/>
      <c r="EVR2489" s="60"/>
      <c r="EVS2489" s="60"/>
      <c r="EVT2489" s="60"/>
      <c r="EVU2489" s="58"/>
      <c r="EVV2489" s="61"/>
      <c r="EVW2489" s="58"/>
      <c r="EVX2489" s="58"/>
      <c r="EVY2489" s="58"/>
      <c r="EVZ2489" s="60"/>
      <c r="EWA2489" s="60"/>
      <c r="EWB2489" s="60"/>
      <c r="EWC2489" s="58"/>
      <c r="EWD2489" s="61"/>
      <c r="EWE2489" s="58"/>
      <c r="EWF2489" s="58"/>
      <c r="EWG2489" s="58"/>
      <c r="EWH2489" s="60"/>
      <c r="EWI2489" s="60"/>
      <c r="EWJ2489" s="60"/>
      <c r="EWK2489" s="58"/>
      <c r="EWL2489" s="61"/>
      <c r="EWM2489" s="58"/>
      <c r="EWN2489" s="58"/>
      <c r="EWO2489" s="58"/>
      <c r="EWP2489" s="60"/>
      <c r="EWQ2489" s="60"/>
      <c r="EWR2489" s="60"/>
      <c r="EWS2489" s="58"/>
      <c r="EWT2489" s="61"/>
      <c r="EWU2489" s="58"/>
      <c r="EWV2489" s="58"/>
      <c r="EWW2489" s="58"/>
      <c r="EWX2489" s="60"/>
      <c r="EWY2489" s="60"/>
      <c r="EWZ2489" s="60"/>
      <c r="EXA2489" s="58"/>
      <c r="EXB2489" s="61"/>
      <c r="EXC2489" s="58"/>
      <c r="EXD2489" s="58"/>
      <c r="EXE2489" s="58"/>
      <c r="EXF2489" s="60"/>
      <c r="EXG2489" s="60"/>
      <c r="EXH2489" s="60"/>
      <c r="EXI2489" s="58"/>
      <c r="EXJ2489" s="61"/>
      <c r="EXK2489" s="58"/>
      <c r="EXL2489" s="58"/>
      <c r="EXM2489" s="58"/>
      <c r="EXN2489" s="60"/>
      <c r="EXO2489" s="60"/>
      <c r="EXP2489" s="60"/>
      <c r="EXQ2489" s="58"/>
      <c r="EXR2489" s="61"/>
      <c r="EXS2489" s="58"/>
      <c r="EXT2489" s="58"/>
      <c r="EXU2489" s="58"/>
      <c r="EXV2489" s="60"/>
      <c r="EXW2489" s="60"/>
      <c r="EXX2489" s="60"/>
      <c r="EXY2489" s="58"/>
      <c r="EXZ2489" s="61"/>
      <c r="EYA2489" s="58"/>
      <c r="EYB2489" s="58"/>
      <c r="EYC2489" s="58"/>
      <c r="EYD2489" s="60"/>
      <c r="EYE2489" s="60"/>
      <c r="EYF2489" s="60"/>
      <c r="EYG2489" s="58"/>
      <c r="EYH2489" s="61"/>
      <c r="EYI2489" s="58"/>
      <c r="EYJ2489" s="58"/>
      <c r="EYK2489" s="58"/>
      <c r="EYL2489" s="60"/>
      <c r="EYM2489" s="60"/>
      <c r="EYN2489" s="60"/>
      <c r="EYO2489" s="58"/>
      <c r="EYP2489" s="61"/>
      <c r="EYQ2489" s="58"/>
      <c r="EYR2489" s="58"/>
      <c r="EYS2489" s="58"/>
      <c r="EYT2489" s="60"/>
      <c r="EYU2489" s="60"/>
      <c r="EYV2489" s="60"/>
      <c r="EYW2489" s="58"/>
      <c r="EYX2489" s="61"/>
      <c r="EYY2489" s="58"/>
      <c r="EYZ2489" s="58"/>
      <c r="EZA2489" s="58"/>
      <c r="EZB2489" s="60"/>
      <c r="EZC2489" s="60"/>
      <c r="EZD2489" s="60"/>
      <c r="EZE2489" s="58"/>
      <c r="EZF2489" s="61"/>
      <c r="EZG2489" s="58"/>
      <c r="EZH2489" s="58"/>
      <c r="EZI2489" s="58"/>
      <c r="EZJ2489" s="60"/>
      <c r="EZK2489" s="60"/>
      <c r="EZL2489" s="60"/>
      <c r="EZM2489" s="58"/>
      <c r="EZN2489" s="61"/>
      <c r="EZO2489" s="58"/>
      <c r="EZP2489" s="58"/>
      <c r="EZQ2489" s="58"/>
      <c r="EZR2489" s="60"/>
      <c r="EZS2489" s="60"/>
      <c r="EZT2489" s="60"/>
      <c r="EZU2489" s="58"/>
      <c r="EZV2489" s="61"/>
      <c r="EZW2489" s="58"/>
      <c r="EZX2489" s="58"/>
      <c r="EZY2489" s="58"/>
      <c r="EZZ2489" s="60"/>
      <c r="FAA2489" s="60"/>
      <c r="FAB2489" s="60"/>
      <c r="FAC2489" s="58"/>
      <c r="FAD2489" s="61"/>
      <c r="FAE2489" s="58"/>
      <c r="FAF2489" s="58"/>
      <c r="FAG2489" s="58"/>
      <c r="FAH2489" s="60"/>
      <c r="FAI2489" s="60"/>
      <c r="FAJ2489" s="60"/>
      <c r="FAK2489" s="58"/>
      <c r="FAL2489" s="61"/>
      <c r="FAM2489" s="58"/>
      <c r="FAN2489" s="58"/>
      <c r="FAO2489" s="58"/>
      <c r="FAP2489" s="60"/>
      <c r="FAQ2489" s="60"/>
      <c r="FAR2489" s="60"/>
      <c r="FAS2489" s="58"/>
      <c r="FAT2489" s="61"/>
      <c r="FAU2489" s="58"/>
      <c r="FAV2489" s="58"/>
      <c r="FAW2489" s="58"/>
      <c r="FAX2489" s="60"/>
      <c r="FAY2489" s="60"/>
      <c r="FAZ2489" s="60"/>
      <c r="FBA2489" s="58"/>
      <c r="FBB2489" s="61"/>
      <c r="FBC2489" s="58"/>
      <c r="FBD2489" s="58"/>
      <c r="FBE2489" s="58"/>
      <c r="FBF2489" s="60"/>
      <c r="FBG2489" s="60"/>
      <c r="FBH2489" s="60"/>
      <c r="FBI2489" s="58"/>
      <c r="FBJ2489" s="61"/>
      <c r="FBK2489" s="58"/>
      <c r="FBL2489" s="58"/>
      <c r="FBM2489" s="58"/>
      <c r="FBN2489" s="60"/>
      <c r="FBO2489" s="60"/>
      <c r="FBP2489" s="60"/>
      <c r="FBQ2489" s="58"/>
      <c r="FBR2489" s="61"/>
      <c r="FBS2489" s="58"/>
      <c r="FBT2489" s="58"/>
      <c r="FBU2489" s="58"/>
      <c r="FBV2489" s="60"/>
      <c r="FBW2489" s="60"/>
      <c r="FBX2489" s="60"/>
      <c r="FBY2489" s="58"/>
      <c r="FBZ2489" s="61"/>
      <c r="FCA2489" s="58"/>
      <c r="FCB2489" s="58"/>
      <c r="FCC2489" s="58"/>
      <c r="FCD2489" s="60"/>
      <c r="FCE2489" s="60"/>
      <c r="FCF2489" s="60"/>
      <c r="FCG2489" s="58"/>
      <c r="FCH2489" s="61"/>
      <c r="FCI2489" s="58"/>
      <c r="FCJ2489" s="58"/>
      <c r="FCK2489" s="58"/>
      <c r="FCL2489" s="60"/>
      <c r="FCM2489" s="60"/>
      <c r="FCN2489" s="60"/>
      <c r="FCO2489" s="58"/>
      <c r="FCP2489" s="61"/>
      <c r="FCQ2489" s="58"/>
      <c r="FCR2489" s="58"/>
      <c r="FCS2489" s="58"/>
      <c r="FCT2489" s="60"/>
      <c r="FCU2489" s="60"/>
      <c r="FCV2489" s="60"/>
      <c r="FCW2489" s="58"/>
      <c r="FCX2489" s="61"/>
      <c r="FCY2489" s="58"/>
      <c r="FCZ2489" s="58"/>
      <c r="FDA2489" s="58"/>
      <c r="FDB2489" s="60"/>
      <c r="FDC2489" s="60"/>
      <c r="FDD2489" s="60"/>
      <c r="FDE2489" s="58"/>
      <c r="FDF2489" s="61"/>
      <c r="FDG2489" s="58"/>
      <c r="FDH2489" s="58"/>
      <c r="FDI2489" s="58"/>
      <c r="FDJ2489" s="60"/>
      <c r="FDK2489" s="60"/>
      <c r="FDL2489" s="60"/>
      <c r="FDM2489" s="58"/>
      <c r="FDN2489" s="61"/>
      <c r="FDO2489" s="58"/>
      <c r="FDP2489" s="58"/>
      <c r="FDQ2489" s="58"/>
      <c r="FDR2489" s="60"/>
      <c r="FDS2489" s="60"/>
      <c r="FDT2489" s="60"/>
      <c r="FDU2489" s="58"/>
      <c r="FDV2489" s="61"/>
      <c r="FDW2489" s="58"/>
      <c r="FDX2489" s="58"/>
      <c r="FDY2489" s="58"/>
      <c r="FDZ2489" s="60"/>
      <c r="FEA2489" s="60"/>
      <c r="FEB2489" s="60"/>
      <c r="FEC2489" s="58"/>
      <c r="FED2489" s="61"/>
      <c r="FEE2489" s="58"/>
      <c r="FEF2489" s="58"/>
      <c r="FEG2489" s="58"/>
      <c r="FEH2489" s="60"/>
      <c r="FEI2489" s="60"/>
      <c r="FEJ2489" s="60"/>
      <c r="FEK2489" s="58"/>
      <c r="FEL2489" s="61"/>
      <c r="FEM2489" s="58"/>
      <c r="FEN2489" s="58"/>
      <c r="FEO2489" s="58"/>
      <c r="FEP2489" s="60"/>
      <c r="FEQ2489" s="60"/>
      <c r="FER2489" s="60"/>
      <c r="FES2489" s="58"/>
      <c r="FET2489" s="61"/>
      <c r="FEU2489" s="58"/>
      <c r="FEV2489" s="58"/>
      <c r="FEW2489" s="58"/>
      <c r="FEX2489" s="60"/>
      <c r="FEY2489" s="60"/>
      <c r="FEZ2489" s="60"/>
      <c r="FFA2489" s="58"/>
      <c r="FFB2489" s="61"/>
      <c r="FFC2489" s="58"/>
      <c r="FFD2489" s="58"/>
      <c r="FFE2489" s="58"/>
      <c r="FFF2489" s="60"/>
      <c r="FFG2489" s="60"/>
      <c r="FFH2489" s="60"/>
      <c r="FFI2489" s="58"/>
      <c r="FFJ2489" s="61"/>
      <c r="FFK2489" s="58"/>
      <c r="FFL2489" s="58"/>
      <c r="FFM2489" s="58"/>
      <c r="FFN2489" s="60"/>
      <c r="FFO2489" s="60"/>
      <c r="FFP2489" s="60"/>
      <c r="FFQ2489" s="58"/>
      <c r="FFR2489" s="61"/>
      <c r="FFS2489" s="58"/>
      <c r="FFT2489" s="58"/>
      <c r="FFU2489" s="58"/>
      <c r="FFV2489" s="60"/>
      <c r="FFW2489" s="60"/>
      <c r="FFX2489" s="60"/>
      <c r="FFY2489" s="58"/>
      <c r="FFZ2489" s="61"/>
      <c r="FGA2489" s="58"/>
      <c r="FGB2489" s="58"/>
      <c r="FGC2489" s="58"/>
      <c r="FGD2489" s="60"/>
      <c r="FGE2489" s="60"/>
      <c r="FGF2489" s="60"/>
      <c r="FGG2489" s="58"/>
      <c r="FGH2489" s="61"/>
      <c r="FGI2489" s="58"/>
      <c r="FGJ2489" s="58"/>
      <c r="FGK2489" s="58"/>
      <c r="FGL2489" s="60"/>
      <c r="FGM2489" s="60"/>
      <c r="FGN2489" s="60"/>
      <c r="FGO2489" s="58"/>
      <c r="FGP2489" s="61"/>
      <c r="FGQ2489" s="58"/>
      <c r="FGR2489" s="58"/>
      <c r="FGS2489" s="58"/>
      <c r="FGT2489" s="60"/>
      <c r="FGU2489" s="60"/>
      <c r="FGV2489" s="60"/>
      <c r="FGW2489" s="58"/>
      <c r="FGX2489" s="61"/>
      <c r="FGY2489" s="58"/>
      <c r="FGZ2489" s="58"/>
      <c r="FHA2489" s="58"/>
      <c r="FHB2489" s="60"/>
      <c r="FHC2489" s="60"/>
      <c r="FHD2489" s="60"/>
      <c r="FHE2489" s="58"/>
      <c r="FHF2489" s="61"/>
      <c r="FHG2489" s="58"/>
      <c r="FHH2489" s="58"/>
      <c r="FHI2489" s="58"/>
      <c r="FHJ2489" s="60"/>
      <c r="FHK2489" s="60"/>
      <c r="FHL2489" s="60"/>
      <c r="FHM2489" s="58"/>
      <c r="FHN2489" s="61"/>
      <c r="FHO2489" s="58"/>
      <c r="FHP2489" s="58"/>
      <c r="FHQ2489" s="58"/>
      <c r="FHR2489" s="60"/>
      <c r="FHS2489" s="60"/>
      <c r="FHT2489" s="60"/>
      <c r="FHU2489" s="58"/>
      <c r="FHV2489" s="61"/>
      <c r="FHW2489" s="58"/>
      <c r="FHX2489" s="58"/>
      <c r="FHY2489" s="58"/>
      <c r="FHZ2489" s="60"/>
      <c r="FIA2489" s="60"/>
      <c r="FIB2489" s="60"/>
      <c r="FIC2489" s="58"/>
      <c r="FID2489" s="61"/>
      <c r="FIE2489" s="58"/>
      <c r="FIF2489" s="58"/>
      <c r="FIG2489" s="58"/>
      <c r="FIH2489" s="60"/>
      <c r="FII2489" s="60"/>
      <c r="FIJ2489" s="60"/>
      <c r="FIK2489" s="58"/>
      <c r="FIL2489" s="61"/>
      <c r="FIM2489" s="58"/>
      <c r="FIN2489" s="58"/>
      <c r="FIO2489" s="58"/>
      <c r="FIP2489" s="60"/>
      <c r="FIQ2489" s="60"/>
      <c r="FIR2489" s="60"/>
      <c r="FIS2489" s="58"/>
      <c r="FIT2489" s="61"/>
      <c r="FIU2489" s="58"/>
      <c r="FIV2489" s="58"/>
      <c r="FIW2489" s="58"/>
      <c r="FIX2489" s="60"/>
      <c r="FIY2489" s="60"/>
      <c r="FIZ2489" s="60"/>
      <c r="FJA2489" s="58"/>
      <c r="FJB2489" s="61"/>
      <c r="FJC2489" s="58"/>
      <c r="FJD2489" s="58"/>
      <c r="FJE2489" s="58"/>
      <c r="FJF2489" s="60"/>
      <c r="FJG2489" s="60"/>
      <c r="FJH2489" s="60"/>
      <c r="FJI2489" s="58"/>
      <c r="FJJ2489" s="61"/>
      <c r="FJK2489" s="58"/>
      <c r="FJL2489" s="58"/>
      <c r="FJM2489" s="58"/>
      <c r="FJN2489" s="60"/>
      <c r="FJO2489" s="60"/>
      <c r="FJP2489" s="60"/>
      <c r="FJQ2489" s="58"/>
      <c r="FJR2489" s="61"/>
      <c r="FJS2489" s="58"/>
      <c r="FJT2489" s="58"/>
      <c r="FJU2489" s="58"/>
      <c r="FJV2489" s="60"/>
      <c r="FJW2489" s="60"/>
      <c r="FJX2489" s="60"/>
      <c r="FJY2489" s="58"/>
      <c r="FJZ2489" s="61"/>
      <c r="FKA2489" s="58"/>
      <c r="FKB2489" s="58"/>
      <c r="FKC2489" s="58"/>
      <c r="FKD2489" s="60"/>
      <c r="FKE2489" s="60"/>
      <c r="FKF2489" s="60"/>
      <c r="FKG2489" s="58"/>
      <c r="FKH2489" s="61"/>
      <c r="FKI2489" s="58"/>
      <c r="FKJ2489" s="58"/>
      <c r="FKK2489" s="58"/>
      <c r="FKL2489" s="60"/>
      <c r="FKM2489" s="60"/>
      <c r="FKN2489" s="60"/>
      <c r="FKO2489" s="58"/>
      <c r="FKP2489" s="61"/>
      <c r="FKQ2489" s="58"/>
      <c r="FKR2489" s="58"/>
      <c r="FKS2489" s="58"/>
      <c r="FKT2489" s="60"/>
      <c r="FKU2489" s="60"/>
      <c r="FKV2489" s="60"/>
      <c r="FKW2489" s="58"/>
      <c r="FKX2489" s="61"/>
      <c r="FKY2489" s="58"/>
      <c r="FKZ2489" s="58"/>
      <c r="FLA2489" s="58"/>
      <c r="FLB2489" s="60"/>
      <c r="FLC2489" s="60"/>
      <c r="FLD2489" s="60"/>
      <c r="FLE2489" s="58"/>
      <c r="FLF2489" s="61"/>
      <c r="FLG2489" s="58"/>
      <c r="FLH2489" s="58"/>
      <c r="FLI2489" s="58"/>
      <c r="FLJ2489" s="60"/>
      <c r="FLK2489" s="60"/>
      <c r="FLL2489" s="60"/>
      <c r="FLM2489" s="58"/>
      <c r="FLN2489" s="61"/>
      <c r="FLO2489" s="58"/>
      <c r="FLP2489" s="58"/>
      <c r="FLQ2489" s="58"/>
      <c r="FLR2489" s="60"/>
      <c r="FLS2489" s="60"/>
      <c r="FLT2489" s="60"/>
      <c r="FLU2489" s="58"/>
      <c r="FLV2489" s="61"/>
      <c r="FLW2489" s="58"/>
      <c r="FLX2489" s="58"/>
      <c r="FLY2489" s="58"/>
      <c r="FLZ2489" s="60"/>
      <c r="FMA2489" s="60"/>
      <c r="FMB2489" s="60"/>
      <c r="FMC2489" s="58"/>
      <c r="FMD2489" s="61"/>
      <c r="FME2489" s="58"/>
      <c r="FMF2489" s="58"/>
      <c r="FMG2489" s="58"/>
      <c r="FMH2489" s="60"/>
      <c r="FMI2489" s="60"/>
      <c r="FMJ2489" s="60"/>
      <c r="FMK2489" s="58"/>
      <c r="FML2489" s="61"/>
      <c r="FMM2489" s="58"/>
      <c r="FMN2489" s="58"/>
      <c r="FMO2489" s="58"/>
      <c r="FMP2489" s="60"/>
      <c r="FMQ2489" s="60"/>
      <c r="FMR2489" s="60"/>
      <c r="FMS2489" s="58"/>
      <c r="FMT2489" s="61"/>
      <c r="FMU2489" s="58"/>
      <c r="FMV2489" s="58"/>
      <c r="FMW2489" s="58"/>
      <c r="FMX2489" s="60"/>
      <c r="FMY2489" s="60"/>
      <c r="FMZ2489" s="60"/>
      <c r="FNA2489" s="58"/>
      <c r="FNB2489" s="61"/>
      <c r="FNC2489" s="58"/>
      <c r="FND2489" s="58"/>
      <c r="FNE2489" s="58"/>
      <c r="FNF2489" s="60"/>
      <c r="FNG2489" s="60"/>
      <c r="FNH2489" s="60"/>
      <c r="FNI2489" s="58"/>
      <c r="FNJ2489" s="61"/>
      <c r="FNK2489" s="58"/>
      <c r="FNL2489" s="58"/>
      <c r="FNM2489" s="58"/>
      <c r="FNN2489" s="60"/>
      <c r="FNO2489" s="60"/>
      <c r="FNP2489" s="60"/>
      <c r="FNQ2489" s="58"/>
      <c r="FNR2489" s="61"/>
      <c r="FNS2489" s="58"/>
      <c r="FNT2489" s="58"/>
      <c r="FNU2489" s="58"/>
      <c r="FNV2489" s="60"/>
      <c r="FNW2489" s="60"/>
      <c r="FNX2489" s="60"/>
      <c r="FNY2489" s="58"/>
      <c r="FNZ2489" s="61"/>
      <c r="FOA2489" s="58"/>
      <c r="FOB2489" s="58"/>
      <c r="FOC2489" s="58"/>
      <c r="FOD2489" s="60"/>
      <c r="FOE2489" s="60"/>
      <c r="FOF2489" s="60"/>
      <c r="FOG2489" s="58"/>
      <c r="FOH2489" s="61"/>
      <c r="FOI2489" s="58"/>
      <c r="FOJ2489" s="58"/>
      <c r="FOK2489" s="58"/>
      <c r="FOL2489" s="60"/>
      <c r="FOM2489" s="60"/>
      <c r="FON2489" s="60"/>
      <c r="FOO2489" s="58"/>
      <c r="FOP2489" s="61"/>
      <c r="FOQ2489" s="58"/>
      <c r="FOR2489" s="58"/>
      <c r="FOS2489" s="58"/>
      <c r="FOT2489" s="60"/>
      <c r="FOU2489" s="60"/>
      <c r="FOV2489" s="60"/>
      <c r="FOW2489" s="58"/>
      <c r="FOX2489" s="61"/>
      <c r="FOY2489" s="58"/>
      <c r="FOZ2489" s="58"/>
      <c r="FPA2489" s="58"/>
      <c r="FPB2489" s="60"/>
      <c r="FPC2489" s="60"/>
      <c r="FPD2489" s="60"/>
      <c r="FPE2489" s="58"/>
      <c r="FPF2489" s="61"/>
      <c r="FPG2489" s="58"/>
      <c r="FPH2489" s="58"/>
      <c r="FPI2489" s="58"/>
      <c r="FPJ2489" s="60"/>
      <c r="FPK2489" s="60"/>
      <c r="FPL2489" s="60"/>
      <c r="FPM2489" s="58"/>
      <c r="FPN2489" s="61"/>
      <c r="FPO2489" s="58"/>
      <c r="FPP2489" s="58"/>
      <c r="FPQ2489" s="58"/>
      <c r="FPR2489" s="60"/>
      <c r="FPS2489" s="60"/>
      <c r="FPT2489" s="60"/>
      <c r="FPU2489" s="58"/>
      <c r="FPV2489" s="61"/>
      <c r="FPW2489" s="58"/>
      <c r="FPX2489" s="58"/>
      <c r="FPY2489" s="58"/>
      <c r="FPZ2489" s="60"/>
      <c r="FQA2489" s="60"/>
      <c r="FQB2489" s="60"/>
      <c r="FQC2489" s="58"/>
      <c r="FQD2489" s="61"/>
      <c r="FQE2489" s="58"/>
      <c r="FQF2489" s="58"/>
      <c r="FQG2489" s="58"/>
      <c r="FQH2489" s="60"/>
      <c r="FQI2489" s="60"/>
      <c r="FQJ2489" s="60"/>
      <c r="FQK2489" s="58"/>
      <c r="FQL2489" s="61"/>
      <c r="FQM2489" s="58"/>
      <c r="FQN2489" s="58"/>
      <c r="FQO2489" s="58"/>
      <c r="FQP2489" s="60"/>
      <c r="FQQ2489" s="60"/>
      <c r="FQR2489" s="60"/>
      <c r="FQS2489" s="58"/>
      <c r="FQT2489" s="61"/>
      <c r="FQU2489" s="58"/>
      <c r="FQV2489" s="58"/>
      <c r="FQW2489" s="58"/>
      <c r="FQX2489" s="60"/>
      <c r="FQY2489" s="60"/>
      <c r="FQZ2489" s="60"/>
      <c r="FRA2489" s="58"/>
      <c r="FRB2489" s="61"/>
      <c r="FRC2489" s="58"/>
      <c r="FRD2489" s="58"/>
      <c r="FRE2489" s="58"/>
      <c r="FRF2489" s="60"/>
      <c r="FRG2489" s="60"/>
      <c r="FRH2489" s="60"/>
      <c r="FRI2489" s="58"/>
      <c r="FRJ2489" s="61"/>
      <c r="FRK2489" s="58"/>
      <c r="FRL2489" s="58"/>
      <c r="FRM2489" s="58"/>
      <c r="FRN2489" s="60"/>
      <c r="FRO2489" s="60"/>
      <c r="FRP2489" s="60"/>
      <c r="FRQ2489" s="58"/>
      <c r="FRR2489" s="61"/>
      <c r="FRS2489" s="58"/>
      <c r="FRT2489" s="58"/>
      <c r="FRU2489" s="58"/>
      <c r="FRV2489" s="60"/>
      <c r="FRW2489" s="60"/>
      <c r="FRX2489" s="60"/>
      <c r="FRY2489" s="58"/>
      <c r="FRZ2489" s="61"/>
      <c r="FSA2489" s="58"/>
      <c r="FSB2489" s="58"/>
      <c r="FSC2489" s="58"/>
      <c r="FSD2489" s="60"/>
      <c r="FSE2489" s="60"/>
      <c r="FSF2489" s="60"/>
      <c r="FSG2489" s="58"/>
      <c r="FSH2489" s="61"/>
      <c r="FSI2489" s="58"/>
      <c r="FSJ2489" s="58"/>
      <c r="FSK2489" s="58"/>
      <c r="FSL2489" s="60"/>
      <c r="FSM2489" s="60"/>
      <c r="FSN2489" s="60"/>
      <c r="FSO2489" s="58"/>
      <c r="FSP2489" s="61"/>
      <c r="FSQ2489" s="58"/>
      <c r="FSR2489" s="58"/>
      <c r="FSS2489" s="58"/>
      <c r="FST2489" s="60"/>
      <c r="FSU2489" s="60"/>
      <c r="FSV2489" s="60"/>
      <c r="FSW2489" s="58"/>
      <c r="FSX2489" s="61"/>
      <c r="FSY2489" s="58"/>
      <c r="FSZ2489" s="58"/>
      <c r="FTA2489" s="58"/>
      <c r="FTB2489" s="60"/>
      <c r="FTC2489" s="60"/>
      <c r="FTD2489" s="60"/>
      <c r="FTE2489" s="58"/>
      <c r="FTF2489" s="61"/>
      <c r="FTG2489" s="58"/>
      <c r="FTH2489" s="58"/>
      <c r="FTI2489" s="58"/>
      <c r="FTJ2489" s="60"/>
      <c r="FTK2489" s="60"/>
      <c r="FTL2489" s="60"/>
      <c r="FTM2489" s="58"/>
      <c r="FTN2489" s="61"/>
      <c r="FTO2489" s="58"/>
      <c r="FTP2489" s="58"/>
      <c r="FTQ2489" s="58"/>
      <c r="FTR2489" s="60"/>
      <c r="FTS2489" s="60"/>
      <c r="FTT2489" s="60"/>
      <c r="FTU2489" s="58"/>
      <c r="FTV2489" s="61"/>
      <c r="FTW2489" s="58"/>
      <c r="FTX2489" s="58"/>
      <c r="FTY2489" s="58"/>
      <c r="FTZ2489" s="60"/>
      <c r="FUA2489" s="60"/>
      <c r="FUB2489" s="60"/>
      <c r="FUC2489" s="58"/>
      <c r="FUD2489" s="61"/>
      <c r="FUE2489" s="58"/>
      <c r="FUF2489" s="58"/>
      <c r="FUG2489" s="58"/>
      <c r="FUH2489" s="60"/>
      <c r="FUI2489" s="60"/>
      <c r="FUJ2489" s="60"/>
      <c r="FUK2489" s="58"/>
      <c r="FUL2489" s="61"/>
      <c r="FUM2489" s="58"/>
      <c r="FUN2489" s="58"/>
      <c r="FUO2489" s="58"/>
      <c r="FUP2489" s="60"/>
      <c r="FUQ2489" s="60"/>
      <c r="FUR2489" s="60"/>
      <c r="FUS2489" s="58"/>
      <c r="FUT2489" s="61"/>
      <c r="FUU2489" s="58"/>
      <c r="FUV2489" s="58"/>
      <c r="FUW2489" s="58"/>
      <c r="FUX2489" s="60"/>
      <c r="FUY2489" s="60"/>
      <c r="FUZ2489" s="60"/>
      <c r="FVA2489" s="58"/>
      <c r="FVB2489" s="61"/>
      <c r="FVC2489" s="58"/>
      <c r="FVD2489" s="58"/>
      <c r="FVE2489" s="58"/>
      <c r="FVF2489" s="60"/>
      <c r="FVG2489" s="60"/>
      <c r="FVH2489" s="60"/>
      <c r="FVI2489" s="58"/>
      <c r="FVJ2489" s="61"/>
      <c r="FVK2489" s="58"/>
      <c r="FVL2489" s="58"/>
      <c r="FVM2489" s="58"/>
      <c r="FVN2489" s="60"/>
      <c r="FVO2489" s="60"/>
      <c r="FVP2489" s="60"/>
      <c r="FVQ2489" s="58"/>
      <c r="FVR2489" s="61"/>
      <c r="FVS2489" s="58"/>
      <c r="FVT2489" s="58"/>
      <c r="FVU2489" s="58"/>
      <c r="FVV2489" s="60"/>
      <c r="FVW2489" s="60"/>
      <c r="FVX2489" s="60"/>
      <c r="FVY2489" s="58"/>
      <c r="FVZ2489" s="61"/>
      <c r="FWA2489" s="58"/>
      <c r="FWB2489" s="58"/>
      <c r="FWC2489" s="58"/>
      <c r="FWD2489" s="60"/>
      <c r="FWE2489" s="60"/>
      <c r="FWF2489" s="60"/>
      <c r="FWG2489" s="58"/>
      <c r="FWH2489" s="61"/>
      <c r="FWI2489" s="58"/>
      <c r="FWJ2489" s="58"/>
      <c r="FWK2489" s="58"/>
      <c r="FWL2489" s="60"/>
      <c r="FWM2489" s="60"/>
      <c r="FWN2489" s="60"/>
      <c r="FWO2489" s="58"/>
      <c r="FWP2489" s="61"/>
      <c r="FWQ2489" s="58"/>
      <c r="FWR2489" s="58"/>
      <c r="FWS2489" s="58"/>
      <c r="FWT2489" s="60"/>
      <c r="FWU2489" s="60"/>
      <c r="FWV2489" s="60"/>
      <c r="FWW2489" s="58"/>
      <c r="FWX2489" s="61"/>
      <c r="FWY2489" s="58"/>
      <c r="FWZ2489" s="58"/>
      <c r="FXA2489" s="58"/>
      <c r="FXB2489" s="60"/>
      <c r="FXC2489" s="60"/>
      <c r="FXD2489" s="60"/>
      <c r="FXE2489" s="58"/>
      <c r="FXF2489" s="61"/>
      <c r="FXG2489" s="58"/>
      <c r="FXH2489" s="58"/>
      <c r="FXI2489" s="58"/>
      <c r="FXJ2489" s="60"/>
      <c r="FXK2489" s="60"/>
      <c r="FXL2489" s="60"/>
      <c r="FXM2489" s="58"/>
      <c r="FXN2489" s="61"/>
      <c r="FXO2489" s="58"/>
      <c r="FXP2489" s="58"/>
      <c r="FXQ2489" s="58"/>
      <c r="FXR2489" s="60"/>
      <c r="FXS2489" s="60"/>
      <c r="FXT2489" s="60"/>
      <c r="FXU2489" s="58"/>
      <c r="FXV2489" s="61"/>
      <c r="FXW2489" s="58"/>
      <c r="FXX2489" s="58"/>
      <c r="FXY2489" s="58"/>
      <c r="FXZ2489" s="60"/>
      <c r="FYA2489" s="60"/>
      <c r="FYB2489" s="60"/>
      <c r="FYC2489" s="58"/>
      <c r="FYD2489" s="61"/>
      <c r="FYE2489" s="58"/>
      <c r="FYF2489" s="58"/>
      <c r="FYG2489" s="58"/>
      <c r="FYH2489" s="60"/>
      <c r="FYI2489" s="60"/>
      <c r="FYJ2489" s="60"/>
      <c r="FYK2489" s="58"/>
      <c r="FYL2489" s="61"/>
      <c r="FYM2489" s="58"/>
      <c r="FYN2489" s="58"/>
      <c r="FYO2489" s="58"/>
      <c r="FYP2489" s="60"/>
      <c r="FYQ2489" s="60"/>
      <c r="FYR2489" s="60"/>
      <c r="FYS2489" s="58"/>
      <c r="FYT2489" s="61"/>
      <c r="FYU2489" s="58"/>
      <c r="FYV2489" s="58"/>
      <c r="FYW2489" s="58"/>
      <c r="FYX2489" s="60"/>
      <c r="FYY2489" s="60"/>
      <c r="FYZ2489" s="60"/>
      <c r="FZA2489" s="58"/>
      <c r="FZB2489" s="61"/>
      <c r="FZC2489" s="58"/>
      <c r="FZD2489" s="58"/>
      <c r="FZE2489" s="58"/>
      <c r="FZF2489" s="60"/>
      <c r="FZG2489" s="60"/>
      <c r="FZH2489" s="60"/>
      <c r="FZI2489" s="58"/>
      <c r="FZJ2489" s="61"/>
      <c r="FZK2489" s="58"/>
      <c r="FZL2489" s="58"/>
      <c r="FZM2489" s="58"/>
      <c r="FZN2489" s="60"/>
      <c r="FZO2489" s="60"/>
      <c r="FZP2489" s="60"/>
      <c r="FZQ2489" s="58"/>
      <c r="FZR2489" s="61"/>
      <c r="FZS2489" s="58"/>
      <c r="FZT2489" s="58"/>
      <c r="FZU2489" s="58"/>
      <c r="FZV2489" s="60"/>
      <c r="FZW2489" s="60"/>
      <c r="FZX2489" s="60"/>
      <c r="FZY2489" s="58"/>
      <c r="FZZ2489" s="61"/>
      <c r="GAA2489" s="58"/>
      <c r="GAB2489" s="58"/>
      <c r="GAC2489" s="58"/>
      <c r="GAD2489" s="60"/>
      <c r="GAE2489" s="60"/>
      <c r="GAF2489" s="60"/>
      <c r="GAG2489" s="58"/>
      <c r="GAH2489" s="61"/>
      <c r="GAI2489" s="58"/>
      <c r="GAJ2489" s="58"/>
      <c r="GAK2489" s="58"/>
      <c r="GAL2489" s="60"/>
      <c r="GAM2489" s="60"/>
      <c r="GAN2489" s="60"/>
      <c r="GAO2489" s="58"/>
      <c r="GAP2489" s="61"/>
      <c r="GAQ2489" s="58"/>
      <c r="GAR2489" s="58"/>
      <c r="GAS2489" s="58"/>
      <c r="GAT2489" s="60"/>
      <c r="GAU2489" s="60"/>
      <c r="GAV2489" s="60"/>
      <c r="GAW2489" s="58"/>
      <c r="GAX2489" s="61"/>
      <c r="GAY2489" s="58"/>
      <c r="GAZ2489" s="58"/>
      <c r="GBA2489" s="58"/>
      <c r="GBB2489" s="60"/>
      <c r="GBC2489" s="60"/>
      <c r="GBD2489" s="60"/>
      <c r="GBE2489" s="58"/>
      <c r="GBF2489" s="61"/>
      <c r="GBG2489" s="58"/>
      <c r="GBH2489" s="58"/>
      <c r="GBI2489" s="58"/>
      <c r="GBJ2489" s="60"/>
      <c r="GBK2489" s="60"/>
      <c r="GBL2489" s="60"/>
      <c r="GBM2489" s="58"/>
      <c r="GBN2489" s="61"/>
      <c r="GBO2489" s="58"/>
      <c r="GBP2489" s="58"/>
      <c r="GBQ2489" s="58"/>
      <c r="GBR2489" s="60"/>
      <c r="GBS2489" s="60"/>
      <c r="GBT2489" s="60"/>
      <c r="GBU2489" s="58"/>
      <c r="GBV2489" s="61"/>
      <c r="GBW2489" s="58"/>
      <c r="GBX2489" s="58"/>
      <c r="GBY2489" s="58"/>
      <c r="GBZ2489" s="60"/>
      <c r="GCA2489" s="60"/>
      <c r="GCB2489" s="60"/>
      <c r="GCC2489" s="58"/>
      <c r="GCD2489" s="61"/>
      <c r="GCE2489" s="58"/>
      <c r="GCF2489" s="58"/>
      <c r="GCG2489" s="58"/>
      <c r="GCH2489" s="60"/>
      <c r="GCI2489" s="60"/>
      <c r="GCJ2489" s="60"/>
      <c r="GCK2489" s="58"/>
      <c r="GCL2489" s="61"/>
      <c r="GCM2489" s="58"/>
      <c r="GCN2489" s="58"/>
      <c r="GCO2489" s="58"/>
      <c r="GCP2489" s="60"/>
      <c r="GCQ2489" s="60"/>
      <c r="GCR2489" s="60"/>
      <c r="GCS2489" s="58"/>
      <c r="GCT2489" s="61"/>
      <c r="GCU2489" s="58"/>
      <c r="GCV2489" s="58"/>
      <c r="GCW2489" s="58"/>
      <c r="GCX2489" s="60"/>
      <c r="GCY2489" s="60"/>
      <c r="GCZ2489" s="60"/>
      <c r="GDA2489" s="58"/>
      <c r="GDB2489" s="61"/>
      <c r="GDC2489" s="58"/>
      <c r="GDD2489" s="58"/>
      <c r="GDE2489" s="58"/>
      <c r="GDF2489" s="60"/>
      <c r="GDG2489" s="60"/>
      <c r="GDH2489" s="60"/>
      <c r="GDI2489" s="58"/>
      <c r="GDJ2489" s="61"/>
      <c r="GDK2489" s="58"/>
      <c r="GDL2489" s="58"/>
      <c r="GDM2489" s="58"/>
      <c r="GDN2489" s="60"/>
      <c r="GDO2489" s="60"/>
      <c r="GDP2489" s="60"/>
      <c r="GDQ2489" s="58"/>
      <c r="GDR2489" s="61"/>
      <c r="GDS2489" s="58"/>
      <c r="GDT2489" s="58"/>
      <c r="GDU2489" s="58"/>
      <c r="GDV2489" s="60"/>
      <c r="GDW2489" s="60"/>
      <c r="GDX2489" s="60"/>
      <c r="GDY2489" s="58"/>
      <c r="GDZ2489" s="61"/>
      <c r="GEA2489" s="58"/>
      <c r="GEB2489" s="58"/>
      <c r="GEC2489" s="58"/>
      <c r="GED2489" s="60"/>
      <c r="GEE2489" s="60"/>
      <c r="GEF2489" s="60"/>
      <c r="GEG2489" s="58"/>
      <c r="GEH2489" s="61"/>
      <c r="GEI2489" s="58"/>
      <c r="GEJ2489" s="58"/>
      <c r="GEK2489" s="58"/>
      <c r="GEL2489" s="60"/>
      <c r="GEM2489" s="60"/>
      <c r="GEN2489" s="60"/>
      <c r="GEO2489" s="58"/>
      <c r="GEP2489" s="61"/>
      <c r="GEQ2489" s="58"/>
      <c r="GER2489" s="58"/>
      <c r="GES2489" s="58"/>
      <c r="GET2489" s="60"/>
      <c r="GEU2489" s="60"/>
      <c r="GEV2489" s="60"/>
      <c r="GEW2489" s="58"/>
      <c r="GEX2489" s="61"/>
      <c r="GEY2489" s="58"/>
      <c r="GEZ2489" s="58"/>
      <c r="GFA2489" s="58"/>
      <c r="GFB2489" s="60"/>
      <c r="GFC2489" s="60"/>
      <c r="GFD2489" s="60"/>
      <c r="GFE2489" s="58"/>
      <c r="GFF2489" s="61"/>
      <c r="GFG2489" s="58"/>
      <c r="GFH2489" s="58"/>
      <c r="GFI2489" s="58"/>
      <c r="GFJ2489" s="60"/>
      <c r="GFK2489" s="60"/>
      <c r="GFL2489" s="60"/>
      <c r="GFM2489" s="58"/>
      <c r="GFN2489" s="61"/>
      <c r="GFO2489" s="58"/>
      <c r="GFP2489" s="58"/>
      <c r="GFQ2489" s="58"/>
      <c r="GFR2489" s="60"/>
      <c r="GFS2489" s="60"/>
      <c r="GFT2489" s="60"/>
      <c r="GFU2489" s="58"/>
      <c r="GFV2489" s="61"/>
      <c r="GFW2489" s="58"/>
      <c r="GFX2489" s="58"/>
      <c r="GFY2489" s="58"/>
      <c r="GFZ2489" s="60"/>
      <c r="GGA2489" s="60"/>
      <c r="GGB2489" s="60"/>
      <c r="GGC2489" s="58"/>
      <c r="GGD2489" s="61"/>
      <c r="GGE2489" s="58"/>
      <c r="GGF2489" s="58"/>
      <c r="GGG2489" s="58"/>
      <c r="GGH2489" s="60"/>
      <c r="GGI2489" s="60"/>
      <c r="GGJ2489" s="60"/>
      <c r="GGK2489" s="58"/>
      <c r="GGL2489" s="61"/>
      <c r="GGM2489" s="58"/>
      <c r="GGN2489" s="58"/>
      <c r="GGO2489" s="58"/>
      <c r="GGP2489" s="60"/>
      <c r="GGQ2489" s="60"/>
      <c r="GGR2489" s="60"/>
      <c r="GGS2489" s="58"/>
      <c r="GGT2489" s="61"/>
      <c r="GGU2489" s="58"/>
      <c r="GGV2489" s="58"/>
      <c r="GGW2489" s="58"/>
      <c r="GGX2489" s="60"/>
      <c r="GGY2489" s="60"/>
      <c r="GGZ2489" s="60"/>
      <c r="GHA2489" s="58"/>
      <c r="GHB2489" s="61"/>
      <c r="GHC2489" s="58"/>
      <c r="GHD2489" s="58"/>
      <c r="GHE2489" s="58"/>
      <c r="GHF2489" s="60"/>
      <c r="GHG2489" s="60"/>
      <c r="GHH2489" s="60"/>
      <c r="GHI2489" s="58"/>
      <c r="GHJ2489" s="61"/>
      <c r="GHK2489" s="58"/>
      <c r="GHL2489" s="58"/>
      <c r="GHM2489" s="58"/>
      <c r="GHN2489" s="60"/>
      <c r="GHO2489" s="60"/>
      <c r="GHP2489" s="60"/>
      <c r="GHQ2489" s="58"/>
      <c r="GHR2489" s="61"/>
      <c r="GHS2489" s="58"/>
      <c r="GHT2489" s="58"/>
      <c r="GHU2489" s="58"/>
      <c r="GHV2489" s="60"/>
      <c r="GHW2489" s="60"/>
      <c r="GHX2489" s="60"/>
      <c r="GHY2489" s="58"/>
      <c r="GHZ2489" s="61"/>
      <c r="GIA2489" s="58"/>
      <c r="GIB2489" s="58"/>
      <c r="GIC2489" s="58"/>
      <c r="GID2489" s="60"/>
      <c r="GIE2489" s="60"/>
      <c r="GIF2489" s="60"/>
      <c r="GIG2489" s="58"/>
      <c r="GIH2489" s="61"/>
      <c r="GII2489" s="58"/>
      <c r="GIJ2489" s="58"/>
      <c r="GIK2489" s="58"/>
      <c r="GIL2489" s="60"/>
      <c r="GIM2489" s="60"/>
      <c r="GIN2489" s="60"/>
      <c r="GIO2489" s="58"/>
      <c r="GIP2489" s="61"/>
      <c r="GIQ2489" s="58"/>
      <c r="GIR2489" s="58"/>
      <c r="GIS2489" s="58"/>
      <c r="GIT2489" s="60"/>
      <c r="GIU2489" s="60"/>
      <c r="GIV2489" s="60"/>
      <c r="GIW2489" s="58"/>
      <c r="GIX2489" s="61"/>
      <c r="GIY2489" s="58"/>
      <c r="GIZ2489" s="58"/>
      <c r="GJA2489" s="58"/>
      <c r="GJB2489" s="60"/>
      <c r="GJC2489" s="60"/>
      <c r="GJD2489" s="60"/>
      <c r="GJE2489" s="58"/>
      <c r="GJF2489" s="61"/>
      <c r="GJG2489" s="58"/>
      <c r="GJH2489" s="58"/>
      <c r="GJI2489" s="58"/>
      <c r="GJJ2489" s="60"/>
      <c r="GJK2489" s="60"/>
      <c r="GJL2489" s="60"/>
      <c r="GJM2489" s="58"/>
      <c r="GJN2489" s="61"/>
      <c r="GJO2489" s="58"/>
      <c r="GJP2489" s="58"/>
      <c r="GJQ2489" s="58"/>
      <c r="GJR2489" s="60"/>
      <c r="GJS2489" s="60"/>
      <c r="GJT2489" s="60"/>
      <c r="GJU2489" s="58"/>
      <c r="GJV2489" s="61"/>
      <c r="GJW2489" s="58"/>
      <c r="GJX2489" s="58"/>
      <c r="GJY2489" s="58"/>
      <c r="GJZ2489" s="60"/>
      <c r="GKA2489" s="60"/>
      <c r="GKB2489" s="60"/>
      <c r="GKC2489" s="58"/>
      <c r="GKD2489" s="61"/>
      <c r="GKE2489" s="58"/>
      <c r="GKF2489" s="58"/>
      <c r="GKG2489" s="58"/>
      <c r="GKH2489" s="60"/>
      <c r="GKI2489" s="60"/>
      <c r="GKJ2489" s="60"/>
      <c r="GKK2489" s="58"/>
      <c r="GKL2489" s="61"/>
      <c r="GKM2489" s="58"/>
      <c r="GKN2489" s="58"/>
      <c r="GKO2489" s="58"/>
      <c r="GKP2489" s="60"/>
      <c r="GKQ2489" s="60"/>
      <c r="GKR2489" s="60"/>
      <c r="GKS2489" s="58"/>
      <c r="GKT2489" s="61"/>
      <c r="GKU2489" s="58"/>
      <c r="GKV2489" s="58"/>
      <c r="GKW2489" s="58"/>
      <c r="GKX2489" s="60"/>
      <c r="GKY2489" s="60"/>
      <c r="GKZ2489" s="60"/>
      <c r="GLA2489" s="58"/>
      <c r="GLB2489" s="61"/>
      <c r="GLC2489" s="58"/>
      <c r="GLD2489" s="58"/>
      <c r="GLE2489" s="58"/>
      <c r="GLF2489" s="60"/>
      <c r="GLG2489" s="60"/>
      <c r="GLH2489" s="60"/>
      <c r="GLI2489" s="58"/>
      <c r="GLJ2489" s="61"/>
      <c r="GLK2489" s="58"/>
      <c r="GLL2489" s="58"/>
      <c r="GLM2489" s="58"/>
      <c r="GLN2489" s="60"/>
      <c r="GLO2489" s="60"/>
      <c r="GLP2489" s="60"/>
      <c r="GLQ2489" s="58"/>
      <c r="GLR2489" s="61"/>
      <c r="GLS2489" s="58"/>
      <c r="GLT2489" s="58"/>
      <c r="GLU2489" s="58"/>
      <c r="GLV2489" s="60"/>
      <c r="GLW2489" s="60"/>
      <c r="GLX2489" s="60"/>
      <c r="GLY2489" s="58"/>
      <c r="GLZ2489" s="61"/>
      <c r="GMA2489" s="58"/>
      <c r="GMB2489" s="58"/>
      <c r="GMC2489" s="58"/>
      <c r="GMD2489" s="60"/>
      <c r="GME2489" s="60"/>
      <c r="GMF2489" s="60"/>
      <c r="GMG2489" s="58"/>
      <c r="GMH2489" s="61"/>
      <c r="GMI2489" s="58"/>
      <c r="GMJ2489" s="58"/>
      <c r="GMK2489" s="58"/>
      <c r="GML2489" s="60"/>
      <c r="GMM2489" s="60"/>
      <c r="GMN2489" s="60"/>
      <c r="GMO2489" s="58"/>
      <c r="GMP2489" s="61"/>
      <c r="GMQ2489" s="58"/>
      <c r="GMR2489" s="58"/>
      <c r="GMS2489" s="58"/>
      <c r="GMT2489" s="60"/>
      <c r="GMU2489" s="60"/>
      <c r="GMV2489" s="60"/>
      <c r="GMW2489" s="58"/>
      <c r="GMX2489" s="61"/>
      <c r="GMY2489" s="58"/>
      <c r="GMZ2489" s="58"/>
      <c r="GNA2489" s="58"/>
      <c r="GNB2489" s="60"/>
      <c r="GNC2489" s="60"/>
      <c r="GND2489" s="60"/>
      <c r="GNE2489" s="58"/>
      <c r="GNF2489" s="61"/>
      <c r="GNG2489" s="58"/>
      <c r="GNH2489" s="58"/>
      <c r="GNI2489" s="58"/>
      <c r="GNJ2489" s="60"/>
      <c r="GNK2489" s="60"/>
      <c r="GNL2489" s="60"/>
      <c r="GNM2489" s="58"/>
      <c r="GNN2489" s="61"/>
      <c r="GNO2489" s="58"/>
      <c r="GNP2489" s="58"/>
      <c r="GNQ2489" s="58"/>
      <c r="GNR2489" s="60"/>
      <c r="GNS2489" s="60"/>
      <c r="GNT2489" s="60"/>
      <c r="GNU2489" s="58"/>
      <c r="GNV2489" s="61"/>
      <c r="GNW2489" s="58"/>
      <c r="GNX2489" s="58"/>
      <c r="GNY2489" s="58"/>
      <c r="GNZ2489" s="60"/>
      <c r="GOA2489" s="60"/>
      <c r="GOB2489" s="60"/>
      <c r="GOC2489" s="58"/>
      <c r="GOD2489" s="61"/>
      <c r="GOE2489" s="58"/>
      <c r="GOF2489" s="58"/>
      <c r="GOG2489" s="58"/>
      <c r="GOH2489" s="60"/>
      <c r="GOI2489" s="60"/>
      <c r="GOJ2489" s="60"/>
      <c r="GOK2489" s="58"/>
      <c r="GOL2489" s="61"/>
      <c r="GOM2489" s="58"/>
      <c r="GON2489" s="58"/>
      <c r="GOO2489" s="58"/>
      <c r="GOP2489" s="60"/>
      <c r="GOQ2489" s="60"/>
      <c r="GOR2489" s="60"/>
      <c r="GOS2489" s="58"/>
      <c r="GOT2489" s="61"/>
      <c r="GOU2489" s="58"/>
      <c r="GOV2489" s="58"/>
      <c r="GOW2489" s="58"/>
      <c r="GOX2489" s="60"/>
      <c r="GOY2489" s="60"/>
      <c r="GOZ2489" s="60"/>
      <c r="GPA2489" s="58"/>
      <c r="GPB2489" s="61"/>
      <c r="GPC2489" s="58"/>
      <c r="GPD2489" s="58"/>
      <c r="GPE2489" s="58"/>
      <c r="GPF2489" s="60"/>
      <c r="GPG2489" s="60"/>
      <c r="GPH2489" s="60"/>
      <c r="GPI2489" s="58"/>
      <c r="GPJ2489" s="61"/>
      <c r="GPK2489" s="58"/>
      <c r="GPL2489" s="58"/>
      <c r="GPM2489" s="58"/>
      <c r="GPN2489" s="60"/>
      <c r="GPO2489" s="60"/>
      <c r="GPP2489" s="60"/>
      <c r="GPQ2489" s="58"/>
      <c r="GPR2489" s="61"/>
      <c r="GPS2489" s="58"/>
      <c r="GPT2489" s="58"/>
      <c r="GPU2489" s="58"/>
      <c r="GPV2489" s="60"/>
      <c r="GPW2489" s="60"/>
      <c r="GPX2489" s="60"/>
      <c r="GPY2489" s="58"/>
      <c r="GPZ2489" s="61"/>
      <c r="GQA2489" s="58"/>
      <c r="GQB2489" s="58"/>
      <c r="GQC2489" s="58"/>
      <c r="GQD2489" s="60"/>
      <c r="GQE2489" s="60"/>
      <c r="GQF2489" s="60"/>
      <c r="GQG2489" s="58"/>
      <c r="GQH2489" s="61"/>
      <c r="GQI2489" s="58"/>
      <c r="GQJ2489" s="58"/>
      <c r="GQK2489" s="58"/>
      <c r="GQL2489" s="60"/>
      <c r="GQM2489" s="60"/>
      <c r="GQN2489" s="60"/>
      <c r="GQO2489" s="58"/>
      <c r="GQP2489" s="61"/>
      <c r="GQQ2489" s="58"/>
      <c r="GQR2489" s="58"/>
      <c r="GQS2489" s="58"/>
      <c r="GQT2489" s="60"/>
      <c r="GQU2489" s="60"/>
      <c r="GQV2489" s="60"/>
      <c r="GQW2489" s="58"/>
      <c r="GQX2489" s="61"/>
      <c r="GQY2489" s="58"/>
      <c r="GQZ2489" s="58"/>
      <c r="GRA2489" s="58"/>
      <c r="GRB2489" s="60"/>
      <c r="GRC2489" s="60"/>
      <c r="GRD2489" s="60"/>
      <c r="GRE2489" s="58"/>
      <c r="GRF2489" s="61"/>
      <c r="GRG2489" s="58"/>
      <c r="GRH2489" s="58"/>
      <c r="GRI2489" s="58"/>
      <c r="GRJ2489" s="60"/>
      <c r="GRK2489" s="60"/>
      <c r="GRL2489" s="60"/>
      <c r="GRM2489" s="58"/>
      <c r="GRN2489" s="61"/>
      <c r="GRO2489" s="58"/>
      <c r="GRP2489" s="58"/>
      <c r="GRQ2489" s="58"/>
      <c r="GRR2489" s="60"/>
      <c r="GRS2489" s="60"/>
      <c r="GRT2489" s="60"/>
      <c r="GRU2489" s="58"/>
      <c r="GRV2489" s="61"/>
      <c r="GRW2489" s="58"/>
      <c r="GRX2489" s="58"/>
      <c r="GRY2489" s="58"/>
      <c r="GRZ2489" s="60"/>
      <c r="GSA2489" s="60"/>
      <c r="GSB2489" s="60"/>
      <c r="GSC2489" s="58"/>
      <c r="GSD2489" s="61"/>
      <c r="GSE2489" s="58"/>
      <c r="GSF2489" s="58"/>
      <c r="GSG2489" s="58"/>
      <c r="GSH2489" s="60"/>
      <c r="GSI2489" s="60"/>
      <c r="GSJ2489" s="60"/>
      <c r="GSK2489" s="58"/>
      <c r="GSL2489" s="61"/>
      <c r="GSM2489" s="58"/>
      <c r="GSN2489" s="58"/>
      <c r="GSO2489" s="58"/>
      <c r="GSP2489" s="60"/>
      <c r="GSQ2489" s="60"/>
      <c r="GSR2489" s="60"/>
      <c r="GSS2489" s="58"/>
      <c r="GST2489" s="61"/>
      <c r="GSU2489" s="58"/>
      <c r="GSV2489" s="58"/>
      <c r="GSW2489" s="58"/>
      <c r="GSX2489" s="60"/>
      <c r="GSY2489" s="60"/>
      <c r="GSZ2489" s="60"/>
      <c r="GTA2489" s="58"/>
      <c r="GTB2489" s="61"/>
      <c r="GTC2489" s="58"/>
      <c r="GTD2489" s="58"/>
      <c r="GTE2489" s="58"/>
      <c r="GTF2489" s="60"/>
      <c r="GTG2489" s="60"/>
      <c r="GTH2489" s="60"/>
      <c r="GTI2489" s="58"/>
      <c r="GTJ2489" s="61"/>
      <c r="GTK2489" s="58"/>
      <c r="GTL2489" s="58"/>
      <c r="GTM2489" s="58"/>
      <c r="GTN2489" s="60"/>
      <c r="GTO2489" s="60"/>
      <c r="GTP2489" s="60"/>
      <c r="GTQ2489" s="58"/>
      <c r="GTR2489" s="61"/>
      <c r="GTS2489" s="58"/>
      <c r="GTT2489" s="58"/>
      <c r="GTU2489" s="58"/>
      <c r="GTV2489" s="60"/>
      <c r="GTW2489" s="60"/>
      <c r="GTX2489" s="60"/>
      <c r="GTY2489" s="58"/>
      <c r="GTZ2489" s="61"/>
      <c r="GUA2489" s="58"/>
      <c r="GUB2489" s="58"/>
      <c r="GUC2489" s="58"/>
      <c r="GUD2489" s="60"/>
      <c r="GUE2489" s="60"/>
      <c r="GUF2489" s="60"/>
      <c r="GUG2489" s="58"/>
      <c r="GUH2489" s="61"/>
      <c r="GUI2489" s="58"/>
      <c r="GUJ2489" s="58"/>
      <c r="GUK2489" s="58"/>
      <c r="GUL2489" s="60"/>
      <c r="GUM2489" s="60"/>
      <c r="GUN2489" s="60"/>
      <c r="GUO2489" s="58"/>
      <c r="GUP2489" s="61"/>
      <c r="GUQ2489" s="58"/>
      <c r="GUR2489" s="58"/>
      <c r="GUS2489" s="58"/>
      <c r="GUT2489" s="60"/>
      <c r="GUU2489" s="60"/>
      <c r="GUV2489" s="60"/>
      <c r="GUW2489" s="58"/>
      <c r="GUX2489" s="61"/>
      <c r="GUY2489" s="58"/>
      <c r="GUZ2489" s="58"/>
      <c r="GVA2489" s="58"/>
      <c r="GVB2489" s="60"/>
      <c r="GVC2489" s="60"/>
      <c r="GVD2489" s="60"/>
      <c r="GVE2489" s="58"/>
      <c r="GVF2489" s="61"/>
      <c r="GVG2489" s="58"/>
      <c r="GVH2489" s="58"/>
      <c r="GVI2489" s="58"/>
      <c r="GVJ2489" s="60"/>
      <c r="GVK2489" s="60"/>
      <c r="GVL2489" s="60"/>
      <c r="GVM2489" s="58"/>
      <c r="GVN2489" s="61"/>
      <c r="GVO2489" s="58"/>
      <c r="GVP2489" s="58"/>
      <c r="GVQ2489" s="58"/>
      <c r="GVR2489" s="60"/>
      <c r="GVS2489" s="60"/>
      <c r="GVT2489" s="60"/>
      <c r="GVU2489" s="58"/>
      <c r="GVV2489" s="61"/>
      <c r="GVW2489" s="58"/>
      <c r="GVX2489" s="58"/>
      <c r="GVY2489" s="58"/>
      <c r="GVZ2489" s="60"/>
      <c r="GWA2489" s="60"/>
      <c r="GWB2489" s="60"/>
      <c r="GWC2489" s="58"/>
      <c r="GWD2489" s="61"/>
      <c r="GWE2489" s="58"/>
      <c r="GWF2489" s="58"/>
      <c r="GWG2489" s="58"/>
      <c r="GWH2489" s="60"/>
      <c r="GWI2489" s="60"/>
      <c r="GWJ2489" s="60"/>
      <c r="GWK2489" s="58"/>
      <c r="GWL2489" s="61"/>
      <c r="GWM2489" s="58"/>
      <c r="GWN2489" s="58"/>
      <c r="GWO2489" s="58"/>
      <c r="GWP2489" s="60"/>
      <c r="GWQ2489" s="60"/>
      <c r="GWR2489" s="60"/>
      <c r="GWS2489" s="58"/>
      <c r="GWT2489" s="61"/>
      <c r="GWU2489" s="58"/>
      <c r="GWV2489" s="58"/>
      <c r="GWW2489" s="58"/>
      <c r="GWX2489" s="60"/>
      <c r="GWY2489" s="60"/>
      <c r="GWZ2489" s="60"/>
      <c r="GXA2489" s="58"/>
      <c r="GXB2489" s="61"/>
      <c r="GXC2489" s="58"/>
      <c r="GXD2489" s="58"/>
      <c r="GXE2489" s="58"/>
      <c r="GXF2489" s="60"/>
      <c r="GXG2489" s="60"/>
      <c r="GXH2489" s="60"/>
      <c r="GXI2489" s="58"/>
      <c r="GXJ2489" s="61"/>
      <c r="GXK2489" s="58"/>
      <c r="GXL2489" s="58"/>
      <c r="GXM2489" s="58"/>
      <c r="GXN2489" s="60"/>
      <c r="GXO2489" s="60"/>
      <c r="GXP2489" s="60"/>
      <c r="GXQ2489" s="58"/>
      <c r="GXR2489" s="61"/>
      <c r="GXS2489" s="58"/>
      <c r="GXT2489" s="58"/>
      <c r="GXU2489" s="58"/>
      <c r="GXV2489" s="60"/>
      <c r="GXW2489" s="60"/>
      <c r="GXX2489" s="60"/>
      <c r="GXY2489" s="58"/>
      <c r="GXZ2489" s="61"/>
      <c r="GYA2489" s="58"/>
      <c r="GYB2489" s="58"/>
      <c r="GYC2489" s="58"/>
      <c r="GYD2489" s="60"/>
      <c r="GYE2489" s="60"/>
      <c r="GYF2489" s="60"/>
      <c r="GYG2489" s="58"/>
      <c r="GYH2489" s="61"/>
      <c r="GYI2489" s="58"/>
      <c r="GYJ2489" s="58"/>
      <c r="GYK2489" s="58"/>
      <c r="GYL2489" s="60"/>
      <c r="GYM2489" s="60"/>
      <c r="GYN2489" s="60"/>
      <c r="GYO2489" s="58"/>
      <c r="GYP2489" s="61"/>
      <c r="GYQ2489" s="58"/>
      <c r="GYR2489" s="58"/>
      <c r="GYS2489" s="58"/>
      <c r="GYT2489" s="60"/>
      <c r="GYU2489" s="60"/>
      <c r="GYV2489" s="60"/>
      <c r="GYW2489" s="58"/>
      <c r="GYX2489" s="61"/>
      <c r="GYY2489" s="58"/>
      <c r="GYZ2489" s="58"/>
      <c r="GZA2489" s="58"/>
      <c r="GZB2489" s="60"/>
      <c r="GZC2489" s="60"/>
      <c r="GZD2489" s="60"/>
      <c r="GZE2489" s="58"/>
      <c r="GZF2489" s="61"/>
      <c r="GZG2489" s="58"/>
      <c r="GZH2489" s="58"/>
      <c r="GZI2489" s="58"/>
      <c r="GZJ2489" s="60"/>
      <c r="GZK2489" s="60"/>
      <c r="GZL2489" s="60"/>
      <c r="GZM2489" s="58"/>
      <c r="GZN2489" s="61"/>
      <c r="GZO2489" s="58"/>
      <c r="GZP2489" s="58"/>
      <c r="GZQ2489" s="58"/>
      <c r="GZR2489" s="60"/>
      <c r="GZS2489" s="60"/>
      <c r="GZT2489" s="60"/>
      <c r="GZU2489" s="58"/>
      <c r="GZV2489" s="61"/>
      <c r="GZW2489" s="58"/>
      <c r="GZX2489" s="58"/>
      <c r="GZY2489" s="58"/>
      <c r="GZZ2489" s="60"/>
      <c r="HAA2489" s="60"/>
      <c r="HAB2489" s="60"/>
      <c r="HAC2489" s="58"/>
      <c r="HAD2489" s="61"/>
      <c r="HAE2489" s="58"/>
      <c r="HAF2489" s="58"/>
      <c r="HAG2489" s="58"/>
      <c r="HAH2489" s="60"/>
      <c r="HAI2489" s="60"/>
      <c r="HAJ2489" s="60"/>
      <c r="HAK2489" s="58"/>
      <c r="HAL2489" s="61"/>
      <c r="HAM2489" s="58"/>
      <c r="HAN2489" s="58"/>
      <c r="HAO2489" s="58"/>
      <c r="HAP2489" s="60"/>
      <c r="HAQ2489" s="60"/>
      <c r="HAR2489" s="60"/>
      <c r="HAS2489" s="58"/>
      <c r="HAT2489" s="61"/>
      <c r="HAU2489" s="58"/>
      <c r="HAV2489" s="58"/>
      <c r="HAW2489" s="58"/>
      <c r="HAX2489" s="60"/>
      <c r="HAY2489" s="60"/>
      <c r="HAZ2489" s="60"/>
      <c r="HBA2489" s="58"/>
      <c r="HBB2489" s="61"/>
      <c r="HBC2489" s="58"/>
      <c r="HBD2489" s="58"/>
      <c r="HBE2489" s="58"/>
      <c r="HBF2489" s="60"/>
      <c r="HBG2489" s="60"/>
      <c r="HBH2489" s="60"/>
      <c r="HBI2489" s="58"/>
      <c r="HBJ2489" s="61"/>
      <c r="HBK2489" s="58"/>
      <c r="HBL2489" s="58"/>
      <c r="HBM2489" s="58"/>
      <c r="HBN2489" s="60"/>
      <c r="HBO2489" s="60"/>
      <c r="HBP2489" s="60"/>
      <c r="HBQ2489" s="58"/>
      <c r="HBR2489" s="61"/>
      <c r="HBS2489" s="58"/>
      <c r="HBT2489" s="58"/>
      <c r="HBU2489" s="58"/>
      <c r="HBV2489" s="60"/>
      <c r="HBW2489" s="60"/>
      <c r="HBX2489" s="60"/>
      <c r="HBY2489" s="58"/>
      <c r="HBZ2489" s="61"/>
      <c r="HCA2489" s="58"/>
      <c r="HCB2489" s="58"/>
      <c r="HCC2489" s="58"/>
      <c r="HCD2489" s="60"/>
      <c r="HCE2489" s="60"/>
      <c r="HCF2489" s="60"/>
      <c r="HCG2489" s="58"/>
      <c r="HCH2489" s="61"/>
      <c r="HCI2489" s="58"/>
      <c r="HCJ2489" s="58"/>
      <c r="HCK2489" s="58"/>
      <c r="HCL2489" s="60"/>
      <c r="HCM2489" s="60"/>
      <c r="HCN2489" s="60"/>
      <c r="HCO2489" s="58"/>
      <c r="HCP2489" s="61"/>
      <c r="HCQ2489" s="58"/>
      <c r="HCR2489" s="58"/>
      <c r="HCS2489" s="58"/>
      <c r="HCT2489" s="60"/>
      <c r="HCU2489" s="60"/>
      <c r="HCV2489" s="60"/>
      <c r="HCW2489" s="58"/>
      <c r="HCX2489" s="61"/>
      <c r="HCY2489" s="58"/>
      <c r="HCZ2489" s="58"/>
      <c r="HDA2489" s="58"/>
      <c r="HDB2489" s="60"/>
      <c r="HDC2489" s="60"/>
      <c r="HDD2489" s="60"/>
      <c r="HDE2489" s="58"/>
      <c r="HDF2489" s="61"/>
      <c r="HDG2489" s="58"/>
      <c r="HDH2489" s="58"/>
      <c r="HDI2489" s="58"/>
      <c r="HDJ2489" s="60"/>
      <c r="HDK2489" s="60"/>
      <c r="HDL2489" s="60"/>
      <c r="HDM2489" s="58"/>
      <c r="HDN2489" s="61"/>
      <c r="HDO2489" s="58"/>
      <c r="HDP2489" s="58"/>
      <c r="HDQ2489" s="58"/>
      <c r="HDR2489" s="60"/>
      <c r="HDS2489" s="60"/>
      <c r="HDT2489" s="60"/>
      <c r="HDU2489" s="58"/>
      <c r="HDV2489" s="61"/>
      <c r="HDW2489" s="58"/>
      <c r="HDX2489" s="58"/>
      <c r="HDY2489" s="58"/>
      <c r="HDZ2489" s="60"/>
      <c r="HEA2489" s="60"/>
      <c r="HEB2489" s="60"/>
      <c r="HEC2489" s="58"/>
      <c r="HED2489" s="61"/>
      <c r="HEE2489" s="58"/>
      <c r="HEF2489" s="58"/>
      <c r="HEG2489" s="58"/>
      <c r="HEH2489" s="60"/>
      <c r="HEI2489" s="60"/>
      <c r="HEJ2489" s="60"/>
      <c r="HEK2489" s="58"/>
      <c r="HEL2489" s="61"/>
      <c r="HEM2489" s="58"/>
      <c r="HEN2489" s="58"/>
      <c r="HEO2489" s="58"/>
      <c r="HEP2489" s="60"/>
      <c r="HEQ2489" s="60"/>
      <c r="HER2489" s="60"/>
      <c r="HES2489" s="58"/>
      <c r="HET2489" s="61"/>
      <c r="HEU2489" s="58"/>
      <c r="HEV2489" s="58"/>
      <c r="HEW2489" s="58"/>
      <c r="HEX2489" s="60"/>
      <c r="HEY2489" s="60"/>
      <c r="HEZ2489" s="60"/>
      <c r="HFA2489" s="58"/>
      <c r="HFB2489" s="61"/>
      <c r="HFC2489" s="58"/>
      <c r="HFD2489" s="58"/>
      <c r="HFE2489" s="58"/>
      <c r="HFF2489" s="60"/>
      <c r="HFG2489" s="60"/>
      <c r="HFH2489" s="60"/>
      <c r="HFI2489" s="58"/>
      <c r="HFJ2489" s="61"/>
      <c r="HFK2489" s="58"/>
      <c r="HFL2489" s="58"/>
      <c r="HFM2489" s="58"/>
      <c r="HFN2489" s="60"/>
      <c r="HFO2489" s="60"/>
      <c r="HFP2489" s="60"/>
      <c r="HFQ2489" s="58"/>
      <c r="HFR2489" s="61"/>
      <c r="HFS2489" s="58"/>
      <c r="HFT2489" s="58"/>
      <c r="HFU2489" s="58"/>
      <c r="HFV2489" s="60"/>
      <c r="HFW2489" s="60"/>
      <c r="HFX2489" s="60"/>
      <c r="HFY2489" s="58"/>
      <c r="HFZ2489" s="61"/>
      <c r="HGA2489" s="58"/>
      <c r="HGB2489" s="58"/>
      <c r="HGC2489" s="58"/>
      <c r="HGD2489" s="60"/>
      <c r="HGE2489" s="60"/>
      <c r="HGF2489" s="60"/>
      <c r="HGG2489" s="58"/>
      <c r="HGH2489" s="61"/>
      <c r="HGI2489" s="58"/>
      <c r="HGJ2489" s="58"/>
      <c r="HGK2489" s="58"/>
      <c r="HGL2489" s="60"/>
      <c r="HGM2489" s="60"/>
      <c r="HGN2489" s="60"/>
      <c r="HGO2489" s="58"/>
      <c r="HGP2489" s="61"/>
      <c r="HGQ2489" s="58"/>
      <c r="HGR2489" s="58"/>
      <c r="HGS2489" s="58"/>
      <c r="HGT2489" s="60"/>
      <c r="HGU2489" s="60"/>
      <c r="HGV2489" s="60"/>
      <c r="HGW2489" s="58"/>
      <c r="HGX2489" s="61"/>
      <c r="HGY2489" s="58"/>
      <c r="HGZ2489" s="58"/>
      <c r="HHA2489" s="58"/>
      <c r="HHB2489" s="60"/>
      <c r="HHC2489" s="60"/>
      <c r="HHD2489" s="60"/>
      <c r="HHE2489" s="58"/>
      <c r="HHF2489" s="61"/>
      <c r="HHG2489" s="58"/>
      <c r="HHH2489" s="58"/>
      <c r="HHI2489" s="58"/>
      <c r="HHJ2489" s="60"/>
      <c r="HHK2489" s="60"/>
      <c r="HHL2489" s="60"/>
      <c r="HHM2489" s="58"/>
      <c r="HHN2489" s="61"/>
      <c r="HHO2489" s="58"/>
      <c r="HHP2489" s="58"/>
      <c r="HHQ2489" s="58"/>
      <c r="HHR2489" s="60"/>
      <c r="HHS2489" s="60"/>
      <c r="HHT2489" s="60"/>
      <c r="HHU2489" s="58"/>
      <c r="HHV2489" s="61"/>
      <c r="HHW2489" s="58"/>
      <c r="HHX2489" s="58"/>
      <c r="HHY2489" s="58"/>
      <c r="HHZ2489" s="60"/>
      <c r="HIA2489" s="60"/>
      <c r="HIB2489" s="60"/>
      <c r="HIC2489" s="58"/>
      <c r="HID2489" s="61"/>
      <c r="HIE2489" s="58"/>
      <c r="HIF2489" s="58"/>
      <c r="HIG2489" s="58"/>
      <c r="HIH2489" s="60"/>
      <c r="HII2489" s="60"/>
      <c r="HIJ2489" s="60"/>
      <c r="HIK2489" s="58"/>
      <c r="HIL2489" s="61"/>
      <c r="HIM2489" s="58"/>
      <c r="HIN2489" s="58"/>
      <c r="HIO2489" s="58"/>
      <c r="HIP2489" s="60"/>
      <c r="HIQ2489" s="60"/>
      <c r="HIR2489" s="60"/>
      <c r="HIS2489" s="58"/>
      <c r="HIT2489" s="61"/>
      <c r="HIU2489" s="58"/>
      <c r="HIV2489" s="58"/>
      <c r="HIW2489" s="58"/>
      <c r="HIX2489" s="60"/>
      <c r="HIY2489" s="60"/>
      <c r="HIZ2489" s="60"/>
      <c r="HJA2489" s="58"/>
      <c r="HJB2489" s="61"/>
      <c r="HJC2489" s="58"/>
      <c r="HJD2489" s="58"/>
      <c r="HJE2489" s="58"/>
      <c r="HJF2489" s="60"/>
      <c r="HJG2489" s="60"/>
      <c r="HJH2489" s="60"/>
      <c r="HJI2489" s="58"/>
      <c r="HJJ2489" s="61"/>
      <c r="HJK2489" s="58"/>
      <c r="HJL2489" s="58"/>
      <c r="HJM2489" s="58"/>
      <c r="HJN2489" s="60"/>
      <c r="HJO2489" s="60"/>
      <c r="HJP2489" s="60"/>
      <c r="HJQ2489" s="58"/>
      <c r="HJR2489" s="61"/>
      <c r="HJS2489" s="58"/>
      <c r="HJT2489" s="58"/>
      <c r="HJU2489" s="58"/>
      <c r="HJV2489" s="60"/>
      <c r="HJW2489" s="60"/>
      <c r="HJX2489" s="60"/>
      <c r="HJY2489" s="58"/>
      <c r="HJZ2489" s="61"/>
      <c r="HKA2489" s="58"/>
      <c r="HKB2489" s="58"/>
      <c r="HKC2489" s="58"/>
      <c r="HKD2489" s="60"/>
      <c r="HKE2489" s="60"/>
      <c r="HKF2489" s="60"/>
      <c r="HKG2489" s="58"/>
      <c r="HKH2489" s="61"/>
      <c r="HKI2489" s="58"/>
      <c r="HKJ2489" s="58"/>
      <c r="HKK2489" s="58"/>
      <c r="HKL2489" s="60"/>
      <c r="HKM2489" s="60"/>
      <c r="HKN2489" s="60"/>
      <c r="HKO2489" s="58"/>
      <c r="HKP2489" s="61"/>
      <c r="HKQ2489" s="58"/>
      <c r="HKR2489" s="58"/>
      <c r="HKS2489" s="58"/>
      <c r="HKT2489" s="60"/>
      <c r="HKU2489" s="60"/>
      <c r="HKV2489" s="60"/>
      <c r="HKW2489" s="58"/>
      <c r="HKX2489" s="61"/>
      <c r="HKY2489" s="58"/>
      <c r="HKZ2489" s="58"/>
      <c r="HLA2489" s="58"/>
      <c r="HLB2489" s="60"/>
      <c r="HLC2489" s="60"/>
      <c r="HLD2489" s="60"/>
      <c r="HLE2489" s="58"/>
      <c r="HLF2489" s="61"/>
      <c r="HLG2489" s="58"/>
      <c r="HLH2489" s="58"/>
      <c r="HLI2489" s="58"/>
      <c r="HLJ2489" s="60"/>
      <c r="HLK2489" s="60"/>
      <c r="HLL2489" s="60"/>
      <c r="HLM2489" s="58"/>
      <c r="HLN2489" s="61"/>
      <c r="HLO2489" s="58"/>
      <c r="HLP2489" s="58"/>
      <c r="HLQ2489" s="58"/>
      <c r="HLR2489" s="60"/>
      <c r="HLS2489" s="60"/>
      <c r="HLT2489" s="60"/>
      <c r="HLU2489" s="58"/>
      <c r="HLV2489" s="61"/>
      <c r="HLW2489" s="58"/>
      <c r="HLX2489" s="58"/>
      <c r="HLY2489" s="58"/>
      <c r="HLZ2489" s="60"/>
      <c r="HMA2489" s="60"/>
      <c r="HMB2489" s="60"/>
      <c r="HMC2489" s="58"/>
      <c r="HMD2489" s="61"/>
      <c r="HME2489" s="58"/>
      <c r="HMF2489" s="58"/>
      <c r="HMG2489" s="58"/>
      <c r="HMH2489" s="60"/>
      <c r="HMI2489" s="60"/>
      <c r="HMJ2489" s="60"/>
      <c r="HMK2489" s="58"/>
      <c r="HML2489" s="61"/>
      <c r="HMM2489" s="58"/>
      <c r="HMN2489" s="58"/>
      <c r="HMO2489" s="58"/>
      <c r="HMP2489" s="60"/>
      <c r="HMQ2489" s="60"/>
      <c r="HMR2489" s="60"/>
      <c r="HMS2489" s="58"/>
      <c r="HMT2489" s="61"/>
      <c r="HMU2489" s="58"/>
      <c r="HMV2489" s="58"/>
      <c r="HMW2489" s="58"/>
      <c r="HMX2489" s="60"/>
      <c r="HMY2489" s="60"/>
      <c r="HMZ2489" s="60"/>
      <c r="HNA2489" s="58"/>
      <c r="HNB2489" s="61"/>
      <c r="HNC2489" s="58"/>
      <c r="HND2489" s="58"/>
      <c r="HNE2489" s="58"/>
      <c r="HNF2489" s="60"/>
      <c r="HNG2489" s="60"/>
      <c r="HNH2489" s="60"/>
      <c r="HNI2489" s="58"/>
      <c r="HNJ2489" s="61"/>
      <c r="HNK2489" s="58"/>
      <c r="HNL2489" s="58"/>
      <c r="HNM2489" s="58"/>
      <c r="HNN2489" s="60"/>
      <c r="HNO2489" s="60"/>
      <c r="HNP2489" s="60"/>
      <c r="HNQ2489" s="58"/>
      <c r="HNR2489" s="61"/>
      <c r="HNS2489" s="58"/>
      <c r="HNT2489" s="58"/>
      <c r="HNU2489" s="58"/>
      <c r="HNV2489" s="60"/>
      <c r="HNW2489" s="60"/>
      <c r="HNX2489" s="60"/>
      <c r="HNY2489" s="58"/>
      <c r="HNZ2489" s="61"/>
      <c r="HOA2489" s="58"/>
      <c r="HOB2489" s="58"/>
      <c r="HOC2489" s="58"/>
      <c r="HOD2489" s="60"/>
      <c r="HOE2489" s="60"/>
      <c r="HOF2489" s="60"/>
      <c r="HOG2489" s="58"/>
      <c r="HOH2489" s="61"/>
      <c r="HOI2489" s="58"/>
      <c r="HOJ2489" s="58"/>
      <c r="HOK2489" s="58"/>
      <c r="HOL2489" s="60"/>
      <c r="HOM2489" s="60"/>
      <c r="HON2489" s="60"/>
      <c r="HOO2489" s="58"/>
      <c r="HOP2489" s="61"/>
      <c r="HOQ2489" s="58"/>
      <c r="HOR2489" s="58"/>
      <c r="HOS2489" s="58"/>
      <c r="HOT2489" s="60"/>
      <c r="HOU2489" s="60"/>
      <c r="HOV2489" s="60"/>
      <c r="HOW2489" s="58"/>
      <c r="HOX2489" s="61"/>
      <c r="HOY2489" s="58"/>
      <c r="HOZ2489" s="58"/>
      <c r="HPA2489" s="58"/>
      <c r="HPB2489" s="60"/>
      <c r="HPC2489" s="60"/>
      <c r="HPD2489" s="60"/>
      <c r="HPE2489" s="58"/>
      <c r="HPF2489" s="61"/>
      <c r="HPG2489" s="58"/>
      <c r="HPH2489" s="58"/>
      <c r="HPI2489" s="58"/>
      <c r="HPJ2489" s="60"/>
      <c r="HPK2489" s="60"/>
      <c r="HPL2489" s="60"/>
      <c r="HPM2489" s="58"/>
      <c r="HPN2489" s="61"/>
      <c r="HPO2489" s="58"/>
      <c r="HPP2489" s="58"/>
      <c r="HPQ2489" s="58"/>
      <c r="HPR2489" s="60"/>
      <c r="HPS2489" s="60"/>
      <c r="HPT2489" s="60"/>
      <c r="HPU2489" s="58"/>
      <c r="HPV2489" s="61"/>
      <c r="HPW2489" s="58"/>
      <c r="HPX2489" s="58"/>
      <c r="HPY2489" s="58"/>
      <c r="HPZ2489" s="60"/>
      <c r="HQA2489" s="60"/>
      <c r="HQB2489" s="60"/>
      <c r="HQC2489" s="58"/>
      <c r="HQD2489" s="61"/>
      <c r="HQE2489" s="58"/>
      <c r="HQF2489" s="58"/>
      <c r="HQG2489" s="58"/>
      <c r="HQH2489" s="60"/>
      <c r="HQI2489" s="60"/>
      <c r="HQJ2489" s="60"/>
      <c r="HQK2489" s="58"/>
      <c r="HQL2489" s="61"/>
      <c r="HQM2489" s="58"/>
      <c r="HQN2489" s="58"/>
      <c r="HQO2489" s="58"/>
      <c r="HQP2489" s="60"/>
      <c r="HQQ2489" s="60"/>
      <c r="HQR2489" s="60"/>
      <c r="HQS2489" s="58"/>
      <c r="HQT2489" s="61"/>
      <c r="HQU2489" s="58"/>
      <c r="HQV2489" s="58"/>
      <c r="HQW2489" s="58"/>
      <c r="HQX2489" s="60"/>
      <c r="HQY2489" s="60"/>
      <c r="HQZ2489" s="60"/>
      <c r="HRA2489" s="58"/>
      <c r="HRB2489" s="61"/>
      <c r="HRC2489" s="58"/>
      <c r="HRD2489" s="58"/>
      <c r="HRE2489" s="58"/>
      <c r="HRF2489" s="60"/>
      <c r="HRG2489" s="60"/>
      <c r="HRH2489" s="60"/>
      <c r="HRI2489" s="58"/>
      <c r="HRJ2489" s="61"/>
      <c r="HRK2489" s="58"/>
      <c r="HRL2489" s="58"/>
      <c r="HRM2489" s="58"/>
      <c r="HRN2489" s="60"/>
      <c r="HRO2489" s="60"/>
      <c r="HRP2489" s="60"/>
      <c r="HRQ2489" s="58"/>
      <c r="HRR2489" s="61"/>
      <c r="HRS2489" s="58"/>
      <c r="HRT2489" s="58"/>
      <c r="HRU2489" s="58"/>
      <c r="HRV2489" s="60"/>
      <c r="HRW2489" s="60"/>
      <c r="HRX2489" s="60"/>
      <c r="HRY2489" s="58"/>
      <c r="HRZ2489" s="61"/>
      <c r="HSA2489" s="58"/>
      <c r="HSB2489" s="58"/>
      <c r="HSC2489" s="58"/>
      <c r="HSD2489" s="60"/>
      <c r="HSE2489" s="60"/>
      <c r="HSF2489" s="60"/>
      <c r="HSG2489" s="58"/>
      <c r="HSH2489" s="61"/>
      <c r="HSI2489" s="58"/>
      <c r="HSJ2489" s="58"/>
      <c r="HSK2489" s="58"/>
      <c r="HSL2489" s="60"/>
      <c r="HSM2489" s="60"/>
      <c r="HSN2489" s="60"/>
      <c r="HSO2489" s="58"/>
      <c r="HSP2489" s="61"/>
      <c r="HSQ2489" s="58"/>
      <c r="HSR2489" s="58"/>
      <c r="HSS2489" s="58"/>
      <c r="HST2489" s="60"/>
      <c r="HSU2489" s="60"/>
      <c r="HSV2489" s="60"/>
      <c r="HSW2489" s="58"/>
      <c r="HSX2489" s="61"/>
      <c r="HSY2489" s="58"/>
      <c r="HSZ2489" s="58"/>
      <c r="HTA2489" s="58"/>
      <c r="HTB2489" s="60"/>
      <c r="HTC2489" s="60"/>
      <c r="HTD2489" s="60"/>
      <c r="HTE2489" s="58"/>
      <c r="HTF2489" s="61"/>
      <c r="HTG2489" s="58"/>
      <c r="HTH2489" s="58"/>
      <c r="HTI2489" s="58"/>
      <c r="HTJ2489" s="60"/>
      <c r="HTK2489" s="60"/>
      <c r="HTL2489" s="60"/>
      <c r="HTM2489" s="58"/>
      <c r="HTN2489" s="61"/>
      <c r="HTO2489" s="58"/>
      <c r="HTP2489" s="58"/>
      <c r="HTQ2489" s="58"/>
      <c r="HTR2489" s="60"/>
      <c r="HTS2489" s="60"/>
      <c r="HTT2489" s="60"/>
      <c r="HTU2489" s="58"/>
      <c r="HTV2489" s="61"/>
      <c r="HTW2489" s="58"/>
      <c r="HTX2489" s="58"/>
      <c r="HTY2489" s="58"/>
      <c r="HTZ2489" s="60"/>
      <c r="HUA2489" s="60"/>
      <c r="HUB2489" s="60"/>
      <c r="HUC2489" s="58"/>
      <c r="HUD2489" s="61"/>
      <c r="HUE2489" s="58"/>
      <c r="HUF2489" s="58"/>
      <c r="HUG2489" s="58"/>
      <c r="HUH2489" s="60"/>
      <c r="HUI2489" s="60"/>
      <c r="HUJ2489" s="60"/>
      <c r="HUK2489" s="58"/>
      <c r="HUL2489" s="61"/>
      <c r="HUM2489" s="58"/>
      <c r="HUN2489" s="58"/>
      <c r="HUO2489" s="58"/>
      <c r="HUP2489" s="60"/>
      <c r="HUQ2489" s="60"/>
      <c r="HUR2489" s="60"/>
      <c r="HUS2489" s="58"/>
      <c r="HUT2489" s="61"/>
      <c r="HUU2489" s="58"/>
      <c r="HUV2489" s="58"/>
      <c r="HUW2489" s="58"/>
      <c r="HUX2489" s="60"/>
      <c r="HUY2489" s="60"/>
      <c r="HUZ2489" s="60"/>
      <c r="HVA2489" s="58"/>
      <c r="HVB2489" s="61"/>
      <c r="HVC2489" s="58"/>
      <c r="HVD2489" s="58"/>
      <c r="HVE2489" s="58"/>
      <c r="HVF2489" s="60"/>
      <c r="HVG2489" s="60"/>
      <c r="HVH2489" s="60"/>
      <c r="HVI2489" s="58"/>
      <c r="HVJ2489" s="61"/>
      <c r="HVK2489" s="58"/>
      <c r="HVL2489" s="58"/>
      <c r="HVM2489" s="58"/>
      <c r="HVN2489" s="60"/>
      <c r="HVO2489" s="60"/>
      <c r="HVP2489" s="60"/>
      <c r="HVQ2489" s="58"/>
      <c r="HVR2489" s="61"/>
      <c r="HVS2489" s="58"/>
      <c r="HVT2489" s="58"/>
      <c r="HVU2489" s="58"/>
      <c r="HVV2489" s="60"/>
      <c r="HVW2489" s="60"/>
      <c r="HVX2489" s="60"/>
      <c r="HVY2489" s="58"/>
      <c r="HVZ2489" s="61"/>
      <c r="HWA2489" s="58"/>
      <c r="HWB2489" s="58"/>
      <c r="HWC2489" s="58"/>
      <c r="HWD2489" s="60"/>
      <c r="HWE2489" s="60"/>
      <c r="HWF2489" s="60"/>
      <c r="HWG2489" s="58"/>
      <c r="HWH2489" s="61"/>
      <c r="HWI2489" s="58"/>
      <c r="HWJ2489" s="58"/>
      <c r="HWK2489" s="58"/>
      <c r="HWL2489" s="60"/>
      <c r="HWM2489" s="60"/>
      <c r="HWN2489" s="60"/>
      <c r="HWO2489" s="58"/>
      <c r="HWP2489" s="61"/>
      <c r="HWQ2489" s="58"/>
      <c r="HWR2489" s="58"/>
      <c r="HWS2489" s="58"/>
      <c r="HWT2489" s="60"/>
      <c r="HWU2489" s="60"/>
      <c r="HWV2489" s="60"/>
      <c r="HWW2489" s="58"/>
      <c r="HWX2489" s="61"/>
      <c r="HWY2489" s="58"/>
      <c r="HWZ2489" s="58"/>
      <c r="HXA2489" s="58"/>
      <c r="HXB2489" s="60"/>
      <c r="HXC2489" s="60"/>
      <c r="HXD2489" s="60"/>
      <c r="HXE2489" s="58"/>
      <c r="HXF2489" s="61"/>
      <c r="HXG2489" s="58"/>
      <c r="HXH2489" s="58"/>
      <c r="HXI2489" s="58"/>
      <c r="HXJ2489" s="60"/>
      <c r="HXK2489" s="60"/>
      <c r="HXL2489" s="60"/>
      <c r="HXM2489" s="58"/>
      <c r="HXN2489" s="61"/>
      <c r="HXO2489" s="58"/>
      <c r="HXP2489" s="58"/>
      <c r="HXQ2489" s="58"/>
      <c r="HXR2489" s="60"/>
      <c r="HXS2489" s="60"/>
      <c r="HXT2489" s="60"/>
      <c r="HXU2489" s="58"/>
      <c r="HXV2489" s="61"/>
      <c r="HXW2489" s="58"/>
      <c r="HXX2489" s="58"/>
      <c r="HXY2489" s="58"/>
      <c r="HXZ2489" s="60"/>
      <c r="HYA2489" s="60"/>
      <c r="HYB2489" s="60"/>
      <c r="HYC2489" s="58"/>
      <c r="HYD2489" s="61"/>
      <c r="HYE2489" s="58"/>
      <c r="HYF2489" s="58"/>
      <c r="HYG2489" s="58"/>
      <c r="HYH2489" s="60"/>
      <c r="HYI2489" s="60"/>
      <c r="HYJ2489" s="60"/>
      <c r="HYK2489" s="58"/>
      <c r="HYL2489" s="61"/>
      <c r="HYM2489" s="58"/>
      <c r="HYN2489" s="58"/>
      <c r="HYO2489" s="58"/>
      <c r="HYP2489" s="60"/>
      <c r="HYQ2489" s="60"/>
      <c r="HYR2489" s="60"/>
      <c r="HYS2489" s="58"/>
      <c r="HYT2489" s="61"/>
      <c r="HYU2489" s="58"/>
      <c r="HYV2489" s="58"/>
      <c r="HYW2489" s="58"/>
      <c r="HYX2489" s="60"/>
      <c r="HYY2489" s="60"/>
      <c r="HYZ2489" s="60"/>
      <c r="HZA2489" s="58"/>
      <c r="HZB2489" s="61"/>
      <c r="HZC2489" s="58"/>
      <c r="HZD2489" s="58"/>
      <c r="HZE2489" s="58"/>
      <c r="HZF2489" s="60"/>
      <c r="HZG2489" s="60"/>
      <c r="HZH2489" s="60"/>
      <c r="HZI2489" s="58"/>
      <c r="HZJ2489" s="61"/>
      <c r="HZK2489" s="58"/>
      <c r="HZL2489" s="58"/>
      <c r="HZM2489" s="58"/>
      <c r="HZN2489" s="60"/>
      <c r="HZO2489" s="60"/>
      <c r="HZP2489" s="60"/>
      <c r="HZQ2489" s="58"/>
      <c r="HZR2489" s="61"/>
      <c r="HZS2489" s="58"/>
      <c r="HZT2489" s="58"/>
      <c r="HZU2489" s="58"/>
      <c r="HZV2489" s="60"/>
      <c r="HZW2489" s="60"/>
      <c r="HZX2489" s="60"/>
      <c r="HZY2489" s="58"/>
      <c r="HZZ2489" s="61"/>
      <c r="IAA2489" s="58"/>
      <c r="IAB2489" s="58"/>
      <c r="IAC2489" s="58"/>
      <c r="IAD2489" s="60"/>
      <c r="IAE2489" s="60"/>
      <c r="IAF2489" s="60"/>
      <c r="IAG2489" s="58"/>
      <c r="IAH2489" s="61"/>
      <c r="IAI2489" s="58"/>
      <c r="IAJ2489" s="58"/>
      <c r="IAK2489" s="58"/>
      <c r="IAL2489" s="60"/>
      <c r="IAM2489" s="60"/>
      <c r="IAN2489" s="60"/>
      <c r="IAO2489" s="58"/>
      <c r="IAP2489" s="61"/>
      <c r="IAQ2489" s="58"/>
      <c r="IAR2489" s="58"/>
      <c r="IAS2489" s="58"/>
      <c r="IAT2489" s="60"/>
      <c r="IAU2489" s="60"/>
      <c r="IAV2489" s="60"/>
      <c r="IAW2489" s="58"/>
      <c r="IAX2489" s="61"/>
      <c r="IAY2489" s="58"/>
      <c r="IAZ2489" s="58"/>
      <c r="IBA2489" s="58"/>
      <c r="IBB2489" s="60"/>
      <c r="IBC2489" s="60"/>
      <c r="IBD2489" s="60"/>
      <c r="IBE2489" s="58"/>
      <c r="IBF2489" s="61"/>
      <c r="IBG2489" s="58"/>
      <c r="IBH2489" s="58"/>
      <c r="IBI2489" s="58"/>
      <c r="IBJ2489" s="60"/>
      <c r="IBK2489" s="60"/>
      <c r="IBL2489" s="60"/>
      <c r="IBM2489" s="58"/>
      <c r="IBN2489" s="61"/>
      <c r="IBO2489" s="58"/>
      <c r="IBP2489" s="58"/>
      <c r="IBQ2489" s="58"/>
      <c r="IBR2489" s="60"/>
      <c r="IBS2489" s="60"/>
      <c r="IBT2489" s="60"/>
      <c r="IBU2489" s="58"/>
      <c r="IBV2489" s="61"/>
      <c r="IBW2489" s="58"/>
      <c r="IBX2489" s="58"/>
      <c r="IBY2489" s="58"/>
      <c r="IBZ2489" s="60"/>
      <c r="ICA2489" s="60"/>
      <c r="ICB2489" s="60"/>
      <c r="ICC2489" s="58"/>
      <c r="ICD2489" s="61"/>
      <c r="ICE2489" s="58"/>
      <c r="ICF2489" s="58"/>
      <c r="ICG2489" s="58"/>
      <c r="ICH2489" s="60"/>
      <c r="ICI2489" s="60"/>
      <c r="ICJ2489" s="60"/>
      <c r="ICK2489" s="58"/>
      <c r="ICL2489" s="61"/>
      <c r="ICM2489" s="58"/>
      <c r="ICN2489" s="58"/>
      <c r="ICO2489" s="58"/>
      <c r="ICP2489" s="60"/>
      <c r="ICQ2489" s="60"/>
      <c r="ICR2489" s="60"/>
      <c r="ICS2489" s="58"/>
      <c r="ICT2489" s="61"/>
      <c r="ICU2489" s="58"/>
      <c r="ICV2489" s="58"/>
      <c r="ICW2489" s="58"/>
      <c r="ICX2489" s="60"/>
      <c r="ICY2489" s="60"/>
      <c r="ICZ2489" s="60"/>
      <c r="IDA2489" s="58"/>
      <c r="IDB2489" s="61"/>
      <c r="IDC2489" s="58"/>
      <c r="IDD2489" s="58"/>
      <c r="IDE2489" s="58"/>
      <c r="IDF2489" s="60"/>
      <c r="IDG2489" s="60"/>
      <c r="IDH2489" s="60"/>
      <c r="IDI2489" s="58"/>
      <c r="IDJ2489" s="61"/>
      <c r="IDK2489" s="58"/>
      <c r="IDL2489" s="58"/>
      <c r="IDM2489" s="58"/>
      <c r="IDN2489" s="60"/>
      <c r="IDO2489" s="60"/>
      <c r="IDP2489" s="60"/>
      <c r="IDQ2489" s="58"/>
      <c r="IDR2489" s="61"/>
      <c r="IDS2489" s="58"/>
      <c r="IDT2489" s="58"/>
      <c r="IDU2489" s="58"/>
      <c r="IDV2489" s="60"/>
      <c r="IDW2489" s="60"/>
      <c r="IDX2489" s="60"/>
      <c r="IDY2489" s="58"/>
      <c r="IDZ2489" s="61"/>
      <c r="IEA2489" s="58"/>
      <c r="IEB2489" s="58"/>
      <c r="IEC2489" s="58"/>
      <c r="IED2489" s="60"/>
      <c r="IEE2489" s="60"/>
      <c r="IEF2489" s="60"/>
      <c r="IEG2489" s="58"/>
      <c r="IEH2489" s="61"/>
      <c r="IEI2489" s="58"/>
      <c r="IEJ2489" s="58"/>
      <c r="IEK2489" s="58"/>
      <c r="IEL2489" s="60"/>
      <c r="IEM2489" s="60"/>
      <c r="IEN2489" s="60"/>
      <c r="IEO2489" s="58"/>
      <c r="IEP2489" s="61"/>
      <c r="IEQ2489" s="58"/>
      <c r="IER2489" s="58"/>
      <c r="IES2489" s="58"/>
      <c r="IET2489" s="60"/>
      <c r="IEU2489" s="60"/>
      <c r="IEV2489" s="60"/>
      <c r="IEW2489" s="58"/>
      <c r="IEX2489" s="61"/>
      <c r="IEY2489" s="58"/>
      <c r="IEZ2489" s="58"/>
      <c r="IFA2489" s="58"/>
      <c r="IFB2489" s="60"/>
      <c r="IFC2489" s="60"/>
      <c r="IFD2489" s="60"/>
      <c r="IFE2489" s="58"/>
      <c r="IFF2489" s="61"/>
      <c r="IFG2489" s="58"/>
      <c r="IFH2489" s="58"/>
      <c r="IFI2489" s="58"/>
      <c r="IFJ2489" s="60"/>
      <c r="IFK2489" s="60"/>
      <c r="IFL2489" s="60"/>
      <c r="IFM2489" s="58"/>
      <c r="IFN2489" s="61"/>
      <c r="IFO2489" s="58"/>
      <c r="IFP2489" s="58"/>
      <c r="IFQ2489" s="58"/>
      <c r="IFR2489" s="60"/>
      <c r="IFS2489" s="60"/>
      <c r="IFT2489" s="60"/>
      <c r="IFU2489" s="58"/>
      <c r="IFV2489" s="61"/>
      <c r="IFW2489" s="58"/>
      <c r="IFX2489" s="58"/>
      <c r="IFY2489" s="58"/>
      <c r="IFZ2489" s="60"/>
      <c r="IGA2489" s="60"/>
      <c r="IGB2489" s="60"/>
      <c r="IGC2489" s="58"/>
      <c r="IGD2489" s="61"/>
      <c r="IGE2489" s="58"/>
      <c r="IGF2489" s="58"/>
      <c r="IGG2489" s="58"/>
      <c r="IGH2489" s="60"/>
      <c r="IGI2489" s="60"/>
      <c r="IGJ2489" s="60"/>
      <c r="IGK2489" s="58"/>
      <c r="IGL2489" s="61"/>
      <c r="IGM2489" s="58"/>
      <c r="IGN2489" s="58"/>
      <c r="IGO2489" s="58"/>
      <c r="IGP2489" s="60"/>
      <c r="IGQ2489" s="60"/>
      <c r="IGR2489" s="60"/>
      <c r="IGS2489" s="58"/>
      <c r="IGT2489" s="61"/>
      <c r="IGU2489" s="58"/>
      <c r="IGV2489" s="58"/>
      <c r="IGW2489" s="58"/>
      <c r="IGX2489" s="60"/>
      <c r="IGY2489" s="60"/>
      <c r="IGZ2489" s="60"/>
      <c r="IHA2489" s="58"/>
      <c r="IHB2489" s="61"/>
      <c r="IHC2489" s="58"/>
      <c r="IHD2489" s="58"/>
      <c r="IHE2489" s="58"/>
      <c r="IHF2489" s="60"/>
      <c r="IHG2489" s="60"/>
      <c r="IHH2489" s="60"/>
      <c r="IHI2489" s="58"/>
      <c r="IHJ2489" s="61"/>
      <c r="IHK2489" s="58"/>
      <c r="IHL2489" s="58"/>
      <c r="IHM2489" s="58"/>
      <c r="IHN2489" s="60"/>
      <c r="IHO2489" s="60"/>
      <c r="IHP2489" s="60"/>
      <c r="IHQ2489" s="58"/>
      <c r="IHR2489" s="61"/>
      <c r="IHS2489" s="58"/>
      <c r="IHT2489" s="58"/>
      <c r="IHU2489" s="58"/>
      <c r="IHV2489" s="60"/>
      <c r="IHW2489" s="60"/>
      <c r="IHX2489" s="60"/>
      <c r="IHY2489" s="58"/>
      <c r="IHZ2489" s="61"/>
      <c r="IIA2489" s="58"/>
      <c r="IIB2489" s="58"/>
      <c r="IIC2489" s="58"/>
      <c r="IID2489" s="60"/>
      <c r="IIE2489" s="60"/>
      <c r="IIF2489" s="60"/>
      <c r="IIG2489" s="58"/>
      <c r="IIH2489" s="61"/>
      <c r="III2489" s="58"/>
      <c r="IIJ2489" s="58"/>
      <c r="IIK2489" s="58"/>
      <c r="IIL2489" s="60"/>
      <c r="IIM2489" s="60"/>
      <c r="IIN2489" s="60"/>
      <c r="IIO2489" s="58"/>
      <c r="IIP2489" s="61"/>
      <c r="IIQ2489" s="58"/>
      <c r="IIR2489" s="58"/>
      <c r="IIS2489" s="58"/>
      <c r="IIT2489" s="60"/>
      <c r="IIU2489" s="60"/>
      <c r="IIV2489" s="60"/>
      <c r="IIW2489" s="58"/>
      <c r="IIX2489" s="61"/>
      <c r="IIY2489" s="58"/>
      <c r="IIZ2489" s="58"/>
      <c r="IJA2489" s="58"/>
      <c r="IJB2489" s="60"/>
      <c r="IJC2489" s="60"/>
      <c r="IJD2489" s="60"/>
      <c r="IJE2489" s="58"/>
      <c r="IJF2489" s="61"/>
      <c r="IJG2489" s="58"/>
      <c r="IJH2489" s="58"/>
      <c r="IJI2489" s="58"/>
      <c r="IJJ2489" s="60"/>
      <c r="IJK2489" s="60"/>
      <c r="IJL2489" s="60"/>
      <c r="IJM2489" s="58"/>
      <c r="IJN2489" s="61"/>
      <c r="IJO2489" s="58"/>
      <c r="IJP2489" s="58"/>
      <c r="IJQ2489" s="58"/>
      <c r="IJR2489" s="60"/>
      <c r="IJS2489" s="60"/>
      <c r="IJT2489" s="60"/>
      <c r="IJU2489" s="58"/>
      <c r="IJV2489" s="61"/>
      <c r="IJW2489" s="58"/>
      <c r="IJX2489" s="58"/>
      <c r="IJY2489" s="58"/>
      <c r="IJZ2489" s="60"/>
      <c r="IKA2489" s="60"/>
      <c r="IKB2489" s="60"/>
      <c r="IKC2489" s="58"/>
      <c r="IKD2489" s="61"/>
      <c r="IKE2489" s="58"/>
      <c r="IKF2489" s="58"/>
      <c r="IKG2489" s="58"/>
      <c r="IKH2489" s="60"/>
      <c r="IKI2489" s="60"/>
      <c r="IKJ2489" s="60"/>
      <c r="IKK2489" s="58"/>
      <c r="IKL2489" s="61"/>
      <c r="IKM2489" s="58"/>
      <c r="IKN2489" s="58"/>
      <c r="IKO2489" s="58"/>
      <c r="IKP2489" s="60"/>
      <c r="IKQ2489" s="60"/>
      <c r="IKR2489" s="60"/>
      <c r="IKS2489" s="58"/>
      <c r="IKT2489" s="61"/>
      <c r="IKU2489" s="58"/>
      <c r="IKV2489" s="58"/>
      <c r="IKW2489" s="58"/>
      <c r="IKX2489" s="60"/>
      <c r="IKY2489" s="60"/>
      <c r="IKZ2489" s="60"/>
      <c r="ILA2489" s="58"/>
      <c r="ILB2489" s="61"/>
      <c r="ILC2489" s="58"/>
      <c r="ILD2489" s="58"/>
      <c r="ILE2489" s="58"/>
      <c r="ILF2489" s="60"/>
      <c r="ILG2489" s="60"/>
      <c r="ILH2489" s="60"/>
      <c r="ILI2489" s="58"/>
      <c r="ILJ2489" s="61"/>
      <c r="ILK2489" s="58"/>
      <c r="ILL2489" s="58"/>
      <c r="ILM2489" s="58"/>
      <c r="ILN2489" s="60"/>
      <c r="ILO2489" s="60"/>
      <c r="ILP2489" s="60"/>
      <c r="ILQ2489" s="58"/>
      <c r="ILR2489" s="61"/>
      <c r="ILS2489" s="58"/>
      <c r="ILT2489" s="58"/>
      <c r="ILU2489" s="58"/>
      <c r="ILV2489" s="60"/>
      <c r="ILW2489" s="60"/>
      <c r="ILX2489" s="60"/>
      <c r="ILY2489" s="58"/>
      <c r="ILZ2489" s="61"/>
      <c r="IMA2489" s="58"/>
      <c r="IMB2489" s="58"/>
      <c r="IMC2489" s="58"/>
      <c r="IMD2489" s="60"/>
      <c r="IME2489" s="60"/>
      <c r="IMF2489" s="60"/>
      <c r="IMG2489" s="58"/>
      <c r="IMH2489" s="61"/>
      <c r="IMI2489" s="58"/>
      <c r="IMJ2489" s="58"/>
      <c r="IMK2489" s="58"/>
      <c r="IML2489" s="60"/>
      <c r="IMM2489" s="60"/>
      <c r="IMN2489" s="60"/>
      <c r="IMO2489" s="58"/>
      <c r="IMP2489" s="61"/>
      <c r="IMQ2489" s="58"/>
      <c r="IMR2489" s="58"/>
      <c r="IMS2489" s="58"/>
      <c r="IMT2489" s="60"/>
      <c r="IMU2489" s="60"/>
      <c r="IMV2489" s="60"/>
      <c r="IMW2489" s="58"/>
      <c r="IMX2489" s="61"/>
      <c r="IMY2489" s="58"/>
      <c r="IMZ2489" s="58"/>
      <c r="INA2489" s="58"/>
      <c r="INB2489" s="60"/>
      <c r="INC2489" s="60"/>
      <c r="IND2489" s="60"/>
      <c r="INE2489" s="58"/>
      <c r="INF2489" s="61"/>
      <c r="ING2489" s="58"/>
      <c r="INH2489" s="58"/>
      <c r="INI2489" s="58"/>
      <c r="INJ2489" s="60"/>
      <c r="INK2489" s="60"/>
      <c r="INL2489" s="60"/>
      <c r="INM2489" s="58"/>
      <c r="INN2489" s="61"/>
      <c r="INO2489" s="58"/>
      <c r="INP2489" s="58"/>
      <c r="INQ2489" s="58"/>
      <c r="INR2489" s="60"/>
      <c r="INS2489" s="60"/>
      <c r="INT2489" s="60"/>
      <c r="INU2489" s="58"/>
      <c r="INV2489" s="61"/>
      <c r="INW2489" s="58"/>
      <c r="INX2489" s="58"/>
      <c r="INY2489" s="58"/>
      <c r="INZ2489" s="60"/>
      <c r="IOA2489" s="60"/>
      <c r="IOB2489" s="60"/>
      <c r="IOC2489" s="58"/>
      <c r="IOD2489" s="61"/>
      <c r="IOE2489" s="58"/>
      <c r="IOF2489" s="58"/>
      <c r="IOG2489" s="58"/>
      <c r="IOH2489" s="60"/>
      <c r="IOI2489" s="60"/>
      <c r="IOJ2489" s="60"/>
      <c r="IOK2489" s="58"/>
      <c r="IOL2489" s="61"/>
      <c r="IOM2489" s="58"/>
      <c r="ION2489" s="58"/>
      <c r="IOO2489" s="58"/>
      <c r="IOP2489" s="60"/>
      <c r="IOQ2489" s="60"/>
      <c r="IOR2489" s="60"/>
      <c r="IOS2489" s="58"/>
      <c r="IOT2489" s="61"/>
      <c r="IOU2489" s="58"/>
      <c r="IOV2489" s="58"/>
      <c r="IOW2489" s="58"/>
      <c r="IOX2489" s="60"/>
      <c r="IOY2489" s="60"/>
      <c r="IOZ2489" s="60"/>
      <c r="IPA2489" s="58"/>
      <c r="IPB2489" s="61"/>
      <c r="IPC2489" s="58"/>
      <c r="IPD2489" s="58"/>
      <c r="IPE2489" s="58"/>
      <c r="IPF2489" s="60"/>
      <c r="IPG2489" s="60"/>
      <c r="IPH2489" s="60"/>
      <c r="IPI2489" s="58"/>
      <c r="IPJ2489" s="61"/>
      <c r="IPK2489" s="58"/>
      <c r="IPL2489" s="58"/>
      <c r="IPM2489" s="58"/>
      <c r="IPN2489" s="60"/>
      <c r="IPO2489" s="60"/>
      <c r="IPP2489" s="60"/>
      <c r="IPQ2489" s="58"/>
      <c r="IPR2489" s="61"/>
      <c r="IPS2489" s="58"/>
      <c r="IPT2489" s="58"/>
      <c r="IPU2489" s="58"/>
      <c r="IPV2489" s="60"/>
      <c r="IPW2489" s="60"/>
      <c r="IPX2489" s="60"/>
      <c r="IPY2489" s="58"/>
      <c r="IPZ2489" s="61"/>
      <c r="IQA2489" s="58"/>
      <c r="IQB2489" s="58"/>
      <c r="IQC2489" s="58"/>
      <c r="IQD2489" s="60"/>
      <c r="IQE2489" s="60"/>
      <c r="IQF2489" s="60"/>
      <c r="IQG2489" s="58"/>
      <c r="IQH2489" s="61"/>
      <c r="IQI2489" s="58"/>
      <c r="IQJ2489" s="58"/>
      <c r="IQK2489" s="58"/>
      <c r="IQL2489" s="60"/>
      <c r="IQM2489" s="60"/>
      <c r="IQN2489" s="60"/>
      <c r="IQO2489" s="58"/>
      <c r="IQP2489" s="61"/>
      <c r="IQQ2489" s="58"/>
      <c r="IQR2489" s="58"/>
      <c r="IQS2489" s="58"/>
      <c r="IQT2489" s="60"/>
      <c r="IQU2489" s="60"/>
      <c r="IQV2489" s="60"/>
      <c r="IQW2489" s="58"/>
      <c r="IQX2489" s="61"/>
      <c r="IQY2489" s="58"/>
      <c r="IQZ2489" s="58"/>
      <c r="IRA2489" s="58"/>
      <c r="IRB2489" s="60"/>
      <c r="IRC2489" s="60"/>
      <c r="IRD2489" s="60"/>
      <c r="IRE2489" s="58"/>
      <c r="IRF2489" s="61"/>
      <c r="IRG2489" s="58"/>
      <c r="IRH2489" s="58"/>
      <c r="IRI2489" s="58"/>
      <c r="IRJ2489" s="60"/>
      <c r="IRK2489" s="60"/>
      <c r="IRL2489" s="60"/>
      <c r="IRM2489" s="58"/>
      <c r="IRN2489" s="61"/>
      <c r="IRO2489" s="58"/>
      <c r="IRP2489" s="58"/>
      <c r="IRQ2489" s="58"/>
      <c r="IRR2489" s="60"/>
      <c r="IRS2489" s="60"/>
      <c r="IRT2489" s="60"/>
      <c r="IRU2489" s="58"/>
      <c r="IRV2489" s="61"/>
      <c r="IRW2489" s="58"/>
      <c r="IRX2489" s="58"/>
      <c r="IRY2489" s="58"/>
      <c r="IRZ2489" s="60"/>
      <c r="ISA2489" s="60"/>
      <c r="ISB2489" s="60"/>
      <c r="ISC2489" s="58"/>
      <c r="ISD2489" s="61"/>
      <c r="ISE2489" s="58"/>
      <c r="ISF2489" s="58"/>
      <c r="ISG2489" s="58"/>
      <c r="ISH2489" s="60"/>
      <c r="ISI2489" s="60"/>
      <c r="ISJ2489" s="60"/>
      <c r="ISK2489" s="58"/>
      <c r="ISL2489" s="61"/>
      <c r="ISM2489" s="58"/>
      <c r="ISN2489" s="58"/>
      <c r="ISO2489" s="58"/>
      <c r="ISP2489" s="60"/>
      <c r="ISQ2489" s="60"/>
      <c r="ISR2489" s="60"/>
      <c r="ISS2489" s="58"/>
      <c r="IST2489" s="61"/>
      <c r="ISU2489" s="58"/>
      <c r="ISV2489" s="58"/>
      <c r="ISW2489" s="58"/>
      <c r="ISX2489" s="60"/>
      <c r="ISY2489" s="60"/>
      <c r="ISZ2489" s="60"/>
      <c r="ITA2489" s="58"/>
      <c r="ITB2489" s="61"/>
      <c r="ITC2489" s="58"/>
      <c r="ITD2489" s="58"/>
      <c r="ITE2489" s="58"/>
      <c r="ITF2489" s="60"/>
      <c r="ITG2489" s="60"/>
      <c r="ITH2489" s="60"/>
      <c r="ITI2489" s="58"/>
      <c r="ITJ2489" s="61"/>
      <c r="ITK2489" s="58"/>
      <c r="ITL2489" s="58"/>
      <c r="ITM2489" s="58"/>
      <c r="ITN2489" s="60"/>
      <c r="ITO2489" s="60"/>
      <c r="ITP2489" s="60"/>
      <c r="ITQ2489" s="58"/>
      <c r="ITR2489" s="61"/>
      <c r="ITS2489" s="58"/>
      <c r="ITT2489" s="58"/>
      <c r="ITU2489" s="58"/>
      <c r="ITV2489" s="60"/>
      <c r="ITW2489" s="60"/>
      <c r="ITX2489" s="60"/>
      <c r="ITY2489" s="58"/>
      <c r="ITZ2489" s="61"/>
      <c r="IUA2489" s="58"/>
      <c r="IUB2489" s="58"/>
      <c r="IUC2489" s="58"/>
      <c r="IUD2489" s="60"/>
      <c r="IUE2489" s="60"/>
      <c r="IUF2489" s="60"/>
      <c r="IUG2489" s="58"/>
      <c r="IUH2489" s="61"/>
      <c r="IUI2489" s="58"/>
      <c r="IUJ2489" s="58"/>
      <c r="IUK2489" s="58"/>
      <c r="IUL2489" s="60"/>
      <c r="IUM2489" s="60"/>
      <c r="IUN2489" s="60"/>
      <c r="IUO2489" s="58"/>
      <c r="IUP2489" s="61"/>
      <c r="IUQ2489" s="58"/>
      <c r="IUR2489" s="58"/>
      <c r="IUS2489" s="58"/>
      <c r="IUT2489" s="60"/>
      <c r="IUU2489" s="60"/>
      <c r="IUV2489" s="60"/>
      <c r="IUW2489" s="58"/>
      <c r="IUX2489" s="61"/>
      <c r="IUY2489" s="58"/>
      <c r="IUZ2489" s="58"/>
      <c r="IVA2489" s="58"/>
      <c r="IVB2489" s="60"/>
      <c r="IVC2489" s="60"/>
      <c r="IVD2489" s="60"/>
      <c r="IVE2489" s="58"/>
      <c r="IVF2489" s="61"/>
      <c r="IVG2489" s="58"/>
      <c r="IVH2489" s="58"/>
      <c r="IVI2489" s="58"/>
      <c r="IVJ2489" s="60"/>
      <c r="IVK2489" s="60"/>
      <c r="IVL2489" s="60"/>
      <c r="IVM2489" s="58"/>
      <c r="IVN2489" s="61"/>
      <c r="IVO2489" s="58"/>
      <c r="IVP2489" s="58"/>
      <c r="IVQ2489" s="58"/>
      <c r="IVR2489" s="60"/>
      <c r="IVS2489" s="60"/>
      <c r="IVT2489" s="60"/>
      <c r="IVU2489" s="58"/>
      <c r="IVV2489" s="61"/>
      <c r="IVW2489" s="58"/>
      <c r="IVX2489" s="58"/>
      <c r="IVY2489" s="58"/>
      <c r="IVZ2489" s="60"/>
      <c r="IWA2489" s="60"/>
      <c r="IWB2489" s="60"/>
      <c r="IWC2489" s="58"/>
      <c r="IWD2489" s="61"/>
      <c r="IWE2489" s="58"/>
      <c r="IWF2489" s="58"/>
      <c r="IWG2489" s="58"/>
      <c r="IWH2489" s="60"/>
      <c r="IWI2489" s="60"/>
      <c r="IWJ2489" s="60"/>
      <c r="IWK2489" s="58"/>
      <c r="IWL2489" s="61"/>
      <c r="IWM2489" s="58"/>
      <c r="IWN2489" s="58"/>
      <c r="IWO2489" s="58"/>
      <c r="IWP2489" s="60"/>
      <c r="IWQ2489" s="60"/>
      <c r="IWR2489" s="60"/>
      <c r="IWS2489" s="58"/>
      <c r="IWT2489" s="61"/>
      <c r="IWU2489" s="58"/>
      <c r="IWV2489" s="58"/>
      <c r="IWW2489" s="58"/>
      <c r="IWX2489" s="60"/>
      <c r="IWY2489" s="60"/>
      <c r="IWZ2489" s="60"/>
      <c r="IXA2489" s="58"/>
      <c r="IXB2489" s="61"/>
      <c r="IXC2489" s="58"/>
      <c r="IXD2489" s="58"/>
      <c r="IXE2489" s="58"/>
      <c r="IXF2489" s="60"/>
      <c r="IXG2489" s="60"/>
      <c r="IXH2489" s="60"/>
      <c r="IXI2489" s="58"/>
      <c r="IXJ2489" s="61"/>
      <c r="IXK2489" s="58"/>
      <c r="IXL2489" s="58"/>
      <c r="IXM2489" s="58"/>
      <c r="IXN2489" s="60"/>
      <c r="IXO2489" s="60"/>
      <c r="IXP2489" s="60"/>
      <c r="IXQ2489" s="58"/>
      <c r="IXR2489" s="61"/>
      <c r="IXS2489" s="58"/>
      <c r="IXT2489" s="58"/>
      <c r="IXU2489" s="58"/>
      <c r="IXV2489" s="60"/>
      <c r="IXW2489" s="60"/>
      <c r="IXX2489" s="60"/>
      <c r="IXY2489" s="58"/>
      <c r="IXZ2489" s="61"/>
      <c r="IYA2489" s="58"/>
      <c r="IYB2489" s="58"/>
      <c r="IYC2489" s="58"/>
      <c r="IYD2489" s="60"/>
      <c r="IYE2489" s="60"/>
      <c r="IYF2489" s="60"/>
      <c r="IYG2489" s="58"/>
      <c r="IYH2489" s="61"/>
      <c r="IYI2489" s="58"/>
      <c r="IYJ2489" s="58"/>
      <c r="IYK2489" s="58"/>
      <c r="IYL2489" s="60"/>
      <c r="IYM2489" s="60"/>
      <c r="IYN2489" s="60"/>
      <c r="IYO2489" s="58"/>
      <c r="IYP2489" s="61"/>
      <c r="IYQ2489" s="58"/>
      <c r="IYR2489" s="58"/>
      <c r="IYS2489" s="58"/>
      <c r="IYT2489" s="60"/>
      <c r="IYU2489" s="60"/>
      <c r="IYV2489" s="60"/>
      <c r="IYW2489" s="58"/>
      <c r="IYX2489" s="61"/>
      <c r="IYY2489" s="58"/>
      <c r="IYZ2489" s="58"/>
      <c r="IZA2489" s="58"/>
      <c r="IZB2489" s="60"/>
      <c r="IZC2489" s="60"/>
      <c r="IZD2489" s="60"/>
      <c r="IZE2489" s="58"/>
      <c r="IZF2489" s="61"/>
      <c r="IZG2489" s="58"/>
      <c r="IZH2489" s="58"/>
      <c r="IZI2489" s="58"/>
      <c r="IZJ2489" s="60"/>
      <c r="IZK2489" s="60"/>
      <c r="IZL2489" s="60"/>
      <c r="IZM2489" s="58"/>
      <c r="IZN2489" s="61"/>
      <c r="IZO2489" s="58"/>
      <c r="IZP2489" s="58"/>
      <c r="IZQ2489" s="58"/>
      <c r="IZR2489" s="60"/>
      <c r="IZS2489" s="60"/>
      <c r="IZT2489" s="60"/>
      <c r="IZU2489" s="58"/>
      <c r="IZV2489" s="61"/>
      <c r="IZW2489" s="58"/>
      <c r="IZX2489" s="58"/>
      <c r="IZY2489" s="58"/>
      <c r="IZZ2489" s="60"/>
      <c r="JAA2489" s="60"/>
      <c r="JAB2489" s="60"/>
      <c r="JAC2489" s="58"/>
      <c r="JAD2489" s="61"/>
      <c r="JAE2489" s="58"/>
      <c r="JAF2489" s="58"/>
      <c r="JAG2489" s="58"/>
      <c r="JAH2489" s="60"/>
      <c r="JAI2489" s="60"/>
      <c r="JAJ2489" s="60"/>
      <c r="JAK2489" s="58"/>
      <c r="JAL2489" s="61"/>
      <c r="JAM2489" s="58"/>
      <c r="JAN2489" s="58"/>
      <c r="JAO2489" s="58"/>
      <c r="JAP2489" s="60"/>
      <c r="JAQ2489" s="60"/>
      <c r="JAR2489" s="60"/>
      <c r="JAS2489" s="58"/>
      <c r="JAT2489" s="61"/>
      <c r="JAU2489" s="58"/>
      <c r="JAV2489" s="58"/>
      <c r="JAW2489" s="58"/>
      <c r="JAX2489" s="60"/>
      <c r="JAY2489" s="60"/>
      <c r="JAZ2489" s="60"/>
      <c r="JBA2489" s="58"/>
      <c r="JBB2489" s="61"/>
      <c r="JBC2489" s="58"/>
      <c r="JBD2489" s="58"/>
      <c r="JBE2489" s="58"/>
      <c r="JBF2489" s="60"/>
      <c r="JBG2489" s="60"/>
      <c r="JBH2489" s="60"/>
      <c r="JBI2489" s="58"/>
      <c r="JBJ2489" s="61"/>
      <c r="JBK2489" s="58"/>
      <c r="JBL2489" s="58"/>
      <c r="JBM2489" s="58"/>
      <c r="JBN2489" s="60"/>
      <c r="JBO2489" s="60"/>
      <c r="JBP2489" s="60"/>
      <c r="JBQ2489" s="58"/>
      <c r="JBR2489" s="61"/>
      <c r="JBS2489" s="58"/>
      <c r="JBT2489" s="58"/>
      <c r="JBU2489" s="58"/>
      <c r="JBV2489" s="60"/>
      <c r="JBW2489" s="60"/>
      <c r="JBX2489" s="60"/>
      <c r="JBY2489" s="58"/>
      <c r="JBZ2489" s="61"/>
      <c r="JCA2489" s="58"/>
      <c r="JCB2489" s="58"/>
      <c r="JCC2489" s="58"/>
      <c r="JCD2489" s="60"/>
      <c r="JCE2489" s="60"/>
      <c r="JCF2489" s="60"/>
      <c r="JCG2489" s="58"/>
      <c r="JCH2489" s="61"/>
      <c r="JCI2489" s="58"/>
      <c r="JCJ2489" s="58"/>
      <c r="JCK2489" s="58"/>
      <c r="JCL2489" s="60"/>
      <c r="JCM2489" s="60"/>
      <c r="JCN2489" s="60"/>
      <c r="JCO2489" s="58"/>
      <c r="JCP2489" s="61"/>
      <c r="JCQ2489" s="58"/>
      <c r="JCR2489" s="58"/>
      <c r="JCS2489" s="58"/>
      <c r="JCT2489" s="60"/>
      <c r="JCU2489" s="60"/>
      <c r="JCV2489" s="60"/>
      <c r="JCW2489" s="58"/>
      <c r="JCX2489" s="61"/>
      <c r="JCY2489" s="58"/>
      <c r="JCZ2489" s="58"/>
      <c r="JDA2489" s="58"/>
      <c r="JDB2489" s="60"/>
      <c r="JDC2489" s="60"/>
      <c r="JDD2489" s="60"/>
      <c r="JDE2489" s="58"/>
      <c r="JDF2489" s="61"/>
      <c r="JDG2489" s="58"/>
      <c r="JDH2489" s="58"/>
      <c r="JDI2489" s="58"/>
      <c r="JDJ2489" s="60"/>
      <c r="JDK2489" s="60"/>
      <c r="JDL2489" s="60"/>
      <c r="JDM2489" s="58"/>
      <c r="JDN2489" s="61"/>
      <c r="JDO2489" s="58"/>
      <c r="JDP2489" s="58"/>
      <c r="JDQ2489" s="58"/>
      <c r="JDR2489" s="60"/>
      <c r="JDS2489" s="60"/>
      <c r="JDT2489" s="60"/>
      <c r="JDU2489" s="58"/>
      <c r="JDV2489" s="61"/>
      <c r="JDW2489" s="58"/>
      <c r="JDX2489" s="58"/>
      <c r="JDY2489" s="58"/>
      <c r="JDZ2489" s="60"/>
      <c r="JEA2489" s="60"/>
      <c r="JEB2489" s="60"/>
      <c r="JEC2489" s="58"/>
      <c r="JED2489" s="61"/>
      <c r="JEE2489" s="58"/>
      <c r="JEF2489" s="58"/>
      <c r="JEG2489" s="58"/>
      <c r="JEH2489" s="60"/>
      <c r="JEI2489" s="60"/>
      <c r="JEJ2489" s="60"/>
      <c r="JEK2489" s="58"/>
      <c r="JEL2489" s="61"/>
      <c r="JEM2489" s="58"/>
      <c r="JEN2489" s="58"/>
      <c r="JEO2489" s="58"/>
      <c r="JEP2489" s="60"/>
      <c r="JEQ2489" s="60"/>
      <c r="JER2489" s="60"/>
      <c r="JES2489" s="58"/>
      <c r="JET2489" s="61"/>
      <c r="JEU2489" s="58"/>
      <c r="JEV2489" s="58"/>
      <c r="JEW2489" s="58"/>
      <c r="JEX2489" s="60"/>
      <c r="JEY2489" s="60"/>
      <c r="JEZ2489" s="60"/>
      <c r="JFA2489" s="58"/>
      <c r="JFB2489" s="61"/>
      <c r="JFC2489" s="58"/>
      <c r="JFD2489" s="58"/>
      <c r="JFE2489" s="58"/>
      <c r="JFF2489" s="60"/>
      <c r="JFG2489" s="60"/>
      <c r="JFH2489" s="60"/>
      <c r="JFI2489" s="58"/>
      <c r="JFJ2489" s="61"/>
      <c r="JFK2489" s="58"/>
      <c r="JFL2489" s="58"/>
      <c r="JFM2489" s="58"/>
      <c r="JFN2489" s="60"/>
      <c r="JFO2489" s="60"/>
      <c r="JFP2489" s="60"/>
      <c r="JFQ2489" s="58"/>
      <c r="JFR2489" s="61"/>
      <c r="JFS2489" s="58"/>
      <c r="JFT2489" s="58"/>
      <c r="JFU2489" s="58"/>
      <c r="JFV2489" s="60"/>
      <c r="JFW2489" s="60"/>
      <c r="JFX2489" s="60"/>
      <c r="JFY2489" s="58"/>
      <c r="JFZ2489" s="61"/>
      <c r="JGA2489" s="58"/>
      <c r="JGB2489" s="58"/>
      <c r="JGC2489" s="58"/>
      <c r="JGD2489" s="60"/>
      <c r="JGE2489" s="60"/>
      <c r="JGF2489" s="60"/>
      <c r="JGG2489" s="58"/>
      <c r="JGH2489" s="61"/>
      <c r="JGI2489" s="58"/>
      <c r="JGJ2489" s="58"/>
      <c r="JGK2489" s="58"/>
      <c r="JGL2489" s="60"/>
      <c r="JGM2489" s="60"/>
      <c r="JGN2489" s="60"/>
      <c r="JGO2489" s="58"/>
      <c r="JGP2489" s="61"/>
      <c r="JGQ2489" s="58"/>
      <c r="JGR2489" s="58"/>
      <c r="JGS2489" s="58"/>
      <c r="JGT2489" s="60"/>
      <c r="JGU2489" s="60"/>
      <c r="JGV2489" s="60"/>
      <c r="JGW2489" s="58"/>
      <c r="JGX2489" s="61"/>
      <c r="JGY2489" s="58"/>
      <c r="JGZ2489" s="58"/>
      <c r="JHA2489" s="58"/>
      <c r="JHB2489" s="60"/>
      <c r="JHC2489" s="60"/>
      <c r="JHD2489" s="60"/>
      <c r="JHE2489" s="58"/>
      <c r="JHF2489" s="61"/>
      <c r="JHG2489" s="58"/>
      <c r="JHH2489" s="58"/>
      <c r="JHI2489" s="58"/>
      <c r="JHJ2489" s="60"/>
      <c r="JHK2489" s="60"/>
      <c r="JHL2489" s="60"/>
      <c r="JHM2489" s="58"/>
      <c r="JHN2489" s="61"/>
      <c r="JHO2489" s="58"/>
      <c r="JHP2489" s="58"/>
      <c r="JHQ2489" s="58"/>
      <c r="JHR2489" s="60"/>
      <c r="JHS2489" s="60"/>
      <c r="JHT2489" s="60"/>
      <c r="JHU2489" s="58"/>
      <c r="JHV2489" s="61"/>
      <c r="JHW2489" s="58"/>
      <c r="JHX2489" s="58"/>
      <c r="JHY2489" s="58"/>
      <c r="JHZ2489" s="60"/>
      <c r="JIA2489" s="60"/>
      <c r="JIB2489" s="60"/>
      <c r="JIC2489" s="58"/>
      <c r="JID2489" s="61"/>
      <c r="JIE2489" s="58"/>
      <c r="JIF2489" s="58"/>
      <c r="JIG2489" s="58"/>
      <c r="JIH2489" s="60"/>
      <c r="JII2489" s="60"/>
      <c r="JIJ2489" s="60"/>
      <c r="JIK2489" s="58"/>
      <c r="JIL2489" s="61"/>
      <c r="JIM2489" s="58"/>
      <c r="JIN2489" s="58"/>
      <c r="JIO2489" s="58"/>
      <c r="JIP2489" s="60"/>
      <c r="JIQ2489" s="60"/>
      <c r="JIR2489" s="60"/>
      <c r="JIS2489" s="58"/>
      <c r="JIT2489" s="61"/>
      <c r="JIU2489" s="58"/>
      <c r="JIV2489" s="58"/>
      <c r="JIW2489" s="58"/>
      <c r="JIX2489" s="60"/>
      <c r="JIY2489" s="60"/>
      <c r="JIZ2489" s="60"/>
      <c r="JJA2489" s="58"/>
      <c r="JJB2489" s="61"/>
      <c r="JJC2489" s="58"/>
      <c r="JJD2489" s="58"/>
      <c r="JJE2489" s="58"/>
      <c r="JJF2489" s="60"/>
      <c r="JJG2489" s="60"/>
      <c r="JJH2489" s="60"/>
      <c r="JJI2489" s="58"/>
      <c r="JJJ2489" s="61"/>
      <c r="JJK2489" s="58"/>
      <c r="JJL2489" s="58"/>
      <c r="JJM2489" s="58"/>
      <c r="JJN2489" s="60"/>
      <c r="JJO2489" s="60"/>
      <c r="JJP2489" s="60"/>
      <c r="JJQ2489" s="58"/>
      <c r="JJR2489" s="61"/>
      <c r="JJS2489" s="58"/>
      <c r="JJT2489" s="58"/>
      <c r="JJU2489" s="58"/>
      <c r="JJV2489" s="60"/>
      <c r="JJW2489" s="60"/>
      <c r="JJX2489" s="60"/>
      <c r="JJY2489" s="58"/>
      <c r="JJZ2489" s="61"/>
      <c r="JKA2489" s="58"/>
      <c r="JKB2489" s="58"/>
      <c r="JKC2489" s="58"/>
      <c r="JKD2489" s="60"/>
      <c r="JKE2489" s="60"/>
      <c r="JKF2489" s="60"/>
      <c r="JKG2489" s="58"/>
      <c r="JKH2489" s="61"/>
      <c r="JKI2489" s="58"/>
      <c r="JKJ2489" s="58"/>
      <c r="JKK2489" s="58"/>
      <c r="JKL2489" s="60"/>
      <c r="JKM2489" s="60"/>
      <c r="JKN2489" s="60"/>
      <c r="JKO2489" s="58"/>
      <c r="JKP2489" s="61"/>
      <c r="JKQ2489" s="58"/>
      <c r="JKR2489" s="58"/>
      <c r="JKS2489" s="58"/>
      <c r="JKT2489" s="60"/>
      <c r="JKU2489" s="60"/>
      <c r="JKV2489" s="60"/>
      <c r="JKW2489" s="58"/>
      <c r="JKX2489" s="61"/>
      <c r="JKY2489" s="58"/>
      <c r="JKZ2489" s="58"/>
      <c r="JLA2489" s="58"/>
      <c r="JLB2489" s="60"/>
      <c r="JLC2489" s="60"/>
      <c r="JLD2489" s="60"/>
      <c r="JLE2489" s="58"/>
      <c r="JLF2489" s="61"/>
      <c r="JLG2489" s="58"/>
      <c r="JLH2489" s="58"/>
      <c r="JLI2489" s="58"/>
      <c r="JLJ2489" s="60"/>
      <c r="JLK2489" s="60"/>
      <c r="JLL2489" s="60"/>
      <c r="JLM2489" s="58"/>
      <c r="JLN2489" s="61"/>
      <c r="JLO2489" s="58"/>
      <c r="JLP2489" s="58"/>
      <c r="JLQ2489" s="58"/>
      <c r="JLR2489" s="60"/>
      <c r="JLS2489" s="60"/>
      <c r="JLT2489" s="60"/>
      <c r="JLU2489" s="58"/>
      <c r="JLV2489" s="61"/>
      <c r="JLW2489" s="58"/>
      <c r="JLX2489" s="58"/>
      <c r="JLY2489" s="58"/>
      <c r="JLZ2489" s="60"/>
      <c r="JMA2489" s="60"/>
      <c r="JMB2489" s="60"/>
      <c r="JMC2489" s="58"/>
      <c r="JMD2489" s="61"/>
      <c r="JME2489" s="58"/>
      <c r="JMF2489" s="58"/>
      <c r="JMG2489" s="58"/>
      <c r="JMH2489" s="60"/>
      <c r="JMI2489" s="60"/>
      <c r="JMJ2489" s="60"/>
      <c r="JMK2489" s="58"/>
      <c r="JML2489" s="61"/>
      <c r="JMM2489" s="58"/>
      <c r="JMN2489" s="58"/>
      <c r="JMO2489" s="58"/>
      <c r="JMP2489" s="60"/>
      <c r="JMQ2489" s="60"/>
      <c r="JMR2489" s="60"/>
      <c r="JMS2489" s="58"/>
      <c r="JMT2489" s="61"/>
      <c r="JMU2489" s="58"/>
      <c r="JMV2489" s="58"/>
      <c r="JMW2489" s="58"/>
      <c r="JMX2489" s="60"/>
      <c r="JMY2489" s="60"/>
      <c r="JMZ2489" s="60"/>
      <c r="JNA2489" s="58"/>
      <c r="JNB2489" s="61"/>
      <c r="JNC2489" s="58"/>
      <c r="JND2489" s="58"/>
      <c r="JNE2489" s="58"/>
      <c r="JNF2489" s="60"/>
      <c r="JNG2489" s="60"/>
      <c r="JNH2489" s="60"/>
      <c r="JNI2489" s="58"/>
      <c r="JNJ2489" s="61"/>
      <c r="JNK2489" s="58"/>
      <c r="JNL2489" s="58"/>
      <c r="JNM2489" s="58"/>
      <c r="JNN2489" s="60"/>
      <c r="JNO2489" s="60"/>
      <c r="JNP2489" s="60"/>
      <c r="JNQ2489" s="58"/>
      <c r="JNR2489" s="61"/>
      <c r="JNS2489" s="58"/>
      <c r="JNT2489" s="58"/>
      <c r="JNU2489" s="58"/>
      <c r="JNV2489" s="60"/>
      <c r="JNW2489" s="60"/>
      <c r="JNX2489" s="60"/>
      <c r="JNY2489" s="58"/>
      <c r="JNZ2489" s="61"/>
      <c r="JOA2489" s="58"/>
      <c r="JOB2489" s="58"/>
      <c r="JOC2489" s="58"/>
      <c r="JOD2489" s="60"/>
      <c r="JOE2489" s="60"/>
      <c r="JOF2489" s="60"/>
      <c r="JOG2489" s="58"/>
      <c r="JOH2489" s="61"/>
      <c r="JOI2489" s="58"/>
      <c r="JOJ2489" s="58"/>
      <c r="JOK2489" s="58"/>
      <c r="JOL2489" s="60"/>
      <c r="JOM2489" s="60"/>
      <c r="JON2489" s="60"/>
      <c r="JOO2489" s="58"/>
      <c r="JOP2489" s="61"/>
      <c r="JOQ2489" s="58"/>
      <c r="JOR2489" s="58"/>
      <c r="JOS2489" s="58"/>
      <c r="JOT2489" s="60"/>
      <c r="JOU2489" s="60"/>
      <c r="JOV2489" s="60"/>
      <c r="JOW2489" s="58"/>
      <c r="JOX2489" s="61"/>
      <c r="JOY2489" s="58"/>
      <c r="JOZ2489" s="58"/>
      <c r="JPA2489" s="58"/>
      <c r="JPB2489" s="60"/>
      <c r="JPC2489" s="60"/>
      <c r="JPD2489" s="60"/>
      <c r="JPE2489" s="58"/>
      <c r="JPF2489" s="61"/>
      <c r="JPG2489" s="58"/>
      <c r="JPH2489" s="58"/>
      <c r="JPI2489" s="58"/>
      <c r="JPJ2489" s="60"/>
      <c r="JPK2489" s="60"/>
      <c r="JPL2489" s="60"/>
      <c r="JPM2489" s="58"/>
      <c r="JPN2489" s="61"/>
      <c r="JPO2489" s="58"/>
      <c r="JPP2489" s="58"/>
      <c r="JPQ2489" s="58"/>
      <c r="JPR2489" s="60"/>
      <c r="JPS2489" s="60"/>
      <c r="JPT2489" s="60"/>
      <c r="JPU2489" s="58"/>
      <c r="JPV2489" s="61"/>
      <c r="JPW2489" s="58"/>
      <c r="JPX2489" s="58"/>
      <c r="JPY2489" s="58"/>
      <c r="JPZ2489" s="60"/>
      <c r="JQA2489" s="60"/>
      <c r="JQB2489" s="60"/>
      <c r="JQC2489" s="58"/>
      <c r="JQD2489" s="61"/>
      <c r="JQE2489" s="58"/>
      <c r="JQF2489" s="58"/>
      <c r="JQG2489" s="58"/>
      <c r="JQH2489" s="60"/>
      <c r="JQI2489" s="60"/>
      <c r="JQJ2489" s="60"/>
      <c r="JQK2489" s="58"/>
      <c r="JQL2489" s="61"/>
      <c r="JQM2489" s="58"/>
      <c r="JQN2489" s="58"/>
      <c r="JQO2489" s="58"/>
      <c r="JQP2489" s="60"/>
      <c r="JQQ2489" s="60"/>
      <c r="JQR2489" s="60"/>
      <c r="JQS2489" s="58"/>
      <c r="JQT2489" s="61"/>
      <c r="JQU2489" s="58"/>
      <c r="JQV2489" s="58"/>
      <c r="JQW2489" s="58"/>
      <c r="JQX2489" s="60"/>
      <c r="JQY2489" s="60"/>
      <c r="JQZ2489" s="60"/>
      <c r="JRA2489" s="58"/>
      <c r="JRB2489" s="61"/>
      <c r="JRC2489" s="58"/>
      <c r="JRD2489" s="58"/>
      <c r="JRE2489" s="58"/>
      <c r="JRF2489" s="60"/>
      <c r="JRG2489" s="60"/>
      <c r="JRH2489" s="60"/>
      <c r="JRI2489" s="58"/>
      <c r="JRJ2489" s="61"/>
      <c r="JRK2489" s="58"/>
      <c r="JRL2489" s="58"/>
      <c r="JRM2489" s="58"/>
      <c r="JRN2489" s="60"/>
      <c r="JRO2489" s="60"/>
      <c r="JRP2489" s="60"/>
      <c r="JRQ2489" s="58"/>
      <c r="JRR2489" s="61"/>
      <c r="JRS2489" s="58"/>
      <c r="JRT2489" s="58"/>
      <c r="JRU2489" s="58"/>
      <c r="JRV2489" s="60"/>
      <c r="JRW2489" s="60"/>
      <c r="JRX2489" s="60"/>
      <c r="JRY2489" s="58"/>
      <c r="JRZ2489" s="61"/>
      <c r="JSA2489" s="58"/>
      <c r="JSB2489" s="58"/>
      <c r="JSC2489" s="58"/>
      <c r="JSD2489" s="60"/>
      <c r="JSE2489" s="60"/>
      <c r="JSF2489" s="60"/>
      <c r="JSG2489" s="58"/>
      <c r="JSH2489" s="61"/>
      <c r="JSI2489" s="58"/>
      <c r="JSJ2489" s="58"/>
      <c r="JSK2489" s="58"/>
      <c r="JSL2489" s="60"/>
      <c r="JSM2489" s="60"/>
      <c r="JSN2489" s="60"/>
      <c r="JSO2489" s="58"/>
      <c r="JSP2489" s="61"/>
      <c r="JSQ2489" s="58"/>
      <c r="JSR2489" s="58"/>
      <c r="JSS2489" s="58"/>
      <c r="JST2489" s="60"/>
      <c r="JSU2489" s="60"/>
      <c r="JSV2489" s="60"/>
      <c r="JSW2489" s="58"/>
      <c r="JSX2489" s="61"/>
      <c r="JSY2489" s="58"/>
      <c r="JSZ2489" s="58"/>
      <c r="JTA2489" s="58"/>
      <c r="JTB2489" s="60"/>
      <c r="JTC2489" s="60"/>
      <c r="JTD2489" s="60"/>
      <c r="JTE2489" s="58"/>
      <c r="JTF2489" s="61"/>
      <c r="JTG2489" s="58"/>
      <c r="JTH2489" s="58"/>
      <c r="JTI2489" s="58"/>
      <c r="JTJ2489" s="60"/>
      <c r="JTK2489" s="60"/>
      <c r="JTL2489" s="60"/>
      <c r="JTM2489" s="58"/>
      <c r="JTN2489" s="61"/>
      <c r="JTO2489" s="58"/>
      <c r="JTP2489" s="58"/>
      <c r="JTQ2489" s="58"/>
      <c r="JTR2489" s="60"/>
      <c r="JTS2489" s="60"/>
      <c r="JTT2489" s="60"/>
      <c r="JTU2489" s="58"/>
      <c r="JTV2489" s="61"/>
      <c r="JTW2489" s="58"/>
      <c r="JTX2489" s="58"/>
      <c r="JTY2489" s="58"/>
      <c r="JTZ2489" s="60"/>
      <c r="JUA2489" s="60"/>
      <c r="JUB2489" s="60"/>
      <c r="JUC2489" s="58"/>
      <c r="JUD2489" s="61"/>
      <c r="JUE2489" s="58"/>
      <c r="JUF2489" s="58"/>
      <c r="JUG2489" s="58"/>
      <c r="JUH2489" s="60"/>
      <c r="JUI2489" s="60"/>
      <c r="JUJ2489" s="60"/>
      <c r="JUK2489" s="58"/>
      <c r="JUL2489" s="61"/>
      <c r="JUM2489" s="58"/>
      <c r="JUN2489" s="58"/>
      <c r="JUO2489" s="58"/>
      <c r="JUP2489" s="60"/>
      <c r="JUQ2489" s="60"/>
      <c r="JUR2489" s="60"/>
      <c r="JUS2489" s="58"/>
      <c r="JUT2489" s="61"/>
      <c r="JUU2489" s="58"/>
      <c r="JUV2489" s="58"/>
      <c r="JUW2489" s="58"/>
      <c r="JUX2489" s="60"/>
      <c r="JUY2489" s="60"/>
      <c r="JUZ2489" s="60"/>
      <c r="JVA2489" s="58"/>
      <c r="JVB2489" s="61"/>
      <c r="JVC2489" s="58"/>
      <c r="JVD2489" s="58"/>
      <c r="JVE2489" s="58"/>
      <c r="JVF2489" s="60"/>
      <c r="JVG2489" s="60"/>
      <c r="JVH2489" s="60"/>
      <c r="JVI2489" s="58"/>
      <c r="JVJ2489" s="61"/>
      <c r="JVK2489" s="58"/>
      <c r="JVL2489" s="58"/>
      <c r="JVM2489" s="58"/>
      <c r="JVN2489" s="60"/>
      <c r="JVO2489" s="60"/>
      <c r="JVP2489" s="60"/>
      <c r="JVQ2489" s="58"/>
      <c r="JVR2489" s="61"/>
      <c r="JVS2489" s="58"/>
      <c r="JVT2489" s="58"/>
      <c r="JVU2489" s="58"/>
      <c r="JVV2489" s="60"/>
      <c r="JVW2489" s="60"/>
      <c r="JVX2489" s="60"/>
      <c r="JVY2489" s="58"/>
      <c r="JVZ2489" s="61"/>
      <c r="JWA2489" s="58"/>
      <c r="JWB2489" s="58"/>
      <c r="JWC2489" s="58"/>
      <c r="JWD2489" s="60"/>
      <c r="JWE2489" s="60"/>
      <c r="JWF2489" s="60"/>
      <c r="JWG2489" s="58"/>
      <c r="JWH2489" s="61"/>
      <c r="JWI2489" s="58"/>
      <c r="JWJ2489" s="58"/>
      <c r="JWK2489" s="58"/>
      <c r="JWL2489" s="60"/>
      <c r="JWM2489" s="60"/>
      <c r="JWN2489" s="60"/>
      <c r="JWO2489" s="58"/>
      <c r="JWP2489" s="61"/>
      <c r="JWQ2489" s="58"/>
      <c r="JWR2489" s="58"/>
      <c r="JWS2489" s="58"/>
      <c r="JWT2489" s="60"/>
      <c r="JWU2489" s="60"/>
      <c r="JWV2489" s="60"/>
      <c r="JWW2489" s="58"/>
      <c r="JWX2489" s="61"/>
      <c r="JWY2489" s="58"/>
      <c r="JWZ2489" s="58"/>
      <c r="JXA2489" s="58"/>
      <c r="JXB2489" s="60"/>
      <c r="JXC2489" s="60"/>
      <c r="JXD2489" s="60"/>
      <c r="JXE2489" s="58"/>
      <c r="JXF2489" s="61"/>
      <c r="JXG2489" s="58"/>
      <c r="JXH2489" s="58"/>
      <c r="JXI2489" s="58"/>
      <c r="JXJ2489" s="60"/>
      <c r="JXK2489" s="60"/>
      <c r="JXL2489" s="60"/>
      <c r="JXM2489" s="58"/>
      <c r="JXN2489" s="61"/>
      <c r="JXO2489" s="58"/>
      <c r="JXP2489" s="58"/>
      <c r="JXQ2489" s="58"/>
      <c r="JXR2489" s="60"/>
      <c r="JXS2489" s="60"/>
      <c r="JXT2489" s="60"/>
      <c r="JXU2489" s="58"/>
      <c r="JXV2489" s="61"/>
      <c r="JXW2489" s="58"/>
      <c r="JXX2489" s="58"/>
      <c r="JXY2489" s="58"/>
      <c r="JXZ2489" s="60"/>
      <c r="JYA2489" s="60"/>
      <c r="JYB2489" s="60"/>
      <c r="JYC2489" s="58"/>
      <c r="JYD2489" s="61"/>
      <c r="JYE2489" s="58"/>
      <c r="JYF2489" s="58"/>
      <c r="JYG2489" s="58"/>
      <c r="JYH2489" s="60"/>
      <c r="JYI2489" s="60"/>
      <c r="JYJ2489" s="60"/>
      <c r="JYK2489" s="58"/>
      <c r="JYL2489" s="61"/>
      <c r="JYM2489" s="58"/>
      <c r="JYN2489" s="58"/>
      <c r="JYO2489" s="58"/>
      <c r="JYP2489" s="60"/>
      <c r="JYQ2489" s="60"/>
      <c r="JYR2489" s="60"/>
      <c r="JYS2489" s="58"/>
      <c r="JYT2489" s="61"/>
      <c r="JYU2489" s="58"/>
      <c r="JYV2489" s="58"/>
      <c r="JYW2489" s="58"/>
      <c r="JYX2489" s="60"/>
      <c r="JYY2489" s="60"/>
      <c r="JYZ2489" s="60"/>
      <c r="JZA2489" s="58"/>
      <c r="JZB2489" s="61"/>
      <c r="JZC2489" s="58"/>
      <c r="JZD2489" s="58"/>
      <c r="JZE2489" s="58"/>
      <c r="JZF2489" s="60"/>
      <c r="JZG2489" s="60"/>
      <c r="JZH2489" s="60"/>
      <c r="JZI2489" s="58"/>
      <c r="JZJ2489" s="61"/>
      <c r="JZK2489" s="58"/>
      <c r="JZL2489" s="58"/>
      <c r="JZM2489" s="58"/>
      <c r="JZN2489" s="60"/>
      <c r="JZO2489" s="60"/>
      <c r="JZP2489" s="60"/>
      <c r="JZQ2489" s="58"/>
      <c r="JZR2489" s="61"/>
      <c r="JZS2489" s="58"/>
      <c r="JZT2489" s="58"/>
      <c r="JZU2489" s="58"/>
      <c r="JZV2489" s="60"/>
      <c r="JZW2489" s="60"/>
      <c r="JZX2489" s="60"/>
      <c r="JZY2489" s="58"/>
      <c r="JZZ2489" s="61"/>
      <c r="KAA2489" s="58"/>
      <c r="KAB2489" s="58"/>
      <c r="KAC2489" s="58"/>
      <c r="KAD2489" s="60"/>
      <c r="KAE2489" s="60"/>
      <c r="KAF2489" s="60"/>
      <c r="KAG2489" s="58"/>
      <c r="KAH2489" s="61"/>
      <c r="KAI2489" s="58"/>
      <c r="KAJ2489" s="58"/>
      <c r="KAK2489" s="58"/>
      <c r="KAL2489" s="60"/>
      <c r="KAM2489" s="60"/>
      <c r="KAN2489" s="60"/>
      <c r="KAO2489" s="58"/>
      <c r="KAP2489" s="61"/>
      <c r="KAQ2489" s="58"/>
      <c r="KAR2489" s="58"/>
      <c r="KAS2489" s="58"/>
      <c r="KAT2489" s="60"/>
      <c r="KAU2489" s="60"/>
      <c r="KAV2489" s="60"/>
      <c r="KAW2489" s="58"/>
      <c r="KAX2489" s="61"/>
      <c r="KAY2489" s="58"/>
      <c r="KAZ2489" s="58"/>
      <c r="KBA2489" s="58"/>
      <c r="KBB2489" s="60"/>
      <c r="KBC2489" s="60"/>
      <c r="KBD2489" s="60"/>
      <c r="KBE2489" s="58"/>
      <c r="KBF2489" s="61"/>
      <c r="KBG2489" s="58"/>
      <c r="KBH2489" s="58"/>
      <c r="KBI2489" s="58"/>
      <c r="KBJ2489" s="60"/>
      <c r="KBK2489" s="60"/>
      <c r="KBL2489" s="60"/>
      <c r="KBM2489" s="58"/>
      <c r="KBN2489" s="61"/>
      <c r="KBO2489" s="58"/>
      <c r="KBP2489" s="58"/>
      <c r="KBQ2489" s="58"/>
      <c r="KBR2489" s="60"/>
      <c r="KBS2489" s="60"/>
      <c r="KBT2489" s="60"/>
      <c r="KBU2489" s="58"/>
      <c r="KBV2489" s="61"/>
      <c r="KBW2489" s="58"/>
      <c r="KBX2489" s="58"/>
      <c r="KBY2489" s="58"/>
      <c r="KBZ2489" s="60"/>
      <c r="KCA2489" s="60"/>
      <c r="KCB2489" s="60"/>
      <c r="KCC2489" s="58"/>
      <c r="KCD2489" s="61"/>
      <c r="KCE2489" s="58"/>
      <c r="KCF2489" s="58"/>
      <c r="KCG2489" s="58"/>
      <c r="KCH2489" s="60"/>
      <c r="KCI2489" s="60"/>
      <c r="KCJ2489" s="60"/>
      <c r="KCK2489" s="58"/>
      <c r="KCL2489" s="61"/>
      <c r="KCM2489" s="58"/>
      <c r="KCN2489" s="58"/>
      <c r="KCO2489" s="58"/>
      <c r="KCP2489" s="60"/>
      <c r="KCQ2489" s="60"/>
      <c r="KCR2489" s="60"/>
      <c r="KCS2489" s="58"/>
      <c r="KCT2489" s="61"/>
      <c r="KCU2489" s="58"/>
      <c r="KCV2489" s="58"/>
      <c r="KCW2489" s="58"/>
      <c r="KCX2489" s="60"/>
      <c r="KCY2489" s="60"/>
      <c r="KCZ2489" s="60"/>
      <c r="KDA2489" s="58"/>
      <c r="KDB2489" s="61"/>
      <c r="KDC2489" s="58"/>
      <c r="KDD2489" s="58"/>
      <c r="KDE2489" s="58"/>
      <c r="KDF2489" s="60"/>
      <c r="KDG2489" s="60"/>
      <c r="KDH2489" s="60"/>
      <c r="KDI2489" s="58"/>
      <c r="KDJ2489" s="61"/>
      <c r="KDK2489" s="58"/>
      <c r="KDL2489" s="58"/>
      <c r="KDM2489" s="58"/>
      <c r="KDN2489" s="60"/>
      <c r="KDO2489" s="60"/>
      <c r="KDP2489" s="60"/>
      <c r="KDQ2489" s="58"/>
      <c r="KDR2489" s="61"/>
      <c r="KDS2489" s="58"/>
      <c r="KDT2489" s="58"/>
      <c r="KDU2489" s="58"/>
      <c r="KDV2489" s="60"/>
      <c r="KDW2489" s="60"/>
      <c r="KDX2489" s="60"/>
      <c r="KDY2489" s="58"/>
      <c r="KDZ2489" s="61"/>
      <c r="KEA2489" s="58"/>
      <c r="KEB2489" s="58"/>
      <c r="KEC2489" s="58"/>
      <c r="KED2489" s="60"/>
      <c r="KEE2489" s="60"/>
      <c r="KEF2489" s="60"/>
      <c r="KEG2489" s="58"/>
      <c r="KEH2489" s="61"/>
      <c r="KEI2489" s="58"/>
      <c r="KEJ2489" s="58"/>
      <c r="KEK2489" s="58"/>
      <c r="KEL2489" s="60"/>
      <c r="KEM2489" s="60"/>
      <c r="KEN2489" s="60"/>
      <c r="KEO2489" s="58"/>
      <c r="KEP2489" s="61"/>
      <c r="KEQ2489" s="58"/>
      <c r="KER2489" s="58"/>
      <c r="KES2489" s="58"/>
      <c r="KET2489" s="60"/>
      <c r="KEU2489" s="60"/>
      <c r="KEV2489" s="60"/>
      <c r="KEW2489" s="58"/>
      <c r="KEX2489" s="61"/>
      <c r="KEY2489" s="58"/>
      <c r="KEZ2489" s="58"/>
      <c r="KFA2489" s="58"/>
      <c r="KFB2489" s="60"/>
      <c r="KFC2489" s="60"/>
      <c r="KFD2489" s="60"/>
      <c r="KFE2489" s="58"/>
      <c r="KFF2489" s="61"/>
      <c r="KFG2489" s="58"/>
      <c r="KFH2489" s="58"/>
      <c r="KFI2489" s="58"/>
      <c r="KFJ2489" s="60"/>
      <c r="KFK2489" s="60"/>
      <c r="KFL2489" s="60"/>
      <c r="KFM2489" s="58"/>
      <c r="KFN2489" s="61"/>
      <c r="KFO2489" s="58"/>
      <c r="KFP2489" s="58"/>
      <c r="KFQ2489" s="58"/>
      <c r="KFR2489" s="60"/>
      <c r="KFS2489" s="60"/>
      <c r="KFT2489" s="60"/>
      <c r="KFU2489" s="58"/>
      <c r="KFV2489" s="61"/>
      <c r="KFW2489" s="58"/>
      <c r="KFX2489" s="58"/>
      <c r="KFY2489" s="58"/>
      <c r="KFZ2489" s="60"/>
      <c r="KGA2489" s="60"/>
      <c r="KGB2489" s="60"/>
      <c r="KGC2489" s="58"/>
      <c r="KGD2489" s="61"/>
      <c r="KGE2489" s="58"/>
      <c r="KGF2489" s="58"/>
      <c r="KGG2489" s="58"/>
      <c r="KGH2489" s="60"/>
      <c r="KGI2489" s="60"/>
      <c r="KGJ2489" s="60"/>
      <c r="KGK2489" s="58"/>
      <c r="KGL2489" s="61"/>
      <c r="KGM2489" s="58"/>
      <c r="KGN2489" s="58"/>
      <c r="KGO2489" s="58"/>
      <c r="KGP2489" s="60"/>
      <c r="KGQ2489" s="60"/>
      <c r="KGR2489" s="60"/>
      <c r="KGS2489" s="58"/>
      <c r="KGT2489" s="61"/>
      <c r="KGU2489" s="58"/>
      <c r="KGV2489" s="58"/>
      <c r="KGW2489" s="58"/>
      <c r="KGX2489" s="60"/>
      <c r="KGY2489" s="60"/>
      <c r="KGZ2489" s="60"/>
      <c r="KHA2489" s="58"/>
      <c r="KHB2489" s="61"/>
      <c r="KHC2489" s="58"/>
      <c r="KHD2489" s="58"/>
      <c r="KHE2489" s="58"/>
      <c r="KHF2489" s="60"/>
      <c r="KHG2489" s="60"/>
      <c r="KHH2489" s="60"/>
      <c r="KHI2489" s="58"/>
      <c r="KHJ2489" s="61"/>
      <c r="KHK2489" s="58"/>
      <c r="KHL2489" s="58"/>
      <c r="KHM2489" s="58"/>
      <c r="KHN2489" s="60"/>
      <c r="KHO2489" s="60"/>
      <c r="KHP2489" s="60"/>
      <c r="KHQ2489" s="58"/>
      <c r="KHR2489" s="61"/>
      <c r="KHS2489" s="58"/>
      <c r="KHT2489" s="58"/>
      <c r="KHU2489" s="58"/>
      <c r="KHV2489" s="60"/>
      <c r="KHW2489" s="60"/>
      <c r="KHX2489" s="60"/>
      <c r="KHY2489" s="58"/>
      <c r="KHZ2489" s="61"/>
      <c r="KIA2489" s="58"/>
      <c r="KIB2489" s="58"/>
      <c r="KIC2489" s="58"/>
      <c r="KID2489" s="60"/>
      <c r="KIE2489" s="60"/>
      <c r="KIF2489" s="60"/>
      <c r="KIG2489" s="58"/>
      <c r="KIH2489" s="61"/>
      <c r="KII2489" s="58"/>
      <c r="KIJ2489" s="58"/>
      <c r="KIK2489" s="58"/>
      <c r="KIL2489" s="60"/>
      <c r="KIM2489" s="60"/>
      <c r="KIN2489" s="60"/>
      <c r="KIO2489" s="58"/>
      <c r="KIP2489" s="61"/>
      <c r="KIQ2489" s="58"/>
      <c r="KIR2489" s="58"/>
      <c r="KIS2489" s="58"/>
      <c r="KIT2489" s="60"/>
      <c r="KIU2489" s="60"/>
      <c r="KIV2489" s="60"/>
      <c r="KIW2489" s="58"/>
      <c r="KIX2489" s="61"/>
      <c r="KIY2489" s="58"/>
      <c r="KIZ2489" s="58"/>
      <c r="KJA2489" s="58"/>
      <c r="KJB2489" s="60"/>
      <c r="KJC2489" s="60"/>
      <c r="KJD2489" s="60"/>
      <c r="KJE2489" s="58"/>
      <c r="KJF2489" s="61"/>
      <c r="KJG2489" s="58"/>
      <c r="KJH2489" s="58"/>
      <c r="KJI2489" s="58"/>
      <c r="KJJ2489" s="60"/>
      <c r="KJK2489" s="60"/>
      <c r="KJL2489" s="60"/>
      <c r="KJM2489" s="58"/>
      <c r="KJN2489" s="61"/>
      <c r="KJO2489" s="58"/>
      <c r="KJP2489" s="58"/>
      <c r="KJQ2489" s="58"/>
      <c r="KJR2489" s="60"/>
      <c r="KJS2489" s="60"/>
      <c r="KJT2489" s="60"/>
      <c r="KJU2489" s="58"/>
      <c r="KJV2489" s="61"/>
      <c r="KJW2489" s="58"/>
      <c r="KJX2489" s="58"/>
      <c r="KJY2489" s="58"/>
      <c r="KJZ2489" s="60"/>
      <c r="KKA2489" s="60"/>
      <c r="KKB2489" s="60"/>
      <c r="KKC2489" s="58"/>
      <c r="KKD2489" s="61"/>
      <c r="KKE2489" s="58"/>
      <c r="KKF2489" s="58"/>
      <c r="KKG2489" s="58"/>
      <c r="KKH2489" s="60"/>
      <c r="KKI2489" s="60"/>
      <c r="KKJ2489" s="60"/>
      <c r="KKK2489" s="58"/>
      <c r="KKL2489" s="61"/>
      <c r="KKM2489" s="58"/>
      <c r="KKN2489" s="58"/>
      <c r="KKO2489" s="58"/>
      <c r="KKP2489" s="60"/>
      <c r="KKQ2489" s="60"/>
      <c r="KKR2489" s="60"/>
      <c r="KKS2489" s="58"/>
      <c r="KKT2489" s="61"/>
      <c r="KKU2489" s="58"/>
      <c r="KKV2489" s="58"/>
      <c r="KKW2489" s="58"/>
      <c r="KKX2489" s="60"/>
      <c r="KKY2489" s="60"/>
      <c r="KKZ2489" s="60"/>
      <c r="KLA2489" s="58"/>
      <c r="KLB2489" s="61"/>
      <c r="KLC2489" s="58"/>
      <c r="KLD2489" s="58"/>
      <c r="KLE2489" s="58"/>
      <c r="KLF2489" s="60"/>
      <c r="KLG2489" s="60"/>
      <c r="KLH2489" s="60"/>
      <c r="KLI2489" s="58"/>
      <c r="KLJ2489" s="61"/>
      <c r="KLK2489" s="58"/>
      <c r="KLL2489" s="58"/>
      <c r="KLM2489" s="58"/>
      <c r="KLN2489" s="60"/>
      <c r="KLO2489" s="60"/>
      <c r="KLP2489" s="60"/>
      <c r="KLQ2489" s="58"/>
      <c r="KLR2489" s="61"/>
      <c r="KLS2489" s="58"/>
      <c r="KLT2489" s="58"/>
      <c r="KLU2489" s="58"/>
      <c r="KLV2489" s="60"/>
      <c r="KLW2489" s="60"/>
      <c r="KLX2489" s="60"/>
      <c r="KLY2489" s="58"/>
      <c r="KLZ2489" s="61"/>
      <c r="KMA2489" s="58"/>
      <c r="KMB2489" s="58"/>
      <c r="KMC2489" s="58"/>
      <c r="KMD2489" s="60"/>
      <c r="KME2489" s="60"/>
      <c r="KMF2489" s="60"/>
      <c r="KMG2489" s="58"/>
      <c r="KMH2489" s="61"/>
      <c r="KMI2489" s="58"/>
      <c r="KMJ2489" s="58"/>
      <c r="KMK2489" s="58"/>
      <c r="KML2489" s="60"/>
      <c r="KMM2489" s="60"/>
      <c r="KMN2489" s="60"/>
      <c r="KMO2489" s="58"/>
      <c r="KMP2489" s="61"/>
      <c r="KMQ2489" s="58"/>
      <c r="KMR2489" s="58"/>
      <c r="KMS2489" s="58"/>
      <c r="KMT2489" s="60"/>
      <c r="KMU2489" s="60"/>
      <c r="KMV2489" s="60"/>
      <c r="KMW2489" s="58"/>
      <c r="KMX2489" s="61"/>
      <c r="KMY2489" s="58"/>
      <c r="KMZ2489" s="58"/>
      <c r="KNA2489" s="58"/>
      <c r="KNB2489" s="60"/>
      <c r="KNC2489" s="60"/>
      <c r="KND2489" s="60"/>
      <c r="KNE2489" s="58"/>
      <c r="KNF2489" s="61"/>
      <c r="KNG2489" s="58"/>
      <c r="KNH2489" s="58"/>
      <c r="KNI2489" s="58"/>
      <c r="KNJ2489" s="60"/>
      <c r="KNK2489" s="60"/>
      <c r="KNL2489" s="60"/>
      <c r="KNM2489" s="58"/>
      <c r="KNN2489" s="61"/>
      <c r="KNO2489" s="58"/>
      <c r="KNP2489" s="58"/>
      <c r="KNQ2489" s="58"/>
      <c r="KNR2489" s="60"/>
      <c r="KNS2489" s="60"/>
      <c r="KNT2489" s="60"/>
      <c r="KNU2489" s="58"/>
      <c r="KNV2489" s="61"/>
      <c r="KNW2489" s="58"/>
      <c r="KNX2489" s="58"/>
      <c r="KNY2489" s="58"/>
      <c r="KNZ2489" s="60"/>
      <c r="KOA2489" s="60"/>
      <c r="KOB2489" s="60"/>
      <c r="KOC2489" s="58"/>
      <c r="KOD2489" s="61"/>
      <c r="KOE2489" s="58"/>
      <c r="KOF2489" s="58"/>
      <c r="KOG2489" s="58"/>
      <c r="KOH2489" s="60"/>
      <c r="KOI2489" s="60"/>
      <c r="KOJ2489" s="60"/>
      <c r="KOK2489" s="58"/>
      <c r="KOL2489" s="61"/>
      <c r="KOM2489" s="58"/>
      <c r="KON2489" s="58"/>
      <c r="KOO2489" s="58"/>
      <c r="KOP2489" s="60"/>
      <c r="KOQ2489" s="60"/>
      <c r="KOR2489" s="60"/>
      <c r="KOS2489" s="58"/>
      <c r="KOT2489" s="61"/>
      <c r="KOU2489" s="58"/>
      <c r="KOV2489" s="58"/>
      <c r="KOW2489" s="58"/>
      <c r="KOX2489" s="60"/>
      <c r="KOY2489" s="60"/>
      <c r="KOZ2489" s="60"/>
      <c r="KPA2489" s="58"/>
      <c r="KPB2489" s="61"/>
      <c r="KPC2489" s="58"/>
      <c r="KPD2489" s="58"/>
      <c r="KPE2489" s="58"/>
      <c r="KPF2489" s="60"/>
      <c r="KPG2489" s="60"/>
      <c r="KPH2489" s="60"/>
      <c r="KPI2489" s="58"/>
      <c r="KPJ2489" s="61"/>
      <c r="KPK2489" s="58"/>
      <c r="KPL2489" s="58"/>
      <c r="KPM2489" s="58"/>
      <c r="KPN2489" s="60"/>
      <c r="KPO2489" s="60"/>
      <c r="KPP2489" s="60"/>
      <c r="KPQ2489" s="58"/>
      <c r="KPR2489" s="61"/>
      <c r="KPS2489" s="58"/>
      <c r="KPT2489" s="58"/>
      <c r="KPU2489" s="58"/>
      <c r="KPV2489" s="60"/>
      <c r="KPW2489" s="60"/>
      <c r="KPX2489" s="60"/>
      <c r="KPY2489" s="58"/>
      <c r="KPZ2489" s="61"/>
      <c r="KQA2489" s="58"/>
      <c r="KQB2489" s="58"/>
      <c r="KQC2489" s="58"/>
      <c r="KQD2489" s="60"/>
      <c r="KQE2489" s="60"/>
      <c r="KQF2489" s="60"/>
      <c r="KQG2489" s="58"/>
      <c r="KQH2489" s="61"/>
      <c r="KQI2489" s="58"/>
      <c r="KQJ2489" s="58"/>
      <c r="KQK2489" s="58"/>
      <c r="KQL2489" s="60"/>
      <c r="KQM2489" s="60"/>
      <c r="KQN2489" s="60"/>
      <c r="KQO2489" s="58"/>
      <c r="KQP2489" s="61"/>
      <c r="KQQ2489" s="58"/>
      <c r="KQR2489" s="58"/>
      <c r="KQS2489" s="58"/>
      <c r="KQT2489" s="60"/>
      <c r="KQU2489" s="60"/>
      <c r="KQV2489" s="60"/>
      <c r="KQW2489" s="58"/>
      <c r="KQX2489" s="61"/>
      <c r="KQY2489" s="58"/>
      <c r="KQZ2489" s="58"/>
      <c r="KRA2489" s="58"/>
      <c r="KRB2489" s="60"/>
      <c r="KRC2489" s="60"/>
      <c r="KRD2489" s="60"/>
      <c r="KRE2489" s="58"/>
      <c r="KRF2489" s="61"/>
      <c r="KRG2489" s="58"/>
      <c r="KRH2489" s="58"/>
      <c r="KRI2489" s="58"/>
      <c r="KRJ2489" s="60"/>
      <c r="KRK2489" s="60"/>
      <c r="KRL2489" s="60"/>
      <c r="KRM2489" s="58"/>
      <c r="KRN2489" s="61"/>
      <c r="KRO2489" s="58"/>
      <c r="KRP2489" s="58"/>
      <c r="KRQ2489" s="58"/>
      <c r="KRR2489" s="60"/>
      <c r="KRS2489" s="60"/>
      <c r="KRT2489" s="60"/>
      <c r="KRU2489" s="58"/>
      <c r="KRV2489" s="61"/>
      <c r="KRW2489" s="58"/>
      <c r="KRX2489" s="58"/>
      <c r="KRY2489" s="58"/>
      <c r="KRZ2489" s="60"/>
      <c r="KSA2489" s="60"/>
      <c r="KSB2489" s="60"/>
      <c r="KSC2489" s="58"/>
      <c r="KSD2489" s="61"/>
      <c r="KSE2489" s="58"/>
      <c r="KSF2489" s="58"/>
      <c r="KSG2489" s="58"/>
      <c r="KSH2489" s="60"/>
      <c r="KSI2489" s="60"/>
      <c r="KSJ2489" s="60"/>
      <c r="KSK2489" s="58"/>
      <c r="KSL2489" s="61"/>
      <c r="KSM2489" s="58"/>
      <c r="KSN2489" s="58"/>
      <c r="KSO2489" s="58"/>
      <c r="KSP2489" s="60"/>
      <c r="KSQ2489" s="60"/>
      <c r="KSR2489" s="60"/>
      <c r="KSS2489" s="58"/>
      <c r="KST2489" s="61"/>
      <c r="KSU2489" s="58"/>
      <c r="KSV2489" s="58"/>
      <c r="KSW2489" s="58"/>
      <c r="KSX2489" s="60"/>
      <c r="KSY2489" s="60"/>
      <c r="KSZ2489" s="60"/>
      <c r="KTA2489" s="58"/>
      <c r="KTB2489" s="61"/>
      <c r="KTC2489" s="58"/>
      <c r="KTD2489" s="58"/>
      <c r="KTE2489" s="58"/>
      <c r="KTF2489" s="60"/>
      <c r="KTG2489" s="60"/>
      <c r="KTH2489" s="60"/>
      <c r="KTI2489" s="58"/>
      <c r="KTJ2489" s="61"/>
      <c r="KTK2489" s="58"/>
      <c r="KTL2489" s="58"/>
      <c r="KTM2489" s="58"/>
      <c r="KTN2489" s="60"/>
      <c r="KTO2489" s="60"/>
      <c r="KTP2489" s="60"/>
      <c r="KTQ2489" s="58"/>
      <c r="KTR2489" s="61"/>
      <c r="KTS2489" s="58"/>
      <c r="KTT2489" s="58"/>
      <c r="KTU2489" s="58"/>
      <c r="KTV2489" s="60"/>
      <c r="KTW2489" s="60"/>
      <c r="KTX2489" s="60"/>
      <c r="KTY2489" s="58"/>
      <c r="KTZ2489" s="61"/>
      <c r="KUA2489" s="58"/>
      <c r="KUB2489" s="58"/>
      <c r="KUC2489" s="58"/>
      <c r="KUD2489" s="60"/>
      <c r="KUE2489" s="60"/>
      <c r="KUF2489" s="60"/>
      <c r="KUG2489" s="58"/>
      <c r="KUH2489" s="61"/>
      <c r="KUI2489" s="58"/>
      <c r="KUJ2489" s="58"/>
      <c r="KUK2489" s="58"/>
      <c r="KUL2489" s="60"/>
      <c r="KUM2489" s="60"/>
      <c r="KUN2489" s="60"/>
      <c r="KUO2489" s="58"/>
      <c r="KUP2489" s="61"/>
      <c r="KUQ2489" s="58"/>
      <c r="KUR2489" s="58"/>
      <c r="KUS2489" s="58"/>
      <c r="KUT2489" s="60"/>
      <c r="KUU2489" s="60"/>
      <c r="KUV2489" s="60"/>
      <c r="KUW2489" s="58"/>
      <c r="KUX2489" s="61"/>
      <c r="KUY2489" s="58"/>
      <c r="KUZ2489" s="58"/>
      <c r="KVA2489" s="58"/>
      <c r="KVB2489" s="60"/>
      <c r="KVC2489" s="60"/>
      <c r="KVD2489" s="60"/>
      <c r="KVE2489" s="58"/>
      <c r="KVF2489" s="61"/>
      <c r="KVG2489" s="58"/>
      <c r="KVH2489" s="58"/>
      <c r="KVI2489" s="58"/>
      <c r="KVJ2489" s="60"/>
      <c r="KVK2489" s="60"/>
      <c r="KVL2489" s="60"/>
      <c r="KVM2489" s="58"/>
      <c r="KVN2489" s="61"/>
      <c r="KVO2489" s="58"/>
      <c r="KVP2489" s="58"/>
      <c r="KVQ2489" s="58"/>
      <c r="KVR2489" s="60"/>
      <c r="KVS2489" s="60"/>
      <c r="KVT2489" s="60"/>
      <c r="KVU2489" s="58"/>
      <c r="KVV2489" s="61"/>
      <c r="KVW2489" s="58"/>
      <c r="KVX2489" s="58"/>
      <c r="KVY2489" s="58"/>
      <c r="KVZ2489" s="60"/>
      <c r="KWA2489" s="60"/>
      <c r="KWB2489" s="60"/>
      <c r="KWC2489" s="58"/>
      <c r="KWD2489" s="61"/>
      <c r="KWE2489" s="58"/>
      <c r="KWF2489" s="58"/>
      <c r="KWG2489" s="58"/>
      <c r="KWH2489" s="60"/>
      <c r="KWI2489" s="60"/>
      <c r="KWJ2489" s="60"/>
      <c r="KWK2489" s="58"/>
      <c r="KWL2489" s="61"/>
      <c r="KWM2489" s="58"/>
      <c r="KWN2489" s="58"/>
      <c r="KWO2489" s="58"/>
      <c r="KWP2489" s="60"/>
      <c r="KWQ2489" s="60"/>
      <c r="KWR2489" s="60"/>
      <c r="KWS2489" s="58"/>
      <c r="KWT2489" s="61"/>
      <c r="KWU2489" s="58"/>
      <c r="KWV2489" s="58"/>
      <c r="KWW2489" s="58"/>
      <c r="KWX2489" s="60"/>
      <c r="KWY2489" s="60"/>
      <c r="KWZ2489" s="60"/>
      <c r="KXA2489" s="58"/>
      <c r="KXB2489" s="61"/>
      <c r="KXC2489" s="58"/>
      <c r="KXD2489" s="58"/>
      <c r="KXE2489" s="58"/>
      <c r="KXF2489" s="60"/>
      <c r="KXG2489" s="60"/>
      <c r="KXH2489" s="60"/>
      <c r="KXI2489" s="58"/>
      <c r="KXJ2489" s="61"/>
      <c r="KXK2489" s="58"/>
      <c r="KXL2489" s="58"/>
      <c r="KXM2489" s="58"/>
      <c r="KXN2489" s="60"/>
      <c r="KXO2489" s="60"/>
      <c r="KXP2489" s="60"/>
      <c r="KXQ2489" s="58"/>
      <c r="KXR2489" s="61"/>
      <c r="KXS2489" s="58"/>
      <c r="KXT2489" s="58"/>
      <c r="KXU2489" s="58"/>
      <c r="KXV2489" s="60"/>
      <c r="KXW2489" s="60"/>
      <c r="KXX2489" s="60"/>
      <c r="KXY2489" s="58"/>
      <c r="KXZ2489" s="61"/>
      <c r="KYA2489" s="58"/>
      <c r="KYB2489" s="58"/>
      <c r="KYC2489" s="58"/>
      <c r="KYD2489" s="60"/>
      <c r="KYE2489" s="60"/>
      <c r="KYF2489" s="60"/>
      <c r="KYG2489" s="58"/>
      <c r="KYH2489" s="61"/>
      <c r="KYI2489" s="58"/>
      <c r="KYJ2489" s="58"/>
      <c r="KYK2489" s="58"/>
      <c r="KYL2489" s="60"/>
      <c r="KYM2489" s="60"/>
      <c r="KYN2489" s="60"/>
      <c r="KYO2489" s="58"/>
      <c r="KYP2489" s="61"/>
      <c r="KYQ2489" s="58"/>
      <c r="KYR2489" s="58"/>
      <c r="KYS2489" s="58"/>
      <c r="KYT2489" s="60"/>
      <c r="KYU2489" s="60"/>
      <c r="KYV2489" s="60"/>
      <c r="KYW2489" s="58"/>
      <c r="KYX2489" s="61"/>
      <c r="KYY2489" s="58"/>
      <c r="KYZ2489" s="58"/>
      <c r="KZA2489" s="58"/>
      <c r="KZB2489" s="60"/>
      <c r="KZC2489" s="60"/>
      <c r="KZD2489" s="60"/>
      <c r="KZE2489" s="58"/>
      <c r="KZF2489" s="61"/>
      <c r="KZG2489" s="58"/>
      <c r="KZH2489" s="58"/>
      <c r="KZI2489" s="58"/>
      <c r="KZJ2489" s="60"/>
      <c r="KZK2489" s="60"/>
      <c r="KZL2489" s="60"/>
      <c r="KZM2489" s="58"/>
      <c r="KZN2489" s="61"/>
      <c r="KZO2489" s="58"/>
      <c r="KZP2489" s="58"/>
      <c r="KZQ2489" s="58"/>
      <c r="KZR2489" s="60"/>
      <c r="KZS2489" s="60"/>
      <c r="KZT2489" s="60"/>
      <c r="KZU2489" s="58"/>
      <c r="KZV2489" s="61"/>
      <c r="KZW2489" s="58"/>
      <c r="KZX2489" s="58"/>
      <c r="KZY2489" s="58"/>
      <c r="KZZ2489" s="60"/>
      <c r="LAA2489" s="60"/>
      <c r="LAB2489" s="60"/>
      <c r="LAC2489" s="58"/>
      <c r="LAD2489" s="61"/>
      <c r="LAE2489" s="58"/>
      <c r="LAF2489" s="58"/>
      <c r="LAG2489" s="58"/>
      <c r="LAH2489" s="60"/>
      <c r="LAI2489" s="60"/>
      <c r="LAJ2489" s="60"/>
      <c r="LAK2489" s="58"/>
      <c r="LAL2489" s="61"/>
      <c r="LAM2489" s="58"/>
      <c r="LAN2489" s="58"/>
      <c r="LAO2489" s="58"/>
      <c r="LAP2489" s="60"/>
      <c r="LAQ2489" s="60"/>
      <c r="LAR2489" s="60"/>
      <c r="LAS2489" s="58"/>
      <c r="LAT2489" s="61"/>
      <c r="LAU2489" s="58"/>
      <c r="LAV2489" s="58"/>
      <c r="LAW2489" s="58"/>
      <c r="LAX2489" s="60"/>
      <c r="LAY2489" s="60"/>
      <c r="LAZ2489" s="60"/>
      <c r="LBA2489" s="58"/>
      <c r="LBB2489" s="61"/>
      <c r="LBC2489" s="58"/>
      <c r="LBD2489" s="58"/>
      <c r="LBE2489" s="58"/>
      <c r="LBF2489" s="60"/>
      <c r="LBG2489" s="60"/>
      <c r="LBH2489" s="60"/>
      <c r="LBI2489" s="58"/>
      <c r="LBJ2489" s="61"/>
      <c r="LBK2489" s="58"/>
      <c r="LBL2489" s="58"/>
      <c r="LBM2489" s="58"/>
      <c r="LBN2489" s="60"/>
      <c r="LBO2489" s="60"/>
      <c r="LBP2489" s="60"/>
      <c r="LBQ2489" s="58"/>
      <c r="LBR2489" s="61"/>
      <c r="LBS2489" s="58"/>
      <c r="LBT2489" s="58"/>
      <c r="LBU2489" s="58"/>
      <c r="LBV2489" s="60"/>
      <c r="LBW2489" s="60"/>
      <c r="LBX2489" s="60"/>
      <c r="LBY2489" s="58"/>
      <c r="LBZ2489" s="61"/>
      <c r="LCA2489" s="58"/>
      <c r="LCB2489" s="58"/>
      <c r="LCC2489" s="58"/>
      <c r="LCD2489" s="60"/>
      <c r="LCE2489" s="60"/>
      <c r="LCF2489" s="60"/>
      <c r="LCG2489" s="58"/>
      <c r="LCH2489" s="61"/>
      <c r="LCI2489" s="58"/>
      <c r="LCJ2489" s="58"/>
      <c r="LCK2489" s="58"/>
      <c r="LCL2489" s="60"/>
      <c r="LCM2489" s="60"/>
      <c r="LCN2489" s="60"/>
      <c r="LCO2489" s="58"/>
      <c r="LCP2489" s="61"/>
      <c r="LCQ2489" s="58"/>
      <c r="LCR2489" s="58"/>
      <c r="LCS2489" s="58"/>
      <c r="LCT2489" s="60"/>
      <c r="LCU2489" s="60"/>
      <c r="LCV2489" s="60"/>
      <c r="LCW2489" s="58"/>
      <c r="LCX2489" s="61"/>
      <c r="LCY2489" s="58"/>
      <c r="LCZ2489" s="58"/>
      <c r="LDA2489" s="58"/>
      <c r="LDB2489" s="60"/>
      <c r="LDC2489" s="60"/>
      <c r="LDD2489" s="60"/>
      <c r="LDE2489" s="58"/>
      <c r="LDF2489" s="61"/>
      <c r="LDG2489" s="58"/>
      <c r="LDH2489" s="58"/>
      <c r="LDI2489" s="58"/>
      <c r="LDJ2489" s="60"/>
      <c r="LDK2489" s="60"/>
      <c r="LDL2489" s="60"/>
      <c r="LDM2489" s="58"/>
      <c r="LDN2489" s="61"/>
      <c r="LDO2489" s="58"/>
      <c r="LDP2489" s="58"/>
      <c r="LDQ2489" s="58"/>
      <c r="LDR2489" s="60"/>
      <c r="LDS2489" s="60"/>
      <c r="LDT2489" s="60"/>
      <c r="LDU2489" s="58"/>
      <c r="LDV2489" s="61"/>
      <c r="LDW2489" s="58"/>
      <c r="LDX2489" s="58"/>
      <c r="LDY2489" s="58"/>
      <c r="LDZ2489" s="60"/>
      <c r="LEA2489" s="60"/>
      <c r="LEB2489" s="60"/>
      <c r="LEC2489" s="58"/>
      <c r="LED2489" s="61"/>
      <c r="LEE2489" s="58"/>
      <c r="LEF2489" s="58"/>
      <c r="LEG2489" s="58"/>
      <c r="LEH2489" s="60"/>
      <c r="LEI2489" s="60"/>
      <c r="LEJ2489" s="60"/>
      <c r="LEK2489" s="58"/>
      <c r="LEL2489" s="61"/>
      <c r="LEM2489" s="58"/>
      <c r="LEN2489" s="58"/>
      <c r="LEO2489" s="58"/>
      <c r="LEP2489" s="60"/>
      <c r="LEQ2489" s="60"/>
      <c r="LER2489" s="60"/>
      <c r="LES2489" s="58"/>
      <c r="LET2489" s="61"/>
      <c r="LEU2489" s="58"/>
      <c r="LEV2489" s="58"/>
      <c r="LEW2489" s="58"/>
      <c r="LEX2489" s="60"/>
      <c r="LEY2489" s="60"/>
      <c r="LEZ2489" s="60"/>
      <c r="LFA2489" s="58"/>
      <c r="LFB2489" s="61"/>
      <c r="LFC2489" s="58"/>
      <c r="LFD2489" s="58"/>
      <c r="LFE2489" s="58"/>
      <c r="LFF2489" s="60"/>
      <c r="LFG2489" s="60"/>
      <c r="LFH2489" s="60"/>
      <c r="LFI2489" s="58"/>
      <c r="LFJ2489" s="61"/>
      <c r="LFK2489" s="58"/>
      <c r="LFL2489" s="58"/>
      <c r="LFM2489" s="58"/>
      <c r="LFN2489" s="60"/>
      <c r="LFO2489" s="60"/>
      <c r="LFP2489" s="60"/>
      <c r="LFQ2489" s="58"/>
      <c r="LFR2489" s="61"/>
      <c r="LFS2489" s="58"/>
      <c r="LFT2489" s="58"/>
      <c r="LFU2489" s="58"/>
      <c r="LFV2489" s="60"/>
      <c r="LFW2489" s="60"/>
      <c r="LFX2489" s="60"/>
      <c r="LFY2489" s="58"/>
      <c r="LFZ2489" s="61"/>
      <c r="LGA2489" s="58"/>
      <c r="LGB2489" s="58"/>
      <c r="LGC2489" s="58"/>
      <c r="LGD2489" s="60"/>
      <c r="LGE2489" s="60"/>
      <c r="LGF2489" s="60"/>
      <c r="LGG2489" s="58"/>
      <c r="LGH2489" s="61"/>
      <c r="LGI2489" s="58"/>
      <c r="LGJ2489" s="58"/>
      <c r="LGK2489" s="58"/>
      <c r="LGL2489" s="60"/>
      <c r="LGM2489" s="60"/>
      <c r="LGN2489" s="60"/>
      <c r="LGO2489" s="58"/>
      <c r="LGP2489" s="61"/>
      <c r="LGQ2489" s="58"/>
      <c r="LGR2489" s="58"/>
      <c r="LGS2489" s="58"/>
      <c r="LGT2489" s="60"/>
      <c r="LGU2489" s="60"/>
      <c r="LGV2489" s="60"/>
      <c r="LGW2489" s="58"/>
      <c r="LGX2489" s="61"/>
      <c r="LGY2489" s="58"/>
      <c r="LGZ2489" s="58"/>
      <c r="LHA2489" s="58"/>
      <c r="LHB2489" s="60"/>
      <c r="LHC2489" s="60"/>
      <c r="LHD2489" s="60"/>
      <c r="LHE2489" s="58"/>
      <c r="LHF2489" s="61"/>
      <c r="LHG2489" s="58"/>
      <c r="LHH2489" s="58"/>
      <c r="LHI2489" s="58"/>
      <c r="LHJ2489" s="60"/>
      <c r="LHK2489" s="60"/>
      <c r="LHL2489" s="60"/>
      <c r="LHM2489" s="58"/>
      <c r="LHN2489" s="61"/>
      <c r="LHO2489" s="58"/>
      <c r="LHP2489" s="58"/>
      <c r="LHQ2489" s="58"/>
      <c r="LHR2489" s="60"/>
      <c r="LHS2489" s="60"/>
      <c r="LHT2489" s="60"/>
      <c r="LHU2489" s="58"/>
      <c r="LHV2489" s="61"/>
      <c r="LHW2489" s="58"/>
      <c r="LHX2489" s="58"/>
      <c r="LHY2489" s="58"/>
      <c r="LHZ2489" s="60"/>
      <c r="LIA2489" s="60"/>
      <c r="LIB2489" s="60"/>
      <c r="LIC2489" s="58"/>
      <c r="LID2489" s="61"/>
      <c r="LIE2489" s="58"/>
      <c r="LIF2489" s="58"/>
      <c r="LIG2489" s="58"/>
      <c r="LIH2489" s="60"/>
      <c r="LII2489" s="60"/>
      <c r="LIJ2489" s="60"/>
      <c r="LIK2489" s="58"/>
      <c r="LIL2489" s="61"/>
      <c r="LIM2489" s="58"/>
      <c r="LIN2489" s="58"/>
      <c r="LIO2489" s="58"/>
      <c r="LIP2489" s="60"/>
      <c r="LIQ2489" s="60"/>
      <c r="LIR2489" s="60"/>
      <c r="LIS2489" s="58"/>
      <c r="LIT2489" s="61"/>
      <c r="LIU2489" s="58"/>
      <c r="LIV2489" s="58"/>
      <c r="LIW2489" s="58"/>
      <c r="LIX2489" s="60"/>
      <c r="LIY2489" s="60"/>
      <c r="LIZ2489" s="60"/>
      <c r="LJA2489" s="58"/>
      <c r="LJB2489" s="61"/>
      <c r="LJC2489" s="58"/>
      <c r="LJD2489" s="58"/>
      <c r="LJE2489" s="58"/>
      <c r="LJF2489" s="60"/>
      <c r="LJG2489" s="60"/>
      <c r="LJH2489" s="60"/>
      <c r="LJI2489" s="58"/>
      <c r="LJJ2489" s="61"/>
      <c r="LJK2489" s="58"/>
      <c r="LJL2489" s="58"/>
      <c r="LJM2489" s="58"/>
      <c r="LJN2489" s="60"/>
      <c r="LJO2489" s="60"/>
      <c r="LJP2489" s="60"/>
      <c r="LJQ2489" s="58"/>
      <c r="LJR2489" s="61"/>
      <c r="LJS2489" s="58"/>
      <c r="LJT2489" s="58"/>
      <c r="LJU2489" s="58"/>
      <c r="LJV2489" s="60"/>
      <c r="LJW2489" s="60"/>
      <c r="LJX2489" s="60"/>
      <c r="LJY2489" s="58"/>
      <c r="LJZ2489" s="61"/>
      <c r="LKA2489" s="58"/>
      <c r="LKB2489" s="58"/>
      <c r="LKC2489" s="58"/>
      <c r="LKD2489" s="60"/>
      <c r="LKE2489" s="60"/>
      <c r="LKF2489" s="60"/>
      <c r="LKG2489" s="58"/>
      <c r="LKH2489" s="61"/>
      <c r="LKI2489" s="58"/>
      <c r="LKJ2489" s="58"/>
      <c r="LKK2489" s="58"/>
      <c r="LKL2489" s="60"/>
      <c r="LKM2489" s="60"/>
      <c r="LKN2489" s="60"/>
      <c r="LKO2489" s="58"/>
      <c r="LKP2489" s="61"/>
      <c r="LKQ2489" s="58"/>
      <c r="LKR2489" s="58"/>
      <c r="LKS2489" s="58"/>
      <c r="LKT2489" s="60"/>
      <c r="LKU2489" s="60"/>
      <c r="LKV2489" s="60"/>
      <c r="LKW2489" s="58"/>
      <c r="LKX2489" s="61"/>
      <c r="LKY2489" s="58"/>
      <c r="LKZ2489" s="58"/>
      <c r="LLA2489" s="58"/>
      <c r="LLB2489" s="60"/>
      <c r="LLC2489" s="60"/>
      <c r="LLD2489" s="60"/>
      <c r="LLE2489" s="58"/>
      <c r="LLF2489" s="61"/>
      <c r="LLG2489" s="58"/>
      <c r="LLH2489" s="58"/>
      <c r="LLI2489" s="58"/>
      <c r="LLJ2489" s="60"/>
      <c r="LLK2489" s="60"/>
      <c r="LLL2489" s="60"/>
      <c r="LLM2489" s="58"/>
      <c r="LLN2489" s="61"/>
      <c r="LLO2489" s="58"/>
      <c r="LLP2489" s="58"/>
      <c r="LLQ2489" s="58"/>
      <c r="LLR2489" s="60"/>
      <c r="LLS2489" s="60"/>
      <c r="LLT2489" s="60"/>
      <c r="LLU2489" s="58"/>
      <c r="LLV2489" s="61"/>
      <c r="LLW2489" s="58"/>
      <c r="LLX2489" s="58"/>
      <c r="LLY2489" s="58"/>
      <c r="LLZ2489" s="60"/>
      <c r="LMA2489" s="60"/>
      <c r="LMB2489" s="60"/>
      <c r="LMC2489" s="58"/>
      <c r="LMD2489" s="61"/>
      <c r="LME2489" s="58"/>
      <c r="LMF2489" s="58"/>
      <c r="LMG2489" s="58"/>
      <c r="LMH2489" s="60"/>
      <c r="LMI2489" s="60"/>
      <c r="LMJ2489" s="60"/>
      <c r="LMK2489" s="58"/>
      <c r="LML2489" s="61"/>
      <c r="LMM2489" s="58"/>
      <c r="LMN2489" s="58"/>
      <c r="LMO2489" s="58"/>
      <c r="LMP2489" s="60"/>
      <c r="LMQ2489" s="60"/>
      <c r="LMR2489" s="60"/>
      <c r="LMS2489" s="58"/>
      <c r="LMT2489" s="61"/>
      <c r="LMU2489" s="58"/>
      <c r="LMV2489" s="58"/>
      <c r="LMW2489" s="58"/>
      <c r="LMX2489" s="60"/>
      <c r="LMY2489" s="60"/>
      <c r="LMZ2489" s="60"/>
      <c r="LNA2489" s="58"/>
      <c r="LNB2489" s="61"/>
      <c r="LNC2489" s="58"/>
      <c r="LND2489" s="58"/>
      <c r="LNE2489" s="58"/>
      <c r="LNF2489" s="60"/>
      <c r="LNG2489" s="60"/>
      <c r="LNH2489" s="60"/>
      <c r="LNI2489" s="58"/>
      <c r="LNJ2489" s="61"/>
      <c r="LNK2489" s="58"/>
      <c r="LNL2489" s="58"/>
      <c r="LNM2489" s="58"/>
      <c r="LNN2489" s="60"/>
      <c r="LNO2489" s="60"/>
      <c r="LNP2489" s="60"/>
      <c r="LNQ2489" s="58"/>
      <c r="LNR2489" s="61"/>
      <c r="LNS2489" s="58"/>
      <c r="LNT2489" s="58"/>
      <c r="LNU2489" s="58"/>
      <c r="LNV2489" s="60"/>
      <c r="LNW2489" s="60"/>
      <c r="LNX2489" s="60"/>
      <c r="LNY2489" s="58"/>
      <c r="LNZ2489" s="61"/>
      <c r="LOA2489" s="58"/>
      <c r="LOB2489" s="58"/>
      <c r="LOC2489" s="58"/>
      <c r="LOD2489" s="60"/>
      <c r="LOE2489" s="60"/>
      <c r="LOF2489" s="60"/>
      <c r="LOG2489" s="58"/>
      <c r="LOH2489" s="61"/>
      <c r="LOI2489" s="58"/>
      <c r="LOJ2489" s="58"/>
      <c r="LOK2489" s="58"/>
      <c r="LOL2489" s="60"/>
      <c r="LOM2489" s="60"/>
      <c r="LON2489" s="60"/>
      <c r="LOO2489" s="58"/>
      <c r="LOP2489" s="61"/>
      <c r="LOQ2489" s="58"/>
      <c r="LOR2489" s="58"/>
      <c r="LOS2489" s="58"/>
      <c r="LOT2489" s="60"/>
      <c r="LOU2489" s="60"/>
      <c r="LOV2489" s="60"/>
      <c r="LOW2489" s="58"/>
      <c r="LOX2489" s="61"/>
      <c r="LOY2489" s="58"/>
      <c r="LOZ2489" s="58"/>
      <c r="LPA2489" s="58"/>
      <c r="LPB2489" s="60"/>
      <c r="LPC2489" s="60"/>
      <c r="LPD2489" s="60"/>
      <c r="LPE2489" s="58"/>
      <c r="LPF2489" s="61"/>
      <c r="LPG2489" s="58"/>
      <c r="LPH2489" s="58"/>
      <c r="LPI2489" s="58"/>
      <c r="LPJ2489" s="60"/>
      <c r="LPK2489" s="60"/>
      <c r="LPL2489" s="60"/>
      <c r="LPM2489" s="58"/>
      <c r="LPN2489" s="61"/>
      <c r="LPO2489" s="58"/>
      <c r="LPP2489" s="58"/>
      <c r="LPQ2489" s="58"/>
      <c r="LPR2489" s="60"/>
      <c r="LPS2489" s="60"/>
      <c r="LPT2489" s="60"/>
      <c r="LPU2489" s="58"/>
      <c r="LPV2489" s="61"/>
      <c r="LPW2489" s="58"/>
      <c r="LPX2489" s="58"/>
      <c r="LPY2489" s="58"/>
      <c r="LPZ2489" s="60"/>
      <c r="LQA2489" s="60"/>
      <c r="LQB2489" s="60"/>
      <c r="LQC2489" s="58"/>
      <c r="LQD2489" s="61"/>
      <c r="LQE2489" s="58"/>
      <c r="LQF2489" s="58"/>
      <c r="LQG2489" s="58"/>
      <c r="LQH2489" s="60"/>
      <c r="LQI2489" s="60"/>
      <c r="LQJ2489" s="60"/>
      <c r="LQK2489" s="58"/>
      <c r="LQL2489" s="61"/>
      <c r="LQM2489" s="58"/>
      <c r="LQN2489" s="58"/>
      <c r="LQO2489" s="58"/>
      <c r="LQP2489" s="60"/>
      <c r="LQQ2489" s="60"/>
      <c r="LQR2489" s="60"/>
      <c r="LQS2489" s="58"/>
      <c r="LQT2489" s="61"/>
      <c r="LQU2489" s="58"/>
      <c r="LQV2489" s="58"/>
      <c r="LQW2489" s="58"/>
      <c r="LQX2489" s="60"/>
      <c r="LQY2489" s="60"/>
      <c r="LQZ2489" s="60"/>
      <c r="LRA2489" s="58"/>
      <c r="LRB2489" s="61"/>
      <c r="LRC2489" s="58"/>
      <c r="LRD2489" s="58"/>
      <c r="LRE2489" s="58"/>
      <c r="LRF2489" s="60"/>
      <c r="LRG2489" s="60"/>
      <c r="LRH2489" s="60"/>
      <c r="LRI2489" s="58"/>
      <c r="LRJ2489" s="61"/>
      <c r="LRK2489" s="58"/>
      <c r="LRL2489" s="58"/>
      <c r="LRM2489" s="58"/>
      <c r="LRN2489" s="60"/>
      <c r="LRO2489" s="60"/>
      <c r="LRP2489" s="60"/>
      <c r="LRQ2489" s="58"/>
      <c r="LRR2489" s="61"/>
      <c r="LRS2489" s="58"/>
      <c r="LRT2489" s="58"/>
      <c r="LRU2489" s="58"/>
      <c r="LRV2489" s="60"/>
      <c r="LRW2489" s="60"/>
      <c r="LRX2489" s="60"/>
      <c r="LRY2489" s="58"/>
      <c r="LRZ2489" s="61"/>
      <c r="LSA2489" s="58"/>
      <c r="LSB2489" s="58"/>
      <c r="LSC2489" s="58"/>
      <c r="LSD2489" s="60"/>
      <c r="LSE2489" s="60"/>
      <c r="LSF2489" s="60"/>
      <c r="LSG2489" s="58"/>
      <c r="LSH2489" s="61"/>
      <c r="LSI2489" s="58"/>
      <c r="LSJ2489" s="58"/>
      <c r="LSK2489" s="58"/>
      <c r="LSL2489" s="60"/>
      <c r="LSM2489" s="60"/>
      <c r="LSN2489" s="60"/>
      <c r="LSO2489" s="58"/>
      <c r="LSP2489" s="61"/>
      <c r="LSQ2489" s="58"/>
      <c r="LSR2489" s="58"/>
      <c r="LSS2489" s="58"/>
      <c r="LST2489" s="60"/>
      <c r="LSU2489" s="60"/>
      <c r="LSV2489" s="60"/>
      <c r="LSW2489" s="58"/>
      <c r="LSX2489" s="61"/>
      <c r="LSY2489" s="58"/>
      <c r="LSZ2489" s="58"/>
      <c r="LTA2489" s="58"/>
      <c r="LTB2489" s="60"/>
      <c r="LTC2489" s="60"/>
      <c r="LTD2489" s="60"/>
      <c r="LTE2489" s="58"/>
      <c r="LTF2489" s="61"/>
      <c r="LTG2489" s="58"/>
      <c r="LTH2489" s="58"/>
      <c r="LTI2489" s="58"/>
      <c r="LTJ2489" s="60"/>
      <c r="LTK2489" s="60"/>
      <c r="LTL2489" s="60"/>
      <c r="LTM2489" s="58"/>
      <c r="LTN2489" s="61"/>
      <c r="LTO2489" s="58"/>
      <c r="LTP2489" s="58"/>
      <c r="LTQ2489" s="58"/>
      <c r="LTR2489" s="60"/>
      <c r="LTS2489" s="60"/>
      <c r="LTT2489" s="60"/>
      <c r="LTU2489" s="58"/>
      <c r="LTV2489" s="61"/>
      <c r="LTW2489" s="58"/>
      <c r="LTX2489" s="58"/>
      <c r="LTY2489" s="58"/>
      <c r="LTZ2489" s="60"/>
      <c r="LUA2489" s="60"/>
      <c r="LUB2489" s="60"/>
      <c r="LUC2489" s="58"/>
      <c r="LUD2489" s="61"/>
      <c r="LUE2489" s="58"/>
      <c r="LUF2489" s="58"/>
      <c r="LUG2489" s="58"/>
      <c r="LUH2489" s="60"/>
      <c r="LUI2489" s="60"/>
      <c r="LUJ2489" s="60"/>
      <c r="LUK2489" s="58"/>
      <c r="LUL2489" s="61"/>
      <c r="LUM2489" s="58"/>
      <c r="LUN2489" s="58"/>
      <c r="LUO2489" s="58"/>
      <c r="LUP2489" s="60"/>
      <c r="LUQ2489" s="60"/>
      <c r="LUR2489" s="60"/>
      <c r="LUS2489" s="58"/>
      <c r="LUT2489" s="61"/>
      <c r="LUU2489" s="58"/>
      <c r="LUV2489" s="58"/>
      <c r="LUW2489" s="58"/>
      <c r="LUX2489" s="60"/>
      <c r="LUY2489" s="60"/>
      <c r="LUZ2489" s="60"/>
      <c r="LVA2489" s="58"/>
      <c r="LVB2489" s="61"/>
      <c r="LVC2489" s="58"/>
      <c r="LVD2489" s="58"/>
      <c r="LVE2489" s="58"/>
      <c r="LVF2489" s="60"/>
      <c r="LVG2489" s="60"/>
      <c r="LVH2489" s="60"/>
      <c r="LVI2489" s="58"/>
      <c r="LVJ2489" s="61"/>
      <c r="LVK2489" s="58"/>
      <c r="LVL2489" s="58"/>
      <c r="LVM2489" s="58"/>
      <c r="LVN2489" s="60"/>
      <c r="LVO2489" s="60"/>
      <c r="LVP2489" s="60"/>
      <c r="LVQ2489" s="58"/>
      <c r="LVR2489" s="61"/>
      <c r="LVS2489" s="58"/>
      <c r="LVT2489" s="58"/>
      <c r="LVU2489" s="58"/>
      <c r="LVV2489" s="60"/>
      <c r="LVW2489" s="60"/>
      <c r="LVX2489" s="60"/>
      <c r="LVY2489" s="58"/>
      <c r="LVZ2489" s="61"/>
      <c r="LWA2489" s="58"/>
      <c r="LWB2489" s="58"/>
      <c r="LWC2489" s="58"/>
      <c r="LWD2489" s="60"/>
      <c r="LWE2489" s="60"/>
      <c r="LWF2489" s="60"/>
      <c r="LWG2489" s="58"/>
      <c r="LWH2489" s="61"/>
      <c r="LWI2489" s="58"/>
      <c r="LWJ2489" s="58"/>
      <c r="LWK2489" s="58"/>
      <c r="LWL2489" s="60"/>
      <c r="LWM2489" s="60"/>
      <c r="LWN2489" s="60"/>
      <c r="LWO2489" s="58"/>
      <c r="LWP2489" s="61"/>
      <c r="LWQ2489" s="58"/>
      <c r="LWR2489" s="58"/>
      <c r="LWS2489" s="58"/>
      <c r="LWT2489" s="60"/>
      <c r="LWU2489" s="60"/>
      <c r="LWV2489" s="60"/>
      <c r="LWW2489" s="58"/>
      <c r="LWX2489" s="61"/>
      <c r="LWY2489" s="58"/>
      <c r="LWZ2489" s="58"/>
      <c r="LXA2489" s="58"/>
      <c r="LXB2489" s="60"/>
      <c r="LXC2489" s="60"/>
      <c r="LXD2489" s="60"/>
      <c r="LXE2489" s="58"/>
      <c r="LXF2489" s="61"/>
      <c r="LXG2489" s="58"/>
      <c r="LXH2489" s="58"/>
      <c r="LXI2489" s="58"/>
      <c r="LXJ2489" s="60"/>
      <c r="LXK2489" s="60"/>
      <c r="LXL2489" s="60"/>
      <c r="LXM2489" s="58"/>
      <c r="LXN2489" s="61"/>
      <c r="LXO2489" s="58"/>
      <c r="LXP2489" s="58"/>
      <c r="LXQ2489" s="58"/>
      <c r="LXR2489" s="60"/>
      <c r="LXS2489" s="60"/>
      <c r="LXT2489" s="60"/>
      <c r="LXU2489" s="58"/>
      <c r="LXV2489" s="61"/>
      <c r="LXW2489" s="58"/>
      <c r="LXX2489" s="58"/>
      <c r="LXY2489" s="58"/>
      <c r="LXZ2489" s="60"/>
      <c r="LYA2489" s="60"/>
      <c r="LYB2489" s="60"/>
      <c r="LYC2489" s="58"/>
      <c r="LYD2489" s="61"/>
      <c r="LYE2489" s="58"/>
      <c r="LYF2489" s="58"/>
      <c r="LYG2489" s="58"/>
      <c r="LYH2489" s="60"/>
      <c r="LYI2489" s="60"/>
      <c r="LYJ2489" s="60"/>
      <c r="LYK2489" s="58"/>
      <c r="LYL2489" s="61"/>
      <c r="LYM2489" s="58"/>
      <c r="LYN2489" s="58"/>
      <c r="LYO2489" s="58"/>
      <c r="LYP2489" s="60"/>
      <c r="LYQ2489" s="60"/>
      <c r="LYR2489" s="60"/>
      <c r="LYS2489" s="58"/>
      <c r="LYT2489" s="61"/>
      <c r="LYU2489" s="58"/>
      <c r="LYV2489" s="58"/>
      <c r="LYW2489" s="58"/>
      <c r="LYX2489" s="60"/>
      <c r="LYY2489" s="60"/>
      <c r="LYZ2489" s="60"/>
      <c r="LZA2489" s="58"/>
      <c r="LZB2489" s="61"/>
      <c r="LZC2489" s="58"/>
      <c r="LZD2489" s="58"/>
      <c r="LZE2489" s="58"/>
      <c r="LZF2489" s="60"/>
      <c r="LZG2489" s="60"/>
      <c r="LZH2489" s="60"/>
      <c r="LZI2489" s="58"/>
      <c r="LZJ2489" s="61"/>
      <c r="LZK2489" s="58"/>
      <c r="LZL2489" s="58"/>
      <c r="LZM2489" s="58"/>
      <c r="LZN2489" s="60"/>
      <c r="LZO2489" s="60"/>
      <c r="LZP2489" s="60"/>
      <c r="LZQ2489" s="58"/>
      <c r="LZR2489" s="61"/>
      <c r="LZS2489" s="58"/>
      <c r="LZT2489" s="58"/>
      <c r="LZU2489" s="58"/>
      <c r="LZV2489" s="60"/>
      <c r="LZW2489" s="60"/>
      <c r="LZX2489" s="60"/>
      <c r="LZY2489" s="58"/>
      <c r="LZZ2489" s="61"/>
      <c r="MAA2489" s="58"/>
      <c r="MAB2489" s="58"/>
      <c r="MAC2489" s="58"/>
      <c r="MAD2489" s="60"/>
      <c r="MAE2489" s="60"/>
      <c r="MAF2489" s="60"/>
      <c r="MAG2489" s="58"/>
      <c r="MAH2489" s="61"/>
      <c r="MAI2489" s="58"/>
      <c r="MAJ2489" s="58"/>
      <c r="MAK2489" s="58"/>
      <c r="MAL2489" s="60"/>
      <c r="MAM2489" s="60"/>
      <c r="MAN2489" s="60"/>
      <c r="MAO2489" s="58"/>
      <c r="MAP2489" s="61"/>
      <c r="MAQ2489" s="58"/>
      <c r="MAR2489" s="58"/>
      <c r="MAS2489" s="58"/>
      <c r="MAT2489" s="60"/>
      <c r="MAU2489" s="60"/>
      <c r="MAV2489" s="60"/>
      <c r="MAW2489" s="58"/>
      <c r="MAX2489" s="61"/>
      <c r="MAY2489" s="58"/>
      <c r="MAZ2489" s="58"/>
      <c r="MBA2489" s="58"/>
      <c r="MBB2489" s="60"/>
      <c r="MBC2489" s="60"/>
      <c r="MBD2489" s="60"/>
      <c r="MBE2489" s="58"/>
      <c r="MBF2489" s="61"/>
      <c r="MBG2489" s="58"/>
      <c r="MBH2489" s="58"/>
      <c r="MBI2489" s="58"/>
      <c r="MBJ2489" s="60"/>
      <c r="MBK2489" s="60"/>
      <c r="MBL2489" s="60"/>
      <c r="MBM2489" s="58"/>
      <c r="MBN2489" s="61"/>
      <c r="MBO2489" s="58"/>
      <c r="MBP2489" s="58"/>
      <c r="MBQ2489" s="58"/>
      <c r="MBR2489" s="60"/>
      <c r="MBS2489" s="60"/>
      <c r="MBT2489" s="60"/>
      <c r="MBU2489" s="58"/>
      <c r="MBV2489" s="61"/>
      <c r="MBW2489" s="58"/>
      <c r="MBX2489" s="58"/>
      <c r="MBY2489" s="58"/>
      <c r="MBZ2489" s="60"/>
      <c r="MCA2489" s="60"/>
      <c r="MCB2489" s="60"/>
      <c r="MCC2489" s="58"/>
      <c r="MCD2489" s="61"/>
      <c r="MCE2489" s="58"/>
      <c r="MCF2489" s="58"/>
      <c r="MCG2489" s="58"/>
      <c r="MCH2489" s="60"/>
      <c r="MCI2489" s="60"/>
      <c r="MCJ2489" s="60"/>
      <c r="MCK2489" s="58"/>
      <c r="MCL2489" s="61"/>
      <c r="MCM2489" s="58"/>
      <c r="MCN2489" s="58"/>
      <c r="MCO2489" s="58"/>
      <c r="MCP2489" s="60"/>
      <c r="MCQ2489" s="60"/>
      <c r="MCR2489" s="60"/>
      <c r="MCS2489" s="58"/>
      <c r="MCT2489" s="61"/>
      <c r="MCU2489" s="58"/>
      <c r="MCV2489" s="58"/>
      <c r="MCW2489" s="58"/>
      <c r="MCX2489" s="60"/>
      <c r="MCY2489" s="60"/>
      <c r="MCZ2489" s="60"/>
      <c r="MDA2489" s="58"/>
      <c r="MDB2489" s="61"/>
      <c r="MDC2489" s="58"/>
      <c r="MDD2489" s="58"/>
      <c r="MDE2489" s="58"/>
      <c r="MDF2489" s="60"/>
      <c r="MDG2489" s="60"/>
      <c r="MDH2489" s="60"/>
      <c r="MDI2489" s="58"/>
      <c r="MDJ2489" s="61"/>
      <c r="MDK2489" s="58"/>
      <c r="MDL2489" s="58"/>
      <c r="MDM2489" s="58"/>
      <c r="MDN2489" s="60"/>
      <c r="MDO2489" s="60"/>
      <c r="MDP2489" s="60"/>
      <c r="MDQ2489" s="58"/>
      <c r="MDR2489" s="61"/>
      <c r="MDS2489" s="58"/>
      <c r="MDT2489" s="58"/>
      <c r="MDU2489" s="58"/>
      <c r="MDV2489" s="60"/>
      <c r="MDW2489" s="60"/>
      <c r="MDX2489" s="60"/>
      <c r="MDY2489" s="58"/>
      <c r="MDZ2489" s="61"/>
      <c r="MEA2489" s="58"/>
      <c r="MEB2489" s="58"/>
      <c r="MEC2489" s="58"/>
      <c r="MED2489" s="60"/>
      <c r="MEE2489" s="60"/>
      <c r="MEF2489" s="60"/>
      <c r="MEG2489" s="58"/>
      <c r="MEH2489" s="61"/>
      <c r="MEI2489" s="58"/>
      <c r="MEJ2489" s="58"/>
      <c r="MEK2489" s="58"/>
      <c r="MEL2489" s="60"/>
      <c r="MEM2489" s="60"/>
      <c r="MEN2489" s="60"/>
      <c r="MEO2489" s="58"/>
      <c r="MEP2489" s="61"/>
      <c r="MEQ2489" s="58"/>
      <c r="MER2489" s="58"/>
      <c r="MES2489" s="58"/>
      <c r="MET2489" s="60"/>
      <c r="MEU2489" s="60"/>
      <c r="MEV2489" s="60"/>
      <c r="MEW2489" s="58"/>
      <c r="MEX2489" s="61"/>
      <c r="MEY2489" s="58"/>
      <c r="MEZ2489" s="58"/>
      <c r="MFA2489" s="58"/>
      <c r="MFB2489" s="60"/>
      <c r="MFC2489" s="60"/>
      <c r="MFD2489" s="60"/>
      <c r="MFE2489" s="58"/>
      <c r="MFF2489" s="61"/>
      <c r="MFG2489" s="58"/>
      <c r="MFH2489" s="58"/>
      <c r="MFI2489" s="58"/>
      <c r="MFJ2489" s="60"/>
      <c r="MFK2489" s="60"/>
      <c r="MFL2489" s="60"/>
      <c r="MFM2489" s="58"/>
      <c r="MFN2489" s="61"/>
      <c r="MFO2489" s="58"/>
      <c r="MFP2489" s="58"/>
      <c r="MFQ2489" s="58"/>
      <c r="MFR2489" s="60"/>
      <c r="MFS2489" s="60"/>
      <c r="MFT2489" s="60"/>
      <c r="MFU2489" s="58"/>
      <c r="MFV2489" s="61"/>
      <c r="MFW2489" s="58"/>
      <c r="MFX2489" s="58"/>
      <c r="MFY2489" s="58"/>
      <c r="MFZ2489" s="60"/>
      <c r="MGA2489" s="60"/>
      <c r="MGB2489" s="60"/>
      <c r="MGC2489" s="58"/>
      <c r="MGD2489" s="61"/>
      <c r="MGE2489" s="58"/>
      <c r="MGF2489" s="58"/>
      <c r="MGG2489" s="58"/>
      <c r="MGH2489" s="60"/>
      <c r="MGI2489" s="60"/>
      <c r="MGJ2489" s="60"/>
      <c r="MGK2489" s="58"/>
      <c r="MGL2489" s="61"/>
      <c r="MGM2489" s="58"/>
      <c r="MGN2489" s="58"/>
      <c r="MGO2489" s="58"/>
      <c r="MGP2489" s="60"/>
      <c r="MGQ2489" s="60"/>
      <c r="MGR2489" s="60"/>
      <c r="MGS2489" s="58"/>
      <c r="MGT2489" s="61"/>
      <c r="MGU2489" s="58"/>
      <c r="MGV2489" s="58"/>
      <c r="MGW2489" s="58"/>
      <c r="MGX2489" s="60"/>
      <c r="MGY2489" s="60"/>
      <c r="MGZ2489" s="60"/>
      <c r="MHA2489" s="58"/>
      <c r="MHB2489" s="61"/>
      <c r="MHC2489" s="58"/>
      <c r="MHD2489" s="58"/>
      <c r="MHE2489" s="58"/>
      <c r="MHF2489" s="60"/>
      <c r="MHG2489" s="60"/>
      <c r="MHH2489" s="60"/>
      <c r="MHI2489" s="58"/>
      <c r="MHJ2489" s="61"/>
      <c r="MHK2489" s="58"/>
      <c r="MHL2489" s="58"/>
      <c r="MHM2489" s="58"/>
      <c r="MHN2489" s="60"/>
      <c r="MHO2489" s="60"/>
      <c r="MHP2489" s="60"/>
      <c r="MHQ2489" s="58"/>
      <c r="MHR2489" s="61"/>
      <c r="MHS2489" s="58"/>
      <c r="MHT2489" s="58"/>
      <c r="MHU2489" s="58"/>
      <c r="MHV2489" s="60"/>
      <c r="MHW2489" s="60"/>
      <c r="MHX2489" s="60"/>
      <c r="MHY2489" s="58"/>
      <c r="MHZ2489" s="61"/>
      <c r="MIA2489" s="58"/>
      <c r="MIB2489" s="58"/>
      <c r="MIC2489" s="58"/>
      <c r="MID2489" s="60"/>
      <c r="MIE2489" s="60"/>
      <c r="MIF2489" s="60"/>
      <c r="MIG2489" s="58"/>
      <c r="MIH2489" s="61"/>
      <c r="MII2489" s="58"/>
      <c r="MIJ2489" s="58"/>
      <c r="MIK2489" s="58"/>
      <c r="MIL2489" s="60"/>
      <c r="MIM2489" s="60"/>
      <c r="MIN2489" s="60"/>
      <c r="MIO2489" s="58"/>
      <c r="MIP2489" s="61"/>
      <c r="MIQ2489" s="58"/>
      <c r="MIR2489" s="58"/>
      <c r="MIS2489" s="58"/>
      <c r="MIT2489" s="60"/>
      <c r="MIU2489" s="60"/>
      <c r="MIV2489" s="60"/>
      <c r="MIW2489" s="58"/>
      <c r="MIX2489" s="61"/>
      <c r="MIY2489" s="58"/>
      <c r="MIZ2489" s="58"/>
      <c r="MJA2489" s="58"/>
      <c r="MJB2489" s="60"/>
      <c r="MJC2489" s="60"/>
      <c r="MJD2489" s="60"/>
      <c r="MJE2489" s="58"/>
      <c r="MJF2489" s="61"/>
      <c r="MJG2489" s="58"/>
      <c r="MJH2489" s="58"/>
      <c r="MJI2489" s="58"/>
      <c r="MJJ2489" s="60"/>
      <c r="MJK2489" s="60"/>
      <c r="MJL2489" s="60"/>
      <c r="MJM2489" s="58"/>
      <c r="MJN2489" s="61"/>
      <c r="MJO2489" s="58"/>
      <c r="MJP2489" s="58"/>
      <c r="MJQ2489" s="58"/>
      <c r="MJR2489" s="60"/>
      <c r="MJS2489" s="60"/>
      <c r="MJT2489" s="60"/>
      <c r="MJU2489" s="58"/>
      <c r="MJV2489" s="61"/>
      <c r="MJW2489" s="58"/>
      <c r="MJX2489" s="58"/>
      <c r="MJY2489" s="58"/>
      <c r="MJZ2489" s="60"/>
      <c r="MKA2489" s="60"/>
      <c r="MKB2489" s="60"/>
      <c r="MKC2489" s="58"/>
      <c r="MKD2489" s="61"/>
      <c r="MKE2489" s="58"/>
      <c r="MKF2489" s="58"/>
      <c r="MKG2489" s="58"/>
      <c r="MKH2489" s="60"/>
      <c r="MKI2489" s="60"/>
      <c r="MKJ2489" s="60"/>
      <c r="MKK2489" s="58"/>
      <c r="MKL2489" s="61"/>
      <c r="MKM2489" s="58"/>
      <c r="MKN2489" s="58"/>
      <c r="MKO2489" s="58"/>
      <c r="MKP2489" s="60"/>
      <c r="MKQ2489" s="60"/>
      <c r="MKR2489" s="60"/>
      <c r="MKS2489" s="58"/>
      <c r="MKT2489" s="61"/>
      <c r="MKU2489" s="58"/>
      <c r="MKV2489" s="58"/>
      <c r="MKW2489" s="58"/>
      <c r="MKX2489" s="60"/>
      <c r="MKY2489" s="60"/>
      <c r="MKZ2489" s="60"/>
      <c r="MLA2489" s="58"/>
      <c r="MLB2489" s="61"/>
      <c r="MLC2489" s="58"/>
      <c r="MLD2489" s="58"/>
      <c r="MLE2489" s="58"/>
      <c r="MLF2489" s="60"/>
      <c r="MLG2489" s="60"/>
      <c r="MLH2489" s="60"/>
      <c r="MLI2489" s="58"/>
      <c r="MLJ2489" s="61"/>
      <c r="MLK2489" s="58"/>
      <c r="MLL2489" s="58"/>
      <c r="MLM2489" s="58"/>
      <c r="MLN2489" s="60"/>
      <c r="MLO2489" s="60"/>
      <c r="MLP2489" s="60"/>
      <c r="MLQ2489" s="58"/>
      <c r="MLR2489" s="61"/>
      <c r="MLS2489" s="58"/>
      <c r="MLT2489" s="58"/>
      <c r="MLU2489" s="58"/>
      <c r="MLV2489" s="60"/>
      <c r="MLW2489" s="60"/>
      <c r="MLX2489" s="60"/>
      <c r="MLY2489" s="58"/>
      <c r="MLZ2489" s="61"/>
      <c r="MMA2489" s="58"/>
      <c r="MMB2489" s="58"/>
      <c r="MMC2489" s="58"/>
      <c r="MMD2489" s="60"/>
      <c r="MME2489" s="60"/>
      <c r="MMF2489" s="60"/>
      <c r="MMG2489" s="58"/>
      <c r="MMH2489" s="61"/>
      <c r="MMI2489" s="58"/>
      <c r="MMJ2489" s="58"/>
      <c r="MMK2489" s="58"/>
      <c r="MML2489" s="60"/>
      <c r="MMM2489" s="60"/>
      <c r="MMN2489" s="60"/>
      <c r="MMO2489" s="58"/>
      <c r="MMP2489" s="61"/>
      <c r="MMQ2489" s="58"/>
      <c r="MMR2489" s="58"/>
      <c r="MMS2489" s="58"/>
      <c r="MMT2489" s="60"/>
      <c r="MMU2489" s="60"/>
      <c r="MMV2489" s="60"/>
      <c r="MMW2489" s="58"/>
      <c r="MMX2489" s="61"/>
      <c r="MMY2489" s="58"/>
      <c r="MMZ2489" s="58"/>
      <c r="MNA2489" s="58"/>
      <c r="MNB2489" s="60"/>
      <c r="MNC2489" s="60"/>
      <c r="MND2489" s="60"/>
      <c r="MNE2489" s="58"/>
      <c r="MNF2489" s="61"/>
      <c r="MNG2489" s="58"/>
      <c r="MNH2489" s="58"/>
      <c r="MNI2489" s="58"/>
      <c r="MNJ2489" s="60"/>
      <c r="MNK2489" s="60"/>
      <c r="MNL2489" s="60"/>
      <c r="MNM2489" s="58"/>
      <c r="MNN2489" s="61"/>
      <c r="MNO2489" s="58"/>
      <c r="MNP2489" s="58"/>
      <c r="MNQ2489" s="58"/>
      <c r="MNR2489" s="60"/>
      <c r="MNS2489" s="60"/>
      <c r="MNT2489" s="60"/>
      <c r="MNU2489" s="58"/>
      <c r="MNV2489" s="61"/>
      <c r="MNW2489" s="58"/>
      <c r="MNX2489" s="58"/>
      <c r="MNY2489" s="58"/>
      <c r="MNZ2489" s="60"/>
      <c r="MOA2489" s="60"/>
      <c r="MOB2489" s="60"/>
      <c r="MOC2489" s="58"/>
      <c r="MOD2489" s="61"/>
      <c r="MOE2489" s="58"/>
      <c r="MOF2489" s="58"/>
      <c r="MOG2489" s="58"/>
      <c r="MOH2489" s="60"/>
      <c r="MOI2489" s="60"/>
      <c r="MOJ2489" s="60"/>
      <c r="MOK2489" s="58"/>
      <c r="MOL2489" s="61"/>
      <c r="MOM2489" s="58"/>
      <c r="MON2489" s="58"/>
      <c r="MOO2489" s="58"/>
      <c r="MOP2489" s="60"/>
      <c r="MOQ2489" s="60"/>
      <c r="MOR2489" s="60"/>
      <c r="MOS2489" s="58"/>
      <c r="MOT2489" s="61"/>
      <c r="MOU2489" s="58"/>
      <c r="MOV2489" s="58"/>
      <c r="MOW2489" s="58"/>
      <c r="MOX2489" s="60"/>
      <c r="MOY2489" s="60"/>
      <c r="MOZ2489" s="60"/>
      <c r="MPA2489" s="58"/>
      <c r="MPB2489" s="61"/>
      <c r="MPC2489" s="58"/>
      <c r="MPD2489" s="58"/>
      <c r="MPE2489" s="58"/>
      <c r="MPF2489" s="60"/>
      <c r="MPG2489" s="60"/>
      <c r="MPH2489" s="60"/>
      <c r="MPI2489" s="58"/>
      <c r="MPJ2489" s="61"/>
      <c r="MPK2489" s="58"/>
      <c r="MPL2489" s="58"/>
      <c r="MPM2489" s="58"/>
      <c r="MPN2489" s="60"/>
      <c r="MPO2489" s="60"/>
      <c r="MPP2489" s="60"/>
      <c r="MPQ2489" s="58"/>
      <c r="MPR2489" s="61"/>
      <c r="MPS2489" s="58"/>
      <c r="MPT2489" s="58"/>
      <c r="MPU2489" s="58"/>
      <c r="MPV2489" s="60"/>
      <c r="MPW2489" s="60"/>
      <c r="MPX2489" s="60"/>
      <c r="MPY2489" s="58"/>
      <c r="MPZ2489" s="61"/>
      <c r="MQA2489" s="58"/>
      <c r="MQB2489" s="58"/>
      <c r="MQC2489" s="58"/>
      <c r="MQD2489" s="60"/>
      <c r="MQE2489" s="60"/>
      <c r="MQF2489" s="60"/>
      <c r="MQG2489" s="58"/>
      <c r="MQH2489" s="61"/>
      <c r="MQI2489" s="58"/>
      <c r="MQJ2489" s="58"/>
      <c r="MQK2489" s="58"/>
      <c r="MQL2489" s="60"/>
      <c r="MQM2489" s="60"/>
      <c r="MQN2489" s="60"/>
      <c r="MQO2489" s="58"/>
      <c r="MQP2489" s="61"/>
      <c r="MQQ2489" s="58"/>
      <c r="MQR2489" s="58"/>
      <c r="MQS2489" s="58"/>
      <c r="MQT2489" s="60"/>
      <c r="MQU2489" s="60"/>
      <c r="MQV2489" s="60"/>
      <c r="MQW2489" s="58"/>
      <c r="MQX2489" s="61"/>
      <c r="MQY2489" s="58"/>
      <c r="MQZ2489" s="58"/>
      <c r="MRA2489" s="58"/>
      <c r="MRB2489" s="60"/>
      <c r="MRC2489" s="60"/>
      <c r="MRD2489" s="60"/>
      <c r="MRE2489" s="58"/>
      <c r="MRF2489" s="61"/>
      <c r="MRG2489" s="58"/>
      <c r="MRH2489" s="58"/>
      <c r="MRI2489" s="58"/>
      <c r="MRJ2489" s="60"/>
      <c r="MRK2489" s="60"/>
      <c r="MRL2489" s="60"/>
      <c r="MRM2489" s="58"/>
      <c r="MRN2489" s="61"/>
      <c r="MRO2489" s="58"/>
      <c r="MRP2489" s="58"/>
      <c r="MRQ2489" s="58"/>
      <c r="MRR2489" s="60"/>
      <c r="MRS2489" s="60"/>
      <c r="MRT2489" s="60"/>
      <c r="MRU2489" s="58"/>
      <c r="MRV2489" s="61"/>
      <c r="MRW2489" s="58"/>
      <c r="MRX2489" s="58"/>
      <c r="MRY2489" s="58"/>
      <c r="MRZ2489" s="60"/>
      <c r="MSA2489" s="60"/>
      <c r="MSB2489" s="60"/>
      <c r="MSC2489" s="58"/>
      <c r="MSD2489" s="61"/>
      <c r="MSE2489" s="58"/>
      <c r="MSF2489" s="58"/>
      <c r="MSG2489" s="58"/>
      <c r="MSH2489" s="60"/>
      <c r="MSI2489" s="60"/>
      <c r="MSJ2489" s="60"/>
      <c r="MSK2489" s="58"/>
      <c r="MSL2489" s="61"/>
      <c r="MSM2489" s="58"/>
      <c r="MSN2489" s="58"/>
      <c r="MSO2489" s="58"/>
      <c r="MSP2489" s="60"/>
      <c r="MSQ2489" s="60"/>
      <c r="MSR2489" s="60"/>
      <c r="MSS2489" s="58"/>
      <c r="MST2489" s="61"/>
      <c r="MSU2489" s="58"/>
      <c r="MSV2489" s="58"/>
      <c r="MSW2489" s="58"/>
      <c r="MSX2489" s="60"/>
      <c r="MSY2489" s="60"/>
      <c r="MSZ2489" s="60"/>
      <c r="MTA2489" s="58"/>
      <c r="MTB2489" s="61"/>
      <c r="MTC2489" s="58"/>
      <c r="MTD2489" s="58"/>
      <c r="MTE2489" s="58"/>
      <c r="MTF2489" s="60"/>
      <c r="MTG2489" s="60"/>
      <c r="MTH2489" s="60"/>
      <c r="MTI2489" s="58"/>
      <c r="MTJ2489" s="61"/>
      <c r="MTK2489" s="58"/>
      <c r="MTL2489" s="58"/>
      <c r="MTM2489" s="58"/>
      <c r="MTN2489" s="60"/>
      <c r="MTO2489" s="60"/>
      <c r="MTP2489" s="60"/>
      <c r="MTQ2489" s="58"/>
      <c r="MTR2489" s="61"/>
      <c r="MTS2489" s="58"/>
      <c r="MTT2489" s="58"/>
      <c r="MTU2489" s="58"/>
      <c r="MTV2489" s="60"/>
      <c r="MTW2489" s="60"/>
      <c r="MTX2489" s="60"/>
      <c r="MTY2489" s="58"/>
      <c r="MTZ2489" s="61"/>
      <c r="MUA2489" s="58"/>
      <c r="MUB2489" s="58"/>
      <c r="MUC2489" s="58"/>
      <c r="MUD2489" s="60"/>
      <c r="MUE2489" s="60"/>
      <c r="MUF2489" s="60"/>
      <c r="MUG2489" s="58"/>
      <c r="MUH2489" s="61"/>
      <c r="MUI2489" s="58"/>
      <c r="MUJ2489" s="58"/>
      <c r="MUK2489" s="58"/>
      <c r="MUL2489" s="60"/>
      <c r="MUM2489" s="60"/>
      <c r="MUN2489" s="60"/>
      <c r="MUO2489" s="58"/>
      <c r="MUP2489" s="61"/>
      <c r="MUQ2489" s="58"/>
      <c r="MUR2489" s="58"/>
      <c r="MUS2489" s="58"/>
      <c r="MUT2489" s="60"/>
      <c r="MUU2489" s="60"/>
      <c r="MUV2489" s="60"/>
      <c r="MUW2489" s="58"/>
      <c r="MUX2489" s="61"/>
      <c r="MUY2489" s="58"/>
      <c r="MUZ2489" s="58"/>
      <c r="MVA2489" s="58"/>
      <c r="MVB2489" s="60"/>
      <c r="MVC2489" s="60"/>
      <c r="MVD2489" s="60"/>
      <c r="MVE2489" s="58"/>
      <c r="MVF2489" s="61"/>
      <c r="MVG2489" s="58"/>
      <c r="MVH2489" s="58"/>
      <c r="MVI2489" s="58"/>
      <c r="MVJ2489" s="60"/>
      <c r="MVK2489" s="60"/>
      <c r="MVL2489" s="60"/>
      <c r="MVM2489" s="58"/>
      <c r="MVN2489" s="61"/>
      <c r="MVO2489" s="58"/>
      <c r="MVP2489" s="58"/>
      <c r="MVQ2489" s="58"/>
      <c r="MVR2489" s="60"/>
      <c r="MVS2489" s="60"/>
      <c r="MVT2489" s="60"/>
      <c r="MVU2489" s="58"/>
      <c r="MVV2489" s="61"/>
      <c r="MVW2489" s="58"/>
      <c r="MVX2489" s="58"/>
      <c r="MVY2489" s="58"/>
      <c r="MVZ2489" s="60"/>
      <c r="MWA2489" s="60"/>
      <c r="MWB2489" s="60"/>
      <c r="MWC2489" s="58"/>
      <c r="MWD2489" s="61"/>
      <c r="MWE2489" s="58"/>
      <c r="MWF2489" s="58"/>
      <c r="MWG2489" s="58"/>
      <c r="MWH2489" s="60"/>
      <c r="MWI2489" s="60"/>
      <c r="MWJ2489" s="60"/>
      <c r="MWK2489" s="58"/>
      <c r="MWL2489" s="61"/>
      <c r="MWM2489" s="58"/>
      <c r="MWN2489" s="58"/>
      <c r="MWO2489" s="58"/>
      <c r="MWP2489" s="60"/>
      <c r="MWQ2489" s="60"/>
      <c r="MWR2489" s="60"/>
      <c r="MWS2489" s="58"/>
      <c r="MWT2489" s="61"/>
      <c r="MWU2489" s="58"/>
      <c r="MWV2489" s="58"/>
      <c r="MWW2489" s="58"/>
      <c r="MWX2489" s="60"/>
      <c r="MWY2489" s="60"/>
      <c r="MWZ2489" s="60"/>
      <c r="MXA2489" s="58"/>
      <c r="MXB2489" s="61"/>
      <c r="MXC2489" s="58"/>
      <c r="MXD2489" s="58"/>
      <c r="MXE2489" s="58"/>
      <c r="MXF2489" s="60"/>
      <c r="MXG2489" s="60"/>
      <c r="MXH2489" s="60"/>
      <c r="MXI2489" s="58"/>
      <c r="MXJ2489" s="61"/>
      <c r="MXK2489" s="58"/>
      <c r="MXL2489" s="58"/>
      <c r="MXM2489" s="58"/>
      <c r="MXN2489" s="60"/>
      <c r="MXO2489" s="60"/>
      <c r="MXP2489" s="60"/>
      <c r="MXQ2489" s="58"/>
      <c r="MXR2489" s="61"/>
      <c r="MXS2489" s="58"/>
      <c r="MXT2489" s="58"/>
      <c r="MXU2489" s="58"/>
      <c r="MXV2489" s="60"/>
      <c r="MXW2489" s="60"/>
      <c r="MXX2489" s="60"/>
      <c r="MXY2489" s="58"/>
      <c r="MXZ2489" s="61"/>
      <c r="MYA2489" s="58"/>
      <c r="MYB2489" s="58"/>
      <c r="MYC2489" s="58"/>
      <c r="MYD2489" s="60"/>
      <c r="MYE2489" s="60"/>
      <c r="MYF2489" s="60"/>
      <c r="MYG2489" s="58"/>
      <c r="MYH2489" s="61"/>
      <c r="MYI2489" s="58"/>
      <c r="MYJ2489" s="58"/>
      <c r="MYK2489" s="58"/>
      <c r="MYL2489" s="60"/>
      <c r="MYM2489" s="60"/>
      <c r="MYN2489" s="60"/>
      <c r="MYO2489" s="58"/>
      <c r="MYP2489" s="61"/>
      <c r="MYQ2489" s="58"/>
      <c r="MYR2489" s="58"/>
      <c r="MYS2489" s="58"/>
      <c r="MYT2489" s="60"/>
      <c r="MYU2489" s="60"/>
      <c r="MYV2489" s="60"/>
      <c r="MYW2489" s="58"/>
      <c r="MYX2489" s="61"/>
      <c r="MYY2489" s="58"/>
      <c r="MYZ2489" s="58"/>
      <c r="MZA2489" s="58"/>
      <c r="MZB2489" s="60"/>
      <c r="MZC2489" s="60"/>
      <c r="MZD2489" s="60"/>
      <c r="MZE2489" s="58"/>
      <c r="MZF2489" s="61"/>
      <c r="MZG2489" s="58"/>
      <c r="MZH2489" s="58"/>
      <c r="MZI2489" s="58"/>
      <c r="MZJ2489" s="60"/>
      <c r="MZK2489" s="60"/>
      <c r="MZL2489" s="60"/>
      <c r="MZM2489" s="58"/>
      <c r="MZN2489" s="61"/>
      <c r="MZO2489" s="58"/>
      <c r="MZP2489" s="58"/>
      <c r="MZQ2489" s="58"/>
      <c r="MZR2489" s="60"/>
      <c r="MZS2489" s="60"/>
      <c r="MZT2489" s="60"/>
      <c r="MZU2489" s="58"/>
      <c r="MZV2489" s="61"/>
      <c r="MZW2489" s="58"/>
      <c r="MZX2489" s="58"/>
      <c r="MZY2489" s="58"/>
      <c r="MZZ2489" s="60"/>
      <c r="NAA2489" s="60"/>
      <c r="NAB2489" s="60"/>
      <c r="NAC2489" s="58"/>
      <c r="NAD2489" s="61"/>
      <c r="NAE2489" s="58"/>
      <c r="NAF2489" s="58"/>
      <c r="NAG2489" s="58"/>
      <c r="NAH2489" s="60"/>
      <c r="NAI2489" s="60"/>
      <c r="NAJ2489" s="60"/>
      <c r="NAK2489" s="58"/>
      <c r="NAL2489" s="61"/>
      <c r="NAM2489" s="58"/>
      <c r="NAN2489" s="58"/>
      <c r="NAO2489" s="58"/>
      <c r="NAP2489" s="60"/>
      <c r="NAQ2489" s="60"/>
      <c r="NAR2489" s="60"/>
      <c r="NAS2489" s="58"/>
      <c r="NAT2489" s="61"/>
      <c r="NAU2489" s="58"/>
      <c r="NAV2489" s="58"/>
      <c r="NAW2489" s="58"/>
      <c r="NAX2489" s="60"/>
      <c r="NAY2489" s="60"/>
      <c r="NAZ2489" s="60"/>
      <c r="NBA2489" s="58"/>
      <c r="NBB2489" s="61"/>
      <c r="NBC2489" s="58"/>
      <c r="NBD2489" s="58"/>
      <c r="NBE2489" s="58"/>
      <c r="NBF2489" s="60"/>
      <c r="NBG2489" s="60"/>
      <c r="NBH2489" s="60"/>
      <c r="NBI2489" s="58"/>
      <c r="NBJ2489" s="61"/>
      <c r="NBK2489" s="58"/>
      <c r="NBL2489" s="58"/>
      <c r="NBM2489" s="58"/>
      <c r="NBN2489" s="60"/>
      <c r="NBO2489" s="60"/>
      <c r="NBP2489" s="60"/>
      <c r="NBQ2489" s="58"/>
      <c r="NBR2489" s="61"/>
      <c r="NBS2489" s="58"/>
      <c r="NBT2489" s="58"/>
      <c r="NBU2489" s="58"/>
      <c r="NBV2489" s="60"/>
      <c r="NBW2489" s="60"/>
      <c r="NBX2489" s="60"/>
      <c r="NBY2489" s="58"/>
      <c r="NBZ2489" s="61"/>
      <c r="NCA2489" s="58"/>
      <c r="NCB2489" s="58"/>
      <c r="NCC2489" s="58"/>
      <c r="NCD2489" s="60"/>
      <c r="NCE2489" s="60"/>
      <c r="NCF2489" s="60"/>
      <c r="NCG2489" s="58"/>
      <c r="NCH2489" s="61"/>
      <c r="NCI2489" s="58"/>
      <c r="NCJ2489" s="58"/>
      <c r="NCK2489" s="58"/>
      <c r="NCL2489" s="60"/>
      <c r="NCM2489" s="60"/>
      <c r="NCN2489" s="60"/>
      <c r="NCO2489" s="58"/>
      <c r="NCP2489" s="61"/>
      <c r="NCQ2489" s="58"/>
      <c r="NCR2489" s="58"/>
      <c r="NCS2489" s="58"/>
      <c r="NCT2489" s="60"/>
      <c r="NCU2489" s="60"/>
      <c r="NCV2489" s="60"/>
      <c r="NCW2489" s="58"/>
      <c r="NCX2489" s="61"/>
      <c r="NCY2489" s="58"/>
      <c r="NCZ2489" s="58"/>
      <c r="NDA2489" s="58"/>
      <c r="NDB2489" s="60"/>
      <c r="NDC2489" s="60"/>
      <c r="NDD2489" s="60"/>
      <c r="NDE2489" s="58"/>
      <c r="NDF2489" s="61"/>
      <c r="NDG2489" s="58"/>
      <c r="NDH2489" s="58"/>
      <c r="NDI2489" s="58"/>
      <c r="NDJ2489" s="60"/>
      <c r="NDK2489" s="60"/>
      <c r="NDL2489" s="60"/>
      <c r="NDM2489" s="58"/>
      <c r="NDN2489" s="61"/>
      <c r="NDO2489" s="58"/>
      <c r="NDP2489" s="58"/>
      <c r="NDQ2489" s="58"/>
      <c r="NDR2489" s="60"/>
      <c r="NDS2489" s="60"/>
      <c r="NDT2489" s="60"/>
      <c r="NDU2489" s="58"/>
      <c r="NDV2489" s="61"/>
      <c r="NDW2489" s="58"/>
      <c r="NDX2489" s="58"/>
      <c r="NDY2489" s="58"/>
      <c r="NDZ2489" s="60"/>
      <c r="NEA2489" s="60"/>
      <c r="NEB2489" s="60"/>
      <c r="NEC2489" s="58"/>
      <c r="NED2489" s="61"/>
      <c r="NEE2489" s="58"/>
      <c r="NEF2489" s="58"/>
      <c r="NEG2489" s="58"/>
      <c r="NEH2489" s="60"/>
      <c r="NEI2489" s="60"/>
      <c r="NEJ2489" s="60"/>
      <c r="NEK2489" s="58"/>
      <c r="NEL2489" s="61"/>
      <c r="NEM2489" s="58"/>
      <c r="NEN2489" s="58"/>
      <c r="NEO2489" s="58"/>
      <c r="NEP2489" s="60"/>
      <c r="NEQ2489" s="60"/>
      <c r="NER2489" s="60"/>
      <c r="NES2489" s="58"/>
      <c r="NET2489" s="61"/>
      <c r="NEU2489" s="58"/>
      <c r="NEV2489" s="58"/>
      <c r="NEW2489" s="58"/>
      <c r="NEX2489" s="60"/>
      <c r="NEY2489" s="60"/>
      <c r="NEZ2489" s="60"/>
      <c r="NFA2489" s="58"/>
      <c r="NFB2489" s="61"/>
      <c r="NFC2489" s="58"/>
      <c r="NFD2489" s="58"/>
      <c r="NFE2489" s="58"/>
      <c r="NFF2489" s="60"/>
      <c r="NFG2489" s="60"/>
      <c r="NFH2489" s="60"/>
      <c r="NFI2489" s="58"/>
      <c r="NFJ2489" s="61"/>
      <c r="NFK2489" s="58"/>
      <c r="NFL2489" s="58"/>
      <c r="NFM2489" s="58"/>
      <c r="NFN2489" s="60"/>
      <c r="NFO2489" s="60"/>
      <c r="NFP2489" s="60"/>
      <c r="NFQ2489" s="58"/>
      <c r="NFR2489" s="61"/>
      <c r="NFS2489" s="58"/>
      <c r="NFT2489" s="58"/>
      <c r="NFU2489" s="58"/>
      <c r="NFV2489" s="60"/>
      <c r="NFW2489" s="60"/>
      <c r="NFX2489" s="60"/>
      <c r="NFY2489" s="58"/>
      <c r="NFZ2489" s="61"/>
      <c r="NGA2489" s="58"/>
      <c r="NGB2489" s="58"/>
      <c r="NGC2489" s="58"/>
      <c r="NGD2489" s="60"/>
      <c r="NGE2489" s="60"/>
      <c r="NGF2489" s="60"/>
      <c r="NGG2489" s="58"/>
      <c r="NGH2489" s="61"/>
      <c r="NGI2489" s="58"/>
      <c r="NGJ2489" s="58"/>
      <c r="NGK2489" s="58"/>
      <c r="NGL2489" s="60"/>
      <c r="NGM2489" s="60"/>
      <c r="NGN2489" s="60"/>
      <c r="NGO2489" s="58"/>
      <c r="NGP2489" s="61"/>
      <c r="NGQ2489" s="58"/>
      <c r="NGR2489" s="58"/>
      <c r="NGS2489" s="58"/>
      <c r="NGT2489" s="60"/>
      <c r="NGU2489" s="60"/>
      <c r="NGV2489" s="60"/>
      <c r="NGW2489" s="58"/>
      <c r="NGX2489" s="61"/>
      <c r="NGY2489" s="58"/>
      <c r="NGZ2489" s="58"/>
      <c r="NHA2489" s="58"/>
      <c r="NHB2489" s="60"/>
      <c r="NHC2489" s="60"/>
      <c r="NHD2489" s="60"/>
      <c r="NHE2489" s="58"/>
      <c r="NHF2489" s="61"/>
      <c r="NHG2489" s="58"/>
      <c r="NHH2489" s="58"/>
      <c r="NHI2489" s="58"/>
      <c r="NHJ2489" s="60"/>
      <c r="NHK2489" s="60"/>
      <c r="NHL2489" s="60"/>
      <c r="NHM2489" s="58"/>
      <c r="NHN2489" s="61"/>
      <c r="NHO2489" s="58"/>
      <c r="NHP2489" s="58"/>
      <c r="NHQ2489" s="58"/>
      <c r="NHR2489" s="60"/>
      <c r="NHS2489" s="60"/>
      <c r="NHT2489" s="60"/>
      <c r="NHU2489" s="58"/>
      <c r="NHV2489" s="61"/>
      <c r="NHW2489" s="58"/>
      <c r="NHX2489" s="58"/>
      <c r="NHY2489" s="58"/>
      <c r="NHZ2489" s="60"/>
      <c r="NIA2489" s="60"/>
      <c r="NIB2489" s="60"/>
      <c r="NIC2489" s="58"/>
      <c r="NID2489" s="61"/>
      <c r="NIE2489" s="58"/>
      <c r="NIF2489" s="58"/>
      <c r="NIG2489" s="58"/>
      <c r="NIH2489" s="60"/>
      <c r="NII2489" s="60"/>
      <c r="NIJ2489" s="60"/>
      <c r="NIK2489" s="58"/>
      <c r="NIL2489" s="61"/>
      <c r="NIM2489" s="58"/>
      <c r="NIN2489" s="58"/>
      <c r="NIO2489" s="58"/>
      <c r="NIP2489" s="60"/>
      <c r="NIQ2489" s="60"/>
      <c r="NIR2489" s="60"/>
      <c r="NIS2489" s="58"/>
      <c r="NIT2489" s="61"/>
      <c r="NIU2489" s="58"/>
      <c r="NIV2489" s="58"/>
      <c r="NIW2489" s="58"/>
      <c r="NIX2489" s="60"/>
      <c r="NIY2489" s="60"/>
      <c r="NIZ2489" s="60"/>
      <c r="NJA2489" s="58"/>
      <c r="NJB2489" s="61"/>
      <c r="NJC2489" s="58"/>
      <c r="NJD2489" s="58"/>
      <c r="NJE2489" s="58"/>
      <c r="NJF2489" s="60"/>
      <c r="NJG2489" s="60"/>
      <c r="NJH2489" s="60"/>
      <c r="NJI2489" s="58"/>
      <c r="NJJ2489" s="61"/>
      <c r="NJK2489" s="58"/>
      <c r="NJL2489" s="58"/>
      <c r="NJM2489" s="58"/>
      <c r="NJN2489" s="60"/>
      <c r="NJO2489" s="60"/>
      <c r="NJP2489" s="60"/>
      <c r="NJQ2489" s="58"/>
      <c r="NJR2489" s="61"/>
      <c r="NJS2489" s="58"/>
      <c r="NJT2489" s="58"/>
      <c r="NJU2489" s="58"/>
      <c r="NJV2489" s="60"/>
      <c r="NJW2489" s="60"/>
      <c r="NJX2489" s="60"/>
      <c r="NJY2489" s="58"/>
      <c r="NJZ2489" s="61"/>
      <c r="NKA2489" s="58"/>
      <c r="NKB2489" s="58"/>
      <c r="NKC2489" s="58"/>
      <c r="NKD2489" s="60"/>
      <c r="NKE2489" s="60"/>
      <c r="NKF2489" s="60"/>
      <c r="NKG2489" s="58"/>
      <c r="NKH2489" s="61"/>
      <c r="NKI2489" s="58"/>
      <c r="NKJ2489" s="58"/>
      <c r="NKK2489" s="58"/>
      <c r="NKL2489" s="60"/>
      <c r="NKM2489" s="60"/>
      <c r="NKN2489" s="60"/>
      <c r="NKO2489" s="58"/>
      <c r="NKP2489" s="61"/>
      <c r="NKQ2489" s="58"/>
      <c r="NKR2489" s="58"/>
      <c r="NKS2489" s="58"/>
      <c r="NKT2489" s="60"/>
      <c r="NKU2489" s="60"/>
      <c r="NKV2489" s="60"/>
      <c r="NKW2489" s="58"/>
      <c r="NKX2489" s="61"/>
      <c r="NKY2489" s="58"/>
      <c r="NKZ2489" s="58"/>
      <c r="NLA2489" s="58"/>
      <c r="NLB2489" s="60"/>
      <c r="NLC2489" s="60"/>
      <c r="NLD2489" s="60"/>
      <c r="NLE2489" s="58"/>
      <c r="NLF2489" s="61"/>
      <c r="NLG2489" s="58"/>
      <c r="NLH2489" s="58"/>
      <c r="NLI2489" s="58"/>
      <c r="NLJ2489" s="60"/>
      <c r="NLK2489" s="60"/>
      <c r="NLL2489" s="60"/>
      <c r="NLM2489" s="58"/>
      <c r="NLN2489" s="61"/>
      <c r="NLO2489" s="58"/>
      <c r="NLP2489" s="58"/>
      <c r="NLQ2489" s="58"/>
      <c r="NLR2489" s="60"/>
      <c r="NLS2489" s="60"/>
      <c r="NLT2489" s="60"/>
      <c r="NLU2489" s="58"/>
      <c r="NLV2489" s="61"/>
      <c r="NLW2489" s="58"/>
      <c r="NLX2489" s="58"/>
      <c r="NLY2489" s="58"/>
      <c r="NLZ2489" s="60"/>
      <c r="NMA2489" s="60"/>
      <c r="NMB2489" s="60"/>
      <c r="NMC2489" s="58"/>
      <c r="NMD2489" s="61"/>
      <c r="NME2489" s="58"/>
      <c r="NMF2489" s="58"/>
      <c r="NMG2489" s="58"/>
      <c r="NMH2489" s="60"/>
      <c r="NMI2489" s="60"/>
      <c r="NMJ2489" s="60"/>
      <c r="NMK2489" s="58"/>
      <c r="NML2489" s="61"/>
      <c r="NMM2489" s="58"/>
      <c r="NMN2489" s="58"/>
      <c r="NMO2489" s="58"/>
      <c r="NMP2489" s="60"/>
      <c r="NMQ2489" s="60"/>
      <c r="NMR2489" s="60"/>
      <c r="NMS2489" s="58"/>
      <c r="NMT2489" s="61"/>
      <c r="NMU2489" s="58"/>
      <c r="NMV2489" s="58"/>
      <c r="NMW2489" s="58"/>
      <c r="NMX2489" s="60"/>
      <c r="NMY2489" s="60"/>
      <c r="NMZ2489" s="60"/>
      <c r="NNA2489" s="58"/>
      <c r="NNB2489" s="61"/>
      <c r="NNC2489" s="58"/>
      <c r="NND2489" s="58"/>
      <c r="NNE2489" s="58"/>
      <c r="NNF2489" s="60"/>
      <c r="NNG2489" s="60"/>
      <c r="NNH2489" s="60"/>
      <c r="NNI2489" s="58"/>
      <c r="NNJ2489" s="61"/>
      <c r="NNK2489" s="58"/>
      <c r="NNL2489" s="58"/>
      <c r="NNM2489" s="58"/>
      <c r="NNN2489" s="60"/>
      <c r="NNO2489" s="60"/>
      <c r="NNP2489" s="60"/>
      <c r="NNQ2489" s="58"/>
      <c r="NNR2489" s="61"/>
      <c r="NNS2489" s="58"/>
      <c r="NNT2489" s="58"/>
      <c r="NNU2489" s="58"/>
      <c r="NNV2489" s="60"/>
      <c r="NNW2489" s="60"/>
      <c r="NNX2489" s="60"/>
      <c r="NNY2489" s="58"/>
      <c r="NNZ2489" s="61"/>
      <c r="NOA2489" s="58"/>
      <c r="NOB2489" s="58"/>
      <c r="NOC2489" s="58"/>
      <c r="NOD2489" s="60"/>
      <c r="NOE2489" s="60"/>
      <c r="NOF2489" s="60"/>
      <c r="NOG2489" s="58"/>
      <c r="NOH2489" s="61"/>
      <c r="NOI2489" s="58"/>
      <c r="NOJ2489" s="58"/>
      <c r="NOK2489" s="58"/>
      <c r="NOL2489" s="60"/>
      <c r="NOM2489" s="60"/>
      <c r="NON2489" s="60"/>
      <c r="NOO2489" s="58"/>
      <c r="NOP2489" s="61"/>
      <c r="NOQ2489" s="58"/>
      <c r="NOR2489" s="58"/>
      <c r="NOS2489" s="58"/>
      <c r="NOT2489" s="60"/>
      <c r="NOU2489" s="60"/>
      <c r="NOV2489" s="60"/>
      <c r="NOW2489" s="58"/>
      <c r="NOX2489" s="61"/>
      <c r="NOY2489" s="58"/>
      <c r="NOZ2489" s="58"/>
      <c r="NPA2489" s="58"/>
      <c r="NPB2489" s="60"/>
      <c r="NPC2489" s="60"/>
      <c r="NPD2489" s="60"/>
      <c r="NPE2489" s="58"/>
      <c r="NPF2489" s="61"/>
      <c r="NPG2489" s="58"/>
      <c r="NPH2489" s="58"/>
      <c r="NPI2489" s="58"/>
      <c r="NPJ2489" s="60"/>
      <c r="NPK2489" s="60"/>
      <c r="NPL2489" s="60"/>
      <c r="NPM2489" s="58"/>
      <c r="NPN2489" s="61"/>
      <c r="NPO2489" s="58"/>
      <c r="NPP2489" s="58"/>
      <c r="NPQ2489" s="58"/>
      <c r="NPR2489" s="60"/>
      <c r="NPS2489" s="60"/>
      <c r="NPT2489" s="60"/>
      <c r="NPU2489" s="58"/>
      <c r="NPV2489" s="61"/>
      <c r="NPW2489" s="58"/>
      <c r="NPX2489" s="58"/>
      <c r="NPY2489" s="58"/>
      <c r="NPZ2489" s="60"/>
      <c r="NQA2489" s="60"/>
      <c r="NQB2489" s="60"/>
      <c r="NQC2489" s="58"/>
      <c r="NQD2489" s="61"/>
      <c r="NQE2489" s="58"/>
      <c r="NQF2489" s="58"/>
      <c r="NQG2489" s="58"/>
      <c r="NQH2489" s="60"/>
      <c r="NQI2489" s="60"/>
      <c r="NQJ2489" s="60"/>
      <c r="NQK2489" s="58"/>
      <c r="NQL2489" s="61"/>
      <c r="NQM2489" s="58"/>
      <c r="NQN2489" s="58"/>
      <c r="NQO2489" s="58"/>
      <c r="NQP2489" s="60"/>
      <c r="NQQ2489" s="60"/>
      <c r="NQR2489" s="60"/>
      <c r="NQS2489" s="58"/>
      <c r="NQT2489" s="61"/>
      <c r="NQU2489" s="58"/>
      <c r="NQV2489" s="58"/>
      <c r="NQW2489" s="58"/>
      <c r="NQX2489" s="60"/>
      <c r="NQY2489" s="60"/>
      <c r="NQZ2489" s="60"/>
      <c r="NRA2489" s="58"/>
      <c r="NRB2489" s="61"/>
      <c r="NRC2489" s="58"/>
      <c r="NRD2489" s="58"/>
      <c r="NRE2489" s="58"/>
      <c r="NRF2489" s="60"/>
      <c r="NRG2489" s="60"/>
      <c r="NRH2489" s="60"/>
      <c r="NRI2489" s="58"/>
      <c r="NRJ2489" s="61"/>
      <c r="NRK2489" s="58"/>
      <c r="NRL2489" s="58"/>
      <c r="NRM2489" s="58"/>
      <c r="NRN2489" s="60"/>
      <c r="NRO2489" s="60"/>
      <c r="NRP2489" s="60"/>
      <c r="NRQ2489" s="58"/>
      <c r="NRR2489" s="61"/>
      <c r="NRS2489" s="58"/>
      <c r="NRT2489" s="58"/>
      <c r="NRU2489" s="58"/>
      <c r="NRV2489" s="60"/>
      <c r="NRW2489" s="60"/>
      <c r="NRX2489" s="60"/>
      <c r="NRY2489" s="58"/>
      <c r="NRZ2489" s="61"/>
      <c r="NSA2489" s="58"/>
      <c r="NSB2489" s="58"/>
      <c r="NSC2489" s="58"/>
      <c r="NSD2489" s="60"/>
      <c r="NSE2489" s="60"/>
      <c r="NSF2489" s="60"/>
      <c r="NSG2489" s="58"/>
      <c r="NSH2489" s="61"/>
      <c r="NSI2489" s="58"/>
      <c r="NSJ2489" s="58"/>
      <c r="NSK2489" s="58"/>
      <c r="NSL2489" s="60"/>
      <c r="NSM2489" s="60"/>
      <c r="NSN2489" s="60"/>
      <c r="NSO2489" s="58"/>
      <c r="NSP2489" s="61"/>
      <c r="NSQ2489" s="58"/>
      <c r="NSR2489" s="58"/>
      <c r="NSS2489" s="58"/>
      <c r="NST2489" s="60"/>
      <c r="NSU2489" s="60"/>
      <c r="NSV2489" s="60"/>
      <c r="NSW2489" s="58"/>
      <c r="NSX2489" s="61"/>
      <c r="NSY2489" s="58"/>
      <c r="NSZ2489" s="58"/>
      <c r="NTA2489" s="58"/>
      <c r="NTB2489" s="60"/>
      <c r="NTC2489" s="60"/>
      <c r="NTD2489" s="60"/>
      <c r="NTE2489" s="58"/>
      <c r="NTF2489" s="61"/>
      <c r="NTG2489" s="58"/>
      <c r="NTH2489" s="58"/>
      <c r="NTI2489" s="58"/>
      <c r="NTJ2489" s="60"/>
      <c r="NTK2489" s="60"/>
      <c r="NTL2489" s="60"/>
      <c r="NTM2489" s="58"/>
      <c r="NTN2489" s="61"/>
      <c r="NTO2489" s="58"/>
      <c r="NTP2489" s="58"/>
      <c r="NTQ2489" s="58"/>
      <c r="NTR2489" s="60"/>
      <c r="NTS2489" s="60"/>
      <c r="NTT2489" s="60"/>
      <c r="NTU2489" s="58"/>
      <c r="NTV2489" s="61"/>
      <c r="NTW2489" s="58"/>
      <c r="NTX2489" s="58"/>
      <c r="NTY2489" s="58"/>
      <c r="NTZ2489" s="60"/>
      <c r="NUA2489" s="60"/>
      <c r="NUB2489" s="60"/>
      <c r="NUC2489" s="58"/>
      <c r="NUD2489" s="61"/>
      <c r="NUE2489" s="58"/>
      <c r="NUF2489" s="58"/>
      <c r="NUG2489" s="58"/>
      <c r="NUH2489" s="60"/>
      <c r="NUI2489" s="60"/>
      <c r="NUJ2489" s="60"/>
      <c r="NUK2489" s="58"/>
      <c r="NUL2489" s="61"/>
      <c r="NUM2489" s="58"/>
      <c r="NUN2489" s="58"/>
      <c r="NUO2489" s="58"/>
      <c r="NUP2489" s="60"/>
      <c r="NUQ2489" s="60"/>
      <c r="NUR2489" s="60"/>
      <c r="NUS2489" s="58"/>
      <c r="NUT2489" s="61"/>
      <c r="NUU2489" s="58"/>
      <c r="NUV2489" s="58"/>
      <c r="NUW2489" s="58"/>
      <c r="NUX2489" s="60"/>
      <c r="NUY2489" s="60"/>
      <c r="NUZ2489" s="60"/>
      <c r="NVA2489" s="58"/>
      <c r="NVB2489" s="61"/>
      <c r="NVC2489" s="58"/>
      <c r="NVD2489" s="58"/>
      <c r="NVE2489" s="58"/>
      <c r="NVF2489" s="60"/>
      <c r="NVG2489" s="60"/>
      <c r="NVH2489" s="60"/>
      <c r="NVI2489" s="58"/>
      <c r="NVJ2489" s="61"/>
      <c r="NVK2489" s="58"/>
      <c r="NVL2489" s="58"/>
      <c r="NVM2489" s="58"/>
      <c r="NVN2489" s="60"/>
      <c r="NVO2489" s="60"/>
      <c r="NVP2489" s="60"/>
      <c r="NVQ2489" s="58"/>
      <c r="NVR2489" s="61"/>
      <c r="NVS2489" s="58"/>
      <c r="NVT2489" s="58"/>
      <c r="NVU2489" s="58"/>
      <c r="NVV2489" s="60"/>
      <c r="NVW2489" s="60"/>
      <c r="NVX2489" s="60"/>
      <c r="NVY2489" s="58"/>
      <c r="NVZ2489" s="61"/>
      <c r="NWA2489" s="58"/>
      <c r="NWB2489" s="58"/>
      <c r="NWC2489" s="58"/>
      <c r="NWD2489" s="60"/>
      <c r="NWE2489" s="60"/>
      <c r="NWF2489" s="60"/>
      <c r="NWG2489" s="58"/>
      <c r="NWH2489" s="61"/>
      <c r="NWI2489" s="58"/>
      <c r="NWJ2489" s="58"/>
      <c r="NWK2489" s="58"/>
      <c r="NWL2489" s="60"/>
      <c r="NWM2489" s="60"/>
      <c r="NWN2489" s="60"/>
      <c r="NWO2489" s="58"/>
      <c r="NWP2489" s="61"/>
      <c r="NWQ2489" s="58"/>
      <c r="NWR2489" s="58"/>
      <c r="NWS2489" s="58"/>
      <c r="NWT2489" s="60"/>
      <c r="NWU2489" s="60"/>
      <c r="NWV2489" s="60"/>
      <c r="NWW2489" s="58"/>
      <c r="NWX2489" s="61"/>
      <c r="NWY2489" s="58"/>
      <c r="NWZ2489" s="58"/>
      <c r="NXA2489" s="58"/>
      <c r="NXB2489" s="60"/>
      <c r="NXC2489" s="60"/>
      <c r="NXD2489" s="60"/>
      <c r="NXE2489" s="58"/>
      <c r="NXF2489" s="61"/>
      <c r="NXG2489" s="58"/>
      <c r="NXH2489" s="58"/>
      <c r="NXI2489" s="58"/>
      <c r="NXJ2489" s="60"/>
      <c r="NXK2489" s="60"/>
      <c r="NXL2489" s="60"/>
      <c r="NXM2489" s="58"/>
      <c r="NXN2489" s="61"/>
      <c r="NXO2489" s="58"/>
      <c r="NXP2489" s="58"/>
      <c r="NXQ2489" s="58"/>
      <c r="NXR2489" s="60"/>
      <c r="NXS2489" s="60"/>
      <c r="NXT2489" s="60"/>
      <c r="NXU2489" s="58"/>
      <c r="NXV2489" s="61"/>
      <c r="NXW2489" s="58"/>
      <c r="NXX2489" s="58"/>
      <c r="NXY2489" s="58"/>
      <c r="NXZ2489" s="60"/>
      <c r="NYA2489" s="60"/>
      <c r="NYB2489" s="60"/>
      <c r="NYC2489" s="58"/>
      <c r="NYD2489" s="61"/>
      <c r="NYE2489" s="58"/>
      <c r="NYF2489" s="58"/>
      <c r="NYG2489" s="58"/>
      <c r="NYH2489" s="60"/>
      <c r="NYI2489" s="60"/>
      <c r="NYJ2489" s="60"/>
      <c r="NYK2489" s="58"/>
      <c r="NYL2489" s="61"/>
      <c r="NYM2489" s="58"/>
      <c r="NYN2489" s="58"/>
      <c r="NYO2489" s="58"/>
      <c r="NYP2489" s="60"/>
      <c r="NYQ2489" s="60"/>
      <c r="NYR2489" s="60"/>
      <c r="NYS2489" s="58"/>
      <c r="NYT2489" s="61"/>
      <c r="NYU2489" s="58"/>
      <c r="NYV2489" s="58"/>
      <c r="NYW2489" s="58"/>
      <c r="NYX2489" s="60"/>
      <c r="NYY2489" s="60"/>
      <c r="NYZ2489" s="60"/>
      <c r="NZA2489" s="58"/>
      <c r="NZB2489" s="61"/>
      <c r="NZC2489" s="58"/>
      <c r="NZD2489" s="58"/>
      <c r="NZE2489" s="58"/>
      <c r="NZF2489" s="60"/>
      <c r="NZG2489" s="60"/>
      <c r="NZH2489" s="60"/>
      <c r="NZI2489" s="58"/>
      <c r="NZJ2489" s="61"/>
      <c r="NZK2489" s="58"/>
      <c r="NZL2489" s="58"/>
      <c r="NZM2489" s="58"/>
      <c r="NZN2489" s="60"/>
      <c r="NZO2489" s="60"/>
      <c r="NZP2489" s="60"/>
      <c r="NZQ2489" s="58"/>
      <c r="NZR2489" s="61"/>
      <c r="NZS2489" s="58"/>
      <c r="NZT2489" s="58"/>
      <c r="NZU2489" s="58"/>
      <c r="NZV2489" s="60"/>
      <c r="NZW2489" s="60"/>
      <c r="NZX2489" s="60"/>
      <c r="NZY2489" s="58"/>
      <c r="NZZ2489" s="61"/>
      <c r="OAA2489" s="58"/>
      <c r="OAB2489" s="58"/>
      <c r="OAC2489" s="58"/>
      <c r="OAD2489" s="60"/>
      <c r="OAE2489" s="60"/>
      <c r="OAF2489" s="60"/>
      <c r="OAG2489" s="58"/>
      <c r="OAH2489" s="61"/>
      <c r="OAI2489" s="58"/>
      <c r="OAJ2489" s="58"/>
      <c r="OAK2489" s="58"/>
      <c r="OAL2489" s="60"/>
      <c r="OAM2489" s="60"/>
      <c r="OAN2489" s="60"/>
      <c r="OAO2489" s="58"/>
      <c r="OAP2489" s="61"/>
      <c r="OAQ2489" s="58"/>
      <c r="OAR2489" s="58"/>
      <c r="OAS2489" s="58"/>
      <c r="OAT2489" s="60"/>
      <c r="OAU2489" s="60"/>
      <c r="OAV2489" s="60"/>
      <c r="OAW2489" s="58"/>
      <c r="OAX2489" s="61"/>
      <c r="OAY2489" s="58"/>
      <c r="OAZ2489" s="58"/>
      <c r="OBA2489" s="58"/>
      <c r="OBB2489" s="60"/>
      <c r="OBC2489" s="60"/>
      <c r="OBD2489" s="60"/>
      <c r="OBE2489" s="58"/>
      <c r="OBF2489" s="61"/>
      <c r="OBG2489" s="58"/>
      <c r="OBH2489" s="58"/>
      <c r="OBI2489" s="58"/>
      <c r="OBJ2489" s="60"/>
      <c r="OBK2489" s="60"/>
      <c r="OBL2489" s="60"/>
      <c r="OBM2489" s="58"/>
      <c r="OBN2489" s="61"/>
      <c r="OBO2489" s="58"/>
      <c r="OBP2489" s="58"/>
      <c r="OBQ2489" s="58"/>
      <c r="OBR2489" s="60"/>
      <c r="OBS2489" s="60"/>
      <c r="OBT2489" s="60"/>
      <c r="OBU2489" s="58"/>
      <c r="OBV2489" s="61"/>
      <c r="OBW2489" s="58"/>
      <c r="OBX2489" s="58"/>
      <c r="OBY2489" s="58"/>
      <c r="OBZ2489" s="60"/>
      <c r="OCA2489" s="60"/>
      <c r="OCB2489" s="60"/>
      <c r="OCC2489" s="58"/>
      <c r="OCD2489" s="61"/>
      <c r="OCE2489" s="58"/>
      <c r="OCF2489" s="58"/>
      <c r="OCG2489" s="58"/>
      <c r="OCH2489" s="60"/>
      <c r="OCI2489" s="60"/>
      <c r="OCJ2489" s="60"/>
      <c r="OCK2489" s="58"/>
      <c r="OCL2489" s="61"/>
      <c r="OCM2489" s="58"/>
      <c r="OCN2489" s="58"/>
      <c r="OCO2489" s="58"/>
      <c r="OCP2489" s="60"/>
      <c r="OCQ2489" s="60"/>
      <c r="OCR2489" s="60"/>
      <c r="OCS2489" s="58"/>
      <c r="OCT2489" s="61"/>
      <c r="OCU2489" s="58"/>
      <c r="OCV2489" s="58"/>
      <c r="OCW2489" s="58"/>
      <c r="OCX2489" s="60"/>
      <c r="OCY2489" s="60"/>
      <c r="OCZ2489" s="60"/>
      <c r="ODA2489" s="58"/>
      <c r="ODB2489" s="61"/>
      <c r="ODC2489" s="58"/>
      <c r="ODD2489" s="58"/>
      <c r="ODE2489" s="58"/>
      <c r="ODF2489" s="60"/>
      <c r="ODG2489" s="60"/>
      <c r="ODH2489" s="60"/>
      <c r="ODI2489" s="58"/>
      <c r="ODJ2489" s="61"/>
      <c r="ODK2489" s="58"/>
      <c r="ODL2489" s="58"/>
      <c r="ODM2489" s="58"/>
      <c r="ODN2489" s="60"/>
      <c r="ODO2489" s="60"/>
      <c r="ODP2489" s="60"/>
      <c r="ODQ2489" s="58"/>
      <c r="ODR2489" s="61"/>
      <c r="ODS2489" s="58"/>
      <c r="ODT2489" s="58"/>
      <c r="ODU2489" s="58"/>
      <c r="ODV2489" s="60"/>
      <c r="ODW2489" s="60"/>
      <c r="ODX2489" s="60"/>
      <c r="ODY2489" s="58"/>
      <c r="ODZ2489" s="61"/>
      <c r="OEA2489" s="58"/>
      <c r="OEB2489" s="58"/>
      <c r="OEC2489" s="58"/>
      <c r="OED2489" s="60"/>
      <c r="OEE2489" s="60"/>
      <c r="OEF2489" s="60"/>
      <c r="OEG2489" s="58"/>
      <c r="OEH2489" s="61"/>
      <c r="OEI2489" s="58"/>
      <c r="OEJ2489" s="58"/>
      <c r="OEK2489" s="58"/>
      <c r="OEL2489" s="60"/>
      <c r="OEM2489" s="60"/>
      <c r="OEN2489" s="60"/>
      <c r="OEO2489" s="58"/>
      <c r="OEP2489" s="61"/>
      <c r="OEQ2489" s="58"/>
      <c r="OER2489" s="58"/>
      <c r="OES2489" s="58"/>
      <c r="OET2489" s="60"/>
      <c r="OEU2489" s="60"/>
      <c r="OEV2489" s="60"/>
      <c r="OEW2489" s="58"/>
      <c r="OEX2489" s="61"/>
      <c r="OEY2489" s="58"/>
      <c r="OEZ2489" s="58"/>
      <c r="OFA2489" s="58"/>
      <c r="OFB2489" s="60"/>
      <c r="OFC2489" s="60"/>
      <c r="OFD2489" s="60"/>
      <c r="OFE2489" s="58"/>
      <c r="OFF2489" s="61"/>
      <c r="OFG2489" s="58"/>
      <c r="OFH2489" s="58"/>
      <c r="OFI2489" s="58"/>
      <c r="OFJ2489" s="60"/>
      <c r="OFK2489" s="60"/>
      <c r="OFL2489" s="60"/>
      <c r="OFM2489" s="58"/>
      <c r="OFN2489" s="61"/>
      <c r="OFO2489" s="58"/>
      <c r="OFP2489" s="58"/>
      <c r="OFQ2489" s="58"/>
      <c r="OFR2489" s="60"/>
      <c r="OFS2489" s="60"/>
      <c r="OFT2489" s="60"/>
      <c r="OFU2489" s="58"/>
      <c r="OFV2489" s="61"/>
      <c r="OFW2489" s="58"/>
      <c r="OFX2489" s="58"/>
      <c r="OFY2489" s="58"/>
      <c r="OFZ2489" s="60"/>
      <c r="OGA2489" s="60"/>
      <c r="OGB2489" s="60"/>
      <c r="OGC2489" s="58"/>
      <c r="OGD2489" s="61"/>
      <c r="OGE2489" s="58"/>
      <c r="OGF2489" s="58"/>
      <c r="OGG2489" s="58"/>
      <c r="OGH2489" s="60"/>
      <c r="OGI2489" s="60"/>
      <c r="OGJ2489" s="60"/>
      <c r="OGK2489" s="58"/>
      <c r="OGL2489" s="61"/>
      <c r="OGM2489" s="58"/>
      <c r="OGN2489" s="58"/>
      <c r="OGO2489" s="58"/>
      <c r="OGP2489" s="60"/>
      <c r="OGQ2489" s="60"/>
      <c r="OGR2489" s="60"/>
      <c r="OGS2489" s="58"/>
      <c r="OGT2489" s="61"/>
      <c r="OGU2489" s="58"/>
      <c r="OGV2489" s="58"/>
      <c r="OGW2489" s="58"/>
      <c r="OGX2489" s="60"/>
      <c r="OGY2489" s="60"/>
      <c r="OGZ2489" s="60"/>
      <c r="OHA2489" s="58"/>
      <c r="OHB2489" s="61"/>
      <c r="OHC2489" s="58"/>
      <c r="OHD2489" s="58"/>
      <c r="OHE2489" s="58"/>
      <c r="OHF2489" s="60"/>
      <c r="OHG2489" s="60"/>
      <c r="OHH2489" s="60"/>
      <c r="OHI2489" s="58"/>
      <c r="OHJ2489" s="61"/>
      <c r="OHK2489" s="58"/>
      <c r="OHL2489" s="58"/>
      <c r="OHM2489" s="58"/>
      <c r="OHN2489" s="60"/>
      <c r="OHO2489" s="60"/>
      <c r="OHP2489" s="60"/>
      <c r="OHQ2489" s="58"/>
      <c r="OHR2489" s="61"/>
      <c r="OHS2489" s="58"/>
      <c r="OHT2489" s="58"/>
      <c r="OHU2489" s="58"/>
      <c r="OHV2489" s="60"/>
      <c r="OHW2489" s="60"/>
      <c r="OHX2489" s="60"/>
      <c r="OHY2489" s="58"/>
      <c r="OHZ2489" s="61"/>
      <c r="OIA2489" s="58"/>
      <c r="OIB2489" s="58"/>
      <c r="OIC2489" s="58"/>
      <c r="OID2489" s="60"/>
      <c r="OIE2489" s="60"/>
      <c r="OIF2489" s="60"/>
      <c r="OIG2489" s="58"/>
      <c r="OIH2489" s="61"/>
      <c r="OII2489" s="58"/>
      <c r="OIJ2489" s="58"/>
      <c r="OIK2489" s="58"/>
      <c r="OIL2489" s="60"/>
      <c r="OIM2489" s="60"/>
      <c r="OIN2489" s="60"/>
      <c r="OIO2489" s="58"/>
      <c r="OIP2489" s="61"/>
      <c r="OIQ2489" s="58"/>
      <c r="OIR2489" s="58"/>
      <c r="OIS2489" s="58"/>
      <c r="OIT2489" s="60"/>
      <c r="OIU2489" s="60"/>
      <c r="OIV2489" s="60"/>
      <c r="OIW2489" s="58"/>
      <c r="OIX2489" s="61"/>
      <c r="OIY2489" s="58"/>
      <c r="OIZ2489" s="58"/>
      <c r="OJA2489" s="58"/>
      <c r="OJB2489" s="60"/>
      <c r="OJC2489" s="60"/>
      <c r="OJD2489" s="60"/>
      <c r="OJE2489" s="58"/>
      <c r="OJF2489" s="61"/>
      <c r="OJG2489" s="58"/>
      <c r="OJH2489" s="58"/>
      <c r="OJI2489" s="58"/>
      <c r="OJJ2489" s="60"/>
      <c r="OJK2489" s="60"/>
      <c r="OJL2489" s="60"/>
      <c r="OJM2489" s="58"/>
      <c r="OJN2489" s="61"/>
      <c r="OJO2489" s="58"/>
      <c r="OJP2489" s="58"/>
      <c r="OJQ2489" s="58"/>
      <c r="OJR2489" s="60"/>
      <c r="OJS2489" s="60"/>
      <c r="OJT2489" s="60"/>
      <c r="OJU2489" s="58"/>
      <c r="OJV2489" s="61"/>
      <c r="OJW2489" s="58"/>
      <c r="OJX2489" s="58"/>
      <c r="OJY2489" s="58"/>
      <c r="OJZ2489" s="60"/>
      <c r="OKA2489" s="60"/>
      <c r="OKB2489" s="60"/>
      <c r="OKC2489" s="58"/>
      <c r="OKD2489" s="61"/>
      <c r="OKE2489" s="58"/>
      <c r="OKF2489" s="58"/>
      <c r="OKG2489" s="58"/>
      <c r="OKH2489" s="60"/>
      <c r="OKI2489" s="60"/>
      <c r="OKJ2489" s="60"/>
      <c r="OKK2489" s="58"/>
      <c r="OKL2489" s="61"/>
      <c r="OKM2489" s="58"/>
      <c r="OKN2489" s="58"/>
      <c r="OKO2489" s="58"/>
      <c r="OKP2489" s="60"/>
      <c r="OKQ2489" s="60"/>
      <c r="OKR2489" s="60"/>
      <c r="OKS2489" s="58"/>
      <c r="OKT2489" s="61"/>
      <c r="OKU2489" s="58"/>
      <c r="OKV2489" s="58"/>
      <c r="OKW2489" s="58"/>
      <c r="OKX2489" s="60"/>
      <c r="OKY2489" s="60"/>
      <c r="OKZ2489" s="60"/>
      <c r="OLA2489" s="58"/>
      <c r="OLB2489" s="61"/>
      <c r="OLC2489" s="58"/>
      <c r="OLD2489" s="58"/>
      <c r="OLE2489" s="58"/>
      <c r="OLF2489" s="60"/>
      <c r="OLG2489" s="60"/>
      <c r="OLH2489" s="60"/>
      <c r="OLI2489" s="58"/>
      <c r="OLJ2489" s="61"/>
      <c r="OLK2489" s="58"/>
      <c r="OLL2489" s="58"/>
      <c r="OLM2489" s="58"/>
      <c r="OLN2489" s="60"/>
      <c r="OLO2489" s="60"/>
      <c r="OLP2489" s="60"/>
      <c r="OLQ2489" s="58"/>
      <c r="OLR2489" s="61"/>
      <c r="OLS2489" s="58"/>
      <c r="OLT2489" s="58"/>
      <c r="OLU2489" s="58"/>
      <c r="OLV2489" s="60"/>
      <c r="OLW2489" s="60"/>
      <c r="OLX2489" s="60"/>
      <c r="OLY2489" s="58"/>
      <c r="OLZ2489" s="61"/>
      <c r="OMA2489" s="58"/>
      <c r="OMB2489" s="58"/>
      <c r="OMC2489" s="58"/>
      <c r="OMD2489" s="60"/>
      <c r="OME2489" s="60"/>
      <c r="OMF2489" s="60"/>
      <c r="OMG2489" s="58"/>
      <c r="OMH2489" s="61"/>
      <c r="OMI2489" s="58"/>
      <c r="OMJ2489" s="58"/>
      <c r="OMK2489" s="58"/>
      <c r="OML2489" s="60"/>
      <c r="OMM2489" s="60"/>
      <c r="OMN2489" s="60"/>
      <c r="OMO2489" s="58"/>
      <c r="OMP2489" s="61"/>
      <c r="OMQ2489" s="58"/>
      <c r="OMR2489" s="58"/>
      <c r="OMS2489" s="58"/>
      <c r="OMT2489" s="60"/>
      <c r="OMU2489" s="60"/>
      <c r="OMV2489" s="60"/>
      <c r="OMW2489" s="58"/>
      <c r="OMX2489" s="61"/>
      <c r="OMY2489" s="58"/>
      <c r="OMZ2489" s="58"/>
      <c r="ONA2489" s="58"/>
      <c r="ONB2489" s="60"/>
      <c r="ONC2489" s="60"/>
      <c r="OND2489" s="60"/>
      <c r="ONE2489" s="58"/>
      <c r="ONF2489" s="61"/>
      <c r="ONG2489" s="58"/>
      <c r="ONH2489" s="58"/>
      <c r="ONI2489" s="58"/>
      <c r="ONJ2489" s="60"/>
      <c r="ONK2489" s="60"/>
      <c r="ONL2489" s="60"/>
      <c r="ONM2489" s="58"/>
      <c r="ONN2489" s="61"/>
      <c r="ONO2489" s="58"/>
      <c r="ONP2489" s="58"/>
      <c r="ONQ2489" s="58"/>
      <c r="ONR2489" s="60"/>
      <c r="ONS2489" s="60"/>
      <c r="ONT2489" s="60"/>
      <c r="ONU2489" s="58"/>
      <c r="ONV2489" s="61"/>
      <c r="ONW2489" s="58"/>
      <c r="ONX2489" s="58"/>
      <c r="ONY2489" s="58"/>
      <c r="ONZ2489" s="60"/>
      <c r="OOA2489" s="60"/>
      <c r="OOB2489" s="60"/>
      <c r="OOC2489" s="58"/>
      <c r="OOD2489" s="61"/>
      <c r="OOE2489" s="58"/>
      <c r="OOF2489" s="58"/>
      <c r="OOG2489" s="58"/>
      <c r="OOH2489" s="60"/>
      <c r="OOI2489" s="60"/>
      <c r="OOJ2489" s="60"/>
      <c r="OOK2489" s="58"/>
      <c r="OOL2489" s="61"/>
      <c r="OOM2489" s="58"/>
      <c r="OON2489" s="58"/>
      <c r="OOO2489" s="58"/>
      <c r="OOP2489" s="60"/>
      <c r="OOQ2489" s="60"/>
      <c r="OOR2489" s="60"/>
      <c r="OOS2489" s="58"/>
      <c r="OOT2489" s="61"/>
      <c r="OOU2489" s="58"/>
      <c r="OOV2489" s="58"/>
      <c r="OOW2489" s="58"/>
      <c r="OOX2489" s="60"/>
      <c r="OOY2489" s="60"/>
      <c r="OOZ2489" s="60"/>
      <c r="OPA2489" s="58"/>
      <c r="OPB2489" s="61"/>
      <c r="OPC2489" s="58"/>
      <c r="OPD2489" s="58"/>
      <c r="OPE2489" s="58"/>
      <c r="OPF2489" s="60"/>
      <c r="OPG2489" s="60"/>
      <c r="OPH2489" s="60"/>
      <c r="OPI2489" s="58"/>
      <c r="OPJ2489" s="61"/>
      <c r="OPK2489" s="58"/>
      <c r="OPL2489" s="58"/>
      <c r="OPM2489" s="58"/>
      <c r="OPN2489" s="60"/>
      <c r="OPO2489" s="60"/>
      <c r="OPP2489" s="60"/>
      <c r="OPQ2489" s="58"/>
      <c r="OPR2489" s="61"/>
      <c r="OPS2489" s="58"/>
      <c r="OPT2489" s="58"/>
      <c r="OPU2489" s="58"/>
      <c r="OPV2489" s="60"/>
      <c r="OPW2489" s="60"/>
      <c r="OPX2489" s="60"/>
      <c r="OPY2489" s="58"/>
      <c r="OPZ2489" s="61"/>
      <c r="OQA2489" s="58"/>
      <c r="OQB2489" s="58"/>
      <c r="OQC2489" s="58"/>
      <c r="OQD2489" s="60"/>
      <c r="OQE2489" s="60"/>
      <c r="OQF2489" s="60"/>
      <c r="OQG2489" s="58"/>
      <c r="OQH2489" s="61"/>
      <c r="OQI2489" s="58"/>
      <c r="OQJ2489" s="58"/>
      <c r="OQK2489" s="58"/>
      <c r="OQL2489" s="60"/>
      <c r="OQM2489" s="60"/>
      <c r="OQN2489" s="60"/>
      <c r="OQO2489" s="58"/>
      <c r="OQP2489" s="61"/>
      <c r="OQQ2489" s="58"/>
      <c r="OQR2489" s="58"/>
      <c r="OQS2489" s="58"/>
      <c r="OQT2489" s="60"/>
      <c r="OQU2489" s="60"/>
      <c r="OQV2489" s="60"/>
      <c r="OQW2489" s="58"/>
      <c r="OQX2489" s="61"/>
      <c r="OQY2489" s="58"/>
      <c r="OQZ2489" s="58"/>
      <c r="ORA2489" s="58"/>
      <c r="ORB2489" s="60"/>
      <c r="ORC2489" s="60"/>
      <c r="ORD2489" s="60"/>
      <c r="ORE2489" s="58"/>
      <c r="ORF2489" s="61"/>
      <c r="ORG2489" s="58"/>
      <c r="ORH2489" s="58"/>
      <c r="ORI2489" s="58"/>
      <c r="ORJ2489" s="60"/>
      <c r="ORK2489" s="60"/>
      <c r="ORL2489" s="60"/>
      <c r="ORM2489" s="58"/>
      <c r="ORN2489" s="61"/>
      <c r="ORO2489" s="58"/>
      <c r="ORP2489" s="58"/>
      <c r="ORQ2489" s="58"/>
      <c r="ORR2489" s="60"/>
      <c r="ORS2489" s="60"/>
      <c r="ORT2489" s="60"/>
      <c r="ORU2489" s="58"/>
      <c r="ORV2489" s="61"/>
      <c r="ORW2489" s="58"/>
      <c r="ORX2489" s="58"/>
      <c r="ORY2489" s="58"/>
      <c r="ORZ2489" s="60"/>
      <c r="OSA2489" s="60"/>
      <c r="OSB2489" s="60"/>
      <c r="OSC2489" s="58"/>
      <c r="OSD2489" s="61"/>
      <c r="OSE2489" s="58"/>
      <c r="OSF2489" s="58"/>
      <c r="OSG2489" s="58"/>
      <c r="OSH2489" s="60"/>
      <c r="OSI2489" s="60"/>
      <c r="OSJ2489" s="60"/>
      <c r="OSK2489" s="58"/>
      <c r="OSL2489" s="61"/>
      <c r="OSM2489" s="58"/>
      <c r="OSN2489" s="58"/>
      <c r="OSO2489" s="58"/>
      <c r="OSP2489" s="60"/>
      <c r="OSQ2489" s="60"/>
      <c r="OSR2489" s="60"/>
      <c r="OSS2489" s="58"/>
      <c r="OST2489" s="61"/>
      <c r="OSU2489" s="58"/>
      <c r="OSV2489" s="58"/>
      <c r="OSW2489" s="58"/>
      <c r="OSX2489" s="60"/>
      <c r="OSY2489" s="60"/>
      <c r="OSZ2489" s="60"/>
      <c r="OTA2489" s="58"/>
      <c r="OTB2489" s="61"/>
      <c r="OTC2489" s="58"/>
      <c r="OTD2489" s="58"/>
      <c r="OTE2489" s="58"/>
      <c r="OTF2489" s="60"/>
      <c r="OTG2489" s="60"/>
      <c r="OTH2489" s="60"/>
      <c r="OTI2489" s="58"/>
      <c r="OTJ2489" s="61"/>
      <c r="OTK2489" s="58"/>
      <c r="OTL2489" s="58"/>
      <c r="OTM2489" s="58"/>
      <c r="OTN2489" s="60"/>
      <c r="OTO2489" s="60"/>
      <c r="OTP2489" s="60"/>
      <c r="OTQ2489" s="58"/>
      <c r="OTR2489" s="61"/>
      <c r="OTS2489" s="58"/>
      <c r="OTT2489" s="58"/>
      <c r="OTU2489" s="58"/>
      <c r="OTV2489" s="60"/>
      <c r="OTW2489" s="60"/>
      <c r="OTX2489" s="60"/>
      <c r="OTY2489" s="58"/>
      <c r="OTZ2489" s="61"/>
      <c r="OUA2489" s="58"/>
      <c r="OUB2489" s="58"/>
      <c r="OUC2489" s="58"/>
      <c r="OUD2489" s="60"/>
      <c r="OUE2489" s="60"/>
      <c r="OUF2489" s="60"/>
      <c r="OUG2489" s="58"/>
      <c r="OUH2489" s="61"/>
      <c r="OUI2489" s="58"/>
      <c r="OUJ2489" s="58"/>
      <c r="OUK2489" s="58"/>
      <c r="OUL2489" s="60"/>
      <c r="OUM2489" s="60"/>
      <c r="OUN2489" s="60"/>
      <c r="OUO2489" s="58"/>
      <c r="OUP2489" s="61"/>
      <c r="OUQ2489" s="58"/>
      <c r="OUR2489" s="58"/>
      <c r="OUS2489" s="58"/>
      <c r="OUT2489" s="60"/>
      <c r="OUU2489" s="60"/>
      <c r="OUV2489" s="60"/>
      <c r="OUW2489" s="58"/>
      <c r="OUX2489" s="61"/>
      <c r="OUY2489" s="58"/>
      <c r="OUZ2489" s="58"/>
      <c r="OVA2489" s="58"/>
      <c r="OVB2489" s="60"/>
      <c r="OVC2489" s="60"/>
      <c r="OVD2489" s="60"/>
      <c r="OVE2489" s="58"/>
      <c r="OVF2489" s="61"/>
      <c r="OVG2489" s="58"/>
      <c r="OVH2489" s="58"/>
      <c r="OVI2489" s="58"/>
      <c r="OVJ2489" s="60"/>
      <c r="OVK2489" s="60"/>
      <c r="OVL2489" s="60"/>
      <c r="OVM2489" s="58"/>
      <c r="OVN2489" s="61"/>
      <c r="OVO2489" s="58"/>
      <c r="OVP2489" s="58"/>
      <c r="OVQ2489" s="58"/>
      <c r="OVR2489" s="60"/>
      <c r="OVS2489" s="60"/>
      <c r="OVT2489" s="60"/>
      <c r="OVU2489" s="58"/>
      <c r="OVV2489" s="61"/>
      <c r="OVW2489" s="58"/>
      <c r="OVX2489" s="58"/>
      <c r="OVY2489" s="58"/>
      <c r="OVZ2489" s="60"/>
      <c r="OWA2489" s="60"/>
      <c r="OWB2489" s="60"/>
      <c r="OWC2489" s="58"/>
      <c r="OWD2489" s="61"/>
      <c r="OWE2489" s="58"/>
      <c r="OWF2489" s="58"/>
      <c r="OWG2489" s="58"/>
      <c r="OWH2489" s="60"/>
      <c r="OWI2489" s="60"/>
      <c r="OWJ2489" s="60"/>
      <c r="OWK2489" s="58"/>
      <c r="OWL2489" s="61"/>
      <c r="OWM2489" s="58"/>
      <c r="OWN2489" s="58"/>
      <c r="OWO2489" s="58"/>
      <c r="OWP2489" s="60"/>
      <c r="OWQ2489" s="60"/>
      <c r="OWR2489" s="60"/>
      <c r="OWS2489" s="58"/>
      <c r="OWT2489" s="61"/>
      <c r="OWU2489" s="58"/>
      <c r="OWV2489" s="58"/>
      <c r="OWW2489" s="58"/>
      <c r="OWX2489" s="60"/>
      <c r="OWY2489" s="60"/>
      <c r="OWZ2489" s="60"/>
      <c r="OXA2489" s="58"/>
      <c r="OXB2489" s="61"/>
      <c r="OXC2489" s="58"/>
      <c r="OXD2489" s="58"/>
      <c r="OXE2489" s="58"/>
      <c r="OXF2489" s="60"/>
      <c r="OXG2489" s="60"/>
      <c r="OXH2489" s="60"/>
      <c r="OXI2489" s="58"/>
      <c r="OXJ2489" s="61"/>
      <c r="OXK2489" s="58"/>
      <c r="OXL2489" s="58"/>
      <c r="OXM2489" s="58"/>
      <c r="OXN2489" s="60"/>
      <c r="OXO2489" s="60"/>
      <c r="OXP2489" s="60"/>
      <c r="OXQ2489" s="58"/>
      <c r="OXR2489" s="61"/>
      <c r="OXS2489" s="58"/>
      <c r="OXT2489" s="58"/>
      <c r="OXU2489" s="58"/>
      <c r="OXV2489" s="60"/>
      <c r="OXW2489" s="60"/>
      <c r="OXX2489" s="60"/>
      <c r="OXY2489" s="58"/>
      <c r="OXZ2489" s="61"/>
      <c r="OYA2489" s="58"/>
      <c r="OYB2489" s="58"/>
      <c r="OYC2489" s="58"/>
      <c r="OYD2489" s="60"/>
      <c r="OYE2489" s="60"/>
      <c r="OYF2489" s="60"/>
      <c r="OYG2489" s="58"/>
      <c r="OYH2489" s="61"/>
      <c r="OYI2489" s="58"/>
      <c r="OYJ2489" s="58"/>
      <c r="OYK2489" s="58"/>
      <c r="OYL2489" s="60"/>
      <c r="OYM2489" s="60"/>
      <c r="OYN2489" s="60"/>
      <c r="OYO2489" s="58"/>
      <c r="OYP2489" s="61"/>
      <c r="OYQ2489" s="58"/>
      <c r="OYR2489" s="58"/>
      <c r="OYS2489" s="58"/>
      <c r="OYT2489" s="60"/>
      <c r="OYU2489" s="60"/>
      <c r="OYV2489" s="60"/>
      <c r="OYW2489" s="58"/>
      <c r="OYX2489" s="61"/>
      <c r="OYY2489" s="58"/>
      <c r="OYZ2489" s="58"/>
      <c r="OZA2489" s="58"/>
      <c r="OZB2489" s="60"/>
      <c r="OZC2489" s="60"/>
      <c r="OZD2489" s="60"/>
      <c r="OZE2489" s="58"/>
      <c r="OZF2489" s="61"/>
      <c r="OZG2489" s="58"/>
      <c r="OZH2489" s="58"/>
      <c r="OZI2489" s="58"/>
      <c r="OZJ2489" s="60"/>
      <c r="OZK2489" s="60"/>
      <c r="OZL2489" s="60"/>
      <c r="OZM2489" s="58"/>
      <c r="OZN2489" s="61"/>
      <c r="OZO2489" s="58"/>
      <c r="OZP2489" s="58"/>
      <c r="OZQ2489" s="58"/>
      <c r="OZR2489" s="60"/>
      <c r="OZS2489" s="60"/>
      <c r="OZT2489" s="60"/>
      <c r="OZU2489" s="58"/>
      <c r="OZV2489" s="61"/>
      <c r="OZW2489" s="58"/>
      <c r="OZX2489" s="58"/>
      <c r="OZY2489" s="58"/>
      <c r="OZZ2489" s="60"/>
      <c r="PAA2489" s="60"/>
      <c r="PAB2489" s="60"/>
      <c r="PAC2489" s="58"/>
      <c r="PAD2489" s="61"/>
      <c r="PAE2489" s="58"/>
      <c r="PAF2489" s="58"/>
      <c r="PAG2489" s="58"/>
      <c r="PAH2489" s="60"/>
      <c r="PAI2489" s="60"/>
      <c r="PAJ2489" s="60"/>
      <c r="PAK2489" s="58"/>
      <c r="PAL2489" s="61"/>
      <c r="PAM2489" s="58"/>
      <c r="PAN2489" s="58"/>
      <c r="PAO2489" s="58"/>
      <c r="PAP2489" s="60"/>
      <c r="PAQ2489" s="60"/>
      <c r="PAR2489" s="60"/>
      <c r="PAS2489" s="58"/>
      <c r="PAT2489" s="61"/>
      <c r="PAU2489" s="58"/>
      <c r="PAV2489" s="58"/>
      <c r="PAW2489" s="58"/>
      <c r="PAX2489" s="60"/>
      <c r="PAY2489" s="60"/>
      <c r="PAZ2489" s="60"/>
      <c r="PBA2489" s="58"/>
      <c r="PBB2489" s="61"/>
      <c r="PBC2489" s="58"/>
      <c r="PBD2489" s="58"/>
      <c r="PBE2489" s="58"/>
      <c r="PBF2489" s="60"/>
      <c r="PBG2489" s="60"/>
      <c r="PBH2489" s="60"/>
      <c r="PBI2489" s="58"/>
      <c r="PBJ2489" s="61"/>
      <c r="PBK2489" s="58"/>
      <c r="PBL2489" s="58"/>
      <c r="PBM2489" s="58"/>
      <c r="PBN2489" s="60"/>
      <c r="PBO2489" s="60"/>
      <c r="PBP2489" s="60"/>
      <c r="PBQ2489" s="58"/>
      <c r="PBR2489" s="61"/>
      <c r="PBS2489" s="58"/>
      <c r="PBT2489" s="58"/>
      <c r="PBU2489" s="58"/>
      <c r="PBV2489" s="60"/>
      <c r="PBW2489" s="60"/>
      <c r="PBX2489" s="60"/>
      <c r="PBY2489" s="58"/>
      <c r="PBZ2489" s="61"/>
      <c r="PCA2489" s="58"/>
      <c r="PCB2489" s="58"/>
      <c r="PCC2489" s="58"/>
      <c r="PCD2489" s="60"/>
      <c r="PCE2489" s="60"/>
      <c r="PCF2489" s="60"/>
      <c r="PCG2489" s="58"/>
      <c r="PCH2489" s="61"/>
      <c r="PCI2489" s="58"/>
      <c r="PCJ2489" s="58"/>
      <c r="PCK2489" s="58"/>
      <c r="PCL2489" s="60"/>
      <c r="PCM2489" s="60"/>
      <c r="PCN2489" s="60"/>
      <c r="PCO2489" s="58"/>
      <c r="PCP2489" s="61"/>
      <c r="PCQ2489" s="58"/>
      <c r="PCR2489" s="58"/>
      <c r="PCS2489" s="58"/>
      <c r="PCT2489" s="60"/>
      <c r="PCU2489" s="60"/>
      <c r="PCV2489" s="60"/>
      <c r="PCW2489" s="58"/>
      <c r="PCX2489" s="61"/>
      <c r="PCY2489" s="58"/>
      <c r="PCZ2489" s="58"/>
      <c r="PDA2489" s="58"/>
      <c r="PDB2489" s="60"/>
      <c r="PDC2489" s="60"/>
      <c r="PDD2489" s="60"/>
      <c r="PDE2489" s="58"/>
      <c r="PDF2489" s="61"/>
      <c r="PDG2489" s="58"/>
      <c r="PDH2489" s="58"/>
      <c r="PDI2489" s="58"/>
      <c r="PDJ2489" s="60"/>
      <c r="PDK2489" s="60"/>
      <c r="PDL2489" s="60"/>
      <c r="PDM2489" s="58"/>
      <c r="PDN2489" s="61"/>
      <c r="PDO2489" s="58"/>
      <c r="PDP2489" s="58"/>
      <c r="PDQ2489" s="58"/>
      <c r="PDR2489" s="60"/>
      <c r="PDS2489" s="60"/>
      <c r="PDT2489" s="60"/>
      <c r="PDU2489" s="58"/>
      <c r="PDV2489" s="61"/>
      <c r="PDW2489" s="58"/>
      <c r="PDX2489" s="58"/>
      <c r="PDY2489" s="58"/>
      <c r="PDZ2489" s="60"/>
      <c r="PEA2489" s="60"/>
      <c r="PEB2489" s="60"/>
      <c r="PEC2489" s="58"/>
      <c r="PED2489" s="61"/>
      <c r="PEE2489" s="58"/>
      <c r="PEF2489" s="58"/>
      <c r="PEG2489" s="58"/>
      <c r="PEH2489" s="60"/>
      <c r="PEI2489" s="60"/>
      <c r="PEJ2489" s="60"/>
      <c r="PEK2489" s="58"/>
      <c r="PEL2489" s="61"/>
      <c r="PEM2489" s="58"/>
      <c r="PEN2489" s="58"/>
      <c r="PEO2489" s="58"/>
      <c r="PEP2489" s="60"/>
      <c r="PEQ2489" s="60"/>
      <c r="PER2489" s="60"/>
      <c r="PES2489" s="58"/>
      <c r="PET2489" s="61"/>
      <c r="PEU2489" s="58"/>
      <c r="PEV2489" s="58"/>
      <c r="PEW2489" s="58"/>
      <c r="PEX2489" s="60"/>
      <c r="PEY2489" s="60"/>
      <c r="PEZ2489" s="60"/>
      <c r="PFA2489" s="58"/>
      <c r="PFB2489" s="61"/>
      <c r="PFC2489" s="58"/>
      <c r="PFD2489" s="58"/>
      <c r="PFE2489" s="58"/>
      <c r="PFF2489" s="60"/>
      <c r="PFG2489" s="60"/>
      <c r="PFH2489" s="60"/>
      <c r="PFI2489" s="58"/>
      <c r="PFJ2489" s="61"/>
      <c r="PFK2489" s="58"/>
      <c r="PFL2489" s="58"/>
      <c r="PFM2489" s="58"/>
      <c r="PFN2489" s="60"/>
      <c r="PFO2489" s="60"/>
      <c r="PFP2489" s="60"/>
      <c r="PFQ2489" s="58"/>
      <c r="PFR2489" s="61"/>
      <c r="PFS2489" s="58"/>
      <c r="PFT2489" s="58"/>
      <c r="PFU2489" s="58"/>
      <c r="PFV2489" s="60"/>
      <c r="PFW2489" s="60"/>
      <c r="PFX2489" s="60"/>
      <c r="PFY2489" s="58"/>
      <c r="PFZ2489" s="61"/>
      <c r="PGA2489" s="58"/>
      <c r="PGB2489" s="58"/>
      <c r="PGC2489" s="58"/>
      <c r="PGD2489" s="60"/>
      <c r="PGE2489" s="60"/>
      <c r="PGF2489" s="60"/>
      <c r="PGG2489" s="58"/>
      <c r="PGH2489" s="61"/>
      <c r="PGI2489" s="58"/>
      <c r="PGJ2489" s="58"/>
      <c r="PGK2489" s="58"/>
      <c r="PGL2489" s="60"/>
      <c r="PGM2489" s="60"/>
      <c r="PGN2489" s="60"/>
      <c r="PGO2489" s="58"/>
      <c r="PGP2489" s="61"/>
      <c r="PGQ2489" s="58"/>
      <c r="PGR2489" s="58"/>
      <c r="PGS2489" s="58"/>
      <c r="PGT2489" s="60"/>
      <c r="PGU2489" s="60"/>
      <c r="PGV2489" s="60"/>
      <c r="PGW2489" s="58"/>
      <c r="PGX2489" s="61"/>
      <c r="PGY2489" s="58"/>
      <c r="PGZ2489" s="58"/>
      <c r="PHA2489" s="58"/>
      <c r="PHB2489" s="60"/>
      <c r="PHC2489" s="60"/>
      <c r="PHD2489" s="60"/>
      <c r="PHE2489" s="58"/>
      <c r="PHF2489" s="61"/>
      <c r="PHG2489" s="58"/>
      <c r="PHH2489" s="58"/>
      <c r="PHI2489" s="58"/>
      <c r="PHJ2489" s="60"/>
      <c r="PHK2489" s="60"/>
      <c r="PHL2489" s="60"/>
      <c r="PHM2489" s="58"/>
      <c r="PHN2489" s="61"/>
      <c r="PHO2489" s="58"/>
      <c r="PHP2489" s="58"/>
      <c r="PHQ2489" s="58"/>
      <c r="PHR2489" s="60"/>
      <c r="PHS2489" s="60"/>
      <c r="PHT2489" s="60"/>
      <c r="PHU2489" s="58"/>
      <c r="PHV2489" s="61"/>
      <c r="PHW2489" s="58"/>
      <c r="PHX2489" s="58"/>
      <c r="PHY2489" s="58"/>
      <c r="PHZ2489" s="60"/>
      <c r="PIA2489" s="60"/>
      <c r="PIB2489" s="60"/>
      <c r="PIC2489" s="58"/>
      <c r="PID2489" s="61"/>
      <c r="PIE2489" s="58"/>
      <c r="PIF2489" s="58"/>
      <c r="PIG2489" s="58"/>
      <c r="PIH2489" s="60"/>
      <c r="PII2489" s="60"/>
      <c r="PIJ2489" s="60"/>
      <c r="PIK2489" s="58"/>
      <c r="PIL2489" s="61"/>
      <c r="PIM2489" s="58"/>
      <c r="PIN2489" s="58"/>
      <c r="PIO2489" s="58"/>
      <c r="PIP2489" s="60"/>
      <c r="PIQ2489" s="60"/>
      <c r="PIR2489" s="60"/>
      <c r="PIS2489" s="58"/>
      <c r="PIT2489" s="61"/>
      <c r="PIU2489" s="58"/>
      <c r="PIV2489" s="58"/>
      <c r="PIW2489" s="58"/>
      <c r="PIX2489" s="60"/>
      <c r="PIY2489" s="60"/>
      <c r="PIZ2489" s="60"/>
      <c r="PJA2489" s="58"/>
      <c r="PJB2489" s="61"/>
      <c r="PJC2489" s="58"/>
      <c r="PJD2489" s="58"/>
      <c r="PJE2489" s="58"/>
      <c r="PJF2489" s="60"/>
      <c r="PJG2489" s="60"/>
      <c r="PJH2489" s="60"/>
      <c r="PJI2489" s="58"/>
      <c r="PJJ2489" s="61"/>
      <c r="PJK2489" s="58"/>
      <c r="PJL2489" s="58"/>
      <c r="PJM2489" s="58"/>
      <c r="PJN2489" s="60"/>
      <c r="PJO2489" s="60"/>
      <c r="PJP2489" s="60"/>
      <c r="PJQ2489" s="58"/>
      <c r="PJR2489" s="61"/>
      <c r="PJS2489" s="58"/>
      <c r="PJT2489" s="58"/>
      <c r="PJU2489" s="58"/>
      <c r="PJV2489" s="60"/>
      <c r="PJW2489" s="60"/>
      <c r="PJX2489" s="60"/>
      <c r="PJY2489" s="58"/>
      <c r="PJZ2489" s="61"/>
      <c r="PKA2489" s="58"/>
      <c r="PKB2489" s="58"/>
      <c r="PKC2489" s="58"/>
      <c r="PKD2489" s="60"/>
      <c r="PKE2489" s="60"/>
      <c r="PKF2489" s="60"/>
      <c r="PKG2489" s="58"/>
      <c r="PKH2489" s="61"/>
      <c r="PKI2489" s="58"/>
      <c r="PKJ2489" s="58"/>
      <c r="PKK2489" s="58"/>
      <c r="PKL2489" s="60"/>
      <c r="PKM2489" s="60"/>
      <c r="PKN2489" s="60"/>
      <c r="PKO2489" s="58"/>
      <c r="PKP2489" s="61"/>
      <c r="PKQ2489" s="58"/>
      <c r="PKR2489" s="58"/>
      <c r="PKS2489" s="58"/>
      <c r="PKT2489" s="60"/>
      <c r="PKU2489" s="60"/>
      <c r="PKV2489" s="60"/>
      <c r="PKW2489" s="58"/>
      <c r="PKX2489" s="61"/>
      <c r="PKY2489" s="58"/>
      <c r="PKZ2489" s="58"/>
      <c r="PLA2489" s="58"/>
      <c r="PLB2489" s="60"/>
      <c r="PLC2489" s="60"/>
      <c r="PLD2489" s="60"/>
      <c r="PLE2489" s="58"/>
      <c r="PLF2489" s="61"/>
      <c r="PLG2489" s="58"/>
      <c r="PLH2489" s="58"/>
      <c r="PLI2489" s="58"/>
      <c r="PLJ2489" s="60"/>
      <c r="PLK2489" s="60"/>
      <c r="PLL2489" s="60"/>
      <c r="PLM2489" s="58"/>
      <c r="PLN2489" s="61"/>
      <c r="PLO2489" s="58"/>
      <c r="PLP2489" s="58"/>
      <c r="PLQ2489" s="58"/>
      <c r="PLR2489" s="60"/>
      <c r="PLS2489" s="60"/>
      <c r="PLT2489" s="60"/>
      <c r="PLU2489" s="58"/>
      <c r="PLV2489" s="61"/>
      <c r="PLW2489" s="58"/>
      <c r="PLX2489" s="58"/>
      <c r="PLY2489" s="58"/>
      <c r="PLZ2489" s="60"/>
      <c r="PMA2489" s="60"/>
      <c r="PMB2489" s="60"/>
      <c r="PMC2489" s="58"/>
      <c r="PMD2489" s="61"/>
      <c r="PME2489" s="58"/>
      <c r="PMF2489" s="58"/>
      <c r="PMG2489" s="58"/>
      <c r="PMH2489" s="60"/>
      <c r="PMI2489" s="60"/>
      <c r="PMJ2489" s="60"/>
      <c r="PMK2489" s="58"/>
      <c r="PML2489" s="61"/>
      <c r="PMM2489" s="58"/>
      <c r="PMN2489" s="58"/>
      <c r="PMO2489" s="58"/>
      <c r="PMP2489" s="60"/>
      <c r="PMQ2489" s="60"/>
      <c r="PMR2489" s="60"/>
      <c r="PMS2489" s="58"/>
      <c r="PMT2489" s="61"/>
      <c r="PMU2489" s="58"/>
      <c r="PMV2489" s="58"/>
      <c r="PMW2489" s="58"/>
      <c r="PMX2489" s="60"/>
      <c r="PMY2489" s="60"/>
      <c r="PMZ2489" s="60"/>
      <c r="PNA2489" s="58"/>
      <c r="PNB2489" s="61"/>
      <c r="PNC2489" s="58"/>
      <c r="PND2489" s="58"/>
      <c r="PNE2489" s="58"/>
      <c r="PNF2489" s="60"/>
      <c r="PNG2489" s="60"/>
      <c r="PNH2489" s="60"/>
      <c r="PNI2489" s="58"/>
      <c r="PNJ2489" s="61"/>
      <c r="PNK2489" s="58"/>
      <c r="PNL2489" s="58"/>
      <c r="PNM2489" s="58"/>
      <c r="PNN2489" s="60"/>
      <c r="PNO2489" s="60"/>
      <c r="PNP2489" s="60"/>
      <c r="PNQ2489" s="58"/>
      <c r="PNR2489" s="61"/>
      <c r="PNS2489" s="58"/>
      <c r="PNT2489" s="58"/>
      <c r="PNU2489" s="58"/>
      <c r="PNV2489" s="60"/>
      <c r="PNW2489" s="60"/>
      <c r="PNX2489" s="60"/>
      <c r="PNY2489" s="58"/>
      <c r="PNZ2489" s="61"/>
      <c r="POA2489" s="58"/>
      <c r="POB2489" s="58"/>
      <c r="POC2489" s="58"/>
      <c r="POD2489" s="60"/>
      <c r="POE2489" s="60"/>
      <c r="POF2489" s="60"/>
      <c r="POG2489" s="58"/>
      <c r="POH2489" s="61"/>
      <c r="POI2489" s="58"/>
      <c r="POJ2489" s="58"/>
      <c r="POK2489" s="58"/>
      <c r="POL2489" s="60"/>
      <c r="POM2489" s="60"/>
      <c r="PON2489" s="60"/>
      <c r="POO2489" s="58"/>
      <c r="POP2489" s="61"/>
      <c r="POQ2489" s="58"/>
      <c r="POR2489" s="58"/>
      <c r="POS2489" s="58"/>
      <c r="POT2489" s="60"/>
      <c r="POU2489" s="60"/>
      <c r="POV2489" s="60"/>
      <c r="POW2489" s="58"/>
      <c r="POX2489" s="61"/>
      <c r="POY2489" s="58"/>
      <c r="POZ2489" s="58"/>
      <c r="PPA2489" s="58"/>
      <c r="PPB2489" s="60"/>
      <c r="PPC2489" s="60"/>
      <c r="PPD2489" s="60"/>
      <c r="PPE2489" s="58"/>
      <c r="PPF2489" s="61"/>
      <c r="PPG2489" s="58"/>
      <c r="PPH2489" s="58"/>
      <c r="PPI2489" s="58"/>
      <c r="PPJ2489" s="60"/>
      <c r="PPK2489" s="60"/>
      <c r="PPL2489" s="60"/>
      <c r="PPM2489" s="58"/>
      <c r="PPN2489" s="61"/>
      <c r="PPO2489" s="58"/>
      <c r="PPP2489" s="58"/>
      <c r="PPQ2489" s="58"/>
      <c r="PPR2489" s="60"/>
      <c r="PPS2489" s="60"/>
      <c r="PPT2489" s="60"/>
      <c r="PPU2489" s="58"/>
      <c r="PPV2489" s="61"/>
      <c r="PPW2489" s="58"/>
      <c r="PPX2489" s="58"/>
      <c r="PPY2489" s="58"/>
      <c r="PPZ2489" s="60"/>
      <c r="PQA2489" s="60"/>
      <c r="PQB2489" s="60"/>
      <c r="PQC2489" s="58"/>
      <c r="PQD2489" s="61"/>
      <c r="PQE2489" s="58"/>
      <c r="PQF2489" s="58"/>
      <c r="PQG2489" s="58"/>
      <c r="PQH2489" s="60"/>
      <c r="PQI2489" s="60"/>
      <c r="PQJ2489" s="60"/>
      <c r="PQK2489" s="58"/>
      <c r="PQL2489" s="61"/>
      <c r="PQM2489" s="58"/>
      <c r="PQN2489" s="58"/>
      <c r="PQO2489" s="58"/>
      <c r="PQP2489" s="60"/>
      <c r="PQQ2489" s="60"/>
      <c r="PQR2489" s="60"/>
      <c r="PQS2489" s="58"/>
      <c r="PQT2489" s="61"/>
      <c r="PQU2489" s="58"/>
      <c r="PQV2489" s="58"/>
      <c r="PQW2489" s="58"/>
      <c r="PQX2489" s="60"/>
      <c r="PQY2489" s="60"/>
      <c r="PQZ2489" s="60"/>
      <c r="PRA2489" s="58"/>
      <c r="PRB2489" s="61"/>
      <c r="PRC2489" s="58"/>
      <c r="PRD2489" s="58"/>
      <c r="PRE2489" s="58"/>
      <c r="PRF2489" s="60"/>
      <c r="PRG2489" s="60"/>
      <c r="PRH2489" s="60"/>
      <c r="PRI2489" s="58"/>
      <c r="PRJ2489" s="61"/>
      <c r="PRK2489" s="58"/>
      <c r="PRL2489" s="58"/>
      <c r="PRM2489" s="58"/>
      <c r="PRN2489" s="60"/>
      <c r="PRO2489" s="60"/>
      <c r="PRP2489" s="60"/>
      <c r="PRQ2489" s="58"/>
      <c r="PRR2489" s="61"/>
      <c r="PRS2489" s="58"/>
      <c r="PRT2489" s="58"/>
      <c r="PRU2489" s="58"/>
      <c r="PRV2489" s="60"/>
      <c r="PRW2489" s="60"/>
      <c r="PRX2489" s="60"/>
      <c r="PRY2489" s="58"/>
      <c r="PRZ2489" s="61"/>
      <c r="PSA2489" s="58"/>
      <c r="PSB2489" s="58"/>
      <c r="PSC2489" s="58"/>
      <c r="PSD2489" s="60"/>
      <c r="PSE2489" s="60"/>
      <c r="PSF2489" s="60"/>
      <c r="PSG2489" s="58"/>
      <c r="PSH2489" s="61"/>
      <c r="PSI2489" s="58"/>
      <c r="PSJ2489" s="58"/>
      <c r="PSK2489" s="58"/>
      <c r="PSL2489" s="60"/>
      <c r="PSM2489" s="60"/>
      <c r="PSN2489" s="60"/>
      <c r="PSO2489" s="58"/>
      <c r="PSP2489" s="61"/>
      <c r="PSQ2489" s="58"/>
      <c r="PSR2489" s="58"/>
      <c r="PSS2489" s="58"/>
      <c r="PST2489" s="60"/>
      <c r="PSU2489" s="60"/>
      <c r="PSV2489" s="60"/>
      <c r="PSW2489" s="58"/>
      <c r="PSX2489" s="61"/>
      <c r="PSY2489" s="58"/>
      <c r="PSZ2489" s="58"/>
      <c r="PTA2489" s="58"/>
      <c r="PTB2489" s="60"/>
      <c r="PTC2489" s="60"/>
      <c r="PTD2489" s="60"/>
      <c r="PTE2489" s="58"/>
      <c r="PTF2489" s="61"/>
      <c r="PTG2489" s="58"/>
      <c r="PTH2489" s="58"/>
      <c r="PTI2489" s="58"/>
      <c r="PTJ2489" s="60"/>
      <c r="PTK2489" s="60"/>
      <c r="PTL2489" s="60"/>
      <c r="PTM2489" s="58"/>
      <c r="PTN2489" s="61"/>
      <c r="PTO2489" s="58"/>
      <c r="PTP2489" s="58"/>
      <c r="PTQ2489" s="58"/>
      <c r="PTR2489" s="60"/>
      <c r="PTS2489" s="60"/>
      <c r="PTT2489" s="60"/>
      <c r="PTU2489" s="58"/>
      <c r="PTV2489" s="61"/>
      <c r="PTW2489" s="58"/>
      <c r="PTX2489" s="58"/>
      <c r="PTY2489" s="58"/>
      <c r="PTZ2489" s="60"/>
      <c r="PUA2489" s="60"/>
      <c r="PUB2489" s="60"/>
      <c r="PUC2489" s="58"/>
      <c r="PUD2489" s="61"/>
      <c r="PUE2489" s="58"/>
      <c r="PUF2489" s="58"/>
      <c r="PUG2489" s="58"/>
      <c r="PUH2489" s="60"/>
      <c r="PUI2489" s="60"/>
      <c r="PUJ2489" s="60"/>
      <c r="PUK2489" s="58"/>
      <c r="PUL2489" s="61"/>
      <c r="PUM2489" s="58"/>
      <c r="PUN2489" s="58"/>
      <c r="PUO2489" s="58"/>
      <c r="PUP2489" s="60"/>
      <c r="PUQ2489" s="60"/>
      <c r="PUR2489" s="60"/>
      <c r="PUS2489" s="58"/>
      <c r="PUT2489" s="61"/>
      <c r="PUU2489" s="58"/>
      <c r="PUV2489" s="58"/>
      <c r="PUW2489" s="58"/>
      <c r="PUX2489" s="60"/>
      <c r="PUY2489" s="60"/>
      <c r="PUZ2489" s="60"/>
      <c r="PVA2489" s="58"/>
      <c r="PVB2489" s="61"/>
      <c r="PVC2489" s="58"/>
      <c r="PVD2489" s="58"/>
      <c r="PVE2489" s="58"/>
      <c r="PVF2489" s="60"/>
      <c r="PVG2489" s="60"/>
      <c r="PVH2489" s="60"/>
      <c r="PVI2489" s="58"/>
      <c r="PVJ2489" s="61"/>
      <c r="PVK2489" s="58"/>
      <c r="PVL2489" s="58"/>
      <c r="PVM2489" s="58"/>
      <c r="PVN2489" s="60"/>
      <c r="PVO2489" s="60"/>
      <c r="PVP2489" s="60"/>
      <c r="PVQ2489" s="58"/>
      <c r="PVR2489" s="61"/>
      <c r="PVS2489" s="58"/>
      <c r="PVT2489" s="58"/>
      <c r="PVU2489" s="58"/>
      <c r="PVV2489" s="60"/>
      <c r="PVW2489" s="60"/>
      <c r="PVX2489" s="60"/>
      <c r="PVY2489" s="58"/>
      <c r="PVZ2489" s="61"/>
      <c r="PWA2489" s="58"/>
      <c r="PWB2489" s="58"/>
      <c r="PWC2489" s="58"/>
      <c r="PWD2489" s="60"/>
      <c r="PWE2489" s="60"/>
      <c r="PWF2489" s="60"/>
      <c r="PWG2489" s="58"/>
      <c r="PWH2489" s="61"/>
      <c r="PWI2489" s="58"/>
      <c r="PWJ2489" s="58"/>
      <c r="PWK2489" s="58"/>
      <c r="PWL2489" s="60"/>
      <c r="PWM2489" s="60"/>
      <c r="PWN2489" s="60"/>
      <c r="PWO2489" s="58"/>
      <c r="PWP2489" s="61"/>
      <c r="PWQ2489" s="58"/>
      <c r="PWR2489" s="58"/>
      <c r="PWS2489" s="58"/>
      <c r="PWT2489" s="60"/>
      <c r="PWU2489" s="60"/>
      <c r="PWV2489" s="60"/>
      <c r="PWW2489" s="58"/>
      <c r="PWX2489" s="61"/>
      <c r="PWY2489" s="58"/>
      <c r="PWZ2489" s="58"/>
      <c r="PXA2489" s="58"/>
      <c r="PXB2489" s="60"/>
      <c r="PXC2489" s="60"/>
      <c r="PXD2489" s="60"/>
      <c r="PXE2489" s="58"/>
      <c r="PXF2489" s="61"/>
      <c r="PXG2489" s="58"/>
      <c r="PXH2489" s="58"/>
      <c r="PXI2489" s="58"/>
      <c r="PXJ2489" s="60"/>
      <c r="PXK2489" s="60"/>
      <c r="PXL2489" s="60"/>
      <c r="PXM2489" s="58"/>
      <c r="PXN2489" s="61"/>
      <c r="PXO2489" s="58"/>
      <c r="PXP2489" s="58"/>
      <c r="PXQ2489" s="58"/>
      <c r="PXR2489" s="60"/>
      <c r="PXS2489" s="60"/>
      <c r="PXT2489" s="60"/>
      <c r="PXU2489" s="58"/>
      <c r="PXV2489" s="61"/>
      <c r="PXW2489" s="58"/>
      <c r="PXX2489" s="58"/>
      <c r="PXY2489" s="58"/>
      <c r="PXZ2489" s="60"/>
      <c r="PYA2489" s="60"/>
      <c r="PYB2489" s="60"/>
      <c r="PYC2489" s="58"/>
      <c r="PYD2489" s="61"/>
      <c r="PYE2489" s="58"/>
      <c r="PYF2489" s="58"/>
      <c r="PYG2489" s="58"/>
      <c r="PYH2489" s="60"/>
      <c r="PYI2489" s="60"/>
      <c r="PYJ2489" s="60"/>
      <c r="PYK2489" s="58"/>
      <c r="PYL2489" s="61"/>
      <c r="PYM2489" s="58"/>
      <c r="PYN2489" s="58"/>
      <c r="PYO2489" s="58"/>
      <c r="PYP2489" s="60"/>
      <c r="PYQ2489" s="60"/>
      <c r="PYR2489" s="60"/>
      <c r="PYS2489" s="58"/>
      <c r="PYT2489" s="61"/>
      <c r="PYU2489" s="58"/>
      <c r="PYV2489" s="58"/>
      <c r="PYW2489" s="58"/>
      <c r="PYX2489" s="60"/>
      <c r="PYY2489" s="60"/>
      <c r="PYZ2489" s="60"/>
      <c r="PZA2489" s="58"/>
      <c r="PZB2489" s="61"/>
      <c r="PZC2489" s="58"/>
      <c r="PZD2489" s="58"/>
      <c r="PZE2489" s="58"/>
      <c r="PZF2489" s="60"/>
      <c r="PZG2489" s="60"/>
      <c r="PZH2489" s="60"/>
      <c r="PZI2489" s="58"/>
      <c r="PZJ2489" s="61"/>
      <c r="PZK2489" s="58"/>
      <c r="PZL2489" s="58"/>
      <c r="PZM2489" s="58"/>
      <c r="PZN2489" s="60"/>
      <c r="PZO2489" s="60"/>
      <c r="PZP2489" s="60"/>
      <c r="PZQ2489" s="58"/>
      <c r="PZR2489" s="61"/>
      <c r="PZS2489" s="58"/>
      <c r="PZT2489" s="58"/>
      <c r="PZU2489" s="58"/>
      <c r="PZV2489" s="60"/>
      <c r="PZW2489" s="60"/>
      <c r="PZX2489" s="60"/>
      <c r="PZY2489" s="58"/>
      <c r="PZZ2489" s="61"/>
      <c r="QAA2489" s="58"/>
      <c r="QAB2489" s="58"/>
      <c r="QAC2489" s="58"/>
      <c r="QAD2489" s="60"/>
      <c r="QAE2489" s="60"/>
      <c r="QAF2489" s="60"/>
      <c r="QAG2489" s="58"/>
      <c r="QAH2489" s="61"/>
      <c r="QAI2489" s="58"/>
      <c r="QAJ2489" s="58"/>
      <c r="QAK2489" s="58"/>
      <c r="QAL2489" s="60"/>
      <c r="QAM2489" s="60"/>
      <c r="QAN2489" s="60"/>
      <c r="QAO2489" s="58"/>
      <c r="QAP2489" s="61"/>
      <c r="QAQ2489" s="58"/>
      <c r="QAR2489" s="58"/>
      <c r="QAS2489" s="58"/>
      <c r="QAT2489" s="60"/>
      <c r="QAU2489" s="60"/>
      <c r="QAV2489" s="60"/>
      <c r="QAW2489" s="58"/>
      <c r="QAX2489" s="61"/>
      <c r="QAY2489" s="58"/>
      <c r="QAZ2489" s="58"/>
      <c r="QBA2489" s="58"/>
      <c r="QBB2489" s="60"/>
      <c r="QBC2489" s="60"/>
      <c r="QBD2489" s="60"/>
      <c r="QBE2489" s="58"/>
      <c r="QBF2489" s="61"/>
      <c r="QBG2489" s="58"/>
      <c r="QBH2489" s="58"/>
      <c r="QBI2489" s="58"/>
      <c r="QBJ2489" s="60"/>
      <c r="QBK2489" s="60"/>
      <c r="QBL2489" s="60"/>
      <c r="QBM2489" s="58"/>
      <c r="QBN2489" s="61"/>
      <c r="QBO2489" s="58"/>
      <c r="QBP2489" s="58"/>
      <c r="QBQ2489" s="58"/>
      <c r="QBR2489" s="60"/>
      <c r="QBS2489" s="60"/>
      <c r="QBT2489" s="60"/>
      <c r="QBU2489" s="58"/>
      <c r="QBV2489" s="61"/>
      <c r="QBW2489" s="58"/>
      <c r="QBX2489" s="58"/>
      <c r="QBY2489" s="58"/>
      <c r="QBZ2489" s="60"/>
      <c r="QCA2489" s="60"/>
      <c r="QCB2489" s="60"/>
      <c r="QCC2489" s="58"/>
      <c r="QCD2489" s="61"/>
      <c r="QCE2489" s="58"/>
      <c r="QCF2489" s="58"/>
      <c r="QCG2489" s="58"/>
      <c r="QCH2489" s="60"/>
      <c r="QCI2489" s="60"/>
      <c r="QCJ2489" s="60"/>
      <c r="QCK2489" s="58"/>
      <c r="QCL2489" s="61"/>
      <c r="QCM2489" s="58"/>
      <c r="QCN2489" s="58"/>
      <c r="QCO2489" s="58"/>
      <c r="QCP2489" s="60"/>
      <c r="QCQ2489" s="60"/>
      <c r="QCR2489" s="60"/>
      <c r="QCS2489" s="58"/>
      <c r="QCT2489" s="61"/>
      <c r="QCU2489" s="58"/>
      <c r="QCV2489" s="58"/>
      <c r="QCW2489" s="58"/>
      <c r="QCX2489" s="60"/>
      <c r="QCY2489" s="60"/>
      <c r="QCZ2489" s="60"/>
      <c r="QDA2489" s="58"/>
      <c r="QDB2489" s="61"/>
      <c r="QDC2489" s="58"/>
      <c r="QDD2489" s="58"/>
      <c r="QDE2489" s="58"/>
      <c r="QDF2489" s="60"/>
      <c r="QDG2489" s="60"/>
      <c r="QDH2489" s="60"/>
      <c r="QDI2489" s="58"/>
      <c r="QDJ2489" s="61"/>
      <c r="QDK2489" s="58"/>
      <c r="QDL2489" s="58"/>
      <c r="QDM2489" s="58"/>
      <c r="QDN2489" s="60"/>
      <c r="QDO2489" s="60"/>
      <c r="QDP2489" s="60"/>
      <c r="QDQ2489" s="58"/>
      <c r="QDR2489" s="61"/>
      <c r="QDS2489" s="58"/>
      <c r="QDT2489" s="58"/>
      <c r="QDU2489" s="58"/>
      <c r="QDV2489" s="60"/>
      <c r="QDW2489" s="60"/>
      <c r="QDX2489" s="60"/>
      <c r="QDY2489" s="58"/>
      <c r="QDZ2489" s="61"/>
      <c r="QEA2489" s="58"/>
      <c r="QEB2489" s="58"/>
      <c r="QEC2489" s="58"/>
      <c r="QED2489" s="60"/>
      <c r="QEE2489" s="60"/>
      <c r="QEF2489" s="60"/>
      <c r="QEG2489" s="58"/>
      <c r="QEH2489" s="61"/>
      <c r="QEI2489" s="58"/>
      <c r="QEJ2489" s="58"/>
      <c r="QEK2489" s="58"/>
      <c r="QEL2489" s="60"/>
      <c r="QEM2489" s="60"/>
      <c r="QEN2489" s="60"/>
      <c r="QEO2489" s="58"/>
      <c r="QEP2489" s="61"/>
      <c r="QEQ2489" s="58"/>
      <c r="QER2489" s="58"/>
      <c r="QES2489" s="58"/>
      <c r="QET2489" s="60"/>
      <c r="QEU2489" s="60"/>
      <c r="QEV2489" s="60"/>
      <c r="QEW2489" s="58"/>
      <c r="QEX2489" s="61"/>
      <c r="QEY2489" s="58"/>
      <c r="QEZ2489" s="58"/>
      <c r="QFA2489" s="58"/>
      <c r="QFB2489" s="60"/>
      <c r="QFC2489" s="60"/>
      <c r="QFD2489" s="60"/>
      <c r="QFE2489" s="58"/>
      <c r="QFF2489" s="61"/>
      <c r="QFG2489" s="58"/>
      <c r="QFH2489" s="58"/>
      <c r="QFI2489" s="58"/>
      <c r="QFJ2489" s="60"/>
      <c r="QFK2489" s="60"/>
      <c r="QFL2489" s="60"/>
      <c r="QFM2489" s="58"/>
      <c r="QFN2489" s="61"/>
      <c r="QFO2489" s="58"/>
      <c r="QFP2489" s="58"/>
      <c r="QFQ2489" s="58"/>
      <c r="QFR2489" s="60"/>
      <c r="QFS2489" s="60"/>
      <c r="QFT2489" s="60"/>
      <c r="QFU2489" s="58"/>
      <c r="QFV2489" s="61"/>
      <c r="QFW2489" s="58"/>
      <c r="QFX2489" s="58"/>
      <c r="QFY2489" s="58"/>
      <c r="QFZ2489" s="60"/>
      <c r="QGA2489" s="60"/>
      <c r="QGB2489" s="60"/>
      <c r="QGC2489" s="58"/>
      <c r="QGD2489" s="61"/>
      <c r="QGE2489" s="58"/>
      <c r="QGF2489" s="58"/>
      <c r="QGG2489" s="58"/>
      <c r="QGH2489" s="60"/>
      <c r="QGI2489" s="60"/>
      <c r="QGJ2489" s="60"/>
      <c r="QGK2489" s="58"/>
      <c r="QGL2489" s="61"/>
      <c r="QGM2489" s="58"/>
      <c r="QGN2489" s="58"/>
      <c r="QGO2489" s="58"/>
      <c r="QGP2489" s="60"/>
      <c r="QGQ2489" s="60"/>
      <c r="QGR2489" s="60"/>
      <c r="QGS2489" s="58"/>
      <c r="QGT2489" s="61"/>
      <c r="QGU2489" s="58"/>
      <c r="QGV2489" s="58"/>
      <c r="QGW2489" s="58"/>
      <c r="QGX2489" s="60"/>
      <c r="QGY2489" s="60"/>
      <c r="QGZ2489" s="60"/>
      <c r="QHA2489" s="58"/>
      <c r="QHB2489" s="61"/>
      <c r="QHC2489" s="58"/>
      <c r="QHD2489" s="58"/>
      <c r="QHE2489" s="58"/>
      <c r="QHF2489" s="60"/>
      <c r="QHG2489" s="60"/>
      <c r="QHH2489" s="60"/>
      <c r="QHI2489" s="58"/>
      <c r="QHJ2489" s="61"/>
      <c r="QHK2489" s="58"/>
      <c r="QHL2489" s="58"/>
      <c r="QHM2489" s="58"/>
      <c r="QHN2489" s="60"/>
      <c r="QHO2489" s="60"/>
      <c r="QHP2489" s="60"/>
      <c r="QHQ2489" s="58"/>
      <c r="QHR2489" s="61"/>
      <c r="QHS2489" s="58"/>
      <c r="QHT2489" s="58"/>
      <c r="QHU2489" s="58"/>
      <c r="QHV2489" s="60"/>
      <c r="QHW2489" s="60"/>
      <c r="QHX2489" s="60"/>
      <c r="QHY2489" s="58"/>
      <c r="QHZ2489" s="61"/>
      <c r="QIA2489" s="58"/>
      <c r="QIB2489" s="58"/>
      <c r="QIC2489" s="58"/>
      <c r="QID2489" s="60"/>
      <c r="QIE2489" s="60"/>
      <c r="QIF2489" s="60"/>
      <c r="QIG2489" s="58"/>
      <c r="QIH2489" s="61"/>
      <c r="QII2489" s="58"/>
      <c r="QIJ2489" s="58"/>
      <c r="QIK2489" s="58"/>
      <c r="QIL2489" s="60"/>
      <c r="QIM2489" s="60"/>
      <c r="QIN2489" s="60"/>
      <c r="QIO2489" s="58"/>
      <c r="QIP2489" s="61"/>
      <c r="QIQ2489" s="58"/>
      <c r="QIR2489" s="58"/>
      <c r="QIS2489" s="58"/>
      <c r="QIT2489" s="60"/>
      <c r="QIU2489" s="60"/>
      <c r="QIV2489" s="60"/>
      <c r="QIW2489" s="58"/>
      <c r="QIX2489" s="61"/>
      <c r="QIY2489" s="58"/>
      <c r="QIZ2489" s="58"/>
      <c r="QJA2489" s="58"/>
      <c r="QJB2489" s="60"/>
      <c r="QJC2489" s="60"/>
      <c r="QJD2489" s="60"/>
      <c r="QJE2489" s="58"/>
      <c r="QJF2489" s="61"/>
      <c r="QJG2489" s="58"/>
      <c r="QJH2489" s="58"/>
      <c r="QJI2489" s="58"/>
      <c r="QJJ2489" s="60"/>
      <c r="QJK2489" s="60"/>
      <c r="QJL2489" s="60"/>
      <c r="QJM2489" s="58"/>
      <c r="QJN2489" s="61"/>
      <c r="QJO2489" s="58"/>
      <c r="QJP2489" s="58"/>
      <c r="QJQ2489" s="58"/>
      <c r="QJR2489" s="60"/>
      <c r="QJS2489" s="60"/>
      <c r="QJT2489" s="60"/>
      <c r="QJU2489" s="58"/>
      <c r="QJV2489" s="61"/>
      <c r="QJW2489" s="58"/>
      <c r="QJX2489" s="58"/>
      <c r="QJY2489" s="58"/>
      <c r="QJZ2489" s="60"/>
      <c r="QKA2489" s="60"/>
      <c r="QKB2489" s="60"/>
      <c r="QKC2489" s="58"/>
      <c r="QKD2489" s="61"/>
      <c r="QKE2489" s="58"/>
      <c r="QKF2489" s="58"/>
      <c r="QKG2489" s="58"/>
      <c r="QKH2489" s="60"/>
      <c r="QKI2489" s="60"/>
      <c r="QKJ2489" s="60"/>
      <c r="QKK2489" s="58"/>
      <c r="QKL2489" s="61"/>
      <c r="QKM2489" s="58"/>
      <c r="QKN2489" s="58"/>
      <c r="QKO2489" s="58"/>
      <c r="QKP2489" s="60"/>
      <c r="QKQ2489" s="60"/>
      <c r="QKR2489" s="60"/>
      <c r="QKS2489" s="58"/>
      <c r="QKT2489" s="61"/>
      <c r="QKU2489" s="58"/>
      <c r="QKV2489" s="58"/>
      <c r="QKW2489" s="58"/>
      <c r="QKX2489" s="60"/>
      <c r="QKY2489" s="60"/>
      <c r="QKZ2489" s="60"/>
      <c r="QLA2489" s="58"/>
      <c r="QLB2489" s="61"/>
      <c r="QLC2489" s="58"/>
      <c r="QLD2489" s="58"/>
      <c r="QLE2489" s="58"/>
      <c r="QLF2489" s="60"/>
      <c r="QLG2489" s="60"/>
      <c r="QLH2489" s="60"/>
      <c r="QLI2489" s="58"/>
      <c r="QLJ2489" s="61"/>
      <c r="QLK2489" s="58"/>
      <c r="QLL2489" s="58"/>
      <c r="QLM2489" s="58"/>
      <c r="QLN2489" s="60"/>
      <c r="QLO2489" s="60"/>
      <c r="QLP2489" s="60"/>
      <c r="QLQ2489" s="58"/>
      <c r="QLR2489" s="61"/>
      <c r="QLS2489" s="58"/>
      <c r="QLT2489" s="58"/>
      <c r="QLU2489" s="58"/>
      <c r="QLV2489" s="60"/>
      <c r="QLW2489" s="60"/>
      <c r="QLX2489" s="60"/>
      <c r="QLY2489" s="58"/>
      <c r="QLZ2489" s="61"/>
      <c r="QMA2489" s="58"/>
      <c r="QMB2489" s="58"/>
      <c r="QMC2489" s="58"/>
      <c r="QMD2489" s="60"/>
      <c r="QME2489" s="60"/>
      <c r="QMF2489" s="60"/>
      <c r="QMG2489" s="58"/>
      <c r="QMH2489" s="61"/>
      <c r="QMI2489" s="58"/>
      <c r="QMJ2489" s="58"/>
      <c r="QMK2489" s="58"/>
      <c r="QML2489" s="60"/>
      <c r="QMM2489" s="60"/>
      <c r="QMN2489" s="60"/>
      <c r="QMO2489" s="58"/>
      <c r="QMP2489" s="61"/>
      <c r="QMQ2489" s="58"/>
      <c r="QMR2489" s="58"/>
      <c r="QMS2489" s="58"/>
      <c r="QMT2489" s="60"/>
      <c r="QMU2489" s="60"/>
      <c r="QMV2489" s="60"/>
      <c r="QMW2489" s="58"/>
      <c r="QMX2489" s="61"/>
      <c r="QMY2489" s="58"/>
      <c r="QMZ2489" s="58"/>
      <c r="QNA2489" s="58"/>
      <c r="QNB2489" s="60"/>
      <c r="QNC2489" s="60"/>
      <c r="QND2489" s="60"/>
      <c r="QNE2489" s="58"/>
      <c r="QNF2489" s="61"/>
      <c r="QNG2489" s="58"/>
      <c r="QNH2489" s="58"/>
      <c r="QNI2489" s="58"/>
      <c r="QNJ2489" s="60"/>
      <c r="QNK2489" s="60"/>
      <c r="QNL2489" s="60"/>
      <c r="QNM2489" s="58"/>
      <c r="QNN2489" s="61"/>
      <c r="QNO2489" s="58"/>
      <c r="QNP2489" s="58"/>
      <c r="QNQ2489" s="58"/>
      <c r="QNR2489" s="60"/>
      <c r="QNS2489" s="60"/>
      <c r="QNT2489" s="60"/>
      <c r="QNU2489" s="58"/>
      <c r="QNV2489" s="61"/>
      <c r="QNW2489" s="58"/>
      <c r="QNX2489" s="58"/>
      <c r="QNY2489" s="58"/>
      <c r="QNZ2489" s="60"/>
      <c r="QOA2489" s="60"/>
      <c r="QOB2489" s="60"/>
      <c r="QOC2489" s="58"/>
      <c r="QOD2489" s="61"/>
      <c r="QOE2489" s="58"/>
      <c r="QOF2489" s="58"/>
      <c r="QOG2489" s="58"/>
      <c r="QOH2489" s="60"/>
      <c r="QOI2489" s="60"/>
      <c r="QOJ2489" s="60"/>
      <c r="QOK2489" s="58"/>
      <c r="QOL2489" s="61"/>
      <c r="QOM2489" s="58"/>
      <c r="QON2489" s="58"/>
      <c r="QOO2489" s="58"/>
      <c r="QOP2489" s="60"/>
      <c r="QOQ2489" s="60"/>
      <c r="QOR2489" s="60"/>
      <c r="QOS2489" s="58"/>
      <c r="QOT2489" s="61"/>
      <c r="QOU2489" s="58"/>
      <c r="QOV2489" s="58"/>
      <c r="QOW2489" s="58"/>
      <c r="QOX2489" s="60"/>
      <c r="QOY2489" s="60"/>
      <c r="QOZ2489" s="60"/>
      <c r="QPA2489" s="58"/>
      <c r="QPB2489" s="61"/>
      <c r="QPC2489" s="58"/>
      <c r="QPD2489" s="58"/>
      <c r="QPE2489" s="58"/>
      <c r="QPF2489" s="60"/>
      <c r="QPG2489" s="60"/>
      <c r="QPH2489" s="60"/>
      <c r="QPI2489" s="58"/>
      <c r="QPJ2489" s="61"/>
      <c r="QPK2489" s="58"/>
      <c r="QPL2489" s="58"/>
      <c r="QPM2489" s="58"/>
      <c r="QPN2489" s="60"/>
      <c r="QPO2489" s="60"/>
      <c r="QPP2489" s="60"/>
      <c r="QPQ2489" s="58"/>
      <c r="QPR2489" s="61"/>
      <c r="QPS2489" s="58"/>
      <c r="QPT2489" s="58"/>
      <c r="QPU2489" s="58"/>
      <c r="QPV2489" s="60"/>
      <c r="QPW2489" s="60"/>
      <c r="QPX2489" s="60"/>
      <c r="QPY2489" s="58"/>
      <c r="QPZ2489" s="61"/>
      <c r="QQA2489" s="58"/>
      <c r="QQB2489" s="58"/>
      <c r="QQC2489" s="58"/>
      <c r="QQD2489" s="60"/>
      <c r="QQE2489" s="60"/>
      <c r="QQF2489" s="60"/>
      <c r="QQG2489" s="58"/>
      <c r="QQH2489" s="61"/>
      <c r="QQI2489" s="58"/>
      <c r="QQJ2489" s="58"/>
      <c r="QQK2489" s="58"/>
      <c r="QQL2489" s="60"/>
      <c r="QQM2489" s="60"/>
      <c r="QQN2489" s="60"/>
      <c r="QQO2489" s="58"/>
      <c r="QQP2489" s="61"/>
      <c r="QQQ2489" s="58"/>
      <c r="QQR2489" s="58"/>
      <c r="QQS2489" s="58"/>
      <c r="QQT2489" s="60"/>
      <c r="QQU2489" s="60"/>
      <c r="QQV2489" s="60"/>
      <c r="QQW2489" s="58"/>
      <c r="QQX2489" s="61"/>
      <c r="QQY2489" s="58"/>
      <c r="QQZ2489" s="58"/>
      <c r="QRA2489" s="58"/>
      <c r="QRB2489" s="60"/>
      <c r="QRC2489" s="60"/>
      <c r="QRD2489" s="60"/>
      <c r="QRE2489" s="58"/>
      <c r="QRF2489" s="61"/>
      <c r="QRG2489" s="58"/>
      <c r="QRH2489" s="58"/>
      <c r="QRI2489" s="58"/>
      <c r="QRJ2489" s="60"/>
      <c r="QRK2489" s="60"/>
      <c r="QRL2489" s="60"/>
      <c r="QRM2489" s="58"/>
      <c r="QRN2489" s="61"/>
      <c r="QRO2489" s="58"/>
      <c r="QRP2489" s="58"/>
      <c r="QRQ2489" s="58"/>
      <c r="QRR2489" s="60"/>
      <c r="QRS2489" s="60"/>
      <c r="QRT2489" s="60"/>
      <c r="QRU2489" s="58"/>
      <c r="QRV2489" s="61"/>
      <c r="QRW2489" s="58"/>
      <c r="QRX2489" s="58"/>
      <c r="QRY2489" s="58"/>
      <c r="QRZ2489" s="60"/>
      <c r="QSA2489" s="60"/>
      <c r="QSB2489" s="60"/>
      <c r="QSC2489" s="58"/>
      <c r="QSD2489" s="61"/>
      <c r="QSE2489" s="58"/>
      <c r="QSF2489" s="58"/>
      <c r="QSG2489" s="58"/>
      <c r="QSH2489" s="60"/>
      <c r="QSI2489" s="60"/>
      <c r="QSJ2489" s="60"/>
      <c r="QSK2489" s="58"/>
      <c r="QSL2489" s="61"/>
      <c r="QSM2489" s="58"/>
      <c r="QSN2489" s="58"/>
      <c r="QSO2489" s="58"/>
      <c r="QSP2489" s="60"/>
      <c r="QSQ2489" s="60"/>
      <c r="QSR2489" s="60"/>
      <c r="QSS2489" s="58"/>
      <c r="QST2489" s="61"/>
      <c r="QSU2489" s="58"/>
      <c r="QSV2489" s="58"/>
      <c r="QSW2489" s="58"/>
      <c r="QSX2489" s="60"/>
      <c r="QSY2489" s="60"/>
      <c r="QSZ2489" s="60"/>
      <c r="QTA2489" s="58"/>
      <c r="QTB2489" s="61"/>
      <c r="QTC2489" s="58"/>
      <c r="QTD2489" s="58"/>
      <c r="QTE2489" s="58"/>
      <c r="QTF2489" s="60"/>
      <c r="QTG2489" s="60"/>
      <c r="QTH2489" s="60"/>
      <c r="QTI2489" s="58"/>
      <c r="QTJ2489" s="61"/>
      <c r="QTK2489" s="58"/>
      <c r="QTL2489" s="58"/>
      <c r="QTM2489" s="58"/>
      <c r="QTN2489" s="60"/>
      <c r="QTO2489" s="60"/>
      <c r="QTP2489" s="60"/>
      <c r="QTQ2489" s="58"/>
      <c r="QTR2489" s="61"/>
      <c r="QTS2489" s="58"/>
      <c r="QTT2489" s="58"/>
      <c r="QTU2489" s="58"/>
      <c r="QTV2489" s="60"/>
      <c r="QTW2489" s="60"/>
      <c r="QTX2489" s="60"/>
      <c r="QTY2489" s="58"/>
      <c r="QTZ2489" s="61"/>
      <c r="QUA2489" s="58"/>
      <c r="QUB2489" s="58"/>
      <c r="QUC2489" s="58"/>
      <c r="QUD2489" s="60"/>
      <c r="QUE2489" s="60"/>
      <c r="QUF2489" s="60"/>
      <c r="QUG2489" s="58"/>
      <c r="QUH2489" s="61"/>
      <c r="QUI2489" s="58"/>
      <c r="QUJ2489" s="58"/>
      <c r="QUK2489" s="58"/>
      <c r="QUL2489" s="60"/>
      <c r="QUM2489" s="60"/>
      <c r="QUN2489" s="60"/>
      <c r="QUO2489" s="58"/>
      <c r="QUP2489" s="61"/>
      <c r="QUQ2489" s="58"/>
      <c r="QUR2489" s="58"/>
      <c r="QUS2489" s="58"/>
      <c r="QUT2489" s="60"/>
      <c r="QUU2489" s="60"/>
      <c r="QUV2489" s="60"/>
      <c r="QUW2489" s="58"/>
      <c r="QUX2489" s="61"/>
      <c r="QUY2489" s="58"/>
      <c r="QUZ2489" s="58"/>
      <c r="QVA2489" s="58"/>
      <c r="QVB2489" s="60"/>
      <c r="QVC2489" s="60"/>
      <c r="QVD2489" s="60"/>
      <c r="QVE2489" s="58"/>
      <c r="QVF2489" s="61"/>
      <c r="QVG2489" s="58"/>
      <c r="QVH2489" s="58"/>
      <c r="QVI2489" s="58"/>
      <c r="QVJ2489" s="60"/>
      <c r="QVK2489" s="60"/>
      <c r="QVL2489" s="60"/>
      <c r="QVM2489" s="58"/>
      <c r="QVN2489" s="61"/>
      <c r="QVO2489" s="58"/>
      <c r="QVP2489" s="58"/>
      <c r="QVQ2489" s="58"/>
      <c r="QVR2489" s="60"/>
      <c r="QVS2489" s="60"/>
      <c r="QVT2489" s="60"/>
      <c r="QVU2489" s="58"/>
      <c r="QVV2489" s="61"/>
      <c r="QVW2489" s="58"/>
      <c r="QVX2489" s="58"/>
      <c r="QVY2489" s="58"/>
      <c r="QVZ2489" s="60"/>
      <c r="QWA2489" s="60"/>
      <c r="QWB2489" s="60"/>
      <c r="QWC2489" s="58"/>
      <c r="QWD2489" s="61"/>
      <c r="QWE2489" s="58"/>
      <c r="QWF2489" s="58"/>
      <c r="QWG2489" s="58"/>
      <c r="QWH2489" s="60"/>
      <c r="QWI2489" s="60"/>
      <c r="QWJ2489" s="60"/>
      <c r="QWK2489" s="58"/>
      <c r="QWL2489" s="61"/>
      <c r="QWM2489" s="58"/>
      <c r="QWN2489" s="58"/>
      <c r="QWO2489" s="58"/>
      <c r="QWP2489" s="60"/>
      <c r="QWQ2489" s="60"/>
      <c r="QWR2489" s="60"/>
      <c r="QWS2489" s="58"/>
      <c r="QWT2489" s="61"/>
      <c r="QWU2489" s="58"/>
      <c r="QWV2489" s="58"/>
      <c r="QWW2489" s="58"/>
      <c r="QWX2489" s="60"/>
      <c r="QWY2489" s="60"/>
      <c r="QWZ2489" s="60"/>
      <c r="QXA2489" s="58"/>
      <c r="QXB2489" s="61"/>
      <c r="QXC2489" s="58"/>
      <c r="QXD2489" s="58"/>
      <c r="QXE2489" s="58"/>
      <c r="QXF2489" s="60"/>
      <c r="QXG2489" s="60"/>
      <c r="QXH2489" s="60"/>
      <c r="QXI2489" s="58"/>
      <c r="QXJ2489" s="61"/>
      <c r="QXK2489" s="58"/>
      <c r="QXL2489" s="58"/>
      <c r="QXM2489" s="58"/>
      <c r="QXN2489" s="60"/>
      <c r="QXO2489" s="60"/>
      <c r="QXP2489" s="60"/>
      <c r="QXQ2489" s="58"/>
      <c r="QXR2489" s="61"/>
      <c r="QXS2489" s="58"/>
      <c r="QXT2489" s="58"/>
      <c r="QXU2489" s="58"/>
      <c r="QXV2489" s="60"/>
      <c r="QXW2489" s="60"/>
      <c r="QXX2489" s="60"/>
      <c r="QXY2489" s="58"/>
      <c r="QXZ2489" s="61"/>
      <c r="QYA2489" s="58"/>
      <c r="QYB2489" s="58"/>
      <c r="QYC2489" s="58"/>
      <c r="QYD2489" s="60"/>
      <c r="QYE2489" s="60"/>
      <c r="QYF2489" s="60"/>
      <c r="QYG2489" s="58"/>
      <c r="QYH2489" s="61"/>
      <c r="QYI2489" s="58"/>
      <c r="QYJ2489" s="58"/>
      <c r="QYK2489" s="58"/>
      <c r="QYL2489" s="60"/>
      <c r="QYM2489" s="60"/>
      <c r="QYN2489" s="60"/>
      <c r="QYO2489" s="58"/>
      <c r="QYP2489" s="61"/>
      <c r="QYQ2489" s="58"/>
      <c r="QYR2489" s="58"/>
      <c r="QYS2489" s="58"/>
      <c r="QYT2489" s="60"/>
      <c r="QYU2489" s="60"/>
      <c r="QYV2489" s="60"/>
      <c r="QYW2489" s="58"/>
      <c r="QYX2489" s="61"/>
      <c r="QYY2489" s="58"/>
      <c r="QYZ2489" s="58"/>
      <c r="QZA2489" s="58"/>
      <c r="QZB2489" s="60"/>
      <c r="QZC2489" s="60"/>
      <c r="QZD2489" s="60"/>
      <c r="QZE2489" s="58"/>
      <c r="QZF2489" s="61"/>
      <c r="QZG2489" s="58"/>
      <c r="QZH2489" s="58"/>
      <c r="QZI2489" s="58"/>
      <c r="QZJ2489" s="60"/>
      <c r="QZK2489" s="60"/>
      <c r="QZL2489" s="60"/>
      <c r="QZM2489" s="58"/>
      <c r="QZN2489" s="61"/>
      <c r="QZO2489" s="58"/>
      <c r="QZP2489" s="58"/>
      <c r="QZQ2489" s="58"/>
      <c r="QZR2489" s="60"/>
      <c r="QZS2489" s="60"/>
      <c r="QZT2489" s="60"/>
      <c r="QZU2489" s="58"/>
      <c r="QZV2489" s="61"/>
      <c r="QZW2489" s="58"/>
      <c r="QZX2489" s="58"/>
      <c r="QZY2489" s="58"/>
      <c r="QZZ2489" s="60"/>
      <c r="RAA2489" s="60"/>
      <c r="RAB2489" s="60"/>
      <c r="RAC2489" s="58"/>
      <c r="RAD2489" s="61"/>
      <c r="RAE2489" s="58"/>
      <c r="RAF2489" s="58"/>
      <c r="RAG2489" s="58"/>
      <c r="RAH2489" s="60"/>
      <c r="RAI2489" s="60"/>
      <c r="RAJ2489" s="60"/>
      <c r="RAK2489" s="58"/>
      <c r="RAL2489" s="61"/>
      <c r="RAM2489" s="58"/>
      <c r="RAN2489" s="58"/>
      <c r="RAO2489" s="58"/>
      <c r="RAP2489" s="60"/>
      <c r="RAQ2489" s="60"/>
      <c r="RAR2489" s="60"/>
      <c r="RAS2489" s="58"/>
      <c r="RAT2489" s="61"/>
      <c r="RAU2489" s="58"/>
      <c r="RAV2489" s="58"/>
      <c r="RAW2489" s="58"/>
      <c r="RAX2489" s="60"/>
      <c r="RAY2489" s="60"/>
      <c r="RAZ2489" s="60"/>
      <c r="RBA2489" s="58"/>
      <c r="RBB2489" s="61"/>
      <c r="RBC2489" s="58"/>
      <c r="RBD2489" s="58"/>
      <c r="RBE2489" s="58"/>
      <c r="RBF2489" s="60"/>
      <c r="RBG2489" s="60"/>
      <c r="RBH2489" s="60"/>
      <c r="RBI2489" s="58"/>
      <c r="RBJ2489" s="61"/>
      <c r="RBK2489" s="58"/>
      <c r="RBL2489" s="58"/>
      <c r="RBM2489" s="58"/>
      <c r="RBN2489" s="60"/>
      <c r="RBO2489" s="60"/>
      <c r="RBP2489" s="60"/>
      <c r="RBQ2489" s="58"/>
      <c r="RBR2489" s="61"/>
      <c r="RBS2489" s="58"/>
      <c r="RBT2489" s="58"/>
      <c r="RBU2489" s="58"/>
      <c r="RBV2489" s="60"/>
      <c r="RBW2489" s="60"/>
      <c r="RBX2489" s="60"/>
      <c r="RBY2489" s="58"/>
      <c r="RBZ2489" s="61"/>
      <c r="RCA2489" s="58"/>
      <c r="RCB2489" s="58"/>
      <c r="RCC2489" s="58"/>
      <c r="RCD2489" s="60"/>
      <c r="RCE2489" s="60"/>
      <c r="RCF2489" s="60"/>
      <c r="RCG2489" s="58"/>
      <c r="RCH2489" s="61"/>
      <c r="RCI2489" s="58"/>
      <c r="RCJ2489" s="58"/>
      <c r="RCK2489" s="58"/>
      <c r="RCL2489" s="60"/>
      <c r="RCM2489" s="60"/>
      <c r="RCN2489" s="60"/>
      <c r="RCO2489" s="58"/>
      <c r="RCP2489" s="61"/>
      <c r="RCQ2489" s="58"/>
      <c r="RCR2489" s="58"/>
      <c r="RCS2489" s="58"/>
      <c r="RCT2489" s="60"/>
      <c r="RCU2489" s="60"/>
      <c r="RCV2489" s="60"/>
      <c r="RCW2489" s="58"/>
      <c r="RCX2489" s="61"/>
      <c r="RCY2489" s="58"/>
      <c r="RCZ2489" s="58"/>
      <c r="RDA2489" s="58"/>
      <c r="RDB2489" s="60"/>
      <c r="RDC2489" s="60"/>
      <c r="RDD2489" s="60"/>
      <c r="RDE2489" s="58"/>
      <c r="RDF2489" s="61"/>
      <c r="RDG2489" s="58"/>
      <c r="RDH2489" s="58"/>
      <c r="RDI2489" s="58"/>
      <c r="RDJ2489" s="60"/>
      <c r="RDK2489" s="60"/>
      <c r="RDL2489" s="60"/>
      <c r="RDM2489" s="58"/>
      <c r="RDN2489" s="61"/>
      <c r="RDO2489" s="58"/>
      <c r="RDP2489" s="58"/>
      <c r="RDQ2489" s="58"/>
      <c r="RDR2489" s="60"/>
      <c r="RDS2489" s="60"/>
      <c r="RDT2489" s="60"/>
      <c r="RDU2489" s="58"/>
      <c r="RDV2489" s="61"/>
      <c r="RDW2489" s="58"/>
      <c r="RDX2489" s="58"/>
      <c r="RDY2489" s="58"/>
      <c r="RDZ2489" s="60"/>
      <c r="REA2489" s="60"/>
      <c r="REB2489" s="60"/>
      <c r="REC2489" s="58"/>
      <c r="RED2489" s="61"/>
      <c r="REE2489" s="58"/>
      <c r="REF2489" s="58"/>
      <c r="REG2489" s="58"/>
      <c r="REH2489" s="60"/>
      <c r="REI2489" s="60"/>
      <c r="REJ2489" s="60"/>
      <c r="REK2489" s="58"/>
      <c r="REL2489" s="61"/>
      <c r="REM2489" s="58"/>
      <c r="REN2489" s="58"/>
      <c r="REO2489" s="58"/>
      <c r="REP2489" s="60"/>
      <c r="REQ2489" s="60"/>
      <c r="RER2489" s="60"/>
      <c r="RES2489" s="58"/>
      <c r="RET2489" s="61"/>
      <c r="REU2489" s="58"/>
      <c r="REV2489" s="58"/>
      <c r="REW2489" s="58"/>
      <c r="REX2489" s="60"/>
      <c r="REY2489" s="60"/>
      <c r="REZ2489" s="60"/>
      <c r="RFA2489" s="58"/>
      <c r="RFB2489" s="61"/>
      <c r="RFC2489" s="58"/>
      <c r="RFD2489" s="58"/>
      <c r="RFE2489" s="58"/>
      <c r="RFF2489" s="60"/>
      <c r="RFG2489" s="60"/>
      <c r="RFH2489" s="60"/>
      <c r="RFI2489" s="58"/>
      <c r="RFJ2489" s="61"/>
      <c r="RFK2489" s="58"/>
      <c r="RFL2489" s="58"/>
      <c r="RFM2489" s="58"/>
      <c r="RFN2489" s="60"/>
      <c r="RFO2489" s="60"/>
      <c r="RFP2489" s="60"/>
      <c r="RFQ2489" s="58"/>
      <c r="RFR2489" s="61"/>
      <c r="RFS2489" s="58"/>
      <c r="RFT2489" s="58"/>
      <c r="RFU2489" s="58"/>
      <c r="RFV2489" s="60"/>
      <c r="RFW2489" s="60"/>
      <c r="RFX2489" s="60"/>
      <c r="RFY2489" s="58"/>
      <c r="RFZ2489" s="61"/>
      <c r="RGA2489" s="58"/>
      <c r="RGB2489" s="58"/>
      <c r="RGC2489" s="58"/>
      <c r="RGD2489" s="60"/>
      <c r="RGE2489" s="60"/>
      <c r="RGF2489" s="60"/>
      <c r="RGG2489" s="58"/>
      <c r="RGH2489" s="61"/>
      <c r="RGI2489" s="58"/>
      <c r="RGJ2489" s="58"/>
      <c r="RGK2489" s="58"/>
      <c r="RGL2489" s="60"/>
      <c r="RGM2489" s="60"/>
      <c r="RGN2489" s="60"/>
      <c r="RGO2489" s="58"/>
      <c r="RGP2489" s="61"/>
      <c r="RGQ2489" s="58"/>
      <c r="RGR2489" s="58"/>
      <c r="RGS2489" s="58"/>
      <c r="RGT2489" s="60"/>
      <c r="RGU2489" s="60"/>
      <c r="RGV2489" s="60"/>
      <c r="RGW2489" s="58"/>
      <c r="RGX2489" s="61"/>
      <c r="RGY2489" s="58"/>
      <c r="RGZ2489" s="58"/>
      <c r="RHA2489" s="58"/>
      <c r="RHB2489" s="60"/>
      <c r="RHC2489" s="60"/>
      <c r="RHD2489" s="60"/>
      <c r="RHE2489" s="58"/>
      <c r="RHF2489" s="61"/>
      <c r="RHG2489" s="58"/>
      <c r="RHH2489" s="58"/>
      <c r="RHI2489" s="58"/>
      <c r="RHJ2489" s="60"/>
      <c r="RHK2489" s="60"/>
      <c r="RHL2489" s="60"/>
      <c r="RHM2489" s="58"/>
      <c r="RHN2489" s="61"/>
      <c r="RHO2489" s="58"/>
      <c r="RHP2489" s="58"/>
      <c r="RHQ2489" s="58"/>
      <c r="RHR2489" s="60"/>
      <c r="RHS2489" s="60"/>
      <c r="RHT2489" s="60"/>
      <c r="RHU2489" s="58"/>
      <c r="RHV2489" s="61"/>
      <c r="RHW2489" s="58"/>
      <c r="RHX2489" s="58"/>
      <c r="RHY2489" s="58"/>
      <c r="RHZ2489" s="60"/>
      <c r="RIA2489" s="60"/>
      <c r="RIB2489" s="60"/>
      <c r="RIC2489" s="58"/>
      <c r="RID2489" s="61"/>
      <c r="RIE2489" s="58"/>
      <c r="RIF2489" s="58"/>
      <c r="RIG2489" s="58"/>
      <c r="RIH2489" s="60"/>
      <c r="RII2489" s="60"/>
      <c r="RIJ2489" s="60"/>
      <c r="RIK2489" s="58"/>
      <c r="RIL2489" s="61"/>
      <c r="RIM2489" s="58"/>
      <c r="RIN2489" s="58"/>
      <c r="RIO2489" s="58"/>
      <c r="RIP2489" s="60"/>
      <c r="RIQ2489" s="60"/>
      <c r="RIR2489" s="60"/>
      <c r="RIS2489" s="58"/>
      <c r="RIT2489" s="61"/>
      <c r="RIU2489" s="58"/>
      <c r="RIV2489" s="58"/>
      <c r="RIW2489" s="58"/>
      <c r="RIX2489" s="60"/>
      <c r="RIY2489" s="60"/>
      <c r="RIZ2489" s="60"/>
      <c r="RJA2489" s="58"/>
      <c r="RJB2489" s="61"/>
      <c r="RJC2489" s="58"/>
      <c r="RJD2489" s="58"/>
      <c r="RJE2489" s="58"/>
      <c r="RJF2489" s="60"/>
      <c r="RJG2489" s="60"/>
      <c r="RJH2489" s="60"/>
      <c r="RJI2489" s="58"/>
      <c r="RJJ2489" s="61"/>
      <c r="RJK2489" s="58"/>
      <c r="RJL2489" s="58"/>
      <c r="RJM2489" s="58"/>
      <c r="RJN2489" s="60"/>
      <c r="RJO2489" s="60"/>
      <c r="RJP2489" s="60"/>
      <c r="RJQ2489" s="58"/>
      <c r="RJR2489" s="61"/>
      <c r="RJS2489" s="58"/>
      <c r="RJT2489" s="58"/>
      <c r="RJU2489" s="58"/>
      <c r="RJV2489" s="60"/>
      <c r="RJW2489" s="60"/>
      <c r="RJX2489" s="60"/>
      <c r="RJY2489" s="58"/>
      <c r="RJZ2489" s="61"/>
      <c r="RKA2489" s="58"/>
      <c r="RKB2489" s="58"/>
      <c r="RKC2489" s="58"/>
      <c r="RKD2489" s="60"/>
      <c r="RKE2489" s="60"/>
      <c r="RKF2489" s="60"/>
      <c r="RKG2489" s="58"/>
      <c r="RKH2489" s="61"/>
      <c r="RKI2489" s="58"/>
      <c r="RKJ2489" s="58"/>
      <c r="RKK2489" s="58"/>
      <c r="RKL2489" s="60"/>
      <c r="RKM2489" s="60"/>
      <c r="RKN2489" s="60"/>
      <c r="RKO2489" s="58"/>
      <c r="RKP2489" s="61"/>
      <c r="RKQ2489" s="58"/>
      <c r="RKR2489" s="58"/>
      <c r="RKS2489" s="58"/>
      <c r="RKT2489" s="60"/>
      <c r="RKU2489" s="60"/>
      <c r="RKV2489" s="60"/>
      <c r="RKW2489" s="58"/>
      <c r="RKX2489" s="61"/>
      <c r="RKY2489" s="58"/>
      <c r="RKZ2489" s="58"/>
      <c r="RLA2489" s="58"/>
      <c r="RLB2489" s="60"/>
      <c r="RLC2489" s="60"/>
      <c r="RLD2489" s="60"/>
      <c r="RLE2489" s="58"/>
      <c r="RLF2489" s="61"/>
      <c r="RLG2489" s="58"/>
      <c r="RLH2489" s="58"/>
      <c r="RLI2489" s="58"/>
      <c r="RLJ2489" s="60"/>
      <c r="RLK2489" s="60"/>
      <c r="RLL2489" s="60"/>
      <c r="RLM2489" s="58"/>
      <c r="RLN2489" s="61"/>
      <c r="RLO2489" s="58"/>
      <c r="RLP2489" s="58"/>
      <c r="RLQ2489" s="58"/>
      <c r="RLR2489" s="60"/>
      <c r="RLS2489" s="60"/>
      <c r="RLT2489" s="60"/>
      <c r="RLU2489" s="58"/>
      <c r="RLV2489" s="61"/>
      <c r="RLW2489" s="58"/>
      <c r="RLX2489" s="58"/>
      <c r="RLY2489" s="58"/>
      <c r="RLZ2489" s="60"/>
      <c r="RMA2489" s="60"/>
      <c r="RMB2489" s="60"/>
      <c r="RMC2489" s="58"/>
      <c r="RMD2489" s="61"/>
      <c r="RME2489" s="58"/>
      <c r="RMF2489" s="58"/>
      <c r="RMG2489" s="58"/>
      <c r="RMH2489" s="60"/>
      <c r="RMI2489" s="60"/>
      <c r="RMJ2489" s="60"/>
      <c r="RMK2489" s="58"/>
      <c r="RML2489" s="61"/>
      <c r="RMM2489" s="58"/>
      <c r="RMN2489" s="58"/>
      <c r="RMO2489" s="58"/>
      <c r="RMP2489" s="60"/>
      <c r="RMQ2489" s="60"/>
      <c r="RMR2489" s="60"/>
      <c r="RMS2489" s="58"/>
      <c r="RMT2489" s="61"/>
      <c r="RMU2489" s="58"/>
      <c r="RMV2489" s="58"/>
      <c r="RMW2489" s="58"/>
      <c r="RMX2489" s="60"/>
      <c r="RMY2489" s="60"/>
      <c r="RMZ2489" s="60"/>
      <c r="RNA2489" s="58"/>
      <c r="RNB2489" s="61"/>
      <c r="RNC2489" s="58"/>
      <c r="RND2489" s="58"/>
      <c r="RNE2489" s="58"/>
      <c r="RNF2489" s="60"/>
      <c r="RNG2489" s="60"/>
      <c r="RNH2489" s="60"/>
      <c r="RNI2489" s="58"/>
      <c r="RNJ2489" s="61"/>
      <c r="RNK2489" s="58"/>
      <c r="RNL2489" s="58"/>
      <c r="RNM2489" s="58"/>
      <c r="RNN2489" s="60"/>
      <c r="RNO2489" s="60"/>
      <c r="RNP2489" s="60"/>
      <c r="RNQ2489" s="58"/>
      <c r="RNR2489" s="61"/>
      <c r="RNS2489" s="58"/>
      <c r="RNT2489" s="58"/>
      <c r="RNU2489" s="58"/>
      <c r="RNV2489" s="60"/>
      <c r="RNW2489" s="60"/>
      <c r="RNX2489" s="60"/>
      <c r="RNY2489" s="58"/>
      <c r="RNZ2489" s="61"/>
      <c r="ROA2489" s="58"/>
      <c r="ROB2489" s="58"/>
      <c r="ROC2489" s="58"/>
      <c r="ROD2489" s="60"/>
      <c r="ROE2489" s="60"/>
      <c r="ROF2489" s="60"/>
      <c r="ROG2489" s="58"/>
      <c r="ROH2489" s="61"/>
      <c r="ROI2489" s="58"/>
      <c r="ROJ2489" s="58"/>
      <c r="ROK2489" s="58"/>
      <c r="ROL2489" s="60"/>
      <c r="ROM2489" s="60"/>
      <c r="RON2489" s="60"/>
      <c r="ROO2489" s="58"/>
      <c r="ROP2489" s="61"/>
      <c r="ROQ2489" s="58"/>
      <c r="ROR2489" s="58"/>
      <c r="ROS2489" s="58"/>
      <c r="ROT2489" s="60"/>
      <c r="ROU2489" s="60"/>
      <c r="ROV2489" s="60"/>
      <c r="ROW2489" s="58"/>
      <c r="ROX2489" s="61"/>
      <c r="ROY2489" s="58"/>
      <c r="ROZ2489" s="58"/>
      <c r="RPA2489" s="58"/>
      <c r="RPB2489" s="60"/>
      <c r="RPC2489" s="60"/>
      <c r="RPD2489" s="60"/>
      <c r="RPE2489" s="58"/>
      <c r="RPF2489" s="61"/>
      <c r="RPG2489" s="58"/>
      <c r="RPH2489" s="58"/>
      <c r="RPI2489" s="58"/>
      <c r="RPJ2489" s="60"/>
      <c r="RPK2489" s="60"/>
      <c r="RPL2489" s="60"/>
      <c r="RPM2489" s="58"/>
      <c r="RPN2489" s="61"/>
      <c r="RPO2489" s="58"/>
      <c r="RPP2489" s="58"/>
      <c r="RPQ2489" s="58"/>
      <c r="RPR2489" s="60"/>
      <c r="RPS2489" s="60"/>
      <c r="RPT2489" s="60"/>
      <c r="RPU2489" s="58"/>
      <c r="RPV2489" s="61"/>
      <c r="RPW2489" s="58"/>
      <c r="RPX2489" s="58"/>
      <c r="RPY2489" s="58"/>
      <c r="RPZ2489" s="60"/>
      <c r="RQA2489" s="60"/>
      <c r="RQB2489" s="60"/>
      <c r="RQC2489" s="58"/>
      <c r="RQD2489" s="61"/>
      <c r="RQE2489" s="58"/>
      <c r="RQF2489" s="58"/>
      <c r="RQG2489" s="58"/>
      <c r="RQH2489" s="60"/>
      <c r="RQI2489" s="60"/>
      <c r="RQJ2489" s="60"/>
      <c r="RQK2489" s="58"/>
      <c r="RQL2489" s="61"/>
      <c r="RQM2489" s="58"/>
      <c r="RQN2489" s="58"/>
      <c r="RQO2489" s="58"/>
      <c r="RQP2489" s="60"/>
      <c r="RQQ2489" s="60"/>
      <c r="RQR2489" s="60"/>
      <c r="RQS2489" s="58"/>
      <c r="RQT2489" s="61"/>
      <c r="RQU2489" s="58"/>
      <c r="RQV2489" s="58"/>
      <c r="RQW2489" s="58"/>
      <c r="RQX2489" s="60"/>
      <c r="RQY2489" s="60"/>
      <c r="RQZ2489" s="60"/>
      <c r="RRA2489" s="58"/>
      <c r="RRB2489" s="61"/>
      <c r="RRC2489" s="58"/>
      <c r="RRD2489" s="58"/>
      <c r="RRE2489" s="58"/>
      <c r="RRF2489" s="60"/>
      <c r="RRG2489" s="60"/>
      <c r="RRH2489" s="60"/>
      <c r="RRI2489" s="58"/>
      <c r="RRJ2489" s="61"/>
      <c r="RRK2489" s="58"/>
      <c r="RRL2489" s="58"/>
      <c r="RRM2489" s="58"/>
      <c r="RRN2489" s="60"/>
      <c r="RRO2489" s="60"/>
      <c r="RRP2489" s="60"/>
      <c r="RRQ2489" s="58"/>
      <c r="RRR2489" s="61"/>
      <c r="RRS2489" s="58"/>
      <c r="RRT2489" s="58"/>
      <c r="RRU2489" s="58"/>
      <c r="RRV2489" s="60"/>
      <c r="RRW2489" s="60"/>
      <c r="RRX2489" s="60"/>
      <c r="RRY2489" s="58"/>
      <c r="RRZ2489" s="61"/>
      <c r="RSA2489" s="58"/>
      <c r="RSB2489" s="58"/>
      <c r="RSC2489" s="58"/>
      <c r="RSD2489" s="60"/>
      <c r="RSE2489" s="60"/>
      <c r="RSF2489" s="60"/>
      <c r="RSG2489" s="58"/>
      <c r="RSH2489" s="61"/>
      <c r="RSI2489" s="58"/>
      <c r="RSJ2489" s="58"/>
      <c r="RSK2489" s="58"/>
      <c r="RSL2489" s="60"/>
      <c r="RSM2489" s="60"/>
      <c r="RSN2489" s="60"/>
      <c r="RSO2489" s="58"/>
      <c r="RSP2489" s="61"/>
      <c r="RSQ2489" s="58"/>
      <c r="RSR2489" s="58"/>
      <c r="RSS2489" s="58"/>
      <c r="RST2489" s="60"/>
      <c r="RSU2489" s="60"/>
      <c r="RSV2489" s="60"/>
      <c r="RSW2489" s="58"/>
      <c r="RSX2489" s="61"/>
      <c r="RSY2489" s="58"/>
      <c r="RSZ2489" s="58"/>
      <c r="RTA2489" s="58"/>
      <c r="RTB2489" s="60"/>
      <c r="RTC2489" s="60"/>
      <c r="RTD2489" s="60"/>
      <c r="RTE2489" s="58"/>
      <c r="RTF2489" s="61"/>
      <c r="RTG2489" s="58"/>
      <c r="RTH2489" s="58"/>
      <c r="RTI2489" s="58"/>
      <c r="RTJ2489" s="60"/>
      <c r="RTK2489" s="60"/>
      <c r="RTL2489" s="60"/>
      <c r="RTM2489" s="58"/>
      <c r="RTN2489" s="61"/>
      <c r="RTO2489" s="58"/>
      <c r="RTP2489" s="58"/>
      <c r="RTQ2489" s="58"/>
      <c r="RTR2489" s="60"/>
      <c r="RTS2489" s="60"/>
      <c r="RTT2489" s="60"/>
      <c r="RTU2489" s="58"/>
      <c r="RTV2489" s="61"/>
      <c r="RTW2489" s="58"/>
      <c r="RTX2489" s="58"/>
      <c r="RTY2489" s="58"/>
      <c r="RTZ2489" s="60"/>
      <c r="RUA2489" s="60"/>
      <c r="RUB2489" s="60"/>
      <c r="RUC2489" s="58"/>
      <c r="RUD2489" s="61"/>
      <c r="RUE2489" s="58"/>
      <c r="RUF2489" s="58"/>
      <c r="RUG2489" s="58"/>
      <c r="RUH2489" s="60"/>
      <c r="RUI2489" s="60"/>
      <c r="RUJ2489" s="60"/>
      <c r="RUK2489" s="58"/>
      <c r="RUL2489" s="61"/>
      <c r="RUM2489" s="58"/>
      <c r="RUN2489" s="58"/>
      <c r="RUO2489" s="58"/>
      <c r="RUP2489" s="60"/>
      <c r="RUQ2489" s="60"/>
      <c r="RUR2489" s="60"/>
      <c r="RUS2489" s="58"/>
      <c r="RUT2489" s="61"/>
      <c r="RUU2489" s="58"/>
      <c r="RUV2489" s="58"/>
      <c r="RUW2489" s="58"/>
      <c r="RUX2489" s="60"/>
      <c r="RUY2489" s="60"/>
      <c r="RUZ2489" s="60"/>
      <c r="RVA2489" s="58"/>
      <c r="RVB2489" s="61"/>
      <c r="RVC2489" s="58"/>
      <c r="RVD2489" s="58"/>
      <c r="RVE2489" s="58"/>
      <c r="RVF2489" s="60"/>
      <c r="RVG2489" s="60"/>
      <c r="RVH2489" s="60"/>
      <c r="RVI2489" s="58"/>
      <c r="RVJ2489" s="61"/>
      <c r="RVK2489" s="58"/>
      <c r="RVL2489" s="58"/>
      <c r="RVM2489" s="58"/>
      <c r="RVN2489" s="60"/>
      <c r="RVO2489" s="60"/>
      <c r="RVP2489" s="60"/>
      <c r="RVQ2489" s="58"/>
      <c r="RVR2489" s="61"/>
      <c r="RVS2489" s="58"/>
      <c r="RVT2489" s="58"/>
      <c r="RVU2489" s="58"/>
      <c r="RVV2489" s="60"/>
      <c r="RVW2489" s="60"/>
      <c r="RVX2489" s="60"/>
      <c r="RVY2489" s="58"/>
      <c r="RVZ2489" s="61"/>
      <c r="RWA2489" s="58"/>
      <c r="RWB2489" s="58"/>
      <c r="RWC2489" s="58"/>
      <c r="RWD2489" s="60"/>
      <c r="RWE2489" s="60"/>
      <c r="RWF2489" s="60"/>
      <c r="RWG2489" s="58"/>
      <c r="RWH2489" s="61"/>
      <c r="RWI2489" s="58"/>
      <c r="RWJ2489" s="58"/>
      <c r="RWK2489" s="58"/>
      <c r="RWL2489" s="60"/>
      <c r="RWM2489" s="60"/>
      <c r="RWN2489" s="60"/>
      <c r="RWO2489" s="58"/>
      <c r="RWP2489" s="61"/>
      <c r="RWQ2489" s="58"/>
      <c r="RWR2489" s="58"/>
      <c r="RWS2489" s="58"/>
      <c r="RWT2489" s="60"/>
      <c r="RWU2489" s="60"/>
      <c r="RWV2489" s="60"/>
      <c r="RWW2489" s="58"/>
      <c r="RWX2489" s="61"/>
      <c r="RWY2489" s="58"/>
      <c r="RWZ2489" s="58"/>
      <c r="RXA2489" s="58"/>
      <c r="RXB2489" s="60"/>
      <c r="RXC2489" s="60"/>
      <c r="RXD2489" s="60"/>
      <c r="RXE2489" s="58"/>
      <c r="RXF2489" s="61"/>
      <c r="RXG2489" s="58"/>
      <c r="RXH2489" s="58"/>
      <c r="RXI2489" s="58"/>
      <c r="RXJ2489" s="60"/>
      <c r="RXK2489" s="60"/>
      <c r="RXL2489" s="60"/>
      <c r="RXM2489" s="58"/>
      <c r="RXN2489" s="61"/>
      <c r="RXO2489" s="58"/>
      <c r="RXP2489" s="58"/>
      <c r="RXQ2489" s="58"/>
      <c r="RXR2489" s="60"/>
      <c r="RXS2489" s="60"/>
      <c r="RXT2489" s="60"/>
      <c r="RXU2489" s="58"/>
      <c r="RXV2489" s="61"/>
      <c r="RXW2489" s="58"/>
      <c r="RXX2489" s="58"/>
      <c r="RXY2489" s="58"/>
      <c r="RXZ2489" s="60"/>
      <c r="RYA2489" s="60"/>
      <c r="RYB2489" s="60"/>
      <c r="RYC2489" s="58"/>
      <c r="RYD2489" s="61"/>
      <c r="RYE2489" s="58"/>
      <c r="RYF2489" s="58"/>
      <c r="RYG2489" s="58"/>
      <c r="RYH2489" s="60"/>
      <c r="RYI2489" s="60"/>
      <c r="RYJ2489" s="60"/>
      <c r="RYK2489" s="58"/>
      <c r="RYL2489" s="61"/>
      <c r="RYM2489" s="58"/>
      <c r="RYN2489" s="58"/>
      <c r="RYO2489" s="58"/>
      <c r="RYP2489" s="60"/>
      <c r="RYQ2489" s="60"/>
      <c r="RYR2489" s="60"/>
      <c r="RYS2489" s="58"/>
      <c r="RYT2489" s="61"/>
      <c r="RYU2489" s="58"/>
      <c r="RYV2489" s="58"/>
      <c r="RYW2489" s="58"/>
      <c r="RYX2489" s="60"/>
      <c r="RYY2489" s="60"/>
      <c r="RYZ2489" s="60"/>
      <c r="RZA2489" s="58"/>
      <c r="RZB2489" s="61"/>
      <c r="RZC2489" s="58"/>
      <c r="RZD2489" s="58"/>
      <c r="RZE2489" s="58"/>
      <c r="RZF2489" s="60"/>
      <c r="RZG2489" s="60"/>
      <c r="RZH2489" s="60"/>
      <c r="RZI2489" s="58"/>
      <c r="RZJ2489" s="61"/>
      <c r="RZK2489" s="58"/>
      <c r="RZL2489" s="58"/>
      <c r="RZM2489" s="58"/>
      <c r="RZN2489" s="60"/>
      <c r="RZO2489" s="60"/>
      <c r="RZP2489" s="60"/>
      <c r="RZQ2489" s="58"/>
      <c r="RZR2489" s="61"/>
      <c r="RZS2489" s="58"/>
      <c r="RZT2489" s="58"/>
      <c r="RZU2489" s="58"/>
      <c r="RZV2489" s="60"/>
      <c r="RZW2489" s="60"/>
      <c r="RZX2489" s="60"/>
      <c r="RZY2489" s="58"/>
      <c r="RZZ2489" s="61"/>
      <c r="SAA2489" s="58"/>
      <c r="SAB2489" s="58"/>
      <c r="SAC2489" s="58"/>
      <c r="SAD2489" s="60"/>
      <c r="SAE2489" s="60"/>
      <c r="SAF2489" s="60"/>
      <c r="SAG2489" s="58"/>
      <c r="SAH2489" s="61"/>
      <c r="SAI2489" s="58"/>
      <c r="SAJ2489" s="58"/>
      <c r="SAK2489" s="58"/>
      <c r="SAL2489" s="60"/>
      <c r="SAM2489" s="60"/>
      <c r="SAN2489" s="60"/>
      <c r="SAO2489" s="58"/>
      <c r="SAP2489" s="61"/>
      <c r="SAQ2489" s="58"/>
      <c r="SAR2489" s="58"/>
      <c r="SAS2489" s="58"/>
      <c r="SAT2489" s="60"/>
      <c r="SAU2489" s="60"/>
      <c r="SAV2489" s="60"/>
      <c r="SAW2489" s="58"/>
      <c r="SAX2489" s="61"/>
      <c r="SAY2489" s="58"/>
      <c r="SAZ2489" s="58"/>
      <c r="SBA2489" s="58"/>
      <c r="SBB2489" s="60"/>
      <c r="SBC2489" s="60"/>
      <c r="SBD2489" s="60"/>
      <c r="SBE2489" s="58"/>
      <c r="SBF2489" s="61"/>
      <c r="SBG2489" s="58"/>
      <c r="SBH2489" s="58"/>
      <c r="SBI2489" s="58"/>
      <c r="SBJ2489" s="60"/>
      <c r="SBK2489" s="60"/>
      <c r="SBL2489" s="60"/>
      <c r="SBM2489" s="58"/>
      <c r="SBN2489" s="61"/>
      <c r="SBO2489" s="58"/>
      <c r="SBP2489" s="58"/>
      <c r="SBQ2489" s="58"/>
      <c r="SBR2489" s="60"/>
      <c r="SBS2489" s="60"/>
      <c r="SBT2489" s="60"/>
      <c r="SBU2489" s="58"/>
      <c r="SBV2489" s="61"/>
      <c r="SBW2489" s="58"/>
      <c r="SBX2489" s="58"/>
      <c r="SBY2489" s="58"/>
      <c r="SBZ2489" s="60"/>
      <c r="SCA2489" s="60"/>
      <c r="SCB2489" s="60"/>
      <c r="SCC2489" s="58"/>
      <c r="SCD2489" s="61"/>
      <c r="SCE2489" s="58"/>
      <c r="SCF2489" s="58"/>
      <c r="SCG2489" s="58"/>
      <c r="SCH2489" s="60"/>
      <c r="SCI2489" s="60"/>
      <c r="SCJ2489" s="60"/>
      <c r="SCK2489" s="58"/>
      <c r="SCL2489" s="61"/>
      <c r="SCM2489" s="58"/>
      <c r="SCN2489" s="58"/>
      <c r="SCO2489" s="58"/>
      <c r="SCP2489" s="60"/>
      <c r="SCQ2489" s="60"/>
      <c r="SCR2489" s="60"/>
      <c r="SCS2489" s="58"/>
      <c r="SCT2489" s="61"/>
      <c r="SCU2489" s="58"/>
      <c r="SCV2489" s="58"/>
      <c r="SCW2489" s="58"/>
      <c r="SCX2489" s="60"/>
      <c r="SCY2489" s="60"/>
      <c r="SCZ2489" s="60"/>
      <c r="SDA2489" s="58"/>
      <c r="SDB2489" s="61"/>
      <c r="SDC2489" s="58"/>
      <c r="SDD2489" s="58"/>
      <c r="SDE2489" s="58"/>
      <c r="SDF2489" s="60"/>
      <c r="SDG2489" s="60"/>
      <c r="SDH2489" s="60"/>
      <c r="SDI2489" s="58"/>
      <c r="SDJ2489" s="61"/>
      <c r="SDK2489" s="58"/>
      <c r="SDL2489" s="58"/>
      <c r="SDM2489" s="58"/>
      <c r="SDN2489" s="60"/>
      <c r="SDO2489" s="60"/>
      <c r="SDP2489" s="60"/>
      <c r="SDQ2489" s="58"/>
      <c r="SDR2489" s="61"/>
      <c r="SDS2489" s="58"/>
      <c r="SDT2489" s="58"/>
      <c r="SDU2489" s="58"/>
      <c r="SDV2489" s="60"/>
      <c r="SDW2489" s="60"/>
      <c r="SDX2489" s="60"/>
      <c r="SDY2489" s="58"/>
      <c r="SDZ2489" s="61"/>
      <c r="SEA2489" s="58"/>
      <c r="SEB2489" s="58"/>
      <c r="SEC2489" s="58"/>
      <c r="SED2489" s="60"/>
      <c r="SEE2489" s="60"/>
      <c r="SEF2489" s="60"/>
      <c r="SEG2489" s="58"/>
      <c r="SEH2489" s="61"/>
      <c r="SEI2489" s="58"/>
      <c r="SEJ2489" s="58"/>
      <c r="SEK2489" s="58"/>
      <c r="SEL2489" s="60"/>
      <c r="SEM2489" s="60"/>
      <c r="SEN2489" s="60"/>
      <c r="SEO2489" s="58"/>
      <c r="SEP2489" s="61"/>
      <c r="SEQ2489" s="58"/>
      <c r="SER2489" s="58"/>
      <c r="SES2489" s="58"/>
      <c r="SET2489" s="60"/>
      <c r="SEU2489" s="60"/>
      <c r="SEV2489" s="60"/>
      <c r="SEW2489" s="58"/>
      <c r="SEX2489" s="61"/>
      <c r="SEY2489" s="58"/>
      <c r="SEZ2489" s="58"/>
      <c r="SFA2489" s="58"/>
      <c r="SFB2489" s="60"/>
      <c r="SFC2489" s="60"/>
      <c r="SFD2489" s="60"/>
      <c r="SFE2489" s="58"/>
      <c r="SFF2489" s="61"/>
      <c r="SFG2489" s="58"/>
      <c r="SFH2489" s="58"/>
      <c r="SFI2489" s="58"/>
      <c r="SFJ2489" s="60"/>
      <c r="SFK2489" s="60"/>
      <c r="SFL2489" s="60"/>
      <c r="SFM2489" s="58"/>
      <c r="SFN2489" s="61"/>
      <c r="SFO2489" s="58"/>
      <c r="SFP2489" s="58"/>
      <c r="SFQ2489" s="58"/>
      <c r="SFR2489" s="60"/>
      <c r="SFS2489" s="60"/>
      <c r="SFT2489" s="60"/>
      <c r="SFU2489" s="58"/>
      <c r="SFV2489" s="61"/>
      <c r="SFW2489" s="58"/>
      <c r="SFX2489" s="58"/>
      <c r="SFY2489" s="58"/>
      <c r="SFZ2489" s="60"/>
      <c r="SGA2489" s="60"/>
      <c r="SGB2489" s="60"/>
      <c r="SGC2489" s="58"/>
      <c r="SGD2489" s="61"/>
      <c r="SGE2489" s="58"/>
      <c r="SGF2489" s="58"/>
      <c r="SGG2489" s="58"/>
      <c r="SGH2489" s="60"/>
      <c r="SGI2489" s="60"/>
      <c r="SGJ2489" s="60"/>
      <c r="SGK2489" s="58"/>
      <c r="SGL2489" s="61"/>
      <c r="SGM2489" s="58"/>
      <c r="SGN2489" s="58"/>
      <c r="SGO2489" s="58"/>
      <c r="SGP2489" s="60"/>
      <c r="SGQ2489" s="60"/>
      <c r="SGR2489" s="60"/>
      <c r="SGS2489" s="58"/>
      <c r="SGT2489" s="61"/>
      <c r="SGU2489" s="58"/>
      <c r="SGV2489" s="58"/>
      <c r="SGW2489" s="58"/>
      <c r="SGX2489" s="60"/>
      <c r="SGY2489" s="60"/>
      <c r="SGZ2489" s="60"/>
      <c r="SHA2489" s="58"/>
      <c r="SHB2489" s="61"/>
      <c r="SHC2489" s="58"/>
      <c r="SHD2489" s="58"/>
      <c r="SHE2489" s="58"/>
      <c r="SHF2489" s="60"/>
      <c r="SHG2489" s="60"/>
      <c r="SHH2489" s="60"/>
      <c r="SHI2489" s="58"/>
      <c r="SHJ2489" s="61"/>
      <c r="SHK2489" s="58"/>
      <c r="SHL2489" s="58"/>
      <c r="SHM2489" s="58"/>
      <c r="SHN2489" s="60"/>
      <c r="SHO2489" s="60"/>
      <c r="SHP2489" s="60"/>
      <c r="SHQ2489" s="58"/>
      <c r="SHR2489" s="61"/>
      <c r="SHS2489" s="58"/>
      <c r="SHT2489" s="58"/>
      <c r="SHU2489" s="58"/>
      <c r="SHV2489" s="60"/>
      <c r="SHW2489" s="60"/>
      <c r="SHX2489" s="60"/>
      <c r="SHY2489" s="58"/>
      <c r="SHZ2489" s="61"/>
      <c r="SIA2489" s="58"/>
      <c r="SIB2489" s="58"/>
      <c r="SIC2489" s="58"/>
      <c r="SID2489" s="60"/>
      <c r="SIE2489" s="60"/>
      <c r="SIF2489" s="60"/>
      <c r="SIG2489" s="58"/>
      <c r="SIH2489" s="61"/>
      <c r="SII2489" s="58"/>
      <c r="SIJ2489" s="58"/>
      <c r="SIK2489" s="58"/>
      <c r="SIL2489" s="60"/>
      <c r="SIM2489" s="60"/>
      <c r="SIN2489" s="60"/>
      <c r="SIO2489" s="58"/>
      <c r="SIP2489" s="61"/>
      <c r="SIQ2489" s="58"/>
      <c r="SIR2489" s="58"/>
      <c r="SIS2489" s="58"/>
      <c r="SIT2489" s="60"/>
      <c r="SIU2489" s="60"/>
      <c r="SIV2489" s="60"/>
      <c r="SIW2489" s="58"/>
      <c r="SIX2489" s="61"/>
      <c r="SIY2489" s="58"/>
      <c r="SIZ2489" s="58"/>
      <c r="SJA2489" s="58"/>
      <c r="SJB2489" s="60"/>
      <c r="SJC2489" s="60"/>
      <c r="SJD2489" s="60"/>
      <c r="SJE2489" s="58"/>
      <c r="SJF2489" s="61"/>
      <c r="SJG2489" s="58"/>
      <c r="SJH2489" s="58"/>
      <c r="SJI2489" s="58"/>
      <c r="SJJ2489" s="60"/>
      <c r="SJK2489" s="60"/>
      <c r="SJL2489" s="60"/>
      <c r="SJM2489" s="58"/>
      <c r="SJN2489" s="61"/>
      <c r="SJO2489" s="58"/>
      <c r="SJP2489" s="58"/>
      <c r="SJQ2489" s="58"/>
      <c r="SJR2489" s="60"/>
      <c r="SJS2489" s="60"/>
      <c r="SJT2489" s="60"/>
      <c r="SJU2489" s="58"/>
      <c r="SJV2489" s="61"/>
      <c r="SJW2489" s="58"/>
      <c r="SJX2489" s="58"/>
      <c r="SJY2489" s="58"/>
      <c r="SJZ2489" s="60"/>
      <c r="SKA2489" s="60"/>
      <c r="SKB2489" s="60"/>
      <c r="SKC2489" s="58"/>
      <c r="SKD2489" s="61"/>
      <c r="SKE2489" s="58"/>
      <c r="SKF2489" s="58"/>
      <c r="SKG2489" s="58"/>
      <c r="SKH2489" s="60"/>
      <c r="SKI2489" s="60"/>
      <c r="SKJ2489" s="60"/>
      <c r="SKK2489" s="58"/>
      <c r="SKL2489" s="61"/>
      <c r="SKM2489" s="58"/>
      <c r="SKN2489" s="58"/>
      <c r="SKO2489" s="58"/>
      <c r="SKP2489" s="60"/>
      <c r="SKQ2489" s="60"/>
      <c r="SKR2489" s="60"/>
      <c r="SKS2489" s="58"/>
      <c r="SKT2489" s="61"/>
      <c r="SKU2489" s="58"/>
      <c r="SKV2489" s="58"/>
      <c r="SKW2489" s="58"/>
      <c r="SKX2489" s="60"/>
      <c r="SKY2489" s="60"/>
      <c r="SKZ2489" s="60"/>
      <c r="SLA2489" s="58"/>
      <c r="SLB2489" s="61"/>
      <c r="SLC2489" s="58"/>
      <c r="SLD2489" s="58"/>
      <c r="SLE2489" s="58"/>
      <c r="SLF2489" s="60"/>
      <c r="SLG2489" s="60"/>
      <c r="SLH2489" s="60"/>
      <c r="SLI2489" s="58"/>
      <c r="SLJ2489" s="61"/>
      <c r="SLK2489" s="58"/>
      <c r="SLL2489" s="58"/>
      <c r="SLM2489" s="58"/>
      <c r="SLN2489" s="60"/>
      <c r="SLO2489" s="60"/>
      <c r="SLP2489" s="60"/>
      <c r="SLQ2489" s="58"/>
      <c r="SLR2489" s="61"/>
      <c r="SLS2489" s="58"/>
      <c r="SLT2489" s="58"/>
      <c r="SLU2489" s="58"/>
      <c r="SLV2489" s="60"/>
      <c r="SLW2489" s="60"/>
      <c r="SLX2489" s="60"/>
      <c r="SLY2489" s="58"/>
      <c r="SLZ2489" s="61"/>
      <c r="SMA2489" s="58"/>
      <c r="SMB2489" s="58"/>
      <c r="SMC2489" s="58"/>
      <c r="SMD2489" s="60"/>
      <c r="SME2489" s="60"/>
      <c r="SMF2489" s="60"/>
      <c r="SMG2489" s="58"/>
      <c r="SMH2489" s="61"/>
      <c r="SMI2489" s="58"/>
      <c r="SMJ2489" s="58"/>
      <c r="SMK2489" s="58"/>
      <c r="SML2489" s="60"/>
      <c r="SMM2489" s="60"/>
      <c r="SMN2489" s="60"/>
      <c r="SMO2489" s="58"/>
      <c r="SMP2489" s="61"/>
      <c r="SMQ2489" s="58"/>
      <c r="SMR2489" s="58"/>
      <c r="SMS2489" s="58"/>
      <c r="SMT2489" s="60"/>
      <c r="SMU2489" s="60"/>
      <c r="SMV2489" s="60"/>
      <c r="SMW2489" s="58"/>
      <c r="SMX2489" s="61"/>
      <c r="SMY2489" s="58"/>
      <c r="SMZ2489" s="58"/>
      <c r="SNA2489" s="58"/>
      <c r="SNB2489" s="60"/>
      <c r="SNC2489" s="60"/>
      <c r="SND2489" s="60"/>
      <c r="SNE2489" s="58"/>
      <c r="SNF2489" s="61"/>
      <c r="SNG2489" s="58"/>
      <c r="SNH2489" s="58"/>
      <c r="SNI2489" s="58"/>
      <c r="SNJ2489" s="60"/>
      <c r="SNK2489" s="60"/>
      <c r="SNL2489" s="60"/>
      <c r="SNM2489" s="58"/>
      <c r="SNN2489" s="61"/>
      <c r="SNO2489" s="58"/>
      <c r="SNP2489" s="58"/>
      <c r="SNQ2489" s="58"/>
      <c r="SNR2489" s="60"/>
      <c r="SNS2489" s="60"/>
      <c r="SNT2489" s="60"/>
      <c r="SNU2489" s="58"/>
      <c r="SNV2489" s="61"/>
      <c r="SNW2489" s="58"/>
      <c r="SNX2489" s="58"/>
      <c r="SNY2489" s="58"/>
      <c r="SNZ2489" s="60"/>
      <c r="SOA2489" s="60"/>
      <c r="SOB2489" s="60"/>
      <c r="SOC2489" s="58"/>
      <c r="SOD2489" s="61"/>
      <c r="SOE2489" s="58"/>
      <c r="SOF2489" s="58"/>
      <c r="SOG2489" s="58"/>
      <c r="SOH2489" s="60"/>
      <c r="SOI2489" s="60"/>
      <c r="SOJ2489" s="60"/>
      <c r="SOK2489" s="58"/>
      <c r="SOL2489" s="61"/>
      <c r="SOM2489" s="58"/>
      <c r="SON2489" s="58"/>
      <c r="SOO2489" s="58"/>
      <c r="SOP2489" s="60"/>
      <c r="SOQ2489" s="60"/>
      <c r="SOR2489" s="60"/>
      <c r="SOS2489" s="58"/>
      <c r="SOT2489" s="61"/>
      <c r="SOU2489" s="58"/>
      <c r="SOV2489" s="58"/>
      <c r="SOW2489" s="58"/>
      <c r="SOX2489" s="60"/>
      <c r="SOY2489" s="60"/>
      <c r="SOZ2489" s="60"/>
      <c r="SPA2489" s="58"/>
      <c r="SPB2489" s="61"/>
      <c r="SPC2489" s="58"/>
      <c r="SPD2489" s="58"/>
      <c r="SPE2489" s="58"/>
      <c r="SPF2489" s="60"/>
      <c r="SPG2489" s="60"/>
      <c r="SPH2489" s="60"/>
      <c r="SPI2489" s="58"/>
      <c r="SPJ2489" s="61"/>
      <c r="SPK2489" s="58"/>
      <c r="SPL2489" s="58"/>
      <c r="SPM2489" s="58"/>
      <c r="SPN2489" s="60"/>
      <c r="SPO2489" s="60"/>
      <c r="SPP2489" s="60"/>
      <c r="SPQ2489" s="58"/>
      <c r="SPR2489" s="61"/>
      <c r="SPS2489" s="58"/>
      <c r="SPT2489" s="58"/>
      <c r="SPU2489" s="58"/>
      <c r="SPV2489" s="60"/>
      <c r="SPW2489" s="60"/>
      <c r="SPX2489" s="60"/>
      <c r="SPY2489" s="58"/>
      <c r="SPZ2489" s="61"/>
      <c r="SQA2489" s="58"/>
      <c r="SQB2489" s="58"/>
      <c r="SQC2489" s="58"/>
      <c r="SQD2489" s="60"/>
      <c r="SQE2489" s="60"/>
      <c r="SQF2489" s="60"/>
      <c r="SQG2489" s="58"/>
      <c r="SQH2489" s="61"/>
      <c r="SQI2489" s="58"/>
      <c r="SQJ2489" s="58"/>
      <c r="SQK2489" s="58"/>
      <c r="SQL2489" s="60"/>
      <c r="SQM2489" s="60"/>
      <c r="SQN2489" s="60"/>
      <c r="SQO2489" s="58"/>
      <c r="SQP2489" s="61"/>
      <c r="SQQ2489" s="58"/>
      <c r="SQR2489" s="58"/>
      <c r="SQS2489" s="58"/>
      <c r="SQT2489" s="60"/>
      <c r="SQU2489" s="60"/>
      <c r="SQV2489" s="60"/>
      <c r="SQW2489" s="58"/>
      <c r="SQX2489" s="61"/>
      <c r="SQY2489" s="58"/>
      <c r="SQZ2489" s="58"/>
      <c r="SRA2489" s="58"/>
      <c r="SRB2489" s="60"/>
      <c r="SRC2489" s="60"/>
      <c r="SRD2489" s="60"/>
      <c r="SRE2489" s="58"/>
      <c r="SRF2489" s="61"/>
      <c r="SRG2489" s="58"/>
      <c r="SRH2489" s="58"/>
      <c r="SRI2489" s="58"/>
      <c r="SRJ2489" s="60"/>
      <c r="SRK2489" s="60"/>
      <c r="SRL2489" s="60"/>
      <c r="SRM2489" s="58"/>
      <c r="SRN2489" s="61"/>
      <c r="SRO2489" s="58"/>
      <c r="SRP2489" s="58"/>
      <c r="SRQ2489" s="58"/>
      <c r="SRR2489" s="60"/>
      <c r="SRS2489" s="60"/>
      <c r="SRT2489" s="60"/>
      <c r="SRU2489" s="58"/>
      <c r="SRV2489" s="61"/>
      <c r="SRW2489" s="58"/>
      <c r="SRX2489" s="58"/>
      <c r="SRY2489" s="58"/>
      <c r="SRZ2489" s="60"/>
      <c r="SSA2489" s="60"/>
      <c r="SSB2489" s="60"/>
      <c r="SSC2489" s="58"/>
      <c r="SSD2489" s="61"/>
      <c r="SSE2489" s="58"/>
      <c r="SSF2489" s="58"/>
      <c r="SSG2489" s="58"/>
      <c r="SSH2489" s="60"/>
      <c r="SSI2489" s="60"/>
      <c r="SSJ2489" s="60"/>
      <c r="SSK2489" s="58"/>
      <c r="SSL2489" s="61"/>
      <c r="SSM2489" s="58"/>
      <c r="SSN2489" s="58"/>
      <c r="SSO2489" s="58"/>
      <c r="SSP2489" s="60"/>
      <c r="SSQ2489" s="60"/>
      <c r="SSR2489" s="60"/>
      <c r="SSS2489" s="58"/>
      <c r="SST2489" s="61"/>
      <c r="SSU2489" s="58"/>
      <c r="SSV2489" s="58"/>
      <c r="SSW2489" s="58"/>
      <c r="SSX2489" s="60"/>
      <c r="SSY2489" s="60"/>
      <c r="SSZ2489" s="60"/>
      <c r="STA2489" s="58"/>
      <c r="STB2489" s="61"/>
      <c r="STC2489" s="58"/>
      <c r="STD2489" s="58"/>
      <c r="STE2489" s="58"/>
      <c r="STF2489" s="60"/>
      <c r="STG2489" s="60"/>
      <c r="STH2489" s="60"/>
      <c r="STI2489" s="58"/>
      <c r="STJ2489" s="61"/>
      <c r="STK2489" s="58"/>
      <c r="STL2489" s="58"/>
      <c r="STM2489" s="58"/>
      <c r="STN2489" s="60"/>
      <c r="STO2489" s="60"/>
      <c r="STP2489" s="60"/>
      <c r="STQ2489" s="58"/>
      <c r="STR2489" s="61"/>
      <c r="STS2489" s="58"/>
      <c r="STT2489" s="58"/>
      <c r="STU2489" s="58"/>
      <c r="STV2489" s="60"/>
      <c r="STW2489" s="60"/>
      <c r="STX2489" s="60"/>
      <c r="STY2489" s="58"/>
      <c r="STZ2489" s="61"/>
      <c r="SUA2489" s="58"/>
      <c r="SUB2489" s="58"/>
      <c r="SUC2489" s="58"/>
      <c r="SUD2489" s="60"/>
      <c r="SUE2489" s="60"/>
      <c r="SUF2489" s="60"/>
      <c r="SUG2489" s="58"/>
      <c r="SUH2489" s="61"/>
      <c r="SUI2489" s="58"/>
      <c r="SUJ2489" s="58"/>
      <c r="SUK2489" s="58"/>
      <c r="SUL2489" s="60"/>
      <c r="SUM2489" s="60"/>
      <c r="SUN2489" s="60"/>
      <c r="SUO2489" s="58"/>
      <c r="SUP2489" s="61"/>
      <c r="SUQ2489" s="58"/>
      <c r="SUR2489" s="58"/>
      <c r="SUS2489" s="58"/>
      <c r="SUT2489" s="60"/>
      <c r="SUU2489" s="60"/>
      <c r="SUV2489" s="60"/>
      <c r="SUW2489" s="58"/>
      <c r="SUX2489" s="61"/>
      <c r="SUY2489" s="58"/>
      <c r="SUZ2489" s="58"/>
      <c r="SVA2489" s="58"/>
      <c r="SVB2489" s="60"/>
      <c r="SVC2489" s="60"/>
      <c r="SVD2489" s="60"/>
      <c r="SVE2489" s="58"/>
      <c r="SVF2489" s="61"/>
      <c r="SVG2489" s="58"/>
      <c r="SVH2489" s="58"/>
      <c r="SVI2489" s="58"/>
      <c r="SVJ2489" s="60"/>
      <c r="SVK2489" s="60"/>
      <c r="SVL2489" s="60"/>
      <c r="SVM2489" s="58"/>
      <c r="SVN2489" s="61"/>
      <c r="SVO2489" s="58"/>
      <c r="SVP2489" s="58"/>
      <c r="SVQ2489" s="58"/>
      <c r="SVR2489" s="60"/>
      <c r="SVS2489" s="60"/>
      <c r="SVT2489" s="60"/>
      <c r="SVU2489" s="58"/>
      <c r="SVV2489" s="61"/>
      <c r="SVW2489" s="58"/>
      <c r="SVX2489" s="58"/>
      <c r="SVY2489" s="58"/>
      <c r="SVZ2489" s="60"/>
      <c r="SWA2489" s="60"/>
      <c r="SWB2489" s="60"/>
      <c r="SWC2489" s="58"/>
      <c r="SWD2489" s="61"/>
      <c r="SWE2489" s="58"/>
      <c r="SWF2489" s="58"/>
      <c r="SWG2489" s="58"/>
      <c r="SWH2489" s="60"/>
      <c r="SWI2489" s="60"/>
      <c r="SWJ2489" s="60"/>
      <c r="SWK2489" s="58"/>
      <c r="SWL2489" s="61"/>
      <c r="SWM2489" s="58"/>
      <c r="SWN2489" s="58"/>
      <c r="SWO2489" s="58"/>
      <c r="SWP2489" s="60"/>
      <c r="SWQ2489" s="60"/>
      <c r="SWR2489" s="60"/>
      <c r="SWS2489" s="58"/>
      <c r="SWT2489" s="61"/>
      <c r="SWU2489" s="58"/>
      <c r="SWV2489" s="58"/>
      <c r="SWW2489" s="58"/>
      <c r="SWX2489" s="60"/>
      <c r="SWY2489" s="60"/>
      <c r="SWZ2489" s="60"/>
      <c r="SXA2489" s="58"/>
      <c r="SXB2489" s="61"/>
      <c r="SXC2489" s="58"/>
      <c r="SXD2489" s="58"/>
      <c r="SXE2489" s="58"/>
      <c r="SXF2489" s="60"/>
      <c r="SXG2489" s="60"/>
      <c r="SXH2489" s="60"/>
      <c r="SXI2489" s="58"/>
      <c r="SXJ2489" s="61"/>
      <c r="SXK2489" s="58"/>
      <c r="SXL2489" s="58"/>
      <c r="SXM2489" s="58"/>
      <c r="SXN2489" s="60"/>
      <c r="SXO2489" s="60"/>
      <c r="SXP2489" s="60"/>
      <c r="SXQ2489" s="58"/>
      <c r="SXR2489" s="61"/>
      <c r="SXS2489" s="58"/>
      <c r="SXT2489" s="58"/>
      <c r="SXU2489" s="58"/>
      <c r="SXV2489" s="60"/>
      <c r="SXW2489" s="60"/>
      <c r="SXX2489" s="60"/>
      <c r="SXY2489" s="58"/>
      <c r="SXZ2489" s="61"/>
      <c r="SYA2489" s="58"/>
      <c r="SYB2489" s="58"/>
      <c r="SYC2489" s="58"/>
      <c r="SYD2489" s="60"/>
      <c r="SYE2489" s="60"/>
      <c r="SYF2489" s="60"/>
      <c r="SYG2489" s="58"/>
      <c r="SYH2489" s="61"/>
      <c r="SYI2489" s="58"/>
      <c r="SYJ2489" s="58"/>
      <c r="SYK2489" s="58"/>
      <c r="SYL2489" s="60"/>
      <c r="SYM2489" s="60"/>
      <c r="SYN2489" s="60"/>
      <c r="SYO2489" s="58"/>
      <c r="SYP2489" s="61"/>
      <c r="SYQ2489" s="58"/>
      <c r="SYR2489" s="58"/>
      <c r="SYS2489" s="58"/>
      <c r="SYT2489" s="60"/>
      <c r="SYU2489" s="60"/>
      <c r="SYV2489" s="60"/>
      <c r="SYW2489" s="58"/>
      <c r="SYX2489" s="61"/>
      <c r="SYY2489" s="58"/>
      <c r="SYZ2489" s="58"/>
      <c r="SZA2489" s="58"/>
      <c r="SZB2489" s="60"/>
      <c r="SZC2489" s="60"/>
      <c r="SZD2489" s="60"/>
      <c r="SZE2489" s="58"/>
      <c r="SZF2489" s="61"/>
      <c r="SZG2489" s="58"/>
      <c r="SZH2489" s="58"/>
      <c r="SZI2489" s="58"/>
      <c r="SZJ2489" s="60"/>
      <c r="SZK2489" s="60"/>
      <c r="SZL2489" s="60"/>
      <c r="SZM2489" s="58"/>
      <c r="SZN2489" s="61"/>
      <c r="SZO2489" s="58"/>
      <c r="SZP2489" s="58"/>
      <c r="SZQ2489" s="58"/>
      <c r="SZR2489" s="60"/>
      <c r="SZS2489" s="60"/>
      <c r="SZT2489" s="60"/>
      <c r="SZU2489" s="58"/>
      <c r="SZV2489" s="61"/>
      <c r="SZW2489" s="58"/>
      <c r="SZX2489" s="58"/>
      <c r="SZY2489" s="58"/>
      <c r="SZZ2489" s="60"/>
      <c r="TAA2489" s="60"/>
      <c r="TAB2489" s="60"/>
      <c r="TAC2489" s="58"/>
      <c r="TAD2489" s="61"/>
      <c r="TAE2489" s="58"/>
      <c r="TAF2489" s="58"/>
      <c r="TAG2489" s="58"/>
      <c r="TAH2489" s="60"/>
      <c r="TAI2489" s="60"/>
      <c r="TAJ2489" s="60"/>
      <c r="TAK2489" s="58"/>
      <c r="TAL2489" s="61"/>
      <c r="TAM2489" s="58"/>
      <c r="TAN2489" s="58"/>
      <c r="TAO2489" s="58"/>
      <c r="TAP2489" s="60"/>
      <c r="TAQ2489" s="60"/>
      <c r="TAR2489" s="60"/>
      <c r="TAS2489" s="58"/>
      <c r="TAT2489" s="61"/>
      <c r="TAU2489" s="58"/>
      <c r="TAV2489" s="58"/>
      <c r="TAW2489" s="58"/>
      <c r="TAX2489" s="60"/>
      <c r="TAY2489" s="60"/>
      <c r="TAZ2489" s="60"/>
      <c r="TBA2489" s="58"/>
      <c r="TBB2489" s="61"/>
      <c r="TBC2489" s="58"/>
      <c r="TBD2489" s="58"/>
      <c r="TBE2489" s="58"/>
      <c r="TBF2489" s="60"/>
      <c r="TBG2489" s="60"/>
      <c r="TBH2489" s="60"/>
      <c r="TBI2489" s="58"/>
      <c r="TBJ2489" s="61"/>
      <c r="TBK2489" s="58"/>
      <c r="TBL2489" s="58"/>
      <c r="TBM2489" s="58"/>
      <c r="TBN2489" s="60"/>
      <c r="TBO2489" s="60"/>
      <c r="TBP2489" s="60"/>
      <c r="TBQ2489" s="58"/>
      <c r="TBR2489" s="61"/>
      <c r="TBS2489" s="58"/>
      <c r="TBT2489" s="58"/>
      <c r="TBU2489" s="58"/>
      <c r="TBV2489" s="60"/>
      <c r="TBW2489" s="60"/>
      <c r="TBX2489" s="60"/>
      <c r="TBY2489" s="58"/>
      <c r="TBZ2489" s="61"/>
      <c r="TCA2489" s="58"/>
      <c r="TCB2489" s="58"/>
      <c r="TCC2489" s="58"/>
      <c r="TCD2489" s="60"/>
      <c r="TCE2489" s="60"/>
      <c r="TCF2489" s="60"/>
      <c r="TCG2489" s="58"/>
      <c r="TCH2489" s="61"/>
      <c r="TCI2489" s="58"/>
      <c r="TCJ2489" s="58"/>
      <c r="TCK2489" s="58"/>
      <c r="TCL2489" s="60"/>
      <c r="TCM2489" s="60"/>
      <c r="TCN2489" s="60"/>
      <c r="TCO2489" s="58"/>
      <c r="TCP2489" s="61"/>
      <c r="TCQ2489" s="58"/>
      <c r="TCR2489" s="58"/>
      <c r="TCS2489" s="58"/>
      <c r="TCT2489" s="60"/>
      <c r="TCU2489" s="60"/>
      <c r="TCV2489" s="60"/>
      <c r="TCW2489" s="58"/>
      <c r="TCX2489" s="61"/>
      <c r="TCY2489" s="58"/>
      <c r="TCZ2489" s="58"/>
      <c r="TDA2489" s="58"/>
      <c r="TDB2489" s="60"/>
      <c r="TDC2489" s="60"/>
      <c r="TDD2489" s="60"/>
      <c r="TDE2489" s="58"/>
      <c r="TDF2489" s="61"/>
      <c r="TDG2489" s="58"/>
      <c r="TDH2489" s="58"/>
      <c r="TDI2489" s="58"/>
      <c r="TDJ2489" s="60"/>
      <c r="TDK2489" s="60"/>
      <c r="TDL2489" s="60"/>
      <c r="TDM2489" s="58"/>
      <c r="TDN2489" s="61"/>
      <c r="TDO2489" s="58"/>
      <c r="TDP2489" s="58"/>
      <c r="TDQ2489" s="58"/>
      <c r="TDR2489" s="60"/>
      <c r="TDS2489" s="60"/>
      <c r="TDT2489" s="60"/>
      <c r="TDU2489" s="58"/>
      <c r="TDV2489" s="61"/>
      <c r="TDW2489" s="58"/>
      <c r="TDX2489" s="58"/>
      <c r="TDY2489" s="58"/>
      <c r="TDZ2489" s="60"/>
      <c r="TEA2489" s="60"/>
      <c r="TEB2489" s="60"/>
      <c r="TEC2489" s="58"/>
      <c r="TED2489" s="61"/>
      <c r="TEE2489" s="58"/>
      <c r="TEF2489" s="58"/>
      <c r="TEG2489" s="58"/>
      <c r="TEH2489" s="60"/>
      <c r="TEI2489" s="60"/>
      <c r="TEJ2489" s="60"/>
      <c r="TEK2489" s="58"/>
      <c r="TEL2489" s="61"/>
      <c r="TEM2489" s="58"/>
      <c r="TEN2489" s="58"/>
      <c r="TEO2489" s="58"/>
      <c r="TEP2489" s="60"/>
      <c r="TEQ2489" s="60"/>
      <c r="TER2489" s="60"/>
      <c r="TES2489" s="58"/>
      <c r="TET2489" s="61"/>
      <c r="TEU2489" s="58"/>
      <c r="TEV2489" s="58"/>
      <c r="TEW2489" s="58"/>
      <c r="TEX2489" s="60"/>
      <c r="TEY2489" s="60"/>
      <c r="TEZ2489" s="60"/>
      <c r="TFA2489" s="58"/>
      <c r="TFB2489" s="61"/>
      <c r="TFC2489" s="58"/>
      <c r="TFD2489" s="58"/>
      <c r="TFE2489" s="58"/>
      <c r="TFF2489" s="60"/>
      <c r="TFG2489" s="60"/>
      <c r="TFH2489" s="60"/>
      <c r="TFI2489" s="58"/>
      <c r="TFJ2489" s="61"/>
      <c r="TFK2489" s="58"/>
      <c r="TFL2489" s="58"/>
      <c r="TFM2489" s="58"/>
      <c r="TFN2489" s="60"/>
      <c r="TFO2489" s="60"/>
      <c r="TFP2489" s="60"/>
      <c r="TFQ2489" s="58"/>
      <c r="TFR2489" s="61"/>
      <c r="TFS2489" s="58"/>
      <c r="TFT2489" s="58"/>
      <c r="TFU2489" s="58"/>
      <c r="TFV2489" s="60"/>
      <c r="TFW2489" s="60"/>
      <c r="TFX2489" s="60"/>
      <c r="TFY2489" s="58"/>
      <c r="TFZ2489" s="61"/>
      <c r="TGA2489" s="58"/>
      <c r="TGB2489" s="58"/>
      <c r="TGC2489" s="58"/>
      <c r="TGD2489" s="60"/>
      <c r="TGE2489" s="60"/>
      <c r="TGF2489" s="60"/>
      <c r="TGG2489" s="58"/>
      <c r="TGH2489" s="61"/>
      <c r="TGI2489" s="58"/>
      <c r="TGJ2489" s="58"/>
      <c r="TGK2489" s="58"/>
      <c r="TGL2489" s="60"/>
      <c r="TGM2489" s="60"/>
      <c r="TGN2489" s="60"/>
      <c r="TGO2489" s="58"/>
      <c r="TGP2489" s="61"/>
      <c r="TGQ2489" s="58"/>
      <c r="TGR2489" s="58"/>
      <c r="TGS2489" s="58"/>
      <c r="TGT2489" s="60"/>
      <c r="TGU2489" s="60"/>
      <c r="TGV2489" s="60"/>
      <c r="TGW2489" s="58"/>
      <c r="TGX2489" s="61"/>
      <c r="TGY2489" s="58"/>
      <c r="TGZ2489" s="58"/>
      <c r="THA2489" s="58"/>
      <c r="THB2489" s="60"/>
      <c r="THC2489" s="60"/>
      <c r="THD2489" s="60"/>
      <c r="THE2489" s="58"/>
      <c r="THF2489" s="61"/>
      <c r="THG2489" s="58"/>
      <c r="THH2489" s="58"/>
      <c r="THI2489" s="58"/>
      <c r="THJ2489" s="60"/>
      <c r="THK2489" s="60"/>
      <c r="THL2489" s="60"/>
      <c r="THM2489" s="58"/>
      <c r="THN2489" s="61"/>
      <c r="THO2489" s="58"/>
      <c r="THP2489" s="58"/>
      <c r="THQ2489" s="58"/>
      <c r="THR2489" s="60"/>
      <c r="THS2489" s="60"/>
      <c r="THT2489" s="60"/>
      <c r="THU2489" s="58"/>
      <c r="THV2489" s="61"/>
      <c r="THW2489" s="58"/>
      <c r="THX2489" s="58"/>
      <c r="THY2489" s="58"/>
      <c r="THZ2489" s="60"/>
      <c r="TIA2489" s="60"/>
      <c r="TIB2489" s="60"/>
      <c r="TIC2489" s="58"/>
      <c r="TID2489" s="61"/>
      <c r="TIE2489" s="58"/>
      <c r="TIF2489" s="58"/>
      <c r="TIG2489" s="58"/>
      <c r="TIH2489" s="60"/>
      <c r="TII2489" s="60"/>
      <c r="TIJ2489" s="60"/>
      <c r="TIK2489" s="58"/>
      <c r="TIL2489" s="61"/>
      <c r="TIM2489" s="58"/>
      <c r="TIN2489" s="58"/>
      <c r="TIO2489" s="58"/>
      <c r="TIP2489" s="60"/>
      <c r="TIQ2489" s="60"/>
      <c r="TIR2489" s="60"/>
      <c r="TIS2489" s="58"/>
      <c r="TIT2489" s="61"/>
      <c r="TIU2489" s="58"/>
      <c r="TIV2489" s="58"/>
      <c r="TIW2489" s="58"/>
      <c r="TIX2489" s="60"/>
      <c r="TIY2489" s="60"/>
      <c r="TIZ2489" s="60"/>
      <c r="TJA2489" s="58"/>
      <c r="TJB2489" s="61"/>
      <c r="TJC2489" s="58"/>
      <c r="TJD2489" s="58"/>
      <c r="TJE2489" s="58"/>
      <c r="TJF2489" s="60"/>
      <c r="TJG2489" s="60"/>
      <c r="TJH2489" s="60"/>
      <c r="TJI2489" s="58"/>
      <c r="TJJ2489" s="61"/>
      <c r="TJK2489" s="58"/>
      <c r="TJL2489" s="58"/>
      <c r="TJM2489" s="58"/>
      <c r="TJN2489" s="60"/>
      <c r="TJO2489" s="60"/>
      <c r="TJP2489" s="60"/>
      <c r="TJQ2489" s="58"/>
      <c r="TJR2489" s="61"/>
      <c r="TJS2489" s="58"/>
      <c r="TJT2489" s="58"/>
      <c r="TJU2489" s="58"/>
      <c r="TJV2489" s="60"/>
      <c r="TJW2489" s="60"/>
      <c r="TJX2489" s="60"/>
      <c r="TJY2489" s="58"/>
      <c r="TJZ2489" s="61"/>
      <c r="TKA2489" s="58"/>
      <c r="TKB2489" s="58"/>
      <c r="TKC2489" s="58"/>
      <c r="TKD2489" s="60"/>
      <c r="TKE2489" s="60"/>
      <c r="TKF2489" s="60"/>
      <c r="TKG2489" s="58"/>
      <c r="TKH2489" s="61"/>
      <c r="TKI2489" s="58"/>
      <c r="TKJ2489" s="58"/>
      <c r="TKK2489" s="58"/>
      <c r="TKL2489" s="60"/>
      <c r="TKM2489" s="60"/>
      <c r="TKN2489" s="60"/>
      <c r="TKO2489" s="58"/>
      <c r="TKP2489" s="61"/>
      <c r="TKQ2489" s="58"/>
      <c r="TKR2489" s="58"/>
      <c r="TKS2489" s="58"/>
      <c r="TKT2489" s="60"/>
      <c r="TKU2489" s="60"/>
      <c r="TKV2489" s="60"/>
      <c r="TKW2489" s="58"/>
      <c r="TKX2489" s="61"/>
      <c r="TKY2489" s="58"/>
      <c r="TKZ2489" s="58"/>
      <c r="TLA2489" s="58"/>
      <c r="TLB2489" s="60"/>
      <c r="TLC2489" s="60"/>
      <c r="TLD2489" s="60"/>
      <c r="TLE2489" s="58"/>
      <c r="TLF2489" s="61"/>
      <c r="TLG2489" s="58"/>
      <c r="TLH2489" s="58"/>
      <c r="TLI2489" s="58"/>
      <c r="TLJ2489" s="60"/>
      <c r="TLK2489" s="60"/>
      <c r="TLL2489" s="60"/>
      <c r="TLM2489" s="58"/>
      <c r="TLN2489" s="61"/>
      <c r="TLO2489" s="58"/>
      <c r="TLP2489" s="58"/>
      <c r="TLQ2489" s="58"/>
      <c r="TLR2489" s="60"/>
      <c r="TLS2489" s="60"/>
      <c r="TLT2489" s="60"/>
      <c r="TLU2489" s="58"/>
      <c r="TLV2489" s="61"/>
      <c r="TLW2489" s="58"/>
      <c r="TLX2489" s="58"/>
      <c r="TLY2489" s="58"/>
      <c r="TLZ2489" s="60"/>
      <c r="TMA2489" s="60"/>
      <c r="TMB2489" s="60"/>
      <c r="TMC2489" s="58"/>
      <c r="TMD2489" s="61"/>
      <c r="TME2489" s="58"/>
      <c r="TMF2489" s="58"/>
      <c r="TMG2489" s="58"/>
      <c r="TMH2489" s="60"/>
      <c r="TMI2489" s="60"/>
      <c r="TMJ2489" s="60"/>
      <c r="TMK2489" s="58"/>
      <c r="TML2489" s="61"/>
      <c r="TMM2489" s="58"/>
      <c r="TMN2489" s="58"/>
      <c r="TMO2489" s="58"/>
      <c r="TMP2489" s="60"/>
      <c r="TMQ2489" s="60"/>
      <c r="TMR2489" s="60"/>
      <c r="TMS2489" s="58"/>
      <c r="TMT2489" s="61"/>
      <c r="TMU2489" s="58"/>
      <c r="TMV2489" s="58"/>
      <c r="TMW2489" s="58"/>
      <c r="TMX2489" s="60"/>
      <c r="TMY2489" s="60"/>
      <c r="TMZ2489" s="60"/>
      <c r="TNA2489" s="58"/>
      <c r="TNB2489" s="61"/>
      <c r="TNC2489" s="58"/>
      <c r="TND2489" s="58"/>
      <c r="TNE2489" s="58"/>
      <c r="TNF2489" s="60"/>
      <c r="TNG2489" s="60"/>
      <c r="TNH2489" s="60"/>
      <c r="TNI2489" s="58"/>
      <c r="TNJ2489" s="61"/>
      <c r="TNK2489" s="58"/>
      <c r="TNL2489" s="58"/>
      <c r="TNM2489" s="58"/>
      <c r="TNN2489" s="60"/>
      <c r="TNO2489" s="60"/>
      <c r="TNP2489" s="60"/>
      <c r="TNQ2489" s="58"/>
      <c r="TNR2489" s="61"/>
      <c r="TNS2489" s="58"/>
      <c r="TNT2489" s="58"/>
      <c r="TNU2489" s="58"/>
      <c r="TNV2489" s="60"/>
      <c r="TNW2489" s="60"/>
      <c r="TNX2489" s="60"/>
      <c r="TNY2489" s="58"/>
      <c r="TNZ2489" s="61"/>
      <c r="TOA2489" s="58"/>
      <c r="TOB2489" s="58"/>
      <c r="TOC2489" s="58"/>
      <c r="TOD2489" s="60"/>
      <c r="TOE2489" s="60"/>
      <c r="TOF2489" s="60"/>
      <c r="TOG2489" s="58"/>
      <c r="TOH2489" s="61"/>
      <c r="TOI2489" s="58"/>
      <c r="TOJ2489" s="58"/>
      <c r="TOK2489" s="58"/>
      <c r="TOL2489" s="60"/>
      <c r="TOM2489" s="60"/>
      <c r="TON2489" s="60"/>
      <c r="TOO2489" s="58"/>
      <c r="TOP2489" s="61"/>
      <c r="TOQ2489" s="58"/>
      <c r="TOR2489" s="58"/>
      <c r="TOS2489" s="58"/>
      <c r="TOT2489" s="60"/>
      <c r="TOU2489" s="60"/>
      <c r="TOV2489" s="60"/>
      <c r="TOW2489" s="58"/>
      <c r="TOX2489" s="61"/>
      <c r="TOY2489" s="58"/>
      <c r="TOZ2489" s="58"/>
      <c r="TPA2489" s="58"/>
      <c r="TPB2489" s="60"/>
      <c r="TPC2489" s="60"/>
      <c r="TPD2489" s="60"/>
      <c r="TPE2489" s="58"/>
      <c r="TPF2489" s="61"/>
      <c r="TPG2489" s="58"/>
      <c r="TPH2489" s="58"/>
      <c r="TPI2489" s="58"/>
      <c r="TPJ2489" s="60"/>
      <c r="TPK2489" s="60"/>
      <c r="TPL2489" s="60"/>
      <c r="TPM2489" s="58"/>
      <c r="TPN2489" s="61"/>
      <c r="TPO2489" s="58"/>
      <c r="TPP2489" s="58"/>
      <c r="TPQ2489" s="58"/>
      <c r="TPR2489" s="60"/>
      <c r="TPS2489" s="60"/>
      <c r="TPT2489" s="60"/>
      <c r="TPU2489" s="58"/>
      <c r="TPV2489" s="61"/>
      <c r="TPW2489" s="58"/>
      <c r="TPX2489" s="58"/>
      <c r="TPY2489" s="58"/>
      <c r="TPZ2489" s="60"/>
      <c r="TQA2489" s="60"/>
      <c r="TQB2489" s="60"/>
      <c r="TQC2489" s="58"/>
      <c r="TQD2489" s="61"/>
      <c r="TQE2489" s="58"/>
      <c r="TQF2489" s="58"/>
      <c r="TQG2489" s="58"/>
      <c r="TQH2489" s="60"/>
      <c r="TQI2489" s="60"/>
      <c r="TQJ2489" s="60"/>
      <c r="TQK2489" s="58"/>
      <c r="TQL2489" s="61"/>
      <c r="TQM2489" s="58"/>
      <c r="TQN2489" s="58"/>
      <c r="TQO2489" s="58"/>
      <c r="TQP2489" s="60"/>
      <c r="TQQ2489" s="60"/>
      <c r="TQR2489" s="60"/>
      <c r="TQS2489" s="58"/>
      <c r="TQT2489" s="61"/>
      <c r="TQU2489" s="58"/>
      <c r="TQV2489" s="58"/>
      <c r="TQW2489" s="58"/>
      <c r="TQX2489" s="60"/>
      <c r="TQY2489" s="60"/>
      <c r="TQZ2489" s="60"/>
      <c r="TRA2489" s="58"/>
      <c r="TRB2489" s="61"/>
      <c r="TRC2489" s="58"/>
      <c r="TRD2489" s="58"/>
      <c r="TRE2489" s="58"/>
      <c r="TRF2489" s="60"/>
      <c r="TRG2489" s="60"/>
      <c r="TRH2489" s="60"/>
      <c r="TRI2489" s="58"/>
      <c r="TRJ2489" s="61"/>
      <c r="TRK2489" s="58"/>
      <c r="TRL2489" s="58"/>
      <c r="TRM2489" s="58"/>
      <c r="TRN2489" s="60"/>
      <c r="TRO2489" s="60"/>
      <c r="TRP2489" s="60"/>
      <c r="TRQ2489" s="58"/>
      <c r="TRR2489" s="61"/>
      <c r="TRS2489" s="58"/>
      <c r="TRT2489" s="58"/>
      <c r="TRU2489" s="58"/>
      <c r="TRV2489" s="60"/>
      <c r="TRW2489" s="60"/>
      <c r="TRX2489" s="60"/>
      <c r="TRY2489" s="58"/>
      <c r="TRZ2489" s="61"/>
      <c r="TSA2489" s="58"/>
      <c r="TSB2489" s="58"/>
      <c r="TSC2489" s="58"/>
      <c r="TSD2489" s="60"/>
      <c r="TSE2489" s="60"/>
      <c r="TSF2489" s="60"/>
      <c r="TSG2489" s="58"/>
      <c r="TSH2489" s="61"/>
      <c r="TSI2489" s="58"/>
      <c r="TSJ2489" s="58"/>
      <c r="TSK2489" s="58"/>
      <c r="TSL2489" s="60"/>
      <c r="TSM2489" s="60"/>
      <c r="TSN2489" s="60"/>
      <c r="TSO2489" s="58"/>
      <c r="TSP2489" s="61"/>
      <c r="TSQ2489" s="58"/>
      <c r="TSR2489" s="58"/>
      <c r="TSS2489" s="58"/>
      <c r="TST2489" s="60"/>
      <c r="TSU2489" s="60"/>
      <c r="TSV2489" s="60"/>
      <c r="TSW2489" s="58"/>
      <c r="TSX2489" s="61"/>
      <c r="TSY2489" s="58"/>
      <c r="TSZ2489" s="58"/>
      <c r="TTA2489" s="58"/>
      <c r="TTB2489" s="60"/>
      <c r="TTC2489" s="60"/>
      <c r="TTD2489" s="60"/>
      <c r="TTE2489" s="58"/>
      <c r="TTF2489" s="61"/>
      <c r="TTG2489" s="58"/>
      <c r="TTH2489" s="58"/>
      <c r="TTI2489" s="58"/>
      <c r="TTJ2489" s="60"/>
      <c r="TTK2489" s="60"/>
      <c r="TTL2489" s="60"/>
      <c r="TTM2489" s="58"/>
      <c r="TTN2489" s="61"/>
      <c r="TTO2489" s="58"/>
      <c r="TTP2489" s="58"/>
      <c r="TTQ2489" s="58"/>
      <c r="TTR2489" s="60"/>
      <c r="TTS2489" s="60"/>
      <c r="TTT2489" s="60"/>
      <c r="TTU2489" s="58"/>
      <c r="TTV2489" s="61"/>
      <c r="TTW2489" s="58"/>
      <c r="TTX2489" s="58"/>
      <c r="TTY2489" s="58"/>
      <c r="TTZ2489" s="60"/>
      <c r="TUA2489" s="60"/>
      <c r="TUB2489" s="60"/>
      <c r="TUC2489" s="58"/>
      <c r="TUD2489" s="61"/>
      <c r="TUE2489" s="58"/>
      <c r="TUF2489" s="58"/>
      <c r="TUG2489" s="58"/>
      <c r="TUH2489" s="60"/>
      <c r="TUI2489" s="60"/>
      <c r="TUJ2489" s="60"/>
      <c r="TUK2489" s="58"/>
      <c r="TUL2489" s="61"/>
      <c r="TUM2489" s="58"/>
      <c r="TUN2489" s="58"/>
      <c r="TUO2489" s="58"/>
      <c r="TUP2489" s="60"/>
      <c r="TUQ2489" s="60"/>
      <c r="TUR2489" s="60"/>
      <c r="TUS2489" s="58"/>
      <c r="TUT2489" s="61"/>
      <c r="TUU2489" s="58"/>
      <c r="TUV2489" s="58"/>
      <c r="TUW2489" s="58"/>
      <c r="TUX2489" s="60"/>
      <c r="TUY2489" s="60"/>
      <c r="TUZ2489" s="60"/>
      <c r="TVA2489" s="58"/>
      <c r="TVB2489" s="61"/>
      <c r="TVC2489" s="58"/>
      <c r="TVD2489" s="58"/>
      <c r="TVE2489" s="58"/>
      <c r="TVF2489" s="60"/>
      <c r="TVG2489" s="60"/>
      <c r="TVH2489" s="60"/>
      <c r="TVI2489" s="58"/>
      <c r="TVJ2489" s="61"/>
      <c r="TVK2489" s="58"/>
      <c r="TVL2489" s="58"/>
      <c r="TVM2489" s="58"/>
      <c r="TVN2489" s="60"/>
      <c r="TVO2489" s="60"/>
      <c r="TVP2489" s="60"/>
      <c r="TVQ2489" s="58"/>
      <c r="TVR2489" s="61"/>
      <c r="TVS2489" s="58"/>
      <c r="TVT2489" s="58"/>
      <c r="TVU2489" s="58"/>
      <c r="TVV2489" s="60"/>
      <c r="TVW2489" s="60"/>
      <c r="TVX2489" s="60"/>
      <c r="TVY2489" s="58"/>
      <c r="TVZ2489" s="61"/>
      <c r="TWA2489" s="58"/>
      <c r="TWB2489" s="58"/>
      <c r="TWC2489" s="58"/>
      <c r="TWD2489" s="60"/>
      <c r="TWE2489" s="60"/>
      <c r="TWF2489" s="60"/>
      <c r="TWG2489" s="58"/>
      <c r="TWH2489" s="61"/>
      <c r="TWI2489" s="58"/>
      <c r="TWJ2489" s="58"/>
      <c r="TWK2489" s="58"/>
      <c r="TWL2489" s="60"/>
      <c r="TWM2489" s="60"/>
      <c r="TWN2489" s="60"/>
      <c r="TWO2489" s="58"/>
      <c r="TWP2489" s="61"/>
      <c r="TWQ2489" s="58"/>
      <c r="TWR2489" s="58"/>
      <c r="TWS2489" s="58"/>
      <c r="TWT2489" s="60"/>
      <c r="TWU2489" s="60"/>
      <c r="TWV2489" s="60"/>
      <c r="TWW2489" s="58"/>
      <c r="TWX2489" s="61"/>
      <c r="TWY2489" s="58"/>
      <c r="TWZ2489" s="58"/>
      <c r="TXA2489" s="58"/>
      <c r="TXB2489" s="60"/>
      <c r="TXC2489" s="60"/>
      <c r="TXD2489" s="60"/>
      <c r="TXE2489" s="58"/>
      <c r="TXF2489" s="61"/>
      <c r="TXG2489" s="58"/>
      <c r="TXH2489" s="58"/>
      <c r="TXI2489" s="58"/>
      <c r="TXJ2489" s="60"/>
      <c r="TXK2489" s="60"/>
      <c r="TXL2489" s="60"/>
      <c r="TXM2489" s="58"/>
      <c r="TXN2489" s="61"/>
      <c r="TXO2489" s="58"/>
      <c r="TXP2489" s="58"/>
      <c r="TXQ2489" s="58"/>
      <c r="TXR2489" s="60"/>
      <c r="TXS2489" s="60"/>
      <c r="TXT2489" s="60"/>
      <c r="TXU2489" s="58"/>
      <c r="TXV2489" s="61"/>
      <c r="TXW2489" s="58"/>
      <c r="TXX2489" s="58"/>
      <c r="TXY2489" s="58"/>
      <c r="TXZ2489" s="60"/>
      <c r="TYA2489" s="60"/>
      <c r="TYB2489" s="60"/>
      <c r="TYC2489" s="58"/>
      <c r="TYD2489" s="61"/>
      <c r="TYE2489" s="58"/>
      <c r="TYF2489" s="58"/>
      <c r="TYG2489" s="58"/>
      <c r="TYH2489" s="60"/>
      <c r="TYI2489" s="60"/>
      <c r="TYJ2489" s="60"/>
      <c r="TYK2489" s="58"/>
      <c r="TYL2489" s="61"/>
      <c r="TYM2489" s="58"/>
      <c r="TYN2489" s="58"/>
      <c r="TYO2489" s="58"/>
      <c r="TYP2489" s="60"/>
      <c r="TYQ2489" s="60"/>
      <c r="TYR2489" s="60"/>
      <c r="TYS2489" s="58"/>
      <c r="TYT2489" s="61"/>
      <c r="TYU2489" s="58"/>
      <c r="TYV2489" s="58"/>
      <c r="TYW2489" s="58"/>
      <c r="TYX2489" s="60"/>
      <c r="TYY2489" s="60"/>
      <c r="TYZ2489" s="60"/>
      <c r="TZA2489" s="58"/>
      <c r="TZB2489" s="61"/>
      <c r="TZC2489" s="58"/>
      <c r="TZD2489" s="58"/>
      <c r="TZE2489" s="58"/>
      <c r="TZF2489" s="60"/>
      <c r="TZG2489" s="60"/>
      <c r="TZH2489" s="60"/>
      <c r="TZI2489" s="58"/>
      <c r="TZJ2489" s="61"/>
      <c r="TZK2489" s="58"/>
      <c r="TZL2489" s="58"/>
      <c r="TZM2489" s="58"/>
      <c r="TZN2489" s="60"/>
      <c r="TZO2489" s="60"/>
      <c r="TZP2489" s="60"/>
      <c r="TZQ2489" s="58"/>
      <c r="TZR2489" s="61"/>
      <c r="TZS2489" s="58"/>
      <c r="TZT2489" s="58"/>
      <c r="TZU2489" s="58"/>
      <c r="TZV2489" s="60"/>
      <c r="TZW2489" s="60"/>
      <c r="TZX2489" s="60"/>
      <c r="TZY2489" s="58"/>
      <c r="TZZ2489" s="61"/>
      <c r="UAA2489" s="58"/>
      <c r="UAB2489" s="58"/>
      <c r="UAC2489" s="58"/>
      <c r="UAD2489" s="60"/>
      <c r="UAE2489" s="60"/>
      <c r="UAF2489" s="60"/>
      <c r="UAG2489" s="58"/>
      <c r="UAH2489" s="61"/>
      <c r="UAI2489" s="58"/>
      <c r="UAJ2489" s="58"/>
      <c r="UAK2489" s="58"/>
      <c r="UAL2489" s="60"/>
      <c r="UAM2489" s="60"/>
      <c r="UAN2489" s="60"/>
      <c r="UAO2489" s="58"/>
      <c r="UAP2489" s="61"/>
      <c r="UAQ2489" s="58"/>
      <c r="UAR2489" s="58"/>
      <c r="UAS2489" s="58"/>
      <c r="UAT2489" s="60"/>
      <c r="UAU2489" s="60"/>
      <c r="UAV2489" s="60"/>
      <c r="UAW2489" s="58"/>
      <c r="UAX2489" s="61"/>
      <c r="UAY2489" s="58"/>
      <c r="UAZ2489" s="58"/>
      <c r="UBA2489" s="58"/>
      <c r="UBB2489" s="60"/>
      <c r="UBC2489" s="60"/>
      <c r="UBD2489" s="60"/>
      <c r="UBE2489" s="58"/>
      <c r="UBF2489" s="61"/>
      <c r="UBG2489" s="58"/>
      <c r="UBH2489" s="58"/>
      <c r="UBI2489" s="58"/>
      <c r="UBJ2489" s="60"/>
      <c r="UBK2489" s="60"/>
      <c r="UBL2489" s="60"/>
      <c r="UBM2489" s="58"/>
      <c r="UBN2489" s="61"/>
      <c r="UBO2489" s="58"/>
      <c r="UBP2489" s="58"/>
      <c r="UBQ2489" s="58"/>
      <c r="UBR2489" s="60"/>
      <c r="UBS2489" s="60"/>
      <c r="UBT2489" s="60"/>
      <c r="UBU2489" s="58"/>
      <c r="UBV2489" s="61"/>
      <c r="UBW2489" s="58"/>
      <c r="UBX2489" s="58"/>
      <c r="UBY2489" s="58"/>
      <c r="UBZ2489" s="60"/>
      <c r="UCA2489" s="60"/>
      <c r="UCB2489" s="60"/>
      <c r="UCC2489" s="58"/>
      <c r="UCD2489" s="61"/>
      <c r="UCE2489" s="58"/>
      <c r="UCF2489" s="58"/>
      <c r="UCG2489" s="58"/>
      <c r="UCH2489" s="60"/>
      <c r="UCI2489" s="60"/>
      <c r="UCJ2489" s="60"/>
      <c r="UCK2489" s="58"/>
      <c r="UCL2489" s="61"/>
      <c r="UCM2489" s="58"/>
      <c r="UCN2489" s="58"/>
      <c r="UCO2489" s="58"/>
      <c r="UCP2489" s="60"/>
      <c r="UCQ2489" s="60"/>
      <c r="UCR2489" s="60"/>
      <c r="UCS2489" s="58"/>
      <c r="UCT2489" s="61"/>
      <c r="UCU2489" s="58"/>
      <c r="UCV2489" s="58"/>
      <c r="UCW2489" s="58"/>
      <c r="UCX2489" s="60"/>
      <c r="UCY2489" s="60"/>
      <c r="UCZ2489" s="60"/>
      <c r="UDA2489" s="58"/>
      <c r="UDB2489" s="61"/>
      <c r="UDC2489" s="58"/>
      <c r="UDD2489" s="58"/>
      <c r="UDE2489" s="58"/>
      <c r="UDF2489" s="60"/>
      <c r="UDG2489" s="60"/>
      <c r="UDH2489" s="60"/>
      <c r="UDI2489" s="58"/>
      <c r="UDJ2489" s="61"/>
      <c r="UDK2489" s="58"/>
      <c r="UDL2489" s="58"/>
      <c r="UDM2489" s="58"/>
      <c r="UDN2489" s="60"/>
      <c r="UDO2489" s="60"/>
      <c r="UDP2489" s="60"/>
      <c r="UDQ2489" s="58"/>
      <c r="UDR2489" s="61"/>
      <c r="UDS2489" s="58"/>
      <c r="UDT2489" s="58"/>
      <c r="UDU2489" s="58"/>
      <c r="UDV2489" s="60"/>
      <c r="UDW2489" s="60"/>
      <c r="UDX2489" s="60"/>
      <c r="UDY2489" s="58"/>
      <c r="UDZ2489" s="61"/>
      <c r="UEA2489" s="58"/>
      <c r="UEB2489" s="58"/>
      <c r="UEC2489" s="58"/>
      <c r="UED2489" s="60"/>
      <c r="UEE2489" s="60"/>
      <c r="UEF2489" s="60"/>
      <c r="UEG2489" s="58"/>
      <c r="UEH2489" s="61"/>
      <c r="UEI2489" s="58"/>
      <c r="UEJ2489" s="58"/>
      <c r="UEK2489" s="58"/>
      <c r="UEL2489" s="60"/>
      <c r="UEM2489" s="60"/>
      <c r="UEN2489" s="60"/>
      <c r="UEO2489" s="58"/>
      <c r="UEP2489" s="61"/>
      <c r="UEQ2489" s="58"/>
      <c r="UER2489" s="58"/>
      <c r="UES2489" s="58"/>
      <c r="UET2489" s="60"/>
      <c r="UEU2489" s="60"/>
      <c r="UEV2489" s="60"/>
      <c r="UEW2489" s="58"/>
      <c r="UEX2489" s="61"/>
      <c r="UEY2489" s="58"/>
      <c r="UEZ2489" s="58"/>
      <c r="UFA2489" s="58"/>
      <c r="UFB2489" s="60"/>
      <c r="UFC2489" s="60"/>
      <c r="UFD2489" s="60"/>
      <c r="UFE2489" s="58"/>
      <c r="UFF2489" s="61"/>
      <c r="UFG2489" s="58"/>
      <c r="UFH2489" s="58"/>
      <c r="UFI2489" s="58"/>
      <c r="UFJ2489" s="60"/>
      <c r="UFK2489" s="60"/>
      <c r="UFL2489" s="60"/>
      <c r="UFM2489" s="58"/>
      <c r="UFN2489" s="61"/>
      <c r="UFO2489" s="58"/>
      <c r="UFP2489" s="58"/>
      <c r="UFQ2489" s="58"/>
      <c r="UFR2489" s="60"/>
      <c r="UFS2489" s="60"/>
      <c r="UFT2489" s="60"/>
      <c r="UFU2489" s="58"/>
      <c r="UFV2489" s="61"/>
      <c r="UFW2489" s="58"/>
      <c r="UFX2489" s="58"/>
      <c r="UFY2489" s="58"/>
      <c r="UFZ2489" s="60"/>
      <c r="UGA2489" s="60"/>
      <c r="UGB2489" s="60"/>
      <c r="UGC2489" s="58"/>
      <c r="UGD2489" s="61"/>
      <c r="UGE2489" s="58"/>
      <c r="UGF2489" s="58"/>
      <c r="UGG2489" s="58"/>
      <c r="UGH2489" s="60"/>
      <c r="UGI2489" s="60"/>
      <c r="UGJ2489" s="60"/>
      <c r="UGK2489" s="58"/>
      <c r="UGL2489" s="61"/>
      <c r="UGM2489" s="58"/>
      <c r="UGN2489" s="58"/>
      <c r="UGO2489" s="58"/>
      <c r="UGP2489" s="60"/>
      <c r="UGQ2489" s="60"/>
      <c r="UGR2489" s="60"/>
      <c r="UGS2489" s="58"/>
      <c r="UGT2489" s="61"/>
      <c r="UGU2489" s="58"/>
      <c r="UGV2489" s="58"/>
      <c r="UGW2489" s="58"/>
      <c r="UGX2489" s="60"/>
      <c r="UGY2489" s="60"/>
      <c r="UGZ2489" s="60"/>
      <c r="UHA2489" s="58"/>
      <c r="UHB2489" s="61"/>
      <c r="UHC2489" s="58"/>
      <c r="UHD2489" s="58"/>
      <c r="UHE2489" s="58"/>
      <c r="UHF2489" s="60"/>
      <c r="UHG2489" s="60"/>
      <c r="UHH2489" s="60"/>
      <c r="UHI2489" s="58"/>
      <c r="UHJ2489" s="61"/>
      <c r="UHK2489" s="58"/>
      <c r="UHL2489" s="58"/>
      <c r="UHM2489" s="58"/>
      <c r="UHN2489" s="60"/>
      <c r="UHO2489" s="60"/>
      <c r="UHP2489" s="60"/>
      <c r="UHQ2489" s="58"/>
      <c r="UHR2489" s="61"/>
      <c r="UHS2489" s="58"/>
      <c r="UHT2489" s="58"/>
      <c r="UHU2489" s="58"/>
      <c r="UHV2489" s="60"/>
      <c r="UHW2489" s="60"/>
      <c r="UHX2489" s="60"/>
      <c r="UHY2489" s="58"/>
      <c r="UHZ2489" s="61"/>
      <c r="UIA2489" s="58"/>
      <c r="UIB2489" s="58"/>
      <c r="UIC2489" s="58"/>
      <c r="UID2489" s="60"/>
      <c r="UIE2489" s="60"/>
      <c r="UIF2489" s="60"/>
      <c r="UIG2489" s="58"/>
      <c r="UIH2489" s="61"/>
      <c r="UII2489" s="58"/>
      <c r="UIJ2489" s="58"/>
      <c r="UIK2489" s="58"/>
      <c r="UIL2489" s="60"/>
      <c r="UIM2489" s="60"/>
      <c r="UIN2489" s="60"/>
      <c r="UIO2489" s="58"/>
      <c r="UIP2489" s="61"/>
      <c r="UIQ2489" s="58"/>
      <c r="UIR2489" s="58"/>
      <c r="UIS2489" s="58"/>
      <c r="UIT2489" s="60"/>
      <c r="UIU2489" s="60"/>
      <c r="UIV2489" s="60"/>
      <c r="UIW2489" s="58"/>
      <c r="UIX2489" s="61"/>
      <c r="UIY2489" s="58"/>
      <c r="UIZ2489" s="58"/>
      <c r="UJA2489" s="58"/>
      <c r="UJB2489" s="60"/>
      <c r="UJC2489" s="60"/>
      <c r="UJD2489" s="60"/>
      <c r="UJE2489" s="58"/>
      <c r="UJF2489" s="61"/>
      <c r="UJG2489" s="58"/>
      <c r="UJH2489" s="58"/>
      <c r="UJI2489" s="58"/>
      <c r="UJJ2489" s="60"/>
      <c r="UJK2489" s="60"/>
      <c r="UJL2489" s="60"/>
      <c r="UJM2489" s="58"/>
      <c r="UJN2489" s="61"/>
      <c r="UJO2489" s="58"/>
      <c r="UJP2489" s="58"/>
      <c r="UJQ2489" s="58"/>
      <c r="UJR2489" s="60"/>
      <c r="UJS2489" s="60"/>
      <c r="UJT2489" s="60"/>
      <c r="UJU2489" s="58"/>
      <c r="UJV2489" s="61"/>
      <c r="UJW2489" s="58"/>
      <c r="UJX2489" s="58"/>
      <c r="UJY2489" s="58"/>
      <c r="UJZ2489" s="60"/>
      <c r="UKA2489" s="60"/>
      <c r="UKB2489" s="60"/>
      <c r="UKC2489" s="58"/>
      <c r="UKD2489" s="61"/>
      <c r="UKE2489" s="58"/>
      <c r="UKF2489" s="58"/>
      <c r="UKG2489" s="58"/>
      <c r="UKH2489" s="60"/>
      <c r="UKI2489" s="60"/>
      <c r="UKJ2489" s="60"/>
      <c r="UKK2489" s="58"/>
      <c r="UKL2489" s="61"/>
      <c r="UKM2489" s="58"/>
      <c r="UKN2489" s="58"/>
      <c r="UKO2489" s="58"/>
      <c r="UKP2489" s="60"/>
      <c r="UKQ2489" s="60"/>
      <c r="UKR2489" s="60"/>
      <c r="UKS2489" s="58"/>
      <c r="UKT2489" s="61"/>
      <c r="UKU2489" s="58"/>
      <c r="UKV2489" s="58"/>
      <c r="UKW2489" s="58"/>
      <c r="UKX2489" s="60"/>
      <c r="UKY2489" s="60"/>
      <c r="UKZ2489" s="60"/>
      <c r="ULA2489" s="58"/>
      <c r="ULB2489" s="61"/>
      <c r="ULC2489" s="58"/>
      <c r="ULD2489" s="58"/>
      <c r="ULE2489" s="58"/>
      <c r="ULF2489" s="60"/>
      <c r="ULG2489" s="60"/>
      <c r="ULH2489" s="60"/>
      <c r="ULI2489" s="58"/>
      <c r="ULJ2489" s="61"/>
      <c r="ULK2489" s="58"/>
      <c r="ULL2489" s="58"/>
      <c r="ULM2489" s="58"/>
      <c r="ULN2489" s="60"/>
      <c r="ULO2489" s="60"/>
      <c r="ULP2489" s="60"/>
      <c r="ULQ2489" s="58"/>
      <c r="ULR2489" s="61"/>
      <c r="ULS2489" s="58"/>
      <c r="ULT2489" s="58"/>
      <c r="ULU2489" s="58"/>
      <c r="ULV2489" s="60"/>
      <c r="ULW2489" s="60"/>
      <c r="ULX2489" s="60"/>
      <c r="ULY2489" s="58"/>
      <c r="ULZ2489" s="61"/>
      <c r="UMA2489" s="58"/>
      <c r="UMB2489" s="58"/>
      <c r="UMC2489" s="58"/>
      <c r="UMD2489" s="60"/>
      <c r="UME2489" s="60"/>
      <c r="UMF2489" s="60"/>
      <c r="UMG2489" s="58"/>
      <c r="UMH2489" s="61"/>
      <c r="UMI2489" s="58"/>
      <c r="UMJ2489" s="58"/>
      <c r="UMK2489" s="58"/>
      <c r="UML2489" s="60"/>
      <c r="UMM2489" s="60"/>
      <c r="UMN2489" s="60"/>
      <c r="UMO2489" s="58"/>
      <c r="UMP2489" s="61"/>
      <c r="UMQ2489" s="58"/>
      <c r="UMR2489" s="58"/>
      <c r="UMS2489" s="58"/>
      <c r="UMT2489" s="60"/>
      <c r="UMU2489" s="60"/>
      <c r="UMV2489" s="60"/>
      <c r="UMW2489" s="58"/>
      <c r="UMX2489" s="61"/>
      <c r="UMY2489" s="58"/>
      <c r="UMZ2489" s="58"/>
      <c r="UNA2489" s="58"/>
      <c r="UNB2489" s="60"/>
      <c r="UNC2489" s="60"/>
      <c r="UND2489" s="60"/>
      <c r="UNE2489" s="58"/>
      <c r="UNF2489" s="61"/>
      <c r="UNG2489" s="58"/>
      <c r="UNH2489" s="58"/>
      <c r="UNI2489" s="58"/>
      <c r="UNJ2489" s="60"/>
      <c r="UNK2489" s="60"/>
      <c r="UNL2489" s="60"/>
      <c r="UNM2489" s="58"/>
      <c r="UNN2489" s="61"/>
      <c r="UNO2489" s="58"/>
      <c r="UNP2489" s="58"/>
      <c r="UNQ2489" s="58"/>
      <c r="UNR2489" s="60"/>
      <c r="UNS2489" s="60"/>
      <c r="UNT2489" s="60"/>
      <c r="UNU2489" s="58"/>
      <c r="UNV2489" s="61"/>
      <c r="UNW2489" s="58"/>
      <c r="UNX2489" s="58"/>
      <c r="UNY2489" s="58"/>
      <c r="UNZ2489" s="60"/>
      <c r="UOA2489" s="60"/>
      <c r="UOB2489" s="60"/>
      <c r="UOC2489" s="58"/>
      <c r="UOD2489" s="61"/>
      <c r="UOE2489" s="58"/>
      <c r="UOF2489" s="58"/>
      <c r="UOG2489" s="58"/>
      <c r="UOH2489" s="60"/>
      <c r="UOI2489" s="60"/>
      <c r="UOJ2489" s="60"/>
      <c r="UOK2489" s="58"/>
      <c r="UOL2489" s="61"/>
      <c r="UOM2489" s="58"/>
      <c r="UON2489" s="58"/>
      <c r="UOO2489" s="58"/>
      <c r="UOP2489" s="60"/>
      <c r="UOQ2489" s="60"/>
      <c r="UOR2489" s="60"/>
      <c r="UOS2489" s="58"/>
      <c r="UOT2489" s="61"/>
      <c r="UOU2489" s="58"/>
      <c r="UOV2489" s="58"/>
      <c r="UOW2489" s="58"/>
      <c r="UOX2489" s="60"/>
      <c r="UOY2489" s="60"/>
      <c r="UOZ2489" s="60"/>
      <c r="UPA2489" s="58"/>
      <c r="UPB2489" s="61"/>
      <c r="UPC2489" s="58"/>
      <c r="UPD2489" s="58"/>
      <c r="UPE2489" s="58"/>
      <c r="UPF2489" s="60"/>
      <c r="UPG2489" s="60"/>
      <c r="UPH2489" s="60"/>
      <c r="UPI2489" s="58"/>
      <c r="UPJ2489" s="61"/>
      <c r="UPK2489" s="58"/>
      <c r="UPL2489" s="58"/>
      <c r="UPM2489" s="58"/>
      <c r="UPN2489" s="60"/>
      <c r="UPO2489" s="60"/>
      <c r="UPP2489" s="60"/>
      <c r="UPQ2489" s="58"/>
      <c r="UPR2489" s="61"/>
      <c r="UPS2489" s="58"/>
      <c r="UPT2489" s="58"/>
      <c r="UPU2489" s="58"/>
      <c r="UPV2489" s="60"/>
      <c r="UPW2489" s="60"/>
      <c r="UPX2489" s="60"/>
      <c r="UPY2489" s="58"/>
      <c r="UPZ2489" s="61"/>
      <c r="UQA2489" s="58"/>
      <c r="UQB2489" s="58"/>
      <c r="UQC2489" s="58"/>
      <c r="UQD2489" s="60"/>
      <c r="UQE2489" s="60"/>
      <c r="UQF2489" s="60"/>
      <c r="UQG2489" s="58"/>
      <c r="UQH2489" s="61"/>
      <c r="UQI2489" s="58"/>
      <c r="UQJ2489" s="58"/>
      <c r="UQK2489" s="58"/>
      <c r="UQL2489" s="60"/>
      <c r="UQM2489" s="60"/>
      <c r="UQN2489" s="60"/>
      <c r="UQO2489" s="58"/>
      <c r="UQP2489" s="61"/>
      <c r="UQQ2489" s="58"/>
      <c r="UQR2489" s="58"/>
      <c r="UQS2489" s="58"/>
      <c r="UQT2489" s="60"/>
      <c r="UQU2489" s="60"/>
      <c r="UQV2489" s="60"/>
      <c r="UQW2489" s="58"/>
      <c r="UQX2489" s="61"/>
      <c r="UQY2489" s="58"/>
      <c r="UQZ2489" s="58"/>
      <c r="URA2489" s="58"/>
      <c r="URB2489" s="60"/>
      <c r="URC2489" s="60"/>
      <c r="URD2489" s="60"/>
      <c r="URE2489" s="58"/>
      <c r="URF2489" s="61"/>
      <c r="URG2489" s="58"/>
      <c r="URH2489" s="58"/>
      <c r="URI2489" s="58"/>
      <c r="URJ2489" s="60"/>
      <c r="URK2489" s="60"/>
      <c r="URL2489" s="60"/>
      <c r="URM2489" s="58"/>
      <c r="URN2489" s="61"/>
      <c r="URO2489" s="58"/>
      <c r="URP2489" s="58"/>
      <c r="URQ2489" s="58"/>
      <c r="URR2489" s="60"/>
      <c r="URS2489" s="60"/>
      <c r="URT2489" s="60"/>
      <c r="URU2489" s="58"/>
      <c r="URV2489" s="61"/>
      <c r="URW2489" s="58"/>
      <c r="URX2489" s="58"/>
      <c r="URY2489" s="58"/>
      <c r="URZ2489" s="60"/>
      <c r="USA2489" s="60"/>
      <c r="USB2489" s="60"/>
      <c r="USC2489" s="58"/>
      <c r="USD2489" s="61"/>
      <c r="USE2489" s="58"/>
      <c r="USF2489" s="58"/>
      <c r="USG2489" s="58"/>
      <c r="USH2489" s="60"/>
      <c r="USI2489" s="60"/>
      <c r="USJ2489" s="60"/>
      <c r="USK2489" s="58"/>
      <c r="USL2489" s="61"/>
      <c r="USM2489" s="58"/>
      <c r="USN2489" s="58"/>
      <c r="USO2489" s="58"/>
      <c r="USP2489" s="60"/>
      <c r="USQ2489" s="60"/>
      <c r="USR2489" s="60"/>
      <c r="USS2489" s="58"/>
      <c r="UST2489" s="61"/>
      <c r="USU2489" s="58"/>
      <c r="USV2489" s="58"/>
      <c r="USW2489" s="58"/>
      <c r="USX2489" s="60"/>
      <c r="USY2489" s="60"/>
      <c r="USZ2489" s="60"/>
      <c r="UTA2489" s="58"/>
      <c r="UTB2489" s="61"/>
      <c r="UTC2489" s="58"/>
      <c r="UTD2489" s="58"/>
      <c r="UTE2489" s="58"/>
      <c r="UTF2489" s="60"/>
      <c r="UTG2489" s="60"/>
      <c r="UTH2489" s="60"/>
      <c r="UTI2489" s="58"/>
      <c r="UTJ2489" s="61"/>
      <c r="UTK2489" s="58"/>
      <c r="UTL2489" s="58"/>
      <c r="UTM2489" s="58"/>
      <c r="UTN2489" s="60"/>
      <c r="UTO2489" s="60"/>
      <c r="UTP2489" s="60"/>
      <c r="UTQ2489" s="58"/>
      <c r="UTR2489" s="61"/>
      <c r="UTS2489" s="58"/>
      <c r="UTT2489" s="58"/>
      <c r="UTU2489" s="58"/>
      <c r="UTV2489" s="60"/>
      <c r="UTW2489" s="60"/>
      <c r="UTX2489" s="60"/>
      <c r="UTY2489" s="58"/>
      <c r="UTZ2489" s="61"/>
      <c r="UUA2489" s="58"/>
      <c r="UUB2489" s="58"/>
      <c r="UUC2489" s="58"/>
      <c r="UUD2489" s="60"/>
      <c r="UUE2489" s="60"/>
      <c r="UUF2489" s="60"/>
      <c r="UUG2489" s="58"/>
      <c r="UUH2489" s="61"/>
      <c r="UUI2489" s="58"/>
      <c r="UUJ2489" s="58"/>
      <c r="UUK2489" s="58"/>
      <c r="UUL2489" s="60"/>
      <c r="UUM2489" s="60"/>
      <c r="UUN2489" s="60"/>
      <c r="UUO2489" s="58"/>
      <c r="UUP2489" s="61"/>
      <c r="UUQ2489" s="58"/>
      <c r="UUR2489" s="58"/>
      <c r="UUS2489" s="58"/>
      <c r="UUT2489" s="60"/>
      <c r="UUU2489" s="60"/>
      <c r="UUV2489" s="60"/>
      <c r="UUW2489" s="58"/>
      <c r="UUX2489" s="61"/>
      <c r="UUY2489" s="58"/>
      <c r="UUZ2489" s="58"/>
      <c r="UVA2489" s="58"/>
      <c r="UVB2489" s="60"/>
      <c r="UVC2489" s="60"/>
      <c r="UVD2489" s="60"/>
      <c r="UVE2489" s="58"/>
      <c r="UVF2489" s="61"/>
      <c r="UVG2489" s="58"/>
      <c r="UVH2489" s="58"/>
      <c r="UVI2489" s="58"/>
      <c r="UVJ2489" s="60"/>
      <c r="UVK2489" s="60"/>
      <c r="UVL2489" s="60"/>
      <c r="UVM2489" s="58"/>
      <c r="UVN2489" s="61"/>
      <c r="UVO2489" s="58"/>
      <c r="UVP2489" s="58"/>
      <c r="UVQ2489" s="58"/>
      <c r="UVR2489" s="60"/>
      <c r="UVS2489" s="60"/>
      <c r="UVT2489" s="60"/>
      <c r="UVU2489" s="58"/>
      <c r="UVV2489" s="61"/>
      <c r="UVW2489" s="58"/>
      <c r="UVX2489" s="58"/>
      <c r="UVY2489" s="58"/>
      <c r="UVZ2489" s="60"/>
      <c r="UWA2489" s="60"/>
      <c r="UWB2489" s="60"/>
      <c r="UWC2489" s="58"/>
      <c r="UWD2489" s="61"/>
      <c r="UWE2489" s="58"/>
      <c r="UWF2489" s="58"/>
      <c r="UWG2489" s="58"/>
      <c r="UWH2489" s="60"/>
      <c r="UWI2489" s="60"/>
      <c r="UWJ2489" s="60"/>
      <c r="UWK2489" s="58"/>
      <c r="UWL2489" s="61"/>
      <c r="UWM2489" s="58"/>
      <c r="UWN2489" s="58"/>
      <c r="UWO2489" s="58"/>
      <c r="UWP2489" s="60"/>
      <c r="UWQ2489" s="60"/>
      <c r="UWR2489" s="60"/>
      <c r="UWS2489" s="58"/>
      <c r="UWT2489" s="61"/>
      <c r="UWU2489" s="58"/>
      <c r="UWV2489" s="58"/>
      <c r="UWW2489" s="58"/>
      <c r="UWX2489" s="60"/>
      <c r="UWY2489" s="60"/>
      <c r="UWZ2489" s="60"/>
      <c r="UXA2489" s="58"/>
      <c r="UXB2489" s="61"/>
      <c r="UXC2489" s="58"/>
      <c r="UXD2489" s="58"/>
      <c r="UXE2489" s="58"/>
      <c r="UXF2489" s="60"/>
      <c r="UXG2489" s="60"/>
      <c r="UXH2489" s="60"/>
      <c r="UXI2489" s="58"/>
      <c r="UXJ2489" s="61"/>
      <c r="UXK2489" s="58"/>
      <c r="UXL2489" s="58"/>
      <c r="UXM2489" s="58"/>
      <c r="UXN2489" s="60"/>
      <c r="UXO2489" s="60"/>
      <c r="UXP2489" s="60"/>
      <c r="UXQ2489" s="58"/>
      <c r="UXR2489" s="61"/>
      <c r="UXS2489" s="58"/>
      <c r="UXT2489" s="58"/>
      <c r="UXU2489" s="58"/>
      <c r="UXV2489" s="60"/>
      <c r="UXW2489" s="60"/>
      <c r="UXX2489" s="60"/>
      <c r="UXY2489" s="58"/>
      <c r="UXZ2489" s="61"/>
      <c r="UYA2489" s="58"/>
      <c r="UYB2489" s="58"/>
      <c r="UYC2489" s="58"/>
      <c r="UYD2489" s="60"/>
      <c r="UYE2489" s="60"/>
      <c r="UYF2489" s="60"/>
      <c r="UYG2489" s="58"/>
      <c r="UYH2489" s="61"/>
      <c r="UYI2489" s="58"/>
      <c r="UYJ2489" s="58"/>
      <c r="UYK2489" s="58"/>
      <c r="UYL2489" s="60"/>
      <c r="UYM2489" s="60"/>
      <c r="UYN2489" s="60"/>
      <c r="UYO2489" s="58"/>
      <c r="UYP2489" s="61"/>
      <c r="UYQ2489" s="58"/>
      <c r="UYR2489" s="58"/>
      <c r="UYS2489" s="58"/>
      <c r="UYT2489" s="60"/>
      <c r="UYU2489" s="60"/>
      <c r="UYV2489" s="60"/>
      <c r="UYW2489" s="58"/>
      <c r="UYX2489" s="61"/>
      <c r="UYY2489" s="58"/>
      <c r="UYZ2489" s="58"/>
      <c r="UZA2489" s="58"/>
      <c r="UZB2489" s="60"/>
      <c r="UZC2489" s="60"/>
      <c r="UZD2489" s="60"/>
      <c r="UZE2489" s="58"/>
      <c r="UZF2489" s="61"/>
      <c r="UZG2489" s="58"/>
      <c r="UZH2489" s="58"/>
      <c r="UZI2489" s="58"/>
      <c r="UZJ2489" s="60"/>
      <c r="UZK2489" s="60"/>
      <c r="UZL2489" s="60"/>
      <c r="UZM2489" s="58"/>
      <c r="UZN2489" s="61"/>
      <c r="UZO2489" s="58"/>
      <c r="UZP2489" s="58"/>
      <c r="UZQ2489" s="58"/>
      <c r="UZR2489" s="60"/>
      <c r="UZS2489" s="60"/>
      <c r="UZT2489" s="60"/>
      <c r="UZU2489" s="58"/>
      <c r="UZV2489" s="61"/>
      <c r="UZW2489" s="58"/>
      <c r="UZX2489" s="58"/>
      <c r="UZY2489" s="58"/>
      <c r="UZZ2489" s="60"/>
      <c r="VAA2489" s="60"/>
      <c r="VAB2489" s="60"/>
      <c r="VAC2489" s="58"/>
      <c r="VAD2489" s="61"/>
      <c r="VAE2489" s="58"/>
      <c r="VAF2489" s="58"/>
      <c r="VAG2489" s="58"/>
      <c r="VAH2489" s="60"/>
      <c r="VAI2489" s="60"/>
      <c r="VAJ2489" s="60"/>
      <c r="VAK2489" s="58"/>
      <c r="VAL2489" s="61"/>
      <c r="VAM2489" s="58"/>
      <c r="VAN2489" s="58"/>
      <c r="VAO2489" s="58"/>
      <c r="VAP2489" s="60"/>
      <c r="VAQ2489" s="60"/>
      <c r="VAR2489" s="60"/>
      <c r="VAS2489" s="58"/>
      <c r="VAT2489" s="61"/>
      <c r="VAU2489" s="58"/>
      <c r="VAV2489" s="58"/>
      <c r="VAW2489" s="58"/>
      <c r="VAX2489" s="60"/>
      <c r="VAY2489" s="60"/>
      <c r="VAZ2489" s="60"/>
      <c r="VBA2489" s="58"/>
      <c r="VBB2489" s="61"/>
      <c r="VBC2489" s="58"/>
      <c r="VBD2489" s="58"/>
      <c r="VBE2489" s="58"/>
      <c r="VBF2489" s="60"/>
      <c r="VBG2489" s="60"/>
      <c r="VBH2489" s="60"/>
      <c r="VBI2489" s="58"/>
      <c r="VBJ2489" s="61"/>
      <c r="VBK2489" s="58"/>
      <c r="VBL2489" s="58"/>
      <c r="VBM2489" s="58"/>
      <c r="VBN2489" s="60"/>
      <c r="VBO2489" s="60"/>
      <c r="VBP2489" s="60"/>
      <c r="VBQ2489" s="58"/>
      <c r="VBR2489" s="61"/>
      <c r="VBS2489" s="58"/>
      <c r="VBT2489" s="58"/>
      <c r="VBU2489" s="58"/>
      <c r="VBV2489" s="60"/>
      <c r="VBW2489" s="60"/>
      <c r="VBX2489" s="60"/>
      <c r="VBY2489" s="58"/>
      <c r="VBZ2489" s="61"/>
      <c r="VCA2489" s="58"/>
      <c r="VCB2489" s="58"/>
      <c r="VCC2489" s="58"/>
      <c r="VCD2489" s="60"/>
      <c r="VCE2489" s="60"/>
      <c r="VCF2489" s="60"/>
      <c r="VCG2489" s="58"/>
      <c r="VCH2489" s="61"/>
      <c r="VCI2489" s="58"/>
      <c r="VCJ2489" s="58"/>
      <c r="VCK2489" s="58"/>
      <c r="VCL2489" s="60"/>
      <c r="VCM2489" s="60"/>
      <c r="VCN2489" s="60"/>
      <c r="VCO2489" s="58"/>
      <c r="VCP2489" s="61"/>
      <c r="VCQ2489" s="58"/>
      <c r="VCR2489" s="58"/>
      <c r="VCS2489" s="58"/>
      <c r="VCT2489" s="60"/>
      <c r="VCU2489" s="60"/>
      <c r="VCV2489" s="60"/>
      <c r="VCW2489" s="58"/>
      <c r="VCX2489" s="61"/>
      <c r="VCY2489" s="58"/>
      <c r="VCZ2489" s="58"/>
      <c r="VDA2489" s="58"/>
      <c r="VDB2489" s="60"/>
      <c r="VDC2489" s="60"/>
      <c r="VDD2489" s="60"/>
      <c r="VDE2489" s="58"/>
      <c r="VDF2489" s="61"/>
      <c r="VDG2489" s="58"/>
      <c r="VDH2489" s="58"/>
      <c r="VDI2489" s="58"/>
      <c r="VDJ2489" s="60"/>
      <c r="VDK2489" s="60"/>
      <c r="VDL2489" s="60"/>
      <c r="VDM2489" s="58"/>
      <c r="VDN2489" s="61"/>
      <c r="VDO2489" s="58"/>
      <c r="VDP2489" s="58"/>
      <c r="VDQ2489" s="58"/>
      <c r="VDR2489" s="60"/>
      <c r="VDS2489" s="60"/>
      <c r="VDT2489" s="60"/>
      <c r="VDU2489" s="58"/>
      <c r="VDV2489" s="61"/>
      <c r="VDW2489" s="58"/>
      <c r="VDX2489" s="58"/>
      <c r="VDY2489" s="58"/>
      <c r="VDZ2489" s="60"/>
      <c r="VEA2489" s="60"/>
      <c r="VEB2489" s="60"/>
      <c r="VEC2489" s="58"/>
      <c r="VED2489" s="61"/>
      <c r="VEE2489" s="58"/>
      <c r="VEF2489" s="58"/>
      <c r="VEG2489" s="58"/>
      <c r="VEH2489" s="60"/>
      <c r="VEI2489" s="60"/>
      <c r="VEJ2489" s="60"/>
      <c r="VEK2489" s="58"/>
      <c r="VEL2489" s="61"/>
      <c r="VEM2489" s="58"/>
      <c r="VEN2489" s="58"/>
      <c r="VEO2489" s="58"/>
      <c r="VEP2489" s="60"/>
      <c r="VEQ2489" s="60"/>
      <c r="VER2489" s="60"/>
      <c r="VES2489" s="58"/>
      <c r="VET2489" s="61"/>
      <c r="VEU2489" s="58"/>
      <c r="VEV2489" s="58"/>
      <c r="VEW2489" s="58"/>
      <c r="VEX2489" s="60"/>
      <c r="VEY2489" s="60"/>
      <c r="VEZ2489" s="60"/>
      <c r="VFA2489" s="58"/>
      <c r="VFB2489" s="61"/>
      <c r="VFC2489" s="58"/>
      <c r="VFD2489" s="58"/>
      <c r="VFE2489" s="58"/>
      <c r="VFF2489" s="60"/>
      <c r="VFG2489" s="60"/>
      <c r="VFH2489" s="60"/>
      <c r="VFI2489" s="58"/>
      <c r="VFJ2489" s="61"/>
      <c r="VFK2489" s="58"/>
      <c r="VFL2489" s="58"/>
      <c r="VFM2489" s="58"/>
      <c r="VFN2489" s="60"/>
      <c r="VFO2489" s="60"/>
      <c r="VFP2489" s="60"/>
      <c r="VFQ2489" s="58"/>
      <c r="VFR2489" s="61"/>
      <c r="VFS2489" s="58"/>
      <c r="VFT2489" s="58"/>
      <c r="VFU2489" s="58"/>
      <c r="VFV2489" s="60"/>
      <c r="VFW2489" s="60"/>
      <c r="VFX2489" s="60"/>
      <c r="VFY2489" s="58"/>
      <c r="VFZ2489" s="61"/>
      <c r="VGA2489" s="58"/>
      <c r="VGB2489" s="58"/>
      <c r="VGC2489" s="58"/>
      <c r="VGD2489" s="60"/>
      <c r="VGE2489" s="60"/>
      <c r="VGF2489" s="60"/>
      <c r="VGG2489" s="58"/>
      <c r="VGH2489" s="61"/>
      <c r="VGI2489" s="58"/>
      <c r="VGJ2489" s="58"/>
      <c r="VGK2489" s="58"/>
      <c r="VGL2489" s="60"/>
      <c r="VGM2489" s="60"/>
      <c r="VGN2489" s="60"/>
      <c r="VGO2489" s="58"/>
      <c r="VGP2489" s="61"/>
      <c r="VGQ2489" s="58"/>
      <c r="VGR2489" s="58"/>
      <c r="VGS2489" s="58"/>
      <c r="VGT2489" s="60"/>
      <c r="VGU2489" s="60"/>
      <c r="VGV2489" s="60"/>
      <c r="VGW2489" s="58"/>
      <c r="VGX2489" s="61"/>
      <c r="VGY2489" s="58"/>
      <c r="VGZ2489" s="58"/>
      <c r="VHA2489" s="58"/>
      <c r="VHB2489" s="60"/>
      <c r="VHC2489" s="60"/>
      <c r="VHD2489" s="60"/>
      <c r="VHE2489" s="58"/>
      <c r="VHF2489" s="61"/>
      <c r="VHG2489" s="58"/>
      <c r="VHH2489" s="58"/>
      <c r="VHI2489" s="58"/>
      <c r="VHJ2489" s="60"/>
      <c r="VHK2489" s="60"/>
      <c r="VHL2489" s="60"/>
      <c r="VHM2489" s="58"/>
      <c r="VHN2489" s="61"/>
      <c r="VHO2489" s="58"/>
      <c r="VHP2489" s="58"/>
      <c r="VHQ2489" s="58"/>
      <c r="VHR2489" s="60"/>
      <c r="VHS2489" s="60"/>
      <c r="VHT2489" s="60"/>
      <c r="VHU2489" s="58"/>
      <c r="VHV2489" s="61"/>
      <c r="VHW2489" s="58"/>
      <c r="VHX2489" s="58"/>
      <c r="VHY2489" s="58"/>
      <c r="VHZ2489" s="60"/>
      <c r="VIA2489" s="60"/>
      <c r="VIB2489" s="60"/>
      <c r="VIC2489" s="58"/>
      <c r="VID2489" s="61"/>
      <c r="VIE2489" s="58"/>
      <c r="VIF2489" s="58"/>
      <c r="VIG2489" s="58"/>
      <c r="VIH2489" s="60"/>
      <c r="VII2489" s="60"/>
      <c r="VIJ2489" s="60"/>
      <c r="VIK2489" s="58"/>
      <c r="VIL2489" s="61"/>
      <c r="VIM2489" s="58"/>
      <c r="VIN2489" s="58"/>
      <c r="VIO2489" s="58"/>
      <c r="VIP2489" s="60"/>
      <c r="VIQ2489" s="60"/>
      <c r="VIR2489" s="60"/>
      <c r="VIS2489" s="58"/>
      <c r="VIT2489" s="61"/>
      <c r="VIU2489" s="58"/>
      <c r="VIV2489" s="58"/>
      <c r="VIW2489" s="58"/>
      <c r="VIX2489" s="60"/>
      <c r="VIY2489" s="60"/>
      <c r="VIZ2489" s="60"/>
      <c r="VJA2489" s="58"/>
      <c r="VJB2489" s="61"/>
      <c r="VJC2489" s="58"/>
      <c r="VJD2489" s="58"/>
      <c r="VJE2489" s="58"/>
      <c r="VJF2489" s="60"/>
      <c r="VJG2489" s="60"/>
      <c r="VJH2489" s="60"/>
      <c r="VJI2489" s="58"/>
      <c r="VJJ2489" s="61"/>
      <c r="VJK2489" s="58"/>
      <c r="VJL2489" s="58"/>
      <c r="VJM2489" s="58"/>
      <c r="VJN2489" s="60"/>
      <c r="VJO2489" s="60"/>
      <c r="VJP2489" s="60"/>
      <c r="VJQ2489" s="58"/>
      <c r="VJR2489" s="61"/>
      <c r="VJS2489" s="58"/>
      <c r="VJT2489" s="58"/>
      <c r="VJU2489" s="58"/>
      <c r="VJV2489" s="60"/>
      <c r="VJW2489" s="60"/>
      <c r="VJX2489" s="60"/>
      <c r="VJY2489" s="58"/>
      <c r="VJZ2489" s="61"/>
      <c r="VKA2489" s="58"/>
      <c r="VKB2489" s="58"/>
      <c r="VKC2489" s="58"/>
      <c r="VKD2489" s="60"/>
      <c r="VKE2489" s="60"/>
      <c r="VKF2489" s="60"/>
      <c r="VKG2489" s="58"/>
      <c r="VKH2489" s="61"/>
      <c r="VKI2489" s="58"/>
      <c r="VKJ2489" s="58"/>
      <c r="VKK2489" s="58"/>
      <c r="VKL2489" s="60"/>
      <c r="VKM2489" s="60"/>
      <c r="VKN2489" s="60"/>
      <c r="VKO2489" s="58"/>
      <c r="VKP2489" s="61"/>
      <c r="VKQ2489" s="58"/>
      <c r="VKR2489" s="58"/>
      <c r="VKS2489" s="58"/>
      <c r="VKT2489" s="60"/>
      <c r="VKU2489" s="60"/>
      <c r="VKV2489" s="60"/>
      <c r="VKW2489" s="58"/>
      <c r="VKX2489" s="61"/>
      <c r="VKY2489" s="58"/>
      <c r="VKZ2489" s="58"/>
      <c r="VLA2489" s="58"/>
      <c r="VLB2489" s="60"/>
      <c r="VLC2489" s="60"/>
      <c r="VLD2489" s="60"/>
      <c r="VLE2489" s="58"/>
      <c r="VLF2489" s="61"/>
      <c r="VLG2489" s="58"/>
      <c r="VLH2489" s="58"/>
      <c r="VLI2489" s="58"/>
      <c r="VLJ2489" s="60"/>
      <c r="VLK2489" s="60"/>
      <c r="VLL2489" s="60"/>
      <c r="VLM2489" s="58"/>
      <c r="VLN2489" s="61"/>
      <c r="VLO2489" s="58"/>
      <c r="VLP2489" s="58"/>
      <c r="VLQ2489" s="58"/>
      <c r="VLR2489" s="60"/>
      <c r="VLS2489" s="60"/>
      <c r="VLT2489" s="60"/>
      <c r="VLU2489" s="58"/>
      <c r="VLV2489" s="61"/>
      <c r="VLW2489" s="58"/>
      <c r="VLX2489" s="58"/>
      <c r="VLY2489" s="58"/>
      <c r="VLZ2489" s="60"/>
      <c r="VMA2489" s="60"/>
      <c r="VMB2489" s="60"/>
      <c r="VMC2489" s="58"/>
      <c r="VMD2489" s="61"/>
      <c r="VME2489" s="58"/>
      <c r="VMF2489" s="58"/>
      <c r="VMG2489" s="58"/>
      <c r="VMH2489" s="60"/>
      <c r="VMI2489" s="60"/>
      <c r="VMJ2489" s="60"/>
      <c r="VMK2489" s="58"/>
      <c r="VML2489" s="61"/>
      <c r="VMM2489" s="58"/>
      <c r="VMN2489" s="58"/>
      <c r="VMO2489" s="58"/>
      <c r="VMP2489" s="60"/>
      <c r="VMQ2489" s="60"/>
      <c r="VMR2489" s="60"/>
      <c r="VMS2489" s="58"/>
      <c r="VMT2489" s="61"/>
      <c r="VMU2489" s="58"/>
      <c r="VMV2489" s="58"/>
      <c r="VMW2489" s="58"/>
      <c r="VMX2489" s="60"/>
      <c r="VMY2489" s="60"/>
      <c r="VMZ2489" s="60"/>
      <c r="VNA2489" s="58"/>
      <c r="VNB2489" s="61"/>
      <c r="VNC2489" s="58"/>
      <c r="VND2489" s="58"/>
      <c r="VNE2489" s="58"/>
      <c r="VNF2489" s="60"/>
      <c r="VNG2489" s="60"/>
      <c r="VNH2489" s="60"/>
      <c r="VNI2489" s="58"/>
      <c r="VNJ2489" s="61"/>
      <c r="VNK2489" s="58"/>
      <c r="VNL2489" s="58"/>
      <c r="VNM2489" s="58"/>
      <c r="VNN2489" s="60"/>
      <c r="VNO2489" s="60"/>
      <c r="VNP2489" s="60"/>
      <c r="VNQ2489" s="58"/>
      <c r="VNR2489" s="61"/>
      <c r="VNS2489" s="58"/>
      <c r="VNT2489" s="58"/>
      <c r="VNU2489" s="58"/>
      <c r="VNV2489" s="60"/>
      <c r="VNW2489" s="60"/>
      <c r="VNX2489" s="60"/>
      <c r="VNY2489" s="58"/>
      <c r="VNZ2489" s="61"/>
      <c r="VOA2489" s="58"/>
      <c r="VOB2489" s="58"/>
      <c r="VOC2489" s="58"/>
      <c r="VOD2489" s="60"/>
      <c r="VOE2489" s="60"/>
      <c r="VOF2489" s="60"/>
      <c r="VOG2489" s="58"/>
      <c r="VOH2489" s="61"/>
      <c r="VOI2489" s="58"/>
      <c r="VOJ2489" s="58"/>
      <c r="VOK2489" s="58"/>
      <c r="VOL2489" s="60"/>
      <c r="VOM2489" s="60"/>
      <c r="VON2489" s="60"/>
      <c r="VOO2489" s="58"/>
      <c r="VOP2489" s="61"/>
      <c r="VOQ2489" s="58"/>
      <c r="VOR2489" s="58"/>
      <c r="VOS2489" s="58"/>
      <c r="VOT2489" s="60"/>
      <c r="VOU2489" s="60"/>
      <c r="VOV2489" s="60"/>
      <c r="VOW2489" s="58"/>
      <c r="VOX2489" s="61"/>
      <c r="VOY2489" s="58"/>
      <c r="VOZ2489" s="58"/>
      <c r="VPA2489" s="58"/>
      <c r="VPB2489" s="60"/>
      <c r="VPC2489" s="60"/>
      <c r="VPD2489" s="60"/>
      <c r="VPE2489" s="58"/>
      <c r="VPF2489" s="61"/>
      <c r="VPG2489" s="58"/>
      <c r="VPH2489" s="58"/>
      <c r="VPI2489" s="58"/>
      <c r="VPJ2489" s="60"/>
      <c r="VPK2489" s="60"/>
      <c r="VPL2489" s="60"/>
      <c r="VPM2489" s="58"/>
      <c r="VPN2489" s="61"/>
      <c r="VPO2489" s="58"/>
      <c r="VPP2489" s="58"/>
      <c r="VPQ2489" s="58"/>
      <c r="VPR2489" s="60"/>
      <c r="VPS2489" s="60"/>
      <c r="VPT2489" s="60"/>
      <c r="VPU2489" s="58"/>
      <c r="VPV2489" s="61"/>
      <c r="VPW2489" s="58"/>
      <c r="VPX2489" s="58"/>
      <c r="VPY2489" s="58"/>
      <c r="VPZ2489" s="60"/>
      <c r="VQA2489" s="60"/>
      <c r="VQB2489" s="60"/>
      <c r="VQC2489" s="58"/>
      <c r="VQD2489" s="61"/>
      <c r="VQE2489" s="58"/>
      <c r="VQF2489" s="58"/>
      <c r="VQG2489" s="58"/>
      <c r="VQH2489" s="60"/>
      <c r="VQI2489" s="60"/>
      <c r="VQJ2489" s="60"/>
      <c r="VQK2489" s="58"/>
      <c r="VQL2489" s="61"/>
      <c r="VQM2489" s="58"/>
      <c r="VQN2489" s="58"/>
      <c r="VQO2489" s="58"/>
      <c r="VQP2489" s="60"/>
      <c r="VQQ2489" s="60"/>
      <c r="VQR2489" s="60"/>
      <c r="VQS2489" s="58"/>
      <c r="VQT2489" s="61"/>
      <c r="VQU2489" s="58"/>
      <c r="VQV2489" s="58"/>
      <c r="VQW2489" s="58"/>
      <c r="VQX2489" s="60"/>
      <c r="VQY2489" s="60"/>
      <c r="VQZ2489" s="60"/>
      <c r="VRA2489" s="58"/>
      <c r="VRB2489" s="61"/>
      <c r="VRC2489" s="58"/>
      <c r="VRD2489" s="58"/>
      <c r="VRE2489" s="58"/>
      <c r="VRF2489" s="60"/>
      <c r="VRG2489" s="60"/>
      <c r="VRH2489" s="60"/>
      <c r="VRI2489" s="58"/>
      <c r="VRJ2489" s="61"/>
      <c r="VRK2489" s="58"/>
      <c r="VRL2489" s="58"/>
      <c r="VRM2489" s="58"/>
      <c r="VRN2489" s="60"/>
      <c r="VRO2489" s="60"/>
      <c r="VRP2489" s="60"/>
      <c r="VRQ2489" s="58"/>
      <c r="VRR2489" s="61"/>
      <c r="VRS2489" s="58"/>
      <c r="VRT2489" s="58"/>
      <c r="VRU2489" s="58"/>
      <c r="VRV2489" s="60"/>
      <c r="VRW2489" s="60"/>
      <c r="VRX2489" s="60"/>
      <c r="VRY2489" s="58"/>
      <c r="VRZ2489" s="61"/>
      <c r="VSA2489" s="58"/>
      <c r="VSB2489" s="58"/>
      <c r="VSC2489" s="58"/>
      <c r="VSD2489" s="60"/>
      <c r="VSE2489" s="60"/>
      <c r="VSF2489" s="60"/>
      <c r="VSG2489" s="58"/>
      <c r="VSH2489" s="61"/>
      <c r="VSI2489" s="58"/>
      <c r="VSJ2489" s="58"/>
      <c r="VSK2489" s="58"/>
      <c r="VSL2489" s="60"/>
      <c r="VSM2489" s="60"/>
      <c r="VSN2489" s="60"/>
      <c r="VSO2489" s="58"/>
      <c r="VSP2489" s="61"/>
      <c r="VSQ2489" s="58"/>
      <c r="VSR2489" s="58"/>
      <c r="VSS2489" s="58"/>
      <c r="VST2489" s="60"/>
      <c r="VSU2489" s="60"/>
      <c r="VSV2489" s="60"/>
      <c r="VSW2489" s="58"/>
      <c r="VSX2489" s="61"/>
      <c r="VSY2489" s="58"/>
      <c r="VSZ2489" s="58"/>
      <c r="VTA2489" s="58"/>
      <c r="VTB2489" s="60"/>
      <c r="VTC2489" s="60"/>
      <c r="VTD2489" s="60"/>
      <c r="VTE2489" s="58"/>
      <c r="VTF2489" s="61"/>
      <c r="VTG2489" s="58"/>
      <c r="VTH2489" s="58"/>
      <c r="VTI2489" s="58"/>
      <c r="VTJ2489" s="60"/>
      <c r="VTK2489" s="60"/>
      <c r="VTL2489" s="60"/>
      <c r="VTM2489" s="58"/>
      <c r="VTN2489" s="61"/>
      <c r="VTO2489" s="58"/>
      <c r="VTP2489" s="58"/>
      <c r="VTQ2489" s="58"/>
      <c r="VTR2489" s="60"/>
      <c r="VTS2489" s="60"/>
      <c r="VTT2489" s="60"/>
      <c r="VTU2489" s="58"/>
      <c r="VTV2489" s="61"/>
      <c r="VTW2489" s="58"/>
      <c r="VTX2489" s="58"/>
      <c r="VTY2489" s="58"/>
      <c r="VTZ2489" s="60"/>
      <c r="VUA2489" s="60"/>
      <c r="VUB2489" s="60"/>
      <c r="VUC2489" s="58"/>
      <c r="VUD2489" s="61"/>
      <c r="VUE2489" s="58"/>
      <c r="VUF2489" s="58"/>
      <c r="VUG2489" s="58"/>
      <c r="VUH2489" s="60"/>
      <c r="VUI2489" s="60"/>
      <c r="VUJ2489" s="60"/>
      <c r="VUK2489" s="58"/>
      <c r="VUL2489" s="61"/>
      <c r="VUM2489" s="58"/>
      <c r="VUN2489" s="58"/>
      <c r="VUO2489" s="58"/>
      <c r="VUP2489" s="60"/>
      <c r="VUQ2489" s="60"/>
      <c r="VUR2489" s="60"/>
      <c r="VUS2489" s="58"/>
      <c r="VUT2489" s="61"/>
      <c r="VUU2489" s="58"/>
      <c r="VUV2489" s="58"/>
      <c r="VUW2489" s="58"/>
      <c r="VUX2489" s="60"/>
      <c r="VUY2489" s="60"/>
      <c r="VUZ2489" s="60"/>
      <c r="VVA2489" s="58"/>
      <c r="VVB2489" s="61"/>
      <c r="VVC2489" s="58"/>
      <c r="VVD2489" s="58"/>
      <c r="VVE2489" s="58"/>
      <c r="VVF2489" s="60"/>
      <c r="VVG2489" s="60"/>
      <c r="VVH2489" s="60"/>
      <c r="VVI2489" s="58"/>
      <c r="VVJ2489" s="61"/>
      <c r="VVK2489" s="58"/>
      <c r="VVL2489" s="58"/>
      <c r="VVM2489" s="58"/>
      <c r="VVN2489" s="60"/>
      <c r="VVO2489" s="60"/>
      <c r="VVP2489" s="60"/>
      <c r="VVQ2489" s="58"/>
      <c r="VVR2489" s="61"/>
      <c r="VVS2489" s="58"/>
      <c r="VVT2489" s="58"/>
      <c r="VVU2489" s="58"/>
      <c r="VVV2489" s="60"/>
      <c r="VVW2489" s="60"/>
      <c r="VVX2489" s="60"/>
      <c r="VVY2489" s="58"/>
      <c r="VVZ2489" s="61"/>
      <c r="VWA2489" s="58"/>
      <c r="VWB2489" s="58"/>
      <c r="VWC2489" s="58"/>
      <c r="VWD2489" s="60"/>
      <c r="VWE2489" s="60"/>
      <c r="VWF2489" s="60"/>
      <c r="VWG2489" s="58"/>
      <c r="VWH2489" s="61"/>
      <c r="VWI2489" s="58"/>
      <c r="VWJ2489" s="58"/>
      <c r="VWK2489" s="58"/>
      <c r="VWL2489" s="60"/>
      <c r="VWM2489" s="60"/>
      <c r="VWN2489" s="60"/>
      <c r="VWO2489" s="58"/>
      <c r="VWP2489" s="61"/>
      <c r="VWQ2489" s="58"/>
      <c r="VWR2489" s="58"/>
      <c r="VWS2489" s="58"/>
      <c r="VWT2489" s="60"/>
      <c r="VWU2489" s="60"/>
      <c r="VWV2489" s="60"/>
      <c r="VWW2489" s="58"/>
      <c r="VWX2489" s="61"/>
      <c r="VWY2489" s="58"/>
      <c r="VWZ2489" s="58"/>
      <c r="VXA2489" s="58"/>
      <c r="VXB2489" s="60"/>
      <c r="VXC2489" s="60"/>
      <c r="VXD2489" s="60"/>
      <c r="VXE2489" s="58"/>
      <c r="VXF2489" s="61"/>
      <c r="VXG2489" s="58"/>
      <c r="VXH2489" s="58"/>
      <c r="VXI2489" s="58"/>
      <c r="VXJ2489" s="60"/>
      <c r="VXK2489" s="60"/>
      <c r="VXL2489" s="60"/>
      <c r="VXM2489" s="58"/>
      <c r="VXN2489" s="61"/>
      <c r="VXO2489" s="58"/>
      <c r="VXP2489" s="58"/>
      <c r="VXQ2489" s="58"/>
      <c r="VXR2489" s="60"/>
      <c r="VXS2489" s="60"/>
      <c r="VXT2489" s="60"/>
      <c r="VXU2489" s="58"/>
      <c r="VXV2489" s="61"/>
      <c r="VXW2489" s="58"/>
      <c r="VXX2489" s="58"/>
      <c r="VXY2489" s="58"/>
      <c r="VXZ2489" s="60"/>
      <c r="VYA2489" s="60"/>
      <c r="VYB2489" s="60"/>
      <c r="VYC2489" s="58"/>
      <c r="VYD2489" s="61"/>
      <c r="VYE2489" s="58"/>
      <c r="VYF2489" s="58"/>
      <c r="VYG2489" s="58"/>
      <c r="VYH2489" s="60"/>
      <c r="VYI2489" s="60"/>
      <c r="VYJ2489" s="60"/>
      <c r="VYK2489" s="58"/>
      <c r="VYL2489" s="61"/>
      <c r="VYM2489" s="58"/>
      <c r="VYN2489" s="58"/>
      <c r="VYO2489" s="58"/>
      <c r="VYP2489" s="60"/>
      <c r="VYQ2489" s="60"/>
      <c r="VYR2489" s="60"/>
      <c r="VYS2489" s="58"/>
      <c r="VYT2489" s="61"/>
      <c r="VYU2489" s="58"/>
      <c r="VYV2489" s="58"/>
      <c r="VYW2489" s="58"/>
      <c r="VYX2489" s="60"/>
      <c r="VYY2489" s="60"/>
      <c r="VYZ2489" s="60"/>
      <c r="VZA2489" s="58"/>
      <c r="VZB2489" s="61"/>
      <c r="VZC2489" s="58"/>
      <c r="VZD2489" s="58"/>
      <c r="VZE2489" s="58"/>
      <c r="VZF2489" s="60"/>
      <c r="VZG2489" s="60"/>
      <c r="VZH2489" s="60"/>
      <c r="VZI2489" s="58"/>
      <c r="VZJ2489" s="61"/>
      <c r="VZK2489" s="58"/>
      <c r="VZL2489" s="58"/>
      <c r="VZM2489" s="58"/>
      <c r="VZN2489" s="60"/>
      <c r="VZO2489" s="60"/>
      <c r="VZP2489" s="60"/>
      <c r="VZQ2489" s="58"/>
      <c r="VZR2489" s="61"/>
      <c r="VZS2489" s="58"/>
      <c r="VZT2489" s="58"/>
      <c r="VZU2489" s="58"/>
      <c r="VZV2489" s="60"/>
      <c r="VZW2489" s="60"/>
      <c r="VZX2489" s="60"/>
      <c r="VZY2489" s="58"/>
      <c r="VZZ2489" s="61"/>
      <c r="WAA2489" s="58"/>
      <c r="WAB2489" s="58"/>
      <c r="WAC2489" s="58"/>
      <c r="WAD2489" s="60"/>
      <c r="WAE2489" s="60"/>
      <c r="WAF2489" s="60"/>
      <c r="WAG2489" s="58"/>
      <c r="WAH2489" s="61"/>
      <c r="WAI2489" s="58"/>
      <c r="WAJ2489" s="58"/>
      <c r="WAK2489" s="58"/>
      <c r="WAL2489" s="60"/>
      <c r="WAM2489" s="60"/>
      <c r="WAN2489" s="60"/>
      <c r="WAO2489" s="58"/>
      <c r="WAP2489" s="61"/>
      <c r="WAQ2489" s="58"/>
      <c r="WAR2489" s="58"/>
      <c r="WAS2489" s="58"/>
      <c r="WAT2489" s="60"/>
      <c r="WAU2489" s="60"/>
      <c r="WAV2489" s="60"/>
      <c r="WAW2489" s="58"/>
      <c r="WAX2489" s="61"/>
      <c r="WAY2489" s="58"/>
      <c r="WAZ2489" s="58"/>
      <c r="WBA2489" s="58"/>
      <c r="WBB2489" s="60"/>
      <c r="WBC2489" s="60"/>
      <c r="WBD2489" s="60"/>
      <c r="WBE2489" s="58"/>
      <c r="WBF2489" s="61"/>
      <c r="WBG2489" s="58"/>
      <c r="WBH2489" s="58"/>
      <c r="WBI2489" s="58"/>
      <c r="WBJ2489" s="60"/>
      <c r="WBK2489" s="60"/>
      <c r="WBL2489" s="60"/>
      <c r="WBM2489" s="58"/>
      <c r="WBN2489" s="61"/>
      <c r="WBO2489" s="58"/>
      <c r="WBP2489" s="58"/>
      <c r="WBQ2489" s="58"/>
      <c r="WBR2489" s="60"/>
      <c r="WBS2489" s="60"/>
      <c r="WBT2489" s="60"/>
      <c r="WBU2489" s="58"/>
      <c r="WBV2489" s="61"/>
      <c r="WBW2489" s="58"/>
      <c r="WBX2489" s="58"/>
      <c r="WBY2489" s="58"/>
      <c r="WBZ2489" s="60"/>
      <c r="WCA2489" s="60"/>
      <c r="WCB2489" s="60"/>
      <c r="WCC2489" s="58"/>
      <c r="WCD2489" s="61"/>
      <c r="WCE2489" s="58"/>
      <c r="WCF2489" s="58"/>
      <c r="WCG2489" s="58"/>
      <c r="WCH2489" s="60"/>
      <c r="WCI2489" s="60"/>
      <c r="WCJ2489" s="60"/>
      <c r="WCK2489" s="58"/>
      <c r="WCL2489" s="61"/>
      <c r="WCM2489" s="58"/>
      <c r="WCN2489" s="58"/>
      <c r="WCO2489" s="58"/>
      <c r="WCP2489" s="60"/>
      <c r="WCQ2489" s="60"/>
      <c r="WCR2489" s="60"/>
      <c r="WCS2489" s="58"/>
      <c r="WCT2489" s="61"/>
      <c r="WCU2489" s="58"/>
      <c r="WCV2489" s="58"/>
      <c r="WCW2489" s="58"/>
      <c r="WCX2489" s="60"/>
      <c r="WCY2489" s="60"/>
      <c r="WCZ2489" s="60"/>
      <c r="WDA2489" s="58"/>
      <c r="WDB2489" s="61"/>
      <c r="WDC2489" s="58"/>
      <c r="WDD2489" s="58"/>
      <c r="WDE2489" s="58"/>
      <c r="WDF2489" s="60"/>
      <c r="WDG2489" s="60"/>
      <c r="WDH2489" s="60"/>
      <c r="WDI2489" s="58"/>
      <c r="WDJ2489" s="61"/>
      <c r="WDK2489" s="58"/>
      <c r="WDL2489" s="58"/>
      <c r="WDM2489" s="58"/>
      <c r="WDN2489" s="60"/>
      <c r="WDO2489" s="60"/>
      <c r="WDP2489" s="60"/>
      <c r="WDQ2489" s="58"/>
      <c r="WDR2489" s="61"/>
      <c r="WDS2489" s="58"/>
      <c r="WDT2489" s="58"/>
      <c r="WDU2489" s="58"/>
      <c r="WDV2489" s="60"/>
      <c r="WDW2489" s="60"/>
      <c r="WDX2489" s="60"/>
      <c r="WDY2489" s="58"/>
      <c r="WDZ2489" s="61"/>
      <c r="WEA2489" s="58"/>
      <c r="WEB2489" s="58"/>
      <c r="WEC2489" s="58"/>
      <c r="WED2489" s="60"/>
      <c r="WEE2489" s="60"/>
      <c r="WEF2489" s="60"/>
      <c r="WEG2489" s="58"/>
      <c r="WEH2489" s="61"/>
      <c r="WEI2489" s="58"/>
      <c r="WEJ2489" s="58"/>
      <c r="WEK2489" s="58"/>
      <c r="WEL2489" s="60"/>
      <c r="WEM2489" s="60"/>
      <c r="WEN2489" s="60"/>
      <c r="WEO2489" s="58"/>
      <c r="WEP2489" s="61"/>
      <c r="WEQ2489" s="58"/>
      <c r="WER2489" s="58"/>
      <c r="WES2489" s="58"/>
      <c r="WET2489" s="60"/>
      <c r="WEU2489" s="60"/>
      <c r="WEV2489" s="60"/>
      <c r="WEW2489" s="58"/>
      <c r="WEX2489" s="61"/>
      <c r="WEY2489" s="58"/>
      <c r="WEZ2489" s="58"/>
      <c r="WFA2489" s="58"/>
      <c r="WFB2489" s="60"/>
      <c r="WFC2489" s="60"/>
      <c r="WFD2489" s="60"/>
      <c r="WFE2489" s="58"/>
      <c r="WFF2489" s="61"/>
      <c r="WFG2489" s="58"/>
      <c r="WFH2489" s="58"/>
      <c r="WFI2489" s="58"/>
      <c r="WFJ2489" s="60"/>
      <c r="WFK2489" s="60"/>
      <c r="WFL2489" s="60"/>
      <c r="WFM2489" s="58"/>
      <c r="WFN2489" s="61"/>
      <c r="WFO2489" s="58"/>
      <c r="WFP2489" s="58"/>
      <c r="WFQ2489" s="58"/>
      <c r="WFR2489" s="60"/>
      <c r="WFS2489" s="60"/>
      <c r="WFT2489" s="60"/>
      <c r="WFU2489" s="58"/>
      <c r="WFV2489" s="61"/>
      <c r="WFW2489" s="58"/>
      <c r="WFX2489" s="58"/>
      <c r="WFY2489" s="58"/>
      <c r="WFZ2489" s="60"/>
      <c r="WGA2489" s="60"/>
      <c r="WGB2489" s="60"/>
      <c r="WGC2489" s="58"/>
      <c r="WGD2489" s="61"/>
      <c r="WGE2489" s="58"/>
      <c r="WGF2489" s="58"/>
      <c r="WGG2489" s="58"/>
      <c r="WGH2489" s="60"/>
      <c r="WGI2489" s="60"/>
      <c r="WGJ2489" s="60"/>
      <c r="WGK2489" s="58"/>
      <c r="WGL2489" s="61"/>
      <c r="WGM2489" s="58"/>
      <c r="WGN2489" s="58"/>
      <c r="WGO2489" s="58"/>
      <c r="WGP2489" s="60"/>
      <c r="WGQ2489" s="60"/>
      <c r="WGR2489" s="60"/>
      <c r="WGS2489" s="58"/>
      <c r="WGT2489" s="61"/>
      <c r="WGU2489" s="58"/>
      <c r="WGV2489" s="58"/>
      <c r="WGW2489" s="58"/>
      <c r="WGX2489" s="60"/>
      <c r="WGY2489" s="60"/>
      <c r="WGZ2489" s="60"/>
      <c r="WHA2489" s="58"/>
      <c r="WHB2489" s="61"/>
      <c r="WHC2489" s="58"/>
      <c r="WHD2489" s="58"/>
      <c r="WHE2489" s="58"/>
      <c r="WHF2489" s="60"/>
      <c r="WHG2489" s="60"/>
      <c r="WHH2489" s="60"/>
      <c r="WHI2489" s="58"/>
      <c r="WHJ2489" s="61"/>
      <c r="WHK2489" s="58"/>
      <c r="WHL2489" s="58"/>
      <c r="WHM2489" s="58"/>
      <c r="WHN2489" s="60"/>
      <c r="WHO2489" s="60"/>
      <c r="WHP2489" s="60"/>
      <c r="WHQ2489" s="58"/>
      <c r="WHR2489" s="61"/>
      <c r="WHS2489" s="58"/>
      <c r="WHT2489" s="58"/>
      <c r="WHU2489" s="58"/>
      <c r="WHV2489" s="60"/>
      <c r="WHW2489" s="60"/>
      <c r="WHX2489" s="60"/>
      <c r="WHY2489" s="58"/>
      <c r="WHZ2489" s="61"/>
      <c r="WIA2489" s="58"/>
      <c r="WIB2489" s="58"/>
      <c r="WIC2489" s="58"/>
      <c r="WID2489" s="60"/>
      <c r="WIE2489" s="60"/>
      <c r="WIF2489" s="60"/>
      <c r="WIG2489" s="58"/>
      <c r="WIH2489" s="61"/>
      <c r="WII2489" s="58"/>
      <c r="WIJ2489" s="58"/>
      <c r="WIK2489" s="58"/>
      <c r="WIL2489" s="60"/>
      <c r="WIM2489" s="60"/>
      <c r="WIN2489" s="60"/>
      <c r="WIO2489" s="58"/>
      <c r="WIP2489" s="61"/>
      <c r="WIQ2489" s="58"/>
      <c r="WIR2489" s="58"/>
      <c r="WIS2489" s="58"/>
      <c r="WIT2489" s="60"/>
      <c r="WIU2489" s="60"/>
      <c r="WIV2489" s="60"/>
      <c r="WIW2489" s="58"/>
      <c r="WIX2489" s="61"/>
      <c r="WIY2489" s="58"/>
      <c r="WIZ2489" s="58"/>
      <c r="WJA2489" s="58"/>
      <c r="WJB2489" s="60"/>
      <c r="WJC2489" s="60"/>
      <c r="WJD2489" s="60"/>
      <c r="WJE2489" s="58"/>
      <c r="WJF2489" s="61"/>
      <c r="WJG2489" s="58"/>
      <c r="WJH2489" s="58"/>
      <c r="WJI2489" s="58"/>
      <c r="WJJ2489" s="60"/>
      <c r="WJK2489" s="60"/>
      <c r="WJL2489" s="60"/>
      <c r="WJM2489" s="58"/>
      <c r="WJN2489" s="61"/>
      <c r="WJO2489" s="58"/>
      <c r="WJP2489" s="58"/>
      <c r="WJQ2489" s="58"/>
      <c r="WJR2489" s="60"/>
      <c r="WJS2489" s="60"/>
      <c r="WJT2489" s="60"/>
      <c r="WJU2489" s="58"/>
      <c r="WJV2489" s="61"/>
      <c r="WJW2489" s="58"/>
      <c r="WJX2489" s="58"/>
      <c r="WJY2489" s="58"/>
      <c r="WJZ2489" s="60"/>
      <c r="WKA2489" s="60"/>
      <c r="WKB2489" s="60"/>
      <c r="WKC2489" s="58"/>
      <c r="WKD2489" s="61"/>
      <c r="WKE2489" s="58"/>
      <c r="WKF2489" s="58"/>
      <c r="WKG2489" s="58"/>
      <c r="WKH2489" s="60"/>
      <c r="WKI2489" s="60"/>
      <c r="WKJ2489" s="60"/>
      <c r="WKK2489" s="58"/>
      <c r="WKL2489" s="61"/>
      <c r="WKM2489" s="58"/>
      <c r="WKN2489" s="58"/>
      <c r="WKO2489" s="58"/>
      <c r="WKP2489" s="60"/>
      <c r="WKQ2489" s="60"/>
      <c r="WKR2489" s="60"/>
      <c r="WKS2489" s="58"/>
      <c r="WKT2489" s="61"/>
      <c r="WKU2489" s="58"/>
      <c r="WKV2489" s="58"/>
      <c r="WKW2489" s="58"/>
      <c r="WKX2489" s="60"/>
      <c r="WKY2489" s="60"/>
      <c r="WKZ2489" s="60"/>
      <c r="WLA2489" s="58"/>
      <c r="WLB2489" s="61"/>
      <c r="WLC2489" s="58"/>
      <c r="WLD2489" s="58"/>
      <c r="WLE2489" s="58"/>
      <c r="WLF2489" s="60"/>
      <c r="WLG2489" s="60"/>
      <c r="WLH2489" s="60"/>
      <c r="WLI2489" s="58"/>
      <c r="WLJ2489" s="61"/>
      <c r="WLK2489" s="58"/>
      <c r="WLL2489" s="58"/>
      <c r="WLM2489" s="58"/>
      <c r="WLN2489" s="60"/>
      <c r="WLO2489" s="60"/>
      <c r="WLP2489" s="60"/>
      <c r="WLQ2489" s="58"/>
      <c r="WLR2489" s="61"/>
      <c r="WLS2489" s="58"/>
      <c r="WLT2489" s="58"/>
      <c r="WLU2489" s="58"/>
      <c r="WLV2489" s="60"/>
      <c r="WLW2489" s="60"/>
      <c r="WLX2489" s="60"/>
      <c r="WLY2489" s="58"/>
      <c r="WLZ2489" s="61"/>
      <c r="WMA2489" s="58"/>
      <c r="WMB2489" s="58"/>
      <c r="WMC2489" s="58"/>
      <c r="WMD2489" s="60"/>
      <c r="WME2489" s="60"/>
      <c r="WMF2489" s="60"/>
      <c r="WMG2489" s="58"/>
      <c r="WMH2489" s="61"/>
      <c r="WMI2489" s="58"/>
      <c r="WMJ2489" s="58"/>
      <c r="WMK2489" s="58"/>
      <c r="WML2489" s="60"/>
      <c r="WMM2489" s="60"/>
      <c r="WMN2489" s="60"/>
      <c r="WMO2489" s="58"/>
      <c r="WMP2489" s="61"/>
      <c r="WMQ2489" s="58"/>
      <c r="WMR2489" s="58"/>
      <c r="WMS2489" s="58"/>
      <c r="WMT2489" s="60"/>
      <c r="WMU2489" s="60"/>
      <c r="WMV2489" s="60"/>
      <c r="WMW2489" s="58"/>
      <c r="WMX2489" s="61"/>
      <c r="WMY2489" s="58"/>
      <c r="WMZ2489" s="58"/>
      <c r="WNA2489" s="58"/>
      <c r="WNB2489" s="60"/>
      <c r="WNC2489" s="60"/>
      <c r="WND2489" s="60"/>
      <c r="WNE2489" s="58"/>
      <c r="WNF2489" s="61"/>
      <c r="WNG2489" s="58"/>
      <c r="WNH2489" s="58"/>
      <c r="WNI2489" s="58"/>
      <c r="WNJ2489" s="60"/>
      <c r="WNK2489" s="60"/>
      <c r="WNL2489" s="60"/>
      <c r="WNM2489" s="58"/>
      <c r="WNN2489" s="61"/>
      <c r="WNO2489" s="58"/>
      <c r="WNP2489" s="58"/>
      <c r="WNQ2489" s="58"/>
      <c r="WNR2489" s="60"/>
      <c r="WNS2489" s="60"/>
      <c r="WNT2489" s="60"/>
      <c r="WNU2489" s="58"/>
      <c r="WNV2489" s="61"/>
      <c r="WNW2489" s="58"/>
      <c r="WNX2489" s="58"/>
      <c r="WNY2489" s="58"/>
      <c r="WNZ2489" s="60"/>
      <c r="WOA2489" s="60"/>
      <c r="WOB2489" s="60"/>
      <c r="WOC2489" s="58"/>
      <c r="WOD2489" s="61"/>
      <c r="WOE2489" s="58"/>
      <c r="WOF2489" s="58"/>
      <c r="WOG2489" s="58"/>
      <c r="WOH2489" s="60"/>
      <c r="WOI2489" s="60"/>
      <c r="WOJ2489" s="60"/>
      <c r="WOK2489" s="58"/>
      <c r="WOL2489" s="61"/>
      <c r="WOM2489" s="58"/>
      <c r="WON2489" s="58"/>
      <c r="WOO2489" s="58"/>
      <c r="WOP2489" s="60"/>
      <c r="WOQ2489" s="60"/>
      <c r="WOR2489" s="60"/>
      <c r="WOS2489" s="58"/>
      <c r="WOT2489" s="61"/>
      <c r="WOU2489" s="58"/>
      <c r="WOV2489" s="58"/>
      <c r="WOW2489" s="58"/>
      <c r="WOX2489" s="60"/>
      <c r="WOY2489" s="60"/>
      <c r="WOZ2489" s="60"/>
      <c r="WPA2489" s="58"/>
      <c r="WPB2489" s="61"/>
      <c r="WPC2489" s="58"/>
      <c r="WPD2489" s="58"/>
      <c r="WPE2489" s="58"/>
      <c r="WPF2489" s="60"/>
      <c r="WPG2489" s="60"/>
      <c r="WPH2489" s="60"/>
      <c r="WPI2489" s="58"/>
      <c r="WPJ2489" s="61"/>
      <c r="WPK2489" s="58"/>
      <c r="WPL2489" s="58"/>
      <c r="WPM2489" s="58"/>
      <c r="WPN2489" s="60"/>
      <c r="WPO2489" s="60"/>
      <c r="WPP2489" s="60"/>
      <c r="WPQ2489" s="58"/>
      <c r="WPR2489" s="61"/>
      <c r="WPS2489" s="58"/>
      <c r="WPT2489" s="58"/>
      <c r="WPU2489" s="58"/>
      <c r="WPV2489" s="60"/>
      <c r="WPW2489" s="60"/>
      <c r="WPX2489" s="60"/>
      <c r="WPY2489" s="58"/>
      <c r="WPZ2489" s="61"/>
      <c r="WQA2489" s="58"/>
      <c r="WQB2489" s="58"/>
      <c r="WQC2489" s="58"/>
      <c r="WQD2489" s="60"/>
      <c r="WQE2489" s="60"/>
      <c r="WQF2489" s="60"/>
      <c r="WQG2489" s="58"/>
      <c r="WQH2489" s="61"/>
      <c r="WQI2489" s="58"/>
      <c r="WQJ2489" s="58"/>
      <c r="WQK2489" s="58"/>
      <c r="WQL2489" s="60"/>
      <c r="WQM2489" s="60"/>
      <c r="WQN2489" s="60"/>
      <c r="WQO2489" s="58"/>
      <c r="WQP2489" s="61"/>
      <c r="WQQ2489" s="58"/>
      <c r="WQR2489" s="58"/>
      <c r="WQS2489" s="58"/>
      <c r="WQT2489" s="60"/>
      <c r="WQU2489" s="60"/>
      <c r="WQV2489" s="60"/>
      <c r="WQW2489" s="58"/>
      <c r="WQX2489" s="61"/>
      <c r="WQY2489" s="58"/>
      <c r="WQZ2489" s="58"/>
      <c r="WRA2489" s="58"/>
      <c r="WRB2489" s="60"/>
      <c r="WRC2489" s="60"/>
      <c r="WRD2489" s="60"/>
      <c r="WRE2489" s="58"/>
      <c r="WRF2489" s="61"/>
      <c r="WRG2489" s="58"/>
      <c r="WRH2489" s="58"/>
      <c r="WRI2489" s="58"/>
      <c r="WRJ2489" s="60"/>
      <c r="WRK2489" s="60"/>
      <c r="WRL2489" s="60"/>
      <c r="WRM2489" s="58"/>
      <c r="WRN2489" s="61"/>
      <c r="WRO2489" s="58"/>
      <c r="WRP2489" s="58"/>
      <c r="WRQ2489" s="58"/>
      <c r="WRR2489" s="60"/>
      <c r="WRS2489" s="60"/>
      <c r="WRT2489" s="60"/>
      <c r="WRU2489" s="58"/>
      <c r="WRV2489" s="61"/>
      <c r="WRW2489" s="58"/>
      <c r="WRX2489" s="58"/>
      <c r="WRY2489" s="58"/>
      <c r="WRZ2489" s="60"/>
      <c r="WSA2489" s="60"/>
      <c r="WSB2489" s="60"/>
      <c r="WSC2489" s="58"/>
      <c r="WSD2489" s="61"/>
      <c r="WSE2489" s="58"/>
      <c r="WSF2489" s="58"/>
      <c r="WSG2489" s="58"/>
      <c r="WSH2489" s="60"/>
      <c r="WSI2489" s="60"/>
      <c r="WSJ2489" s="60"/>
      <c r="WSK2489" s="58"/>
      <c r="WSL2489" s="61"/>
      <c r="WSM2489" s="58"/>
      <c r="WSN2489" s="58"/>
      <c r="WSO2489" s="58"/>
      <c r="WSP2489" s="60"/>
      <c r="WSQ2489" s="60"/>
      <c r="WSR2489" s="60"/>
      <c r="WSS2489" s="58"/>
      <c r="WST2489" s="61"/>
      <c r="WSU2489" s="58"/>
      <c r="WSV2489" s="58"/>
      <c r="WSW2489" s="58"/>
      <c r="WSX2489" s="60"/>
      <c r="WSY2489" s="60"/>
      <c r="WSZ2489" s="60"/>
      <c r="WTA2489" s="58"/>
      <c r="WTB2489" s="61"/>
      <c r="WTC2489" s="58"/>
      <c r="WTD2489" s="58"/>
      <c r="WTE2489" s="58"/>
      <c r="WTF2489" s="60"/>
      <c r="WTG2489" s="60"/>
      <c r="WTH2489" s="60"/>
      <c r="WTI2489" s="58"/>
      <c r="WTJ2489" s="61"/>
      <c r="WTK2489" s="58"/>
      <c r="WTL2489" s="58"/>
      <c r="WTM2489" s="58"/>
      <c r="WTN2489" s="60"/>
      <c r="WTO2489" s="60"/>
      <c r="WTP2489" s="60"/>
      <c r="WTQ2489" s="58"/>
      <c r="WTR2489" s="61"/>
      <c r="WTS2489" s="58"/>
      <c r="WTT2489" s="58"/>
      <c r="WTU2489" s="58"/>
      <c r="WTV2489" s="60"/>
      <c r="WTW2489" s="60"/>
      <c r="WTX2489" s="60"/>
      <c r="WTY2489" s="58"/>
      <c r="WTZ2489" s="61"/>
      <c r="WUA2489" s="58"/>
      <c r="WUB2489" s="58"/>
      <c r="WUC2489" s="58"/>
      <c r="WUD2489" s="60"/>
      <c r="WUE2489" s="60"/>
      <c r="WUF2489" s="60"/>
      <c r="WUG2489" s="58"/>
      <c r="WUH2489" s="61"/>
      <c r="WUI2489" s="58"/>
      <c r="WUJ2489" s="58"/>
      <c r="WUK2489" s="58"/>
      <c r="WUL2489" s="60"/>
      <c r="WUM2489" s="60"/>
      <c r="WUN2489" s="60"/>
      <c r="WUO2489" s="58"/>
      <c r="WUP2489" s="61"/>
      <c r="WUQ2489" s="58"/>
      <c r="WUR2489" s="58"/>
      <c r="WUS2489" s="58"/>
      <c r="WUT2489" s="60"/>
      <c r="WUU2489" s="60"/>
      <c r="WUV2489" s="60"/>
      <c r="WUW2489" s="58"/>
      <c r="WUX2489" s="61"/>
      <c r="WUY2489" s="58"/>
      <c r="WUZ2489" s="58"/>
      <c r="WVA2489" s="58"/>
      <c r="WVB2489" s="60"/>
      <c r="WVC2489" s="60"/>
      <c r="WVD2489" s="60"/>
      <c r="WVE2489" s="58"/>
      <c r="WVF2489" s="61"/>
      <c r="WVG2489" s="58"/>
      <c r="WVH2489" s="58"/>
      <c r="WVI2489" s="58"/>
      <c r="WVJ2489" s="60"/>
      <c r="WVK2489" s="60"/>
      <c r="WVL2489" s="60"/>
      <c r="WVM2489" s="58"/>
      <c r="WVN2489" s="61"/>
      <c r="WVO2489" s="58"/>
      <c r="WVP2489" s="58"/>
      <c r="WVQ2489" s="58"/>
      <c r="WVR2489" s="60"/>
      <c r="WVS2489" s="60"/>
      <c r="WVT2489" s="60"/>
      <c r="WVU2489" s="58"/>
      <c r="WVV2489" s="61"/>
      <c r="WVW2489" s="58"/>
      <c r="WVX2489" s="58"/>
      <c r="WVY2489" s="58"/>
      <c r="WVZ2489" s="60"/>
      <c r="WWA2489" s="60"/>
      <c r="WWB2489" s="60"/>
      <c r="WWC2489" s="58"/>
      <c r="WWD2489" s="61"/>
      <c r="WWE2489" s="58"/>
      <c r="WWF2489" s="58"/>
      <c r="WWG2489" s="58"/>
      <c r="WWH2489" s="60"/>
      <c r="WWI2489" s="60"/>
      <c r="WWJ2489" s="60"/>
      <c r="WWK2489" s="58"/>
      <c r="WWL2489" s="61"/>
      <c r="WWM2489" s="58"/>
      <c r="WWN2489" s="58"/>
      <c r="WWO2489" s="58"/>
      <c r="WWP2489" s="60"/>
      <c r="WWQ2489" s="60"/>
      <c r="WWR2489" s="60"/>
      <c r="WWS2489" s="58"/>
      <c r="WWT2489" s="61"/>
      <c r="WWU2489" s="58"/>
      <c r="WWV2489" s="58"/>
      <c r="WWW2489" s="58"/>
      <c r="WWX2489" s="60"/>
      <c r="WWY2489" s="60"/>
      <c r="WWZ2489" s="60"/>
      <c r="WXA2489" s="58"/>
      <c r="WXB2489" s="61"/>
      <c r="WXC2489" s="58"/>
      <c r="WXD2489" s="58"/>
      <c r="WXE2489" s="58"/>
      <c r="WXF2489" s="60"/>
      <c r="WXG2489" s="60"/>
      <c r="WXH2489" s="60"/>
      <c r="WXI2489" s="58"/>
      <c r="WXJ2489" s="61"/>
      <c r="WXK2489" s="58"/>
      <c r="WXL2489" s="58"/>
      <c r="WXM2489" s="58"/>
      <c r="WXN2489" s="60"/>
      <c r="WXO2489" s="60"/>
      <c r="WXP2489" s="60"/>
      <c r="WXQ2489" s="58"/>
      <c r="WXR2489" s="61"/>
      <c r="WXS2489" s="58"/>
      <c r="WXT2489" s="58"/>
      <c r="WXU2489" s="58"/>
      <c r="WXV2489" s="60"/>
      <c r="WXW2489" s="60"/>
      <c r="WXX2489" s="60"/>
      <c r="WXY2489" s="58"/>
      <c r="WXZ2489" s="61"/>
      <c r="WYA2489" s="58"/>
      <c r="WYB2489" s="58"/>
      <c r="WYC2489" s="58"/>
      <c r="WYD2489" s="60"/>
      <c r="WYE2489" s="60"/>
      <c r="WYF2489" s="60"/>
      <c r="WYG2489" s="58"/>
      <c r="WYH2489" s="61"/>
      <c r="WYI2489" s="58"/>
      <c r="WYJ2489" s="58"/>
      <c r="WYK2489" s="58"/>
      <c r="WYL2489" s="60"/>
      <c r="WYM2489" s="60"/>
      <c r="WYN2489" s="60"/>
      <c r="WYO2489" s="58"/>
      <c r="WYP2489" s="61"/>
      <c r="WYQ2489" s="58"/>
      <c r="WYR2489" s="58"/>
      <c r="WYS2489" s="58"/>
      <c r="WYT2489" s="60"/>
      <c r="WYU2489" s="60"/>
      <c r="WYV2489" s="60"/>
      <c r="WYW2489" s="58"/>
      <c r="WYX2489" s="61"/>
      <c r="WYY2489" s="58"/>
      <c r="WYZ2489" s="58"/>
      <c r="WZA2489" s="58"/>
      <c r="WZB2489" s="60"/>
      <c r="WZC2489" s="60"/>
      <c r="WZD2489" s="60"/>
      <c r="WZE2489" s="58"/>
      <c r="WZF2489" s="61"/>
      <c r="WZG2489" s="58"/>
      <c r="WZH2489" s="58"/>
      <c r="WZI2489" s="58"/>
      <c r="WZJ2489" s="60"/>
      <c r="WZK2489" s="60"/>
      <c r="WZL2489" s="60"/>
      <c r="WZM2489" s="58"/>
      <c r="WZN2489" s="61"/>
      <c r="WZO2489" s="58"/>
      <c r="WZP2489" s="58"/>
      <c r="WZQ2489" s="58"/>
      <c r="WZR2489" s="60"/>
      <c r="WZS2489" s="60"/>
      <c r="WZT2489" s="60"/>
      <c r="WZU2489" s="58"/>
      <c r="WZV2489" s="61"/>
      <c r="WZW2489" s="58"/>
      <c r="WZX2489" s="58"/>
      <c r="WZY2489" s="58"/>
      <c r="WZZ2489" s="60"/>
      <c r="XAA2489" s="60"/>
      <c r="XAB2489" s="60"/>
      <c r="XAC2489" s="58"/>
      <c r="XAD2489" s="61"/>
      <c r="XAE2489" s="58"/>
      <c r="XAF2489" s="58"/>
      <c r="XAG2489" s="58"/>
      <c r="XAH2489" s="60"/>
      <c r="XAI2489" s="60"/>
      <c r="XAJ2489" s="60"/>
      <c r="XAK2489" s="58"/>
      <c r="XAL2489" s="61"/>
      <c r="XAM2489" s="58"/>
      <c r="XAN2489" s="58"/>
      <c r="XAO2489" s="58"/>
      <c r="XAP2489" s="60"/>
      <c r="XAQ2489" s="60"/>
      <c r="XAR2489" s="60"/>
      <c r="XAS2489" s="58"/>
      <c r="XAT2489" s="61"/>
      <c r="XAU2489" s="58"/>
      <c r="XAV2489" s="58"/>
      <c r="XAW2489" s="58"/>
      <c r="XAX2489" s="60"/>
      <c r="XAY2489" s="60"/>
      <c r="XAZ2489" s="60"/>
      <c r="XBA2489" s="58"/>
      <c r="XBB2489" s="61"/>
      <c r="XBC2489" s="58"/>
      <c r="XBD2489" s="58"/>
      <c r="XBE2489" s="58"/>
      <c r="XBF2489" s="60"/>
      <c r="XBG2489" s="60"/>
      <c r="XBH2489" s="60"/>
      <c r="XBI2489" s="58"/>
      <c r="XBJ2489" s="61"/>
      <c r="XBK2489" s="58"/>
      <c r="XBL2489" s="58"/>
      <c r="XBM2489" s="58"/>
      <c r="XBN2489" s="60"/>
      <c r="XBO2489" s="60"/>
      <c r="XBP2489" s="60"/>
      <c r="XBQ2489" s="58"/>
      <c r="XBR2489" s="61"/>
      <c r="XBS2489" s="58"/>
      <c r="XBT2489" s="58"/>
      <c r="XBU2489" s="58"/>
      <c r="XBV2489" s="60"/>
      <c r="XBW2489" s="60"/>
      <c r="XBX2489" s="60"/>
      <c r="XBY2489" s="58"/>
      <c r="XBZ2489" s="61"/>
      <c r="XCA2489" s="58"/>
      <c r="XCB2489" s="58"/>
      <c r="XCC2489" s="58"/>
      <c r="XCD2489" s="60"/>
      <c r="XCE2489" s="60"/>
      <c r="XCF2489" s="60"/>
      <c r="XCG2489" s="58"/>
      <c r="XCH2489" s="61"/>
      <c r="XCI2489" s="58"/>
      <c r="XCJ2489" s="58"/>
      <c r="XCK2489" s="58"/>
      <c r="XCL2489" s="60"/>
      <c r="XCM2489" s="60"/>
      <c r="XCN2489" s="60"/>
      <c r="XCO2489" s="58"/>
      <c r="XCP2489" s="61"/>
      <c r="XCQ2489" s="58"/>
      <c r="XCR2489" s="58"/>
      <c r="XCS2489" s="58"/>
      <c r="XCT2489" s="60"/>
      <c r="XCU2489" s="60"/>
      <c r="XCV2489" s="60"/>
      <c r="XCW2489" s="58"/>
      <c r="XCX2489" s="61"/>
      <c r="XCY2489" s="58"/>
      <c r="XCZ2489" s="58"/>
      <c r="XDA2489" s="58"/>
      <c r="XDB2489" s="60"/>
      <c r="XDC2489" s="60"/>
      <c r="XDD2489" s="60"/>
      <c r="XDE2489" s="58"/>
      <c r="XDF2489" s="61"/>
      <c r="XDG2489" s="58"/>
      <c r="XDH2489" s="58"/>
      <c r="XDI2489" s="58"/>
      <c r="XDJ2489" s="60"/>
      <c r="XDK2489" s="60"/>
      <c r="XDL2489" s="60"/>
      <c r="XDM2489" s="58"/>
      <c r="XDN2489" s="61"/>
      <c r="XDO2489" s="58"/>
      <c r="XDP2489" s="58"/>
      <c r="XDQ2489" s="58"/>
      <c r="XDR2489" s="60"/>
      <c r="XDS2489" s="60"/>
      <c r="XDT2489" s="60"/>
      <c r="XDU2489" s="58"/>
      <c r="XDV2489" s="61"/>
      <c r="XDW2489" s="58"/>
      <c r="XDX2489" s="58"/>
      <c r="XDY2489" s="58"/>
      <c r="XDZ2489" s="60"/>
      <c r="XEA2489" s="60"/>
      <c r="XEB2489" s="60"/>
      <c r="XEC2489" s="58"/>
      <c r="XED2489" s="61"/>
      <c r="XEE2489" s="58"/>
      <c r="XEF2489" s="58"/>
      <c r="XEG2489" s="58"/>
      <c r="XEH2489" s="60"/>
      <c r="XEI2489" s="60"/>
      <c r="XEJ2489" s="60"/>
      <c r="XEK2489" s="58"/>
      <c r="XEL2489" s="61"/>
      <c r="XEM2489" s="58"/>
      <c r="XEN2489" s="58"/>
      <c r="XEO2489" s="58"/>
      <c r="XEP2489" s="60"/>
      <c r="XEQ2489" s="60"/>
      <c r="XER2489" s="60"/>
      <c r="XES2489" s="58"/>
      <c r="XET2489" s="61"/>
      <c r="XEU2489" s="58"/>
      <c r="XEV2489" s="58"/>
      <c r="XEW2489" s="58"/>
    </row>
    <row r="2490" ht="18" customHeight="1" spans="1:16377">
      <c r="A2490" s="6" t="s">
        <v>8209</v>
      </c>
      <c r="B2490" s="6" t="s">
        <v>8642</v>
      </c>
      <c r="C2490" s="6" t="s">
        <v>16428</v>
      </c>
      <c r="D2490" s="5" t="s">
        <v>16374</v>
      </c>
      <c r="E2490" s="195" t="s">
        <v>16429</v>
      </c>
      <c r="F2490" s="7" t="s">
        <v>11535</v>
      </c>
      <c r="G2490" s="58"/>
      <c r="H2490" s="58"/>
      <c r="I2490" s="58"/>
      <c r="J2490" s="60"/>
      <c r="K2490" s="60"/>
      <c r="L2490" s="60"/>
      <c r="M2490" s="58"/>
      <c r="N2490" s="61"/>
      <c r="O2490" s="58"/>
      <c r="P2490" s="58"/>
      <c r="Q2490" s="58"/>
      <c r="R2490" s="60"/>
      <c r="S2490" s="60"/>
      <c r="T2490" s="60"/>
      <c r="U2490" s="58"/>
      <c r="V2490" s="61"/>
      <c r="W2490" s="58"/>
      <c r="X2490" s="58"/>
      <c r="Y2490" s="58"/>
      <c r="Z2490" s="60"/>
      <c r="AA2490" s="60"/>
      <c r="AB2490" s="60"/>
      <c r="AC2490" s="58"/>
      <c r="AD2490" s="61"/>
      <c r="AE2490" s="58"/>
      <c r="AF2490" s="58"/>
      <c r="AG2490" s="58"/>
      <c r="AH2490" s="60"/>
      <c r="AI2490" s="60"/>
      <c r="AJ2490" s="60"/>
      <c r="AK2490" s="58"/>
      <c r="AL2490" s="61"/>
      <c r="AM2490" s="58"/>
      <c r="AN2490" s="58"/>
      <c r="AO2490" s="58"/>
      <c r="AP2490" s="60"/>
      <c r="AQ2490" s="60"/>
      <c r="AR2490" s="60"/>
      <c r="AS2490" s="58"/>
      <c r="AT2490" s="61"/>
      <c r="AU2490" s="58"/>
      <c r="AV2490" s="58"/>
      <c r="AW2490" s="58"/>
      <c r="AX2490" s="60"/>
      <c r="AY2490" s="60"/>
      <c r="AZ2490" s="60"/>
      <c r="BA2490" s="58"/>
      <c r="BB2490" s="61"/>
      <c r="BC2490" s="58"/>
      <c r="BD2490" s="58"/>
      <c r="BE2490" s="58"/>
      <c r="BF2490" s="60"/>
      <c r="BG2490" s="60"/>
      <c r="BH2490" s="60"/>
      <c r="BI2490" s="58"/>
      <c r="BJ2490" s="61"/>
      <c r="BK2490" s="58"/>
      <c r="BL2490" s="58"/>
      <c r="BM2490" s="58"/>
      <c r="BN2490" s="60"/>
      <c r="BO2490" s="60"/>
      <c r="BP2490" s="60"/>
      <c r="BQ2490" s="58"/>
      <c r="BR2490" s="61"/>
      <c r="BS2490" s="58"/>
      <c r="BT2490" s="58"/>
      <c r="BU2490" s="58"/>
      <c r="BV2490" s="60"/>
      <c r="BW2490" s="60"/>
      <c r="BX2490" s="60"/>
      <c r="BY2490" s="58"/>
      <c r="BZ2490" s="61"/>
      <c r="CA2490" s="58"/>
      <c r="CB2490" s="58"/>
      <c r="CC2490" s="58"/>
      <c r="CD2490" s="60"/>
      <c r="CE2490" s="60"/>
      <c r="CF2490" s="60"/>
      <c r="CG2490" s="58"/>
      <c r="CH2490" s="61"/>
      <c r="CI2490" s="58"/>
      <c r="CJ2490" s="58"/>
      <c r="CK2490" s="58"/>
      <c r="CL2490" s="60"/>
      <c r="CM2490" s="60"/>
      <c r="CN2490" s="60"/>
      <c r="CO2490" s="58"/>
      <c r="CP2490" s="61"/>
      <c r="CQ2490" s="58"/>
      <c r="CR2490" s="58"/>
      <c r="CS2490" s="58"/>
      <c r="CT2490" s="60"/>
      <c r="CU2490" s="60"/>
      <c r="CV2490" s="60"/>
      <c r="CW2490" s="58"/>
      <c r="CX2490" s="61"/>
      <c r="CY2490" s="58"/>
      <c r="CZ2490" s="58"/>
      <c r="DA2490" s="58"/>
      <c r="DB2490" s="60"/>
      <c r="DC2490" s="60"/>
      <c r="DD2490" s="60"/>
      <c r="DE2490" s="58"/>
      <c r="DF2490" s="61"/>
      <c r="DG2490" s="58"/>
      <c r="DH2490" s="58"/>
      <c r="DI2490" s="58"/>
      <c r="DJ2490" s="60"/>
      <c r="DK2490" s="60"/>
      <c r="DL2490" s="60"/>
      <c r="DM2490" s="58"/>
      <c r="DN2490" s="61"/>
      <c r="DO2490" s="58"/>
      <c r="DP2490" s="58"/>
      <c r="DQ2490" s="58"/>
      <c r="DR2490" s="60"/>
      <c r="DS2490" s="60"/>
      <c r="DT2490" s="60"/>
      <c r="DU2490" s="58"/>
      <c r="DV2490" s="61"/>
      <c r="DW2490" s="58"/>
      <c r="DX2490" s="58"/>
      <c r="DY2490" s="58"/>
      <c r="DZ2490" s="60"/>
      <c r="EA2490" s="60"/>
      <c r="EB2490" s="60"/>
      <c r="EC2490" s="58"/>
      <c r="ED2490" s="61"/>
      <c r="EE2490" s="58"/>
      <c r="EF2490" s="58"/>
      <c r="EG2490" s="58"/>
      <c r="EH2490" s="60"/>
      <c r="EI2490" s="60"/>
      <c r="EJ2490" s="60"/>
      <c r="EK2490" s="58"/>
      <c r="EL2490" s="61"/>
      <c r="EM2490" s="58"/>
      <c r="EN2490" s="58"/>
      <c r="EO2490" s="58"/>
      <c r="EP2490" s="60"/>
      <c r="EQ2490" s="60"/>
      <c r="ER2490" s="60"/>
      <c r="ES2490" s="58"/>
      <c r="ET2490" s="61"/>
      <c r="EU2490" s="58"/>
      <c r="EV2490" s="58"/>
      <c r="EW2490" s="58"/>
      <c r="EX2490" s="60"/>
      <c r="EY2490" s="60"/>
      <c r="EZ2490" s="60"/>
      <c r="FA2490" s="58"/>
      <c r="FB2490" s="61"/>
      <c r="FC2490" s="58"/>
      <c r="FD2490" s="58"/>
      <c r="FE2490" s="58"/>
      <c r="FF2490" s="60"/>
      <c r="FG2490" s="60"/>
      <c r="FH2490" s="60"/>
      <c r="FI2490" s="58"/>
      <c r="FJ2490" s="61"/>
      <c r="FK2490" s="58"/>
      <c r="FL2490" s="58"/>
      <c r="FM2490" s="58"/>
      <c r="FN2490" s="60"/>
      <c r="FO2490" s="60"/>
      <c r="FP2490" s="60"/>
      <c r="FQ2490" s="58"/>
      <c r="FR2490" s="61"/>
      <c r="FS2490" s="58"/>
      <c r="FT2490" s="58"/>
      <c r="FU2490" s="58"/>
      <c r="FV2490" s="60"/>
      <c r="FW2490" s="60"/>
      <c r="FX2490" s="60"/>
      <c r="FY2490" s="58"/>
      <c r="FZ2490" s="61"/>
      <c r="GA2490" s="58"/>
      <c r="GB2490" s="58"/>
      <c r="GC2490" s="58"/>
      <c r="GD2490" s="60"/>
      <c r="GE2490" s="60"/>
      <c r="GF2490" s="60"/>
      <c r="GG2490" s="58"/>
      <c r="GH2490" s="61"/>
      <c r="GI2490" s="58"/>
      <c r="GJ2490" s="58"/>
      <c r="GK2490" s="58"/>
      <c r="GL2490" s="60"/>
      <c r="GM2490" s="60"/>
      <c r="GN2490" s="60"/>
      <c r="GO2490" s="58"/>
      <c r="GP2490" s="61"/>
      <c r="GQ2490" s="58"/>
      <c r="GR2490" s="58"/>
      <c r="GS2490" s="58"/>
      <c r="GT2490" s="60"/>
      <c r="GU2490" s="60"/>
      <c r="GV2490" s="60"/>
      <c r="GW2490" s="58"/>
      <c r="GX2490" s="61"/>
      <c r="GY2490" s="58"/>
      <c r="GZ2490" s="58"/>
      <c r="HA2490" s="58"/>
      <c r="HB2490" s="60"/>
      <c r="HC2490" s="60"/>
      <c r="HD2490" s="60"/>
      <c r="HE2490" s="58"/>
      <c r="HF2490" s="61"/>
      <c r="HG2490" s="58"/>
      <c r="HH2490" s="58"/>
      <c r="HI2490" s="58"/>
      <c r="HJ2490" s="60"/>
      <c r="HK2490" s="60"/>
      <c r="HL2490" s="60"/>
      <c r="HM2490" s="58"/>
      <c r="HN2490" s="61"/>
      <c r="HO2490" s="58"/>
      <c r="HP2490" s="58"/>
      <c r="HQ2490" s="58"/>
      <c r="HR2490" s="60"/>
      <c r="HS2490" s="60"/>
      <c r="HT2490" s="60"/>
      <c r="HU2490" s="58"/>
      <c r="HV2490" s="61"/>
      <c r="HW2490" s="58"/>
      <c r="HX2490" s="58"/>
      <c r="HY2490" s="58"/>
      <c r="HZ2490" s="60"/>
      <c r="IA2490" s="60"/>
      <c r="IB2490" s="60"/>
      <c r="IC2490" s="58"/>
      <c r="ID2490" s="61"/>
      <c r="IE2490" s="58"/>
      <c r="IF2490" s="58"/>
      <c r="IG2490" s="58"/>
      <c r="IH2490" s="60"/>
      <c r="II2490" s="60"/>
      <c r="IJ2490" s="60"/>
      <c r="IK2490" s="58"/>
      <c r="IL2490" s="61"/>
      <c r="IM2490" s="58"/>
      <c r="IN2490" s="58"/>
      <c r="IO2490" s="58"/>
      <c r="IP2490" s="60"/>
      <c r="IQ2490" s="60"/>
      <c r="IR2490" s="60"/>
      <c r="IS2490" s="58"/>
      <c r="IT2490" s="61"/>
      <c r="IU2490" s="58"/>
      <c r="IV2490" s="58"/>
      <c r="IW2490" s="58"/>
      <c r="IX2490" s="60"/>
      <c r="IY2490" s="60"/>
      <c r="IZ2490" s="60"/>
      <c r="JA2490" s="58"/>
      <c r="JB2490" s="61"/>
      <c r="JC2490" s="58"/>
      <c r="JD2490" s="58"/>
      <c r="JE2490" s="58"/>
      <c r="JF2490" s="60"/>
      <c r="JG2490" s="60"/>
      <c r="JH2490" s="60"/>
      <c r="JI2490" s="58"/>
      <c r="JJ2490" s="61"/>
      <c r="JK2490" s="58"/>
      <c r="JL2490" s="58"/>
      <c r="JM2490" s="58"/>
      <c r="JN2490" s="60"/>
      <c r="JO2490" s="60"/>
      <c r="JP2490" s="60"/>
      <c r="JQ2490" s="58"/>
      <c r="JR2490" s="61"/>
      <c r="JS2490" s="58"/>
      <c r="JT2490" s="58"/>
      <c r="JU2490" s="58"/>
      <c r="JV2490" s="60"/>
      <c r="JW2490" s="60"/>
      <c r="JX2490" s="60"/>
      <c r="JY2490" s="58"/>
      <c r="JZ2490" s="61"/>
      <c r="KA2490" s="58"/>
      <c r="KB2490" s="58"/>
      <c r="KC2490" s="58"/>
      <c r="KD2490" s="60"/>
      <c r="KE2490" s="60"/>
      <c r="KF2490" s="60"/>
      <c r="KG2490" s="58"/>
      <c r="KH2490" s="61"/>
      <c r="KI2490" s="58"/>
      <c r="KJ2490" s="58"/>
      <c r="KK2490" s="58"/>
      <c r="KL2490" s="60"/>
      <c r="KM2490" s="60"/>
      <c r="KN2490" s="60"/>
      <c r="KO2490" s="58"/>
      <c r="KP2490" s="61"/>
      <c r="KQ2490" s="58"/>
      <c r="KR2490" s="58"/>
      <c r="KS2490" s="58"/>
      <c r="KT2490" s="60"/>
      <c r="KU2490" s="60"/>
      <c r="KV2490" s="60"/>
      <c r="KW2490" s="58"/>
      <c r="KX2490" s="61"/>
      <c r="KY2490" s="58"/>
      <c r="KZ2490" s="58"/>
      <c r="LA2490" s="58"/>
      <c r="LB2490" s="60"/>
      <c r="LC2490" s="60"/>
      <c r="LD2490" s="60"/>
      <c r="LE2490" s="58"/>
      <c r="LF2490" s="61"/>
      <c r="LG2490" s="58"/>
      <c r="LH2490" s="58"/>
      <c r="LI2490" s="58"/>
      <c r="LJ2490" s="60"/>
      <c r="LK2490" s="60"/>
      <c r="LL2490" s="60"/>
      <c r="LM2490" s="58"/>
      <c r="LN2490" s="61"/>
      <c r="LO2490" s="58"/>
      <c r="LP2490" s="58"/>
      <c r="LQ2490" s="58"/>
      <c r="LR2490" s="60"/>
      <c r="LS2490" s="60"/>
      <c r="LT2490" s="60"/>
      <c r="LU2490" s="58"/>
      <c r="LV2490" s="61"/>
      <c r="LW2490" s="58"/>
      <c r="LX2490" s="58"/>
      <c r="LY2490" s="58"/>
      <c r="LZ2490" s="60"/>
      <c r="MA2490" s="60"/>
      <c r="MB2490" s="60"/>
      <c r="MC2490" s="58"/>
      <c r="MD2490" s="61"/>
      <c r="ME2490" s="58"/>
      <c r="MF2490" s="58"/>
      <c r="MG2490" s="58"/>
      <c r="MH2490" s="60"/>
      <c r="MI2490" s="60"/>
      <c r="MJ2490" s="60"/>
      <c r="MK2490" s="58"/>
      <c r="ML2490" s="61"/>
      <c r="MM2490" s="58"/>
      <c r="MN2490" s="58"/>
      <c r="MO2490" s="58"/>
      <c r="MP2490" s="60"/>
      <c r="MQ2490" s="60"/>
      <c r="MR2490" s="60"/>
      <c r="MS2490" s="58"/>
      <c r="MT2490" s="61"/>
      <c r="MU2490" s="58"/>
      <c r="MV2490" s="58"/>
      <c r="MW2490" s="58"/>
      <c r="MX2490" s="60"/>
      <c r="MY2490" s="60"/>
      <c r="MZ2490" s="60"/>
      <c r="NA2490" s="58"/>
      <c r="NB2490" s="61"/>
      <c r="NC2490" s="58"/>
      <c r="ND2490" s="58"/>
      <c r="NE2490" s="58"/>
      <c r="NF2490" s="60"/>
      <c r="NG2490" s="60"/>
      <c r="NH2490" s="60"/>
      <c r="NI2490" s="58"/>
      <c r="NJ2490" s="61"/>
      <c r="NK2490" s="58"/>
      <c r="NL2490" s="58"/>
      <c r="NM2490" s="58"/>
      <c r="NN2490" s="60"/>
      <c r="NO2490" s="60"/>
      <c r="NP2490" s="60"/>
      <c r="NQ2490" s="58"/>
      <c r="NR2490" s="61"/>
      <c r="NS2490" s="58"/>
      <c r="NT2490" s="58"/>
      <c r="NU2490" s="58"/>
      <c r="NV2490" s="60"/>
      <c r="NW2490" s="60"/>
      <c r="NX2490" s="60"/>
      <c r="NY2490" s="58"/>
      <c r="NZ2490" s="61"/>
      <c r="OA2490" s="58"/>
      <c r="OB2490" s="58"/>
      <c r="OC2490" s="58"/>
      <c r="OD2490" s="60"/>
      <c r="OE2490" s="60"/>
      <c r="OF2490" s="60"/>
      <c r="OG2490" s="58"/>
      <c r="OH2490" s="61"/>
      <c r="OI2490" s="58"/>
      <c r="OJ2490" s="58"/>
      <c r="OK2490" s="58"/>
      <c r="OL2490" s="60"/>
      <c r="OM2490" s="60"/>
      <c r="ON2490" s="60"/>
      <c r="OO2490" s="58"/>
      <c r="OP2490" s="61"/>
      <c r="OQ2490" s="58"/>
      <c r="OR2490" s="58"/>
      <c r="OS2490" s="58"/>
      <c r="OT2490" s="60"/>
      <c r="OU2490" s="60"/>
      <c r="OV2490" s="60"/>
      <c r="OW2490" s="58"/>
      <c r="OX2490" s="61"/>
      <c r="OY2490" s="58"/>
      <c r="OZ2490" s="58"/>
      <c r="PA2490" s="58"/>
      <c r="PB2490" s="60"/>
      <c r="PC2490" s="60"/>
      <c r="PD2490" s="60"/>
      <c r="PE2490" s="58"/>
      <c r="PF2490" s="61"/>
      <c r="PG2490" s="58"/>
      <c r="PH2490" s="58"/>
      <c r="PI2490" s="58"/>
      <c r="PJ2490" s="60"/>
      <c r="PK2490" s="60"/>
      <c r="PL2490" s="60"/>
      <c r="PM2490" s="58"/>
      <c r="PN2490" s="61"/>
      <c r="PO2490" s="58"/>
      <c r="PP2490" s="58"/>
      <c r="PQ2490" s="58"/>
      <c r="PR2490" s="60"/>
      <c r="PS2490" s="60"/>
      <c r="PT2490" s="60"/>
      <c r="PU2490" s="58"/>
      <c r="PV2490" s="61"/>
      <c r="PW2490" s="58"/>
      <c r="PX2490" s="58"/>
      <c r="PY2490" s="58"/>
      <c r="PZ2490" s="60"/>
      <c r="QA2490" s="60"/>
      <c r="QB2490" s="60"/>
      <c r="QC2490" s="58"/>
      <c r="QD2490" s="61"/>
      <c r="QE2490" s="58"/>
      <c r="QF2490" s="58"/>
      <c r="QG2490" s="58"/>
      <c r="QH2490" s="60"/>
      <c r="QI2490" s="60"/>
      <c r="QJ2490" s="60"/>
      <c r="QK2490" s="58"/>
      <c r="QL2490" s="61"/>
      <c r="QM2490" s="58"/>
      <c r="QN2490" s="58"/>
      <c r="QO2490" s="58"/>
      <c r="QP2490" s="60"/>
      <c r="QQ2490" s="60"/>
      <c r="QR2490" s="60"/>
      <c r="QS2490" s="58"/>
      <c r="QT2490" s="61"/>
      <c r="QU2490" s="58"/>
      <c r="QV2490" s="58"/>
      <c r="QW2490" s="58"/>
      <c r="QX2490" s="60"/>
      <c r="QY2490" s="60"/>
      <c r="QZ2490" s="60"/>
      <c r="RA2490" s="58"/>
      <c r="RB2490" s="61"/>
      <c r="RC2490" s="58"/>
      <c r="RD2490" s="58"/>
      <c r="RE2490" s="58"/>
      <c r="RF2490" s="60"/>
      <c r="RG2490" s="60"/>
      <c r="RH2490" s="60"/>
      <c r="RI2490" s="58"/>
      <c r="RJ2490" s="61"/>
      <c r="RK2490" s="58"/>
      <c r="RL2490" s="58"/>
      <c r="RM2490" s="58"/>
      <c r="RN2490" s="60"/>
      <c r="RO2490" s="60"/>
      <c r="RP2490" s="60"/>
      <c r="RQ2490" s="58"/>
      <c r="RR2490" s="61"/>
      <c r="RS2490" s="58"/>
      <c r="RT2490" s="58"/>
      <c r="RU2490" s="58"/>
      <c r="RV2490" s="60"/>
      <c r="RW2490" s="60"/>
      <c r="RX2490" s="60"/>
      <c r="RY2490" s="58"/>
      <c r="RZ2490" s="61"/>
      <c r="SA2490" s="58"/>
      <c r="SB2490" s="58"/>
      <c r="SC2490" s="58"/>
      <c r="SD2490" s="60"/>
      <c r="SE2490" s="60"/>
      <c r="SF2490" s="60"/>
      <c r="SG2490" s="58"/>
      <c r="SH2490" s="61"/>
      <c r="SI2490" s="58"/>
      <c r="SJ2490" s="58"/>
      <c r="SK2490" s="58"/>
      <c r="SL2490" s="60"/>
      <c r="SM2490" s="60"/>
      <c r="SN2490" s="60"/>
      <c r="SO2490" s="58"/>
      <c r="SP2490" s="61"/>
      <c r="SQ2490" s="58"/>
      <c r="SR2490" s="58"/>
      <c r="SS2490" s="58"/>
      <c r="ST2490" s="60"/>
      <c r="SU2490" s="60"/>
      <c r="SV2490" s="60"/>
      <c r="SW2490" s="58"/>
      <c r="SX2490" s="61"/>
      <c r="SY2490" s="58"/>
      <c r="SZ2490" s="58"/>
      <c r="TA2490" s="58"/>
      <c r="TB2490" s="60"/>
      <c r="TC2490" s="60"/>
      <c r="TD2490" s="60"/>
      <c r="TE2490" s="58"/>
      <c r="TF2490" s="61"/>
      <c r="TG2490" s="58"/>
      <c r="TH2490" s="58"/>
      <c r="TI2490" s="58"/>
      <c r="TJ2490" s="60"/>
      <c r="TK2490" s="60"/>
      <c r="TL2490" s="60"/>
      <c r="TM2490" s="58"/>
      <c r="TN2490" s="61"/>
      <c r="TO2490" s="58"/>
      <c r="TP2490" s="58"/>
      <c r="TQ2490" s="58"/>
      <c r="TR2490" s="60"/>
      <c r="TS2490" s="60"/>
      <c r="TT2490" s="60"/>
      <c r="TU2490" s="58"/>
      <c r="TV2490" s="61"/>
      <c r="TW2490" s="58"/>
      <c r="TX2490" s="58"/>
      <c r="TY2490" s="58"/>
      <c r="TZ2490" s="60"/>
      <c r="UA2490" s="60"/>
      <c r="UB2490" s="60"/>
      <c r="UC2490" s="58"/>
      <c r="UD2490" s="61"/>
      <c r="UE2490" s="58"/>
      <c r="UF2490" s="58"/>
      <c r="UG2490" s="58"/>
      <c r="UH2490" s="60"/>
      <c r="UI2490" s="60"/>
      <c r="UJ2490" s="60"/>
      <c r="UK2490" s="58"/>
      <c r="UL2490" s="61"/>
      <c r="UM2490" s="58"/>
      <c r="UN2490" s="58"/>
      <c r="UO2490" s="58"/>
      <c r="UP2490" s="60"/>
      <c r="UQ2490" s="60"/>
      <c r="UR2490" s="60"/>
      <c r="US2490" s="58"/>
      <c r="UT2490" s="61"/>
      <c r="UU2490" s="58"/>
      <c r="UV2490" s="58"/>
      <c r="UW2490" s="58"/>
      <c r="UX2490" s="60"/>
      <c r="UY2490" s="60"/>
      <c r="UZ2490" s="60"/>
      <c r="VA2490" s="58"/>
      <c r="VB2490" s="61"/>
      <c r="VC2490" s="58"/>
      <c r="VD2490" s="58"/>
      <c r="VE2490" s="58"/>
      <c r="VF2490" s="60"/>
      <c r="VG2490" s="60"/>
      <c r="VH2490" s="60"/>
      <c r="VI2490" s="58"/>
      <c r="VJ2490" s="61"/>
      <c r="VK2490" s="58"/>
      <c r="VL2490" s="58"/>
      <c r="VM2490" s="58"/>
      <c r="VN2490" s="60"/>
      <c r="VO2490" s="60"/>
      <c r="VP2490" s="60"/>
      <c r="VQ2490" s="58"/>
      <c r="VR2490" s="61"/>
      <c r="VS2490" s="58"/>
      <c r="VT2490" s="58"/>
      <c r="VU2490" s="58"/>
      <c r="VV2490" s="60"/>
      <c r="VW2490" s="60"/>
      <c r="VX2490" s="60"/>
      <c r="VY2490" s="58"/>
      <c r="VZ2490" s="61"/>
      <c r="WA2490" s="58"/>
      <c r="WB2490" s="58"/>
      <c r="WC2490" s="58"/>
      <c r="WD2490" s="60"/>
      <c r="WE2490" s="60"/>
      <c r="WF2490" s="60"/>
      <c r="WG2490" s="58"/>
      <c r="WH2490" s="61"/>
      <c r="WI2490" s="58"/>
      <c r="WJ2490" s="58"/>
      <c r="WK2490" s="58"/>
      <c r="WL2490" s="60"/>
      <c r="WM2490" s="60"/>
      <c r="WN2490" s="60"/>
      <c r="WO2490" s="58"/>
      <c r="WP2490" s="61"/>
      <c r="WQ2490" s="58"/>
      <c r="WR2490" s="58"/>
      <c r="WS2490" s="58"/>
      <c r="WT2490" s="60"/>
      <c r="WU2490" s="60"/>
      <c r="WV2490" s="60"/>
      <c r="WW2490" s="58"/>
      <c r="WX2490" s="61"/>
      <c r="WY2490" s="58"/>
      <c r="WZ2490" s="58"/>
      <c r="XA2490" s="58"/>
      <c r="XB2490" s="60"/>
      <c r="XC2490" s="60"/>
      <c r="XD2490" s="60"/>
      <c r="XE2490" s="58"/>
      <c r="XF2490" s="61"/>
      <c r="XG2490" s="58"/>
      <c r="XH2490" s="58"/>
      <c r="XI2490" s="58"/>
      <c r="XJ2490" s="60"/>
      <c r="XK2490" s="60"/>
      <c r="XL2490" s="60"/>
      <c r="XM2490" s="58"/>
      <c r="XN2490" s="61"/>
      <c r="XO2490" s="58"/>
      <c r="XP2490" s="58"/>
      <c r="XQ2490" s="58"/>
      <c r="XR2490" s="60"/>
      <c r="XS2490" s="60"/>
      <c r="XT2490" s="60"/>
      <c r="XU2490" s="58"/>
      <c r="XV2490" s="61"/>
      <c r="XW2490" s="58"/>
      <c r="XX2490" s="58"/>
      <c r="XY2490" s="58"/>
      <c r="XZ2490" s="60"/>
      <c r="YA2490" s="60"/>
      <c r="YB2490" s="60"/>
      <c r="YC2490" s="58"/>
      <c r="YD2490" s="61"/>
      <c r="YE2490" s="58"/>
      <c r="YF2490" s="58"/>
      <c r="YG2490" s="58"/>
      <c r="YH2490" s="60"/>
      <c r="YI2490" s="60"/>
      <c r="YJ2490" s="60"/>
      <c r="YK2490" s="58"/>
      <c r="YL2490" s="61"/>
      <c r="YM2490" s="58"/>
      <c r="YN2490" s="58"/>
      <c r="YO2490" s="58"/>
      <c r="YP2490" s="60"/>
      <c r="YQ2490" s="60"/>
      <c r="YR2490" s="60"/>
      <c r="YS2490" s="58"/>
      <c r="YT2490" s="61"/>
      <c r="YU2490" s="58"/>
      <c r="YV2490" s="58"/>
      <c r="YW2490" s="58"/>
      <c r="YX2490" s="60"/>
      <c r="YY2490" s="60"/>
      <c r="YZ2490" s="60"/>
      <c r="ZA2490" s="58"/>
      <c r="ZB2490" s="61"/>
      <c r="ZC2490" s="58"/>
      <c r="ZD2490" s="58"/>
      <c r="ZE2490" s="58"/>
      <c r="ZF2490" s="60"/>
      <c r="ZG2490" s="60"/>
      <c r="ZH2490" s="60"/>
      <c r="ZI2490" s="58"/>
      <c r="ZJ2490" s="61"/>
      <c r="ZK2490" s="58"/>
      <c r="ZL2490" s="58"/>
      <c r="ZM2490" s="58"/>
      <c r="ZN2490" s="60"/>
      <c r="ZO2490" s="60"/>
      <c r="ZP2490" s="60"/>
      <c r="ZQ2490" s="58"/>
      <c r="ZR2490" s="61"/>
      <c r="ZS2490" s="58"/>
      <c r="ZT2490" s="58"/>
      <c r="ZU2490" s="58"/>
      <c r="ZV2490" s="60"/>
      <c r="ZW2490" s="60"/>
      <c r="ZX2490" s="60"/>
      <c r="ZY2490" s="58"/>
      <c r="ZZ2490" s="61"/>
      <c r="AAA2490" s="58"/>
      <c r="AAB2490" s="58"/>
      <c r="AAC2490" s="58"/>
      <c r="AAD2490" s="60"/>
      <c r="AAE2490" s="60"/>
      <c r="AAF2490" s="60"/>
      <c r="AAG2490" s="58"/>
      <c r="AAH2490" s="61"/>
      <c r="AAI2490" s="58"/>
      <c r="AAJ2490" s="58"/>
      <c r="AAK2490" s="58"/>
      <c r="AAL2490" s="60"/>
      <c r="AAM2490" s="60"/>
      <c r="AAN2490" s="60"/>
      <c r="AAO2490" s="58"/>
      <c r="AAP2490" s="61"/>
      <c r="AAQ2490" s="58"/>
      <c r="AAR2490" s="58"/>
      <c r="AAS2490" s="58"/>
      <c r="AAT2490" s="60"/>
      <c r="AAU2490" s="60"/>
      <c r="AAV2490" s="60"/>
      <c r="AAW2490" s="58"/>
      <c r="AAX2490" s="61"/>
      <c r="AAY2490" s="58"/>
      <c r="AAZ2490" s="58"/>
      <c r="ABA2490" s="58"/>
      <c r="ABB2490" s="60"/>
      <c r="ABC2490" s="60"/>
      <c r="ABD2490" s="60"/>
      <c r="ABE2490" s="58"/>
      <c r="ABF2490" s="61"/>
      <c r="ABG2490" s="58"/>
      <c r="ABH2490" s="58"/>
      <c r="ABI2490" s="58"/>
      <c r="ABJ2490" s="60"/>
      <c r="ABK2490" s="60"/>
      <c r="ABL2490" s="60"/>
      <c r="ABM2490" s="58"/>
      <c r="ABN2490" s="61"/>
      <c r="ABO2490" s="58"/>
      <c r="ABP2490" s="58"/>
      <c r="ABQ2490" s="58"/>
      <c r="ABR2490" s="60"/>
      <c r="ABS2490" s="60"/>
      <c r="ABT2490" s="60"/>
      <c r="ABU2490" s="58"/>
      <c r="ABV2490" s="61"/>
      <c r="ABW2490" s="58"/>
      <c r="ABX2490" s="58"/>
      <c r="ABY2490" s="58"/>
      <c r="ABZ2490" s="60"/>
      <c r="ACA2490" s="60"/>
      <c r="ACB2490" s="60"/>
      <c r="ACC2490" s="58"/>
      <c r="ACD2490" s="61"/>
      <c r="ACE2490" s="58"/>
      <c r="ACF2490" s="58"/>
      <c r="ACG2490" s="58"/>
      <c r="ACH2490" s="60"/>
      <c r="ACI2490" s="60"/>
      <c r="ACJ2490" s="60"/>
      <c r="ACK2490" s="58"/>
      <c r="ACL2490" s="61"/>
      <c r="ACM2490" s="58"/>
      <c r="ACN2490" s="58"/>
      <c r="ACO2490" s="58"/>
      <c r="ACP2490" s="60"/>
      <c r="ACQ2490" s="60"/>
      <c r="ACR2490" s="60"/>
      <c r="ACS2490" s="58"/>
      <c r="ACT2490" s="61"/>
      <c r="ACU2490" s="58"/>
      <c r="ACV2490" s="58"/>
      <c r="ACW2490" s="58"/>
      <c r="ACX2490" s="60"/>
      <c r="ACY2490" s="60"/>
      <c r="ACZ2490" s="60"/>
      <c r="ADA2490" s="58"/>
      <c r="ADB2490" s="61"/>
      <c r="ADC2490" s="58"/>
      <c r="ADD2490" s="58"/>
      <c r="ADE2490" s="58"/>
      <c r="ADF2490" s="60"/>
      <c r="ADG2490" s="60"/>
      <c r="ADH2490" s="60"/>
      <c r="ADI2490" s="58"/>
      <c r="ADJ2490" s="61"/>
      <c r="ADK2490" s="58"/>
      <c r="ADL2490" s="58"/>
      <c r="ADM2490" s="58"/>
      <c r="ADN2490" s="60"/>
      <c r="ADO2490" s="60"/>
      <c r="ADP2490" s="60"/>
      <c r="ADQ2490" s="58"/>
      <c r="ADR2490" s="61"/>
      <c r="ADS2490" s="58"/>
      <c r="ADT2490" s="58"/>
      <c r="ADU2490" s="58"/>
      <c r="ADV2490" s="60"/>
      <c r="ADW2490" s="60"/>
      <c r="ADX2490" s="60"/>
      <c r="ADY2490" s="58"/>
      <c r="ADZ2490" s="61"/>
      <c r="AEA2490" s="58"/>
      <c r="AEB2490" s="58"/>
      <c r="AEC2490" s="58"/>
      <c r="AED2490" s="60"/>
      <c r="AEE2490" s="60"/>
      <c r="AEF2490" s="60"/>
      <c r="AEG2490" s="58"/>
      <c r="AEH2490" s="61"/>
      <c r="AEI2490" s="58"/>
      <c r="AEJ2490" s="58"/>
      <c r="AEK2490" s="58"/>
      <c r="AEL2490" s="60"/>
      <c r="AEM2490" s="60"/>
      <c r="AEN2490" s="60"/>
      <c r="AEO2490" s="58"/>
      <c r="AEP2490" s="61"/>
      <c r="AEQ2490" s="58"/>
      <c r="AER2490" s="58"/>
      <c r="AES2490" s="58"/>
      <c r="AET2490" s="60"/>
      <c r="AEU2490" s="60"/>
      <c r="AEV2490" s="60"/>
      <c r="AEW2490" s="58"/>
      <c r="AEX2490" s="61"/>
      <c r="AEY2490" s="58"/>
      <c r="AEZ2490" s="58"/>
      <c r="AFA2490" s="58"/>
      <c r="AFB2490" s="60"/>
      <c r="AFC2490" s="60"/>
      <c r="AFD2490" s="60"/>
      <c r="AFE2490" s="58"/>
      <c r="AFF2490" s="61"/>
      <c r="AFG2490" s="58"/>
      <c r="AFH2490" s="58"/>
      <c r="AFI2490" s="58"/>
      <c r="AFJ2490" s="60"/>
      <c r="AFK2490" s="60"/>
      <c r="AFL2490" s="60"/>
      <c r="AFM2490" s="58"/>
      <c r="AFN2490" s="61"/>
      <c r="AFO2490" s="58"/>
      <c r="AFP2490" s="58"/>
      <c r="AFQ2490" s="58"/>
      <c r="AFR2490" s="60"/>
      <c r="AFS2490" s="60"/>
      <c r="AFT2490" s="60"/>
      <c r="AFU2490" s="58"/>
      <c r="AFV2490" s="61"/>
      <c r="AFW2490" s="58"/>
      <c r="AFX2490" s="58"/>
      <c r="AFY2490" s="58"/>
      <c r="AFZ2490" s="60"/>
      <c r="AGA2490" s="60"/>
      <c r="AGB2490" s="60"/>
      <c r="AGC2490" s="58"/>
      <c r="AGD2490" s="61"/>
      <c r="AGE2490" s="58"/>
      <c r="AGF2490" s="58"/>
      <c r="AGG2490" s="58"/>
      <c r="AGH2490" s="60"/>
      <c r="AGI2490" s="60"/>
      <c r="AGJ2490" s="60"/>
      <c r="AGK2490" s="58"/>
      <c r="AGL2490" s="61"/>
      <c r="AGM2490" s="58"/>
      <c r="AGN2490" s="58"/>
      <c r="AGO2490" s="58"/>
      <c r="AGP2490" s="60"/>
      <c r="AGQ2490" s="60"/>
      <c r="AGR2490" s="60"/>
      <c r="AGS2490" s="58"/>
      <c r="AGT2490" s="61"/>
      <c r="AGU2490" s="58"/>
      <c r="AGV2490" s="58"/>
      <c r="AGW2490" s="58"/>
      <c r="AGX2490" s="60"/>
      <c r="AGY2490" s="60"/>
      <c r="AGZ2490" s="60"/>
      <c r="AHA2490" s="58"/>
      <c r="AHB2490" s="61"/>
      <c r="AHC2490" s="58"/>
      <c r="AHD2490" s="58"/>
      <c r="AHE2490" s="58"/>
      <c r="AHF2490" s="60"/>
      <c r="AHG2490" s="60"/>
      <c r="AHH2490" s="60"/>
      <c r="AHI2490" s="58"/>
      <c r="AHJ2490" s="61"/>
      <c r="AHK2490" s="58"/>
      <c r="AHL2490" s="58"/>
      <c r="AHM2490" s="58"/>
      <c r="AHN2490" s="60"/>
      <c r="AHO2490" s="60"/>
      <c r="AHP2490" s="60"/>
      <c r="AHQ2490" s="58"/>
      <c r="AHR2490" s="61"/>
      <c r="AHS2490" s="58"/>
      <c r="AHT2490" s="58"/>
      <c r="AHU2490" s="58"/>
      <c r="AHV2490" s="60"/>
      <c r="AHW2490" s="60"/>
      <c r="AHX2490" s="60"/>
      <c r="AHY2490" s="58"/>
      <c r="AHZ2490" s="61"/>
      <c r="AIA2490" s="58"/>
      <c r="AIB2490" s="58"/>
      <c r="AIC2490" s="58"/>
      <c r="AID2490" s="60"/>
      <c r="AIE2490" s="60"/>
      <c r="AIF2490" s="60"/>
      <c r="AIG2490" s="58"/>
      <c r="AIH2490" s="61"/>
      <c r="AII2490" s="58"/>
      <c r="AIJ2490" s="58"/>
      <c r="AIK2490" s="58"/>
      <c r="AIL2490" s="60"/>
      <c r="AIM2490" s="60"/>
      <c r="AIN2490" s="60"/>
      <c r="AIO2490" s="58"/>
      <c r="AIP2490" s="61"/>
      <c r="AIQ2490" s="58"/>
      <c r="AIR2490" s="58"/>
      <c r="AIS2490" s="58"/>
      <c r="AIT2490" s="60"/>
      <c r="AIU2490" s="60"/>
      <c r="AIV2490" s="60"/>
      <c r="AIW2490" s="58"/>
      <c r="AIX2490" s="61"/>
      <c r="AIY2490" s="58"/>
      <c r="AIZ2490" s="58"/>
      <c r="AJA2490" s="58"/>
      <c r="AJB2490" s="60"/>
      <c r="AJC2490" s="60"/>
      <c r="AJD2490" s="60"/>
      <c r="AJE2490" s="58"/>
      <c r="AJF2490" s="61"/>
      <c r="AJG2490" s="58"/>
      <c r="AJH2490" s="58"/>
      <c r="AJI2490" s="58"/>
      <c r="AJJ2490" s="60"/>
      <c r="AJK2490" s="60"/>
      <c r="AJL2490" s="60"/>
      <c r="AJM2490" s="58"/>
      <c r="AJN2490" s="61"/>
      <c r="AJO2490" s="58"/>
      <c r="AJP2490" s="58"/>
      <c r="AJQ2490" s="58"/>
      <c r="AJR2490" s="60"/>
      <c r="AJS2490" s="60"/>
      <c r="AJT2490" s="60"/>
      <c r="AJU2490" s="58"/>
      <c r="AJV2490" s="61"/>
      <c r="AJW2490" s="58"/>
      <c r="AJX2490" s="58"/>
      <c r="AJY2490" s="58"/>
      <c r="AJZ2490" s="60"/>
      <c r="AKA2490" s="60"/>
      <c r="AKB2490" s="60"/>
      <c r="AKC2490" s="58"/>
      <c r="AKD2490" s="61"/>
      <c r="AKE2490" s="58"/>
      <c r="AKF2490" s="58"/>
      <c r="AKG2490" s="58"/>
      <c r="AKH2490" s="60"/>
      <c r="AKI2490" s="60"/>
      <c r="AKJ2490" s="60"/>
      <c r="AKK2490" s="58"/>
      <c r="AKL2490" s="61"/>
      <c r="AKM2490" s="58"/>
      <c r="AKN2490" s="58"/>
      <c r="AKO2490" s="58"/>
      <c r="AKP2490" s="60"/>
      <c r="AKQ2490" s="60"/>
      <c r="AKR2490" s="60"/>
      <c r="AKS2490" s="58"/>
      <c r="AKT2490" s="61"/>
      <c r="AKU2490" s="58"/>
      <c r="AKV2490" s="58"/>
      <c r="AKW2490" s="58"/>
      <c r="AKX2490" s="60"/>
      <c r="AKY2490" s="60"/>
      <c r="AKZ2490" s="60"/>
      <c r="ALA2490" s="58"/>
      <c r="ALB2490" s="61"/>
      <c r="ALC2490" s="58"/>
      <c r="ALD2490" s="58"/>
      <c r="ALE2490" s="58"/>
      <c r="ALF2490" s="60"/>
      <c r="ALG2490" s="60"/>
      <c r="ALH2490" s="60"/>
      <c r="ALI2490" s="58"/>
      <c r="ALJ2490" s="61"/>
      <c r="ALK2490" s="58"/>
      <c r="ALL2490" s="58"/>
      <c r="ALM2490" s="58"/>
      <c r="ALN2490" s="60"/>
      <c r="ALO2490" s="60"/>
      <c r="ALP2490" s="60"/>
      <c r="ALQ2490" s="58"/>
      <c r="ALR2490" s="61"/>
      <c r="ALS2490" s="58"/>
      <c r="ALT2490" s="58"/>
      <c r="ALU2490" s="58"/>
      <c r="ALV2490" s="60"/>
      <c r="ALW2490" s="60"/>
      <c r="ALX2490" s="60"/>
      <c r="ALY2490" s="58"/>
      <c r="ALZ2490" s="61"/>
      <c r="AMA2490" s="58"/>
      <c r="AMB2490" s="58"/>
      <c r="AMC2490" s="58"/>
      <c r="AMD2490" s="60"/>
      <c r="AME2490" s="60"/>
      <c r="AMF2490" s="60"/>
      <c r="AMG2490" s="58"/>
      <c r="AMH2490" s="61"/>
      <c r="AMI2490" s="58"/>
      <c r="AMJ2490" s="58"/>
      <c r="AMK2490" s="58"/>
      <c r="AML2490" s="60"/>
      <c r="AMM2490" s="60"/>
      <c r="AMN2490" s="60"/>
      <c r="AMO2490" s="58"/>
      <c r="AMP2490" s="61"/>
      <c r="AMQ2490" s="58"/>
      <c r="AMR2490" s="58"/>
      <c r="AMS2490" s="58"/>
      <c r="AMT2490" s="60"/>
      <c r="AMU2490" s="60"/>
      <c r="AMV2490" s="60"/>
      <c r="AMW2490" s="58"/>
      <c r="AMX2490" s="61"/>
      <c r="AMY2490" s="58"/>
      <c r="AMZ2490" s="58"/>
      <c r="ANA2490" s="58"/>
      <c r="ANB2490" s="60"/>
      <c r="ANC2490" s="60"/>
      <c r="AND2490" s="60"/>
      <c r="ANE2490" s="58"/>
      <c r="ANF2490" s="61"/>
      <c r="ANG2490" s="58"/>
      <c r="ANH2490" s="58"/>
      <c r="ANI2490" s="58"/>
      <c r="ANJ2490" s="60"/>
      <c r="ANK2490" s="60"/>
      <c r="ANL2490" s="60"/>
      <c r="ANM2490" s="58"/>
      <c r="ANN2490" s="61"/>
      <c r="ANO2490" s="58"/>
      <c r="ANP2490" s="58"/>
      <c r="ANQ2490" s="58"/>
      <c r="ANR2490" s="60"/>
      <c r="ANS2490" s="60"/>
      <c r="ANT2490" s="60"/>
      <c r="ANU2490" s="58"/>
      <c r="ANV2490" s="61"/>
      <c r="ANW2490" s="58"/>
      <c r="ANX2490" s="58"/>
      <c r="ANY2490" s="58"/>
      <c r="ANZ2490" s="60"/>
      <c r="AOA2490" s="60"/>
      <c r="AOB2490" s="60"/>
      <c r="AOC2490" s="58"/>
      <c r="AOD2490" s="61"/>
      <c r="AOE2490" s="58"/>
      <c r="AOF2490" s="58"/>
      <c r="AOG2490" s="58"/>
      <c r="AOH2490" s="60"/>
      <c r="AOI2490" s="60"/>
      <c r="AOJ2490" s="60"/>
      <c r="AOK2490" s="58"/>
      <c r="AOL2490" s="61"/>
      <c r="AOM2490" s="58"/>
      <c r="AON2490" s="58"/>
      <c r="AOO2490" s="58"/>
      <c r="AOP2490" s="60"/>
      <c r="AOQ2490" s="60"/>
      <c r="AOR2490" s="60"/>
      <c r="AOS2490" s="58"/>
      <c r="AOT2490" s="61"/>
      <c r="AOU2490" s="58"/>
      <c r="AOV2490" s="58"/>
      <c r="AOW2490" s="58"/>
      <c r="AOX2490" s="60"/>
      <c r="AOY2490" s="60"/>
      <c r="AOZ2490" s="60"/>
      <c r="APA2490" s="58"/>
      <c r="APB2490" s="61"/>
      <c r="APC2490" s="58"/>
      <c r="APD2490" s="58"/>
      <c r="APE2490" s="58"/>
      <c r="APF2490" s="60"/>
      <c r="APG2490" s="60"/>
      <c r="APH2490" s="60"/>
      <c r="API2490" s="58"/>
      <c r="APJ2490" s="61"/>
      <c r="APK2490" s="58"/>
      <c r="APL2490" s="58"/>
      <c r="APM2490" s="58"/>
      <c r="APN2490" s="60"/>
      <c r="APO2490" s="60"/>
      <c r="APP2490" s="60"/>
      <c r="APQ2490" s="58"/>
      <c r="APR2490" s="61"/>
      <c r="APS2490" s="58"/>
      <c r="APT2490" s="58"/>
      <c r="APU2490" s="58"/>
      <c r="APV2490" s="60"/>
      <c r="APW2490" s="60"/>
      <c r="APX2490" s="60"/>
      <c r="APY2490" s="58"/>
      <c r="APZ2490" s="61"/>
      <c r="AQA2490" s="58"/>
      <c r="AQB2490" s="58"/>
      <c r="AQC2490" s="58"/>
      <c r="AQD2490" s="60"/>
      <c r="AQE2490" s="60"/>
      <c r="AQF2490" s="60"/>
      <c r="AQG2490" s="58"/>
      <c r="AQH2490" s="61"/>
      <c r="AQI2490" s="58"/>
      <c r="AQJ2490" s="58"/>
      <c r="AQK2490" s="58"/>
      <c r="AQL2490" s="60"/>
      <c r="AQM2490" s="60"/>
      <c r="AQN2490" s="60"/>
      <c r="AQO2490" s="58"/>
      <c r="AQP2490" s="61"/>
      <c r="AQQ2490" s="58"/>
      <c r="AQR2490" s="58"/>
      <c r="AQS2490" s="58"/>
      <c r="AQT2490" s="60"/>
      <c r="AQU2490" s="60"/>
      <c r="AQV2490" s="60"/>
      <c r="AQW2490" s="58"/>
      <c r="AQX2490" s="61"/>
      <c r="AQY2490" s="58"/>
      <c r="AQZ2490" s="58"/>
      <c r="ARA2490" s="58"/>
      <c r="ARB2490" s="60"/>
      <c r="ARC2490" s="60"/>
      <c r="ARD2490" s="60"/>
      <c r="ARE2490" s="58"/>
      <c r="ARF2490" s="61"/>
      <c r="ARG2490" s="58"/>
      <c r="ARH2490" s="58"/>
      <c r="ARI2490" s="58"/>
      <c r="ARJ2490" s="60"/>
      <c r="ARK2490" s="60"/>
      <c r="ARL2490" s="60"/>
      <c r="ARM2490" s="58"/>
      <c r="ARN2490" s="61"/>
      <c r="ARO2490" s="58"/>
      <c r="ARP2490" s="58"/>
      <c r="ARQ2490" s="58"/>
      <c r="ARR2490" s="60"/>
      <c r="ARS2490" s="60"/>
      <c r="ART2490" s="60"/>
      <c r="ARU2490" s="58"/>
      <c r="ARV2490" s="61"/>
      <c r="ARW2490" s="58"/>
      <c r="ARX2490" s="58"/>
      <c r="ARY2490" s="58"/>
      <c r="ARZ2490" s="60"/>
      <c r="ASA2490" s="60"/>
      <c r="ASB2490" s="60"/>
      <c r="ASC2490" s="58"/>
      <c r="ASD2490" s="61"/>
      <c r="ASE2490" s="58"/>
      <c r="ASF2490" s="58"/>
      <c r="ASG2490" s="58"/>
      <c r="ASH2490" s="60"/>
      <c r="ASI2490" s="60"/>
      <c r="ASJ2490" s="60"/>
      <c r="ASK2490" s="58"/>
      <c r="ASL2490" s="61"/>
      <c r="ASM2490" s="58"/>
      <c r="ASN2490" s="58"/>
      <c r="ASO2490" s="58"/>
      <c r="ASP2490" s="60"/>
      <c r="ASQ2490" s="60"/>
      <c r="ASR2490" s="60"/>
      <c r="ASS2490" s="58"/>
      <c r="AST2490" s="61"/>
      <c r="ASU2490" s="58"/>
      <c r="ASV2490" s="58"/>
      <c r="ASW2490" s="58"/>
      <c r="ASX2490" s="60"/>
      <c r="ASY2490" s="60"/>
      <c r="ASZ2490" s="60"/>
      <c r="ATA2490" s="58"/>
      <c r="ATB2490" s="61"/>
      <c r="ATC2490" s="58"/>
      <c r="ATD2490" s="58"/>
      <c r="ATE2490" s="58"/>
      <c r="ATF2490" s="60"/>
      <c r="ATG2490" s="60"/>
      <c r="ATH2490" s="60"/>
      <c r="ATI2490" s="58"/>
      <c r="ATJ2490" s="61"/>
      <c r="ATK2490" s="58"/>
      <c r="ATL2490" s="58"/>
      <c r="ATM2490" s="58"/>
      <c r="ATN2490" s="60"/>
      <c r="ATO2490" s="60"/>
      <c r="ATP2490" s="60"/>
      <c r="ATQ2490" s="58"/>
      <c r="ATR2490" s="61"/>
      <c r="ATS2490" s="58"/>
      <c r="ATT2490" s="58"/>
      <c r="ATU2490" s="58"/>
      <c r="ATV2490" s="60"/>
      <c r="ATW2490" s="60"/>
      <c r="ATX2490" s="60"/>
      <c r="ATY2490" s="58"/>
      <c r="ATZ2490" s="61"/>
      <c r="AUA2490" s="58"/>
      <c r="AUB2490" s="58"/>
      <c r="AUC2490" s="58"/>
      <c r="AUD2490" s="60"/>
      <c r="AUE2490" s="60"/>
      <c r="AUF2490" s="60"/>
      <c r="AUG2490" s="58"/>
      <c r="AUH2490" s="61"/>
      <c r="AUI2490" s="58"/>
      <c r="AUJ2490" s="58"/>
      <c r="AUK2490" s="58"/>
      <c r="AUL2490" s="60"/>
      <c r="AUM2490" s="60"/>
      <c r="AUN2490" s="60"/>
      <c r="AUO2490" s="58"/>
      <c r="AUP2490" s="61"/>
      <c r="AUQ2490" s="58"/>
      <c r="AUR2490" s="58"/>
      <c r="AUS2490" s="58"/>
      <c r="AUT2490" s="60"/>
      <c r="AUU2490" s="60"/>
      <c r="AUV2490" s="60"/>
      <c r="AUW2490" s="58"/>
      <c r="AUX2490" s="61"/>
      <c r="AUY2490" s="58"/>
      <c r="AUZ2490" s="58"/>
      <c r="AVA2490" s="58"/>
      <c r="AVB2490" s="60"/>
      <c r="AVC2490" s="60"/>
      <c r="AVD2490" s="60"/>
      <c r="AVE2490" s="58"/>
      <c r="AVF2490" s="61"/>
      <c r="AVG2490" s="58"/>
      <c r="AVH2490" s="58"/>
      <c r="AVI2490" s="58"/>
      <c r="AVJ2490" s="60"/>
      <c r="AVK2490" s="60"/>
      <c r="AVL2490" s="60"/>
      <c r="AVM2490" s="58"/>
      <c r="AVN2490" s="61"/>
      <c r="AVO2490" s="58"/>
      <c r="AVP2490" s="58"/>
      <c r="AVQ2490" s="58"/>
      <c r="AVR2490" s="60"/>
      <c r="AVS2490" s="60"/>
      <c r="AVT2490" s="60"/>
      <c r="AVU2490" s="58"/>
      <c r="AVV2490" s="61"/>
      <c r="AVW2490" s="58"/>
      <c r="AVX2490" s="58"/>
      <c r="AVY2490" s="58"/>
      <c r="AVZ2490" s="60"/>
      <c r="AWA2490" s="60"/>
      <c r="AWB2490" s="60"/>
      <c r="AWC2490" s="58"/>
      <c r="AWD2490" s="61"/>
      <c r="AWE2490" s="58"/>
      <c r="AWF2490" s="58"/>
      <c r="AWG2490" s="58"/>
      <c r="AWH2490" s="60"/>
      <c r="AWI2490" s="60"/>
      <c r="AWJ2490" s="60"/>
      <c r="AWK2490" s="58"/>
      <c r="AWL2490" s="61"/>
      <c r="AWM2490" s="58"/>
      <c r="AWN2490" s="58"/>
      <c r="AWO2490" s="58"/>
      <c r="AWP2490" s="60"/>
      <c r="AWQ2490" s="60"/>
      <c r="AWR2490" s="60"/>
      <c r="AWS2490" s="58"/>
      <c r="AWT2490" s="61"/>
      <c r="AWU2490" s="58"/>
      <c r="AWV2490" s="58"/>
      <c r="AWW2490" s="58"/>
      <c r="AWX2490" s="60"/>
      <c r="AWY2490" s="60"/>
      <c r="AWZ2490" s="60"/>
      <c r="AXA2490" s="58"/>
      <c r="AXB2490" s="61"/>
      <c r="AXC2490" s="58"/>
      <c r="AXD2490" s="58"/>
      <c r="AXE2490" s="58"/>
      <c r="AXF2490" s="60"/>
      <c r="AXG2490" s="60"/>
      <c r="AXH2490" s="60"/>
      <c r="AXI2490" s="58"/>
      <c r="AXJ2490" s="61"/>
      <c r="AXK2490" s="58"/>
      <c r="AXL2490" s="58"/>
      <c r="AXM2490" s="58"/>
      <c r="AXN2490" s="60"/>
      <c r="AXO2490" s="60"/>
      <c r="AXP2490" s="60"/>
      <c r="AXQ2490" s="58"/>
      <c r="AXR2490" s="61"/>
      <c r="AXS2490" s="58"/>
      <c r="AXT2490" s="58"/>
      <c r="AXU2490" s="58"/>
      <c r="AXV2490" s="60"/>
      <c r="AXW2490" s="60"/>
      <c r="AXX2490" s="60"/>
      <c r="AXY2490" s="58"/>
      <c r="AXZ2490" s="61"/>
      <c r="AYA2490" s="58"/>
      <c r="AYB2490" s="58"/>
      <c r="AYC2490" s="58"/>
      <c r="AYD2490" s="60"/>
      <c r="AYE2490" s="60"/>
      <c r="AYF2490" s="60"/>
      <c r="AYG2490" s="58"/>
      <c r="AYH2490" s="61"/>
      <c r="AYI2490" s="58"/>
      <c r="AYJ2490" s="58"/>
      <c r="AYK2490" s="58"/>
      <c r="AYL2490" s="60"/>
      <c r="AYM2490" s="60"/>
      <c r="AYN2490" s="60"/>
      <c r="AYO2490" s="58"/>
      <c r="AYP2490" s="61"/>
      <c r="AYQ2490" s="58"/>
      <c r="AYR2490" s="58"/>
      <c r="AYS2490" s="58"/>
      <c r="AYT2490" s="60"/>
      <c r="AYU2490" s="60"/>
      <c r="AYV2490" s="60"/>
      <c r="AYW2490" s="58"/>
      <c r="AYX2490" s="61"/>
      <c r="AYY2490" s="58"/>
      <c r="AYZ2490" s="58"/>
      <c r="AZA2490" s="58"/>
      <c r="AZB2490" s="60"/>
      <c r="AZC2490" s="60"/>
      <c r="AZD2490" s="60"/>
      <c r="AZE2490" s="58"/>
      <c r="AZF2490" s="61"/>
      <c r="AZG2490" s="58"/>
      <c r="AZH2490" s="58"/>
      <c r="AZI2490" s="58"/>
      <c r="AZJ2490" s="60"/>
      <c r="AZK2490" s="60"/>
      <c r="AZL2490" s="60"/>
      <c r="AZM2490" s="58"/>
      <c r="AZN2490" s="61"/>
      <c r="AZO2490" s="58"/>
      <c r="AZP2490" s="58"/>
      <c r="AZQ2490" s="58"/>
      <c r="AZR2490" s="60"/>
      <c r="AZS2490" s="60"/>
      <c r="AZT2490" s="60"/>
      <c r="AZU2490" s="58"/>
      <c r="AZV2490" s="61"/>
      <c r="AZW2490" s="58"/>
      <c r="AZX2490" s="58"/>
      <c r="AZY2490" s="58"/>
      <c r="AZZ2490" s="60"/>
      <c r="BAA2490" s="60"/>
      <c r="BAB2490" s="60"/>
      <c r="BAC2490" s="58"/>
      <c r="BAD2490" s="61"/>
      <c r="BAE2490" s="58"/>
      <c r="BAF2490" s="58"/>
      <c r="BAG2490" s="58"/>
      <c r="BAH2490" s="60"/>
      <c r="BAI2490" s="60"/>
      <c r="BAJ2490" s="60"/>
      <c r="BAK2490" s="58"/>
      <c r="BAL2490" s="61"/>
      <c r="BAM2490" s="58"/>
      <c r="BAN2490" s="58"/>
      <c r="BAO2490" s="58"/>
      <c r="BAP2490" s="60"/>
      <c r="BAQ2490" s="60"/>
      <c r="BAR2490" s="60"/>
      <c r="BAS2490" s="58"/>
      <c r="BAT2490" s="61"/>
      <c r="BAU2490" s="58"/>
      <c r="BAV2490" s="58"/>
      <c r="BAW2490" s="58"/>
      <c r="BAX2490" s="60"/>
      <c r="BAY2490" s="60"/>
      <c r="BAZ2490" s="60"/>
      <c r="BBA2490" s="58"/>
      <c r="BBB2490" s="61"/>
      <c r="BBC2490" s="58"/>
      <c r="BBD2490" s="58"/>
      <c r="BBE2490" s="58"/>
      <c r="BBF2490" s="60"/>
      <c r="BBG2490" s="60"/>
      <c r="BBH2490" s="60"/>
      <c r="BBI2490" s="58"/>
      <c r="BBJ2490" s="61"/>
      <c r="BBK2490" s="58"/>
      <c r="BBL2490" s="58"/>
      <c r="BBM2490" s="58"/>
      <c r="BBN2490" s="60"/>
      <c r="BBO2490" s="60"/>
      <c r="BBP2490" s="60"/>
      <c r="BBQ2490" s="58"/>
      <c r="BBR2490" s="61"/>
      <c r="BBS2490" s="58"/>
      <c r="BBT2490" s="58"/>
      <c r="BBU2490" s="58"/>
      <c r="BBV2490" s="60"/>
      <c r="BBW2490" s="60"/>
      <c r="BBX2490" s="60"/>
      <c r="BBY2490" s="58"/>
      <c r="BBZ2490" s="61"/>
      <c r="BCA2490" s="58"/>
      <c r="BCB2490" s="58"/>
      <c r="BCC2490" s="58"/>
      <c r="BCD2490" s="60"/>
      <c r="BCE2490" s="60"/>
      <c r="BCF2490" s="60"/>
      <c r="BCG2490" s="58"/>
      <c r="BCH2490" s="61"/>
      <c r="BCI2490" s="58"/>
      <c r="BCJ2490" s="58"/>
      <c r="BCK2490" s="58"/>
      <c r="BCL2490" s="60"/>
      <c r="BCM2490" s="60"/>
      <c r="BCN2490" s="60"/>
      <c r="BCO2490" s="58"/>
      <c r="BCP2490" s="61"/>
      <c r="BCQ2490" s="58"/>
      <c r="BCR2490" s="58"/>
      <c r="BCS2490" s="58"/>
      <c r="BCT2490" s="60"/>
      <c r="BCU2490" s="60"/>
      <c r="BCV2490" s="60"/>
      <c r="BCW2490" s="58"/>
      <c r="BCX2490" s="61"/>
      <c r="BCY2490" s="58"/>
      <c r="BCZ2490" s="58"/>
      <c r="BDA2490" s="58"/>
      <c r="BDB2490" s="60"/>
      <c r="BDC2490" s="60"/>
      <c r="BDD2490" s="60"/>
      <c r="BDE2490" s="58"/>
      <c r="BDF2490" s="61"/>
      <c r="BDG2490" s="58"/>
      <c r="BDH2490" s="58"/>
      <c r="BDI2490" s="58"/>
      <c r="BDJ2490" s="60"/>
      <c r="BDK2490" s="60"/>
      <c r="BDL2490" s="60"/>
      <c r="BDM2490" s="58"/>
      <c r="BDN2490" s="61"/>
      <c r="BDO2490" s="58"/>
      <c r="BDP2490" s="58"/>
      <c r="BDQ2490" s="58"/>
      <c r="BDR2490" s="60"/>
      <c r="BDS2490" s="60"/>
      <c r="BDT2490" s="60"/>
      <c r="BDU2490" s="58"/>
      <c r="BDV2490" s="61"/>
      <c r="BDW2490" s="58"/>
      <c r="BDX2490" s="58"/>
      <c r="BDY2490" s="58"/>
      <c r="BDZ2490" s="60"/>
      <c r="BEA2490" s="60"/>
      <c r="BEB2490" s="60"/>
      <c r="BEC2490" s="58"/>
      <c r="BED2490" s="61"/>
      <c r="BEE2490" s="58"/>
      <c r="BEF2490" s="58"/>
      <c r="BEG2490" s="58"/>
      <c r="BEH2490" s="60"/>
      <c r="BEI2490" s="60"/>
      <c r="BEJ2490" s="60"/>
      <c r="BEK2490" s="58"/>
      <c r="BEL2490" s="61"/>
      <c r="BEM2490" s="58"/>
      <c r="BEN2490" s="58"/>
      <c r="BEO2490" s="58"/>
      <c r="BEP2490" s="60"/>
      <c r="BEQ2490" s="60"/>
      <c r="BER2490" s="60"/>
      <c r="BES2490" s="58"/>
      <c r="BET2490" s="61"/>
      <c r="BEU2490" s="58"/>
      <c r="BEV2490" s="58"/>
      <c r="BEW2490" s="58"/>
      <c r="BEX2490" s="60"/>
      <c r="BEY2490" s="60"/>
      <c r="BEZ2490" s="60"/>
      <c r="BFA2490" s="58"/>
      <c r="BFB2490" s="61"/>
      <c r="BFC2490" s="58"/>
      <c r="BFD2490" s="58"/>
      <c r="BFE2490" s="58"/>
      <c r="BFF2490" s="60"/>
      <c r="BFG2490" s="60"/>
      <c r="BFH2490" s="60"/>
      <c r="BFI2490" s="58"/>
      <c r="BFJ2490" s="61"/>
      <c r="BFK2490" s="58"/>
      <c r="BFL2490" s="58"/>
      <c r="BFM2490" s="58"/>
      <c r="BFN2490" s="60"/>
      <c r="BFO2490" s="60"/>
      <c r="BFP2490" s="60"/>
      <c r="BFQ2490" s="58"/>
      <c r="BFR2490" s="61"/>
      <c r="BFS2490" s="58"/>
      <c r="BFT2490" s="58"/>
      <c r="BFU2490" s="58"/>
      <c r="BFV2490" s="60"/>
      <c r="BFW2490" s="60"/>
      <c r="BFX2490" s="60"/>
      <c r="BFY2490" s="58"/>
      <c r="BFZ2490" s="61"/>
      <c r="BGA2490" s="58"/>
      <c r="BGB2490" s="58"/>
      <c r="BGC2490" s="58"/>
      <c r="BGD2490" s="60"/>
      <c r="BGE2490" s="60"/>
      <c r="BGF2490" s="60"/>
      <c r="BGG2490" s="58"/>
      <c r="BGH2490" s="61"/>
      <c r="BGI2490" s="58"/>
      <c r="BGJ2490" s="58"/>
      <c r="BGK2490" s="58"/>
      <c r="BGL2490" s="60"/>
      <c r="BGM2490" s="60"/>
      <c r="BGN2490" s="60"/>
      <c r="BGO2490" s="58"/>
      <c r="BGP2490" s="61"/>
      <c r="BGQ2490" s="58"/>
      <c r="BGR2490" s="58"/>
      <c r="BGS2490" s="58"/>
      <c r="BGT2490" s="60"/>
      <c r="BGU2490" s="60"/>
      <c r="BGV2490" s="60"/>
      <c r="BGW2490" s="58"/>
      <c r="BGX2490" s="61"/>
      <c r="BGY2490" s="58"/>
      <c r="BGZ2490" s="58"/>
      <c r="BHA2490" s="58"/>
      <c r="BHB2490" s="60"/>
      <c r="BHC2490" s="60"/>
      <c r="BHD2490" s="60"/>
      <c r="BHE2490" s="58"/>
      <c r="BHF2490" s="61"/>
      <c r="BHG2490" s="58"/>
      <c r="BHH2490" s="58"/>
      <c r="BHI2490" s="58"/>
      <c r="BHJ2490" s="60"/>
      <c r="BHK2490" s="60"/>
      <c r="BHL2490" s="60"/>
      <c r="BHM2490" s="58"/>
      <c r="BHN2490" s="61"/>
      <c r="BHO2490" s="58"/>
      <c r="BHP2490" s="58"/>
      <c r="BHQ2490" s="58"/>
      <c r="BHR2490" s="60"/>
      <c r="BHS2490" s="60"/>
      <c r="BHT2490" s="60"/>
      <c r="BHU2490" s="58"/>
      <c r="BHV2490" s="61"/>
      <c r="BHW2490" s="58"/>
      <c r="BHX2490" s="58"/>
      <c r="BHY2490" s="58"/>
      <c r="BHZ2490" s="60"/>
      <c r="BIA2490" s="60"/>
      <c r="BIB2490" s="60"/>
      <c r="BIC2490" s="58"/>
      <c r="BID2490" s="61"/>
      <c r="BIE2490" s="58"/>
      <c r="BIF2490" s="58"/>
      <c r="BIG2490" s="58"/>
      <c r="BIH2490" s="60"/>
      <c r="BII2490" s="60"/>
      <c r="BIJ2490" s="60"/>
      <c r="BIK2490" s="58"/>
      <c r="BIL2490" s="61"/>
      <c r="BIM2490" s="58"/>
      <c r="BIN2490" s="58"/>
      <c r="BIO2490" s="58"/>
      <c r="BIP2490" s="60"/>
      <c r="BIQ2490" s="60"/>
      <c r="BIR2490" s="60"/>
      <c r="BIS2490" s="58"/>
      <c r="BIT2490" s="61"/>
      <c r="BIU2490" s="58"/>
      <c r="BIV2490" s="58"/>
      <c r="BIW2490" s="58"/>
      <c r="BIX2490" s="60"/>
      <c r="BIY2490" s="60"/>
      <c r="BIZ2490" s="60"/>
      <c r="BJA2490" s="58"/>
      <c r="BJB2490" s="61"/>
      <c r="BJC2490" s="58"/>
      <c r="BJD2490" s="58"/>
      <c r="BJE2490" s="58"/>
      <c r="BJF2490" s="60"/>
      <c r="BJG2490" s="60"/>
      <c r="BJH2490" s="60"/>
      <c r="BJI2490" s="58"/>
      <c r="BJJ2490" s="61"/>
      <c r="BJK2490" s="58"/>
      <c r="BJL2490" s="58"/>
      <c r="BJM2490" s="58"/>
      <c r="BJN2490" s="60"/>
      <c r="BJO2490" s="60"/>
      <c r="BJP2490" s="60"/>
      <c r="BJQ2490" s="58"/>
      <c r="BJR2490" s="61"/>
      <c r="BJS2490" s="58"/>
      <c r="BJT2490" s="58"/>
      <c r="BJU2490" s="58"/>
      <c r="BJV2490" s="60"/>
      <c r="BJW2490" s="60"/>
      <c r="BJX2490" s="60"/>
      <c r="BJY2490" s="58"/>
      <c r="BJZ2490" s="61"/>
      <c r="BKA2490" s="58"/>
      <c r="BKB2490" s="58"/>
      <c r="BKC2490" s="58"/>
      <c r="BKD2490" s="60"/>
      <c r="BKE2490" s="60"/>
      <c r="BKF2490" s="60"/>
      <c r="BKG2490" s="58"/>
      <c r="BKH2490" s="61"/>
      <c r="BKI2490" s="58"/>
      <c r="BKJ2490" s="58"/>
      <c r="BKK2490" s="58"/>
      <c r="BKL2490" s="60"/>
      <c r="BKM2490" s="60"/>
      <c r="BKN2490" s="60"/>
      <c r="BKO2490" s="58"/>
      <c r="BKP2490" s="61"/>
      <c r="BKQ2490" s="58"/>
      <c r="BKR2490" s="58"/>
      <c r="BKS2490" s="58"/>
      <c r="BKT2490" s="60"/>
      <c r="BKU2490" s="60"/>
      <c r="BKV2490" s="60"/>
      <c r="BKW2490" s="58"/>
      <c r="BKX2490" s="61"/>
      <c r="BKY2490" s="58"/>
      <c r="BKZ2490" s="58"/>
      <c r="BLA2490" s="58"/>
      <c r="BLB2490" s="60"/>
      <c r="BLC2490" s="60"/>
      <c r="BLD2490" s="60"/>
      <c r="BLE2490" s="58"/>
      <c r="BLF2490" s="61"/>
      <c r="BLG2490" s="58"/>
      <c r="BLH2490" s="58"/>
      <c r="BLI2490" s="58"/>
      <c r="BLJ2490" s="60"/>
      <c r="BLK2490" s="60"/>
      <c r="BLL2490" s="60"/>
      <c r="BLM2490" s="58"/>
      <c r="BLN2490" s="61"/>
      <c r="BLO2490" s="58"/>
      <c r="BLP2490" s="58"/>
      <c r="BLQ2490" s="58"/>
      <c r="BLR2490" s="60"/>
      <c r="BLS2490" s="60"/>
      <c r="BLT2490" s="60"/>
      <c r="BLU2490" s="58"/>
      <c r="BLV2490" s="61"/>
      <c r="BLW2490" s="58"/>
      <c r="BLX2490" s="58"/>
      <c r="BLY2490" s="58"/>
      <c r="BLZ2490" s="60"/>
      <c r="BMA2490" s="60"/>
      <c r="BMB2490" s="60"/>
      <c r="BMC2490" s="58"/>
      <c r="BMD2490" s="61"/>
      <c r="BME2490" s="58"/>
      <c r="BMF2490" s="58"/>
      <c r="BMG2490" s="58"/>
      <c r="BMH2490" s="60"/>
      <c r="BMI2490" s="60"/>
      <c r="BMJ2490" s="60"/>
      <c r="BMK2490" s="58"/>
      <c r="BML2490" s="61"/>
      <c r="BMM2490" s="58"/>
      <c r="BMN2490" s="58"/>
      <c r="BMO2490" s="58"/>
      <c r="BMP2490" s="60"/>
      <c r="BMQ2490" s="60"/>
      <c r="BMR2490" s="60"/>
      <c r="BMS2490" s="58"/>
      <c r="BMT2490" s="61"/>
      <c r="BMU2490" s="58"/>
      <c r="BMV2490" s="58"/>
      <c r="BMW2490" s="58"/>
      <c r="BMX2490" s="60"/>
      <c r="BMY2490" s="60"/>
      <c r="BMZ2490" s="60"/>
      <c r="BNA2490" s="58"/>
      <c r="BNB2490" s="61"/>
      <c r="BNC2490" s="58"/>
      <c r="BND2490" s="58"/>
      <c r="BNE2490" s="58"/>
      <c r="BNF2490" s="60"/>
      <c r="BNG2490" s="60"/>
      <c r="BNH2490" s="60"/>
      <c r="BNI2490" s="58"/>
      <c r="BNJ2490" s="61"/>
      <c r="BNK2490" s="58"/>
      <c r="BNL2490" s="58"/>
      <c r="BNM2490" s="58"/>
      <c r="BNN2490" s="60"/>
      <c r="BNO2490" s="60"/>
      <c r="BNP2490" s="60"/>
      <c r="BNQ2490" s="58"/>
      <c r="BNR2490" s="61"/>
      <c r="BNS2490" s="58"/>
      <c r="BNT2490" s="58"/>
      <c r="BNU2490" s="58"/>
      <c r="BNV2490" s="60"/>
      <c r="BNW2490" s="60"/>
      <c r="BNX2490" s="60"/>
      <c r="BNY2490" s="58"/>
      <c r="BNZ2490" s="61"/>
      <c r="BOA2490" s="58"/>
      <c r="BOB2490" s="58"/>
      <c r="BOC2490" s="58"/>
      <c r="BOD2490" s="60"/>
      <c r="BOE2490" s="60"/>
      <c r="BOF2490" s="60"/>
      <c r="BOG2490" s="58"/>
      <c r="BOH2490" s="61"/>
      <c r="BOI2490" s="58"/>
      <c r="BOJ2490" s="58"/>
      <c r="BOK2490" s="58"/>
      <c r="BOL2490" s="60"/>
      <c r="BOM2490" s="60"/>
      <c r="BON2490" s="60"/>
      <c r="BOO2490" s="58"/>
      <c r="BOP2490" s="61"/>
      <c r="BOQ2490" s="58"/>
      <c r="BOR2490" s="58"/>
      <c r="BOS2490" s="58"/>
      <c r="BOT2490" s="60"/>
      <c r="BOU2490" s="60"/>
      <c r="BOV2490" s="60"/>
      <c r="BOW2490" s="58"/>
      <c r="BOX2490" s="61"/>
      <c r="BOY2490" s="58"/>
      <c r="BOZ2490" s="58"/>
      <c r="BPA2490" s="58"/>
      <c r="BPB2490" s="60"/>
      <c r="BPC2490" s="60"/>
      <c r="BPD2490" s="60"/>
      <c r="BPE2490" s="58"/>
      <c r="BPF2490" s="61"/>
      <c r="BPG2490" s="58"/>
      <c r="BPH2490" s="58"/>
      <c r="BPI2490" s="58"/>
      <c r="BPJ2490" s="60"/>
      <c r="BPK2490" s="60"/>
      <c r="BPL2490" s="60"/>
      <c r="BPM2490" s="58"/>
      <c r="BPN2490" s="61"/>
      <c r="BPO2490" s="58"/>
      <c r="BPP2490" s="58"/>
      <c r="BPQ2490" s="58"/>
      <c r="BPR2490" s="60"/>
      <c r="BPS2490" s="60"/>
      <c r="BPT2490" s="60"/>
      <c r="BPU2490" s="58"/>
      <c r="BPV2490" s="61"/>
      <c r="BPW2490" s="58"/>
      <c r="BPX2490" s="58"/>
      <c r="BPY2490" s="58"/>
      <c r="BPZ2490" s="60"/>
      <c r="BQA2490" s="60"/>
      <c r="BQB2490" s="60"/>
      <c r="BQC2490" s="58"/>
      <c r="BQD2490" s="61"/>
      <c r="BQE2490" s="58"/>
      <c r="BQF2490" s="58"/>
      <c r="BQG2490" s="58"/>
      <c r="BQH2490" s="60"/>
      <c r="BQI2490" s="60"/>
      <c r="BQJ2490" s="60"/>
      <c r="BQK2490" s="58"/>
      <c r="BQL2490" s="61"/>
      <c r="BQM2490" s="58"/>
      <c r="BQN2490" s="58"/>
      <c r="BQO2490" s="58"/>
      <c r="BQP2490" s="60"/>
      <c r="BQQ2490" s="60"/>
      <c r="BQR2490" s="60"/>
      <c r="BQS2490" s="58"/>
      <c r="BQT2490" s="61"/>
      <c r="BQU2490" s="58"/>
      <c r="BQV2490" s="58"/>
      <c r="BQW2490" s="58"/>
      <c r="BQX2490" s="60"/>
      <c r="BQY2490" s="60"/>
      <c r="BQZ2490" s="60"/>
      <c r="BRA2490" s="58"/>
      <c r="BRB2490" s="61"/>
      <c r="BRC2490" s="58"/>
      <c r="BRD2490" s="58"/>
      <c r="BRE2490" s="58"/>
      <c r="BRF2490" s="60"/>
      <c r="BRG2490" s="60"/>
      <c r="BRH2490" s="60"/>
      <c r="BRI2490" s="58"/>
      <c r="BRJ2490" s="61"/>
      <c r="BRK2490" s="58"/>
      <c r="BRL2490" s="58"/>
      <c r="BRM2490" s="58"/>
      <c r="BRN2490" s="60"/>
      <c r="BRO2490" s="60"/>
      <c r="BRP2490" s="60"/>
      <c r="BRQ2490" s="58"/>
      <c r="BRR2490" s="61"/>
      <c r="BRS2490" s="58"/>
      <c r="BRT2490" s="58"/>
      <c r="BRU2490" s="58"/>
      <c r="BRV2490" s="60"/>
      <c r="BRW2490" s="60"/>
      <c r="BRX2490" s="60"/>
      <c r="BRY2490" s="58"/>
      <c r="BRZ2490" s="61"/>
      <c r="BSA2490" s="58"/>
      <c r="BSB2490" s="58"/>
      <c r="BSC2490" s="58"/>
      <c r="BSD2490" s="60"/>
      <c r="BSE2490" s="60"/>
      <c r="BSF2490" s="60"/>
      <c r="BSG2490" s="58"/>
      <c r="BSH2490" s="61"/>
      <c r="BSI2490" s="58"/>
      <c r="BSJ2490" s="58"/>
      <c r="BSK2490" s="58"/>
      <c r="BSL2490" s="60"/>
      <c r="BSM2490" s="60"/>
      <c r="BSN2490" s="60"/>
      <c r="BSO2490" s="58"/>
      <c r="BSP2490" s="61"/>
      <c r="BSQ2490" s="58"/>
      <c r="BSR2490" s="58"/>
      <c r="BSS2490" s="58"/>
      <c r="BST2490" s="60"/>
      <c r="BSU2490" s="60"/>
      <c r="BSV2490" s="60"/>
      <c r="BSW2490" s="58"/>
      <c r="BSX2490" s="61"/>
      <c r="BSY2490" s="58"/>
      <c r="BSZ2490" s="58"/>
      <c r="BTA2490" s="58"/>
      <c r="BTB2490" s="60"/>
      <c r="BTC2490" s="60"/>
      <c r="BTD2490" s="60"/>
      <c r="BTE2490" s="58"/>
      <c r="BTF2490" s="61"/>
      <c r="BTG2490" s="58"/>
      <c r="BTH2490" s="58"/>
      <c r="BTI2490" s="58"/>
      <c r="BTJ2490" s="60"/>
      <c r="BTK2490" s="60"/>
      <c r="BTL2490" s="60"/>
      <c r="BTM2490" s="58"/>
      <c r="BTN2490" s="61"/>
      <c r="BTO2490" s="58"/>
      <c r="BTP2490" s="58"/>
      <c r="BTQ2490" s="58"/>
      <c r="BTR2490" s="60"/>
      <c r="BTS2490" s="60"/>
      <c r="BTT2490" s="60"/>
      <c r="BTU2490" s="58"/>
      <c r="BTV2490" s="61"/>
      <c r="BTW2490" s="58"/>
      <c r="BTX2490" s="58"/>
      <c r="BTY2490" s="58"/>
      <c r="BTZ2490" s="60"/>
      <c r="BUA2490" s="60"/>
      <c r="BUB2490" s="60"/>
      <c r="BUC2490" s="58"/>
      <c r="BUD2490" s="61"/>
      <c r="BUE2490" s="58"/>
      <c r="BUF2490" s="58"/>
      <c r="BUG2490" s="58"/>
      <c r="BUH2490" s="60"/>
      <c r="BUI2490" s="60"/>
      <c r="BUJ2490" s="60"/>
      <c r="BUK2490" s="58"/>
      <c r="BUL2490" s="61"/>
      <c r="BUM2490" s="58"/>
      <c r="BUN2490" s="58"/>
      <c r="BUO2490" s="58"/>
      <c r="BUP2490" s="60"/>
      <c r="BUQ2490" s="60"/>
      <c r="BUR2490" s="60"/>
      <c r="BUS2490" s="58"/>
      <c r="BUT2490" s="61"/>
      <c r="BUU2490" s="58"/>
      <c r="BUV2490" s="58"/>
      <c r="BUW2490" s="58"/>
      <c r="BUX2490" s="60"/>
      <c r="BUY2490" s="60"/>
      <c r="BUZ2490" s="60"/>
      <c r="BVA2490" s="58"/>
      <c r="BVB2490" s="61"/>
      <c r="BVC2490" s="58"/>
      <c r="BVD2490" s="58"/>
      <c r="BVE2490" s="58"/>
      <c r="BVF2490" s="60"/>
      <c r="BVG2490" s="60"/>
      <c r="BVH2490" s="60"/>
      <c r="BVI2490" s="58"/>
      <c r="BVJ2490" s="61"/>
      <c r="BVK2490" s="58"/>
      <c r="BVL2490" s="58"/>
      <c r="BVM2490" s="58"/>
      <c r="BVN2490" s="60"/>
      <c r="BVO2490" s="60"/>
      <c r="BVP2490" s="60"/>
      <c r="BVQ2490" s="58"/>
      <c r="BVR2490" s="61"/>
      <c r="BVS2490" s="58"/>
      <c r="BVT2490" s="58"/>
      <c r="BVU2490" s="58"/>
      <c r="BVV2490" s="60"/>
      <c r="BVW2490" s="60"/>
      <c r="BVX2490" s="60"/>
      <c r="BVY2490" s="58"/>
      <c r="BVZ2490" s="61"/>
      <c r="BWA2490" s="58"/>
      <c r="BWB2490" s="58"/>
      <c r="BWC2490" s="58"/>
      <c r="BWD2490" s="60"/>
      <c r="BWE2490" s="60"/>
      <c r="BWF2490" s="60"/>
      <c r="BWG2490" s="58"/>
      <c r="BWH2490" s="61"/>
      <c r="BWI2490" s="58"/>
      <c r="BWJ2490" s="58"/>
      <c r="BWK2490" s="58"/>
      <c r="BWL2490" s="60"/>
      <c r="BWM2490" s="60"/>
      <c r="BWN2490" s="60"/>
      <c r="BWO2490" s="58"/>
      <c r="BWP2490" s="61"/>
      <c r="BWQ2490" s="58"/>
      <c r="BWR2490" s="58"/>
      <c r="BWS2490" s="58"/>
      <c r="BWT2490" s="60"/>
      <c r="BWU2490" s="60"/>
      <c r="BWV2490" s="60"/>
      <c r="BWW2490" s="58"/>
      <c r="BWX2490" s="61"/>
      <c r="BWY2490" s="58"/>
      <c r="BWZ2490" s="58"/>
      <c r="BXA2490" s="58"/>
      <c r="BXB2490" s="60"/>
      <c r="BXC2490" s="60"/>
      <c r="BXD2490" s="60"/>
      <c r="BXE2490" s="58"/>
      <c r="BXF2490" s="61"/>
      <c r="BXG2490" s="58"/>
      <c r="BXH2490" s="58"/>
      <c r="BXI2490" s="58"/>
      <c r="BXJ2490" s="60"/>
      <c r="BXK2490" s="60"/>
      <c r="BXL2490" s="60"/>
      <c r="BXM2490" s="58"/>
      <c r="BXN2490" s="61"/>
      <c r="BXO2490" s="58"/>
      <c r="BXP2490" s="58"/>
      <c r="BXQ2490" s="58"/>
      <c r="BXR2490" s="60"/>
      <c r="BXS2490" s="60"/>
      <c r="BXT2490" s="60"/>
      <c r="BXU2490" s="58"/>
      <c r="BXV2490" s="61"/>
      <c r="BXW2490" s="58"/>
      <c r="BXX2490" s="58"/>
      <c r="BXY2490" s="58"/>
      <c r="BXZ2490" s="60"/>
      <c r="BYA2490" s="60"/>
      <c r="BYB2490" s="60"/>
      <c r="BYC2490" s="58"/>
      <c r="BYD2490" s="61"/>
      <c r="BYE2490" s="58"/>
      <c r="BYF2490" s="58"/>
      <c r="BYG2490" s="58"/>
      <c r="BYH2490" s="60"/>
      <c r="BYI2490" s="60"/>
      <c r="BYJ2490" s="60"/>
      <c r="BYK2490" s="58"/>
      <c r="BYL2490" s="61"/>
      <c r="BYM2490" s="58"/>
      <c r="BYN2490" s="58"/>
      <c r="BYO2490" s="58"/>
      <c r="BYP2490" s="60"/>
      <c r="BYQ2490" s="60"/>
      <c r="BYR2490" s="60"/>
      <c r="BYS2490" s="58"/>
      <c r="BYT2490" s="61"/>
      <c r="BYU2490" s="58"/>
      <c r="BYV2490" s="58"/>
      <c r="BYW2490" s="58"/>
      <c r="BYX2490" s="60"/>
      <c r="BYY2490" s="60"/>
      <c r="BYZ2490" s="60"/>
      <c r="BZA2490" s="58"/>
      <c r="BZB2490" s="61"/>
      <c r="BZC2490" s="58"/>
      <c r="BZD2490" s="58"/>
      <c r="BZE2490" s="58"/>
      <c r="BZF2490" s="60"/>
      <c r="BZG2490" s="60"/>
      <c r="BZH2490" s="60"/>
      <c r="BZI2490" s="58"/>
      <c r="BZJ2490" s="61"/>
      <c r="BZK2490" s="58"/>
      <c r="BZL2490" s="58"/>
      <c r="BZM2490" s="58"/>
      <c r="BZN2490" s="60"/>
      <c r="BZO2490" s="60"/>
      <c r="BZP2490" s="60"/>
      <c r="BZQ2490" s="58"/>
      <c r="BZR2490" s="61"/>
      <c r="BZS2490" s="58"/>
      <c r="BZT2490" s="58"/>
      <c r="BZU2490" s="58"/>
      <c r="BZV2490" s="60"/>
      <c r="BZW2490" s="60"/>
      <c r="BZX2490" s="60"/>
      <c r="BZY2490" s="58"/>
      <c r="BZZ2490" s="61"/>
      <c r="CAA2490" s="58"/>
      <c r="CAB2490" s="58"/>
      <c r="CAC2490" s="58"/>
      <c r="CAD2490" s="60"/>
      <c r="CAE2490" s="60"/>
      <c r="CAF2490" s="60"/>
      <c r="CAG2490" s="58"/>
      <c r="CAH2490" s="61"/>
      <c r="CAI2490" s="58"/>
      <c r="CAJ2490" s="58"/>
      <c r="CAK2490" s="58"/>
      <c r="CAL2490" s="60"/>
      <c r="CAM2490" s="60"/>
      <c r="CAN2490" s="60"/>
      <c r="CAO2490" s="58"/>
      <c r="CAP2490" s="61"/>
      <c r="CAQ2490" s="58"/>
      <c r="CAR2490" s="58"/>
      <c r="CAS2490" s="58"/>
      <c r="CAT2490" s="60"/>
      <c r="CAU2490" s="60"/>
      <c r="CAV2490" s="60"/>
      <c r="CAW2490" s="58"/>
      <c r="CAX2490" s="61"/>
      <c r="CAY2490" s="58"/>
      <c r="CAZ2490" s="58"/>
      <c r="CBA2490" s="58"/>
      <c r="CBB2490" s="60"/>
      <c r="CBC2490" s="60"/>
      <c r="CBD2490" s="60"/>
      <c r="CBE2490" s="58"/>
      <c r="CBF2490" s="61"/>
      <c r="CBG2490" s="58"/>
      <c r="CBH2490" s="58"/>
      <c r="CBI2490" s="58"/>
      <c r="CBJ2490" s="60"/>
      <c r="CBK2490" s="60"/>
      <c r="CBL2490" s="60"/>
      <c r="CBM2490" s="58"/>
      <c r="CBN2490" s="61"/>
      <c r="CBO2490" s="58"/>
      <c r="CBP2490" s="58"/>
      <c r="CBQ2490" s="58"/>
      <c r="CBR2490" s="60"/>
      <c r="CBS2490" s="60"/>
      <c r="CBT2490" s="60"/>
      <c r="CBU2490" s="58"/>
      <c r="CBV2490" s="61"/>
      <c r="CBW2490" s="58"/>
      <c r="CBX2490" s="58"/>
      <c r="CBY2490" s="58"/>
      <c r="CBZ2490" s="60"/>
      <c r="CCA2490" s="60"/>
      <c r="CCB2490" s="60"/>
      <c r="CCC2490" s="58"/>
      <c r="CCD2490" s="61"/>
      <c r="CCE2490" s="58"/>
      <c r="CCF2490" s="58"/>
      <c r="CCG2490" s="58"/>
      <c r="CCH2490" s="60"/>
      <c r="CCI2490" s="60"/>
      <c r="CCJ2490" s="60"/>
      <c r="CCK2490" s="58"/>
      <c r="CCL2490" s="61"/>
      <c r="CCM2490" s="58"/>
      <c r="CCN2490" s="58"/>
      <c r="CCO2490" s="58"/>
      <c r="CCP2490" s="60"/>
      <c r="CCQ2490" s="60"/>
      <c r="CCR2490" s="60"/>
      <c r="CCS2490" s="58"/>
      <c r="CCT2490" s="61"/>
      <c r="CCU2490" s="58"/>
      <c r="CCV2490" s="58"/>
      <c r="CCW2490" s="58"/>
      <c r="CCX2490" s="60"/>
      <c r="CCY2490" s="60"/>
      <c r="CCZ2490" s="60"/>
      <c r="CDA2490" s="58"/>
      <c r="CDB2490" s="61"/>
      <c r="CDC2490" s="58"/>
      <c r="CDD2490" s="58"/>
      <c r="CDE2490" s="58"/>
      <c r="CDF2490" s="60"/>
      <c r="CDG2490" s="60"/>
      <c r="CDH2490" s="60"/>
      <c r="CDI2490" s="58"/>
      <c r="CDJ2490" s="61"/>
      <c r="CDK2490" s="58"/>
      <c r="CDL2490" s="58"/>
      <c r="CDM2490" s="58"/>
      <c r="CDN2490" s="60"/>
      <c r="CDO2490" s="60"/>
      <c r="CDP2490" s="60"/>
      <c r="CDQ2490" s="58"/>
      <c r="CDR2490" s="61"/>
      <c r="CDS2490" s="58"/>
      <c r="CDT2490" s="58"/>
      <c r="CDU2490" s="58"/>
      <c r="CDV2490" s="60"/>
      <c r="CDW2490" s="60"/>
      <c r="CDX2490" s="60"/>
      <c r="CDY2490" s="58"/>
      <c r="CDZ2490" s="61"/>
      <c r="CEA2490" s="58"/>
      <c r="CEB2490" s="58"/>
      <c r="CEC2490" s="58"/>
      <c r="CED2490" s="60"/>
      <c r="CEE2490" s="60"/>
      <c r="CEF2490" s="60"/>
      <c r="CEG2490" s="58"/>
      <c r="CEH2490" s="61"/>
      <c r="CEI2490" s="58"/>
      <c r="CEJ2490" s="58"/>
      <c r="CEK2490" s="58"/>
      <c r="CEL2490" s="60"/>
      <c r="CEM2490" s="60"/>
      <c r="CEN2490" s="60"/>
      <c r="CEO2490" s="58"/>
      <c r="CEP2490" s="61"/>
      <c r="CEQ2490" s="58"/>
      <c r="CER2490" s="58"/>
      <c r="CES2490" s="58"/>
      <c r="CET2490" s="60"/>
      <c r="CEU2490" s="60"/>
      <c r="CEV2490" s="60"/>
      <c r="CEW2490" s="58"/>
      <c r="CEX2490" s="61"/>
      <c r="CEY2490" s="58"/>
      <c r="CEZ2490" s="58"/>
      <c r="CFA2490" s="58"/>
      <c r="CFB2490" s="60"/>
      <c r="CFC2490" s="60"/>
      <c r="CFD2490" s="60"/>
      <c r="CFE2490" s="58"/>
      <c r="CFF2490" s="61"/>
      <c r="CFG2490" s="58"/>
      <c r="CFH2490" s="58"/>
      <c r="CFI2490" s="58"/>
      <c r="CFJ2490" s="60"/>
      <c r="CFK2490" s="60"/>
      <c r="CFL2490" s="60"/>
      <c r="CFM2490" s="58"/>
      <c r="CFN2490" s="61"/>
      <c r="CFO2490" s="58"/>
      <c r="CFP2490" s="58"/>
      <c r="CFQ2490" s="58"/>
      <c r="CFR2490" s="60"/>
      <c r="CFS2490" s="60"/>
      <c r="CFT2490" s="60"/>
      <c r="CFU2490" s="58"/>
      <c r="CFV2490" s="61"/>
      <c r="CFW2490" s="58"/>
      <c r="CFX2490" s="58"/>
      <c r="CFY2490" s="58"/>
      <c r="CFZ2490" s="60"/>
      <c r="CGA2490" s="60"/>
      <c r="CGB2490" s="60"/>
      <c r="CGC2490" s="58"/>
      <c r="CGD2490" s="61"/>
      <c r="CGE2490" s="58"/>
      <c r="CGF2490" s="58"/>
      <c r="CGG2490" s="58"/>
      <c r="CGH2490" s="60"/>
      <c r="CGI2490" s="60"/>
      <c r="CGJ2490" s="60"/>
      <c r="CGK2490" s="58"/>
      <c r="CGL2490" s="61"/>
      <c r="CGM2490" s="58"/>
      <c r="CGN2490" s="58"/>
      <c r="CGO2490" s="58"/>
      <c r="CGP2490" s="60"/>
      <c r="CGQ2490" s="60"/>
      <c r="CGR2490" s="60"/>
      <c r="CGS2490" s="58"/>
      <c r="CGT2490" s="61"/>
      <c r="CGU2490" s="58"/>
      <c r="CGV2490" s="58"/>
      <c r="CGW2490" s="58"/>
      <c r="CGX2490" s="60"/>
      <c r="CGY2490" s="60"/>
      <c r="CGZ2490" s="60"/>
      <c r="CHA2490" s="58"/>
      <c r="CHB2490" s="61"/>
      <c r="CHC2490" s="58"/>
      <c r="CHD2490" s="58"/>
      <c r="CHE2490" s="58"/>
      <c r="CHF2490" s="60"/>
      <c r="CHG2490" s="60"/>
      <c r="CHH2490" s="60"/>
      <c r="CHI2490" s="58"/>
      <c r="CHJ2490" s="61"/>
      <c r="CHK2490" s="58"/>
      <c r="CHL2490" s="58"/>
      <c r="CHM2490" s="58"/>
      <c r="CHN2490" s="60"/>
      <c r="CHO2490" s="60"/>
      <c r="CHP2490" s="60"/>
      <c r="CHQ2490" s="58"/>
      <c r="CHR2490" s="61"/>
      <c r="CHS2490" s="58"/>
      <c r="CHT2490" s="58"/>
      <c r="CHU2490" s="58"/>
      <c r="CHV2490" s="60"/>
      <c r="CHW2490" s="60"/>
      <c r="CHX2490" s="60"/>
      <c r="CHY2490" s="58"/>
      <c r="CHZ2490" s="61"/>
      <c r="CIA2490" s="58"/>
      <c r="CIB2490" s="58"/>
      <c r="CIC2490" s="58"/>
      <c r="CID2490" s="60"/>
      <c r="CIE2490" s="60"/>
      <c r="CIF2490" s="60"/>
      <c r="CIG2490" s="58"/>
      <c r="CIH2490" s="61"/>
      <c r="CII2490" s="58"/>
      <c r="CIJ2490" s="58"/>
      <c r="CIK2490" s="58"/>
      <c r="CIL2490" s="60"/>
      <c r="CIM2490" s="60"/>
      <c r="CIN2490" s="60"/>
      <c r="CIO2490" s="58"/>
      <c r="CIP2490" s="61"/>
      <c r="CIQ2490" s="58"/>
      <c r="CIR2490" s="58"/>
      <c r="CIS2490" s="58"/>
      <c r="CIT2490" s="60"/>
      <c r="CIU2490" s="60"/>
      <c r="CIV2490" s="60"/>
      <c r="CIW2490" s="58"/>
      <c r="CIX2490" s="61"/>
      <c r="CIY2490" s="58"/>
      <c r="CIZ2490" s="58"/>
      <c r="CJA2490" s="58"/>
      <c r="CJB2490" s="60"/>
      <c r="CJC2490" s="60"/>
      <c r="CJD2490" s="60"/>
      <c r="CJE2490" s="58"/>
      <c r="CJF2490" s="61"/>
      <c r="CJG2490" s="58"/>
      <c r="CJH2490" s="58"/>
      <c r="CJI2490" s="58"/>
      <c r="CJJ2490" s="60"/>
      <c r="CJK2490" s="60"/>
      <c r="CJL2490" s="60"/>
      <c r="CJM2490" s="58"/>
      <c r="CJN2490" s="61"/>
      <c r="CJO2490" s="58"/>
      <c r="CJP2490" s="58"/>
      <c r="CJQ2490" s="58"/>
      <c r="CJR2490" s="60"/>
      <c r="CJS2490" s="60"/>
      <c r="CJT2490" s="60"/>
      <c r="CJU2490" s="58"/>
      <c r="CJV2490" s="61"/>
      <c r="CJW2490" s="58"/>
      <c r="CJX2490" s="58"/>
      <c r="CJY2490" s="58"/>
      <c r="CJZ2490" s="60"/>
      <c r="CKA2490" s="60"/>
      <c r="CKB2490" s="60"/>
      <c r="CKC2490" s="58"/>
      <c r="CKD2490" s="61"/>
      <c r="CKE2490" s="58"/>
      <c r="CKF2490" s="58"/>
      <c r="CKG2490" s="58"/>
      <c r="CKH2490" s="60"/>
      <c r="CKI2490" s="60"/>
      <c r="CKJ2490" s="60"/>
      <c r="CKK2490" s="58"/>
      <c r="CKL2490" s="61"/>
      <c r="CKM2490" s="58"/>
      <c r="CKN2490" s="58"/>
      <c r="CKO2490" s="58"/>
      <c r="CKP2490" s="60"/>
      <c r="CKQ2490" s="60"/>
      <c r="CKR2490" s="60"/>
      <c r="CKS2490" s="58"/>
      <c r="CKT2490" s="61"/>
      <c r="CKU2490" s="58"/>
      <c r="CKV2490" s="58"/>
      <c r="CKW2490" s="58"/>
      <c r="CKX2490" s="60"/>
      <c r="CKY2490" s="60"/>
      <c r="CKZ2490" s="60"/>
      <c r="CLA2490" s="58"/>
      <c r="CLB2490" s="61"/>
      <c r="CLC2490" s="58"/>
      <c r="CLD2490" s="58"/>
      <c r="CLE2490" s="58"/>
      <c r="CLF2490" s="60"/>
      <c r="CLG2490" s="60"/>
      <c r="CLH2490" s="60"/>
      <c r="CLI2490" s="58"/>
      <c r="CLJ2490" s="61"/>
      <c r="CLK2490" s="58"/>
      <c r="CLL2490" s="58"/>
      <c r="CLM2490" s="58"/>
      <c r="CLN2490" s="60"/>
      <c r="CLO2490" s="60"/>
      <c r="CLP2490" s="60"/>
      <c r="CLQ2490" s="58"/>
      <c r="CLR2490" s="61"/>
      <c r="CLS2490" s="58"/>
      <c r="CLT2490" s="58"/>
      <c r="CLU2490" s="58"/>
      <c r="CLV2490" s="60"/>
      <c r="CLW2490" s="60"/>
      <c r="CLX2490" s="60"/>
      <c r="CLY2490" s="58"/>
      <c r="CLZ2490" s="61"/>
      <c r="CMA2490" s="58"/>
      <c r="CMB2490" s="58"/>
      <c r="CMC2490" s="58"/>
      <c r="CMD2490" s="60"/>
      <c r="CME2490" s="60"/>
      <c r="CMF2490" s="60"/>
      <c r="CMG2490" s="58"/>
      <c r="CMH2490" s="61"/>
      <c r="CMI2490" s="58"/>
      <c r="CMJ2490" s="58"/>
      <c r="CMK2490" s="58"/>
      <c r="CML2490" s="60"/>
      <c r="CMM2490" s="60"/>
      <c r="CMN2490" s="60"/>
      <c r="CMO2490" s="58"/>
      <c r="CMP2490" s="61"/>
      <c r="CMQ2490" s="58"/>
      <c r="CMR2490" s="58"/>
      <c r="CMS2490" s="58"/>
      <c r="CMT2490" s="60"/>
      <c r="CMU2490" s="60"/>
      <c r="CMV2490" s="60"/>
      <c r="CMW2490" s="58"/>
      <c r="CMX2490" s="61"/>
      <c r="CMY2490" s="58"/>
      <c r="CMZ2490" s="58"/>
      <c r="CNA2490" s="58"/>
      <c r="CNB2490" s="60"/>
      <c r="CNC2490" s="60"/>
      <c r="CND2490" s="60"/>
      <c r="CNE2490" s="58"/>
      <c r="CNF2490" s="61"/>
      <c r="CNG2490" s="58"/>
      <c r="CNH2490" s="58"/>
      <c r="CNI2490" s="58"/>
      <c r="CNJ2490" s="60"/>
      <c r="CNK2490" s="60"/>
      <c r="CNL2490" s="60"/>
      <c r="CNM2490" s="58"/>
      <c r="CNN2490" s="61"/>
      <c r="CNO2490" s="58"/>
      <c r="CNP2490" s="58"/>
      <c r="CNQ2490" s="58"/>
      <c r="CNR2490" s="60"/>
      <c r="CNS2490" s="60"/>
      <c r="CNT2490" s="60"/>
      <c r="CNU2490" s="58"/>
      <c r="CNV2490" s="61"/>
      <c r="CNW2490" s="58"/>
      <c r="CNX2490" s="58"/>
      <c r="CNY2490" s="58"/>
      <c r="CNZ2490" s="60"/>
      <c r="COA2490" s="60"/>
      <c r="COB2490" s="60"/>
      <c r="COC2490" s="58"/>
      <c r="COD2490" s="61"/>
      <c r="COE2490" s="58"/>
      <c r="COF2490" s="58"/>
      <c r="COG2490" s="58"/>
      <c r="COH2490" s="60"/>
      <c r="COI2490" s="60"/>
      <c r="COJ2490" s="60"/>
      <c r="COK2490" s="58"/>
      <c r="COL2490" s="61"/>
      <c r="COM2490" s="58"/>
      <c r="CON2490" s="58"/>
      <c r="COO2490" s="58"/>
      <c r="COP2490" s="60"/>
      <c r="COQ2490" s="60"/>
      <c r="COR2490" s="60"/>
      <c r="COS2490" s="58"/>
      <c r="COT2490" s="61"/>
      <c r="COU2490" s="58"/>
      <c r="COV2490" s="58"/>
      <c r="COW2490" s="58"/>
      <c r="COX2490" s="60"/>
      <c r="COY2490" s="60"/>
      <c r="COZ2490" s="60"/>
      <c r="CPA2490" s="58"/>
      <c r="CPB2490" s="61"/>
      <c r="CPC2490" s="58"/>
      <c r="CPD2490" s="58"/>
      <c r="CPE2490" s="58"/>
      <c r="CPF2490" s="60"/>
      <c r="CPG2490" s="60"/>
      <c r="CPH2490" s="60"/>
      <c r="CPI2490" s="58"/>
      <c r="CPJ2490" s="61"/>
      <c r="CPK2490" s="58"/>
      <c r="CPL2490" s="58"/>
      <c r="CPM2490" s="58"/>
      <c r="CPN2490" s="60"/>
      <c r="CPO2490" s="60"/>
      <c r="CPP2490" s="60"/>
      <c r="CPQ2490" s="58"/>
      <c r="CPR2490" s="61"/>
      <c r="CPS2490" s="58"/>
      <c r="CPT2490" s="58"/>
      <c r="CPU2490" s="58"/>
      <c r="CPV2490" s="60"/>
      <c r="CPW2490" s="60"/>
      <c r="CPX2490" s="60"/>
      <c r="CPY2490" s="58"/>
      <c r="CPZ2490" s="61"/>
      <c r="CQA2490" s="58"/>
      <c r="CQB2490" s="58"/>
      <c r="CQC2490" s="58"/>
      <c r="CQD2490" s="60"/>
      <c r="CQE2490" s="60"/>
      <c r="CQF2490" s="60"/>
      <c r="CQG2490" s="58"/>
      <c r="CQH2490" s="61"/>
      <c r="CQI2490" s="58"/>
      <c r="CQJ2490" s="58"/>
      <c r="CQK2490" s="58"/>
      <c r="CQL2490" s="60"/>
      <c r="CQM2490" s="60"/>
      <c r="CQN2490" s="60"/>
      <c r="CQO2490" s="58"/>
      <c r="CQP2490" s="61"/>
      <c r="CQQ2490" s="58"/>
      <c r="CQR2490" s="58"/>
      <c r="CQS2490" s="58"/>
      <c r="CQT2490" s="60"/>
      <c r="CQU2490" s="60"/>
      <c r="CQV2490" s="60"/>
      <c r="CQW2490" s="58"/>
      <c r="CQX2490" s="61"/>
      <c r="CQY2490" s="58"/>
      <c r="CQZ2490" s="58"/>
      <c r="CRA2490" s="58"/>
      <c r="CRB2490" s="60"/>
      <c r="CRC2490" s="60"/>
      <c r="CRD2490" s="60"/>
      <c r="CRE2490" s="58"/>
      <c r="CRF2490" s="61"/>
      <c r="CRG2490" s="58"/>
      <c r="CRH2490" s="58"/>
      <c r="CRI2490" s="58"/>
      <c r="CRJ2490" s="60"/>
      <c r="CRK2490" s="60"/>
      <c r="CRL2490" s="60"/>
      <c r="CRM2490" s="58"/>
      <c r="CRN2490" s="61"/>
      <c r="CRO2490" s="58"/>
      <c r="CRP2490" s="58"/>
      <c r="CRQ2490" s="58"/>
      <c r="CRR2490" s="60"/>
      <c r="CRS2490" s="60"/>
      <c r="CRT2490" s="60"/>
      <c r="CRU2490" s="58"/>
      <c r="CRV2490" s="61"/>
      <c r="CRW2490" s="58"/>
      <c r="CRX2490" s="58"/>
      <c r="CRY2490" s="58"/>
      <c r="CRZ2490" s="60"/>
      <c r="CSA2490" s="60"/>
      <c r="CSB2490" s="60"/>
      <c r="CSC2490" s="58"/>
      <c r="CSD2490" s="61"/>
      <c r="CSE2490" s="58"/>
      <c r="CSF2490" s="58"/>
      <c r="CSG2490" s="58"/>
      <c r="CSH2490" s="60"/>
      <c r="CSI2490" s="60"/>
      <c r="CSJ2490" s="60"/>
      <c r="CSK2490" s="58"/>
      <c r="CSL2490" s="61"/>
      <c r="CSM2490" s="58"/>
      <c r="CSN2490" s="58"/>
      <c r="CSO2490" s="58"/>
      <c r="CSP2490" s="60"/>
      <c r="CSQ2490" s="60"/>
      <c r="CSR2490" s="60"/>
      <c r="CSS2490" s="58"/>
      <c r="CST2490" s="61"/>
      <c r="CSU2490" s="58"/>
      <c r="CSV2490" s="58"/>
      <c r="CSW2490" s="58"/>
      <c r="CSX2490" s="60"/>
      <c r="CSY2490" s="60"/>
      <c r="CSZ2490" s="60"/>
      <c r="CTA2490" s="58"/>
      <c r="CTB2490" s="61"/>
      <c r="CTC2490" s="58"/>
      <c r="CTD2490" s="58"/>
      <c r="CTE2490" s="58"/>
      <c r="CTF2490" s="60"/>
      <c r="CTG2490" s="60"/>
      <c r="CTH2490" s="60"/>
      <c r="CTI2490" s="58"/>
      <c r="CTJ2490" s="61"/>
      <c r="CTK2490" s="58"/>
      <c r="CTL2490" s="58"/>
      <c r="CTM2490" s="58"/>
      <c r="CTN2490" s="60"/>
      <c r="CTO2490" s="60"/>
      <c r="CTP2490" s="60"/>
      <c r="CTQ2490" s="58"/>
      <c r="CTR2490" s="61"/>
      <c r="CTS2490" s="58"/>
      <c r="CTT2490" s="58"/>
      <c r="CTU2490" s="58"/>
      <c r="CTV2490" s="60"/>
      <c r="CTW2490" s="60"/>
      <c r="CTX2490" s="60"/>
      <c r="CTY2490" s="58"/>
      <c r="CTZ2490" s="61"/>
      <c r="CUA2490" s="58"/>
      <c r="CUB2490" s="58"/>
      <c r="CUC2490" s="58"/>
      <c r="CUD2490" s="60"/>
      <c r="CUE2490" s="60"/>
      <c r="CUF2490" s="60"/>
      <c r="CUG2490" s="58"/>
      <c r="CUH2490" s="61"/>
      <c r="CUI2490" s="58"/>
      <c r="CUJ2490" s="58"/>
      <c r="CUK2490" s="58"/>
      <c r="CUL2490" s="60"/>
      <c r="CUM2490" s="60"/>
      <c r="CUN2490" s="60"/>
      <c r="CUO2490" s="58"/>
      <c r="CUP2490" s="61"/>
      <c r="CUQ2490" s="58"/>
      <c r="CUR2490" s="58"/>
      <c r="CUS2490" s="58"/>
      <c r="CUT2490" s="60"/>
      <c r="CUU2490" s="60"/>
      <c r="CUV2490" s="60"/>
      <c r="CUW2490" s="58"/>
      <c r="CUX2490" s="61"/>
      <c r="CUY2490" s="58"/>
      <c r="CUZ2490" s="58"/>
      <c r="CVA2490" s="58"/>
      <c r="CVB2490" s="60"/>
      <c r="CVC2490" s="60"/>
      <c r="CVD2490" s="60"/>
      <c r="CVE2490" s="58"/>
      <c r="CVF2490" s="61"/>
      <c r="CVG2490" s="58"/>
      <c r="CVH2490" s="58"/>
      <c r="CVI2490" s="58"/>
      <c r="CVJ2490" s="60"/>
      <c r="CVK2490" s="60"/>
      <c r="CVL2490" s="60"/>
      <c r="CVM2490" s="58"/>
      <c r="CVN2490" s="61"/>
      <c r="CVO2490" s="58"/>
      <c r="CVP2490" s="58"/>
      <c r="CVQ2490" s="58"/>
      <c r="CVR2490" s="60"/>
      <c r="CVS2490" s="60"/>
      <c r="CVT2490" s="60"/>
      <c r="CVU2490" s="58"/>
      <c r="CVV2490" s="61"/>
      <c r="CVW2490" s="58"/>
      <c r="CVX2490" s="58"/>
      <c r="CVY2490" s="58"/>
      <c r="CVZ2490" s="60"/>
      <c r="CWA2490" s="60"/>
      <c r="CWB2490" s="60"/>
      <c r="CWC2490" s="58"/>
      <c r="CWD2490" s="61"/>
      <c r="CWE2490" s="58"/>
      <c r="CWF2490" s="58"/>
      <c r="CWG2490" s="58"/>
      <c r="CWH2490" s="60"/>
      <c r="CWI2490" s="60"/>
      <c r="CWJ2490" s="60"/>
      <c r="CWK2490" s="58"/>
      <c r="CWL2490" s="61"/>
      <c r="CWM2490" s="58"/>
      <c r="CWN2490" s="58"/>
      <c r="CWO2490" s="58"/>
      <c r="CWP2490" s="60"/>
      <c r="CWQ2490" s="60"/>
      <c r="CWR2490" s="60"/>
      <c r="CWS2490" s="58"/>
      <c r="CWT2490" s="61"/>
      <c r="CWU2490" s="58"/>
      <c r="CWV2490" s="58"/>
      <c r="CWW2490" s="58"/>
      <c r="CWX2490" s="60"/>
      <c r="CWY2490" s="60"/>
      <c r="CWZ2490" s="60"/>
      <c r="CXA2490" s="58"/>
      <c r="CXB2490" s="61"/>
      <c r="CXC2490" s="58"/>
      <c r="CXD2490" s="58"/>
      <c r="CXE2490" s="58"/>
      <c r="CXF2490" s="60"/>
      <c r="CXG2490" s="60"/>
      <c r="CXH2490" s="60"/>
      <c r="CXI2490" s="58"/>
      <c r="CXJ2490" s="61"/>
      <c r="CXK2490" s="58"/>
      <c r="CXL2490" s="58"/>
      <c r="CXM2490" s="58"/>
      <c r="CXN2490" s="60"/>
      <c r="CXO2490" s="60"/>
      <c r="CXP2490" s="60"/>
      <c r="CXQ2490" s="58"/>
      <c r="CXR2490" s="61"/>
      <c r="CXS2490" s="58"/>
      <c r="CXT2490" s="58"/>
      <c r="CXU2490" s="58"/>
      <c r="CXV2490" s="60"/>
      <c r="CXW2490" s="60"/>
      <c r="CXX2490" s="60"/>
      <c r="CXY2490" s="58"/>
      <c r="CXZ2490" s="61"/>
      <c r="CYA2490" s="58"/>
      <c r="CYB2490" s="58"/>
      <c r="CYC2490" s="58"/>
      <c r="CYD2490" s="60"/>
      <c r="CYE2490" s="60"/>
      <c r="CYF2490" s="60"/>
      <c r="CYG2490" s="58"/>
      <c r="CYH2490" s="61"/>
      <c r="CYI2490" s="58"/>
      <c r="CYJ2490" s="58"/>
      <c r="CYK2490" s="58"/>
      <c r="CYL2490" s="60"/>
      <c r="CYM2490" s="60"/>
      <c r="CYN2490" s="60"/>
      <c r="CYO2490" s="58"/>
      <c r="CYP2490" s="61"/>
      <c r="CYQ2490" s="58"/>
      <c r="CYR2490" s="58"/>
      <c r="CYS2490" s="58"/>
      <c r="CYT2490" s="60"/>
      <c r="CYU2490" s="60"/>
      <c r="CYV2490" s="60"/>
      <c r="CYW2490" s="58"/>
      <c r="CYX2490" s="61"/>
      <c r="CYY2490" s="58"/>
      <c r="CYZ2490" s="58"/>
      <c r="CZA2490" s="58"/>
      <c r="CZB2490" s="60"/>
      <c r="CZC2490" s="60"/>
      <c r="CZD2490" s="60"/>
      <c r="CZE2490" s="58"/>
      <c r="CZF2490" s="61"/>
      <c r="CZG2490" s="58"/>
      <c r="CZH2490" s="58"/>
      <c r="CZI2490" s="58"/>
      <c r="CZJ2490" s="60"/>
      <c r="CZK2490" s="60"/>
      <c r="CZL2490" s="60"/>
      <c r="CZM2490" s="58"/>
      <c r="CZN2490" s="61"/>
      <c r="CZO2490" s="58"/>
      <c r="CZP2490" s="58"/>
      <c r="CZQ2490" s="58"/>
      <c r="CZR2490" s="60"/>
      <c r="CZS2490" s="60"/>
      <c r="CZT2490" s="60"/>
      <c r="CZU2490" s="58"/>
      <c r="CZV2490" s="61"/>
      <c r="CZW2490" s="58"/>
      <c r="CZX2490" s="58"/>
      <c r="CZY2490" s="58"/>
      <c r="CZZ2490" s="60"/>
      <c r="DAA2490" s="60"/>
      <c r="DAB2490" s="60"/>
      <c r="DAC2490" s="58"/>
      <c r="DAD2490" s="61"/>
      <c r="DAE2490" s="58"/>
      <c r="DAF2490" s="58"/>
      <c r="DAG2490" s="58"/>
      <c r="DAH2490" s="60"/>
      <c r="DAI2490" s="60"/>
      <c r="DAJ2490" s="60"/>
      <c r="DAK2490" s="58"/>
      <c r="DAL2490" s="61"/>
      <c r="DAM2490" s="58"/>
      <c r="DAN2490" s="58"/>
      <c r="DAO2490" s="58"/>
      <c r="DAP2490" s="60"/>
      <c r="DAQ2490" s="60"/>
      <c r="DAR2490" s="60"/>
      <c r="DAS2490" s="58"/>
      <c r="DAT2490" s="61"/>
      <c r="DAU2490" s="58"/>
      <c r="DAV2490" s="58"/>
      <c r="DAW2490" s="58"/>
      <c r="DAX2490" s="60"/>
      <c r="DAY2490" s="60"/>
      <c r="DAZ2490" s="60"/>
      <c r="DBA2490" s="58"/>
      <c r="DBB2490" s="61"/>
      <c r="DBC2490" s="58"/>
      <c r="DBD2490" s="58"/>
      <c r="DBE2490" s="58"/>
      <c r="DBF2490" s="60"/>
      <c r="DBG2490" s="60"/>
      <c r="DBH2490" s="60"/>
      <c r="DBI2490" s="58"/>
      <c r="DBJ2490" s="61"/>
      <c r="DBK2490" s="58"/>
      <c r="DBL2490" s="58"/>
      <c r="DBM2490" s="58"/>
      <c r="DBN2490" s="60"/>
      <c r="DBO2490" s="60"/>
      <c r="DBP2490" s="60"/>
      <c r="DBQ2490" s="58"/>
      <c r="DBR2490" s="61"/>
      <c r="DBS2490" s="58"/>
      <c r="DBT2490" s="58"/>
      <c r="DBU2490" s="58"/>
      <c r="DBV2490" s="60"/>
      <c r="DBW2490" s="60"/>
      <c r="DBX2490" s="60"/>
      <c r="DBY2490" s="58"/>
      <c r="DBZ2490" s="61"/>
      <c r="DCA2490" s="58"/>
      <c r="DCB2490" s="58"/>
      <c r="DCC2490" s="58"/>
      <c r="DCD2490" s="60"/>
      <c r="DCE2490" s="60"/>
      <c r="DCF2490" s="60"/>
      <c r="DCG2490" s="58"/>
      <c r="DCH2490" s="61"/>
      <c r="DCI2490" s="58"/>
      <c r="DCJ2490" s="58"/>
      <c r="DCK2490" s="58"/>
      <c r="DCL2490" s="60"/>
      <c r="DCM2490" s="60"/>
      <c r="DCN2490" s="60"/>
      <c r="DCO2490" s="58"/>
      <c r="DCP2490" s="61"/>
      <c r="DCQ2490" s="58"/>
      <c r="DCR2490" s="58"/>
      <c r="DCS2490" s="58"/>
      <c r="DCT2490" s="60"/>
      <c r="DCU2490" s="60"/>
      <c r="DCV2490" s="60"/>
      <c r="DCW2490" s="58"/>
      <c r="DCX2490" s="61"/>
      <c r="DCY2490" s="58"/>
      <c r="DCZ2490" s="58"/>
      <c r="DDA2490" s="58"/>
      <c r="DDB2490" s="60"/>
      <c r="DDC2490" s="60"/>
      <c r="DDD2490" s="60"/>
      <c r="DDE2490" s="58"/>
      <c r="DDF2490" s="61"/>
      <c r="DDG2490" s="58"/>
      <c r="DDH2490" s="58"/>
      <c r="DDI2490" s="58"/>
      <c r="DDJ2490" s="60"/>
      <c r="DDK2490" s="60"/>
      <c r="DDL2490" s="60"/>
      <c r="DDM2490" s="58"/>
      <c r="DDN2490" s="61"/>
      <c r="DDO2490" s="58"/>
      <c r="DDP2490" s="58"/>
      <c r="DDQ2490" s="58"/>
      <c r="DDR2490" s="60"/>
      <c r="DDS2490" s="60"/>
      <c r="DDT2490" s="60"/>
      <c r="DDU2490" s="58"/>
      <c r="DDV2490" s="61"/>
      <c r="DDW2490" s="58"/>
      <c r="DDX2490" s="58"/>
      <c r="DDY2490" s="58"/>
      <c r="DDZ2490" s="60"/>
      <c r="DEA2490" s="60"/>
      <c r="DEB2490" s="60"/>
      <c r="DEC2490" s="58"/>
      <c r="DED2490" s="61"/>
      <c r="DEE2490" s="58"/>
      <c r="DEF2490" s="58"/>
      <c r="DEG2490" s="58"/>
      <c r="DEH2490" s="60"/>
      <c r="DEI2490" s="60"/>
      <c r="DEJ2490" s="60"/>
      <c r="DEK2490" s="58"/>
      <c r="DEL2490" s="61"/>
      <c r="DEM2490" s="58"/>
      <c r="DEN2490" s="58"/>
      <c r="DEO2490" s="58"/>
      <c r="DEP2490" s="60"/>
      <c r="DEQ2490" s="60"/>
      <c r="DER2490" s="60"/>
      <c r="DES2490" s="58"/>
      <c r="DET2490" s="61"/>
      <c r="DEU2490" s="58"/>
      <c r="DEV2490" s="58"/>
      <c r="DEW2490" s="58"/>
      <c r="DEX2490" s="60"/>
      <c r="DEY2490" s="60"/>
      <c r="DEZ2490" s="60"/>
      <c r="DFA2490" s="58"/>
      <c r="DFB2490" s="61"/>
      <c r="DFC2490" s="58"/>
      <c r="DFD2490" s="58"/>
      <c r="DFE2490" s="58"/>
      <c r="DFF2490" s="60"/>
      <c r="DFG2490" s="60"/>
      <c r="DFH2490" s="60"/>
      <c r="DFI2490" s="58"/>
      <c r="DFJ2490" s="61"/>
      <c r="DFK2490" s="58"/>
      <c r="DFL2490" s="58"/>
      <c r="DFM2490" s="58"/>
      <c r="DFN2490" s="60"/>
      <c r="DFO2490" s="60"/>
      <c r="DFP2490" s="60"/>
      <c r="DFQ2490" s="58"/>
      <c r="DFR2490" s="61"/>
      <c r="DFS2490" s="58"/>
      <c r="DFT2490" s="58"/>
      <c r="DFU2490" s="58"/>
      <c r="DFV2490" s="60"/>
      <c r="DFW2490" s="60"/>
      <c r="DFX2490" s="60"/>
      <c r="DFY2490" s="58"/>
      <c r="DFZ2490" s="61"/>
      <c r="DGA2490" s="58"/>
      <c r="DGB2490" s="58"/>
      <c r="DGC2490" s="58"/>
      <c r="DGD2490" s="60"/>
      <c r="DGE2490" s="60"/>
      <c r="DGF2490" s="60"/>
      <c r="DGG2490" s="58"/>
      <c r="DGH2490" s="61"/>
      <c r="DGI2490" s="58"/>
      <c r="DGJ2490" s="58"/>
      <c r="DGK2490" s="58"/>
      <c r="DGL2490" s="60"/>
      <c r="DGM2490" s="60"/>
      <c r="DGN2490" s="60"/>
      <c r="DGO2490" s="58"/>
      <c r="DGP2490" s="61"/>
      <c r="DGQ2490" s="58"/>
      <c r="DGR2490" s="58"/>
      <c r="DGS2490" s="58"/>
      <c r="DGT2490" s="60"/>
      <c r="DGU2490" s="60"/>
      <c r="DGV2490" s="60"/>
      <c r="DGW2490" s="58"/>
      <c r="DGX2490" s="61"/>
      <c r="DGY2490" s="58"/>
      <c r="DGZ2490" s="58"/>
      <c r="DHA2490" s="58"/>
      <c r="DHB2490" s="60"/>
      <c r="DHC2490" s="60"/>
      <c r="DHD2490" s="60"/>
      <c r="DHE2490" s="58"/>
      <c r="DHF2490" s="61"/>
      <c r="DHG2490" s="58"/>
      <c r="DHH2490" s="58"/>
      <c r="DHI2490" s="58"/>
      <c r="DHJ2490" s="60"/>
      <c r="DHK2490" s="60"/>
      <c r="DHL2490" s="60"/>
      <c r="DHM2490" s="58"/>
      <c r="DHN2490" s="61"/>
      <c r="DHO2490" s="58"/>
      <c r="DHP2490" s="58"/>
      <c r="DHQ2490" s="58"/>
      <c r="DHR2490" s="60"/>
      <c r="DHS2490" s="60"/>
      <c r="DHT2490" s="60"/>
      <c r="DHU2490" s="58"/>
      <c r="DHV2490" s="61"/>
      <c r="DHW2490" s="58"/>
      <c r="DHX2490" s="58"/>
      <c r="DHY2490" s="58"/>
      <c r="DHZ2490" s="60"/>
      <c r="DIA2490" s="60"/>
      <c r="DIB2490" s="60"/>
      <c r="DIC2490" s="58"/>
      <c r="DID2490" s="61"/>
      <c r="DIE2490" s="58"/>
      <c r="DIF2490" s="58"/>
      <c r="DIG2490" s="58"/>
      <c r="DIH2490" s="60"/>
      <c r="DII2490" s="60"/>
      <c r="DIJ2490" s="60"/>
      <c r="DIK2490" s="58"/>
      <c r="DIL2490" s="61"/>
      <c r="DIM2490" s="58"/>
      <c r="DIN2490" s="58"/>
      <c r="DIO2490" s="58"/>
      <c r="DIP2490" s="60"/>
      <c r="DIQ2490" s="60"/>
      <c r="DIR2490" s="60"/>
      <c r="DIS2490" s="58"/>
      <c r="DIT2490" s="61"/>
      <c r="DIU2490" s="58"/>
      <c r="DIV2490" s="58"/>
      <c r="DIW2490" s="58"/>
      <c r="DIX2490" s="60"/>
      <c r="DIY2490" s="60"/>
      <c r="DIZ2490" s="60"/>
      <c r="DJA2490" s="58"/>
      <c r="DJB2490" s="61"/>
      <c r="DJC2490" s="58"/>
      <c r="DJD2490" s="58"/>
      <c r="DJE2490" s="58"/>
      <c r="DJF2490" s="60"/>
      <c r="DJG2490" s="60"/>
      <c r="DJH2490" s="60"/>
      <c r="DJI2490" s="58"/>
      <c r="DJJ2490" s="61"/>
      <c r="DJK2490" s="58"/>
      <c r="DJL2490" s="58"/>
      <c r="DJM2490" s="58"/>
      <c r="DJN2490" s="60"/>
      <c r="DJO2490" s="60"/>
      <c r="DJP2490" s="60"/>
      <c r="DJQ2490" s="58"/>
      <c r="DJR2490" s="61"/>
      <c r="DJS2490" s="58"/>
      <c r="DJT2490" s="58"/>
      <c r="DJU2490" s="58"/>
      <c r="DJV2490" s="60"/>
      <c r="DJW2490" s="60"/>
      <c r="DJX2490" s="60"/>
      <c r="DJY2490" s="58"/>
      <c r="DJZ2490" s="61"/>
      <c r="DKA2490" s="58"/>
      <c r="DKB2490" s="58"/>
      <c r="DKC2490" s="58"/>
      <c r="DKD2490" s="60"/>
      <c r="DKE2490" s="60"/>
      <c r="DKF2490" s="60"/>
      <c r="DKG2490" s="58"/>
      <c r="DKH2490" s="61"/>
      <c r="DKI2490" s="58"/>
      <c r="DKJ2490" s="58"/>
      <c r="DKK2490" s="58"/>
      <c r="DKL2490" s="60"/>
      <c r="DKM2490" s="60"/>
      <c r="DKN2490" s="60"/>
      <c r="DKO2490" s="58"/>
      <c r="DKP2490" s="61"/>
      <c r="DKQ2490" s="58"/>
      <c r="DKR2490" s="58"/>
      <c r="DKS2490" s="58"/>
      <c r="DKT2490" s="60"/>
      <c r="DKU2490" s="60"/>
      <c r="DKV2490" s="60"/>
      <c r="DKW2490" s="58"/>
      <c r="DKX2490" s="61"/>
      <c r="DKY2490" s="58"/>
      <c r="DKZ2490" s="58"/>
      <c r="DLA2490" s="58"/>
      <c r="DLB2490" s="60"/>
      <c r="DLC2490" s="60"/>
      <c r="DLD2490" s="60"/>
      <c r="DLE2490" s="58"/>
      <c r="DLF2490" s="61"/>
      <c r="DLG2490" s="58"/>
      <c r="DLH2490" s="58"/>
      <c r="DLI2490" s="58"/>
      <c r="DLJ2490" s="60"/>
      <c r="DLK2490" s="60"/>
      <c r="DLL2490" s="60"/>
      <c r="DLM2490" s="58"/>
      <c r="DLN2490" s="61"/>
      <c r="DLO2490" s="58"/>
      <c r="DLP2490" s="58"/>
      <c r="DLQ2490" s="58"/>
      <c r="DLR2490" s="60"/>
      <c r="DLS2490" s="60"/>
      <c r="DLT2490" s="60"/>
      <c r="DLU2490" s="58"/>
      <c r="DLV2490" s="61"/>
      <c r="DLW2490" s="58"/>
      <c r="DLX2490" s="58"/>
      <c r="DLY2490" s="58"/>
      <c r="DLZ2490" s="60"/>
      <c r="DMA2490" s="60"/>
      <c r="DMB2490" s="60"/>
      <c r="DMC2490" s="58"/>
      <c r="DMD2490" s="61"/>
      <c r="DME2490" s="58"/>
      <c r="DMF2490" s="58"/>
      <c r="DMG2490" s="58"/>
      <c r="DMH2490" s="60"/>
      <c r="DMI2490" s="60"/>
      <c r="DMJ2490" s="60"/>
      <c r="DMK2490" s="58"/>
      <c r="DML2490" s="61"/>
      <c r="DMM2490" s="58"/>
      <c r="DMN2490" s="58"/>
      <c r="DMO2490" s="58"/>
      <c r="DMP2490" s="60"/>
      <c r="DMQ2490" s="60"/>
      <c r="DMR2490" s="60"/>
      <c r="DMS2490" s="58"/>
      <c r="DMT2490" s="61"/>
      <c r="DMU2490" s="58"/>
      <c r="DMV2490" s="58"/>
      <c r="DMW2490" s="58"/>
      <c r="DMX2490" s="60"/>
      <c r="DMY2490" s="60"/>
      <c r="DMZ2490" s="60"/>
      <c r="DNA2490" s="58"/>
      <c r="DNB2490" s="61"/>
      <c r="DNC2490" s="58"/>
      <c r="DND2490" s="58"/>
      <c r="DNE2490" s="58"/>
      <c r="DNF2490" s="60"/>
      <c r="DNG2490" s="60"/>
      <c r="DNH2490" s="60"/>
      <c r="DNI2490" s="58"/>
      <c r="DNJ2490" s="61"/>
      <c r="DNK2490" s="58"/>
      <c r="DNL2490" s="58"/>
      <c r="DNM2490" s="58"/>
      <c r="DNN2490" s="60"/>
      <c r="DNO2490" s="60"/>
      <c r="DNP2490" s="60"/>
      <c r="DNQ2490" s="58"/>
      <c r="DNR2490" s="61"/>
      <c r="DNS2490" s="58"/>
      <c r="DNT2490" s="58"/>
      <c r="DNU2490" s="58"/>
      <c r="DNV2490" s="60"/>
      <c r="DNW2490" s="60"/>
      <c r="DNX2490" s="60"/>
      <c r="DNY2490" s="58"/>
      <c r="DNZ2490" s="61"/>
      <c r="DOA2490" s="58"/>
      <c r="DOB2490" s="58"/>
      <c r="DOC2490" s="58"/>
      <c r="DOD2490" s="60"/>
      <c r="DOE2490" s="60"/>
      <c r="DOF2490" s="60"/>
      <c r="DOG2490" s="58"/>
      <c r="DOH2490" s="61"/>
      <c r="DOI2490" s="58"/>
      <c r="DOJ2490" s="58"/>
      <c r="DOK2490" s="58"/>
      <c r="DOL2490" s="60"/>
      <c r="DOM2490" s="60"/>
      <c r="DON2490" s="60"/>
      <c r="DOO2490" s="58"/>
      <c r="DOP2490" s="61"/>
      <c r="DOQ2490" s="58"/>
      <c r="DOR2490" s="58"/>
      <c r="DOS2490" s="58"/>
      <c r="DOT2490" s="60"/>
      <c r="DOU2490" s="60"/>
      <c r="DOV2490" s="60"/>
      <c r="DOW2490" s="58"/>
      <c r="DOX2490" s="61"/>
      <c r="DOY2490" s="58"/>
      <c r="DOZ2490" s="58"/>
      <c r="DPA2490" s="58"/>
      <c r="DPB2490" s="60"/>
      <c r="DPC2490" s="60"/>
      <c r="DPD2490" s="60"/>
      <c r="DPE2490" s="58"/>
      <c r="DPF2490" s="61"/>
      <c r="DPG2490" s="58"/>
      <c r="DPH2490" s="58"/>
      <c r="DPI2490" s="58"/>
      <c r="DPJ2490" s="60"/>
      <c r="DPK2490" s="60"/>
      <c r="DPL2490" s="60"/>
      <c r="DPM2490" s="58"/>
      <c r="DPN2490" s="61"/>
      <c r="DPO2490" s="58"/>
      <c r="DPP2490" s="58"/>
      <c r="DPQ2490" s="58"/>
      <c r="DPR2490" s="60"/>
      <c r="DPS2490" s="60"/>
      <c r="DPT2490" s="60"/>
      <c r="DPU2490" s="58"/>
      <c r="DPV2490" s="61"/>
      <c r="DPW2490" s="58"/>
      <c r="DPX2490" s="58"/>
      <c r="DPY2490" s="58"/>
      <c r="DPZ2490" s="60"/>
      <c r="DQA2490" s="60"/>
      <c r="DQB2490" s="60"/>
      <c r="DQC2490" s="58"/>
      <c r="DQD2490" s="61"/>
      <c r="DQE2490" s="58"/>
      <c r="DQF2490" s="58"/>
      <c r="DQG2490" s="58"/>
      <c r="DQH2490" s="60"/>
      <c r="DQI2490" s="60"/>
      <c r="DQJ2490" s="60"/>
      <c r="DQK2490" s="58"/>
      <c r="DQL2490" s="61"/>
      <c r="DQM2490" s="58"/>
      <c r="DQN2490" s="58"/>
      <c r="DQO2490" s="58"/>
      <c r="DQP2490" s="60"/>
      <c r="DQQ2490" s="60"/>
      <c r="DQR2490" s="60"/>
      <c r="DQS2490" s="58"/>
      <c r="DQT2490" s="61"/>
      <c r="DQU2490" s="58"/>
      <c r="DQV2490" s="58"/>
      <c r="DQW2490" s="58"/>
      <c r="DQX2490" s="60"/>
      <c r="DQY2490" s="60"/>
      <c r="DQZ2490" s="60"/>
      <c r="DRA2490" s="58"/>
      <c r="DRB2490" s="61"/>
      <c r="DRC2490" s="58"/>
      <c r="DRD2490" s="58"/>
      <c r="DRE2490" s="58"/>
      <c r="DRF2490" s="60"/>
      <c r="DRG2490" s="60"/>
      <c r="DRH2490" s="60"/>
      <c r="DRI2490" s="58"/>
      <c r="DRJ2490" s="61"/>
      <c r="DRK2490" s="58"/>
      <c r="DRL2490" s="58"/>
      <c r="DRM2490" s="58"/>
      <c r="DRN2490" s="60"/>
      <c r="DRO2490" s="60"/>
      <c r="DRP2490" s="60"/>
      <c r="DRQ2490" s="58"/>
      <c r="DRR2490" s="61"/>
      <c r="DRS2490" s="58"/>
      <c r="DRT2490" s="58"/>
      <c r="DRU2490" s="58"/>
      <c r="DRV2490" s="60"/>
      <c r="DRW2490" s="60"/>
      <c r="DRX2490" s="60"/>
      <c r="DRY2490" s="58"/>
      <c r="DRZ2490" s="61"/>
      <c r="DSA2490" s="58"/>
      <c r="DSB2490" s="58"/>
      <c r="DSC2490" s="58"/>
      <c r="DSD2490" s="60"/>
      <c r="DSE2490" s="60"/>
      <c r="DSF2490" s="60"/>
      <c r="DSG2490" s="58"/>
      <c r="DSH2490" s="61"/>
      <c r="DSI2490" s="58"/>
      <c r="DSJ2490" s="58"/>
      <c r="DSK2490" s="58"/>
      <c r="DSL2490" s="60"/>
      <c r="DSM2490" s="60"/>
      <c r="DSN2490" s="60"/>
      <c r="DSO2490" s="58"/>
      <c r="DSP2490" s="61"/>
      <c r="DSQ2490" s="58"/>
      <c r="DSR2490" s="58"/>
      <c r="DSS2490" s="58"/>
      <c r="DST2490" s="60"/>
      <c r="DSU2490" s="60"/>
      <c r="DSV2490" s="60"/>
      <c r="DSW2490" s="58"/>
      <c r="DSX2490" s="61"/>
      <c r="DSY2490" s="58"/>
      <c r="DSZ2490" s="58"/>
      <c r="DTA2490" s="58"/>
      <c r="DTB2490" s="60"/>
      <c r="DTC2490" s="60"/>
      <c r="DTD2490" s="60"/>
      <c r="DTE2490" s="58"/>
      <c r="DTF2490" s="61"/>
      <c r="DTG2490" s="58"/>
      <c r="DTH2490" s="58"/>
      <c r="DTI2490" s="58"/>
      <c r="DTJ2490" s="60"/>
      <c r="DTK2490" s="60"/>
      <c r="DTL2490" s="60"/>
      <c r="DTM2490" s="58"/>
      <c r="DTN2490" s="61"/>
      <c r="DTO2490" s="58"/>
      <c r="DTP2490" s="58"/>
      <c r="DTQ2490" s="58"/>
      <c r="DTR2490" s="60"/>
      <c r="DTS2490" s="60"/>
      <c r="DTT2490" s="60"/>
      <c r="DTU2490" s="58"/>
      <c r="DTV2490" s="61"/>
      <c r="DTW2490" s="58"/>
      <c r="DTX2490" s="58"/>
      <c r="DTY2490" s="58"/>
      <c r="DTZ2490" s="60"/>
      <c r="DUA2490" s="60"/>
      <c r="DUB2490" s="60"/>
      <c r="DUC2490" s="58"/>
      <c r="DUD2490" s="61"/>
      <c r="DUE2490" s="58"/>
      <c r="DUF2490" s="58"/>
      <c r="DUG2490" s="58"/>
      <c r="DUH2490" s="60"/>
      <c r="DUI2490" s="60"/>
      <c r="DUJ2490" s="60"/>
      <c r="DUK2490" s="58"/>
      <c r="DUL2490" s="61"/>
      <c r="DUM2490" s="58"/>
      <c r="DUN2490" s="58"/>
      <c r="DUO2490" s="58"/>
      <c r="DUP2490" s="60"/>
      <c r="DUQ2490" s="60"/>
      <c r="DUR2490" s="60"/>
      <c r="DUS2490" s="58"/>
      <c r="DUT2490" s="61"/>
      <c r="DUU2490" s="58"/>
      <c r="DUV2490" s="58"/>
      <c r="DUW2490" s="58"/>
      <c r="DUX2490" s="60"/>
      <c r="DUY2490" s="60"/>
      <c r="DUZ2490" s="60"/>
      <c r="DVA2490" s="58"/>
      <c r="DVB2490" s="61"/>
      <c r="DVC2490" s="58"/>
      <c r="DVD2490" s="58"/>
      <c r="DVE2490" s="58"/>
      <c r="DVF2490" s="60"/>
      <c r="DVG2490" s="60"/>
      <c r="DVH2490" s="60"/>
      <c r="DVI2490" s="58"/>
      <c r="DVJ2490" s="61"/>
      <c r="DVK2490" s="58"/>
      <c r="DVL2490" s="58"/>
      <c r="DVM2490" s="58"/>
      <c r="DVN2490" s="60"/>
      <c r="DVO2490" s="60"/>
      <c r="DVP2490" s="60"/>
      <c r="DVQ2490" s="58"/>
      <c r="DVR2490" s="61"/>
      <c r="DVS2490" s="58"/>
      <c r="DVT2490" s="58"/>
      <c r="DVU2490" s="58"/>
      <c r="DVV2490" s="60"/>
      <c r="DVW2490" s="60"/>
      <c r="DVX2490" s="60"/>
      <c r="DVY2490" s="58"/>
      <c r="DVZ2490" s="61"/>
      <c r="DWA2490" s="58"/>
      <c r="DWB2490" s="58"/>
      <c r="DWC2490" s="58"/>
      <c r="DWD2490" s="60"/>
      <c r="DWE2490" s="60"/>
      <c r="DWF2490" s="60"/>
      <c r="DWG2490" s="58"/>
      <c r="DWH2490" s="61"/>
      <c r="DWI2490" s="58"/>
      <c r="DWJ2490" s="58"/>
      <c r="DWK2490" s="58"/>
      <c r="DWL2490" s="60"/>
      <c r="DWM2490" s="60"/>
      <c r="DWN2490" s="60"/>
      <c r="DWO2490" s="58"/>
      <c r="DWP2490" s="61"/>
      <c r="DWQ2490" s="58"/>
      <c r="DWR2490" s="58"/>
      <c r="DWS2490" s="58"/>
      <c r="DWT2490" s="60"/>
      <c r="DWU2490" s="60"/>
      <c r="DWV2490" s="60"/>
      <c r="DWW2490" s="58"/>
      <c r="DWX2490" s="61"/>
      <c r="DWY2490" s="58"/>
      <c r="DWZ2490" s="58"/>
      <c r="DXA2490" s="58"/>
      <c r="DXB2490" s="60"/>
      <c r="DXC2490" s="60"/>
      <c r="DXD2490" s="60"/>
      <c r="DXE2490" s="58"/>
      <c r="DXF2490" s="61"/>
      <c r="DXG2490" s="58"/>
      <c r="DXH2490" s="58"/>
      <c r="DXI2490" s="58"/>
      <c r="DXJ2490" s="60"/>
      <c r="DXK2490" s="60"/>
      <c r="DXL2490" s="60"/>
      <c r="DXM2490" s="58"/>
      <c r="DXN2490" s="61"/>
      <c r="DXO2490" s="58"/>
      <c r="DXP2490" s="58"/>
      <c r="DXQ2490" s="58"/>
      <c r="DXR2490" s="60"/>
      <c r="DXS2490" s="60"/>
      <c r="DXT2490" s="60"/>
      <c r="DXU2490" s="58"/>
      <c r="DXV2490" s="61"/>
      <c r="DXW2490" s="58"/>
      <c r="DXX2490" s="58"/>
      <c r="DXY2490" s="58"/>
      <c r="DXZ2490" s="60"/>
      <c r="DYA2490" s="60"/>
      <c r="DYB2490" s="60"/>
      <c r="DYC2490" s="58"/>
      <c r="DYD2490" s="61"/>
      <c r="DYE2490" s="58"/>
      <c r="DYF2490" s="58"/>
      <c r="DYG2490" s="58"/>
      <c r="DYH2490" s="60"/>
      <c r="DYI2490" s="60"/>
      <c r="DYJ2490" s="60"/>
      <c r="DYK2490" s="58"/>
      <c r="DYL2490" s="61"/>
      <c r="DYM2490" s="58"/>
      <c r="DYN2490" s="58"/>
      <c r="DYO2490" s="58"/>
      <c r="DYP2490" s="60"/>
      <c r="DYQ2490" s="60"/>
      <c r="DYR2490" s="60"/>
      <c r="DYS2490" s="58"/>
      <c r="DYT2490" s="61"/>
      <c r="DYU2490" s="58"/>
      <c r="DYV2490" s="58"/>
      <c r="DYW2490" s="58"/>
      <c r="DYX2490" s="60"/>
      <c r="DYY2490" s="60"/>
      <c r="DYZ2490" s="60"/>
      <c r="DZA2490" s="58"/>
      <c r="DZB2490" s="61"/>
      <c r="DZC2490" s="58"/>
      <c r="DZD2490" s="58"/>
      <c r="DZE2490" s="58"/>
      <c r="DZF2490" s="60"/>
      <c r="DZG2490" s="60"/>
      <c r="DZH2490" s="60"/>
      <c r="DZI2490" s="58"/>
      <c r="DZJ2490" s="61"/>
      <c r="DZK2490" s="58"/>
      <c r="DZL2490" s="58"/>
      <c r="DZM2490" s="58"/>
      <c r="DZN2490" s="60"/>
      <c r="DZO2490" s="60"/>
      <c r="DZP2490" s="60"/>
      <c r="DZQ2490" s="58"/>
      <c r="DZR2490" s="61"/>
      <c r="DZS2490" s="58"/>
      <c r="DZT2490" s="58"/>
      <c r="DZU2490" s="58"/>
      <c r="DZV2490" s="60"/>
      <c r="DZW2490" s="60"/>
      <c r="DZX2490" s="60"/>
      <c r="DZY2490" s="58"/>
      <c r="DZZ2490" s="61"/>
      <c r="EAA2490" s="58"/>
      <c r="EAB2490" s="58"/>
      <c r="EAC2490" s="58"/>
      <c r="EAD2490" s="60"/>
      <c r="EAE2490" s="60"/>
      <c r="EAF2490" s="60"/>
      <c r="EAG2490" s="58"/>
      <c r="EAH2490" s="61"/>
      <c r="EAI2490" s="58"/>
      <c r="EAJ2490" s="58"/>
      <c r="EAK2490" s="58"/>
      <c r="EAL2490" s="60"/>
      <c r="EAM2490" s="60"/>
      <c r="EAN2490" s="60"/>
      <c r="EAO2490" s="58"/>
      <c r="EAP2490" s="61"/>
      <c r="EAQ2490" s="58"/>
      <c r="EAR2490" s="58"/>
      <c r="EAS2490" s="58"/>
      <c r="EAT2490" s="60"/>
      <c r="EAU2490" s="60"/>
      <c r="EAV2490" s="60"/>
      <c r="EAW2490" s="58"/>
      <c r="EAX2490" s="61"/>
      <c r="EAY2490" s="58"/>
      <c r="EAZ2490" s="58"/>
      <c r="EBA2490" s="58"/>
      <c r="EBB2490" s="60"/>
      <c r="EBC2490" s="60"/>
      <c r="EBD2490" s="60"/>
      <c r="EBE2490" s="58"/>
      <c r="EBF2490" s="61"/>
      <c r="EBG2490" s="58"/>
      <c r="EBH2490" s="58"/>
      <c r="EBI2490" s="58"/>
      <c r="EBJ2490" s="60"/>
      <c r="EBK2490" s="60"/>
      <c r="EBL2490" s="60"/>
      <c r="EBM2490" s="58"/>
      <c r="EBN2490" s="61"/>
      <c r="EBO2490" s="58"/>
      <c r="EBP2490" s="58"/>
      <c r="EBQ2490" s="58"/>
      <c r="EBR2490" s="60"/>
      <c r="EBS2490" s="60"/>
      <c r="EBT2490" s="60"/>
      <c r="EBU2490" s="58"/>
      <c r="EBV2490" s="61"/>
      <c r="EBW2490" s="58"/>
      <c r="EBX2490" s="58"/>
      <c r="EBY2490" s="58"/>
      <c r="EBZ2490" s="60"/>
      <c r="ECA2490" s="60"/>
      <c r="ECB2490" s="60"/>
      <c r="ECC2490" s="58"/>
      <c r="ECD2490" s="61"/>
      <c r="ECE2490" s="58"/>
      <c r="ECF2490" s="58"/>
      <c r="ECG2490" s="58"/>
      <c r="ECH2490" s="60"/>
      <c r="ECI2490" s="60"/>
      <c r="ECJ2490" s="60"/>
      <c r="ECK2490" s="58"/>
      <c r="ECL2490" s="61"/>
      <c r="ECM2490" s="58"/>
      <c r="ECN2490" s="58"/>
      <c r="ECO2490" s="58"/>
      <c r="ECP2490" s="60"/>
      <c r="ECQ2490" s="60"/>
      <c r="ECR2490" s="60"/>
      <c r="ECS2490" s="58"/>
      <c r="ECT2490" s="61"/>
      <c r="ECU2490" s="58"/>
      <c r="ECV2490" s="58"/>
      <c r="ECW2490" s="58"/>
      <c r="ECX2490" s="60"/>
      <c r="ECY2490" s="60"/>
      <c r="ECZ2490" s="60"/>
      <c r="EDA2490" s="58"/>
      <c r="EDB2490" s="61"/>
      <c r="EDC2490" s="58"/>
      <c r="EDD2490" s="58"/>
      <c r="EDE2490" s="58"/>
      <c r="EDF2490" s="60"/>
      <c r="EDG2490" s="60"/>
      <c r="EDH2490" s="60"/>
      <c r="EDI2490" s="58"/>
      <c r="EDJ2490" s="61"/>
      <c r="EDK2490" s="58"/>
      <c r="EDL2490" s="58"/>
      <c r="EDM2490" s="58"/>
      <c r="EDN2490" s="60"/>
      <c r="EDO2490" s="60"/>
      <c r="EDP2490" s="60"/>
      <c r="EDQ2490" s="58"/>
      <c r="EDR2490" s="61"/>
      <c r="EDS2490" s="58"/>
      <c r="EDT2490" s="58"/>
      <c r="EDU2490" s="58"/>
      <c r="EDV2490" s="60"/>
      <c r="EDW2490" s="60"/>
      <c r="EDX2490" s="60"/>
      <c r="EDY2490" s="58"/>
      <c r="EDZ2490" s="61"/>
      <c r="EEA2490" s="58"/>
      <c r="EEB2490" s="58"/>
      <c r="EEC2490" s="58"/>
      <c r="EED2490" s="60"/>
      <c r="EEE2490" s="60"/>
      <c r="EEF2490" s="60"/>
      <c r="EEG2490" s="58"/>
      <c r="EEH2490" s="61"/>
      <c r="EEI2490" s="58"/>
      <c r="EEJ2490" s="58"/>
      <c r="EEK2490" s="58"/>
      <c r="EEL2490" s="60"/>
      <c r="EEM2490" s="60"/>
      <c r="EEN2490" s="60"/>
      <c r="EEO2490" s="58"/>
      <c r="EEP2490" s="61"/>
      <c r="EEQ2490" s="58"/>
      <c r="EER2490" s="58"/>
      <c r="EES2490" s="58"/>
      <c r="EET2490" s="60"/>
      <c r="EEU2490" s="60"/>
      <c r="EEV2490" s="60"/>
      <c r="EEW2490" s="58"/>
      <c r="EEX2490" s="61"/>
      <c r="EEY2490" s="58"/>
      <c r="EEZ2490" s="58"/>
      <c r="EFA2490" s="58"/>
      <c r="EFB2490" s="60"/>
      <c r="EFC2490" s="60"/>
      <c r="EFD2490" s="60"/>
      <c r="EFE2490" s="58"/>
      <c r="EFF2490" s="61"/>
      <c r="EFG2490" s="58"/>
      <c r="EFH2490" s="58"/>
      <c r="EFI2490" s="58"/>
      <c r="EFJ2490" s="60"/>
      <c r="EFK2490" s="60"/>
      <c r="EFL2490" s="60"/>
      <c r="EFM2490" s="58"/>
      <c r="EFN2490" s="61"/>
      <c r="EFO2490" s="58"/>
      <c r="EFP2490" s="58"/>
      <c r="EFQ2490" s="58"/>
      <c r="EFR2490" s="60"/>
      <c r="EFS2490" s="60"/>
      <c r="EFT2490" s="60"/>
      <c r="EFU2490" s="58"/>
      <c r="EFV2490" s="61"/>
      <c r="EFW2490" s="58"/>
      <c r="EFX2490" s="58"/>
      <c r="EFY2490" s="58"/>
      <c r="EFZ2490" s="60"/>
      <c r="EGA2490" s="60"/>
      <c r="EGB2490" s="60"/>
      <c r="EGC2490" s="58"/>
      <c r="EGD2490" s="61"/>
      <c r="EGE2490" s="58"/>
      <c r="EGF2490" s="58"/>
      <c r="EGG2490" s="58"/>
      <c r="EGH2490" s="60"/>
      <c r="EGI2490" s="60"/>
      <c r="EGJ2490" s="60"/>
      <c r="EGK2490" s="58"/>
      <c r="EGL2490" s="61"/>
      <c r="EGM2490" s="58"/>
      <c r="EGN2490" s="58"/>
      <c r="EGO2490" s="58"/>
      <c r="EGP2490" s="60"/>
      <c r="EGQ2490" s="60"/>
      <c r="EGR2490" s="60"/>
      <c r="EGS2490" s="58"/>
      <c r="EGT2490" s="61"/>
      <c r="EGU2490" s="58"/>
      <c r="EGV2490" s="58"/>
      <c r="EGW2490" s="58"/>
      <c r="EGX2490" s="60"/>
      <c r="EGY2490" s="60"/>
      <c r="EGZ2490" s="60"/>
      <c r="EHA2490" s="58"/>
      <c r="EHB2490" s="61"/>
      <c r="EHC2490" s="58"/>
      <c r="EHD2490" s="58"/>
      <c r="EHE2490" s="58"/>
      <c r="EHF2490" s="60"/>
      <c r="EHG2490" s="60"/>
      <c r="EHH2490" s="60"/>
      <c r="EHI2490" s="58"/>
      <c r="EHJ2490" s="61"/>
      <c r="EHK2490" s="58"/>
      <c r="EHL2490" s="58"/>
      <c r="EHM2490" s="58"/>
      <c r="EHN2490" s="60"/>
      <c r="EHO2490" s="60"/>
      <c r="EHP2490" s="60"/>
      <c r="EHQ2490" s="58"/>
      <c r="EHR2490" s="61"/>
      <c r="EHS2490" s="58"/>
      <c r="EHT2490" s="58"/>
      <c r="EHU2490" s="58"/>
      <c r="EHV2490" s="60"/>
      <c r="EHW2490" s="60"/>
      <c r="EHX2490" s="60"/>
      <c r="EHY2490" s="58"/>
      <c r="EHZ2490" s="61"/>
      <c r="EIA2490" s="58"/>
      <c r="EIB2490" s="58"/>
      <c r="EIC2490" s="58"/>
      <c r="EID2490" s="60"/>
      <c r="EIE2490" s="60"/>
      <c r="EIF2490" s="60"/>
      <c r="EIG2490" s="58"/>
      <c r="EIH2490" s="61"/>
      <c r="EII2490" s="58"/>
      <c r="EIJ2490" s="58"/>
      <c r="EIK2490" s="58"/>
      <c r="EIL2490" s="60"/>
      <c r="EIM2490" s="60"/>
      <c r="EIN2490" s="60"/>
      <c r="EIO2490" s="58"/>
      <c r="EIP2490" s="61"/>
      <c r="EIQ2490" s="58"/>
      <c r="EIR2490" s="58"/>
      <c r="EIS2490" s="58"/>
      <c r="EIT2490" s="60"/>
      <c r="EIU2490" s="60"/>
      <c r="EIV2490" s="60"/>
      <c r="EIW2490" s="58"/>
      <c r="EIX2490" s="61"/>
      <c r="EIY2490" s="58"/>
      <c r="EIZ2490" s="58"/>
      <c r="EJA2490" s="58"/>
      <c r="EJB2490" s="60"/>
      <c r="EJC2490" s="60"/>
      <c r="EJD2490" s="60"/>
      <c r="EJE2490" s="58"/>
      <c r="EJF2490" s="61"/>
      <c r="EJG2490" s="58"/>
      <c r="EJH2490" s="58"/>
      <c r="EJI2490" s="58"/>
      <c r="EJJ2490" s="60"/>
      <c r="EJK2490" s="60"/>
      <c r="EJL2490" s="60"/>
      <c r="EJM2490" s="58"/>
      <c r="EJN2490" s="61"/>
      <c r="EJO2490" s="58"/>
      <c r="EJP2490" s="58"/>
      <c r="EJQ2490" s="58"/>
      <c r="EJR2490" s="60"/>
      <c r="EJS2490" s="60"/>
      <c r="EJT2490" s="60"/>
      <c r="EJU2490" s="58"/>
      <c r="EJV2490" s="61"/>
      <c r="EJW2490" s="58"/>
      <c r="EJX2490" s="58"/>
      <c r="EJY2490" s="58"/>
      <c r="EJZ2490" s="60"/>
      <c r="EKA2490" s="60"/>
      <c r="EKB2490" s="60"/>
      <c r="EKC2490" s="58"/>
      <c r="EKD2490" s="61"/>
      <c r="EKE2490" s="58"/>
      <c r="EKF2490" s="58"/>
      <c r="EKG2490" s="58"/>
      <c r="EKH2490" s="60"/>
      <c r="EKI2490" s="60"/>
      <c r="EKJ2490" s="60"/>
      <c r="EKK2490" s="58"/>
      <c r="EKL2490" s="61"/>
      <c r="EKM2490" s="58"/>
      <c r="EKN2490" s="58"/>
      <c r="EKO2490" s="58"/>
      <c r="EKP2490" s="60"/>
      <c r="EKQ2490" s="60"/>
      <c r="EKR2490" s="60"/>
      <c r="EKS2490" s="58"/>
      <c r="EKT2490" s="61"/>
      <c r="EKU2490" s="58"/>
      <c r="EKV2490" s="58"/>
      <c r="EKW2490" s="58"/>
      <c r="EKX2490" s="60"/>
      <c r="EKY2490" s="60"/>
      <c r="EKZ2490" s="60"/>
      <c r="ELA2490" s="58"/>
      <c r="ELB2490" s="61"/>
      <c r="ELC2490" s="58"/>
      <c r="ELD2490" s="58"/>
      <c r="ELE2490" s="58"/>
      <c r="ELF2490" s="60"/>
      <c r="ELG2490" s="60"/>
      <c r="ELH2490" s="60"/>
      <c r="ELI2490" s="58"/>
      <c r="ELJ2490" s="61"/>
      <c r="ELK2490" s="58"/>
      <c r="ELL2490" s="58"/>
      <c r="ELM2490" s="58"/>
      <c r="ELN2490" s="60"/>
      <c r="ELO2490" s="60"/>
      <c r="ELP2490" s="60"/>
      <c r="ELQ2490" s="58"/>
      <c r="ELR2490" s="61"/>
      <c r="ELS2490" s="58"/>
      <c r="ELT2490" s="58"/>
      <c r="ELU2490" s="58"/>
      <c r="ELV2490" s="60"/>
      <c r="ELW2490" s="60"/>
      <c r="ELX2490" s="60"/>
      <c r="ELY2490" s="58"/>
      <c r="ELZ2490" s="61"/>
      <c r="EMA2490" s="58"/>
      <c r="EMB2490" s="58"/>
      <c r="EMC2490" s="58"/>
      <c r="EMD2490" s="60"/>
      <c r="EME2490" s="60"/>
      <c r="EMF2490" s="60"/>
      <c r="EMG2490" s="58"/>
      <c r="EMH2490" s="61"/>
      <c r="EMI2490" s="58"/>
      <c r="EMJ2490" s="58"/>
      <c r="EMK2490" s="58"/>
      <c r="EML2490" s="60"/>
      <c r="EMM2490" s="60"/>
      <c r="EMN2490" s="60"/>
      <c r="EMO2490" s="58"/>
      <c r="EMP2490" s="61"/>
      <c r="EMQ2490" s="58"/>
      <c r="EMR2490" s="58"/>
      <c r="EMS2490" s="58"/>
      <c r="EMT2490" s="60"/>
      <c r="EMU2490" s="60"/>
      <c r="EMV2490" s="60"/>
      <c r="EMW2490" s="58"/>
      <c r="EMX2490" s="61"/>
      <c r="EMY2490" s="58"/>
      <c r="EMZ2490" s="58"/>
      <c r="ENA2490" s="58"/>
      <c r="ENB2490" s="60"/>
      <c r="ENC2490" s="60"/>
      <c r="END2490" s="60"/>
      <c r="ENE2490" s="58"/>
      <c r="ENF2490" s="61"/>
      <c r="ENG2490" s="58"/>
      <c r="ENH2490" s="58"/>
      <c r="ENI2490" s="58"/>
      <c r="ENJ2490" s="60"/>
      <c r="ENK2490" s="60"/>
      <c r="ENL2490" s="60"/>
      <c r="ENM2490" s="58"/>
      <c r="ENN2490" s="61"/>
      <c r="ENO2490" s="58"/>
      <c r="ENP2490" s="58"/>
      <c r="ENQ2490" s="58"/>
      <c r="ENR2490" s="60"/>
      <c r="ENS2490" s="60"/>
      <c r="ENT2490" s="60"/>
      <c r="ENU2490" s="58"/>
      <c r="ENV2490" s="61"/>
      <c r="ENW2490" s="58"/>
      <c r="ENX2490" s="58"/>
      <c r="ENY2490" s="58"/>
      <c r="ENZ2490" s="60"/>
      <c r="EOA2490" s="60"/>
      <c r="EOB2490" s="60"/>
      <c r="EOC2490" s="58"/>
      <c r="EOD2490" s="61"/>
      <c r="EOE2490" s="58"/>
      <c r="EOF2490" s="58"/>
      <c r="EOG2490" s="58"/>
      <c r="EOH2490" s="60"/>
      <c r="EOI2490" s="60"/>
      <c r="EOJ2490" s="60"/>
      <c r="EOK2490" s="58"/>
      <c r="EOL2490" s="61"/>
      <c r="EOM2490" s="58"/>
      <c r="EON2490" s="58"/>
      <c r="EOO2490" s="58"/>
      <c r="EOP2490" s="60"/>
      <c r="EOQ2490" s="60"/>
      <c r="EOR2490" s="60"/>
      <c r="EOS2490" s="58"/>
      <c r="EOT2490" s="61"/>
      <c r="EOU2490" s="58"/>
      <c r="EOV2490" s="58"/>
      <c r="EOW2490" s="58"/>
      <c r="EOX2490" s="60"/>
      <c r="EOY2490" s="60"/>
      <c r="EOZ2490" s="60"/>
      <c r="EPA2490" s="58"/>
      <c r="EPB2490" s="61"/>
      <c r="EPC2490" s="58"/>
      <c r="EPD2490" s="58"/>
      <c r="EPE2490" s="58"/>
      <c r="EPF2490" s="60"/>
      <c r="EPG2490" s="60"/>
      <c r="EPH2490" s="60"/>
      <c r="EPI2490" s="58"/>
      <c r="EPJ2490" s="61"/>
      <c r="EPK2490" s="58"/>
      <c r="EPL2490" s="58"/>
      <c r="EPM2490" s="58"/>
      <c r="EPN2490" s="60"/>
      <c r="EPO2490" s="60"/>
      <c r="EPP2490" s="60"/>
      <c r="EPQ2490" s="58"/>
      <c r="EPR2490" s="61"/>
      <c r="EPS2490" s="58"/>
      <c r="EPT2490" s="58"/>
      <c r="EPU2490" s="58"/>
      <c r="EPV2490" s="60"/>
      <c r="EPW2490" s="60"/>
      <c r="EPX2490" s="60"/>
      <c r="EPY2490" s="58"/>
      <c r="EPZ2490" s="61"/>
      <c r="EQA2490" s="58"/>
      <c r="EQB2490" s="58"/>
      <c r="EQC2490" s="58"/>
      <c r="EQD2490" s="60"/>
      <c r="EQE2490" s="60"/>
      <c r="EQF2490" s="60"/>
      <c r="EQG2490" s="58"/>
      <c r="EQH2490" s="61"/>
      <c r="EQI2490" s="58"/>
      <c r="EQJ2490" s="58"/>
      <c r="EQK2490" s="58"/>
      <c r="EQL2490" s="60"/>
      <c r="EQM2490" s="60"/>
      <c r="EQN2490" s="60"/>
      <c r="EQO2490" s="58"/>
      <c r="EQP2490" s="61"/>
      <c r="EQQ2490" s="58"/>
      <c r="EQR2490" s="58"/>
      <c r="EQS2490" s="58"/>
      <c r="EQT2490" s="60"/>
      <c r="EQU2490" s="60"/>
      <c r="EQV2490" s="60"/>
      <c r="EQW2490" s="58"/>
      <c r="EQX2490" s="61"/>
      <c r="EQY2490" s="58"/>
      <c r="EQZ2490" s="58"/>
      <c r="ERA2490" s="58"/>
      <c r="ERB2490" s="60"/>
      <c r="ERC2490" s="60"/>
      <c r="ERD2490" s="60"/>
      <c r="ERE2490" s="58"/>
      <c r="ERF2490" s="61"/>
      <c r="ERG2490" s="58"/>
      <c r="ERH2490" s="58"/>
      <c r="ERI2490" s="58"/>
      <c r="ERJ2490" s="60"/>
      <c r="ERK2490" s="60"/>
      <c r="ERL2490" s="60"/>
      <c r="ERM2490" s="58"/>
      <c r="ERN2490" s="61"/>
      <c r="ERO2490" s="58"/>
      <c r="ERP2490" s="58"/>
      <c r="ERQ2490" s="58"/>
      <c r="ERR2490" s="60"/>
      <c r="ERS2490" s="60"/>
      <c r="ERT2490" s="60"/>
      <c r="ERU2490" s="58"/>
      <c r="ERV2490" s="61"/>
      <c r="ERW2490" s="58"/>
      <c r="ERX2490" s="58"/>
      <c r="ERY2490" s="58"/>
      <c r="ERZ2490" s="60"/>
      <c r="ESA2490" s="60"/>
      <c r="ESB2490" s="60"/>
      <c r="ESC2490" s="58"/>
      <c r="ESD2490" s="61"/>
      <c r="ESE2490" s="58"/>
      <c r="ESF2490" s="58"/>
      <c r="ESG2490" s="58"/>
      <c r="ESH2490" s="60"/>
      <c r="ESI2490" s="60"/>
      <c r="ESJ2490" s="60"/>
      <c r="ESK2490" s="58"/>
      <c r="ESL2490" s="61"/>
      <c r="ESM2490" s="58"/>
      <c r="ESN2490" s="58"/>
      <c r="ESO2490" s="58"/>
      <c r="ESP2490" s="60"/>
      <c r="ESQ2490" s="60"/>
      <c r="ESR2490" s="60"/>
      <c r="ESS2490" s="58"/>
      <c r="EST2490" s="61"/>
      <c r="ESU2490" s="58"/>
      <c r="ESV2490" s="58"/>
      <c r="ESW2490" s="58"/>
      <c r="ESX2490" s="60"/>
      <c r="ESY2490" s="60"/>
      <c r="ESZ2490" s="60"/>
      <c r="ETA2490" s="58"/>
      <c r="ETB2490" s="61"/>
      <c r="ETC2490" s="58"/>
      <c r="ETD2490" s="58"/>
      <c r="ETE2490" s="58"/>
      <c r="ETF2490" s="60"/>
      <c r="ETG2490" s="60"/>
      <c r="ETH2490" s="60"/>
      <c r="ETI2490" s="58"/>
      <c r="ETJ2490" s="61"/>
      <c r="ETK2490" s="58"/>
      <c r="ETL2490" s="58"/>
      <c r="ETM2490" s="58"/>
      <c r="ETN2490" s="60"/>
      <c r="ETO2490" s="60"/>
      <c r="ETP2490" s="60"/>
      <c r="ETQ2490" s="58"/>
      <c r="ETR2490" s="61"/>
      <c r="ETS2490" s="58"/>
      <c r="ETT2490" s="58"/>
      <c r="ETU2490" s="58"/>
      <c r="ETV2490" s="60"/>
      <c r="ETW2490" s="60"/>
      <c r="ETX2490" s="60"/>
      <c r="ETY2490" s="58"/>
      <c r="ETZ2490" s="61"/>
      <c r="EUA2490" s="58"/>
      <c r="EUB2490" s="58"/>
      <c r="EUC2490" s="58"/>
      <c r="EUD2490" s="60"/>
      <c r="EUE2490" s="60"/>
      <c r="EUF2490" s="60"/>
      <c r="EUG2490" s="58"/>
      <c r="EUH2490" s="61"/>
      <c r="EUI2490" s="58"/>
      <c r="EUJ2490" s="58"/>
      <c r="EUK2490" s="58"/>
      <c r="EUL2490" s="60"/>
      <c r="EUM2490" s="60"/>
      <c r="EUN2490" s="60"/>
      <c r="EUO2490" s="58"/>
      <c r="EUP2490" s="61"/>
      <c r="EUQ2490" s="58"/>
      <c r="EUR2490" s="58"/>
      <c r="EUS2490" s="58"/>
      <c r="EUT2490" s="60"/>
      <c r="EUU2490" s="60"/>
      <c r="EUV2490" s="60"/>
      <c r="EUW2490" s="58"/>
      <c r="EUX2490" s="61"/>
      <c r="EUY2490" s="58"/>
      <c r="EUZ2490" s="58"/>
      <c r="EVA2490" s="58"/>
      <c r="EVB2490" s="60"/>
      <c r="EVC2490" s="60"/>
      <c r="EVD2490" s="60"/>
      <c r="EVE2490" s="58"/>
      <c r="EVF2490" s="61"/>
      <c r="EVG2490" s="58"/>
      <c r="EVH2490" s="58"/>
      <c r="EVI2490" s="58"/>
      <c r="EVJ2490" s="60"/>
      <c r="EVK2490" s="60"/>
      <c r="EVL2490" s="60"/>
      <c r="EVM2490" s="58"/>
      <c r="EVN2490" s="61"/>
      <c r="EVO2490" s="58"/>
      <c r="EVP2490" s="58"/>
      <c r="EVQ2490" s="58"/>
      <c r="EVR2490" s="60"/>
      <c r="EVS2490" s="60"/>
      <c r="EVT2490" s="60"/>
      <c r="EVU2490" s="58"/>
      <c r="EVV2490" s="61"/>
      <c r="EVW2490" s="58"/>
      <c r="EVX2490" s="58"/>
      <c r="EVY2490" s="58"/>
      <c r="EVZ2490" s="60"/>
      <c r="EWA2490" s="60"/>
      <c r="EWB2490" s="60"/>
      <c r="EWC2490" s="58"/>
      <c r="EWD2490" s="61"/>
      <c r="EWE2490" s="58"/>
      <c r="EWF2490" s="58"/>
      <c r="EWG2490" s="58"/>
      <c r="EWH2490" s="60"/>
      <c r="EWI2490" s="60"/>
      <c r="EWJ2490" s="60"/>
      <c r="EWK2490" s="58"/>
      <c r="EWL2490" s="61"/>
      <c r="EWM2490" s="58"/>
      <c r="EWN2490" s="58"/>
      <c r="EWO2490" s="58"/>
      <c r="EWP2490" s="60"/>
      <c r="EWQ2490" s="60"/>
      <c r="EWR2490" s="60"/>
      <c r="EWS2490" s="58"/>
      <c r="EWT2490" s="61"/>
      <c r="EWU2490" s="58"/>
      <c r="EWV2490" s="58"/>
      <c r="EWW2490" s="58"/>
      <c r="EWX2490" s="60"/>
      <c r="EWY2490" s="60"/>
      <c r="EWZ2490" s="60"/>
      <c r="EXA2490" s="58"/>
      <c r="EXB2490" s="61"/>
      <c r="EXC2490" s="58"/>
      <c r="EXD2490" s="58"/>
      <c r="EXE2490" s="58"/>
      <c r="EXF2490" s="60"/>
      <c r="EXG2490" s="60"/>
      <c r="EXH2490" s="60"/>
      <c r="EXI2490" s="58"/>
      <c r="EXJ2490" s="61"/>
      <c r="EXK2490" s="58"/>
      <c r="EXL2490" s="58"/>
      <c r="EXM2490" s="58"/>
      <c r="EXN2490" s="60"/>
      <c r="EXO2490" s="60"/>
      <c r="EXP2490" s="60"/>
      <c r="EXQ2490" s="58"/>
      <c r="EXR2490" s="61"/>
      <c r="EXS2490" s="58"/>
      <c r="EXT2490" s="58"/>
      <c r="EXU2490" s="58"/>
      <c r="EXV2490" s="60"/>
      <c r="EXW2490" s="60"/>
      <c r="EXX2490" s="60"/>
      <c r="EXY2490" s="58"/>
      <c r="EXZ2490" s="61"/>
      <c r="EYA2490" s="58"/>
      <c r="EYB2490" s="58"/>
      <c r="EYC2490" s="58"/>
      <c r="EYD2490" s="60"/>
      <c r="EYE2490" s="60"/>
      <c r="EYF2490" s="60"/>
      <c r="EYG2490" s="58"/>
      <c r="EYH2490" s="61"/>
      <c r="EYI2490" s="58"/>
      <c r="EYJ2490" s="58"/>
      <c r="EYK2490" s="58"/>
      <c r="EYL2490" s="60"/>
      <c r="EYM2490" s="60"/>
      <c r="EYN2490" s="60"/>
      <c r="EYO2490" s="58"/>
      <c r="EYP2490" s="61"/>
      <c r="EYQ2490" s="58"/>
      <c r="EYR2490" s="58"/>
      <c r="EYS2490" s="58"/>
      <c r="EYT2490" s="60"/>
      <c r="EYU2490" s="60"/>
      <c r="EYV2490" s="60"/>
      <c r="EYW2490" s="58"/>
      <c r="EYX2490" s="61"/>
      <c r="EYY2490" s="58"/>
      <c r="EYZ2490" s="58"/>
      <c r="EZA2490" s="58"/>
      <c r="EZB2490" s="60"/>
      <c r="EZC2490" s="60"/>
      <c r="EZD2490" s="60"/>
      <c r="EZE2490" s="58"/>
      <c r="EZF2490" s="61"/>
      <c r="EZG2490" s="58"/>
      <c r="EZH2490" s="58"/>
      <c r="EZI2490" s="58"/>
      <c r="EZJ2490" s="60"/>
      <c r="EZK2490" s="60"/>
      <c r="EZL2490" s="60"/>
      <c r="EZM2490" s="58"/>
      <c r="EZN2490" s="61"/>
      <c r="EZO2490" s="58"/>
      <c r="EZP2490" s="58"/>
      <c r="EZQ2490" s="58"/>
      <c r="EZR2490" s="60"/>
      <c r="EZS2490" s="60"/>
      <c r="EZT2490" s="60"/>
      <c r="EZU2490" s="58"/>
      <c r="EZV2490" s="61"/>
      <c r="EZW2490" s="58"/>
      <c r="EZX2490" s="58"/>
      <c r="EZY2490" s="58"/>
      <c r="EZZ2490" s="60"/>
      <c r="FAA2490" s="60"/>
      <c r="FAB2490" s="60"/>
      <c r="FAC2490" s="58"/>
      <c r="FAD2490" s="61"/>
      <c r="FAE2490" s="58"/>
      <c r="FAF2490" s="58"/>
      <c r="FAG2490" s="58"/>
      <c r="FAH2490" s="60"/>
      <c r="FAI2490" s="60"/>
      <c r="FAJ2490" s="60"/>
      <c r="FAK2490" s="58"/>
      <c r="FAL2490" s="61"/>
      <c r="FAM2490" s="58"/>
      <c r="FAN2490" s="58"/>
      <c r="FAO2490" s="58"/>
      <c r="FAP2490" s="60"/>
      <c r="FAQ2490" s="60"/>
      <c r="FAR2490" s="60"/>
      <c r="FAS2490" s="58"/>
      <c r="FAT2490" s="61"/>
      <c r="FAU2490" s="58"/>
      <c r="FAV2490" s="58"/>
      <c r="FAW2490" s="58"/>
      <c r="FAX2490" s="60"/>
      <c r="FAY2490" s="60"/>
      <c r="FAZ2490" s="60"/>
      <c r="FBA2490" s="58"/>
      <c r="FBB2490" s="61"/>
      <c r="FBC2490" s="58"/>
      <c r="FBD2490" s="58"/>
      <c r="FBE2490" s="58"/>
      <c r="FBF2490" s="60"/>
      <c r="FBG2490" s="60"/>
      <c r="FBH2490" s="60"/>
      <c r="FBI2490" s="58"/>
      <c r="FBJ2490" s="61"/>
      <c r="FBK2490" s="58"/>
      <c r="FBL2490" s="58"/>
      <c r="FBM2490" s="58"/>
      <c r="FBN2490" s="60"/>
      <c r="FBO2490" s="60"/>
      <c r="FBP2490" s="60"/>
      <c r="FBQ2490" s="58"/>
      <c r="FBR2490" s="61"/>
      <c r="FBS2490" s="58"/>
      <c r="FBT2490" s="58"/>
      <c r="FBU2490" s="58"/>
      <c r="FBV2490" s="60"/>
      <c r="FBW2490" s="60"/>
      <c r="FBX2490" s="60"/>
      <c r="FBY2490" s="58"/>
      <c r="FBZ2490" s="61"/>
      <c r="FCA2490" s="58"/>
      <c r="FCB2490" s="58"/>
      <c r="FCC2490" s="58"/>
      <c r="FCD2490" s="60"/>
      <c r="FCE2490" s="60"/>
      <c r="FCF2490" s="60"/>
      <c r="FCG2490" s="58"/>
      <c r="FCH2490" s="61"/>
      <c r="FCI2490" s="58"/>
      <c r="FCJ2490" s="58"/>
      <c r="FCK2490" s="58"/>
      <c r="FCL2490" s="60"/>
      <c r="FCM2490" s="60"/>
      <c r="FCN2490" s="60"/>
      <c r="FCO2490" s="58"/>
      <c r="FCP2490" s="61"/>
      <c r="FCQ2490" s="58"/>
      <c r="FCR2490" s="58"/>
      <c r="FCS2490" s="58"/>
      <c r="FCT2490" s="60"/>
      <c r="FCU2490" s="60"/>
      <c r="FCV2490" s="60"/>
      <c r="FCW2490" s="58"/>
      <c r="FCX2490" s="61"/>
      <c r="FCY2490" s="58"/>
      <c r="FCZ2490" s="58"/>
      <c r="FDA2490" s="58"/>
      <c r="FDB2490" s="60"/>
      <c r="FDC2490" s="60"/>
      <c r="FDD2490" s="60"/>
      <c r="FDE2490" s="58"/>
      <c r="FDF2490" s="61"/>
      <c r="FDG2490" s="58"/>
      <c r="FDH2490" s="58"/>
      <c r="FDI2490" s="58"/>
      <c r="FDJ2490" s="60"/>
      <c r="FDK2490" s="60"/>
      <c r="FDL2490" s="60"/>
      <c r="FDM2490" s="58"/>
      <c r="FDN2490" s="61"/>
      <c r="FDO2490" s="58"/>
      <c r="FDP2490" s="58"/>
      <c r="FDQ2490" s="58"/>
      <c r="FDR2490" s="60"/>
      <c r="FDS2490" s="60"/>
      <c r="FDT2490" s="60"/>
      <c r="FDU2490" s="58"/>
      <c r="FDV2490" s="61"/>
      <c r="FDW2490" s="58"/>
      <c r="FDX2490" s="58"/>
      <c r="FDY2490" s="58"/>
      <c r="FDZ2490" s="60"/>
      <c r="FEA2490" s="60"/>
      <c r="FEB2490" s="60"/>
      <c r="FEC2490" s="58"/>
      <c r="FED2490" s="61"/>
      <c r="FEE2490" s="58"/>
      <c r="FEF2490" s="58"/>
      <c r="FEG2490" s="58"/>
      <c r="FEH2490" s="60"/>
      <c r="FEI2490" s="60"/>
      <c r="FEJ2490" s="60"/>
      <c r="FEK2490" s="58"/>
      <c r="FEL2490" s="61"/>
      <c r="FEM2490" s="58"/>
      <c r="FEN2490" s="58"/>
      <c r="FEO2490" s="58"/>
      <c r="FEP2490" s="60"/>
      <c r="FEQ2490" s="60"/>
      <c r="FER2490" s="60"/>
      <c r="FES2490" s="58"/>
      <c r="FET2490" s="61"/>
      <c r="FEU2490" s="58"/>
      <c r="FEV2490" s="58"/>
      <c r="FEW2490" s="58"/>
      <c r="FEX2490" s="60"/>
      <c r="FEY2490" s="60"/>
      <c r="FEZ2490" s="60"/>
      <c r="FFA2490" s="58"/>
      <c r="FFB2490" s="61"/>
      <c r="FFC2490" s="58"/>
      <c r="FFD2490" s="58"/>
      <c r="FFE2490" s="58"/>
      <c r="FFF2490" s="60"/>
      <c r="FFG2490" s="60"/>
      <c r="FFH2490" s="60"/>
      <c r="FFI2490" s="58"/>
      <c r="FFJ2490" s="61"/>
      <c r="FFK2490" s="58"/>
      <c r="FFL2490" s="58"/>
      <c r="FFM2490" s="58"/>
      <c r="FFN2490" s="60"/>
      <c r="FFO2490" s="60"/>
      <c r="FFP2490" s="60"/>
      <c r="FFQ2490" s="58"/>
      <c r="FFR2490" s="61"/>
      <c r="FFS2490" s="58"/>
      <c r="FFT2490" s="58"/>
      <c r="FFU2490" s="58"/>
      <c r="FFV2490" s="60"/>
      <c r="FFW2490" s="60"/>
      <c r="FFX2490" s="60"/>
      <c r="FFY2490" s="58"/>
      <c r="FFZ2490" s="61"/>
      <c r="FGA2490" s="58"/>
      <c r="FGB2490" s="58"/>
      <c r="FGC2490" s="58"/>
      <c r="FGD2490" s="60"/>
      <c r="FGE2490" s="60"/>
      <c r="FGF2490" s="60"/>
      <c r="FGG2490" s="58"/>
      <c r="FGH2490" s="61"/>
      <c r="FGI2490" s="58"/>
      <c r="FGJ2490" s="58"/>
      <c r="FGK2490" s="58"/>
      <c r="FGL2490" s="60"/>
      <c r="FGM2490" s="60"/>
      <c r="FGN2490" s="60"/>
      <c r="FGO2490" s="58"/>
      <c r="FGP2490" s="61"/>
      <c r="FGQ2490" s="58"/>
      <c r="FGR2490" s="58"/>
      <c r="FGS2490" s="58"/>
      <c r="FGT2490" s="60"/>
      <c r="FGU2490" s="60"/>
      <c r="FGV2490" s="60"/>
      <c r="FGW2490" s="58"/>
      <c r="FGX2490" s="61"/>
      <c r="FGY2490" s="58"/>
      <c r="FGZ2490" s="58"/>
      <c r="FHA2490" s="58"/>
      <c r="FHB2490" s="60"/>
      <c r="FHC2490" s="60"/>
      <c r="FHD2490" s="60"/>
      <c r="FHE2490" s="58"/>
      <c r="FHF2490" s="61"/>
      <c r="FHG2490" s="58"/>
      <c r="FHH2490" s="58"/>
      <c r="FHI2490" s="58"/>
      <c r="FHJ2490" s="60"/>
      <c r="FHK2490" s="60"/>
      <c r="FHL2490" s="60"/>
      <c r="FHM2490" s="58"/>
      <c r="FHN2490" s="61"/>
      <c r="FHO2490" s="58"/>
      <c r="FHP2490" s="58"/>
      <c r="FHQ2490" s="58"/>
      <c r="FHR2490" s="60"/>
      <c r="FHS2490" s="60"/>
      <c r="FHT2490" s="60"/>
      <c r="FHU2490" s="58"/>
      <c r="FHV2490" s="61"/>
      <c r="FHW2490" s="58"/>
      <c r="FHX2490" s="58"/>
      <c r="FHY2490" s="58"/>
      <c r="FHZ2490" s="60"/>
      <c r="FIA2490" s="60"/>
      <c r="FIB2490" s="60"/>
      <c r="FIC2490" s="58"/>
      <c r="FID2490" s="61"/>
      <c r="FIE2490" s="58"/>
      <c r="FIF2490" s="58"/>
      <c r="FIG2490" s="58"/>
      <c r="FIH2490" s="60"/>
      <c r="FII2490" s="60"/>
      <c r="FIJ2490" s="60"/>
      <c r="FIK2490" s="58"/>
      <c r="FIL2490" s="61"/>
      <c r="FIM2490" s="58"/>
      <c r="FIN2490" s="58"/>
      <c r="FIO2490" s="58"/>
      <c r="FIP2490" s="60"/>
      <c r="FIQ2490" s="60"/>
      <c r="FIR2490" s="60"/>
      <c r="FIS2490" s="58"/>
      <c r="FIT2490" s="61"/>
      <c r="FIU2490" s="58"/>
      <c r="FIV2490" s="58"/>
      <c r="FIW2490" s="58"/>
      <c r="FIX2490" s="60"/>
      <c r="FIY2490" s="60"/>
      <c r="FIZ2490" s="60"/>
      <c r="FJA2490" s="58"/>
      <c r="FJB2490" s="61"/>
      <c r="FJC2490" s="58"/>
      <c r="FJD2490" s="58"/>
      <c r="FJE2490" s="58"/>
      <c r="FJF2490" s="60"/>
      <c r="FJG2490" s="60"/>
      <c r="FJH2490" s="60"/>
      <c r="FJI2490" s="58"/>
      <c r="FJJ2490" s="61"/>
      <c r="FJK2490" s="58"/>
      <c r="FJL2490" s="58"/>
      <c r="FJM2490" s="58"/>
      <c r="FJN2490" s="60"/>
      <c r="FJO2490" s="60"/>
      <c r="FJP2490" s="60"/>
      <c r="FJQ2490" s="58"/>
      <c r="FJR2490" s="61"/>
      <c r="FJS2490" s="58"/>
      <c r="FJT2490" s="58"/>
      <c r="FJU2490" s="58"/>
      <c r="FJV2490" s="60"/>
      <c r="FJW2490" s="60"/>
      <c r="FJX2490" s="60"/>
      <c r="FJY2490" s="58"/>
      <c r="FJZ2490" s="61"/>
      <c r="FKA2490" s="58"/>
      <c r="FKB2490" s="58"/>
      <c r="FKC2490" s="58"/>
      <c r="FKD2490" s="60"/>
      <c r="FKE2490" s="60"/>
      <c r="FKF2490" s="60"/>
      <c r="FKG2490" s="58"/>
      <c r="FKH2490" s="61"/>
      <c r="FKI2490" s="58"/>
      <c r="FKJ2490" s="58"/>
      <c r="FKK2490" s="58"/>
      <c r="FKL2490" s="60"/>
      <c r="FKM2490" s="60"/>
      <c r="FKN2490" s="60"/>
      <c r="FKO2490" s="58"/>
      <c r="FKP2490" s="61"/>
      <c r="FKQ2490" s="58"/>
      <c r="FKR2490" s="58"/>
      <c r="FKS2490" s="58"/>
      <c r="FKT2490" s="60"/>
      <c r="FKU2490" s="60"/>
      <c r="FKV2490" s="60"/>
      <c r="FKW2490" s="58"/>
      <c r="FKX2490" s="61"/>
      <c r="FKY2490" s="58"/>
      <c r="FKZ2490" s="58"/>
      <c r="FLA2490" s="58"/>
      <c r="FLB2490" s="60"/>
      <c r="FLC2490" s="60"/>
      <c r="FLD2490" s="60"/>
      <c r="FLE2490" s="58"/>
      <c r="FLF2490" s="61"/>
      <c r="FLG2490" s="58"/>
      <c r="FLH2490" s="58"/>
      <c r="FLI2490" s="58"/>
      <c r="FLJ2490" s="60"/>
      <c r="FLK2490" s="60"/>
      <c r="FLL2490" s="60"/>
      <c r="FLM2490" s="58"/>
      <c r="FLN2490" s="61"/>
      <c r="FLO2490" s="58"/>
      <c r="FLP2490" s="58"/>
      <c r="FLQ2490" s="58"/>
      <c r="FLR2490" s="60"/>
      <c r="FLS2490" s="60"/>
      <c r="FLT2490" s="60"/>
      <c r="FLU2490" s="58"/>
      <c r="FLV2490" s="61"/>
      <c r="FLW2490" s="58"/>
      <c r="FLX2490" s="58"/>
      <c r="FLY2490" s="58"/>
      <c r="FLZ2490" s="60"/>
      <c r="FMA2490" s="60"/>
      <c r="FMB2490" s="60"/>
      <c r="FMC2490" s="58"/>
      <c r="FMD2490" s="61"/>
      <c r="FME2490" s="58"/>
      <c r="FMF2490" s="58"/>
      <c r="FMG2490" s="58"/>
      <c r="FMH2490" s="60"/>
      <c r="FMI2490" s="60"/>
      <c r="FMJ2490" s="60"/>
      <c r="FMK2490" s="58"/>
      <c r="FML2490" s="61"/>
      <c r="FMM2490" s="58"/>
      <c r="FMN2490" s="58"/>
      <c r="FMO2490" s="58"/>
      <c r="FMP2490" s="60"/>
      <c r="FMQ2490" s="60"/>
      <c r="FMR2490" s="60"/>
      <c r="FMS2490" s="58"/>
      <c r="FMT2490" s="61"/>
      <c r="FMU2490" s="58"/>
      <c r="FMV2490" s="58"/>
      <c r="FMW2490" s="58"/>
      <c r="FMX2490" s="60"/>
      <c r="FMY2490" s="60"/>
      <c r="FMZ2490" s="60"/>
      <c r="FNA2490" s="58"/>
      <c r="FNB2490" s="61"/>
      <c r="FNC2490" s="58"/>
      <c r="FND2490" s="58"/>
      <c r="FNE2490" s="58"/>
      <c r="FNF2490" s="60"/>
      <c r="FNG2490" s="60"/>
      <c r="FNH2490" s="60"/>
      <c r="FNI2490" s="58"/>
      <c r="FNJ2490" s="61"/>
      <c r="FNK2490" s="58"/>
      <c r="FNL2490" s="58"/>
      <c r="FNM2490" s="58"/>
      <c r="FNN2490" s="60"/>
      <c r="FNO2490" s="60"/>
      <c r="FNP2490" s="60"/>
      <c r="FNQ2490" s="58"/>
      <c r="FNR2490" s="61"/>
      <c r="FNS2490" s="58"/>
      <c r="FNT2490" s="58"/>
      <c r="FNU2490" s="58"/>
      <c r="FNV2490" s="60"/>
      <c r="FNW2490" s="60"/>
      <c r="FNX2490" s="60"/>
      <c r="FNY2490" s="58"/>
      <c r="FNZ2490" s="61"/>
      <c r="FOA2490" s="58"/>
      <c r="FOB2490" s="58"/>
      <c r="FOC2490" s="58"/>
      <c r="FOD2490" s="60"/>
      <c r="FOE2490" s="60"/>
      <c r="FOF2490" s="60"/>
      <c r="FOG2490" s="58"/>
      <c r="FOH2490" s="61"/>
      <c r="FOI2490" s="58"/>
      <c r="FOJ2490" s="58"/>
      <c r="FOK2490" s="58"/>
      <c r="FOL2490" s="60"/>
      <c r="FOM2490" s="60"/>
      <c r="FON2490" s="60"/>
      <c r="FOO2490" s="58"/>
      <c r="FOP2490" s="61"/>
      <c r="FOQ2490" s="58"/>
      <c r="FOR2490" s="58"/>
      <c r="FOS2490" s="58"/>
      <c r="FOT2490" s="60"/>
      <c r="FOU2490" s="60"/>
      <c r="FOV2490" s="60"/>
      <c r="FOW2490" s="58"/>
      <c r="FOX2490" s="61"/>
      <c r="FOY2490" s="58"/>
      <c r="FOZ2490" s="58"/>
      <c r="FPA2490" s="58"/>
      <c r="FPB2490" s="60"/>
      <c r="FPC2490" s="60"/>
      <c r="FPD2490" s="60"/>
      <c r="FPE2490" s="58"/>
      <c r="FPF2490" s="61"/>
      <c r="FPG2490" s="58"/>
      <c r="FPH2490" s="58"/>
      <c r="FPI2490" s="58"/>
      <c r="FPJ2490" s="60"/>
      <c r="FPK2490" s="60"/>
      <c r="FPL2490" s="60"/>
      <c r="FPM2490" s="58"/>
      <c r="FPN2490" s="61"/>
      <c r="FPO2490" s="58"/>
      <c r="FPP2490" s="58"/>
      <c r="FPQ2490" s="58"/>
      <c r="FPR2490" s="60"/>
      <c r="FPS2490" s="60"/>
      <c r="FPT2490" s="60"/>
      <c r="FPU2490" s="58"/>
      <c r="FPV2490" s="61"/>
      <c r="FPW2490" s="58"/>
      <c r="FPX2490" s="58"/>
      <c r="FPY2490" s="58"/>
      <c r="FPZ2490" s="60"/>
      <c r="FQA2490" s="60"/>
      <c r="FQB2490" s="60"/>
      <c r="FQC2490" s="58"/>
      <c r="FQD2490" s="61"/>
      <c r="FQE2490" s="58"/>
      <c r="FQF2490" s="58"/>
      <c r="FQG2490" s="58"/>
      <c r="FQH2490" s="60"/>
      <c r="FQI2490" s="60"/>
      <c r="FQJ2490" s="60"/>
      <c r="FQK2490" s="58"/>
      <c r="FQL2490" s="61"/>
      <c r="FQM2490" s="58"/>
      <c r="FQN2490" s="58"/>
      <c r="FQO2490" s="58"/>
      <c r="FQP2490" s="60"/>
      <c r="FQQ2490" s="60"/>
      <c r="FQR2490" s="60"/>
      <c r="FQS2490" s="58"/>
      <c r="FQT2490" s="61"/>
      <c r="FQU2490" s="58"/>
      <c r="FQV2490" s="58"/>
      <c r="FQW2490" s="58"/>
      <c r="FQX2490" s="60"/>
      <c r="FQY2490" s="60"/>
      <c r="FQZ2490" s="60"/>
      <c r="FRA2490" s="58"/>
      <c r="FRB2490" s="61"/>
      <c r="FRC2490" s="58"/>
      <c r="FRD2490" s="58"/>
      <c r="FRE2490" s="58"/>
      <c r="FRF2490" s="60"/>
      <c r="FRG2490" s="60"/>
      <c r="FRH2490" s="60"/>
      <c r="FRI2490" s="58"/>
      <c r="FRJ2490" s="61"/>
      <c r="FRK2490" s="58"/>
      <c r="FRL2490" s="58"/>
      <c r="FRM2490" s="58"/>
      <c r="FRN2490" s="60"/>
      <c r="FRO2490" s="60"/>
      <c r="FRP2490" s="60"/>
      <c r="FRQ2490" s="58"/>
      <c r="FRR2490" s="61"/>
      <c r="FRS2490" s="58"/>
      <c r="FRT2490" s="58"/>
      <c r="FRU2490" s="58"/>
      <c r="FRV2490" s="60"/>
      <c r="FRW2490" s="60"/>
      <c r="FRX2490" s="60"/>
      <c r="FRY2490" s="58"/>
      <c r="FRZ2490" s="61"/>
      <c r="FSA2490" s="58"/>
      <c r="FSB2490" s="58"/>
      <c r="FSC2490" s="58"/>
      <c r="FSD2490" s="60"/>
      <c r="FSE2490" s="60"/>
      <c r="FSF2490" s="60"/>
      <c r="FSG2490" s="58"/>
      <c r="FSH2490" s="61"/>
      <c r="FSI2490" s="58"/>
      <c r="FSJ2490" s="58"/>
      <c r="FSK2490" s="58"/>
      <c r="FSL2490" s="60"/>
      <c r="FSM2490" s="60"/>
      <c r="FSN2490" s="60"/>
      <c r="FSO2490" s="58"/>
      <c r="FSP2490" s="61"/>
      <c r="FSQ2490" s="58"/>
      <c r="FSR2490" s="58"/>
      <c r="FSS2490" s="58"/>
      <c r="FST2490" s="60"/>
      <c r="FSU2490" s="60"/>
      <c r="FSV2490" s="60"/>
      <c r="FSW2490" s="58"/>
      <c r="FSX2490" s="61"/>
      <c r="FSY2490" s="58"/>
      <c r="FSZ2490" s="58"/>
      <c r="FTA2490" s="58"/>
      <c r="FTB2490" s="60"/>
      <c r="FTC2490" s="60"/>
      <c r="FTD2490" s="60"/>
      <c r="FTE2490" s="58"/>
      <c r="FTF2490" s="61"/>
      <c r="FTG2490" s="58"/>
      <c r="FTH2490" s="58"/>
      <c r="FTI2490" s="58"/>
      <c r="FTJ2490" s="60"/>
      <c r="FTK2490" s="60"/>
      <c r="FTL2490" s="60"/>
      <c r="FTM2490" s="58"/>
      <c r="FTN2490" s="61"/>
      <c r="FTO2490" s="58"/>
      <c r="FTP2490" s="58"/>
      <c r="FTQ2490" s="58"/>
      <c r="FTR2490" s="60"/>
      <c r="FTS2490" s="60"/>
      <c r="FTT2490" s="60"/>
      <c r="FTU2490" s="58"/>
      <c r="FTV2490" s="61"/>
      <c r="FTW2490" s="58"/>
      <c r="FTX2490" s="58"/>
      <c r="FTY2490" s="58"/>
      <c r="FTZ2490" s="60"/>
      <c r="FUA2490" s="60"/>
      <c r="FUB2490" s="60"/>
      <c r="FUC2490" s="58"/>
      <c r="FUD2490" s="61"/>
      <c r="FUE2490" s="58"/>
      <c r="FUF2490" s="58"/>
      <c r="FUG2490" s="58"/>
      <c r="FUH2490" s="60"/>
      <c r="FUI2490" s="60"/>
      <c r="FUJ2490" s="60"/>
      <c r="FUK2490" s="58"/>
      <c r="FUL2490" s="61"/>
      <c r="FUM2490" s="58"/>
      <c r="FUN2490" s="58"/>
      <c r="FUO2490" s="58"/>
      <c r="FUP2490" s="60"/>
      <c r="FUQ2490" s="60"/>
      <c r="FUR2490" s="60"/>
      <c r="FUS2490" s="58"/>
      <c r="FUT2490" s="61"/>
      <c r="FUU2490" s="58"/>
      <c r="FUV2490" s="58"/>
      <c r="FUW2490" s="58"/>
      <c r="FUX2490" s="60"/>
      <c r="FUY2490" s="60"/>
      <c r="FUZ2490" s="60"/>
      <c r="FVA2490" s="58"/>
      <c r="FVB2490" s="61"/>
      <c r="FVC2490" s="58"/>
      <c r="FVD2490" s="58"/>
      <c r="FVE2490" s="58"/>
      <c r="FVF2490" s="60"/>
      <c r="FVG2490" s="60"/>
      <c r="FVH2490" s="60"/>
      <c r="FVI2490" s="58"/>
      <c r="FVJ2490" s="61"/>
      <c r="FVK2490" s="58"/>
      <c r="FVL2490" s="58"/>
      <c r="FVM2490" s="58"/>
      <c r="FVN2490" s="60"/>
      <c r="FVO2490" s="60"/>
      <c r="FVP2490" s="60"/>
      <c r="FVQ2490" s="58"/>
      <c r="FVR2490" s="61"/>
      <c r="FVS2490" s="58"/>
      <c r="FVT2490" s="58"/>
      <c r="FVU2490" s="58"/>
      <c r="FVV2490" s="60"/>
      <c r="FVW2490" s="60"/>
      <c r="FVX2490" s="60"/>
      <c r="FVY2490" s="58"/>
      <c r="FVZ2490" s="61"/>
      <c r="FWA2490" s="58"/>
      <c r="FWB2490" s="58"/>
      <c r="FWC2490" s="58"/>
      <c r="FWD2490" s="60"/>
      <c r="FWE2490" s="60"/>
      <c r="FWF2490" s="60"/>
      <c r="FWG2490" s="58"/>
      <c r="FWH2490" s="61"/>
      <c r="FWI2490" s="58"/>
      <c r="FWJ2490" s="58"/>
      <c r="FWK2490" s="58"/>
      <c r="FWL2490" s="60"/>
      <c r="FWM2490" s="60"/>
      <c r="FWN2490" s="60"/>
      <c r="FWO2490" s="58"/>
      <c r="FWP2490" s="61"/>
      <c r="FWQ2490" s="58"/>
      <c r="FWR2490" s="58"/>
      <c r="FWS2490" s="58"/>
      <c r="FWT2490" s="60"/>
      <c r="FWU2490" s="60"/>
      <c r="FWV2490" s="60"/>
      <c r="FWW2490" s="58"/>
      <c r="FWX2490" s="61"/>
      <c r="FWY2490" s="58"/>
      <c r="FWZ2490" s="58"/>
      <c r="FXA2490" s="58"/>
      <c r="FXB2490" s="60"/>
      <c r="FXC2490" s="60"/>
      <c r="FXD2490" s="60"/>
      <c r="FXE2490" s="58"/>
      <c r="FXF2490" s="61"/>
      <c r="FXG2490" s="58"/>
      <c r="FXH2490" s="58"/>
      <c r="FXI2490" s="58"/>
      <c r="FXJ2490" s="60"/>
      <c r="FXK2490" s="60"/>
      <c r="FXL2490" s="60"/>
      <c r="FXM2490" s="58"/>
      <c r="FXN2490" s="61"/>
      <c r="FXO2490" s="58"/>
      <c r="FXP2490" s="58"/>
      <c r="FXQ2490" s="58"/>
      <c r="FXR2490" s="60"/>
      <c r="FXS2490" s="60"/>
      <c r="FXT2490" s="60"/>
      <c r="FXU2490" s="58"/>
      <c r="FXV2490" s="61"/>
      <c r="FXW2490" s="58"/>
      <c r="FXX2490" s="58"/>
      <c r="FXY2490" s="58"/>
      <c r="FXZ2490" s="60"/>
      <c r="FYA2490" s="60"/>
      <c r="FYB2490" s="60"/>
      <c r="FYC2490" s="58"/>
      <c r="FYD2490" s="61"/>
      <c r="FYE2490" s="58"/>
      <c r="FYF2490" s="58"/>
      <c r="FYG2490" s="58"/>
      <c r="FYH2490" s="60"/>
      <c r="FYI2490" s="60"/>
      <c r="FYJ2490" s="60"/>
      <c r="FYK2490" s="58"/>
      <c r="FYL2490" s="61"/>
      <c r="FYM2490" s="58"/>
      <c r="FYN2490" s="58"/>
      <c r="FYO2490" s="58"/>
      <c r="FYP2490" s="60"/>
      <c r="FYQ2490" s="60"/>
      <c r="FYR2490" s="60"/>
      <c r="FYS2490" s="58"/>
      <c r="FYT2490" s="61"/>
      <c r="FYU2490" s="58"/>
      <c r="FYV2490" s="58"/>
      <c r="FYW2490" s="58"/>
      <c r="FYX2490" s="60"/>
      <c r="FYY2490" s="60"/>
      <c r="FYZ2490" s="60"/>
      <c r="FZA2490" s="58"/>
      <c r="FZB2490" s="61"/>
      <c r="FZC2490" s="58"/>
      <c r="FZD2490" s="58"/>
      <c r="FZE2490" s="58"/>
      <c r="FZF2490" s="60"/>
      <c r="FZG2490" s="60"/>
      <c r="FZH2490" s="60"/>
      <c r="FZI2490" s="58"/>
      <c r="FZJ2490" s="61"/>
      <c r="FZK2490" s="58"/>
      <c r="FZL2490" s="58"/>
      <c r="FZM2490" s="58"/>
      <c r="FZN2490" s="60"/>
      <c r="FZO2490" s="60"/>
      <c r="FZP2490" s="60"/>
      <c r="FZQ2490" s="58"/>
      <c r="FZR2490" s="61"/>
      <c r="FZS2490" s="58"/>
      <c r="FZT2490" s="58"/>
      <c r="FZU2490" s="58"/>
      <c r="FZV2490" s="60"/>
      <c r="FZW2490" s="60"/>
      <c r="FZX2490" s="60"/>
      <c r="FZY2490" s="58"/>
      <c r="FZZ2490" s="61"/>
      <c r="GAA2490" s="58"/>
      <c r="GAB2490" s="58"/>
      <c r="GAC2490" s="58"/>
      <c r="GAD2490" s="60"/>
      <c r="GAE2490" s="60"/>
      <c r="GAF2490" s="60"/>
      <c r="GAG2490" s="58"/>
      <c r="GAH2490" s="61"/>
      <c r="GAI2490" s="58"/>
      <c r="GAJ2490" s="58"/>
      <c r="GAK2490" s="58"/>
      <c r="GAL2490" s="60"/>
      <c r="GAM2490" s="60"/>
      <c r="GAN2490" s="60"/>
      <c r="GAO2490" s="58"/>
      <c r="GAP2490" s="61"/>
      <c r="GAQ2490" s="58"/>
      <c r="GAR2490" s="58"/>
      <c r="GAS2490" s="58"/>
      <c r="GAT2490" s="60"/>
      <c r="GAU2490" s="60"/>
      <c r="GAV2490" s="60"/>
      <c r="GAW2490" s="58"/>
      <c r="GAX2490" s="61"/>
      <c r="GAY2490" s="58"/>
      <c r="GAZ2490" s="58"/>
      <c r="GBA2490" s="58"/>
      <c r="GBB2490" s="60"/>
      <c r="GBC2490" s="60"/>
      <c r="GBD2490" s="60"/>
      <c r="GBE2490" s="58"/>
      <c r="GBF2490" s="61"/>
      <c r="GBG2490" s="58"/>
      <c r="GBH2490" s="58"/>
      <c r="GBI2490" s="58"/>
      <c r="GBJ2490" s="60"/>
      <c r="GBK2490" s="60"/>
      <c r="GBL2490" s="60"/>
      <c r="GBM2490" s="58"/>
      <c r="GBN2490" s="61"/>
      <c r="GBO2490" s="58"/>
      <c r="GBP2490" s="58"/>
      <c r="GBQ2490" s="58"/>
      <c r="GBR2490" s="60"/>
      <c r="GBS2490" s="60"/>
      <c r="GBT2490" s="60"/>
      <c r="GBU2490" s="58"/>
      <c r="GBV2490" s="61"/>
      <c r="GBW2490" s="58"/>
      <c r="GBX2490" s="58"/>
      <c r="GBY2490" s="58"/>
      <c r="GBZ2490" s="60"/>
      <c r="GCA2490" s="60"/>
      <c r="GCB2490" s="60"/>
      <c r="GCC2490" s="58"/>
      <c r="GCD2490" s="61"/>
      <c r="GCE2490" s="58"/>
      <c r="GCF2490" s="58"/>
      <c r="GCG2490" s="58"/>
      <c r="GCH2490" s="60"/>
      <c r="GCI2490" s="60"/>
      <c r="GCJ2490" s="60"/>
      <c r="GCK2490" s="58"/>
      <c r="GCL2490" s="61"/>
      <c r="GCM2490" s="58"/>
      <c r="GCN2490" s="58"/>
      <c r="GCO2490" s="58"/>
      <c r="GCP2490" s="60"/>
      <c r="GCQ2490" s="60"/>
      <c r="GCR2490" s="60"/>
      <c r="GCS2490" s="58"/>
      <c r="GCT2490" s="61"/>
      <c r="GCU2490" s="58"/>
      <c r="GCV2490" s="58"/>
      <c r="GCW2490" s="58"/>
      <c r="GCX2490" s="60"/>
      <c r="GCY2490" s="60"/>
      <c r="GCZ2490" s="60"/>
      <c r="GDA2490" s="58"/>
      <c r="GDB2490" s="61"/>
      <c r="GDC2490" s="58"/>
      <c r="GDD2490" s="58"/>
      <c r="GDE2490" s="58"/>
      <c r="GDF2490" s="60"/>
      <c r="GDG2490" s="60"/>
      <c r="GDH2490" s="60"/>
      <c r="GDI2490" s="58"/>
      <c r="GDJ2490" s="61"/>
      <c r="GDK2490" s="58"/>
      <c r="GDL2490" s="58"/>
      <c r="GDM2490" s="58"/>
      <c r="GDN2490" s="60"/>
      <c r="GDO2490" s="60"/>
      <c r="GDP2490" s="60"/>
      <c r="GDQ2490" s="58"/>
      <c r="GDR2490" s="61"/>
      <c r="GDS2490" s="58"/>
      <c r="GDT2490" s="58"/>
      <c r="GDU2490" s="58"/>
      <c r="GDV2490" s="60"/>
      <c r="GDW2490" s="60"/>
      <c r="GDX2490" s="60"/>
      <c r="GDY2490" s="58"/>
      <c r="GDZ2490" s="61"/>
      <c r="GEA2490" s="58"/>
      <c r="GEB2490" s="58"/>
      <c r="GEC2490" s="58"/>
      <c r="GED2490" s="60"/>
      <c r="GEE2490" s="60"/>
      <c r="GEF2490" s="60"/>
      <c r="GEG2490" s="58"/>
      <c r="GEH2490" s="61"/>
      <c r="GEI2490" s="58"/>
      <c r="GEJ2490" s="58"/>
      <c r="GEK2490" s="58"/>
      <c r="GEL2490" s="60"/>
      <c r="GEM2490" s="60"/>
      <c r="GEN2490" s="60"/>
      <c r="GEO2490" s="58"/>
      <c r="GEP2490" s="61"/>
      <c r="GEQ2490" s="58"/>
      <c r="GER2490" s="58"/>
      <c r="GES2490" s="58"/>
      <c r="GET2490" s="60"/>
      <c r="GEU2490" s="60"/>
      <c r="GEV2490" s="60"/>
      <c r="GEW2490" s="58"/>
      <c r="GEX2490" s="61"/>
      <c r="GEY2490" s="58"/>
      <c r="GEZ2490" s="58"/>
      <c r="GFA2490" s="58"/>
      <c r="GFB2490" s="60"/>
      <c r="GFC2490" s="60"/>
      <c r="GFD2490" s="60"/>
      <c r="GFE2490" s="58"/>
      <c r="GFF2490" s="61"/>
      <c r="GFG2490" s="58"/>
      <c r="GFH2490" s="58"/>
      <c r="GFI2490" s="58"/>
      <c r="GFJ2490" s="60"/>
      <c r="GFK2490" s="60"/>
      <c r="GFL2490" s="60"/>
      <c r="GFM2490" s="58"/>
      <c r="GFN2490" s="61"/>
      <c r="GFO2490" s="58"/>
      <c r="GFP2490" s="58"/>
      <c r="GFQ2490" s="58"/>
      <c r="GFR2490" s="60"/>
      <c r="GFS2490" s="60"/>
      <c r="GFT2490" s="60"/>
      <c r="GFU2490" s="58"/>
      <c r="GFV2490" s="61"/>
      <c r="GFW2490" s="58"/>
      <c r="GFX2490" s="58"/>
      <c r="GFY2490" s="58"/>
      <c r="GFZ2490" s="60"/>
      <c r="GGA2490" s="60"/>
      <c r="GGB2490" s="60"/>
      <c r="GGC2490" s="58"/>
      <c r="GGD2490" s="61"/>
      <c r="GGE2490" s="58"/>
      <c r="GGF2490" s="58"/>
      <c r="GGG2490" s="58"/>
      <c r="GGH2490" s="60"/>
      <c r="GGI2490" s="60"/>
      <c r="GGJ2490" s="60"/>
      <c r="GGK2490" s="58"/>
      <c r="GGL2490" s="61"/>
      <c r="GGM2490" s="58"/>
      <c r="GGN2490" s="58"/>
      <c r="GGO2490" s="58"/>
      <c r="GGP2490" s="60"/>
      <c r="GGQ2490" s="60"/>
      <c r="GGR2490" s="60"/>
      <c r="GGS2490" s="58"/>
      <c r="GGT2490" s="61"/>
      <c r="GGU2490" s="58"/>
      <c r="GGV2490" s="58"/>
      <c r="GGW2490" s="58"/>
      <c r="GGX2490" s="60"/>
      <c r="GGY2490" s="60"/>
      <c r="GGZ2490" s="60"/>
      <c r="GHA2490" s="58"/>
      <c r="GHB2490" s="61"/>
      <c r="GHC2490" s="58"/>
      <c r="GHD2490" s="58"/>
      <c r="GHE2490" s="58"/>
      <c r="GHF2490" s="60"/>
      <c r="GHG2490" s="60"/>
      <c r="GHH2490" s="60"/>
      <c r="GHI2490" s="58"/>
      <c r="GHJ2490" s="61"/>
      <c r="GHK2490" s="58"/>
      <c r="GHL2490" s="58"/>
      <c r="GHM2490" s="58"/>
      <c r="GHN2490" s="60"/>
      <c r="GHO2490" s="60"/>
      <c r="GHP2490" s="60"/>
      <c r="GHQ2490" s="58"/>
      <c r="GHR2490" s="61"/>
      <c r="GHS2490" s="58"/>
      <c r="GHT2490" s="58"/>
      <c r="GHU2490" s="58"/>
      <c r="GHV2490" s="60"/>
      <c r="GHW2490" s="60"/>
      <c r="GHX2490" s="60"/>
      <c r="GHY2490" s="58"/>
      <c r="GHZ2490" s="61"/>
      <c r="GIA2490" s="58"/>
      <c r="GIB2490" s="58"/>
      <c r="GIC2490" s="58"/>
      <c r="GID2490" s="60"/>
      <c r="GIE2490" s="60"/>
      <c r="GIF2490" s="60"/>
      <c r="GIG2490" s="58"/>
      <c r="GIH2490" s="61"/>
      <c r="GII2490" s="58"/>
      <c r="GIJ2490" s="58"/>
      <c r="GIK2490" s="58"/>
      <c r="GIL2490" s="60"/>
      <c r="GIM2490" s="60"/>
      <c r="GIN2490" s="60"/>
      <c r="GIO2490" s="58"/>
      <c r="GIP2490" s="61"/>
      <c r="GIQ2490" s="58"/>
      <c r="GIR2490" s="58"/>
      <c r="GIS2490" s="58"/>
      <c r="GIT2490" s="60"/>
      <c r="GIU2490" s="60"/>
      <c r="GIV2490" s="60"/>
      <c r="GIW2490" s="58"/>
      <c r="GIX2490" s="61"/>
      <c r="GIY2490" s="58"/>
      <c r="GIZ2490" s="58"/>
      <c r="GJA2490" s="58"/>
      <c r="GJB2490" s="60"/>
      <c r="GJC2490" s="60"/>
      <c r="GJD2490" s="60"/>
      <c r="GJE2490" s="58"/>
      <c r="GJF2490" s="61"/>
      <c r="GJG2490" s="58"/>
      <c r="GJH2490" s="58"/>
      <c r="GJI2490" s="58"/>
      <c r="GJJ2490" s="60"/>
      <c r="GJK2490" s="60"/>
      <c r="GJL2490" s="60"/>
      <c r="GJM2490" s="58"/>
      <c r="GJN2490" s="61"/>
      <c r="GJO2490" s="58"/>
      <c r="GJP2490" s="58"/>
      <c r="GJQ2490" s="58"/>
      <c r="GJR2490" s="60"/>
      <c r="GJS2490" s="60"/>
      <c r="GJT2490" s="60"/>
      <c r="GJU2490" s="58"/>
      <c r="GJV2490" s="61"/>
      <c r="GJW2490" s="58"/>
      <c r="GJX2490" s="58"/>
      <c r="GJY2490" s="58"/>
      <c r="GJZ2490" s="60"/>
      <c r="GKA2490" s="60"/>
      <c r="GKB2490" s="60"/>
      <c r="GKC2490" s="58"/>
      <c r="GKD2490" s="61"/>
      <c r="GKE2490" s="58"/>
      <c r="GKF2490" s="58"/>
      <c r="GKG2490" s="58"/>
      <c r="GKH2490" s="60"/>
      <c r="GKI2490" s="60"/>
      <c r="GKJ2490" s="60"/>
      <c r="GKK2490" s="58"/>
      <c r="GKL2490" s="61"/>
      <c r="GKM2490" s="58"/>
      <c r="GKN2490" s="58"/>
      <c r="GKO2490" s="58"/>
      <c r="GKP2490" s="60"/>
      <c r="GKQ2490" s="60"/>
      <c r="GKR2490" s="60"/>
      <c r="GKS2490" s="58"/>
      <c r="GKT2490" s="61"/>
      <c r="GKU2490" s="58"/>
      <c r="GKV2490" s="58"/>
      <c r="GKW2490" s="58"/>
      <c r="GKX2490" s="60"/>
      <c r="GKY2490" s="60"/>
      <c r="GKZ2490" s="60"/>
      <c r="GLA2490" s="58"/>
      <c r="GLB2490" s="61"/>
      <c r="GLC2490" s="58"/>
      <c r="GLD2490" s="58"/>
      <c r="GLE2490" s="58"/>
      <c r="GLF2490" s="60"/>
      <c r="GLG2490" s="60"/>
      <c r="GLH2490" s="60"/>
      <c r="GLI2490" s="58"/>
      <c r="GLJ2490" s="61"/>
      <c r="GLK2490" s="58"/>
      <c r="GLL2490" s="58"/>
      <c r="GLM2490" s="58"/>
      <c r="GLN2490" s="60"/>
      <c r="GLO2490" s="60"/>
      <c r="GLP2490" s="60"/>
      <c r="GLQ2490" s="58"/>
      <c r="GLR2490" s="61"/>
      <c r="GLS2490" s="58"/>
      <c r="GLT2490" s="58"/>
      <c r="GLU2490" s="58"/>
      <c r="GLV2490" s="60"/>
      <c r="GLW2490" s="60"/>
      <c r="GLX2490" s="60"/>
      <c r="GLY2490" s="58"/>
      <c r="GLZ2490" s="61"/>
      <c r="GMA2490" s="58"/>
      <c r="GMB2490" s="58"/>
      <c r="GMC2490" s="58"/>
      <c r="GMD2490" s="60"/>
      <c r="GME2490" s="60"/>
      <c r="GMF2490" s="60"/>
      <c r="GMG2490" s="58"/>
      <c r="GMH2490" s="61"/>
      <c r="GMI2490" s="58"/>
      <c r="GMJ2490" s="58"/>
      <c r="GMK2490" s="58"/>
      <c r="GML2490" s="60"/>
      <c r="GMM2490" s="60"/>
      <c r="GMN2490" s="60"/>
      <c r="GMO2490" s="58"/>
      <c r="GMP2490" s="61"/>
      <c r="GMQ2490" s="58"/>
      <c r="GMR2490" s="58"/>
      <c r="GMS2490" s="58"/>
      <c r="GMT2490" s="60"/>
      <c r="GMU2490" s="60"/>
      <c r="GMV2490" s="60"/>
      <c r="GMW2490" s="58"/>
      <c r="GMX2490" s="61"/>
      <c r="GMY2490" s="58"/>
      <c r="GMZ2490" s="58"/>
      <c r="GNA2490" s="58"/>
      <c r="GNB2490" s="60"/>
      <c r="GNC2490" s="60"/>
      <c r="GND2490" s="60"/>
      <c r="GNE2490" s="58"/>
      <c r="GNF2490" s="61"/>
      <c r="GNG2490" s="58"/>
      <c r="GNH2490" s="58"/>
      <c r="GNI2490" s="58"/>
      <c r="GNJ2490" s="60"/>
      <c r="GNK2490" s="60"/>
      <c r="GNL2490" s="60"/>
      <c r="GNM2490" s="58"/>
      <c r="GNN2490" s="61"/>
      <c r="GNO2490" s="58"/>
      <c r="GNP2490" s="58"/>
      <c r="GNQ2490" s="58"/>
      <c r="GNR2490" s="60"/>
      <c r="GNS2490" s="60"/>
      <c r="GNT2490" s="60"/>
      <c r="GNU2490" s="58"/>
      <c r="GNV2490" s="61"/>
      <c r="GNW2490" s="58"/>
      <c r="GNX2490" s="58"/>
      <c r="GNY2490" s="58"/>
      <c r="GNZ2490" s="60"/>
      <c r="GOA2490" s="60"/>
      <c r="GOB2490" s="60"/>
      <c r="GOC2490" s="58"/>
      <c r="GOD2490" s="61"/>
      <c r="GOE2490" s="58"/>
      <c r="GOF2490" s="58"/>
      <c r="GOG2490" s="58"/>
      <c r="GOH2490" s="60"/>
      <c r="GOI2490" s="60"/>
      <c r="GOJ2490" s="60"/>
      <c r="GOK2490" s="58"/>
      <c r="GOL2490" s="61"/>
      <c r="GOM2490" s="58"/>
      <c r="GON2490" s="58"/>
      <c r="GOO2490" s="58"/>
      <c r="GOP2490" s="60"/>
      <c r="GOQ2490" s="60"/>
      <c r="GOR2490" s="60"/>
      <c r="GOS2490" s="58"/>
      <c r="GOT2490" s="61"/>
      <c r="GOU2490" s="58"/>
      <c r="GOV2490" s="58"/>
      <c r="GOW2490" s="58"/>
      <c r="GOX2490" s="60"/>
      <c r="GOY2490" s="60"/>
      <c r="GOZ2490" s="60"/>
      <c r="GPA2490" s="58"/>
      <c r="GPB2490" s="61"/>
      <c r="GPC2490" s="58"/>
      <c r="GPD2490" s="58"/>
      <c r="GPE2490" s="58"/>
      <c r="GPF2490" s="60"/>
      <c r="GPG2490" s="60"/>
      <c r="GPH2490" s="60"/>
      <c r="GPI2490" s="58"/>
      <c r="GPJ2490" s="61"/>
      <c r="GPK2490" s="58"/>
      <c r="GPL2490" s="58"/>
      <c r="GPM2490" s="58"/>
      <c r="GPN2490" s="60"/>
      <c r="GPO2490" s="60"/>
      <c r="GPP2490" s="60"/>
      <c r="GPQ2490" s="58"/>
      <c r="GPR2490" s="61"/>
      <c r="GPS2490" s="58"/>
      <c r="GPT2490" s="58"/>
      <c r="GPU2490" s="58"/>
      <c r="GPV2490" s="60"/>
      <c r="GPW2490" s="60"/>
      <c r="GPX2490" s="60"/>
      <c r="GPY2490" s="58"/>
      <c r="GPZ2490" s="61"/>
      <c r="GQA2490" s="58"/>
      <c r="GQB2490" s="58"/>
      <c r="GQC2490" s="58"/>
      <c r="GQD2490" s="60"/>
      <c r="GQE2490" s="60"/>
      <c r="GQF2490" s="60"/>
      <c r="GQG2490" s="58"/>
      <c r="GQH2490" s="61"/>
      <c r="GQI2490" s="58"/>
      <c r="GQJ2490" s="58"/>
      <c r="GQK2490" s="58"/>
      <c r="GQL2490" s="60"/>
      <c r="GQM2490" s="60"/>
      <c r="GQN2490" s="60"/>
      <c r="GQO2490" s="58"/>
      <c r="GQP2490" s="61"/>
      <c r="GQQ2490" s="58"/>
      <c r="GQR2490" s="58"/>
      <c r="GQS2490" s="58"/>
      <c r="GQT2490" s="60"/>
      <c r="GQU2490" s="60"/>
      <c r="GQV2490" s="60"/>
      <c r="GQW2490" s="58"/>
      <c r="GQX2490" s="61"/>
      <c r="GQY2490" s="58"/>
      <c r="GQZ2490" s="58"/>
      <c r="GRA2490" s="58"/>
      <c r="GRB2490" s="60"/>
      <c r="GRC2490" s="60"/>
      <c r="GRD2490" s="60"/>
      <c r="GRE2490" s="58"/>
      <c r="GRF2490" s="61"/>
      <c r="GRG2490" s="58"/>
      <c r="GRH2490" s="58"/>
      <c r="GRI2490" s="58"/>
      <c r="GRJ2490" s="60"/>
      <c r="GRK2490" s="60"/>
      <c r="GRL2490" s="60"/>
      <c r="GRM2490" s="58"/>
      <c r="GRN2490" s="61"/>
      <c r="GRO2490" s="58"/>
      <c r="GRP2490" s="58"/>
      <c r="GRQ2490" s="58"/>
      <c r="GRR2490" s="60"/>
      <c r="GRS2490" s="60"/>
      <c r="GRT2490" s="60"/>
      <c r="GRU2490" s="58"/>
      <c r="GRV2490" s="61"/>
      <c r="GRW2490" s="58"/>
      <c r="GRX2490" s="58"/>
      <c r="GRY2490" s="58"/>
      <c r="GRZ2490" s="60"/>
      <c r="GSA2490" s="60"/>
      <c r="GSB2490" s="60"/>
      <c r="GSC2490" s="58"/>
      <c r="GSD2490" s="61"/>
      <c r="GSE2490" s="58"/>
      <c r="GSF2490" s="58"/>
      <c r="GSG2490" s="58"/>
      <c r="GSH2490" s="60"/>
      <c r="GSI2490" s="60"/>
      <c r="GSJ2490" s="60"/>
      <c r="GSK2490" s="58"/>
      <c r="GSL2490" s="61"/>
      <c r="GSM2490" s="58"/>
      <c r="GSN2490" s="58"/>
      <c r="GSO2490" s="58"/>
      <c r="GSP2490" s="60"/>
      <c r="GSQ2490" s="60"/>
      <c r="GSR2490" s="60"/>
      <c r="GSS2490" s="58"/>
      <c r="GST2490" s="61"/>
      <c r="GSU2490" s="58"/>
      <c r="GSV2490" s="58"/>
      <c r="GSW2490" s="58"/>
      <c r="GSX2490" s="60"/>
      <c r="GSY2490" s="60"/>
      <c r="GSZ2490" s="60"/>
      <c r="GTA2490" s="58"/>
      <c r="GTB2490" s="61"/>
      <c r="GTC2490" s="58"/>
      <c r="GTD2490" s="58"/>
      <c r="GTE2490" s="58"/>
      <c r="GTF2490" s="60"/>
      <c r="GTG2490" s="60"/>
      <c r="GTH2490" s="60"/>
      <c r="GTI2490" s="58"/>
      <c r="GTJ2490" s="61"/>
      <c r="GTK2490" s="58"/>
      <c r="GTL2490" s="58"/>
      <c r="GTM2490" s="58"/>
      <c r="GTN2490" s="60"/>
      <c r="GTO2490" s="60"/>
      <c r="GTP2490" s="60"/>
      <c r="GTQ2490" s="58"/>
      <c r="GTR2490" s="61"/>
      <c r="GTS2490" s="58"/>
      <c r="GTT2490" s="58"/>
      <c r="GTU2490" s="58"/>
      <c r="GTV2490" s="60"/>
      <c r="GTW2490" s="60"/>
      <c r="GTX2490" s="60"/>
      <c r="GTY2490" s="58"/>
      <c r="GTZ2490" s="61"/>
      <c r="GUA2490" s="58"/>
      <c r="GUB2490" s="58"/>
      <c r="GUC2490" s="58"/>
      <c r="GUD2490" s="60"/>
      <c r="GUE2490" s="60"/>
      <c r="GUF2490" s="60"/>
      <c r="GUG2490" s="58"/>
      <c r="GUH2490" s="61"/>
      <c r="GUI2490" s="58"/>
      <c r="GUJ2490" s="58"/>
      <c r="GUK2490" s="58"/>
      <c r="GUL2490" s="60"/>
      <c r="GUM2490" s="60"/>
      <c r="GUN2490" s="60"/>
      <c r="GUO2490" s="58"/>
      <c r="GUP2490" s="61"/>
      <c r="GUQ2490" s="58"/>
      <c r="GUR2490" s="58"/>
      <c r="GUS2490" s="58"/>
      <c r="GUT2490" s="60"/>
      <c r="GUU2490" s="60"/>
      <c r="GUV2490" s="60"/>
      <c r="GUW2490" s="58"/>
      <c r="GUX2490" s="61"/>
      <c r="GUY2490" s="58"/>
      <c r="GUZ2490" s="58"/>
      <c r="GVA2490" s="58"/>
      <c r="GVB2490" s="60"/>
      <c r="GVC2490" s="60"/>
      <c r="GVD2490" s="60"/>
      <c r="GVE2490" s="58"/>
      <c r="GVF2490" s="61"/>
      <c r="GVG2490" s="58"/>
      <c r="GVH2490" s="58"/>
      <c r="GVI2490" s="58"/>
      <c r="GVJ2490" s="60"/>
      <c r="GVK2490" s="60"/>
      <c r="GVL2490" s="60"/>
      <c r="GVM2490" s="58"/>
      <c r="GVN2490" s="61"/>
      <c r="GVO2490" s="58"/>
      <c r="GVP2490" s="58"/>
      <c r="GVQ2490" s="58"/>
      <c r="GVR2490" s="60"/>
      <c r="GVS2490" s="60"/>
      <c r="GVT2490" s="60"/>
      <c r="GVU2490" s="58"/>
      <c r="GVV2490" s="61"/>
      <c r="GVW2490" s="58"/>
      <c r="GVX2490" s="58"/>
      <c r="GVY2490" s="58"/>
      <c r="GVZ2490" s="60"/>
      <c r="GWA2490" s="60"/>
      <c r="GWB2490" s="60"/>
      <c r="GWC2490" s="58"/>
      <c r="GWD2490" s="61"/>
      <c r="GWE2490" s="58"/>
      <c r="GWF2490" s="58"/>
      <c r="GWG2490" s="58"/>
      <c r="GWH2490" s="60"/>
      <c r="GWI2490" s="60"/>
      <c r="GWJ2490" s="60"/>
      <c r="GWK2490" s="58"/>
      <c r="GWL2490" s="61"/>
      <c r="GWM2490" s="58"/>
      <c r="GWN2490" s="58"/>
      <c r="GWO2490" s="58"/>
      <c r="GWP2490" s="60"/>
      <c r="GWQ2490" s="60"/>
      <c r="GWR2490" s="60"/>
      <c r="GWS2490" s="58"/>
      <c r="GWT2490" s="61"/>
      <c r="GWU2490" s="58"/>
      <c r="GWV2490" s="58"/>
      <c r="GWW2490" s="58"/>
      <c r="GWX2490" s="60"/>
      <c r="GWY2490" s="60"/>
      <c r="GWZ2490" s="60"/>
      <c r="GXA2490" s="58"/>
      <c r="GXB2490" s="61"/>
      <c r="GXC2490" s="58"/>
      <c r="GXD2490" s="58"/>
      <c r="GXE2490" s="58"/>
      <c r="GXF2490" s="60"/>
      <c r="GXG2490" s="60"/>
      <c r="GXH2490" s="60"/>
      <c r="GXI2490" s="58"/>
      <c r="GXJ2490" s="61"/>
      <c r="GXK2490" s="58"/>
      <c r="GXL2490" s="58"/>
      <c r="GXM2490" s="58"/>
      <c r="GXN2490" s="60"/>
      <c r="GXO2490" s="60"/>
      <c r="GXP2490" s="60"/>
      <c r="GXQ2490" s="58"/>
      <c r="GXR2490" s="61"/>
      <c r="GXS2490" s="58"/>
      <c r="GXT2490" s="58"/>
      <c r="GXU2490" s="58"/>
      <c r="GXV2490" s="60"/>
      <c r="GXW2490" s="60"/>
      <c r="GXX2490" s="60"/>
      <c r="GXY2490" s="58"/>
      <c r="GXZ2490" s="61"/>
      <c r="GYA2490" s="58"/>
      <c r="GYB2490" s="58"/>
      <c r="GYC2490" s="58"/>
      <c r="GYD2490" s="60"/>
      <c r="GYE2490" s="60"/>
      <c r="GYF2490" s="60"/>
      <c r="GYG2490" s="58"/>
      <c r="GYH2490" s="61"/>
      <c r="GYI2490" s="58"/>
      <c r="GYJ2490" s="58"/>
      <c r="GYK2490" s="58"/>
      <c r="GYL2490" s="60"/>
      <c r="GYM2490" s="60"/>
      <c r="GYN2490" s="60"/>
      <c r="GYO2490" s="58"/>
      <c r="GYP2490" s="61"/>
      <c r="GYQ2490" s="58"/>
      <c r="GYR2490" s="58"/>
      <c r="GYS2490" s="58"/>
      <c r="GYT2490" s="60"/>
      <c r="GYU2490" s="60"/>
      <c r="GYV2490" s="60"/>
      <c r="GYW2490" s="58"/>
      <c r="GYX2490" s="61"/>
      <c r="GYY2490" s="58"/>
      <c r="GYZ2490" s="58"/>
      <c r="GZA2490" s="58"/>
      <c r="GZB2490" s="60"/>
      <c r="GZC2490" s="60"/>
      <c r="GZD2490" s="60"/>
      <c r="GZE2490" s="58"/>
      <c r="GZF2490" s="61"/>
      <c r="GZG2490" s="58"/>
      <c r="GZH2490" s="58"/>
      <c r="GZI2490" s="58"/>
      <c r="GZJ2490" s="60"/>
      <c r="GZK2490" s="60"/>
      <c r="GZL2490" s="60"/>
      <c r="GZM2490" s="58"/>
      <c r="GZN2490" s="61"/>
      <c r="GZO2490" s="58"/>
      <c r="GZP2490" s="58"/>
      <c r="GZQ2490" s="58"/>
      <c r="GZR2490" s="60"/>
      <c r="GZS2490" s="60"/>
      <c r="GZT2490" s="60"/>
      <c r="GZU2490" s="58"/>
      <c r="GZV2490" s="61"/>
      <c r="GZW2490" s="58"/>
      <c r="GZX2490" s="58"/>
      <c r="GZY2490" s="58"/>
      <c r="GZZ2490" s="60"/>
      <c r="HAA2490" s="60"/>
      <c r="HAB2490" s="60"/>
      <c r="HAC2490" s="58"/>
      <c r="HAD2490" s="61"/>
      <c r="HAE2490" s="58"/>
      <c r="HAF2490" s="58"/>
      <c r="HAG2490" s="58"/>
      <c r="HAH2490" s="60"/>
      <c r="HAI2490" s="60"/>
      <c r="HAJ2490" s="60"/>
      <c r="HAK2490" s="58"/>
      <c r="HAL2490" s="61"/>
      <c r="HAM2490" s="58"/>
      <c r="HAN2490" s="58"/>
      <c r="HAO2490" s="58"/>
      <c r="HAP2490" s="60"/>
      <c r="HAQ2490" s="60"/>
      <c r="HAR2490" s="60"/>
      <c r="HAS2490" s="58"/>
      <c r="HAT2490" s="61"/>
      <c r="HAU2490" s="58"/>
      <c r="HAV2490" s="58"/>
      <c r="HAW2490" s="58"/>
      <c r="HAX2490" s="60"/>
      <c r="HAY2490" s="60"/>
      <c r="HAZ2490" s="60"/>
      <c r="HBA2490" s="58"/>
      <c r="HBB2490" s="61"/>
      <c r="HBC2490" s="58"/>
      <c r="HBD2490" s="58"/>
      <c r="HBE2490" s="58"/>
      <c r="HBF2490" s="60"/>
      <c r="HBG2490" s="60"/>
      <c r="HBH2490" s="60"/>
      <c r="HBI2490" s="58"/>
      <c r="HBJ2490" s="61"/>
      <c r="HBK2490" s="58"/>
      <c r="HBL2490" s="58"/>
      <c r="HBM2490" s="58"/>
      <c r="HBN2490" s="60"/>
      <c r="HBO2490" s="60"/>
      <c r="HBP2490" s="60"/>
      <c r="HBQ2490" s="58"/>
      <c r="HBR2490" s="61"/>
      <c r="HBS2490" s="58"/>
      <c r="HBT2490" s="58"/>
      <c r="HBU2490" s="58"/>
      <c r="HBV2490" s="60"/>
      <c r="HBW2490" s="60"/>
      <c r="HBX2490" s="60"/>
      <c r="HBY2490" s="58"/>
      <c r="HBZ2490" s="61"/>
      <c r="HCA2490" s="58"/>
      <c r="HCB2490" s="58"/>
      <c r="HCC2490" s="58"/>
      <c r="HCD2490" s="60"/>
      <c r="HCE2490" s="60"/>
      <c r="HCF2490" s="60"/>
      <c r="HCG2490" s="58"/>
      <c r="HCH2490" s="61"/>
      <c r="HCI2490" s="58"/>
      <c r="HCJ2490" s="58"/>
      <c r="HCK2490" s="58"/>
      <c r="HCL2490" s="60"/>
      <c r="HCM2490" s="60"/>
      <c r="HCN2490" s="60"/>
      <c r="HCO2490" s="58"/>
      <c r="HCP2490" s="61"/>
      <c r="HCQ2490" s="58"/>
      <c r="HCR2490" s="58"/>
      <c r="HCS2490" s="58"/>
      <c r="HCT2490" s="60"/>
      <c r="HCU2490" s="60"/>
      <c r="HCV2490" s="60"/>
      <c r="HCW2490" s="58"/>
      <c r="HCX2490" s="61"/>
      <c r="HCY2490" s="58"/>
      <c r="HCZ2490" s="58"/>
      <c r="HDA2490" s="58"/>
      <c r="HDB2490" s="60"/>
      <c r="HDC2490" s="60"/>
      <c r="HDD2490" s="60"/>
      <c r="HDE2490" s="58"/>
      <c r="HDF2490" s="61"/>
      <c r="HDG2490" s="58"/>
      <c r="HDH2490" s="58"/>
      <c r="HDI2490" s="58"/>
      <c r="HDJ2490" s="60"/>
      <c r="HDK2490" s="60"/>
      <c r="HDL2490" s="60"/>
      <c r="HDM2490" s="58"/>
      <c r="HDN2490" s="61"/>
      <c r="HDO2490" s="58"/>
      <c r="HDP2490" s="58"/>
      <c r="HDQ2490" s="58"/>
      <c r="HDR2490" s="60"/>
      <c r="HDS2490" s="60"/>
      <c r="HDT2490" s="60"/>
      <c r="HDU2490" s="58"/>
      <c r="HDV2490" s="61"/>
      <c r="HDW2490" s="58"/>
      <c r="HDX2490" s="58"/>
      <c r="HDY2490" s="58"/>
      <c r="HDZ2490" s="60"/>
      <c r="HEA2490" s="60"/>
      <c r="HEB2490" s="60"/>
      <c r="HEC2490" s="58"/>
      <c r="HED2490" s="61"/>
      <c r="HEE2490" s="58"/>
      <c r="HEF2490" s="58"/>
      <c r="HEG2490" s="58"/>
      <c r="HEH2490" s="60"/>
      <c r="HEI2490" s="60"/>
      <c r="HEJ2490" s="60"/>
      <c r="HEK2490" s="58"/>
      <c r="HEL2490" s="61"/>
      <c r="HEM2490" s="58"/>
      <c r="HEN2490" s="58"/>
      <c r="HEO2490" s="58"/>
      <c r="HEP2490" s="60"/>
      <c r="HEQ2490" s="60"/>
      <c r="HER2490" s="60"/>
      <c r="HES2490" s="58"/>
      <c r="HET2490" s="61"/>
      <c r="HEU2490" s="58"/>
      <c r="HEV2490" s="58"/>
      <c r="HEW2490" s="58"/>
      <c r="HEX2490" s="60"/>
      <c r="HEY2490" s="60"/>
      <c r="HEZ2490" s="60"/>
      <c r="HFA2490" s="58"/>
      <c r="HFB2490" s="61"/>
      <c r="HFC2490" s="58"/>
      <c r="HFD2490" s="58"/>
      <c r="HFE2490" s="58"/>
      <c r="HFF2490" s="60"/>
      <c r="HFG2490" s="60"/>
      <c r="HFH2490" s="60"/>
      <c r="HFI2490" s="58"/>
      <c r="HFJ2490" s="61"/>
      <c r="HFK2490" s="58"/>
      <c r="HFL2490" s="58"/>
      <c r="HFM2490" s="58"/>
      <c r="HFN2490" s="60"/>
      <c r="HFO2490" s="60"/>
      <c r="HFP2490" s="60"/>
      <c r="HFQ2490" s="58"/>
      <c r="HFR2490" s="61"/>
      <c r="HFS2490" s="58"/>
      <c r="HFT2490" s="58"/>
      <c r="HFU2490" s="58"/>
      <c r="HFV2490" s="60"/>
      <c r="HFW2490" s="60"/>
      <c r="HFX2490" s="60"/>
      <c r="HFY2490" s="58"/>
      <c r="HFZ2490" s="61"/>
      <c r="HGA2490" s="58"/>
      <c r="HGB2490" s="58"/>
      <c r="HGC2490" s="58"/>
      <c r="HGD2490" s="60"/>
      <c r="HGE2490" s="60"/>
      <c r="HGF2490" s="60"/>
      <c r="HGG2490" s="58"/>
      <c r="HGH2490" s="61"/>
      <c r="HGI2490" s="58"/>
      <c r="HGJ2490" s="58"/>
      <c r="HGK2490" s="58"/>
      <c r="HGL2490" s="60"/>
      <c r="HGM2490" s="60"/>
      <c r="HGN2490" s="60"/>
      <c r="HGO2490" s="58"/>
      <c r="HGP2490" s="61"/>
      <c r="HGQ2490" s="58"/>
      <c r="HGR2490" s="58"/>
      <c r="HGS2490" s="58"/>
      <c r="HGT2490" s="60"/>
      <c r="HGU2490" s="60"/>
      <c r="HGV2490" s="60"/>
      <c r="HGW2490" s="58"/>
      <c r="HGX2490" s="61"/>
      <c r="HGY2490" s="58"/>
      <c r="HGZ2490" s="58"/>
      <c r="HHA2490" s="58"/>
      <c r="HHB2490" s="60"/>
      <c r="HHC2490" s="60"/>
      <c r="HHD2490" s="60"/>
      <c r="HHE2490" s="58"/>
      <c r="HHF2490" s="61"/>
      <c r="HHG2490" s="58"/>
      <c r="HHH2490" s="58"/>
      <c r="HHI2490" s="58"/>
      <c r="HHJ2490" s="60"/>
      <c r="HHK2490" s="60"/>
      <c r="HHL2490" s="60"/>
      <c r="HHM2490" s="58"/>
      <c r="HHN2490" s="61"/>
      <c r="HHO2490" s="58"/>
      <c r="HHP2490" s="58"/>
      <c r="HHQ2490" s="58"/>
      <c r="HHR2490" s="60"/>
      <c r="HHS2490" s="60"/>
      <c r="HHT2490" s="60"/>
      <c r="HHU2490" s="58"/>
      <c r="HHV2490" s="61"/>
      <c r="HHW2490" s="58"/>
      <c r="HHX2490" s="58"/>
      <c r="HHY2490" s="58"/>
      <c r="HHZ2490" s="60"/>
      <c r="HIA2490" s="60"/>
      <c r="HIB2490" s="60"/>
      <c r="HIC2490" s="58"/>
      <c r="HID2490" s="61"/>
      <c r="HIE2490" s="58"/>
      <c r="HIF2490" s="58"/>
      <c r="HIG2490" s="58"/>
      <c r="HIH2490" s="60"/>
      <c r="HII2490" s="60"/>
      <c r="HIJ2490" s="60"/>
      <c r="HIK2490" s="58"/>
      <c r="HIL2490" s="61"/>
      <c r="HIM2490" s="58"/>
      <c r="HIN2490" s="58"/>
      <c r="HIO2490" s="58"/>
      <c r="HIP2490" s="60"/>
      <c r="HIQ2490" s="60"/>
      <c r="HIR2490" s="60"/>
      <c r="HIS2490" s="58"/>
      <c r="HIT2490" s="61"/>
      <c r="HIU2490" s="58"/>
      <c r="HIV2490" s="58"/>
      <c r="HIW2490" s="58"/>
      <c r="HIX2490" s="60"/>
      <c r="HIY2490" s="60"/>
      <c r="HIZ2490" s="60"/>
      <c r="HJA2490" s="58"/>
      <c r="HJB2490" s="61"/>
      <c r="HJC2490" s="58"/>
      <c r="HJD2490" s="58"/>
      <c r="HJE2490" s="58"/>
      <c r="HJF2490" s="60"/>
      <c r="HJG2490" s="60"/>
      <c r="HJH2490" s="60"/>
      <c r="HJI2490" s="58"/>
      <c r="HJJ2490" s="61"/>
      <c r="HJK2490" s="58"/>
      <c r="HJL2490" s="58"/>
      <c r="HJM2490" s="58"/>
      <c r="HJN2490" s="60"/>
      <c r="HJO2490" s="60"/>
      <c r="HJP2490" s="60"/>
      <c r="HJQ2490" s="58"/>
      <c r="HJR2490" s="61"/>
      <c r="HJS2490" s="58"/>
      <c r="HJT2490" s="58"/>
      <c r="HJU2490" s="58"/>
      <c r="HJV2490" s="60"/>
      <c r="HJW2490" s="60"/>
      <c r="HJX2490" s="60"/>
      <c r="HJY2490" s="58"/>
      <c r="HJZ2490" s="61"/>
      <c r="HKA2490" s="58"/>
      <c r="HKB2490" s="58"/>
      <c r="HKC2490" s="58"/>
      <c r="HKD2490" s="60"/>
      <c r="HKE2490" s="60"/>
      <c r="HKF2490" s="60"/>
      <c r="HKG2490" s="58"/>
      <c r="HKH2490" s="61"/>
      <c r="HKI2490" s="58"/>
      <c r="HKJ2490" s="58"/>
      <c r="HKK2490" s="58"/>
      <c r="HKL2490" s="60"/>
      <c r="HKM2490" s="60"/>
      <c r="HKN2490" s="60"/>
      <c r="HKO2490" s="58"/>
      <c r="HKP2490" s="61"/>
      <c r="HKQ2490" s="58"/>
      <c r="HKR2490" s="58"/>
      <c r="HKS2490" s="58"/>
      <c r="HKT2490" s="60"/>
      <c r="HKU2490" s="60"/>
      <c r="HKV2490" s="60"/>
      <c r="HKW2490" s="58"/>
      <c r="HKX2490" s="61"/>
      <c r="HKY2490" s="58"/>
      <c r="HKZ2490" s="58"/>
      <c r="HLA2490" s="58"/>
      <c r="HLB2490" s="60"/>
      <c r="HLC2490" s="60"/>
      <c r="HLD2490" s="60"/>
      <c r="HLE2490" s="58"/>
      <c r="HLF2490" s="61"/>
      <c r="HLG2490" s="58"/>
      <c r="HLH2490" s="58"/>
      <c r="HLI2490" s="58"/>
      <c r="HLJ2490" s="60"/>
      <c r="HLK2490" s="60"/>
      <c r="HLL2490" s="60"/>
      <c r="HLM2490" s="58"/>
      <c r="HLN2490" s="61"/>
      <c r="HLO2490" s="58"/>
      <c r="HLP2490" s="58"/>
      <c r="HLQ2490" s="58"/>
      <c r="HLR2490" s="60"/>
      <c r="HLS2490" s="60"/>
      <c r="HLT2490" s="60"/>
      <c r="HLU2490" s="58"/>
      <c r="HLV2490" s="61"/>
      <c r="HLW2490" s="58"/>
      <c r="HLX2490" s="58"/>
      <c r="HLY2490" s="58"/>
      <c r="HLZ2490" s="60"/>
      <c r="HMA2490" s="60"/>
      <c r="HMB2490" s="60"/>
      <c r="HMC2490" s="58"/>
      <c r="HMD2490" s="61"/>
      <c r="HME2490" s="58"/>
      <c r="HMF2490" s="58"/>
      <c r="HMG2490" s="58"/>
      <c r="HMH2490" s="60"/>
      <c r="HMI2490" s="60"/>
      <c r="HMJ2490" s="60"/>
      <c r="HMK2490" s="58"/>
      <c r="HML2490" s="61"/>
      <c r="HMM2490" s="58"/>
      <c r="HMN2490" s="58"/>
      <c r="HMO2490" s="58"/>
      <c r="HMP2490" s="60"/>
      <c r="HMQ2490" s="60"/>
      <c r="HMR2490" s="60"/>
      <c r="HMS2490" s="58"/>
      <c r="HMT2490" s="61"/>
      <c r="HMU2490" s="58"/>
      <c r="HMV2490" s="58"/>
      <c r="HMW2490" s="58"/>
      <c r="HMX2490" s="60"/>
      <c r="HMY2490" s="60"/>
      <c r="HMZ2490" s="60"/>
      <c r="HNA2490" s="58"/>
      <c r="HNB2490" s="61"/>
      <c r="HNC2490" s="58"/>
      <c r="HND2490" s="58"/>
      <c r="HNE2490" s="58"/>
      <c r="HNF2490" s="60"/>
      <c r="HNG2490" s="60"/>
      <c r="HNH2490" s="60"/>
      <c r="HNI2490" s="58"/>
      <c r="HNJ2490" s="61"/>
      <c r="HNK2490" s="58"/>
      <c r="HNL2490" s="58"/>
      <c r="HNM2490" s="58"/>
      <c r="HNN2490" s="60"/>
      <c r="HNO2490" s="60"/>
      <c r="HNP2490" s="60"/>
      <c r="HNQ2490" s="58"/>
      <c r="HNR2490" s="61"/>
      <c r="HNS2490" s="58"/>
      <c r="HNT2490" s="58"/>
      <c r="HNU2490" s="58"/>
      <c r="HNV2490" s="60"/>
      <c r="HNW2490" s="60"/>
      <c r="HNX2490" s="60"/>
      <c r="HNY2490" s="58"/>
      <c r="HNZ2490" s="61"/>
      <c r="HOA2490" s="58"/>
      <c r="HOB2490" s="58"/>
      <c r="HOC2490" s="58"/>
      <c r="HOD2490" s="60"/>
      <c r="HOE2490" s="60"/>
      <c r="HOF2490" s="60"/>
      <c r="HOG2490" s="58"/>
      <c r="HOH2490" s="61"/>
      <c r="HOI2490" s="58"/>
      <c r="HOJ2490" s="58"/>
      <c r="HOK2490" s="58"/>
      <c r="HOL2490" s="60"/>
      <c r="HOM2490" s="60"/>
      <c r="HON2490" s="60"/>
      <c r="HOO2490" s="58"/>
      <c r="HOP2490" s="61"/>
      <c r="HOQ2490" s="58"/>
      <c r="HOR2490" s="58"/>
      <c r="HOS2490" s="58"/>
      <c r="HOT2490" s="60"/>
      <c r="HOU2490" s="60"/>
      <c r="HOV2490" s="60"/>
      <c r="HOW2490" s="58"/>
      <c r="HOX2490" s="61"/>
      <c r="HOY2490" s="58"/>
      <c r="HOZ2490" s="58"/>
      <c r="HPA2490" s="58"/>
      <c r="HPB2490" s="60"/>
      <c r="HPC2490" s="60"/>
      <c r="HPD2490" s="60"/>
      <c r="HPE2490" s="58"/>
      <c r="HPF2490" s="61"/>
      <c r="HPG2490" s="58"/>
      <c r="HPH2490" s="58"/>
      <c r="HPI2490" s="58"/>
      <c r="HPJ2490" s="60"/>
      <c r="HPK2490" s="60"/>
      <c r="HPL2490" s="60"/>
      <c r="HPM2490" s="58"/>
      <c r="HPN2490" s="61"/>
      <c r="HPO2490" s="58"/>
      <c r="HPP2490" s="58"/>
      <c r="HPQ2490" s="58"/>
      <c r="HPR2490" s="60"/>
      <c r="HPS2490" s="60"/>
      <c r="HPT2490" s="60"/>
      <c r="HPU2490" s="58"/>
      <c r="HPV2490" s="61"/>
      <c r="HPW2490" s="58"/>
      <c r="HPX2490" s="58"/>
      <c r="HPY2490" s="58"/>
      <c r="HPZ2490" s="60"/>
      <c r="HQA2490" s="60"/>
      <c r="HQB2490" s="60"/>
      <c r="HQC2490" s="58"/>
      <c r="HQD2490" s="61"/>
      <c r="HQE2490" s="58"/>
      <c r="HQF2490" s="58"/>
      <c r="HQG2490" s="58"/>
      <c r="HQH2490" s="60"/>
      <c r="HQI2490" s="60"/>
      <c r="HQJ2490" s="60"/>
      <c r="HQK2490" s="58"/>
      <c r="HQL2490" s="61"/>
      <c r="HQM2490" s="58"/>
      <c r="HQN2490" s="58"/>
      <c r="HQO2490" s="58"/>
      <c r="HQP2490" s="60"/>
      <c r="HQQ2490" s="60"/>
      <c r="HQR2490" s="60"/>
      <c r="HQS2490" s="58"/>
      <c r="HQT2490" s="61"/>
      <c r="HQU2490" s="58"/>
      <c r="HQV2490" s="58"/>
      <c r="HQW2490" s="58"/>
      <c r="HQX2490" s="60"/>
      <c r="HQY2490" s="60"/>
      <c r="HQZ2490" s="60"/>
      <c r="HRA2490" s="58"/>
      <c r="HRB2490" s="61"/>
      <c r="HRC2490" s="58"/>
      <c r="HRD2490" s="58"/>
      <c r="HRE2490" s="58"/>
      <c r="HRF2490" s="60"/>
      <c r="HRG2490" s="60"/>
      <c r="HRH2490" s="60"/>
      <c r="HRI2490" s="58"/>
      <c r="HRJ2490" s="61"/>
      <c r="HRK2490" s="58"/>
      <c r="HRL2490" s="58"/>
      <c r="HRM2490" s="58"/>
      <c r="HRN2490" s="60"/>
      <c r="HRO2490" s="60"/>
      <c r="HRP2490" s="60"/>
      <c r="HRQ2490" s="58"/>
      <c r="HRR2490" s="61"/>
      <c r="HRS2490" s="58"/>
      <c r="HRT2490" s="58"/>
      <c r="HRU2490" s="58"/>
      <c r="HRV2490" s="60"/>
      <c r="HRW2490" s="60"/>
      <c r="HRX2490" s="60"/>
      <c r="HRY2490" s="58"/>
      <c r="HRZ2490" s="61"/>
      <c r="HSA2490" s="58"/>
      <c r="HSB2490" s="58"/>
      <c r="HSC2490" s="58"/>
      <c r="HSD2490" s="60"/>
      <c r="HSE2490" s="60"/>
      <c r="HSF2490" s="60"/>
      <c r="HSG2490" s="58"/>
      <c r="HSH2490" s="61"/>
      <c r="HSI2490" s="58"/>
      <c r="HSJ2490" s="58"/>
      <c r="HSK2490" s="58"/>
      <c r="HSL2490" s="60"/>
      <c r="HSM2490" s="60"/>
      <c r="HSN2490" s="60"/>
      <c r="HSO2490" s="58"/>
      <c r="HSP2490" s="61"/>
      <c r="HSQ2490" s="58"/>
      <c r="HSR2490" s="58"/>
      <c r="HSS2490" s="58"/>
      <c r="HST2490" s="60"/>
      <c r="HSU2490" s="60"/>
      <c r="HSV2490" s="60"/>
      <c r="HSW2490" s="58"/>
      <c r="HSX2490" s="61"/>
      <c r="HSY2490" s="58"/>
      <c r="HSZ2490" s="58"/>
      <c r="HTA2490" s="58"/>
      <c r="HTB2490" s="60"/>
      <c r="HTC2490" s="60"/>
      <c r="HTD2490" s="60"/>
      <c r="HTE2490" s="58"/>
      <c r="HTF2490" s="61"/>
      <c r="HTG2490" s="58"/>
      <c r="HTH2490" s="58"/>
      <c r="HTI2490" s="58"/>
      <c r="HTJ2490" s="60"/>
      <c r="HTK2490" s="60"/>
      <c r="HTL2490" s="60"/>
      <c r="HTM2490" s="58"/>
      <c r="HTN2490" s="61"/>
      <c r="HTO2490" s="58"/>
      <c r="HTP2490" s="58"/>
      <c r="HTQ2490" s="58"/>
      <c r="HTR2490" s="60"/>
      <c r="HTS2490" s="60"/>
      <c r="HTT2490" s="60"/>
      <c r="HTU2490" s="58"/>
      <c r="HTV2490" s="61"/>
      <c r="HTW2490" s="58"/>
      <c r="HTX2490" s="58"/>
      <c r="HTY2490" s="58"/>
      <c r="HTZ2490" s="60"/>
      <c r="HUA2490" s="60"/>
      <c r="HUB2490" s="60"/>
      <c r="HUC2490" s="58"/>
      <c r="HUD2490" s="61"/>
      <c r="HUE2490" s="58"/>
      <c r="HUF2490" s="58"/>
      <c r="HUG2490" s="58"/>
      <c r="HUH2490" s="60"/>
      <c r="HUI2490" s="60"/>
      <c r="HUJ2490" s="60"/>
      <c r="HUK2490" s="58"/>
      <c r="HUL2490" s="61"/>
      <c r="HUM2490" s="58"/>
      <c r="HUN2490" s="58"/>
      <c r="HUO2490" s="58"/>
      <c r="HUP2490" s="60"/>
      <c r="HUQ2490" s="60"/>
      <c r="HUR2490" s="60"/>
      <c r="HUS2490" s="58"/>
      <c r="HUT2490" s="61"/>
      <c r="HUU2490" s="58"/>
      <c r="HUV2490" s="58"/>
      <c r="HUW2490" s="58"/>
      <c r="HUX2490" s="60"/>
      <c r="HUY2490" s="60"/>
      <c r="HUZ2490" s="60"/>
      <c r="HVA2490" s="58"/>
      <c r="HVB2490" s="61"/>
      <c r="HVC2490" s="58"/>
      <c r="HVD2490" s="58"/>
      <c r="HVE2490" s="58"/>
      <c r="HVF2490" s="60"/>
      <c r="HVG2490" s="60"/>
      <c r="HVH2490" s="60"/>
      <c r="HVI2490" s="58"/>
      <c r="HVJ2490" s="61"/>
      <c r="HVK2490" s="58"/>
      <c r="HVL2490" s="58"/>
      <c r="HVM2490" s="58"/>
      <c r="HVN2490" s="60"/>
      <c r="HVO2490" s="60"/>
      <c r="HVP2490" s="60"/>
      <c r="HVQ2490" s="58"/>
      <c r="HVR2490" s="61"/>
      <c r="HVS2490" s="58"/>
      <c r="HVT2490" s="58"/>
      <c r="HVU2490" s="58"/>
      <c r="HVV2490" s="60"/>
      <c r="HVW2490" s="60"/>
      <c r="HVX2490" s="60"/>
      <c r="HVY2490" s="58"/>
      <c r="HVZ2490" s="61"/>
      <c r="HWA2490" s="58"/>
      <c r="HWB2490" s="58"/>
      <c r="HWC2490" s="58"/>
      <c r="HWD2490" s="60"/>
      <c r="HWE2490" s="60"/>
      <c r="HWF2490" s="60"/>
      <c r="HWG2490" s="58"/>
      <c r="HWH2490" s="61"/>
      <c r="HWI2490" s="58"/>
      <c r="HWJ2490" s="58"/>
      <c r="HWK2490" s="58"/>
      <c r="HWL2490" s="60"/>
      <c r="HWM2490" s="60"/>
      <c r="HWN2490" s="60"/>
      <c r="HWO2490" s="58"/>
      <c r="HWP2490" s="61"/>
      <c r="HWQ2490" s="58"/>
      <c r="HWR2490" s="58"/>
      <c r="HWS2490" s="58"/>
      <c r="HWT2490" s="60"/>
      <c r="HWU2490" s="60"/>
      <c r="HWV2490" s="60"/>
      <c r="HWW2490" s="58"/>
      <c r="HWX2490" s="61"/>
      <c r="HWY2490" s="58"/>
      <c r="HWZ2490" s="58"/>
      <c r="HXA2490" s="58"/>
      <c r="HXB2490" s="60"/>
      <c r="HXC2490" s="60"/>
      <c r="HXD2490" s="60"/>
      <c r="HXE2490" s="58"/>
      <c r="HXF2490" s="61"/>
      <c r="HXG2490" s="58"/>
      <c r="HXH2490" s="58"/>
      <c r="HXI2490" s="58"/>
      <c r="HXJ2490" s="60"/>
      <c r="HXK2490" s="60"/>
      <c r="HXL2490" s="60"/>
      <c r="HXM2490" s="58"/>
      <c r="HXN2490" s="61"/>
      <c r="HXO2490" s="58"/>
      <c r="HXP2490" s="58"/>
      <c r="HXQ2490" s="58"/>
      <c r="HXR2490" s="60"/>
      <c r="HXS2490" s="60"/>
      <c r="HXT2490" s="60"/>
      <c r="HXU2490" s="58"/>
      <c r="HXV2490" s="61"/>
      <c r="HXW2490" s="58"/>
      <c r="HXX2490" s="58"/>
      <c r="HXY2490" s="58"/>
      <c r="HXZ2490" s="60"/>
      <c r="HYA2490" s="60"/>
      <c r="HYB2490" s="60"/>
      <c r="HYC2490" s="58"/>
      <c r="HYD2490" s="61"/>
      <c r="HYE2490" s="58"/>
      <c r="HYF2490" s="58"/>
      <c r="HYG2490" s="58"/>
      <c r="HYH2490" s="60"/>
      <c r="HYI2490" s="60"/>
      <c r="HYJ2490" s="60"/>
      <c r="HYK2490" s="58"/>
      <c r="HYL2490" s="61"/>
      <c r="HYM2490" s="58"/>
      <c r="HYN2490" s="58"/>
      <c r="HYO2490" s="58"/>
      <c r="HYP2490" s="60"/>
      <c r="HYQ2490" s="60"/>
      <c r="HYR2490" s="60"/>
      <c r="HYS2490" s="58"/>
      <c r="HYT2490" s="61"/>
      <c r="HYU2490" s="58"/>
      <c r="HYV2490" s="58"/>
      <c r="HYW2490" s="58"/>
      <c r="HYX2490" s="60"/>
      <c r="HYY2490" s="60"/>
      <c r="HYZ2490" s="60"/>
      <c r="HZA2490" s="58"/>
      <c r="HZB2490" s="61"/>
      <c r="HZC2490" s="58"/>
      <c r="HZD2490" s="58"/>
      <c r="HZE2490" s="58"/>
      <c r="HZF2490" s="60"/>
      <c r="HZG2490" s="60"/>
      <c r="HZH2490" s="60"/>
      <c r="HZI2490" s="58"/>
      <c r="HZJ2490" s="61"/>
      <c r="HZK2490" s="58"/>
      <c r="HZL2490" s="58"/>
      <c r="HZM2490" s="58"/>
      <c r="HZN2490" s="60"/>
      <c r="HZO2490" s="60"/>
      <c r="HZP2490" s="60"/>
      <c r="HZQ2490" s="58"/>
      <c r="HZR2490" s="61"/>
      <c r="HZS2490" s="58"/>
      <c r="HZT2490" s="58"/>
      <c r="HZU2490" s="58"/>
      <c r="HZV2490" s="60"/>
      <c r="HZW2490" s="60"/>
      <c r="HZX2490" s="60"/>
      <c r="HZY2490" s="58"/>
      <c r="HZZ2490" s="61"/>
      <c r="IAA2490" s="58"/>
      <c r="IAB2490" s="58"/>
      <c r="IAC2490" s="58"/>
      <c r="IAD2490" s="60"/>
      <c r="IAE2490" s="60"/>
      <c r="IAF2490" s="60"/>
      <c r="IAG2490" s="58"/>
      <c r="IAH2490" s="61"/>
      <c r="IAI2490" s="58"/>
      <c r="IAJ2490" s="58"/>
      <c r="IAK2490" s="58"/>
      <c r="IAL2490" s="60"/>
      <c r="IAM2490" s="60"/>
      <c r="IAN2490" s="60"/>
      <c r="IAO2490" s="58"/>
      <c r="IAP2490" s="61"/>
      <c r="IAQ2490" s="58"/>
      <c r="IAR2490" s="58"/>
      <c r="IAS2490" s="58"/>
      <c r="IAT2490" s="60"/>
      <c r="IAU2490" s="60"/>
      <c r="IAV2490" s="60"/>
      <c r="IAW2490" s="58"/>
      <c r="IAX2490" s="61"/>
      <c r="IAY2490" s="58"/>
      <c r="IAZ2490" s="58"/>
      <c r="IBA2490" s="58"/>
      <c r="IBB2490" s="60"/>
      <c r="IBC2490" s="60"/>
      <c r="IBD2490" s="60"/>
      <c r="IBE2490" s="58"/>
      <c r="IBF2490" s="61"/>
      <c r="IBG2490" s="58"/>
      <c r="IBH2490" s="58"/>
      <c r="IBI2490" s="58"/>
      <c r="IBJ2490" s="60"/>
      <c r="IBK2490" s="60"/>
      <c r="IBL2490" s="60"/>
      <c r="IBM2490" s="58"/>
      <c r="IBN2490" s="61"/>
      <c r="IBO2490" s="58"/>
      <c r="IBP2490" s="58"/>
      <c r="IBQ2490" s="58"/>
      <c r="IBR2490" s="60"/>
      <c r="IBS2490" s="60"/>
      <c r="IBT2490" s="60"/>
      <c r="IBU2490" s="58"/>
      <c r="IBV2490" s="61"/>
      <c r="IBW2490" s="58"/>
      <c r="IBX2490" s="58"/>
      <c r="IBY2490" s="58"/>
      <c r="IBZ2490" s="60"/>
      <c r="ICA2490" s="60"/>
      <c r="ICB2490" s="60"/>
      <c r="ICC2490" s="58"/>
      <c r="ICD2490" s="61"/>
      <c r="ICE2490" s="58"/>
      <c r="ICF2490" s="58"/>
      <c r="ICG2490" s="58"/>
      <c r="ICH2490" s="60"/>
      <c r="ICI2490" s="60"/>
      <c r="ICJ2490" s="60"/>
      <c r="ICK2490" s="58"/>
      <c r="ICL2490" s="61"/>
      <c r="ICM2490" s="58"/>
      <c r="ICN2490" s="58"/>
      <c r="ICO2490" s="58"/>
      <c r="ICP2490" s="60"/>
      <c r="ICQ2490" s="60"/>
      <c r="ICR2490" s="60"/>
      <c r="ICS2490" s="58"/>
      <c r="ICT2490" s="61"/>
      <c r="ICU2490" s="58"/>
      <c r="ICV2490" s="58"/>
      <c r="ICW2490" s="58"/>
      <c r="ICX2490" s="60"/>
      <c r="ICY2490" s="60"/>
      <c r="ICZ2490" s="60"/>
      <c r="IDA2490" s="58"/>
      <c r="IDB2490" s="61"/>
      <c r="IDC2490" s="58"/>
      <c r="IDD2490" s="58"/>
      <c r="IDE2490" s="58"/>
      <c r="IDF2490" s="60"/>
      <c r="IDG2490" s="60"/>
      <c r="IDH2490" s="60"/>
      <c r="IDI2490" s="58"/>
      <c r="IDJ2490" s="61"/>
      <c r="IDK2490" s="58"/>
      <c r="IDL2490" s="58"/>
      <c r="IDM2490" s="58"/>
      <c r="IDN2490" s="60"/>
      <c r="IDO2490" s="60"/>
      <c r="IDP2490" s="60"/>
      <c r="IDQ2490" s="58"/>
      <c r="IDR2490" s="61"/>
      <c r="IDS2490" s="58"/>
      <c r="IDT2490" s="58"/>
      <c r="IDU2490" s="58"/>
      <c r="IDV2490" s="60"/>
      <c r="IDW2490" s="60"/>
      <c r="IDX2490" s="60"/>
      <c r="IDY2490" s="58"/>
      <c r="IDZ2490" s="61"/>
      <c r="IEA2490" s="58"/>
      <c r="IEB2490" s="58"/>
      <c r="IEC2490" s="58"/>
      <c r="IED2490" s="60"/>
      <c r="IEE2490" s="60"/>
      <c r="IEF2490" s="60"/>
      <c r="IEG2490" s="58"/>
      <c r="IEH2490" s="61"/>
      <c r="IEI2490" s="58"/>
      <c r="IEJ2490" s="58"/>
      <c r="IEK2490" s="58"/>
      <c r="IEL2490" s="60"/>
      <c r="IEM2490" s="60"/>
      <c r="IEN2490" s="60"/>
      <c r="IEO2490" s="58"/>
      <c r="IEP2490" s="61"/>
      <c r="IEQ2490" s="58"/>
      <c r="IER2490" s="58"/>
      <c r="IES2490" s="58"/>
      <c r="IET2490" s="60"/>
      <c r="IEU2490" s="60"/>
      <c r="IEV2490" s="60"/>
      <c r="IEW2490" s="58"/>
      <c r="IEX2490" s="61"/>
      <c r="IEY2490" s="58"/>
      <c r="IEZ2490" s="58"/>
      <c r="IFA2490" s="58"/>
      <c r="IFB2490" s="60"/>
      <c r="IFC2490" s="60"/>
      <c r="IFD2490" s="60"/>
      <c r="IFE2490" s="58"/>
      <c r="IFF2490" s="61"/>
      <c r="IFG2490" s="58"/>
      <c r="IFH2490" s="58"/>
      <c r="IFI2490" s="58"/>
      <c r="IFJ2490" s="60"/>
      <c r="IFK2490" s="60"/>
      <c r="IFL2490" s="60"/>
      <c r="IFM2490" s="58"/>
      <c r="IFN2490" s="61"/>
      <c r="IFO2490" s="58"/>
      <c r="IFP2490" s="58"/>
      <c r="IFQ2490" s="58"/>
      <c r="IFR2490" s="60"/>
      <c r="IFS2490" s="60"/>
      <c r="IFT2490" s="60"/>
      <c r="IFU2490" s="58"/>
      <c r="IFV2490" s="61"/>
      <c r="IFW2490" s="58"/>
      <c r="IFX2490" s="58"/>
      <c r="IFY2490" s="58"/>
      <c r="IFZ2490" s="60"/>
      <c r="IGA2490" s="60"/>
      <c r="IGB2490" s="60"/>
      <c r="IGC2490" s="58"/>
      <c r="IGD2490" s="61"/>
      <c r="IGE2490" s="58"/>
      <c r="IGF2490" s="58"/>
      <c r="IGG2490" s="58"/>
      <c r="IGH2490" s="60"/>
      <c r="IGI2490" s="60"/>
      <c r="IGJ2490" s="60"/>
      <c r="IGK2490" s="58"/>
      <c r="IGL2490" s="61"/>
      <c r="IGM2490" s="58"/>
      <c r="IGN2490" s="58"/>
      <c r="IGO2490" s="58"/>
      <c r="IGP2490" s="60"/>
      <c r="IGQ2490" s="60"/>
      <c r="IGR2490" s="60"/>
      <c r="IGS2490" s="58"/>
      <c r="IGT2490" s="61"/>
      <c r="IGU2490" s="58"/>
      <c r="IGV2490" s="58"/>
      <c r="IGW2490" s="58"/>
      <c r="IGX2490" s="60"/>
      <c r="IGY2490" s="60"/>
      <c r="IGZ2490" s="60"/>
      <c r="IHA2490" s="58"/>
      <c r="IHB2490" s="61"/>
      <c r="IHC2490" s="58"/>
      <c r="IHD2490" s="58"/>
      <c r="IHE2490" s="58"/>
      <c r="IHF2490" s="60"/>
      <c r="IHG2490" s="60"/>
      <c r="IHH2490" s="60"/>
      <c r="IHI2490" s="58"/>
      <c r="IHJ2490" s="61"/>
      <c r="IHK2490" s="58"/>
      <c r="IHL2490" s="58"/>
      <c r="IHM2490" s="58"/>
      <c r="IHN2490" s="60"/>
      <c r="IHO2490" s="60"/>
      <c r="IHP2490" s="60"/>
      <c r="IHQ2490" s="58"/>
      <c r="IHR2490" s="61"/>
      <c r="IHS2490" s="58"/>
      <c r="IHT2490" s="58"/>
      <c r="IHU2490" s="58"/>
      <c r="IHV2490" s="60"/>
      <c r="IHW2490" s="60"/>
      <c r="IHX2490" s="60"/>
      <c r="IHY2490" s="58"/>
      <c r="IHZ2490" s="61"/>
      <c r="IIA2490" s="58"/>
      <c r="IIB2490" s="58"/>
      <c r="IIC2490" s="58"/>
      <c r="IID2490" s="60"/>
      <c r="IIE2490" s="60"/>
      <c r="IIF2490" s="60"/>
      <c r="IIG2490" s="58"/>
      <c r="IIH2490" s="61"/>
      <c r="III2490" s="58"/>
      <c r="IIJ2490" s="58"/>
      <c r="IIK2490" s="58"/>
      <c r="IIL2490" s="60"/>
      <c r="IIM2490" s="60"/>
      <c r="IIN2490" s="60"/>
      <c r="IIO2490" s="58"/>
      <c r="IIP2490" s="61"/>
      <c r="IIQ2490" s="58"/>
      <c r="IIR2490" s="58"/>
      <c r="IIS2490" s="58"/>
      <c r="IIT2490" s="60"/>
      <c r="IIU2490" s="60"/>
      <c r="IIV2490" s="60"/>
      <c r="IIW2490" s="58"/>
      <c r="IIX2490" s="61"/>
      <c r="IIY2490" s="58"/>
      <c r="IIZ2490" s="58"/>
      <c r="IJA2490" s="58"/>
      <c r="IJB2490" s="60"/>
      <c r="IJC2490" s="60"/>
      <c r="IJD2490" s="60"/>
      <c r="IJE2490" s="58"/>
      <c r="IJF2490" s="61"/>
      <c r="IJG2490" s="58"/>
      <c r="IJH2490" s="58"/>
      <c r="IJI2490" s="58"/>
      <c r="IJJ2490" s="60"/>
      <c r="IJK2490" s="60"/>
      <c r="IJL2490" s="60"/>
      <c r="IJM2490" s="58"/>
      <c r="IJN2490" s="61"/>
      <c r="IJO2490" s="58"/>
      <c r="IJP2490" s="58"/>
      <c r="IJQ2490" s="58"/>
      <c r="IJR2490" s="60"/>
      <c r="IJS2490" s="60"/>
      <c r="IJT2490" s="60"/>
      <c r="IJU2490" s="58"/>
      <c r="IJV2490" s="61"/>
      <c r="IJW2490" s="58"/>
      <c r="IJX2490" s="58"/>
      <c r="IJY2490" s="58"/>
      <c r="IJZ2490" s="60"/>
      <c r="IKA2490" s="60"/>
      <c r="IKB2490" s="60"/>
      <c r="IKC2490" s="58"/>
      <c r="IKD2490" s="61"/>
      <c r="IKE2490" s="58"/>
      <c r="IKF2490" s="58"/>
      <c r="IKG2490" s="58"/>
      <c r="IKH2490" s="60"/>
      <c r="IKI2490" s="60"/>
      <c r="IKJ2490" s="60"/>
      <c r="IKK2490" s="58"/>
      <c r="IKL2490" s="61"/>
      <c r="IKM2490" s="58"/>
      <c r="IKN2490" s="58"/>
      <c r="IKO2490" s="58"/>
      <c r="IKP2490" s="60"/>
      <c r="IKQ2490" s="60"/>
      <c r="IKR2490" s="60"/>
      <c r="IKS2490" s="58"/>
      <c r="IKT2490" s="61"/>
      <c r="IKU2490" s="58"/>
      <c r="IKV2490" s="58"/>
      <c r="IKW2490" s="58"/>
      <c r="IKX2490" s="60"/>
      <c r="IKY2490" s="60"/>
      <c r="IKZ2490" s="60"/>
      <c r="ILA2490" s="58"/>
      <c r="ILB2490" s="61"/>
      <c r="ILC2490" s="58"/>
      <c r="ILD2490" s="58"/>
      <c r="ILE2490" s="58"/>
      <c r="ILF2490" s="60"/>
      <c r="ILG2490" s="60"/>
      <c r="ILH2490" s="60"/>
      <c r="ILI2490" s="58"/>
      <c r="ILJ2490" s="61"/>
      <c r="ILK2490" s="58"/>
      <c r="ILL2490" s="58"/>
      <c r="ILM2490" s="58"/>
      <c r="ILN2490" s="60"/>
      <c r="ILO2490" s="60"/>
      <c r="ILP2490" s="60"/>
      <c r="ILQ2490" s="58"/>
      <c r="ILR2490" s="61"/>
      <c r="ILS2490" s="58"/>
      <c r="ILT2490" s="58"/>
      <c r="ILU2490" s="58"/>
      <c r="ILV2490" s="60"/>
      <c r="ILW2490" s="60"/>
      <c r="ILX2490" s="60"/>
      <c r="ILY2490" s="58"/>
      <c r="ILZ2490" s="61"/>
      <c r="IMA2490" s="58"/>
      <c r="IMB2490" s="58"/>
      <c r="IMC2490" s="58"/>
      <c r="IMD2490" s="60"/>
      <c r="IME2490" s="60"/>
      <c r="IMF2490" s="60"/>
      <c r="IMG2490" s="58"/>
      <c r="IMH2490" s="61"/>
      <c r="IMI2490" s="58"/>
      <c r="IMJ2490" s="58"/>
      <c r="IMK2490" s="58"/>
      <c r="IML2490" s="60"/>
      <c r="IMM2490" s="60"/>
      <c r="IMN2490" s="60"/>
      <c r="IMO2490" s="58"/>
      <c r="IMP2490" s="61"/>
      <c r="IMQ2490" s="58"/>
      <c r="IMR2490" s="58"/>
      <c r="IMS2490" s="58"/>
      <c r="IMT2490" s="60"/>
      <c r="IMU2490" s="60"/>
      <c r="IMV2490" s="60"/>
      <c r="IMW2490" s="58"/>
      <c r="IMX2490" s="61"/>
      <c r="IMY2490" s="58"/>
      <c r="IMZ2490" s="58"/>
      <c r="INA2490" s="58"/>
      <c r="INB2490" s="60"/>
      <c r="INC2490" s="60"/>
      <c r="IND2490" s="60"/>
      <c r="INE2490" s="58"/>
      <c r="INF2490" s="61"/>
      <c r="ING2490" s="58"/>
      <c r="INH2490" s="58"/>
      <c r="INI2490" s="58"/>
      <c r="INJ2490" s="60"/>
      <c r="INK2490" s="60"/>
      <c r="INL2490" s="60"/>
      <c r="INM2490" s="58"/>
      <c r="INN2490" s="61"/>
      <c r="INO2490" s="58"/>
      <c r="INP2490" s="58"/>
      <c r="INQ2490" s="58"/>
      <c r="INR2490" s="60"/>
      <c r="INS2490" s="60"/>
      <c r="INT2490" s="60"/>
      <c r="INU2490" s="58"/>
      <c r="INV2490" s="61"/>
      <c r="INW2490" s="58"/>
      <c r="INX2490" s="58"/>
      <c r="INY2490" s="58"/>
      <c r="INZ2490" s="60"/>
      <c r="IOA2490" s="60"/>
      <c r="IOB2490" s="60"/>
      <c r="IOC2490" s="58"/>
      <c r="IOD2490" s="61"/>
      <c r="IOE2490" s="58"/>
      <c r="IOF2490" s="58"/>
      <c r="IOG2490" s="58"/>
      <c r="IOH2490" s="60"/>
      <c r="IOI2490" s="60"/>
      <c r="IOJ2490" s="60"/>
      <c r="IOK2490" s="58"/>
      <c r="IOL2490" s="61"/>
      <c r="IOM2490" s="58"/>
      <c r="ION2490" s="58"/>
      <c r="IOO2490" s="58"/>
      <c r="IOP2490" s="60"/>
      <c r="IOQ2490" s="60"/>
      <c r="IOR2490" s="60"/>
      <c r="IOS2490" s="58"/>
      <c r="IOT2490" s="61"/>
      <c r="IOU2490" s="58"/>
      <c r="IOV2490" s="58"/>
      <c r="IOW2490" s="58"/>
      <c r="IOX2490" s="60"/>
      <c r="IOY2490" s="60"/>
      <c r="IOZ2490" s="60"/>
      <c r="IPA2490" s="58"/>
      <c r="IPB2490" s="61"/>
      <c r="IPC2490" s="58"/>
      <c r="IPD2490" s="58"/>
      <c r="IPE2490" s="58"/>
      <c r="IPF2490" s="60"/>
      <c r="IPG2490" s="60"/>
      <c r="IPH2490" s="60"/>
      <c r="IPI2490" s="58"/>
      <c r="IPJ2490" s="61"/>
      <c r="IPK2490" s="58"/>
      <c r="IPL2490" s="58"/>
      <c r="IPM2490" s="58"/>
      <c r="IPN2490" s="60"/>
      <c r="IPO2490" s="60"/>
      <c r="IPP2490" s="60"/>
      <c r="IPQ2490" s="58"/>
      <c r="IPR2490" s="61"/>
      <c r="IPS2490" s="58"/>
      <c r="IPT2490" s="58"/>
      <c r="IPU2490" s="58"/>
      <c r="IPV2490" s="60"/>
      <c r="IPW2490" s="60"/>
      <c r="IPX2490" s="60"/>
      <c r="IPY2490" s="58"/>
      <c r="IPZ2490" s="61"/>
      <c r="IQA2490" s="58"/>
      <c r="IQB2490" s="58"/>
      <c r="IQC2490" s="58"/>
      <c r="IQD2490" s="60"/>
      <c r="IQE2490" s="60"/>
      <c r="IQF2490" s="60"/>
      <c r="IQG2490" s="58"/>
      <c r="IQH2490" s="61"/>
      <c r="IQI2490" s="58"/>
      <c r="IQJ2490" s="58"/>
      <c r="IQK2490" s="58"/>
      <c r="IQL2490" s="60"/>
      <c r="IQM2490" s="60"/>
      <c r="IQN2490" s="60"/>
      <c r="IQO2490" s="58"/>
      <c r="IQP2490" s="61"/>
      <c r="IQQ2490" s="58"/>
      <c r="IQR2490" s="58"/>
      <c r="IQS2490" s="58"/>
      <c r="IQT2490" s="60"/>
      <c r="IQU2490" s="60"/>
      <c r="IQV2490" s="60"/>
      <c r="IQW2490" s="58"/>
      <c r="IQX2490" s="61"/>
      <c r="IQY2490" s="58"/>
      <c r="IQZ2490" s="58"/>
      <c r="IRA2490" s="58"/>
      <c r="IRB2490" s="60"/>
      <c r="IRC2490" s="60"/>
      <c r="IRD2490" s="60"/>
      <c r="IRE2490" s="58"/>
      <c r="IRF2490" s="61"/>
      <c r="IRG2490" s="58"/>
      <c r="IRH2490" s="58"/>
      <c r="IRI2490" s="58"/>
      <c r="IRJ2490" s="60"/>
      <c r="IRK2490" s="60"/>
      <c r="IRL2490" s="60"/>
      <c r="IRM2490" s="58"/>
      <c r="IRN2490" s="61"/>
      <c r="IRO2490" s="58"/>
      <c r="IRP2490" s="58"/>
      <c r="IRQ2490" s="58"/>
      <c r="IRR2490" s="60"/>
      <c r="IRS2490" s="60"/>
      <c r="IRT2490" s="60"/>
      <c r="IRU2490" s="58"/>
      <c r="IRV2490" s="61"/>
      <c r="IRW2490" s="58"/>
      <c r="IRX2490" s="58"/>
      <c r="IRY2490" s="58"/>
      <c r="IRZ2490" s="60"/>
      <c r="ISA2490" s="60"/>
      <c r="ISB2490" s="60"/>
      <c r="ISC2490" s="58"/>
      <c r="ISD2490" s="61"/>
      <c r="ISE2490" s="58"/>
      <c r="ISF2490" s="58"/>
      <c r="ISG2490" s="58"/>
      <c r="ISH2490" s="60"/>
      <c r="ISI2490" s="60"/>
      <c r="ISJ2490" s="60"/>
      <c r="ISK2490" s="58"/>
      <c r="ISL2490" s="61"/>
      <c r="ISM2490" s="58"/>
      <c r="ISN2490" s="58"/>
      <c r="ISO2490" s="58"/>
      <c r="ISP2490" s="60"/>
      <c r="ISQ2490" s="60"/>
      <c r="ISR2490" s="60"/>
      <c r="ISS2490" s="58"/>
      <c r="IST2490" s="61"/>
      <c r="ISU2490" s="58"/>
      <c r="ISV2490" s="58"/>
      <c r="ISW2490" s="58"/>
      <c r="ISX2490" s="60"/>
      <c r="ISY2490" s="60"/>
      <c r="ISZ2490" s="60"/>
      <c r="ITA2490" s="58"/>
      <c r="ITB2490" s="61"/>
      <c r="ITC2490" s="58"/>
      <c r="ITD2490" s="58"/>
      <c r="ITE2490" s="58"/>
      <c r="ITF2490" s="60"/>
      <c r="ITG2490" s="60"/>
      <c r="ITH2490" s="60"/>
      <c r="ITI2490" s="58"/>
      <c r="ITJ2490" s="61"/>
      <c r="ITK2490" s="58"/>
      <c r="ITL2490" s="58"/>
      <c r="ITM2490" s="58"/>
      <c r="ITN2490" s="60"/>
      <c r="ITO2490" s="60"/>
      <c r="ITP2490" s="60"/>
      <c r="ITQ2490" s="58"/>
      <c r="ITR2490" s="61"/>
      <c r="ITS2490" s="58"/>
      <c r="ITT2490" s="58"/>
      <c r="ITU2490" s="58"/>
      <c r="ITV2490" s="60"/>
      <c r="ITW2490" s="60"/>
      <c r="ITX2490" s="60"/>
      <c r="ITY2490" s="58"/>
      <c r="ITZ2490" s="61"/>
      <c r="IUA2490" s="58"/>
      <c r="IUB2490" s="58"/>
      <c r="IUC2490" s="58"/>
      <c r="IUD2490" s="60"/>
      <c r="IUE2490" s="60"/>
      <c r="IUF2490" s="60"/>
      <c r="IUG2490" s="58"/>
      <c r="IUH2490" s="61"/>
      <c r="IUI2490" s="58"/>
      <c r="IUJ2490" s="58"/>
      <c r="IUK2490" s="58"/>
      <c r="IUL2490" s="60"/>
      <c r="IUM2490" s="60"/>
      <c r="IUN2490" s="60"/>
      <c r="IUO2490" s="58"/>
      <c r="IUP2490" s="61"/>
      <c r="IUQ2490" s="58"/>
      <c r="IUR2490" s="58"/>
      <c r="IUS2490" s="58"/>
      <c r="IUT2490" s="60"/>
      <c r="IUU2490" s="60"/>
      <c r="IUV2490" s="60"/>
      <c r="IUW2490" s="58"/>
      <c r="IUX2490" s="61"/>
      <c r="IUY2490" s="58"/>
      <c r="IUZ2490" s="58"/>
      <c r="IVA2490" s="58"/>
      <c r="IVB2490" s="60"/>
      <c r="IVC2490" s="60"/>
      <c r="IVD2490" s="60"/>
      <c r="IVE2490" s="58"/>
      <c r="IVF2490" s="61"/>
      <c r="IVG2490" s="58"/>
      <c r="IVH2490" s="58"/>
      <c r="IVI2490" s="58"/>
      <c r="IVJ2490" s="60"/>
      <c r="IVK2490" s="60"/>
      <c r="IVL2490" s="60"/>
      <c r="IVM2490" s="58"/>
      <c r="IVN2490" s="61"/>
      <c r="IVO2490" s="58"/>
      <c r="IVP2490" s="58"/>
      <c r="IVQ2490" s="58"/>
      <c r="IVR2490" s="60"/>
      <c r="IVS2490" s="60"/>
      <c r="IVT2490" s="60"/>
      <c r="IVU2490" s="58"/>
      <c r="IVV2490" s="61"/>
      <c r="IVW2490" s="58"/>
      <c r="IVX2490" s="58"/>
      <c r="IVY2490" s="58"/>
      <c r="IVZ2490" s="60"/>
      <c r="IWA2490" s="60"/>
      <c r="IWB2490" s="60"/>
      <c r="IWC2490" s="58"/>
      <c r="IWD2490" s="61"/>
      <c r="IWE2490" s="58"/>
      <c r="IWF2490" s="58"/>
      <c r="IWG2490" s="58"/>
      <c r="IWH2490" s="60"/>
      <c r="IWI2490" s="60"/>
      <c r="IWJ2490" s="60"/>
      <c r="IWK2490" s="58"/>
      <c r="IWL2490" s="61"/>
      <c r="IWM2490" s="58"/>
      <c r="IWN2490" s="58"/>
      <c r="IWO2490" s="58"/>
      <c r="IWP2490" s="60"/>
      <c r="IWQ2490" s="60"/>
      <c r="IWR2490" s="60"/>
      <c r="IWS2490" s="58"/>
      <c r="IWT2490" s="61"/>
      <c r="IWU2490" s="58"/>
      <c r="IWV2490" s="58"/>
      <c r="IWW2490" s="58"/>
      <c r="IWX2490" s="60"/>
      <c r="IWY2490" s="60"/>
      <c r="IWZ2490" s="60"/>
      <c r="IXA2490" s="58"/>
      <c r="IXB2490" s="61"/>
      <c r="IXC2490" s="58"/>
      <c r="IXD2490" s="58"/>
      <c r="IXE2490" s="58"/>
      <c r="IXF2490" s="60"/>
      <c r="IXG2490" s="60"/>
      <c r="IXH2490" s="60"/>
      <c r="IXI2490" s="58"/>
      <c r="IXJ2490" s="61"/>
      <c r="IXK2490" s="58"/>
      <c r="IXL2490" s="58"/>
      <c r="IXM2490" s="58"/>
      <c r="IXN2490" s="60"/>
      <c r="IXO2490" s="60"/>
      <c r="IXP2490" s="60"/>
      <c r="IXQ2490" s="58"/>
      <c r="IXR2490" s="61"/>
      <c r="IXS2490" s="58"/>
      <c r="IXT2490" s="58"/>
      <c r="IXU2490" s="58"/>
      <c r="IXV2490" s="60"/>
      <c r="IXW2490" s="60"/>
      <c r="IXX2490" s="60"/>
      <c r="IXY2490" s="58"/>
      <c r="IXZ2490" s="61"/>
      <c r="IYA2490" s="58"/>
      <c r="IYB2490" s="58"/>
      <c r="IYC2490" s="58"/>
      <c r="IYD2490" s="60"/>
      <c r="IYE2490" s="60"/>
      <c r="IYF2490" s="60"/>
      <c r="IYG2490" s="58"/>
      <c r="IYH2490" s="61"/>
      <c r="IYI2490" s="58"/>
      <c r="IYJ2490" s="58"/>
      <c r="IYK2490" s="58"/>
      <c r="IYL2490" s="60"/>
      <c r="IYM2490" s="60"/>
      <c r="IYN2490" s="60"/>
      <c r="IYO2490" s="58"/>
      <c r="IYP2490" s="61"/>
      <c r="IYQ2490" s="58"/>
      <c r="IYR2490" s="58"/>
      <c r="IYS2490" s="58"/>
      <c r="IYT2490" s="60"/>
      <c r="IYU2490" s="60"/>
      <c r="IYV2490" s="60"/>
      <c r="IYW2490" s="58"/>
      <c r="IYX2490" s="61"/>
      <c r="IYY2490" s="58"/>
      <c r="IYZ2490" s="58"/>
      <c r="IZA2490" s="58"/>
      <c r="IZB2490" s="60"/>
      <c r="IZC2490" s="60"/>
      <c r="IZD2490" s="60"/>
      <c r="IZE2490" s="58"/>
      <c r="IZF2490" s="61"/>
      <c r="IZG2490" s="58"/>
      <c r="IZH2490" s="58"/>
      <c r="IZI2490" s="58"/>
      <c r="IZJ2490" s="60"/>
      <c r="IZK2490" s="60"/>
      <c r="IZL2490" s="60"/>
      <c r="IZM2490" s="58"/>
      <c r="IZN2490" s="61"/>
      <c r="IZO2490" s="58"/>
      <c r="IZP2490" s="58"/>
      <c r="IZQ2490" s="58"/>
      <c r="IZR2490" s="60"/>
      <c r="IZS2490" s="60"/>
      <c r="IZT2490" s="60"/>
      <c r="IZU2490" s="58"/>
      <c r="IZV2490" s="61"/>
      <c r="IZW2490" s="58"/>
      <c r="IZX2490" s="58"/>
      <c r="IZY2490" s="58"/>
      <c r="IZZ2490" s="60"/>
      <c r="JAA2490" s="60"/>
      <c r="JAB2490" s="60"/>
      <c r="JAC2490" s="58"/>
      <c r="JAD2490" s="61"/>
      <c r="JAE2490" s="58"/>
      <c r="JAF2490" s="58"/>
      <c r="JAG2490" s="58"/>
      <c r="JAH2490" s="60"/>
      <c r="JAI2490" s="60"/>
      <c r="JAJ2490" s="60"/>
      <c r="JAK2490" s="58"/>
      <c r="JAL2490" s="61"/>
      <c r="JAM2490" s="58"/>
      <c r="JAN2490" s="58"/>
      <c r="JAO2490" s="58"/>
      <c r="JAP2490" s="60"/>
      <c r="JAQ2490" s="60"/>
      <c r="JAR2490" s="60"/>
      <c r="JAS2490" s="58"/>
      <c r="JAT2490" s="61"/>
      <c r="JAU2490" s="58"/>
      <c r="JAV2490" s="58"/>
      <c r="JAW2490" s="58"/>
      <c r="JAX2490" s="60"/>
      <c r="JAY2490" s="60"/>
      <c r="JAZ2490" s="60"/>
      <c r="JBA2490" s="58"/>
      <c r="JBB2490" s="61"/>
      <c r="JBC2490" s="58"/>
      <c r="JBD2490" s="58"/>
      <c r="JBE2490" s="58"/>
      <c r="JBF2490" s="60"/>
      <c r="JBG2490" s="60"/>
      <c r="JBH2490" s="60"/>
      <c r="JBI2490" s="58"/>
      <c r="JBJ2490" s="61"/>
      <c r="JBK2490" s="58"/>
      <c r="JBL2490" s="58"/>
      <c r="JBM2490" s="58"/>
      <c r="JBN2490" s="60"/>
      <c r="JBO2490" s="60"/>
      <c r="JBP2490" s="60"/>
      <c r="JBQ2490" s="58"/>
      <c r="JBR2490" s="61"/>
      <c r="JBS2490" s="58"/>
      <c r="JBT2490" s="58"/>
      <c r="JBU2490" s="58"/>
      <c r="JBV2490" s="60"/>
      <c r="JBW2490" s="60"/>
      <c r="JBX2490" s="60"/>
      <c r="JBY2490" s="58"/>
      <c r="JBZ2490" s="61"/>
      <c r="JCA2490" s="58"/>
      <c r="JCB2490" s="58"/>
      <c r="JCC2490" s="58"/>
      <c r="JCD2490" s="60"/>
      <c r="JCE2490" s="60"/>
      <c r="JCF2490" s="60"/>
      <c r="JCG2490" s="58"/>
      <c r="JCH2490" s="61"/>
      <c r="JCI2490" s="58"/>
      <c r="JCJ2490" s="58"/>
      <c r="JCK2490" s="58"/>
      <c r="JCL2490" s="60"/>
      <c r="JCM2490" s="60"/>
      <c r="JCN2490" s="60"/>
      <c r="JCO2490" s="58"/>
      <c r="JCP2490" s="61"/>
      <c r="JCQ2490" s="58"/>
      <c r="JCR2490" s="58"/>
      <c r="JCS2490" s="58"/>
      <c r="JCT2490" s="60"/>
      <c r="JCU2490" s="60"/>
      <c r="JCV2490" s="60"/>
      <c r="JCW2490" s="58"/>
      <c r="JCX2490" s="61"/>
      <c r="JCY2490" s="58"/>
      <c r="JCZ2490" s="58"/>
      <c r="JDA2490" s="58"/>
      <c r="JDB2490" s="60"/>
      <c r="JDC2490" s="60"/>
      <c r="JDD2490" s="60"/>
      <c r="JDE2490" s="58"/>
      <c r="JDF2490" s="61"/>
      <c r="JDG2490" s="58"/>
      <c r="JDH2490" s="58"/>
      <c r="JDI2490" s="58"/>
      <c r="JDJ2490" s="60"/>
      <c r="JDK2490" s="60"/>
      <c r="JDL2490" s="60"/>
      <c r="JDM2490" s="58"/>
      <c r="JDN2490" s="61"/>
      <c r="JDO2490" s="58"/>
      <c r="JDP2490" s="58"/>
      <c r="JDQ2490" s="58"/>
      <c r="JDR2490" s="60"/>
      <c r="JDS2490" s="60"/>
      <c r="JDT2490" s="60"/>
      <c r="JDU2490" s="58"/>
      <c r="JDV2490" s="61"/>
      <c r="JDW2490" s="58"/>
      <c r="JDX2490" s="58"/>
      <c r="JDY2490" s="58"/>
      <c r="JDZ2490" s="60"/>
      <c r="JEA2490" s="60"/>
      <c r="JEB2490" s="60"/>
      <c r="JEC2490" s="58"/>
      <c r="JED2490" s="61"/>
      <c r="JEE2490" s="58"/>
      <c r="JEF2490" s="58"/>
      <c r="JEG2490" s="58"/>
      <c r="JEH2490" s="60"/>
      <c r="JEI2490" s="60"/>
      <c r="JEJ2490" s="60"/>
      <c r="JEK2490" s="58"/>
      <c r="JEL2490" s="61"/>
      <c r="JEM2490" s="58"/>
      <c r="JEN2490" s="58"/>
      <c r="JEO2490" s="58"/>
      <c r="JEP2490" s="60"/>
      <c r="JEQ2490" s="60"/>
      <c r="JER2490" s="60"/>
      <c r="JES2490" s="58"/>
      <c r="JET2490" s="61"/>
      <c r="JEU2490" s="58"/>
      <c r="JEV2490" s="58"/>
      <c r="JEW2490" s="58"/>
      <c r="JEX2490" s="60"/>
      <c r="JEY2490" s="60"/>
      <c r="JEZ2490" s="60"/>
      <c r="JFA2490" s="58"/>
      <c r="JFB2490" s="61"/>
      <c r="JFC2490" s="58"/>
      <c r="JFD2490" s="58"/>
      <c r="JFE2490" s="58"/>
      <c r="JFF2490" s="60"/>
      <c r="JFG2490" s="60"/>
      <c r="JFH2490" s="60"/>
      <c r="JFI2490" s="58"/>
      <c r="JFJ2490" s="61"/>
      <c r="JFK2490" s="58"/>
      <c r="JFL2490" s="58"/>
      <c r="JFM2490" s="58"/>
      <c r="JFN2490" s="60"/>
      <c r="JFO2490" s="60"/>
      <c r="JFP2490" s="60"/>
      <c r="JFQ2490" s="58"/>
      <c r="JFR2490" s="61"/>
      <c r="JFS2490" s="58"/>
      <c r="JFT2490" s="58"/>
      <c r="JFU2490" s="58"/>
      <c r="JFV2490" s="60"/>
      <c r="JFW2490" s="60"/>
      <c r="JFX2490" s="60"/>
      <c r="JFY2490" s="58"/>
      <c r="JFZ2490" s="61"/>
      <c r="JGA2490" s="58"/>
      <c r="JGB2490" s="58"/>
      <c r="JGC2490" s="58"/>
      <c r="JGD2490" s="60"/>
      <c r="JGE2490" s="60"/>
      <c r="JGF2490" s="60"/>
      <c r="JGG2490" s="58"/>
      <c r="JGH2490" s="61"/>
      <c r="JGI2490" s="58"/>
      <c r="JGJ2490" s="58"/>
      <c r="JGK2490" s="58"/>
      <c r="JGL2490" s="60"/>
      <c r="JGM2490" s="60"/>
      <c r="JGN2490" s="60"/>
      <c r="JGO2490" s="58"/>
      <c r="JGP2490" s="61"/>
      <c r="JGQ2490" s="58"/>
      <c r="JGR2490" s="58"/>
      <c r="JGS2490" s="58"/>
      <c r="JGT2490" s="60"/>
      <c r="JGU2490" s="60"/>
      <c r="JGV2490" s="60"/>
      <c r="JGW2490" s="58"/>
      <c r="JGX2490" s="61"/>
      <c r="JGY2490" s="58"/>
      <c r="JGZ2490" s="58"/>
      <c r="JHA2490" s="58"/>
      <c r="JHB2490" s="60"/>
      <c r="JHC2490" s="60"/>
      <c r="JHD2490" s="60"/>
      <c r="JHE2490" s="58"/>
      <c r="JHF2490" s="61"/>
      <c r="JHG2490" s="58"/>
      <c r="JHH2490" s="58"/>
      <c r="JHI2490" s="58"/>
      <c r="JHJ2490" s="60"/>
      <c r="JHK2490" s="60"/>
      <c r="JHL2490" s="60"/>
      <c r="JHM2490" s="58"/>
      <c r="JHN2490" s="61"/>
      <c r="JHO2490" s="58"/>
      <c r="JHP2490" s="58"/>
      <c r="JHQ2490" s="58"/>
      <c r="JHR2490" s="60"/>
      <c r="JHS2490" s="60"/>
      <c r="JHT2490" s="60"/>
      <c r="JHU2490" s="58"/>
      <c r="JHV2490" s="61"/>
      <c r="JHW2490" s="58"/>
      <c r="JHX2490" s="58"/>
      <c r="JHY2490" s="58"/>
      <c r="JHZ2490" s="60"/>
      <c r="JIA2490" s="60"/>
      <c r="JIB2490" s="60"/>
      <c r="JIC2490" s="58"/>
      <c r="JID2490" s="61"/>
      <c r="JIE2490" s="58"/>
      <c r="JIF2490" s="58"/>
      <c r="JIG2490" s="58"/>
      <c r="JIH2490" s="60"/>
      <c r="JII2490" s="60"/>
      <c r="JIJ2490" s="60"/>
      <c r="JIK2490" s="58"/>
      <c r="JIL2490" s="61"/>
      <c r="JIM2490" s="58"/>
      <c r="JIN2490" s="58"/>
      <c r="JIO2490" s="58"/>
      <c r="JIP2490" s="60"/>
      <c r="JIQ2490" s="60"/>
      <c r="JIR2490" s="60"/>
      <c r="JIS2490" s="58"/>
      <c r="JIT2490" s="61"/>
      <c r="JIU2490" s="58"/>
      <c r="JIV2490" s="58"/>
      <c r="JIW2490" s="58"/>
      <c r="JIX2490" s="60"/>
      <c r="JIY2490" s="60"/>
      <c r="JIZ2490" s="60"/>
      <c r="JJA2490" s="58"/>
      <c r="JJB2490" s="61"/>
      <c r="JJC2490" s="58"/>
      <c r="JJD2490" s="58"/>
      <c r="JJE2490" s="58"/>
      <c r="JJF2490" s="60"/>
      <c r="JJG2490" s="60"/>
      <c r="JJH2490" s="60"/>
      <c r="JJI2490" s="58"/>
      <c r="JJJ2490" s="61"/>
      <c r="JJK2490" s="58"/>
      <c r="JJL2490" s="58"/>
      <c r="JJM2490" s="58"/>
      <c r="JJN2490" s="60"/>
      <c r="JJO2490" s="60"/>
      <c r="JJP2490" s="60"/>
      <c r="JJQ2490" s="58"/>
      <c r="JJR2490" s="61"/>
      <c r="JJS2490" s="58"/>
      <c r="JJT2490" s="58"/>
      <c r="JJU2490" s="58"/>
      <c r="JJV2490" s="60"/>
      <c r="JJW2490" s="60"/>
      <c r="JJX2490" s="60"/>
      <c r="JJY2490" s="58"/>
      <c r="JJZ2490" s="61"/>
      <c r="JKA2490" s="58"/>
      <c r="JKB2490" s="58"/>
      <c r="JKC2490" s="58"/>
      <c r="JKD2490" s="60"/>
      <c r="JKE2490" s="60"/>
      <c r="JKF2490" s="60"/>
      <c r="JKG2490" s="58"/>
      <c r="JKH2490" s="61"/>
      <c r="JKI2490" s="58"/>
      <c r="JKJ2490" s="58"/>
      <c r="JKK2490" s="58"/>
      <c r="JKL2490" s="60"/>
      <c r="JKM2490" s="60"/>
      <c r="JKN2490" s="60"/>
      <c r="JKO2490" s="58"/>
      <c r="JKP2490" s="61"/>
      <c r="JKQ2490" s="58"/>
      <c r="JKR2490" s="58"/>
      <c r="JKS2490" s="58"/>
      <c r="JKT2490" s="60"/>
      <c r="JKU2490" s="60"/>
      <c r="JKV2490" s="60"/>
      <c r="JKW2490" s="58"/>
      <c r="JKX2490" s="61"/>
      <c r="JKY2490" s="58"/>
      <c r="JKZ2490" s="58"/>
      <c r="JLA2490" s="58"/>
      <c r="JLB2490" s="60"/>
      <c r="JLC2490" s="60"/>
      <c r="JLD2490" s="60"/>
      <c r="JLE2490" s="58"/>
      <c r="JLF2490" s="61"/>
      <c r="JLG2490" s="58"/>
      <c r="JLH2490" s="58"/>
      <c r="JLI2490" s="58"/>
      <c r="JLJ2490" s="60"/>
      <c r="JLK2490" s="60"/>
      <c r="JLL2490" s="60"/>
      <c r="JLM2490" s="58"/>
      <c r="JLN2490" s="61"/>
      <c r="JLO2490" s="58"/>
      <c r="JLP2490" s="58"/>
      <c r="JLQ2490" s="58"/>
      <c r="JLR2490" s="60"/>
      <c r="JLS2490" s="60"/>
      <c r="JLT2490" s="60"/>
      <c r="JLU2490" s="58"/>
      <c r="JLV2490" s="61"/>
      <c r="JLW2490" s="58"/>
      <c r="JLX2490" s="58"/>
      <c r="JLY2490" s="58"/>
      <c r="JLZ2490" s="60"/>
      <c r="JMA2490" s="60"/>
      <c r="JMB2490" s="60"/>
      <c r="JMC2490" s="58"/>
      <c r="JMD2490" s="61"/>
      <c r="JME2490" s="58"/>
      <c r="JMF2490" s="58"/>
      <c r="JMG2490" s="58"/>
      <c r="JMH2490" s="60"/>
      <c r="JMI2490" s="60"/>
      <c r="JMJ2490" s="60"/>
      <c r="JMK2490" s="58"/>
      <c r="JML2490" s="61"/>
      <c r="JMM2490" s="58"/>
      <c r="JMN2490" s="58"/>
      <c r="JMO2490" s="58"/>
      <c r="JMP2490" s="60"/>
      <c r="JMQ2490" s="60"/>
      <c r="JMR2490" s="60"/>
      <c r="JMS2490" s="58"/>
      <c r="JMT2490" s="61"/>
      <c r="JMU2490" s="58"/>
      <c r="JMV2490" s="58"/>
      <c r="JMW2490" s="58"/>
      <c r="JMX2490" s="60"/>
      <c r="JMY2490" s="60"/>
      <c r="JMZ2490" s="60"/>
      <c r="JNA2490" s="58"/>
      <c r="JNB2490" s="61"/>
      <c r="JNC2490" s="58"/>
      <c r="JND2490" s="58"/>
      <c r="JNE2490" s="58"/>
      <c r="JNF2490" s="60"/>
      <c r="JNG2490" s="60"/>
      <c r="JNH2490" s="60"/>
      <c r="JNI2490" s="58"/>
      <c r="JNJ2490" s="61"/>
      <c r="JNK2490" s="58"/>
      <c r="JNL2490" s="58"/>
      <c r="JNM2490" s="58"/>
      <c r="JNN2490" s="60"/>
      <c r="JNO2490" s="60"/>
      <c r="JNP2490" s="60"/>
      <c r="JNQ2490" s="58"/>
      <c r="JNR2490" s="61"/>
      <c r="JNS2490" s="58"/>
      <c r="JNT2490" s="58"/>
      <c r="JNU2490" s="58"/>
      <c r="JNV2490" s="60"/>
      <c r="JNW2490" s="60"/>
      <c r="JNX2490" s="60"/>
      <c r="JNY2490" s="58"/>
      <c r="JNZ2490" s="61"/>
      <c r="JOA2490" s="58"/>
      <c r="JOB2490" s="58"/>
      <c r="JOC2490" s="58"/>
      <c r="JOD2490" s="60"/>
      <c r="JOE2490" s="60"/>
      <c r="JOF2490" s="60"/>
      <c r="JOG2490" s="58"/>
      <c r="JOH2490" s="61"/>
      <c r="JOI2490" s="58"/>
      <c r="JOJ2490" s="58"/>
      <c r="JOK2490" s="58"/>
      <c r="JOL2490" s="60"/>
      <c r="JOM2490" s="60"/>
      <c r="JON2490" s="60"/>
      <c r="JOO2490" s="58"/>
      <c r="JOP2490" s="61"/>
      <c r="JOQ2490" s="58"/>
      <c r="JOR2490" s="58"/>
      <c r="JOS2490" s="58"/>
      <c r="JOT2490" s="60"/>
      <c r="JOU2490" s="60"/>
      <c r="JOV2490" s="60"/>
      <c r="JOW2490" s="58"/>
      <c r="JOX2490" s="61"/>
      <c r="JOY2490" s="58"/>
      <c r="JOZ2490" s="58"/>
      <c r="JPA2490" s="58"/>
      <c r="JPB2490" s="60"/>
      <c r="JPC2490" s="60"/>
      <c r="JPD2490" s="60"/>
      <c r="JPE2490" s="58"/>
      <c r="JPF2490" s="61"/>
      <c r="JPG2490" s="58"/>
      <c r="JPH2490" s="58"/>
      <c r="JPI2490" s="58"/>
      <c r="JPJ2490" s="60"/>
      <c r="JPK2490" s="60"/>
      <c r="JPL2490" s="60"/>
      <c r="JPM2490" s="58"/>
      <c r="JPN2490" s="61"/>
      <c r="JPO2490" s="58"/>
      <c r="JPP2490" s="58"/>
      <c r="JPQ2490" s="58"/>
      <c r="JPR2490" s="60"/>
      <c r="JPS2490" s="60"/>
      <c r="JPT2490" s="60"/>
      <c r="JPU2490" s="58"/>
      <c r="JPV2490" s="61"/>
      <c r="JPW2490" s="58"/>
      <c r="JPX2490" s="58"/>
      <c r="JPY2490" s="58"/>
      <c r="JPZ2490" s="60"/>
      <c r="JQA2490" s="60"/>
      <c r="JQB2490" s="60"/>
      <c r="JQC2490" s="58"/>
      <c r="JQD2490" s="61"/>
      <c r="JQE2490" s="58"/>
      <c r="JQF2490" s="58"/>
      <c r="JQG2490" s="58"/>
      <c r="JQH2490" s="60"/>
      <c r="JQI2490" s="60"/>
      <c r="JQJ2490" s="60"/>
      <c r="JQK2490" s="58"/>
      <c r="JQL2490" s="61"/>
      <c r="JQM2490" s="58"/>
      <c r="JQN2490" s="58"/>
      <c r="JQO2490" s="58"/>
      <c r="JQP2490" s="60"/>
      <c r="JQQ2490" s="60"/>
      <c r="JQR2490" s="60"/>
      <c r="JQS2490" s="58"/>
      <c r="JQT2490" s="61"/>
      <c r="JQU2490" s="58"/>
      <c r="JQV2490" s="58"/>
      <c r="JQW2490" s="58"/>
      <c r="JQX2490" s="60"/>
      <c r="JQY2490" s="60"/>
      <c r="JQZ2490" s="60"/>
      <c r="JRA2490" s="58"/>
      <c r="JRB2490" s="61"/>
      <c r="JRC2490" s="58"/>
      <c r="JRD2490" s="58"/>
      <c r="JRE2490" s="58"/>
      <c r="JRF2490" s="60"/>
      <c r="JRG2490" s="60"/>
      <c r="JRH2490" s="60"/>
      <c r="JRI2490" s="58"/>
      <c r="JRJ2490" s="61"/>
      <c r="JRK2490" s="58"/>
      <c r="JRL2490" s="58"/>
      <c r="JRM2490" s="58"/>
      <c r="JRN2490" s="60"/>
      <c r="JRO2490" s="60"/>
      <c r="JRP2490" s="60"/>
      <c r="JRQ2490" s="58"/>
      <c r="JRR2490" s="61"/>
      <c r="JRS2490" s="58"/>
      <c r="JRT2490" s="58"/>
      <c r="JRU2490" s="58"/>
      <c r="JRV2490" s="60"/>
      <c r="JRW2490" s="60"/>
      <c r="JRX2490" s="60"/>
      <c r="JRY2490" s="58"/>
      <c r="JRZ2490" s="61"/>
      <c r="JSA2490" s="58"/>
      <c r="JSB2490" s="58"/>
      <c r="JSC2490" s="58"/>
      <c r="JSD2490" s="60"/>
      <c r="JSE2490" s="60"/>
      <c r="JSF2490" s="60"/>
      <c r="JSG2490" s="58"/>
      <c r="JSH2490" s="61"/>
      <c r="JSI2490" s="58"/>
      <c r="JSJ2490" s="58"/>
      <c r="JSK2490" s="58"/>
      <c r="JSL2490" s="60"/>
      <c r="JSM2490" s="60"/>
      <c r="JSN2490" s="60"/>
      <c r="JSO2490" s="58"/>
      <c r="JSP2490" s="61"/>
      <c r="JSQ2490" s="58"/>
      <c r="JSR2490" s="58"/>
      <c r="JSS2490" s="58"/>
      <c r="JST2490" s="60"/>
      <c r="JSU2490" s="60"/>
      <c r="JSV2490" s="60"/>
      <c r="JSW2490" s="58"/>
      <c r="JSX2490" s="61"/>
      <c r="JSY2490" s="58"/>
      <c r="JSZ2490" s="58"/>
      <c r="JTA2490" s="58"/>
      <c r="JTB2490" s="60"/>
      <c r="JTC2490" s="60"/>
      <c r="JTD2490" s="60"/>
      <c r="JTE2490" s="58"/>
      <c r="JTF2490" s="61"/>
      <c r="JTG2490" s="58"/>
      <c r="JTH2490" s="58"/>
      <c r="JTI2490" s="58"/>
      <c r="JTJ2490" s="60"/>
      <c r="JTK2490" s="60"/>
      <c r="JTL2490" s="60"/>
      <c r="JTM2490" s="58"/>
      <c r="JTN2490" s="61"/>
      <c r="JTO2490" s="58"/>
      <c r="JTP2490" s="58"/>
      <c r="JTQ2490" s="58"/>
      <c r="JTR2490" s="60"/>
      <c r="JTS2490" s="60"/>
      <c r="JTT2490" s="60"/>
      <c r="JTU2490" s="58"/>
      <c r="JTV2490" s="61"/>
      <c r="JTW2490" s="58"/>
      <c r="JTX2490" s="58"/>
      <c r="JTY2490" s="58"/>
      <c r="JTZ2490" s="60"/>
      <c r="JUA2490" s="60"/>
      <c r="JUB2490" s="60"/>
      <c r="JUC2490" s="58"/>
      <c r="JUD2490" s="61"/>
      <c r="JUE2490" s="58"/>
      <c r="JUF2490" s="58"/>
      <c r="JUG2490" s="58"/>
      <c r="JUH2490" s="60"/>
      <c r="JUI2490" s="60"/>
      <c r="JUJ2490" s="60"/>
      <c r="JUK2490" s="58"/>
      <c r="JUL2490" s="61"/>
      <c r="JUM2490" s="58"/>
      <c r="JUN2490" s="58"/>
      <c r="JUO2490" s="58"/>
      <c r="JUP2490" s="60"/>
      <c r="JUQ2490" s="60"/>
      <c r="JUR2490" s="60"/>
      <c r="JUS2490" s="58"/>
      <c r="JUT2490" s="61"/>
      <c r="JUU2490" s="58"/>
      <c r="JUV2490" s="58"/>
      <c r="JUW2490" s="58"/>
      <c r="JUX2490" s="60"/>
      <c r="JUY2490" s="60"/>
      <c r="JUZ2490" s="60"/>
      <c r="JVA2490" s="58"/>
      <c r="JVB2490" s="61"/>
      <c r="JVC2490" s="58"/>
      <c r="JVD2490" s="58"/>
      <c r="JVE2490" s="58"/>
      <c r="JVF2490" s="60"/>
      <c r="JVG2490" s="60"/>
      <c r="JVH2490" s="60"/>
      <c r="JVI2490" s="58"/>
      <c r="JVJ2490" s="61"/>
      <c r="JVK2490" s="58"/>
      <c r="JVL2490" s="58"/>
      <c r="JVM2490" s="58"/>
      <c r="JVN2490" s="60"/>
      <c r="JVO2490" s="60"/>
      <c r="JVP2490" s="60"/>
      <c r="JVQ2490" s="58"/>
      <c r="JVR2490" s="61"/>
      <c r="JVS2490" s="58"/>
      <c r="JVT2490" s="58"/>
      <c r="JVU2490" s="58"/>
      <c r="JVV2490" s="60"/>
      <c r="JVW2490" s="60"/>
      <c r="JVX2490" s="60"/>
      <c r="JVY2490" s="58"/>
      <c r="JVZ2490" s="61"/>
      <c r="JWA2490" s="58"/>
      <c r="JWB2490" s="58"/>
      <c r="JWC2490" s="58"/>
      <c r="JWD2490" s="60"/>
      <c r="JWE2490" s="60"/>
      <c r="JWF2490" s="60"/>
      <c r="JWG2490" s="58"/>
      <c r="JWH2490" s="61"/>
      <c r="JWI2490" s="58"/>
      <c r="JWJ2490" s="58"/>
      <c r="JWK2490" s="58"/>
      <c r="JWL2490" s="60"/>
      <c r="JWM2490" s="60"/>
      <c r="JWN2490" s="60"/>
      <c r="JWO2490" s="58"/>
      <c r="JWP2490" s="61"/>
      <c r="JWQ2490" s="58"/>
      <c r="JWR2490" s="58"/>
      <c r="JWS2490" s="58"/>
      <c r="JWT2490" s="60"/>
      <c r="JWU2490" s="60"/>
      <c r="JWV2490" s="60"/>
      <c r="JWW2490" s="58"/>
      <c r="JWX2490" s="61"/>
      <c r="JWY2490" s="58"/>
      <c r="JWZ2490" s="58"/>
      <c r="JXA2490" s="58"/>
      <c r="JXB2490" s="60"/>
      <c r="JXC2490" s="60"/>
      <c r="JXD2490" s="60"/>
      <c r="JXE2490" s="58"/>
      <c r="JXF2490" s="61"/>
      <c r="JXG2490" s="58"/>
      <c r="JXH2490" s="58"/>
      <c r="JXI2490" s="58"/>
      <c r="JXJ2490" s="60"/>
      <c r="JXK2490" s="60"/>
      <c r="JXL2490" s="60"/>
      <c r="JXM2490" s="58"/>
      <c r="JXN2490" s="61"/>
      <c r="JXO2490" s="58"/>
      <c r="JXP2490" s="58"/>
      <c r="JXQ2490" s="58"/>
      <c r="JXR2490" s="60"/>
      <c r="JXS2490" s="60"/>
      <c r="JXT2490" s="60"/>
      <c r="JXU2490" s="58"/>
      <c r="JXV2490" s="61"/>
      <c r="JXW2490" s="58"/>
      <c r="JXX2490" s="58"/>
      <c r="JXY2490" s="58"/>
      <c r="JXZ2490" s="60"/>
      <c r="JYA2490" s="60"/>
      <c r="JYB2490" s="60"/>
      <c r="JYC2490" s="58"/>
      <c r="JYD2490" s="61"/>
      <c r="JYE2490" s="58"/>
      <c r="JYF2490" s="58"/>
      <c r="JYG2490" s="58"/>
      <c r="JYH2490" s="60"/>
      <c r="JYI2490" s="60"/>
      <c r="JYJ2490" s="60"/>
      <c r="JYK2490" s="58"/>
      <c r="JYL2490" s="61"/>
      <c r="JYM2490" s="58"/>
      <c r="JYN2490" s="58"/>
      <c r="JYO2490" s="58"/>
      <c r="JYP2490" s="60"/>
      <c r="JYQ2490" s="60"/>
      <c r="JYR2490" s="60"/>
      <c r="JYS2490" s="58"/>
      <c r="JYT2490" s="61"/>
      <c r="JYU2490" s="58"/>
      <c r="JYV2490" s="58"/>
      <c r="JYW2490" s="58"/>
      <c r="JYX2490" s="60"/>
      <c r="JYY2490" s="60"/>
      <c r="JYZ2490" s="60"/>
      <c r="JZA2490" s="58"/>
      <c r="JZB2490" s="61"/>
      <c r="JZC2490" s="58"/>
      <c r="JZD2490" s="58"/>
      <c r="JZE2490" s="58"/>
      <c r="JZF2490" s="60"/>
      <c r="JZG2490" s="60"/>
      <c r="JZH2490" s="60"/>
      <c r="JZI2490" s="58"/>
      <c r="JZJ2490" s="61"/>
      <c r="JZK2490" s="58"/>
      <c r="JZL2490" s="58"/>
      <c r="JZM2490" s="58"/>
      <c r="JZN2490" s="60"/>
      <c r="JZO2490" s="60"/>
      <c r="JZP2490" s="60"/>
      <c r="JZQ2490" s="58"/>
      <c r="JZR2490" s="61"/>
      <c r="JZS2490" s="58"/>
      <c r="JZT2490" s="58"/>
      <c r="JZU2490" s="58"/>
      <c r="JZV2490" s="60"/>
      <c r="JZW2490" s="60"/>
      <c r="JZX2490" s="60"/>
      <c r="JZY2490" s="58"/>
      <c r="JZZ2490" s="61"/>
      <c r="KAA2490" s="58"/>
      <c r="KAB2490" s="58"/>
      <c r="KAC2490" s="58"/>
      <c r="KAD2490" s="60"/>
      <c r="KAE2490" s="60"/>
      <c r="KAF2490" s="60"/>
      <c r="KAG2490" s="58"/>
      <c r="KAH2490" s="61"/>
      <c r="KAI2490" s="58"/>
      <c r="KAJ2490" s="58"/>
      <c r="KAK2490" s="58"/>
      <c r="KAL2490" s="60"/>
      <c r="KAM2490" s="60"/>
      <c r="KAN2490" s="60"/>
      <c r="KAO2490" s="58"/>
      <c r="KAP2490" s="61"/>
      <c r="KAQ2490" s="58"/>
      <c r="KAR2490" s="58"/>
      <c r="KAS2490" s="58"/>
      <c r="KAT2490" s="60"/>
      <c r="KAU2490" s="60"/>
      <c r="KAV2490" s="60"/>
      <c r="KAW2490" s="58"/>
      <c r="KAX2490" s="61"/>
      <c r="KAY2490" s="58"/>
      <c r="KAZ2490" s="58"/>
      <c r="KBA2490" s="58"/>
      <c r="KBB2490" s="60"/>
      <c r="KBC2490" s="60"/>
      <c r="KBD2490" s="60"/>
      <c r="KBE2490" s="58"/>
      <c r="KBF2490" s="61"/>
      <c r="KBG2490" s="58"/>
      <c r="KBH2490" s="58"/>
      <c r="KBI2490" s="58"/>
      <c r="KBJ2490" s="60"/>
      <c r="KBK2490" s="60"/>
      <c r="KBL2490" s="60"/>
      <c r="KBM2490" s="58"/>
      <c r="KBN2490" s="61"/>
      <c r="KBO2490" s="58"/>
      <c r="KBP2490" s="58"/>
      <c r="KBQ2490" s="58"/>
      <c r="KBR2490" s="60"/>
      <c r="KBS2490" s="60"/>
      <c r="KBT2490" s="60"/>
      <c r="KBU2490" s="58"/>
      <c r="KBV2490" s="61"/>
      <c r="KBW2490" s="58"/>
      <c r="KBX2490" s="58"/>
      <c r="KBY2490" s="58"/>
      <c r="KBZ2490" s="60"/>
      <c r="KCA2490" s="60"/>
      <c r="KCB2490" s="60"/>
      <c r="KCC2490" s="58"/>
      <c r="KCD2490" s="61"/>
      <c r="KCE2490" s="58"/>
      <c r="KCF2490" s="58"/>
      <c r="KCG2490" s="58"/>
      <c r="KCH2490" s="60"/>
      <c r="KCI2490" s="60"/>
      <c r="KCJ2490" s="60"/>
      <c r="KCK2490" s="58"/>
      <c r="KCL2490" s="61"/>
      <c r="KCM2490" s="58"/>
      <c r="KCN2490" s="58"/>
      <c r="KCO2490" s="58"/>
      <c r="KCP2490" s="60"/>
      <c r="KCQ2490" s="60"/>
      <c r="KCR2490" s="60"/>
      <c r="KCS2490" s="58"/>
      <c r="KCT2490" s="61"/>
      <c r="KCU2490" s="58"/>
      <c r="KCV2490" s="58"/>
      <c r="KCW2490" s="58"/>
      <c r="KCX2490" s="60"/>
      <c r="KCY2490" s="60"/>
      <c r="KCZ2490" s="60"/>
      <c r="KDA2490" s="58"/>
      <c r="KDB2490" s="61"/>
      <c r="KDC2490" s="58"/>
      <c r="KDD2490" s="58"/>
      <c r="KDE2490" s="58"/>
      <c r="KDF2490" s="60"/>
      <c r="KDG2490" s="60"/>
      <c r="KDH2490" s="60"/>
      <c r="KDI2490" s="58"/>
      <c r="KDJ2490" s="61"/>
      <c r="KDK2490" s="58"/>
      <c r="KDL2490" s="58"/>
      <c r="KDM2490" s="58"/>
      <c r="KDN2490" s="60"/>
      <c r="KDO2490" s="60"/>
      <c r="KDP2490" s="60"/>
      <c r="KDQ2490" s="58"/>
      <c r="KDR2490" s="61"/>
      <c r="KDS2490" s="58"/>
      <c r="KDT2490" s="58"/>
      <c r="KDU2490" s="58"/>
      <c r="KDV2490" s="60"/>
      <c r="KDW2490" s="60"/>
      <c r="KDX2490" s="60"/>
      <c r="KDY2490" s="58"/>
      <c r="KDZ2490" s="61"/>
      <c r="KEA2490" s="58"/>
      <c r="KEB2490" s="58"/>
      <c r="KEC2490" s="58"/>
      <c r="KED2490" s="60"/>
      <c r="KEE2490" s="60"/>
      <c r="KEF2490" s="60"/>
      <c r="KEG2490" s="58"/>
      <c r="KEH2490" s="61"/>
      <c r="KEI2490" s="58"/>
      <c r="KEJ2490" s="58"/>
      <c r="KEK2490" s="58"/>
      <c r="KEL2490" s="60"/>
      <c r="KEM2490" s="60"/>
      <c r="KEN2490" s="60"/>
      <c r="KEO2490" s="58"/>
      <c r="KEP2490" s="61"/>
      <c r="KEQ2490" s="58"/>
      <c r="KER2490" s="58"/>
      <c r="KES2490" s="58"/>
      <c r="KET2490" s="60"/>
      <c r="KEU2490" s="60"/>
      <c r="KEV2490" s="60"/>
      <c r="KEW2490" s="58"/>
      <c r="KEX2490" s="61"/>
      <c r="KEY2490" s="58"/>
      <c r="KEZ2490" s="58"/>
      <c r="KFA2490" s="58"/>
      <c r="KFB2490" s="60"/>
      <c r="KFC2490" s="60"/>
      <c r="KFD2490" s="60"/>
      <c r="KFE2490" s="58"/>
      <c r="KFF2490" s="61"/>
      <c r="KFG2490" s="58"/>
      <c r="KFH2490" s="58"/>
      <c r="KFI2490" s="58"/>
      <c r="KFJ2490" s="60"/>
      <c r="KFK2490" s="60"/>
      <c r="KFL2490" s="60"/>
      <c r="KFM2490" s="58"/>
      <c r="KFN2490" s="61"/>
      <c r="KFO2490" s="58"/>
      <c r="KFP2490" s="58"/>
      <c r="KFQ2490" s="58"/>
      <c r="KFR2490" s="60"/>
      <c r="KFS2490" s="60"/>
      <c r="KFT2490" s="60"/>
      <c r="KFU2490" s="58"/>
      <c r="KFV2490" s="61"/>
      <c r="KFW2490" s="58"/>
      <c r="KFX2490" s="58"/>
      <c r="KFY2490" s="58"/>
      <c r="KFZ2490" s="60"/>
      <c r="KGA2490" s="60"/>
      <c r="KGB2490" s="60"/>
      <c r="KGC2490" s="58"/>
      <c r="KGD2490" s="61"/>
      <c r="KGE2490" s="58"/>
      <c r="KGF2490" s="58"/>
      <c r="KGG2490" s="58"/>
      <c r="KGH2490" s="60"/>
      <c r="KGI2490" s="60"/>
      <c r="KGJ2490" s="60"/>
      <c r="KGK2490" s="58"/>
      <c r="KGL2490" s="61"/>
      <c r="KGM2490" s="58"/>
      <c r="KGN2490" s="58"/>
      <c r="KGO2490" s="58"/>
      <c r="KGP2490" s="60"/>
      <c r="KGQ2490" s="60"/>
      <c r="KGR2490" s="60"/>
      <c r="KGS2490" s="58"/>
      <c r="KGT2490" s="61"/>
      <c r="KGU2490" s="58"/>
      <c r="KGV2490" s="58"/>
      <c r="KGW2490" s="58"/>
      <c r="KGX2490" s="60"/>
      <c r="KGY2490" s="60"/>
      <c r="KGZ2490" s="60"/>
      <c r="KHA2490" s="58"/>
      <c r="KHB2490" s="61"/>
      <c r="KHC2490" s="58"/>
      <c r="KHD2490" s="58"/>
      <c r="KHE2490" s="58"/>
      <c r="KHF2490" s="60"/>
      <c r="KHG2490" s="60"/>
      <c r="KHH2490" s="60"/>
      <c r="KHI2490" s="58"/>
      <c r="KHJ2490" s="61"/>
      <c r="KHK2490" s="58"/>
      <c r="KHL2490" s="58"/>
      <c r="KHM2490" s="58"/>
      <c r="KHN2490" s="60"/>
      <c r="KHO2490" s="60"/>
      <c r="KHP2490" s="60"/>
      <c r="KHQ2490" s="58"/>
      <c r="KHR2490" s="61"/>
      <c r="KHS2490" s="58"/>
      <c r="KHT2490" s="58"/>
      <c r="KHU2490" s="58"/>
      <c r="KHV2490" s="60"/>
      <c r="KHW2490" s="60"/>
      <c r="KHX2490" s="60"/>
      <c r="KHY2490" s="58"/>
      <c r="KHZ2490" s="61"/>
      <c r="KIA2490" s="58"/>
      <c r="KIB2490" s="58"/>
      <c r="KIC2490" s="58"/>
      <c r="KID2490" s="60"/>
      <c r="KIE2490" s="60"/>
      <c r="KIF2490" s="60"/>
      <c r="KIG2490" s="58"/>
      <c r="KIH2490" s="61"/>
      <c r="KII2490" s="58"/>
      <c r="KIJ2490" s="58"/>
      <c r="KIK2490" s="58"/>
      <c r="KIL2490" s="60"/>
      <c r="KIM2490" s="60"/>
      <c r="KIN2490" s="60"/>
      <c r="KIO2490" s="58"/>
      <c r="KIP2490" s="61"/>
      <c r="KIQ2490" s="58"/>
      <c r="KIR2490" s="58"/>
      <c r="KIS2490" s="58"/>
      <c r="KIT2490" s="60"/>
      <c r="KIU2490" s="60"/>
      <c r="KIV2490" s="60"/>
      <c r="KIW2490" s="58"/>
      <c r="KIX2490" s="61"/>
      <c r="KIY2490" s="58"/>
      <c r="KIZ2490" s="58"/>
      <c r="KJA2490" s="58"/>
      <c r="KJB2490" s="60"/>
      <c r="KJC2490" s="60"/>
      <c r="KJD2490" s="60"/>
      <c r="KJE2490" s="58"/>
      <c r="KJF2490" s="61"/>
      <c r="KJG2490" s="58"/>
      <c r="KJH2490" s="58"/>
      <c r="KJI2490" s="58"/>
      <c r="KJJ2490" s="60"/>
      <c r="KJK2490" s="60"/>
      <c r="KJL2490" s="60"/>
      <c r="KJM2490" s="58"/>
      <c r="KJN2490" s="61"/>
      <c r="KJO2490" s="58"/>
      <c r="KJP2490" s="58"/>
      <c r="KJQ2490" s="58"/>
      <c r="KJR2490" s="60"/>
      <c r="KJS2490" s="60"/>
      <c r="KJT2490" s="60"/>
      <c r="KJU2490" s="58"/>
      <c r="KJV2490" s="61"/>
      <c r="KJW2490" s="58"/>
      <c r="KJX2490" s="58"/>
      <c r="KJY2490" s="58"/>
      <c r="KJZ2490" s="60"/>
      <c r="KKA2490" s="60"/>
      <c r="KKB2490" s="60"/>
      <c r="KKC2490" s="58"/>
      <c r="KKD2490" s="61"/>
      <c r="KKE2490" s="58"/>
      <c r="KKF2490" s="58"/>
      <c r="KKG2490" s="58"/>
      <c r="KKH2490" s="60"/>
      <c r="KKI2490" s="60"/>
      <c r="KKJ2490" s="60"/>
      <c r="KKK2490" s="58"/>
      <c r="KKL2490" s="61"/>
      <c r="KKM2490" s="58"/>
      <c r="KKN2490" s="58"/>
      <c r="KKO2490" s="58"/>
      <c r="KKP2490" s="60"/>
      <c r="KKQ2490" s="60"/>
      <c r="KKR2490" s="60"/>
      <c r="KKS2490" s="58"/>
      <c r="KKT2490" s="61"/>
      <c r="KKU2490" s="58"/>
      <c r="KKV2490" s="58"/>
      <c r="KKW2490" s="58"/>
      <c r="KKX2490" s="60"/>
      <c r="KKY2490" s="60"/>
      <c r="KKZ2490" s="60"/>
      <c r="KLA2490" s="58"/>
      <c r="KLB2490" s="61"/>
      <c r="KLC2490" s="58"/>
      <c r="KLD2490" s="58"/>
      <c r="KLE2490" s="58"/>
      <c r="KLF2490" s="60"/>
      <c r="KLG2490" s="60"/>
      <c r="KLH2490" s="60"/>
      <c r="KLI2490" s="58"/>
      <c r="KLJ2490" s="61"/>
      <c r="KLK2490" s="58"/>
      <c r="KLL2490" s="58"/>
      <c r="KLM2490" s="58"/>
      <c r="KLN2490" s="60"/>
      <c r="KLO2490" s="60"/>
      <c r="KLP2490" s="60"/>
      <c r="KLQ2490" s="58"/>
      <c r="KLR2490" s="61"/>
      <c r="KLS2490" s="58"/>
      <c r="KLT2490" s="58"/>
      <c r="KLU2490" s="58"/>
      <c r="KLV2490" s="60"/>
      <c r="KLW2490" s="60"/>
      <c r="KLX2490" s="60"/>
      <c r="KLY2490" s="58"/>
      <c r="KLZ2490" s="61"/>
      <c r="KMA2490" s="58"/>
      <c r="KMB2490" s="58"/>
      <c r="KMC2490" s="58"/>
      <c r="KMD2490" s="60"/>
      <c r="KME2490" s="60"/>
      <c r="KMF2490" s="60"/>
      <c r="KMG2490" s="58"/>
      <c r="KMH2490" s="61"/>
      <c r="KMI2490" s="58"/>
      <c r="KMJ2490" s="58"/>
      <c r="KMK2490" s="58"/>
      <c r="KML2490" s="60"/>
      <c r="KMM2490" s="60"/>
      <c r="KMN2490" s="60"/>
      <c r="KMO2490" s="58"/>
      <c r="KMP2490" s="61"/>
      <c r="KMQ2490" s="58"/>
      <c r="KMR2490" s="58"/>
      <c r="KMS2490" s="58"/>
      <c r="KMT2490" s="60"/>
      <c r="KMU2490" s="60"/>
      <c r="KMV2490" s="60"/>
      <c r="KMW2490" s="58"/>
      <c r="KMX2490" s="61"/>
      <c r="KMY2490" s="58"/>
      <c r="KMZ2490" s="58"/>
      <c r="KNA2490" s="58"/>
      <c r="KNB2490" s="60"/>
      <c r="KNC2490" s="60"/>
      <c r="KND2490" s="60"/>
      <c r="KNE2490" s="58"/>
      <c r="KNF2490" s="61"/>
      <c r="KNG2490" s="58"/>
      <c r="KNH2490" s="58"/>
      <c r="KNI2490" s="58"/>
      <c r="KNJ2490" s="60"/>
      <c r="KNK2490" s="60"/>
      <c r="KNL2490" s="60"/>
      <c r="KNM2490" s="58"/>
      <c r="KNN2490" s="61"/>
      <c r="KNO2490" s="58"/>
      <c r="KNP2490" s="58"/>
      <c r="KNQ2490" s="58"/>
      <c r="KNR2490" s="60"/>
      <c r="KNS2490" s="60"/>
      <c r="KNT2490" s="60"/>
      <c r="KNU2490" s="58"/>
      <c r="KNV2490" s="61"/>
      <c r="KNW2490" s="58"/>
      <c r="KNX2490" s="58"/>
      <c r="KNY2490" s="58"/>
      <c r="KNZ2490" s="60"/>
      <c r="KOA2490" s="60"/>
      <c r="KOB2490" s="60"/>
      <c r="KOC2490" s="58"/>
      <c r="KOD2490" s="61"/>
      <c r="KOE2490" s="58"/>
      <c r="KOF2490" s="58"/>
      <c r="KOG2490" s="58"/>
      <c r="KOH2490" s="60"/>
      <c r="KOI2490" s="60"/>
      <c r="KOJ2490" s="60"/>
      <c r="KOK2490" s="58"/>
      <c r="KOL2490" s="61"/>
      <c r="KOM2490" s="58"/>
      <c r="KON2490" s="58"/>
      <c r="KOO2490" s="58"/>
      <c r="KOP2490" s="60"/>
      <c r="KOQ2490" s="60"/>
      <c r="KOR2490" s="60"/>
      <c r="KOS2490" s="58"/>
      <c r="KOT2490" s="61"/>
      <c r="KOU2490" s="58"/>
      <c r="KOV2490" s="58"/>
      <c r="KOW2490" s="58"/>
      <c r="KOX2490" s="60"/>
      <c r="KOY2490" s="60"/>
      <c r="KOZ2490" s="60"/>
      <c r="KPA2490" s="58"/>
      <c r="KPB2490" s="61"/>
      <c r="KPC2490" s="58"/>
      <c r="KPD2490" s="58"/>
      <c r="KPE2490" s="58"/>
      <c r="KPF2490" s="60"/>
      <c r="KPG2490" s="60"/>
      <c r="KPH2490" s="60"/>
      <c r="KPI2490" s="58"/>
      <c r="KPJ2490" s="61"/>
      <c r="KPK2490" s="58"/>
      <c r="KPL2490" s="58"/>
      <c r="KPM2490" s="58"/>
      <c r="KPN2490" s="60"/>
      <c r="KPO2490" s="60"/>
      <c r="KPP2490" s="60"/>
      <c r="KPQ2490" s="58"/>
      <c r="KPR2490" s="61"/>
      <c r="KPS2490" s="58"/>
      <c r="KPT2490" s="58"/>
      <c r="KPU2490" s="58"/>
      <c r="KPV2490" s="60"/>
      <c r="KPW2490" s="60"/>
      <c r="KPX2490" s="60"/>
      <c r="KPY2490" s="58"/>
      <c r="KPZ2490" s="61"/>
      <c r="KQA2490" s="58"/>
      <c r="KQB2490" s="58"/>
      <c r="KQC2490" s="58"/>
      <c r="KQD2490" s="60"/>
      <c r="KQE2490" s="60"/>
      <c r="KQF2490" s="60"/>
      <c r="KQG2490" s="58"/>
      <c r="KQH2490" s="61"/>
      <c r="KQI2490" s="58"/>
      <c r="KQJ2490" s="58"/>
      <c r="KQK2490" s="58"/>
      <c r="KQL2490" s="60"/>
      <c r="KQM2490" s="60"/>
      <c r="KQN2490" s="60"/>
      <c r="KQO2490" s="58"/>
      <c r="KQP2490" s="61"/>
      <c r="KQQ2490" s="58"/>
      <c r="KQR2490" s="58"/>
      <c r="KQS2490" s="58"/>
      <c r="KQT2490" s="60"/>
      <c r="KQU2490" s="60"/>
      <c r="KQV2490" s="60"/>
      <c r="KQW2490" s="58"/>
      <c r="KQX2490" s="61"/>
      <c r="KQY2490" s="58"/>
      <c r="KQZ2490" s="58"/>
      <c r="KRA2490" s="58"/>
      <c r="KRB2490" s="60"/>
      <c r="KRC2490" s="60"/>
      <c r="KRD2490" s="60"/>
      <c r="KRE2490" s="58"/>
      <c r="KRF2490" s="61"/>
      <c r="KRG2490" s="58"/>
      <c r="KRH2490" s="58"/>
      <c r="KRI2490" s="58"/>
      <c r="KRJ2490" s="60"/>
      <c r="KRK2490" s="60"/>
      <c r="KRL2490" s="60"/>
      <c r="KRM2490" s="58"/>
      <c r="KRN2490" s="61"/>
      <c r="KRO2490" s="58"/>
      <c r="KRP2490" s="58"/>
      <c r="KRQ2490" s="58"/>
      <c r="KRR2490" s="60"/>
      <c r="KRS2490" s="60"/>
      <c r="KRT2490" s="60"/>
      <c r="KRU2490" s="58"/>
      <c r="KRV2490" s="61"/>
      <c r="KRW2490" s="58"/>
      <c r="KRX2490" s="58"/>
      <c r="KRY2490" s="58"/>
      <c r="KRZ2490" s="60"/>
      <c r="KSA2490" s="60"/>
      <c r="KSB2490" s="60"/>
      <c r="KSC2490" s="58"/>
      <c r="KSD2490" s="61"/>
      <c r="KSE2490" s="58"/>
      <c r="KSF2490" s="58"/>
      <c r="KSG2490" s="58"/>
      <c r="KSH2490" s="60"/>
      <c r="KSI2490" s="60"/>
      <c r="KSJ2490" s="60"/>
      <c r="KSK2490" s="58"/>
      <c r="KSL2490" s="61"/>
      <c r="KSM2490" s="58"/>
      <c r="KSN2490" s="58"/>
      <c r="KSO2490" s="58"/>
      <c r="KSP2490" s="60"/>
      <c r="KSQ2490" s="60"/>
      <c r="KSR2490" s="60"/>
      <c r="KSS2490" s="58"/>
      <c r="KST2490" s="61"/>
      <c r="KSU2490" s="58"/>
      <c r="KSV2490" s="58"/>
      <c r="KSW2490" s="58"/>
      <c r="KSX2490" s="60"/>
      <c r="KSY2490" s="60"/>
      <c r="KSZ2490" s="60"/>
      <c r="KTA2490" s="58"/>
      <c r="KTB2490" s="61"/>
      <c r="KTC2490" s="58"/>
      <c r="KTD2490" s="58"/>
      <c r="KTE2490" s="58"/>
      <c r="KTF2490" s="60"/>
      <c r="KTG2490" s="60"/>
      <c r="KTH2490" s="60"/>
      <c r="KTI2490" s="58"/>
      <c r="KTJ2490" s="61"/>
      <c r="KTK2490" s="58"/>
      <c r="KTL2490" s="58"/>
      <c r="KTM2490" s="58"/>
      <c r="KTN2490" s="60"/>
      <c r="KTO2490" s="60"/>
      <c r="KTP2490" s="60"/>
      <c r="KTQ2490" s="58"/>
      <c r="KTR2490" s="61"/>
      <c r="KTS2490" s="58"/>
      <c r="KTT2490" s="58"/>
      <c r="KTU2490" s="58"/>
      <c r="KTV2490" s="60"/>
      <c r="KTW2490" s="60"/>
      <c r="KTX2490" s="60"/>
      <c r="KTY2490" s="58"/>
      <c r="KTZ2490" s="61"/>
      <c r="KUA2490" s="58"/>
      <c r="KUB2490" s="58"/>
      <c r="KUC2490" s="58"/>
      <c r="KUD2490" s="60"/>
      <c r="KUE2490" s="60"/>
      <c r="KUF2490" s="60"/>
      <c r="KUG2490" s="58"/>
      <c r="KUH2490" s="61"/>
      <c r="KUI2490" s="58"/>
      <c r="KUJ2490" s="58"/>
      <c r="KUK2490" s="58"/>
      <c r="KUL2490" s="60"/>
      <c r="KUM2490" s="60"/>
      <c r="KUN2490" s="60"/>
      <c r="KUO2490" s="58"/>
      <c r="KUP2490" s="61"/>
      <c r="KUQ2490" s="58"/>
      <c r="KUR2490" s="58"/>
      <c r="KUS2490" s="58"/>
      <c r="KUT2490" s="60"/>
      <c r="KUU2490" s="60"/>
      <c r="KUV2490" s="60"/>
      <c r="KUW2490" s="58"/>
      <c r="KUX2490" s="61"/>
      <c r="KUY2490" s="58"/>
      <c r="KUZ2490" s="58"/>
      <c r="KVA2490" s="58"/>
      <c r="KVB2490" s="60"/>
      <c r="KVC2490" s="60"/>
      <c r="KVD2490" s="60"/>
      <c r="KVE2490" s="58"/>
      <c r="KVF2490" s="61"/>
      <c r="KVG2490" s="58"/>
      <c r="KVH2490" s="58"/>
      <c r="KVI2490" s="58"/>
      <c r="KVJ2490" s="60"/>
      <c r="KVK2490" s="60"/>
      <c r="KVL2490" s="60"/>
      <c r="KVM2490" s="58"/>
      <c r="KVN2490" s="61"/>
      <c r="KVO2490" s="58"/>
      <c r="KVP2490" s="58"/>
      <c r="KVQ2490" s="58"/>
      <c r="KVR2490" s="60"/>
      <c r="KVS2490" s="60"/>
      <c r="KVT2490" s="60"/>
      <c r="KVU2490" s="58"/>
      <c r="KVV2490" s="61"/>
      <c r="KVW2490" s="58"/>
      <c r="KVX2490" s="58"/>
      <c r="KVY2490" s="58"/>
      <c r="KVZ2490" s="60"/>
      <c r="KWA2490" s="60"/>
      <c r="KWB2490" s="60"/>
      <c r="KWC2490" s="58"/>
      <c r="KWD2490" s="61"/>
      <c r="KWE2490" s="58"/>
      <c r="KWF2490" s="58"/>
      <c r="KWG2490" s="58"/>
      <c r="KWH2490" s="60"/>
      <c r="KWI2490" s="60"/>
      <c r="KWJ2490" s="60"/>
      <c r="KWK2490" s="58"/>
      <c r="KWL2490" s="61"/>
      <c r="KWM2490" s="58"/>
      <c r="KWN2490" s="58"/>
      <c r="KWO2490" s="58"/>
      <c r="KWP2490" s="60"/>
      <c r="KWQ2490" s="60"/>
      <c r="KWR2490" s="60"/>
      <c r="KWS2490" s="58"/>
      <c r="KWT2490" s="61"/>
      <c r="KWU2490" s="58"/>
      <c r="KWV2490" s="58"/>
      <c r="KWW2490" s="58"/>
      <c r="KWX2490" s="60"/>
      <c r="KWY2490" s="60"/>
      <c r="KWZ2490" s="60"/>
      <c r="KXA2490" s="58"/>
      <c r="KXB2490" s="61"/>
      <c r="KXC2490" s="58"/>
      <c r="KXD2490" s="58"/>
      <c r="KXE2490" s="58"/>
      <c r="KXF2490" s="60"/>
      <c r="KXG2490" s="60"/>
      <c r="KXH2490" s="60"/>
      <c r="KXI2490" s="58"/>
      <c r="KXJ2490" s="61"/>
      <c r="KXK2490" s="58"/>
      <c r="KXL2490" s="58"/>
      <c r="KXM2490" s="58"/>
      <c r="KXN2490" s="60"/>
      <c r="KXO2490" s="60"/>
      <c r="KXP2490" s="60"/>
      <c r="KXQ2490" s="58"/>
      <c r="KXR2490" s="61"/>
      <c r="KXS2490" s="58"/>
      <c r="KXT2490" s="58"/>
      <c r="KXU2490" s="58"/>
      <c r="KXV2490" s="60"/>
      <c r="KXW2490" s="60"/>
      <c r="KXX2490" s="60"/>
      <c r="KXY2490" s="58"/>
      <c r="KXZ2490" s="61"/>
      <c r="KYA2490" s="58"/>
      <c r="KYB2490" s="58"/>
      <c r="KYC2490" s="58"/>
      <c r="KYD2490" s="60"/>
      <c r="KYE2490" s="60"/>
      <c r="KYF2490" s="60"/>
      <c r="KYG2490" s="58"/>
      <c r="KYH2490" s="61"/>
      <c r="KYI2490" s="58"/>
      <c r="KYJ2490" s="58"/>
      <c r="KYK2490" s="58"/>
      <c r="KYL2490" s="60"/>
      <c r="KYM2490" s="60"/>
      <c r="KYN2490" s="60"/>
      <c r="KYO2490" s="58"/>
      <c r="KYP2490" s="61"/>
      <c r="KYQ2490" s="58"/>
      <c r="KYR2490" s="58"/>
      <c r="KYS2490" s="58"/>
      <c r="KYT2490" s="60"/>
      <c r="KYU2490" s="60"/>
      <c r="KYV2490" s="60"/>
      <c r="KYW2490" s="58"/>
      <c r="KYX2490" s="61"/>
      <c r="KYY2490" s="58"/>
      <c r="KYZ2490" s="58"/>
      <c r="KZA2490" s="58"/>
      <c r="KZB2490" s="60"/>
      <c r="KZC2490" s="60"/>
      <c r="KZD2490" s="60"/>
      <c r="KZE2490" s="58"/>
      <c r="KZF2490" s="61"/>
      <c r="KZG2490" s="58"/>
      <c r="KZH2490" s="58"/>
      <c r="KZI2490" s="58"/>
      <c r="KZJ2490" s="60"/>
      <c r="KZK2490" s="60"/>
      <c r="KZL2490" s="60"/>
      <c r="KZM2490" s="58"/>
      <c r="KZN2490" s="61"/>
      <c r="KZO2490" s="58"/>
      <c r="KZP2490" s="58"/>
      <c r="KZQ2490" s="58"/>
      <c r="KZR2490" s="60"/>
      <c r="KZS2490" s="60"/>
      <c r="KZT2490" s="60"/>
      <c r="KZU2490" s="58"/>
      <c r="KZV2490" s="61"/>
      <c r="KZW2490" s="58"/>
      <c r="KZX2490" s="58"/>
      <c r="KZY2490" s="58"/>
      <c r="KZZ2490" s="60"/>
      <c r="LAA2490" s="60"/>
      <c r="LAB2490" s="60"/>
      <c r="LAC2490" s="58"/>
      <c r="LAD2490" s="61"/>
      <c r="LAE2490" s="58"/>
      <c r="LAF2490" s="58"/>
      <c r="LAG2490" s="58"/>
      <c r="LAH2490" s="60"/>
      <c r="LAI2490" s="60"/>
      <c r="LAJ2490" s="60"/>
      <c r="LAK2490" s="58"/>
      <c r="LAL2490" s="61"/>
      <c r="LAM2490" s="58"/>
      <c r="LAN2490" s="58"/>
      <c r="LAO2490" s="58"/>
      <c r="LAP2490" s="60"/>
      <c r="LAQ2490" s="60"/>
      <c r="LAR2490" s="60"/>
      <c r="LAS2490" s="58"/>
      <c r="LAT2490" s="61"/>
      <c r="LAU2490" s="58"/>
      <c r="LAV2490" s="58"/>
      <c r="LAW2490" s="58"/>
      <c r="LAX2490" s="60"/>
      <c r="LAY2490" s="60"/>
      <c r="LAZ2490" s="60"/>
      <c r="LBA2490" s="58"/>
      <c r="LBB2490" s="61"/>
      <c r="LBC2490" s="58"/>
      <c r="LBD2490" s="58"/>
      <c r="LBE2490" s="58"/>
      <c r="LBF2490" s="60"/>
      <c r="LBG2490" s="60"/>
      <c r="LBH2490" s="60"/>
      <c r="LBI2490" s="58"/>
      <c r="LBJ2490" s="61"/>
      <c r="LBK2490" s="58"/>
      <c r="LBL2490" s="58"/>
      <c r="LBM2490" s="58"/>
      <c r="LBN2490" s="60"/>
      <c r="LBO2490" s="60"/>
      <c r="LBP2490" s="60"/>
      <c r="LBQ2490" s="58"/>
      <c r="LBR2490" s="61"/>
      <c r="LBS2490" s="58"/>
      <c r="LBT2490" s="58"/>
      <c r="LBU2490" s="58"/>
      <c r="LBV2490" s="60"/>
      <c r="LBW2490" s="60"/>
      <c r="LBX2490" s="60"/>
      <c r="LBY2490" s="58"/>
      <c r="LBZ2490" s="61"/>
      <c r="LCA2490" s="58"/>
      <c r="LCB2490" s="58"/>
      <c r="LCC2490" s="58"/>
      <c r="LCD2490" s="60"/>
      <c r="LCE2490" s="60"/>
      <c r="LCF2490" s="60"/>
      <c r="LCG2490" s="58"/>
      <c r="LCH2490" s="61"/>
      <c r="LCI2490" s="58"/>
      <c r="LCJ2490" s="58"/>
      <c r="LCK2490" s="58"/>
      <c r="LCL2490" s="60"/>
      <c r="LCM2490" s="60"/>
      <c r="LCN2490" s="60"/>
      <c r="LCO2490" s="58"/>
      <c r="LCP2490" s="61"/>
      <c r="LCQ2490" s="58"/>
      <c r="LCR2490" s="58"/>
      <c r="LCS2490" s="58"/>
      <c r="LCT2490" s="60"/>
      <c r="LCU2490" s="60"/>
      <c r="LCV2490" s="60"/>
      <c r="LCW2490" s="58"/>
      <c r="LCX2490" s="61"/>
      <c r="LCY2490" s="58"/>
      <c r="LCZ2490" s="58"/>
      <c r="LDA2490" s="58"/>
      <c r="LDB2490" s="60"/>
      <c r="LDC2490" s="60"/>
      <c r="LDD2490" s="60"/>
      <c r="LDE2490" s="58"/>
      <c r="LDF2490" s="61"/>
      <c r="LDG2490" s="58"/>
      <c r="LDH2490" s="58"/>
      <c r="LDI2490" s="58"/>
      <c r="LDJ2490" s="60"/>
      <c r="LDK2490" s="60"/>
      <c r="LDL2490" s="60"/>
      <c r="LDM2490" s="58"/>
      <c r="LDN2490" s="61"/>
      <c r="LDO2490" s="58"/>
      <c r="LDP2490" s="58"/>
      <c r="LDQ2490" s="58"/>
      <c r="LDR2490" s="60"/>
      <c r="LDS2490" s="60"/>
      <c r="LDT2490" s="60"/>
      <c r="LDU2490" s="58"/>
      <c r="LDV2490" s="61"/>
      <c r="LDW2490" s="58"/>
      <c r="LDX2490" s="58"/>
      <c r="LDY2490" s="58"/>
      <c r="LDZ2490" s="60"/>
      <c r="LEA2490" s="60"/>
      <c r="LEB2490" s="60"/>
      <c r="LEC2490" s="58"/>
      <c r="LED2490" s="61"/>
      <c r="LEE2490" s="58"/>
      <c r="LEF2490" s="58"/>
      <c r="LEG2490" s="58"/>
      <c r="LEH2490" s="60"/>
      <c r="LEI2490" s="60"/>
      <c r="LEJ2490" s="60"/>
      <c r="LEK2490" s="58"/>
      <c r="LEL2490" s="61"/>
      <c r="LEM2490" s="58"/>
      <c r="LEN2490" s="58"/>
      <c r="LEO2490" s="58"/>
      <c r="LEP2490" s="60"/>
      <c r="LEQ2490" s="60"/>
      <c r="LER2490" s="60"/>
      <c r="LES2490" s="58"/>
      <c r="LET2490" s="61"/>
      <c r="LEU2490" s="58"/>
      <c r="LEV2490" s="58"/>
      <c r="LEW2490" s="58"/>
      <c r="LEX2490" s="60"/>
      <c r="LEY2490" s="60"/>
      <c r="LEZ2490" s="60"/>
      <c r="LFA2490" s="58"/>
      <c r="LFB2490" s="61"/>
      <c r="LFC2490" s="58"/>
      <c r="LFD2490" s="58"/>
      <c r="LFE2490" s="58"/>
      <c r="LFF2490" s="60"/>
      <c r="LFG2490" s="60"/>
      <c r="LFH2490" s="60"/>
      <c r="LFI2490" s="58"/>
      <c r="LFJ2490" s="61"/>
      <c r="LFK2490" s="58"/>
      <c r="LFL2490" s="58"/>
      <c r="LFM2490" s="58"/>
      <c r="LFN2490" s="60"/>
      <c r="LFO2490" s="60"/>
      <c r="LFP2490" s="60"/>
      <c r="LFQ2490" s="58"/>
      <c r="LFR2490" s="61"/>
      <c r="LFS2490" s="58"/>
      <c r="LFT2490" s="58"/>
      <c r="LFU2490" s="58"/>
      <c r="LFV2490" s="60"/>
      <c r="LFW2490" s="60"/>
      <c r="LFX2490" s="60"/>
      <c r="LFY2490" s="58"/>
      <c r="LFZ2490" s="61"/>
      <c r="LGA2490" s="58"/>
      <c r="LGB2490" s="58"/>
      <c r="LGC2490" s="58"/>
      <c r="LGD2490" s="60"/>
      <c r="LGE2490" s="60"/>
      <c r="LGF2490" s="60"/>
      <c r="LGG2490" s="58"/>
      <c r="LGH2490" s="61"/>
      <c r="LGI2490" s="58"/>
      <c r="LGJ2490" s="58"/>
      <c r="LGK2490" s="58"/>
      <c r="LGL2490" s="60"/>
      <c r="LGM2490" s="60"/>
      <c r="LGN2490" s="60"/>
      <c r="LGO2490" s="58"/>
      <c r="LGP2490" s="61"/>
      <c r="LGQ2490" s="58"/>
      <c r="LGR2490" s="58"/>
      <c r="LGS2490" s="58"/>
      <c r="LGT2490" s="60"/>
      <c r="LGU2490" s="60"/>
      <c r="LGV2490" s="60"/>
      <c r="LGW2490" s="58"/>
      <c r="LGX2490" s="61"/>
      <c r="LGY2490" s="58"/>
      <c r="LGZ2490" s="58"/>
      <c r="LHA2490" s="58"/>
      <c r="LHB2490" s="60"/>
      <c r="LHC2490" s="60"/>
      <c r="LHD2490" s="60"/>
      <c r="LHE2490" s="58"/>
      <c r="LHF2490" s="61"/>
      <c r="LHG2490" s="58"/>
      <c r="LHH2490" s="58"/>
      <c r="LHI2490" s="58"/>
      <c r="LHJ2490" s="60"/>
      <c r="LHK2490" s="60"/>
      <c r="LHL2490" s="60"/>
      <c r="LHM2490" s="58"/>
      <c r="LHN2490" s="61"/>
      <c r="LHO2490" s="58"/>
      <c r="LHP2490" s="58"/>
      <c r="LHQ2490" s="58"/>
      <c r="LHR2490" s="60"/>
      <c r="LHS2490" s="60"/>
      <c r="LHT2490" s="60"/>
      <c r="LHU2490" s="58"/>
      <c r="LHV2490" s="61"/>
      <c r="LHW2490" s="58"/>
      <c r="LHX2490" s="58"/>
      <c r="LHY2490" s="58"/>
      <c r="LHZ2490" s="60"/>
      <c r="LIA2490" s="60"/>
      <c r="LIB2490" s="60"/>
      <c r="LIC2490" s="58"/>
      <c r="LID2490" s="61"/>
      <c r="LIE2490" s="58"/>
      <c r="LIF2490" s="58"/>
      <c r="LIG2490" s="58"/>
      <c r="LIH2490" s="60"/>
      <c r="LII2490" s="60"/>
      <c r="LIJ2490" s="60"/>
      <c r="LIK2490" s="58"/>
      <c r="LIL2490" s="61"/>
      <c r="LIM2490" s="58"/>
      <c r="LIN2490" s="58"/>
      <c r="LIO2490" s="58"/>
      <c r="LIP2490" s="60"/>
      <c r="LIQ2490" s="60"/>
      <c r="LIR2490" s="60"/>
      <c r="LIS2490" s="58"/>
      <c r="LIT2490" s="61"/>
      <c r="LIU2490" s="58"/>
      <c r="LIV2490" s="58"/>
      <c r="LIW2490" s="58"/>
      <c r="LIX2490" s="60"/>
      <c r="LIY2490" s="60"/>
      <c r="LIZ2490" s="60"/>
      <c r="LJA2490" s="58"/>
      <c r="LJB2490" s="61"/>
      <c r="LJC2490" s="58"/>
      <c r="LJD2490" s="58"/>
      <c r="LJE2490" s="58"/>
      <c r="LJF2490" s="60"/>
      <c r="LJG2490" s="60"/>
      <c r="LJH2490" s="60"/>
      <c r="LJI2490" s="58"/>
      <c r="LJJ2490" s="61"/>
      <c r="LJK2490" s="58"/>
      <c r="LJL2490" s="58"/>
      <c r="LJM2490" s="58"/>
      <c r="LJN2490" s="60"/>
      <c r="LJO2490" s="60"/>
      <c r="LJP2490" s="60"/>
      <c r="LJQ2490" s="58"/>
      <c r="LJR2490" s="61"/>
      <c r="LJS2490" s="58"/>
      <c r="LJT2490" s="58"/>
      <c r="LJU2490" s="58"/>
      <c r="LJV2490" s="60"/>
      <c r="LJW2490" s="60"/>
      <c r="LJX2490" s="60"/>
      <c r="LJY2490" s="58"/>
      <c r="LJZ2490" s="61"/>
      <c r="LKA2490" s="58"/>
      <c r="LKB2490" s="58"/>
      <c r="LKC2490" s="58"/>
      <c r="LKD2490" s="60"/>
      <c r="LKE2490" s="60"/>
      <c r="LKF2490" s="60"/>
      <c r="LKG2490" s="58"/>
      <c r="LKH2490" s="61"/>
      <c r="LKI2490" s="58"/>
      <c r="LKJ2490" s="58"/>
      <c r="LKK2490" s="58"/>
      <c r="LKL2490" s="60"/>
      <c r="LKM2490" s="60"/>
      <c r="LKN2490" s="60"/>
      <c r="LKO2490" s="58"/>
      <c r="LKP2490" s="61"/>
      <c r="LKQ2490" s="58"/>
      <c r="LKR2490" s="58"/>
      <c r="LKS2490" s="58"/>
      <c r="LKT2490" s="60"/>
      <c r="LKU2490" s="60"/>
      <c r="LKV2490" s="60"/>
      <c r="LKW2490" s="58"/>
      <c r="LKX2490" s="61"/>
      <c r="LKY2490" s="58"/>
      <c r="LKZ2490" s="58"/>
      <c r="LLA2490" s="58"/>
      <c r="LLB2490" s="60"/>
      <c r="LLC2490" s="60"/>
      <c r="LLD2490" s="60"/>
      <c r="LLE2490" s="58"/>
      <c r="LLF2490" s="61"/>
      <c r="LLG2490" s="58"/>
      <c r="LLH2490" s="58"/>
      <c r="LLI2490" s="58"/>
      <c r="LLJ2490" s="60"/>
      <c r="LLK2490" s="60"/>
      <c r="LLL2490" s="60"/>
      <c r="LLM2490" s="58"/>
      <c r="LLN2490" s="61"/>
      <c r="LLO2490" s="58"/>
      <c r="LLP2490" s="58"/>
      <c r="LLQ2490" s="58"/>
      <c r="LLR2490" s="60"/>
      <c r="LLS2490" s="60"/>
      <c r="LLT2490" s="60"/>
      <c r="LLU2490" s="58"/>
      <c r="LLV2490" s="61"/>
      <c r="LLW2490" s="58"/>
      <c r="LLX2490" s="58"/>
      <c r="LLY2490" s="58"/>
      <c r="LLZ2490" s="60"/>
      <c r="LMA2490" s="60"/>
      <c r="LMB2490" s="60"/>
      <c r="LMC2490" s="58"/>
      <c r="LMD2490" s="61"/>
      <c r="LME2490" s="58"/>
      <c r="LMF2490" s="58"/>
      <c r="LMG2490" s="58"/>
      <c r="LMH2490" s="60"/>
      <c r="LMI2490" s="60"/>
      <c r="LMJ2490" s="60"/>
      <c r="LMK2490" s="58"/>
      <c r="LML2490" s="61"/>
      <c r="LMM2490" s="58"/>
      <c r="LMN2490" s="58"/>
      <c r="LMO2490" s="58"/>
      <c r="LMP2490" s="60"/>
      <c r="LMQ2490" s="60"/>
      <c r="LMR2490" s="60"/>
      <c r="LMS2490" s="58"/>
      <c r="LMT2490" s="61"/>
      <c r="LMU2490" s="58"/>
      <c r="LMV2490" s="58"/>
      <c r="LMW2490" s="58"/>
      <c r="LMX2490" s="60"/>
      <c r="LMY2490" s="60"/>
      <c r="LMZ2490" s="60"/>
      <c r="LNA2490" s="58"/>
      <c r="LNB2490" s="61"/>
      <c r="LNC2490" s="58"/>
      <c r="LND2490" s="58"/>
      <c r="LNE2490" s="58"/>
      <c r="LNF2490" s="60"/>
      <c r="LNG2490" s="60"/>
      <c r="LNH2490" s="60"/>
      <c r="LNI2490" s="58"/>
      <c r="LNJ2490" s="61"/>
      <c r="LNK2490" s="58"/>
      <c r="LNL2490" s="58"/>
      <c r="LNM2490" s="58"/>
      <c r="LNN2490" s="60"/>
      <c r="LNO2490" s="60"/>
      <c r="LNP2490" s="60"/>
      <c r="LNQ2490" s="58"/>
      <c r="LNR2490" s="61"/>
      <c r="LNS2490" s="58"/>
      <c r="LNT2490" s="58"/>
      <c r="LNU2490" s="58"/>
      <c r="LNV2490" s="60"/>
      <c r="LNW2490" s="60"/>
      <c r="LNX2490" s="60"/>
      <c r="LNY2490" s="58"/>
      <c r="LNZ2490" s="61"/>
      <c r="LOA2490" s="58"/>
      <c r="LOB2490" s="58"/>
      <c r="LOC2490" s="58"/>
      <c r="LOD2490" s="60"/>
      <c r="LOE2490" s="60"/>
      <c r="LOF2490" s="60"/>
      <c r="LOG2490" s="58"/>
      <c r="LOH2490" s="61"/>
      <c r="LOI2490" s="58"/>
      <c r="LOJ2490" s="58"/>
      <c r="LOK2490" s="58"/>
      <c r="LOL2490" s="60"/>
      <c r="LOM2490" s="60"/>
      <c r="LON2490" s="60"/>
      <c r="LOO2490" s="58"/>
      <c r="LOP2490" s="61"/>
      <c r="LOQ2490" s="58"/>
      <c r="LOR2490" s="58"/>
      <c r="LOS2490" s="58"/>
      <c r="LOT2490" s="60"/>
      <c r="LOU2490" s="60"/>
      <c r="LOV2490" s="60"/>
      <c r="LOW2490" s="58"/>
      <c r="LOX2490" s="61"/>
      <c r="LOY2490" s="58"/>
      <c r="LOZ2490" s="58"/>
      <c r="LPA2490" s="58"/>
      <c r="LPB2490" s="60"/>
      <c r="LPC2490" s="60"/>
      <c r="LPD2490" s="60"/>
      <c r="LPE2490" s="58"/>
      <c r="LPF2490" s="61"/>
      <c r="LPG2490" s="58"/>
      <c r="LPH2490" s="58"/>
      <c r="LPI2490" s="58"/>
      <c r="LPJ2490" s="60"/>
      <c r="LPK2490" s="60"/>
      <c r="LPL2490" s="60"/>
      <c r="LPM2490" s="58"/>
      <c r="LPN2490" s="61"/>
      <c r="LPO2490" s="58"/>
      <c r="LPP2490" s="58"/>
      <c r="LPQ2490" s="58"/>
      <c r="LPR2490" s="60"/>
      <c r="LPS2490" s="60"/>
      <c r="LPT2490" s="60"/>
      <c r="LPU2490" s="58"/>
      <c r="LPV2490" s="61"/>
      <c r="LPW2490" s="58"/>
      <c r="LPX2490" s="58"/>
      <c r="LPY2490" s="58"/>
      <c r="LPZ2490" s="60"/>
      <c r="LQA2490" s="60"/>
      <c r="LQB2490" s="60"/>
      <c r="LQC2490" s="58"/>
      <c r="LQD2490" s="61"/>
      <c r="LQE2490" s="58"/>
      <c r="LQF2490" s="58"/>
      <c r="LQG2490" s="58"/>
      <c r="LQH2490" s="60"/>
      <c r="LQI2490" s="60"/>
      <c r="LQJ2490" s="60"/>
      <c r="LQK2490" s="58"/>
      <c r="LQL2490" s="61"/>
      <c r="LQM2490" s="58"/>
      <c r="LQN2490" s="58"/>
      <c r="LQO2490" s="58"/>
      <c r="LQP2490" s="60"/>
      <c r="LQQ2490" s="60"/>
      <c r="LQR2490" s="60"/>
      <c r="LQS2490" s="58"/>
      <c r="LQT2490" s="61"/>
      <c r="LQU2490" s="58"/>
      <c r="LQV2490" s="58"/>
      <c r="LQW2490" s="58"/>
      <c r="LQX2490" s="60"/>
      <c r="LQY2490" s="60"/>
      <c r="LQZ2490" s="60"/>
      <c r="LRA2490" s="58"/>
      <c r="LRB2490" s="61"/>
      <c r="LRC2490" s="58"/>
      <c r="LRD2490" s="58"/>
      <c r="LRE2490" s="58"/>
      <c r="LRF2490" s="60"/>
      <c r="LRG2490" s="60"/>
      <c r="LRH2490" s="60"/>
      <c r="LRI2490" s="58"/>
      <c r="LRJ2490" s="61"/>
      <c r="LRK2490" s="58"/>
      <c r="LRL2490" s="58"/>
      <c r="LRM2490" s="58"/>
      <c r="LRN2490" s="60"/>
      <c r="LRO2490" s="60"/>
      <c r="LRP2490" s="60"/>
      <c r="LRQ2490" s="58"/>
      <c r="LRR2490" s="61"/>
      <c r="LRS2490" s="58"/>
      <c r="LRT2490" s="58"/>
      <c r="LRU2490" s="58"/>
      <c r="LRV2490" s="60"/>
      <c r="LRW2490" s="60"/>
      <c r="LRX2490" s="60"/>
      <c r="LRY2490" s="58"/>
      <c r="LRZ2490" s="61"/>
      <c r="LSA2490" s="58"/>
      <c r="LSB2490" s="58"/>
      <c r="LSC2490" s="58"/>
      <c r="LSD2490" s="60"/>
      <c r="LSE2490" s="60"/>
      <c r="LSF2490" s="60"/>
      <c r="LSG2490" s="58"/>
      <c r="LSH2490" s="61"/>
      <c r="LSI2490" s="58"/>
      <c r="LSJ2490" s="58"/>
      <c r="LSK2490" s="58"/>
      <c r="LSL2490" s="60"/>
      <c r="LSM2490" s="60"/>
      <c r="LSN2490" s="60"/>
      <c r="LSO2490" s="58"/>
      <c r="LSP2490" s="61"/>
      <c r="LSQ2490" s="58"/>
      <c r="LSR2490" s="58"/>
      <c r="LSS2490" s="58"/>
      <c r="LST2490" s="60"/>
      <c r="LSU2490" s="60"/>
      <c r="LSV2490" s="60"/>
      <c r="LSW2490" s="58"/>
      <c r="LSX2490" s="61"/>
      <c r="LSY2490" s="58"/>
      <c r="LSZ2490" s="58"/>
      <c r="LTA2490" s="58"/>
      <c r="LTB2490" s="60"/>
      <c r="LTC2490" s="60"/>
      <c r="LTD2490" s="60"/>
      <c r="LTE2490" s="58"/>
      <c r="LTF2490" s="61"/>
      <c r="LTG2490" s="58"/>
      <c r="LTH2490" s="58"/>
      <c r="LTI2490" s="58"/>
      <c r="LTJ2490" s="60"/>
      <c r="LTK2490" s="60"/>
      <c r="LTL2490" s="60"/>
      <c r="LTM2490" s="58"/>
      <c r="LTN2490" s="61"/>
      <c r="LTO2490" s="58"/>
      <c r="LTP2490" s="58"/>
      <c r="LTQ2490" s="58"/>
      <c r="LTR2490" s="60"/>
      <c r="LTS2490" s="60"/>
      <c r="LTT2490" s="60"/>
      <c r="LTU2490" s="58"/>
      <c r="LTV2490" s="61"/>
      <c r="LTW2490" s="58"/>
      <c r="LTX2490" s="58"/>
      <c r="LTY2490" s="58"/>
      <c r="LTZ2490" s="60"/>
      <c r="LUA2490" s="60"/>
      <c r="LUB2490" s="60"/>
      <c r="LUC2490" s="58"/>
      <c r="LUD2490" s="61"/>
      <c r="LUE2490" s="58"/>
      <c r="LUF2490" s="58"/>
      <c r="LUG2490" s="58"/>
      <c r="LUH2490" s="60"/>
      <c r="LUI2490" s="60"/>
      <c r="LUJ2490" s="60"/>
      <c r="LUK2490" s="58"/>
      <c r="LUL2490" s="61"/>
      <c r="LUM2490" s="58"/>
      <c r="LUN2490" s="58"/>
      <c r="LUO2490" s="58"/>
      <c r="LUP2490" s="60"/>
      <c r="LUQ2490" s="60"/>
      <c r="LUR2490" s="60"/>
      <c r="LUS2490" s="58"/>
      <c r="LUT2490" s="61"/>
      <c r="LUU2490" s="58"/>
      <c r="LUV2490" s="58"/>
      <c r="LUW2490" s="58"/>
      <c r="LUX2490" s="60"/>
      <c r="LUY2490" s="60"/>
      <c r="LUZ2490" s="60"/>
      <c r="LVA2490" s="58"/>
      <c r="LVB2490" s="61"/>
      <c r="LVC2490" s="58"/>
      <c r="LVD2490" s="58"/>
      <c r="LVE2490" s="58"/>
      <c r="LVF2490" s="60"/>
      <c r="LVG2490" s="60"/>
      <c r="LVH2490" s="60"/>
      <c r="LVI2490" s="58"/>
      <c r="LVJ2490" s="61"/>
      <c r="LVK2490" s="58"/>
      <c r="LVL2490" s="58"/>
      <c r="LVM2490" s="58"/>
      <c r="LVN2490" s="60"/>
      <c r="LVO2490" s="60"/>
      <c r="LVP2490" s="60"/>
      <c r="LVQ2490" s="58"/>
      <c r="LVR2490" s="61"/>
      <c r="LVS2490" s="58"/>
      <c r="LVT2490" s="58"/>
      <c r="LVU2490" s="58"/>
      <c r="LVV2490" s="60"/>
      <c r="LVW2490" s="60"/>
      <c r="LVX2490" s="60"/>
      <c r="LVY2490" s="58"/>
      <c r="LVZ2490" s="61"/>
      <c r="LWA2490" s="58"/>
      <c r="LWB2490" s="58"/>
      <c r="LWC2490" s="58"/>
      <c r="LWD2490" s="60"/>
      <c r="LWE2490" s="60"/>
      <c r="LWF2490" s="60"/>
      <c r="LWG2490" s="58"/>
      <c r="LWH2490" s="61"/>
      <c r="LWI2490" s="58"/>
      <c r="LWJ2490" s="58"/>
      <c r="LWK2490" s="58"/>
      <c r="LWL2490" s="60"/>
      <c r="LWM2490" s="60"/>
      <c r="LWN2490" s="60"/>
      <c r="LWO2490" s="58"/>
      <c r="LWP2490" s="61"/>
      <c r="LWQ2490" s="58"/>
      <c r="LWR2490" s="58"/>
      <c r="LWS2490" s="58"/>
      <c r="LWT2490" s="60"/>
      <c r="LWU2490" s="60"/>
      <c r="LWV2490" s="60"/>
      <c r="LWW2490" s="58"/>
      <c r="LWX2490" s="61"/>
      <c r="LWY2490" s="58"/>
      <c r="LWZ2490" s="58"/>
      <c r="LXA2490" s="58"/>
      <c r="LXB2490" s="60"/>
      <c r="LXC2490" s="60"/>
      <c r="LXD2490" s="60"/>
      <c r="LXE2490" s="58"/>
      <c r="LXF2490" s="61"/>
      <c r="LXG2490" s="58"/>
      <c r="LXH2490" s="58"/>
      <c r="LXI2490" s="58"/>
      <c r="LXJ2490" s="60"/>
      <c r="LXK2490" s="60"/>
      <c r="LXL2490" s="60"/>
      <c r="LXM2490" s="58"/>
      <c r="LXN2490" s="61"/>
      <c r="LXO2490" s="58"/>
      <c r="LXP2490" s="58"/>
      <c r="LXQ2490" s="58"/>
      <c r="LXR2490" s="60"/>
      <c r="LXS2490" s="60"/>
      <c r="LXT2490" s="60"/>
      <c r="LXU2490" s="58"/>
      <c r="LXV2490" s="61"/>
      <c r="LXW2490" s="58"/>
      <c r="LXX2490" s="58"/>
      <c r="LXY2490" s="58"/>
      <c r="LXZ2490" s="60"/>
      <c r="LYA2490" s="60"/>
      <c r="LYB2490" s="60"/>
      <c r="LYC2490" s="58"/>
      <c r="LYD2490" s="61"/>
      <c r="LYE2490" s="58"/>
      <c r="LYF2490" s="58"/>
      <c r="LYG2490" s="58"/>
      <c r="LYH2490" s="60"/>
      <c r="LYI2490" s="60"/>
      <c r="LYJ2490" s="60"/>
      <c r="LYK2490" s="58"/>
      <c r="LYL2490" s="61"/>
      <c r="LYM2490" s="58"/>
      <c r="LYN2490" s="58"/>
      <c r="LYO2490" s="58"/>
      <c r="LYP2490" s="60"/>
      <c r="LYQ2490" s="60"/>
      <c r="LYR2490" s="60"/>
      <c r="LYS2490" s="58"/>
      <c r="LYT2490" s="61"/>
      <c r="LYU2490" s="58"/>
      <c r="LYV2490" s="58"/>
      <c r="LYW2490" s="58"/>
      <c r="LYX2490" s="60"/>
      <c r="LYY2490" s="60"/>
      <c r="LYZ2490" s="60"/>
      <c r="LZA2490" s="58"/>
      <c r="LZB2490" s="61"/>
      <c r="LZC2490" s="58"/>
      <c r="LZD2490" s="58"/>
      <c r="LZE2490" s="58"/>
      <c r="LZF2490" s="60"/>
      <c r="LZG2490" s="60"/>
      <c r="LZH2490" s="60"/>
      <c r="LZI2490" s="58"/>
      <c r="LZJ2490" s="61"/>
      <c r="LZK2490" s="58"/>
      <c r="LZL2490" s="58"/>
      <c r="LZM2490" s="58"/>
      <c r="LZN2490" s="60"/>
      <c r="LZO2490" s="60"/>
      <c r="LZP2490" s="60"/>
      <c r="LZQ2490" s="58"/>
      <c r="LZR2490" s="61"/>
      <c r="LZS2490" s="58"/>
      <c r="LZT2490" s="58"/>
      <c r="LZU2490" s="58"/>
      <c r="LZV2490" s="60"/>
      <c r="LZW2490" s="60"/>
      <c r="LZX2490" s="60"/>
      <c r="LZY2490" s="58"/>
      <c r="LZZ2490" s="61"/>
      <c r="MAA2490" s="58"/>
      <c r="MAB2490" s="58"/>
      <c r="MAC2490" s="58"/>
      <c r="MAD2490" s="60"/>
      <c r="MAE2490" s="60"/>
      <c r="MAF2490" s="60"/>
      <c r="MAG2490" s="58"/>
      <c r="MAH2490" s="61"/>
      <c r="MAI2490" s="58"/>
      <c r="MAJ2490" s="58"/>
      <c r="MAK2490" s="58"/>
      <c r="MAL2490" s="60"/>
      <c r="MAM2490" s="60"/>
      <c r="MAN2490" s="60"/>
      <c r="MAO2490" s="58"/>
      <c r="MAP2490" s="61"/>
      <c r="MAQ2490" s="58"/>
      <c r="MAR2490" s="58"/>
      <c r="MAS2490" s="58"/>
      <c r="MAT2490" s="60"/>
      <c r="MAU2490" s="60"/>
      <c r="MAV2490" s="60"/>
      <c r="MAW2490" s="58"/>
      <c r="MAX2490" s="61"/>
      <c r="MAY2490" s="58"/>
      <c r="MAZ2490" s="58"/>
      <c r="MBA2490" s="58"/>
      <c r="MBB2490" s="60"/>
      <c r="MBC2490" s="60"/>
      <c r="MBD2490" s="60"/>
      <c r="MBE2490" s="58"/>
      <c r="MBF2490" s="61"/>
      <c r="MBG2490" s="58"/>
      <c r="MBH2490" s="58"/>
      <c r="MBI2490" s="58"/>
      <c r="MBJ2490" s="60"/>
      <c r="MBK2490" s="60"/>
      <c r="MBL2490" s="60"/>
      <c r="MBM2490" s="58"/>
      <c r="MBN2490" s="61"/>
      <c r="MBO2490" s="58"/>
      <c r="MBP2490" s="58"/>
      <c r="MBQ2490" s="58"/>
      <c r="MBR2490" s="60"/>
      <c r="MBS2490" s="60"/>
      <c r="MBT2490" s="60"/>
      <c r="MBU2490" s="58"/>
      <c r="MBV2490" s="61"/>
      <c r="MBW2490" s="58"/>
      <c r="MBX2490" s="58"/>
      <c r="MBY2490" s="58"/>
      <c r="MBZ2490" s="60"/>
      <c r="MCA2490" s="60"/>
      <c r="MCB2490" s="60"/>
      <c r="MCC2490" s="58"/>
      <c r="MCD2490" s="61"/>
      <c r="MCE2490" s="58"/>
      <c r="MCF2490" s="58"/>
      <c r="MCG2490" s="58"/>
      <c r="MCH2490" s="60"/>
      <c r="MCI2490" s="60"/>
      <c r="MCJ2490" s="60"/>
      <c r="MCK2490" s="58"/>
      <c r="MCL2490" s="61"/>
      <c r="MCM2490" s="58"/>
      <c r="MCN2490" s="58"/>
      <c r="MCO2490" s="58"/>
      <c r="MCP2490" s="60"/>
      <c r="MCQ2490" s="60"/>
      <c r="MCR2490" s="60"/>
      <c r="MCS2490" s="58"/>
      <c r="MCT2490" s="61"/>
      <c r="MCU2490" s="58"/>
      <c r="MCV2490" s="58"/>
      <c r="MCW2490" s="58"/>
      <c r="MCX2490" s="60"/>
      <c r="MCY2490" s="60"/>
      <c r="MCZ2490" s="60"/>
      <c r="MDA2490" s="58"/>
      <c r="MDB2490" s="61"/>
      <c r="MDC2490" s="58"/>
      <c r="MDD2490" s="58"/>
      <c r="MDE2490" s="58"/>
      <c r="MDF2490" s="60"/>
      <c r="MDG2490" s="60"/>
      <c r="MDH2490" s="60"/>
      <c r="MDI2490" s="58"/>
      <c r="MDJ2490" s="61"/>
      <c r="MDK2490" s="58"/>
      <c r="MDL2490" s="58"/>
      <c r="MDM2490" s="58"/>
      <c r="MDN2490" s="60"/>
      <c r="MDO2490" s="60"/>
      <c r="MDP2490" s="60"/>
      <c r="MDQ2490" s="58"/>
      <c r="MDR2490" s="61"/>
      <c r="MDS2490" s="58"/>
      <c r="MDT2490" s="58"/>
      <c r="MDU2490" s="58"/>
      <c r="MDV2490" s="60"/>
      <c r="MDW2490" s="60"/>
      <c r="MDX2490" s="60"/>
      <c r="MDY2490" s="58"/>
      <c r="MDZ2490" s="61"/>
      <c r="MEA2490" s="58"/>
      <c r="MEB2490" s="58"/>
      <c r="MEC2490" s="58"/>
      <c r="MED2490" s="60"/>
      <c r="MEE2490" s="60"/>
      <c r="MEF2490" s="60"/>
      <c r="MEG2490" s="58"/>
      <c r="MEH2490" s="61"/>
      <c r="MEI2490" s="58"/>
      <c r="MEJ2490" s="58"/>
      <c r="MEK2490" s="58"/>
      <c r="MEL2490" s="60"/>
      <c r="MEM2490" s="60"/>
      <c r="MEN2490" s="60"/>
      <c r="MEO2490" s="58"/>
      <c r="MEP2490" s="61"/>
      <c r="MEQ2490" s="58"/>
      <c r="MER2490" s="58"/>
      <c r="MES2490" s="58"/>
      <c r="MET2490" s="60"/>
      <c r="MEU2490" s="60"/>
      <c r="MEV2490" s="60"/>
      <c r="MEW2490" s="58"/>
      <c r="MEX2490" s="61"/>
      <c r="MEY2490" s="58"/>
      <c r="MEZ2490" s="58"/>
      <c r="MFA2490" s="58"/>
      <c r="MFB2490" s="60"/>
      <c r="MFC2490" s="60"/>
      <c r="MFD2490" s="60"/>
      <c r="MFE2490" s="58"/>
      <c r="MFF2490" s="61"/>
      <c r="MFG2490" s="58"/>
      <c r="MFH2490" s="58"/>
      <c r="MFI2490" s="58"/>
      <c r="MFJ2490" s="60"/>
      <c r="MFK2490" s="60"/>
      <c r="MFL2490" s="60"/>
      <c r="MFM2490" s="58"/>
      <c r="MFN2490" s="61"/>
      <c r="MFO2490" s="58"/>
      <c r="MFP2490" s="58"/>
      <c r="MFQ2490" s="58"/>
      <c r="MFR2490" s="60"/>
      <c r="MFS2490" s="60"/>
      <c r="MFT2490" s="60"/>
      <c r="MFU2490" s="58"/>
      <c r="MFV2490" s="61"/>
      <c r="MFW2490" s="58"/>
      <c r="MFX2490" s="58"/>
      <c r="MFY2490" s="58"/>
      <c r="MFZ2490" s="60"/>
      <c r="MGA2490" s="60"/>
      <c r="MGB2490" s="60"/>
      <c r="MGC2490" s="58"/>
      <c r="MGD2490" s="61"/>
      <c r="MGE2490" s="58"/>
      <c r="MGF2490" s="58"/>
      <c r="MGG2490" s="58"/>
      <c r="MGH2490" s="60"/>
      <c r="MGI2490" s="60"/>
      <c r="MGJ2490" s="60"/>
      <c r="MGK2490" s="58"/>
      <c r="MGL2490" s="61"/>
      <c r="MGM2490" s="58"/>
      <c r="MGN2490" s="58"/>
      <c r="MGO2490" s="58"/>
      <c r="MGP2490" s="60"/>
      <c r="MGQ2490" s="60"/>
      <c r="MGR2490" s="60"/>
      <c r="MGS2490" s="58"/>
      <c r="MGT2490" s="61"/>
      <c r="MGU2490" s="58"/>
      <c r="MGV2490" s="58"/>
      <c r="MGW2490" s="58"/>
      <c r="MGX2490" s="60"/>
      <c r="MGY2490" s="60"/>
      <c r="MGZ2490" s="60"/>
      <c r="MHA2490" s="58"/>
      <c r="MHB2490" s="61"/>
      <c r="MHC2490" s="58"/>
      <c r="MHD2490" s="58"/>
      <c r="MHE2490" s="58"/>
      <c r="MHF2490" s="60"/>
      <c r="MHG2490" s="60"/>
      <c r="MHH2490" s="60"/>
      <c r="MHI2490" s="58"/>
      <c r="MHJ2490" s="61"/>
      <c r="MHK2490" s="58"/>
      <c r="MHL2490" s="58"/>
      <c r="MHM2490" s="58"/>
      <c r="MHN2490" s="60"/>
      <c r="MHO2490" s="60"/>
      <c r="MHP2490" s="60"/>
      <c r="MHQ2490" s="58"/>
      <c r="MHR2490" s="61"/>
      <c r="MHS2490" s="58"/>
      <c r="MHT2490" s="58"/>
      <c r="MHU2490" s="58"/>
      <c r="MHV2490" s="60"/>
      <c r="MHW2490" s="60"/>
      <c r="MHX2490" s="60"/>
      <c r="MHY2490" s="58"/>
      <c r="MHZ2490" s="61"/>
      <c r="MIA2490" s="58"/>
      <c r="MIB2490" s="58"/>
      <c r="MIC2490" s="58"/>
      <c r="MID2490" s="60"/>
      <c r="MIE2490" s="60"/>
      <c r="MIF2490" s="60"/>
      <c r="MIG2490" s="58"/>
      <c r="MIH2490" s="61"/>
      <c r="MII2490" s="58"/>
      <c r="MIJ2490" s="58"/>
      <c r="MIK2490" s="58"/>
      <c r="MIL2490" s="60"/>
      <c r="MIM2490" s="60"/>
      <c r="MIN2490" s="60"/>
      <c r="MIO2490" s="58"/>
      <c r="MIP2490" s="61"/>
      <c r="MIQ2490" s="58"/>
      <c r="MIR2490" s="58"/>
      <c r="MIS2490" s="58"/>
      <c r="MIT2490" s="60"/>
      <c r="MIU2490" s="60"/>
      <c r="MIV2490" s="60"/>
      <c r="MIW2490" s="58"/>
      <c r="MIX2490" s="61"/>
      <c r="MIY2490" s="58"/>
      <c r="MIZ2490" s="58"/>
      <c r="MJA2490" s="58"/>
      <c r="MJB2490" s="60"/>
      <c r="MJC2490" s="60"/>
      <c r="MJD2490" s="60"/>
      <c r="MJE2490" s="58"/>
      <c r="MJF2490" s="61"/>
      <c r="MJG2490" s="58"/>
      <c r="MJH2490" s="58"/>
      <c r="MJI2490" s="58"/>
      <c r="MJJ2490" s="60"/>
      <c r="MJK2490" s="60"/>
      <c r="MJL2490" s="60"/>
      <c r="MJM2490" s="58"/>
      <c r="MJN2490" s="61"/>
      <c r="MJO2490" s="58"/>
      <c r="MJP2490" s="58"/>
      <c r="MJQ2490" s="58"/>
      <c r="MJR2490" s="60"/>
      <c r="MJS2490" s="60"/>
      <c r="MJT2490" s="60"/>
      <c r="MJU2490" s="58"/>
      <c r="MJV2490" s="61"/>
      <c r="MJW2490" s="58"/>
      <c r="MJX2490" s="58"/>
      <c r="MJY2490" s="58"/>
      <c r="MJZ2490" s="60"/>
      <c r="MKA2490" s="60"/>
      <c r="MKB2490" s="60"/>
      <c r="MKC2490" s="58"/>
      <c r="MKD2490" s="61"/>
      <c r="MKE2490" s="58"/>
      <c r="MKF2490" s="58"/>
      <c r="MKG2490" s="58"/>
      <c r="MKH2490" s="60"/>
      <c r="MKI2490" s="60"/>
      <c r="MKJ2490" s="60"/>
      <c r="MKK2490" s="58"/>
      <c r="MKL2490" s="61"/>
      <c r="MKM2490" s="58"/>
      <c r="MKN2490" s="58"/>
      <c r="MKO2490" s="58"/>
      <c r="MKP2490" s="60"/>
      <c r="MKQ2490" s="60"/>
      <c r="MKR2490" s="60"/>
      <c r="MKS2490" s="58"/>
      <c r="MKT2490" s="61"/>
      <c r="MKU2490" s="58"/>
      <c r="MKV2490" s="58"/>
      <c r="MKW2490" s="58"/>
      <c r="MKX2490" s="60"/>
      <c r="MKY2490" s="60"/>
      <c r="MKZ2490" s="60"/>
      <c r="MLA2490" s="58"/>
      <c r="MLB2490" s="61"/>
      <c r="MLC2490" s="58"/>
      <c r="MLD2490" s="58"/>
      <c r="MLE2490" s="58"/>
      <c r="MLF2490" s="60"/>
      <c r="MLG2490" s="60"/>
      <c r="MLH2490" s="60"/>
      <c r="MLI2490" s="58"/>
      <c r="MLJ2490" s="61"/>
      <c r="MLK2490" s="58"/>
      <c r="MLL2490" s="58"/>
      <c r="MLM2490" s="58"/>
      <c r="MLN2490" s="60"/>
      <c r="MLO2490" s="60"/>
      <c r="MLP2490" s="60"/>
      <c r="MLQ2490" s="58"/>
      <c r="MLR2490" s="61"/>
      <c r="MLS2490" s="58"/>
      <c r="MLT2490" s="58"/>
      <c r="MLU2490" s="58"/>
      <c r="MLV2490" s="60"/>
      <c r="MLW2490" s="60"/>
      <c r="MLX2490" s="60"/>
      <c r="MLY2490" s="58"/>
      <c r="MLZ2490" s="61"/>
      <c r="MMA2490" s="58"/>
      <c r="MMB2490" s="58"/>
      <c r="MMC2490" s="58"/>
      <c r="MMD2490" s="60"/>
      <c r="MME2490" s="60"/>
      <c r="MMF2490" s="60"/>
      <c r="MMG2490" s="58"/>
      <c r="MMH2490" s="61"/>
      <c r="MMI2490" s="58"/>
      <c r="MMJ2490" s="58"/>
      <c r="MMK2490" s="58"/>
      <c r="MML2490" s="60"/>
      <c r="MMM2490" s="60"/>
      <c r="MMN2490" s="60"/>
      <c r="MMO2490" s="58"/>
      <c r="MMP2490" s="61"/>
      <c r="MMQ2490" s="58"/>
      <c r="MMR2490" s="58"/>
      <c r="MMS2490" s="58"/>
      <c r="MMT2490" s="60"/>
      <c r="MMU2490" s="60"/>
      <c r="MMV2490" s="60"/>
      <c r="MMW2490" s="58"/>
      <c r="MMX2490" s="61"/>
      <c r="MMY2490" s="58"/>
      <c r="MMZ2490" s="58"/>
      <c r="MNA2490" s="58"/>
      <c r="MNB2490" s="60"/>
      <c r="MNC2490" s="60"/>
      <c r="MND2490" s="60"/>
      <c r="MNE2490" s="58"/>
      <c r="MNF2490" s="61"/>
      <c r="MNG2490" s="58"/>
      <c r="MNH2490" s="58"/>
      <c r="MNI2490" s="58"/>
      <c r="MNJ2490" s="60"/>
      <c r="MNK2490" s="60"/>
      <c r="MNL2490" s="60"/>
      <c r="MNM2490" s="58"/>
      <c r="MNN2490" s="61"/>
      <c r="MNO2490" s="58"/>
      <c r="MNP2490" s="58"/>
      <c r="MNQ2490" s="58"/>
      <c r="MNR2490" s="60"/>
      <c r="MNS2490" s="60"/>
      <c r="MNT2490" s="60"/>
      <c r="MNU2490" s="58"/>
      <c r="MNV2490" s="61"/>
      <c r="MNW2490" s="58"/>
      <c r="MNX2490" s="58"/>
      <c r="MNY2490" s="58"/>
      <c r="MNZ2490" s="60"/>
      <c r="MOA2490" s="60"/>
      <c r="MOB2490" s="60"/>
      <c r="MOC2490" s="58"/>
      <c r="MOD2490" s="61"/>
      <c r="MOE2490" s="58"/>
      <c r="MOF2490" s="58"/>
      <c r="MOG2490" s="58"/>
      <c r="MOH2490" s="60"/>
      <c r="MOI2490" s="60"/>
      <c r="MOJ2490" s="60"/>
      <c r="MOK2490" s="58"/>
      <c r="MOL2490" s="61"/>
      <c r="MOM2490" s="58"/>
      <c r="MON2490" s="58"/>
      <c r="MOO2490" s="58"/>
      <c r="MOP2490" s="60"/>
      <c r="MOQ2490" s="60"/>
      <c r="MOR2490" s="60"/>
      <c r="MOS2490" s="58"/>
      <c r="MOT2490" s="61"/>
      <c r="MOU2490" s="58"/>
      <c r="MOV2490" s="58"/>
      <c r="MOW2490" s="58"/>
      <c r="MOX2490" s="60"/>
      <c r="MOY2490" s="60"/>
      <c r="MOZ2490" s="60"/>
      <c r="MPA2490" s="58"/>
      <c r="MPB2490" s="61"/>
      <c r="MPC2490" s="58"/>
      <c r="MPD2490" s="58"/>
      <c r="MPE2490" s="58"/>
      <c r="MPF2490" s="60"/>
      <c r="MPG2490" s="60"/>
      <c r="MPH2490" s="60"/>
      <c r="MPI2490" s="58"/>
      <c r="MPJ2490" s="61"/>
      <c r="MPK2490" s="58"/>
      <c r="MPL2490" s="58"/>
      <c r="MPM2490" s="58"/>
      <c r="MPN2490" s="60"/>
      <c r="MPO2490" s="60"/>
      <c r="MPP2490" s="60"/>
      <c r="MPQ2490" s="58"/>
      <c r="MPR2490" s="61"/>
      <c r="MPS2490" s="58"/>
      <c r="MPT2490" s="58"/>
      <c r="MPU2490" s="58"/>
      <c r="MPV2490" s="60"/>
      <c r="MPW2490" s="60"/>
      <c r="MPX2490" s="60"/>
      <c r="MPY2490" s="58"/>
      <c r="MPZ2490" s="61"/>
      <c r="MQA2490" s="58"/>
      <c r="MQB2490" s="58"/>
      <c r="MQC2490" s="58"/>
      <c r="MQD2490" s="60"/>
      <c r="MQE2490" s="60"/>
      <c r="MQF2490" s="60"/>
      <c r="MQG2490" s="58"/>
      <c r="MQH2490" s="61"/>
      <c r="MQI2490" s="58"/>
      <c r="MQJ2490" s="58"/>
      <c r="MQK2490" s="58"/>
      <c r="MQL2490" s="60"/>
      <c r="MQM2490" s="60"/>
      <c r="MQN2490" s="60"/>
      <c r="MQO2490" s="58"/>
      <c r="MQP2490" s="61"/>
      <c r="MQQ2490" s="58"/>
      <c r="MQR2490" s="58"/>
      <c r="MQS2490" s="58"/>
      <c r="MQT2490" s="60"/>
      <c r="MQU2490" s="60"/>
      <c r="MQV2490" s="60"/>
      <c r="MQW2490" s="58"/>
      <c r="MQX2490" s="61"/>
      <c r="MQY2490" s="58"/>
      <c r="MQZ2490" s="58"/>
      <c r="MRA2490" s="58"/>
      <c r="MRB2490" s="60"/>
      <c r="MRC2490" s="60"/>
      <c r="MRD2490" s="60"/>
      <c r="MRE2490" s="58"/>
      <c r="MRF2490" s="61"/>
      <c r="MRG2490" s="58"/>
      <c r="MRH2490" s="58"/>
      <c r="MRI2490" s="58"/>
      <c r="MRJ2490" s="60"/>
      <c r="MRK2490" s="60"/>
      <c r="MRL2490" s="60"/>
      <c r="MRM2490" s="58"/>
      <c r="MRN2490" s="61"/>
      <c r="MRO2490" s="58"/>
      <c r="MRP2490" s="58"/>
      <c r="MRQ2490" s="58"/>
      <c r="MRR2490" s="60"/>
      <c r="MRS2490" s="60"/>
      <c r="MRT2490" s="60"/>
      <c r="MRU2490" s="58"/>
      <c r="MRV2490" s="61"/>
      <c r="MRW2490" s="58"/>
      <c r="MRX2490" s="58"/>
      <c r="MRY2490" s="58"/>
      <c r="MRZ2490" s="60"/>
      <c r="MSA2490" s="60"/>
      <c r="MSB2490" s="60"/>
      <c r="MSC2490" s="58"/>
      <c r="MSD2490" s="61"/>
      <c r="MSE2490" s="58"/>
      <c r="MSF2490" s="58"/>
      <c r="MSG2490" s="58"/>
      <c r="MSH2490" s="60"/>
      <c r="MSI2490" s="60"/>
      <c r="MSJ2490" s="60"/>
      <c r="MSK2490" s="58"/>
      <c r="MSL2490" s="61"/>
      <c r="MSM2490" s="58"/>
      <c r="MSN2490" s="58"/>
      <c r="MSO2490" s="58"/>
      <c r="MSP2490" s="60"/>
      <c r="MSQ2490" s="60"/>
      <c r="MSR2490" s="60"/>
      <c r="MSS2490" s="58"/>
      <c r="MST2490" s="61"/>
      <c r="MSU2490" s="58"/>
      <c r="MSV2490" s="58"/>
      <c r="MSW2490" s="58"/>
      <c r="MSX2490" s="60"/>
      <c r="MSY2490" s="60"/>
      <c r="MSZ2490" s="60"/>
      <c r="MTA2490" s="58"/>
      <c r="MTB2490" s="61"/>
      <c r="MTC2490" s="58"/>
      <c r="MTD2490" s="58"/>
      <c r="MTE2490" s="58"/>
      <c r="MTF2490" s="60"/>
      <c r="MTG2490" s="60"/>
      <c r="MTH2490" s="60"/>
      <c r="MTI2490" s="58"/>
      <c r="MTJ2490" s="61"/>
      <c r="MTK2490" s="58"/>
      <c r="MTL2490" s="58"/>
      <c r="MTM2490" s="58"/>
      <c r="MTN2490" s="60"/>
      <c r="MTO2490" s="60"/>
      <c r="MTP2490" s="60"/>
      <c r="MTQ2490" s="58"/>
      <c r="MTR2490" s="61"/>
      <c r="MTS2490" s="58"/>
      <c r="MTT2490" s="58"/>
      <c r="MTU2490" s="58"/>
      <c r="MTV2490" s="60"/>
      <c r="MTW2490" s="60"/>
      <c r="MTX2490" s="60"/>
      <c r="MTY2490" s="58"/>
      <c r="MTZ2490" s="61"/>
      <c r="MUA2490" s="58"/>
      <c r="MUB2490" s="58"/>
      <c r="MUC2490" s="58"/>
      <c r="MUD2490" s="60"/>
      <c r="MUE2490" s="60"/>
      <c r="MUF2490" s="60"/>
      <c r="MUG2490" s="58"/>
      <c r="MUH2490" s="61"/>
      <c r="MUI2490" s="58"/>
      <c r="MUJ2490" s="58"/>
      <c r="MUK2490" s="58"/>
      <c r="MUL2490" s="60"/>
      <c r="MUM2490" s="60"/>
      <c r="MUN2490" s="60"/>
      <c r="MUO2490" s="58"/>
      <c r="MUP2490" s="61"/>
      <c r="MUQ2490" s="58"/>
      <c r="MUR2490" s="58"/>
      <c r="MUS2490" s="58"/>
      <c r="MUT2490" s="60"/>
      <c r="MUU2490" s="60"/>
      <c r="MUV2490" s="60"/>
      <c r="MUW2490" s="58"/>
      <c r="MUX2490" s="61"/>
      <c r="MUY2490" s="58"/>
      <c r="MUZ2490" s="58"/>
      <c r="MVA2490" s="58"/>
      <c r="MVB2490" s="60"/>
      <c r="MVC2490" s="60"/>
      <c r="MVD2490" s="60"/>
      <c r="MVE2490" s="58"/>
      <c r="MVF2490" s="61"/>
      <c r="MVG2490" s="58"/>
      <c r="MVH2490" s="58"/>
      <c r="MVI2490" s="58"/>
      <c r="MVJ2490" s="60"/>
      <c r="MVK2490" s="60"/>
      <c r="MVL2490" s="60"/>
      <c r="MVM2490" s="58"/>
      <c r="MVN2490" s="61"/>
      <c r="MVO2490" s="58"/>
      <c r="MVP2490" s="58"/>
      <c r="MVQ2490" s="58"/>
      <c r="MVR2490" s="60"/>
      <c r="MVS2490" s="60"/>
      <c r="MVT2490" s="60"/>
      <c r="MVU2490" s="58"/>
      <c r="MVV2490" s="61"/>
      <c r="MVW2490" s="58"/>
      <c r="MVX2490" s="58"/>
      <c r="MVY2490" s="58"/>
      <c r="MVZ2490" s="60"/>
      <c r="MWA2490" s="60"/>
      <c r="MWB2490" s="60"/>
      <c r="MWC2490" s="58"/>
      <c r="MWD2490" s="61"/>
      <c r="MWE2490" s="58"/>
      <c r="MWF2490" s="58"/>
      <c r="MWG2490" s="58"/>
      <c r="MWH2490" s="60"/>
      <c r="MWI2490" s="60"/>
      <c r="MWJ2490" s="60"/>
      <c r="MWK2490" s="58"/>
      <c r="MWL2490" s="61"/>
      <c r="MWM2490" s="58"/>
      <c r="MWN2490" s="58"/>
      <c r="MWO2490" s="58"/>
      <c r="MWP2490" s="60"/>
      <c r="MWQ2490" s="60"/>
      <c r="MWR2490" s="60"/>
      <c r="MWS2490" s="58"/>
      <c r="MWT2490" s="61"/>
      <c r="MWU2490" s="58"/>
      <c r="MWV2490" s="58"/>
      <c r="MWW2490" s="58"/>
      <c r="MWX2490" s="60"/>
      <c r="MWY2490" s="60"/>
      <c r="MWZ2490" s="60"/>
      <c r="MXA2490" s="58"/>
      <c r="MXB2490" s="61"/>
      <c r="MXC2490" s="58"/>
      <c r="MXD2490" s="58"/>
      <c r="MXE2490" s="58"/>
      <c r="MXF2490" s="60"/>
      <c r="MXG2490" s="60"/>
      <c r="MXH2490" s="60"/>
      <c r="MXI2490" s="58"/>
      <c r="MXJ2490" s="61"/>
      <c r="MXK2490" s="58"/>
      <c r="MXL2490" s="58"/>
      <c r="MXM2490" s="58"/>
      <c r="MXN2490" s="60"/>
      <c r="MXO2490" s="60"/>
      <c r="MXP2490" s="60"/>
      <c r="MXQ2490" s="58"/>
      <c r="MXR2490" s="61"/>
      <c r="MXS2490" s="58"/>
      <c r="MXT2490" s="58"/>
      <c r="MXU2490" s="58"/>
      <c r="MXV2490" s="60"/>
      <c r="MXW2490" s="60"/>
      <c r="MXX2490" s="60"/>
      <c r="MXY2490" s="58"/>
      <c r="MXZ2490" s="61"/>
      <c r="MYA2490" s="58"/>
      <c r="MYB2490" s="58"/>
      <c r="MYC2490" s="58"/>
      <c r="MYD2490" s="60"/>
      <c r="MYE2490" s="60"/>
      <c r="MYF2490" s="60"/>
      <c r="MYG2490" s="58"/>
      <c r="MYH2490" s="61"/>
      <c r="MYI2490" s="58"/>
      <c r="MYJ2490" s="58"/>
      <c r="MYK2490" s="58"/>
      <c r="MYL2490" s="60"/>
      <c r="MYM2490" s="60"/>
      <c r="MYN2490" s="60"/>
      <c r="MYO2490" s="58"/>
      <c r="MYP2490" s="61"/>
      <c r="MYQ2490" s="58"/>
      <c r="MYR2490" s="58"/>
      <c r="MYS2490" s="58"/>
      <c r="MYT2490" s="60"/>
      <c r="MYU2490" s="60"/>
      <c r="MYV2490" s="60"/>
      <c r="MYW2490" s="58"/>
      <c r="MYX2490" s="61"/>
      <c r="MYY2490" s="58"/>
      <c r="MYZ2490" s="58"/>
      <c r="MZA2490" s="58"/>
      <c r="MZB2490" s="60"/>
      <c r="MZC2490" s="60"/>
      <c r="MZD2490" s="60"/>
      <c r="MZE2490" s="58"/>
      <c r="MZF2490" s="61"/>
      <c r="MZG2490" s="58"/>
      <c r="MZH2490" s="58"/>
      <c r="MZI2490" s="58"/>
      <c r="MZJ2490" s="60"/>
      <c r="MZK2490" s="60"/>
      <c r="MZL2490" s="60"/>
      <c r="MZM2490" s="58"/>
      <c r="MZN2490" s="61"/>
      <c r="MZO2490" s="58"/>
      <c r="MZP2490" s="58"/>
      <c r="MZQ2490" s="58"/>
      <c r="MZR2490" s="60"/>
      <c r="MZS2490" s="60"/>
      <c r="MZT2490" s="60"/>
      <c r="MZU2490" s="58"/>
      <c r="MZV2490" s="61"/>
      <c r="MZW2490" s="58"/>
      <c r="MZX2490" s="58"/>
      <c r="MZY2490" s="58"/>
      <c r="MZZ2490" s="60"/>
      <c r="NAA2490" s="60"/>
      <c r="NAB2490" s="60"/>
      <c r="NAC2490" s="58"/>
      <c r="NAD2490" s="61"/>
      <c r="NAE2490" s="58"/>
      <c r="NAF2490" s="58"/>
      <c r="NAG2490" s="58"/>
      <c r="NAH2490" s="60"/>
      <c r="NAI2490" s="60"/>
      <c r="NAJ2490" s="60"/>
      <c r="NAK2490" s="58"/>
      <c r="NAL2490" s="61"/>
      <c r="NAM2490" s="58"/>
      <c r="NAN2490" s="58"/>
      <c r="NAO2490" s="58"/>
      <c r="NAP2490" s="60"/>
      <c r="NAQ2490" s="60"/>
      <c r="NAR2490" s="60"/>
      <c r="NAS2490" s="58"/>
      <c r="NAT2490" s="61"/>
      <c r="NAU2490" s="58"/>
      <c r="NAV2490" s="58"/>
      <c r="NAW2490" s="58"/>
      <c r="NAX2490" s="60"/>
      <c r="NAY2490" s="60"/>
      <c r="NAZ2490" s="60"/>
      <c r="NBA2490" s="58"/>
      <c r="NBB2490" s="61"/>
      <c r="NBC2490" s="58"/>
      <c r="NBD2490" s="58"/>
      <c r="NBE2490" s="58"/>
      <c r="NBF2490" s="60"/>
      <c r="NBG2490" s="60"/>
      <c r="NBH2490" s="60"/>
      <c r="NBI2490" s="58"/>
      <c r="NBJ2490" s="61"/>
      <c r="NBK2490" s="58"/>
      <c r="NBL2490" s="58"/>
      <c r="NBM2490" s="58"/>
      <c r="NBN2490" s="60"/>
      <c r="NBO2490" s="60"/>
      <c r="NBP2490" s="60"/>
      <c r="NBQ2490" s="58"/>
      <c r="NBR2490" s="61"/>
      <c r="NBS2490" s="58"/>
      <c r="NBT2490" s="58"/>
      <c r="NBU2490" s="58"/>
      <c r="NBV2490" s="60"/>
      <c r="NBW2490" s="60"/>
      <c r="NBX2490" s="60"/>
      <c r="NBY2490" s="58"/>
      <c r="NBZ2490" s="61"/>
      <c r="NCA2490" s="58"/>
      <c r="NCB2490" s="58"/>
      <c r="NCC2490" s="58"/>
      <c r="NCD2490" s="60"/>
      <c r="NCE2490" s="60"/>
      <c r="NCF2490" s="60"/>
      <c r="NCG2490" s="58"/>
      <c r="NCH2490" s="61"/>
      <c r="NCI2490" s="58"/>
      <c r="NCJ2490" s="58"/>
      <c r="NCK2490" s="58"/>
      <c r="NCL2490" s="60"/>
      <c r="NCM2490" s="60"/>
      <c r="NCN2490" s="60"/>
      <c r="NCO2490" s="58"/>
      <c r="NCP2490" s="61"/>
      <c r="NCQ2490" s="58"/>
      <c r="NCR2490" s="58"/>
      <c r="NCS2490" s="58"/>
      <c r="NCT2490" s="60"/>
      <c r="NCU2490" s="60"/>
      <c r="NCV2490" s="60"/>
      <c r="NCW2490" s="58"/>
      <c r="NCX2490" s="61"/>
      <c r="NCY2490" s="58"/>
      <c r="NCZ2490" s="58"/>
      <c r="NDA2490" s="58"/>
      <c r="NDB2490" s="60"/>
      <c r="NDC2490" s="60"/>
      <c r="NDD2490" s="60"/>
      <c r="NDE2490" s="58"/>
      <c r="NDF2490" s="61"/>
      <c r="NDG2490" s="58"/>
      <c r="NDH2490" s="58"/>
      <c r="NDI2490" s="58"/>
      <c r="NDJ2490" s="60"/>
      <c r="NDK2490" s="60"/>
      <c r="NDL2490" s="60"/>
      <c r="NDM2490" s="58"/>
      <c r="NDN2490" s="61"/>
      <c r="NDO2490" s="58"/>
      <c r="NDP2490" s="58"/>
      <c r="NDQ2490" s="58"/>
      <c r="NDR2490" s="60"/>
      <c r="NDS2490" s="60"/>
      <c r="NDT2490" s="60"/>
      <c r="NDU2490" s="58"/>
      <c r="NDV2490" s="61"/>
      <c r="NDW2490" s="58"/>
      <c r="NDX2490" s="58"/>
      <c r="NDY2490" s="58"/>
      <c r="NDZ2490" s="60"/>
      <c r="NEA2490" s="60"/>
      <c r="NEB2490" s="60"/>
      <c r="NEC2490" s="58"/>
      <c r="NED2490" s="61"/>
      <c r="NEE2490" s="58"/>
      <c r="NEF2490" s="58"/>
      <c r="NEG2490" s="58"/>
      <c r="NEH2490" s="60"/>
      <c r="NEI2490" s="60"/>
      <c r="NEJ2490" s="60"/>
      <c r="NEK2490" s="58"/>
      <c r="NEL2490" s="61"/>
      <c r="NEM2490" s="58"/>
      <c r="NEN2490" s="58"/>
      <c r="NEO2490" s="58"/>
      <c r="NEP2490" s="60"/>
      <c r="NEQ2490" s="60"/>
      <c r="NER2490" s="60"/>
      <c r="NES2490" s="58"/>
      <c r="NET2490" s="61"/>
      <c r="NEU2490" s="58"/>
      <c r="NEV2490" s="58"/>
      <c r="NEW2490" s="58"/>
      <c r="NEX2490" s="60"/>
      <c r="NEY2490" s="60"/>
      <c r="NEZ2490" s="60"/>
      <c r="NFA2490" s="58"/>
      <c r="NFB2490" s="61"/>
      <c r="NFC2490" s="58"/>
      <c r="NFD2490" s="58"/>
      <c r="NFE2490" s="58"/>
      <c r="NFF2490" s="60"/>
      <c r="NFG2490" s="60"/>
      <c r="NFH2490" s="60"/>
      <c r="NFI2490" s="58"/>
      <c r="NFJ2490" s="61"/>
      <c r="NFK2490" s="58"/>
      <c r="NFL2490" s="58"/>
      <c r="NFM2490" s="58"/>
      <c r="NFN2490" s="60"/>
      <c r="NFO2490" s="60"/>
      <c r="NFP2490" s="60"/>
      <c r="NFQ2490" s="58"/>
      <c r="NFR2490" s="61"/>
      <c r="NFS2490" s="58"/>
      <c r="NFT2490" s="58"/>
      <c r="NFU2490" s="58"/>
      <c r="NFV2490" s="60"/>
      <c r="NFW2490" s="60"/>
      <c r="NFX2490" s="60"/>
      <c r="NFY2490" s="58"/>
      <c r="NFZ2490" s="61"/>
      <c r="NGA2490" s="58"/>
      <c r="NGB2490" s="58"/>
      <c r="NGC2490" s="58"/>
      <c r="NGD2490" s="60"/>
      <c r="NGE2490" s="60"/>
      <c r="NGF2490" s="60"/>
      <c r="NGG2490" s="58"/>
      <c r="NGH2490" s="61"/>
      <c r="NGI2490" s="58"/>
      <c r="NGJ2490" s="58"/>
      <c r="NGK2490" s="58"/>
      <c r="NGL2490" s="60"/>
      <c r="NGM2490" s="60"/>
      <c r="NGN2490" s="60"/>
      <c r="NGO2490" s="58"/>
      <c r="NGP2490" s="61"/>
      <c r="NGQ2490" s="58"/>
      <c r="NGR2490" s="58"/>
      <c r="NGS2490" s="58"/>
      <c r="NGT2490" s="60"/>
      <c r="NGU2490" s="60"/>
      <c r="NGV2490" s="60"/>
      <c r="NGW2490" s="58"/>
      <c r="NGX2490" s="61"/>
      <c r="NGY2490" s="58"/>
      <c r="NGZ2490" s="58"/>
      <c r="NHA2490" s="58"/>
      <c r="NHB2490" s="60"/>
      <c r="NHC2490" s="60"/>
      <c r="NHD2490" s="60"/>
      <c r="NHE2490" s="58"/>
      <c r="NHF2490" s="61"/>
      <c r="NHG2490" s="58"/>
      <c r="NHH2490" s="58"/>
      <c r="NHI2490" s="58"/>
      <c r="NHJ2490" s="60"/>
      <c r="NHK2490" s="60"/>
      <c r="NHL2490" s="60"/>
      <c r="NHM2490" s="58"/>
      <c r="NHN2490" s="61"/>
      <c r="NHO2490" s="58"/>
      <c r="NHP2490" s="58"/>
      <c r="NHQ2490" s="58"/>
      <c r="NHR2490" s="60"/>
      <c r="NHS2490" s="60"/>
      <c r="NHT2490" s="60"/>
      <c r="NHU2490" s="58"/>
      <c r="NHV2490" s="61"/>
      <c r="NHW2490" s="58"/>
      <c r="NHX2490" s="58"/>
      <c r="NHY2490" s="58"/>
      <c r="NHZ2490" s="60"/>
      <c r="NIA2490" s="60"/>
      <c r="NIB2490" s="60"/>
      <c r="NIC2490" s="58"/>
      <c r="NID2490" s="61"/>
      <c r="NIE2490" s="58"/>
      <c r="NIF2490" s="58"/>
      <c r="NIG2490" s="58"/>
      <c r="NIH2490" s="60"/>
      <c r="NII2490" s="60"/>
      <c r="NIJ2490" s="60"/>
      <c r="NIK2490" s="58"/>
      <c r="NIL2490" s="61"/>
      <c r="NIM2490" s="58"/>
      <c r="NIN2490" s="58"/>
      <c r="NIO2490" s="58"/>
      <c r="NIP2490" s="60"/>
      <c r="NIQ2490" s="60"/>
      <c r="NIR2490" s="60"/>
      <c r="NIS2490" s="58"/>
      <c r="NIT2490" s="61"/>
      <c r="NIU2490" s="58"/>
      <c r="NIV2490" s="58"/>
      <c r="NIW2490" s="58"/>
      <c r="NIX2490" s="60"/>
      <c r="NIY2490" s="60"/>
      <c r="NIZ2490" s="60"/>
      <c r="NJA2490" s="58"/>
      <c r="NJB2490" s="61"/>
      <c r="NJC2490" s="58"/>
      <c r="NJD2490" s="58"/>
      <c r="NJE2490" s="58"/>
      <c r="NJF2490" s="60"/>
      <c r="NJG2490" s="60"/>
      <c r="NJH2490" s="60"/>
      <c r="NJI2490" s="58"/>
      <c r="NJJ2490" s="61"/>
      <c r="NJK2490" s="58"/>
      <c r="NJL2490" s="58"/>
      <c r="NJM2490" s="58"/>
      <c r="NJN2490" s="60"/>
      <c r="NJO2490" s="60"/>
      <c r="NJP2490" s="60"/>
      <c r="NJQ2490" s="58"/>
      <c r="NJR2490" s="61"/>
      <c r="NJS2490" s="58"/>
      <c r="NJT2490" s="58"/>
      <c r="NJU2490" s="58"/>
      <c r="NJV2490" s="60"/>
      <c r="NJW2490" s="60"/>
      <c r="NJX2490" s="60"/>
      <c r="NJY2490" s="58"/>
      <c r="NJZ2490" s="61"/>
      <c r="NKA2490" s="58"/>
      <c r="NKB2490" s="58"/>
      <c r="NKC2490" s="58"/>
      <c r="NKD2490" s="60"/>
      <c r="NKE2490" s="60"/>
      <c r="NKF2490" s="60"/>
      <c r="NKG2490" s="58"/>
      <c r="NKH2490" s="61"/>
      <c r="NKI2490" s="58"/>
      <c r="NKJ2490" s="58"/>
      <c r="NKK2490" s="58"/>
      <c r="NKL2490" s="60"/>
      <c r="NKM2490" s="60"/>
      <c r="NKN2490" s="60"/>
      <c r="NKO2490" s="58"/>
      <c r="NKP2490" s="61"/>
      <c r="NKQ2490" s="58"/>
      <c r="NKR2490" s="58"/>
      <c r="NKS2490" s="58"/>
      <c r="NKT2490" s="60"/>
      <c r="NKU2490" s="60"/>
      <c r="NKV2490" s="60"/>
      <c r="NKW2490" s="58"/>
      <c r="NKX2490" s="61"/>
      <c r="NKY2490" s="58"/>
      <c r="NKZ2490" s="58"/>
      <c r="NLA2490" s="58"/>
      <c r="NLB2490" s="60"/>
      <c r="NLC2490" s="60"/>
      <c r="NLD2490" s="60"/>
      <c r="NLE2490" s="58"/>
      <c r="NLF2490" s="61"/>
      <c r="NLG2490" s="58"/>
      <c r="NLH2490" s="58"/>
      <c r="NLI2490" s="58"/>
      <c r="NLJ2490" s="60"/>
      <c r="NLK2490" s="60"/>
      <c r="NLL2490" s="60"/>
      <c r="NLM2490" s="58"/>
      <c r="NLN2490" s="61"/>
      <c r="NLO2490" s="58"/>
      <c r="NLP2490" s="58"/>
      <c r="NLQ2490" s="58"/>
      <c r="NLR2490" s="60"/>
      <c r="NLS2490" s="60"/>
      <c r="NLT2490" s="60"/>
      <c r="NLU2490" s="58"/>
      <c r="NLV2490" s="61"/>
      <c r="NLW2490" s="58"/>
      <c r="NLX2490" s="58"/>
      <c r="NLY2490" s="58"/>
      <c r="NLZ2490" s="60"/>
      <c r="NMA2490" s="60"/>
      <c r="NMB2490" s="60"/>
      <c r="NMC2490" s="58"/>
      <c r="NMD2490" s="61"/>
      <c r="NME2490" s="58"/>
      <c r="NMF2490" s="58"/>
      <c r="NMG2490" s="58"/>
      <c r="NMH2490" s="60"/>
      <c r="NMI2490" s="60"/>
      <c r="NMJ2490" s="60"/>
      <c r="NMK2490" s="58"/>
      <c r="NML2490" s="61"/>
      <c r="NMM2490" s="58"/>
      <c r="NMN2490" s="58"/>
      <c r="NMO2490" s="58"/>
      <c r="NMP2490" s="60"/>
      <c r="NMQ2490" s="60"/>
      <c r="NMR2490" s="60"/>
      <c r="NMS2490" s="58"/>
      <c r="NMT2490" s="61"/>
      <c r="NMU2490" s="58"/>
      <c r="NMV2490" s="58"/>
      <c r="NMW2490" s="58"/>
      <c r="NMX2490" s="60"/>
      <c r="NMY2490" s="60"/>
      <c r="NMZ2490" s="60"/>
      <c r="NNA2490" s="58"/>
      <c r="NNB2490" s="61"/>
      <c r="NNC2490" s="58"/>
      <c r="NND2490" s="58"/>
      <c r="NNE2490" s="58"/>
      <c r="NNF2490" s="60"/>
      <c r="NNG2490" s="60"/>
      <c r="NNH2490" s="60"/>
      <c r="NNI2490" s="58"/>
      <c r="NNJ2490" s="61"/>
      <c r="NNK2490" s="58"/>
      <c r="NNL2490" s="58"/>
      <c r="NNM2490" s="58"/>
      <c r="NNN2490" s="60"/>
      <c r="NNO2490" s="60"/>
      <c r="NNP2490" s="60"/>
      <c r="NNQ2490" s="58"/>
      <c r="NNR2490" s="61"/>
      <c r="NNS2490" s="58"/>
      <c r="NNT2490" s="58"/>
      <c r="NNU2490" s="58"/>
      <c r="NNV2490" s="60"/>
      <c r="NNW2490" s="60"/>
      <c r="NNX2490" s="60"/>
      <c r="NNY2490" s="58"/>
      <c r="NNZ2490" s="61"/>
      <c r="NOA2490" s="58"/>
      <c r="NOB2490" s="58"/>
      <c r="NOC2490" s="58"/>
      <c r="NOD2490" s="60"/>
      <c r="NOE2490" s="60"/>
      <c r="NOF2490" s="60"/>
      <c r="NOG2490" s="58"/>
      <c r="NOH2490" s="61"/>
      <c r="NOI2490" s="58"/>
      <c r="NOJ2490" s="58"/>
      <c r="NOK2490" s="58"/>
      <c r="NOL2490" s="60"/>
      <c r="NOM2490" s="60"/>
      <c r="NON2490" s="60"/>
      <c r="NOO2490" s="58"/>
      <c r="NOP2490" s="61"/>
      <c r="NOQ2490" s="58"/>
      <c r="NOR2490" s="58"/>
      <c r="NOS2490" s="58"/>
      <c r="NOT2490" s="60"/>
      <c r="NOU2490" s="60"/>
      <c r="NOV2490" s="60"/>
      <c r="NOW2490" s="58"/>
      <c r="NOX2490" s="61"/>
      <c r="NOY2490" s="58"/>
      <c r="NOZ2490" s="58"/>
      <c r="NPA2490" s="58"/>
      <c r="NPB2490" s="60"/>
      <c r="NPC2490" s="60"/>
      <c r="NPD2490" s="60"/>
      <c r="NPE2490" s="58"/>
      <c r="NPF2490" s="61"/>
      <c r="NPG2490" s="58"/>
      <c r="NPH2490" s="58"/>
      <c r="NPI2490" s="58"/>
      <c r="NPJ2490" s="60"/>
      <c r="NPK2490" s="60"/>
      <c r="NPL2490" s="60"/>
      <c r="NPM2490" s="58"/>
      <c r="NPN2490" s="61"/>
      <c r="NPO2490" s="58"/>
      <c r="NPP2490" s="58"/>
      <c r="NPQ2490" s="58"/>
      <c r="NPR2490" s="60"/>
      <c r="NPS2490" s="60"/>
      <c r="NPT2490" s="60"/>
      <c r="NPU2490" s="58"/>
      <c r="NPV2490" s="61"/>
      <c r="NPW2490" s="58"/>
      <c r="NPX2490" s="58"/>
      <c r="NPY2490" s="58"/>
      <c r="NPZ2490" s="60"/>
      <c r="NQA2490" s="60"/>
      <c r="NQB2490" s="60"/>
      <c r="NQC2490" s="58"/>
      <c r="NQD2490" s="61"/>
      <c r="NQE2490" s="58"/>
      <c r="NQF2490" s="58"/>
      <c r="NQG2490" s="58"/>
      <c r="NQH2490" s="60"/>
      <c r="NQI2490" s="60"/>
      <c r="NQJ2490" s="60"/>
      <c r="NQK2490" s="58"/>
      <c r="NQL2490" s="61"/>
      <c r="NQM2490" s="58"/>
      <c r="NQN2490" s="58"/>
      <c r="NQO2490" s="58"/>
      <c r="NQP2490" s="60"/>
      <c r="NQQ2490" s="60"/>
      <c r="NQR2490" s="60"/>
      <c r="NQS2490" s="58"/>
      <c r="NQT2490" s="61"/>
      <c r="NQU2490" s="58"/>
      <c r="NQV2490" s="58"/>
      <c r="NQW2490" s="58"/>
      <c r="NQX2490" s="60"/>
      <c r="NQY2490" s="60"/>
      <c r="NQZ2490" s="60"/>
      <c r="NRA2490" s="58"/>
      <c r="NRB2490" s="61"/>
      <c r="NRC2490" s="58"/>
      <c r="NRD2490" s="58"/>
      <c r="NRE2490" s="58"/>
      <c r="NRF2490" s="60"/>
      <c r="NRG2490" s="60"/>
      <c r="NRH2490" s="60"/>
      <c r="NRI2490" s="58"/>
      <c r="NRJ2490" s="61"/>
      <c r="NRK2490" s="58"/>
      <c r="NRL2490" s="58"/>
      <c r="NRM2490" s="58"/>
      <c r="NRN2490" s="60"/>
      <c r="NRO2490" s="60"/>
      <c r="NRP2490" s="60"/>
      <c r="NRQ2490" s="58"/>
      <c r="NRR2490" s="61"/>
      <c r="NRS2490" s="58"/>
      <c r="NRT2490" s="58"/>
      <c r="NRU2490" s="58"/>
      <c r="NRV2490" s="60"/>
      <c r="NRW2490" s="60"/>
      <c r="NRX2490" s="60"/>
      <c r="NRY2490" s="58"/>
      <c r="NRZ2490" s="61"/>
      <c r="NSA2490" s="58"/>
      <c r="NSB2490" s="58"/>
      <c r="NSC2490" s="58"/>
      <c r="NSD2490" s="60"/>
      <c r="NSE2490" s="60"/>
      <c r="NSF2490" s="60"/>
      <c r="NSG2490" s="58"/>
      <c r="NSH2490" s="61"/>
      <c r="NSI2490" s="58"/>
      <c r="NSJ2490" s="58"/>
      <c r="NSK2490" s="58"/>
      <c r="NSL2490" s="60"/>
      <c r="NSM2490" s="60"/>
      <c r="NSN2490" s="60"/>
      <c r="NSO2490" s="58"/>
      <c r="NSP2490" s="61"/>
      <c r="NSQ2490" s="58"/>
      <c r="NSR2490" s="58"/>
      <c r="NSS2490" s="58"/>
      <c r="NST2490" s="60"/>
      <c r="NSU2490" s="60"/>
      <c r="NSV2490" s="60"/>
      <c r="NSW2490" s="58"/>
      <c r="NSX2490" s="61"/>
      <c r="NSY2490" s="58"/>
      <c r="NSZ2490" s="58"/>
      <c r="NTA2490" s="58"/>
      <c r="NTB2490" s="60"/>
      <c r="NTC2490" s="60"/>
      <c r="NTD2490" s="60"/>
      <c r="NTE2490" s="58"/>
      <c r="NTF2490" s="61"/>
      <c r="NTG2490" s="58"/>
      <c r="NTH2490" s="58"/>
      <c r="NTI2490" s="58"/>
      <c r="NTJ2490" s="60"/>
      <c r="NTK2490" s="60"/>
      <c r="NTL2490" s="60"/>
      <c r="NTM2490" s="58"/>
      <c r="NTN2490" s="61"/>
      <c r="NTO2490" s="58"/>
      <c r="NTP2490" s="58"/>
      <c r="NTQ2490" s="58"/>
      <c r="NTR2490" s="60"/>
      <c r="NTS2490" s="60"/>
      <c r="NTT2490" s="60"/>
      <c r="NTU2490" s="58"/>
      <c r="NTV2490" s="61"/>
      <c r="NTW2490" s="58"/>
      <c r="NTX2490" s="58"/>
      <c r="NTY2490" s="58"/>
      <c r="NTZ2490" s="60"/>
      <c r="NUA2490" s="60"/>
      <c r="NUB2490" s="60"/>
      <c r="NUC2490" s="58"/>
      <c r="NUD2490" s="61"/>
      <c r="NUE2490" s="58"/>
      <c r="NUF2490" s="58"/>
      <c r="NUG2490" s="58"/>
      <c r="NUH2490" s="60"/>
      <c r="NUI2490" s="60"/>
      <c r="NUJ2490" s="60"/>
      <c r="NUK2490" s="58"/>
      <c r="NUL2490" s="61"/>
      <c r="NUM2490" s="58"/>
      <c r="NUN2490" s="58"/>
      <c r="NUO2490" s="58"/>
      <c r="NUP2490" s="60"/>
      <c r="NUQ2490" s="60"/>
      <c r="NUR2490" s="60"/>
      <c r="NUS2490" s="58"/>
      <c r="NUT2490" s="61"/>
      <c r="NUU2490" s="58"/>
      <c r="NUV2490" s="58"/>
      <c r="NUW2490" s="58"/>
      <c r="NUX2490" s="60"/>
      <c r="NUY2490" s="60"/>
      <c r="NUZ2490" s="60"/>
      <c r="NVA2490" s="58"/>
      <c r="NVB2490" s="61"/>
      <c r="NVC2490" s="58"/>
      <c r="NVD2490" s="58"/>
      <c r="NVE2490" s="58"/>
      <c r="NVF2490" s="60"/>
      <c r="NVG2490" s="60"/>
      <c r="NVH2490" s="60"/>
      <c r="NVI2490" s="58"/>
      <c r="NVJ2490" s="61"/>
      <c r="NVK2490" s="58"/>
      <c r="NVL2490" s="58"/>
      <c r="NVM2490" s="58"/>
      <c r="NVN2490" s="60"/>
      <c r="NVO2490" s="60"/>
      <c r="NVP2490" s="60"/>
      <c r="NVQ2490" s="58"/>
      <c r="NVR2490" s="61"/>
      <c r="NVS2490" s="58"/>
      <c r="NVT2490" s="58"/>
      <c r="NVU2490" s="58"/>
      <c r="NVV2490" s="60"/>
      <c r="NVW2490" s="60"/>
      <c r="NVX2490" s="60"/>
      <c r="NVY2490" s="58"/>
      <c r="NVZ2490" s="61"/>
      <c r="NWA2490" s="58"/>
      <c r="NWB2490" s="58"/>
      <c r="NWC2490" s="58"/>
      <c r="NWD2490" s="60"/>
      <c r="NWE2490" s="60"/>
      <c r="NWF2490" s="60"/>
      <c r="NWG2490" s="58"/>
      <c r="NWH2490" s="61"/>
      <c r="NWI2490" s="58"/>
      <c r="NWJ2490" s="58"/>
      <c r="NWK2490" s="58"/>
      <c r="NWL2490" s="60"/>
      <c r="NWM2490" s="60"/>
      <c r="NWN2490" s="60"/>
      <c r="NWO2490" s="58"/>
      <c r="NWP2490" s="61"/>
      <c r="NWQ2490" s="58"/>
      <c r="NWR2490" s="58"/>
      <c r="NWS2490" s="58"/>
      <c r="NWT2490" s="60"/>
      <c r="NWU2490" s="60"/>
      <c r="NWV2490" s="60"/>
      <c r="NWW2490" s="58"/>
      <c r="NWX2490" s="61"/>
      <c r="NWY2490" s="58"/>
      <c r="NWZ2490" s="58"/>
      <c r="NXA2490" s="58"/>
      <c r="NXB2490" s="60"/>
      <c r="NXC2490" s="60"/>
      <c r="NXD2490" s="60"/>
      <c r="NXE2490" s="58"/>
      <c r="NXF2490" s="61"/>
      <c r="NXG2490" s="58"/>
      <c r="NXH2490" s="58"/>
      <c r="NXI2490" s="58"/>
      <c r="NXJ2490" s="60"/>
      <c r="NXK2490" s="60"/>
      <c r="NXL2490" s="60"/>
      <c r="NXM2490" s="58"/>
      <c r="NXN2490" s="61"/>
      <c r="NXO2490" s="58"/>
      <c r="NXP2490" s="58"/>
      <c r="NXQ2490" s="58"/>
      <c r="NXR2490" s="60"/>
      <c r="NXS2490" s="60"/>
      <c r="NXT2490" s="60"/>
      <c r="NXU2490" s="58"/>
      <c r="NXV2490" s="61"/>
      <c r="NXW2490" s="58"/>
      <c r="NXX2490" s="58"/>
      <c r="NXY2490" s="58"/>
      <c r="NXZ2490" s="60"/>
      <c r="NYA2490" s="60"/>
      <c r="NYB2490" s="60"/>
      <c r="NYC2490" s="58"/>
      <c r="NYD2490" s="61"/>
      <c r="NYE2490" s="58"/>
      <c r="NYF2490" s="58"/>
      <c r="NYG2490" s="58"/>
      <c r="NYH2490" s="60"/>
      <c r="NYI2490" s="60"/>
      <c r="NYJ2490" s="60"/>
      <c r="NYK2490" s="58"/>
      <c r="NYL2490" s="61"/>
      <c r="NYM2490" s="58"/>
      <c r="NYN2490" s="58"/>
      <c r="NYO2490" s="58"/>
      <c r="NYP2490" s="60"/>
      <c r="NYQ2490" s="60"/>
      <c r="NYR2490" s="60"/>
      <c r="NYS2490" s="58"/>
      <c r="NYT2490" s="61"/>
      <c r="NYU2490" s="58"/>
      <c r="NYV2490" s="58"/>
      <c r="NYW2490" s="58"/>
      <c r="NYX2490" s="60"/>
      <c r="NYY2490" s="60"/>
      <c r="NYZ2490" s="60"/>
      <c r="NZA2490" s="58"/>
      <c r="NZB2490" s="61"/>
      <c r="NZC2490" s="58"/>
      <c r="NZD2490" s="58"/>
      <c r="NZE2490" s="58"/>
      <c r="NZF2490" s="60"/>
      <c r="NZG2490" s="60"/>
      <c r="NZH2490" s="60"/>
      <c r="NZI2490" s="58"/>
      <c r="NZJ2490" s="61"/>
      <c r="NZK2490" s="58"/>
      <c r="NZL2490" s="58"/>
      <c r="NZM2490" s="58"/>
      <c r="NZN2490" s="60"/>
      <c r="NZO2490" s="60"/>
      <c r="NZP2490" s="60"/>
      <c r="NZQ2490" s="58"/>
      <c r="NZR2490" s="61"/>
      <c r="NZS2490" s="58"/>
      <c r="NZT2490" s="58"/>
      <c r="NZU2490" s="58"/>
      <c r="NZV2490" s="60"/>
      <c r="NZW2490" s="60"/>
      <c r="NZX2490" s="60"/>
      <c r="NZY2490" s="58"/>
      <c r="NZZ2490" s="61"/>
      <c r="OAA2490" s="58"/>
      <c r="OAB2490" s="58"/>
      <c r="OAC2490" s="58"/>
      <c r="OAD2490" s="60"/>
      <c r="OAE2490" s="60"/>
      <c r="OAF2490" s="60"/>
      <c r="OAG2490" s="58"/>
      <c r="OAH2490" s="61"/>
      <c r="OAI2490" s="58"/>
      <c r="OAJ2490" s="58"/>
      <c r="OAK2490" s="58"/>
      <c r="OAL2490" s="60"/>
      <c r="OAM2490" s="60"/>
      <c r="OAN2490" s="60"/>
      <c r="OAO2490" s="58"/>
      <c r="OAP2490" s="61"/>
      <c r="OAQ2490" s="58"/>
      <c r="OAR2490" s="58"/>
      <c r="OAS2490" s="58"/>
      <c r="OAT2490" s="60"/>
      <c r="OAU2490" s="60"/>
      <c r="OAV2490" s="60"/>
      <c r="OAW2490" s="58"/>
      <c r="OAX2490" s="61"/>
      <c r="OAY2490" s="58"/>
      <c r="OAZ2490" s="58"/>
      <c r="OBA2490" s="58"/>
      <c r="OBB2490" s="60"/>
      <c r="OBC2490" s="60"/>
      <c r="OBD2490" s="60"/>
      <c r="OBE2490" s="58"/>
      <c r="OBF2490" s="61"/>
      <c r="OBG2490" s="58"/>
      <c r="OBH2490" s="58"/>
      <c r="OBI2490" s="58"/>
      <c r="OBJ2490" s="60"/>
      <c r="OBK2490" s="60"/>
      <c r="OBL2490" s="60"/>
      <c r="OBM2490" s="58"/>
      <c r="OBN2490" s="61"/>
      <c r="OBO2490" s="58"/>
      <c r="OBP2490" s="58"/>
      <c r="OBQ2490" s="58"/>
      <c r="OBR2490" s="60"/>
      <c r="OBS2490" s="60"/>
      <c r="OBT2490" s="60"/>
      <c r="OBU2490" s="58"/>
      <c r="OBV2490" s="61"/>
      <c r="OBW2490" s="58"/>
      <c r="OBX2490" s="58"/>
      <c r="OBY2490" s="58"/>
      <c r="OBZ2490" s="60"/>
      <c r="OCA2490" s="60"/>
      <c r="OCB2490" s="60"/>
      <c r="OCC2490" s="58"/>
      <c r="OCD2490" s="61"/>
      <c r="OCE2490" s="58"/>
      <c r="OCF2490" s="58"/>
      <c r="OCG2490" s="58"/>
      <c r="OCH2490" s="60"/>
      <c r="OCI2490" s="60"/>
      <c r="OCJ2490" s="60"/>
      <c r="OCK2490" s="58"/>
      <c r="OCL2490" s="61"/>
      <c r="OCM2490" s="58"/>
      <c r="OCN2490" s="58"/>
      <c r="OCO2490" s="58"/>
      <c r="OCP2490" s="60"/>
      <c r="OCQ2490" s="60"/>
      <c r="OCR2490" s="60"/>
      <c r="OCS2490" s="58"/>
      <c r="OCT2490" s="61"/>
      <c r="OCU2490" s="58"/>
      <c r="OCV2490" s="58"/>
      <c r="OCW2490" s="58"/>
      <c r="OCX2490" s="60"/>
      <c r="OCY2490" s="60"/>
      <c r="OCZ2490" s="60"/>
      <c r="ODA2490" s="58"/>
      <c r="ODB2490" s="61"/>
      <c r="ODC2490" s="58"/>
      <c r="ODD2490" s="58"/>
      <c r="ODE2490" s="58"/>
      <c r="ODF2490" s="60"/>
      <c r="ODG2490" s="60"/>
      <c r="ODH2490" s="60"/>
      <c r="ODI2490" s="58"/>
      <c r="ODJ2490" s="61"/>
      <c r="ODK2490" s="58"/>
      <c r="ODL2490" s="58"/>
      <c r="ODM2490" s="58"/>
      <c r="ODN2490" s="60"/>
      <c r="ODO2490" s="60"/>
      <c r="ODP2490" s="60"/>
      <c r="ODQ2490" s="58"/>
      <c r="ODR2490" s="61"/>
      <c r="ODS2490" s="58"/>
      <c r="ODT2490" s="58"/>
      <c r="ODU2490" s="58"/>
      <c r="ODV2490" s="60"/>
      <c r="ODW2490" s="60"/>
      <c r="ODX2490" s="60"/>
      <c r="ODY2490" s="58"/>
      <c r="ODZ2490" s="61"/>
      <c r="OEA2490" s="58"/>
      <c r="OEB2490" s="58"/>
      <c r="OEC2490" s="58"/>
      <c r="OED2490" s="60"/>
      <c r="OEE2490" s="60"/>
      <c r="OEF2490" s="60"/>
      <c r="OEG2490" s="58"/>
      <c r="OEH2490" s="61"/>
      <c r="OEI2490" s="58"/>
      <c r="OEJ2490" s="58"/>
      <c r="OEK2490" s="58"/>
      <c r="OEL2490" s="60"/>
      <c r="OEM2490" s="60"/>
      <c r="OEN2490" s="60"/>
      <c r="OEO2490" s="58"/>
      <c r="OEP2490" s="61"/>
      <c r="OEQ2490" s="58"/>
      <c r="OER2490" s="58"/>
      <c r="OES2490" s="58"/>
      <c r="OET2490" s="60"/>
      <c r="OEU2490" s="60"/>
      <c r="OEV2490" s="60"/>
      <c r="OEW2490" s="58"/>
      <c r="OEX2490" s="61"/>
      <c r="OEY2490" s="58"/>
      <c r="OEZ2490" s="58"/>
      <c r="OFA2490" s="58"/>
      <c r="OFB2490" s="60"/>
      <c r="OFC2490" s="60"/>
      <c r="OFD2490" s="60"/>
      <c r="OFE2490" s="58"/>
      <c r="OFF2490" s="61"/>
      <c r="OFG2490" s="58"/>
      <c r="OFH2490" s="58"/>
      <c r="OFI2490" s="58"/>
      <c r="OFJ2490" s="60"/>
      <c r="OFK2490" s="60"/>
      <c r="OFL2490" s="60"/>
      <c r="OFM2490" s="58"/>
      <c r="OFN2490" s="61"/>
      <c r="OFO2490" s="58"/>
      <c r="OFP2490" s="58"/>
      <c r="OFQ2490" s="58"/>
      <c r="OFR2490" s="60"/>
      <c r="OFS2490" s="60"/>
      <c r="OFT2490" s="60"/>
      <c r="OFU2490" s="58"/>
      <c r="OFV2490" s="61"/>
      <c r="OFW2490" s="58"/>
      <c r="OFX2490" s="58"/>
      <c r="OFY2490" s="58"/>
      <c r="OFZ2490" s="60"/>
      <c r="OGA2490" s="60"/>
      <c r="OGB2490" s="60"/>
      <c r="OGC2490" s="58"/>
      <c r="OGD2490" s="61"/>
      <c r="OGE2490" s="58"/>
      <c r="OGF2490" s="58"/>
      <c r="OGG2490" s="58"/>
      <c r="OGH2490" s="60"/>
      <c r="OGI2490" s="60"/>
      <c r="OGJ2490" s="60"/>
      <c r="OGK2490" s="58"/>
      <c r="OGL2490" s="61"/>
      <c r="OGM2490" s="58"/>
      <c r="OGN2490" s="58"/>
      <c r="OGO2490" s="58"/>
      <c r="OGP2490" s="60"/>
      <c r="OGQ2490" s="60"/>
      <c r="OGR2490" s="60"/>
      <c r="OGS2490" s="58"/>
      <c r="OGT2490" s="61"/>
      <c r="OGU2490" s="58"/>
      <c r="OGV2490" s="58"/>
      <c r="OGW2490" s="58"/>
      <c r="OGX2490" s="60"/>
      <c r="OGY2490" s="60"/>
      <c r="OGZ2490" s="60"/>
      <c r="OHA2490" s="58"/>
      <c r="OHB2490" s="61"/>
      <c r="OHC2490" s="58"/>
      <c r="OHD2490" s="58"/>
      <c r="OHE2490" s="58"/>
      <c r="OHF2490" s="60"/>
      <c r="OHG2490" s="60"/>
      <c r="OHH2490" s="60"/>
      <c r="OHI2490" s="58"/>
      <c r="OHJ2490" s="61"/>
      <c r="OHK2490" s="58"/>
      <c r="OHL2490" s="58"/>
      <c r="OHM2490" s="58"/>
      <c r="OHN2490" s="60"/>
      <c r="OHO2490" s="60"/>
      <c r="OHP2490" s="60"/>
      <c r="OHQ2490" s="58"/>
      <c r="OHR2490" s="61"/>
      <c r="OHS2490" s="58"/>
      <c r="OHT2490" s="58"/>
      <c r="OHU2490" s="58"/>
      <c r="OHV2490" s="60"/>
      <c r="OHW2490" s="60"/>
      <c r="OHX2490" s="60"/>
      <c r="OHY2490" s="58"/>
      <c r="OHZ2490" s="61"/>
      <c r="OIA2490" s="58"/>
      <c r="OIB2490" s="58"/>
      <c r="OIC2490" s="58"/>
      <c r="OID2490" s="60"/>
      <c r="OIE2490" s="60"/>
      <c r="OIF2490" s="60"/>
      <c r="OIG2490" s="58"/>
      <c r="OIH2490" s="61"/>
      <c r="OII2490" s="58"/>
      <c r="OIJ2490" s="58"/>
      <c r="OIK2490" s="58"/>
      <c r="OIL2490" s="60"/>
      <c r="OIM2490" s="60"/>
      <c r="OIN2490" s="60"/>
      <c r="OIO2490" s="58"/>
      <c r="OIP2490" s="61"/>
      <c r="OIQ2490" s="58"/>
      <c r="OIR2490" s="58"/>
      <c r="OIS2490" s="58"/>
      <c r="OIT2490" s="60"/>
      <c r="OIU2490" s="60"/>
      <c r="OIV2490" s="60"/>
      <c r="OIW2490" s="58"/>
      <c r="OIX2490" s="61"/>
      <c r="OIY2490" s="58"/>
      <c r="OIZ2490" s="58"/>
      <c r="OJA2490" s="58"/>
      <c r="OJB2490" s="60"/>
      <c r="OJC2490" s="60"/>
      <c r="OJD2490" s="60"/>
      <c r="OJE2490" s="58"/>
      <c r="OJF2490" s="61"/>
      <c r="OJG2490" s="58"/>
      <c r="OJH2490" s="58"/>
      <c r="OJI2490" s="58"/>
      <c r="OJJ2490" s="60"/>
      <c r="OJK2490" s="60"/>
      <c r="OJL2490" s="60"/>
      <c r="OJM2490" s="58"/>
      <c r="OJN2490" s="61"/>
      <c r="OJO2490" s="58"/>
      <c r="OJP2490" s="58"/>
      <c r="OJQ2490" s="58"/>
      <c r="OJR2490" s="60"/>
      <c r="OJS2490" s="60"/>
      <c r="OJT2490" s="60"/>
      <c r="OJU2490" s="58"/>
      <c r="OJV2490" s="61"/>
      <c r="OJW2490" s="58"/>
      <c r="OJX2490" s="58"/>
      <c r="OJY2490" s="58"/>
      <c r="OJZ2490" s="60"/>
      <c r="OKA2490" s="60"/>
      <c r="OKB2490" s="60"/>
      <c r="OKC2490" s="58"/>
      <c r="OKD2490" s="61"/>
      <c r="OKE2490" s="58"/>
      <c r="OKF2490" s="58"/>
      <c r="OKG2490" s="58"/>
      <c r="OKH2490" s="60"/>
      <c r="OKI2490" s="60"/>
      <c r="OKJ2490" s="60"/>
      <c r="OKK2490" s="58"/>
      <c r="OKL2490" s="61"/>
      <c r="OKM2490" s="58"/>
      <c r="OKN2490" s="58"/>
      <c r="OKO2490" s="58"/>
      <c r="OKP2490" s="60"/>
      <c r="OKQ2490" s="60"/>
      <c r="OKR2490" s="60"/>
      <c r="OKS2490" s="58"/>
      <c r="OKT2490" s="61"/>
      <c r="OKU2490" s="58"/>
      <c r="OKV2490" s="58"/>
      <c r="OKW2490" s="58"/>
      <c r="OKX2490" s="60"/>
      <c r="OKY2490" s="60"/>
      <c r="OKZ2490" s="60"/>
      <c r="OLA2490" s="58"/>
      <c r="OLB2490" s="61"/>
      <c r="OLC2490" s="58"/>
      <c r="OLD2490" s="58"/>
      <c r="OLE2490" s="58"/>
      <c r="OLF2490" s="60"/>
      <c r="OLG2490" s="60"/>
      <c r="OLH2490" s="60"/>
      <c r="OLI2490" s="58"/>
      <c r="OLJ2490" s="61"/>
      <c r="OLK2490" s="58"/>
      <c r="OLL2490" s="58"/>
      <c r="OLM2490" s="58"/>
      <c r="OLN2490" s="60"/>
      <c r="OLO2490" s="60"/>
      <c r="OLP2490" s="60"/>
      <c r="OLQ2490" s="58"/>
      <c r="OLR2490" s="61"/>
      <c r="OLS2490" s="58"/>
      <c r="OLT2490" s="58"/>
      <c r="OLU2490" s="58"/>
      <c r="OLV2490" s="60"/>
      <c r="OLW2490" s="60"/>
      <c r="OLX2490" s="60"/>
      <c r="OLY2490" s="58"/>
      <c r="OLZ2490" s="61"/>
      <c r="OMA2490" s="58"/>
      <c r="OMB2490" s="58"/>
      <c r="OMC2490" s="58"/>
      <c r="OMD2490" s="60"/>
      <c r="OME2490" s="60"/>
      <c r="OMF2490" s="60"/>
      <c r="OMG2490" s="58"/>
      <c r="OMH2490" s="61"/>
      <c r="OMI2490" s="58"/>
      <c r="OMJ2490" s="58"/>
      <c r="OMK2490" s="58"/>
      <c r="OML2490" s="60"/>
      <c r="OMM2490" s="60"/>
      <c r="OMN2490" s="60"/>
      <c r="OMO2490" s="58"/>
      <c r="OMP2490" s="61"/>
      <c r="OMQ2490" s="58"/>
      <c r="OMR2490" s="58"/>
      <c r="OMS2490" s="58"/>
      <c r="OMT2490" s="60"/>
      <c r="OMU2490" s="60"/>
      <c r="OMV2490" s="60"/>
      <c r="OMW2490" s="58"/>
      <c r="OMX2490" s="61"/>
      <c r="OMY2490" s="58"/>
      <c r="OMZ2490" s="58"/>
      <c r="ONA2490" s="58"/>
      <c r="ONB2490" s="60"/>
      <c r="ONC2490" s="60"/>
      <c r="OND2490" s="60"/>
      <c r="ONE2490" s="58"/>
      <c r="ONF2490" s="61"/>
      <c r="ONG2490" s="58"/>
      <c r="ONH2490" s="58"/>
      <c r="ONI2490" s="58"/>
      <c r="ONJ2490" s="60"/>
      <c r="ONK2490" s="60"/>
      <c r="ONL2490" s="60"/>
      <c r="ONM2490" s="58"/>
      <c r="ONN2490" s="61"/>
      <c r="ONO2490" s="58"/>
      <c r="ONP2490" s="58"/>
      <c r="ONQ2490" s="58"/>
      <c r="ONR2490" s="60"/>
      <c r="ONS2490" s="60"/>
      <c r="ONT2490" s="60"/>
      <c r="ONU2490" s="58"/>
      <c r="ONV2490" s="61"/>
      <c r="ONW2490" s="58"/>
      <c r="ONX2490" s="58"/>
      <c r="ONY2490" s="58"/>
      <c r="ONZ2490" s="60"/>
      <c r="OOA2490" s="60"/>
      <c r="OOB2490" s="60"/>
      <c r="OOC2490" s="58"/>
      <c r="OOD2490" s="61"/>
      <c r="OOE2490" s="58"/>
      <c r="OOF2490" s="58"/>
      <c r="OOG2490" s="58"/>
      <c r="OOH2490" s="60"/>
      <c r="OOI2490" s="60"/>
      <c r="OOJ2490" s="60"/>
      <c r="OOK2490" s="58"/>
      <c r="OOL2490" s="61"/>
      <c r="OOM2490" s="58"/>
      <c r="OON2490" s="58"/>
      <c r="OOO2490" s="58"/>
      <c r="OOP2490" s="60"/>
      <c r="OOQ2490" s="60"/>
      <c r="OOR2490" s="60"/>
      <c r="OOS2490" s="58"/>
      <c r="OOT2490" s="61"/>
      <c r="OOU2490" s="58"/>
      <c r="OOV2490" s="58"/>
      <c r="OOW2490" s="58"/>
      <c r="OOX2490" s="60"/>
      <c r="OOY2490" s="60"/>
      <c r="OOZ2490" s="60"/>
      <c r="OPA2490" s="58"/>
      <c r="OPB2490" s="61"/>
      <c r="OPC2490" s="58"/>
      <c r="OPD2490" s="58"/>
      <c r="OPE2490" s="58"/>
      <c r="OPF2490" s="60"/>
      <c r="OPG2490" s="60"/>
      <c r="OPH2490" s="60"/>
      <c r="OPI2490" s="58"/>
      <c r="OPJ2490" s="61"/>
      <c r="OPK2490" s="58"/>
      <c r="OPL2490" s="58"/>
      <c r="OPM2490" s="58"/>
      <c r="OPN2490" s="60"/>
      <c r="OPO2490" s="60"/>
      <c r="OPP2490" s="60"/>
      <c r="OPQ2490" s="58"/>
      <c r="OPR2490" s="61"/>
      <c r="OPS2490" s="58"/>
      <c r="OPT2490" s="58"/>
      <c r="OPU2490" s="58"/>
      <c r="OPV2490" s="60"/>
      <c r="OPW2490" s="60"/>
      <c r="OPX2490" s="60"/>
      <c r="OPY2490" s="58"/>
      <c r="OPZ2490" s="61"/>
      <c r="OQA2490" s="58"/>
      <c r="OQB2490" s="58"/>
      <c r="OQC2490" s="58"/>
      <c r="OQD2490" s="60"/>
      <c r="OQE2490" s="60"/>
      <c r="OQF2490" s="60"/>
      <c r="OQG2490" s="58"/>
      <c r="OQH2490" s="61"/>
      <c r="OQI2490" s="58"/>
      <c r="OQJ2490" s="58"/>
      <c r="OQK2490" s="58"/>
      <c r="OQL2490" s="60"/>
      <c r="OQM2490" s="60"/>
      <c r="OQN2490" s="60"/>
      <c r="OQO2490" s="58"/>
      <c r="OQP2490" s="61"/>
      <c r="OQQ2490" s="58"/>
      <c r="OQR2490" s="58"/>
      <c r="OQS2490" s="58"/>
      <c r="OQT2490" s="60"/>
      <c r="OQU2490" s="60"/>
      <c r="OQV2490" s="60"/>
      <c r="OQW2490" s="58"/>
      <c r="OQX2490" s="61"/>
      <c r="OQY2490" s="58"/>
      <c r="OQZ2490" s="58"/>
      <c r="ORA2490" s="58"/>
      <c r="ORB2490" s="60"/>
      <c r="ORC2490" s="60"/>
      <c r="ORD2490" s="60"/>
      <c r="ORE2490" s="58"/>
      <c r="ORF2490" s="61"/>
      <c r="ORG2490" s="58"/>
      <c r="ORH2490" s="58"/>
      <c r="ORI2490" s="58"/>
      <c r="ORJ2490" s="60"/>
      <c r="ORK2490" s="60"/>
      <c r="ORL2490" s="60"/>
      <c r="ORM2490" s="58"/>
      <c r="ORN2490" s="61"/>
      <c r="ORO2490" s="58"/>
      <c r="ORP2490" s="58"/>
      <c r="ORQ2490" s="58"/>
      <c r="ORR2490" s="60"/>
      <c r="ORS2490" s="60"/>
      <c r="ORT2490" s="60"/>
      <c r="ORU2490" s="58"/>
      <c r="ORV2490" s="61"/>
      <c r="ORW2490" s="58"/>
      <c r="ORX2490" s="58"/>
      <c r="ORY2490" s="58"/>
      <c r="ORZ2490" s="60"/>
      <c r="OSA2490" s="60"/>
      <c r="OSB2490" s="60"/>
      <c r="OSC2490" s="58"/>
      <c r="OSD2490" s="61"/>
      <c r="OSE2490" s="58"/>
      <c r="OSF2490" s="58"/>
      <c r="OSG2490" s="58"/>
      <c r="OSH2490" s="60"/>
      <c r="OSI2490" s="60"/>
      <c r="OSJ2490" s="60"/>
      <c r="OSK2490" s="58"/>
      <c r="OSL2490" s="61"/>
      <c r="OSM2490" s="58"/>
      <c r="OSN2490" s="58"/>
      <c r="OSO2490" s="58"/>
      <c r="OSP2490" s="60"/>
      <c r="OSQ2490" s="60"/>
      <c r="OSR2490" s="60"/>
      <c r="OSS2490" s="58"/>
      <c r="OST2490" s="61"/>
      <c r="OSU2490" s="58"/>
      <c r="OSV2490" s="58"/>
      <c r="OSW2490" s="58"/>
      <c r="OSX2490" s="60"/>
      <c r="OSY2490" s="60"/>
      <c r="OSZ2490" s="60"/>
      <c r="OTA2490" s="58"/>
      <c r="OTB2490" s="61"/>
      <c r="OTC2490" s="58"/>
      <c r="OTD2490" s="58"/>
      <c r="OTE2490" s="58"/>
      <c r="OTF2490" s="60"/>
      <c r="OTG2490" s="60"/>
      <c r="OTH2490" s="60"/>
      <c r="OTI2490" s="58"/>
      <c r="OTJ2490" s="61"/>
      <c r="OTK2490" s="58"/>
      <c r="OTL2490" s="58"/>
      <c r="OTM2490" s="58"/>
      <c r="OTN2490" s="60"/>
      <c r="OTO2490" s="60"/>
      <c r="OTP2490" s="60"/>
      <c r="OTQ2490" s="58"/>
      <c r="OTR2490" s="61"/>
      <c r="OTS2490" s="58"/>
      <c r="OTT2490" s="58"/>
      <c r="OTU2490" s="58"/>
      <c r="OTV2490" s="60"/>
      <c r="OTW2490" s="60"/>
      <c r="OTX2490" s="60"/>
      <c r="OTY2490" s="58"/>
      <c r="OTZ2490" s="61"/>
      <c r="OUA2490" s="58"/>
      <c r="OUB2490" s="58"/>
      <c r="OUC2490" s="58"/>
      <c r="OUD2490" s="60"/>
      <c r="OUE2490" s="60"/>
      <c r="OUF2490" s="60"/>
      <c r="OUG2490" s="58"/>
      <c r="OUH2490" s="61"/>
      <c r="OUI2490" s="58"/>
      <c r="OUJ2490" s="58"/>
      <c r="OUK2490" s="58"/>
      <c r="OUL2490" s="60"/>
      <c r="OUM2490" s="60"/>
      <c r="OUN2490" s="60"/>
      <c r="OUO2490" s="58"/>
      <c r="OUP2490" s="61"/>
      <c r="OUQ2490" s="58"/>
      <c r="OUR2490" s="58"/>
      <c r="OUS2490" s="58"/>
      <c r="OUT2490" s="60"/>
      <c r="OUU2490" s="60"/>
      <c r="OUV2490" s="60"/>
      <c r="OUW2490" s="58"/>
      <c r="OUX2490" s="61"/>
      <c r="OUY2490" s="58"/>
      <c r="OUZ2490" s="58"/>
      <c r="OVA2490" s="58"/>
      <c r="OVB2490" s="60"/>
      <c r="OVC2490" s="60"/>
      <c r="OVD2490" s="60"/>
      <c r="OVE2490" s="58"/>
      <c r="OVF2490" s="61"/>
      <c r="OVG2490" s="58"/>
      <c r="OVH2490" s="58"/>
      <c r="OVI2490" s="58"/>
      <c r="OVJ2490" s="60"/>
      <c r="OVK2490" s="60"/>
      <c r="OVL2490" s="60"/>
      <c r="OVM2490" s="58"/>
      <c r="OVN2490" s="61"/>
      <c r="OVO2490" s="58"/>
      <c r="OVP2490" s="58"/>
      <c r="OVQ2490" s="58"/>
      <c r="OVR2490" s="60"/>
      <c r="OVS2490" s="60"/>
      <c r="OVT2490" s="60"/>
      <c r="OVU2490" s="58"/>
      <c r="OVV2490" s="61"/>
      <c r="OVW2490" s="58"/>
      <c r="OVX2490" s="58"/>
      <c r="OVY2490" s="58"/>
      <c r="OVZ2490" s="60"/>
      <c r="OWA2490" s="60"/>
      <c r="OWB2490" s="60"/>
      <c r="OWC2490" s="58"/>
      <c r="OWD2490" s="61"/>
      <c r="OWE2490" s="58"/>
      <c r="OWF2490" s="58"/>
      <c r="OWG2490" s="58"/>
      <c r="OWH2490" s="60"/>
      <c r="OWI2490" s="60"/>
      <c r="OWJ2490" s="60"/>
      <c r="OWK2490" s="58"/>
      <c r="OWL2490" s="61"/>
      <c r="OWM2490" s="58"/>
      <c r="OWN2490" s="58"/>
      <c r="OWO2490" s="58"/>
      <c r="OWP2490" s="60"/>
      <c r="OWQ2490" s="60"/>
      <c r="OWR2490" s="60"/>
      <c r="OWS2490" s="58"/>
      <c r="OWT2490" s="61"/>
      <c r="OWU2490" s="58"/>
      <c r="OWV2490" s="58"/>
      <c r="OWW2490" s="58"/>
      <c r="OWX2490" s="60"/>
      <c r="OWY2490" s="60"/>
      <c r="OWZ2490" s="60"/>
      <c r="OXA2490" s="58"/>
      <c r="OXB2490" s="61"/>
      <c r="OXC2490" s="58"/>
      <c r="OXD2490" s="58"/>
      <c r="OXE2490" s="58"/>
      <c r="OXF2490" s="60"/>
      <c r="OXG2490" s="60"/>
      <c r="OXH2490" s="60"/>
      <c r="OXI2490" s="58"/>
      <c r="OXJ2490" s="61"/>
      <c r="OXK2490" s="58"/>
      <c r="OXL2490" s="58"/>
      <c r="OXM2490" s="58"/>
      <c r="OXN2490" s="60"/>
      <c r="OXO2490" s="60"/>
      <c r="OXP2490" s="60"/>
      <c r="OXQ2490" s="58"/>
      <c r="OXR2490" s="61"/>
      <c r="OXS2490" s="58"/>
      <c r="OXT2490" s="58"/>
      <c r="OXU2490" s="58"/>
      <c r="OXV2490" s="60"/>
      <c r="OXW2490" s="60"/>
      <c r="OXX2490" s="60"/>
      <c r="OXY2490" s="58"/>
      <c r="OXZ2490" s="61"/>
      <c r="OYA2490" s="58"/>
      <c r="OYB2490" s="58"/>
      <c r="OYC2490" s="58"/>
      <c r="OYD2490" s="60"/>
      <c r="OYE2490" s="60"/>
      <c r="OYF2490" s="60"/>
      <c r="OYG2490" s="58"/>
      <c r="OYH2490" s="61"/>
      <c r="OYI2490" s="58"/>
      <c r="OYJ2490" s="58"/>
      <c r="OYK2490" s="58"/>
      <c r="OYL2490" s="60"/>
      <c r="OYM2490" s="60"/>
      <c r="OYN2490" s="60"/>
      <c r="OYO2490" s="58"/>
      <c r="OYP2490" s="61"/>
      <c r="OYQ2490" s="58"/>
      <c r="OYR2490" s="58"/>
      <c r="OYS2490" s="58"/>
      <c r="OYT2490" s="60"/>
      <c r="OYU2490" s="60"/>
      <c r="OYV2490" s="60"/>
      <c r="OYW2490" s="58"/>
      <c r="OYX2490" s="61"/>
      <c r="OYY2490" s="58"/>
      <c r="OYZ2490" s="58"/>
      <c r="OZA2490" s="58"/>
      <c r="OZB2490" s="60"/>
      <c r="OZC2490" s="60"/>
      <c r="OZD2490" s="60"/>
      <c r="OZE2490" s="58"/>
      <c r="OZF2490" s="61"/>
      <c r="OZG2490" s="58"/>
      <c r="OZH2490" s="58"/>
      <c r="OZI2490" s="58"/>
      <c r="OZJ2490" s="60"/>
      <c r="OZK2490" s="60"/>
      <c r="OZL2490" s="60"/>
      <c r="OZM2490" s="58"/>
      <c r="OZN2490" s="61"/>
      <c r="OZO2490" s="58"/>
      <c r="OZP2490" s="58"/>
      <c r="OZQ2490" s="58"/>
      <c r="OZR2490" s="60"/>
      <c r="OZS2490" s="60"/>
      <c r="OZT2490" s="60"/>
      <c r="OZU2490" s="58"/>
      <c r="OZV2490" s="61"/>
      <c r="OZW2490" s="58"/>
      <c r="OZX2490" s="58"/>
      <c r="OZY2490" s="58"/>
      <c r="OZZ2490" s="60"/>
      <c r="PAA2490" s="60"/>
      <c r="PAB2490" s="60"/>
      <c r="PAC2490" s="58"/>
      <c r="PAD2490" s="61"/>
      <c r="PAE2490" s="58"/>
      <c r="PAF2490" s="58"/>
      <c r="PAG2490" s="58"/>
      <c r="PAH2490" s="60"/>
      <c r="PAI2490" s="60"/>
      <c r="PAJ2490" s="60"/>
      <c r="PAK2490" s="58"/>
      <c r="PAL2490" s="61"/>
      <c r="PAM2490" s="58"/>
      <c r="PAN2490" s="58"/>
      <c r="PAO2490" s="58"/>
      <c r="PAP2490" s="60"/>
      <c r="PAQ2490" s="60"/>
      <c r="PAR2490" s="60"/>
      <c r="PAS2490" s="58"/>
      <c r="PAT2490" s="61"/>
      <c r="PAU2490" s="58"/>
      <c r="PAV2490" s="58"/>
      <c r="PAW2490" s="58"/>
      <c r="PAX2490" s="60"/>
      <c r="PAY2490" s="60"/>
      <c r="PAZ2490" s="60"/>
      <c r="PBA2490" s="58"/>
      <c r="PBB2490" s="61"/>
      <c r="PBC2490" s="58"/>
      <c r="PBD2490" s="58"/>
      <c r="PBE2490" s="58"/>
      <c r="PBF2490" s="60"/>
      <c r="PBG2490" s="60"/>
      <c r="PBH2490" s="60"/>
      <c r="PBI2490" s="58"/>
      <c r="PBJ2490" s="61"/>
      <c r="PBK2490" s="58"/>
      <c r="PBL2490" s="58"/>
      <c r="PBM2490" s="58"/>
      <c r="PBN2490" s="60"/>
      <c r="PBO2490" s="60"/>
      <c r="PBP2490" s="60"/>
      <c r="PBQ2490" s="58"/>
      <c r="PBR2490" s="61"/>
      <c r="PBS2490" s="58"/>
      <c r="PBT2490" s="58"/>
      <c r="PBU2490" s="58"/>
      <c r="PBV2490" s="60"/>
      <c r="PBW2490" s="60"/>
      <c r="PBX2490" s="60"/>
      <c r="PBY2490" s="58"/>
      <c r="PBZ2490" s="61"/>
      <c r="PCA2490" s="58"/>
      <c r="PCB2490" s="58"/>
      <c r="PCC2490" s="58"/>
      <c r="PCD2490" s="60"/>
      <c r="PCE2490" s="60"/>
      <c r="PCF2490" s="60"/>
      <c r="PCG2490" s="58"/>
      <c r="PCH2490" s="61"/>
      <c r="PCI2490" s="58"/>
      <c r="PCJ2490" s="58"/>
      <c r="PCK2490" s="58"/>
      <c r="PCL2490" s="60"/>
      <c r="PCM2490" s="60"/>
      <c r="PCN2490" s="60"/>
      <c r="PCO2490" s="58"/>
      <c r="PCP2490" s="61"/>
      <c r="PCQ2490" s="58"/>
      <c r="PCR2490" s="58"/>
      <c r="PCS2490" s="58"/>
      <c r="PCT2490" s="60"/>
      <c r="PCU2490" s="60"/>
      <c r="PCV2490" s="60"/>
      <c r="PCW2490" s="58"/>
      <c r="PCX2490" s="61"/>
      <c r="PCY2490" s="58"/>
      <c r="PCZ2490" s="58"/>
      <c r="PDA2490" s="58"/>
      <c r="PDB2490" s="60"/>
      <c r="PDC2490" s="60"/>
      <c r="PDD2490" s="60"/>
      <c r="PDE2490" s="58"/>
      <c r="PDF2490" s="61"/>
      <c r="PDG2490" s="58"/>
      <c r="PDH2490" s="58"/>
      <c r="PDI2490" s="58"/>
      <c r="PDJ2490" s="60"/>
      <c r="PDK2490" s="60"/>
      <c r="PDL2490" s="60"/>
      <c r="PDM2490" s="58"/>
      <c r="PDN2490" s="61"/>
      <c r="PDO2490" s="58"/>
      <c r="PDP2490" s="58"/>
      <c r="PDQ2490" s="58"/>
      <c r="PDR2490" s="60"/>
      <c r="PDS2490" s="60"/>
      <c r="PDT2490" s="60"/>
      <c r="PDU2490" s="58"/>
      <c r="PDV2490" s="61"/>
      <c r="PDW2490" s="58"/>
      <c r="PDX2490" s="58"/>
      <c r="PDY2490" s="58"/>
      <c r="PDZ2490" s="60"/>
      <c r="PEA2490" s="60"/>
      <c r="PEB2490" s="60"/>
      <c r="PEC2490" s="58"/>
      <c r="PED2490" s="61"/>
      <c r="PEE2490" s="58"/>
      <c r="PEF2490" s="58"/>
      <c r="PEG2490" s="58"/>
      <c r="PEH2490" s="60"/>
      <c r="PEI2490" s="60"/>
      <c r="PEJ2490" s="60"/>
      <c r="PEK2490" s="58"/>
      <c r="PEL2490" s="61"/>
      <c r="PEM2490" s="58"/>
      <c r="PEN2490" s="58"/>
      <c r="PEO2490" s="58"/>
      <c r="PEP2490" s="60"/>
      <c r="PEQ2490" s="60"/>
      <c r="PER2490" s="60"/>
      <c r="PES2490" s="58"/>
      <c r="PET2490" s="61"/>
      <c r="PEU2490" s="58"/>
      <c r="PEV2490" s="58"/>
      <c r="PEW2490" s="58"/>
      <c r="PEX2490" s="60"/>
      <c r="PEY2490" s="60"/>
      <c r="PEZ2490" s="60"/>
      <c r="PFA2490" s="58"/>
      <c r="PFB2490" s="61"/>
      <c r="PFC2490" s="58"/>
      <c r="PFD2490" s="58"/>
      <c r="PFE2490" s="58"/>
      <c r="PFF2490" s="60"/>
      <c r="PFG2490" s="60"/>
      <c r="PFH2490" s="60"/>
      <c r="PFI2490" s="58"/>
      <c r="PFJ2490" s="61"/>
      <c r="PFK2490" s="58"/>
      <c r="PFL2490" s="58"/>
      <c r="PFM2490" s="58"/>
      <c r="PFN2490" s="60"/>
      <c r="PFO2490" s="60"/>
      <c r="PFP2490" s="60"/>
      <c r="PFQ2490" s="58"/>
      <c r="PFR2490" s="61"/>
      <c r="PFS2490" s="58"/>
      <c r="PFT2490" s="58"/>
      <c r="PFU2490" s="58"/>
      <c r="PFV2490" s="60"/>
      <c r="PFW2490" s="60"/>
      <c r="PFX2490" s="60"/>
      <c r="PFY2490" s="58"/>
      <c r="PFZ2490" s="61"/>
      <c r="PGA2490" s="58"/>
      <c r="PGB2490" s="58"/>
      <c r="PGC2490" s="58"/>
      <c r="PGD2490" s="60"/>
      <c r="PGE2490" s="60"/>
      <c r="PGF2490" s="60"/>
      <c r="PGG2490" s="58"/>
      <c r="PGH2490" s="61"/>
      <c r="PGI2490" s="58"/>
      <c r="PGJ2490" s="58"/>
      <c r="PGK2490" s="58"/>
      <c r="PGL2490" s="60"/>
      <c r="PGM2490" s="60"/>
      <c r="PGN2490" s="60"/>
      <c r="PGO2490" s="58"/>
      <c r="PGP2490" s="61"/>
      <c r="PGQ2490" s="58"/>
      <c r="PGR2490" s="58"/>
      <c r="PGS2490" s="58"/>
      <c r="PGT2490" s="60"/>
      <c r="PGU2490" s="60"/>
      <c r="PGV2490" s="60"/>
      <c r="PGW2490" s="58"/>
      <c r="PGX2490" s="61"/>
      <c r="PGY2490" s="58"/>
      <c r="PGZ2490" s="58"/>
      <c r="PHA2490" s="58"/>
      <c r="PHB2490" s="60"/>
      <c r="PHC2490" s="60"/>
      <c r="PHD2490" s="60"/>
      <c r="PHE2490" s="58"/>
      <c r="PHF2490" s="61"/>
      <c r="PHG2490" s="58"/>
      <c r="PHH2490" s="58"/>
      <c r="PHI2490" s="58"/>
      <c r="PHJ2490" s="60"/>
      <c r="PHK2490" s="60"/>
      <c r="PHL2490" s="60"/>
      <c r="PHM2490" s="58"/>
      <c r="PHN2490" s="61"/>
      <c r="PHO2490" s="58"/>
      <c r="PHP2490" s="58"/>
      <c r="PHQ2490" s="58"/>
      <c r="PHR2490" s="60"/>
      <c r="PHS2490" s="60"/>
      <c r="PHT2490" s="60"/>
      <c r="PHU2490" s="58"/>
      <c r="PHV2490" s="61"/>
      <c r="PHW2490" s="58"/>
      <c r="PHX2490" s="58"/>
      <c r="PHY2490" s="58"/>
      <c r="PHZ2490" s="60"/>
      <c r="PIA2490" s="60"/>
      <c r="PIB2490" s="60"/>
      <c r="PIC2490" s="58"/>
      <c r="PID2490" s="61"/>
      <c r="PIE2490" s="58"/>
      <c r="PIF2490" s="58"/>
      <c r="PIG2490" s="58"/>
      <c r="PIH2490" s="60"/>
      <c r="PII2490" s="60"/>
      <c r="PIJ2490" s="60"/>
      <c r="PIK2490" s="58"/>
      <c r="PIL2490" s="61"/>
      <c r="PIM2490" s="58"/>
      <c r="PIN2490" s="58"/>
      <c r="PIO2490" s="58"/>
      <c r="PIP2490" s="60"/>
      <c r="PIQ2490" s="60"/>
      <c r="PIR2490" s="60"/>
      <c r="PIS2490" s="58"/>
      <c r="PIT2490" s="61"/>
      <c r="PIU2490" s="58"/>
      <c r="PIV2490" s="58"/>
      <c r="PIW2490" s="58"/>
      <c r="PIX2490" s="60"/>
      <c r="PIY2490" s="60"/>
      <c r="PIZ2490" s="60"/>
      <c r="PJA2490" s="58"/>
      <c r="PJB2490" s="61"/>
      <c r="PJC2490" s="58"/>
      <c r="PJD2490" s="58"/>
      <c r="PJE2490" s="58"/>
      <c r="PJF2490" s="60"/>
      <c r="PJG2490" s="60"/>
      <c r="PJH2490" s="60"/>
      <c r="PJI2490" s="58"/>
      <c r="PJJ2490" s="61"/>
      <c r="PJK2490" s="58"/>
      <c r="PJL2490" s="58"/>
      <c r="PJM2490" s="58"/>
      <c r="PJN2490" s="60"/>
      <c r="PJO2490" s="60"/>
      <c r="PJP2490" s="60"/>
      <c r="PJQ2490" s="58"/>
      <c r="PJR2490" s="61"/>
      <c r="PJS2490" s="58"/>
      <c r="PJT2490" s="58"/>
      <c r="PJU2490" s="58"/>
      <c r="PJV2490" s="60"/>
      <c r="PJW2490" s="60"/>
      <c r="PJX2490" s="60"/>
      <c r="PJY2490" s="58"/>
      <c r="PJZ2490" s="61"/>
      <c r="PKA2490" s="58"/>
      <c r="PKB2490" s="58"/>
      <c r="PKC2490" s="58"/>
      <c r="PKD2490" s="60"/>
      <c r="PKE2490" s="60"/>
      <c r="PKF2490" s="60"/>
      <c r="PKG2490" s="58"/>
      <c r="PKH2490" s="61"/>
      <c r="PKI2490" s="58"/>
      <c r="PKJ2490" s="58"/>
      <c r="PKK2490" s="58"/>
      <c r="PKL2490" s="60"/>
      <c r="PKM2490" s="60"/>
      <c r="PKN2490" s="60"/>
      <c r="PKO2490" s="58"/>
      <c r="PKP2490" s="61"/>
      <c r="PKQ2490" s="58"/>
      <c r="PKR2490" s="58"/>
      <c r="PKS2490" s="58"/>
      <c r="PKT2490" s="60"/>
      <c r="PKU2490" s="60"/>
      <c r="PKV2490" s="60"/>
      <c r="PKW2490" s="58"/>
      <c r="PKX2490" s="61"/>
      <c r="PKY2490" s="58"/>
      <c r="PKZ2490" s="58"/>
      <c r="PLA2490" s="58"/>
      <c r="PLB2490" s="60"/>
      <c r="PLC2490" s="60"/>
      <c r="PLD2490" s="60"/>
      <c r="PLE2490" s="58"/>
      <c r="PLF2490" s="61"/>
      <c r="PLG2490" s="58"/>
      <c r="PLH2490" s="58"/>
      <c r="PLI2490" s="58"/>
      <c r="PLJ2490" s="60"/>
      <c r="PLK2490" s="60"/>
      <c r="PLL2490" s="60"/>
      <c r="PLM2490" s="58"/>
      <c r="PLN2490" s="61"/>
      <c r="PLO2490" s="58"/>
      <c r="PLP2490" s="58"/>
      <c r="PLQ2490" s="58"/>
      <c r="PLR2490" s="60"/>
      <c r="PLS2490" s="60"/>
      <c r="PLT2490" s="60"/>
      <c r="PLU2490" s="58"/>
      <c r="PLV2490" s="61"/>
      <c r="PLW2490" s="58"/>
      <c r="PLX2490" s="58"/>
      <c r="PLY2490" s="58"/>
      <c r="PLZ2490" s="60"/>
      <c r="PMA2490" s="60"/>
      <c r="PMB2490" s="60"/>
      <c r="PMC2490" s="58"/>
      <c r="PMD2490" s="61"/>
      <c r="PME2490" s="58"/>
      <c r="PMF2490" s="58"/>
      <c r="PMG2490" s="58"/>
      <c r="PMH2490" s="60"/>
      <c r="PMI2490" s="60"/>
      <c r="PMJ2490" s="60"/>
      <c r="PMK2490" s="58"/>
      <c r="PML2490" s="61"/>
      <c r="PMM2490" s="58"/>
      <c r="PMN2490" s="58"/>
      <c r="PMO2490" s="58"/>
      <c r="PMP2490" s="60"/>
      <c r="PMQ2490" s="60"/>
      <c r="PMR2490" s="60"/>
      <c r="PMS2490" s="58"/>
      <c r="PMT2490" s="61"/>
      <c r="PMU2490" s="58"/>
      <c r="PMV2490" s="58"/>
      <c r="PMW2490" s="58"/>
      <c r="PMX2490" s="60"/>
      <c r="PMY2490" s="60"/>
      <c r="PMZ2490" s="60"/>
      <c r="PNA2490" s="58"/>
      <c r="PNB2490" s="61"/>
      <c r="PNC2490" s="58"/>
      <c r="PND2490" s="58"/>
      <c r="PNE2490" s="58"/>
      <c r="PNF2490" s="60"/>
      <c r="PNG2490" s="60"/>
      <c r="PNH2490" s="60"/>
      <c r="PNI2490" s="58"/>
      <c r="PNJ2490" s="61"/>
      <c r="PNK2490" s="58"/>
      <c r="PNL2490" s="58"/>
      <c r="PNM2490" s="58"/>
      <c r="PNN2490" s="60"/>
      <c r="PNO2490" s="60"/>
      <c r="PNP2490" s="60"/>
      <c r="PNQ2490" s="58"/>
      <c r="PNR2490" s="61"/>
      <c r="PNS2490" s="58"/>
      <c r="PNT2490" s="58"/>
      <c r="PNU2490" s="58"/>
      <c r="PNV2490" s="60"/>
      <c r="PNW2490" s="60"/>
      <c r="PNX2490" s="60"/>
      <c r="PNY2490" s="58"/>
      <c r="PNZ2490" s="61"/>
      <c r="POA2490" s="58"/>
      <c r="POB2490" s="58"/>
      <c r="POC2490" s="58"/>
      <c r="POD2490" s="60"/>
      <c r="POE2490" s="60"/>
      <c r="POF2490" s="60"/>
      <c r="POG2490" s="58"/>
      <c r="POH2490" s="61"/>
      <c r="POI2490" s="58"/>
      <c r="POJ2490" s="58"/>
      <c r="POK2490" s="58"/>
      <c r="POL2490" s="60"/>
      <c r="POM2490" s="60"/>
      <c r="PON2490" s="60"/>
      <c r="POO2490" s="58"/>
      <c r="POP2490" s="61"/>
      <c r="POQ2490" s="58"/>
      <c r="POR2490" s="58"/>
      <c r="POS2490" s="58"/>
      <c r="POT2490" s="60"/>
      <c r="POU2490" s="60"/>
      <c r="POV2490" s="60"/>
      <c r="POW2490" s="58"/>
      <c r="POX2490" s="61"/>
      <c r="POY2490" s="58"/>
      <c r="POZ2490" s="58"/>
      <c r="PPA2490" s="58"/>
      <c r="PPB2490" s="60"/>
      <c r="PPC2490" s="60"/>
      <c r="PPD2490" s="60"/>
      <c r="PPE2490" s="58"/>
      <c r="PPF2490" s="61"/>
      <c r="PPG2490" s="58"/>
      <c r="PPH2490" s="58"/>
      <c r="PPI2490" s="58"/>
      <c r="PPJ2490" s="60"/>
      <c r="PPK2490" s="60"/>
      <c r="PPL2490" s="60"/>
      <c r="PPM2490" s="58"/>
      <c r="PPN2490" s="61"/>
      <c r="PPO2490" s="58"/>
      <c r="PPP2490" s="58"/>
      <c r="PPQ2490" s="58"/>
      <c r="PPR2490" s="60"/>
      <c r="PPS2490" s="60"/>
      <c r="PPT2490" s="60"/>
      <c r="PPU2490" s="58"/>
      <c r="PPV2490" s="61"/>
      <c r="PPW2490" s="58"/>
      <c r="PPX2490" s="58"/>
      <c r="PPY2490" s="58"/>
      <c r="PPZ2490" s="60"/>
      <c r="PQA2490" s="60"/>
      <c r="PQB2490" s="60"/>
      <c r="PQC2490" s="58"/>
      <c r="PQD2490" s="61"/>
      <c r="PQE2490" s="58"/>
      <c r="PQF2490" s="58"/>
      <c r="PQG2490" s="58"/>
      <c r="PQH2490" s="60"/>
      <c r="PQI2490" s="60"/>
      <c r="PQJ2490" s="60"/>
      <c r="PQK2490" s="58"/>
      <c r="PQL2490" s="61"/>
      <c r="PQM2490" s="58"/>
      <c r="PQN2490" s="58"/>
      <c r="PQO2490" s="58"/>
      <c r="PQP2490" s="60"/>
      <c r="PQQ2490" s="60"/>
      <c r="PQR2490" s="60"/>
      <c r="PQS2490" s="58"/>
      <c r="PQT2490" s="61"/>
      <c r="PQU2490" s="58"/>
      <c r="PQV2490" s="58"/>
      <c r="PQW2490" s="58"/>
      <c r="PQX2490" s="60"/>
      <c r="PQY2490" s="60"/>
      <c r="PQZ2490" s="60"/>
      <c r="PRA2490" s="58"/>
      <c r="PRB2490" s="61"/>
      <c r="PRC2490" s="58"/>
      <c r="PRD2490" s="58"/>
      <c r="PRE2490" s="58"/>
      <c r="PRF2490" s="60"/>
      <c r="PRG2490" s="60"/>
      <c r="PRH2490" s="60"/>
      <c r="PRI2490" s="58"/>
      <c r="PRJ2490" s="61"/>
      <c r="PRK2490" s="58"/>
      <c r="PRL2490" s="58"/>
      <c r="PRM2490" s="58"/>
      <c r="PRN2490" s="60"/>
      <c r="PRO2490" s="60"/>
      <c r="PRP2490" s="60"/>
      <c r="PRQ2490" s="58"/>
      <c r="PRR2490" s="61"/>
      <c r="PRS2490" s="58"/>
      <c r="PRT2490" s="58"/>
      <c r="PRU2490" s="58"/>
      <c r="PRV2490" s="60"/>
      <c r="PRW2490" s="60"/>
      <c r="PRX2490" s="60"/>
      <c r="PRY2490" s="58"/>
      <c r="PRZ2490" s="61"/>
      <c r="PSA2490" s="58"/>
      <c r="PSB2490" s="58"/>
      <c r="PSC2490" s="58"/>
      <c r="PSD2490" s="60"/>
      <c r="PSE2490" s="60"/>
      <c r="PSF2490" s="60"/>
      <c r="PSG2490" s="58"/>
      <c r="PSH2490" s="61"/>
      <c r="PSI2490" s="58"/>
      <c r="PSJ2490" s="58"/>
      <c r="PSK2490" s="58"/>
      <c r="PSL2490" s="60"/>
      <c r="PSM2490" s="60"/>
      <c r="PSN2490" s="60"/>
      <c r="PSO2490" s="58"/>
      <c r="PSP2490" s="61"/>
      <c r="PSQ2490" s="58"/>
      <c r="PSR2490" s="58"/>
      <c r="PSS2490" s="58"/>
      <c r="PST2490" s="60"/>
      <c r="PSU2490" s="60"/>
      <c r="PSV2490" s="60"/>
      <c r="PSW2490" s="58"/>
      <c r="PSX2490" s="61"/>
      <c r="PSY2490" s="58"/>
      <c r="PSZ2490" s="58"/>
      <c r="PTA2490" s="58"/>
      <c r="PTB2490" s="60"/>
      <c r="PTC2490" s="60"/>
      <c r="PTD2490" s="60"/>
      <c r="PTE2490" s="58"/>
      <c r="PTF2490" s="61"/>
      <c r="PTG2490" s="58"/>
      <c r="PTH2490" s="58"/>
      <c r="PTI2490" s="58"/>
      <c r="PTJ2490" s="60"/>
      <c r="PTK2490" s="60"/>
      <c r="PTL2490" s="60"/>
      <c r="PTM2490" s="58"/>
      <c r="PTN2490" s="61"/>
      <c r="PTO2490" s="58"/>
      <c r="PTP2490" s="58"/>
      <c r="PTQ2490" s="58"/>
      <c r="PTR2490" s="60"/>
      <c r="PTS2490" s="60"/>
      <c r="PTT2490" s="60"/>
      <c r="PTU2490" s="58"/>
      <c r="PTV2490" s="61"/>
      <c r="PTW2490" s="58"/>
      <c r="PTX2490" s="58"/>
      <c r="PTY2490" s="58"/>
      <c r="PTZ2490" s="60"/>
      <c r="PUA2490" s="60"/>
      <c r="PUB2490" s="60"/>
      <c r="PUC2490" s="58"/>
      <c r="PUD2490" s="61"/>
      <c r="PUE2490" s="58"/>
      <c r="PUF2490" s="58"/>
      <c r="PUG2490" s="58"/>
      <c r="PUH2490" s="60"/>
      <c r="PUI2490" s="60"/>
      <c r="PUJ2490" s="60"/>
      <c r="PUK2490" s="58"/>
      <c r="PUL2490" s="61"/>
      <c r="PUM2490" s="58"/>
      <c r="PUN2490" s="58"/>
      <c r="PUO2490" s="58"/>
      <c r="PUP2490" s="60"/>
      <c r="PUQ2490" s="60"/>
      <c r="PUR2490" s="60"/>
      <c r="PUS2490" s="58"/>
      <c r="PUT2490" s="61"/>
      <c r="PUU2490" s="58"/>
      <c r="PUV2490" s="58"/>
      <c r="PUW2490" s="58"/>
      <c r="PUX2490" s="60"/>
      <c r="PUY2490" s="60"/>
      <c r="PUZ2490" s="60"/>
      <c r="PVA2490" s="58"/>
      <c r="PVB2490" s="61"/>
      <c r="PVC2490" s="58"/>
      <c r="PVD2490" s="58"/>
      <c r="PVE2490" s="58"/>
      <c r="PVF2490" s="60"/>
      <c r="PVG2490" s="60"/>
      <c r="PVH2490" s="60"/>
      <c r="PVI2490" s="58"/>
      <c r="PVJ2490" s="61"/>
      <c r="PVK2490" s="58"/>
      <c r="PVL2490" s="58"/>
      <c r="PVM2490" s="58"/>
      <c r="PVN2490" s="60"/>
      <c r="PVO2490" s="60"/>
      <c r="PVP2490" s="60"/>
      <c r="PVQ2490" s="58"/>
      <c r="PVR2490" s="61"/>
      <c r="PVS2490" s="58"/>
      <c r="PVT2490" s="58"/>
      <c r="PVU2490" s="58"/>
      <c r="PVV2490" s="60"/>
      <c r="PVW2490" s="60"/>
      <c r="PVX2490" s="60"/>
      <c r="PVY2490" s="58"/>
      <c r="PVZ2490" s="61"/>
      <c r="PWA2490" s="58"/>
      <c r="PWB2490" s="58"/>
      <c r="PWC2490" s="58"/>
      <c r="PWD2490" s="60"/>
      <c r="PWE2490" s="60"/>
      <c r="PWF2490" s="60"/>
      <c r="PWG2490" s="58"/>
      <c r="PWH2490" s="61"/>
      <c r="PWI2490" s="58"/>
      <c r="PWJ2490" s="58"/>
      <c r="PWK2490" s="58"/>
      <c r="PWL2490" s="60"/>
      <c r="PWM2490" s="60"/>
      <c r="PWN2490" s="60"/>
      <c r="PWO2490" s="58"/>
      <c r="PWP2490" s="61"/>
      <c r="PWQ2490" s="58"/>
      <c r="PWR2490" s="58"/>
      <c r="PWS2490" s="58"/>
      <c r="PWT2490" s="60"/>
      <c r="PWU2490" s="60"/>
      <c r="PWV2490" s="60"/>
      <c r="PWW2490" s="58"/>
      <c r="PWX2490" s="61"/>
      <c r="PWY2490" s="58"/>
      <c r="PWZ2490" s="58"/>
      <c r="PXA2490" s="58"/>
      <c r="PXB2490" s="60"/>
      <c r="PXC2490" s="60"/>
      <c r="PXD2490" s="60"/>
      <c r="PXE2490" s="58"/>
      <c r="PXF2490" s="61"/>
      <c r="PXG2490" s="58"/>
      <c r="PXH2490" s="58"/>
      <c r="PXI2490" s="58"/>
      <c r="PXJ2490" s="60"/>
      <c r="PXK2490" s="60"/>
      <c r="PXL2490" s="60"/>
      <c r="PXM2490" s="58"/>
      <c r="PXN2490" s="61"/>
      <c r="PXO2490" s="58"/>
      <c r="PXP2490" s="58"/>
      <c r="PXQ2490" s="58"/>
      <c r="PXR2490" s="60"/>
      <c r="PXS2490" s="60"/>
      <c r="PXT2490" s="60"/>
      <c r="PXU2490" s="58"/>
      <c r="PXV2490" s="61"/>
      <c r="PXW2490" s="58"/>
      <c r="PXX2490" s="58"/>
      <c r="PXY2490" s="58"/>
      <c r="PXZ2490" s="60"/>
      <c r="PYA2490" s="60"/>
      <c r="PYB2490" s="60"/>
      <c r="PYC2490" s="58"/>
      <c r="PYD2490" s="61"/>
      <c r="PYE2490" s="58"/>
      <c r="PYF2490" s="58"/>
      <c r="PYG2490" s="58"/>
      <c r="PYH2490" s="60"/>
      <c r="PYI2490" s="60"/>
      <c r="PYJ2490" s="60"/>
      <c r="PYK2490" s="58"/>
      <c r="PYL2490" s="61"/>
      <c r="PYM2490" s="58"/>
      <c r="PYN2490" s="58"/>
      <c r="PYO2490" s="58"/>
      <c r="PYP2490" s="60"/>
      <c r="PYQ2490" s="60"/>
      <c r="PYR2490" s="60"/>
      <c r="PYS2490" s="58"/>
      <c r="PYT2490" s="61"/>
      <c r="PYU2490" s="58"/>
      <c r="PYV2490" s="58"/>
      <c r="PYW2490" s="58"/>
      <c r="PYX2490" s="60"/>
      <c r="PYY2490" s="60"/>
      <c r="PYZ2490" s="60"/>
      <c r="PZA2490" s="58"/>
      <c r="PZB2490" s="61"/>
      <c r="PZC2490" s="58"/>
      <c r="PZD2490" s="58"/>
      <c r="PZE2490" s="58"/>
      <c r="PZF2490" s="60"/>
      <c r="PZG2490" s="60"/>
      <c r="PZH2490" s="60"/>
      <c r="PZI2490" s="58"/>
      <c r="PZJ2490" s="61"/>
      <c r="PZK2490" s="58"/>
      <c r="PZL2490" s="58"/>
      <c r="PZM2490" s="58"/>
      <c r="PZN2490" s="60"/>
      <c r="PZO2490" s="60"/>
      <c r="PZP2490" s="60"/>
      <c r="PZQ2490" s="58"/>
      <c r="PZR2490" s="61"/>
      <c r="PZS2490" s="58"/>
      <c r="PZT2490" s="58"/>
      <c r="PZU2490" s="58"/>
      <c r="PZV2490" s="60"/>
      <c r="PZW2490" s="60"/>
      <c r="PZX2490" s="60"/>
      <c r="PZY2490" s="58"/>
      <c r="PZZ2490" s="61"/>
      <c r="QAA2490" s="58"/>
      <c r="QAB2490" s="58"/>
      <c r="QAC2490" s="58"/>
      <c r="QAD2490" s="60"/>
      <c r="QAE2490" s="60"/>
      <c r="QAF2490" s="60"/>
      <c r="QAG2490" s="58"/>
      <c r="QAH2490" s="61"/>
      <c r="QAI2490" s="58"/>
      <c r="QAJ2490" s="58"/>
      <c r="QAK2490" s="58"/>
      <c r="QAL2490" s="60"/>
      <c r="QAM2490" s="60"/>
      <c r="QAN2490" s="60"/>
      <c r="QAO2490" s="58"/>
      <c r="QAP2490" s="61"/>
      <c r="QAQ2490" s="58"/>
      <c r="QAR2490" s="58"/>
      <c r="QAS2490" s="58"/>
      <c r="QAT2490" s="60"/>
      <c r="QAU2490" s="60"/>
      <c r="QAV2490" s="60"/>
      <c r="QAW2490" s="58"/>
      <c r="QAX2490" s="61"/>
      <c r="QAY2490" s="58"/>
      <c r="QAZ2490" s="58"/>
      <c r="QBA2490" s="58"/>
      <c r="QBB2490" s="60"/>
      <c r="QBC2490" s="60"/>
      <c r="QBD2490" s="60"/>
      <c r="QBE2490" s="58"/>
      <c r="QBF2490" s="61"/>
      <c r="QBG2490" s="58"/>
      <c r="QBH2490" s="58"/>
      <c r="QBI2490" s="58"/>
      <c r="QBJ2490" s="60"/>
      <c r="QBK2490" s="60"/>
      <c r="QBL2490" s="60"/>
      <c r="QBM2490" s="58"/>
      <c r="QBN2490" s="61"/>
      <c r="QBO2490" s="58"/>
      <c r="QBP2490" s="58"/>
      <c r="QBQ2490" s="58"/>
      <c r="QBR2490" s="60"/>
      <c r="QBS2490" s="60"/>
      <c r="QBT2490" s="60"/>
      <c r="QBU2490" s="58"/>
      <c r="QBV2490" s="61"/>
      <c r="QBW2490" s="58"/>
      <c r="QBX2490" s="58"/>
      <c r="QBY2490" s="58"/>
      <c r="QBZ2490" s="60"/>
      <c r="QCA2490" s="60"/>
      <c r="QCB2490" s="60"/>
      <c r="QCC2490" s="58"/>
      <c r="QCD2490" s="61"/>
      <c r="QCE2490" s="58"/>
      <c r="QCF2490" s="58"/>
      <c r="QCG2490" s="58"/>
      <c r="QCH2490" s="60"/>
      <c r="QCI2490" s="60"/>
      <c r="QCJ2490" s="60"/>
      <c r="QCK2490" s="58"/>
      <c r="QCL2490" s="61"/>
      <c r="QCM2490" s="58"/>
      <c r="QCN2490" s="58"/>
      <c r="QCO2490" s="58"/>
      <c r="QCP2490" s="60"/>
      <c r="QCQ2490" s="60"/>
      <c r="QCR2490" s="60"/>
      <c r="QCS2490" s="58"/>
      <c r="QCT2490" s="61"/>
      <c r="QCU2490" s="58"/>
      <c r="QCV2490" s="58"/>
      <c r="QCW2490" s="58"/>
      <c r="QCX2490" s="60"/>
      <c r="QCY2490" s="60"/>
      <c r="QCZ2490" s="60"/>
      <c r="QDA2490" s="58"/>
      <c r="QDB2490" s="61"/>
      <c r="QDC2490" s="58"/>
      <c r="QDD2490" s="58"/>
      <c r="QDE2490" s="58"/>
      <c r="QDF2490" s="60"/>
      <c r="QDG2490" s="60"/>
      <c r="QDH2490" s="60"/>
      <c r="QDI2490" s="58"/>
      <c r="QDJ2490" s="61"/>
      <c r="QDK2490" s="58"/>
      <c r="QDL2490" s="58"/>
      <c r="QDM2490" s="58"/>
      <c r="QDN2490" s="60"/>
      <c r="QDO2490" s="60"/>
      <c r="QDP2490" s="60"/>
      <c r="QDQ2490" s="58"/>
      <c r="QDR2490" s="61"/>
      <c r="QDS2490" s="58"/>
      <c r="QDT2490" s="58"/>
      <c r="QDU2490" s="58"/>
      <c r="QDV2490" s="60"/>
      <c r="QDW2490" s="60"/>
      <c r="QDX2490" s="60"/>
      <c r="QDY2490" s="58"/>
      <c r="QDZ2490" s="61"/>
      <c r="QEA2490" s="58"/>
      <c r="QEB2490" s="58"/>
      <c r="QEC2490" s="58"/>
      <c r="QED2490" s="60"/>
      <c r="QEE2490" s="60"/>
      <c r="QEF2490" s="60"/>
      <c r="QEG2490" s="58"/>
      <c r="QEH2490" s="61"/>
      <c r="QEI2490" s="58"/>
      <c r="QEJ2490" s="58"/>
      <c r="QEK2490" s="58"/>
      <c r="QEL2490" s="60"/>
      <c r="QEM2490" s="60"/>
      <c r="QEN2490" s="60"/>
      <c r="QEO2490" s="58"/>
      <c r="QEP2490" s="61"/>
      <c r="QEQ2490" s="58"/>
      <c r="QER2490" s="58"/>
      <c r="QES2490" s="58"/>
      <c r="QET2490" s="60"/>
      <c r="QEU2490" s="60"/>
      <c r="QEV2490" s="60"/>
      <c r="QEW2490" s="58"/>
      <c r="QEX2490" s="61"/>
      <c r="QEY2490" s="58"/>
      <c r="QEZ2490" s="58"/>
      <c r="QFA2490" s="58"/>
      <c r="QFB2490" s="60"/>
      <c r="QFC2490" s="60"/>
      <c r="QFD2490" s="60"/>
      <c r="QFE2490" s="58"/>
      <c r="QFF2490" s="61"/>
      <c r="QFG2490" s="58"/>
      <c r="QFH2490" s="58"/>
      <c r="QFI2490" s="58"/>
      <c r="QFJ2490" s="60"/>
      <c r="QFK2490" s="60"/>
      <c r="QFL2490" s="60"/>
      <c r="QFM2490" s="58"/>
      <c r="QFN2490" s="61"/>
      <c r="QFO2490" s="58"/>
      <c r="QFP2490" s="58"/>
      <c r="QFQ2490" s="58"/>
      <c r="QFR2490" s="60"/>
      <c r="QFS2490" s="60"/>
      <c r="QFT2490" s="60"/>
      <c r="QFU2490" s="58"/>
      <c r="QFV2490" s="61"/>
      <c r="QFW2490" s="58"/>
      <c r="QFX2490" s="58"/>
      <c r="QFY2490" s="58"/>
      <c r="QFZ2490" s="60"/>
      <c r="QGA2490" s="60"/>
      <c r="QGB2490" s="60"/>
      <c r="QGC2490" s="58"/>
      <c r="QGD2490" s="61"/>
      <c r="QGE2490" s="58"/>
      <c r="QGF2490" s="58"/>
      <c r="QGG2490" s="58"/>
      <c r="QGH2490" s="60"/>
      <c r="QGI2490" s="60"/>
      <c r="QGJ2490" s="60"/>
      <c r="QGK2490" s="58"/>
      <c r="QGL2490" s="61"/>
      <c r="QGM2490" s="58"/>
      <c r="QGN2490" s="58"/>
      <c r="QGO2490" s="58"/>
      <c r="QGP2490" s="60"/>
      <c r="QGQ2490" s="60"/>
      <c r="QGR2490" s="60"/>
      <c r="QGS2490" s="58"/>
      <c r="QGT2490" s="61"/>
      <c r="QGU2490" s="58"/>
      <c r="QGV2490" s="58"/>
      <c r="QGW2490" s="58"/>
      <c r="QGX2490" s="60"/>
      <c r="QGY2490" s="60"/>
      <c r="QGZ2490" s="60"/>
      <c r="QHA2490" s="58"/>
      <c r="QHB2490" s="61"/>
      <c r="QHC2490" s="58"/>
      <c r="QHD2490" s="58"/>
      <c r="QHE2490" s="58"/>
      <c r="QHF2490" s="60"/>
      <c r="QHG2490" s="60"/>
      <c r="QHH2490" s="60"/>
      <c r="QHI2490" s="58"/>
      <c r="QHJ2490" s="61"/>
      <c r="QHK2490" s="58"/>
      <c r="QHL2490" s="58"/>
      <c r="QHM2490" s="58"/>
      <c r="QHN2490" s="60"/>
      <c r="QHO2490" s="60"/>
      <c r="QHP2490" s="60"/>
      <c r="QHQ2490" s="58"/>
      <c r="QHR2490" s="61"/>
      <c r="QHS2490" s="58"/>
      <c r="QHT2490" s="58"/>
      <c r="QHU2490" s="58"/>
      <c r="QHV2490" s="60"/>
      <c r="QHW2490" s="60"/>
      <c r="QHX2490" s="60"/>
      <c r="QHY2490" s="58"/>
      <c r="QHZ2490" s="61"/>
      <c r="QIA2490" s="58"/>
      <c r="QIB2490" s="58"/>
      <c r="QIC2490" s="58"/>
      <c r="QID2490" s="60"/>
      <c r="QIE2490" s="60"/>
      <c r="QIF2490" s="60"/>
      <c r="QIG2490" s="58"/>
      <c r="QIH2490" s="61"/>
      <c r="QII2490" s="58"/>
      <c r="QIJ2490" s="58"/>
      <c r="QIK2490" s="58"/>
      <c r="QIL2490" s="60"/>
      <c r="QIM2490" s="60"/>
      <c r="QIN2490" s="60"/>
      <c r="QIO2490" s="58"/>
      <c r="QIP2490" s="61"/>
      <c r="QIQ2490" s="58"/>
      <c r="QIR2490" s="58"/>
      <c r="QIS2490" s="58"/>
      <c r="QIT2490" s="60"/>
      <c r="QIU2490" s="60"/>
      <c r="QIV2490" s="60"/>
      <c r="QIW2490" s="58"/>
      <c r="QIX2490" s="61"/>
      <c r="QIY2490" s="58"/>
      <c r="QIZ2490" s="58"/>
      <c r="QJA2490" s="58"/>
      <c r="QJB2490" s="60"/>
      <c r="QJC2490" s="60"/>
      <c r="QJD2490" s="60"/>
      <c r="QJE2490" s="58"/>
      <c r="QJF2490" s="61"/>
      <c r="QJG2490" s="58"/>
      <c r="QJH2490" s="58"/>
      <c r="QJI2490" s="58"/>
      <c r="QJJ2490" s="60"/>
      <c r="QJK2490" s="60"/>
      <c r="QJL2490" s="60"/>
      <c r="QJM2490" s="58"/>
      <c r="QJN2490" s="61"/>
      <c r="QJO2490" s="58"/>
      <c r="QJP2490" s="58"/>
      <c r="QJQ2490" s="58"/>
      <c r="QJR2490" s="60"/>
      <c r="QJS2490" s="60"/>
      <c r="QJT2490" s="60"/>
      <c r="QJU2490" s="58"/>
      <c r="QJV2490" s="61"/>
      <c r="QJW2490" s="58"/>
      <c r="QJX2490" s="58"/>
      <c r="QJY2490" s="58"/>
      <c r="QJZ2490" s="60"/>
      <c r="QKA2490" s="60"/>
      <c r="QKB2490" s="60"/>
      <c r="QKC2490" s="58"/>
      <c r="QKD2490" s="61"/>
      <c r="QKE2490" s="58"/>
      <c r="QKF2490" s="58"/>
      <c r="QKG2490" s="58"/>
      <c r="QKH2490" s="60"/>
      <c r="QKI2490" s="60"/>
      <c r="QKJ2490" s="60"/>
      <c r="QKK2490" s="58"/>
      <c r="QKL2490" s="61"/>
      <c r="QKM2490" s="58"/>
      <c r="QKN2490" s="58"/>
      <c r="QKO2490" s="58"/>
      <c r="QKP2490" s="60"/>
      <c r="QKQ2490" s="60"/>
      <c r="QKR2490" s="60"/>
      <c r="QKS2490" s="58"/>
      <c r="QKT2490" s="61"/>
      <c r="QKU2490" s="58"/>
      <c r="QKV2490" s="58"/>
      <c r="QKW2490" s="58"/>
      <c r="QKX2490" s="60"/>
      <c r="QKY2490" s="60"/>
      <c r="QKZ2490" s="60"/>
      <c r="QLA2490" s="58"/>
      <c r="QLB2490" s="61"/>
      <c r="QLC2490" s="58"/>
      <c r="QLD2490" s="58"/>
      <c r="QLE2490" s="58"/>
      <c r="QLF2490" s="60"/>
      <c r="QLG2490" s="60"/>
      <c r="QLH2490" s="60"/>
      <c r="QLI2490" s="58"/>
      <c r="QLJ2490" s="61"/>
      <c r="QLK2490" s="58"/>
      <c r="QLL2490" s="58"/>
      <c r="QLM2490" s="58"/>
      <c r="QLN2490" s="60"/>
      <c r="QLO2490" s="60"/>
      <c r="QLP2490" s="60"/>
      <c r="QLQ2490" s="58"/>
      <c r="QLR2490" s="61"/>
      <c r="QLS2490" s="58"/>
      <c r="QLT2490" s="58"/>
      <c r="QLU2490" s="58"/>
      <c r="QLV2490" s="60"/>
      <c r="QLW2490" s="60"/>
      <c r="QLX2490" s="60"/>
      <c r="QLY2490" s="58"/>
      <c r="QLZ2490" s="61"/>
      <c r="QMA2490" s="58"/>
      <c r="QMB2490" s="58"/>
      <c r="QMC2490" s="58"/>
      <c r="QMD2490" s="60"/>
      <c r="QME2490" s="60"/>
      <c r="QMF2490" s="60"/>
      <c r="QMG2490" s="58"/>
      <c r="QMH2490" s="61"/>
      <c r="QMI2490" s="58"/>
      <c r="QMJ2490" s="58"/>
      <c r="QMK2490" s="58"/>
      <c r="QML2490" s="60"/>
      <c r="QMM2490" s="60"/>
      <c r="QMN2490" s="60"/>
      <c r="QMO2490" s="58"/>
      <c r="QMP2490" s="61"/>
      <c r="QMQ2490" s="58"/>
      <c r="QMR2490" s="58"/>
      <c r="QMS2490" s="58"/>
      <c r="QMT2490" s="60"/>
      <c r="QMU2490" s="60"/>
      <c r="QMV2490" s="60"/>
      <c r="QMW2490" s="58"/>
      <c r="QMX2490" s="61"/>
      <c r="QMY2490" s="58"/>
      <c r="QMZ2490" s="58"/>
      <c r="QNA2490" s="58"/>
      <c r="QNB2490" s="60"/>
      <c r="QNC2490" s="60"/>
      <c r="QND2490" s="60"/>
      <c r="QNE2490" s="58"/>
      <c r="QNF2490" s="61"/>
      <c r="QNG2490" s="58"/>
      <c r="QNH2490" s="58"/>
      <c r="QNI2490" s="58"/>
      <c r="QNJ2490" s="60"/>
      <c r="QNK2490" s="60"/>
      <c r="QNL2490" s="60"/>
      <c r="QNM2490" s="58"/>
      <c r="QNN2490" s="61"/>
      <c r="QNO2490" s="58"/>
      <c r="QNP2490" s="58"/>
      <c r="QNQ2490" s="58"/>
      <c r="QNR2490" s="60"/>
      <c r="QNS2490" s="60"/>
      <c r="QNT2490" s="60"/>
      <c r="QNU2490" s="58"/>
      <c r="QNV2490" s="61"/>
      <c r="QNW2490" s="58"/>
      <c r="QNX2490" s="58"/>
      <c r="QNY2490" s="58"/>
      <c r="QNZ2490" s="60"/>
      <c r="QOA2490" s="60"/>
      <c r="QOB2490" s="60"/>
      <c r="QOC2490" s="58"/>
      <c r="QOD2490" s="61"/>
      <c r="QOE2490" s="58"/>
      <c r="QOF2490" s="58"/>
      <c r="QOG2490" s="58"/>
      <c r="QOH2490" s="60"/>
      <c r="QOI2490" s="60"/>
      <c r="QOJ2490" s="60"/>
      <c r="QOK2490" s="58"/>
      <c r="QOL2490" s="61"/>
      <c r="QOM2490" s="58"/>
      <c r="QON2490" s="58"/>
      <c r="QOO2490" s="58"/>
      <c r="QOP2490" s="60"/>
      <c r="QOQ2490" s="60"/>
      <c r="QOR2490" s="60"/>
      <c r="QOS2490" s="58"/>
      <c r="QOT2490" s="61"/>
      <c r="QOU2490" s="58"/>
      <c r="QOV2490" s="58"/>
      <c r="QOW2490" s="58"/>
      <c r="QOX2490" s="60"/>
      <c r="QOY2490" s="60"/>
      <c r="QOZ2490" s="60"/>
      <c r="QPA2490" s="58"/>
      <c r="QPB2490" s="61"/>
      <c r="QPC2490" s="58"/>
      <c r="QPD2490" s="58"/>
      <c r="QPE2490" s="58"/>
      <c r="QPF2490" s="60"/>
      <c r="QPG2490" s="60"/>
      <c r="QPH2490" s="60"/>
      <c r="QPI2490" s="58"/>
      <c r="QPJ2490" s="61"/>
      <c r="QPK2490" s="58"/>
      <c r="QPL2490" s="58"/>
      <c r="QPM2490" s="58"/>
      <c r="QPN2490" s="60"/>
      <c r="QPO2490" s="60"/>
      <c r="QPP2490" s="60"/>
      <c r="QPQ2490" s="58"/>
      <c r="QPR2490" s="61"/>
      <c r="QPS2490" s="58"/>
      <c r="QPT2490" s="58"/>
      <c r="QPU2490" s="58"/>
      <c r="QPV2490" s="60"/>
      <c r="QPW2490" s="60"/>
      <c r="QPX2490" s="60"/>
      <c r="QPY2490" s="58"/>
      <c r="QPZ2490" s="61"/>
      <c r="QQA2490" s="58"/>
      <c r="QQB2490" s="58"/>
      <c r="QQC2490" s="58"/>
      <c r="QQD2490" s="60"/>
      <c r="QQE2490" s="60"/>
      <c r="QQF2490" s="60"/>
      <c r="QQG2490" s="58"/>
      <c r="QQH2490" s="61"/>
      <c r="QQI2490" s="58"/>
      <c r="QQJ2490" s="58"/>
      <c r="QQK2490" s="58"/>
      <c r="QQL2490" s="60"/>
      <c r="QQM2490" s="60"/>
      <c r="QQN2490" s="60"/>
      <c r="QQO2490" s="58"/>
      <c r="QQP2490" s="61"/>
      <c r="QQQ2490" s="58"/>
      <c r="QQR2490" s="58"/>
      <c r="QQS2490" s="58"/>
      <c r="QQT2490" s="60"/>
      <c r="QQU2490" s="60"/>
      <c r="QQV2490" s="60"/>
      <c r="QQW2490" s="58"/>
      <c r="QQX2490" s="61"/>
      <c r="QQY2490" s="58"/>
      <c r="QQZ2490" s="58"/>
      <c r="QRA2490" s="58"/>
      <c r="QRB2490" s="60"/>
      <c r="QRC2490" s="60"/>
      <c r="QRD2490" s="60"/>
      <c r="QRE2490" s="58"/>
      <c r="QRF2490" s="61"/>
      <c r="QRG2490" s="58"/>
      <c r="QRH2490" s="58"/>
      <c r="QRI2490" s="58"/>
      <c r="QRJ2490" s="60"/>
      <c r="QRK2490" s="60"/>
      <c r="QRL2490" s="60"/>
      <c r="QRM2490" s="58"/>
      <c r="QRN2490" s="61"/>
      <c r="QRO2490" s="58"/>
      <c r="QRP2490" s="58"/>
      <c r="QRQ2490" s="58"/>
      <c r="QRR2490" s="60"/>
      <c r="QRS2490" s="60"/>
      <c r="QRT2490" s="60"/>
      <c r="QRU2490" s="58"/>
      <c r="QRV2490" s="61"/>
      <c r="QRW2490" s="58"/>
      <c r="QRX2490" s="58"/>
      <c r="QRY2490" s="58"/>
      <c r="QRZ2490" s="60"/>
      <c r="QSA2490" s="60"/>
      <c r="QSB2490" s="60"/>
      <c r="QSC2490" s="58"/>
      <c r="QSD2490" s="61"/>
      <c r="QSE2490" s="58"/>
      <c r="QSF2490" s="58"/>
      <c r="QSG2490" s="58"/>
      <c r="QSH2490" s="60"/>
      <c r="QSI2490" s="60"/>
      <c r="QSJ2490" s="60"/>
      <c r="QSK2490" s="58"/>
      <c r="QSL2490" s="61"/>
      <c r="QSM2490" s="58"/>
      <c r="QSN2490" s="58"/>
      <c r="QSO2490" s="58"/>
      <c r="QSP2490" s="60"/>
      <c r="QSQ2490" s="60"/>
      <c r="QSR2490" s="60"/>
      <c r="QSS2490" s="58"/>
      <c r="QST2490" s="61"/>
      <c r="QSU2490" s="58"/>
      <c r="QSV2490" s="58"/>
      <c r="QSW2490" s="58"/>
      <c r="QSX2490" s="60"/>
      <c r="QSY2490" s="60"/>
      <c r="QSZ2490" s="60"/>
      <c r="QTA2490" s="58"/>
      <c r="QTB2490" s="61"/>
      <c r="QTC2490" s="58"/>
      <c r="QTD2490" s="58"/>
      <c r="QTE2490" s="58"/>
      <c r="QTF2490" s="60"/>
      <c r="QTG2490" s="60"/>
      <c r="QTH2490" s="60"/>
      <c r="QTI2490" s="58"/>
      <c r="QTJ2490" s="61"/>
      <c r="QTK2490" s="58"/>
      <c r="QTL2490" s="58"/>
      <c r="QTM2490" s="58"/>
      <c r="QTN2490" s="60"/>
      <c r="QTO2490" s="60"/>
      <c r="QTP2490" s="60"/>
      <c r="QTQ2490" s="58"/>
      <c r="QTR2490" s="61"/>
      <c r="QTS2490" s="58"/>
      <c r="QTT2490" s="58"/>
      <c r="QTU2490" s="58"/>
      <c r="QTV2490" s="60"/>
      <c r="QTW2490" s="60"/>
      <c r="QTX2490" s="60"/>
      <c r="QTY2490" s="58"/>
      <c r="QTZ2490" s="61"/>
      <c r="QUA2490" s="58"/>
      <c r="QUB2490" s="58"/>
      <c r="QUC2490" s="58"/>
      <c r="QUD2490" s="60"/>
      <c r="QUE2490" s="60"/>
      <c r="QUF2490" s="60"/>
      <c r="QUG2490" s="58"/>
      <c r="QUH2490" s="61"/>
      <c r="QUI2490" s="58"/>
      <c r="QUJ2490" s="58"/>
      <c r="QUK2490" s="58"/>
      <c r="QUL2490" s="60"/>
      <c r="QUM2490" s="60"/>
      <c r="QUN2490" s="60"/>
      <c r="QUO2490" s="58"/>
      <c r="QUP2490" s="61"/>
      <c r="QUQ2490" s="58"/>
      <c r="QUR2490" s="58"/>
      <c r="QUS2490" s="58"/>
      <c r="QUT2490" s="60"/>
      <c r="QUU2490" s="60"/>
      <c r="QUV2490" s="60"/>
      <c r="QUW2490" s="58"/>
      <c r="QUX2490" s="61"/>
      <c r="QUY2490" s="58"/>
      <c r="QUZ2490" s="58"/>
      <c r="QVA2490" s="58"/>
      <c r="QVB2490" s="60"/>
      <c r="QVC2490" s="60"/>
      <c r="QVD2490" s="60"/>
      <c r="QVE2490" s="58"/>
      <c r="QVF2490" s="61"/>
      <c r="QVG2490" s="58"/>
      <c r="QVH2490" s="58"/>
      <c r="QVI2490" s="58"/>
      <c r="QVJ2490" s="60"/>
      <c r="QVK2490" s="60"/>
      <c r="QVL2490" s="60"/>
      <c r="QVM2490" s="58"/>
      <c r="QVN2490" s="61"/>
      <c r="QVO2490" s="58"/>
      <c r="QVP2490" s="58"/>
      <c r="QVQ2490" s="58"/>
      <c r="QVR2490" s="60"/>
      <c r="QVS2490" s="60"/>
      <c r="QVT2490" s="60"/>
      <c r="QVU2490" s="58"/>
      <c r="QVV2490" s="61"/>
      <c r="QVW2490" s="58"/>
      <c r="QVX2490" s="58"/>
      <c r="QVY2490" s="58"/>
      <c r="QVZ2490" s="60"/>
      <c r="QWA2490" s="60"/>
      <c r="QWB2490" s="60"/>
      <c r="QWC2490" s="58"/>
      <c r="QWD2490" s="61"/>
      <c r="QWE2490" s="58"/>
      <c r="QWF2490" s="58"/>
      <c r="QWG2490" s="58"/>
      <c r="QWH2490" s="60"/>
      <c r="QWI2490" s="60"/>
      <c r="QWJ2490" s="60"/>
      <c r="QWK2490" s="58"/>
      <c r="QWL2490" s="61"/>
      <c r="QWM2490" s="58"/>
      <c r="QWN2490" s="58"/>
      <c r="QWO2490" s="58"/>
      <c r="QWP2490" s="60"/>
      <c r="QWQ2490" s="60"/>
      <c r="QWR2490" s="60"/>
      <c r="QWS2490" s="58"/>
      <c r="QWT2490" s="61"/>
      <c r="QWU2490" s="58"/>
      <c r="QWV2490" s="58"/>
      <c r="QWW2490" s="58"/>
      <c r="QWX2490" s="60"/>
      <c r="QWY2490" s="60"/>
      <c r="QWZ2490" s="60"/>
      <c r="QXA2490" s="58"/>
      <c r="QXB2490" s="61"/>
      <c r="QXC2490" s="58"/>
      <c r="QXD2490" s="58"/>
      <c r="QXE2490" s="58"/>
      <c r="QXF2490" s="60"/>
      <c r="QXG2490" s="60"/>
      <c r="QXH2490" s="60"/>
      <c r="QXI2490" s="58"/>
      <c r="QXJ2490" s="61"/>
      <c r="QXK2490" s="58"/>
      <c r="QXL2490" s="58"/>
      <c r="QXM2490" s="58"/>
      <c r="QXN2490" s="60"/>
      <c r="QXO2490" s="60"/>
      <c r="QXP2490" s="60"/>
      <c r="QXQ2490" s="58"/>
      <c r="QXR2490" s="61"/>
      <c r="QXS2490" s="58"/>
      <c r="QXT2490" s="58"/>
      <c r="QXU2490" s="58"/>
      <c r="QXV2490" s="60"/>
      <c r="QXW2490" s="60"/>
      <c r="QXX2490" s="60"/>
      <c r="QXY2490" s="58"/>
      <c r="QXZ2490" s="61"/>
      <c r="QYA2490" s="58"/>
      <c r="QYB2490" s="58"/>
      <c r="QYC2490" s="58"/>
      <c r="QYD2490" s="60"/>
      <c r="QYE2490" s="60"/>
      <c r="QYF2490" s="60"/>
      <c r="QYG2490" s="58"/>
      <c r="QYH2490" s="61"/>
      <c r="QYI2490" s="58"/>
      <c r="QYJ2490" s="58"/>
      <c r="QYK2490" s="58"/>
      <c r="QYL2490" s="60"/>
      <c r="QYM2490" s="60"/>
      <c r="QYN2490" s="60"/>
      <c r="QYO2490" s="58"/>
      <c r="QYP2490" s="61"/>
      <c r="QYQ2490" s="58"/>
      <c r="QYR2490" s="58"/>
      <c r="QYS2490" s="58"/>
      <c r="QYT2490" s="60"/>
      <c r="QYU2490" s="60"/>
      <c r="QYV2490" s="60"/>
      <c r="QYW2490" s="58"/>
      <c r="QYX2490" s="61"/>
      <c r="QYY2490" s="58"/>
      <c r="QYZ2490" s="58"/>
      <c r="QZA2490" s="58"/>
      <c r="QZB2490" s="60"/>
      <c r="QZC2490" s="60"/>
      <c r="QZD2490" s="60"/>
      <c r="QZE2490" s="58"/>
      <c r="QZF2490" s="61"/>
      <c r="QZG2490" s="58"/>
      <c r="QZH2490" s="58"/>
      <c r="QZI2490" s="58"/>
      <c r="QZJ2490" s="60"/>
      <c r="QZK2490" s="60"/>
      <c r="QZL2490" s="60"/>
      <c r="QZM2490" s="58"/>
      <c r="QZN2490" s="61"/>
      <c r="QZO2490" s="58"/>
      <c r="QZP2490" s="58"/>
      <c r="QZQ2490" s="58"/>
      <c r="QZR2490" s="60"/>
      <c r="QZS2490" s="60"/>
      <c r="QZT2490" s="60"/>
      <c r="QZU2490" s="58"/>
      <c r="QZV2490" s="61"/>
      <c r="QZW2490" s="58"/>
      <c r="QZX2490" s="58"/>
      <c r="QZY2490" s="58"/>
      <c r="QZZ2490" s="60"/>
      <c r="RAA2490" s="60"/>
      <c r="RAB2490" s="60"/>
      <c r="RAC2490" s="58"/>
      <c r="RAD2490" s="61"/>
      <c r="RAE2490" s="58"/>
      <c r="RAF2490" s="58"/>
      <c r="RAG2490" s="58"/>
      <c r="RAH2490" s="60"/>
      <c r="RAI2490" s="60"/>
      <c r="RAJ2490" s="60"/>
      <c r="RAK2490" s="58"/>
      <c r="RAL2490" s="61"/>
      <c r="RAM2490" s="58"/>
      <c r="RAN2490" s="58"/>
      <c r="RAO2490" s="58"/>
      <c r="RAP2490" s="60"/>
      <c r="RAQ2490" s="60"/>
      <c r="RAR2490" s="60"/>
      <c r="RAS2490" s="58"/>
      <c r="RAT2490" s="61"/>
      <c r="RAU2490" s="58"/>
      <c r="RAV2490" s="58"/>
      <c r="RAW2490" s="58"/>
      <c r="RAX2490" s="60"/>
      <c r="RAY2490" s="60"/>
      <c r="RAZ2490" s="60"/>
      <c r="RBA2490" s="58"/>
      <c r="RBB2490" s="61"/>
      <c r="RBC2490" s="58"/>
      <c r="RBD2490" s="58"/>
      <c r="RBE2490" s="58"/>
      <c r="RBF2490" s="60"/>
      <c r="RBG2490" s="60"/>
      <c r="RBH2490" s="60"/>
      <c r="RBI2490" s="58"/>
      <c r="RBJ2490" s="61"/>
      <c r="RBK2490" s="58"/>
      <c r="RBL2490" s="58"/>
      <c r="RBM2490" s="58"/>
      <c r="RBN2490" s="60"/>
      <c r="RBO2490" s="60"/>
      <c r="RBP2490" s="60"/>
      <c r="RBQ2490" s="58"/>
      <c r="RBR2490" s="61"/>
      <c r="RBS2490" s="58"/>
      <c r="RBT2490" s="58"/>
      <c r="RBU2490" s="58"/>
      <c r="RBV2490" s="60"/>
      <c r="RBW2490" s="60"/>
      <c r="RBX2490" s="60"/>
      <c r="RBY2490" s="58"/>
      <c r="RBZ2490" s="61"/>
      <c r="RCA2490" s="58"/>
      <c r="RCB2490" s="58"/>
      <c r="RCC2490" s="58"/>
      <c r="RCD2490" s="60"/>
      <c r="RCE2490" s="60"/>
      <c r="RCF2490" s="60"/>
      <c r="RCG2490" s="58"/>
      <c r="RCH2490" s="61"/>
      <c r="RCI2490" s="58"/>
      <c r="RCJ2490" s="58"/>
      <c r="RCK2490" s="58"/>
      <c r="RCL2490" s="60"/>
      <c r="RCM2490" s="60"/>
      <c r="RCN2490" s="60"/>
      <c r="RCO2490" s="58"/>
      <c r="RCP2490" s="61"/>
      <c r="RCQ2490" s="58"/>
      <c r="RCR2490" s="58"/>
      <c r="RCS2490" s="58"/>
      <c r="RCT2490" s="60"/>
      <c r="RCU2490" s="60"/>
      <c r="RCV2490" s="60"/>
      <c r="RCW2490" s="58"/>
      <c r="RCX2490" s="61"/>
      <c r="RCY2490" s="58"/>
      <c r="RCZ2490" s="58"/>
      <c r="RDA2490" s="58"/>
      <c r="RDB2490" s="60"/>
      <c r="RDC2490" s="60"/>
      <c r="RDD2490" s="60"/>
      <c r="RDE2490" s="58"/>
      <c r="RDF2490" s="61"/>
      <c r="RDG2490" s="58"/>
      <c r="RDH2490" s="58"/>
      <c r="RDI2490" s="58"/>
      <c r="RDJ2490" s="60"/>
      <c r="RDK2490" s="60"/>
      <c r="RDL2490" s="60"/>
      <c r="RDM2490" s="58"/>
      <c r="RDN2490" s="61"/>
      <c r="RDO2490" s="58"/>
      <c r="RDP2490" s="58"/>
      <c r="RDQ2490" s="58"/>
      <c r="RDR2490" s="60"/>
      <c r="RDS2490" s="60"/>
      <c r="RDT2490" s="60"/>
      <c r="RDU2490" s="58"/>
      <c r="RDV2490" s="61"/>
      <c r="RDW2490" s="58"/>
      <c r="RDX2490" s="58"/>
      <c r="RDY2490" s="58"/>
      <c r="RDZ2490" s="60"/>
      <c r="REA2490" s="60"/>
      <c r="REB2490" s="60"/>
      <c r="REC2490" s="58"/>
      <c r="RED2490" s="61"/>
      <c r="REE2490" s="58"/>
      <c r="REF2490" s="58"/>
      <c r="REG2490" s="58"/>
      <c r="REH2490" s="60"/>
      <c r="REI2490" s="60"/>
      <c r="REJ2490" s="60"/>
      <c r="REK2490" s="58"/>
      <c r="REL2490" s="61"/>
      <c r="REM2490" s="58"/>
      <c r="REN2490" s="58"/>
      <c r="REO2490" s="58"/>
      <c r="REP2490" s="60"/>
      <c r="REQ2490" s="60"/>
      <c r="RER2490" s="60"/>
      <c r="RES2490" s="58"/>
      <c r="RET2490" s="61"/>
      <c r="REU2490" s="58"/>
      <c r="REV2490" s="58"/>
      <c r="REW2490" s="58"/>
      <c r="REX2490" s="60"/>
      <c r="REY2490" s="60"/>
      <c r="REZ2490" s="60"/>
      <c r="RFA2490" s="58"/>
      <c r="RFB2490" s="61"/>
      <c r="RFC2490" s="58"/>
      <c r="RFD2490" s="58"/>
      <c r="RFE2490" s="58"/>
      <c r="RFF2490" s="60"/>
      <c r="RFG2490" s="60"/>
      <c r="RFH2490" s="60"/>
      <c r="RFI2490" s="58"/>
      <c r="RFJ2490" s="61"/>
      <c r="RFK2490" s="58"/>
      <c r="RFL2490" s="58"/>
      <c r="RFM2490" s="58"/>
      <c r="RFN2490" s="60"/>
      <c r="RFO2490" s="60"/>
      <c r="RFP2490" s="60"/>
      <c r="RFQ2490" s="58"/>
      <c r="RFR2490" s="61"/>
      <c r="RFS2490" s="58"/>
      <c r="RFT2490" s="58"/>
      <c r="RFU2490" s="58"/>
      <c r="RFV2490" s="60"/>
      <c r="RFW2490" s="60"/>
      <c r="RFX2490" s="60"/>
      <c r="RFY2490" s="58"/>
      <c r="RFZ2490" s="61"/>
      <c r="RGA2490" s="58"/>
      <c r="RGB2490" s="58"/>
      <c r="RGC2490" s="58"/>
      <c r="RGD2490" s="60"/>
      <c r="RGE2490" s="60"/>
      <c r="RGF2490" s="60"/>
      <c r="RGG2490" s="58"/>
      <c r="RGH2490" s="61"/>
      <c r="RGI2490" s="58"/>
      <c r="RGJ2490" s="58"/>
      <c r="RGK2490" s="58"/>
      <c r="RGL2490" s="60"/>
      <c r="RGM2490" s="60"/>
      <c r="RGN2490" s="60"/>
      <c r="RGO2490" s="58"/>
      <c r="RGP2490" s="61"/>
      <c r="RGQ2490" s="58"/>
      <c r="RGR2490" s="58"/>
      <c r="RGS2490" s="58"/>
      <c r="RGT2490" s="60"/>
      <c r="RGU2490" s="60"/>
      <c r="RGV2490" s="60"/>
      <c r="RGW2490" s="58"/>
      <c r="RGX2490" s="61"/>
      <c r="RGY2490" s="58"/>
      <c r="RGZ2490" s="58"/>
      <c r="RHA2490" s="58"/>
      <c r="RHB2490" s="60"/>
      <c r="RHC2490" s="60"/>
      <c r="RHD2490" s="60"/>
      <c r="RHE2490" s="58"/>
      <c r="RHF2490" s="61"/>
      <c r="RHG2490" s="58"/>
      <c r="RHH2490" s="58"/>
      <c r="RHI2490" s="58"/>
      <c r="RHJ2490" s="60"/>
      <c r="RHK2490" s="60"/>
      <c r="RHL2490" s="60"/>
      <c r="RHM2490" s="58"/>
      <c r="RHN2490" s="61"/>
      <c r="RHO2490" s="58"/>
      <c r="RHP2490" s="58"/>
      <c r="RHQ2490" s="58"/>
      <c r="RHR2490" s="60"/>
      <c r="RHS2490" s="60"/>
      <c r="RHT2490" s="60"/>
      <c r="RHU2490" s="58"/>
      <c r="RHV2490" s="61"/>
      <c r="RHW2490" s="58"/>
      <c r="RHX2490" s="58"/>
      <c r="RHY2490" s="58"/>
      <c r="RHZ2490" s="60"/>
      <c r="RIA2490" s="60"/>
      <c r="RIB2490" s="60"/>
      <c r="RIC2490" s="58"/>
      <c r="RID2490" s="61"/>
      <c r="RIE2490" s="58"/>
      <c r="RIF2490" s="58"/>
      <c r="RIG2490" s="58"/>
      <c r="RIH2490" s="60"/>
      <c r="RII2490" s="60"/>
      <c r="RIJ2490" s="60"/>
      <c r="RIK2490" s="58"/>
      <c r="RIL2490" s="61"/>
      <c r="RIM2490" s="58"/>
      <c r="RIN2490" s="58"/>
      <c r="RIO2490" s="58"/>
      <c r="RIP2490" s="60"/>
      <c r="RIQ2490" s="60"/>
      <c r="RIR2490" s="60"/>
      <c r="RIS2490" s="58"/>
      <c r="RIT2490" s="61"/>
      <c r="RIU2490" s="58"/>
      <c r="RIV2490" s="58"/>
      <c r="RIW2490" s="58"/>
      <c r="RIX2490" s="60"/>
      <c r="RIY2490" s="60"/>
      <c r="RIZ2490" s="60"/>
      <c r="RJA2490" s="58"/>
      <c r="RJB2490" s="61"/>
      <c r="RJC2490" s="58"/>
      <c r="RJD2490" s="58"/>
      <c r="RJE2490" s="58"/>
      <c r="RJF2490" s="60"/>
      <c r="RJG2490" s="60"/>
      <c r="RJH2490" s="60"/>
      <c r="RJI2490" s="58"/>
      <c r="RJJ2490" s="61"/>
      <c r="RJK2490" s="58"/>
      <c r="RJL2490" s="58"/>
      <c r="RJM2490" s="58"/>
      <c r="RJN2490" s="60"/>
      <c r="RJO2490" s="60"/>
      <c r="RJP2490" s="60"/>
      <c r="RJQ2490" s="58"/>
      <c r="RJR2490" s="61"/>
      <c r="RJS2490" s="58"/>
      <c r="RJT2490" s="58"/>
      <c r="RJU2490" s="58"/>
      <c r="RJV2490" s="60"/>
      <c r="RJW2490" s="60"/>
      <c r="RJX2490" s="60"/>
      <c r="RJY2490" s="58"/>
      <c r="RJZ2490" s="61"/>
      <c r="RKA2490" s="58"/>
      <c r="RKB2490" s="58"/>
      <c r="RKC2490" s="58"/>
      <c r="RKD2490" s="60"/>
      <c r="RKE2490" s="60"/>
      <c r="RKF2490" s="60"/>
      <c r="RKG2490" s="58"/>
      <c r="RKH2490" s="61"/>
      <c r="RKI2490" s="58"/>
      <c r="RKJ2490" s="58"/>
      <c r="RKK2490" s="58"/>
      <c r="RKL2490" s="60"/>
      <c r="RKM2490" s="60"/>
      <c r="RKN2490" s="60"/>
      <c r="RKO2490" s="58"/>
      <c r="RKP2490" s="61"/>
      <c r="RKQ2490" s="58"/>
      <c r="RKR2490" s="58"/>
      <c r="RKS2490" s="58"/>
      <c r="RKT2490" s="60"/>
      <c r="RKU2490" s="60"/>
      <c r="RKV2490" s="60"/>
      <c r="RKW2490" s="58"/>
      <c r="RKX2490" s="61"/>
      <c r="RKY2490" s="58"/>
      <c r="RKZ2490" s="58"/>
      <c r="RLA2490" s="58"/>
      <c r="RLB2490" s="60"/>
      <c r="RLC2490" s="60"/>
      <c r="RLD2490" s="60"/>
      <c r="RLE2490" s="58"/>
      <c r="RLF2490" s="61"/>
      <c r="RLG2490" s="58"/>
      <c r="RLH2490" s="58"/>
      <c r="RLI2490" s="58"/>
      <c r="RLJ2490" s="60"/>
      <c r="RLK2490" s="60"/>
      <c r="RLL2490" s="60"/>
      <c r="RLM2490" s="58"/>
      <c r="RLN2490" s="61"/>
      <c r="RLO2490" s="58"/>
      <c r="RLP2490" s="58"/>
      <c r="RLQ2490" s="58"/>
      <c r="RLR2490" s="60"/>
      <c r="RLS2490" s="60"/>
      <c r="RLT2490" s="60"/>
      <c r="RLU2490" s="58"/>
      <c r="RLV2490" s="61"/>
      <c r="RLW2490" s="58"/>
      <c r="RLX2490" s="58"/>
      <c r="RLY2490" s="58"/>
      <c r="RLZ2490" s="60"/>
      <c r="RMA2490" s="60"/>
      <c r="RMB2490" s="60"/>
      <c r="RMC2490" s="58"/>
      <c r="RMD2490" s="61"/>
      <c r="RME2490" s="58"/>
      <c r="RMF2490" s="58"/>
      <c r="RMG2490" s="58"/>
      <c r="RMH2490" s="60"/>
      <c r="RMI2490" s="60"/>
      <c r="RMJ2490" s="60"/>
      <c r="RMK2490" s="58"/>
      <c r="RML2490" s="61"/>
      <c r="RMM2490" s="58"/>
      <c r="RMN2490" s="58"/>
      <c r="RMO2490" s="58"/>
      <c r="RMP2490" s="60"/>
      <c r="RMQ2490" s="60"/>
      <c r="RMR2490" s="60"/>
      <c r="RMS2490" s="58"/>
      <c r="RMT2490" s="61"/>
      <c r="RMU2490" s="58"/>
      <c r="RMV2490" s="58"/>
      <c r="RMW2490" s="58"/>
      <c r="RMX2490" s="60"/>
      <c r="RMY2490" s="60"/>
      <c r="RMZ2490" s="60"/>
      <c r="RNA2490" s="58"/>
      <c r="RNB2490" s="61"/>
      <c r="RNC2490" s="58"/>
      <c r="RND2490" s="58"/>
      <c r="RNE2490" s="58"/>
      <c r="RNF2490" s="60"/>
      <c r="RNG2490" s="60"/>
      <c r="RNH2490" s="60"/>
      <c r="RNI2490" s="58"/>
      <c r="RNJ2490" s="61"/>
      <c r="RNK2490" s="58"/>
      <c r="RNL2490" s="58"/>
      <c r="RNM2490" s="58"/>
      <c r="RNN2490" s="60"/>
      <c r="RNO2490" s="60"/>
      <c r="RNP2490" s="60"/>
      <c r="RNQ2490" s="58"/>
      <c r="RNR2490" s="61"/>
      <c r="RNS2490" s="58"/>
      <c r="RNT2490" s="58"/>
      <c r="RNU2490" s="58"/>
      <c r="RNV2490" s="60"/>
      <c r="RNW2490" s="60"/>
      <c r="RNX2490" s="60"/>
      <c r="RNY2490" s="58"/>
      <c r="RNZ2490" s="61"/>
      <c r="ROA2490" s="58"/>
      <c r="ROB2490" s="58"/>
      <c r="ROC2490" s="58"/>
      <c r="ROD2490" s="60"/>
      <c r="ROE2490" s="60"/>
      <c r="ROF2490" s="60"/>
      <c r="ROG2490" s="58"/>
      <c r="ROH2490" s="61"/>
      <c r="ROI2490" s="58"/>
      <c r="ROJ2490" s="58"/>
      <c r="ROK2490" s="58"/>
      <c r="ROL2490" s="60"/>
      <c r="ROM2490" s="60"/>
      <c r="RON2490" s="60"/>
      <c r="ROO2490" s="58"/>
      <c r="ROP2490" s="61"/>
      <c r="ROQ2490" s="58"/>
      <c r="ROR2490" s="58"/>
      <c r="ROS2490" s="58"/>
      <c r="ROT2490" s="60"/>
      <c r="ROU2490" s="60"/>
      <c r="ROV2490" s="60"/>
      <c r="ROW2490" s="58"/>
      <c r="ROX2490" s="61"/>
      <c r="ROY2490" s="58"/>
      <c r="ROZ2490" s="58"/>
      <c r="RPA2490" s="58"/>
      <c r="RPB2490" s="60"/>
      <c r="RPC2490" s="60"/>
      <c r="RPD2490" s="60"/>
      <c r="RPE2490" s="58"/>
      <c r="RPF2490" s="61"/>
      <c r="RPG2490" s="58"/>
      <c r="RPH2490" s="58"/>
      <c r="RPI2490" s="58"/>
      <c r="RPJ2490" s="60"/>
      <c r="RPK2490" s="60"/>
      <c r="RPL2490" s="60"/>
      <c r="RPM2490" s="58"/>
      <c r="RPN2490" s="61"/>
      <c r="RPO2490" s="58"/>
      <c r="RPP2490" s="58"/>
      <c r="RPQ2490" s="58"/>
      <c r="RPR2490" s="60"/>
      <c r="RPS2490" s="60"/>
      <c r="RPT2490" s="60"/>
      <c r="RPU2490" s="58"/>
      <c r="RPV2490" s="61"/>
      <c r="RPW2490" s="58"/>
      <c r="RPX2490" s="58"/>
      <c r="RPY2490" s="58"/>
      <c r="RPZ2490" s="60"/>
      <c r="RQA2490" s="60"/>
      <c r="RQB2490" s="60"/>
      <c r="RQC2490" s="58"/>
      <c r="RQD2490" s="61"/>
      <c r="RQE2490" s="58"/>
      <c r="RQF2490" s="58"/>
      <c r="RQG2490" s="58"/>
      <c r="RQH2490" s="60"/>
      <c r="RQI2490" s="60"/>
      <c r="RQJ2490" s="60"/>
      <c r="RQK2490" s="58"/>
      <c r="RQL2490" s="61"/>
      <c r="RQM2490" s="58"/>
      <c r="RQN2490" s="58"/>
      <c r="RQO2490" s="58"/>
      <c r="RQP2490" s="60"/>
      <c r="RQQ2490" s="60"/>
      <c r="RQR2490" s="60"/>
      <c r="RQS2490" s="58"/>
      <c r="RQT2490" s="61"/>
      <c r="RQU2490" s="58"/>
      <c r="RQV2490" s="58"/>
      <c r="RQW2490" s="58"/>
      <c r="RQX2490" s="60"/>
      <c r="RQY2490" s="60"/>
      <c r="RQZ2490" s="60"/>
      <c r="RRA2490" s="58"/>
      <c r="RRB2490" s="61"/>
      <c r="RRC2490" s="58"/>
      <c r="RRD2490" s="58"/>
      <c r="RRE2490" s="58"/>
      <c r="RRF2490" s="60"/>
      <c r="RRG2490" s="60"/>
      <c r="RRH2490" s="60"/>
      <c r="RRI2490" s="58"/>
      <c r="RRJ2490" s="61"/>
      <c r="RRK2490" s="58"/>
      <c r="RRL2490" s="58"/>
      <c r="RRM2490" s="58"/>
      <c r="RRN2490" s="60"/>
      <c r="RRO2490" s="60"/>
      <c r="RRP2490" s="60"/>
      <c r="RRQ2490" s="58"/>
      <c r="RRR2490" s="61"/>
      <c r="RRS2490" s="58"/>
      <c r="RRT2490" s="58"/>
      <c r="RRU2490" s="58"/>
      <c r="RRV2490" s="60"/>
      <c r="RRW2490" s="60"/>
      <c r="RRX2490" s="60"/>
      <c r="RRY2490" s="58"/>
      <c r="RRZ2490" s="61"/>
      <c r="RSA2490" s="58"/>
      <c r="RSB2490" s="58"/>
      <c r="RSC2490" s="58"/>
      <c r="RSD2490" s="60"/>
      <c r="RSE2490" s="60"/>
      <c r="RSF2490" s="60"/>
      <c r="RSG2490" s="58"/>
      <c r="RSH2490" s="61"/>
      <c r="RSI2490" s="58"/>
      <c r="RSJ2490" s="58"/>
      <c r="RSK2490" s="58"/>
      <c r="RSL2490" s="60"/>
      <c r="RSM2490" s="60"/>
      <c r="RSN2490" s="60"/>
      <c r="RSO2490" s="58"/>
      <c r="RSP2490" s="61"/>
      <c r="RSQ2490" s="58"/>
      <c r="RSR2490" s="58"/>
      <c r="RSS2490" s="58"/>
      <c r="RST2490" s="60"/>
      <c r="RSU2490" s="60"/>
      <c r="RSV2490" s="60"/>
      <c r="RSW2490" s="58"/>
      <c r="RSX2490" s="61"/>
      <c r="RSY2490" s="58"/>
      <c r="RSZ2490" s="58"/>
      <c r="RTA2490" s="58"/>
      <c r="RTB2490" s="60"/>
      <c r="RTC2490" s="60"/>
      <c r="RTD2490" s="60"/>
      <c r="RTE2490" s="58"/>
      <c r="RTF2490" s="61"/>
      <c r="RTG2490" s="58"/>
      <c r="RTH2490" s="58"/>
      <c r="RTI2490" s="58"/>
      <c r="RTJ2490" s="60"/>
      <c r="RTK2490" s="60"/>
      <c r="RTL2490" s="60"/>
      <c r="RTM2490" s="58"/>
      <c r="RTN2490" s="61"/>
      <c r="RTO2490" s="58"/>
      <c r="RTP2490" s="58"/>
      <c r="RTQ2490" s="58"/>
      <c r="RTR2490" s="60"/>
      <c r="RTS2490" s="60"/>
      <c r="RTT2490" s="60"/>
      <c r="RTU2490" s="58"/>
      <c r="RTV2490" s="61"/>
      <c r="RTW2490" s="58"/>
      <c r="RTX2490" s="58"/>
      <c r="RTY2490" s="58"/>
      <c r="RTZ2490" s="60"/>
      <c r="RUA2490" s="60"/>
      <c r="RUB2490" s="60"/>
      <c r="RUC2490" s="58"/>
      <c r="RUD2490" s="61"/>
      <c r="RUE2490" s="58"/>
      <c r="RUF2490" s="58"/>
      <c r="RUG2490" s="58"/>
      <c r="RUH2490" s="60"/>
      <c r="RUI2490" s="60"/>
      <c r="RUJ2490" s="60"/>
      <c r="RUK2490" s="58"/>
      <c r="RUL2490" s="61"/>
      <c r="RUM2490" s="58"/>
      <c r="RUN2490" s="58"/>
      <c r="RUO2490" s="58"/>
      <c r="RUP2490" s="60"/>
      <c r="RUQ2490" s="60"/>
      <c r="RUR2490" s="60"/>
      <c r="RUS2490" s="58"/>
      <c r="RUT2490" s="61"/>
      <c r="RUU2490" s="58"/>
      <c r="RUV2490" s="58"/>
      <c r="RUW2490" s="58"/>
      <c r="RUX2490" s="60"/>
      <c r="RUY2490" s="60"/>
      <c r="RUZ2490" s="60"/>
      <c r="RVA2490" s="58"/>
      <c r="RVB2490" s="61"/>
      <c r="RVC2490" s="58"/>
      <c r="RVD2490" s="58"/>
      <c r="RVE2490" s="58"/>
      <c r="RVF2490" s="60"/>
      <c r="RVG2490" s="60"/>
      <c r="RVH2490" s="60"/>
      <c r="RVI2490" s="58"/>
      <c r="RVJ2490" s="61"/>
      <c r="RVK2490" s="58"/>
      <c r="RVL2490" s="58"/>
      <c r="RVM2490" s="58"/>
      <c r="RVN2490" s="60"/>
      <c r="RVO2490" s="60"/>
      <c r="RVP2490" s="60"/>
      <c r="RVQ2490" s="58"/>
      <c r="RVR2490" s="61"/>
      <c r="RVS2490" s="58"/>
      <c r="RVT2490" s="58"/>
      <c r="RVU2490" s="58"/>
      <c r="RVV2490" s="60"/>
      <c r="RVW2490" s="60"/>
      <c r="RVX2490" s="60"/>
      <c r="RVY2490" s="58"/>
      <c r="RVZ2490" s="61"/>
      <c r="RWA2490" s="58"/>
      <c r="RWB2490" s="58"/>
      <c r="RWC2490" s="58"/>
      <c r="RWD2490" s="60"/>
      <c r="RWE2490" s="60"/>
      <c r="RWF2490" s="60"/>
      <c r="RWG2490" s="58"/>
      <c r="RWH2490" s="61"/>
      <c r="RWI2490" s="58"/>
      <c r="RWJ2490" s="58"/>
      <c r="RWK2490" s="58"/>
      <c r="RWL2490" s="60"/>
      <c r="RWM2490" s="60"/>
      <c r="RWN2490" s="60"/>
      <c r="RWO2490" s="58"/>
      <c r="RWP2490" s="61"/>
      <c r="RWQ2490" s="58"/>
      <c r="RWR2490" s="58"/>
      <c r="RWS2490" s="58"/>
      <c r="RWT2490" s="60"/>
      <c r="RWU2490" s="60"/>
      <c r="RWV2490" s="60"/>
      <c r="RWW2490" s="58"/>
      <c r="RWX2490" s="61"/>
      <c r="RWY2490" s="58"/>
      <c r="RWZ2490" s="58"/>
      <c r="RXA2490" s="58"/>
      <c r="RXB2490" s="60"/>
      <c r="RXC2490" s="60"/>
      <c r="RXD2490" s="60"/>
      <c r="RXE2490" s="58"/>
      <c r="RXF2490" s="61"/>
      <c r="RXG2490" s="58"/>
      <c r="RXH2490" s="58"/>
      <c r="RXI2490" s="58"/>
      <c r="RXJ2490" s="60"/>
      <c r="RXK2490" s="60"/>
      <c r="RXL2490" s="60"/>
      <c r="RXM2490" s="58"/>
      <c r="RXN2490" s="61"/>
      <c r="RXO2490" s="58"/>
      <c r="RXP2490" s="58"/>
      <c r="RXQ2490" s="58"/>
      <c r="RXR2490" s="60"/>
      <c r="RXS2490" s="60"/>
      <c r="RXT2490" s="60"/>
      <c r="RXU2490" s="58"/>
      <c r="RXV2490" s="61"/>
      <c r="RXW2490" s="58"/>
      <c r="RXX2490" s="58"/>
      <c r="RXY2490" s="58"/>
      <c r="RXZ2490" s="60"/>
      <c r="RYA2490" s="60"/>
      <c r="RYB2490" s="60"/>
      <c r="RYC2490" s="58"/>
      <c r="RYD2490" s="61"/>
      <c r="RYE2490" s="58"/>
      <c r="RYF2490" s="58"/>
      <c r="RYG2490" s="58"/>
      <c r="RYH2490" s="60"/>
      <c r="RYI2490" s="60"/>
      <c r="RYJ2490" s="60"/>
      <c r="RYK2490" s="58"/>
      <c r="RYL2490" s="61"/>
      <c r="RYM2490" s="58"/>
      <c r="RYN2490" s="58"/>
      <c r="RYO2490" s="58"/>
      <c r="RYP2490" s="60"/>
      <c r="RYQ2490" s="60"/>
      <c r="RYR2490" s="60"/>
      <c r="RYS2490" s="58"/>
      <c r="RYT2490" s="61"/>
      <c r="RYU2490" s="58"/>
      <c r="RYV2490" s="58"/>
      <c r="RYW2490" s="58"/>
      <c r="RYX2490" s="60"/>
      <c r="RYY2490" s="60"/>
      <c r="RYZ2490" s="60"/>
      <c r="RZA2490" s="58"/>
      <c r="RZB2490" s="61"/>
      <c r="RZC2490" s="58"/>
      <c r="RZD2490" s="58"/>
      <c r="RZE2490" s="58"/>
      <c r="RZF2490" s="60"/>
      <c r="RZG2490" s="60"/>
      <c r="RZH2490" s="60"/>
      <c r="RZI2490" s="58"/>
      <c r="RZJ2490" s="61"/>
      <c r="RZK2490" s="58"/>
      <c r="RZL2490" s="58"/>
      <c r="RZM2490" s="58"/>
      <c r="RZN2490" s="60"/>
      <c r="RZO2490" s="60"/>
      <c r="RZP2490" s="60"/>
      <c r="RZQ2490" s="58"/>
      <c r="RZR2490" s="61"/>
      <c r="RZS2490" s="58"/>
      <c r="RZT2490" s="58"/>
      <c r="RZU2490" s="58"/>
      <c r="RZV2490" s="60"/>
      <c r="RZW2490" s="60"/>
      <c r="RZX2490" s="60"/>
      <c r="RZY2490" s="58"/>
      <c r="RZZ2490" s="61"/>
      <c r="SAA2490" s="58"/>
      <c r="SAB2490" s="58"/>
      <c r="SAC2490" s="58"/>
      <c r="SAD2490" s="60"/>
      <c r="SAE2490" s="60"/>
      <c r="SAF2490" s="60"/>
      <c r="SAG2490" s="58"/>
      <c r="SAH2490" s="61"/>
      <c r="SAI2490" s="58"/>
      <c r="SAJ2490" s="58"/>
      <c r="SAK2490" s="58"/>
      <c r="SAL2490" s="60"/>
      <c r="SAM2490" s="60"/>
      <c r="SAN2490" s="60"/>
      <c r="SAO2490" s="58"/>
      <c r="SAP2490" s="61"/>
      <c r="SAQ2490" s="58"/>
      <c r="SAR2490" s="58"/>
      <c r="SAS2490" s="58"/>
      <c r="SAT2490" s="60"/>
      <c r="SAU2490" s="60"/>
      <c r="SAV2490" s="60"/>
      <c r="SAW2490" s="58"/>
      <c r="SAX2490" s="61"/>
      <c r="SAY2490" s="58"/>
      <c r="SAZ2490" s="58"/>
      <c r="SBA2490" s="58"/>
      <c r="SBB2490" s="60"/>
      <c r="SBC2490" s="60"/>
      <c r="SBD2490" s="60"/>
      <c r="SBE2490" s="58"/>
      <c r="SBF2490" s="61"/>
      <c r="SBG2490" s="58"/>
      <c r="SBH2490" s="58"/>
      <c r="SBI2490" s="58"/>
      <c r="SBJ2490" s="60"/>
      <c r="SBK2490" s="60"/>
      <c r="SBL2490" s="60"/>
      <c r="SBM2490" s="58"/>
      <c r="SBN2490" s="61"/>
      <c r="SBO2490" s="58"/>
      <c r="SBP2490" s="58"/>
      <c r="SBQ2490" s="58"/>
      <c r="SBR2490" s="60"/>
      <c r="SBS2490" s="60"/>
      <c r="SBT2490" s="60"/>
      <c r="SBU2490" s="58"/>
      <c r="SBV2490" s="61"/>
      <c r="SBW2490" s="58"/>
      <c r="SBX2490" s="58"/>
      <c r="SBY2490" s="58"/>
      <c r="SBZ2490" s="60"/>
      <c r="SCA2490" s="60"/>
      <c r="SCB2490" s="60"/>
      <c r="SCC2490" s="58"/>
      <c r="SCD2490" s="61"/>
      <c r="SCE2490" s="58"/>
      <c r="SCF2490" s="58"/>
      <c r="SCG2490" s="58"/>
      <c r="SCH2490" s="60"/>
      <c r="SCI2490" s="60"/>
      <c r="SCJ2490" s="60"/>
      <c r="SCK2490" s="58"/>
      <c r="SCL2490" s="61"/>
      <c r="SCM2490" s="58"/>
      <c r="SCN2490" s="58"/>
      <c r="SCO2490" s="58"/>
      <c r="SCP2490" s="60"/>
      <c r="SCQ2490" s="60"/>
      <c r="SCR2490" s="60"/>
      <c r="SCS2490" s="58"/>
      <c r="SCT2490" s="61"/>
      <c r="SCU2490" s="58"/>
      <c r="SCV2490" s="58"/>
      <c r="SCW2490" s="58"/>
      <c r="SCX2490" s="60"/>
      <c r="SCY2490" s="60"/>
      <c r="SCZ2490" s="60"/>
      <c r="SDA2490" s="58"/>
      <c r="SDB2490" s="61"/>
      <c r="SDC2490" s="58"/>
      <c r="SDD2490" s="58"/>
      <c r="SDE2490" s="58"/>
      <c r="SDF2490" s="60"/>
      <c r="SDG2490" s="60"/>
      <c r="SDH2490" s="60"/>
      <c r="SDI2490" s="58"/>
      <c r="SDJ2490" s="61"/>
      <c r="SDK2490" s="58"/>
      <c r="SDL2490" s="58"/>
      <c r="SDM2490" s="58"/>
      <c r="SDN2490" s="60"/>
      <c r="SDO2490" s="60"/>
      <c r="SDP2490" s="60"/>
      <c r="SDQ2490" s="58"/>
      <c r="SDR2490" s="61"/>
      <c r="SDS2490" s="58"/>
      <c r="SDT2490" s="58"/>
      <c r="SDU2490" s="58"/>
      <c r="SDV2490" s="60"/>
      <c r="SDW2490" s="60"/>
      <c r="SDX2490" s="60"/>
      <c r="SDY2490" s="58"/>
      <c r="SDZ2490" s="61"/>
      <c r="SEA2490" s="58"/>
      <c r="SEB2490" s="58"/>
      <c r="SEC2490" s="58"/>
      <c r="SED2490" s="60"/>
      <c r="SEE2490" s="60"/>
      <c r="SEF2490" s="60"/>
      <c r="SEG2490" s="58"/>
      <c r="SEH2490" s="61"/>
      <c r="SEI2490" s="58"/>
      <c r="SEJ2490" s="58"/>
      <c r="SEK2490" s="58"/>
      <c r="SEL2490" s="60"/>
      <c r="SEM2490" s="60"/>
      <c r="SEN2490" s="60"/>
      <c r="SEO2490" s="58"/>
      <c r="SEP2490" s="61"/>
      <c r="SEQ2490" s="58"/>
      <c r="SER2490" s="58"/>
      <c r="SES2490" s="58"/>
      <c r="SET2490" s="60"/>
      <c r="SEU2490" s="60"/>
      <c r="SEV2490" s="60"/>
      <c r="SEW2490" s="58"/>
      <c r="SEX2490" s="61"/>
      <c r="SEY2490" s="58"/>
      <c r="SEZ2490" s="58"/>
      <c r="SFA2490" s="58"/>
      <c r="SFB2490" s="60"/>
      <c r="SFC2490" s="60"/>
      <c r="SFD2490" s="60"/>
      <c r="SFE2490" s="58"/>
      <c r="SFF2490" s="61"/>
      <c r="SFG2490" s="58"/>
      <c r="SFH2490" s="58"/>
      <c r="SFI2490" s="58"/>
      <c r="SFJ2490" s="60"/>
      <c r="SFK2490" s="60"/>
      <c r="SFL2490" s="60"/>
      <c r="SFM2490" s="58"/>
      <c r="SFN2490" s="61"/>
      <c r="SFO2490" s="58"/>
      <c r="SFP2490" s="58"/>
      <c r="SFQ2490" s="58"/>
      <c r="SFR2490" s="60"/>
      <c r="SFS2490" s="60"/>
      <c r="SFT2490" s="60"/>
      <c r="SFU2490" s="58"/>
      <c r="SFV2490" s="61"/>
      <c r="SFW2490" s="58"/>
      <c r="SFX2490" s="58"/>
      <c r="SFY2490" s="58"/>
      <c r="SFZ2490" s="60"/>
      <c r="SGA2490" s="60"/>
      <c r="SGB2490" s="60"/>
      <c r="SGC2490" s="58"/>
      <c r="SGD2490" s="61"/>
      <c r="SGE2490" s="58"/>
      <c r="SGF2490" s="58"/>
      <c r="SGG2490" s="58"/>
      <c r="SGH2490" s="60"/>
      <c r="SGI2490" s="60"/>
      <c r="SGJ2490" s="60"/>
      <c r="SGK2490" s="58"/>
      <c r="SGL2490" s="61"/>
      <c r="SGM2490" s="58"/>
      <c r="SGN2490" s="58"/>
      <c r="SGO2490" s="58"/>
      <c r="SGP2490" s="60"/>
      <c r="SGQ2490" s="60"/>
      <c r="SGR2490" s="60"/>
      <c r="SGS2490" s="58"/>
      <c r="SGT2490" s="61"/>
      <c r="SGU2490" s="58"/>
      <c r="SGV2490" s="58"/>
      <c r="SGW2490" s="58"/>
      <c r="SGX2490" s="60"/>
      <c r="SGY2490" s="60"/>
      <c r="SGZ2490" s="60"/>
      <c r="SHA2490" s="58"/>
      <c r="SHB2490" s="61"/>
      <c r="SHC2490" s="58"/>
      <c r="SHD2490" s="58"/>
      <c r="SHE2490" s="58"/>
      <c r="SHF2490" s="60"/>
      <c r="SHG2490" s="60"/>
      <c r="SHH2490" s="60"/>
      <c r="SHI2490" s="58"/>
      <c r="SHJ2490" s="61"/>
      <c r="SHK2490" s="58"/>
      <c r="SHL2490" s="58"/>
      <c r="SHM2490" s="58"/>
      <c r="SHN2490" s="60"/>
      <c r="SHO2490" s="60"/>
      <c r="SHP2490" s="60"/>
      <c r="SHQ2490" s="58"/>
      <c r="SHR2490" s="61"/>
      <c r="SHS2490" s="58"/>
      <c r="SHT2490" s="58"/>
      <c r="SHU2490" s="58"/>
      <c r="SHV2490" s="60"/>
      <c r="SHW2490" s="60"/>
      <c r="SHX2490" s="60"/>
      <c r="SHY2490" s="58"/>
      <c r="SHZ2490" s="61"/>
      <c r="SIA2490" s="58"/>
      <c r="SIB2490" s="58"/>
      <c r="SIC2490" s="58"/>
      <c r="SID2490" s="60"/>
      <c r="SIE2490" s="60"/>
      <c r="SIF2490" s="60"/>
      <c r="SIG2490" s="58"/>
      <c r="SIH2490" s="61"/>
      <c r="SII2490" s="58"/>
      <c r="SIJ2490" s="58"/>
      <c r="SIK2490" s="58"/>
      <c r="SIL2490" s="60"/>
      <c r="SIM2490" s="60"/>
      <c r="SIN2490" s="60"/>
      <c r="SIO2490" s="58"/>
      <c r="SIP2490" s="61"/>
      <c r="SIQ2490" s="58"/>
      <c r="SIR2490" s="58"/>
      <c r="SIS2490" s="58"/>
      <c r="SIT2490" s="60"/>
      <c r="SIU2490" s="60"/>
      <c r="SIV2490" s="60"/>
      <c r="SIW2490" s="58"/>
      <c r="SIX2490" s="61"/>
      <c r="SIY2490" s="58"/>
      <c r="SIZ2490" s="58"/>
      <c r="SJA2490" s="58"/>
      <c r="SJB2490" s="60"/>
      <c r="SJC2490" s="60"/>
      <c r="SJD2490" s="60"/>
      <c r="SJE2490" s="58"/>
      <c r="SJF2490" s="61"/>
      <c r="SJG2490" s="58"/>
      <c r="SJH2490" s="58"/>
      <c r="SJI2490" s="58"/>
      <c r="SJJ2490" s="60"/>
      <c r="SJK2490" s="60"/>
      <c r="SJL2490" s="60"/>
      <c r="SJM2490" s="58"/>
      <c r="SJN2490" s="61"/>
      <c r="SJO2490" s="58"/>
      <c r="SJP2490" s="58"/>
      <c r="SJQ2490" s="58"/>
      <c r="SJR2490" s="60"/>
      <c r="SJS2490" s="60"/>
      <c r="SJT2490" s="60"/>
      <c r="SJU2490" s="58"/>
      <c r="SJV2490" s="61"/>
      <c r="SJW2490" s="58"/>
      <c r="SJX2490" s="58"/>
      <c r="SJY2490" s="58"/>
      <c r="SJZ2490" s="60"/>
      <c r="SKA2490" s="60"/>
      <c r="SKB2490" s="60"/>
      <c r="SKC2490" s="58"/>
      <c r="SKD2490" s="61"/>
      <c r="SKE2490" s="58"/>
      <c r="SKF2490" s="58"/>
      <c r="SKG2490" s="58"/>
      <c r="SKH2490" s="60"/>
      <c r="SKI2490" s="60"/>
      <c r="SKJ2490" s="60"/>
      <c r="SKK2490" s="58"/>
      <c r="SKL2490" s="61"/>
      <c r="SKM2490" s="58"/>
      <c r="SKN2490" s="58"/>
      <c r="SKO2490" s="58"/>
      <c r="SKP2490" s="60"/>
      <c r="SKQ2490" s="60"/>
      <c r="SKR2490" s="60"/>
      <c r="SKS2490" s="58"/>
      <c r="SKT2490" s="61"/>
      <c r="SKU2490" s="58"/>
      <c r="SKV2490" s="58"/>
      <c r="SKW2490" s="58"/>
      <c r="SKX2490" s="60"/>
      <c r="SKY2490" s="60"/>
      <c r="SKZ2490" s="60"/>
      <c r="SLA2490" s="58"/>
      <c r="SLB2490" s="61"/>
      <c r="SLC2490" s="58"/>
      <c r="SLD2490" s="58"/>
      <c r="SLE2490" s="58"/>
      <c r="SLF2490" s="60"/>
      <c r="SLG2490" s="60"/>
      <c r="SLH2490" s="60"/>
      <c r="SLI2490" s="58"/>
      <c r="SLJ2490" s="61"/>
      <c r="SLK2490" s="58"/>
      <c r="SLL2490" s="58"/>
      <c r="SLM2490" s="58"/>
      <c r="SLN2490" s="60"/>
      <c r="SLO2490" s="60"/>
      <c r="SLP2490" s="60"/>
      <c r="SLQ2490" s="58"/>
      <c r="SLR2490" s="61"/>
      <c r="SLS2490" s="58"/>
      <c r="SLT2490" s="58"/>
      <c r="SLU2490" s="58"/>
      <c r="SLV2490" s="60"/>
      <c r="SLW2490" s="60"/>
      <c r="SLX2490" s="60"/>
      <c r="SLY2490" s="58"/>
      <c r="SLZ2490" s="61"/>
      <c r="SMA2490" s="58"/>
      <c r="SMB2490" s="58"/>
      <c r="SMC2490" s="58"/>
      <c r="SMD2490" s="60"/>
      <c r="SME2490" s="60"/>
      <c r="SMF2490" s="60"/>
      <c r="SMG2490" s="58"/>
      <c r="SMH2490" s="61"/>
      <c r="SMI2490" s="58"/>
      <c r="SMJ2490" s="58"/>
      <c r="SMK2490" s="58"/>
      <c r="SML2490" s="60"/>
      <c r="SMM2490" s="60"/>
      <c r="SMN2490" s="60"/>
      <c r="SMO2490" s="58"/>
      <c r="SMP2490" s="61"/>
      <c r="SMQ2490" s="58"/>
      <c r="SMR2490" s="58"/>
      <c r="SMS2490" s="58"/>
      <c r="SMT2490" s="60"/>
      <c r="SMU2490" s="60"/>
      <c r="SMV2490" s="60"/>
      <c r="SMW2490" s="58"/>
      <c r="SMX2490" s="61"/>
      <c r="SMY2490" s="58"/>
      <c r="SMZ2490" s="58"/>
      <c r="SNA2490" s="58"/>
      <c r="SNB2490" s="60"/>
      <c r="SNC2490" s="60"/>
      <c r="SND2490" s="60"/>
      <c r="SNE2490" s="58"/>
      <c r="SNF2490" s="61"/>
      <c r="SNG2490" s="58"/>
      <c r="SNH2490" s="58"/>
      <c r="SNI2490" s="58"/>
      <c r="SNJ2490" s="60"/>
      <c r="SNK2490" s="60"/>
      <c r="SNL2490" s="60"/>
      <c r="SNM2490" s="58"/>
      <c r="SNN2490" s="61"/>
      <c r="SNO2490" s="58"/>
      <c r="SNP2490" s="58"/>
      <c r="SNQ2490" s="58"/>
      <c r="SNR2490" s="60"/>
      <c r="SNS2490" s="60"/>
      <c r="SNT2490" s="60"/>
      <c r="SNU2490" s="58"/>
      <c r="SNV2490" s="61"/>
      <c r="SNW2490" s="58"/>
      <c r="SNX2490" s="58"/>
      <c r="SNY2490" s="58"/>
      <c r="SNZ2490" s="60"/>
      <c r="SOA2490" s="60"/>
      <c r="SOB2490" s="60"/>
      <c r="SOC2490" s="58"/>
      <c r="SOD2490" s="61"/>
      <c r="SOE2490" s="58"/>
      <c r="SOF2490" s="58"/>
      <c r="SOG2490" s="58"/>
      <c r="SOH2490" s="60"/>
      <c r="SOI2490" s="60"/>
      <c r="SOJ2490" s="60"/>
      <c r="SOK2490" s="58"/>
      <c r="SOL2490" s="61"/>
      <c r="SOM2490" s="58"/>
      <c r="SON2490" s="58"/>
      <c r="SOO2490" s="58"/>
      <c r="SOP2490" s="60"/>
      <c r="SOQ2490" s="60"/>
      <c r="SOR2490" s="60"/>
      <c r="SOS2490" s="58"/>
      <c r="SOT2490" s="61"/>
      <c r="SOU2490" s="58"/>
      <c r="SOV2490" s="58"/>
      <c r="SOW2490" s="58"/>
      <c r="SOX2490" s="60"/>
      <c r="SOY2490" s="60"/>
      <c r="SOZ2490" s="60"/>
      <c r="SPA2490" s="58"/>
      <c r="SPB2490" s="61"/>
      <c r="SPC2490" s="58"/>
      <c r="SPD2490" s="58"/>
      <c r="SPE2490" s="58"/>
      <c r="SPF2490" s="60"/>
      <c r="SPG2490" s="60"/>
      <c r="SPH2490" s="60"/>
      <c r="SPI2490" s="58"/>
      <c r="SPJ2490" s="61"/>
      <c r="SPK2490" s="58"/>
      <c r="SPL2490" s="58"/>
      <c r="SPM2490" s="58"/>
      <c r="SPN2490" s="60"/>
      <c r="SPO2490" s="60"/>
      <c r="SPP2490" s="60"/>
      <c r="SPQ2490" s="58"/>
      <c r="SPR2490" s="61"/>
      <c r="SPS2490" s="58"/>
      <c r="SPT2490" s="58"/>
      <c r="SPU2490" s="58"/>
      <c r="SPV2490" s="60"/>
      <c r="SPW2490" s="60"/>
      <c r="SPX2490" s="60"/>
      <c r="SPY2490" s="58"/>
      <c r="SPZ2490" s="61"/>
      <c r="SQA2490" s="58"/>
      <c r="SQB2490" s="58"/>
      <c r="SQC2490" s="58"/>
      <c r="SQD2490" s="60"/>
      <c r="SQE2490" s="60"/>
      <c r="SQF2490" s="60"/>
      <c r="SQG2490" s="58"/>
      <c r="SQH2490" s="61"/>
      <c r="SQI2490" s="58"/>
      <c r="SQJ2490" s="58"/>
      <c r="SQK2490" s="58"/>
      <c r="SQL2490" s="60"/>
      <c r="SQM2490" s="60"/>
      <c r="SQN2490" s="60"/>
      <c r="SQO2490" s="58"/>
      <c r="SQP2490" s="61"/>
      <c r="SQQ2490" s="58"/>
      <c r="SQR2490" s="58"/>
      <c r="SQS2490" s="58"/>
      <c r="SQT2490" s="60"/>
      <c r="SQU2490" s="60"/>
      <c r="SQV2490" s="60"/>
      <c r="SQW2490" s="58"/>
      <c r="SQX2490" s="61"/>
      <c r="SQY2490" s="58"/>
      <c r="SQZ2490" s="58"/>
      <c r="SRA2490" s="58"/>
      <c r="SRB2490" s="60"/>
      <c r="SRC2490" s="60"/>
      <c r="SRD2490" s="60"/>
      <c r="SRE2490" s="58"/>
      <c r="SRF2490" s="61"/>
      <c r="SRG2490" s="58"/>
      <c r="SRH2490" s="58"/>
      <c r="SRI2490" s="58"/>
      <c r="SRJ2490" s="60"/>
      <c r="SRK2490" s="60"/>
      <c r="SRL2490" s="60"/>
      <c r="SRM2490" s="58"/>
      <c r="SRN2490" s="61"/>
      <c r="SRO2490" s="58"/>
      <c r="SRP2490" s="58"/>
      <c r="SRQ2490" s="58"/>
      <c r="SRR2490" s="60"/>
      <c r="SRS2490" s="60"/>
      <c r="SRT2490" s="60"/>
      <c r="SRU2490" s="58"/>
      <c r="SRV2490" s="61"/>
      <c r="SRW2490" s="58"/>
      <c r="SRX2490" s="58"/>
      <c r="SRY2490" s="58"/>
      <c r="SRZ2490" s="60"/>
      <c r="SSA2490" s="60"/>
      <c r="SSB2490" s="60"/>
      <c r="SSC2490" s="58"/>
      <c r="SSD2490" s="61"/>
      <c r="SSE2490" s="58"/>
      <c r="SSF2490" s="58"/>
      <c r="SSG2490" s="58"/>
      <c r="SSH2490" s="60"/>
      <c r="SSI2490" s="60"/>
      <c r="SSJ2490" s="60"/>
      <c r="SSK2490" s="58"/>
      <c r="SSL2490" s="61"/>
      <c r="SSM2490" s="58"/>
      <c r="SSN2490" s="58"/>
      <c r="SSO2490" s="58"/>
      <c r="SSP2490" s="60"/>
      <c r="SSQ2490" s="60"/>
      <c r="SSR2490" s="60"/>
      <c r="SSS2490" s="58"/>
      <c r="SST2490" s="61"/>
      <c r="SSU2490" s="58"/>
      <c r="SSV2490" s="58"/>
      <c r="SSW2490" s="58"/>
      <c r="SSX2490" s="60"/>
      <c r="SSY2490" s="60"/>
      <c r="SSZ2490" s="60"/>
      <c r="STA2490" s="58"/>
      <c r="STB2490" s="61"/>
      <c r="STC2490" s="58"/>
      <c r="STD2490" s="58"/>
      <c r="STE2490" s="58"/>
      <c r="STF2490" s="60"/>
      <c r="STG2490" s="60"/>
      <c r="STH2490" s="60"/>
      <c r="STI2490" s="58"/>
      <c r="STJ2490" s="61"/>
      <c r="STK2490" s="58"/>
      <c r="STL2490" s="58"/>
      <c r="STM2490" s="58"/>
      <c r="STN2490" s="60"/>
      <c r="STO2490" s="60"/>
      <c r="STP2490" s="60"/>
      <c r="STQ2490" s="58"/>
      <c r="STR2490" s="61"/>
      <c r="STS2490" s="58"/>
      <c r="STT2490" s="58"/>
      <c r="STU2490" s="58"/>
      <c r="STV2490" s="60"/>
      <c r="STW2490" s="60"/>
      <c r="STX2490" s="60"/>
      <c r="STY2490" s="58"/>
      <c r="STZ2490" s="61"/>
      <c r="SUA2490" s="58"/>
      <c r="SUB2490" s="58"/>
      <c r="SUC2490" s="58"/>
      <c r="SUD2490" s="60"/>
      <c r="SUE2490" s="60"/>
      <c r="SUF2490" s="60"/>
      <c r="SUG2490" s="58"/>
      <c r="SUH2490" s="61"/>
      <c r="SUI2490" s="58"/>
      <c r="SUJ2490" s="58"/>
      <c r="SUK2490" s="58"/>
      <c r="SUL2490" s="60"/>
      <c r="SUM2490" s="60"/>
      <c r="SUN2490" s="60"/>
      <c r="SUO2490" s="58"/>
      <c r="SUP2490" s="61"/>
      <c r="SUQ2490" s="58"/>
      <c r="SUR2490" s="58"/>
      <c r="SUS2490" s="58"/>
      <c r="SUT2490" s="60"/>
      <c r="SUU2490" s="60"/>
      <c r="SUV2490" s="60"/>
      <c r="SUW2490" s="58"/>
      <c r="SUX2490" s="61"/>
      <c r="SUY2490" s="58"/>
      <c r="SUZ2490" s="58"/>
      <c r="SVA2490" s="58"/>
      <c r="SVB2490" s="60"/>
      <c r="SVC2490" s="60"/>
      <c r="SVD2490" s="60"/>
      <c r="SVE2490" s="58"/>
      <c r="SVF2490" s="61"/>
      <c r="SVG2490" s="58"/>
      <c r="SVH2490" s="58"/>
      <c r="SVI2490" s="58"/>
      <c r="SVJ2490" s="60"/>
      <c r="SVK2490" s="60"/>
      <c r="SVL2490" s="60"/>
      <c r="SVM2490" s="58"/>
      <c r="SVN2490" s="61"/>
      <c r="SVO2490" s="58"/>
      <c r="SVP2490" s="58"/>
      <c r="SVQ2490" s="58"/>
      <c r="SVR2490" s="60"/>
      <c r="SVS2490" s="60"/>
      <c r="SVT2490" s="60"/>
      <c r="SVU2490" s="58"/>
      <c r="SVV2490" s="61"/>
      <c r="SVW2490" s="58"/>
      <c r="SVX2490" s="58"/>
      <c r="SVY2490" s="58"/>
      <c r="SVZ2490" s="60"/>
      <c r="SWA2490" s="60"/>
      <c r="SWB2490" s="60"/>
      <c r="SWC2490" s="58"/>
      <c r="SWD2490" s="61"/>
      <c r="SWE2490" s="58"/>
      <c r="SWF2490" s="58"/>
      <c r="SWG2490" s="58"/>
      <c r="SWH2490" s="60"/>
      <c r="SWI2490" s="60"/>
      <c r="SWJ2490" s="60"/>
      <c r="SWK2490" s="58"/>
      <c r="SWL2490" s="61"/>
      <c r="SWM2490" s="58"/>
      <c r="SWN2490" s="58"/>
      <c r="SWO2490" s="58"/>
      <c r="SWP2490" s="60"/>
      <c r="SWQ2490" s="60"/>
      <c r="SWR2490" s="60"/>
      <c r="SWS2490" s="58"/>
      <c r="SWT2490" s="61"/>
      <c r="SWU2490" s="58"/>
      <c r="SWV2490" s="58"/>
      <c r="SWW2490" s="58"/>
      <c r="SWX2490" s="60"/>
      <c r="SWY2490" s="60"/>
      <c r="SWZ2490" s="60"/>
      <c r="SXA2490" s="58"/>
      <c r="SXB2490" s="61"/>
      <c r="SXC2490" s="58"/>
      <c r="SXD2490" s="58"/>
      <c r="SXE2490" s="58"/>
      <c r="SXF2490" s="60"/>
      <c r="SXG2490" s="60"/>
      <c r="SXH2490" s="60"/>
      <c r="SXI2490" s="58"/>
      <c r="SXJ2490" s="61"/>
      <c r="SXK2490" s="58"/>
      <c r="SXL2490" s="58"/>
      <c r="SXM2490" s="58"/>
      <c r="SXN2490" s="60"/>
      <c r="SXO2490" s="60"/>
      <c r="SXP2490" s="60"/>
      <c r="SXQ2490" s="58"/>
      <c r="SXR2490" s="61"/>
      <c r="SXS2490" s="58"/>
      <c r="SXT2490" s="58"/>
      <c r="SXU2490" s="58"/>
      <c r="SXV2490" s="60"/>
      <c r="SXW2490" s="60"/>
      <c r="SXX2490" s="60"/>
      <c r="SXY2490" s="58"/>
      <c r="SXZ2490" s="61"/>
      <c r="SYA2490" s="58"/>
      <c r="SYB2490" s="58"/>
      <c r="SYC2490" s="58"/>
      <c r="SYD2490" s="60"/>
      <c r="SYE2490" s="60"/>
      <c r="SYF2490" s="60"/>
      <c r="SYG2490" s="58"/>
      <c r="SYH2490" s="61"/>
      <c r="SYI2490" s="58"/>
      <c r="SYJ2490" s="58"/>
      <c r="SYK2490" s="58"/>
      <c r="SYL2490" s="60"/>
      <c r="SYM2490" s="60"/>
      <c r="SYN2490" s="60"/>
      <c r="SYO2490" s="58"/>
      <c r="SYP2490" s="61"/>
      <c r="SYQ2490" s="58"/>
      <c r="SYR2490" s="58"/>
      <c r="SYS2490" s="58"/>
      <c r="SYT2490" s="60"/>
      <c r="SYU2490" s="60"/>
      <c r="SYV2490" s="60"/>
      <c r="SYW2490" s="58"/>
      <c r="SYX2490" s="61"/>
      <c r="SYY2490" s="58"/>
      <c r="SYZ2490" s="58"/>
      <c r="SZA2490" s="58"/>
      <c r="SZB2490" s="60"/>
      <c r="SZC2490" s="60"/>
      <c r="SZD2490" s="60"/>
      <c r="SZE2490" s="58"/>
      <c r="SZF2490" s="61"/>
      <c r="SZG2490" s="58"/>
      <c r="SZH2490" s="58"/>
      <c r="SZI2490" s="58"/>
      <c r="SZJ2490" s="60"/>
      <c r="SZK2490" s="60"/>
      <c r="SZL2490" s="60"/>
      <c r="SZM2490" s="58"/>
      <c r="SZN2490" s="61"/>
      <c r="SZO2490" s="58"/>
      <c r="SZP2490" s="58"/>
      <c r="SZQ2490" s="58"/>
      <c r="SZR2490" s="60"/>
      <c r="SZS2490" s="60"/>
      <c r="SZT2490" s="60"/>
      <c r="SZU2490" s="58"/>
      <c r="SZV2490" s="61"/>
      <c r="SZW2490" s="58"/>
      <c r="SZX2490" s="58"/>
      <c r="SZY2490" s="58"/>
      <c r="SZZ2490" s="60"/>
      <c r="TAA2490" s="60"/>
      <c r="TAB2490" s="60"/>
      <c r="TAC2490" s="58"/>
      <c r="TAD2490" s="61"/>
      <c r="TAE2490" s="58"/>
      <c r="TAF2490" s="58"/>
      <c r="TAG2490" s="58"/>
      <c r="TAH2490" s="60"/>
      <c r="TAI2490" s="60"/>
      <c r="TAJ2490" s="60"/>
      <c r="TAK2490" s="58"/>
      <c r="TAL2490" s="61"/>
      <c r="TAM2490" s="58"/>
      <c r="TAN2490" s="58"/>
      <c r="TAO2490" s="58"/>
      <c r="TAP2490" s="60"/>
      <c r="TAQ2490" s="60"/>
      <c r="TAR2490" s="60"/>
      <c r="TAS2490" s="58"/>
      <c r="TAT2490" s="61"/>
      <c r="TAU2490" s="58"/>
      <c r="TAV2490" s="58"/>
      <c r="TAW2490" s="58"/>
      <c r="TAX2490" s="60"/>
      <c r="TAY2490" s="60"/>
      <c r="TAZ2490" s="60"/>
      <c r="TBA2490" s="58"/>
      <c r="TBB2490" s="61"/>
      <c r="TBC2490" s="58"/>
      <c r="TBD2490" s="58"/>
      <c r="TBE2490" s="58"/>
      <c r="TBF2490" s="60"/>
      <c r="TBG2490" s="60"/>
      <c r="TBH2490" s="60"/>
      <c r="TBI2490" s="58"/>
      <c r="TBJ2490" s="61"/>
      <c r="TBK2490" s="58"/>
      <c r="TBL2490" s="58"/>
      <c r="TBM2490" s="58"/>
      <c r="TBN2490" s="60"/>
      <c r="TBO2490" s="60"/>
      <c r="TBP2490" s="60"/>
      <c r="TBQ2490" s="58"/>
      <c r="TBR2490" s="61"/>
      <c r="TBS2490" s="58"/>
      <c r="TBT2490" s="58"/>
      <c r="TBU2490" s="58"/>
      <c r="TBV2490" s="60"/>
      <c r="TBW2490" s="60"/>
      <c r="TBX2490" s="60"/>
      <c r="TBY2490" s="58"/>
      <c r="TBZ2490" s="61"/>
      <c r="TCA2490" s="58"/>
      <c r="TCB2490" s="58"/>
      <c r="TCC2490" s="58"/>
      <c r="TCD2490" s="60"/>
      <c r="TCE2490" s="60"/>
      <c r="TCF2490" s="60"/>
      <c r="TCG2490" s="58"/>
      <c r="TCH2490" s="61"/>
      <c r="TCI2490" s="58"/>
      <c r="TCJ2490" s="58"/>
      <c r="TCK2490" s="58"/>
      <c r="TCL2490" s="60"/>
      <c r="TCM2490" s="60"/>
      <c r="TCN2490" s="60"/>
      <c r="TCO2490" s="58"/>
      <c r="TCP2490" s="61"/>
      <c r="TCQ2490" s="58"/>
      <c r="TCR2490" s="58"/>
      <c r="TCS2490" s="58"/>
      <c r="TCT2490" s="60"/>
      <c r="TCU2490" s="60"/>
      <c r="TCV2490" s="60"/>
      <c r="TCW2490" s="58"/>
      <c r="TCX2490" s="61"/>
      <c r="TCY2490" s="58"/>
      <c r="TCZ2490" s="58"/>
      <c r="TDA2490" s="58"/>
      <c r="TDB2490" s="60"/>
      <c r="TDC2490" s="60"/>
      <c r="TDD2490" s="60"/>
      <c r="TDE2490" s="58"/>
      <c r="TDF2490" s="61"/>
      <c r="TDG2490" s="58"/>
      <c r="TDH2490" s="58"/>
      <c r="TDI2490" s="58"/>
      <c r="TDJ2490" s="60"/>
      <c r="TDK2490" s="60"/>
      <c r="TDL2490" s="60"/>
      <c r="TDM2490" s="58"/>
      <c r="TDN2490" s="61"/>
      <c r="TDO2490" s="58"/>
      <c r="TDP2490" s="58"/>
      <c r="TDQ2490" s="58"/>
      <c r="TDR2490" s="60"/>
      <c r="TDS2490" s="60"/>
      <c r="TDT2490" s="60"/>
      <c r="TDU2490" s="58"/>
      <c r="TDV2490" s="61"/>
      <c r="TDW2490" s="58"/>
      <c r="TDX2490" s="58"/>
      <c r="TDY2490" s="58"/>
      <c r="TDZ2490" s="60"/>
      <c r="TEA2490" s="60"/>
      <c r="TEB2490" s="60"/>
      <c r="TEC2490" s="58"/>
      <c r="TED2490" s="61"/>
      <c r="TEE2490" s="58"/>
      <c r="TEF2490" s="58"/>
      <c r="TEG2490" s="58"/>
      <c r="TEH2490" s="60"/>
      <c r="TEI2490" s="60"/>
      <c r="TEJ2490" s="60"/>
      <c r="TEK2490" s="58"/>
      <c r="TEL2490" s="61"/>
      <c r="TEM2490" s="58"/>
      <c r="TEN2490" s="58"/>
      <c r="TEO2490" s="58"/>
      <c r="TEP2490" s="60"/>
      <c r="TEQ2490" s="60"/>
      <c r="TER2490" s="60"/>
      <c r="TES2490" s="58"/>
      <c r="TET2490" s="61"/>
      <c r="TEU2490" s="58"/>
      <c r="TEV2490" s="58"/>
      <c r="TEW2490" s="58"/>
      <c r="TEX2490" s="60"/>
      <c r="TEY2490" s="60"/>
      <c r="TEZ2490" s="60"/>
      <c r="TFA2490" s="58"/>
      <c r="TFB2490" s="61"/>
      <c r="TFC2490" s="58"/>
      <c r="TFD2490" s="58"/>
      <c r="TFE2490" s="58"/>
      <c r="TFF2490" s="60"/>
      <c r="TFG2490" s="60"/>
      <c r="TFH2490" s="60"/>
      <c r="TFI2490" s="58"/>
      <c r="TFJ2490" s="61"/>
      <c r="TFK2490" s="58"/>
      <c r="TFL2490" s="58"/>
      <c r="TFM2490" s="58"/>
      <c r="TFN2490" s="60"/>
      <c r="TFO2490" s="60"/>
      <c r="TFP2490" s="60"/>
      <c r="TFQ2490" s="58"/>
      <c r="TFR2490" s="61"/>
      <c r="TFS2490" s="58"/>
      <c r="TFT2490" s="58"/>
      <c r="TFU2490" s="58"/>
      <c r="TFV2490" s="60"/>
      <c r="TFW2490" s="60"/>
      <c r="TFX2490" s="60"/>
      <c r="TFY2490" s="58"/>
      <c r="TFZ2490" s="61"/>
      <c r="TGA2490" s="58"/>
      <c r="TGB2490" s="58"/>
      <c r="TGC2490" s="58"/>
      <c r="TGD2490" s="60"/>
      <c r="TGE2490" s="60"/>
      <c r="TGF2490" s="60"/>
      <c r="TGG2490" s="58"/>
      <c r="TGH2490" s="61"/>
      <c r="TGI2490" s="58"/>
      <c r="TGJ2490" s="58"/>
      <c r="TGK2490" s="58"/>
      <c r="TGL2490" s="60"/>
      <c r="TGM2490" s="60"/>
      <c r="TGN2490" s="60"/>
      <c r="TGO2490" s="58"/>
      <c r="TGP2490" s="61"/>
      <c r="TGQ2490" s="58"/>
      <c r="TGR2490" s="58"/>
      <c r="TGS2490" s="58"/>
      <c r="TGT2490" s="60"/>
      <c r="TGU2490" s="60"/>
      <c r="TGV2490" s="60"/>
      <c r="TGW2490" s="58"/>
      <c r="TGX2490" s="61"/>
      <c r="TGY2490" s="58"/>
      <c r="TGZ2490" s="58"/>
      <c r="THA2490" s="58"/>
      <c r="THB2490" s="60"/>
      <c r="THC2490" s="60"/>
      <c r="THD2490" s="60"/>
      <c r="THE2490" s="58"/>
      <c r="THF2490" s="61"/>
      <c r="THG2490" s="58"/>
      <c r="THH2490" s="58"/>
      <c r="THI2490" s="58"/>
      <c r="THJ2490" s="60"/>
      <c r="THK2490" s="60"/>
      <c r="THL2490" s="60"/>
      <c r="THM2490" s="58"/>
      <c r="THN2490" s="61"/>
      <c r="THO2490" s="58"/>
      <c r="THP2490" s="58"/>
      <c r="THQ2490" s="58"/>
      <c r="THR2490" s="60"/>
      <c r="THS2490" s="60"/>
      <c r="THT2490" s="60"/>
      <c r="THU2490" s="58"/>
      <c r="THV2490" s="61"/>
      <c r="THW2490" s="58"/>
      <c r="THX2490" s="58"/>
      <c r="THY2490" s="58"/>
      <c r="THZ2490" s="60"/>
      <c r="TIA2490" s="60"/>
      <c r="TIB2490" s="60"/>
      <c r="TIC2490" s="58"/>
      <c r="TID2490" s="61"/>
      <c r="TIE2490" s="58"/>
      <c r="TIF2490" s="58"/>
      <c r="TIG2490" s="58"/>
      <c r="TIH2490" s="60"/>
      <c r="TII2490" s="60"/>
      <c r="TIJ2490" s="60"/>
      <c r="TIK2490" s="58"/>
      <c r="TIL2490" s="61"/>
      <c r="TIM2490" s="58"/>
      <c r="TIN2490" s="58"/>
      <c r="TIO2490" s="58"/>
      <c r="TIP2490" s="60"/>
      <c r="TIQ2490" s="60"/>
      <c r="TIR2490" s="60"/>
      <c r="TIS2490" s="58"/>
      <c r="TIT2490" s="61"/>
      <c r="TIU2490" s="58"/>
      <c r="TIV2490" s="58"/>
      <c r="TIW2490" s="58"/>
      <c r="TIX2490" s="60"/>
      <c r="TIY2490" s="60"/>
      <c r="TIZ2490" s="60"/>
      <c r="TJA2490" s="58"/>
      <c r="TJB2490" s="61"/>
      <c r="TJC2490" s="58"/>
      <c r="TJD2490" s="58"/>
      <c r="TJE2490" s="58"/>
      <c r="TJF2490" s="60"/>
      <c r="TJG2490" s="60"/>
      <c r="TJH2490" s="60"/>
      <c r="TJI2490" s="58"/>
      <c r="TJJ2490" s="61"/>
      <c r="TJK2490" s="58"/>
      <c r="TJL2490" s="58"/>
      <c r="TJM2490" s="58"/>
      <c r="TJN2490" s="60"/>
      <c r="TJO2490" s="60"/>
      <c r="TJP2490" s="60"/>
      <c r="TJQ2490" s="58"/>
      <c r="TJR2490" s="61"/>
      <c r="TJS2490" s="58"/>
      <c r="TJT2490" s="58"/>
      <c r="TJU2490" s="58"/>
      <c r="TJV2490" s="60"/>
      <c r="TJW2490" s="60"/>
      <c r="TJX2490" s="60"/>
      <c r="TJY2490" s="58"/>
      <c r="TJZ2490" s="61"/>
      <c r="TKA2490" s="58"/>
      <c r="TKB2490" s="58"/>
      <c r="TKC2490" s="58"/>
      <c r="TKD2490" s="60"/>
      <c r="TKE2490" s="60"/>
      <c r="TKF2490" s="60"/>
      <c r="TKG2490" s="58"/>
      <c r="TKH2490" s="61"/>
      <c r="TKI2490" s="58"/>
      <c r="TKJ2490" s="58"/>
      <c r="TKK2490" s="58"/>
      <c r="TKL2490" s="60"/>
      <c r="TKM2490" s="60"/>
      <c r="TKN2490" s="60"/>
      <c r="TKO2490" s="58"/>
      <c r="TKP2490" s="61"/>
      <c r="TKQ2490" s="58"/>
      <c r="TKR2490" s="58"/>
      <c r="TKS2490" s="58"/>
      <c r="TKT2490" s="60"/>
      <c r="TKU2490" s="60"/>
      <c r="TKV2490" s="60"/>
      <c r="TKW2490" s="58"/>
      <c r="TKX2490" s="61"/>
      <c r="TKY2490" s="58"/>
      <c r="TKZ2490" s="58"/>
      <c r="TLA2490" s="58"/>
      <c r="TLB2490" s="60"/>
      <c r="TLC2490" s="60"/>
      <c r="TLD2490" s="60"/>
      <c r="TLE2490" s="58"/>
      <c r="TLF2490" s="61"/>
      <c r="TLG2490" s="58"/>
      <c r="TLH2490" s="58"/>
      <c r="TLI2490" s="58"/>
      <c r="TLJ2490" s="60"/>
      <c r="TLK2490" s="60"/>
      <c r="TLL2490" s="60"/>
      <c r="TLM2490" s="58"/>
      <c r="TLN2490" s="61"/>
      <c r="TLO2490" s="58"/>
      <c r="TLP2490" s="58"/>
      <c r="TLQ2490" s="58"/>
      <c r="TLR2490" s="60"/>
      <c r="TLS2490" s="60"/>
      <c r="TLT2490" s="60"/>
      <c r="TLU2490" s="58"/>
      <c r="TLV2490" s="61"/>
      <c r="TLW2490" s="58"/>
      <c r="TLX2490" s="58"/>
      <c r="TLY2490" s="58"/>
      <c r="TLZ2490" s="60"/>
      <c r="TMA2490" s="60"/>
      <c r="TMB2490" s="60"/>
      <c r="TMC2490" s="58"/>
      <c r="TMD2490" s="61"/>
      <c r="TME2490" s="58"/>
      <c r="TMF2490" s="58"/>
      <c r="TMG2490" s="58"/>
      <c r="TMH2490" s="60"/>
      <c r="TMI2490" s="60"/>
      <c r="TMJ2490" s="60"/>
      <c r="TMK2490" s="58"/>
      <c r="TML2490" s="61"/>
      <c r="TMM2490" s="58"/>
      <c r="TMN2490" s="58"/>
      <c r="TMO2490" s="58"/>
      <c r="TMP2490" s="60"/>
      <c r="TMQ2490" s="60"/>
      <c r="TMR2490" s="60"/>
      <c r="TMS2490" s="58"/>
      <c r="TMT2490" s="61"/>
      <c r="TMU2490" s="58"/>
      <c r="TMV2490" s="58"/>
      <c r="TMW2490" s="58"/>
      <c r="TMX2490" s="60"/>
      <c r="TMY2490" s="60"/>
      <c r="TMZ2490" s="60"/>
      <c r="TNA2490" s="58"/>
      <c r="TNB2490" s="61"/>
      <c r="TNC2490" s="58"/>
      <c r="TND2490" s="58"/>
      <c r="TNE2490" s="58"/>
      <c r="TNF2490" s="60"/>
      <c r="TNG2490" s="60"/>
      <c r="TNH2490" s="60"/>
      <c r="TNI2490" s="58"/>
      <c r="TNJ2490" s="61"/>
      <c r="TNK2490" s="58"/>
      <c r="TNL2490" s="58"/>
      <c r="TNM2490" s="58"/>
      <c r="TNN2490" s="60"/>
      <c r="TNO2490" s="60"/>
      <c r="TNP2490" s="60"/>
      <c r="TNQ2490" s="58"/>
      <c r="TNR2490" s="61"/>
      <c r="TNS2490" s="58"/>
      <c r="TNT2490" s="58"/>
      <c r="TNU2490" s="58"/>
      <c r="TNV2490" s="60"/>
      <c r="TNW2490" s="60"/>
      <c r="TNX2490" s="60"/>
      <c r="TNY2490" s="58"/>
      <c r="TNZ2490" s="61"/>
      <c r="TOA2490" s="58"/>
      <c r="TOB2490" s="58"/>
      <c r="TOC2490" s="58"/>
      <c r="TOD2490" s="60"/>
      <c r="TOE2490" s="60"/>
      <c r="TOF2490" s="60"/>
      <c r="TOG2490" s="58"/>
      <c r="TOH2490" s="61"/>
      <c r="TOI2490" s="58"/>
      <c r="TOJ2490" s="58"/>
      <c r="TOK2490" s="58"/>
      <c r="TOL2490" s="60"/>
      <c r="TOM2490" s="60"/>
      <c r="TON2490" s="60"/>
      <c r="TOO2490" s="58"/>
      <c r="TOP2490" s="61"/>
      <c r="TOQ2490" s="58"/>
      <c r="TOR2490" s="58"/>
      <c r="TOS2490" s="58"/>
      <c r="TOT2490" s="60"/>
      <c r="TOU2490" s="60"/>
      <c r="TOV2490" s="60"/>
      <c r="TOW2490" s="58"/>
      <c r="TOX2490" s="61"/>
      <c r="TOY2490" s="58"/>
      <c r="TOZ2490" s="58"/>
      <c r="TPA2490" s="58"/>
      <c r="TPB2490" s="60"/>
      <c r="TPC2490" s="60"/>
      <c r="TPD2490" s="60"/>
      <c r="TPE2490" s="58"/>
      <c r="TPF2490" s="61"/>
      <c r="TPG2490" s="58"/>
      <c r="TPH2490" s="58"/>
      <c r="TPI2490" s="58"/>
      <c r="TPJ2490" s="60"/>
      <c r="TPK2490" s="60"/>
      <c r="TPL2490" s="60"/>
      <c r="TPM2490" s="58"/>
      <c r="TPN2490" s="61"/>
      <c r="TPO2490" s="58"/>
      <c r="TPP2490" s="58"/>
      <c r="TPQ2490" s="58"/>
      <c r="TPR2490" s="60"/>
      <c r="TPS2490" s="60"/>
      <c r="TPT2490" s="60"/>
      <c r="TPU2490" s="58"/>
      <c r="TPV2490" s="61"/>
      <c r="TPW2490" s="58"/>
      <c r="TPX2490" s="58"/>
      <c r="TPY2490" s="58"/>
      <c r="TPZ2490" s="60"/>
      <c r="TQA2490" s="60"/>
      <c r="TQB2490" s="60"/>
      <c r="TQC2490" s="58"/>
      <c r="TQD2490" s="61"/>
      <c r="TQE2490" s="58"/>
      <c r="TQF2490" s="58"/>
      <c r="TQG2490" s="58"/>
      <c r="TQH2490" s="60"/>
      <c r="TQI2490" s="60"/>
      <c r="TQJ2490" s="60"/>
      <c r="TQK2490" s="58"/>
      <c r="TQL2490" s="61"/>
      <c r="TQM2490" s="58"/>
      <c r="TQN2490" s="58"/>
      <c r="TQO2490" s="58"/>
      <c r="TQP2490" s="60"/>
      <c r="TQQ2490" s="60"/>
      <c r="TQR2490" s="60"/>
      <c r="TQS2490" s="58"/>
      <c r="TQT2490" s="61"/>
      <c r="TQU2490" s="58"/>
      <c r="TQV2490" s="58"/>
      <c r="TQW2490" s="58"/>
      <c r="TQX2490" s="60"/>
      <c r="TQY2490" s="60"/>
      <c r="TQZ2490" s="60"/>
      <c r="TRA2490" s="58"/>
      <c r="TRB2490" s="61"/>
      <c r="TRC2490" s="58"/>
      <c r="TRD2490" s="58"/>
      <c r="TRE2490" s="58"/>
      <c r="TRF2490" s="60"/>
      <c r="TRG2490" s="60"/>
      <c r="TRH2490" s="60"/>
      <c r="TRI2490" s="58"/>
      <c r="TRJ2490" s="61"/>
      <c r="TRK2490" s="58"/>
      <c r="TRL2490" s="58"/>
      <c r="TRM2490" s="58"/>
      <c r="TRN2490" s="60"/>
      <c r="TRO2490" s="60"/>
      <c r="TRP2490" s="60"/>
      <c r="TRQ2490" s="58"/>
      <c r="TRR2490" s="61"/>
      <c r="TRS2490" s="58"/>
      <c r="TRT2490" s="58"/>
      <c r="TRU2490" s="58"/>
      <c r="TRV2490" s="60"/>
      <c r="TRW2490" s="60"/>
      <c r="TRX2490" s="60"/>
      <c r="TRY2490" s="58"/>
      <c r="TRZ2490" s="61"/>
      <c r="TSA2490" s="58"/>
      <c r="TSB2490" s="58"/>
      <c r="TSC2490" s="58"/>
      <c r="TSD2490" s="60"/>
      <c r="TSE2490" s="60"/>
      <c r="TSF2490" s="60"/>
      <c r="TSG2490" s="58"/>
      <c r="TSH2490" s="61"/>
      <c r="TSI2490" s="58"/>
      <c r="TSJ2490" s="58"/>
      <c r="TSK2490" s="58"/>
      <c r="TSL2490" s="60"/>
      <c r="TSM2490" s="60"/>
      <c r="TSN2490" s="60"/>
      <c r="TSO2490" s="58"/>
      <c r="TSP2490" s="61"/>
      <c r="TSQ2490" s="58"/>
      <c r="TSR2490" s="58"/>
      <c r="TSS2490" s="58"/>
      <c r="TST2490" s="60"/>
      <c r="TSU2490" s="60"/>
      <c r="TSV2490" s="60"/>
      <c r="TSW2490" s="58"/>
      <c r="TSX2490" s="61"/>
      <c r="TSY2490" s="58"/>
      <c r="TSZ2490" s="58"/>
      <c r="TTA2490" s="58"/>
      <c r="TTB2490" s="60"/>
      <c r="TTC2490" s="60"/>
      <c r="TTD2490" s="60"/>
      <c r="TTE2490" s="58"/>
      <c r="TTF2490" s="61"/>
      <c r="TTG2490" s="58"/>
      <c r="TTH2490" s="58"/>
      <c r="TTI2490" s="58"/>
      <c r="TTJ2490" s="60"/>
      <c r="TTK2490" s="60"/>
      <c r="TTL2490" s="60"/>
      <c r="TTM2490" s="58"/>
      <c r="TTN2490" s="61"/>
      <c r="TTO2490" s="58"/>
      <c r="TTP2490" s="58"/>
      <c r="TTQ2490" s="58"/>
      <c r="TTR2490" s="60"/>
      <c r="TTS2490" s="60"/>
      <c r="TTT2490" s="60"/>
      <c r="TTU2490" s="58"/>
      <c r="TTV2490" s="61"/>
      <c r="TTW2490" s="58"/>
      <c r="TTX2490" s="58"/>
      <c r="TTY2490" s="58"/>
      <c r="TTZ2490" s="60"/>
      <c r="TUA2490" s="60"/>
      <c r="TUB2490" s="60"/>
      <c r="TUC2490" s="58"/>
      <c r="TUD2490" s="61"/>
      <c r="TUE2490" s="58"/>
      <c r="TUF2490" s="58"/>
      <c r="TUG2490" s="58"/>
      <c r="TUH2490" s="60"/>
      <c r="TUI2490" s="60"/>
      <c r="TUJ2490" s="60"/>
      <c r="TUK2490" s="58"/>
      <c r="TUL2490" s="61"/>
      <c r="TUM2490" s="58"/>
      <c r="TUN2490" s="58"/>
      <c r="TUO2490" s="58"/>
      <c r="TUP2490" s="60"/>
      <c r="TUQ2490" s="60"/>
      <c r="TUR2490" s="60"/>
      <c r="TUS2490" s="58"/>
      <c r="TUT2490" s="61"/>
      <c r="TUU2490" s="58"/>
      <c r="TUV2490" s="58"/>
      <c r="TUW2490" s="58"/>
      <c r="TUX2490" s="60"/>
      <c r="TUY2490" s="60"/>
      <c r="TUZ2490" s="60"/>
      <c r="TVA2490" s="58"/>
      <c r="TVB2490" s="61"/>
      <c r="TVC2490" s="58"/>
      <c r="TVD2490" s="58"/>
      <c r="TVE2490" s="58"/>
      <c r="TVF2490" s="60"/>
      <c r="TVG2490" s="60"/>
      <c r="TVH2490" s="60"/>
      <c r="TVI2490" s="58"/>
      <c r="TVJ2490" s="61"/>
      <c r="TVK2490" s="58"/>
      <c r="TVL2490" s="58"/>
      <c r="TVM2490" s="58"/>
      <c r="TVN2490" s="60"/>
      <c r="TVO2490" s="60"/>
      <c r="TVP2490" s="60"/>
      <c r="TVQ2490" s="58"/>
      <c r="TVR2490" s="61"/>
      <c r="TVS2490" s="58"/>
      <c r="TVT2490" s="58"/>
      <c r="TVU2490" s="58"/>
      <c r="TVV2490" s="60"/>
      <c r="TVW2490" s="60"/>
      <c r="TVX2490" s="60"/>
      <c r="TVY2490" s="58"/>
      <c r="TVZ2490" s="61"/>
      <c r="TWA2490" s="58"/>
      <c r="TWB2490" s="58"/>
      <c r="TWC2490" s="58"/>
      <c r="TWD2490" s="60"/>
      <c r="TWE2490" s="60"/>
      <c r="TWF2490" s="60"/>
      <c r="TWG2490" s="58"/>
      <c r="TWH2490" s="61"/>
      <c r="TWI2490" s="58"/>
      <c r="TWJ2490" s="58"/>
      <c r="TWK2490" s="58"/>
      <c r="TWL2490" s="60"/>
      <c r="TWM2490" s="60"/>
      <c r="TWN2490" s="60"/>
      <c r="TWO2490" s="58"/>
      <c r="TWP2490" s="61"/>
      <c r="TWQ2490" s="58"/>
      <c r="TWR2490" s="58"/>
      <c r="TWS2490" s="58"/>
      <c r="TWT2490" s="60"/>
      <c r="TWU2490" s="60"/>
      <c r="TWV2490" s="60"/>
      <c r="TWW2490" s="58"/>
      <c r="TWX2490" s="61"/>
      <c r="TWY2490" s="58"/>
      <c r="TWZ2490" s="58"/>
      <c r="TXA2490" s="58"/>
      <c r="TXB2490" s="60"/>
      <c r="TXC2490" s="60"/>
      <c r="TXD2490" s="60"/>
      <c r="TXE2490" s="58"/>
      <c r="TXF2490" s="61"/>
      <c r="TXG2490" s="58"/>
      <c r="TXH2490" s="58"/>
      <c r="TXI2490" s="58"/>
      <c r="TXJ2490" s="60"/>
      <c r="TXK2490" s="60"/>
      <c r="TXL2490" s="60"/>
      <c r="TXM2490" s="58"/>
      <c r="TXN2490" s="61"/>
      <c r="TXO2490" s="58"/>
      <c r="TXP2490" s="58"/>
      <c r="TXQ2490" s="58"/>
      <c r="TXR2490" s="60"/>
      <c r="TXS2490" s="60"/>
      <c r="TXT2490" s="60"/>
      <c r="TXU2490" s="58"/>
      <c r="TXV2490" s="61"/>
      <c r="TXW2490" s="58"/>
      <c r="TXX2490" s="58"/>
      <c r="TXY2490" s="58"/>
      <c r="TXZ2490" s="60"/>
      <c r="TYA2490" s="60"/>
      <c r="TYB2490" s="60"/>
      <c r="TYC2490" s="58"/>
      <c r="TYD2490" s="61"/>
      <c r="TYE2490" s="58"/>
      <c r="TYF2490" s="58"/>
      <c r="TYG2490" s="58"/>
      <c r="TYH2490" s="60"/>
      <c r="TYI2490" s="60"/>
      <c r="TYJ2490" s="60"/>
      <c r="TYK2490" s="58"/>
      <c r="TYL2490" s="61"/>
      <c r="TYM2490" s="58"/>
      <c r="TYN2490" s="58"/>
      <c r="TYO2490" s="58"/>
      <c r="TYP2490" s="60"/>
      <c r="TYQ2490" s="60"/>
      <c r="TYR2490" s="60"/>
      <c r="TYS2490" s="58"/>
      <c r="TYT2490" s="61"/>
      <c r="TYU2490" s="58"/>
      <c r="TYV2490" s="58"/>
      <c r="TYW2490" s="58"/>
      <c r="TYX2490" s="60"/>
      <c r="TYY2490" s="60"/>
      <c r="TYZ2490" s="60"/>
      <c r="TZA2490" s="58"/>
      <c r="TZB2490" s="61"/>
      <c r="TZC2490" s="58"/>
      <c r="TZD2490" s="58"/>
      <c r="TZE2490" s="58"/>
      <c r="TZF2490" s="60"/>
      <c r="TZG2490" s="60"/>
      <c r="TZH2490" s="60"/>
      <c r="TZI2490" s="58"/>
      <c r="TZJ2490" s="61"/>
      <c r="TZK2490" s="58"/>
      <c r="TZL2490" s="58"/>
      <c r="TZM2490" s="58"/>
      <c r="TZN2490" s="60"/>
      <c r="TZO2490" s="60"/>
      <c r="TZP2490" s="60"/>
      <c r="TZQ2490" s="58"/>
      <c r="TZR2490" s="61"/>
      <c r="TZS2490" s="58"/>
      <c r="TZT2490" s="58"/>
      <c r="TZU2490" s="58"/>
      <c r="TZV2490" s="60"/>
      <c r="TZW2490" s="60"/>
      <c r="TZX2490" s="60"/>
      <c r="TZY2490" s="58"/>
      <c r="TZZ2490" s="61"/>
      <c r="UAA2490" s="58"/>
      <c r="UAB2490" s="58"/>
      <c r="UAC2490" s="58"/>
      <c r="UAD2490" s="60"/>
      <c r="UAE2490" s="60"/>
      <c r="UAF2490" s="60"/>
      <c r="UAG2490" s="58"/>
      <c r="UAH2490" s="61"/>
      <c r="UAI2490" s="58"/>
      <c r="UAJ2490" s="58"/>
      <c r="UAK2490" s="58"/>
      <c r="UAL2490" s="60"/>
      <c r="UAM2490" s="60"/>
      <c r="UAN2490" s="60"/>
      <c r="UAO2490" s="58"/>
      <c r="UAP2490" s="61"/>
      <c r="UAQ2490" s="58"/>
      <c r="UAR2490" s="58"/>
      <c r="UAS2490" s="58"/>
      <c r="UAT2490" s="60"/>
      <c r="UAU2490" s="60"/>
      <c r="UAV2490" s="60"/>
      <c r="UAW2490" s="58"/>
      <c r="UAX2490" s="61"/>
      <c r="UAY2490" s="58"/>
      <c r="UAZ2490" s="58"/>
      <c r="UBA2490" s="58"/>
      <c r="UBB2490" s="60"/>
      <c r="UBC2490" s="60"/>
      <c r="UBD2490" s="60"/>
      <c r="UBE2490" s="58"/>
      <c r="UBF2490" s="61"/>
      <c r="UBG2490" s="58"/>
      <c r="UBH2490" s="58"/>
      <c r="UBI2490" s="58"/>
      <c r="UBJ2490" s="60"/>
      <c r="UBK2490" s="60"/>
      <c r="UBL2490" s="60"/>
      <c r="UBM2490" s="58"/>
      <c r="UBN2490" s="61"/>
      <c r="UBO2490" s="58"/>
      <c r="UBP2490" s="58"/>
      <c r="UBQ2490" s="58"/>
      <c r="UBR2490" s="60"/>
      <c r="UBS2490" s="60"/>
      <c r="UBT2490" s="60"/>
      <c r="UBU2490" s="58"/>
      <c r="UBV2490" s="61"/>
      <c r="UBW2490" s="58"/>
      <c r="UBX2490" s="58"/>
      <c r="UBY2490" s="58"/>
      <c r="UBZ2490" s="60"/>
      <c r="UCA2490" s="60"/>
      <c r="UCB2490" s="60"/>
      <c r="UCC2490" s="58"/>
      <c r="UCD2490" s="61"/>
      <c r="UCE2490" s="58"/>
      <c r="UCF2490" s="58"/>
      <c r="UCG2490" s="58"/>
      <c r="UCH2490" s="60"/>
      <c r="UCI2490" s="60"/>
      <c r="UCJ2490" s="60"/>
      <c r="UCK2490" s="58"/>
      <c r="UCL2490" s="61"/>
      <c r="UCM2490" s="58"/>
      <c r="UCN2490" s="58"/>
      <c r="UCO2490" s="58"/>
      <c r="UCP2490" s="60"/>
      <c r="UCQ2490" s="60"/>
      <c r="UCR2490" s="60"/>
      <c r="UCS2490" s="58"/>
      <c r="UCT2490" s="61"/>
      <c r="UCU2490" s="58"/>
      <c r="UCV2490" s="58"/>
      <c r="UCW2490" s="58"/>
      <c r="UCX2490" s="60"/>
      <c r="UCY2490" s="60"/>
      <c r="UCZ2490" s="60"/>
      <c r="UDA2490" s="58"/>
      <c r="UDB2490" s="61"/>
      <c r="UDC2490" s="58"/>
      <c r="UDD2490" s="58"/>
      <c r="UDE2490" s="58"/>
      <c r="UDF2490" s="60"/>
      <c r="UDG2490" s="60"/>
      <c r="UDH2490" s="60"/>
      <c r="UDI2490" s="58"/>
      <c r="UDJ2490" s="61"/>
      <c r="UDK2490" s="58"/>
      <c r="UDL2490" s="58"/>
      <c r="UDM2490" s="58"/>
      <c r="UDN2490" s="60"/>
      <c r="UDO2490" s="60"/>
      <c r="UDP2490" s="60"/>
      <c r="UDQ2490" s="58"/>
      <c r="UDR2490" s="61"/>
      <c r="UDS2490" s="58"/>
      <c r="UDT2490" s="58"/>
      <c r="UDU2490" s="58"/>
      <c r="UDV2490" s="60"/>
      <c r="UDW2490" s="60"/>
      <c r="UDX2490" s="60"/>
      <c r="UDY2490" s="58"/>
      <c r="UDZ2490" s="61"/>
      <c r="UEA2490" s="58"/>
      <c r="UEB2490" s="58"/>
      <c r="UEC2490" s="58"/>
      <c r="UED2490" s="60"/>
      <c r="UEE2490" s="60"/>
      <c r="UEF2490" s="60"/>
      <c r="UEG2490" s="58"/>
      <c r="UEH2490" s="61"/>
      <c r="UEI2490" s="58"/>
      <c r="UEJ2490" s="58"/>
      <c r="UEK2490" s="58"/>
      <c r="UEL2490" s="60"/>
      <c r="UEM2490" s="60"/>
      <c r="UEN2490" s="60"/>
      <c r="UEO2490" s="58"/>
      <c r="UEP2490" s="61"/>
      <c r="UEQ2490" s="58"/>
      <c r="UER2490" s="58"/>
      <c r="UES2490" s="58"/>
      <c r="UET2490" s="60"/>
      <c r="UEU2490" s="60"/>
      <c r="UEV2490" s="60"/>
      <c r="UEW2490" s="58"/>
      <c r="UEX2490" s="61"/>
      <c r="UEY2490" s="58"/>
      <c r="UEZ2490" s="58"/>
      <c r="UFA2490" s="58"/>
      <c r="UFB2490" s="60"/>
      <c r="UFC2490" s="60"/>
      <c r="UFD2490" s="60"/>
      <c r="UFE2490" s="58"/>
      <c r="UFF2490" s="61"/>
      <c r="UFG2490" s="58"/>
      <c r="UFH2490" s="58"/>
      <c r="UFI2490" s="58"/>
      <c r="UFJ2490" s="60"/>
      <c r="UFK2490" s="60"/>
      <c r="UFL2490" s="60"/>
      <c r="UFM2490" s="58"/>
      <c r="UFN2490" s="61"/>
      <c r="UFO2490" s="58"/>
      <c r="UFP2490" s="58"/>
      <c r="UFQ2490" s="58"/>
      <c r="UFR2490" s="60"/>
      <c r="UFS2490" s="60"/>
      <c r="UFT2490" s="60"/>
      <c r="UFU2490" s="58"/>
      <c r="UFV2490" s="61"/>
      <c r="UFW2490" s="58"/>
      <c r="UFX2490" s="58"/>
      <c r="UFY2490" s="58"/>
      <c r="UFZ2490" s="60"/>
      <c r="UGA2490" s="60"/>
      <c r="UGB2490" s="60"/>
      <c r="UGC2490" s="58"/>
      <c r="UGD2490" s="61"/>
      <c r="UGE2490" s="58"/>
      <c r="UGF2490" s="58"/>
      <c r="UGG2490" s="58"/>
      <c r="UGH2490" s="60"/>
      <c r="UGI2490" s="60"/>
      <c r="UGJ2490" s="60"/>
      <c r="UGK2490" s="58"/>
      <c r="UGL2490" s="61"/>
      <c r="UGM2490" s="58"/>
      <c r="UGN2490" s="58"/>
      <c r="UGO2490" s="58"/>
      <c r="UGP2490" s="60"/>
      <c r="UGQ2490" s="60"/>
      <c r="UGR2490" s="60"/>
      <c r="UGS2490" s="58"/>
      <c r="UGT2490" s="61"/>
      <c r="UGU2490" s="58"/>
      <c r="UGV2490" s="58"/>
      <c r="UGW2490" s="58"/>
      <c r="UGX2490" s="60"/>
      <c r="UGY2490" s="60"/>
      <c r="UGZ2490" s="60"/>
      <c r="UHA2490" s="58"/>
      <c r="UHB2490" s="61"/>
      <c r="UHC2490" s="58"/>
      <c r="UHD2490" s="58"/>
      <c r="UHE2490" s="58"/>
      <c r="UHF2490" s="60"/>
      <c r="UHG2490" s="60"/>
      <c r="UHH2490" s="60"/>
      <c r="UHI2490" s="58"/>
      <c r="UHJ2490" s="61"/>
      <c r="UHK2490" s="58"/>
      <c r="UHL2490" s="58"/>
      <c r="UHM2490" s="58"/>
      <c r="UHN2490" s="60"/>
      <c r="UHO2490" s="60"/>
      <c r="UHP2490" s="60"/>
      <c r="UHQ2490" s="58"/>
      <c r="UHR2490" s="61"/>
      <c r="UHS2490" s="58"/>
      <c r="UHT2490" s="58"/>
      <c r="UHU2490" s="58"/>
      <c r="UHV2490" s="60"/>
      <c r="UHW2490" s="60"/>
      <c r="UHX2490" s="60"/>
      <c r="UHY2490" s="58"/>
      <c r="UHZ2490" s="61"/>
      <c r="UIA2490" s="58"/>
      <c r="UIB2490" s="58"/>
      <c r="UIC2490" s="58"/>
      <c r="UID2490" s="60"/>
      <c r="UIE2490" s="60"/>
      <c r="UIF2490" s="60"/>
      <c r="UIG2490" s="58"/>
      <c r="UIH2490" s="61"/>
      <c r="UII2490" s="58"/>
      <c r="UIJ2490" s="58"/>
      <c r="UIK2490" s="58"/>
      <c r="UIL2490" s="60"/>
      <c r="UIM2490" s="60"/>
      <c r="UIN2490" s="60"/>
      <c r="UIO2490" s="58"/>
      <c r="UIP2490" s="61"/>
      <c r="UIQ2490" s="58"/>
      <c r="UIR2490" s="58"/>
      <c r="UIS2490" s="58"/>
      <c r="UIT2490" s="60"/>
      <c r="UIU2490" s="60"/>
      <c r="UIV2490" s="60"/>
      <c r="UIW2490" s="58"/>
      <c r="UIX2490" s="61"/>
      <c r="UIY2490" s="58"/>
      <c r="UIZ2490" s="58"/>
      <c r="UJA2490" s="58"/>
      <c r="UJB2490" s="60"/>
      <c r="UJC2490" s="60"/>
      <c r="UJD2490" s="60"/>
      <c r="UJE2490" s="58"/>
      <c r="UJF2490" s="61"/>
      <c r="UJG2490" s="58"/>
      <c r="UJH2490" s="58"/>
      <c r="UJI2490" s="58"/>
      <c r="UJJ2490" s="60"/>
      <c r="UJK2490" s="60"/>
      <c r="UJL2490" s="60"/>
      <c r="UJM2490" s="58"/>
      <c r="UJN2490" s="61"/>
      <c r="UJO2490" s="58"/>
      <c r="UJP2490" s="58"/>
      <c r="UJQ2490" s="58"/>
      <c r="UJR2490" s="60"/>
      <c r="UJS2490" s="60"/>
      <c r="UJT2490" s="60"/>
      <c r="UJU2490" s="58"/>
      <c r="UJV2490" s="61"/>
      <c r="UJW2490" s="58"/>
      <c r="UJX2490" s="58"/>
      <c r="UJY2490" s="58"/>
      <c r="UJZ2490" s="60"/>
      <c r="UKA2490" s="60"/>
      <c r="UKB2490" s="60"/>
      <c r="UKC2490" s="58"/>
      <c r="UKD2490" s="61"/>
      <c r="UKE2490" s="58"/>
      <c r="UKF2490" s="58"/>
      <c r="UKG2490" s="58"/>
      <c r="UKH2490" s="60"/>
      <c r="UKI2490" s="60"/>
      <c r="UKJ2490" s="60"/>
      <c r="UKK2490" s="58"/>
      <c r="UKL2490" s="61"/>
      <c r="UKM2490" s="58"/>
      <c r="UKN2490" s="58"/>
      <c r="UKO2490" s="58"/>
      <c r="UKP2490" s="60"/>
      <c r="UKQ2490" s="60"/>
      <c r="UKR2490" s="60"/>
      <c r="UKS2490" s="58"/>
      <c r="UKT2490" s="61"/>
      <c r="UKU2490" s="58"/>
      <c r="UKV2490" s="58"/>
      <c r="UKW2490" s="58"/>
      <c r="UKX2490" s="60"/>
      <c r="UKY2490" s="60"/>
      <c r="UKZ2490" s="60"/>
      <c r="ULA2490" s="58"/>
      <c r="ULB2490" s="61"/>
      <c r="ULC2490" s="58"/>
      <c r="ULD2490" s="58"/>
      <c r="ULE2490" s="58"/>
      <c r="ULF2490" s="60"/>
      <c r="ULG2490" s="60"/>
      <c r="ULH2490" s="60"/>
      <c r="ULI2490" s="58"/>
      <c r="ULJ2490" s="61"/>
      <c r="ULK2490" s="58"/>
      <c r="ULL2490" s="58"/>
      <c r="ULM2490" s="58"/>
      <c r="ULN2490" s="60"/>
      <c r="ULO2490" s="60"/>
      <c r="ULP2490" s="60"/>
      <c r="ULQ2490" s="58"/>
      <c r="ULR2490" s="61"/>
      <c r="ULS2490" s="58"/>
      <c r="ULT2490" s="58"/>
      <c r="ULU2490" s="58"/>
      <c r="ULV2490" s="60"/>
      <c r="ULW2490" s="60"/>
      <c r="ULX2490" s="60"/>
      <c r="ULY2490" s="58"/>
      <c r="ULZ2490" s="61"/>
      <c r="UMA2490" s="58"/>
      <c r="UMB2490" s="58"/>
      <c r="UMC2490" s="58"/>
      <c r="UMD2490" s="60"/>
      <c r="UME2490" s="60"/>
      <c r="UMF2490" s="60"/>
      <c r="UMG2490" s="58"/>
      <c r="UMH2490" s="61"/>
      <c r="UMI2490" s="58"/>
      <c r="UMJ2490" s="58"/>
      <c r="UMK2490" s="58"/>
      <c r="UML2490" s="60"/>
      <c r="UMM2490" s="60"/>
      <c r="UMN2490" s="60"/>
      <c r="UMO2490" s="58"/>
      <c r="UMP2490" s="61"/>
      <c r="UMQ2490" s="58"/>
      <c r="UMR2490" s="58"/>
      <c r="UMS2490" s="58"/>
      <c r="UMT2490" s="60"/>
      <c r="UMU2490" s="60"/>
      <c r="UMV2490" s="60"/>
      <c r="UMW2490" s="58"/>
      <c r="UMX2490" s="61"/>
      <c r="UMY2490" s="58"/>
      <c r="UMZ2490" s="58"/>
      <c r="UNA2490" s="58"/>
      <c r="UNB2490" s="60"/>
      <c r="UNC2490" s="60"/>
      <c r="UND2490" s="60"/>
      <c r="UNE2490" s="58"/>
      <c r="UNF2490" s="61"/>
      <c r="UNG2490" s="58"/>
      <c r="UNH2490" s="58"/>
      <c r="UNI2490" s="58"/>
      <c r="UNJ2490" s="60"/>
      <c r="UNK2490" s="60"/>
      <c r="UNL2490" s="60"/>
      <c r="UNM2490" s="58"/>
      <c r="UNN2490" s="61"/>
      <c r="UNO2490" s="58"/>
      <c r="UNP2490" s="58"/>
      <c r="UNQ2490" s="58"/>
      <c r="UNR2490" s="60"/>
      <c r="UNS2490" s="60"/>
      <c r="UNT2490" s="60"/>
      <c r="UNU2490" s="58"/>
      <c r="UNV2490" s="61"/>
      <c r="UNW2490" s="58"/>
      <c r="UNX2490" s="58"/>
      <c r="UNY2490" s="58"/>
      <c r="UNZ2490" s="60"/>
      <c r="UOA2490" s="60"/>
      <c r="UOB2490" s="60"/>
      <c r="UOC2490" s="58"/>
      <c r="UOD2490" s="61"/>
      <c r="UOE2490" s="58"/>
      <c r="UOF2490" s="58"/>
      <c r="UOG2490" s="58"/>
      <c r="UOH2490" s="60"/>
      <c r="UOI2490" s="60"/>
      <c r="UOJ2490" s="60"/>
      <c r="UOK2490" s="58"/>
      <c r="UOL2490" s="61"/>
      <c r="UOM2490" s="58"/>
      <c r="UON2490" s="58"/>
      <c r="UOO2490" s="58"/>
      <c r="UOP2490" s="60"/>
      <c r="UOQ2490" s="60"/>
      <c r="UOR2490" s="60"/>
      <c r="UOS2490" s="58"/>
      <c r="UOT2490" s="61"/>
      <c r="UOU2490" s="58"/>
      <c r="UOV2490" s="58"/>
      <c r="UOW2490" s="58"/>
      <c r="UOX2490" s="60"/>
      <c r="UOY2490" s="60"/>
      <c r="UOZ2490" s="60"/>
      <c r="UPA2490" s="58"/>
      <c r="UPB2490" s="61"/>
      <c r="UPC2490" s="58"/>
      <c r="UPD2490" s="58"/>
      <c r="UPE2490" s="58"/>
      <c r="UPF2490" s="60"/>
      <c r="UPG2490" s="60"/>
      <c r="UPH2490" s="60"/>
      <c r="UPI2490" s="58"/>
      <c r="UPJ2490" s="61"/>
      <c r="UPK2490" s="58"/>
      <c r="UPL2490" s="58"/>
      <c r="UPM2490" s="58"/>
      <c r="UPN2490" s="60"/>
      <c r="UPO2490" s="60"/>
      <c r="UPP2490" s="60"/>
      <c r="UPQ2490" s="58"/>
      <c r="UPR2490" s="61"/>
      <c r="UPS2490" s="58"/>
      <c r="UPT2490" s="58"/>
      <c r="UPU2490" s="58"/>
      <c r="UPV2490" s="60"/>
      <c r="UPW2490" s="60"/>
      <c r="UPX2490" s="60"/>
      <c r="UPY2490" s="58"/>
      <c r="UPZ2490" s="61"/>
      <c r="UQA2490" s="58"/>
      <c r="UQB2490" s="58"/>
      <c r="UQC2490" s="58"/>
      <c r="UQD2490" s="60"/>
      <c r="UQE2490" s="60"/>
      <c r="UQF2490" s="60"/>
      <c r="UQG2490" s="58"/>
      <c r="UQH2490" s="61"/>
      <c r="UQI2490" s="58"/>
      <c r="UQJ2490" s="58"/>
      <c r="UQK2490" s="58"/>
      <c r="UQL2490" s="60"/>
      <c r="UQM2490" s="60"/>
      <c r="UQN2490" s="60"/>
      <c r="UQO2490" s="58"/>
      <c r="UQP2490" s="61"/>
      <c r="UQQ2490" s="58"/>
      <c r="UQR2490" s="58"/>
      <c r="UQS2490" s="58"/>
      <c r="UQT2490" s="60"/>
      <c r="UQU2490" s="60"/>
      <c r="UQV2490" s="60"/>
      <c r="UQW2490" s="58"/>
      <c r="UQX2490" s="61"/>
      <c r="UQY2490" s="58"/>
      <c r="UQZ2490" s="58"/>
      <c r="URA2490" s="58"/>
      <c r="URB2490" s="60"/>
      <c r="URC2490" s="60"/>
      <c r="URD2490" s="60"/>
      <c r="URE2490" s="58"/>
      <c r="URF2490" s="61"/>
      <c r="URG2490" s="58"/>
      <c r="URH2490" s="58"/>
      <c r="URI2490" s="58"/>
      <c r="URJ2490" s="60"/>
      <c r="URK2490" s="60"/>
      <c r="URL2490" s="60"/>
      <c r="URM2490" s="58"/>
      <c r="URN2490" s="61"/>
      <c r="URO2490" s="58"/>
      <c r="URP2490" s="58"/>
      <c r="URQ2490" s="58"/>
      <c r="URR2490" s="60"/>
      <c r="URS2490" s="60"/>
      <c r="URT2490" s="60"/>
      <c r="URU2490" s="58"/>
      <c r="URV2490" s="61"/>
      <c r="URW2490" s="58"/>
      <c r="URX2490" s="58"/>
      <c r="URY2490" s="58"/>
      <c r="URZ2490" s="60"/>
      <c r="USA2490" s="60"/>
      <c r="USB2490" s="60"/>
      <c r="USC2490" s="58"/>
      <c r="USD2490" s="61"/>
      <c r="USE2490" s="58"/>
      <c r="USF2490" s="58"/>
      <c r="USG2490" s="58"/>
      <c r="USH2490" s="60"/>
      <c r="USI2490" s="60"/>
      <c r="USJ2490" s="60"/>
      <c r="USK2490" s="58"/>
      <c r="USL2490" s="61"/>
      <c r="USM2490" s="58"/>
      <c r="USN2490" s="58"/>
      <c r="USO2490" s="58"/>
      <c r="USP2490" s="60"/>
      <c r="USQ2490" s="60"/>
      <c r="USR2490" s="60"/>
      <c r="USS2490" s="58"/>
      <c r="UST2490" s="61"/>
      <c r="USU2490" s="58"/>
      <c r="USV2490" s="58"/>
      <c r="USW2490" s="58"/>
      <c r="USX2490" s="60"/>
      <c r="USY2490" s="60"/>
      <c r="USZ2490" s="60"/>
      <c r="UTA2490" s="58"/>
      <c r="UTB2490" s="61"/>
      <c r="UTC2490" s="58"/>
      <c r="UTD2490" s="58"/>
      <c r="UTE2490" s="58"/>
      <c r="UTF2490" s="60"/>
      <c r="UTG2490" s="60"/>
      <c r="UTH2490" s="60"/>
      <c r="UTI2490" s="58"/>
      <c r="UTJ2490" s="61"/>
      <c r="UTK2490" s="58"/>
      <c r="UTL2490" s="58"/>
      <c r="UTM2490" s="58"/>
      <c r="UTN2490" s="60"/>
      <c r="UTO2490" s="60"/>
      <c r="UTP2490" s="60"/>
      <c r="UTQ2490" s="58"/>
      <c r="UTR2490" s="61"/>
      <c r="UTS2490" s="58"/>
      <c r="UTT2490" s="58"/>
      <c r="UTU2490" s="58"/>
      <c r="UTV2490" s="60"/>
      <c r="UTW2490" s="60"/>
      <c r="UTX2490" s="60"/>
      <c r="UTY2490" s="58"/>
      <c r="UTZ2490" s="61"/>
      <c r="UUA2490" s="58"/>
      <c r="UUB2490" s="58"/>
      <c r="UUC2490" s="58"/>
      <c r="UUD2490" s="60"/>
      <c r="UUE2490" s="60"/>
      <c r="UUF2490" s="60"/>
      <c r="UUG2490" s="58"/>
      <c r="UUH2490" s="61"/>
      <c r="UUI2490" s="58"/>
      <c r="UUJ2490" s="58"/>
      <c r="UUK2490" s="58"/>
      <c r="UUL2490" s="60"/>
      <c r="UUM2490" s="60"/>
      <c r="UUN2490" s="60"/>
      <c r="UUO2490" s="58"/>
      <c r="UUP2490" s="61"/>
      <c r="UUQ2490" s="58"/>
      <c r="UUR2490" s="58"/>
      <c r="UUS2490" s="58"/>
      <c r="UUT2490" s="60"/>
      <c r="UUU2490" s="60"/>
      <c r="UUV2490" s="60"/>
      <c r="UUW2490" s="58"/>
      <c r="UUX2490" s="61"/>
      <c r="UUY2490" s="58"/>
      <c r="UUZ2490" s="58"/>
      <c r="UVA2490" s="58"/>
      <c r="UVB2490" s="60"/>
      <c r="UVC2490" s="60"/>
      <c r="UVD2490" s="60"/>
      <c r="UVE2490" s="58"/>
      <c r="UVF2490" s="61"/>
      <c r="UVG2490" s="58"/>
      <c r="UVH2490" s="58"/>
      <c r="UVI2490" s="58"/>
      <c r="UVJ2490" s="60"/>
      <c r="UVK2490" s="60"/>
      <c r="UVL2490" s="60"/>
      <c r="UVM2490" s="58"/>
      <c r="UVN2490" s="61"/>
      <c r="UVO2490" s="58"/>
      <c r="UVP2490" s="58"/>
      <c r="UVQ2490" s="58"/>
      <c r="UVR2490" s="60"/>
      <c r="UVS2490" s="60"/>
      <c r="UVT2490" s="60"/>
      <c r="UVU2490" s="58"/>
      <c r="UVV2490" s="61"/>
      <c r="UVW2490" s="58"/>
      <c r="UVX2490" s="58"/>
      <c r="UVY2490" s="58"/>
      <c r="UVZ2490" s="60"/>
      <c r="UWA2490" s="60"/>
      <c r="UWB2490" s="60"/>
      <c r="UWC2490" s="58"/>
      <c r="UWD2490" s="61"/>
      <c r="UWE2490" s="58"/>
      <c r="UWF2490" s="58"/>
      <c r="UWG2490" s="58"/>
      <c r="UWH2490" s="60"/>
      <c r="UWI2490" s="60"/>
      <c r="UWJ2490" s="60"/>
      <c r="UWK2490" s="58"/>
      <c r="UWL2490" s="61"/>
      <c r="UWM2490" s="58"/>
      <c r="UWN2490" s="58"/>
      <c r="UWO2490" s="58"/>
      <c r="UWP2490" s="60"/>
      <c r="UWQ2490" s="60"/>
      <c r="UWR2490" s="60"/>
      <c r="UWS2490" s="58"/>
      <c r="UWT2490" s="61"/>
      <c r="UWU2490" s="58"/>
      <c r="UWV2490" s="58"/>
      <c r="UWW2490" s="58"/>
      <c r="UWX2490" s="60"/>
      <c r="UWY2490" s="60"/>
      <c r="UWZ2490" s="60"/>
      <c r="UXA2490" s="58"/>
      <c r="UXB2490" s="61"/>
      <c r="UXC2490" s="58"/>
      <c r="UXD2490" s="58"/>
      <c r="UXE2490" s="58"/>
      <c r="UXF2490" s="60"/>
      <c r="UXG2490" s="60"/>
      <c r="UXH2490" s="60"/>
      <c r="UXI2490" s="58"/>
      <c r="UXJ2490" s="61"/>
      <c r="UXK2490" s="58"/>
      <c r="UXL2490" s="58"/>
      <c r="UXM2490" s="58"/>
      <c r="UXN2490" s="60"/>
      <c r="UXO2490" s="60"/>
      <c r="UXP2490" s="60"/>
      <c r="UXQ2490" s="58"/>
      <c r="UXR2490" s="61"/>
      <c r="UXS2490" s="58"/>
      <c r="UXT2490" s="58"/>
      <c r="UXU2490" s="58"/>
      <c r="UXV2490" s="60"/>
      <c r="UXW2490" s="60"/>
      <c r="UXX2490" s="60"/>
      <c r="UXY2490" s="58"/>
      <c r="UXZ2490" s="61"/>
      <c r="UYA2490" s="58"/>
      <c r="UYB2490" s="58"/>
      <c r="UYC2490" s="58"/>
      <c r="UYD2490" s="60"/>
      <c r="UYE2490" s="60"/>
      <c r="UYF2490" s="60"/>
      <c r="UYG2490" s="58"/>
      <c r="UYH2490" s="61"/>
      <c r="UYI2490" s="58"/>
      <c r="UYJ2490" s="58"/>
      <c r="UYK2490" s="58"/>
      <c r="UYL2490" s="60"/>
      <c r="UYM2490" s="60"/>
      <c r="UYN2490" s="60"/>
      <c r="UYO2490" s="58"/>
      <c r="UYP2490" s="61"/>
      <c r="UYQ2490" s="58"/>
      <c r="UYR2490" s="58"/>
      <c r="UYS2490" s="58"/>
      <c r="UYT2490" s="60"/>
      <c r="UYU2490" s="60"/>
      <c r="UYV2490" s="60"/>
      <c r="UYW2490" s="58"/>
      <c r="UYX2490" s="61"/>
      <c r="UYY2490" s="58"/>
      <c r="UYZ2490" s="58"/>
      <c r="UZA2490" s="58"/>
      <c r="UZB2490" s="60"/>
      <c r="UZC2490" s="60"/>
      <c r="UZD2490" s="60"/>
      <c r="UZE2490" s="58"/>
      <c r="UZF2490" s="61"/>
      <c r="UZG2490" s="58"/>
      <c r="UZH2490" s="58"/>
      <c r="UZI2490" s="58"/>
      <c r="UZJ2490" s="60"/>
      <c r="UZK2490" s="60"/>
      <c r="UZL2490" s="60"/>
      <c r="UZM2490" s="58"/>
      <c r="UZN2490" s="61"/>
      <c r="UZO2490" s="58"/>
      <c r="UZP2490" s="58"/>
      <c r="UZQ2490" s="58"/>
      <c r="UZR2490" s="60"/>
      <c r="UZS2490" s="60"/>
      <c r="UZT2490" s="60"/>
      <c r="UZU2490" s="58"/>
      <c r="UZV2490" s="61"/>
      <c r="UZW2490" s="58"/>
      <c r="UZX2490" s="58"/>
      <c r="UZY2490" s="58"/>
      <c r="UZZ2490" s="60"/>
      <c r="VAA2490" s="60"/>
      <c r="VAB2490" s="60"/>
      <c r="VAC2490" s="58"/>
      <c r="VAD2490" s="61"/>
      <c r="VAE2490" s="58"/>
      <c r="VAF2490" s="58"/>
      <c r="VAG2490" s="58"/>
      <c r="VAH2490" s="60"/>
      <c r="VAI2490" s="60"/>
      <c r="VAJ2490" s="60"/>
      <c r="VAK2490" s="58"/>
      <c r="VAL2490" s="61"/>
      <c r="VAM2490" s="58"/>
      <c r="VAN2490" s="58"/>
      <c r="VAO2490" s="58"/>
      <c r="VAP2490" s="60"/>
      <c r="VAQ2490" s="60"/>
      <c r="VAR2490" s="60"/>
      <c r="VAS2490" s="58"/>
      <c r="VAT2490" s="61"/>
      <c r="VAU2490" s="58"/>
      <c r="VAV2490" s="58"/>
      <c r="VAW2490" s="58"/>
      <c r="VAX2490" s="60"/>
      <c r="VAY2490" s="60"/>
      <c r="VAZ2490" s="60"/>
      <c r="VBA2490" s="58"/>
      <c r="VBB2490" s="61"/>
      <c r="VBC2490" s="58"/>
      <c r="VBD2490" s="58"/>
      <c r="VBE2490" s="58"/>
      <c r="VBF2490" s="60"/>
      <c r="VBG2490" s="60"/>
      <c r="VBH2490" s="60"/>
      <c r="VBI2490" s="58"/>
      <c r="VBJ2490" s="61"/>
      <c r="VBK2490" s="58"/>
      <c r="VBL2490" s="58"/>
      <c r="VBM2490" s="58"/>
      <c r="VBN2490" s="60"/>
      <c r="VBO2490" s="60"/>
      <c r="VBP2490" s="60"/>
      <c r="VBQ2490" s="58"/>
      <c r="VBR2490" s="61"/>
      <c r="VBS2490" s="58"/>
      <c r="VBT2490" s="58"/>
      <c r="VBU2490" s="58"/>
      <c r="VBV2490" s="60"/>
      <c r="VBW2490" s="60"/>
      <c r="VBX2490" s="60"/>
      <c r="VBY2490" s="58"/>
      <c r="VBZ2490" s="61"/>
      <c r="VCA2490" s="58"/>
      <c r="VCB2490" s="58"/>
      <c r="VCC2490" s="58"/>
      <c r="VCD2490" s="60"/>
      <c r="VCE2490" s="60"/>
      <c r="VCF2490" s="60"/>
      <c r="VCG2490" s="58"/>
      <c r="VCH2490" s="61"/>
      <c r="VCI2490" s="58"/>
      <c r="VCJ2490" s="58"/>
      <c r="VCK2490" s="58"/>
      <c r="VCL2490" s="60"/>
      <c r="VCM2490" s="60"/>
      <c r="VCN2490" s="60"/>
      <c r="VCO2490" s="58"/>
      <c r="VCP2490" s="61"/>
      <c r="VCQ2490" s="58"/>
      <c r="VCR2490" s="58"/>
      <c r="VCS2490" s="58"/>
      <c r="VCT2490" s="60"/>
      <c r="VCU2490" s="60"/>
      <c r="VCV2490" s="60"/>
      <c r="VCW2490" s="58"/>
      <c r="VCX2490" s="61"/>
      <c r="VCY2490" s="58"/>
      <c r="VCZ2490" s="58"/>
      <c r="VDA2490" s="58"/>
      <c r="VDB2490" s="60"/>
      <c r="VDC2490" s="60"/>
      <c r="VDD2490" s="60"/>
      <c r="VDE2490" s="58"/>
      <c r="VDF2490" s="61"/>
      <c r="VDG2490" s="58"/>
      <c r="VDH2490" s="58"/>
      <c r="VDI2490" s="58"/>
      <c r="VDJ2490" s="60"/>
      <c r="VDK2490" s="60"/>
      <c r="VDL2490" s="60"/>
      <c r="VDM2490" s="58"/>
      <c r="VDN2490" s="61"/>
      <c r="VDO2490" s="58"/>
      <c r="VDP2490" s="58"/>
      <c r="VDQ2490" s="58"/>
      <c r="VDR2490" s="60"/>
      <c r="VDS2490" s="60"/>
      <c r="VDT2490" s="60"/>
      <c r="VDU2490" s="58"/>
      <c r="VDV2490" s="61"/>
      <c r="VDW2490" s="58"/>
      <c r="VDX2490" s="58"/>
      <c r="VDY2490" s="58"/>
      <c r="VDZ2490" s="60"/>
      <c r="VEA2490" s="60"/>
      <c r="VEB2490" s="60"/>
      <c r="VEC2490" s="58"/>
      <c r="VED2490" s="61"/>
      <c r="VEE2490" s="58"/>
      <c r="VEF2490" s="58"/>
      <c r="VEG2490" s="58"/>
      <c r="VEH2490" s="60"/>
      <c r="VEI2490" s="60"/>
      <c r="VEJ2490" s="60"/>
      <c r="VEK2490" s="58"/>
      <c r="VEL2490" s="61"/>
      <c r="VEM2490" s="58"/>
      <c r="VEN2490" s="58"/>
      <c r="VEO2490" s="58"/>
      <c r="VEP2490" s="60"/>
      <c r="VEQ2490" s="60"/>
      <c r="VER2490" s="60"/>
      <c r="VES2490" s="58"/>
      <c r="VET2490" s="61"/>
      <c r="VEU2490" s="58"/>
      <c r="VEV2490" s="58"/>
      <c r="VEW2490" s="58"/>
      <c r="VEX2490" s="60"/>
      <c r="VEY2490" s="60"/>
      <c r="VEZ2490" s="60"/>
      <c r="VFA2490" s="58"/>
      <c r="VFB2490" s="61"/>
      <c r="VFC2490" s="58"/>
      <c r="VFD2490" s="58"/>
      <c r="VFE2490" s="58"/>
      <c r="VFF2490" s="60"/>
      <c r="VFG2490" s="60"/>
      <c r="VFH2490" s="60"/>
      <c r="VFI2490" s="58"/>
      <c r="VFJ2490" s="61"/>
      <c r="VFK2490" s="58"/>
      <c r="VFL2490" s="58"/>
      <c r="VFM2490" s="58"/>
      <c r="VFN2490" s="60"/>
      <c r="VFO2490" s="60"/>
      <c r="VFP2490" s="60"/>
      <c r="VFQ2490" s="58"/>
      <c r="VFR2490" s="61"/>
      <c r="VFS2490" s="58"/>
      <c r="VFT2490" s="58"/>
      <c r="VFU2490" s="58"/>
      <c r="VFV2490" s="60"/>
      <c r="VFW2490" s="60"/>
      <c r="VFX2490" s="60"/>
      <c r="VFY2490" s="58"/>
      <c r="VFZ2490" s="61"/>
      <c r="VGA2490" s="58"/>
      <c r="VGB2490" s="58"/>
      <c r="VGC2490" s="58"/>
      <c r="VGD2490" s="60"/>
      <c r="VGE2490" s="60"/>
      <c r="VGF2490" s="60"/>
      <c r="VGG2490" s="58"/>
      <c r="VGH2490" s="61"/>
      <c r="VGI2490" s="58"/>
      <c r="VGJ2490" s="58"/>
      <c r="VGK2490" s="58"/>
      <c r="VGL2490" s="60"/>
      <c r="VGM2490" s="60"/>
      <c r="VGN2490" s="60"/>
      <c r="VGO2490" s="58"/>
      <c r="VGP2490" s="61"/>
      <c r="VGQ2490" s="58"/>
      <c r="VGR2490" s="58"/>
      <c r="VGS2490" s="58"/>
      <c r="VGT2490" s="60"/>
      <c r="VGU2490" s="60"/>
      <c r="VGV2490" s="60"/>
      <c r="VGW2490" s="58"/>
      <c r="VGX2490" s="61"/>
      <c r="VGY2490" s="58"/>
      <c r="VGZ2490" s="58"/>
      <c r="VHA2490" s="58"/>
      <c r="VHB2490" s="60"/>
      <c r="VHC2490" s="60"/>
      <c r="VHD2490" s="60"/>
      <c r="VHE2490" s="58"/>
      <c r="VHF2490" s="61"/>
      <c r="VHG2490" s="58"/>
      <c r="VHH2490" s="58"/>
      <c r="VHI2490" s="58"/>
      <c r="VHJ2490" s="60"/>
      <c r="VHK2490" s="60"/>
      <c r="VHL2490" s="60"/>
      <c r="VHM2490" s="58"/>
      <c r="VHN2490" s="61"/>
      <c r="VHO2490" s="58"/>
      <c r="VHP2490" s="58"/>
      <c r="VHQ2490" s="58"/>
      <c r="VHR2490" s="60"/>
      <c r="VHS2490" s="60"/>
      <c r="VHT2490" s="60"/>
      <c r="VHU2490" s="58"/>
      <c r="VHV2490" s="61"/>
      <c r="VHW2490" s="58"/>
      <c r="VHX2490" s="58"/>
      <c r="VHY2490" s="58"/>
      <c r="VHZ2490" s="60"/>
      <c r="VIA2490" s="60"/>
      <c r="VIB2490" s="60"/>
      <c r="VIC2490" s="58"/>
      <c r="VID2490" s="61"/>
      <c r="VIE2490" s="58"/>
      <c r="VIF2490" s="58"/>
      <c r="VIG2490" s="58"/>
      <c r="VIH2490" s="60"/>
      <c r="VII2490" s="60"/>
      <c r="VIJ2490" s="60"/>
      <c r="VIK2490" s="58"/>
      <c r="VIL2490" s="61"/>
      <c r="VIM2490" s="58"/>
      <c r="VIN2490" s="58"/>
      <c r="VIO2490" s="58"/>
      <c r="VIP2490" s="60"/>
      <c r="VIQ2490" s="60"/>
      <c r="VIR2490" s="60"/>
      <c r="VIS2490" s="58"/>
      <c r="VIT2490" s="61"/>
      <c r="VIU2490" s="58"/>
      <c r="VIV2490" s="58"/>
      <c r="VIW2490" s="58"/>
      <c r="VIX2490" s="60"/>
      <c r="VIY2490" s="60"/>
      <c r="VIZ2490" s="60"/>
      <c r="VJA2490" s="58"/>
      <c r="VJB2490" s="61"/>
      <c r="VJC2490" s="58"/>
      <c r="VJD2490" s="58"/>
      <c r="VJE2490" s="58"/>
      <c r="VJF2490" s="60"/>
      <c r="VJG2490" s="60"/>
      <c r="VJH2490" s="60"/>
      <c r="VJI2490" s="58"/>
      <c r="VJJ2490" s="61"/>
      <c r="VJK2490" s="58"/>
      <c r="VJL2490" s="58"/>
      <c r="VJM2490" s="58"/>
      <c r="VJN2490" s="60"/>
      <c r="VJO2490" s="60"/>
      <c r="VJP2490" s="60"/>
      <c r="VJQ2490" s="58"/>
      <c r="VJR2490" s="61"/>
      <c r="VJS2490" s="58"/>
      <c r="VJT2490" s="58"/>
      <c r="VJU2490" s="58"/>
      <c r="VJV2490" s="60"/>
      <c r="VJW2490" s="60"/>
      <c r="VJX2490" s="60"/>
      <c r="VJY2490" s="58"/>
      <c r="VJZ2490" s="61"/>
      <c r="VKA2490" s="58"/>
      <c r="VKB2490" s="58"/>
      <c r="VKC2490" s="58"/>
      <c r="VKD2490" s="60"/>
      <c r="VKE2490" s="60"/>
      <c r="VKF2490" s="60"/>
      <c r="VKG2490" s="58"/>
      <c r="VKH2490" s="61"/>
      <c r="VKI2490" s="58"/>
      <c r="VKJ2490" s="58"/>
      <c r="VKK2490" s="58"/>
      <c r="VKL2490" s="60"/>
      <c r="VKM2490" s="60"/>
      <c r="VKN2490" s="60"/>
      <c r="VKO2490" s="58"/>
      <c r="VKP2490" s="61"/>
      <c r="VKQ2490" s="58"/>
      <c r="VKR2490" s="58"/>
      <c r="VKS2490" s="58"/>
      <c r="VKT2490" s="60"/>
      <c r="VKU2490" s="60"/>
      <c r="VKV2490" s="60"/>
      <c r="VKW2490" s="58"/>
      <c r="VKX2490" s="61"/>
      <c r="VKY2490" s="58"/>
      <c r="VKZ2490" s="58"/>
      <c r="VLA2490" s="58"/>
      <c r="VLB2490" s="60"/>
      <c r="VLC2490" s="60"/>
      <c r="VLD2490" s="60"/>
      <c r="VLE2490" s="58"/>
      <c r="VLF2490" s="61"/>
      <c r="VLG2490" s="58"/>
      <c r="VLH2490" s="58"/>
      <c r="VLI2490" s="58"/>
      <c r="VLJ2490" s="60"/>
      <c r="VLK2490" s="60"/>
      <c r="VLL2490" s="60"/>
      <c r="VLM2490" s="58"/>
      <c r="VLN2490" s="61"/>
      <c r="VLO2490" s="58"/>
      <c r="VLP2490" s="58"/>
      <c r="VLQ2490" s="58"/>
      <c r="VLR2490" s="60"/>
      <c r="VLS2490" s="60"/>
      <c r="VLT2490" s="60"/>
      <c r="VLU2490" s="58"/>
      <c r="VLV2490" s="61"/>
      <c r="VLW2490" s="58"/>
      <c r="VLX2490" s="58"/>
      <c r="VLY2490" s="58"/>
      <c r="VLZ2490" s="60"/>
      <c r="VMA2490" s="60"/>
      <c r="VMB2490" s="60"/>
      <c r="VMC2490" s="58"/>
      <c r="VMD2490" s="61"/>
      <c r="VME2490" s="58"/>
      <c r="VMF2490" s="58"/>
      <c r="VMG2490" s="58"/>
      <c r="VMH2490" s="60"/>
      <c r="VMI2490" s="60"/>
      <c r="VMJ2490" s="60"/>
      <c r="VMK2490" s="58"/>
      <c r="VML2490" s="61"/>
      <c r="VMM2490" s="58"/>
      <c r="VMN2490" s="58"/>
      <c r="VMO2490" s="58"/>
      <c r="VMP2490" s="60"/>
      <c r="VMQ2490" s="60"/>
      <c r="VMR2490" s="60"/>
      <c r="VMS2490" s="58"/>
      <c r="VMT2490" s="61"/>
      <c r="VMU2490" s="58"/>
      <c r="VMV2490" s="58"/>
      <c r="VMW2490" s="58"/>
      <c r="VMX2490" s="60"/>
      <c r="VMY2490" s="60"/>
      <c r="VMZ2490" s="60"/>
      <c r="VNA2490" s="58"/>
      <c r="VNB2490" s="61"/>
      <c r="VNC2490" s="58"/>
      <c r="VND2490" s="58"/>
      <c r="VNE2490" s="58"/>
      <c r="VNF2490" s="60"/>
      <c r="VNG2490" s="60"/>
      <c r="VNH2490" s="60"/>
      <c r="VNI2490" s="58"/>
      <c r="VNJ2490" s="61"/>
      <c r="VNK2490" s="58"/>
      <c r="VNL2490" s="58"/>
      <c r="VNM2490" s="58"/>
      <c r="VNN2490" s="60"/>
      <c r="VNO2490" s="60"/>
      <c r="VNP2490" s="60"/>
      <c r="VNQ2490" s="58"/>
      <c r="VNR2490" s="61"/>
      <c r="VNS2490" s="58"/>
      <c r="VNT2490" s="58"/>
      <c r="VNU2490" s="58"/>
      <c r="VNV2490" s="60"/>
      <c r="VNW2490" s="60"/>
      <c r="VNX2490" s="60"/>
      <c r="VNY2490" s="58"/>
      <c r="VNZ2490" s="61"/>
      <c r="VOA2490" s="58"/>
      <c r="VOB2490" s="58"/>
      <c r="VOC2490" s="58"/>
      <c r="VOD2490" s="60"/>
      <c r="VOE2490" s="60"/>
      <c r="VOF2490" s="60"/>
      <c r="VOG2490" s="58"/>
      <c r="VOH2490" s="61"/>
      <c r="VOI2490" s="58"/>
      <c r="VOJ2490" s="58"/>
      <c r="VOK2490" s="58"/>
      <c r="VOL2490" s="60"/>
      <c r="VOM2490" s="60"/>
      <c r="VON2490" s="60"/>
      <c r="VOO2490" s="58"/>
      <c r="VOP2490" s="61"/>
      <c r="VOQ2490" s="58"/>
      <c r="VOR2490" s="58"/>
      <c r="VOS2490" s="58"/>
      <c r="VOT2490" s="60"/>
      <c r="VOU2490" s="60"/>
      <c r="VOV2490" s="60"/>
      <c r="VOW2490" s="58"/>
      <c r="VOX2490" s="61"/>
      <c r="VOY2490" s="58"/>
      <c r="VOZ2490" s="58"/>
      <c r="VPA2490" s="58"/>
      <c r="VPB2490" s="60"/>
      <c r="VPC2490" s="60"/>
      <c r="VPD2490" s="60"/>
      <c r="VPE2490" s="58"/>
      <c r="VPF2490" s="61"/>
      <c r="VPG2490" s="58"/>
      <c r="VPH2490" s="58"/>
      <c r="VPI2490" s="58"/>
      <c r="VPJ2490" s="60"/>
      <c r="VPK2490" s="60"/>
      <c r="VPL2490" s="60"/>
      <c r="VPM2490" s="58"/>
      <c r="VPN2490" s="61"/>
      <c r="VPO2490" s="58"/>
      <c r="VPP2490" s="58"/>
      <c r="VPQ2490" s="58"/>
      <c r="VPR2490" s="60"/>
      <c r="VPS2490" s="60"/>
      <c r="VPT2490" s="60"/>
      <c r="VPU2490" s="58"/>
      <c r="VPV2490" s="61"/>
      <c r="VPW2490" s="58"/>
      <c r="VPX2490" s="58"/>
      <c r="VPY2490" s="58"/>
      <c r="VPZ2490" s="60"/>
      <c r="VQA2490" s="60"/>
      <c r="VQB2490" s="60"/>
      <c r="VQC2490" s="58"/>
      <c r="VQD2490" s="61"/>
      <c r="VQE2490" s="58"/>
      <c r="VQF2490" s="58"/>
      <c r="VQG2490" s="58"/>
      <c r="VQH2490" s="60"/>
      <c r="VQI2490" s="60"/>
      <c r="VQJ2490" s="60"/>
      <c r="VQK2490" s="58"/>
      <c r="VQL2490" s="61"/>
      <c r="VQM2490" s="58"/>
      <c r="VQN2490" s="58"/>
      <c r="VQO2490" s="58"/>
      <c r="VQP2490" s="60"/>
      <c r="VQQ2490" s="60"/>
      <c r="VQR2490" s="60"/>
      <c r="VQS2490" s="58"/>
      <c r="VQT2490" s="61"/>
      <c r="VQU2490" s="58"/>
      <c r="VQV2490" s="58"/>
      <c r="VQW2490" s="58"/>
      <c r="VQX2490" s="60"/>
      <c r="VQY2490" s="60"/>
      <c r="VQZ2490" s="60"/>
      <c r="VRA2490" s="58"/>
      <c r="VRB2490" s="61"/>
      <c r="VRC2490" s="58"/>
      <c r="VRD2490" s="58"/>
      <c r="VRE2490" s="58"/>
      <c r="VRF2490" s="60"/>
      <c r="VRG2490" s="60"/>
      <c r="VRH2490" s="60"/>
      <c r="VRI2490" s="58"/>
      <c r="VRJ2490" s="61"/>
      <c r="VRK2490" s="58"/>
      <c r="VRL2490" s="58"/>
      <c r="VRM2490" s="58"/>
      <c r="VRN2490" s="60"/>
      <c r="VRO2490" s="60"/>
      <c r="VRP2490" s="60"/>
      <c r="VRQ2490" s="58"/>
      <c r="VRR2490" s="61"/>
      <c r="VRS2490" s="58"/>
      <c r="VRT2490" s="58"/>
      <c r="VRU2490" s="58"/>
      <c r="VRV2490" s="60"/>
      <c r="VRW2490" s="60"/>
      <c r="VRX2490" s="60"/>
      <c r="VRY2490" s="58"/>
      <c r="VRZ2490" s="61"/>
      <c r="VSA2490" s="58"/>
      <c r="VSB2490" s="58"/>
      <c r="VSC2490" s="58"/>
      <c r="VSD2490" s="60"/>
      <c r="VSE2490" s="60"/>
      <c r="VSF2490" s="60"/>
      <c r="VSG2490" s="58"/>
      <c r="VSH2490" s="61"/>
      <c r="VSI2490" s="58"/>
      <c r="VSJ2490" s="58"/>
      <c r="VSK2490" s="58"/>
      <c r="VSL2490" s="60"/>
      <c r="VSM2490" s="60"/>
      <c r="VSN2490" s="60"/>
      <c r="VSO2490" s="58"/>
      <c r="VSP2490" s="61"/>
      <c r="VSQ2490" s="58"/>
      <c r="VSR2490" s="58"/>
      <c r="VSS2490" s="58"/>
      <c r="VST2490" s="60"/>
      <c r="VSU2490" s="60"/>
      <c r="VSV2490" s="60"/>
      <c r="VSW2490" s="58"/>
      <c r="VSX2490" s="61"/>
      <c r="VSY2490" s="58"/>
      <c r="VSZ2490" s="58"/>
      <c r="VTA2490" s="58"/>
      <c r="VTB2490" s="60"/>
      <c r="VTC2490" s="60"/>
      <c r="VTD2490" s="60"/>
      <c r="VTE2490" s="58"/>
      <c r="VTF2490" s="61"/>
      <c r="VTG2490" s="58"/>
      <c r="VTH2490" s="58"/>
      <c r="VTI2490" s="58"/>
      <c r="VTJ2490" s="60"/>
      <c r="VTK2490" s="60"/>
      <c r="VTL2490" s="60"/>
      <c r="VTM2490" s="58"/>
      <c r="VTN2490" s="61"/>
      <c r="VTO2490" s="58"/>
      <c r="VTP2490" s="58"/>
      <c r="VTQ2490" s="58"/>
      <c r="VTR2490" s="60"/>
      <c r="VTS2490" s="60"/>
      <c r="VTT2490" s="60"/>
      <c r="VTU2490" s="58"/>
      <c r="VTV2490" s="61"/>
      <c r="VTW2490" s="58"/>
      <c r="VTX2490" s="58"/>
      <c r="VTY2490" s="58"/>
      <c r="VTZ2490" s="60"/>
      <c r="VUA2490" s="60"/>
      <c r="VUB2490" s="60"/>
      <c r="VUC2490" s="58"/>
      <c r="VUD2490" s="61"/>
      <c r="VUE2490" s="58"/>
      <c r="VUF2490" s="58"/>
      <c r="VUG2490" s="58"/>
      <c r="VUH2490" s="60"/>
      <c r="VUI2490" s="60"/>
      <c r="VUJ2490" s="60"/>
      <c r="VUK2490" s="58"/>
      <c r="VUL2490" s="61"/>
      <c r="VUM2490" s="58"/>
      <c r="VUN2490" s="58"/>
      <c r="VUO2490" s="58"/>
      <c r="VUP2490" s="60"/>
      <c r="VUQ2490" s="60"/>
      <c r="VUR2490" s="60"/>
      <c r="VUS2490" s="58"/>
      <c r="VUT2490" s="61"/>
      <c r="VUU2490" s="58"/>
      <c r="VUV2490" s="58"/>
      <c r="VUW2490" s="58"/>
      <c r="VUX2490" s="60"/>
      <c r="VUY2490" s="60"/>
      <c r="VUZ2490" s="60"/>
      <c r="VVA2490" s="58"/>
      <c r="VVB2490" s="61"/>
      <c r="VVC2490" s="58"/>
      <c r="VVD2490" s="58"/>
      <c r="VVE2490" s="58"/>
      <c r="VVF2490" s="60"/>
      <c r="VVG2490" s="60"/>
      <c r="VVH2490" s="60"/>
      <c r="VVI2490" s="58"/>
      <c r="VVJ2490" s="61"/>
      <c r="VVK2490" s="58"/>
      <c r="VVL2490" s="58"/>
      <c r="VVM2490" s="58"/>
      <c r="VVN2490" s="60"/>
      <c r="VVO2490" s="60"/>
      <c r="VVP2490" s="60"/>
      <c r="VVQ2490" s="58"/>
      <c r="VVR2490" s="61"/>
      <c r="VVS2490" s="58"/>
      <c r="VVT2490" s="58"/>
      <c r="VVU2490" s="58"/>
      <c r="VVV2490" s="60"/>
      <c r="VVW2490" s="60"/>
      <c r="VVX2490" s="60"/>
      <c r="VVY2490" s="58"/>
      <c r="VVZ2490" s="61"/>
      <c r="VWA2490" s="58"/>
      <c r="VWB2490" s="58"/>
      <c r="VWC2490" s="58"/>
      <c r="VWD2490" s="60"/>
      <c r="VWE2490" s="60"/>
      <c r="VWF2490" s="60"/>
      <c r="VWG2490" s="58"/>
      <c r="VWH2490" s="61"/>
      <c r="VWI2490" s="58"/>
      <c r="VWJ2490" s="58"/>
      <c r="VWK2490" s="58"/>
      <c r="VWL2490" s="60"/>
      <c r="VWM2490" s="60"/>
      <c r="VWN2490" s="60"/>
      <c r="VWO2490" s="58"/>
      <c r="VWP2490" s="61"/>
      <c r="VWQ2490" s="58"/>
      <c r="VWR2490" s="58"/>
      <c r="VWS2490" s="58"/>
      <c r="VWT2490" s="60"/>
      <c r="VWU2490" s="60"/>
      <c r="VWV2490" s="60"/>
      <c r="VWW2490" s="58"/>
      <c r="VWX2490" s="61"/>
      <c r="VWY2490" s="58"/>
      <c r="VWZ2490" s="58"/>
      <c r="VXA2490" s="58"/>
      <c r="VXB2490" s="60"/>
      <c r="VXC2490" s="60"/>
      <c r="VXD2490" s="60"/>
      <c r="VXE2490" s="58"/>
      <c r="VXF2490" s="61"/>
      <c r="VXG2490" s="58"/>
      <c r="VXH2490" s="58"/>
      <c r="VXI2490" s="58"/>
      <c r="VXJ2490" s="60"/>
      <c r="VXK2490" s="60"/>
      <c r="VXL2490" s="60"/>
      <c r="VXM2490" s="58"/>
      <c r="VXN2490" s="61"/>
      <c r="VXO2490" s="58"/>
      <c r="VXP2490" s="58"/>
      <c r="VXQ2490" s="58"/>
      <c r="VXR2490" s="60"/>
      <c r="VXS2490" s="60"/>
      <c r="VXT2490" s="60"/>
      <c r="VXU2490" s="58"/>
      <c r="VXV2490" s="61"/>
      <c r="VXW2490" s="58"/>
      <c r="VXX2490" s="58"/>
      <c r="VXY2490" s="58"/>
      <c r="VXZ2490" s="60"/>
      <c r="VYA2490" s="60"/>
      <c r="VYB2490" s="60"/>
      <c r="VYC2490" s="58"/>
      <c r="VYD2490" s="61"/>
      <c r="VYE2490" s="58"/>
      <c r="VYF2490" s="58"/>
      <c r="VYG2490" s="58"/>
      <c r="VYH2490" s="60"/>
      <c r="VYI2490" s="60"/>
      <c r="VYJ2490" s="60"/>
      <c r="VYK2490" s="58"/>
      <c r="VYL2490" s="61"/>
      <c r="VYM2490" s="58"/>
      <c r="VYN2490" s="58"/>
      <c r="VYO2490" s="58"/>
      <c r="VYP2490" s="60"/>
      <c r="VYQ2490" s="60"/>
      <c r="VYR2490" s="60"/>
      <c r="VYS2490" s="58"/>
      <c r="VYT2490" s="61"/>
      <c r="VYU2490" s="58"/>
      <c r="VYV2490" s="58"/>
      <c r="VYW2490" s="58"/>
      <c r="VYX2490" s="60"/>
      <c r="VYY2490" s="60"/>
      <c r="VYZ2490" s="60"/>
      <c r="VZA2490" s="58"/>
      <c r="VZB2490" s="61"/>
      <c r="VZC2490" s="58"/>
      <c r="VZD2490" s="58"/>
      <c r="VZE2490" s="58"/>
      <c r="VZF2490" s="60"/>
      <c r="VZG2490" s="60"/>
      <c r="VZH2490" s="60"/>
      <c r="VZI2490" s="58"/>
      <c r="VZJ2490" s="61"/>
      <c r="VZK2490" s="58"/>
      <c r="VZL2490" s="58"/>
      <c r="VZM2490" s="58"/>
      <c r="VZN2490" s="60"/>
      <c r="VZO2490" s="60"/>
      <c r="VZP2490" s="60"/>
      <c r="VZQ2490" s="58"/>
      <c r="VZR2490" s="61"/>
      <c r="VZS2490" s="58"/>
      <c r="VZT2490" s="58"/>
      <c r="VZU2490" s="58"/>
      <c r="VZV2490" s="60"/>
      <c r="VZW2490" s="60"/>
      <c r="VZX2490" s="60"/>
      <c r="VZY2490" s="58"/>
      <c r="VZZ2490" s="61"/>
      <c r="WAA2490" s="58"/>
      <c r="WAB2490" s="58"/>
      <c r="WAC2490" s="58"/>
      <c r="WAD2490" s="60"/>
      <c r="WAE2490" s="60"/>
      <c r="WAF2490" s="60"/>
      <c r="WAG2490" s="58"/>
      <c r="WAH2490" s="61"/>
      <c r="WAI2490" s="58"/>
      <c r="WAJ2490" s="58"/>
      <c r="WAK2490" s="58"/>
      <c r="WAL2490" s="60"/>
      <c r="WAM2490" s="60"/>
      <c r="WAN2490" s="60"/>
      <c r="WAO2490" s="58"/>
      <c r="WAP2490" s="61"/>
      <c r="WAQ2490" s="58"/>
      <c r="WAR2490" s="58"/>
      <c r="WAS2490" s="58"/>
      <c r="WAT2490" s="60"/>
      <c r="WAU2490" s="60"/>
      <c r="WAV2490" s="60"/>
      <c r="WAW2490" s="58"/>
      <c r="WAX2490" s="61"/>
      <c r="WAY2490" s="58"/>
      <c r="WAZ2490" s="58"/>
      <c r="WBA2490" s="58"/>
      <c r="WBB2490" s="60"/>
      <c r="WBC2490" s="60"/>
      <c r="WBD2490" s="60"/>
      <c r="WBE2490" s="58"/>
      <c r="WBF2490" s="61"/>
      <c r="WBG2490" s="58"/>
      <c r="WBH2490" s="58"/>
      <c r="WBI2490" s="58"/>
      <c r="WBJ2490" s="60"/>
      <c r="WBK2490" s="60"/>
      <c r="WBL2490" s="60"/>
      <c r="WBM2490" s="58"/>
      <c r="WBN2490" s="61"/>
      <c r="WBO2490" s="58"/>
      <c r="WBP2490" s="58"/>
      <c r="WBQ2490" s="58"/>
      <c r="WBR2490" s="60"/>
      <c r="WBS2490" s="60"/>
      <c r="WBT2490" s="60"/>
      <c r="WBU2490" s="58"/>
      <c r="WBV2490" s="61"/>
      <c r="WBW2490" s="58"/>
      <c r="WBX2490" s="58"/>
      <c r="WBY2490" s="58"/>
      <c r="WBZ2490" s="60"/>
      <c r="WCA2490" s="60"/>
      <c r="WCB2490" s="60"/>
      <c r="WCC2490" s="58"/>
      <c r="WCD2490" s="61"/>
      <c r="WCE2490" s="58"/>
      <c r="WCF2490" s="58"/>
      <c r="WCG2490" s="58"/>
      <c r="WCH2490" s="60"/>
      <c r="WCI2490" s="60"/>
      <c r="WCJ2490" s="60"/>
      <c r="WCK2490" s="58"/>
      <c r="WCL2490" s="61"/>
      <c r="WCM2490" s="58"/>
      <c r="WCN2490" s="58"/>
      <c r="WCO2490" s="58"/>
      <c r="WCP2490" s="60"/>
      <c r="WCQ2490" s="60"/>
      <c r="WCR2490" s="60"/>
      <c r="WCS2490" s="58"/>
      <c r="WCT2490" s="61"/>
      <c r="WCU2490" s="58"/>
      <c r="WCV2490" s="58"/>
      <c r="WCW2490" s="58"/>
      <c r="WCX2490" s="60"/>
      <c r="WCY2490" s="60"/>
      <c r="WCZ2490" s="60"/>
      <c r="WDA2490" s="58"/>
      <c r="WDB2490" s="61"/>
      <c r="WDC2490" s="58"/>
      <c r="WDD2490" s="58"/>
      <c r="WDE2490" s="58"/>
      <c r="WDF2490" s="60"/>
      <c r="WDG2490" s="60"/>
      <c r="WDH2490" s="60"/>
      <c r="WDI2490" s="58"/>
      <c r="WDJ2490" s="61"/>
      <c r="WDK2490" s="58"/>
      <c r="WDL2490" s="58"/>
      <c r="WDM2490" s="58"/>
      <c r="WDN2490" s="60"/>
      <c r="WDO2490" s="60"/>
      <c r="WDP2490" s="60"/>
      <c r="WDQ2490" s="58"/>
      <c r="WDR2490" s="61"/>
      <c r="WDS2490" s="58"/>
      <c r="WDT2490" s="58"/>
      <c r="WDU2490" s="58"/>
      <c r="WDV2490" s="60"/>
      <c r="WDW2490" s="60"/>
      <c r="WDX2490" s="60"/>
      <c r="WDY2490" s="58"/>
      <c r="WDZ2490" s="61"/>
      <c r="WEA2490" s="58"/>
      <c r="WEB2490" s="58"/>
      <c r="WEC2490" s="58"/>
      <c r="WED2490" s="60"/>
      <c r="WEE2490" s="60"/>
      <c r="WEF2490" s="60"/>
      <c r="WEG2490" s="58"/>
      <c r="WEH2490" s="61"/>
      <c r="WEI2490" s="58"/>
      <c r="WEJ2490" s="58"/>
      <c r="WEK2490" s="58"/>
      <c r="WEL2490" s="60"/>
      <c r="WEM2490" s="60"/>
      <c r="WEN2490" s="60"/>
      <c r="WEO2490" s="58"/>
      <c r="WEP2490" s="61"/>
      <c r="WEQ2490" s="58"/>
      <c r="WER2490" s="58"/>
      <c r="WES2490" s="58"/>
      <c r="WET2490" s="60"/>
      <c r="WEU2490" s="60"/>
      <c r="WEV2490" s="60"/>
      <c r="WEW2490" s="58"/>
      <c r="WEX2490" s="61"/>
      <c r="WEY2490" s="58"/>
      <c r="WEZ2490" s="58"/>
      <c r="WFA2490" s="58"/>
      <c r="WFB2490" s="60"/>
      <c r="WFC2490" s="60"/>
      <c r="WFD2490" s="60"/>
      <c r="WFE2490" s="58"/>
      <c r="WFF2490" s="61"/>
      <c r="WFG2490" s="58"/>
      <c r="WFH2490" s="58"/>
      <c r="WFI2490" s="58"/>
      <c r="WFJ2490" s="60"/>
      <c r="WFK2490" s="60"/>
      <c r="WFL2490" s="60"/>
      <c r="WFM2490" s="58"/>
      <c r="WFN2490" s="61"/>
      <c r="WFO2490" s="58"/>
      <c r="WFP2490" s="58"/>
      <c r="WFQ2490" s="58"/>
      <c r="WFR2490" s="60"/>
      <c r="WFS2490" s="60"/>
      <c r="WFT2490" s="60"/>
      <c r="WFU2490" s="58"/>
      <c r="WFV2490" s="61"/>
      <c r="WFW2490" s="58"/>
      <c r="WFX2490" s="58"/>
      <c r="WFY2490" s="58"/>
      <c r="WFZ2490" s="60"/>
      <c r="WGA2490" s="60"/>
      <c r="WGB2490" s="60"/>
      <c r="WGC2490" s="58"/>
      <c r="WGD2490" s="61"/>
      <c r="WGE2490" s="58"/>
      <c r="WGF2490" s="58"/>
      <c r="WGG2490" s="58"/>
      <c r="WGH2490" s="60"/>
      <c r="WGI2490" s="60"/>
      <c r="WGJ2490" s="60"/>
      <c r="WGK2490" s="58"/>
      <c r="WGL2490" s="61"/>
      <c r="WGM2490" s="58"/>
      <c r="WGN2490" s="58"/>
      <c r="WGO2490" s="58"/>
      <c r="WGP2490" s="60"/>
      <c r="WGQ2490" s="60"/>
      <c r="WGR2490" s="60"/>
      <c r="WGS2490" s="58"/>
      <c r="WGT2490" s="61"/>
      <c r="WGU2490" s="58"/>
      <c r="WGV2490" s="58"/>
      <c r="WGW2490" s="58"/>
      <c r="WGX2490" s="60"/>
      <c r="WGY2490" s="60"/>
      <c r="WGZ2490" s="60"/>
      <c r="WHA2490" s="58"/>
      <c r="WHB2490" s="61"/>
      <c r="WHC2490" s="58"/>
      <c r="WHD2490" s="58"/>
      <c r="WHE2490" s="58"/>
      <c r="WHF2490" s="60"/>
      <c r="WHG2490" s="60"/>
      <c r="WHH2490" s="60"/>
      <c r="WHI2490" s="58"/>
      <c r="WHJ2490" s="61"/>
      <c r="WHK2490" s="58"/>
      <c r="WHL2490" s="58"/>
      <c r="WHM2490" s="58"/>
      <c r="WHN2490" s="60"/>
      <c r="WHO2490" s="60"/>
      <c r="WHP2490" s="60"/>
      <c r="WHQ2490" s="58"/>
      <c r="WHR2490" s="61"/>
      <c r="WHS2490" s="58"/>
      <c r="WHT2490" s="58"/>
      <c r="WHU2490" s="58"/>
      <c r="WHV2490" s="60"/>
      <c r="WHW2490" s="60"/>
      <c r="WHX2490" s="60"/>
      <c r="WHY2490" s="58"/>
      <c r="WHZ2490" s="61"/>
      <c r="WIA2490" s="58"/>
      <c r="WIB2490" s="58"/>
      <c r="WIC2490" s="58"/>
      <c r="WID2490" s="60"/>
      <c r="WIE2490" s="60"/>
      <c r="WIF2490" s="60"/>
      <c r="WIG2490" s="58"/>
      <c r="WIH2490" s="61"/>
      <c r="WII2490" s="58"/>
      <c r="WIJ2490" s="58"/>
      <c r="WIK2490" s="58"/>
      <c r="WIL2490" s="60"/>
      <c r="WIM2490" s="60"/>
      <c r="WIN2490" s="60"/>
      <c r="WIO2490" s="58"/>
      <c r="WIP2490" s="61"/>
      <c r="WIQ2490" s="58"/>
      <c r="WIR2490" s="58"/>
      <c r="WIS2490" s="58"/>
      <c r="WIT2490" s="60"/>
      <c r="WIU2490" s="60"/>
      <c r="WIV2490" s="60"/>
      <c r="WIW2490" s="58"/>
      <c r="WIX2490" s="61"/>
      <c r="WIY2490" s="58"/>
      <c r="WIZ2490" s="58"/>
      <c r="WJA2490" s="58"/>
      <c r="WJB2490" s="60"/>
      <c r="WJC2490" s="60"/>
      <c r="WJD2490" s="60"/>
      <c r="WJE2490" s="58"/>
      <c r="WJF2490" s="61"/>
      <c r="WJG2490" s="58"/>
      <c r="WJH2490" s="58"/>
      <c r="WJI2490" s="58"/>
      <c r="WJJ2490" s="60"/>
      <c r="WJK2490" s="60"/>
      <c r="WJL2490" s="60"/>
      <c r="WJM2490" s="58"/>
      <c r="WJN2490" s="61"/>
      <c r="WJO2490" s="58"/>
      <c r="WJP2490" s="58"/>
      <c r="WJQ2490" s="58"/>
      <c r="WJR2490" s="60"/>
      <c r="WJS2490" s="60"/>
      <c r="WJT2490" s="60"/>
      <c r="WJU2490" s="58"/>
      <c r="WJV2490" s="61"/>
      <c r="WJW2490" s="58"/>
      <c r="WJX2490" s="58"/>
      <c r="WJY2490" s="58"/>
      <c r="WJZ2490" s="60"/>
      <c r="WKA2490" s="60"/>
      <c r="WKB2490" s="60"/>
      <c r="WKC2490" s="58"/>
      <c r="WKD2490" s="61"/>
      <c r="WKE2490" s="58"/>
      <c r="WKF2490" s="58"/>
      <c r="WKG2490" s="58"/>
      <c r="WKH2490" s="60"/>
      <c r="WKI2490" s="60"/>
      <c r="WKJ2490" s="60"/>
      <c r="WKK2490" s="58"/>
      <c r="WKL2490" s="61"/>
      <c r="WKM2490" s="58"/>
      <c r="WKN2490" s="58"/>
      <c r="WKO2490" s="58"/>
      <c r="WKP2490" s="60"/>
      <c r="WKQ2490" s="60"/>
      <c r="WKR2490" s="60"/>
      <c r="WKS2490" s="58"/>
      <c r="WKT2490" s="61"/>
      <c r="WKU2490" s="58"/>
      <c r="WKV2490" s="58"/>
      <c r="WKW2490" s="58"/>
      <c r="WKX2490" s="60"/>
      <c r="WKY2490" s="60"/>
      <c r="WKZ2490" s="60"/>
      <c r="WLA2490" s="58"/>
      <c r="WLB2490" s="61"/>
      <c r="WLC2490" s="58"/>
      <c r="WLD2490" s="58"/>
      <c r="WLE2490" s="58"/>
      <c r="WLF2490" s="60"/>
      <c r="WLG2490" s="60"/>
      <c r="WLH2490" s="60"/>
      <c r="WLI2490" s="58"/>
      <c r="WLJ2490" s="61"/>
      <c r="WLK2490" s="58"/>
      <c r="WLL2490" s="58"/>
      <c r="WLM2490" s="58"/>
      <c r="WLN2490" s="60"/>
      <c r="WLO2490" s="60"/>
      <c r="WLP2490" s="60"/>
      <c r="WLQ2490" s="58"/>
      <c r="WLR2490" s="61"/>
      <c r="WLS2490" s="58"/>
      <c r="WLT2490" s="58"/>
      <c r="WLU2490" s="58"/>
      <c r="WLV2490" s="60"/>
      <c r="WLW2490" s="60"/>
      <c r="WLX2490" s="60"/>
      <c r="WLY2490" s="58"/>
      <c r="WLZ2490" s="61"/>
      <c r="WMA2490" s="58"/>
      <c r="WMB2490" s="58"/>
      <c r="WMC2490" s="58"/>
      <c r="WMD2490" s="60"/>
      <c r="WME2490" s="60"/>
      <c r="WMF2490" s="60"/>
      <c r="WMG2490" s="58"/>
      <c r="WMH2490" s="61"/>
      <c r="WMI2490" s="58"/>
      <c r="WMJ2490" s="58"/>
      <c r="WMK2490" s="58"/>
      <c r="WML2490" s="60"/>
      <c r="WMM2490" s="60"/>
      <c r="WMN2490" s="60"/>
      <c r="WMO2490" s="58"/>
      <c r="WMP2490" s="61"/>
      <c r="WMQ2490" s="58"/>
      <c r="WMR2490" s="58"/>
      <c r="WMS2490" s="58"/>
      <c r="WMT2490" s="60"/>
      <c r="WMU2490" s="60"/>
      <c r="WMV2490" s="60"/>
      <c r="WMW2490" s="58"/>
      <c r="WMX2490" s="61"/>
      <c r="WMY2490" s="58"/>
      <c r="WMZ2490" s="58"/>
      <c r="WNA2490" s="58"/>
      <c r="WNB2490" s="60"/>
      <c r="WNC2490" s="60"/>
      <c r="WND2490" s="60"/>
      <c r="WNE2490" s="58"/>
      <c r="WNF2490" s="61"/>
      <c r="WNG2490" s="58"/>
      <c r="WNH2490" s="58"/>
      <c r="WNI2490" s="58"/>
      <c r="WNJ2490" s="60"/>
      <c r="WNK2490" s="60"/>
      <c r="WNL2490" s="60"/>
      <c r="WNM2490" s="58"/>
      <c r="WNN2490" s="61"/>
      <c r="WNO2490" s="58"/>
      <c r="WNP2490" s="58"/>
      <c r="WNQ2490" s="58"/>
      <c r="WNR2490" s="60"/>
      <c r="WNS2490" s="60"/>
      <c r="WNT2490" s="60"/>
      <c r="WNU2490" s="58"/>
      <c r="WNV2490" s="61"/>
      <c r="WNW2490" s="58"/>
      <c r="WNX2490" s="58"/>
      <c r="WNY2490" s="58"/>
      <c r="WNZ2490" s="60"/>
      <c r="WOA2490" s="60"/>
      <c r="WOB2490" s="60"/>
      <c r="WOC2490" s="58"/>
      <c r="WOD2490" s="61"/>
      <c r="WOE2490" s="58"/>
      <c r="WOF2490" s="58"/>
      <c r="WOG2490" s="58"/>
      <c r="WOH2490" s="60"/>
      <c r="WOI2490" s="60"/>
      <c r="WOJ2490" s="60"/>
      <c r="WOK2490" s="58"/>
      <c r="WOL2490" s="61"/>
      <c r="WOM2490" s="58"/>
      <c r="WON2490" s="58"/>
      <c r="WOO2490" s="58"/>
      <c r="WOP2490" s="60"/>
      <c r="WOQ2490" s="60"/>
      <c r="WOR2490" s="60"/>
      <c r="WOS2490" s="58"/>
      <c r="WOT2490" s="61"/>
      <c r="WOU2490" s="58"/>
      <c r="WOV2490" s="58"/>
      <c r="WOW2490" s="58"/>
      <c r="WOX2490" s="60"/>
      <c r="WOY2490" s="60"/>
      <c r="WOZ2490" s="60"/>
      <c r="WPA2490" s="58"/>
      <c r="WPB2490" s="61"/>
      <c r="WPC2490" s="58"/>
      <c r="WPD2490" s="58"/>
      <c r="WPE2490" s="58"/>
      <c r="WPF2490" s="60"/>
      <c r="WPG2490" s="60"/>
      <c r="WPH2490" s="60"/>
      <c r="WPI2490" s="58"/>
      <c r="WPJ2490" s="61"/>
      <c r="WPK2490" s="58"/>
      <c r="WPL2490" s="58"/>
      <c r="WPM2490" s="58"/>
      <c r="WPN2490" s="60"/>
      <c r="WPO2490" s="60"/>
      <c r="WPP2490" s="60"/>
      <c r="WPQ2490" s="58"/>
      <c r="WPR2490" s="61"/>
      <c r="WPS2490" s="58"/>
      <c r="WPT2490" s="58"/>
      <c r="WPU2490" s="58"/>
      <c r="WPV2490" s="60"/>
      <c r="WPW2490" s="60"/>
      <c r="WPX2490" s="60"/>
      <c r="WPY2490" s="58"/>
      <c r="WPZ2490" s="61"/>
      <c r="WQA2490" s="58"/>
      <c r="WQB2490" s="58"/>
      <c r="WQC2490" s="58"/>
      <c r="WQD2490" s="60"/>
      <c r="WQE2490" s="60"/>
      <c r="WQF2490" s="60"/>
      <c r="WQG2490" s="58"/>
      <c r="WQH2490" s="61"/>
      <c r="WQI2490" s="58"/>
      <c r="WQJ2490" s="58"/>
      <c r="WQK2490" s="58"/>
      <c r="WQL2490" s="60"/>
      <c r="WQM2490" s="60"/>
      <c r="WQN2490" s="60"/>
      <c r="WQO2490" s="58"/>
      <c r="WQP2490" s="61"/>
      <c r="WQQ2490" s="58"/>
      <c r="WQR2490" s="58"/>
      <c r="WQS2490" s="58"/>
      <c r="WQT2490" s="60"/>
      <c r="WQU2490" s="60"/>
      <c r="WQV2490" s="60"/>
      <c r="WQW2490" s="58"/>
      <c r="WQX2490" s="61"/>
      <c r="WQY2490" s="58"/>
      <c r="WQZ2490" s="58"/>
      <c r="WRA2490" s="58"/>
      <c r="WRB2490" s="60"/>
      <c r="WRC2490" s="60"/>
      <c r="WRD2490" s="60"/>
      <c r="WRE2490" s="58"/>
      <c r="WRF2490" s="61"/>
      <c r="WRG2490" s="58"/>
      <c r="WRH2490" s="58"/>
      <c r="WRI2490" s="58"/>
      <c r="WRJ2490" s="60"/>
      <c r="WRK2490" s="60"/>
      <c r="WRL2490" s="60"/>
      <c r="WRM2490" s="58"/>
      <c r="WRN2490" s="61"/>
      <c r="WRO2490" s="58"/>
      <c r="WRP2490" s="58"/>
      <c r="WRQ2490" s="58"/>
      <c r="WRR2490" s="60"/>
      <c r="WRS2490" s="60"/>
      <c r="WRT2490" s="60"/>
      <c r="WRU2490" s="58"/>
      <c r="WRV2490" s="61"/>
      <c r="WRW2490" s="58"/>
      <c r="WRX2490" s="58"/>
      <c r="WRY2490" s="58"/>
      <c r="WRZ2490" s="60"/>
      <c r="WSA2490" s="60"/>
      <c r="WSB2490" s="60"/>
      <c r="WSC2490" s="58"/>
      <c r="WSD2490" s="61"/>
      <c r="WSE2490" s="58"/>
      <c r="WSF2490" s="58"/>
      <c r="WSG2490" s="58"/>
      <c r="WSH2490" s="60"/>
      <c r="WSI2490" s="60"/>
      <c r="WSJ2490" s="60"/>
      <c r="WSK2490" s="58"/>
      <c r="WSL2490" s="61"/>
      <c r="WSM2490" s="58"/>
      <c r="WSN2490" s="58"/>
      <c r="WSO2490" s="58"/>
      <c r="WSP2490" s="60"/>
      <c r="WSQ2490" s="60"/>
      <c r="WSR2490" s="60"/>
      <c r="WSS2490" s="58"/>
      <c r="WST2490" s="61"/>
      <c r="WSU2490" s="58"/>
      <c r="WSV2490" s="58"/>
      <c r="WSW2490" s="58"/>
      <c r="WSX2490" s="60"/>
      <c r="WSY2490" s="60"/>
      <c r="WSZ2490" s="60"/>
      <c r="WTA2490" s="58"/>
      <c r="WTB2490" s="61"/>
      <c r="WTC2490" s="58"/>
      <c r="WTD2490" s="58"/>
      <c r="WTE2490" s="58"/>
      <c r="WTF2490" s="60"/>
      <c r="WTG2490" s="60"/>
      <c r="WTH2490" s="60"/>
      <c r="WTI2490" s="58"/>
      <c r="WTJ2490" s="61"/>
      <c r="WTK2490" s="58"/>
      <c r="WTL2490" s="58"/>
      <c r="WTM2490" s="58"/>
      <c r="WTN2490" s="60"/>
      <c r="WTO2490" s="60"/>
      <c r="WTP2490" s="60"/>
      <c r="WTQ2490" s="58"/>
      <c r="WTR2490" s="61"/>
      <c r="WTS2490" s="58"/>
      <c r="WTT2490" s="58"/>
      <c r="WTU2490" s="58"/>
      <c r="WTV2490" s="60"/>
      <c r="WTW2490" s="60"/>
      <c r="WTX2490" s="60"/>
      <c r="WTY2490" s="58"/>
      <c r="WTZ2490" s="61"/>
      <c r="WUA2490" s="58"/>
      <c r="WUB2490" s="58"/>
      <c r="WUC2490" s="58"/>
      <c r="WUD2490" s="60"/>
      <c r="WUE2490" s="60"/>
      <c r="WUF2490" s="60"/>
      <c r="WUG2490" s="58"/>
      <c r="WUH2490" s="61"/>
      <c r="WUI2490" s="58"/>
      <c r="WUJ2490" s="58"/>
      <c r="WUK2490" s="58"/>
      <c r="WUL2490" s="60"/>
      <c r="WUM2490" s="60"/>
      <c r="WUN2490" s="60"/>
      <c r="WUO2490" s="58"/>
      <c r="WUP2490" s="61"/>
      <c r="WUQ2490" s="58"/>
      <c r="WUR2490" s="58"/>
      <c r="WUS2490" s="58"/>
      <c r="WUT2490" s="60"/>
      <c r="WUU2490" s="60"/>
      <c r="WUV2490" s="60"/>
      <c r="WUW2490" s="58"/>
      <c r="WUX2490" s="61"/>
      <c r="WUY2490" s="58"/>
      <c r="WUZ2490" s="58"/>
      <c r="WVA2490" s="58"/>
      <c r="WVB2490" s="60"/>
      <c r="WVC2490" s="60"/>
      <c r="WVD2490" s="60"/>
      <c r="WVE2490" s="58"/>
      <c r="WVF2490" s="61"/>
      <c r="WVG2490" s="58"/>
      <c r="WVH2490" s="58"/>
      <c r="WVI2490" s="58"/>
      <c r="WVJ2490" s="60"/>
      <c r="WVK2490" s="60"/>
      <c r="WVL2490" s="60"/>
      <c r="WVM2490" s="58"/>
      <c r="WVN2490" s="61"/>
      <c r="WVO2490" s="58"/>
      <c r="WVP2490" s="58"/>
      <c r="WVQ2490" s="58"/>
      <c r="WVR2490" s="60"/>
      <c r="WVS2490" s="60"/>
      <c r="WVT2490" s="60"/>
      <c r="WVU2490" s="58"/>
      <c r="WVV2490" s="61"/>
      <c r="WVW2490" s="58"/>
      <c r="WVX2490" s="58"/>
      <c r="WVY2490" s="58"/>
      <c r="WVZ2490" s="60"/>
      <c r="WWA2490" s="60"/>
      <c r="WWB2490" s="60"/>
      <c r="WWC2490" s="58"/>
      <c r="WWD2490" s="61"/>
      <c r="WWE2490" s="58"/>
      <c r="WWF2490" s="58"/>
      <c r="WWG2490" s="58"/>
      <c r="WWH2490" s="60"/>
      <c r="WWI2490" s="60"/>
      <c r="WWJ2490" s="60"/>
      <c r="WWK2490" s="58"/>
      <c r="WWL2490" s="61"/>
      <c r="WWM2490" s="58"/>
      <c r="WWN2490" s="58"/>
      <c r="WWO2490" s="58"/>
      <c r="WWP2490" s="60"/>
      <c r="WWQ2490" s="60"/>
      <c r="WWR2490" s="60"/>
      <c r="WWS2490" s="58"/>
      <c r="WWT2490" s="61"/>
      <c r="WWU2490" s="58"/>
      <c r="WWV2490" s="58"/>
      <c r="WWW2490" s="58"/>
      <c r="WWX2490" s="60"/>
      <c r="WWY2490" s="60"/>
      <c r="WWZ2490" s="60"/>
      <c r="WXA2490" s="58"/>
      <c r="WXB2490" s="61"/>
      <c r="WXC2490" s="58"/>
      <c r="WXD2490" s="58"/>
      <c r="WXE2490" s="58"/>
      <c r="WXF2490" s="60"/>
      <c r="WXG2490" s="60"/>
      <c r="WXH2490" s="60"/>
      <c r="WXI2490" s="58"/>
      <c r="WXJ2490" s="61"/>
      <c r="WXK2490" s="58"/>
      <c r="WXL2490" s="58"/>
      <c r="WXM2490" s="58"/>
      <c r="WXN2490" s="60"/>
      <c r="WXO2490" s="60"/>
      <c r="WXP2490" s="60"/>
      <c r="WXQ2490" s="58"/>
      <c r="WXR2490" s="61"/>
      <c r="WXS2490" s="58"/>
      <c r="WXT2490" s="58"/>
      <c r="WXU2490" s="58"/>
      <c r="WXV2490" s="60"/>
      <c r="WXW2490" s="60"/>
      <c r="WXX2490" s="60"/>
      <c r="WXY2490" s="58"/>
      <c r="WXZ2490" s="61"/>
      <c r="WYA2490" s="58"/>
      <c r="WYB2490" s="58"/>
      <c r="WYC2490" s="58"/>
      <c r="WYD2490" s="60"/>
      <c r="WYE2490" s="60"/>
      <c r="WYF2490" s="60"/>
      <c r="WYG2490" s="58"/>
      <c r="WYH2490" s="61"/>
      <c r="WYI2490" s="58"/>
      <c r="WYJ2490" s="58"/>
      <c r="WYK2490" s="58"/>
      <c r="WYL2490" s="60"/>
      <c r="WYM2490" s="60"/>
      <c r="WYN2490" s="60"/>
      <c r="WYO2490" s="58"/>
      <c r="WYP2490" s="61"/>
      <c r="WYQ2490" s="58"/>
      <c r="WYR2490" s="58"/>
      <c r="WYS2490" s="58"/>
      <c r="WYT2490" s="60"/>
      <c r="WYU2490" s="60"/>
      <c r="WYV2490" s="60"/>
      <c r="WYW2490" s="58"/>
      <c r="WYX2490" s="61"/>
      <c r="WYY2490" s="58"/>
      <c r="WYZ2490" s="58"/>
      <c r="WZA2490" s="58"/>
      <c r="WZB2490" s="60"/>
      <c r="WZC2490" s="60"/>
      <c r="WZD2490" s="60"/>
      <c r="WZE2490" s="58"/>
      <c r="WZF2490" s="61"/>
      <c r="WZG2490" s="58"/>
      <c r="WZH2490" s="58"/>
      <c r="WZI2490" s="58"/>
      <c r="WZJ2490" s="60"/>
      <c r="WZK2490" s="60"/>
      <c r="WZL2490" s="60"/>
      <c r="WZM2490" s="58"/>
      <c r="WZN2490" s="61"/>
      <c r="WZO2490" s="58"/>
      <c r="WZP2490" s="58"/>
      <c r="WZQ2490" s="58"/>
      <c r="WZR2490" s="60"/>
      <c r="WZS2490" s="60"/>
      <c r="WZT2490" s="60"/>
      <c r="WZU2490" s="58"/>
      <c r="WZV2490" s="61"/>
      <c r="WZW2490" s="58"/>
      <c r="WZX2490" s="58"/>
      <c r="WZY2490" s="58"/>
      <c r="WZZ2490" s="60"/>
      <c r="XAA2490" s="60"/>
      <c r="XAB2490" s="60"/>
      <c r="XAC2490" s="58"/>
      <c r="XAD2490" s="61"/>
      <c r="XAE2490" s="58"/>
      <c r="XAF2490" s="58"/>
      <c r="XAG2490" s="58"/>
      <c r="XAH2490" s="60"/>
      <c r="XAI2490" s="60"/>
      <c r="XAJ2490" s="60"/>
      <c r="XAK2490" s="58"/>
      <c r="XAL2490" s="61"/>
      <c r="XAM2490" s="58"/>
      <c r="XAN2490" s="58"/>
      <c r="XAO2490" s="58"/>
      <c r="XAP2490" s="60"/>
      <c r="XAQ2490" s="60"/>
      <c r="XAR2490" s="60"/>
      <c r="XAS2490" s="58"/>
      <c r="XAT2490" s="61"/>
      <c r="XAU2490" s="58"/>
      <c r="XAV2490" s="58"/>
      <c r="XAW2490" s="58"/>
      <c r="XAX2490" s="60"/>
      <c r="XAY2490" s="60"/>
      <c r="XAZ2490" s="60"/>
      <c r="XBA2490" s="58"/>
      <c r="XBB2490" s="61"/>
      <c r="XBC2490" s="58"/>
      <c r="XBD2490" s="58"/>
      <c r="XBE2490" s="58"/>
      <c r="XBF2490" s="60"/>
      <c r="XBG2490" s="60"/>
      <c r="XBH2490" s="60"/>
      <c r="XBI2490" s="58"/>
      <c r="XBJ2490" s="61"/>
      <c r="XBK2490" s="58"/>
      <c r="XBL2490" s="58"/>
      <c r="XBM2490" s="58"/>
      <c r="XBN2490" s="60"/>
      <c r="XBO2490" s="60"/>
      <c r="XBP2490" s="60"/>
      <c r="XBQ2490" s="58"/>
      <c r="XBR2490" s="61"/>
      <c r="XBS2490" s="58"/>
      <c r="XBT2490" s="58"/>
      <c r="XBU2490" s="58"/>
      <c r="XBV2490" s="60"/>
      <c r="XBW2490" s="60"/>
      <c r="XBX2490" s="60"/>
      <c r="XBY2490" s="58"/>
      <c r="XBZ2490" s="61"/>
      <c r="XCA2490" s="58"/>
      <c r="XCB2490" s="58"/>
      <c r="XCC2490" s="58"/>
      <c r="XCD2490" s="60"/>
      <c r="XCE2490" s="60"/>
      <c r="XCF2490" s="60"/>
      <c r="XCG2490" s="58"/>
      <c r="XCH2490" s="61"/>
      <c r="XCI2490" s="58"/>
      <c r="XCJ2490" s="58"/>
      <c r="XCK2490" s="58"/>
      <c r="XCL2490" s="60"/>
      <c r="XCM2490" s="60"/>
      <c r="XCN2490" s="60"/>
      <c r="XCO2490" s="58"/>
      <c r="XCP2490" s="61"/>
      <c r="XCQ2490" s="58"/>
      <c r="XCR2490" s="58"/>
      <c r="XCS2490" s="58"/>
      <c r="XCT2490" s="60"/>
      <c r="XCU2490" s="60"/>
      <c r="XCV2490" s="60"/>
      <c r="XCW2490" s="58"/>
      <c r="XCX2490" s="61"/>
      <c r="XCY2490" s="58"/>
      <c r="XCZ2490" s="58"/>
      <c r="XDA2490" s="58"/>
      <c r="XDB2490" s="60"/>
      <c r="XDC2490" s="60"/>
      <c r="XDD2490" s="60"/>
      <c r="XDE2490" s="58"/>
      <c r="XDF2490" s="61"/>
      <c r="XDG2490" s="58"/>
      <c r="XDH2490" s="58"/>
      <c r="XDI2490" s="58"/>
      <c r="XDJ2490" s="60"/>
      <c r="XDK2490" s="60"/>
      <c r="XDL2490" s="60"/>
      <c r="XDM2490" s="58"/>
      <c r="XDN2490" s="61"/>
      <c r="XDO2490" s="58"/>
      <c r="XDP2490" s="58"/>
      <c r="XDQ2490" s="58"/>
      <c r="XDR2490" s="60"/>
      <c r="XDS2490" s="60"/>
      <c r="XDT2490" s="60"/>
      <c r="XDU2490" s="58"/>
      <c r="XDV2490" s="61"/>
      <c r="XDW2490" s="58"/>
      <c r="XDX2490" s="58"/>
      <c r="XDY2490" s="58"/>
      <c r="XDZ2490" s="60"/>
      <c r="XEA2490" s="60"/>
      <c r="XEB2490" s="60"/>
      <c r="XEC2490" s="58"/>
      <c r="XED2490" s="61"/>
      <c r="XEE2490" s="58"/>
      <c r="XEF2490" s="58"/>
      <c r="XEG2490" s="58"/>
      <c r="XEH2490" s="60"/>
      <c r="XEI2490" s="60"/>
      <c r="XEJ2490" s="60"/>
      <c r="XEK2490" s="58"/>
      <c r="XEL2490" s="61"/>
      <c r="XEM2490" s="58"/>
      <c r="XEN2490" s="58"/>
      <c r="XEO2490" s="58"/>
      <c r="XEP2490" s="60"/>
      <c r="XEQ2490" s="60"/>
      <c r="XER2490" s="60"/>
      <c r="XES2490" s="58"/>
      <c r="XET2490" s="61"/>
      <c r="XEU2490" s="58"/>
      <c r="XEV2490" s="58"/>
      <c r="XEW2490" s="58"/>
    </row>
    <row r="2491" ht="18" customHeight="1" spans="1:16377">
      <c r="A2491" s="6" t="s">
        <v>8209</v>
      </c>
      <c r="B2491" s="6" t="s">
        <v>8723</v>
      </c>
      <c r="C2491" s="6" t="s">
        <v>6349</v>
      </c>
      <c r="D2491" s="5" t="s">
        <v>16374</v>
      </c>
      <c r="E2491" s="6" t="s">
        <v>16430</v>
      </c>
      <c r="F2491" s="7" t="s">
        <v>11535</v>
      </c>
      <c r="G2491" s="58"/>
      <c r="H2491" s="58"/>
      <c r="I2491" s="58"/>
      <c r="J2491" s="60"/>
      <c r="K2491" s="58"/>
      <c r="L2491" s="58"/>
      <c r="M2491" s="58"/>
      <c r="N2491" s="61"/>
      <c r="O2491" s="58"/>
      <c r="P2491" s="58"/>
      <c r="Q2491" s="58"/>
      <c r="R2491" s="60"/>
      <c r="S2491" s="58"/>
      <c r="T2491" s="58"/>
      <c r="U2491" s="58"/>
      <c r="V2491" s="61"/>
      <c r="W2491" s="58"/>
      <c r="X2491" s="58"/>
      <c r="Y2491" s="58"/>
      <c r="Z2491" s="60"/>
      <c r="AA2491" s="58"/>
      <c r="AB2491" s="58"/>
      <c r="AC2491" s="58"/>
      <c r="AD2491" s="61"/>
      <c r="AE2491" s="58"/>
      <c r="AF2491" s="58"/>
      <c r="AG2491" s="58"/>
      <c r="AH2491" s="60"/>
      <c r="AI2491" s="58"/>
      <c r="AJ2491" s="58"/>
      <c r="AK2491" s="58"/>
      <c r="AL2491" s="61"/>
      <c r="AM2491" s="58"/>
      <c r="AN2491" s="58"/>
      <c r="AO2491" s="58"/>
      <c r="AP2491" s="60"/>
      <c r="AQ2491" s="58"/>
      <c r="AR2491" s="58"/>
      <c r="AS2491" s="58"/>
      <c r="AT2491" s="61"/>
      <c r="AU2491" s="58"/>
      <c r="AV2491" s="58"/>
      <c r="AW2491" s="58"/>
      <c r="AX2491" s="60"/>
      <c r="AY2491" s="58"/>
      <c r="AZ2491" s="58"/>
      <c r="BA2491" s="58"/>
      <c r="BB2491" s="61"/>
      <c r="BC2491" s="58"/>
      <c r="BD2491" s="58"/>
      <c r="BE2491" s="58"/>
      <c r="BF2491" s="60"/>
      <c r="BG2491" s="58"/>
      <c r="BH2491" s="58"/>
      <c r="BI2491" s="58"/>
      <c r="BJ2491" s="61"/>
      <c r="BK2491" s="58"/>
      <c r="BL2491" s="58"/>
      <c r="BM2491" s="58"/>
      <c r="BN2491" s="60"/>
      <c r="BO2491" s="58"/>
      <c r="BP2491" s="58"/>
      <c r="BQ2491" s="58"/>
      <c r="BR2491" s="61"/>
      <c r="BS2491" s="58"/>
      <c r="BT2491" s="58"/>
      <c r="BU2491" s="58"/>
      <c r="BV2491" s="60"/>
      <c r="BW2491" s="58"/>
      <c r="BX2491" s="58"/>
      <c r="BY2491" s="58"/>
      <c r="BZ2491" s="61"/>
      <c r="CA2491" s="58"/>
      <c r="CB2491" s="58"/>
      <c r="CC2491" s="58"/>
      <c r="CD2491" s="60"/>
      <c r="CE2491" s="58"/>
      <c r="CF2491" s="58"/>
      <c r="CG2491" s="58"/>
      <c r="CH2491" s="61"/>
      <c r="CI2491" s="58"/>
      <c r="CJ2491" s="58"/>
      <c r="CK2491" s="58"/>
      <c r="CL2491" s="60"/>
      <c r="CM2491" s="58"/>
      <c r="CN2491" s="58"/>
      <c r="CO2491" s="58"/>
      <c r="CP2491" s="61"/>
      <c r="CQ2491" s="58"/>
      <c r="CR2491" s="58"/>
      <c r="CS2491" s="58"/>
      <c r="CT2491" s="60"/>
      <c r="CU2491" s="58"/>
      <c r="CV2491" s="58"/>
      <c r="CW2491" s="58"/>
      <c r="CX2491" s="61"/>
      <c r="CY2491" s="58"/>
      <c r="CZ2491" s="58"/>
      <c r="DA2491" s="58"/>
      <c r="DB2491" s="60"/>
      <c r="DC2491" s="58"/>
      <c r="DD2491" s="58"/>
      <c r="DE2491" s="58"/>
      <c r="DF2491" s="61"/>
      <c r="DG2491" s="58"/>
      <c r="DH2491" s="58"/>
      <c r="DI2491" s="58"/>
      <c r="DJ2491" s="60"/>
      <c r="DK2491" s="58"/>
      <c r="DL2491" s="58"/>
      <c r="DM2491" s="58"/>
      <c r="DN2491" s="61"/>
      <c r="DO2491" s="58"/>
      <c r="DP2491" s="58"/>
      <c r="DQ2491" s="58"/>
      <c r="DR2491" s="60"/>
      <c r="DS2491" s="58"/>
      <c r="DT2491" s="58"/>
      <c r="DU2491" s="58"/>
      <c r="DV2491" s="61"/>
      <c r="DW2491" s="58"/>
      <c r="DX2491" s="58"/>
      <c r="DY2491" s="58"/>
      <c r="DZ2491" s="60"/>
      <c r="EA2491" s="58"/>
      <c r="EB2491" s="58"/>
      <c r="EC2491" s="58"/>
      <c r="ED2491" s="61"/>
      <c r="EE2491" s="58"/>
      <c r="EF2491" s="58"/>
      <c r="EG2491" s="58"/>
      <c r="EH2491" s="60"/>
      <c r="EI2491" s="58"/>
      <c r="EJ2491" s="58"/>
      <c r="EK2491" s="58"/>
      <c r="EL2491" s="61"/>
      <c r="EM2491" s="58"/>
      <c r="EN2491" s="58"/>
      <c r="EO2491" s="58"/>
      <c r="EP2491" s="60"/>
      <c r="EQ2491" s="58"/>
      <c r="ER2491" s="58"/>
      <c r="ES2491" s="58"/>
      <c r="ET2491" s="61"/>
      <c r="EU2491" s="58"/>
      <c r="EV2491" s="58"/>
      <c r="EW2491" s="58"/>
      <c r="EX2491" s="60"/>
      <c r="EY2491" s="58"/>
      <c r="EZ2491" s="58"/>
      <c r="FA2491" s="58"/>
      <c r="FB2491" s="61"/>
      <c r="FC2491" s="58"/>
      <c r="FD2491" s="58"/>
      <c r="FE2491" s="58"/>
      <c r="FF2491" s="60"/>
      <c r="FG2491" s="58"/>
      <c r="FH2491" s="58"/>
      <c r="FI2491" s="58"/>
      <c r="FJ2491" s="61"/>
      <c r="FK2491" s="58"/>
      <c r="FL2491" s="58"/>
      <c r="FM2491" s="58"/>
      <c r="FN2491" s="60"/>
      <c r="FO2491" s="58"/>
      <c r="FP2491" s="58"/>
      <c r="FQ2491" s="58"/>
      <c r="FR2491" s="61"/>
      <c r="FS2491" s="58"/>
      <c r="FT2491" s="58"/>
      <c r="FU2491" s="58"/>
      <c r="FV2491" s="60"/>
      <c r="FW2491" s="58"/>
      <c r="FX2491" s="58"/>
      <c r="FY2491" s="58"/>
      <c r="FZ2491" s="61"/>
      <c r="GA2491" s="58"/>
      <c r="GB2491" s="58"/>
      <c r="GC2491" s="58"/>
      <c r="GD2491" s="60"/>
      <c r="GE2491" s="58"/>
      <c r="GF2491" s="58"/>
      <c r="GG2491" s="58"/>
      <c r="GH2491" s="61"/>
      <c r="GI2491" s="58"/>
      <c r="GJ2491" s="58"/>
      <c r="GK2491" s="58"/>
      <c r="GL2491" s="60"/>
      <c r="GM2491" s="58"/>
      <c r="GN2491" s="58"/>
      <c r="GO2491" s="58"/>
      <c r="GP2491" s="61"/>
      <c r="GQ2491" s="58"/>
      <c r="GR2491" s="58"/>
      <c r="GS2491" s="58"/>
      <c r="GT2491" s="60"/>
      <c r="GU2491" s="58"/>
      <c r="GV2491" s="58"/>
      <c r="GW2491" s="58"/>
      <c r="GX2491" s="61"/>
      <c r="GY2491" s="58"/>
      <c r="GZ2491" s="58"/>
      <c r="HA2491" s="58"/>
      <c r="HB2491" s="60"/>
      <c r="HC2491" s="58"/>
      <c r="HD2491" s="58"/>
      <c r="HE2491" s="58"/>
      <c r="HF2491" s="61"/>
      <c r="HG2491" s="58"/>
      <c r="HH2491" s="58"/>
      <c r="HI2491" s="58"/>
      <c r="HJ2491" s="60"/>
      <c r="HK2491" s="58"/>
      <c r="HL2491" s="58"/>
      <c r="HM2491" s="58"/>
      <c r="HN2491" s="61"/>
      <c r="HO2491" s="58"/>
      <c r="HP2491" s="58"/>
      <c r="HQ2491" s="58"/>
      <c r="HR2491" s="60"/>
      <c r="HS2491" s="58"/>
      <c r="HT2491" s="58"/>
      <c r="HU2491" s="58"/>
      <c r="HV2491" s="61"/>
      <c r="HW2491" s="58"/>
      <c r="HX2491" s="58"/>
      <c r="HY2491" s="58"/>
      <c r="HZ2491" s="60"/>
      <c r="IA2491" s="58"/>
      <c r="IB2491" s="58"/>
      <c r="IC2491" s="58"/>
      <c r="ID2491" s="61"/>
      <c r="IE2491" s="58"/>
      <c r="IF2491" s="58"/>
      <c r="IG2491" s="58"/>
      <c r="IH2491" s="60"/>
      <c r="II2491" s="58"/>
      <c r="IJ2491" s="58"/>
      <c r="IK2491" s="58"/>
      <c r="IL2491" s="61"/>
      <c r="IM2491" s="58"/>
      <c r="IN2491" s="58"/>
      <c r="IO2491" s="58"/>
      <c r="IP2491" s="60"/>
      <c r="IQ2491" s="58"/>
      <c r="IR2491" s="58"/>
      <c r="IS2491" s="58"/>
      <c r="IT2491" s="61"/>
      <c r="IU2491" s="58"/>
      <c r="IV2491" s="58"/>
      <c r="IW2491" s="58"/>
      <c r="IX2491" s="60"/>
      <c r="IY2491" s="58"/>
      <c r="IZ2491" s="58"/>
      <c r="JA2491" s="58"/>
      <c r="JB2491" s="61"/>
      <c r="JC2491" s="58"/>
      <c r="JD2491" s="58"/>
      <c r="JE2491" s="58"/>
      <c r="JF2491" s="60"/>
      <c r="JG2491" s="58"/>
      <c r="JH2491" s="58"/>
      <c r="JI2491" s="58"/>
      <c r="JJ2491" s="61"/>
      <c r="JK2491" s="58"/>
      <c r="JL2491" s="58"/>
      <c r="JM2491" s="58"/>
      <c r="JN2491" s="60"/>
      <c r="JO2491" s="58"/>
      <c r="JP2491" s="58"/>
      <c r="JQ2491" s="58"/>
      <c r="JR2491" s="61"/>
      <c r="JS2491" s="58"/>
      <c r="JT2491" s="58"/>
      <c r="JU2491" s="58"/>
      <c r="JV2491" s="60"/>
      <c r="JW2491" s="58"/>
      <c r="JX2491" s="58"/>
      <c r="JY2491" s="58"/>
      <c r="JZ2491" s="61"/>
      <c r="KA2491" s="58"/>
      <c r="KB2491" s="58"/>
      <c r="KC2491" s="58"/>
      <c r="KD2491" s="60"/>
      <c r="KE2491" s="58"/>
      <c r="KF2491" s="58"/>
      <c r="KG2491" s="58"/>
      <c r="KH2491" s="61"/>
      <c r="KI2491" s="58"/>
      <c r="KJ2491" s="58"/>
      <c r="KK2491" s="58"/>
      <c r="KL2491" s="60"/>
      <c r="KM2491" s="58"/>
      <c r="KN2491" s="58"/>
      <c r="KO2491" s="58"/>
      <c r="KP2491" s="61"/>
      <c r="KQ2491" s="58"/>
      <c r="KR2491" s="58"/>
      <c r="KS2491" s="58"/>
      <c r="KT2491" s="60"/>
      <c r="KU2491" s="58"/>
      <c r="KV2491" s="58"/>
      <c r="KW2491" s="58"/>
      <c r="KX2491" s="61"/>
      <c r="KY2491" s="58"/>
      <c r="KZ2491" s="58"/>
      <c r="LA2491" s="58"/>
      <c r="LB2491" s="60"/>
      <c r="LC2491" s="58"/>
      <c r="LD2491" s="58"/>
      <c r="LE2491" s="58"/>
      <c r="LF2491" s="61"/>
      <c r="LG2491" s="58"/>
      <c r="LH2491" s="58"/>
      <c r="LI2491" s="58"/>
      <c r="LJ2491" s="60"/>
      <c r="LK2491" s="58"/>
      <c r="LL2491" s="58"/>
      <c r="LM2491" s="58"/>
      <c r="LN2491" s="61"/>
      <c r="LO2491" s="58"/>
      <c r="LP2491" s="58"/>
      <c r="LQ2491" s="58"/>
      <c r="LR2491" s="60"/>
      <c r="LS2491" s="58"/>
      <c r="LT2491" s="58"/>
      <c r="LU2491" s="58"/>
      <c r="LV2491" s="61"/>
      <c r="LW2491" s="58"/>
      <c r="LX2491" s="58"/>
      <c r="LY2491" s="58"/>
      <c r="LZ2491" s="60"/>
      <c r="MA2491" s="58"/>
      <c r="MB2491" s="58"/>
      <c r="MC2491" s="58"/>
      <c r="MD2491" s="61"/>
      <c r="ME2491" s="58"/>
      <c r="MF2491" s="58"/>
      <c r="MG2491" s="58"/>
      <c r="MH2491" s="60"/>
      <c r="MI2491" s="58"/>
      <c r="MJ2491" s="58"/>
      <c r="MK2491" s="58"/>
      <c r="ML2491" s="61"/>
      <c r="MM2491" s="58"/>
      <c r="MN2491" s="58"/>
      <c r="MO2491" s="58"/>
      <c r="MP2491" s="60"/>
      <c r="MQ2491" s="58"/>
      <c r="MR2491" s="58"/>
      <c r="MS2491" s="58"/>
      <c r="MT2491" s="61"/>
      <c r="MU2491" s="58"/>
      <c r="MV2491" s="58"/>
      <c r="MW2491" s="58"/>
      <c r="MX2491" s="60"/>
      <c r="MY2491" s="58"/>
      <c r="MZ2491" s="58"/>
      <c r="NA2491" s="58"/>
      <c r="NB2491" s="61"/>
      <c r="NC2491" s="58"/>
      <c r="ND2491" s="58"/>
      <c r="NE2491" s="58"/>
      <c r="NF2491" s="60"/>
      <c r="NG2491" s="58"/>
      <c r="NH2491" s="58"/>
      <c r="NI2491" s="58"/>
      <c r="NJ2491" s="61"/>
      <c r="NK2491" s="58"/>
      <c r="NL2491" s="58"/>
      <c r="NM2491" s="58"/>
      <c r="NN2491" s="60"/>
      <c r="NO2491" s="58"/>
      <c r="NP2491" s="58"/>
      <c r="NQ2491" s="58"/>
      <c r="NR2491" s="61"/>
      <c r="NS2491" s="58"/>
      <c r="NT2491" s="58"/>
      <c r="NU2491" s="58"/>
      <c r="NV2491" s="60"/>
      <c r="NW2491" s="58"/>
      <c r="NX2491" s="58"/>
      <c r="NY2491" s="58"/>
      <c r="NZ2491" s="61"/>
      <c r="OA2491" s="58"/>
      <c r="OB2491" s="58"/>
      <c r="OC2491" s="58"/>
      <c r="OD2491" s="60"/>
      <c r="OE2491" s="58"/>
      <c r="OF2491" s="58"/>
      <c r="OG2491" s="58"/>
      <c r="OH2491" s="61"/>
      <c r="OI2491" s="58"/>
      <c r="OJ2491" s="58"/>
      <c r="OK2491" s="58"/>
      <c r="OL2491" s="60"/>
      <c r="OM2491" s="58"/>
      <c r="ON2491" s="58"/>
      <c r="OO2491" s="58"/>
      <c r="OP2491" s="61"/>
      <c r="OQ2491" s="58"/>
      <c r="OR2491" s="58"/>
      <c r="OS2491" s="58"/>
      <c r="OT2491" s="60"/>
      <c r="OU2491" s="58"/>
      <c r="OV2491" s="58"/>
      <c r="OW2491" s="58"/>
      <c r="OX2491" s="61"/>
      <c r="OY2491" s="58"/>
      <c r="OZ2491" s="58"/>
      <c r="PA2491" s="58"/>
      <c r="PB2491" s="60"/>
      <c r="PC2491" s="58"/>
      <c r="PD2491" s="58"/>
      <c r="PE2491" s="58"/>
      <c r="PF2491" s="61"/>
      <c r="PG2491" s="58"/>
      <c r="PH2491" s="58"/>
      <c r="PI2491" s="58"/>
      <c r="PJ2491" s="60"/>
      <c r="PK2491" s="58"/>
      <c r="PL2491" s="58"/>
      <c r="PM2491" s="58"/>
      <c r="PN2491" s="61"/>
      <c r="PO2491" s="58"/>
      <c r="PP2491" s="58"/>
      <c r="PQ2491" s="58"/>
      <c r="PR2491" s="60"/>
      <c r="PS2491" s="58"/>
      <c r="PT2491" s="58"/>
      <c r="PU2491" s="58"/>
      <c r="PV2491" s="61"/>
      <c r="PW2491" s="58"/>
      <c r="PX2491" s="58"/>
      <c r="PY2491" s="58"/>
      <c r="PZ2491" s="60"/>
      <c r="QA2491" s="58"/>
      <c r="QB2491" s="58"/>
      <c r="QC2491" s="58"/>
      <c r="QD2491" s="61"/>
      <c r="QE2491" s="58"/>
      <c r="QF2491" s="58"/>
      <c r="QG2491" s="58"/>
      <c r="QH2491" s="60"/>
      <c r="QI2491" s="58"/>
      <c r="QJ2491" s="58"/>
      <c r="QK2491" s="58"/>
      <c r="QL2491" s="61"/>
      <c r="QM2491" s="58"/>
      <c r="QN2491" s="58"/>
      <c r="QO2491" s="58"/>
      <c r="QP2491" s="60"/>
      <c r="QQ2491" s="58"/>
      <c r="QR2491" s="58"/>
      <c r="QS2491" s="58"/>
      <c r="QT2491" s="61"/>
      <c r="QU2491" s="58"/>
      <c r="QV2491" s="58"/>
      <c r="QW2491" s="58"/>
      <c r="QX2491" s="60"/>
      <c r="QY2491" s="58"/>
      <c r="QZ2491" s="58"/>
      <c r="RA2491" s="58"/>
      <c r="RB2491" s="61"/>
      <c r="RC2491" s="58"/>
      <c r="RD2491" s="58"/>
      <c r="RE2491" s="58"/>
      <c r="RF2491" s="60"/>
      <c r="RG2491" s="58"/>
      <c r="RH2491" s="58"/>
      <c r="RI2491" s="58"/>
      <c r="RJ2491" s="61"/>
      <c r="RK2491" s="58"/>
      <c r="RL2491" s="58"/>
      <c r="RM2491" s="58"/>
      <c r="RN2491" s="60"/>
      <c r="RO2491" s="58"/>
      <c r="RP2491" s="58"/>
      <c r="RQ2491" s="58"/>
      <c r="RR2491" s="61"/>
      <c r="RS2491" s="58"/>
      <c r="RT2491" s="58"/>
      <c r="RU2491" s="58"/>
      <c r="RV2491" s="60"/>
      <c r="RW2491" s="58"/>
      <c r="RX2491" s="58"/>
      <c r="RY2491" s="58"/>
      <c r="RZ2491" s="61"/>
      <c r="SA2491" s="58"/>
      <c r="SB2491" s="58"/>
      <c r="SC2491" s="58"/>
      <c r="SD2491" s="60"/>
      <c r="SE2491" s="58"/>
      <c r="SF2491" s="58"/>
      <c r="SG2491" s="58"/>
      <c r="SH2491" s="61"/>
      <c r="SI2491" s="58"/>
      <c r="SJ2491" s="58"/>
      <c r="SK2491" s="58"/>
      <c r="SL2491" s="60"/>
      <c r="SM2491" s="58"/>
      <c r="SN2491" s="58"/>
      <c r="SO2491" s="58"/>
      <c r="SP2491" s="61"/>
      <c r="SQ2491" s="58"/>
      <c r="SR2491" s="58"/>
      <c r="SS2491" s="58"/>
      <c r="ST2491" s="60"/>
      <c r="SU2491" s="58"/>
      <c r="SV2491" s="58"/>
      <c r="SW2491" s="58"/>
      <c r="SX2491" s="61"/>
      <c r="SY2491" s="58"/>
      <c r="SZ2491" s="58"/>
      <c r="TA2491" s="58"/>
      <c r="TB2491" s="60"/>
      <c r="TC2491" s="58"/>
      <c r="TD2491" s="58"/>
      <c r="TE2491" s="58"/>
      <c r="TF2491" s="61"/>
      <c r="TG2491" s="58"/>
      <c r="TH2491" s="58"/>
      <c r="TI2491" s="58"/>
      <c r="TJ2491" s="60"/>
      <c r="TK2491" s="58"/>
      <c r="TL2491" s="58"/>
      <c r="TM2491" s="58"/>
      <c r="TN2491" s="61"/>
      <c r="TO2491" s="58"/>
      <c r="TP2491" s="58"/>
      <c r="TQ2491" s="58"/>
      <c r="TR2491" s="60"/>
      <c r="TS2491" s="58"/>
      <c r="TT2491" s="58"/>
      <c r="TU2491" s="58"/>
      <c r="TV2491" s="61"/>
      <c r="TW2491" s="58"/>
      <c r="TX2491" s="58"/>
      <c r="TY2491" s="58"/>
      <c r="TZ2491" s="60"/>
      <c r="UA2491" s="58"/>
      <c r="UB2491" s="58"/>
      <c r="UC2491" s="58"/>
      <c r="UD2491" s="61"/>
      <c r="UE2491" s="58"/>
      <c r="UF2491" s="58"/>
      <c r="UG2491" s="58"/>
      <c r="UH2491" s="60"/>
      <c r="UI2491" s="58"/>
      <c r="UJ2491" s="58"/>
      <c r="UK2491" s="58"/>
      <c r="UL2491" s="61"/>
      <c r="UM2491" s="58"/>
      <c r="UN2491" s="58"/>
      <c r="UO2491" s="58"/>
      <c r="UP2491" s="60"/>
      <c r="UQ2491" s="58"/>
      <c r="UR2491" s="58"/>
      <c r="US2491" s="58"/>
      <c r="UT2491" s="61"/>
      <c r="UU2491" s="58"/>
      <c r="UV2491" s="58"/>
      <c r="UW2491" s="58"/>
      <c r="UX2491" s="60"/>
      <c r="UY2491" s="58"/>
      <c r="UZ2491" s="58"/>
      <c r="VA2491" s="58"/>
      <c r="VB2491" s="61"/>
      <c r="VC2491" s="58"/>
      <c r="VD2491" s="58"/>
      <c r="VE2491" s="58"/>
      <c r="VF2491" s="60"/>
      <c r="VG2491" s="58"/>
      <c r="VH2491" s="58"/>
      <c r="VI2491" s="58"/>
      <c r="VJ2491" s="61"/>
      <c r="VK2491" s="58"/>
      <c r="VL2491" s="58"/>
      <c r="VM2491" s="58"/>
      <c r="VN2491" s="60"/>
      <c r="VO2491" s="58"/>
      <c r="VP2491" s="58"/>
      <c r="VQ2491" s="58"/>
      <c r="VR2491" s="61"/>
      <c r="VS2491" s="58"/>
      <c r="VT2491" s="58"/>
      <c r="VU2491" s="58"/>
      <c r="VV2491" s="60"/>
      <c r="VW2491" s="58"/>
      <c r="VX2491" s="58"/>
      <c r="VY2491" s="58"/>
      <c r="VZ2491" s="61"/>
      <c r="WA2491" s="58"/>
      <c r="WB2491" s="58"/>
      <c r="WC2491" s="58"/>
      <c r="WD2491" s="60"/>
      <c r="WE2491" s="58"/>
      <c r="WF2491" s="58"/>
      <c r="WG2491" s="58"/>
      <c r="WH2491" s="61"/>
      <c r="WI2491" s="58"/>
      <c r="WJ2491" s="58"/>
      <c r="WK2491" s="58"/>
      <c r="WL2491" s="60"/>
      <c r="WM2491" s="58"/>
      <c r="WN2491" s="58"/>
      <c r="WO2491" s="58"/>
      <c r="WP2491" s="61"/>
      <c r="WQ2491" s="58"/>
      <c r="WR2491" s="58"/>
      <c r="WS2491" s="58"/>
      <c r="WT2491" s="60"/>
      <c r="WU2491" s="58"/>
      <c r="WV2491" s="58"/>
      <c r="WW2491" s="58"/>
      <c r="WX2491" s="61"/>
      <c r="WY2491" s="58"/>
      <c r="WZ2491" s="58"/>
      <c r="XA2491" s="58"/>
      <c r="XB2491" s="60"/>
      <c r="XC2491" s="58"/>
      <c r="XD2491" s="58"/>
      <c r="XE2491" s="58"/>
      <c r="XF2491" s="61"/>
      <c r="XG2491" s="58"/>
      <c r="XH2491" s="58"/>
      <c r="XI2491" s="58"/>
      <c r="XJ2491" s="60"/>
      <c r="XK2491" s="58"/>
      <c r="XL2491" s="58"/>
      <c r="XM2491" s="58"/>
      <c r="XN2491" s="61"/>
      <c r="XO2491" s="58"/>
      <c r="XP2491" s="58"/>
      <c r="XQ2491" s="58"/>
      <c r="XR2491" s="60"/>
      <c r="XS2491" s="58"/>
      <c r="XT2491" s="58"/>
      <c r="XU2491" s="58"/>
      <c r="XV2491" s="61"/>
      <c r="XW2491" s="58"/>
      <c r="XX2491" s="58"/>
      <c r="XY2491" s="58"/>
      <c r="XZ2491" s="60"/>
      <c r="YA2491" s="58"/>
      <c r="YB2491" s="58"/>
      <c r="YC2491" s="58"/>
      <c r="YD2491" s="61"/>
      <c r="YE2491" s="58"/>
      <c r="YF2491" s="58"/>
      <c r="YG2491" s="58"/>
      <c r="YH2491" s="60"/>
      <c r="YI2491" s="58"/>
      <c r="YJ2491" s="58"/>
      <c r="YK2491" s="58"/>
      <c r="YL2491" s="61"/>
      <c r="YM2491" s="58"/>
      <c r="YN2491" s="58"/>
      <c r="YO2491" s="58"/>
      <c r="YP2491" s="60"/>
      <c r="YQ2491" s="58"/>
      <c r="YR2491" s="58"/>
      <c r="YS2491" s="58"/>
      <c r="YT2491" s="61"/>
      <c r="YU2491" s="58"/>
      <c r="YV2491" s="58"/>
      <c r="YW2491" s="58"/>
      <c r="YX2491" s="60"/>
      <c r="YY2491" s="58"/>
      <c r="YZ2491" s="58"/>
      <c r="ZA2491" s="58"/>
      <c r="ZB2491" s="61"/>
      <c r="ZC2491" s="58"/>
      <c r="ZD2491" s="58"/>
      <c r="ZE2491" s="58"/>
      <c r="ZF2491" s="60"/>
      <c r="ZG2491" s="58"/>
      <c r="ZH2491" s="58"/>
      <c r="ZI2491" s="58"/>
      <c r="ZJ2491" s="61"/>
      <c r="ZK2491" s="58"/>
      <c r="ZL2491" s="58"/>
      <c r="ZM2491" s="58"/>
      <c r="ZN2491" s="60"/>
      <c r="ZO2491" s="58"/>
      <c r="ZP2491" s="58"/>
      <c r="ZQ2491" s="58"/>
      <c r="ZR2491" s="61"/>
      <c r="ZS2491" s="58"/>
      <c r="ZT2491" s="58"/>
      <c r="ZU2491" s="58"/>
      <c r="ZV2491" s="60"/>
      <c r="ZW2491" s="58"/>
      <c r="ZX2491" s="58"/>
      <c r="ZY2491" s="58"/>
      <c r="ZZ2491" s="61"/>
      <c r="AAA2491" s="58"/>
      <c r="AAB2491" s="58"/>
      <c r="AAC2491" s="58"/>
      <c r="AAD2491" s="60"/>
      <c r="AAE2491" s="58"/>
      <c r="AAF2491" s="58"/>
      <c r="AAG2491" s="58"/>
      <c r="AAH2491" s="61"/>
      <c r="AAI2491" s="58"/>
      <c r="AAJ2491" s="58"/>
      <c r="AAK2491" s="58"/>
      <c r="AAL2491" s="60"/>
      <c r="AAM2491" s="58"/>
      <c r="AAN2491" s="58"/>
      <c r="AAO2491" s="58"/>
      <c r="AAP2491" s="61"/>
      <c r="AAQ2491" s="58"/>
      <c r="AAR2491" s="58"/>
      <c r="AAS2491" s="58"/>
      <c r="AAT2491" s="60"/>
      <c r="AAU2491" s="58"/>
      <c r="AAV2491" s="58"/>
      <c r="AAW2491" s="58"/>
      <c r="AAX2491" s="61"/>
      <c r="AAY2491" s="58"/>
      <c r="AAZ2491" s="58"/>
      <c r="ABA2491" s="58"/>
      <c r="ABB2491" s="60"/>
      <c r="ABC2491" s="58"/>
      <c r="ABD2491" s="58"/>
      <c r="ABE2491" s="58"/>
      <c r="ABF2491" s="61"/>
      <c r="ABG2491" s="58"/>
      <c r="ABH2491" s="58"/>
      <c r="ABI2491" s="58"/>
      <c r="ABJ2491" s="60"/>
      <c r="ABK2491" s="58"/>
      <c r="ABL2491" s="58"/>
      <c r="ABM2491" s="58"/>
      <c r="ABN2491" s="61"/>
      <c r="ABO2491" s="58"/>
      <c r="ABP2491" s="58"/>
      <c r="ABQ2491" s="58"/>
      <c r="ABR2491" s="60"/>
      <c r="ABS2491" s="58"/>
      <c r="ABT2491" s="58"/>
      <c r="ABU2491" s="58"/>
      <c r="ABV2491" s="61"/>
      <c r="ABW2491" s="58"/>
      <c r="ABX2491" s="58"/>
      <c r="ABY2491" s="58"/>
      <c r="ABZ2491" s="60"/>
      <c r="ACA2491" s="58"/>
      <c r="ACB2491" s="58"/>
      <c r="ACC2491" s="58"/>
      <c r="ACD2491" s="61"/>
      <c r="ACE2491" s="58"/>
      <c r="ACF2491" s="58"/>
      <c r="ACG2491" s="58"/>
      <c r="ACH2491" s="60"/>
      <c r="ACI2491" s="58"/>
      <c r="ACJ2491" s="58"/>
      <c r="ACK2491" s="58"/>
      <c r="ACL2491" s="61"/>
      <c r="ACM2491" s="58"/>
      <c r="ACN2491" s="58"/>
      <c r="ACO2491" s="58"/>
      <c r="ACP2491" s="60"/>
      <c r="ACQ2491" s="58"/>
      <c r="ACR2491" s="58"/>
      <c r="ACS2491" s="58"/>
      <c r="ACT2491" s="61"/>
      <c r="ACU2491" s="58"/>
      <c r="ACV2491" s="58"/>
      <c r="ACW2491" s="58"/>
      <c r="ACX2491" s="60"/>
      <c r="ACY2491" s="58"/>
      <c r="ACZ2491" s="58"/>
      <c r="ADA2491" s="58"/>
      <c r="ADB2491" s="61"/>
      <c r="ADC2491" s="58"/>
      <c r="ADD2491" s="58"/>
      <c r="ADE2491" s="58"/>
      <c r="ADF2491" s="60"/>
      <c r="ADG2491" s="58"/>
      <c r="ADH2491" s="58"/>
      <c r="ADI2491" s="58"/>
      <c r="ADJ2491" s="61"/>
      <c r="ADK2491" s="58"/>
      <c r="ADL2491" s="58"/>
      <c r="ADM2491" s="58"/>
      <c r="ADN2491" s="60"/>
      <c r="ADO2491" s="58"/>
      <c r="ADP2491" s="58"/>
      <c r="ADQ2491" s="58"/>
      <c r="ADR2491" s="61"/>
      <c r="ADS2491" s="58"/>
      <c r="ADT2491" s="58"/>
      <c r="ADU2491" s="58"/>
      <c r="ADV2491" s="60"/>
      <c r="ADW2491" s="58"/>
      <c r="ADX2491" s="58"/>
      <c r="ADY2491" s="58"/>
      <c r="ADZ2491" s="61"/>
      <c r="AEA2491" s="58"/>
      <c r="AEB2491" s="58"/>
      <c r="AEC2491" s="58"/>
      <c r="AED2491" s="60"/>
      <c r="AEE2491" s="58"/>
      <c r="AEF2491" s="58"/>
      <c r="AEG2491" s="58"/>
      <c r="AEH2491" s="61"/>
      <c r="AEI2491" s="58"/>
      <c r="AEJ2491" s="58"/>
      <c r="AEK2491" s="58"/>
      <c r="AEL2491" s="60"/>
      <c r="AEM2491" s="58"/>
      <c r="AEN2491" s="58"/>
      <c r="AEO2491" s="58"/>
      <c r="AEP2491" s="61"/>
      <c r="AEQ2491" s="58"/>
      <c r="AER2491" s="58"/>
      <c r="AES2491" s="58"/>
      <c r="AET2491" s="60"/>
      <c r="AEU2491" s="58"/>
      <c r="AEV2491" s="58"/>
      <c r="AEW2491" s="58"/>
      <c r="AEX2491" s="61"/>
      <c r="AEY2491" s="58"/>
      <c r="AEZ2491" s="58"/>
      <c r="AFA2491" s="58"/>
      <c r="AFB2491" s="60"/>
      <c r="AFC2491" s="58"/>
      <c r="AFD2491" s="58"/>
      <c r="AFE2491" s="58"/>
      <c r="AFF2491" s="61"/>
      <c r="AFG2491" s="58"/>
      <c r="AFH2491" s="58"/>
      <c r="AFI2491" s="58"/>
      <c r="AFJ2491" s="60"/>
      <c r="AFK2491" s="58"/>
      <c r="AFL2491" s="58"/>
      <c r="AFM2491" s="58"/>
      <c r="AFN2491" s="61"/>
      <c r="AFO2491" s="58"/>
      <c r="AFP2491" s="58"/>
      <c r="AFQ2491" s="58"/>
      <c r="AFR2491" s="60"/>
      <c r="AFS2491" s="58"/>
      <c r="AFT2491" s="58"/>
      <c r="AFU2491" s="58"/>
      <c r="AFV2491" s="61"/>
      <c r="AFW2491" s="58"/>
      <c r="AFX2491" s="58"/>
      <c r="AFY2491" s="58"/>
      <c r="AFZ2491" s="60"/>
      <c r="AGA2491" s="58"/>
      <c r="AGB2491" s="58"/>
      <c r="AGC2491" s="58"/>
      <c r="AGD2491" s="61"/>
      <c r="AGE2491" s="58"/>
      <c r="AGF2491" s="58"/>
      <c r="AGG2491" s="58"/>
      <c r="AGH2491" s="60"/>
      <c r="AGI2491" s="58"/>
      <c r="AGJ2491" s="58"/>
      <c r="AGK2491" s="58"/>
      <c r="AGL2491" s="61"/>
      <c r="AGM2491" s="58"/>
      <c r="AGN2491" s="58"/>
      <c r="AGO2491" s="58"/>
      <c r="AGP2491" s="60"/>
      <c r="AGQ2491" s="58"/>
      <c r="AGR2491" s="58"/>
      <c r="AGS2491" s="58"/>
      <c r="AGT2491" s="61"/>
      <c r="AGU2491" s="58"/>
      <c r="AGV2491" s="58"/>
      <c r="AGW2491" s="58"/>
      <c r="AGX2491" s="60"/>
      <c r="AGY2491" s="58"/>
      <c r="AGZ2491" s="58"/>
      <c r="AHA2491" s="58"/>
      <c r="AHB2491" s="61"/>
      <c r="AHC2491" s="58"/>
      <c r="AHD2491" s="58"/>
      <c r="AHE2491" s="58"/>
      <c r="AHF2491" s="60"/>
      <c r="AHG2491" s="58"/>
      <c r="AHH2491" s="58"/>
      <c r="AHI2491" s="58"/>
      <c r="AHJ2491" s="61"/>
      <c r="AHK2491" s="58"/>
      <c r="AHL2491" s="58"/>
      <c r="AHM2491" s="58"/>
      <c r="AHN2491" s="60"/>
      <c r="AHO2491" s="58"/>
      <c r="AHP2491" s="58"/>
      <c r="AHQ2491" s="58"/>
      <c r="AHR2491" s="61"/>
      <c r="AHS2491" s="58"/>
      <c r="AHT2491" s="58"/>
      <c r="AHU2491" s="58"/>
      <c r="AHV2491" s="60"/>
      <c r="AHW2491" s="58"/>
      <c r="AHX2491" s="58"/>
      <c r="AHY2491" s="58"/>
      <c r="AHZ2491" s="61"/>
      <c r="AIA2491" s="58"/>
      <c r="AIB2491" s="58"/>
      <c r="AIC2491" s="58"/>
      <c r="AID2491" s="60"/>
      <c r="AIE2491" s="58"/>
      <c r="AIF2491" s="58"/>
      <c r="AIG2491" s="58"/>
      <c r="AIH2491" s="61"/>
      <c r="AII2491" s="58"/>
      <c r="AIJ2491" s="58"/>
      <c r="AIK2491" s="58"/>
      <c r="AIL2491" s="60"/>
      <c r="AIM2491" s="58"/>
      <c r="AIN2491" s="58"/>
      <c r="AIO2491" s="58"/>
      <c r="AIP2491" s="61"/>
      <c r="AIQ2491" s="58"/>
      <c r="AIR2491" s="58"/>
      <c r="AIS2491" s="58"/>
      <c r="AIT2491" s="60"/>
      <c r="AIU2491" s="58"/>
      <c r="AIV2491" s="58"/>
      <c r="AIW2491" s="58"/>
      <c r="AIX2491" s="61"/>
      <c r="AIY2491" s="58"/>
      <c r="AIZ2491" s="58"/>
      <c r="AJA2491" s="58"/>
      <c r="AJB2491" s="60"/>
      <c r="AJC2491" s="58"/>
      <c r="AJD2491" s="58"/>
      <c r="AJE2491" s="58"/>
      <c r="AJF2491" s="61"/>
      <c r="AJG2491" s="58"/>
      <c r="AJH2491" s="58"/>
      <c r="AJI2491" s="58"/>
      <c r="AJJ2491" s="60"/>
      <c r="AJK2491" s="58"/>
      <c r="AJL2491" s="58"/>
      <c r="AJM2491" s="58"/>
      <c r="AJN2491" s="61"/>
      <c r="AJO2491" s="58"/>
      <c r="AJP2491" s="58"/>
      <c r="AJQ2491" s="58"/>
      <c r="AJR2491" s="60"/>
      <c r="AJS2491" s="58"/>
      <c r="AJT2491" s="58"/>
      <c r="AJU2491" s="58"/>
      <c r="AJV2491" s="61"/>
      <c r="AJW2491" s="58"/>
      <c r="AJX2491" s="58"/>
      <c r="AJY2491" s="58"/>
      <c r="AJZ2491" s="60"/>
      <c r="AKA2491" s="58"/>
      <c r="AKB2491" s="58"/>
      <c r="AKC2491" s="58"/>
      <c r="AKD2491" s="61"/>
      <c r="AKE2491" s="58"/>
      <c r="AKF2491" s="58"/>
      <c r="AKG2491" s="58"/>
      <c r="AKH2491" s="60"/>
      <c r="AKI2491" s="58"/>
      <c r="AKJ2491" s="58"/>
      <c r="AKK2491" s="58"/>
      <c r="AKL2491" s="61"/>
      <c r="AKM2491" s="58"/>
      <c r="AKN2491" s="58"/>
      <c r="AKO2491" s="58"/>
      <c r="AKP2491" s="60"/>
      <c r="AKQ2491" s="58"/>
      <c r="AKR2491" s="58"/>
      <c r="AKS2491" s="58"/>
      <c r="AKT2491" s="61"/>
      <c r="AKU2491" s="58"/>
      <c r="AKV2491" s="58"/>
      <c r="AKW2491" s="58"/>
      <c r="AKX2491" s="60"/>
      <c r="AKY2491" s="58"/>
      <c r="AKZ2491" s="58"/>
      <c r="ALA2491" s="58"/>
      <c r="ALB2491" s="61"/>
      <c r="ALC2491" s="58"/>
      <c r="ALD2491" s="58"/>
      <c r="ALE2491" s="58"/>
      <c r="ALF2491" s="60"/>
      <c r="ALG2491" s="58"/>
      <c r="ALH2491" s="58"/>
      <c r="ALI2491" s="58"/>
      <c r="ALJ2491" s="61"/>
      <c r="ALK2491" s="58"/>
      <c r="ALL2491" s="58"/>
      <c r="ALM2491" s="58"/>
      <c r="ALN2491" s="60"/>
      <c r="ALO2491" s="58"/>
      <c r="ALP2491" s="58"/>
      <c r="ALQ2491" s="58"/>
      <c r="ALR2491" s="61"/>
      <c r="ALS2491" s="58"/>
      <c r="ALT2491" s="58"/>
      <c r="ALU2491" s="58"/>
      <c r="ALV2491" s="60"/>
      <c r="ALW2491" s="58"/>
      <c r="ALX2491" s="58"/>
      <c r="ALY2491" s="58"/>
      <c r="ALZ2491" s="61"/>
      <c r="AMA2491" s="58"/>
      <c r="AMB2491" s="58"/>
      <c r="AMC2491" s="58"/>
      <c r="AMD2491" s="60"/>
      <c r="AME2491" s="58"/>
      <c r="AMF2491" s="58"/>
      <c r="AMG2491" s="58"/>
      <c r="AMH2491" s="61"/>
      <c r="AMI2491" s="58"/>
      <c r="AMJ2491" s="58"/>
      <c r="AMK2491" s="58"/>
      <c r="AML2491" s="60"/>
      <c r="AMM2491" s="58"/>
      <c r="AMN2491" s="58"/>
      <c r="AMO2491" s="58"/>
      <c r="AMP2491" s="61"/>
      <c r="AMQ2491" s="58"/>
      <c r="AMR2491" s="58"/>
      <c r="AMS2491" s="58"/>
      <c r="AMT2491" s="60"/>
      <c r="AMU2491" s="58"/>
      <c r="AMV2491" s="58"/>
      <c r="AMW2491" s="58"/>
      <c r="AMX2491" s="61"/>
      <c r="AMY2491" s="58"/>
      <c r="AMZ2491" s="58"/>
      <c r="ANA2491" s="58"/>
      <c r="ANB2491" s="60"/>
      <c r="ANC2491" s="58"/>
      <c r="AND2491" s="58"/>
      <c r="ANE2491" s="58"/>
      <c r="ANF2491" s="61"/>
      <c r="ANG2491" s="58"/>
      <c r="ANH2491" s="58"/>
      <c r="ANI2491" s="58"/>
      <c r="ANJ2491" s="60"/>
      <c r="ANK2491" s="58"/>
      <c r="ANL2491" s="58"/>
      <c r="ANM2491" s="58"/>
      <c r="ANN2491" s="61"/>
      <c r="ANO2491" s="58"/>
      <c r="ANP2491" s="58"/>
      <c r="ANQ2491" s="58"/>
      <c r="ANR2491" s="60"/>
      <c r="ANS2491" s="58"/>
      <c r="ANT2491" s="58"/>
      <c r="ANU2491" s="58"/>
      <c r="ANV2491" s="61"/>
      <c r="ANW2491" s="58"/>
      <c r="ANX2491" s="58"/>
      <c r="ANY2491" s="58"/>
      <c r="ANZ2491" s="60"/>
      <c r="AOA2491" s="58"/>
      <c r="AOB2491" s="58"/>
      <c r="AOC2491" s="58"/>
      <c r="AOD2491" s="61"/>
      <c r="AOE2491" s="58"/>
      <c r="AOF2491" s="58"/>
      <c r="AOG2491" s="58"/>
      <c r="AOH2491" s="60"/>
      <c r="AOI2491" s="58"/>
      <c r="AOJ2491" s="58"/>
      <c r="AOK2491" s="58"/>
      <c r="AOL2491" s="61"/>
      <c r="AOM2491" s="58"/>
      <c r="AON2491" s="58"/>
      <c r="AOO2491" s="58"/>
      <c r="AOP2491" s="60"/>
      <c r="AOQ2491" s="58"/>
      <c r="AOR2491" s="58"/>
      <c r="AOS2491" s="58"/>
      <c r="AOT2491" s="61"/>
      <c r="AOU2491" s="58"/>
      <c r="AOV2491" s="58"/>
      <c r="AOW2491" s="58"/>
      <c r="AOX2491" s="60"/>
      <c r="AOY2491" s="58"/>
      <c r="AOZ2491" s="58"/>
      <c r="APA2491" s="58"/>
      <c r="APB2491" s="61"/>
      <c r="APC2491" s="58"/>
      <c r="APD2491" s="58"/>
      <c r="APE2491" s="58"/>
      <c r="APF2491" s="60"/>
      <c r="APG2491" s="58"/>
      <c r="APH2491" s="58"/>
      <c r="API2491" s="58"/>
      <c r="APJ2491" s="61"/>
      <c r="APK2491" s="58"/>
      <c r="APL2491" s="58"/>
      <c r="APM2491" s="58"/>
      <c r="APN2491" s="60"/>
      <c r="APO2491" s="58"/>
      <c r="APP2491" s="58"/>
      <c r="APQ2491" s="58"/>
      <c r="APR2491" s="61"/>
      <c r="APS2491" s="58"/>
      <c r="APT2491" s="58"/>
      <c r="APU2491" s="58"/>
      <c r="APV2491" s="60"/>
      <c r="APW2491" s="58"/>
      <c r="APX2491" s="58"/>
      <c r="APY2491" s="58"/>
      <c r="APZ2491" s="61"/>
      <c r="AQA2491" s="58"/>
      <c r="AQB2491" s="58"/>
      <c r="AQC2491" s="58"/>
      <c r="AQD2491" s="60"/>
      <c r="AQE2491" s="58"/>
      <c r="AQF2491" s="58"/>
      <c r="AQG2491" s="58"/>
      <c r="AQH2491" s="61"/>
      <c r="AQI2491" s="58"/>
      <c r="AQJ2491" s="58"/>
      <c r="AQK2491" s="58"/>
      <c r="AQL2491" s="60"/>
      <c r="AQM2491" s="58"/>
      <c r="AQN2491" s="58"/>
      <c r="AQO2491" s="58"/>
      <c r="AQP2491" s="61"/>
      <c r="AQQ2491" s="58"/>
      <c r="AQR2491" s="58"/>
      <c r="AQS2491" s="58"/>
      <c r="AQT2491" s="60"/>
      <c r="AQU2491" s="58"/>
      <c r="AQV2491" s="58"/>
      <c r="AQW2491" s="58"/>
      <c r="AQX2491" s="61"/>
      <c r="AQY2491" s="58"/>
      <c r="AQZ2491" s="58"/>
      <c r="ARA2491" s="58"/>
      <c r="ARB2491" s="60"/>
      <c r="ARC2491" s="58"/>
      <c r="ARD2491" s="58"/>
      <c r="ARE2491" s="58"/>
      <c r="ARF2491" s="61"/>
      <c r="ARG2491" s="58"/>
      <c r="ARH2491" s="58"/>
      <c r="ARI2491" s="58"/>
      <c r="ARJ2491" s="60"/>
      <c r="ARK2491" s="58"/>
      <c r="ARL2491" s="58"/>
      <c r="ARM2491" s="58"/>
      <c r="ARN2491" s="61"/>
      <c r="ARO2491" s="58"/>
      <c r="ARP2491" s="58"/>
      <c r="ARQ2491" s="58"/>
      <c r="ARR2491" s="60"/>
      <c r="ARS2491" s="58"/>
      <c r="ART2491" s="58"/>
      <c r="ARU2491" s="58"/>
      <c r="ARV2491" s="61"/>
      <c r="ARW2491" s="58"/>
      <c r="ARX2491" s="58"/>
      <c r="ARY2491" s="58"/>
      <c r="ARZ2491" s="60"/>
      <c r="ASA2491" s="58"/>
      <c r="ASB2491" s="58"/>
      <c r="ASC2491" s="58"/>
      <c r="ASD2491" s="61"/>
      <c r="ASE2491" s="58"/>
      <c r="ASF2491" s="58"/>
      <c r="ASG2491" s="58"/>
      <c r="ASH2491" s="60"/>
      <c r="ASI2491" s="58"/>
      <c r="ASJ2491" s="58"/>
      <c r="ASK2491" s="58"/>
      <c r="ASL2491" s="61"/>
      <c r="ASM2491" s="58"/>
      <c r="ASN2491" s="58"/>
      <c r="ASO2491" s="58"/>
      <c r="ASP2491" s="60"/>
      <c r="ASQ2491" s="58"/>
      <c r="ASR2491" s="58"/>
      <c r="ASS2491" s="58"/>
      <c r="AST2491" s="61"/>
      <c r="ASU2491" s="58"/>
      <c r="ASV2491" s="58"/>
      <c r="ASW2491" s="58"/>
      <c r="ASX2491" s="60"/>
      <c r="ASY2491" s="58"/>
      <c r="ASZ2491" s="58"/>
      <c r="ATA2491" s="58"/>
      <c r="ATB2491" s="61"/>
      <c r="ATC2491" s="58"/>
      <c r="ATD2491" s="58"/>
      <c r="ATE2491" s="58"/>
      <c r="ATF2491" s="60"/>
      <c r="ATG2491" s="58"/>
      <c r="ATH2491" s="58"/>
      <c r="ATI2491" s="58"/>
      <c r="ATJ2491" s="61"/>
      <c r="ATK2491" s="58"/>
      <c r="ATL2491" s="58"/>
      <c r="ATM2491" s="58"/>
      <c r="ATN2491" s="60"/>
      <c r="ATO2491" s="58"/>
      <c r="ATP2491" s="58"/>
      <c r="ATQ2491" s="58"/>
      <c r="ATR2491" s="61"/>
      <c r="ATS2491" s="58"/>
      <c r="ATT2491" s="58"/>
      <c r="ATU2491" s="58"/>
      <c r="ATV2491" s="60"/>
      <c r="ATW2491" s="58"/>
      <c r="ATX2491" s="58"/>
      <c r="ATY2491" s="58"/>
      <c r="ATZ2491" s="61"/>
      <c r="AUA2491" s="58"/>
      <c r="AUB2491" s="58"/>
      <c r="AUC2491" s="58"/>
      <c r="AUD2491" s="60"/>
      <c r="AUE2491" s="58"/>
      <c r="AUF2491" s="58"/>
      <c r="AUG2491" s="58"/>
      <c r="AUH2491" s="61"/>
      <c r="AUI2491" s="58"/>
      <c r="AUJ2491" s="58"/>
      <c r="AUK2491" s="58"/>
      <c r="AUL2491" s="60"/>
      <c r="AUM2491" s="58"/>
      <c r="AUN2491" s="58"/>
      <c r="AUO2491" s="58"/>
      <c r="AUP2491" s="61"/>
      <c r="AUQ2491" s="58"/>
      <c r="AUR2491" s="58"/>
      <c r="AUS2491" s="58"/>
      <c r="AUT2491" s="60"/>
      <c r="AUU2491" s="58"/>
      <c r="AUV2491" s="58"/>
      <c r="AUW2491" s="58"/>
      <c r="AUX2491" s="61"/>
      <c r="AUY2491" s="58"/>
      <c r="AUZ2491" s="58"/>
      <c r="AVA2491" s="58"/>
      <c r="AVB2491" s="60"/>
      <c r="AVC2491" s="58"/>
      <c r="AVD2491" s="58"/>
      <c r="AVE2491" s="58"/>
      <c r="AVF2491" s="61"/>
      <c r="AVG2491" s="58"/>
      <c r="AVH2491" s="58"/>
      <c r="AVI2491" s="58"/>
      <c r="AVJ2491" s="60"/>
      <c r="AVK2491" s="58"/>
      <c r="AVL2491" s="58"/>
      <c r="AVM2491" s="58"/>
      <c r="AVN2491" s="61"/>
      <c r="AVO2491" s="58"/>
      <c r="AVP2491" s="58"/>
      <c r="AVQ2491" s="58"/>
      <c r="AVR2491" s="60"/>
      <c r="AVS2491" s="58"/>
      <c r="AVT2491" s="58"/>
      <c r="AVU2491" s="58"/>
      <c r="AVV2491" s="61"/>
      <c r="AVW2491" s="58"/>
      <c r="AVX2491" s="58"/>
      <c r="AVY2491" s="58"/>
      <c r="AVZ2491" s="60"/>
      <c r="AWA2491" s="58"/>
      <c r="AWB2491" s="58"/>
      <c r="AWC2491" s="58"/>
      <c r="AWD2491" s="61"/>
      <c r="AWE2491" s="58"/>
      <c r="AWF2491" s="58"/>
      <c r="AWG2491" s="58"/>
      <c r="AWH2491" s="60"/>
      <c r="AWI2491" s="58"/>
      <c r="AWJ2491" s="58"/>
      <c r="AWK2491" s="58"/>
      <c r="AWL2491" s="61"/>
      <c r="AWM2491" s="58"/>
      <c r="AWN2491" s="58"/>
      <c r="AWO2491" s="58"/>
      <c r="AWP2491" s="60"/>
      <c r="AWQ2491" s="58"/>
      <c r="AWR2491" s="58"/>
      <c r="AWS2491" s="58"/>
      <c r="AWT2491" s="61"/>
      <c r="AWU2491" s="58"/>
      <c r="AWV2491" s="58"/>
      <c r="AWW2491" s="58"/>
      <c r="AWX2491" s="60"/>
      <c r="AWY2491" s="58"/>
      <c r="AWZ2491" s="58"/>
      <c r="AXA2491" s="58"/>
      <c r="AXB2491" s="61"/>
      <c r="AXC2491" s="58"/>
      <c r="AXD2491" s="58"/>
      <c r="AXE2491" s="58"/>
      <c r="AXF2491" s="60"/>
      <c r="AXG2491" s="58"/>
      <c r="AXH2491" s="58"/>
      <c r="AXI2491" s="58"/>
      <c r="AXJ2491" s="61"/>
      <c r="AXK2491" s="58"/>
      <c r="AXL2491" s="58"/>
      <c r="AXM2491" s="58"/>
      <c r="AXN2491" s="60"/>
      <c r="AXO2491" s="58"/>
      <c r="AXP2491" s="58"/>
      <c r="AXQ2491" s="58"/>
      <c r="AXR2491" s="61"/>
      <c r="AXS2491" s="58"/>
      <c r="AXT2491" s="58"/>
      <c r="AXU2491" s="58"/>
      <c r="AXV2491" s="60"/>
      <c r="AXW2491" s="58"/>
      <c r="AXX2491" s="58"/>
      <c r="AXY2491" s="58"/>
      <c r="AXZ2491" s="61"/>
      <c r="AYA2491" s="58"/>
      <c r="AYB2491" s="58"/>
      <c r="AYC2491" s="58"/>
      <c r="AYD2491" s="60"/>
      <c r="AYE2491" s="58"/>
      <c r="AYF2491" s="58"/>
      <c r="AYG2491" s="58"/>
      <c r="AYH2491" s="61"/>
      <c r="AYI2491" s="58"/>
      <c r="AYJ2491" s="58"/>
      <c r="AYK2491" s="58"/>
      <c r="AYL2491" s="60"/>
      <c r="AYM2491" s="58"/>
      <c r="AYN2491" s="58"/>
      <c r="AYO2491" s="58"/>
      <c r="AYP2491" s="61"/>
      <c r="AYQ2491" s="58"/>
      <c r="AYR2491" s="58"/>
      <c r="AYS2491" s="58"/>
      <c r="AYT2491" s="60"/>
      <c r="AYU2491" s="58"/>
      <c r="AYV2491" s="58"/>
      <c r="AYW2491" s="58"/>
      <c r="AYX2491" s="61"/>
      <c r="AYY2491" s="58"/>
      <c r="AYZ2491" s="58"/>
      <c r="AZA2491" s="58"/>
      <c r="AZB2491" s="60"/>
      <c r="AZC2491" s="58"/>
      <c r="AZD2491" s="58"/>
      <c r="AZE2491" s="58"/>
      <c r="AZF2491" s="61"/>
      <c r="AZG2491" s="58"/>
      <c r="AZH2491" s="58"/>
      <c r="AZI2491" s="58"/>
      <c r="AZJ2491" s="60"/>
      <c r="AZK2491" s="58"/>
      <c r="AZL2491" s="58"/>
      <c r="AZM2491" s="58"/>
      <c r="AZN2491" s="61"/>
      <c r="AZO2491" s="58"/>
      <c r="AZP2491" s="58"/>
      <c r="AZQ2491" s="58"/>
      <c r="AZR2491" s="60"/>
      <c r="AZS2491" s="58"/>
      <c r="AZT2491" s="58"/>
      <c r="AZU2491" s="58"/>
      <c r="AZV2491" s="61"/>
      <c r="AZW2491" s="58"/>
      <c r="AZX2491" s="58"/>
      <c r="AZY2491" s="58"/>
      <c r="AZZ2491" s="60"/>
      <c r="BAA2491" s="58"/>
      <c r="BAB2491" s="58"/>
      <c r="BAC2491" s="58"/>
      <c r="BAD2491" s="61"/>
      <c r="BAE2491" s="58"/>
      <c r="BAF2491" s="58"/>
      <c r="BAG2491" s="58"/>
      <c r="BAH2491" s="60"/>
      <c r="BAI2491" s="58"/>
      <c r="BAJ2491" s="58"/>
      <c r="BAK2491" s="58"/>
      <c r="BAL2491" s="61"/>
      <c r="BAM2491" s="58"/>
      <c r="BAN2491" s="58"/>
      <c r="BAO2491" s="58"/>
      <c r="BAP2491" s="60"/>
      <c r="BAQ2491" s="58"/>
      <c r="BAR2491" s="58"/>
      <c r="BAS2491" s="58"/>
      <c r="BAT2491" s="61"/>
      <c r="BAU2491" s="58"/>
      <c r="BAV2491" s="58"/>
      <c r="BAW2491" s="58"/>
      <c r="BAX2491" s="60"/>
      <c r="BAY2491" s="58"/>
      <c r="BAZ2491" s="58"/>
      <c r="BBA2491" s="58"/>
      <c r="BBB2491" s="61"/>
      <c r="BBC2491" s="58"/>
      <c r="BBD2491" s="58"/>
      <c r="BBE2491" s="58"/>
      <c r="BBF2491" s="60"/>
      <c r="BBG2491" s="58"/>
      <c r="BBH2491" s="58"/>
      <c r="BBI2491" s="58"/>
      <c r="BBJ2491" s="61"/>
      <c r="BBK2491" s="58"/>
      <c r="BBL2491" s="58"/>
      <c r="BBM2491" s="58"/>
      <c r="BBN2491" s="60"/>
      <c r="BBO2491" s="58"/>
      <c r="BBP2491" s="58"/>
      <c r="BBQ2491" s="58"/>
      <c r="BBR2491" s="61"/>
      <c r="BBS2491" s="58"/>
      <c r="BBT2491" s="58"/>
      <c r="BBU2491" s="58"/>
      <c r="BBV2491" s="60"/>
      <c r="BBW2491" s="58"/>
      <c r="BBX2491" s="58"/>
      <c r="BBY2491" s="58"/>
      <c r="BBZ2491" s="61"/>
      <c r="BCA2491" s="58"/>
      <c r="BCB2491" s="58"/>
      <c r="BCC2491" s="58"/>
      <c r="BCD2491" s="60"/>
      <c r="BCE2491" s="58"/>
      <c r="BCF2491" s="58"/>
      <c r="BCG2491" s="58"/>
      <c r="BCH2491" s="61"/>
      <c r="BCI2491" s="58"/>
      <c r="BCJ2491" s="58"/>
      <c r="BCK2491" s="58"/>
      <c r="BCL2491" s="60"/>
      <c r="BCM2491" s="58"/>
      <c r="BCN2491" s="58"/>
      <c r="BCO2491" s="58"/>
      <c r="BCP2491" s="61"/>
      <c r="BCQ2491" s="58"/>
      <c r="BCR2491" s="58"/>
      <c r="BCS2491" s="58"/>
      <c r="BCT2491" s="60"/>
      <c r="BCU2491" s="58"/>
      <c r="BCV2491" s="58"/>
      <c r="BCW2491" s="58"/>
      <c r="BCX2491" s="61"/>
      <c r="BCY2491" s="58"/>
      <c r="BCZ2491" s="58"/>
      <c r="BDA2491" s="58"/>
      <c r="BDB2491" s="60"/>
      <c r="BDC2491" s="58"/>
      <c r="BDD2491" s="58"/>
      <c r="BDE2491" s="58"/>
      <c r="BDF2491" s="61"/>
      <c r="BDG2491" s="58"/>
      <c r="BDH2491" s="58"/>
      <c r="BDI2491" s="58"/>
      <c r="BDJ2491" s="60"/>
      <c r="BDK2491" s="58"/>
      <c r="BDL2491" s="58"/>
      <c r="BDM2491" s="58"/>
      <c r="BDN2491" s="61"/>
      <c r="BDO2491" s="58"/>
      <c r="BDP2491" s="58"/>
      <c r="BDQ2491" s="58"/>
      <c r="BDR2491" s="60"/>
      <c r="BDS2491" s="58"/>
      <c r="BDT2491" s="58"/>
      <c r="BDU2491" s="58"/>
      <c r="BDV2491" s="61"/>
      <c r="BDW2491" s="58"/>
      <c r="BDX2491" s="58"/>
      <c r="BDY2491" s="58"/>
      <c r="BDZ2491" s="60"/>
      <c r="BEA2491" s="58"/>
      <c r="BEB2491" s="58"/>
      <c r="BEC2491" s="58"/>
      <c r="BED2491" s="61"/>
      <c r="BEE2491" s="58"/>
      <c r="BEF2491" s="58"/>
      <c r="BEG2491" s="58"/>
      <c r="BEH2491" s="60"/>
      <c r="BEI2491" s="58"/>
      <c r="BEJ2491" s="58"/>
      <c r="BEK2491" s="58"/>
      <c r="BEL2491" s="61"/>
      <c r="BEM2491" s="58"/>
      <c r="BEN2491" s="58"/>
      <c r="BEO2491" s="58"/>
      <c r="BEP2491" s="60"/>
      <c r="BEQ2491" s="58"/>
      <c r="BER2491" s="58"/>
      <c r="BES2491" s="58"/>
      <c r="BET2491" s="61"/>
      <c r="BEU2491" s="58"/>
      <c r="BEV2491" s="58"/>
      <c r="BEW2491" s="58"/>
      <c r="BEX2491" s="60"/>
      <c r="BEY2491" s="58"/>
      <c r="BEZ2491" s="58"/>
      <c r="BFA2491" s="58"/>
      <c r="BFB2491" s="61"/>
      <c r="BFC2491" s="58"/>
      <c r="BFD2491" s="58"/>
      <c r="BFE2491" s="58"/>
      <c r="BFF2491" s="60"/>
      <c r="BFG2491" s="58"/>
      <c r="BFH2491" s="58"/>
      <c r="BFI2491" s="58"/>
      <c r="BFJ2491" s="61"/>
      <c r="BFK2491" s="58"/>
      <c r="BFL2491" s="58"/>
      <c r="BFM2491" s="58"/>
      <c r="BFN2491" s="60"/>
      <c r="BFO2491" s="58"/>
      <c r="BFP2491" s="58"/>
      <c r="BFQ2491" s="58"/>
      <c r="BFR2491" s="61"/>
      <c r="BFS2491" s="58"/>
      <c r="BFT2491" s="58"/>
      <c r="BFU2491" s="58"/>
      <c r="BFV2491" s="60"/>
      <c r="BFW2491" s="58"/>
      <c r="BFX2491" s="58"/>
      <c r="BFY2491" s="58"/>
      <c r="BFZ2491" s="61"/>
      <c r="BGA2491" s="58"/>
      <c r="BGB2491" s="58"/>
      <c r="BGC2491" s="58"/>
      <c r="BGD2491" s="60"/>
      <c r="BGE2491" s="58"/>
      <c r="BGF2491" s="58"/>
      <c r="BGG2491" s="58"/>
      <c r="BGH2491" s="61"/>
      <c r="BGI2491" s="58"/>
      <c r="BGJ2491" s="58"/>
      <c r="BGK2491" s="58"/>
      <c r="BGL2491" s="60"/>
      <c r="BGM2491" s="58"/>
      <c r="BGN2491" s="58"/>
      <c r="BGO2491" s="58"/>
      <c r="BGP2491" s="61"/>
      <c r="BGQ2491" s="58"/>
      <c r="BGR2491" s="58"/>
      <c r="BGS2491" s="58"/>
      <c r="BGT2491" s="60"/>
      <c r="BGU2491" s="58"/>
      <c r="BGV2491" s="58"/>
      <c r="BGW2491" s="58"/>
      <c r="BGX2491" s="61"/>
      <c r="BGY2491" s="58"/>
      <c r="BGZ2491" s="58"/>
      <c r="BHA2491" s="58"/>
      <c r="BHB2491" s="60"/>
      <c r="BHC2491" s="58"/>
      <c r="BHD2491" s="58"/>
      <c r="BHE2491" s="58"/>
      <c r="BHF2491" s="61"/>
      <c r="BHG2491" s="58"/>
      <c r="BHH2491" s="58"/>
      <c r="BHI2491" s="58"/>
      <c r="BHJ2491" s="60"/>
      <c r="BHK2491" s="58"/>
      <c r="BHL2491" s="58"/>
      <c r="BHM2491" s="58"/>
      <c r="BHN2491" s="61"/>
      <c r="BHO2491" s="58"/>
      <c r="BHP2491" s="58"/>
      <c r="BHQ2491" s="58"/>
      <c r="BHR2491" s="60"/>
      <c r="BHS2491" s="58"/>
      <c r="BHT2491" s="58"/>
      <c r="BHU2491" s="58"/>
      <c r="BHV2491" s="61"/>
      <c r="BHW2491" s="58"/>
      <c r="BHX2491" s="58"/>
      <c r="BHY2491" s="58"/>
      <c r="BHZ2491" s="60"/>
      <c r="BIA2491" s="58"/>
      <c r="BIB2491" s="58"/>
      <c r="BIC2491" s="58"/>
      <c r="BID2491" s="61"/>
      <c r="BIE2491" s="58"/>
      <c r="BIF2491" s="58"/>
      <c r="BIG2491" s="58"/>
      <c r="BIH2491" s="60"/>
      <c r="BII2491" s="58"/>
      <c r="BIJ2491" s="58"/>
      <c r="BIK2491" s="58"/>
      <c r="BIL2491" s="61"/>
      <c r="BIM2491" s="58"/>
      <c r="BIN2491" s="58"/>
      <c r="BIO2491" s="58"/>
      <c r="BIP2491" s="60"/>
      <c r="BIQ2491" s="58"/>
      <c r="BIR2491" s="58"/>
      <c r="BIS2491" s="58"/>
      <c r="BIT2491" s="61"/>
      <c r="BIU2491" s="58"/>
      <c r="BIV2491" s="58"/>
      <c r="BIW2491" s="58"/>
      <c r="BIX2491" s="60"/>
      <c r="BIY2491" s="58"/>
      <c r="BIZ2491" s="58"/>
      <c r="BJA2491" s="58"/>
      <c r="BJB2491" s="61"/>
      <c r="BJC2491" s="58"/>
      <c r="BJD2491" s="58"/>
      <c r="BJE2491" s="58"/>
      <c r="BJF2491" s="60"/>
      <c r="BJG2491" s="58"/>
      <c r="BJH2491" s="58"/>
      <c r="BJI2491" s="58"/>
      <c r="BJJ2491" s="61"/>
      <c r="BJK2491" s="58"/>
      <c r="BJL2491" s="58"/>
      <c r="BJM2491" s="58"/>
      <c r="BJN2491" s="60"/>
      <c r="BJO2491" s="58"/>
      <c r="BJP2491" s="58"/>
      <c r="BJQ2491" s="58"/>
      <c r="BJR2491" s="61"/>
      <c r="BJS2491" s="58"/>
      <c r="BJT2491" s="58"/>
      <c r="BJU2491" s="58"/>
      <c r="BJV2491" s="60"/>
      <c r="BJW2491" s="58"/>
      <c r="BJX2491" s="58"/>
      <c r="BJY2491" s="58"/>
      <c r="BJZ2491" s="61"/>
      <c r="BKA2491" s="58"/>
      <c r="BKB2491" s="58"/>
      <c r="BKC2491" s="58"/>
      <c r="BKD2491" s="60"/>
      <c r="BKE2491" s="58"/>
      <c r="BKF2491" s="58"/>
      <c r="BKG2491" s="58"/>
      <c r="BKH2491" s="61"/>
      <c r="BKI2491" s="58"/>
      <c r="BKJ2491" s="58"/>
      <c r="BKK2491" s="58"/>
      <c r="BKL2491" s="60"/>
      <c r="BKM2491" s="58"/>
      <c r="BKN2491" s="58"/>
      <c r="BKO2491" s="58"/>
      <c r="BKP2491" s="61"/>
      <c r="BKQ2491" s="58"/>
      <c r="BKR2491" s="58"/>
      <c r="BKS2491" s="58"/>
      <c r="BKT2491" s="60"/>
      <c r="BKU2491" s="58"/>
      <c r="BKV2491" s="58"/>
      <c r="BKW2491" s="58"/>
      <c r="BKX2491" s="61"/>
      <c r="BKY2491" s="58"/>
      <c r="BKZ2491" s="58"/>
      <c r="BLA2491" s="58"/>
      <c r="BLB2491" s="60"/>
      <c r="BLC2491" s="58"/>
      <c r="BLD2491" s="58"/>
      <c r="BLE2491" s="58"/>
      <c r="BLF2491" s="61"/>
      <c r="BLG2491" s="58"/>
      <c r="BLH2491" s="58"/>
      <c r="BLI2491" s="58"/>
      <c r="BLJ2491" s="60"/>
      <c r="BLK2491" s="58"/>
      <c r="BLL2491" s="58"/>
      <c r="BLM2491" s="58"/>
      <c r="BLN2491" s="61"/>
      <c r="BLO2491" s="58"/>
      <c r="BLP2491" s="58"/>
      <c r="BLQ2491" s="58"/>
      <c r="BLR2491" s="60"/>
      <c r="BLS2491" s="58"/>
      <c r="BLT2491" s="58"/>
      <c r="BLU2491" s="58"/>
      <c r="BLV2491" s="61"/>
      <c r="BLW2491" s="58"/>
      <c r="BLX2491" s="58"/>
      <c r="BLY2491" s="58"/>
      <c r="BLZ2491" s="60"/>
      <c r="BMA2491" s="58"/>
      <c r="BMB2491" s="58"/>
      <c r="BMC2491" s="58"/>
      <c r="BMD2491" s="61"/>
      <c r="BME2491" s="58"/>
      <c r="BMF2491" s="58"/>
      <c r="BMG2491" s="58"/>
      <c r="BMH2491" s="60"/>
      <c r="BMI2491" s="58"/>
      <c r="BMJ2491" s="58"/>
      <c r="BMK2491" s="58"/>
      <c r="BML2491" s="61"/>
      <c r="BMM2491" s="58"/>
      <c r="BMN2491" s="58"/>
      <c r="BMO2491" s="58"/>
      <c r="BMP2491" s="60"/>
      <c r="BMQ2491" s="58"/>
      <c r="BMR2491" s="58"/>
      <c r="BMS2491" s="58"/>
      <c r="BMT2491" s="61"/>
      <c r="BMU2491" s="58"/>
      <c r="BMV2491" s="58"/>
      <c r="BMW2491" s="58"/>
      <c r="BMX2491" s="60"/>
      <c r="BMY2491" s="58"/>
      <c r="BMZ2491" s="58"/>
      <c r="BNA2491" s="58"/>
      <c r="BNB2491" s="61"/>
      <c r="BNC2491" s="58"/>
      <c r="BND2491" s="58"/>
      <c r="BNE2491" s="58"/>
      <c r="BNF2491" s="60"/>
      <c r="BNG2491" s="58"/>
      <c r="BNH2491" s="58"/>
      <c r="BNI2491" s="58"/>
      <c r="BNJ2491" s="61"/>
      <c r="BNK2491" s="58"/>
      <c r="BNL2491" s="58"/>
      <c r="BNM2491" s="58"/>
      <c r="BNN2491" s="60"/>
      <c r="BNO2491" s="58"/>
      <c r="BNP2491" s="58"/>
      <c r="BNQ2491" s="58"/>
      <c r="BNR2491" s="61"/>
      <c r="BNS2491" s="58"/>
      <c r="BNT2491" s="58"/>
      <c r="BNU2491" s="58"/>
      <c r="BNV2491" s="60"/>
      <c r="BNW2491" s="58"/>
      <c r="BNX2491" s="58"/>
      <c r="BNY2491" s="58"/>
      <c r="BNZ2491" s="61"/>
      <c r="BOA2491" s="58"/>
      <c r="BOB2491" s="58"/>
      <c r="BOC2491" s="58"/>
      <c r="BOD2491" s="60"/>
      <c r="BOE2491" s="58"/>
      <c r="BOF2491" s="58"/>
      <c r="BOG2491" s="58"/>
      <c r="BOH2491" s="61"/>
      <c r="BOI2491" s="58"/>
      <c r="BOJ2491" s="58"/>
      <c r="BOK2491" s="58"/>
      <c r="BOL2491" s="60"/>
      <c r="BOM2491" s="58"/>
      <c r="BON2491" s="58"/>
      <c r="BOO2491" s="58"/>
      <c r="BOP2491" s="61"/>
      <c r="BOQ2491" s="58"/>
      <c r="BOR2491" s="58"/>
      <c r="BOS2491" s="58"/>
      <c r="BOT2491" s="60"/>
      <c r="BOU2491" s="58"/>
      <c r="BOV2491" s="58"/>
      <c r="BOW2491" s="58"/>
      <c r="BOX2491" s="61"/>
      <c r="BOY2491" s="58"/>
      <c r="BOZ2491" s="58"/>
      <c r="BPA2491" s="58"/>
      <c r="BPB2491" s="60"/>
      <c r="BPC2491" s="58"/>
      <c r="BPD2491" s="58"/>
      <c r="BPE2491" s="58"/>
      <c r="BPF2491" s="61"/>
      <c r="BPG2491" s="58"/>
      <c r="BPH2491" s="58"/>
      <c r="BPI2491" s="58"/>
      <c r="BPJ2491" s="60"/>
      <c r="BPK2491" s="58"/>
      <c r="BPL2491" s="58"/>
      <c r="BPM2491" s="58"/>
      <c r="BPN2491" s="61"/>
      <c r="BPO2491" s="58"/>
      <c r="BPP2491" s="58"/>
      <c r="BPQ2491" s="58"/>
      <c r="BPR2491" s="60"/>
      <c r="BPS2491" s="58"/>
      <c r="BPT2491" s="58"/>
      <c r="BPU2491" s="58"/>
      <c r="BPV2491" s="61"/>
      <c r="BPW2491" s="58"/>
      <c r="BPX2491" s="58"/>
      <c r="BPY2491" s="58"/>
      <c r="BPZ2491" s="60"/>
      <c r="BQA2491" s="58"/>
      <c r="BQB2491" s="58"/>
      <c r="BQC2491" s="58"/>
      <c r="BQD2491" s="61"/>
      <c r="BQE2491" s="58"/>
      <c r="BQF2491" s="58"/>
      <c r="BQG2491" s="58"/>
      <c r="BQH2491" s="60"/>
      <c r="BQI2491" s="58"/>
      <c r="BQJ2491" s="58"/>
      <c r="BQK2491" s="58"/>
      <c r="BQL2491" s="61"/>
      <c r="BQM2491" s="58"/>
      <c r="BQN2491" s="58"/>
      <c r="BQO2491" s="58"/>
      <c r="BQP2491" s="60"/>
      <c r="BQQ2491" s="58"/>
      <c r="BQR2491" s="58"/>
      <c r="BQS2491" s="58"/>
      <c r="BQT2491" s="61"/>
      <c r="BQU2491" s="58"/>
      <c r="BQV2491" s="58"/>
      <c r="BQW2491" s="58"/>
      <c r="BQX2491" s="60"/>
      <c r="BQY2491" s="58"/>
      <c r="BQZ2491" s="58"/>
      <c r="BRA2491" s="58"/>
      <c r="BRB2491" s="61"/>
      <c r="BRC2491" s="58"/>
      <c r="BRD2491" s="58"/>
      <c r="BRE2491" s="58"/>
      <c r="BRF2491" s="60"/>
      <c r="BRG2491" s="58"/>
      <c r="BRH2491" s="58"/>
      <c r="BRI2491" s="58"/>
      <c r="BRJ2491" s="61"/>
      <c r="BRK2491" s="58"/>
      <c r="BRL2491" s="58"/>
      <c r="BRM2491" s="58"/>
      <c r="BRN2491" s="60"/>
      <c r="BRO2491" s="58"/>
      <c r="BRP2491" s="58"/>
      <c r="BRQ2491" s="58"/>
      <c r="BRR2491" s="61"/>
      <c r="BRS2491" s="58"/>
      <c r="BRT2491" s="58"/>
      <c r="BRU2491" s="58"/>
      <c r="BRV2491" s="60"/>
      <c r="BRW2491" s="58"/>
      <c r="BRX2491" s="58"/>
      <c r="BRY2491" s="58"/>
      <c r="BRZ2491" s="61"/>
      <c r="BSA2491" s="58"/>
      <c r="BSB2491" s="58"/>
      <c r="BSC2491" s="58"/>
      <c r="BSD2491" s="60"/>
      <c r="BSE2491" s="58"/>
      <c r="BSF2491" s="58"/>
      <c r="BSG2491" s="58"/>
      <c r="BSH2491" s="61"/>
      <c r="BSI2491" s="58"/>
      <c r="BSJ2491" s="58"/>
      <c r="BSK2491" s="58"/>
      <c r="BSL2491" s="60"/>
      <c r="BSM2491" s="58"/>
      <c r="BSN2491" s="58"/>
      <c r="BSO2491" s="58"/>
      <c r="BSP2491" s="61"/>
      <c r="BSQ2491" s="58"/>
      <c r="BSR2491" s="58"/>
      <c r="BSS2491" s="58"/>
      <c r="BST2491" s="60"/>
      <c r="BSU2491" s="58"/>
      <c r="BSV2491" s="58"/>
      <c r="BSW2491" s="58"/>
      <c r="BSX2491" s="61"/>
      <c r="BSY2491" s="58"/>
      <c r="BSZ2491" s="58"/>
      <c r="BTA2491" s="58"/>
      <c r="BTB2491" s="60"/>
      <c r="BTC2491" s="58"/>
      <c r="BTD2491" s="58"/>
      <c r="BTE2491" s="58"/>
      <c r="BTF2491" s="61"/>
      <c r="BTG2491" s="58"/>
      <c r="BTH2491" s="58"/>
      <c r="BTI2491" s="58"/>
      <c r="BTJ2491" s="60"/>
      <c r="BTK2491" s="58"/>
      <c r="BTL2491" s="58"/>
      <c r="BTM2491" s="58"/>
      <c r="BTN2491" s="61"/>
      <c r="BTO2491" s="58"/>
      <c r="BTP2491" s="58"/>
      <c r="BTQ2491" s="58"/>
      <c r="BTR2491" s="60"/>
      <c r="BTS2491" s="58"/>
      <c r="BTT2491" s="58"/>
      <c r="BTU2491" s="58"/>
      <c r="BTV2491" s="61"/>
      <c r="BTW2491" s="58"/>
      <c r="BTX2491" s="58"/>
      <c r="BTY2491" s="58"/>
      <c r="BTZ2491" s="60"/>
      <c r="BUA2491" s="58"/>
      <c r="BUB2491" s="58"/>
      <c r="BUC2491" s="58"/>
      <c r="BUD2491" s="61"/>
      <c r="BUE2491" s="58"/>
      <c r="BUF2491" s="58"/>
      <c r="BUG2491" s="58"/>
      <c r="BUH2491" s="60"/>
      <c r="BUI2491" s="58"/>
      <c r="BUJ2491" s="58"/>
      <c r="BUK2491" s="58"/>
      <c r="BUL2491" s="61"/>
      <c r="BUM2491" s="58"/>
      <c r="BUN2491" s="58"/>
      <c r="BUO2491" s="58"/>
      <c r="BUP2491" s="60"/>
      <c r="BUQ2491" s="58"/>
      <c r="BUR2491" s="58"/>
      <c r="BUS2491" s="58"/>
      <c r="BUT2491" s="61"/>
      <c r="BUU2491" s="58"/>
      <c r="BUV2491" s="58"/>
      <c r="BUW2491" s="58"/>
      <c r="BUX2491" s="60"/>
      <c r="BUY2491" s="58"/>
      <c r="BUZ2491" s="58"/>
      <c r="BVA2491" s="58"/>
      <c r="BVB2491" s="61"/>
      <c r="BVC2491" s="58"/>
      <c r="BVD2491" s="58"/>
      <c r="BVE2491" s="58"/>
      <c r="BVF2491" s="60"/>
      <c r="BVG2491" s="58"/>
      <c r="BVH2491" s="58"/>
      <c r="BVI2491" s="58"/>
      <c r="BVJ2491" s="61"/>
      <c r="BVK2491" s="58"/>
      <c r="BVL2491" s="58"/>
      <c r="BVM2491" s="58"/>
      <c r="BVN2491" s="60"/>
      <c r="BVO2491" s="58"/>
      <c r="BVP2491" s="58"/>
      <c r="BVQ2491" s="58"/>
      <c r="BVR2491" s="61"/>
      <c r="BVS2491" s="58"/>
      <c r="BVT2491" s="58"/>
      <c r="BVU2491" s="58"/>
      <c r="BVV2491" s="60"/>
      <c r="BVW2491" s="58"/>
      <c r="BVX2491" s="58"/>
      <c r="BVY2491" s="58"/>
      <c r="BVZ2491" s="61"/>
      <c r="BWA2491" s="58"/>
      <c r="BWB2491" s="58"/>
      <c r="BWC2491" s="58"/>
      <c r="BWD2491" s="60"/>
      <c r="BWE2491" s="58"/>
      <c r="BWF2491" s="58"/>
      <c r="BWG2491" s="58"/>
      <c r="BWH2491" s="61"/>
      <c r="BWI2491" s="58"/>
      <c r="BWJ2491" s="58"/>
      <c r="BWK2491" s="58"/>
      <c r="BWL2491" s="60"/>
      <c r="BWM2491" s="58"/>
      <c r="BWN2491" s="58"/>
      <c r="BWO2491" s="58"/>
      <c r="BWP2491" s="61"/>
      <c r="BWQ2491" s="58"/>
      <c r="BWR2491" s="58"/>
      <c r="BWS2491" s="58"/>
      <c r="BWT2491" s="60"/>
      <c r="BWU2491" s="58"/>
      <c r="BWV2491" s="58"/>
      <c r="BWW2491" s="58"/>
      <c r="BWX2491" s="61"/>
      <c r="BWY2491" s="58"/>
      <c r="BWZ2491" s="58"/>
      <c r="BXA2491" s="58"/>
      <c r="BXB2491" s="60"/>
      <c r="BXC2491" s="58"/>
      <c r="BXD2491" s="58"/>
      <c r="BXE2491" s="58"/>
      <c r="BXF2491" s="61"/>
      <c r="BXG2491" s="58"/>
      <c r="BXH2491" s="58"/>
      <c r="BXI2491" s="58"/>
      <c r="BXJ2491" s="60"/>
      <c r="BXK2491" s="58"/>
      <c r="BXL2491" s="58"/>
      <c r="BXM2491" s="58"/>
      <c r="BXN2491" s="61"/>
      <c r="BXO2491" s="58"/>
      <c r="BXP2491" s="58"/>
      <c r="BXQ2491" s="58"/>
      <c r="BXR2491" s="60"/>
      <c r="BXS2491" s="58"/>
      <c r="BXT2491" s="58"/>
      <c r="BXU2491" s="58"/>
      <c r="BXV2491" s="61"/>
      <c r="BXW2491" s="58"/>
      <c r="BXX2491" s="58"/>
      <c r="BXY2491" s="58"/>
      <c r="BXZ2491" s="60"/>
      <c r="BYA2491" s="58"/>
      <c r="BYB2491" s="58"/>
      <c r="BYC2491" s="58"/>
      <c r="BYD2491" s="61"/>
      <c r="BYE2491" s="58"/>
      <c r="BYF2491" s="58"/>
      <c r="BYG2491" s="58"/>
      <c r="BYH2491" s="60"/>
      <c r="BYI2491" s="58"/>
      <c r="BYJ2491" s="58"/>
      <c r="BYK2491" s="58"/>
      <c r="BYL2491" s="61"/>
      <c r="BYM2491" s="58"/>
      <c r="BYN2491" s="58"/>
      <c r="BYO2491" s="58"/>
      <c r="BYP2491" s="60"/>
      <c r="BYQ2491" s="58"/>
      <c r="BYR2491" s="58"/>
      <c r="BYS2491" s="58"/>
      <c r="BYT2491" s="61"/>
      <c r="BYU2491" s="58"/>
      <c r="BYV2491" s="58"/>
      <c r="BYW2491" s="58"/>
      <c r="BYX2491" s="60"/>
      <c r="BYY2491" s="58"/>
      <c r="BYZ2491" s="58"/>
      <c r="BZA2491" s="58"/>
      <c r="BZB2491" s="61"/>
      <c r="BZC2491" s="58"/>
      <c r="BZD2491" s="58"/>
      <c r="BZE2491" s="58"/>
      <c r="BZF2491" s="60"/>
      <c r="BZG2491" s="58"/>
      <c r="BZH2491" s="58"/>
      <c r="BZI2491" s="58"/>
      <c r="BZJ2491" s="61"/>
      <c r="BZK2491" s="58"/>
      <c r="BZL2491" s="58"/>
      <c r="BZM2491" s="58"/>
      <c r="BZN2491" s="60"/>
      <c r="BZO2491" s="58"/>
      <c r="BZP2491" s="58"/>
      <c r="BZQ2491" s="58"/>
      <c r="BZR2491" s="61"/>
      <c r="BZS2491" s="58"/>
      <c r="BZT2491" s="58"/>
      <c r="BZU2491" s="58"/>
      <c r="BZV2491" s="60"/>
      <c r="BZW2491" s="58"/>
      <c r="BZX2491" s="58"/>
      <c r="BZY2491" s="58"/>
      <c r="BZZ2491" s="61"/>
      <c r="CAA2491" s="58"/>
      <c r="CAB2491" s="58"/>
      <c r="CAC2491" s="58"/>
      <c r="CAD2491" s="60"/>
      <c r="CAE2491" s="58"/>
      <c r="CAF2491" s="58"/>
      <c r="CAG2491" s="58"/>
      <c r="CAH2491" s="61"/>
      <c r="CAI2491" s="58"/>
      <c r="CAJ2491" s="58"/>
      <c r="CAK2491" s="58"/>
      <c r="CAL2491" s="60"/>
      <c r="CAM2491" s="58"/>
      <c r="CAN2491" s="58"/>
      <c r="CAO2491" s="58"/>
      <c r="CAP2491" s="61"/>
      <c r="CAQ2491" s="58"/>
      <c r="CAR2491" s="58"/>
      <c r="CAS2491" s="58"/>
      <c r="CAT2491" s="60"/>
      <c r="CAU2491" s="58"/>
      <c r="CAV2491" s="58"/>
      <c r="CAW2491" s="58"/>
      <c r="CAX2491" s="61"/>
      <c r="CAY2491" s="58"/>
      <c r="CAZ2491" s="58"/>
      <c r="CBA2491" s="58"/>
      <c r="CBB2491" s="60"/>
      <c r="CBC2491" s="58"/>
      <c r="CBD2491" s="58"/>
      <c r="CBE2491" s="58"/>
      <c r="CBF2491" s="61"/>
      <c r="CBG2491" s="58"/>
      <c r="CBH2491" s="58"/>
      <c r="CBI2491" s="58"/>
      <c r="CBJ2491" s="60"/>
      <c r="CBK2491" s="58"/>
      <c r="CBL2491" s="58"/>
      <c r="CBM2491" s="58"/>
      <c r="CBN2491" s="61"/>
      <c r="CBO2491" s="58"/>
      <c r="CBP2491" s="58"/>
      <c r="CBQ2491" s="58"/>
      <c r="CBR2491" s="60"/>
      <c r="CBS2491" s="58"/>
      <c r="CBT2491" s="58"/>
      <c r="CBU2491" s="58"/>
      <c r="CBV2491" s="61"/>
      <c r="CBW2491" s="58"/>
      <c r="CBX2491" s="58"/>
      <c r="CBY2491" s="58"/>
      <c r="CBZ2491" s="60"/>
      <c r="CCA2491" s="58"/>
      <c r="CCB2491" s="58"/>
      <c r="CCC2491" s="58"/>
      <c r="CCD2491" s="61"/>
      <c r="CCE2491" s="58"/>
      <c r="CCF2491" s="58"/>
      <c r="CCG2491" s="58"/>
      <c r="CCH2491" s="60"/>
      <c r="CCI2491" s="58"/>
      <c r="CCJ2491" s="58"/>
      <c r="CCK2491" s="58"/>
      <c r="CCL2491" s="61"/>
      <c r="CCM2491" s="58"/>
      <c r="CCN2491" s="58"/>
      <c r="CCO2491" s="58"/>
      <c r="CCP2491" s="60"/>
      <c r="CCQ2491" s="58"/>
      <c r="CCR2491" s="58"/>
      <c r="CCS2491" s="58"/>
      <c r="CCT2491" s="61"/>
      <c r="CCU2491" s="58"/>
      <c r="CCV2491" s="58"/>
      <c r="CCW2491" s="58"/>
      <c r="CCX2491" s="60"/>
      <c r="CCY2491" s="58"/>
      <c r="CCZ2491" s="58"/>
      <c r="CDA2491" s="58"/>
      <c r="CDB2491" s="61"/>
      <c r="CDC2491" s="58"/>
      <c r="CDD2491" s="58"/>
      <c r="CDE2491" s="58"/>
      <c r="CDF2491" s="60"/>
      <c r="CDG2491" s="58"/>
      <c r="CDH2491" s="58"/>
      <c r="CDI2491" s="58"/>
      <c r="CDJ2491" s="61"/>
      <c r="CDK2491" s="58"/>
      <c r="CDL2491" s="58"/>
      <c r="CDM2491" s="58"/>
      <c r="CDN2491" s="60"/>
      <c r="CDO2491" s="58"/>
      <c r="CDP2491" s="58"/>
      <c r="CDQ2491" s="58"/>
      <c r="CDR2491" s="61"/>
      <c r="CDS2491" s="58"/>
      <c r="CDT2491" s="58"/>
      <c r="CDU2491" s="58"/>
      <c r="CDV2491" s="60"/>
      <c r="CDW2491" s="58"/>
      <c r="CDX2491" s="58"/>
      <c r="CDY2491" s="58"/>
      <c r="CDZ2491" s="61"/>
      <c r="CEA2491" s="58"/>
      <c r="CEB2491" s="58"/>
      <c r="CEC2491" s="58"/>
      <c r="CED2491" s="60"/>
      <c r="CEE2491" s="58"/>
      <c r="CEF2491" s="58"/>
      <c r="CEG2491" s="58"/>
      <c r="CEH2491" s="61"/>
      <c r="CEI2491" s="58"/>
      <c r="CEJ2491" s="58"/>
      <c r="CEK2491" s="58"/>
      <c r="CEL2491" s="60"/>
      <c r="CEM2491" s="58"/>
      <c r="CEN2491" s="58"/>
      <c r="CEO2491" s="58"/>
      <c r="CEP2491" s="61"/>
      <c r="CEQ2491" s="58"/>
      <c r="CER2491" s="58"/>
      <c r="CES2491" s="58"/>
      <c r="CET2491" s="60"/>
      <c r="CEU2491" s="58"/>
      <c r="CEV2491" s="58"/>
      <c r="CEW2491" s="58"/>
      <c r="CEX2491" s="61"/>
      <c r="CEY2491" s="58"/>
      <c r="CEZ2491" s="58"/>
      <c r="CFA2491" s="58"/>
      <c r="CFB2491" s="60"/>
      <c r="CFC2491" s="58"/>
      <c r="CFD2491" s="58"/>
      <c r="CFE2491" s="58"/>
      <c r="CFF2491" s="61"/>
      <c r="CFG2491" s="58"/>
      <c r="CFH2491" s="58"/>
      <c r="CFI2491" s="58"/>
      <c r="CFJ2491" s="60"/>
      <c r="CFK2491" s="58"/>
      <c r="CFL2491" s="58"/>
      <c r="CFM2491" s="58"/>
      <c r="CFN2491" s="61"/>
      <c r="CFO2491" s="58"/>
      <c r="CFP2491" s="58"/>
      <c r="CFQ2491" s="58"/>
      <c r="CFR2491" s="60"/>
      <c r="CFS2491" s="58"/>
      <c r="CFT2491" s="58"/>
      <c r="CFU2491" s="58"/>
      <c r="CFV2491" s="61"/>
      <c r="CFW2491" s="58"/>
      <c r="CFX2491" s="58"/>
      <c r="CFY2491" s="58"/>
      <c r="CFZ2491" s="60"/>
      <c r="CGA2491" s="58"/>
      <c r="CGB2491" s="58"/>
      <c r="CGC2491" s="58"/>
      <c r="CGD2491" s="61"/>
      <c r="CGE2491" s="58"/>
      <c r="CGF2491" s="58"/>
      <c r="CGG2491" s="58"/>
      <c r="CGH2491" s="60"/>
      <c r="CGI2491" s="58"/>
      <c r="CGJ2491" s="58"/>
      <c r="CGK2491" s="58"/>
      <c r="CGL2491" s="61"/>
      <c r="CGM2491" s="58"/>
      <c r="CGN2491" s="58"/>
      <c r="CGO2491" s="58"/>
      <c r="CGP2491" s="60"/>
      <c r="CGQ2491" s="58"/>
      <c r="CGR2491" s="58"/>
      <c r="CGS2491" s="58"/>
      <c r="CGT2491" s="61"/>
      <c r="CGU2491" s="58"/>
      <c r="CGV2491" s="58"/>
      <c r="CGW2491" s="58"/>
      <c r="CGX2491" s="60"/>
      <c r="CGY2491" s="58"/>
      <c r="CGZ2491" s="58"/>
      <c r="CHA2491" s="58"/>
      <c r="CHB2491" s="61"/>
      <c r="CHC2491" s="58"/>
      <c r="CHD2491" s="58"/>
      <c r="CHE2491" s="58"/>
      <c r="CHF2491" s="60"/>
      <c r="CHG2491" s="58"/>
      <c r="CHH2491" s="58"/>
      <c r="CHI2491" s="58"/>
      <c r="CHJ2491" s="61"/>
      <c r="CHK2491" s="58"/>
      <c r="CHL2491" s="58"/>
      <c r="CHM2491" s="58"/>
      <c r="CHN2491" s="60"/>
      <c r="CHO2491" s="58"/>
      <c r="CHP2491" s="58"/>
      <c r="CHQ2491" s="58"/>
      <c r="CHR2491" s="61"/>
      <c r="CHS2491" s="58"/>
      <c r="CHT2491" s="58"/>
      <c r="CHU2491" s="58"/>
      <c r="CHV2491" s="60"/>
      <c r="CHW2491" s="58"/>
      <c r="CHX2491" s="58"/>
      <c r="CHY2491" s="58"/>
      <c r="CHZ2491" s="61"/>
      <c r="CIA2491" s="58"/>
      <c r="CIB2491" s="58"/>
      <c r="CIC2491" s="58"/>
      <c r="CID2491" s="60"/>
      <c r="CIE2491" s="58"/>
      <c r="CIF2491" s="58"/>
      <c r="CIG2491" s="58"/>
      <c r="CIH2491" s="61"/>
      <c r="CII2491" s="58"/>
      <c r="CIJ2491" s="58"/>
      <c r="CIK2491" s="58"/>
      <c r="CIL2491" s="60"/>
      <c r="CIM2491" s="58"/>
      <c r="CIN2491" s="58"/>
      <c r="CIO2491" s="58"/>
      <c r="CIP2491" s="61"/>
      <c r="CIQ2491" s="58"/>
      <c r="CIR2491" s="58"/>
      <c r="CIS2491" s="58"/>
      <c r="CIT2491" s="60"/>
      <c r="CIU2491" s="58"/>
      <c r="CIV2491" s="58"/>
      <c r="CIW2491" s="58"/>
      <c r="CIX2491" s="61"/>
      <c r="CIY2491" s="58"/>
      <c r="CIZ2491" s="58"/>
      <c r="CJA2491" s="58"/>
      <c r="CJB2491" s="60"/>
      <c r="CJC2491" s="58"/>
      <c r="CJD2491" s="58"/>
      <c r="CJE2491" s="58"/>
      <c r="CJF2491" s="61"/>
      <c r="CJG2491" s="58"/>
      <c r="CJH2491" s="58"/>
      <c r="CJI2491" s="58"/>
      <c r="CJJ2491" s="60"/>
      <c r="CJK2491" s="58"/>
      <c r="CJL2491" s="58"/>
      <c r="CJM2491" s="58"/>
      <c r="CJN2491" s="61"/>
      <c r="CJO2491" s="58"/>
      <c r="CJP2491" s="58"/>
      <c r="CJQ2491" s="58"/>
      <c r="CJR2491" s="60"/>
      <c r="CJS2491" s="58"/>
      <c r="CJT2491" s="58"/>
      <c r="CJU2491" s="58"/>
      <c r="CJV2491" s="61"/>
      <c r="CJW2491" s="58"/>
      <c r="CJX2491" s="58"/>
      <c r="CJY2491" s="58"/>
      <c r="CJZ2491" s="60"/>
      <c r="CKA2491" s="58"/>
      <c r="CKB2491" s="58"/>
      <c r="CKC2491" s="58"/>
      <c r="CKD2491" s="61"/>
      <c r="CKE2491" s="58"/>
      <c r="CKF2491" s="58"/>
      <c r="CKG2491" s="58"/>
      <c r="CKH2491" s="60"/>
      <c r="CKI2491" s="58"/>
      <c r="CKJ2491" s="58"/>
      <c r="CKK2491" s="58"/>
      <c r="CKL2491" s="61"/>
      <c r="CKM2491" s="58"/>
      <c r="CKN2491" s="58"/>
      <c r="CKO2491" s="58"/>
      <c r="CKP2491" s="60"/>
      <c r="CKQ2491" s="58"/>
      <c r="CKR2491" s="58"/>
      <c r="CKS2491" s="58"/>
      <c r="CKT2491" s="61"/>
      <c r="CKU2491" s="58"/>
      <c r="CKV2491" s="58"/>
      <c r="CKW2491" s="58"/>
      <c r="CKX2491" s="60"/>
      <c r="CKY2491" s="58"/>
      <c r="CKZ2491" s="58"/>
      <c r="CLA2491" s="58"/>
      <c r="CLB2491" s="61"/>
      <c r="CLC2491" s="58"/>
      <c r="CLD2491" s="58"/>
      <c r="CLE2491" s="58"/>
      <c r="CLF2491" s="60"/>
      <c r="CLG2491" s="58"/>
      <c r="CLH2491" s="58"/>
      <c r="CLI2491" s="58"/>
      <c r="CLJ2491" s="61"/>
      <c r="CLK2491" s="58"/>
      <c r="CLL2491" s="58"/>
      <c r="CLM2491" s="58"/>
      <c r="CLN2491" s="60"/>
      <c r="CLO2491" s="58"/>
      <c r="CLP2491" s="58"/>
      <c r="CLQ2491" s="58"/>
      <c r="CLR2491" s="61"/>
      <c r="CLS2491" s="58"/>
      <c r="CLT2491" s="58"/>
      <c r="CLU2491" s="58"/>
      <c r="CLV2491" s="60"/>
      <c r="CLW2491" s="58"/>
      <c r="CLX2491" s="58"/>
      <c r="CLY2491" s="58"/>
      <c r="CLZ2491" s="61"/>
      <c r="CMA2491" s="58"/>
      <c r="CMB2491" s="58"/>
      <c r="CMC2491" s="58"/>
      <c r="CMD2491" s="60"/>
      <c r="CME2491" s="58"/>
      <c r="CMF2491" s="58"/>
      <c r="CMG2491" s="58"/>
      <c r="CMH2491" s="61"/>
      <c r="CMI2491" s="58"/>
      <c r="CMJ2491" s="58"/>
      <c r="CMK2491" s="58"/>
      <c r="CML2491" s="60"/>
      <c r="CMM2491" s="58"/>
      <c r="CMN2491" s="58"/>
      <c r="CMO2491" s="58"/>
      <c r="CMP2491" s="61"/>
      <c r="CMQ2491" s="58"/>
      <c r="CMR2491" s="58"/>
      <c r="CMS2491" s="58"/>
      <c r="CMT2491" s="60"/>
      <c r="CMU2491" s="58"/>
      <c r="CMV2491" s="58"/>
      <c r="CMW2491" s="58"/>
      <c r="CMX2491" s="61"/>
      <c r="CMY2491" s="58"/>
      <c r="CMZ2491" s="58"/>
      <c r="CNA2491" s="58"/>
      <c r="CNB2491" s="60"/>
      <c r="CNC2491" s="58"/>
      <c r="CND2491" s="58"/>
      <c r="CNE2491" s="58"/>
      <c r="CNF2491" s="61"/>
      <c r="CNG2491" s="58"/>
      <c r="CNH2491" s="58"/>
      <c r="CNI2491" s="58"/>
      <c r="CNJ2491" s="60"/>
      <c r="CNK2491" s="58"/>
      <c r="CNL2491" s="58"/>
      <c r="CNM2491" s="58"/>
      <c r="CNN2491" s="61"/>
      <c r="CNO2491" s="58"/>
      <c r="CNP2491" s="58"/>
      <c r="CNQ2491" s="58"/>
      <c r="CNR2491" s="60"/>
      <c r="CNS2491" s="58"/>
      <c r="CNT2491" s="58"/>
      <c r="CNU2491" s="58"/>
      <c r="CNV2491" s="61"/>
      <c r="CNW2491" s="58"/>
      <c r="CNX2491" s="58"/>
      <c r="CNY2491" s="58"/>
      <c r="CNZ2491" s="60"/>
      <c r="COA2491" s="58"/>
      <c r="COB2491" s="58"/>
      <c r="COC2491" s="58"/>
      <c r="COD2491" s="61"/>
      <c r="COE2491" s="58"/>
      <c r="COF2491" s="58"/>
      <c r="COG2491" s="58"/>
      <c r="COH2491" s="60"/>
      <c r="COI2491" s="58"/>
      <c r="COJ2491" s="58"/>
      <c r="COK2491" s="58"/>
      <c r="COL2491" s="61"/>
      <c r="COM2491" s="58"/>
      <c r="CON2491" s="58"/>
      <c r="COO2491" s="58"/>
      <c r="COP2491" s="60"/>
      <c r="COQ2491" s="58"/>
      <c r="COR2491" s="58"/>
      <c r="COS2491" s="58"/>
      <c r="COT2491" s="61"/>
      <c r="COU2491" s="58"/>
      <c r="COV2491" s="58"/>
      <c r="COW2491" s="58"/>
      <c r="COX2491" s="60"/>
      <c r="COY2491" s="58"/>
      <c r="COZ2491" s="58"/>
      <c r="CPA2491" s="58"/>
      <c r="CPB2491" s="61"/>
      <c r="CPC2491" s="58"/>
      <c r="CPD2491" s="58"/>
      <c r="CPE2491" s="58"/>
      <c r="CPF2491" s="60"/>
      <c r="CPG2491" s="58"/>
      <c r="CPH2491" s="58"/>
      <c r="CPI2491" s="58"/>
      <c r="CPJ2491" s="61"/>
      <c r="CPK2491" s="58"/>
      <c r="CPL2491" s="58"/>
      <c r="CPM2491" s="58"/>
      <c r="CPN2491" s="60"/>
      <c r="CPO2491" s="58"/>
      <c r="CPP2491" s="58"/>
      <c r="CPQ2491" s="58"/>
      <c r="CPR2491" s="61"/>
      <c r="CPS2491" s="58"/>
      <c r="CPT2491" s="58"/>
      <c r="CPU2491" s="58"/>
      <c r="CPV2491" s="60"/>
      <c r="CPW2491" s="58"/>
      <c r="CPX2491" s="58"/>
      <c r="CPY2491" s="58"/>
      <c r="CPZ2491" s="61"/>
      <c r="CQA2491" s="58"/>
      <c r="CQB2491" s="58"/>
      <c r="CQC2491" s="58"/>
      <c r="CQD2491" s="60"/>
      <c r="CQE2491" s="58"/>
      <c r="CQF2491" s="58"/>
      <c r="CQG2491" s="58"/>
      <c r="CQH2491" s="61"/>
      <c r="CQI2491" s="58"/>
      <c r="CQJ2491" s="58"/>
      <c r="CQK2491" s="58"/>
      <c r="CQL2491" s="60"/>
      <c r="CQM2491" s="58"/>
      <c r="CQN2491" s="58"/>
      <c r="CQO2491" s="58"/>
      <c r="CQP2491" s="61"/>
      <c r="CQQ2491" s="58"/>
      <c r="CQR2491" s="58"/>
      <c r="CQS2491" s="58"/>
      <c r="CQT2491" s="60"/>
      <c r="CQU2491" s="58"/>
      <c r="CQV2491" s="58"/>
      <c r="CQW2491" s="58"/>
      <c r="CQX2491" s="61"/>
      <c r="CQY2491" s="58"/>
      <c r="CQZ2491" s="58"/>
      <c r="CRA2491" s="58"/>
      <c r="CRB2491" s="60"/>
      <c r="CRC2491" s="58"/>
      <c r="CRD2491" s="58"/>
      <c r="CRE2491" s="58"/>
      <c r="CRF2491" s="61"/>
      <c r="CRG2491" s="58"/>
      <c r="CRH2491" s="58"/>
      <c r="CRI2491" s="58"/>
      <c r="CRJ2491" s="60"/>
      <c r="CRK2491" s="58"/>
      <c r="CRL2491" s="58"/>
      <c r="CRM2491" s="58"/>
      <c r="CRN2491" s="61"/>
      <c r="CRO2491" s="58"/>
      <c r="CRP2491" s="58"/>
      <c r="CRQ2491" s="58"/>
      <c r="CRR2491" s="60"/>
      <c r="CRS2491" s="58"/>
      <c r="CRT2491" s="58"/>
      <c r="CRU2491" s="58"/>
      <c r="CRV2491" s="61"/>
      <c r="CRW2491" s="58"/>
      <c r="CRX2491" s="58"/>
      <c r="CRY2491" s="58"/>
      <c r="CRZ2491" s="60"/>
      <c r="CSA2491" s="58"/>
      <c r="CSB2491" s="58"/>
      <c r="CSC2491" s="58"/>
      <c r="CSD2491" s="61"/>
      <c r="CSE2491" s="58"/>
      <c r="CSF2491" s="58"/>
      <c r="CSG2491" s="58"/>
      <c r="CSH2491" s="60"/>
      <c r="CSI2491" s="58"/>
      <c r="CSJ2491" s="58"/>
      <c r="CSK2491" s="58"/>
      <c r="CSL2491" s="61"/>
      <c r="CSM2491" s="58"/>
      <c r="CSN2491" s="58"/>
      <c r="CSO2491" s="58"/>
      <c r="CSP2491" s="60"/>
      <c r="CSQ2491" s="58"/>
      <c r="CSR2491" s="58"/>
      <c r="CSS2491" s="58"/>
      <c r="CST2491" s="61"/>
      <c r="CSU2491" s="58"/>
      <c r="CSV2491" s="58"/>
      <c r="CSW2491" s="58"/>
      <c r="CSX2491" s="60"/>
      <c r="CSY2491" s="58"/>
      <c r="CSZ2491" s="58"/>
      <c r="CTA2491" s="58"/>
      <c r="CTB2491" s="61"/>
      <c r="CTC2491" s="58"/>
      <c r="CTD2491" s="58"/>
      <c r="CTE2491" s="58"/>
      <c r="CTF2491" s="60"/>
      <c r="CTG2491" s="58"/>
      <c r="CTH2491" s="58"/>
      <c r="CTI2491" s="58"/>
      <c r="CTJ2491" s="61"/>
      <c r="CTK2491" s="58"/>
      <c r="CTL2491" s="58"/>
      <c r="CTM2491" s="58"/>
      <c r="CTN2491" s="60"/>
      <c r="CTO2491" s="58"/>
      <c r="CTP2491" s="58"/>
      <c r="CTQ2491" s="58"/>
      <c r="CTR2491" s="61"/>
      <c r="CTS2491" s="58"/>
      <c r="CTT2491" s="58"/>
      <c r="CTU2491" s="58"/>
      <c r="CTV2491" s="60"/>
      <c r="CTW2491" s="58"/>
      <c r="CTX2491" s="58"/>
      <c r="CTY2491" s="58"/>
      <c r="CTZ2491" s="61"/>
      <c r="CUA2491" s="58"/>
      <c r="CUB2491" s="58"/>
      <c r="CUC2491" s="58"/>
      <c r="CUD2491" s="60"/>
      <c r="CUE2491" s="58"/>
      <c r="CUF2491" s="58"/>
      <c r="CUG2491" s="58"/>
      <c r="CUH2491" s="61"/>
      <c r="CUI2491" s="58"/>
      <c r="CUJ2491" s="58"/>
      <c r="CUK2491" s="58"/>
      <c r="CUL2491" s="60"/>
      <c r="CUM2491" s="58"/>
      <c r="CUN2491" s="58"/>
      <c r="CUO2491" s="58"/>
      <c r="CUP2491" s="61"/>
      <c r="CUQ2491" s="58"/>
      <c r="CUR2491" s="58"/>
      <c r="CUS2491" s="58"/>
      <c r="CUT2491" s="60"/>
      <c r="CUU2491" s="58"/>
      <c r="CUV2491" s="58"/>
      <c r="CUW2491" s="58"/>
      <c r="CUX2491" s="61"/>
      <c r="CUY2491" s="58"/>
      <c r="CUZ2491" s="58"/>
      <c r="CVA2491" s="58"/>
      <c r="CVB2491" s="60"/>
      <c r="CVC2491" s="58"/>
      <c r="CVD2491" s="58"/>
      <c r="CVE2491" s="58"/>
      <c r="CVF2491" s="61"/>
      <c r="CVG2491" s="58"/>
      <c r="CVH2491" s="58"/>
      <c r="CVI2491" s="58"/>
      <c r="CVJ2491" s="60"/>
      <c r="CVK2491" s="58"/>
      <c r="CVL2491" s="58"/>
      <c r="CVM2491" s="58"/>
      <c r="CVN2491" s="61"/>
      <c r="CVO2491" s="58"/>
      <c r="CVP2491" s="58"/>
      <c r="CVQ2491" s="58"/>
      <c r="CVR2491" s="60"/>
      <c r="CVS2491" s="58"/>
      <c r="CVT2491" s="58"/>
      <c r="CVU2491" s="58"/>
      <c r="CVV2491" s="61"/>
      <c r="CVW2491" s="58"/>
      <c r="CVX2491" s="58"/>
      <c r="CVY2491" s="58"/>
      <c r="CVZ2491" s="60"/>
      <c r="CWA2491" s="58"/>
      <c r="CWB2491" s="58"/>
      <c r="CWC2491" s="58"/>
      <c r="CWD2491" s="61"/>
      <c r="CWE2491" s="58"/>
      <c r="CWF2491" s="58"/>
      <c r="CWG2491" s="58"/>
      <c r="CWH2491" s="60"/>
      <c r="CWI2491" s="58"/>
      <c r="CWJ2491" s="58"/>
      <c r="CWK2491" s="58"/>
      <c r="CWL2491" s="61"/>
      <c r="CWM2491" s="58"/>
      <c r="CWN2491" s="58"/>
      <c r="CWO2491" s="58"/>
      <c r="CWP2491" s="60"/>
      <c r="CWQ2491" s="58"/>
      <c r="CWR2491" s="58"/>
      <c r="CWS2491" s="58"/>
      <c r="CWT2491" s="61"/>
      <c r="CWU2491" s="58"/>
      <c r="CWV2491" s="58"/>
      <c r="CWW2491" s="58"/>
      <c r="CWX2491" s="60"/>
      <c r="CWY2491" s="58"/>
      <c r="CWZ2491" s="58"/>
      <c r="CXA2491" s="58"/>
      <c r="CXB2491" s="61"/>
      <c r="CXC2491" s="58"/>
      <c r="CXD2491" s="58"/>
      <c r="CXE2491" s="58"/>
      <c r="CXF2491" s="60"/>
      <c r="CXG2491" s="58"/>
      <c r="CXH2491" s="58"/>
      <c r="CXI2491" s="58"/>
      <c r="CXJ2491" s="61"/>
      <c r="CXK2491" s="58"/>
      <c r="CXL2491" s="58"/>
      <c r="CXM2491" s="58"/>
      <c r="CXN2491" s="60"/>
      <c r="CXO2491" s="58"/>
      <c r="CXP2491" s="58"/>
      <c r="CXQ2491" s="58"/>
      <c r="CXR2491" s="61"/>
      <c r="CXS2491" s="58"/>
      <c r="CXT2491" s="58"/>
      <c r="CXU2491" s="58"/>
      <c r="CXV2491" s="60"/>
      <c r="CXW2491" s="58"/>
      <c r="CXX2491" s="58"/>
      <c r="CXY2491" s="58"/>
      <c r="CXZ2491" s="61"/>
      <c r="CYA2491" s="58"/>
      <c r="CYB2491" s="58"/>
      <c r="CYC2491" s="58"/>
      <c r="CYD2491" s="60"/>
      <c r="CYE2491" s="58"/>
      <c r="CYF2491" s="58"/>
      <c r="CYG2491" s="58"/>
      <c r="CYH2491" s="61"/>
      <c r="CYI2491" s="58"/>
      <c r="CYJ2491" s="58"/>
      <c r="CYK2491" s="58"/>
      <c r="CYL2491" s="60"/>
      <c r="CYM2491" s="58"/>
      <c r="CYN2491" s="58"/>
      <c r="CYO2491" s="58"/>
      <c r="CYP2491" s="61"/>
      <c r="CYQ2491" s="58"/>
      <c r="CYR2491" s="58"/>
      <c r="CYS2491" s="58"/>
      <c r="CYT2491" s="60"/>
      <c r="CYU2491" s="58"/>
      <c r="CYV2491" s="58"/>
      <c r="CYW2491" s="58"/>
      <c r="CYX2491" s="61"/>
      <c r="CYY2491" s="58"/>
      <c r="CYZ2491" s="58"/>
      <c r="CZA2491" s="58"/>
      <c r="CZB2491" s="60"/>
      <c r="CZC2491" s="58"/>
      <c r="CZD2491" s="58"/>
      <c r="CZE2491" s="58"/>
      <c r="CZF2491" s="61"/>
      <c r="CZG2491" s="58"/>
      <c r="CZH2491" s="58"/>
      <c r="CZI2491" s="58"/>
      <c r="CZJ2491" s="60"/>
      <c r="CZK2491" s="58"/>
      <c r="CZL2491" s="58"/>
      <c r="CZM2491" s="58"/>
      <c r="CZN2491" s="61"/>
      <c r="CZO2491" s="58"/>
      <c r="CZP2491" s="58"/>
      <c r="CZQ2491" s="58"/>
      <c r="CZR2491" s="60"/>
      <c r="CZS2491" s="58"/>
      <c r="CZT2491" s="58"/>
      <c r="CZU2491" s="58"/>
      <c r="CZV2491" s="61"/>
      <c r="CZW2491" s="58"/>
      <c r="CZX2491" s="58"/>
      <c r="CZY2491" s="58"/>
      <c r="CZZ2491" s="60"/>
      <c r="DAA2491" s="58"/>
      <c r="DAB2491" s="58"/>
      <c r="DAC2491" s="58"/>
      <c r="DAD2491" s="61"/>
      <c r="DAE2491" s="58"/>
      <c r="DAF2491" s="58"/>
      <c r="DAG2491" s="58"/>
      <c r="DAH2491" s="60"/>
      <c r="DAI2491" s="58"/>
      <c r="DAJ2491" s="58"/>
      <c r="DAK2491" s="58"/>
      <c r="DAL2491" s="61"/>
      <c r="DAM2491" s="58"/>
      <c r="DAN2491" s="58"/>
      <c r="DAO2491" s="58"/>
      <c r="DAP2491" s="60"/>
      <c r="DAQ2491" s="58"/>
      <c r="DAR2491" s="58"/>
      <c r="DAS2491" s="58"/>
      <c r="DAT2491" s="61"/>
      <c r="DAU2491" s="58"/>
      <c r="DAV2491" s="58"/>
      <c r="DAW2491" s="58"/>
      <c r="DAX2491" s="60"/>
      <c r="DAY2491" s="58"/>
      <c r="DAZ2491" s="58"/>
      <c r="DBA2491" s="58"/>
      <c r="DBB2491" s="61"/>
      <c r="DBC2491" s="58"/>
      <c r="DBD2491" s="58"/>
      <c r="DBE2491" s="58"/>
      <c r="DBF2491" s="60"/>
      <c r="DBG2491" s="58"/>
      <c r="DBH2491" s="58"/>
      <c r="DBI2491" s="58"/>
      <c r="DBJ2491" s="61"/>
      <c r="DBK2491" s="58"/>
      <c r="DBL2491" s="58"/>
      <c r="DBM2491" s="58"/>
      <c r="DBN2491" s="60"/>
      <c r="DBO2491" s="58"/>
      <c r="DBP2491" s="58"/>
      <c r="DBQ2491" s="58"/>
      <c r="DBR2491" s="61"/>
      <c r="DBS2491" s="58"/>
      <c r="DBT2491" s="58"/>
      <c r="DBU2491" s="58"/>
      <c r="DBV2491" s="60"/>
      <c r="DBW2491" s="58"/>
      <c r="DBX2491" s="58"/>
      <c r="DBY2491" s="58"/>
      <c r="DBZ2491" s="61"/>
      <c r="DCA2491" s="58"/>
      <c r="DCB2491" s="58"/>
      <c r="DCC2491" s="58"/>
      <c r="DCD2491" s="60"/>
      <c r="DCE2491" s="58"/>
      <c r="DCF2491" s="58"/>
      <c r="DCG2491" s="58"/>
      <c r="DCH2491" s="61"/>
      <c r="DCI2491" s="58"/>
      <c r="DCJ2491" s="58"/>
      <c r="DCK2491" s="58"/>
      <c r="DCL2491" s="60"/>
      <c r="DCM2491" s="58"/>
      <c r="DCN2491" s="58"/>
      <c r="DCO2491" s="58"/>
      <c r="DCP2491" s="61"/>
      <c r="DCQ2491" s="58"/>
      <c r="DCR2491" s="58"/>
      <c r="DCS2491" s="58"/>
      <c r="DCT2491" s="60"/>
      <c r="DCU2491" s="58"/>
      <c r="DCV2491" s="58"/>
      <c r="DCW2491" s="58"/>
      <c r="DCX2491" s="61"/>
      <c r="DCY2491" s="58"/>
      <c r="DCZ2491" s="58"/>
      <c r="DDA2491" s="58"/>
      <c r="DDB2491" s="60"/>
      <c r="DDC2491" s="58"/>
      <c r="DDD2491" s="58"/>
      <c r="DDE2491" s="58"/>
      <c r="DDF2491" s="61"/>
      <c r="DDG2491" s="58"/>
      <c r="DDH2491" s="58"/>
      <c r="DDI2491" s="58"/>
      <c r="DDJ2491" s="60"/>
      <c r="DDK2491" s="58"/>
      <c r="DDL2491" s="58"/>
      <c r="DDM2491" s="58"/>
      <c r="DDN2491" s="61"/>
      <c r="DDO2491" s="58"/>
      <c r="DDP2491" s="58"/>
      <c r="DDQ2491" s="58"/>
      <c r="DDR2491" s="60"/>
      <c r="DDS2491" s="58"/>
      <c r="DDT2491" s="58"/>
      <c r="DDU2491" s="58"/>
      <c r="DDV2491" s="61"/>
      <c r="DDW2491" s="58"/>
      <c r="DDX2491" s="58"/>
      <c r="DDY2491" s="58"/>
      <c r="DDZ2491" s="60"/>
      <c r="DEA2491" s="58"/>
      <c r="DEB2491" s="58"/>
      <c r="DEC2491" s="58"/>
      <c r="DED2491" s="61"/>
      <c r="DEE2491" s="58"/>
      <c r="DEF2491" s="58"/>
      <c r="DEG2491" s="58"/>
      <c r="DEH2491" s="60"/>
      <c r="DEI2491" s="58"/>
      <c r="DEJ2491" s="58"/>
      <c r="DEK2491" s="58"/>
      <c r="DEL2491" s="61"/>
      <c r="DEM2491" s="58"/>
      <c r="DEN2491" s="58"/>
      <c r="DEO2491" s="58"/>
      <c r="DEP2491" s="60"/>
      <c r="DEQ2491" s="58"/>
      <c r="DER2491" s="58"/>
      <c r="DES2491" s="58"/>
      <c r="DET2491" s="61"/>
      <c r="DEU2491" s="58"/>
      <c r="DEV2491" s="58"/>
      <c r="DEW2491" s="58"/>
      <c r="DEX2491" s="60"/>
      <c r="DEY2491" s="58"/>
      <c r="DEZ2491" s="58"/>
      <c r="DFA2491" s="58"/>
      <c r="DFB2491" s="61"/>
      <c r="DFC2491" s="58"/>
      <c r="DFD2491" s="58"/>
      <c r="DFE2491" s="58"/>
      <c r="DFF2491" s="60"/>
      <c r="DFG2491" s="58"/>
      <c r="DFH2491" s="58"/>
      <c r="DFI2491" s="58"/>
      <c r="DFJ2491" s="61"/>
      <c r="DFK2491" s="58"/>
      <c r="DFL2491" s="58"/>
      <c r="DFM2491" s="58"/>
      <c r="DFN2491" s="60"/>
      <c r="DFO2491" s="58"/>
      <c r="DFP2491" s="58"/>
      <c r="DFQ2491" s="58"/>
      <c r="DFR2491" s="61"/>
      <c r="DFS2491" s="58"/>
      <c r="DFT2491" s="58"/>
      <c r="DFU2491" s="58"/>
      <c r="DFV2491" s="60"/>
      <c r="DFW2491" s="58"/>
      <c r="DFX2491" s="58"/>
      <c r="DFY2491" s="58"/>
      <c r="DFZ2491" s="61"/>
      <c r="DGA2491" s="58"/>
      <c r="DGB2491" s="58"/>
      <c r="DGC2491" s="58"/>
      <c r="DGD2491" s="60"/>
      <c r="DGE2491" s="58"/>
      <c r="DGF2491" s="58"/>
      <c r="DGG2491" s="58"/>
      <c r="DGH2491" s="61"/>
      <c r="DGI2491" s="58"/>
      <c r="DGJ2491" s="58"/>
      <c r="DGK2491" s="58"/>
      <c r="DGL2491" s="60"/>
      <c r="DGM2491" s="58"/>
      <c r="DGN2491" s="58"/>
      <c r="DGO2491" s="58"/>
      <c r="DGP2491" s="61"/>
      <c r="DGQ2491" s="58"/>
      <c r="DGR2491" s="58"/>
      <c r="DGS2491" s="58"/>
      <c r="DGT2491" s="60"/>
      <c r="DGU2491" s="58"/>
      <c r="DGV2491" s="58"/>
      <c r="DGW2491" s="58"/>
      <c r="DGX2491" s="61"/>
      <c r="DGY2491" s="58"/>
      <c r="DGZ2491" s="58"/>
      <c r="DHA2491" s="58"/>
      <c r="DHB2491" s="60"/>
      <c r="DHC2491" s="58"/>
      <c r="DHD2491" s="58"/>
      <c r="DHE2491" s="58"/>
      <c r="DHF2491" s="61"/>
      <c r="DHG2491" s="58"/>
      <c r="DHH2491" s="58"/>
      <c r="DHI2491" s="58"/>
      <c r="DHJ2491" s="60"/>
      <c r="DHK2491" s="58"/>
      <c r="DHL2491" s="58"/>
      <c r="DHM2491" s="58"/>
      <c r="DHN2491" s="61"/>
      <c r="DHO2491" s="58"/>
      <c r="DHP2491" s="58"/>
      <c r="DHQ2491" s="58"/>
      <c r="DHR2491" s="60"/>
      <c r="DHS2491" s="58"/>
      <c r="DHT2491" s="58"/>
      <c r="DHU2491" s="58"/>
      <c r="DHV2491" s="61"/>
      <c r="DHW2491" s="58"/>
      <c r="DHX2491" s="58"/>
      <c r="DHY2491" s="58"/>
      <c r="DHZ2491" s="60"/>
      <c r="DIA2491" s="58"/>
      <c r="DIB2491" s="58"/>
      <c r="DIC2491" s="58"/>
      <c r="DID2491" s="61"/>
      <c r="DIE2491" s="58"/>
      <c r="DIF2491" s="58"/>
      <c r="DIG2491" s="58"/>
      <c r="DIH2491" s="60"/>
      <c r="DII2491" s="58"/>
      <c r="DIJ2491" s="58"/>
      <c r="DIK2491" s="58"/>
      <c r="DIL2491" s="61"/>
      <c r="DIM2491" s="58"/>
      <c r="DIN2491" s="58"/>
      <c r="DIO2491" s="58"/>
      <c r="DIP2491" s="60"/>
      <c r="DIQ2491" s="58"/>
      <c r="DIR2491" s="58"/>
      <c r="DIS2491" s="58"/>
      <c r="DIT2491" s="61"/>
      <c r="DIU2491" s="58"/>
      <c r="DIV2491" s="58"/>
      <c r="DIW2491" s="58"/>
      <c r="DIX2491" s="60"/>
      <c r="DIY2491" s="58"/>
      <c r="DIZ2491" s="58"/>
      <c r="DJA2491" s="58"/>
      <c r="DJB2491" s="61"/>
      <c r="DJC2491" s="58"/>
      <c r="DJD2491" s="58"/>
      <c r="DJE2491" s="58"/>
      <c r="DJF2491" s="60"/>
      <c r="DJG2491" s="58"/>
      <c r="DJH2491" s="58"/>
      <c r="DJI2491" s="58"/>
      <c r="DJJ2491" s="61"/>
      <c r="DJK2491" s="58"/>
      <c r="DJL2491" s="58"/>
      <c r="DJM2491" s="58"/>
      <c r="DJN2491" s="60"/>
      <c r="DJO2491" s="58"/>
      <c r="DJP2491" s="58"/>
      <c r="DJQ2491" s="58"/>
      <c r="DJR2491" s="61"/>
      <c r="DJS2491" s="58"/>
      <c r="DJT2491" s="58"/>
      <c r="DJU2491" s="58"/>
      <c r="DJV2491" s="60"/>
      <c r="DJW2491" s="58"/>
      <c r="DJX2491" s="58"/>
      <c r="DJY2491" s="58"/>
      <c r="DJZ2491" s="61"/>
      <c r="DKA2491" s="58"/>
      <c r="DKB2491" s="58"/>
      <c r="DKC2491" s="58"/>
      <c r="DKD2491" s="60"/>
      <c r="DKE2491" s="58"/>
      <c r="DKF2491" s="58"/>
      <c r="DKG2491" s="58"/>
      <c r="DKH2491" s="61"/>
      <c r="DKI2491" s="58"/>
      <c r="DKJ2491" s="58"/>
      <c r="DKK2491" s="58"/>
      <c r="DKL2491" s="60"/>
      <c r="DKM2491" s="58"/>
      <c r="DKN2491" s="58"/>
      <c r="DKO2491" s="58"/>
      <c r="DKP2491" s="61"/>
      <c r="DKQ2491" s="58"/>
      <c r="DKR2491" s="58"/>
      <c r="DKS2491" s="58"/>
      <c r="DKT2491" s="60"/>
      <c r="DKU2491" s="58"/>
      <c r="DKV2491" s="58"/>
      <c r="DKW2491" s="58"/>
      <c r="DKX2491" s="61"/>
      <c r="DKY2491" s="58"/>
      <c r="DKZ2491" s="58"/>
      <c r="DLA2491" s="58"/>
      <c r="DLB2491" s="60"/>
      <c r="DLC2491" s="58"/>
      <c r="DLD2491" s="58"/>
      <c r="DLE2491" s="58"/>
      <c r="DLF2491" s="61"/>
      <c r="DLG2491" s="58"/>
      <c r="DLH2491" s="58"/>
      <c r="DLI2491" s="58"/>
      <c r="DLJ2491" s="60"/>
      <c r="DLK2491" s="58"/>
      <c r="DLL2491" s="58"/>
      <c r="DLM2491" s="58"/>
      <c r="DLN2491" s="61"/>
      <c r="DLO2491" s="58"/>
      <c r="DLP2491" s="58"/>
      <c r="DLQ2491" s="58"/>
      <c r="DLR2491" s="60"/>
      <c r="DLS2491" s="58"/>
      <c r="DLT2491" s="58"/>
      <c r="DLU2491" s="58"/>
      <c r="DLV2491" s="61"/>
      <c r="DLW2491" s="58"/>
      <c r="DLX2491" s="58"/>
      <c r="DLY2491" s="58"/>
      <c r="DLZ2491" s="60"/>
      <c r="DMA2491" s="58"/>
      <c r="DMB2491" s="58"/>
      <c r="DMC2491" s="58"/>
      <c r="DMD2491" s="61"/>
      <c r="DME2491" s="58"/>
      <c r="DMF2491" s="58"/>
      <c r="DMG2491" s="58"/>
      <c r="DMH2491" s="60"/>
      <c r="DMI2491" s="58"/>
      <c r="DMJ2491" s="58"/>
      <c r="DMK2491" s="58"/>
      <c r="DML2491" s="61"/>
      <c r="DMM2491" s="58"/>
      <c r="DMN2491" s="58"/>
      <c r="DMO2491" s="58"/>
      <c r="DMP2491" s="60"/>
      <c r="DMQ2491" s="58"/>
      <c r="DMR2491" s="58"/>
      <c r="DMS2491" s="58"/>
      <c r="DMT2491" s="61"/>
      <c r="DMU2491" s="58"/>
      <c r="DMV2491" s="58"/>
      <c r="DMW2491" s="58"/>
      <c r="DMX2491" s="60"/>
      <c r="DMY2491" s="58"/>
      <c r="DMZ2491" s="58"/>
      <c r="DNA2491" s="58"/>
      <c r="DNB2491" s="61"/>
      <c r="DNC2491" s="58"/>
      <c r="DND2491" s="58"/>
      <c r="DNE2491" s="58"/>
      <c r="DNF2491" s="60"/>
      <c r="DNG2491" s="58"/>
      <c r="DNH2491" s="58"/>
      <c r="DNI2491" s="58"/>
      <c r="DNJ2491" s="61"/>
      <c r="DNK2491" s="58"/>
      <c r="DNL2491" s="58"/>
      <c r="DNM2491" s="58"/>
      <c r="DNN2491" s="60"/>
      <c r="DNO2491" s="58"/>
      <c r="DNP2491" s="58"/>
      <c r="DNQ2491" s="58"/>
      <c r="DNR2491" s="61"/>
      <c r="DNS2491" s="58"/>
      <c r="DNT2491" s="58"/>
      <c r="DNU2491" s="58"/>
      <c r="DNV2491" s="60"/>
      <c r="DNW2491" s="58"/>
      <c r="DNX2491" s="58"/>
      <c r="DNY2491" s="58"/>
      <c r="DNZ2491" s="61"/>
      <c r="DOA2491" s="58"/>
      <c r="DOB2491" s="58"/>
      <c r="DOC2491" s="58"/>
      <c r="DOD2491" s="60"/>
      <c r="DOE2491" s="58"/>
      <c r="DOF2491" s="58"/>
      <c r="DOG2491" s="58"/>
      <c r="DOH2491" s="61"/>
      <c r="DOI2491" s="58"/>
      <c r="DOJ2491" s="58"/>
      <c r="DOK2491" s="58"/>
      <c r="DOL2491" s="60"/>
      <c r="DOM2491" s="58"/>
      <c r="DON2491" s="58"/>
      <c r="DOO2491" s="58"/>
      <c r="DOP2491" s="61"/>
      <c r="DOQ2491" s="58"/>
      <c r="DOR2491" s="58"/>
      <c r="DOS2491" s="58"/>
      <c r="DOT2491" s="60"/>
      <c r="DOU2491" s="58"/>
      <c r="DOV2491" s="58"/>
      <c r="DOW2491" s="58"/>
      <c r="DOX2491" s="61"/>
      <c r="DOY2491" s="58"/>
      <c r="DOZ2491" s="58"/>
      <c r="DPA2491" s="58"/>
      <c r="DPB2491" s="60"/>
      <c r="DPC2491" s="58"/>
      <c r="DPD2491" s="58"/>
      <c r="DPE2491" s="58"/>
      <c r="DPF2491" s="61"/>
      <c r="DPG2491" s="58"/>
      <c r="DPH2491" s="58"/>
      <c r="DPI2491" s="58"/>
      <c r="DPJ2491" s="60"/>
      <c r="DPK2491" s="58"/>
      <c r="DPL2491" s="58"/>
      <c r="DPM2491" s="58"/>
      <c r="DPN2491" s="61"/>
      <c r="DPO2491" s="58"/>
      <c r="DPP2491" s="58"/>
      <c r="DPQ2491" s="58"/>
      <c r="DPR2491" s="60"/>
      <c r="DPS2491" s="58"/>
      <c r="DPT2491" s="58"/>
      <c r="DPU2491" s="58"/>
      <c r="DPV2491" s="61"/>
      <c r="DPW2491" s="58"/>
      <c r="DPX2491" s="58"/>
      <c r="DPY2491" s="58"/>
      <c r="DPZ2491" s="60"/>
      <c r="DQA2491" s="58"/>
      <c r="DQB2491" s="58"/>
      <c r="DQC2491" s="58"/>
      <c r="DQD2491" s="61"/>
      <c r="DQE2491" s="58"/>
      <c r="DQF2491" s="58"/>
      <c r="DQG2491" s="58"/>
      <c r="DQH2491" s="60"/>
      <c r="DQI2491" s="58"/>
      <c r="DQJ2491" s="58"/>
      <c r="DQK2491" s="58"/>
      <c r="DQL2491" s="61"/>
      <c r="DQM2491" s="58"/>
      <c r="DQN2491" s="58"/>
      <c r="DQO2491" s="58"/>
      <c r="DQP2491" s="60"/>
      <c r="DQQ2491" s="58"/>
      <c r="DQR2491" s="58"/>
      <c r="DQS2491" s="58"/>
      <c r="DQT2491" s="61"/>
      <c r="DQU2491" s="58"/>
      <c r="DQV2491" s="58"/>
      <c r="DQW2491" s="58"/>
      <c r="DQX2491" s="60"/>
      <c r="DQY2491" s="58"/>
      <c r="DQZ2491" s="58"/>
      <c r="DRA2491" s="58"/>
      <c r="DRB2491" s="61"/>
      <c r="DRC2491" s="58"/>
      <c r="DRD2491" s="58"/>
      <c r="DRE2491" s="58"/>
      <c r="DRF2491" s="60"/>
      <c r="DRG2491" s="58"/>
      <c r="DRH2491" s="58"/>
      <c r="DRI2491" s="58"/>
      <c r="DRJ2491" s="61"/>
      <c r="DRK2491" s="58"/>
      <c r="DRL2491" s="58"/>
      <c r="DRM2491" s="58"/>
      <c r="DRN2491" s="60"/>
      <c r="DRO2491" s="58"/>
      <c r="DRP2491" s="58"/>
      <c r="DRQ2491" s="58"/>
      <c r="DRR2491" s="61"/>
      <c r="DRS2491" s="58"/>
      <c r="DRT2491" s="58"/>
      <c r="DRU2491" s="58"/>
      <c r="DRV2491" s="60"/>
      <c r="DRW2491" s="58"/>
      <c r="DRX2491" s="58"/>
      <c r="DRY2491" s="58"/>
      <c r="DRZ2491" s="61"/>
      <c r="DSA2491" s="58"/>
      <c r="DSB2491" s="58"/>
      <c r="DSC2491" s="58"/>
      <c r="DSD2491" s="60"/>
      <c r="DSE2491" s="58"/>
      <c r="DSF2491" s="58"/>
      <c r="DSG2491" s="58"/>
      <c r="DSH2491" s="61"/>
      <c r="DSI2491" s="58"/>
      <c r="DSJ2491" s="58"/>
      <c r="DSK2491" s="58"/>
      <c r="DSL2491" s="60"/>
      <c r="DSM2491" s="58"/>
      <c r="DSN2491" s="58"/>
      <c r="DSO2491" s="58"/>
      <c r="DSP2491" s="61"/>
      <c r="DSQ2491" s="58"/>
      <c r="DSR2491" s="58"/>
      <c r="DSS2491" s="58"/>
      <c r="DST2491" s="60"/>
      <c r="DSU2491" s="58"/>
      <c r="DSV2491" s="58"/>
      <c r="DSW2491" s="58"/>
      <c r="DSX2491" s="61"/>
      <c r="DSY2491" s="58"/>
      <c r="DSZ2491" s="58"/>
      <c r="DTA2491" s="58"/>
      <c r="DTB2491" s="60"/>
      <c r="DTC2491" s="58"/>
      <c r="DTD2491" s="58"/>
      <c r="DTE2491" s="58"/>
      <c r="DTF2491" s="61"/>
      <c r="DTG2491" s="58"/>
      <c r="DTH2491" s="58"/>
      <c r="DTI2491" s="58"/>
      <c r="DTJ2491" s="60"/>
      <c r="DTK2491" s="58"/>
      <c r="DTL2491" s="58"/>
      <c r="DTM2491" s="58"/>
      <c r="DTN2491" s="61"/>
      <c r="DTO2491" s="58"/>
      <c r="DTP2491" s="58"/>
      <c r="DTQ2491" s="58"/>
      <c r="DTR2491" s="60"/>
      <c r="DTS2491" s="58"/>
      <c r="DTT2491" s="58"/>
      <c r="DTU2491" s="58"/>
      <c r="DTV2491" s="61"/>
      <c r="DTW2491" s="58"/>
      <c r="DTX2491" s="58"/>
      <c r="DTY2491" s="58"/>
      <c r="DTZ2491" s="60"/>
      <c r="DUA2491" s="58"/>
      <c r="DUB2491" s="58"/>
      <c r="DUC2491" s="58"/>
      <c r="DUD2491" s="61"/>
      <c r="DUE2491" s="58"/>
      <c r="DUF2491" s="58"/>
      <c r="DUG2491" s="58"/>
      <c r="DUH2491" s="60"/>
      <c r="DUI2491" s="58"/>
      <c r="DUJ2491" s="58"/>
      <c r="DUK2491" s="58"/>
      <c r="DUL2491" s="61"/>
      <c r="DUM2491" s="58"/>
      <c r="DUN2491" s="58"/>
      <c r="DUO2491" s="58"/>
      <c r="DUP2491" s="60"/>
      <c r="DUQ2491" s="58"/>
      <c r="DUR2491" s="58"/>
      <c r="DUS2491" s="58"/>
      <c r="DUT2491" s="61"/>
      <c r="DUU2491" s="58"/>
      <c r="DUV2491" s="58"/>
      <c r="DUW2491" s="58"/>
      <c r="DUX2491" s="60"/>
      <c r="DUY2491" s="58"/>
      <c r="DUZ2491" s="58"/>
      <c r="DVA2491" s="58"/>
      <c r="DVB2491" s="61"/>
      <c r="DVC2491" s="58"/>
      <c r="DVD2491" s="58"/>
      <c r="DVE2491" s="58"/>
      <c r="DVF2491" s="60"/>
      <c r="DVG2491" s="58"/>
      <c r="DVH2491" s="58"/>
      <c r="DVI2491" s="58"/>
      <c r="DVJ2491" s="61"/>
      <c r="DVK2491" s="58"/>
      <c r="DVL2491" s="58"/>
      <c r="DVM2491" s="58"/>
      <c r="DVN2491" s="60"/>
      <c r="DVO2491" s="58"/>
      <c r="DVP2491" s="58"/>
      <c r="DVQ2491" s="58"/>
      <c r="DVR2491" s="61"/>
      <c r="DVS2491" s="58"/>
      <c r="DVT2491" s="58"/>
      <c r="DVU2491" s="58"/>
      <c r="DVV2491" s="60"/>
      <c r="DVW2491" s="58"/>
      <c r="DVX2491" s="58"/>
      <c r="DVY2491" s="58"/>
      <c r="DVZ2491" s="61"/>
      <c r="DWA2491" s="58"/>
      <c r="DWB2491" s="58"/>
      <c r="DWC2491" s="58"/>
      <c r="DWD2491" s="60"/>
      <c r="DWE2491" s="58"/>
      <c r="DWF2491" s="58"/>
      <c r="DWG2491" s="58"/>
      <c r="DWH2491" s="61"/>
      <c r="DWI2491" s="58"/>
      <c r="DWJ2491" s="58"/>
      <c r="DWK2491" s="58"/>
      <c r="DWL2491" s="60"/>
      <c r="DWM2491" s="58"/>
      <c r="DWN2491" s="58"/>
      <c r="DWO2491" s="58"/>
      <c r="DWP2491" s="61"/>
      <c r="DWQ2491" s="58"/>
      <c r="DWR2491" s="58"/>
      <c r="DWS2491" s="58"/>
      <c r="DWT2491" s="60"/>
      <c r="DWU2491" s="58"/>
      <c r="DWV2491" s="58"/>
      <c r="DWW2491" s="58"/>
      <c r="DWX2491" s="61"/>
      <c r="DWY2491" s="58"/>
      <c r="DWZ2491" s="58"/>
      <c r="DXA2491" s="58"/>
      <c r="DXB2491" s="60"/>
      <c r="DXC2491" s="58"/>
      <c r="DXD2491" s="58"/>
      <c r="DXE2491" s="58"/>
      <c r="DXF2491" s="61"/>
      <c r="DXG2491" s="58"/>
      <c r="DXH2491" s="58"/>
      <c r="DXI2491" s="58"/>
      <c r="DXJ2491" s="60"/>
      <c r="DXK2491" s="58"/>
      <c r="DXL2491" s="58"/>
      <c r="DXM2491" s="58"/>
      <c r="DXN2491" s="61"/>
      <c r="DXO2491" s="58"/>
      <c r="DXP2491" s="58"/>
      <c r="DXQ2491" s="58"/>
      <c r="DXR2491" s="60"/>
      <c r="DXS2491" s="58"/>
      <c r="DXT2491" s="58"/>
      <c r="DXU2491" s="58"/>
      <c r="DXV2491" s="61"/>
      <c r="DXW2491" s="58"/>
      <c r="DXX2491" s="58"/>
      <c r="DXY2491" s="58"/>
      <c r="DXZ2491" s="60"/>
      <c r="DYA2491" s="58"/>
      <c r="DYB2491" s="58"/>
      <c r="DYC2491" s="58"/>
      <c r="DYD2491" s="61"/>
      <c r="DYE2491" s="58"/>
      <c r="DYF2491" s="58"/>
      <c r="DYG2491" s="58"/>
      <c r="DYH2491" s="60"/>
      <c r="DYI2491" s="58"/>
      <c r="DYJ2491" s="58"/>
      <c r="DYK2491" s="58"/>
      <c r="DYL2491" s="61"/>
      <c r="DYM2491" s="58"/>
      <c r="DYN2491" s="58"/>
      <c r="DYO2491" s="58"/>
      <c r="DYP2491" s="60"/>
      <c r="DYQ2491" s="58"/>
      <c r="DYR2491" s="58"/>
      <c r="DYS2491" s="58"/>
      <c r="DYT2491" s="61"/>
      <c r="DYU2491" s="58"/>
      <c r="DYV2491" s="58"/>
      <c r="DYW2491" s="58"/>
      <c r="DYX2491" s="60"/>
      <c r="DYY2491" s="58"/>
      <c r="DYZ2491" s="58"/>
      <c r="DZA2491" s="58"/>
      <c r="DZB2491" s="61"/>
      <c r="DZC2491" s="58"/>
      <c r="DZD2491" s="58"/>
      <c r="DZE2491" s="58"/>
      <c r="DZF2491" s="60"/>
      <c r="DZG2491" s="58"/>
      <c r="DZH2491" s="58"/>
      <c r="DZI2491" s="58"/>
      <c r="DZJ2491" s="61"/>
      <c r="DZK2491" s="58"/>
      <c r="DZL2491" s="58"/>
      <c r="DZM2491" s="58"/>
      <c r="DZN2491" s="60"/>
      <c r="DZO2491" s="58"/>
      <c r="DZP2491" s="58"/>
      <c r="DZQ2491" s="58"/>
      <c r="DZR2491" s="61"/>
      <c r="DZS2491" s="58"/>
      <c r="DZT2491" s="58"/>
      <c r="DZU2491" s="58"/>
      <c r="DZV2491" s="60"/>
      <c r="DZW2491" s="58"/>
      <c r="DZX2491" s="58"/>
      <c r="DZY2491" s="58"/>
      <c r="DZZ2491" s="61"/>
      <c r="EAA2491" s="58"/>
      <c r="EAB2491" s="58"/>
      <c r="EAC2491" s="58"/>
      <c r="EAD2491" s="60"/>
      <c r="EAE2491" s="58"/>
      <c r="EAF2491" s="58"/>
      <c r="EAG2491" s="58"/>
      <c r="EAH2491" s="61"/>
      <c r="EAI2491" s="58"/>
      <c r="EAJ2491" s="58"/>
      <c r="EAK2491" s="58"/>
      <c r="EAL2491" s="60"/>
      <c r="EAM2491" s="58"/>
      <c r="EAN2491" s="58"/>
      <c r="EAO2491" s="58"/>
      <c r="EAP2491" s="61"/>
      <c r="EAQ2491" s="58"/>
      <c r="EAR2491" s="58"/>
      <c r="EAS2491" s="58"/>
      <c r="EAT2491" s="60"/>
      <c r="EAU2491" s="58"/>
      <c r="EAV2491" s="58"/>
      <c r="EAW2491" s="58"/>
      <c r="EAX2491" s="61"/>
      <c r="EAY2491" s="58"/>
      <c r="EAZ2491" s="58"/>
      <c r="EBA2491" s="58"/>
      <c r="EBB2491" s="60"/>
      <c r="EBC2491" s="58"/>
      <c r="EBD2491" s="58"/>
      <c r="EBE2491" s="58"/>
      <c r="EBF2491" s="61"/>
      <c r="EBG2491" s="58"/>
      <c r="EBH2491" s="58"/>
      <c r="EBI2491" s="58"/>
      <c r="EBJ2491" s="60"/>
      <c r="EBK2491" s="58"/>
      <c r="EBL2491" s="58"/>
      <c r="EBM2491" s="58"/>
      <c r="EBN2491" s="61"/>
      <c r="EBO2491" s="58"/>
      <c r="EBP2491" s="58"/>
      <c r="EBQ2491" s="58"/>
      <c r="EBR2491" s="60"/>
      <c r="EBS2491" s="58"/>
      <c r="EBT2491" s="58"/>
      <c r="EBU2491" s="58"/>
      <c r="EBV2491" s="61"/>
      <c r="EBW2491" s="58"/>
      <c r="EBX2491" s="58"/>
      <c r="EBY2491" s="58"/>
      <c r="EBZ2491" s="60"/>
      <c r="ECA2491" s="58"/>
      <c r="ECB2491" s="58"/>
      <c r="ECC2491" s="58"/>
      <c r="ECD2491" s="61"/>
      <c r="ECE2491" s="58"/>
      <c r="ECF2491" s="58"/>
      <c r="ECG2491" s="58"/>
      <c r="ECH2491" s="60"/>
      <c r="ECI2491" s="58"/>
      <c r="ECJ2491" s="58"/>
      <c r="ECK2491" s="58"/>
      <c r="ECL2491" s="61"/>
      <c r="ECM2491" s="58"/>
      <c r="ECN2491" s="58"/>
      <c r="ECO2491" s="58"/>
      <c r="ECP2491" s="60"/>
      <c r="ECQ2491" s="58"/>
      <c r="ECR2491" s="58"/>
      <c r="ECS2491" s="58"/>
      <c r="ECT2491" s="61"/>
      <c r="ECU2491" s="58"/>
      <c r="ECV2491" s="58"/>
      <c r="ECW2491" s="58"/>
      <c r="ECX2491" s="60"/>
      <c r="ECY2491" s="58"/>
      <c r="ECZ2491" s="58"/>
      <c r="EDA2491" s="58"/>
      <c r="EDB2491" s="61"/>
      <c r="EDC2491" s="58"/>
      <c r="EDD2491" s="58"/>
      <c r="EDE2491" s="58"/>
      <c r="EDF2491" s="60"/>
      <c r="EDG2491" s="58"/>
      <c r="EDH2491" s="58"/>
      <c r="EDI2491" s="58"/>
      <c r="EDJ2491" s="61"/>
      <c r="EDK2491" s="58"/>
      <c r="EDL2491" s="58"/>
      <c r="EDM2491" s="58"/>
      <c r="EDN2491" s="60"/>
      <c r="EDO2491" s="58"/>
      <c r="EDP2491" s="58"/>
      <c r="EDQ2491" s="58"/>
      <c r="EDR2491" s="61"/>
      <c r="EDS2491" s="58"/>
      <c r="EDT2491" s="58"/>
      <c r="EDU2491" s="58"/>
      <c r="EDV2491" s="60"/>
      <c r="EDW2491" s="58"/>
      <c r="EDX2491" s="58"/>
      <c r="EDY2491" s="58"/>
      <c r="EDZ2491" s="61"/>
      <c r="EEA2491" s="58"/>
      <c r="EEB2491" s="58"/>
      <c r="EEC2491" s="58"/>
      <c r="EED2491" s="60"/>
      <c r="EEE2491" s="58"/>
      <c r="EEF2491" s="58"/>
      <c r="EEG2491" s="58"/>
      <c r="EEH2491" s="61"/>
      <c r="EEI2491" s="58"/>
      <c r="EEJ2491" s="58"/>
      <c r="EEK2491" s="58"/>
      <c r="EEL2491" s="60"/>
      <c r="EEM2491" s="58"/>
      <c r="EEN2491" s="58"/>
      <c r="EEO2491" s="58"/>
      <c r="EEP2491" s="61"/>
      <c r="EEQ2491" s="58"/>
      <c r="EER2491" s="58"/>
      <c r="EES2491" s="58"/>
      <c r="EET2491" s="60"/>
      <c r="EEU2491" s="58"/>
      <c r="EEV2491" s="58"/>
      <c r="EEW2491" s="58"/>
      <c r="EEX2491" s="61"/>
      <c r="EEY2491" s="58"/>
      <c r="EEZ2491" s="58"/>
      <c r="EFA2491" s="58"/>
      <c r="EFB2491" s="60"/>
      <c r="EFC2491" s="58"/>
      <c r="EFD2491" s="58"/>
      <c r="EFE2491" s="58"/>
      <c r="EFF2491" s="61"/>
      <c r="EFG2491" s="58"/>
      <c r="EFH2491" s="58"/>
      <c r="EFI2491" s="58"/>
      <c r="EFJ2491" s="60"/>
      <c r="EFK2491" s="58"/>
      <c r="EFL2491" s="58"/>
      <c r="EFM2491" s="58"/>
      <c r="EFN2491" s="61"/>
      <c r="EFO2491" s="58"/>
      <c r="EFP2491" s="58"/>
      <c r="EFQ2491" s="58"/>
      <c r="EFR2491" s="60"/>
      <c r="EFS2491" s="58"/>
      <c r="EFT2491" s="58"/>
      <c r="EFU2491" s="58"/>
      <c r="EFV2491" s="61"/>
      <c r="EFW2491" s="58"/>
      <c r="EFX2491" s="58"/>
      <c r="EFY2491" s="58"/>
      <c r="EFZ2491" s="60"/>
      <c r="EGA2491" s="58"/>
      <c r="EGB2491" s="58"/>
      <c r="EGC2491" s="58"/>
      <c r="EGD2491" s="61"/>
      <c r="EGE2491" s="58"/>
      <c r="EGF2491" s="58"/>
      <c r="EGG2491" s="58"/>
      <c r="EGH2491" s="60"/>
      <c r="EGI2491" s="58"/>
      <c r="EGJ2491" s="58"/>
      <c r="EGK2491" s="58"/>
      <c r="EGL2491" s="61"/>
      <c r="EGM2491" s="58"/>
      <c r="EGN2491" s="58"/>
      <c r="EGO2491" s="58"/>
      <c r="EGP2491" s="60"/>
      <c r="EGQ2491" s="58"/>
      <c r="EGR2491" s="58"/>
      <c r="EGS2491" s="58"/>
      <c r="EGT2491" s="61"/>
      <c r="EGU2491" s="58"/>
      <c r="EGV2491" s="58"/>
      <c r="EGW2491" s="58"/>
      <c r="EGX2491" s="60"/>
      <c r="EGY2491" s="58"/>
      <c r="EGZ2491" s="58"/>
      <c r="EHA2491" s="58"/>
      <c r="EHB2491" s="61"/>
      <c r="EHC2491" s="58"/>
      <c r="EHD2491" s="58"/>
      <c r="EHE2491" s="58"/>
      <c r="EHF2491" s="60"/>
      <c r="EHG2491" s="58"/>
      <c r="EHH2491" s="58"/>
      <c r="EHI2491" s="58"/>
      <c r="EHJ2491" s="61"/>
      <c r="EHK2491" s="58"/>
      <c r="EHL2491" s="58"/>
      <c r="EHM2491" s="58"/>
      <c r="EHN2491" s="60"/>
      <c r="EHO2491" s="58"/>
      <c r="EHP2491" s="58"/>
      <c r="EHQ2491" s="58"/>
      <c r="EHR2491" s="61"/>
      <c r="EHS2491" s="58"/>
      <c r="EHT2491" s="58"/>
      <c r="EHU2491" s="58"/>
      <c r="EHV2491" s="60"/>
      <c r="EHW2491" s="58"/>
      <c r="EHX2491" s="58"/>
      <c r="EHY2491" s="58"/>
      <c r="EHZ2491" s="61"/>
      <c r="EIA2491" s="58"/>
      <c r="EIB2491" s="58"/>
      <c r="EIC2491" s="58"/>
      <c r="EID2491" s="60"/>
      <c r="EIE2491" s="58"/>
      <c r="EIF2491" s="58"/>
      <c r="EIG2491" s="58"/>
      <c r="EIH2491" s="61"/>
      <c r="EII2491" s="58"/>
      <c r="EIJ2491" s="58"/>
      <c r="EIK2491" s="58"/>
      <c r="EIL2491" s="60"/>
      <c r="EIM2491" s="58"/>
      <c r="EIN2491" s="58"/>
      <c r="EIO2491" s="58"/>
      <c r="EIP2491" s="61"/>
      <c r="EIQ2491" s="58"/>
      <c r="EIR2491" s="58"/>
      <c r="EIS2491" s="58"/>
      <c r="EIT2491" s="60"/>
      <c r="EIU2491" s="58"/>
      <c r="EIV2491" s="58"/>
      <c r="EIW2491" s="58"/>
      <c r="EIX2491" s="61"/>
      <c r="EIY2491" s="58"/>
      <c r="EIZ2491" s="58"/>
      <c r="EJA2491" s="58"/>
      <c r="EJB2491" s="60"/>
      <c r="EJC2491" s="58"/>
      <c r="EJD2491" s="58"/>
      <c r="EJE2491" s="58"/>
      <c r="EJF2491" s="61"/>
      <c r="EJG2491" s="58"/>
      <c r="EJH2491" s="58"/>
      <c r="EJI2491" s="58"/>
      <c r="EJJ2491" s="60"/>
      <c r="EJK2491" s="58"/>
      <c r="EJL2491" s="58"/>
      <c r="EJM2491" s="58"/>
      <c r="EJN2491" s="61"/>
      <c r="EJO2491" s="58"/>
      <c r="EJP2491" s="58"/>
      <c r="EJQ2491" s="58"/>
      <c r="EJR2491" s="60"/>
      <c r="EJS2491" s="58"/>
      <c r="EJT2491" s="58"/>
      <c r="EJU2491" s="58"/>
      <c r="EJV2491" s="61"/>
      <c r="EJW2491" s="58"/>
      <c r="EJX2491" s="58"/>
      <c r="EJY2491" s="58"/>
      <c r="EJZ2491" s="60"/>
      <c r="EKA2491" s="58"/>
      <c r="EKB2491" s="58"/>
      <c r="EKC2491" s="58"/>
      <c r="EKD2491" s="61"/>
      <c r="EKE2491" s="58"/>
      <c r="EKF2491" s="58"/>
      <c r="EKG2491" s="58"/>
      <c r="EKH2491" s="60"/>
      <c r="EKI2491" s="58"/>
      <c r="EKJ2491" s="58"/>
      <c r="EKK2491" s="58"/>
      <c r="EKL2491" s="61"/>
      <c r="EKM2491" s="58"/>
      <c r="EKN2491" s="58"/>
      <c r="EKO2491" s="58"/>
      <c r="EKP2491" s="60"/>
      <c r="EKQ2491" s="58"/>
      <c r="EKR2491" s="58"/>
      <c r="EKS2491" s="58"/>
      <c r="EKT2491" s="61"/>
      <c r="EKU2491" s="58"/>
      <c r="EKV2491" s="58"/>
      <c r="EKW2491" s="58"/>
      <c r="EKX2491" s="60"/>
      <c r="EKY2491" s="58"/>
      <c r="EKZ2491" s="58"/>
      <c r="ELA2491" s="58"/>
      <c r="ELB2491" s="61"/>
      <c r="ELC2491" s="58"/>
      <c r="ELD2491" s="58"/>
      <c r="ELE2491" s="58"/>
      <c r="ELF2491" s="60"/>
      <c r="ELG2491" s="58"/>
      <c r="ELH2491" s="58"/>
      <c r="ELI2491" s="58"/>
      <c r="ELJ2491" s="61"/>
      <c r="ELK2491" s="58"/>
      <c r="ELL2491" s="58"/>
      <c r="ELM2491" s="58"/>
      <c r="ELN2491" s="60"/>
      <c r="ELO2491" s="58"/>
      <c r="ELP2491" s="58"/>
      <c r="ELQ2491" s="58"/>
      <c r="ELR2491" s="61"/>
      <c r="ELS2491" s="58"/>
      <c r="ELT2491" s="58"/>
      <c r="ELU2491" s="58"/>
      <c r="ELV2491" s="60"/>
      <c r="ELW2491" s="58"/>
      <c r="ELX2491" s="58"/>
      <c r="ELY2491" s="58"/>
      <c r="ELZ2491" s="61"/>
      <c r="EMA2491" s="58"/>
      <c r="EMB2491" s="58"/>
      <c r="EMC2491" s="58"/>
      <c r="EMD2491" s="60"/>
      <c r="EME2491" s="58"/>
      <c r="EMF2491" s="58"/>
      <c r="EMG2491" s="58"/>
      <c r="EMH2491" s="61"/>
      <c r="EMI2491" s="58"/>
      <c r="EMJ2491" s="58"/>
      <c r="EMK2491" s="58"/>
      <c r="EML2491" s="60"/>
      <c r="EMM2491" s="58"/>
      <c r="EMN2491" s="58"/>
      <c r="EMO2491" s="58"/>
      <c r="EMP2491" s="61"/>
      <c r="EMQ2491" s="58"/>
      <c r="EMR2491" s="58"/>
      <c r="EMS2491" s="58"/>
      <c r="EMT2491" s="60"/>
      <c r="EMU2491" s="58"/>
      <c r="EMV2491" s="58"/>
      <c r="EMW2491" s="58"/>
      <c r="EMX2491" s="61"/>
      <c r="EMY2491" s="58"/>
      <c r="EMZ2491" s="58"/>
      <c r="ENA2491" s="58"/>
      <c r="ENB2491" s="60"/>
      <c r="ENC2491" s="58"/>
      <c r="END2491" s="58"/>
      <c r="ENE2491" s="58"/>
      <c r="ENF2491" s="61"/>
      <c r="ENG2491" s="58"/>
      <c r="ENH2491" s="58"/>
      <c r="ENI2491" s="58"/>
      <c r="ENJ2491" s="60"/>
      <c r="ENK2491" s="58"/>
      <c r="ENL2491" s="58"/>
      <c r="ENM2491" s="58"/>
      <c r="ENN2491" s="61"/>
      <c r="ENO2491" s="58"/>
      <c r="ENP2491" s="58"/>
      <c r="ENQ2491" s="58"/>
      <c r="ENR2491" s="60"/>
      <c r="ENS2491" s="58"/>
      <c r="ENT2491" s="58"/>
      <c r="ENU2491" s="58"/>
      <c r="ENV2491" s="61"/>
      <c r="ENW2491" s="58"/>
      <c r="ENX2491" s="58"/>
      <c r="ENY2491" s="58"/>
      <c r="ENZ2491" s="60"/>
      <c r="EOA2491" s="58"/>
      <c r="EOB2491" s="58"/>
      <c r="EOC2491" s="58"/>
      <c r="EOD2491" s="61"/>
      <c r="EOE2491" s="58"/>
      <c r="EOF2491" s="58"/>
      <c r="EOG2491" s="58"/>
      <c r="EOH2491" s="60"/>
      <c r="EOI2491" s="58"/>
      <c r="EOJ2491" s="58"/>
      <c r="EOK2491" s="58"/>
      <c r="EOL2491" s="61"/>
      <c r="EOM2491" s="58"/>
      <c r="EON2491" s="58"/>
      <c r="EOO2491" s="58"/>
      <c r="EOP2491" s="60"/>
      <c r="EOQ2491" s="58"/>
      <c r="EOR2491" s="58"/>
      <c r="EOS2491" s="58"/>
      <c r="EOT2491" s="61"/>
      <c r="EOU2491" s="58"/>
      <c r="EOV2491" s="58"/>
      <c r="EOW2491" s="58"/>
      <c r="EOX2491" s="60"/>
      <c r="EOY2491" s="58"/>
      <c r="EOZ2491" s="58"/>
      <c r="EPA2491" s="58"/>
      <c r="EPB2491" s="61"/>
      <c r="EPC2491" s="58"/>
      <c r="EPD2491" s="58"/>
      <c r="EPE2491" s="58"/>
      <c r="EPF2491" s="60"/>
      <c r="EPG2491" s="58"/>
      <c r="EPH2491" s="58"/>
      <c r="EPI2491" s="58"/>
      <c r="EPJ2491" s="61"/>
      <c r="EPK2491" s="58"/>
      <c r="EPL2491" s="58"/>
      <c r="EPM2491" s="58"/>
      <c r="EPN2491" s="60"/>
      <c r="EPO2491" s="58"/>
      <c r="EPP2491" s="58"/>
      <c r="EPQ2491" s="58"/>
      <c r="EPR2491" s="61"/>
      <c r="EPS2491" s="58"/>
      <c r="EPT2491" s="58"/>
      <c r="EPU2491" s="58"/>
      <c r="EPV2491" s="60"/>
      <c r="EPW2491" s="58"/>
      <c r="EPX2491" s="58"/>
      <c r="EPY2491" s="58"/>
      <c r="EPZ2491" s="61"/>
      <c r="EQA2491" s="58"/>
      <c r="EQB2491" s="58"/>
      <c r="EQC2491" s="58"/>
      <c r="EQD2491" s="60"/>
      <c r="EQE2491" s="58"/>
      <c r="EQF2491" s="58"/>
      <c r="EQG2491" s="58"/>
      <c r="EQH2491" s="61"/>
      <c r="EQI2491" s="58"/>
      <c r="EQJ2491" s="58"/>
      <c r="EQK2491" s="58"/>
      <c r="EQL2491" s="60"/>
      <c r="EQM2491" s="58"/>
      <c r="EQN2491" s="58"/>
      <c r="EQO2491" s="58"/>
      <c r="EQP2491" s="61"/>
      <c r="EQQ2491" s="58"/>
      <c r="EQR2491" s="58"/>
      <c r="EQS2491" s="58"/>
      <c r="EQT2491" s="60"/>
      <c r="EQU2491" s="58"/>
      <c r="EQV2491" s="58"/>
      <c r="EQW2491" s="58"/>
      <c r="EQX2491" s="61"/>
      <c r="EQY2491" s="58"/>
      <c r="EQZ2491" s="58"/>
      <c r="ERA2491" s="58"/>
      <c r="ERB2491" s="60"/>
      <c r="ERC2491" s="58"/>
      <c r="ERD2491" s="58"/>
      <c r="ERE2491" s="58"/>
      <c r="ERF2491" s="61"/>
      <c r="ERG2491" s="58"/>
      <c r="ERH2491" s="58"/>
      <c r="ERI2491" s="58"/>
      <c r="ERJ2491" s="60"/>
      <c r="ERK2491" s="58"/>
      <c r="ERL2491" s="58"/>
      <c r="ERM2491" s="58"/>
      <c r="ERN2491" s="61"/>
      <c r="ERO2491" s="58"/>
      <c r="ERP2491" s="58"/>
      <c r="ERQ2491" s="58"/>
      <c r="ERR2491" s="60"/>
      <c r="ERS2491" s="58"/>
      <c r="ERT2491" s="58"/>
      <c r="ERU2491" s="58"/>
      <c r="ERV2491" s="61"/>
      <c r="ERW2491" s="58"/>
      <c r="ERX2491" s="58"/>
      <c r="ERY2491" s="58"/>
      <c r="ERZ2491" s="60"/>
      <c r="ESA2491" s="58"/>
      <c r="ESB2491" s="58"/>
      <c r="ESC2491" s="58"/>
      <c r="ESD2491" s="61"/>
      <c r="ESE2491" s="58"/>
      <c r="ESF2491" s="58"/>
      <c r="ESG2491" s="58"/>
      <c r="ESH2491" s="60"/>
      <c r="ESI2491" s="58"/>
      <c r="ESJ2491" s="58"/>
      <c r="ESK2491" s="58"/>
      <c r="ESL2491" s="61"/>
      <c r="ESM2491" s="58"/>
      <c r="ESN2491" s="58"/>
      <c r="ESO2491" s="58"/>
      <c r="ESP2491" s="60"/>
      <c r="ESQ2491" s="58"/>
      <c r="ESR2491" s="58"/>
      <c r="ESS2491" s="58"/>
      <c r="EST2491" s="61"/>
      <c r="ESU2491" s="58"/>
      <c r="ESV2491" s="58"/>
      <c r="ESW2491" s="58"/>
      <c r="ESX2491" s="60"/>
      <c r="ESY2491" s="58"/>
      <c r="ESZ2491" s="58"/>
      <c r="ETA2491" s="58"/>
      <c r="ETB2491" s="61"/>
      <c r="ETC2491" s="58"/>
      <c r="ETD2491" s="58"/>
      <c r="ETE2491" s="58"/>
      <c r="ETF2491" s="60"/>
      <c r="ETG2491" s="58"/>
      <c r="ETH2491" s="58"/>
      <c r="ETI2491" s="58"/>
      <c r="ETJ2491" s="61"/>
      <c r="ETK2491" s="58"/>
      <c r="ETL2491" s="58"/>
      <c r="ETM2491" s="58"/>
      <c r="ETN2491" s="60"/>
      <c r="ETO2491" s="58"/>
      <c r="ETP2491" s="58"/>
      <c r="ETQ2491" s="58"/>
      <c r="ETR2491" s="61"/>
      <c r="ETS2491" s="58"/>
      <c r="ETT2491" s="58"/>
      <c r="ETU2491" s="58"/>
      <c r="ETV2491" s="60"/>
      <c r="ETW2491" s="58"/>
      <c r="ETX2491" s="58"/>
      <c r="ETY2491" s="58"/>
      <c r="ETZ2491" s="61"/>
      <c r="EUA2491" s="58"/>
      <c r="EUB2491" s="58"/>
      <c r="EUC2491" s="58"/>
      <c r="EUD2491" s="60"/>
      <c r="EUE2491" s="58"/>
      <c r="EUF2491" s="58"/>
      <c r="EUG2491" s="58"/>
      <c r="EUH2491" s="61"/>
      <c r="EUI2491" s="58"/>
      <c r="EUJ2491" s="58"/>
      <c r="EUK2491" s="58"/>
      <c r="EUL2491" s="60"/>
      <c r="EUM2491" s="58"/>
      <c r="EUN2491" s="58"/>
      <c r="EUO2491" s="58"/>
      <c r="EUP2491" s="61"/>
      <c r="EUQ2491" s="58"/>
      <c r="EUR2491" s="58"/>
      <c r="EUS2491" s="58"/>
      <c r="EUT2491" s="60"/>
      <c r="EUU2491" s="58"/>
      <c r="EUV2491" s="58"/>
      <c r="EUW2491" s="58"/>
      <c r="EUX2491" s="61"/>
      <c r="EUY2491" s="58"/>
      <c r="EUZ2491" s="58"/>
      <c r="EVA2491" s="58"/>
      <c r="EVB2491" s="60"/>
      <c r="EVC2491" s="58"/>
      <c r="EVD2491" s="58"/>
      <c r="EVE2491" s="58"/>
      <c r="EVF2491" s="61"/>
      <c r="EVG2491" s="58"/>
      <c r="EVH2491" s="58"/>
      <c r="EVI2491" s="58"/>
      <c r="EVJ2491" s="60"/>
      <c r="EVK2491" s="58"/>
      <c r="EVL2491" s="58"/>
      <c r="EVM2491" s="58"/>
      <c r="EVN2491" s="61"/>
      <c r="EVO2491" s="58"/>
      <c r="EVP2491" s="58"/>
      <c r="EVQ2491" s="58"/>
      <c r="EVR2491" s="60"/>
      <c r="EVS2491" s="58"/>
      <c r="EVT2491" s="58"/>
      <c r="EVU2491" s="58"/>
      <c r="EVV2491" s="61"/>
      <c r="EVW2491" s="58"/>
      <c r="EVX2491" s="58"/>
      <c r="EVY2491" s="58"/>
      <c r="EVZ2491" s="60"/>
      <c r="EWA2491" s="58"/>
      <c r="EWB2491" s="58"/>
      <c r="EWC2491" s="58"/>
      <c r="EWD2491" s="61"/>
      <c r="EWE2491" s="58"/>
      <c r="EWF2491" s="58"/>
      <c r="EWG2491" s="58"/>
      <c r="EWH2491" s="60"/>
      <c r="EWI2491" s="58"/>
      <c r="EWJ2491" s="58"/>
      <c r="EWK2491" s="58"/>
      <c r="EWL2491" s="61"/>
      <c r="EWM2491" s="58"/>
      <c r="EWN2491" s="58"/>
      <c r="EWO2491" s="58"/>
      <c r="EWP2491" s="60"/>
      <c r="EWQ2491" s="58"/>
      <c r="EWR2491" s="58"/>
      <c r="EWS2491" s="58"/>
      <c r="EWT2491" s="61"/>
      <c r="EWU2491" s="58"/>
      <c r="EWV2491" s="58"/>
      <c r="EWW2491" s="58"/>
      <c r="EWX2491" s="60"/>
      <c r="EWY2491" s="58"/>
      <c r="EWZ2491" s="58"/>
      <c r="EXA2491" s="58"/>
      <c r="EXB2491" s="61"/>
      <c r="EXC2491" s="58"/>
      <c r="EXD2491" s="58"/>
      <c r="EXE2491" s="58"/>
      <c r="EXF2491" s="60"/>
      <c r="EXG2491" s="58"/>
      <c r="EXH2491" s="58"/>
      <c r="EXI2491" s="58"/>
      <c r="EXJ2491" s="61"/>
      <c r="EXK2491" s="58"/>
      <c r="EXL2491" s="58"/>
      <c r="EXM2491" s="58"/>
      <c r="EXN2491" s="60"/>
      <c r="EXO2491" s="58"/>
      <c r="EXP2491" s="58"/>
      <c r="EXQ2491" s="58"/>
      <c r="EXR2491" s="61"/>
      <c r="EXS2491" s="58"/>
      <c r="EXT2491" s="58"/>
      <c r="EXU2491" s="58"/>
      <c r="EXV2491" s="60"/>
      <c r="EXW2491" s="58"/>
      <c r="EXX2491" s="58"/>
      <c r="EXY2491" s="58"/>
      <c r="EXZ2491" s="61"/>
      <c r="EYA2491" s="58"/>
      <c r="EYB2491" s="58"/>
      <c r="EYC2491" s="58"/>
      <c r="EYD2491" s="60"/>
      <c r="EYE2491" s="58"/>
      <c r="EYF2491" s="58"/>
      <c r="EYG2491" s="58"/>
      <c r="EYH2491" s="61"/>
      <c r="EYI2491" s="58"/>
      <c r="EYJ2491" s="58"/>
      <c r="EYK2491" s="58"/>
      <c r="EYL2491" s="60"/>
      <c r="EYM2491" s="58"/>
      <c r="EYN2491" s="58"/>
      <c r="EYO2491" s="58"/>
      <c r="EYP2491" s="61"/>
      <c r="EYQ2491" s="58"/>
      <c r="EYR2491" s="58"/>
      <c r="EYS2491" s="58"/>
      <c r="EYT2491" s="60"/>
      <c r="EYU2491" s="58"/>
      <c r="EYV2491" s="58"/>
      <c r="EYW2491" s="58"/>
      <c r="EYX2491" s="61"/>
      <c r="EYY2491" s="58"/>
      <c r="EYZ2491" s="58"/>
      <c r="EZA2491" s="58"/>
      <c r="EZB2491" s="60"/>
      <c r="EZC2491" s="58"/>
      <c r="EZD2491" s="58"/>
      <c r="EZE2491" s="58"/>
      <c r="EZF2491" s="61"/>
      <c r="EZG2491" s="58"/>
      <c r="EZH2491" s="58"/>
      <c r="EZI2491" s="58"/>
      <c r="EZJ2491" s="60"/>
      <c r="EZK2491" s="58"/>
      <c r="EZL2491" s="58"/>
      <c r="EZM2491" s="58"/>
      <c r="EZN2491" s="61"/>
      <c r="EZO2491" s="58"/>
      <c r="EZP2491" s="58"/>
      <c r="EZQ2491" s="58"/>
      <c r="EZR2491" s="60"/>
      <c r="EZS2491" s="58"/>
      <c r="EZT2491" s="58"/>
      <c r="EZU2491" s="58"/>
      <c r="EZV2491" s="61"/>
      <c r="EZW2491" s="58"/>
      <c r="EZX2491" s="58"/>
      <c r="EZY2491" s="58"/>
      <c r="EZZ2491" s="60"/>
      <c r="FAA2491" s="58"/>
      <c r="FAB2491" s="58"/>
      <c r="FAC2491" s="58"/>
      <c r="FAD2491" s="61"/>
      <c r="FAE2491" s="58"/>
      <c r="FAF2491" s="58"/>
      <c r="FAG2491" s="58"/>
      <c r="FAH2491" s="60"/>
      <c r="FAI2491" s="58"/>
      <c r="FAJ2491" s="58"/>
      <c r="FAK2491" s="58"/>
      <c r="FAL2491" s="61"/>
      <c r="FAM2491" s="58"/>
      <c r="FAN2491" s="58"/>
      <c r="FAO2491" s="58"/>
      <c r="FAP2491" s="60"/>
      <c r="FAQ2491" s="58"/>
      <c r="FAR2491" s="58"/>
      <c r="FAS2491" s="58"/>
      <c r="FAT2491" s="61"/>
      <c r="FAU2491" s="58"/>
      <c r="FAV2491" s="58"/>
      <c r="FAW2491" s="58"/>
      <c r="FAX2491" s="60"/>
      <c r="FAY2491" s="58"/>
      <c r="FAZ2491" s="58"/>
      <c r="FBA2491" s="58"/>
      <c r="FBB2491" s="61"/>
      <c r="FBC2491" s="58"/>
      <c r="FBD2491" s="58"/>
      <c r="FBE2491" s="58"/>
      <c r="FBF2491" s="60"/>
      <c r="FBG2491" s="58"/>
      <c r="FBH2491" s="58"/>
      <c r="FBI2491" s="58"/>
      <c r="FBJ2491" s="61"/>
      <c r="FBK2491" s="58"/>
      <c r="FBL2491" s="58"/>
      <c r="FBM2491" s="58"/>
      <c r="FBN2491" s="60"/>
      <c r="FBO2491" s="58"/>
      <c r="FBP2491" s="58"/>
      <c r="FBQ2491" s="58"/>
      <c r="FBR2491" s="61"/>
      <c r="FBS2491" s="58"/>
      <c r="FBT2491" s="58"/>
      <c r="FBU2491" s="58"/>
      <c r="FBV2491" s="60"/>
      <c r="FBW2491" s="58"/>
      <c r="FBX2491" s="58"/>
      <c r="FBY2491" s="58"/>
      <c r="FBZ2491" s="61"/>
      <c r="FCA2491" s="58"/>
      <c r="FCB2491" s="58"/>
      <c r="FCC2491" s="58"/>
      <c r="FCD2491" s="60"/>
      <c r="FCE2491" s="58"/>
      <c r="FCF2491" s="58"/>
      <c r="FCG2491" s="58"/>
      <c r="FCH2491" s="61"/>
      <c r="FCI2491" s="58"/>
      <c r="FCJ2491" s="58"/>
      <c r="FCK2491" s="58"/>
      <c r="FCL2491" s="60"/>
      <c r="FCM2491" s="58"/>
      <c r="FCN2491" s="58"/>
      <c r="FCO2491" s="58"/>
      <c r="FCP2491" s="61"/>
      <c r="FCQ2491" s="58"/>
      <c r="FCR2491" s="58"/>
      <c r="FCS2491" s="58"/>
      <c r="FCT2491" s="60"/>
      <c r="FCU2491" s="58"/>
      <c r="FCV2491" s="58"/>
      <c r="FCW2491" s="58"/>
      <c r="FCX2491" s="61"/>
      <c r="FCY2491" s="58"/>
      <c r="FCZ2491" s="58"/>
      <c r="FDA2491" s="58"/>
      <c r="FDB2491" s="60"/>
      <c r="FDC2491" s="58"/>
      <c r="FDD2491" s="58"/>
      <c r="FDE2491" s="58"/>
      <c r="FDF2491" s="61"/>
      <c r="FDG2491" s="58"/>
      <c r="FDH2491" s="58"/>
      <c r="FDI2491" s="58"/>
      <c r="FDJ2491" s="60"/>
      <c r="FDK2491" s="58"/>
      <c r="FDL2491" s="58"/>
      <c r="FDM2491" s="58"/>
      <c r="FDN2491" s="61"/>
      <c r="FDO2491" s="58"/>
      <c r="FDP2491" s="58"/>
      <c r="FDQ2491" s="58"/>
      <c r="FDR2491" s="60"/>
      <c r="FDS2491" s="58"/>
      <c r="FDT2491" s="58"/>
      <c r="FDU2491" s="58"/>
      <c r="FDV2491" s="61"/>
      <c r="FDW2491" s="58"/>
      <c r="FDX2491" s="58"/>
      <c r="FDY2491" s="58"/>
      <c r="FDZ2491" s="60"/>
      <c r="FEA2491" s="58"/>
      <c r="FEB2491" s="58"/>
      <c r="FEC2491" s="58"/>
      <c r="FED2491" s="61"/>
      <c r="FEE2491" s="58"/>
      <c r="FEF2491" s="58"/>
      <c r="FEG2491" s="58"/>
      <c r="FEH2491" s="60"/>
      <c r="FEI2491" s="58"/>
      <c r="FEJ2491" s="58"/>
      <c r="FEK2491" s="58"/>
      <c r="FEL2491" s="61"/>
      <c r="FEM2491" s="58"/>
      <c r="FEN2491" s="58"/>
      <c r="FEO2491" s="58"/>
      <c r="FEP2491" s="60"/>
      <c r="FEQ2491" s="58"/>
      <c r="FER2491" s="58"/>
      <c r="FES2491" s="58"/>
      <c r="FET2491" s="61"/>
      <c r="FEU2491" s="58"/>
      <c r="FEV2491" s="58"/>
      <c r="FEW2491" s="58"/>
      <c r="FEX2491" s="60"/>
      <c r="FEY2491" s="58"/>
      <c r="FEZ2491" s="58"/>
      <c r="FFA2491" s="58"/>
      <c r="FFB2491" s="61"/>
      <c r="FFC2491" s="58"/>
      <c r="FFD2491" s="58"/>
      <c r="FFE2491" s="58"/>
      <c r="FFF2491" s="60"/>
      <c r="FFG2491" s="58"/>
      <c r="FFH2491" s="58"/>
      <c r="FFI2491" s="58"/>
      <c r="FFJ2491" s="61"/>
      <c r="FFK2491" s="58"/>
      <c r="FFL2491" s="58"/>
      <c r="FFM2491" s="58"/>
      <c r="FFN2491" s="60"/>
      <c r="FFO2491" s="58"/>
      <c r="FFP2491" s="58"/>
      <c r="FFQ2491" s="58"/>
      <c r="FFR2491" s="61"/>
      <c r="FFS2491" s="58"/>
      <c r="FFT2491" s="58"/>
      <c r="FFU2491" s="58"/>
      <c r="FFV2491" s="60"/>
      <c r="FFW2491" s="58"/>
      <c r="FFX2491" s="58"/>
      <c r="FFY2491" s="58"/>
      <c r="FFZ2491" s="61"/>
      <c r="FGA2491" s="58"/>
      <c r="FGB2491" s="58"/>
      <c r="FGC2491" s="58"/>
      <c r="FGD2491" s="60"/>
      <c r="FGE2491" s="58"/>
      <c r="FGF2491" s="58"/>
      <c r="FGG2491" s="58"/>
      <c r="FGH2491" s="61"/>
      <c r="FGI2491" s="58"/>
      <c r="FGJ2491" s="58"/>
      <c r="FGK2491" s="58"/>
      <c r="FGL2491" s="60"/>
      <c r="FGM2491" s="58"/>
      <c r="FGN2491" s="58"/>
      <c r="FGO2491" s="58"/>
      <c r="FGP2491" s="61"/>
      <c r="FGQ2491" s="58"/>
      <c r="FGR2491" s="58"/>
      <c r="FGS2491" s="58"/>
      <c r="FGT2491" s="60"/>
      <c r="FGU2491" s="58"/>
      <c r="FGV2491" s="58"/>
      <c r="FGW2491" s="58"/>
      <c r="FGX2491" s="61"/>
      <c r="FGY2491" s="58"/>
      <c r="FGZ2491" s="58"/>
      <c r="FHA2491" s="58"/>
      <c r="FHB2491" s="60"/>
      <c r="FHC2491" s="58"/>
      <c r="FHD2491" s="58"/>
      <c r="FHE2491" s="58"/>
      <c r="FHF2491" s="61"/>
      <c r="FHG2491" s="58"/>
      <c r="FHH2491" s="58"/>
      <c r="FHI2491" s="58"/>
      <c r="FHJ2491" s="60"/>
      <c r="FHK2491" s="58"/>
      <c r="FHL2491" s="58"/>
      <c r="FHM2491" s="58"/>
      <c r="FHN2491" s="61"/>
      <c r="FHO2491" s="58"/>
      <c r="FHP2491" s="58"/>
      <c r="FHQ2491" s="58"/>
      <c r="FHR2491" s="60"/>
      <c r="FHS2491" s="58"/>
      <c r="FHT2491" s="58"/>
      <c r="FHU2491" s="58"/>
      <c r="FHV2491" s="61"/>
      <c r="FHW2491" s="58"/>
      <c r="FHX2491" s="58"/>
      <c r="FHY2491" s="58"/>
      <c r="FHZ2491" s="60"/>
      <c r="FIA2491" s="58"/>
      <c r="FIB2491" s="58"/>
      <c r="FIC2491" s="58"/>
      <c r="FID2491" s="61"/>
      <c r="FIE2491" s="58"/>
      <c r="FIF2491" s="58"/>
      <c r="FIG2491" s="58"/>
      <c r="FIH2491" s="60"/>
      <c r="FII2491" s="58"/>
      <c r="FIJ2491" s="58"/>
      <c r="FIK2491" s="58"/>
      <c r="FIL2491" s="61"/>
      <c r="FIM2491" s="58"/>
      <c r="FIN2491" s="58"/>
      <c r="FIO2491" s="58"/>
      <c r="FIP2491" s="60"/>
      <c r="FIQ2491" s="58"/>
      <c r="FIR2491" s="58"/>
      <c r="FIS2491" s="58"/>
      <c r="FIT2491" s="61"/>
      <c r="FIU2491" s="58"/>
      <c r="FIV2491" s="58"/>
      <c r="FIW2491" s="58"/>
      <c r="FIX2491" s="60"/>
      <c r="FIY2491" s="58"/>
      <c r="FIZ2491" s="58"/>
      <c r="FJA2491" s="58"/>
      <c r="FJB2491" s="61"/>
      <c r="FJC2491" s="58"/>
      <c r="FJD2491" s="58"/>
      <c r="FJE2491" s="58"/>
      <c r="FJF2491" s="60"/>
      <c r="FJG2491" s="58"/>
      <c r="FJH2491" s="58"/>
      <c r="FJI2491" s="58"/>
      <c r="FJJ2491" s="61"/>
      <c r="FJK2491" s="58"/>
      <c r="FJL2491" s="58"/>
      <c r="FJM2491" s="58"/>
      <c r="FJN2491" s="60"/>
      <c r="FJO2491" s="58"/>
      <c r="FJP2491" s="58"/>
      <c r="FJQ2491" s="58"/>
      <c r="FJR2491" s="61"/>
      <c r="FJS2491" s="58"/>
      <c r="FJT2491" s="58"/>
      <c r="FJU2491" s="58"/>
      <c r="FJV2491" s="60"/>
      <c r="FJW2491" s="58"/>
      <c r="FJX2491" s="58"/>
      <c r="FJY2491" s="58"/>
      <c r="FJZ2491" s="61"/>
      <c r="FKA2491" s="58"/>
      <c r="FKB2491" s="58"/>
      <c r="FKC2491" s="58"/>
      <c r="FKD2491" s="60"/>
      <c r="FKE2491" s="58"/>
      <c r="FKF2491" s="58"/>
      <c r="FKG2491" s="58"/>
      <c r="FKH2491" s="61"/>
      <c r="FKI2491" s="58"/>
      <c r="FKJ2491" s="58"/>
      <c r="FKK2491" s="58"/>
      <c r="FKL2491" s="60"/>
      <c r="FKM2491" s="58"/>
      <c r="FKN2491" s="58"/>
      <c r="FKO2491" s="58"/>
      <c r="FKP2491" s="61"/>
      <c r="FKQ2491" s="58"/>
      <c r="FKR2491" s="58"/>
      <c r="FKS2491" s="58"/>
      <c r="FKT2491" s="60"/>
      <c r="FKU2491" s="58"/>
      <c r="FKV2491" s="58"/>
      <c r="FKW2491" s="58"/>
      <c r="FKX2491" s="61"/>
      <c r="FKY2491" s="58"/>
      <c r="FKZ2491" s="58"/>
      <c r="FLA2491" s="58"/>
      <c r="FLB2491" s="60"/>
      <c r="FLC2491" s="58"/>
      <c r="FLD2491" s="58"/>
      <c r="FLE2491" s="58"/>
      <c r="FLF2491" s="61"/>
      <c r="FLG2491" s="58"/>
      <c r="FLH2491" s="58"/>
      <c r="FLI2491" s="58"/>
      <c r="FLJ2491" s="60"/>
      <c r="FLK2491" s="58"/>
      <c r="FLL2491" s="58"/>
      <c r="FLM2491" s="58"/>
      <c r="FLN2491" s="61"/>
      <c r="FLO2491" s="58"/>
      <c r="FLP2491" s="58"/>
      <c r="FLQ2491" s="58"/>
      <c r="FLR2491" s="60"/>
      <c r="FLS2491" s="58"/>
      <c r="FLT2491" s="58"/>
      <c r="FLU2491" s="58"/>
      <c r="FLV2491" s="61"/>
      <c r="FLW2491" s="58"/>
      <c r="FLX2491" s="58"/>
      <c r="FLY2491" s="58"/>
      <c r="FLZ2491" s="60"/>
      <c r="FMA2491" s="58"/>
      <c r="FMB2491" s="58"/>
      <c r="FMC2491" s="58"/>
      <c r="FMD2491" s="61"/>
      <c r="FME2491" s="58"/>
      <c r="FMF2491" s="58"/>
      <c r="FMG2491" s="58"/>
      <c r="FMH2491" s="60"/>
      <c r="FMI2491" s="58"/>
      <c r="FMJ2491" s="58"/>
      <c r="FMK2491" s="58"/>
      <c r="FML2491" s="61"/>
      <c r="FMM2491" s="58"/>
      <c r="FMN2491" s="58"/>
      <c r="FMO2491" s="58"/>
      <c r="FMP2491" s="60"/>
      <c r="FMQ2491" s="58"/>
      <c r="FMR2491" s="58"/>
      <c r="FMS2491" s="58"/>
      <c r="FMT2491" s="61"/>
      <c r="FMU2491" s="58"/>
      <c r="FMV2491" s="58"/>
      <c r="FMW2491" s="58"/>
      <c r="FMX2491" s="60"/>
      <c r="FMY2491" s="58"/>
      <c r="FMZ2491" s="58"/>
      <c r="FNA2491" s="58"/>
      <c r="FNB2491" s="61"/>
      <c r="FNC2491" s="58"/>
      <c r="FND2491" s="58"/>
      <c r="FNE2491" s="58"/>
      <c r="FNF2491" s="60"/>
      <c r="FNG2491" s="58"/>
      <c r="FNH2491" s="58"/>
      <c r="FNI2491" s="58"/>
      <c r="FNJ2491" s="61"/>
      <c r="FNK2491" s="58"/>
      <c r="FNL2491" s="58"/>
      <c r="FNM2491" s="58"/>
      <c r="FNN2491" s="60"/>
      <c r="FNO2491" s="58"/>
      <c r="FNP2491" s="58"/>
      <c r="FNQ2491" s="58"/>
      <c r="FNR2491" s="61"/>
      <c r="FNS2491" s="58"/>
      <c r="FNT2491" s="58"/>
      <c r="FNU2491" s="58"/>
      <c r="FNV2491" s="60"/>
      <c r="FNW2491" s="58"/>
      <c r="FNX2491" s="58"/>
      <c r="FNY2491" s="58"/>
      <c r="FNZ2491" s="61"/>
      <c r="FOA2491" s="58"/>
      <c r="FOB2491" s="58"/>
      <c r="FOC2491" s="58"/>
      <c r="FOD2491" s="60"/>
      <c r="FOE2491" s="58"/>
      <c r="FOF2491" s="58"/>
      <c r="FOG2491" s="58"/>
      <c r="FOH2491" s="61"/>
      <c r="FOI2491" s="58"/>
      <c r="FOJ2491" s="58"/>
      <c r="FOK2491" s="58"/>
      <c r="FOL2491" s="60"/>
      <c r="FOM2491" s="58"/>
      <c r="FON2491" s="58"/>
      <c r="FOO2491" s="58"/>
      <c r="FOP2491" s="61"/>
      <c r="FOQ2491" s="58"/>
      <c r="FOR2491" s="58"/>
      <c r="FOS2491" s="58"/>
      <c r="FOT2491" s="60"/>
      <c r="FOU2491" s="58"/>
      <c r="FOV2491" s="58"/>
      <c r="FOW2491" s="58"/>
      <c r="FOX2491" s="61"/>
      <c r="FOY2491" s="58"/>
      <c r="FOZ2491" s="58"/>
      <c r="FPA2491" s="58"/>
      <c r="FPB2491" s="60"/>
      <c r="FPC2491" s="58"/>
      <c r="FPD2491" s="58"/>
      <c r="FPE2491" s="58"/>
      <c r="FPF2491" s="61"/>
      <c r="FPG2491" s="58"/>
      <c r="FPH2491" s="58"/>
      <c r="FPI2491" s="58"/>
      <c r="FPJ2491" s="60"/>
      <c r="FPK2491" s="58"/>
      <c r="FPL2491" s="58"/>
      <c r="FPM2491" s="58"/>
      <c r="FPN2491" s="61"/>
      <c r="FPO2491" s="58"/>
      <c r="FPP2491" s="58"/>
      <c r="FPQ2491" s="58"/>
      <c r="FPR2491" s="60"/>
      <c r="FPS2491" s="58"/>
      <c r="FPT2491" s="58"/>
      <c r="FPU2491" s="58"/>
      <c r="FPV2491" s="61"/>
      <c r="FPW2491" s="58"/>
      <c r="FPX2491" s="58"/>
      <c r="FPY2491" s="58"/>
      <c r="FPZ2491" s="60"/>
      <c r="FQA2491" s="58"/>
      <c r="FQB2491" s="58"/>
      <c r="FQC2491" s="58"/>
      <c r="FQD2491" s="61"/>
      <c r="FQE2491" s="58"/>
      <c r="FQF2491" s="58"/>
      <c r="FQG2491" s="58"/>
      <c r="FQH2491" s="60"/>
      <c r="FQI2491" s="58"/>
      <c r="FQJ2491" s="58"/>
      <c r="FQK2491" s="58"/>
      <c r="FQL2491" s="61"/>
      <c r="FQM2491" s="58"/>
      <c r="FQN2491" s="58"/>
      <c r="FQO2491" s="58"/>
      <c r="FQP2491" s="60"/>
      <c r="FQQ2491" s="58"/>
      <c r="FQR2491" s="58"/>
      <c r="FQS2491" s="58"/>
      <c r="FQT2491" s="61"/>
      <c r="FQU2491" s="58"/>
      <c r="FQV2491" s="58"/>
      <c r="FQW2491" s="58"/>
      <c r="FQX2491" s="60"/>
      <c r="FQY2491" s="58"/>
      <c r="FQZ2491" s="58"/>
      <c r="FRA2491" s="58"/>
      <c r="FRB2491" s="61"/>
      <c r="FRC2491" s="58"/>
      <c r="FRD2491" s="58"/>
      <c r="FRE2491" s="58"/>
      <c r="FRF2491" s="60"/>
      <c r="FRG2491" s="58"/>
      <c r="FRH2491" s="58"/>
      <c r="FRI2491" s="58"/>
      <c r="FRJ2491" s="61"/>
      <c r="FRK2491" s="58"/>
      <c r="FRL2491" s="58"/>
      <c r="FRM2491" s="58"/>
      <c r="FRN2491" s="60"/>
      <c r="FRO2491" s="58"/>
      <c r="FRP2491" s="58"/>
      <c r="FRQ2491" s="58"/>
      <c r="FRR2491" s="61"/>
      <c r="FRS2491" s="58"/>
      <c r="FRT2491" s="58"/>
      <c r="FRU2491" s="58"/>
      <c r="FRV2491" s="60"/>
      <c r="FRW2491" s="58"/>
      <c r="FRX2491" s="58"/>
      <c r="FRY2491" s="58"/>
      <c r="FRZ2491" s="61"/>
      <c r="FSA2491" s="58"/>
      <c r="FSB2491" s="58"/>
      <c r="FSC2491" s="58"/>
      <c r="FSD2491" s="60"/>
      <c r="FSE2491" s="58"/>
      <c r="FSF2491" s="58"/>
      <c r="FSG2491" s="58"/>
      <c r="FSH2491" s="61"/>
      <c r="FSI2491" s="58"/>
      <c r="FSJ2491" s="58"/>
      <c r="FSK2491" s="58"/>
      <c r="FSL2491" s="60"/>
      <c r="FSM2491" s="58"/>
      <c r="FSN2491" s="58"/>
      <c r="FSO2491" s="58"/>
      <c r="FSP2491" s="61"/>
      <c r="FSQ2491" s="58"/>
      <c r="FSR2491" s="58"/>
      <c r="FSS2491" s="58"/>
      <c r="FST2491" s="60"/>
      <c r="FSU2491" s="58"/>
      <c r="FSV2491" s="58"/>
      <c r="FSW2491" s="58"/>
      <c r="FSX2491" s="61"/>
      <c r="FSY2491" s="58"/>
      <c r="FSZ2491" s="58"/>
      <c r="FTA2491" s="58"/>
      <c r="FTB2491" s="60"/>
      <c r="FTC2491" s="58"/>
      <c r="FTD2491" s="58"/>
      <c r="FTE2491" s="58"/>
      <c r="FTF2491" s="61"/>
      <c r="FTG2491" s="58"/>
      <c r="FTH2491" s="58"/>
      <c r="FTI2491" s="58"/>
      <c r="FTJ2491" s="60"/>
      <c r="FTK2491" s="58"/>
      <c r="FTL2491" s="58"/>
      <c r="FTM2491" s="58"/>
      <c r="FTN2491" s="61"/>
      <c r="FTO2491" s="58"/>
      <c r="FTP2491" s="58"/>
      <c r="FTQ2491" s="58"/>
      <c r="FTR2491" s="60"/>
      <c r="FTS2491" s="58"/>
      <c r="FTT2491" s="58"/>
      <c r="FTU2491" s="58"/>
      <c r="FTV2491" s="61"/>
      <c r="FTW2491" s="58"/>
      <c r="FTX2491" s="58"/>
      <c r="FTY2491" s="58"/>
      <c r="FTZ2491" s="60"/>
      <c r="FUA2491" s="58"/>
      <c r="FUB2491" s="58"/>
      <c r="FUC2491" s="58"/>
      <c r="FUD2491" s="61"/>
      <c r="FUE2491" s="58"/>
      <c r="FUF2491" s="58"/>
      <c r="FUG2491" s="58"/>
      <c r="FUH2491" s="60"/>
      <c r="FUI2491" s="58"/>
      <c r="FUJ2491" s="58"/>
      <c r="FUK2491" s="58"/>
      <c r="FUL2491" s="61"/>
      <c r="FUM2491" s="58"/>
      <c r="FUN2491" s="58"/>
      <c r="FUO2491" s="58"/>
      <c r="FUP2491" s="60"/>
      <c r="FUQ2491" s="58"/>
      <c r="FUR2491" s="58"/>
      <c r="FUS2491" s="58"/>
      <c r="FUT2491" s="61"/>
      <c r="FUU2491" s="58"/>
      <c r="FUV2491" s="58"/>
      <c r="FUW2491" s="58"/>
      <c r="FUX2491" s="60"/>
      <c r="FUY2491" s="58"/>
      <c r="FUZ2491" s="58"/>
      <c r="FVA2491" s="58"/>
      <c r="FVB2491" s="61"/>
      <c r="FVC2491" s="58"/>
      <c r="FVD2491" s="58"/>
      <c r="FVE2491" s="58"/>
      <c r="FVF2491" s="60"/>
      <c r="FVG2491" s="58"/>
      <c r="FVH2491" s="58"/>
      <c r="FVI2491" s="58"/>
      <c r="FVJ2491" s="61"/>
      <c r="FVK2491" s="58"/>
      <c r="FVL2491" s="58"/>
      <c r="FVM2491" s="58"/>
      <c r="FVN2491" s="60"/>
      <c r="FVO2491" s="58"/>
      <c r="FVP2491" s="58"/>
      <c r="FVQ2491" s="58"/>
      <c r="FVR2491" s="61"/>
      <c r="FVS2491" s="58"/>
      <c r="FVT2491" s="58"/>
      <c r="FVU2491" s="58"/>
      <c r="FVV2491" s="60"/>
      <c r="FVW2491" s="58"/>
      <c r="FVX2491" s="58"/>
      <c r="FVY2491" s="58"/>
      <c r="FVZ2491" s="61"/>
      <c r="FWA2491" s="58"/>
      <c r="FWB2491" s="58"/>
      <c r="FWC2491" s="58"/>
      <c r="FWD2491" s="60"/>
      <c r="FWE2491" s="58"/>
      <c r="FWF2491" s="58"/>
      <c r="FWG2491" s="58"/>
      <c r="FWH2491" s="61"/>
      <c r="FWI2491" s="58"/>
      <c r="FWJ2491" s="58"/>
      <c r="FWK2491" s="58"/>
      <c r="FWL2491" s="60"/>
      <c r="FWM2491" s="58"/>
      <c r="FWN2491" s="58"/>
      <c r="FWO2491" s="58"/>
      <c r="FWP2491" s="61"/>
      <c r="FWQ2491" s="58"/>
      <c r="FWR2491" s="58"/>
      <c r="FWS2491" s="58"/>
      <c r="FWT2491" s="60"/>
      <c r="FWU2491" s="58"/>
      <c r="FWV2491" s="58"/>
      <c r="FWW2491" s="58"/>
      <c r="FWX2491" s="61"/>
      <c r="FWY2491" s="58"/>
      <c r="FWZ2491" s="58"/>
      <c r="FXA2491" s="58"/>
      <c r="FXB2491" s="60"/>
      <c r="FXC2491" s="58"/>
      <c r="FXD2491" s="58"/>
      <c r="FXE2491" s="58"/>
      <c r="FXF2491" s="61"/>
      <c r="FXG2491" s="58"/>
      <c r="FXH2491" s="58"/>
      <c r="FXI2491" s="58"/>
      <c r="FXJ2491" s="60"/>
      <c r="FXK2491" s="58"/>
      <c r="FXL2491" s="58"/>
      <c r="FXM2491" s="58"/>
      <c r="FXN2491" s="61"/>
      <c r="FXO2491" s="58"/>
      <c r="FXP2491" s="58"/>
      <c r="FXQ2491" s="58"/>
      <c r="FXR2491" s="60"/>
      <c r="FXS2491" s="58"/>
      <c r="FXT2491" s="58"/>
      <c r="FXU2491" s="58"/>
      <c r="FXV2491" s="61"/>
      <c r="FXW2491" s="58"/>
      <c r="FXX2491" s="58"/>
      <c r="FXY2491" s="58"/>
      <c r="FXZ2491" s="60"/>
      <c r="FYA2491" s="58"/>
      <c r="FYB2491" s="58"/>
      <c r="FYC2491" s="58"/>
      <c r="FYD2491" s="61"/>
      <c r="FYE2491" s="58"/>
      <c r="FYF2491" s="58"/>
      <c r="FYG2491" s="58"/>
      <c r="FYH2491" s="60"/>
      <c r="FYI2491" s="58"/>
      <c r="FYJ2491" s="58"/>
      <c r="FYK2491" s="58"/>
      <c r="FYL2491" s="61"/>
      <c r="FYM2491" s="58"/>
      <c r="FYN2491" s="58"/>
      <c r="FYO2491" s="58"/>
      <c r="FYP2491" s="60"/>
      <c r="FYQ2491" s="58"/>
      <c r="FYR2491" s="58"/>
      <c r="FYS2491" s="58"/>
      <c r="FYT2491" s="61"/>
      <c r="FYU2491" s="58"/>
      <c r="FYV2491" s="58"/>
      <c r="FYW2491" s="58"/>
      <c r="FYX2491" s="60"/>
      <c r="FYY2491" s="58"/>
      <c r="FYZ2491" s="58"/>
      <c r="FZA2491" s="58"/>
      <c r="FZB2491" s="61"/>
      <c r="FZC2491" s="58"/>
      <c r="FZD2491" s="58"/>
      <c r="FZE2491" s="58"/>
      <c r="FZF2491" s="60"/>
      <c r="FZG2491" s="58"/>
      <c r="FZH2491" s="58"/>
      <c r="FZI2491" s="58"/>
      <c r="FZJ2491" s="61"/>
      <c r="FZK2491" s="58"/>
      <c r="FZL2491" s="58"/>
      <c r="FZM2491" s="58"/>
      <c r="FZN2491" s="60"/>
      <c r="FZO2491" s="58"/>
      <c r="FZP2491" s="58"/>
      <c r="FZQ2491" s="58"/>
      <c r="FZR2491" s="61"/>
      <c r="FZS2491" s="58"/>
      <c r="FZT2491" s="58"/>
      <c r="FZU2491" s="58"/>
      <c r="FZV2491" s="60"/>
      <c r="FZW2491" s="58"/>
      <c r="FZX2491" s="58"/>
      <c r="FZY2491" s="58"/>
      <c r="FZZ2491" s="61"/>
      <c r="GAA2491" s="58"/>
      <c r="GAB2491" s="58"/>
      <c r="GAC2491" s="58"/>
      <c r="GAD2491" s="60"/>
      <c r="GAE2491" s="58"/>
      <c r="GAF2491" s="58"/>
      <c r="GAG2491" s="58"/>
      <c r="GAH2491" s="61"/>
      <c r="GAI2491" s="58"/>
      <c r="GAJ2491" s="58"/>
      <c r="GAK2491" s="58"/>
      <c r="GAL2491" s="60"/>
      <c r="GAM2491" s="58"/>
      <c r="GAN2491" s="58"/>
      <c r="GAO2491" s="58"/>
      <c r="GAP2491" s="61"/>
      <c r="GAQ2491" s="58"/>
      <c r="GAR2491" s="58"/>
      <c r="GAS2491" s="58"/>
      <c r="GAT2491" s="60"/>
      <c r="GAU2491" s="58"/>
      <c r="GAV2491" s="58"/>
      <c r="GAW2491" s="58"/>
      <c r="GAX2491" s="61"/>
      <c r="GAY2491" s="58"/>
      <c r="GAZ2491" s="58"/>
      <c r="GBA2491" s="58"/>
      <c r="GBB2491" s="60"/>
      <c r="GBC2491" s="58"/>
      <c r="GBD2491" s="58"/>
      <c r="GBE2491" s="58"/>
      <c r="GBF2491" s="61"/>
      <c r="GBG2491" s="58"/>
      <c r="GBH2491" s="58"/>
      <c r="GBI2491" s="58"/>
      <c r="GBJ2491" s="60"/>
      <c r="GBK2491" s="58"/>
      <c r="GBL2491" s="58"/>
      <c r="GBM2491" s="58"/>
      <c r="GBN2491" s="61"/>
      <c r="GBO2491" s="58"/>
      <c r="GBP2491" s="58"/>
      <c r="GBQ2491" s="58"/>
      <c r="GBR2491" s="60"/>
      <c r="GBS2491" s="58"/>
      <c r="GBT2491" s="58"/>
      <c r="GBU2491" s="58"/>
      <c r="GBV2491" s="61"/>
      <c r="GBW2491" s="58"/>
      <c r="GBX2491" s="58"/>
      <c r="GBY2491" s="58"/>
      <c r="GBZ2491" s="60"/>
      <c r="GCA2491" s="58"/>
      <c r="GCB2491" s="58"/>
      <c r="GCC2491" s="58"/>
      <c r="GCD2491" s="61"/>
      <c r="GCE2491" s="58"/>
      <c r="GCF2491" s="58"/>
      <c r="GCG2491" s="58"/>
      <c r="GCH2491" s="60"/>
      <c r="GCI2491" s="58"/>
      <c r="GCJ2491" s="58"/>
      <c r="GCK2491" s="58"/>
      <c r="GCL2491" s="61"/>
      <c r="GCM2491" s="58"/>
      <c r="GCN2491" s="58"/>
      <c r="GCO2491" s="58"/>
      <c r="GCP2491" s="60"/>
      <c r="GCQ2491" s="58"/>
      <c r="GCR2491" s="58"/>
      <c r="GCS2491" s="58"/>
      <c r="GCT2491" s="61"/>
      <c r="GCU2491" s="58"/>
      <c r="GCV2491" s="58"/>
      <c r="GCW2491" s="58"/>
      <c r="GCX2491" s="60"/>
      <c r="GCY2491" s="58"/>
      <c r="GCZ2491" s="58"/>
      <c r="GDA2491" s="58"/>
      <c r="GDB2491" s="61"/>
      <c r="GDC2491" s="58"/>
      <c r="GDD2491" s="58"/>
      <c r="GDE2491" s="58"/>
      <c r="GDF2491" s="60"/>
      <c r="GDG2491" s="58"/>
      <c r="GDH2491" s="58"/>
      <c r="GDI2491" s="58"/>
      <c r="GDJ2491" s="61"/>
      <c r="GDK2491" s="58"/>
      <c r="GDL2491" s="58"/>
      <c r="GDM2491" s="58"/>
      <c r="GDN2491" s="60"/>
      <c r="GDO2491" s="58"/>
      <c r="GDP2491" s="58"/>
      <c r="GDQ2491" s="58"/>
      <c r="GDR2491" s="61"/>
      <c r="GDS2491" s="58"/>
      <c r="GDT2491" s="58"/>
      <c r="GDU2491" s="58"/>
      <c r="GDV2491" s="60"/>
      <c r="GDW2491" s="58"/>
      <c r="GDX2491" s="58"/>
      <c r="GDY2491" s="58"/>
      <c r="GDZ2491" s="61"/>
      <c r="GEA2491" s="58"/>
      <c r="GEB2491" s="58"/>
      <c r="GEC2491" s="58"/>
      <c r="GED2491" s="60"/>
      <c r="GEE2491" s="58"/>
      <c r="GEF2491" s="58"/>
      <c r="GEG2491" s="58"/>
      <c r="GEH2491" s="61"/>
      <c r="GEI2491" s="58"/>
      <c r="GEJ2491" s="58"/>
      <c r="GEK2491" s="58"/>
      <c r="GEL2491" s="60"/>
      <c r="GEM2491" s="58"/>
      <c r="GEN2491" s="58"/>
      <c r="GEO2491" s="58"/>
      <c r="GEP2491" s="61"/>
      <c r="GEQ2491" s="58"/>
      <c r="GER2491" s="58"/>
      <c r="GES2491" s="58"/>
      <c r="GET2491" s="60"/>
      <c r="GEU2491" s="58"/>
      <c r="GEV2491" s="58"/>
      <c r="GEW2491" s="58"/>
      <c r="GEX2491" s="61"/>
      <c r="GEY2491" s="58"/>
      <c r="GEZ2491" s="58"/>
      <c r="GFA2491" s="58"/>
      <c r="GFB2491" s="60"/>
      <c r="GFC2491" s="58"/>
      <c r="GFD2491" s="58"/>
      <c r="GFE2491" s="58"/>
      <c r="GFF2491" s="61"/>
      <c r="GFG2491" s="58"/>
      <c r="GFH2491" s="58"/>
      <c r="GFI2491" s="58"/>
      <c r="GFJ2491" s="60"/>
      <c r="GFK2491" s="58"/>
      <c r="GFL2491" s="58"/>
      <c r="GFM2491" s="58"/>
      <c r="GFN2491" s="61"/>
      <c r="GFO2491" s="58"/>
      <c r="GFP2491" s="58"/>
      <c r="GFQ2491" s="58"/>
      <c r="GFR2491" s="60"/>
      <c r="GFS2491" s="58"/>
      <c r="GFT2491" s="58"/>
      <c r="GFU2491" s="58"/>
      <c r="GFV2491" s="61"/>
      <c r="GFW2491" s="58"/>
      <c r="GFX2491" s="58"/>
      <c r="GFY2491" s="58"/>
      <c r="GFZ2491" s="60"/>
      <c r="GGA2491" s="58"/>
      <c r="GGB2491" s="58"/>
      <c r="GGC2491" s="58"/>
      <c r="GGD2491" s="61"/>
      <c r="GGE2491" s="58"/>
      <c r="GGF2491" s="58"/>
      <c r="GGG2491" s="58"/>
      <c r="GGH2491" s="60"/>
      <c r="GGI2491" s="58"/>
      <c r="GGJ2491" s="58"/>
      <c r="GGK2491" s="58"/>
      <c r="GGL2491" s="61"/>
      <c r="GGM2491" s="58"/>
      <c r="GGN2491" s="58"/>
      <c r="GGO2491" s="58"/>
      <c r="GGP2491" s="60"/>
      <c r="GGQ2491" s="58"/>
      <c r="GGR2491" s="58"/>
      <c r="GGS2491" s="58"/>
      <c r="GGT2491" s="61"/>
      <c r="GGU2491" s="58"/>
      <c r="GGV2491" s="58"/>
      <c r="GGW2491" s="58"/>
      <c r="GGX2491" s="60"/>
      <c r="GGY2491" s="58"/>
      <c r="GGZ2491" s="58"/>
      <c r="GHA2491" s="58"/>
      <c r="GHB2491" s="61"/>
      <c r="GHC2491" s="58"/>
      <c r="GHD2491" s="58"/>
      <c r="GHE2491" s="58"/>
      <c r="GHF2491" s="60"/>
      <c r="GHG2491" s="58"/>
      <c r="GHH2491" s="58"/>
      <c r="GHI2491" s="58"/>
      <c r="GHJ2491" s="61"/>
      <c r="GHK2491" s="58"/>
      <c r="GHL2491" s="58"/>
      <c r="GHM2491" s="58"/>
      <c r="GHN2491" s="60"/>
      <c r="GHO2491" s="58"/>
      <c r="GHP2491" s="58"/>
      <c r="GHQ2491" s="58"/>
      <c r="GHR2491" s="61"/>
      <c r="GHS2491" s="58"/>
      <c r="GHT2491" s="58"/>
      <c r="GHU2491" s="58"/>
      <c r="GHV2491" s="60"/>
      <c r="GHW2491" s="58"/>
      <c r="GHX2491" s="58"/>
      <c r="GHY2491" s="58"/>
      <c r="GHZ2491" s="61"/>
      <c r="GIA2491" s="58"/>
      <c r="GIB2491" s="58"/>
      <c r="GIC2491" s="58"/>
      <c r="GID2491" s="60"/>
      <c r="GIE2491" s="58"/>
      <c r="GIF2491" s="58"/>
      <c r="GIG2491" s="58"/>
      <c r="GIH2491" s="61"/>
      <c r="GII2491" s="58"/>
      <c r="GIJ2491" s="58"/>
      <c r="GIK2491" s="58"/>
      <c r="GIL2491" s="60"/>
      <c r="GIM2491" s="58"/>
      <c r="GIN2491" s="58"/>
      <c r="GIO2491" s="58"/>
      <c r="GIP2491" s="61"/>
      <c r="GIQ2491" s="58"/>
      <c r="GIR2491" s="58"/>
      <c r="GIS2491" s="58"/>
      <c r="GIT2491" s="60"/>
      <c r="GIU2491" s="58"/>
      <c r="GIV2491" s="58"/>
      <c r="GIW2491" s="58"/>
      <c r="GIX2491" s="61"/>
      <c r="GIY2491" s="58"/>
      <c r="GIZ2491" s="58"/>
      <c r="GJA2491" s="58"/>
      <c r="GJB2491" s="60"/>
      <c r="GJC2491" s="58"/>
      <c r="GJD2491" s="58"/>
      <c r="GJE2491" s="58"/>
      <c r="GJF2491" s="61"/>
      <c r="GJG2491" s="58"/>
      <c r="GJH2491" s="58"/>
      <c r="GJI2491" s="58"/>
      <c r="GJJ2491" s="60"/>
      <c r="GJK2491" s="58"/>
      <c r="GJL2491" s="58"/>
      <c r="GJM2491" s="58"/>
      <c r="GJN2491" s="61"/>
      <c r="GJO2491" s="58"/>
      <c r="GJP2491" s="58"/>
      <c r="GJQ2491" s="58"/>
      <c r="GJR2491" s="60"/>
      <c r="GJS2491" s="58"/>
      <c r="GJT2491" s="58"/>
      <c r="GJU2491" s="58"/>
      <c r="GJV2491" s="61"/>
      <c r="GJW2491" s="58"/>
      <c r="GJX2491" s="58"/>
      <c r="GJY2491" s="58"/>
      <c r="GJZ2491" s="60"/>
      <c r="GKA2491" s="58"/>
      <c r="GKB2491" s="58"/>
      <c r="GKC2491" s="58"/>
      <c r="GKD2491" s="61"/>
      <c r="GKE2491" s="58"/>
      <c r="GKF2491" s="58"/>
      <c r="GKG2491" s="58"/>
      <c r="GKH2491" s="60"/>
      <c r="GKI2491" s="58"/>
      <c r="GKJ2491" s="58"/>
      <c r="GKK2491" s="58"/>
      <c r="GKL2491" s="61"/>
      <c r="GKM2491" s="58"/>
      <c r="GKN2491" s="58"/>
      <c r="GKO2491" s="58"/>
      <c r="GKP2491" s="60"/>
      <c r="GKQ2491" s="58"/>
      <c r="GKR2491" s="58"/>
      <c r="GKS2491" s="58"/>
      <c r="GKT2491" s="61"/>
      <c r="GKU2491" s="58"/>
      <c r="GKV2491" s="58"/>
      <c r="GKW2491" s="58"/>
      <c r="GKX2491" s="60"/>
      <c r="GKY2491" s="58"/>
      <c r="GKZ2491" s="58"/>
      <c r="GLA2491" s="58"/>
      <c r="GLB2491" s="61"/>
      <c r="GLC2491" s="58"/>
      <c r="GLD2491" s="58"/>
      <c r="GLE2491" s="58"/>
      <c r="GLF2491" s="60"/>
      <c r="GLG2491" s="58"/>
      <c r="GLH2491" s="58"/>
      <c r="GLI2491" s="58"/>
      <c r="GLJ2491" s="61"/>
      <c r="GLK2491" s="58"/>
      <c r="GLL2491" s="58"/>
      <c r="GLM2491" s="58"/>
      <c r="GLN2491" s="60"/>
      <c r="GLO2491" s="58"/>
      <c r="GLP2491" s="58"/>
      <c r="GLQ2491" s="58"/>
      <c r="GLR2491" s="61"/>
      <c r="GLS2491" s="58"/>
      <c r="GLT2491" s="58"/>
      <c r="GLU2491" s="58"/>
      <c r="GLV2491" s="60"/>
      <c r="GLW2491" s="58"/>
      <c r="GLX2491" s="58"/>
      <c r="GLY2491" s="58"/>
      <c r="GLZ2491" s="61"/>
      <c r="GMA2491" s="58"/>
      <c r="GMB2491" s="58"/>
      <c r="GMC2491" s="58"/>
      <c r="GMD2491" s="60"/>
      <c r="GME2491" s="58"/>
      <c r="GMF2491" s="58"/>
      <c r="GMG2491" s="58"/>
      <c r="GMH2491" s="61"/>
      <c r="GMI2491" s="58"/>
      <c r="GMJ2491" s="58"/>
      <c r="GMK2491" s="58"/>
      <c r="GML2491" s="60"/>
      <c r="GMM2491" s="58"/>
      <c r="GMN2491" s="58"/>
      <c r="GMO2491" s="58"/>
      <c r="GMP2491" s="61"/>
      <c r="GMQ2491" s="58"/>
      <c r="GMR2491" s="58"/>
      <c r="GMS2491" s="58"/>
      <c r="GMT2491" s="60"/>
      <c r="GMU2491" s="58"/>
      <c r="GMV2491" s="58"/>
      <c r="GMW2491" s="58"/>
      <c r="GMX2491" s="61"/>
      <c r="GMY2491" s="58"/>
      <c r="GMZ2491" s="58"/>
      <c r="GNA2491" s="58"/>
      <c r="GNB2491" s="60"/>
      <c r="GNC2491" s="58"/>
      <c r="GND2491" s="58"/>
      <c r="GNE2491" s="58"/>
      <c r="GNF2491" s="61"/>
      <c r="GNG2491" s="58"/>
      <c r="GNH2491" s="58"/>
      <c r="GNI2491" s="58"/>
      <c r="GNJ2491" s="60"/>
      <c r="GNK2491" s="58"/>
      <c r="GNL2491" s="58"/>
      <c r="GNM2491" s="58"/>
      <c r="GNN2491" s="61"/>
      <c r="GNO2491" s="58"/>
      <c r="GNP2491" s="58"/>
      <c r="GNQ2491" s="58"/>
      <c r="GNR2491" s="60"/>
      <c r="GNS2491" s="58"/>
      <c r="GNT2491" s="58"/>
      <c r="GNU2491" s="58"/>
      <c r="GNV2491" s="61"/>
      <c r="GNW2491" s="58"/>
      <c r="GNX2491" s="58"/>
      <c r="GNY2491" s="58"/>
      <c r="GNZ2491" s="60"/>
      <c r="GOA2491" s="58"/>
      <c r="GOB2491" s="58"/>
      <c r="GOC2491" s="58"/>
      <c r="GOD2491" s="61"/>
      <c r="GOE2491" s="58"/>
      <c r="GOF2491" s="58"/>
      <c r="GOG2491" s="58"/>
      <c r="GOH2491" s="60"/>
      <c r="GOI2491" s="58"/>
      <c r="GOJ2491" s="58"/>
      <c r="GOK2491" s="58"/>
      <c r="GOL2491" s="61"/>
      <c r="GOM2491" s="58"/>
      <c r="GON2491" s="58"/>
      <c r="GOO2491" s="58"/>
      <c r="GOP2491" s="60"/>
      <c r="GOQ2491" s="58"/>
      <c r="GOR2491" s="58"/>
      <c r="GOS2491" s="58"/>
      <c r="GOT2491" s="61"/>
      <c r="GOU2491" s="58"/>
      <c r="GOV2491" s="58"/>
      <c r="GOW2491" s="58"/>
      <c r="GOX2491" s="60"/>
      <c r="GOY2491" s="58"/>
      <c r="GOZ2491" s="58"/>
      <c r="GPA2491" s="58"/>
      <c r="GPB2491" s="61"/>
      <c r="GPC2491" s="58"/>
      <c r="GPD2491" s="58"/>
      <c r="GPE2491" s="58"/>
      <c r="GPF2491" s="60"/>
      <c r="GPG2491" s="58"/>
      <c r="GPH2491" s="58"/>
      <c r="GPI2491" s="58"/>
      <c r="GPJ2491" s="61"/>
      <c r="GPK2491" s="58"/>
      <c r="GPL2491" s="58"/>
      <c r="GPM2491" s="58"/>
      <c r="GPN2491" s="60"/>
      <c r="GPO2491" s="58"/>
      <c r="GPP2491" s="58"/>
      <c r="GPQ2491" s="58"/>
      <c r="GPR2491" s="61"/>
      <c r="GPS2491" s="58"/>
      <c r="GPT2491" s="58"/>
      <c r="GPU2491" s="58"/>
      <c r="GPV2491" s="60"/>
      <c r="GPW2491" s="58"/>
      <c r="GPX2491" s="58"/>
      <c r="GPY2491" s="58"/>
      <c r="GPZ2491" s="61"/>
      <c r="GQA2491" s="58"/>
      <c r="GQB2491" s="58"/>
      <c r="GQC2491" s="58"/>
      <c r="GQD2491" s="60"/>
      <c r="GQE2491" s="58"/>
      <c r="GQF2491" s="58"/>
      <c r="GQG2491" s="58"/>
      <c r="GQH2491" s="61"/>
      <c r="GQI2491" s="58"/>
      <c r="GQJ2491" s="58"/>
      <c r="GQK2491" s="58"/>
      <c r="GQL2491" s="60"/>
      <c r="GQM2491" s="58"/>
      <c r="GQN2491" s="58"/>
      <c r="GQO2491" s="58"/>
      <c r="GQP2491" s="61"/>
      <c r="GQQ2491" s="58"/>
      <c r="GQR2491" s="58"/>
      <c r="GQS2491" s="58"/>
      <c r="GQT2491" s="60"/>
      <c r="GQU2491" s="58"/>
      <c r="GQV2491" s="58"/>
      <c r="GQW2491" s="58"/>
      <c r="GQX2491" s="61"/>
      <c r="GQY2491" s="58"/>
      <c r="GQZ2491" s="58"/>
      <c r="GRA2491" s="58"/>
      <c r="GRB2491" s="60"/>
      <c r="GRC2491" s="58"/>
      <c r="GRD2491" s="58"/>
      <c r="GRE2491" s="58"/>
      <c r="GRF2491" s="61"/>
      <c r="GRG2491" s="58"/>
      <c r="GRH2491" s="58"/>
      <c r="GRI2491" s="58"/>
      <c r="GRJ2491" s="60"/>
      <c r="GRK2491" s="58"/>
      <c r="GRL2491" s="58"/>
      <c r="GRM2491" s="58"/>
      <c r="GRN2491" s="61"/>
      <c r="GRO2491" s="58"/>
      <c r="GRP2491" s="58"/>
      <c r="GRQ2491" s="58"/>
      <c r="GRR2491" s="60"/>
      <c r="GRS2491" s="58"/>
      <c r="GRT2491" s="58"/>
      <c r="GRU2491" s="58"/>
      <c r="GRV2491" s="61"/>
      <c r="GRW2491" s="58"/>
      <c r="GRX2491" s="58"/>
      <c r="GRY2491" s="58"/>
      <c r="GRZ2491" s="60"/>
      <c r="GSA2491" s="58"/>
      <c r="GSB2491" s="58"/>
      <c r="GSC2491" s="58"/>
      <c r="GSD2491" s="61"/>
      <c r="GSE2491" s="58"/>
      <c r="GSF2491" s="58"/>
      <c r="GSG2491" s="58"/>
      <c r="GSH2491" s="60"/>
      <c r="GSI2491" s="58"/>
      <c r="GSJ2491" s="58"/>
      <c r="GSK2491" s="58"/>
      <c r="GSL2491" s="61"/>
      <c r="GSM2491" s="58"/>
      <c r="GSN2491" s="58"/>
      <c r="GSO2491" s="58"/>
      <c r="GSP2491" s="60"/>
      <c r="GSQ2491" s="58"/>
      <c r="GSR2491" s="58"/>
      <c r="GSS2491" s="58"/>
      <c r="GST2491" s="61"/>
      <c r="GSU2491" s="58"/>
      <c r="GSV2491" s="58"/>
      <c r="GSW2491" s="58"/>
      <c r="GSX2491" s="60"/>
      <c r="GSY2491" s="58"/>
      <c r="GSZ2491" s="58"/>
      <c r="GTA2491" s="58"/>
      <c r="GTB2491" s="61"/>
      <c r="GTC2491" s="58"/>
      <c r="GTD2491" s="58"/>
      <c r="GTE2491" s="58"/>
      <c r="GTF2491" s="60"/>
      <c r="GTG2491" s="58"/>
      <c r="GTH2491" s="58"/>
      <c r="GTI2491" s="58"/>
      <c r="GTJ2491" s="61"/>
      <c r="GTK2491" s="58"/>
      <c r="GTL2491" s="58"/>
      <c r="GTM2491" s="58"/>
      <c r="GTN2491" s="60"/>
      <c r="GTO2491" s="58"/>
      <c r="GTP2491" s="58"/>
      <c r="GTQ2491" s="58"/>
      <c r="GTR2491" s="61"/>
      <c r="GTS2491" s="58"/>
      <c r="GTT2491" s="58"/>
      <c r="GTU2491" s="58"/>
      <c r="GTV2491" s="60"/>
      <c r="GTW2491" s="58"/>
      <c r="GTX2491" s="58"/>
      <c r="GTY2491" s="58"/>
      <c r="GTZ2491" s="61"/>
      <c r="GUA2491" s="58"/>
      <c r="GUB2491" s="58"/>
      <c r="GUC2491" s="58"/>
      <c r="GUD2491" s="60"/>
      <c r="GUE2491" s="58"/>
      <c r="GUF2491" s="58"/>
      <c r="GUG2491" s="58"/>
      <c r="GUH2491" s="61"/>
      <c r="GUI2491" s="58"/>
      <c r="GUJ2491" s="58"/>
      <c r="GUK2491" s="58"/>
      <c r="GUL2491" s="60"/>
      <c r="GUM2491" s="58"/>
      <c r="GUN2491" s="58"/>
      <c r="GUO2491" s="58"/>
      <c r="GUP2491" s="61"/>
      <c r="GUQ2491" s="58"/>
      <c r="GUR2491" s="58"/>
      <c r="GUS2491" s="58"/>
      <c r="GUT2491" s="60"/>
      <c r="GUU2491" s="58"/>
      <c r="GUV2491" s="58"/>
      <c r="GUW2491" s="58"/>
      <c r="GUX2491" s="61"/>
      <c r="GUY2491" s="58"/>
      <c r="GUZ2491" s="58"/>
      <c r="GVA2491" s="58"/>
      <c r="GVB2491" s="60"/>
      <c r="GVC2491" s="58"/>
      <c r="GVD2491" s="58"/>
      <c r="GVE2491" s="58"/>
      <c r="GVF2491" s="61"/>
      <c r="GVG2491" s="58"/>
      <c r="GVH2491" s="58"/>
      <c r="GVI2491" s="58"/>
      <c r="GVJ2491" s="60"/>
      <c r="GVK2491" s="58"/>
      <c r="GVL2491" s="58"/>
      <c r="GVM2491" s="58"/>
      <c r="GVN2491" s="61"/>
      <c r="GVO2491" s="58"/>
      <c r="GVP2491" s="58"/>
      <c r="GVQ2491" s="58"/>
      <c r="GVR2491" s="60"/>
      <c r="GVS2491" s="58"/>
      <c r="GVT2491" s="58"/>
      <c r="GVU2491" s="58"/>
      <c r="GVV2491" s="61"/>
      <c r="GVW2491" s="58"/>
      <c r="GVX2491" s="58"/>
      <c r="GVY2491" s="58"/>
      <c r="GVZ2491" s="60"/>
      <c r="GWA2491" s="58"/>
      <c r="GWB2491" s="58"/>
      <c r="GWC2491" s="58"/>
      <c r="GWD2491" s="61"/>
      <c r="GWE2491" s="58"/>
      <c r="GWF2491" s="58"/>
      <c r="GWG2491" s="58"/>
      <c r="GWH2491" s="60"/>
      <c r="GWI2491" s="58"/>
      <c r="GWJ2491" s="58"/>
      <c r="GWK2491" s="58"/>
      <c r="GWL2491" s="61"/>
      <c r="GWM2491" s="58"/>
      <c r="GWN2491" s="58"/>
      <c r="GWO2491" s="58"/>
      <c r="GWP2491" s="60"/>
      <c r="GWQ2491" s="58"/>
      <c r="GWR2491" s="58"/>
      <c r="GWS2491" s="58"/>
      <c r="GWT2491" s="61"/>
      <c r="GWU2491" s="58"/>
      <c r="GWV2491" s="58"/>
      <c r="GWW2491" s="58"/>
      <c r="GWX2491" s="60"/>
      <c r="GWY2491" s="58"/>
      <c r="GWZ2491" s="58"/>
      <c r="GXA2491" s="58"/>
      <c r="GXB2491" s="61"/>
      <c r="GXC2491" s="58"/>
      <c r="GXD2491" s="58"/>
      <c r="GXE2491" s="58"/>
      <c r="GXF2491" s="60"/>
      <c r="GXG2491" s="58"/>
      <c r="GXH2491" s="58"/>
      <c r="GXI2491" s="58"/>
      <c r="GXJ2491" s="61"/>
      <c r="GXK2491" s="58"/>
      <c r="GXL2491" s="58"/>
      <c r="GXM2491" s="58"/>
      <c r="GXN2491" s="60"/>
      <c r="GXO2491" s="58"/>
      <c r="GXP2491" s="58"/>
      <c r="GXQ2491" s="58"/>
      <c r="GXR2491" s="61"/>
      <c r="GXS2491" s="58"/>
      <c r="GXT2491" s="58"/>
      <c r="GXU2491" s="58"/>
      <c r="GXV2491" s="60"/>
      <c r="GXW2491" s="58"/>
      <c r="GXX2491" s="58"/>
      <c r="GXY2491" s="58"/>
      <c r="GXZ2491" s="61"/>
      <c r="GYA2491" s="58"/>
      <c r="GYB2491" s="58"/>
      <c r="GYC2491" s="58"/>
      <c r="GYD2491" s="60"/>
      <c r="GYE2491" s="58"/>
      <c r="GYF2491" s="58"/>
      <c r="GYG2491" s="58"/>
      <c r="GYH2491" s="61"/>
      <c r="GYI2491" s="58"/>
      <c r="GYJ2491" s="58"/>
      <c r="GYK2491" s="58"/>
      <c r="GYL2491" s="60"/>
      <c r="GYM2491" s="58"/>
      <c r="GYN2491" s="58"/>
      <c r="GYO2491" s="58"/>
      <c r="GYP2491" s="61"/>
      <c r="GYQ2491" s="58"/>
      <c r="GYR2491" s="58"/>
      <c r="GYS2491" s="58"/>
      <c r="GYT2491" s="60"/>
      <c r="GYU2491" s="58"/>
      <c r="GYV2491" s="58"/>
      <c r="GYW2491" s="58"/>
      <c r="GYX2491" s="61"/>
      <c r="GYY2491" s="58"/>
      <c r="GYZ2491" s="58"/>
      <c r="GZA2491" s="58"/>
      <c r="GZB2491" s="60"/>
      <c r="GZC2491" s="58"/>
      <c r="GZD2491" s="58"/>
      <c r="GZE2491" s="58"/>
      <c r="GZF2491" s="61"/>
      <c r="GZG2491" s="58"/>
      <c r="GZH2491" s="58"/>
      <c r="GZI2491" s="58"/>
      <c r="GZJ2491" s="60"/>
      <c r="GZK2491" s="58"/>
      <c r="GZL2491" s="58"/>
      <c r="GZM2491" s="58"/>
      <c r="GZN2491" s="61"/>
      <c r="GZO2491" s="58"/>
      <c r="GZP2491" s="58"/>
      <c r="GZQ2491" s="58"/>
      <c r="GZR2491" s="60"/>
      <c r="GZS2491" s="58"/>
      <c r="GZT2491" s="58"/>
      <c r="GZU2491" s="58"/>
      <c r="GZV2491" s="61"/>
      <c r="GZW2491" s="58"/>
      <c r="GZX2491" s="58"/>
      <c r="GZY2491" s="58"/>
      <c r="GZZ2491" s="60"/>
      <c r="HAA2491" s="58"/>
      <c r="HAB2491" s="58"/>
      <c r="HAC2491" s="58"/>
      <c r="HAD2491" s="61"/>
      <c r="HAE2491" s="58"/>
      <c r="HAF2491" s="58"/>
      <c r="HAG2491" s="58"/>
      <c r="HAH2491" s="60"/>
      <c r="HAI2491" s="58"/>
      <c r="HAJ2491" s="58"/>
      <c r="HAK2491" s="58"/>
      <c r="HAL2491" s="61"/>
      <c r="HAM2491" s="58"/>
      <c r="HAN2491" s="58"/>
      <c r="HAO2491" s="58"/>
      <c r="HAP2491" s="60"/>
      <c r="HAQ2491" s="58"/>
      <c r="HAR2491" s="58"/>
      <c r="HAS2491" s="58"/>
      <c r="HAT2491" s="61"/>
      <c r="HAU2491" s="58"/>
      <c r="HAV2491" s="58"/>
      <c r="HAW2491" s="58"/>
      <c r="HAX2491" s="60"/>
      <c r="HAY2491" s="58"/>
      <c r="HAZ2491" s="58"/>
      <c r="HBA2491" s="58"/>
      <c r="HBB2491" s="61"/>
      <c r="HBC2491" s="58"/>
      <c r="HBD2491" s="58"/>
      <c r="HBE2491" s="58"/>
      <c r="HBF2491" s="60"/>
      <c r="HBG2491" s="58"/>
      <c r="HBH2491" s="58"/>
      <c r="HBI2491" s="58"/>
      <c r="HBJ2491" s="61"/>
      <c r="HBK2491" s="58"/>
      <c r="HBL2491" s="58"/>
      <c r="HBM2491" s="58"/>
      <c r="HBN2491" s="60"/>
      <c r="HBO2491" s="58"/>
      <c r="HBP2491" s="58"/>
      <c r="HBQ2491" s="58"/>
      <c r="HBR2491" s="61"/>
      <c r="HBS2491" s="58"/>
      <c r="HBT2491" s="58"/>
      <c r="HBU2491" s="58"/>
      <c r="HBV2491" s="60"/>
      <c r="HBW2491" s="58"/>
      <c r="HBX2491" s="58"/>
      <c r="HBY2491" s="58"/>
      <c r="HBZ2491" s="61"/>
      <c r="HCA2491" s="58"/>
      <c r="HCB2491" s="58"/>
      <c r="HCC2491" s="58"/>
      <c r="HCD2491" s="60"/>
      <c r="HCE2491" s="58"/>
      <c r="HCF2491" s="58"/>
      <c r="HCG2491" s="58"/>
      <c r="HCH2491" s="61"/>
      <c r="HCI2491" s="58"/>
      <c r="HCJ2491" s="58"/>
      <c r="HCK2491" s="58"/>
      <c r="HCL2491" s="60"/>
      <c r="HCM2491" s="58"/>
      <c r="HCN2491" s="58"/>
      <c r="HCO2491" s="58"/>
      <c r="HCP2491" s="61"/>
      <c r="HCQ2491" s="58"/>
      <c r="HCR2491" s="58"/>
      <c r="HCS2491" s="58"/>
      <c r="HCT2491" s="60"/>
      <c r="HCU2491" s="58"/>
      <c r="HCV2491" s="58"/>
      <c r="HCW2491" s="58"/>
      <c r="HCX2491" s="61"/>
      <c r="HCY2491" s="58"/>
      <c r="HCZ2491" s="58"/>
      <c r="HDA2491" s="58"/>
      <c r="HDB2491" s="60"/>
      <c r="HDC2491" s="58"/>
      <c r="HDD2491" s="58"/>
      <c r="HDE2491" s="58"/>
      <c r="HDF2491" s="61"/>
      <c r="HDG2491" s="58"/>
      <c r="HDH2491" s="58"/>
      <c r="HDI2491" s="58"/>
      <c r="HDJ2491" s="60"/>
      <c r="HDK2491" s="58"/>
      <c r="HDL2491" s="58"/>
      <c r="HDM2491" s="58"/>
      <c r="HDN2491" s="61"/>
      <c r="HDO2491" s="58"/>
      <c r="HDP2491" s="58"/>
      <c r="HDQ2491" s="58"/>
      <c r="HDR2491" s="60"/>
      <c r="HDS2491" s="58"/>
      <c r="HDT2491" s="58"/>
      <c r="HDU2491" s="58"/>
      <c r="HDV2491" s="61"/>
      <c r="HDW2491" s="58"/>
      <c r="HDX2491" s="58"/>
      <c r="HDY2491" s="58"/>
      <c r="HDZ2491" s="60"/>
      <c r="HEA2491" s="58"/>
      <c r="HEB2491" s="58"/>
      <c r="HEC2491" s="58"/>
      <c r="HED2491" s="61"/>
      <c r="HEE2491" s="58"/>
      <c r="HEF2491" s="58"/>
      <c r="HEG2491" s="58"/>
      <c r="HEH2491" s="60"/>
      <c r="HEI2491" s="58"/>
      <c r="HEJ2491" s="58"/>
      <c r="HEK2491" s="58"/>
      <c r="HEL2491" s="61"/>
      <c r="HEM2491" s="58"/>
      <c r="HEN2491" s="58"/>
      <c r="HEO2491" s="58"/>
      <c r="HEP2491" s="60"/>
      <c r="HEQ2491" s="58"/>
      <c r="HER2491" s="58"/>
      <c r="HES2491" s="58"/>
      <c r="HET2491" s="61"/>
      <c r="HEU2491" s="58"/>
      <c r="HEV2491" s="58"/>
      <c r="HEW2491" s="58"/>
      <c r="HEX2491" s="60"/>
      <c r="HEY2491" s="58"/>
      <c r="HEZ2491" s="58"/>
      <c r="HFA2491" s="58"/>
      <c r="HFB2491" s="61"/>
      <c r="HFC2491" s="58"/>
      <c r="HFD2491" s="58"/>
      <c r="HFE2491" s="58"/>
      <c r="HFF2491" s="60"/>
      <c r="HFG2491" s="58"/>
      <c r="HFH2491" s="58"/>
      <c r="HFI2491" s="58"/>
      <c r="HFJ2491" s="61"/>
      <c r="HFK2491" s="58"/>
      <c r="HFL2491" s="58"/>
      <c r="HFM2491" s="58"/>
      <c r="HFN2491" s="60"/>
      <c r="HFO2491" s="58"/>
      <c r="HFP2491" s="58"/>
      <c r="HFQ2491" s="58"/>
      <c r="HFR2491" s="61"/>
      <c r="HFS2491" s="58"/>
      <c r="HFT2491" s="58"/>
      <c r="HFU2491" s="58"/>
      <c r="HFV2491" s="60"/>
      <c r="HFW2491" s="58"/>
      <c r="HFX2491" s="58"/>
      <c r="HFY2491" s="58"/>
      <c r="HFZ2491" s="61"/>
      <c r="HGA2491" s="58"/>
      <c r="HGB2491" s="58"/>
      <c r="HGC2491" s="58"/>
      <c r="HGD2491" s="60"/>
      <c r="HGE2491" s="58"/>
      <c r="HGF2491" s="58"/>
      <c r="HGG2491" s="58"/>
      <c r="HGH2491" s="61"/>
      <c r="HGI2491" s="58"/>
      <c r="HGJ2491" s="58"/>
      <c r="HGK2491" s="58"/>
      <c r="HGL2491" s="60"/>
      <c r="HGM2491" s="58"/>
      <c r="HGN2491" s="58"/>
      <c r="HGO2491" s="58"/>
      <c r="HGP2491" s="61"/>
      <c r="HGQ2491" s="58"/>
      <c r="HGR2491" s="58"/>
      <c r="HGS2491" s="58"/>
      <c r="HGT2491" s="60"/>
      <c r="HGU2491" s="58"/>
      <c r="HGV2491" s="58"/>
      <c r="HGW2491" s="58"/>
      <c r="HGX2491" s="61"/>
      <c r="HGY2491" s="58"/>
      <c r="HGZ2491" s="58"/>
      <c r="HHA2491" s="58"/>
      <c r="HHB2491" s="60"/>
      <c r="HHC2491" s="58"/>
      <c r="HHD2491" s="58"/>
      <c r="HHE2491" s="58"/>
      <c r="HHF2491" s="61"/>
      <c r="HHG2491" s="58"/>
      <c r="HHH2491" s="58"/>
      <c r="HHI2491" s="58"/>
      <c r="HHJ2491" s="60"/>
      <c r="HHK2491" s="58"/>
      <c r="HHL2491" s="58"/>
      <c r="HHM2491" s="58"/>
      <c r="HHN2491" s="61"/>
      <c r="HHO2491" s="58"/>
      <c r="HHP2491" s="58"/>
      <c r="HHQ2491" s="58"/>
      <c r="HHR2491" s="60"/>
      <c r="HHS2491" s="58"/>
      <c r="HHT2491" s="58"/>
      <c r="HHU2491" s="58"/>
      <c r="HHV2491" s="61"/>
      <c r="HHW2491" s="58"/>
      <c r="HHX2491" s="58"/>
      <c r="HHY2491" s="58"/>
      <c r="HHZ2491" s="60"/>
      <c r="HIA2491" s="58"/>
      <c r="HIB2491" s="58"/>
      <c r="HIC2491" s="58"/>
      <c r="HID2491" s="61"/>
      <c r="HIE2491" s="58"/>
      <c r="HIF2491" s="58"/>
      <c r="HIG2491" s="58"/>
      <c r="HIH2491" s="60"/>
      <c r="HII2491" s="58"/>
      <c r="HIJ2491" s="58"/>
      <c r="HIK2491" s="58"/>
      <c r="HIL2491" s="61"/>
      <c r="HIM2491" s="58"/>
      <c r="HIN2491" s="58"/>
      <c r="HIO2491" s="58"/>
      <c r="HIP2491" s="60"/>
      <c r="HIQ2491" s="58"/>
      <c r="HIR2491" s="58"/>
      <c r="HIS2491" s="58"/>
      <c r="HIT2491" s="61"/>
      <c r="HIU2491" s="58"/>
      <c r="HIV2491" s="58"/>
      <c r="HIW2491" s="58"/>
      <c r="HIX2491" s="60"/>
      <c r="HIY2491" s="58"/>
      <c r="HIZ2491" s="58"/>
      <c r="HJA2491" s="58"/>
      <c r="HJB2491" s="61"/>
      <c r="HJC2491" s="58"/>
      <c r="HJD2491" s="58"/>
      <c r="HJE2491" s="58"/>
      <c r="HJF2491" s="60"/>
      <c r="HJG2491" s="58"/>
      <c r="HJH2491" s="58"/>
      <c r="HJI2491" s="58"/>
      <c r="HJJ2491" s="61"/>
      <c r="HJK2491" s="58"/>
      <c r="HJL2491" s="58"/>
      <c r="HJM2491" s="58"/>
      <c r="HJN2491" s="60"/>
      <c r="HJO2491" s="58"/>
      <c r="HJP2491" s="58"/>
      <c r="HJQ2491" s="58"/>
      <c r="HJR2491" s="61"/>
      <c r="HJS2491" s="58"/>
      <c r="HJT2491" s="58"/>
      <c r="HJU2491" s="58"/>
      <c r="HJV2491" s="60"/>
      <c r="HJW2491" s="58"/>
      <c r="HJX2491" s="58"/>
      <c r="HJY2491" s="58"/>
      <c r="HJZ2491" s="61"/>
      <c r="HKA2491" s="58"/>
      <c r="HKB2491" s="58"/>
      <c r="HKC2491" s="58"/>
      <c r="HKD2491" s="60"/>
      <c r="HKE2491" s="58"/>
      <c r="HKF2491" s="58"/>
      <c r="HKG2491" s="58"/>
      <c r="HKH2491" s="61"/>
      <c r="HKI2491" s="58"/>
      <c r="HKJ2491" s="58"/>
      <c r="HKK2491" s="58"/>
      <c r="HKL2491" s="60"/>
      <c r="HKM2491" s="58"/>
      <c r="HKN2491" s="58"/>
      <c r="HKO2491" s="58"/>
      <c r="HKP2491" s="61"/>
      <c r="HKQ2491" s="58"/>
      <c r="HKR2491" s="58"/>
      <c r="HKS2491" s="58"/>
      <c r="HKT2491" s="60"/>
      <c r="HKU2491" s="58"/>
      <c r="HKV2491" s="58"/>
      <c r="HKW2491" s="58"/>
      <c r="HKX2491" s="61"/>
      <c r="HKY2491" s="58"/>
      <c r="HKZ2491" s="58"/>
      <c r="HLA2491" s="58"/>
      <c r="HLB2491" s="60"/>
      <c r="HLC2491" s="58"/>
      <c r="HLD2491" s="58"/>
      <c r="HLE2491" s="58"/>
      <c r="HLF2491" s="61"/>
      <c r="HLG2491" s="58"/>
      <c r="HLH2491" s="58"/>
      <c r="HLI2491" s="58"/>
      <c r="HLJ2491" s="60"/>
      <c r="HLK2491" s="58"/>
      <c r="HLL2491" s="58"/>
      <c r="HLM2491" s="58"/>
      <c r="HLN2491" s="61"/>
      <c r="HLO2491" s="58"/>
      <c r="HLP2491" s="58"/>
      <c r="HLQ2491" s="58"/>
      <c r="HLR2491" s="60"/>
      <c r="HLS2491" s="58"/>
      <c r="HLT2491" s="58"/>
      <c r="HLU2491" s="58"/>
      <c r="HLV2491" s="61"/>
      <c r="HLW2491" s="58"/>
      <c r="HLX2491" s="58"/>
      <c r="HLY2491" s="58"/>
      <c r="HLZ2491" s="60"/>
      <c r="HMA2491" s="58"/>
      <c r="HMB2491" s="58"/>
      <c r="HMC2491" s="58"/>
      <c r="HMD2491" s="61"/>
      <c r="HME2491" s="58"/>
      <c r="HMF2491" s="58"/>
      <c r="HMG2491" s="58"/>
      <c r="HMH2491" s="60"/>
      <c r="HMI2491" s="58"/>
      <c r="HMJ2491" s="58"/>
      <c r="HMK2491" s="58"/>
      <c r="HML2491" s="61"/>
      <c r="HMM2491" s="58"/>
      <c r="HMN2491" s="58"/>
      <c r="HMO2491" s="58"/>
      <c r="HMP2491" s="60"/>
      <c r="HMQ2491" s="58"/>
      <c r="HMR2491" s="58"/>
      <c r="HMS2491" s="58"/>
      <c r="HMT2491" s="61"/>
      <c r="HMU2491" s="58"/>
      <c r="HMV2491" s="58"/>
      <c r="HMW2491" s="58"/>
      <c r="HMX2491" s="60"/>
      <c r="HMY2491" s="58"/>
      <c r="HMZ2491" s="58"/>
      <c r="HNA2491" s="58"/>
      <c r="HNB2491" s="61"/>
      <c r="HNC2491" s="58"/>
      <c r="HND2491" s="58"/>
      <c r="HNE2491" s="58"/>
      <c r="HNF2491" s="60"/>
      <c r="HNG2491" s="58"/>
      <c r="HNH2491" s="58"/>
      <c r="HNI2491" s="58"/>
      <c r="HNJ2491" s="61"/>
      <c r="HNK2491" s="58"/>
      <c r="HNL2491" s="58"/>
      <c r="HNM2491" s="58"/>
      <c r="HNN2491" s="60"/>
      <c r="HNO2491" s="58"/>
      <c r="HNP2491" s="58"/>
      <c r="HNQ2491" s="58"/>
      <c r="HNR2491" s="61"/>
      <c r="HNS2491" s="58"/>
      <c r="HNT2491" s="58"/>
      <c r="HNU2491" s="58"/>
      <c r="HNV2491" s="60"/>
      <c r="HNW2491" s="58"/>
      <c r="HNX2491" s="58"/>
      <c r="HNY2491" s="58"/>
      <c r="HNZ2491" s="61"/>
      <c r="HOA2491" s="58"/>
      <c r="HOB2491" s="58"/>
      <c r="HOC2491" s="58"/>
      <c r="HOD2491" s="60"/>
      <c r="HOE2491" s="58"/>
      <c r="HOF2491" s="58"/>
      <c r="HOG2491" s="58"/>
      <c r="HOH2491" s="61"/>
      <c r="HOI2491" s="58"/>
      <c r="HOJ2491" s="58"/>
      <c r="HOK2491" s="58"/>
      <c r="HOL2491" s="60"/>
      <c r="HOM2491" s="58"/>
      <c r="HON2491" s="58"/>
      <c r="HOO2491" s="58"/>
      <c r="HOP2491" s="61"/>
      <c r="HOQ2491" s="58"/>
      <c r="HOR2491" s="58"/>
      <c r="HOS2491" s="58"/>
      <c r="HOT2491" s="60"/>
      <c r="HOU2491" s="58"/>
      <c r="HOV2491" s="58"/>
      <c r="HOW2491" s="58"/>
      <c r="HOX2491" s="61"/>
      <c r="HOY2491" s="58"/>
      <c r="HOZ2491" s="58"/>
      <c r="HPA2491" s="58"/>
      <c r="HPB2491" s="60"/>
      <c r="HPC2491" s="58"/>
      <c r="HPD2491" s="58"/>
      <c r="HPE2491" s="58"/>
      <c r="HPF2491" s="61"/>
      <c r="HPG2491" s="58"/>
      <c r="HPH2491" s="58"/>
      <c r="HPI2491" s="58"/>
      <c r="HPJ2491" s="60"/>
      <c r="HPK2491" s="58"/>
      <c r="HPL2491" s="58"/>
      <c r="HPM2491" s="58"/>
      <c r="HPN2491" s="61"/>
      <c r="HPO2491" s="58"/>
      <c r="HPP2491" s="58"/>
      <c r="HPQ2491" s="58"/>
      <c r="HPR2491" s="60"/>
      <c r="HPS2491" s="58"/>
      <c r="HPT2491" s="58"/>
      <c r="HPU2491" s="58"/>
      <c r="HPV2491" s="61"/>
      <c r="HPW2491" s="58"/>
      <c r="HPX2491" s="58"/>
      <c r="HPY2491" s="58"/>
      <c r="HPZ2491" s="60"/>
      <c r="HQA2491" s="58"/>
      <c r="HQB2491" s="58"/>
      <c r="HQC2491" s="58"/>
      <c r="HQD2491" s="61"/>
      <c r="HQE2491" s="58"/>
      <c r="HQF2491" s="58"/>
      <c r="HQG2491" s="58"/>
      <c r="HQH2491" s="60"/>
      <c r="HQI2491" s="58"/>
      <c r="HQJ2491" s="58"/>
      <c r="HQK2491" s="58"/>
      <c r="HQL2491" s="61"/>
      <c r="HQM2491" s="58"/>
      <c r="HQN2491" s="58"/>
      <c r="HQO2491" s="58"/>
      <c r="HQP2491" s="60"/>
      <c r="HQQ2491" s="58"/>
      <c r="HQR2491" s="58"/>
      <c r="HQS2491" s="58"/>
      <c r="HQT2491" s="61"/>
      <c r="HQU2491" s="58"/>
      <c r="HQV2491" s="58"/>
      <c r="HQW2491" s="58"/>
      <c r="HQX2491" s="60"/>
      <c r="HQY2491" s="58"/>
      <c r="HQZ2491" s="58"/>
      <c r="HRA2491" s="58"/>
      <c r="HRB2491" s="61"/>
      <c r="HRC2491" s="58"/>
      <c r="HRD2491" s="58"/>
      <c r="HRE2491" s="58"/>
      <c r="HRF2491" s="60"/>
      <c r="HRG2491" s="58"/>
      <c r="HRH2491" s="58"/>
      <c r="HRI2491" s="58"/>
      <c r="HRJ2491" s="61"/>
      <c r="HRK2491" s="58"/>
      <c r="HRL2491" s="58"/>
      <c r="HRM2491" s="58"/>
      <c r="HRN2491" s="60"/>
      <c r="HRO2491" s="58"/>
      <c r="HRP2491" s="58"/>
      <c r="HRQ2491" s="58"/>
      <c r="HRR2491" s="61"/>
      <c r="HRS2491" s="58"/>
      <c r="HRT2491" s="58"/>
      <c r="HRU2491" s="58"/>
      <c r="HRV2491" s="60"/>
      <c r="HRW2491" s="58"/>
      <c r="HRX2491" s="58"/>
      <c r="HRY2491" s="58"/>
      <c r="HRZ2491" s="61"/>
      <c r="HSA2491" s="58"/>
      <c r="HSB2491" s="58"/>
      <c r="HSC2491" s="58"/>
      <c r="HSD2491" s="60"/>
      <c r="HSE2491" s="58"/>
      <c r="HSF2491" s="58"/>
      <c r="HSG2491" s="58"/>
      <c r="HSH2491" s="61"/>
      <c r="HSI2491" s="58"/>
      <c r="HSJ2491" s="58"/>
      <c r="HSK2491" s="58"/>
      <c r="HSL2491" s="60"/>
      <c r="HSM2491" s="58"/>
      <c r="HSN2491" s="58"/>
      <c r="HSO2491" s="58"/>
      <c r="HSP2491" s="61"/>
      <c r="HSQ2491" s="58"/>
      <c r="HSR2491" s="58"/>
      <c r="HSS2491" s="58"/>
      <c r="HST2491" s="60"/>
      <c r="HSU2491" s="58"/>
      <c r="HSV2491" s="58"/>
      <c r="HSW2491" s="58"/>
      <c r="HSX2491" s="61"/>
      <c r="HSY2491" s="58"/>
      <c r="HSZ2491" s="58"/>
      <c r="HTA2491" s="58"/>
      <c r="HTB2491" s="60"/>
      <c r="HTC2491" s="58"/>
      <c r="HTD2491" s="58"/>
      <c r="HTE2491" s="58"/>
      <c r="HTF2491" s="61"/>
      <c r="HTG2491" s="58"/>
      <c r="HTH2491" s="58"/>
      <c r="HTI2491" s="58"/>
      <c r="HTJ2491" s="60"/>
      <c r="HTK2491" s="58"/>
      <c r="HTL2491" s="58"/>
      <c r="HTM2491" s="58"/>
      <c r="HTN2491" s="61"/>
      <c r="HTO2491" s="58"/>
      <c r="HTP2491" s="58"/>
      <c r="HTQ2491" s="58"/>
      <c r="HTR2491" s="60"/>
      <c r="HTS2491" s="58"/>
      <c r="HTT2491" s="58"/>
      <c r="HTU2491" s="58"/>
      <c r="HTV2491" s="61"/>
      <c r="HTW2491" s="58"/>
      <c r="HTX2491" s="58"/>
      <c r="HTY2491" s="58"/>
      <c r="HTZ2491" s="60"/>
      <c r="HUA2491" s="58"/>
      <c r="HUB2491" s="58"/>
      <c r="HUC2491" s="58"/>
      <c r="HUD2491" s="61"/>
      <c r="HUE2491" s="58"/>
      <c r="HUF2491" s="58"/>
      <c r="HUG2491" s="58"/>
      <c r="HUH2491" s="60"/>
      <c r="HUI2491" s="58"/>
      <c r="HUJ2491" s="58"/>
      <c r="HUK2491" s="58"/>
      <c r="HUL2491" s="61"/>
      <c r="HUM2491" s="58"/>
      <c r="HUN2491" s="58"/>
      <c r="HUO2491" s="58"/>
      <c r="HUP2491" s="60"/>
      <c r="HUQ2491" s="58"/>
      <c r="HUR2491" s="58"/>
      <c r="HUS2491" s="58"/>
      <c r="HUT2491" s="61"/>
      <c r="HUU2491" s="58"/>
      <c r="HUV2491" s="58"/>
      <c r="HUW2491" s="58"/>
      <c r="HUX2491" s="60"/>
      <c r="HUY2491" s="58"/>
      <c r="HUZ2491" s="58"/>
      <c r="HVA2491" s="58"/>
      <c r="HVB2491" s="61"/>
      <c r="HVC2491" s="58"/>
      <c r="HVD2491" s="58"/>
      <c r="HVE2491" s="58"/>
      <c r="HVF2491" s="60"/>
      <c r="HVG2491" s="58"/>
      <c r="HVH2491" s="58"/>
      <c r="HVI2491" s="58"/>
      <c r="HVJ2491" s="61"/>
      <c r="HVK2491" s="58"/>
      <c r="HVL2491" s="58"/>
      <c r="HVM2491" s="58"/>
      <c r="HVN2491" s="60"/>
      <c r="HVO2491" s="58"/>
      <c r="HVP2491" s="58"/>
      <c r="HVQ2491" s="58"/>
      <c r="HVR2491" s="61"/>
      <c r="HVS2491" s="58"/>
      <c r="HVT2491" s="58"/>
      <c r="HVU2491" s="58"/>
      <c r="HVV2491" s="60"/>
      <c r="HVW2491" s="58"/>
      <c r="HVX2491" s="58"/>
      <c r="HVY2491" s="58"/>
      <c r="HVZ2491" s="61"/>
      <c r="HWA2491" s="58"/>
      <c r="HWB2491" s="58"/>
      <c r="HWC2491" s="58"/>
      <c r="HWD2491" s="60"/>
      <c r="HWE2491" s="58"/>
      <c r="HWF2491" s="58"/>
      <c r="HWG2491" s="58"/>
      <c r="HWH2491" s="61"/>
      <c r="HWI2491" s="58"/>
      <c r="HWJ2491" s="58"/>
      <c r="HWK2491" s="58"/>
      <c r="HWL2491" s="60"/>
      <c r="HWM2491" s="58"/>
      <c r="HWN2491" s="58"/>
      <c r="HWO2491" s="58"/>
      <c r="HWP2491" s="61"/>
      <c r="HWQ2491" s="58"/>
      <c r="HWR2491" s="58"/>
      <c r="HWS2491" s="58"/>
      <c r="HWT2491" s="60"/>
      <c r="HWU2491" s="58"/>
      <c r="HWV2491" s="58"/>
      <c r="HWW2491" s="58"/>
      <c r="HWX2491" s="61"/>
      <c r="HWY2491" s="58"/>
      <c r="HWZ2491" s="58"/>
      <c r="HXA2491" s="58"/>
      <c r="HXB2491" s="60"/>
      <c r="HXC2491" s="58"/>
      <c r="HXD2491" s="58"/>
      <c r="HXE2491" s="58"/>
      <c r="HXF2491" s="61"/>
      <c r="HXG2491" s="58"/>
      <c r="HXH2491" s="58"/>
      <c r="HXI2491" s="58"/>
      <c r="HXJ2491" s="60"/>
      <c r="HXK2491" s="58"/>
      <c r="HXL2491" s="58"/>
      <c r="HXM2491" s="58"/>
      <c r="HXN2491" s="61"/>
      <c r="HXO2491" s="58"/>
      <c r="HXP2491" s="58"/>
      <c r="HXQ2491" s="58"/>
      <c r="HXR2491" s="60"/>
      <c r="HXS2491" s="58"/>
      <c r="HXT2491" s="58"/>
      <c r="HXU2491" s="58"/>
      <c r="HXV2491" s="61"/>
      <c r="HXW2491" s="58"/>
      <c r="HXX2491" s="58"/>
      <c r="HXY2491" s="58"/>
      <c r="HXZ2491" s="60"/>
      <c r="HYA2491" s="58"/>
      <c r="HYB2491" s="58"/>
      <c r="HYC2491" s="58"/>
      <c r="HYD2491" s="61"/>
      <c r="HYE2491" s="58"/>
      <c r="HYF2491" s="58"/>
      <c r="HYG2491" s="58"/>
      <c r="HYH2491" s="60"/>
      <c r="HYI2491" s="58"/>
      <c r="HYJ2491" s="58"/>
      <c r="HYK2491" s="58"/>
      <c r="HYL2491" s="61"/>
      <c r="HYM2491" s="58"/>
      <c r="HYN2491" s="58"/>
      <c r="HYO2491" s="58"/>
      <c r="HYP2491" s="60"/>
      <c r="HYQ2491" s="58"/>
      <c r="HYR2491" s="58"/>
      <c r="HYS2491" s="58"/>
      <c r="HYT2491" s="61"/>
      <c r="HYU2491" s="58"/>
      <c r="HYV2491" s="58"/>
      <c r="HYW2491" s="58"/>
      <c r="HYX2491" s="60"/>
      <c r="HYY2491" s="58"/>
      <c r="HYZ2491" s="58"/>
      <c r="HZA2491" s="58"/>
      <c r="HZB2491" s="61"/>
      <c r="HZC2491" s="58"/>
      <c r="HZD2491" s="58"/>
      <c r="HZE2491" s="58"/>
      <c r="HZF2491" s="60"/>
      <c r="HZG2491" s="58"/>
      <c r="HZH2491" s="58"/>
      <c r="HZI2491" s="58"/>
      <c r="HZJ2491" s="61"/>
      <c r="HZK2491" s="58"/>
      <c r="HZL2491" s="58"/>
      <c r="HZM2491" s="58"/>
      <c r="HZN2491" s="60"/>
      <c r="HZO2491" s="58"/>
      <c r="HZP2491" s="58"/>
      <c r="HZQ2491" s="58"/>
      <c r="HZR2491" s="61"/>
      <c r="HZS2491" s="58"/>
      <c r="HZT2491" s="58"/>
      <c r="HZU2491" s="58"/>
      <c r="HZV2491" s="60"/>
      <c r="HZW2491" s="58"/>
      <c r="HZX2491" s="58"/>
      <c r="HZY2491" s="58"/>
      <c r="HZZ2491" s="61"/>
      <c r="IAA2491" s="58"/>
      <c r="IAB2491" s="58"/>
      <c r="IAC2491" s="58"/>
      <c r="IAD2491" s="60"/>
      <c r="IAE2491" s="58"/>
      <c r="IAF2491" s="58"/>
      <c r="IAG2491" s="58"/>
      <c r="IAH2491" s="61"/>
      <c r="IAI2491" s="58"/>
      <c r="IAJ2491" s="58"/>
      <c r="IAK2491" s="58"/>
      <c r="IAL2491" s="60"/>
      <c r="IAM2491" s="58"/>
      <c r="IAN2491" s="58"/>
      <c r="IAO2491" s="58"/>
      <c r="IAP2491" s="61"/>
      <c r="IAQ2491" s="58"/>
      <c r="IAR2491" s="58"/>
      <c r="IAS2491" s="58"/>
      <c r="IAT2491" s="60"/>
      <c r="IAU2491" s="58"/>
      <c r="IAV2491" s="58"/>
      <c r="IAW2491" s="58"/>
      <c r="IAX2491" s="61"/>
      <c r="IAY2491" s="58"/>
      <c r="IAZ2491" s="58"/>
      <c r="IBA2491" s="58"/>
      <c r="IBB2491" s="60"/>
      <c r="IBC2491" s="58"/>
      <c r="IBD2491" s="58"/>
      <c r="IBE2491" s="58"/>
      <c r="IBF2491" s="61"/>
      <c r="IBG2491" s="58"/>
      <c r="IBH2491" s="58"/>
      <c r="IBI2491" s="58"/>
      <c r="IBJ2491" s="60"/>
      <c r="IBK2491" s="58"/>
      <c r="IBL2491" s="58"/>
      <c r="IBM2491" s="58"/>
      <c r="IBN2491" s="61"/>
      <c r="IBO2491" s="58"/>
      <c r="IBP2491" s="58"/>
      <c r="IBQ2491" s="58"/>
      <c r="IBR2491" s="60"/>
      <c r="IBS2491" s="58"/>
      <c r="IBT2491" s="58"/>
      <c r="IBU2491" s="58"/>
      <c r="IBV2491" s="61"/>
      <c r="IBW2491" s="58"/>
      <c r="IBX2491" s="58"/>
      <c r="IBY2491" s="58"/>
      <c r="IBZ2491" s="60"/>
      <c r="ICA2491" s="58"/>
      <c r="ICB2491" s="58"/>
      <c r="ICC2491" s="58"/>
      <c r="ICD2491" s="61"/>
      <c r="ICE2491" s="58"/>
      <c r="ICF2491" s="58"/>
      <c r="ICG2491" s="58"/>
      <c r="ICH2491" s="60"/>
      <c r="ICI2491" s="58"/>
      <c r="ICJ2491" s="58"/>
      <c r="ICK2491" s="58"/>
      <c r="ICL2491" s="61"/>
      <c r="ICM2491" s="58"/>
      <c r="ICN2491" s="58"/>
      <c r="ICO2491" s="58"/>
      <c r="ICP2491" s="60"/>
      <c r="ICQ2491" s="58"/>
      <c r="ICR2491" s="58"/>
      <c r="ICS2491" s="58"/>
      <c r="ICT2491" s="61"/>
      <c r="ICU2491" s="58"/>
      <c r="ICV2491" s="58"/>
      <c r="ICW2491" s="58"/>
      <c r="ICX2491" s="60"/>
      <c r="ICY2491" s="58"/>
      <c r="ICZ2491" s="58"/>
      <c r="IDA2491" s="58"/>
      <c r="IDB2491" s="61"/>
      <c r="IDC2491" s="58"/>
      <c r="IDD2491" s="58"/>
      <c r="IDE2491" s="58"/>
      <c r="IDF2491" s="60"/>
      <c r="IDG2491" s="58"/>
      <c r="IDH2491" s="58"/>
      <c r="IDI2491" s="58"/>
      <c r="IDJ2491" s="61"/>
      <c r="IDK2491" s="58"/>
      <c r="IDL2491" s="58"/>
      <c r="IDM2491" s="58"/>
      <c r="IDN2491" s="60"/>
      <c r="IDO2491" s="58"/>
      <c r="IDP2491" s="58"/>
      <c r="IDQ2491" s="58"/>
      <c r="IDR2491" s="61"/>
      <c r="IDS2491" s="58"/>
      <c r="IDT2491" s="58"/>
      <c r="IDU2491" s="58"/>
      <c r="IDV2491" s="60"/>
      <c r="IDW2491" s="58"/>
      <c r="IDX2491" s="58"/>
      <c r="IDY2491" s="58"/>
      <c r="IDZ2491" s="61"/>
      <c r="IEA2491" s="58"/>
      <c r="IEB2491" s="58"/>
      <c r="IEC2491" s="58"/>
      <c r="IED2491" s="60"/>
      <c r="IEE2491" s="58"/>
      <c r="IEF2491" s="58"/>
      <c r="IEG2491" s="58"/>
      <c r="IEH2491" s="61"/>
      <c r="IEI2491" s="58"/>
      <c r="IEJ2491" s="58"/>
      <c r="IEK2491" s="58"/>
      <c r="IEL2491" s="60"/>
      <c r="IEM2491" s="58"/>
      <c r="IEN2491" s="58"/>
      <c r="IEO2491" s="58"/>
      <c r="IEP2491" s="61"/>
      <c r="IEQ2491" s="58"/>
      <c r="IER2491" s="58"/>
      <c r="IES2491" s="58"/>
      <c r="IET2491" s="60"/>
      <c r="IEU2491" s="58"/>
      <c r="IEV2491" s="58"/>
      <c r="IEW2491" s="58"/>
      <c r="IEX2491" s="61"/>
      <c r="IEY2491" s="58"/>
      <c r="IEZ2491" s="58"/>
      <c r="IFA2491" s="58"/>
      <c r="IFB2491" s="60"/>
      <c r="IFC2491" s="58"/>
      <c r="IFD2491" s="58"/>
      <c r="IFE2491" s="58"/>
      <c r="IFF2491" s="61"/>
      <c r="IFG2491" s="58"/>
      <c r="IFH2491" s="58"/>
      <c r="IFI2491" s="58"/>
      <c r="IFJ2491" s="60"/>
      <c r="IFK2491" s="58"/>
      <c r="IFL2491" s="58"/>
      <c r="IFM2491" s="58"/>
      <c r="IFN2491" s="61"/>
      <c r="IFO2491" s="58"/>
      <c r="IFP2491" s="58"/>
      <c r="IFQ2491" s="58"/>
      <c r="IFR2491" s="60"/>
      <c r="IFS2491" s="58"/>
      <c r="IFT2491" s="58"/>
      <c r="IFU2491" s="58"/>
      <c r="IFV2491" s="61"/>
      <c r="IFW2491" s="58"/>
      <c r="IFX2491" s="58"/>
      <c r="IFY2491" s="58"/>
      <c r="IFZ2491" s="60"/>
      <c r="IGA2491" s="58"/>
      <c r="IGB2491" s="58"/>
      <c r="IGC2491" s="58"/>
      <c r="IGD2491" s="61"/>
      <c r="IGE2491" s="58"/>
      <c r="IGF2491" s="58"/>
      <c r="IGG2491" s="58"/>
      <c r="IGH2491" s="60"/>
      <c r="IGI2491" s="58"/>
      <c r="IGJ2491" s="58"/>
      <c r="IGK2491" s="58"/>
      <c r="IGL2491" s="61"/>
      <c r="IGM2491" s="58"/>
      <c r="IGN2491" s="58"/>
      <c r="IGO2491" s="58"/>
      <c r="IGP2491" s="60"/>
      <c r="IGQ2491" s="58"/>
      <c r="IGR2491" s="58"/>
      <c r="IGS2491" s="58"/>
      <c r="IGT2491" s="61"/>
      <c r="IGU2491" s="58"/>
      <c r="IGV2491" s="58"/>
      <c r="IGW2491" s="58"/>
      <c r="IGX2491" s="60"/>
      <c r="IGY2491" s="58"/>
      <c r="IGZ2491" s="58"/>
      <c r="IHA2491" s="58"/>
      <c r="IHB2491" s="61"/>
      <c r="IHC2491" s="58"/>
      <c r="IHD2491" s="58"/>
      <c r="IHE2491" s="58"/>
      <c r="IHF2491" s="60"/>
      <c r="IHG2491" s="58"/>
      <c r="IHH2491" s="58"/>
      <c r="IHI2491" s="58"/>
      <c r="IHJ2491" s="61"/>
      <c r="IHK2491" s="58"/>
      <c r="IHL2491" s="58"/>
      <c r="IHM2491" s="58"/>
      <c r="IHN2491" s="60"/>
      <c r="IHO2491" s="58"/>
      <c r="IHP2491" s="58"/>
      <c r="IHQ2491" s="58"/>
      <c r="IHR2491" s="61"/>
      <c r="IHS2491" s="58"/>
      <c r="IHT2491" s="58"/>
      <c r="IHU2491" s="58"/>
      <c r="IHV2491" s="60"/>
      <c r="IHW2491" s="58"/>
      <c r="IHX2491" s="58"/>
      <c r="IHY2491" s="58"/>
      <c r="IHZ2491" s="61"/>
      <c r="IIA2491" s="58"/>
      <c r="IIB2491" s="58"/>
      <c r="IIC2491" s="58"/>
      <c r="IID2491" s="60"/>
      <c r="IIE2491" s="58"/>
      <c r="IIF2491" s="58"/>
      <c r="IIG2491" s="58"/>
      <c r="IIH2491" s="61"/>
      <c r="III2491" s="58"/>
      <c r="IIJ2491" s="58"/>
      <c r="IIK2491" s="58"/>
      <c r="IIL2491" s="60"/>
      <c r="IIM2491" s="58"/>
      <c r="IIN2491" s="58"/>
      <c r="IIO2491" s="58"/>
      <c r="IIP2491" s="61"/>
      <c r="IIQ2491" s="58"/>
      <c r="IIR2491" s="58"/>
      <c r="IIS2491" s="58"/>
      <c r="IIT2491" s="60"/>
      <c r="IIU2491" s="58"/>
      <c r="IIV2491" s="58"/>
      <c r="IIW2491" s="58"/>
      <c r="IIX2491" s="61"/>
      <c r="IIY2491" s="58"/>
      <c r="IIZ2491" s="58"/>
      <c r="IJA2491" s="58"/>
      <c r="IJB2491" s="60"/>
      <c r="IJC2491" s="58"/>
      <c r="IJD2491" s="58"/>
      <c r="IJE2491" s="58"/>
      <c r="IJF2491" s="61"/>
      <c r="IJG2491" s="58"/>
      <c r="IJH2491" s="58"/>
      <c r="IJI2491" s="58"/>
      <c r="IJJ2491" s="60"/>
      <c r="IJK2491" s="58"/>
      <c r="IJL2491" s="58"/>
      <c r="IJM2491" s="58"/>
      <c r="IJN2491" s="61"/>
      <c r="IJO2491" s="58"/>
      <c r="IJP2491" s="58"/>
      <c r="IJQ2491" s="58"/>
      <c r="IJR2491" s="60"/>
      <c r="IJS2491" s="58"/>
      <c r="IJT2491" s="58"/>
      <c r="IJU2491" s="58"/>
      <c r="IJV2491" s="61"/>
      <c r="IJW2491" s="58"/>
      <c r="IJX2491" s="58"/>
      <c r="IJY2491" s="58"/>
      <c r="IJZ2491" s="60"/>
      <c r="IKA2491" s="58"/>
      <c r="IKB2491" s="58"/>
      <c r="IKC2491" s="58"/>
      <c r="IKD2491" s="61"/>
      <c r="IKE2491" s="58"/>
      <c r="IKF2491" s="58"/>
      <c r="IKG2491" s="58"/>
      <c r="IKH2491" s="60"/>
      <c r="IKI2491" s="58"/>
      <c r="IKJ2491" s="58"/>
      <c r="IKK2491" s="58"/>
      <c r="IKL2491" s="61"/>
      <c r="IKM2491" s="58"/>
      <c r="IKN2491" s="58"/>
      <c r="IKO2491" s="58"/>
      <c r="IKP2491" s="60"/>
      <c r="IKQ2491" s="58"/>
      <c r="IKR2491" s="58"/>
      <c r="IKS2491" s="58"/>
      <c r="IKT2491" s="61"/>
      <c r="IKU2491" s="58"/>
      <c r="IKV2491" s="58"/>
      <c r="IKW2491" s="58"/>
      <c r="IKX2491" s="60"/>
      <c r="IKY2491" s="58"/>
      <c r="IKZ2491" s="58"/>
      <c r="ILA2491" s="58"/>
      <c r="ILB2491" s="61"/>
      <c r="ILC2491" s="58"/>
      <c r="ILD2491" s="58"/>
      <c r="ILE2491" s="58"/>
      <c r="ILF2491" s="60"/>
      <c r="ILG2491" s="58"/>
      <c r="ILH2491" s="58"/>
      <c r="ILI2491" s="58"/>
      <c r="ILJ2491" s="61"/>
      <c r="ILK2491" s="58"/>
      <c r="ILL2491" s="58"/>
      <c r="ILM2491" s="58"/>
      <c r="ILN2491" s="60"/>
      <c r="ILO2491" s="58"/>
      <c r="ILP2491" s="58"/>
      <c r="ILQ2491" s="58"/>
      <c r="ILR2491" s="61"/>
      <c r="ILS2491" s="58"/>
      <c r="ILT2491" s="58"/>
      <c r="ILU2491" s="58"/>
      <c r="ILV2491" s="60"/>
      <c r="ILW2491" s="58"/>
      <c r="ILX2491" s="58"/>
      <c r="ILY2491" s="58"/>
      <c r="ILZ2491" s="61"/>
      <c r="IMA2491" s="58"/>
      <c r="IMB2491" s="58"/>
      <c r="IMC2491" s="58"/>
      <c r="IMD2491" s="60"/>
      <c r="IME2491" s="58"/>
      <c r="IMF2491" s="58"/>
      <c r="IMG2491" s="58"/>
      <c r="IMH2491" s="61"/>
      <c r="IMI2491" s="58"/>
      <c r="IMJ2491" s="58"/>
      <c r="IMK2491" s="58"/>
      <c r="IML2491" s="60"/>
      <c r="IMM2491" s="58"/>
      <c r="IMN2491" s="58"/>
      <c r="IMO2491" s="58"/>
      <c r="IMP2491" s="61"/>
      <c r="IMQ2491" s="58"/>
      <c r="IMR2491" s="58"/>
      <c r="IMS2491" s="58"/>
      <c r="IMT2491" s="60"/>
      <c r="IMU2491" s="58"/>
      <c r="IMV2491" s="58"/>
      <c r="IMW2491" s="58"/>
      <c r="IMX2491" s="61"/>
      <c r="IMY2491" s="58"/>
      <c r="IMZ2491" s="58"/>
      <c r="INA2491" s="58"/>
      <c r="INB2491" s="60"/>
      <c r="INC2491" s="58"/>
      <c r="IND2491" s="58"/>
      <c r="INE2491" s="58"/>
      <c r="INF2491" s="61"/>
      <c r="ING2491" s="58"/>
      <c r="INH2491" s="58"/>
      <c r="INI2491" s="58"/>
      <c r="INJ2491" s="60"/>
      <c r="INK2491" s="58"/>
      <c r="INL2491" s="58"/>
      <c r="INM2491" s="58"/>
      <c r="INN2491" s="61"/>
      <c r="INO2491" s="58"/>
      <c r="INP2491" s="58"/>
      <c r="INQ2491" s="58"/>
      <c r="INR2491" s="60"/>
      <c r="INS2491" s="58"/>
      <c r="INT2491" s="58"/>
      <c r="INU2491" s="58"/>
      <c r="INV2491" s="61"/>
      <c r="INW2491" s="58"/>
      <c r="INX2491" s="58"/>
      <c r="INY2491" s="58"/>
      <c r="INZ2491" s="60"/>
      <c r="IOA2491" s="58"/>
      <c r="IOB2491" s="58"/>
      <c r="IOC2491" s="58"/>
      <c r="IOD2491" s="61"/>
      <c r="IOE2491" s="58"/>
      <c r="IOF2491" s="58"/>
      <c r="IOG2491" s="58"/>
      <c r="IOH2491" s="60"/>
      <c r="IOI2491" s="58"/>
      <c r="IOJ2491" s="58"/>
      <c r="IOK2491" s="58"/>
      <c r="IOL2491" s="61"/>
      <c r="IOM2491" s="58"/>
      <c r="ION2491" s="58"/>
      <c r="IOO2491" s="58"/>
      <c r="IOP2491" s="60"/>
      <c r="IOQ2491" s="58"/>
      <c r="IOR2491" s="58"/>
      <c r="IOS2491" s="58"/>
      <c r="IOT2491" s="61"/>
      <c r="IOU2491" s="58"/>
      <c r="IOV2491" s="58"/>
      <c r="IOW2491" s="58"/>
      <c r="IOX2491" s="60"/>
      <c r="IOY2491" s="58"/>
      <c r="IOZ2491" s="58"/>
      <c r="IPA2491" s="58"/>
      <c r="IPB2491" s="61"/>
      <c r="IPC2491" s="58"/>
      <c r="IPD2491" s="58"/>
      <c r="IPE2491" s="58"/>
      <c r="IPF2491" s="60"/>
      <c r="IPG2491" s="58"/>
      <c r="IPH2491" s="58"/>
      <c r="IPI2491" s="58"/>
      <c r="IPJ2491" s="61"/>
      <c r="IPK2491" s="58"/>
      <c r="IPL2491" s="58"/>
      <c r="IPM2491" s="58"/>
      <c r="IPN2491" s="60"/>
      <c r="IPO2491" s="58"/>
      <c r="IPP2491" s="58"/>
      <c r="IPQ2491" s="58"/>
      <c r="IPR2491" s="61"/>
      <c r="IPS2491" s="58"/>
      <c r="IPT2491" s="58"/>
      <c r="IPU2491" s="58"/>
      <c r="IPV2491" s="60"/>
      <c r="IPW2491" s="58"/>
      <c r="IPX2491" s="58"/>
      <c r="IPY2491" s="58"/>
      <c r="IPZ2491" s="61"/>
      <c r="IQA2491" s="58"/>
      <c r="IQB2491" s="58"/>
      <c r="IQC2491" s="58"/>
      <c r="IQD2491" s="60"/>
      <c r="IQE2491" s="58"/>
      <c r="IQF2491" s="58"/>
      <c r="IQG2491" s="58"/>
      <c r="IQH2491" s="61"/>
      <c r="IQI2491" s="58"/>
      <c r="IQJ2491" s="58"/>
      <c r="IQK2491" s="58"/>
      <c r="IQL2491" s="60"/>
      <c r="IQM2491" s="58"/>
      <c r="IQN2491" s="58"/>
      <c r="IQO2491" s="58"/>
      <c r="IQP2491" s="61"/>
      <c r="IQQ2491" s="58"/>
      <c r="IQR2491" s="58"/>
      <c r="IQS2491" s="58"/>
      <c r="IQT2491" s="60"/>
      <c r="IQU2491" s="58"/>
      <c r="IQV2491" s="58"/>
      <c r="IQW2491" s="58"/>
      <c r="IQX2491" s="61"/>
      <c r="IQY2491" s="58"/>
      <c r="IQZ2491" s="58"/>
      <c r="IRA2491" s="58"/>
      <c r="IRB2491" s="60"/>
      <c r="IRC2491" s="58"/>
      <c r="IRD2491" s="58"/>
      <c r="IRE2491" s="58"/>
      <c r="IRF2491" s="61"/>
      <c r="IRG2491" s="58"/>
      <c r="IRH2491" s="58"/>
      <c r="IRI2491" s="58"/>
      <c r="IRJ2491" s="60"/>
      <c r="IRK2491" s="58"/>
      <c r="IRL2491" s="58"/>
      <c r="IRM2491" s="58"/>
      <c r="IRN2491" s="61"/>
      <c r="IRO2491" s="58"/>
      <c r="IRP2491" s="58"/>
      <c r="IRQ2491" s="58"/>
      <c r="IRR2491" s="60"/>
      <c r="IRS2491" s="58"/>
      <c r="IRT2491" s="58"/>
      <c r="IRU2491" s="58"/>
      <c r="IRV2491" s="61"/>
      <c r="IRW2491" s="58"/>
      <c r="IRX2491" s="58"/>
      <c r="IRY2491" s="58"/>
      <c r="IRZ2491" s="60"/>
      <c r="ISA2491" s="58"/>
      <c r="ISB2491" s="58"/>
      <c r="ISC2491" s="58"/>
      <c r="ISD2491" s="61"/>
      <c r="ISE2491" s="58"/>
      <c r="ISF2491" s="58"/>
      <c r="ISG2491" s="58"/>
      <c r="ISH2491" s="60"/>
      <c r="ISI2491" s="58"/>
      <c r="ISJ2491" s="58"/>
      <c r="ISK2491" s="58"/>
      <c r="ISL2491" s="61"/>
      <c r="ISM2491" s="58"/>
      <c r="ISN2491" s="58"/>
      <c r="ISO2491" s="58"/>
      <c r="ISP2491" s="60"/>
      <c r="ISQ2491" s="58"/>
      <c r="ISR2491" s="58"/>
      <c r="ISS2491" s="58"/>
      <c r="IST2491" s="61"/>
      <c r="ISU2491" s="58"/>
      <c r="ISV2491" s="58"/>
      <c r="ISW2491" s="58"/>
      <c r="ISX2491" s="60"/>
      <c r="ISY2491" s="58"/>
      <c r="ISZ2491" s="58"/>
      <c r="ITA2491" s="58"/>
      <c r="ITB2491" s="61"/>
      <c r="ITC2491" s="58"/>
      <c r="ITD2491" s="58"/>
      <c r="ITE2491" s="58"/>
      <c r="ITF2491" s="60"/>
      <c r="ITG2491" s="58"/>
      <c r="ITH2491" s="58"/>
      <c r="ITI2491" s="58"/>
      <c r="ITJ2491" s="61"/>
      <c r="ITK2491" s="58"/>
      <c r="ITL2491" s="58"/>
      <c r="ITM2491" s="58"/>
      <c r="ITN2491" s="60"/>
      <c r="ITO2491" s="58"/>
      <c r="ITP2491" s="58"/>
      <c r="ITQ2491" s="58"/>
      <c r="ITR2491" s="61"/>
      <c r="ITS2491" s="58"/>
      <c r="ITT2491" s="58"/>
      <c r="ITU2491" s="58"/>
      <c r="ITV2491" s="60"/>
      <c r="ITW2491" s="58"/>
      <c r="ITX2491" s="58"/>
      <c r="ITY2491" s="58"/>
      <c r="ITZ2491" s="61"/>
      <c r="IUA2491" s="58"/>
      <c r="IUB2491" s="58"/>
      <c r="IUC2491" s="58"/>
      <c r="IUD2491" s="60"/>
      <c r="IUE2491" s="58"/>
      <c r="IUF2491" s="58"/>
      <c r="IUG2491" s="58"/>
      <c r="IUH2491" s="61"/>
      <c r="IUI2491" s="58"/>
      <c r="IUJ2491" s="58"/>
      <c r="IUK2491" s="58"/>
      <c r="IUL2491" s="60"/>
      <c r="IUM2491" s="58"/>
      <c r="IUN2491" s="58"/>
      <c r="IUO2491" s="58"/>
      <c r="IUP2491" s="61"/>
      <c r="IUQ2491" s="58"/>
      <c r="IUR2491" s="58"/>
      <c r="IUS2491" s="58"/>
      <c r="IUT2491" s="60"/>
      <c r="IUU2491" s="58"/>
      <c r="IUV2491" s="58"/>
      <c r="IUW2491" s="58"/>
      <c r="IUX2491" s="61"/>
      <c r="IUY2491" s="58"/>
      <c r="IUZ2491" s="58"/>
      <c r="IVA2491" s="58"/>
      <c r="IVB2491" s="60"/>
      <c r="IVC2491" s="58"/>
      <c r="IVD2491" s="58"/>
      <c r="IVE2491" s="58"/>
      <c r="IVF2491" s="61"/>
      <c r="IVG2491" s="58"/>
      <c r="IVH2491" s="58"/>
      <c r="IVI2491" s="58"/>
      <c r="IVJ2491" s="60"/>
      <c r="IVK2491" s="58"/>
      <c r="IVL2491" s="58"/>
      <c r="IVM2491" s="58"/>
      <c r="IVN2491" s="61"/>
      <c r="IVO2491" s="58"/>
      <c r="IVP2491" s="58"/>
      <c r="IVQ2491" s="58"/>
      <c r="IVR2491" s="60"/>
      <c r="IVS2491" s="58"/>
      <c r="IVT2491" s="58"/>
      <c r="IVU2491" s="58"/>
      <c r="IVV2491" s="61"/>
      <c r="IVW2491" s="58"/>
      <c r="IVX2491" s="58"/>
      <c r="IVY2491" s="58"/>
      <c r="IVZ2491" s="60"/>
      <c r="IWA2491" s="58"/>
      <c r="IWB2491" s="58"/>
      <c r="IWC2491" s="58"/>
      <c r="IWD2491" s="61"/>
      <c r="IWE2491" s="58"/>
      <c r="IWF2491" s="58"/>
      <c r="IWG2491" s="58"/>
      <c r="IWH2491" s="60"/>
      <c r="IWI2491" s="58"/>
      <c r="IWJ2491" s="58"/>
      <c r="IWK2491" s="58"/>
      <c r="IWL2491" s="61"/>
      <c r="IWM2491" s="58"/>
      <c r="IWN2491" s="58"/>
      <c r="IWO2491" s="58"/>
      <c r="IWP2491" s="60"/>
      <c r="IWQ2491" s="58"/>
      <c r="IWR2491" s="58"/>
      <c r="IWS2491" s="58"/>
      <c r="IWT2491" s="61"/>
      <c r="IWU2491" s="58"/>
      <c r="IWV2491" s="58"/>
      <c r="IWW2491" s="58"/>
      <c r="IWX2491" s="60"/>
      <c r="IWY2491" s="58"/>
      <c r="IWZ2491" s="58"/>
      <c r="IXA2491" s="58"/>
      <c r="IXB2491" s="61"/>
      <c r="IXC2491" s="58"/>
      <c r="IXD2491" s="58"/>
      <c r="IXE2491" s="58"/>
      <c r="IXF2491" s="60"/>
      <c r="IXG2491" s="58"/>
      <c r="IXH2491" s="58"/>
      <c r="IXI2491" s="58"/>
      <c r="IXJ2491" s="61"/>
      <c r="IXK2491" s="58"/>
      <c r="IXL2491" s="58"/>
      <c r="IXM2491" s="58"/>
      <c r="IXN2491" s="60"/>
      <c r="IXO2491" s="58"/>
      <c r="IXP2491" s="58"/>
      <c r="IXQ2491" s="58"/>
      <c r="IXR2491" s="61"/>
      <c r="IXS2491" s="58"/>
      <c r="IXT2491" s="58"/>
      <c r="IXU2491" s="58"/>
      <c r="IXV2491" s="60"/>
      <c r="IXW2491" s="58"/>
      <c r="IXX2491" s="58"/>
      <c r="IXY2491" s="58"/>
      <c r="IXZ2491" s="61"/>
      <c r="IYA2491" s="58"/>
      <c r="IYB2491" s="58"/>
      <c r="IYC2491" s="58"/>
      <c r="IYD2491" s="60"/>
      <c r="IYE2491" s="58"/>
      <c r="IYF2491" s="58"/>
      <c r="IYG2491" s="58"/>
      <c r="IYH2491" s="61"/>
      <c r="IYI2491" s="58"/>
      <c r="IYJ2491" s="58"/>
      <c r="IYK2491" s="58"/>
      <c r="IYL2491" s="60"/>
      <c r="IYM2491" s="58"/>
      <c r="IYN2491" s="58"/>
      <c r="IYO2491" s="58"/>
      <c r="IYP2491" s="61"/>
      <c r="IYQ2491" s="58"/>
      <c r="IYR2491" s="58"/>
      <c r="IYS2491" s="58"/>
      <c r="IYT2491" s="60"/>
      <c r="IYU2491" s="58"/>
      <c r="IYV2491" s="58"/>
      <c r="IYW2491" s="58"/>
      <c r="IYX2491" s="61"/>
      <c r="IYY2491" s="58"/>
      <c r="IYZ2491" s="58"/>
      <c r="IZA2491" s="58"/>
      <c r="IZB2491" s="60"/>
      <c r="IZC2491" s="58"/>
      <c r="IZD2491" s="58"/>
      <c r="IZE2491" s="58"/>
      <c r="IZF2491" s="61"/>
      <c r="IZG2491" s="58"/>
      <c r="IZH2491" s="58"/>
      <c r="IZI2491" s="58"/>
      <c r="IZJ2491" s="60"/>
      <c r="IZK2491" s="58"/>
      <c r="IZL2491" s="58"/>
      <c r="IZM2491" s="58"/>
      <c r="IZN2491" s="61"/>
      <c r="IZO2491" s="58"/>
      <c r="IZP2491" s="58"/>
      <c r="IZQ2491" s="58"/>
      <c r="IZR2491" s="60"/>
      <c r="IZS2491" s="58"/>
      <c r="IZT2491" s="58"/>
      <c r="IZU2491" s="58"/>
      <c r="IZV2491" s="61"/>
      <c r="IZW2491" s="58"/>
      <c r="IZX2491" s="58"/>
      <c r="IZY2491" s="58"/>
      <c r="IZZ2491" s="60"/>
      <c r="JAA2491" s="58"/>
      <c r="JAB2491" s="58"/>
      <c r="JAC2491" s="58"/>
      <c r="JAD2491" s="61"/>
      <c r="JAE2491" s="58"/>
      <c r="JAF2491" s="58"/>
      <c r="JAG2491" s="58"/>
      <c r="JAH2491" s="60"/>
      <c r="JAI2491" s="58"/>
      <c r="JAJ2491" s="58"/>
      <c r="JAK2491" s="58"/>
      <c r="JAL2491" s="61"/>
      <c r="JAM2491" s="58"/>
      <c r="JAN2491" s="58"/>
      <c r="JAO2491" s="58"/>
      <c r="JAP2491" s="60"/>
      <c r="JAQ2491" s="58"/>
      <c r="JAR2491" s="58"/>
      <c r="JAS2491" s="58"/>
      <c r="JAT2491" s="61"/>
      <c r="JAU2491" s="58"/>
      <c r="JAV2491" s="58"/>
      <c r="JAW2491" s="58"/>
      <c r="JAX2491" s="60"/>
      <c r="JAY2491" s="58"/>
      <c r="JAZ2491" s="58"/>
      <c r="JBA2491" s="58"/>
      <c r="JBB2491" s="61"/>
      <c r="JBC2491" s="58"/>
      <c r="JBD2491" s="58"/>
      <c r="JBE2491" s="58"/>
      <c r="JBF2491" s="60"/>
      <c r="JBG2491" s="58"/>
      <c r="JBH2491" s="58"/>
      <c r="JBI2491" s="58"/>
      <c r="JBJ2491" s="61"/>
      <c r="JBK2491" s="58"/>
      <c r="JBL2491" s="58"/>
      <c r="JBM2491" s="58"/>
      <c r="JBN2491" s="60"/>
      <c r="JBO2491" s="58"/>
      <c r="JBP2491" s="58"/>
      <c r="JBQ2491" s="58"/>
      <c r="JBR2491" s="61"/>
      <c r="JBS2491" s="58"/>
      <c r="JBT2491" s="58"/>
      <c r="JBU2491" s="58"/>
      <c r="JBV2491" s="60"/>
      <c r="JBW2491" s="58"/>
      <c r="JBX2491" s="58"/>
      <c r="JBY2491" s="58"/>
      <c r="JBZ2491" s="61"/>
      <c r="JCA2491" s="58"/>
      <c r="JCB2491" s="58"/>
      <c r="JCC2491" s="58"/>
      <c r="JCD2491" s="60"/>
      <c r="JCE2491" s="58"/>
      <c r="JCF2491" s="58"/>
      <c r="JCG2491" s="58"/>
      <c r="JCH2491" s="61"/>
      <c r="JCI2491" s="58"/>
      <c r="JCJ2491" s="58"/>
      <c r="JCK2491" s="58"/>
      <c r="JCL2491" s="60"/>
      <c r="JCM2491" s="58"/>
      <c r="JCN2491" s="58"/>
      <c r="JCO2491" s="58"/>
      <c r="JCP2491" s="61"/>
      <c r="JCQ2491" s="58"/>
      <c r="JCR2491" s="58"/>
      <c r="JCS2491" s="58"/>
      <c r="JCT2491" s="60"/>
      <c r="JCU2491" s="58"/>
      <c r="JCV2491" s="58"/>
      <c r="JCW2491" s="58"/>
      <c r="JCX2491" s="61"/>
      <c r="JCY2491" s="58"/>
      <c r="JCZ2491" s="58"/>
      <c r="JDA2491" s="58"/>
      <c r="JDB2491" s="60"/>
      <c r="JDC2491" s="58"/>
      <c r="JDD2491" s="58"/>
      <c r="JDE2491" s="58"/>
      <c r="JDF2491" s="61"/>
      <c r="JDG2491" s="58"/>
      <c r="JDH2491" s="58"/>
      <c r="JDI2491" s="58"/>
      <c r="JDJ2491" s="60"/>
      <c r="JDK2491" s="58"/>
      <c r="JDL2491" s="58"/>
      <c r="JDM2491" s="58"/>
      <c r="JDN2491" s="61"/>
      <c r="JDO2491" s="58"/>
      <c r="JDP2491" s="58"/>
      <c r="JDQ2491" s="58"/>
      <c r="JDR2491" s="60"/>
      <c r="JDS2491" s="58"/>
      <c r="JDT2491" s="58"/>
      <c r="JDU2491" s="58"/>
      <c r="JDV2491" s="61"/>
      <c r="JDW2491" s="58"/>
      <c r="JDX2491" s="58"/>
      <c r="JDY2491" s="58"/>
      <c r="JDZ2491" s="60"/>
      <c r="JEA2491" s="58"/>
      <c r="JEB2491" s="58"/>
      <c r="JEC2491" s="58"/>
      <c r="JED2491" s="61"/>
      <c r="JEE2491" s="58"/>
      <c r="JEF2491" s="58"/>
      <c r="JEG2491" s="58"/>
      <c r="JEH2491" s="60"/>
      <c r="JEI2491" s="58"/>
      <c r="JEJ2491" s="58"/>
      <c r="JEK2491" s="58"/>
      <c r="JEL2491" s="61"/>
      <c r="JEM2491" s="58"/>
      <c r="JEN2491" s="58"/>
      <c r="JEO2491" s="58"/>
      <c r="JEP2491" s="60"/>
      <c r="JEQ2491" s="58"/>
      <c r="JER2491" s="58"/>
      <c r="JES2491" s="58"/>
      <c r="JET2491" s="61"/>
      <c r="JEU2491" s="58"/>
      <c r="JEV2491" s="58"/>
      <c r="JEW2491" s="58"/>
      <c r="JEX2491" s="60"/>
      <c r="JEY2491" s="58"/>
      <c r="JEZ2491" s="58"/>
      <c r="JFA2491" s="58"/>
      <c r="JFB2491" s="61"/>
      <c r="JFC2491" s="58"/>
      <c r="JFD2491" s="58"/>
      <c r="JFE2491" s="58"/>
      <c r="JFF2491" s="60"/>
      <c r="JFG2491" s="58"/>
      <c r="JFH2491" s="58"/>
      <c r="JFI2491" s="58"/>
      <c r="JFJ2491" s="61"/>
      <c r="JFK2491" s="58"/>
      <c r="JFL2491" s="58"/>
      <c r="JFM2491" s="58"/>
      <c r="JFN2491" s="60"/>
      <c r="JFO2491" s="58"/>
      <c r="JFP2491" s="58"/>
      <c r="JFQ2491" s="58"/>
      <c r="JFR2491" s="61"/>
      <c r="JFS2491" s="58"/>
      <c r="JFT2491" s="58"/>
      <c r="JFU2491" s="58"/>
      <c r="JFV2491" s="60"/>
      <c r="JFW2491" s="58"/>
      <c r="JFX2491" s="58"/>
      <c r="JFY2491" s="58"/>
      <c r="JFZ2491" s="61"/>
      <c r="JGA2491" s="58"/>
      <c r="JGB2491" s="58"/>
      <c r="JGC2491" s="58"/>
      <c r="JGD2491" s="60"/>
      <c r="JGE2491" s="58"/>
      <c r="JGF2491" s="58"/>
      <c r="JGG2491" s="58"/>
      <c r="JGH2491" s="61"/>
      <c r="JGI2491" s="58"/>
      <c r="JGJ2491" s="58"/>
      <c r="JGK2491" s="58"/>
      <c r="JGL2491" s="60"/>
      <c r="JGM2491" s="58"/>
      <c r="JGN2491" s="58"/>
      <c r="JGO2491" s="58"/>
      <c r="JGP2491" s="61"/>
      <c r="JGQ2491" s="58"/>
      <c r="JGR2491" s="58"/>
      <c r="JGS2491" s="58"/>
      <c r="JGT2491" s="60"/>
      <c r="JGU2491" s="58"/>
      <c r="JGV2491" s="58"/>
      <c r="JGW2491" s="58"/>
      <c r="JGX2491" s="61"/>
      <c r="JGY2491" s="58"/>
      <c r="JGZ2491" s="58"/>
      <c r="JHA2491" s="58"/>
      <c r="JHB2491" s="60"/>
      <c r="JHC2491" s="58"/>
      <c r="JHD2491" s="58"/>
      <c r="JHE2491" s="58"/>
      <c r="JHF2491" s="61"/>
      <c r="JHG2491" s="58"/>
      <c r="JHH2491" s="58"/>
      <c r="JHI2491" s="58"/>
      <c r="JHJ2491" s="60"/>
      <c r="JHK2491" s="58"/>
      <c r="JHL2491" s="58"/>
      <c r="JHM2491" s="58"/>
      <c r="JHN2491" s="61"/>
      <c r="JHO2491" s="58"/>
      <c r="JHP2491" s="58"/>
      <c r="JHQ2491" s="58"/>
      <c r="JHR2491" s="60"/>
      <c r="JHS2491" s="58"/>
      <c r="JHT2491" s="58"/>
      <c r="JHU2491" s="58"/>
      <c r="JHV2491" s="61"/>
      <c r="JHW2491" s="58"/>
      <c r="JHX2491" s="58"/>
      <c r="JHY2491" s="58"/>
      <c r="JHZ2491" s="60"/>
      <c r="JIA2491" s="58"/>
      <c r="JIB2491" s="58"/>
      <c r="JIC2491" s="58"/>
      <c r="JID2491" s="61"/>
      <c r="JIE2491" s="58"/>
      <c r="JIF2491" s="58"/>
      <c r="JIG2491" s="58"/>
      <c r="JIH2491" s="60"/>
      <c r="JII2491" s="58"/>
      <c r="JIJ2491" s="58"/>
      <c r="JIK2491" s="58"/>
      <c r="JIL2491" s="61"/>
      <c r="JIM2491" s="58"/>
      <c r="JIN2491" s="58"/>
      <c r="JIO2491" s="58"/>
      <c r="JIP2491" s="60"/>
      <c r="JIQ2491" s="58"/>
      <c r="JIR2491" s="58"/>
      <c r="JIS2491" s="58"/>
      <c r="JIT2491" s="61"/>
      <c r="JIU2491" s="58"/>
      <c r="JIV2491" s="58"/>
      <c r="JIW2491" s="58"/>
      <c r="JIX2491" s="60"/>
      <c r="JIY2491" s="58"/>
      <c r="JIZ2491" s="58"/>
      <c r="JJA2491" s="58"/>
      <c r="JJB2491" s="61"/>
      <c r="JJC2491" s="58"/>
      <c r="JJD2491" s="58"/>
      <c r="JJE2491" s="58"/>
      <c r="JJF2491" s="60"/>
      <c r="JJG2491" s="58"/>
      <c r="JJH2491" s="58"/>
      <c r="JJI2491" s="58"/>
      <c r="JJJ2491" s="61"/>
      <c r="JJK2491" s="58"/>
      <c r="JJL2491" s="58"/>
      <c r="JJM2491" s="58"/>
      <c r="JJN2491" s="60"/>
      <c r="JJO2491" s="58"/>
      <c r="JJP2491" s="58"/>
      <c r="JJQ2491" s="58"/>
      <c r="JJR2491" s="61"/>
      <c r="JJS2491" s="58"/>
      <c r="JJT2491" s="58"/>
      <c r="JJU2491" s="58"/>
      <c r="JJV2491" s="60"/>
      <c r="JJW2491" s="58"/>
      <c r="JJX2491" s="58"/>
      <c r="JJY2491" s="58"/>
      <c r="JJZ2491" s="61"/>
      <c r="JKA2491" s="58"/>
      <c r="JKB2491" s="58"/>
      <c r="JKC2491" s="58"/>
      <c r="JKD2491" s="60"/>
      <c r="JKE2491" s="58"/>
      <c r="JKF2491" s="58"/>
      <c r="JKG2491" s="58"/>
      <c r="JKH2491" s="61"/>
      <c r="JKI2491" s="58"/>
      <c r="JKJ2491" s="58"/>
      <c r="JKK2491" s="58"/>
      <c r="JKL2491" s="60"/>
      <c r="JKM2491" s="58"/>
      <c r="JKN2491" s="58"/>
      <c r="JKO2491" s="58"/>
      <c r="JKP2491" s="61"/>
      <c r="JKQ2491" s="58"/>
      <c r="JKR2491" s="58"/>
      <c r="JKS2491" s="58"/>
      <c r="JKT2491" s="60"/>
      <c r="JKU2491" s="58"/>
      <c r="JKV2491" s="58"/>
      <c r="JKW2491" s="58"/>
      <c r="JKX2491" s="61"/>
      <c r="JKY2491" s="58"/>
      <c r="JKZ2491" s="58"/>
      <c r="JLA2491" s="58"/>
      <c r="JLB2491" s="60"/>
      <c r="JLC2491" s="58"/>
      <c r="JLD2491" s="58"/>
      <c r="JLE2491" s="58"/>
      <c r="JLF2491" s="61"/>
      <c r="JLG2491" s="58"/>
      <c r="JLH2491" s="58"/>
      <c r="JLI2491" s="58"/>
      <c r="JLJ2491" s="60"/>
      <c r="JLK2491" s="58"/>
      <c r="JLL2491" s="58"/>
      <c r="JLM2491" s="58"/>
      <c r="JLN2491" s="61"/>
      <c r="JLO2491" s="58"/>
      <c r="JLP2491" s="58"/>
      <c r="JLQ2491" s="58"/>
      <c r="JLR2491" s="60"/>
      <c r="JLS2491" s="58"/>
      <c r="JLT2491" s="58"/>
      <c r="JLU2491" s="58"/>
      <c r="JLV2491" s="61"/>
      <c r="JLW2491" s="58"/>
      <c r="JLX2491" s="58"/>
      <c r="JLY2491" s="58"/>
      <c r="JLZ2491" s="60"/>
      <c r="JMA2491" s="58"/>
      <c r="JMB2491" s="58"/>
      <c r="JMC2491" s="58"/>
      <c r="JMD2491" s="61"/>
      <c r="JME2491" s="58"/>
      <c r="JMF2491" s="58"/>
      <c r="JMG2491" s="58"/>
      <c r="JMH2491" s="60"/>
      <c r="JMI2491" s="58"/>
      <c r="JMJ2491" s="58"/>
      <c r="JMK2491" s="58"/>
      <c r="JML2491" s="61"/>
      <c r="JMM2491" s="58"/>
      <c r="JMN2491" s="58"/>
      <c r="JMO2491" s="58"/>
      <c r="JMP2491" s="60"/>
      <c r="JMQ2491" s="58"/>
      <c r="JMR2491" s="58"/>
      <c r="JMS2491" s="58"/>
      <c r="JMT2491" s="61"/>
      <c r="JMU2491" s="58"/>
      <c r="JMV2491" s="58"/>
      <c r="JMW2491" s="58"/>
      <c r="JMX2491" s="60"/>
      <c r="JMY2491" s="58"/>
      <c r="JMZ2491" s="58"/>
      <c r="JNA2491" s="58"/>
      <c r="JNB2491" s="61"/>
      <c r="JNC2491" s="58"/>
      <c r="JND2491" s="58"/>
      <c r="JNE2491" s="58"/>
      <c r="JNF2491" s="60"/>
      <c r="JNG2491" s="58"/>
      <c r="JNH2491" s="58"/>
      <c r="JNI2491" s="58"/>
      <c r="JNJ2491" s="61"/>
      <c r="JNK2491" s="58"/>
      <c r="JNL2491" s="58"/>
      <c r="JNM2491" s="58"/>
      <c r="JNN2491" s="60"/>
      <c r="JNO2491" s="58"/>
      <c r="JNP2491" s="58"/>
      <c r="JNQ2491" s="58"/>
      <c r="JNR2491" s="61"/>
      <c r="JNS2491" s="58"/>
      <c r="JNT2491" s="58"/>
      <c r="JNU2491" s="58"/>
      <c r="JNV2491" s="60"/>
      <c r="JNW2491" s="58"/>
      <c r="JNX2491" s="58"/>
      <c r="JNY2491" s="58"/>
      <c r="JNZ2491" s="61"/>
      <c r="JOA2491" s="58"/>
      <c r="JOB2491" s="58"/>
      <c r="JOC2491" s="58"/>
      <c r="JOD2491" s="60"/>
      <c r="JOE2491" s="58"/>
      <c r="JOF2491" s="58"/>
      <c r="JOG2491" s="58"/>
      <c r="JOH2491" s="61"/>
      <c r="JOI2491" s="58"/>
      <c r="JOJ2491" s="58"/>
      <c r="JOK2491" s="58"/>
      <c r="JOL2491" s="60"/>
      <c r="JOM2491" s="58"/>
      <c r="JON2491" s="58"/>
      <c r="JOO2491" s="58"/>
      <c r="JOP2491" s="61"/>
      <c r="JOQ2491" s="58"/>
      <c r="JOR2491" s="58"/>
      <c r="JOS2491" s="58"/>
      <c r="JOT2491" s="60"/>
      <c r="JOU2491" s="58"/>
      <c r="JOV2491" s="58"/>
      <c r="JOW2491" s="58"/>
      <c r="JOX2491" s="61"/>
      <c r="JOY2491" s="58"/>
      <c r="JOZ2491" s="58"/>
      <c r="JPA2491" s="58"/>
      <c r="JPB2491" s="60"/>
      <c r="JPC2491" s="58"/>
      <c r="JPD2491" s="58"/>
      <c r="JPE2491" s="58"/>
      <c r="JPF2491" s="61"/>
      <c r="JPG2491" s="58"/>
      <c r="JPH2491" s="58"/>
      <c r="JPI2491" s="58"/>
      <c r="JPJ2491" s="60"/>
      <c r="JPK2491" s="58"/>
      <c r="JPL2491" s="58"/>
      <c r="JPM2491" s="58"/>
      <c r="JPN2491" s="61"/>
      <c r="JPO2491" s="58"/>
      <c r="JPP2491" s="58"/>
      <c r="JPQ2491" s="58"/>
      <c r="JPR2491" s="60"/>
      <c r="JPS2491" s="58"/>
      <c r="JPT2491" s="58"/>
      <c r="JPU2491" s="58"/>
      <c r="JPV2491" s="61"/>
      <c r="JPW2491" s="58"/>
      <c r="JPX2491" s="58"/>
      <c r="JPY2491" s="58"/>
      <c r="JPZ2491" s="60"/>
      <c r="JQA2491" s="58"/>
      <c r="JQB2491" s="58"/>
      <c r="JQC2491" s="58"/>
      <c r="JQD2491" s="61"/>
      <c r="JQE2491" s="58"/>
      <c r="JQF2491" s="58"/>
      <c r="JQG2491" s="58"/>
      <c r="JQH2491" s="60"/>
      <c r="JQI2491" s="58"/>
      <c r="JQJ2491" s="58"/>
      <c r="JQK2491" s="58"/>
      <c r="JQL2491" s="61"/>
      <c r="JQM2491" s="58"/>
      <c r="JQN2491" s="58"/>
      <c r="JQO2491" s="58"/>
      <c r="JQP2491" s="60"/>
      <c r="JQQ2491" s="58"/>
      <c r="JQR2491" s="58"/>
      <c r="JQS2491" s="58"/>
      <c r="JQT2491" s="61"/>
      <c r="JQU2491" s="58"/>
      <c r="JQV2491" s="58"/>
      <c r="JQW2491" s="58"/>
      <c r="JQX2491" s="60"/>
      <c r="JQY2491" s="58"/>
      <c r="JQZ2491" s="58"/>
      <c r="JRA2491" s="58"/>
      <c r="JRB2491" s="61"/>
      <c r="JRC2491" s="58"/>
      <c r="JRD2491" s="58"/>
      <c r="JRE2491" s="58"/>
      <c r="JRF2491" s="60"/>
      <c r="JRG2491" s="58"/>
      <c r="JRH2491" s="58"/>
      <c r="JRI2491" s="58"/>
      <c r="JRJ2491" s="61"/>
      <c r="JRK2491" s="58"/>
      <c r="JRL2491" s="58"/>
      <c r="JRM2491" s="58"/>
      <c r="JRN2491" s="60"/>
      <c r="JRO2491" s="58"/>
      <c r="JRP2491" s="58"/>
      <c r="JRQ2491" s="58"/>
      <c r="JRR2491" s="61"/>
      <c r="JRS2491" s="58"/>
      <c r="JRT2491" s="58"/>
      <c r="JRU2491" s="58"/>
      <c r="JRV2491" s="60"/>
      <c r="JRW2491" s="58"/>
      <c r="JRX2491" s="58"/>
      <c r="JRY2491" s="58"/>
      <c r="JRZ2491" s="61"/>
      <c r="JSA2491" s="58"/>
      <c r="JSB2491" s="58"/>
      <c r="JSC2491" s="58"/>
      <c r="JSD2491" s="60"/>
      <c r="JSE2491" s="58"/>
      <c r="JSF2491" s="58"/>
      <c r="JSG2491" s="58"/>
      <c r="JSH2491" s="61"/>
      <c r="JSI2491" s="58"/>
      <c r="JSJ2491" s="58"/>
      <c r="JSK2491" s="58"/>
      <c r="JSL2491" s="60"/>
      <c r="JSM2491" s="58"/>
      <c r="JSN2491" s="58"/>
      <c r="JSO2491" s="58"/>
      <c r="JSP2491" s="61"/>
      <c r="JSQ2491" s="58"/>
      <c r="JSR2491" s="58"/>
      <c r="JSS2491" s="58"/>
      <c r="JST2491" s="60"/>
      <c r="JSU2491" s="58"/>
      <c r="JSV2491" s="58"/>
      <c r="JSW2491" s="58"/>
      <c r="JSX2491" s="61"/>
      <c r="JSY2491" s="58"/>
      <c r="JSZ2491" s="58"/>
      <c r="JTA2491" s="58"/>
      <c r="JTB2491" s="60"/>
      <c r="JTC2491" s="58"/>
      <c r="JTD2491" s="58"/>
      <c r="JTE2491" s="58"/>
      <c r="JTF2491" s="61"/>
      <c r="JTG2491" s="58"/>
      <c r="JTH2491" s="58"/>
      <c r="JTI2491" s="58"/>
      <c r="JTJ2491" s="60"/>
      <c r="JTK2491" s="58"/>
      <c r="JTL2491" s="58"/>
      <c r="JTM2491" s="58"/>
      <c r="JTN2491" s="61"/>
      <c r="JTO2491" s="58"/>
      <c r="JTP2491" s="58"/>
      <c r="JTQ2491" s="58"/>
      <c r="JTR2491" s="60"/>
      <c r="JTS2491" s="58"/>
      <c r="JTT2491" s="58"/>
      <c r="JTU2491" s="58"/>
      <c r="JTV2491" s="61"/>
      <c r="JTW2491" s="58"/>
      <c r="JTX2491" s="58"/>
      <c r="JTY2491" s="58"/>
      <c r="JTZ2491" s="60"/>
      <c r="JUA2491" s="58"/>
      <c r="JUB2491" s="58"/>
      <c r="JUC2491" s="58"/>
      <c r="JUD2491" s="61"/>
      <c r="JUE2491" s="58"/>
      <c r="JUF2491" s="58"/>
      <c r="JUG2491" s="58"/>
      <c r="JUH2491" s="60"/>
      <c r="JUI2491" s="58"/>
      <c r="JUJ2491" s="58"/>
      <c r="JUK2491" s="58"/>
      <c r="JUL2491" s="61"/>
      <c r="JUM2491" s="58"/>
      <c r="JUN2491" s="58"/>
      <c r="JUO2491" s="58"/>
      <c r="JUP2491" s="60"/>
      <c r="JUQ2491" s="58"/>
      <c r="JUR2491" s="58"/>
      <c r="JUS2491" s="58"/>
      <c r="JUT2491" s="61"/>
      <c r="JUU2491" s="58"/>
      <c r="JUV2491" s="58"/>
      <c r="JUW2491" s="58"/>
      <c r="JUX2491" s="60"/>
      <c r="JUY2491" s="58"/>
      <c r="JUZ2491" s="58"/>
      <c r="JVA2491" s="58"/>
      <c r="JVB2491" s="61"/>
      <c r="JVC2491" s="58"/>
      <c r="JVD2491" s="58"/>
      <c r="JVE2491" s="58"/>
      <c r="JVF2491" s="60"/>
      <c r="JVG2491" s="58"/>
      <c r="JVH2491" s="58"/>
      <c r="JVI2491" s="58"/>
      <c r="JVJ2491" s="61"/>
      <c r="JVK2491" s="58"/>
      <c r="JVL2491" s="58"/>
      <c r="JVM2491" s="58"/>
      <c r="JVN2491" s="60"/>
      <c r="JVO2491" s="58"/>
      <c r="JVP2491" s="58"/>
      <c r="JVQ2491" s="58"/>
      <c r="JVR2491" s="61"/>
      <c r="JVS2491" s="58"/>
      <c r="JVT2491" s="58"/>
      <c r="JVU2491" s="58"/>
      <c r="JVV2491" s="60"/>
      <c r="JVW2491" s="58"/>
      <c r="JVX2491" s="58"/>
      <c r="JVY2491" s="58"/>
      <c r="JVZ2491" s="61"/>
      <c r="JWA2491" s="58"/>
      <c r="JWB2491" s="58"/>
      <c r="JWC2491" s="58"/>
      <c r="JWD2491" s="60"/>
      <c r="JWE2491" s="58"/>
      <c r="JWF2491" s="58"/>
      <c r="JWG2491" s="58"/>
      <c r="JWH2491" s="61"/>
      <c r="JWI2491" s="58"/>
      <c r="JWJ2491" s="58"/>
      <c r="JWK2491" s="58"/>
      <c r="JWL2491" s="60"/>
      <c r="JWM2491" s="58"/>
      <c r="JWN2491" s="58"/>
      <c r="JWO2491" s="58"/>
      <c r="JWP2491" s="61"/>
      <c r="JWQ2491" s="58"/>
      <c r="JWR2491" s="58"/>
      <c r="JWS2491" s="58"/>
      <c r="JWT2491" s="60"/>
      <c r="JWU2491" s="58"/>
      <c r="JWV2491" s="58"/>
      <c r="JWW2491" s="58"/>
      <c r="JWX2491" s="61"/>
      <c r="JWY2491" s="58"/>
      <c r="JWZ2491" s="58"/>
      <c r="JXA2491" s="58"/>
      <c r="JXB2491" s="60"/>
      <c r="JXC2491" s="58"/>
      <c r="JXD2491" s="58"/>
      <c r="JXE2491" s="58"/>
      <c r="JXF2491" s="61"/>
      <c r="JXG2491" s="58"/>
      <c r="JXH2491" s="58"/>
      <c r="JXI2491" s="58"/>
      <c r="JXJ2491" s="60"/>
      <c r="JXK2491" s="58"/>
      <c r="JXL2491" s="58"/>
      <c r="JXM2491" s="58"/>
      <c r="JXN2491" s="61"/>
      <c r="JXO2491" s="58"/>
      <c r="JXP2491" s="58"/>
      <c r="JXQ2491" s="58"/>
      <c r="JXR2491" s="60"/>
      <c r="JXS2491" s="58"/>
      <c r="JXT2491" s="58"/>
      <c r="JXU2491" s="58"/>
      <c r="JXV2491" s="61"/>
      <c r="JXW2491" s="58"/>
      <c r="JXX2491" s="58"/>
      <c r="JXY2491" s="58"/>
      <c r="JXZ2491" s="60"/>
      <c r="JYA2491" s="58"/>
      <c r="JYB2491" s="58"/>
      <c r="JYC2491" s="58"/>
      <c r="JYD2491" s="61"/>
      <c r="JYE2491" s="58"/>
      <c r="JYF2491" s="58"/>
      <c r="JYG2491" s="58"/>
      <c r="JYH2491" s="60"/>
      <c r="JYI2491" s="58"/>
      <c r="JYJ2491" s="58"/>
      <c r="JYK2491" s="58"/>
      <c r="JYL2491" s="61"/>
      <c r="JYM2491" s="58"/>
      <c r="JYN2491" s="58"/>
      <c r="JYO2491" s="58"/>
      <c r="JYP2491" s="60"/>
      <c r="JYQ2491" s="58"/>
      <c r="JYR2491" s="58"/>
      <c r="JYS2491" s="58"/>
      <c r="JYT2491" s="61"/>
      <c r="JYU2491" s="58"/>
      <c r="JYV2491" s="58"/>
      <c r="JYW2491" s="58"/>
      <c r="JYX2491" s="60"/>
      <c r="JYY2491" s="58"/>
      <c r="JYZ2491" s="58"/>
      <c r="JZA2491" s="58"/>
      <c r="JZB2491" s="61"/>
      <c r="JZC2491" s="58"/>
      <c r="JZD2491" s="58"/>
      <c r="JZE2491" s="58"/>
      <c r="JZF2491" s="60"/>
      <c r="JZG2491" s="58"/>
      <c r="JZH2491" s="58"/>
      <c r="JZI2491" s="58"/>
      <c r="JZJ2491" s="61"/>
      <c r="JZK2491" s="58"/>
      <c r="JZL2491" s="58"/>
      <c r="JZM2491" s="58"/>
      <c r="JZN2491" s="60"/>
      <c r="JZO2491" s="58"/>
      <c r="JZP2491" s="58"/>
      <c r="JZQ2491" s="58"/>
      <c r="JZR2491" s="61"/>
      <c r="JZS2491" s="58"/>
      <c r="JZT2491" s="58"/>
      <c r="JZU2491" s="58"/>
      <c r="JZV2491" s="60"/>
      <c r="JZW2491" s="58"/>
      <c r="JZX2491" s="58"/>
      <c r="JZY2491" s="58"/>
      <c r="JZZ2491" s="61"/>
      <c r="KAA2491" s="58"/>
      <c r="KAB2491" s="58"/>
      <c r="KAC2491" s="58"/>
      <c r="KAD2491" s="60"/>
      <c r="KAE2491" s="58"/>
      <c r="KAF2491" s="58"/>
      <c r="KAG2491" s="58"/>
      <c r="KAH2491" s="61"/>
      <c r="KAI2491" s="58"/>
      <c r="KAJ2491" s="58"/>
      <c r="KAK2491" s="58"/>
      <c r="KAL2491" s="60"/>
      <c r="KAM2491" s="58"/>
      <c r="KAN2491" s="58"/>
      <c r="KAO2491" s="58"/>
      <c r="KAP2491" s="61"/>
      <c r="KAQ2491" s="58"/>
      <c r="KAR2491" s="58"/>
      <c r="KAS2491" s="58"/>
      <c r="KAT2491" s="60"/>
      <c r="KAU2491" s="58"/>
      <c r="KAV2491" s="58"/>
      <c r="KAW2491" s="58"/>
      <c r="KAX2491" s="61"/>
      <c r="KAY2491" s="58"/>
      <c r="KAZ2491" s="58"/>
      <c r="KBA2491" s="58"/>
      <c r="KBB2491" s="60"/>
      <c r="KBC2491" s="58"/>
      <c r="KBD2491" s="58"/>
      <c r="KBE2491" s="58"/>
      <c r="KBF2491" s="61"/>
      <c r="KBG2491" s="58"/>
      <c r="KBH2491" s="58"/>
      <c r="KBI2491" s="58"/>
      <c r="KBJ2491" s="60"/>
      <c r="KBK2491" s="58"/>
      <c r="KBL2491" s="58"/>
      <c r="KBM2491" s="58"/>
      <c r="KBN2491" s="61"/>
      <c r="KBO2491" s="58"/>
      <c r="KBP2491" s="58"/>
      <c r="KBQ2491" s="58"/>
      <c r="KBR2491" s="60"/>
      <c r="KBS2491" s="58"/>
      <c r="KBT2491" s="58"/>
      <c r="KBU2491" s="58"/>
      <c r="KBV2491" s="61"/>
      <c r="KBW2491" s="58"/>
      <c r="KBX2491" s="58"/>
      <c r="KBY2491" s="58"/>
      <c r="KBZ2491" s="60"/>
      <c r="KCA2491" s="58"/>
      <c r="KCB2491" s="58"/>
      <c r="KCC2491" s="58"/>
      <c r="KCD2491" s="61"/>
      <c r="KCE2491" s="58"/>
      <c r="KCF2491" s="58"/>
      <c r="KCG2491" s="58"/>
      <c r="KCH2491" s="60"/>
      <c r="KCI2491" s="58"/>
      <c r="KCJ2491" s="58"/>
      <c r="KCK2491" s="58"/>
      <c r="KCL2491" s="61"/>
      <c r="KCM2491" s="58"/>
      <c r="KCN2491" s="58"/>
      <c r="KCO2491" s="58"/>
      <c r="KCP2491" s="60"/>
      <c r="KCQ2491" s="58"/>
      <c r="KCR2491" s="58"/>
      <c r="KCS2491" s="58"/>
      <c r="KCT2491" s="61"/>
      <c r="KCU2491" s="58"/>
      <c r="KCV2491" s="58"/>
      <c r="KCW2491" s="58"/>
      <c r="KCX2491" s="60"/>
      <c r="KCY2491" s="58"/>
      <c r="KCZ2491" s="58"/>
      <c r="KDA2491" s="58"/>
      <c r="KDB2491" s="61"/>
      <c r="KDC2491" s="58"/>
      <c r="KDD2491" s="58"/>
      <c r="KDE2491" s="58"/>
      <c r="KDF2491" s="60"/>
      <c r="KDG2491" s="58"/>
      <c r="KDH2491" s="58"/>
      <c r="KDI2491" s="58"/>
      <c r="KDJ2491" s="61"/>
      <c r="KDK2491" s="58"/>
      <c r="KDL2491" s="58"/>
      <c r="KDM2491" s="58"/>
      <c r="KDN2491" s="60"/>
      <c r="KDO2491" s="58"/>
      <c r="KDP2491" s="58"/>
      <c r="KDQ2491" s="58"/>
      <c r="KDR2491" s="61"/>
      <c r="KDS2491" s="58"/>
      <c r="KDT2491" s="58"/>
      <c r="KDU2491" s="58"/>
      <c r="KDV2491" s="60"/>
      <c r="KDW2491" s="58"/>
      <c r="KDX2491" s="58"/>
      <c r="KDY2491" s="58"/>
      <c r="KDZ2491" s="61"/>
      <c r="KEA2491" s="58"/>
      <c r="KEB2491" s="58"/>
      <c r="KEC2491" s="58"/>
      <c r="KED2491" s="60"/>
      <c r="KEE2491" s="58"/>
      <c r="KEF2491" s="58"/>
      <c r="KEG2491" s="58"/>
      <c r="KEH2491" s="61"/>
      <c r="KEI2491" s="58"/>
      <c r="KEJ2491" s="58"/>
      <c r="KEK2491" s="58"/>
      <c r="KEL2491" s="60"/>
      <c r="KEM2491" s="58"/>
      <c r="KEN2491" s="58"/>
      <c r="KEO2491" s="58"/>
      <c r="KEP2491" s="61"/>
      <c r="KEQ2491" s="58"/>
      <c r="KER2491" s="58"/>
      <c r="KES2491" s="58"/>
      <c r="KET2491" s="60"/>
      <c r="KEU2491" s="58"/>
      <c r="KEV2491" s="58"/>
      <c r="KEW2491" s="58"/>
      <c r="KEX2491" s="61"/>
      <c r="KEY2491" s="58"/>
      <c r="KEZ2491" s="58"/>
      <c r="KFA2491" s="58"/>
      <c r="KFB2491" s="60"/>
      <c r="KFC2491" s="58"/>
      <c r="KFD2491" s="58"/>
      <c r="KFE2491" s="58"/>
      <c r="KFF2491" s="61"/>
      <c r="KFG2491" s="58"/>
      <c r="KFH2491" s="58"/>
      <c r="KFI2491" s="58"/>
      <c r="KFJ2491" s="60"/>
      <c r="KFK2491" s="58"/>
      <c r="KFL2491" s="58"/>
      <c r="KFM2491" s="58"/>
      <c r="KFN2491" s="61"/>
      <c r="KFO2491" s="58"/>
      <c r="KFP2491" s="58"/>
      <c r="KFQ2491" s="58"/>
      <c r="KFR2491" s="60"/>
      <c r="KFS2491" s="58"/>
      <c r="KFT2491" s="58"/>
      <c r="KFU2491" s="58"/>
      <c r="KFV2491" s="61"/>
      <c r="KFW2491" s="58"/>
      <c r="KFX2491" s="58"/>
      <c r="KFY2491" s="58"/>
      <c r="KFZ2491" s="60"/>
      <c r="KGA2491" s="58"/>
      <c r="KGB2491" s="58"/>
      <c r="KGC2491" s="58"/>
      <c r="KGD2491" s="61"/>
      <c r="KGE2491" s="58"/>
      <c r="KGF2491" s="58"/>
      <c r="KGG2491" s="58"/>
      <c r="KGH2491" s="60"/>
      <c r="KGI2491" s="58"/>
      <c r="KGJ2491" s="58"/>
      <c r="KGK2491" s="58"/>
      <c r="KGL2491" s="61"/>
      <c r="KGM2491" s="58"/>
      <c r="KGN2491" s="58"/>
      <c r="KGO2491" s="58"/>
      <c r="KGP2491" s="60"/>
      <c r="KGQ2491" s="58"/>
      <c r="KGR2491" s="58"/>
      <c r="KGS2491" s="58"/>
      <c r="KGT2491" s="61"/>
      <c r="KGU2491" s="58"/>
      <c r="KGV2491" s="58"/>
      <c r="KGW2491" s="58"/>
      <c r="KGX2491" s="60"/>
      <c r="KGY2491" s="58"/>
      <c r="KGZ2491" s="58"/>
      <c r="KHA2491" s="58"/>
      <c r="KHB2491" s="61"/>
      <c r="KHC2491" s="58"/>
      <c r="KHD2491" s="58"/>
      <c r="KHE2491" s="58"/>
      <c r="KHF2491" s="60"/>
      <c r="KHG2491" s="58"/>
      <c r="KHH2491" s="58"/>
      <c r="KHI2491" s="58"/>
      <c r="KHJ2491" s="61"/>
      <c r="KHK2491" s="58"/>
      <c r="KHL2491" s="58"/>
      <c r="KHM2491" s="58"/>
      <c r="KHN2491" s="60"/>
      <c r="KHO2491" s="58"/>
      <c r="KHP2491" s="58"/>
      <c r="KHQ2491" s="58"/>
      <c r="KHR2491" s="61"/>
      <c r="KHS2491" s="58"/>
      <c r="KHT2491" s="58"/>
      <c r="KHU2491" s="58"/>
      <c r="KHV2491" s="60"/>
      <c r="KHW2491" s="58"/>
      <c r="KHX2491" s="58"/>
      <c r="KHY2491" s="58"/>
      <c r="KHZ2491" s="61"/>
      <c r="KIA2491" s="58"/>
      <c r="KIB2491" s="58"/>
      <c r="KIC2491" s="58"/>
      <c r="KID2491" s="60"/>
      <c r="KIE2491" s="58"/>
      <c r="KIF2491" s="58"/>
      <c r="KIG2491" s="58"/>
      <c r="KIH2491" s="61"/>
      <c r="KII2491" s="58"/>
      <c r="KIJ2491" s="58"/>
      <c r="KIK2491" s="58"/>
      <c r="KIL2491" s="60"/>
      <c r="KIM2491" s="58"/>
      <c r="KIN2491" s="58"/>
      <c r="KIO2491" s="58"/>
      <c r="KIP2491" s="61"/>
      <c r="KIQ2491" s="58"/>
      <c r="KIR2491" s="58"/>
      <c r="KIS2491" s="58"/>
      <c r="KIT2491" s="60"/>
      <c r="KIU2491" s="58"/>
      <c r="KIV2491" s="58"/>
      <c r="KIW2491" s="58"/>
      <c r="KIX2491" s="61"/>
      <c r="KIY2491" s="58"/>
      <c r="KIZ2491" s="58"/>
      <c r="KJA2491" s="58"/>
      <c r="KJB2491" s="60"/>
      <c r="KJC2491" s="58"/>
      <c r="KJD2491" s="58"/>
      <c r="KJE2491" s="58"/>
      <c r="KJF2491" s="61"/>
      <c r="KJG2491" s="58"/>
      <c r="KJH2491" s="58"/>
      <c r="KJI2491" s="58"/>
      <c r="KJJ2491" s="60"/>
      <c r="KJK2491" s="58"/>
      <c r="KJL2491" s="58"/>
      <c r="KJM2491" s="58"/>
      <c r="KJN2491" s="61"/>
      <c r="KJO2491" s="58"/>
      <c r="KJP2491" s="58"/>
      <c r="KJQ2491" s="58"/>
      <c r="KJR2491" s="60"/>
      <c r="KJS2491" s="58"/>
      <c r="KJT2491" s="58"/>
      <c r="KJU2491" s="58"/>
      <c r="KJV2491" s="61"/>
      <c r="KJW2491" s="58"/>
      <c r="KJX2491" s="58"/>
      <c r="KJY2491" s="58"/>
      <c r="KJZ2491" s="60"/>
      <c r="KKA2491" s="58"/>
      <c r="KKB2491" s="58"/>
      <c r="KKC2491" s="58"/>
      <c r="KKD2491" s="61"/>
      <c r="KKE2491" s="58"/>
      <c r="KKF2491" s="58"/>
      <c r="KKG2491" s="58"/>
      <c r="KKH2491" s="60"/>
      <c r="KKI2491" s="58"/>
      <c r="KKJ2491" s="58"/>
      <c r="KKK2491" s="58"/>
      <c r="KKL2491" s="61"/>
      <c r="KKM2491" s="58"/>
      <c r="KKN2491" s="58"/>
      <c r="KKO2491" s="58"/>
      <c r="KKP2491" s="60"/>
      <c r="KKQ2491" s="58"/>
      <c r="KKR2491" s="58"/>
      <c r="KKS2491" s="58"/>
      <c r="KKT2491" s="61"/>
      <c r="KKU2491" s="58"/>
      <c r="KKV2491" s="58"/>
      <c r="KKW2491" s="58"/>
      <c r="KKX2491" s="60"/>
      <c r="KKY2491" s="58"/>
      <c r="KKZ2491" s="58"/>
      <c r="KLA2491" s="58"/>
      <c r="KLB2491" s="61"/>
      <c r="KLC2491" s="58"/>
      <c r="KLD2491" s="58"/>
      <c r="KLE2491" s="58"/>
      <c r="KLF2491" s="60"/>
      <c r="KLG2491" s="58"/>
      <c r="KLH2491" s="58"/>
      <c r="KLI2491" s="58"/>
      <c r="KLJ2491" s="61"/>
      <c r="KLK2491" s="58"/>
      <c r="KLL2491" s="58"/>
      <c r="KLM2491" s="58"/>
      <c r="KLN2491" s="60"/>
      <c r="KLO2491" s="58"/>
      <c r="KLP2491" s="58"/>
      <c r="KLQ2491" s="58"/>
      <c r="KLR2491" s="61"/>
      <c r="KLS2491" s="58"/>
      <c r="KLT2491" s="58"/>
      <c r="KLU2491" s="58"/>
      <c r="KLV2491" s="60"/>
      <c r="KLW2491" s="58"/>
      <c r="KLX2491" s="58"/>
      <c r="KLY2491" s="58"/>
      <c r="KLZ2491" s="61"/>
      <c r="KMA2491" s="58"/>
      <c r="KMB2491" s="58"/>
      <c r="KMC2491" s="58"/>
      <c r="KMD2491" s="60"/>
      <c r="KME2491" s="58"/>
      <c r="KMF2491" s="58"/>
      <c r="KMG2491" s="58"/>
      <c r="KMH2491" s="61"/>
      <c r="KMI2491" s="58"/>
      <c r="KMJ2491" s="58"/>
      <c r="KMK2491" s="58"/>
      <c r="KML2491" s="60"/>
      <c r="KMM2491" s="58"/>
      <c r="KMN2491" s="58"/>
      <c r="KMO2491" s="58"/>
      <c r="KMP2491" s="61"/>
      <c r="KMQ2491" s="58"/>
      <c r="KMR2491" s="58"/>
      <c r="KMS2491" s="58"/>
      <c r="KMT2491" s="60"/>
      <c r="KMU2491" s="58"/>
      <c r="KMV2491" s="58"/>
      <c r="KMW2491" s="58"/>
      <c r="KMX2491" s="61"/>
      <c r="KMY2491" s="58"/>
      <c r="KMZ2491" s="58"/>
      <c r="KNA2491" s="58"/>
      <c r="KNB2491" s="60"/>
      <c r="KNC2491" s="58"/>
      <c r="KND2491" s="58"/>
      <c r="KNE2491" s="58"/>
      <c r="KNF2491" s="61"/>
      <c r="KNG2491" s="58"/>
      <c r="KNH2491" s="58"/>
      <c r="KNI2491" s="58"/>
      <c r="KNJ2491" s="60"/>
      <c r="KNK2491" s="58"/>
      <c r="KNL2491" s="58"/>
      <c r="KNM2491" s="58"/>
      <c r="KNN2491" s="61"/>
      <c r="KNO2491" s="58"/>
      <c r="KNP2491" s="58"/>
      <c r="KNQ2491" s="58"/>
      <c r="KNR2491" s="60"/>
      <c r="KNS2491" s="58"/>
      <c r="KNT2491" s="58"/>
      <c r="KNU2491" s="58"/>
      <c r="KNV2491" s="61"/>
      <c r="KNW2491" s="58"/>
      <c r="KNX2491" s="58"/>
      <c r="KNY2491" s="58"/>
      <c r="KNZ2491" s="60"/>
      <c r="KOA2491" s="58"/>
      <c r="KOB2491" s="58"/>
      <c r="KOC2491" s="58"/>
      <c r="KOD2491" s="61"/>
      <c r="KOE2491" s="58"/>
      <c r="KOF2491" s="58"/>
      <c r="KOG2491" s="58"/>
      <c r="KOH2491" s="60"/>
      <c r="KOI2491" s="58"/>
      <c r="KOJ2491" s="58"/>
      <c r="KOK2491" s="58"/>
      <c r="KOL2491" s="61"/>
      <c r="KOM2491" s="58"/>
      <c r="KON2491" s="58"/>
      <c r="KOO2491" s="58"/>
      <c r="KOP2491" s="60"/>
      <c r="KOQ2491" s="58"/>
      <c r="KOR2491" s="58"/>
      <c r="KOS2491" s="58"/>
      <c r="KOT2491" s="61"/>
      <c r="KOU2491" s="58"/>
      <c r="KOV2491" s="58"/>
      <c r="KOW2491" s="58"/>
      <c r="KOX2491" s="60"/>
      <c r="KOY2491" s="58"/>
      <c r="KOZ2491" s="58"/>
      <c r="KPA2491" s="58"/>
      <c r="KPB2491" s="61"/>
      <c r="KPC2491" s="58"/>
      <c r="KPD2491" s="58"/>
      <c r="KPE2491" s="58"/>
      <c r="KPF2491" s="60"/>
      <c r="KPG2491" s="58"/>
      <c r="KPH2491" s="58"/>
      <c r="KPI2491" s="58"/>
      <c r="KPJ2491" s="61"/>
      <c r="KPK2491" s="58"/>
      <c r="KPL2491" s="58"/>
      <c r="KPM2491" s="58"/>
      <c r="KPN2491" s="60"/>
      <c r="KPO2491" s="58"/>
      <c r="KPP2491" s="58"/>
      <c r="KPQ2491" s="58"/>
      <c r="KPR2491" s="61"/>
      <c r="KPS2491" s="58"/>
      <c r="KPT2491" s="58"/>
      <c r="KPU2491" s="58"/>
      <c r="KPV2491" s="60"/>
      <c r="KPW2491" s="58"/>
      <c r="KPX2491" s="58"/>
      <c r="KPY2491" s="58"/>
      <c r="KPZ2491" s="61"/>
      <c r="KQA2491" s="58"/>
      <c r="KQB2491" s="58"/>
      <c r="KQC2491" s="58"/>
      <c r="KQD2491" s="60"/>
      <c r="KQE2491" s="58"/>
      <c r="KQF2491" s="58"/>
      <c r="KQG2491" s="58"/>
      <c r="KQH2491" s="61"/>
      <c r="KQI2491" s="58"/>
      <c r="KQJ2491" s="58"/>
      <c r="KQK2491" s="58"/>
      <c r="KQL2491" s="60"/>
      <c r="KQM2491" s="58"/>
      <c r="KQN2491" s="58"/>
      <c r="KQO2491" s="58"/>
      <c r="KQP2491" s="61"/>
      <c r="KQQ2491" s="58"/>
      <c r="KQR2491" s="58"/>
      <c r="KQS2491" s="58"/>
      <c r="KQT2491" s="60"/>
      <c r="KQU2491" s="58"/>
      <c r="KQV2491" s="58"/>
      <c r="KQW2491" s="58"/>
      <c r="KQX2491" s="61"/>
      <c r="KQY2491" s="58"/>
      <c r="KQZ2491" s="58"/>
      <c r="KRA2491" s="58"/>
      <c r="KRB2491" s="60"/>
      <c r="KRC2491" s="58"/>
      <c r="KRD2491" s="58"/>
      <c r="KRE2491" s="58"/>
      <c r="KRF2491" s="61"/>
      <c r="KRG2491" s="58"/>
      <c r="KRH2491" s="58"/>
      <c r="KRI2491" s="58"/>
      <c r="KRJ2491" s="60"/>
      <c r="KRK2491" s="58"/>
      <c r="KRL2491" s="58"/>
      <c r="KRM2491" s="58"/>
      <c r="KRN2491" s="61"/>
      <c r="KRO2491" s="58"/>
      <c r="KRP2491" s="58"/>
      <c r="KRQ2491" s="58"/>
      <c r="KRR2491" s="60"/>
      <c r="KRS2491" s="58"/>
      <c r="KRT2491" s="58"/>
      <c r="KRU2491" s="58"/>
      <c r="KRV2491" s="61"/>
      <c r="KRW2491" s="58"/>
      <c r="KRX2491" s="58"/>
      <c r="KRY2491" s="58"/>
      <c r="KRZ2491" s="60"/>
      <c r="KSA2491" s="58"/>
      <c r="KSB2491" s="58"/>
      <c r="KSC2491" s="58"/>
      <c r="KSD2491" s="61"/>
      <c r="KSE2491" s="58"/>
      <c r="KSF2491" s="58"/>
      <c r="KSG2491" s="58"/>
      <c r="KSH2491" s="60"/>
      <c r="KSI2491" s="58"/>
      <c r="KSJ2491" s="58"/>
      <c r="KSK2491" s="58"/>
      <c r="KSL2491" s="61"/>
      <c r="KSM2491" s="58"/>
      <c r="KSN2491" s="58"/>
      <c r="KSO2491" s="58"/>
      <c r="KSP2491" s="60"/>
      <c r="KSQ2491" s="58"/>
      <c r="KSR2491" s="58"/>
      <c r="KSS2491" s="58"/>
      <c r="KST2491" s="61"/>
      <c r="KSU2491" s="58"/>
      <c r="KSV2491" s="58"/>
      <c r="KSW2491" s="58"/>
      <c r="KSX2491" s="60"/>
      <c r="KSY2491" s="58"/>
      <c r="KSZ2491" s="58"/>
      <c r="KTA2491" s="58"/>
      <c r="KTB2491" s="61"/>
      <c r="KTC2491" s="58"/>
      <c r="KTD2491" s="58"/>
      <c r="KTE2491" s="58"/>
      <c r="KTF2491" s="60"/>
      <c r="KTG2491" s="58"/>
      <c r="KTH2491" s="58"/>
      <c r="KTI2491" s="58"/>
      <c r="KTJ2491" s="61"/>
      <c r="KTK2491" s="58"/>
      <c r="KTL2491" s="58"/>
      <c r="KTM2491" s="58"/>
      <c r="KTN2491" s="60"/>
      <c r="KTO2491" s="58"/>
      <c r="KTP2491" s="58"/>
      <c r="KTQ2491" s="58"/>
      <c r="KTR2491" s="61"/>
      <c r="KTS2491" s="58"/>
      <c r="KTT2491" s="58"/>
      <c r="KTU2491" s="58"/>
      <c r="KTV2491" s="60"/>
      <c r="KTW2491" s="58"/>
      <c r="KTX2491" s="58"/>
      <c r="KTY2491" s="58"/>
      <c r="KTZ2491" s="61"/>
      <c r="KUA2491" s="58"/>
      <c r="KUB2491" s="58"/>
      <c r="KUC2491" s="58"/>
      <c r="KUD2491" s="60"/>
      <c r="KUE2491" s="58"/>
      <c r="KUF2491" s="58"/>
      <c r="KUG2491" s="58"/>
      <c r="KUH2491" s="61"/>
      <c r="KUI2491" s="58"/>
      <c r="KUJ2491" s="58"/>
      <c r="KUK2491" s="58"/>
      <c r="KUL2491" s="60"/>
      <c r="KUM2491" s="58"/>
      <c r="KUN2491" s="58"/>
      <c r="KUO2491" s="58"/>
      <c r="KUP2491" s="61"/>
      <c r="KUQ2491" s="58"/>
      <c r="KUR2491" s="58"/>
      <c r="KUS2491" s="58"/>
      <c r="KUT2491" s="60"/>
      <c r="KUU2491" s="58"/>
      <c r="KUV2491" s="58"/>
      <c r="KUW2491" s="58"/>
      <c r="KUX2491" s="61"/>
      <c r="KUY2491" s="58"/>
      <c r="KUZ2491" s="58"/>
      <c r="KVA2491" s="58"/>
      <c r="KVB2491" s="60"/>
      <c r="KVC2491" s="58"/>
      <c r="KVD2491" s="58"/>
      <c r="KVE2491" s="58"/>
      <c r="KVF2491" s="61"/>
      <c r="KVG2491" s="58"/>
      <c r="KVH2491" s="58"/>
      <c r="KVI2491" s="58"/>
      <c r="KVJ2491" s="60"/>
      <c r="KVK2491" s="58"/>
      <c r="KVL2491" s="58"/>
      <c r="KVM2491" s="58"/>
      <c r="KVN2491" s="61"/>
      <c r="KVO2491" s="58"/>
      <c r="KVP2491" s="58"/>
      <c r="KVQ2491" s="58"/>
      <c r="KVR2491" s="60"/>
      <c r="KVS2491" s="58"/>
      <c r="KVT2491" s="58"/>
      <c r="KVU2491" s="58"/>
      <c r="KVV2491" s="61"/>
      <c r="KVW2491" s="58"/>
      <c r="KVX2491" s="58"/>
      <c r="KVY2491" s="58"/>
      <c r="KVZ2491" s="60"/>
      <c r="KWA2491" s="58"/>
      <c r="KWB2491" s="58"/>
      <c r="KWC2491" s="58"/>
      <c r="KWD2491" s="61"/>
      <c r="KWE2491" s="58"/>
      <c r="KWF2491" s="58"/>
      <c r="KWG2491" s="58"/>
      <c r="KWH2491" s="60"/>
      <c r="KWI2491" s="58"/>
      <c r="KWJ2491" s="58"/>
      <c r="KWK2491" s="58"/>
      <c r="KWL2491" s="61"/>
      <c r="KWM2491" s="58"/>
      <c r="KWN2491" s="58"/>
      <c r="KWO2491" s="58"/>
      <c r="KWP2491" s="60"/>
      <c r="KWQ2491" s="58"/>
      <c r="KWR2491" s="58"/>
      <c r="KWS2491" s="58"/>
      <c r="KWT2491" s="61"/>
      <c r="KWU2491" s="58"/>
      <c r="KWV2491" s="58"/>
      <c r="KWW2491" s="58"/>
      <c r="KWX2491" s="60"/>
      <c r="KWY2491" s="58"/>
      <c r="KWZ2491" s="58"/>
      <c r="KXA2491" s="58"/>
      <c r="KXB2491" s="61"/>
      <c r="KXC2491" s="58"/>
      <c r="KXD2491" s="58"/>
      <c r="KXE2491" s="58"/>
      <c r="KXF2491" s="60"/>
      <c r="KXG2491" s="58"/>
      <c r="KXH2491" s="58"/>
      <c r="KXI2491" s="58"/>
      <c r="KXJ2491" s="61"/>
      <c r="KXK2491" s="58"/>
      <c r="KXL2491" s="58"/>
      <c r="KXM2491" s="58"/>
      <c r="KXN2491" s="60"/>
      <c r="KXO2491" s="58"/>
      <c r="KXP2491" s="58"/>
      <c r="KXQ2491" s="58"/>
      <c r="KXR2491" s="61"/>
      <c r="KXS2491" s="58"/>
      <c r="KXT2491" s="58"/>
      <c r="KXU2491" s="58"/>
      <c r="KXV2491" s="60"/>
      <c r="KXW2491" s="58"/>
      <c r="KXX2491" s="58"/>
      <c r="KXY2491" s="58"/>
      <c r="KXZ2491" s="61"/>
      <c r="KYA2491" s="58"/>
      <c r="KYB2491" s="58"/>
      <c r="KYC2491" s="58"/>
      <c r="KYD2491" s="60"/>
      <c r="KYE2491" s="58"/>
      <c r="KYF2491" s="58"/>
      <c r="KYG2491" s="58"/>
      <c r="KYH2491" s="61"/>
      <c r="KYI2491" s="58"/>
      <c r="KYJ2491" s="58"/>
      <c r="KYK2491" s="58"/>
      <c r="KYL2491" s="60"/>
      <c r="KYM2491" s="58"/>
      <c r="KYN2491" s="58"/>
      <c r="KYO2491" s="58"/>
      <c r="KYP2491" s="61"/>
      <c r="KYQ2491" s="58"/>
      <c r="KYR2491" s="58"/>
      <c r="KYS2491" s="58"/>
      <c r="KYT2491" s="60"/>
      <c r="KYU2491" s="58"/>
      <c r="KYV2491" s="58"/>
      <c r="KYW2491" s="58"/>
      <c r="KYX2491" s="61"/>
      <c r="KYY2491" s="58"/>
      <c r="KYZ2491" s="58"/>
      <c r="KZA2491" s="58"/>
      <c r="KZB2491" s="60"/>
      <c r="KZC2491" s="58"/>
      <c r="KZD2491" s="58"/>
      <c r="KZE2491" s="58"/>
      <c r="KZF2491" s="61"/>
      <c r="KZG2491" s="58"/>
      <c r="KZH2491" s="58"/>
      <c r="KZI2491" s="58"/>
      <c r="KZJ2491" s="60"/>
      <c r="KZK2491" s="58"/>
      <c r="KZL2491" s="58"/>
      <c r="KZM2491" s="58"/>
      <c r="KZN2491" s="61"/>
      <c r="KZO2491" s="58"/>
      <c r="KZP2491" s="58"/>
      <c r="KZQ2491" s="58"/>
      <c r="KZR2491" s="60"/>
      <c r="KZS2491" s="58"/>
      <c r="KZT2491" s="58"/>
      <c r="KZU2491" s="58"/>
      <c r="KZV2491" s="61"/>
      <c r="KZW2491" s="58"/>
      <c r="KZX2491" s="58"/>
      <c r="KZY2491" s="58"/>
      <c r="KZZ2491" s="60"/>
      <c r="LAA2491" s="58"/>
      <c r="LAB2491" s="58"/>
      <c r="LAC2491" s="58"/>
      <c r="LAD2491" s="61"/>
      <c r="LAE2491" s="58"/>
      <c r="LAF2491" s="58"/>
      <c r="LAG2491" s="58"/>
      <c r="LAH2491" s="60"/>
      <c r="LAI2491" s="58"/>
      <c r="LAJ2491" s="58"/>
      <c r="LAK2491" s="58"/>
      <c r="LAL2491" s="61"/>
      <c r="LAM2491" s="58"/>
      <c r="LAN2491" s="58"/>
      <c r="LAO2491" s="58"/>
      <c r="LAP2491" s="60"/>
      <c r="LAQ2491" s="58"/>
      <c r="LAR2491" s="58"/>
      <c r="LAS2491" s="58"/>
      <c r="LAT2491" s="61"/>
      <c r="LAU2491" s="58"/>
      <c r="LAV2491" s="58"/>
      <c r="LAW2491" s="58"/>
      <c r="LAX2491" s="60"/>
      <c r="LAY2491" s="58"/>
      <c r="LAZ2491" s="58"/>
      <c r="LBA2491" s="58"/>
      <c r="LBB2491" s="61"/>
      <c r="LBC2491" s="58"/>
      <c r="LBD2491" s="58"/>
      <c r="LBE2491" s="58"/>
      <c r="LBF2491" s="60"/>
      <c r="LBG2491" s="58"/>
      <c r="LBH2491" s="58"/>
      <c r="LBI2491" s="58"/>
      <c r="LBJ2491" s="61"/>
      <c r="LBK2491" s="58"/>
      <c r="LBL2491" s="58"/>
      <c r="LBM2491" s="58"/>
      <c r="LBN2491" s="60"/>
      <c r="LBO2491" s="58"/>
      <c r="LBP2491" s="58"/>
      <c r="LBQ2491" s="58"/>
      <c r="LBR2491" s="61"/>
      <c r="LBS2491" s="58"/>
      <c r="LBT2491" s="58"/>
      <c r="LBU2491" s="58"/>
      <c r="LBV2491" s="60"/>
      <c r="LBW2491" s="58"/>
      <c r="LBX2491" s="58"/>
      <c r="LBY2491" s="58"/>
      <c r="LBZ2491" s="61"/>
      <c r="LCA2491" s="58"/>
      <c r="LCB2491" s="58"/>
      <c r="LCC2491" s="58"/>
      <c r="LCD2491" s="60"/>
      <c r="LCE2491" s="58"/>
      <c r="LCF2491" s="58"/>
      <c r="LCG2491" s="58"/>
      <c r="LCH2491" s="61"/>
      <c r="LCI2491" s="58"/>
      <c r="LCJ2491" s="58"/>
      <c r="LCK2491" s="58"/>
      <c r="LCL2491" s="60"/>
      <c r="LCM2491" s="58"/>
      <c r="LCN2491" s="58"/>
      <c r="LCO2491" s="58"/>
      <c r="LCP2491" s="61"/>
      <c r="LCQ2491" s="58"/>
      <c r="LCR2491" s="58"/>
      <c r="LCS2491" s="58"/>
      <c r="LCT2491" s="60"/>
      <c r="LCU2491" s="58"/>
      <c r="LCV2491" s="58"/>
      <c r="LCW2491" s="58"/>
      <c r="LCX2491" s="61"/>
      <c r="LCY2491" s="58"/>
      <c r="LCZ2491" s="58"/>
      <c r="LDA2491" s="58"/>
      <c r="LDB2491" s="60"/>
      <c r="LDC2491" s="58"/>
      <c r="LDD2491" s="58"/>
      <c r="LDE2491" s="58"/>
      <c r="LDF2491" s="61"/>
      <c r="LDG2491" s="58"/>
      <c r="LDH2491" s="58"/>
      <c r="LDI2491" s="58"/>
      <c r="LDJ2491" s="60"/>
      <c r="LDK2491" s="58"/>
      <c r="LDL2491" s="58"/>
      <c r="LDM2491" s="58"/>
      <c r="LDN2491" s="61"/>
      <c r="LDO2491" s="58"/>
      <c r="LDP2491" s="58"/>
      <c r="LDQ2491" s="58"/>
      <c r="LDR2491" s="60"/>
      <c r="LDS2491" s="58"/>
      <c r="LDT2491" s="58"/>
      <c r="LDU2491" s="58"/>
      <c r="LDV2491" s="61"/>
      <c r="LDW2491" s="58"/>
      <c r="LDX2491" s="58"/>
      <c r="LDY2491" s="58"/>
      <c r="LDZ2491" s="60"/>
      <c r="LEA2491" s="58"/>
      <c r="LEB2491" s="58"/>
      <c r="LEC2491" s="58"/>
      <c r="LED2491" s="61"/>
      <c r="LEE2491" s="58"/>
      <c r="LEF2491" s="58"/>
      <c r="LEG2491" s="58"/>
      <c r="LEH2491" s="60"/>
      <c r="LEI2491" s="58"/>
      <c r="LEJ2491" s="58"/>
      <c r="LEK2491" s="58"/>
      <c r="LEL2491" s="61"/>
      <c r="LEM2491" s="58"/>
      <c r="LEN2491" s="58"/>
      <c r="LEO2491" s="58"/>
      <c r="LEP2491" s="60"/>
      <c r="LEQ2491" s="58"/>
      <c r="LER2491" s="58"/>
      <c r="LES2491" s="58"/>
      <c r="LET2491" s="61"/>
      <c r="LEU2491" s="58"/>
      <c r="LEV2491" s="58"/>
      <c r="LEW2491" s="58"/>
      <c r="LEX2491" s="60"/>
      <c r="LEY2491" s="58"/>
      <c r="LEZ2491" s="58"/>
      <c r="LFA2491" s="58"/>
      <c r="LFB2491" s="61"/>
      <c r="LFC2491" s="58"/>
      <c r="LFD2491" s="58"/>
      <c r="LFE2491" s="58"/>
      <c r="LFF2491" s="60"/>
      <c r="LFG2491" s="58"/>
      <c r="LFH2491" s="58"/>
      <c r="LFI2491" s="58"/>
      <c r="LFJ2491" s="61"/>
      <c r="LFK2491" s="58"/>
      <c r="LFL2491" s="58"/>
      <c r="LFM2491" s="58"/>
      <c r="LFN2491" s="60"/>
      <c r="LFO2491" s="58"/>
      <c r="LFP2491" s="58"/>
      <c r="LFQ2491" s="58"/>
      <c r="LFR2491" s="61"/>
      <c r="LFS2491" s="58"/>
      <c r="LFT2491" s="58"/>
      <c r="LFU2491" s="58"/>
      <c r="LFV2491" s="60"/>
      <c r="LFW2491" s="58"/>
      <c r="LFX2491" s="58"/>
      <c r="LFY2491" s="58"/>
      <c r="LFZ2491" s="61"/>
      <c r="LGA2491" s="58"/>
      <c r="LGB2491" s="58"/>
      <c r="LGC2491" s="58"/>
      <c r="LGD2491" s="60"/>
      <c r="LGE2491" s="58"/>
      <c r="LGF2491" s="58"/>
      <c r="LGG2491" s="58"/>
      <c r="LGH2491" s="61"/>
      <c r="LGI2491" s="58"/>
      <c r="LGJ2491" s="58"/>
      <c r="LGK2491" s="58"/>
      <c r="LGL2491" s="60"/>
      <c r="LGM2491" s="58"/>
      <c r="LGN2491" s="58"/>
      <c r="LGO2491" s="58"/>
      <c r="LGP2491" s="61"/>
      <c r="LGQ2491" s="58"/>
      <c r="LGR2491" s="58"/>
      <c r="LGS2491" s="58"/>
      <c r="LGT2491" s="60"/>
      <c r="LGU2491" s="58"/>
      <c r="LGV2491" s="58"/>
      <c r="LGW2491" s="58"/>
      <c r="LGX2491" s="61"/>
      <c r="LGY2491" s="58"/>
      <c r="LGZ2491" s="58"/>
      <c r="LHA2491" s="58"/>
      <c r="LHB2491" s="60"/>
      <c r="LHC2491" s="58"/>
      <c r="LHD2491" s="58"/>
      <c r="LHE2491" s="58"/>
      <c r="LHF2491" s="61"/>
      <c r="LHG2491" s="58"/>
      <c r="LHH2491" s="58"/>
      <c r="LHI2491" s="58"/>
      <c r="LHJ2491" s="60"/>
      <c r="LHK2491" s="58"/>
      <c r="LHL2491" s="58"/>
      <c r="LHM2491" s="58"/>
      <c r="LHN2491" s="61"/>
      <c r="LHO2491" s="58"/>
      <c r="LHP2491" s="58"/>
      <c r="LHQ2491" s="58"/>
      <c r="LHR2491" s="60"/>
      <c r="LHS2491" s="58"/>
      <c r="LHT2491" s="58"/>
      <c r="LHU2491" s="58"/>
      <c r="LHV2491" s="61"/>
      <c r="LHW2491" s="58"/>
      <c r="LHX2491" s="58"/>
      <c r="LHY2491" s="58"/>
      <c r="LHZ2491" s="60"/>
      <c r="LIA2491" s="58"/>
      <c r="LIB2491" s="58"/>
      <c r="LIC2491" s="58"/>
      <c r="LID2491" s="61"/>
      <c r="LIE2491" s="58"/>
      <c r="LIF2491" s="58"/>
      <c r="LIG2491" s="58"/>
      <c r="LIH2491" s="60"/>
      <c r="LII2491" s="58"/>
      <c r="LIJ2491" s="58"/>
      <c r="LIK2491" s="58"/>
      <c r="LIL2491" s="61"/>
      <c r="LIM2491" s="58"/>
      <c r="LIN2491" s="58"/>
      <c r="LIO2491" s="58"/>
      <c r="LIP2491" s="60"/>
      <c r="LIQ2491" s="58"/>
      <c r="LIR2491" s="58"/>
      <c r="LIS2491" s="58"/>
      <c r="LIT2491" s="61"/>
      <c r="LIU2491" s="58"/>
      <c r="LIV2491" s="58"/>
      <c r="LIW2491" s="58"/>
      <c r="LIX2491" s="60"/>
      <c r="LIY2491" s="58"/>
      <c r="LIZ2491" s="58"/>
      <c r="LJA2491" s="58"/>
      <c r="LJB2491" s="61"/>
      <c r="LJC2491" s="58"/>
      <c r="LJD2491" s="58"/>
      <c r="LJE2491" s="58"/>
      <c r="LJF2491" s="60"/>
      <c r="LJG2491" s="58"/>
      <c r="LJH2491" s="58"/>
      <c r="LJI2491" s="58"/>
      <c r="LJJ2491" s="61"/>
      <c r="LJK2491" s="58"/>
      <c r="LJL2491" s="58"/>
      <c r="LJM2491" s="58"/>
      <c r="LJN2491" s="60"/>
      <c r="LJO2491" s="58"/>
      <c r="LJP2491" s="58"/>
      <c r="LJQ2491" s="58"/>
      <c r="LJR2491" s="61"/>
      <c r="LJS2491" s="58"/>
      <c r="LJT2491" s="58"/>
      <c r="LJU2491" s="58"/>
      <c r="LJV2491" s="60"/>
      <c r="LJW2491" s="58"/>
      <c r="LJX2491" s="58"/>
      <c r="LJY2491" s="58"/>
      <c r="LJZ2491" s="61"/>
      <c r="LKA2491" s="58"/>
      <c r="LKB2491" s="58"/>
      <c r="LKC2491" s="58"/>
      <c r="LKD2491" s="60"/>
      <c r="LKE2491" s="58"/>
      <c r="LKF2491" s="58"/>
      <c r="LKG2491" s="58"/>
      <c r="LKH2491" s="61"/>
      <c r="LKI2491" s="58"/>
      <c r="LKJ2491" s="58"/>
      <c r="LKK2491" s="58"/>
      <c r="LKL2491" s="60"/>
      <c r="LKM2491" s="58"/>
      <c r="LKN2491" s="58"/>
      <c r="LKO2491" s="58"/>
      <c r="LKP2491" s="61"/>
      <c r="LKQ2491" s="58"/>
      <c r="LKR2491" s="58"/>
      <c r="LKS2491" s="58"/>
      <c r="LKT2491" s="60"/>
      <c r="LKU2491" s="58"/>
      <c r="LKV2491" s="58"/>
      <c r="LKW2491" s="58"/>
      <c r="LKX2491" s="61"/>
      <c r="LKY2491" s="58"/>
      <c r="LKZ2491" s="58"/>
      <c r="LLA2491" s="58"/>
      <c r="LLB2491" s="60"/>
      <c r="LLC2491" s="58"/>
      <c r="LLD2491" s="58"/>
      <c r="LLE2491" s="58"/>
      <c r="LLF2491" s="61"/>
      <c r="LLG2491" s="58"/>
      <c r="LLH2491" s="58"/>
      <c r="LLI2491" s="58"/>
      <c r="LLJ2491" s="60"/>
      <c r="LLK2491" s="58"/>
      <c r="LLL2491" s="58"/>
      <c r="LLM2491" s="58"/>
      <c r="LLN2491" s="61"/>
      <c r="LLO2491" s="58"/>
      <c r="LLP2491" s="58"/>
      <c r="LLQ2491" s="58"/>
      <c r="LLR2491" s="60"/>
      <c r="LLS2491" s="58"/>
      <c r="LLT2491" s="58"/>
      <c r="LLU2491" s="58"/>
      <c r="LLV2491" s="61"/>
      <c r="LLW2491" s="58"/>
      <c r="LLX2491" s="58"/>
      <c r="LLY2491" s="58"/>
      <c r="LLZ2491" s="60"/>
      <c r="LMA2491" s="58"/>
      <c r="LMB2491" s="58"/>
      <c r="LMC2491" s="58"/>
      <c r="LMD2491" s="61"/>
      <c r="LME2491" s="58"/>
      <c r="LMF2491" s="58"/>
      <c r="LMG2491" s="58"/>
      <c r="LMH2491" s="60"/>
      <c r="LMI2491" s="58"/>
      <c r="LMJ2491" s="58"/>
      <c r="LMK2491" s="58"/>
      <c r="LML2491" s="61"/>
      <c r="LMM2491" s="58"/>
      <c r="LMN2491" s="58"/>
      <c r="LMO2491" s="58"/>
      <c r="LMP2491" s="60"/>
      <c r="LMQ2491" s="58"/>
      <c r="LMR2491" s="58"/>
      <c r="LMS2491" s="58"/>
      <c r="LMT2491" s="61"/>
      <c r="LMU2491" s="58"/>
      <c r="LMV2491" s="58"/>
      <c r="LMW2491" s="58"/>
      <c r="LMX2491" s="60"/>
      <c r="LMY2491" s="58"/>
      <c r="LMZ2491" s="58"/>
      <c r="LNA2491" s="58"/>
      <c r="LNB2491" s="61"/>
      <c r="LNC2491" s="58"/>
      <c r="LND2491" s="58"/>
      <c r="LNE2491" s="58"/>
      <c r="LNF2491" s="60"/>
      <c r="LNG2491" s="58"/>
      <c r="LNH2491" s="58"/>
      <c r="LNI2491" s="58"/>
      <c r="LNJ2491" s="61"/>
      <c r="LNK2491" s="58"/>
      <c r="LNL2491" s="58"/>
      <c r="LNM2491" s="58"/>
      <c r="LNN2491" s="60"/>
      <c r="LNO2491" s="58"/>
      <c r="LNP2491" s="58"/>
      <c r="LNQ2491" s="58"/>
      <c r="LNR2491" s="61"/>
      <c r="LNS2491" s="58"/>
      <c r="LNT2491" s="58"/>
      <c r="LNU2491" s="58"/>
      <c r="LNV2491" s="60"/>
      <c r="LNW2491" s="58"/>
      <c r="LNX2491" s="58"/>
      <c r="LNY2491" s="58"/>
      <c r="LNZ2491" s="61"/>
      <c r="LOA2491" s="58"/>
      <c r="LOB2491" s="58"/>
      <c r="LOC2491" s="58"/>
      <c r="LOD2491" s="60"/>
      <c r="LOE2491" s="58"/>
      <c r="LOF2491" s="58"/>
      <c r="LOG2491" s="58"/>
      <c r="LOH2491" s="61"/>
      <c r="LOI2491" s="58"/>
      <c r="LOJ2491" s="58"/>
      <c r="LOK2491" s="58"/>
      <c r="LOL2491" s="60"/>
      <c r="LOM2491" s="58"/>
      <c r="LON2491" s="58"/>
      <c r="LOO2491" s="58"/>
      <c r="LOP2491" s="61"/>
      <c r="LOQ2491" s="58"/>
      <c r="LOR2491" s="58"/>
      <c r="LOS2491" s="58"/>
      <c r="LOT2491" s="60"/>
      <c r="LOU2491" s="58"/>
      <c r="LOV2491" s="58"/>
      <c r="LOW2491" s="58"/>
      <c r="LOX2491" s="61"/>
      <c r="LOY2491" s="58"/>
      <c r="LOZ2491" s="58"/>
      <c r="LPA2491" s="58"/>
      <c r="LPB2491" s="60"/>
      <c r="LPC2491" s="58"/>
      <c r="LPD2491" s="58"/>
      <c r="LPE2491" s="58"/>
      <c r="LPF2491" s="61"/>
      <c r="LPG2491" s="58"/>
      <c r="LPH2491" s="58"/>
      <c r="LPI2491" s="58"/>
      <c r="LPJ2491" s="60"/>
      <c r="LPK2491" s="58"/>
      <c r="LPL2491" s="58"/>
      <c r="LPM2491" s="58"/>
      <c r="LPN2491" s="61"/>
      <c r="LPO2491" s="58"/>
      <c r="LPP2491" s="58"/>
      <c r="LPQ2491" s="58"/>
      <c r="LPR2491" s="60"/>
      <c r="LPS2491" s="58"/>
      <c r="LPT2491" s="58"/>
      <c r="LPU2491" s="58"/>
      <c r="LPV2491" s="61"/>
      <c r="LPW2491" s="58"/>
      <c r="LPX2491" s="58"/>
      <c r="LPY2491" s="58"/>
      <c r="LPZ2491" s="60"/>
      <c r="LQA2491" s="58"/>
      <c r="LQB2491" s="58"/>
      <c r="LQC2491" s="58"/>
      <c r="LQD2491" s="61"/>
      <c r="LQE2491" s="58"/>
      <c r="LQF2491" s="58"/>
      <c r="LQG2491" s="58"/>
      <c r="LQH2491" s="60"/>
      <c r="LQI2491" s="58"/>
      <c r="LQJ2491" s="58"/>
      <c r="LQK2491" s="58"/>
      <c r="LQL2491" s="61"/>
      <c r="LQM2491" s="58"/>
      <c r="LQN2491" s="58"/>
      <c r="LQO2491" s="58"/>
      <c r="LQP2491" s="60"/>
      <c r="LQQ2491" s="58"/>
      <c r="LQR2491" s="58"/>
      <c r="LQS2491" s="58"/>
      <c r="LQT2491" s="61"/>
      <c r="LQU2491" s="58"/>
      <c r="LQV2491" s="58"/>
      <c r="LQW2491" s="58"/>
      <c r="LQX2491" s="60"/>
      <c r="LQY2491" s="58"/>
      <c r="LQZ2491" s="58"/>
      <c r="LRA2491" s="58"/>
      <c r="LRB2491" s="61"/>
      <c r="LRC2491" s="58"/>
      <c r="LRD2491" s="58"/>
      <c r="LRE2491" s="58"/>
      <c r="LRF2491" s="60"/>
      <c r="LRG2491" s="58"/>
      <c r="LRH2491" s="58"/>
      <c r="LRI2491" s="58"/>
      <c r="LRJ2491" s="61"/>
      <c r="LRK2491" s="58"/>
      <c r="LRL2491" s="58"/>
      <c r="LRM2491" s="58"/>
      <c r="LRN2491" s="60"/>
      <c r="LRO2491" s="58"/>
      <c r="LRP2491" s="58"/>
      <c r="LRQ2491" s="58"/>
      <c r="LRR2491" s="61"/>
      <c r="LRS2491" s="58"/>
      <c r="LRT2491" s="58"/>
      <c r="LRU2491" s="58"/>
      <c r="LRV2491" s="60"/>
      <c r="LRW2491" s="58"/>
      <c r="LRX2491" s="58"/>
      <c r="LRY2491" s="58"/>
      <c r="LRZ2491" s="61"/>
      <c r="LSA2491" s="58"/>
      <c r="LSB2491" s="58"/>
      <c r="LSC2491" s="58"/>
      <c r="LSD2491" s="60"/>
      <c r="LSE2491" s="58"/>
      <c r="LSF2491" s="58"/>
      <c r="LSG2491" s="58"/>
      <c r="LSH2491" s="61"/>
      <c r="LSI2491" s="58"/>
      <c r="LSJ2491" s="58"/>
      <c r="LSK2491" s="58"/>
      <c r="LSL2491" s="60"/>
      <c r="LSM2491" s="58"/>
      <c r="LSN2491" s="58"/>
      <c r="LSO2491" s="58"/>
      <c r="LSP2491" s="61"/>
      <c r="LSQ2491" s="58"/>
      <c r="LSR2491" s="58"/>
      <c r="LSS2491" s="58"/>
      <c r="LST2491" s="60"/>
      <c r="LSU2491" s="58"/>
      <c r="LSV2491" s="58"/>
      <c r="LSW2491" s="58"/>
      <c r="LSX2491" s="61"/>
      <c r="LSY2491" s="58"/>
      <c r="LSZ2491" s="58"/>
      <c r="LTA2491" s="58"/>
      <c r="LTB2491" s="60"/>
      <c r="LTC2491" s="58"/>
      <c r="LTD2491" s="58"/>
      <c r="LTE2491" s="58"/>
      <c r="LTF2491" s="61"/>
      <c r="LTG2491" s="58"/>
      <c r="LTH2491" s="58"/>
      <c r="LTI2491" s="58"/>
      <c r="LTJ2491" s="60"/>
      <c r="LTK2491" s="58"/>
      <c r="LTL2491" s="58"/>
      <c r="LTM2491" s="58"/>
      <c r="LTN2491" s="61"/>
      <c r="LTO2491" s="58"/>
      <c r="LTP2491" s="58"/>
      <c r="LTQ2491" s="58"/>
      <c r="LTR2491" s="60"/>
      <c r="LTS2491" s="58"/>
      <c r="LTT2491" s="58"/>
      <c r="LTU2491" s="58"/>
      <c r="LTV2491" s="61"/>
      <c r="LTW2491" s="58"/>
      <c r="LTX2491" s="58"/>
      <c r="LTY2491" s="58"/>
      <c r="LTZ2491" s="60"/>
      <c r="LUA2491" s="58"/>
      <c r="LUB2491" s="58"/>
      <c r="LUC2491" s="58"/>
      <c r="LUD2491" s="61"/>
      <c r="LUE2491" s="58"/>
      <c r="LUF2491" s="58"/>
      <c r="LUG2491" s="58"/>
      <c r="LUH2491" s="60"/>
      <c r="LUI2491" s="58"/>
      <c r="LUJ2491" s="58"/>
      <c r="LUK2491" s="58"/>
      <c r="LUL2491" s="61"/>
      <c r="LUM2491" s="58"/>
      <c r="LUN2491" s="58"/>
      <c r="LUO2491" s="58"/>
      <c r="LUP2491" s="60"/>
      <c r="LUQ2491" s="58"/>
      <c r="LUR2491" s="58"/>
      <c r="LUS2491" s="58"/>
      <c r="LUT2491" s="61"/>
      <c r="LUU2491" s="58"/>
      <c r="LUV2491" s="58"/>
      <c r="LUW2491" s="58"/>
      <c r="LUX2491" s="60"/>
      <c r="LUY2491" s="58"/>
      <c r="LUZ2491" s="58"/>
      <c r="LVA2491" s="58"/>
      <c r="LVB2491" s="61"/>
      <c r="LVC2491" s="58"/>
      <c r="LVD2491" s="58"/>
      <c r="LVE2491" s="58"/>
      <c r="LVF2491" s="60"/>
      <c r="LVG2491" s="58"/>
      <c r="LVH2491" s="58"/>
      <c r="LVI2491" s="58"/>
      <c r="LVJ2491" s="61"/>
      <c r="LVK2491" s="58"/>
      <c r="LVL2491" s="58"/>
      <c r="LVM2491" s="58"/>
      <c r="LVN2491" s="60"/>
      <c r="LVO2491" s="58"/>
      <c r="LVP2491" s="58"/>
      <c r="LVQ2491" s="58"/>
      <c r="LVR2491" s="61"/>
      <c r="LVS2491" s="58"/>
      <c r="LVT2491" s="58"/>
      <c r="LVU2491" s="58"/>
      <c r="LVV2491" s="60"/>
      <c r="LVW2491" s="58"/>
      <c r="LVX2491" s="58"/>
      <c r="LVY2491" s="58"/>
      <c r="LVZ2491" s="61"/>
      <c r="LWA2491" s="58"/>
      <c r="LWB2491" s="58"/>
      <c r="LWC2491" s="58"/>
      <c r="LWD2491" s="60"/>
      <c r="LWE2491" s="58"/>
      <c r="LWF2491" s="58"/>
      <c r="LWG2491" s="58"/>
      <c r="LWH2491" s="61"/>
      <c r="LWI2491" s="58"/>
      <c r="LWJ2491" s="58"/>
      <c r="LWK2491" s="58"/>
      <c r="LWL2491" s="60"/>
      <c r="LWM2491" s="58"/>
      <c r="LWN2491" s="58"/>
      <c r="LWO2491" s="58"/>
      <c r="LWP2491" s="61"/>
      <c r="LWQ2491" s="58"/>
      <c r="LWR2491" s="58"/>
      <c r="LWS2491" s="58"/>
      <c r="LWT2491" s="60"/>
      <c r="LWU2491" s="58"/>
      <c r="LWV2491" s="58"/>
      <c r="LWW2491" s="58"/>
      <c r="LWX2491" s="61"/>
      <c r="LWY2491" s="58"/>
      <c r="LWZ2491" s="58"/>
      <c r="LXA2491" s="58"/>
      <c r="LXB2491" s="60"/>
      <c r="LXC2491" s="58"/>
      <c r="LXD2491" s="58"/>
      <c r="LXE2491" s="58"/>
      <c r="LXF2491" s="61"/>
      <c r="LXG2491" s="58"/>
      <c r="LXH2491" s="58"/>
      <c r="LXI2491" s="58"/>
      <c r="LXJ2491" s="60"/>
      <c r="LXK2491" s="58"/>
      <c r="LXL2491" s="58"/>
      <c r="LXM2491" s="58"/>
      <c r="LXN2491" s="61"/>
      <c r="LXO2491" s="58"/>
      <c r="LXP2491" s="58"/>
      <c r="LXQ2491" s="58"/>
      <c r="LXR2491" s="60"/>
      <c r="LXS2491" s="58"/>
      <c r="LXT2491" s="58"/>
      <c r="LXU2491" s="58"/>
      <c r="LXV2491" s="61"/>
      <c r="LXW2491" s="58"/>
      <c r="LXX2491" s="58"/>
      <c r="LXY2491" s="58"/>
      <c r="LXZ2491" s="60"/>
      <c r="LYA2491" s="58"/>
      <c r="LYB2491" s="58"/>
      <c r="LYC2491" s="58"/>
      <c r="LYD2491" s="61"/>
      <c r="LYE2491" s="58"/>
      <c r="LYF2491" s="58"/>
      <c r="LYG2491" s="58"/>
      <c r="LYH2491" s="60"/>
      <c r="LYI2491" s="58"/>
      <c r="LYJ2491" s="58"/>
      <c r="LYK2491" s="58"/>
      <c r="LYL2491" s="61"/>
      <c r="LYM2491" s="58"/>
      <c r="LYN2491" s="58"/>
      <c r="LYO2491" s="58"/>
      <c r="LYP2491" s="60"/>
      <c r="LYQ2491" s="58"/>
      <c r="LYR2491" s="58"/>
      <c r="LYS2491" s="58"/>
      <c r="LYT2491" s="61"/>
      <c r="LYU2491" s="58"/>
      <c r="LYV2491" s="58"/>
      <c r="LYW2491" s="58"/>
      <c r="LYX2491" s="60"/>
      <c r="LYY2491" s="58"/>
      <c r="LYZ2491" s="58"/>
      <c r="LZA2491" s="58"/>
      <c r="LZB2491" s="61"/>
      <c r="LZC2491" s="58"/>
      <c r="LZD2491" s="58"/>
      <c r="LZE2491" s="58"/>
      <c r="LZF2491" s="60"/>
      <c r="LZG2491" s="58"/>
      <c r="LZH2491" s="58"/>
      <c r="LZI2491" s="58"/>
      <c r="LZJ2491" s="61"/>
      <c r="LZK2491" s="58"/>
      <c r="LZL2491" s="58"/>
      <c r="LZM2491" s="58"/>
      <c r="LZN2491" s="60"/>
      <c r="LZO2491" s="58"/>
      <c r="LZP2491" s="58"/>
      <c r="LZQ2491" s="58"/>
      <c r="LZR2491" s="61"/>
      <c r="LZS2491" s="58"/>
      <c r="LZT2491" s="58"/>
      <c r="LZU2491" s="58"/>
      <c r="LZV2491" s="60"/>
      <c r="LZW2491" s="58"/>
      <c r="LZX2491" s="58"/>
      <c r="LZY2491" s="58"/>
      <c r="LZZ2491" s="61"/>
      <c r="MAA2491" s="58"/>
      <c r="MAB2491" s="58"/>
      <c r="MAC2491" s="58"/>
      <c r="MAD2491" s="60"/>
      <c r="MAE2491" s="58"/>
      <c r="MAF2491" s="58"/>
      <c r="MAG2491" s="58"/>
      <c r="MAH2491" s="61"/>
      <c r="MAI2491" s="58"/>
      <c r="MAJ2491" s="58"/>
      <c r="MAK2491" s="58"/>
      <c r="MAL2491" s="60"/>
      <c r="MAM2491" s="58"/>
      <c r="MAN2491" s="58"/>
      <c r="MAO2491" s="58"/>
      <c r="MAP2491" s="61"/>
      <c r="MAQ2491" s="58"/>
      <c r="MAR2491" s="58"/>
      <c r="MAS2491" s="58"/>
      <c r="MAT2491" s="60"/>
      <c r="MAU2491" s="58"/>
      <c r="MAV2491" s="58"/>
      <c r="MAW2491" s="58"/>
      <c r="MAX2491" s="61"/>
      <c r="MAY2491" s="58"/>
      <c r="MAZ2491" s="58"/>
      <c r="MBA2491" s="58"/>
      <c r="MBB2491" s="60"/>
      <c r="MBC2491" s="58"/>
      <c r="MBD2491" s="58"/>
      <c r="MBE2491" s="58"/>
      <c r="MBF2491" s="61"/>
      <c r="MBG2491" s="58"/>
      <c r="MBH2491" s="58"/>
      <c r="MBI2491" s="58"/>
      <c r="MBJ2491" s="60"/>
      <c r="MBK2491" s="58"/>
      <c r="MBL2491" s="58"/>
      <c r="MBM2491" s="58"/>
      <c r="MBN2491" s="61"/>
      <c r="MBO2491" s="58"/>
      <c r="MBP2491" s="58"/>
      <c r="MBQ2491" s="58"/>
      <c r="MBR2491" s="60"/>
      <c r="MBS2491" s="58"/>
      <c r="MBT2491" s="58"/>
      <c r="MBU2491" s="58"/>
      <c r="MBV2491" s="61"/>
      <c r="MBW2491" s="58"/>
      <c r="MBX2491" s="58"/>
      <c r="MBY2491" s="58"/>
      <c r="MBZ2491" s="60"/>
      <c r="MCA2491" s="58"/>
      <c r="MCB2491" s="58"/>
      <c r="MCC2491" s="58"/>
      <c r="MCD2491" s="61"/>
      <c r="MCE2491" s="58"/>
      <c r="MCF2491" s="58"/>
      <c r="MCG2491" s="58"/>
      <c r="MCH2491" s="60"/>
      <c r="MCI2491" s="58"/>
      <c r="MCJ2491" s="58"/>
      <c r="MCK2491" s="58"/>
      <c r="MCL2491" s="61"/>
      <c r="MCM2491" s="58"/>
      <c r="MCN2491" s="58"/>
      <c r="MCO2491" s="58"/>
      <c r="MCP2491" s="60"/>
      <c r="MCQ2491" s="58"/>
      <c r="MCR2491" s="58"/>
      <c r="MCS2491" s="58"/>
      <c r="MCT2491" s="61"/>
      <c r="MCU2491" s="58"/>
      <c r="MCV2491" s="58"/>
      <c r="MCW2491" s="58"/>
      <c r="MCX2491" s="60"/>
      <c r="MCY2491" s="58"/>
      <c r="MCZ2491" s="58"/>
      <c r="MDA2491" s="58"/>
      <c r="MDB2491" s="61"/>
      <c r="MDC2491" s="58"/>
      <c r="MDD2491" s="58"/>
      <c r="MDE2491" s="58"/>
      <c r="MDF2491" s="60"/>
      <c r="MDG2491" s="58"/>
      <c r="MDH2491" s="58"/>
      <c r="MDI2491" s="58"/>
      <c r="MDJ2491" s="61"/>
      <c r="MDK2491" s="58"/>
      <c r="MDL2491" s="58"/>
      <c r="MDM2491" s="58"/>
      <c r="MDN2491" s="60"/>
      <c r="MDO2491" s="58"/>
      <c r="MDP2491" s="58"/>
      <c r="MDQ2491" s="58"/>
      <c r="MDR2491" s="61"/>
      <c r="MDS2491" s="58"/>
      <c r="MDT2491" s="58"/>
      <c r="MDU2491" s="58"/>
      <c r="MDV2491" s="60"/>
      <c r="MDW2491" s="58"/>
      <c r="MDX2491" s="58"/>
      <c r="MDY2491" s="58"/>
      <c r="MDZ2491" s="61"/>
      <c r="MEA2491" s="58"/>
      <c r="MEB2491" s="58"/>
      <c r="MEC2491" s="58"/>
      <c r="MED2491" s="60"/>
      <c r="MEE2491" s="58"/>
      <c r="MEF2491" s="58"/>
      <c r="MEG2491" s="58"/>
      <c r="MEH2491" s="61"/>
      <c r="MEI2491" s="58"/>
      <c r="MEJ2491" s="58"/>
      <c r="MEK2491" s="58"/>
      <c r="MEL2491" s="60"/>
      <c r="MEM2491" s="58"/>
      <c r="MEN2491" s="58"/>
      <c r="MEO2491" s="58"/>
      <c r="MEP2491" s="61"/>
      <c r="MEQ2491" s="58"/>
      <c r="MER2491" s="58"/>
      <c r="MES2491" s="58"/>
      <c r="MET2491" s="60"/>
      <c r="MEU2491" s="58"/>
      <c r="MEV2491" s="58"/>
      <c r="MEW2491" s="58"/>
      <c r="MEX2491" s="61"/>
      <c r="MEY2491" s="58"/>
      <c r="MEZ2491" s="58"/>
      <c r="MFA2491" s="58"/>
      <c r="MFB2491" s="60"/>
      <c r="MFC2491" s="58"/>
      <c r="MFD2491" s="58"/>
      <c r="MFE2491" s="58"/>
      <c r="MFF2491" s="61"/>
      <c r="MFG2491" s="58"/>
      <c r="MFH2491" s="58"/>
      <c r="MFI2491" s="58"/>
      <c r="MFJ2491" s="60"/>
      <c r="MFK2491" s="58"/>
      <c r="MFL2491" s="58"/>
      <c r="MFM2491" s="58"/>
      <c r="MFN2491" s="61"/>
      <c r="MFO2491" s="58"/>
      <c r="MFP2491" s="58"/>
      <c r="MFQ2491" s="58"/>
      <c r="MFR2491" s="60"/>
      <c r="MFS2491" s="58"/>
      <c r="MFT2491" s="58"/>
      <c r="MFU2491" s="58"/>
      <c r="MFV2491" s="61"/>
      <c r="MFW2491" s="58"/>
      <c r="MFX2491" s="58"/>
      <c r="MFY2491" s="58"/>
      <c r="MFZ2491" s="60"/>
      <c r="MGA2491" s="58"/>
      <c r="MGB2491" s="58"/>
      <c r="MGC2491" s="58"/>
      <c r="MGD2491" s="61"/>
      <c r="MGE2491" s="58"/>
      <c r="MGF2491" s="58"/>
      <c r="MGG2491" s="58"/>
      <c r="MGH2491" s="60"/>
      <c r="MGI2491" s="58"/>
      <c r="MGJ2491" s="58"/>
      <c r="MGK2491" s="58"/>
      <c r="MGL2491" s="61"/>
      <c r="MGM2491" s="58"/>
      <c r="MGN2491" s="58"/>
      <c r="MGO2491" s="58"/>
      <c r="MGP2491" s="60"/>
      <c r="MGQ2491" s="58"/>
      <c r="MGR2491" s="58"/>
      <c r="MGS2491" s="58"/>
      <c r="MGT2491" s="61"/>
      <c r="MGU2491" s="58"/>
      <c r="MGV2491" s="58"/>
      <c r="MGW2491" s="58"/>
      <c r="MGX2491" s="60"/>
      <c r="MGY2491" s="58"/>
      <c r="MGZ2491" s="58"/>
      <c r="MHA2491" s="58"/>
      <c r="MHB2491" s="61"/>
      <c r="MHC2491" s="58"/>
      <c r="MHD2491" s="58"/>
      <c r="MHE2491" s="58"/>
      <c r="MHF2491" s="60"/>
      <c r="MHG2491" s="58"/>
      <c r="MHH2491" s="58"/>
      <c r="MHI2491" s="58"/>
      <c r="MHJ2491" s="61"/>
      <c r="MHK2491" s="58"/>
      <c r="MHL2491" s="58"/>
      <c r="MHM2491" s="58"/>
      <c r="MHN2491" s="60"/>
      <c r="MHO2491" s="58"/>
      <c r="MHP2491" s="58"/>
      <c r="MHQ2491" s="58"/>
      <c r="MHR2491" s="61"/>
      <c r="MHS2491" s="58"/>
      <c r="MHT2491" s="58"/>
      <c r="MHU2491" s="58"/>
      <c r="MHV2491" s="60"/>
      <c r="MHW2491" s="58"/>
      <c r="MHX2491" s="58"/>
      <c r="MHY2491" s="58"/>
      <c r="MHZ2491" s="61"/>
      <c r="MIA2491" s="58"/>
      <c r="MIB2491" s="58"/>
      <c r="MIC2491" s="58"/>
      <c r="MID2491" s="60"/>
      <c r="MIE2491" s="58"/>
      <c r="MIF2491" s="58"/>
      <c r="MIG2491" s="58"/>
      <c r="MIH2491" s="61"/>
      <c r="MII2491" s="58"/>
      <c r="MIJ2491" s="58"/>
      <c r="MIK2491" s="58"/>
      <c r="MIL2491" s="60"/>
      <c r="MIM2491" s="58"/>
      <c r="MIN2491" s="58"/>
      <c r="MIO2491" s="58"/>
      <c r="MIP2491" s="61"/>
      <c r="MIQ2491" s="58"/>
      <c r="MIR2491" s="58"/>
      <c r="MIS2491" s="58"/>
      <c r="MIT2491" s="60"/>
      <c r="MIU2491" s="58"/>
      <c r="MIV2491" s="58"/>
      <c r="MIW2491" s="58"/>
      <c r="MIX2491" s="61"/>
      <c r="MIY2491" s="58"/>
      <c r="MIZ2491" s="58"/>
      <c r="MJA2491" s="58"/>
      <c r="MJB2491" s="60"/>
      <c r="MJC2491" s="58"/>
      <c r="MJD2491" s="58"/>
      <c r="MJE2491" s="58"/>
      <c r="MJF2491" s="61"/>
      <c r="MJG2491" s="58"/>
      <c r="MJH2491" s="58"/>
      <c r="MJI2491" s="58"/>
      <c r="MJJ2491" s="60"/>
      <c r="MJK2491" s="58"/>
      <c r="MJL2491" s="58"/>
      <c r="MJM2491" s="58"/>
      <c r="MJN2491" s="61"/>
      <c r="MJO2491" s="58"/>
      <c r="MJP2491" s="58"/>
      <c r="MJQ2491" s="58"/>
      <c r="MJR2491" s="60"/>
      <c r="MJS2491" s="58"/>
      <c r="MJT2491" s="58"/>
      <c r="MJU2491" s="58"/>
      <c r="MJV2491" s="61"/>
      <c r="MJW2491" s="58"/>
      <c r="MJX2491" s="58"/>
      <c r="MJY2491" s="58"/>
      <c r="MJZ2491" s="60"/>
      <c r="MKA2491" s="58"/>
      <c r="MKB2491" s="58"/>
      <c r="MKC2491" s="58"/>
      <c r="MKD2491" s="61"/>
      <c r="MKE2491" s="58"/>
      <c r="MKF2491" s="58"/>
      <c r="MKG2491" s="58"/>
      <c r="MKH2491" s="60"/>
      <c r="MKI2491" s="58"/>
      <c r="MKJ2491" s="58"/>
      <c r="MKK2491" s="58"/>
      <c r="MKL2491" s="61"/>
      <c r="MKM2491" s="58"/>
      <c r="MKN2491" s="58"/>
      <c r="MKO2491" s="58"/>
      <c r="MKP2491" s="60"/>
      <c r="MKQ2491" s="58"/>
      <c r="MKR2491" s="58"/>
      <c r="MKS2491" s="58"/>
      <c r="MKT2491" s="61"/>
      <c r="MKU2491" s="58"/>
      <c r="MKV2491" s="58"/>
      <c r="MKW2491" s="58"/>
      <c r="MKX2491" s="60"/>
      <c r="MKY2491" s="58"/>
      <c r="MKZ2491" s="58"/>
      <c r="MLA2491" s="58"/>
      <c r="MLB2491" s="61"/>
      <c r="MLC2491" s="58"/>
      <c r="MLD2491" s="58"/>
      <c r="MLE2491" s="58"/>
      <c r="MLF2491" s="60"/>
      <c r="MLG2491" s="58"/>
      <c r="MLH2491" s="58"/>
      <c r="MLI2491" s="58"/>
      <c r="MLJ2491" s="61"/>
      <c r="MLK2491" s="58"/>
      <c r="MLL2491" s="58"/>
      <c r="MLM2491" s="58"/>
      <c r="MLN2491" s="60"/>
      <c r="MLO2491" s="58"/>
      <c r="MLP2491" s="58"/>
      <c r="MLQ2491" s="58"/>
      <c r="MLR2491" s="61"/>
      <c r="MLS2491" s="58"/>
      <c r="MLT2491" s="58"/>
      <c r="MLU2491" s="58"/>
      <c r="MLV2491" s="60"/>
      <c r="MLW2491" s="58"/>
      <c r="MLX2491" s="58"/>
      <c r="MLY2491" s="58"/>
      <c r="MLZ2491" s="61"/>
      <c r="MMA2491" s="58"/>
      <c r="MMB2491" s="58"/>
      <c r="MMC2491" s="58"/>
      <c r="MMD2491" s="60"/>
      <c r="MME2491" s="58"/>
      <c r="MMF2491" s="58"/>
      <c r="MMG2491" s="58"/>
      <c r="MMH2491" s="61"/>
      <c r="MMI2491" s="58"/>
      <c r="MMJ2491" s="58"/>
      <c r="MMK2491" s="58"/>
      <c r="MML2491" s="60"/>
      <c r="MMM2491" s="58"/>
      <c r="MMN2491" s="58"/>
      <c r="MMO2491" s="58"/>
      <c r="MMP2491" s="61"/>
      <c r="MMQ2491" s="58"/>
      <c r="MMR2491" s="58"/>
      <c r="MMS2491" s="58"/>
      <c r="MMT2491" s="60"/>
      <c r="MMU2491" s="58"/>
      <c r="MMV2491" s="58"/>
      <c r="MMW2491" s="58"/>
      <c r="MMX2491" s="61"/>
      <c r="MMY2491" s="58"/>
      <c r="MMZ2491" s="58"/>
      <c r="MNA2491" s="58"/>
      <c r="MNB2491" s="60"/>
      <c r="MNC2491" s="58"/>
      <c r="MND2491" s="58"/>
      <c r="MNE2491" s="58"/>
      <c r="MNF2491" s="61"/>
      <c r="MNG2491" s="58"/>
      <c r="MNH2491" s="58"/>
      <c r="MNI2491" s="58"/>
      <c r="MNJ2491" s="60"/>
      <c r="MNK2491" s="58"/>
      <c r="MNL2491" s="58"/>
      <c r="MNM2491" s="58"/>
      <c r="MNN2491" s="61"/>
      <c r="MNO2491" s="58"/>
      <c r="MNP2491" s="58"/>
      <c r="MNQ2491" s="58"/>
      <c r="MNR2491" s="60"/>
      <c r="MNS2491" s="58"/>
      <c r="MNT2491" s="58"/>
      <c r="MNU2491" s="58"/>
      <c r="MNV2491" s="61"/>
      <c r="MNW2491" s="58"/>
      <c r="MNX2491" s="58"/>
      <c r="MNY2491" s="58"/>
      <c r="MNZ2491" s="60"/>
      <c r="MOA2491" s="58"/>
      <c r="MOB2491" s="58"/>
      <c r="MOC2491" s="58"/>
      <c r="MOD2491" s="61"/>
      <c r="MOE2491" s="58"/>
      <c r="MOF2491" s="58"/>
      <c r="MOG2491" s="58"/>
      <c r="MOH2491" s="60"/>
      <c r="MOI2491" s="58"/>
      <c r="MOJ2491" s="58"/>
      <c r="MOK2491" s="58"/>
      <c r="MOL2491" s="61"/>
      <c r="MOM2491" s="58"/>
      <c r="MON2491" s="58"/>
      <c r="MOO2491" s="58"/>
      <c r="MOP2491" s="60"/>
      <c r="MOQ2491" s="58"/>
      <c r="MOR2491" s="58"/>
      <c r="MOS2491" s="58"/>
      <c r="MOT2491" s="61"/>
      <c r="MOU2491" s="58"/>
      <c r="MOV2491" s="58"/>
      <c r="MOW2491" s="58"/>
      <c r="MOX2491" s="60"/>
      <c r="MOY2491" s="58"/>
      <c r="MOZ2491" s="58"/>
      <c r="MPA2491" s="58"/>
      <c r="MPB2491" s="61"/>
      <c r="MPC2491" s="58"/>
      <c r="MPD2491" s="58"/>
      <c r="MPE2491" s="58"/>
      <c r="MPF2491" s="60"/>
      <c r="MPG2491" s="58"/>
      <c r="MPH2491" s="58"/>
      <c r="MPI2491" s="58"/>
      <c r="MPJ2491" s="61"/>
      <c r="MPK2491" s="58"/>
      <c r="MPL2491" s="58"/>
      <c r="MPM2491" s="58"/>
      <c r="MPN2491" s="60"/>
      <c r="MPO2491" s="58"/>
      <c r="MPP2491" s="58"/>
      <c r="MPQ2491" s="58"/>
      <c r="MPR2491" s="61"/>
      <c r="MPS2491" s="58"/>
      <c r="MPT2491" s="58"/>
      <c r="MPU2491" s="58"/>
      <c r="MPV2491" s="60"/>
      <c r="MPW2491" s="58"/>
      <c r="MPX2491" s="58"/>
      <c r="MPY2491" s="58"/>
      <c r="MPZ2491" s="61"/>
      <c r="MQA2491" s="58"/>
      <c r="MQB2491" s="58"/>
      <c r="MQC2491" s="58"/>
      <c r="MQD2491" s="60"/>
      <c r="MQE2491" s="58"/>
      <c r="MQF2491" s="58"/>
      <c r="MQG2491" s="58"/>
      <c r="MQH2491" s="61"/>
      <c r="MQI2491" s="58"/>
      <c r="MQJ2491" s="58"/>
      <c r="MQK2491" s="58"/>
      <c r="MQL2491" s="60"/>
      <c r="MQM2491" s="58"/>
      <c r="MQN2491" s="58"/>
      <c r="MQO2491" s="58"/>
      <c r="MQP2491" s="61"/>
      <c r="MQQ2491" s="58"/>
      <c r="MQR2491" s="58"/>
      <c r="MQS2491" s="58"/>
      <c r="MQT2491" s="60"/>
      <c r="MQU2491" s="58"/>
      <c r="MQV2491" s="58"/>
      <c r="MQW2491" s="58"/>
      <c r="MQX2491" s="61"/>
      <c r="MQY2491" s="58"/>
      <c r="MQZ2491" s="58"/>
      <c r="MRA2491" s="58"/>
      <c r="MRB2491" s="60"/>
      <c r="MRC2491" s="58"/>
      <c r="MRD2491" s="58"/>
      <c r="MRE2491" s="58"/>
      <c r="MRF2491" s="61"/>
      <c r="MRG2491" s="58"/>
      <c r="MRH2491" s="58"/>
      <c r="MRI2491" s="58"/>
      <c r="MRJ2491" s="60"/>
      <c r="MRK2491" s="58"/>
      <c r="MRL2491" s="58"/>
      <c r="MRM2491" s="58"/>
      <c r="MRN2491" s="61"/>
      <c r="MRO2491" s="58"/>
      <c r="MRP2491" s="58"/>
      <c r="MRQ2491" s="58"/>
      <c r="MRR2491" s="60"/>
      <c r="MRS2491" s="58"/>
      <c r="MRT2491" s="58"/>
      <c r="MRU2491" s="58"/>
      <c r="MRV2491" s="61"/>
      <c r="MRW2491" s="58"/>
      <c r="MRX2491" s="58"/>
      <c r="MRY2491" s="58"/>
      <c r="MRZ2491" s="60"/>
      <c r="MSA2491" s="58"/>
      <c r="MSB2491" s="58"/>
      <c r="MSC2491" s="58"/>
      <c r="MSD2491" s="61"/>
      <c r="MSE2491" s="58"/>
      <c r="MSF2491" s="58"/>
      <c r="MSG2491" s="58"/>
      <c r="MSH2491" s="60"/>
      <c r="MSI2491" s="58"/>
      <c r="MSJ2491" s="58"/>
      <c r="MSK2491" s="58"/>
      <c r="MSL2491" s="61"/>
      <c r="MSM2491" s="58"/>
      <c r="MSN2491" s="58"/>
      <c r="MSO2491" s="58"/>
      <c r="MSP2491" s="60"/>
      <c r="MSQ2491" s="58"/>
      <c r="MSR2491" s="58"/>
      <c r="MSS2491" s="58"/>
      <c r="MST2491" s="61"/>
      <c r="MSU2491" s="58"/>
      <c r="MSV2491" s="58"/>
      <c r="MSW2491" s="58"/>
      <c r="MSX2491" s="60"/>
      <c r="MSY2491" s="58"/>
      <c r="MSZ2491" s="58"/>
      <c r="MTA2491" s="58"/>
      <c r="MTB2491" s="61"/>
      <c r="MTC2491" s="58"/>
      <c r="MTD2491" s="58"/>
      <c r="MTE2491" s="58"/>
      <c r="MTF2491" s="60"/>
      <c r="MTG2491" s="58"/>
      <c r="MTH2491" s="58"/>
      <c r="MTI2491" s="58"/>
      <c r="MTJ2491" s="61"/>
      <c r="MTK2491" s="58"/>
      <c r="MTL2491" s="58"/>
      <c r="MTM2491" s="58"/>
      <c r="MTN2491" s="60"/>
      <c r="MTO2491" s="58"/>
      <c r="MTP2491" s="58"/>
      <c r="MTQ2491" s="58"/>
      <c r="MTR2491" s="61"/>
      <c r="MTS2491" s="58"/>
      <c r="MTT2491" s="58"/>
      <c r="MTU2491" s="58"/>
      <c r="MTV2491" s="60"/>
      <c r="MTW2491" s="58"/>
      <c r="MTX2491" s="58"/>
      <c r="MTY2491" s="58"/>
      <c r="MTZ2491" s="61"/>
      <c r="MUA2491" s="58"/>
      <c r="MUB2491" s="58"/>
      <c r="MUC2491" s="58"/>
      <c r="MUD2491" s="60"/>
      <c r="MUE2491" s="58"/>
      <c r="MUF2491" s="58"/>
      <c r="MUG2491" s="58"/>
      <c r="MUH2491" s="61"/>
      <c r="MUI2491" s="58"/>
      <c r="MUJ2491" s="58"/>
      <c r="MUK2491" s="58"/>
      <c r="MUL2491" s="60"/>
      <c r="MUM2491" s="58"/>
      <c r="MUN2491" s="58"/>
      <c r="MUO2491" s="58"/>
      <c r="MUP2491" s="61"/>
      <c r="MUQ2491" s="58"/>
      <c r="MUR2491" s="58"/>
      <c r="MUS2491" s="58"/>
      <c r="MUT2491" s="60"/>
      <c r="MUU2491" s="58"/>
      <c r="MUV2491" s="58"/>
      <c r="MUW2491" s="58"/>
      <c r="MUX2491" s="61"/>
      <c r="MUY2491" s="58"/>
      <c r="MUZ2491" s="58"/>
      <c r="MVA2491" s="58"/>
      <c r="MVB2491" s="60"/>
      <c r="MVC2491" s="58"/>
      <c r="MVD2491" s="58"/>
      <c r="MVE2491" s="58"/>
      <c r="MVF2491" s="61"/>
      <c r="MVG2491" s="58"/>
      <c r="MVH2491" s="58"/>
      <c r="MVI2491" s="58"/>
      <c r="MVJ2491" s="60"/>
      <c r="MVK2491" s="58"/>
      <c r="MVL2491" s="58"/>
      <c r="MVM2491" s="58"/>
      <c r="MVN2491" s="61"/>
      <c r="MVO2491" s="58"/>
      <c r="MVP2491" s="58"/>
      <c r="MVQ2491" s="58"/>
      <c r="MVR2491" s="60"/>
      <c r="MVS2491" s="58"/>
      <c r="MVT2491" s="58"/>
      <c r="MVU2491" s="58"/>
      <c r="MVV2491" s="61"/>
      <c r="MVW2491" s="58"/>
      <c r="MVX2491" s="58"/>
      <c r="MVY2491" s="58"/>
      <c r="MVZ2491" s="60"/>
      <c r="MWA2491" s="58"/>
      <c r="MWB2491" s="58"/>
      <c r="MWC2491" s="58"/>
      <c r="MWD2491" s="61"/>
      <c r="MWE2491" s="58"/>
      <c r="MWF2491" s="58"/>
      <c r="MWG2491" s="58"/>
      <c r="MWH2491" s="60"/>
      <c r="MWI2491" s="58"/>
      <c r="MWJ2491" s="58"/>
      <c r="MWK2491" s="58"/>
      <c r="MWL2491" s="61"/>
      <c r="MWM2491" s="58"/>
      <c r="MWN2491" s="58"/>
      <c r="MWO2491" s="58"/>
      <c r="MWP2491" s="60"/>
      <c r="MWQ2491" s="58"/>
      <c r="MWR2491" s="58"/>
      <c r="MWS2491" s="58"/>
      <c r="MWT2491" s="61"/>
      <c r="MWU2491" s="58"/>
      <c r="MWV2491" s="58"/>
      <c r="MWW2491" s="58"/>
      <c r="MWX2491" s="60"/>
      <c r="MWY2491" s="58"/>
      <c r="MWZ2491" s="58"/>
      <c r="MXA2491" s="58"/>
      <c r="MXB2491" s="61"/>
      <c r="MXC2491" s="58"/>
      <c r="MXD2491" s="58"/>
      <c r="MXE2491" s="58"/>
      <c r="MXF2491" s="60"/>
      <c r="MXG2491" s="58"/>
      <c r="MXH2491" s="58"/>
      <c r="MXI2491" s="58"/>
      <c r="MXJ2491" s="61"/>
      <c r="MXK2491" s="58"/>
      <c r="MXL2491" s="58"/>
      <c r="MXM2491" s="58"/>
      <c r="MXN2491" s="60"/>
      <c r="MXO2491" s="58"/>
      <c r="MXP2491" s="58"/>
      <c r="MXQ2491" s="58"/>
      <c r="MXR2491" s="61"/>
      <c r="MXS2491" s="58"/>
      <c r="MXT2491" s="58"/>
      <c r="MXU2491" s="58"/>
      <c r="MXV2491" s="60"/>
      <c r="MXW2491" s="58"/>
      <c r="MXX2491" s="58"/>
      <c r="MXY2491" s="58"/>
      <c r="MXZ2491" s="61"/>
      <c r="MYA2491" s="58"/>
      <c r="MYB2491" s="58"/>
      <c r="MYC2491" s="58"/>
      <c r="MYD2491" s="60"/>
      <c r="MYE2491" s="58"/>
      <c r="MYF2491" s="58"/>
      <c r="MYG2491" s="58"/>
      <c r="MYH2491" s="61"/>
      <c r="MYI2491" s="58"/>
      <c r="MYJ2491" s="58"/>
      <c r="MYK2491" s="58"/>
      <c r="MYL2491" s="60"/>
      <c r="MYM2491" s="58"/>
      <c r="MYN2491" s="58"/>
      <c r="MYO2491" s="58"/>
      <c r="MYP2491" s="61"/>
      <c r="MYQ2491" s="58"/>
      <c r="MYR2491" s="58"/>
      <c r="MYS2491" s="58"/>
      <c r="MYT2491" s="60"/>
      <c r="MYU2491" s="58"/>
      <c r="MYV2491" s="58"/>
      <c r="MYW2491" s="58"/>
      <c r="MYX2491" s="61"/>
      <c r="MYY2491" s="58"/>
      <c r="MYZ2491" s="58"/>
      <c r="MZA2491" s="58"/>
      <c r="MZB2491" s="60"/>
      <c r="MZC2491" s="58"/>
      <c r="MZD2491" s="58"/>
      <c r="MZE2491" s="58"/>
      <c r="MZF2491" s="61"/>
      <c r="MZG2491" s="58"/>
      <c r="MZH2491" s="58"/>
      <c r="MZI2491" s="58"/>
      <c r="MZJ2491" s="60"/>
      <c r="MZK2491" s="58"/>
      <c r="MZL2491" s="58"/>
      <c r="MZM2491" s="58"/>
      <c r="MZN2491" s="61"/>
      <c r="MZO2491" s="58"/>
      <c r="MZP2491" s="58"/>
      <c r="MZQ2491" s="58"/>
      <c r="MZR2491" s="60"/>
      <c r="MZS2491" s="58"/>
      <c r="MZT2491" s="58"/>
      <c r="MZU2491" s="58"/>
      <c r="MZV2491" s="61"/>
      <c r="MZW2491" s="58"/>
      <c r="MZX2491" s="58"/>
      <c r="MZY2491" s="58"/>
      <c r="MZZ2491" s="60"/>
      <c r="NAA2491" s="58"/>
      <c r="NAB2491" s="58"/>
      <c r="NAC2491" s="58"/>
      <c r="NAD2491" s="61"/>
      <c r="NAE2491" s="58"/>
      <c r="NAF2491" s="58"/>
      <c r="NAG2491" s="58"/>
      <c r="NAH2491" s="60"/>
      <c r="NAI2491" s="58"/>
      <c r="NAJ2491" s="58"/>
      <c r="NAK2491" s="58"/>
      <c r="NAL2491" s="61"/>
      <c r="NAM2491" s="58"/>
      <c r="NAN2491" s="58"/>
      <c r="NAO2491" s="58"/>
      <c r="NAP2491" s="60"/>
      <c r="NAQ2491" s="58"/>
      <c r="NAR2491" s="58"/>
      <c r="NAS2491" s="58"/>
      <c r="NAT2491" s="61"/>
      <c r="NAU2491" s="58"/>
      <c r="NAV2491" s="58"/>
      <c r="NAW2491" s="58"/>
      <c r="NAX2491" s="60"/>
      <c r="NAY2491" s="58"/>
      <c r="NAZ2491" s="58"/>
      <c r="NBA2491" s="58"/>
      <c r="NBB2491" s="61"/>
      <c r="NBC2491" s="58"/>
      <c r="NBD2491" s="58"/>
      <c r="NBE2491" s="58"/>
      <c r="NBF2491" s="60"/>
      <c r="NBG2491" s="58"/>
      <c r="NBH2491" s="58"/>
      <c r="NBI2491" s="58"/>
      <c r="NBJ2491" s="61"/>
      <c r="NBK2491" s="58"/>
      <c r="NBL2491" s="58"/>
      <c r="NBM2491" s="58"/>
      <c r="NBN2491" s="60"/>
      <c r="NBO2491" s="58"/>
      <c r="NBP2491" s="58"/>
      <c r="NBQ2491" s="58"/>
      <c r="NBR2491" s="61"/>
      <c r="NBS2491" s="58"/>
      <c r="NBT2491" s="58"/>
      <c r="NBU2491" s="58"/>
      <c r="NBV2491" s="60"/>
      <c r="NBW2491" s="58"/>
      <c r="NBX2491" s="58"/>
      <c r="NBY2491" s="58"/>
      <c r="NBZ2491" s="61"/>
      <c r="NCA2491" s="58"/>
      <c r="NCB2491" s="58"/>
      <c r="NCC2491" s="58"/>
      <c r="NCD2491" s="60"/>
      <c r="NCE2491" s="58"/>
      <c r="NCF2491" s="58"/>
      <c r="NCG2491" s="58"/>
      <c r="NCH2491" s="61"/>
      <c r="NCI2491" s="58"/>
      <c r="NCJ2491" s="58"/>
      <c r="NCK2491" s="58"/>
      <c r="NCL2491" s="60"/>
      <c r="NCM2491" s="58"/>
      <c r="NCN2491" s="58"/>
      <c r="NCO2491" s="58"/>
      <c r="NCP2491" s="61"/>
      <c r="NCQ2491" s="58"/>
      <c r="NCR2491" s="58"/>
      <c r="NCS2491" s="58"/>
      <c r="NCT2491" s="60"/>
      <c r="NCU2491" s="58"/>
      <c r="NCV2491" s="58"/>
      <c r="NCW2491" s="58"/>
      <c r="NCX2491" s="61"/>
      <c r="NCY2491" s="58"/>
      <c r="NCZ2491" s="58"/>
      <c r="NDA2491" s="58"/>
      <c r="NDB2491" s="60"/>
      <c r="NDC2491" s="58"/>
      <c r="NDD2491" s="58"/>
      <c r="NDE2491" s="58"/>
      <c r="NDF2491" s="61"/>
      <c r="NDG2491" s="58"/>
      <c r="NDH2491" s="58"/>
      <c r="NDI2491" s="58"/>
      <c r="NDJ2491" s="60"/>
      <c r="NDK2491" s="58"/>
      <c r="NDL2491" s="58"/>
      <c r="NDM2491" s="58"/>
      <c r="NDN2491" s="61"/>
      <c r="NDO2491" s="58"/>
      <c r="NDP2491" s="58"/>
      <c r="NDQ2491" s="58"/>
      <c r="NDR2491" s="60"/>
      <c r="NDS2491" s="58"/>
      <c r="NDT2491" s="58"/>
      <c r="NDU2491" s="58"/>
      <c r="NDV2491" s="61"/>
      <c r="NDW2491" s="58"/>
      <c r="NDX2491" s="58"/>
      <c r="NDY2491" s="58"/>
      <c r="NDZ2491" s="60"/>
      <c r="NEA2491" s="58"/>
      <c r="NEB2491" s="58"/>
      <c r="NEC2491" s="58"/>
      <c r="NED2491" s="61"/>
      <c r="NEE2491" s="58"/>
      <c r="NEF2491" s="58"/>
      <c r="NEG2491" s="58"/>
      <c r="NEH2491" s="60"/>
      <c r="NEI2491" s="58"/>
      <c r="NEJ2491" s="58"/>
      <c r="NEK2491" s="58"/>
      <c r="NEL2491" s="61"/>
      <c r="NEM2491" s="58"/>
      <c r="NEN2491" s="58"/>
      <c r="NEO2491" s="58"/>
      <c r="NEP2491" s="60"/>
      <c r="NEQ2491" s="58"/>
      <c r="NER2491" s="58"/>
      <c r="NES2491" s="58"/>
      <c r="NET2491" s="61"/>
      <c r="NEU2491" s="58"/>
      <c r="NEV2491" s="58"/>
      <c r="NEW2491" s="58"/>
      <c r="NEX2491" s="60"/>
      <c r="NEY2491" s="58"/>
      <c r="NEZ2491" s="58"/>
      <c r="NFA2491" s="58"/>
      <c r="NFB2491" s="61"/>
      <c r="NFC2491" s="58"/>
      <c r="NFD2491" s="58"/>
      <c r="NFE2491" s="58"/>
      <c r="NFF2491" s="60"/>
      <c r="NFG2491" s="58"/>
      <c r="NFH2491" s="58"/>
      <c r="NFI2491" s="58"/>
      <c r="NFJ2491" s="61"/>
      <c r="NFK2491" s="58"/>
      <c r="NFL2491" s="58"/>
      <c r="NFM2491" s="58"/>
      <c r="NFN2491" s="60"/>
      <c r="NFO2491" s="58"/>
      <c r="NFP2491" s="58"/>
      <c r="NFQ2491" s="58"/>
      <c r="NFR2491" s="61"/>
      <c r="NFS2491" s="58"/>
      <c r="NFT2491" s="58"/>
      <c r="NFU2491" s="58"/>
      <c r="NFV2491" s="60"/>
      <c r="NFW2491" s="58"/>
      <c r="NFX2491" s="58"/>
      <c r="NFY2491" s="58"/>
      <c r="NFZ2491" s="61"/>
      <c r="NGA2491" s="58"/>
      <c r="NGB2491" s="58"/>
      <c r="NGC2491" s="58"/>
      <c r="NGD2491" s="60"/>
      <c r="NGE2491" s="58"/>
      <c r="NGF2491" s="58"/>
      <c r="NGG2491" s="58"/>
      <c r="NGH2491" s="61"/>
      <c r="NGI2491" s="58"/>
      <c r="NGJ2491" s="58"/>
      <c r="NGK2491" s="58"/>
      <c r="NGL2491" s="60"/>
      <c r="NGM2491" s="58"/>
      <c r="NGN2491" s="58"/>
      <c r="NGO2491" s="58"/>
      <c r="NGP2491" s="61"/>
      <c r="NGQ2491" s="58"/>
      <c r="NGR2491" s="58"/>
      <c r="NGS2491" s="58"/>
      <c r="NGT2491" s="60"/>
      <c r="NGU2491" s="58"/>
      <c r="NGV2491" s="58"/>
      <c r="NGW2491" s="58"/>
      <c r="NGX2491" s="61"/>
      <c r="NGY2491" s="58"/>
      <c r="NGZ2491" s="58"/>
      <c r="NHA2491" s="58"/>
      <c r="NHB2491" s="60"/>
      <c r="NHC2491" s="58"/>
      <c r="NHD2491" s="58"/>
      <c r="NHE2491" s="58"/>
      <c r="NHF2491" s="61"/>
      <c r="NHG2491" s="58"/>
      <c r="NHH2491" s="58"/>
      <c r="NHI2491" s="58"/>
      <c r="NHJ2491" s="60"/>
      <c r="NHK2491" s="58"/>
      <c r="NHL2491" s="58"/>
      <c r="NHM2491" s="58"/>
      <c r="NHN2491" s="61"/>
      <c r="NHO2491" s="58"/>
      <c r="NHP2491" s="58"/>
      <c r="NHQ2491" s="58"/>
      <c r="NHR2491" s="60"/>
      <c r="NHS2491" s="58"/>
      <c r="NHT2491" s="58"/>
      <c r="NHU2491" s="58"/>
      <c r="NHV2491" s="61"/>
      <c r="NHW2491" s="58"/>
      <c r="NHX2491" s="58"/>
      <c r="NHY2491" s="58"/>
      <c r="NHZ2491" s="60"/>
      <c r="NIA2491" s="58"/>
      <c r="NIB2491" s="58"/>
      <c r="NIC2491" s="58"/>
      <c r="NID2491" s="61"/>
      <c r="NIE2491" s="58"/>
      <c r="NIF2491" s="58"/>
      <c r="NIG2491" s="58"/>
      <c r="NIH2491" s="60"/>
      <c r="NII2491" s="58"/>
      <c r="NIJ2491" s="58"/>
      <c r="NIK2491" s="58"/>
      <c r="NIL2491" s="61"/>
      <c r="NIM2491" s="58"/>
      <c r="NIN2491" s="58"/>
      <c r="NIO2491" s="58"/>
      <c r="NIP2491" s="60"/>
      <c r="NIQ2491" s="58"/>
      <c r="NIR2491" s="58"/>
      <c r="NIS2491" s="58"/>
      <c r="NIT2491" s="61"/>
      <c r="NIU2491" s="58"/>
      <c r="NIV2491" s="58"/>
      <c r="NIW2491" s="58"/>
      <c r="NIX2491" s="60"/>
      <c r="NIY2491" s="58"/>
      <c r="NIZ2491" s="58"/>
      <c r="NJA2491" s="58"/>
      <c r="NJB2491" s="61"/>
      <c r="NJC2491" s="58"/>
      <c r="NJD2491" s="58"/>
      <c r="NJE2491" s="58"/>
      <c r="NJF2491" s="60"/>
      <c r="NJG2491" s="58"/>
      <c r="NJH2491" s="58"/>
      <c r="NJI2491" s="58"/>
      <c r="NJJ2491" s="61"/>
      <c r="NJK2491" s="58"/>
      <c r="NJL2491" s="58"/>
      <c r="NJM2491" s="58"/>
      <c r="NJN2491" s="60"/>
      <c r="NJO2491" s="58"/>
      <c r="NJP2491" s="58"/>
      <c r="NJQ2491" s="58"/>
      <c r="NJR2491" s="61"/>
      <c r="NJS2491" s="58"/>
      <c r="NJT2491" s="58"/>
      <c r="NJU2491" s="58"/>
      <c r="NJV2491" s="60"/>
      <c r="NJW2491" s="58"/>
      <c r="NJX2491" s="58"/>
      <c r="NJY2491" s="58"/>
      <c r="NJZ2491" s="61"/>
      <c r="NKA2491" s="58"/>
      <c r="NKB2491" s="58"/>
      <c r="NKC2491" s="58"/>
      <c r="NKD2491" s="60"/>
      <c r="NKE2491" s="58"/>
      <c r="NKF2491" s="58"/>
      <c r="NKG2491" s="58"/>
      <c r="NKH2491" s="61"/>
      <c r="NKI2491" s="58"/>
      <c r="NKJ2491" s="58"/>
      <c r="NKK2491" s="58"/>
      <c r="NKL2491" s="60"/>
      <c r="NKM2491" s="58"/>
      <c r="NKN2491" s="58"/>
      <c r="NKO2491" s="58"/>
      <c r="NKP2491" s="61"/>
      <c r="NKQ2491" s="58"/>
      <c r="NKR2491" s="58"/>
      <c r="NKS2491" s="58"/>
      <c r="NKT2491" s="60"/>
      <c r="NKU2491" s="58"/>
      <c r="NKV2491" s="58"/>
      <c r="NKW2491" s="58"/>
      <c r="NKX2491" s="61"/>
      <c r="NKY2491" s="58"/>
      <c r="NKZ2491" s="58"/>
      <c r="NLA2491" s="58"/>
      <c r="NLB2491" s="60"/>
      <c r="NLC2491" s="58"/>
      <c r="NLD2491" s="58"/>
      <c r="NLE2491" s="58"/>
      <c r="NLF2491" s="61"/>
      <c r="NLG2491" s="58"/>
      <c r="NLH2491" s="58"/>
      <c r="NLI2491" s="58"/>
      <c r="NLJ2491" s="60"/>
      <c r="NLK2491" s="58"/>
      <c r="NLL2491" s="58"/>
      <c r="NLM2491" s="58"/>
      <c r="NLN2491" s="61"/>
      <c r="NLO2491" s="58"/>
      <c r="NLP2491" s="58"/>
      <c r="NLQ2491" s="58"/>
      <c r="NLR2491" s="60"/>
      <c r="NLS2491" s="58"/>
      <c r="NLT2491" s="58"/>
      <c r="NLU2491" s="58"/>
      <c r="NLV2491" s="61"/>
      <c r="NLW2491" s="58"/>
      <c r="NLX2491" s="58"/>
      <c r="NLY2491" s="58"/>
      <c r="NLZ2491" s="60"/>
      <c r="NMA2491" s="58"/>
      <c r="NMB2491" s="58"/>
      <c r="NMC2491" s="58"/>
      <c r="NMD2491" s="61"/>
      <c r="NME2491" s="58"/>
      <c r="NMF2491" s="58"/>
      <c r="NMG2491" s="58"/>
      <c r="NMH2491" s="60"/>
      <c r="NMI2491" s="58"/>
      <c r="NMJ2491" s="58"/>
      <c r="NMK2491" s="58"/>
      <c r="NML2491" s="61"/>
      <c r="NMM2491" s="58"/>
      <c r="NMN2491" s="58"/>
      <c r="NMO2491" s="58"/>
      <c r="NMP2491" s="60"/>
      <c r="NMQ2491" s="58"/>
      <c r="NMR2491" s="58"/>
      <c r="NMS2491" s="58"/>
      <c r="NMT2491" s="61"/>
      <c r="NMU2491" s="58"/>
      <c r="NMV2491" s="58"/>
      <c r="NMW2491" s="58"/>
      <c r="NMX2491" s="60"/>
      <c r="NMY2491" s="58"/>
      <c r="NMZ2491" s="58"/>
      <c r="NNA2491" s="58"/>
      <c r="NNB2491" s="61"/>
      <c r="NNC2491" s="58"/>
      <c r="NND2491" s="58"/>
      <c r="NNE2491" s="58"/>
      <c r="NNF2491" s="60"/>
      <c r="NNG2491" s="58"/>
      <c r="NNH2491" s="58"/>
      <c r="NNI2491" s="58"/>
      <c r="NNJ2491" s="61"/>
      <c r="NNK2491" s="58"/>
      <c r="NNL2491" s="58"/>
      <c r="NNM2491" s="58"/>
      <c r="NNN2491" s="60"/>
      <c r="NNO2491" s="58"/>
      <c r="NNP2491" s="58"/>
      <c r="NNQ2491" s="58"/>
      <c r="NNR2491" s="61"/>
      <c r="NNS2491" s="58"/>
      <c r="NNT2491" s="58"/>
      <c r="NNU2491" s="58"/>
      <c r="NNV2491" s="60"/>
      <c r="NNW2491" s="58"/>
      <c r="NNX2491" s="58"/>
      <c r="NNY2491" s="58"/>
      <c r="NNZ2491" s="61"/>
      <c r="NOA2491" s="58"/>
      <c r="NOB2491" s="58"/>
      <c r="NOC2491" s="58"/>
      <c r="NOD2491" s="60"/>
      <c r="NOE2491" s="58"/>
      <c r="NOF2491" s="58"/>
      <c r="NOG2491" s="58"/>
      <c r="NOH2491" s="61"/>
      <c r="NOI2491" s="58"/>
      <c r="NOJ2491" s="58"/>
      <c r="NOK2491" s="58"/>
      <c r="NOL2491" s="60"/>
      <c r="NOM2491" s="58"/>
      <c r="NON2491" s="58"/>
      <c r="NOO2491" s="58"/>
      <c r="NOP2491" s="61"/>
      <c r="NOQ2491" s="58"/>
      <c r="NOR2491" s="58"/>
      <c r="NOS2491" s="58"/>
      <c r="NOT2491" s="60"/>
      <c r="NOU2491" s="58"/>
      <c r="NOV2491" s="58"/>
      <c r="NOW2491" s="58"/>
      <c r="NOX2491" s="61"/>
      <c r="NOY2491" s="58"/>
      <c r="NOZ2491" s="58"/>
      <c r="NPA2491" s="58"/>
      <c r="NPB2491" s="60"/>
      <c r="NPC2491" s="58"/>
      <c r="NPD2491" s="58"/>
      <c r="NPE2491" s="58"/>
      <c r="NPF2491" s="61"/>
      <c r="NPG2491" s="58"/>
      <c r="NPH2491" s="58"/>
      <c r="NPI2491" s="58"/>
      <c r="NPJ2491" s="60"/>
      <c r="NPK2491" s="58"/>
      <c r="NPL2491" s="58"/>
      <c r="NPM2491" s="58"/>
      <c r="NPN2491" s="61"/>
      <c r="NPO2491" s="58"/>
      <c r="NPP2491" s="58"/>
      <c r="NPQ2491" s="58"/>
      <c r="NPR2491" s="60"/>
      <c r="NPS2491" s="58"/>
      <c r="NPT2491" s="58"/>
      <c r="NPU2491" s="58"/>
      <c r="NPV2491" s="61"/>
      <c r="NPW2491" s="58"/>
      <c r="NPX2491" s="58"/>
      <c r="NPY2491" s="58"/>
      <c r="NPZ2491" s="60"/>
      <c r="NQA2491" s="58"/>
      <c r="NQB2491" s="58"/>
      <c r="NQC2491" s="58"/>
      <c r="NQD2491" s="61"/>
      <c r="NQE2491" s="58"/>
      <c r="NQF2491" s="58"/>
      <c r="NQG2491" s="58"/>
      <c r="NQH2491" s="60"/>
      <c r="NQI2491" s="58"/>
      <c r="NQJ2491" s="58"/>
      <c r="NQK2491" s="58"/>
      <c r="NQL2491" s="61"/>
      <c r="NQM2491" s="58"/>
      <c r="NQN2491" s="58"/>
      <c r="NQO2491" s="58"/>
      <c r="NQP2491" s="60"/>
      <c r="NQQ2491" s="58"/>
      <c r="NQR2491" s="58"/>
      <c r="NQS2491" s="58"/>
      <c r="NQT2491" s="61"/>
      <c r="NQU2491" s="58"/>
      <c r="NQV2491" s="58"/>
      <c r="NQW2491" s="58"/>
      <c r="NQX2491" s="60"/>
      <c r="NQY2491" s="58"/>
      <c r="NQZ2491" s="58"/>
      <c r="NRA2491" s="58"/>
      <c r="NRB2491" s="61"/>
      <c r="NRC2491" s="58"/>
      <c r="NRD2491" s="58"/>
      <c r="NRE2491" s="58"/>
      <c r="NRF2491" s="60"/>
      <c r="NRG2491" s="58"/>
      <c r="NRH2491" s="58"/>
      <c r="NRI2491" s="58"/>
      <c r="NRJ2491" s="61"/>
      <c r="NRK2491" s="58"/>
      <c r="NRL2491" s="58"/>
      <c r="NRM2491" s="58"/>
      <c r="NRN2491" s="60"/>
      <c r="NRO2491" s="58"/>
      <c r="NRP2491" s="58"/>
      <c r="NRQ2491" s="58"/>
      <c r="NRR2491" s="61"/>
      <c r="NRS2491" s="58"/>
      <c r="NRT2491" s="58"/>
      <c r="NRU2491" s="58"/>
      <c r="NRV2491" s="60"/>
      <c r="NRW2491" s="58"/>
      <c r="NRX2491" s="58"/>
      <c r="NRY2491" s="58"/>
      <c r="NRZ2491" s="61"/>
      <c r="NSA2491" s="58"/>
      <c r="NSB2491" s="58"/>
      <c r="NSC2491" s="58"/>
      <c r="NSD2491" s="60"/>
      <c r="NSE2491" s="58"/>
      <c r="NSF2491" s="58"/>
      <c r="NSG2491" s="58"/>
      <c r="NSH2491" s="61"/>
      <c r="NSI2491" s="58"/>
      <c r="NSJ2491" s="58"/>
      <c r="NSK2491" s="58"/>
      <c r="NSL2491" s="60"/>
      <c r="NSM2491" s="58"/>
      <c r="NSN2491" s="58"/>
      <c r="NSO2491" s="58"/>
      <c r="NSP2491" s="61"/>
      <c r="NSQ2491" s="58"/>
      <c r="NSR2491" s="58"/>
      <c r="NSS2491" s="58"/>
      <c r="NST2491" s="60"/>
      <c r="NSU2491" s="58"/>
      <c r="NSV2491" s="58"/>
      <c r="NSW2491" s="58"/>
      <c r="NSX2491" s="61"/>
      <c r="NSY2491" s="58"/>
      <c r="NSZ2491" s="58"/>
      <c r="NTA2491" s="58"/>
      <c r="NTB2491" s="60"/>
      <c r="NTC2491" s="58"/>
      <c r="NTD2491" s="58"/>
      <c r="NTE2491" s="58"/>
      <c r="NTF2491" s="61"/>
      <c r="NTG2491" s="58"/>
      <c r="NTH2491" s="58"/>
      <c r="NTI2491" s="58"/>
      <c r="NTJ2491" s="60"/>
      <c r="NTK2491" s="58"/>
      <c r="NTL2491" s="58"/>
      <c r="NTM2491" s="58"/>
      <c r="NTN2491" s="61"/>
      <c r="NTO2491" s="58"/>
      <c r="NTP2491" s="58"/>
      <c r="NTQ2491" s="58"/>
      <c r="NTR2491" s="60"/>
      <c r="NTS2491" s="58"/>
      <c r="NTT2491" s="58"/>
      <c r="NTU2491" s="58"/>
      <c r="NTV2491" s="61"/>
      <c r="NTW2491" s="58"/>
      <c r="NTX2491" s="58"/>
      <c r="NTY2491" s="58"/>
      <c r="NTZ2491" s="60"/>
      <c r="NUA2491" s="58"/>
      <c r="NUB2491" s="58"/>
      <c r="NUC2491" s="58"/>
      <c r="NUD2491" s="61"/>
      <c r="NUE2491" s="58"/>
      <c r="NUF2491" s="58"/>
      <c r="NUG2491" s="58"/>
      <c r="NUH2491" s="60"/>
      <c r="NUI2491" s="58"/>
      <c r="NUJ2491" s="58"/>
      <c r="NUK2491" s="58"/>
      <c r="NUL2491" s="61"/>
      <c r="NUM2491" s="58"/>
      <c r="NUN2491" s="58"/>
      <c r="NUO2491" s="58"/>
      <c r="NUP2491" s="60"/>
      <c r="NUQ2491" s="58"/>
      <c r="NUR2491" s="58"/>
      <c r="NUS2491" s="58"/>
      <c r="NUT2491" s="61"/>
      <c r="NUU2491" s="58"/>
      <c r="NUV2491" s="58"/>
      <c r="NUW2491" s="58"/>
      <c r="NUX2491" s="60"/>
      <c r="NUY2491" s="58"/>
      <c r="NUZ2491" s="58"/>
      <c r="NVA2491" s="58"/>
      <c r="NVB2491" s="61"/>
      <c r="NVC2491" s="58"/>
      <c r="NVD2491" s="58"/>
      <c r="NVE2491" s="58"/>
      <c r="NVF2491" s="60"/>
      <c r="NVG2491" s="58"/>
      <c r="NVH2491" s="58"/>
      <c r="NVI2491" s="58"/>
      <c r="NVJ2491" s="61"/>
      <c r="NVK2491" s="58"/>
      <c r="NVL2491" s="58"/>
      <c r="NVM2491" s="58"/>
      <c r="NVN2491" s="60"/>
      <c r="NVO2491" s="58"/>
      <c r="NVP2491" s="58"/>
      <c r="NVQ2491" s="58"/>
      <c r="NVR2491" s="61"/>
      <c r="NVS2491" s="58"/>
      <c r="NVT2491" s="58"/>
      <c r="NVU2491" s="58"/>
      <c r="NVV2491" s="60"/>
      <c r="NVW2491" s="58"/>
      <c r="NVX2491" s="58"/>
      <c r="NVY2491" s="58"/>
      <c r="NVZ2491" s="61"/>
      <c r="NWA2491" s="58"/>
      <c r="NWB2491" s="58"/>
      <c r="NWC2491" s="58"/>
      <c r="NWD2491" s="60"/>
      <c r="NWE2491" s="58"/>
      <c r="NWF2491" s="58"/>
      <c r="NWG2491" s="58"/>
      <c r="NWH2491" s="61"/>
      <c r="NWI2491" s="58"/>
      <c r="NWJ2491" s="58"/>
      <c r="NWK2491" s="58"/>
      <c r="NWL2491" s="60"/>
      <c r="NWM2491" s="58"/>
      <c r="NWN2491" s="58"/>
      <c r="NWO2491" s="58"/>
      <c r="NWP2491" s="61"/>
      <c r="NWQ2491" s="58"/>
      <c r="NWR2491" s="58"/>
      <c r="NWS2491" s="58"/>
      <c r="NWT2491" s="60"/>
      <c r="NWU2491" s="58"/>
      <c r="NWV2491" s="58"/>
      <c r="NWW2491" s="58"/>
      <c r="NWX2491" s="61"/>
      <c r="NWY2491" s="58"/>
      <c r="NWZ2491" s="58"/>
      <c r="NXA2491" s="58"/>
      <c r="NXB2491" s="60"/>
      <c r="NXC2491" s="58"/>
      <c r="NXD2491" s="58"/>
      <c r="NXE2491" s="58"/>
      <c r="NXF2491" s="61"/>
      <c r="NXG2491" s="58"/>
      <c r="NXH2491" s="58"/>
      <c r="NXI2491" s="58"/>
      <c r="NXJ2491" s="60"/>
      <c r="NXK2491" s="58"/>
      <c r="NXL2491" s="58"/>
      <c r="NXM2491" s="58"/>
      <c r="NXN2491" s="61"/>
      <c r="NXO2491" s="58"/>
      <c r="NXP2491" s="58"/>
      <c r="NXQ2491" s="58"/>
      <c r="NXR2491" s="60"/>
      <c r="NXS2491" s="58"/>
      <c r="NXT2491" s="58"/>
      <c r="NXU2491" s="58"/>
      <c r="NXV2491" s="61"/>
      <c r="NXW2491" s="58"/>
      <c r="NXX2491" s="58"/>
      <c r="NXY2491" s="58"/>
      <c r="NXZ2491" s="60"/>
      <c r="NYA2491" s="58"/>
      <c r="NYB2491" s="58"/>
      <c r="NYC2491" s="58"/>
      <c r="NYD2491" s="61"/>
      <c r="NYE2491" s="58"/>
      <c r="NYF2491" s="58"/>
      <c r="NYG2491" s="58"/>
      <c r="NYH2491" s="60"/>
      <c r="NYI2491" s="58"/>
      <c r="NYJ2491" s="58"/>
      <c r="NYK2491" s="58"/>
      <c r="NYL2491" s="61"/>
      <c r="NYM2491" s="58"/>
      <c r="NYN2491" s="58"/>
      <c r="NYO2491" s="58"/>
      <c r="NYP2491" s="60"/>
      <c r="NYQ2491" s="58"/>
      <c r="NYR2491" s="58"/>
      <c r="NYS2491" s="58"/>
      <c r="NYT2491" s="61"/>
      <c r="NYU2491" s="58"/>
      <c r="NYV2491" s="58"/>
      <c r="NYW2491" s="58"/>
      <c r="NYX2491" s="60"/>
      <c r="NYY2491" s="58"/>
      <c r="NYZ2491" s="58"/>
      <c r="NZA2491" s="58"/>
      <c r="NZB2491" s="61"/>
      <c r="NZC2491" s="58"/>
      <c r="NZD2491" s="58"/>
      <c r="NZE2491" s="58"/>
      <c r="NZF2491" s="60"/>
      <c r="NZG2491" s="58"/>
      <c r="NZH2491" s="58"/>
      <c r="NZI2491" s="58"/>
      <c r="NZJ2491" s="61"/>
      <c r="NZK2491" s="58"/>
      <c r="NZL2491" s="58"/>
      <c r="NZM2491" s="58"/>
      <c r="NZN2491" s="60"/>
      <c r="NZO2491" s="58"/>
      <c r="NZP2491" s="58"/>
      <c r="NZQ2491" s="58"/>
      <c r="NZR2491" s="61"/>
      <c r="NZS2491" s="58"/>
      <c r="NZT2491" s="58"/>
      <c r="NZU2491" s="58"/>
      <c r="NZV2491" s="60"/>
      <c r="NZW2491" s="58"/>
      <c r="NZX2491" s="58"/>
      <c r="NZY2491" s="58"/>
      <c r="NZZ2491" s="61"/>
      <c r="OAA2491" s="58"/>
      <c r="OAB2491" s="58"/>
      <c r="OAC2491" s="58"/>
      <c r="OAD2491" s="60"/>
      <c r="OAE2491" s="58"/>
      <c r="OAF2491" s="58"/>
      <c r="OAG2491" s="58"/>
      <c r="OAH2491" s="61"/>
      <c r="OAI2491" s="58"/>
      <c r="OAJ2491" s="58"/>
      <c r="OAK2491" s="58"/>
      <c r="OAL2491" s="60"/>
      <c r="OAM2491" s="58"/>
      <c r="OAN2491" s="58"/>
      <c r="OAO2491" s="58"/>
      <c r="OAP2491" s="61"/>
      <c r="OAQ2491" s="58"/>
      <c r="OAR2491" s="58"/>
      <c r="OAS2491" s="58"/>
      <c r="OAT2491" s="60"/>
      <c r="OAU2491" s="58"/>
      <c r="OAV2491" s="58"/>
      <c r="OAW2491" s="58"/>
      <c r="OAX2491" s="61"/>
      <c r="OAY2491" s="58"/>
      <c r="OAZ2491" s="58"/>
      <c r="OBA2491" s="58"/>
      <c r="OBB2491" s="60"/>
      <c r="OBC2491" s="58"/>
      <c r="OBD2491" s="58"/>
      <c r="OBE2491" s="58"/>
      <c r="OBF2491" s="61"/>
      <c r="OBG2491" s="58"/>
      <c r="OBH2491" s="58"/>
      <c r="OBI2491" s="58"/>
      <c r="OBJ2491" s="60"/>
      <c r="OBK2491" s="58"/>
      <c r="OBL2491" s="58"/>
      <c r="OBM2491" s="58"/>
      <c r="OBN2491" s="61"/>
      <c r="OBO2491" s="58"/>
      <c r="OBP2491" s="58"/>
      <c r="OBQ2491" s="58"/>
      <c r="OBR2491" s="60"/>
      <c r="OBS2491" s="58"/>
      <c r="OBT2491" s="58"/>
      <c r="OBU2491" s="58"/>
      <c r="OBV2491" s="61"/>
      <c r="OBW2491" s="58"/>
      <c r="OBX2491" s="58"/>
      <c r="OBY2491" s="58"/>
      <c r="OBZ2491" s="60"/>
      <c r="OCA2491" s="58"/>
      <c r="OCB2491" s="58"/>
      <c r="OCC2491" s="58"/>
      <c r="OCD2491" s="61"/>
      <c r="OCE2491" s="58"/>
      <c r="OCF2491" s="58"/>
      <c r="OCG2491" s="58"/>
      <c r="OCH2491" s="60"/>
      <c r="OCI2491" s="58"/>
      <c r="OCJ2491" s="58"/>
      <c r="OCK2491" s="58"/>
      <c r="OCL2491" s="61"/>
      <c r="OCM2491" s="58"/>
      <c r="OCN2491" s="58"/>
      <c r="OCO2491" s="58"/>
      <c r="OCP2491" s="60"/>
      <c r="OCQ2491" s="58"/>
      <c r="OCR2491" s="58"/>
      <c r="OCS2491" s="58"/>
      <c r="OCT2491" s="61"/>
      <c r="OCU2491" s="58"/>
      <c r="OCV2491" s="58"/>
      <c r="OCW2491" s="58"/>
      <c r="OCX2491" s="60"/>
      <c r="OCY2491" s="58"/>
      <c r="OCZ2491" s="58"/>
      <c r="ODA2491" s="58"/>
      <c r="ODB2491" s="61"/>
      <c r="ODC2491" s="58"/>
      <c r="ODD2491" s="58"/>
      <c r="ODE2491" s="58"/>
      <c r="ODF2491" s="60"/>
      <c r="ODG2491" s="58"/>
      <c r="ODH2491" s="58"/>
      <c r="ODI2491" s="58"/>
      <c r="ODJ2491" s="61"/>
      <c r="ODK2491" s="58"/>
      <c r="ODL2491" s="58"/>
      <c r="ODM2491" s="58"/>
      <c r="ODN2491" s="60"/>
      <c r="ODO2491" s="58"/>
      <c r="ODP2491" s="58"/>
      <c r="ODQ2491" s="58"/>
      <c r="ODR2491" s="61"/>
      <c r="ODS2491" s="58"/>
      <c r="ODT2491" s="58"/>
      <c r="ODU2491" s="58"/>
      <c r="ODV2491" s="60"/>
      <c r="ODW2491" s="58"/>
      <c r="ODX2491" s="58"/>
      <c r="ODY2491" s="58"/>
      <c r="ODZ2491" s="61"/>
      <c r="OEA2491" s="58"/>
      <c r="OEB2491" s="58"/>
      <c r="OEC2491" s="58"/>
      <c r="OED2491" s="60"/>
      <c r="OEE2491" s="58"/>
      <c r="OEF2491" s="58"/>
      <c r="OEG2491" s="58"/>
      <c r="OEH2491" s="61"/>
      <c r="OEI2491" s="58"/>
      <c r="OEJ2491" s="58"/>
      <c r="OEK2491" s="58"/>
      <c r="OEL2491" s="60"/>
      <c r="OEM2491" s="58"/>
      <c r="OEN2491" s="58"/>
      <c r="OEO2491" s="58"/>
      <c r="OEP2491" s="61"/>
      <c r="OEQ2491" s="58"/>
      <c r="OER2491" s="58"/>
      <c r="OES2491" s="58"/>
      <c r="OET2491" s="60"/>
      <c r="OEU2491" s="58"/>
      <c r="OEV2491" s="58"/>
      <c r="OEW2491" s="58"/>
      <c r="OEX2491" s="61"/>
      <c r="OEY2491" s="58"/>
      <c r="OEZ2491" s="58"/>
      <c r="OFA2491" s="58"/>
      <c r="OFB2491" s="60"/>
      <c r="OFC2491" s="58"/>
      <c r="OFD2491" s="58"/>
      <c r="OFE2491" s="58"/>
      <c r="OFF2491" s="61"/>
      <c r="OFG2491" s="58"/>
      <c r="OFH2491" s="58"/>
      <c r="OFI2491" s="58"/>
      <c r="OFJ2491" s="60"/>
      <c r="OFK2491" s="58"/>
      <c r="OFL2491" s="58"/>
      <c r="OFM2491" s="58"/>
      <c r="OFN2491" s="61"/>
      <c r="OFO2491" s="58"/>
      <c r="OFP2491" s="58"/>
      <c r="OFQ2491" s="58"/>
      <c r="OFR2491" s="60"/>
      <c r="OFS2491" s="58"/>
      <c r="OFT2491" s="58"/>
      <c r="OFU2491" s="58"/>
      <c r="OFV2491" s="61"/>
      <c r="OFW2491" s="58"/>
      <c r="OFX2491" s="58"/>
      <c r="OFY2491" s="58"/>
      <c r="OFZ2491" s="60"/>
      <c r="OGA2491" s="58"/>
      <c r="OGB2491" s="58"/>
      <c r="OGC2491" s="58"/>
      <c r="OGD2491" s="61"/>
      <c r="OGE2491" s="58"/>
      <c r="OGF2491" s="58"/>
      <c r="OGG2491" s="58"/>
      <c r="OGH2491" s="60"/>
      <c r="OGI2491" s="58"/>
      <c r="OGJ2491" s="58"/>
      <c r="OGK2491" s="58"/>
      <c r="OGL2491" s="61"/>
      <c r="OGM2491" s="58"/>
      <c r="OGN2491" s="58"/>
      <c r="OGO2491" s="58"/>
      <c r="OGP2491" s="60"/>
      <c r="OGQ2491" s="58"/>
      <c r="OGR2491" s="58"/>
      <c r="OGS2491" s="58"/>
      <c r="OGT2491" s="61"/>
      <c r="OGU2491" s="58"/>
      <c r="OGV2491" s="58"/>
      <c r="OGW2491" s="58"/>
      <c r="OGX2491" s="60"/>
      <c r="OGY2491" s="58"/>
      <c r="OGZ2491" s="58"/>
      <c r="OHA2491" s="58"/>
      <c r="OHB2491" s="61"/>
      <c r="OHC2491" s="58"/>
      <c r="OHD2491" s="58"/>
      <c r="OHE2491" s="58"/>
      <c r="OHF2491" s="60"/>
      <c r="OHG2491" s="58"/>
      <c r="OHH2491" s="58"/>
      <c r="OHI2491" s="58"/>
      <c r="OHJ2491" s="61"/>
      <c r="OHK2491" s="58"/>
      <c r="OHL2491" s="58"/>
      <c r="OHM2491" s="58"/>
      <c r="OHN2491" s="60"/>
      <c r="OHO2491" s="58"/>
      <c r="OHP2491" s="58"/>
      <c r="OHQ2491" s="58"/>
      <c r="OHR2491" s="61"/>
      <c r="OHS2491" s="58"/>
      <c r="OHT2491" s="58"/>
      <c r="OHU2491" s="58"/>
      <c r="OHV2491" s="60"/>
      <c r="OHW2491" s="58"/>
      <c r="OHX2491" s="58"/>
      <c r="OHY2491" s="58"/>
      <c r="OHZ2491" s="61"/>
      <c r="OIA2491" s="58"/>
      <c r="OIB2491" s="58"/>
      <c r="OIC2491" s="58"/>
      <c r="OID2491" s="60"/>
      <c r="OIE2491" s="58"/>
      <c r="OIF2491" s="58"/>
      <c r="OIG2491" s="58"/>
      <c r="OIH2491" s="61"/>
      <c r="OII2491" s="58"/>
      <c r="OIJ2491" s="58"/>
      <c r="OIK2491" s="58"/>
      <c r="OIL2491" s="60"/>
      <c r="OIM2491" s="58"/>
      <c r="OIN2491" s="58"/>
      <c r="OIO2491" s="58"/>
      <c r="OIP2491" s="61"/>
      <c r="OIQ2491" s="58"/>
      <c r="OIR2491" s="58"/>
      <c r="OIS2491" s="58"/>
      <c r="OIT2491" s="60"/>
      <c r="OIU2491" s="58"/>
      <c r="OIV2491" s="58"/>
      <c r="OIW2491" s="58"/>
      <c r="OIX2491" s="61"/>
      <c r="OIY2491" s="58"/>
      <c r="OIZ2491" s="58"/>
      <c r="OJA2491" s="58"/>
      <c r="OJB2491" s="60"/>
      <c r="OJC2491" s="58"/>
      <c r="OJD2491" s="58"/>
      <c r="OJE2491" s="58"/>
      <c r="OJF2491" s="61"/>
      <c r="OJG2491" s="58"/>
      <c r="OJH2491" s="58"/>
      <c r="OJI2491" s="58"/>
      <c r="OJJ2491" s="60"/>
      <c r="OJK2491" s="58"/>
      <c r="OJL2491" s="58"/>
      <c r="OJM2491" s="58"/>
      <c r="OJN2491" s="61"/>
      <c r="OJO2491" s="58"/>
      <c r="OJP2491" s="58"/>
      <c r="OJQ2491" s="58"/>
      <c r="OJR2491" s="60"/>
      <c r="OJS2491" s="58"/>
      <c r="OJT2491" s="58"/>
      <c r="OJU2491" s="58"/>
      <c r="OJV2491" s="61"/>
      <c r="OJW2491" s="58"/>
      <c r="OJX2491" s="58"/>
      <c r="OJY2491" s="58"/>
      <c r="OJZ2491" s="60"/>
      <c r="OKA2491" s="58"/>
      <c r="OKB2491" s="58"/>
      <c r="OKC2491" s="58"/>
      <c r="OKD2491" s="61"/>
      <c r="OKE2491" s="58"/>
      <c r="OKF2491" s="58"/>
      <c r="OKG2491" s="58"/>
      <c r="OKH2491" s="60"/>
      <c r="OKI2491" s="58"/>
      <c r="OKJ2491" s="58"/>
      <c r="OKK2491" s="58"/>
      <c r="OKL2491" s="61"/>
      <c r="OKM2491" s="58"/>
      <c r="OKN2491" s="58"/>
      <c r="OKO2491" s="58"/>
      <c r="OKP2491" s="60"/>
      <c r="OKQ2491" s="58"/>
      <c r="OKR2491" s="58"/>
      <c r="OKS2491" s="58"/>
      <c r="OKT2491" s="61"/>
      <c r="OKU2491" s="58"/>
      <c r="OKV2491" s="58"/>
      <c r="OKW2491" s="58"/>
      <c r="OKX2491" s="60"/>
      <c r="OKY2491" s="58"/>
      <c r="OKZ2491" s="58"/>
      <c r="OLA2491" s="58"/>
      <c r="OLB2491" s="61"/>
      <c r="OLC2491" s="58"/>
      <c r="OLD2491" s="58"/>
      <c r="OLE2491" s="58"/>
      <c r="OLF2491" s="60"/>
      <c r="OLG2491" s="58"/>
      <c r="OLH2491" s="58"/>
      <c r="OLI2491" s="58"/>
      <c r="OLJ2491" s="61"/>
      <c r="OLK2491" s="58"/>
      <c r="OLL2491" s="58"/>
      <c r="OLM2491" s="58"/>
      <c r="OLN2491" s="60"/>
      <c r="OLO2491" s="58"/>
      <c r="OLP2491" s="58"/>
      <c r="OLQ2491" s="58"/>
      <c r="OLR2491" s="61"/>
      <c r="OLS2491" s="58"/>
      <c r="OLT2491" s="58"/>
      <c r="OLU2491" s="58"/>
      <c r="OLV2491" s="60"/>
      <c r="OLW2491" s="58"/>
      <c r="OLX2491" s="58"/>
      <c r="OLY2491" s="58"/>
      <c r="OLZ2491" s="61"/>
      <c r="OMA2491" s="58"/>
      <c r="OMB2491" s="58"/>
      <c r="OMC2491" s="58"/>
      <c r="OMD2491" s="60"/>
      <c r="OME2491" s="58"/>
      <c r="OMF2491" s="58"/>
      <c r="OMG2491" s="58"/>
      <c r="OMH2491" s="61"/>
      <c r="OMI2491" s="58"/>
      <c r="OMJ2491" s="58"/>
      <c r="OMK2491" s="58"/>
      <c r="OML2491" s="60"/>
      <c r="OMM2491" s="58"/>
      <c r="OMN2491" s="58"/>
      <c r="OMO2491" s="58"/>
      <c r="OMP2491" s="61"/>
      <c r="OMQ2491" s="58"/>
      <c r="OMR2491" s="58"/>
      <c r="OMS2491" s="58"/>
      <c r="OMT2491" s="60"/>
      <c r="OMU2491" s="58"/>
      <c r="OMV2491" s="58"/>
      <c r="OMW2491" s="58"/>
      <c r="OMX2491" s="61"/>
      <c r="OMY2491" s="58"/>
      <c r="OMZ2491" s="58"/>
      <c r="ONA2491" s="58"/>
      <c r="ONB2491" s="60"/>
      <c r="ONC2491" s="58"/>
      <c r="OND2491" s="58"/>
      <c r="ONE2491" s="58"/>
      <c r="ONF2491" s="61"/>
      <c r="ONG2491" s="58"/>
      <c r="ONH2491" s="58"/>
      <c r="ONI2491" s="58"/>
      <c r="ONJ2491" s="60"/>
      <c r="ONK2491" s="58"/>
      <c r="ONL2491" s="58"/>
      <c r="ONM2491" s="58"/>
      <c r="ONN2491" s="61"/>
      <c r="ONO2491" s="58"/>
      <c r="ONP2491" s="58"/>
      <c r="ONQ2491" s="58"/>
      <c r="ONR2491" s="60"/>
      <c r="ONS2491" s="58"/>
      <c r="ONT2491" s="58"/>
      <c r="ONU2491" s="58"/>
      <c r="ONV2491" s="61"/>
      <c r="ONW2491" s="58"/>
      <c r="ONX2491" s="58"/>
      <c r="ONY2491" s="58"/>
      <c r="ONZ2491" s="60"/>
      <c r="OOA2491" s="58"/>
      <c r="OOB2491" s="58"/>
      <c r="OOC2491" s="58"/>
      <c r="OOD2491" s="61"/>
      <c r="OOE2491" s="58"/>
      <c r="OOF2491" s="58"/>
      <c r="OOG2491" s="58"/>
      <c r="OOH2491" s="60"/>
      <c r="OOI2491" s="58"/>
      <c r="OOJ2491" s="58"/>
      <c r="OOK2491" s="58"/>
      <c r="OOL2491" s="61"/>
      <c r="OOM2491" s="58"/>
      <c r="OON2491" s="58"/>
      <c r="OOO2491" s="58"/>
      <c r="OOP2491" s="60"/>
      <c r="OOQ2491" s="58"/>
      <c r="OOR2491" s="58"/>
      <c r="OOS2491" s="58"/>
      <c r="OOT2491" s="61"/>
      <c r="OOU2491" s="58"/>
      <c r="OOV2491" s="58"/>
      <c r="OOW2491" s="58"/>
      <c r="OOX2491" s="60"/>
      <c r="OOY2491" s="58"/>
      <c r="OOZ2491" s="58"/>
      <c r="OPA2491" s="58"/>
      <c r="OPB2491" s="61"/>
      <c r="OPC2491" s="58"/>
      <c r="OPD2491" s="58"/>
      <c r="OPE2491" s="58"/>
      <c r="OPF2491" s="60"/>
      <c r="OPG2491" s="58"/>
      <c r="OPH2491" s="58"/>
      <c r="OPI2491" s="58"/>
      <c r="OPJ2491" s="61"/>
      <c r="OPK2491" s="58"/>
      <c r="OPL2491" s="58"/>
      <c r="OPM2491" s="58"/>
      <c r="OPN2491" s="60"/>
      <c r="OPO2491" s="58"/>
      <c r="OPP2491" s="58"/>
      <c r="OPQ2491" s="58"/>
      <c r="OPR2491" s="61"/>
      <c r="OPS2491" s="58"/>
      <c r="OPT2491" s="58"/>
      <c r="OPU2491" s="58"/>
      <c r="OPV2491" s="60"/>
      <c r="OPW2491" s="58"/>
      <c r="OPX2491" s="58"/>
      <c r="OPY2491" s="58"/>
      <c r="OPZ2491" s="61"/>
      <c r="OQA2491" s="58"/>
      <c r="OQB2491" s="58"/>
      <c r="OQC2491" s="58"/>
      <c r="OQD2491" s="60"/>
      <c r="OQE2491" s="58"/>
      <c r="OQF2491" s="58"/>
      <c r="OQG2491" s="58"/>
      <c r="OQH2491" s="61"/>
      <c r="OQI2491" s="58"/>
      <c r="OQJ2491" s="58"/>
      <c r="OQK2491" s="58"/>
      <c r="OQL2491" s="60"/>
      <c r="OQM2491" s="58"/>
      <c r="OQN2491" s="58"/>
      <c r="OQO2491" s="58"/>
      <c r="OQP2491" s="61"/>
      <c r="OQQ2491" s="58"/>
      <c r="OQR2491" s="58"/>
      <c r="OQS2491" s="58"/>
      <c r="OQT2491" s="60"/>
      <c r="OQU2491" s="58"/>
      <c r="OQV2491" s="58"/>
      <c r="OQW2491" s="58"/>
      <c r="OQX2491" s="61"/>
      <c r="OQY2491" s="58"/>
      <c r="OQZ2491" s="58"/>
      <c r="ORA2491" s="58"/>
      <c r="ORB2491" s="60"/>
      <c r="ORC2491" s="58"/>
      <c r="ORD2491" s="58"/>
      <c r="ORE2491" s="58"/>
      <c r="ORF2491" s="61"/>
      <c r="ORG2491" s="58"/>
      <c r="ORH2491" s="58"/>
      <c r="ORI2491" s="58"/>
      <c r="ORJ2491" s="60"/>
      <c r="ORK2491" s="58"/>
      <c r="ORL2491" s="58"/>
      <c r="ORM2491" s="58"/>
      <c r="ORN2491" s="61"/>
      <c r="ORO2491" s="58"/>
      <c r="ORP2491" s="58"/>
      <c r="ORQ2491" s="58"/>
      <c r="ORR2491" s="60"/>
      <c r="ORS2491" s="58"/>
      <c r="ORT2491" s="58"/>
      <c r="ORU2491" s="58"/>
      <c r="ORV2491" s="61"/>
      <c r="ORW2491" s="58"/>
      <c r="ORX2491" s="58"/>
      <c r="ORY2491" s="58"/>
      <c r="ORZ2491" s="60"/>
      <c r="OSA2491" s="58"/>
      <c r="OSB2491" s="58"/>
      <c r="OSC2491" s="58"/>
      <c r="OSD2491" s="61"/>
      <c r="OSE2491" s="58"/>
      <c r="OSF2491" s="58"/>
      <c r="OSG2491" s="58"/>
      <c r="OSH2491" s="60"/>
      <c r="OSI2491" s="58"/>
      <c r="OSJ2491" s="58"/>
      <c r="OSK2491" s="58"/>
      <c r="OSL2491" s="61"/>
      <c r="OSM2491" s="58"/>
      <c r="OSN2491" s="58"/>
      <c r="OSO2491" s="58"/>
      <c r="OSP2491" s="60"/>
      <c r="OSQ2491" s="58"/>
      <c r="OSR2491" s="58"/>
      <c r="OSS2491" s="58"/>
      <c r="OST2491" s="61"/>
      <c r="OSU2491" s="58"/>
      <c r="OSV2491" s="58"/>
      <c r="OSW2491" s="58"/>
      <c r="OSX2491" s="60"/>
      <c r="OSY2491" s="58"/>
      <c r="OSZ2491" s="58"/>
      <c r="OTA2491" s="58"/>
      <c r="OTB2491" s="61"/>
      <c r="OTC2491" s="58"/>
      <c r="OTD2491" s="58"/>
      <c r="OTE2491" s="58"/>
      <c r="OTF2491" s="60"/>
      <c r="OTG2491" s="58"/>
      <c r="OTH2491" s="58"/>
      <c r="OTI2491" s="58"/>
      <c r="OTJ2491" s="61"/>
      <c r="OTK2491" s="58"/>
      <c r="OTL2491" s="58"/>
      <c r="OTM2491" s="58"/>
      <c r="OTN2491" s="60"/>
      <c r="OTO2491" s="58"/>
      <c r="OTP2491" s="58"/>
      <c r="OTQ2491" s="58"/>
      <c r="OTR2491" s="61"/>
      <c r="OTS2491" s="58"/>
      <c r="OTT2491" s="58"/>
      <c r="OTU2491" s="58"/>
      <c r="OTV2491" s="60"/>
      <c r="OTW2491" s="58"/>
      <c r="OTX2491" s="58"/>
      <c r="OTY2491" s="58"/>
      <c r="OTZ2491" s="61"/>
      <c r="OUA2491" s="58"/>
      <c r="OUB2491" s="58"/>
      <c r="OUC2491" s="58"/>
      <c r="OUD2491" s="60"/>
      <c r="OUE2491" s="58"/>
      <c r="OUF2491" s="58"/>
      <c r="OUG2491" s="58"/>
      <c r="OUH2491" s="61"/>
      <c r="OUI2491" s="58"/>
      <c r="OUJ2491" s="58"/>
      <c r="OUK2491" s="58"/>
      <c r="OUL2491" s="60"/>
      <c r="OUM2491" s="58"/>
      <c r="OUN2491" s="58"/>
      <c r="OUO2491" s="58"/>
      <c r="OUP2491" s="61"/>
      <c r="OUQ2491" s="58"/>
      <c r="OUR2491" s="58"/>
      <c r="OUS2491" s="58"/>
      <c r="OUT2491" s="60"/>
      <c r="OUU2491" s="58"/>
      <c r="OUV2491" s="58"/>
      <c r="OUW2491" s="58"/>
      <c r="OUX2491" s="61"/>
      <c r="OUY2491" s="58"/>
      <c r="OUZ2491" s="58"/>
      <c r="OVA2491" s="58"/>
      <c r="OVB2491" s="60"/>
      <c r="OVC2491" s="58"/>
      <c r="OVD2491" s="58"/>
      <c r="OVE2491" s="58"/>
      <c r="OVF2491" s="61"/>
      <c r="OVG2491" s="58"/>
      <c r="OVH2491" s="58"/>
      <c r="OVI2491" s="58"/>
      <c r="OVJ2491" s="60"/>
      <c r="OVK2491" s="58"/>
      <c r="OVL2491" s="58"/>
      <c r="OVM2491" s="58"/>
      <c r="OVN2491" s="61"/>
      <c r="OVO2491" s="58"/>
      <c r="OVP2491" s="58"/>
      <c r="OVQ2491" s="58"/>
      <c r="OVR2491" s="60"/>
      <c r="OVS2491" s="58"/>
      <c r="OVT2491" s="58"/>
      <c r="OVU2491" s="58"/>
      <c r="OVV2491" s="61"/>
      <c r="OVW2491" s="58"/>
      <c r="OVX2491" s="58"/>
      <c r="OVY2491" s="58"/>
      <c r="OVZ2491" s="60"/>
      <c r="OWA2491" s="58"/>
      <c r="OWB2491" s="58"/>
      <c r="OWC2491" s="58"/>
      <c r="OWD2491" s="61"/>
      <c r="OWE2491" s="58"/>
      <c r="OWF2491" s="58"/>
      <c r="OWG2491" s="58"/>
      <c r="OWH2491" s="60"/>
      <c r="OWI2491" s="58"/>
      <c r="OWJ2491" s="58"/>
      <c r="OWK2491" s="58"/>
      <c r="OWL2491" s="61"/>
      <c r="OWM2491" s="58"/>
      <c r="OWN2491" s="58"/>
      <c r="OWO2491" s="58"/>
      <c r="OWP2491" s="60"/>
      <c r="OWQ2491" s="58"/>
      <c r="OWR2491" s="58"/>
      <c r="OWS2491" s="58"/>
      <c r="OWT2491" s="61"/>
      <c r="OWU2491" s="58"/>
      <c r="OWV2491" s="58"/>
      <c r="OWW2491" s="58"/>
      <c r="OWX2491" s="60"/>
      <c r="OWY2491" s="58"/>
      <c r="OWZ2491" s="58"/>
      <c r="OXA2491" s="58"/>
      <c r="OXB2491" s="61"/>
      <c r="OXC2491" s="58"/>
      <c r="OXD2491" s="58"/>
      <c r="OXE2491" s="58"/>
      <c r="OXF2491" s="60"/>
      <c r="OXG2491" s="58"/>
      <c r="OXH2491" s="58"/>
      <c r="OXI2491" s="58"/>
      <c r="OXJ2491" s="61"/>
      <c r="OXK2491" s="58"/>
      <c r="OXL2491" s="58"/>
      <c r="OXM2491" s="58"/>
      <c r="OXN2491" s="60"/>
      <c r="OXO2491" s="58"/>
      <c r="OXP2491" s="58"/>
      <c r="OXQ2491" s="58"/>
      <c r="OXR2491" s="61"/>
      <c r="OXS2491" s="58"/>
      <c r="OXT2491" s="58"/>
      <c r="OXU2491" s="58"/>
      <c r="OXV2491" s="60"/>
      <c r="OXW2491" s="58"/>
      <c r="OXX2491" s="58"/>
      <c r="OXY2491" s="58"/>
      <c r="OXZ2491" s="61"/>
      <c r="OYA2491" s="58"/>
      <c r="OYB2491" s="58"/>
      <c r="OYC2491" s="58"/>
      <c r="OYD2491" s="60"/>
      <c r="OYE2491" s="58"/>
      <c r="OYF2491" s="58"/>
      <c r="OYG2491" s="58"/>
      <c r="OYH2491" s="61"/>
      <c r="OYI2491" s="58"/>
      <c r="OYJ2491" s="58"/>
      <c r="OYK2491" s="58"/>
      <c r="OYL2491" s="60"/>
      <c r="OYM2491" s="58"/>
      <c r="OYN2491" s="58"/>
      <c r="OYO2491" s="58"/>
      <c r="OYP2491" s="61"/>
      <c r="OYQ2491" s="58"/>
      <c r="OYR2491" s="58"/>
      <c r="OYS2491" s="58"/>
      <c r="OYT2491" s="60"/>
      <c r="OYU2491" s="58"/>
      <c r="OYV2491" s="58"/>
      <c r="OYW2491" s="58"/>
      <c r="OYX2491" s="61"/>
      <c r="OYY2491" s="58"/>
      <c r="OYZ2491" s="58"/>
      <c r="OZA2491" s="58"/>
      <c r="OZB2491" s="60"/>
      <c r="OZC2491" s="58"/>
      <c r="OZD2491" s="58"/>
      <c r="OZE2491" s="58"/>
      <c r="OZF2491" s="61"/>
      <c r="OZG2491" s="58"/>
      <c r="OZH2491" s="58"/>
      <c r="OZI2491" s="58"/>
      <c r="OZJ2491" s="60"/>
      <c r="OZK2491" s="58"/>
      <c r="OZL2491" s="58"/>
      <c r="OZM2491" s="58"/>
      <c r="OZN2491" s="61"/>
      <c r="OZO2491" s="58"/>
      <c r="OZP2491" s="58"/>
      <c r="OZQ2491" s="58"/>
      <c r="OZR2491" s="60"/>
      <c r="OZS2491" s="58"/>
      <c r="OZT2491" s="58"/>
      <c r="OZU2491" s="58"/>
      <c r="OZV2491" s="61"/>
      <c r="OZW2491" s="58"/>
      <c r="OZX2491" s="58"/>
      <c r="OZY2491" s="58"/>
      <c r="OZZ2491" s="60"/>
      <c r="PAA2491" s="58"/>
      <c r="PAB2491" s="58"/>
      <c r="PAC2491" s="58"/>
      <c r="PAD2491" s="61"/>
      <c r="PAE2491" s="58"/>
      <c r="PAF2491" s="58"/>
      <c r="PAG2491" s="58"/>
      <c r="PAH2491" s="60"/>
      <c r="PAI2491" s="58"/>
      <c r="PAJ2491" s="58"/>
      <c r="PAK2491" s="58"/>
      <c r="PAL2491" s="61"/>
      <c r="PAM2491" s="58"/>
      <c r="PAN2491" s="58"/>
      <c r="PAO2491" s="58"/>
      <c r="PAP2491" s="60"/>
      <c r="PAQ2491" s="58"/>
      <c r="PAR2491" s="58"/>
      <c r="PAS2491" s="58"/>
      <c r="PAT2491" s="61"/>
      <c r="PAU2491" s="58"/>
      <c r="PAV2491" s="58"/>
      <c r="PAW2491" s="58"/>
      <c r="PAX2491" s="60"/>
      <c r="PAY2491" s="58"/>
      <c r="PAZ2491" s="58"/>
      <c r="PBA2491" s="58"/>
      <c r="PBB2491" s="61"/>
      <c r="PBC2491" s="58"/>
      <c r="PBD2491" s="58"/>
      <c r="PBE2491" s="58"/>
      <c r="PBF2491" s="60"/>
      <c r="PBG2491" s="58"/>
      <c r="PBH2491" s="58"/>
      <c r="PBI2491" s="58"/>
      <c r="PBJ2491" s="61"/>
      <c r="PBK2491" s="58"/>
      <c r="PBL2491" s="58"/>
      <c r="PBM2491" s="58"/>
      <c r="PBN2491" s="60"/>
      <c r="PBO2491" s="58"/>
      <c r="PBP2491" s="58"/>
      <c r="PBQ2491" s="58"/>
      <c r="PBR2491" s="61"/>
      <c r="PBS2491" s="58"/>
      <c r="PBT2491" s="58"/>
      <c r="PBU2491" s="58"/>
      <c r="PBV2491" s="60"/>
      <c r="PBW2491" s="58"/>
      <c r="PBX2491" s="58"/>
      <c r="PBY2491" s="58"/>
      <c r="PBZ2491" s="61"/>
      <c r="PCA2491" s="58"/>
      <c r="PCB2491" s="58"/>
      <c r="PCC2491" s="58"/>
      <c r="PCD2491" s="60"/>
      <c r="PCE2491" s="58"/>
      <c r="PCF2491" s="58"/>
      <c r="PCG2491" s="58"/>
      <c r="PCH2491" s="61"/>
      <c r="PCI2491" s="58"/>
      <c r="PCJ2491" s="58"/>
      <c r="PCK2491" s="58"/>
      <c r="PCL2491" s="60"/>
      <c r="PCM2491" s="58"/>
      <c r="PCN2491" s="58"/>
      <c r="PCO2491" s="58"/>
      <c r="PCP2491" s="61"/>
      <c r="PCQ2491" s="58"/>
      <c r="PCR2491" s="58"/>
      <c r="PCS2491" s="58"/>
      <c r="PCT2491" s="60"/>
      <c r="PCU2491" s="58"/>
      <c r="PCV2491" s="58"/>
      <c r="PCW2491" s="58"/>
      <c r="PCX2491" s="61"/>
      <c r="PCY2491" s="58"/>
      <c r="PCZ2491" s="58"/>
      <c r="PDA2491" s="58"/>
      <c r="PDB2491" s="60"/>
      <c r="PDC2491" s="58"/>
      <c r="PDD2491" s="58"/>
      <c r="PDE2491" s="58"/>
      <c r="PDF2491" s="61"/>
      <c r="PDG2491" s="58"/>
      <c r="PDH2491" s="58"/>
      <c r="PDI2491" s="58"/>
      <c r="PDJ2491" s="60"/>
      <c r="PDK2491" s="58"/>
      <c r="PDL2491" s="58"/>
      <c r="PDM2491" s="58"/>
      <c r="PDN2491" s="61"/>
      <c r="PDO2491" s="58"/>
      <c r="PDP2491" s="58"/>
      <c r="PDQ2491" s="58"/>
      <c r="PDR2491" s="60"/>
      <c r="PDS2491" s="58"/>
      <c r="PDT2491" s="58"/>
      <c r="PDU2491" s="58"/>
      <c r="PDV2491" s="61"/>
      <c r="PDW2491" s="58"/>
      <c r="PDX2491" s="58"/>
      <c r="PDY2491" s="58"/>
      <c r="PDZ2491" s="60"/>
      <c r="PEA2491" s="58"/>
      <c r="PEB2491" s="58"/>
      <c r="PEC2491" s="58"/>
      <c r="PED2491" s="61"/>
      <c r="PEE2491" s="58"/>
      <c r="PEF2491" s="58"/>
      <c r="PEG2491" s="58"/>
      <c r="PEH2491" s="60"/>
      <c r="PEI2491" s="58"/>
      <c r="PEJ2491" s="58"/>
      <c r="PEK2491" s="58"/>
      <c r="PEL2491" s="61"/>
      <c r="PEM2491" s="58"/>
      <c r="PEN2491" s="58"/>
      <c r="PEO2491" s="58"/>
      <c r="PEP2491" s="60"/>
      <c r="PEQ2491" s="58"/>
      <c r="PER2491" s="58"/>
      <c r="PES2491" s="58"/>
      <c r="PET2491" s="61"/>
      <c r="PEU2491" s="58"/>
      <c r="PEV2491" s="58"/>
      <c r="PEW2491" s="58"/>
      <c r="PEX2491" s="60"/>
      <c r="PEY2491" s="58"/>
      <c r="PEZ2491" s="58"/>
      <c r="PFA2491" s="58"/>
      <c r="PFB2491" s="61"/>
      <c r="PFC2491" s="58"/>
      <c r="PFD2491" s="58"/>
      <c r="PFE2491" s="58"/>
      <c r="PFF2491" s="60"/>
      <c r="PFG2491" s="58"/>
      <c r="PFH2491" s="58"/>
      <c r="PFI2491" s="58"/>
      <c r="PFJ2491" s="61"/>
      <c r="PFK2491" s="58"/>
      <c r="PFL2491" s="58"/>
      <c r="PFM2491" s="58"/>
      <c r="PFN2491" s="60"/>
      <c r="PFO2491" s="58"/>
      <c r="PFP2491" s="58"/>
      <c r="PFQ2491" s="58"/>
      <c r="PFR2491" s="61"/>
      <c r="PFS2491" s="58"/>
      <c r="PFT2491" s="58"/>
      <c r="PFU2491" s="58"/>
      <c r="PFV2491" s="60"/>
      <c r="PFW2491" s="58"/>
      <c r="PFX2491" s="58"/>
      <c r="PFY2491" s="58"/>
      <c r="PFZ2491" s="61"/>
      <c r="PGA2491" s="58"/>
      <c r="PGB2491" s="58"/>
      <c r="PGC2491" s="58"/>
      <c r="PGD2491" s="60"/>
      <c r="PGE2491" s="58"/>
      <c r="PGF2491" s="58"/>
      <c r="PGG2491" s="58"/>
      <c r="PGH2491" s="61"/>
      <c r="PGI2491" s="58"/>
      <c r="PGJ2491" s="58"/>
      <c r="PGK2491" s="58"/>
      <c r="PGL2491" s="60"/>
      <c r="PGM2491" s="58"/>
      <c r="PGN2491" s="58"/>
      <c r="PGO2491" s="58"/>
      <c r="PGP2491" s="61"/>
      <c r="PGQ2491" s="58"/>
      <c r="PGR2491" s="58"/>
      <c r="PGS2491" s="58"/>
      <c r="PGT2491" s="60"/>
      <c r="PGU2491" s="58"/>
      <c r="PGV2491" s="58"/>
      <c r="PGW2491" s="58"/>
      <c r="PGX2491" s="61"/>
      <c r="PGY2491" s="58"/>
      <c r="PGZ2491" s="58"/>
      <c r="PHA2491" s="58"/>
      <c r="PHB2491" s="60"/>
      <c r="PHC2491" s="58"/>
      <c r="PHD2491" s="58"/>
      <c r="PHE2491" s="58"/>
      <c r="PHF2491" s="61"/>
      <c r="PHG2491" s="58"/>
      <c r="PHH2491" s="58"/>
      <c r="PHI2491" s="58"/>
      <c r="PHJ2491" s="60"/>
      <c r="PHK2491" s="58"/>
      <c r="PHL2491" s="58"/>
      <c r="PHM2491" s="58"/>
      <c r="PHN2491" s="61"/>
      <c r="PHO2491" s="58"/>
      <c r="PHP2491" s="58"/>
      <c r="PHQ2491" s="58"/>
      <c r="PHR2491" s="60"/>
      <c r="PHS2491" s="58"/>
      <c r="PHT2491" s="58"/>
      <c r="PHU2491" s="58"/>
      <c r="PHV2491" s="61"/>
      <c r="PHW2491" s="58"/>
      <c r="PHX2491" s="58"/>
      <c r="PHY2491" s="58"/>
      <c r="PHZ2491" s="60"/>
      <c r="PIA2491" s="58"/>
      <c r="PIB2491" s="58"/>
      <c r="PIC2491" s="58"/>
      <c r="PID2491" s="61"/>
      <c r="PIE2491" s="58"/>
      <c r="PIF2491" s="58"/>
      <c r="PIG2491" s="58"/>
      <c r="PIH2491" s="60"/>
      <c r="PII2491" s="58"/>
      <c r="PIJ2491" s="58"/>
      <c r="PIK2491" s="58"/>
      <c r="PIL2491" s="61"/>
      <c r="PIM2491" s="58"/>
      <c r="PIN2491" s="58"/>
      <c r="PIO2491" s="58"/>
      <c r="PIP2491" s="60"/>
      <c r="PIQ2491" s="58"/>
      <c r="PIR2491" s="58"/>
      <c r="PIS2491" s="58"/>
      <c r="PIT2491" s="61"/>
      <c r="PIU2491" s="58"/>
      <c r="PIV2491" s="58"/>
      <c r="PIW2491" s="58"/>
      <c r="PIX2491" s="60"/>
      <c r="PIY2491" s="58"/>
      <c r="PIZ2491" s="58"/>
      <c r="PJA2491" s="58"/>
      <c r="PJB2491" s="61"/>
      <c r="PJC2491" s="58"/>
      <c r="PJD2491" s="58"/>
      <c r="PJE2491" s="58"/>
      <c r="PJF2491" s="60"/>
      <c r="PJG2491" s="58"/>
      <c r="PJH2491" s="58"/>
      <c r="PJI2491" s="58"/>
      <c r="PJJ2491" s="61"/>
      <c r="PJK2491" s="58"/>
      <c r="PJL2491" s="58"/>
      <c r="PJM2491" s="58"/>
      <c r="PJN2491" s="60"/>
      <c r="PJO2491" s="58"/>
      <c r="PJP2491" s="58"/>
      <c r="PJQ2491" s="58"/>
      <c r="PJR2491" s="61"/>
      <c r="PJS2491" s="58"/>
      <c r="PJT2491" s="58"/>
      <c r="PJU2491" s="58"/>
      <c r="PJV2491" s="60"/>
      <c r="PJW2491" s="58"/>
      <c r="PJX2491" s="58"/>
      <c r="PJY2491" s="58"/>
      <c r="PJZ2491" s="61"/>
      <c r="PKA2491" s="58"/>
      <c r="PKB2491" s="58"/>
      <c r="PKC2491" s="58"/>
      <c r="PKD2491" s="60"/>
      <c r="PKE2491" s="58"/>
      <c r="PKF2491" s="58"/>
      <c r="PKG2491" s="58"/>
      <c r="PKH2491" s="61"/>
      <c r="PKI2491" s="58"/>
      <c r="PKJ2491" s="58"/>
      <c r="PKK2491" s="58"/>
      <c r="PKL2491" s="60"/>
      <c r="PKM2491" s="58"/>
      <c r="PKN2491" s="58"/>
      <c r="PKO2491" s="58"/>
      <c r="PKP2491" s="61"/>
      <c r="PKQ2491" s="58"/>
      <c r="PKR2491" s="58"/>
      <c r="PKS2491" s="58"/>
      <c r="PKT2491" s="60"/>
      <c r="PKU2491" s="58"/>
      <c r="PKV2491" s="58"/>
      <c r="PKW2491" s="58"/>
      <c r="PKX2491" s="61"/>
      <c r="PKY2491" s="58"/>
      <c r="PKZ2491" s="58"/>
      <c r="PLA2491" s="58"/>
      <c r="PLB2491" s="60"/>
      <c r="PLC2491" s="58"/>
      <c r="PLD2491" s="58"/>
      <c r="PLE2491" s="58"/>
      <c r="PLF2491" s="61"/>
      <c r="PLG2491" s="58"/>
      <c r="PLH2491" s="58"/>
      <c r="PLI2491" s="58"/>
      <c r="PLJ2491" s="60"/>
      <c r="PLK2491" s="58"/>
      <c r="PLL2491" s="58"/>
      <c r="PLM2491" s="58"/>
      <c r="PLN2491" s="61"/>
      <c r="PLO2491" s="58"/>
      <c r="PLP2491" s="58"/>
      <c r="PLQ2491" s="58"/>
      <c r="PLR2491" s="60"/>
      <c r="PLS2491" s="58"/>
      <c r="PLT2491" s="58"/>
      <c r="PLU2491" s="58"/>
      <c r="PLV2491" s="61"/>
      <c r="PLW2491" s="58"/>
      <c r="PLX2491" s="58"/>
      <c r="PLY2491" s="58"/>
      <c r="PLZ2491" s="60"/>
      <c r="PMA2491" s="58"/>
      <c r="PMB2491" s="58"/>
      <c r="PMC2491" s="58"/>
      <c r="PMD2491" s="61"/>
      <c r="PME2491" s="58"/>
      <c r="PMF2491" s="58"/>
      <c r="PMG2491" s="58"/>
      <c r="PMH2491" s="60"/>
      <c r="PMI2491" s="58"/>
      <c r="PMJ2491" s="58"/>
      <c r="PMK2491" s="58"/>
      <c r="PML2491" s="61"/>
      <c r="PMM2491" s="58"/>
      <c r="PMN2491" s="58"/>
      <c r="PMO2491" s="58"/>
      <c r="PMP2491" s="60"/>
      <c r="PMQ2491" s="58"/>
      <c r="PMR2491" s="58"/>
      <c r="PMS2491" s="58"/>
      <c r="PMT2491" s="61"/>
      <c r="PMU2491" s="58"/>
      <c r="PMV2491" s="58"/>
      <c r="PMW2491" s="58"/>
      <c r="PMX2491" s="60"/>
      <c r="PMY2491" s="58"/>
      <c r="PMZ2491" s="58"/>
      <c r="PNA2491" s="58"/>
      <c r="PNB2491" s="61"/>
      <c r="PNC2491" s="58"/>
      <c r="PND2491" s="58"/>
      <c r="PNE2491" s="58"/>
      <c r="PNF2491" s="60"/>
      <c r="PNG2491" s="58"/>
      <c r="PNH2491" s="58"/>
      <c r="PNI2491" s="58"/>
      <c r="PNJ2491" s="61"/>
      <c r="PNK2491" s="58"/>
      <c r="PNL2491" s="58"/>
      <c r="PNM2491" s="58"/>
      <c r="PNN2491" s="60"/>
      <c r="PNO2491" s="58"/>
      <c r="PNP2491" s="58"/>
      <c r="PNQ2491" s="58"/>
      <c r="PNR2491" s="61"/>
      <c r="PNS2491" s="58"/>
      <c r="PNT2491" s="58"/>
      <c r="PNU2491" s="58"/>
      <c r="PNV2491" s="60"/>
      <c r="PNW2491" s="58"/>
      <c r="PNX2491" s="58"/>
      <c r="PNY2491" s="58"/>
      <c r="PNZ2491" s="61"/>
      <c r="POA2491" s="58"/>
      <c r="POB2491" s="58"/>
      <c r="POC2491" s="58"/>
      <c r="POD2491" s="60"/>
      <c r="POE2491" s="58"/>
      <c r="POF2491" s="58"/>
      <c r="POG2491" s="58"/>
      <c r="POH2491" s="61"/>
      <c r="POI2491" s="58"/>
      <c r="POJ2491" s="58"/>
      <c r="POK2491" s="58"/>
      <c r="POL2491" s="60"/>
      <c r="POM2491" s="58"/>
      <c r="PON2491" s="58"/>
      <c r="POO2491" s="58"/>
      <c r="POP2491" s="61"/>
      <c r="POQ2491" s="58"/>
      <c r="POR2491" s="58"/>
      <c r="POS2491" s="58"/>
      <c r="POT2491" s="60"/>
      <c r="POU2491" s="58"/>
      <c r="POV2491" s="58"/>
      <c r="POW2491" s="58"/>
      <c r="POX2491" s="61"/>
      <c r="POY2491" s="58"/>
      <c r="POZ2491" s="58"/>
      <c r="PPA2491" s="58"/>
      <c r="PPB2491" s="60"/>
      <c r="PPC2491" s="58"/>
      <c r="PPD2491" s="58"/>
      <c r="PPE2491" s="58"/>
      <c r="PPF2491" s="61"/>
      <c r="PPG2491" s="58"/>
      <c r="PPH2491" s="58"/>
      <c r="PPI2491" s="58"/>
      <c r="PPJ2491" s="60"/>
      <c r="PPK2491" s="58"/>
      <c r="PPL2491" s="58"/>
      <c r="PPM2491" s="58"/>
      <c r="PPN2491" s="61"/>
      <c r="PPO2491" s="58"/>
      <c r="PPP2491" s="58"/>
      <c r="PPQ2491" s="58"/>
      <c r="PPR2491" s="60"/>
      <c r="PPS2491" s="58"/>
      <c r="PPT2491" s="58"/>
      <c r="PPU2491" s="58"/>
      <c r="PPV2491" s="61"/>
      <c r="PPW2491" s="58"/>
      <c r="PPX2491" s="58"/>
      <c r="PPY2491" s="58"/>
      <c r="PPZ2491" s="60"/>
      <c r="PQA2491" s="58"/>
      <c r="PQB2491" s="58"/>
      <c r="PQC2491" s="58"/>
      <c r="PQD2491" s="61"/>
      <c r="PQE2491" s="58"/>
      <c r="PQF2491" s="58"/>
      <c r="PQG2491" s="58"/>
      <c r="PQH2491" s="60"/>
      <c r="PQI2491" s="58"/>
      <c r="PQJ2491" s="58"/>
      <c r="PQK2491" s="58"/>
      <c r="PQL2491" s="61"/>
      <c r="PQM2491" s="58"/>
      <c r="PQN2491" s="58"/>
      <c r="PQO2491" s="58"/>
      <c r="PQP2491" s="60"/>
      <c r="PQQ2491" s="58"/>
      <c r="PQR2491" s="58"/>
      <c r="PQS2491" s="58"/>
      <c r="PQT2491" s="61"/>
      <c r="PQU2491" s="58"/>
      <c r="PQV2491" s="58"/>
      <c r="PQW2491" s="58"/>
      <c r="PQX2491" s="60"/>
      <c r="PQY2491" s="58"/>
      <c r="PQZ2491" s="58"/>
      <c r="PRA2491" s="58"/>
      <c r="PRB2491" s="61"/>
      <c r="PRC2491" s="58"/>
      <c r="PRD2491" s="58"/>
      <c r="PRE2491" s="58"/>
      <c r="PRF2491" s="60"/>
      <c r="PRG2491" s="58"/>
      <c r="PRH2491" s="58"/>
      <c r="PRI2491" s="58"/>
      <c r="PRJ2491" s="61"/>
      <c r="PRK2491" s="58"/>
      <c r="PRL2491" s="58"/>
      <c r="PRM2491" s="58"/>
      <c r="PRN2491" s="60"/>
      <c r="PRO2491" s="58"/>
      <c r="PRP2491" s="58"/>
      <c r="PRQ2491" s="58"/>
      <c r="PRR2491" s="61"/>
      <c r="PRS2491" s="58"/>
      <c r="PRT2491" s="58"/>
      <c r="PRU2491" s="58"/>
      <c r="PRV2491" s="60"/>
      <c r="PRW2491" s="58"/>
      <c r="PRX2491" s="58"/>
      <c r="PRY2491" s="58"/>
      <c r="PRZ2491" s="61"/>
      <c r="PSA2491" s="58"/>
      <c r="PSB2491" s="58"/>
      <c r="PSC2491" s="58"/>
      <c r="PSD2491" s="60"/>
      <c r="PSE2491" s="58"/>
      <c r="PSF2491" s="58"/>
      <c r="PSG2491" s="58"/>
      <c r="PSH2491" s="61"/>
      <c r="PSI2491" s="58"/>
      <c r="PSJ2491" s="58"/>
      <c r="PSK2491" s="58"/>
      <c r="PSL2491" s="60"/>
      <c r="PSM2491" s="58"/>
      <c r="PSN2491" s="58"/>
      <c r="PSO2491" s="58"/>
      <c r="PSP2491" s="61"/>
      <c r="PSQ2491" s="58"/>
      <c r="PSR2491" s="58"/>
      <c r="PSS2491" s="58"/>
      <c r="PST2491" s="60"/>
      <c r="PSU2491" s="58"/>
      <c r="PSV2491" s="58"/>
      <c r="PSW2491" s="58"/>
      <c r="PSX2491" s="61"/>
      <c r="PSY2491" s="58"/>
      <c r="PSZ2491" s="58"/>
      <c r="PTA2491" s="58"/>
      <c r="PTB2491" s="60"/>
      <c r="PTC2491" s="58"/>
      <c r="PTD2491" s="58"/>
      <c r="PTE2491" s="58"/>
      <c r="PTF2491" s="61"/>
      <c r="PTG2491" s="58"/>
      <c r="PTH2491" s="58"/>
      <c r="PTI2491" s="58"/>
      <c r="PTJ2491" s="60"/>
      <c r="PTK2491" s="58"/>
      <c r="PTL2491" s="58"/>
      <c r="PTM2491" s="58"/>
      <c r="PTN2491" s="61"/>
      <c r="PTO2491" s="58"/>
      <c r="PTP2491" s="58"/>
      <c r="PTQ2491" s="58"/>
      <c r="PTR2491" s="60"/>
      <c r="PTS2491" s="58"/>
      <c r="PTT2491" s="58"/>
      <c r="PTU2491" s="58"/>
      <c r="PTV2491" s="61"/>
      <c r="PTW2491" s="58"/>
      <c r="PTX2491" s="58"/>
      <c r="PTY2491" s="58"/>
      <c r="PTZ2491" s="60"/>
      <c r="PUA2491" s="58"/>
      <c r="PUB2491" s="58"/>
      <c r="PUC2491" s="58"/>
      <c r="PUD2491" s="61"/>
      <c r="PUE2491" s="58"/>
      <c r="PUF2491" s="58"/>
      <c r="PUG2491" s="58"/>
      <c r="PUH2491" s="60"/>
      <c r="PUI2491" s="58"/>
      <c r="PUJ2491" s="58"/>
      <c r="PUK2491" s="58"/>
      <c r="PUL2491" s="61"/>
      <c r="PUM2491" s="58"/>
      <c r="PUN2491" s="58"/>
      <c r="PUO2491" s="58"/>
      <c r="PUP2491" s="60"/>
      <c r="PUQ2491" s="58"/>
      <c r="PUR2491" s="58"/>
      <c r="PUS2491" s="58"/>
      <c r="PUT2491" s="61"/>
      <c r="PUU2491" s="58"/>
      <c r="PUV2491" s="58"/>
      <c r="PUW2491" s="58"/>
      <c r="PUX2491" s="60"/>
      <c r="PUY2491" s="58"/>
      <c r="PUZ2491" s="58"/>
      <c r="PVA2491" s="58"/>
      <c r="PVB2491" s="61"/>
      <c r="PVC2491" s="58"/>
      <c r="PVD2491" s="58"/>
      <c r="PVE2491" s="58"/>
      <c r="PVF2491" s="60"/>
      <c r="PVG2491" s="58"/>
      <c r="PVH2491" s="58"/>
      <c r="PVI2491" s="58"/>
      <c r="PVJ2491" s="61"/>
      <c r="PVK2491" s="58"/>
      <c r="PVL2491" s="58"/>
      <c r="PVM2491" s="58"/>
      <c r="PVN2491" s="60"/>
      <c r="PVO2491" s="58"/>
      <c r="PVP2491" s="58"/>
      <c r="PVQ2491" s="58"/>
      <c r="PVR2491" s="61"/>
      <c r="PVS2491" s="58"/>
      <c r="PVT2491" s="58"/>
      <c r="PVU2491" s="58"/>
      <c r="PVV2491" s="60"/>
      <c r="PVW2491" s="58"/>
      <c r="PVX2491" s="58"/>
      <c r="PVY2491" s="58"/>
      <c r="PVZ2491" s="61"/>
      <c r="PWA2491" s="58"/>
      <c r="PWB2491" s="58"/>
      <c r="PWC2491" s="58"/>
      <c r="PWD2491" s="60"/>
      <c r="PWE2491" s="58"/>
      <c r="PWF2491" s="58"/>
      <c r="PWG2491" s="58"/>
      <c r="PWH2491" s="61"/>
      <c r="PWI2491" s="58"/>
      <c r="PWJ2491" s="58"/>
      <c r="PWK2491" s="58"/>
      <c r="PWL2491" s="60"/>
      <c r="PWM2491" s="58"/>
      <c r="PWN2491" s="58"/>
      <c r="PWO2491" s="58"/>
      <c r="PWP2491" s="61"/>
      <c r="PWQ2491" s="58"/>
      <c r="PWR2491" s="58"/>
      <c r="PWS2491" s="58"/>
      <c r="PWT2491" s="60"/>
      <c r="PWU2491" s="58"/>
      <c r="PWV2491" s="58"/>
      <c r="PWW2491" s="58"/>
      <c r="PWX2491" s="61"/>
      <c r="PWY2491" s="58"/>
      <c r="PWZ2491" s="58"/>
      <c r="PXA2491" s="58"/>
      <c r="PXB2491" s="60"/>
      <c r="PXC2491" s="58"/>
      <c r="PXD2491" s="58"/>
      <c r="PXE2491" s="58"/>
      <c r="PXF2491" s="61"/>
      <c r="PXG2491" s="58"/>
      <c r="PXH2491" s="58"/>
      <c r="PXI2491" s="58"/>
      <c r="PXJ2491" s="60"/>
      <c r="PXK2491" s="58"/>
      <c r="PXL2491" s="58"/>
      <c r="PXM2491" s="58"/>
      <c r="PXN2491" s="61"/>
      <c r="PXO2491" s="58"/>
      <c r="PXP2491" s="58"/>
      <c r="PXQ2491" s="58"/>
      <c r="PXR2491" s="60"/>
      <c r="PXS2491" s="58"/>
      <c r="PXT2491" s="58"/>
      <c r="PXU2491" s="58"/>
      <c r="PXV2491" s="61"/>
      <c r="PXW2491" s="58"/>
      <c r="PXX2491" s="58"/>
      <c r="PXY2491" s="58"/>
      <c r="PXZ2491" s="60"/>
      <c r="PYA2491" s="58"/>
      <c r="PYB2491" s="58"/>
      <c r="PYC2491" s="58"/>
      <c r="PYD2491" s="61"/>
      <c r="PYE2491" s="58"/>
      <c r="PYF2491" s="58"/>
      <c r="PYG2491" s="58"/>
      <c r="PYH2491" s="60"/>
      <c r="PYI2491" s="58"/>
      <c r="PYJ2491" s="58"/>
      <c r="PYK2491" s="58"/>
      <c r="PYL2491" s="61"/>
      <c r="PYM2491" s="58"/>
      <c r="PYN2491" s="58"/>
      <c r="PYO2491" s="58"/>
      <c r="PYP2491" s="60"/>
      <c r="PYQ2491" s="58"/>
      <c r="PYR2491" s="58"/>
      <c r="PYS2491" s="58"/>
      <c r="PYT2491" s="61"/>
      <c r="PYU2491" s="58"/>
      <c r="PYV2491" s="58"/>
      <c r="PYW2491" s="58"/>
      <c r="PYX2491" s="60"/>
      <c r="PYY2491" s="58"/>
      <c r="PYZ2491" s="58"/>
      <c r="PZA2491" s="58"/>
      <c r="PZB2491" s="61"/>
      <c r="PZC2491" s="58"/>
      <c r="PZD2491" s="58"/>
      <c r="PZE2491" s="58"/>
      <c r="PZF2491" s="60"/>
      <c r="PZG2491" s="58"/>
      <c r="PZH2491" s="58"/>
      <c r="PZI2491" s="58"/>
      <c r="PZJ2491" s="61"/>
      <c r="PZK2491" s="58"/>
      <c r="PZL2491" s="58"/>
      <c r="PZM2491" s="58"/>
      <c r="PZN2491" s="60"/>
      <c r="PZO2491" s="58"/>
      <c r="PZP2491" s="58"/>
      <c r="PZQ2491" s="58"/>
      <c r="PZR2491" s="61"/>
      <c r="PZS2491" s="58"/>
      <c r="PZT2491" s="58"/>
      <c r="PZU2491" s="58"/>
      <c r="PZV2491" s="60"/>
      <c r="PZW2491" s="58"/>
      <c r="PZX2491" s="58"/>
      <c r="PZY2491" s="58"/>
      <c r="PZZ2491" s="61"/>
      <c r="QAA2491" s="58"/>
      <c r="QAB2491" s="58"/>
      <c r="QAC2491" s="58"/>
      <c r="QAD2491" s="60"/>
      <c r="QAE2491" s="58"/>
      <c r="QAF2491" s="58"/>
      <c r="QAG2491" s="58"/>
      <c r="QAH2491" s="61"/>
      <c r="QAI2491" s="58"/>
      <c r="QAJ2491" s="58"/>
      <c r="QAK2491" s="58"/>
      <c r="QAL2491" s="60"/>
      <c r="QAM2491" s="58"/>
      <c r="QAN2491" s="58"/>
      <c r="QAO2491" s="58"/>
      <c r="QAP2491" s="61"/>
      <c r="QAQ2491" s="58"/>
      <c r="QAR2491" s="58"/>
      <c r="QAS2491" s="58"/>
      <c r="QAT2491" s="60"/>
      <c r="QAU2491" s="58"/>
      <c r="QAV2491" s="58"/>
      <c r="QAW2491" s="58"/>
      <c r="QAX2491" s="61"/>
      <c r="QAY2491" s="58"/>
      <c r="QAZ2491" s="58"/>
      <c r="QBA2491" s="58"/>
      <c r="QBB2491" s="60"/>
      <c r="QBC2491" s="58"/>
      <c r="QBD2491" s="58"/>
      <c r="QBE2491" s="58"/>
      <c r="QBF2491" s="61"/>
      <c r="QBG2491" s="58"/>
      <c r="QBH2491" s="58"/>
      <c r="QBI2491" s="58"/>
      <c r="QBJ2491" s="60"/>
      <c r="QBK2491" s="58"/>
      <c r="QBL2491" s="58"/>
      <c r="QBM2491" s="58"/>
      <c r="QBN2491" s="61"/>
      <c r="QBO2491" s="58"/>
      <c r="QBP2491" s="58"/>
      <c r="QBQ2491" s="58"/>
      <c r="QBR2491" s="60"/>
      <c r="QBS2491" s="58"/>
      <c r="QBT2491" s="58"/>
      <c r="QBU2491" s="58"/>
      <c r="QBV2491" s="61"/>
      <c r="QBW2491" s="58"/>
      <c r="QBX2491" s="58"/>
      <c r="QBY2491" s="58"/>
      <c r="QBZ2491" s="60"/>
      <c r="QCA2491" s="58"/>
      <c r="QCB2491" s="58"/>
      <c r="QCC2491" s="58"/>
      <c r="QCD2491" s="61"/>
      <c r="QCE2491" s="58"/>
      <c r="QCF2491" s="58"/>
      <c r="QCG2491" s="58"/>
      <c r="QCH2491" s="60"/>
      <c r="QCI2491" s="58"/>
      <c r="QCJ2491" s="58"/>
      <c r="QCK2491" s="58"/>
      <c r="QCL2491" s="61"/>
      <c r="QCM2491" s="58"/>
      <c r="QCN2491" s="58"/>
      <c r="QCO2491" s="58"/>
      <c r="QCP2491" s="60"/>
      <c r="QCQ2491" s="58"/>
      <c r="QCR2491" s="58"/>
      <c r="QCS2491" s="58"/>
      <c r="QCT2491" s="61"/>
      <c r="QCU2491" s="58"/>
      <c r="QCV2491" s="58"/>
      <c r="QCW2491" s="58"/>
      <c r="QCX2491" s="60"/>
      <c r="QCY2491" s="58"/>
      <c r="QCZ2491" s="58"/>
      <c r="QDA2491" s="58"/>
      <c r="QDB2491" s="61"/>
      <c r="QDC2491" s="58"/>
      <c r="QDD2491" s="58"/>
      <c r="QDE2491" s="58"/>
      <c r="QDF2491" s="60"/>
      <c r="QDG2491" s="58"/>
      <c r="QDH2491" s="58"/>
      <c r="QDI2491" s="58"/>
      <c r="QDJ2491" s="61"/>
      <c r="QDK2491" s="58"/>
      <c r="QDL2491" s="58"/>
      <c r="QDM2491" s="58"/>
      <c r="QDN2491" s="60"/>
      <c r="QDO2491" s="58"/>
      <c r="QDP2491" s="58"/>
      <c r="QDQ2491" s="58"/>
      <c r="QDR2491" s="61"/>
      <c r="QDS2491" s="58"/>
      <c r="QDT2491" s="58"/>
      <c r="QDU2491" s="58"/>
      <c r="QDV2491" s="60"/>
      <c r="QDW2491" s="58"/>
      <c r="QDX2491" s="58"/>
      <c r="QDY2491" s="58"/>
      <c r="QDZ2491" s="61"/>
      <c r="QEA2491" s="58"/>
      <c r="QEB2491" s="58"/>
      <c r="QEC2491" s="58"/>
      <c r="QED2491" s="60"/>
      <c r="QEE2491" s="58"/>
      <c r="QEF2491" s="58"/>
      <c r="QEG2491" s="58"/>
      <c r="QEH2491" s="61"/>
      <c r="QEI2491" s="58"/>
      <c r="QEJ2491" s="58"/>
      <c r="QEK2491" s="58"/>
      <c r="QEL2491" s="60"/>
      <c r="QEM2491" s="58"/>
      <c r="QEN2491" s="58"/>
      <c r="QEO2491" s="58"/>
      <c r="QEP2491" s="61"/>
      <c r="QEQ2491" s="58"/>
      <c r="QER2491" s="58"/>
      <c r="QES2491" s="58"/>
      <c r="QET2491" s="60"/>
      <c r="QEU2491" s="58"/>
      <c r="QEV2491" s="58"/>
      <c r="QEW2491" s="58"/>
      <c r="QEX2491" s="61"/>
      <c r="QEY2491" s="58"/>
      <c r="QEZ2491" s="58"/>
      <c r="QFA2491" s="58"/>
      <c r="QFB2491" s="60"/>
      <c r="QFC2491" s="58"/>
      <c r="QFD2491" s="58"/>
      <c r="QFE2491" s="58"/>
      <c r="QFF2491" s="61"/>
      <c r="QFG2491" s="58"/>
      <c r="QFH2491" s="58"/>
      <c r="QFI2491" s="58"/>
      <c r="QFJ2491" s="60"/>
      <c r="QFK2491" s="58"/>
      <c r="QFL2491" s="58"/>
      <c r="QFM2491" s="58"/>
      <c r="QFN2491" s="61"/>
      <c r="QFO2491" s="58"/>
      <c r="QFP2491" s="58"/>
      <c r="QFQ2491" s="58"/>
      <c r="QFR2491" s="60"/>
      <c r="QFS2491" s="58"/>
      <c r="QFT2491" s="58"/>
      <c r="QFU2491" s="58"/>
      <c r="QFV2491" s="61"/>
      <c r="QFW2491" s="58"/>
      <c r="QFX2491" s="58"/>
      <c r="QFY2491" s="58"/>
      <c r="QFZ2491" s="60"/>
      <c r="QGA2491" s="58"/>
      <c r="QGB2491" s="58"/>
      <c r="QGC2491" s="58"/>
      <c r="QGD2491" s="61"/>
      <c r="QGE2491" s="58"/>
      <c r="QGF2491" s="58"/>
      <c r="QGG2491" s="58"/>
      <c r="QGH2491" s="60"/>
      <c r="QGI2491" s="58"/>
      <c r="QGJ2491" s="58"/>
      <c r="QGK2491" s="58"/>
      <c r="QGL2491" s="61"/>
      <c r="QGM2491" s="58"/>
      <c r="QGN2491" s="58"/>
      <c r="QGO2491" s="58"/>
      <c r="QGP2491" s="60"/>
      <c r="QGQ2491" s="58"/>
      <c r="QGR2491" s="58"/>
      <c r="QGS2491" s="58"/>
      <c r="QGT2491" s="61"/>
      <c r="QGU2491" s="58"/>
      <c r="QGV2491" s="58"/>
      <c r="QGW2491" s="58"/>
      <c r="QGX2491" s="60"/>
      <c r="QGY2491" s="58"/>
      <c r="QGZ2491" s="58"/>
      <c r="QHA2491" s="58"/>
      <c r="QHB2491" s="61"/>
      <c r="QHC2491" s="58"/>
      <c r="QHD2491" s="58"/>
      <c r="QHE2491" s="58"/>
      <c r="QHF2491" s="60"/>
      <c r="QHG2491" s="58"/>
      <c r="QHH2491" s="58"/>
      <c r="QHI2491" s="58"/>
      <c r="QHJ2491" s="61"/>
      <c r="QHK2491" s="58"/>
      <c r="QHL2491" s="58"/>
      <c r="QHM2491" s="58"/>
      <c r="QHN2491" s="60"/>
      <c r="QHO2491" s="58"/>
      <c r="QHP2491" s="58"/>
      <c r="QHQ2491" s="58"/>
      <c r="QHR2491" s="61"/>
      <c r="QHS2491" s="58"/>
      <c r="QHT2491" s="58"/>
      <c r="QHU2491" s="58"/>
      <c r="QHV2491" s="60"/>
      <c r="QHW2491" s="58"/>
      <c r="QHX2491" s="58"/>
      <c r="QHY2491" s="58"/>
      <c r="QHZ2491" s="61"/>
      <c r="QIA2491" s="58"/>
      <c r="QIB2491" s="58"/>
      <c r="QIC2491" s="58"/>
      <c r="QID2491" s="60"/>
      <c r="QIE2491" s="58"/>
      <c r="QIF2491" s="58"/>
      <c r="QIG2491" s="58"/>
      <c r="QIH2491" s="61"/>
      <c r="QII2491" s="58"/>
      <c r="QIJ2491" s="58"/>
      <c r="QIK2491" s="58"/>
      <c r="QIL2491" s="60"/>
      <c r="QIM2491" s="58"/>
      <c r="QIN2491" s="58"/>
      <c r="QIO2491" s="58"/>
      <c r="QIP2491" s="61"/>
      <c r="QIQ2491" s="58"/>
      <c r="QIR2491" s="58"/>
      <c r="QIS2491" s="58"/>
      <c r="QIT2491" s="60"/>
      <c r="QIU2491" s="58"/>
      <c r="QIV2491" s="58"/>
      <c r="QIW2491" s="58"/>
      <c r="QIX2491" s="61"/>
      <c r="QIY2491" s="58"/>
      <c r="QIZ2491" s="58"/>
      <c r="QJA2491" s="58"/>
      <c r="QJB2491" s="60"/>
      <c r="QJC2491" s="58"/>
      <c r="QJD2491" s="58"/>
      <c r="QJE2491" s="58"/>
      <c r="QJF2491" s="61"/>
      <c r="QJG2491" s="58"/>
      <c r="QJH2491" s="58"/>
      <c r="QJI2491" s="58"/>
      <c r="QJJ2491" s="60"/>
      <c r="QJK2491" s="58"/>
      <c r="QJL2491" s="58"/>
      <c r="QJM2491" s="58"/>
      <c r="QJN2491" s="61"/>
      <c r="QJO2491" s="58"/>
      <c r="QJP2491" s="58"/>
      <c r="QJQ2491" s="58"/>
      <c r="QJR2491" s="60"/>
      <c r="QJS2491" s="58"/>
      <c r="QJT2491" s="58"/>
      <c r="QJU2491" s="58"/>
      <c r="QJV2491" s="61"/>
      <c r="QJW2491" s="58"/>
      <c r="QJX2491" s="58"/>
      <c r="QJY2491" s="58"/>
      <c r="QJZ2491" s="60"/>
      <c r="QKA2491" s="58"/>
      <c r="QKB2491" s="58"/>
      <c r="QKC2491" s="58"/>
      <c r="QKD2491" s="61"/>
      <c r="QKE2491" s="58"/>
      <c r="QKF2491" s="58"/>
      <c r="QKG2491" s="58"/>
      <c r="QKH2491" s="60"/>
      <c r="QKI2491" s="58"/>
      <c r="QKJ2491" s="58"/>
      <c r="QKK2491" s="58"/>
      <c r="QKL2491" s="61"/>
      <c r="QKM2491" s="58"/>
      <c r="QKN2491" s="58"/>
      <c r="QKO2491" s="58"/>
      <c r="QKP2491" s="60"/>
      <c r="QKQ2491" s="58"/>
      <c r="QKR2491" s="58"/>
      <c r="QKS2491" s="58"/>
      <c r="QKT2491" s="61"/>
      <c r="QKU2491" s="58"/>
      <c r="QKV2491" s="58"/>
      <c r="QKW2491" s="58"/>
      <c r="QKX2491" s="60"/>
      <c r="QKY2491" s="58"/>
      <c r="QKZ2491" s="58"/>
      <c r="QLA2491" s="58"/>
      <c r="QLB2491" s="61"/>
      <c r="QLC2491" s="58"/>
      <c r="QLD2491" s="58"/>
      <c r="QLE2491" s="58"/>
      <c r="QLF2491" s="60"/>
      <c r="QLG2491" s="58"/>
      <c r="QLH2491" s="58"/>
      <c r="QLI2491" s="58"/>
      <c r="QLJ2491" s="61"/>
      <c r="QLK2491" s="58"/>
      <c r="QLL2491" s="58"/>
      <c r="QLM2491" s="58"/>
      <c r="QLN2491" s="60"/>
      <c r="QLO2491" s="58"/>
      <c r="QLP2491" s="58"/>
      <c r="QLQ2491" s="58"/>
      <c r="QLR2491" s="61"/>
      <c r="QLS2491" s="58"/>
      <c r="QLT2491" s="58"/>
      <c r="QLU2491" s="58"/>
      <c r="QLV2491" s="60"/>
      <c r="QLW2491" s="58"/>
      <c r="QLX2491" s="58"/>
      <c r="QLY2491" s="58"/>
      <c r="QLZ2491" s="61"/>
      <c r="QMA2491" s="58"/>
      <c r="QMB2491" s="58"/>
      <c r="QMC2491" s="58"/>
      <c r="QMD2491" s="60"/>
      <c r="QME2491" s="58"/>
      <c r="QMF2491" s="58"/>
      <c r="QMG2491" s="58"/>
      <c r="QMH2491" s="61"/>
      <c r="QMI2491" s="58"/>
      <c r="QMJ2491" s="58"/>
      <c r="QMK2491" s="58"/>
      <c r="QML2491" s="60"/>
      <c r="QMM2491" s="58"/>
      <c r="QMN2491" s="58"/>
      <c r="QMO2491" s="58"/>
      <c r="QMP2491" s="61"/>
      <c r="QMQ2491" s="58"/>
      <c r="QMR2491" s="58"/>
      <c r="QMS2491" s="58"/>
      <c r="QMT2491" s="60"/>
      <c r="QMU2491" s="58"/>
      <c r="QMV2491" s="58"/>
      <c r="QMW2491" s="58"/>
      <c r="QMX2491" s="61"/>
      <c r="QMY2491" s="58"/>
      <c r="QMZ2491" s="58"/>
      <c r="QNA2491" s="58"/>
      <c r="QNB2491" s="60"/>
      <c r="QNC2491" s="58"/>
      <c r="QND2491" s="58"/>
      <c r="QNE2491" s="58"/>
      <c r="QNF2491" s="61"/>
      <c r="QNG2491" s="58"/>
      <c r="QNH2491" s="58"/>
      <c r="QNI2491" s="58"/>
      <c r="QNJ2491" s="60"/>
      <c r="QNK2491" s="58"/>
      <c r="QNL2491" s="58"/>
      <c r="QNM2491" s="58"/>
      <c r="QNN2491" s="61"/>
      <c r="QNO2491" s="58"/>
      <c r="QNP2491" s="58"/>
      <c r="QNQ2491" s="58"/>
      <c r="QNR2491" s="60"/>
      <c r="QNS2491" s="58"/>
      <c r="QNT2491" s="58"/>
      <c r="QNU2491" s="58"/>
      <c r="QNV2491" s="61"/>
      <c r="QNW2491" s="58"/>
      <c r="QNX2491" s="58"/>
      <c r="QNY2491" s="58"/>
      <c r="QNZ2491" s="60"/>
      <c r="QOA2491" s="58"/>
      <c r="QOB2491" s="58"/>
      <c r="QOC2491" s="58"/>
      <c r="QOD2491" s="61"/>
      <c r="QOE2491" s="58"/>
      <c r="QOF2491" s="58"/>
      <c r="QOG2491" s="58"/>
      <c r="QOH2491" s="60"/>
      <c r="QOI2491" s="58"/>
      <c r="QOJ2491" s="58"/>
      <c r="QOK2491" s="58"/>
      <c r="QOL2491" s="61"/>
      <c r="QOM2491" s="58"/>
      <c r="QON2491" s="58"/>
      <c r="QOO2491" s="58"/>
      <c r="QOP2491" s="60"/>
      <c r="QOQ2491" s="58"/>
      <c r="QOR2491" s="58"/>
      <c r="QOS2491" s="58"/>
      <c r="QOT2491" s="61"/>
      <c r="QOU2491" s="58"/>
      <c r="QOV2491" s="58"/>
      <c r="QOW2491" s="58"/>
      <c r="QOX2491" s="60"/>
      <c r="QOY2491" s="58"/>
      <c r="QOZ2491" s="58"/>
      <c r="QPA2491" s="58"/>
      <c r="QPB2491" s="61"/>
      <c r="QPC2491" s="58"/>
      <c r="QPD2491" s="58"/>
      <c r="QPE2491" s="58"/>
      <c r="QPF2491" s="60"/>
      <c r="QPG2491" s="58"/>
      <c r="QPH2491" s="58"/>
      <c r="QPI2491" s="58"/>
      <c r="QPJ2491" s="61"/>
      <c r="QPK2491" s="58"/>
      <c r="QPL2491" s="58"/>
      <c r="QPM2491" s="58"/>
      <c r="QPN2491" s="60"/>
      <c r="QPO2491" s="58"/>
      <c r="QPP2491" s="58"/>
      <c r="QPQ2491" s="58"/>
      <c r="QPR2491" s="61"/>
      <c r="QPS2491" s="58"/>
      <c r="QPT2491" s="58"/>
      <c r="QPU2491" s="58"/>
      <c r="QPV2491" s="60"/>
      <c r="QPW2491" s="58"/>
      <c r="QPX2491" s="58"/>
      <c r="QPY2491" s="58"/>
      <c r="QPZ2491" s="61"/>
      <c r="QQA2491" s="58"/>
      <c r="QQB2491" s="58"/>
      <c r="QQC2491" s="58"/>
      <c r="QQD2491" s="60"/>
      <c r="QQE2491" s="58"/>
      <c r="QQF2491" s="58"/>
      <c r="QQG2491" s="58"/>
      <c r="QQH2491" s="61"/>
      <c r="QQI2491" s="58"/>
      <c r="QQJ2491" s="58"/>
      <c r="QQK2491" s="58"/>
      <c r="QQL2491" s="60"/>
      <c r="QQM2491" s="58"/>
      <c r="QQN2491" s="58"/>
      <c r="QQO2491" s="58"/>
      <c r="QQP2491" s="61"/>
      <c r="QQQ2491" s="58"/>
      <c r="QQR2491" s="58"/>
      <c r="QQS2491" s="58"/>
      <c r="QQT2491" s="60"/>
      <c r="QQU2491" s="58"/>
      <c r="QQV2491" s="58"/>
      <c r="QQW2491" s="58"/>
      <c r="QQX2491" s="61"/>
      <c r="QQY2491" s="58"/>
      <c r="QQZ2491" s="58"/>
      <c r="QRA2491" s="58"/>
      <c r="QRB2491" s="60"/>
      <c r="QRC2491" s="58"/>
      <c r="QRD2491" s="58"/>
      <c r="QRE2491" s="58"/>
      <c r="QRF2491" s="61"/>
      <c r="QRG2491" s="58"/>
      <c r="QRH2491" s="58"/>
      <c r="QRI2491" s="58"/>
      <c r="QRJ2491" s="60"/>
      <c r="QRK2491" s="58"/>
      <c r="QRL2491" s="58"/>
      <c r="QRM2491" s="58"/>
      <c r="QRN2491" s="61"/>
      <c r="QRO2491" s="58"/>
      <c r="QRP2491" s="58"/>
      <c r="QRQ2491" s="58"/>
      <c r="QRR2491" s="60"/>
      <c r="QRS2491" s="58"/>
      <c r="QRT2491" s="58"/>
      <c r="QRU2491" s="58"/>
      <c r="QRV2491" s="61"/>
      <c r="QRW2491" s="58"/>
      <c r="QRX2491" s="58"/>
      <c r="QRY2491" s="58"/>
      <c r="QRZ2491" s="60"/>
      <c r="QSA2491" s="58"/>
      <c r="QSB2491" s="58"/>
      <c r="QSC2491" s="58"/>
      <c r="QSD2491" s="61"/>
      <c r="QSE2491" s="58"/>
      <c r="QSF2491" s="58"/>
      <c r="QSG2491" s="58"/>
      <c r="QSH2491" s="60"/>
      <c r="QSI2491" s="58"/>
      <c r="QSJ2491" s="58"/>
      <c r="QSK2491" s="58"/>
      <c r="QSL2491" s="61"/>
      <c r="QSM2491" s="58"/>
      <c r="QSN2491" s="58"/>
      <c r="QSO2491" s="58"/>
      <c r="QSP2491" s="60"/>
      <c r="QSQ2491" s="58"/>
      <c r="QSR2491" s="58"/>
      <c r="QSS2491" s="58"/>
      <c r="QST2491" s="61"/>
      <c r="QSU2491" s="58"/>
      <c r="QSV2491" s="58"/>
      <c r="QSW2491" s="58"/>
      <c r="QSX2491" s="60"/>
      <c r="QSY2491" s="58"/>
      <c r="QSZ2491" s="58"/>
      <c r="QTA2491" s="58"/>
      <c r="QTB2491" s="61"/>
      <c r="QTC2491" s="58"/>
      <c r="QTD2491" s="58"/>
      <c r="QTE2491" s="58"/>
      <c r="QTF2491" s="60"/>
      <c r="QTG2491" s="58"/>
      <c r="QTH2491" s="58"/>
      <c r="QTI2491" s="58"/>
      <c r="QTJ2491" s="61"/>
      <c r="QTK2491" s="58"/>
      <c r="QTL2491" s="58"/>
      <c r="QTM2491" s="58"/>
      <c r="QTN2491" s="60"/>
      <c r="QTO2491" s="58"/>
      <c r="QTP2491" s="58"/>
      <c r="QTQ2491" s="58"/>
      <c r="QTR2491" s="61"/>
      <c r="QTS2491" s="58"/>
      <c r="QTT2491" s="58"/>
      <c r="QTU2491" s="58"/>
      <c r="QTV2491" s="60"/>
      <c r="QTW2491" s="58"/>
      <c r="QTX2491" s="58"/>
      <c r="QTY2491" s="58"/>
      <c r="QTZ2491" s="61"/>
      <c r="QUA2491" s="58"/>
      <c r="QUB2491" s="58"/>
      <c r="QUC2491" s="58"/>
      <c r="QUD2491" s="60"/>
      <c r="QUE2491" s="58"/>
      <c r="QUF2491" s="58"/>
      <c r="QUG2491" s="58"/>
      <c r="QUH2491" s="61"/>
      <c r="QUI2491" s="58"/>
      <c r="QUJ2491" s="58"/>
      <c r="QUK2491" s="58"/>
      <c r="QUL2491" s="60"/>
      <c r="QUM2491" s="58"/>
      <c r="QUN2491" s="58"/>
      <c r="QUO2491" s="58"/>
      <c r="QUP2491" s="61"/>
      <c r="QUQ2491" s="58"/>
      <c r="QUR2491" s="58"/>
      <c r="QUS2491" s="58"/>
      <c r="QUT2491" s="60"/>
      <c r="QUU2491" s="58"/>
      <c r="QUV2491" s="58"/>
      <c r="QUW2491" s="58"/>
      <c r="QUX2491" s="61"/>
      <c r="QUY2491" s="58"/>
      <c r="QUZ2491" s="58"/>
      <c r="QVA2491" s="58"/>
      <c r="QVB2491" s="60"/>
      <c r="QVC2491" s="58"/>
      <c r="QVD2491" s="58"/>
      <c r="QVE2491" s="58"/>
      <c r="QVF2491" s="61"/>
      <c r="QVG2491" s="58"/>
      <c r="QVH2491" s="58"/>
      <c r="QVI2491" s="58"/>
      <c r="QVJ2491" s="60"/>
      <c r="QVK2491" s="58"/>
      <c r="QVL2491" s="58"/>
      <c r="QVM2491" s="58"/>
      <c r="QVN2491" s="61"/>
      <c r="QVO2491" s="58"/>
      <c r="QVP2491" s="58"/>
      <c r="QVQ2491" s="58"/>
      <c r="QVR2491" s="60"/>
      <c r="QVS2491" s="58"/>
      <c r="QVT2491" s="58"/>
      <c r="QVU2491" s="58"/>
      <c r="QVV2491" s="61"/>
      <c r="QVW2491" s="58"/>
      <c r="QVX2491" s="58"/>
      <c r="QVY2491" s="58"/>
      <c r="QVZ2491" s="60"/>
      <c r="QWA2491" s="58"/>
      <c r="QWB2491" s="58"/>
      <c r="QWC2491" s="58"/>
      <c r="QWD2491" s="61"/>
      <c r="QWE2491" s="58"/>
      <c r="QWF2491" s="58"/>
      <c r="QWG2491" s="58"/>
      <c r="QWH2491" s="60"/>
      <c r="QWI2491" s="58"/>
      <c r="QWJ2491" s="58"/>
      <c r="QWK2491" s="58"/>
      <c r="QWL2491" s="61"/>
      <c r="QWM2491" s="58"/>
      <c r="QWN2491" s="58"/>
      <c r="QWO2491" s="58"/>
      <c r="QWP2491" s="60"/>
      <c r="QWQ2491" s="58"/>
      <c r="QWR2491" s="58"/>
      <c r="QWS2491" s="58"/>
      <c r="QWT2491" s="61"/>
      <c r="QWU2491" s="58"/>
      <c r="QWV2491" s="58"/>
      <c r="QWW2491" s="58"/>
      <c r="QWX2491" s="60"/>
      <c r="QWY2491" s="58"/>
      <c r="QWZ2491" s="58"/>
      <c r="QXA2491" s="58"/>
      <c r="QXB2491" s="61"/>
      <c r="QXC2491" s="58"/>
      <c r="QXD2491" s="58"/>
      <c r="QXE2491" s="58"/>
      <c r="QXF2491" s="60"/>
      <c r="QXG2491" s="58"/>
      <c r="QXH2491" s="58"/>
      <c r="QXI2491" s="58"/>
      <c r="QXJ2491" s="61"/>
      <c r="QXK2491" s="58"/>
      <c r="QXL2491" s="58"/>
      <c r="QXM2491" s="58"/>
      <c r="QXN2491" s="60"/>
      <c r="QXO2491" s="58"/>
      <c r="QXP2491" s="58"/>
      <c r="QXQ2491" s="58"/>
      <c r="QXR2491" s="61"/>
      <c r="QXS2491" s="58"/>
      <c r="QXT2491" s="58"/>
      <c r="QXU2491" s="58"/>
      <c r="QXV2491" s="60"/>
      <c r="QXW2491" s="58"/>
      <c r="QXX2491" s="58"/>
      <c r="QXY2491" s="58"/>
      <c r="QXZ2491" s="61"/>
      <c r="QYA2491" s="58"/>
      <c r="QYB2491" s="58"/>
      <c r="QYC2491" s="58"/>
      <c r="QYD2491" s="60"/>
      <c r="QYE2491" s="58"/>
      <c r="QYF2491" s="58"/>
      <c r="QYG2491" s="58"/>
      <c r="QYH2491" s="61"/>
      <c r="QYI2491" s="58"/>
      <c r="QYJ2491" s="58"/>
      <c r="QYK2491" s="58"/>
      <c r="QYL2491" s="60"/>
      <c r="QYM2491" s="58"/>
      <c r="QYN2491" s="58"/>
      <c r="QYO2491" s="58"/>
      <c r="QYP2491" s="61"/>
      <c r="QYQ2491" s="58"/>
      <c r="QYR2491" s="58"/>
      <c r="QYS2491" s="58"/>
      <c r="QYT2491" s="60"/>
      <c r="QYU2491" s="58"/>
      <c r="QYV2491" s="58"/>
      <c r="QYW2491" s="58"/>
      <c r="QYX2491" s="61"/>
      <c r="QYY2491" s="58"/>
      <c r="QYZ2491" s="58"/>
      <c r="QZA2491" s="58"/>
      <c r="QZB2491" s="60"/>
      <c r="QZC2491" s="58"/>
      <c r="QZD2491" s="58"/>
      <c r="QZE2491" s="58"/>
      <c r="QZF2491" s="61"/>
      <c r="QZG2491" s="58"/>
      <c r="QZH2491" s="58"/>
      <c r="QZI2491" s="58"/>
      <c r="QZJ2491" s="60"/>
      <c r="QZK2491" s="58"/>
      <c r="QZL2491" s="58"/>
      <c r="QZM2491" s="58"/>
      <c r="QZN2491" s="61"/>
      <c r="QZO2491" s="58"/>
      <c r="QZP2491" s="58"/>
      <c r="QZQ2491" s="58"/>
      <c r="QZR2491" s="60"/>
      <c r="QZS2491" s="58"/>
      <c r="QZT2491" s="58"/>
      <c r="QZU2491" s="58"/>
      <c r="QZV2491" s="61"/>
      <c r="QZW2491" s="58"/>
      <c r="QZX2491" s="58"/>
      <c r="QZY2491" s="58"/>
      <c r="QZZ2491" s="60"/>
      <c r="RAA2491" s="58"/>
      <c r="RAB2491" s="58"/>
      <c r="RAC2491" s="58"/>
      <c r="RAD2491" s="61"/>
      <c r="RAE2491" s="58"/>
      <c r="RAF2491" s="58"/>
      <c r="RAG2491" s="58"/>
      <c r="RAH2491" s="60"/>
      <c r="RAI2491" s="58"/>
      <c r="RAJ2491" s="58"/>
      <c r="RAK2491" s="58"/>
      <c r="RAL2491" s="61"/>
      <c r="RAM2491" s="58"/>
      <c r="RAN2491" s="58"/>
      <c r="RAO2491" s="58"/>
      <c r="RAP2491" s="60"/>
      <c r="RAQ2491" s="58"/>
      <c r="RAR2491" s="58"/>
      <c r="RAS2491" s="58"/>
      <c r="RAT2491" s="61"/>
      <c r="RAU2491" s="58"/>
      <c r="RAV2491" s="58"/>
      <c r="RAW2491" s="58"/>
      <c r="RAX2491" s="60"/>
      <c r="RAY2491" s="58"/>
      <c r="RAZ2491" s="58"/>
      <c r="RBA2491" s="58"/>
      <c r="RBB2491" s="61"/>
      <c r="RBC2491" s="58"/>
      <c r="RBD2491" s="58"/>
      <c r="RBE2491" s="58"/>
      <c r="RBF2491" s="60"/>
      <c r="RBG2491" s="58"/>
      <c r="RBH2491" s="58"/>
      <c r="RBI2491" s="58"/>
      <c r="RBJ2491" s="61"/>
      <c r="RBK2491" s="58"/>
      <c r="RBL2491" s="58"/>
      <c r="RBM2491" s="58"/>
      <c r="RBN2491" s="60"/>
      <c r="RBO2491" s="58"/>
      <c r="RBP2491" s="58"/>
      <c r="RBQ2491" s="58"/>
      <c r="RBR2491" s="61"/>
      <c r="RBS2491" s="58"/>
      <c r="RBT2491" s="58"/>
      <c r="RBU2491" s="58"/>
      <c r="RBV2491" s="60"/>
      <c r="RBW2491" s="58"/>
      <c r="RBX2491" s="58"/>
      <c r="RBY2491" s="58"/>
      <c r="RBZ2491" s="61"/>
      <c r="RCA2491" s="58"/>
      <c r="RCB2491" s="58"/>
      <c r="RCC2491" s="58"/>
      <c r="RCD2491" s="60"/>
      <c r="RCE2491" s="58"/>
      <c r="RCF2491" s="58"/>
      <c r="RCG2491" s="58"/>
      <c r="RCH2491" s="61"/>
      <c r="RCI2491" s="58"/>
      <c r="RCJ2491" s="58"/>
      <c r="RCK2491" s="58"/>
      <c r="RCL2491" s="60"/>
      <c r="RCM2491" s="58"/>
      <c r="RCN2491" s="58"/>
      <c r="RCO2491" s="58"/>
      <c r="RCP2491" s="61"/>
      <c r="RCQ2491" s="58"/>
      <c r="RCR2491" s="58"/>
      <c r="RCS2491" s="58"/>
      <c r="RCT2491" s="60"/>
      <c r="RCU2491" s="58"/>
      <c r="RCV2491" s="58"/>
      <c r="RCW2491" s="58"/>
      <c r="RCX2491" s="61"/>
      <c r="RCY2491" s="58"/>
      <c r="RCZ2491" s="58"/>
      <c r="RDA2491" s="58"/>
      <c r="RDB2491" s="60"/>
      <c r="RDC2491" s="58"/>
      <c r="RDD2491" s="58"/>
      <c r="RDE2491" s="58"/>
      <c r="RDF2491" s="61"/>
      <c r="RDG2491" s="58"/>
      <c r="RDH2491" s="58"/>
      <c r="RDI2491" s="58"/>
      <c r="RDJ2491" s="60"/>
      <c r="RDK2491" s="58"/>
      <c r="RDL2491" s="58"/>
      <c r="RDM2491" s="58"/>
      <c r="RDN2491" s="61"/>
      <c r="RDO2491" s="58"/>
      <c r="RDP2491" s="58"/>
      <c r="RDQ2491" s="58"/>
      <c r="RDR2491" s="60"/>
      <c r="RDS2491" s="58"/>
      <c r="RDT2491" s="58"/>
      <c r="RDU2491" s="58"/>
      <c r="RDV2491" s="61"/>
      <c r="RDW2491" s="58"/>
      <c r="RDX2491" s="58"/>
      <c r="RDY2491" s="58"/>
      <c r="RDZ2491" s="60"/>
      <c r="REA2491" s="58"/>
      <c r="REB2491" s="58"/>
      <c r="REC2491" s="58"/>
      <c r="RED2491" s="61"/>
      <c r="REE2491" s="58"/>
      <c r="REF2491" s="58"/>
      <c r="REG2491" s="58"/>
      <c r="REH2491" s="60"/>
      <c r="REI2491" s="58"/>
      <c r="REJ2491" s="58"/>
      <c r="REK2491" s="58"/>
      <c r="REL2491" s="61"/>
      <c r="REM2491" s="58"/>
      <c r="REN2491" s="58"/>
      <c r="REO2491" s="58"/>
      <c r="REP2491" s="60"/>
      <c r="REQ2491" s="58"/>
      <c r="RER2491" s="58"/>
      <c r="RES2491" s="58"/>
      <c r="RET2491" s="61"/>
      <c r="REU2491" s="58"/>
      <c r="REV2491" s="58"/>
      <c r="REW2491" s="58"/>
      <c r="REX2491" s="60"/>
      <c r="REY2491" s="58"/>
      <c r="REZ2491" s="58"/>
      <c r="RFA2491" s="58"/>
      <c r="RFB2491" s="61"/>
      <c r="RFC2491" s="58"/>
      <c r="RFD2491" s="58"/>
      <c r="RFE2491" s="58"/>
      <c r="RFF2491" s="60"/>
      <c r="RFG2491" s="58"/>
      <c r="RFH2491" s="58"/>
      <c r="RFI2491" s="58"/>
      <c r="RFJ2491" s="61"/>
      <c r="RFK2491" s="58"/>
      <c r="RFL2491" s="58"/>
      <c r="RFM2491" s="58"/>
      <c r="RFN2491" s="60"/>
      <c r="RFO2491" s="58"/>
      <c r="RFP2491" s="58"/>
      <c r="RFQ2491" s="58"/>
      <c r="RFR2491" s="61"/>
      <c r="RFS2491" s="58"/>
      <c r="RFT2491" s="58"/>
      <c r="RFU2491" s="58"/>
      <c r="RFV2491" s="60"/>
      <c r="RFW2491" s="58"/>
      <c r="RFX2491" s="58"/>
      <c r="RFY2491" s="58"/>
      <c r="RFZ2491" s="61"/>
      <c r="RGA2491" s="58"/>
      <c r="RGB2491" s="58"/>
      <c r="RGC2491" s="58"/>
      <c r="RGD2491" s="60"/>
      <c r="RGE2491" s="58"/>
      <c r="RGF2491" s="58"/>
      <c r="RGG2491" s="58"/>
      <c r="RGH2491" s="61"/>
      <c r="RGI2491" s="58"/>
      <c r="RGJ2491" s="58"/>
      <c r="RGK2491" s="58"/>
      <c r="RGL2491" s="60"/>
      <c r="RGM2491" s="58"/>
      <c r="RGN2491" s="58"/>
      <c r="RGO2491" s="58"/>
      <c r="RGP2491" s="61"/>
      <c r="RGQ2491" s="58"/>
      <c r="RGR2491" s="58"/>
      <c r="RGS2491" s="58"/>
      <c r="RGT2491" s="60"/>
      <c r="RGU2491" s="58"/>
      <c r="RGV2491" s="58"/>
      <c r="RGW2491" s="58"/>
      <c r="RGX2491" s="61"/>
      <c r="RGY2491" s="58"/>
      <c r="RGZ2491" s="58"/>
      <c r="RHA2491" s="58"/>
      <c r="RHB2491" s="60"/>
      <c r="RHC2491" s="58"/>
      <c r="RHD2491" s="58"/>
      <c r="RHE2491" s="58"/>
      <c r="RHF2491" s="61"/>
      <c r="RHG2491" s="58"/>
      <c r="RHH2491" s="58"/>
      <c r="RHI2491" s="58"/>
      <c r="RHJ2491" s="60"/>
      <c r="RHK2491" s="58"/>
      <c r="RHL2491" s="58"/>
      <c r="RHM2491" s="58"/>
      <c r="RHN2491" s="61"/>
      <c r="RHO2491" s="58"/>
      <c r="RHP2491" s="58"/>
      <c r="RHQ2491" s="58"/>
      <c r="RHR2491" s="60"/>
      <c r="RHS2491" s="58"/>
      <c r="RHT2491" s="58"/>
      <c r="RHU2491" s="58"/>
      <c r="RHV2491" s="61"/>
      <c r="RHW2491" s="58"/>
      <c r="RHX2491" s="58"/>
      <c r="RHY2491" s="58"/>
      <c r="RHZ2491" s="60"/>
      <c r="RIA2491" s="58"/>
      <c r="RIB2491" s="58"/>
      <c r="RIC2491" s="58"/>
      <c r="RID2491" s="61"/>
      <c r="RIE2491" s="58"/>
      <c r="RIF2491" s="58"/>
      <c r="RIG2491" s="58"/>
      <c r="RIH2491" s="60"/>
      <c r="RII2491" s="58"/>
      <c r="RIJ2491" s="58"/>
      <c r="RIK2491" s="58"/>
      <c r="RIL2491" s="61"/>
      <c r="RIM2491" s="58"/>
      <c r="RIN2491" s="58"/>
      <c r="RIO2491" s="58"/>
      <c r="RIP2491" s="60"/>
      <c r="RIQ2491" s="58"/>
      <c r="RIR2491" s="58"/>
      <c r="RIS2491" s="58"/>
      <c r="RIT2491" s="61"/>
      <c r="RIU2491" s="58"/>
      <c r="RIV2491" s="58"/>
      <c r="RIW2491" s="58"/>
      <c r="RIX2491" s="60"/>
      <c r="RIY2491" s="58"/>
      <c r="RIZ2491" s="58"/>
      <c r="RJA2491" s="58"/>
      <c r="RJB2491" s="61"/>
      <c r="RJC2491" s="58"/>
      <c r="RJD2491" s="58"/>
      <c r="RJE2491" s="58"/>
      <c r="RJF2491" s="60"/>
      <c r="RJG2491" s="58"/>
      <c r="RJH2491" s="58"/>
      <c r="RJI2491" s="58"/>
      <c r="RJJ2491" s="61"/>
      <c r="RJK2491" s="58"/>
      <c r="RJL2491" s="58"/>
      <c r="RJM2491" s="58"/>
      <c r="RJN2491" s="60"/>
      <c r="RJO2491" s="58"/>
      <c r="RJP2491" s="58"/>
      <c r="RJQ2491" s="58"/>
      <c r="RJR2491" s="61"/>
      <c r="RJS2491" s="58"/>
      <c r="RJT2491" s="58"/>
      <c r="RJU2491" s="58"/>
      <c r="RJV2491" s="60"/>
      <c r="RJW2491" s="58"/>
      <c r="RJX2491" s="58"/>
      <c r="RJY2491" s="58"/>
      <c r="RJZ2491" s="61"/>
      <c r="RKA2491" s="58"/>
      <c r="RKB2491" s="58"/>
      <c r="RKC2491" s="58"/>
      <c r="RKD2491" s="60"/>
      <c r="RKE2491" s="58"/>
      <c r="RKF2491" s="58"/>
      <c r="RKG2491" s="58"/>
      <c r="RKH2491" s="61"/>
      <c r="RKI2491" s="58"/>
      <c r="RKJ2491" s="58"/>
      <c r="RKK2491" s="58"/>
      <c r="RKL2491" s="60"/>
      <c r="RKM2491" s="58"/>
      <c r="RKN2491" s="58"/>
      <c r="RKO2491" s="58"/>
      <c r="RKP2491" s="61"/>
      <c r="RKQ2491" s="58"/>
      <c r="RKR2491" s="58"/>
      <c r="RKS2491" s="58"/>
      <c r="RKT2491" s="60"/>
      <c r="RKU2491" s="58"/>
      <c r="RKV2491" s="58"/>
      <c r="RKW2491" s="58"/>
      <c r="RKX2491" s="61"/>
      <c r="RKY2491" s="58"/>
      <c r="RKZ2491" s="58"/>
      <c r="RLA2491" s="58"/>
      <c r="RLB2491" s="60"/>
      <c r="RLC2491" s="58"/>
      <c r="RLD2491" s="58"/>
      <c r="RLE2491" s="58"/>
      <c r="RLF2491" s="61"/>
      <c r="RLG2491" s="58"/>
      <c r="RLH2491" s="58"/>
      <c r="RLI2491" s="58"/>
      <c r="RLJ2491" s="60"/>
      <c r="RLK2491" s="58"/>
      <c r="RLL2491" s="58"/>
      <c r="RLM2491" s="58"/>
      <c r="RLN2491" s="61"/>
      <c r="RLO2491" s="58"/>
      <c r="RLP2491" s="58"/>
      <c r="RLQ2491" s="58"/>
      <c r="RLR2491" s="60"/>
      <c r="RLS2491" s="58"/>
      <c r="RLT2491" s="58"/>
      <c r="RLU2491" s="58"/>
      <c r="RLV2491" s="61"/>
      <c r="RLW2491" s="58"/>
      <c r="RLX2491" s="58"/>
      <c r="RLY2491" s="58"/>
      <c r="RLZ2491" s="60"/>
      <c r="RMA2491" s="58"/>
      <c r="RMB2491" s="58"/>
      <c r="RMC2491" s="58"/>
      <c r="RMD2491" s="61"/>
      <c r="RME2491" s="58"/>
      <c r="RMF2491" s="58"/>
      <c r="RMG2491" s="58"/>
      <c r="RMH2491" s="60"/>
      <c r="RMI2491" s="58"/>
      <c r="RMJ2491" s="58"/>
      <c r="RMK2491" s="58"/>
      <c r="RML2491" s="61"/>
      <c r="RMM2491" s="58"/>
      <c r="RMN2491" s="58"/>
      <c r="RMO2491" s="58"/>
      <c r="RMP2491" s="60"/>
      <c r="RMQ2491" s="58"/>
      <c r="RMR2491" s="58"/>
      <c r="RMS2491" s="58"/>
      <c r="RMT2491" s="61"/>
      <c r="RMU2491" s="58"/>
      <c r="RMV2491" s="58"/>
      <c r="RMW2491" s="58"/>
      <c r="RMX2491" s="60"/>
      <c r="RMY2491" s="58"/>
      <c r="RMZ2491" s="58"/>
      <c r="RNA2491" s="58"/>
      <c r="RNB2491" s="61"/>
      <c r="RNC2491" s="58"/>
      <c r="RND2491" s="58"/>
      <c r="RNE2491" s="58"/>
      <c r="RNF2491" s="60"/>
      <c r="RNG2491" s="58"/>
      <c r="RNH2491" s="58"/>
      <c r="RNI2491" s="58"/>
      <c r="RNJ2491" s="61"/>
      <c r="RNK2491" s="58"/>
      <c r="RNL2491" s="58"/>
      <c r="RNM2491" s="58"/>
      <c r="RNN2491" s="60"/>
      <c r="RNO2491" s="58"/>
      <c r="RNP2491" s="58"/>
      <c r="RNQ2491" s="58"/>
      <c r="RNR2491" s="61"/>
      <c r="RNS2491" s="58"/>
      <c r="RNT2491" s="58"/>
      <c r="RNU2491" s="58"/>
      <c r="RNV2491" s="60"/>
      <c r="RNW2491" s="58"/>
      <c r="RNX2491" s="58"/>
      <c r="RNY2491" s="58"/>
      <c r="RNZ2491" s="61"/>
      <c r="ROA2491" s="58"/>
      <c r="ROB2491" s="58"/>
      <c r="ROC2491" s="58"/>
      <c r="ROD2491" s="60"/>
      <c r="ROE2491" s="58"/>
      <c r="ROF2491" s="58"/>
      <c r="ROG2491" s="58"/>
      <c r="ROH2491" s="61"/>
      <c r="ROI2491" s="58"/>
      <c r="ROJ2491" s="58"/>
      <c r="ROK2491" s="58"/>
      <c r="ROL2491" s="60"/>
      <c r="ROM2491" s="58"/>
      <c r="RON2491" s="58"/>
      <c r="ROO2491" s="58"/>
      <c r="ROP2491" s="61"/>
      <c r="ROQ2491" s="58"/>
      <c r="ROR2491" s="58"/>
      <c r="ROS2491" s="58"/>
      <c r="ROT2491" s="60"/>
      <c r="ROU2491" s="58"/>
      <c r="ROV2491" s="58"/>
      <c r="ROW2491" s="58"/>
      <c r="ROX2491" s="61"/>
      <c r="ROY2491" s="58"/>
      <c r="ROZ2491" s="58"/>
      <c r="RPA2491" s="58"/>
      <c r="RPB2491" s="60"/>
      <c r="RPC2491" s="58"/>
      <c r="RPD2491" s="58"/>
      <c r="RPE2491" s="58"/>
      <c r="RPF2491" s="61"/>
      <c r="RPG2491" s="58"/>
      <c r="RPH2491" s="58"/>
      <c r="RPI2491" s="58"/>
      <c r="RPJ2491" s="60"/>
      <c r="RPK2491" s="58"/>
      <c r="RPL2491" s="58"/>
      <c r="RPM2491" s="58"/>
      <c r="RPN2491" s="61"/>
      <c r="RPO2491" s="58"/>
      <c r="RPP2491" s="58"/>
      <c r="RPQ2491" s="58"/>
      <c r="RPR2491" s="60"/>
      <c r="RPS2491" s="58"/>
      <c r="RPT2491" s="58"/>
      <c r="RPU2491" s="58"/>
      <c r="RPV2491" s="61"/>
      <c r="RPW2491" s="58"/>
      <c r="RPX2491" s="58"/>
      <c r="RPY2491" s="58"/>
      <c r="RPZ2491" s="60"/>
      <c r="RQA2491" s="58"/>
      <c r="RQB2491" s="58"/>
      <c r="RQC2491" s="58"/>
      <c r="RQD2491" s="61"/>
      <c r="RQE2491" s="58"/>
      <c r="RQF2491" s="58"/>
      <c r="RQG2491" s="58"/>
      <c r="RQH2491" s="60"/>
      <c r="RQI2491" s="58"/>
      <c r="RQJ2491" s="58"/>
      <c r="RQK2491" s="58"/>
      <c r="RQL2491" s="61"/>
      <c r="RQM2491" s="58"/>
      <c r="RQN2491" s="58"/>
      <c r="RQO2491" s="58"/>
      <c r="RQP2491" s="60"/>
      <c r="RQQ2491" s="58"/>
      <c r="RQR2491" s="58"/>
      <c r="RQS2491" s="58"/>
      <c r="RQT2491" s="61"/>
      <c r="RQU2491" s="58"/>
      <c r="RQV2491" s="58"/>
      <c r="RQW2491" s="58"/>
      <c r="RQX2491" s="60"/>
      <c r="RQY2491" s="58"/>
      <c r="RQZ2491" s="58"/>
      <c r="RRA2491" s="58"/>
      <c r="RRB2491" s="61"/>
      <c r="RRC2491" s="58"/>
      <c r="RRD2491" s="58"/>
      <c r="RRE2491" s="58"/>
      <c r="RRF2491" s="60"/>
      <c r="RRG2491" s="58"/>
      <c r="RRH2491" s="58"/>
      <c r="RRI2491" s="58"/>
      <c r="RRJ2491" s="61"/>
      <c r="RRK2491" s="58"/>
      <c r="RRL2491" s="58"/>
      <c r="RRM2491" s="58"/>
      <c r="RRN2491" s="60"/>
      <c r="RRO2491" s="58"/>
      <c r="RRP2491" s="58"/>
      <c r="RRQ2491" s="58"/>
      <c r="RRR2491" s="61"/>
      <c r="RRS2491" s="58"/>
      <c r="RRT2491" s="58"/>
      <c r="RRU2491" s="58"/>
      <c r="RRV2491" s="60"/>
      <c r="RRW2491" s="58"/>
      <c r="RRX2491" s="58"/>
      <c r="RRY2491" s="58"/>
      <c r="RRZ2491" s="61"/>
      <c r="RSA2491" s="58"/>
      <c r="RSB2491" s="58"/>
      <c r="RSC2491" s="58"/>
      <c r="RSD2491" s="60"/>
      <c r="RSE2491" s="58"/>
      <c r="RSF2491" s="58"/>
      <c r="RSG2491" s="58"/>
      <c r="RSH2491" s="61"/>
      <c r="RSI2491" s="58"/>
      <c r="RSJ2491" s="58"/>
      <c r="RSK2491" s="58"/>
      <c r="RSL2491" s="60"/>
      <c r="RSM2491" s="58"/>
      <c r="RSN2491" s="58"/>
      <c r="RSO2491" s="58"/>
      <c r="RSP2491" s="61"/>
      <c r="RSQ2491" s="58"/>
      <c r="RSR2491" s="58"/>
      <c r="RSS2491" s="58"/>
      <c r="RST2491" s="60"/>
      <c r="RSU2491" s="58"/>
      <c r="RSV2491" s="58"/>
      <c r="RSW2491" s="58"/>
      <c r="RSX2491" s="61"/>
      <c r="RSY2491" s="58"/>
      <c r="RSZ2491" s="58"/>
      <c r="RTA2491" s="58"/>
      <c r="RTB2491" s="60"/>
      <c r="RTC2491" s="58"/>
      <c r="RTD2491" s="58"/>
      <c r="RTE2491" s="58"/>
      <c r="RTF2491" s="61"/>
      <c r="RTG2491" s="58"/>
      <c r="RTH2491" s="58"/>
      <c r="RTI2491" s="58"/>
      <c r="RTJ2491" s="60"/>
      <c r="RTK2491" s="58"/>
      <c r="RTL2491" s="58"/>
      <c r="RTM2491" s="58"/>
      <c r="RTN2491" s="61"/>
      <c r="RTO2491" s="58"/>
      <c r="RTP2491" s="58"/>
      <c r="RTQ2491" s="58"/>
      <c r="RTR2491" s="60"/>
      <c r="RTS2491" s="58"/>
      <c r="RTT2491" s="58"/>
      <c r="RTU2491" s="58"/>
      <c r="RTV2491" s="61"/>
      <c r="RTW2491" s="58"/>
      <c r="RTX2491" s="58"/>
      <c r="RTY2491" s="58"/>
      <c r="RTZ2491" s="60"/>
      <c r="RUA2491" s="58"/>
      <c r="RUB2491" s="58"/>
      <c r="RUC2491" s="58"/>
      <c r="RUD2491" s="61"/>
      <c r="RUE2491" s="58"/>
      <c r="RUF2491" s="58"/>
      <c r="RUG2491" s="58"/>
      <c r="RUH2491" s="60"/>
      <c r="RUI2491" s="58"/>
      <c r="RUJ2491" s="58"/>
      <c r="RUK2491" s="58"/>
      <c r="RUL2491" s="61"/>
      <c r="RUM2491" s="58"/>
      <c r="RUN2491" s="58"/>
      <c r="RUO2491" s="58"/>
      <c r="RUP2491" s="60"/>
      <c r="RUQ2491" s="58"/>
      <c r="RUR2491" s="58"/>
      <c r="RUS2491" s="58"/>
      <c r="RUT2491" s="61"/>
      <c r="RUU2491" s="58"/>
      <c r="RUV2491" s="58"/>
      <c r="RUW2491" s="58"/>
      <c r="RUX2491" s="60"/>
      <c r="RUY2491" s="58"/>
      <c r="RUZ2491" s="58"/>
      <c r="RVA2491" s="58"/>
      <c r="RVB2491" s="61"/>
      <c r="RVC2491" s="58"/>
      <c r="RVD2491" s="58"/>
      <c r="RVE2491" s="58"/>
      <c r="RVF2491" s="60"/>
      <c r="RVG2491" s="58"/>
      <c r="RVH2491" s="58"/>
      <c r="RVI2491" s="58"/>
      <c r="RVJ2491" s="61"/>
      <c r="RVK2491" s="58"/>
      <c r="RVL2491" s="58"/>
      <c r="RVM2491" s="58"/>
      <c r="RVN2491" s="60"/>
      <c r="RVO2491" s="58"/>
      <c r="RVP2491" s="58"/>
      <c r="RVQ2491" s="58"/>
      <c r="RVR2491" s="61"/>
      <c r="RVS2491" s="58"/>
      <c r="RVT2491" s="58"/>
      <c r="RVU2491" s="58"/>
      <c r="RVV2491" s="60"/>
      <c r="RVW2491" s="58"/>
      <c r="RVX2491" s="58"/>
      <c r="RVY2491" s="58"/>
      <c r="RVZ2491" s="61"/>
      <c r="RWA2491" s="58"/>
      <c r="RWB2491" s="58"/>
      <c r="RWC2491" s="58"/>
      <c r="RWD2491" s="60"/>
      <c r="RWE2491" s="58"/>
      <c r="RWF2491" s="58"/>
      <c r="RWG2491" s="58"/>
      <c r="RWH2491" s="61"/>
      <c r="RWI2491" s="58"/>
      <c r="RWJ2491" s="58"/>
      <c r="RWK2491" s="58"/>
      <c r="RWL2491" s="60"/>
      <c r="RWM2491" s="58"/>
      <c r="RWN2491" s="58"/>
      <c r="RWO2491" s="58"/>
      <c r="RWP2491" s="61"/>
      <c r="RWQ2491" s="58"/>
      <c r="RWR2491" s="58"/>
      <c r="RWS2491" s="58"/>
      <c r="RWT2491" s="60"/>
      <c r="RWU2491" s="58"/>
      <c r="RWV2491" s="58"/>
      <c r="RWW2491" s="58"/>
      <c r="RWX2491" s="61"/>
      <c r="RWY2491" s="58"/>
      <c r="RWZ2491" s="58"/>
      <c r="RXA2491" s="58"/>
      <c r="RXB2491" s="60"/>
      <c r="RXC2491" s="58"/>
      <c r="RXD2491" s="58"/>
      <c r="RXE2491" s="58"/>
      <c r="RXF2491" s="61"/>
      <c r="RXG2491" s="58"/>
      <c r="RXH2491" s="58"/>
      <c r="RXI2491" s="58"/>
      <c r="RXJ2491" s="60"/>
      <c r="RXK2491" s="58"/>
      <c r="RXL2491" s="58"/>
      <c r="RXM2491" s="58"/>
      <c r="RXN2491" s="61"/>
      <c r="RXO2491" s="58"/>
      <c r="RXP2491" s="58"/>
      <c r="RXQ2491" s="58"/>
      <c r="RXR2491" s="60"/>
      <c r="RXS2491" s="58"/>
      <c r="RXT2491" s="58"/>
      <c r="RXU2491" s="58"/>
      <c r="RXV2491" s="61"/>
      <c r="RXW2491" s="58"/>
      <c r="RXX2491" s="58"/>
      <c r="RXY2491" s="58"/>
      <c r="RXZ2491" s="60"/>
      <c r="RYA2491" s="58"/>
      <c r="RYB2491" s="58"/>
      <c r="RYC2491" s="58"/>
      <c r="RYD2491" s="61"/>
      <c r="RYE2491" s="58"/>
      <c r="RYF2491" s="58"/>
      <c r="RYG2491" s="58"/>
      <c r="RYH2491" s="60"/>
      <c r="RYI2491" s="58"/>
      <c r="RYJ2491" s="58"/>
      <c r="RYK2491" s="58"/>
      <c r="RYL2491" s="61"/>
      <c r="RYM2491" s="58"/>
      <c r="RYN2491" s="58"/>
      <c r="RYO2491" s="58"/>
      <c r="RYP2491" s="60"/>
      <c r="RYQ2491" s="58"/>
      <c r="RYR2491" s="58"/>
      <c r="RYS2491" s="58"/>
      <c r="RYT2491" s="61"/>
      <c r="RYU2491" s="58"/>
      <c r="RYV2491" s="58"/>
      <c r="RYW2491" s="58"/>
      <c r="RYX2491" s="60"/>
      <c r="RYY2491" s="58"/>
      <c r="RYZ2491" s="58"/>
      <c r="RZA2491" s="58"/>
      <c r="RZB2491" s="61"/>
      <c r="RZC2491" s="58"/>
      <c r="RZD2491" s="58"/>
      <c r="RZE2491" s="58"/>
      <c r="RZF2491" s="60"/>
      <c r="RZG2491" s="58"/>
      <c r="RZH2491" s="58"/>
      <c r="RZI2491" s="58"/>
      <c r="RZJ2491" s="61"/>
      <c r="RZK2491" s="58"/>
      <c r="RZL2491" s="58"/>
      <c r="RZM2491" s="58"/>
      <c r="RZN2491" s="60"/>
      <c r="RZO2491" s="58"/>
      <c r="RZP2491" s="58"/>
      <c r="RZQ2491" s="58"/>
      <c r="RZR2491" s="61"/>
      <c r="RZS2491" s="58"/>
      <c r="RZT2491" s="58"/>
      <c r="RZU2491" s="58"/>
      <c r="RZV2491" s="60"/>
      <c r="RZW2491" s="58"/>
      <c r="RZX2491" s="58"/>
      <c r="RZY2491" s="58"/>
      <c r="RZZ2491" s="61"/>
      <c r="SAA2491" s="58"/>
      <c r="SAB2491" s="58"/>
      <c r="SAC2491" s="58"/>
      <c r="SAD2491" s="60"/>
      <c r="SAE2491" s="58"/>
      <c r="SAF2491" s="58"/>
      <c r="SAG2491" s="58"/>
      <c r="SAH2491" s="61"/>
      <c r="SAI2491" s="58"/>
      <c r="SAJ2491" s="58"/>
      <c r="SAK2491" s="58"/>
      <c r="SAL2491" s="60"/>
      <c r="SAM2491" s="58"/>
      <c r="SAN2491" s="58"/>
      <c r="SAO2491" s="58"/>
      <c r="SAP2491" s="61"/>
      <c r="SAQ2491" s="58"/>
      <c r="SAR2491" s="58"/>
      <c r="SAS2491" s="58"/>
      <c r="SAT2491" s="60"/>
      <c r="SAU2491" s="58"/>
      <c r="SAV2491" s="58"/>
      <c r="SAW2491" s="58"/>
      <c r="SAX2491" s="61"/>
      <c r="SAY2491" s="58"/>
      <c r="SAZ2491" s="58"/>
      <c r="SBA2491" s="58"/>
      <c r="SBB2491" s="60"/>
      <c r="SBC2491" s="58"/>
      <c r="SBD2491" s="58"/>
      <c r="SBE2491" s="58"/>
      <c r="SBF2491" s="61"/>
      <c r="SBG2491" s="58"/>
      <c r="SBH2491" s="58"/>
      <c r="SBI2491" s="58"/>
      <c r="SBJ2491" s="60"/>
      <c r="SBK2491" s="58"/>
      <c r="SBL2491" s="58"/>
      <c r="SBM2491" s="58"/>
      <c r="SBN2491" s="61"/>
      <c r="SBO2491" s="58"/>
      <c r="SBP2491" s="58"/>
      <c r="SBQ2491" s="58"/>
      <c r="SBR2491" s="60"/>
      <c r="SBS2491" s="58"/>
      <c r="SBT2491" s="58"/>
      <c r="SBU2491" s="58"/>
      <c r="SBV2491" s="61"/>
      <c r="SBW2491" s="58"/>
      <c r="SBX2491" s="58"/>
      <c r="SBY2491" s="58"/>
      <c r="SBZ2491" s="60"/>
      <c r="SCA2491" s="58"/>
      <c r="SCB2491" s="58"/>
      <c r="SCC2491" s="58"/>
      <c r="SCD2491" s="61"/>
      <c r="SCE2491" s="58"/>
      <c r="SCF2491" s="58"/>
      <c r="SCG2491" s="58"/>
      <c r="SCH2491" s="60"/>
      <c r="SCI2491" s="58"/>
      <c r="SCJ2491" s="58"/>
      <c r="SCK2491" s="58"/>
      <c r="SCL2491" s="61"/>
      <c r="SCM2491" s="58"/>
      <c r="SCN2491" s="58"/>
      <c r="SCO2491" s="58"/>
      <c r="SCP2491" s="60"/>
      <c r="SCQ2491" s="58"/>
      <c r="SCR2491" s="58"/>
      <c r="SCS2491" s="58"/>
      <c r="SCT2491" s="61"/>
      <c r="SCU2491" s="58"/>
      <c r="SCV2491" s="58"/>
      <c r="SCW2491" s="58"/>
      <c r="SCX2491" s="60"/>
      <c r="SCY2491" s="58"/>
      <c r="SCZ2491" s="58"/>
      <c r="SDA2491" s="58"/>
      <c r="SDB2491" s="61"/>
      <c r="SDC2491" s="58"/>
      <c r="SDD2491" s="58"/>
      <c r="SDE2491" s="58"/>
      <c r="SDF2491" s="60"/>
      <c r="SDG2491" s="58"/>
      <c r="SDH2491" s="58"/>
      <c r="SDI2491" s="58"/>
      <c r="SDJ2491" s="61"/>
      <c r="SDK2491" s="58"/>
      <c r="SDL2491" s="58"/>
      <c r="SDM2491" s="58"/>
      <c r="SDN2491" s="60"/>
      <c r="SDO2491" s="58"/>
      <c r="SDP2491" s="58"/>
      <c r="SDQ2491" s="58"/>
      <c r="SDR2491" s="61"/>
      <c r="SDS2491" s="58"/>
      <c r="SDT2491" s="58"/>
      <c r="SDU2491" s="58"/>
      <c r="SDV2491" s="60"/>
      <c r="SDW2491" s="58"/>
      <c r="SDX2491" s="58"/>
      <c r="SDY2491" s="58"/>
      <c r="SDZ2491" s="61"/>
      <c r="SEA2491" s="58"/>
      <c r="SEB2491" s="58"/>
      <c r="SEC2491" s="58"/>
      <c r="SED2491" s="60"/>
      <c r="SEE2491" s="58"/>
      <c r="SEF2491" s="58"/>
      <c r="SEG2491" s="58"/>
      <c r="SEH2491" s="61"/>
      <c r="SEI2491" s="58"/>
      <c r="SEJ2491" s="58"/>
      <c r="SEK2491" s="58"/>
      <c r="SEL2491" s="60"/>
      <c r="SEM2491" s="58"/>
      <c r="SEN2491" s="58"/>
      <c r="SEO2491" s="58"/>
      <c r="SEP2491" s="61"/>
      <c r="SEQ2491" s="58"/>
      <c r="SER2491" s="58"/>
      <c r="SES2491" s="58"/>
      <c r="SET2491" s="60"/>
      <c r="SEU2491" s="58"/>
      <c r="SEV2491" s="58"/>
      <c r="SEW2491" s="58"/>
      <c r="SEX2491" s="61"/>
      <c r="SEY2491" s="58"/>
      <c r="SEZ2491" s="58"/>
      <c r="SFA2491" s="58"/>
      <c r="SFB2491" s="60"/>
      <c r="SFC2491" s="58"/>
      <c r="SFD2491" s="58"/>
      <c r="SFE2491" s="58"/>
      <c r="SFF2491" s="61"/>
      <c r="SFG2491" s="58"/>
      <c r="SFH2491" s="58"/>
      <c r="SFI2491" s="58"/>
      <c r="SFJ2491" s="60"/>
      <c r="SFK2491" s="58"/>
      <c r="SFL2491" s="58"/>
      <c r="SFM2491" s="58"/>
      <c r="SFN2491" s="61"/>
      <c r="SFO2491" s="58"/>
      <c r="SFP2491" s="58"/>
      <c r="SFQ2491" s="58"/>
      <c r="SFR2491" s="60"/>
      <c r="SFS2491" s="58"/>
      <c r="SFT2491" s="58"/>
      <c r="SFU2491" s="58"/>
      <c r="SFV2491" s="61"/>
      <c r="SFW2491" s="58"/>
      <c r="SFX2491" s="58"/>
      <c r="SFY2491" s="58"/>
      <c r="SFZ2491" s="60"/>
      <c r="SGA2491" s="58"/>
      <c r="SGB2491" s="58"/>
      <c r="SGC2491" s="58"/>
      <c r="SGD2491" s="61"/>
      <c r="SGE2491" s="58"/>
      <c r="SGF2491" s="58"/>
      <c r="SGG2491" s="58"/>
      <c r="SGH2491" s="60"/>
      <c r="SGI2491" s="58"/>
      <c r="SGJ2491" s="58"/>
      <c r="SGK2491" s="58"/>
      <c r="SGL2491" s="61"/>
      <c r="SGM2491" s="58"/>
      <c r="SGN2491" s="58"/>
      <c r="SGO2491" s="58"/>
      <c r="SGP2491" s="60"/>
      <c r="SGQ2491" s="58"/>
      <c r="SGR2491" s="58"/>
      <c r="SGS2491" s="58"/>
      <c r="SGT2491" s="61"/>
      <c r="SGU2491" s="58"/>
      <c r="SGV2491" s="58"/>
      <c r="SGW2491" s="58"/>
      <c r="SGX2491" s="60"/>
      <c r="SGY2491" s="58"/>
      <c r="SGZ2491" s="58"/>
      <c r="SHA2491" s="58"/>
      <c r="SHB2491" s="61"/>
      <c r="SHC2491" s="58"/>
      <c r="SHD2491" s="58"/>
      <c r="SHE2491" s="58"/>
      <c r="SHF2491" s="60"/>
      <c r="SHG2491" s="58"/>
      <c r="SHH2491" s="58"/>
      <c r="SHI2491" s="58"/>
      <c r="SHJ2491" s="61"/>
      <c r="SHK2491" s="58"/>
      <c r="SHL2491" s="58"/>
      <c r="SHM2491" s="58"/>
      <c r="SHN2491" s="60"/>
      <c r="SHO2491" s="58"/>
      <c r="SHP2491" s="58"/>
      <c r="SHQ2491" s="58"/>
      <c r="SHR2491" s="61"/>
      <c r="SHS2491" s="58"/>
      <c r="SHT2491" s="58"/>
      <c r="SHU2491" s="58"/>
      <c r="SHV2491" s="60"/>
      <c r="SHW2491" s="58"/>
      <c r="SHX2491" s="58"/>
      <c r="SHY2491" s="58"/>
      <c r="SHZ2491" s="61"/>
      <c r="SIA2491" s="58"/>
      <c r="SIB2491" s="58"/>
      <c r="SIC2491" s="58"/>
      <c r="SID2491" s="60"/>
      <c r="SIE2491" s="58"/>
      <c r="SIF2491" s="58"/>
      <c r="SIG2491" s="58"/>
      <c r="SIH2491" s="61"/>
      <c r="SII2491" s="58"/>
      <c r="SIJ2491" s="58"/>
      <c r="SIK2491" s="58"/>
      <c r="SIL2491" s="60"/>
      <c r="SIM2491" s="58"/>
      <c r="SIN2491" s="58"/>
      <c r="SIO2491" s="58"/>
      <c r="SIP2491" s="61"/>
      <c r="SIQ2491" s="58"/>
      <c r="SIR2491" s="58"/>
      <c r="SIS2491" s="58"/>
      <c r="SIT2491" s="60"/>
      <c r="SIU2491" s="58"/>
      <c r="SIV2491" s="58"/>
      <c r="SIW2491" s="58"/>
      <c r="SIX2491" s="61"/>
      <c r="SIY2491" s="58"/>
      <c r="SIZ2491" s="58"/>
      <c r="SJA2491" s="58"/>
      <c r="SJB2491" s="60"/>
      <c r="SJC2491" s="58"/>
      <c r="SJD2491" s="58"/>
      <c r="SJE2491" s="58"/>
      <c r="SJF2491" s="61"/>
      <c r="SJG2491" s="58"/>
      <c r="SJH2491" s="58"/>
      <c r="SJI2491" s="58"/>
      <c r="SJJ2491" s="60"/>
      <c r="SJK2491" s="58"/>
      <c r="SJL2491" s="58"/>
      <c r="SJM2491" s="58"/>
      <c r="SJN2491" s="61"/>
      <c r="SJO2491" s="58"/>
      <c r="SJP2491" s="58"/>
      <c r="SJQ2491" s="58"/>
      <c r="SJR2491" s="60"/>
      <c r="SJS2491" s="58"/>
      <c r="SJT2491" s="58"/>
      <c r="SJU2491" s="58"/>
      <c r="SJV2491" s="61"/>
      <c r="SJW2491" s="58"/>
      <c r="SJX2491" s="58"/>
      <c r="SJY2491" s="58"/>
      <c r="SJZ2491" s="60"/>
      <c r="SKA2491" s="58"/>
      <c r="SKB2491" s="58"/>
      <c r="SKC2491" s="58"/>
      <c r="SKD2491" s="61"/>
      <c r="SKE2491" s="58"/>
      <c r="SKF2491" s="58"/>
      <c r="SKG2491" s="58"/>
      <c r="SKH2491" s="60"/>
      <c r="SKI2491" s="58"/>
      <c r="SKJ2491" s="58"/>
      <c r="SKK2491" s="58"/>
      <c r="SKL2491" s="61"/>
      <c r="SKM2491" s="58"/>
      <c r="SKN2491" s="58"/>
      <c r="SKO2491" s="58"/>
      <c r="SKP2491" s="60"/>
      <c r="SKQ2491" s="58"/>
      <c r="SKR2491" s="58"/>
      <c r="SKS2491" s="58"/>
      <c r="SKT2491" s="61"/>
      <c r="SKU2491" s="58"/>
      <c r="SKV2491" s="58"/>
      <c r="SKW2491" s="58"/>
      <c r="SKX2491" s="60"/>
      <c r="SKY2491" s="58"/>
      <c r="SKZ2491" s="58"/>
      <c r="SLA2491" s="58"/>
      <c r="SLB2491" s="61"/>
      <c r="SLC2491" s="58"/>
      <c r="SLD2491" s="58"/>
      <c r="SLE2491" s="58"/>
      <c r="SLF2491" s="60"/>
      <c r="SLG2491" s="58"/>
      <c r="SLH2491" s="58"/>
      <c r="SLI2491" s="58"/>
      <c r="SLJ2491" s="61"/>
      <c r="SLK2491" s="58"/>
      <c r="SLL2491" s="58"/>
      <c r="SLM2491" s="58"/>
      <c r="SLN2491" s="60"/>
      <c r="SLO2491" s="58"/>
      <c r="SLP2491" s="58"/>
      <c r="SLQ2491" s="58"/>
      <c r="SLR2491" s="61"/>
      <c r="SLS2491" s="58"/>
      <c r="SLT2491" s="58"/>
      <c r="SLU2491" s="58"/>
      <c r="SLV2491" s="60"/>
      <c r="SLW2491" s="58"/>
      <c r="SLX2491" s="58"/>
      <c r="SLY2491" s="58"/>
      <c r="SLZ2491" s="61"/>
      <c r="SMA2491" s="58"/>
      <c r="SMB2491" s="58"/>
      <c r="SMC2491" s="58"/>
      <c r="SMD2491" s="60"/>
      <c r="SME2491" s="58"/>
      <c r="SMF2491" s="58"/>
      <c r="SMG2491" s="58"/>
      <c r="SMH2491" s="61"/>
      <c r="SMI2491" s="58"/>
      <c r="SMJ2491" s="58"/>
      <c r="SMK2491" s="58"/>
      <c r="SML2491" s="60"/>
      <c r="SMM2491" s="58"/>
      <c r="SMN2491" s="58"/>
      <c r="SMO2491" s="58"/>
      <c r="SMP2491" s="61"/>
      <c r="SMQ2491" s="58"/>
      <c r="SMR2491" s="58"/>
      <c r="SMS2491" s="58"/>
      <c r="SMT2491" s="60"/>
      <c r="SMU2491" s="58"/>
      <c r="SMV2491" s="58"/>
      <c r="SMW2491" s="58"/>
      <c r="SMX2491" s="61"/>
      <c r="SMY2491" s="58"/>
      <c r="SMZ2491" s="58"/>
      <c r="SNA2491" s="58"/>
      <c r="SNB2491" s="60"/>
      <c r="SNC2491" s="58"/>
      <c r="SND2491" s="58"/>
      <c r="SNE2491" s="58"/>
      <c r="SNF2491" s="61"/>
      <c r="SNG2491" s="58"/>
      <c r="SNH2491" s="58"/>
      <c r="SNI2491" s="58"/>
      <c r="SNJ2491" s="60"/>
      <c r="SNK2491" s="58"/>
      <c r="SNL2491" s="58"/>
      <c r="SNM2491" s="58"/>
      <c r="SNN2491" s="61"/>
      <c r="SNO2491" s="58"/>
      <c r="SNP2491" s="58"/>
      <c r="SNQ2491" s="58"/>
      <c r="SNR2491" s="60"/>
      <c r="SNS2491" s="58"/>
      <c r="SNT2491" s="58"/>
      <c r="SNU2491" s="58"/>
      <c r="SNV2491" s="61"/>
      <c r="SNW2491" s="58"/>
      <c r="SNX2491" s="58"/>
      <c r="SNY2491" s="58"/>
      <c r="SNZ2491" s="60"/>
      <c r="SOA2491" s="58"/>
      <c r="SOB2491" s="58"/>
      <c r="SOC2491" s="58"/>
      <c r="SOD2491" s="61"/>
      <c r="SOE2491" s="58"/>
      <c r="SOF2491" s="58"/>
      <c r="SOG2491" s="58"/>
      <c r="SOH2491" s="60"/>
      <c r="SOI2491" s="58"/>
      <c r="SOJ2491" s="58"/>
      <c r="SOK2491" s="58"/>
      <c r="SOL2491" s="61"/>
      <c r="SOM2491" s="58"/>
      <c r="SON2491" s="58"/>
      <c r="SOO2491" s="58"/>
      <c r="SOP2491" s="60"/>
      <c r="SOQ2491" s="58"/>
      <c r="SOR2491" s="58"/>
      <c r="SOS2491" s="58"/>
      <c r="SOT2491" s="61"/>
      <c r="SOU2491" s="58"/>
      <c r="SOV2491" s="58"/>
      <c r="SOW2491" s="58"/>
      <c r="SOX2491" s="60"/>
      <c r="SOY2491" s="58"/>
      <c r="SOZ2491" s="58"/>
      <c r="SPA2491" s="58"/>
      <c r="SPB2491" s="61"/>
      <c r="SPC2491" s="58"/>
      <c r="SPD2491" s="58"/>
      <c r="SPE2491" s="58"/>
      <c r="SPF2491" s="60"/>
      <c r="SPG2491" s="58"/>
      <c r="SPH2491" s="58"/>
      <c r="SPI2491" s="58"/>
      <c r="SPJ2491" s="61"/>
      <c r="SPK2491" s="58"/>
      <c r="SPL2491" s="58"/>
      <c r="SPM2491" s="58"/>
      <c r="SPN2491" s="60"/>
      <c r="SPO2491" s="58"/>
      <c r="SPP2491" s="58"/>
      <c r="SPQ2491" s="58"/>
      <c r="SPR2491" s="61"/>
      <c r="SPS2491" s="58"/>
      <c r="SPT2491" s="58"/>
      <c r="SPU2491" s="58"/>
      <c r="SPV2491" s="60"/>
      <c r="SPW2491" s="58"/>
      <c r="SPX2491" s="58"/>
      <c r="SPY2491" s="58"/>
      <c r="SPZ2491" s="61"/>
      <c r="SQA2491" s="58"/>
      <c r="SQB2491" s="58"/>
      <c r="SQC2491" s="58"/>
      <c r="SQD2491" s="60"/>
      <c r="SQE2491" s="58"/>
      <c r="SQF2491" s="58"/>
      <c r="SQG2491" s="58"/>
      <c r="SQH2491" s="61"/>
      <c r="SQI2491" s="58"/>
      <c r="SQJ2491" s="58"/>
      <c r="SQK2491" s="58"/>
      <c r="SQL2491" s="60"/>
      <c r="SQM2491" s="58"/>
      <c r="SQN2491" s="58"/>
      <c r="SQO2491" s="58"/>
      <c r="SQP2491" s="61"/>
      <c r="SQQ2491" s="58"/>
      <c r="SQR2491" s="58"/>
      <c r="SQS2491" s="58"/>
      <c r="SQT2491" s="60"/>
      <c r="SQU2491" s="58"/>
      <c r="SQV2491" s="58"/>
      <c r="SQW2491" s="58"/>
      <c r="SQX2491" s="61"/>
      <c r="SQY2491" s="58"/>
      <c r="SQZ2491" s="58"/>
      <c r="SRA2491" s="58"/>
      <c r="SRB2491" s="60"/>
      <c r="SRC2491" s="58"/>
      <c r="SRD2491" s="58"/>
      <c r="SRE2491" s="58"/>
      <c r="SRF2491" s="61"/>
      <c r="SRG2491" s="58"/>
      <c r="SRH2491" s="58"/>
      <c r="SRI2491" s="58"/>
      <c r="SRJ2491" s="60"/>
      <c r="SRK2491" s="58"/>
      <c r="SRL2491" s="58"/>
      <c r="SRM2491" s="58"/>
      <c r="SRN2491" s="61"/>
      <c r="SRO2491" s="58"/>
      <c r="SRP2491" s="58"/>
      <c r="SRQ2491" s="58"/>
      <c r="SRR2491" s="60"/>
      <c r="SRS2491" s="58"/>
      <c r="SRT2491" s="58"/>
      <c r="SRU2491" s="58"/>
      <c r="SRV2491" s="61"/>
      <c r="SRW2491" s="58"/>
      <c r="SRX2491" s="58"/>
      <c r="SRY2491" s="58"/>
      <c r="SRZ2491" s="60"/>
      <c r="SSA2491" s="58"/>
      <c r="SSB2491" s="58"/>
      <c r="SSC2491" s="58"/>
      <c r="SSD2491" s="61"/>
      <c r="SSE2491" s="58"/>
      <c r="SSF2491" s="58"/>
      <c r="SSG2491" s="58"/>
      <c r="SSH2491" s="60"/>
      <c r="SSI2491" s="58"/>
      <c r="SSJ2491" s="58"/>
      <c r="SSK2491" s="58"/>
      <c r="SSL2491" s="61"/>
      <c r="SSM2491" s="58"/>
      <c r="SSN2491" s="58"/>
      <c r="SSO2491" s="58"/>
      <c r="SSP2491" s="60"/>
      <c r="SSQ2491" s="58"/>
      <c r="SSR2491" s="58"/>
      <c r="SSS2491" s="58"/>
      <c r="SST2491" s="61"/>
      <c r="SSU2491" s="58"/>
      <c r="SSV2491" s="58"/>
      <c r="SSW2491" s="58"/>
      <c r="SSX2491" s="60"/>
      <c r="SSY2491" s="58"/>
      <c r="SSZ2491" s="58"/>
      <c r="STA2491" s="58"/>
      <c r="STB2491" s="61"/>
      <c r="STC2491" s="58"/>
      <c r="STD2491" s="58"/>
      <c r="STE2491" s="58"/>
      <c r="STF2491" s="60"/>
      <c r="STG2491" s="58"/>
      <c r="STH2491" s="58"/>
      <c r="STI2491" s="58"/>
      <c r="STJ2491" s="61"/>
      <c r="STK2491" s="58"/>
      <c r="STL2491" s="58"/>
      <c r="STM2491" s="58"/>
      <c r="STN2491" s="60"/>
      <c r="STO2491" s="58"/>
      <c r="STP2491" s="58"/>
      <c r="STQ2491" s="58"/>
      <c r="STR2491" s="61"/>
      <c r="STS2491" s="58"/>
      <c r="STT2491" s="58"/>
      <c r="STU2491" s="58"/>
      <c r="STV2491" s="60"/>
      <c r="STW2491" s="58"/>
      <c r="STX2491" s="58"/>
      <c r="STY2491" s="58"/>
      <c r="STZ2491" s="61"/>
      <c r="SUA2491" s="58"/>
      <c r="SUB2491" s="58"/>
      <c r="SUC2491" s="58"/>
      <c r="SUD2491" s="60"/>
      <c r="SUE2491" s="58"/>
      <c r="SUF2491" s="58"/>
      <c r="SUG2491" s="58"/>
      <c r="SUH2491" s="61"/>
      <c r="SUI2491" s="58"/>
      <c r="SUJ2491" s="58"/>
      <c r="SUK2491" s="58"/>
      <c r="SUL2491" s="60"/>
      <c r="SUM2491" s="58"/>
      <c r="SUN2491" s="58"/>
      <c r="SUO2491" s="58"/>
      <c r="SUP2491" s="61"/>
      <c r="SUQ2491" s="58"/>
      <c r="SUR2491" s="58"/>
      <c r="SUS2491" s="58"/>
      <c r="SUT2491" s="60"/>
      <c r="SUU2491" s="58"/>
      <c r="SUV2491" s="58"/>
      <c r="SUW2491" s="58"/>
      <c r="SUX2491" s="61"/>
      <c r="SUY2491" s="58"/>
      <c r="SUZ2491" s="58"/>
      <c r="SVA2491" s="58"/>
      <c r="SVB2491" s="60"/>
      <c r="SVC2491" s="58"/>
      <c r="SVD2491" s="58"/>
      <c r="SVE2491" s="58"/>
      <c r="SVF2491" s="61"/>
      <c r="SVG2491" s="58"/>
      <c r="SVH2491" s="58"/>
      <c r="SVI2491" s="58"/>
      <c r="SVJ2491" s="60"/>
      <c r="SVK2491" s="58"/>
      <c r="SVL2491" s="58"/>
      <c r="SVM2491" s="58"/>
      <c r="SVN2491" s="61"/>
      <c r="SVO2491" s="58"/>
      <c r="SVP2491" s="58"/>
      <c r="SVQ2491" s="58"/>
      <c r="SVR2491" s="60"/>
      <c r="SVS2491" s="58"/>
      <c r="SVT2491" s="58"/>
      <c r="SVU2491" s="58"/>
      <c r="SVV2491" s="61"/>
      <c r="SVW2491" s="58"/>
      <c r="SVX2491" s="58"/>
      <c r="SVY2491" s="58"/>
      <c r="SVZ2491" s="60"/>
      <c r="SWA2491" s="58"/>
      <c r="SWB2491" s="58"/>
      <c r="SWC2491" s="58"/>
      <c r="SWD2491" s="61"/>
      <c r="SWE2491" s="58"/>
      <c r="SWF2491" s="58"/>
      <c r="SWG2491" s="58"/>
      <c r="SWH2491" s="60"/>
      <c r="SWI2491" s="58"/>
      <c r="SWJ2491" s="58"/>
      <c r="SWK2491" s="58"/>
      <c r="SWL2491" s="61"/>
      <c r="SWM2491" s="58"/>
      <c r="SWN2491" s="58"/>
      <c r="SWO2491" s="58"/>
      <c r="SWP2491" s="60"/>
      <c r="SWQ2491" s="58"/>
      <c r="SWR2491" s="58"/>
      <c r="SWS2491" s="58"/>
      <c r="SWT2491" s="61"/>
      <c r="SWU2491" s="58"/>
      <c r="SWV2491" s="58"/>
      <c r="SWW2491" s="58"/>
      <c r="SWX2491" s="60"/>
      <c r="SWY2491" s="58"/>
      <c r="SWZ2491" s="58"/>
      <c r="SXA2491" s="58"/>
      <c r="SXB2491" s="61"/>
      <c r="SXC2491" s="58"/>
      <c r="SXD2491" s="58"/>
      <c r="SXE2491" s="58"/>
      <c r="SXF2491" s="60"/>
      <c r="SXG2491" s="58"/>
      <c r="SXH2491" s="58"/>
      <c r="SXI2491" s="58"/>
      <c r="SXJ2491" s="61"/>
      <c r="SXK2491" s="58"/>
      <c r="SXL2491" s="58"/>
      <c r="SXM2491" s="58"/>
      <c r="SXN2491" s="60"/>
      <c r="SXO2491" s="58"/>
      <c r="SXP2491" s="58"/>
      <c r="SXQ2491" s="58"/>
      <c r="SXR2491" s="61"/>
      <c r="SXS2491" s="58"/>
      <c r="SXT2491" s="58"/>
      <c r="SXU2491" s="58"/>
      <c r="SXV2491" s="60"/>
      <c r="SXW2491" s="58"/>
      <c r="SXX2491" s="58"/>
      <c r="SXY2491" s="58"/>
      <c r="SXZ2491" s="61"/>
      <c r="SYA2491" s="58"/>
      <c r="SYB2491" s="58"/>
      <c r="SYC2491" s="58"/>
      <c r="SYD2491" s="60"/>
      <c r="SYE2491" s="58"/>
      <c r="SYF2491" s="58"/>
      <c r="SYG2491" s="58"/>
      <c r="SYH2491" s="61"/>
      <c r="SYI2491" s="58"/>
      <c r="SYJ2491" s="58"/>
      <c r="SYK2491" s="58"/>
      <c r="SYL2491" s="60"/>
      <c r="SYM2491" s="58"/>
      <c r="SYN2491" s="58"/>
      <c r="SYO2491" s="58"/>
      <c r="SYP2491" s="61"/>
      <c r="SYQ2491" s="58"/>
      <c r="SYR2491" s="58"/>
      <c r="SYS2491" s="58"/>
      <c r="SYT2491" s="60"/>
      <c r="SYU2491" s="58"/>
      <c r="SYV2491" s="58"/>
      <c r="SYW2491" s="58"/>
      <c r="SYX2491" s="61"/>
      <c r="SYY2491" s="58"/>
      <c r="SYZ2491" s="58"/>
      <c r="SZA2491" s="58"/>
      <c r="SZB2491" s="60"/>
      <c r="SZC2491" s="58"/>
      <c r="SZD2491" s="58"/>
      <c r="SZE2491" s="58"/>
      <c r="SZF2491" s="61"/>
      <c r="SZG2491" s="58"/>
      <c r="SZH2491" s="58"/>
      <c r="SZI2491" s="58"/>
      <c r="SZJ2491" s="60"/>
      <c r="SZK2491" s="58"/>
      <c r="SZL2491" s="58"/>
      <c r="SZM2491" s="58"/>
      <c r="SZN2491" s="61"/>
      <c r="SZO2491" s="58"/>
      <c r="SZP2491" s="58"/>
      <c r="SZQ2491" s="58"/>
      <c r="SZR2491" s="60"/>
      <c r="SZS2491" s="58"/>
      <c r="SZT2491" s="58"/>
      <c r="SZU2491" s="58"/>
      <c r="SZV2491" s="61"/>
      <c r="SZW2491" s="58"/>
      <c r="SZX2491" s="58"/>
      <c r="SZY2491" s="58"/>
      <c r="SZZ2491" s="60"/>
      <c r="TAA2491" s="58"/>
      <c r="TAB2491" s="58"/>
      <c r="TAC2491" s="58"/>
      <c r="TAD2491" s="61"/>
      <c r="TAE2491" s="58"/>
      <c r="TAF2491" s="58"/>
      <c r="TAG2491" s="58"/>
      <c r="TAH2491" s="60"/>
      <c r="TAI2491" s="58"/>
      <c r="TAJ2491" s="58"/>
      <c r="TAK2491" s="58"/>
      <c r="TAL2491" s="61"/>
      <c r="TAM2491" s="58"/>
      <c r="TAN2491" s="58"/>
      <c r="TAO2491" s="58"/>
      <c r="TAP2491" s="60"/>
      <c r="TAQ2491" s="58"/>
      <c r="TAR2491" s="58"/>
      <c r="TAS2491" s="58"/>
      <c r="TAT2491" s="61"/>
      <c r="TAU2491" s="58"/>
      <c r="TAV2491" s="58"/>
      <c r="TAW2491" s="58"/>
      <c r="TAX2491" s="60"/>
      <c r="TAY2491" s="58"/>
      <c r="TAZ2491" s="58"/>
      <c r="TBA2491" s="58"/>
      <c r="TBB2491" s="61"/>
      <c r="TBC2491" s="58"/>
      <c r="TBD2491" s="58"/>
      <c r="TBE2491" s="58"/>
      <c r="TBF2491" s="60"/>
      <c r="TBG2491" s="58"/>
      <c r="TBH2491" s="58"/>
      <c r="TBI2491" s="58"/>
      <c r="TBJ2491" s="61"/>
      <c r="TBK2491" s="58"/>
      <c r="TBL2491" s="58"/>
      <c r="TBM2491" s="58"/>
      <c r="TBN2491" s="60"/>
      <c r="TBO2491" s="58"/>
      <c r="TBP2491" s="58"/>
      <c r="TBQ2491" s="58"/>
      <c r="TBR2491" s="61"/>
      <c r="TBS2491" s="58"/>
      <c r="TBT2491" s="58"/>
      <c r="TBU2491" s="58"/>
      <c r="TBV2491" s="60"/>
      <c r="TBW2491" s="58"/>
      <c r="TBX2491" s="58"/>
      <c r="TBY2491" s="58"/>
      <c r="TBZ2491" s="61"/>
      <c r="TCA2491" s="58"/>
      <c r="TCB2491" s="58"/>
      <c r="TCC2491" s="58"/>
      <c r="TCD2491" s="60"/>
      <c r="TCE2491" s="58"/>
      <c r="TCF2491" s="58"/>
      <c r="TCG2491" s="58"/>
      <c r="TCH2491" s="61"/>
      <c r="TCI2491" s="58"/>
      <c r="TCJ2491" s="58"/>
      <c r="TCK2491" s="58"/>
      <c r="TCL2491" s="60"/>
      <c r="TCM2491" s="58"/>
      <c r="TCN2491" s="58"/>
      <c r="TCO2491" s="58"/>
      <c r="TCP2491" s="61"/>
      <c r="TCQ2491" s="58"/>
      <c r="TCR2491" s="58"/>
      <c r="TCS2491" s="58"/>
      <c r="TCT2491" s="60"/>
      <c r="TCU2491" s="58"/>
      <c r="TCV2491" s="58"/>
      <c r="TCW2491" s="58"/>
      <c r="TCX2491" s="61"/>
      <c r="TCY2491" s="58"/>
      <c r="TCZ2491" s="58"/>
      <c r="TDA2491" s="58"/>
      <c r="TDB2491" s="60"/>
      <c r="TDC2491" s="58"/>
      <c r="TDD2491" s="58"/>
      <c r="TDE2491" s="58"/>
      <c r="TDF2491" s="61"/>
      <c r="TDG2491" s="58"/>
      <c r="TDH2491" s="58"/>
      <c r="TDI2491" s="58"/>
      <c r="TDJ2491" s="60"/>
      <c r="TDK2491" s="58"/>
      <c r="TDL2491" s="58"/>
      <c r="TDM2491" s="58"/>
      <c r="TDN2491" s="61"/>
      <c r="TDO2491" s="58"/>
      <c r="TDP2491" s="58"/>
      <c r="TDQ2491" s="58"/>
      <c r="TDR2491" s="60"/>
      <c r="TDS2491" s="58"/>
      <c r="TDT2491" s="58"/>
      <c r="TDU2491" s="58"/>
      <c r="TDV2491" s="61"/>
      <c r="TDW2491" s="58"/>
      <c r="TDX2491" s="58"/>
      <c r="TDY2491" s="58"/>
      <c r="TDZ2491" s="60"/>
      <c r="TEA2491" s="58"/>
      <c r="TEB2491" s="58"/>
      <c r="TEC2491" s="58"/>
      <c r="TED2491" s="61"/>
      <c r="TEE2491" s="58"/>
      <c r="TEF2491" s="58"/>
      <c r="TEG2491" s="58"/>
      <c r="TEH2491" s="60"/>
      <c r="TEI2491" s="58"/>
      <c r="TEJ2491" s="58"/>
      <c r="TEK2491" s="58"/>
      <c r="TEL2491" s="61"/>
      <c r="TEM2491" s="58"/>
      <c r="TEN2491" s="58"/>
      <c r="TEO2491" s="58"/>
      <c r="TEP2491" s="60"/>
      <c r="TEQ2491" s="58"/>
      <c r="TER2491" s="58"/>
      <c r="TES2491" s="58"/>
      <c r="TET2491" s="61"/>
      <c r="TEU2491" s="58"/>
      <c r="TEV2491" s="58"/>
      <c r="TEW2491" s="58"/>
      <c r="TEX2491" s="60"/>
      <c r="TEY2491" s="58"/>
      <c r="TEZ2491" s="58"/>
      <c r="TFA2491" s="58"/>
      <c r="TFB2491" s="61"/>
      <c r="TFC2491" s="58"/>
      <c r="TFD2491" s="58"/>
      <c r="TFE2491" s="58"/>
      <c r="TFF2491" s="60"/>
      <c r="TFG2491" s="58"/>
      <c r="TFH2491" s="58"/>
      <c r="TFI2491" s="58"/>
      <c r="TFJ2491" s="61"/>
      <c r="TFK2491" s="58"/>
      <c r="TFL2491" s="58"/>
      <c r="TFM2491" s="58"/>
      <c r="TFN2491" s="60"/>
      <c r="TFO2491" s="58"/>
      <c r="TFP2491" s="58"/>
      <c r="TFQ2491" s="58"/>
      <c r="TFR2491" s="61"/>
      <c r="TFS2491" s="58"/>
      <c r="TFT2491" s="58"/>
      <c r="TFU2491" s="58"/>
      <c r="TFV2491" s="60"/>
      <c r="TFW2491" s="58"/>
      <c r="TFX2491" s="58"/>
      <c r="TFY2491" s="58"/>
      <c r="TFZ2491" s="61"/>
      <c r="TGA2491" s="58"/>
      <c r="TGB2491" s="58"/>
      <c r="TGC2491" s="58"/>
      <c r="TGD2491" s="60"/>
      <c r="TGE2491" s="58"/>
      <c r="TGF2491" s="58"/>
      <c r="TGG2491" s="58"/>
      <c r="TGH2491" s="61"/>
      <c r="TGI2491" s="58"/>
      <c r="TGJ2491" s="58"/>
      <c r="TGK2491" s="58"/>
      <c r="TGL2491" s="60"/>
      <c r="TGM2491" s="58"/>
      <c r="TGN2491" s="58"/>
      <c r="TGO2491" s="58"/>
      <c r="TGP2491" s="61"/>
      <c r="TGQ2491" s="58"/>
      <c r="TGR2491" s="58"/>
      <c r="TGS2491" s="58"/>
      <c r="TGT2491" s="60"/>
      <c r="TGU2491" s="58"/>
      <c r="TGV2491" s="58"/>
      <c r="TGW2491" s="58"/>
      <c r="TGX2491" s="61"/>
      <c r="TGY2491" s="58"/>
      <c r="TGZ2491" s="58"/>
      <c r="THA2491" s="58"/>
      <c r="THB2491" s="60"/>
      <c r="THC2491" s="58"/>
      <c r="THD2491" s="58"/>
      <c r="THE2491" s="58"/>
      <c r="THF2491" s="61"/>
      <c r="THG2491" s="58"/>
      <c r="THH2491" s="58"/>
      <c r="THI2491" s="58"/>
      <c r="THJ2491" s="60"/>
      <c r="THK2491" s="58"/>
      <c r="THL2491" s="58"/>
      <c r="THM2491" s="58"/>
      <c r="THN2491" s="61"/>
      <c r="THO2491" s="58"/>
      <c r="THP2491" s="58"/>
      <c r="THQ2491" s="58"/>
      <c r="THR2491" s="60"/>
      <c r="THS2491" s="58"/>
      <c r="THT2491" s="58"/>
      <c r="THU2491" s="58"/>
      <c r="THV2491" s="61"/>
      <c r="THW2491" s="58"/>
      <c r="THX2491" s="58"/>
      <c r="THY2491" s="58"/>
      <c r="THZ2491" s="60"/>
      <c r="TIA2491" s="58"/>
      <c r="TIB2491" s="58"/>
      <c r="TIC2491" s="58"/>
      <c r="TID2491" s="61"/>
      <c r="TIE2491" s="58"/>
      <c r="TIF2491" s="58"/>
      <c r="TIG2491" s="58"/>
      <c r="TIH2491" s="60"/>
      <c r="TII2491" s="58"/>
      <c r="TIJ2491" s="58"/>
      <c r="TIK2491" s="58"/>
      <c r="TIL2491" s="61"/>
      <c r="TIM2491" s="58"/>
      <c r="TIN2491" s="58"/>
      <c r="TIO2491" s="58"/>
      <c r="TIP2491" s="60"/>
      <c r="TIQ2491" s="58"/>
      <c r="TIR2491" s="58"/>
      <c r="TIS2491" s="58"/>
      <c r="TIT2491" s="61"/>
      <c r="TIU2491" s="58"/>
      <c r="TIV2491" s="58"/>
      <c r="TIW2491" s="58"/>
      <c r="TIX2491" s="60"/>
      <c r="TIY2491" s="58"/>
      <c r="TIZ2491" s="58"/>
      <c r="TJA2491" s="58"/>
      <c r="TJB2491" s="61"/>
      <c r="TJC2491" s="58"/>
      <c r="TJD2491" s="58"/>
      <c r="TJE2491" s="58"/>
      <c r="TJF2491" s="60"/>
      <c r="TJG2491" s="58"/>
      <c r="TJH2491" s="58"/>
      <c r="TJI2491" s="58"/>
      <c r="TJJ2491" s="61"/>
      <c r="TJK2491" s="58"/>
      <c r="TJL2491" s="58"/>
      <c r="TJM2491" s="58"/>
      <c r="TJN2491" s="60"/>
      <c r="TJO2491" s="58"/>
      <c r="TJP2491" s="58"/>
      <c r="TJQ2491" s="58"/>
      <c r="TJR2491" s="61"/>
      <c r="TJS2491" s="58"/>
      <c r="TJT2491" s="58"/>
      <c r="TJU2491" s="58"/>
      <c r="TJV2491" s="60"/>
      <c r="TJW2491" s="58"/>
      <c r="TJX2491" s="58"/>
      <c r="TJY2491" s="58"/>
      <c r="TJZ2491" s="61"/>
      <c r="TKA2491" s="58"/>
      <c r="TKB2491" s="58"/>
      <c r="TKC2491" s="58"/>
      <c r="TKD2491" s="60"/>
      <c r="TKE2491" s="58"/>
      <c r="TKF2491" s="58"/>
      <c r="TKG2491" s="58"/>
      <c r="TKH2491" s="61"/>
      <c r="TKI2491" s="58"/>
      <c r="TKJ2491" s="58"/>
      <c r="TKK2491" s="58"/>
      <c r="TKL2491" s="60"/>
      <c r="TKM2491" s="58"/>
      <c r="TKN2491" s="58"/>
      <c r="TKO2491" s="58"/>
      <c r="TKP2491" s="61"/>
      <c r="TKQ2491" s="58"/>
      <c r="TKR2491" s="58"/>
      <c r="TKS2491" s="58"/>
      <c r="TKT2491" s="60"/>
      <c r="TKU2491" s="58"/>
      <c r="TKV2491" s="58"/>
      <c r="TKW2491" s="58"/>
      <c r="TKX2491" s="61"/>
      <c r="TKY2491" s="58"/>
      <c r="TKZ2491" s="58"/>
      <c r="TLA2491" s="58"/>
      <c r="TLB2491" s="60"/>
      <c r="TLC2491" s="58"/>
      <c r="TLD2491" s="58"/>
      <c r="TLE2491" s="58"/>
      <c r="TLF2491" s="61"/>
      <c r="TLG2491" s="58"/>
      <c r="TLH2491" s="58"/>
      <c r="TLI2491" s="58"/>
      <c r="TLJ2491" s="60"/>
      <c r="TLK2491" s="58"/>
      <c r="TLL2491" s="58"/>
      <c r="TLM2491" s="58"/>
      <c r="TLN2491" s="61"/>
      <c r="TLO2491" s="58"/>
      <c r="TLP2491" s="58"/>
      <c r="TLQ2491" s="58"/>
      <c r="TLR2491" s="60"/>
      <c r="TLS2491" s="58"/>
      <c r="TLT2491" s="58"/>
      <c r="TLU2491" s="58"/>
      <c r="TLV2491" s="61"/>
      <c r="TLW2491" s="58"/>
      <c r="TLX2491" s="58"/>
      <c r="TLY2491" s="58"/>
      <c r="TLZ2491" s="60"/>
      <c r="TMA2491" s="58"/>
      <c r="TMB2491" s="58"/>
      <c r="TMC2491" s="58"/>
      <c r="TMD2491" s="61"/>
      <c r="TME2491" s="58"/>
      <c r="TMF2491" s="58"/>
      <c r="TMG2491" s="58"/>
      <c r="TMH2491" s="60"/>
      <c r="TMI2491" s="58"/>
      <c r="TMJ2491" s="58"/>
      <c r="TMK2491" s="58"/>
      <c r="TML2491" s="61"/>
      <c r="TMM2491" s="58"/>
      <c r="TMN2491" s="58"/>
      <c r="TMO2491" s="58"/>
      <c r="TMP2491" s="60"/>
      <c r="TMQ2491" s="58"/>
      <c r="TMR2491" s="58"/>
      <c r="TMS2491" s="58"/>
      <c r="TMT2491" s="61"/>
      <c r="TMU2491" s="58"/>
      <c r="TMV2491" s="58"/>
      <c r="TMW2491" s="58"/>
      <c r="TMX2491" s="60"/>
      <c r="TMY2491" s="58"/>
      <c r="TMZ2491" s="58"/>
      <c r="TNA2491" s="58"/>
      <c r="TNB2491" s="61"/>
      <c r="TNC2491" s="58"/>
      <c r="TND2491" s="58"/>
      <c r="TNE2491" s="58"/>
      <c r="TNF2491" s="60"/>
      <c r="TNG2491" s="58"/>
      <c r="TNH2491" s="58"/>
      <c r="TNI2491" s="58"/>
      <c r="TNJ2491" s="61"/>
      <c r="TNK2491" s="58"/>
      <c r="TNL2491" s="58"/>
      <c r="TNM2491" s="58"/>
      <c r="TNN2491" s="60"/>
      <c r="TNO2491" s="58"/>
      <c r="TNP2491" s="58"/>
      <c r="TNQ2491" s="58"/>
      <c r="TNR2491" s="61"/>
      <c r="TNS2491" s="58"/>
      <c r="TNT2491" s="58"/>
      <c r="TNU2491" s="58"/>
      <c r="TNV2491" s="60"/>
      <c r="TNW2491" s="58"/>
      <c r="TNX2491" s="58"/>
      <c r="TNY2491" s="58"/>
      <c r="TNZ2491" s="61"/>
      <c r="TOA2491" s="58"/>
      <c r="TOB2491" s="58"/>
      <c r="TOC2491" s="58"/>
      <c r="TOD2491" s="60"/>
      <c r="TOE2491" s="58"/>
      <c r="TOF2491" s="58"/>
      <c r="TOG2491" s="58"/>
      <c r="TOH2491" s="61"/>
      <c r="TOI2491" s="58"/>
      <c r="TOJ2491" s="58"/>
      <c r="TOK2491" s="58"/>
      <c r="TOL2491" s="60"/>
      <c r="TOM2491" s="58"/>
      <c r="TON2491" s="58"/>
      <c r="TOO2491" s="58"/>
      <c r="TOP2491" s="61"/>
      <c r="TOQ2491" s="58"/>
      <c r="TOR2491" s="58"/>
      <c r="TOS2491" s="58"/>
      <c r="TOT2491" s="60"/>
      <c r="TOU2491" s="58"/>
      <c r="TOV2491" s="58"/>
      <c r="TOW2491" s="58"/>
      <c r="TOX2491" s="61"/>
      <c r="TOY2491" s="58"/>
      <c r="TOZ2491" s="58"/>
      <c r="TPA2491" s="58"/>
      <c r="TPB2491" s="60"/>
      <c r="TPC2491" s="58"/>
      <c r="TPD2491" s="58"/>
      <c r="TPE2491" s="58"/>
      <c r="TPF2491" s="61"/>
      <c r="TPG2491" s="58"/>
      <c r="TPH2491" s="58"/>
      <c r="TPI2491" s="58"/>
      <c r="TPJ2491" s="60"/>
      <c r="TPK2491" s="58"/>
      <c r="TPL2491" s="58"/>
      <c r="TPM2491" s="58"/>
      <c r="TPN2491" s="61"/>
      <c r="TPO2491" s="58"/>
      <c r="TPP2491" s="58"/>
      <c r="TPQ2491" s="58"/>
      <c r="TPR2491" s="60"/>
      <c r="TPS2491" s="58"/>
      <c r="TPT2491" s="58"/>
      <c r="TPU2491" s="58"/>
      <c r="TPV2491" s="61"/>
      <c r="TPW2491" s="58"/>
      <c r="TPX2491" s="58"/>
      <c r="TPY2491" s="58"/>
      <c r="TPZ2491" s="60"/>
      <c r="TQA2491" s="58"/>
      <c r="TQB2491" s="58"/>
      <c r="TQC2491" s="58"/>
      <c r="TQD2491" s="61"/>
      <c r="TQE2491" s="58"/>
      <c r="TQF2491" s="58"/>
      <c r="TQG2491" s="58"/>
      <c r="TQH2491" s="60"/>
      <c r="TQI2491" s="58"/>
      <c r="TQJ2491" s="58"/>
      <c r="TQK2491" s="58"/>
      <c r="TQL2491" s="61"/>
      <c r="TQM2491" s="58"/>
      <c r="TQN2491" s="58"/>
      <c r="TQO2491" s="58"/>
      <c r="TQP2491" s="60"/>
      <c r="TQQ2491" s="58"/>
      <c r="TQR2491" s="58"/>
      <c r="TQS2491" s="58"/>
      <c r="TQT2491" s="61"/>
      <c r="TQU2491" s="58"/>
      <c r="TQV2491" s="58"/>
      <c r="TQW2491" s="58"/>
      <c r="TQX2491" s="60"/>
      <c r="TQY2491" s="58"/>
      <c r="TQZ2491" s="58"/>
      <c r="TRA2491" s="58"/>
      <c r="TRB2491" s="61"/>
      <c r="TRC2491" s="58"/>
      <c r="TRD2491" s="58"/>
      <c r="TRE2491" s="58"/>
      <c r="TRF2491" s="60"/>
      <c r="TRG2491" s="58"/>
      <c r="TRH2491" s="58"/>
      <c r="TRI2491" s="58"/>
      <c r="TRJ2491" s="61"/>
      <c r="TRK2491" s="58"/>
      <c r="TRL2491" s="58"/>
      <c r="TRM2491" s="58"/>
      <c r="TRN2491" s="60"/>
      <c r="TRO2491" s="58"/>
      <c r="TRP2491" s="58"/>
      <c r="TRQ2491" s="58"/>
      <c r="TRR2491" s="61"/>
      <c r="TRS2491" s="58"/>
      <c r="TRT2491" s="58"/>
      <c r="TRU2491" s="58"/>
      <c r="TRV2491" s="60"/>
      <c r="TRW2491" s="58"/>
      <c r="TRX2491" s="58"/>
      <c r="TRY2491" s="58"/>
      <c r="TRZ2491" s="61"/>
      <c r="TSA2491" s="58"/>
      <c r="TSB2491" s="58"/>
      <c r="TSC2491" s="58"/>
      <c r="TSD2491" s="60"/>
      <c r="TSE2491" s="58"/>
      <c r="TSF2491" s="58"/>
      <c r="TSG2491" s="58"/>
      <c r="TSH2491" s="61"/>
      <c r="TSI2491" s="58"/>
      <c r="TSJ2491" s="58"/>
      <c r="TSK2491" s="58"/>
      <c r="TSL2491" s="60"/>
      <c r="TSM2491" s="58"/>
      <c r="TSN2491" s="58"/>
      <c r="TSO2491" s="58"/>
      <c r="TSP2491" s="61"/>
      <c r="TSQ2491" s="58"/>
      <c r="TSR2491" s="58"/>
      <c r="TSS2491" s="58"/>
      <c r="TST2491" s="60"/>
      <c r="TSU2491" s="58"/>
      <c r="TSV2491" s="58"/>
      <c r="TSW2491" s="58"/>
      <c r="TSX2491" s="61"/>
      <c r="TSY2491" s="58"/>
      <c r="TSZ2491" s="58"/>
      <c r="TTA2491" s="58"/>
      <c r="TTB2491" s="60"/>
      <c r="TTC2491" s="58"/>
      <c r="TTD2491" s="58"/>
      <c r="TTE2491" s="58"/>
      <c r="TTF2491" s="61"/>
      <c r="TTG2491" s="58"/>
      <c r="TTH2491" s="58"/>
      <c r="TTI2491" s="58"/>
      <c r="TTJ2491" s="60"/>
      <c r="TTK2491" s="58"/>
      <c r="TTL2491" s="58"/>
      <c r="TTM2491" s="58"/>
      <c r="TTN2491" s="61"/>
      <c r="TTO2491" s="58"/>
      <c r="TTP2491" s="58"/>
      <c r="TTQ2491" s="58"/>
      <c r="TTR2491" s="60"/>
      <c r="TTS2491" s="58"/>
      <c r="TTT2491" s="58"/>
      <c r="TTU2491" s="58"/>
      <c r="TTV2491" s="61"/>
      <c r="TTW2491" s="58"/>
      <c r="TTX2491" s="58"/>
      <c r="TTY2491" s="58"/>
      <c r="TTZ2491" s="60"/>
      <c r="TUA2491" s="58"/>
      <c r="TUB2491" s="58"/>
      <c r="TUC2491" s="58"/>
      <c r="TUD2491" s="61"/>
      <c r="TUE2491" s="58"/>
      <c r="TUF2491" s="58"/>
      <c r="TUG2491" s="58"/>
      <c r="TUH2491" s="60"/>
      <c r="TUI2491" s="58"/>
      <c r="TUJ2491" s="58"/>
      <c r="TUK2491" s="58"/>
      <c r="TUL2491" s="61"/>
      <c r="TUM2491" s="58"/>
      <c r="TUN2491" s="58"/>
      <c r="TUO2491" s="58"/>
      <c r="TUP2491" s="60"/>
      <c r="TUQ2491" s="58"/>
      <c r="TUR2491" s="58"/>
      <c r="TUS2491" s="58"/>
      <c r="TUT2491" s="61"/>
      <c r="TUU2491" s="58"/>
      <c r="TUV2491" s="58"/>
      <c r="TUW2491" s="58"/>
      <c r="TUX2491" s="60"/>
      <c r="TUY2491" s="58"/>
      <c r="TUZ2491" s="58"/>
      <c r="TVA2491" s="58"/>
      <c r="TVB2491" s="61"/>
      <c r="TVC2491" s="58"/>
      <c r="TVD2491" s="58"/>
      <c r="TVE2491" s="58"/>
      <c r="TVF2491" s="60"/>
      <c r="TVG2491" s="58"/>
      <c r="TVH2491" s="58"/>
      <c r="TVI2491" s="58"/>
      <c r="TVJ2491" s="61"/>
      <c r="TVK2491" s="58"/>
      <c r="TVL2491" s="58"/>
      <c r="TVM2491" s="58"/>
      <c r="TVN2491" s="60"/>
      <c r="TVO2491" s="58"/>
      <c r="TVP2491" s="58"/>
      <c r="TVQ2491" s="58"/>
      <c r="TVR2491" s="61"/>
      <c r="TVS2491" s="58"/>
      <c r="TVT2491" s="58"/>
      <c r="TVU2491" s="58"/>
      <c r="TVV2491" s="60"/>
      <c r="TVW2491" s="58"/>
      <c r="TVX2491" s="58"/>
      <c r="TVY2491" s="58"/>
      <c r="TVZ2491" s="61"/>
      <c r="TWA2491" s="58"/>
      <c r="TWB2491" s="58"/>
      <c r="TWC2491" s="58"/>
      <c r="TWD2491" s="60"/>
      <c r="TWE2491" s="58"/>
      <c r="TWF2491" s="58"/>
      <c r="TWG2491" s="58"/>
      <c r="TWH2491" s="61"/>
      <c r="TWI2491" s="58"/>
      <c r="TWJ2491" s="58"/>
      <c r="TWK2491" s="58"/>
      <c r="TWL2491" s="60"/>
      <c r="TWM2491" s="58"/>
      <c r="TWN2491" s="58"/>
      <c r="TWO2491" s="58"/>
      <c r="TWP2491" s="61"/>
      <c r="TWQ2491" s="58"/>
      <c r="TWR2491" s="58"/>
      <c r="TWS2491" s="58"/>
      <c r="TWT2491" s="60"/>
      <c r="TWU2491" s="58"/>
      <c r="TWV2491" s="58"/>
      <c r="TWW2491" s="58"/>
      <c r="TWX2491" s="61"/>
      <c r="TWY2491" s="58"/>
      <c r="TWZ2491" s="58"/>
      <c r="TXA2491" s="58"/>
      <c r="TXB2491" s="60"/>
      <c r="TXC2491" s="58"/>
      <c r="TXD2491" s="58"/>
      <c r="TXE2491" s="58"/>
      <c r="TXF2491" s="61"/>
      <c r="TXG2491" s="58"/>
      <c r="TXH2491" s="58"/>
      <c r="TXI2491" s="58"/>
      <c r="TXJ2491" s="60"/>
      <c r="TXK2491" s="58"/>
      <c r="TXL2491" s="58"/>
      <c r="TXM2491" s="58"/>
      <c r="TXN2491" s="61"/>
      <c r="TXO2491" s="58"/>
      <c r="TXP2491" s="58"/>
      <c r="TXQ2491" s="58"/>
      <c r="TXR2491" s="60"/>
      <c r="TXS2491" s="58"/>
      <c r="TXT2491" s="58"/>
      <c r="TXU2491" s="58"/>
      <c r="TXV2491" s="61"/>
      <c r="TXW2491" s="58"/>
      <c r="TXX2491" s="58"/>
      <c r="TXY2491" s="58"/>
      <c r="TXZ2491" s="60"/>
      <c r="TYA2491" s="58"/>
      <c r="TYB2491" s="58"/>
      <c r="TYC2491" s="58"/>
      <c r="TYD2491" s="61"/>
      <c r="TYE2491" s="58"/>
      <c r="TYF2491" s="58"/>
      <c r="TYG2491" s="58"/>
      <c r="TYH2491" s="60"/>
      <c r="TYI2491" s="58"/>
      <c r="TYJ2491" s="58"/>
      <c r="TYK2491" s="58"/>
      <c r="TYL2491" s="61"/>
      <c r="TYM2491" s="58"/>
      <c r="TYN2491" s="58"/>
      <c r="TYO2491" s="58"/>
      <c r="TYP2491" s="60"/>
      <c r="TYQ2491" s="58"/>
      <c r="TYR2491" s="58"/>
      <c r="TYS2491" s="58"/>
      <c r="TYT2491" s="61"/>
      <c r="TYU2491" s="58"/>
      <c r="TYV2491" s="58"/>
      <c r="TYW2491" s="58"/>
      <c r="TYX2491" s="60"/>
      <c r="TYY2491" s="58"/>
      <c r="TYZ2491" s="58"/>
      <c r="TZA2491" s="58"/>
      <c r="TZB2491" s="61"/>
      <c r="TZC2491" s="58"/>
      <c r="TZD2491" s="58"/>
      <c r="TZE2491" s="58"/>
      <c r="TZF2491" s="60"/>
      <c r="TZG2491" s="58"/>
      <c r="TZH2491" s="58"/>
      <c r="TZI2491" s="58"/>
      <c r="TZJ2491" s="61"/>
      <c r="TZK2491" s="58"/>
      <c r="TZL2491" s="58"/>
      <c r="TZM2491" s="58"/>
      <c r="TZN2491" s="60"/>
      <c r="TZO2491" s="58"/>
      <c r="TZP2491" s="58"/>
      <c r="TZQ2491" s="58"/>
      <c r="TZR2491" s="61"/>
      <c r="TZS2491" s="58"/>
      <c r="TZT2491" s="58"/>
      <c r="TZU2491" s="58"/>
      <c r="TZV2491" s="60"/>
      <c r="TZW2491" s="58"/>
      <c r="TZX2491" s="58"/>
      <c r="TZY2491" s="58"/>
      <c r="TZZ2491" s="61"/>
      <c r="UAA2491" s="58"/>
      <c r="UAB2491" s="58"/>
      <c r="UAC2491" s="58"/>
      <c r="UAD2491" s="60"/>
      <c r="UAE2491" s="58"/>
      <c r="UAF2491" s="58"/>
      <c r="UAG2491" s="58"/>
      <c r="UAH2491" s="61"/>
      <c r="UAI2491" s="58"/>
      <c r="UAJ2491" s="58"/>
      <c r="UAK2491" s="58"/>
      <c r="UAL2491" s="60"/>
      <c r="UAM2491" s="58"/>
      <c r="UAN2491" s="58"/>
      <c r="UAO2491" s="58"/>
      <c r="UAP2491" s="61"/>
      <c r="UAQ2491" s="58"/>
      <c r="UAR2491" s="58"/>
      <c r="UAS2491" s="58"/>
      <c r="UAT2491" s="60"/>
      <c r="UAU2491" s="58"/>
      <c r="UAV2491" s="58"/>
      <c r="UAW2491" s="58"/>
      <c r="UAX2491" s="61"/>
      <c r="UAY2491" s="58"/>
      <c r="UAZ2491" s="58"/>
      <c r="UBA2491" s="58"/>
      <c r="UBB2491" s="60"/>
      <c r="UBC2491" s="58"/>
      <c r="UBD2491" s="58"/>
      <c r="UBE2491" s="58"/>
      <c r="UBF2491" s="61"/>
      <c r="UBG2491" s="58"/>
      <c r="UBH2491" s="58"/>
      <c r="UBI2491" s="58"/>
      <c r="UBJ2491" s="60"/>
      <c r="UBK2491" s="58"/>
      <c r="UBL2491" s="58"/>
      <c r="UBM2491" s="58"/>
      <c r="UBN2491" s="61"/>
      <c r="UBO2491" s="58"/>
      <c r="UBP2491" s="58"/>
      <c r="UBQ2491" s="58"/>
      <c r="UBR2491" s="60"/>
      <c r="UBS2491" s="58"/>
      <c r="UBT2491" s="58"/>
      <c r="UBU2491" s="58"/>
      <c r="UBV2491" s="61"/>
      <c r="UBW2491" s="58"/>
      <c r="UBX2491" s="58"/>
      <c r="UBY2491" s="58"/>
      <c r="UBZ2491" s="60"/>
      <c r="UCA2491" s="58"/>
      <c r="UCB2491" s="58"/>
      <c r="UCC2491" s="58"/>
      <c r="UCD2491" s="61"/>
      <c r="UCE2491" s="58"/>
      <c r="UCF2491" s="58"/>
      <c r="UCG2491" s="58"/>
      <c r="UCH2491" s="60"/>
      <c r="UCI2491" s="58"/>
      <c r="UCJ2491" s="58"/>
      <c r="UCK2491" s="58"/>
      <c r="UCL2491" s="61"/>
      <c r="UCM2491" s="58"/>
      <c r="UCN2491" s="58"/>
      <c r="UCO2491" s="58"/>
      <c r="UCP2491" s="60"/>
      <c r="UCQ2491" s="58"/>
      <c r="UCR2491" s="58"/>
      <c r="UCS2491" s="58"/>
      <c r="UCT2491" s="61"/>
      <c r="UCU2491" s="58"/>
      <c r="UCV2491" s="58"/>
      <c r="UCW2491" s="58"/>
      <c r="UCX2491" s="60"/>
      <c r="UCY2491" s="58"/>
      <c r="UCZ2491" s="58"/>
      <c r="UDA2491" s="58"/>
      <c r="UDB2491" s="61"/>
      <c r="UDC2491" s="58"/>
      <c r="UDD2491" s="58"/>
      <c r="UDE2491" s="58"/>
      <c r="UDF2491" s="60"/>
      <c r="UDG2491" s="58"/>
      <c r="UDH2491" s="58"/>
      <c r="UDI2491" s="58"/>
      <c r="UDJ2491" s="61"/>
      <c r="UDK2491" s="58"/>
      <c r="UDL2491" s="58"/>
      <c r="UDM2491" s="58"/>
      <c r="UDN2491" s="60"/>
      <c r="UDO2491" s="58"/>
      <c r="UDP2491" s="58"/>
      <c r="UDQ2491" s="58"/>
      <c r="UDR2491" s="61"/>
      <c r="UDS2491" s="58"/>
      <c r="UDT2491" s="58"/>
      <c r="UDU2491" s="58"/>
      <c r="UDV2491" s="60"/>
      <c r="UDW2491" s="58"/>
      <c r="UDX2491" s="58"/>
      <c r="UDY2491" s="58"/>
      <c r="UDZ2491" s="61"/>
      <c r="UEA2491" s="58"/>
      <c r="UEB2491" s="58"/>
      <c r="UEC2491" s="58"/>
      <c r="UED2491" s="60"/>
      <c r="UEE2491" s="58"/>
      <c r="UEF2491" s="58"/>
      <c r="UEG2491" s="58"/>
      <c r="UEH2491" s="61"/>
      <c r="UEI2491" s="58"/>
      <c r="UEJ2491" s="58"/>
      <c r="UEK2491" s="58"/>
      <c r="UEL2491" s="60"/>
      <c r="UEM2491" s="58"/>
      <c r="UEN2491" s="58"/>
      <c r="UEO2491" s="58"/>
      <c r="UEP2491" s="61"/>
      <c r="UEQ2491" s="58"/>
      <c r="UER2491" s="58"/>
      <c r="UES2491" s="58"/>
      <c r="UET2491" s="60"/>
      <c r="UEU2491" s="58"/>
      <c r="UEV2491" s="58"/>
      <c r="UEW2491" s="58"/>
      <c r="UEX2491" s="61"/>
      <c r="UEY2491" s="58"/>
      <c r="UEZ2491" s="58"/>
      <c r="UFA2491" s="58"/>
      <c r="UFB2491" s="60"/>
      <c r="UFC2491" s="58"/>
      <c r="UFD2491" s="58"/>
      <c r="UFE2491" s="58"/>
      <c r="UFF2491" s="61"/>
      <c r="UFG2491" s="58"/>
      <c r="UFH2491" s="58"/>
      <c r="UFI2491" s="58"/>
      <c r="UFJ2491" s="60"/>
      <c r="UFK2491" s="58"/>
      <c r="UFL2491" s="58"/>
      <c r="UFM2491" s="58"/>
      <c r="UFN2491" s="61"/>
      <c r="UFO2491" s="58"/>
      <c r="UFP2491" s="58"/>
      <c r="UFQ2491" s="58"/>
      <c r="UFR2491" s="60"/>
      <c r="UFS2491" s="58"/>
      <c r="UFT2491" s="58"/>
      <c r="UFU2491" s="58"/>
      <c r="UFV2491" s="61"/>
      <c r="UFW2491" s="58"/>
      <c r="UFX2491" s="58"/>
      <c r="UFY2491" s="58"/>
      <c r="UFZ2491" s="60"/>
      <c r="UGA2491" s="58"/>
      <c r="UGB2491" s="58"/>
      <c r="UGC2491" s="58"/>
      <c r="UGD2491" s="61"/>
      <c r="UGE2491" s="58"/>
      <c r="UGF2491" s="58"/>
      <c r="UGG2491" s="58"/>
      <c r="UGH2491" s="60"/>
      <c r="UGI2491" s="58"/>
      <c r="UGJ2491" s="58"/>
      <c r="UGK2491" s="58"/>
      <c r="UGL2491" s="61"/>
      <c r="UGM2491" s="58"/>
      <c r="UGN2491" s="58"/>
      <c r="UGO2491" s="58"/>
      <c r="UGP2491" s="60"/>
      <c r="UGQ2491" s="58"/>
      <c r="UGR2491" s="58"/>
      <c r="UGS2491" s="58"/>
      <c r="UGT2491" s="61"/>
      <c r="UGU2491" s="58"/>
      <c r="UGV2491" s="58"/>
      <c r="UGW2491" s="58"/>
      <c r="UGX2491" s="60"/>
      <c r="UGY2491" s="58"/>
      <c r="UGZ2491" s="58"/>
      <c r="UHA2491" s="58"/>
      <c r="UHB2491" s="61"/>
      <c r="UHC2491" s="58"/>
      <c r="UHD2491" s="58"/>
      <c r="UHE2491" s="58"/>
      <c r="UHF2491" s="60"/>
      <c r="UHG2491" s="58"/>
      <c r="UHH2491" s="58"/>
      <c r="UHI2491" s="58"/>
      <c r="UHJ2491" s="61"/>
      <c r="UHK2491" s="58"/>
      <c r="UHL2491" s="58"/>
      <c r="UHM2491" s="58"/>
      <c r="UHN2491" s="60"/>
      <c r="UHO2491" s="58"/>
      <c r="UHP2491" s="58"/>
      <c r="UHQ2491" s="58"/>
      <c r="UHR2491" s="61"/>
      <c r="UHS2491" s="58"/>
      <c r="UHT2491" s="58"/>
      <c r="UHU2491" s="58"/>
      <c r="UHV2491" s="60"/>
      <c r="UHW2491" s="58"/>
      <c r="UHX2491" s="58"/>
      <c r="UHY2491" s="58"/>
      <c r="UHZ2491" s="61"/>
      <c r="UIA2491" s="58"/>
      <c r="UIB2491" s="58"/>
      <c r="UIC2491" s="58"/>
      <c r="UID2491" s="60"/>
      <c r="UIE2491" s="58"/>
      <c r="UIF2491" s="58"/>
      <c r="UIG2491" s="58"/>
      <c r="UIH2491" s="61"/>
      <c r="UII2491" s="58"/>
      <c r="UIJ2491" s="58"/>
      <c r="UIK2491" s="58"/>
      <c r="UIL2491" s="60"/>
      <c r="UIM2491" s="58"/>
      <c r="UIN2491" s="58"/>
      <c r="UIO2491" s="58"/>
      <c r="UIP2491" s="61"/>
      <c r="UIQ2491" s="58"/>
      <c r="UIR2491" s="58"/>
      <c r="UIS2491" s="58"/>
      <c r="UIT2491" s="60"/>
      <c r="UIU2491" s="58"/>
      <c r="UIV2491" s="58"/>
      <c r="UIW2491" s="58"/>
      <c r="UIX2491" s="61"/>
      <c r="UIY2491" s="58"/>
      <c r="UIZ2491" s="58"/>
      <c r="UJA2491" s="58"/>
      <c r="UJB2491" s="60"/>
      <c r="UJC2491" s="58"/>
      <c r="UJD2491" s="58"/>
      <c r="UJE2491" s="58"/>
      <c r="UJF2491" s="61"/>
      <c r="UJG2491" s="58"/>
      <c r="UJH2491" s="58"/>
      <c r="UJI2491" s="58"/>
      <c r="UJJ2491" s="60"/>
      <c r="UJK2491" s="58"/>
      <c r="UJL2491" s="58"/>
      <c r="UJM2491" s="58"/>
      <c r="UJN2491" s="61"/>
      <c r="UJO2491" s="58"/>
      <c r="UJP2491" s="58"/>
      <c r="UJQ2491" s="58"/>
      <c r="UJR2491" s="60"/>
      <c r="UJS2491" s="58"/>
      <c r="UJT2491" s="58"/>
      <c r="UJU2491" s="58"/>
      <c r="UJV2491" s="61"/>
      <c r="UJW2491" s="58"/>
      <c r="UJX2491" s="58"/>
      <c r="UJY2491" s="58"/>
      <c r="UJZ2491" s="60"/>
      <c r="UKA2491" s="58"/>
      <c r="UKB2491" s="58"/>
      <c r="UKC2491" s="58"/>
      <c r="UKD2491" s="61"/>
      <c r="UKE2491" s="58"/>
      <c r="UKF2491" s="58"/>
      <c r="UKG2491" s="58"/>
      <c r="UKH2491" s="60"/>
      <c r="UKI2491" s="58"/>
      <c r="UKJ2491" s="58"/>
      <c r="UKK2491" s="58"/>
      <c r="UKL2491" s="61"/>
      <c r="UKM2491" s="58"/>
      <c r="UKN2491" s="58"/>
      <c r="UKO2491" s="58"/>
      <c r="UKP2491" s="60"/>
      <c r="UKQ2491" s="58"/>
      <c r="UKR2491" s="58"/>
      <c r="UKS2491" s="58"/>
      <c r="UKT2491" s="61"/>
      <c r="UKU2491" s="58"/>
      <c r="UKV2491" s="58"/>
      <c r="UKW2491" s="58"/>
      <c r="UKX2491" s="60"/>
      <c r="UKY2491" s="58"/>
      <c r="UKZ2491" s="58"/>
      <c r="ULA2491" s="58"/>
      <c r="ULB2491" s="61"/>
      <c r="ULC2491" s="58"/>
      <c r="ULD2491" s="58"/>
      <c r="ULE2491" s="58"/>
      <c r="ULF2491" s="60"/>
      <c r="ULG2491" s="58"/>
      <c r="ULH2491" s="58"/>
      <c r="ULI2491" s="58"/>
      <c r="ULJ2491" s="61"/>
      <c r="ULK2491" s="58"/>
      <c r="ULL2491" s="58"/>
      <c r="ULM2491" s="58"/>
      <c r="ULN2491" s="60"/>
      <c r="ULO2491" s="58"/>
      <c r="ULP2491" s="58"/>
      <c r="ULQ2491" s="58"/>
      <c r="ULR2491" s="61"/>
      <c r="ULS2491" s="58"/>
      <c r="ULT2491" s="58"/>
      <c r="ULU2491" s="58"/>
      <c r="ULV2491" s="60"/>
      <c r="ULW2491" s="58"/>
      <c r="ULX2491" s="58"/>
      <c r="ULY2491" s="58"/>
      <c r="ULZ2491" s="61"/>
      <c r="UMA2491" s="58"/>
      <c r="UMB2491" s="58"/>
      <c r="UMC2491" s="58"/>
      <c r="UMD2491" s="60"/>
      <c r="UME2491" s="58"/>
      <c r="UMF2491" s="58"/>
      <c r="UMG2491" s="58"/>
      <c r="UMH2491" s="61"/>
      <c r="UMI2491" s="58"/>
      <c r="UMJ2491" s="58"/>
      <c r="UMK2491" s="58"/>
      <c r="UML2491" s="60"/>
      <c r="UMM2491" s="58"/>
      <c r="UMN2491" s="58"/>
      <c r="UMO2491" s="58"/>
      <c r="UMP2491" s="61"/>
      <c r="UMQ2491" s="58"/>
      <c r="UMR2491" s="58"/>
      <c r="UMS2491" s="58"/>
      <c r="UMT2491" s="60"/>
      <c r="UMU2491" s="58"/>
      <c r="UMV2491" s="58"/>
      <c r="UMW2491" s="58"/>
      <c r="UMX2491" s="61"/>
      <c r="UMY2491" s="58"/>
      <c r="UMZ2491" s="58"/>
      <c r="UNA2491" s="58"/>
      <c r="UNB2491" s="60"/>
      <c r="UNC2491" s="58"/>
      <c r="UND2491" s="58"/>
      <c r="UNE2491" s="58"/>
      <c r="UNF2491" s="61"/>
      <c r="UNG2491" s="58"/>
      <c r="UNH2491" s="58"/>
      <c r="UNI2491" s="58"/>
      <c r="UNJ2491" s="60"/>
      <c r="UNK2491" s="58"/>
      <c r="UNL2491" s="58"/>
      <c r="UNM2491" s="58"/>
      <c r="UNN2491" s="61"/>
      <c r="UNO2491" s="58"/>
      <c r="UNP2491" s="58"/>
      <c r="UNQ2491" s="58"/>
      <c r="UNR2491" s="60"/>
      <c r="UNS2491" s="58"/>
      <c r="UNT2491" s="58"/>
      <c r="UNU2491" s="58"/>
      <c r="UNV2491" s="61"/>
      <c r="UNW2491" s="58"/>
      <c r="UNX2491" s="58"/>
      <c r="UNY2491" s="58"/>
      <c r="UNZ2491" s="60"/>
      <c r="UOA2491" s="58"/>
      <c r="UOB2491" s="58"/>
      <c r="UOC2491" s="58"/>
      <c r="UOD2491" s="61"/>
      <c r="UOE2491" s="58"/>
      <c r="UOF2491" s="58"/>
      <c r="UOG2491" s="58"/>
      <c r="UOH2491" s="60"/>
      <c r="UOI2491" s="58"/>
      <c r="UOJ2491" s="58"/>
      <c r="UOK2491" s="58"/>
      <c r="UOL2491" s="61"/>
      <c r="UOM2491" s="58"/>
      <c r="UON2491" s="58"/>
      <c r="UOO2491" s="58"/>
      <c r="UOP2491" s="60"/>
      <c r="UOQ2491" s="58"/>
      <c r="UOR2491" s="58"/>
      <c r="UOS2491" s="58"/>
      <c r="UOT2491" s="61"/>
      <c r="UOU2491" s="58"/>
      <c r="UOV2491" s="58"/>
      <c r="UOW2491" s="58"/>
      <c r="UOX2491" s="60"/>
      <c r="UOY2491" s="58"/>
      <c r="UOZ2491" s="58"/>
      <c r="UPA2491" s="58"/>
      <c r="UPB2491" s="61"/>
      <c r="UPC2491" s="58"/>
      <c r="UPD2491" s="58"/>
      <c r="UPE2491" s="58"/>
      <c r="UPF2491" s="60"/>
      <c r="UPG2491" s="58"/>
      <c r="UPH2491" s="58"/>
      <c r="UPI2491" s="58"/>
      <c r="UPJ2491" s="61"/>
      <c r="UPK2491" s="58"/>
      <c r="UPL2491" s="58"/>
      <c r="UPM2491" s="58"/>
      <c r="UPN2491" s="60"/>
      <c r="UPO2491" s="58"/>
      <c r="UPP2491" s="58"/>
      <c r="UPQ2491" s="58"/>
      <c r="UPR2491" s="61"/>
      <c r="UPS2491" s="58"/>
      <c r="UPT2491" s="58"/>
      <c r="UPU2491" s="58"/>
      <c r="UPV2491" s="60"/>
      <c r="UPW2491" s="58"/>
      <c r="UPX2491" s="58"/>
      <c r="UPY2491" s="58"/>
      <c r="UPZ2491" s="61"/>
      <c r="UQA2491" s="58"/>
      <c r="UQB2491" s="58"/>
      <c r="UQC2491" s="58"/>
      <c r="UQD2491" s="60"/>
      <c r="UQE2491" s="58"/>
      <c r="UQF2491" s="58"/>
      <c r="UQG2491" s="58"/>
      <c r="UQH2491" s="61"/>
      <c r="UQI2491" s="58"/>
      <c r="UQJ2491" s="58"/>
      <c r="UQK2491" s="58"/>
      <c r="UQL2491" s="60"/>
      <c r="UQM2491" s="58"/>
      <c r="UQN2491" s="58"/>
      <c r="UQO2491" s="58"/>
      <c r="UQP2491" s="61"/>
      <c r="UQQ2491" s="58"/>
      <c r="UQR2491" s="58"/>
      <c r="UQS2491" s="58"/>
      <c r="UQT2491" s="60"/>
      <c r="UQU2491" s="58"/>
      <c r="UQV2491" s="58"/>
      <c r="UQW2491" s="58"/>
      <c r="UQX2491" s="61"/>
      <c r="UQY2491" s="58"/>
      <c r="UQZ2491" s="58"/>
      <c r="URA2491" s="58"/>
      <c r="URB2491" s="60"/>
      <c r="URC2491" s="58"/>
      <c r="URD2491" s="58"/>
      <c r="URE2491" s="58"/>
      <c r="URF2491" s="61"/>
      <c r="URG2491" s="58"/>
      <c r="URH2491" s="58"/>
      <c r="URI2491" s="58"/>
      <c r="URJ2491" s="60"/>
      <c r="URK2491" s="58"/>
      <c r="URL2491" s="58"/>
      <c r="URM2491" s="58"/>
      <c r="URN2491" s="61"/>
      <c r="URO2491" s="58"/>
      <c r="URP2491" s="58"/>
      <c r="URQ2491" s="58"/>
      <c r="URR2491" s="60"/>
      <c r="URS2491" s="58"/>
      <c r="URT2491" s="58"/>
      <c r="URU2491" s="58"/>
      <c r="URV2491" s="61"/>
      <c r="URW2491" s="58"/>
      <c r="URX2491" s="58"/>
      <c r="URY2491" s="58"/>
      <c r="URZ2491" s="60"/>
      <c r="USA2491" s="58"/>
      <c r="USB2491" s="58"/>
      <c r="USC2491" s="58"/>
      <c r="USD2491" s="61"/>
      <c r="USE2491" s="58"/>
      <c r="USF2491" s="58"/>
      <c r="USG2491" s="58"/>
      <c r="USH2491" s="60"/>
      <c r="USI2491" s="58"/>
      <c r="USJ2491" s="58"/>
      <c r="USK2491" s="58"/>
      <c r="USL2491" s="61"/>
      <c r="USM2491" s="58"/>
      <c r="USN2491" s="58"/>
      <c r="USO2491" s="58"/>
      <c r="USP2491" s="60"/>
      <c r="USQ2491" s="58"/>
      <c r="USR2491" s="58"/>
      <c r="USS2491" s="58"/>
      <c r="UST2491" s="61"/>
      <c r="USU2491" s="58"/>
      <c r="USV2491" s="58"/>
      <c r="USW2491" s="58"/>
      <c r="USX2491" s="60"/>
      <c r="USY2491" s="58"/>
      <c r="USZ2491" s="58"/>
      <c r="UTA2491" s="58"/>
      <c r="UTB2491" s="61"/>
      <c r="UTC2491" s="58"/>
      <c r="UTD2491" s="58"/>
      <c r="UTE2491" s="58"/>
      <c r="UTF2491" s="60"/>
      <c r="UTG2491" s="58"/>
      <c r="UTH2491" s="58"/>
      <c r="UTI2491" s="58"/>
      <c r="UTJ2491" s="61"/>
      <c r="UTK2491" s="58"/>
      <c r="UTL2491" s="58"/>
      <c r="UTM2491" s="58"/>
      <c r="UTN2491" s="60"/>
      <c r="UTO2491" s="58"/>
      <c r="UTP2491" s="58"/>
      <c r="UTQ2491" s="58"/>
      <c r="UTR2491" s="61"/>
      <c r="UTS2491" s="58"/>
      <c r="UTT2491" s="58"/>
      <c r="UTU2491" s="58"/>
      <c r="UTV2491" s="60"/>
      <c r="UTW2491" s="58"/>
      <c r="UTX2491" s="58"/>
      <c r="UTY2491" s="58"/>
      <c r="UTZ2491" s="61"/>
      <c r="UUA2491" s="58"/>
      <c r="UUB2491" s="58"/>
      <c r="UUC2491" s="58"/>
      <c r="UUD2491" s="60"/>
      <c r="UUE2491" s="58"/>
      <c r="UUF2491" s="58"/>
      <c r="UUG2491" s="58"/>
      <c r="UUH2491" s="61"/>
      <c r="UUI2491" s="58"/>
      <c r="UUJ2491" s="58"/>
      <c r="UUK2491" s="58"/>
      <c r="UUL2491" s="60"/>
      <c r="UUM2491" s="58"/>
      <c r="UUN2491" s="58"/>
      <c r="UUO2491" s="58"/>
      <c r="UUP2491" s="61"/>
      <c r="UUQ2491" s="58"/>
      <c r="UUR2491" s="58"/>
      <c r="UUS2491" s="58"/>
      <c r="UUT2491" s="60"/>
      <c r="UUU2491" s="58"/>
      <c r="UUV2491" s="58"/>
      <c r="UUW2491" s="58"/>
      <c r="UUX2491" s="61"/>
      <c r="UUY2491" s="58"/>
      <c r="UUZ2491" s="58"/>
      <c r="UVA2491" s="58"/>
      <c r="UVB2491" s="60"/>
      <c r="UVC2491" s="58"/>
      <c r="UVD2491" s="58"/>
      <c r="UVE2491" s="58"/>
      <c r="UVF2491" s="61"/>
      <c r="UVG2491" s="58"/>
      <c r="UVH2491" s="58"/>
      <c r="UVI2491" s="58"/>
      <c r="UVJ2491" s="60"/>
      <c r="UVK2491" s="58"/>
      <c r="UVL2491" s="58"/>
      <c r="UVM2491" s="58"/>
      <c r="UVN2491" s="61"/>
      <c r="UVO2491" s="58"/>
      <c r="UVP2491" s="58"/>
      <c r="UVQ2491" s="58"/>
      <c r="UVR2491" s="60"/>
      <c r="UVS2491" s="58"/>
      <c r="UVT2491" s="58"/>
      <c r="UVU2491" s="58"/>
      <c r="UVV2491" s="61"/>
      <c r="UVW2491" s="58"/>
      <c r="UVX2491" s="58"/>
      <c r="UVY2491" s="58"/>
      <c r="UVZ2491" s="60"/>
      <c r="UWA2491" s="58"/>
      <c r="UWB2491" s="58"/>
      <c r="UWC2491" s="58"/>
      <c r="UWD2491" s="61"/>
      <c r="UWE2491" s="58"/>
      <c r="UWF2491" s="58"/>
      <c r="UWG2491" s="58"/>
      <c r="UWH2491" s="60"/>
      <c r="UWI2491" s="58"/>
      <c r="UWJ2491" s="58"/>
      <c r="UWK2491" s="58"/>
      <c r="UWL2491" s="61"/>
      <c r="UWM2491" s="58"/>
      <c r="UWN2491" s="58"/>
      <c r="UWO2491" s="58"/>
      <c r="UWP2491" s="60"/>
      <c r="UWQ2491" s="58"/>
      <c r="UWR2491" s="58"/>
      <c r="UWS2491" s="58"/>
      <c r="UWT2491" s="61"/>
      <c r="UWU2491" s="58"/>
      <c r="UWV2491" s="58"/>
      <c r="UWW2491" s="58"/>
      <c r="UWX2491" s="60"/>
      <c r="UWY2491" s="58"/>
      <c r="UWZ2491" s="58"/>
      <c r="UXA2491" s="58"/>
      <c r="UXB2491" s="61"/>
      <c r="UXC2491" s="58"/>
      <c r="UXD2491" s="58"/>
      <c r="UXE2491" s="58"/>
      <c r="UXF2491" s="60"/>
      <c r="UXG2491" s="58"/>
      <c r="UXH2491" s="58"/>
      <c r="UXI2491" s="58"/>
      <c r="UXJ2491" s="61"/>
      <c r="UXK2491" s="58"/>
      <c r="UXL2491" s="58"/>
      <c r="UXM2491" s="58"/>
      <c r="UXN2491" s="60"/>
      <c r="UXO2491" s="58"/>
      <c r="UXP2491" s="58"/>
      <c r="UXQ2491" s="58"/>
      <c r="UXR2491" s="61"/>
      <c r="UXS2491" s="58"/>
      <c r="UXT2491" s="58"/>
      <c r="UXU2491" s="58"/>
      <c r="UXV2491" s="60"/>
      <c r="UXW2491" s="58"/>
      <c r="UXX2491" s="58"/>
      <c r="UXY2491" s="58"/>
      <c r="UXZ2491" s="61"/>
      <c r="UYA2491" s="58"/>
      <c r="UYB2491" s="58"/>
      <c r="UYC2491" s="58"/>
      <c r="UYD2491" s="60"/>
      <c r="UYE2491" s="58"/>
      <c r="UYF2491" s="58"/>
      <c r="UYG2491" s="58"/>
      <c r="UYH2491" s="61"/>
      <c r="UYI2491" s="58"/>
      <c r="UYJ2491" s="58"/>
      <c r="UYK2491" s="58"/>
      <c r="UYL2491" s="60"/>
      <c r="UYM2491" s="58"/>
      <c r="UYN2491" s="58"/>
      <c r="UYO2491" s="58"/>
      <c r="UYP2491" s="61"/>
      <c r="UYQ2491" s="58"/>
      <c r="UYR2491" s="58"/>
      <c r="UYS2491" s="58"/>
      <c r="UYT2491" s="60"/>
      <c r="UYU2491" s="58"/>
      <c r="UYV2491" s="58"/>
      <c r="UYW2491" s="58"/>
      <c r="UYX2491" s="61"/>
      <c r="UYY2491" s="58"/>
      <c r="UYZ2491" s="58"/>
      <c r="UZA2491" s="58"/>
      <c r="UZB2491" s="60"/>
      <c r="UZC2491" s="58"/>
      <c r="UZD2491" s="58"/>
      <c r="UZE2491" s="58"/>
      <c r="UZF2491" s="61"/>
      <c r="UZG2491" s="58"/>
      <c r="UZH2491" s="58"/>
      <c r="UZI2491" s="58"/>
      <c r="UZJ2491" s="60"/>
      <c r="UZK2491" s="58"/>
      <c r="UZL2491" s="58"/>
      <c r="UZM2491" s="58"/>
      <c r="UZN2491" s="61"/>
      <c r="UZO2491" s="58"/>
      <c r="UZP2491" s="58"/>
      <c r="UZQ2491" s="58"/>
      <c r="UZR2491" s="60"/>
      <c r="UZS2491" s="58"/>
      <c r="UZT2491" s="58"/>
      <c r="UZU2491" s="58"/>
      <c r="UZV2491" s="61"/>
      <c r="UZW2491" s="58"/>
      <c r="UZX2491" s="58"/>
      <c r="UZY2491" s="58"/>
      <c r="UZZ2491" s="60"/>
      <c r="VAA2491" s="58"/>
      <c r="VAB2491" s="58"/>
      <c r="VAC2491" s="58"/>
      <c r="VAD2491" s="61"/>
      <c r="VAE2491" s="58"/>
      <c r="VAF2491" s="58"/>
      <c r="VAG2491" s="58"/>
      <c r="VAH2491" s="60"/>
      <c r="VAI2491" s="58"/>
      <c r="VAJ2491" s="58"/>
      <c r="VAK2491" s="58"/>
      <c r="VAL2491" s="61"/>
      <c r="VAM2491" s="58"/>
      <c r="VAN2491" s="58"/>
      <c r="VAO2491" s="58"/>
      <c r="VAP2491" s="60"/>
      <c r="VAQ2491" s="58"/>
      <c r="VAR2491" s="58"/>
      <c r="VAS2491" s="58"/>
      <c r="VAT2491" s="61"/>
      <c r="VAU2491" s="58"/>
      <c r="VAV2491" s="58"/>
      <c r="VAW2491" s="58"/>
      <c r="VAX2491" s="60"/>
      <c r="VAY2491" s="58"/>
      <c r="VAZ2491" s="58"/>
      <c r="VBA2491" s="58"/>
      <c r="VBB2491" s="61"/>
      <c r="VBC2491" s="58"/>
      <c r="VBD2491" s="58"/>
      <c r="VBE2491" s="58"/>
      <c r="VBF2491" s="60"/>
      <c r="VBG2491" s="58"/>
      <c r="VBH2491" s="58"/>
      <c r="VBI2491" s="58"/>
      <c r="VBJ2491" s="61"/>
      <c r="VBK2491" s="58"/>
      <c r="VBL2491" s="58"/>
      <c r="VBM2491" s="58"/>
      <c r="VBN2491" s="60"/>
      <c r="VBO2491" s="58"/>
      <c r="VBP2491" s="58"/>
      <c r="VBQ2491" s="58"/>
      <c r="VBR2491" s="61"/>
      <c r="VBS2491" s="58"/>
      <c r="VBT2491" s="58"/>
      <c r="VBU2491" s="58"/>
      <c r="VBV2491" s="60"/>
      <c r="VBW2491" s="58"/>
      <c r="VBX2491" s="58"/>
      <c r="VBY2491" s="58"/>
      <c r="VBZ2491" s="61"/>
      <c r="VCA2491" s="58"/>
      <c r="VCB2491" s="58"/>
      <c r="VCC2491" s="58"/>
      <c r="VCD2491" s="60"/>
      <c r="VCE2491" s="58"/>
      <c r="VCF2491" s="58"/>
      <c r="VCG2491" s="58"/>
      <c r="VCH2491" s="61"/>
      <c r="VCI2491" s="58"/>
      <c r="VCJ2491" s="58"/>
      <c r="VCK2491" s="58"/>
      <c r="VCL2491" s="60"/>
      <c r="VCM2491" s="58"/>
      <c r="VCN2491" s="58"/>
      <c r="VCO2491" s="58"/>
      <c r="VCP2491" s="61"/>
      <c r="VCQ2491" s="58"/>
      <c r="VCR2491" s="58"/>
      <c r="VCS2491" s="58"/>
      <c r="VCT2491" s="60"/>
      <c r="VCU2491" s="58"/>
      <c r="VCV2491" s="58"/>
      <c r="VCW2491" s="58"/>
      <c r="VCX2491" s="61"/>
      <c r="VCY2491" s="58"/>
      <c r="VCZ2491" s="58"/>
      <c r="VDA2491" s="58"/>
      <c r="VDB2491" s="60"/>
      <c r="VDC2491" s="58"/>
      <c r="VDD2491" s="58"/>
      <c r="VDE2491" s="58"/>
      <c r="VDF2491" s="61"/>
      <c r="VDG2491" s="58"/>
      <c r="VDH2491" s="58"/>
      <c r="VDI2491" s="58"/>
      <c r="VDJ2491" s="60"/>
      <c r="VDK2491" s="58"/>
      <c r="VDL2491" s="58"/>
      <c r="VDM2491" s="58"/>
      <c r="VDN2491" s="61"/>
      <c r="VDO2491" s="58"/>
      <c r="VDP2491" s="58"/>
      <c r="VDQ2491" s="58"/>
      <c r="VDR2491" s="60"/>
      <c r="VDS2491" s="58"/>
      <c r="VDT2491" s="58"/>
      <c r="VDU2491" s="58"/>
      <c r="VDV2491" s="61"/>
      <c r="VDW2491" s="58"/>
      <c r="VDX2491" s="58"/>
      <c r="VDY2491" s="58"/>
      <c r="VDZ2491" s="60"/>
      <c r="VEA2491" s="58"/>
      <c r="VEB2491" s="58"/>
      <c r="VEC2491" s="58"/>
      <c r="VED2491" s="61"/>
      <c r="VEE2491" s="58"/>
      <c r="VEF2491" s="58"/>
      <c r="VEG2491" s="58"/>
      <c r="VEH2491" s="60"/>
      <c r="VEI2491" s="58"/>
      <c r="VEJ2491" s="58"/>
      <c r="VEK2491" s="58"/>
      <c r="VEL2491" s="61"/>
      <c r="VEM2491" s="58"/>
      <c r="VEN2491" s="58"/>
      <c r="VEO2491" s="58"/>
      <c r="VEP2491" s="60"/>
      <c r="VEQ2491" s="58"/>
      <c r="VER2491" s="58"/>
      <c r="VES2491" s="58"/>
      <c r="VET2491" s="61"/>
      <c r="VEU2491" s="58"/>
      <c r="VEV2491" s="58"/>
      <c r="VEW2491" s="58"/>
      <c r="VEX2491" s="60"/>
      <c r="VEY2491" s="58"/>
      <c r="VEZ2491" s="58"/>
      <c r="VFA2491" s="58"/>
      <c r="VFB2491" s="61"/>
      <c r="VFC2491" s="58"/>
      <c r="VFD2491" s="58"/>
      <c r="VFE2491" s="58"/>
      <c r="VFF2491" s="60"/>
      <c r="VFG2491" s="58"/>
      <c r="VFH2491" s="58"/>
      <c r="VFI2491" s="58"/>
      <c r="VFJ2491" s="61"/>
      <c r="VFK2491" s="58"/>
      <c r="VFL2491" s="58"/>
      <c r="VFM2491" s="58"/>
      <c r="VFN2491" s="60"/>
      <c r="VFO2491" s="58"/>
      <c r="VFP2491" s="58"/>
      <c r="VFQ2491" s="58"/>
      <c r="VFR2491" s="61"/>
      <c r="VFS2491" s="58"/>
      <c r="VFT2491" s="58"/>
      <c r="VFU2491" s="58"/>
      <c r="VFV2491" s="60"/>
      <c r="VFW2491" s="58"/>
      <c r="VFX2491" s="58"/>
      <c r="VFY2491" s="58"/>
      <c r="VFZ2491" s="61"/>
      <c r="VGA2491" s="58"/>
      <c r="VGB2491" s="58"/>
      <c r="VGC2491" s="58"/>
      <c r="VGD2491" s="60"/>
      <c r="VGE2491" s="58"/>
      <c r="VGF2491" s="58"/>
      <c r="VGG2491" s="58"/>
      <c r="VGH2491" s="61"/>
      <c r="VGI2491" s="58"/>
      <c r="VGJ2491" s="58"/>
      <c r="VGK2491" s="58"/>
      <c r="VGL2491" s="60"/>
      <c r="VGM2491" s="58"/>
      <c r="VGN2491" s="58"/>
      <c r="VGO2491" s="58"/>
      <c r="VGP2491" s="61"/>
      <c r="VGQ2491" s="58"/>
      <c r="VGR2491" s="58"/>
      <c r="VGS2491" s="58"/>
      <c r="VGT2491" s="60"/>
      <c r="VGU2491" s="58"/>
      <c r="VGV2491" s="58"/>
      <c r="VGW2491" s="58"/>
      <c r="VGX2491" s="61"/>
      <c r="VGY2491" s="58"/>
      <c r="VGZ2491" s="58"/>
      <c r="VHA2491" s="58"/>
      <c r="VHB2491" s="60"/>
      <c r="VHC2491" s="58"/>
      <c r="VHD2491" s="58"/>
      <c r="VHE2491" s="58"/>
      <c r="VHF2491" s="61"/>
      <c r="VHG2491" s="58"/>
      <c r="VHH2491" s="58"/>
      <c r="VHI2491" s="58"/>
      <c r="VHJ2491" s="60"/>
      <c r="VHK2491" s="58"/>
      <c r="VHL2491" s="58"/>
      <c r="VHM2491" s="58"/>
      <c r="VHN2491" s="61"/>
      <c r="VHO2491" s="58"/>
      <c r="VHP2491" s="58"/>
      <c r="VHQ2491" s="58"/>
      <c r="VHR2491" s="60"/>
      <c r="VHS2491" s="58"/>
      <c r="VHT2491" s="58"/>
      <c r="VHU2491" s="58"/>
      <c r="VHV2491" s="61"/>
      <c r="VHW2491" s="58"/>
      <c r="VHX2491" s="58"/>
      <c r="VHY2491" s="58"/>
      <c r="VHZ2491" s="60"/>
      <c r="VIA2491" s="58"/>
      <c r="VIB2491" s="58"/>
      <c r="VIC2491" s="58"/>
      <c r="VID2491" s="61"/>
      <c r="VIE2491" s="58"/>
      <c r="VIF2491" s="58"/>
      <c r="VIG2491" s="58"/>
      <c r="VIH2491" s="60"/>
      <c r="VII2491" s="58"/>
      <c r="VIJ2491" s="58"/>
      <c r="VIK2491" s="58"/>
      <c r="VIL2491" s="61"/>
      <c r="VIM2491" s="58"/>
      <c r="VIN2491" s="58"/>
      <c r="VIO2491" s="58"/>
      <c r="VIP2491" s="60"/>
      <c r="VIQ2491" s="58"/>
      <c r="VIR2491" s="58"/>
      <c r="VIS2491" s="58"/>
      <c r="VIT2491" s="61"/>
      <c r="VIU2491" s="58"/>
      <c r="VIV2491" s="58"/>
      <c r="VIW2491" s="58"/>
      <c r="VIX2491" s="60"/>
      <c r="VIY2491" s="58"/>
      <c r="VIZ2491" s="58"/>
      <c r="VJA2491" s="58"/>
      <c r="VJB2491" s="61"/>
      <c r="VJC2491" s="58"/>
      <c r="VJD2491" s="58"/>
      <c r="VJE2491" s="58"/>
      <c r="VJF2491" s="60"/>
      <c r="VJG2491" s="58"/>
      <c r="VJH2491" s="58"/>
      <c r="VJI2491" s="58"/>
      <c r="VJJ2491" s="61"/>
      <c r="VJK2491" s="58"/>
      <c r="VJL2491" s="58"/>
      <c r="VJM2491" s="58"/>
      <c r="VJN2491" s="60"/>
      <c r="VJO2491" s="58"/>
      <c r="VJP2491" s="58"/>
      <c r="VJQ2491" s="58"/>
      <c r="VJR2491" s="61"/>
      <c r="VJS2491" s="58"/>
      <c r="VJT2491" s="58"/>
      <c r="VJU2491" s="58"/>
      <c r="VJV2491" s="60"/>
      <c r="VJW2491" s="58"/>
      <c r="VJX2491" s="58"/>
      <c r="VJY2491" s="58"/>
      <c r="VJZ2491" s="61"/>
      <c r="VKA2491" s="58"/>
      <c r="VKB2491" s="58"/>
      <c r="VKC2491" s="58"/>
      <c r="VKD2491" s="60"/>
      <c r="VKE2491" s="58"/>
      <c r="VKF2491" s="58"/>
      <c r="VKG2491" s="58"/>
      <c r="VKH2491" s="61"/>
      <c r="VKI2491" s="58"/>
      <c r="VKJ2491" s="58"/>
      <c r="VKK2491" s="58"/>
      <c r="VKL2491" s="60"/>
      <c r="VKM2491" s="58"/>
      <c r="VKN2491" s="58"/>
      <c r="VKO2491" s="58"/>
      <c r="VKP2491" s="61"/>
      <c r="VKQ2491" s="58"/>
      <c r="VKR2491" s="58"/>
      <c r="VKS2491" s="58"/>
      <c r="VKT2491" s="60"/>
      <c r="VKU2491" s="58"/>
      <c r="VKV2491" s="58"/>
      <c r="VKW2491" s="58"/>
      <c r="VKX2491" s="61"/>
      <c r="VKY2491" s="58"/>
      <c r="VKZ2491" s="58"/>
      <c r="VLA2491" s="58"/>
      <c r="VLB2491" s="60"/>
      <c r="VLC2491" s="58"/>
      <c r="VLD2491" s="58"/>
      <c r="VLE2491" s="58"/>
      <c r="VLF2491" s="61"/>
      <c r="VLG2491" s="58"/>
      <c r="VLH2491" s="58"/>
      <c r="VLI2491" s="58"/>
      <c r="VLJ2491" s="60"/>
      <c r="VLK2491" s="58"/>
      <c r="VLL2491" s="58"/>
      <c r="VLM2491" s="58"/>
      <c r="VLN2491" s="61"/>
      <c r="VLO2491" s="58"/>
      <c r="VLP2491" s="58"/>
      <c r="VLQ2491" s="58"/>
      <c r="VLR2491" s="60"/>
      <c r="VLS2491" s="58"/>
      <c r="VLT2491" s="58"/>
      <c r="VLU2491" s="58"/>
      <c r="VLV2491" s="61"/>
      <c r="VLW2491" s="58"/>
      <c r="VLX2491" s="58"/>
      <c r="VLY2491" s="58"/>
      <c r="VLZ2491" s="60"/>
      <c r="VMA2491" s="58"/>
      <c r="VMB2491" s="58"/>
      <c r="VMC2491" s="58"/>
      <c r="VMD2491" s="61"/>
      <c r="VME2491" s="58"/>
      <c r="VMF2491" s="58"/>
      <c r="VMG2491" s="58"/>
      <c r="VMH2491" s="60"/>
      <c r="VMI2491" s="58"/>
      <c r="VMJ2491" s="58"/>
      <c r="VMK2491" s="58"/>
      <c r="VML2491" s="61"/>
      <c r="VMM2491" s="58"/>
      <c r="VMN2491" s="58"/>
      <c r="VMO2491" s="58"/>
      <c r="VMP2491" s="60"/>
      <c r="VMQ2491" s="58"/>
      <c r="VMR2491" s="58"/>
      <c r="VMS2491" s="58"/>
      <c r="VMT2491" s="61"/>
      <c r="VMU2491" s="58"/>
      <c r="VMV2491" s="58"/>
      <c r="VMW2491" s="58"/>
      <c r="VMX2491" s="60"/>
      <c r="VMY2491" s="58"/>
      <c r="VMZ2491" s="58"/>
      <c r="VNA2491" s="58"/>
      <c r="VNB2491" s="61"/>
      <c r="VNC2491" s="58"/>
      <c r="VND2491" s="58"/>
      <c r="VNE2491" s="58"/>
      <c r="VNF2491" s="60"/>
      <c r="VNG2491" s="58"/>
      <c r="VNH2491" s="58"/>
      <c r="VNI2491" s="58"/>
      <c r="VNJ2491" s="61"/>
      <c r="VNK2491" s="58"/>
      <c r="VNL2491" s="58"/>
      <c r="VNM2491" s="58"/>
      <c r="VNN2491" s="60"/>
      <c r="VNO2491" s="58"/>
      <c r="VNP2491" s="58"/>
      <c r="VNQ2491" s="58"/>
      <c r="VNR2491" s="61"/>
      <c r="VNS2491" s="58"/>
      <c r="VNT2491" s="58"/>
      <c r="VNU2491" s="58"/>
      <c r="VNV2491" s="60"/>
      <c r="VNW2491" s="58"/>
      <c r="VNX2491" s="58"/>
      <c r="VNY2491" s="58"/>
      <c r="VNZ2491" s="61"/>
      <c r="VOA2491" s="58"/>
      <c r="VOB2491" s="58"/>
      <c r="VOC2491" s="58"/>
      <c r="VOD2491" s="60"/>
      <c r="VOE2491" s="58"/>
      <c r="VOF2491" s="58"/>
      <c r="VOG2491" s="58"/>
      <c r="VOH2491" s="61"/>
      <c r="VOI2491" s="58"/>
      <c r="VOJ2491" s="58"/>
      <c r="VOK2491" s="58"/>
      <c r="VOL2491" s="60"/>
      <c r="VOM2491" s="58"/>
      <c r="VON2491" s="58"/>
      <c r="VOO2491" s="58"/>
      <c r="VOP2491" s="61"/>
      <c r="VOQ2491" s="58"/>
      <c r="VOR2491" s="58"/>
      <c r="VOS2491" s="58"/>
      <c r="VOT2491" s="60"/>
      <c r="VOU2491" s="58"/>
      <c r="VOV2491" s="58"/>
      <c r="VOW2491" s="58"/>
      <c r="VOX2491" s="61"/>
      <c r="VOY2491" s="58"/>
      <c r="VOZ2491" s="58"/>
      <c r="VPA2491" s="58"/>
      <c r="VPB2491" s="60"/>
      <c r="VPC2491" s="58"/>
      <c r="VPD2491" s="58"/>
      <c r="VPE2491" s="58"/>
      <c r="VPF2491" s="61"/>
      <c r="VPG2491" s="58"/>
      <c r="VPH2491" s="58"/>
      <c r="VPI2491" s="58"/>
      <c r="VPJ2491" s="60"/>
      <c r="VPK2491" s="58"/>
      <c r="VPL2491" s="58"/>
      <c r="VPM2491" s="58"/>
      <c r="VPN2491" s="61"/>
      <c r="VPO2491" s="58"/>
      <c r="VPP2491" s="58"/>
      <c r="VPQ2491" s="58"/>
      <c r="VPR2491" s="60"/>
      <c r="VPS2491" s="58"/>
      <c r="VPT2491" s="58"/>
      <c r="VPU2491" s="58"/>
      <c r="VPV2491" s="61"/>
      <c r="VPW2491" s="58"/>
      <c r="VPX2491" s="58"/>
      <c r="VPY2491" s="58"/>
      <c r="VPZ2491" s="60"/>
      <c r="VQA2491" s="58"/>
      <c r="VQB2491" s="58"/>
      <c r="VQC2491" s="58"/>
      <c r="VQD2491" s="61"/>
      <c r="VQE2491" s="58"/>
      <c r="VQF2491" s="58"/>
      <c r="VQG2491" s="58"/>
      <c r="VQH2491" s="60"/>
      <c r="VQI2491" s="58"/>
      <c r="VQJ2491" s="58"/>
      <c r="VQK2491" s="58"/>
      <c r="VQL2491" s="61"/>
      <c r="VQM2491" s="58"/>
      <c r="VQN2491" s="58"/>
      <c r="VQO2491" s="58"/>
      <c r="VQP2491" s="60"/>
      <c r="VQQ2491" s="58"/>
      <c r="VQR2491" s="58"/>
      <c r="VQS2491" s="58"/>
      <c r="VQT2491" s="61"/>
      <c r="VQU2491" s="58"/>
      <c r="VQV2491" s="58"/>
      <c r="VQW2491" s="58"/>
      <c r="VQX2491" s="60"/>
      <c r="VQY2491" s="58"/>
      <c r="VQZ2491" s="58"/>
      <c r="VRA2491" s="58"/>
      <c r="VRB2491" s="61"/>
      <c r="VRC2491" s="58"/>
      <c r="VRD2491" s="58"/>
      <c r="VRE2491" s="58"/>
      <c r="VRF2491" s="60"/>
      <c r="VRG2491" s="58"/>
      <c r="VRH2491" s="58"/>
      <c r="VRI2491" s="58"/>
      <c r="VRJ2491" s="61"/>
      <c r="VRK2491" s="58"/>
      <c r="VRL2491" s="58"/>
      <c r="VRM2491" s="58"/>
      <c r="VRN2491" s="60"/>
      <c r="VRO2491" s="58"/>
      <c r="VRP2491" s="58"/>
      <c r="VRQ2491" s="58"/>
      <c r="VRR2491" s="61"/>
      <c r="VRS2491" s="58"/>
      <c r="VRT2491" s="58"/>
      <c r="VRU2491" s="58"/>
      <c r="VRV2491" s="60"/>
      <c r="VRW2491" s="58"/>
      <c r="VRX2491" s="58"/>
      <c r="VRY2491" s="58"/>
      <c r="VRZ2491" s="61"/>
      <c r="VSA2491" s="58"/>
      <c r="VSB2491" s="58"/>
      <c r="VSC2491" s="58"/>
      <c r="VSD2491" s="60"/>
      <c r="VSE2491" s="58"/>
      <c r="VSF2491" s="58"/>
      <c r="VSG2491" s="58"/>
      <c r="VSH2491" s="61"/>
      <c r="VSI2491" s="58"/>
      <c r="VSJ2491" s="58"/>
      <c r="VSK2491" s="58"/>
      <c r="VSL2491" s="60"/>
      <c r="VSM2491" s="58"/>
      <c r="VSN2491" s="58"/>
      <c r="VSO2491" s="58"/>
      <c r="VSP2491" s="61"/>
      <c r="VSQ2491" s="58"/>
      <c r="VSR2491" s="58"/>
      <c r="VSS2491" s="58"/>
      <c r="VST2491" s="60"/>
      <c r="VSU2491" s="58"/>
      <c r="VSV2491" s="58"/>
      <c r="VSW2491" s="58"/>
      <c r="VSX2491" s="61"/>
      <c r="VSY2491" s="58"/>
      <c r="VSZ2491" s="58"/>
      <c r="VTA2491" s="58"/>
      <c r="VTB2491" s="60"/>
      <c r="VTC2491" s="58"/>
      <c r="VTD2491" s="58"/>
      <c r="VTE2491" s="58"/>
      <c r="VTF2491" s="61"/>
      <c r="VTG2491" s="58"/>
      <c r="VTH2491" s="58"/>
      <c r="VTI2491" s="58"/>
      <c r="VTJ2491" s="60"/>
      <c r="VTK2491" s="58"/>
      <c r="VTL2491" s="58"/>
      <c r="VTM2491" s="58"/>
      <c r="VTN2491" s="61"/>
      <c r="VTO2491" s="58"/>
      <c r="VTP2491" s="58"/>
      <c r="VTQ2491" s="58"/>
      <c r="VTR2491" s="60"/>
      <c r="VTS2491" s="58"/>
      <c r="VTT2491" s="58"/>
      <c r="VTU2491" s="58"/>
      <c r="VTV2491" s="61"/>
      <c r="VTW2491" s="58"/>
      <c r="VTX2491" s="58"/>
      <c r="VTY2491" s="58"/>
      <c r="VTZ2491" s="60"/>
      <c r="VUA2491" s="58"/>
      <c r="VUB2491" s="58"/>
      <c r="VUC2491" s="58"/>
      <c r="VUD2491" s="61"/>
      <c r="VUE2491" s="58"/>
      <c r="VUF2491" s="58"/>
      <c r="VUG2491" s="58"/>
      <c r="VUH2491" s="60"/>
      <c r="VUI2491" s="58"/>
      <c r="VUJ2491" s="58"/>
      <c r="VUK2491" s="58"/>
      <c r="VUL2491" s="61"/>
      <c r="VUM2491" s="58"/>
      <c r="VUN2491" s="58"/>
      <c r="VUO2491" s="58"/>
      <c r="VUP2491" s="60"/>
      <c r="VUQ2491" s="58"/>
      <c r="VUR2491" s="58"/>
      <c r="VUS2491" s="58"/>
      <c r="VUT2491" s="61"/>
      <c r="VUU2491" s="58"/>
      <c r="VUV2491" s="58"/>
      <c r="VUW2491" s="58"/>
      <c r="VUX2491" s="60"/>
      <c r="VUY2491" s="58"/>
      <c r="VUZ2491" s="58"/>
      <c r="VVA2491" s="58"/>
      <c r="VVB2491" s="61"/>
      <c r="VVC2491" s="58"/>
      <c r="VVD2491" s="58"/>
      <c r="VVE2491" s="58"/>
      <c r="VVF2491" s="60"/>
      <c r="VVG2491" s="58"/>
      <c r="VVH2491" s="58"/>
      <c r="VVI2491" s="58"/>
      <c r="VVJ2491" s="61"/>
      <c r="VVK2491" s="58"/>
      <c r="VVL2491" s="58"/>
      <c r="VVM2491" s="58"/>
      <c r="VVN2491" s="60"/>
      <c r="VVO2491" s="58"/>
      <c r="VVP2491" s="58"/>
      <c r="VVQ2491" s="58"/>
      <c r="VVR2491" s="61"/>
      <c r="VVS2491" s="58"/>
      <c r="VVT2491" s="58"/>
      <c r="VVU2491" s="58"/>
      <c r="VVV2491" s="60"/>
      <c r="VVW2491" s="58"/>
      <c r="VVX2491" s="58"/>
      <c r="VVY2491" s="58"/>
      <c r="VVZ2491" s="61"/>
      <c r="VWA2491" s="58"/>
      <c r="VWB2491" s="58"/>
      <c r="VWC2491" s="58"/>
      <c r="VWD2491" s="60"/>
      <c r="VWE2491" s="58"/>
      <c r="VWF2491" s="58"/>
      <c r="VWG2491" s="58"/>
      <c r="VWH2491" s="61"/>
      <c r="VWI2491" s="58"/>
      <c r="VWJ2491" s="58"/>
      <c r="VWK2491" s="58"/>
      <c r="VWL2491" s="60"/>
      <c r="VWM2491" s="58"/>
      <c r="VWN2491" s="58"/>
      <c r="VWO2491" s="58"/>
      <c r="VWP2491" s="61"/>
      <c r="VWQ2491" s="58"/>
      <c r="VWR2491" s="58"/>
      <c r="VWS2491" s="58"/>
      <c r="VWT2491" s="60"/>
      <c r="VWU2491" s="58"/>
      <c r="VWV2491" s="58"/>
      <c r="VWW2491" s="58"/>
      <c r="VWX2491" s="61"/>
      <c r="VWY2491" s="58"/>
      <c r="VWZ2491" s="58"/>
      <c r="VXA2491" s="58"/>
      <c r="VXB2491" s="60"/>
      <c r="VXC2491" s="58"/>
      <c r="VXD2491" s="58"/>
      <c r="VXE2491" s="58"/>
      <c r="VXF2491" s="61"/>
      <c r="VXG2491" s="58"/>
      <c r="VXH2491" s="58"/>
      <c r="VXI2491" s="58"/>
      <c r="VXJ2491" s="60"/>
      <c r="VXK2491" s="58"/>
      <c r="VXL2491" s="58"/>
      <c r="VXM2491" s="58"/>
      <c r="VXN2491" s="61"/>
      <c r="VXO2491" s="58"/>
      <c r="VXP2491" s="58"/>
      <c r="VXQ2491" s="58"/>
      <c r="VXR2491" s="60"/>
      <c r="VXS2491" s="58"/>
      <c r="VXT2491" s="58"/>
      <c r="VXU2491" s="58"/>
      <c r="VXV2491" s="61"/>
      <c r="VXW2491" s="58"/>
      <c r="VXX2491" s="58"/>
      <c r="VXY2491" s="58"/>
      <c r="VXZ2491" s="60"/>
      <c r="VYA2491" s="58"/>
      <c r="VYB2491" s="58"/>
      <c r="VYC2491" s="58"/>
      <c r="VYD2491" s="61"/>
      <c r="VYE2491" s="58"/>
      <c r="VYF2491" s="58"/>
      <c r="VYG2491" s="58"/>
      <c r="VYH2491" s="60"/>
      <c r="VYI2491" s="58"/>
      <c r="VYJ2491" s="58"/>
      <c r="VYK2491" s="58"/>
      <c r="VYL2491" s="61"/>
      <c r="VYM2491" s="58"/>
      <c r="VYN2491" s="58"/>
      <c r="VYO2491" s="58"/>
      <c r="VYP2491" s="60"/>
      <c r="VYQ2491" s="58"/>
      <c r="VYR2491" s="58"/>
      <c r="VYS2491" s="58"/>
      <c r="VYT2491" s="61"/>
      <c r="VYU2491" s="58"/>
      <c r="VYV2491" s="58"/>
      <c r="VYW2491" s="58"/>
      <c r="VYX2491" s="60"/>
      <c r="VYY2491" s="58"/>
      <c r="VYZ2491" s="58"/>
      <c r="VZA2491" s="58"/>
      <c r="VZB2491" s="61"/>
      <c r="VZC2491" s="58"/>
      <c r="VZD2491" s="58"/>
      <c r="VZE2491" s="58"/>
      <c r="VZF2491" s="60"/>
      <c r="VZG2491" s="58"/>
      <c r="VZH2491" s="58"/>
      <c r="VZI2491" s="58"/>
      <c r="VZJ2491" s="61"/>
      <c r="VZK2491" s="58"/>
      <c r="VZL2491" s="58"/>
      <c r="VZM2491" s="58"/>
      <c r="VZN2491" s="60"/>
      <c r="VZO2491" s="58"/>
      <c r="VZP2491" s="58"/>
      <c r="VZQ2491" s="58"/>
      <c r="VZR2491" s="61"/>
      <c r="VZS2491" s="58"/>
      <c r="VZT2491" s="58"/>
      <c r="VZU2491" s="58"/>
      <c r="VZV2491" s="60"/>
      <c r="VZW2491" s="58"/>
      <c r="VZX2491" s="58"/>
      <c r="VZY2491" s="58"/>
      <c r="VZZ2491" s="61"/>
      <c r="WAA2491" s="58"/>
      <c r="WAB2491" s="58"/>
      <c r="WAC2491" s="58"/>
      <c r="WAD2491" s="60"/>
      <c r="WAE2491" s="58"/>
      <c r="WAF2491" s="58"/>
      <c r="WAG2491" s="58"/>
      <c r="WAH2491" s="61"/>
      <c r="WAI2491" s="58"/>
      <c r="WAJ2491" s="58"/>
      <c r="WAK2491" s="58"/>
      <c r="WAL2491" s="60"/>
      <c r="WAM2491" s="58"/>
      <c r="WAN2491" s="58"/>
      <c r="WAO2491" s="58"/>
      <c r="WAP2491" s="61"/>
      <c r="WAQ2491" s="58"/>
      <c r="WAR2491" s="58"/>
      <c r="WAS2491" s="58"/>
      <c r="WAT2491" s="60"/>
      <c r="WAU2491" s="58"/>
      <c r="WAV2491" s="58"/>
      <c r="WAW2491" s="58"/>
      <c r="WAX2491" s="61"/>
      <c r="WAY2491" s="58"/>
      <c r="WAZ2491" s="58"/>
      <c r="WBA2491" s="58"/>
      <c r="WBB2491" s="60"/>
      <c r="WBC2491" s="58"/>
      <c r="WBD2491" s="58"/>
      <c r="WBE2491" s="58"/>
      <c r="WBF2491" s="61"/>
      <c r="WBG2491" s="58"/>
      <c r="WBH2491" s="58"/>
      <c r="WBI2491" s="58"/>
      <c r="WBJ2491" s="60"/>
      <c r="WBK2491" s="58"/>
      <c r="WBL2491" s="58"/>
      <c r="WBM2491" s="58"/>
      <c r="WBN2491" s="61"/>
      <c r="WBO2491" s="58"/>
      <c r="WBP2491" s="58"/>
      <c r="WBQ2491" s="58"/>
      <c r="WBR2491" s="60"/>
      <c r="WBS2491" s="58"/>
      <c r="WBT2491" s="58"/>
      <c r="WBU2491" s="58"/>
      <c r="WBV2491" s="61"/>
      <c r="WBW2491" s="58"/>
      <c r="WBX2491" s="58"/>
      <c r="WBY2491" s="58"/>
      <c r="WBZ2491" s="60"/>
      <c r="WCA2491" s="58"/>
      <c r="WCB2491" s="58"/>
      <c r="WCC2491" s="58"/>
      <c r="WCD2491" s="61"/>
      <c r="WCE2491" s="58"/>
      <c r="WCF2491" s="58"/>
      <c r="WCG2491" s="58"/>
      <c r="WCH2491" s="60"/>
      <c r="WCI2491" s="58"/>
      <c r="WCJ2491" s="58"/>
      <c r="WCK2491" s="58"/>
      <c r="WCL2491" s="61"/>
      <c r="WCM2491" s="58"/>
      <c r="WCN2491" s="58"/>
      <c r="WCO2491" s="58"/>
      <c r="WCP2491" s="60"/>
      <c r="WCQ2491" s="58"/>
      <c r="WCR2491" s="58"/>
      <c r="WCS2491" s="58"/>
      <c r="WCT2491" s="61"/>
      <c r="WCU2491" s="58"/>
      <c r="WCV2491" s="58"/>
      <c r="WCW2491" s="58"/>
      <c r="WCX2491" s="60"/>
      <c r="WCY2491" s="58"/>
      <c r="WCZ2491" s="58"/>
      <c r="WDA2491" s="58"/>
      <c r="WDB2491" s="61"/>
      <c r="WDC2491" s="58"/>
      <c r="WDD2491" s="58"/>
      <c r="WDE2491" s="58"/>
      <c r="WDF2491" s="60"/>
      <c r="WDG2491" s="58"/>
      <c r="WDH2491" s="58"/>
      <c r="WDI2491" s="58"/>
      <c r="WDJ2491" s="61"/>
      <c r="WDK2491" s="58"/>
      <c r="WDL2491" s="58"/>
      <c r="WDM2491" s="58"/>
      <c r="WDN2491" s="60"/>
      <c r="WDO2491" s="58"/>
      <c r="WDP2491" s="58"/>
      <c r="WDQ2491" s="58"/>
      <c r="WDR2491" s="61"/>
      <c r="WDS2491" s="58"/>
      <c r="WDT2491" s="58"/>
      <c r="WDU2491" s="58"/>
      <c r="WDV2491" s="60"/>
      <c r="WDW2491" s="58"/>
      <c r="WDX2491" s="58"/>
      <c r="WDY2491" s="58"/>
      <c r="WDZ2491" s="61"/>
      <c r="WEA2491" s="58"/>
      <c r="WEB2491" s="58"/>
      <c r="WEC2491" s="58"/>
      <c r="WED2491" s="60"/>
      <c r="WEE2491" s="58"/>
      <c r="WEF2491" s="58"/>
      <c r="WEG2491" s="58"/>
      <c r="WEH2491" s="61"/>
      <c r="WEI2491" s="58"/>
      <c r="WEJ2491" s="58"/>
      <c r="WEK2491" s="58"/>
      <c r="WEL2491" s="60"/>
      <c r="WEM2491" s="58"/>
      <c r="WEN2491" s="58"/>
      <c r="WEO2491" s="58"/>
      <c r="WEP2491" s="61"/>
      <c r="WEQ2491" s="58"/>
      <c r="WER2491" s="58"/>
      <c r="WES2491" s="58"/>
      <c r="WET2491" s="60"/>
      <c r="WEU2491" s="58"/>
      <c r="WEV2491" s="58"/>
      <c r="WEW2491" s="58"/>
      <c r="WEX2491" s="61"/>
      <c r="WEY2491" s="58"/>
      <c r="WEZ2491" s="58"/>
      <c r="WFA2491" s="58"/>
      <c r="WFB2491" s="60"/>
      <c r="WFC2491" s="58"/>
      <c r="WFD2491" s="58"/>
      <c r="WFE2491" s="58"/>
      <c r="WFF2491" s="61"/>
      <c r="WFG2491" s="58"/>
      <c r="WFH2491" s="58"/>
      <c r="WFI2491" s="58"/>
      <c r="WFJ2491" s="60"/>
      <c r="WFK2491" s="58"/>
      <c r="WFL2491" s="58"/>
      <c r="WFM2491" s="58"/>
      <c r="WFN2491" s="61"/>
      <c r="WFO2491" s="58"/>
      <c r="WFP2491" s="58"/>
      <c r="WFQ2491" s="58"/>
      <c r="WFR2491" s="60"/>
      <c r="WFS2491" s="58"/>
      <c r="WFT2491" s="58"/>
      <c r="WFU2491" s="58"/>
      <c r="WFV2491" s="61"/>
      <c r="WFW2491" s="58"/>
      <c r="WFX2491" s="58"/>
      <c r="WFY2491" s="58"/>
      <c r="WFZ2491" s="60"/>
      <c r="WGA2491" s="58"/>
      <c r="WGB2491" s="58"/>
      <c r="WGC2491" s="58"/>
      <c r="WGD2491" s="61"/>
      <c r="WGE2491" s="58"/>
      <c r="WGF2491" s="58"/>
      <c r="WGG2491" s="58"/>
      <c r="WGH2491" s="60"/>
      <c r="WGI2491" s="58"/>
      <c r="WGJ2491" s="58"/>
      <c r="WGK2491" s="58"/>
      <c r="WGL2491" s="61"/>
      <c r="WGM2491" s="58"/>
      <c r="WGN2491" s="58"/>
      <c r="WGO2491" s="58"/>
      <c r="WGP2491" s="60"/>
      <c r="WGQ2491" s="58"/>
      <c r="WGR2491" s="58"/>
      <c r="WGS2491" s="58"/>
      <c r="WGT2491" s="61"/>
      <c r="WGU2491" s="58"/>
      <c r="WGV2491" s="58"/>
      <c r="WGW2491" s="58"/>
      <c r="WGX2491" s="60"/>
      <c r="WGY2491" s="58"/>
      <c r="WGZ2491" s="58"/>
      <c r="WHA2491" s="58"/>
      <c r="WHB2491" s="61"/>
      <c r="WHC2491" s="58"/>
      <c r="WHD2491" s="58"/>
      <c r="WHE2491" s="58"/>
      <c r="WHF2491" s="60"/>
      <c r="WHG2491" s="58"/>
      <c r="WHH2491" s="58"/>
      <c r="WHI2491" s="58"/>
      <c r="WHJ2491" s="61"/>
      <c r="WHK2491" s="58"/>
      <c r="WHL2491" s="58"/>
      <c r="WHM2491" s="58"/>
      <c r="WHN2491" s="60"/>
      <c r="WHO2491" s="58"/>
      <c r="WHP2491" s="58"/>
      <c r="WHQ2491" s="58"/>
      <c r="WHR2491" s="61"/>
      <c r="WHS2491" s="58"/>
      <c r="WHT2491" s="58"/>
      <c r="WHU2491" s="58"/>
      <c r="WHV2491" s="60"/>
      <c r="WHW2491" s="58"/>
      <c r="WHX2491" s="58"/>
      <c r="WHY2491" s="58"/>
      <c r="WHZ2491" s="61"/>
      <c r="WIA2491" s="58"/>
      <c r="WIB2491" s="58"/>
      <c r="WIC2491" s="58"/>
      <c r="WID2491" s="60"/>
      <c r="WIE2491" s="58"/>
      <c r="WIF2491" s="58"/>
      <c r="WIG2491" s="58"/>
      <c r="WIH2491" s="61"/>
      <c r="WII2491" s="58"/>
      <c r="WIJ2491" s="58"/>
      <c r="WIK2491" s="58"/>
      <c r="WIL2491" s="60"/>
      <c r="WIM2491" s="58"/>
      <c r="WIN2491" s="58"/>
      <c r="WIO2491" s="58"/>
      <c r="WIP2491" s="61"/>
      <c r="WIQ2491" s="58"/>
      <c r="WIR2491" s="58"/>
      <c r="WIS2491" s="58"/>
      <c r="WIT2491" s="60"/>
      <c r="WIU2491" s="58"/>
      <c r="WIV2491" s="58"/>
      <c r="WIW2491" s="58"/>
      <c r="WIX2491" s="61"/>
      <c r="WIY2491" s="58"/>
      <c r="WIZ2491" s="58"/>
      <c r="WJA2491" s="58"/>
      <c r="WJB2491" s="60"/>
      <c r="WJC2491" s="58"/>
      <c r="WJD2491" s="58"/>
      <c r="WJE2491" s="58"/>
      <c r="WJF2491" s="61"/>
      <c r="WJG2491" s="58"/>
      <c r="WJH2491" s="58"/>
      <c r="WJI2491" s="58"/>
      <c r="WJJ2491" s="60"/>
      <c r="WJK2491" s="58"/>
      <c r="WJL2491" s="58"/>
      <c r="WJM2491" s="58"/>
      <c r="WJN2491" s="61"/>
      <c r="WJO2491" s="58"/>
      <c r="WJP2491" s="58"/>
      <c r="WJQ2491" s="58"/>
      <c r="WJR2491" s="60"/>
      <c r="WJS2491" s="58"/>
      <c r="WJT2491" s="58"/>
      <c r="WJU2491" s="58"/>
      <c r="WJV2491" s="61"/>
      <c r="WJW2491" s="58"/>
      <c r="WJX2491" s="58"/>
      <c r="WJY2491" s="58"/>
      <c r="WJZ2491" s="60"/>
      <c r="WKA2491" s="58"/>
      <c r="WKB2491" s="58"/>
      <c r="WKC2491" s="58"/>
      <c r="WKD2491" s="61"/>
      <c r="WKE2491" s="58"/>
      <c r="WKF2491" s="58"/>
      <c r="WKG2491" s="58"/>
      <c r="WKH2491" s="60"/>
      <c r="WKI2491" s="58"/>
      <c r="WKJ2491" s="58"/>
      <c r="WKK2491" s="58"/>
      <c r="WKL2491" s="61"/>
      <c r="WKM2491" s="58"/>
      <c r="WKN2491" s="58"/>
      <c r="WKO2491" s="58"/>
      <c r="WKP2491" s="60"/>
      <c r="WKQ2491" s="58"/>
      <c r="WKR2491" s="58"/>
      <c r="WKS2491" s="58"/>
      <c r="WKT2491" s="61"/>
      <c r="WKU2491" s="58"/>
      <c r="WKV2491" s="58"/>
      <c r="WKW2491" s="58"/>
      <c r="WKX2491" s="60"/>
      <c r="WKY2491" s="58"/>
      <c r="WKZ2491" s="58"/>
      <c r="WLA2491" s="58"/>
      <c r="WLB2491" s="61"/>
      <c r="WLC2491" s="58"/>
      <c r="WLD2491" s="58"/>
      <c r="WLE2491" s="58"/>
      <c r="WLF2491" s="60"/>
      <c r="WLG2491" s="58"/>
      <c r="WLH2491" s="58"/>
      <c r="WLI2491" s="58"/>
      <c r="WLJ2491" s="61"/>
      <c r="WLK2491" s="58"/>
      <c r="WLL2491" s="58"/>
      <c r="WLM2491" s="58"/>
      <c r="WLN2491" s="60"/>
      <c r="WLO2491" s="58"/>
      <c r="WLP2491" s="58"/>
      <c r="WLQ2491" s="58"/>
      <c r="WLR2491" s="61"/>
      <c r="WLS2491" s="58"/>
      <c r="WLT2491" s="58"/>
      <c r="WLU2491" s="58"/>
      <c r="WLV2491" s="60"/>
      <c r="WLW2491" s="58"/>
      <c r="WLX2491" s="58"/>
      <c r="WLY2491" s="58"/>
      <c r="WLZ2491" s="61"/>
      <c r="WMA2491" s="58"/>
      <c r="WMB2491" s="58"/>
      <c r="WMC2491" s="58"/>
      <c r="WMD2491" s="60"/>
      <c r="WME2491" s="58"/>
      <c r="WMF2491" s="58"/>
      <c r="WMG2491" s="58"/>
      <c r="WMH2491" s="61"/>
      <c r="WMI2491" s="58"/>
      <c r="WMJ2491" s="58"/>
      <c r="WMK2491" s="58"/>
      <c r="WML2491" s="60"/>
      <c r="WMM2491" s="58"/>
      <c r="WMN2491" s="58"/>
      <c r="WMO2491" s="58"/>
      <c r="WMP2491" s="61"/>
      <c r="WMQ2491" s="58"/>
      <c r="WMR2491" s="58"/>
      <c r="WMS2491" s="58"/>
      <c r="WMT2491" s="60"/>
      <c r="WMU2491" s="58"/>
      <c r="WMV2491" s="58"/>
      <c r="WMW2491" s="58"/>
      <c r="WMX2491" s="61"/>
      <c r="WMY2491" s="58"/>
      <c r="WMZ2491" s="58"/>
      <c r="WNA2491" s="58"/>
      <c r="WNB2491" s="60"/>
      <c r="WNC2491" s="58"/>
      <c r="WND2491" s="58"/>
      <c r="WNE2491" s="58"/>
      <c r="WNF2491" s="61"/>
      <c r="WNG2491" s="58"/>
      <c r="WNH2491" s="58"/>
      <c r="WNI2491" s="58"/>
      <c r="WNJ2491" s="60"/>
      <c r="WNK2491" s="58"/>
      <c r="WNL2491" s="58"/>
      <c r="WNM2491" s="58"/>
      <c r="WNN2491" s="61"/>
      <c r="WNO2491" s="58"/>
      <c r="WNP2491" s="58"/>
      <c r="WNQ2491" s="58"/>
      <c r="WNR2491" s="60"/>
      <c r="WNS2491" s="58"/>
      <c r="WNT2491" s="58"/>
      <c r="WNU2491" s="58"/>
      <c r="WNV2491" s="61"/>
      <c r="WNW2491" s="58"/>
      <c r="WNX2491" s="58"/>
      <c r="WNY2491" s="58"/>
      <c r="WNZ2491" s="60"/>
      <c r="WOA2491" s="58"/>
      <c r="WOB2491" s="58"/>
      <c r="WOC2491" s="58"/>
      <c r="WOD2491" s="61"/>
      <c r="WOE2491" s="58"/>
      <c r="WOF2491" s="58"/>
      <c r="WOG2491" s="58"/>
      <c r="WOH2491" s="60"/>
      <c r="WOI2491" s="58"/>
      <c r="WOJ2491" s="58"/>
      <c r="WOK2491" s="58"/>
      <c r="WOL2491" s="61"/>
      <c r="WOM2491" s="58"/>
      <c r="WON2491" s="58"/>
      <c r="WOO2491" s="58"/>
      <c r="WOP2491" s="60"/>
      <c r="WOQ2491" s="58"/>
      <c r="WOR2491" s="58"/>
      <c r="WOS2491" s="58"/>
      <c r="WOT2491" s="61"/>
      <c r="WOU2491" s="58"/>
      <c r="WOV2491" s="58"/>
      <c r="WOW2491" s="58"/>
      <c r="WOX2491" s="60"/>
      <c r="WOY2491" s="58"/>
      <c r="WOZ2491" s="58"/>
      <c r="WPA2491" s="58"/>
      <c r="WPB2491" s="61"/>
      <c r="WPC2491" s="58"/>
      <c r="WPD2491" s="58"/>
      <c r="WPE2491" s="58"/>
      <c r="WPF2491" s="60"/>
      <c r="WPG2491" s="58"/>
      <c r="WPH2491" s="58"/>
      <c r="WPI2491" s="58"/>
      <c r="WPJ2491" s="61"/>
      <c r="WPK2491" s="58"/>
      <c r="WPL2491" s="58"/>
      <c r="WPM2491" s="58"/>
      <c r="WPN2491" s="60"/>
      <c r="WPO2491" s="58"/>
      <c r="WPP2491" s="58"/>
      <c r="WPQ2491" s="58"/>
      <c r="WPR2491" s="61"/>
      <c r="WPS2491" s="58"/>
      <c r="WPT2491" s="58"/>
      <c r="WPU2491" s="58"/>
      <c r="WPV2491" s="60"/>
      <c r="WPW2491" s="58"/>
      <c r="WPX2491" s="58"/>
      <c r="WPY2491" s="58"/>
      <c r="WPZ2491" s="61"/>
      <c r="WQA2491" s="58"/>
      <c r="WQB2491" s="58"/>
      <c r="WQC2491" s="58"/>
      <c r="WQD2491" s="60"/>
      <c r="WQE2491" s="58"/>
      <c r="WQF2491" s="58"/>
      <c r="WQG2491" s="58"/>
      <c r="WQH2491" s="61"/>
      <c r="WQI2491" s="58"/>
      <c r="WQJ2491" s="58"/>
      <c r="WQK2491" s="58"/>
      <c r="WQL2491" s="60"/>
      <c r="WQM2491" s="58"/>
      <c r="WQN2491" s="58"/>
      <c r="WQO2491" s="58"/>
      <c r="WQP2491" s="61"/>
      <c r="WQQ2491" s="58"/>
      <c r="WQR2491" s="58"/>
      <c r="WQS2491" s="58"/>
      <c r="WQT2491" s="60"/>
      <c r="WQU2491" s="58"/>
      <c r="WQV2491" s="58"/>
      <c r="WQW2491" s="58"/>
      <c r="WQX2491" s="61"/>
      <c r="WQY2491" s="58"/>
      <c r="WQZ2491" s="58"/>
      <c r="WRA2491" s="58"/>
      <c r="WRB2491" s="60"/>
      <c r="WRC2491" s="58"/>
      <c r="WRD2491" s="58"/>
      <c r="WRE2491" s="58"/>
      <c r="WRF2491" s="61"/>
      <c r="WRG2491" s="58"/>
      <c r="WRH2491" s="58"/>
      <c r="WRI2491" s="58"/>
      <c r="WRJ2491" s="60"/>
      <c r="WRK2491" s="58"/>
      <c r="WRL2491" s="58"/>
      <c r="WRM2491" s="58"/>
      <c r="WRN2491" s="61"/>
      <c r="WRO2491" s="58"/>
      <c r="WRP2491" s="58"/>
      <c r="WRQ2491" s="58"/>
      <c r="WRR2491" s="60"/>
      <c r="WRS2491" s="58"/>
      <c r="WRT2491" s="58"/>
      <c r="WRU2491" s="58"/>
      <c r="WRV2491" s="61"/>
      <c r="WRW2491" s="58"/>
      <c r="WRX2491" s="58"/>
      <c r="WRY2491" s="58"/>
      <c r="WRZ2491" s="60"/>
      <c r="WSA2491" s="58"/>
      <c r="WSB2491" s="58"/>
      <c r="WSC2491" s="58"/>
      <c r="WSD2491" s="61"/>
      <c r="WSE2491" s="58"/>
      <c r="WSF2491" s="58"/>
      <c r="WSG2491" s="58"/>
      <c r="WSH2491" s="60"/>
      <c r="WSI2491" s="58"/>
      <c r="WSJ2491" s="58"/>
      <c r="WSK2491" s="58"/>
      <c r="WSL2491" s="61"/>
      <c r="WSM2491" s="58"/>
      <c r="WSN2491" s="58"/>
      <c r="WSO2491" s="58"/>
      <c r="WSP2491" s="60"/>
      <c r="WSQ2491" s="58"/>
      <c r="WSR2491" s="58"/>
      <c r="WSS2491" s="58"/>
      <c r="WST2491" s="61"/>
      <c r="WSU2491" s="58"/>
      <c r="WSV2491" s="58"/>
      <c r="WSW2491" s="58"/>
      <c r="WSX2491" s="60"/>
      <c r="WSY2491" s="58"/>
      <c r="WSZ2491" s="58"/>
      <c r="WTA2491" s="58"/>
      <c r="WTB2491" s="61"/>
      <c r="WTC2491" s="58"/>
      <c r="WTD2491" s="58"/>
      <c r="WTE2491" s="58"/>
      <c r="WTF2491" s="60"/>
      <c r="WTG2491" s="58"/>
      <c r="WTH2491" s="58"/>
      <c r="WTI2491" s="58"/>
      <c r="WTJ2491" s="61"/>
      <c r="WTK2491" s="58"/>
      <c r="WTL2491" s="58"/>
      <c r="WTM2491" s="58"/>
      <c r="WTN2491" s="60"/>
      <c r="WTO2491" s="58"/>
      <c r="WTP2491" s="58"/>
      <c r="WTQ2491" s="58"/>
      <c r="WTR2491" s="61"/>
      <c r="WTS2491" s="58"/>
      <c r="WTT2491" s="58"/>
      <c r="WTU2491" s="58"/>
      <c r="WTV2491" s="60"/>
      <c r="WTW2491" s="58"/>
      <c r="WTX2491" s="58"/>
      <c r="WTY2491" s="58"/>
      <c r="WTZ2491" s="61"/>
      <c r="WUA2491" s="58"/>
      <c r="WUB2491" s="58"/>
      <c r="WUC2491" s="58"/>
      <c r="WUD2491" s="60"/>
      <c r="WUE2491" s="58"/>
      <c r="WUF2491" s="58"/>
      <c r="WUG2491" s="58"/>
      <c r="WUH2491" s="61"/>
      <c r="WUI2491" s="58"/>
      <c r="WUJ2491" s="58"/>
      <c r="WUK2491" s="58"/>
      <c r="WUL2491" s="60"/>
      <c r="WUM2491" s="58"/>
      <c r="WUN2491" s="58"/>
      <c r="WUO2491" s="58"/>
      <c r="WUP2491" s="61"/>
      <c r="WUQ2491" s="58"/>
      <c r="WUR2491" s="58"/>
      <c r="WUS2491" s="58"/>
      <c r="WUT2491" s="60"/>
      <c r="WUU2491" s="58"/>
      <c r="WUV2491" s="58"/>
      <c r="WUW2491" s="58"/>
      <c r="WUX2491" s="61"/>
      <c r="WUY2491" s="58"/>
      <c r="WUZ2491" s="58"/>
      <c r="WVA2491" s="58"/>
      <c r="WVB2491" s="60"/>
      <c r="WVC2491" s="58"/>
      <c r="WVD2491" s="58"/>
      <c r="WVE2491" s="58"/>
      <c r="WVF2491" s="61"/>
      <c r="WVG2491" s="58"/>
      <c r="WVH2491" s="58"/>
      <c r="WVI2491" s="58"/>
      <c r="WVJ2491" s="60"/>
      <c r="WVK2491" s="58"/>
      <c r="WVL2491" s="58"/>
      <c r="WVM2491" s="58"/>
      <c r="WVN2491" s="61"/>
      <c r="WVO2491" s="58"/>
      <c r="WVP2491" s="58"/>
      <c r="WVQ2491" s="58"/>
      <c r="WVR2491" s="60"/>
      <c r="WVS2491" s="58"/>
      <c r="WVT2491" s="58"/>
      <c r="WVU2491" s="58"/>
      <c r="WVV2491" s="61"/>
      <c r="WVW2491" s="58"/>
      <c r="WVX2491" s="58"/>
      <c r="WVY2491" s="58"/>
      <c r="WVZ2491" s="60"/>
      <c r="WWA2491" s="58"/>
      <c r="WWB2491" s="58"/>
      <c r="WWC2491" s="58"/>
      <c r="WWD2491" s="61"/>
      <c r="WWE2491" s="58"/>
      <c r="WWF2491" s="58"/>
      <c r="WWG2491" s="58"/>
      <c r="WWH2491" s="60"/>
      <c r="WWI2491" s="58"/>
      <c r="WWJ2491" s="58"/>
      <c r="WWK2491" s="58"/>
      <c r="WWL2491" s="61"/>
      <c r="WWM2491" s="58"/>
      <c r="WWN2491" s="58"/>
      <c r="WWO2491" s="58"/>
      <c r="WWP2491" s="60"/>
      <c r="WWQ2491" s="58"/>
      <c r="WWR2491" s="58"/>
      <c r="WWS2491" s="58"/>
      <c r="WWT2491" s="61"/>
      <c r="WWU2491" s="58"/>
      <c r="WWV2491" s="58"/>
      <c r="WWW2491" s="58"/>
      <c r="WWX2491" s="60"/>
      <c r="WWY2491" s="58"/>
      <c r="WWZ2491" s="58"/>
      <c r="WXA2491" s="58"/>
      <c r="WXB2491" s="61"/>
      <c r="WXC2491" s="58"/>
      <c r="WXD2491" s="58"/>
      <c r="WXE2491" s="58"/>
      <c r="WXF2491" s="60"/>
      <c r="WXG2491" s="58"/>
      <c r="WXH2491" s="58"/>
      <c r="WXI2491" s="58"/>
      <c r="WXJ2491" s="61"/>
      <c r="WXK2491" s="58"/>
      <c r="WXL2491" s="58"/>
      <c r="WXM2491" s="58"/>
      <c r="WXN2491" s="60"/>
      <c r="WXO2491" s="58"/>
      <c r="WXP2491" s="58"/>
      <c r="WXQ2491" s="58"/>
      <c r="WXR2491" s="61"/>
      <c r="WXS2491" s="58"/>
      <c r="WXT2491" s="58"/>
      <c r="WXU2491" s="58"/>
      <c r="WXV2491" s="60"/>
      <c r="WXW2491" s="58"/>
      <c r="WXX2491" s="58"/>
      <c r="WXY2491" s="58"/>
      <c r="WXZ2491" s="61"/>
      <c r="WYA2491" s="58"/>
      <c r="WYB2491" s="58"/>
      <c r="WYC2491" s="58"/>
      <c r="WYD2491" s="60"/>
      <c r="WYE2491" s="58"/>
      <c r="WYF2491" s="58"/>
      <c r="WYG2491" s="58"/>
      <c r="WYH2491" s="61"/>
      <c r="WYI2491" s="58"/>
      <c r="WYJ2491" s="58"/>
      <c r="WYK2491" s="58"/>
      <c r="WYL2491" s="60"/>
      <c r="WYM2491" s="58"/>
      <c r="WYN2491" s="58"/>
      <c r="WYO2491" s="58"/>
      <c r="WYP2491" s="61"/>
      <c r="WYQ2491" s="58"/>
      <c r="WYR2491" s="58"/>
      <c r="WYS2491" s="58"/>
      <c r="WYT2491" s="60"/>
      <c r="WYU2491" s="58"/>
      <c r="WYV2491" s="58"/>
      <c r="WYW2491" s="58"/>
      <c r="WYX2491" s="61"/>
      <c r="WYY2491" s="58"/>
      <c r="WYZ2491" s="58"/>
      <c r="WZA2491" s="58"/>
      <c r="WZB2491" s="60"/>
      <c r="WZC2491" s="58"/>
      <c r="WZD2491" s="58"/>
      <c r="WZE2491" s="58"/>
      <c r="WZF2491" s="61"/>
      <c r="WZG2491" s="58"/>
      <c r="WZH2491" s="58"/>
      <c r="WZI2491" s="58"/>
      <c r="WZJ2491" s="60"/>
      <c r="WZK2491" s="58"/>
      <c r="WZL2491" s="58"/>
      <c r="WZM2491" s="58"/>
      <c r="WZN2491" s="61"/>
      <c r="WZO2491" s="58"/>
      <c r="WZP2491" s="58"/>
      <c r="WZQ2491" s="58"/>
      <c r="WZR2491" s="60"/>
      <c r="WZS2491" s="58"/>
      <c r="WZT2491" s="58"/>
      <c r="WZU2491" s="58"/>
      <c r="WZV2491" s="61"/>
      <c r="WZW2491" s="58"/>
      <c r="WZX2491" s="58"/>
      <c r="WZY2491" s="58"/>
      <c r="WZZ2491" s="60"/>
      <c r="XAA2491" s="58"/>
      <c r="XAB2491" s="58"/>
      <c r="XAC2491" s="58"/>
      <c r="XAD2491" s="61"/>
      <c r="XAE2491" s="58"/>
      <c r="XAF2491" s="58"/>
      <c r="XAG2491" s="58"/>
      <c r="XAH2491" s="60"/>
      <c r="XAI2491" s="58"/>
      <c r="XAJ2491" s="58"/>
      <c r="XAK2491" s="58"/>
      <c r="XAL2491" s="61"/>
      <c r="XAM2491" s="58"/>
      <c r="XAN2491" s="58"/>
      <c r="XAO2491" s="58"/>
      <c r="XAP2491" s="60"/>
      <c r="XAQ2491" s="58"/>
      <c r="XAR2491" s="58"/>
      <c r="XAS2491" s="58"/>
      <c r="XAT2491" s="61"/>
      <c r="XAU2491" s="58"/>
      <c r="XAV2491" s="58"/>
      <c r="XAW2491" s="58"/>
      <c r="XAX2491" s="60"/>
      <c r="XAY2491" s="58"/>
      <c r="XAZ2491" s="58"/>
      <c r="XBA2491" s="58"/>
      <c r="XBB2491" s="61"/>
      <c r="XBC2491" s="58"/>
      <c r="XBD2491" s="58"/>
      <c r="XBE2491" s="58"/>
      <c r="XBF2491" s="60"/>
      <c r="XBG2491" s="58"/>
      <c r="XBH2491" s="58"/>
      <c r="XBI2491" s="58"/>
      <c r="XBJ2491" s="61"/>
      <c r="XBK2491" s="58"/>
      <c r="XBL2491" s="58"/>
      <c r="XBM2491" s="58"/>
      <c r="XBN2491" s="60"/>
      <c r="XBO2491" s="58"/>
      <c r="XBP2491" s="58"/>
      <c r="XBQ2491" s="58"/>
      <c r="XBR2491" s="61"/>
      <c r="XBS2491" s="58"/>
      <c r="XBT2491" s="58"/>
      <c r="XBU2491" s="58"/>
      <c r="XBV2491" s="60"/>
      <c r="XBW2491" s="58"/>
      <c r="XBX2491" s="58"/>
      <c r="XBY2491" s="58"/>
      <c r="XBZ2491" s="61"/>
      <c r="XCA2491" s="58"/>
      <c r="XCB2491" s="58"/>
      <c r="XCC2491" s="58"/>
      <c r="XCD2491" s="60"/>
      <c r="XCE2491" s="58"/>
      <c r="XCF2491" s="58"/>
      <c r="XCG2491" s="58"/>
      <c r="XCH2491" s="61"/>
      <c r="XCI2491" s="58"/>
      <c r="XCJ2491" s="58"/>
      <c r="XCK2491" s="58"/>
      <c r="XCL2491" s="60"/>
      <c r="XCM2491" s="58"/>
      <c r="XCN2491" s="58"/>
      <c r="XCO2491" s="58"/>
      <c r="XCP2491" s="61"/>
      <c r="XCQ2491" s="58"/>
      <c r="XCR2491" s="58"/>
      <c r="XCS2491" s="58"/>
      <c r="XCT2491" s="60"/>
      <c r="XCU2491" s="58"/>
      <c r="XCV2491" s="58"/>
      <c r="XCW2491" s="58"/>
      <c r="XCX2491" s="61"/>
      <c r="XCY2491" s="58"/>
      <c r="XCZ2491" s="58"/>
      <c r="XDA2491" s="58"/>
      <c r="XDB2491" s="60"/>
      <c r="XDC2491" s="58"/>
      <c r="XDD2491" s="58"/>
      <c r="XDE2491" s="58"/>
      <c r="XDF2491" s="61"/>
      <c r="XDG2491" s="58"/>
      <c r="XDH2491" s="58"/>
      <c r="XDI2491" s="58"/>
      <c r="XDJ2491" s="60"/>
      <c r="XDK2491" s="58"/>
      <c r="XDL2491" s="58"/>
      <c r="XDM2491" s="58"/>
      <c r="XDN2491" s="61"/>
      <c r="XDO2491" s="58"/>
      <c r="XDP2491" s="58"/>
      <c r="XDQ2491" s="58"/>
      <c r="XDR2491" s="60"/>
      <c r="XDS2491" s="58"/>
      <c r="XDT2491" s="58"/>
      <c r="XDU2491" s="58"/>
      <c r="XDV2491" s="61"/>
      <c r="XDW2491" s="58"/>
      <c r="XDX2491" s="58"/>
      <c r="XDY2491" s="58"/>
      <c r="XDZ2491" s="60"/>
      <c r="XEA2491" s="58"/>
      <c r="XEB2491" s="58"/>
      <c r="XEC2491" s="58"/>
      <c r="XED2491" s="61"/>
      <c r="XEE2491" s="58"/>
      <c r="XEF2491" s="58"/>
      <c r="XEG2491" s="58"/>
      <c r="XEH2491" s="60"/>
      <c r="XEI2491" s="58"/>
      <c r="XEJ2491" s="58"/>
      <c r="XEK2491" s="58"/>
      <c r="XEL2491" s="61"/>
      <c r="XEM2491" s="58"/>
      <c r="XEN2491" s="58"/>
      <c r="XEO2491" s="58"/>
      <c r="XEP2491" s="60"/>
      <c r="XEQ2491" s="58"/>
      <c r="XER2491" s="58"/>
      <c r="XES2491" s="58"/>
      <c r="XET2491" s="61"/>
      <c r="XEU2491" s="58"/>
      <c r="XEV2491" s="58"/>
      <c r="XEW2491" s="58"/>
    </row>
    <row r="2492" ht="18" customHeight="1" spans="1:16377">
      <c r="A2492" s="6" t="s">
        <v>8209</v>
      </c>
      <c r="B2492" s="6" t="s">
        <v>8808</v>
      </c>
      <c r="C2492" s="6" t="s">
        <v>16431</v>
      </c>
      <c r="D2492" s="5" t="s">
        <v>16374</v>
      </c>
      <c r="E2492" s="195" t="s">
        <v>16432</v>
      </c>
      <c r="F2492" s="7" t="s">
        <v>11535</v>
      </c>
      <c r="G2492" s="59"/>
      <c r="H2492" s="59"/>
      <c r="I2492" s="60"/>
      <c r="J2492" s="60"/>
      <c r="K2492" s="60"/>
      <c r="L2492" s="60"/>
      <c r="M2492" s="59"/>
      <c r="N2492" s="61"/>
      <c r="O2492" s="59"/>
      <c r="P2492" s="59"/>
      <c r="Q2492" s="60"/>
      <c r="R2492" s="60"/>
      <c r="S2492" s="60"/>
      <c r="T2492" s="60"/>
      <c r="U2492" s="59"/>
      <c r="V2492" s="61"/>
      <c r="W2492" s="59"/>
      <c r="X2492" s="59"/>
      <c r="Y2492" s="60"/>
      <c r="Z2492" s="60"/>
      <c r="AA2492" s="60"/>
      <c r="AB2492" s="60"/>
      <c r="AC2492" s="59"/>
      <c r="AD2492" s="61"/>
      <c r="AE2492" s="59"/>
      <c r="AF2492" s="59"/>
      <c r="AG2492" s="60"/>
      <c r="AH2492" s="60"/>
      <c r="AI2492" s="60"/>
      <c r="AJ2492" s="60"/>
      <c r="AK2492" s="59"/>
      <c r="AL2492" s="61"/>
      <c r="AM2492" s="59"/>
      <c r="AN2492" s="59"/>
      <c r="AO2492" s="60"/>
      <c r="AP2492" s="60"/>
      <c r="AQ2492" s="60"/>
      <c r="AR2492" s="60"/>
      <c r="AS2492" s="59"/>
      <c r="AT2492" s="61"/>
      <c r="AU2492" s="59"/>
      <c r="AV2492" s="59"/>
      <c r="AW2492" s="60"/>
      <c r="AX2492" s="60"/>
      <c r="AY2492" s="60"/>
      <c r="AZ2492" s="60"/>
      <c r="BA2492" s="59"/>
      <c r="BB2492" s="61"/>
      <c r="BC2492" s="59"/>
      <c r="BD2492" s="59"/>
      <c r="BE2492" s="60"/>
      <c r="BF2492" s="60"/>
      <c r="BG2492" s="60"/>
      <c r="BH2492" s="60"/>
      <c r="BI2492" s="59"/>
      <c r="BJ2492" s="61"/>
      <c r="BK2492" s="59"/>
      <c r="BL2492" s="59"/>
      <c r="BM2492" s="60"/>
      <c r="BN2492" s="60"/>
      <c r="BO2492" s="60"/>
      <c r="BP2492" s="60"/>
      <c r="BQ2492" s="59"/>
      <c r="BR2492" s="61"/>
      <c r="BS2492" s="59"/>
      <c r="BT2492" s="59"/>
      <c r="BU2492" s="60"/>
      <c r="BV2492" s="60"/>
      <c r="BW2492" s="60"/>
      <c r="BX2492" s="60"/>
      <c r="BY2492" s="59"/>
      <c r="BZ2492" s="61"/>
      <c r="CA2492" s="59"/>
      <c r="CB2492" s="59"/>
      <c r="CC2492" s="60"/>
      <c r="CD2492" s="60"/>
      <c r="CE2492" s="60"/>
      <c r="CF2492" s="60"/>
      <c r="CG2492" s="59"/>
      <c r="CH2492" s="61"/>
      <c r="CI2492" s="59"/>
      <c r="CJ2492" s="59"/>
      <c r="CK2492" s="60"/>
      <c r="CL2492" s="60"/>
      <c r="CM2492" s="60"/>
      <c r="CN2492" s="60"/>
      <c r="CO2492" s="59"/>
      <c r="CP2492" s="61"/>
      <c r="CQ2492" s="59"/>
      <c r="CR2492" s="59"/>
      <c r="CS2492" s="60"/>
      <c r="CT2492" s="60"/>
      <c r="CU2492" s="60"/>
      <c r="CV2492" s="60"/>
      <c r="CW2492" s="59"/>
      <c r="CX2492" s="61"/>
      <c r="CY2492" s="59"/>
      <c r="CZ2492" s="59"/>
      <c r="DA2492" s="60"/>
      <c r="DB2492" s="60"/>
      <c r="DC2492" s="60"/>
      <c r="DD2492" s="60"/>
      <c r="DE2492" s="59"/>
      <c r="DF2492" s="61"/>
      <c r="DG2492" s="59"/>
      <c r="DH2492" s="59"/>
      <c r="DI2492" s="60"/>
      <c r="DJ2492" s="60"/>
      <c r="DK2492" s="60"/>
      <c r="DL2492" s="60"/>
      <c r="DM2492" s="59"/>
      <c r="DN2492" s="61"/>
      <c r="DO2492" s="59"/>
      <c r="DP2492" s="59"/>
      <c r="DQ2492" s="60"/>
      <c r="DR2492" s="60"/>
      <c r="DS2492" s="60"/>
      <c r="DT2492" s="60"/>
      <c r="DU2492" s="59"/>
      <c r="DV2492" s="61"/>
      <c r="DW2492" s="59"/>
      <c r="DX2492" s="59"/>
      <c r="DY2492" s="60"/>
      <c r="DZ2492" s="60"/>
      <c r="EA2492" s="60"/>
      <c r="EB2492" s="60"/>
      <c r="EC2492" s="59"/>
      <c r="ED2492" s="61"/>
      <c r="EE2492" s="59"/>
      <c r="EF2492" s="59"/>
      <c r="EG2492" s="60"/>
      <c r="EH2492" s="60"/>
      <c r="EI2492" s="60"/>
      <c r="EJ2492" s="60"/>
      <c r="EK2492" s="59"/>
      <c r="EL2492" s="61"/>
      <c r="EM2492" s="59"/>
      <c r="EN2492" s="59"/>
      <c r="EO2492" s="60"/>
      <c r="EP2492" s="60"/>
      <c r="EQ2492" s="60"/>
      <c r="ER2492" s="60"/>
      <c r="ES2492" s="59"/>
      <c r="ET2492" s="61"/>
      <c r="EU2492" s="59"/>
      <c r="EV2492" s="59"/>
      <c r="EW2492" s="60"/>
      <c r="EX2492" s="60"/>
      <c r="EY2492" s="60"/>
      <c r="EZ2492" s="60"/>
      <c r="FA2492" s="59"/>
      <c r="FB2492" s="61"/>
      <c r="FC2492" s="59"/>
      <c r="FD2492" s="59"/>
      <c r="FE2492" s="60"/>
      <c r="FF2492" s="60"/>
      <c r="FG2492" s="60"/>
      <c r="FH2492" s="60"/>
      <c r="FI2492" s="59"/>
      <c r="FJ2492" s="61"/>
      <c r="FK2492" s="59"/>
      <c r="FL2492" s="59"/>
      <c r="FM2492" s="60"/>
      <c r="FN2492" s="60"/>
      <c r="FO2492" s="60"/>
      <c r="FP2492" s="60"/>
      <c r="FQ2492" s="59"/>
      <c r="FR2492" s="61"/>
      <c r="FS2492" s="59"/>
      <c r="FT2492" s="59"/>
      <c r="FU2492" s="60"/>
      <c r="FV2492" s="60"/>
      <c r="FW2492" s="60"/>
      <c r="FX2492" s="60"/>
      <c r="FY2492" s="59"/>
      <c r="FZ2492" s="61"/>
      <c r="GA2492" s="59"/>
      <c r="GB2492" s="59"/>
      <c r="GC2492" s="60"/>
      <c r="GD2492" s="60"/>
      <c r="GE2492" s="60"/>
      <c r="GF2492" s="60"/>
      <c r="GG2492" s="59"/>
      <c r="GH2492" s="61"/>
      <c r="GI2492" s="59"/>
      <c r="GJ2492" s="59"/>
      <c r="GK2492" s="60"/>
      <c r="GL2492" s="60"/>
      <c r="GM2492" s="60"/>
      <c r="GN2492" s="60"/>
      <c r="GO2492" s="59"/>
      <c r="GP2492" s="61"/>
      <c r="GQ2492" s="59"/>
      <c r="GR2492" s="59"/>
      <c r="GS2492" s="60"/>
      <c r="GT2492" s="60"/>
      <c r="GU2492" s="60"/>
      <c r="GV2492" s="60"/>
      <c r="GW2492" s="59"/>
      <c r="GX2492" s="61"/>
      <c r="GY2492" s="59"/>
      <c r="GZ2492" s="59"/>
      <c r="HA2492" s="60"/>
      <c r="HB2492" s="60"/>
      <c r="HC2492" s="60"/>
      <c r="HD2492" s="60"/>
      <c r="HE2492" s="59"/>
      <c r="HF2492" s="61"/>
      <c r="HG2492" s="59"/>
      <c r="HH2492" s="59"/>
      <c r="HI2492" s="60"/>
      <c r="HJ2492" s="60"/>
      <c r="HK2492" s="60"/>
      <c r="HL2492" s="60"/>
      <c r="HM2492" s="59"/>
      <c r="HN2492" s="61"/>
      <c r="HO2492" s="59"/>
      <c r="HP2492" s="59"/>
      <c r="HQ2492" s="60"/>
      <c r="HR2492" s="60"/>
      <c r="HS2492" s="60"/>
      <c r="HT2492" s="60"/>
      <c r="HU2492" s="59"/>
      <c r="HV2492" s="61"/>
      <c r="HW2492" s="59"/>
      <c r="HX2492" s="59"/>
      <c r="HY2492" s="60"/>
      <c r="HZ2492" s="60"/>
      <c r="IA2492" s="60"/>
      <c r="IB2492" s="60"/>
      <c r="IC2492" s="59"/>
      <c r="ID2492" s="61"/>
      <c r="IE2492" s="59"/>
      <c r="IF2492" s="59"/>
      <c r="IG2492" s="60"/>
      <c r="IH2492" s="60"/>
      <c r="II2492" s="60"/>
      <c r="IJ2492" s="60"/>
      <c r="IK2492" s="59"/>
      <c r="IL2492" s="61"/>
      <c r="IM2492" s="59"/>
      <c r="IN2492" s="59"/>
      <c r="IO2492" s="60"/>
      <c r="IP2492" s="60"/>
      <c r="IQ2492" s="60"/>
      <c r="IR2492" s="60"/>
      <c r="IS2492" s="59"/>
      <c r="IT2492" s="61"/>
      <c r="IU2492" s="59"/>
      <c r="IV2492" s="59"/>
      <c r="IW2492" s="60"/>
      <c r="IX2492" s="60"/>
      <c r="IY2492" s="60"/>
      <c r="IZ2492" s="60"/>
      <c r="JA2492" s="59"/>
      <c r="JB2492" s="61"/>
      <c r="JC2492" s="59"/>
      <c r="JD2492" s="59"/>
      <c r="JE2492" s="60"/>
      <c r="JF2492" s="60"/>
      <c r="JG2492" s="60"/>
      <c r="JH2492" s="60"/>
      <c r="JI2492" s="59"/>
      <c r="JJ2492" s="61"/>
      <c r="JK2492" s="59"/>
      <c r="JL2492" s="59"/>
      <c r="JM2492" s="60"/>
      <c r="JN2492" s="60"/>
      <c r="JO2492" s="60"/>
      <c r="JP2492" s="60"/>
      <c r="JQ2492" s="59"/>
      <c r="JR2492" s="61"/>
      <c r="JS2492" s="59"/>
      <c r="JT2492" s="59"/>
      <c r="JU2492" s="60"/>
      <c r="JV2492" s="60"/>
      <c r="JW2492" s="60"/>
      <c r="JX2492" s="60"/>
      <c r="JY2492" s="59"/>
      <c r="JZ2492" s="61"/>
      <c r="KA2492" s="59"/>
      <c r="KB2492" s="59"/>
      <c r="KC2492" s="60"/>
      <c r="KD2492" s="60"/>
      <c r="KE2492" s="60"/>
      <c r="KF2492" s="60"/>
      <c r="KG2492" s="59"/>
      <c r="KH2492" s="61"/>
      <c r="KI2492" s="59"/>
      <c r="KJ2492" s="59"/>
      <c r="KK2492" s="60"/>
      <c r="KL2492" s="60"/>
      <c r="KM2492" s="60"/>
      <c r="KN2492" s="60"/>
      <c r="KO2492" s="59"/>
      <c r="KP2492" s="61"/>
      <c r="KQ2492" s="59"/>
      <c r="KR2492" s="59"/>
      <c r="KS2492" s="60"/>
      <c r="KT2492" s="60"/>
      <c r="KU2492" s="60"/>
      <c r="KV2492" s="60"/>
      <c r="KW2492" s="59"/>
      <c r="KX2492" s="61"/>
      <c r="KY2492" s="59"/>
      <c r="KZ2492" s="59"/>
      <c r="LA2492" s="60"/>
      <c r="LB2492" s="60"/>
      <c r="LC2492" s="60"/>
      <c r="LD2492" s="60"/>
      <c r="LE2492" s="59"/>
      <c r="LF2492" s="61"/>
      <c r="LG2492" s="59"/>
      <c r="LH2492" s="59"/>
      <c r="LI2492" s="60"/>
      <c r="LJ2492" s="60"/>
      <c r="LK2492" s="60"/>
      <c r="LL2492" s="60"/>
      <c r="LM2492" s="59"/>
      <c r="LN2492" s="61"/>
      <c r="LO2492" s="59"/>
      <c r="LP2492" s="59"/>
      <c r="LQ2492" s="60"/>
      <c r="LR2492" s="60"/>
      <c r="LS2492" s="60"/>
      <c r="LT2492" s="60"/>
      <c r="LU2492" s="59"/>
      <c r="LV2492" s="61"/>
      <c r="LW2492" s="59"/>
      <c r="LX2492" s="59"/>
      <c r="LY2492" s="60"/>
      <c r="LZ2492" s="60"/>
      <c r="MA2492" s="60"/>
      <c r="MB2492" s="60"/>
      <c r="MC2492" s="59"/>
      <c r="MD2492" s="61"/>
      <c r="ME2492" s="59"/>
      <c r="MF2492" s="59"/>
      <c r="MG2492" s="60"/>
      <c r="MH2492" s="60"/>
      <c r="MI2492" s="60"/>
      <c r="MJ2492" s="60"/>
      <c r="MK2492" s="59"/>
      <c r="ML2492" s="61"/>
      <c r="MM2492" s="59"/>
      <c r="MN2492" s="59"/>
      <c r="MO2492" s="60"/>
      <c r="MP2492" s="60"/>
      <c r="MQ2492" s="60"/>
      <c r="MR2492" s="60"/>
      <c r="MS2492" s="59"/>
      <c r="MT2492" s="61"/>
      <c r="MU2492" s="59"/>
      <c r="MV2492" s="59"/>
      <c r="MW2492" s="60"/>
      <c r="MX2492" s="60"/>
      <c r="MY2492" s="60"/>
      <c r="MZ2492" s="60"/>
      <c r="NA2492" s="59"/>
      <c r="NB2492" s="61"/>
      <c r="NC2492" s="59"/>
      <c r="ND2492" s="59"/>
      <c r="NE2492" s="60"/>
      <c r="NF2492" s="60"/>
      <c r="NG2492" s="60"/>
      <c r="NH2492" s="60"/>
      <c r="NI2492" s="59"/>
      <c r="NJ2492" s="61"/>
      <c r="NK2492" s="59"/>
      <c r="NL2492" s="59"/>
      <c r="NM2492" s="60"/>
      <c r="NN2492" s="60"/>
      <c r="NO2492" s="60"/>
      <c r="NP2492" s="60"/>
      <c r="NQ2492" s="59"/>
      <c r="NR2492" s="61"/>
      <c r="NS2492" s="59"/>
      <c r="NT2492" s="59"/>
      <c r="NU2492" s="60"/>
      <c r="NV2492" s="60"/>
      <c r="NW2492" s="60"/>
      <c r="NX2492" s="60"/>
      <c r="NY2492" s="59"/>
      <c r="NZ2492" s="61"/>
      <c r="OA2492" s="59"/>
      <c r="OB2492" s="59"/>
      <c r="OC2492" s="60"/>
      <c r="OD2492" s="60"/>
      <c r="OE2492" s="60"/>
      <c r="OF2492" s="60"/>
      <c r="OG2492" s="59"/>
      <c r="OH2492" s="61"/>
      <c r="OI2492" s="59"/>
      <c r="OJ2492" s="59"/>
      <c r="OK2492" s="60"/>
      <c r="OL2492" s="60"/>
      <c r="OM2492" s="60"/>
      <c r="ON2492" s="60"/>
      <c r="OO2492" s="59"/>
      <c r="OP2492" s="61"/>
      <c r="OQ2492" s="59"/>
      <c r="OR2492" s="59"/>
      <c r="OS2492" s="60"/>
      <c r="OT2492" s="60"/>
      <c r="OU2492" s="60"/>
      <c r="OV2492" s="60"/>
      <c r="OW2492" s="59"/>
      <c r="OX2492" s="61"/>
      <c r="OY2492" s="59"/>
      <c r="OZ2492" s="59"/>
      <c r="PA2492" s="60"/>
      <c r="PB2492" s="60"/>
      <c r="PC2492" s="60"/>
      <c r="PD2492" s="60"/>
      <c r="PE2492" s="59"/>
      <c r="PF2492" s="61"/>
      <c r="PG2492" s="59"/>
      <c r="PH2492" s="59"/>
      <c r="PI2492" s="60"/>
      <c r="PJ2492" s="60"/>
      <c r="PK2492" s="60"/>
      <c r="PL2492" s="60"/>
      <c r="PM2492" s="59"/>
      <c r="PN2492" s="61"/>
      <c r="PO2492" s="59"/>
      <c r="PP2492" s="59"/>
      <c r="PQ2492" s="60"/>
      <c r="PR2492" s="60"/>
      <c r="PS2492" s="60"/>
      <c r="PT2492" s="60"/>
      <c r="PU2492" s="59"/>
      <c r="PV2492" s="61"/>
      <c r="PW2492" s="59"/>
      <c r="PX2492" s="59"/>
      <c r="PY2492" s="60"/>
      <c r="PZ2492" s="60"/>
      <c r="QA2492" s="60"/>
      <c r="QB2492" s="60"/>
      <c r="QC2492" s="59"/>
      <c r="QD2492" s="61"/>
      <c r="QE2492" s="59"/>
      <c r="QF2492" s="59"/>
      <c r="QG2492" s="60"/>
      <c r="QH2492" s="60"/>
      <c r="QI2492" s="60"/>
      <c r="QJ2492" s="60"/>
      <c r="QK2492" s="59"/>
      <c r="QL2492" s="61"/>
      <c r="QM2492" s="59"/>
      <c r="QN2492" s="59"/>
      <c r="QO2492" s="60"/>
      <c r="QP2492" s="60"/>
      <c r="QQ2492" s="60"/>
      <c r="QR2492" s="60"/>
      <c r="QS2492" s="59"/>
      <c r="QT2492" s="61"/>
      <c r="QU2492" s="59"/>
      <c r="QV2492" s="59"/>
      <c r="QW2492" s="60"/>
      <c r="QX2492" s="60"/>
      <c r="QY2492" s="60"/>
      <c r="QZ2492" s="60"/>
      <c r="RA2492" s="59"/>
      <c r="RB2492" s="61"/>
      <c r="RC2492" s="59"/>
      <c r="RD2492" s="59"/>
      <c r="RE2492" s="60"/>
      <c r="RF2492" s="60"/>
      <c r="RG2492" s="60"/>
      <c r="RH2492" s="60"/>
      <c r="RI2492" s="59"/>
      <c r="RJ2492" s="61"/>
      <c r="RK2492" s="59"/>
      <c r="RL2492" s="59"/>
      <c r="RM2492" s="60"/>
      <c r="RN2492" s="60"/>
      <c r="RO2492" s="60"/>
      <c r="RP2492" s="60"/>
      <c r="RQ2492" s="59"/>
      <c r="RR2492" s="61"/>
      <c r="RS2492" s="59"/>
      <c r="RT2492" s="59"/>
      <c r="RU2492" s="60"/>
      <c r="RV2492" s="60"/>
      <c r="RW2492" s="60"/>
      <c r="RX2492" s="60"/>
      <c r="RY2492" s="59"/>
      <c r="RZ2492" s="61"/>
      <c r="SA2492" s="59"/>
      <c r="SB2492" s="59"/>
      <c r="SC2492" s="60"/>
      <c r="SD2492" s="60"/>
      <c r="SE2492" s="60"/>
      <c r="SF2492" s="60"/>
      <c r="SG2492" s="59"/>
      <c r="SH2492" s="61"/>
      <c r="SI2492" s="59"/>
      <c r="SJ2492" s="59"/>
      <c r="SK2492" s="60"/>
      <c r="SL2492" s="60"/>
      <c r="SM2492" s="60"/>
      <c r="SN2492" s="60"/>
      <c r="SO2492" s="59"/>
      <c r="SP2492" s="61"/>
      <c r="SQ2492" s="59"/>
      <c r="SR2492" s="59"/>
      <c r="SS2492" s="60"/>
      <c r="ST2492" s="60"/>
      <c r="SU2492" s="60"/>
      <c r="SV2492" s="60"/>
      <c r="SW2492" s="59"/>
      <c r="SX2492" s="61"/>
      <c r="SY2492" s="59"/>
      <c r="SZ2492" s="59"/>
      <c r="TA2492" s="60"/>
      <c r="TB2492" s="60"/>
      <c r="TC2492" s="60"/>
      <c r="TD2492" s="60"/>
      <c r="TE2492" s="59"/>
      <c r="TF2492" s="61"/>
      <c r="TG2492" s="59"/>
      <c r="TH2492" s="59"/>
      <c r="TI2492" s="60"/>
      <c r="TJ2492" s="60"/>
      <c r="TK2492" s="60"/>
      <c r="TL2492" s="60"/>
      <c r="TM2492" s="59"/>
      <c r="TN2492" s="61"/>
      <c r="TO2492" s="59"/>
      <c r="TP2492" s="59"/>
      <c r="TQ2492" s="60"/>
      <c r="TR2492" s="60"/>
      <c r="TS2492" s="60"/>
      <c r="TT2492" s="60"/>
      <c r="TU2492" s="59"/>
      <c r="TV2492" s="61"/>
      <c r="TW2492" s="59"/>
      <c r="TX2492" s="59"/>
      <c r="TY2492" s="60"/>
      <c r="TZ2492" s="60"/>
      <c r="UA2492" s="60"/>
      <c r="UB2492" s="60"/>
      <c r="UC2492" s="59"/>
      <c r="UD2492" s="61"/>
      <c r="UE2492" s="59"/>
      <c r="UF2492" s="59"/>
      <c r="UG2492" s="60"/>
      <c r="UH2492" s="60"/>
      <c r="UI2492" s="60"/>
      <c r="UJ2492" s="60"/>
      <c r="UK2492" s="59"/>
      <c r="UL2492" s="61"/>
      <c r="UM2492" s="59"/>
      <c r="UN2492" s="59"/>
      <c r="UO2492" s="60"/>
      <c r="UP2492" s="60"/>
      <c r="UQ2492" s="60"/>
      <c r="UR2492" s="60"/>
      <c r="US2492" s="59"/>
      <c r="UT2492" s="61"/>
      <c r="UU2492" s="59"/>
      <c r="UV2492" s="59"/>
      <c r="UW2492" s="60"/>
      <c r="UX2492" s="60"/>
      <c r="UY2492" s="60"/>
      <c r="UZ2492" s="60"/>
      <c r="VA2492" s="59"/>
      <c r="VB2492" s="61"/>
      <c r="VC2492" s="59"/>
      <c r="VD2492" s="59"/>
      <c r="VE2492" s="60"/>
      <c r="VF2492" s="60"/>
      <c r="VG2492" s="60"/>
      <c r="VH2492" s="60"/>
      <c r="VI2492" s="59"/>
      <c r="VJ2492" s="61"/>
      <c r="VK2492" s="59"/>
      <c r="VL2492" s="59"/>
      <c r="VM2492" s="60"/>
      <c r="VN2492" s="60"/>
      <c r="VO2492" s="60"/>
      <c r="VP2492" s="60"/>
      <c r="VQ2492" s="59"/>
      <c r="VR2492" s="61"/>
      <c r="VS2492" s="59"/>
      <c r="VT2492" s="59"/>
      <c r="VU2492" s="60"/>
      <c r="VV2492" s="60"/>
      <c r="VW2492" s="60"/>
      <c r="VX2492" s="60"/>
      <c r="VY2492" s="59"/>
      <c r="VZ2492" s="61"/>
      <c r="WA2492" s="59"/>
      <c r="WB2492" s="59"/>
      <c r="WC2492" s="60"/>
      <c r="WD2492" s="60"/>
      <c r="WE2492" s="60"/>
      <c r="WF2492" s="60"/>
      <c r="WG2492" s="59"/>
      <c r="WH2492" s="61"/>
      <c r="WI2492" s="59"/>
      <c r="WJ2492" s="59"/>
      <c r="WK2492" s="60"/>
      <c r="WL2492" s="60"/>
      <c r="WM2492" s="60"/>
      <c r="WN2492" s="60"/>
      <c r="WO2492" s="59"/>
      <c r="WP2492" s="61"/>
      <c r="WQ2492" s="59"/>
      <c r="WR2492" s="59"/>
      <c r="WS2492" s="60"/>
      <c r="WT2492" s="60"/>
      <c r="WU2492" s="60"/>
      <c r="WV2492" s="60"/>
      <c r="WW2492" s="59"/>
      <c r="WX2492" s="61"/>
      <c r="WY2492" s="59"/>
      <c r="WZ2492" s="59"/>
      <c r="XA2492" s="60"/>
      <c r="XB2492" s="60"/>
      <c r="XC2492" s="60"/>
      <c r="XD2492" s="60"/>
      <c r="XE2492" s="59"/>
      <c r="XF2492" s="61"/>
      <c r="XG2492" s="59"/>
      <c r="XH2492" s="59"/>
      <c r="XI2492" s="60"/>
      <c r="XJ2492" s="60"/>
      <c r="XK2492" s="60"/>
      <c r="XL2492" s="60"/>
      <c r="XM2492" s="59"/>
      <c r="XN2492" s="61"/>
      <c r="XO2492" s="59"/>
      <c r="XP2492" s="59"/>
      <c r="XQ2492" s="60"/>
      <c r="XR2492" s="60"/>
      <c r="XS2492" s="60"/>
      <c r="XT2492" s="60"/>
      <c r="XU2492" s="59"/>
      <c r="XV2492" s="61"/>
      <c r="XW2492" s="59"/>
      <c r="XX2492" s="59"/>
      <c r="XY2492" s="60"/>
      <c r="XZ2492" s="60"/>
      <c r="YA2492" s="60"/>
      <c r="YB2492" s="60"/>
      <c r="YC2492" s="59"/>
      <c r="YD2492" s="61"/>
      <c r="YE2492" s="59"/>
      <c r="YF2492" s="59"/>
      <c r="YG2492" s="60"/>
      <c r="YH2492" s="60"/>
      <c r="YI2492" s="60"/>
      <c r="YJ2492" s="60"/>
      <c r="YK2492" s="59"/>
      <c r="YL2492" s="61"/>
      <c r="YM2492" s="59"/>
      <c r="YN2492" s="59"/>
      <c r="YO2492" s="60"/>
      <c r="YP2492" s="60"/>
      <c r="YQ2492" s="60"/>
      <c r="YR2492" s="60"/>
      <c r="YS2492" s="59"/>
      <c r="YT2492" s="61"/>
      <c r="YU2492" s="59"/>
      <c r="YV2492" s="59"/>
      <c r="YW2492" s="60"/>
      <c r="YX2492" s="60"/>
      <c r="YY2492" s="60"/>
      <c r="YZ2492" s="60"/>
      <c r="ZA2492" s="59"/>
      <c r="ZB2492" s="61"/>
      <c r="ZC2492" s="59"/>
      <c r="ZD2492" s="59"/>
      <c r="ZE2492" s="60"/>
      <c r="ZF2492" s="60"/>
      <c r="ZG2492" s="60"/>
      <c r="ZH2492" s="60"/>
      <c r="ZI2492" s="59"/>
      <c r="ZJ2492" s="61"/>
      <c r="ZK2492" s="59"/>
      <c r="ZL2492" s="59"/>
      <c r="ZM2492" s="60"/>
      <c r="ZN2492" s="60"/>
      <c r="ZO2492" s="60"/>
      <c r="ZP2492" s="60"/>
      <c r="ZQ2492" s="59"/>
      <c r="ZR2492" s="61"/>
      <c r="ZS2492" s="59"/>
      <c r="ZT2492" s="59"/>
      <c r="ZU2492" s="60"/>
      <c r="ZV2492" s="60"/>
      <c r="ZW2492" s="60"/>
      <c r="ZX2492" s="60"/>
      <c r="ZY2492" s="59"/>
      <c r="ZZ2492" s="61"/>
      <c r="AAA2492" s="59"/>
      <c r="AAB2492" s="59"/>
      <c r="AAC2492" s="60"/>
      <c r="AAD2492" s="60"/>
      <c r="AAE2492" s="60"/>
      <c r="AAF2492" s="60"/>
      <c r="AAG2492" s="59"/>
      <c r="AAH2492" s="61"/>
      <c r="AAI2492" s="59"/>
      <c r="AAJ2492" s="59"/>
      <c r="AAK2492" s="60"/>
      <c r="AAL2492" s="60"/>
      <c r="AAM2492" s="60"/>
      <c r="AAN2492" s="60"/>
      <c r="AAO2492" s="59"/>
      <c r="AAP2492" s="61"/>
      <c r="AAQ2492" s="59"/>
      <c r="AAR2492" s="59"/>
      <c r="AAS2492" s="60"/>
      <c r="AAT2492" s="60"/>
      <c r="AAU2492" s="60"/>
      <c r="AAV2492" s="60"/>
      <c r="AAW2492" s="59"/>
      <c r="AAX2492" s="61"/>
      <c r="AAY2492" s="59"/>
      <c r="AAZ2492" s="59"/>
      <c r="ABA2492" s="60"/>
      <c r="ABB2492" s="60"/>
      <c r="ABC2492" s="60"/>
      <c r="ABD2492" s="60"/>
      <c r="ABE2492" s="59"/>
      <c r="ABF2492" s="61"/>
      <c r="ABG2492" s="59"/>
      <c r="ABH2492" s="59"/>
      <c r="ABI2492" s="60"/>
      <c r="ABJ2492" s="60"/>
      <c r="ABK2492" s="60"/>
      <c r="ABL2492" s="60"/>
      <c r="ABM2492" s="59"/>
      <c r="ABN2492" s="61"/>
      <c r="ABO2492" s="59"/>
      <c r="ABP2492" s="59"/>
      <c r="ABQ2492" s="60"/>
      <c r="ABR2492" s="60"/>
      <c r="ABS2492" s="60"/>
      <c r="ABT2492" s="60"/>
      <c r="ABU2492" s="59"/>
      <c r="ABV2492" s="61"/>
      <c r="ABW2492" s="59"/>
      <c r="ABX2492" s="59"/>
      <c r="ABY2492" s="60"/>
      <c r="ABZ2492" s="60"/>
      <c r="ACA2492" s="60"/>
      <c r="ACB2492" s="60"/>
      <c r="ACC2492" s="59"/>
      <c r="ACD2492" s="61"/>
      <c r="ACE2492" s="59"/>
      <c r="ACF2492" s="59"/>
      <c r="ACG2492" s="60"/>
      <c r="ACH2492" s="60"/>
      <c r="ACI2492" s="60"/>
      <c r="ACJ2492" s="60"/>
      <c r="ACK2492" s="59"/>
      <c r="ACL2492" s="61"/>
      <c r="ACM2492" s="59"/>
      <c r="ACN2492" s="59"/>
      <c r="ACO2492" s="60"/>
      <c r="ACP2492" s="60"/>
      <c r="ACQ2492" s="60"/>
      <c r="ACR2492" s="60"/>
      <c r="ACS2492" s="59"/>
      <c r="ACT2492" s="61"/>
      <c r="ACU2492" s="59"/>
      <c r="ACV2492" s="59"/>
      <c r="ACW2492" s="60"/>
      <c r="ACX2492" s="60"/>
      <c r="ACY2492" s="60"/>
      <c r="ACZ2492" s="60"/>
      <c r="ADA2492" s="59"/>
      <c r="ADB2492" s="61"/>
      <c r="ADC2492" s="59"/>
      <c r="ADD2492" s="59"/>
      <c r="ADE2492" s="60"/>
      <c r="ADF2492" s="60"/>
      <c r="ADG2492" s="60"/>
      <c r="ADH2492" s="60"/>
      <c r="ADI2492" s="59"/>
      <c r="ADJ2492" s="61"/>
      <c r="ADK2492" s="59"/>
      <c r="ADL2492" s="59"/>
      <c r="ADM2492" s="60"/>
      <c r="ADN2492" s="60"/>
      <c r="ADO2492" s="60"/>
      <c r="ADP2492" s="60"/>
      <c r="ADQ2492" s="59"/>
      <c r="ADR2492" s="61"/>
      <c r="ADS2492" s="59"/>
      <c r="ADT2492" s="59"/>
      <c r="ADU2492" s="60"/>
      <c r="ADV2492" s="60"/>
      <c r="ADW2492" s="60"/>
      <c r="ADX2492" s="60"/>
      <c r="ADY2492" s="59"/>
      <c r="ADZ2492" s="61"/>
      <c r="AEA2492" s="59"/>
      <c r="AEB2492" s="59"/>
      <c r="AEC2492" s="60"/>
      <c r="AED2492" s="60"/>
      <c r="AEE2492" s="60"/>
      <c r="AEF2492" s="60"/>
      <c r="AEG2492" s="59"/>
      <c r="AEH2492" s="61"/>
      <c r="AEI2492" s="59"/>
      <c r="AEJ2492" s="59"/>
      <c r="AEK2492" s="60"/>
      <c r="AEL2492" s="60"/>
      <c r="AEM2492" s="60"/>
      <c r="AEN2492" s="60"/>
      <c r="AEO2492" s="59"/>
      <c r="AEP2492" s="61"/>
      <c r="AEQ2492" s="59"/>
      <c r="AER2492" s="59"/>
      <c r="AES2492" s="60"/>
      <c r="AET2492" s="60"/>
      <c r="AEU2492" s="60"/>
      <c r="AEV2492" s="60"/>
      <c r="AEW2492" s="59"/>
      <c r="AEX2492" s="61"/>
      <c r="AEY2492" s="59"/>
      <c r="AEZ2492" s="59"/>
      <c r="AFA2492" s="60"/>
      <c r="AFB2492" s="60"/>
      <c r="AFC2492" s="60"/>
      <c r="AFD2492" s="60"/>
      <c r="AFE2492" s="59"/>
      <c r="AFF2492" s="61"/>
      <c r="AFG2492" s="59"/>
      <c r="AFH2492" s="59"/>
      <c r="AFI2492" s="60"/>
      <c r="AFJ2492" s="60"/>
      <c r="AFK2492" s="60"/>
      <c r="AFL2492" s="60"/>
      <c r="AFM2492" s="59"/>
      <c r="AFN2492" s="61"/>
      <c r="AFO2492" s="59"/>
      <c r="AFP2492" s="59"/>
      <c r="AFQ2492" s="60"/>
      <c r="AFR2492" s="60"/>
      <c r="AFS2492" s="60"/>
      <c r="AFT2492" s="60"/>
      <c r="AFU2492" s="59"/>
      <c r="AFV2492" s="61"/>
      <c r="AFW2492" s="59"/>
      <c r="AFX2492" s="59"/>
      <c r="AFY2492" s="60"/>
      <c r="AFZ2492" s="60"/>
      <c r="AGA2492" s="60"/>
      <c r="AGB2492" s="60"/>
      <c r="AGC2492" s="59"/>
      <c r="AGD2492" s="61"/>
      <c r="AGE2492" s="59"/>
      <c r="AGF2492" s="59"/>
      <c r="AGG2492" s="60"/>
      <c r="AGH2492" s="60"/>
      <c r="AGI2492" s="60"/>
      <c r="AGJ2492" s="60"/>
      <c r="AGK2492" s="59"/>
      <c r="AGL2492" s="61"/>
      <c r="AGM2492" s="59"/>
      <c r="AGN2492" s="59"/>
      <c r="AGO2492" s="60"/>
      <c r="AGP2492" s="60"/>
      <c r="AGQ2492" s="60"/>
      <c r="AGR2492" s="60"/>
      <c r="AGS2492" s="59"/>
      <c r="AGT2492" s="61"/>
      <c r="AGU2492" s="59"/>
      <c r="AGV2492" s="59"/>
      <c r="AGW2492" s="60"/>
      <c r="AGX2492" s="60"/>
      <c r="AGY2492" s="60"/>
      <c r="AGZ2492" s="60"/>
      <c r="AHA2492" s="59"/>
      <c r="AHB2492" s="61"/>
      <c r="AHC2492" s="59"/>
      <c r="AHD2492" s="59"/>
      <c r="AHE2492" s="60"/>
      <c r="AHF2492" s="60"/>
      <c r="AHG2492" s="60"/>
      <c r="AHH2492" s="60"/>
      <c r="AHI2492" s="59"/>
      <c r="AHJ2492" s="61"/>
      <c r="AHK2492" s="59"/>
      <c r="AHL2492" s="59"/>
      <c r="AHM2492" s="60"/>
      <c r="AHN2492" s="60"/>
      <c r="AHO2492" s="60"/>
      <c r="AHP2492" s="60"/>
      <c r="AHQ2492" s="59"/>
      <c r="AHR2492" s="61"/>
      <c r="AHS2492" s="59"/>
      <c r="AHT2492" s="59"/>
      <c r="AHU2492" s="60"/>
      <c r="AHV2492" s="60"/>
      <c r="AHW2492" s="60"/>
      <c r="AHX2492" s="60"/>
      <c r="AHY2492" s="59"/>
      <c r="AHZ2492" s="61"/>
      <c r="AIA2492" s="59"/>
      <c r="AIB2492" s="59"/>
      <c r="AIC2492" s="60"/>
      <c r="AID2492" s="60"/>
      <c r="AIE2492" s="60"/>
      <c r="AIF2492" s="60"/>
      <c r="AIG2492" s="59"/>
      <c r="AIH2492" s="61"/>
      <c r="AII2492" s="59"/>
      <c r="AIJ2492" s="59"/>
      <c r="AIK2492" s="60"/>
      <c r="AIL2492" s="60"/>
      <c r="AIM2492" s="60"/>
      <c r="AIN2492" s="60"/>
      <c r="AIO2492" s="59"/>
      <c r="AIP2492" s="61"/>
      <c r="AIQ2492" s="59"/>
      <c r="AIR2492" s="59"/>
      <c r="AIS2492" s="60"/>
      <c r="AIT2492" s="60"/>
      <c r="AIU2492" s="60"/>
      <c r="AIV2492" s="60"/>
      <c r="AIW2492" s="59"/>
      <c r="AIX2492" s="61"/>
      <c r="AIY2492" s="59"/>
      <c r="AIZ2492" s="59"/>
      <c r="AJA2492" s="60"/>
      <c r="AJB2492" s="60"/>
      <c r="AJC2492" s="60"/>
      <c r="AJD2492" s="60"/>
      <c r="AJE2492" s="59"/>
      <c r="AJF2492" s="61"/>
      <c r="AJG2492" s="59"/>
      <c r="AJH2492" s="59"/>
      <c r="AJI2492" s="60"/>
      <c r="AJJ2492" s="60"/>
      <c r="AJK2492" s="60"/>
      <c r="AJL2492" s="60"/>
      <c r="AJM2492" s="59"/>
      <c r="AJN2492" s="61"/>
      <c r="AJO2492" s="59"/>
      <c r="AJP2492" s="59"/>
      <c r="AJQ2492" s="60"/>
      <c r="AJR2492" s="60"/>
      <c r="AJS2492" s="60"/>
      <c r="AJT2492" s="60"/>
      <c r="AJU2492" s="59"/>
      <c r="AJV2492" s="61"/>
      <c r="AJW2492" s="59"/>
      <c r="AJX2492" s="59"/>
      <c r="AJY2492" s="60"/>
      <c r="AJZ2492" s="60"/>
      <c r="AKA2492" s="60"/>
      <c r="AKB2492" s="60"/>
      <c r="AKC2492" s="59"/>
      <c r="AKD2492" s="61"/>
      <c r="AKE2492" s="59"/>
      <c r="AKF2492" s="59"/>
      <c r="AKG2492" s="60"/>
      <c r="AKH2492" s="60"/>
      <c r="AKI2492" s="60"/>
      <c r="AKJ2492" s="60"/>
      <c r="AKK2492" s="59"/>
      <c r="AKL2492" s="61"/>
      <c r="AKM2492" s="59"/>
      <c r="AKN2492" s="59"/>
      <c r="AKO2492" s="60"/>
      <c r="AKP2492" s="60"/>
      <c r="AKQ2492" s="60"/>
      <c r="AKR2492" s="60"/>
      <c r="AKS2492" s="59"/>
      <c r="AKT2492" s="61"/>
      <c r="AKU2492" s="59"/>
      <c r="AKV2492" s="59"/>
      <c r="AKW2492" s="60"/>
      <c r="AKX2492" s="60"/>
      <c r="AKY2492" s="60"/>
      <c r="AKZ2492" s="60"/>
      <c r="ALA2492" s="59"/>
      <c r="ALB2492" s="61"/>
      <c r="ALC2492" s="59"/>
      <c r="ALD2492" s="59"/>
      <c r="ALE2492" s="60"/>
      <c r="ALF2492" s="60"/>
      <c r="ALG2492" s="60"/>
      <c r="ALH2492" s="60"/>
      <c r="ALI2492" s="59"/>
      <c r="ALJ2492" s="61"/>
      <c r="ALK2492" s="59"/>
      <c r="ALL2492" s="59"/>
      <c r="ALM2492" s="60"/>
      <c r="ALN2492" s="60"/>
      <c r="ALO2492" s="60"/>
      <c r="ALP2492" s="60"/>
      <c r="ALQ2492" s="59"/>
      <c r="ALR2492" s="61"/>
      <c r="ALS2492" s="59"/>
      <c r="ALT2492" s="59"/>
      <c r="ALU2492" s="60"/>
      <c r="ALV2492" s="60"/>
      <c r="ALW2492" s="60"/>
      <c r="ALX2492" s="60"/>
      <c r="ALY2492" s="59"/>
      <c r="ALZ2492" s="61"/>
      <c r="AMA2492" s="59"/>
      <c r="AMB2492" s="59"/>
      <c r="AMC2492" s="60"/>
      <c r="AMD2492" s="60"/>
      <c r="AME2492" s="60"/>
      <c r="AMF2492" s="60"/>
      <c r="AMG2492" s="59"/>
      <c r="AMH2492" s="61"/>
      <c r="AMI2492" s="59"/>
      <c r="AMJ2492" s="59"/>
      <c r="AMK2492" s="60"/>
      <c r="AML2492" s="60"/>
      <c r="AMM2492" s="60"/>
      <c r="AMN2492" s="60"/>
      <c r="AMO2492" s="59"/>
      <c r="AMP2492" s="61"/>
      <c r="AMQ2492" s="59"/>
      <c r="AMR2492" s="59"/>
      <c r="AMS2492" s="60"/>
      <c r="AMT2492" s="60"/>
      <c r="AMU2492" s="60"/>
      <c r="AMV2492" s="60"/>
      <c r="AMW2492" s="59"/>
      <c r="AMX2492" s="61"/>
      <c r="AMY2492" s="59"/>
      <c r="AMZ2492" s="59"/>
      <c r="ANA2492" s="60"/>
      <c r="ANB2492" s="60"/>
      <c r="ANC2492" s="60"/>
      <c r="AND2492" s="60"/>
      <c r="ANE2492" s="59"/>
      <c r="ANF2492" s="61"/>
      <c r="ANG2492" s="59"/>
      <c r="ANH2492" s="59"/>
      <c r="ANI2492" s="60"/>
      <c r="ANJ2492" s="60"/>
      <c r="ANK2492" s="60"/>
      <c r="ANL2492" s="60"/>
      <c r="ANM2492" s="59"/>
      <c r="ANN2492" s="61"/>
      <c r="ANO2492" s="59"/>
      <c r="ANP2492" s="59"/>
      <c r="ANQ2492" s="60"/>
      <c r="ANR2492" s="60"/>
      <c r="ANS2492" s="60"/>
      <c r="ANT2492" s="60"/>
      <c r="ANU2492" s="59"/>
      <c r="ANV2492" s="61"/>
      <c r="ANW2492" s="59"/>
      <c r="ANX2492" s="59"/>
      <c r="ANY2492" s="60"/>
      <c r="ANZ2492" s="60"/>
      <c r="AOA2492" s="60"/>
      <c r="AOB2492" s="60"/>
      <c r="AOC2492" s="59"/>
      <c r="AOD2492" s="61"/>
      <c r="AOE2492" s="59"/>
      <c r="AOF2492" s="59"/>
      <c r="AOG2492" s="60"/>
      <c r="AOH2492" s="60"/>
      <c r="AOI2492" s="60"/>
      <c r="AOJ2492" s="60"/>
      <c r="AOK2492" s="59"/>
      <c r="AOL2492" s="61"/>
      <c r="AOM2492" s="59"/>
      <c r="AON2492" s="59"/>
      <c r="AOO2492" s="60"/>
      <c r="AOP2492" s="60"/>
      <c r="AOQ2492" s="60"/>
      <c r="AOR2492" s="60"/>
      <c r="AOS2492" s="59"/>
      <c r="AOT2492" s="61"/>
      <c r="AOU2492" s="59"/>
      <c r="AOV2492" s="59"/>
      <c r="AOW2492" s="60"/>
      <c r="AOX2492" s="60"/>
      <c r="AOY2492" s="60"/>
      <c r="AOZ2492" s="60"/>
      <c r="APA2492" s="59"/>
      <c r="APB2492" s="61"/>
      <c r="APC2492" s="59"/>
      <c r="APD2492" s="59"/>
      <c r="APE2492" s="60"/>
      <c r="APF2492" s="60"/>
      <c r="APG2492" s="60"/>
      <c r="APH2492" s="60"/>
      <c r="API2492" s="59"/>
      <c r="APJ2492" s="61"/>
      <c r="APK2492" s="59"/>
      <c r="APL2492" s="59"/>
      <c r="APM2492" s="60"/>
      <c r="APN2492" s="60"/>
      <c r="APO2492" s="60"/>
      <c r="APP2492" s="60"/>
      <c r="APQ2492" s="59"/>
      <c r="APR2492" s="61"/>
      <c r="APS2492" s="59"/>
      <c r="APT2492" s="59"/>
      <c r="APU2492" s="60"/>
      <c r="APV2492" s="60"/>
      <c r="APW2492" s="60"/>
      <c r="APX2492" s="60"/>
      <c r="APY2492" s="59"/>
      <c r="APZ2492" s="61"/>
      <c r="AQA2492" s="59"/>
      <c r="AQB2492" s="59"/>
      <c r="AQC2492" s="60"/>
      <c r="AQD2492" s="60"/>
      <c r="AQE2492" s="60"/>
      <c r="AQF2492" s="60"/>
      <c r="AQG2492" s="59"/>
      <c r="AQH2492" s="61"/>
      <c r="AQI2492" s="59"/>
      <c r="AQJ2492" s="59"/>
      <c r="AQK2492" s="60"/>
      <c r="AQL2492" s="60"/>
      <c r="AQM2492" s="60"/>
      <c r="AQN2492" s="60"/>
      <c r="AQO2492" s="59"/>
      <c r="AQP2492" s="61"/>
      <c r="AQQ2492" s="59"/>
      <c r="AQR2492" s="59"/>
      <c r="AQS2492" s="60"/>
      <c r="AQT2492" s="60"/>
      <c r="AQU2492" s="60"/>
      <c r="AQV2492" s="60"/>
      <c r="AQW2492" s="59"/>
      <c r="AQX2492" s="61"/>
      <c r="AQY2492" s="59"/>
      <c r="AQZ2492" s="59"/>
      <c r="ARA2492" s="60"/>
      <c r="ARB2492" s="60"/>
      <c r="ARC2492" s="60"/>
      <c r="ARD2492" s="60"/>
      <c r="ARE2492" s="59"/>
      <c r="ARF2492" s="61"/>
      <c r="ARG2492" s="59"/>
      <c r="ARH2492" s="59"/>
      <c r="ARI2492" s="60"/>
      <c r="ARJ2492" s="60"/>
      <c r="ARK2492" s="60"/>
      <c r="ARL2492" s="60"/>
      <c r="ARM2492" s="59"/>
      <c r="ARN2492" s="61"/>
      <c r="ARO2492" s="59"/>
      <c r="ARP2492" s="59"/>
      <c r="ARQ2492" s="60"/>
      <c r="ARR2492" s="60"/>
      <c r="ARS2492" s="60"/>
      <c r="ART2492" s="60"/>
      <c r="ARU2492" s="59"/>
      <c r="ARV2492" s="61"/>
      <c r="ARW2492" s="59"/>
      <c r="ARX2492" s="59"/>
      <c r="ARY2492" s="60"/>
      <c r="ARZ2492" s="60"/>
      <c r="ASA2492" s="60"/>
      <c r="ASB2492" s="60"/>
      <c r="ASC2492" s="59"/>
      <c r="ASD2492" s="61"/>
      <c r="ASE2492" s="59"/>
      <c r="ASF2492" s="59"/>
      <c r="ASG2492" s="60"/>
      <c r="ASH2492" s="60"/>
      <c r="ASI2492" s="60"/>
      <c r="ASJ2492" s="60"/>
      <c r="ASK2492" s="59"/>
      <c r="ASL2492" s="61"/>
      <c r="ASM2492" s="59"/>
      <c r="ASN2492" s="59"/>
      <c r="ASO2492" s="60"/>
      <c r="ASP2492" s="60"/>
      <c r="ASQ2492" s="60"/>
      <c r="ASR2492" s="60"/>
      <c r="ASS2492" s="59"/>
      <c r="AST2492" s="61"/>
      <c r="ASU2492" s="59"/>
      <c r="ASV2492" s="59"/>
      <c r="ASW2492" s="60"/>
      <c r="ASX2492" s="60"/>
      <c r="ASY2492" s="60"/>
      <c r="ASZ2492" s="60"/>
      <c r="ATA2492" s="59"/>
      <c r="ATB2492" s="61"/>
      <c r="ATC2492" s="59"/>
      <c r="ATD2492" s="59"/>
      <c r="ATE2492" s="60"/>
      <c r="ATF2492" s="60"/>
      <c r="ATG2492" s="60"/>
      <c r="ATH2492" s="60"/>
      <c r="ATI2492" s="59"/>
      <c r="ATJ2492" s="61"/>
      <c r="ATK2492" s="59"/>
      <c r="ATL2492" s="59"/>
      <c r="ATM2492" s="60"/>
      <c r="ATN2492" s="60"/>
      <c r="ATO2492" s="60"/>
      <c r="ATP2492" s="60"/>
      <c r="ATQ2492" s="59"/>
      <c r="ATR2492" s="61"/>
      <c r="ATS2492" s="59"/>
      <c r="ATT2492" s="59"/>
      <c r="ATU2492" s="60"/>
      <c r="ATV2492" s="60"/>
      <c r="ATW2492" s="60"/>
      <c r="ATX2492" s="60"/>
      <c r="ATY2492" s="59"/>
      <c r="ATZ2492" s="61"/>
      <c r="AUA2492" s="59"/>
      <c r="AUB2492" s="59"/>
      <c r="AUC2492" s="60"/>
      <c r="AUD2492" s="60"/>
      <c r="AUE2492" s="60"/>
      <c r="AUF2492" s="60"/>
      <c r="AUG2492" s="59"/>
      <c r="AUH2492" s="61"/>
      <c r="AUI2492" s="59"/>
      <c r="AUJ2492" s="59"/>
      <c r="AUK2492" s="60"/>
      <c r="AUL2492" s="60"/>
      <c r="AUM2492" s="60"/>
      <c r="AUN2492" s="60"/>
      <c r="AUO2492" s="59"/>
      <c r="AUP2492" s="61"/>
      <c r="AUQ2492" s="59"/>
      <c r="AUR2492" s="59"/>
      <c r="AUS2492" s="60"/>
      <c r="AUT2492" s="60"/>
      <c r="AUU2492" s="60"/>
      <c r="AUV2492" s="60"/>
      <c r="AUW2492" s="59"/>
      <c r="AUX2492" s="61"/>
      <c r="AUY2492" s="59"/>
      <c r="AUZ2492" s="59"/>
      <c r="AVA2492" s="60"/>
      <c r="AVB2492" s="60"/>
      <c r="AVC2492" s="60"/>
      <c r="AVD2492" s="60"/>
      <c r="AVE2492" s="59"/>
      <c r="AVF2492" s="61"/>
      <c r="AVG2492" s="59"/>
      <c r="AVH2492" s="59"/>
      <c r="AVI2492" s="60"/>
      <c r="AVJ2492" s="60"/>
      <c r="AVK2492" s="60"/>
      <c r="AVL2492" s="60"/>
      <c r="AVM2492" s="59"/>
      <c r="AVN2492" s="61"/>
      <c r="AVO2492" s="59"/>
      <c r="AVP2492" s="59"/>
      <c r="AVQ2492" s="60"/>
      <c r="AVR2492" s="60"/>
      <c r="AVS2492" s="60"/>
      <c r="AVT2492" s="60"/>
      <c r="AVU2492" s="59"/>
      <c r="AVV2492" s="61"/>
      <c r="AVW2492" s="59"/>
      <c r="AVX2492" s="59"/>
      <c r="AVY2492" s="60"/>
      <c r="AVZ2492" s="60"/>
      <c r="AWA2492" s="60"/>
      <c r="AWB2492" s="60"/>
      <c r="AWC2492" s="59"/>
      <c r="AWD2492" s="61"/>
      <c r="AWE2492" s="59"/>
      <c r="AWF2492" s="59"/>
      <c r="AWG2492" s="60"/>
      <c r="AWH2492" s="60"/>
      <c r="AWI2492" s="60"/>
      <c r="AWJ2492" s="60"/>
      <c r="AWK2492" s="59"/>
      <c r="AWL2492" s="61"/>
      <c r="AWM2492" s="59"/>
      <c r="AWN2492" s="59"/>
      <c r="AWO2492" s="60"/>
      <c r="AWP2492" s="60"/>
      <c r="AWQ2492" s="60"/>
      <c r="AWR2492" s="60"/>
      <c r="AWS2492" s="59"/>
      <c r="AWT2492" s="61"/>
      <c r="AWU2492" s="59"/>
      <c r="AWV2492" s="59"/>
      <c r="AWW2492" s="60"/>
      <c r="AWX2492" s="60"/>
      <c r="AWY2492" s="60"/>
      <c r="AWZ2492" s="60"/>
      <c r="AXA2492" s="59"/>
      <c r="AXB2492" s="61"/>
      <c r="AXC2492" s="59"/>
      <c r="AXD2492" s="59"/>
      <c r="AXE2492" s="60"/>
      <c r="AXF2492" s="60"/>
      <c r="AXG2492" s="60"/>
      <c r="AXH2492" s="60"/>
      <c r="AXI2492" s="59"/>
      <c r="AXJ2492" s="61"/>
      <c r="AXK2492" s="59"/>
      <c r="AXL2492" s="59"/>
      <c r="AXM2492" s="60"/>
      <c r="AXN2492" s="60"/>
      <c r="AXO2492" s="60"/>
      <c r="AXP2492" s="60"/>
      <c r="AXQ2492" s="59"/>
      <c r="AXR2492" s="61"/>
      <c r="AXS2492" s="59"/>
      <c r="AXT2492" s="59"/>
      <c r="AXU2492" s="60"/>
      <c r="AXV2492" s="60"/>
      <c r="AXW2492" s="60"/>
      <c r="AXX2492" s="60"/>
      <c r="AXY2492" s="59"/>
      <c r="AXZ2492" s="61"/>
      <c r="AYA2492" s="59"/>
      <c r="AYB2492" s="59"/>
      <c r="AYC2492" s="60"/>
      <c r="AYD2492" s="60"/>
      <c r="AYE2492" s="60"/>
      <c r="AYF2492" s="60"/>
      <c r="AYG2492" s="59"/>
      <c r="AYH2492" s="61"/>
      <c r="AYI2492" s="59"/>
      <c r="AYJ2492" s="59"/>
      <c r="AYK2492" s="60"/>
      <c r="AYL2492" s="60"/>
      <c r="AYM2492" s="60"/>
      <c r="AYN2492" s="60"/>
      <c r="AYO2492" s="59"/>
      <c r="AYP2492" s="61"/>
      <c r="AYQ2492" s="59"/>
      <c r="AYR2492" s="59"/>
      <c r="AYS2492" s="60"/>
      <c r="AYT2492" s="60"/>
      <c r="AYU2492" s="60"/>
      <c r="AYV2492" s="60"/>
      <c r="AYW2492" s="59"/>
      <c r="AYX2492" s="61"/>
      <c r="AYY2492" s="59"/>
      <c r="AYZ2492" s="59"/>
      <c r="AZA2492" s="60"/>
      <c r="AZB2492" s="60"/>
      <c r="AZC2492" s="60"/>
      <c r="AZD2492" s="60"/>
      <c r="AZE2492" s="59"/>
      <c r="AZF2492" s="61"/>
      <c r="AZG2492" s="59"/>
      <c r="AZH2492" s="59"/>
      <c r="AZI2492" s="60"/>
      <c r="AZJ2492" s="60"/>
      <c r="AZK2492" s="60"/>
      <c r="AZL2492" s="60"/>
      <c r="AZM2492" s="59"/>
      <c r="AZN2492" s="61"/>
      <c r="AZO2492" s="59"/>
      <c r="AZP2492" s="59"/>
      <c r="AZQ2492" s="60"/>
      <c r="AZR2492" s="60"/>
      <c r="AZS2492" s="60"/>
      <c r="AZT2492" s="60"/>
      <c r="AZU2492" s="59"/>
      <c r="AZV2492" s="61"/>
      <c r="AZW2492" s="59"/>
      <c r="AZX2492" s="59"/>
      <c r="AZY2492" s="60"/>
      <c r="AZZ2492" s="60"/>
      <c r="BAA2492" s="60"/>
      <c r="BAB2492" s="60"/>
      <c r="BAC2492" s="59"/>
      <c r="BAD2492" s="61"/>
      <c r="BAE2492" s="59"/>
      <c r="BAF2492" s="59"/>
      <c r="BAG2492" s="60"/>
      <c r="BAH2492" s="60"/>
      <c r="BAI2492" s="60"/>
      <c r="BAJ2492" s="60"/>
      <c r="BAK2492" s="59"/>
      <c r="BAL2492" s="61"/>
      <c r="BAM2492" s="59"/>
      <c r="BAN2492" s="59"/>
      <c r="BAO2492" s="60"/>
      <c r="BAP2492" s="60"/>
      <c r="BAQ2492" s="60"/>
      <c r="BAR2492" s="60"/>
      <c r="BAS2492" s="59"/>
      <c r="BAT2492" s="61"/>
      <c r="BAU2492" s="59"/>
      <c r="BAV2492" s="59"/>
      <c r="BAW2492" s="60"/>
      <c r="BAX2492" s="60"/>
      <c r="BAY2492" s="60"/>
      <c r="BAZ2492" s="60"/>
      <c r="BBA2492" s="59"/>
      <c r="BBB2492" s="61"/>
      <c r="BBC2492" s="59"/>
      <c r="BBD2492" s="59"/>
      <c r="BBE2492" s="60"/>
      <c r="BBF2492" s="60"/>
      <c r="BBG2492" s="60"/>
      <c r="BBH2492" s="60"/>
      <c r="BBI2492" s="59"/>
      <c r="BBJ2492" s="61"/>
      <c r="BBK2492" s="59"/>
      <c r="BBL2492" s="59"/>
      <c r="BBM2492" s="60"/>
      <c r="BBN2492" s="60"/>
      <c r="BBO2492" s="60"/>
      <c r="BBP2492" s="60"/>
      <c r="BBQ2492" s="59"/>
      <c r="BBR2492" s="61"/>
      <c r="BBS2492" s="59"/>
      <c r="BBT2492" s="59"/>
      <c r="BBU2492" s="60"/>
      <c r="BBV2492" s="60"/>
      <c r="BBW2492" s="60"/>
      <c r="BBX2492" s="60"/>
      <c r="BBY2492" s="59"/>
      <c r="BBZ2492" s="61"/>
      <c r="BCA2492" s="59"/>
      <c r="BCB2492" s="59"/>
      <c r="BCC2492" s="60"/>
      <c r="BCD2492" s="60"/>
      <c r="BCE2492" s="60"/>
      <c r="BCF2492" s="60"/>
      <c r="BCG2492" s="59"/>
      <c r="BCH2492" s="61"/>
      <c r="BCI2492" s="59"/>
      <c r="BCJ2492" s="59"/>
      <c r="BCK2492" s="60"/>
      <c r="BCL2492" s="60"/>
      <c r="BCM2492" s="60"/>
      <c r="BCN2492" s="60"/>
      <c r="BCO2492" s="59"/>
      <c r="BCP2492" s="61"/>
      <c r="BCQ2492" s="59"/>
      <c r="BCR2492" s="59"/>
      <c r="BCS2492" s="60"/>
      <c r="BCT2492" s="60"/>
      <c r="BCU2492" s="60"/>
      <c r="BCV2492" s="60"/>
      <c r="BCW2492" s="59"/>
      <c r="BCX2492" s="61"/>
      <c r="BCY2492" s="59"/>
      <c r="BCZ2492" s="59"/>
      <c r="BDA2492" s="60"/>
      <c r="BDB2492" s="60"/>
      <c r="BDC2492" s="60"/>
      <c r="BDD2492" s="60"/>
      <c r="BDE2492" s="59"/>
      <c r="BDF2492" s="61"/>
      <c r="BDG2492" s="59"/>
      <c r="BDH2492" s="59"/>
      <c r="BDI2492" s="60"/>
      <c r="BDJ2492" s="60"/>
      <c r="BDK2492" s="60"/>
      <c r="BDL2492" s="60"/>
      <c r="BDM2492" s="59"/>
      <c r="BDN2492" s="61"/>
      <c r="BDO2492" s="59"/>
      <c r="BDP2492" s="59"/>
      <c r="BDQ2492" s="60"/>
      <c r="BDR2492" s="60"/>
      <c r="BDS2492" s="60"/>
      <c r="BDT2492" s="60"/>
      <c r="BDU2492" s="59"/>
      <c r="BDV2492" s="61"/>
      <c r="BDW2492" s="59"/>
      <c r="BDX2492" s="59"/>
      <c r="BDY2492" s="60"/>
      <c r="BDZ2492" s="60"/>
      <c r="BEA2492" s="60"/>
      <c r="BEB2492" s="60"/>
      <c r="BEC2492" s="59"/>
      <c r="BED2492" s="61"/>
      <c r="BEE2492" s="59"/>
      <c r="BEF2492" s="59"/>
      <c r="BEG2492" s="60"/>
      <c r="BEH2492" s="60"/>
      <c r="BEI2492" s="60"/>
      <c r="BEJ2492" s="60"/>
      <c r="BEK2492" s="59"/>
      <c r="BEL2492" s="61"/>
      <c r="BEM2492" s="59"/>
      <c r="BEN2492" s="59"/>
      <c r="BEO2492" s="60"/>
      <c r="BEP2492" s="60"/>
      <c r="BEQ2492" s="60"/>
      <c r="BER2492" s="60"/>
      <c r="BES2492" s="59"/>
      <c r="BET2492" s="61"/>
      <c r="BEU2492" s="59"/>
      <c r="BEV2492" s="59"/>
      <c r="BEW2492" s="60"/>
      <c r="BEX2492" s="60"/>
      <c r="BEY2492" s="60"/>
      <c r="BEZ2492" s="60"/>
      <c r="BFA2492" s="59"/>
      <c r="BFB2492" s="61"/>
      <c r="BFC2492" s="59"/>
      <c r="BFD2492" s="59"/>
      <c r="BFE2492" s="60"/>
      <c r="BFF2492" s="60"/>
      <c r="BFG2492" s="60"/>
      <c r="BFH2492" s="60"/>
      <c r="BFI2492" s="59"/>
      <c r="BFJ2492" s="61"/>
      <c r="BFK2492" s="59"/>
      <c r="BFL2492" s="59"/>
      <c r="BFM2492" s="60"/>
      <c r="BFN2492" s="60"/>
      <c r="BFO2492" s="60"/>
      <c r="BFP2492" s="60"/>
      <c r="BFQ2492" s="59"/>
      <c r="BFR2492" s="61"/>
      <c r="BFS2492" s="59"/>
      <c r="BFT2492" s="59"/>
      <c r="BFU2492" s="60"/>
      <c r="BFV2492" s="60"/>
      <c r="BFW2492" s="60"/>
      <c r="BFX2492" s="60"/>
      <c r="BFY2492" s="59"/>
      <c r="BFZ2492" s="61"/>
      <c r="BGA2492" s="59"/>
      <c r="BGB2492" s="59"/>
      <c r="BGC2492" s="60"/>
      <c r="BGD2492" s="60"/>
      <c r="BGE2492" s="60"/>
      <c r="BGF2492" s="60"/>
      <c r="BGG2492" s="59"/>
      <c r="BGH2492" s="61"/>
      <c r="BGI2492" s="59"/>
      <c r="BGJ2492" s="59"/>
      <c r="BGK2492" s="60"/>
      <c r="BGL2492" s="60"/>
      <c r="BGM2492" s="60"/>
      <c r="BGN2492" s="60"/>
      <c r="BGO2492" s="59"/>
      <c r="BGP2492" s="61"/>
      <c r="BGQ2492" s="59"/>
      <c r="BGR2492" s="59"/>
      <c r="BGS2492" s="60"/>
      <c r="BGT2492" s="60"/>
      <c r="BGU2492" s="60"/>
      <c r="BGV2492" s="60"/>
      <c r="BGW2492" s="59"/>
      <c r="BGX2492" s="61"/>
      <c r="BGY2492" s="59"/>
      <c r="BGZ2492" s="59"/>
      <c r="BHA2492" s="60"/>
      <c r="BHB2492" s="60"/>
      <c r="BHC2492" s="60"/>
      <c r="BHD2492" s="60"/>
      <c r="BHE2492" s="59"/>
      <c r="BHF2492" s="61"/>
      <c r="BHG2492" s="59"/>
      <c r="BHH2492" s="59"/>
      <c r="BHI2492" s="60"/>
      <c r="BHJ2492" s="60"/>
      <c r="BHK2492" s="60"/>
      <c r="BHL2492" s="60"/>
      <c r="BHM2492" s="59"/>
      <c r="BHN2492" s="61"/>
      <c r="BHO2492" s="59"/>
      <c r="BHP2492" s="59"/>
      <c r="BHQ2492" s="60"/>
      <c r="BHR2492" s="60"/>
      <c r="BHS2492" s="60"/>
      <c r="BHT2492" s="60"/>
      <c r="BHU2492" s="59"/>
      <c r="BHV2492" s="61"/>
      <c r="BHW2492" s="59"/>
      <c r="BHX2492" s="59"/>
      <c r="BHY2492" s="60"/>
      <c r="BHZ2492" s="60"/>
      <c r="BIA2492" s="60"/>
      <c r="BIB2492" s="60"/>
      <c r="BIC2492" s="59"/>
      <c r="BID2492" s="61"/>
      <c r="BIE2492" s="59"/>
      <c r="BIF2492" s="59"/>
      <c r="BIG2492" s="60"/>
      <c r="BIH2492" s="60"/>
      <c r="BII2492" s="60"/>
      <c r="BIJ2492" s="60"/>
      <c r="BIK2492" s="59"/>
      <c r="BIL2492" s="61"/>
      <c r="BIM2492" s="59"/>
      <c r="BIN2492" s="59"/>
      <c r="BIO2492" s="60"/>
      <c r="BIP2492" s="60"/>
      <c r="BIQ2492" s="60"/>
      <c r="BIR2492" s="60"/>
      <c r="BIS2492" s="59"/>
      <c r="BIT2492" s="61"/>
      <c r="BIU2492" s="59"/>
      <c r="BIV2492" s="59"/>
      <c r="BIW2492" s="60"/>
      <c r="BIX2492" s="60"/>
      <c r="BIY2492" s="60"/>
      <c r="BIZ2492" s="60"/>
      <c r="BJA2492" s="59"/>
      <c r="BJB2492" s="61"/>
      <c r="BJC2492" s="59"/>
      <c r="BJD2492" s="59"/>
      <c r="BJE2492" s="60"/>
      <c r="BJF2492" s="60"/>
      <c r="BJG2492" s="60"/>
      <c r="BJH2492" s="60"/>
      <c r="BJI2492" s="59"/>
      <c r="BJJ2492" s="61"/>
      <c r="BJK2492" s="59"/>
      <c r="BJL2492" s="59"/>
      <c r="BJM2492" s="60"/>
      <c r="BJN2492" s="60"/>
      <c r="BJO2492" s="60"/>
      <c r="BJP2492" s="60"/>
      <c r="BJQ2492" s="59"/>
      <c r="BJR2492" s="61"/>
      <c r="BJS2492" s="59"/>
      <c r="BJT2492" s="59"/>
      <c r="BJU2492" s="60"/>
      <c r="BJV2492" s="60"/>
      <c r="BJW2492" s="60"/>
      <c r="BJX2492" s="60"/>
      <c r="BJY2492" s="59"/>
      <c r="BJZ2492" s="61"/>
      <c r="BKA2492" s="59"/>
      <c r="BKB2492" s="59"/>
      <c r="BKC2492" s="60"/>
      <c r="BKD2492" s="60"/>
      <c r="BKE2492" s="60"/>
      <c r="BKF2492" s="60"/>
      <c r="BKG2492" s="59"/>
      <c r="BKH2492" s="61"/>
      <c r="BKI2492" s="59"/>
      <c r="BKJ2492" s="59"/>
      <c r="BKK2492" s="60"/>
      <c r="BKL2492" s="60"/>
      <c r="BKM2492" s="60"/>
      <c r="BKN2492" s="60"/>
      <c r="BKO2492" s="59"/>
      <c r="BKP2492" s="61"/>
      <c r="BKQ2492" s="59"/>
      <c r="BKR2492" s="59"/>
      <c r="BKS2492" s="60"/>
      <c r="BKT2492" s="60"/>
      <c r="BKU2492" s="60"/>
      <c r="BKV2492" s="60"/>
      <c r="BKW2492" s="59"/>
      <c r="BKX2492" s="61"/>
      <c r="BKY2492" s="59"/>
      <c r="BKZ2492" s="59"/>
      <c r="BLA2492" s="60"/>
      <c r="BLB2492" s="60"/>
      <c r="BLC2492" s="60"/>
      <c r="BLD2492" s="60"/>
      <c r="BLE2492" s="59"/>
      <c r="BLF2492" s="61"/>
      <c r="BLG2492" s="59"/>
      <c r="BLH2492" s="59"/>
      <c r="BLI2492" s="60"/>
      <c r="BLJ2492" s="60"/>
      <c r="BLK2492" s="60"/>
      <c r="BLL2492" s="60"/>
      <c r="BLM2492" s="59"/>
      <c r="BLN2492" s="61"/>
      <c r="BLO2492" s="59"/>
      <c r="BLP2492" s="59"/>
      <c r="BLQ2492" s="60"/>
      <c r="BLR2492" s="60"/>
      <c r="BLS2492" s="60"/>
      <c r="BLT2492" s="60"/>
      <c r="BLU2492" s="59"/>
      <c r="BLV2492" s="61"/>
      <c r="BLW2492" s="59"/>
      <c r="BLX2492" s="59"/>
      <c r="BLY2492" s="60"/>
      <c r="BLZ2492" s="60"/>
      <c r="BMA2492" s="60"/>
      <c r="BMB2492" s="60"/>
      <c r="BMC2492" s="59"/>
      <c r="BMD2492" s="61"/>
      <c r="BME2492" s="59"/>
      <c r="BMF2492" s="59"/>
      <c r="BMG2492" s="60"/>
      <c r="BMH2492" s="60"/>
      <c r="BMI2492" s="60"/>
      <c r="BMJ2492" s="60"/>
      <c r="BMK2492" s="59"/>
      <c r="BML2492" s="61"/>
      <c r="BMM2492" s="59"/>
      <c r="BMN2492" s="59"/>
      <c r="BMO2492" s="60"/>
      <c r="BMP2492" s="60"/>
      <c r="BMQ2492" s="60"/>
      <c r="BMR2492" s="60"/>
      <c r="BMS2492" s="59"/>
      <c r="BMT2492" s="61"/>
      <c r="BMU2492" s="59"/>
      <c r="BMV2492" s="59"/>
      <c r="BMW2492" s="60"/>
      <c r="BMX2492" s="60"/>
      <c r="BMY2492" s="60"/>
      <c r="BMZ2492" s="60"/>
      <c r="BNA2492" s="59"/>
      <c r="BNB2492" s="61"/>
      <c r="BNC2492" s="59"/>
      <c r="BND2492" s="59"/>
      <c r="BNE2492" s="60"/>
      <c r="BNF2492" s="60"/>
      <c r="BNG2492" s="60"/>
      <c r="BNH2492" s="60"/>
      <c r="BNI2492" s="59"/>
      <c r="BNJ2492" s="61"/>
      <c r="BNK2492" s="59"/>
      <c r="BNL2492" s="59"/>
      <c r="BNM2492" s="60"/>
      <c r="BNN2492" s="60"/>
      <c r="BNO2492" s="60"/>
      <c r="BNP2492" s="60"/>
      <c r="BNQ2492" s="59"/>
      <c r="BNR2492" s="61"/>
      <c r="BNS2492" s="59"/>
      <c r="BNT2492" s="59"/>
      <c r="BNU2492" s="60"/>
      <c r="BNV2492" s="60"/>
      <c r="BNW2492" s="60"/>
      <c r="BNX2492" s="60"/>
      <c r="BNY2492" s="59"/>
      <c r="BNZ2492" s="61"/>
      <c r="BOA2492" s="59"/>
      <c r="BOB2492" s="59"/>
      <c r="BOC2492" s="60"/>
      <c r="BOD2492" s="60"/>
      <c r="BOE2492" s="60"/>
      <c r="BOF2492" s="60"/>
      <c r="BOG2492" s="59"/>
      <c r="BOH2492" s="61"/>
      <c r="BOI2492" s="59"/>
      <c r="BOJ2492" s="59"/>
      <c r="BOK2492" s="60"/>
      <c r="BOL2492" s="60"/>
      <c r="BOM2492" s="60"/>
      <c r="BON2492" s="60"/>
      <c r="BOO2492" s="59"/>
      <c r="BOP2492" s="61"/>
      <c r="BOQ2492" s="59"/>
      <c r="BOR2492" s="59"/>
      <c r="BOS2492" s="60"/>
      <c r="BOT2492" s="60"/>
      <c r="BOU2492" s="60"/>
      <c r="BOV2492" s="60"/>
      <c r="BOW2492" s="59"/>
      <c r="BOX2492" s="61"/>
      <c r="BOY2492" s="59"/>
      <c r="BOZ2492" s="59"/>
      <c r="BPA2492" s="60"/>
      <c r="BPB2492" s="60"/>
      <c r="BPC2492" s="60"/>
      <c r="BPD2492" s="60"/>
      <c r="BPE2492" s="59"/>
      <c r="BPF2492" s="61"/>
      <c r="BPG2492" s="59"/>
      <c r="BPH2492" s="59"/>
      <c r="BPI2492" s="60"/>
      <c r="BPJ2492" s="60"/>
      <c r="BPK2492" s="60"/>
      <c r="BPL2492" s="60"/>
      <c r="BPM2492" s="59"/>
      <c r="BPN2492" s="61"/>
      <c r="BPO2492" s="59"/>
      <c r="BPP2492" s="59"/>
      <c r="BPQ2492" s="60"/>
      <c r="BPR2492" s="60"/>
      <c r="BPS2492" s="60"/>
      <c r="BPT2492" s="60"/>
      <c r="BPU2492" s="59"/>
      <c r="BPV2492" s="61"/>
      <c r="BPW2492" s="59"/>
      <c r="BPX2492" s="59"/>
      <c r="BPY2492" s="60"/>
      <c r="BPZ2492" s="60"/>
      <c r="BQA2492" s="60"/>
      <c r="BQB2492" s="60"/>
      <c r="BQC2492" s="59"/>
      <c r="BQD2492" s="61"/>
      <c r="BQE2492" s="59"/>
      <c r="BQF2492" s="59"/>
      <c r="BQG2492" s="60"/>
      <c r="BQH2492" s="60"/>
      <c r="BQI2492" s="60"/>
      <c r="BQJ2492" s="60"/>
      <c r="BQK2492" s="59"/>
      <c r="BQL2492" s="61"/>
      <c r="BQM2492" s="59"/>
      <c r="BQN2492" s="59"/>
      <c r="BQO2492" s="60"/>
      <c r="BQP2492" s="60"/>
      <c r="BQQ2492" s="60"/>
      <c r="BQR2492" s="60"/>
      <c r="BQS2492" s="59"/>
      <c r="BQT2492" s="61"/>
      <c r="BQU2492" s="59"/>
      <c r="BQV2492" s="59"/>
      <c r="BQW2492" s="60"/>
      <c r="BQX2492" s="60"/>
      <c r="BQY2492" s="60"/>
      <c r="BQZ2492" s="60"/>
      <c r="BRA2492" s="59"/>
      <c r="BRB2492" s="61"/>
      <c r="BRC2492" s="59"/>
      <c r="BRD2492" s="59"/>
      <c r="BRE2492" s="60"/>
      <c r="BRF2492" s="60"/>
      <c r="BRG2492" s="60"/>
      <c r="BRH2492" s="60"/>
      <c r="BRI2492" s="59"/>
      <c r="BRJ2492" s="61"/>
      <c r="BRK2492" s="59"/>
      <c r="BRL2492" s="59"/>
      <c r="BRM2492" s="60"/>
      <c r="BRN2492" s="60"/>
      <c r="BRO2492" s="60"/>
      <c r="BRP2492" s="60"/>
      <c r="BRQ2492" s="59"/>
      <c r="BRR2492" s="61"/>
      <c r="BRS2492" s="59"/>
      <c r="BRT2492" s="59"/>
      <c r="BRU2492" s="60"/>
      <c r="BRV2492" s="60"/>
      <c r="BRW2492" s="60"/>
      <c r="BRX2492" s="60"/>
      <c r="BRY2492" s="59"/>
      <c r="BRZ2492" s="61"/>
      <c r="BSA2492" s="59"/>
      <c r="BSB2492" s="59"/>
      <c r="BSC2492" s="60"/>
      <c r="BSD2492" s="60"/>
      <c r="BSE2492" s="60"/>
      <c r="BSF2492" s="60"/>
      <c r="BSG2492" s="59"/>
      <c r="BSH2492" s="61"/>
      <c r="BSI2492" s="59"/>
      <c r="BSJ2492" s="59"/>
      <c r="BSK2492" s="60"/>
      <c r="BSL2492" s="60"/>
      <c r="BSM2492" s="60"/>
      <c r="BSN2492" s="60"/>
      <c r="BSO2492" s="59"/>
      <c r="BSP2492" s="61"/>
      <c r="BSQ2492" s="59"/>
      <c r="BSR2492" s="59"/>
      <c r="BSS2492" s="60"/>
      <c r="BST2492" s="60"/>
      <c r="BSU2492" s="60"/>
      <c r="BSV2492" s="60"/>
      <c r="BSW2492" s="59"/>
      <c r="BSX2492" s="61"/>
      <c r="BSY2492" s="59"/>
      <c r="BSZ2492" s="59"/>
      <c r="BTA2492" s="60"/>
      <c r="BTB2492" s="60"/>
      <c r="BTC2492" s="60"/>
      <c r="BTD2492" s="60"/>
      <c r="BTE2492" s="59"/>
      <c r="BTF2492" s="61"/>
      <c r="BTG2492" s="59"/>
      <c r="BTH2492" s="59"/>
      <c r="BTI2492" s="60"/>
      <c r="BTJ2492" s="60"/>
      <c r="BTK2492" s="60"/>
      <c r="BTL2492" s="60"/>
      <c r="BTM2492" s="59"/>
      <c r="BTN2492" s="61"/>
      <c r="BTO2492" s="59"/>
      <c r="BTP2492" s="59"/>
      <c r="BTQ2492" s="60"/>
      <c r="BTR2492" s="60"/>
      <c r="BTS2492" s="60"/>
      <c r="BTT2492" s="60"/>
      <c r="BTU2492" s="59"/>
      <c r="BTV2492" s="61"/>
      <c r="BTW2492" s="59"/>
      <c r="BTX2492" s="59"/>
      <c r="BTY2492" s="60"/>
      <c r="BTZ2492" s="60"/>
      <c r="BUA2492" s="60"/>
      <c r="BUB2492" s="60"/>
      <c r="BUC2492" s="59"/>
      <c r="BUD2492" s="61"/>
      <c r="BUE2492" s="59"/>
      <c r="BUF2492" s="59"/>
      <c r="BUG2492" s="60"/>
      <c r="BUH2492" s="60"/>
      <c r="BUI2492" s="60"/>
      <c r="BUJ2492" s="60"/>
      <c r="BUK2492" s="59"/>
      <c r="BUL2492" s="61"/>
      <c r="BUM2492" s="59"/>
      <c r="BUN2492" s="59"/>
      <c r="BUO2492" s="60"/>
      <c r="BUP2492" s="60"/>
      <c r="BUQ2492" s="60"/>
      <c r="BUR2492" s="60"/>
      <c r="BUS2492" s="59"/>
      <c r="BUT2492" s="61"/>
      <c r="BUU2492" s="59"/>
      <c r="BUV2492" s="59"/>
      <c r="BUW2492" s="60"/>
      <c r="BUX2492" s="60"/>
      <c r="BUY2492" s="60"/>
      <c r="BUZ2492" s="60"/>
      <c r="BVA2492" s="59"/>
      <c r="BVB2492" s="61"/>
      <c r="BVC2492" s="59"/>
      <c r="BVD2492" s="59"/>
      <c r="BVE2492" s="60"/>
      <c r="BVF2492" s="60"/>
      <c r="BVG2492" s="60"/>
      <c r="BVH2492" s="60"/>
      <c r="BVI2492" s="59"/>
      <c r="BVJ2492" s="61"/>
      <c r="BVK2492" s="59"/>
      <c r="BVL2492" s="59"/>
      <c r="BVM2492" s="60"/>
      <c r="BVN2492" s="60"/>
      <c r="BVO2492" s="60"/>
      <c r="BVP2492" s="60"/>
      <c r="BVQ2492" s="59"/>
      <c r="BVR2492" s="61"/>
      <c r="BVS2492" s="59"/>
      <c r="BVT2492" s="59"/>
      <c r="BVU2492" s="60"/>
      <c r="BVV2492" s="60"/>
      <c r="BVW2492" s="60"/>
      <c r="BVX2492" s="60"/>
      <c r="BVY2492" s="59"/>
      <c r="BVZ2492" s="61"/>
      <c r="BWA2492" s="59"/>
      <c r="BWB2492" s="59"/>
      <c r="BWC2492" s="60"/>
      <c r="BWD2492" s="60"/>
      <c r="BWE2492" s="60"/>
      <c r="BWF2492" s="60"/>
      <c r="BWG2492" s="59"/>
      <c r="BWH2492" s="61"/>
      <c r="BWI2492" s="59"/>
      <c r="BWJ2492" s="59"/>
      <c r="BWK2492" s="60"/>
      <c r="BWL2492" s="60"/>
      <c r="BWM2492" s="60"/>
      <c r="BWN2492" s="60"/>
      <c r="BWO2492" s="59"/>
      <c r="BWP2492" s="61"/>
      <c r="BWQ2492" s="59"/>
      <c r="BWR2492" s="59"/>
      <c r="BWS2492" s="60"/>
      <c r="BWT2492" s="60"/>
      <c r="BWU2492" s="60"/>
      <c r="BWV2492" s="60"/>
      <c r="BWW2492" s="59"/>
      <c r="BWX2492" s="61"/>
      <c r="BWY2492" s="59"/>
      <c r="BWZ2492" s="59"/>
      <c r="BXA2492" s="60"/>
      <c r="BXB2492" s="60"/>
      <c r="BXC2492" s="60"/>
      <c r="BXD2492" s="60"/>
      <c r="BXE2492" s="59"/>
      <c r="BXF2492" s="61"/>
      <c r="BXG2492" s="59"/>
      <c r="BXH2492" s="59"/>
      <c r="BXI2492" s="60"/>
      <c r="BXJ2492" s="60"/>
      <c r="BXK2492" s="60"/>
      <c r="BXL2492" s="60"/>
      <c r="BXM2492" s="59"/>
      <c r="BXN2492" s="61"/>
      <c r="BXO2492" s="59"/>
      <c r="BXP2492" s="59"/>
      <c r="BXQ2492" s="60"/>
      <c r="BXR2492" s="60"/>
      <c r="BXS2492" s="60"/>
      <c r="BXT2492" s="60"/>
      <c r="BXU2492" s="59"/>
      <c r="BXV2492" s="61"/>
      <c r="BXW2492" s="59"/>
      <c r="BXX2492" s="59"/>
      <c r="BXY2492" s="60"/>
      <c r="BXZ2492" s="60"/>
      <c r="BYA2492" s="60"/>
      <c r="BYB2492" s="60"/>
      <c r="BYC2492" s="59"/>
      <c r="BYD2492" s="61"/>
      <c r="BYE2492" s="59"/>
      <c r="BYF2492" s="59"/>
      <c r="BYG2492" s="60"/>
      <c r="BYH2492" s="60"/>
      <c r="BYI2492" s="60"/>
      <c r="BYJ2492" s="60"/>
      <c r="BYK2492" s="59"/>
      <c r="BYL2492" s="61"/>
      <c r="BYM2492" s="59"/>
      <c r="BYN2492" s="59"/>
      <c r="BYO2492" s="60"/>
      <c r="BYP2492" s="60"/>
      <c r="BYQ2492" s="60"/>
      <c r="BYR2492" s="60"/>
      <c r="BYS2492" s="59"/>
      <c r="BYT2492" s="61"/>
      <c r="BYU2492" s="59"/>
      <c r="BYV2492" s="59"/>
      <c r="BYW2492" s="60"/>
      <c r="BYX2492" s="60"/>
      <c r="BYY2492" s="60"/>
      <c r="BYZ2492" s="60"/>
      <c r="BZA2492" s="59"/>
      <c r="BZB2492" s="61"/>
      <c r="BZC2492" s="59"/>
      <c r="BZD2492" s="59"/>
      <c r="BZE2492" s="60"/>
      <c r="BZF2492" s="60"/>
      <c r="BZG2492" s="60"/>
      <c r="BZH2492" s="60"/>
      <c r="BZI2492" s="59"/>
      <c r="BZJ2492" s="61"/>
      <c r="BZK2492" s="59"/>
      <c r="BZL2492" s="59"/>
      <c r="BZM2492" s="60"/>
      <c r="BZN2492" s="60"/>
      <c r="BZO2492" s="60"/>
      <c r="BZP2492" s="60"/>
      <c r="BZQ2492" s="59"/>
      <c r="BZR2492" s="61"/>
      <c r="BZS2492" s="59"/>
      <c r="BZT2492" s="59"/>
      <c r="BZU2492" s="60"/>
      <c r="BZV2492" s="60"/>
      <c r="BZW2492" s="60"/>
      <c r="BZX2492" s="60"/>
      <c r="BZY2492" s="59"/>
      <c r="BZZ2492" s="61"/>
      <c r="CAA2492" s="59"/>
      <c r="CAB2492" s="59"/>
      <c r="CAC2492" s="60"/>
      <c r="CAD2492" s="60"/>
      <c r="CAE2492" s="60"/>
      <c r="CAF2492" s="60"/>
      <c r="CAG2492" s="59"/>
      <c r="CAH2492" s="61"/>
      <c r="CAI2492" s="59"/>
      <c r="CAJ2492" s="59"/>
      <c r="CAK2492" s="60"/>
      <c r="CAL2492" s="60"/>
      <c r="CAM2492" s="60"/>
      <c r="CAN2492" s="60"/>
      <c r="CAO2492" s="59"/>
      <c r="CAP2492" s="61"/>
      <c r="CAQ2492" s="59"/>
      <c r="CAR2492" s="59"/>
      <c r="CAS2492" s="60"/>
      <c r="CAT2492" s="60"/>
      <c r="CAU2492" s="60"/>
      <c r="CAV2492" s="60"/>
      <c r="CAW2492" s="59"/>
      <c r="CAX2492" s="61"/>
      <c r="CAY2492" s="59"/>
      <c r="CAZ2492" s="59"/>
      <c r="CBA2492" s="60"/>
      <c r="CBB2492" s="60"/>
      <c r="CBC2492" s="60"/>
      <c r="CBD2492" s="60"/>
      <c r="CBE2492" s="59"/>
      <c r="CBF2492" s="61"/>
      <c r="CBG2492" s="59"/>
      <c r="CBH2492" s="59"/>
      <c r="CBI2492" s="60"/>
      <c r="CBJ2492" s="60"/>
      <c r="CBK2492" s="60"/>
      <c r="CBL2492" s="60"/>
      <c r="CBM2492" s="59"/>
      <c r="CBN2492" s="61"/>
      <c r="CBO2492" s="59"/>
      <c r="CBP2492" s="59"/>
      <c r="CBQ2492" s="60"/>
      <c r="CBR2492" s="60"/>
      <c r="CBS2492" s="60"/>
      <c r="CBT2492" s="60"/>
      <c r="CBU2492" s="59"/>
      <c r="CBV2492" s="61"/>
      <c r="CBW2492" s="59"/>
      <c r="CBX2492" s="59"/>
      <c r="CBY2492" s="60"/>
      <c r="CBZ2492" s="60"/>
      <c r="CCA2492" s="60"/>
      <c r="CCB2492" s="60"/>
      <c r="CCC2492" s="59"/>
      <c r="CCD2492" s="61"/>
      <c r="CCE2492" s="59"/>
      <c r="CCF2492" s="59"/>
      <c r="CCG2492" s="60"/>
      <c r="CCH2492" s="60"/>
      <c r="CCI2492" s="60"/>
      <c r="CCJ2492" s="60"/>
      <c r="CCK2492" s="59"/>
      <c r="CCL2492" s="61"/>
      <c r="CCM2492" s="59"/>
      <c r="CCN2492" s="59"/>
      <c r="CCO2492" s="60"/>
      <c r="CCP2492" s="60"/>
      <c r="CCQ2492" s="60"/>
      <c r="CCR2492" s="60"/>
      <c r="CCS2492" s="59"/>
      <c r="CCT2492" s="61"/>
      <c r="CCU2492" s="59"/>
      <c r="CCV2492" s="59"/>
      <c r="CCW2492" s="60"/>
      <c r="CCX2492" s="60"/>
      <c r="CCY2492" s="60"/>
      <c r="CCZ2492" s="60"/>
      <c r="CDA2492" s="59"/>
      <c r="CDB2492" s="61"/>
      <c r="CDC2492" s="59"/>
      <c r="CDD2492" s="59"/>
      <c r="CDE2492" s="60"/>
      <c r="CDF2492" s="60"/>
      <c r="CDG2492" s="60"/>
      <c r="CDH2492" s="60"/>
      <c r="CDI2492" s="59"/>
      <c r="CDJ2492" s="61"/>
      <c r="CDK2492" s="59"/>
      <c r="CDL2492" s="59"/>
      <c r="CDM2492" s="60"/>
      <c r="CDN2492" s="60"/>
      <c r="CDO2492" s="60"/>
      <c r="CDP2492" s="60"/>
      <c r="CDQ2492" s="59"/>
      <c r="CDR2492" s="61"/>
      <c r="CDS2492" s="59"/>
      <c r="CDT2492" s="59"/>
      <c r="CDU2492" s="60"/>
      <c r="CDV2492" s="60"/>
      <c r="CDW2492" s="60"/>
      <c r="CDX2492" s="60"/>
      <c r="CDY2492" s="59"/>
      <c r="CDZ2492" s="61"/>
      <c r="CEA2492" s="59"/>
      <c r="CEB2492" s="59"/>
      <c r="CEC2492" s="60"/>
      <c r="CED2492" s="60"/>
      <c r="CEE2492" s="60"/>
      <c r="CEF2492" s="60"/>
      <c r="CEG2492" s="59"/>
      <c r="CEH2492" s="61"/>
      <c r="CEI2492" s="59"/>
      <c r="CEJ2492" s="59"/>
      <c r="CEK2492" s="60"/>
      <c r="CEL2492" s="60"/>
      <c r="CEM2492" s="60"/>
      <c r="CEN2492" s="60"/>
      <c r="CEO2492" s="59"/>
      <c r="CEP2492" s="61"/>
      <c r="CEQ2492" s="59"/>
      <c r="CER2492" s="59"/>
      <c r="CES2492" s="60"/>
      <c r="CET2492" s="60"/>
      <c r="CEU2492" s="60"/>
      <c r="CEV2492" s="60"/>
      <c r="CEW2492" s="59"/>
      <c r="CEX2492" s="61"/>
      <c r="CEY2492" s="59"/>
      <c r="CEZ2492" s="59"/>
      <c r="CFA2492" s="60"/>
      <c r="CFB2492" s="60"/>
      <c r="CFC2492" s="60"/>
      <c r="CFD2492" s="60"/>
      <c r="CFE2492" s="59"/>
      <c r="CFF2492" s="61"/>
      <c r="CFG2492" s="59"/>
      <c r="CFH2492" s="59"/>
      <c r="CFI2492" s="60"/>
      <c r="CFJ2492" s="60"/>
      <c r="CFK2492" s="60"/>
      <c r="CFL2492" s="60"/>
      <c r="CFM2492" s="59"/>
      <c r="CFN2492" s="61"/>
      <c r="CFO2492" s="59"/>
      <c r="CFP2492" s="59"/>
      <c r="CFQ2492" s="60"/>
      <c r="CFR2492" s="60"/>
      <c r="CFS2492" s="60"/>
      <c r="CFT2492" s="60"/>
      <c r="CFU2492" s="59"/>
      <c r="CFV2492" s="61"/>
      <c r="CFW2492" s="59"/>
      <c r="CFX2492" s="59"/>
      <c r="CFY2492" s="60"/>
      <c r="CFZ2492" s="60"/>
      <c r="CGA2492" s="60"/>
      <c r="CGB2492" s="60"/>
      <c r="CGC2492" s="59"/>
      <c r="CGD2492" s="61"/>
      <c r="CGE2492" s="59"/>
      <c r="CGF2492" s="59"/>
      <c r="CGG2492" s="60"/>
      <c r="CGH2492" s="60"/>
      <c r="CGI2492" s="60"/>
      <c r="CGJ2492" s="60"/>
      <c r="CGK2492" s="59"/>
      <c r="CGL2492" s="61"/>
      <c r="CGM2492" s="59"/>
      <c r="CGN2492" s="59"/>
      <c r="CGO2492" s="60"/>
      <c r="CGP2492" s="60"/>
      <c r="CGQ2492" s="60"/>
      <c r="CGR2492" s="60"/>
      <c r="CGS2492" s="59"/>
      <c r="CGT2492" s="61"/>
      <c r="CGU2492" s="59"/>
      <c r="CGV2492" s="59"/>
      <c r="CGW2492" s="60"/>
      <c r="CGX2492" s="60"/>
      <c r="CGY2492" s="60"/>
      <c r="CGZ2492" s="60"/>
      <c r="CHA2492" s="59"/>
      <c r="CHB2492" s="61"/>
      <c r="CHC2492" s="59"/>
      <c r="CHD2492" s="59"/>
      <c r="CHE2492" s="60"/>
      <c r="CHF2492" s="60"/>
      <c r="CHG2492" s="60"/>
      <c r="CHH2492" s="60"/>
      <c r="CHI2492" s="59"/>
      <c r="CHJ2492" s="61"/>
      <c r="CHK2492" s="59"/>
      <c r="CHL2492" s="59"/>
      <c r="CHM2492" s="60"/>
      <c r="CHN2492" s="60"/>
      <c r="CHO2492" s="60"/>
      <c r="CHP2492" s="60"/>
      <c r="CHQ2492" s="59"/>
      <c r="CHR2492" s="61"/>
      <c r="CHS2492" s="59"/>
      <c r="CHT2492" s="59"/>
      <c r="CHU2492" s="60"/>
      <c r="CHV2492" s="60"/>
      <c r="CHW2492" s="60"/>
      <c r="CHX2492" s="60"/>
      <c r="CHY2492" s="59"/>
      <c r="CHZ2492" s="61"/>
      <c r="CIA2492" s="59"/>
      <c r="CIB2492" s="59"/>
      <c r="CIC2492" s="60"/>
      <c r="CID2492" s="60"/>
      <c r="CIE2492" s="60"/>
      <c r="CIF2492" s="60"/>
      <c r="CIG2492" s="59"/>
      <c r="CIH2492" s="61"/>
      <c r="CII2492" s="59"/>
      <c r="CIJ2492" s="59"/>
      <c r="CIK2492" s="60"/>
      <c r="CIL2492" s="60"/>
      <c r="CIM2492" s="60"/>
      <c r="CIN2492" s="60"/>
      <c r="CIO2492" s="59"/>
      <c r="CIP2492" s="61"/>
      <c r="CIQ2492" s="59"/>
      <c r="CIR2492" s="59"/>
      <c r="CIS2492" s="60"/>
      <c r="CIT2492" s="60"/>
      <c r="CIU2492" s="60"/>
      <c r="CIV2492" s="60"/>
      <c r="CIW2492" s="59"/>
      <c r="CIX2492" s="61"/>
      <c r="CIY2492" s="59"/>
      <c r="CIZ2492" s="59"/>
      <c r="CJA2492" s="60"/>
      <c r="CJB2492" s="60"/>
      <c r="CJC2492" s="60"/>
      <c r="CJD2492" s="60"/>
      <c r="CJE2492" s="59"/>
      <c r="CJF2492" s="61"/>
      <c r="CJG2492" s="59"/>
      <c r="CJH2492" s="59"/>
      <c r="CJI2492" s="60"/>
      <c r="CJJ2492" s="60"/>
      <c r="CJK2492" s="60"/>
      <c r="CJL2492" s="60"/>
      <c r="CJM2492" s="59"/>
      <c r="CJN2492" s="61"/>
      <c r="CJO2492" s="59"/>
      <c r="CJP2492" s="59"/>
      <c r="CJQ2492" s="60"/>
      <c r="CJR2492" s="60"/>
      <c r="CJS2492" s="60"/>
      <c r="CJT2492" s="60"/>
      <c r="CJU2492" s="59"/>
      <c r="CJV2492" s="61"/>
      <c r="CJW2492" s="59"/>
      <c r="CJX2492" s="59"/>
      <c r="CJY2492" s="60"/>
      <c r="CJZ2492" s="60"/>
      <c r="CKA2492" s="60"/>
      <c r="CKB2492" s="60"/>
      <c r="CKC2492" s="59"/>
      <c r="CKD2492" s="61"/>
      <c r="CKE2492" s="59"/>
      <c r="CKF2492" s="59"/>
      <c r="CKG2492" s="60"/>
      <c r="CKH2492" s="60"/>
      <c r="CKI2492" s="60"/>
      <c r="CKJ2492" s="60"/>
      <c r="CKK2492" s="59"/>
      <c r="CKL2492" s="61"/>
      <c r="CKM2492" s="59"/>
      <c r="CKN2492" s="59"/>
      <c r="CKO2492" s="60"/>
      <c r="CKP2492" s="60"/>
      <c r="CKQ2492" s="60"/>
      <c r="CKR2492" s="60"/>
      <c r="CKS2492" s="59"/>
      <c r="CKT2492" s="61"/>
      <c r="CKU2492" s="59"/>
      <c r="CKV2492" s="59"/>
      <c r="CKW2492" s="60"/>
      <c r="CKX2492" s="60"/>
      <c r="CKY2492" s="60"/>
      <c r="CKZ2492" s="60"/>
      <c r="CLA2492" s="59"/>
      <c r="CLB2492" s="61"/>
      <c r="CLC2492" s="59"/>
      <c r="CLD2492" s="59"/>
      <c r="CLE2492" s="60"/>
      <c r="CLF2492" s="60"/>
      <c r="CLG2492" s="60"/>
      <c r="CLH2492" s="60"/>
      <c r="CLI2492" s="59"/>
      <c r="CLJ2492" s="61"/>
      <c r="CLK2492" s="59"/>
      <c r="CLL2492" s="59"/>
      <c r="CLM2492" s="60"/>
      <c r="CLN2492" s="60"/>
      <c r="CLO2492" s="60"/>
      <c r="CLP2492" s="60"/>
      <c r="CLQ2492" s="59"/>
      <c r="CLR2492" s="61"/>
      <c r="CLS2492" s="59"/>
      <c r="CLT2492" s="59"/>
      <c r="CLU2492" s="60"/>
      <c r="CLV2492" s="60"/>
      <c r="CLW2492" s="60"/>
      <c r="CLX2492" s="60"/>
      <c r="CLY2492" s="59"/>
      <c r="CLZ2492" s="61"/>
      <c r="CMA2492" s="59"/>
      <c r="CMB2492" s="59"/>
      <c r="CMC2492" s="60"/>
      <c r="CMD2492" s="60"/>
      <c r="CME2492" s="60"/>
      <c r="CMF2492" s="60"/>
      <c r="CMG2492" s="59"/>
      <c r="CMH2492" s="61"/>
      <c r="CMI2492" s="59"/>
      <c r="CMJ2492" s="59"/>
      <c r="CMK2492" s="60"/>
      <c r="CML2492" s="60"/>
      <c r="CMM2492" s="60"/>
      <c r="CMN2492" s="60"/>
      <c r="CMO2492" s="59"/>
      <c r="CMP2492" s="61"/>
      <c r="CMQ2492" s="59"/>
      <c r="CMR2492" s="59"/>
      <c r="CMS2492" s="60"/>
      <c r="CMT2492" s="60"/>
      <c r="CMU2492" s="60"/>
      <c r="CMV2492" s="60"/>
      <c r="CMW2492" s="59"/>
      <c r="CMX2492" s="61"/>
      <c r="CMY2492" s="59"/>
      <c r="CMZ2492" s="59"/>
      <c r="CNA2492" s="60"/>
      <c r="CNB2492" s="60"/>
      <c r="CNC2492" s="60"/>
      <c r="CND2492" s="60"/>
      <c r="CNE2492" s="59"/>
      <c r="CNF2492" s="61"/>
      <c r="CNG2492" s="59"/>
      <c r="CNH2492" s="59"/>
      <c r="CNI2492" s="60"/>
      <c r="CNJ2492" s="60"/>
      <c r="CNK2492" s="60"/>
      <c r="CNL2492" s="60"/>
      <c r="CNM2492" s="59"/>
      <c r="CNN2492" s="61"/>
      <c r="CNO2492" s="59"/>
      <c r="CNP2492" s="59"/>
      <c r="CNQ2492" s="60"/>
      <c r="CNR2492" s="60"/>
      <c r="CNS2492" s="60"/>
      <c r="CNT2492" s="60"/>
      <c r="CNU2492" s="59"/>
      <c r="CNV2492" s="61"/>
      <c r="CNW2492" s="59"/>
      <c r="CNX2492" s="59"/>
      <c r="CNY2492" s="60"/>
      <c r="CNZ2492" s="60"/>
      <c r="COA2492" s="60"/>
      <c r="COB2492" s="60"/>
      <c r="COC2492" s="59"/>
      <c r="COD2492" s="61"/>
      <c r="COE2492" s="59"/>
      <c r="COF2492" s="59"/>
      <c r="COG2492" s="60"/>
      <c r="COH2492" s="60"/>
      <c r="COI2492" s="60"/>
      <c r="COJ2492" s="60"/>
      <c r="COK2492" s="59"/>
      <c r="COL2492" s="61"/>
      <c r="COM2492" s="59"/>
      <c r="CON2492" s="59"/>
      <c r="COO2492" s="60"/>
      <c r="COP2492" s="60"/>
      <c r="COQ2492" s="60"/>
      <c r="COR2492" s="60"/>
      <c r="COS2492" s="59"/>
      <c r="COT2492" s="61"/>
      <c r="COU2492" s="59"/>
      <c r="COV2492" s="59"/>
      <c r="COW2492" s="60"/>
      <c r="COX2492" s="60"/>
      <c r="COY2492" s="60"/>
      <c r="COZ2492" s="60"/>
      <c r="CPA2492" s="59"/>
      <c r="CPB2492" s="61"/>
      <c r="CPC2492" s="59"/>
      <c r="CPD2492" s="59"/>
      <c r="CPE2492" s="60"/>
      <c r="CPF2492" s="60"/>
      <c r="CPG2492" s="60"/>
      <c r="CPH2492" s="60"/>
      <c r="CPI2492" s="59"/>
      <c r="CPJ2492" s="61"/>
      <c r="CPK2492" s="59"/>
      <c r="CPL2492" s="59"/>
      <c r="CPM2492" s="60"/>
      <c r="CPN2492" s="60"/>
      <c r="CPO2492" s="60"/>
      <c r="CPP2492" s="60"/>
      <c r="CPQ2492" s="59"/>
      <c r="CPR2492" s="61"/>
      <c r="CPS2492" s="59"/>
      <c r="CPT2492" s="59"/>
      <c r="CPU2492" s="60"/>
      <c r="CPV2492" s="60"/>
      <c r="CPW2492" s="60"/>
      <c r="CPX2492" s="60"/>
      <c r="CPY2492" s="59"/>
      <c r="CPZ2492" s="61"/>
      <c r="CQA2492" s="59"/>
      <c r="CQB2492" s="59"/>
      <c r="CQC2492" s="60"/>
      <c r="CQD2492" s="60"/>
      <c r="CQE2492" s="60"/>
      <c r="CQF2492" s="60"/>
      <c r="CQG2492" s="59"/>
      <c r="CQH2492" s="61"/>
      <c r="CQI2492" s="59"/>
      <c r="CQJ2492" s="59"/>
      <c r="CQK2492" s="60"/>
      <c r="CQL2492" s="60"/>
      <c r="CQM2492" s="60"/>
      <c r="CQN2492" s="60"/>
      <c r="CQO2492" s="59"/>
      <c r="CQP2492" s="61"/>
      <c r="CQQ2492" s="59"/>
      <c r="CQR2492" s="59"/>
      <c r="CQS2492" s="60"/>
      <c r="CQT2492" s="60"/>
      <c r="CQU2492" s="60"/>
      <c r="CQV2492" s="60"/>
      <c r="CQW2492" s="59"/>
      <c r="CQX2492" s="61"/>
      <c r="CQY2492" s="59"/>
      <c r="CQZ2492" s="59"/>
      <c r="CRA2492" s="60"/>
      <c r="CRB2492" s="60"/>
      <c r="CRC2492" s="60"/>
      <c r="CRD2492" s="60"/>
      <c r="CRE2492" s="59"/>
      <c r="CRF2492" s="61"/>
      <c r="CRG2492" s="59"/>
      <c r="CRH2492" s="59"/>
      <c r="CRI2492" s="60"/>
      <c r="CRJ2492" s="60"/>
      <c r="CRK2492" s="60"/>
      <c r="CRL2492" s="60"/>
      <c r="CRM2492" s="59"/>
      <c r="CRN2492" s="61"/>
      <c r="CRO2492" s="59"/>
      <c r="CRP2492" s="59"/>
      <c r="CRQ2492" s="60"/>
      <c r="CRR2492" s="60"/>
      <c r="CRS2492" s="60"/>
      <c r="CRT2492" s="60"/>
      <c r="CRU2492" s="59"/>
      <c r="CRV2492" s="61"/>
      <c r="CRW2492" s="59"/>
      <c r="CRX2492" s="59"/>
      <c r="CRY2492" s="60"/>
      <c r="CRZ2492" s="60"/>
      <c r="CSA2492" s="60"/>
      <c r="CSB2492" s="60"/>
      <c r="CSC2492" s="59"/>
      <c r="CSD2492" s="61"/>
      <c r="CSE2492" s="59"/>
      <c r="CSF2492" s="59"/>
      <c r="CSG2492" s="60"/>
      <c r="CSH2492" s="60"/>
      <c r="CSI2492" s="60"/>
      <c r="CSJ2492" s="60"/>
      <c r="CSK2492" s="59"/>
      <c r="CSL2492" s="61"/>
      <c r="CSM2492" s="59"/>
      <c r="CSN2492" s="59"/>
      <c r="CSO2492" s="60"/>
      <c r="CSP2492" s="60"/>
      <c r="CSQ2492" s="60"/>
      <c r="CSR2492" s="60"/>
      <c r="CSS2492" s="59"/>
      <c r="CST2492" s="61"/>
      <c r="CSU2492" s="59"/>
      <c r="CSV2492" s="59"/>
      <c r="CSW2492" s="60"/>
      <c r="CSX2492" s="60"/>
      <c r="CSY2492" s="60"/>
      <c r="CSZ2492" s="60"/>
      <c r="CTA2492" s="59"/>
      <c r="CTB2492" s="61"/>
      <c r="CTC2492" s="59"/>
      <c r="CTD2492" s="59"/>
      <c r="CTE2492" s="60"/>
      <c r="CTF2492" s="60"/>
      <c r="CTG2492" s="60"/>
      <c r="CTH2492" s="60"/>
      <c r="CTI2492" s="59"/>
      <c r="CTJ2492" s="61"/>
      <c r="CTK2492" s="59"/>
      <c r="CTL2492" s="59"/>
      <c r="CTM2492" s="60"/>
      <c r="CTN2492" s="60"/>
      <c r="CTO2492" s="60"/>
      <c r="CTP2492" s="60"/>
      <c r="CTQ2492" s="59"/>
      <c r="CTR2492" s="61"/>
      <c r="CTS2492" s="59"/>
      <c r="CTT2492" s="59"/>
      <c r="CTU2492" s="60"/>
      <c r="CTV2492" s="60"/>
      <c r="CTW2492" s="60"/>
      <c r="CTX2492" s="60"/>
      <c r="CTY2492" s="59"/>
      <c r="CTZ2492" s="61"/>
      <c r="CUA2492" s="59"/>
      <c r="CUB2492" s="59"/>
      <c r="CUC2492" s="60"/>
      <c r="CUD2492" s="60"/>
      <c r="CUE2492" s="60"/>
      <c r="CUF2492" s="60"/>
      <c r="CUG2492" s="59"/>
      <c r="CUH2492" s="61"/>
      <c r="CUI2492" s="59"/>
      <c r="CUJ2492" s="59"/>
      <c r="CUK2492" s="60"/>
      <c r="CUL2492" s="60"/>
      <c r="CUM2492" s="60"/>
      <c r="CUN2492" s="60"/>
      <c r="CUO2492" s="59"/>
      <c r="CUP2492" s="61"/>
      <c r="CUQ2492" s="59"/>
      <c r="CUR2492" s="59"/>
      <c r="CUS2492" s="60"/>
      <c r="CUT2492" s="60"/>
      <c r="CUU2492" s="60"/>
      <c r="CUV2492" s="60"/>
      <c r="CUW2492" s="59"/>
      <c r="CUX2492" s="61"/>
      <c r="CUY2492" s="59"/>
      <c r="CUZ2492" s="59"/>
      <c r="CVA2492" s="60"/>
      <c r="CVB2492" s="60"/>
      <c r="CVC2492" s="60"/>
      <c r="CVD2492" s="60"/>
      <c r="CVE2492" s="59"/>
      <c r="CVF2492" s="61"/>
      <c r="CVG2492" s="59"/>
      <c r="CVH2492" s="59"/>
      <c r="CVI2492" s="60"/>
      <c r="CVJ2492" s="60"/>
      <c r="CVK2492" s="60"/>
      <c r="CVL2492" s="60"/>
      <c r="CVM2492" s="59"/>
      <c r="CVN2492" s="61"/>
      <c r="CVO2492" s="59"/>
      <c r="CVP2492" s="59"/>
      <c r="CVQ2492" s="60"/>
      <c r="CVR2492" s="60"/>
      <c r="CVS2492" s="60"/>
      <c r="CVT2492" s="60"/>
      <c r="CVU2492" s="59"/>
      <c r="CVV2492" s="61"/>
      <c r="CVW2492" s="59"/>
      <c r="CVX2492" s="59"/>
      <c r="CVY2492" s="60"/>
      <c r="CVZ2492" s="60"/>
      <c r="CWA2492" s="60"/>
      <c r="CWB2492" s="60"/>
      <c r="CWC2492" s="59"/>
      <c r="CWD2492" s="61"/>
      <c r="CWE2492" s="59"/>
      <c r="CWF2492" s="59"/>
      <c r="CWG2492" s="60"/>
      <c r="CWH2492" s="60"/>
      <c r="CWI2492" s="60"/>
      <c r="CWJ2492" s="60"/>
      <c r="CWK2492" s="59"/>
      <c r="CWL2492" s="61"/>
      <c r="CWM2492" s="59"/>
      <c r="CWN2492" s="59"/>
      <c r="CWO2492" s="60"/>
      <c r="CWP2492" s="60"/>
      <c r="CWQ2492" s="60"/>
      <c r="CWR2492" s="60"/>
      <c r="CWS2492" s="59"/>
      <c r="CWT2492" s="61"/>
      <c r="CWU2492" s="59"/>
      <c r="CWV2492" s="59"/>
      <c r="CWW2492" s="60"/>
      <c r="CWX2492" s="60"/>
      <c r="CWY2492" s="60"/>
      <c r="CWZ2492" s="60"/>
      <c r="CXA2492" s="59"/>
      <c r="CXB2492" s="61"/>
      <c r="CXC2492" s="59"/>
      <c r="CXD2492" s="59"/>
      <c r="CXE2492" s="60"/>
      <c r="CXF2492" s="60"/>
      <c r="CXG2492" s="60"/>
      <c r="CXH2492" s="60"/>
      <c r="CXI2492" s="59"/>
      <c r="CXJ2492" s="61"/>
      <c r="CXK2492" s="59"/>
      <c r="CXL2492" s="59"/>
      <c r="CXM2492" s="60"/>
      <c r="CXN2492" s="60"/>
      <c r="CXO2492" s="60"/>
      <c r="CXP2492" s="60"/>
      <c r="CXQ2492" s="59"/>
      <c r="CXR2492" s="61"/>
      <c r="CXS2492" s="59"/>
      <c r="CXT2492" s="59"/>
      <c r="CXU2492" s="60"/>
      <c r="CXV2492" s="60"/>
      <c r="CXW2492" s="60"/>
      <c r="CXX2492" s="60"/>
      <c r="CXY2492" s="59"/>
      <c r="CXZ2492" s="61"/>
      <c r="CYA2492" s="59"/>
      <c r="CYB2492" s="59"/>
      <c r="CYC2492" s="60"/>
      <c r="CYD2492" s="60"/>
      <c r="CYE2492" s="60"/>
      <c r="CYF2492" s="60"/>
      <c r="CYG2492" s="59"/>
      <c r="CYH2492" s="61"/>
      <c r="CYI2492" s="59"/>
      <c r="CYJ2492" s="59"/>
      <c r="CYK2492" s="60"/>
      <c r="CYL2492" s="60"/>
      <c r="CYM2492" s="60"/>
      <c r="CYN2492" s="60"/>
      <c r="CYO2492" s="59"/>
      <c r="CYP2492" s="61"/>
      <c r="CYQ2492" s="59"/>
      <c r="CYR2492" s="59"/>
      <c r="CYS2492" s="60"/>
      <c r="CYT2492" s="60"/>
      <c r="CYU2492" s="60"/>
      <c r="CYV2492" s="60"/>
      <c r="CYW2492" s="59"/>
      <c r="CYX2492" s="61"/>
      <c r="CYY2492" s="59"/>
      <c r="CYZ2492" s="59"/>
      <c r="CZA2492" s="60"/>
      <c r="CZB2492" s="60"/>
      <c r="CZC2492" s="60"/>
      <c r="CZD2492" s="60"/>
      <c r="CZE2492" s="59"/>
      <c r="CZF2492" s="61"/>
      <c r="CZG2492" s="59"/>
      <c r="CZH2492" s="59"/>
      <c r="CZI2492" s="60"/>
      <c r="CZJ2492" s="60"/>
      <c r="CZK2492" s="60"/>
      <c r="CZL2492" s="60"/>
      <c r="CZM2492" s="59"/>
      <c r="CZN2492" s="61"/>
      <c r="CZO2492" s="59"/>
      <c r="CZP2492" s="59"/>
      <c r="CZQ2492" s="60"/>
      <c r="CZR2492" s="60"/>
      <c r="CZS2492" s="60"/>
      <c r="CZT2492" s="60"/>
      <c r="CZU2492" s="59"/>
      <c r="CZV2492" s="61"/>
      <c r="CZW2492" s="59"/>
      <c r="CZX2492" s="59"/>
      <c r="CZY2492" s="60"/>
      <c r="CZZ2492" s="60"/>
      <c r="DAA2492" s="60"/>
      <c r="DAB2492" s="60"/>
      <c r="DAC2492" s="59"/>
      <c r="DAD2492" s="61"/>
      <c r="DAE2492" s="59"/>
      <c r="DAF2492" s="59"/>
      <c r="DAG2492" s="60"/>
      <c r="DAH2492" s="60"/>
      <c r="DAI2492" s="60"/>
      <c r="DAJ2492" s="60"/>
      <c r="DAK2492" s="59"/>
      <c r="DAL2492" s="61"/>
      <c r="DAM2492" s="59"/>
      <c r="DAN2492" s="59"/>
      <c r="DAO2492" s="60"/>
      <c r="DAP2492" s="60"/>
      <c r="DAQ2492" s="60"/>
      <c r="DAR2492" s="60"/>
      <c r="DAS2492" s="59"/>
      <c r="DAT2492" s="61"/>
      <c r="DAU2492" s="59"/>
      <c r="DAV2492" s="59"/>
      <c r="DAW2492" s="60"/>
      <c r="DAX2492" s="60"/>
      <c r="DAY2492" s="60"/>
      <c r="DAZ2492" s="60"/>
      <c r="DBA2492" s="59"/>
      <c r="DBB2492" s="61"/>
      <c r="DBC2492" s="59"/>
      <c r="DBD2492" s="59"/>
      <c r="DBE2492" s="60"/>
      <c r="DBF2492" s="60"/>
      <c r="DBG2492" s="60"/>
      <c r="DBH2492" s="60"/>
      <c r="DBI2492" s="59"/>
      <c r="DBJ2492" s="61"/>
      <c r="DBK2492" s="59"/>
      <c r="DBL2492" s="59"/>
      <c r="DBM2492" s="60"/>
      <c r="DBN2492" s="60"/>
      <c r="DBO2492" s="60"/>
      <c r="DBP2492" s="60"/>
      <c r="DBQ2492" s="59"/>
      <c r="DBR2492" s="61"/>
      <c r="DBS2492" s="59"/>
      <c r="DBT2492" s="59"/>
      <c r="DBU2492" s="60"/>
      <c r="DBV2492" s="60"/>
      <c r="DBW2492" s="60"/>
      <c r="DBX2492" s="60"/>
      <c r="DBY2492" s="59"/>
      <c r="DBZ2492" s="61"/>
      <c r="DCA2492" s="59"/>
      <c r="DCB2492" s="59"/>
      <c r="DCC2492" s="60"/>
      <c r="DCD2492" s="60"/>
      <c r="DCE2492" s="60"/>
      <c r="DCF2492" s="60"/>
      <c r="DCG2492" s="59"/>
      <c r="DCH2492" s="61"/>
      <c r="DCI2492" s="59"/>
      <c r="DCJ2492" s="59"/>
      <c r="DCK2492" s="60"/>
      <c r="DCL2492" s="60"/>
      <c r="DCM2492" s="60"/>
      <c r="DCN2492" s="60"/>
      <c r="DCO2492" s="59"/>
      <c r="DCP2492" s="61"/>
      <c r="DCQ2492" s="59"/>
      <c r="DCR2492" s="59"/>
      <c r="DCS2492" s="60"/>
      <c r="DCT2492" s="60"/>
      <c r="DCU2492" s="60"/>
      <c r="DCV2492" s="60"/>
      <c r="DCW2492" s="59"/>
      <c r="DCX2492" s="61"/>
      <c r="DCY2492" s="59"/>
      <c r="DCZ2492" s="59"/>
      <c r="DDA2492" s="60"/>
      <c r="DDB2492" s="60"/>
      <c r="DDC2492" s="60"/>
      <c r="DDD2492" s="60"/>
      <c r="DDE2492" s="59"/>
      <c r="DDF2492" s="61"/>
      <c r="DDG2492" s="59"/>
      <c r="DDH2492" s="59"/>
      <c r="DDI2492" s="60"/>
      <c r="DDJ2492" s="60"/>
      <c r="DDK2492" s="60"/>
      <c r="DDL2492" s="60"/>
      <c r="DDM2492" s="59"/>
      <c r="DDN2492" s="61"/>
      <c r="DDO2492" s="59"/>
      <c r="DDP2492" s="59"/>
      <c r="DDQ2492" s="60"/>
      <c r="DDR2492" s="60"/>
      <c r="DDS2492" s="60"/>
      <c r="DDT2492" s="60"/>
      <c r="DDU2492" s="59"/>
      <c r="DDV2492" s="61"/>
      <c r="DDW2492" s="59"/>
      <c r="DDX2492" s="59"/>
      <c r="DDY2492" s="60"/>
      <c r="DDZ2492" s="60"/>
      <c r="DEA2492" s="60"/>
      <c r="DEB2492" s="60"/>
      <c r="DEC2492" s="59"/>
      <c r="DED2492" s="61"/>
      <c r="DEE2492" s="59"/>
      <c r="DEF2492" s="59"/>
      <c r="DEG2492" s="60"/>
      <c r="DEH2492" s="60"/>
      <c r="DEI2492" s="60"/>
      <c r="DEJ2492" s="60"/>
      <c r="DEK2492" s="59"/>
      <c r="DEL2492" s="61"/>
      <c r="DEM2492" s="59"/>
      <c r="DEN2492" s="59"/>
      <c r="DEO2492" s="60"/>
      <c r="DEP2492" s="60"/>
      <c r="DEQ2492" s="60"/>
      <c r="DER2492" s="60"/>
      <c r="DES2492" s="59"/>
      <c r="DET2492" s="61"/>
      <c r="DEU2492" s="59"/>
      <c r="DEV2492" s="59"/>
      <c r="DEW2492" s="60"/>
      <c r="DEX2492" s="60"/>
      <c r="DEY2492" s="60"/>
      <c r="DEZ2492" s="60"/>
      <c r="DFA2492" s="59"/>
      <c r="DFB2492" s="61"/>
      <c r="DFC2492" s="59"/>
      <c r="DFD2492" s="59"/>
      <c r="DFE2492" s="60"/>
      <c r="DFF2492" s="60"/>
      <c r="DFG2492" s="60"/>
      <c r="DFH2492" s="60"/>
      <c r="DFI2492" s="59"/>
      <c r="DFJ2492" s="61"/>
      <c r="DFK2492" s="59"/>
      <c r="DFL2492" s="59"/>
      <c r="DFM2492" s="60"/>
      <c r="DFN2492" s="60"/>
      <c r="DFO2492" s="60"/>
      <c r="DFP2492" s="60"/>
      <c r="DFQ2492" s="59"/>
      <c r="DFR2492" s="61"/>
      <c r="DFS2492" s="59"/>
      <c r="DFT2492" s="59"/>
      <c r="DFU2492" s="60"/>
      <c r="DFV2492" s="60"/>
      <c r="DFW2492" s="60"/>
      <c r="DFX2492" s="60"/>
      <c r="DFY2492" s="59"/>
      <c r="DFZ2492" s="61"/>
      <c r="DGA2492" s="59"/>
      <c r="DGB2492" s="59"/>
      <c r="DGC2492" s="60"/>
      <c r="DGD2492" s="60"/>
      <c r="DGE2492" s="60"/>
      <c r="DGF2492" s="60"/>
      <c r="DGG2492" s="59"/>
      <c r="DGH2492" s="61"/>
      <c r="DGI2492" s="59"/>
      <c r="DGJ2492" s="59"/>
      <c r="DGK2492" s="60"/>
      <c r="DGL2492" s="60"/>
      <c r="DGM2492" s="60"/>
      <c r="DGN2492" s="60"/>
      <c r="DGO2492" s="59"/>
      <c r="DGP2492" s="61"/>
      <c r="DGQ2492" s="59"/>
      <c r="DGR2492" s="59"/>
      <c r="DGS2492" s="60"/>
      <c r="DGT2492" s="60"/>
      <c r="DGU2492" s="60"/>
      <c r="DGV2492" s="60"/>
      <c r="DGW2492" s="59"/>
      <c r="DGX2492" s="61"/>
      <c r="DGY2492" s="59"/>
      <c r="DGZ2492" s="59"/>
      <c r="DHA2492" s="60"/>
      <c r="DHB2492" s="60"/>
      <c r="DHC2492" s="60"/>
      <c r="DHD2492" s="60"/>
      <c r="DHE2492" s="59"/>
      <c r="DHF2492" s="61"/>
      <c r="DHG2492" s="59"/>
      <c r="DHH2492" s="59"/>
      <c r="DHI2492" s="60"/>
      <c r="DHJ2492" s="60"/>
      <c r="DHK2492" s="60"/>
      <c r="DHL2492" s="60"/>
      <c r="DHM2492" s="59"/>
      <c r="DHN2492" s="61"/>
      <c r="DHO2492" s="59"/>
      <c r="DHP2492" s="59"/>
      <c r="DHQ2492" s="60"/>
      <c r="DHR2492" s="60"/>
      <c r="DHS2492" s="60"/>
      <c r="DHT2492" s="60"/>
      <c r="DHU2492" s="59"/>
      <c r="DHV2492" s="61"/>
      <c r="DHW2492" s="59"/>
      <c r="DHX2492" s="59"/>
      <c r="DHY2492" s="60"/>
      <c r="DHZ2492" s="60"/>
      <c r="DIA2492" s="60"/>
      <c r="DIB2492" s="60"/>
      <c r="DIC2492" s="59"/>
      <c r="DID2492" s="61"/>
      <c r="DIE2492" s="59"/>
      <c r="DIF2492" s="59"/>
      <c r="DIG2492" s="60"/>
      <c r="DIH2492" s="60"/>
      <c r="DII2492" s="60"/>
      <c r="DIJ2492" s="60"/>
      <c r="DIK2492" s="59"/>
      <c r="DIL2492" s="61"/>
      <c r="DIM2492" s="59"/>
      <c r="DIN2492" s="59"/>
      <c r="DIO2492" s="60"/>
      <c r="DIP2492" s="60"/>
      <c r="DIQ2492" s="60"/>
      <c r="DIR2492" s="60"/>
      <c r="DIS2492" s="59"/>
      <c r="DIT2492" s="61"/>
      <c r="DIU2492" s="59"/>
      <c r="DIV2492" s="59"/>
      <c r="DIW2492" s="60"/>
      <c r="DIX2492" s="60"/>
      <c r="DIY2492" s="60"/>
      <c r="DIZ2492" s="60"/>
      <c r="DJA2492" s="59"/>
      <c r="DJB2492" s="61"/>
      <c r="DJC2492" s="59"/>
      <c r="DJD2492" s="59"/>
      <c r="DJE2492" s="60"/>
      <c r="DJF2492" s="60"/>
      <c r="DJG2492" s="60"/>
      <c r="DJH2492" s="60"/>
      <c r="DJI2492" s="59"/>
      <c r="DJJ2492" s="61"/>
      <c r="DJK2492" s="59"/>
      <c r="DJL2492" s="59"/>
      <c r="DJM2492" s="60"/>
      <c r="DJN2492" s="60"/>
      <c r="DJO2492" s="60"/>
      <c r="DJP2492" s="60"/>
      <c r="DJQ2492" s="59"/>
      <c r="DJR2492" s="61"/>
      <c r="DJS2492" s="59"/>
      <c r="DJT2492" s="59"/>
      <c r="DJU2492" s="60"/>
      <c r="DJV2492" s="60"/>
      <c r="DJW2492" s="60"/>
      <c r="DJX2492" s="60"/>
      <c r="DJY2492" s="59"/>
      <c r="DJZ2492" s="61"/>
      <c r="DKA2492" s="59"/>
      <c r="DKB2492" s="59"/>
      <c r="DKC2492" s="60"/>
      <c r="DKD2492" s="60"/>
      <c r="DKE2492" s="60"/>
      <c r="DKF2492" s="60"/>
      <c r="DKG2492" s="59"/>
      <c r="DKH2492" s="61"/>
      <c r="DKI2492" s="59"/>
      <c r="DKJ2492" s="59"/>
      <c r="DKK2492" s="60"/>
      <c r="DKL2492" s="60"/>
      <c r="DKM2492" s="60"/>
      <c r="DKN2492" s="60"/>
      <c r="DKO2492" s="59"/>
      <c r="DKP2492" s="61"/>
      <c r="DKQ2492" s="59"/>
      <c r="DKR2492" s="59"/>
      <c r="DKS2492" s="60"/>
      <c r="DKT2492" s="60"/>
      <c r="DKU2492" s="60"/>
      <c r="DKV2492" s="60"/>
      <c r="DKW2492" s="59"/>
      <c r="DKX2492" s="61"/>
      <c r="DKY2492" s="59"/>
      <c r="DKZ2492" s="59"/>
      <c r="DLA2492" s="60"/>
      <c r="DLB2492" s="60"/>
      <c r="DLC2492" s="60"/>
      <c r="DLD2492" s="60"/>
      <c r="DLE2492" s="59"/>
      <c r="DLF2492" s="61"/>
      <c r="DLG2492" s="59"/>
      <c r="DLH2492" s="59"/>
      <c r="DLI2492" s="60"/>
      <c r="DLJ2492" s="60"/>
      <c r="DLK2492" s="60"/>
      <c r="DLL2492" s="60"/>
      <c r="DLM2492" s="59"/>
      <c r="DLN2492" s="61"/>
      <c r="DLO2492" s="59"/>
      <c r="DLP2492" s="59"/>
      <c r="DLQ2492" s="60"/>
      <c r="DLR2492" s="60"/>
      <c r="DLS2492" s="60"/>
      <c r="DLT2492" s="60"/>
      <c r="DLU2492" s="59"/>
      <c r="DLV2492" s="61"/>
      <c r="DLW2492" s="59"/>
      <c r="DLX2492" s="59"/>
      <c r="DLY2492" s="60"/>
      <c r="DLZ2492" s="60"/>
      <c r="DMA2492" s="60"/>
      <c r="DMB2492" s="60"/>
      <c r="DMC2492" s="59"/>
      <c r="DMD2492" s="61"/>
      <c r="DME2492" s="59"/>
      <c r="DMF2492" s="59"/>
      <c r="DMG2492" s="60"/>
      <c r="DMH2492" s="60"/>
      <c r="DMI2492" s="60"/>
      <c r="DMJ2492" s="60"/>
      <c r="DMK2492" s="59"/>
      <c r="DML2492" s="61"/>
      <c r="DMM2492" s="59"/>
      <c r="DMN2492" s="59"/>
      <c r="DMO2492" s="60"/>
      <c r="DMP2492" s="60"/>
      <c r="DMQ2492" s="60"/>
      <c r="DMR2492" s="60"/>
      <c r="DMS2492" s="59"/>
      <c r="DMT2492" s="61"/>
      <c r="DMU2492" s="59"/>
      <c r="DMV2492" s="59"/>
      <c r="DMW2492" s="60"/>
      <c r="DMX2492" s="60"/>
      <c r="DMY2492" s="60"/>
      <c r="DMZ2492" s="60"/>
      <c r="DNA2492" s="59"/>
      <c r="DNB2492" s="61"/>
      <c r="DNC2492" s="59"/>
      <c r="DND2492" s="59"/>
      <c r="DNE2492" s="60"/>
      <c r="DNF2492" s="60"/>
      <c r="DNG2492" s="60"/>
      <c r="DNH2492" s="60"/>
      <c r="DNI2492" s="59"/>
      <c r="DNJ2492" s="61"/>
      <c r="DNK2492" s="59"/>
      <c r="DNL2492" s="59"/>
      <c r="DNM2492" s="60"/>
      <c r="DNN2492" s="60"/>
      <c r="DNO2492" s="60"/>
      <c r="DNP2492" s="60"/>
      <c r="DNQ2492" s="59"/>
      <c r="DNR2492" s="61"/>
      <c r="DNS2492" s="59"/>
      <c r="DNT2492" s="59"/>
      <c r="DNU2492" s="60"/>
      <c r="DNV2492" s="60"/>
      <c r="DNW2492" s="60"/>
      <c r="DNX2492" s="60"/>
      <c r="DNY2492" s="59"/>
      <c r="DNZ2492" s="61"/>
      <c r="DOA2492" s="59"/>
      <c r="DOB2492" s="59"/>
      <c r="DOC2492" s="60"/>
      <c r="DOD2492" s="60"/>
      <c r="DOE2492" s="60"/>
      <c r="DOF2492" s="60"/>
      <c r="DOG2492" s="59"/>
      <c r="DOH2492" s="61"/>
      <c r="DOI2492" s="59"/>
      <c r="DOJ2492" s="59"/>
      <c r="DOK2492" s="60"/>
      <c r="DOL2492" s="60"/>
      <c r="DOM2492" s="60"/>
      <c r="DON2492" s="60"/>
      <c r="DOO2492" s="59"/>
      <c r="DOP2492" s="61"/>
      <c r="DOQ2492" s="59"/>
      <c r="DOR2492" s="59"/>
      <c r="DOS2492" s="60"/>
      <c r="DOT2492" s="60"/>
      <c r="DOU2492" s="60"/>
      <c r="DOV2492" s="60"/>
      <c r="DOW2492" s="59"/>
      <c r="DOX2492" s="61"/>
      <c r="DOY2492" s="59"/>
      <c r="DOZ2492" s="59"/>
      <c r="DPA2492" s="60"/>
      <c r="DPB2492" s="60"/>
      <c r="DPC2492" s="60"/>
      <c r="DPD2492" s="60"/>
      <c r="DPE2492" s="59"/>
      <c r="DPF2492" s="61"/>
      <c r="DPG2492" s="59"/>
      <c r="DPH2492" s="59"/>
      <c r="DPI2492" s="60"/>
      <c r="DPJ2492" s="60"/>
      <c r="DPK2492" s="60"/>
      <c r="DPL2492" s="60"/>
      <c r="DPM2492" s="59"/>
      <c r="DPN2492" s="61"/>
      <c r="DPO2492" s="59"/>
      <c r="DPP2492" s="59"/>
      <c r="DPQ2492" s="60"/>
      <c r="DPR2492" s="60"/>
      <c r="DPS2492" s="60"/>
      <c r="DPT2492" s="60"/>
      <c r="DPU2492" s="59"/>
      <c r="DPV2492" s="61"/>
      <c r="DPW2492" s="59"/>
      <c r="DPX2492" s="59"/>
      <c r="DPY2492" s="60"/>
      <c r="DPZ2492" s="60"/>
      <c r="DQA2492" s="60"/>
      <c r="DQB2492" s="60"/>
      <c r="DQC2492" s="59"/>
      <c r="DQD2492" s="61"/>
      <c r="DQE2492" s="59"/>
      <c r="DQF2492" s="59"/>
      <c r="DQG2492" s="60"/>
      <c r="DQH2492" s="60"/>
      <c r="DQI2492" s="60"/>
      <c r="DQJ2492" s="60"/>
      <c r="DQK2492" s="59"/>
      <c r="DQL2492" s="61"/>
      <c r="DQM2492" s="59"/>
      <c r="DQN2492" s="59"/>
      <c r="DQO2492" s="60"/>
      <c r="DQP2492" s="60"/>
      <c r="DQQ2492" s="60"/>
      <c r="DQR2492" s="60"/>
      <c r="DQS2492" s="59"/>
      <c r="DQT2492" s="61"/>
      <c r="DQU2492" s="59"/>
      <c r="DQV2492" s="59"/>
      <c r="DQW2492" s="60"/>
      <c r="DQX2492" s="60"/>
      <c r="DQY2492" s="60"/>
      <c r="DQZ2492" s="60"/>
      <c r="DRA2492" s="59"/>
      <c r="DRB2492" s="61"/>
      <c r="DRC2492" s="59"/>
      <c r="DRD2492" s="59"/>
      <c r="DRE2492" s="60"/>
      <c r="DRF2492" s="60"/>
      <c r="DRG2492" s="60"/>
      <c r="DRH2492" s="60"/>
      <c r="DRI2492" s="59"/>
      <c r="DRJ2492" s="61"/>
      <c r="DRK2492" s="59"/>
      <c r="DRL2492" s="59"/>
      <c r="DRM2492" s="60"/>
      <c r="DRN2492" s="60"/>
      <c r="DRO2492" s="60"/>
      <c r="DRP2492" s="60"/>
      <c r="DRQ2492" s="59"/>
      <c r="DRR2492" s="61"/>
      <c r="DRS2492" s="59"/>
      <c r="DRT2492" s="59"/>
      <c r="DRU2492" s="60"/>
      <c r="DRV2492" s="60"/>
      <c r="DRW2492" s="60"/>
      <c r="DRX2492" s="60"/>
      <c r="DRY2492" s="59"/>
      <c r="DRZ2492" s="61"/>
      <c r="DSA2492" s="59"/>
      <c r="DSB2492" s="59"/>
      <c r="DSC2492" s="60"/>
      <c r="DSD2492" s="60"/>
      <c r="DSE2492" s="60"/>
      <c r="DSF2492" s="60"/>
      <c r="DSG2492" s="59"/>
      <c r="DSH2492" s="61"/>
      <c r="DSI2492" s="59"/>
      <c r="DSJ2492" s="59"/>
      <c r="DSK2492" s="60"/>
      <c r="DSL2492" s="60"/>
      <c r="DSM2492" s="60"/>
      <c r="DSN2492" s="60"/>
      <c r="DSO2492" s="59"/>
      <c r="DSP2492" s="61"/>
      <c r="DSQ2492" s="59"/>
      <c r="DSR2492" s="59"/>
      <c r="DSS2492" s="60"/>
      <c r="DST2492" s="60"/>
      <c r="DSU2492" s="60"/>
      <c r="DSV2492" s="60"/>
      <c r="DSW2492" s="59"/>
      <c r="DSX2492" s="61"/>
      <c r="DSY2492" s="59"/>
      <c r="DSZ2492" s="59"/>
      <c r="DTA2492" s="60"/>
      <c r="DTB2492" s="60"/>
      <c r="DTC2492" s="60"/>
      <c r="DTD2492" s="60"/>
      <c r="DTE2492" s="59"/>
      <c r="DTF2492" s="61"/>
      <c r="DTG2492" s="59"/>
      <c r="DTH2492" s="59"/>
      <c r="DTI2492" s="60"/>
      <c r="DTJ2492" s="60"/>
      <c r="DTK2492" s="60"/>
      <c r="DTL2492" s="60"/>
      <c r="DTM2492" s="59"/>
      <c r="DTN2492" s="61"/>
      <c r="DTO2492" s="59"/>
      <c r="DTP2492" s="59"/>
      <c r="DTQ2492" s="60"/>
      <c r="DTR2492" s="60"/>
      <c r="DTS2492" s="60"/>
      <c r="DTT2492" s="60"/>
      <c r="DTU2492" s="59"/>
      <c r="DTV2492" s="61"/>
      <c r="DTW2492" s="59"/>
      <c r="DTX2492" s="59"/>
      <c r="DTY2492" s="60"/>
      <c r="DTZ2492" s="60"/>
      <c r="DUA2492" s="60"/>
      <c r="DUB2492" s="60"/>
      <c r="DUC2492" s="59"/>
      <c r="DUD2492" s="61"/>
      <c r="DUE2492" s="59"/>
      <c r="DUF2492" s="59"/>
      <c r="DUG2492" s="60"/>
      <c r="DUH2492" s="60"/>
      <c r="DUI2492" s="60"/>
      <c r="DUJ2492" s="60"/>
      <c r="DUK2492" s="59"/>
      <c r="DUL2492" s="61"/>
      <c r="DUM2492" s="59"/>
      <c r="DUN2492" s="59"/>
      <c r="DUO2492" s="60"/>
      <c r="DUP2492" s="60"/>
      <c r="DUQ2492" s="60"/>
      <c r="DUR2492" s="60"/>
      <c r="DUS2492" s="59"/>
      <c r="DUT2492" s="61"/>
      <c r="DUU2492" s="59"/>
      <c r="DUV2492" s="59"/>
      <c r="DUW2492" s="60"/>
      <c r="DUX2492" s="60"/>
      <c r="DUY2492" s="60"/>
      <c r="DUZ2492" s="60"/>
      <c r="DVA2492" s="59"/>
      <c r="DVB2492" s="61"/>
      <c r="DVC2492" s="59"/>
      <c r="DVD2492" s="59"/>
      <c r="DVE2492" s="60"/>
      <c r="DVF2492" s="60"/>
      <c r="DVG2492" s="60"/>
      <c r="DVH2492" s="60"/>
      <c r="DVI2492" s="59"/>
      <c r="DVJ2492" s="61"/>
      <c r="DVK2492" s="59"/>
      <c r="DVL2492" s="59"/>
      <c r="DVM2492" s="60"/>
      <c r="DVN2492" s="60"/>
      <c r="DVO2492" s="60"/>
      <c r="DVP2492" s="60"/>
      <c r="DVQ2492" s="59"/>
      <c r="DVR2492" s="61"/>
      <c r="DVS2492" s="59"/>
      <c r="DVT2492" s="59"/>
      <c r="DVU2492" s="60"/>
      <c r="DVV2492" s="60"/>
      <c r="DVW2492" s="60"/>
      <c r="DVX2492" s="60"/>
      <c r="DVY2492" s="59"/>
      <c r="DVZ2492" s="61"/>
      <c r="DWA2492" s="59"/>
      <c r="DWB2492" s="59"/>
      <c r="DWC2492" s="60"/>
      <c r="DWD2492" s="60"/>
      <c r="DWE2492" s="60"/>
      <c r="DWF2492" s="60"/>
      <c r="DWG2492" s="59"/>
      <c r="DWH2492" s="61"/>
      <c r="DWI2492" s="59"/>
      <c r="DWJ2492" s="59"/>
      <c r="DWK2492" s="60"/>
      <c r="DWL2492" s="60"/>
      <c r="DWM2492" s="60"/>
      <c r="DWN2492" s="60"/>
      <c r="DWO2492" s="59"/>
      <c r="DWP2492" s="61"/>
      <c r="DWQ2492" s="59"/>
      <c r="DWR2492" s="59"/>
      <c r="DWS2492" s="60"/>
      <c r="DWT2492" s="60"/>
      <c r="DWU2492" s="60"/>
      <c r="DWV2492" s="60"/>
      <c r="DWW2492" s="59"/>
      <c r="DWX2492" s="61"/>
      <c r="DWY2492" s="59"/>
      <c r="DWZ2492" s="59"/>
      <c r="DXA2492" s="60"/>
      <c r="DXB2492" s="60"/>
      <c r="DXC2492" s="60"/>
      <c r="DXD2492" s="60"/>
      <c r="DXE2492" s="59"/>
      <c r="DXF2492" s="61"/>
      <c r="DXG2492" s="59"/>
      <c r="DXH2492" s="59"/>
      <c r="DXI2492" s="60"/>
      <c r="DXJ2492" s="60"/>
      <c r="DXK2492" s="60"/>
      <c r="DXL2492" s="60"/>
      <c r="DXM2492" s="59"/>
      <c r="DXN2492" s="61"/>
      <c r="DXO2492" s="59"/>
      <c r="DXP2492" s="59"/>
      <c r="DXQ2492" s="60"/>
      <c r="DXR2492" s="60"/>
      <c r="DXS2492" s="60"/>
      <c r="DXT2492" s="60"/>
      <c r="DXU2492" s="59"/>
      <c r="DXV2492" s="61"/>
      <c r="DXW2492" s="59"/>
      <c r="DXX2492" s="59"/>
      <c r="DXY2492" s="60"/>
      <c r="DXZ2492" s="60"/>
      <c r="DYA2492" s="60"/>
      <c r="DYB2492" s="60"/>
      <c r="DYC2492" s="59"/>
      <c r="DYD2492" s="61"/>
      <c r="DYE2492" s="59"/>
      <c r="DYF2492" s="59"/>
      <c r="DYG2492" s="60"/>
      <c r="DYH2492" s="60"/>
      <c r="DYI2492" s="60"/>
      <c r="DYJ2492" s="60"/>
      <c r="DYK2492" s="59"/>
      <c r="DYL2492" s="61"/>
      <c r="DYM2492" s="59"/>
      <c r="DYN2492" s="59"/>
      <c r="DYO2492" s="60"/>
      <c r="DYP2492" s="60"/>
      <c r="DYQ2492" s="60"/>
      <c r="DYR2492" s="60"/>
      <c r="DYS2492" s="59"/>
      <c r="DYT2492" s="61"/>
      <c r="DYU2492" s="59"/>
      <c r="DYV2492" s="59"/>
      <c r="DYW2492" s="60"/>
      <c r="DYX2492" s="60"/>
      <c r="DYY2492" s="60"/>
      <c r="DYZ2492" s="60"/>
      <c r="DZA2492" s="59"/>
      <c r="DZB2492" s="61"/>
      <c r="DZC2492" s="59"/>
      <c r="DZD2492" s="59"/>
      <c r="DZE2492" s="60"/>
      <c r="DZF2492" s="60"/>
      <c r="DZG2492" s="60"/>
      <c r="DZH2492" s="60"/>
      <c r="DZI2492" s="59"/>
      <c r="DZJ2492" s="61"/>
      <c r="DZK2492" s="59"/>
      <c r="DZL2492" s="59"/>
      <c r="DZM2492" s="60"/>
      <c r="DZN2492" s="60"/>
      <c r="DZO2492" s="60"/>
      <c r="DZP2492" s="60"/>
      <c r="DZQ2492" s="59"/>
      <c r="DZR2492" s="61"/>
      <c r="DZS2492" s="59"/>
      <c r="DZT2492" s="59"/>
      <c r="DZU2492" s="60"/>
      <c r="DZV2492" s="60"/>
      <c r="DZW2492" s="60"/>
      <c r="DZX2492" s="60"/>
      <c r="DZY2492" s="59"/>
      <c r="DZZ2492" s="61"/>
      <c r="EAA2492" s="59"/>
      <c r="EAB2492" s="59"/>
      <c r="EAC2492" s="60"/>
      <c r="EAD2492" s="60"/>
      <c r="EAE2492" s="60"/>
      <c r="EAF2492" s="60"/>
      <c r="EAG2492" s="59"/>
      <c r="EAH2492" s="61"/>
      <c r="EAI2492" s="59"/>
      <c r="EAJ2492" s="59"/>
      <c r="EAK2492" s="60"/>
      <c r="EAL2492" s="60"/>
      <c r="EAM2492" s="60"/>
      <c r="EAN2492" s="60"/>
      <c r="EAO2492" s="59"/>
      <c r="EAP2492" s="61"/>
      <c r="EAQ2492" s="59"/>
      <c r="EAR2492" s="59"/>
      <c r="EAS2492" s="60"/>
      <c r="EAT2492" s="60"/>
      <c r="EAU2492" s="60"/>
      <c r="EAV2492" s="60"/>
      <c r="EAW2492" s="59"/>
      <c r="EAX2492" s="61"/>
      <c r="EAY2492" s="59"/>
      <c r="EAZ2492" s="59"/>
      <c r="EBA2492" s="60"/>
      <c r="EBB2492" s="60"/>
      <c r="EBC2492" s="60"/>
      <c r="EBD2492" s="60"/>
      <c r="EBE2492" s="59"/>
      <c r="EBF2492" s="61"/>
      <c r="EBG2492" s="59"/>
      <c r="EBH2492" s="59"/>
      <c r="EBI2492" s="60"/>
      <c r="EBJ2492" s="60"/>
      <c r="EBK2492" s="60"/>
      <c r="EBL2492" s="60"/>
      <c r="EBM2492" s="59"/>
      <c r="EBN2492" s="61"/>
      <c r="EBO2492" s="59"/>
      <c r="EBP2492" s="59"/>
      <c r="EBQ2492" s="60"/>
      <c r="EBR2492" s="60"/>
      <c r="EBS2492" s="60"/>
      <c r="EBT2492" s="60"/>
      <c r="EBU2492" s="59"/>
      <c r="EBV2492" s="61"/>
      <c r="EBW2492" s="59"/>
      <c r="EBX2492" s="59"/>
      <c r="EBY2492" s="60"/>
      <c r="EBZ2492" s="60"/>
      <c r="ECA2492" s="60"/>
      <c r="ECB2492" s="60"/>
      <c r="ECC2492" s="59"/>
      <c r="ECD2492" s="61"/>
      <c r="ECE2492" s="59"/>
      <c r="ECF2492" s="59"/>
      <c r="ECG2492" s="60"/>
      <c r="ECH2492" s="60"/>
      <c r="ECI2492" s="60"/>
      <c r="ECJ2492" s="60"/>
      <c r="ECK2492" s="59"/>
      <c r="ECL2492" s="61"/>
      <c r="ECM2492" s="59"/>
      <c r="ECN2492" s="59"/>
      <c r="ECO2492" s="60"/>
      <c r="ECP2492" s="60"/>
      <c r="ECQ2492" s="60"/>
      <c r="ECR2492" s="60"/>
      <c r="ECS2492" s="59"/>
      <c r="ECT2492" s="61"/>
      <c r="ECU2492" s="59"/>
      <c r="ECV2492" s="59"/>
      <c r="ECW2492" s="60"/>
      <c r="ECX2492" s="60"/>
      <c r="ECY2492" s="60"/>
      <c r="ECZ2492" s="60"/>
      <c r="EDA2492" s="59"/>
      <c r="EDB2492" s="61"/>
      <c r="EDC2492" s="59"/>
      <c r="EDD2492" s="59"/>
      <c r="EDE2492" s="60"/>
      <c r="EDF2492" s="60"/>
      <c r="EDG2492" s="60"/>
      <c r="EDH2492" s="60"/>
      <c r="EDI2492" s="59"/>
      <c r="EDJ2492" s="61"/>
      <c r="EDK2492" s="59"/>
      <c r="EDL2492" s="59"/>
      <c r="EDM2492" s="60"/>
      <c r="EDN2492" s="60"/>
      <c r="EDO2492" s="60"/>
      <c r="EDP2492" s="60"/>
      <c r="EDQ2492" s="59"/>
      <c r="EDR2492" s="61"/>
      <c r="EDS2492" s="59"/>
      <c r="EDT2492" s="59"/>
      <c r="EDU2492" s="60"/>
      <c r="EDV2492" s="60"/>
      <c r="EDW2492" s="60"/>
      <c r="EDX2492" s="60"/>
      <c r="EDY2492" s="59"/>
      <c r="EDZ2492" s="61"/>
      <c r="EEA2492" s="59"/>
      <c r="EEB2492" s="59"/>
      <c r="EEC2492" s="60"/>
      <c r="EED2492" s="60"/>
      <c r="EEE2492" s="60"/>
      <c r="EEF2492" s="60"/>
      <c r="EEG2492" s="59"/>
      <c r="EEH2492" s="61"/>
      <c r="EEI2492" s="59"/>
      <c r="EEJ2492" s="59"/>
      <c r="EEK2492" s="60"/>
      <c r="EEL2492" s="60"/>
      <c r="EEM2492" s="60"/>
      <c r="EEN2492" s="60"/>
      <c r="EEO2492" s="59"/>
      <c r="EEP2492" s="61"/>
      <c r="EEQ2492" s="59"/>
      <c r="EER2492" s="59"/>
      <c r="EES2492" s="60"/>
      <c r="EET2492" s="60"/>
      <c r="EEU2492" s="60"/>
      <c r="EEV2492" s="60"/>
      <c r="EEW2492" s="59"/>
      <c r="EEX2492" s="61"/>
      <c r="EEY2492" s="59"/>
      <c r="EEZ2492" s="59"/>
      <c r="EFA2492" s="60"/>
      <c r="EFB2492" s="60"/>
      <c r="EFC2492" s="60"/>
      <c r="EFD2492" s="60"/>
      <c r="EFE2492" s="59"/>
      <c r="EFF2492" s="61"/>
      <c r="EFG2492" s="59"/>
      <c r="EFH2492" s="59"/>
      <c r="EFI2492" s="60"/>
      <c r="EFJ2492" s="60"/>
      <c r="EFK2492" s="60"/>
      <c r="EFL2492" s="60"/>
      <c r="EFM2492" s="59"/>
      <c r="EFN2492" s="61"/>
      <c r="EFO2492" s="59"/>
      <c r="EFP2492" s="59"/>
      <c r="EFQ2492" s="60"/>
      <c r="EFR2492" s="60"/>
      <c r="EFS2492" s="60"/>
      <c r="EFT2492" s="60"/>
      <c r="EFU2492" s="59"/>
      <c r="EFV2492" s="61"/>
      <c r="EFW2492" s="59"/>
      <c r="EFX2492" s="59"/>
      <c r="EFY2492" s="60"/>
      <c r="EFZ2492" s="60"/>
      <c r="EGA2492" s="60"/>
      <c r="EGB2492" s="60"/>
      <c r="EGC2492" s="59"/>
      <c r="EGD2492" s="61"/>
      <c r="EGE2492" s="59"/>
      <c r="EGF2492" s="59"/>
      <c r="EGG2492" s="60"/>
      <c r="EGH2492" s="60"/>
      <c r="EGI2492" s="60"/>
      <c r="EGJ2492" s="60"/>
      <c r="EGK2492" s="59"/>
      <c r="EGL2492" s="61"/>
      <c r="EGM2492" s="59"/>
      <c r="EGN2492" s="59"/>
      <c r="EGO2492" s="60"/>
      <c r="EGP2492" s="60"/>
      <c r="EGQ2492" s="60"/>
      <c r="EGR2492" s="60"/>
      <c r="EGS2492" s="59"/>
      <c r="EGT2492" s="61"/>
      <c r="EGU2492" s="59"/>
      <c r="EGV2492" s="59"/>
      <c r="EGW2492" s="60"/>
      <c r="EGX2492" s="60"/>
      <c r="EGY2492" s="60"/>
      <c r="EGZ2492" s="60"/>
      <c r="EHA2492" s="59"/>
      <c r="EHB2492" s="61"/>
      <c r="EHC2492" s="59"/>
      <c r="EHD2492" s="59"/>
      <c r="EHE2492" s="60"/>
      <c r="EHF2492" s="60"/>
      <c r="EHG2492" s="60"/>
      <c r="EHH2492" s="60"/>
      <c r="EHI2492" s="59"/>
      <c r="EHJ2492" s="61"/>
      <c r="EHK2492" s="59"/>
      <c r="EHL2492" s="59"/>
      <c r="EHM2492" s="60"/>
      <c r="EHN2492" s="60"/>
      <c r="EHO2492" s="60"/>
      <c r="EHP2492" s="60"/>
      <c r="EHQ2492" s="59"/>
      <c r="EHR2492" s="61"/>
      <c r="EHS2492" s="59"/>
      <c r="EHT2492" s="59"/>
      <c r="EHU2492" s="60"/>
      <c r="EHV2492" s="60"/>
      <c r="EHW2492" s="60"/>
      <c r="EHX2492" s="60"/>
      <c r="EHY2492" s="59"/>
      <c r="EHZ2492" s="61"/>
      <c r="EIA2492" s="59"/>
      <c r="EIB2492" s="59"/>
      <c r="EIC2492" s="60"/>
      <c r="EID2492" s="60"/>
      <c r="EIE2492" s="60"/>
      <c r="EIF2492" s="60"/>
      <c r="EIG2492" s="59"/>
      <c r="EIH2492" s="61"/>
      <c r="EII2492" s="59"/>
      <c r="EIJ2492" s="59"/>
      <c r="EIK2492" s="60"/>
      <c r="EIL2492" s="60"/>
      <c r="EIM2492" s="60"/>
      <c r="EIN2492" s="60"/>
      <c r="EIO2492" s="59"/>
      <c r="EIP2492" s="61"/>
      <c r="EIQ2492" s="59"/>
      <c r="EIR2492" s="59"/>
      <c r="EIS2492" s="60"/>
      <c r="EIT2492" s="60"/>
      <c r="EIU2492" s="60"/>
      <c r="EIV2492" s="60"/>
      <c r="EIW2492" s="59"/>
      <c r="EIX2492" s="61"/>
      <c r="EIY2492" s="59"/>
      <c r="EIZ2492" s="59"/>
      <c r="EJA2492" s="60"/>
      <c r="EJB2492" s="60"/>
      <c r="EJC2492" s="60"/>
      <c r="EJD2492" s="60"/>
      <c r="EJE2492" s="59"/>
      <c r="EJF2492" s="61"/>
      <c r="EJG2492" s="59"/>
      <c r="EJH2492" s="59"/>
      <c r="EJI2492" s="60"/>
      <c r="EJJ2492" s="60"/>
      <c r="EJK2492" s="60"/>
      <c r="EJL2492" s="60"/>
      <c r="EJM2492" s="59"/>
      <c r="EJN2492" s="61"/>
      <c r="EJO2492" s="59"/>
      <c r="EJP2492" s="59"/>
      <c r="EJQ2492" s="60"/>
      <c r="EJR2492" s="60"/>
      <c r="EJS2492" s="60"/>
      <c r="EJT2492" s="60"/>
      <c r="EJU2492" s="59"/>
      <c r="EJV2492" s="61"/>
      <c r="EJW2492" s="59"/>
      <c r="EJX2492" s="59"/>
      <c r="EJY2492" s="60"/>
      <c r="EJZ2492" s="60"/>
      <c r="EKA2492" s="60"/>
      <c r="EKB2492" s="60"/>
      <c r="EKC2492" s="59"/>
      <c r="EKD2492" s="61"/>
      <c r="EKE2492" s="59"/>
      <c r="EKF2492" s="59"/>
      <c r="EKG2492" s="60"/>
      <c r="EKH2492" s="60"/>
      <c r="EKI2492" s="60"/>
      <c r="EKJ2492" s="60"/>
      <c r="EKK2492" s="59"/>
      <c r="EKL2492" s="61"/>
      <c r="EKM2492" s="59"/>
      <c r="EKN2492" s="59"/>
      <c r="EKO2492" s="60"/>
      <c r="EKP2492" s="60"/>
      <c r="EKQ2492" s="60"/>
      <c r="EKR2492" s="60"/>
      <c r="EKS2492" s="59"/>
      <c r="EKT2492" s="61"/>
      <c r="EKU2492" s="59"/>
      <c r="EKV2492" s="59"/>
      <c r="EKW2492" s="60"/>
      <c r="EKX2492" s="60"/>
      <c r="EKY2492" s="60"/>
      <c r="EKZ2492" s="60"/>
      <c r="ELA2492" s="59"/>
      <c r="ELB2492" s="61"/>
      <c r="ELC2492" s="59"/>
      <c r="ELD2492" s="59"/>
      <c r="ELE2492" s="60"/>
      <c r="ELF2492" s="60"/>
      <c r="ELG2492" s="60"/>
      <c r="ELH2492" s="60"/>
      <c r="ELI2492" s="59"/>
      <c r="ELJ2492" s="61"/>
      <c r="ELK2492" s="59"/>
      <c r="ELL2492" s="59"/>
      <c r="ELM2492" s="60"/>
      <c r="ELN2492" s="60"/>
      <c r="ELO2492" s="60"/>
      <c r="ELP2492" s="60"/>
      <c r="ELQ2492" s="59"/>
      <c r="ELR2492" s="61"/>
      <c r="ELS2492" s="59"/>
      <c r="ELT2492" s="59"/>
      <c r="ELU2492" s="60"/>
      <c r="ELV2492" s="60"/>
      <c r="ELW2492" s="60"/>
      <c r="ELX2492" s="60"/>
      <c r="ELY2492" s="59"/>
      <c r="ELZ2492" s="61"/>
      <c r="EMA2492" s="59"/>
      <c r="EMB2492" s="59"/>
      <c r="EMC2492" s="60"/>
      <c r="EMD2492" s="60"/>
      <c r="EME2492" s="60"/>
      <c r="EMF2492" s="60"/>
      <c r="EMG2492" s="59"/>
      <c r="EMH2492" s="61"/>
      <c r="EMI2492" s="59"/>
      <c r="EMJ2492" s="59"/>
      <c r="EMK2492" s="60"/>
      <c r="EML2492" s="60"/>
      <c r="EMM2492" s="60"/>
      <c r="EMN2492" s="60"/>
      <c r="EMO2492" s="59"/>
      <c r="EMP2492" s="61"/>
      <c r="EMQ2492" s="59"/>
      <c r="EMR2492" s="59"/>
      <c r="EMS2492" s="60"/>
      <c r="EMT2492" s="60"/>
      <c r="EMU2492" s="60"/>
      <c r="EMV2492" s="60"/>
      <c r="EMW2492" s="59"/>
      <c r="EMX2492" s="61"/>
      <c r="EMY2492" s="59"/>
      <c r="EMZ2492" s="59"/>
      <c r="ENA2492" s="60"/>
      <c r="ENB2492" s="60"/>
      <c r="ENC2492" s="60"/>
      <c r="END2492" s="60"/>
      <c r="ENE2492" s="59"/>
      <c r="ENF2492" s="61"/>
      <c r="ENG2492" s="59"/>
      <c r="ENH2492" s="59"/>
      <c r="ENI2492" s="60"/>
      <c r="ENJ2492" s="60"/>
      <c r="ENK2492" s="60"/>
      <c r="ENL2492" s="60"/>
      <c r="ENM2492" s="59"/>
      <c r="ENN2492" s="61"/>
      <c r="ENO2492" s="59"/>
      <c r="ENP2492" s="59"/>
      <c r="ENQ2492" s="60"/>
      <c r="ENR2492" s="60"/>
      <c r="ENS2492" s="60"/>
      <c r="ENT2492" s="60"/>
      <c r="ENU2492" s="59"/>
      <c r="ENV2492" s="61"/>
      <c r="ENW2492" s="59"/>
      <c r="ENX2492" s="59"/>
      <c r="ENY2492" s="60"/>
      <c r="ENZ2492" s="60"/>
      <c r="EOA2492" s="60"/>
      <c r="EOB2492" s="60"/>
      <c r="EOC2492" s="59"/>
      <c r="EOD2492" s="61"/>
      <c r="EOE2492" s="59"/>
      <c r="EOF2492" s="59"/>
      <c r="EOG2492" s="60"/>
      <c r="EOH2492" s="60"/>
      <c r="EOI2492" s="60"/>
      <c r="EOJ2492" s="60"/>
      <c r="EOK2492" s="59"/>
      <c r="EOL2492" s="61"/>
      <c r="EOM2492" s="59"/>
      <c r="EON2492" s="59"/>
      <c r="EOO2492" s="60"/>
      <c r="EOP2492" s="60"/>
      <c r="EOQ2492" s="60"/>
      <c r="EOR2492" s="60"/>
      <c r="EOS2492" s="59"/>
      <c r="EOT2492" s="61"/>
      <c r="EOU2492" s="59"/>
      <c r="EOV2492" s="59"/>
      <c r="EOW2492" s="60"/>
      <c r="EOX2492" s="60"/>
      <c r="EOY2492" s="60"/>
      <c r="EOZ2492" s="60"/>
      <c r="EPA2492" s="59"/>
      <c r="EPB2492" s="61"/>
      <c r="EPC2492" s="59"/>
      <c r="EPD2492" s="59"/>
      <c r="EPE2492" s="60"/>
      <c r="EPF2492" s="60"/>
      <c r="EPG2492" s="60"/>
      <c r="EPH2492" s="60"/>
      <c r="EPI2492" s="59"/>
      <c r="EPJ2492" s="61"/>
      <c r="EPK2492" s="59"/>
      <c r="EPL2492" s="59"/>
      <c r="EPM2492" s="60"/>
      <c r="EPN2492" s="60"/>
      <c r="EPO2492" s="60"/>
      <c r="EPP2492" s="60"/>
      <c r="EPQ2492" s="59"/>
      <c r="EPR2492" s="61"/>
      <c r="EPS2492" s="59"/>
      <c r="EPT2492" s="59"/>
      <c r="EPU2492" s="60"/>
      <c r="EPV2492" s="60"/>
      <c r="EPW2492" s="60"/>
      <c r="EPX2492" s="60"/>
      <c r="EPY2492" s="59"/>
      <c r="EPZ2492" s="61"/>
      <c r="EQA2492" s="59"/>
      <c r="EQB2492" s="59"/>
      <c r="EQC2492" s="60"/>
      <c r="EQD2492" s="60"/>
      <c r="EQE2492" s="60"/>
      <c r="EQF2492" s="60"/>
      <c r="EQG2492" s="59"/>
      <c r="EQH2492" s="61"/>
      <c r="EQI2492" s="59"/>
      <c r="EQJ2492" s="59"/>
      <c r="EQK2492" s="60"/>
      <c r="EQL2492" s="60"/>
      <c r="EQM2492" s="60"/>
      <c r="EQN2492" s="60"/>
      <c r="EQO2492" s="59"/>
      <c r="EQP2492" s="61"/>
      <c r="EQQ2492" s="59"/>
      <c r="EQR2492" s="59"/>
      <c r="EQS2492" s="60"/>
      <c r="EQT2492" s="60"/>
      <c r="EQU2492" s="60"/>
      <c r="EQV2492" s="60"/>
      <c r="EQW2492" s="59"/>
      <c r="EQX2492" s="61"/>
      <c r="EQY2492" s="59"/>
      <c r="EQZ2492" s="59"/>
      <c r="ERA2492" s="60"/>
      <c r="ERB2492" s="60"/>
      <c r="ERC2492" s="60"/>
      <c r="ERD2492" s="60"/>
      <c r="ERE2492" s="59"/>
      <c r="ERF2492" s="61"/>
      <c r="ERG2492" s="59"/>
      <c r="ERH2492" s="59"/>
      <c r="ERI2492" s="60"/>
      <c r="ERJ2492" s="60"/>
      <c r="ERK2492" s="60"/>
      <c r="ERL2492" s="60"/>
      <c r="ERM2492" s="59"/>
      <c r="ERN2492" s="61"/>
      <c r="ERO2492" s="59"/>
      <c r="ERP2492" s="59"/>
      <c r="ERQ2492" s="60"/>
      <c r="ERR2492" s="60"/>
      <c r="ERS2492" s="60"/>
      <c r="ERT2492" s="60"/>
      <c r="ERU2492" s="59"/>
      <c r="ERV2492" s="61"/>
      <c r="ERW2492" s="59"/>
      <c r="ERX2492" s="59"/>
      <c r="ERY2492" s="60"/>
      <c r="ERZ2492" s="60"/>
      <c r="ESA2492" s="60"/>
      <c r="ESB2492" s="60"/>
      <c r="ESC2492" s="59"/>
      <c r="ESD2492" s="61"/>
      <c r="ESE2492" s="59"/>
      <c r="ESF2492" s="59"/>
      <c r="ESG2492" s="60"/>
      <c r="ESH2492" s="60"/>
      <c r="ESI2492" s="60"/>
      <c r="ESJ2492" s="60"/>
      <c r="ESK2492" s="59"/>
      <c r="ESL2492" s="61"/>
      <c r="ESM2492" s="59"/>
      <c r="ESN2492" s="59"/>
      <c r="ESO2492" s="60"/>
      <c r="ESP2492" s="60"/>
      <c r="ESQ2492" s="60"/>
      <c r="ESR2492" s="60"/>
      <c r="ESS2492" s="59"/>
      <c r="EST2492" s="61"/>
      <c r="ESU2492" s="59"/>
      <c r="ESV2492" s="59"/>
      <c r="ESW2492" s="60"/>
      <c r="ESX2492" s="60"/>
      <c r="ESY2492" s="60"/>
      <c r="ESZ2492" s="60"/>
      <c r="ETA2492" s="59"/>
      <c r="ETB2492" s="61"/>
      <c r="ETC2492" s="59"/>
      <c r="ETD2492" s="59"/>
      <c r="ETE2492" s="60"/>
      <c r="ETF2492" s="60"/>
      <c r="ETG2492" s="60"/>
      <c r="ETH2492" s="60"/>
      <c r="ETI2492" s="59"/>
      <c r="ETJ2492" s="61"/>
      <c r="ETK2492" s="59"/>
      <c r="ETL2492" s="59"/>
      <c r="ETM2492" s="60"/>
      <c r="ETN2492" s="60"/>
      <c r="ETO2492" s="60"/>
      <c r="ETP2492" s="60"/>
      <c r="ETQ2492" s="59"/>
      <c r="ETR2492" s="61"/>
      <c r="ETS2492" s="59"/>
      <c r="ETT2492" s="59"/>
      <c r="ETU2492" s="60"/>
      <c r="ETV2492" s="60"/>
      <c r="ETW2492" s="60"/>
      <c r="ETX2492" s="60"/>
      <c r="ETY2492" s="59"/>
      <c r="ETZ2492" s="61"/>
      <c r="EUA2492" s="59"/>
      <c r="EUB2492" s="59"/>
      <c r="EUC2492" s="60"/>
      <c r="EUD2492" s="60"/>
      <c r="EUE2492" s="60"/>
      <c r="EUF2492" s="60"/>
      <c r="EUG2492" s="59"/>
      <c r="EUH2492" s="61"/>
      <c r="EUI2492" s="59"/>
      <c r="EUJ2492" s="59"/>
      <c r="EUK2492" s="60"/>
      <c r="EUL2492" s="60"/>
      <c r="EUM2492" s="60"/>
      <c r="EUN2492" s="60"/>
      <c r="EUO2492" s="59"/>
      <c r="EUP2492" s="61"/>
      <c r="EUQ2492" s="59"/>
      <c r="EUR2492" s="59"/>
      <c r="EUS2492" s="60"/>
      <c r="EUT2492" s="60"/>
      <c r="EUU2492" s="60"/>
      <c r="EUV2492" s="60"/>
      <c r="EUW2492" s="59"/>
      <c r="EUX2492" s="61"/>
      <c r="EUY2492" s="59"/>
      <c r="EUZ2492" s="59"/>
      <c r="EVA2492" s="60"/>
      <c r="EVB2492" s="60"/>
      <c r="EVC2492" s="60"/>
      <c r="EVD2492" s="60"/>
      <c r="EVE2492" s="59"/>
      <c r="EVF2492" s="61"/>
      <c r="EVG2492" s="59"/>
      <c r="EVH2492" s="59"/>
      <c r="EVI2492" s="60"/>
      <c r="EVJ2492" s="60"/>
      <c r="EVK2492" s="60"/>
      <c r="EVL2492" s="60"/>
      <c r="EVM2492" s="59"/>
      <c r="EVN2492" s="61"/>
      <c r="EVO2492" s="59"/>
      <c r="EVP2492" s="59"/>
      <c r="EVQ2492" s="60"/>
      <c r="EVR2492" s="60"/>
      <c r="EVS2492" s="60"/>
      <c r="EVT2492" s="60"/>
      <c r="EVU2492" s="59"/>
      <c r="EVV2492" s="61"/>
      <c r="EVW2492" s="59"/>
      <c r="EVX2492" s="59"/>
      <c r="EVY2492" s="60"/>
      <c r="EVZ2492" s="60"/>
      <c r="EWA2492" s="60"/>
      <c r="EWB2492" s="60"/>
      <c r="EWC2492" s="59"/>
      <c r="EWD2492" s="61"/>
      <c r="EWE2492" s="59"/>
      <c r="EWF2492" s="59"/>
      <c r="EWG2492" s="60"/>
      <c r="EWH2492" s="60"/>
      <c r="EWI2492" s="60"/>
      <c r="EWJ2492" s="60"/>
      <c r="EWK2492" s="59"/>
      <c r="EWL2492" s="61"/>
      <c r="EWM2492" s="59"/>
      <c r="EWN2492" s="59"/>
      <c r="EWO2492" s="60"/>
      <c r="EWP2492" s="60"/>
      <c r="EWQ2492" s="60"/>
      <c r="EWR2492" s="60"/>
      <c r="EWS2492" s="59"/>
      <c r="EWT2492" s="61"/>
      <c r="EWU2492" s="59"/>
      <c r="EWV2492" s="59"/>
      <c r="EWW2492" s="60"/>
      <c r="EWX2492" s="60"/>
      <c r="EWY2492" s="60"/>
      <c r="EWZ2492" s="60"/>
      <c r="EXA2492" s="59"/>
      <c r="EXB2492" s="61"/>
      <c r="EXC2492" s="59"/>
      <c r="EXD2492" s="59"/>
      <c r="EXE2492" s="60"/>
      <c r="EXF2492" s="60"/>
      <c r="EXG2492" s="60"/>
      <c r="EXH2492" s="60"/>
      <c r="EXI2492" s="59"/>
      <c r="EXJ2492" s="61"/>
      <c r="EXK2492" s="59"/>
      <c r="EXL2492" s="59"/>
      <c r="EXM2492" s="60"/>
      <c r="EXN2492" s="60"/>
      <c r="EXO2492" s="60"/>
      <c r="EXP2492" s="60"/>
      <c r="EXQ2492" s="59"/>
      <c r="EXR2492" s="61"/>
      <c r="EXS2492" s="59"/>
      <c r="EXT2492" s="59"/>
      <c r="EXU2492" s="60"/>
      <c r="EXV2492" s="60"/>
      <c r="EXW2492" s="60"/>
      <c r="EXX2492" s="60"/>
      <c r="EXY2492" s="59"/>
      <c r="EXZ2492" s="61"/>
      <c r="EYA2492" s="59"/>
      <c r="EYB2492" s="59"/>
      <c r="EYC2492" s="60"/>
      <c r="EYD2492" s="60"/>
      <c r="EYE2492" s="60"/>
      <c r="EYF2492" s="60"/>
      <c r="EYG2492" s="59"/>
      <c r="EYH2492" s="61"/>
      <c r="EYI2492" s="59"/>
      <c r="EYJ2492" s="59"/>
      <c r="EYK2492" s="60"/>
      <c r="EYL2492" s="60"/>
      <c r="EYM2492" s="60"/>
      <c r="EYN2492" s="60"/>
      <c r="EYO2492" s="59"/>
      <c r="EYP2492" s="61"/>
      <c r="EYQ2492" s="59"/>
      <c r="EYR2492" s="59"/>
      <c r="EYS2492" s="60"/>
      <c r="EYT2492" s="60"/>
      <c r="EYU2492" s="60"/>
      <c r="EYV2492" s="60"/>
      <c r="EYW2492" s="59"/>
      <c r="EYX2492" s="61"/>
      <c r="EYY2492" s="59"/>
      <c r="EYZ2492" s="59"/>
      <c r="EZA2492" s="60"/>
      <c r="EZB2492" s="60"/>
      <c r="EZC2492" s="60"/>
      <c r="EZD2492" s="60"/>
      <c r="EZE2492" s="59"/>
      <c r="EZF2492" s="61"/>
      <c r="EZG2492" s="59"/>
      <c r="EZH2492" s="59"/>
      <c r="EZI2492" s="60"/>
      <c r="EZJ2492" s="60"/>
      <c r="EZK2492" s="60"/>
      <c r="EZL2492" s="60"/>
      <c r="EZM2492" s="59"/>
      <c r="EZN2492" s="61"/>
      <c r="EZO2492" s="59"/>
      <c r="EZP2492" s="59"/>
      <c r="EZQ2492" s="60"/>
      <c r="EZR2492" s="60"/>
      <c r="EZS2492" s="60"/>
      <c r="EZT2492" s="60"/>
      <c r="EZU2492" s="59"/>
      <c r="EZV2492" s="61"/>
      <c r="EZW2492" s="59"/>
      <c r="EZX2492" s="59"/>
      <c r="EZY2492" s="60"/>
      <c r="EZZ2492" s="60"/>
      <c r="FAA2492" s="60"/>
      <c r="FAB2492" s="60"/>
      <c r="FAC2492" s="59"/>
      <c r="FAD2492" s="61"/>
      <c r="FAE2492" s="59"/>
      <c r="FAF2492" s="59"/>
      <c r="FAG2492" s="60"/>
      <c r="FAH2492" s="60"/>
      <c r="FAI2492" s="60"/>
      <c r="FAJ2492" s="60"/>
      <c r="FAK2492" s="59"/>
      <c r="FAL2492" s="61"/>
      <c r="FAM2492" s="59"/>
      <c r="FAN2492" s="59"/>
      <c r="FAO2492" s="60"/>
      <c r="FAP2492" s="60"/>
      <c r="FAQ2492" s="60"/>
      <c r="FAR2492" s="60"/>
      <c r="FAS2492" s="59"/>
      <c r="FAT2492" s="61"/>
      <c r="FAU2492" s="59"/>
      <c r="FAV2492" s="59"/>
      <c r="FAW2492" s="60"/>
      <c r="FAX2492" s="60"/>
      <c r="FAY2492" s="60"/>
      <c r="FAZ2492" s="60"/>
      <c r="FBA2492" s="59"/>
      <c r="FBB2492" s="61"/>
      <c r="FBC2492" s="59"/>
      <c r="FBD2492" s="59"/>
      <c r="FBE2492" s="60"/>
      <c r="FBF2492" s="60"/>
      <c r="FBG2492" s="60"/>
      <c r="FBH2492" s="60"/>
      <c r="FBI2492" s="59"/>
      <c r="FBJ2492" s="61"/>
      <c r="FBK2492" s="59"/>
      <c r="FBL2492" s="59"/>
      <c r="FBM2492" s="60"/>
      <c r="FBN2492" s="60"/>
      <c r="FBO2492" s="60"/>
      <c r="FBP2492" s="60"/>
      <c r="FBQ2492" s="59"/>
      <c r="FBR2492" s="61"/>
      <c r="FBS2492" s="59"/>
      <c r="FBT2492" s="59"/>
      <c r="FBU2492" s="60"/>
      <c r="FBV2492" s="60"/>
      <c r="FBW2492" s="60"/>
      <c r="FBX2492" s="60"/>
      <c r="FBY2492" s="59"/>
      <c r="FBZ2492" s="61"/>
      <c r="FCA2492" s="59"/>
      <c r="FCB2492" s="59"/>
      <c r="FCC2492" s="60"/>
      <c r="FCD2492" s="60"/>
      <c r="FCE2492" s="60"/>
      <c r="FCF2492" s="60"/>
      <c r="FCG2492" s="59"/>
      <c r="FCH2492" s="61"/>
      <c r="FCI2492" s="59"/>
      <c r="FCJ2492" s="59"/>
      <c r="FCK2492" s="60"/>
      <c r="FCL2492" s="60"/>
      <c r="FCM2492" s="60"/>
      <c r="FCN2492" s="60"/>
      <c r="FCO2492" s="59"/>
      <c r="FCP2492" s="61"/>
      <c r="FCQ2492" s="59"/>
      <c r="FCR2492" s="59"/>
      <c r="FCS2492" s="60"/>
      <c r="FCT2492" s="60"/>
      <c r="FCU2492" s="60"/>
      <c r="FCV2492" s="60"/>
      <c r="FCW2492" s="59"/>
      <c r="FCX2492" s="61"/>
      <c r="FCY2492" s="59"/>
      <c r="FCZ2492" s="59"/>
      <c r="FDA2492" s="60"/>
      <c r="FDB2492" s="60"/>
      <c r="FDC2492" s="60"/>
      <c r="FDD2492" s="60"/>
      <c r="FDE2492" s="59"/>
      <c r="FDF2492" s="61"/>
      <c r="FDG2492" s="59"/>
      <c r="FDH2492" s="59"/>
      <c r="FDI2492" s="60"/>
      <c r="FDJ2492" s="60"/>
      <c r="FDK2492" s="60"/>
      <c r="FDL2492" s="60"/>
      <c r="FDM2492" s="59"/>
      <c r="FDN2492" s="61"/>
      <c r="FDO2492" s="59"/>
      <c r="FDP2492" s="59"/>
      <c r="FDQ2492" s="60"/>
      <c r="FDR2492" s="60"/>
      <c r="FDS2492" s="60"/>
      <c r="FDT2492" s="60"/>
      <c r="FDU2492" s="59"/>
      <c r="FDV2492" s="61"/>
      <c r="FDW2492" s="59"/>
      <c r="FDX2492" s="59"/>
      <c r="FDY2492" s="60"/>
      <c r="FDZ2492" s="60"/>
      <c r="FEA2492" s="60"/>
      <c r="FEB2492" s="60"/>
      <c r="FEC2492" s="59"/>
      <c r="FED2492" s="61"/>
      <c r="FEE2492" s="59"/>
      <c r="FEF2492" s="59"/>
      <c r="FEG2492" s="60"/>
      <c r="FEH2492" s="60"/>
      <c r="FEI2492" s="60"/>
      <c r="FEJ2492" s="60"/>
      <c r="FEK2492" s="59"/>
      <c r="FEL2492" s="61"/>
      <c r="FEM2492" s="59"/>
      <c r="FEN2492" s="59"/>
      <c r="FEO2492" s="60"/>
      <c r="FEP2492" s="60"/>
      <c r="FEQ2492" s="60"/>
      <c r="FER2492" s="60"/>
      <c r="FES2492" s="59"/>
      <c r="FET2492" s="61"/>
      <c r="FEU2492" s="59"/>
      <c r="FEV2492" s="59"/>
      <c r="FEW2492" s="60"/>
      <c r="FEX2492" s="60"/>
      <c r="FEY2492" s="60"/>
      <c r="FEZ2492" s="60"/>
      <c r="FFA2492" s="59"/>
      <c r="FFB2492" s="61"/>
      <c r="FFC2492" s="59"/>
      <c r="FFD2492" s="59"/>
      <c r="FFE2492" s="60"/>
      <c r="FFF2492" s="60"/>
      <c r="FFG2492" s="60"/>
      <c r="FFH2492" s="60"/>
      <c r="FFI2492" s="59"/>
      <c r="FFJ2492" s="61"/>
      <c r="FFK2492" s="59"/>
      <c r="FFL2492" s="59"/>
      <c r="FFM2492" s="60"/>
      <c r="FFN2492" s="60"/>
      <c r="FFO2492" s="60"/>
      <c r="FFP2492" s="60"/>
      <c r="FFQ2492" s="59"/>
      <c r="FFR2492" s="61"/>
      <c r="FFS2492" s="59"/>
      <c r="FFT2492" s="59"/>
      <c r="FFU2492" s="60"/>
      <c r="FFV2492" s="60"/>
      <c r="FFW2492" s="60"/>
      <c r="FFX2492" s="60"/>
      <c r="FFY2492" s="59"/>
      <c r="FFZ2492" s="61"/>
      <c r="FGA2492" s="59"/>
      <c r="FGB2492" s="59"/>
      <c r="FGC2492" s="60"/>
      <c r="FGD2492" s="60"/>
      <c r="FGE2492" s="60"/>
      <c r="FGF2492" s="60"/>
      <c r="FGG2492" s="59"/>
      <c r="FGH2492" s="61"/>
      <c r="FGI2492" s="59"/>
      <c r="FGJ2492" s="59"/>
      <c r="FGK2492" s="60"/>
      <c r="FGL2492" s="60"/>
      <c r="FGM2492" s="60"/>
      <c r="FGN2492" s="60"/>
      <c r="FGO2492" s="59"/>
      <c r="FGP2492" s="61"/>
      <c r="FGQ2492" s="59"/>
      <c r="FGR2492" s="59"/>
      <c r="FGS2492" s="60"/>
      <c r="FGT2492" s="60"/>
      <c r="FGU2492" s="60"/>
      <c r="FGV2492" s="60"/>
      <c r="FGW2492" s="59"/>
      <c r="FGX2492" s="61"/>
      <c r="FGY2492" s="59"/>
      <c r="FGZ2492" s="59"/>
      <c r="FHA2492" s="60"/>
      <c r="FHB2492" s="60"/>
      <c r="FHC2492" s="60"/>
      <c r="FHD2492" s="60"/>
      <c r="FHE2492" s="59"/>
      <c r="FHF2492" s="61"/>
      <c r="FHG2492" s="59"/>
      <c r="FHH2492" s="59"/>
      <c r="FHI2492" s="60"/>
      <c r="FHJ2492" s="60"/>
      <c r="FHK2492" s="60"/>
      <c r="FHL2492" s="60"/>
      <c r="FHM2492" s="59"/>
      <c r="FHN2492" s="61"/>
      <c r="FHO2492" s="59"/>
      <c r="FHP2492" s="59"/>
      <c r="FHQ2492" s="60"/>
      <c r="FHR2492" s="60"/>
      <c r="FHS2492" s="60"/>
      <c r="FHT2492" s="60"/>
      <c r="FHU2492" s="59"/>
      <c r="FHV2492" s="61"/>
      <c r="FHW2492" s="59"/>
      <c r="FHX2492" s="59"/>
      <c r="FHY2492" s="60"/>
      <c r="FHZ2492" s="60"/>
      <c r="FIA2492" s="60"/>
      <c r="FIB2492" s="60"/>
      <c r="FIC2492" s="59"/>
      <c r="FID2492" s="61"/>
      <c r="FIE2492" s="59"/>
      <c r="FIF2492" s="59"/>
      <c r="FIG2492" s="60"/>
      <c r="FIH2492" s="60"/>
      <c r="FII2492" s="60"/>
      <c r="FIJ2492" s="60"/>
      <c r="FIK2492" s="59"/>
      <c r="FIL2492" s="61"/>
      <c r="FIM2492" s="59"/>
      <c r="FIN2492" s="59"/>
      <c r="FIO2492" s="60"/>
      <c r="FIP2492" s="60"/>
      <c r="FIQ2492" s="60"/>
      <c r="FIR2492" s="60"/>
      <c r="FIS2492" s="59"/>
      <c r="FIT2492" s="61"/>
      <c r="FIU2492" s="59"/>
      <c r="FIV2492" s="59"/>
      <c r="FIW2492" s="60"/>
      <c r="FIX2492" s="60"/>
      <c r="FIY2492" s="60"/>
      <c r="FIZ2492" s="60"/>
      <c r="FJA2492" s="59"/>
      <c r="FJB2492" s="61"/>
      <c r="FJC2492" s="59"/>
      <c r="FJD2492" s="59"/>
      <c r="FJE2492" s="60"/>
      <c r="FJF2492" s="60"/>
      <c r="FJG2492" s="60"/>
      <c r="FJH2492" s="60"/>
      <c r="FJI2492" s="59"/>
      <c r="FJJ2492" s="61"/>
      <c r="FJK2492" s="59"/>
      <c r="FJL2492" s="59"/>
      <c r="FJM2492" s="60"/>
      <c r="FJN2492" s="60"/>
      <c r="FJO2492" s="60"/>
      <c r="FJP2492" s="60"/>
      <c r="FJQ2492" s="59"/>
      <c r="FJR2492" s="61"/>
      <c r="FJS2492" s="59"/>
      <c r="FJT2492" s="59"/>
      <c r="FJU2492" s="60"/>
      <c r="FJV2492" s="60"/>
      <c r="FJW2492" s="60"/>
      <c r="FJX2492" s="60"/>
      <c r="FJY2492" s="59"/>
      <c r="FJZ2492" s="61"/>
      <c r="FKA2492" s="59"/>
      <c r="FKB2492" s="59"/>
      <c r="FKC2492" s="60"/>
      <c r="FKD2492" s="60"/>
      <c r="FKE2492" s="60"/>
      <c r="FKF2492" s="60"/>
      <c r="FKG2492" s="59"/>
      <c r="FKH2492" s="61"/>
      <c r="FKI2492" s="59"/>
      <c r="FKJ2492" s="59"/>
      <c r="FKK2492" s="60"/>
      <c r="FKL2492" s="60"/>
      <c r="FKM2492" s="60"/>
      <c r="FKN2492" s="60"/>
      <c r="FKO2492" s="59"/>
      <c r="FKP2492" s="61"/>
      <c r="FKQ2492" s="59"/>
      <c r="FKR2492" s="59"/>
      <c r="FKS2492" s="60"/>
      <c r="FKT2492" s="60"/>
      <c r="FKU2492" s="60"/>
      <c r="FKV2492" s="60"/>
      <c r="FKW2492" s="59"/>
      <c r="FKX2492" s="61"/>
      <c r="FKY2492" s="59"/>
      <c r="FKZ2492" s="59"/>
      <c r="FLA2492" s="60"/>
      <c r="FLB2492" s="60"/>
      <c r="FLC2492" s="60"/>
      <c r="FLD2492" s="60"/>
      <c r="FLE2492" s="59"/>
      <c r="FLF2492" s="61"/>
      <c r="FLG2492" s="59"/>
      <c r="FLH2492" s="59"/>
      <c r="FLI2492" s="60"/>
      <c r="FLJ2492" s="60"/>
      <c r="FLK2492" s="60"/>
      <c r="FLL2492" s="60"/>
      <c r="FLM2492" s="59"/>
      <c r="FLN2492" s="61"/>
      <c r="FLO2492" s="59"/>
      <c r="FLP2492" s="59"/>
      <c r="FLQ2492" s="60"/>
      <c r="FLR2492" s="60"/>
      <c r="FLS2492" s="60"/>
      <c r="FLT2492" s="60"/>
      <c r="FLU2492" s="59"/>
      <c r="FLV2492" s="61"/>
      <c r="FLW2492" s="59"/>
      <c r="FLX2492" s="59"/>
      <c r="FLY2492" s="60"/>
      <c r="FLZ2492" s="60"/>
      <c r="FMA2492" s="60"/>
      <c r="FMB2492" s="60"/>
      <c r="FMC2492" s="59"/>
      <c r="FMD2492" s="61"/>
      <c r="FME2492" s="59"/>
      <c r="FMF2492" s="59"/>
      <c r="FMG2492" s="60"/>
      <c r="FMH2492" s="60"/>
      <c r="FMI2492" s="60"/>
      <c r="FMJ2492" s="60"/>
      <c r="FMK2492" s="59"/>
      <c r="FML2492" s="61"/>
      <c r="FMM2492" s="59"/>
      <c r="FMN2492" s="59"/>
      <c r="FMO2492" s="60"/>
      <c r="FMP2492" s="60"/>
      <c r="FMQ2492" s="60"/>
      <c r="FMR2492" s="60"/>
      <c r="FMS2492" s="59"/>
      <c r="FMT2492" s="61"/>
      <c r="FMU2492" s="59"/>
      <c r="FMV2492" s="59"/>
      <c r="FMW2492" s="60"/>
      <c r="FMX2492" s="60"/>
      <c r="FMY2492" s="60"/>
      <c r="FMZ2492" s="60"/>
      <c r="FNA2492" s="59"/>
      <c r="FNB2492" s="61"/>
      <c r="FNC2492" s="59"/>
      <c r="FND2492" s="59"/>
      <c r="FNE2492" s="60"/>
      <c r="FNF2492" s="60"/>
      <c r="FNG2492" s="60"/>
      <c r="FNH2492" s="60"/>
      <c r="FNI2492" s="59"/>
      <c r="FNJ2492" s="61"/>
      <c r="FNK2492" s="59"/>
      <c r="FNL2492" s="59"/>
      <c r="FNM2492" s="60"/>
      <c r="FNN2492" s="60"/>
      <c r="FNO2492" s="60"/>
      <c r="FNP2492" s="60"/>
      <c r="FNQ2492" s="59"/>
      <c r="FNR2492" s="61"/>
      <c r="FNS2492" s="59"/>
      <c r="FNT2492" s="59"/>
      <c r="FNU2492" s="60"/>
      <c r="FNV2492" s="60"/>
      <c r="FNW2492" s="60"/>
      <c r="FNX2492" s="60"/>
      <c r="FNY2492" s="59"/>
      <c r="FNZ2492" s="61"/>
      <c r="FOA2492" s="59"/>
      <c r="FOB2492" s="59"/>
      <c r="FOC2492" s="60"/>
      <c r="FOD2492" s="60"/>
      <c r="FOE2492" s="60"/>
      <c r="FOF2492" s="60"/>
      <c r="FOG2492" s="59"/>
      <c r="FOH2492" s="61"/>
      <c r="FOI2492" s="59"/>
      <c r="FOJ2492" s="59"/>
      <c r="FOK2492" s="60"/>
      <c r="FOL2492" s="60"/>
      <c r="FOM2492" s="60"/>
      <c r="FON2492" s="60"/>
      <c r="FOO2492" s="59"/>
      <c r="FOP2492" s="61"/>
      <c r="FOQ2492" s="59"/>
      <c r="FOR2492" s="59"/>
      <c r="FOS2492" s="60"/>
      <c r="FOT2492" s="60"/>
      <c r="FOU2492" s="60"/>
      <c r="FOV2492" s="60"/>
      <c r="FOW2492" s="59"/>
      <c r="FOX2492" s="61"/>
      <c r="FOY2492" s="59"/>
      <c r="FOZ2492" s="59"/>
      <c r="FPA2492" s="60"/>
      <c r="FPB2492" s="60"/>
      <c r="FPC2492" s="60"/>
      <c r="FPD2492" s="60"/>
      <c r="FPE2492" s="59"/>
      <c r="FPF2492" s="61"/>
      <c r="FPG2492" s="59"/>
      <c r="FPH2492" s="59"/>
      <c r="FPI2492" s="60"/>
      <c r="FPJ2492" s="60"/>
      <c r="FPK2492" s="60"/>
      <c r="FPL2492" s="60"/>
      <c r="FPM2492" s="59"/>
      <c r="FPN2492" s="61"/>
      <c r="FPO2492" s="59"/>
      <c r="FPP2492" s="59"/>
      <c r="FPQ2492" s="60"/>
      <c r="FPR2492" s="60"/>
      <c r="FPS2492" s="60"/>
      <c r="FPT2492" s="60"/>
      <c r="FPU2492" s="59"/>
      <c r="FPV2492" s="61"/>
      <c r="FPW2492" s="59"/>
      <c r="FPX2492" s="59"/>
      <c r="FPY2492" s="60"/>
      <c r="FPZ2492" s="60"/>
      <c r="FQA2492" s="60"/>
      <c r="FQB2492" s="60"/>
      <c r="FQC2492" s="59"/>
      <c r="FQD2492" s="61"/>
      <c r="FQE2492" s="59"/>
      <c r="FQF2492" s="59"/>
      <c r="FQG2492" s="60"/>
      <c r="FQH2492" s="60"/>
      <c r="FQI2492" s="60"/>
      <c r="FQJ2492" s="60"/>
      <c r="FQK2492" s="59"/>
      <c r="FQL2492" s="61"/>
      <c r="FQM2492" s="59"/>
      <c r="FQN2492" s="59"/>
      <c r="FQO2492" s="60"/>
      <c r="FQP2492" s="60"/>
      <c r="FQQ2492" s="60"/>
      <c r="FQR2492" s="60"/>
      <c r="FQS2492" s="59"/>
      <c r="FQT2492" s="61"/>
      <c r="FQU2492" s="59"/>
      <c r="FQV2492" s="59"/>
      <c r="FQW2492" s="60"/>
      <c r="FQX2492" s="60"/>
      <c r="FQY2492" s="60"/>
      <c r="FQZ2492" s="60"/>
      <c r="FRA2492" s="59"/>
      <c r="FRB2492" s="61"/>
      <c r="FRC2492" s="59"/>
      <c r="FRD2492" s="59"/>
      <c r="FRE2492" s="60"/>
      <c r="FRF2492" s="60"/>
      <c r="FRG2492" s="60"/>
      <c r="FRH2492" s="60"/>
      <c r="FRI2492" s="59"/>
      <c r="FRJ2492" s="61"/>
      <c r="FRK2492" s="59"/>
      <c r="FRL2492" s="59"/>
      <c r="FRM2492" s="60"/>
      <c r="FRN2492" s="60"/>
      <c r="FRO2492" s="60"/>
      <c r="FRP2492" s="60"/>
      <c r="FRQ2492" s="59"/>
      <c r="FRR2492" s="61"/>
      <c r="FRS2492" s="59"/>
      <c r="FRT2492" s="59"/>
      <c r="FRU2492" s="60"/>
      <c r="FRV2492" s="60"/>
      <c r="FRW2492" s="60"/>
      <c r="FRX2492" s="60"/>
      <c r="FRY2492" s="59"/>
      <c r="FRZ2492" s="61"/>
      <c r="FSA2492" s="59"/>
      <c r="FSB2492" s="59"/>
      <c r="FSC2492" s="60"/>
      <c r="FSD2492" s="60"/>
      <c r="FSE2492" s="60"/>
      <c r="FSF2492" s="60"/>
      <c r="FSG2492" s="59"/>
      <c r="FSH2492" s="61"/>
      <c r="FSI2492" s="59"/>
      <c r="FSJ2492" s="59"/>
      <c r="FSK2492" s="60"/>
      <c r="FSL2492" s="60"/>
      <c r="FSM2492" s="60"/>
      <c r="FSN2492" s="60"/>
      <c r="FSO2492" s="59"/>
      <c r="FSP2492" s="61"/>
      <c r="FSQ2492" s="59"/>
      <c r="FSR2492" s="59"/>
      <c r="FSS2492" s="60"/>
      <c r="FST2492" s="60"/>
      <c r="FSU2492" s="60"/>
      <c r="FSV2492" s="60"/>
      <c r="FSW2492" s="59"/>
      <c r="FSX2492" s="61"/>
      <c r="FSY2492" s="59"/>
      <c r="FSZ2492" s="59"/>
      <c r="FTA2492" s="60"/>
      <c r="FTB2492" s="60"/>
      <c r="FTC2492" s="60"/>
      <c r="FTD2492" s="60"/>
      <c r="FTE2492" s="59"/>
      <c r="FTF2492" s="61"/>
      <c r="FTG2492" s="59"/>
      <c r="FTH2492" s="59"/>
      <c r="FTI2492" s="60"/>
      <c r="FTJ2492" s="60"/>
      <c r="FTK2492" s="60"/>
      <c r="FTL2492" s="60"/>
      <c r="FTM2492" s="59"/>
      <c r="FTN2492" s="61"/>
      <c r="FTO2492" s="59"/>
      <c r="FTP2492" s="59"/>
      <c r="FTQ2492" s="60"/>
      <c r="FTR2492" s="60"/>
      <c r="FTS2492" s="60"/>
      <c r="FTT2492" s="60"/>
      <c r="FTU2492" s="59"/>
      <c r="FTV2492" s="61"/>
      <c r="FTW2492" s="59"/>
      <c r="FTX2492" s="59"/>
      <c r="FTY2492" s="60"/>
      <c r="FTZ2492" s="60"/>
      <c r="FUA2492" s="60"/>
      <c r="FUB2492" s="60"/>
      <c r="FUC2492" s="59"/>
      <c r="FUD2492" s="61"/>
      <c r="FUE2492" s="59"/>
      <c r="FUF2492" s="59"/>
      <c r="FUG2492" s="60"/>
      <c r="FUH2492" s="60"/>
      <c r="FUI2492" s="60"/>
      <c r="FUJ2492" s="60"/>
      <c r="FUK2492" s="59"/>
      <c r="FUL2492" s="61"/>
      <c r="FUM2492" s="59"/>
      <c r="FUN2492" s="59"/>
      <c r="FUO2492" s="60"/>
      <c r="FUP2492" s="60"/>
      <c r="FUQ2492" s="60"/>
      <c r="FUR2492" s="60"/>
      <c r="FUS2492" s="59"/>
      <c r="FUT2492" s="61"/>
      <c r="FUU2492" s="59"/>
      <c r="FUV2492" s="59"/>
      <c r="FUW2492" s="60"/>
      <c r="FUX2492" s="60"/>
      <c r="FUY2492" s="60"/>
      <c r="FUZ2492" s="60"/>
      <c r="FVA2492" s="59"/>
      <c r="FVB2492" s="61"/>
      <c r="FVC2492" s="59"/>
      <c r="FVD2492" s="59"/>
      <c r="FVE2492" s="60"/>
      <c r="FVF2492" s="60"/>
      <c r="FVG2492" s="60"/>
      <c r="FVH2492" s="60"/>
      <c r="FVI2492" s="59"/>
      <c r="FVJ2492" s="61"/>
      <c r="FVK2492" s="59"/>
      <c r="FVL2492" s="59"/>
      <c r="FVM2492" s="60"/>
      <c r="FVN2492" s="60"/>
      <c r="FVO2492" s="60"/>
      <c r="FVP2492" s="60"/>
      <c r="FVQ2492" s="59"/>
      <c r="FVR2492" s="61"/>
      <c r="FVS2492" s="59"/>
      <c r="FVT2492" s="59"/>
      <c r="FVU2492" s="60"/>
      <c r="FVV2492" s="60"/>
      <c r="FVW2492" s="60"/>
      <c r="FVX2492" s="60"/>
      <c r="FVY2492" s="59"/>
      <c r="FVZ2492" s="61"/>
      <c r="FWA2492" s="59"/>
      <c r="FWB2492" s="59"/>
      <c r="FWC2492" s="60"/>
      <c r="FWD2492" s="60"/>
      <c r="FWE2492" s="60"/>
      <c r="FWF2492" s="60"/>
      <c r="FWG2492" s="59"/>
      <c r="FWH2492" s="61"/>
      <c r="FWI2492" s="59"/>
      <c r="FWJ2492" s="59"/>
      <c r="FWK2492" s="60"/>
      <c r="FWL2492" s="60"/>
      <c r="FWM2492" s="60"/>
      <c r="FWN2492" s="60"/>
      <c r="FWO2492" s="59"/>
      <c r="FWP2492" s="61"/>
      <c r="FWQ2492" s="59"/>
      <c r="FWR2492" s="59"/>
      <c r="FWS2492" s="60"/>
      <c r="FWT2492" s="60"/>
      <c r="FWU2492" s="60"/>
      <c r="FWV2492" s="60"/>
      <c r="FWW2492" s="59"/>
      <c r="FWX2492" s="61"/>
      <c r="FWY2492" s="59"/>
      <c r="FWZ2492" s="59"/>
      <c r="FXA2492" s="60"/>
      <c r="FXB2492" s="60"/>
      <c r="FXC2492" s="60"/>
      <c r="FXD2492" s="60"/>
      <c r="FXE2492" s="59"/>
      <c r="FXF2492" s="61"/>
      <c r="FXG2492" s="59"/>
      <c r="FXH2492" s="59"/>
      <c r="FXI2492" s="60"/>
      <c r="FXJ2492" s="60"/>
      <c r="FXK2492" s="60"/>
      <c r="FXL2492" s="60"/>
      <c r="FXM2492" s="59"/>
      <c r="FXN2492" s="61"/>
      <c r="FXO2492" s="59"/>
      <c r="FXP2492" s="59"/>
      <c r="FXQ2492" s="60"/>
      <c r="FXR2492" s="60"/>
      <c r="FXS2492" s="60"/>
      <c r="FXT2492" s="60"/>
      <c r="FXU2492" s="59"/>
      <c r="FXV2492" s="61"/>
      <c r="FXW2492" s="59"/>
      <c r="FXX2492" s="59"/>
      <c r="FXY2492" s="60"/>
      <c r="FXZ2492" s="60"/>
      <c r="FYA2492" s="60"/>
      <c r="FYB2492" s="60"/>
      <c r="FYC2492" s="59"/>
      <c r="FYD2492" s="61"/>
      <c r="FYE2492" s="59"/>
      <c r="FYF2492" s="59"/>
      <c r="FYG2492" s="60"/>
      <c r="FYH2492" s="60"/>
      <c r="FYI2492" s="60"/>
      <c r="FYJ2492" s="60"/>
      <c r="FYK2492" s="59"/>
      <c r="FYL2492" s="61"/>
      <c r="FYM2492" s="59"/>
      <c r="FYN2492" s="59"/>
      <c r="FYO2492" s="60"/>
      <c r="FYP2492" s="60"/>
      <c r="FYQ2492" s="60"/>
      <c r="FYR2492" s="60"/>
      <c r="FYS2492" s="59"/>
      <c r="FYT2492" s="61"/>
      <c r="FYU2492" s="59"/>
      <c r="FYV2492" s="59"/>
      <c r="FYW2492" s="60"/>
      <c r="FYX2492" s="60"/>
      <c r="FYY2492" s="60"/>
      <c r="FYZ2492" s="60"/>
      <c r="FZA2492" s="59"/>
      <c r="FZB2492" s="61"/>
      <c r="FZC2492" s="59"/>
      <c r="FZD2492" s="59"/>
      <c r="FZE2492" s="60"/>
      <c r="FZF2492" s="60"/>
      <c r="FZG2492" s="60"/>
      <c r="FZH2492" s="60"/>
      <c r="FZI2492" s="59"/>
      <c r="FZJ2492" s="61"/>
      <c r="FZK2492" s="59"/>
      <c r="FZL2492" s="59"/>
      <c r="FZM2492" s="60"/>
      <c r="FZN2492" s="60"/>
      <c r="FZO2492" s="60"/>
      <c r="FZP2492" s="60"/>
      <c r="FZQ2492" s="59"/>
      <c r="FZR2492" s="61"/>
      <c r="FZS2492" s="59"/>
      <c r="FZT2492" s="59"/>
      <c r="FZU2492" s="60"/>
      <c r="FZV2492" s="60"/>
      <c r="FZW2492" s="60"/>
      <c r="FZX2492" s="60"/>
      <c r="FZY2492" s="59"/>
      <c r="FZZ2492" s="61"/>
      <c r="GAA2492" s="59"/>
      <c r="GAB2492" s="59"/>
      <c r="GAC2492" s="60"/>
      <c r="GAD2492" s="60"/>
      <c r="GAE2492" s="60"/>
      <c r="GAF2492" s="60"/>
      <c r="GAG2492" s="59"/>
      <c r="GAH2492" s="61"/>
      <c r="GAI2492" s="59"/>
      <c r="GAJ2492" s="59"/>
      <c r="GAK2492" s="60"/>
      <c r="GAL2492" s="60"/>
      <c r="GAM2492" s="60"/>
      <c r="GAN2492" s="60"/>
      <c r="GAO2492" s="59"/>
      <c r="GAP2492" s="61"/>
      <c r="GAQ2492" s="59"/>
      <c r="GAR2492" s="59"/>
      <c r="GAS2492" s="60"/>
      <c r="GAT2492" s="60"/>
      <c r="GAU2492" s="60"/>
      <c r="GAV2492" s="60"/>
      <c r="GAW2492" s="59"/>
      <c r="GAX2492" s="61"/>
      <c r="GAY2492" s="59"/>
      <c r="GAZ2492" s="59"/>
      <c r="GBA2492" s="60"/>
      <c r="GBB2492" s="60"/>
      <c r="GBC2492" s="60"/>
      <c r="GBD2492" s="60"/>
      <c r="GBE2492" s="59"/>
      <c r="GBF2492" s="61"/>
      <c r="GBG2492" s="59"/>
      <c r="GBH2492" s="59"/>
      <c r="GBI2492" s="60"/>
      <c r="GBJ2492" s="60"/>
      <c r="GBK2492" s="60"/>
      <c r="GBL2492" s="60"/>
      <c r="GBM2492" s="59"/>
      <c r="GBN2492" s="61"/>
      <c r="GBO2492" s="59"/>
      <c r="GBP2492" s="59"/>
      <c r="GBQ2492" s="60"/>
      <c r="GBR2492" s="60"/>
      <c r="GBS2492" s="60"/>
      <c r="GBT2492" s="60"/>
      <c r="GBU2492" s="59"/>
      <c r="GBV2492" s="61"/>
      <c r="GBW2492" s="59"/>
      <c r="GBX2492" s="59"/>
      <c r="GBY2492" s="60"/>
      <c r="GBZ2492" s="60"/>
      <c r="GCA2492" s="60"/>
      <c r="GCB2492" s="60"/>
      <c r="GCC2492" s="59"/>
      <c r="GCD2492" s="61"/>
      <c r="GCE2492" s="59"/>
      <c r="GCF2492" s="59"/>
      <c r="GCG2492" s="60"/>
      <c r="GCH2492" s="60"/>
      <c r="GCI2492" s="60"/>
      <c r="GCJ2492" s="60"/>
      <c r="GCK2492" s="59"/>
      <c r="GCL2492" s="61"/>
      <c r="GCM2492" s="59"/>
      <c r="GCN2492" s="59"/>
      <c r="GCO2492" s="60"/>
      <c r="GCP2492" s="60"/>
      <c r="GCQ2492" s="60"/>
      <c r="GCR2492" s="60"/>
      <c r="GCS2492" s="59"/>
      <c r="GCT2492" s="61"/>
      <c r="GCU2492" s="59"/>
      <c r="GCV2492" s="59"/>
      <c r="GCW2492" s="60"/>
      <c r="GCX2492" s="60"/>
      <c r="GCY2492" s="60"/>
      <c r="GCZ2492" s="60"/>
      <c r="GDA2492" s="59"/>
      <c r="GDB2492" s="61"/>
      <c r="GDC2492" s="59"/>
      <c r="GDD2492" s="59"/>
      <c r="GDE2492" s="60"/>
      <c r="GDF2492" s="60"/>
      <c r="GDG2492" s="60"/>
      <c r="GDH2492" s="60"/>
      <c r="GDI2492" s="59"/>
      <c r="GDJ2492" s="61"/>
      <c r="GDK2492" s="59"/>
      <c r="GDL2492" s="59"/>
      <c r="GDM2492" s="60"/>
      <c r="GDN2492" s="60"/>
      <c r="GDO2492" s="60"/>
      <c r="GDP2492" s="60"/>
      <c r="GDQ2492" s="59"/>
      <c r="GDR2492" s="61"/>
      <c r="GDS2492" s="59"/>
      <c r="GDT2492" s="59"/>
      <c r="GDU2492" s="60"/>
      <c r="GDV2492" s="60"/>
      <c r="GDW2492" s="60"/>
      <c r="GDX2492" s="60"/>
      <c r="GDY2492" s="59"/>
      <c r="GDZ2492" s="61"/>
      <c r="GEA2492" s="59"/>
      <c r="GEB2492" s="59"/>
      <c r="GEC2492" s="60"/>
      <c r="GED2492" s="60"/>
      <c r="GEE2492" s="60"/>
      <c r="GEF2492" s="60"/>
      <c r="GEG2492" s="59"/>
      <c r="GEH2492" s="61"/>
      <c r="GEI2492" s="59"/>
      <c r="GEJ2492" s="59"/>
      <c r="GEK2492" s="60"/>
      <c r="GEL2492" s="60"/>
      <c r="GEM2492" s="60"/>
      <c r="GEN2492" s="60"/>
      <c r="GEO2492" s="59"/>
      <c r="GEP2492" s="61"/>
      <c r="GEQ2492" s="59"/>
      <c r="GER2492" s="59"/>
      <c r="GES2492" s="60"/>
      <c r="GET2492" s="60"/>
      <c r="GEU2492" s="60"/>
      <c r="GEV2492" s="60"/>
      <c r="GEW2492" s="59"/>
      <c r="GEX2492" s="61"/>
      <c r="GEY2492" s="59"/>
      <c r="GEZ2492" s="59"/>
      <c r="GFA2492" s="60"/>
      <c r="GFB2492" s="60"/>
      <c r="GFC2492" s="60"/>
      <c r="GFD2492" s="60"/>
      <c r="GFE2492" s="59"/>
      <c r="GFF2492" s="61"/>
      <c r="GFG2492" s="59"/>
      <c r="GFH2492" s="59"/>
      <c r="GFI2492" s="60"/>
      <c r="GFJ2492" s="60"/>
      <c r="GFK2492" s="60"/>
      <c r="GFL2492" s="60"/>
      <c r="GFM2492" s="59"/>
      <c r="GFN2492" s="61"/>
      <c r="GFO2492" s="59"/>
      <c r="GFP2492" s="59"/>
      <c r="GFQ2492" s="60"/>
      <c r="GFR2492" s="60"/>
      <c r="GFS2492" s="60"/>
      <c r="GFT2492" s="60"/>
      <c r="GFU2492" s="59"/>
      <c r="GFV2492" s="61"/>
      <c r="GFW2492" s="59"/>
      <c r="GFX2492" s="59"/>
      <c r="GFY2492" s="60"/>
      <c r="GFZ2492" s="60"/>
      <c r="GGA2492" s="60"/>
      <c r="GGB2492" s="60"/>
      <c r="GGC2492" s="59"/>
      <c r="GGD2492" s="61"/>
      <c r="GGE2492" s="59"/>
      <c r="GGF2492" s="59"/>
      <c r="GGG2492" s="60"/>
      <c r="GGH2492" s="60"/>
      <c r="GGI2492" s="60"/>
      <c r="GGJ2492" s="60"/>
      <c r="GGK2492" s="59"/>
      <c r="GGL2492" s="61"/>
      <c r="GGM2492" s="59"/>
      <c r="GGN2492" s="59"/>
      <c r="GGO2492" s="60"/>
      <c r="GGP2492" s="60"/>
      <c r="GGQ2492" s="60"/>
      <c r="GGR2492" s="60"/>
      <c r="GGS2492" s="59"/>
      <c r="GGT2492" s="61"/>
      <c r="GGU2492" s="59"/>
      <c r="GGV2492" s="59"/>
      <c r="GGW2492" s="60"/>
      <c r="GGX2492" s="60"/>
      <c r="GGY2492" s="60"/>
      <c r="GGZ2492" s="60"/>
      <c r="GHA2492" s="59"/>
      <c r="GHB2492" s="61"/>
      <c r="GHC2492" s="59"/>
      <c r="GHD2492" s="59"/>
      <c r="GHE2492" s="60"/>
      <c r="GHF2492" s="60"/>
      <c r="GHG2492" s="60"/>
      <c r="GHH2492" s="60"/>
      <c r="GHI2492" s="59"/>
      <c r="GHJ2492" s="61"/>
      <c r="GHK2492" s="59"/>
      <c r="GHL2492" s="59"/>
      <c r="GHM2492" s="60"/>
      <c r="GHN2492" s="60"/>
      <c r="GHO2492" s="60"/>
      <c r="GHP2492" s="60"/>
      <c r="GHQ2492" s="59"/>
      <c r="GHR2492" s="61"/>
      <c r="GHS2492" s="59"/>
      <c r="GHT2492" s="59"/>
      <c r="GHU2492" s="60"/>
      <c r="GHV2492" s="60"/>
      <c r="GHW2492" s="60"/>
      <c r="GHX2492" s="60"/>
      <c r="GHY2492" s="59"/>
      <c r="GHZ2492" s="61"/>
      <c r="GIA2492" s="59"/>
      <c r="GIB2492" s="59"/>
      <c r="GIC2492" s="60"/>
      <c r="GID2492" s="60"/>
      <c r="GIE2492" s="60"/>
      <c r="GIF2492" s="60"/>
      <c r="GIG2492" s="59"/>
      <c r="GIH2492" s="61"/>
      <c r="GII2492" s="59"/>
      <c r="GIJ2492" s="59"/>
      <c r="GIK2492" s="60"/>
      <c r="GIL2492" s="60"/>
      <c r="GIM2492" s="60"/>
      <c r="GIN2492" s="60"/>
      <c r="GIO2492" s="59"/>
      <c r="GIP2492" s="61"/>
      <c r="GIQ2492" s="59"/>
      <c r="GIR2492" s="59"/>
      <c r="GIS2492" s="60"/>
      <c r="GIT2492" s="60"/>
      <c r="GIU2492" s="60"/>
      <c r="GIV2492" s="60"/>
      <c r="GIW2492" s="59"/>
      <c r="GIX2492" s="61"/>
      <c r="GIY2492" s="59"/>
      <c r="GIZ2492" s="59"/>
      <c r="GJA2492" s="60"/>
      <c r="GJB2492" s="60"/>
      <c r="GJC2492" s="60"/>
      <c r="GJD2492" s="60"/>
      <c r="GJE2492" s="59"/>
      <c r="GJF2492" s="61"/>
      <c r="GJG2492" s="59"/>
      <c r="GJH2492" s="59"/>
      <c r="GJI2492" s="60"/>
      <c r="GJJ2492" s="60"/>
      <c r="GJK2492" s="60"/>
      <c r="GJL2492" s="60"/>
      <c r="GJM2492" s="59"/>
      <c r="GJN2492" s="61"/>
      <c r="GJO2492" s="59"/>
      <c r="GJP2492" s="59"/>
      <c r="GJQ2492" s="60"/>
      <c r="GJR2492" s="60"/>
      <c r="GJS2492" s="60"/>
      <c r="GJT2492" s="60"/>
      <c r="GJU2492" s="59"/>
      <c r="GJV2492" s="61"/>
      <c r="GJW2492" s="59"/>
      <c r="GJX2492" s="59"/>
      <c r="GJY2492" s="60"/>
      <c r="GJZ2492" s="60"/>
      <c r="GKA2492" s="60"/>
      <c r="GKB2492" s="60"/>
      <c r="GKC2492" s="59"/>
      <c r="GKD2492" s="61"/>
      <c r="GKE2492" s="59"/>
      <c r="GKF2492" s="59"/>
      <c r="GKG2492" s="60"/>
      <c r="GKH2492" s="60"/>
      <c r="GKI2492" s="60"/>
      <c r="GKJ2492" s="60"/>
      <c r="GKK2492" s="59"/>
      <c r="GKL2492" s="61"/>
      <c r="GKM2492" s="59"/>
      <c r="GKN2492" s="59"/>
      <c r="GKO2492" s="60"/>
      <c r="GKP2492" s="60"/>
      <c r="GKQ2492" s="60"/>
      <c r="GKR2492" s="60"/>
      <c r="GKS2492" s="59"/>
      <c r="GKT2492" s="61"/>
      <c r="GKU2492" s="59"/>
      <c r="GKV2492" s="59"/>
      <c r="GKW2492" s="60"/>
      <c r="GKX2492" s="60"/>
      <c r="GKY2492" s="60"/>
      <c r="GKZ2492" s="60"/>
      <c r="GLA2492" s="59"/>
      <c r="GLB2492" s="61"/>
      <c r="GLC2492" s="59"/>
      <c r="GLD2492" s="59"/>
      <c r="GLE2492" s="60"/>
      <c r="GLF2492" s="60"/>
      <c r="GLG2492" s="60"/>
      <c r="GLH2492" s="60"/>
      <c r="GLI2492" s="59"/>
      <c r="GLJ2492" s="61"/>
      <c r="GLK2492" s="59"/>
      <c r="GLL2492" s="59"/>
      <c r="GLM2492" s="60"/>
      <c r="GLN2492" s="60"/>
      <c r="GLO2492" s="60"/>
      <c r="GLP2492" s="60"/>
      <c r="GLQ2492" s="59"/>
      <c r="GLR2492" s="61"/>
      <c r="GLS2492" s="59"/>
      <c r="GLT2492" s="59"/>
      <c r="GLU2492" s="60"/>
      <c r="GLV2492" s="60"/>
      <c r="GLW2492" s="60"/>
      <c r="GLX2492" s="60"/>
      <c r="GLY2492" s="59"/>
      <c r="GLZ2492" s="61"/>
      <c r="GMA2492" s="59"/>
      <c r="GMB2492" s="59"/>
      <c r="GMC2492" s="60"/>
      <c r="GMD2492" s="60"/>
      <c r="GME2492" s="60"/>
      <c r="GMF2492" s="60"/>
      <c r="GMG2492" s="59"/>
      <c r="GMH2492" s="61"/>
      <c r="GMI2492" s="59"/>
      <c r="GMJ2492" s="59"/>
      <c r="GMK2492" s="60"/>
      <c r="GML2492" s="60"/>
      <c r="GMM2492" s="60"/>
      <c r="GMN2492" s="60"/>
      <c r="GMO2492" s="59"/>
      <c r="GMP2492" s="61"/>
      <c r="GMQ2492" s="59"/>
      <c r="GMR2492" s="59"/>
      <c r="GMS2492" s="60"/>
      <c r="GMT2492" s="60"/>
      <c r="GMU2492" s="60"/>
      <c r="GMV2492" s="60"/>
      <c r="GMW2492" s="59"/>
      <c r="GMX2492" s="61"/>
      <c r="GMY2492" s="59"/>
      <c r="GMZ2492" s="59"/>
      <c r="GNA2492" s="60"/>
      <c r="GNB2492" s="60"/>
      <c r="GNC2492" s="60"/>
      <c r="GND2492" s="60"/>
      <c r="GNE2492" s="59"/>
      <c r="GNF2492" s="61"/>
      <c r="GNG2492" s="59"/>
      <c r="GNH2492" s="59"/>
      <c r="GNI2492" s="60"/>
      <c r="GNJ2492" s="60"/>
      <c r="GNK2492" s="60"/>
      <c r="GNL2492" s="60"/>
      <c r="GNM2492" s="59"/>
      <c r="GNN2492" s="61"/>
      <c r="GNO2492" s="59"/>
      <c r="GNP2492" s="59"/>
      <c r="GNQ2492" s="60"/>
      <c r="GNR2492" s="60"/>
      <c r="GNS2492" s="60"/>
      <c r="GNT2492" s="60"/>
      <c r="GNU2492" s="59"/>
      <c r="GNV2492" s="61"/>
      <c r="GNW2492" s="59"/>
      <c r="GNX2492" s="59"/>
      <c r="GNY2492" s="60"/>
      <c r="GNZ2492" s="60"/>
      <c r="GOA2492" s="60"/>
      <c r="GOB2492" s="60"/>
      <c r="GOC2492" s="59"/>
      <c r="GOD2492" s="61"/>
      <c r="GOE2492" s="59"/>
      <c r="GOF2492" s="59"/>
      <c r="GOG2492" s="60"/>
      <c r="GOH2492" s="60"/>
      <c r="GOI2492" s="60"/>
      <c r="GOJ2492" s="60"/>
      <c r="GOK2492" s="59"/>
      <c r="GOL2492" s="61"/>
      <c r="GOM2492" s="59"/>
      <c r="GON2492" s="59"/>
      <c r="GOO2492" s="60"/>
      <c r="GOP2492" s="60"/>
      <c r="GOQ2492" s="60"/>
      <c r="GOR2492" s="60"/>
      <c r="GOS2492" s="59"/>
      <c r="GOT2492" s="61"/>
      <c r="GOU2492" s="59"/>
      <c r="GOV2492" s="59"/>
      <c r="GOW2492" s="60"/>
      <c r="GOX2492" s="60"/>
      <c r="GOY2492" s="60"/>
      <c r="GOZ2492" s="60"/>
      <c r="GPA2492" s="59"/>
      <c r="GPB2492" s="61"/>
      <c r="GPC2492" s="59"/>
      <c r="GPD2492" s="59"/>
      <c r="GPE2492" s="60"/>
      <c r="GPF2492" s="60"/>
      <c r="GPG2492" s="60"/>
      <c r="GPH2492" s="60"/>
      <c r="GPI2492" s="59"/>
      <c r="GPJ2492" s="61"/>
      <c r="GPK2492" s="59"/>
      <c r="GPL2492" s="59"/>
      <c r="GPM2492" s="60"/>
      <c r="GPN2492" s="60"/>
      <c r="GPO2492" s="60"/>
      <c r="GPP2492" s="60"/>
      <c r="GPQ2492" s="59"/>
      <c r="GPR2492" s="61"/>
      <c r="GPS2492" s="59"/>
      <c r="GPT2492" s="59"/>
      <c r="GPU2492" s="60"/>
      <c r="GPV2492" s="60"/>
      <c r="GPW2492" s="60"/>
      <c r="GPX2492" s="60"/>
      <c r="GPY2492" s="59"/>
      <c r="GPZ2492" s="61"/>
      <c r="GQA2492" s="59"/>
      <c r="GQB2492" s="59"/>
      <c r="GQC2492" s="60"/>
      <c r="GQD2492" s="60"/>
      <c r="GQE2492" s="60"/>
      <c r="GQF2492" s="60"/>
      <c r="GQG2492" s="59"/>
      <c r="GQH2492" s="61"/>
      <c r="GQI2492" s="59"/>
      <c r="GQJ2492" s="59"/>
      <c r="GQK2492" s="60"/>
      <c r="GQL2492" s="60"/>
      <c r="GQM2492" s="60"/>
      <c r="GQN2492" s="60"/>
      <c r="GQO2492" s="59"/>
      <c r="GQP2492" s="61"/>
      <c r="GQQ2492" s="59"/>
      <c r="GQR2492" s="59"/>
      <c r="GQS2492" s="60"/>
      <c r="GQT2492" s="60"/>
      <c r="GQU2492" s="60"/>
      <c r="GQV2492" s="60"/>
      <c r="GQW2492" s="59"/>
      <c r="GQX2492" s="61"/>
      <c r="GQY2492" s="59"/>
      <c r="GQZ2492" s="59"/>
      <c r="GRA2492" s="60"/>
      <c r="GRB2492" s="60"/>
      <c r="GRC2492" s="60"/>
      <c r="GRD2492" s="60"/>
      <c r="GRE2492" s="59"/>
      <c r="GRF2492" s="61"/>
      <c r="GRG2492" s="59"/>
      <c r="GRH2492" s="59"/>
      <c r="GRI2492" s="60"/>
      <c r="GRJ2492" s="60"/>
      <c r="GRK2492" s="60"/>
      <c r="GRL2492" s="60"/>
      <c r="GRM2492" s="59"/>
      <c r="GRN2492" s="61"/>
      <c r="GRO2492" s="59"/>
      <c r="GRP2492" s="59"/>
      <c r="GRQ2492" s="60"/>
      <c r="GRR2492" s="60"/>
      <c r="GRS2492" s="60"/>
      <c r="GRT2492" s="60"/>
      <c r="GRU2492" s="59"/>
      <c r="GRV2492" s="61"/>
      <c r="GRW2492" s="59"/>
      <c r="GRX2492" s="59"/>
      <c r="GRY2492" s="60"/>
      <c r="GRZ2492" s="60"/>
      <c r="GSA2492" s="60"/>
      <c r="GSB2492" s="60"/>
      <c r="GSC2492" s="59"/>
      <c r="GSD2492" s="61"/>
      <c r="GSE2492" s="59"/>
      <c r="GSF2492" s="59"/>
      <c r="GSG2492" s="60"/>
      <c r="GSH2492" s="60"/>
      <c r="GSI2492" s="60"/>
      <c r="GSJ2492" s="60"/>
      <c r="GSK2492" s="59"/>
      <c r="GSL2492" s="61"/>
      <c r="GSM2492" s="59"/>
      <c r="GSN2492" s="59"/>
      <c r="GSO2492" s="60"/>
      <c r="GSP2492" s="60"/>
      <c r="GSQ2492" s="60"/>
      <c r="GSR2492" s="60"/>
      <c r="GSS2492" s="59"/>
      <c r="GST2492" s="61"/>
      <c r="GSU2492" s="59"/>
      <c r="GSV2492" s="59"/>
      <c r="GSW2492" s="60"/>
      <c r="GSX2492" s="60"/>
      <c r="GSY2492" s="60"/>
      <c r="GSZ2492" s="60"/>
      <c r="GTA2492" s="59"/>
      <c r="GTB2492" s="61"/>
      <c r="GTC2492" s="59"/>
      <c r="GTD2492" s="59"/>
      <c r="GTE2492" s="60"/>
      <c r="GTF2492" s="60"/>
      <c r="GTG2492" s="60"/>
      <c r="GTH2492" s="60"/>
      <c r="GTI2492" s="59"/>
      <c r="GTJ2492" s="61"/>
      <c r="GTK2492" s="59"/>
      <c r="GTL2492" s="59"/>
      <c r="GTM2492" s="60"/>
      <c r="GTN2492" s="60"/>
      <c r="GTO2492" s="60"/>
      <c r="GTP2492" s="60"/>
      <c r="GTQ2492" s="59"/>
      <c r="GTR2492" s="61"/>
      <c r="GTS2492" s="59"/>
      <c r="GTT2492" s="59"/>
      <c r="GTU2492" s="60"/>
      <c r="GTV2492" s="60"/>
      <c r="GTW2492" s="60"/>
      <c r="GTX2492" s="60"/>
      <c r="GTY2492" s="59"/>
      <c r="GTZ2492" s="61"/>
      <c r="GUA2492" s="59"/>
      <c r="GUB2492" s="59"/>
      <c r="GUC2492" s="60"/>
      <c r="GUD2492" s="60"/>
      <c r="GUE2492" s="60"/>
      <c r="GUF2492" s="60"/>
      <c r="GUG2492" s="59"/>
      <c r="GUH2492" s="61"/>
      <c r="GUI2492" s="59"/>
      <c r="GUJ2492" s="59"/>
      <c r="GUK2492" s="60"/>
      <c r="GUL2492" s="60"/>
      <c r="GUM2492" s="60"/>
      <c r="GUN2492" s="60"/>
      <c r="GUO2492" s="59"/>
      <c r="GUP2492" s="61"/>
      <c r="GUQ2492" s="59"/>
      <c r="GUR2492" s="59"/>
      <c r="GUS2492" s="60"/>
      <c r="GUT2492" s="60"/>
      <c r="GUU2492" s="60"/>
      <c r="GUV2492" s="60"/>
      <c r="GUW2492" s="59"/>
      <c r="GUX2492" s="61"/>
      <c r="GUY2492" s="59"/>
      <c r="GUZ2492" s="59"/>
      <c r="GVA2492" s="60"/>
      <c r="GVB2492" s="60"/>
      <c r="GVC2492" s="60"/>
      <c r="GVD2492" s="60"/>
      <c r="GVE2492" s="59"/>
      <c r="GVF2492" s="61"/>
      <c r="GVG2492" s="59"/>
      <c r="GVH2492" s="59"/>
      <c r="GVI2492" s="60"/>
      <c r="GVJ2492" s="60"/>
      <c r="GVK2492" s="60"/>
      <c r="GVL2492" s="60"/>
      <c r="GVM2492" s="59"/>
      <c r="GVN2492" s="61"/>
      <c r="GVO2492" s="59"/>
      <c r="GVP2492" s="59"/>
      <c r="GVQ2492" s="60"/>
      <c r="GVR2492" s="60"/>
      <c r="GVS2492" s="60"/>
      <c r="GVT2492" s="60"/>
      <c r="GVU2492" s="59"/>
      <c r="GVV2492" s="61"/>
      <c r="GVW2492" s="59"/>
      <c r="GVX2492" s="59"/>
      <c r="GVY2492" s="60"/>
      <c r="GVZ2492" s="60"/>
      <c r="GWA2492" s="60"/>
      <c r="GWB2492" s="60"/>
      <c r="GWC2492" s="59"/>
      <c r="GWD2492" s="61"/>
      <c r="GWE2492" s="59"/>
      <c r="GWF2492" s="59"/>
      <c r="GWG2492" s="60"/>
      <c r="GWH2492" s="60"/>
      <c r="GWI2492" s="60"/>
      <c r="GWJ2492" s="60"/>
      <c r="GWK2492" s="59"/>
      <c r="GWL2492" s="61"/>
      <c r="GWM2492" s="59"/>
      <c r="GWN2492" s="59"/>
      <c r="GWO2492" s="60"/>
      <c r="GWP2492" s="60"/>
      <c r="GWQ2492" s="60"/>
      <c r="GWR2492" s="60"/>
      <c r="GWS2492" s="59"/>
      <c r="GWT2492" s="61"/>
      <c r="GWU2492" s="59"/>
      <c r="GWV2492" s="59"/>
      <c r="GWW2492" s="60"/>
      <c r="GWX2492" s="60"/>
      <c r="GWY2492" s="60"/>
      <c r="GWZ2492" s="60"/>
      <c r="GXA2492" s="59"/>
      <c r="GXB2492" s="61"/>
      <c r="GXC2492" s="59"/>
      <c r="GXD2492" s="59"/>
      <c r="GXE2492" s="60"/>
      <c r="GXF2492" s="60"/>
      <c r="GXG2492" s="60"/>
      <c r="GXH2492" s="60"/>
      <c r="GXI2492" s="59"/>
      <c r="GXJ2492" s="61"/>
      <c r="GXK2492" s="59"/>
      <c r="GXL2492" s="59"/>
      <c r="GXM2492" s="60"/>
      <c r="GXN2492" s="60"/>
      <c r="GXO2492" s="60"/>
      <c r="GXP2492" s="60"/>
      <c r="GXQ2492" s="59"/>
      <c r="GXR2492" s="61"/>
      <c r="GXS2492" s="59"/>
      <c r="GXT2492" s="59"/>
      <c r="GXU2492" s="60"/>
      <c r="GXV2492" s="60"/>
      <c r="GXW2492" s="60"/>
      <c r="GXX2492" s="60"/>
      <c r="GXY2492" s="59"/>
      <c r="GXZ2492" s="61"/>
      <c r="GYA2492" s="59"/>
      <c r="GYB2492" s="59"/>
      <c r="GYC2492" s="60"/>
      <c r="GYD2492" s="60"/>
      <c r="GYE2492" s="60"/>
      <c r="GYF2492" s="60"/>
      <c r="GYG2492" s="59"/>
      <c r="GYH2492" s="61"/>
      <c r="GYI2492" s="59"/>
      <c r="GYJ2492" s="59"/>
      <c r="GYK2492" s="60"/>
      <c r="GYL2492" s="60"/>
      <c r="GYM2492" s="60"/>
      <c r="GYN2492" s="60"/>
      <c r="GYO2492" s="59"/>
      <c r="GYP2492" s="61"/>
      <c r="GYQ2492" s="59"/>
      <c r="GYR2492" s="59"/>
      <c r="GYS2492" s="60"/>
      <c r="GYT2492" s="60"/>
      <c r="GYU2492" s="60"/>
      <c r="GYV2492" s="60"/>
      <c r="GYW2492" s="59"/>
      <c r="GYX2492" s="61"/>
      <c r="GYY2492" s="59"/>
      <c r="GYZ2492" s="59"/>
      <c r="GZA2492" s="60"/>
      <c r="GZB2492" s="60"/>
      <c r="GZC2492" s="60"/>
      <c r="GZD2492" s="60"/>
      <c r="GZE2492" s="59"/>
      <c r="GZF2492" s="61"/>
      <c r="GZG2492" s="59"/>
      <c r="GZH2492" s="59"/>
      <c r="GZI2492" s="60"/>
      <c r="GZJ2492" s="60"/>
      <c r="GZK2492" s="60"/>
      <c r="GZL2492" s="60"/>
      <c r="GZM2492" s="59"/>
      <c r="GZN2492" s="61"/>
      <c r="GZO2492" s="59"/>
      <c r="GZP2492" s="59"/>
      <c r="GZQ2492" s="60"/>
      <c r="GZR2492" s="60"/>
      <c r="GZS2492" s="60"/>
      <c r="GZT2492" s="60"/>
      <c r="GZU2492" s="59"/>
      <c r="GZV2492" s="61"/>
      <c r="GZW2492" s="59"/>
      <c r="GZX2492" s="59"/>
      <c r="GZY2492" s="60"/>
      <c r="GZZ2492" s="60"/>
      <c r="HAA2492" s="60"/>
      <c r="HAB2492" s="60"/>
      <c r="HAC2492" s="59"/>
      <c r="HAD2492" s="61"/>
      <c r="HAE2492" s="59"/>
      <c r="HAF2492" s="59"/>
      <c r="HAG2492" s="60"/>
      <c r="HAH2492" s="60"/>
      <c r="HAI2492" s="60"/>
      <c r="HAJ2492" s="60"/>
      <c r="HAK2492" s="59"/>
      <c r="HAL2492" s="61"/>
      <c r="HAM2492" s="59"/>
      <c r="HAN2492" s="59"/>
      <c r="HAO2492" s="60"/>
      <c r="HAP2492" s="60"/>
      <c r="HAQ2492" s="60"/>
      <c r="HAR2492" s="60"/>
      <c r="HAS2492" s="59"/>
      <c r="HAT2492" s="61"/>
      <c r="HAU2492" s="59"/>
      <c r="HAV2492" s="59"/>
      <c r="HAW2492" s="60"/>
      <c r="HAX2492" s="60"/>
      <c r="HAY2492" s="60"/>
      <c r="HAZ2492" s="60"/>
      <c r="HBA2492" s="59"/>
      <c r="HBB2492" s="61"/>
      <c r="HBC2492" s="59"/>
      <c r="HBD2492" s="59"/>
      <c r="HBE2492" s="60"/>
      <c r="HBF2492" s="60"/>
      <c r="HBG2492" s="60"/>
      <c r="HBH2492" s="60"/>
      <c r="HBI2492" s="59"/>
      <c r="HBJ2492" s="61"/>
      <c r="HBK2492" s="59"/>
      <c r="HBL2492" s="59"/>
      <c r="HBM2492" s="60"/>
      <c r="HBN2492" s="60"/>
      <c r="HBO2492" s="60"/>
      <c r="HBP2492" s="60"/>
      <c r="HBQ2492" s="59"/>
      <c r="HBR2492" s="61"/>
      <c r="HBS2492" s="59"/>
      <c r="HBT2492" s="59"/>
      <c r="HBU2492" s="60"/>
      <c r="HBV2492" s="60"/>
      <c r="HBW2492" s="60"/>
      <c r="HBX2492" s="60"/>
      <c r="HBY2492" s="59"/>
      <c r="HBZ2492" s="61"/>
      <c r="HCA2492" s="59"/>
      <c r="HCB2492" s="59"/>
      <c r="HCC2492" s="60"/>
      <c r="HCD2492" s="60"/>
      <c r="HCE2492" s="60"/>
      <c r="HCF2492" s="60"/>
      <c r="HCG2492" s="59"/>
      <c r="HCH2492" s="61"/>
      <c r="HCI2492" s="59"/>
      <c r="HCJ2492" s="59"/>
      <c r="HCK2492" s="60"/>
      <c r="HCL2492" s="60"/>
      <c r="HCM2492" s="60"/>
      <c r="HCN2492" s="60"/>
      <c r="HCO2492" s="59"/>
      <c r="HCP2492" s="61"/>
      <c r="HCQ2492" s="59"/>
      <c r="HCR2492" s="59"/>
      <c r="HCS2492" s="60"/>
      <c r="HCT2492" s="60"/>
      <c r="HCU2492" s="60"/>
      <c r="HCV2492" s="60"/>
      <c r="HCW2492" s="59"/>
      <c r="HCX2492" s="61"/>
      <c r="HCY2492" s="59"/>
      <c r="HCZ2492" s="59"/>
      <c r="HDA2492" s="60"/>
      <c r="HDB2492" s="60"/>
      <c r="HDC2492" s="60"/>
      <c r="HDD2492" s="60"/>
      <c r="HDE2492" s="59"/>
      <c r="HDF2492" s="61"/>
      <c r="HDG2492" s="59"/>
      <c r="HDH2492" s="59"/>
      <c r="HDI2492" s="60"/>
      <c r="HDJ2492" s="60"/>
      <c r="HDK2492" s="60"/>
      <c r="HDL2492" s="60"/>
      <c r="HDM2492" s="59"/>
      <c r="HDN2492" s="61"/>
      <c r="HDO2492" s="59"/>
      <c r="HDP2492" s="59"/>
      <c r="HDQ2492" s="60"/>
      <c r="HDR2492" s="60"/>
      <c r="HDS2492" s="60"/>
      <c r="HDT2492" s="60"/>
      <c r="HDU2492" s="59"/>
      <c r="HDV2492" s="61"/>
      <c r="HDW2492" s="59"/>
      <c r="HDX2492" s="59"/>
      <c r="HDY2492" s="60"/>
      <c r="HDZ2492" s="60"/>
      <c r="HEA2492" s="60"/>
      <c r="HEB2492" s="60"/>
      <c r="HEC2492" s="59"/>
      <c r="HED2492" s="61"/>
      <c r="HEE2492" s="59"/>
      <c r="HEF2492" s="59"/>
      <c r="HEG2492" s="60"/>
      <c r="HEH2492" s="60"/>
      <c r="HEI2492" s="60"/>
      <c r="HEJ2492" s="60"/>
      <c r="HEK2492" s="59"/>
      <c r="HEL2492" s="61"/>
      <c r="HEM2492" s="59"/>
      <c r="HEN2492" s="59"/>
      <c r="HEO2492" s="60"/>
      <c r="HEP2492" s="60"/>
      <c r="HEQ2492" s="60"/>
      <c r="HER2492" s="60"/>
      <c r="HES2492" s="59"/>
      <c r="HET2492" s="61"/>
      <c r="HEU2492" s="59"/>
      <c r="HEV2492" s="59"/>
      <c r="HEW2492" s="60"/>
      <c r="HEX2492" s="60"/>
      <c r="HEY2492" s="60"/>
      <c r="HEZ2492" s="60"/>
      <c r="HFA2492" s="59"/>
      <c r="HFB2492" s="61"/>
      <c r="HFC2492" s="59"/>
      <c r="HFD2492" s="59"/>
      <c r="HFE2492" s="60"/>
      <c r="HFF2492" s="60"/>
      <c r="HFG2492" s="60"/>
      <c r="HFH2492" s="60"/>
      <c r="HFI2492" s="59"/>
      <c r="HFJ2492" s="61"/>
      <c r="HFK2492" s="59"/>
      <c r="HFL2492" s="59"/>
      <c r="HFM2492" s="60"/>
      <c r="HFN2492" s="60"/>
      <c r="HFO2492" s="60"/>
      <c r="HFP2492" s="60"/>
      <c r="HFQ2492" s="59"/>
      <c r="HFR2492" s="61"/>
      <c r="HFS2492" s="59"/>
      <c r="HFT2492" s="59"/>
      <c r="HFU2492" s="60"/>
      <c r="HFV2492" s="60"/>
      <c r="HFW2492" s="60"/>
      <c r="HFX2492" s="60"/>
      <c r="HFY2492" s="59"/>
      <c r="HFZ2492" s="61"/>
      <c r="HGA2492" s="59"/>
      <c r="HGB2492" s="59"/>
      <c r="HGC2492" s="60"/>
      <c r="HGD2492" s="60"/>
      <c r="HGE2492" s="60"/>
      <c r="HGF2492" s="60"/>
      <c r="HGG2492" s="59"/>
      <c r="HGH2492" s="61"/>
      <c r="HGI2492" s="59"/>
      <c r="HGJ2492" s="59"/>
      <c r="HGK2492" s="60"/>
      <c r="HGL2492" s="60"/>
      <c r="HGM2492" s="60"/>
      <c r="HGN2492" s="60"/>
      <c r="HGO2492" s="59"/>
      <c r="HGP2492" s="61"/>
      <c r="HGQ2492" s="59"/>
      <c r="HGR2492" s="59"/>
      <c r="HGS2492" s="60"/>
      <c r="HGT2492" s="60"/>
      <c r="HGU2492" s="60"/>
      <c r="HGV2492" s="60"/>
      <c r="HGW2492" s="59"/>
      <c r="HGX2492" s="61"/>
      <c r="HGY2492" s="59"/>
      <c r="HGZ2492" s="59"/>
      <c r="HHA2492" s="60"/>
      <c r="HHB2492" s="60"/>
      <c r="HHC2492" s="60"/>
      <c r="HHD2492" s="60"/>
      <c r="HHE2492" s="59"/>
      <c r="HHF2492" s="61"/>
      <c r="HHG2492" s="59"/>
      <c r="HHH2492" s="59"/>
      <c r="HHI2492" s="60"/>
      <c r="HHJ2492" s="60"/>
      <c r="HHK2492" s="60"/>
      <c r="HHL2492" s="60"/>
      <c r="HHM2492" s="59"/>
      <c r="HHN2492" s="61"/>
      <c r="HHO2492" s="59"/>
      <c r="HHP2492" s="59"/>
      <c r="HHQ2492" s="60"/>
      <c r="HHR2492" s="60"/>
      <c r="HHS2492" s="60"/>
      <c r="HHT2492" s="60"/>
      <c r="HHU2492" s="59"/>
      <c r="HHV2492" s="61"/>
      <c r="HHW2492" s="59"/>
      <c r="HHX2492" s="59"/>
      <c r="HHY2492" s="60"/>
      <c r="HHZ2492" s="60"/>
      <c r="HIA2492" s="60"/>
      <c r="HIB2492" s="60"/>
      <c r="HIC2492" s="59"/>
      <c r="HID2492" s="61"/>
      <c r="HIE2492" s="59"/>
      <c r="HIF2492" s="59"/>
      <c r="HIG2492" s="60"/>
      <c r="HIH2492" s="60"/>
      <c r="HII2492" s="60"/>
      <c r="HIJ2492" s="60"/>
      <c r="HIK2492" s="59"/>
      <c r="HIL2492" s="61"/>
      <c r="HIM2492" s="59"/>
      <c r="HIN2492" s="59"/>
      <c r="HIO2492" s="60"/>
      <c r="HIP2492" s="60"/>
      <c r="HIQ2492" s="60"/>
      <c r="HIR2492" s="60"/>
      <c r="HIS2492" s="59"/>
      <c r="HIT2492" s="61"/>
      <c r="HIU2492" s="59"/>
      <c r="HIV2492" s="59"/>
      <c r="HIW2492" s="60"/>
      <c r="HIX2492" s="60"/>
      <c r="HIY2492" s="60"/>
      <c r="HIZ2492" s="60"/>
      <c r="HJA2492" s="59"/>
      <c r="HJB2492" s="61"/>
      <c r="HJC2492" s="59"/>
      <c r="HJD2492" s="59"/>
      <c r="HJE2492" s="60"/>
      <c r="HJF2492" s="60"/>
      <c r="HJG2492" s="60"/>
      <c r="HJH2492" s="60"/>
      <c r="HJI2492" s="59"/>
      <c r="HJJ2492" s="61"/>
      <c r="HJK2492" s="59"/>
      <c r="HJL2492" s="59"/>
      <c r="HJM2492" s="60"/>
      <c r="HJN2492" s="60"/>
      <c r="HJO2492" s="60"/>
      <c r="HJP2492" s="60"/>
      <c r="HJQ2492" s="59"/>
      <c r="HJR2492" s="61"/>
      <c r="HJS2492" s="59"/>
      <c r="HJT2492" s="59"/>
      <c r="HJU2492" s="60"/>
      <c r="HJV2492" s="60"/>
      <c r="HJW2492" s="60"/>
      <c r="HJX2492" s="60"/>
      <c r="HJY2492" s="59"/>
      <c r="HJZ2492" s="61"/>
      <c r="HKA2492" s="59"/>
      <c r="HKB2492" s="59"/>
      <c r="HKC2492" s="60"/>
      <c r="HKD2492" s="60"/>
      <c r="HKE2492" s="60"/>
      <c r="HKF2492" s="60"/>
      <c r="HKG2492" s="59"/>
      <c r="HKH2492" s="61"/>
      <c r="HKI2492" s="59"/>
      <c r="HKJ2492" s="59"/>
      <c r="HKK2492" s="60"/>
      <c r="HKL2492" s="60"/>
      <c r="HKM2492" s="60"/>
      <c r="HKN2492" s="60"/>
      <c r="HKO2492" s="59"/>
      <c r="HKP2492" s="61"/>
      <c r="HKQ2492" s="59"/>
      <c r="HKR2492" s="59"/>
      <c r="HKS2492" s="60"/>
      <c r="HKT2492" s="60"/>
      <c r="HKU2492" s="60"/>
      <c r="HKV2492" s="60"/>
      <c r="HKW2492" s="59"/>
      <c r="HKX2492" s="61"/>
      <c r="HKY2492" s="59"/>
      <c r="HKZ2492" s="59"/>
      <c r="HLA2492" s="60"/>
      <c r="HLB2492" s="60"/>
      <c r="HLC2492" s="60"/>
      <c r="HLD2492" s="60"/>
      <c r="HLE2492" s="59"/>
      <c r="HLF2492" s="61"/>
      <c r="HLG2492" s="59"/>
      <c r="HLH2492" s="59"/>
      <c r="HLI2492" s="60"/>
      <c r="HLJ2492" s="60"/>
      <c r="HLK2492" s="60"/>
      <c r="HLL2492" s="60"/>
      <c r="HLM2492" s="59"/>
      <c r="HLN2492" s="61"/>
      <c r="HLO2492" s="59"/>
      <c r="HLP2492" s="59"/>
      <c r="HLQ2492" s="60"/>
      <c r="HLR2492" s="60"/>
      <c r="HLS2492" s="60"/>
      <c r="HLT2492" s="60"/>
      <c r="HLU2492" s="59"/>
      <c r="HLV2492" s="61"/>
      <c r="HLW2492" s="59"/>
      <c r="HLX2492" s="59"/>
      <c r="HLY2492" s="60"/>
      <c r="HLZ2492" s="60"/>
      <c r="HMA2492" s="60"/>
      <c r="HMB2492" s="60"/>
      <c r="HMC2492" s="59"/>
      <c r="HMD2492" s="61"/>
      <c r="HME2492" s="59"/>
      <c r="HMF2492" s="59"/>
      <c r="HMG2492" s="60"/>
      <c r="HMH2492" s="60"/>
      <c r="HMI2492" s="60"/>
      <c r="HMJ2492" s="60"/>
      <c r="HMK2492" s="59"/>
      <c r="HML2492" s="61"/>
      <c r="HMM2492" s="59"/>
      <c r="HMN2492" s="59"/>
      <c r="HMO2492" s="60"/>
      <c r="HMP2492" s="60"/>
      <c r="HMQ2492" s="60"/>
      <c r="HMR2492" s="60"/>
      <c r="HMS2492" s="59"/>
      <c r="HMT2492" s="61"/>
      <c r="HMU2492" s="59"/>
      <c r="HMV2492" s="59"/>
      <c r="HMW2492" s="60"/>
      <c r="HMX2492" s="60"/>
      <c r="HMY2492" s="60"/>
      <c r="HMZ2492" s="60"/>
      <c r="HNA2492" s="59"/>
      <c r="HNB2492" s="61"/>
      <c r="HNC2492" s="59"/>
      <c r="HND2492" s="59"/>
      <c r="HNE2492" s="60"/>
      <c r="HNF2492" s="60"/>
      <c r="HNG2492" s="60"/>
      <c r="HNH2492" s="60"/>
      <c r="HNI2492" s="59"/>
      <c r="HNJ2492" s="61"/>
      <c r="HNK2492" s="59"/>
      <c r="HNL2492" s="59"/>
      <c r="HNM2492" s="60"/>
      <c r="HNN2492" s="60"/>
      <c r="HNO2492" s="60"/>
      <c r="HNP2492" s="60"/>
      <c r="HNQ2492" s="59"/>
      <c r="HNR2492" s="61"/>
      <c r="HNS2492" s="59"/>
      <c r="HNT2492" s="59"/>
      <c r="HNU2492" s="60"/>
      <c r="HNV2492" s="60"/>
      <c r="HNW2492" s="60"/>
      <c r="HNX2492" s="60"/>
      <c r="HNY2492" s="59"/>
      <c r="HNZ2492" s="61"/>
      <c r="HOA2492" s="59"/>
      <c r="HOB2492" s="59"/>
      <c r="HOC2492" s="60"/>
      <c r="HOD2492" s="60"/>
      <c r="HOE2492" s="60"/>
      <c r="HOF2492" s="60"/>
      <c r="HOG2492" s="59"/>
      <c r="HOH2492" s="61"/>
      <c r="HOI2492" s="59"/>
      <c r="HOJ2492" s="59"/>
      <c r="HOK2492" s="60"/>
      <c r="HOL2492" s="60"/>
      <c r="HOM2492" s="60"/>
      <c r="HON2492" s="60"/>
      <c r="HOO2492" s="59"/>
      <c r="HOP2492" s="61"/>
      <c r="HOQ2492" s="59"/>
      <c r="HOR2492" s="59"/>
      <c r="HOS2492" s="60"/>
      <c r="HOT2492" s="60"/>
      <c r="HOU2492" s="60"/>
      <c r="HOV2492" s="60"/>
      <c r="HOW2492" s="59"/>
      <c r="HOX2492" s="61"/>
      <c r="HOY2492" s="59"/>
      <c r="HOZ2492" s="59"/>
      <c r="HPA2492" s="60"/>
      <c r="HPB2492" s="60"/>
      <c r="HPC2492" s="60"/>
      <c r="HPD2492" s="60"/>
      <c r="HPE2492" s="59"/>
      <c r="HPF2492" s="61"/>
      <c r="HPG2492" s="59"/>
      <c r="HPH2492" s="59"/>
      <c r="HPI2492" s="60"/>
      <c r="HPJ2492" s="60"/>
      <c r="HPK2492" s="60"/>
      <c r="HPL2492" s="60"/>
      <c r="HPM2492" s="59"/>
      <c r="HPN2492" s="61"/>
      <c r="HPO2492" s="59"/>
      <c r="HPP2492" s="59"/>
      <c r="HPQ2492" s="60"/>
      <c r="HPR2492" s="60"/>
      <c r="HPS2492" s="60"/>
      <c r="HPT2492" s="60"/>
      <c r="HPU2492" s="59"/>
      <c r="HPV2492" s="61"/>
      <c r="HPW2492" s="59"/>
      <c r="HPX2492" s="59"/>
      <c r="HPY2492" s="60"/>
      <c r="HPZ2492" s="60"/>
      <c r="HQA2492" s="60"/>
      <c r="HQB2492" s="60"/>
      <c r="HQC2492" s="59"/>
      <c r="HQD2492" s="61"/>
      <c r="HQE2492" s="59"/>
      <c r="HQF2492" s="59"/>
      <c r="HQG2492" s="60"/>
      <c r="HQH2492" s="60"/>
      <c r="HQI2492" s="60"/>
      <c r="HQJ2492" s="60"/>
      <c r="HQK2492" s="59"/>
      <c r="HQL2492" s="61"/>
      <c r="HQM2492" s="59"/>
      <c r="HQN2492" s="59"/>
      <c r="HQO2492" s="60"/>
      <c r="HQP2492" s="60"/>
      <c r="HQQ2492" s="60"/>
      <c r="HQR2492" s="60"/>
      <c r="HQS2492" s="59"/>
      <c r="HQT2492" s="61"/>
      <c r="HQU2492" s="59"/>
      <c r="HQV2492" s="59"/>
      <c r="HQW2492" s="60"/>
      <c r="HQX2492" s="60"/>
      <c r="HQY2492" s="60"/>
      <c r="HQZ2492" s="60"/>
      <c r="HRA2492" s="59"/>
      <c r="HRB2492" s="61"/>
      <c r="HRC2492" s="59"/>
      <c r="HRD2492" s="59"/>
      <c r="HRE2492" s="60"/>
      <c r="HRF2492" s="60"/>
      <c r="HRG2492" s="60"/>
      <c r="HRH2492" s="60"/>
      <c r="HRI2492" s="59"/>
      <c r="HRJ2492" s="61"/>
      <c r="HRK2492" s="59"/>
      <c r="HRL2492" s="59"/>
      <c r="HRM2492" s="60"/>
      <c r="HRN2492" s="60"/>
      <c r="HRO2492" s="60"/>
      <c r="HRP2492" s="60"/>
      <c r="HRQ2492" s="59"/>
      <c r="HRR2492" s="61"/>
      <c r="HRS2492" s="59"/>
      <c r="HRT2492" s="59"/>
      <c r="HRU2492" s="60"/>
      <c r="HRV2492" s="60"/>
      <c r="HRW2492" s="60"/>
      <c r="HRX2492" s="60"/>
      <c r="HRY2492" s="59"/>
      <c r="HRZ2492" s="61"/>
      <c r="HSA2492" s="59"/>
      <c r="HSB2492" s="59"/>
      <c r="HSC2492" s="60"/>
      <c r="HSD2492" s="60"/>
      <c r="HSE2492" s="60"/>
      <c r="HSF2492" s="60"/>
      <c r="HSG2492" s="59"/>
      <c r="HSH2492" s="61"/>
      <c r="HSI2492" s="59"/>
      <c r="HSJ2492" s="59"/>
      <c r="HSK2492" s="60"/>
      <c r="HSL2492" s="60"/>
      <c r="HSM2492" s="60"/>
      <c r="HSN2492" s="60"/>
      <c r="HSO2492" s="59"/>
      <c r="HSP2492" s="61"/>
      <c r="HSQ2492" s="59"/>
      <c r="HSR2492" s="59"/>
      <c r="HSS2492" s="60"/>
      <c r="HST2492" s="60"/>
      <c r="HSU2492" s="60"/>
      <c r="HSV2492" s="60"/>
      <c r="HSW2492" s="59"/>
      <c r="HSX2492" s="61"/>
      <c r="HSY2492" s="59"/>
      <c r="HSZ2492" s="59"/>
      <c r="HTA2492" s="60"/>
      <c r="HTB2492" s="60"/>
      <c r="HTC2492" s="60"/>
      <c r="HTD2492" s="60"/>
      <c r="HTE2492" s="59"/>
      <c r="HTF2492" s="61"/>
      <c r="HTG2492" s="59"/>
      <c r="HTH2492" s="59"/>
      <c r="HTI2492" s="60"/>
      <c r="HTJ2492" s="60"/>
      <c r="HTK2492" s="60"/>
      <c r="HTL2492" s="60"/>
      <c r="HTM2492" s="59"/>
      <c r="HTN2492" s="61"/>
      <c r="HTO2492" s="59"/>
      <c r="HTP2492" s="59"/>
      <c r="HTQ2492" s="60"/>
      <c r="HTR2492" s="60"/>
      <c r="HTS2492" s="60"/>
      <c r="HTT2492" s="60"/>
      <c r="HTU2492" s="59"/>
      <c r="HTV2492" s="61"/>
      <c r="HTW2492" s="59"/>
      <c r="HTX2492" s="59"/>
      <c r="HTY2492" s="60"/>
      <c r="HTZ2492" s="60"/>
      <c r="HUA2492" s="60"/>
      <c r="HUB2492" s="60"/>
      <c r="HUC2492" s="59"/>
      <c r="HUD2492" s="61"/>
      <c r="HUE2492" s="59"/>
      <c r="HUF2492" s="59"/>
      <c r="HUG2492" s="60"/>
      <c r="HUH2492" s="60"/>
      <c r="HUI2492" s="60"/>
      <c r="HUJ2492" s="60"/>
      <c r="HUK2492" s="59"/>
      <c r="HUL2492" s="61"/>
      <c r="HUM2492" s="59"/>
      <c r="HUN2492" s="59"/>
      <c r="HUO2492" s="60"/>
      <c r="HUP2492" s="60"/>
      <c r="HUQ2492" s="60"/>
      <c r="HUR2492" s="60"/>
      <c r="HUS2492" s="59"/>
      <c r="HUT2492" s="61"/>
      <c r="HUU2492" s="59"/>
      <c r="HUV2492" s="59"/>
      <c r="HUW2492" s="60"/>
      <c r="HUX2492" s="60"/>
      <c r="HUY2492" s="60"/>
      <c r="HUZ2492" s="60"/>
      <c r="HVA2492" s="59"/>
      <c r="HVB2492" s="61"/>
      <c r="HVC2492" s="59"/>
      <c r="HVD2492" s="59"/>
      <c r="HVE2492" s="60"/>
      <c r="HVF2492" s="60"/>
      <c r="HVG2492" s="60"/>
      <c r="HVH2492" s="60"/>
      <c r="HVI2492" s="59"/>
      <c r="HVJ2492" s="61"/>
      <c r="HVK2492" s="59"/>
      <c r="HVL2492" s="59"/>
      <c r="HVM2492" s="60"/>
      <c r="HVN2492" s="60"/>
      <c r="HVO2492" s="60"/>
      <c r="HVP2492" s="60"/>
      <c r="HVQ2492" s="59"/>
      <c r="HVR2492" s="61"/>
      <c r="HVS2492" s="59"/>
      <c r="HVT2492" s="59"/>
      <c r="HVU2492" s="60"/>
      <c r="HVV2492" s="60"/>
      <c r="HVW2492" s="60"/>
      <c r="HVX2492" s="60"/>
      <c r="HVY2492" s="59"/>
      <c r="HVZ2492" s="61"/>
      <c r="HWA2492" s="59"/>
      <c r="HWB2492" s="59"/>
      <c r="HWC2492" s="60"/>
      <c r="HWD2492" s="60"/>
      <c r="HWE2492" s="60"/>
      <c r="HWF2492" s="60"/>
      <c r="HWG2492" s="59"/>
      <c r="HWH2492" s="61"/>
      <c r="HWI2492" s="59"/>
      <c r="HWJ2492" s="59"/>
      <c r="HWK2492" s="60"/>
      <c r="HWL2492" s="60"/>
      <c r="HWM2492" s="60"/>
      <c r="HWN2492" s="60"/>
      <c r="HWO2492" s="59"/>
      <c r="HWP2492" s="61"/>
      <c r="HWQ2492" s="59"/>
      <c r="HWR2492" s="59"/>
      <c r="HWS2492" s="60"/>
      <c r="HWT2492" s="60"/>
      <c r="HWU2492" s="60"/>
      <c r="HWV2492" s="60"/>
      <c r="HWW2492" s="59"/>
      <c r="HWX2492" s="61"/>
      <c r="HWY2492" s="59"/>
      <c r="HWZ2492" s="59"/>
      <c r="HXA2492" s="60"/>
      <c r="HXB2492" s="60"/>
      <c r="HXC2492" s="60"/>
      <c r="HXD2492" s="60"/>
      <c r="HXE2492" s="59"/>
      <c r="HXF2492" s="61"/>
      <c r="HXG2492" s="59"/>
      <c r="HXH2492" s="59"/>
      <c r="HXI2492" s="60"/>
      <c r="HXJ2492" s="60"/>
      <c r="HXK2492" s="60"/>
      <c r="HXL2492" s="60"/>
      <c r="HXM2492" s="59"/>
      <c r="HXN2492" s="61"/>
      <c r="HXO2492" s="59"/>
      <c r="HXP2492" s="59"/>
      <c r="HXQ2492" s="60"/>
      <c r="HXR2492" s="60"/>
      <c r="HXS2492" s="60"/>
      <c r="HXT2492" s="60"/>
      <c r="HXU2492" s="59"/>
      <c r="HXV2492" s="61"/>
      <c r="HXW2492" s="59"/>
      <c r="HXX2492" s="59"/>
      <c r="HXY2492" s="60"/>
      <c r="HXZ2492" s="60"/>
      <c r="HYA2492" s="60"/>
      <c r="HYB2492" s="60"/>
      <c r="HYC2492" s="59"/>
      <c r="HYD2492" s="61"/>
      <c r="HYE2492" s="59"/>
      <c r="HYF2492" s="59"/>
      <c r="HYG2492" s="60"/>
      <c r="HYH2492" s="60"/>
      <c r="HYI2492" s="60"/>
      <c r="HYJ2492" s="60"/>
      <c r="HYK2492" s="59"/>
      <c r="HYL2492" s="61"/>
      <c r="HYM2492" s="59"/>
      <c r="HYN2492" s="59"/>
      <c r="HYO2492" s="60"/>
      <c r="HYP2492" s="60"/>
      <c r="HYQ2492" s="60"/>
      <c r="HYR2492" s="60"/>
      <c r="HYS2492" s="59"/>
      <c r="HYT2492" s="61"/>
      <c r="HYU2492" s="59"/>
      <c r="HYV2492" s="59"/>
      <c r="HYW2492" s="60"/>
      <c r="HYX2492" s="60"/>
      <c r="HYY2492" s="60"/>
      <c r="HYZ2492" s="60"/>
      <c r="HZA2492" s="59"/>
      <c r="HZB2492" s="61"/>
      <c r="HZC2492" s="59"/>
      <c r="HZD2492" s="59"/>
      <c r="HZE2492" s="60"/>
      <c r="HZF2492" s="60"/>
      <c r="HZG2492" s="60"/>
      <c r="HZH2492" s="60"/>
      <c r="HZI2492" s="59"/>
      <c r="HZJ2492" s="61"/>
      <c r="HZK2492" s="59"/>
      <c r="HZL2492" s="59"/>
      <c r="HZM2492" s="60"/>
      <c r="HZN2492" s="60"/>
      <c r="HZO2492" s="60"/>
      <c r="HZP2492" s="60"/>
      <c r="HZQ2492" s="59"/>
      <c r="HZR2492" s="61"/>
      <c r="HZS2492" s="59"/>
      <c r="HZT2492" s="59"/>
      <c r="HZU2492" s="60"/>
      <c r="HZV2492" s="60"/>
      <c r="HZW2492" s="60"/>
      <c r="HZX2492" s="60"/>
      <c r="HZY2492" s="59"/>
      <c r="HZZ2492" s="61"/>
      <c r="IAA2492" s="59"/>
      <c r="IAB2492" s="59"/>
      <c r="IAC2492" s="60"/>
      <c r="IAD2492" s="60"/>
      <c r="IAE2492" s="60"/>
      <c r="IAF2492" s="60"/>
      <c r="IAG2492" s="59"/>
      <c r="IAH2492" s="61"/>
      <c r="IAI2492" s="59"/>
      <c r="IAJ2492" s="59"/>
      <c r="IAK2492" s="60"/>
      <c r="IAL2492" s="60"/>
      <c r="IAM2492" s="60"/>
      <c r="IAN2492" s="60"/>
      <c r="IAO2492" s="59"/>
      <c r="IAP2492" s="61"/>
      <c r="IAQ2492" s="59"/>
      <c r="IAR2492" s="59"/>
      <c r="IAS2492" s="60"/>
      <c r="IAT2492" s="60"/>
      <c r="IAU2492" s="60"/>
      <c r="IAV2492" s="60"/>
      <c r="IAW2492" s="59"/>
      <c r="IAX2492" s="61"/>
      <c r="IAY2492" s="59"/>
      <c r="IAZ2492" s="59"/>
      <c r="IBA2492" s="60"/>
      <c r="IBB2492" s="60"/>
      <c r="IBC2492" s="60"/>
      <c r="IBD2492" s="60"/>
      <c r="IBE2492" s="59"/>
      <c r="IBF2492" s="61"/>
      <c r="IBG2492" s="59"/>
      <c r="IBH2492" s="59"/>
      <c r="IBI2492" s="60"/>
      <c r="IBJ2492" s="60"/>
      <c r="IBK2492" s="60"/>
      <c r="IBL2492" s="60"/>
      <c r="IBM2492" s="59"/>
      <c r="IBN2492" s="61"/>
      <c r="IBO2492" s="59"/>
      <c r="IBP2492" s="59"/>
      <c r="IBQ2492" s="60"/>
      <c r="IBR2492" s="60"/>
      <c r="IBS2492" s="60"/>
      <c r="IBT2492" s="60"/>
      <c r="IBU2492" s="59"/>
      <c r="IBV2492" s="61"/>
      <c r="IBW2492" s="59"/>
      <c r="IBX2492" s="59"/>
      <c r="IBY2492" s="60"/>
      <c r="IBZ2492" s="60"/>
      <c r="ICA2492" s="60"/>
      <c r="ICB2492" s="60"/>
      <c r="ICC2492" s="59"/>
      <c r="ICD2492" s="61"/>
      <c r="ICE2492" s="59"/>
      <c r="ICF2492" s="59"/>
      <c r="ICG2492" s="60"/>
      <c r="ICH2492" s="60"/>
      <c r="ICI2492" s="60"/>
      <c r="ICJ2492" s="60"/>
      <c r="ICK2492" s="59"/>
      <c r="ICL2492" s="61"/>
      <c r="ICM2492" s="59"/>
      <c r="ICN2492" s="59"/>
      <c r="ICO2492" s="60"/>
      <c r="ICP2492" s="60"/>
      <c r="ICQ2492" s="60"/>
      <c r="ICR2492" s="60"/>
      <c r="ICS2492" s="59"/>
      <c r="ICT2492" s="61"/>
      <c r="ICU2492" s="59"/>
      <c r="ICV2492" s="59"/>
      <c r="ICW2492" s="60"/>
      <c r="ICX2492" s="60"/>
      <c r="ICY2492" s="60"/>
      <c r="ICZ2492" s="60"/>
      <c r="IDA2492" s="59"/>
      <c r="IDB2492" s="61"/>
      <c r="IDC2492" s="59"/>
      <c r="IDD2492" s="59"/>
      <c r="IDE2492" s="60"/>
      <c r="IDF2492" s="60"/>
      <c r="IDG2492" s="60"/>
      <c r="IDH2492" s="60"/>
      <c r="IDI2492" s="59"/>
      <c r="IDJ2492" s="61"/>
      <c r="IDK2492" s="59"/>
      <c r="IDL2492" s="59"/>
      <c r="IDM2492" s="60"/>
      <c r="IDN2492" s="60"/>
      <c r="IDO2492" s="60"/>
      <c r="IDP2492" s="60"/>
      <c r="IDQ2492" s="59"/>
      <c r="IDR2492" s="61"/>
      <c r="IDS2492" s="59"/>
      <c r="IDT2492" s="59"/>
      <c r="IDU2492" s="60"/>
      <c r="IDV2492" s="60"/>
      <c r="IDW2492" s="60"/>
      <c r="IDX2492" s="60"/>
      <c r="IDY2492" s="59"/>
      <c r="IDZ2492" s="61"/>
      <c r="IEA2492" s="59"/>
      <c r="IEB2492" s="59"/>
      <c r="IEC2492" s="60"/>
      <c r="IED2492" s="60"/>
      <c r="IEE2492" s="60"/>
      <c r="IEF2492" s="60"/>
      <c r="IEG2492" s="59"/>
      <c r="IEH2492" s="61"/>
      <c r="IEI2492" s="59"/>
      <c r="IEJ2492" s="59"/>
      <c r="IEK2492" s="60"/>
      <c r="IEL2492" s="60"/>
      <c r="IEM2492" s="60"/>
      <c r="IEN2492" s="60"/>
      <c r="IEO2492" s="59"/>
      <c r="IEP2492" s="61"/>
      <c r="IEQ2492" s="59"/>
      <c r="IER2492" s="59"/>
      <c r="IES2492" s="60"/>
      <c r="IET2492" s="60"/>
      <c r="IEU2492" s="60"/>
      <c r="IEV2492" s="60"/>
      <c r="IEW2492" s="59"/>
      <c r="IEX2492" s="61"/>
      <c r="IEY2492" s="59"/>
      <c r="IEZ2492" s="59"/>
      <c r="IFA2492" s="60"/>
      <c r="IFB2492" s="60"/>
      <c r="IFC2492" s="60"/>
      <c r="IFD2492" s="60"/>
      <c r="IFE2492" s="59"/>
      <c r="IFF2492" s="61"/>
      <c r="IFG2492" s="59"/>
      <c r="IFH2492" s="59"/>
      <c r="IFI2492" s="60"/>
      <c r="IFJ2492" s="60"/>
      <c r="IFK2492" s="60"/>
      <c r="IFL2492" s="60"/>
      <c r="IFM2492" s="59"/>
      <c r="IFN2492" s="61"/>
      <c r="IFO2492" s="59"/>
      <c r="IFP2492" s="59"/>
      <c r="IFQ2492" s="60"/>
      <c r="IFR2492" s="60"/>
      <c r="IFS2492" s="60"/>
      <c r="IFT2492" s="60"/>
      <c r="IFU2492" s="59"/>
      <c r="IFV2492" s="61"/>
      <c r="IFW2492" s="59"/>
      <c r="IFX2492" s="59"/>
      <c r="IFY2492" s="60"/>
      <c r="IFZ2492" s="60"/>
      <c r="IGA2492" s="60"/>
      <c r="IGB2492" s="60"/>
      <c r="IGC2492" s="59"/>
      <c r="IGD2492" s="61"/>
      <c r="IGE2492" s="59"/>
      <c r="IGF2492" s="59"/>
      <c r="IGG2492" s="60"/>
      <c r="IGH2492" s="60"/>
      <c r="IGI2492" s="60"/>
      <c r="IGJ2492" s="60"/>
      <c r="IGK2492" s="59"/>
      <c r="IGL2492" s="61"/>
      <c r="IGM2492" s="59"/>
      <c r="IGN2492" s="59"/>
      <c r="IGO2492" s="60"/>
      <c r="IGP2492" s="60"/>
      <c r="IGQ2492" s="60"/>
      <c r="IGR2492" s="60"/>
      <c r="IGS2492" s="59"/>
      <c r="IGT2492" s="61"/>
      <c r="IGU2492" s="59"/>
      <c r="IGV2492" s="59"/>
      <c r="IGW2492" s="60"/>
      <c r="IGX2492" s="60"/>
      <c r="IGY2492" s="60"/>
      <c r="IGZ2492" s="60"/>
      <c r="IHA2492" s="59"/>
      <c r="IHB2492" s="61"/>
      <c r="IHC2492" s="59"/>
      <c r="IHD2492" s="59"/>
      <c r="IHE2492" s="60"/>
      <c r="IHF2492" s="60"/>
      <c r="IHG2492" s="60"/>
      <c r="IHH2492" s="60"/>
      <c r="IHI2492" s="59"/>
      <c r="IHJ2492" s="61"/>
      <c r="IHK2492" s="59"/>
      <c r="IHL2492" s="59"/>
      <c r="IHM2492" s="60"/>
      <c r="IHN2492" s="60"/>
      <c r="IHO2492" s="60"/>
      <c r="IHP2492" s="60"/>
      <c r="IHQ2492" s="59"/>
      <c r="IHR2492" s="61"/>
      <c r="IHS2492" s="59"/>
      <c r="IHT2492" s="59"/>
      <c r="IHU2492" s="60"/>
      <c r="IHV2492" s="60"/>
      <c r="IHW2492" s="60"/>
      <c r="IHX2492" s="60"/>
      <c r="IHY2492" s="59"/>
      <c r="IHZ2492" s="61"/>
      <c r="IIA2492" s="59"/>
      <c r="IIB2492" s="59"/>
      <c r="IIC2492" s="60"/>
      <c r="IID2492" s="60"/>
      <c r="IIE2492" s="60"/>
      <c r="IIF2492" s="60"/>
      <c r="IIG2492" s="59"/>
      <c r="IIH2492" s="61"/>
      <c r="III2492" s="59"/>
      <c r="IIJ2492" s="59"/>
      <c r="IIK2492" s="60"/>
      <c r="IIL2492" s="60"/>
      <c r="IIM2492" s="60"/>
      <c r="IIN2492" s="60"/>
      <c r="IIO2492" s="59"/>
      <c r="IIP2492" s="61"/>
      <c r="IIQ2492" s="59"/>
      <c r="IIR2492" s="59"/>
      <c r="IIS2492" s="60"/>
      <c r="IIT2492" s="60"/>
      <c r="IIU2492" s="60"/>
      <c r="IIV2492" s="60"/>
      <c r="IIW2492" s="59"/>
      <c r="IIX2492" s="61"/>
      <c r="IIY2492" s="59"/>
      <c r="IIZ2492" s="59"/>
      <c r="IJA2492" s="60"/>
      <c r="IJB2492" s="60"/>
      <c r="IJC2492" s="60"/>
      <c r="IJD2492" s="60"/>
      <c r="IJE2492" s="59"/>
      <c r="IJF2492" s="61"/>
      <c r="IJG2492" s="59"/>
      <c r="IJH2492" s="59"/>
      <c r="IJI2492" s="60"/>
      <c r="IJJ2492" s="60"/>
      <c r="IJK2492" s="60"/>
      <c r="IJL2492" s="60"/>
      <c r="IJM2492" s="59"/>
      <c r="IJN2492" s="61"/>
      <c r="IJO2492" s="59"/>
      <c r="IJP2492" s="59"/>
      <c r="IJQ2492" s="60"/>
      <c r="IJR2492" s="60"/>
      <c r="IJS2492" s="60"/>
      <c r="IJT2492" s="60"/>
      <c r="IJU2492" s="59"/>
      <c r="IJV2492" s="61"/>
      <c r="IJW2492" s="59"/>
      <c r="IJX2492" s="59"/>
      <c r="IJY2492" s="60"/>
      <c r="IJZ2492" s="60"/>
      <c r="IKA2492" s="60"/>
      <c r="IKB2492" s="60"/>
      <c r="IKC2492" s="59"/>
      <c r="IKD2492" s="61"/>
      <c r="IKE2492" s="59"/>
      <c r="IKF2492" s="59"/>
      <c r="IKG2492" s="60"/>
      <c r="IKH2492" s="60"/>
      <c r="IKI2492" s="60"/>
      <c r="IKJ2492" s="60"/>
      <c r="IKK2492" s="59"/>
      <c r="IKL2492" s="61"/>
      <c r="IKM2492" s="59"/>
      <c r="IKN2492" s="59"/>
      <c r="IKO2492" s="60"/>
      <c r="IKP2492" s="60"/>
      <c r="IKQ2492" s="60"/>
      <c r="IKR2492" s="60"/>
      <c r="IKS2492" s="59"/>
      <c r="IKT2492" s="61"/>
      <c r="IKU2492" s="59"/>
      <c r="IKV2492" s="59"/>
      <c r="IKW2492" s="60"/>
      <c r="IKX2492" s="60"/>
      <c r="IKY2492" s="60"/>
      <c r="IKZ2492" s="60"/>
      <c r="ILA2492" s="59"/>
      <c r="ILB2492" s="61"/>
      <c r="ILC2492" s="59"/>
      <c r="ILD2492" s="59"/>
      <c r="ILE2492" s="60"/>
      <c r="ILF2492" s="60"/>
      <c r="ILG2492" s="60"/>
      <c r="ILH2492" s="60"/>
      <c r="ILI2492" s="59"/>
      <c r="ILJ2492" s="61"/>
      <c r="ILK2492" s="59"/>
      <c r="ILL2492" s="59"/>
      <c r="ILM2492" s="60"/>
      <c r="ILN2492" s="60"/>
      <c r="ILO2492" s="60"/>
      <c r="ILP2492" s="60"/>
      <c r="ILQ2492" s="59"/>
      <c r="ILR2492" s="61"/>
      <c r="ILS2492" s="59"/>
      <c r="ILT2492" s="59"/>
      <c r="ILU2492" s="60"/>
      <c r="ILV2492" s="60"/>
      <c r="ILW2492" s="60"/>
      <c r="ILX2492" s="60"/>
      <c r="ILY2492" s="59"/>
      <c r="ILZ2492" s="61"/>
      <c r="IMA2492" s="59"/>
      <c r="IMB2492" s="59"/>
      <c r="IMC2492" s="60"/>
      <c r="IMD2492" s="60"/>
      <c r="IME2492" s="60"/>
      <c r="IMF2492" s="60"/>
      <c r="IMG2492" s="59"/>
      <c r="IMH2492" s="61"/>
      <c r="IMI2492" s="59"/>
      <c r="IMJ2492" s="59"/>
      <c r="IMK2492" s="60"/>
      <c r="IML2492" s="60"/>
      <c r="IMM2492" s="60"/>
      <c r="IMN2492" s="60"/>
      <c r="IMO2492" s="59"/>
      <c r="IMP2492" s="61"/>
      <c r="IMQ2492" s="59"/>
      <c r="IMR2492" s="59"/>
      <c r="IMS2492" s="60"/>
      <c r="IMT2492" s="60"/>
      <c r="IMU2492" s="60"/>
      <c r="IMV2492" s="60"/>
      <c r="IMW2492" s="59"/>
      <c r="IMX2492" s="61"/>
      <c r="IMY2492" s="59"/>
      <c r="IMZ2492" s="59"/>
      <c r="INA2492" s="60"/>
      <c r="INB2492" s="60"/>
      <c r="INC2492" s="60"/>
      <c r="IND2492" s="60"/>
      <c r="INE2492" s="59"/>
      <c r="INF2492" s="61"/>
      <c r="ING2492" s="59"/>
      <c r="INH2492" s="59"/>
      <c r="INI2492" s="60"/>
      <c r="INJ2492" s="60"/>
      <c r="INK2492" s="60"/>
      <c r="INL2492" s="60"/>
      <c r="INM2492" s="59"/>
      <c r="INN2492" s="61"/>
      <c r="INO2492" s="59"/>
      <c r="INP2492" s="59"/>
      <c r="INQ2492" s="60"/>
      <c r="INR2492" s="60"/>
      <c r="INS2492" s="60"/>
      <c r="INT2492" s="60"/>
      <c r="INU2492" s="59"/>
      <c r="INV2492" s="61"/>
      <c r="INW2492" s="59"/>
      <c r="INX2492" s="59"/>
      <c r="INY2492" s="60"/>
      <c r="INZ2492" s="60"/>
      <c r="IOA2492" s="60"/>
      <c r="IOB2492" s="60"/>
      <c r="IOC2492" s="59"/>
      <c r="IOD2492" s="61"/>
      <c r="IOE2492" s="59"/>
      <c r="IOF2492" s="59"/>
      <c r="IOG2492" s="60"/>
      <c r="IOH2492" s="60"/>
      <c r="IOI2492" s="60"/>
      <c r="IOJ2492" s="60"/>
      <c r="IOK2492" s="59"/>
      <c r="IOL2492" s="61"/>
      <c r="IOM2492" s="59"/>
      <c r="ION2492" s="59"/>
      <c r="IOO2492" s="60"/>
      <c r="IOP2492" s="60"/>
      <c r="IOQ2492" s="60"/>
      <c r="IOR2492" s="60"/>
      <c r="IOS2492" s="59"/>
      <c r="IOT2492" s="61"/>
      <c r="IOU2492" s="59"/>
      <c r="IOV2492" s="59"/>
      <c r="IOW2492" s="60"/>
      <c r="IOX2492" s="60"/>
      <c r="IOY2492" s="60"/>
      <c r="IOZ2492" s="60"/>
      <c r="IPA2492" s="59"/>
      <c r="IPB2492" s="61"/>
      <c r="IPC2492" s="59"/>
      <c r="IPD2492" s="59"/>
      <c r="IPE2492" s="60"/>
      <c r="IPF2492" s="60"/>
      <c r="IPG2492" s="60"/>
      <c r="IPH2492" s="60"/>
      <c r="IPI2492" s="59"/>
      <c r="IPJ2492" s="61"/>
      <c r="IPK2492" s="59"/>
      <c r="IPL2492" s="59"/>
      <c r="IPM2492" s="60"/>
      <c r="IPN2492" s="60"/>
      <c r="IPO2492" s="60"/>
      <c r="IPP2492" s="60"/>
      <c r="IPQ2492" s="59"/>
      <c r="IPR2492" s="61"/>
      <c r="IPS2492" s="59"/>
      <c r="IPT2492" s="59"/>
      <c r="IPU2492" s="60"/>
      <c r="IPV2492" s="60"/>
      <c r="IPW2492" s="60"/>
      <c r="IPX2492" s="60"/>
      <c r="IPY2492" s="59"/>
      <c r="IPZ2492" s="61"/>
      <c r="IQA2492" s="59"/>
      <c r="IQB2492" s="59"/>
      <c r="IQC2492" s="60"/>
      <c r="IQD2492" s="60"/>
      <c r="IQE2492" s="60"/>
      <c r="IQF2492" s="60"/>
      <c r="IQG2492" s="59"/>
      <c r="IQH2492" s="61"/>
      <c r="IQI2492" s="59"/>
      <c r="IQJ2492" s="59"/>
      <c r="IQK2492" s="60"/>
      <c r="IQL2492" s="60"/>
      <c r="IQM2492" s="60"/>
      <c r="IQN2492" s="60"/>
      <c r="IQO2492" s="59"/>
      <c r="IQP2492" s="61"/>
      <c r="IQQ2492" s="59"/>
      <c r="IQR2492" s="59"/>
      <c r="IQS2492" s="60"/>
      <c r="IQT2492" s="60"/>
      <c r="IQU2492" s="60"/>
      <c r="IQV2492" s="60"/>
      <c r="IQW2492" s="59"/>
      <c r="IQX2492" s="61"/>
      <c r="IQY2492" s="59"/>
      <c r="IQZ2492" s="59"/>
      <c r="IRA2492" s="60"/>
      <c r="IRB2492" s="60"/>
      <c r="IRC2492" s="60"/>
      <c r="IRD2492" s="60"/>
      <c r="IRE2492" s="59"/>
      <c r="IRF2492" s="61"/>
      <c r="IRG2492" s="59"/>
      <c r="IRH2492" s="59"/>
      <c r="IRI2492" s="60"/>
      <c r="IRJ2492" s="60"/>
      <c r="IRK2492" s="60"/>
      <c r="IRL2492" s="60"/>
      <c r="IRM2492" s="59"/>
      <c r="IRN2492" s="61"/>
      <c r="IRO2492" s="59"/>
      <c r="IRP2492" s="59"/>
      <c r="IRQ2492" s="60"/>
      <c r="IRR2492" s="60"/>
      <c r="IRS2492" s="60"/>
      <c r="IRT2492" s="60"/>
      <c r="IRU2492" s="59"/>
      <c r="IRV2492" s="61"/>
      <c r="IRW2492" s="59"/>
      <c r="IRX2492" s="59"/>
      <c r="IRY2492" s="60"/>
      <c r="IRZ2492" s="60"/>
      <c r="ISA2492" s="60"/>
      <c r="ISB2492" s="60"/>
      <c r="ISC2492" s="59"/>
      <c r="ISD2492" s="61"/>
      <c r="ISE2492" s="59"/>
      <c r="ISF2492" s="59"/>
      <c r="ISG2492" s="60"/>
      <c r="ISH2492" s="60"/>
      <c r="ISI2492" s="60"/>
      <c r="ISJ2492" s="60"/>
      <c r="ISK2492" s="59"/>
      <c r="ISL2492" s="61"/>
      <c r="ISM2492" s="59"/>
      <c r="ISN2492" s="59"/>
      <c r="ISO2492" s="60"/>
      <c r="ISP2492" s="60"/>
      <c r="ISQ2492" s="60"/>
      <c r="ISR2492" s="60"/>
      <c r="ISS2492" s="59"/>
      <c r="IST2492" s="61"/>
      <c r="ISU2492" s="59"/>
      <c r="ISV2492" s="59"/>
      <c r="ISW2492" s="60"/>
      <c r="ISX2492" s="60"/>
      <c r="ISY2492" s="60"/>
      <c r="ISZ2492" s="60"/>
      <c r="ITA2492" s="59"/>
      <c r="ITB2492" s="61"/>
      <c r="ITC2492" s="59"/>
      <c r="ITD2492" s="59"/>
      <c r="ITE2492" s="60"/>
      <c r="ITF2492" s="60"/>
      <c r="ITG2492" s="60"/>
      <c r="ITH2492" s="60"/>
      <c r="ITI2492" s="59"/>
      <c r="ITJ2492" s="61"/>
      <c r="ITK2492" s="59"/>
      <c r="ITL2492" s="59"/>
      <c r="ITM2492" s="60"/>
      <c r="ITN2492" s="60"/>
      <c r="ITO2492" s="60"/>
      <c r="ITP2492" s="60"/>
      <c r="ITQ2492" s="59"/>
      <c r="ITR2492" s="61"/>
      <c r="ITS2492" s="59"/>
      <c r="ITT2492" s="59"/>
      <c r="ITU2492" s="60"/>
      <c r="ITV2492" s="60"/>
      <c r="ITW2492" s="60"/>
      <c r="ITX2492" s="60"/>
      <c r="ITY2492" s="59"/>
      <c r="ITZ2492" s="61"/>
      <c r="IUA2492" s="59"/>
      <c r="IUB2492" s="59"/>
      <c r="IUC2492" s="60"/>
      <c r="IUD2492" s="60"/>
      <c r="IUE2492" s="60"/>
      <c r="IUF2492" s="60"/>
      <c r="IUG2492" s="59"/>
      <c r="IUH2492" s="61"/>
      <c r="IUI2492" s="59"/>
      <c r="IUJ2492" s="59"/>
      <c r="IUK2492" s="60"/>
      <c r="IUL2492" s="60"/>
      <c r="IUM2492" s="60"/>
      <c r="IUN2492" s="60"/>
      <c r="IUO2492" s="59"/>
      <c r="IUP2492" s="61"/>
      <c r="IUQ2492" s="59"/>
      <c r="IUR2492" s="59"/>
      <c r="IUS2492" s="60"/>
      <c r="IUT2492" s="60"/>
      <c r="IUU2492" s="60"/>
      <c r="IUV2492" s="60"/>
      <c r="IUW2492" s="59"/>
      <c r="IUX2492" s="61"/>
      <c r="IUY2492" s="59"/>
      <c r="IUZ2492" s="59"/>
      <c r="IVA2492" s="60"/>
      <c r="IVB2492" s="60"/>
      <c r="IVC2492" s="60"/>
      <c r="IVD2492" s="60"/>
      <c r="IVE2492" s="59"/>
      <c r="IVF2492" s="61"/>
      <c r="IVG2492" s="59"/>
      <c r="IVH2492" s="59"/>
      <c r="IVI2492" s="60"/>
      <c r="IVJ2492" s="60"/>
      <c r="IVK2492" s="60"/>
      <c r="IVL2492" s="60"/>
      <c r="IVM2492" s="59"/>
      <c r="IVN2492" s="61"/>
      <c r="IVO2492" s="59"/>
      <c r="IVP2492" s="59"/>
      <c r="IVQ2492" s="60"/>
      <c r="IVR2492" s="60"/>
      <c r="IVS2492" s="60"/>
      <c r="IVT2492" s="60"/>
      <c r="IVU2492" s="59"/>
      <c r="IVV2492" s="61"/>
      <c r="IVW2492" s="59"/>
      <c r="IVX2492" s="59"/>
      <c r="IVY2492" s="60"/>
      <c r="IVZ2492" s="60"/>
      <c r="IWA2492" s="60"/>
      <c r="IWB2492" s="60"/>
      <c r="IWC2492" s="59"/>
      <c r="IWD2492" s="61"/>
      <c r="IWE2492" s="59"/>
      <c r="IWF2492" s="59"/>
      <c r="IWG2492" s="60"/>
      <c r="IWH2492" s="60"/>
      <c r="IWI2492" s="60"/>
      <c r="IWJ2492" s="60"/>
      <c r="IWK2492" s="59"/>
      <c r="IWL2492" s="61"/>
      <c r="IWM2492" s="59"/>
      <c r="IWN2492" s="59"/>
      <c r="IWO2492" s="60"/>
      <c r="IWP2492" s="60"/>
      <c r="IWQ2492" s="60"/>
      <c r="IWR2492" s="60"/>
      <c r="IWS2492" s="59"/>
      <c r="IWT2492" s="61"/>
      <c r="IWU2492" s="59"/>
      <c r="IWV2492" s="59"/>
      <c r="IWW2492" s="60"/>
      <c r="IWX2492" s="60"/>
      <c r="IWY2492" s="60"/>
      <c r="IWZ2492" s="60"/>
      <c r="IXA2492" s="59"/>
      <c r="IXB2492" s="61"/>
      <c r="IXC2492" s="59"/>
      <c r="IXD2492" s="59"/>
      <c r="IXE2492" s="60"/>
      <c r="IXF2492" s="60"/>
      <c r="IXG2492" s="60"/>
      <c r="IXH2492" s="60"/>
      <c r="IXI2492" s="59"/>
      <c r="IXJ2492" s="61"/>
      <c r="IXK2492" s="59"/>
      <c r="IXL2492" s="59"/>
      <c r="IXM2492" s="60"/>
      <c r="IXN2492" s="60"/>
      <c r="IXO2492" s="60"/>
      <c r="IXP2492" s="60"/>
      <c r="IXQ2492" s="59"/>
      <c r="IXR2492" s="61"/>
      <c r="IXS2492" s="59"/>
      <c r="IXT2492" s="59"/>
      <c r="IXU2492" s="60"/>
      <c r="IXV2492" s="60"/>
      <c r="IXW2492" s="60"/>
      <c r="IXX2492" s="60"/>
      <c r="IXY2492" s="59"/>
      <c r="IXZ2492" s="61"/>
      <c r="IYA2492" s="59"/>
      <c r="IYB2492" s="59"/>
      <c r="IYC2492" s="60"/>
      <c r="IYD2492" s="60"/>
      <c r="IYE2492" s="60"/>
      <c r="IYF2492" s="60"/>
      <c r="IYG2492" s="59"/>
      <c r="IYH2492" s="61"/>
      <c r="IYI2492" s="59"/>
      <c r="IYJ2492" s="59"/>
      <c r="IYK2492" s="60"/>
      <c r="IYL2492" s="60"/>
      <c r="IYM2492" s="60"/>
      <c r="IYN2492" s="60"/>
      <c r="IYO2492" s="59"/>
      <c r="IYP2492" s="61"/>
      <c r="IYQ2492" s="59"/>
      <c r="IYR2492" s="59"/>
      <c r="IYS2492" s="60"/>
      <c r="IYT2492" s="60"/>
      <c r="IYU2492" s="60"/>
      <c r="IYV2492" s="60"/>
      <c r="IYW2492" s="59"/>
      <c r="IYX2492" s="61"/>
      <c r="IYY2492" s="59"/>
      <c r="IYZ2492" s="59"/>
      <c r="IZA2492" s="60"/>
      <c r="IZB2492" s="60"/>
      <c r="IZC2492" s="60"/>
      <c r="IZD2492" s="60"/>
      <c r="IZE2492" s="59"/>
      <c r="IZF2492" s="61"/>
      <c r="IZG2492" s="59"/>
      <c r="IZH2492" s="59"/>
      <c r="IZI2492" s="60"/>
      <c r="IZJ2492" s="60"/>
      <c r="IZK2492" s="60"/>
      <c r="IZL2492" s="60"/>
      <c r="IZM2492" s="59"/>
      <c r="IZN2492" s="61"/>
      <c r="IZO2492" s="59"/>
      <c r="IZP2492" s="59"/>
      <c r="IZQ2492" s="60"/>
      <c r="IZR2492" s="60"/>
      <c r="IZS2492" s="60"/>
      <c r="IZT2492" s="60"/>
      <c r="IZU2492" s="59"/>
      <c r="IZV2492" s="61"/>
      <c r="IZW2492" s="59"/>
      <c r="IZX2492" s="59"/>
      <c r="IZY2492" s="60"/>
      <c r="IZZ2492" s="60"/>
      <c r="JAA2492" s="60"/>
      <c r="JAB2492" s="60"/>
      <c r="JAC2492" s="59"/>
      <c r="JAD2492" s="61"/>
      <c r="JAE2492" s="59"/>
      <c r="JAF2492" s="59"/>
      <c r="JAG2492" s="60"/>
      <c r="JAH2492" s="60"/>
      <c r="JAI2492" s="60"/>
      <c r="JAJ2492" s="60"/>
      <c r="JAK2492" s="59"/>
      <c r="JAL2492" s="61"/>
      <c r="JAM2492" s="59"/>
      <c r="JAN2492" s="59"/>
      <c r="JAO2492" s="60"/>
      <c r="JAP2492" s="60"/>
      <c r="JAQ2492" s="60"/>
      <c r="JAR2492" s="60"/>
      <c r="JAS2492" s="59"/>
      <c r="JAT2492" s="61"/>
      <c r="JAU2492" s="59"/>
      <c r="JAV2492" s="59"/>
      <c r="JAW2492" s="60"/>
      <c r="JAX2492" s="60"/>
      <c r="JAY2492" s="60"/>
      <c r="JAZ2492" s="60"/>
      <c r="JBA2492" s="59"/>
      <c r="JBB2492" s="61"/>
      <c r="JBC2492" s="59"/>
      <c r="JBD2492" s="59"/>
      <c r="JBE2492" s="60"/>
      <c r="JBF2492" s="60"/>
      <c r="JBG2492" s="60"/>
      <c r="JBH2492" s="60"/>
      <c r="JBI2492" s="59"/>
      <c r="JBJ2492" s="61"/>
      <c r="JBK2492" s="59"/>
      <c r="JBL2492" s="59"/>
      <c r="JBM2492" s="60"/>
      <c r="JBN2492" s="60"/>
      <c r="JBO2492" s="60"/>
      <c r="JBP2492" s="60"/>
      <c r="JBQ2492" s="59"/>
      <c r="JBR2492" s="61"/>
      <c r="JBS2492" s="59"/>
      <c r="JBT2492" s="59"/>
      <c r="JBU2492" s="60"/>
      <c r="JBV2492" s="60"/>
      <c r="JBW2492" s="60"/>
      <c r="JBX2492" s="60"/>
      <c r="JBY2492" s="59"/>
      <c r="JBZ2492" s="61"/>
      <c r="JCA2492" s="59"/>
      <c r="JCB2492" s="59"/>
      <c r="JCC2492" s="60"/>
      <c r="JCD2492" s="60"/>
      <c r="JCE2492" s="60"/>
      <c r="JCF2492" s="60"/>
      <c r="JCG2492" s="59"/>
      <c r="JCH2492" s="61"/>
      <c r="JCI2492" s="59"/>
      <c r="JCJ2492" s="59"/>
      <c r="JCK2492" s="60"/>
      <c r="JCL2492" s="60"/>
      <c r="JCM2492" s="60"/>
      <c r="JCN2492" s="60"/>
      <c r="JCO2492" s="59"/>
      <c r="JCP2492" s="61"/>
      <c r="JCQ2492" s="59"/>
      <c r="JCR2492" s="59"/>
      <c r="JCS2492" s="60"/>
      <c r="JCT2492" s="60"/>
      <c r="JCU2492" s="60"/>
      <c r="JCV2492" s="60"/>
      <c r="JCW2492" s="59"/>
      <c r="JCX2492" s="61"/>
      <c r="JCY2492" s="59"/>
      <c r="JCZ2492" s="59"/>
      <c r="JDA2492" s="60"/>
      <c r="JDB2492" s="60"/>
      <c r="JDC2492" s="60"/>
      <c r="JDD2492" s="60"/>
      <c r="JDE2492" s="59"/>
      <c r="JDF2492" s="61"/>
      <c r="JDG2492" s="59"/>
      <c r="JDH2492" s="59"/>
      <c r="JDI2492" s="60"/>
      <c r="JDJ2492" s="60"/>
      <c r="JDK2492" s="60"/>
      <c r="JDL2492" s="60"/>
      <c r="JDM2492" s="59"/>
      <c r="JDN2492" s="61"/>
      <c r="JDO2492" s="59"/>
      <c r="JDP2492" s="59"/>
      <c r="JDQ2492" s="60"/>
      <c r="JDR2492" s="60"/>
      <c r="JDS2492" s="60"/>
      <c r="JDT2492" s="60"/>
      <c r="JDU2492" s="59"/>
      <c r="JDV2492" s="61"/>
      <c r="JDW2492" s="59"/>
      <c r="JDX2492" s="59"/>
      <c r="JDY2492" s="60"/>
      <c r="JDZ2492" s="60"/>
      <c r="JEA2492" s="60"/>
      <c r="JEB2492" s="60"/>
      <c r="JEC2492" s="59"/>
      <c r="JED2492" s="61"/>
      <c r="JEE2492" s="59"/>
      <c r="JEF2492" s="59"/>
      <c r="JEG2492" s="60"/>
      <c r="JEH2492" s="60"/>
      <c r="JEI2492" s="60"/>
      <c r="JEJ2492" s="60"/>
      <c r="JEK2492" s="59"/>
      <c r="JEL2492" s="61"/>
      <c r="JEM2492" s="59"/>
      <c r="JEN2492" s="59"/>
      <c r="JEO2492" s="60"/>
      <c r="JEP2492" s="60"/>
      <c r="JEQ2492" s="60"/>
      <c r="JER2492" s="60"/>
      <c r="JES2492" s="59"/>
      <c r="JET2492" s="61"/>
      <c r="JEU2492" s="59"/>
      <c r="JEV2492" s="59"/>
      <c r="JEW2492" s="60"/>
      <c r="JEX2492" s="60"/>
      <c r="JEY2492" s="60"/>
      <c r="JEZ2492" s="60"/>
      <c r="JFA2492" s="59"/>
      <c r="JFB2492" s="61"/>
      <c r="JFC2492" s="59"/>
      <c r="JFD2492" s="59"/>
      <c r="JFE2492" s="60"/>
      <c r="JFF2492" s="60"/>
      <c r="JFG2492" s="60"/>
      <c r="JFH2492" s="60"/>
      <c r="JFI2492" s="59"/>
      <c r="JFJ2492" s="61"/>
      <c r="JFK2492" s="59"/>
      <c r="JFL2492" s="59"/>
      <c r="JFM2492" s="60"/>
      <c r="JFN2492" s="60"/>
      <c r="JFO2492" s="60"/>
      <c r="JFP2492" s="60"/>
      <c r="JFQ2492" s="59"/>
      <c r="JFR2492" s="61"/>
      <c r="JFS2492" s="59"/>
      <c r="JFT2492" s="59"/>
      <c r="JFU2492" s="60"/>
      <c r="JFV2492" s="60"/>
      <c r="JFW2492" s="60"/>
      <c r="JFX2492" s="60"/>
      <c r="JFY2492" s="59"/>
      <c r="JFZ2492" s="61"/>
      <c r="JGA2492" s="59"/>
      <c r="JGB2492" s="59"/>
      <c r="JGC2492" s="60"/>
      <c r="JGD2492" s="60"/>
      <c r="JGE2492" s="60"/>
      <c r="JGF2492" s="60"/>
      <c r="JGG2492" s="59"/>
      <c r="JGH2492" s="61"/>
      <c r="JGI2492" s="59"/>
      <c r="JGJ2492" s="59"/>
      <c r="JGK2492" s="60"/>
      <c r="JGL2492" s="60"/>
      <c r="JGM2492" s="60"/>
      <c r="JGN2492" s="60"/>
      <c r="JGO2492" s="59"/>
      <c r="JGP2492" s="61"/>
      <c r="JGQ2492" s="59"/>
      <c r="JGR2492" s="59"/>
      <c r="JGS2492" s="60"/>
      <c r="JGT2492" s="60"/>
      <c r="JGU2492" s="60"/>
      <c r="JGV2492" s="60"/>
      <c r="JGW2492" s="59"/>
      <c r="JGX2492" s="61"/>
      <c r="JGY2492" s="59"/>
      <c r="JGZ2492" s="59"/>
      <c r="JHA2492" s="60"/>
      <c r="JHB2492" s="60"/>
      <c r="JHC2492" s="60"/>
      <c r="JHD2492" s="60"/>
      <c r="JHE2492" s="59"/>
      <c r="JHF2492" s="61"/>
      <c r="JHG2492" s="59"/>
      <c r="JHH2492" s="59"/>
      <c r="JHI2492" s="60"/>
      <c r="JHJ2492" s="60"/>
      <c r="JHK2492" s="60"/>
      <c r="JHL2492" s="60"/>
      <c r="JHM2492" s="59"/>
      <c r="JHN2492" s="61"/>
      <c r="JHO2492" s="59"/>
      <c r="JHP2492" s="59"/>
      <c r="JHQ2492" s="60"/>
      <c r="JHR2492" s="60"/>
      <c r="JHS2492" s="60"/>
      <c r="JHT2492" s="60"/>
      <c r="JHU2492" s="59"/>
      <c r="JHV2492" s="61"/>
      <c r="JHW2492" s="59"/>
      <c r="JHX2492" s="59"/>
      <c r="JHY2492" s="60"/>
      <c r="JHZ2492" s="60"/>
      <c r="JIA2492" s="60"/>
      <c r="JIB2492" s="60"/>
      <c r="JIC2492" s="59"/>
      <c r="JID2492" s="61"/>
      <c r="JIE2492" s="59"/>
      <c r="JIF2492" s="59"/>
      <c r="JIG2492" s="60"/>
      <c r="JIH2492" s="60"/>
      <c r="JII2492" s="60"/>
      <c r="JIJ2492" s="60"/>
      <c r="JIK2492" s="59"/>
      <c r="JIL2492" s="61"/>
      <c r="JIM2492" s="59"/>
      <c r="JIN2492" s="59"/>
      <c r="JIO2492" s="60"/>
      <c r="JIP2492" s="60"/>
      <c r="JIQ2492" s="60"/>
      <c r="JIR2492" s="60"/>
      <c r="JIS2492" s="59"/>
      <c r="JIT2492" s="61"/>
      <c r="JIU2492" s="59"/>
      <c r="JIV2492" s="59"/>
      <c r="JIW2492" s="60"/>
      <c r="JIX2492" s="60"/>
      <c r="JIY2492" s="60"/>
      <c r="JIZ2492" s="60"/>
      <c r="JJA2492" s="59"/>
      <c r="JJB2492" s="61"/>
      <c r="JJC2492" s="59"/>
      <c r="JJD2492" s="59"/>
      <c r="JJE2492" s="60"/>
      <c r="JJF2492" s="60"/>
      <c r="JJG2492" s="60"/>
      <c r="JJH2492" s="60"/>
      <c r="JJI2492" s="59"/>
      <c r="JJJ2492" s="61"/>
      <c r="JJK2492" s="59"/>
      <c r="JJL2492" s="59"/>
      <c r="JJM2492" s="60"/>
      <c r="JJN2492" s="60"/>
      <c r="JJO2492" s="60"/>
      <c r="JJP2492" s="60"/>
      <c r="JJQ2492" s="59"/>
      <c r="JJR2492" s="61"/>
      <c r="JJS2492" s="59"/>
      <c r="JJT2492" s="59"/>
      <c r="JJU2492" s="60"/>
      <c r="JJV2492" s="60"/>
      <c r="JJW2492" s="60"/>
      <c r="JJX2492" s="60"/>
      <c r="JJY2492" s="59"/>
      <c r="JJZ2492" s="61"/>
      <c r="JKA2492" s="59"/>
      <c r="JKB2492" s="59"/>
      <c r="JKC2492" s="60"/>
      <c r="JKD2492" s="60"/>
      <c r="JKE2492" s="60"/>
      <c r="JKF2492" s="60"/>
      <c r="JKG2492" s="59"/>
      <c r="JKH2492" s="61"/>
      <c r="JKI2492" s="59"/>
      <c r="JKJ2492" s="59"/>
      <c r="JKK2492" s="60"/>
      <c r="JKL2492" s="60"/>
      <c r="JKM2492" s="60"/>
      <c r="JKN2492" s="60"/>
      <c r="JKO2492" s="59"/>
      <c r="JKP2492" s="61"/>
      <c r="JKQ2492" s="59"/>
      <c r="JKR2492" s="59"/>
      <c r="JKS2492" s="60"/>
      <c r="JKT2492" s="60"/>
      <c r="JKU2492" s="60"/>
      <c r="JKV2492" s="60"/>
      <c r="JKW2492" s="59"/>
      <c r="JKX2492" s="61"/>
      <c r="JKY2492" s="59"/>
      <c r="JKZ2492" s="59"/>
      <c r="JLA2492" s="60"/>
      <c r="JLB2492" s="60"/>
      <c r="JLC2492" s="60"/>
      <c r="JLD2492" s="60"/>
      <c r="JLE2492" s="59"/>
      <c r="JLF2492" s="61"/>
      <c r="JLG2492" s="59"/>
      <c r="JLH2492" s="59"/>
      <c r="JLI2492" s="60"/>
      <c r="JLJ2492" s="60"/>
      <c r="JLK2492" s="60"/>
      <c r="JLL2492" s="60"/>
      <c r="JLM2492" s="59"/>
      <c r="JLN2492" s="61"/>
      <c r="JLO2492" s="59"/>
      <c r="JLP2492" s="59"/>
      <c r="JLQ2492" s="60"/>
      <c r="JLR2492" s="60"/>
      <c r="JLS2492" s="60"/>
      <c r="JLT2492" s="60"/>
      <c r="JLU2492" s="59"/>
      <c r="JLV2492" s="61"/>
      <c r="JLW2492" s="59"/>
      <c r="JLX2492" s="59"/>
      <c r="JLY2492" s="60"/>
      <c r="JLZ2492" s="60"/>
      <c r="JMA2492" s="60"/>
      <c r="JMB2492" s="60"/>
      <c r="JMC2492" s="59"/>
      <c r="JMD2492" s="61"/>
      <c r="JME2492" s="59"/>
      <c r="JMF2492" s="59"/>
      <c r="JMG2492" s="60"/>
      <c r="JMH2492" s="60"/>
      <c r="JMI2492" s="60"/>
      <c r="JMJ2492" s="60"/>
      <c r="JMK2492" s="59"/>
      <c r="JML2492" s="61"/>
      <c r="JMM2492" s="59"/>
      <c r="JMN2492" s="59"/>
      <c r="JMO2492" s="60"/>
      <c r="JMP2492" s="60"/>
      <c r="JMQ2492" s="60"/>
      <c r="JMR2492" s="60"/>
      <c r="JMS2492" s="59"/>
      <c r="JMT2492" s="61"/>
      <c r="JMU2492" s="59"/>
      <c r="JMV2492" s="59"/>
      <c r="JMW2492" s="60"/>
      <c r="JMX2492" s="60"/>
      <c r="JMY2492" s="60"/>
      <c r="JMZ2492" s="60"/>
      <c r="JNA2492" s="59"/>
      <c r="JNB2492" s="61"/>
      <c r="JNC2492" s="59"/>
      <c r="JND2492" s="59"/>
      <c r="JNE2492" s="60"/>
      <c r="JNF2492" s="60"/>
      <c r="JNG2492" s="60"/>
      <c r="JNH2492" s="60"/>
      <c r="JNI2492" s="59"/>
      <c r="JNJ2492" s="61"/>
      <c r="JNK2492" s="59"/>
      <c r="JNL2492" s="59"/>
      <c r="JNM2492" s="60"/>
      <c r="JNN2492" s="60"/>
      <c r="JNO2492" s="60"/>
      <c r="JNP2492" s="60"/>
      <c r="JNQ2492" s="59"/>
      <c r="JNR2492" s="61"/>
      <c r="JNS2492" s="59"/>
      <c r="JNT2492" s="59"/>
      <c r="JNU2492" s="60"/>
      <c r="JNV2492" s="60"/>
      <c r="JNW2492" s="60"/>
      <c r="JNX2492" s="60"/>
      <c r="JNY2492" s="59"/>
      <c r="JNZ2492" s="61"/>
      <c r="JOA2492" s="59"/>
      <c r="JOB2492" s="59"/>
      <c r="JOC2492" s="60"/>
      <c r="JOD2492" s="60"/>
      <c r="JOE2492" s="60"/>
      <c r="JOF2492" s="60"/>
      <c r="JOG2492" s="59"/>
      <c r="JOH2492" s="61"/>
      <c r="JOI2492" s="59"/>
      <c r="JOJ2492" s="59"/>
      <c r="JOK2492" s="60"/>
      <c r="JOL2492" s="60"/>
      <c r="JOM2492" s="60"/>
      <c r="JON2492" s="60"/>
      <c r="JOO2492" s="59"/>
      <c r="JOP2492" s="61"/>
      <c r="JOQ2492" s="59"/>
      <c r="JOR2492" s="59"/>
      <c r="JOS2492" s="60"/>
      <c r="JOT2492" s="60"/>
      <c r="JOU2492" s="60"/>
      <c r="JOV2492" s="60"/>
      <c r="JOW2492" s="59"/>
      <c r="JOX2492" s="61"/>
      <c r="JOY2492" s="59"/>
      <c r="JOZ2492" s="59"/>
      <c r="JPA2492" s="60"/>
      <c r="JPB2492" s="60"/>
      <c r="JPC2492" s="60"/>
      <c r="JPD2492" s="60"/>
      <c r="JPE2492" s="59"/>
      <c r="JPF2492" s="61"/>
      <c r="JPG2492" s="59"/>
      <c r="JPH2492" s="59"/>
      <c r="JPI2492" s="60"/>
      <c r="JPJ2492" s="60"/>
      <c r="JPK2492" s="60"/>
      <c r="JPL2492" s="60"/>
      <c r="JPM2492" s="59"/>
      <c r="JPN2492" s="61"/>
      <c r="JPO2492" s="59"/>
      <c r="JPP2492" s="59"/>
      <c r="JPQ2492" s="60"/>
      <c r="JPR2492" s="60"/>
      <c r="JPS2492" s="60"/>
      <c r="JPT2492" s="60"/>
      <c r="JPU2492" s="59"/>
      <c r="JPV2492" s="61"/>
      <c r="JPW2492" s="59"/>
      <c r="JPX2492" s="59"/>
      <c r="JPY2492" s="60"/>
      <c r="JPZ2492" s="60"/>
      <c r="JQA2492" s="60"/>
      <c r="JQB2492" s="60"/>
      <c r="JQC2492" s="59"/>
      <c r="JQD2492" s="61"/>
      <c r="JQE2492" s="59"/>
      <c r="JQF2492" s="59"/>
      <c r="JQG2492" s="60"/>
      <c r="JQH2492" s="60"/>
      <c r="JQI2492" s="60"/>
      <c r="JQJ2492" s="60"/>
      <c r="JQK2492" s="59"/>
      <c r="JQL2492" s="61"/>
      <c r="JQM2492" s="59"/>
      <c r="JQN2492" s="59"/>
      <c r="JQO2492" s="60"/>
      <c r="JQP2492" s="60"/>
      <c r="JQQ2492" s="60"/>
      <c r="JQR2492" s="60"/>
      <c r="JQS2492" s="59"/>
      <c r="JQT2492" s="61"/>
      <c r="JQU2492" s="59"/>
      <c r="JQV2492" s="59"/>
      <c r="JQW2492" s="60"/>
      <c r="JQX2492" s="60"/>
      <c r="JQY2492" s="60"/>
      <c r="JQZ2492" s="60"/>
      <c r="JRA2492" s="59"/>
      <c r="JRB2492" s="61"/>
      <c r="JRC2492" s="59"/>
      <c r="JRD2492" s="59"/>
      <c r="JRE2492" s="60"/>
      <c r="JRF2492" s="60"/>
      <c r="JRG2492" s="60"/>
      <c r="JRH2492" s="60"/>
      <c r="JRI2492" s="59"/>
      <c r="JRJ2492" s="61"/>
      <c r="JRK2492" s="59"/>
      <c r="JRL2492" s="59"/>
      <c r="JRM2492" s="60"/>
      <c r="JRN2492" s="60"/>
      <c r="JRO2492" s="60"/>
      <c r="JRP2492" s="60"/>
      <c r="JRQ2492" s="59"/>
      <c r="JRR2492" s="61"/>
      <c r="JRS2492" s="59"/>
      <c r="JRT2492" s="59"/>
      <c r="JRU2492" s="60"/>
      <c r="JRV2492" s="60"/>
      <c r="JRW2492" s="60"/>
      <c r="JRX2492" s="60"/>
      <c r="JRY2492" s="59"/>
      <c r="JRZ2492" s="61"/>
      <c r="JSA2492" s="59"/>
      <c r="JSB2492" s="59"/>
      <c r="JSC2492" s="60"/>
      <c r="JSD2492" s="60"/>
      <c r="JSE2492" s="60"/>
      <c r="JSF2492" s="60"/>
      <c r="JSG2492" s="59"/>
      <c r="JSH2492" s="61"/>
      <c r="JSI2492" s="59"/>
      <c r="JSJ2492" s="59"/>
      <c r="JSK2492" s="60"/>
      <c r="JSL2492" s="60"/>
      <c r="JSM2492" s="60"/>
      <c r="JSN2492" s="60"/>
      <c r="JSO2492" s="59"/>
      <c r="JSP2492" s="61"/>
      <c r="JSQ2492" s="59"/>
      <c r="JSR2492" s="59"/>
      <c r="JSS2492" s="60"/>
      <c r="JST2492" s="60"/>
      <c r="JSU2492" s="60"/>
      <c r="JSV2492" s="60"/>
      <c r="JSW2492" s="59"/>
      <c r="JSX2492" s="61"/>
      <c r="JSY2492" s="59"/>
      <c r="JSZ2492" s="59"/>
      <c r="JTA2492" s="60"/>
      <c r="JTB2492" s="60"/>
      <c r="JTC2492" s="60"/>
      <c r="JTD2492" s="60"/>
      <c r="JTE2492" s="59"/>
      <c r="JTF2492" s="61"/>
      <c r="JTG2492" s="59"/>
      <c r="JTH2492" s="59"/>
      <c r="JTI2492" s="60"/>
      <c r="JTJ2492" s="60"/>
      <c r="JTK2492" s="60"/>
      <c r="JTL2492" s="60"/>
      <c r="JTM2492" s="59"/>
      <c r="JTN2492" s="61"/>
      <c r="JTO2492" s="59"/>
      <c r="JTP2492" s="59"/>
      <c r="JTQ2492" s="60"/>
      <c r="JTR2492" s="60"/>
      <c r="JTS2492" s="60"/>
      <c r="JTT2492" s="60"/>
      <c r="JTU2492" s="59"/>
      <c r="JTV2492" s="61"/>
      <c r="JTW2492" s="59"/>
      <c r="JTX2492" s="59"/>
      <c r="JTY2492" s="60"/>
      <c r="JTZ2492" s="60"/>
      <c r="JUA2492" s="60"/>
      <c r="JUB2492" s="60"/>
      <c r="JUC2492" s="59"/>
      <c r="JUD2492" s="61"/>
      <c r="JUE2492" s="59"/>
      <c r="JUF2492" s="59"/>
      <c r="JUG2492" s="60"/>
      <c r="JUH2492" s="60"/>
      <c r="JUI2492" s="60"/>
      <c r="JUJ2492" s="60"/>
      <c r="JUK2492" s="59"/>
      <c r="JUL2492" s="61"/>
      <c r="JUM2492" s="59"/>
      <c r="JUN2492" s="59"/>
      <c r="JUO2492" s="60"/>
      <c r="JUP2492" s="60"/>
      <c r="JUQ2492" s="60"/>
      <c r="JUR2492" s="60"/>
      <c r="JUS2492" s="59"/>
      <c r="JUT2492" s="61"/>
      <c r="JUU2492" s="59"/>
      <c r="JUV2492" s="59"/>
      <c r="JUW2492" s="60"/>
      <c r="JUX2492" s="60"/>
      <c r="JUY2492" s="60"/>
      <c r="JUZ2492" s="60"/>
      <c r="JVA2492" s="59"/>
      <c r="JVB2492" s="61"/>
      <c r="JVC2492" s="59"/>
      <c r="JVD2492" s="59"/>
      <c r="JVE2492" s="60"/>
      <c r="JVF2492" s="60"/>
      <c r="JVG2492" s="60"/>
      <c r="JVH2492" s="60"/>
      <c r="JVI2492" s="59"/>
      <c r="JVJ2492" s="61"/>
      <c r="JVK2492" s="59"/>
      <c r="JVL2492" s="59"/>
      <c r="JVM2492" s="60"/>
      <c r="JVN2492" s="60"/>
      <c r="JVO2492" s="60"/>
      <c r="JVP2492" s="60"/>
      <c r="JVQ2492" s="59"/>
      <c r="JVR2492" s="61"/>
      <c r="JVS2492" s="59"/>
      <c r="JVT2492" s="59"/>
      <c r="JVU2492" s="60"/>
      <c r="JVV2492" s="60"/>
      <c r="JVW2492" s="60"/>
      <c r="JVX2492" s="60"/>
      <c r="JVY2492" s="59"/>
      <c r="JVZ2492" s="61"/>
      <c r="JWA2492" s="59"/>
      <c r="JWB2492" s="59"/>
      <c r="JWC2492" s="60"/>
      <c r="JWD2492" s="60"/>
      <c r="JWE2492" s="60"/>
      <c r="JWF2492" s="60"/>
      <c r="JWG2492" s="59"/>
      <c r="JWH2492" s="61"/>
      <c r="JWI2492" s="59"/>
      <c r="JWJ2492" s="59"/>
      <c r="JWK2492" s="60"/>
      <c r="JWL2492" s="60"/>
      <c r="JWM2492" s="60"/>
      <c r="JWN2492" s="60"/>
      <c r="JWO2492" s="59"/>
      <c r="JWP2492" s="61"/>
      <c r="JWQ2492" s="59"/>
      <c r="JWR2492" s="59"/>
      <c r="JWS2492" s="60"/>
      <c r="JWT2492" s="60"/>
      <c r="JWU2492" s="60"/>
      <c r="JWV2492" s="60"/>
      <c r="JWW2492" s="59"/>
      <c r="JWX2492" s="61"/>
      <c r="JWY2492" s="59"/>
      <c r="JWZ2492" s="59"/>
      <c r="JXA2492" s="60"/>
      <c r="JXB2492" s="60"/>
      <c r="JXC2492" s="60"/>
      <c r="JXD2492" s="60"/>
      <c r="JXE2492" s="59"/>
      <c r="JXF2492" s="61"/>
      <c r="JXG2492" s="59"/>
      <c r="JXH2492" s="59"/>
      <c r="JXI2492" s="60"/>
      <c r="JXJ2492" s="60"/>
      <c r="JXK2492" s="60"/>
      <c r="JXL2492" s="60"/>
      <c r="JXM2492" s="59"/>
      <c r="JXN2492" s="61"/>
      <c r="JXO2492" s="59"/>
      <c r="JXP2492" s="59"/>
      <c r="JXQ2492" s="60"/>
      <c r="JXR2492" s="60"/>
      <c r="JXS2492" s="60"/>
      <c r="JXT2492" s="60"/>
      <c r="JXU2492" s="59"/>
      <c r="JXV2492" s="61"/>
      <c r="JXW2492" s="59"/>
      <c r="JXX2492" s="59"/>
      <c r="JXY2492" s="60"/>
      <c r="JXZ2492" s="60"/>
      <c r="JYA2492" s="60"/>
      <c r="JYB2492" s="60"/>
      <c r="JYC2492" s="59"/>
      <c r="JYD2492" s="61"/>
      <c r="JYE2492" s="59"/>
      <c r="JYF2492" s="59"/>
      <c r="JYG2492" s="60"/>
      <c r="JYH2492" s="60"/>
      <c r="JYI2492" s="60"/>
      <c r="JYJ2492" s="60"/>
      <c r="JYK2492" s="59"/>
      <c r="JYL2492" s="61"/>
      <c r="JYM2492" s="59"/>
      <c r="JYN2492" s="59"/>
      <c r="JYO2492" s="60"/>
      <c r="JYP2492" s="60"/>
      <c r="JYQ2492" s="60"/>
      <c r="JYR2492" s="60"/>
      <c r="JYS2492" s="59"/>
      <c r="JYT2492" s="61"/>
      <c r="JYU2492" s="59"/>
      <c r="JYV2492" s="59"/>
      <c r="JYW2492" s="60"/>
      <c r="JYX2492" s="60"/>
      <c r="JYY2492" s="60"/>
      <c r="JYZ2492" s="60"/>
      <c r="JZA2492" s="59"/>
      <c r="JZB2492" s="61"/>
      <c r="JZC2492" s="59"/>
      <c r="JZD2492" s="59"/>
      <c r="JZE2492" s="60"/>
      <c r="JZF2492" s="60"/>
      <c r="JZG2492" s="60"/>
      <c r="JZH2492" s="60"/>
      <c r="JZI2492" s="59"/>
      <c r="JZJ2492" s="61"/>
      <c r="JZK2492" s="59"/>
      <c r="JZL2492" s="59"/>
      <c r="JZM2492" s="60"/>
      <c r="JZN2492" s="60"/>
      <c r="JZO2492" s="60"/>
      <c r="JZP2492" s="60"/>
      <c r="JZQ2492" s="59"/>
      <c r="JZR2492" s="61"/>
      <c r="JZS2492" s="59"/>
      <c r="JZT2492" s="59"/>
      <c r="JZU2492" s="60"/>
      <c r="JZV2492" s="60"/>
      <c r="JZW2492" s="60"/>
      <c r="JZX2492" s="60"/>
      <c r="JZY2492" s="59"/>
      <c r="JZZ2492" s="61"/>
      <c r="KAA2492" s="59"/>
      <c r="KAB2492" s="59"/>
      <c r="KAC2492" s="60"/>
      <c r="KAD2492" s="60"/>
      <c r="KAE2492" s="60"/>
      <c r="KAF2492" s="60"/>
      <c r="KAG2492" s="59"/>
      <c r="KAH2492" s="61"/>
      <c r="KAI2492" s="59"/>
      <c r="KAJ2492" s="59"/>
      <c r="KAK2492" s="60"/>
      <c r="KAL2492" s="60"/>
      <c r="KAM2492" s="60"/>
      <c r="KAN2492" s="60"/>
      <c r="KAO2492" s="59"/>
      <c r="KAP2492" s="61"/>
      <c r="KAQ2492" s="59"/>
      <c r="KAR2492" s="59"/>
      <c r="KAS2492" s="60"/>
      <c r="KAT2492" s="60"/>
      <c r="KAU2492" s="60"/>
      <c r="KAV2492" s="60"/>
      <c r="KAW2492" s="59"/>
      <c r="KAX2492" s="61"/>
      <c r="KAY2492" s="59"/>
      <c r="KAZ2492" s="59"/>
      <c r="KBA2492" s="60"/>
      <c r="KBB2492" s="60"/>
      <c r="KBC2492" s="60"/>
      <c r="KBD2492" s="60"/>
      <c r="KBE2492" s="59"/>
      <c r="KBF2492" s="61"/>
      <c r="KBG2492" s="59"/>
      <c r="KBH2492" s="59"/>
      <c r="KBI2492" s="60"/>
      <c r="KBJ2492" s="60"/>
      <c r="KBK2492" s="60"/>
      <c r="KBL2492" s="60"/>
      <c r="KBM2492" s="59"/>
      <c r="KBN2492" s="61"/>
      <c r="KBO2492" s="59"/>
      <c r="KBP2492" s="59"/>
      <c r="KBQ2492" s="60"/>
      <c r="KBR2492" s="60"/>
      <c r="KBS2492" s="60"/>
      <c r="KBT2492" s="60"/>
      <c r="KBU2492" s="59"/>
      <c r="KBV2492" s="61"/>
      <c r="KBW2492" s="59"/>
      <c r="KBX2492" s="59"/>
      <c r="KBY2492" s="60"/>
      <c r="KBZ2492" s="60"/>
      <c r="KCA2492" s="60"/>
      <c r="KCB2492" s="60"/>
      <c r="KCC2492" s="59"/>
      <c r="KCD2492" s="61"/>
      <c r="KCE2492" s="59"/>
      <c r="KCF2492" s="59"/>
      <c r="KCG2492" s="60"/>
      <c r="KCH2492" s="60"/>
      <c r="KCI2492" s="60"/>
      <c r="KCJ2492" s="60"/>
      <c r="KCK2492" s="59"/>
      <c r="KCL2492" s="61"/>
      <c r="KCM2492" s="59"/>
      <c r="KCN2492" s="59"/>
      <c r="KCO2492" s="60"/>
      <c r="KCP2492" s="60"/>
      <c r="KCQ2492" s="60"/>
      <c r="KCR2492" s="60"/>
      <c r="KCS2492" s="59"/>
      <c r="KCT2492" s="61"/>
      <c r="KCU2492" s="59"/>
      <c r="KCV2492" s="59"/>
      <c r="KCW2492" s="60"/>
      <c r="KCX2492" s="60"/>
      <c r="KCY2492" s="60"/>
      <c r="KCZ2492" s="60"/>
      <c r="KDA2492" s="59"/>
      <c r="KDB2492" s="61"/>
      <c r="KDC2492" s="59"/>
      <c r="KDD2492" s="59"/>
      <c r="KDE2492" s="60"/>
      <c r="KDF2492" s="60"/>
      <c r="KDG2492" s="60"/>
      <c r="KDH2492" s="60"/>
      <c r="KDI2492" s="59"/>
      <c r="KDJ2492" s="61"/>
      <c r="KDK2492" s="59"/>
      <c r="KDL2492" s="59"/>
      <c r="KDM2492" s="60"/>
      <c r="KDN2492" s="60"/>
      <c r="KDO2492" s="60"/>
      <c r="KDP2492" s="60"/>
      <c r="KDQ2492" s="59"/>
      <c r="KDR2492" s="61"/>
      <c r="KDS2492" s="59"/>
      <c r="KDT2492" s="59"/>
      <c r="KDU2492" s="60"/>
      <c r="KDV2492" s="60"/>
      <c r="KDW2492" s="60"/>
      <c r="KDX2492" s="60"/>
      <c r="KDY2492" s="59"/>
      <c r="KDZ2492" s="61"/>
      <c r="KEA2492" s="59"/>
      <c r="KEB2492" s="59"/>
      <c r="KEC2492" s="60"/>
      <c r="KED2492" s="60"/>
      <c r="KEE2492" s="60"/>
      <c r="KEF2492" s="60"/>
      <c r="KEG2492" s="59"/>
      <c r="KEH2492" s="61"/>
      <c r="KEI2492" s="59"/>
      <c r="KEJ2492" s="59"/>
      <c r="KEK2492" s="60"/>
      <c r="KEL2492" s="60"/>
      <c r="KEM2492" s="60"/>
      <c r="KEN2492" s="60"/>
      <c r="KEO2492" s="59"/>
      <c r="KEP2492" s="61"/>
      <c r="KEQ2492" s="59"/>
      <c r="KER2492" s="59"/>
      <c r="KES2492" s="60"/>
      <c r="KET2492" s="60"/>
      <c r="KEU2492" s="60"/>
      <c r="KEV2492" s="60"/>
      <c r="KEW2492" s="59"/>
      <c r="KEX2492" s="61"/>
      <c r="KEY2492" s="59"/>
      <c r="KEZ2492" s="59"/>
      <c r="KFA2492" s="60"/>
      <c r="KFB2492" s="60"/>
      <c r="KFC2492" s="60"/>
      <c r="KFD2492" s="60"/>
      <c r="KFE2492" s="59"/>
      <c r="KFF2492" s="61"/>
      <c r="KFG2492" s="59"/>
      <c r="KFH2492" s="59"/>
      <c r="KFI2492" s="60"/>
      <c r="KFJ2492" s="60"/>
      <c r="KFK2492" s="60"/>
      <c r="KFL2492" s="60"/>
      <c r="KFM2492" s="59"/>
      <c r="KFN2492" s="61"/>
      <c r="KFO2492" s="59"/>
      <c r="KFP2492" s="59"/>
      <c r="KFQ2492" s="60"/>
      <c r="KFR2492" s="60"/>
      <c r="KFS2492" s="60"/>
      <c r="KFT2492" s="60"/>
      <c r="KFU2492" s="59"/>
      <c r="KFV2492" s="61"/>
      <c r="KFW2492" s="59"/>
      <c r="KFX2492" s="59"/>
      <c r="KFY2492" s="60"/>
      <c r="KFZ2492" s="60"/>
      <c r="KGA2492" s="60"/>
      <c r="KGB2492" s="60"/>
      <c r="KGC2492" s="59"/>
      <c r="KGD2492" s="61"/>
      <c r="KGE2492" s="59"/>
      <c r="KGF2492" s="59"/>
      <c r="KGG2492" s="60"/>
      <c r="KGH2492" s="60"/>
      <c r="KGI2492" s="60"/>
      <c r="KGJ2492" s="60"/>
      <c r="KGK2492" s="59"/>
      <c r="KGL2492" s="61"/>
      <c r="KGM2492" s="59"/>
      <c r="KGN2492" s="59"/>
      <c r="KGO2492" s="60"/>
      <c r="KGP2492" s="60"/>
      <c r="KGQ2492" s="60"/>
      <c r="KGR2492" s="60"/>
      <c r="KGS2492" s="59"/>
      <c r="KGT2492" s="61"/>
      <c r="KGU2492" s="59"/>
      <c r="KGV2492" s="59"/>
      <c r="KGW2492" s="60"/>
      <c r="KGX2492" s="60"/>
      <c r="KGY2492" s="60"/>
      <c r="KGZ2492" s="60"/>
      <c r="KHA2492" s="59"/>
      <c r="KHB2492" s="61"/>
      <c r="KHC2492" s="59"/>
      <c r="KHD2492" s="59"/>
      <c r="KHE2492" s="60"/>
      <c r="KHF2492" s="60"/>
      <c r="KHG2492" s="60"/>
      <c r="KHH2492" s="60"/>
      <c r="KHI2492" s="59"/>
      <c r="KHJ2492" s="61"/>
      <c r="KHK2492" s="59"/>
      <c r="KHL2492" s="59"/>
      <c r="KHM2492" s="60"/>
      <c r="KHN2492" s="60"/>
      <c r="KHO2492" s="60"/>
      <c r="KHP2492" s="60"/>
      <c r="KHQ2492" s="59"/>
      <c r="KHR2492" s="61"/>
      <c r="KHS2492" s="59"/>
      <c r="KHT2492" s="59"/>
      <c r="KHU2492" s="60"/>
      <c r="KHV2492" s="60"/>
      <c r="KHW2492" s="60"/>
      <c r="KHX2492" s="60"/>
      <c r="KHY2492" s="59"/>
      <c r="KHZ2492" s="61"/>
      <c r="KIA2492" s="59"/>
      <c r="KIB2492" s="59"/>
      <c r="KIC2492" s="60"/>
      <c r="KID2492" s="60"/>
      <c r="KIE2492" s="60"/>
      <c r="KIF2492" s="60"/>
      <c r="KIG2492" s="59"/>
      <c r="KIH2492" s="61"/>
      <c r="KII2492" s="59"/>
      <c r="KIJ2492" s="59"/>
      <c r="KIK2492" s="60"/>
      <c r="KIL2492" s="60"/>
      <c r="KIM2492" s="60"/>
      <c r="KIN2492" s="60"/>
      <c r="KIO2492" s="59"/>
      <c r="KIP2492" s="61"/>
      <c r="KIQ2492" s="59"/>
      <c r="KIR2492" s="59"/>
      <c r="KIS2492" s="60"/>
      <c r="KIT2492" s="60"/>
      <c r="KIU2492" s="60"/>
      <c r="KIV2492" s="60"/>
      <c r="KIW2492" s="59"/>
      <c r="KIX2492" s="61"/>
      <c r="KIY2492" s="59"/>
      <c r="KIZ2492" s="59"/>
      <c r="KJA2492" s="60"/>
      <c r="KJB2492" s="60"/>
      <c r="KJC2492" s="60"/>
      <c r="KJD2492" s="60"/>
      <c r="KJE2492" s="59"/>
      <c r="KJF2492" s="61"/>
      <c r="KJG2492" s="59"/>
      <c r="KJH2492" s="59"/>
      <c r="KJI2492" s="60"/>
      <c r="KJJ2492" s="60"/>
      <c r="KJK2492" s="60"/>
      <c r="KJL2492" s="60"/>
      <c r="KJM2492" s="59"/>
      <c r="KJN2492" s="61"/>
      <c r="KJO2492" s="59"/>
      <c r="KJP2492" s="59"/>
      <c r="KJQ2492" s="60"/>
      <c r="KJR2492" s="60"/>
      <c r="KJS2492" s="60"/>
      <c r="KJT2492" s="60"/>
      <c r="KJU2492" s="59"/>
      <c r="KJV2492" s="61"/>
      <c r="KJW2492" s="59"/>
      <c r="KJX2492" s="59"/>
      <c r="KJY2492" s="60"/>
      <c r="KJZ2492" s="60"/>
      <c r="KKA2492" s="60"/>
      <c r="KKB2492" s="60"/>
      <c r="KKC2492" s="59"/>
      <c r="KKD2492" s="61"/>
      <c r="KKE2492" s="59"/>
      <c r="KKF2492" s="59"/>
      <c r="KKG2492" s="60"/>
      <c r="KKH2492" s="60"/>
      <c r="KKI2492" s="60"/>
      <c r="KKJ2492" s="60"/>
      <c r="KKK2492" s="59"/>
      <c r="KKL2492" s="61"/>
      <c r="KKM2492" s="59"/>
      <c r="KKN2492" s="59"/>
      <c r="KKO2492" s="60"/>
      <c r="KKP2492" s="60"/>
      <c r="KKQ2492" s="60"/>
      <c r="KKR2492" s="60"/>
      <c r="KKS2492" s="59"/>
      <c r="KKT2492" s="61"/>
      <c r="KKU2492" s="59"/>
      <c r="KKV2492" s="59"/>
      <c r="KKW2492" s="60"/>
      <c r="KKX2492" s="60"/>
      <c r="KKY2492" s="60"/>
      <c r="KKZ2492" s="60"/>
      <c r="KLA2492" s="59"/>
      <c r="KLB2492" s="61"/>
      <c r="KLC2492" s="59"/>
      <c r="KLD2492" s="59"/>
      <c r="KLE2492" s="60"/>
      <c r="KLF2492" s="60"/>
      <c r="KLG2492" s="60"/>
      <c r="KLH2492" s="60"/>
      <c r="KLI2492" s="59"/>
      <c r="KLJ2492" s="61"/>
      <c r="KLK2492" s="59"/>
      <c r="KLL2492" s="59"/>
      <c r="KLM2492" s="60"/>
      <c r="KLN2492" s="60"/>
      <c r="KLO2492" s="60"/>
      <c r="KLP2492" s="60"/>
      <c r="KLQ2492" s="59"/>
      <c r="KLR2492" s="61"/>
      <c r="KLS2492" s="59"/>
      <c r="KLT2492" s="59"/>
      <c r="KLU2492" s="60"/>
      <c r="KLV2492" s="60"/>
      <c r="KLW2492" s="60"/>
      <c r="KLX2492" s="60"/>
      <c r="KLY2492" s="59"/>
      <c r="KLZ2492" s="61"/>
      <c r="KMA2492" s="59"/>
      <c r="KMB2492" s="59"/>
      <c r="KMC2492" s="60"/>
      <c r="KMD2492" s="60"/>
      <c r="KME2492" s="60"/>
      <c r="KMF2492" s="60"/>
      <c r="KMG2492" s="59"/>
      <c r="KMH2492" s="61"/>
      <c r="KMI2492" s="59"/>
      <c r="KMJ2492" s="59"/>
      <c r="KMK2492" s="60"/>
      <c r="KML2492" s="60"/>
      <c r="KMM2492" s="60"/>
      <c r="KMN2492" s="60"/>
      <c r="KMO2492" s="59"/>
      <c r="KMP2492" s="61"/>
      <c r="KMQ2492" s="59"/>
      <c r="KMR2492" s="59"/>
      <c r="KMS2492" s="60"/>
      <c r="KMT2492" s="60"/>
      <c r="KMU2492" s="60"/>
      <c r="KMV2492" s="60"/>
      <c r="KMW2492" s="59"/>
      <c r="KMX2492" s="61"/>
      <c r="KMY2492" s="59"/>
      <c r="KMZ2492" s="59"/>
      <c r="KNA2492" s="60"/>
      <c r="KNB2492" s="60"/>
      <c r="KNC2492" s="60"/>
      <c r="KND2492" s="60"/>
      <c r="KNE2492" s="59"/>
      <c r="KNF2492" s="61"/>
      <c r="KNG2492" s="59"/>
      <c r="KNH2492" s="59"/>
      <c r="KNI2492" s="60"/>
      <c r="KNJ2492" s="60"/>
      <c r="KNK2492" s="60"/>
      <c r="KNL2492" s="60"/>
      <c r="KNM2492" s="59"/>
      <c r="KNN2492" s="61"/>
      <c r="KNO2492" s="59"/>
      <c r="KNP2492" s="59"/>
      <c r="KNQ2492" s="60"/>
      <c r="KNR2492" s="60"/>
      <c r="KNS2492" s="60"/>
      <c r="KNT2492" s="60"/>
      <c r="KNU2492" s="59"/>
      <c r="KNV2492" s="61"/>
      <c r="KNW2492" s="59"/>
      <c r="KNX2492" s="59"/>
      <c r="KNY2492" s="60"/>
      <c r="KNZ2492" s="60"/>
      <c r="KOA2492" s="60"/>
      <c r="KOB2492" s="60"/>
      <c r="KOC2492" s="59"/>
      <c r="KOD2492" s="61"/>
      <c r="KOE2492" s="59"/>
      <c r="KOF2492" s="59"/>
      <c r="KOG2492" s="60"/>
      <c r="KOH2492" s="60"/>
      <c r="KOI2492" s="60"/>
      <c r="KOJ2492" s="60"/>
      <c r="KOK2492" s="59"/>
      <c r="KOL2492" s="61"/>
      <c r="KOM2492" s="59"/>
      <c r="KON2492" s="59"/>
      <c r="KOO2492" s="60"/>
      <c r="KOP2492" s="60"/>
      <c r="KOQ2492" s="60"/>
      <c r="KOR2492" s="60"/>
      <c r="KOS2492" s="59"/>
      <c r="KOT2492" s="61"/>
      <c r="KOU2492" s="59"/>
      <c r="KOV2492" s="59"/>
      <c r="KOW2492" s="60"/>
      <c r="KOX2492" s="60"/>
      <c r="KOY2492" s="60"/>
      <c r="KOZ2492" s="60"/>
      <c r="KPA2492" s="59"/>
      <c r="KPB2492" s="61"/>
      <c r="KPC2492" s="59"/>
      <c r="KPD2492" s="59"/>
      <c r="KPE2492" s="60"/>
      <c r="KPF2492" s="60"/>
      <c r="KPG2492" s="60"/>
      <c r="KPH2492" s="60"/>
      <c r="KPI2492" s="59"/>
      <c r="KPJ2492" s="61"/>
      <c r="KPK2492" s="59"/>
      <c r="KPL2492" s="59"/>
      <c r="KPM2492" s="60"/>
      <c r="KPN2492" s="60"/>
      <c r="KPO2492" s="60"/>
      <c r="KPP2492" s="60"/>
      <c r="KPQ2492" s="59"/>
      <c r="KPR2492" s="61"/>
      <c r="KPS2492" s="59"/>
      <c r="KPT2492" s="59"/>
      <c r="KPU2492" s="60"/>
      <c r="KPV2492" s="60"/>
      <c r="KPW2492" s="60"/>
      <c r="KPX2492" s="60"/>
      <c r="KPY2492" s="59"/>
      <c r="KPZ2492" s="61"/>
      <c r="KQA2492" s="59"/>
      <c r="KQB2492" s="59"/>
      <c r="KQC2492" s="60"/>
      <c r="KQD2492" s="60"/>
      <c r="KQE2492" s="60"/>
      <c r="KQF2492" s="60"/>
      <c r="KQG2492" s="59"/>
      <c r="KQH2492" s="61"/>
      <c r="KQI2492" s="59"/>
      <c r="KQJ2492" s="59"/>
      <c r="KQK2492" s="60"/>
      <c r="KQL2492" s="60"/>
      <c r="KQM2492" s="60"/>
      <c r="KQN2492" s="60"/>
      <c r="KQO2492" s="59"/>
      <c r="KQP2492" s="61"/>
      <c r="KQQ2492" s="59"/>
      <c r="KQR2492" s="59"/>
      <c r="KQS2492" s="60"/>
      <c r="KQT2492" s="60"/>
      <c r="KQU2492" s="60"/>
      <c r="KQV2492" s="60"/>
      <c r="KQW2492" s="59"/>
      <c r="KQX2492" s="61"/>
      <c r="KQY2492" s="59"/>
      <c r="KQZ2492" s="59"/>
      <c r="KRA2492" s="60"/>
      <c r="KRB2492" s="60"/>
      <c r="KRC2492" s="60"/>
      <c r="KRD2492" s="60"/>
      <c r="KRE2492" s="59"/>
      <c r="KRF2492" s="61"/>
      <c r="KRG2492" s="59"/>
      <c r="KRH2492" s="59"/>
      <c r="KRI2492" s="60"/>
      <c r="KRJ2492" s="60"/>
      <c r="KRK2492" s="60"/>
      <c r="KRL2492" s="60"/>
      <c r="KRM2492" s="59"/>
      <c r="KRN2492" s="61"/>
      <c r="KRO2492" s="59"/>
      <c r="KRP2492" s="59"/>
      <c r="KRQ2492" s="60"/>
      <c r="KRR2492" s="60"/>
      <c r="KRS2492" s="60"/>
      <c r="KRT2492" s="60"/>
      <c r="KRU2492" s="59"/>
      <c r="KRV2492" s="61"/>
      <c r="KRW2492" s="59"/>
      <c r="KRX2492" s="59"/>
      <c r="KRY2492" s="60"/>
      <c r="KRZ2492" s="60"/>
      <c r="KSA2492" s="60"/>
      <c r="KSB2492" s="60"/>
      <c r="KSC2492" s="59"/>
      <c r="KSD2492" s="61"/>
      <c r="KSE2492" s="59"/>
      <c r="KSF2492" s="59"/>
      <c r="KSG2492" s="60"/>
      <c r="KSH2492" s="60"/>
      <c r="KSI2492" s="60"/>
      <c r="KSJ2492" s="60"/>
      <c r="KSK2492" s="59"/>
      <c r="KSL2492" s="61"/>
      <c r="KSM2492" s="59"/>
      <c r="KSN2492" s="59"/>
      <c r="KSO2492" s="60"/>
      <c r="KSP2492" s="60"/>
      <c r="KSQ2492" s="60"/>
      <c r="KSR2492" s="60"/>
      <c r="KSS2492" s="59"/>
      <c r="KST2492" s="61"/>
      <c r="KSU2492" s="59"/>
      <c r="KSV2492" s="59"/>
      <c r="KSW2492" s="60"/>
      <c r="KSX2492" s="60"/>
      <c r="KSY2492" s="60"/>
      <c r="KSZ2492" s="60"/>
      <c r="KTA2492" s="59"/>
      <c r="KTB2492" s="61"/>
      <c r="KTC2492" s="59"/>
      <c r="KTD2492" s="59"/>
      <c r="KTE2492" s="60"/>
      <c r="KTF2492" s="60"/>
      <c r="KTG2492" s="60"/>
      <c r="KTH2492" s="60"/>
      <c r="KTI2492" s="59"/>
      <c r="KTJ2492" s="61"/>
      <c r="KTK2492" s="59"/>
      <c r="KTL2492" s="59"/>
      <c r="KTM2492" s="60"/>
      <c r="KTN2492" s="60"/>
      <c r="KTO2492" s="60"/>
      <c r="KTP2492" s="60"/>
      <c r="KTQ2492" s="59"/>
      <c r="KTR2492" s="61"/>
      <c r="KTS2492" s="59"/>
      <c r="KTT2492" s="59"/>
      <c r="KTU2492" s="60"/>
      <c r="KTV2492" s="60"/>
      <c r="KTW2492" s="60"/>
      <c r="KTX2492" s="60"/>
      <c r="KTY2492" s="59"/>
      <c r="KTZ2492" s="61"/>
      <c r="KUA2492" s="59"/>
      <c r="KUB2492" s="59"/>
      <c r="KUC2492" s="60"/>
      <c r="KUD2492" s="60"/>
      <c r="KUE2492" s="60"/>
      <c r="KUF2492" s="60"/>
      <c r="KUG2492" s="59"/>
      <c r="KUH2492" s="61"/>
      <c r="KUI2492" s="59"/>
      <c r="KUJ2492" s="59"/>
      <c r="KUK2492" s="60"/>
      <c r="KUL2492" s="60"/>
      <c r="KUM2492" s="60"/>
      <c r="KUN2492" s="60"/>
      <c r="KUO2492" s="59"/>
      <c r="KUP2492" s="61"/>
      <c r="KUQ2492" s="59"/>
      <c r="KUR2492" s="59"/>
      <c r="KUS2492" s="60"/>
      <c r="KUT2492" s="60"/>
      <c r="KUU2492" s="60"/>
      <c r="KUV2492" s="60"/>
      <c r="KUW2492" s="59"/>
      <c r="KUX2492" s="61"/>
      <c r="KUY2492" s="59"/>
      <c r="KUZ2492" s="59"/>
      <c r="KVA2492" s="60"/>
      <c r="KVB2492" s="60"/>
      <c r="KVC2492" s="60"/>
      <c r="KVD2492" s="60"/>
      <c r="KVE2492" s="59"/>
      <c r="KVF2492" s="61"/>
      <c r="KVG2492" s="59"/>
      <c r="KVH2492" s="59"/>
      <c r="KVI2492" s="60"/>
      <c r="KVJ2492" s="60"/>
      <c r="KVK2492" s="60"/>
      <c r="KVL2492" s="60"/>
      <c r="KVM2492" s="59"/>
      <c r="KVN2492" s="61"/>
      <c r="KVO2492" s="59"/>
      <c r="KVP2492" s="59"/>
      <c r="KVQ2492" s="60"/>
      <c r="KVR2492" s="60"/>
      <c r="KVS2492" s="60"/>
      <c r="KVT2492" s="60"/>
      <c r="KVU2492" s="59"/>
      <c r="KVV2492" s="61"/>
      <c r="KVW2492" s="59"/>
      <c r="KVX2492" s="59"/>
      <c r="KVY2492" s="60"/>
      <c r="KVZ2492" s="60"/>
      <c r="KWA2492" s="60"/>
      <c r="KWB2492" s="60"/>
      <c r="KWC2492" s="59"/>
      <c r="KWD2492" s="61"/>
      <c r="KWE2492" s="59"/>
      <c r="KWF2492" s="59"/>
      <c r="KWG2492" s="60"/>
      <c r="KWH2492" s="60"/>
      <c r="KWI2492" s="60"/>
      <c r="KWJ2492" s="60"/>
      <c r="KWK2492" s="59"/>
      <c r="KWL2492" s="61"/>
      <c r="KWM2492" s="59"/>
      <c r="KWN2492" s="59"/>
      <c r="KWO2492" s="60"/>
      <c r="KWP2492" s="60"/>
      <c r="KWQ2492" s="60"/>
      <c r="KWR2492" s="60"/>
      <c r="KWS2492" s="59"/>
      <c r="KWT2492" s="61"/>
      <c r="KWU2492" s="59"/>
      <c r="KWV2492" s="59"/>
      <c r="KWW2492" s="60"/>
      <c r="KWX2492" s="60"/>
      <c r="KWY2492" s="60"/>
      <c r="KWZ2492" s="60"/>
      <c r="KXA2492" s="59"/>
      <c r="KXB2492" s="61"/>
      <c r="KXC2492" s="59"/>
      <c r="KXD2492" s="59"/>
      <c r="KXE2492" s="60"/>
      <c r="KXF2492" s="60"/>
      <c r="KXG2492" s="60"/>
      <c r="KXH2492" s="60"/>
      <c r="KXI2492" s="59"/>
      <c r="KXJ2492" s="61"/>
      <c r="KXK2492" s="59"/>
      <c r="KXL2492" s="59"/>
      <c r="KXM2492" s="60"/>
      <c r="KXN2492" s="60"/>
      <c r="KXO2492" s="60"/>
      <c r="KXP2492" s="60"/>
      <c r="KXQ2492" s="59"/>
      <c r="KXR2492" s="61"/>
      <c r="KXS2492" s="59"/>
      <c r="KXT2492" s="59"/>
      <c r="KXU2492" s="60"/>
      <c r="KXV2492" s="60"/>
      <c r="KXW2492" s="60"/>
      <c r="KXX2492" s="60"/>
      <c r="KXY2492" s="59"/>
      <c r="KXZ2492" s="61"/>
      <c r="KYA2492" s="59"/>
      <c r="KYB2492" s="59"/>
      <c r="KYC2492" s="60"/>
      <c r="KYD2492" s="60"/>
      <c r="KYE2492" s="60"/>
      <c r="KYF2492" s="60"/>
      <c r="KYG2492" s="59"/>
      <c r="KYH2492" s="61"/>
      <c r="KYI2492" s="59"/>
      <c r="KYJ2492" s="59"/>
      <c r="KYK2492" s="60"/>
      <c r="KYL2492" s="60"/>
      <c r="KYM2492" s="60"/>
      <c r="KYN2492" s="60"/>
      <c r="KYO2492" s="59"/>
      <c r="KYP2492" s="61"/>
      <c r="KYQ2492" s="59"/>
      <c r="KYR2492" s="59"/>
      <c r="KYS2492" s="60"/>
      <c r="KYT2492" s="60"/>
      <c r="KYU2492" s="60"/>
      <c r="KYV2492" s="60"/>
      <c r="KYW2492" s="59"/>
      <c r="KYX2492" s="61"/>
      <c r="KYY2492" s="59"/>
      <c r="KYZ2492" s="59"/>
      <c r="KZA2492" s="60"/>
      <c r="KZB2492" s="60"/>
      <c r="KZC2492" s="60"/>
      <c r="KZD2492" s="60"/>
      <c r="KZE2492" s="59"/>
      <c r="KZF2492" s="61"/>
      <c r="KZG2492" s="59"/>
      <c r="KZH2492" s="59"/>
      <c r="KZI2492" s="60"/>
      <c r="KZJ2492" s="60"/>
      <c r="KZK2492" s="60"/>
      <c r="KZL2492" s="60"/>
      <c r="KZM2492" s="59"/>
      <c r="KZN2492" s="61"/>
      <c r="KZO2492" s="59"/>
      <c r="KZP2492" s="59"/>
      <c r="KZQ2492" s="60"/>
      <c r="KZR2492" s="60"/>
      <c r="KZS2492" s="60"/>
      <c r="KZT2492" s="60"/>
      <c r="KZU2492" s="59"/>
      <c r="KZV2492" s="61"/>
      <c r="KZW2492" s="59"/>
      <c r="KZX2492" s="59"/>
      <c r="KZY2492" s="60"/>
      <c r="KZZ2492" s="60"/>
      <c r="LAA2492" s="60"/>
      <c r="LAB2492" s="60"/>
      <c r="LAC2492" s="59"/>
      <c r="LAD2492" s="61"/>
      <c r="LAE2492" s="59"/>
      <c r="LAF2492" s="59"/>
      <c r="LAG2492" s="60"/>
      <c r="LAH2492" s="60"/>
      <c r="LAI2492" s="60"/>
      <c r="LAJ2492" s="60"/>
      <c r="LAK2492" s="59"/>
      <c r="LAL2492" s="61"/>
      <c r="LAM2492" s="59"/>
      <c r="LAN2492" s="59"/>
      <c r="LAO2492" s="60"/>
      <c r="LAP2492" s="60"/>
      <c r="LAQ2492" s="60"/>
      <c r="LAR2492" s="60"/>
      <c r="LAS2492" s="59"/>
      <c r="LAT2492" s="61"/>
      <c r="LAU2492" s="59"/>
      <c r="LAV2492" s="59"/>
      <c r="LAW2492" s="60"/>
      <c r="LAX2492" s="60"/>
      <c r="LAY2492" s="60"/>
      <c r="LAZ2492" s="60"/>
      <c r="LBA2492" s="59"/>
      <c r="LBB2492" s="61"/>
      <c r="LBC2492" s="59"/>
      <c r="LBD2492" s="59"/>
      <c r="LBE2492" s="60"/>
      <c r="LBF2492" s="60"/>
      <c r="LBG2492" s="60"/>
      <c r="LBH2492" s="60"/>
      <c r="LBI2492" s="59"/>
      <c r="LBJ2492" s="61"/>
      <c r="LBK2492" s="59"/>
      <c r="LBL2492" s="59"/>
      <c r="LBM2492" s="60"/>
      <c r="LBN2492" s="60"/>
      <c r="LBO2492" s="60"/>
      <c r="LBP2492" s="60"/>
      <c r="LBQ2492" s="59"/>
      <c r="LBR2492" s="61"/>
      <c r="LBS2492" s="59"/>
      <c r="LBT2492" s="59"/>
      <c r="LBU2492" s="60"/>
      <c r="LBV2492" s="60"/>
      <c r="LBW2492" s="60"/>
      <c r="LBX2492" s="60"/>
      <c r="LBY2492" s="59"/>
      <c r="LBZ2492" s="61"/>
      <c r="LCA2492" s="59"/>
      <c r="LCB2492" s="59"/>
      <c r="LCC2492" s="60"/>
      <c r="LCD2492" s="60"/>
      <c r="LCE2492" s="60"/>
      <c r="LCF2492" s="60"/>
      <c r="LCG2492" s="59"/>
      <c r="LCH2492" s="61"/>
      <c r="LCI2492" s="59"/>
      <c r="LCJ2492" s="59"/>
      <c r="LCK2492" s="60"/>
      <c r="LCL2492" s="60"/>
      <c r="LCM2492" s="60"/>
      <c r="LCN2492" s="60"/>
      <c r="LCO2492" s="59"/>
      <c r="LCP2492" s="61"/>
      <c r="LCQ2492" s="59"/>
      <c r="LCR2492" s="59"/>
      <c r="LCS2492" s="60"/>
      <c r="LCT2492" s="60"/>
      <c r="LCU2492" s="60"/>
      <c r="LCV2492" s="60"/>
      <c r="LCW2492" s="59"/>
      <c r="LCX2492" s="61"/>
      <c r="LCY2492" s="59"/>
      <c r="LCZ2492" s="59"/>
      <c r="LDA2492" s="60"/>
      <c r="LDB2492" s="60"/>
      <c r="LDC2492" s="60"/>
      <c r="LDD2492" s="60"/>
      <c r="LDE2492" s="59"/>
      <c r="LDF2492" s="61"/>
      <c r="LDG2492" s="59"/>
      <c r="LDH2492" s="59"/>
      <c r="LDI2492" s="60"/>
      <c r="LDJ2492" s="60"/>
      <c r="LDK2492" s="60"/>
      <c r="LDL2492" s="60"/>
      <c r="LDM2492" s="59"/>
      <c r="LDN2492" s="61"/>
      <c r="LDO2492" s="59"/>
      <c r="LDP2492" s="59"/>
      <c r="LDQ2492" s="60"/>
      <c r="LDR2492" s="60"/>
      <c r="LDS2492" s="60"/>
      <c r="LDT2492" s="60"/>
      <c r="LDU2492" s="59"/>
      <c r="LDV2492" s="61"/>
      <c r="LDW2492" s="59"/>
      <c r="LDX2492" s="59"/>
      <c r="LDY2492" s="60"/>
      <c r="LDZ2492" s="60"/>
      <c r="LEA2492" s="60"/>
      <c r="LEB2492" s="60"/>
      <c r="LEC2492" s="59"/>
      <c r="LED2492" s="61"/>
      <c r="LEE2492" s="59"/>
      <c r="LEF2492" s="59"/>
      <c r="LEG2492" s="60"/>
      <c r="LEH2492" s="60"/>
      <c r="LEI2492" s="60"/>
      <c r="LEJ2492" s="60"/>
      <c r="LEK2492" s="59"/>
      <c r="LEL2492" s="61"/>
      <c r="LEM2492" s="59"/>
      <c r="LEN2492" s="59"/>
      <c r="LEO2492" s="60"/>
      <c r="LEP2492" s="60"/>
      <c r="LEQ2492" s="60"/>
      <c r="LER2492" s="60"/>
      <c r="LES2492" s="59"/>
      <c r="LET2492" s="61"/>
      <c r="LEU2492" s="59"/>
      <c r="LEV2492" s="59"/>
      <c r="LEW2492" s="60"/>
      <c r="LEX2492" s="60"/>
      <c r="LEY2492" s="60"/>
      <c r="LEZ2492" s="60"/>
      <c r="LFA2492" s="59"/>
      <c r="LFB2492" s="61"/>
      <c r="LFC2492" s="59"/>
      <c r="LFD2492" s="59"/>
      <c r="LFE2492" s="60"/>
      <c r="LFF2492" s="60"/>
      <c r="LFG2492" s="60"/>
      <c r="LFH2492" s="60"/>
      <c r="LFI2492" s="59"/>
      <c r="LFJ2492" s="61"/>
      <c r="LFK2492" s="59"/>
      <c r="LFL2492" s="59"/>
      <c r="LFM2492" s="60"/>
      <c r="LFN2492" s="60"/>
      <c r="LFO2492" s="60"/>
      <c r="LFP2492" s="60"/>
      <c r="LFQ2492" s="59"/>
      <c r="LFR2492" s="61"/>
      <c r="LFS2492" s="59"/>
      <c r="LFT2492" s="59"/>
      <c r="LFU2492" s="60"/>
      <c r="LFV2492" s="60"/>
      <c r="LFW2492" s="60"/>
      <c r="LFX2492" s="60"/>
      <c r="LFY2492" s="59"/>
      <c r="LFZ2492" s="61"/>
      <c r="LGA2492" s="59"/>
      <c r="LGB2492" s="59"/>
      <c r="LGC2492" s="60"/>
      <c r="LGD2492" s="60"/>
      <c r="LGE2492" s="60"/>
      <c r="LGF2492" s="60"/>
      <c r="LGG2492" s="59"/>
      <c r="LGH2492" s="61"/>
      <c r="LGI2492" s="59"/>
      <c r="LGJ2492" s="59"/>
      <c r="LGK2492" s="60"/>
      <c r="LGL2492" s="60"/>
      <c r="LGM2492" s="60"/>
      <c r="LGN2492" s="60"/>
      <c r="LGO2492" s="59"/>
      <c r="LGP2492" s="61"/>
      <c r="LGQ2492" s="59"/>
      <c r="LGR2492" s="59"/>
      <c r="LGS2492" s="60"/>
      <c r="LGT2492" s="60"/>
      <c r="LGU2492" s="60"/>
      <c r="LGV2492" s="60"/>
      <c r="LGW2492" s="59"/>
      <c r="LGX2492" s="61"/>
      <c r="LGY2492" s="59"/>
      <c r="LGZ2492" s="59"/>
      <c r="LHA2492" s="60"/>
      <c r="LHB2492" s="60"/>
      <c r="LHC2492" s="60"/>
      <c r="LHD2492" s="60"/>
      <c r="LHE2492" s="59"/>
      <c r="LHF2492" s="61"/>
      <c r="LHG2492" s="59"/>
      <c r="LHH2492" s="59"/>
      <c r="LHI2492" s="60"/>
      <c r="LHJ2492" s="60"/>
      <c r="LHK2492" s="60"/>
      <c r="LHL2492" s="60"/>
      <c r="LHM2492" s="59"/>
      <c r="LHN2492" s="61"/>
      <c r="LHO2492" s="59"/>
      <c r="LHP2492" s="59"/>
      <c r="LHQ2492" s="60"/>
      <c r="LHR2492" s="60"/>
      <c r="LHS2492" s="60"/>
      <c r="LHT2492" s="60"/>
      <c r="LHU2492" s="59"/>
      <c r="LHV2492" s="61"/>
      <c r="LHW2492" s="59"/>
      <c r="LHX2492" s="59"/>
      <c r="LHY2492" s="60"/>
      <c r="LHZ2492" s="60"/>
      <c r="LIA2492" s="60"/>
      <c r="LIB2492" s="60"/>
      <c r="LIC2492" s="59"/>
      <c r="LID2492" s="61"/>
      <c r="LIE2492" s="59"/>
      <c r="LIF2492" s="59"/>
      <c r="LIG2492" s="60"/>
      <c r="LIH2492" s="60"/>
      <c r="LII2492" s="60"/>
      <c r="LIJ2492" s="60"/>
      <c r="LIK2492" s="59"/>
      <c r="LIL2492" s="61"/>
      <c r="LIM2492" s="59"/>
      <c r="LIN2492" s="59"/>
      <c r="LIO2492" s="60"/>
      <c r="LIP2492" s="60"/>
      <c r="LIQ2492" s="60"/>
      <c r="LIR2492" s="60"/>
      <c r="LIS2492" s="59"/>
      <c r="LIT2492" s="61"/>
      <c r="LIU2492" s="59"/>
      <c r="LIV2492" s="59"/>
      <c r="LIW2492" s="60"/>
      <c r="LIX2492" s="60"/>
      <c r="LIY2492" s="60"/>
      <c r="LIZ2492" s="60"/>
      <c r="LJA2492" s="59"/>
      <c r="LJB2492" s="61"/>
      <c r="LJC2492" s="59"/>
      <c r="LJD2492" s="59"/>
      <c r="LJE2492" s="60"/>
      <c r="LJF2492" s="60"/>
      <c r="LJG2492" s="60"/>
      <c r="LJH2492" s="60"/>
      <c r="LJI2492" s="59"/>
      <c r="LJJ2492" s="61"/>
      <c r="LJK2492" s="59"/>
      <c r="LJL2492" s="59"/>
      <c r="LJM2492" s="60"/>
      <c r="LJN2492" s="60"/>
      <c r="LJO2492" s="60"/>
      <c r="LJP2492" s="60"/>
      <c r="LJQ2492" s="59"/>
      <c r="LJR2492" s="61"/>
      <c r="LJS2492" s="59"/>
      <c r="LJT2492" s="59"/>
      <c r="LJU2492" s="60"/>
      <c r="LJV2492" s="60"/>
      <c r="LJW2492" s="60"/>
      <c r="LJX2492" s="60"/>
      <c r="LJY2492" s="59"/>
      <c r="LJZ2492" s="61"/>
      <c r="LKA2492" s="59"/>
      <c r="LKB2492" s="59"/>
      <c r="LKC2492" s="60"/>
      <c r="LKD2492" s="60"/>
      <c r="LKE2492" s="60"/>
      <c r="LKF2492" s="60"/>
      <c r="LKG2492" s="59"/>
      <c r="LKH2492" s="61"/>
      <c r="LKI2492" s="59"/>
      <c r="LKJ2492" s="59"/>
      <c r="LKK2492" s="60"/>
      <c r="LKL2492" s="60"/>
      <c r="LKM2492" s="60"/>
      <c r="LKN2492" s="60"/>
      <c r="LKO2492" s="59"/>
      <c r="LKP2492" s="61"/>
      <c r="LKQ2492" s="59"/>
      <c r="LKR2492" s="59"/>
      <c r="LKS2492" s="60"/>
      <c r="LKT2492" s="60"/>
      <c r="LKU2492" s="60"/>
      <c r="LKV2492" s="60"/>
      <c r="LKW2492" s="59"/>
      <c r="LKX2492" s="61"/>
      <c r="LKY2492" s="59"/>
      <c r="LKZ2492" s="59"/>
      <c r="LLA2492" s="60"/>
      <c r="LLB2492" s="60"/>
      <c r="LLC2492" s="60"/>
      <c r="LLD2492" s="60"/>
      <c r="LLE2492" s="59"/>
      <c r="LLF2492" s="61"/>
      <c r="LLG2492" s="59"/>
      <c r="LLH2492" s="59"/>
      <c r="LLI2492" s="60"/>
      <c r="LLJ2492" s="60"/>
      <c r="LLK2492" s="60"/>
      <c r="LLL2492" s="60"/>
      <c r="LLM2492" s="59"/>
      <c r="LLN2492" s="61"/>
      <c r="LLO2492" s="59"/>
      <c r="LLP2492" s="59"/>
      <c r="LLQ2492" s="60"/>
      <c r="LLR2492" s="60"/>
      <c r="LLS2492" s="60"/>
      <c r="LLT2492" s="60"/>
      <c r="LLU2492" s="59"/>
      <c r="LLV2492" s="61"/>
      <c r="LLW2492" s="59"/>
      <c r="LLX2492" s="59"/>
      <c r="LLY2492" s="60"/>
      <c r="LLZ2492" s="60"/>
      <c r="LMA2492" s="60"/>
      <c r="LMB2492" s="60"/>
      <c r="LMC2492" s="59"/>
      <c r="LMD2492" s="61"/>
      <c r="LME2492" s="59"/>
      <c r="LMF2492" s="59"/>
      <c r="LMG2492" s="60"/>
      <c r="LMH2492" s="60"/>
      <c r="LMI2492" s="60"/>
      <c r="LMJ2492" s="60"/>
      <c r="LMK2492" s="59"/>
      <c r="LML2492" s="61"/>
      <c r="LMM2492" s="59"/>
      <c r="LMN2492" s="59"/>
      <c r="LMO2492" s="60"/>
      <c r="LMP2492" s="60"/>
      <c r="LMQ2492" s="60"/>
      <c r="LMR2492" s="60"/>
      <c r="LMS2492" s="59"/>
      <c r="LMT2492" s="61"/>
      <c r="LMU2492" s="59"/>
      <c r="LMV2492" s="59"/>
      <c r="LMW2492" s="60"/>
      <c r="LMX2492" s="60"/>
      <c r="LMY2492" s="60"/>
      <c r="LMZ2492" s="60"/>
      <c r="LNA2492" s="59"/>
      <c r="LNB2492" s="61"/>
      <c r="LNC2492" s="59"/>
      <c r="LND2492" s="59"/>
      <c r="LNE2492" s="60"/>
      <c r="LNF2492" s="60"/>
      <c r="LNG2492" s="60"/>
      <c r="LNH2492" s="60"/>
      <c r="LNI2492" s="59"/>
      <c r="LNJ2492" s="61"/>
      <c r="LNK2492" s="59"/>
      <c r="LNL2492" s="59"/>
      <c r="LNM2492" s="60"/>
      <c r="LNN2492" s="60"/>
      <c r="LNO2492" s="60"/>
      <c r="LNP2492" s="60"/>
      <c r="LNQ2492" s="59"/>
      <c r="LNR2492" s="61"/>
      <c r="LNS2492" s="59"/>
      <c r="LNT2492" s="59"/>
      <c r="LNU2492" s="60"/>
      <c r="LNV2492" s="60"/>
      <c r="LNW2492" s="60"/>
      <c r="LNX2492" s="60"/>
      <c r="LNY2492" s="59"/>
      <c r="LNZ2492" s="61"/>
      <c r="LOA2492" s="59"/>
      <c r="LOB2492" s="59"/>
      <c r="LOC2492" s="60"/>
      <c r="LOD2492" s="60"/>
      <c r="LOE2492" s="60"/>
      <c r="LOF2492" s="60"/>
      <c r="LOG2492" s="59"/>
      <c r="LOH2492" s="61"/>
      <c r="LOI2492" s="59"/>
      <c r="LOJ2492" s="59"/>
      <c r="LOK2492" s="60"/>
      <c r="LOL2492" s="60"/>
      <c r="LOM2492" s="60"/>
      <c r="LON2492" s="60"/>
      <c r="LOO2492" s="59"/>
      <c r="LOP2492" s="61"/>
      <c r="LOQ2492" s="59"/>
      <c r="LOR2492" s="59"/>
      <c r="LOS2492" s="60"/>
      <c r="LOT2492" s="60"/>
      <c r="LOU2492" s="60"/>
      <c r="LOV2492" s="60"/>
      <c r="LOW2492" s="59"/>
      <c r="LOX2492" s="61"/>
      <c r="LOY2492" s="59"/>
      <c r="LOZ2492" s="59"/>
      <c r="LPA2492" s="60"/>
      <c r="LPB2492" s="60"/>
      <c r="LPC2492" s="60"/>
      <c r="LPD2492" s="60"/>
      <c r="LPE2492" s="59"/>
      <c r="LPF2492" s="61"/>
      <c r="LPG2492" s="59"/>
      <c r="LPH2492" s="59"/>
      <c r="LPI2492" s="60"/>
      <c r="LPJ2492" s="60"/>
      <c r="LPK2492" s="60"/>
      <c r="LPL2492" s="60"/>
      <c r="LPM2492" s="59"/>
      <c r="LPN2492" s="61"/>
      <c r="LPO2492" s="59"/>
      <c r="LPP2492" s="59"/>
      <c r="LPQ2492" s="60"/>
      <c r="LPR2492" s="60"/>
      <c r="LPS2492" s="60"/>
      <c r="LPT2492" s="60"/>
      <c r="LPU2492" s="59"/>
      <c r="LPV2492" s="61"/>
      <c r="LPW2492" s="59"/>
      <c r="LPX2492" s="59"/>
      <c r="LPY2492" s="60"/>
      <c r="LPZ2492" s="60"/>
      <c r="LQA2492" s="60"/>
      <c r="LQB2492" s="60"/>
      <c r="LQC2492" s="59"/>
      <c r="LQD2492" s="61"/>
      <c r="LQE2492" s="59"/>
      <c r="LQF2492" s="59"/>
      <c r="LQG2492" s="60"/>
      <c r="LQH2492" s="60"/>
      <c r="LQI2492" s="60"/>
      <c r="LQJ2492" s="60"/>
      <c r="LQK2492" s="59"/>
      <c r="LQL2492" s="61"/>
      <c r="LQM2492" s="59"/>
      <c r="LQN2492" s="59"/>
      <c r="LQO2492" s="60"/>
      <c r="LQP2492" s="60"/>
      <c r="LQQ2492" s="60"/>
      <c r="LQR2492" s="60"/>
      <c r="LQS2492" s="59"/>
      <c r="LQT2492" s="61"/>
      <c r="LQU2492" s="59"/>
      <c r="LQV2492" s="59"/>
      <c r="LQW2492" s="60"/>
      <c r="LQX2492" s="60"/>
      <c r="LQY2492" s="60"/>
      <c r="LQZ2492" s="60"/>
      <c r="LRA2492" s="59"/>
      <c r="LRB2492" s="61"/>
      <c r="LRC2492" s="59"/>
      <c r="LRD2492" s="59"/>
      <c r="LRE2492" s="60"/>
      <c r="LRF2492" s="60"/>
      <c r="LRG2492" s="60"/>
      <c r="LRH2492" s="60"/>
      <c r="LRI2492" s="59"/>
      <c r="LRJ2492" s="61"/>
      <c r="LRK2492" s="59"/>
      <c r="LRL2492" s="59"/>
      <c r="LRM2492" s="60"/>
      <c r="LRN2492" s="60"/>
      <c r="LRO2492" s="60"/>
      <c r="LRP2492" s="60"/>
      <c r="LRQ2492" s="59"/>
      <c r="LRR2492" s="61"/>
      <c r="LRS2492" s="59"/>
      <c r="LRT2492" s="59"/>
      <c r="LRU2492" s="60"/>
      <c r="LRV2492" s="60"/>
      <c r="LRW2492" s="60"/>
      <c r="LRX2492" s="60"/>
      <c r="LRY2492" s="59"/>
      <c r="LRZ2492" s="61"/>
      <c r="LSA2492" s="59"/>
      <c r="LSB2492" s="59"/>
      <c r="LSC2492" s="60"/>
      <c r="LSD2492" s="60"/>
      <c r="LSE2492" s="60"/>
      <c r="LSF2492" s="60"/>
      <c r="LSG2492" s="59"/>
      <c r="LSH2492" s="61"/>
      <c r="LSI2492" s="59"/>
      <c r="LSJ2492" s="59"/>
      <c r="LSK2492" s="60"/>
      <c r="LSL2492" s="60"/>
      <c r="LSM2492" s="60"/>
      <c r="LSN2492" s="60"/>
      <c r="LSO2492" s="59"/>
      <c r="LSP2492" s="61"/>
      <c r="LSQ2492" s="59"/>
      <c r="LSR2492" s="59"/>
      <c r="LSS2492" s="60"/>
      <c r="LST2492" s="60"/>
      <c r="LSU2492" s="60"/>
      <c r="LSV2492" s="60"/>
      <c r="LSW2492" s="59"/>
      <c r="LSX2492" s="61"/>
      <c r="LSY2492" s="59"/>
      <c r="LSZ2492" s="59"/>
      <c r="LTA2492" s="60"/>
      <c r="LTB2492" s="60"/>
      <c r="LTC2492" s="60"/>
      <c r="LTD2492" s="60"/>
      <c r="LTE2492" s="59"/>
      <c r="LTF2492" s="61"/>
      <c r="LTG2492" s="59"/>
      <c r="LTH2492" s="59"/>
      <c r="LTI2492" s="60"/>
      <c r="LTJ2492" s="60"/>
      <c r="LTK2492" s="60"/>
      <c r="LTL2492" s="60"/>
      <c r="LTM2492" s="59"/>
      <c r="LTN2492" s="61"/>
      <c r="LTO2492" s="59"/>
      <c r="LTP2492" s="59"/>
      <c r="LTQ2492" s="60"/>
      <c r="LTR2492" s="60"/>
      <c r="LTS2492" s="60"/>
      <c r="LTT2492" s="60"/>
      <c r="LTU2492" s="59"/>
      <c r="LTV2492" s="61"/>
      <c r="LTW2492" s="59"/>
      <c r="LTX2492" s="59"/>
      <c r="LTY2492" s="60"/>
      <c r="LTZ2492" s="60"/>
      <c r="LUA2492" s="60"/>
      <c r="LUB2492" s="60"/>
      <c r="LUC2492" s="59"/>
      <c r="LUD2492" s="61"/>
      <c r="LUE2492" s="59"/>
      <c r="LUF2492" s="59"/>
      <c r="LUG2492" s="60"/>
      <c r="LUH2492" s="60"/>
      <c r="LUI2492" s="60"/>
      <c r="LUJ2492" s="60"/>
      <c r="LUK2492" s="59"/>
      <c r="LUL2492" s="61"/>
      <c r="LUM2492" s="59"/>
      <c r="LUN2492" s="59"/>
      <c r="LUO2492" s="60"/>
      <c r="LUP2492" s="60"/>
      <c r="LUQ2492" s="60"/>
      <c r="LUR2492" s="60"/>
      <c r="LUS2492" s="59"/>
      <c r="LUT2492" s="61"/>
      <c r="LUU2492" s="59"/>
      <c r="LUV2492" s="59"/>
      <c r="LUW2492" s="60"/>
      <c r="LUX2492" s="60"/>
      <c r="LUY2492" s="60"/>
      <c r="LUZ2492" s="60"/>
      <c r="LVA2492" s="59"/>
      <c r="LVB2492" s="61"/>
      <c r="LVC2492" s="59"/>
      <c r="LVD2492" s="59"/>
      <c r="LVE2492" s="60"/>
      <c r="LVF2492" s="60"/>
      <c r="LVG2492" s="60"/>
      <c r="LVH2492" s="60"/>
      <c r="LVI2492" s="59"/>
      <c r="LVJ2492" s="61"/>
      <c r="LVK2492" s="59"/>
      <c r="LVL2492" s="59"/>
      <c r="LVM2492" s="60"/>
      <c r="LVN2492" s="60"/>
      <c r="LVO2492" s="60"/>
      <c r="LVP2492" s="60"/>
      <c r="LVQ2492" s="59"/>
      <c r="LVR2492" s="61"/>
      <c r="LVS2492" s="59"/>
      <c r="LVT2492" s="59"/>
      <c r="LVU2492" s="60"/>
      <c r="LVV2492" s="60"/>
      <c r="LVW2492" s="60"/>
      <c r="LVX2492" s="60"/>
      <c r="LVY2492" s="59"/>
      <c r="LVZ2492" s="61"/>
      <c r="LWA2492" s="59"/>
      <c r="LWB2492" s="59"/>
      <c r="LWC2492" s="60"/>
      <c r="LWD2492" s="60"/>
      <c r="LWE2492" s="60"/>
      <c r="LWF2492" s="60"/>
      <c r="LWG2492" s="59"/>
      <c r="LWH2492" s="61"/>
      <c r="LWI2492" s="59"/>
      <c r="LWJ2492" s="59"/>
      <c r="LWK2492" s="60"/>
      <c r="LWL2492" s="60"/>
      <c r="LWM2492" s="60"/>
      <c r="LWN2492" s="60"/>
      <c r="LWO2492" s="59"/>
      <c r="LWP2492" s="61"/>
      <c r="LWQ2492" s="59"/>
      <c r="LWR2492" s="59"/>
      <c r="LWS2492" s="60"/>
      <c r="LWT2492" s="60"/>
      <c r="LWU2492" s="60"/>
      <c r="LWV2492" s="60"/>
      <c r="LWW2492" s="59"/>
      <c r="LWX2492" s="61"/>
      <c r="LWY2492" s="59"/>
      <c r="LWZ2492" s="59"/>
      <c r="LXA2492" s="60"/>
      <c r="LXB2492" s="60"/>
      <c r="LXC2492" s="60"/>
      <c r="LXD2492" s="60"/>
      <c r="LXE2492" s="59"/>
      <c r="LXF2492" s="61"/>
      <c r="LXG2492" s="59"/>
      <c r="LXH2492" s="59"/>
      <c r="LXI2492" s="60"/>
      <c r="LXJ2492" s="60"/>
      <c r="LXK2492" s="60"/>
      <c r="LXL2492" s="60"/>
      <c r="LXM2492" s="59"/>
      <c r="LXN2492" s="61"/>
      <c r="LXO2492" s="59"/>
      <c r="LXP2492" s="59"/>
      <c r="LXQ2492" s="60"/>
      <c r="LXR2492" s="60"/>
      <c r="LXS2492" s="60"/>
      <c r="LXT2492" s="60"/>
      <c r="LXU2492" s="59"/>
      <c r="LXV2492" s="61"/>
      <c r="LXW2492" s="59"/>
      <c r="LXX2492" s="59"/>
      <c r="LXY2492" s="60"/>
      <c r="LXZ2492" s="60"/>
      <c r="LYA2492" s="60"/>
      <c r="LYB2492" s="60"/>
      <c r="LYC2492" s="59"/>
      <c r="LYD2492" s="61"/>
      <c r="LYE2492" s="59"/>
      <c r="LYF2492" s="59"/>
      <c r="LYG2492" s="60"/>
      <c r="LYH2492" s="60"/>
      <c r="LYI2492" s="60"/>
      <c r="LYJ2492" s="60"/>
      <c r="LYK2492" s="59"/>
      <c r="LYL2492" s="61"/>
      <c r="LYM2492" s="59"/>
      <c r="LYN2492" s="59"/>
      <c r="LYO2492" s="60"/>
      <c r="LYP2492" s="60"/>
      <c r="LYQ2492" s="60"/>
      <c r="LYR2492" s="60"/>
      <c r="LYS2492" s="59"/>
      <c r="LYT2492" s="61"/>
      <c r="LYU2492" s="59"/>
      <c r="LYV2492" s="59"/>
      <c r="LYW2492" s="60"/>
      <c r="LYX2492" s="60"/>
      <c r="LYY2492" s="60"/>
      <c r="LYZ2492" s="60"/>
      <c r="LZA2492" s="59"/>
      <c r="LZB2492" s="61"/>
      <c r="LZC2492" s="59"/>
      <c r="LZD2492" s="59"/>
      <c r="LZE2492" s="60"/>
      <c r="LZF2492" s="60"/>
      <c r="LZG2492" s="60"/>
      <c r="LZH2492" s="60"/>
      <c r="LZI2492" s="59"/>
      <c r="LZJ2492" s="61"/>
      <c r="LZK2492" s="59"/>
      <c r="LZL2492" s="59"/>
      <c r="LZM2492" s="60"/>
      <c r="LZN2492" s="60"/>
      <c r="LZO2492" s="60"/>
      <c r="LZP2492" s="60"/>
      <c r="LZQ2492" s="59"/>
      <c r="LZR2492" s="61"/>
      <c r="LZS2492" s="59"/>
      <c r="LZT2492" s="59"/>
      <c r="LZU2492" s="60"/>
      <c r="LZV2492" s="60"/>
      <c r="LZW2492" s="60"/>
      <c r="LZX2492" s="60"/>
      <c r="LZY2492" s="59"/>
      <c r="LZZ2492" s="61"/>
      <c r="MAA2492" s="59"/>
      <c r="MAB2492" s="59"/>
      <c r="MAC2492" s="60"/>
      <c r="MAD2492" s="60"/>
      <c r="MAE2492" s="60"/>
      <c r="MAF2492" s="60"/>
      <c r="MAG2492" s="59"/>
      <c r="MAH2492" s="61"/>
      <c r="MAI2492" s="59"/>
      <c r="MAJ2492" s="59"/>
      <c r="MAK2492" s="60"/>
      <c r="MAL2492" s="60"/>
      <c r="MAM2492" s="60"/>
      <c r="MAN2492" s="60"/>
      <c r="MAO2492" s="59"/>
      <c r="MAP2492" s="61"/>
      <c r="MAQ2492" s="59"/>
      <c r="MAR2492" s="59"/>
      <c r="MAS2492" s="60"/>
      <c r="MAT2492" s="60"/>
      <c r="MAU2492" s="60"/>
      <c r="MAV2492" s="60"/>
      <c r="MAW2492" s="59"/>
      <c r="MAX2492" s="61"/>
      <c r="MAY2492" s="59"/>
      <c r="MAZ2492" s="59"/>
      <c r="MBA2492" s="60"/>
      <c r="MBB2492" s="60"/>
      <c r="MBC2492" s="60"/>
      <c r="MBD2492" s="60"/>
      <c r="MBE2492" s="59"/>
      <c r="MBF2492" s="61"/>
      <c r="MBG2492" s="59"/>
      <c r="MBH2492" s="59"/>
      <c r="MBI2492" s="60"/>
      <c r="MBJ2492" s="60"/>
      <c r="MBK2492" s="60"/>
      <c r="MBL2492" s="60"/>
      <c r="MBM2492" s="59"/>
      <c r="MBN2492" s="61"/>
      <c r="MBO2492" s="59"/>
      <c r="MBP2492" s="59"/>
      <c r="MBQ2492" s="60"/>
      <c r="MBR2492" s="60"/>
      <c r="MBS2492" s="60"/>
      <c r="MBT2492" s="60"/>
      <c r="MBU2492" s="59"/>
      <c r="MBV2492" s="61"/>
      <c r="MBW2492" s="59"/>
      <c r="MBX2492" s="59"/>
      <c r="MBY2492" s="60"/>
      <c r="MBZ2492" s="60"/>
      <c r="MCA2492" s="60"/>
      <c r="MCB2492" s="60"/>
      <c r="MCC2492" s="59"/>
      <c r="MCD2492" s="61"/>
      <c r="MCE2492" s="59"/>
      <c r="MCF2492" s="59"/>
      <c r="MCG2492" s="60"/>
      <c r="MCH2492" s="60"/>
      <c r="MCI2492" s="60"/>
      <c r="MCJ2492" s="60"/>
      <c r="MCK2492" s="59"/>
      <c r="MCL2492" s="61"/>
      <c r="MCM2492" s="59"/>
      <c r="MCN2492" s="59"/>
      <c r="MCO2492" s="60"/>
      <c r="MCP2492" s="60"/>
      <c r="MCQ2492" s="60"/>
      <c r="MCR2492" s="60"/>
      <c r="MCS2492" s="59"/>
      <c r="MCT2492" s="61"/>
      <c r="MCU2492" s="59"/>
      <c r="MCV2492" s="59"/>
      <c r="MCW2492" s="60"/>
      <c r="MCX2492" s="60"/>
      <c r="MCY2492" s="60"/>
      <c r="MCZ2492" s="60"/>
      <c r="MDA2492" s="59"/>
      <c r="MDB2492" s="61"/>
      <c r="MDC2492" s="59"/>
      <c r="MDD2492" s="59"/>
      <c r="MDE2492" s="60"/>
      <c r="MDF2492" s="60"/>
      <c r="MDG2492" s="60"/>
      <c r="MDH2492" s="60"/>
      <c r="MDI2492" s="59"/>
      <c r="MDJ2492" s="61"/>
      <c r="MDK2492" s="59"/>
      <c r="MDL2492" s="59"/>
      <c r="MDM2492" s="60"/>
      <c r="MDN2492" s="60"/>
      <c r="MDO2492" s="60"/>
      <c r="MDP2492" s="60"/>
      <c r="MDQ2492" s="59"/>
      <c r="MDR2492" s="61"/>
      <c r="MDS2492" s="59"/>
      <c r="MDT2492" s="59"/>
      <c r="MDU2492" s="60"/>
      <c r="MDV2492" s="60"/>
      <c r="MDW2492" s="60"/>
      <c r="MDX2492" s="60"/>
      <c r="MDY2492" s="59"/>
      <c r="MDZ2492" s="61"/>
      <c r="MEA2492" s="59"/>
      <c r="MEB2492" s="59"/>
      <c r="MEC2492" s="60"/>
      <c r="MED2492" s="60"/>
      <c r="MEE2492" s="60"/>
      <c r="MEF2492" s="60"/>
      <c r="MEG2492" s="59"/>
      <c r="MEH2492" s="61"/>
      <c r="MEI2492" s="59"/>
      <c r="MEJ2492" s="59"/>
      <c r="MEK2492" s="60"/>
      <c r="MEL2492" s="60"/>
      <c r="MEM2492" s="60"/>
      <c r="MEN2492" s="60"/>
      <c r="MEO2492" s="59"/>
      <c r="MEP2492" s="61"/>
      <c r="MEQ2492" s="59"/>
      <c r="MER2492" s="59"/>
      <c r="MES2492" s="60"/>
      <c r="MET2492" s="60"/>
      <c r="MEU2492" s="60"/>
      <c r="MEV2492" s="60"/>
      <c r="MEW2492" s="59"/>
      <c r="MEX2492" s="61"/>
      <c r="MEY2492" s="59"/>
      <c r="MEZ2492" s="59"/>
      <c r="MFA2492" s="60"/>
      <c r="MFB2492" s="60"/>
      <c r="MFC2492" s="60"/>
      <c r="MFD2492" s="60"/>
      <c r="MFE2492" s="59"/>
      <c r="MFF2492" s="61"/>
      <c r="MFG2492" s="59"/>
      <c r="MFH2492" s="59"/>
      <c r="MFI2492" s="60"/>
      <c r="MFJ2492" s="60"/>
      <c r="MFK2492" s="60"/>
      <c r="MFL2492" s="60"/>
      <c r="MFM2492" s="59"/>
      <c r="MFN2492" s="61"/>
      <c r="MFO2492" s="59"/>
      <c r="MFP2492" s="59"/>
      <c r="MFQ2492" s="60"/>
      <c r="MFR2492" s="60"/>
      <c r="MFS2492" s="60"/>
      <c r="MFT2492" s="60"/>
      <c r="MFU2492" s="59"/>
      <c r="MFV2492" s="61"/>
      <c r="MFW2492" s="59"/>
      <c r="MFX2492" s="59"/>
      <c r="MFY2492" s="60"/>
      <c r="MFZ2492" s="60"/>
      <c r="MGA2492" s="60"/>
      <c r="MGB2492" s="60"/>
      <c r="MGC2492" s="59"/>
      <c r="MGD2492" s="61"/>
      <c r="MGE2492" s="59"/>
      <c r="MGF2492" s="59"/>
      <c r="MGG2492" s="60"/>
      <c r="MGH2492" s="60"/>
      <c r="MGI2492" s="60"/>
      <c r="MGJ2492" s="60"/>
      <c r="MGK2492" s="59"/>
      <c r="MGL2492" s="61"/>
      <c r="MGM2492" s="59"/>
      <c r="MGN2492" s="59"/>
      <c r="MGO2492" s="60"/>
      <c r="MGP2492" s="60"/>
      <c r="MGQ2492" s="60"/>
      <c r="MGR2492" s="60"/>
      <c r="MGS2492" s="59"/>
      <c r="MGT2492" s="61"/>
      <c r="MGU2492" s="59"/>
      <c r="MGV2492" s="59"/>
      <c r="MGW2492" s="60"/>
      <c r="MGX2492" s="60"/>
      <c r="MGY2492" s="60"/>
      <c r="MGZ2492" s="60"/>
      <c r="MHA2492" s="59"/>
      <c r="MHB2492" s="61"/>
      <c r="MHC2492" s="59"/>
      <c r="MHD2492" s="59"/>
      <c r="MHE2492" s="60"/>
      <c r="MHF2492" s="60"/>
      <c r="MHG2492" s="60"/>
      <c r="MHH2492" s="60"/>
      <c r="MHI2492" s="59"/>
      <c r="MHJ2492" s="61"/>
      <c r="MHK2492" s="59"/>
      <c r="MHL2492" s="59"/>
      <c r="MHM2492" s="60"/>
      <c r="MHN2492" s="60"/>
      <c r="MHO2492" s="60"/>
      <c r="MHP2492" s="60"/>
      <c r="MHQ2492" s="59"/>
      <c r="MHR2492" s="61"/>
      <c r="MHS2492" s="59"/>
      <c r="MHT2492" s="59"/>
      <c r="MHU2492" s="60"/>
      <c r="MHV2492" s="60"/>
      <c r="MHW2492" s="60"/>
      <c r="MHX2492" s="60"/>
      <c r="MHY2492" s="59"/>
      <c r="MHZ2492" s="61"/>
      <c r="MIA2492" s="59"/>
      <c r="MIB2492" s="59"/>
      <c r="MIC2492" s="60"/>
      <c r="MID2492" s="60"/>
      <c r="MIE2492" s="60"/>
      <c r="MIF2492" s="60"/>
      <c r="MIG2492" s="59"/>
      <c r="MIH2492" s="61"/>
      <c r="MII2492" s="59"/>
      <c r="MIJ2492" s="59"/>
      <c r="MIK2492" s="60"/>
      <c r="MIL2492" s="60"/>
      <c r="MIM2492" s="60"/>
      <c r="MIN2492" s="60"/>
      <c r="MIO2492" s="59"/>
      <c r="MIP2492" s="61"/>
      <c r="MIQ2492" s="59"/>
      <c r="MIR2492" s="59"/>
      <c r="MIS2492" s="60"/>
      <c r="MIT2492" s="60"/>
      <c r="MIU2492" s="60"/>
      <c r="MIV2492" s="60"/>
      <c r="MIW2492" s="59"/>
      <c r="MIX2492" s="61"/>
      <c r="MIY2492" s="59"/>
      <c r="MIZ2492" s="59"/>
      <c r="MJA2492" s="60"/>
      <c r="MJB2492" s="60"/>
      <c r="MJC2492" s="60"/>
      <c r="MJD2492" s="60"/>
      <c r="MJE2492" s="59"/>
      <c r="MJF2492" s="61"/>
      <c r="MJG2492" s="59"/>
      <c r="MJH2492" s="59"/>
      <c r="MJI2492" s="60"/>
      <c r="MJJ2492" s="60"/>
      <c r="MJK2492" s="60"/>
      <c r="MJL2492" s="60"/>
      <c r="MJM2492" s="59"/>
      <c r="MJN2492" s="61"/>
      <c r="MJO2492" s="59"/>
      <c r="MJP2492" s="59"/>
      <c r="MJQ2492" s="60"/>
      <c r="MJR2492" s="60"/>
      <c r="MJS2492" s="60"/>
      <c r="MJT2492" s="60"/>
      <c r="MJU2492" s="59"/>
      <c r="MJV2492" s="61"/>
      <c r="MJW2492" s="59"/>
      <c r="MJX2492" s="59"/>
      <c r="MJY2492" s="60"/>
      <c r="MJZ2492" s="60"/>
      <c r="MKA2492" s="60"/>
      <c r="MKB2492" s="60"/>
      <c r="MKC2492" s="59"/>
      <c r="MKD2492" s="61"/>
      <c r="MKE2492" s="59"/>
      <c r="MKF2492" s="59"/>
      <c r="MKG2492" s="60"/>
      <c r="MKH2492" s="60"/>
      <c r="MKI2492" s="60"/>
      <c r="MKJ2492" s="60"/>
      <c r="MKK2492" s="59"/>
      <c r="MKL2492" s="61"/>
      <c r="MKM2492" s="59"/>
      <c r="MKN2492" s="59"/>
      <c r="MKO2492" s="60"/>
      <c r="MKP2492" s="60"/>
      <c r="MKQ2492" s="60"/>
      <c r="MKR2492" s="60"/>
      <c r="MKS2492" s="59"/>
      <c r="MKT2492" s="61"/>
      <c r="MKU2492" s="59"/>
      <c r="MKV2492" s="59"/>
      <c r="MKW2492" s="60"/>
      <c r="MKX2492" s="60"/>
      <c r="MKY2492" s="60"/>
      <c r="MKZ2492" s="60"/>
      <c r="MLA2492" s="59"/>
      <c r="MLB2492" s="61"/>
      <c r="MLC2492" s="59"/>
      <c r="MLD2492" s="59"/>
      <c r="MLE2492" s="60"/>
      <c r="MLF2492" s="60"/>
      <c r="MLG2492" s="60"/>
      <c r="MLH2492" s="60"/>
      <c r="MLI2492" s="59"/>
      <c r="MLJ2492" s="61"/>
      <c r="MLK2492" s="59"/>
      <c r="MLL2492" s="59"/>
      <c r="MLM2492" s="60"/>
      <c r="MLN2492" s="60"/>
      <c r="MLO2492" s="60"/>
      <c r="MLP2492" s="60"/>
      <c r="MLQ2492" s="59"/>
      <c r="MLR2492" s="61"/>
      <c r="MLS2492" s="59"/>
      <c r="MLT2492" s="59"/>
      <c r="MLU2492" s="60"/>
      <c r="MLV2492" s="60"/>
      <c r="MLW2492" s="60"/>
      <c r="MLX2492" s="60"/>
      <c r="MLY2492" s="59"/>
      <c r="MLZ2492" s="61"/>
      <c r="MMA2492" s="59"/>
      <c r="MMB2492" s="59"/>
      <c r="MMC2492" s="60"/>
      <c r="MMD2492" s="60"/>
      <c r="MME2492" s="60"/>
      <c r="MMF2492" s="60"/>
      <c r="MMG2492" s="59"/>
      <c r="MMH2492" s="61"/>
      <c r="MMI2492" s="59"/>
      <c r="MMJ2492" s="59"/>
      <c r="MMK2492" s="60"/>
      <c r="MML2492" s="60"/>
      <c r="MMM2492" s="60"/>
      <c r="MMN2492" s="60"/>
      <c r="MMO2492" s="59"/>
      <c r="MMP2492" s="61"/>
      <c r="MMQ2492" s="59"/>
      <c r="MMR2492" s="59"/>
      <c r="MMS2492" s="60"/>
      <c r="MMT2492" s="60"/>
      <c r="MMU2492" s="60"/>
      <c r="MMV2492" s="60"/>
      <c r="MMW2492" s="59"/>
      <c r="MMX2492" s="61"/>
      <c r="MMY2492" s="59"/>
      <c r="MMZ2492" s="59"/>
      <c r="MNA2492" s="60"/>
      <c r="MNB2492" s="60"/>
      <c r="MNC2492" s="60"/>
      <c r="MND2492" s="60"/>
      <c r="MNE2492" s="59"/>
      <c r="MNF2492" s="61"/>
      <c r="MNG2492" s="59"/>
      <c r="MNH2492" s="59"/>
      <c r="MNI2492" s="60"/>
      <c r="MNJ2492" s="60"/>
      <c r="MNK2492" s="60"/>
      <c r="MNL2492" s="60"/>
      <c r="MNM2492" s="59"/>
      <c r="MNN2492" s="61"/>
      <c r="MNO2492" s="59"/>
      <c r="MNP2492" s="59"/>
      <c r="MNQ2492" s="60"/>
      <c r="MNR2492" s="60"/>
      <c r="MNS2492" s="60"/>
      <c r="MNT2492" s="60"/>
      <c r="MNU2492" s="59"/>
      <c r="MNV2492" s="61"/>
      <c r="MNW2492" s="59"/>
      <c r="MNX2492" s="59"/>
      <c r="MNY2492" s="60"/>
      <c r="MNZ2492" s="60"/>
      <c r="MOA2492" s="60"/>
      <c r="MOB2492" s="60"/>
      <c r="MOC2492" s="59"/>
      <c r="MOD2492" s="61"/>
      <c r="MOE2492" s="59"/>
      <c r="MOF2492" s="59"/>
      <c r="MOG2492" s="60"/>
      <c r="MOH2492" s="60"/>
      <c r="MOI2492" s="60"/>
      <c r="MOJ2492" s="60"/>
      <c r="MOK2492" s="59"/>
      <c r="MOL2492" s="61"/>
      <c r="MOM2492" s="59"/>
      <c r="MON2492" s="59"/>
      <c r="MOO2492" s="60"/>
      <c r="MOP2492" s="60"/>
      <c r="MOQ2492" s="60"/>
      <c r="MOR2492" s="60"/>
      <c r="MOS2492" s="59"/>
      <c r="MOT2492" s="61"/>
      <c r="MOU2492" s="59"/>
      <c r="MOV2492" s="59"/>
      <c r="MOW2492" s="60"/>
      <c r="MOX2492" s="60"/>
      <c r="MOY2492" s="60"/>
      <c r="MOZ2492" s="60"/>
      <c r="MPA2492" s="59"/>
      <c r="MPB2492" s="61"/>
      <c r="MPC2492" s="59"/>
      <c r="MPD2492" s="59"/>
      <c r="MPE2492" s="60"/>
      <c r="MPF2492" s="60"/>
      <c r="MPG2492" s="60"/>
      <c r="MPH2492" s="60"/>
      <c r="MPI2492" s="59"/>
      <c r="MPJ2492" s="61"/>
      <c r="MPK2492" s="59"/>
      <c r="MPL2492" s="59"/>
      <c r="MPM2492" s="60"/>
      <c r="MPN2492" s="60"/>
      <c r="MPO2492" s="60"/>
      <c r="MPP2492" s="60"/>
      <c r="MPQ2492" s="59"/>
      <c r="MPR2492" s="61"/>
      <c r="MPS2492" s="59"/>
      <c r="MPT2492" s="59"/>
      <c r="MPU2492" s="60"/>
      <c r="MPV2492" s="60"/>
      <c r="MPW2492" s="60"/>
      <c r="MPX2492" s="60"/>
      <c r="MPY2492" s="59"/>
      <c r="MPZ2492" s="61"/>
      <c r="MQA2492" s="59"/>
      <c r="MQB2492" s="59"/>
      <c r="MQC2492" s="60"/>
      <c r="MQD2492" s="60"/>
      <c r="MQE2492" s="60"/>
      <c r="MQF2492" s="60"/>
      <c r="MQG2492" s="59"/>
      <c r="MQH2492" s="61"/>
      <c r="MQI2492" s="59"/>
      <c r="MQJ2492" s="59"/>
      <c r="MQK2492" s="60"/>
      <c r="MQL2492" s="60"/>
      <c r="MQM2492" s="60"/>
      <c r="MQN2492" s="60"/>
      <c r="MQO2492" s="59"/>
      <c r="MQP2492" s="61"/>
      <c r="MQQ2492" s="59"/>
      <c r="MQR2492" s="59"/>
      <c r="MQS2492" s="60"/>
      <c r="MQT2492" s="60"/>
      <c r="MQU2492" s="60"/>
      <c r="MQV2492" s="60"/>
      <c r="MQW2492" s="59"/>
      <c r="MQX2492" s="61"/>
      <c r="MQY2492" s="59"/>
      <c r="MQZ2492" s="59"/>
      <c r="MRA2492" s="60"/>
      <c r="MRB2492" s="60"/>
      <c r="MRC2492" s="60"/>
      <c r="MRD2492" s="60"/>
      <c r="MRE2492" s="59"/>
      <c r="MRF2492" s="61"/>
      <c r="MRG2492" s="59"/>
      <c r="MRH2492" s="59"/>
      <c r="MRI2492" s="60"/>
      <c r="MRJ2492" s="60"/>
      <c r="MRK2492" s="60"/>
      <c r="MRL2492" s="60"/>
      <c r="MRM2492" s="59"/>
      <c r="MRN2492" s="61"/>
      <c r="MRO2492" s="59"/>
      <c r="MRP2492" s="59"/>
      <c r="MRQ2492" s="60"/>
      <c r="MRR2492" s="60"/>
      <c r="MRS2492" s="60"/>
      <c r="MRT2492" s="60"/>
      <c r="MRU2492" s="59"/>
      <c r="MRV2492" s="61"/>
      <c r="MRW2492" s="59"/>
      <c r="MRX2492" s="59"/>
      <c r="MRY2492" s="60"/>
      <c r="MRZ2492" s="60"/>
      <c r="MSA2492" s="60"/>
      <c r="MSB2492" s="60"/>
      <c r="MSC2492" s="59"/>
      <c r="MSD2492" s="61"/>
      <c r="MSE2492" s="59"/>
      <c r="MSF2492" s="59"/>
      <c r="MSG2492" s="60"/>
      <c r="MSH2492" s="60"/>
      <c r="MSI2492" s="60"/>
      <c r="MSJ2492" s="60"/>
      <c r="MSK2492" s="59"/>
      <c r="MSL2492" s="61"/>
      <c r="MSM2492" s="59"/>
      <c r="MSN2492" s="59"/>
      <c r="MSO2492" s="60"/>
      <c r="MSP2492" s="60"/>
      <c r="MSQ2492" s="60"/>
      <c r="MSR2492" s="60"/>
      <c r="MSS2492" s="59"/>
      <c r="MST2492" s="61"/>
      <c r="MSU2492" s="59"/>
      <c r="MSV2492" s="59"/>
      <c r="MSW2492" s="60"/>
      <c r="MSX2492" s="60"/>
      <c r="MSY2492" s="60"/>
      <c r="MSZ2492" s="60"/>
      <c r="MTA2492" s="59"/>
      <c r="MTB2492" s="61"/>
      <c r="MTC2492" s="59"/>
      <c r="MTD2492" s="59"/>
      <c r="MTE2492" s="60"/>
      <c r="MTF2492" s="60"/>
      <c r="MTG2492" s="60"/>
      <c r="MTH2492" s="60"/>
      <c r="MTI2492" s="59"/>
      <c r="MTJ2492" s="61"/>
      <c r="MTK2492" s="59"/>
      <c r="MTL2492" s="59"/>
      <c r="MTM2492" s="60"/>
      <c r="MTN2492" s="60"/>
      <c r="MTO2492" s="60"/>
      <c r="MTP2492" s="60"/>
      <c r="MTQ2492" s="59"/>
      <c r="MTR2492" s="61"/>
      <c r="MTS2492" s="59"/>
      <c r="MTT2492" s="59"/>
      <c r="MTU2492" s="60"/>
      <c r="MTV2492" s="60"/>
      <c r="MTW2492" s="60"/>
      <c r="MTX2492" s="60"/>
      <c r="MTY2492" s="59"/>
      <c r="MTZ2492" s="61"/>
      <c r="MUA2492" s="59"/>
      <c r="MUB2492" s="59"/>
      <c r="MUC2492" s="60"/>
      <c r="MUD2492" s="60"/>
      <c r="MUE2492" s="60"/>
      <c r="MUF2492" s="60"/>
      <c r="MUG2492" s="59"/>
      <c r="MUH2492" s="61"/>
      <c r="MUI2492" s="59"/>
      <c r="MUJ2492" s="59"/>
      <c r="MUK2492" s="60"/>
      <c r="MUL2492" s="60"/>
      <c r="MUM2492" s="60"/>
      <c r="MUN2492" s="60"/>
      <c r="MUO2492" s="59"/>
      <c r="MUP2492" s="61"/>
      <c r="MUQ2492" s="59"/>
      <c r="MUR2492" s="59"/>
      <c r="MUS2492" s="60"/>
      <c r="MUT2492" s="60"/>
      <c r="MUU2492" s="60"/>
      <c r="MUV2492" s="60"/>
      <c r="MUW2492" s="59"/>
      <c r="MUX2492" s="61"/>
      <c r="MUY2492" s="59"/>
      <c r="MUZ2492" s="59"/>
      <c r="MVA2492" s="60"/>
      <c r="MVB2492" s="60"/>
      <c r="MVC2492" s="60"/>
      <c r="MVD2492" s="60"/>
      <c r="MVE2492" s="59"/>
      <c r="MVF2492" s="61"/>
      <c r="MVG2492" s="59"/>
      <c r="MVH2492" s="59"/>
      <c r="MVI2492" s="60"/>
      <c r="MVJ2492" s="60"/>
      <c r="MVK2492" s="60"/>
      <c r="MVL2492" s="60"/>
      <c r="MVM2492" s="59"/>
      <c r="MVN2492" s="61"/>
      <c r="MVO2492" s="59"/>
      <c r="MVP2492" s="59"/>
      <c r="MVQ2492" s="60"/>
      <c r="MVR2492" s="60"/>
      <c r="MVS2492" s="60"/>
      <c r="MVT2492" s="60"/>
      <c r="MVU2492" s="59"/>
      <c r="MVV2492" s="61"/>
      <c r="MVW2492" s="59"/>
      <c r="MVX2492" s="59"/>
      <c r="MVY2492" s="60"/>
      <c r="MVZ2492" s="60"/>
      <c r="MWA2492" s="60"/>
      <c r="MWB2492" s="60"/>
      <c r="MWC2492" s="59"/>
      <c r="MWD2492" s="61"/>
      <c r="MWE2492" s="59"/>
      <c r="MWF2492" s="59"/>
      <c r="MWG2492" s="60"/>
      <c r="MWH2492" s="60"/>
      <c r="MWI2492" s="60"/>
      <c r="MWJ2492" s="60"/>
      <c r="MWK2492" s="59"/>
      <c r="MWL2492" s="61"/>
      <c r="MWM2492" s="59"/>
      <c r="MWN2492" s="59"/>
      <c r="MWO2492" s="60"/>
      <c r="MWP2492" s="60"/>
      <c r="MWQ2492" s="60"/>
      <c r="MWR2492" s="60"/>
      <c r="MWS2492" s="59"/>
      <c r="MWT2492" s="61"/>
      <c r="MWU2492" s="59"/>
      <c r="MWV2492" s="59"/>
      <c r="MWW2492" s="60"/>
      <c r="MWX2492" s="60"/>
      <c r="MWY2492" s="60"/>
      <c r="MWZ2492" s="60"/>
      <c r="MXA2492" s="59"/>
      <c r="MXB2492" s="61"/>
      <c r="MXC2492" s="59"/>
      <c r="MXD2492" s="59"/>
      <c r="MXE2492" s="60"/>
      <c r="MXF2492" s="60"/>
      <c r="MXG2492" s="60"/>
      <c r="MXH2492" s="60"/>
      <c r="MXI2492" s="59"/>
      <c r="MXJ2492" s="61"/>
      <c r="MXK2492" s="59"/>
      <c r="MXL2492" s="59"/>
      <c r="MXM2492" s="60"/>
      <c r="MXN2492" s="60"/>
      <c r="MXO2492" s="60"/>
      <c r="MXP2492" s="60"/>
      <c r="MXQ2492" s="59"/>
      <c r="MXR2492" s="61"/>
      <c r="MXS2492" s="59"/>
      <c r="MXT2492" s="59"/>
      <c r="MXU2492" s="60"/>
      <c r="MXV2492" s="60"/>
      <c r="MXW2492" s="60"/>
      <c r="MXX2492" s="60"/>
      <c r="MXY2492" s="59"/>
      <c r="MXZ2492" s="61"/>
      <c r="MYA2492" s="59"/>
      <c r="MYB2492" s="59"/>
      <c r="MYC2492" s="60"/>
      <c r="MYD2492" s="60"/>
      <c r="MYE2492" s="60"/>
      <c r="MYF2492" s="60"/>
      <c r="MYG2492" s="59"/>
      <c r="MYH2492" s="61"/>
      <c r="MYI2492" s="59"/>
      <c r="MYJ2492" s="59"/>
      <c r="MYK2492" s="60"/>
      <c r="MYL2492" s="60"/>
      <c r="MYM2492" s="60"/>
      <c r="MYN2492" s="60"/>
      <c r="MYO2492" s="59"/>
      <c r="MYP2492" s="61"/>
      <c r="MYQ2492" s="59"/>
      <c r="MYR2492" s="59"/>
      <c r="MYS2492" s="60"/>
      <c r="MYT2492" s="60"/>
      <c r="MYU2492" s="60"/>
      <c r="MYV2492" s="60"/>
      <c r="MYW2492" s="59"/>
      <c r="MYX2492" s="61"/>
      <c r="MYY2492" s="59"/>
      <c r="MYZ2492" s="59"/>
      <c r="MZA2492" s="60"/>
      <c r="MZB2492" s="60"/>
      <c r="MZC2492" s="60"/>
      <c r="MZD2492" s="60"/>
      <c r="MZE2492" s="59"/>
      <c r="MZF2492" s="61"/>
      <c r="MZG2492" s="59"/>
      <c r="MZH2492" s="59"/>
      <c r="MZI2492" s="60"/>
      <c r="MZJ2492" s="60"/>
      <c r="MZK2492" s="60"/>
      <c r="MZL2492" s="60"/>
      <c r="MZM2492" s="59"/>
      <c r="MZN2492" s="61"/>
      <c r="MZO2492" s="59"/>
      <c r="MZP2492" s="59"/>
      <c r="MZQ2492" s="60"/>
      <c r="MZR2492" s="60"/>
      <c r="MZS2492" s="60"/>
      <c r="MZT2492" s="60"/>
      <c r="MZU2492" s="59"/>
      <c r="MZV2492" s="61"/>
      <c r="MZW2492" s="59"/>
      <c r="MZX2492" s="59"/>
      <c r="MZY2492" s="60"/>
      <c r="MZZ2492" s="60"/>
      <c r="NAA2492" s="60"/>
      <c r="NAB2492" s="60"/>
      <c r="NAC2492" s="59"/>
      <c r="NAD2492" s="61"/>
      <c r="NAE2492" s="59"/>
      <c r="NAF2492" s="59"/>
      <c r="NAG2492" s="60"/>
      <c r="NAH2492" s="60"/>
      <c r="NAI2492" s="60"/>
      <c r="NAJ2492" s="60"/>
      <c r="NAK2492" s="59"/>
      <c r="NAL2492" s="61"/>
      <c r="NAM2492" s="59"/>
      <c r="NAN2492" s="59"/>
      <c r="NAO2492" s="60"/>
      <c r="NAP2492" s="60"/>
      <c r="NAQ2492" s="60"/>
      <c r="NAR2492" s="60"/>
      <c r="NAS2492" s="59"/>
      <c r="NAT2492" s="61"/>
      <c r="NAU2492" s="59"/>
      <c r="NAV2492" s="59"/>
      <c r="NAW2492" s="60"/>
      <c r="NAX2492" s="60"/>
      <c r="NAY2492" s="60"/>
      <c r="NAZ2492" s="60"/>
      <c r="NBA2492" s="59"/>
      <c r="NBB2492" s="61"/>
      <c r="NBC2492" s="59"/>
      <c r="NBD2492" s="59"/>
      <c r="NBE2492" s="60"/>
      <c r="NBF2492" s="60"/>
      <c r="NBG2492" s="60"/>
      <c r="NBH2492" s="60"/>
      <c r="NBI2492" s="59"/>
      <c r="NBJ2492" s="61"/>
      <c r="NBK2492" s="59"/>
      <c r="NBL2492" s="59"/>
      <c r="NBM2492" s="60"/>
      <c r="NBN2492" s="60"/>
      <c r="NBO2492" s="60"/>
      <c r="NBP2492" s="60"/>
      <c r="NBQ2492" s="59"/>
      <c r="NBR2492" s="61"/>
      <c r="NBS2492" s="59"/>
      <c r="NBT2492" s="59"/>
      <c r="NBU2492" s="60"/>
      <c r="NBV2492" s="60"/>
      <c r="NBW2492" s="60"/>
      <c r="NBX2492" s="60"/>
      <c r="NBY2492" s="59"/>
      <c r="NBZ2492" s="61"/>
      <c r="NCA2492" s="59"/>
      <c r="NCB2492" s="59"/>
      <c r="NCC2492" s="60"/>
      <c r="NCD2492" s="60"/>
      <c r="NCE2492" s="60"/>
      <c r="NCF2492" s="60"/>
      <c r="NCG2492" s="59"/>
      <c r="NCH2492" s="61"/>
      <c r="NCI2492" s="59"/>
      <c r="NCJ2492" s="59"/>
      <c r="NCK2492" s="60"/>
      <c r="NCL2492" s="60"/>
      <c r="NCM2492" s="60"/>
      <c r="NCN2492" s="60"/>
      <c r="NCO2492" s="59"/>
      <c r="NCP2492" s="61"/>
      <c r="NCQ2492" s="59"/>
      <c r="NCR2492" s="59"/>
      <c r="NCS2492" s="60"/>
      <c r="NCT2492" s="60"/>
      <c r="NCU2492" s="60"/>
      <c r="NCV2492" s="60"/>
      <c r="NCW2492" s="59"/>
      <c r="NCX2492" s="61"/>
      <c r="NCY2492" s="59"/>
      <c r="NCZ2492" s="59"/>
      <c r="NDA2492" s="60"/>
      <c r="NDB2492" s="60"/>
      <c r="NDC2492" s="60"/>
      <c r="NDD2492" s="60"/>
      <c r="NDE2492" s="59"/>
      <c r="NDF2492" s="61"/>
      <c r="NDG2492" s="59"/>
      <c r="NDH2492" s="59"/>
      <c r="NDI2492" s="60"/>
      <c r="NDJ2492" s="60"/>
      <c r="NDK2492" s="60"/>
      <c r="NDL2492" s="60"/>
      <c r="NDM2492" s="59"/>
      <c r="NDN2492" s="61"/>
      <c r="NDO2492" s="59"/>
      <c r="NDP2492" s="59"/>
      <c r="NDQ2492" s="60"/>
      <c r="NDR2492" s="60"/>
      <c r="NDS2492" s="60"/>
      <c r="NDT2492" s="60"/>
      <c r="NDU2492" s="59"/>
      <c r="NDV2492" s="61"/>
      <c r="NDW2492" s="59"/>
      <c r="NDX2492" s="59"/>
      <c r="NDY2492" s="60"/>
      <c r="NDZ2492" s="60"/>
      <c r="NEA2492" s="60"/>
      <c r="NEB2492" s="60"/>
      <c r="NEC2492" s="59"/>
      <c r="NED2492" s="61"/>
      <c r="NEE2492" s="59"/>
      <c r="NEF2492" s="59"/>
      <c r="NEG2492" s="60"/>
      <c r="NEH2492" s="60"/>
      <c r="NEI2492" s="60"/>
      <c r="NEJ2492" s="60"/>
      <c r="NEK2492" s="59"/>
      <c r="NEL2492" s="61"/>
      <c r="NEM2492" s="59"/>
      <c r="NEN2492" s="59"/>
      <c r="NEO2492" s="60"/>
      <c r="NEP2492" s="60"/>
      <c r="NEQ2492" s="60"/>
      <c r="NER2492" s="60"/>
      <c r="NES2492" s="59"/>
      <c r="NET2492" s="61"/>
      <c r="NEU2492" s="59"/>
      <c r="NEV2492" s="59"/>
      <c r="NEW2492" s="60"/>
      <c r="NEX2492" s="60"/>
      <c r="NEY2492" s="60"/>
      <c r="NEZ2492" s="60"/>
      <c r="NFA2492" s="59"/>
      <c r="NFB2492" s="61"/>
      <c r="NFC2492" s="59"/>
      <c r="NFD2492" s="59"/>
      <c r="NFE2492" s="60"/>
      <c r="NFF2492" s="60"/>
      <c r="NFG2492" s="60"/>
      <c r="NFH2492" s="60"/>
      <c r="NFI2492" s="59"/>
      <c r="NFJ2492" s="61"/>
      <c r="NFK2492" s="59"/>
      <c r="NFL2492" s="59"/>
      <c r="NFM2492" s="60"/>
      <c r="NFN2492" s="60"/>
      <c r="NFO2492" s="60"/>
      <c r="NFP2492" s="60"/>
      <c r="NFQ2492" s="59"/>
      <c r="NFR2492" s="61"/>
      <c r="NFS2492" s="59"/>
      <c r="NFT2492" s="59"/>
      <c r="NFU2492" s="60"/>
      <c r="NFV2492" s="60"/>
      <c r="NFW2492" s="60"/>
      <c r="NFX2492" s="60"/>
      <c r="NFY2492" s="59"/>
      <c r="NFZ2492" s="61"/>
      <c r="NGA2492" s="59"/>
      <c r="NGB2492" s="59"/>
      <c r="NGC2492" s="60"/>
      <c r="NGD2492" s="60"/>
      <c r="NGE2492" s="60"/>
      <c r="NGF2492" s="60"/>
      <c r="NGG2492" s="59"/>
      <c r="NGH2492" s="61"/>
      <c r="NGI2492" s="59"/>
      <c r="NGJ2492" s="59"/>
      <c r="NGK2492" s="60"/>
      <c r="NGL2492" s="60"/>
      <c r="NGM2492" s="60"/>
      <c r="NGN2492" s="60"/>
      <c r="NGO2492" s="59"/>
      <c r="NGP2492" s="61"/>
      <c r="NGQ2492" s="59"/>
      <c r="NGR2492" s="59"/>
      <c r="NGS2492" s="60"/>
      <c r="NGT2492" s="60"/>
      <c r="NGU2492" s="60"/>
      <c r="NGV2492" s="60"/>
      <c r="NGW2492" s="59"/>
      <c r="NGX2492" s="61"/>
      <c r="NGY2492" s="59"/>
      <c r="NGZ2492" s="59"/>
      <c r="NHA2492" s="60"/>
      <c r="NHB2492" s="60"/>
      <c r="NHC2492" s="60"/>
      <c r="NHD2492" s="60"/>
      <c r="NHE2492" s="59"/>
      <c r="NHF2492" s="61"/>
      <c r="NHG2492" s="59"/>
      <c r="NHH2492" s="59"/>
      <c r="NHI2492" s="60"/>
      <c r="NHJ2492" s="60"/>
      <c r="NHK2492" s="60"/>
      <c r="NHL2492" s="60"/>
      <c r="NHM2492" s="59"/>
      <c r="NHN2492" s="61"/>
      <c r="NHO2492" s="59"/>
      <c r="NHP2492" s="59"/>
      <c r="NHQ2492" s="60"/>
      <c r="NHR2492" s="60"/>
      <c r="NHS2492" s="60"/>
      <c r="NHT2492" s="60"/>
      <c r="NHU2492" s="59"/>
      <c r="NHV2492" s="61"/>
      <c r="NHW2492" s="59"/>
      <c r="NHX2492" s="59"/>
      <c r="NHY2492" s="60"/>
      <c r="NHZ2492" s="60"/>
      <c r="NIA2492" s="60"/>
      <c r="NIB2492" s="60"/>
      <c r="NIC2492" s="59"/>
      <c r="NID2492" s="61"/>
      <c r="NIE2492" s="59"/>
      <c r="NIF2492" s="59"/>
      <c r="NIG2492" s="60"/>
      <c r="NIH2492" s="60"/>
      <c r="NII2492" s="60"/>
      <c r="NIJ2492" s="60"/>
      <c r="NIK2492" s="59"/>
      <c r="NIL2492" s="61"/>
      <c r="NIM2492" s="59"/>
      <c r="NIN2492" s="59"/>
      <c r="NIO2492" s="60"/>
      <c r="NIP2492" s="60"/>
      <c r="NIQ2492" s="60"/>
      <c r="NIR2492" s="60"/>
      <c r="NIS2492" s="59"/>
      <c r="NIT2492" s="61"/>
      <c r="NIU2492" s="59"/>
      <c r="NIV2492" s="59"/>
      <c r="NIW2492" s="60"/>
      <c r="NIX2492" s="60"/>
      <c r="NIY2492" s="60"/>
      <c r="NIZ2492" s="60"/>
      <c r="NJA2492" s="59"/>
      <c r="NJB2492" s="61"/>
      <c r="NJC2492" s="59"/>
      <c r="NJD2492" s="59"/>
      <c r="NJE2492" s="60"/>
      <c r="NJF2492" s="60"/>
      <c r="NJG2492" s="60"/>
      <c r="NJH2492" s="60"/>
      <c r="NJI2492" s="59"/>
      <c r="NJJ2492" s="61"/>
      <c r="NJK2492" s="59"/>
      <c r="NJL2492" s="59"/>
      <c r="NJM2492" s="60"/>
      <c r="NJN2492" s="60"/>
      <c r="NJO2492" s="60"/>
      <c r="NJP2492" s="60"/>
      <c r="NJQ2492" s="59"/>
      <c r="NJR2492" s="61"/>
      <c r="NJS2492" s="59"/>
      <c r="NJT2492" s="59"/>
      <c r="NJU2492" s="60"/>
      <c r="NJV2492" s="60"/>
      <c r="NJW2492" s="60"/>
      <c r="NJX2492" s="60"/>
      <c r="NJY2492" s="59"/>
      <c r="NJZ2492" s="61"/>
      <c r="NKA2492" s="59"/>
      <c r="NKB2492" s="59"/>
      <c r="NKC2492" s="60"/>
      <c r="NKD2492" s="60"/>
      <c r="NKE2492" s="60"/>
      <c r="NKF2492" s="60"/>
      <c r="NKG2492" s="59"/>
      <c r="NKH2492" s="61"/>
      <c r="NKI2492" s="59"/>
      <c r="NKJ2492" s="59"/>
      <c r="NKK2492" s="60"/>
      <c r="NKL2492" s="60"/>
      <c r="NKM2492" s="60"/>
      <c r="NKN2492" s="60"/>
      <c r="NKO2492" s="59"/>
      <c r="NKP2492" s="61"/>
      <c r="NKQ2492" s="59"/>
      <c r="NKR2492" s="59"/>
      <c r="NKS2492" s="60"/>
      <c r="NKT2492" s="60"/>
      <c r="NKU2492" s="60"/>
      <c r="NKV2492" s="60"/>
      <c r="NKW2492" s="59"/>
      <c r="NKX2492" s="61"/>
      <c r="NKY2492" s="59"/>
      <c r="NKZ2492" s="59"/>
      <c r="NLA2492" s="60"/>
      <c r="NLB2492" s="60"/>
      <c r="NLC2492" s="60"/>
      <c r="NLD2492" s="60"/>
      <c r="NLE2492" s="59"/>
      <c r="NLF2492" s="61"/>
      <c r="NLG2492" s="59"/>
      <c r="NLH2492" s="59"/>
      <c r="NLI2492" s="60"/>
      <c r="NLJ2492" s="60"/>
      <c r="NLK2492" s="60"/>
      <c r="NLL2492" s="60"/>
      <c r="NLM2492" s="59"/>
      <c r="NLN2492" s="61"/>
      <c r="NLO2492" s="59"/>
      <c r="NLP2492" s="59"/>
      <c r="NLQ2492" s="60"/>
      <c r="NLR2492" s="60"/>
      <c r="NLS2492" s="60"/>
      <c r="NLT2492" s="60"/>
      <c r="NLU2492" s="59"/>
      <c r="NLV2492" s="61"/>
      <c r="NLW2492" s="59"/>
      <c r="NLX2492" s="59"/>
      <c r="NLY2492" s="60"/>
      <c r="NLZ2492" s="60"/>
      <c r="NMA2492" s="60"/>
      <c r="NMB2492" s="60"/>
      <c r="NMC2492" s="59"/>
      <c r="NMD2492" s="61"/>
      <c r="NME2492" s="59"/>
      <c r="NMF2492" s="59"/>
      <c r="NMG2492" s="60"/>
      <c r="NMH2492" s="60"/>
      <c r="NMI2492" s="60"/>
      <c r="NMJ2492" s="60"/>
      <c r="NMK2492" s="59"/>
      <c r="NML2492" s="61"/>
      <c r="NMM2492" s="59"/>
      <c r="NMN2492" s="59"/>
      <c r="NMO2492" s="60"/>
      <c r="NMP2492" s="60"/>
      <c r="NMQ2492" s="60"/>
      <c r="NMR2492" s="60"/>
      <c r="NMS2492" s="59"/>
      <c r="NMT2492" s="61"/>
      <c r="NMU2492" s="59"/>
      <c r="NMV2492" s="59"/>
      <c r="NMW2492" s="60"/>
      <c r="NMX2492" s="60"/>
      <c r="NMY2492" s="60"/>
      <c r="NMZ2492" s="60"/>
      <c r="NNA2492" s="59"/>
      <c r="NNB2492" s="61"/>
      <c r="NNC2492" s="59"/>
      <c r="NND2492" s="59"/>
      <c r="NNE2492" s="60"/>
      <c r="NNF2492" s="60"/>
      <c r="NNG2492" s="60"/>
      <c r="NNH2492" s="60"/>
      <c r="NNI2492" s="59"/>
      <c r="NNJ2492" s="61"/>
      <c r="NNK2492" s="59"/>
      <c r="NNL2492" s="59"/>
      <c r="NNM2492" s="60"/>
      <c r="NNN2492" s="60"/>
      <c r="NNO2492" s="60"/>
      <c r="NNP2492" s="60"/>
      <c r="NNQ2492" s="59"/>
      <c r="NNR2492" s="61"/>
      <c r="NNS2492" s="59"/>
      <c r="NNT2492" s="59"/>
      <c r="NNU2492" s="60"/>
      <c r="NNV2492" s="60"/>
      <c r="NNW2492" s="60"/>
      <c r="NNX2492" s="60"/>
      <c r="NNY2492" s="59"/>
      <c r="NNZ2492" s="61"/>
      <c r="NOA2492" s="59"/>
      <c r="NOB2492" s="59"/>
      <c r="NOC2492" s="60"/>
      <c r="NOD2492" s="60"/>
      <c r="NOE2492" s="60"/>
      <c r="NOF2492" s="60"/>
      <c r="NOG2492" s="59"/>
      <c r="NOH2492" s="61"/>
      <c r="NOI2492" s="59"/>
      <c r="NOJ2492" s="59"/>
      <c r="NOK2492" s="60"/>
      <c r="NOL2492" s="60"/>
      <c r="NOM2492" s="60"/>
      <c r="NON2492" s="60"/>
      <c r="NOO2492" s="59"/>
      <c r="NOP2492" s="61"/>
      <c r="NOQ2492" s="59"/>
      <c r="NOR2492" s="59"/>
      <c r="NOS2492" s="60"/>
      <c r="NOT2492" s="60"/>
      <c r="NOU2492" s="60"/>
      <c r="NOV2492" s="60"/>
      <c r="NOW2492" s="59"/>
      <c r="NOX2492" s="61"/>
      <c r="NOY2492" s="59"/>
      <c r="NOZ2492" s="59"/>
      <c r="NPA2492" s="60"/>
      <c r="NPB2492" s="60"/>
      <c r="NPC2492" s="60"/>
      <c r="NPD2492" s="60"/>
      <c r="NPE2492" s="59"/>
      <c r="NPF2492" s="61"/>
      <c r="NPG2492" s="59"/>
      <c r="NPH2492" s="59"/>
      <c r="NPI2492" s="60"/>
      <c r="NPJ2492" s="60"/>
      <c r="NPK2492" s="60"/>
      <c r="NPL2492" s="60"/>
      <c r="NPM2492" s="59"/>
      <c r="NPN2492" s="61"/>
      <c r="NPO2492" s="59"/>
      <c r="NPP2492" s="59"/>
      <c r="NPQ2492" s="60"/>
      <c r="NPR2492" s="60"/>
      <c r="NPS2492" s="60"/>
      <c r="NPT2492" s="60"/>
      <c r="NPU2492" s="59"/>
      <c r="NPV2492" s="61"/>
      <c r="NPW2492" s="59"/>
      <c r="NPX2492" s="59"/>
      <c r="NPY2492" s="60"/>
      <c r="NPZ2492" s="60"/>
      <c r="NQA2492" s="60"/>
      <c r="NQB2492" s="60"/>
      <c r="NQC2492" s="59"/>
      <c r="NQD2492" s="61"/>
      <c r="NQE2492" s="59"/>
      <c r="NQF2492" s="59"/>
      <c r="NQG2492" s="60"/>
      <c r="NQH2492" s="60"/>
      <c r="NQI2492" s="60"/>
      <c r="NQJ2492" s="60"/>
      <c r="NQK2492" s="59"/>
      <c r="NQL2492" s="61"/>
      <c r="NQM2492" s="59"/>
      <c r="NQN2492" s="59"/>
      <c r="NQO2492" s="60"/>
      <c r="NQP2492" s="60"/>
      <c r="NQQ2492" s="60"/>
      <c r="NQR2492" s="60"/>
      <c r="NQS2492" s="59"/>
      <c r="NQT2492" s="61"/>
      <c r="NQU2492" s="59"/>
      <c r="NQV2492" s="59"/>
      <c r="NQW2492" s="60"/>
      <c r="NQX2492" s="60"/>
      <c r="NQY2492" s="60"/>
      <c r="NQZ2492" s="60"/>
      <c r="NRA2492" s="59"/>
      <c r="NRB2492" s="61"/>
      <c r="NRC2492" s="59"/>
      <c r="NRD2492" s="59"/>
      <c r="NRE2492" s="60"/>
      <c r="NRF2492" s="60"/>
      <c r="NRG2492" s="60"/>
      <c r="NRH2492" s="60"/>
      <c r="NRI2492" s="59"/>
      <c r="NRJ2492" s="61"/>
      <c r="NRK2492" s="59"/>
      <c r="NRL2492" s="59"/>
      <c r="NRM2492" s="60"/>
      <c r="NRN2492" s="60"/>
      <c r="NRO2492" s="60"/>
      <c r="NRP2492" s="60"/>
      <c r="NRQ2492" s="59"/>
      <c r="NRR2492" s="61"/>
      <c r="NRS2492" s="59"/>
      <c r="NRT2492" s="59"/>
      <c r="NRU2492" s="60"/>
      <c r="NRV2492" s="60"/>
      <c r="NRW2492" s="60"/>
      <c r="NRX2492" s="60"/>
      <c r="NRY2492" s="59"/>
      <c r="NRZ2492" s="61"/>
      <c r="NSA2492" s="59"/>
      <c r="NSB2492" s="59"/>
      <c r="NSC2492" s="60"/>
      <c r="NSD2492" s="60"/>
      <c r="NSE2492" s="60"/>
      <c r="NSF2492" s="60"/>
      <c r="NSG2492" s="59"/>
      <c r="NSH2492" s="61"/>
      <c r="NSI2492" s="59"/>
      <c r="NSJ2492" s="59"/>
      <c r="NSK2492" s="60"/>
      <c r="NSL2492" s="60"/>
      <c r="NSM2492" s="60"/>
      <c r="NSN2492" s="60"/>
      <c r="NSO2492" s="59"/>
      <c r="NSP2492" s="61"/>
      <c r="NSQ2492" s="59"/>
      <c r="NSR2492" s="59"/>
      <c r="NSS2492" s="60"/>
      <c r="NST2492" s="60"/>
      <c r="NSU2492" s="60"/>
      <c r="NSV2492" s="60"/>
      <c r="NSW2492" s="59"/>
      <c r="NSX2492" s="61"/>
      <c r="NSY2492" s="59"/>
      <c r="NSZ2492" s="59"/>
      <c r="NTA2492" s="60"/>
      <c r="NTB2492" s="60"/>
      <c r="NTC2492" s="60"/>
      <c r="NTD2492" s="60"/>
      <c r="NTE2492" s="59"/>
      <c r="NTF2492" s="61"/>
      <c r="NTG2492" s="59"/>
      <c r="NTH2492" s="59"/>
      <c r="NTI2492" s="60"/>
      <c r="NTJ2492" s="60"/>
      <c r="NTK2492" s="60"/>
      <c r="NTL2492" s="60"/>
      <c r="NTM2492" s="59"/>
      <c r="NTN2492" s="61"/>
      <c r="NTO2492" s="59"/>
      <c r="NTP2492" s="59"/>
      <c r="NTQ2492" s="60"/>
      <c r="NTR2492" s="60"/>
      <c r="NTS2492" s="60"/>
      <c r="NTT2492" s="60"/>
      <c r="NTU2492" s="59"/>
      <c r="NTV2492" s="61"/>
      <c r="NTW2492" s="59"/>
      <c r="NTX2492" s="59"/>
      <c r="NTY2492" s="60"/>
      <c r="NTZ2492" s="60"/>
      <c r="NUA2492" s="60"/>
      <c r="NUB2492" s="60"/>
      <c r="NUC2492" s="59"/>
      <c r="NUD2492" s="61"/>
      <c r="NUE2492" s="59"/>
      <c r="NUF2492" s="59"/>
      <c r="NUG2492" s="60"/>
      <c r="NUH2492" s="60"/>
      <c r="NUI2492" s="60"/>
      <c r="NUJ2492" s="60"/>
      <c r="NUK2492" s="59"/>
      <c r="NUL2492" s="61"/>
      <c r="NUM2492" s="59"/>
      <c r="NUN2492" s="59"/>
      <c r="NUO2492" s="60"/>
      <c r="NUP2492" s="60"/>
      <c r="NUQ2492" s="60"/>
      <c r="NUR2492" s="60"/>
      <c r="NUS2492" s="59"/>
      <c r="NUT2492" s="61"/>
      <c r="NUU2492" s="59"/>
      <c r="NUV2492" s="59"/>
      <c r="NUW2492" s="60"/>
      <c r="NUX2492" s="60"/>
      <c r="NUY2492" s="60"/>
      <c r="NUZ2492" s="60"/>
      <c r="NVA2492" s="59"/>
      <c r="NVB2492" s="61"/>
      <c r="NVC2492" s="59"/>
      <c r="NVD2492" s="59"/>
      <c r="NVE2492" s="60"/>
      <c r="NVF2492" s="60"/>
      <c r="NVG2492" s="60"/>
      <c r="NVH2492" s="60"/>
      <c r="NVI2492" s="59"/>
      <c r="NVJ2492" s="61"/>
      <c r="NVK2492" s="59"/>
      <c r="NVL2492" s="59"/>
      <c r="NVM2492" s="60"/>
      <c r="NVN2492" s="60"/>
      <c r="NVO2492" s="60"/>
      <c r="NVP2492" s="60"/>
      <c r="NVQ2492" s="59"/>
      <c r="NVR2492" s="61"/>
      <c r="NVS2492" s="59"/>
      <c r="NVT2492" s="59"/>
      <c r="NVU2492" s="60"/>
      <c r="NVV2492" s="60"/>
      <c r="NVW2492" s="60"/>
      <c r="NVX2492" s="60"/>
      <c r="NVY2492" s="59"/>
      <c r="NVZ2492" s="61"/>
      <c r="NWA2492" s="59"/>
      <c r="NWB2492" s="59"/>
      <c r="NWC2492" s="60"/>
      <c r="NWD2492" s="60"/>
      <c r="NWE2492" s="60"/>
      <c r="NWF2492" s="60"/>
      <c r="NWG2492" s="59"/>
      <c r="NWH2492" s="61"/>
      <c r="NWI2492" s="59"/>
      <c r="NWJ2492" s="59"/>
      <c r="NWK2492" s="60"/>
      <c r="NWL2492" s="60"/>
      <c r="NWM2492" s="60"/>
      <c r="NWN2492" s="60"/>
      <c r="NWO2492" s="59"/>
      <c r="NWP2492" s="61"/>
      <c r="NWQ2492" s="59"/>
      <c r="NWR2492" s="59"/>
      <c r="NWS2492" s="60"/>
      <c r="NWT2492" s="60"/>
      <c r="NWU2492" s="60"/>
      <c r="NWV2492" s="60"/>
      <c r="NWW2492" s="59"/>
      <c r="NWX2492" s="61"/>
      <c r="NWY2492" s="59"/>
      <c r="NWZ2492" s="59"/>
      <c r="NXA2492" s="60"/>
      <c r="NXB2492" s="60"/>
      <c r="NXC2492" s="60"/>
      <c r="NXD2492" s="60"/>
      <c r="NXE2492" s="59"/>
      <c r="NXF2492" s="61"/>
      <c r="NXG2492" s="59"/>
      <c r="NXH2492" s="59"/>
      <c r="NXI2492" s="60"/>
      <c r="NXJ2492" s="60"/>
      <c r="NXK2492" s="60"/>
      <c r="NXL2492" s="60"/>
      <c r="NXM2492" s="59"/>
      <c r="NXN2492" s="61"/>
      <c r="NXO2492" s="59"/>
      <c r="NXP2492" s="59"/>
      <c r="NXQ2492" s="60"/>
      <c r="NXR2492" s="60"/>
      <c r="NXS2492" s="60"/>
      <c r="NXT2492" s="60"/>
      <c r="NXU2492" s="59"/>
      <c r="NXV2492" s="61"/>
      <c r="NXW2492" s="59"/>
      <c r="NXX2492" s="59"/>
      <c r="NXY2492" s="60"/>
      <c r="NXZ2492" s="60"/>
      <c r="NYA2492" s="60"/>
      <c r="NYB2492" s="60"/>
      <c r="NYC2492" s="59"/>
      <c r="NYD2492" s="61"/>
      <c r="NYE2492" s="59"/>
      <c r="NYF2492" s="59"/>
      <c r="NYG2492" s="60"/>
      <c r="NYH2492" s="60"/>
      <c r="NYI2492" s="60"/>
      <c r="NYJ2492" s="60"/>
      <c r="NYK2492" s="59"/>
      <c r="NYL2492" s="61"/>
      <c r="NYM2492" s="59"/>
      <c r="NYN2492" s="59"/>
      <c r="NYO2492" s="60"/>
      <c r="NYP2492" s="60"/>
      <c r="NYQ2492" s="60"/>
      <c r="NYR2492" s="60"/>
      <c r="NYS2492" s="59"/>
      <c r="NYT2492" s="61"/>
      <c r="NYU2492" s="59"/>
      <c r="NYV2492" s="59"/>
      <c r="NYW2492" s="60"/>
      <c r="NYX2492" s="60"/>
      <c r="NYY2492" s="60"/>
      <c r="NYZ2492" s="60"/>
      <c r="NZA2492" s="59"/>
      <c r="NZB2492" s="61"/>
      <c r="NZC2492" s="59"/>
      <c r="NZD2492" s="59"/>
      <c r="NZE2492" s="60"/>
      <c r="NZF2492" s="60"/>
      <c r="NZG2492" s="60"/>
      <c r="NZH2492" s="60"/>
      <c r="NZI2492" s="59"/>
      <c r="NZJ2492" s="61"/>
      <c r="NZK2492" s="59"/>
      <c r="NZL2492" s="59"/>
      <c r="NZM2492" s="60"/>
      <c r="NZN2492" s="60"/>
      <c r="NZO2492" s="60"/>
      <c r="NZP2492" s="60"/>
      <c r="NZQ2492" s="59"/>
      <c r="NZR2492" s="61"/>
      <c r="NZS2492" s="59"/>
      <c r="NZT2492" s="59"/>
      <c r="NZU2492" s="60"/>
      <c r="NZV2492" s="60"/>
      <c r="NZW2492" s="60"/>
      <c r="NZX2492" s="60"/>
      <c r="NZY2492" s="59"/>
      <c r="NZZ2492" s="61"/>
      <c r="OAA2492" s="59"/>
      <c r="OAB2492" s="59"/>
      <c r="OAC2492" s="60"/>
      <c r="OAD2492" s="60"/>
      <c r="OAE2492" s="60"/>
      <c r="OAF2492" s="60"/>
      <c r="OAG2492" s="59"/>
      <c r="OAH2492" s="61"/>
      <c r="OAI2492" s="59"/>
      <c r="OAJ2492" s="59"/>
      <c r="OAK2492" s="60"/>
      <c r="OAL2492" s="60"/>
      <c r="OAM2492" s="60"/>
      <c r="OAN2492" s="60"/>
      <c r="OAO2492" s="59"/>
      <c r="OAP2492" s="61"/>
      <c r="OAQ2492" s="59"/>
      <c r="OAR2492" s="59"/>
      <c r="OAS2492" s="60"/>
      <c r="OAT2492" s="60"/>
      <c r="OAU2492" s="60"/>
      <c r="OAV2492" s="60"/>
      <c r="OAW2492" s="59"/>
      <c r="OAX2492" s="61"/>
      <c r="OAY2492" s="59"/>
      <c r="OAZ2492" s="59"/>
      <c r="OBA2492" s="60"/>
      <c r="OBB2492" s="60"/>
      <c r="OBC2492" s="60"/>
      <c r="OBD2492" s="60"/>
      <c r="OBE2492" s="59"/>
      <c r="OBF2492" s="61"/>
      <c r="OBG2492" s="59"/>
      <c r="OBH2492" s="59"/>
      <c r="OBI2492" s="60"/>
      <c r="OBJ2492" s="60"/>
      <c r="OBK2492" s="60"/>
      <c r="OBL2492" s="60"/>
      <c r="OBM2492" s="59"/>
      <c r="OBN2492" s="61"/>
      <c r="OBO2492" s="59"/>
      <c r="OBP2492" s="59"/>
      <c r="OBQ2492" s="60"/>
      <c r="OBR2492" s="60"/>
      <c r="OBS2492" s="60"/>
      <c r="OBT2492" s="60"/>
      <c r="OBU2492" s="59"/>
      <c r="OBV2492" s="61"/>
      <c r="OBW2492" s="59"/>
      <c r="OBX2492" s="59"/>
      <c r="OBY2492" s="60"/>
      <c r="OBZ2492" s="60"/>
      <c r="OCA2492" s="60"/>
      <c r="OCB2492" s="60"/>
      <c r="OCC2492" s="59"/>
      <c r="OCD2492" s="61"/>
      <c r="OCE2492" s="59"/>
      <c r="OCF2492" s="59"/>
      <c r="OCG2492" s="60"/>
      <c r="OCH2492" s="60"/>
      <c r="OCI2492" s="60"/>
      <c r="OCJ2492" s="60"/>
      <c r="OCK2492" s="59"/>
      <c r="OCL2492" s="61"/>
      <c r="OCM2492" s="59"/>
      <c r="OCN2492" s="59"/>
      <c r="OCO2492" s="60"/>
      <c r="OCP2492" s="60"/>
      <c r="OCQ2492" s="60"/>
      <c r="OCR2492" s="60"/>
      <c r="OCS2492" s="59"/>
      <c r="OCT2492" s="61"/>
      <c r="OCU2492" s="59"/>
      <c r="OCV2492" s="59"/>
      <c r="OCW2492" s="60"/>
      <c r="OCX2492" s="60"/>
      <c r="OCY2492" s="60"/>
      <c r="OCZ2492" s="60"/>
      <c r="ODA2492" s="59"/>
      <c r="ODB2492" s="61"/>
      <c r="ODC2492" s="59"/>
      <c r="ODD2492" s="59"/>
      <c r="ODE2492" s="60"/>
      <c r="ODF2492" s="60"/>
      <c r="ODG2492" s="60"/>
      <c r="ODH2492" s="60"/>
      <c r="ODI2492" s="59"/>
      <c r="ODJ2492" s="61"/>
      <c r="ODK2492" s="59"/>
      <c r="ODL2492" s="59"/>
      <c r="ODM2492" s="60"/>
      <c r="ODN2492" s="60"/>
      <c r="ODO2492" s="60"/>
      <c r="ODP2492" s="60"/>
      <c r="ODQ2492" s="59"/>
      <c r="ODR2492" s="61"/>
      <c r="ODS2492" s="59"/>
      <c r="ODT2492" s="59"/>
      <c r="ODU2492" s="60"/>
      <c r="ODV2492" s="60"/>
      <c r="ODW2492" s="60"/>
      <c r="ODX2492" s="60"/>
      <c r="ODY2492" s="59"/>
      <c r="ODZ2492" s="61"/>
      <c r="OEA2492" s="59"/>
      <c r="OEB2492" s="59"/>
      <c r="OEC2492" s="60"/>
      <c r="OED2492" s="60"/>
      <c r="OEE2492" s="60"/>
      <c r="OEF2492" s="60"/>
      <c r="OEG2492" s="59"/>
      <c r="OEH2492" s="61"/>
      <c r="OEI2492" s="59"/>
      <c r="OEJ2492" s="59"/>
      <c r="OEK2492" s="60"/>
      <c r="OEL2492" s="60"/>
      <c r="OEM2492" s="60"/>
      <c r="OEN2492" s="60"/>
      <c r="OEO2492" s="59"/>
      <c r="OEP2492" s="61"/>
      <c r="OEQ2492" s="59"/>
      <c r="OER2492" s="59"/>
      <c r="OES2492" s="60"/>
      <c r="OET2492" s="60"/>
      <c r="OEU2492" s="60"/>
      <c r="OEV2492" s="60"/>
      <c r="OEW2492" s="59"/>
      <c r="OEX2492" s="61"/>
      <c r="OEY2492" s="59"/>
      <c r="OEZ2492" s="59"/>
      <c r="OFA2492" s="60"/>
      <c r="OFB2492" s="60"/>
      <c r="OFC2492" s="60"/>
      <c r="OFD2492" s="60"/>
      <c r="OFE2492" s="59"/>
      <c r="OFF2492" s="61"/>
      <c r="OFG2492" s="59"/>
      <c r="OFH2492" s="59"/>
      <c r="OFI2492" s="60"/>
      <c r="OFJ2492" s="60"/>
      <c r="OFK2492" s="60"/>
      <c r="OFL2492" s="60"/>
      <c r="OFM2492" s="59"/>
      <c r="OFN2492" s="61"/>
      <c r="OFO2492" s="59"/>
      <c r="OFP2492" s="59"/>
      <c r="OFQ2492" s="60"/>
      <c r="OFR2492" s="60"/>
      <c r="OFS2492" s="60"/>
      <c r="OFT2492" s="60"/>
      <c r="OFU2492" s="59"/>
      <c r="OFV2492" s="61"/>
      <c r="OFW2492" s="59"/>
      <c r="OFX2492" s="59"/>
      <c r="OFY2492" s="60"/>
      <c r="OFZ2492" s="60"/>
      <c r="OGA2492" s="60"/>
      <c r="OGB2492" s="60"/>
      <c r="OGC2492" s="59"/>
      <c r="OGD2492" s="61"/>
      <c r="OGE2492" s="59"/>
      <c r="OGF2492" s="59"/>
      <c r="OGG2492" s="60"/>
      <c r="OGH2492" s="60"/>
      <c r="OGI2492" s="60"/>
      <c r="OGJ2492" s="60"/>
      <c r="OGK2492" s="59"/>
      <c r="OGL2492" s="61"/>
      <c r="OGM2492" s="59"/>
      <c r="OGN2492" s="59"/>
      <c r="OGO2492" s="60"/>
      <c r="OGP2492" s="60"/>
      <c r="OGQ2492" s="60"/>
      <c r="OGR2492" s="60"/>
      <c r="OGS2492" s="59"/>
      <c r="OGT2492" s="61"/>
      <c r="OGU2492" s="59"/>
      <c r="OGV2492" s="59"/>
      <c r="OGW2492" s="60"/>
      <c r="OGX2492" s="60"/>
      <c r="OGY2492" s="60"/>
      <c r="OGZ2492" s="60"/>
      <c r="OHA2492" s="59"/>
      <c r="OHB2492" s="61"/>
      <c r="OHC2492" s="59"/>
      <c r="OHD2492" s="59"/>
      <c r="OHE2492" s="60"/>
      <c r="OHF2492" s="60"/>
      <c r="OHG2492" s="60"/>
      <c r="OHH2492" s="60"/>
      <c r="OHI2492" s="59"/>
      <c r="OHJ2492" s="61"/>
      <c r="OHK2492" s="59"/>
      <c r="OHL2492" s="59"/>
      <c r="OHM2492" s="60"/>
      <c r="OHN2492" s="60"/>
      <c r="OHO2492" s="60"/>
      <c r="OHP2492" s="60"/>
      <c r="OHQ2492" s="59"/>
      <c r="OHR2492" s="61"/>
      <c r="OHS2492" s="59"/>
      <c r="OHT2492" s="59"/>
      <c r="OHU2492" s="60"/>
      <c r="OHV2492" s="60"/>
      <c r="OHW2492" s="60"/>
      <c r="OHX2492" s="60"/>
      <c r="OHY2492" s="59"/>
      <c r="OHZ2492" s="61"/>
      <c r="OIA2492" s="59"/>
      <c r="OIB2492" s="59"/>
      <c r="OIC2492" s="60"/>
      <c r="OID2492" s="60"/>
      <c r="OIE2492" s="60"/>
      <c r="OIF2492" s="60"/>
      <c r="OIG2492" s="59"/>
      <c r="OIH2492" s="61"/>
      <c r="OII2492" s="59"/>
      <c r="OIJ2492" s="59"/>
      <c r="OIK2492" s="60"/>
      <c r="OIL2492" s="60"/>
      <c r="OIM2492" s="60"/>
      <c r="OIN2492" s="60"/>
      <c r="OIO2492" s="59"/>
      <c r="OIP2492" s="61"/>
      <c r="OIQ2492" s="59"/>
      <c r="OIR2492" s="59"/>
      <c r="OIS2492" s="60"/>
      <c r="OIT2492" s="60"/>
      <c r="OIU2492" s="60"/>
      <c r="OIV2492" s="60"/>
      <c r="OIW2492" s="59"/>
      <c r="OIX2492" s="61"/>
      <c r="OIY2492" s="59"/>
      <c r="OIZ2492" s="59"/>
      <c r="OJA2492" s="60"/>
      <c r="OJB2492" s="60"/>
      <c r="OJC2492" s="60"/>
      <c r="OJD2492" s="60"/>
      <c r="OJE2492" s="59"/>
      <c r="OJF2492" s="61"/>
      <c r="OJG2492" s="59"/>
      <c r="OJH2492" s="59"/>
      <c r="OJI2492" s="60"/>
      <c r="OJJ2492" s="60"/>
      <c r="OJK2492" s="60"/>
      <c r="OJL2492" s="60"/>
      <c r="OJM2492" s="59"/>
      <c r="OJN2492" s="61"/>
      <c r="OJO2492" s="59"/>
      <c r="OJP2492" s="59"/>
      <c r="OJQ2492" s="60"/>
      <c r="OJR2492" s="60"/>
      <c r="OJS2492" s="60"/>
      <c r="OJT2492" s="60"/>
      <c r="OJU2492" s="59"/>
      <c r="OJV2492" s="61"/>
      <c r="OJW2492" s="59"/>
      <c r="OJX2492" s="59"/>
      <c r="OJY2492" s="60"/>
      <c r="OJZ2492" s="60"/>
      <c r="OKA2492" s="60"/>
      <c r="OKB2492" s="60"/>
      <c r="OKC2492" s="59"/>
      <c r="OKD2492" s="61"/>
      <c r="OKE2492" s="59"/>
      <c r="OKF2492" s="59"/>
      <c r="OKG2492" s="60"/>
      <c r="OKH2492" s="60"/>
      <c r="OKI2492" s="60"/>
      <c r="OKJ2492" s="60"/>
      <c r="OKK2492" s="59"/>
      <c r="OKL2492" s="61"/>
      <c r="OKM2492" s="59"/>
      <c r="OKN2492" s="59"/>
      <c r="OKO2492" s="60"/>
      <c r="OKP2492" s="60"/>
      <c r="OKQ2492" s="60"/>
      <c r="OKR2492" s="60"/>
      <c r="OKS2492" s="59"/>
      <c r="OKT2492" s="61"/>
      <c r="OKU2492" s="59"/>
      <c r="OKV2492" s="59"/>
      <c r="OKW2492" s="60"/>
      <c r="OKX2492" s="60"/>
      <c r="OKY2492" s="60"/>
      <c r="OKZ2492" s="60"/>
      <c r="OLA2492" s="59"/>
      <c r="OLB2492" s="61"/>
      <c r="OLC2492" s="59"/>
      <c r="OLD2492" s="59"/>
      <c r="OLE2492" s="60"/>
      <c r="OLF2492" s="60"/>
      <c r="OLG2492" s="60"/>
      <c r="OLH2492" s="60"/>
      <c r="OLI2492" s="59"/>
      <c r="OLJ2492" s="61"/>
      <c r="OLK2492" s="59"/>
      <c r="OLL2492" s="59"/>
      <c r="OLM2492" s="60"/>
      <c r="OLN2492" s="60"/>
      <c r="OLO2492" s="60"/>
      <c r="OLP2492" s="60"/>
      <c r="OLQ2492" s="59"/>
      <c r="OLR2492" s="61"/>
      <c r="OLS2492" s="59"/>
      <c r="OLT2492" s="59"/>
      <c r="OLU2492" s="60"/>
      <c r="OLV2492" s="60"/>
      <c r="OLW2492" s="60"/>
      <c r="OLX2492" s="60"/>
      <c r="OLY2492" s="59"/>
      <c r="OLZ2492" s="61"/>
      <c r="OMA2492" s="59"/>
      <c r="OMB2492" s="59"/>
      <c r="OMC2492" s="60"/>
      <c r="OMD2492" s="60"/>
      <c r="OME2492" s="60"/>
      <c r="OMF2492" s="60"/>
      <c r="OMG2492" s="59"/>
      <c r="OMH2492" s="61"/>
      <c r="OMI2492" s="59"/>
      <c r="OMJ2492" s="59"/>
      <c r="OMK2492" s="60"/>
      <c r="OML2492" s="60"/>
      <c r="OMM2492" s="60"/>
      <c r="OMN2492" s="60"/>
      <c r="OMO2492" s="59"/>
      <c r="OMP2492" s="61"/>
      <c r="OMQ2492" s="59"/>
      <c r="OMR2492" s="59"/>
      <c r="OMS2492" s="60"/>
      <c r="OMT2492" s="60"/>
      <c r="OMU2492" s="60"/>
      <c r="OMV2492" s="60"/>
      <c r="OMW2492" s="59"/>
      <c r="OMX2492" s="61"/>
      <c r="OMY2492" s="59"/>
      <c r="OMZ2492" s="59"/>
      <c r="ONA2492" s="60"/>
      <c r="ONB2492" s="60"/>
      <c r="ONC2492" s="60"/>
      <c r="OND2492" s="60"/>
      <c r="ONE2492" s="59"/>
      <c r="ONF2492" s="61"/>
      <c r="ONG2492" s="59"/>
      <c r="ONH2492" s="59"/>
      <c r="ONI2492" s="60"/>
      <c r="ONJ2492" s="60"/>
      <c r="ONK2492" s="60"/>
      <c r="ONL2492" s="60"/>
      <c r="ONM2492" s="59"/>
      <c r="ONN2492" s="61"/>
      <c r="ONO2492" s="59"/>
      <c r="ONP2492" s="59"/>
      <c r="ONQ2492" s="60"/>
      <c r="ONR2492" s="60"/>
      <c r="ONS2492" s="60"/>
      <c r="ONT2492" s="60"/>
      <c r="ONU2492" s="59"/>
      <c r="ONV2492" s="61"/>
      <c r="ONW2492" s="59"/>
      <c r="ONX2492" s="59"/>
      <c r="ONY2492" s="60"/>
      <c r="ONZ2492" s="60"/>
      <c r="OOA2492" s="60"/>
      <c r="OOB2492" s="60"/>
      <c r="OOC2492" s="59"/>
      <c r="OOD2492" s="61"/>
      <c r="OOE2492" s="59"/>
      <c r="OOF2492" s="59"/>
      <c r="OOG2492" s="60"/>
      <c r="OOH2492" s="60"/>
      <c r="OOI2492" s="60"/>
      <c r="OOJ2492" s="60"/>
      <c r="OOK2492" s="59"/>
      <c r="OOL2492" s="61"/>
      <c r="OOM2492" s="59"/>
      <c r="OON2492" s="59"/>
      <c r="OOO2492" s="60"/>
      <c r="OOP2492" s="60"/>
      <c r="OOQ2492" s="60"/>
      <c r="OOR2492" s="60"/>
      <c r="OOS2492" s="59"/>
      <c r="OOT2492" s="61"/>
      <c r="OOU2492" s="59"/>
      <c r="OOV2492" s="59"/>
      <c r="OOW2492" s="60"/>
      <c r="OOX2492" s="60"/>
      <c r="OOY2492" s="60"/>
      <c r="OOZ2492" s="60"/>
      <c r="OPA2492" s="59"/>
      <c r="OPB2492" s="61"/>
      <c r="OPC2492" s="59"/>
      <c r="OPD2492" s="59"/>
      <c r="OPE2492" s="60"/>
      <c r="OPF2492" s="60"/>
      <c r="OPG2492" s="60"/>
      <c r="OPH2492" s="60"/>
      <c r="OPI2492" s="59"/>
      <c r="OPJ2492" s="61"/>
      <c r="OPK2492" s="59"/>
      <c r="OPL2492" s="59"/>
      <c r="OPM2492" s="60"/>
      <c r="OPN2492" s="60"/>
      <c r="OPO2492" s="60"/>
      <c r="OPP2492" s="60"/>
      <c r="OPQ2492" s="59"/>
      <c r="OPR2492" s="61"/>
      <c r="OPS2492" s="59"/>
      <c r="OPT2492" s="59"/>
      <c r="OPU2492" s="60"/>
      <c r="OPV2492" s="60"/>
      <c r="OPW2492" s="60"/>
      <c r="OPX2492" s="60"/>
      <c r="OPY2492" s="59"/>
      <c r="OPZ2492" s="61"/>
      <c r="OQA2492" s="59"/>
      <c r="OQB2492" s="59"/>
      <c r="OQC2492" s="60"/>
      <c r="OQD2492" s="60"/>
      <c r="OQE2492" s="60"/>
      <c r="OQF2492" s="60"/>
      <c r="OQG2492" s="59"/>
      <c r="OQH2492" s="61"/>
      <c r="OQI2492" s="59"/>
      <c r="OQJ2492" s="59"/>
      <c r="OQK2492" s="60"/>
      <c r="OQL2492" s="60"/>
      <c r="OQM2492" s="60"/>
      <c r="OQN2492" s="60"/>
      <c r="OQO2492" s="59"/>
      <c r="OQP2492" s="61"/>
      <c r="OQQ2492" s="59"/>
      <c r="OQR2492" s="59"/>
      <c r="OQS2492" s="60"/>
      <c r="OQT2492" s="60"/>
      <c r="OQU2492" s="60"/>
      <c r="OQV2492" s="60"/>
      <c r="OQW2492" s="59"/>
      <c r="OQX2492" s="61"/>
      <c r="OQY2492" s="59"/>
      <c r="OQZ2492" s="59"/>
      <c r="ORA2492" s="60"/>
      <c r="ORB2492" s="60"/>
      <c r="ORC2492" s="60"/>
      <c r="ORD2492" s="60"/>
      <c r="ORE2492" s="59"/>
      <c r="ORF2492" s="61"/>
      <c r="ORG2492" s="59"/>
      <c r="ORH2492" s="59"/>
      <c r="ORI2492" s="60"/>
      <c r="ORJ2492" s="60"/>
      <c r="ORK2492" s="60"/>
      <c r="ORL2492" s="60"/>
      <c r="ORM2492" s="59"/>
      <c r="ORN2492" s="61"/>
      <c r="ORO2492" s="59"/>
      <c r="ORP2492" s="59"/>
      <c r="ORQ2492" s="60"/>
      <c r="ORR2492" s="60"/>
      <c r="ORS2492" s="60"/>
      <c r="ORT2492" s="60"/>
      <c r="ORU2492" s="59"/>
      <c r="ORV2492" s="61"/>
      <c r="ORW2492" s="59"/>
      <c r="ORX2492" s="59"/>
      <c r="ORY2492" s="60"/>
      <c r="ORZ2492" s="60"/>
      <c r="OSA2492" s="60"/>
      <c r="OSB2492" s="60"/>
      <c r="OSC2492" s="59"/>
      <c r="OSD2492" s="61"/>
      <c r="OSE2492" s="59"/>
      <c r="OSF2492" s="59"/>
      <c r="OSG2492" s="60"/>
      <c r="OSH2492" s="60"/>
      <c r="OSI2492" s="60"/>
      <c r="OSJ2492" s="60"/>
      <c r="OSK2492" s="59"/>
      <c r="OSL2492" s="61"/>
      <c r="OSM2492" s="59"/>
      <c r="OSN2492" s="59"/>
      <c r="OSO2492" s="60"/>
      <c r="OSP2492" s="60"/>
      <c r="OSQ2492" s="60"/>
      <c r="OSR2492" s="60"/>
      <c r="OSS2492" s="59"/>
      <c r="OST2492" s="61"/>
      <c r="OSU2492" s="59"/>
      <c r="OSV2492" s="59"/>
      <c r="OSW2492" s="60"/>
      <c r="OSX2492" s="60"/>
      <c r="OSY2492" s="60"/>
      <c r="OSZ2492" s="60"/>
      <c r="OTA2492" s="59"/>
      <c r="OTB2492" s="61"/>
      <c r="OTC2492" s="59"/>
      <c r="OTD2492" s="59"/>
      <c r="OTE2492" s="60"/>
      <c r="OTF2492" s="60"/>
      <c r="OTG2492" s="60"/>
      <c r="OTH2492" s="60"/>
      <c r="OTI2492" s="59"/>
      <c r="OTJ2492" s="61"/>
      <c r="OTK2492" s="59"/>
      <c r="OTL2492" s="59"/>
      <c r="OTM2492" s="60"/>
      <c r="OTN2492" s="60"/>
      <c r="OTO2492" s="60"/>
      <c r="OTP2492" s="60"/>
      <c r="OTQ2492" s="59"/>
      <c r="OTR2492" s="61"/>
      <c r="OTS2492" s="59"/>
      <c r="OTT2492" s="59"/>
      <c r="OTU2492" s="60"/>
      <c r="OTV2492" s="60"/>
      <c r="OTW2492" s="60"/>
      <c r="OTX2492" s="60"/>
      <c r="OTY2492" s="59"/>
      <c r="OTZ2492" s="61"/>
      <c r="OUA2492" s="59"/>
      <c r="OUB2492" s="59"/>
      <c r="OUC2492" s="60"/>
      <c r="OUD2492" s="60"/>
      <c r="OUE2492" s="60"/>
      <c r="OUF2492" s="60"/>
      <c r="OUG2492" s="59"/>
      <c r="OUH2492" s="61"/>
      <c r="OUI2492" s="59"/>
      <c r="OUJ2492" s="59"/>
      <c r="OUK2492" s="60"/>
      <c r="OUL2492" s="60"/>
      <c r="OUM2492" s="60"/>
      <c r="OUN2492" s="60"/>
      <c r="OUO2492" s="59"/>
      <c r="OUP2492" s="61"/>
      <c r="OUQ2492" s="59"/>
      <c r="OUR2492" s="59"/>
      <c r="OUS2492" s="60"/>
      <c r="OUT2492" s="60"/>
      <c r="OUU2492" s="60"/>
      <c r="OUV2492" s="60"/>
      <c r="OUW2492" s="59"/>
      <c r="OUX2492" s="61"/>
      <c r="OUY2492" s="59"/>
      <c r="OUZ2492" s="59"/>
      <c r="OVA2492" s="60"/>
      <c r="OVB2492" s="60"/>
      <c r="OVC2492" s="60"/>
      <c r="OVD2492" s="60"/>
      <c r="OVE2492" s="59"/>
      <c r="OVF2492" s="61"/>
      <c r="OVG2492" s="59"/>
      <c r="OVH2492" s="59"/>
      <c r="OVI2492" s="60"/>
      <c r="OVJ2492" s="60"/>
      <c r="OVK2492" s="60"/>
      <c r="OVL2492" s="60"/>
      <c r="OVM2492" s="59"/>
      <c r="OVN2492" s="61"/>
      <c r="OVO2492" s="59"/>
      <c r="OVP2492" s="59"/>
      <c r="OVQ2492" s="60"/>
      <c r="OVR2492" s="60"/>
      <c r="OVS2492" s="60"/>
      <c r="OVT2492" s="60"/>
      <c r="OVU2492" s="59"/>
      <c r="OVV2492" s="61"/>
      <c r="OVW2492" s="59"/>
      <c r="OVX2492" s="59"/>
      <c r="OVY2492" s="60"/>
      <c r="OVZ2492" s="60"/>
      <c r="OWA2492" s="60"/>
      <c r="OWB2492" s="60"/>
      <c r="OWC2492" s="59"/>
      <c r="OWD2492" s="61"/>
      <c r="OWE2492" s="59"/>
      <c r="OWF2492" s="59"/>
      <c r="OWG2492" s="60"/>
      <c r="OWH2492" s="60"/>
      <c r="OWI2492" s="60"/>
      <c r="OWJ2492" s="60"/>
      <c r="OWK2492" s="59"/>
      <c r="OWL2492" s="61"/>
      <c r="OWM2492" s="59"/>
      <c r="OWN2492" s="59"/>
      <c r="OWO2492" s="60"/>
      <c r="OWP2492" s="60"/>
      <c r="OWQ2492" s="60"/>
      <c r="OWR2492" s="60"/>
      <c r="OWS2492" s="59"/>
      <c r="OWT2492" s="61"/>
      <c r="OWU2492" s="59"/>
      <c r="OWV2492" s="59"/>
      <c r="OWW2492" s="60"/>
      <c r="OWX2492" s="60"/>
      <c r="OWY2492" s="60"/>
      <c r="OWZ2492" s="60"/>
      <c r="OXA2492" s="59"/>
      <c r="OXB2492" s="61"/>
      <c r="OXC2492" s="59"/>
      <c r="OXD2492" s="59"/>
      <c r="OXE2492" s="60"/>
      <c r="OXF2492" s="60"/>
      <c r="OXG2492" s="60"/>
      <c r="OXH2492" s="60"/>
      <c r="OXI2492" s="59"/>
      <c r="OXJ2492" s="61"/>
      <c r="OXK2492" s="59"/>
      <c r="OXL2492" s="59"/>
      <c r="OXM2492" s="60"/>
      <c r="OXN2492" s="60"/>
      <c r="OXO2492" s="60"/>
      <c r="OXP2492" s="60"/>
      <c r="OXQ2492" s="59"/>
      <c r="OXR2492" s="61"/>
      <c r="OXS2492" s="59"/>
      <c r="OXT2492" s="59"/>
      <c r="OXU2492" s="60"/>
      <c r="OXV2492" s="60"/>
      <c r="OXW2492" s="60"/>
      <c r="OXX2492" s="60"/>
      <c r="OXY2492" s="59"/>
      <c r="OXZ2492" s="61"/>
      <c r="OYA2492" s="59"/>
      <c r="OYB2492" s="59"/>
      <c r="OYC2492" s="60"/>
      <c r="OYD2492" s="60"/>
      <c r="OYE2492" s="60"/>
      <c r="OYF2492" s="60"/>
      <c r="OYG2492" s="59"/>
      <c r="OYH2492" s="61"/>
      <c r="OYI2492" s="59"/>
      <c r="OYJ2492" s="59"/>
      <c r="OYK2492" s="60"/>
      <c r="OYL2492" s="60"/>
      <c r="OYM2492" s="60"/>
      <c r="OYN2492" s="60"/>
      <c r="OYO2492" s="59"/>
      <c r="OYP2492" s="61"/>
      <c r="OYQ2492" s="59"/>
      <c r="OYR2492" s="59"/>
      <c r="OYS2492" s="60"/>
      <c r="OYT2492" s="60"/>
      <c r="OYU2492" s="60"/>
      <c r="OYV2492" s="60"/>
      <c r="OYW2492" s="59"/>
      <c r="OYX2492" s="61"/>
      <c r="OYY2492" s="59"/>
      <c r="OYZ2492" s="59"/>
      <c r="OZA2492" s="60"/>
      <c r="OZB2492" s="60"/>
      <c r="OZC2492" s="60"/>
      <c r="OZD2492" s="60"/>
      <c r="OZE2492" s="59"/>
      <c r="OZF2492" s="61"/>
      <c r="OZG2492" s="59"/>
      <c r="OZH2492" s="59"/>
      <c r="OZI2492" s="60"/>
      <c r="OZJ2492" s="60"/>
      <c r="OZK2492" s="60"/>
      <c r="OZL2492" s="60"/>
      <c r="OZM2492" s="59"/>
      <c r="OZN2492" s="61"/>
      <c r="OZO2492" s="59"/>
      <c r="OZP2492" s="59"/>
      <c r="OZQ2492" s="60"/>
      <c r="OZR2492" s="60"/>
      <c r="OZS2492" s="60"/>
      <c r="OZT2492" s="60"/>
      <c r="OZU2492" s="59"/>
      <c r="OZV2492" s="61"/>
      <c r="OZW2492" s="59"/>
      <c r="OZX2492" s="59"/>
      <c r="OZY2492" s="60"/>
      <c r="OZZ2492" s="60"/>
      <c r="PAA2492" s="60"/>
      <c r="PAB2492" s="60"/>
      <c r="PAC2492" s="59"/>
      <c r="PAD2492" s="61"/>
      <c r="PAE2492" s="59"/>
      <c r="PAF2492" s="59"/>
      <c r="PAG2492" s="60"/>
      <c r="PAH2492" s="60"/>
      <c r="PAI2492" s="60"/>
      <c r="PAJ2492" s="60"/>
      <c r="PAK2492" s="59"/>
      <c r="PAL2492" s="61"/>
      <c r="PAM2492" s="59"/>
      <c r="PAN2492" s="59"/>
      <c r="PAO2492" s="60"/>
      <c r="PAP2492" s="60"/>
      <c r="PAQ2492" s="60"/>
      <c r="PAR2492" s="60"/>
      <c r="PAS2492" s="59"/>
      <c r="PAT2492" s="61"/>
      <c r="PAU2492" s="59"/>
      <c r="PAV2492" s="59"/>
      <c r="PAW2492" s="60"/>
      <c r="PAX2492" s="60"/>
      <c r="PAY2492" s="60"/>
      <c r="PAZ2492" s="60"/>
      <c r="PBA2492" s="59"/>
      <c r="PBB2492" s="61"/>
      <c r="PBC2492" s="59"/>
      <c r="PBD2492" s="59"/>
      <c r="PBE2492" s="60"/>
      <c r="PBF2492" s="60"/>
      <c r="PBG2492" s="60"/>
      <c r="PBH2492" s="60"/>
      <c r="PBI2492" s="59"/>
      <c r="PBJ2492" s="61"/>
      <c r="PBK2492" s="59"/>
      <c r="PBL2492" s="59"/>
      <c r="PBM2492" s="60"/>
      <c r="PBN2492" s="60"/>
      <c r="PBO2492" s="60"/>
      <c r="PBP2492" s="60"/>
      <c r="PBQ2492" s="59"/>
      <c r="PBR2492" s="61"/>
      <c r="PBS2492" s="59"/>
      <c r="PBT2492" s="59"/>
      <c r="PBU2492" s="60"/>
      <c r="PBV2492" s="60"/>
      <c r="PBW2492" s="60"/>
      <c r="PBX2492" s="60"/>
      <c r="PBY2492" s="59"/>
      <c r="PBZ2492" s="61"/>
      <c r="PCA2492" s="59"/>
      <c r="PCB2492" s="59"/>
      <c r="PCC2492" s="60"/>
      <c r="PCD2492" s="60"/>
      <c r="PCE2492" s="60"/>
      <c r="PCF2492" s="60"/>
      <c r="PCG2492" s="59"/>
      <c r="PCH2492" s="61"/>
      <c r="PCI2492" s="59"/>
      <c r="PCJ2492" s="59"/>
      <c r="PCK2492" s="60"/>
      <c r="PCL2492" s="60"/>
      <c r="PCM2492" s="60"/>
      <c r="PCN2492" s="60"/>
      <c r="PCO2492" s="59"/>
      <c r="PCP2492" s="61"/>
      <c r="PCQ2492" s="59"/>
      <c r="PCR2492" s="59"/>
      <c r="PCS2492" s="60"/>
      <c r="PCT2492" s="60"/>
      <c r="PCU2492" s="60"/>
      <c r="PCV2492" s="60"/>
      <c r="PCW2492" s="59"/>
      <c r="PCX2492" s="61"/>
      <c r="PCY2492" s="59"/>
      <c r="PCZ2492" s="59"/>
      <c r="PDA2492" s="60"/>
      <c r="PDB2492" s="60"/>
      <c r="PDC2492" s="60"/>
      <c r="PDD2492" s="60"/>
      <c r="PDE2492" s="59"/>
      <c r="PDF2492" s="61"/>
      <c r="PDG2492" s="59"/>
      <c r="PDH2492" s="59"/>
      <c r="PDI2492" s="60"/>
      <c r="PDJ2492" s="60"/>
      <c r="PDK2492" s="60"/>
      <c r="PDL2492" s="60"/>
      <c r="PDM2492" s="59"/>
      <c r="PDN2492" s="61"/>
      <c r="PDO2492" s="59"/>
      <c r="PDP2492" s="59"/>
      <c r="PDQ2492" s="60"/>
      <c r="PDR2492" s="60"/>
      <c r="PDS2492" s="60"/>
      <c r="PDT2492" s="60"/>
      <c r="PDU2492" s="59"/>
      <c r="PDV2492" s="61"/>
      <c r="PDW2492" s="59"/>
      <c r="PDX2492" s="59"/>
      <c r="PDY2492" s="60"/>
      <c r="PDZ2492" s="60"/>
      <c r="PEA2492" s="60"/>
      <c r="PEB2492" s="60"/>
      <c r="PEC2492" s="59"/>
      <c r="PED2492" s="61"/>
      <c r="PEE2492" s="59"/>
      <c r="PEF2492" s="59"/>
      <c r="PEG2492" s="60"/>
      <c r="PEH2492" s="60"/>
      <c r="PEI2492" s="60"/>
      <c r="PEJ2492" s="60"/>
      <c r="PEK2492" s="59"/>
      <c r="PEL2492" s="61"/>
      <c r="PEM2492" s="59"/>
      <c r="PEN2492" s="59"/>
      <c r="PEO2492" s="60"/>
      <c r="PEP2492" s="60"/>
      <c r="PEQ2492" s="60"/>
      <c r="PER2492" s="60"/>
      <c r="PES2492" s="59"/>
      <c r="PET2492" s="61"/>
      <c r="PEU2492" s="59"/>
      <c r="PEV2492" s="59"/>
      <c r="PEW2492" s="60"/>
      <c r="PEX2492" s="60"/>
      <c r="PEY2492" s="60"/>
      <c r="PEZ2492" s="60"/>
      <c r="PFA2492" s="59"/>
      <c r="PFB2492" s="61"/>
      <c r="PFC2492" s="59"/>
      <c r="PFD2492" s="59"/>
      <c r="PFE2492" s="60"/>
      <c r="PFF2492" s="60"/>
      <c r="PFG2492" s="60"/>
      <c r="PFH2492" s="60"/>
      <c r="PFI2492" s="59"/>
      <c r="PFJ2492" s="61"/>
      <c r="PFK2492" s="59"/>
      <c r="PFL2492" s="59"/>
      <c r="PFM2492" s="60"/>
      <c r="PFN2492" s="60"/>
      <c r="PFO2492" s="60"/>
      <c r="PFP2492" s="60"/>
      <c r="PFQ2492" s="59"/>
      <c r="PFR2492" s="61"/>
      <c r="PFS2492" s="59"/>
      <c r="PFT2492" s="59"/>
      <c r="PFU2492" s="60"/>
      <c r="PFV2492" s="60"/>
      <c r="PFW2492" s="60"/>
      <c r="PFX2492" s="60"/>
      <c r="PFY2492" s="59"/>
      <c r="PFZ2492" s="61"/>
      <c r="PGA2492" s="59"/>
      <c r="PGB2492" s="59"/>
      <c r="PGC2492" s="60"/>
      <c r="PGD2492" s="60"/>
      <c r="PGE2492" s="60"/>
      <c r="PGF2492" s="60"/>
      <c r="PGG2492" s="59"/>
      <c r="PGH2492" s="61"/>
      <c r="PGI2492" s="59"/>
      <c r="PGJ2492" s="59"/>
      <c r="PGK2492" s="60"/>
      <c r="PGL2492" s="60"/>
      <c r="PGM2492" s="60"/>
      <c r="PGN2492" s="60"/>
      <c r="PGO2492" s="59"/>
      <c r="PGP2492" s="61"/>
      <c r="PGQ2492" s="59"/>
      <c r="PGR2492" s="59"/>
      <c r="PGS2492" s="60"/>
      <c r="PGT2492" s="60"/>
      <c r="PGU2492" s="60"/>
      <c r="PGV2492" s="60"/>
      <c r="PGW2492" s="59"/>
      <c r="PGX2492" s="61"/>
      <c r="PGY2492" s="59"/>
      <c r="PGZ2492" s="59"/>
      <c r="PHA2492" s="60"/>
      <c r="PHB2492" s="60"/>
      <c r="PHC2492" s="60"/>
      <c r="PHD2492" s="60"/>
      <c r="PHE2492" s="59"/>
      <c r="PHF2492" s="61"/>
      <c r="PHG2492" s="59"/>
      <c r="PHH2492" s="59"/>
      <c r="PHI2492" s="60"/>
      <c r="PHJ2492" s="60"/>
      <c r="PHK2492" s="60"/>
      <c r="PHL2492" s="60"/>
      <c r="PHM2492" s="59"/>
      <c r="PHN2492" s="61"/>
      <c r="PHO2492" s="59"/>
      <c r="PHP2492" s="59"/>
      <c r="PHQ2492" s="60"/>
      <c r="PHR2492" s="60"/>
      <c r="PHS2492" s="60"/>
      <c r="PHT2492" s="60"/>
      <c r="PHU2492" s="59"/>
      <c r="PHV2492" s="61"/>
      <c r="PHW2492" s="59"/>
      <c r="PHX2492" s="59"/>
      <c r="PHY2492" s="60"/>
      <c r="PHZ2492" s="60"/>
      <c r="PIA2492" s="60"/>
      <c r="PIB2492" s="60"/>
      <c r="PIC2492" s="59"/>
      <c r="PID2492" s="61"/>
      <c r="PIE2492" s="59"/>
      <c r="PIF2492" s="59"/>
      <c r="PIG2492" s="60"/>
      <c r="PIH2492" s="60"/>
      <c r="PII2492" s="60"/>
      <c r="PIJ2492" s="60"/>
      <c r="PIK2492" s="59"/>
      <c r="PIL2492" s="61"/>
      <c r="PIM2492" s="59"/>
      <c r="PIN2492" s="59"/>
      <c r="PIO2492" s="60"/>
      <c r="PIP2492" s="60"/>
      <c r="PIQ2492" s="60"/>
      <c r="PIR2492" s="60"/>
      <c r="PIS2492" s="59"/>
      <c r="PIT2492" s="61"/>
      <c r="PIU2492" s="59"/>
      <c r="PIV2492" s="59"/>
      <c r="PIW2492" s="60"/>
      <c r="PIX2492" s="60"/>
      <c r="PIY2492" s="60"/>
      <c r="PIZ2492" s="60"/>
      <c r="PJA2492" s="59"/>
      <c r="PJB2492" s="61"/>
      <c r="PJC2492" s="59"/>
      <c r="PJD2492" s="59"/>
      <c r="PJE2492" s="60"/>
      <c r="PJF2492" s="60"/>
      <c r="PJG2492" s="60"/>
      <c r="PJH2492" s="60"/>
      <c r="PJI2492" s="59"/>
      <c r="PJJ2492" s="61"/>
      <c r="PJK2492" s="59"/>
      <c r="PJL2492" s="59"/>
      <c r="PJM2492" s="60"/>
      <c r="PJN2492" s="60"/>
      <c r="PJO2492" s="60"/>
      <c r="PJP2492" s="60"/>
      <c r="PJQ2492" s="59"/>
      <c r="PJR2492" s="61"/>
      <c r="PJS2492" s="59"/>
      <c r="PJT2492" s="59"/>
      <c r="PJU2492" s="60"/>
      <c r="PJV2492" s="60"/>
      <c r="PJW2492" s="60"/>
      <c r="PJX2492" s="60"/>
      <c r="PJY2492" s="59"/>
      <c r="PJZ2492" s="61"/>
      <c r="PKA2492" s="59"/>
      <c r="PKB2492" s="59"/>
      <c r="PKC2492" s="60"/>
      <c r="PKD2492" s="60"/>
      <c r="PKE2492" s="60"/>
      <c r="PKF2492" s="60"/>
      <c r="PKG2492" s="59"/>
      <c r="PKH2492" s="61"/>
      <c r="PKI2492" s="59"/>
      <c r="PKJ2492" s="59"/>
      <c r="PKK2492" s="60"/>
      <c r="PKL2492" s="60"/>
      <c r="PKM2492" s="60"/>
      <c r="PKN2492" s="60"/>
      <c r="PKO2492" s="59"/>
      <c r="PKP2492" s="61"/>
      <c r="PKQ2492" s="59"/>
      <c r="PKR2492" s="59"/>
      <c r="PKS2492" s="60"/>
      <c r="PKT2492" s="60"/>
      <c r="PKU2492" s="60"/>
      <c r="PKV2492" s="60"/>
      <c r="PKW2492" s="59"/>
      <c r="PKX2492" s="61"/>
      <c r="PKY2492" s="59"/>
      <c r="PKZ2492" s="59"/>
      <c r="PLA2492" s="60"/>
      <c r="PLB2492" s="60"/>
      <c r="PLC2492" s="60"/>
      <c r="PLD2492" s="60"/>
      <c r="PLE2492" s="59"/>
      <c r="PLF2492" s="61"/>
      <c r="PLG2492" s="59"/>
      <c r="PLH2492" s="59"/>
      <c r="PLI2492" s="60"/>
      <c r="PLJ2492" s="60"/>
      <c r="PLK2492" s="60"/>
      <c r="PLL2492" s="60"/>
      <c r="PLM2492" s="59"/>
      <c r="PLN2492" s="61"/>
      <c r="PLO2492" s="59"/>
      <c r="PLP2492" s="59"/>
      <c r="PLQ2492" s="60"/>
      <c r="PLR2492" s="60"/>
      <c r="PLS2492" s="60"/>
      <c r="PLT2492" s="60"/>
      <c r="PLU2492" s="59"/>
      <c r="PLV2492" s="61"/>
      <c r="PLW2492" s="59"/>
      <c r="PLX2492" s="59"/>
      <c r="PLY2492" s="60"/>
      <c r="PLZ2492" s="60"/>
      <c r="PMA2492" s="60"/>
      <c r="PMB2492" s="60"/>
      <c r="PMC2492" s="59"/>
      <c r="PMD2492" s="61"/>
      <c r="PME2492" s="59"/>
      <c r="PMF2492" s="59"/>
      <c r="PMG2492" s="60"/>
      <c r="PMH2492" s="60"/>
      <c r="PMI2492" s="60"/>
      <c r="PMJ2492" s="60"/>
      <c r="PMK2492" s="59"/>
      <c r="PML2492" s="61"/>
      <c r="PMM2492" s="59"/>
      <c r="PMN2492" s="59"/>
      <c r="PMO2492" s="60"/>
      <c r="PMP2492" s="60"/>
      <c r="PMQ2492" s="60"/>
      <c r="PMR2492" s="60"/>
      <c r="PMS2492" s="59"/>
      <c r="PMT2492" s="61"/>
      <c r="PMU2492" s="59"/>
      <c r="PMV2492" s="59"/>
      <c r="PMW2492" s="60"/>
      <c r="PMX2492" s="60"/>
      <c r="PMY2492" s="60"/>
      <c r="PMZ2492" s="60"/>
      <c r="PNA2492" s="59"/>
      <c r="PNB2492" s="61"/>
      <c r="PNC2492" s="59"/>
      <c r="PND2492" s="59"/>
      <c r="PNE2492" s="60"/>
      <c r="PNF2492" s="60"/>
      <c r="PNG2492" s="60"/>
      <c r="PNH2492" s="60"/>
      <c r="PNI2492" s="59"/>
      <c r="PNJ2492" s="61"/>
      <c r="PNK2492" s="59"/>
      <c r="PNL2492" s="59"/>
      <c r="PNM2492" s="60"/>
      <c r="PNN2492" s="60"/>
      <c r="PNO2492" s="60"/>
      <c r="PNP2492" s="60"/>
      <c r="PNQ2492" s="59"/>
      <c r="PNR2492" s="61"/>
      <c r="PNS2492" s="59"/>
      <c r="PNT2492" s="59"/>
      <c r="PNU2492" s="60"/>
      <c r="PNV2492" s="60"/>
      <c r="PNW2492" s="60"/>
      <c r="PNX2492" s="60"/>
      <c r="PNY2492" s="59"/>
      <c r="PNZ2492" s="61"/>
      <c r="POA2492" s="59"/>
      <c r="POB2492" s="59"/>
      <c r="POC2492" s="60"/>
      <c r="POD2492" s="60"/>
      <c r="POE2492" s="60"/>
      <c r="POF2492" s="60"/>
      <c r="POG2492" s="59"/>
      <c r="POH2492" s="61"/>
      <c r="POI2492" s="59"/>
      <c r="POJ2492" s="59"/>
      <c r="POK2492" s="60"/>
      <c r="POL2492" s="60"/>
      <c r="POM2492" s="60"/>
      <c r="PON2492" s="60"/>
      <c r="POO2492" s="59"/>
      <c r="POP2492" s="61"/>
      <c r="POQ2492" s="59"/>
      <c r="POR2492" s="59"/>
      <c r="POS2492" s="60"/>
      <c r="POT2492" s="60"/>
      <c r="POU2492" s="60"/>
      <c r="POV2492" s="60"/>
      <c r="POW2492" s="59"/>
      <c r="POX2492" s="61"/>
      <c r="POY2492" s="59"/>
      <c r="POZ2492" s="59"/>
      <c r="PPA2492" s="60"/>
      <c r="PPB2492" s="60"/>
      <c r="PPC2492" s="60"/>
      <c r="PPD2492" s="60"/>
      <c r="PPE2492" s="59"/>
      <c r="PPF2492" s="61"/>
      <c r="PPG2492" s="59"/>
      <c r="PPH2492" s="59"/>
      <c r="PPI2492" s="60"/>
      <c r="PPJ2492" s="60"/>
      <c r="PPK2492" s="60"/>
      <c r="PPL2492" s="60"/>
      <c r="PPM2492" s="59"/>
      <c r="PPN2492" s="61"/>
      <c r="PPO2492" s="59"/>
      <c r="PPP2492" s="59"/>
      <c r="PPQ2492" s="60"/>
      <c r="PPR2492" s="60"/>
      <c r="PPS2492" s="60"/>
      <c r="PPT2492" s="60"/>
      <c r="PPU2492" s="59"/>
      <c r="PPV2492" s="61"/>
      <c r="PPW2492" s="59"/>
      <c r="PPX2492" s="59"/>
      <c r="PPY2492" s="60"/>
      <c r="PPZ2492" s="60"/>
      <c r="PQA2492" s="60"/>
      <c r="PQB2492" s="60"/>
      <c r="PQC2492" s="59"/>
      <c r="PQD2492" s="61"/>
      <c r="PQE2492" s="59"/>
      <c r="PQF2492" s="59"/>
      <c r="PQG2492" s="60"/>
      <c r="PQH2492" s="60"/>
      <c r="PQI2492" s="60"/>
      <c r="PQJ2492" s="60"/>
      <c r="PQK2492" s="59"/>
      <c r="PQL2492" s="61"/>
      <c r="PQM2492" s="59"/>
      <c r="PQN2492" s="59"/>
      <c r="PQO2492" s="60"/>
      <c r="PQP2492" s="60"/>
      <c r="PQQ2492" s="60"/>
      <c r="PQR2492" s="60"/>
      <c r="PQS2492" s="59"/>
      <c r="PQT2492" s="61"/>
      <c r="PQU2492" s="59"/>
      <c r="PQV2492" s="59"/>
      <c r="PQW2492" s="60"/>
      <c r="PQX2492" s="60"/>
      <c r="PQY2492" s="60"/>
      <c r="PQZ2492" s="60"/>
      <c r="PRA2492" s="59"/>
      <c r="PRB2492" s="61"/>
      <c r="PRC2492" s="59"/>
      <c r="PRD2492" s="59"/>
      <c r="PRE2492" s="60"/>
      <c r="PRF2492" s="60"/>
      <c r="PRG2492" s="60"/>
      <c r="PRH2492" s="60"/>
      <c r="PRI2492" s="59"/>
      <c r="PRJ2492" s="61"/>
      <c r="PRK2492" s="59"/>
      <c r="PRL2492" s="59"/>
      <c r="PRM2492" s="60"/>
      <c r="PRN2492" s="60"/>
      <c r="PRO2492" s="60"/>
      <c r="PRP2492" s="60"/>
      <c r="PRQ2492" s="59"/>
      <c r="PRR2492" s="61"/>
      <c r="PRS2492" s="59"/>
      <c r="PRT2492" s="59"/>
      <c r="PRU2492" s="60"/>
      <c r="PRV2492" s="60"/>
      <c r="PRW2492" s="60"/>
      <c r="PRX2492" s="60"/>
      <c r="PRY2492" s="59"/>
      <c r="PRZ2492" s="61"/>
      <c r="PSA2492" s="59"/>
      <c r="PSB2492" s="59"/>
      <c r="PSC2492" s="60"/>
      <c r="PSD2492" s="60"/>
      <c r="PSE2492" s="60"/>
      <c r="PSF2492" s="60"/>
      <c r="PSG2492" s="59"/>
      <c r="PSH2492" s="61"/>
      <c r="PSI2492" s="59"/>
      <c r="PSJ2492" s="59"/>
      <c r="PSK2492" s="60"/>
      <c r="PSL2492" s="60"/>
      <c r="PSM2492" s="60"/>
      <c r="PSN2492" s="60"/>
      <c r="PSO2492" s="59"/>
      <c r="PSP2492" s="61"/>
      <c r="PSQ2492" s="59"/>
      <c r="PSR2492" s="59"/>
      <c r="PSS2492" s="60"/>
      <c r="PST2492" s="60"/>
      <c r="PSU2492" s="60"/>
      <c r="PSV2492" s="60"/>
      <c r="PSW2492" s="59"/>
      <c r="PSX2492" s="61"/>
      <c r="PSY2492" s="59"/>
      <c r="PSZ2492" s="59"/>
      <c r="PTA2492" s="60"/>
      <c r="PTB2492" s="60"/>
      <c r="PTC2492" s="60"/>
      <c r="PTD2492" s="60"/>
      <c r="PTE2492" s="59"/>
      <c r="PTF2492" s="61"/>
      <c r="PTG2492" s="59"/>
      <c r="PTH2492" s="59"/>
      <c r="PTI2492" s="60"/>
      <c r="PTJ2492" s="60"/>
      <c r="PTK2492" s="60"/>
      <c r="PTL2492" s="60"/>
      <c r="PTM2492" s="59"/>
      <c r="PTN2492" s="61"/>
      <c r="PTO2492" s="59"/>
      <c r="PTP2492" s="59"/>
      <c r="PTQ2492" s="60"/>
      <c r="PTR2492" s="60"/>
      <c r="PTS2492" s="60"/>
      <c r="PTT2492" s="60"/>
      <c r="PTU2492" s="59"/>
      <c r="PTV2492" s="61"/>
      <c r="PTW2492" s="59"/>
      <c r="PTX2492" s="59"/>
      <c r="PTY2492" s="60"/>
      <c r="PTZ2492" s="60"/>
      <c r="PUA2492" s="60"/>
      <c r="PUB2492" s="60"/>
      <c r="PUC2492" s="59"/>
      <c r="PUD2492" s="61"/>
      <c r="PUE2492" s="59"/>
      <c r="PUF2492" s="59"/>
      <c r="PUG2492" s="60"/>
      <c r="PUH2492" s="60"/>
      <c r="PUI2492" s="60"/>
      <c r="PUJ2492" s="60"/>
      <c r="PUK2492" s="59"/>
      <c r="PUL2492" s="61"/>
      <c r="PUM2492" s="59"/>
      <c r="PUN2492" s="59"/>
      <c r="PUO2492" s="60"/>
      <c r="PUP2492" s="60"/>
      <c r="PUQ2492" s="60"/>
      <c r="PUR2492" s="60"/>
      <c r="PUS2492" s="59"/>
      <c r="PUT2492" s="61"/>
      <c r="PUU2492" s="59"/>
      <c r="PUV2492" s="59"/>
      <c r="PUW2492" s="60"/>
      <c r="PUX2492" s="60"/>
      <c r="PUY2492" s="60"/>
      <c r="PUZ2492" s="60"/>
      <c r="PVA2492" s="59"/>
      <c r="PVB2492" s="61"/>
      <c r="PVC2492" s="59"/>
      <c r="PVD2492" s="59"/>
      <c r="PVE2492" s="60"/>
      <c r="PVF2492" s="60"/>
      <c r="PVG2492" s="60"/>
      <c r="PVH2492" s="60"/>
      <c r="PVI2492" s="59"/>
      <c r="PVJ2492" s="61"/>
      <c r="PVK2492" s="59"/>
      <c r="PVL2492" s="59"/>
      <c r="PVM2492" s="60"/>
      <c r="PVN2492" s="60"/>
      <c r="PVO2492" s="60"/>
      <c r="PVP2492" s="60"/>
      <c r="PVQ2492" s="59"/>
      <c r="PVR2492" s="61"/>
      <c r="PVS2492" s="59"/>
      <c r="PVT2492" s="59"/>
      <c r="PVU2492" s="60"/>
      <c r="PVV2492" s="60"/>
      <c r="PVW2492" s="60"/>
      <c r="PVX2492" s="60"/>
      <c r="PVY2492" s="59"/>
      <c r="PVZ2492" s="61"/>
      <c r="PWA2492" s="59"/>
      <c r="PWB2492" s="59"/>
      <c r="PWC2492" s="60"/>
      <c r="PWD2492" s="60"/>
      <c r="PWE2492" s="60"/>
      <c r="PWF2492" s="60"/>
      <c r="PWG2492" s="59"/>
      <c r="PWH2492" s="61"/>
      <c r="PWI2492" s="59"/>
      <c r="PWJ2492" s="59"/>
      <c r="PWK2492" s="60"/>
      <c r="PWL2492" s="60"/>
      <c r="PWM2492" s="60"/>
      <c r="PWN2492" s="60"/>
      <c r="PWO2492" s="59"/>
      <c r="PWP2492" s="61"/>
      <c r="PWQ2492" s="59"/>
      <c r="PWR2492" s="59"/>
      <c r="PWS2492" s="60"/>
      <c r="PWT2492" s="60"/>
      <c r="PWU2492" s="60"/>
      <c r="PWV2492" s="60"/>
      <c r="PWW2492" s="59"/>
      <c r="PWX2492" s="61"/>
      <c r="PWY2492" s="59"/>
      <c r="PWZ2492" s="59"/>
      <c r="PXA2492" s="60"/>
      <c r="PXB2492" s="60"/>
      <c r="PXC2492" s="60"/>
      <c r="PXD2492" s="60"/>
      <c r="PXE2492" s="59"/>
      <c r="PXF2492" s="61"/>
      <c r="PXG2492" s="59"/>
      <c r="PXH2492" s="59"/>
      <c r="PXI2492" s="60"/>
      <c r="PXJ2492" s="60"/>
      <c r="PXK2492" s="60"/>
      <c r="PXL2492" s="60"/>
      <c r="PXM2492" s="59"/>
      <c r="PXN2492" s="61"/>
      <c r="PXO2492" s="59"/>
      <c r="PXP2492" s="59"/>
      <c r="PXQ2492" s="60"/>
      <c r="PXR2492" s="60"/>
      <c r="PXS2492" s="60"/>
      <c r="PXT2492" s="60"/>
      <c r="PXU2492" s="59"/>
      <c r="PXV2492" s="61"/>
      <c r="PXW2492" s="59"/>
      <c r="PXX2492" s="59"/>
      <c r="PXY2492" s="60"/>
      <c r="PXZ2492" s="60"/>
      <c r="PYA2492" s="60"/>
      <c r="PYB2492" s="60"/>
      <c r="PYC2492" s="59"/>
      <c r="PYD2492" s="61"/>
      <c r="PYE2492" s="59"/>
      <c r="PYF2492" s="59"/>
      <c r="PYG2492" s="60"/>
      <c r="PYH2492" s="60"/>
      <c r="PYI2492" s="60"/>
      <c r="PYJ2492" s="60"/>
      <c r="PYK2492" s="59"/>
      <c r="PYL2492" s="61"/>
      <c r="PYM2492" s="59"/>
      <c r="PYN2492" s="59"/>
      <c r="PYO2492" s="60"/>
      <c r="PYP2492" s="60"/>
      <c r="PYQ2492" s="60"/>
      <c r="PYR2492" s="60"/>
      <c r="PYS2492" s="59"/>
      <c r="PYT2492" s="61"/>
      <c r="PYU2492" s="59"/>
      <c r="PYV2492" s="59"/>
      <c r="PYW2492" s="60"/>
      <c r="PYX2492" s="60"/>
      <c r="PYY2492" s="60"/>
      <c r="PYZ2492" s="60"/>
      <c r="PZA2492" s="59"/>
      <c r="PZB2492" s="61"/>
      <c r="PZC2492" s="59"/>
      <c r="PZD2492" s="59"/>
      <c r="PZE2492" s="60"/>
      <c r="PZF2492" s="60"/>
      <c r="PZG2492" s="60"/>
      <c r="PZH2492" s="60"/>
      <c r="PZI2492" s="59"/>
      <c r="PZJ2492" s="61"/>
      <c r="PZK2492" s="59"/>
      <c r="PZL2492" s="59"/>
      <c r="PZM2492" s="60"/>
      <c r="PZN2492" s="60"/>
      <c r="PZO2492" s="60"/>
      <c r="PZP2492" s="60"/>
      <c r="PZQ2492" s="59"/>
      <c r="PZR2492" s="61"/>
      <c r="PZS2492" s="59"/>
      <c r="PZT2492" s="59"/>
      <c r="PZU2492" s="60"/>
      <c r="PZV2492" s="60"/>
      <c r="PZW2492" s="60"/>
      <c r="PZX2492" s="60"/>
      <c r="PZY2492" s="59"/>
      <c r="PZZ2492" s="61"/>
      <c r="QAA2492" s="59"/>
      <c r="QAB2492" s="59"/>
      <c r="QAC2492" s="60"/>
      <c r="QAD2492" s="60"/>
      <c r="QAE2492" s="60"/>
      <c r="QAF2492" s="60"/>
      <c r="QAG2492" s="59"/>
      <c r="QAH2492" s="61"/>
      <c r="QAI2492" s="59"/>
      <c r="QAJ2492" s="59"/>
      <c r="QAK2492" s="60"/>
      <c r="QAL2492" s="60"/>
      <c r="QAM2492" s="60"/>
      <c r="QAN2492" s="60"/>
      <c r="QAO2492" s="59"/>
      <c r="QAP2492" s="61"/>
      <c r="QAQ2492" s="59"/>
      <c r="QAR2492" s="59"/>
      <c r="QAS2492" s="60"/>
      <c r="QAT2492" s="60"/>
      <c r="QAU2492" s="60"/>
      <c r="QAV2492" s="60"/>
      <c r="QAW2492" s="59"/>
      <c r="QAX2492" s="61"/>
      <c r="QAY2492" s="59"/>
      <c r="QAZ2492" s="59"/>
      <c r="QBA2492" s="60"/>
      <c r="QBB2492" s="60"/>
      <c r="QBC2492" s="60"/>
      <c r="QBD2492" s="60"/>
      <c r="QBE2492" s="59"/>
      <c r="QBF2492" s="61"/>
      <c r="QBG2492" s="59"/>
      <c r="QBH2492" s="59"/>
      <c r="QBI2492" s="60"/>
      <c r="QBJ2492" s="60"/>
      <c r="QBK2492" s="60"/>
      <c r="QBL2492" s="60"/>
      <c r="QBM2492" s="59"/>
      <c r="QBN2492" s="61"/>
      <c r="QBO2492" s="59"/>
      <c r="QBP2492" s="59"/>
      <c r="QBQ2492" s="60"/>
      <c r="QBR2492" s="60"/>
      <c r="QBS2492" s="60"/>
      <c r="QBT2492" s="60"/>
      <c r="QBU2492" s="59"/>
      <c r="QBV2492" s="61"/>
      <c r="QBW2492" s="59"/>
      <c r="QBX2492" s="59"/>
      <c r="QBY2492" s="60"/>
      <c r="QBZ2492" s="60"/>
      <c r="QCA2492" s="60"/>
      <c r="QCB2492" s="60"/>
      <c r="QCC2492" s="59"/>
      <c r="QCD2492" s="61"/>
      <c r="QCE2492" s="59"/>
      <c r="QCF2492" s="59"/>
      <c r="QCG2492" s="60"/>
      <c r="QCH2492" s="60"/>
      <c r="QCI2492" s="60"/>
      <c r="QCJ2492" s="60"/>
      <c r="QCK2492" s="59"/>
      <c r="QCL2492" s="61"/>
      <c r="QCM2492" s="59"/>
      <c r="QCN2492" s="59"/>
      <c r="QCO2492" s="60"/>
      <c r="QCP2492" s="60"/>
      <c r="QCQ2492" s="60"/>
      <c r="QCR2492" s="60"/>
      <c r="QCS2492" s="59"/>
      <c r="QCT2492" s="61"/>
      <c r="QCU2492" s="59"/>
      <c r="QCV2492" s="59"/>
      <c r="QCW2492" s="60"/>
      <c r="QCX2492" s="60"/>
      <c r="QCY2492" s="60"/>
      <c r="QCZ2492" s="60"/>
      <c r="QDA2492" s="59"/>
      <c r="QDB2492" s="61"/>
      <c r="QDC2492" s="59"/>
      <c r="QDD2492" s="59"/>
      <c r="QDE2492" s="60"/>
      <c r="QDF2492" s="60"/>
      <c r="QDG2492" s="60"/>
      <c r="QDH2492" s="60"/>
      <c r="QDI2492" s="59"/>
      <c r="QDJ2492" s="61"/>
      <c r="QDK2492" s="59"/>
      <c r="QDL2492" s="59"/>
      <c r="QDM2492" s="60"/>
      <c r="QDN2492" s="60"/>
      <c r="QDO2492" s="60"/>
      <c r="QDP2492" s="60"/>
      <c r="QDQ2492" s="59"/>
      <c r="QDR2492" s="61"/>
      <c r="QDS2492" s="59"/>
      <c r="QDT2492" s="59"/>
      <c r="QDU2492" s="60"/>
      <c r="QDV2492" s="60"/>
      <c r="QDW2492" s="60"/>
      <c r="QDX2492" s="60"/>
      <c r="QDY2492" s="59"/>
      <c r="QDZ2492" s="61"/>
      <c r="QEA2492" s="59"/>
      <c r="QEB2492" s="59"/>
      <c r="QEC2492" s="60"/>
      <c r="QED2492" s="60"/>
      <c r="QEE2492" s="60"/>
      <c r="QEF2492" s="60"/>
      <c r="QEG2492" s="59"/>
      <c r="QEH2492" s="61"/>
      <c r="QEI2492" s="59"/>
      <c r="QEJ2492" s="59"/>
      <c r="QEK2492" s="60"/>
      <c r="QEL2492" s="60"/>
      <c r="QEM2492" s="60"/>
      <c r="QEN2492" s="60"/>
      <c r="QEO2492" s="59"/>
      <c r="QEP2492" s="61"/>
      <c r="QEQ2492" s="59"/>
      <c r="QER2492" s="59"/>
      <c r="QES2492" s="60"/>
      <c r="QET2492" s="60"/>
      <c r="QEU2492" s="60"/>
      <c r="QEV2492" s="60"/>
      <c r="QEW2492" s="59"/>
      <c r="QEX2492" s="61"/>
      <c r="QEY2492" s="59"/>
      <c r="QEZ2492" s="59"/>
      <c r="QFA2492" s="60"/>
      <c r="QFB2492" s="60"/>
      <c r="QFC2492" s="60"/>
      <c r="QFD2492" s="60"/>
      <c r="QFE2492" s="59"/>
      <c r="QFF2492" s="61"/>
      <c r="QFG2492" s="59"/>
      <c r="QFH2492" s="59"/>
      <c r="QFI2492" s="60"/>
      <c r="QFJ2492" s="60"/>
      <c r="QFK2492" s="60"/>
      <c r="QFL2492" s="60"/>
      <c r="QFM2492" s="59"/>
      <c r="QFN2492" s="61"/>
      <c r="QFO2492" s="59"/>
      <c r="QFP2492" s="59"/>
      <c r="QFQ2492" s="60"/>
      <c r="QFR2492" s="60"/>
      <c r="QFS2492" s="60"/>
      <c r="QFT2492" s="60"/>
      <c r="QFU2492" s="59"/>
      <c r="QFV2492" s="61"/>
      <c r="QFW2492" s="59"/>
      <c r="QFX2492" s="59"/>
      <c r="QFY2492" s="60"/>
      <c r="QFZ2492" s="60"/>
      <c r="QGA2492" s="60"/>
      <c r="QGB2492" s="60"/>
      <c r="QGC2492" s="59"/>
      <c r="QGD2492" s="61"/>
      <c r="QGE2492" s="59"/>
      <c r="QGF2492" s="59"/>
      <c r="QGG2492" s="60"/>
      <c r="QGH2492" s="60"/>
      <c r="QGI2492" s="60"/>
      <c r="QGJ2492" s="60"/>
      <c r="QGK2492" s="59"/>
      <c r="QGL2492" s="61"/>
      <c r="QGM2492" s="59"/>
      <c r="QGN2492" s="59"/>
      <c r="QGO2492" s="60"/>
      <c r="QGP2492" s="60"/>
      <c r="QGQ2492" s="60"/>
      <c r="QGR2492" s="60"/>
      <c r="QGS2492" s="59"/>
      <c r="QGT2492" s="61"/>
      <c r="QGU2492" s="59"/>
      <c r="QGV2492" s="59"/>
      <c r="QGW2492" s="60"/>
      <c r="QGX2492" s="60"/>
      <c r="QGY2492" s="60"/>
      <c r="QGZ2492" s="60"/>
      <c r="QHA2492" s="59"/>
      <c r="QHB2492" s="61"/>
      <c r="QHC2492" s="59"/>
      <c r="QHD2492" s="59"/>
      <c r="QHE2492" s="60"/>
      <c r="QHF2492" s="60"/>
      <c r="QHG2492" s="60"/>
      <c r="QHH2492" s="60"/>
      <c r="QHI2492" s="59"/>
      <c r="QHJ2492" s="61"/>
      <c r="QHK2492" s="59"/>
      <c r="QHL2492" s="59"/>
      <c r="QHM2492" s="60"/>
      <c r="QHN2492" s="60"/>
      <c r="QHO2492" s="60"/>
      <c r="QHP2492" s="60"/>
      <c r="QHQ2492" s="59"/>
      <c r="QHR2492" s="61"/>
      <c r="QHS2492" s="59"/>
      <c r="QHT2492" s="59"/>
      <c r="QHU2492" s="60"/>
      <c r="QHV2492" s="60"/>
      <c r="QHW2492" s="60"/>
      <c r="QHX2492" s="60"/>
      <c r="QHY2492" s="59"/>
      <c r="QHZ2492" s="61"/>
      <c r="QIA2492" s="59"/>
      <c r="QIB2492" s="59"/>
      <c r="QIC2492" s="60"/>
      <c r="QID2492" s="60"/>
      <c r="QIE2492" s="60"/>
      <c r="QIF2492" s="60"/>
      <c r="QIG2492" s="59"/>
      <c r="QIH2492" s="61"/>
      <c r="QII2492" s="59"/>
      <c r="QIJ2492" s="59"/>
      <c r="QIK2492" s="60"/>
      <c r="QIL2492" s="60"/>
      <c r="QIM2492" s="60"/>
      <c r="QIN2492" s="60"/>
      <c r="QIO2492" s="59"/>
      <c r="QIP2492" s="61"/>
      <c r="QIQ2492" s="59"/>
      <c r="QIR2492" s="59"/>
      <c r="QIS2492" s="60"/>
      <c r="QIT2492" s="60"/>
      <c r="QIU2492" s="60"/>
      <c r="QIV2492" s="60"/>
      <c r="QIW2492" s="59"/>
      <c r="QIX2492" s="61"/>
      <c r="QIY2492" s="59"/>
      <c r="QIZ2492" s="59"/>
      <c r="QJA2492" s="60"/>
      <c r="QJB2492" s="60"/>
      <c r="QJC2492" s="60"/>
      <c r="QJD2492" s="60"/>
      <c r="QJE2492" s="59"/>
      <c r="QJF2492" s="61"/>
      <c r="QJG2492" s="59"/>
      <c r="QJH2492" s="59"/>
      <c r="QJI2492" s="60"/>
      <c r="QJJ2492" s="60"/>
      <c r="QJK2492" s="60"/>
      <c r="QJL2492" s="60"/>
      <c r="QJM2492" s="59"/>
      <c r="QJN2492" s="61"/>
      <c r="QJO2492" s="59"/>
      <c r="QJP2492" s="59"/>
      <c r="QJQ2492" s="60"/>
      <c r="QJR2492" s="60"/>
      <c r="QJS2492" s="60"/>
      <c r="QJT2492" s="60"/>
      <c r="QJU2492" s="59"/>
      <c r="QJV2492" s="61"/>
      <c r="QJW2492" s="59"/>
      <c r="QJX2492" s="59"/>
      <c r="QJY2492" s="60"/>
      <c r="QJZ2492" s="60"/>
      <c r="QKA2492" s="60"/>
      <c r="QKB2492" s="60"/>
      <c r="QKC2492" s="59"/>
      <c r="QKD2492" s="61"/>
      <c r="QKE2492" s="59"/>
      <c r="QKF2492" s="59"/>
      <c r="QKG2492" s="60"/>
      <c r="QKH2492" s="60"/>
      <c r="QKI2492" s="60"/>
      <c r="QKJ2492" s="60"/>
      <c r="QKK2492" s="59"/>
      <c r="QKL2492" s="61"/>
      <c r="QKM2492" s="59"/>
      <c r="QKN2492" s="59"/>
      <c r="QKO2492" s="60"/>
      <c r="QKP2492" s="60"/>
      <c r="QKQ2492" s="60"/>
      <c r="QKR2492" s="60"/>
      <c r="QKS2492" s="59"/>
      <c r="QKT2492" s="61"/>
      <c r="QKU2492" s="59"/>
      <c r="QKV2492" s="59"/>
      <c r="QKW2492" s="60"/>
      <c r="QKX2492" s="60"/>
      <c r="QKY2492" s="60"/>
      <c r="QKZ2492" s="60"/>
      <c r="QLA2492" s="59"/>
      <c r="QLB2492" s="61"/>
      <c r="QLC2492" s="59"/>
      <c r="QLD2492" s="59"/>
      <c r="QLE2492" s="60"/>
      <c r="QLF2492" s="60"/>
      <c r="QLG2492" s="60"/>
      <c r="QLH2492" s="60"/>
      <c r="QLI2492" s="59"/>
      <c r="QLJ2492" s="61"/>
      <c r="QLK2492" s="59"/>
      <c r="QLL2492" s="59"/>
      <c r="QLM2492" s="60"/>
      <c r="QLN2492" s="60"/>
      <c r="QLO2492" s="60"/>
      <c r="QLP2492" s="60"/>
      <c r="QLQ2492" s="59"/>
      <c r="QLR2492" s="61"/>
      <c r="QLS2492" s="59"/>
      <c r="QLT2492" s="59"/>
      <c r="QLU2492" s="60"/>
      <c r="QLV2492" s="60"/>
      <c r="QLW2492" s="60"/>
      <c r="QLX2492" s="60"/>
      <c r="QLY2492" s="59"/>
      <c r="QLZ2492" s="61"/>
      <c r="QMA2492" s="59"/>
      <c r="QMB2492" s="59"/>
      <c r="QMC2492" s="60"/>
      <c r="QMD2492" s="60"/>
      <c r="QME2492" s="60"/>
      <c r="QMF2492" s="60"/>
      <c r="QMG2492" s="59"/>
      <c r="QMH2492" s="61"/>
      <c r="QMI2492" s="59"/>
      <c r="QMJ2492" s="59"/>
      <c r="QMK2492" s="60"/>
      <c r="QML2492" s="60"/>
      <c r="QMM2492" s="60"/>
      <c r="QMN2492" s="60"/>
      <c r="QMO2492" s="59"/>
      <c r="QMP2492" s="61"/>
      <c r="QMQ2492" s="59"/>
      <c r="QMR2492" s="59"/>
      <c r="QMS2492" s="60"/>
      <c r="QMT2492" s="60"/>
      <c r="QMU2492" s="60"/>
      <c r="QMV2492" s="60"/>
      <c r="QMW2492" s="59"/>
      <c r="QMX2492" s="61"/>
      <c r="QMY2492" s="59"/>
      <c r="QMZ2492" s="59"/>
      <c r="QNA2492" s="60"/>
      <c r="QNB2492" s="60"/>
      <c r="QNC2492" s="60"/>
      <c r="QND2492" s="60"/>
      <c r="QNE2492" s="59"/>
      <c r="QNF2492" s="61"/>
      <c r="QNG2492" s="59"/>
      <c r="QNH2492" s="59"/>
      <c r="QNI2492" s="60"/>
      <c r="QNJ2492" s="60"/>
      <c r="QNK2492" s="60"/>
      <c r="QNL2492" s="60"/>
      <c r="QNM2492" s="59"/>
      <c r="QNN2492" s="61"/>
      <c r="QNO2492" s="59"/>
      <c r="QNP2492" s="59"/>
      <c r="QNQ2492" s="60"/>
      <c r="QNR2492" s="60"/>
      <c r="QNS2492" s="60"/>
      <c r="QNT2492" s="60"/>
      <c r="QNU2492" s="59"/>
      <c r="QNV2492" s="61"/>
      <c r="QNW2492" s="59"/>
      <c r="QNX2492" s="59"/>
      <c r="QNY2492" s="60"/>
      <c r="QNZ2492" s="60"/>
      <c r="QOA2492" s="60"/>
      <c r="QOB2492" s="60"/>
      <c r="QOC2492" s="59"/>
      <c r="QOD2492" s="61"/>
      <c r="QOE2492" s="59"/>
      <c r="QOF2492" s="59"/>
      <c r="QOG2492" s="60"/>
      <c r="QOH2492" s="60"/>
      <c r="QOI2492" s="60"/>
      <c r="QOJ2492" s="60"/>
      <c r="QOK2492" s="59"/>
      <c r="QOL2492" s="61"/>
      <c r="QOM2492" s="59"/>
      <c r="QON2492" s="59"/>
      <c r="QOO2492" s="60"/>
      <c r="QOP2492" s="60"/>
      <c r="QOQ2492" s="60"/>
      <c r="QOR2492" s="60"/>
      <c r="QOS2492" s="59"/>
      <c r="QOT2492" s="61"/>
      <c r="QOU2492" s="59"/>
      <c r="QOV2492" s="59"/>
      <c r="QOW2492" s="60"/>
      <c r="QOX2492" s="60"/>
      <c r="QOY2492" s="60"/>
      <c r="QOZ2492" s="60"/>
      <c r="QPA2492" s="59"/>
      <c r="QPB2492" s="61"/>
      <c r="QPC2492" s="59"/>
      <c r="QPD2492" s="59"/>
      <c r="QPE2492" s="60"/>
      <c r="QPF2492" s="60"/>
      <c r="QPG2492" s="60"/>
      <c r="QPH2492" s="60"/>
      <c r="QPI2492" s="59"/>
      <c r="QPJ2492" s="61"/>
      <c r="QPK2492" s="59"/>
      <c r="QPL2492" s="59"/>
      <c r="QPM2492" s="60"/>
      <c r="QPN2492" s="60"/>
      <c r="QPO2492" s="60"/>
      <c r="QPP2492" s="60"/>
      <c r="QPQ2492" s="59"/>
      <c r="QPR2492" s="61"/>
      <c r="QPS2492" s="59"/>
      <c r="QPT2492" s="59"/>
      <c r="QPU2492" s="60"/>
      <c r="QPV2492" s="60"/>
      <c r="QPW2492" s="60"/>
      <c r="QPX2492" s="60"/>
      <c r="QPY2492" s="59"/>
      <c r="QPZ2492" s="61"/>
      <c r="QQA2492" s="59"/>
      <c r="QQB2492" s="59"/>
      <c r="QQC2492" s="60"/>
      <c r="QQD2492" s="60"/>
      <c r="QQE2492" s="60"/>
      <c r="QQF2492" s="60"/>
      <c r="QQG2492" s="59"/>
      <c r="QQH2492" s="61"/>
      <c r="QQI2492" s="59"/>
      <c r="QQJ2492" s="59"/>
      <c r="QQK2492" s="60"/>
      <c r="QQL2492" s="60"/>
      <c r="QQM2492" s="60"/>
      <c r="QQN2492" s="60"/>
      <c r="QQO2492" s="59"/>
      <c r="QQP2492" s="61"/>
      <c r="QQQ2492" s="59"/>
      <c r="QQR2492" s="59"/>
      <c r="QQS2492" s="60"/>
      <c r="QQT2492" s="60"/>
      <c r="QQU2492" s="60"/>
      <c r="QQV2492" s="60"/>
      <c r="QQW2492" s="59"/>
      <c r="QQX2492" s="61"/>
      <c r="QQY2492" s="59"/>
      <c r="QQZ2492" s="59"/>
      <c r="QRA2492" s="60"/>
      <c r="QRB2492" s="60"/>
      <c r="QRC2492" s="60"/>
      <c r="QRD2492" s="60"/>
      <c r="QRE2492" s="59"/>
      <c r="QRF2492" s="61"/>
      <c r="QRG2492" s="59"/>
      <c r="QRH2492" s="59"/>
      <c r="QRI2492" s="60"/>
      <c r="QRJ2492" s="60"/>
      <c r="QRK2492" s="60"/>
      <c r="QRL2492" s="60"/>
      <c r="QRM2492" s="59"/>
      <c r="QRN2492" s="61"/>
      <c r="QRO2492" s="59"/>
      <c r="QRP2492" s="59"/>
      <c r="QRQ2492" s="60"/>
      <c r="QRR2492" s="60"/>
      <c r="QRS2492" s="60"/>
      <c r="QRT2492" s="60"/>
      <c r="QRU2492" s="59"/>
      <c r="QRV2492" s="61"/>
      <c r="QRW2492" s="59"/>
      <c r="QRX2492" s="59"/>
      <c r="QRY2492" s="60"/>
      <c r="QRZ2492" s="60"/>
      <c r="QSA2492" s="60"/>
      <c r="QSB2492" s="60"/>
      <c r="QSC2492" s="59"/>
      <c r="QSD2492" s="61"/>
      <c r="QSE2492" s="59"/>
      <c r="QSF2492" s="59"/>
      <c r="QSG2492" s="60"/>
      <c r="QSH2492" s="60"/>
      <c r="QSI2492" s="60"/>
      <c r="QSJ2492" s="60"/>
      <c r="QSK2492" s="59"/>
      <c r="QSL2492" s="61"/>
      <c r="QSM2492" s="59"/>
      <c r="QSN2492" s="59"/>
      <c r="QSO2492" s="60"/>
      <c r="QSP2492" s="60"/>
      <c r="QSQ2492" s="60"/>
      <c r="QSR2492" s="60"/>
      <c r="QSS2492" s="59"/>
      <c r="QST2492" s="61"/>
      <c r="QSU2492" s="59"/>
      <c r="QSV2492" s="59"/>
      <c r="QSW2492" s="60"/>
      <c r="QSX2492" s="60"/>
      <c r="QSY2492" s="60"/>
      <c r="QSZ2492" s="60"/>
      <c r="QTA2492" s="59"/>
      <c r="QTB2492" s="61"/>
      <c r="QTC2492" s="59"/>
      <c r="QTD2492" s="59"/>
      <c r="QTE2492" s="60"/>
      <c r="QTF2492" s="60"/>
      <c r="QTG2492" s="60"/>
      <c r="QTH2492" s="60"/>
      <c r="QTI2492" s="59"/>
      <c r="QTJ2492" s="61"/>
      <c r="QTK2492" s="59"/>
      <c r="QTL2492" s="59"/>
      <c r="QTM2492" s="60"/>
      <c r="QTN2492" s="60"/>
      <c r="QTO2492" s="60"/>
      <c r="QTP2492" s="60"/>
      <c r="QTQ2492" s="59"/>
      <c r="QTR2492" s="61"/>
      <c r="QTS2492" s="59"/>
      <c r="QTT2492" s="59"/>
      <c r="QTU2492" s="60"/>
      <c r="QTV2492" s="60"/>
      <c r="QTW2492" s="60"/>
      <c r="QTX2492" s="60"/>
      <c r="QTY2492" s="59"/>
      <c r="QTZ2492" s="61"/>
      <c r="QUA2492" s="59"/>
      <c r="QUB2492" s="59"/>
      <c r="QUC2492" s="60"/>
      <c r="QUD2492" s="60"/>
      <c r="QUE2492" s="60"/>
      <c r="QUF2492" s="60"/>
      <c r="QUG2492" s="59"/>
      <c r="QUH2492" s="61"/>
      <c r="QUI2492" s="59"/>
      <c r="QUJ2492" s="59"/>
      <c r="QUK2492" s="60"/>
      <c r="QUL2492" s="60"/>
      <c r="QUM2492" s="60"/>
      <c r="QUN2492" s="60"/>
      <c r="QUO2492" s="59"/>
      <c r="QUP2492" s="61"/>
      <c r="QUQ2492" s="59"/>
      <c r="QUR2492" s="59"/>
      <c r="QUS2492" s="60"/>
      <c r="QUT2492" s="60"/>
      <c r="QUU2492" s="60"/>
      <c r="QUV2492" s="60"/>
      <c r="QUW2492" s="59"/>
      <c r="QUX2492" s="61"/>
      <c r="QUY2492" s="59"/>
      <c r="QUZ2492" s="59"/>
      <c r="QVA2492" s="60"/>
      <c r="QVB2492" s="60"/>
      <c r="QVC2492" s="60"/>
      <c r="QVD2492" s="60"/>
      <c r="QVE2492" s="59"/>
      <c r="QVF2492" s="61"/>
      <c r="QVG2492" s="59"/>
      <c r="QVH2492" s="59"/>
      <c r="QVI2492" s="60"/>
      <c r="QVJ2492" s="60"/>
      <c r="QVK2492" s="60"/>
      <c r="QVL2492" s="60"/>
      <c r="QVM2492" s="59"/>
      <c r="QVN2492" s="61"/>
      <c r="QVO2492" s="59"/>
      <c r="QVP2492" s="59"/>
      <c r="QVQ2492" s="60"/>
      <c r="QVR2492" s="60"/>
      <c r="QVS2492" s="60"/>
      <c r="QVT2492" s="60"/>
      <c r="QVU2492" s="59"/>
      <c r="QVV2492" s="61"/>
      <c r="QVW2492" s="59"/>
      <c r="QVX2492" s="59"/>
      <c r="QVY2492" s="60"/>
      <c r="QVZ2492" s="60"/>
      <c r="QWA2492" s="60"/>
      <c r="QWB2492" s="60"/>
      <c r="QWC2492" s="59"/>
      <c r="QWD2492" s="61"/>
      <c r="QWE2492" s="59"/>
      <c r="QWF2492" s="59"/>
      <c r="QWG2492" s="60"/>
      <c r="QWH2492" s="60"/>
      <c r="QWI2492" s="60"/>
      <c r="QWJ2492" s="60"/>
      <c r="QWK2492" s="59"/>
      <c r="QWL2492" s="61"/>
      <c r="QWM2492" s="59"/>
      <c r="QWN2492" s="59"/>
      <c r="QWO2492" s="60"/>
      <c r="QWP2492" s="60"/>
      <c r="QWQ2492" s="60"/>
      <c r="QWR2492" s="60"/>
      <c r="QWS2492" s="59"/>
      <c r="QWT2492" s="61"/>
      <c r="QWU2492" s="59"/>
      <c r="QWV2492" s="59"/>
      <c r="QWW2492" s="60"/>
      <c r="QWX2492" s="60"/>
      <c r="QWY2492" s="60"/>
      <c r="QWZ2492" s="60"/>
      <c r="QXA2492" s="59"/>
      <c r="QXB2492" s="61"/>
      <c r="QXC2492" s="59"/>
      <c r="QXD2492" s="59"/>
      <c r="QXE2492" s="60"/>
      <c r="QXF2492" s="60"/>
      <c r="QXG2492" s="60"/>
      <c r="QXH2492" s="60"/>
      <c r="QXI2492" s="59"/>
      <c r="QXJ2492" s="61"/>
      <c r="QXK2492" s="59"/>
      <c r="QXL2492" s="59"/>
      <c r="QXM2492" s="60"/>
      <c r="QXN2492" s="60"/>
      <c r="QXO2492" s="60"/>
      <c r="QXP2492" s="60"/>
      <c r="QXQ2492" s="59"/>
      <c r="QXR2492" s="61"/>
      <c r="QXS2492" s="59"/>
      <c r="QXT2492" s="59"/>
      <c r="QXU2492" s="60"/>
      <c r="QXV2492" s="60"/>
      <c r="QXW2492" s="60"/>
      <c r="QXX2492" s="60"/>
      <c r="QXY2492" s="59"/>
      <c r="QXZ2492" s="61"/>
      <c r="QYA2492" s="59"/>
      <c r="QYB2492" s="59"/>
      <c r="QYC2492" s="60"/>
      <c r="QYD2492" s="60"/>
      <c r="QYE2492" s="60"/>
      <c r="QYF2492" s="60"/>
      <c r="QYG2492" s="59"/>
      <c r="QYH2492" s="61"/>
      <c r="QYI2492" s="59"/>
      <c r="QYJ2492" s="59"/>
      <c r="QYK2492" s="60"/>
      <c r="QYL2492" s="60"/>
      <c r="QYM2492" s="60"/>
      <c r="QYN2492" s="60"/>
      <c r="QYO2492" s="59"/>
      <c r="QYP2492" s="61"/>
      <c r="QYQ2492" s="59"/>
      <c r="QYR2492" s="59"/>
      <c r="QYS2492" s="60"/>
      <c r="QYT2492" s="60"/>
      <c r="QYU2492" s="60"/>
      <c r="QYV2492" s="60"/>
      <c r="QYW2492" s="59"/>
      <c r="QYX2492" s="61"/>
      <c r="QYY2492" s="59"/>
      <c r="QYZ2492" s="59"/>
      <c r="QZA2492" s="60"/>
      <c r="QZB2492" s="60"/>
      <c r="QZC2492" s="60"/>
      <c r="QZD2492" s="60"/>
      <c r="QZE2492" s="59"/>
      <c r="QZF2492" s="61"/>
      <c r="QZG2492" s="59"/>
      <c r="QZH2492" s="59"/>
      <c r="QZI2492" s="60"/>
      <c r="QZJ2492" s="60"/>
      <c r="QZK2492" s="60"/>
      <c r="QZL2492" s="60"/>
      <c r="QZM2492" s="59"/>
      <c r="QZN2492" s="61"/>
      <c r="QZO2492" s="59"/>
      <c r="QZP2492" s="59"/>
      <c r="QZQ2492" s="60"/>
      <c r="QZR2492" s="60"/>
      <c r="QZS2492" s="60"/>
      <c r="QZT2492" s="60"/>
      <c r="QZU2492" s="59"/>
      <c r="QZV2492" s="61"/>
      <c r="QZW2492" s="59"/>
      <c r="QZX2492" s="59"/>
      <c r="QZY2492" s="60"/>
      <c r="QZZ2492" s="60"/>
      <c r="RAA2492" s="60"/>
      <c r="RAB2492" s="60"/>
      <c r="RAC2492" s="59"/>
      <c r="RAD2492" s="61"/>
      <c r="RAE2492" s="59"/>
      <c r="RAF2492" s="59"/>
      <c r="RAG2492" s="60"/>
      <c r="RAH2492" s="60"/>
      <c r="RAI2492" s="60"/>
      <c r="RAJ2492" s="60"/>
      <c r="RAK2492" s="59"/>
      <c r="RAL2492" s="61"/>
      <c r="RAM2492" s="59"/>
      <c r="RAN2492" s="59"/>
      <c r="RAO2492" s="60"/>
      <c r="RAP2492" s="60"/>
      <c r="RAQ2492" s="60"/>
      <c r="RAR2492" s="60"/>
      <c r="RAS2492" s="59"/>
      <c r="RAT2492" s="61"/>
      <c r="RAU2492" s="59"/>
      <c r="RAV2492" s="59"/>
      <c r="RAW2492" s="60"/>
      <c r="RAX2492" s="60"/>
      <c r="RAY2492" s="60"/>
      <c r="RAZ2492" s="60"/>
      <c r="RBA2492" s="59"/>
      <c r="RBB2492" s="61"/>
      <c r="RBC2492" s="59"/>
      <c r="RBD2492" s="59"/>
      <c r="RBE2492" s="60"/>
      <c r="RBF2492" s="60"/>
      <c r="RBG2492" s="60"/>
      <c r="RBH2492" s="60"/>
      <c r="RBI2492" s="59"/>
      <c r="RBJ2492" s="61"/>
      <c r="RBK2492" s="59"/>
      <c r="RBL2492" s="59"/>
      <c r="RBM2492" s="60"/>
      <c r="RBN2492" s="60"/>
      <c r="RBO2492" s="60"/>
      <c r="RBP2492" s="60"/>
      <c r="RBQ2492" s="59"/>
      <c r="RBR2492" s="61"/>
      <c r="RBS2492" s="59"/>
      <c r="RBT2492" s="59"/>
      <c r="RBU2492" s="60"/>
      <c r="RBV2492" s="60"/>
      <c r="RBW2492" s="60"/>
      <c r="RBX2492" s="60"/>
      <c r="RBY2492" s="59"/>
      <c r="RBZ2492" s="61"/>
      <c r="RCA2492" s="59"/>
      <c r="RCB2492" s="59"/>
      <c r="RCC2492" s="60"/>
      <c r="RCD2492" s="60"/>
      <c r="RCE2492" s="60"/>
      <c r="RCF2492" s="60"/>
      <c r="RCG2492" s="59"/>
      <c r="RCH2492" s="61"/>
      <c r="RCI2492" s="59"/>
      <c r="RCJ2492" s="59"/>
      <c r="RCK2492" s="60"/>
      <c r="RCL2492" s="60"/>
      <c r="RCM2492" s="60"/>
      <c r="RCN2492" s="60"/>
      <c r="RCO2492" s="59"/>
      <c r="RCP2492" s="61"/>
      <c r="RCQ2492" s="59"/>
      <c r="RCR2492" s="59"/>
      <c r="RCS2492" s="60"/>
      <c r="RCT2492" s="60"/>
      <c r="RCU2492" s="60"/>
      <c r="RCV2492" s="60"/>
      <c r="RCW2492" s="59"/>
      <c r="RCX2492" s="61"/>
      <c r="RCY2492" s="59"/>
      <c r="RCZ2492" s="59"/>
      <c r="RDA2492" s="60"/>
      <c r="RDB2492" s="60"/>
      <c r="RDC2492" s="60"/>
      <c r="RDD2492" s="60"/>
      <c r="RDE2492" s="59"/>
      <c r="RDF2492" s="61"/>
      <c r="RDG2492" s="59"/>
      <c r="RDH2492" s="59"/>
      <c r="RDI2492" s="60"/>
      <c r="RDJ2492" s="60"/>
      <c r="RDK2492" s="60"/>
      <c r="RDL2492" s="60"/>
      <c r="RDM2492" s="59"/>
      <c r="RDN2492" s="61"/>
      <c r="RDO2492" s="59"/>
      <c r="RDP2492" s="59"/>
      <c r="RDQ2492" s="60"/>
      <c r="RDR2492" s="60"/>
      <c r="RDS2492" s="60"/>
      <c r="RDT2492" s="60"/>
      <c r="RDU2492" s="59"/>
      <c r="RDV2492" s="61"/>
      <c r="RDW2492" s="59"/>
      <c r="RDX2492" s="59"/>
      <c r="RDY2492" s="60"/>
      <c r="RDZ2492" s="60"/>
      <c r="REA2492" s="60"/>
      <c r="REB2492" s="60"/>
      <c r="REC2492" s="59"/>
      <c r="RED2492" s="61"/>
      <c r="REE2492" s="59"/>
      <c r="REF2492" s="59"/>
      <c r="REG2492" s="60"/>
      <c r="REH2492" s="60"/>
      <c r="REI2492" s="60"/>
      <c r="REJ2492" s="60"/>
      <c r="REK2492" s="59"/>
      <c r="REL2492" s="61"/>
      <c r="REM2492" s="59"/>
      <c r="REN2492" s="59"/>
      <c r="REO2492" s="60"/>
      <c r="REP2492" s="60"/>
      <c r="REQ2492" s="60"/>
      <c r="RER2492" s="60"/>
      <c r="RES2492" s="59"/>
      <c r="RET2492" s="61"/>
      <c r="REU2492" s="59"/>
      <c r="REV2492" s="59"/>
      <c r="REW2492" s="60"/>
      <c r="REX2492" s="60"/>
      <c r="REY2492" s="60"/>
      <c r="REZ2492" s="60"/>
      <c r="RFA2492" s="59"/>
      <c r="RFB2492" s="61"/>
      <c r="RFC2492" s="59"/>
      <c r="RFD2492" s="59"/>
      <c r="RFE2492" s="60"/>
      <c r="RFF2492" s="60"/>
      <c r="RFG2492" s="60"/>
      <c r="RFH2492" s="60"/>
      <c r="RFI2492" s="59"/>
      <c r="RFJ2492" s="61"/>
      <c r="RFK2492" s="59"/>
      <c r="RFL2492" s="59"/>
      <c r="RFM2492" s="60"/>
      <c r="RFN2492" s="60"/>
      <c r="RFO2492" s="60"/>
      <c r="RFP2492" s="60"/>
      <c r="RFQ2492" s="59"/>
      <c r="RFR2492" s="61"/>
      <c r="RFS2492" s="59"/>
      <c r="RFT2492" s="59"/>
      <c r="RFU2492" s="60"/>
      <c r="RFV2492" s="60"/>
      <c r="RFW2492" s="60"/>
      <c r="RFX2492" s="60"/>
      <c r="RFY2492" s="59"/>
      <c r="RFZ2492" s="61"/>
      <c r="RGA2492" s="59"/>
      <c r="RGB2492" s="59"/>
      <c r="RGC2492" s="60"/>
      <c r="RGD2492" s="60"/>
      <c r="RGE2492" s="60"/>
      <c r="RGF2492" s="60"/>
      <c r="RGG2492" s="59"/>
      <c r="RGH2492" s="61"/>
      <c r="RGI2492" s="59"/>
      <c r="RGJ2492" s="59"/>
      <c r="RGK2492" s="60"/>
      <c r="RGL2492" s="60"/>
      <c r="RGM2492" s="60"/>
      <c r="RGN2492" s="60"/>
      <c r="RGO2492" s="59"/>
      <c r="RGP2492" s="61"/>
      <c r="RGQ2492" s="59"/>
      <c r="RGR2492" s="59"/>
      <c r="RGS2492" s="60"/>
      <c r="RGT2492" s="60"/>
      <c r="RGU2492" s="60"/>
      <c r="RGV2492" s="60"/>
      <c r="RGW2492" s="59"/>
      <c r="RGX2492" s="61"/>
      <c r="RGY2492" s="59"/>
      <c r="RGZ2492" s="59"/>
      <c r="RHA2492" s="60"/>
      <c r="RHB2492" s="60"/>
      <c r="RHC2492" s="60"/>
      <c r="RHD2492" s="60"/>
      <c r="RHE2492" s="59"/>
      <c r="RHF2492" s="61"/>
      <c r="RHG2492" s="59"/>
      <c r="RHH2492" s="59"/>
      <c r="RHI2492" s="60"/>
      <c r="RHJ2492" s="60"/>
      <c r="RHK2492" s="60"/>
      <c r="RHL2492" s="60"/>
      <c r="RHM2492" s="59"/>
      <c r="RHN2492" s="61"/>
      <c r="RHO2492" s="59"/>
      <c r="RHP2492" s="59"/>
      <c r="RHQ2492" s="60"/>
      <c r="RHR2492" s="60"/>
      <c r="RHS2492" s="60"/>
      <c r="RHT2492" s="60"/>
      <c r="RHU2492" s="59"/>
      <c r="RHV2492" s="61"/>
      <c r="RHW2492" s="59"/>
      <c r="RHX2492" s="59"/>
      <c r="RHY2492" s="60"/>
      <c r="RHZ2492" s="60"/>
      <c r="RIA2492" s="60"/>
      <c r="RIB2492" s="60"/>
      <c r="RIC2492" s="59"/>
      <c r="RID2492" s="61"/>
      <c r="RIE2492" s="59"/>
      <c r="RIF2492" s="59"/>
      <c r="RIG2492" s="60"/>
      <c r="RIH2492" s="60"/>
      <c r="RII2492" s="60"/>
      <c r="RIJ2492" s="60"/>
      <c r="RIK2492" s="59"/>
      <c r="RIL2492" s="61"/>
      <c r="RIM2492" s="59"/>
      <c r="RIN2492" s="59"/>
      <c r="RIO2492" s="60"/>
      <c r="RIP2492" s="60"/>
      <c r="RIQ2492" s="60"/>
      <c r="RIR2492" s="60"/>
      <c r="RIS2492" s="59"/>
      <c r="RIT2492" s="61"/>
      <c r="RIU2492" s="59"/>
      <c r="RIV2492" s="59"/>
      <c r="RIW2492" s="60"/>
      <c r="RIX2492" s="60"/>
      <c r="RIY2492" s="60"/>
      <c r="RIZ2492" s="60"/>
      <c r="RJA2492" s="59"/>
      <c r="RJB2492" s="61"/>
      <c r="RJC2492" s="59"/>
      <c r="RJD2492" s="59"/>
      <c r="RJE2492" s="60"/>
      <c r="RJF2492" s="60"/>
      <c r="RJG2492" s="60"/>
      <c r="RJH2492" s="60"/>
      <c r="RJI2492" s="59"/>
      <c r="RJJ2492" s="61"/>
      <c r="RJK2492" s="59"/>
      <c r="RJL2492" s="59"/>
      <c r="RJM2492" s="60"/>
      <c r="RJN2492" s="60"/>
      <c r="RJO2492" s="60"/>
      <c r="RJP2492" s="60"/>
      <c r="RJQ2492" s="59"/>
      <c r="RJR2492" s="61"/>
      <c r="RJS2492" s="59"/>
      <c r="RJT2492" s="59"/>
      <c r="RJU2492" s="60"/>
      <c r="RJV2492" s="60"/>
      <c r="RJW2492" s="60"/>
      <c r="RJX2492" s="60"/>
      <c r="RJY2492" s="59"/>
      <c r="RJZ2492" s="61"/>
      <c r="RKA2492" s="59"/>
      <c r="RKB2492" s="59"/>
      <c r="RKC2492" s="60"/>
      <c r="RKD2492" s="60"/>
      <c r="RKE2492" s="60"/>
      <c r="RKF2492" s="60"/>
      <c r="RKG2492" s="59"/>
      <c r="RKH2492" s="61"/>
      <c r="RKI2492" s="59"/>
      <c r="RKJ2492" s="59"/>
      <c r="RKK2492" s="60"/>
      <c r="RKL2492" s="60"/>
      <c r="RKM2492" s="60"/>
      <c r="RKN2492" s="60"/>
      <c r="RKO2492" s="59"/>
      <c r="RKP2492" s="61"/>
      <c r="RKQ2492" s="59"/>
      <c r="RKR2492" s="59"/>
      <c r="RKS2492" s="60"/>
      <c r="RKT2492" s="60"/>
      <c r="RKU2492" s="60"/>
      <c r="RKV2492" s="60"/>
      <c r="RKW2492" s="59"/>
      <c r="RKX2492" s="61"/>
      <c r="RKY2492" s="59"/>
      <c r="RKZ2492" s="59"/>
      <c r="RLA2492" s="60"/>
      <c r="RLB2492" s="60"/>
      <c r="RLC2492" s="60"/>
      <c r="RLD2492" s="60"/>
      <c r="RLE2492" s="59"/>
      <c r="RLF2492" s="61"/>
      <c r="RLG2492" s="59"/>
      <c r="RLH2492" s="59"/>
      <c r="RLI2492" s="60"/>
      <c r="RLJ2492" s="60"/>
      <c r="RLK2492" s="60"/>
      <c r="RLL2492" s="60"/>
      <c r="RLM2492" s="59"/>
      <c r="RLN2492" s="61"/>
      <c r="RLO2492" s="59"/>
      <c r="RLP2492" s="59"/>
      <c r="RLQ2492" s="60"/>
      <c r="RLR2492" s="60"/>
      <c r="RLS2492" s="60"/>
      <c r="RLT2492" s="60"/>
      <c r="RLU2492" s="59"/>
      <c r="RLV2492" s="61"/>
      <c r="RLW2492" s="59"/>
      <c r="RLX2492" s="59"/>
      <c r="RLY2492" s="60"/>
      <c r="RLZ2492" s="60"/>
      <c r="RMA2492" s="60"/>
      <c r="RMB2492" s="60"/>
      <c r="RMC2492" s="59"/>
      <c r="RMD2492" s="61"/>
      <c r="RME2492" s="59"/>
      <c r="RMF2492" s="59"/>
      <c r="RMG2492" s="60"/>
      <c r="RMH2492" s="60"/>
      <c r="RMI2492" s="60"/>
      <c r="RMJ2492" s="60"/>
      <c r="RMK2492" s="59"/>
      <c r="RML2492" s="61"/>
      <c r="RMM2492" s="59"/>
      <c r="RMN2492" s="59"/>
      <c r="RMO2492" s="60"/>
      <c r="RMP2492" s="60"/>
      <c r="RMQ2492" s="60"/>
      <c r="RMR2492" s="60"/>
      <c r="RMS2492" s="59"/>
      <c r="RMT2492" s="61"/>
      <c r="RMU2492" s="59"/>
      <c r="RMV2492" s="59"/>
      <c r="RMW2492" s="60"/>
      <c r="RMX2492" s="60"/>
      <c r="RMY2492" s="60"/>
      <c r="RMZ2492" s="60"/>
      <c r="RNA2492" s="59"/>
      <c r="RNB2492" s="61"/>
      <c r="RNC2492" s="59"/>
      <c r="RND2492" s="59"/>
      <c r="RNE2492" s="60"/>
      <c r="RNF2492" s="60"/>
      <c r="RNG2492" s="60"/>
      <c r="RNH2492" s="60"/>
      <c r="RNI2492" s="59"/>
      <c r="RNJ2492" s="61"/>
      <c r="RNK2492" s="59"/>
      <c r="RNL2492" s="59"/>
      <c r="RNM2492" s="60"/>
      <c r="RNN2492" s="60"/>
      <c r="RNO2492" s="60"/>
      <c r="RNP2492" s="60"/>
      <c r="RNQ2492" s="59"/>
      <c r="RNR2492" s="61"/>
      <c r="RNS2492" s="59"/>
      <c r="RNT2492" s="59"/>
      <c r="RNU2492" s="60"/>
      <c r="RNV2492" s="60"/>
      <c r="RNW2492" s="60"/>
      <c r="RNX2492" s="60"/>
      <c r="RNY2492" s="59"/>
      <c r="RNZ2492" s="61"/>
      <c r="ROA2492" s="59"/>
      <c r="ROB2492" s="59"/>
      <c r="ROC2492" s="60"/>
      <c r="ROD2492" s="60"/>
      <c r="ROE2492" s="60"/>
      <c r="ROF2492" s="60"/>
      <c r="ROG2492" s="59"/>
      <c r="ROH2492" s="61"/>
      <c r="ROI2492" s="59"/>
      <c r="ROJ2492" s="59"/>
      <c r="ROK2492" s="60"/>
      <c r="ROL2492" s="60"/>
      <c r="ROM2492" s="60"/>
      <c r="RON2492" s="60"/>
      <c r="ROO2492" s="59"/>
      <c r="ROP2492" s="61"/>
      <c r="ROQ2492" s="59"/>
      <c r="ROR2492" s="59"/>
      <c r="ROS2492" s="60"/>
      <c r="ROT2492" s="60"/>
      <c r="ROU2492" s="60"/>
      <c r="ROV2492" s="60"/>
      <c r="ROW2492" s="59"/>
      <c r="ROX2492" s="61"/>
      <c r="ROY2492" s="59"/>
      <c r="ROZ2492" s="59"/>
      <c r="RPA2492" s="60"/>
      <c r="RPB2492" s="60"/>
      <c r="RPC2492" s="60"/>
      <c r="RPD2492" s="60"/>
      <c r="RPE2492" s="59"/>
      <c r="RPF2492" s="61"/>
      <c r="RPG2492" s="59"/>
      <c r="RPH2492" s="59"/>
      <c r="RPI2492" s="60"/>
      <c r="RPJ2492" s="60"/>
      <c r="RPK2492" s="60"/>
      <c r="RPL2492" s="60"/>
      <c r="RPM2492" s="59"/>
      <c r="RPN2492" s="61"/>
      <c r="RPO2492" s="59"/>
      <c r="RPP2492" s="59"/>
      <c r="RPQ2492" s="60"/>
      <c r="RPR2492" s="60"/>
      <c r="RPS2492" s="60"/>
      <c r="RPT2492" s="60"/>
      <c r="RPU2492" s="59"/>
      <c r="RPV2492" s="61"/>
      <c r="RPW2492" s="59"/>
      <c r="RPX2492" s="59"/>
      <c r="RPY2492" s="60"/>
      <c r="RPZ2492" s="60"/>
      <c r="RQA2492" s="60"/>
      <c r="RQB2492" s="60"/>
      <c r="RQC2492" s="59"/>
      <c r="RQD2492" s="61"/>
      <c r="RQE2492" s="59"/>
      <c r="RQF2492" s="59"/>
      <c r="RQG2492" s="60"/>
      <c r="RQH2492" s="60"/>
      <c r="RQI2492" s="60"/>
      <c r="RQJ2492" s="60"/>
      <c r="RQK2492" s="59"/>
      <c r="RQL2492" s="61"/>
      <c r="RQM2492" s="59"/>
      <c r="RQN2492" s="59"/>
      <c r="RQO2492" s="60"/>
      <c r="RQP2492" s="60"/>
      <c r="RQQ2492" s="60"/>
      <c r="RQR2492" s="60"/>
      <c r="RQS2492" s="59"/>
      <c r="RQT2492" s="61"/>
      <c r="RQU2492" s="59"/>
      <c r="RQV2492" s="59"/>
      <c r="RQW2492" s="60"/>
      <c r="RQX2492" s="60"/>
      <c r="RQY2492" s="60"/>
      <c r="RQZ2492" s="60"/>
      <c r="RRA2492" s="59"/>
      <c r="RRB2492" s="61"/>
      <c r="RRC2492" s="59"/>
      <c r="RRD2492" s="59"/>
      <c r="RRE2492" s="60"/>
      <c r="RRF2492" s="60"/>
      <c r="RRG2492" s="60"/>
      <c r="RRH2492" s="60"/>
      <c r="RRI2492" s="59"/>
      <c r="RRJ2492" s="61"/>
      <c r="RRK2492" s="59"/>
      <c r="RRL2492" s="59"/>
      <c r="RRM2492" s="60"/>
      <c r="RRN2492" s="60"/>
      <c r="RRO2492" s="60"/>
      <c r="RRP2492" s="60"/>
      <c r="RRQ2492" s="59"/>
      <c r="RRR2492" s="61"/>
      <c r="RRS2492" s="59"/>
      <c r="RRT2492" s="59"/>
      <c r="RRU2492" s="60"/>
      <c r="RRV2492" s="60"/>
      <c r="RRW2492" s="60"/>
      <c r="RRX2492" s="60"/>
      <c r="RRY2492" s="59"/>
      <c r="RRZ2492" s="61"/>
      <c r="RSA2492" s="59"/>
      <c r="RSB2492" s="59"/>
      <c r="RSC2492" s="60"/>
      <c r="RSD2492" s="60"/>
      <c r="RSE2492" s="60"/>
      <c r="RSF2492" s="60"/>
      <c r="RSG2492" s="59"/>
      <c r="RSH2492" s="61"/>
      <c r="RSI2492" s="59"/>
      <c r="RSJ2492" s="59"/>
      <c r="RSK2492" s="60"/>
      <c r="RSL2492" s="60"/>
      <c r="RSM2492" s="60"/>
      <c r="RSN2492" s="60"/>
      <c r="RSO2492" s="59"/>
      <c r="RSP2492" s="61"/>
      <c r="RSQ2492" s="59"/>
      <c r="RSR2492" s="59"/>
      <c r="RSS2492" s="60"/>
      <c r="RST2492" s="60"/>
      <c r="RSU2492" s="60"/>
      <c r="RSV2492" s="60"/>
      <c r="RSW2492" s="59"/>
      <c r="RSX2492" s="61"/>
      <c r="RSY2492" s="59"/>
      <c r="RSZ2492" s="59"/>
      <c r="RTA2492" s="60"/>
      <c r="RTB2492" s="60"/>
      <c r="RTC2492" s="60"/>
      <c r="RTD2492" s="60"/>
      <c r="RTE2492" s="59"/>
      <c r="RTF2492" s="61"/>
      <c r="RTG2492" s="59"/>
      <c r="RTH2492" s="59"/>
      <c r="RTI2492" s="60"/>
      <c r="RTJ2492" s="60"/>
      <c r="RTK2492" s="60"/>
      <c r="RTL2492" s="60"/>
      <c r="RTM2492" s="59"/>
      <c r="RTN2492" s="61"/>
      <c r="RTO2492" s="59"/>
      <c r="RTP2492" s="59"/>
      <c r="RTQ2492" s="60"/>
      <c r="RTR2492" s="60"/>
      <c r="RTS2492" s="60"/>
      <c r="RTT2492" s="60"/>
      <c r="RTU2492" s="59"/>
      <c r="RTV2492" s="61"/>
      <c r="RTW2492" s="59"/>
      <c r="RTX2492" s="59"/>
      <c r="RTY2492" s="60"/>
      <c r="RTZ2492" s="60"/>
      <c r="RUA2492" s="60"/>
      <c r="RUB2492" s="60"/>
      <c r="RUC2492" s="59"/>
      <c r="RUD2492" s="61"/>
      <c r="RUE2492" s="59"/>
      <c r="RUF2492" s="59"/>
      <c r="RUG2492" s="60"/>
      <c r="RUH2492" s="60"/>
      <c r="RUI2492" s="60"/>
      <c r="RUJ2492" s="60"/>
      <c r="RUK2492" s="59"/>
      <c r="RUL2492" s="61"/>
      <c r="RUM2492" s="59"/>
      <c r="RUN2492" s="59"/>
      <c r="RUO2492" s="60"/>
      <c r="RUP2492" s="60"/>
      <c r="RUQ2492" s="60"/>
      <c r="RUR2492" s="60"/>
      <c r="RUS2492" s="59"/>
      <c r="RUT2492" s="61"/>
      <c r="RUU2492" s="59"/>
      <c r="RUV2492" s="59"/>
      <c r="RUW2492" s="60"/>
      <c r="RUX2492" s="60"/>
      <c r="RUY2492" s="60"/>
      <c r="RUZ2492" s="60"/>
      <c r="RVA2492" s="59"/>
      <c r="RVB2492" s="61"/>
      <c r="RVC2492" s="59"/>
      <c r="RVD2492" s="59"/>
      <c r="RVE2492" s="60"/>
      <c r="RVF2492" s="60"/>
      <c r="RVG2492" s="60"/>
      <c r="RVH2492" s="60"/>
      <c r="RVI2492" s="59"/>
      <c r="RVJ2492" s="61"/>
      <c r="RVK2492" s="59"/>
      <c r="RVL2492" s="59"/>
      <c r="RVM2492" s="60"/>
      <c r="RVN2492" s="60"/>
      <c r="RVO2492" s="60"/>
      <c r="RVP2492" s="60"/>
      <c r="RVQ2492" s="59"/>
      <c r="RVR2492" s="61"/>
      <c r="RVS2492" s="59"/>
      <c r="RVT2492" s="59"/>
      <c r="RVU2492" s="60"/>
      <c r="RVV2492" s="60"/>
      <c r="RVW2492" s="60"/>
      <c r="RVX2492" s="60"/>
      <c r="RVY2492" s="59"/>
      <c r="RVZ2492" s="61"/>
      <c r="RWA2492" s="59"/>
      <c r="RWB2492" s="59"/>
      <c r="RWC2492" s="60"/>
      <c r="RWD2492" s="60"/>
      <c r="RWE2492" s="60"/>
      <c r="RWF2492" s="60"/>
      <c r="RWG2492" s="59"/>
      <c r="RWH2492" s="61"/>
      <c r="RWI2492" s="59"/>
      <c r="RWJ2492" s="59"/>
      <c r="RWK2492" s="60"/>
      <c r="RWL2492" s="60"/>
      <c r="RWM2492" s="60"/>
      <c r="RWN2492" s="60"/>
      <c r="RWO2492" s="59"/>
      <c r="RWP2492" s="61"/>
      <c r="RWQ2492" s="59"/>
      <c r="RWR2492" s="59"/>
      <c r="RWS2492" s="60"/>
      <c r="RWT2492" s="60"/>
      <c r="RWU2492" s="60"/>
      <c r="RWV2492" s="60"/>
      <c r="RWW2492" s="59"/>
      <c r="RWX2492" s="61"/>
      <c r="RWY2492" s="59"/>
      <c r="RWZ2492" s="59"/>
      <c r="RXA2492" s="60"/>
      <c r="RXB2492" s="60"/>
      <c r="RXC2492" s="60"/>
      <c r="RXD2492" s="60"/>
      <c r="RXE2492" s="59"/>
      <c r="RXF2492" s="61"/>
      <c r="RXG2492" s="59"/>
      <c r="RXH2492" s="59"/>
      <c r="RXI2492" s="60"/>
      <c r="RXJ2492" s="60"/>
      <c r="RXK2492" s="60"/>
      <c r="RXL2492" s="60"/>
      <c r="RXM2492" s="59"/>
      <c r="RXN2492" s="61"/>
      <c r="RXO2492" s="59"/>
      <c r="RXP2492" s="59"/>
      <c r="RXQ2492" s="60"/>
      <c r="RXR2492" s="60"/>
      <c r="RXS2492" s="60"/>
      <c r="RXT2492" s="60"/>
      <c r="RXU2492" s="59"/>
      <c r="RXV2492" s="61"/>
      <c r="RXW2492" s="59"/>
      <c r="RXX2492" s="59"/>
      <c r="RXY2492" s="60"/>
      <c r="RXZ2492" s="60"/>
      <c r="RYA2492" s="60"/>
      <c r="RYB2492" s="60"/>
      <c r="RYC2492" s="59"/>
      <c r="RYD2492" s="61"/>
      <c r="RYE2492" s="59"/>
      <c r="RYF2492" s="59"/>
      <c r="RYG2492" s="60"/>
      <c r="RYH2492" s="60"/>
      <c r="RYI2492" s="60"/>
      <c r="RYJ2492" s="60"/>
      <c r="RYK2492" s="59"/>
      <c r="RYL2492" s="61"/>
      <c r="RYM2492" s="59"/>
      <c r="RYN2492" s="59"/>
      <c r="RYO2492" s="60"/>
      <c r="RYP2492" s="60"/>
      <c r="RYQ2492" s="60"/>
      <c r="RYR2492" s="60"/>
      <c r="RYS2492" s="59"/>
      <c r="RYT2492" s="61"/>
      <c r="RYU2492" s="59"/>
      <c r="RYV2492" s="59"/>
      <c r="RYW2492" s="60"/>
      <c r="RYX2492" s="60"/>
      <c r="RYY2492" s="60"/>
      <c r="RYZ2492" s="60"/>
      <c r="RZA2492" s="59"/>
      <c r="RZB2492" s="61"/>
      <c r="RZC2492" s="59"/>
      <c r="RZD2492" s="59"/>
      <c r="RZE2492" s="60"/>
      <c r="RZF2492" s="60"/>
      <c r="RZG2492" s="60"/>
      <c r="RZH2492" s="60"/>
      <c r="RZI2492" s="59"/>
      <c r="RZJ2492" s="61"/>
      <c r="RZK2492" s="59"/>
      <c r="RZL2492" s="59"/>
      <c r="RZM2492" s="60"/>
      <c r="RZN2492" s="60"/>
      <c r="RZO2492" s="60"/>
      <c r="RZP2492" s="60"/>
      <c r="RZQ2492" s="59"/>
      <c r="RZR2492" s="61"/>
      <c r="RZS2492" s="59"/>
      <c r="RZT2492" s="59"/>
      <c r="RZU2492" s="60"/>
      <c r="RZV2492" s="60"/>
      <c r="RZW2492" s="60"/>
      <c r="RZX2492" s="60"/>
      <c r="RZY2492" s="59"/>
      <c r="RZZ2492" s="61"/>
      <c r="SAA2492" s="59"/>
      <c r="SAB2492" s="59"/>
      <c r="SAC2492" s="60"/>
      <c r="SAD2492" s="60"/>
      <c r="SAE2492" s="60"/>
      <c r="SAF2492" s="60"/>
      <c r="SAG2492" s="59"/>
      <c r="SAH2492" s="61"/>
      <c r="SAI2492" s="59"/>
      <c r="SAJ2492" s="59"/>
      <c r="SAK2492" s="60"/>
      <c r="SAL2492" s="60"/>
      <c r="SAM2492" s="60"/>
      <c r="SAN2492" s="60"/>
      <c r="SAO2492" s="59"/>
      <c r="SAP2492" s="61"/>
      <c r="SAQ2492" s="59"/>
      <c r="SAR2492" s="59"/>
      <c r="SAS2492" s="60"/>
      <c r="SAT2492" s="60"/>
      <c r="SAU2492" s="60"/>
      <c r="SAV2492" s="60"/>
      <c r="SAW2492" s="59"/>
      <c r="SAX2492" s="61"/>
      <c r="SAY2492" s="59"/>
      <c r="SAZ2492" s="59"/>
      <c r="SBA2492" s="60"/>
      <c r="SBB2492" s="60"/>
      <c r="SBC2492" s="60"/>
      <c r="SBD2492" s="60"/>
      <c r="SBE2492" s="59"/>
      <c r="SBF2492" s="61"/>
      <c r="SBG2492" s="59"/>
      <c r="SBH2492" s="59"/>
      <c r="SBI2492" s="60"/>
      <c r="SBJ2492" s="60"/>
      <c r="SBK2492" s="60"/>
      <c r="SBL2492" s="60"/>
      <c r="SBM2492" s="59"/>
      <c r="SBN2492" s="61"/>
      <c r="SBO2492" s="59"/>
      <c r="SBP2492" s="59"/>
      <c r="SBQ2492" s="60"/>
      <c r="SBR2492" s="60"/>
      <c r="SBS2492" s="60"/>
      <c r="SBT2492" s="60"/>
      <c r="SBU2492" s="59"/>
      <c r="SBV2492" s="61"/>
      <c r="SBW2492" s="59"/>
      <c r="SBX2492" s="59"/>
      <c r="SBY2492" s="60"/>
      <c r="SBZ2492" s="60"/>
      <c r="SCA2492" s="60"/>
      <c r="SCB2492" s="60"/>
      <c r="SCC2492" s="59"/>
      <c r="SCD2492" s="61"/>
      <c r="SCE2492" s="59"/>
      <c r="SCF2492" s="59"/>
      <c r="SCG2492" s="60"/>
      <c r="SCH2492" s="60"/>
      <c r="SCI2492" s="60"/>
      <c r="SCJ2492" s="60"/>
      <c r="SCK2492" s="59"/>
      <c r="SCL2492" s="61"/>
      <c r="SCM2492" s="59"/>
      <c r="SCN2492" s="59"/>
      <c r="SCO2492" s="60"/>
      <c r="SCP2492" s="60"/>
      <c r="SCQ2492" s="60"/>
      <c r="SCR2492" s="60"/>
      <c r="SCS2492" s="59"/>
      <c r="SCT2492" s="61"/>
      <c r="SCU2492" s="59"/>
      <c r="SCV2492" s="59"/>
      <c r="SCW2492" s="60"/>
      <c r="SCX2492" s="60"/>
      <c r="SCY2492" s="60"/>
      <c r="SCZ2492" s="60"/>
      <c r="SDA2492" s="59"/>
      <c r="SDB2492" s="61"/>
      <c r="SDC2492" s="59"/>
      <c r="SDD2492" s="59"/>
      <c r="SDE2492" s="60"/>
      <c r="SDF2492" s="60"/>
      <c r="SDG2492" s="60"/>
      <c r="SDH2492" s="60"/>
      <c r="SDI2492" s="59"/>
      <c r="SDJ2492" s="61"/>
      <c r="SDK2492" s="59"/>
      <c r="SDL2492" s="59"/>
      <c r="SDM2492" s="60"/>
      <c r="SDN2492" s="60"/>
      <c r="SDO2492" s="60"/>
      <c r="SDP2492" s="60"/>
      <c r="SDQ2492" s="59"/>
      <c r="SDR2492" s="61"/>
      <c r="SDS2492" s="59"/>
      <c r="SDT2492" s="59"/>
      <c r="SDU2492" s="60"/>
      <c r="SDV2492" s="60"/>
      <c r="SDW2492" s="60"/>
      <c r="SDX2492" s="60"/>
      <c r="SDY2492" s="59"/>
      <c r="SDZ2492" s="61"/>
      <c r="SEA2492" s="59"/>
      <c r="SEB2492" s="59"/>
      <c r="SEC2492" s="60"/>
      <c r="SED2492" s="60"/>
      <c r="SEE2492" s="60"/>
      <c r="SEF2492" s="60"/>
      <c r="SEG2492" s="59"/>
      <c r="SEH2492" s="61"/>
      <c r="SEI2492" s="59"/>
      <c r="SEJ2492" s="59"/>
      <c r="SEK2492" s="60"/>
      <c r="SEL2492" s="60"/>
      <c r="SEM2492" s="60"/>
      <c r="SEN2492" s="60"/>
      <c r="SEO2492" s="59"/>
      <c r="SEP2492" s="61"/>
      <c r="SEQ2492" s="59"/>
      <c r="SER2492" s="59"/>
      <c r="SES2492" s="60"/>
      <c r="SET2492" s="60"/>
      <c r="SEU2492" s="60"/>
      <c r="SEV2492" s="60"/>
      <c r="SEW2492" s="59"/>
      <c r="SEX2492" s="61"/>
      <c r="SEY2492" s="59"/>
      <c r="SEZ2492" s="59"/>
      <c r="SFA2492" s="60"/>
      <c r="SFB2492" s="60"/>
      <c r="SFC2492" s="60"/>
      <c r="SFD2492" s="60"/>
      <c r="SFE2492" s="59"/>
      <c r="SFF2492" s="61"/>
      <c r="SFG2492" s="59"/>
      <c r="SFH2492" s="59"/>
      <c r="SFI2492" s="60"/>
      <c r="SFJ2492" s="60"/>
      <c r="SFK2492" s="60"/>
      <c r="SFL2492" s="60"/>
      <c r="SFM2492" s="59"/>
      <c r="SFN2492" s="61"/>
      <c r="SFO2492" s="59"/>
      <c r="SFP2492" s="59"/>
      <c r="SFQ2492" s="60"/>
      <c r="SFR2492" s="60"/>
      <c r="SFS2492" s="60"/>
      <c r="SFT2492" s="60"/>
      <c r="SFU2492" s="59"/>
      <c r="SFV2492" s="61"/>
      <c r="SFW2492" s="59"/>
      <c r="SFX2492" s="59"/>
      <c r="SFY2492" s="60"/>
      <c r="SFZ2492" s="60"/>
      <c r="SGA2492" s="60"/>
      <c r="SGB2492" s="60"/>
      <c r="SGC2492" s="59"/>
      <c r="SGD2492" s="61"/>
      <c r="SGE2492" s="59"/>
      <c r="SGF2492" s="59"/>
      <c r="SGG2492" s="60"/>
      <c r="SGH2492" s="60"/>
      <c r="SGI2492" s="60"/>
      <c r="SGJ2492" s="60"/>
      <c r="SGK2492" s="59"/>
      <c r="SGL2492" s="61"/>
      <c r="SGM2492" s="59"/>
      <c r="SGN2492" s="59"/>
      <c r="SGO2492" s="60"/>
      <c r="SGP2492" s="60"/>
      <c r="SGQ2492" s="60"/>
      <c r="SGR2492" s="60"/>
      <c r="SGS2492" s="59"/>
      <c r="SGT2492" s="61"/>
      <c r="SGU2492" s="59"/>
      <c r="SGV2492" s="59"/>
      <c r="SGW2492" s="60"/>
      <c r="SGX2492" s="60"/>
      <c r="SGY2492" s="60"/>
      <c r="SGZ2492" s="60"/>
      <c r="SHA2492" s="59"/>
      <c r="SHB2492" s="61"/>
      <c r="SHC2492" s="59"/>
      <c r="SHD2492" s="59"/>
      <c r="SHE2492" s="60"/>
      <c r="SHF2492" s="60"/>
      <c r="SHG2492" s="60"/>
      <c r="SHH2492" s="60"/>
      <c r="SHI2492" s="59"/>
      <c r="SHJ2492" s="61"/>
      <c r="SHK2492" s="59"/>
      <c r="SHL2492" s="59"/>
      <c r="SHM2492" s="60"/>
      <c r="SHN2492" s="60"/>
      <c r="SHO2492" s="60"/>
      <c r="SHP2492" s="60"/>
      <c r="SHQ2492" s="59"/>
      <c r="SHR2492" s="61"/>
      <c r="SHS2492" s="59"/>
      <c r="SHT2492" s="59"/>
      <c r="SHU2492" s="60"/>
      <c r="SHV2492" s="60"/>
      <c r="SHW2492" s="60"/>
      <c r="SHX2492" s="60"/>
      <c r="SHY2492" s="59"/>
      <c r="SHZ2492" s="61"/>
      <c r="SIA2492" s="59"/>
      <c r="SIB2492" s="59"/>
      <c r="SIC2492" s="60"/>
      <c r="SID2492" s="60"/>
      <c r="SIE2492" s="60"/>
      <c r="SIF2492" s="60"/>
      <c r="SIG2492" s="59"/>
      <c r="SIH2492" s="61"/>
      <c r="SII2492" s="59"/>
      <c r="SIJ2492" s="59"/>
      <c r="SIK2492" s="60"/>
      <c r="SIL2492" s="60"/>
      <c r="SIM2492" s="60"/>
      <c r="SIN2492" s="60"/>
      <c r="SIO2492" s="59"/>
      <c r="SIP2492" s="61"/>
      <c r="SIQ2492" s="59"/>
      <c r="SIR2492" s="59"/>
      <c r="SIS2492" s="60"/>
      <c r="SIT2492" s="60"/>
      <c r="SIU2492" s="60"/>
      <c r="SIV2492" s="60"/>
      <c r="SIW2492" s="59"/>
      <c r="SIX2492" s="61"/>
      <c r="SIY2492" s="59"/>
      <c r="SIZ2492" s="59"/>
      <c r="SJA2492" s="60"/>
      <c r="SJB2492" s="60"/>
      <c r="SJC2492" s="60"/>
      <c r="SJD2492" s="60"/>
      <c r="SJE2492" s="59"/>
      <c r="SJF2492" s="61"/>
      <c r="SJG2492" s="59"/>
      <c r="SJH2492" s="59"/>
      <c r="SJI2492" s="60"/>
      <c r="SJJ2492" s="60"/>
      <c r="SJK2492" s="60"/>
      <c r="SJL2492" s="60"/>
      <c r="SJM2492" s="59"/>
      <c r="SJN2492" s="61"/>
      <c r="SJO2492" s="59"/>
      <c r="SJP2492" s="59"/>
      <c r="SJQ2492" s="60"/>
      <c r="SJR2492" s="60"/>
      <c r="SJS2492" s="60"/>
      <c r="SJT2492" s="60"/>
      <c r="SJU2492" s="59"/>
      <c r="SJV2492" s="61"/>
      <c r="SJW2492" s="59"/>
      <c r="SJX2492" s="59"/>
      <c r="SJY2492" s="60"/>
      <c r="SJZ2492" s="60"/>
      <c r="SKA2492" s="60"/>
      <c r="SKB2492" s="60"/>
      <c r="SKC2492" s="59"/>
      <c r="SKD2492" s="61"/>
      <c r="SKE2492" s="59"/>
      <c r="SKF2492" s="59"/>
      <c r="SKG2492" s="60"/>
      <c r="SKH2492" s="60"/>
      <c r="SKI2492" s="60"/>
      <c r="SKJ2492" s="60"/>
      <c r="SKK2492" s="59"/>
      <c r="SKL2492" s="61"/>
      <c r="SKM2492" s="59"/>
      <c r="SKN2492" s="59"/>
      <c r="SKO2492" s="60"/>
      <c r="SKP2492" s="60"/>
      <c r="SKQ2492" s="60"/>
      <c r="SKR2492" s="60"/>
      <c r="SKS2492" s="59"/>
      <c r="SKT2492" s="61"/>
      <c r="SKU2492" s="59"/>
      <c r="SKV2492" s="59"/>
      <c r="SKW2492" s="60"/>
      <c r="SKX2492" s="60"/>
      <c r="SKY2492" s="60"/>
      <c r="SKZ2492" s="60"/>
      <c r="SLA2492" s="59"/>
      <c r="SLB2492" s="61"/>
      <c r="SLC2492" s="59"/>
      <c r="SLD2492" s="59"/>
      <c r="SLE2492" s="60"/>
      <c r="SLF2492" s="60"/>
      <c r="SLG2492" s="60"/>
      <c r="SLH2492" s="60"/>
      <c r="SLI2492" s="59"/>
      <c r="SLJ2492" s="61"/>
      <c r="SLK2492" s="59"/>
      <c r="SLL2492" s="59"/>
      <c r="SLM2492" s="60"/>
      <c r="SLN2492" s="60"/>
      <c r="SLO2492" s="60"/>
      <c r="SLP2492" s="60"/>
      <c r="SLQ2492" s="59"/>
      <c r="SLR2492" s="61"/>
      <c r="SLS2492" s="59"/>
      <c r="SLT2492" s="59"/>
      <c r="SLU2492" s="60"/>
      <c r="SLV2492" s="60"/>
      <c r="SLW2492" s="60"/>
      <c r="SLX2492" s="60"/>
      <c r="SLY2492" s="59"/>
      <c r="SLZ2492" s="61"/>
      <c r="SMA2492" s="59"/>
      <c r="SMB2492" s="59"/>
      <c r="SMC2492" s="60"/>
      <c r="SMD2492" s="60"/>
      <c r="SME2492" s="60"/>
      <c r="SMF2492" s="60"/>
      <c r="SMG2492" s="59"/>
      <c r="SMH2492" s="61"/>
      <c r="SMI2492" s="59"/>
      <c r="SMJ2492" s="59"/>
      <c r="SMK2492" s="60"/>
      <c r="SML2492" s="60"/>
      <c r="SMM2492" s="60"/>
      <c r="SMN2492" s="60"/>
      <c r="SMO2492" s="59"/>
      <c r="SMP2492" s="61"/>
      <c r="SMQ2492" s="59"/>
      <c r="SMR2492" s="59"/>
      <c r="SMS2492" s="60"/>
      <c r="SMT2492" s="60"/>
      <c r="SMU2492" s="60"/>
      <c r="SMV2492" s="60"/>
      <c r="SMW2492" s="59"/>
      <c r="SMX2492" s="61"/>
      <c r="SMY2492" s="59"/>
      <c r="SMZ2492" s="59"/>
      <c r="SNA2492" s="60"/>
      <c r="SNB2492" s="60"/>
      <c r="SNC2492" s="60"/>
      <c r="SND2492" s="60"/>
      <c r="SNE2492" s="59"/>
      <c r="SNF2492" s="61"/>
      <c r="SNG2492" s="59"/>
      <c r="SNH2492" s="59"/>
      <c r="SNI2492" s="60"/>
      <c r="SNJ2492" s="60"/>
      <c r="SNK2492" s="60"/>
      <c r="SNL2492" s="60"/>
      <c r="SNM2492" s="59"/>
      <c r="SNN2492" s="61"/>
      <c r="SNO2492" s="59"/>
      <c r="SNP2492" s="59"/>
      <c r="SNQ2492" s="60"/>
      <c r="SNR2492" s="60"/>
      <c r="SNS2492" s="60"/>
      <c r="SNT2492" s="60"/>
      <c r="SNU2492" s="59"/>
      <c r="SNV2492" s="61"/>
      <c r="SNW2492" s="59"/>
      <c r="SNX2492" s="59"/>
      <c r="SNY2492" s="60"/>
      <c r="SNZ2492" s="60"/>
      <c r="SOA2492" s="60"/>
      <c r="SOB2492" s="60"/>
      <c r="SOC2492" s="59"/>
      <c r="SOD2492" s="61"/>
      <c r="SOE2492" s="59"/>
      <c r="SOF2492" s="59"/>
      <c r="SOG2492" s="60"/>
      <c r="SOH2492" s="60"/>
      <c r="SOI2492" s="60"/>
      <c r="SOJ2492" s="60"/>
      <c r="SOK2492" s="59"/>
      <c r="SOL2492" s="61"/>
      <c r="SOM2492" s="59"/>
      <c r="SON2492" s="59"/>
      <c r="SOO2492" s="60"/>
      <c r="SOP2492" s="60"/>
      <c r="SOQ2492" s="60"/>
      <c r="SOR2492" s="60"/>
      <c r="SOS2492" s="59"/>
      <c r="SOT2492" s="61"/>
      <c r="SOU2492" s="59"/>
      <c r="SOV2492" s="59"/>
      <c r="SOW2492" s="60"/>
      <c r="SOX2492" s="60"/>
      <c r="SOY2492" s="60"/>
      <c r="SOZ2492" s="60"/>
      <c r="SPA2492" s="59"/>
      <c r="SPB2492" s="61"/>
      <c r="SPC2492" s="59"/>
      <c r="SPD2492" s="59"/>
      <c r="SPE2492" s="60"/>
      <c r="SPF2492" s="60"/>
      <c r="SPG2492" s="60"/>
      <c r="SPH2492" s="60"/>
      <c r="SPI2492" s="59"/>
      <c r="SPJ2492" s="61"/>
      <c r="SPK2492" s="59"/>
      <c r="SPL2492" s="59"/>
      <c r="SPM2492" s="60"/>
      <c r="SPN2492" s="60"/>
      <c r="SPO2492" s="60"/>
      <c r="SPP2492" s="60"/>
      <c r="SPQ2492" s="59"/>
      <c r="SPR2492" s="61"/>
      <c r="SPS2492" s="59"/>
      <c r="SPT2492" s="59"/>
      <c r="SPU2492" s="60"/>
      <c r="SPV2492" s="60"/>
      <c r="SPW2492" s="60"/>
      <c r="SPX2492" s="60"/>
      <c r="SPY2492" s="59"/>
      <c r="SPZ2492" s="61"/>
      <c r="SQA2492" s="59"/>
      <c r="SQB2492" s="59"/>
      <c r="SQC2492" s="60"/>
      <c r="SQD2492" s="60"/>
      <c r="SQE2492" s="60"/>
      <c r="SQF2492" s="60"/>
      <c r="SQG2492" s="59"/>
      <c r="SQH2492" s="61"/>
      <c r="SQI2492" s="59"/>
      <c r="SQJ2492" s="59"/>
      <c r="SQK2492" s="60"/>
      <c r="SQL2492" s="60"/>
      <c r="SQM2492" s="60"/>
      <c r="SQN2492" s="60"/>
      <c r="SQO2492" s="59"/>
      <c r="SQP2492" s="61"/>
      <c r="SQQ2492" s="59"/>
      <c r="SQR2492" s="59"/>
      <c r="SQS2492" s="60"/>
      <c r="SQT2492" s="60"/>
      <c r="SQU2492" s="60"/>
      <c r="SQV2492" s="60"/>
      <c r="SQW2492" s="59"/>
      <c r="SQX2492" s="61"/>
      <c r="SQY2492" s="59"/>
      <c r="SQZ2492" s="59"/>
      <c r="SRA2492" s="60"/>
      <c r="SRB2492" s="60"/>
      <c r="SRC2492" s="60"/>
      <c r="SRD2492" s="60"/>
      <c r="SRE2492" s="59"/>
      <c r="SRF2492" s="61"/>
      <c r="SRG2492" s="59"/>
      <c r="SRH2492" s="59"/>
      <c r="SRI2492" s="60"/>
      <c r="SRJ2492" s="60"/>
      <c r="SRK2492" s="60"/>
      <c r="SRL2492" s="60"/>
      <c r="SRM2492" s="59"/>
      <c r="SRN2492" s="61"/>
      <c r="SRO2492" s="59"/>
      <c r="SRP2492" s="59"/>
      <c r="SRQ2492" s="60"/>
      <c r="SRR2492" s="60"/>
      <c r="SRS2492" s="60"/>
      <c r="SRT2492" s="60"/>
      <c r="SRU2492" s="59"/>
      <c r="SRV2492" s="61"/>
      <c r="SRW2492" s="59"/>
      <c r="SRX2492" s="59"/>
      <c r="SRY2492" s="60"/>
      <c r="SRZ2492" s="60"/>
      <c r="SSA2492" s="60"/>
      <c r="SSB2492" s="60"/>
      <c r="SSC2492" s="59"/>
      <c r="SSD2492" s="61"/>
      <c r="SSE2492" s="59"/>
      <c r="SSF2492" s="59"/>
      <c r="SSG2492" s="60"/>
      <c r="SSH2492" s="60"/>
      <c r="SSI2492" s="60"/>
      <c r="SSJ2492" s="60"/>
      <c r="SSK2492" s="59"/>
      <c r="SSL2492" s="61"/>
      <c r="SSM2492" s="59"/>
      <c r="SSN2492" s="59"/>
      <c r="SSO2492" s="60"/>
      <c r="SSP2492" s="60"/>
      <c r="SSQ2492" s="60"/>
      <c r="SSR2492" s="60"/>
      <c r="SSS2492" s="59"/>
      <c r="SST2492" s="61"/>
      <c r="SSU2492" s="59"/>
      <c r="SSV2492" s="59"/>
      <c r="SSW2492" s="60"/>
      <c r="SSX2492" s="60"/>
      <c r="SSY2492" s="60"/>
      <c r="SSZ2492" s="60"/>
      <c r="STA2492" s="59"/>
      <c r="STB2492" s="61"/>
      <c r="STC2492" s="59"/>
      <c r="STD2492" s="59"/>
      <c r="STE2492" s="60"/>
      <c r="STF2492" s="60"/>
      <c r="STG2492" s="60"/>
      <c r="STH2492" s="60"/>
      <c r="STI2492" s="59"/>
      <c r="STJ2492" s="61"/>
      <c r="STK2492" s="59"/>
      <c r="STL2492" s="59"/>
      <c r="STM2492" s="60"/>
      <c r="STN2492" s="60"/>
      <c r="STO2492" s="60"/>
      <c r="STP2492" s="60"/>
      <c r="STQ2492" s="59"/>
      <c r="STR2492" s="61"/>
      <c r="STS2492" s="59"/>
      <c r="STT2492" s="59"/>
      <c r="STU2492" s="60"/>
      <c r="STV2492" s="60"/>
      <c r="STW2492" s="60"/>
      <c r="STX2492" s="60"/>
      <c r="STY2492" s="59"/>
      <c r="STZ2492" s="61"/>
      <c r="SUA2492" s="59"/>
      <c r="SUB2492" s="59"/>
      <c r="SUC2492" s="60"/>
      <c r="SUD2492" s="60"/>
      <c r="SUE2492" s="60"/>
      <c r="SUF2492" s="60"/>
      <c r="SUG2492" s="59"/>
      <c r="SUH2492" s="61"/>
      <c r="SUI2492" s="59"/>
      <c r="SUJ2492" s="59"/>
      <c r="SUK2492" s="60"/>
      <c r="SUL2492" s="60"/>
      <c r="SUM2492" s="60"/>
      <c r="SUN2492" s="60"/>
      <c r="SUO2492" s="59"/>
      <c r="SUP2492" s="61"/>
      <c r="SUQ2492" s="59"/>
      <c r="SUR2492" s="59"/>
      <c r="SUS2492" s="60"/>
      <c r="SUT2492" s="60"/>
      <c r="SUU2492" s="60"/>
      <c r="SUV2492" s="60"/>
      <c r="SUW2492" s="59"/>
      <c r="SUX2492" s="61"/>
      <c r="SUY2492" s="59"/>
      <c r="SUZ2492" s="59"/>
      <c r="SVA2492" s="60"/>
      <c r="SVB2492" s="60"/>
      <c r="SVC2492" s="60"/>
      <c r="SVD2492" s="60"/>
      <c r="SVE2492" s="59"/>
      <c r="SVF2492" s="61"/>
      <c r="SVG2492" s="59"/>
      <c r="SVH2492" s="59"/>
      <c r="SVI2492" s="60"/>
      <c r="SVJ2492" s="60"/>
      <c r="SVK2492" s="60"/>
      <c r="SVL2492" s="60"/>
      <c r="SVM2492" s="59"/>
      <c r="SVN2492" s="61"/>
      <c r="SVO2492" s="59"/>
      <c r="SVP2492" s="59"/>
      <c r="SVQ2492" s="60"/>
      <c r="SVR2492" s="60"/>
      <c r="SVS2492" s="60"/>
      <c r="SVT2492" s="60"/>
      <c r="SVU2492" s="59"/>
      <c r="SVV2492" s="61"/>
      <c r="SVW2492" s="59"/>
      <c r="SVX2492" s="59"/>
      <c r="SVY2492" s="60"/>
      <c r="SVZ2492" s="60"/>
      <c r="SWA2492" s="60"/>
      <c r="SWB2492" s="60"/>
      <c r="SWC2492" s="59"/>
      <c r="SWD2492" s="61"/>
      <c r="SWE2492" s="59"/>
      <c r="SWF2492" s="59"/>
      <c r="SWG2492" s="60"/>
      <c r="SWH2492" s="60"/>
      <c r="SWI2492" s="60"/>
      <c r="SWJ2492" s="60"/>
      <c r="SWK2492" s="59"/>
      <c r="SWL2492" s="61"/>
      <c r="SWM2492" s="59"/>
      <c r="SWN2492" s="59"/>
      <c r="SWO2492" s="60"/>
      <c r="SWP2492" s="60"/>
      <c r="SWQ2492" s="60"/>
      <c r="SWR2492" s="60"/>
      <c r="SWS2492" s="59"/>
      <c r="SWT2492" s="61"/>
      <c r="SWU2492" s="59"/>
      <c r="SWV2492" s="59"/>
      <c r="SWW2492" s="60"/>
      <c r="SWX2492" s="60"/>
      <c r="SWY2492" s="60"/>
      <c r="SWZ2492" s="60"/>
      <c r="SXA2492" s="59"/>
      <c r="SXB2492" s="61"/>
      <c r="SXC2492" s="59"/>
      <c r="SXD2492" s="59"/>
      <c r="SXE2492" s="60"/>
      <c r="SXF2492" s="60"/>
      <c r="SXG2492" s="60"/>
      <c r="SXH2492" s="60"/>
      <c r="SXI2492" s="59"/>
      <c r="SXJ2492" s="61"/>
      <c r="SXK2492" s="59"/>
      <c r="SXL2492" s="59"/>
      <c r="SXM2492" s="60"/>
      <c r="SXN2492" s="60"/>
      <c r="SXO2492" s="60"/>
      <c r="SXP2492" s="60"/>
      <c r="SXQ2492" s="59"/>
      <c r="SXR2492" s="61"/>
      <c r="SXS2492" s="59"/>
      <c r="SXT2492" s="59"/>
      <c r="SXU2492" s="60"/>
      <c r="SXV2492" s="60"/>
      <c r="SXW2492" s="60"/>
      <c r="SXX2492" s="60"/>
      <c r="SXY2492" s="59"/>
      <c r="SXZ2492" s="61"/>
      <c r="SYA2492" s="59"/>
      <c r="SYB2492" s="59"/>
      <c r="SYC2492" s="60"/>
      <c r="SYD2492" s="60"/>
      <c r="SYE2492" s="60"/>
      <c r="SYF2492" s="60"/>
      <c r="SYG2492" s="59"/>
      <c r="SYH2492" s="61"/>
      <c r="SYI2492" s="59"/>
      <c r="SYJ2492" s="59"/>
      <c r="SYK2492" s="60"/>
      <c r="SYL2492" s="60"/>
      <c r="SYM2492" s="60"/>
      <c r="SYN2492" s="60"/>
      <c r="SYO2492" s="59"/>
      <c r="SYP2492" s="61"/>
      <c r="SYQ2492" s="59"/>
      <c r="SYR2492" s="59"/>
      <c r="SYS2492" s="60"/>
      <c r="SYT2492" s="60"/>
      <c r="SYU2492" s="60"/>
      <c r="SYV2492" s="60"/>
      <c r="SYW2492" s="59"/>
      <c r="SYX2492" s="61"/>
      <c r="SYY2492" s="59"/>
      <c r="SYZ2492" s="59"/>
      <c r="SZA2492" s="60"/>
      <c r="SZB2492" s="60"/>
      <c r="SZC2492" s="60"/>
      <c r="SZD2492" s="60"/>
      <c r="SZE2492" s="59"/>
      <c r="SZF2492" s="61"/>
      <c r="SZG2492" s="59"/>
      <c r="SZH2492" s="59"/>
      <c r="SZI2492" s="60"/>
      <c r="SZJ2492" s="60"/>
      <c r="SZK2492" s="60"/>
      <c r="SZL2492" s="60"/>
      <c r="SZM2492" s="59"/>
      <c r="SZN2492" s="61"/>
      <c r="SZO2492" s="59"/>
      <c r="SZP2492" s="59"/>
      <c r="SZQ2492" s="60"/>
      <c r="SZR2492" s="60"/>
      <c r="SZS2492" s="60"/>
      <c r="SZT2492" s="60"/>
      <c r="SZU2492" s="59"/>
      <c r="SZV2492" s="61"/>
      <c r="SZW2492" s="59"/>
      <c r="SZX2492" s="59"/>
      <c r="SZY2492" s="60"/>
      <c r="SZZ2492" s="60"/>
      <c r="TAA2492" s="60"/>
      <c r="TAB2492" s="60"/>
      <c r="TAC2492" s="59"/>
      <c r="TAD2492" s="61"/>
      <c r="TAE2492" s="59"/>
      <c r="TAF2492" s="59"/>
      <c r="TAG2492" s="60"/>
      <c r="TAH2492" s="60"/>
      <c r="TAI2492" s="60"/>
      <c r="TAJ2492" s="60"/>
      <c r="TAK2492" s="59"/>
      <c r="TAL2492" s="61"/>
      <c r="TAM2492" s="59"/>
      <c r="TAN2492" s="59"/>
      <c r="TAO2492" s="60"/>
      <c r="TAP2492" s="60"/>
      <c r="TAQ2492" s="60"/>
      <c r="TAR2492" s="60"/>
      <c r="TAS2492" s="59"/>
      <c r="TAT2492" s="61"/>
      <c r="TAU2492" s="59"/>
      <c r="TAV2492" s="59"/>
      <c r="TAW2492" s="60"/>
      <c r="TAX2492" s="60"/>
      <c r="TAY2492" s="60"/>
      <c r="TAZ2492" s="60"/>
      <c r="TBA2492" s="59"/>
      <c r="TBB2492" s="61"/>
      <c r="TBC2492" s="59"/>
      <c r="TBD2492" s="59"/>
      <c r="TBE2492" s="60"/>
      <c r="TBF2492" s="60"/>
      <c r="TBG2492" s="60"/>
      <c r="TBH2492" s="60"/>
      <c r="TBI2492" s="59"/>
      <c r="TBJ2492" s="61"/>
      <c r="TBK2492" s="59"/>
      <c r="TBL2492" s="59"/>
      <c r="TBM2492" s="60"/>
      <c r="TBN2492" s="60"/>
      <c r="TBO2492" s="60"/>
      <c r="TBP2492" s="60"/>
      <c r="TBQ2492" s="59"/>
      <c r="TBR2492" s="61"/>
      <c r="TBS2492" s="59"/>
      <c r="TBT2492" s="59"/>
      <c r="TBU2492" s="60"/>
      <c r="TBV2492" s="60"/>
      <c r="TBW2492" s="60"/>
      <c r="TBX2492" s="60"/>
      <c r="TBY2492" s="59"/>
      <c r="TBZ2492" s="61"/>
      <c r="TCA2492" s="59"/>
      <c r="TCB2492" s="59"/>
      <c r="TCC2492" s="60"/>
      <c r="TCD2492" s="60"/>
      <c r="TCE2492" s="60"/>
      <c r="TCF2492" s="60"/>
      <c r="TCG2492" s="59"/>
      <c r="TCH2492" s="61"/>
      <c r="TCI2492" s="59"/>
      <c r="TCJ2492" s="59"/>
      <c r="TCK2492" s="60"/>
      <c r="TCL2492" s="60"/>
      <c r="TCM2492" s="60"/>
      <c r="TCN2492" s="60"/>
      <c r="TCO2492" s="59"/>
      <c r="TCP2492" s="61"/>
      <c r="TCQ2492" s="59"/>
      <c r="TCR2492" s="59"/>
      <c r="TCS2492" s="60"/>
      <c r="TCT2492" s="60"/>
      <c r="TCU2492" s="60"/>
      <c r="TCV2492" s="60"/>
      <c r="TCW2492" s="59"/>
      <c r="TCX2492" s="61"/>
      <c r="TCY2492" s="59"/>
      <c r="TCZ2492" s="59"/>
      <c r="TDA2492" s="60"/>
      <c r="TDB2492" s="60"/>
      <c r="TDC2492" s="60"/>
      <c r="TDD2492" s="60"/>
      <c r="TDE2492" s="59"/>
      <c r="TDF2492" s="61"/>
      <c r="TDG2492" s="59"/>
      <c r="TDH2492" s="59"/>
      <c r="TDI2492" s="60"/>
      <c r="TDJ2492" s="60"/>
      <c r="TDK2492" s="60"/>
      <c r="TDL2492" s="60"/>
      <c r="TDM2492" s="59"/>
      <c r="TDN2492" s="61"/>
      <c r="TDO2492" s="59"/>
      <c r="TDP2492" s="59"/>
      <c r="TDQ2492" s="60"/>
      <c r="TDR2492" s="60"/>
      <c r="TDS2492" s="60"/>
      <c r="TDT2492" s="60"/>
      <c r="TDU2492" s="59"/>
      <c r="TDV2492" s="61"/>
      <c r="TDW2492" s="59"/>
      <c r="TDX2492" s="59"/>
      <c r="TDY2492" s="60"/>
      <c r="TDZ2492" s="60"/>
      <c r="TEA2492" s="60"/>
      <c r="TEB2492" s="60"/>
      <c r="TEC2492" s="59"/>
      <c r="TED2492" s="61"/>
      <c r="TEE2492" s="59"/>
      <c r="TEF2492" s="59"/>
      <c r="TEG2492" s="60"/>
      <c r="TEH2492" s="60"/>
      <c r="TEI2492" s="60"/>
      <c r="TEJ2492" s="60"/>
      <c r="TEK2492" s="59"/>
      <c r="TEL2492" s="61"/>
      <c r="TEM2492" s="59"/>
      <c r="TEN2492" s="59"/>
      <c r="TEO2492" s="60"/>
      <c r="TEP2492" s="60"/>
      <c r="TEQ2492" s="60"/>
      <c r="TER2492" s="60"/>
      <c r="TES2492" s="59"/>
      <c r="TET2492" s="61"/>
      <c r="TEU2492" s="59"/>
      <c r="TEV2492" s="59"/>
      <c r="TEW2492" s="60"/>
      <c r="TEX2492" s="60"/>
      <c r="TEY2492" s="60"/>
      <c r="TEZ2492" s="60"/>
      <c r="TFA2492" s="59"/>
      <c r="TFB2492" s="61"/>
      <c r="TFC2492" s="59"/>
      <c r="TFD2492" s="59"/>
      <c r="TFE2492" s="60"/>
      <c r="TFF2492" s="60"/>
      <c r="TFG2492" s="60"/>
      <c r="TFH2492" s="60"/>
      <c r="TFI2492" s="59"/>
      <c r="TFJ2492" s="61"/>
      <c r="TFK2492" s="59"/>
      <c r="TFL2492" s="59"/>
      <c r="TFM2492" s="60"/>
      <c r="TFN2492" s="60"/>
      <c r="TFO2492" s="60"/>
      <c r="TFP2492" s="60"/>
      <c r="TFQ2492" s="59"/>
      <c r="TFR2492" s="61"/>
      <c r="TFS2492" s="59"/>
      <c r="TFT2492" s="59"/>
      <c r="TFU2492" s="60"/>
      <c r="TFV2492" s="60"/>
      <c r="TFW2492" s="60"/>
      <c r="TFX2492" s="60"/>
      <c r="TFY2492" s="59"/>
      <c r="TFZ2492" s="61"/>
      <c r="TGA2492" s="59"/>
      <c r="TGB2492" s="59"/>
      <c r="TGC2492" s="60"/>
      <c r="TGD2492" s="60"/>
      <c r="TGE2492" s="60"/>
      <c r="TGF2492" s="60"/>
      <c r="TGG2492" s="59"/>
      <c r="TGH2492" s="61"/>
      <c r="TGI2492" s="59"/>
      <c r="TGJ2492" s="59"/>
      <c r="TGK2492" s="60"/>
      <c r="TGL2492" s="60"/>
      <c r="TGM2492" s="60"/>
      <c r="TGN2492" s="60"/>
      <c r="TGO2492" s="59"/>
      <c r="TGP2492" s="61"/>
      <c r="TGQ2492" s="59"/>
      <c r="TGR2492" s="59"/>
      <c r="TGS2492" s="60"/>
      <c r="TGT2492" s="60"/>
      <c r="TGU2492" s="60"/>
      <c r="TGV2492" s="60"/>
      <c r="TGW2492" s="59"/>
      <c r="TGX2492" s="61"/>
      <c r="TGY2492" s="59"/>
      <c r="TGZ2492" s="59"/>
      <c r="THA2492" s="60"/>
      <c r="THB2492" s="60"/>
      <c r="THC2492" s="60"/>
      <c r="THD2492" s="60"/>
      <c r="THE2492" s="59"/>
      <c r="THF2492" s="61"/>
      <c r="THG2492" s="59"/>
      <c r="THH2492" s="59"/>
      <c r="THI2492" s="60"/>
      <c r="THJ2492" s="60"/>
      <c r="THK2492" s="60"/>
      <c r="THL2492" s="60"/>
      <c r="THM2492" s="59"/>
      <c r="THN2492" s="61"/>
      <c r="THO2492" s="59"/>
      <c r="THP2492" s="59"/>
      <c r="THQ2492" s="60"/>
      <c r="THR2492" s="60"/>
      <c r="THS2492" s="60"/>
      <c r="THT2492" s="60"/>
      <c r="THU2492" s="59"/>
      <c r="THV2492" s="61"/>
      <c r="THW2492" s="59"/>
      <c r="THX2492" s="59"/>
      <c r="THY2492" s="60"/>
      <c r="THZ2492" s="60"/>
      <c r="TIA2492" s="60"/>
      <c r="TIB2492" s="60"/>
      <c r="TIC2492" s="59"/>
      <c r="TID2492" s="61"/>
      <c r="TIE2492" s="59"/>
      <c r="TIF2492" s="59"/>
      <c r="TIG2492" s="60"/>
      <c r="TIH2492" s="60"/>
      <c r="TII2492" s="60"/>
      <c r="TIJ2492" s="60"/>
      <c r="TIK2492" s="59"/>
      <c r="TIL2492" s="61"/>
      <c r="TIM2492" s="59"/>
      <c r="TIN2492" s="59"/>
      <c r="TIO2492" s="60"/>
      <c r="TIP2492" s="60"/>
      <c r="TIQ2492" s="60"/>
      <c r="TIR2492" s="60"/>
      <c r="TIS2492" s="59"/>
      <c r="TIT2492" s="61"/>
      <c r="TIU2492" s="59"/>
      <c r="TIV2492" s="59"/>
      <c r="TIW2492" s="60"/>
      <c r="TIX2492" s="60"/>
      <c r="TIY2492" s="60"/>
      <c r="TIZ2492" s="60"/>
      <c r="TJA2492" s="59"/>
      <c r="TJB2492" s="61"/>
      <c r="TJC2492" s="59"/>
      <c r="TJD2492" s="59"/>
      <c r="TJE2492" s="60"/>
      <c r="TJF2492" s="60"/>
      <c r="TJG2492" s="60"/>
      <c r="TJH2492" s="60"/>
      <c r="TJI2492" s="59"/>
      <c r="TJJ2492" s="61"/>
      <c r="TJK2492" s="59"/>
      <c r="TJL2492" s="59"/>
      <c r="TJM2492" s="60"/>
      <c r="TJN2492" s="60"/>
      <c r="TJO2492" s="60"/>
      <c r="TJP2492" s="60"/>
      <c r="TJQ2492" s="59"/>
      <c r="TJR2492" s="61"/>
      <c r="TJS2492" s="59"/>
      <c r="TJT2492" s="59"/>
      <c r="TJU2492" s="60"/>
      <c r="TJV2492" s="60"/>
      <c r="TJW2492" s="60"/>
      <c r="TJX2492" s="60"/>
      <c r="TJY2492" s="59"/>
      <c r="TJZ2492" s="61"/>
      <c r="TKA2492" s="59"/>
      <c r="TKB2492" s="59"/>
      <c r="TKC2492" s="60"/>
      <c r="TKD2492" s="60"/>
      <c r="TKE2492" s="60"/>
      <c r="TKF2492" s="60"/>
      <c r="TKG2492" s="59"/>
      <c r="TKH2492" s="61"/>
      <c r="TKI2492" s="59"/>
      <c r="TKJ2492" s="59"/>
      <c r="TKK2492" s="60"/>
      <c r="TKL2492" s="60"/>
      <c r="TKM2492" s="60"/>
      <c r="TKN2492" s="60"/>
      <c r="TKO2492" s="59"/>
      <c r="TKP2492" s="61"/>
      <c r="TKQ2492" s="59"/>
      <c r="TKR2492" s="59"/>
      <c r="TKS2492" s="60"/>
      <c r="TKT2492" s="60"/>
      <c r="TKU2492" s="60"/>
      <c r="TKV2492" s="60"/>
      <c r="TKW2492" s="59"/>
      <c r="TKX2492" s="61"/>
      <c r="TKY2492" s="59"/>
      <c r="TKZ2492" s="59"/>
      <c r="TLA2492" s="60"/>
      <c r="TLB2492" s="60"/>
      <c r="TLC2492" s="60"/>
      <c r="TLD2492" s="60"/>
      <c r="TLE2492" s="59"/>
      <c r="TLF2492" s="61"/>
      <c r="TLG2492" s="59"/>
      <c r="TLH2492" s="59"/>
      <c r="TLI2492" s="60"/>
      <c r="TLJ2492" s="60"/>
      <c r="TLK2492" s="60"/>
      <c r="TLL2492" s="60"/>
      <c r="TLM2492" s="59"/>
      <c r="TLN2492" s="61"/>
      <c r="TLO2492" s="59"/>
      <c r="TLP2492" s="59"/>
      <c r="TLQ2492" s="60"/>
      <c r="TLR2492" s="60"/>
      <c r="TLS2492" s="60"/>
      <c r="TLT2492" s="60"/>
      <c r="TLU2492" s="59"/>
      <c r="TLV2492" s="61"/>
      <c r="TLW2492" s="59"/>
      <c r="TLX2492" s="59"/>
      <c r="TLY2492" s="60"/>
      <c r="TLZ2492" s="60"/>
      <c r="TMA2492" s="60"/>
      <c r="TMB2492" s="60"/>
      <c r="TMC2492" s="59"/>
      <c r="TMD2492" s="61"/>
      <c r="TME2492" s="59"/>
      <c r="TMF2492" s="59"/>
      <c r="TMG2492" s="60"/>
      <c r="TMH2492" s="60"/>
      <c r="TMI2492" s="60"/>
      <c r="TMJ2492" s="60"/>
      <c r="TMK2492" s="59"/>
      <c r="TML2492" s="61"/>
      <c r="TMM2492" s="59"/>
      <c r="TMN2492" s="59"/>
      <c r="TMO2492" s="60"/>
      <c r="TMP2492" s="60"/>
      <c r="TMQ2492" s="60"/>
      <c r="TMR2492" s="60"/>
      <c r="TMS2492" s="59"/>
      <c r="TMT2492" s="61"/>
      <c r="TMU2492" s="59"/>
      <c r="TMV2492" s="59"/>
      <c r="TMW2492" s="60"/>
      <c r="TMX2492" s="60"/>
      <c r="TMY2492" s="60"/>
      <c r="TMZ2492" s="60"/>
      <c r="TNA2492" s="59"/>
      <c r="TNB2492" s="61"/>
      <c r="TNC2492" s="59"/>
      <c r="TND2492" s="59"/>
      <c r="TNE2492" s="60"/>
      <c r="TNF2492" s="60"/>
      <c r="TNG2492" s="60"/>
      <c r="TNH2492" s="60"/>
      <c r="TNI2492" s="59"/>
      <c r="TNJ2492" s="61"/>
      <c r="TNK2492" s="59"/>
      <c r="TNL2492" s="59"/>
      <c r="TNM2492" s="60"/>
      <c r="TNN2492" s="60"/>
      <c r="TNO2492" s="60"/>
      <c r="TNP2492" s="60"/>
      <c r="TNQ2492" s="59"/>
      <c r="TNR2492" s="61"/>
      <c r="TNS2492" s="59"/>
      <c r="TNT2492" s="59"/>
      <c r="TNU2492" s="60"/>
      <c r="TNV2492" s="60"/>
      <c r="TNW2492" s="60"/>
      <c r="TNX2492" s="60"/>
      <c r="TNY2492" s="59"/>
      <c r="TNZ2492" s="61"/>
      <c r="TOA2492" s="59"/>
      <c r="TOB2492" s="59"/>
      <c r="TOC2492" s="60"/>
      <c r="TOD2492" s="60"/>
      <c r="TOE2492" s="60"/>
      <c r="TOF2492" s="60"/>
      <c r="TOG2492" s="59"/>
      <c r="TOH2492" s="61"/>
      <c r="TOI2492" s="59"/>
      <c r="TOJ2492" s="59"/>
      <c r="TOK2492" s="60"/>
      <c r="TOL2492" s="60"/>
      <c r="TOM2492" s="60"/>
      <c r="TON2492" s="60"/>
      <c r="TOO2492" s="59"/>
      <c r="TOP2492" s="61"/>
      <c r="TOQ2492" s="59"/>
      <c r="TOR2492" s="59"/>
      <c r="TOS2492" s="60"/>
      <c r="TOT2492" s="60"/>
      <c r="TOU2492" s="60"/>
      <c r="TOV2492" s="60"/>
      <c r="TOW2492" s="59"/>
      <c r="TOX2492" s="61"/>
      <c r="TOY2492" s="59"/>
      <c r="TOZ2492" s="59"/>
      <c r="TPA2492" s="60"/>
      <c r="TPB2492" s="60"/>
      <c r="TPC2492" s="60"/>
      <c r="TPD2492" s="60"/>
      <c r="TPE2492" s="59"/>
      <c r="TPF2492" s="61"/>
      <c r="TPG2492" s="59"/>
      <c r="TPH2492" s="59"/>
      <c r="TPI2492" s="60"/>
      <c r="TPJ2492" s="60"/>
      <c r="TPK2492" s="60"/>
      <c r="TPL2492" s="60"/>
      <c r="TPM2492" s="59"/>
      <c r="TPN2492" s="61"/>
      <c r="TPO2492" s="59"/>
      <c r="TPP2492" s="59"/>
      <c r="TPQ2492" s="60"/>
      <c r="TPR2492" s="60"/>
      <c r="TPS2492" s="60"/>
      <c r="TPT2492" s="60"/>
      <c r="TPU2492" s="59"/>
      <c r="TPV2492" s="61"/>
      <c r="TPW2492" s="59"/>
      <c r="TPX2492" s="59"/>
      <c r="TPY2492" s="60"/>
      <c r="TPZ2492" s="60"/>
      <c r="TQA2492" s="60"/>
      <c r="TQB2492" s="60"/>
      <c r="TQC2492" s="59"/>
      <c r="TQD2492" s="61"/>
      <c r="TQE2492" s="59"/>
      <c r="TQF2492" s="59"/>
      <c r="TQG2492" s="60"/>
      <c r="TQH2492" s="60"/>
      <c r="TQI2492" s="60"/>
      <c r="TQJ2492" s="60"/>
      <c r="TQK2492" s="59"/>
      <c r="TQL2492" s="61"/>
      <c r="TQM2492" s="59"/>
      <c r="TQN2492" s="59"/>
      <c r="TQO2492" s="60"/>
      <c r="TQP2492" s="60"/>
      <c r="TQQ2492" s="60"/>
      <c r="TQR2492" s="60"/>
      <c r="TQS2492" s="59"/>
      <c r="TQT2492" s="61"/>
      <c r="TQU2492" s="59"/>
      <c r="TQV2492" s="59"/>
      <c r="TQW2492" s="60"/>
      <c r="TQX2492" s="60"/>
      <c r="TQY2492" s="60"/>
      <c r="TQZ2492" s="60"/>
      <c r="TRA2492" s="59"/>
      <c r="TRB2492" s="61"/>
      <c r="TRC2492" s="59"/>
      <c r="TRD2492" s="59"/>
      <c r="TRE2492" s="60"/>
      <c r="TRF2492" s="60"/>
      <c r="TRG2492" s="60"/>
      <c r="TRH2492" s="60"/>
      <c r="TRI2492" s="59"/>
      <c r="TRJ2492" s="61"/>
      <c r="TRK2492" s="59"/>
      <c r="TRL2492" s="59"/>
      <c r="TRM2492" s="60"/>
      <c r="TRN2492" s="60"/>
      <c r="TRO2492" s="60"/>
      <c r="TRP2492" s="60"/>
      <c r="TRQ2492" s="59"/>
      <c r="TRR2492" s="61"/>
      <c r="TRS2492" s="59"/>
      <c r="TRT2492" s="59"/>
      <c r="TRU2492" s="60"/>
      <c r="TRV2492" s="60"/>
      <c r="TRW2492" s="60"/>
      <c r="TRX2492" s="60"/>
      <c r="TRY2492" s="59"/>
      <c r="TRZ2492" s="61"/>
      <c r="TSA2492" s="59"/>
      <c r="TSB2492" s="59"/>
      <c r="TSC2492" s="60"/>
      <c r="TSD2492" s="60"/>
      <c r="TSE2492" s="60"/>
      <c r="TSF2492" s="60"/>
      <c r="TSG2492" s="59"/>
      <c r="TSH2492" s="61"/>
      <c r="TSI2492" s="59"/>
      <c r="TSJ2492" s="59"/>
      <c r="TSK2492" s="60"/>
      <c r="TSL2492" s="60"/>
      <c r="TSM2492" s="60"/>
      <c r="TSN2492" s="60"/>
      <c r="TSO2492" s="59"/>
      <c r="TSP2492" s="61"/>
      <c r="TSQ2492" s="59"/>
      <c r="TSR2492" s="59"/>
      <c r="TSS2492" s="60"/>
      <c r="TST2492" s="60"/>
      <c r="TSU2492" s="60"/>
      <c r="TSV2492" s="60"/>
      <c r="TSW2492" s="59"/>
      <c r="TSX2492" s="61"/>
      <c r="TSY2492" s="59"/>
      <c r="TSZ2492" s="59"/>
      <c r="TTA2492" s="60"/>
      <c r="TTB2492" s="60"/>
      <c r="TTC2492" s="60"/>
      <c r="TTD2492" s="60"/>
      <c r="TTE2492" s="59"/>
      <c r="TTF2492" s="61"/>
      <c r="TTG2492" s="59"/>
      <c r="TTH2492" s="59"/>
      <c r="TTI2492" s="60"/>
      <c r="TTJ2492" s="60"/>
      <c r="TTK2492" s="60"/>
      <c r="TTL2492" s="60"/>
      <c r="TTM2492" s="59"/>
      <c r="TTN2492" s="61"/>
      <c r="TTO2492" s="59"/>
      <c r="TTP2492" s="59"/>
      <c r="TTQ2492" s="60"/>
      <c r="TTR2492" s="60"/>
      <c r="TTS2492" s="60"/>
      <c r="TTT2492" s="60"/>
      <c r="TTU2492" s="59"/>
      <c r="TTV2492" s="61"/>
      <c r="TTW2492" s="59"/>
      <c r="TTX2492" s="59"/>
      <c r="TTY2492" s="60"/>
      <c r="TTZ2492" s="60"/>
      <c r="TUA2492" s="60"/>
      <c r="TUB2492" s="60"/>
      <c r="TUC2492" s="59"/>
      <c r="TUD2492" s="61"/>
      <c r="TUE2492" s="59"/>
      <c r="TUF2492" s="59"/>
      <c r="TUG2492" s="60"/>
      <c r="TUH2492" s="60"/>
      <c r="TUI2492" s="60"/>
      <c r="TUJ2492" s="60"/>
      <c r="TUK2492" s="59"/>
      <c r="TUL2492" s="61"/>
      <c r="TUM2492" s="59"/>
      <c r="TUN2492" s="59"/>
      <c r="TUO2492" s="60"/>
      <c r="TUP2492" s="60"/>
      <c r="TUQ2492" s="60"/>
      <c r="TUR2492" s="60"/>
      <c r="TUS2492" s="59"/>
      <c r="TUT2492" s="61"/>
      <c r="TUU2492" s="59"/>
      <c r="TUV2492" s="59"/>
      <c r="TUW2492" s="60"/>
      <c r="TUX2492" s="60"/>
      <c r="TUY2492" s="60"/>
      <c r="TUZ2492" s="60"/>
      <c r="TVA2492" s="59"/>
      <c r="TVB2492" s="61"/>
      <c r="TVC2492" s="59"/>
      <c r="TVD2492" s="59"/>
      <c r="TVE2492" s="60"/>
      <c r="TVF2492" s="60"/>
      <c r="TVG2492" s="60"/>
      <c r="TVH2492" s="60"/>
      <c r="TVI2492" s="59"/>
      <c r="TVJ2492" s="61"/>
      <c r="TVK2492" s="59"/>
      <c r="TVL2492" s="59"/>
      <c r="TVM2492" s="60"/>
      <c r="TVN2492" s="60"/>
      <c r="TVO2492" s="60"/>
      <c r="TVP2492" s="60"/>
      <c r="TVQ2492" s="59"/>
      <c r="TVR2492" s="61"/>
      <c r="TVS2492" s="59"/>
      <c r="TVT2492" s="59"/>
      <c r="TVU2492" s="60"/>
      <c r="TVV2492" s="60"/>
      <c r="TVW2492" s="60"/>
      <c r="TVX2492" s="60"/>
      <c r="TVY2492" s="59"/>
      <c r="TVZ2492" s="61"/>
      <c r="TWA2492" s="59"/>
      <c r="TWB2492" s="59"/>
      <c r="TWC2492" s="60"/>
      <c r="TWD2492" s="60"/>
      <c r="TWE2492" s="60"/>
      <c r="TWF2492" s="60"/>
      <c r="TWG2492" s="59"/>
      <c r="TWH2492" s="61"/>
      <c r="TWI2492" s="59"/>
      <c r="TWJ2492" s="59"/>
      <c r="TWK2492" s="60"/>
      <c r="TWL2492" s="60"/>
      <c r="TWM2492" s="60"/>
      <c r="TWN2492" s="60"/>
      <c r="TWO2492" s="59"/>
      <c r="TWP2492" s="61"/>
      <c r="TWQ2492" s="59"/>
      <c r="TWR2492" s="59"/>
      <c r="TWS2492" s="60"/>
      <c r="TWT2492" s="60"/>
      <c r="TWU2492" s="60"/>
      <c r="TWV2492" s="60"/>
      <c r="TWW2492" s="59"/>
      <c r="TWX2492" s="61"/>
      <c r="TWY2492" s="59"/>
      <c r="TWZ2492" s="59"/>
      <c r="TXA2492" s="60"/>
      <c r="TXB2492" s="60"/>
      <c r="TXC2492" s="60"/>
      <c r="TXD2492" s="60"/>
      <c r="TXE2492" s="59"/>
      <c r="TXF2492" s="61"/>
      <c r="TXG2492" s="59"/>
      <c r="TXH2492" s="59"/>
      <c r="TXI2492" s="60"/>
      <c r="TXJ2492" s="60"/>
      <c r="TXK2492" s="60"/>
      <c r="TXL2492" s="60"/>
      <c r="TXM2492" s="59"/>
      <c r="TXN2492" s="61"/>
      <c r="TXO2492" s="59"/>
      <c r="TXP2492" s="59"/>
      <c r="TXQ2492" s="60"/>
      <c r="TXR2492" s="60"/>
      <c r="TXS2492" s="60"/>
      <c r="TXT2492" s="60"/>
      <c r="TXU2492" s="59"/>
      <c r="TXV2492" s="61"/>
      <c r="TXW2492" s="59"/>
      <c r="TXX2492" s="59"/>
      <c r="TXY2492" s="60"/>
      <c r="TXZ2492" s="60"/>
      <c r="TYA2492" s="60"/>
      <c r="TYB2492" s="60"/>
      <c r="TYC2492" s="59"/>
      <c r="TYD2492" s="61"/>
      <c r="TYE2492" s="59"/>
      <c r="TYF2492" s="59"/>
      <c r="TYG2492" s="60"/>
      <c r="TYH2492" s="60"/>
      <c r="TYI2492" s="60"/>
      <c r="TYJ2492" s="60"/>
      <c r="TYK2492" s="59"/>
      <c r="TYL2492" s="61"/>
      <c r="TYM2492" s="59"/>
      <c r="TYN2492" s="59"/>
      <c r="TYO2492" s="60"/>
      <c r="TYP2492" s="60"/>
      <c r="TYQ2492" s="60"/>
      <c r="TYR2492" s="60"/>
      <c r="TYS2492" s="59"/>
      <c r="TYT2492" s="61"/>
      <c r="TYU2492" s="59"/>
      <c r="TYV2492" s="59"/>
      <c r="TYW2492" s="60"/>
      <c r="TYX2492" s="60"/>
      <c r="TYY2492" s="60"/>
      <c r="TYZ2492" s="60"/>
      <c r="TZA2492" s="59"/>
      <c r="TZB2492" s="61"/>
      <c r="TZC2492" s="59"/>
      <c r="TZD2492" s="59"/>
      <c r="TZE2492" s="60"/>
      <c r="TZF2492" s="60"/>
      <c r="TZG2492" s="60"/>
      <c r="TZH2492" s="60"/>
      <c r="TZI2492" s="59"/>
      <c r="TZJ2492" s="61"/>
      <c r="TZK2492" s="59"/>
      <c r="TZL2492" s="59"/>
      <c r="TZM2492" s="60"/>
      <c r="TZN2492" s="60"/>
      <c r="TZO2492" s="60"/>
      <c r="TZP2492" s="60"/>
      <c r="TZQ2492" s="59"/>
      <c r="TZR2492" s="61"/>
      <c r="TZS2492" s="59"/>
      <c r="TZT2492" s="59"/>
      <c r="TZU2492" s="60"/>
      <c r="TZV2492" s="60"/>
      <c r="TZW2492" s="60"/>
      <c r="TZX2492" s="60"/>
      <c r="TZY2492" s="59"/>
      <c r="TZZ2492" s="61"/>
      <c r="UAA2492" s="59"/>
      <c r="UAB2492" s="59"/>
      <c r="UAC2492" s="60"/>
      <c r="UAD2492" s="60"/>
      <c r="UAE2492" s="60"/>
      <c r="UAF2492" s="60"/>
      <c r="UAG2492" s="59"/>
      <c r="UAH2492" s="61"/>
      <c r="UAI2492" s="59"/>
      <c r="UAJ2492" s="59"/>
      <c r="UAK2492" s="60"/>
      <c r="UAL2492" s="60"/>
      <c r="UAM2492" s="60"/>
      <c r="UAN2492" s="60"/>
      <c r="UAO2492" s="59"/>
      <c r="UAP2492" s="61"/>
      <c r="UAQ2492" s="59"/>
      <c r="UAR2492" s="59"/>
      <c r="UAS2492" s="60"/>
      <c r="UAT2492" s="60"/>
      <c r="UAU2492" s="60"/>
      <c r="UAV2492" s="60"/>
      <c r="UAW2492" s="59"/>
      <c r="UAX2492" s="61"/>
      <c r="UAY2492" s="59"/>
      <c r="UAZ2492" s="59"/>
      <c r="UBA2492" s="60"/>
      <c r="UBB2492" s="60"/>
      <c r="UBC2492" s="60"/>
      <c r="UBD2492" s="60"/>
      <c r="UBE2492" s="59"/>
      <c r="UBF2492" s="61"/>
      <c r="UBG2492" s="59"/>
      <c r="UBH2492" s="59"/>
      <c r="UBI2492" s="60"/>
      <c r="UBJ2492" s="60"/>
      <c r="UBK2492" s="60"/>
      <c r="UBL2492" s="60"/>
      <c r="UBM2492" s="59"/>
      <c r="UBN2492" s="61"/>
      <c r="UBO2492" s="59"/>
      <c r="UBP2492" s="59"/>
      <c r="UBQ2492" s="60"/>
      <c r="UBR2492" s="60"/>
      <c r="UBS2492" s="60"/>
      <c r="UBT2492" s="60"/>
      <c r="UBU2492" s="59"/>
      <c r="UBV2492" s="61"/>
      <c r="UBW2492" s="59"/>
      <c r="UBX2492" s="59"/>
      <c r="UBY2492" s="60"/>
      <c r="UBZ2492" s="60"/>
      <c r="UCA2492" s="60"/>
      <c r="UCB2492" s="60"/>
      <c r="UCC2492" s="59"/>
      <c r="UCD2492" s="61"/>
      <c r="UCE2492" s="59"/>
      <c r="UCF2492" s="59"/>
      <c r="UCG2492" s="60"/>
      <c r="UCH2492" s="60"/>
      <c r="UCI2492" s="60"/>
      <c r="UCJ2492" s="60"/>
      <c r="UCK2492" s="59"/>
      <c r="UCL2492" s="61"/>
      <c r="UCM2492" s="59"/>
      <c r="UCN2492" s="59"/>
      <c r="UCO2492" s="60"/>
      <c r="UCP2492" s="60"/>
      <c r="UCQ2492" s="60"/>
      <c r="UCR2492" s="60"/>
      <c r="UCS2492" s="59"/>
      <c r="UCT2492" s="61"/>
      <c r="UCU2492" s="59"/>
      <c r="UCV2492" s="59"/>
      <c r="UCW2492" s="60"/>
      <c r="UCX2492" s="60"/>
      <c r="UCY2492" s="60"/>
      <c r="UCZ2492" s="60"/>
      <c r="UDA2492" s="59"/>
      <c r="UDB2492" s="61"/>
      <c r="UDC2492" s="59"/>
      <c r="UDD2492" s="59"/>
      <c r="UDE2492" s="60"/>
      <c r="UDF2492" s="60"/>
      <c r="UDG2492" s="60"/>
      <c r="UDH2492" s="60"/>
      <c r="UDI2492" s="59"/>
      <c r="UDJ2492" s="61"/>
      <c r="UDK2492" s="59"/>
      <c r="UDL2492" s="59"/>
      <c r="UDM2492" s="60"/>
      <c r="UDN2492" s="60"/>
      <c r="UDO2492" s="60"/>
      <c r="UDP2492" s="60"/>
      <c r="UDQ2492" s="59"/>
      <c r="UDR2492" s="61"/>
      <c r="UDS2492" s="59"/>
      <c r="UDT2492" s="59"/>
      <c r="UDU2492" s="60"/>
      <c r="UDV2492" s="60"/>
      <c r="UDW2492" s="60"/>
      <c r="UDX2492" s="60"/>
      <c r="UDY2492" s="59"/>
      <c r="UDZ2492" s="61"/>
      <c r="UEA2492" s="59"/>
      <c r="UEB2492" s="59"/>
      <c r="UEC2492" s="60"/>
      <c r="UED2492" s="60"/>
      <c r="UEE2492" s="60"/>
      <c r="UEF2492" s="60"/>
      <c r="UEG2492" s="59"/>
      <c r="UEH2492" s="61"/>
      <c r="UEI2492" s="59"/>
      <c r="UEJ2492" s="59"/>
      <c r="UEK2492" s="60"/>
      <c r="UEL2492" s="60"/>
      <c r="UEM2492" s="60"/>
      <c r="UEN2492" s="60"/>
      <c r="UEO2492" s="59"/>
      <c r="UEP2492" s="61"/>
      <c r="UEQ2492" s="59"/>
      <c r="UER2492" s="59"/>
      <c r="UES2492" s="60"/>
      <c r="UET2492" s="60"/>
      <c r="UEU2492" s="60"/>
      <c r="UEV2492" s="60"/>
      <c r="UEW2492" s="59"/>
      <c r="UEX2492" s="61"/>
      <c r="UEY2492" s="59"/>
      <c r="UEZ2492" s="59"/>
      <c r="UFA2492" s="60"/>
      <c r="UFB2492" s="60"/>
      <c r="UFC2492" s="60"/>
      <c r="UFD2492" s="60"/>
      <c r="UFE2492" s="59"/>
      <c r="UFF2492" s="61"/>
      <c r="UFG2492" s="59"/>
      <c r="UFH2492" s="59"/>
      <c r="UFI2492" s="60"/>
      <c r="UFJ2492" s="60"/>
      <c r="UFK2492" s="60"/>
      <c r="UFL2492" s="60"/>
      <c r="UFM2492" s="59"/>
      <c r="UFN2492" s="61"/>
      <c r="UFO2492" s="59"/>
      <c r="UFP2492" s="59"/>
      <c r="UFQ2492" s="60"/>
      <c r="UFR2492" s="60"/>
      <c r="UFS2492" s="60"/>
      <c r="UFT2492" s="60"/>
      <c r="UFU2492" s="59"/>
      <c r="UFV2492" s="61"/>
      <c r="UFW2492" s="59"/>
      <c r="UFX2492" s="59"/>
      <c r="UFY2492" s="60"/>
      <c r="UFZ2492" s="60"/>
      <c r="UGA2492" s="60"/>
      <c r="UGB2492" s="60"/>
      <c r="UGC2492" s="59"/>
      <c r="UGD2492" s="61"/>
      <c r="UGE2492" s="59"/>
      <c r="UGF2492" s="59"/>
      <c r="UGG2492" s="60"/>
      <c r="UGH2492" s="60"/>
      <c r="UGI2492" s="60"/>
      <c r="UGJ2492" s="60"/>
      <c r="UGK2492" s="59"/>
      <c r="UGL2492" s="61"/>
      <c r="UGM2492" s="59"/>
      <c r="UGN2492" s="59"/>
      <c r="UGO2492" s="60"/>
      <c r="UGP2492" s="60"/>
      <c r="UGQ2492" s="60"/>
      <c r="UGR2492" s="60"/>
      <c r="UGS2492" s="59"/>
      <c r="UGT2492" s="61"/>
      <c r="UGU2492" s="59"/>
      <c r="UGV2492" s="59"/>
      <c r="UGW2492" s="60"/>
      <c r="UGX2492" s="60"/>
      <c r="UGY2492" s="60"/>
      <c r="UGZ2492" s="60"/>
      <c r="UHA2492" s="59"/>
      <c r="UHB2492" s="61"/>
      <c r="UHC2492" s="59"/>
      <c r="UHD2492" s="59"/>
      <c r="UHE2492" s="60"/>
      <c r="UHF2492" s="60"/>
      <c r="UHG2492" s="60"/>
      <c r="UHH2492" s="60"/>
      <c r="UHI2492" s="59"/>
      <c r="UHJ2492" s="61"/>
      <c r="UHK2492" s="59"/>
      <c r="UHL2492" s="59"/>
      <c r="UHM2492" s="60"/>
      <c r="UHN2492" s="60"/>
      <c r="UHO2492" s="60"/>
      <c r="UHP2492" s="60"/>
      <c r="UHQ2492" s="59"/>
      <c r="UHR2492" s="61"/>
      <c r="UHS2492" s="59"/>
      <c r="UHT2492" s="59"/>
      <c r="UHU2492" s="60"/>
      <c r="UHV2492" s="60"/>
      <c r="UHW2492" s="60"/>
      <c r="UHX2492" s="60"/>
      <c r="UHY2492" s="59"/>
      <c r="UHZ2492" s="61"/>
      <c r="UIA2492" s="59"/>
      <c r="UIB2492" s="59"/>
      <c r="UIC2492" s="60"/>
      <c r="UID2492" s="60"/>
      <c r="UIE2492" s="60"/>
      <c r="UIF2492" s="60"/>
      <c r="UIG2492" s="59"/>
      <c r="UIH2492" s="61"/>
      <c r="UII2492" s="59"/>
      <c r="UIJ2492" s="59"/>
      <c r="UIK2492" s="60"/>
      <c r="UIL2492" s="60"/>
      <c r="UIM2492" s="60"/>
      <c r="UIN2492" s="60"/>
      <c r="UIO2492" s="59"/>
      <c r="UIP2492" s="61"/>
      <c r="UIQ2492" s="59"/>
      <c r="UIR2492" s="59"/>
      <c r="UIS2492" s="60"/>
      <c r="UIT2492" s="60"/>
      <c r="UIU2492" s="60"/>
      <c r="UIV2492" s="60"/>
      <c r="UIW2492" s="59"/>
      <c r="UIX2492" s="61"/>
      <c r="UIY2492" s="59"/>
      <c r="UIZ2492" s="59"/>
      <c r="UJA2492" s="60"/>
      <c r="UJB2492" s="60"/>
      <c r="UJC2492" s="60"/>
      <c r="UJD2492" s="60"/>
      <c r="UJE2492" s="59"/>
      <c r="UJF2492" s="61"/>
      <c r="UJG2492" s="59"/>
      <c r="UJH2492" s="59"/>
      <c r="UJI2492" s="60"/>
      <c r="UJJ2492" s="60"/>
      <c r="UJK2492" s="60"/>
      <c r="UJL2492" s="60"/>
      <c r="UJM2492" s="59"/>
      <c r="UJN2492" s="61"/>
      <c r="UJO2492" s="59"/>
      <c r="UJP2492" s="59"/>
      <c r="UJQ2492" s="60"/>
      <c r="UJR2492" s="60"/>
      <c r="UJS2492" s="60"/>
      <c r="UJT2492" s="60"/>
      <c r="UJU2492" s="59"/>
      <c r="UJV2492" s="61"/>
      <c r="UJW2492" s="59"/>
      <c r="UJX2492" s="59"/>
      <c r="UJY2492" s="60"/>
      <c r="UJZ2492" s="60"/>
      <c r="UKA2492" s="60"/>
      <c r="UKB2492" s="60"/>
      <c r="UKC2492" s="59"/>
      <c r="UKD2492" s="61"/>
      <c r="UKE2492" s="59"/>
      <c r="UKF2492" s="59"/>
      <c r="UKG2492" s="60"/>
      <c r="UKH2492" s="60"/>
      <c r="UKI2492" s="60"/>
      <c r="UKJ2492" s="60"/>
      <c r="UKK2492" s="59"/>
      <c r="UKL2492" s="61"/>
      <c r="UKM2492" s="59"/>
      <c r="UKN2492" s="59"/>
      <c r="UKO2492" s="60"/>
      <c r="UKP2492" s="60"/>
      <c r="UKQ2492" s="60"/>
      <c r="UKR2492" s="60"/>
      <c r="UKS2492" s="59"/>
      <c r="UKT2492" s="61"/>
      <c r="UKU2492" s="59"/>
      <c r="UKV2492" s="59"/>
      <c r="UKW2492" s="60"/>
      <c r="UKX2492" s="60"/>
      <c r="UKY2492" s="60"/>
      <c r="UKZ2492" s="60"/>
      <c r="ULA2492" s="59"/>
      <c r="ULB2492" s="61"/>
      <c r="ULC2492" s="59"/>
      <c r="ULD2492" s="59"/>
      <c r="ULE2492" s="60"/>
      <c r="ULF2492" s="60"/>
      <c r="ULG2492" s="60"/>
      <c r="ULH2492" s="60"/>
      <c r="ULI2492" s="59"/>
      <c r="ULJ2492" s="61"/>
      <c r="ULK2492" s="59"/>
      <c r="ULL2492" s="59"/>
      <c r="ULM2492" s="60"/>
      <c r="ULN2492" s="60"/>
      <c r="ULO2492" s="60"/>
      <c r="ULP2492" s="60"/>
      <c r="ULQ2492" s="59"/>
      <c r="ULR2492" s="61"/>
      <c r="ULS2492" s="59"/>
      <c r="ULT2492" s="59"/>
      <c r="ULU2492" s="60"/>
      <c r="ULV2492" s="60"/>
      <c r="ULW2492" s="60"/>
      <c r="ULX2492" s="60"/>
      <c r="ULY2492" s="59"/>
      <c r="ULZ2492" s="61"/>
      <c r="UMA2492" s="59"/>
      <c r="UMB2492" s="59"/>
      <c r="UMC2492" s="60"/>
      <c r="UMD2492" s="60"/>
      <c r="UME2492" s="60"/>
      <c r="UMF2492" s="60"/>
      <c r="UMG2492" s="59"/>
      <c r="UMH2492" s="61"/>
      <c r="UMI2492" s="59"/>
      <c r="UMJ2492" s="59"/>
      <c r="UMK2492" s="60"/>
      <c r="UML2492" s="60"/>
      <c r="UMM2492" s="60"/>
      <c r="UMN2492" s="60"/>
      <c r="UMO2492" s="59"/>
      <c r="UMP2492" s="61"/>
      <c r="UMQ2492" s="59"/>
      <c r="UMR2492" s="59"/>
      <c r="UMS2492" s="60"/>
      <c r="UMT2492" s="60"/>
      <c r="UMU2492" s="60"/>
      <c r="UMV2492" s="60"/>
      <c r="UMW2492" s="59"/>
      <c r="UMX2492" s="61"/>
      <c r="UMY2492" s="59"/>
      <c r="UMZ2492" s="59"/>
      <c r="UNA2492" s="60"/>
      <c r="UNB2492" s="60"/>
      <c r="UNC2492" s="60"/>
      <c r="UND2492" s="60"/>
      <c r="UNE2492" s="59"/>
      <c r="UNF2492" s="61"/>
      <c r="UNG2492" s="59"/>
      <c r="UNH2492" s="59"/>
      <c r="UNI2492" s="60"/>
      <c r="UNJ2492" s="60"/>
      <c r="UNK2492" s="60"/>
      <c r="UNL2492" s="60"/>
      <c r="UNM2492" s="59"/>
      <c r="UNN2492" s="61"/>
      <c r="UNO2492" s="59"/>
      <c r="UNP2492" s="59"/>
      <c r="UNQ2492" s="60"/>
      <c r="UNR2492" s="60"/>
      <c r="UNS2492" s="60"/>
      <c r="UNT2492" s="60"/>
      <c r="UNU2492" s="59"/>
      <c r="UNV2492" s="61"/>
      <c r="UNW2492" s="59"/>
      <c r="UNX2492" s="59"/>
      <c r="UNY2492" s="60"/>
      <c r="UNZ2492" s="60"/>
      <c r="UOA2492" s="60"/>
      <c r="UOB2492" s="60"/>
      <c r="UOC2492" s="59"/>
      <c r="UOD2492" s="61"/>
      <c r="UOE2492" s="59"/>
      <c r="UOF2492" s="59"/>
      <c r="UOG2492" s="60"/>
      <c r="UOH2492" s="60"/>
      <c r="UOI2492" s="60"/>
      <c r="UOJ2492" s="60"/>
      <c r="UOK2492" s="59"/>
      <c r="UOL2492" s="61"/>
      <c r="UOM2492" s="59"/>
      <c r="UON2492" s="59"/>
      <c r="UOO2492" s="60"/>
      <c r="UOP2492" s="60"/>
      <c r="UOQ2492" s="60"/>
      <c r="UOR2492" s="60"/>
      <c r="UOS2492" s="59"/>
      <c r="UOT2492" s="61"/>
      <c r="UOU2492" s="59"/>
      <c r="UOV2492" s="59"/>
      <c r="UOW2492" s="60"/>
      <c r="UOX2492" s="60"/>
      <c r="UOY2492" s="60"/>
      <c r="UOZ2492" s="60"/>
      <c r="UPA2492" s="59"/>
      <c r="UPB2492" s="61"/>
      <c r="UPC2492" s="59"/>
      <c r="UPD2492" s="59"/>
      <c r="UPE2492" s="60"/>
      <c r="UPF2492" s="60"/>
      <c r="UPG2492" s="60"/>
      <c r="UPH2492" s="60"/>
      <c r="UPI2492" s="59"/>
      <c r="UPJ2492" s="61"/>
      <c r="UPK2492" s="59"/>
      <c r="UPL2492" s="59"/>
      <c r="UPM2492" s="60"/>
      <c r="UPN2492" s="60"/>
      <c r="UPO2492" s="60"/>
      <c r="UPP2492" s="60"/>
      <c r="UPQ2492" s="59"/>
      <c r="UPR2492" s="61"/>
      <c r="UPS2492" s="59"/>
      <c r="UPT2492" s="59"/>
      <c r="UPU2492" s="60"/>
      <c r="UPV2492" s="60"/>
      <c r="UPW2492" s="60"/>
      <c r="UPX2492" s="60"/>
      <c r="UPY2492" s="59"/>
      <c r="UPZ2492" s="61"/>
      <c r="UQA2492" s="59"/>
      <c r="UQB2492" s="59"/>
      <c r="UQC2492" s="60"/>
      <c r="UQD2492" s="60"/>
      <c r="UQE2492" s="60"/>
      <c r="UQF2492" s="60"/>
      <c r="UQG2492" s="59"/>
      <c r="UQH2492" s="61"/>
      <c r="UQI2492" s="59"/>
      <c r="UQJ2492" s="59"/>
      <c r="UQK2492" s="60"/>
      <c r="UQL2492" s="60"/>
      <c r="UQM2492" s="60"/>
      <c r="UQN2492" s="60"/>
      <c r="UQO2492" s="59"/>
      <c r="UQP2492" s="61"/>
      <c r="UQQ2492" s="59"/>
      <c r="UQR2492" s="59"/>
      <c r="UQS2492" s="60"/>
      <c r="UQT2492" s="60"/>
      <c r="UQU2492" s="60"/>
      <c r="UQV2492" s="60"/>
      <c r="UQW2492" s="59"/>
      <c r="UQX2492" s="61"/>
      <c r="UQY2492" s="59"/>
      <c r="UQZ2492" s="59"/>
      <c r="URA2492" s="60"/>
      <c r="URB2492" s="60"/>
      <c r="URC2492" s="60"/>
      <c r="URD2492" s="60"/>
      <c r="URE2492" s="59"/>
      <c r="URF2492" s="61"/>
      <c r="URG2492" s="59"/>
      <c r="URH2492" s="59"/>
      <c r="URI2492" s="60"/>
      <c r="URJ2492" s="60"/>
      <c r="URK2492" s="60"/>
      <c r="URL2492" s="60"/>
      <c r="URM2492" s="59"/>
      <c r="URN2492" s="61"/>
      <c r="URO2492" s="59"/>
      <c r="URP2492" s="59"/>
      <c r="URQ2492" s="60"/>
      <c r="URR2492" s="60"/>
      <c r="URS2492" s="60"/>
      <c r="URT2492" s="60"/>
      <c r="URU2492" s="59"/>
      <c r="URV2492" s="61"/>
      <c r="URW2492" s="59"/>
      <c r="URX2492" s="59"/>
      <c r="URY2492" s="60"/>
      <c r="URZ2492" s="60"/>
      <c r="USA2492" s="60"/>
      <c r="USB2492" s="60"/>
      <c r="USC2492" s="59"/>
      <c r="USD2492" s="61"/>
      <c r="USE2492" s="59"/>
      <c r="USF2492" s="59"/>
      <c r="USG2492" s="60"/>
      <c r="USH2492" s="60"/>
      <c r="USI2492" s="60"/>
      <c r="USJ2492" s="60"/>
      <c r="USK2492" s="59"/>
      <c r="USL2492" s="61"/>
      <c r="USM2492" s="59"/>
      <c r="USN2492" s="59"/>
      <c r="USO2492" s="60"/>
      <c r="USP2492" s="60"/>
      <c r="USQ2492" s="60"/>
      <c r="USR2492" s="60"/>
      <c r="USS2492" s="59"/>
      <c r="UST2492" s="61"/>
      <c r="USU2492" s="59"/>
      <c r="USV2492" s="59"/>
      <c r="USW2492" s="60"/>
      <c r="USX2492" s="60"/>
      <c r="USY2492" s="60"/>
      <c r="USZ2492" s="60"/>
      <c r="UTA2492" s="59"/>
      <c r="UTB2492" s="61"/>
      <c r="UTC2492" s="59"/>
      <c r="UTD2492" s="59"/>
      <c r="UTE2492" s="60"/>
      <c r="UTF2492" s="60"/>
      <c r="UTG2492" s="60"/>
      <c r="UTH2492" s="60"/>
      <c r="UTI2492" s="59"/>
      <c r="UTJ2492" s="61"/>
      <c r="UTK2492" s="59"/>
      <c r="UTL2492" s="59"/>
      <c r="UTM2492" s="60"/>
      <c r="UTN2492" s="60"/>
      <c r="UTO2492" s="60"/>
      <c r="UTP2492" s="60"/>
      <c r="UTQ2492" s="59"/>
      <c r="UTR2492" s="61"/>
      <c r="UTS2492" s="59"/>
      <c r="UTT2492" s="59"/>
      <c r="UTU2492" s="60"/>
      <c r="UTV2492" s="60"/>
      <c r="UTW2492" s="60"/>
      <c r="UTX2492" s="60"/>
      <c r="UTY2492" s="59"/>
      <c r="UTZ2492" s="61"/>
      <c r="UUA2492" s="59"/>
      <c r="UUB2492" s="59"/>
      <c r="UUC2492" s="60"/>
      <c r="UUD2492" s="60"/>
      <c r="UUE2492" s="60"/>
      <c r="UUF2492" s="60"/>
      <c r="UUG2492" s="59"/>
      <c r="UUH2492" s="61"/>
      <c r="UUI2492" s="59"/>
      <c r="UUJ2492" s="59"/>
      <c r="UUK2492" s="60"/>
      <c r="UUL2492" s="60"/>
      <c r="UUM2492" s="60"/>
      <c r="UUN2492" s="60"/>
      <c r="UUO2492" s="59"/>
      <c r="UUP2492" s="61"/>
      <c r="UUQ2492" s="59"/>
      <c r="UUR2492" s="59"/>
      <c r="UUS2492" s="60"/>
      <c r="UUT2492" s="60"/>
      <c r="UUU2492" s="60"/>
      <c r="UUV2492" s="60"/>
      <c r="UUW2492" s="59"/>
      <c r="UUX2492" s="61"/>
      <c r="UUY2492" s="59"/>
      <c r="UUZ2492" s="59"/>
      <c r="UVA2492" s="60"/>
      <c r="UVB2492" s="60"/>
      <c r="UVC2492" s="60"/>
      <c r="UVD2492" s="60"/>
      <c r="UVE2492" s="59"/>
      <c r="UVF2492" s="61"/>
      <c r="UVG2492" s="59"/>
      <c r="UVH2492" s="59"/>
      <c r="UVI2492" s="60"/>
      <c r="UVJ2492" s="60"/>
      <c r="UVK2492" s="60"/>
      <c r="UVL2492" s="60"/>
      <c r="UVM2492" s="59"/>
      <c r="UVN2492" s="61"/>
      <c r="UVO2492" s="59"/>
      <c r="UVP2492" s="59"/>
      <c r="UVQ2492" s="60"/>
      <c r="UVR2492" s="60"/>
      <c r="UVS2492" s="60"/>
      <c r="UVT2492" s="60"/>
      <c r="UVU2492" s="59"/>
      <c r="UVV2492" s="61"/>
      <c r="UVW2492" s="59"/>
      <c r="UVX2492" s="59"/>
      <c r="UVY2492" s="60"/>
      <c r="UVZ2492" s="60"/>
      <c r="UWA2492" s="60"/>
      <c r="UWB2492" s="60"/>
      <c r="UWC2492" s="59"/>
      <c r="UWD2492" s="61"/>
      <c r="UWE2492" s="59"/>
      <c r="UWF2492" s="59"/>
      <c r="UWG2492" s="60"/>
      <c r="UWH2492" s="60"/>
      <c r="UWI2492" s="60"/>
      <c r="UWJ2492" s="60"/>
      <c r="UWK2492" s="59"/>
      <c r="UWL2492" s="61"/>
      <c r="UWM2492" s="59"/>
      <c r="UWN2492" s="59"/>
      <c r="UWO2492" s="60"/>
      <c r="UWP2492" s="60"/>
      <c r="UWQ2492" s="60"/>
      <c r="UWR2492" s="60"/>
      <c r="UWS2492" s="59"/>
      <c r="UWT2492" s="61"/>
      <c r="UWU2492" s="59"/>
      <c r="UWV2492" s="59"/>
      <c r="UWW2492" s="60"/>
      <c r="UWX2492" s="60"/>
      <c r="UWY2492" s="60"/>
      <c r="UWZ2492" s="60"/>
      <c r="UXA2492" s="59"/>
      <c r="UXB2492" s="61"/>
      <c r="UXC2492" s="59"/>
      <c r="UXD2492" s="59"/>
      <c r="UXE2492" s="60"/>
      <c r="UXF2492" s="60"/>
      <c r="UXG2492" s="60"/>
      <c r="UXH2492" s="60"/>
      <c r="UXI2492" s="59"/>
      <c r="UXJ2492" s="61"/>
      <c r="UXK2492" s="59"/>
      <c r="UXL2492" s="59"/>
      <c r="UXM2492" s="60"/>
      <c r="UXN2492" s="60"/>
      <c r="UXO2492" s="60"/>
      <c r="UXP2492" s="60"/>
      <c r="UXQ2492" s="59"/>
      <c r="UXR2492" s="61"/>
      <c r="UXS2492" s="59"/>
      <c r="UXT2492" s="59"/>
      <c r="UXU2492" s="60"/>
      <c r="UXV2492" s="60"/>
      <c r="UXW2492" s="60"/>
      <c r="UXX2492" s="60"/>
      <c r="UXY2492" s="59"/>
      <c r="UXZ2492" s="61"/>
      <c r="UYA2492" s="59"/>
      <c r="UYB2492" s="59"/>
      <c r="UYC2492" s="60"/>
      <c r="UYD2492" s="60"/>
      <c r="UYE2492" s="60"/>
      <c r="UYF2492" s="60"/>
      <c r="UYG2492" s="59"/>
      <c r="UYH2492" s="61"/>
      <c r="UYI2492" s="59"/>
      <c r="UYJ2492" s="59"/>
      <c r="UYK2492" s="60"/>
      <c r="UYL2492" s="60"/>
      <c r="UYM2492" s="60"/>
      <c r="UYN2492" s="60"/>
      <c r="UYO2492" s="59"/>
      <c r="UYP2492" s="61"/>
      <c r="UYQ2492" s="59"/>
      <c r="UYR2492" s="59"/>
      <c r="UYS2492" s="60"/>
      <c r="UYT2492" s="60"/>
      <c r="UYU2492" s="60"/>
      <c r="UYV2492" s="60"/>
      <c r="UYW2492" s="59"/>
      <c r="UYX2492" s="61"/>
      <c r="UYY2492" s="59"/>
      <c r="UYZ2492" s="59"/>
      <c r="UZA2492" s="60"/>
      <c r="UZB2492" s="60"/>
      <c r="UZC2492" s="60"/>
      <c r="UZD2492" s="60"/>
      <c r="UZE2492" s="59"/>
      <c r="UZF2492" s="61"/>
      <c r="UZG2492" s="59"/>
      <c r="UZH2492" s="59"/>
      <c r="UZI2492" s="60"/>
      <c r="UZJ2492" s="60"/>
      <c r="UZK2492" s="60"/>
      <c r="UZL2492" s="60"/>
      <c r="UZM2492" s="59"/>
      <c r="UZN2492" s="61"/>
      <c r="UZO2492" s="59"/>
      <c r="UZP2492" s="59"/>
      <c r="UZQ2492" s="60"/>
      <c r="UZR2492" s="60"/>
      <c r="UZS2492" s="60"/>
      <c r="UZT2492" s="60"/>
      <c r="UZU2492" s="59"/>
      <c r="UZV2492" s="61"/>
      <c r="UZW2492" s="59"/>
      <c r="UZX2492" s="59"/>
      <c r="UZY2492" s="60"/>
      <c r="UZZ2492" s="60"/>
      <c r="VAA2492" s="60"/>
      <c r="VAB2492" s="60"/>
      <c r="VAC2492" s="59"/>
      <c r="VAD2492" s="61"/>
      <c r="VAE2492" s="59"/>
      <c r="VAF2492" s="59"/>
      <c r="VAG2492" s="60"/>
      <c r="VAH2492" s="60"/>
      <c r="VAI2492" s="60"/>
      <c r="VAJ2492" s="60"/>
      <c r="VAK2492" s="59"/>
      <c r="VAL2492" s="61"/>
      <c r="VAM2492" s="59"/>
      <c r="VAN2492" s="59"/>
      <c r="VAO2492" s="60"/>
      <c r="VAP2492" s="60"/>
      <c r="VAQ2492" s="60"/>
      <c r="VAR2492" s="60"/>
      <c r="VAS2492" s="59"/>
      <c r="VAT2492" s="61"/>
      <c r="VAU2492" s="59"/>
      <c r="VAV2492" s="59"/>
      <c r="VAW2492" s="60"/>
      <c r="VAX2492" s="60"/>
      <c r="VAY2492" s="60"/>
      <c r="VAZ2492" s="60"/>
      <c r="VBA2492" s="59"/>
      <c r="VBB2492" s="61"/>
      <c r="VBC2492" s="59"/>
      <c r="VBD2492" s="59"/>
      <c r="VBE2492" s="60"/>
      <c r="VBF2492" s="60"/>
      <c r="VBG2492" s="60"/>
      <c r="VBH2492" s="60"/>
      <c r="VBI2492" s="59"/>
      <c r="VBJ2492" s="61"/>
      <c r="VBK2492" s="59"/>
      <c r="VBL2492" s="59"/>
      <c r="VBM2492" s="60"/>
      <c r="VBN2492" s="60"/>
      <c r="VBO2492" s="60"/>
      <c r="VBP2492" s="60"/>
      <c r="VBQ2492" s="59"/>
      <c r="VBR2492" s="61"/>
      <c r="VBS2492" s="59"/>
      <c r="VBT2492" s="59"/>
      <c r="VBU2492" s="60"/>
      <c r="VBV2492" s="60"/>
      <c r="VBW2492" s="60"/>
      <c r="VBX2492" s="60"/>
      <c r="VBY2492" s="59"/>
      <c r="VBZ2492" s="61"/>
      <c r="VCA2492" s="59"/>
      <c r="VCB2492" s="59"/>
      <c r="VCC2492" s="60"/>
      <c r="VCD2492" s="60"/>
      <c r="VCE2492" s="60"/>
      <c r="VCF2492" s="60"/>
      <c r="VCG2492" s="59"/>
      <c r="VCH2492" s="61"/>
      <c r="VCI2492" s="59"/>
      <c r="VCJ2492" s="59"/>
      <c r="VCK2492" s="60"/>
      <c r="VCL2492" s="60"/>
      <c r="VCM2492" s="60"/>
      <c r="VCN2492" s="60"/>
      <c r="VCO2492" s="59"/>
      <c r="VCP2492" s="61"/>
      <c r="VCQ2492" s="59"/>
      <c r="VCR2492" s="59"/>
      <c r="VCS2492" s="60"/>
      <c r="VCT2492" s="60"/>
      <c r="VCU2492" s="60"/>
      <c r="VCV2492" s="60"/>
      <c r="VCW2492" s="59"/>
      <c r="VCX2492" s="61"/>
      <c r="VCY2492" s="59"/>
      <c r="VCZ2492" s="59"/>
      <c r="VDA2492" s="60"/>
      <c r="VDB2492" s="60"/>
      <c r="VDC2492" s="60"/>
      <c r="VDD2492" s="60"/>
      <c r="VDE2492" s="59"/>
      <c r="VDF2492" s="61"/>
      <c r="VDG2492" s="59"/>
      <c r="VDH2492" s="59"/>
      <c r="VDI2492" s="60"/>
      <c r="VDJ2492" s="60"/>
      <c r="VDK2492" s="60"/>
      <c r="VDL2492" s="60"/>
      <c r="VDM2492" s="59"/>
      <c r="VDN2492" s="61"/>
      <c r="VDO2492" s="59"/>
      <c r="VDP2492" s="59"/>
      <c r="VDQ2492" s="60"/>
      <c r="VDR2492" s="60"/>
      <c r="VDS2492" s="60"/>
      <c r="VDT2492" s="60"/>
      <c r="VDU2492" s="59"/>
      <c r="VDV2492" s="61"/>
      <c r="VDW2492" s="59"/>
      <c r="VDX2492" s="59"/>
      <c r="VDY2492" s="60"/>
      <c r="VDZ2492" s="60"/>
      <c r="VEA2492" s="60"/>
      <c r="VEB2492" s="60"/>
      <c r="VEC2492" s="59"/>
      <c r="VED2492" s="61"/>
      <c r="VEE2492" s="59"/>
      <c r="VEF2492" s="59"/>
      <c r="VEG2492" s="60"/>
      <c r="VEH2492" s="60"/>
      <c r="VEI2492" s="60"/>
      <c r="VEJ2492" s="60"/>
      <c r="VEK2492" s="59"/>
      <c r="VEL2492" s="61"/>
      <c r="VEM2492" s="59"/>
      <c r="VEN2492" s="59"/>
      <c r="VEO2492" s="60"/>
      <c r="VEP2492" s="60"/>
      <c r="VEQ2492" s="60"/>
      <c r="VER2492" s="60"/>
      <c r="VES2492" s="59"/>
      <c r="VET2492" s="61"/>
      <c r="VEU2492" s="59"/>
      <c r="VEV2492" s="59"/>
      <c r="VEW2492" s="60"/>
      <c r="VEX2492" s="60"/>
      <c r="VEY2492" s="60"/>
      <c r="VEZ2492" s="60"/>
      <c r="VFA2492" s="59"/>
      <c r="VFB2492" s="61"/>
      <c r="VFC2492" s="59"/>
      <c r="VFD2492" s="59"/>
      <c r="VFE2492" s="60"/>
      <c r="VFF2492" s="60"/>
      <c r="VFG2492" s="60"/>
      <c r="VFH2492" s="60"/>
      <c r="VFI2492" s="59"/>
      <c r="VFJ2492" s="61"/>
      <c r="VFK2492" s="59"/>
      <c r="VFL2492" s="59"/>
      <c r="VFM2492" s="60"/>
      <c r="VFN2492" s="60"/>
      <c r="VFO2492" s="60"/>
      <c r="VFP2492" s="60"/>
      <c r="VFQ2492" s="59"/>
      <c r="VFR2492" s="61"/>
      <c r="VFS2492" s="59"/>
      <c r="VFT2492" s="59"/>
      <c r="VFU2492" s="60"/>
      <c r="VFV2492" s="60"/>
      <c r="VFW2492" s="60"/>
      <c r="VFX2492" s="60"/>
      <c r="VFY2492" s="59"/>
      <c r="VFZ2492" s="61"/>
      <c r="VGA2492" s="59"/>
      <c r="VGB2492" s="59"/>
      <c r="VGC2492" s="60"/>
      <c r="VGD2492" s="60"/>
      <c r="VGE2492" s="60"/>
      <c r="VGF2492" s="60"/>
      <c r="VGG2492" s="59"/>
      <c r="VGH2492" s="61"/>
      <c r="VGI2492" s="59"/>
      <c r="VGJ2492" s="59"/>
      <c r="VGK2492" s="60"/>
      <c r="VGL2492" s="60"/>
      <c r="VGM2492" s="60"/>
      <c r="VGN2492" s="60"/>
      <c r="VGO2492" s="59"/>
      <c r="VGP2492" s="61"/>
      <c r="VGQ2492" s="59"/>
      <c r="VGR2492" s="59"/>
      <c r="VGS2492" s="60"/>
      <c r="VGT2492" s="60"/>
      <c r="VGU2492" s="60"/>
      <c r="VGV2492" s="60"/>
      <c r="VGW2492" s="59"/>
      <c r="VGX2492" s="61"/>
      <c r="VGY2492" s="59"/>
      <c r="VGZ2492" s="59"/>
      <c r="VHA2492" s="60"/>
      <c r="VHB2492" s="60"/>
      <c r="VHC2492" s="60"/>
      <c r="VHD2492" s="60"/>
      <c r="VHE2492" s="59"/>
      <c r="VHF2492" s="61"/>
      <c r="VHG2492" s="59"/>
      <c r="VHH2492" s="59"/>
      <c r="VHI2492" s="60"/>
      <c r="VHJ2492" s="60"/>
      <c r="VHK2492" s="60"/>
      <c r="VHL2492" s="60"/>
      <c r="VHM2492" s="59"/>
      <c r="VHN2492" s="61"/>
      <c r="VHO2492" s="59"/>
      <c r="VHP2492" s="59"/>
      <c r="VHQ2492" s="60"/>
      <c r="VHR2492" s="60"/>
      <c r="VHS2492" s="60"/>
      <c r="VHT2492" s="60"/>
      <c r="VHU2492" s="59"/>
      <c r="VHV2492" s="61"/>
      <c r="VHW2492" s="59"/>
      <c r="VHX2492" s="59"/>
      <c r="VHY2492" s="60"/>
      <c r="VHZ2492" s="60"/>
      <c r="VIA2492" s="60"/>
      <c r="VIB2492" s="60"/>
      <c r="VIC2492" s="59"/>
      <c r="VID2492" s="61"/>
      <c r="VIE2492" s="59"/>
      <c r="VIF2492" s="59"/>
      <c r="VIG2492" s="60"/>
      <c r="VIH2492" s="60"/>
      <c r="VII2492" s="60"/>
      <c r="VIJ2492" s="60"/>
      <c r="VIK2492" s="59"/>
      <c r="VIL2492" s="61"/>
      <c r="VIM2492" s="59"/>
      <c r="VIN2492" s="59"/>
      <c r="VIO2492" s="60"/>
      <c r="VIP2492" s="60"/>
      <c r="VIQ2492" s="60"/>
      <c r="VIR2492" s="60"/>
      <c r="VIS2492" s="59"/>
      <c r="VIT2492" s="61"/>
      <c r="VIU2492" s="59"/>
      <c r="VIV2492" s="59"/>
      <c r="VIW2492" s="60"/>
      <c r="VIX2492" s="60"/>
      <c r="VIY2492" s="60"/>
      <c r="VIZ2492" s="60"/>
      <c r="VJA2492" s="59"/>
      <c r="VJB2492" s="61"/>
      <c r="VJC2492" s="59"/>
      <c r="VJD2492" s="59"/>
      <c r="VJE2492" s="60"/>
      <c r="VJF2492" s="60"/>
      <c r="VJG2492" s="60"/>
      <c r="VJH2492" s="60"/>
      <c r="VJI2492" s="59"/>
      <c r="VJJ2492" s="61"/>
      <c r="VJK2492" s="59"/>
      <c r="VJL2492" s="59"/>
      <c r="VJM2492" s="60"/>
      <c r="VJN2492" s="60"/>
      <c r="VJO2492" s="60"/>
      <c r="VJP2492" s="60"/>
      <c r="VJQ2492" s="59"/>
      <c r="VJR2492" s="61"/>
      <c r="VJS2492" s="59"/>
      <c r="VJT2492" s="59"/>
      <c r="VJU2492" s="60"/>
      <c r="VJV2492" s="60"/>
      <c r="VJW2492" s="60"/>
      <c r="VJX2492" s="60"/>
      <c r="VJY2492" s="59"/>
      <c r="VJZ2492" s="61"/>
      <c r="VKA2492" s="59"/>
      <c r="VKB2492" s="59"/>
      <c r="VKC2492" s="60"/>
      <c r="VKD2492" s="60"/>
      <c r="VKE2492" s="60"/>
      <c r="VKF2492" s="60"/>
      <c r="VKG2492" s="59"/>
      <c r="VKH2492" s="61"/>
      <c r="VKI2492" s="59"/>
      <c r="VKJ2492" s="59"/>
      <c r="VKK2492" s="60"/>
      <c r="VKL2492" s="60"/>
      <c r="VKM2492" s="60"/>
      <c r="VKN2492" s="60"/>
      <c r="VKO2492" s="59"/>
      <c r="VKP2492" s="61"/>
      <c r="VKQ2492" s="59"/>
      <c r="VKR2492" s="59"/>
      <c r="VKS2492" s="60"/>
      <c r="VKT2492" s="60"/>
      <c r="VKU2492" s="60"/>
      <c r="VKV2492" s="60"/>
      <c r="VKW2492" s="59"/>
      <c r="VKX2492" s="61"/>
      <c r="VKY2492" s="59"/>
      <c r="VKZ2492" s="59"/>
      <c r="VLA2492" s="60"/>
      <c r="VLB2492" s="60"/>
      <c r="VLC2492" s="60"/>
      <c r="VLD2492" s="60"/>
      <c r="VLE2492" s="59"/>
      <c r="VLF2492" s="61"/>
      <c r="VLG2492" s="59"/>
      <c r="VLH2492" s="59"/>
      <c r="VLI2492" s="60"/>
      <c r="VLJ2492" s="60"/>
      <c r="VLK2492" s="60"/>
      <c r="VLL2492" s="60"/>
      <c r="VLM2492" s="59"/>
      <c r="VLN2492" s="61"/>
      <c r="VLO2492" s="59"/>
      <c r="VLP2492" s="59"/>
      <c r="VLQ2492" s="60"/>
      <c r="VLR2492" s="60"/>
      <c r="VLS2492" s="60"/>
      <c r="VLT2492" s="60"/>
      <c r="VLU2492" s="59"/>
      <c r="VLV2492" s="61"/>
      <c r="VLW2492" s="59"/>
      <c r="VLX2492" s="59"/>
      <c r="VLY2492" s="60"/>
      <c r="VLZ2492" s="60"/>
      <c r="VMA2492" s="60"/>
      <c r="VMB2492" s="60"/>
      <c r="VMC2492" s="59"/>
      <c r="VMD2492" s="61"/>
      <c r="VME2492" s="59"/>
      <c r="VMF2492" s="59"/>
      <c r="VMG2492" s="60"/>
      <c r="VMH2492" s="60"/>
      <c r="VMI2492" s="60"/>
      <c r="VMJ2492" s="60"/>
      <c r="VMK2492" s="59"/>
      <c r="VML2492" s="61"/>
      <c r="VMM2492" s="59"/>
      <c r="VMN2492" s="59"/>
      <c r="VMO2492" s="60"/>
      <c r="VMP2492" s="60"/>
      <c r="VMQ2492" s="60"/>
      <c r="VMR2492" s="60"/>
      <c r="VMS2492" s="59"/>
      <c r="VMT2492" s="61"/>
      <c r="VMU2492" s="59"/>
      <c r="VMV2492" s="59"/>
      <c r="VMW2492" s="60"/>
      <c r="VMX2492" s="60"/>
      <c r="VMY2492" s="60"/>
      <c r="VMZ2492" s="60"/>
      <c r="VNA2492" s="59"/>
      <c r="VNB2492" s="61"/>
      <c r="VNC2492" s="59"/>
      <c r="VND2492" s="59"/>
      <c r="VNE2492" s="60"/>
      <c r="VNF2492" s="60"/>
      <c r="VNG2492" s="60"/>
      <c r="VNH2492" s="60"/>
      <c r="VNI2492" s="59"/>
      <c r="VNJ2492" s="61"/>
      <c r="VNK2492" s="59"/>
      <c r="VNL2492" s="59"/>
      <c r="VNM2492" s="60"/>
      <c r="VNN2492" s="60"/>
      <c r="VNO2492" s="60"/>
      <c r="VNP2492" s="60"/>
      <c r="VNQ2492" s="59"/>
      <c r="VNR2492" s="61"/>
      <c r="VNS2492" s="59"/>
      <c r="VNT2492" s="59"/>
      <c r="VNU2492" s="60"/>
      <c r="VNV2492" s="60"/>
      <c r="VNW2492" s="60"/>
      <c r="VNX2492" s="60"/>
      <c r="VNY2492" s="59"/>
      <c r="VNZ2492" s="61"/>
      <c r="VOA2492" s="59"/>
      <c r="VOB2492" s="59"/>
      <c r="VOC2492" s="60"/>
      <c r="VOD2492" s="60"/>
      <c r="VOE2492" s="60"/>
      <c r="VOF2492" s="60"/>
      <c r="VOG2492" s="59"/>
      <c r="VOH2492" s="61"/>
      <c r="VOI2492" s="59"/>
      <c r="VOJ2492" s="59"/>
      <c r="VOK2492" s="60"/>
      <c r="VOL2492" s="60"/>
      <c r="VOM2492" s="60"/>
      <c r="VON2492" s="60"/>
      <c r="VOO2492" s="59"/>
      <c r="VOP2492" s="61"/>
      <c r="VOQ2492" s="59"/>
      <c r="VOR2492" s="59"/>
      <c r="VOS2492" s="60"/>
      <c r="VOT2492" s="60"/>
      <c r="VOU2492" s="60"/>
      <c r="VOV2492" s="60"/>
      <c r="VOW2492" s="59"/>
      <c r="VOX2492" s="61"/>
      <c r="VOY2492" s="59"/>
      <c r="VOZ2492" s="59"/>
      <c r="VPA2492" s="60"/>
      <c r="VPB2492" s="60"/>
      <c r="VPC2492" s="60"/>
      <c r="VPD2492" s="60"/>
      <c r="VPE2492" s="59"/>
      <c r="VPF2492" s="61"/>
      <c r="VPG2492" s="59"/>
      <c r="VPH2492" s="59"/>
      <c r="VPI2492" s="60"/>
      <c r="VPJ2492" s="60"/>
      <c r="VPK2492" s="60"/>
      <c r="VPL2492" s="60"/>
      <c r="VPM2492" s="59"/>
      <c r="VPN2492" s="61"/>
      <c r="VPO2492" s="59"/>
      <c r="VPP2492" s="59"/>
      <c r="VPQ2492" s="60"/>
      <c r="VPR2492" s="60"/>
      <c r="VPS2492" s="60"/>
      <c r="VPT2492" s="60"/>
      <c r="VPU2492" s="59"/>
      <c r="VPV2492" s="61"/>
      <c r="VPW2492" s="59"/>
      <c r="VPX2492" s="59"/>
      <c r="VPY2492" s="60"/>
      <c r="VPZ2492" s="60"/>
      <c r="VQA2492" s="60"/>
      <c r="VQB2492" s="60"/>
      <c r="VQC2492" s="59"/>
      <c r="VQD2492" s="61"/>
      <c r="VQE2492" s="59"/>
      <c r="VQF2492" s="59"/>
      <c r="VQG2492" s="60"/>
      <c r="VQH2492" s="60"/>
      <c r="VQI2492" s="60"/>
      <c r="VQJ2492" s="60"/>
      <c r="VQK2492" s="59"/>
      <c r="VQL2492" s="61"/>
      <c r="VQM2492" s="59"/>
      <c r="VQN2492" s="59"/>
      <c r="VQO2492" s="60"/>
      <c r="VQP2492" s="60"/>
      <c r="VQQ2492" s="60"/>
      <c r="VQR2492" s="60"/>
      <c r="VQS2492" s="59"/>
      <c r="VQT2492" s="61"/>
      <c r="VQU2492" s="59"/>
      <c r="VQV2492" s="59"/>
      <c r="VQW2492" s="60"/>
      <c r="VQX2492" s="60"/>
      <c r="VQY2492" s="60"/>
      <c r="VQZ2492" s="60"/>
      <c r="VRA2492" s="59"/>
      <c r="VRB2492" s="61"/>
      <c r="VRC2492" s="59"/>
      <c r="VRD2492" s="59"/>
      <c r="VRE2492" s="60"/>
      <c r="VRF2492" s="60"/>
      <c r="VRG2492" s="60"/>
      <c r="VRH2492" s="60"/>
      <c r="VRI2492" s="59"/>
      <c r="VRJ2492" s="61"/>
      <c r="VRK2492" s="59"/>
      <c r="VRL2492" s="59"/>
      <c r="VRM2492" s="60"/>
      <c r="VRN2492" s="60"/>
      <c r="VRO2492" s="60"/>
      <c r="VRP2492" s="60"/>
      <c r="VRQ2492" s="59"/>
      <c r="VRR2492" s="61"/>
      <c r="VRS2492" s="59"/>
      <c r="VRT2492" s="59"/>
      <c r="VRU2492" s="60"/>
      <c r="VRV2492" s="60"/>
      <c r="VRW2492" s="60"/>
      <c r="VRX2492" s="60"/>
      <c r="VRY2492" s="59"/>
      <c r="VRZ2492" s="61"/>
      <c r="VSA2492" s="59"/>
      <c r="VSB2492" s="59"/>
      <c r="VSC2492" s="60"/>
      <c r="VSD2492" s="60"/>
      <c r="VSE2492" s="60"/>
      <c r="VSF2492" s="60"/>
      <c r="VSG2492" s="59"/>
      <c r="VSH2492" s="61"/>
      <c r="VSI2492" s="59"/>
      <c r="VSJ2492" s="59"/>
      <c r="VSK2492" s="60"/>
      <c r="VSL2492" s="60"/>
      <c r="VSM2492" s="60"/>
      <c r="VSN2492" s="60"/>
      <c r="VSO2492" s="59"/>
      <c r="VSP2492" s="61"/>
      <c r="VSQ2492" s="59"/>
      <c r="VSR2492" s="59"/>
      <c r="VSS2492" s="60"/>
      <c r="VST2492" s="60"/>
      <c r="VSU2492" s="60"/>
      <c r="VSV2492" s="60"/>
      <c r="VSW2492" s="59"/>
      <c r="VSX2492" s="61"/>
      <c r="VSY2492" s="59"/>
      <c r="VSZ2492" s="59"/>
      <c r="VTA2492" s="60"/>
      <c r="VTB2492" s="60"/>
      <c r="VTC2492" s="60"/>
      <c r="VTD2492" s="60"/>
      <c r="VTE2492" s="59"/>
      <c r="VTF2492" s="61"/>
      <c r="VTG2492" s="59"/>
      <c r="VTH2492" s="59"/>
      <c r="VTI2492" s="60"/>
      <c r="VTJ2492" s="60"/>
      <c r="VTK2492" s="60"/>
      <c r="VTL2492" s="60"/>
      <c r="VTM2492" s="59"/>
      <c r="VTN2492" s="61"/>
      <c r="VTO2492" s="59"/>
      <c r="VTP2492" s="59"/>
      <c r="VTQ2492" s="60"/>
      <c r="VTR2492" s="60"/>
      <c r="VTS2492" s="60"/>
      <c r="VTT2492" s="60"/>
      <c r="VTU2492" s="59"/>
      <c r="VTV2492" s="61"/>
      <c r="VTW2492" s="59"/>
      <c r="VTX2492" s="59"/>
      <c r="VTY2492" s="60"/>
      <c r="VTZ2492" s="60"/>
      <c r="VUA2492" s="60"/>
      <c r="VUB2492" s="60"/>
      <c r="VUC2492" s="59"/>
      <c r="VUD2492" s="61"/>
      <c r="VUE2492" s="59"/>
      <c r="VUF2492" s="59"/>
      <c r="VUG2492" s="60"/>
      <c r="VUH2492" s="60"/>
      <c r="VUI2492" s="60"/>
      <c r="VUJ2492" s="60"/>
      <c r="VUK2492" s="59"/>
      <c r="VUL2492" s="61"/>
      <c r="VUM2492" s="59"/>
      <c r="VUN2492" s="59"/>
      <c r="VUO2492" s="60"/>
      <c r="VUP2492" s="60"/>
      <c r="VUQ2492" s="60"/>
      <c r="VUR2492" s="60"/>
      <c r="VUS2492" s="59"/>
      <c r="VUT2492" s="61"/>
      <c r="VUU2492" s="59"/>
      <c r="VUV2492" s="59"/>
      <c r="VUW2492" s="60"/>
      <c r="VUX2492" s="60"/>
      <c r="VUY2492" s="60"/>
      <c r="VUZ2492" s="60"/>
      <c r="VVA2492" s="59"/>
      <c r="VVB2492" s="61"/>
      <c r="VVC2492" s="59"/>
      <c r="VVD2492" s="59"/>
      <c r="VVE2492" s="60"/>
      <c r="VVF2492" s="60"/>
      <c r="VVG2492" s="60"/>
      <c r="VVH2492" s="60"/>
      <c r="VVI2492" s="59"/>
      <c r="VVJ2492" s="61"/>
      <c r="VVK2492" s="59"/>
      <c r="VVL2492" s="59"/>
      <c r="VVM2492" s="60"/>
      <c r="VVN2492" s="60"/>
      <c r="VVO2492" s="60"/>
      <c r="VVP2492" s="60"/>
      <c r="VVQ2492" s="59"/>
      <c r="VVR2492" s="61"/>
      <c r="VVS2492" s="59"/>
      <c r="VVT2492" s="59"/>
      <c r="VVU2492" s="60"/>
      <c r="VVV2492" s="60"/>
      <c r="VVW2492" s="60"/>
      <c r="VVX2492" s="60"/>
      <c r="VVY2492" s="59"/>
      <c r="VVZ2492" s="61"/>
      <c r="VWA2492" s="59"/>
      <c r="VWB2492" s="59"/>
      <c r="VWC2492" s="60"/>
      <c r="VWD2492" s="60"/>
      <c r="VWE2492" s="60"/>
      <c r="VWF2492" s="60"/>
      <c r="VWG2492" s="59"/>
      <c r="VWH2492" s="61"/>
      <c r="VWI2492" s="59"/>
      <c r="VWJ2492" s="59"/>
      <c r="VWK2492" s="60"/>
      <c r="VWL2492" s="60"/>
      <c r="VWM2492" s="60"/>
      <c r="VWN2492" s="60"/>
      <c r="VWO2492" s="59"/>
      <c r="VWP2492" s="61"/>
      <c r="VWQ2492" s="59"/>
      <c r="VWR2492" s="59"/>
      <c r="VWS2492" s="60"/>
      <c r="VWT2492" s="60"/>
      <c r="VWU2492" s="60"/>
      <c r="VWV2492" s="60"/>
      <c r="VWW2492" s="59"/>
      <c r="VWX2492" s="61"/>
      <c r="VWY2492" s="59"/>
      <c r="VWZ2492" s="59"/>
      <c r="VXA2492" s="60"/>
      <c r="VXB2492" s="60"/>
      <c r="VXC2492" s="60"/>
      <c r="VXD2492" s="60"/>
      <c r="VXE2492" s="59"/>
      <c r="VXF2492" s="61"/>
      <c r="VXG2492" s="59"/>
      <c r="VXH2492" s="59"/>
      <c r="VXI2492" s="60"/>
      <c r="VXJ2492" s="60"/>
      <c r="VXK2492" s="60"/>
      <c r="VXL2492" s="60"/>
      <c r="VXM2492" s="59"/>
      <c r="VXN2492" s="61"/>
      <c r="VXO2492" s="59"/>
      <c r="VXP2492" s="59"/>
      <c r="VXQ2492" s="60"/>
      <c r="VXR2492" s="60"/>
      <c r="VXS2492" s="60"/>
      <c r="VXT2492" s="60"/>
      <c r="VXU2492" s="59"/>
      <c r="VXV2492" s="61"/>
      <c r="VXW2492" s="59"/>
      <c r="VXX2492" s="59"/>
      <c r="VXY2492" s="60"/>
      <c r="VXZ2492" s="60"/>
      <c r="VYA2492" s="60"/>
      <c r="VYB2492" s="60"/>
      <c r="VYC2492" s="59"/>
      <c r="VYD2492" s="61"/>
      <c r="VYE2492" s="59"/>
      <c r="VYF2492" s="59"/>
      <c r="VYG2492" s="60"/>
      <c r="VYH2492" s="60"/>
      <c r="VYI2492" s="60"/>
      <c r="VYJ2492" s="60"/>
      <c r="VYK2492" s="59"/>
      <c r="VYL2492" s="61"/>
      <c r="VYM2492" s="59"/>
      <c r="VYN2492" s="59"/>
      <c r="VYO2492" s="60"/>
      <c r="VYP2492" s="60"/>
      <c r="VYQ2492" s="60"/>
      <c r="VYR2492" s="60"/>
      <c r="VYS2492" s="59"/>
      <c r="VYT2492" s="61"/>
      <c r="VYU2492" s="59"/>
      <c r="VYV2492" s="59"/>
      <c r="VYW2492" s="60"/>
      <c r="VYX2492" s="60"/>
      <c r="VYY2492" s="60"/>
      <c r="VYZ2492" s="60"/>
      <c r="VZA2492" s="59"/>
      <c r="VZB2492" s="61"/>
      <c r="VZC2492" s="59"/>
      <c r="VZD2492" s="59"/>
      <c r="VZE2492" s="60"/>
      <c r="VZF2492" s="60"/>
      <c r="VZG2492" s="60"/>
      <c r="VZH2492" s="60"/>
      <c r="VZI2492" s="59"/>
      <c r="VZJ2492" s="61"/>
      <c r="VZK2492" s="59"/>
      <c r="VZL2492" s="59"/>
      <c r="VZM2492" s="60"/>
      <c r="VZN2492" s="60"/>
      <c r="VZO2492" s="60"/>
      <c r="VZP2492" s="60"/>
      <c r="VZQ2492" s="59"/>
      <c r="VZR2492" s="61"/>
      <c r="VZS2492" s="59"/>
      <c r="VZT2492" s="59"/>
      <c r="VZU2492" s="60"/>
      <c r="VZV2492" s="60"/>
      <c r="VZW2492" s="60"/>
      <c r="VZX2492" s="60"/>
      <c r="VZY2492" s="59"/>
      <c r="VZZ2492" s="61"/>
      <c r="WAA2492" s="59"/>
      <c r="WAB2492" s="59"/>
      <c r="WAC2492" s="60"/>
      <c r="WAD2492" s="60"/>
      <c r="WAE2492" s="60"/>
      <c r="WAF2492" s="60"/>
      <c r="WAG2492" s="59"/>
      <c r="WAH2492" s="61"/>
      <c r="WAI2492" s="59"/>
      <c r="WAJ2492" s="59"/>
      <c r="WAK2492" s="60"/>
      <c r="WAL2492" s="60"/>
      <c r="WAM2492" s="60"/>
      <c r="WAN2492" s="60"/>
      <c r="WAO2492" s="59"/>
      <c r="WAP2492" s="61"/>
      <c r="WAQ2492" s="59"/>
      <c r="WAR2492" s="59"/>
      <c r="WAS2492" s="60"/>
      <c r="WAT2492" s="60"/>
      <c r="WAU2492" s="60"/>
      <c r="WAV2492" s="60"/>
      <c r="WAW2492" s="59"/>
      <c r="WAX2492" s="61"/>
      <c r="WAY2492" s="59"/>
      <c r="WAZ2492" s="59"/>
      <c r="WBA2492" s="60"/>
      <c r="WBB2492" s="60"/>
      <c r="WBC2492" s="60"/>
      <c r="WBD2492" s="60"/>
      <c r="WBE2492" s="59"/>
      <c r="WBF2492" s="61"/>
      <c r="WBG2492" s="59"/>
      <c r="WBH2492" s="59"/>
      <c r="WBI2492" s="60"/>
      <c r="WBJ2492" s="60"/>
      <c r="WBK2492" s="60"/>
      <c r="WBL2492" s="60"/>
      <c r="WBM2492" s="59"/>
      <c r="WBN2492" s="61"/>
      <c r="WBO2492" s="59"/>
      <c r="WBP2492" s="59"/>
      <c r="WBQ2492" s="60"/>
      <c r="WBR2492" s="60"/>
      <c r="WBS2492" s="60"/>
      <c r="WBT2492" s="60"/>
      <c r="WBU2492" s="59"/>
      <c r="WBV2492" s="61"/>
      <c r="WBW2492" s="59"/>
      <c r="WBX2492" s="59"/>
      <c r="WBY2492" s="60"/>
      <c r="WBZ2492" s="60"/>
      <c r="WCA2492" s="60"/>
      <c r="WCB2492" s="60"/>
      <c r="WCC2492" s="59"/>
      <c r="WCD2492" s="61"/>
      <c r="WCE2492" s="59"/>
      <c r="WCF2492" s="59"/>
      <c r="WCG2492" s="60"/>
      <c r="WCH2492" s="60"/>
      <c r="WCI2492" s="60"/>
      <c r="WCJ2492" s="60"/>
      <c r="WCK2492" s="59"/>
      <c r="WCL2492" s="61"/>
      <c r="WCM2492" s="59"/>
      <c r="WCN2492" s="59"/>
      <c r="WCO2492" s="60"/>
      <c r="WCP2492" s="60"/>
      <c r="WCQ2492" s="60"/>
      <c r="WCR2492" s="60"/>
      <c r="WCS2492" s="59"/>
      <c r="WCT2492" s="61"/>
      <c r="WCU2492" s="59"/>
      <c r="WCV2492" s="59"/>
      <c r="WCW2492" s="60"/>
      <c r="WCX2492" s="60"/>
      <c r="WCY2492" s="60"/>
      <c r="WCZ2492" s="60"/>
      <c r="WDA2492" s="59"/>
      <c r="WDB2492" s="61"/>
      <c r="WDC2492" s="59"/>
      <c r="WDD2492" s="59"/>
      <c r="WDE2492" s="60"/>
      <c r="WDF2492" s="60"/>
      <c r="WDG2492" s="60"/>
      <c r="WDH2492" s="60"/>
      <c r="WDI2492" s="59"/>
      <c r="WDJ2492" s="61"/>
      <c r="WDK2492" s="59"/>
      <c r="WDL2492" s="59"/>
      <c r="WDM2492" s="60"/>
      <c r="WDN2492" s="60"/>
      <c r="WDO2492" s="60"/>
      <c r="WDP2492" s="60"/>
      <c r="WDQ2492" s="59"/>
      <c r="WDR2492" s="61"/>
      <c r="WDS2492" s="59"/>
      <c r="WDT2492" s="59"/>
      <c r="WDU2492" s="60"/>
      <c r="WDV2492" s="60"/>
      <c r="WDW2492" s="60"/>
      <c r="WDX2492" s="60"/>
      <c r="WDY2492" s="59"/>
      <c r="WDZ2492" s="61"/>
      <c r="WEA2492" s="59"/>
      <c r="WEB2492" s="59"/>
      <c r="WEC2492" s="60"/>
      <c r="WED2492" s="60"/>
      <c r="WEE2492" s="60"/>
      <c r="WEF2492" s="60"/>
      <c r="WEG2492" s="59"/>
      <c r="WEH2492" s="61"/>
      <c r="WEI2492" s="59"/>
      <c r="WEJ2492" s="59"/>
      <c r="WEK2492" s="60"/>
      <c r="WEL2492" s="60"/>
      <c r="WEM2492" s="60"/>
      <c r="WEN2492" s="60"/>
      <c r="WEO2492" s="59"/>
      <c r="WEP2492" s="61"/>
      <c r="WEQ2492" s="59"/>
      <c r="WER2492" s="59"/>
      <c r="WES2492" s="60"/>
      <c r="WET2492" s="60"/>
      <c r="WEU2492" s="60"/>
      <c r="WEV2492" s="60"/>
      <c r="WEW2492" s="59"/>
      <c r="WEX2492" s="61"/>
      <c r="WEY2492" s="59"/>
      <c r="WEZ2492" s="59"/>
      <c r="WFA2492" s="60"/>
      <c r="WFB2492" s="60"/>
      <c r="WFC2492" s="60"/>
      <c r="WFD2492" s="60"/>
      <c r="WFE2492" s="59"/>
      <c r="WFF2492" s="61"/>
      <c r="WFG2492" s="59"/>
      <c r="WFH2492" s="59"/>
      <c r="WFI2492" s="60"/>
      <c r="WFJ2492" s="60"/>
      <c r="WFK2492" s="60"/>
      <c r="WFL2492" s="60"/>
      <c r="WFM2492" s="59"/>
      <c r="WFN2492" s="61"/>
      <c r="WFO2492" s="59"/>
      <c r="WFP2492" s="59"/>
      <c r="WFQ2492" s="60"/>
      <c r="WFR2492" s="60"/>
      <c r="WFS2492" s="60"/>
      <c r="WFT2492" s="60"/>
      <c r="WFU2492" s="59"/>
      <c r="WFV2492" s="61"/>
      <c r="WFW2492" s="59"/>
      <c r="WFX2492" s="59"/>
      <c r="WFY2492" s="60"/>
      <c r="WFZ2492" s="60"/>
      <c r="WGA2492" s="60"/>
      <c r="WGB2492" s="60"/>
      <c r="WGC2492" s="59"/>
      <c r="WGD2492" s="61"/>
      <c r="WGE2492" s="59"/>
      <c r="WGF2492" s="59"/>
      <c r="WGG2492" s="60"/>
      <c r="WGH2492" s="60"/>
      <c r="WGI2492" s="60"/>
      <c r="WGJ2492" s="60"/>
      <c r="WGK2492" s="59"/>
      <c r="WGL2492" s="61"/>
      <c r="WGM2492" s="59"/>
      <c r="WGN2492" s="59"/>
      <c r="WGO2492" s="60"/>
      <c r="WGP2492" s="60"/>
      <c r="WGQ2492" s="60"/>
      <c r="WGR2492" s="60"/>
      <c r="WGS2492" s="59"/>
      <c r="WGT2492" s="61"/>
      <c r="WGU2492" s="59"/>
      <c r="WGV2492" s="59"/>
      <c r="WGW2492" s="60"/>
      <c r="WGX2492" s="60"/>
      <c r="WGY2492" s="60"/>
      <c r="WGZ2492" s="60"/>
      <c r="WHA2492" s="59"/>
      <c r="WHB2492" s="61"/>
      <c r="WHC2492" s="59"/>
      <c r="WHD2492" s="59"/>
      <c r="WHE2492" s="60"/>
      <c r="WHF2492" s="60"/>
      <c r="WHG2492" s="60"/>
      <c r="WHH2492" s="60"/>
      <c r="WHI2492" s="59"/>
      <c r="WHJ2492" s="61"/>
      <c r="WHK2492" s="59"/>
      <c r="WHL2492" s="59"/>
      <c r="WHM2492" s="60"/>
      <c r="WHN2492" s="60"/>
      <c r="WHO2492" s="60"/>
      <c r="WHP2492" s="60"/>
      <c r="WHQ2492" s="59"/>
      <c r="WHR2492" s="61"/>
      <c r="WHS2492" s="59"/>
      <c r="WHT2492" s="59"/>
      <c r="WHU2492" s="60"/>
      <c r="WHV2492" s="60"/>
      <c r="WHW2492" s="60"/>
      <c r="WHX2492" s="60"/>
      <c r="WHY2492" s="59"/>
      <c r="WHZ2492" s="61"/>
      <c r="WIA2492" s="59"/>
      <c r="WIB2492" s="59"/>
      <c r="WIC2492" s="60"/>
      <c r="WID2492" s="60"/>
      <c r="WIE2492" s="60"/>
      <c r="WIF2492" s="60"/>
      <c r="WIG2492" s="59"/>
      <c r="WIH2492" s="61"/>
      <c r="WII2492" s="59"/>
      <c r="WIJ2492" s="59"/>
      <c r="WIK2492" s="60"/>
      <c r="WIL2492" s="60"/>
      <c r="WIM2492" s="60"/>
      <c r="WIN2492" s="60"/>
      <c r="WIO2492" s="59"/>
      <c r="WIP2492" s="61"/>
      <c r="WIQ2492" s="59"/>
      <c r="WIR2492" s="59"/>
      <c r="WIS2492" s="60"/>
      <c r="WIT2492" s="60"/>
      <c r="WIU2492" s="60"/>
      <c r="WIV2492" s="60"/>
      <c r="WIW2492" s="59"/>
      <c r="WIX2492" s="61"/>
      <c r="WIY2492" s="59"/>
      <c r="WIZ2492" s="59"/>
      <c r="WJA2492" s="60"/>
      <c r="WJB2492" s="60"/>
      <c r="WJC2492" s="60"/>
      <c r="WJD2492" s="60"/>
      <c r="WJE2492" s="59"/>
      <c r="WJF2492" s="61"/>
      <c r="WJG2492" s="59"/>
      <c r="WJH2492" s="59"/>
      <c r="WJI2492" s="60"/>
      <c r="WJJ2492" s="60"/>
      <c r="WJK2492" s="60"/>
      <c r="WJL2492" s="60"/>
      <c r="WJM2492" s="59"/>
      <c r="WJN2492" s="61"/>
      <c r="WJO2492" s="59"/>
      <c r="WJP2492" s="59"/>
      <c r="WJQ2492" s="60"/>
      <c r="WJR2492" s="60"/>
      <c r="WJS2492" s="60"/>
      <c r="WJT2492" s="60"/>
      <c r="WJU2492" s="59"/>
      <c r="WJV2492" s="61"/>
      <c r="WJW2492" s="59"/>
      <c r="WJX2492" s="59"/>
      <c r="WJY2492" s="60"/>
      <c r="WJZ2492" s="60"/>
      <c r="WKA2492" s="60"/>
      <c r="WKB2492" s="60"/>
      <c r="WKC2492" s="59"/>
      <c r="WKD2492" s="61"/>
      <c r="WKE2492" s="59"/>
      <c r="WKF2492" s="59"/>
      <c r="WKG2492" s="60"/>
      <c r="WKH2492" s="60"/>
      <c r="WKI2492" s="60"/>
      <c r="WKJ2492" s="60"/>
      <c r="WKK2492" s="59"/>
      <c r="WKL2492" s="61"/>
      <c r="WKM2492" s="59"/>
      <c r="WKN2492" s="59"/>
      <c r="WKO2492" s="60"/>
      <c r="WKP2492" s="60"/>
      <c r="WKQ2492" s="60"/>
      <c r="WKR2492" s="60"/>
      <c r="WKS2492" s="59"/>
      <c r="WKT2492" s="61"/>
      <c r="WKU2492" s="59"/>
      <c r="WKV2492" s="59"/>
      <c r="WKW2492" s="60"/>
      <c r="WKX2492" s="60"/>
      <c r="WKY2492" s="60"/>
      <c r="WKZ2492" s="60"/>
      <c r="WLA2492" s="59"/>
      <c r="WLB2492" s="61"/>
      <c r="WLC2492" s="59"/>
      <c r="WLD2492" s="59"/>
      <c r="WLE2492" s="60"/>
      <c r="WLF2492" s="60"/>
      <c r="WLG2492" s="60"/>
      <c r="WLH2492" s="60"/>
      <c r="WLI2492" s="59"/>
      <c r="WLJ2492" s="61"/>
      <c r="WLK2492" s="59"/>
      <c r="WLL2492" s="59"/>
      <c r="WLM2492" s="60"/>
      <c r="WLN2492" s="60"/>
      <c r="WLO2492" s="60"/>
      <c r="WLP2492" s="60"/>
      <c r="WLQ2492" s="59"/>
      <c r="WLR2492" s="61"/>
      <c r="WLS2492" s="59"/>
      <c r="WLT2492" s="59"/>
      <c r="WLU2492" s="60"/>
      <c r="WLV2492" s="60"/>
      <c r="WLW2492" s="60"/>
      <c r="WLX2492" s="60"/>
      <c r="WLY2492" s="59"/>
      <c r="WLZ2492" s="61"/>
      <c r="WMA2492" s="59"/>
      <c r="WMB2492" s="59"/>
      <c r="WMC2492" s="60"/>
      <c r="WMD2492" s="60"/>
      <c r="WME2492" s="60"/>
      <c r="WMF2492" s="60"/>
      <c r="WMG2492" s="59"/>
      <c r="WMH2492" s="61"/>
      <c r="WMI2492" s="59"/>
      <c r="WMJ2492" s="59"/>
      <c r="WMK2492" s="60"/>
      <c r="WML2492" s="60"/>
      <c r="WMM2492" s="60"/>
      <c r="WMN2492" s="60"/>
      <c r="WMO2492" s="59"/>
      <c r="WMP2492" s="61"/>
      <c r="WMQ2492" s="59"/>
      <c r="WMR2492" s="59"/>
      <c r="WMS2492" s="60"/>
      <c r="WMT2492" s="60"/>
      <c r="WMU2492" s="60"/>
      <c r="WMV2492" s="60"/>
      <c r="WMW2492" s="59"/>
      <c r="WMX2492" s="61"/>
      <c r="WMY2492" s="59"/>
      <c r="WMZ2492" s="59"/>
      <c r="WNA2492" s="60"/>
      <c r="WNB2492" s="60"/>
      <c r="WNC2492" s="60"/>
      <c r="WND2492" s="60"/>
      <c r="WNE2492" s="59"/>
      <c r="WNF2492" s="61"/>
      <c r="WNG2492" s="59"/>
      <c r="WNH2492" s="59"/>
      <c r="WNI2492" s="60"/>
      <c r="WNJ2492" s="60"/>
      <c r="WNK2492" s="60"/>
      <c r="WNL2492" s="60"/>
      <c r="WNM2492" s="59"/>
      <c r="WNN2492" s="61"/>
      <c r="WNO2492" s="59"/>
      <c r="WNP2492" s="59"/>
      <c r="WNQ2492" s="60"/>
      <c r="WNR2492" s="60"/>
      <c r="WNS2492" s="60"/>
      <c r="WNT2492" s="60"/>
      <c r="WNU2492" s="59"/>
      <c r="WNV2492" s="61"/>
      <c r="WNW2492" s="59"/>
      <c r="WNX2492" s="59"/>
      <c r="WNY2492" s="60"/>
      <c r="WNZ2492" s="60"/>
      <c r="WOA2492" s="60"/>
      <c r="WOB2492" s="60"/>
      <c r="WOC2492" s="59"/>
      <c r="WOD2492" s="61"/>
      <c r="WOE2492" s="59"/>
      <c r="WOF2492" s="59"/>
      <c r="WOG2492" s="60"/>
      <c r="WOH2492" s="60"/>
      <c r="WOI2492" s="60"/>
      <c r="WOJ2492" s="60"/>
      <c r="WOK2492" s="59"/>
      <c r="WOL2492" s="61"/>
      <c r="WOM2492" s="59"/>
      <c r="WON2492" s="59"/>
      <c r="WOO2492" s="60"/>
      <c r="WOP2492" s="60"/>
      <c r="WOQ2492" s="60"/>
      <c r="WOR2492" s="60"/>
      <c r="WOS2492" s="59"/>
      <c r="WOT2492" s="61"/>
      <c r="WOU2492" s="59"/>
      <c r="WOV2492" s="59"/>
      <c r="WOW2492" s="60"/>
      <c r="WOX2492" s="60"/>
      <c r="WOY2492" s="60"/>
      <c r="WOZ2492" s="60"/>
      <c r="WPA2492" s="59"/>
      <c r="WPB2492" s="61"/>
      <c r="WPC2492" s="59"/>
      <c r="WPD2492" s="59"/>
      <c r="WPE2492" s="60"/>
      <c r="WPF2492" s="60"/>
      <c r="WPG2492" s="60"/>
      <c r="WPH2492" s="60"/>
      <c r="WPI2492" s="59"/>
      <c r="WPJ2492" s="61"/>
      <c r="WPK2492" s="59"/>
      <c r="WPL2492" s="59"/>
      <c r="WPM2492" s="60"/>
      <c r="WPN2492" s="60"/>
      <c r="WPO2492" s="60"/>
      <c r="WPP2492" s="60"/>
      <c r="WPQ2492" s="59"/>
      <c r="WPR2492" s="61"/>
      <c r="WPS2492" s="59"/>
      <c r="WPT2492" s="59"/>
      <c r="WPU2492" s="60"/>
      <c r="WPV2492" s="60"/>
      <c r="WPW2492" s="60"/>
      <c r="WPX2492" s="60"/>
      <c r="WPY2492" s="59"/>
      <c r="WPZ2492" s="61"/>
      <c r="WQA2492" s="59"/>
      <c r="WQB2492" s="59"/>
      <c r="WQC2492" s="60"/>
      <c r="WQD2492" s="60"/>
      <c r="WQE2492" s="60"/>
      <c r="WQF2492" s="60"/>
      <c r="WQG2492" s="59"/>
      <c r="WQH2492" s="61"/>
      <c r="WQI2492" s="59"/>
      <c r="WQJ2492" s="59"/>
      <c r="WQK2492" s="60"/>
      <c r="WQL2492" s="60"/>
      <c r="WQM2492" s="60"/>
      <c r="WQN2492" s="60"/>
      <c r="WQO2492" s="59"/>
      <c r="WQP2492" s="61"/>
      <c r="WQQ2492" s="59"/>
      <c r="WQR2492" s="59"/>
      <c r="WQS2492" s="60"/>
      <c r="WQT2492" s="60"/>
      <c r="WQU2492" s="60"/>
      <c r="WQV2492" s="60"/>
      <c r="WQW2492" s="59"/>
      <c r="WQX2492" s="61"/>
      <c r="WQY2492" s="59"/>
      <c r="WQZ2492" s="59"/>
      <c r="WRA2492" s="60"/>
      <c r="WRB2492" s="60"/>
      <c r="WRC2492" s="60"/>
      <c r="WRD2492" s="60"/>
      <c r="WRE2492" s="59"/>
      <c r="WRF2492" s="61"/>
      <c r="WRG2492" s="59"/>
      <c r="WRH2492" s="59"/>
      <c r="WRI2492" s="60"/>
      <c r="WRJ2492" s="60"/>
      <c r="WRK2492" s="60"/>
      <c r="WRL2492" s="60"/>
      <c r="WRM2492" s="59"/>
      <c r="WRN2492" s="61"/>
      <c r="WRO2492" s="59"/>
      <c r="WRP2492" s="59"/>
      <c r="WRQ2492" s="60"/>
      <c r="WRR2492" s="60"/>
      <c r="WRS2492" s="60"/>
      <c r="WRT2492" s="60"/>
      <c r="WRU2492" s="59"/>
      <c r="WRV2492" s="61"/>
      <c r="WRW2492" s="59"/>
      <c r="WRX2492" s="59"/>
      <c r="WRY2492" s="60"/>
      <c r="WRZ2492" s="60"/>
      <c r="WSA2492" s="60"/>
      <c r="WSB2492" s="60"/>
      <c r="WSC2492" s="59"/>
      <c r="WSD2492" s="61"/>
      <c r="WSE2492" s="59"/>
      <c r="WSF2492" s="59"/>
      <c r="WSG2492" s="60"/>
      <c r="WSH2492" s="60"/>
      <c r="WSI2492" s="60"/>
      <c r="WSJ2492" s="60"/>
      <c r="WSK2492" s="59"/>
      <c r="WSL2492" s="61"/>
      <c r="WSM2492" s="59"/>
      <c r="WSN2492" s="59"/>
      <c r="WSO2492" s="60"/>
      <c r="WSP2492" s="60"/>
      <c r="WSQ2492" s="60"/>
      <c r="WSR2492" s="60"/>
      <c r="WSS2492" s="59"/>
      <c r="WST2492" s="61"/>
      <c r="WSU2492" s="59"/>
      <c r="WSV2492" s="59"/>
      <c r="WSW2492" s="60"/>
      <c r="WSX2492" s="60"/>
      <c r="WSY2492" s="60"/>
      <c r="WSZ2492" s="60"/>
      <c r="WTA2492" s="59"/>
      <c r="WTB2492" s="61"/>
      <c r="WTC2492" s="59"/>
      <c r="WTD2492" s="59"/>
      <c r="WTE2492" s="60"/>
      <c r="WTF2492" s="60"/>
      <c r="WTG2492" s="60"/>
      <c r="WTH2492" s="60"/>
      <c r="WTI2492" s="59"/>
      <c r="WTJ2492" s="61"/>
      <c r="WTK2492" s="59"/>
      <c r="WTL2492" s="59"/>
      <c r="WTM2492" s="60"/>
      <c r="WTN2492" s="60"/>
      <c r="WTO2492" s="60"/>
      <c r="WTP2492" s="60"/>
      <c r="WTQ2492" s="59"/>
      <c r="WTR2492" s="61"/>
      <c r="WTS2492" s="59"/>
      <c r="WTT2492" s="59"/>
      <c r="WTU2492" s="60"/>
      <c r="WTV2492" s="60"/>
      <c r="WTW2492" s="60"/>
      <c r="WTX2492" s="60"/>
      <c r="WTY2492" s="59"/>
      <c r="WTZ2492" s="61"/>
      <c r="WUA2492" s="59"/>
      <c r="WUB2492" s="59"/>
      <c r="WUC2492" s="60"/>
      <c r="WUD2492" s="60"/>
      <c r="WUE2492" s="60"/>
      <c r="WUF2492" s="60"/>
      <c r="WUG2492" s="59"/>
      <c r="WUH2492" s="61"/>
      <c r="WUI2492" s="59"/>
      <c r="WUJ2492" s="59"/>
      <c r="WUK2492" s="60"/>
      <c r="WUL2492" s="60"/>
      <c r="WUM2492" s="60"/>
      <c r="WUN2492" s="60"/>
      <c r="WUO2492" s="59"/>
      <c r="WUP2492" s="61"/>
      <c r="WUQ2492" s="59"/>
      <c r="WUR2492" s="59"/>
      <c r="WUS2492" s="60"/>
      <c r="WUT2492" s="60"/>
      <c r="WUU2492" s="60"/>
      <c r="WUV2492" s="60"/>
      <c r="WUW2492" s="59"/>
      <c r="WUX2492" s="61"/>
      <c r="WUY2492" s="59"/>
      <c r="WUZ2492" s="59"/>
      <c r="WVA2492" s="60"/>
      <c r="WVB2492" s="60"/>
      <c r="WVC2492" s="60"/>
      <c r="WVD2492" s="60"/>
      <c r="WVE2492" s="59"/>
      <c r="WVF2492" s="61"/>
      <c r="WVG2492" s="59"/>
      <c r="WVH2492" s="59"/>
      <c r="WVI2492" s="60"/>
      <c r="WVJ2492" s="60"/>
      <c r="WVK2492" s="60"/>
      <c r="WVL2492" s="60"/>
      <c r="WVM2492" s="59"/>
      <c r="WVN2492" s="61"/>
      <c r="WVO2492" s="59"/>
      <c r="WVP2492" s="59"/>
      <c r="WVQ2492" s="60"/>
      <c r="WVR2492" s="60"/>
      <c r="WVS2492" s="60"/>
      <c r="WVT2492" s="60"/>
      <c r="WVU2492" s="59"/>
      <c r="WVV2492" s="61"/>
      <c r="WVW2492" s="59"/>
      <c r="WVX2492" s="59"/>
      <c r="WVY2492" s="60"/>
      <c r="WVZ2492" s="60"/>
      <c r="WWA2492" s="60"/>
      <c r="WWB2492" s="60"/>
      <c r="WWC2492" s="59"/>
      <c r="WWD2492" s="61"/>
      <c r="WWE2492" s="59"/>
      <c r="WWF2492" s="59"/>
      <c r="WWG2492" s="60"/>
      <c r="WWH2492" s="60"/>
      <c r="WWI2492" s="60"/>
      <c r="WWJ2492" s="60"/>
      <c r="WWK2492" s="59"/>
      <c r="WWL2492" s="61"/>
      <c r="WWM2492" s="59"/>
      <c r="WWN2492" s="59"/>
      <c r="WWO2492" s="60"/>
      <c r="WWP2492" s="60"/>
      <c r="WWQ2492" s="60"/>
      <c r="WWR2492" s="60"/>
      <c r="WWS2492" s="59"/>
      <c r="WWT2492" s="61"/>
      <c r="WWU2492" s="59"/>
      <c r="WWV2492" s="59"/>
      <c r="WWW2492" s="60"/>
      <c r="WWX2492" s="60"/>
      <c r="WWY2492" s="60"/>
      <c r="WWZ2492" s="60"/>
      <c r="WXA2492" s="59"/>
      <c r="WXB2492" s="61"/>
      <c r="WXC2492" s="59"/>
      <c r="WXD2492" s="59"/>
      <c r="WXE2492" s="60"/>
      <c r="WXF2492" s="60"/>
      <c r="WXG2492" s="60"/>
      <c r="WXH2492" s="60"/>
      <c r="WXI2492" s="59"/>
      <c r="WXJ2492" s="61"/>
      <c r="WXK2492" s="59"/>
      <c r="WXL2492" s="59"/>
      <c r="WXM2492" s="60"/>
      <c r="WXN2492" s="60"/>
      <c r="WXO2492" s="60"/>
      <c r="WXP2492" s="60"/>
      <c r="WXQ2492" s="59"/>
      <c r="WXR2492" s="61"/>
      <c r="WXS2492" s="59"/>
      <c r="WXT2492" s="59"/>
      <c r="WXU2492" s="60"/>
      <c r="WXV2492" s="60"/>
      <c r="WXW2492" s="60"/>
      <c r="WXX2492" s="60"/>
      <c r="WXY2492" s="59"/>
      <c r="WXZ2492" s="61"/>
      <c r="WYA2492" s="59"/>
      <c r="WYB2492" s="59"/>
      <c r="WYC2492" s="60"/>
      <c r="WYD2492" s="60"/>
      <c r="WYE2492" s="60"/>
      <c r="WYF2492" s="60"/>
      <c r="WYG2492" s="59"/>
      <c r="WYH2492" s="61"/>
      <c r="WYI2492" s="59"/>
      <c r="WYJ2492" s="59"/>
      <c r="WYK2492" s="60"/>
      <c r="WYL2492" s="60"/>
      <c r="WYM2492" s="60"/>
      <c r="WYN2492" s="60"/>
      <c r="WYO2492" s="59"/>
      <c r="WYP2492" s="61"/>
      <c r="WYQ2492" s="59"/>
      <c r="WYR2492" s="59"/>
      <c r="WYS2492" s="60"/>
      <c r="WYT2492" s="60"/>
      <c r="WYU2492" s="60"/>
      <c r="WYV2492" s="60"/>
      <c r="WYW2492" s="59"/>
      <c r="WYX2492" s="61"/>
      <c r="WYY2492" s="59"/>
      <c r="WYZ2492" s="59"/>
      <c r="WZA2492" s="60"/>
      <c r="WZB2492" s="60"/>
      <c r="WZC2492" s="60"/>
      <c r="WZD2492" s="60"/>
      <c r="WZE2492" s="59"/>
      <c r="WZF2492" s="61"/>
      <c r="WZG2492" s="59"/>
      <c r="WZH2492" s="59"/>
      <c r="WZI2492" s="60"/>
      <c r="WZJ2492" s="60"/>
      <c r="WZK2492" s="60"/>
      <c r="WZL2492" s="60"/>
      <c r="WZM2492" s="59"/>
      <c r="WZN2492" s="61"/>
      <c r="WZO2492" s="59"/>
      <c r="WZP2492" s="59"/>
      <c r="WZQ2492" s="60"/>
      <c r="WZR2492" s="60"/>
      <c r="WZS2492" s="60"/>
      <c r="WZT2492" s="60"/>
      <c r="WZU2492" s="59"/>
      <c r="WZV2492" s="61"/>
      <c r="WZW2492" s="59"/>
      <c r="WZX2492" s="59"/>
      <c r="WZY2492" s="60"/>
      <c r="WZZ2492" s="60"/>
      <c r="XAA2492" s="60"/>
      <c r="XAB2492" s="60"/>
      <c r="XAC2492" s="59"/>
      <c r="XAD2492" s="61"/>
      <c r="XAE2492" s="59"/>
      <c r="XAF2492" s="59"/>
      <c r="XAG2492" s="60"/>
      <c r="XAH2492" s="60"/>
      <c r="XAI2492" s="60"/>
      <c r="XAJ2492" s="60"/>
      <c r="XAK2492" s="59"/>
      <c r="XAL2492" s="61"/>
      <c r="XAM2492" s="59"/>
      <c r="XAN2492" s="59"/>
      <c r="XAO2492" s="60"/>
      <c r="XAP2492" s="60"/>
      <c r="XAQ2492" s="60"/>
      <c r="XAR2492" s="60"/>
      <c r="XAS2492" s="59"/>
      <c r="XAT2492" s="61"/>
      <c r="XAU2492" s="59"/>
      <c r="XAV2492" s="59"/>
      <c r="XAW2492" s="60"/>
      <c r="XAX2492" s="60"/>
      <c r="XAY2492" s="60"/>
      <c r="XAZ2492" s="60"/>
      <c r="XBA2492" s="59"/>
      <c r="XBB2492" s="61"/>
      <c r="XBC2492" s="59"/>
      <c r="XBD2492" s="59"/>
      <c r="XBE2492" s="60"/>
      <c r="XBF2492" s="60"/>
      <c r="XBG2492" s="60"/>
      <c r="XBH2492" s="60"/>
      <c r="XBI2492" s="59"/>
      <c r="XBJ2492" s="61"/>
      <c r="XBK2492" s="59"/>
      <c r="XBL2492" s="59"/>
      <c r="XBM2492" s="60"/>
      <c r="XBN2492" s="60"/>
      <c r="XBO2492" s="60"/>
      <c r="XBP2492" s="60"/>
      <c r="XBQ2492" s="59"/>
      <c r="XBR2492" s="61"/>
      <c r="XBS2492" s="59"/>
      <c r="XBT2492" s="59"/>
      <c r="XBU2492" s="60"/>
      <c r="XBV2492" s="60"/>
      <c r="XBW2492" s="60"/>
      <c r="XBX2492" s="60"/>
      <c r="XBY2492" s="59"/>
      <c r="XBZ2492" s="61"/>
      <c r="XCA2492" s="59"/>
      <c r="XCB2492" s="59"/>
      <c r="XCC2492" s="60"/>
      <c r="XCD2492" s="60"/>
      <c r="XCE2492" s="60"/>
      <c r="XCF2492" s="60"/>
      <c r="XCG2492" s="59"/>
      <c r="XCH2492" s="61"/>
      <c r="XCI2492" s="59"/>
      <c r="XCJ2492" s="59"/>
      <c r="XCK2492" s="60"/>
      <c r="XCL2492" s="60"/>
      <c r="XCM2492" s="60"/>
      <c r="XCN2492" s="60"/>
      <c r="XCO2492" s="59"/>
      <c r="XCP2492" s="61"/>
      <c r="XCQ2492" s="59"/>
      <c r="XCR2492" s="59"/>
      <c r="XCS2492" s="60"/>
      <c r="XCT2492" s="60"/>
      <c r="XCU2492" s="60"/>
      <c r="XCV2492" s="60"/>
      <c r="XCW2492" s="59"/>
      <c r="XCX2492" s="61"/>
      <c r="XCY2492" s="59"/>
      <c r="XCZ2492" s="59"/>
      <c r="XDA2492" s="60"/>
      <c r="XDB2492" s="60"/>
      <c r="XDC2492" s="60"/>
      <c r="XDD2492" s="60"/>
      <c r="XDE2492" s="59"/>
      <c r="XDF2492" s="61"/>
      <c r="XDG2492" s="59"/>
      <c r="XDH2492" s="59"/>
      <c r="XDI2492" s="60"/>
      <c r="XDJ2492" s="60"/>
      <c r="XDK2492" s="60"/>
      <c r="XDL2492" s="60"/>
      <c r="XDM2492" s="59"/>
      <c r="XDN2492" s="61"/>
      <c r="XDO2492" s="59"/>
      <c r="XDP2492" s="59"/>
      <c r="XDQ2492" s="60"/>
      <c r="XDR2492" s="60"/>
      <c r="XDS2492" s="60"/>
      <c r="XDT2492" s="60"/>
      <c r="XDU2492" s="59"/>
      <c r="XDV2492" s="61"/>
      <c r="XDW2492" s="59"/>
      <c r="XDX2492" s="59"/>
      <c r="XDY2492" s="60"/>
      <c r="XDZ2492" s="60"/>
      <c r="XEA2492" s="60"/>
      <c r="XEB2492" s="60"/>
      <c r="XEC2492" s="59"/>
      <c r="XED2492" s="61"/>
      <c r="XEE2492" s="59"/>
      <c r="XEF2492" s="59"/>
      <c r="XEG2492" s="60"/>
      <c r="XEH2492" s="60"/>
      <c r="XEI2492" s="60"/>
      <c r="XEJ2492" s="60"/>
      <c r="XEK2492" s="59"/>
      <c r="XEL2492" s="61"/>
      <c r="XEM2492" s="59"/>
      <c r="XEN2492" s="59"/>
      <c r="XEO2492" s="60"/>
      <c r="XEP2492" s="60"/>
      <c r="XEQ2492" s="60"/>
      <c r="XER2492" s="60"/>
      <c r="XES2492" s="59"/>
      <c r="XET2492" s="61"/>
      <c r="XEU2492" s="59"/>
      <c r="XEV2492" s="59"/>
      <c r="XEW2492" s="60"/>
    </row>
    <row r="2493" ht="18" customHeight="1" spans="1:16377">
      <c r="A2493" s="6" t="s">
        <v>8209</v>
      </c>
      <c r="B2493" s="6" t="s">
        <v>8808</v>
      </c>
      <c r="C2493" s="6" t="s">
        <v>16433</v>
      </c>
      <c r="D2493" s="5" t="s">
        <v>16374</v>
      </c>
      <c r="E2493" s="6" t="s">
        <v>16434</v>
      </c>
      <c r="F2493" s="7" t="s">
        <v>11535</v>
      </c>
      <c r="G2493" s="59"/>
      <c r="H2493" s="59"/>
      <c r="I2493" s="59"/>
      <c r="J2493" s="60"/>
      <c r="K2493" s="60"/>
      <c r="L2493" s="60"/>
      <c r="M2493" s="59"/>
      <c r="N2493" s="61"/>
      <c r="O2493" s="59"/>
      <c r="P2493" s="59"/>
      <c r="Q2493" s="59"/>
      <c r="R2493" s="60"/>
      <c r="S2493" s="60"/>
      <c r="T2493" s="60"/>
      <c r="U2493" s="59"/>
      <c r="V2493" s="61"/>
      <c r="W2493" s="59"/>
      <c r="X2493" s="59"/>
      <c r="Y2493" s="59"/>
      <c r="Z2493" s="60"/>
      <c r="AA2493" s="60"/>
      <c r="AB2493" s="60"/>
      <c r="AC2493" s="59"/>
      <c r="AD2493" s="61"/>
      <c r="AE2493" s="59"/>
      <c r="AF2493" s="59"/>
      <c r="AG2493" s="59"/>
      <c r="AH2493" s="60"/>
      <c r="AI2493" s="60"/>
      <c r="AJ2493" s="60"/>
      <c r="AK2493" s="59"/>
      <c r="AL2493" s="61"/>
      <c r="AM2493" s="59"/>
      <c r="AN2493" s="59"/>
      <c r="AO2493" s="59"/>
      <c r="AP2493" s="60"/>
      <c r="AQ2493" s="60"/>
      <c r="AR2493" s="60"/>
      <c r="AS2493" s="59"/>
      <c r="AT2493" s="61"/>
      <c r="AU2493" s="59"/>
      <c r="AV2493" s="59"/>
      <c r="AW2493" s="59"/>
      <c r="AX2493" s="60"/>
      <c r="AY2493" s="60"/>
      <c r="AZ2493" s="60"/>
      <c r="BA2493" s="59"/>
      <c r="BB2493" s="61"/>
      <c r="BC2493" s="59"/>
      <c r="BD2493" s="59"/>
      <c r="BE2493" s="59"/>
      <c r="BF2493" s="60"/>
      <c r="BG2493" s="60"/>
      <c r="BH2493" s="60"/>
      <c r="BI2493" s="59"/>
      <c r="BJ2493" s="61"/>
      <c r="BK2493" s="59"/>
      <c r="BL2493" s="59"/>
      <c r="BM2493" s="59"/>
      <c r="BN2493" s="60"/>
      <c r="BO2493" s="60"/>
      <c r="BP2493" s="60"/>
      <c r="BQ2493" s="59"/>
      <c r="BR2493" s="61"/>
      <c r="BS2493" s="59"/>
      <c r="BT2493" s="59"/>
      <c r="BU2493" s="59"/>
      <c r="BV2493" s="60"/>
      <c r="BW2493" s="60"/>
      <c r="BX2493" s="60"/>
      <c r="BY2493" s="59"/>
      <c r="BZ2493" s="61"/>
      <c r="CA2493" s="59"/>
      <c r="CB2493" s="59"/>
      <c r="CC2493" s="59"/>
      <c r="CD2493" s="60"/>
      <c r="CE2493" s="60"/>
      <c r="CF2493" s="60"/>
      <c r="CG2493" s="59"/>
      <c r="CH2493" s="61"/>
      <c r="CI2493" s="59"/>
      <c r="CJ2493" s="59"/>
      <c r="CK2493" s="59"/>
      <c r="CL2493" s="60"/>
      <c r="CM2493" s="60"/>
      <c r="CN2493" s="60"/>
      <c r="CO2493" s="59"/>
      <c r="CP2493" s="61"/>
      <c r="CQ2493" s="59"/>
      <c r="CR2493" s="59"/>
      <c r="CS2493" s="59"/>
      <c r="CT2493" s="60"/>
      <c r="CU2493" s="60"/>
      <c r="CV2493" s="60"/>
      <c r="CW2493" s="59"/>
      <c r="CX2493" s="61"/>
      <c r="CY2493" s="59"/>
      <c r="CZ2493" s="59"/>
      <c r="DA2493" s="59"/>
      <c r="DB2493" s="60"/>
      <c r="DC2493" s="60"/>
      <c r="DD2493" s="60"/>
      <c r="DE2493" s="59"/>
      <c r="DF2493" s="61"/>
      <c r="DG2493" s="59"/>
      <c r="DH2493" s="59"/>
      <c r="DI2493" s="59"/>
      <c r="DJ2493" s="60"/>
      <c r="DK2493" s="60"/>
      <c r="DL2493" s="60"/>
      <c r="DM2493" s="59"/>
      <c r="DN2493" s="61"/>
      <c r="DO2493" s="59"/>
      <c r="DP2493" s="59"/>
      <c r="DQ2493" s="59"/>
      <c r="DR2493" s="60"/>
      <c r="DS2493" s="60"/>
      <c r="DT2493" s="60"/>
      <c r="DU2493" s="59"/>
      <c r="DV2493" s="61"/>
      <c r="DW2493" s="59"/>
      <c r="DX2493" s="59"/>
      <c r="DY2493" s="59"/>
      <c r="DZ2493" s="60"/>
      <c r="EA2493" s="60"/>
      <c r="EB2493" s="60"/>
      <c r="EC2493" s="59"/>
      <c r="ED2493" s="61"/>
      <c r="EE2493" s="59"/>
      <c r="EF2493" s="59"/>
      <c r="EG2493" s="59"/>
      <c r="EH2493" s="60"/>
      <c r="EI2493" s="60"/>
      <c r="EJ2493" s="60"/>
      <c r="EK2493" s="59"/>
      <c r="EL2493" s="61"/>
      <c r="EM2493" s="59"/>
      <c r="EN2493" s="59"/>
      <c r="EO2493" s="59"/>
      <c r="EP2493" s="60"/>
      <c r="EQ2493" s="60"/>
      <c r="ER2493" s="60"/>
      <c r="ES2493" s="59"/>
      <c r="ET2493" s="61"/>
      <c r="EU2493" s="59"/>
      <c r="EV2493" s="59"/>
      <c r="EW2493" s="59"/>
      <c r="EX2493" s="60"/>
      <c r="EY2493" s="60"/>
      <c r="EZ2493" s="60"/>
      <c r="FA2493" s="59"/>
      <c r="FB2493" s="61"/>
      <c r="FC2493" s="59"/>
      <c r="FD2493" s="59"/>
      <c r="FE2493" s="59"/>
      <c r="FF2493" s="60"/>
      <c r="FG2493" s="60"/>
      <c r="FH2493" s="60"/>
      <c r="FI2493" s="59"/>
      <c r="FJ2493" s="61"/>
      <c r="FK2493" s="59"/>
      <c r="FL2493" s="59"/>
      <c r="FM2493" s="59"/>
      <c r="FN2493" s="60"/>
      <c r="FO2493" s="60"/>
      <c r="FP2493" s="60"/>
      <c r="FQ2493" s="59"/>
      <c r="FR2493" s="61"/>
      <c r="FS2493" s="59"/>
      <c r="FT2493" s="59"/>
      <c r="FU2493" s="59"/>
      <c r="FV2493" s="60"/>
      <c r="FW2493" s="60"/>
      <c r="FX2493" s="60"/>
      <c r="FY2493" s="59"/>
      <c r="FZ2493" s="61"/>
      <c r="GA2493" s="59"/>
      <c r="GB2493" s="59"/>
      <c r="GC2493" s="59"/>
      <c r="GD2493" s="60"/>
      <c r="GE2493" s="60"/>
      <c r="GF2493" s="60"/>
      <c r="GG2493" s="59"/>
      <c r="GH2493" s="61"/>
      <c r="GI2493" s="59"/>
      <c r="GJ2493" s="59"/>
      <c r="GK2493" s="59"/>
      <c r="GL2493" s="60"/>
      <c r="GM2493" s="60"/>
      <c r="GN2493" s="60"/>
      <c r="GO2493" s="59"/>
      <c r="GP2493" s="61"/>
      <c r="GQ2493" s="59"/>
      <c r="GR2493" s="59"/>
      <c r="GS2493" s="59"/>
      <c r="GT2493" s="60"/>
      <c r="GU2493" s="60"/>
      <c r="GV2493" s="60"/>
      <c r="GW2493" s="59"/>
      <c r="GX2493" s="61"/>
      <c r="GY2493" s="59"/>
      <c r="GZ2493" s="59"/>
      <c r="HA2493" s="59"/>
      <c r="HB2493" s="60"/>
      <c r="HC2493" s="60"/>
      <c r="HD2493" s="60"/>
      <c r="HE2493" s="59"/>
      <c r="HF2493" s="61"/>
      <c r="HG2493" s="59"/>
      <c r="HH2493" s="59"/>
      <c r="HI2493" s="59"/>
      <c r="HJ2493" s="60"/>
      <c r="HK2493" s="60"/>
      <c r="HL2493" s="60"/>
      <c r="HM2493" s="59"/>
      <c r="HN2493" s="61"/>
      <c r="HO2493" s="59"/>
      <c r="HP2493" s="59"/>
      <c r="HQ2493" s="59"/>
      <c r="HR2493" s="60"/>
      <c r="HS2493" s="60"/>
      <c r="HT2493" s="60"/>
      <c r="HU2493" s="59"/>
      <c r="HV2493" s="61"/>
      <c r="HW2493" s="59"/>
      <c r="HX2493" s="59"/>
      <c r="HY2493" s="59"/>
      <c r="HZ2493" s="60"/>
      <c r="IA2493" s="60"/>
      <c r="IB2493" s="60"/>
      <c r="IC2493" s="59"/>
      <c r="ID2493" s="61"/>
      <c r="IE2493" s="59"/>
      <c r="IF2493" s="59"/>
      <c r="IG2493" s="59"/>
      <c r="IH2493" s="60"/>
      <c r="II2493" s="60"/>
      <c r="IJ2493" s="60"/>
      <c r="IK2493" s="59"/>
      <c r="IL2493" s="61"/>
      <c r="IM2493" s="59"/>
      <c r="IN2493" s="59"/>
      <c r="IO2493" s="59"/>
      <c r="IP2493" s="60"/>
      <c r="IQ2493" s="60"/>
      <c r="IR2493" s="60"/>
      <c r="IS2493" s="59"/>
      <c r="IT2493" s="61"/>
      <c r="IU2493" s="59"/>
      <c r="IV2493" s="59"/>
      <c r="IW2493" s="59"/>
      <c r="IX2493" s="60"/>
      <c r="IY2493" s="60"/>
      <c r="IZ2493" s="60"/>
      <c r="JA2493" s="59"/>
      <c r="JB2493" s="61"/>
      <c r="JC2493" s="59"/>
      <c r="JD2493" s="59"/>
      <c r="JE2493" s="59"/>
      <c r="JF2493" s="60"/>
      <c r="JG2493" s="60"/>
      <c r="JH2493" s="60"/>
      <c r="JI2493" s="59"/>
      <c r="JJ2493" s="61"/>
      <c r="JK2493" s="59"/>
      <c r="JL2493" s="59"/>
      <c r="JM2493" s="59"/>
      <c r="JN2493" s="60"/>
      <c r="JO2493" s="60"/>
      <c r="JP2493" s="60"/>
      <c r="JQ2493" s="59"/>
      <c r="JR2493" s="61"/>
      <c r="JS2493" s="59"/>
      <c r="JT2493" s="59"/>
      <c r="JU2493" s="59"/>
      <c r="JV2493" s="60"/>
      <c r="JW2493" s="60"/>
      <c r="JX2493" s="60"/>
      <c r="JY2493" s="59"/>
      <c r="JZ2493" s="61"/>
      <c r="KA2493" s="59"/>
      <c r="KB2493" s="59"/>
      <c r="KC2493" s="59"/>
      <c r="KD2493" s="60"/>
      <c r="KE2493" s="60"/>
      <c r="KF2493" s="60"/>
      <c r="KG2493" s="59"/>
      <c r="KH2493" s="61"/>
      <c r="KI2493" s="59"/>
      <c r="KJ2493" s="59"/>
      <c r="KK2493" s="59"/>
      <c r="KL2493" s="60"/>
      <c r="KM2493" s="60"/>
      <c r="KN2493" s="60"/>
      <c r="KO2493" s="59"/>
      <c r="KP2493" s="61"/>
      <c r="KQ2493" s="59"/>
      <c r="KR2493" s="59"/>
      <c r="KS2493" s="59"/>
      <c r="KT2493" s="60"/>
      <c r="KU2493" s="60"/>
      <c r="KV2493" s="60"/>
      <c r="KW2493" s="59"/>
      <c r="KX2493" s="61"/>
      <c r="KY2493" s="59"/>
      <c r="KZ2493" s="59"/>
      <c r="LA2493" s="59"/>
      <c r="LB2493" s="60"/>
      <c r="LC2493" s="60"/>
      <c r="LD2493" s="60"/>
      <c r="LE2493" s="59"/>
      <c r="LF2493" s="61"/>
      <c r="LG2493" s="59"/>
      <c r="LH2493" s="59"/>
      <c r="LI2493" s="59"/>
      <c r="LJ2493" s="60"/>
      <c r="LK2493" s="60"/>
      <c r="LL2493" s="60"/>
      <c r="LM2493" s="59"/>
      <c r="LN2493" s="61"/>
      <c r="LO2493" s="59"/>
      <c r="LP2493" s="59"/>
      <c r="LQ2493" s="59"/>
      <c r="LR2493" s="60"/>
      <c r="LS2493" s="60"/>
      <c r="LT2493" s="60"/>
      <c r="LU2493" s="59"/>
      <c r="LV2493" s="61"/>
      <c r="LW2493" s="59"/>
      <c r="LX2493" s="59"/>
      <c r="LY2493" s="59"/>
      <c r="LZ2493" s="60"/>
      <c r="MA2493" s="60"/>
      <c r="MB2493" s="60"/>
      <c r="MC2493" s="59"/>
      <c r="MD2493" s="61"/>
      <c r="ME2493" s="59"/>
      <c r="MF2493" s="59"/>
      <c r="MG2493" s="59"/>
      <c r="MH2493" s="60"/>
      <c r="MI2493" s="60"/>
      <c r="MJ2493" s="60"/>
      <c r="MK2493" s="59"/>
      <c r="ML2493" s="61"/>
      <c r="MM2493" s="59"/>
      <c r="MN2493" s="59"/>
      <c r="MO2493" s="59"/>
      <c r="MP2493" s="60"/>
      <c r="MQ2493" s="60"/>
      <c r="MR2493" s="60"/>
      <c r="MS2493" s="59"/>
      <c r="MT2493" s="61"/>
      <c r="MU2493" s="59"/>
      <c r="MV2493" s="59"/>
      <c r="MW2493" s="59"/>
      <c r="MX2493" s="60"/>
      <c r="MY2493" s="60"/>
      <c r="MZ2493" s="60"/>
      <c r="NA2493" s="59"/>
      <c r="NB2493" s="61"/>
      <c r="NC2493" s="59"/>
      <c r="ND2493" s="59"/>
      <c r="NE2493" s="59"/>
      <c r="NF2493" s="60"/>
      <c r="NG2493" s="60"/>
      <c r="NH2493" s="60"/>
      <c r="NI2493" s="59"/>
      <c r="NJ2493" s="61"/>
      <c r="NK2493" s="59"/>
      <c r="NL2493" s="59"/>
      <c r="NM2493" s="59"/>
      <c r="NN2493" s="60"/>
      <c r="NO2493" s="60"/>
      <c r="NP2493" s="60"/>
      <c r="NQ2493" s="59"/>
      <c r="NR2493" s="61"/>
      <c r="NS2493" s="59"/>
      <c r="NT2493" s="59"/>
      <c r="NU2493" s="59"/>
      <c r="NV2493" s="60"/>
      <c r="NW2493" s="60"/>
      <c r="NX2493" s="60"/>
      <c r="NY2493" s="59"/>
      <c r="NZ2493" s="61"/>
      <c r="OA2493" s="59"/>
      <c r="OB2493" s="59"/>
      <c r="OC2493" s="59"/>
      <c r="OD2493" s="60"/>
      <c r="OE2493" s="60"/>
      <c r="OF2493" s="60"/>
      <c r="OG2493" s="59"/>
      <c r="OH2493" s="61"/>
      <c r="OI2493" s="59"/>
      <c r="OJ2493" s="59"/>
      <c r="OK2493" s="59"/>
      <c r="OL2493" s="60"/>
      <c r="OM2493" s="60"/>
      <c r="ON2493" s="60"/>
      <c r="OO2493" s="59"/>
      <c r="OP2493" s="61"/>
      <c r="OQ2493" s="59"/>
      <c r="OR2493" s="59"/>
      <c r="OS2493" s="59"/>
      <c r="OT2493" s="60"/>
      <c r="OU2493" s="60"/>
      <c r="OV2493" s="60"/>
      <c r="OW2493" s="59"/>
      <c r="OX2493" s="61"/>
      <c r="OY2493" s="59"/>
      <c r="OZ2493" s="59"/>
      <c r="PA2493" s="59"/>
      <c r="PB2493" s="60"/>
      <c r="PC2493" s="60"/>
      <c r="PD2493" s="60"/>
      <c r="PE2493" s="59"/>
      <c r="PF2493" s="61"/>
      <c r="PG2493" s="59"/>
      <c r="PH2493" s="59"/>
      <c r="PI2493" s="59"/>
      <c r="PJ2493" s="60"/>
      <c r="PK2493" s="60"/>
      <c r="PL2493" s="60"/>
      <c r="PM2493" s="59"/>
      <c r="PN2493" s="61"/>
      <c r="PO2493" s="59"/>
      <c r="PP2493" s="59"/>
      <c r="PQ2493" s="59"/>
      <c r="PR2493" s="60"/>
      <c r="PS2493" s="60"/>
      <c r="PT2493" s="60"/>
      <c r="PU2493" s="59"/>
      <c r="PV2493" s="61"/>
      <c r="PW2493" s="59"/>
      <c r="PX2493" s="59"/>
      <c r="PY2493" s="59"/>
      <c r="PZ2493" s="60"/>
      <c r="QA2493" s="60"/>
      <c r="QB2493" s="60"/>
      <c r="QC2493" s="59"/>
      <c r="QD2493" s="61"/>
      <c r="QE2493" s="59"/>
      <c r="QF2493" s="59"/>
      <c r="QG2493" s="59"/>
      <c r="QH2493" s="60"/>
      <c r="QI2493" s="60"/>
      <c r="QJ2493" s="60"/>
      <c r="QK2493" s="59"/>
      <c r="QL2493" s="61"/>
      <c r="QM2493" s="59"/>
      <c r="QN2493" s="59"/>
      <c r="QO2493" s="59"/>
      <c r="QP2493" s="60"/>
      <c r="QQ2493" s="60"/>
      <c r="QR2493" s="60"/>
      <c r="QS2493" s="59"/>
      <c r="QT2493" s="61"/>
      <c r="QU2493" s="59"/>
      <c r="QV2493" s="59"/>
      <c r="QW2493" s="59"/>
      <c r="QX2493" s="60"/>
      <c r="QY2493" s="60"/>
      <c r="QZ2493" s="60"/>
      <c r="RA2493" s="59"/>
      <c r="RB2493" s="61"/>
      <c r="RC2493" s="59"/>
      <c r="RD2493" s="59"/>
      <c r="RE2493" s="59"/>
      <c r="RF2493" s="60"/>
      <c r="RG2493" s="60"/>
      <c r="RH2493" s="60"/>
      <c r="RI2493" s="59"/>
      <c r="RJ2493" s="61"/>
      <c r="RK2493" s="59"/>
      <c r="RL2493" s="59"/>
      <c r="RM2493" s="59"/>
      <c r="RN2493" s="60"/>
      <c r="RO2493" s="60"/>
      <c r="RP2493" s="60"/>
      <c r="RQ2493" s="59"/>
      <c r="RR2493" s="61"/>
      <c r="RS2493" s="59"/>
      <c r="RT2493" s="59"/>
      <c r="RU2493" s="59"/>
      <c r="RV2493" s="60"/>
      <c r="RW2493" s="60"/>
      <c r="RX2493" s="60"/>
      <c r="RY2493" s="59"/>
      <c r="RZ2493" s="61"/>
      <c r="SA2493" s="59"/>
      <c r="SB2493" s="59"/>
      <c r="SC2493" s="59"/>
      <c r="SD2493" s="60"/>
      <c r="SE2493" s="60"/>
      <c r="SF2493" s="60"/>
      <c r="SG2493" s="59"/>
      <c r="SH2493" s="61"/>
      <c r="SI2493" s="59"/>
      <c r="SJ2493" s="59"/>
      <c r="SK2493" s="59"/>
      <c r="SL2493" s="60"/>
      <c r="SM2493" s="60"/>
      <c r="SN2493" s="60"/>
      <c r="SO2493" s="59"/>
      <c r="SP2493" s="61"/>
      <c r="SQ2493" s="59"/>
      <c r="SR2493" s="59"/>
      <c r="SS2493" s="59"/>
      <c r="ST2493" s="60"/>
      <c r="SU2493" s="60"/>
      <c r="SV2493" s="60"/>
      <c r="SW2493" s="59"/>
      <c r="SX2493" s="61"/>
      <c r="SY2493" s="59"/>
      <c r="SZ2493" s="59"/>
      <c r="TA2493" s="59"/>
      <c r="TB2493" s="60"/>
      <c r="TC2493" s="60"/>
      <c r="TD2493" s="60"/>
      <c r="TE2493" s="59"/>
      <c r="TF2493" s="61"/>
      <c r="TG2493" s="59"/>
      <c r="TH2493" s="59"/>
      <c r="TI2493" s="59"/>
      <c r="TJ2493" s="60"/>
      <c r="TK2493" s="60"/>
      <c r="TL2493" s="60"/>
      <c r="TM2493" s="59"/>
      <c r="TN2493" s="61"/>
      <c r="TO2493" s="59"/>
      <c r="TP2493" s="59"/>
      <c r="TQ2493" s="59"/>
      <c r="TR2493" s="60"/>
      <c r="TS2493" s="60"/>
      <c r="TT2493" s="60"/>
      <c r="TU2493" s="59"/>
      <c r="TV2493" s="61"/>
      <c r="TW2493" s="59"/>
      <c r="TX2493" s="59"/>
      <c r="TY2493" s="59"/>
      <c r="TZ2493" s="60"/>
      <c r="UA2493" s="60"/>
      <c r="UB2493" s="60"/>
      <c r="UC2493" s="59"/>
      <c r="UD2493" s="61"/>
      <c r="UE2493" s="59"/>
      <c r="UF2493" s="59"/>
      <c r="UG2493" s="59"/>
      <c r="UH2493" s="60"/>
      <c r="UI2493" s="60"/>
      <c r="UJ2493" s="60"/>
      <c r="UK2493" s="59"/>
      <c r="UL2493" s="61"/>
      <c r="UM2493" s="59"/>
      <c r="UN2493" s="59"/>
      <c r="UO2493" s="59"/>
      <c r="UP2493" s="60"/>
      <c r="UQ2493" s="60"/>
      <c r="UR2493" s="60"/>
      <c r="US2493" s="59"/>
      <c r="UT2493" s="61"/>
      <c r="UU2493" s="59"/>
      <c r="UV2493" s="59"/>
      <c r="UW2493" s="59"/>
      <c r="UX2493" s="60"/>
      <c r="UY2493" s="60"/>
      <c r="UZ2493" s="60"/>
      <c r="VA2493" s="59"/>
      <c r="VB2493" s="61"/>
      <c r="VC2493" s="59"/>
      <c r="VD2493" s="59"/>
      <c r="VE2493" s="59"/>
      <c r="VF2493" s="60"/>
      <c r="VG2493" s="60"/>
      <c r="VH2493" s="60"/>
      <c r="VI2493" s="59"/>
      <c r="VJ2493" s="61"/>
      <c r="VK2493" s="59"/>
      <c r="VL2493" s="59"/>
      <c r="VM2493" s="59"/>
      <c r="VN2493" s="60"/>
      <c r="VO2493" s="60"/>
      <c r="VP2493" s="60"/>
      <c r="VQ2493" s="59"/>
      <c r="VR2493" s="61"/>
      <c r="VS2493" s="59"/>
      <c r="VT2493" s="59"/>
      <c r="VU2493" s="59"/>
      <c r="VV2493" s="60"/>
      <c r="VW2493" s="60"/>
      <c r="VX2493" s="60"/>
      <c r="VY2493" s="59"/>
      <c r="VZ2493" s="61"/>
      <c r="WA2493" s="59"/>
      <c r="WB2493" s="59"/>
      <c r="WC2493" s="59"/>
      <c r="WD2493" s="60"/>
      <c r="WE2493" s="60"/>
      <c r="WF2493" s="60"/>
      <c r="WG2493" s="59"/>
      <c r="WH2493" s="61"/>
      <c r="WI2493" s="59"/>
      <c r="WJ2493" s="59"/>
      <c r="WK2493" s="59"/>
      <c r="WL2493" s="60"/>
      <c r="WM2493" s="60"/>
      <c r="WN2493" s="60"/>
      <c r="WO2493" s="59"/>
      <c r="WP2493" s="61"/>
      <c r="WQ2493" s="59"/>
      <c r="WR2493" s="59"/>
      <c r="WS2493" s="59"/>
      <c r="WT2493" s="60"/>
      <c r="WU2493" s="60"/>
      <c r="WV2493" s="60"/>
      <c r="WW2493" s="59"/>
      <c r="WX2493" s="61"/>
      <c r="WY2493" s="59"/>
      <c r="WZ2493" s="59"/>
      <c r="XA2493" s="59"/>
      <c r="XB2493" s="60"/>
      <c r="XC2493" s="60"/>
      <c r="XD2493" s="60"/>
      <c r="XE2493" s="59"/>
      <c r="XF2493" s="61"/>
      <c r="XG2493" s="59"/>
      <c r="XH2493" s="59"/>
      <c r="XI2493" s="59"/>
      <c r="XJ2493" s="60"/>
      <c r="XK2493" s="60"/>
      <c r="XL2493" s="60"/>
      <c r="XM2493" s="59"/>
      <c r="XN2493" s="61"/>
      <c r="XO2493" s="59"/>
      <c r="XP2493" s="59"/>
      <c r="XQ2493" s="59"/>
      <c r="XR2493" s="60"/>
      <c r="XS2493" s="60"/>
      <c r="XT2493" s="60"/>
      <c r="XU2493" s="59"/>
      <c r="XV2493" s="61"/>
      <c r="XW2493" s="59"/>
      <c r="XX2493" s="59"/>
      <c r="XY2493" s="59"/>
      <c r="XZ2493" s="60"/>
      <c r="YA2493" s="60"/>
      <c r="YB2493" s="60"/>
      <c r="YC2493" s="59"/>
      <c r="YD2493" s="61"/>
      <c r="YE2493" s="59"/>
      <c r="YF2493" s="59"/>
      <c r="YG2493" s="59"/>
      <c r="YH2493" s="60"/>
      <c r="YI2493" s="60"/>
      <c r="YJ2493" s="60"/>
      <c r="YK2493" s="59"/>
      <c r="YL2493" s="61"/>
      <c r="YM2493" s="59"/>
      <c r="YN2493" s="59"/>
      <c r="YO2493" s="59"/>
      <c r="YP2493" s="60"/>
      <c r="YQ2493" s="60"/>
      <c r="YR2493" s="60"/>
      <c r="YS2493" s="59"/>
      <c r="YT2493" s="61"/>
      <c r="YU2493" s="59"/>
      <c r="YV2493" s="59"/>
      <c r="YW2493" s="59"/>
      <c r="YX2493" s="60"/>
      <c r="YY2493" s="60"/>
      <c r="YZ2493" s="60"/>
      <c r="ZA2493" s="59"/>
      <c r="ZB2493" s="61"/>
      <c r="ZC2493" s="59"/>
      <c r="ZD2493" s="59"/>
      <c r="ZE2493" s="59"/>
      <c r="ZF2493" s="60"/>
      <c r="ZG2493" s="60"/>
      <c r="ZH2493" s="60"/>
      <c r="ZI2493" s="59"/>
      <c r="ZJ2493" s="61"/>
      <c r="ZK2493" s="59"/>
      <c r="ZL2493" s="59"/>
      <c r="ZM2493" s="59"/>
      <c r="ZN2493" s="60"/>
      <c r="ZO2493" s="60"/>
      <c r="ZP2493" s="60"/>
      <c r="ZQ2493" s="59"/>
      <c r="ZR2493" s="61"/>
      <c r="ZS2493" s="59"/>
      <c r="ZT2493" s="59"/>
      <c r="ZU2493" s="59"/>
      <c r="ZV2493" s="60"/>
      <c r="ZW2493" s="60"/>
      <c r="ZX2493" s="60"/>
      <c r="ZY2493" s="59"/>
      <c r="ZZ2493" s="61"/>
      <c r="AAA2493" s="59"/>
      <c r="AAB2493" s="59"/>
      <c r="AAC2493" s="59"/>
      <c r="AAD2493" s="60"/>
      <c r="AAE2493" s="60"/>
      <c r="AAF2493" s="60"/>
      <c r="AAG2493" s="59"/>
      <c r="AAH2493" s="61"/>
      <c r="AAI2493" s="59"/>
      <c r="AAJ2493" s="59"/>
      <c r="AAK2493" s="59"/>
      <c r="AAL2493" s="60"/>
      <c r="AAM2493" s="60"/>
      <c r="AAN2493" s="60"/>
      <c r="AAO2493" s="59"/>
      <c r="AAP2493" s="61"/>
      <c r="AAQ2493" s="59"/>
      <c r="AAR2493" s="59"/>
      <c r="AAS2493" s="59"/>
      <c r="AAT2493" s="60"/>
      <c r="AAU2493" s="60"/>
      <c r="AAV2493" s="60"/>
      <c r="AAW2493" s="59"/>
      <c r="AAX2493" s="61"/>
      <c r="AAY2493" s="59"/>
      <c r="AAZ2493" s="59"/>
      <c r="ABA2493" s="59"/>
      <c r="ABB2493" s="60"/>
      <c r="ABC2493" s="60"/>
      <c r="ABD2493" s="60"/>
      <c r="ABE2493" s="59"/>
      <c r="ABF2493" s="61"/>
      <c r="ABG2493" s="59"/>
      <c r="ABH2493" s="59"/>
      <c r="ABI2493" s="59"/>
      <c r="ABJ2493" s="60"/>
      <c r="ABK2493" s="60"/>
      <c r="ABL2493" s="60"/>
      <c r="ABM2493" s="59"/>
      <c r="ABN2493" s="61"/>
      <c r="ABO2493" s="59"/>
      <c r="ABP2493" s="59"/>
      <c r="ABQ2493" s="59"/>
      <c r="ABR2493" s="60"/>
      <c r="ABS2493" s="60"/>
      <c r="ABT2493" s="60"/>
      <c r="ABU2493" s="59"/>
      <c r="ABV2493" s="61"/>
      <c r="ABW2493" s="59"/>
      <c r="ABX2493" s="59"/>
      <c r="ABY2493" s="59"/>
      <c r="ABZ2493" s="60"/>
      <c r="ACA2493" s="60"/>
      <c r="ACB2493" s="60"/>
      <c r="ACC2493" s="59"/>
      <c r="ACD2493" s="61"/>
      <c r="ACE2493" s="59"/>
      <c r="ACF2493" s="59"/>
      <c r="ACG2493" s="59"/>
      <c r="ACH2493" s="60"/>
      <c r="ACI2493" s="60"/>
      <c r="ACJ2493" s="60"/>
      <c r="ACK2493" s="59"/>
      <c r="ACL2493" s="61"/>
      <c r="ACM2493" s="59"/>
      <c r="ACN2493" s="59"/>
      <c r="ACO2493" s="59"/>
      <c r="ACP2493" s="60"/>
      <c r="ACQ2493" s="60"/>
      <c r="ACR2493" s="60"/>
      <c r="ACS2493" s="59"/>
      <c r="ACT2493" s="61"/>
      <c r="ACU2493" s="59"/>
      <c r="ACV2493" s="59"/>
      <c r="ACW2493" s="59"/>
      <c r="ACX2493" s="60"/>
      <c r="ACY2493" s="60"/>
      <c r="ACZ2493" s="60"/>
      <c r="ADA2493" s="59"/>
      <c r="ADB2493" s="61"/>
      <c r="ADC2493" s="59"/>
      <c r="ADD2493" s="59"/>
      <c r="ADE2493" s="59"/>
      <c r="ADF2493" s="60"/>
      <c r="ADG2493" s="60"/>
      <c r="ADH2493" s="60"/>
      <c r="ADI2493" s="59"/>
      <c r="ADJ2493" s="61"/>
      <c r="ADK2493" s="59"/>
      <c r="ADL2493" s="59"/>
      <c r="ADM2493" s="59"/>
      <c r="ADN2493" s="60"/>
      <c r="ADO2493" s="60"/>
      <c r="ADP2493" s="60"/>
      <c r="ADQ2493" s="59"/>
      <c r="ADR2493" s="61"/>
      <c r="ADS2493" s="59"/>
      <c r="ADT2493" s="59"/>
      <c r="ADU2493" s="59"/>
      <c r="ADV2493" s="60"/>
      <c r="ADW2493" s="60"/>
      <c r="ADX2493" s="60"/>
      <c r="ADY2493" s="59"/>
      <c r="ADZ2493" s="61"/>
      <c r="AEA2493" s="59"/>
      <c r="AEB2493" s="59"/>
      <c r="AEC2493" s="59"/>
      <c r="AED2493" s="60"/>
      <c r="AEE2493" s="60"/>
      <c r="AEF2493" s="60"/>
      <c r="AEG2493" s="59"/>
      <c r="AEH2493" s="61"/>
      <c r="AEI2493" s="59"/>
      <c r="AEJ2493" s="59"/>
      <c r="AEK2493" s="59"/>
      <c r="AEL2493" s="60"/>
      <c r="AEM2493" s="60"/>
      <c r="AEN2493" s="60"/>
      <c r="AEO2493" s="59"/>
      <c r="AEP2493" s="61"/>
      <c r="AEQ2493" s="59"/>
      <c r="AER2493" s="59"/>
      <c r="AES2493" s="59"/>
      <c r="AET2493" s="60"/>
      <c r="AEU2493" s="60"/>
      <c r="AEV2493" s="60"/>
      <c r="AEW2493" s="59"/>
      <c r="AEX2493" s="61"/>
      <c r="AEY2493" s="59"/>
      <c r="AEZ2493" s="59"/>
      <c r="AFA2493" s="59"/>
      <c r="AFB2493" s="60"/>
      <c r="AFC2493" s="60"/>
      <c r="AFD2493" s="60"/>
      <c r="AFE2493" s="59"/>
      <c r="AFF2493" s="61"/>
      <c r="AFG2493" s="59"/>
      <c r="AFH2493" s="59"/>
      <c r="AFI2493" s="59"/>
      <c r="AFJ2493" s="60"/>
      <c r="AFK2493" s="60"/>
      <c r="AFL2493" s="60"/>
      <c r="AFM2493" s="59"/>
      <c r="AFN2493" s="61"/>
      <c r="AFO2493" s="59"/>
      <c r="AFP2493" s="59"/>
      <c r="AFQ2493" s="59"/>
      <c r="AFR2493" s="60"/>
      <c r="AFS2493" s="60"/>
      <c r="AFT2493" s="60"/>
      <c r="AFU2493" s="59"/>
      <c r="AFV2493" s="61"/>
      <c r="AFW2493" s="59"/>
      <c r="AFX2493" s="59"/>
      <c r="AFY2493" s="59"/>
      <c r="AFZ2493" s="60"/>
      <c r="AGA2493" s="60"/>
      <c r="AGB2493" s="60"/>
      <c r="AGC2493" s="59"/>
      <c r="AGD2493" s="61"/>
      <c r="AGE2493" s="59"/>
      <c r="AGF2493" s="59"/>
      <c r="AGG2493" s="59"/>
      <c r="AGH2493" s="60"/>
      <c r="AGI2493" s="60"/>
      <c r="AGJ2493" s="60"/>
      <c r="AGK2493" s="59"/>
      <c r="AGL2493" s="61"/>
      <c r="AGM2493" s="59"/>
      <c r="AGN2493" s="59"/>
      <c r="AGO2493" s="59"/>
      <c r="AGP2493" s="60"/>
      <c r="AGQ2493" s="60"/>
      <c r="AGR2493" s="60"/>
      <c r="AGS2493" s="59"/>
      <c r="AGT2493" s="61"/>
      <c r="AGU2493" s="59"/>
      <c r="AGV2493" s="59"/>
      <c r="AGW2493" s="59"/>
      <c r="AGX2493" s="60"/>
      <c r="AGY2493" s="60"/>
      <c r="AGZ2493" s="60"/>
      <c r="AHA2493" s="59"/>
      <c r="AHB2493" s="61"/>
      <c r="AHC2493" s="59"/>
      <c r="AHD2493" s="59"/>
      <c r="AHE2493" s="59"/>
      <c r="AHF2493" s="60"/>
      <c r="AHG2493" s="60"/>
      <c r="AHH2493" s="60"/>
      <c r="AHI2493" s="59"/>
      <c r="AHJ2493" s="61"/>
      <c r="AHK2493" s="59"/>
      <c r="AHL2493" s="59"/>
      <c r="AHM2493" s="59"/>
      <c r="AHN2493" s="60"/>
      <c r="AHO2493" s="60"/>
      <c r="AHP2493" s="60"/>
      <c r="AHQ2493" s="59"/>
      <c r="AHR2493" s="61"/>
      <c r="AHS2493" s="59"/>
      <c r="AHT2493" s="59"/>
      <c r="AHU2493" s="59"/>
      <c r="AHV2493" s="60"/>
      <c r="AHW2493" s="60"/>
      <c r="AHX2493" s="60"/>
      <c r="AHY2493" s="59"/>
      <c r="AHZ2493" s="61"/>
      <c r="AIA2493" s="59"/>
      <c r="AIB2493" s="59"/>
      <c r="AIC2493" s="59"/>
      <c r="AID2493" s="60"/>
      <c r="AIE2493" s="60"/>
      <c r="AIF2493" s="60"/>
      <c r="AIG2493" s="59"/>
      <c r="AIH2493" s="61"/>
      <c r="AII2493" s="59"/>
      <c r="AIJ2493" s="59"/>
      <c r="AIK2493" s="59"/>
      <c r="AIL2493" s="60"/>
      <c r="AIM2493" s="60"/>
      <c r="AIN2493" s="60"/>
      <c r="AIO2493" s="59"/>
      <c r="AIP2493" s="61"/>
      <c r="AIQ2493" s="59"/>
      <c r="AIR2493" s="59"/>
      <c r="AIS2493" s="59"/>
      <c r="AIT2493" s="60"/>
      <c r="AIU2493" s="60"/>
      <c r="AIV2493" s="60"/>
      <c r="AIW2493" s="59"/>
      <c r="AIX2493" s="61"/>
      <c r="AIY2493" s="59"/>
      <c r="AIZ2493" s="59"/>
      <c r="AJA2493" s="59"/>
      <c r="AJB2493" s="60"/>
      <c r="AJC2493" s="60"/>
      <c r="AJD2493" s="60"/>
      <c r="AJE2493" s="59"/>
      <c r="AJF2493" s="61"/>
      <c r="AJG2493" s="59"/>
      <c r="AJH2493" s="59"/>
      <c r="AJI2493" s="59"/>
      <c r="AJJ2493" s="60"/>
      <c r="AJK2493" s="60"/>
      <c r="AJL2493" s="60"/>
      <c r="AJM2493" s="59"/>
      <c r="AJN2493" s="61"/>
      <c r="AJO2493" s="59"/>
      <c r="AJP2493" s="59"/>
      <c r="AJQ2493" s="59"/>
      <c r="AJR2493" s="60"/>
      <c r="AJS2493" s="60"/>
      <c r="AJT2493" s="60"/>
      <c r="AJU2493" s="59"/>
      <c r="AJV2493" s="61"/>
      <c r="AJW2493" s="59"/>
      <c r="AJX2493" s="59"/>
      <c r="AJY2493" s="59"/>
      <c r="AJZ2493" s="60"/>
      <c r="AKA2493" s="60"/>
      <c r="AKB2493" s="60"/>
      <c r="AKC2493" s="59"/>
      <c r="AKD2493" s="61"/>
      <c r="AKE2493" s="59"/>
      <c r="AKF2493" s="59"/>
      <c r="AKG2493" s="59"/>
      <c r="AKH2493" s="60"/>
      <c r="AKI2493" s="60"/>
      <c r="AKJ2493" s="60"/>
      <c r="AKK2493" s="59"/>
      <c r="AKL2493" s="61"/>
      <c r="AKM2493" s="59"/>
      <c r="AKN2493" s="59"/>
      <c r="AKO2493" s="59"/>
      <c r="AKP2493" s="60"/>
      <c r="AKQ2493" s="60"/>
      <c r="AKR2493" s="60"/>
      <c r="AKS2493" s="59"/>
      <c r="AKT2493" s="61"/>
      <c r="AKU2493" s="59"/>
      <c r="AKV2493" s="59"/>
      <c r="AKW2493" s="59"/>
      <c r="AKX2493" s="60"/>
      <c r="AKY2493" s="60"/>
      <c r="AKZ2493" s="60"/>
      <c r="ALA2493" s="59"/>
      <c r="ALB2493" s="61"/>
      <c r="ALC2493" s="59"/>
      <c r="ALD2493" s="59"/>
      <c r="ALE2493" s="59"/>
      <c r="ALF2493" s="60"/>
      <c r="ALG2493" s="60"/>
      <c r="ALH2493" s="60"/>
      <c r="ALI2493" s="59"/>
      <c r="ALJ2493" s="61"/>
      <c r="ALK2493" s="59"/>
      <c r="ALL2493" s="59"/>
      <c r="ALM2493" s="59"/>
      <c r="ALN2493" s="60"/>
      <c r="ALO2493" s="60"/>
      <c r="ALP2493" s="60"/>
      <c r="ALQ2493" s="59"/>
      <c r="ALR2493" s="61"/>
      <c r="ALS2493" s="59"/>
      <c r="ALT2493" s="59"/>
      <c r="ALU2493" s="59"/>
      <c r="ALV2493" s="60"/>
      <c r="ALW2493" s="60"/>
      <c r="ALX2493" s="60"/>
      <c r="ALY2493" s="59"/>
      <c r="ALZ2493" s="61"/>
      <c r="AMA2493" s="59"/>
      <c r="AMB2493" s="59"/>
      <c r="AMC2493" s="59"/>
      <c r="AMD2493" s="60"/>
      <c r="AME2493" s="60"/>
      <c r="AMF2493" s="60"/>
      <c r="AMG2493" s="59"/>
      <c r="AMH2493" s="61"/>
      <c r="AMI2493" s="59"/>
      <c r="AMJ2493" s="59"/>
      <c r="AMK2493" s="59"/>
      <c r="AML2493" s="60"/>
      <c r="AMM2493" s="60"/>
      <c r="AMN2493" s="60"/>
      <c r="AMO2493" s="59"/>
      <c r="AMP2493" s="61"/>
      <c r="AMQ2493" s="59"/>
      <c r="AMR2493" s="59"/>
      <c r="AMS2493" s="59"/>
      <c r="AMT2493" s="60"/>
      <c r="AMU2493" s="60"/>
      <c r="AMV2493" s="60"/>
      <c r="AMW2493" s="59"/>
      <c r="AMX2493" s="61"/>
      <c r="AMY2493" s="59"/>
      <c r="AMZ2493" s="59"/>
      <c r="ANA2493" s="59"/>
      <c r="ANB2493" s="60"/>
      <c r="ANC2493" s="60"/>
      <c r="AND2493" s="60"/>
      <c r="ANE2493" s="59"/>
      <c r="ANF2493" s="61"/>
      <c r="ANG2493" s="59"/>
      <c r="ANH2493" s="59"/>
      <c r="ANI2493" s="59"/>
      <c r="ANJ2493" s="60"/>
      <c r="ANK2493" s="60"/>
      <c r="ANL2493" s="60"/>
      <c r="ANM2493" s="59"/>
      <c r="ANN2493" s="61"/>
      <c r="ANO2493" s="59"/>
      <c r="ANP2493" s="59"/>
      <c r="ANQ2493" s="59"/>
      <c r="ANR2493" s="60"/>
      <c r="ANS2493" s="60"/>
      <c r="ANT2493" s="60"/>
      <c r="ANU2493" s="59"/>
      <c r="ANV2493" s="61"/>
      <c r="ANW2493" s="59"/>
      <c r="ANX2493" s="59"/>
      <c r="ANY2493" s="59"/>
      <c r="ANZ2493" s="60"/>
      <c r="AOA2493" s="60"/>
      <c r="AOB2493" s="60"/>
      <c r="AOC2493" s="59"/>
      <c r="AOD2493" s="61"/>
      <c r="AOE2493" s="59"/>
      <c r="AOF2493" s="59"/>
      <c r="AOG2493" s="59"/>
      <c r="AOH2493" s="60"/>
      <c r="AOI2493" s="60"/>
      <c r="AOJ2493" s="60"/>
      <c r="AOK2493" s="59"/>
      <c r="AOL2493" s="61"/>
      <c r="AOM2493" s="59"/>
      <c r="AON2493" s="59"/>
      <c r="AOO2493" s="59"/>
      <c r="AOP2493" s="60"/>
      <c r="AOQ2493" s="60"/>
      <c r="AOR2493" s="60"/>
      <c r="AOS2493" s="59"/>
      <c r="AOT2493" s="61"/>
      <c r="AOU2493" s="59"/>
      <c r="AOV2493" s="59"/>
      <c r="AOW2493" s="59"/>
      <c r="AOX2493" s="60"/>
      <c r="AOY2493" s="60"/>
      <c r="AOZ2493" s="60"/>
      <c r="APA2493" s="59"/>
      <c r="APB2493" s="61"/>
      <c r="APC2493" s="59"/>
      <c r="APD2493" s="59"/>
      <c r="APE2493" s="59"/>
      <c r="APF2493" s="60"/>
      <c r="APG2493" s="60"/>
      <c r="APH2493" s="60"/>
      <c r="API2493" s="59"/>
      <c r="APJ2493" s="61"/>
      <c r="APK2493" s="59"/>
      <c r="APL2493" s="59"/>
      <c r="APM2493" s="59"/>
      <c r="APN2493" s="60"/>
      <c r="APO2493" s="60"/>
      <c r="APP2493" s="60"/>
      <c r="APQ2493" s="59"/>
      <c r="APR2493" s="61"/>
      <c r="APS2493" s="59"/>
      <c r="APT2493" s="59"/>
      <c r="APU2493" s="59"/>
      <c r="APV2493" s="60"/>
      <c r="APW2493" s="60"/>
      <c r="APX2493" s="60"/>
      <c r="APY2493" s="59"/>
      <c r="APZ2493" s="61"/>
      <c r="AQA2493" s="59"/>
      <c r="AQB2493" s="59"/>
      <c r="AQC2493" s="59"/>
      <c r="AQD2493" s="60"/>
      <c r="AQE2493" s="60"/>
      <c r="AQF2493" s="60"/>
      <c r="AQG2493" s="59"/>
      <c r="AQH2493" s="61"/>
      <c r="AQI2493" s="59"/>
      <c r="AQJ2493" s="59"/>
      <c r="AQK2493" s="59"/>
      <c r="AQL2493" s="60"/>
      <c r="AQM2493" s="60"/>
      <c r="AQN2493" s="60"/>
      <c r="AQO2493" s="59"/>
      <c r="AQP2493" s="61"/>
      <c r="AQQ2493" s="59"/>
      <c r="AQR2493" s="59"/>
      <c r="AQS2493" s="59"/>
      <c r="AQT2493" s="60"/>
      <c r="AQU2493" s="60"/>
      <c r="AQV2493" s="60"/>
      <c r="AQW2493" s="59"/>
      <c r="AQX2493" s="61"/>
      <c r="AQY2493" s="59"/>
      <c r="AQZ2493" s="59"/>
      <c r="ARA2493" s="59"/>
      <c r="ARB2493" s="60"/>
      <c r="ARC2493" s="60"/>
      <c r="ARD2493" s="60"/>
      <c r="ARE2493" s="59"/>
      <c r="ARF2493" s="61"/>
      <c r="ARG2493" s="59"/>
      <c r="ARH2493" s="59"/>
      <c r="ARI2493" s="59"/>
      <c r="ARJ2493" s="60"/>
      <c r="ARK2493" s="60"/>
      <c r="ARL2493" s="60"/>
      <c r="ARM2493" s="59"/>
      <c r="ARN2493" s="61"/>
      <c r="ARO2493" s="59"/>
      <c r="ARP2493" s="59"/>
      <c r="ARQ2493" s="59"/>
      <c r="ARR2493" s="60"/>
      <c r="ARS2493" s="60"/>
      <c r="ART2493" s="60"/>
      <c r="ARU2493" s="59"/>
      <c r="ARV2493" s="61"/>
      <c r="ARW2493" s="59"/>
      <c r="ARX2493" s="59"/>
      <c r="ARY2493" s="59"/>
      <c r="ARZ2493" s="60"/>
      <c r="ASA2493" s="60"/>
      <c r="ASB2493" s="60"/>
      <c r="ASC2493" s="59"/>
      <c r="ASD2493" s="61"/>
      <c r="ASE2493" s="59"/>
      <c r="ASF2493" s="59"/>
      <c r="ASG2493" s="59"/>
      <c r="ASH2493" s="60"/>
      <c r="ASI2493" s="60"/>
      <c r="ASJ2493" s="60"/>
      <c r="ASK2493" s="59"/>
      <c r="ASL2493" s="61"/>
      <c r="ASM2493" s="59"/>
      <c r="ASN2493" s="59"/>
      <c r="ASO2493" s="59"/>
      <c r="ASP2493" s="60"/>
      <c r="ASQ2493" s="60"/>
      <c r="ASR2493" s="60"/>
      <c r="ASS2493" s="59"/>
      <c r="AST2493" s="61"/>
      <c r="ASU2493" s="59"/>
      <c r="ASV2493" s="59"/>
      <c r="ASW2493" s="59"/>
      <c r="ASX2493" s="60"/>
      <c r="ASY2493" s="60"/>
      <c r="ASZ2493" s="60"/>
      <c r="ATA2493" s="59"/>
      <c r="ATB2493" s="61"/>
      <c r="ATC2493" s="59"/>
      <c r="ATD2493" s="59"/>
      <c r="ATE2493" s="59"/>
      <c r="ATF2493" s="60"/>
      <c r="ATG2493" s="60"/>
      <c r="ATH2493" s="60"/>
      <c r="ATI2493" s="59"/>
      <c r="ATJ2493" s="61"/>
      <c r="ATK2493" s="59"/>
      <c r="ATL2493" s="59"/>
      <c r="ATM2493" s="59"/>
      <c r="ATN2493" s="60"/>
      <c r="ATO2493" s="60"/>
      <c r="ATP2493" s="60"/>
      <c r="ATQ2493" s="59"/>
      <c r="ATR2493" s="61"/>
      <c r="ATS2493" s="59"/>
      <c r="ATT2493" s="59"/>
      <c r="ATU2493" s="59"/>
      <c r="ATV2493" s="60"/>
      <c r="ATW2493" s="60"/>
      <c r="ATX2493" s="60"/>
      <c r="ATY2493" s="59"/>
      <c r="ATZ2493" s="61"/>
      <c r="AUA2493" s="59"/>
      <c r="AUB2493" s="59"/>
      <c r="AUC2493" s="59"/>
      <c r="AUD2493" s="60"/>
      <c r="AUE2493" s="60"/>
      <c r="AUF2493" s="60"/>
      <c r="AUG2493" s="59"/>
      <c r="AUH2493" s="61"/>
      <c r="AUI2493" s="59"/>
      <c r="AUJ2493" s="59"/>
      <c r="AUK2493" s="59"/>
      <c r="AUL2493" s="60"/>
      <c r="AUM2493" s="60"/>
      <c r="AUN2493" s="60"/>
      <c r="AUO2493" s="59"/>
      <c r="AUP2493" s="61"/>
      <c r="AUQ2493" s="59"/>
      <c r="AUR2493" s="59"/>
      <c r="AUS2493" s="59"/>
      <c r="AUT2493" s="60"/>
      <c r="AUU2493" s="60"/>
      <c r="AUV2493" s="60"/>
      <c r="AUW2493" s="59"/>
      <c r="AUX2493" s="61"/>
      <c r="AUY2493" s="59"/>
      <c r="AUZ2493" s="59"/>
      <c r="AVA2493" s="59"/>
      <c r="AVB2493" s="60"/>
      <c r="AVC2493" s="60"/>
      <c r="AVD2493" s="60"/>
      <c r="AVE2493" s="59"/>
      <c r="AVF2493" s="61"/>
      <c r="AVG2493" s="59"/>
      <c r="AVH2493" s="59"/>
      <c r="AVI2493" s="59"/>
      <c r="AVJ2493" s="60"/>
      <c r="AVK2493" s="60"/>
      <c r="AVL2493" s="60"/>
      <c r="AVM2493" s="59"/>
      <c r="AVN2493" s="61"/>
      <c r="AVO2493" s="59"/>
      <c r="AVP2493" s="59"/>
      <c r="AVQ2493" s="59"/>
      <c r="AVR2493" s="60"/>
      <c r="AVS2493" s="60"/>
      <c r="AVT2493" s="60"/>
      <c r="AVU2493" s="59"/>
      <c r="AVV2493" s="61"/>
      <c r="AVW2493" s="59"/>
      <c r="AVX2493" s="59"/>
      <c r="AVY2493" s="59"/>
      <c r="AVZ2493" s="60"/>
      <c r="AWA2493" s="60"/>
      <c r="AWB2493" s="60"/>
      <c r="AWC2493" s="59"/>
      <c r="AWD2493" s="61"/>
      <c r="AWE2493" s="59"/>
      <c r="AWF2493" s="59"/>
      <c r="AWG2493" s="59"/>
      <c r="AWH2493" s="60"/>
      <c r="AWI2493" s="60"/>
      <c r="AWJ2493" s="60"/>
      <c r="AWK2493" s="59"/>
      <c r="AWL2493" s="61"/>
      <c r="AWM2493" s="59"/>
      <c r="AWN2493" s="59"/>
      <c r="AWO2493" s="59"/>
      <c r="AWP2493" s="60"/>
      <c r="AWQ2493" s="60"/>
      <c r="AWR2493" s="60"/>
      <c r="AWS2493" s="59"/>
      <c r="AWT2493" s="61"/>
      <c r="AWU2493" s="59"/>
      <c r="AWV2493" s="59"/>
      <c r="AWW2493" s="59"/>
      <c r="AWX2493" s="60"/>
      <c r="AWY2493" s="60"/>
      <c r="AWZ2493" s="60"/>
      <c r="AXA2493" s="59"/>
      <c r="AXB2493" s="61"/>
      <c r="AXC2493" s="59"/>
      <c r="AXD2493" s="59"/>
      <c r="AXE2493" s="59"/>
      <c r="AXF2493" s="60"/>
      <c r="AXG2493" s="60"/>
      <c r="AXH2493" s="60"/>
      <c r="AXI2493" s="59"/>
      <c r="AXJ2493" s="61"/>
      <c r="AXK2493" s="59"/>
      <c r="AXL2493" s="59"/>
      <c r="AXM2493" s="59"/>
      <c r="AXN2493" s="60"/>
      <c r="AXO2493" s="60"/>
      <c r="AXP2493" s="60"/>
      <c r="AXQ2493" s="59"/>
      <c r="AXR2493" s="61"/>
      <c r="AXS2493" s="59"/>
      <c r="AXT2493" s="59"/>
      <c r="AXU2493" s="59"/>
      <c r="AXV2493" s="60"/>
      <c r="AXW2493" s="60"/>
      <c r="AXX2493" s="60"/>
      <c r="AXY2493" s="59"/>
      <c r="AXZ2493" s="61"/>
      <c r="AYA2493" s="59"/>
      <c r="AYB2493" s="59"/>
      <c r="AYC2493" s="59"/>
      <c r="AYD2493" s="60"/>
      <c r="AYE2493" s="60"/>
      <c r="AYF2493" s="60"/>
      <c r="AYG2493" s="59"/>
      <c r="AYH2493" s="61"/>
      <c r="AYI2493" s="59"/>
      <c r="AYJ2493" s="59"/>
      <c r="AYK2493" s="59"/>
      <c r="AYL2493" s="60"/>
      <c r="AYM2493" s="60"/>
      <c r="AYN2493" s="60"/>
      <c r="AYO2493" s="59"/>
      <c r="AYP2493" s="61"/>
      <c r="AYQ2493" s="59"/>
      <c r="AYR2493" s="59"/>
      <c r="AYS2493" s="59"/>
      <c r="AYT2493" s="60"/>
      <c r="AYU2493" s="60"/>
      <c r="AYV2493" s="60"/>
      <c r="AYW2493" s="59"/>
      <c r="AYX2493" s="61"/>
      <c r="AYY2493" s="59"/>
      <c r="AYZ2493" s="59"/>
      <c r="AZA2493" s="59"/>
      <c r="AZB2493" s="60"/>
      <c r="AZC2493" s="60"/>
      <c r="AZD2493" s="60"/>
      <c r="AZE2493" s="59"/>
      <c r="AZF2493" s="61"/>
      <c r="AZG2493" s="59"/>
      <c r="AZH2493" s="59"/>
      <c r="AZI2493" s="59"/>
      <c r="AZJ2493" s="60"/>
      <c r="AZK2493" s="60"/>
      <c r="AZL2493" s="60"/>
      <c r="AZM2493" s="59"/>
      <c r="AZN2493" s="61"/>
      <c r="AZO2493" s="59"/>
      <c r="AZP2493" s="59"/>
      <c r="AZQ2493" s="59"/>
      <c r="AZR2493" s="60"/>
      <c r="AZS2493" s="60"/>
      <c r="AZT2493" s="60"/>
      <c r="AZU2493" s="59"/>
      <c r="AZV2493" s="61"/>
      <c r="AZW2493" s="59"/>
      <c r="AZX2493" s="59"/>
      <c r="AZY2493" s="59"/>
      <c r="AZZ2493" s="60"/>
      <c r="BAA2493" s="60"/>
      <c r="BAB2493" s="60"/>
      <c r="BAC2493" s="59"/>
      <c r="BAD2493" s="61"/>
      <c r="BAE2493" s="59"/>
      <c r="BAF2493" s="59"/>
      <c r="BAG2493" s="59"/>
      <c r="BAH2493" s="60"/>
      <c r="BAI2493" s="60"/>
      <c r="BAJ2493" s="60"/>
      <c r="BAK2493" s="59"/>
      <c r="BAL2493" s="61"/>
      <c r="BAM2493" s="59"/>
      <c r="BAN2493" s="59"/>
      <c r="BAO2493" s="59"/>
      <c r="BAP2493" s="60"/>
      <c r="BAQ2493" s="60"/>
      <c r="BAR2493" s="60"/>
      <c r="BAS2493" s="59"/>
      <c r="BAT2493" s="61"/>
      <c r="BAU2493" s="59"/>
      <c r="BAV2493" s="59"/>
      <c r="BAW2493" s="59"/>
      <c r="BAX2493" s="60"/>
      <c r="BAY2493" s="60"/>
      <c r="BAZ2493" s="60"/>
      <c r="BBA2493" s="59"/>
      <c r="BBB2493" s="61"/>
      <c r="BBC2493" s="59"/>
      <c r="BBD2493" s="59"/>
      <c r="BBE2493" s="59"/>
      <c r="BBF2493" s="60"/>
      <c r="BBG2493" s="60"/>
      <c r="BBH2493" s="60"/>
      <c r="BBI2493" s="59"/>
      <c r="BBJ2493" s="61"/>
      <c r="BBK2493" s="59"/>
      <c r="BBL2493" s="59"/>
      <c r="BBM2493" s="59"/>
      <c r="BBN2493" s="60"/>
      <c r="BBO2493" s="60"/>
      <c r="BBP2493" s="60"/>
      <c r="BBQ2493" s="59"/>
      <c r="BBR2493" s="61"/>
      <c r="BBS2493" s="59"/>
      <c r="BBT2493" s="59"/>
      <c r="BBU2493" s="59"/>
      <c r="BBV2493" s="60"/>
      <c r="BBW2493" s="60"/>
      <c r="BBX2493" s="60"/>
      <c r="BBY2493" s="59"/>
      <c r="BBZ2493" s="61"/>
      <c r="BCA2493" s="59"/>
      <c r="BCB2493" s="59"/>
      <c r="BCC2493" s="59"/>
      <c r="BCD2493" s="60"/>
      <c r="BCE2493" s="60"/>
      <c r="BCF2493" s="60"/>
      <c r="BCG2493" s="59"/>
      <c r="BCH2493" s="61"/>
      <c r="BCI2493" s="59"/>
      <c r="BCJ2493" s="59"/>
      <c r="BCK2493" s="59"/>
      <c r="BCL2493" s="60"/>
      <c r="BCM2493" s="60"/>
      <c r="BCN2493" s="60"/>
      <c r="BCO2493" s="59"/>
      <c r="BCP2493" s="61"/>
      <c r="BCQ2493" s="59"/>
      <c r="BCR2493" s="59"/>
      <c r="BCS2493" s="59"/>
      <c r="BCT2493" s="60"/>
      <c r="BCU2493" s="60"/>
      <c r="BCV2493" s="60"/>
      <c r="BCW2493" s="59"/>
      <c r="BCX2493" s="61"/>
      <c r="BCY2493" s="59"/>
      <c r="BCZ2493" s="59"/>
      <c r="BDA2493" s="59"/>
      <c r="BDB2493" s="60"/>
      <c r="BDC2493" s="60"/>
      <c r="BDD2493" s="60"/>
      <c r="BDE2493" s="59"/>
      <c r="BDF2493" s="61"/>
      <c r="BDG2493" s="59"/>
      <c r="BDH2493" s="59"/>
      <c r="BDI2493" s="59"/>
      <c r="BDJ2493" s="60"/>
      <c r="BDK2493" s="60"/>
      <c r="BDL2493" s="60"/>
      <c r="BDM2493" s="59"/>
      <c r="BDN2493" s="61"/>
      <c r="BDO2493" s="59"/>
      <c r="BDP2493" s="59"/>
      <c r="BDQ2493" s="59"/>
      <c r="BDR2493" s="60"/>
      <c r="BDS2493" s="60"/>
      <c r="BDT2493" s="60"/>
      <c r="BDU2493" s="59"/>
      <c r="BDV2493" s="61"/>
      <c r="BDW2493" s="59"/>
      <c r="BDX2493" s="59"/>
      <c r="BDY2493" s="59"/>
      <c r="BDZ2493" s="60"/>
      <c r="BEA2493" s="60"/>
      <c r="BEB2493" s="60"/>
      <c r="BEC2493" s="59"/>
      <c r="BED2493" s="61"/>
      <c r="BEE2493" s="59"/>
      <c r="BEF2493" s="59"/>
      <c r="BEG2493" s="59"/>
      <c r="BEH2493" s="60"/>
      <c r="BEI2493" s="60"/>
      <c r="BEJ2493" s="60"/>
      <c r="BEK2493" s="59"/>
      <c r="BEL2493" s="61"/>
      <c r="BEM2493" s="59"/>
      <c r="BEN2493" s="59"/>
      <c r="BEO2493" s="59"/>
      <c r="BEP2493" s="60"/>
      <c r="BEQ2493" s="60"/>
      <c r="BER2493" s="60"/>
      <c r="BES2493" s="59"/>
      <c r="BET2493" s="61"/>
      <c r="BEU2493" s="59"/>
      <c r="BEV2493" s="59"/>
      <c r="BEW2493" s="59"/>
      <c r="BEX2493" s="60"/>
      <c r="BEY2493" s="60"/>
      <c r="BEZ2493" s="60"/>
      <c r="BFA2493" s="59"/>
      <c r="BFB2493" s="61"/>
      <c r="BFC2493" s="59"/>
      <c r="BFD2493" s="59"/>
      <c r="BFE2493" s="59"/>
      <c r="BFF2493" s="60"/>
      <c r="BFG2493" s="60"/>
      <c r="BFH2493" s="60"/>
      <c r="BFI2493" s="59"/>
      <c r="BFJ2493" s="61"/>
      <c r="BFK2493" s="59"/>
      <c r="BFL2493" s="59"/>
      <c r="BFM2493" s="59"/>
      <c r="BFN2493" s="60"/>
      <c r="BFO2493" s="60"/>
      <c r="BFP2493" s="60"/>
      <c r="BFQ2493" s="59"/>
      <c r="BFR2493" s="61"/>
      <c r="BFS2493" s="59"/>
      <c r="BFT2493" s="59"/>
      <c r="BFU2493" s="59"/>
      <c r="BFV2493" s="60"/>
      <c r="BFW2493" s="60"/>
      <c r="BFX2493" s="60"/>
      <c r="BFY2493" s="59"/>
      <c r="BFZ2493" s="61"/>
      <c r="BGA2493" s="59"/>
      <c r="BGB2493" s="59"/>
      <c r="BGC2493" s="59"/>
      <c r="BGD2493" s="60"/>
      <c r="BGE2493" s="60"/>
      <c r="BGF2493" s="60"/>
      <c r="BGG2493" s="59"/>
      <c r="BGH2493" s="61"/>
      <c r="BGI2493" s="59"/>
      <c r="BGJ2493" s="59"/>
      <c r="BGK2493" s="59"/>
      <c r="BGL2493" s="60"/>
      <c r="BGM2493" s="60"/>
      <c r="BGN2493" s="60"/>
      <c r="BGO2493" s="59"/>
      <c r="BGP2493" s="61"/>
      <c r="BGQ2493" s="59"/>
      <c r="BGR2493" s="59"/>
      <c r="BGS2493" s="59"/>
      <c r="BGT2493" s="60"/>
      <c r="BGU2493" s="60"/>
      <c r="BGV2493" s="60"/>
      <c r="BGW2493" s="59"/>
      <c r="BGX2493" s="61"/>
      <c r="BGY2493" s="59"/>
      <c r="BGZ2493" s="59"/>
      <c r="BHA2493" s="59"/>
      <c r="BHB2493" s="60"/>
      <c r="BHC2493" s="60"/>
      <c r="BHD2493" s="60"/>
      <c r="BHE2493" s="59"/>
      <c r="BHF2493" s="61"/>
      <c r="BHG2493" s="59"/>
      <c r="BHH2493" s="59"/>
      <c r="BHI2493" s="59"/>
      <c r="BHJ2493" s="60"/>
      <c r="BHK2493" s="60"/>
      <c r="BHL2493" s="60"/>
      <c r="BHM2493" s="59"/>
      <c r="BHN2493" s="61"/>
      <c r="BHO2493" s="59"/>
      <c r="BHP2493" s="59"/>
      <c r="BHQ2493" s="59"/>
      <c r="BHR2493" s="60"/>
      <c r="BHS2493" s="60"/>
      <c r="BHT2493" s="60"/>
      <c r="BHU2493" s="59"/>
      <c r="BHV2493" s="61"/>
      <c r="BHW2493" s="59"/>
      <c r="BHX2493" s="59"/>
      <c r="BHY2493" s="59"/>
      <c r="BHZ2493" s="60"/>
      <c r="BIA2493" s="60"/>
      <c r="BIB2493" s="60"/>
      <c r="BIC2493" s="59"/>
      <c r="BID2493" s="61"/>
      <c r="BIE2493" s="59"/>
      <c r="BIF2493" s="59"/>
      <c r="BIG2493" s="59"/>
      <c r="BIH2493" s="60"/>
      <c r="BII2493" s="60"/>
      <c r="BIJ2493" s="60"/>
      <c r="BIK2493" s="59"/>
      <c r="BIL2493" s="61"/>
      <c r="BIM2493" s="59"/>
      <c r="BIN2493" s="59"/>
      <c r="BIO2493" s="59"/>
      <c r="BIP2493" s="60"/>
      <c r="BIQ2493" s="60"/>
      <c r="BIR2493" s="60"/>
      <c r="BIS2493" s="59"/>
      <c r="BIT2493" s="61"/>
      <c r="BIU2493" s="59"/>
      <c r="BIV2493" s="59"/>
      <c r="BIW2493" s="59"/>
      <c r="BIX2493" s="60"/>
      <c r="BIY2493" s="60"/>
      <c r="BIZ2493" s="60"/>
      <c r="BJA2493" s="59"/>
      <c r="BJB2493" s="61"/>
      <c r="BJC2493" s="59"/>
      <c r="BJD2493" s="59"/>
      <c r="BJE2493" s="59"/>
      <c r="BJF2493" s="60"/>
      <c r="BJG2493" s="60"/>
      <c r="BJH2493" s="60"/>
      <c r="BJI2493" s="59"/>
      <c r="BJJ2493" s="61"/>
      <c r="BJK2493" s="59"/>
      <c r="BJL2493" s="59"/>
      <c r="BJM2493" s="59"/>
      <c r="BJN2493" s="60"/>
      <c r="BJO2493" s="60"/>
      <c r="BJP2493" s="60"/>
      <c r="BJQ2493" s="59"/>
      <c r="BJR2493" s="61"/>
      <c r="BJS2493" s="59"/>
      <c r="BJT2493" s="59"/>
      <c r="BJU2493" s="59"/>
      <c r="BJV2493" s="60"/>
      <c r="BJW2493" s="60"/>
      <c r="BJX2493" s="60"/>
      <c r="BJY2493" s="59"/>
      <c r="BJZ2493" s="61"/>
      <c r="BKA2493" s="59"/>
      <c r="BKB2493" s="59"/>
      <c r="BKC2493" s="59"/>
      <c r="BKD2493" s="60"/>
      <c r="BKE2493" s="60"/>
      <c r="BKF2493" s="60"/>
      <c r="BKG2493" s="59"/>
      <c r="BKH2493" s="61"/>
      <c r="BKI2493" s="59"/>
      <c r="BKJ2493" s="59"/>
      <c r="BKK2493" s="59"/>
      <c r="BKL2493" s="60"/>
      <c r="BKM2493" s="60"/>
      <c r="BKN2493" s="60"/>
      <c r="BKO2493" s="59"/>
      <c r="BKP2493" s="61"/>
      <c r="BKQ2493" s="59"/>
      <c r="BKR2493" s="59"/>
      <c r="BKS2493" s="59"/>
      <c r="BKT2493" s="60"/>
      <c r="BKU2493" s="60"/>
      <c r="BKV2493" s="60"/>
      <c r="BKW2493" s="59"/>
      <c r="BKX2493" s="61"/>
      <c r="BKY2493" s="59"/>
      <c r="BKZ2493" s="59"/>
      <c r="BLA2493" s="59"/>
      <c r="BLB2493" s="60"/>
      <c r="BLC2493" s="60"/>
      <c r="BLD2493" s="60"/>
      <c r="BLE2493" s="59"/>
      <c r="BLF2493" s="61"/>
      <c r="BLG2493" s="59"/>
      <c r="BLH2493" s="59"/>
      <c r="BLI2493" s="59"/>
      <c r="BLJ2493" s="60"/>
      <c r="BLK2493" s="60"/>
      <c r="BLL2493" s="60"/>
      <c r="BLM2493" s="59"/>
      <c r="BLN2493" s="61"/>
      <c r="BLO2493" s="59"/>
      <c r="BLP2493" s="59"/>
      <c r="BLQ2493" s="59"/>
      <c r="BLR2493" s="60"/>
      <c r="BLS2493" s="60"/>
      <c r="BLT2493" s="60"/>
      <c r="BLU2493" s="59"/>
      <c r="BLV2493" s="61"/>
      <c r="BLW2493" s="59"/>
      <c r="BLX2493" s="59"/>
      <c r="BLY2493" s="59"/>
      <c r="BLZ2493" s="60"/>
      <c r="BMA2493" s="60"/>
      <c r="BMB2493" s="60"/>
      <c r="BMC2493" s="59"/>
      <c r="BMD2493" s="61"/>
      <c r="BME2493" s="59"/>
      <c r="BMF2493" s="59"/>
      <c r="BMG2493" s="59"/>
      <c r="BMH2493" s="60"/>
      <c r="BMI2493" s="60"/>
      <c r="BMJ2493" s="60"/>
      <c r="BMK2493" s="59"/>
      <c r="BML2493" s="61"/>
      <c r="BMM2493" s="59"/>
      <c r="BMN2493" s="59"/>
      <c r="BMO2493" s="59"/>
      <c r="BMP2493" s="60"/>
      <c r="BMQ2493" s="60"/>
      <c r="BMR2493" s="60"/>
      <c r="BMS2493" s="59"/>
      <c r="BMT2493" s="61"/>
      <c r="BMU2493" s="59"/>
      <c r="BMV2493" s="59"/>
      <c r="BMW2493" s="59"/>
      <c r="BMX2493" s="60"/>
      <c r="BMY2493" s="60"/>
      <c r="BMZ2493" s="60"/>
      <c r="BNA2493" s="59"/>
      <c r="BNB2493" s="61"/>
      <c r="BNC2493" s="59"/>
      <c r="BND2493" s="59"/>
      <c r="BNE2493" s="59"/>
      <c r="BNF2493" s="60"/>
      <c r="BNG2493" s="60"/>
      <c r="BNH2493" s="60"/>
      <c r="BNI2493" s="59"/>
      <c r="BNJ2493" s="61"/>
      <c r="BNK2493" s="59"/>
      <c r="BNL2493" s="59"/>
      <c r="BNM2493" s="59"/>
      <c r="BNN2493" s="60"/>
      <c r="BNO2493" s="60"/>
      <c r="BNP2493" s="60"/>
      <c r="BNQ2493" s="59"/>
      <c r="BNR2493" s="61"/>
      <c r="BNS2493" s="59"/>
      <c r="BNT2493" s="59"/>
      <c r="BNU2493" s="59"/>
      <c r="BNV2493" s="60"/>
      <c r="BNW2493" s="60"/>
      <c r="BNX2493" s="60"/>
      <c r="BNY2493" s="59"/>
      <c r="BNZ2493" s="61"/>
      <c r="BOA2493" s="59"/>
      <c r="BOB2493" s="59"/>
      <c r="BOC2493" s="59"/>
      <c r="BOD2493" s="60"/>
      <c r="BOE2493" s="60"/>
      <c r="BOF2493" s="60"/>
      <c r="BOG2493" s="59"/>
      <c r="BOH2493" s="61"/>
      <c r="BOI2493" s="59"/>
      <c r="BOJ2493" s="59"/>
      <c r="BOK2493" s="59"/>
      <c r="BOL2493" s="60"/>
      <c r="BOM2493" s="60"/>
      <c r="BON2493" s="60"/>
      <c r="BOO2493" s="59"/>
      <c r="BOP2493" s="61"/>
      <c r="BOQ2493" s="59"/>
      <c r="BOR2493" s="59"/>
      <c r="BOS2493" s="59"/>
      <c r="BOT2493" s="60"/>
      <c r="BOU2493" s="60"/>
      <c r="BOV2493" s="60"/>
      <c r="BOW2493" s="59"/>
      <c r="BOX2493" s="61"/>
      <c r="BOY2493" s="59"/>
      <c r="BOZ2493" s="59"/>
      <c r="BPA2493" s="59"/>
      <c r="BPB2493" s="60"/>
      <c r="BPC2493" s="60"/>
      <c r="BPD2493" s="60"/>
      <c r="BPE2493" s="59"/>
      <c r="BPF2493" s="61"/>
      <c r="BPG2493" s="59"/>
      <c r="BPH2493" s="59"/>
      <c r="BPI2493" s="59"/>
      <c r="BPJ2493" s="60"/>
      <c r="BPK2493" s="60"/>
      <c r="BPL2493" s="60"/>
      <c r="BPM2493" s="59"/>
      <c r="BPN2493" s="61"/>
      <c r="BPO2493" s="59"/>
      <c r="BPP2493" s="59"/>
      <c r="BPQ2493" s="59"/>
      <c r="BPR2493" s="60"/>
      <c r="BPS2493" s="60"/>
      <c r="BPT2493" s="60"/>
      <c r="BPU2493" s="59"/>
      <c r="BPV2493" s="61"/>
      <c r="BPW2493" s="59"/>
      <c r="BPX2493" s="59"/>
      <c r="BPY2493" s="59"/>
      <c r="BPZ2493" s="60"/>
      <c r="BQA2493" s="60"/>
      <c r="BQB2493" s="60"/>
      <c r="BQC2493" s="59"/>
      <c r="BQD2493" s="61"/>
      <c r="BQE2493" s="59"/>
      <c r="BQF2493" s="59"/>
      <c r="BQG2493" s="59"/>
      <c r="BQH2493" s="60"/>
      <c r="BQI2493" s="60"/>
      <c r="BQJ2493" s="60"/>
      <c r="BQK2493" s="59"/>
      <c r="BQL2493" s="61"/>
      <c r="BQM2493" s="59"/>
      <c r="BQN2493" s="59"/>
      <c r="BQO2493" s="59"/>
      <c r="BQP2493" s="60"/>
      <c r="BQQ2493" s="60"/>
      <c r="BQR2493" s="60"/>
      <c r="BQS2493" s="59"/>
      <c r="BQT2493" s="61"/>
      <c r="BQU2493" s="59"/>
      <c r="BQV2493" s="59"/>
      <c r="BQW2493" s="59"/>
      <c r="BQX2493" s="60"/>
      <c r="BQY2493" s="60"/>
      <c r="BQZ2493" s="60"/>
      <c r="BRA2493" s="59"/>
      <c r="BRB2493" s="61"/>
      <c r="BRC2493" s="59"/>
      <c r="BRD2493" s="59"/>
      <c r="BRE2493" s="59"/>
      <c r="BRF2493" s="60"/>
      <c r="BRG2493" s="60"/>
      <c r="BRH2493" s="60"/>
      <c r="BRI2493" s="59"/>
      <c r="BRJ2493" s="61"/>
      <c r="BRK2493" s="59"/>
      <c r="BRL2493" s="59"/>
      <c r="BRM2493" s="59"/>
      <c r="BRN2493" s="60"/>
      <c r="BRO2493" s="60"/>
      <c r="BRP2493" s="60"/>
      <c r="BRQ2493" s="59"/>
      <c r="BRR2493" s="61"/>
      <c r="BRS2493" s="59"/>
      <c r="BRT2493" s="59"/>
      <c r="BRU2493" s="59"/>
      <c r="BRV2493" s="60"/>
      <c r="BRW2493" s="60"/>
      <c r="BRX2493" s="60"/>
      <c r="BRY2493" s="59"/>
      <c r="BRZ2493" s="61"/>
      <c r="BSA2493" s="59"/>
      <c r="BSB2493" s="59"/>
      <c r="BSC2493" s="59"/>
      <c r="BSD2493" s="60"/>
      <c r="BSE2493" s="60"/>
      <c r="BSF2493" s="60"/>
      <c r="BSG2493" s="59"/>
      <c r="BSH2493" s="61"/>
      <c r="BSI2493" s="59"/>
      <c r="BSJ2493" s="59"/>
      <c r="BSK2493" s="59"/>
      <c r="BSL2493" s="60"/>
      <c r="BSM2493" s="60"/>
      <c r="BSN2493" s="60"/>
      <c r="BSO2493" s="59"/>
      <c r="BSP2493" s="61"/>
      <c r="BSQ2493" s="59"/>
      <c r="BSR2493" s="59"/>
      <c r="BSS2493" s="59"/>
      <c r="BST2493" s="60"/>
      <c r="BSU2493" s="60"/>
      <c r="BSV2493" s="60"/>
      <c r="BSW2493" s="59"/>
      <c r="BSX2493" s="61"/>
      <c r="BSY2493" s="59"/>
      <c r="BSZ2493" s="59"/>
      <c r="BTA2493" s="59"/>
      <c r="BTB2493" s="60"/>
      <c r="BTC2493" s="60"/>
      <c r="BTD2493" s="60"/>
      <c r="BTE2493" s="59"/>
      <c r="BTF2493" s="61"/>
      <c r="BTG2493" s="59"/>
      <c r="BTH2493" s="59"/>
      <c r="BTI2493" s="59"/>
      <c r="BTJ2493" s="60"/>
      <c r="BTK2493" s="60"/>
      <c r="BTL2493" s="60"/>
      <c r="BTM2493" s="59"/>
      <c r="BTN2493" s="61"/>
      <c r="BTO2493" s="59"/>
      <c r="BTP2493" s="59"/>
      <c r="BTQ2493" s="59"/>
      <c r="BTR2493" s="60"/>
      <c r="BTS2493" s="60"/>
      <c r="BTT2493" s="60"/>
      <c r="BTU2493" s="59"/>
      <c r="BTV2493" s="61"/>
      <c r="BTW2493" s="59"/>
      <c r="BTX2493" s="59"/>
      <c r="BTY2493" s="59"/>
      <c r="BTZ2493" s="60"/>
      <c r="BUA2493" s="60"/>
      <c r="BUB2493" s="60"/>
      <c r="BUC2493" s="59"/>
      <c r="BUD2493" s="61"/>
      <c r="BUE2493" s="59"/>
      <c r="BUF2493" s="59"/>
      <c r="BUG2493" s="59"/>
      <c r="BUH2493" s="60"/>
      <c r="BUI2493" s="60"/>
      <c r="BUJ2493" s="60"/>
      <c r="BUK2493" s="59"/>
      <c r="BUL2493" s="61"/>
      <c r="BUM2493" s="59"/>
      <c r="BUN2493" s="59"/>
      <c r="BUO2493" s="59"/>
      <c r="BUP2493" s="60"/>
      <c r="BUQ2493" s="60"/>
      <c r="BUR2493" s="60"/>
      <c r="BUS2493" s="59"/>
      <c r="BUT2493" s="61"/>
      <c r="BUU2493" s="59"/>
      <c r="BUV2493" s="59"/>
      <c r="BUW2493" s="59"/>
      <c r="BUX2493" s="60"/>
      <c r="BUY2493" s="60"/>
      <c r="BUZ2493" s="60"/>
      <c r="BVA2493" s="59"/>
      <c r="BVB2493" s="61"/>
      <c r="BVC2493" s="59"/>
      <c r="BVD2493" s="59"/>
      <c r="BVE2493" s="59"/>
      <c r="BVF2493" s="60"/>
      <c r="BVG2493" s="60"/>
      <c r="BVH2493" s="60"/>
      <c r="BVI2493" s="59"/>
      <c r="BVJ2493" s="61"/>
      <c r="BVK2493" s="59"/>
      <c r="BVL2493" s="59"/>
      <c r="BVM2493" s="59"/>
      <c r="BVN2493" s="60"/>
      <c r="BVO2493" s="60"/>
      <c r="BVP2493" s="60"/>
      <c r="BVQ2493" s="59"/>
      <c r="BVR2493" s="61"/>
      <c r="BVS2493" s="59"/>
      <c r="BVT2493" s="59"/>
      <c r="BVU2493" s="59"/>
      <c r="BVV2493" s="60"/>
      <c r="BVW2493" s="60"/>
      <c r="BVX2493" s="60"/>
      <c r="BVY2493" s="59"/>
      <c r="BVZ2493" s="61"/>
      <c r="BWA2493" s="59"/>
      <c r="BWB2493" s="59"/>
      <c r="BWC2493" s="59"/>
      <c r="BWD2493" s="60"/>
      <c r="BWE2493" s="60"/>
      <c r="BWF2493" s="60"/>
      <c r="BWG2493" s="59"/>
      <c r="BWH2493" s="61"/>
      <c r="BWI2493" s="59"/>
      <c r="BWJ2493" s="59"/>
      <c r="BWK2493" s="59"/>
      <c r="BWL2493" s="60"/>
      <c r="BWM2493" s="60"/>
      <c r="BWN2493" s="60"/>
      <c r="BWO2493" s="59"/>
      <c r="BWP2493" s="61"/>
      <c r="BWQ2493" s="59"/>
      <c r="BWR2493" s="59"/>
      <c r="BWS2493" s="59"/>
      <c r="BWT2493" s="60"/>
      <c r="BWU2493" s="60"/>
      <c r="BWV2493" s="60"/>
      <c r="BWW2493" s="59"/>
      <c r="BWX2493" s="61"/>
      <c r="BWY2493" s="59"/>
      <c r="BWZ2493" s="59"/>
      <c r="BXA2493" s="59"/>
      <c r="BXB2493" s="60"/>
      <c r="BXC2493" s="60"/>
      <c r="BXD2493" s="60"/>
      <c r="BXE2493" s="59"/>
      <c r="BXF2493" s="61"/>
      <c r="BXG2493" s="59"/>
      <c r="BXH2493" s="59"/>
      <c r="BXI2493" s="59"/>
      <c r="BXJ2493" s="60"/>
      <c r="BXK2493" s="60"/>
      <c r="BXL2493" s="60"/>
      <c r="BXM2493" s="59"/>
      <c r="BXN2493" s="61"/>
      <c r="BXO2493" s="59"/>
      <c r="BXP2493" s="59"/>
      <c r="BXQ2493" s="59"/>
      <c r="BXR2493" s="60"/>
      <c r="BXS2493" s="60"/>
      <c r="BXT2493" s="60"/>
      <c r="BXU2493" s="59"/>
      <c r="BXV2493" s="61"/>
      <c r="BXW2493" s="59"/>
      <c r="BXX2493" s="59"/>
      <c r="BXY2493" s="59"/>
      <c r="BXZ2493" s="60"/>
      <c r="BYA2493" s="60"/>
      <c r="BYB2493" s="60"/>
      <c r="BYC2493" s="59"/>
      <c r="BYD2493" s="61"/>
      <c r="BYE2493" s="59"/>
      <c r="BYF2493" s="59"/>
      <c r="BYG2493" s="59"/>
      <c r="BYH2493" s="60"/>
      <c r="BYI2493" s="60"/>
      <c r="BYJ2493" s="60"/>
      <c r="BYK2493" s="59"/>
      <c r="BYL2493" s="61"/>
      <c r="BYM2493" s="59"/>
      <c r="BYN2493" s="59"/>
      <c r="BYO2493" s="59"/>
      <c r="BYP2493" s="60"/>
      <c r="BYQ2493" s="60"/>
      <c r="BYR2493" s="60"/>
      <c r="BYS2493" s="59"/>
      <c r="BYT2493" s="61"/>
      <c r="BYU2493" s="59"/>
      <c r="BYV2493" s="59"/>
      <c r="BYW2493" s="59"/>
      <c r="BYX2493" s="60"/>
      <c r="BYY2493" s="60"/>
      <c r="BYZ2493" s="60"/>
      <c r="BZA2493" s="59"/>
      <c r="BZB2493" s="61"/>
      <c r="BZC2493" s="59"/>
      <c r="BZD2493" s="59"/>
      <c r="BZE2493" s="59"/>
      <c r="BZF2493" s="60"/>
      <c r="BZG2493" s="60"/>
      <c r="BZH2493" s="60"/>
      <c r="BZI2493" s="59"/>
      <c r="BZJ2493" s="61"/>
      <c r="BZK2493" s="59"/>
      <c r="BZL2493" s="59"/>
      <c r="BZM2493" s="59"/>
      <c r="BZN2493" s="60"/>
      <c r="BZO2493" s="60"/>
      <c r="BZP2493" s="60"/>
      <c r="BZQ2493" s="59"/>
      <c r="BZR2493" s="61"/>
      <c r="BZS2493" s="59"/>
      <c r="BZT2493" s="59"/>
      <c r="BZU2493" s="59"/>
      <c r="BZV2493" s="60"/>
      <c r="BZW2493" s="60"/>
      <c r="BZX2493" s="60"/>
      <c r="BZY2493" s="59"/>
      <c r="BZZ2493" s="61"/>
      <c r="CAA2493" s="59"/>
      <c r="CAB2493" s="59"/>
      <c r="CAC2493" s="59"/>
      <c r="CAD2493" s="60"/>
      <c r="CAE2493" s="60"/>
      <c r="CAF2493" s="60"/>
      <c r="CAG2493" s="59"/>
      <c r="CAH2493" s="61"/>
      <c r="CAI2493" s="59"/>
      <c r="CAJ2493" s="59"/>
      <c r="CAK2493" s="59"/>
      <c r="CAL2493" s="60"/>
      <c r="CAM2493" s="60"/>
      <c r="CAN2493" s="60"/>
      <c r="CAO2493" s="59"/>
      <c r="CAP2493" s="61"/>
      <c r="CAQ2493" s="59"/>
      <c r="CAR2493" s="59"/>
      <c r="CAS2493" s="59"/>
      <c r="CAT2493" s="60"/>
      <c r="CAU2493" s="60"/>
      <c r="CAV2493" s="60"/>
      <c r="CAW2493" s="59"/>
      <c r="CAX2493" s="61"/>
      <c r="CAY2493" s="59"/>
      <c r="CAZ2493" s="59"/>
      <c r="CBA2493" s="59"/>
      <c r="CBB2493" s="60"/>
      <c r="CBC2493" s="60"/>
      <c r="CBD2493" s="60"/>
      <c r="CBE2493" s="59"/>
      <c r="CBF2493" s="61"/>
      <c r="CBG2493" s="59"/>
      <c r="CBH2493" s="59"/>
      <c r="CBI2493" s="59"/>
      <c r="CBJ2493" s="60"/>
      <c r="CBK2493" s="60"/>
      <c r="CBL2493" s="60"/>
      <c r="CBM2493" s="59"/>
      <c r="CBN2493" s="61"/>
      <c r="CBO2493" s="59"/>
      <c r="CBP2493" s="59"/>
      <c r="CBQ2493" s="59"/>
      <c r="CBR2493" s="60"/>
      <c r="CBS2493" s="60"/>
      <c r="CBT2493" s="60"/>
      <c r="CBU2493" s="59"/>
      <c r="CBV2493" s="61"/>
      <c r="CBW2493" s="59"/>
      <c r="CBX2493" s="59"/>
      <c r="CBY2493" s="59"/>
      <c r="CBZ2493" s="60"/>
      <c r="CCA2493" s="60"/>
      <c r="CCB2493" s="60"/>
      <c r="CCC2493" s="59"/>
      <c r="CCD2493" s="61"/>
      <c r="CCE2493" s="59"/>
      <c r="CCF2493" s="59"/>
      <c r="CCG2493" s="59"/>
      <c r="CCH2493" s="60"/>
      <c r="CCI2493" s="60"/>
      <c r="CCJ2493" s="60"/>
      <c r="CCK2493" s="59"/>
      <c r="CCL2493" s="61"/>
      <c r="CCM2493" s="59"/>
      <c r="CCN2493" s="59"/>
      <c r="CCO2493" s="59"/>
      <c r="CCP2493" s="60"/>
      <c r="CCQ2493" s="60"/>
      <c r="CCR2493" s="60"/>
      <c r="CCS2493" s="59"/>
      <c r="CCT2493" s="61"/>
      <c r="CCU2493" s="59"/>
      <c r="CCV2493" s="59"/>
      <c r="CCW2493" s="59"/>
      <c r="CCX2493" s="60"/>
      <c r="CCY2493" s="60"/>
      <c r="CCZ2493" s="60"/>
      <c r="CDA2493" s="59"/>
      <c r="CDB2493" s="61"/>
      <c r="CDC2493" s="59"/>
      <c r="CDD2493" s="59"/>
      <c r="CDE2493" s="59"/>
      <c r="CDF2493" s="60"/>
      <c r="CDG2493" s="60"/>
      <c r="CDH2493" s="60"/>
      <c r="CDI2493" s="59"/>
      <c r="CDJ2493" s="61"/>
      <c r="CDK2493" s="59"/>
      <c r="CDL2493" s="59"/>
      <c r="CDM2493" s="59"/>
      <c r="CDN2493" s="60"/>
      <c r="CDO2493" s="60"/>
      <c r="CDP2493" s="60"/>
      <c r="CDQ2493" s="59"/>
      <c r="CDR2493" s="61"/>
      <c r="CDS2493" s="59"/>
      <c r="CDT2493" s="59"/>
      <c r="CDU2493" s="59"/>
      <c r="CDV2493" s="60"/>
      <c r="CDW2493" s="60"/>
      <c r="CDX2493" s="60"/>
      <c r="CDY2493" s="59"/>
      <c r="CDZ2493" s="61"/>
      <c r="CEA2493" s="59"/>
      <c r="CEB2493" s="59"/>
      <c r="CEC2493" s="59"/>
      <c r="CED2493" s="60"/>
      <c r="CEE2493" s="60"/>
      <c r="CEF2493" s="60"/>
      <c r="CEG2493" s="59"/>
      <c r="CEH2493" s="61"/>
      <c r="CEI2493" s="59"/>
      <c r="CEJ2493" s="59"/>
      <c r="CEK2493" s="59"/>
      <c r="CEL2493" s="60"/>
      <c r="CEM2493" s="60"/>
      <c r="CEN2493" s="60"/>
      <c r="CEO2493" s="59"/>
      <c r="CEP2493" s="61"/>
      <c r="CEQ2493" s="59"/>
      <c r="CER2493" s="59"/>
      <c r="CES2493" s="59"/>
      <c r="CET2493" s="60"/>
      <c r="CEU2493" s="60"/>
      <c r="CEV2493" s="60"/>
      <c r="CEW2493" s="59"/>
      <c r="CEX2493" s="61"/>
      <c r="CEY2493" s="59"/>
      <c r="CEZ2493" s="59"/>
      <c r="CFA2493" s="59"/>
      <c r="CFB2493" s="60"/>
      <c r="CFC2493" s="60"/>
      <c r="CFD2493" s="60"/>
      <c r="CFE2493" s="59"/>
      <c r="CFF2493" s="61"/>
      <c r="CFG2493" s="59"/>
      <c r="CFH2493" s="59"/>
      <c r="CFI2493" s="59"/>
      <c r="CFJ2493" s="60"/>
      <c r="CFK2493" s="60"/>
      <c r="CFL2493" s="60"/>
      <c r="CFM2493" s="59"/>
      <c r="CFN2493" s="61"/>
      <c r="CFO2493" s="59"/>
      <c r="CFP2493" s="59"/>
      <c r="CFQ2493" s="59"/>
      <c r="CFR2493" s="60"/>
      <c r="CFS2493" s="60"/>
      <c r="CFT2493" s="60"/>
      <c r="CFU2493" s="59"/>
      <c r="CFV2493" s="61"/>
      <c r="CFW2493" s="59"/>
      <c r="CFX2493" s="59"/>
      <c r="CFY2493" s="59"/>
      <c r="CFZ2493" s="60"/>
      <c r="CGA2493" s="60"/>
      <c r="CGB2493" s="60"/>
      <c r="CGC2493" s="59"/>
      <c r="CGD2493" s="61"/>
      <c r="CGE2493" s="59"/>
      <c r="CGF2493" s="59"/>
      <c r="CGG2493" s="59"/>
      <c r="CGH2493" s="60"/>
      <c r="CGI2493" s="60"/>
      <c r="CGJ2493" s="60"/>
      <c r="CGK2493" s="59"/>
      <c r="CGL2493" s="61"/>
      <c r="CGM2493" s="59"/>
      <c r="CGN2493" s="59"/>
      <c r="CGO2493" s="59"/>
      <c r="CGP2493" s="60"/>
      <c r="CGQ2493" s="60"/>
      <c r="CGR2493" s="60"/>
      <c r="CGS2493" s="59"/>
      <c r="CGT2493" s="61"/>
      <c r="CGU2493" s="59"/>
      <c r="CGV2493" s="59"/>
      <c r="CGW2493" s="59"/>
      <c r="CGX2493" s="60"/>
      <c r="CGY2493" s="60"/>
      <c r="CGZ2493" s="60"/>
      <c r="CHA2493" s="59"/>
      <c r="CHB2493" s="61"/>
      <c r="CHC2493" s="59"/>
      <c r="CHD2493" s="59"/>
      <c r="CHE2493" s="59"/>
      <c r="CHF2493" s="60"/>
      <c r="CHG2493" s="60"/>
      <c r="CHH2493" s="60"/>
      <c r="CHI2493" s="59"/>
      <c r="CHJ2493" s="61"/>
      <c r="CHK2493" s="59"/>
      <c r="CHL2493" s="59"/>
      <c r="CHM2493" s="59"/>
      <c r="CHN2493" s="60"/>
      <c r="CHO2493" s="60"/>
      <c r="CHP2493" s="60"/>
      <c r="CHQ2493" s="59"/>
      <c r="CHR2493" s="61"/>
      <c r="CHS2493" s="59"/>
      <c r="CHT2493" s="59"/>
      <c r="CHU2493" s="59"/>
      <c r="CHV2493" s="60"/>
      <c r="CHW2493" s="60"/>
      <c r="CHX2493" s="60"/>
      <c r="CHY2493" s="59"/>
      <c r="CHZ2493" s="61"/>
      <c r="CIA2493" s="59"/>
      <c r="CIB2493" s="59"/>
      <c r="CIC2493" s="59"/>
      <c r="CID2493" s="60"/>
      <c r="CIE2493" s="60"/>
      <c r="CIF2493" s="60"/>
      <c r="CIG2493" s="59"/>
      <c r="CIH2493" s="61"/>
      <c r="CII2493" s="59"/>
      <c r="CIJ2493" s="59"/>
      <c r="CIK2493" s="59"/>
      <c r="CIL2493" s="60"/>
      <c r="CIM2493" s="60"/>
      <c r="CIN2493" s="60"/>
      <c r="CIO2493" s="59"/>
      <c r="CIP2493" s="61"/>
      <c r="CIQ2493" s="59"/>
      <c r="CIR2493" s="59"/>
      <c r="CIS2493" s="59"/>
      <c r="CIT2493" s="60"/>
      <c r="CIU2493" s="60"/>
      <c r="CIV2493" s="60"/>
      <c r="CIW2493" s="59"/>
      <c r="CIX2493" s="61"/>
      <c r="CIY2493" s="59"/>
      <c r="CIZ2493" s="59"/>
      <c r="CJA2493" s="59"/>
      <c r="CJB2493" s="60"/>
      <c r="CJC2493" s="60"/>
      <c r="CJD2493" s="60"/>
      <c r="CJE2493" s="59"/>
      <c r="CJF2493" s="61"/>
      <c r="CJG2493" s="59"/>
      <c r="CJH2493" s="59"/>
      <c r="CJI2493" s="59"/>
      <c r="CJJ2493" s="60"/>
      <c r="CJK2493" s="60"/>
      <c r="CJL2493" s="60"/>
      <c r="CJM2493" s="59"/>
      <c r="CJN2493" s="61"/>
      <c r="CJO2493" s="59"/>
      <c r="CJP2493" s="59"/>
      <c r="CJQ2493" s="59"/>
      <c r="CJR2493" s="60"/>
      <c r="CJS2493" s="60"/>
      <c r="CJT2493" s="60"/>
      <c r="CJU2493" s="59"/>
      <c r="CJV2493" s="61"/>
      <c r="CJW2493" s="59"/>
      <c r="CJX2493" s="59"/>
      <c r="CJY2493" s="59"/>
      <c r="CJZ2493" s="60"/>
      <c r="CKA2493" s="60"/>
      <c r="CKB2493" s="60"/>
      <c r="CKC2493" s="59"/>
      <c r="CKD2493" s="61"/>
      <c r="CKE2493" s="59"/>
      <c r="CKF2493" s="59"/>
      <c r="CKG2493" s="59"/>
      <c r="CKH2493" s="60"/>
      <c r="CKI2493" s="60"/>
      <c r="CKJ2493" s="60"/>
      <c r="CKK2493" s="59"/>
      <c r="CKL2493" s="61"/>
      <c r="CKM2493" s="59"/>
      <c r="CKN2493" s="59"/>
      <c r="CKO2493" s="59"/>
      <c r="CKP2493" s="60"/>
      <c r="CKQ2493" s="60"/>
      <c r="CKR2493" s="60"/>
      <c r="CKS2493" s="59"/>
      <c r="CKT2493" s="61"/>
      <c r="CKU2493" s="59"/>
      <c r="CKV2493" s="59"/>
      <c r="CKW2493" s="59"/>
      <c r="CKX2493" s="60"/>
      <c r="CKY2493" s="60"/>
      <c r="CKZ2493" s="60"/>
      <c r="CLA2493" s="59"/>
      <c r="CLB2493" s="61"/>
      <c r="CLC2493" s="59"/>
      <c r="CLD2493" s="59"/>
      <c r="CLE2493" s="59"/>
      <c r="CLF2493" s="60"/>
      <c r="CLG2493" s="60"/>
      <c r="CLH2493" s="60"/>
      <c r="CLI2493" s="59"/>
      <c r="CLJ2493" s="61"/>
      <c r="CLK2493" s="59"/>
      <c r="CLL2493" s="59"/>
      <c r="CLM2493" s="59"/>
      <c r="CLN2493" s="60"/>
      <c r="CLO2493" s="60"/>
      <c r="CLP2493" s="60"/>
      <c r="CLQ2493" s="59"/>
      <c r="CLR2493" s="61"/>
      <c r="CLS2493" s="59"/>
      <c r="CLT2493" s="59"/>
      <c r="CLU2493" s="59"/>
      <c r="CLV2493" s="60"/>
      <c r="CLW2493" s="60"/>
      <c r="CLX2493" s="60"/>
      <c r="CLY2493" s="59"/>
      <c r="CLZ2493" s="61"/>
      <c r="CMA2493" s="59"/>
      <c r="CMB2493" s="59"/>
      <c r="CMC2493" s="59"/>
      <c r="CMD2493" s="60"/>
      <c r="CME2493" s="60"/>
      <c r="CMF2493" s="60"/>
      <c r="CMG2493" s="59"/>
      <c r="CMH2493" s="61"/>
      <c r="CMI2493" s="59"/>
      <c r="CMJ2493" s="59"/>
      <c r="CMK2493" s="59"/>
      <c r="CML2493" s="60"/>
      <c r="CMM2493" s="60"/>
      <c r="CMN2493" s="60"/>
      <c r="CMO2493" s="59"/>
      <c r="CMP2493" s="61"/>
      <c r="CMQ2493" s="59"/>
      <c r="CMR2493" s="59"/>
      <c r="CMS2493" s="59"/>
      <c r="CMT2493" s="60"/>
      <c r="CMU2493" s="60"/>
      <c r="CMV2493" s="60"/>
      <c r="CMW2493" s="59"/>
      <c r="CMX2493" s="61"/>
      <c r="CMY2493" s="59"/>
      <c r="CMZ2493" s="59"/>
      <c r="CNA2493" s="59"/>
      <c r="CNB2493" s="60"/>
      <c r="CNC2493" s="60"/>
      <c r="CND2493" s="60"/>
      <c r="CNE2493" s="59"/>
      <c r="CNF2493" s="61"/>
      <c r="CNG2493" s="59"/>
      <c r="CNH2493" s="59"/>
      <c r="CNI2493" s="59"/>
      <c r="CNJ2493" s="60"/>
      <c r="CNK2493" s="60"/>
      <c r="CNL2493" s="60"/>
      <c r="CNM2493" s="59"/>
      <c r="CNN2493" s="61"/>
      <c r="CNO2493" s="59"/>
      <c r="CNP2493" s="59"/>
      <c r="CNQ2493" s="59"/>
      <c r="CNR2493" s="60"/>
      <c r="CNS2493" s="60"/>
      <c r="CNT2493" s="60"/>
      <c r="CNU2493" s="59"/>
      <c r="CNV2493" s="61"/>
      <c r="CNW2493" s="59"/>
      <c r="CNX2493" s="59"/>
      <c r="CNY2493" s="59"/>
      <c r="CNZ2493" s="60"/>
      <c r="COA2493" s="60"/>
      <c r="COB2493" s="60"/>
      <c r="COC2493" s="59"/>
      <c r="COD2493" s="61"/>
      <c r="COE2493" s="59"/>
      <c r="COF2493" s="59"/>
      <c r="COG2493" s="59"/>
      <c r="COH2493" s="60"/>
      <c r="COI2493" s="60"/>
      <c r="COJ2493" s="60"/>
      <c r="COK2493" s="59"/>
      <c r="COL2493" s="61"/>
      <c r="COM2493" s="59"/>
      <c r="CON2493" s="59"/>
      <c r="COO2493" s="59"/>
      <c r="COP2493" s="60"/>
      <c r="COQ2493" s="60"/>
      <c r="COR2493" s="60"/>
      <c r="COS2493" s="59"/>
      <c r="COT2493" s="61"/>
      <c r="COU2493" s="59"/>
      <c r="COV2493" s="59"/>
      <c r="COW2493" s="59"/>
      <c r="COX2493" s="60"/>
      <c r="COY2493" s="60"/>
      <c r="COZ2493" s="60"/>
      <c r="CPA2493" s="59"/>
      <c r="CPB2493" s="61"/>
      <c r="CPC2493" s="59"/>
      <c r="CPD2493" s="59"/>
      <c r="CPE2493" s="59"/>
      <c r="CPF2493" s="60"/>
      <c r="CPG2493" s="60"/>
      <c r="CPH2493" s="60"/>
      <c r="CPI2493" s="59"/>
      <c r="CPJ2493" s="61"/>
      <c r="CPK2493" s="59"/>
      <c r="CPL2493" s="59"/>
      <c r="CPM2493" s="59"/>
      <c r="CPN2493" s="60"/>
      <c r="CPO2493" s="60"/>
      <c r="CPP2493" s="60"/>
      <c r="CPQ2493" s="59"/>
      <c r="CPR2493" s="61"/>
      <c r="CPS2493" s="59"/>
      <c r="CPT2493" s="59"/>
      <c r="CPU2493" s="59"/>
      <c r="CPV2493" s="60"/>
      <c r="CPW2493" s="60"/>
      <c r="CPX2493" s="60"/>
      <c r="CPY2493" s="59"/>
      <c r="CPZ2493" s="61"/>
      <c r="CQA2493" s="59"/>
      <c r="CQB2493" s="59"/>
      <c r="CQC2493" s="59"/>
      <c r="CQD2493" s="60"/>
      <c r="CQE2493" s="60"/>
      <c r="CQF2493" s="60"/>
      <c r="CQG2493" s="59"/>
      <c r="CQH2493" s="61"/>
      <c r="CQI2493" s="59"/>
      <c r="CQJ2493" s="59"/>
      <c r="CQK2493" s="59"/>
      <c r="CQL2493" s="60"/>
      <c r="CQM2493" s="60"/>
      <c r="CQN2493" s="60"/>
      <c r="CQO2493" s="59"/>
      <c r="CQP2493" s="61"/>
      <c r="CQQ2493" s="59"/>
      <c r="CQR2493" s="59"/>
      <c r="CQS2493" s="59"/>
      <c r="CQT2493" s="60"/>
      <c r="CQU2493" s="60"/>
      <c r="CQV2493" s="60"/>
      <c r="CQW2493" s="59"/>
      <c r="CQX2493" s="61"/>
      <c r="CQY2493" s="59"/>
      <c r="CQZ2493" s="59"/>
      <c r="CRA2493" s="59"/>
      <c r="CRB2493" s="60"/>
      <c r="CRC2493" s="60"/>
      <c r="CRD2493" s="60"/>
      <c r="CRE2493" s="59"/>
      <c r="CRF2493" s="61"/>
      <c r="CRG2493" s="59"/>
      <c r="CRH2493" s="59"/>
      <c r="CRI2493" s="59"/>
      <c r="CRJ2493" s="60"/>
      <c r="CRK2493" s="60"/>
      <c r="CRL2493" s="60"/>
      <c r="CRM2493" s="59"/>
      <c r="CRN2493" s="61"/>
      <c r="CRO2493" s="59"/>
      <c r="CRP2493" s="59"/>
      <c r="CRQ2493" s="59"/>
      <c r="CRR2493" s="60"/>
      <c r="CRS2493" s="60"/>
      <c r="CRT2493" s="60"/>
      <c r="CRU2493" s="59"/>
      <c r="CRV2493" s="61"/>
      <c r="CRW2493" s="59"/>
      <c r="CRX2493" s="59"/>
      <c r="CRY2493" s="59"/>
      <c r="CRZ2493" s="60"/>
      <c r="CSA2493" s="60"/>
      <c r="CSB2493" s="60"/>
      <c r="CSC2493" s="59"/>
      <c r="CSD2493" s="61"/>
      <c r="CSE2493" s="59"/>
      <c r="CSF2493" s="59"/>
      <c r="CSG2493" s="59"/>
      <c r="CSH2493" s="60"/>
      <c r="CSI2493" s="60"/>
      <c r="CSJ2493" s="60"/>
      <c r="CSK2493" s="59"/>
      <c r="CSL2493" s="61"/>
      <c r="CSM2493" s="59"/>
      <c r="CSN2493" s="59"/>
      <c r="CSO2493" s="59"/>
      <c r="CSP2493" s="60"/>
      <c r="CSQ2493" s="60"/>
      <c r="CSR2493" s="60"/>
      <c r="CSS2493" s="59"/>
      <c r="CST2493" s="61"/>
      <c r="CSU2493" s="59"/>
      <c r="CSV2493" s="59"/>
      <c r="CSW2493" s="59"/>
      <c r="CSX2493" s="60"/>
      <c r="CSY2493" s="60"/>
      <c r="CSZ2493" s="60"/>
      <c r="CTA2493" s="59"/>
      <c r="CTB2493" s="61"/>
      <c r="CTC2493" s="59"/>
      <c r="CTD2493" s="59"/>
      <c r="CTE2493" s="59"/>
      <c r="CTF2493" s="60"/>
      <c r="CTG2493" s="60"/>
      <c r="CTH2493" s="60"/>
      <c r="CTI2493" s="59"/>
      <c r="CTJ2493" s="61"/>
      <c r="CTK2493" s="59"/>
      <c r="CTL2493" s="59"/>
      <c r="CTM2493" s="59"/>
      <c r="CTN2493" s="60"/>
      <c r="CTO2493" s="60"/>
      <c r="CTP2493" s="60"/>
      <c r="CTQ2493" s="59"/>
      <c r="CTR2493" s="61"/>
      <c r="CTS2493" s="59"/>
      <c r="CTT2493" s="59"/>
      <c r="CTU2493" s="59"/>
      <c r="CTV2493" s="60"/>
      <c r="CTW2493" s="60"/>
      <c r="CTX2493" s="60"/>
      <c r="CTY2493" s="59"/>
      <c r="CTZ2493" s="61"/>
      <c r="CUA2493" s="59"/>
      <c r="CUB2493" s="59"/>
      <c r="CUC2493" s="59"/>
      <c r="CUD2493" s="60"/>
      <c r="CUE2493" s="60"/>
      <c r="CUF2493" s="60"/>
      <c r="CUG2493" s="59"/>
      <c r="CUH2493" s="61"/>
      <c r="CUI2493" s="59"/>
      <c r="CUJ2493" s="59"/>
      <c r="CUK2493" s="59"/>
      <c r="CUL2493" s="60"/>
      <c r="CUM2493" s="60"/>
      <c r="CUN2493" s="60"/>
      <c r="CUO2493" s="59"/>
      <c r="CUP2493" s="61"/>
      <c r="CUQ2493" s="59"/>
      <c r="CUR2493" s="59"/>
      <c r="CUS2493" s="59"/>
      <c r="CUT2493" s="60"/>
      <c r="CUU2493" s="60"/>
      <c r="CUV2493" s="60"/>
      <c r="CUW2493" s="59"/>
      <c r="CUX2493" s="61"/>
      <c r="CUY2493" s="59"/>
      <c r="CUZ2493" s="59"/>
      <c r="CVA2493" s="59"/>
      <c r="CVB2493" s="60"/>
      <c r="CVC2493" s="60"/>
      <c r="CVD2493" s="60"/>
      <c r="CVE2493" s="59"/>
      <c r="CVF2493" s="61"/>
      <c r="CVG2493" s="59"/>
      <c r="CVH2493" s="59"/>
      <c r="CVI2493" s="59"/>
      <c r="CVJ2493" s="60"/>
      <c r="CVK2493" s="60"/>
      <c r="CVL2493" s="60"/>
      <c r="CVM2493" s="59"/>
      <c r="CVN2493" s="61"/>
      <c r="CVO2493" s="59"/>
      <c r="CVP2493" s="59"/>
      <c r="CVQ2493" s="59"/>
      <c r="CVR2493" s="60"/>
      <c r="CVS2493" s="60"/>
      <c r="CVT2493" s="60"/>
      <c r="CVU2493" s="59"/>
      <c r="CVV2493" s="61"/>
      <c r="CVW2493" s="59"/>
      <c r="CVX2493" s="59"/>
      <c r="CVY2493" s="59"/>
      <c r="CVZ2493" s="60"/>
      <c r="CWA2493" s="60"/>
      <c r="CWB2493" s="60"/>
      <c r="CWC2493" s="59"/>
      <c r="CWD2493" s="61"/>
      <c r="CWE2493" s="59"/>
      <c r="CWF2493" s="59"/>
      <c r="CWG2493" s="59"/>
      <c r="CWH2493" s="60"/>
      <c r="CWI2493" s="60"/>
      <c r="CWJ2493" s="60"/>
      <c r="CWK2493" s="59"/>
      <c r="CWL2493" s="61"/>
      <c r="CWM2493" s="59"/>
      <c r="CWN2493" s="59"/>
      <c r="CWO2493" s="59"/>
      <c r="CWP2493" s="60"/>
      <c r="CWQ2493" s="60"/>
      <c r="CWR2493" s="60"/>
      <c r="CWS2493" s="59"/>
      <c r="CWT2493" s="61"/>
      <c r="CWU2493" s="59"/>
      <c r="CWV2493" s="59"/>
      <c r="CWW2493" s="59"/>
      <c r="CWX2493" s="60"/>
      <c r="CWY2493" s="60"/>
      <c r="CWZ2493" s="60"/>
      <c r="CXA2493" s="59"/>
      <c r="CXB2493" s="61"/>
      <c r="CXC2493" s="59"/>
      <c r="CXD2493" s="59"/>
      <c r="CXE2493" s="59"/>
      <c r="CXF2493" s="60"/>
      <c r="CXG2493" s="60"/>
      <c r="CXH2493" s="60"/>
      <c r="CXI2493" s="59"/>
      <c r="CXJ2493" s="61"/>
      <c r="CXK2493" s="59"/>
      <c r="CXL2493" s="59"/>
      <c r="CXM2493" s="59"/>
      <c r="CXN2493" s="60"/>
      <c r="CXO2493" s="60"/>
      <c r="CXP2493" s="60"/>
      <c r="CXQ2493" s="59"/>
      <c r="CXR2493" s="61"/>
      <c r="CXS2493" s="59"/>
      <c r="CXT2493" s="59"/>
      <c r="CXU2493" s="59"/>
      <c r="CXV2493" s="60"/>
      <c r="CXW2493" s="60"/>
      <c r="CXX2493" s="60"/>
      <c r="CXY2493" s="59"/>
      <c r="CXZ2493" s="61"/>
      <c r="CYA2493" s="59"/>
      <c r="CYB2493" s="59"/>
      <c r="CYC2493" s="59"/>
      <c r="CYD2493" s="60"/>
      <c r="CYE2493" s="60"/>
      <c r="CYF2493" s="60"/>
      <c r="CYG2493" s="59"/>
      <c r="CYH2493" s="61"/>
      <c r="CYI2493" s="59"/>
      <c r="CYJ2493" s="59"/>
      <c r="CYK2493" s="59"/>
      <c r="CYL2493" s="60"/>
      <c r="CYM2493" s="60"/>
      <c r="CYN2493" s="60"/>
      <c r="CYO2493" s="59"/>
      <c r="CYP2493" s="61"/>
      <c r="CYQ2493" s="59"/>
      <c r="CYR2493" s="59"/>
      <c r="CYS2493" s="59"/>
      <c r="CYT2493" s="60"/>
      <c r="CYU2493" s="60"/>
      <c r="CYV2493" s="60"/>
      <c r="CYW2493" s="59"/>
      <c r="CYX2493" s="61"/>
      <c r="CYY2493" s="59"/>
      <c r="CYZ2493" s="59"/>
      <c r="CZA2493" s="59"/>
      <c r="CZB2493" s="60"/>
      <c r="CZC2493" s="60"/>
      <c r="CZD2493" s="60"/>
      <c r="CZE2493" s="59"/>
      <c r="CZF2493" s="61"/>
      <c r="CZG2493" s="59"/>
      <c r="CZH2493" s="59"/>
      <c r="CZI2493" s="59"/>
      <c r="CZJ2493" s="60"/>
      <c r="CZK2493" s="60"/>
      <c r="CZL2493" s="60"/>
      <c r="CZM2493" s="59"/>
      <c r="CZN2493" s="61"/>
      <c r="CZO2493" s="59"/>
      <c r="CZP2493" s="59"/>
      <c r="CZQ2493" s="59"/>
      <c r="CZR2493" s="60"/>
      <c r="CZS2493" s="60"/>
      <c r="CZT2493" s="60"/>
      <c r="CZU2493" s="59"/>
      <c r="CZV2493" s="61"/>
      <c r="CZW2493" s="59"/>
      <c r="CZX2493" s="59"/>
      <c r="CZY2493" s="59"/>
      <c r="CZZ2493" s="60"/>
      <c r="DAA2493" s="60"/>
      <c r="DAB2493" s="60"/>
      <c r="DAC2493" s="59"/>
      <c r="DAD2493" s="61"/>
      <c r="DAE2493" s="59"/>
      <c r="DAF2493" s="59"/>
      <c r="DAG2493" s="59"/>
      <c r="DAH2493" s="60"/>
      <c r="DAI2493" s="60"/>
      <c r="DAJ2493" s="60"/>
      <c r="DAK2493" s="59"/>
      <c r="DAL2493" s="61"/>
      <c r="DAM2493" s="59"/>
      <c r="DAN2493" s="59"/>
      <c r="DAO2493" s="59"/>
      <c r="DAP2493" s="60"/>
      <c r="DAQ2493" s="60"/>
      <c r="DAR2493" s="60"/>
      <c r="DAS2493" s="59"/>
      <c r="DAT2493" s="61"/>
      <c r="DAU2493" s="59"/>
      <c r="DAV2493" s="59"/>
      <c r="DAW2493" s="59"/>
      <c r="DAX2493" s="60"/>
      <c r="DAY2493" s="60"/>
      <c r="DAZ2493" s="60"/>
      <c r="DBA2493" s="59"/>
      <c r="DBB2493" s="61"/>
      <c r="DBC2493" s="59"/>
      <c r="DBD2493" s="59"/>
      <c r="DBE2493" s="59"/>
      <c r="DBF2493" s="60"/>
      <c r="DBG2493" s="60"/>
      <c r="DBH2493" s="60"/>
      <c r="DBI2493" s="59"/>
      <c r="DBJ2493" s="61"/>
      <c r="DBK2493" s="59"/>
      <c r="DBL2493" s="59"/>
      <c r="DBM2493" s="59"/>
      <c r="DBN2493" s="60"/>
      <c r="DBO2493" s="60"/>
      <c r="DBP2493" s="60"/>
      <c r="DBQ2493" s="59"/>
      <c r="DBR2493" s="61"/>
      <c r="DBS2493" s="59"/>
      <c r="DBT2493" s="59"/>
      <c r="DBU2493" s="59"/>
      <c r="DBV2493" s="60"/>
      <c r="DBW2493" s="60"/>
      <c r="DBX2493" s="60"/>
      <c r="DBY2493" s="59"/>
      <c r="DBZ2493" s="61"/>
      <c r="DCA2493" s="59"/>
      <c r="DCB2493" s="59"/>
      <c r="DCC2493" s="59"/>
      <c r="DCD2493" s="60"/>
      <c r="DCE2493" s="60"/>
      <c r="DCF2493" s="60"/>
      <c r="DCG2493" s="59"/>
      <c r="DCH2493" s="61"/>
      <c r="DCI2493" s="59"/>
      <c r="DCJ2493" s="59"/>
      <c r="DCK2493" s="59"/>
      <c r="DCL2493" s="60"/>
      <c r="DCM2493" s="60"/>
      <c r="DCN2493" s="60"/>
      <c r="DCO2493" s="59"/>
      <c r="DCP2493" s="61"/>
      <c r="DCQ2493" s="59"/>
      <c r="DCR2493" s="59"/>
      <c r="DCS2493" s="59"/>
      <c r="DCT2493" s="60"/>
      <c r="DCU2493" s="60"/>
      <c r="DCV2493" s="60"/>
      <c r="DCW2493" s="59"/>
      <c r="DCX2493" s="61"/>
      <c r="DCY2493" s="59"/>
      <c r="DCZ2493" s="59"/>
      <c r="DDA2493" s="59"/>
      <c r="DDB2493" s="60"/>
      <c r="DDC2493" s="60"/>
      <c r="DDD2493" s="60"/>
      <c r="DDE2493" s="59"/>
      <c r="DDF2493" s="61"/>
      <c r="DDG2493" s="59"/>
      <c r="DDH2493" s="59"/>
      <c r="DDI2493" s="59"/>
      <c r="DDJ2493" s="60"/>
      <c r="DDK2493" s="60"/>
      <c r="DDL2493" s="60"/>
      <c r="DDM2493" s="59"/>
      <c r="DDN2493" s="61"/>
      <c r="DDO2493" s="59"/>
      <c r="DDP2493" s="59"/>
      <c r="DDQ2493" s="59"/>
      <c r="DDR2493" s="60"/>
      <c r="DDS2493" s="60"/>
      <c r="DDT2493" s="60"/>
      <c r="DDU2493" s="59"/>
      <c r="DDV2493" s="61"/>
      <c r="DDW2493" s="59"/>
      <c r="DDX2493" s="59"/>
      <c r="DDY2493" s="59"/>
      <c r="DDZ2493" s="60"/>
      <c r="DEA2493" s="60"/>
      <c r="DEB2493" s="60"/>
      <c r="DEC2493" s="59"/>
      <c r="DED2493" s="61"/>
      <c r="DEE2493" s="59"/>
      <c r="DEF2493" s="59"/>
      <c r="DEG2493" s="59"/>
      <c r="DEH2493" s="60"/>
      <c r="DEI2493" s="60"/>
      <c r="DEJ2493" s="60"/>
      <c r="DEK2493" s="59"/>
      <c r="DEL2493" s="61"/>
      <c r="DEM2493" s="59"/>
      <c r="DEN2493" s="59"/>
      <c r="DEO2493" s="59"/>
      <c r="DEP2493" s="60"/>
      <c r="DEQ2493" s="60"/>
      <c r="DER2493" s="60"/>
      <c r="DES2493" s="59"/>
      <c r="DET2493" s="61"/>
      <c r="DEU2493" s="59"/>
      <c r="DEV2493" s="59"/>
      <c r="DEW2493" s="59"/>
      <c r="DEX2493" s="60"/>
      <c r="DEY2493" s="60"/>
      <c r="DEZ2493" s="60"/>
      <c r="DFA2493" s="59"/>
      <c r="DFB2493" s="61"/>
      <c r="DFC2493" s="59"/>
      <c r="DFD2493" s="59"/>
      <c r="DFE2493" s="59"/>
      <c r="DFF2493" s="60"/>
      <c r="DFG2493" s="60"/>
      <c r="DFH2493" s="60"/>
      <c r="DFI2493" s="59"/>
      <c r="DFJ2493" s="61"/>
      <c r="DFK2493" s="59"/>
      <c r="DFL2493" s="59"/>
      <c r="DFM2493" s="59"/>
      <c r="DFN2493" s="60"/>
      <c r="DFO2493" s="60"/>
      <c r="DFP2493" s="60"/>
      <c r="DFQ2493" s="59"/>
      <c r="DFR2493" s="61"/>
      <c r="DFS2493" s="59"/>
      <c r="DFT2493" s="59"/>
      <c r="DFU2493" s="59"/>
      <c r="DFV2493" s="60"/>
      <c r="DFW2493" s="60"/>
      <c r="DFX2493" s="60"/>
      <c r="DFY2493" s="59"/>
      <c r="DFZ2493" s="61"/>
      <c r="DGA2493" s="59"/>
      <c r="DGB2493" s="59"/>
      <c r="DGC2493" s="59"/>
      <c r="DGD2493" s="60"/>
      <c r="DGE2493" s="60"/>
      <c r="DGF2493" s="60"/>
      <c r="DGG2493" s="59"/>
      <c r="DGH2493" s="61"/>
      <c r="DGI2493" s="59"/>
      <c r="DGJ2493" s="59"/>
      <c r="DGK2493" s="59"/>
      <c r="DGL2493" s="60"/>
      <c r="DGM2493" s="60"/>
      <c r="DGN2493" s="60"/>
      <c r="DGO2493" s="59"/>
      <c r="DGP2493" s="61"/>
      <c r="DGQ2493" s="59"/>
      <c r="DGR2493" s="59"/>
      <c r="DGS2493" s="59"/>
      <c r="DGT2493" s="60"/>
      <c r="DGU2493" s="60"/>
      <c r="DGV2493" s="60"/>
      <c r="DGW2493" s="59"/>
      <c r="DGX2493" s="61"/>
      <c r="DGY2493" s="59"/>
      <c r="DGZ2493" s="59"/>
      <c r="DHA2493" s="59"/>
      <c r="DHB2493" s="60"/>
      <c r="DHC2493" s="60"/>
      <c r="DHD2493" s="60"/>
      <c r="DHE2493" s="59"/>
      <c r="DHF2493" s="61"/>
      <c r="DHG2493" s="59"/>
      <c r="DHH2493" s="59"/>
      <c r="DHI2493" s="59"/>
      <c r="DHJ2493" s="60"/>
      <c r="DHK2493" s="60"/>
      <c r="DHL2493" s="60"/>
      <c r="DHM2493" s="59"/>
      <c r="DHN2493" s="61"/>
      <c r="DHO2493" s="59"/>
      <c r="DHP2493" s="59"/>
      <c r="DHQ2493" s="59"/>
      <c r="DHR2493" s="60"/>
      <c r="DHS2493" s="60"/>
      <c r="DHT2493" s="60"/>
      <c r="DHU2493" s="59"/>
      <c r="DHV2493" s="61"/>
      <c r="DHW2493" s="59"/>
      <c r="DHX2493" s="59"/>
      <c r="DHY2493" s="59"/>
      <c r="DHZ2493" s="60"/>
      <c r="DIA2493" s="60"/>
      <c r="DIB2493" s="60"/>
      <c r="DIC2493" s="59"/>
      <c r="DID2493" s="61"/>
      <c r="DIE2493" s="59"/>
      <c r="DIF2493" s="59"/>
      <c r="DIG2493" s="59"/>
      <c r="DIH2493" s="60"/>
      <c r="DII2493" s="60"/>
      <c r="DIJ2493" s="60"/>
      <c r="DIK2493" s="59"/>
      <c r="DIL2493" s="61"/>
      <c r="DIM2493" s="59"/>
      <c r="DIN2493" s="59"/>
      <c r="DIO2493" s="59"/>
      <c r="DIP2493" s="60"/>
      <c r="DIQ2493" s="60"/>
      <c r="DIR2493" s="60"/>
      <c r="DIS2493" s="59"/>
      <c r="DIT2493" s="61"/>
      <c r="DIU2493" s="59"/>
      <c r="DIV2493" s="59"/>
      <c r="DIW2493" s="59"/>
      <c r="DIX2493" s="60"/>
      <c r="DIY2493" s="60"/>
      <c r="DIZ2493" s="60"/>
      <c r="DJA2493" s="59"/>
      <c r="DJB2493" s="61"/>
      <c r="DJC2493" s="59"/>
      <c r="DJD2493" s="59"/>
      <c r="DJE2493" s="59"/>
      <c r="DJF2493" s="60"/>
      <c r="DJG2493" s="60"/>
      <c r="DJH2493" s="60"/>
      <c r="DJI2493" s="59"/>
      <c r="DJJ2493" s="61"/>
      <c r="DJK2493" s="59"/>
      <c r="DJL2493" s="59"/>
      <c r="DJM2493" s="59"/>
      <c r="DJN2493" s="60"/>
      <c r="DJO2493" s="60"/>
      <c r="DJP2493" s="60"/>
      <c r="DJQ2493" s="59"/>
      <c r="DJR2493" s="61"/>
      <c r="DJS2493" s="59"/>
      <c r="DJT2493" s="59"/>
      <c r="DJU2493" s="59"/>
      <c r="DJV2493" s="60"/>
      <c r="DJW2493" s="60"/>
      <c r="DJX2493" s="60"/>
      <c r="DJY2493" s="59"/>
      <c r="DJZ2493" s="61"/>
      <c r="DKA2493" s="59"/>
      <c r="DKB2493" s="59"/>
      <c r="DKC2493" s="59"/>
      <c r="DKD2493" s="60"/>
      <c r="DKE2493" s="60"/>
      <c r="DKF2493" s="60"/>
      <c r="DKG2493" s="59"/>
      <c r="DKH2493" s="61"/>
      <c r="DKI2493" s="59"/>
      <c r="DKJ2493" s="59"/>
      <c r="DKK2493" s="59"/>
      <c r="DKL2493" s="60"/>
      <c r="DKM2493" s="60"/>
      <c r="DKN2493" s="60"/>
      <c r="DKO2493" s="59"/>
      <c r="DKP2493" s="61"/>
      <c r="DKQ2493" s="59"/>
      <c r="DKR2493" s="59"/>
      <c r="DKS2493" s="59"/>
      <c r="DKT2493" s="60"/>
      <c r="DKU2493" s="60"/>
      <c r="DKV2493" s="60"/>
      <c r="DKW2493" s="59"/>
      <c r="DKX2493" s="61"/>
      <c r="DKY2493" s="59"/>
      <c r="DKZ2493" s="59"/>
      <c r="DLA2493" s="59"/>
      <c r="DLB2493" s="60"/>
      <c r="DLC2493" s="60"/>
      <c r="DLD2493" s="60"/>
      <c r="DLE2493" s="59"/>
      <c r="DLF2493" s="61"/>
      <c r="DLG2493" s="59"/>
      <c r="DLH2493" s="59"/>
      <c r="DLI2493" s="59"/>
      <c r="DLJ2493" s="60"/>
      <c r="DLK2493" s="60"/>
      <c r="DLL2493" s="60"/>
      <c r="DLM2493" s="59"/>
      <c r="DLN2493" s="61"/>
      <c r="DLO2493" s="59"/>
      <c r="DLP2493" s="59"/>
      <c r="DLQ2493" s="59"/>
      <c r="DLR2493" s="60"/>
      <c r="DLS2493" s="60"/>
      <c r="DLT2493" s="60"/>
      <c r="DLU2493" s="59"/>
      <c r="DLV2493" s="61"/>
      <c r="DLW2493" s="59"/>
      <c r="DLX2493" s="59"/>
      <c r="DLY2493" s="59"/>
      <c r="DLZ2493" s="60"/>
      <c r="DMA2493" s="60"/>
      <c r="DMB2493" s="60"/>
      <c r="DMC2493" s="59"/>
      <c r="DMD2493" s="61"/>
      <c r="DME2493" s="59"/>
      <c r="DMF2493" s="59"/>
      <c r="DMG2493" s="59"/>
      <c r="DMH2493" s="60"/>
      <c r="DMI2493" s="60"/>
      <c r="DMJ2493" s="60"/>
      <c r="DMK2493" s="59"/>
      <c r="DML2493" s="61"/>
      <c r="DMM2493" s="59"/>
      <c r="DMN2493" s="59"/>
      <c r="DMO2493" s="59"/>
      <c r="DMP2493" s="60"/>
      <c r="DMQ2493" s="60"/>
      <c r="DMR2493" s="60"/>
      <c r="DMS2493" s="59"/>
      <c r="DMT2493" s="61"/>
      <c r="DMU2493" s="59"/>
      <c r="DMV2493" s="59"/>
      <c r="DMW2493" s="59"/>
      <c r="DMX2493" s="60"/>
      <c r="DMY2493" s="60"/>
      <c r="DMZ2493" s="60"/>
      <c r="DNA2493" s="59"/>
      <c r="DNB2493" s="61"/>
      <c r="DNC2493" s="59"/>
      <c r="DND2493" s="59"/>
      <c r="DNE2493" s="59"/>
      <c r="DNF2493" s="60"/>
      <c r="DNG2493" s="60"/>
      <c r="DNH2493" s="60"/>
      <c r="DNI2493" s="59"/>
      <c r="DNJ2493" s="61"/>
      <c r="DNK2493" s="59"/>
      <c r="DNL2493" s="59"/>
      <c r="DNM2493" s="59"/>
      <c r="DNN2493" s="60"/>
      <c r="DNO2493" s="60"/>
      <c r="DNP2493" s="60"/>
      <c r="DNQ2493" s="59"/>
      <c r="DNR2493" s="61"/>
      <c r="DNS2493" s="59"/>
      <c r="DNT2493" s="59"/>
      <c r="DNU2493" s="59"/>
      <c r="DNV2493" s="60"/>
      <c r="DNW2493" s="60"/>
      <c r="DNX2493" s="60"/>
      <c r="DNY2493" s="59"/>
      <c r="DNZ2493" s="61"/>
      <c r="DOA2493" s="59"/>
      <c r="DOB2493" s="59"/>
      <c r="DOC2493" s="59"/>
      <c r="DOD2493" s="60"/>
      <c r="DOE2493" s="60"/>
      <c r="DOF2493" s="60"/>
      <c r="DOG2493" s="59"/>
      <c r="DOH2493" s="61"/>
      <c r="DOI2493" s="59"/>
      <c r="DOJ2493" s="59"/>
      <c r="DOK2493" s="59"/>
      <c r="DOL2493" s="60"/>
      <c r="DOM2493" s="60"/>
      <c r="DON2493" s="60"/>
      <c r="DOO2493" s="59"/>
      <c r="DOP2493" s="61"/>
      <c r="DOQ2493" s="59"/>
      <c r="DOR2493" s="59"/>
      <c r="DOS2493" s="59"/>
      <c r="DOT2493" s="60"/>
      <c r="DOU2493" s="60"/>
      <c r="DOV2493" s="60"/>
      <c r="DOW2493" s="59"/>
      <c r="DOX2493" s="61"/>
      <c r="DOY2493" s="59"/>
      <c r="DOZ2493" s="59"/>
      <c r="DPA2493" s="59"/>
      <c r="DPB2493" s="60"/>
      <c r="DPC2493" s="60"/>
      <c r="DPD2493" s="60"/>
      <c r="DPE2493" s="59"/>
      <c r="DPF2493" s="61"/>
      <c r="DPG2493" s="59"/>
      <c r="DPH2493" s="59"/>
      <c r="DPI2493" s="59"/>
      <c r="DPJ2493" s="60"/>
      <c r="DPK2493" s="60"/>
      <c r="DPL2493" s="60"/>
      <c r="DPM2493" s="59"/>
      <c r="DPN2493" s="61"/>
      <c r="DPO2493" s="59"/>
      <c r="DPP2493" s="59"/>
      <c r="DPQ2493" s="59"/>
      <c r="DPR2493" s="60"/>
      <c r="DPS2493" s="60"/>
      <c r="DPT2493" s="60"/>
      <c r="DPU2493" s="59"/>
      <c r="DPV2493" s="61"/>
      <c r="DPW2493" s="59"/>
      <c r="DPX2493" s="59"/>
      <c r="DPY2493" s="59"/>
      <c r="DPZ2493" s="60"/>
      <c r="DQA2493" s="60"/>
      <c r="DQB2493" s="60"/>
      <c r="DQC2493" s="59"/>
      <c r="DQD2493" s="61"/>
      <c r="DQE2493" s="59"/>
      <c r="DQF2493" s="59"/>
      <c r="DQG2493" s="59"/>
      <c r="DQH2493" s="60"/>
      <c r="DQI2493" s="60"/>
      <c r="DQJ2493" s="60"/>
      <c r="DQK2493" s="59"/>
      <c r="DQL2493" s="61"/>
      <c r="DQM2493" s="59"/>
      <c r="DQN2493" s="59"/>
      <c r="DQO2493" s="59"/>
      <c r="DQP2493" s="60"/>
      <c r="DQQ2493" s="60"/>
      <c r="DQR2493" s="60"/>
      <c r="DQS2493" s="59"/>
      <c r="DQT2493" s="61"/>
      <c r="DQU2493" s="59"/>
      <c r="DQV2493" s="59"/>
      <c r="DQW2493" s="59"/>
      <c r="DQX2493" s="60"/>
      <c r="DQY2493" s="60"/>
      <c r="DQZ2493" s="60"/>
      <c r="DRA2493" s="59"/>
      <c r="DRB2493" s="61"/>
      <c r="DRC2493" s="59"/>
      <c r="DRD2493" s="59"/>
      <c r="DRE2493" s="59"/>
      <c r="DRF2493" s="60"/>
      <c r="DRG2493" s="60"/>
      <c r="DRH2493" s="60"/>
      <c r="DRI2493" s="59"/>
      <c r="DRJ2493" s="61"/>
      <c r="DRK2493" s="59"/>
      <c r="DRL2493" s="59"/>
      <c r="DRM2493" s="59"/>
      <c r="DRN2493" s="60"/>
      <c r="DRO2493" s="60"/>
      <c r="DRP2493" s="60"/>
      <c r="DRQ2493" s="59"/>
      <c r="DRR2493" s="61"/>
      <c r="DRS2493" s="59"/>
      <c r="DRT2493" s="59"/>
      <c r="DRU2493" s="59"/>
      <c r="DRV2493" s="60"/>
      <c r="DRW2493" s="60"/>
      <c r="DRX2493" s="60"/>
      <c r="DRY2493" s="59"/>
      <c r="DRZ2493" s="61"/>
      <c r="DSA2493" s="59"/>
      <c r="DSB2493" s="59"/>
      <c r="DSC2493" s="59"/>
      <c r="DSD2493" s="60"/>
      <c r="DSE2493" s="60"/>
      <c r="DSF2493" s="60"/>
      <c r="DSG2493" s="59"/>
      <c r="DSH2493" s="61"/>
      <c r="DSI2493" s="59"/>
      <c r="DSJ2493" s="59"/>
      <c r="DSK2493" s="59"/>
      <c r="DSL2493" s="60"/>
      <c r="DSM2493" s="60"/>
      <c r="DSN2493" s="60"/>
      <c r="DSO2493" s="59"/>
      <c r="DSP2493" s="61"/>
      <c r="DSQ2493" s="59"/>
      <c r="DSR2493" s="59"/>
      <c r="DSS2493" s="59"/>
      <c r="DST2493" s="60"/>
      <c r="DSU2493" s="60"/>
      <c r="DSV2493" s="60"/>
      <c r="DSW2493" s="59"/>
      <c r="DSX2493" s="61"/>
      <c r="DSY2493" s="59"/>
      <c r="DSZ2493" s="59"/>
      <c r="DTA2493" s="59"/>
      <c r="DTB2493" s="60"/>
      <c r="DTC2493" s="60"/>
      <c r="DTD2493" s="60"/>
      <c r="DTE2493" s="59"/>
      <c r="DTF2493" s="61"/>
      <c r="DTG2493" s="59"/>
      <c r="DTH2493" s="59"/>
      <c r="DTI2493" s="59"/>
      <c r="DTJ2493" s="60"/>
      <c r="DTK2493" s="60"/>
      <c r="DTL2493" s="60"/>
      <c r="DTM2493" s="59"/>
      <c r="DTN2493" s="61"/>
      <c r="DTO2493" s="59"/>
      <c r="DTP2493" s="59"/>
      <c r="DTQ2493" s="59"/>
      <c r="DTR2493" s="60"/>
      <c r="DTS2493" s="60"/>
      <c r="DTT2493" s="60"/>
      <c r="DTU2493" s="59"/>
      <c r="DTV2493" s="61"/>
      <c r="DTW2493" s="59"/>
      <c r="DTX2493" s="59"/>
      <c r="DTY2493" s="59"/>
      <c r="DTZ2493" s="60"/>
      <c r="DUA2493" s="60"/>
      <c r="DUB2493" s="60"/>
      <c r="DUC2493" s="59"/>
      <c r="DUD2493" s="61"/>
      <c r="DUE2493" s="59"/>
      <c r="DUF2493" s="59"/>
      <c r="DUG2493" s="59"/>
      <c r="DUH2493" s="60"/>
      <c r="DUI2493" s="60"/>
      <c r="DUJ2493" s="60"/>
      <c r="DUK2493" s="59"/>
      <c r="DUL2493" s="61"/>
      <c r="DUM2493" s="59"/>
      <c r="DUN2493" s="59"/>
      <c r="DUO2493" s="59"/>
      <c r="DUP2493" s="60"/>
      <c r="DUQ2493" s="60"/>
      <c r="DUR2493" s="60"/>
      <c r="DUS2493" s="59"/>
      <c r="DUT2493" s="61"/>
      <c r="DUU2493" s="59"/>
      <c r="DUV2493" s="59"/>
      <c r="DUW2493" s="59"/>
      <c r="DUX2493" s="60"/>
      <c r="DUY2493" s="60"/>
      <c r="DUZ2493" s="60"/>
      <c r="DVA2493" s="59"/>
      <c r="DVB2493" s="61"/>
      <c r="DVC2493" s="59"/>
      <c r="DVD2493" s="59"/>
      <c r="DVE2493" s="59"/>
      <c r="DVF2493" s="60"/>
      <c r="DVG2493" s="60"/>
      <c r="DVH2493" s="60"/>
      <c r="DVI2493" s="59"/>
      <c r="DVJ2493" s="61"/>
      <c r="DVK2493" s="59"/>
      <c r="DVL2493" s="59"/>
      <c r="DVM2493" s="59"/>
      <c r="DVN2493" s="60"/>
      <c r="DVO2493" s="60"/>
      <c r="DVP2493" s="60"/>
      <c r="DVQ2493" s="59"/>
      <c r="DVR2493" s="61"/>
      <c r="DVS2493" s="59"/>
      <c r="DVT2493" s="59"/>
      <c r="DVU2493" s="59"/>
      <c r="DVV2493" s="60"/>
      <c r="DVW2493" s="60"/>
      <c r="DVX2493" s="60"/>
      <c r="DVY2493" s="59"/>
      <c r="DVZ2493" s="61"/>
      <c r="DWA2493" s="59"/>
      <c r="DWB2493" s="59"/>
      <c r="DWC2493" s="59"/>
      <c r="DWD2493" s="60"/>
      <c r="DWE2493" s="60"/>
      <c r="DWF2493" s="60"/>
      <c r="DWG2493" s="59"/>
      <c r="DWH2493" s="61"/>
      <c r="DWI2493" s="59"/>
      <c r="DWJ2493" s="59"/>
      <c r="DWK2493" s="59"/>
      <c r="DWL2493" s="60"/>
      <c r="DWM2493" s="60"/>
      <c r="DWN2493" s="60"/>
      <c r="DWO2493" s="59"/>
      <c r="DWP2493" s="61"/>
      <c r="DWQ2493" s="59"/>
      <c r="DWR2493" s="59"/>
      <c r="DWS2493" s="59"/>
      <c r="DWT2493" s="60"/>
      <c r="DWU2493" s="60"/>
      <c r="DWV2493" s="60"/>
      <c r="DWW2493" s="59"/>
      <c r="DWX2493" s="61"/>
      <c r="DWY2493" s="59"/>
      <c r="DWZ2493" s="59"/>
      <c r="DXA2493" s="59"/>
      <c r="DXB2493" s="60"/>
      <c r="DXC2493" s="60"/>
      <c r="DXD2493" s="60"/>
      <c r="DXE2493" s="59"/>
      <c r="DXF2493" s="61"/>
      <c r="DXG2493" s="59"/>
      <c r="DXH2493" s="59"/>
      <c r="DXI2493" s="59"/>
      <c r="DXJ2493" s="60"/>
      <c r="DXK2493" s="60"/>
      <c r="DXL2493" s="60"/>
      <c r="DXM2493" s="59"/>
      <c r="DXN2493" s="61"/>
      <c r="DXO2493" s="59"/>
      <c r="DXP2493" s="59"/>
      <c r="DXQ2493" s="59"/>
      <c r="DXR2493" s="60"/>
      <c r="DXS2493" s="60"/>
      <c r="DXT2493" s="60"/>
      <c r="DXU2493" s="59"/>
      <c r="DXV2493" s="61"/>
      <c r="DXW2493" s="59"/>
      <c r="DXX2493" s="59"/>
      <c r="DXY2493" s="59"/>
      <c r="DXZ2493" s="60"/>
      <c r="DYA2493" s="60"/>
      <c r="DYB2493" s="60"/>
      <c r="DYC2493" s="59"/>
      <c r="DYD2493" s="61"/>
      <c r="DYE2493" s="59"/>
      <c r="DYF2493" s="59"/>
      <c r="DYG2493" s="59"/>
      <c r="DYH2493" s="60"/>
      <c r="DYI2493" s="60"/>
      <c r="DYJ2493" s="60"/>
      <c r="DYK2493" s="59"/>
      <c r="DYL2493" s="61"/>
      <c r="DYM2493" s="59"/>
      <c r="DYN2493" s="59"/>
      <c r="DYO2493" s="59"/>
      <c r="DYP2493" s="60"/>
      <c r="DYQ2493" s="60"/>
      <c r="DYR2493" s="60"/>
      <c r="DYS2493" s="59"/>
      <c r="DYT2493" s="61"/>
      <c r="DYU2493" s="59"/>
      <c r="DYV2493" s="59"/>
      <c r="DYW2493" s="59"/>
      <c r="DYX2493" s="60"/>
      <c r="DYY2493" s="60"/>
      <c r="DYZ2493" s="60"/>
      <c r="DZA2493" s="59"/>
      <c r="DZB2493" s="61"/>
      <c r="DZC2493" s="59"/>
      <c r="DZD2493" s="59"/>
      <c r="DZE2493" s="59"/>
      <c r="DZF2493" s="60"/>
      <c r="DZG2493" s="60"/>
      <c r="DZH2493" s="60"/>
      <c r="DZI2493" s="59"/>
      <c r="DZJ2493" s="61"/>
      <c r="DZK2493" s="59"/>
      <c r="DZL2493" s="59"/>
      <c r="DZM2493" s="59"/>
      <c r="DZN2493" s="60"/>
      <c r="DZO2493" s="60"/>
      <c r="DZP2493" s="60"/>
      <c r="DZQ2493" s="59"/>
      <c r="DZR2493" s="61"/>
      <c r="DZS2493" s="59"/>
      <c r="DZT2493" s="59"/>
      <c r="DZU2493" s="59"/>
      <c r="DZV2493" s="60"/>
      <c r="DZW2493" s="60"/>
      <c r="DZX2493" s="60"/>
      <c r="DZY2493" s="59"/>
      <c r="DZZ2493" s="61"/>
      <c r="EAA2493" s="59"/>
      <c r="EAB2493" s="59"/>
      <c r="EAC2493" s="59"/>
      <c r="EAD2493" s="60"/>
      <c r="EAE2493" s="60"/>
      <c r="EAF2493" s="60"/>
      <c r="EAG2493" s="59"/>
      <c r="EAH2493" s="61"/>
      <c r="EAI2493" s="59"/>
      <c r="EAJ2493" s="59"/>
      <c r="EAK2493" s="59"/>
      <c r="EAL2493" s="60"/>
      <c r="EAM2493" s="60"/>
      <c r="EAN2493" s="60"/>
      <c r="EAO2493" s="59"/>
      <c r="EAP2493" s="61"/>
      <c r="EAQ2493" s="59"/>
      <c r="EAR2493" s="59"/>
      <c r="EAS2493" s="59"/>
      <c r="EAT2493" s="60"/>
      <c r="EAU2493" s="60"/>
      <c r="EAV2493" s="60"/>
      <c r="EAW2493" s="59"/>
      <c r="EAX2493" s="61"/>
      <c r="EAY2493" s="59"/>
      <c r="EAZ2493" s="59"/>
      <c r="EBA2493" s="59"/>
      <c r="EBB2493" s="60"/>
      <c r="EBC2493" s="60"/>
      <c r="EBD2493" s="60"/>
      <c r="EBE2493" s="59"/>
      <c r="EBF2493" s="61"/>
      <c r="EBG2493" s="59"/>
      <c r="EBH2493" s="59"/>
      <c r="EBI2493" s="59"/>
      <c r="EBJ2493" s="60"/>
      <c r="EBK2493" s="60"/>
      <c r="EBL2493" s="60"/>
      <c r="EBM2493" s="59"/>
      <c r="EBN2493" s="61"/>
      <c r="EBO2493" s="59"/>
      <c r="EBP2493" s="59"/>
      <c r="EBQ2493" s="59"/>
      <c r="EBR2493" s="60"/>
      <c r="EBS2493" s="60"/>
      <c r="EBT2493" s="60"/>
      <c r="EBU2493" s="59"/>
      <c r="EBV2493" s="61"/>
      <c r="EBW2493" s="59"/>
      <c r="EBX2493" s="59"/>
      <c r="EBY2493" s="59"/>
      <c r="EBZ2493" s="60"/>
      <c r="ECA2493" s="60"/>
      <c r="ECB2493" s="60"/>
      <c r="ECC2493" s="59"/>
      <c r="ECD2493" s="61"/>
      <c r="ECE2493" s="59"/>
      <c r="ECF2493" s="59"/>
      <c r="ECG2493" s="59"/>
      <c r="ECH2493" s="60"/>
      <c r="ECI2493" s="60"/>
      <c r="ECJ2493" s="60"/>
      <c r="ECK2493" s="59"/>
      <c r="ECL2493" s="61"/>
      <c r="ECM2493" s="59"/>
      <c r="ECN2493" s="59"/>
      <c r="ECO2493" s="59"/>
      <c r="ECP2493" s="60"/>
      <c r="ECQ2493" s="60"/>
      <c r="ECR2493" s="60"/>
      <c r="ECS2493" s="59"/>
      <c r="ECT2493" s="61"/>
      <c r="ECU2493" s="59"/>
      <c r="ECV2493" s="59"/>
      <c r="ECW2493" s="59"/>
      <c r="ECX2493" s="60"/>
      <c r="ECY2493" s="60"/>
      <c r="ECZ2493" s="60"/>
      <c r="EDA2493" s="59"/>
      <c r="EDB2493" s="61"/>
      <c r="EDC2493" s="59"/>
      <c r="EDD2493" s="59"/>
      <c r="EDE2493" s="59"/>
      <c r="EDF2493" s="60"/>
      <c r="EDG2493" s="60"/>
      <c r="EDH2493" s="60"/>
      <c r="EDI2493" s="59"/>
      <c r="EDJ2493" s="61"/>
      <c r="EDK2493" s="59"/>
      <c r="EDL2493" s="59"/>
      <c r="EDM2493" s="59"/>
      <c r="EDN2493" s="60"/>
      <c r="EDO2493" s="60"/>
      <c r="EDP2493" s="60"/>
      <c r="EDQ2493" s="59"/>
      <c r="EDR2493" s="61"/>
      <c r="EDS2493" s="59"/>
      <c r="EDT2493" s="59"/>
      <c r="EDU2493" s="59"/>
      <c r="EDV2493" s="60"/>
      <c r="EDW2493" s="60"/>
      <c r="EDX2493" s="60"/>
      <c r="EDY2493" s="59"/>
      <c r="EDZ2493" s="61"/>
      <c r="EEA2493" s="59"/>
      <c r="EEB2493" s="59"/>
      <c r="EEC2493" s="59"/>
      <c r="EED2493" s="60"/>
      <c r="EEE2493" s="60"/>
      <c r="EEF2493" s="60"/>
      <c r="EEG2493" s="59"/>
      <c r="EEH2493" s="61"/>
      <c r="EEI2493" s="59"/>
      <c r="EEJ2493" s="59"/>
      <c r="EEK2493" s="59"/>
      <c r="EEL2493" s="60"/>
      <c r="EEM2493" s="60"/>
      <c r="EEN2493" s="60"/>
      <c r="EEO2493" s="59"/>
      <c r="EEP2493" s="61"/>
      <c r="EEQ2493" s="59"/>
      <c r="EER2493" s="59"/>
      <c r="EES2493" s="59"/>
      <c r="EET2493" s="60"/>
      <c r="EEU2493" s="60"/>
      <c r="EEV2493" s="60"/>
      <c r="EEW2493" s="59"/>
      <c r="EEX2493" s="61"/>
      <c r="EEY2493" s="59"/>
      <c r="EEZ2493" s="59"/>
      <c r="EFA2493" s="59"/>
      <c r="EFB2493" s="60"/>
      <c r="EFC2493" s="60"/>
      <c r="EFD2493" s="60"/>
      <c r="EFE2493" s="59"/>
      <c r="EFF2493" s="61"/>
      <c r="EFG2493" s="59"/>
      <c r="EFH2493" s="59"/>
      <c r="EFI2493" s="59"/>
      <c r="EFJ2493" s="60"/>
      <c r="EFK2493" s="60"/>
      <c r="EFL2493" s="60"/>
      <c r="EFM2493" s="59"/>
      <c r="EFN2493" s="61"/>
      <c r="EFO2493" s="59"/>
      <c r="EFP2493" s="59"/>
      <c r="EFQ2493" s="59"/>
      <c r="EFR2493" s="60"/>
      <c r="EFS2493" s="60"/>
      <c r="EFT2493" s="60"/>
      <c r="EFU2493" s="59"/>
      <c r="EFV2493" s="61"/>
      <c r="EFW2493" s="59"/>
      <c r="EFX2493" s="59"/>
      <c r="EFY2493" s="59"/>
      <c r="EFZ2493" s="60"/>
      <c r="EGA2493" s="60"/>
      <c r="EGB2493" s="60"/>
      <c r="EGC2493" s="59"/>
      <c r="EGD2493" s="61"/>
      <c r="EGE2493" s="59"/>
      <c r="EGF2493" s="59"/>
      <c r="EGG2493" s="59"/>
      <c r="EGH2493" s="60"/>
      <c r="EGI2493" s="60"/>
      <c r="EGJ2493" s="60"/>
      <c r="EGK2493" s="59"/>
      <c r="EGL2493" s="61"/>
      <c r="EGM2493" s="59"/>
      <c r="EGN2493" s="59"/>
      <c r="EGO2493" s="59"/>
      <c r="EGP2493" s="60"/>
      <c r="EGQ2493" s="60"/>
      <c r="EGR2493" s="60"/>
      <c r="EGS2493" s="59"/>
      <c r="EGT2493" s="61"/>
      <c r="EGU2493" s="59"/>
      <c r="EGV2493" s="59"/>
      <c r="EGW2493" s="59"/>
      <c r="EGX2493" s="60"/>
      <c r="EGY2493" s="60"/>
      <c r="EGZ2493" s="60"/>
      <c r="EHA2493" s="59"/>
      <c r="EHB2493" s="61"/>
      <c r="EHC2493" s="59"/>
      <c r="EHD2493" s="59"/>
      <c r="EHE2493" s="59"/>
      <c r="EHF2493" s="60"/>
      <c r="EHG2493" s="60"/>
      <c r="EHH2493" s="60"/>
      <c r="EHI2493" s="59"/>
      <c r="EHJ2493" s="61"/>
      <c r="EHK2493" s="59"/>
      <c r="EHL2493" s="59"/>
      <c r="EHM2493" s="59"/>
      <c r="EHN2493" s="60"/>
      <c r="EHO2493" s="60"/>
      <c r="EHP2493" s="60"/>
      <c r="EHQ2493" s="59"/>
      <c r="EHR2493" s="61"/>
      <c r="EHS2493" s="59"/>
      <c r="EHT2493" s="59"/>
      <c r="EHU2493" s="59"/>
      <c r="EHV2493" s="60"/>
      <c r="EHW2493" s="60"/>
      <c r="EHX2493" s="60"/>
      <c r="EHY2493" s="59"/>
      <c r="EHZ2493" s="61"/>
      <c r="EIA2493" s="59"/>
      <c r="EIB2493" s="59"/>
      <c r="EIC2493" s="59"/>
      <c r="EID2493" s="60"/>
      <c r="EIE2493" s="60"/>
      <c r="EIF2493" s="60"/>
      <c r="EIG2493" s="59"/>
      <c r="EIH2493" s="61"/>
      <c r="EII2493" s="59"/>
      <c r="EIJ2493" s="59"/>
      <c r="EIK2493" s="59"/>
      <c r="EIL2493" s="60"/>
      <c r="EIM2493" s="60"/>
      <c r="EIN2493" s="60"/>
      <c r="EIO2493" s="59"/>
      <c r="EIP2493" s="61"/>
      <c r="EIQ2493" s="59"/>
      <c r="EIR2493" s="59"/>
      <c r="EIS2493" s="59"/>
      <c r="EIT2493" s="60"/>
      <c r="EIU2493" s="60"/>
      <c r="EIV2493" s="60"/>
      <c r="EIW2493" s="59"/>
      <c r="EIX2493" s="61"/>
      <c r="EIY2493" s="59"/>
      <c r="EIZ2493" s="59"/>
      <c r="EJA2493" s="59"/>
      <c r="EJB2493" s="60"/>
      <c r="EJC2493" s="60"/>
      <c r="EJD2493" s="60"/>
      <c r="EJE2493" s="59"/>
      <c r="EJF2493" s="61"/>
      <c r="EJG2493" s="59"/>
      <c r="EJH2493" s="59"/>
      <c r="EJI2493" s="59"/>
      <c r="EJJ2493" s="60"/>
      <c r="EJK2493" s="60"/>
      <c r="EJL2493" s="60"/>
      <c r="EJM2493" s="59"/>
      <c r="EJN2493" s="61"/>
      <c r="EJO2493" s="59"/>
      <c r="EJP2493" s="59"/>
      <c r="EJQ2493" s="59"/>
      <c r="EJR2493" s="60"/>
      <c r="EJS2493" s="60"/>
      <c r="EJT2493" s="60"/>
      <c r="EJU2493" s="59"/>
      <c r="EJV2493" s="61"/>
      <c r="EJW2493" s="59"/>
      <c r="EJX2493" s="59"/>
      <c r="EJY2493" s="59"/>
      <c r="EJZ2493" s="60"/>
      <c r="EKA2493" s="60"/>
      <c r="EKB2493" s="60"/>
      <c r="EKC2493" s="59"/>
      <c r="EKD2493" s="61"/>
      <c r="EKE2493" s="59"/>
      <c r="EKF2493" s="59"/>
      <c r="EKG2493" s="59"/>
      <c r="EKH2493" s="60"/>
      <c r="EKI2493" s="60"/>
      <c r="EKJ2493" s="60"/>
      <c r="EKK2493" s="59"/>
      <c r="EKL2493" s="61"/>
      <c r="EKM2493" s="59"/>
      <c r="EKN2493" s="59"/>
      <c r="EKO2493" s="59"/>
      <c r="EKP2493" s="60"/>
      <c r="EKQ2493" s="60"/>
      <c r="EKR2493" s="60"/>
      <c r="EKS2493" s="59"/>
      <c r="EKT2493" s="61"/>
      <c r="EKU2493" s="59"/>
      <c r="EKV2493" s="59"/>
      <c r="EKW2493" s="59"/>
      <c r="EKX2493" s="60"/>
      <c r="EKY2493" s="60"/>
      <c r="EKZ2493" s="60"/>
      <c r="ELA2493" s="59"/>
      <c r="ELB2493" s="61"/>
      <c r="ELC2493" s="59"/>
      <c r="ELD2493" s="59"/>
      <c r="ELE2493" s="59"/>
      <c r="ELF2493" s="60"/>
      <c r="ELG2493" s="60"/>
      <c r="ELH2493" s="60"/>
      <c r="ELI2493" s="59"/>
      <c r="ELJ2493" s="61"/>
      <c r="ELK2493" s="59"/>
      <c r="ELL2493" s="59"/>
      <c r="ELM2493" s="59"/>
      <c r="ELN2493" s="60"/>
      <c r="ELO2493" s="60"/>
      <c r="ELP2493" s="60"/>
      <c r="ELQ2493" s="59"/>
      <c r="ELR2493" s="61"/>
      <c r="ELS2493" s="59"/>
      <c r="ELT2493" s="59"/>
      <c r="ELU2493" s="59"/>
      <c r="ELV2493" s="60"/>
      <c r="ELW2493" s="60"/>
      <c r="ELX2493" s="60"/>
      <c r="ELY2493" s="59"/>
      <c r="ELZ2493" s="61"/>
      <c r="EMA2493" s="59"/>
      <c r="EMB2493" s="59"/>
      <c r="EMC2493" s="59"/>
      <c r="EMD2493" s="60"/>
      <c r="EME2493" s="60"/>
      <c r="EMF2493" s="60"/>
      <c r="EMG2493" s="59"/>
      <c r="EMH2493" s="61"/>
      <c r="EMI2493" s="59"/>
      <c r="EMJ2493" s="59"/>
      <c r="EMK2493" s="59"/>
      <c r="EML2493" s="60"/>
      <c r="EMM2493" s="60"/>
      <c r="EMN2493" s="60"/>
      <c r="EMO2493" s="59"/>
      <c r="EMP2493" s="61"/>
      <c r="EMQ2493" s="59"/>
      <c r="EMR2493" s="59"/>
      <c r="EMS2493" s="59"/>
      <c r="EMT2493" s="60"/>
      <c r="EMU2493" s="60"/>
      <c r="EMV2493" s="60"/>
      <c r="EMW2493" s="59"/>
      <c r="EMX2493" s="61"/>
      <c r="EMY2493" s="59"/>
      <c r="EMZ2493" s="59"/>
      <c r="ENA2493" s="59"/>
      <c r="ENB2493" s="60"/>
      <c r="ENC2493" s="60"/>
      <c r="END2493" s="60"/>
      <c r="ENE2493" s="59"/>
      <c r="ENF2493" s="61"/>
      <c r="ENG2493" s="59"/>
      <c r="ENH2493" s="59"/>
      <c r="ENI2493" s="59"/>
      <c r="ENJ2493" s="60"/>
      <c r="ENK2493" s="60"/>
      <c r="ENL2493" s="60"/>
      <c r="ENM2493" s="59"/>
      <c r="ENN2493" s="61"/>
      <c r="ENO2493" s="59"/>
      <c r="ENP2493" s="59"/>
      <c r="ENQ2493" s="59"/>
      <c r="ENR2493" s="60"/>
      <c r="ENS2493" s="60"/>
      <c r="ENT2493" s="60"/>
      <c r="ENU2493" s="59"/>
      <c r="ENV2493" s="61"/>
      <c r="ENW2493" s="59"/>
      <c r="ENX2493" s="59"/>
      <c r="ENY2493" s="59"/>
      <c r="ENZ2493" s="60"/>
      <c r="EOA2493" s="60"/>
      <c r="EOB2493" s="60"/>
      <c r="EOC2493" s="59"/>
      <c r="EOD2493" s="61"/>
      <c r="EOE2493" s="59"/>
      <c r="EOF2493" s="59"/>
      <c r="EOG2493" s="59"/>
      <c r="EOH2493" s="60"/>
      <c r="EOI2493" s="60"/>
      <c r="EOJ2493" s="60"/>
      <c r="EOK2493" s="59"/>
      <c r="EOL2493" s="61"/>
      <c r="EOM2493" s="59"/>
      <c r="EON2493" s="59"/>
      <c r="EOO2493" s="59"/>
      <c r="EOP2493" s="60"/>
      <c r="EOQ2493" s="60"/>
      <c r="EOR2493" s="60"/>
      <c r="EOS2493" s="59"/>
      <c r="EOT2493" s="61"/>
      <c r="EOU2493" s="59"/>
      <c r="EOV2493" s="59"/>
      <c r="EOW2493" s="59"/>
      <c r="EOX2493" s="60"/>
      <c r="EOY2493" s="60"/>
      <c r="EOZ2493" s="60"/>
      <c r="EPA2493" s="59"/>
      <c r="EPB2493" s="61"/>
      <c r="EPC2493" s="59"/>
      <c r="EPD2493" s="59"/>
      <c r="EPE2493" s="59"/>
      <c r="EPF2493" s="60"/>
      <c r="EPG2493" s="60"/>
      <c r="EPH2493" s="60"/>
      <c r="EPI2493" s="59"/>
      <c r="EPJ2493" s="61"/>
      <c r="EPK2493" s="59"/>
      <c r="EPL2493" s="59"/>
      <c r="EPM2493" s="59"/>
      <c r="EPN2493" s="60"/>
      <c r="EPO2493" s="60"/>
      <c r="EPP2493" s="60"/>
      <c r="EPQ2493" s="59"/>
      <c r="EPR2493" s="61"/>
      <c r="EPS2493" s="59"/>
      <c r="EPT2493" s="59"/>
      <c r="EPU2493" s="59"/>
      <c r="EPV2493" s="60"/>
      <c r="EPW2493" s="60"/>
      <c r="EPX2493" s="60"/>
      <c r="EPY2493" s="59"/>
      <c r="EPZ2493" s="61"/>
      <c r="EQA2493" s="59"/>
      <c r="EQB2493" s="59"/>
      <c r="EQC2493" s="59"/>
      <c r="EQD2493" s="60"/>
      <c r="EQE2493" s="60"/>
      <c r="EQF2493" s="60"/>
      <c r="EQG2493" s="59"/>
      <c r="EQH2493" s="61"/>
      <c r="EQI2493" s="59"/>
      <c r="EQJ2493" s="59"/>
      <c r="EQK2493" s="59"/>
      <c r="EQL2493" s="60"/>
      <c r="EQM2493" s="60"/>
      <c r="EQN2493" s="60"/>
      <c r="EQO2493" s="59"/>
      <c r="EQP2493" s="61"/>
      <c r="EQQ2493" s="59"/>
      <c r="EQR2493" s="59"/>
      <c r="EQS2493" s="59"/>
      <c r="EQT2493" s="60"/>
      <c r="EQU2493" s="60"/>
      <c r="EQV2493" s="60"/>
      <c r="EQW2493" s="59"/>
      <c r="EQX2493" s="61"/>
      <c r="EQY2493" s="59"/>
      <c r="EQZ2493" s="59"/>
      <c r="ERA2493" s="59"/>
      <c r="ERB2493" s="60"/>
      <c r="ERC2493" s="60"/>
      <c r="ERD2493" s="60"/>
      <c r="ERE2493" s="59"/>
      <c r="ERF2493" s="61"/>
      <c r="ERG2493" s="59"/>
      <c r="ERH2493" s="59"/>
      <c r="ERI2493" s="59"/>
      <c r="ERJ2493" s="60"/>
      <c r="ERK2493" s="60"/>
      <c r="ERL2493" s="60"/>
      <c r="ERM2493" s="59"/>
      <c r="ERN2493" s="61"/>
      <c r="ERO2493" s="59"/>
      <c r="ERP2493" s="59"/>
      <c r="ERQ2493" s="59"/>
      <c r="ERR2493" s="60"/>
      <c r="ERS2493" s="60"/>
      <c r="ERT2493" s="60"/>
      <c r="ERU2493" s="59"/>
      <c r="ERV2493" s="61"/>
      <c r="ERW2493" s="59"/>
      <c r="ERX2493" s="59"/>
      <c r="ERY2493" s="59"/>
      <c r="ERZ2493" s="60"/>
      <c r="ESA2493" s="60"/>
      <c r="ESB2493" s="60"/>
      <c r="ESC2493" s="59"/>
      <c r="ESD2493" s="61"/>
      <c r="ESE2493" s="59"/>
      <c r="ESF2493" s="59"/>
      <c r="ESG2493" s="59"/>
      <c r="ESH2493" s="60"/>
      <c r="ESI2493" s="60"/>
      <c r="ESJ2493" s="60"/>
      <c r="ESK2493" s="59"/>
      <c r="ESL2493" s="61"/>
      <c r="ESM2493" s="59"/>
      <c r="ESN2493" s="59"/>
      <c r="ESO2493" s="59"/>
      <c r="ESP2493" s="60"/>
      <c r="ESQ2493" s="60"/>
      <c r="ESR2493" s="60"/>
      <c r="ESS2493" s="59"/>
      <c r="EST2493" s="61"/>
      <c r="ESU2493" s="59"/>
      <c r="ESV2493" s="59"/>
      <c r="ESW2493" s="59"/>
      <c r="ESX2493" s="60"/>
      <c r="ESY2493" s="60"/>
      <c r="ESZ2493" s="60"/>
      <c r="ETA2493" s="59"/>
      <c r="ETB2493" s="61"/>
      <c r="ETC2493" s="59"/>
      <c r="ETD2493" s="59"/>
      <c r="ETE2493" s="59"/>
      <c r="ETF2493" s="60"/>
      <c r="ETG2493" s="60"/>
      <c r="ETH2493" s="60"/>
      <c r="ETI2493" s="59"/>
      <c r="ETJ2493" s="61"/>
      <c r="ETK2493" s="59"/>
      <c r="ETL2493" s="59"/>
      <c r="ETM2493" s="59"/>
      <c r="ETN2493" s="60"/>
      <c r="ETO2493" s="60"/>
      <c r="ETP2493" s="60"/>
      <c r="ETQ2493" s="59"/>
      <c r="ETR2493" s="61"/>
      <c r="ETS2493" s="59"/>
      <c r="ETT2493" s="59"/>
      <c r="ETU2493" s="59"/>
      <c r="ETV2493" s="60"/>
      <c r="ETW2493" s="60"/>
      <c r="ETX2493" s="60"/>
      <c r="ETY2493" s="59"/>
      <c r="ETZ2493" s="61"/>
      <c r="EUA2493" s="59"/>
      <c r="EUB2493" s="59"/>
      <c r="EUC2493" s="59"/>
      <c r="EUD2493" s="60"/>
      <c r="EUE2493" s="60"/>
      <c r="EUF2493" s="60"/>
      <c r="EUG2493" s="59"/>
      <c r="EUH2493" s="61"/>
      <c r="EUI2493" s="59"/>
      <c r="EUJ2493" s="59"/>
      <c r="EUK2493" s="59"/>
      <c r="EUL2493" s="60"/>
      <c r="EUM2493" s="60"/>
      <c r="EUN2493" s="60"/>
      <c r="EUO2493" s="59"/>
      <c r="EUP2493" s="61"/>
      <c r="EUQ2493" s="59"/>
      <c r="EUR2493" s="59"/>
      <c r="EUS2493" s="59"/>
      <c r="EUT2493" s="60"/>
      <c r="EUU2493" s="60"/>
      <c r="EUV2493" s="60"/>
      <c r="EUW2493" s="59"/>
      <c r="EUX2493" s="61"/>
      <c r="EUY2493" s="59"/>
      <c r="EUZ2493" s="59"/>
      <c r="EVA2493" s="59"/>
      <c r="EVB2493" s="60"/>
      <c r="EVC2493" s="60"/>
      <c r="EVD2493" s="60"/>
      <c r="EVE2493" s="59"/>
      <c r="EVF2493" s="61"/>
      <c r="EVG2493" s="59"/>
      <c r="EVH2493" s="59"/>
      <c r="EVI2493" s="59"/>
      <c r="EVJ2493" s="60"/>
      <c r="EVK2493" s="60"/>
      <c r="EVL2493" s="60"/>
      <c r="EVM2493" s="59"/>
      <c r="EVN2493" s="61"/>
      <c r="EVO2493" s="59"/>
      <c r="EVP2493" s="59"/>
      <c r="EVQ2493" s="59"/>
      <c r="EVR2493" s="60"/>
      <c r="EVS2493" s="60"/>
      <c r="EVT2493" s="60"/>
      <c r="EVU2493" s="59"/>
      <c r="EVV2493" s="61"/>
      <c r="EVW2493" s="59"/>
      <c r="EVX2493" s="59"/>
      <c r="EVY2493" s="59"/>
      <c r="EVZ2493" s="60"/>
      <c r="EWA2493" s="60"/>
      <c r="EWB2493" s="60"/>
      <c r="EWC2493" s="59"/>
      <c r="EWD2493" s="61"/>
      <c r="EWE2493" s="59"/>
      <c r="EWF2493" s="59"/>
      <c r="EWG2493" s="59"/>
      <c r="EWH2493" s="60"/>
      <c r="EWI2493" s="60"/>
      <c r="EWJ2493" s="60"/>
      <c r="EWK2493" s="59"/>
      <c r="EWL2493" s="61"/>
      <c r="EWM2493" s="59"/>
      <c r="EWN2493" s="59"/>
      <c r="EWO2493" s="59"/>
      <c r="EWP2493" s="60"/>
      <c r="EWQ2493" s="60"/>
      <c r="EWR2493" s="60"/>
      <c r="EWS2493" s="59"/>
      <c r="EWT2493" s="61"/>
      <c r="EWU2493" s="59"/>
      <c r="EWV2493" s="59"/>
      <c r="EWW2493" s="59"/>
      <c r="EWX2493" s="60"/>
      <c r="EWY2493" s="60"/>
      <c r="EWZ2493" s="60"/>
      <c r="EXA2493" s="59"/>
      <c r="EXB2493" s="61"/>
      <c r="EXC2493" s="59"/>
      <c r="EXD2493" s="59"/>
      <c r="EXE2493" s="59"/>
      <c r="EXF2493" s="60"/>
      <c r="EXG2493" s="60"/>
      <c r="EXH2493" s="60"/>
      <c r="EXI2493" s="59"/>
      <c r="EXJ2493" s="61"/>
      <c r="EXK2493" s="59"/>
      <c r="EXL2493" s="59"/>
      <c r="EXM2493" s="59"/>
      <c r="EXN2493" s="60"/>
      <c r="EXO2493" s="60"/>
      <c r="EXP2493" s="60"/>
      <c r="EXQ2493" s="59"/>
      <c r="EXR2493" s="61"/>
      <c r="EXS2493" s="59"/>
      <c r="EXT2493" s="59"/>
      <c r="EXU2493" s="59"/>
      <c r="EXV2493" s="60"/>
      <c r="EXW2493" s="60"/>
      <c r="EXX2493" s="60"/>
      <c r="EXY2493" s="59"/>
      <c r="EXZ2493" s="61"/>
      <c r="EYA2493" s="59"/>
      <c r="EYB2493" s="59"/>
      <c r="EYC2493" s="59"/>
      <c r="EYD2493" s="60"/>
      <c r="EYE2493" s="60"/>
      <c r="EYF2493" s="60"/>
      <c r="EYG2493" s="59"/>
      <c r="EYH2493" s="61"/>
      <c r="EYI2493" s="59"/>
      <c r="EYJ2493" s="59"/>
      <c r="EYK2493" s="59"/>
      <c r="EYL2493" s="60"/>
      <c r="EYM2493" s="60"/>
      <c r="EYN2493" s="60"/>
      <c r="EYO2493" s="59"/>
      <c r="EYP2493" s="61"/>
      <c r="EYQ2493" s="59"/>
      <c r="EYR2493" s="59"/>
      <c r="EYS2493" s="59"/>
      <c r="EYT2493" s="60"/>
      <c r="EYU2493" s="60"/>
      <c r="EYV2493" s="60"/>
      <c r="EYW2493" s="59"/>
      <c r="EYX2493" s="61"/>
      <c r="EYY2493" s="59"/>
      <c r="EYZ2493" s="59"/>
      <c r="EZA2493" s="59"/>
      <c r="EZB2493" s="60"/>
      <c r="EZC2493" s="60"/>
      <c r="EZD2493" s="60"/>
      <c r="EZE2493" s="59"/>
      <c r="EZF2493" s="61"/>
      <c r="EZG2493" s="59"/>
      <c r="EZH2493" s="59"/>
      <c r="EZI2493" s="59"/>
      <c r="EZJ2493" s="60"/>
      <c r="EZK2493" s="60"/>
      <c r="EZL2493" s="60"/>
      <c r="EZM2493" s="59"/>
      <c r="EZN2493" s="61"/>
      <c r="EZO2493" s="59"/>
      <c r="EZP2493" s="59"/>
      <c r="EZQ2493" s="59"/>
      <c r="EZR2493" s="60"/>
      <c r="EZS2493" s="60"/>
      <c r="EZT2493" s="60"/>
      <c r="EZU2493" s="59"/>
      <c r="EZV2493" s="61"/>
      <c r="EZW2493" s="59"/>
      <c r="EZX2493" s="59"/>
      <c r="EZY2493" s="59"/>
      <c r="EZZ2493" s="60"/>
      <c r="FAA2493" s="60"/>
      <c r="FAB2493" s="60"/>
      <c r="FAC2493" s="59"/>
      <c r="FAD2493" s="61"/>
      <c r="FAE2493" s="59"/>
      <c r="FAF2493" s="59"/>
      <c r="FAG2493" s="59"/>
      <c r="FAH2493" s="60"/>
      <c r="FAI2493" s="60"/>
      <c r="FAJ2493" s="60"/>
      <c r="FAK2493" s="59"/>
      <c r="FAL2493" s="61"/>
      <c r="FAM2493" s="59"/>
      <c r="FAN2493" s="59"/>
      <c r="FAO2493" s="59"/>
      <c r="FAP2493" s="60"/>
      <c r="FAQ2493" s="60"/>
      <c r="FAR2493" s="60"/>
      <c r="FAS2493" s="59"/>
      <c r="FAT2493" s="61"/>
      <c r="FAU2493" s="59"/>
      <c r="FAV2493" s="59"/>
      <c r="FAW2493" s="59"/>
      <c r="FAX2493" s="60"/>
      <c r="FAY2493" s="60"/>
      <c r="FAZ2493" s="60"/>
      <c r="FBA2493" s="59"/>
      <c r="FBB2493" s="61"/>
      <c r="FBC2493" s="59"/>
      <c r="FBD2493" s="59"/>
      <c r="FBE2493" s="59"/>
      <c r="FBF2493" s="60"/>
      <c r="FBG2493" s="60"/>
      <c r="FBH2493" s="60"/>
      <c r="FBI2493" s="59"/>
      <c r="FBJ2493" s="61"/>
      <c r="FBK2493" s="59"/>
      <c r="FBL2493" s="59"/>
      <c r="FBM2493" s="59"/>
      <c r="FBN2493" s="60"/>
      <c r="FBO2493" s="60"/>
      <c r="FBP2493" s="60"/>
      <c r="FBQ2493" s="59"/>
      <c r="FBR2493" s="61"/>
      <c r="FBS2493" s="59"/>
      <c r="FBT2493" s="59"/>
      <c r="FBU2493" s="59"/>
      <c r="FBV2493" s="60"/>
      <c r="FBW2493" s="60"/>
      <c r="FBX2493" s="60"/>
      <c r="FBY2493" s="59"/>
      <c r="FBZ2493" s="61"/>
      <c r="FCA2493" s="59"/>
      <c r="FCB2493" s="59"/>
      <c r="FCC2493" s="59"/>
      <c r="FCD2493" s="60"/>
      <c r="FCE2493" s="60"/>
      <c r="FCF2493" s="60"/>
      <c r="FCG2493" s="59"/>
      <c r="FCH2493" s="61"/>
      <c r="FCI2493" s="59"/>
      <c r="FCJ2493" s="59"/>
      <c r="FCK2493" s="59"/>
      <c r="FCL2493" s="60"/>
      <c r="FCM2493" s="60"/>
      <c r="FCN2493" s="60"/>
      <c r="FCO2493" s="59"/>
      <c r="FCP2493" s="61"/>
      <c r="FCQ2493" s="59"/>
      <c r="FCR2493" s="59"/>
      <c r="FCS2493" s="59"/>
      <c r="FCT2493" s="60"/>
      <c r="FCU2493" s="60"/>
      <c r="FCV2493" s="60"/>
      <c r="FCW2493" s="59"/>
      <c r="FCX2493" s="61"/>
      <c r="FCY2493" s="59"/>
      <c r="FCZ2493" s="59"/>
      <c r="FDA2493" s="59"/>
      <c r="FDB2493" s="60"/>
      <c r="FDC2493" s="60"/>
      <c r="FDD2493" s="60"/>
      <c r="FDE2493" s="59"/>
      <c r="FDF2493" s="61"/>
      <c r="FDG2493" s="59"/>
      <c r="FDH2493" s="59"/>
      <c r="FDI2493" s="59"/>
      <c r="FDJ2493" s="60"/>
      <c r="FDK2493" s="60"/>
      <c r="FDL2493" s="60"/>
      <c r="FDM2493" s="59"/>
      <c r="FDN2493" s="61"/>
      <c r="FDO2493" s="59"/>
      <c r="FDP2493" s="59"/>
      <c r="FDQ2493" s="59"/>
      <c r="FDR2493" s="60"/>
      <c r="FDS2493" s="60"/>
      <c r="FDT2493" s="60"/>
      <c r="FDU2493" s="59"/>
      <c r="FDV2493" s="61"/>
      <c r="FDW2493" s="59"/>
      <c r="FDX2493" s="59"/>
      <c r="FDY2493" s="59"/>
      <c r="FDZ2493" s="60"/>
      <c r="FEA2493" s="60"/>
      <c r="FEB2493" s="60"/>
      <c r="FEC2493" s="59"/>
      <c r="FED2493" s="61"/>
      <c r="FEE2493" s="59"/>
      <c r="FEF2493" s="59"/>
      <c r="FEG2493" s="59"/>
      <c r="FEH2493" s="60"/>
      <c r="FEI2493" s="60"/>
      <c r="FEJ2493" s="60"/>
      <c r="FEK2493" s="59"/>
      <c r="FEL2493" s="61"/>
      <c r="FEM2493" s="59"/>
      <c r="FEN2493" s="59"/>
      <c r="FEO2493" s="59"/>
      <c r="FEP2493" s="60"/>
      <c r="FEQ2493" s="60"/>
      <c r="FER2493" s="60"/>
      <c r="FES2493" s="59"/>
      <c r="FET2493" s="61"/>
      <c r="FEU2493" s="59"/>
      <c r="FEV2493" s="59"/>
      <c r="FEW2493" s="59"/>
      <c r="FEX2493" s="60"/>
      <c r="FEY2493" s="60"/>
      <c r="FEZ2493" s="60"/>
      <c r="FFA2493" s="59"/>
      <c r="FFB2493" s="61"/>
      <c r="FFC2493" s="59"/>
      <c r="FFD2493" s="59"/>
      <c r="FFE2493" s="59"/>
      <c r="FFF2493" s="60"/>
      <c r="FFG2493" s="60"/>
      <c r="FFH2493" s="60"/>
      <c r="FFI2493" s="59"/>
      <c r="FFJ2493" s="61"/>
      <c r="FFK2493" s="59"/>
      <c r="FFL2493" s="59"/>
      <c r="FFM2493" s="59"/>
      <c r="FFN2493" s="60"/>
      <c r="FFO2493" s="60"/>
      <c r="FFP2493" s="60"/>
      <c r="FFQ2493" s="59"/>
      <c r="FFR2493" s="61"/>
      <c r="FFS2493" s="59"/>
      <c r="FFT2493" s="59"/>
      <c r="FFU2493" s="59"/>
      <c r="FFV2493" s="60"/>
      <c r="FFW2493" s="60"/>
      <c r="FFX2493" s="60"/>
      <c r="FFY2493" s="59"/>
      <c r="FFZ2493" s="61"/>
      <c r="FGA2493" s="59"/>
      <c r="FGB2493" s="59"/>
      <c r="FGC2493" s="59"/>
      <c r="FGD2493" s="60"/>
      <c r="FGE2493" s="60"/>
      <c r="FGF2493" s="60"/>
      <c r="FGG2493" s="59"/>
      <c r="FGH2493" s="61"/>
      <c r="FGI2493" s="59"/>
      <c r="FGJ2493" s="59"/>
      <c r="FGK2493" s="59"/>
      <c r="FGL2493" s="60"/>
      <c r="FGM2493" s="60"/>
      <c r="FGN2493" s="60"/>
      <c r="FGO2493" s="59"/>
      <c r="FGP2493" s="61"/>
      <c r="FGQ2493" s="59"/>
      <c r="FGR2493" s="59"/>
      <c r="FGS2493" s="59"/>
      <c r="FGT2493" s="60"/>
      <c r="FGU2493" s="60"/>
      <c r="FGV2493" s="60"/>
      <c r="FGW2493" s="59"/>
      <c r="FGX2493" s="61"/>
      <c r="FGY2493" s="59"/>
      <c r="FGZ2493" s="59"/>
      <c r="FHA2493" s="59"/>
      <c r="FHB2493" s="60"/>
      <c r="FHC2493" s="60"/>
      <c r="FHD2493" s="60"/>
      <c r="FHE2493" s="59"/>
      <c r="FHF2493" s="61"/>
      <c r="FHG2493" s="59"/>
      <c r="FHH2493" s="59"/>
      <c r="FHI2493" s="59"/>
      <c r="FHJ2493" s="60"/>
      <c r="FHK2493" s="60"/>
      <c r="FHL2493" s="60"/>
      <c r="FHM2493" s="59"/>
      <c r="FHN2493" s="61"/>
      <c r="FHO2493" s="59"/>
      <c r="FHP2493" s="59"/>
      <c r="FHQ2493" s="59"/>
      <c r="FHR2493" s="60"/>
      <c r="FHS2493" s="60"/>
      <c r="FHT2493" s="60"/>
      <c r="FHU2493" s="59"/>
      <c r="FHV2493" s="61"/>
      <c r="FHW2493" s="59"/>
      <c r="FHX2493" s="59"/>
      <c r="FHY2493" s="59"/>
      <c r="FHZ2493" s="60"/>
      <c r="FIA2493" s="60"/>
      <c r="FIB2493" s="60"/>
      <c r="FIC2493" s="59"/>
      <c r="FID2493" s="61"/>
      <c r="FIE2493" s="59"/>
      <c r="FIF2493" s="59"/>
      <c r="FIG2493" s="59"/>
      <c r="FIH2493" s="60"/>
      <c r="FII2493" s="60"/>
      <c r="FIJ2493" s="60"/>
      <c r="FIK2493" s="59"/>
      <c r="FIL2493" s="61"/>
      <c r="FIM2493" s="59"/>
      <c r="FIN2493" s="59"/>
      <c r="FIO2493" s="59"/>
      <c r="FIP2493" s="60"/>
      <c r="FIQ2493" s="60"/>
      <c r="FIR2493" s="60"/>
      <c r="FIS2493" s="59"/>
      <c r="FIT2493" s="61"/>
      <c r="FIU2493" s="59"/>
      <c r="FIV2493" s="59"/>
      <c r="FIW2493" s="59"/>
      <c r="FIX2493" s="60"/>
      <c r="FIY2493" s="60"/>
      <c r="FIZ2493" s="60"/>
      <c r="FJA2493" s="59"/>
      <c r="FJB2493" s="61"/>
      <c r="FJC2493" s="59"/>
      <c r="FJD2493" s="59"/>
      <c r="FJE2493" s="59"/>
      <c r="FJF2493" s="60"/>
      <c r="FJG2493" s="60"/>
      <c r="FJH2493" s="60"/>
      <c r="FJI2493" s="59"/>
      <c r="FJJ2493" s="61"/>
      <c r="FJK2493" s="59"/>
      <c r="FJL2493" s="59"/>
      <c r="FJM2493" s="59"/>
      <c r="FJN2493" s="60"/>
      <c r="FJO2493" s="60"/>
      <c r="FJP2493" s="60"/>
      <c r="FJQ2493" s="59"/>
      <c r="FJR2493" s="61"/>
      <c r="FJS2493" s="59"/>
      <c r="FJT2493" s="59"/>
      <c r="FJU2493" s="59"/>
      <c r="FJV2493" s="60"/>
      <c r="FJW2493" s="60"/>
      <c r="FJX2493" s="60"/>
      <c r="FJY2493" s="59"/>
      <c r="FJZ2493" s="61"/>
      <c r="FKA2493" s="59"/>
      <c r="FKB2493" s="59"/>
      <c r="FKC2493" s="59"/>
      <c r="FKD2493" s="60"/>
      <c r="FKE2493" s="60"/>
      <c r="FKF2493" s="60"/>
      <c r="FKG2493" s="59"/>
      <c r="FKH2493" s="61"/>
      <c r="FKI2493" s="59"/>
      <c r="FKJ2493" s="59"/>
      <c r="FKK2493" s="59"/>
      <c r="FKL2493" s="60"/>
      <c r="FKM2493" s="60"/>
      <c r="FKN2493" s="60"/>
      <c r="FKO2493" s="59"/>
      <c r="FKP2493" s="61"/>
      <c r="FKQ2493" s="59"/>
      <c r="FKR2493" s="59"/>
      <c r="FKS2493" s="59"/>
      <c r="FKT2493" s="60"/>
      <c r="FKU2493" s="60"/>
      <c r="FKV2493" s="60"/>
      <c r="FKW2493" s="59"/>
      <c r="FKX2493" s="61"/>
      <c r="FKY2493" s="59"/>
      <c r="FKZ2493" s="59"/>
      <c r="FLA2493" s="59"/>
      <c r="FLB2493" s="60"/>
      <c r="FLC2493" s="60"/>
      <c r="FLD2493" s="60"/>
      <c r="FLE2493" s="59"/>
      <c r="FLF2493" s="61"/>
      <c r="FLG2493" s="59"/>
      <c r="FLH2493" s="59"/>
      <c r="FLI2493" s="59"/>
      <c r="FLJ2493" s="60"/>
      <c r="FLK2493" s="60"/>
      <c r="FLL2493" s="60"/>
      <c r="FLM2493" s="59"/>
      <c r="FLN2493" s="61"/>
      <c r="FLO2493" s="59"/>
      <c r="FLP2493" s="59"/>
      <c r="FLQ2493" s="59"/>
      <c r="FLR2493" s="60"/>
      <c r="FLS2493" s="60"/>
      <c r="FLT2493" s="60"/>
      <c r="FLU2493" s="59"/>
      <c r="FLV2493" s="61"/>
      <c r="FLW2493" s="59"/>
      <c r="FLX2493" s="59"/>
      <c r="FLY2493" s="59"/>
      <c r="FLZ2493" s="60"/>
      <c r="FMA2493" s="60"/>
      <c r="FMB2493" s="60"/>
      <c r="FMC2493" s="59"/>
      <c r="FMD2493" s="61"/>
      <c r="FME2493" s="59"/>
      <c r="FMF2493" s="59"/>
      <c r="FMG2493" s="59"/>
      <c r="FMH2493" s="60"/>
      <c r="FMI2493" s="60"/>
      <c r="FMJ2493" s="60"/>
      <c r="FMK2493" s="59"/>
      <c r="FML2493" s="61"/>
      <c r="FMM2493" s="59"/>
      <c r="FMN2493" s="59"/>
      <c r="FMO2493" s="59"/>
      <c r="FMP2493" s="60"/>
      <c r="FMQ2493" s="60"/>
      <c r="FMR2493" s="60"/>
      <c r="FMS2493" s="59"/>
      <c r="FMT2493" s="61"/>
      <c r="FMU2493" s="59"/>
      <c r="FMV2493" s="59"/>
      <c r="FMW2493" s="59"/>
      <c r="FMX2493" s="60"/>
      <c r="FMY2493" s="60"/>
      <c r="FMZ2493" s="60"/>
      <c r="FNA2493" s="59"/>
      <c r="FNB2493" s="61"/>
      <c r="FNC2493" s="59"/>
      <c r="FND2493" s="59"/>
      <c r="FNE2493" s="59"/>
      <c r="FNF2493" s="60"/>
      <c r="FNG2493" s="60"/>
      <c r="FNH2493" s="60"/>
      <c r="FNI2493" s="59"/>
      <c r="FNJ2493" s="61"/>
      <c r="FNK2493" s="59"/>
      <c r="FNL2493" s="59"/>
      <c r="FNM2493" s="59"/>
      <c r="FNN2493" s="60"/>
      <c r="FNO2493" s="60"/>
      <c r="FNP2493" s="60"/>
      <c r="FNQ2493" s="59"/>
      <c r="FNR2493" s="61"/>
      <c r="FNS2493" s="59"/>
      <c r="FNT2493" s="59"/>
      <c r="FNU2493" s="59"/>
      <c r="FNV2493" s="60"/>
      <c r="FNW2493" s="60"/>
      <c r="FNX2493" s="60"/>
      <c r="FNY2493" s="59"/>
      <c r="FNZ2493" s="61"/>
      <c r="FOA2493" s="59"/>
      <c r="FOB2493" s="59"/>
      <c r="FOC2493" s="59"/>
      <c r="FOD2493" s="60"/>
      <c r="FOE2493" s="60"/>
      <c r="FOF2493" s="60"/>
      <c r="FOG2493" s="59"/>
      <c r="FOH2493" s="61"/>
      <c r="FOI2493" s="59"/>
      <c r="FOJ2493" s="59"/>
      <c r="FOK2493" s="59"/>
      <c r="FOL2493" s="60"/>
      <c r="FOM2493" s="60"/>
      <c r="FON2493" s="60"/>
      <c r="FOO2493" s="59"/>
      <c r="FOP2493" s="61"/>
      <c r="FOQ2493" s="59"/>
      <c r="FOR2493" s="59"/>
      <c r="FOS2493" s="59"/>
      <c r="FOT2493" s="60"/>
      <c r="FOU2493" s="60"/>
      <c r="FOV2493" s="60"/>
      <c r="FOW2493" s="59"/>
      <c r="FOX2493" s="61"/>
      <c r="FOY2493" s="59"/>
      <c r="FOZ2493" s="59"/>
      <c r="FPA2493" s="59"/>
      <c r="FPB2493" s="60"/>
      <c r="FPC2493" s="60"/>
      <c r="FPD2493" s="60"/>
      <c r="FPE2493" s="59"/>
      <c r="FPF2493" s="61"/>
      <c r="FPG2493" s="59"/>
      <c r="FPH2493" s="59"/>
      <c r="FPI2493" s="59"/>
      <c r="FPJ2493" s="60"/>
      <c r="FPK2493" s="60"/>
      <c r="FPL2493" s="60"/>
      <c r="FPM2493" s="59"/>
      <c r="FPN2493" s="61"/>
      <c r="FPO2493" s="59"/>
      <c r="FPP2493" s="59"/>
      <c r="FPQ2493" s="59"/>
      <c r="FPR2493" s="60"/>
      <c r="FPS2493" s="60"/>
      <c r="FPT2493" s="60"/>
      <c r="FPU2493" s="59"/>
      <c r="FPV2493" s="61"/>
      <c r="FPW2493" s="59"/>
      <c r="FPX2493" s="59"/>
      <c r="FPY2493" s="59"/>
      <c r="FPZ2493" s="60"/>
      <c r="FQA2493" s="60"/>
      <c r="FQB2493" s="60"/>
      <c r="FQC2493" s="59"/>
      <c r="FQD2493" s="61"/>
      <c r="FQE2493" s="59"/>
      <c r="FQF2493" s="59"/>
      <c r="FQG2493" s="59"/>
      <c r="FQH2493" s="60"/>
      <c r="FQI2493" s="60"/>
      <c r="FQJ2493" s="60"/>
      <c r="FQK2493" s="59"/>
      <c r="FQL2493" s="61"/>
      <c r="FQM2493" s="59"/>
      <c r="FQN2493" s="59"/>
      <c r="FQO2493" s="59"/>
      <c r="FQP2493" s="60"/>
      <c r="FQQ2493" s="60"/>
      <c r="FQR2493" s="60"/>
      <c r="FQS2493" s="59"/>
      <c r="FQT2493" s="61"/>
      <c r="FQU2493" s="59"/>
      <c r="FQV2493" s="59"/>
      <c r="FQW2493" s="59"/>
      <c r="FQX2493" s="60"/>
      <c r="FQY2493" s="60"/>
      <c r="FQZ2493" s="60"/>
      <c r="FRA2493" s="59"/>
      <c r="FRB2493" s="61"/>
      <c r="FRC2493" s="59"/>
      <c r="FRD2493" s="59"/>
      <c r="FRE2493" s="59"/>
      <c r="FRF2493" s="60"/>
      <c r="FRG2493" s="60"/>
      <c r="FRH2493" s="60"/>
      <c r="FRI2493" s="59"/>
      <c r="FRJ2493" s="61"/>
      <c r="FRK2493" s="59"/>
      <c r="FRL2493" s="59"/>
      <c r="FRM2493" s="59"/>
      <c r="FRN2493" s="60"/>
      <c r="FRO2493" s="60"/>
      <c r="FRP2493" s="60"/>
      <c r="FRQ2493" s="59"/>
      <c r="FRR2493" s="61"/>
      <c r="FRS2493" s="59"/>
      <c r="FRT2493" s="59"/>
      <c r="FRU2493" s="59"/>
      <c r="FRV2493" s="60"/>
      <c r="FRW2493" s="60"/>
      <c r="FRX2493" s="60"/>
      <c r="FRY2493" s="59"/>
      <c r="FRZ2493" s="61"/>
      <c r="FSA2493" s="59"/>
      <c r="FSB2493" s="59"/>
      <c r="FSC2493" s="59"/>
      <c r="FSD2493" s="60"/>
      <c r="FSE2493" s="60"/>
      <c r="FSF2493" s="60"/>
      <c r="FSG2493" s="59"/>
      <c r="FSH2493" s="61"/>
      <c r="FSI2493" s="59"/>
      <c r="FSJ2493" s="59"/>
      <c r="FSK2493" s="59"/>
      <c r="FSL2493" s="60"/>
      <c r="FSM2493" s="60"/>
      <c r="FSN2493" s="60"/>
      <c r="FSO2493" s="59"/>
      <c r="FSP2493" s="61"/>
      <c r="FSQ2493" s="59"/>
      <c r="FSR2493" s="59"/>
      <c r="FSS2493" s="59"/>
      <c r="FST2493" s="60"/>
      <c r="FSU2493" s="60"/>
      <c r="FSV2493" s="60"/>
      <c r="FSW2493" s="59"/>
      <c r="FSX2493" s="61"/>
      <c r="FSY2493" s="59"/>
      <c r="FSZ2493" s="59"/>
      <c r="FTA2493" s="59"/>
      <c r="FTB2493" s="60"/>
      <c r="FTC2493" s="60"/>
      <c r="FTD2493" s="60"/>
      <c r="FTE2493" s="59"/>
      <c r="FTF2493" s="61"/>
      <c r="FTG2493" s="59"/>
      <c r="FTH2493" s="59"/>
      <c r="FTI2493" s="59"/>
      <c r="FTJ2493" s="60"/>
      <c r="FTK2493" s="60"/>
      <c r="FTL2493" s="60"/>
      <c r="FTM2493" s="59"/>
      <c r="FTN2493" s="61"/>
      <c r="FTO2493" s="59"/>
      <c r="FTP2493" s="59"/>
      <c r="FTQ2493" s="59"/>
      <c r="FTR2493" s="60"/>
      <c r="FTS2493" s="60"/>
      <c r="FTT2493" s="60"/>
      <c r="FTU2493" s="59"/>
      <c r="FTV2493" s="61"/>
      <c r="FTW2493" s="59"/>
      <c r="FTX2493" s="59"/>
      <c r="FTY2493" s="59"/>
      <c r="FTZ2493" s="60"/>
      <c r="FUA2493" s="60"/>
      <c r="FUB2493" s="60"/>
      <c r="FUC2493" s="59"/>
      <c r="FUD2493" s="61"/>
      <c r="FUE2493" s="59"/>
      <c r="FUF2493" s="59"/>
      <c r="FUG2493" s="59"/>
      <c r="FUH2493" s="60"/>
      <c r="FUI2493" s="60"/>
      <c r="FUJ2493" s="60"/>
      <c r="FUK2493" s="59"/>
      <c r="FUL2493" s="61"/>
      <c r="FUM2493" s="59"/>
      <c r="FUN2493" s="59"/>
      <c r="FUO2493" s="59"/>
      <c r="FUP2493" s="60"/>
      <c r="FUQ2493" s="60"/>
      <c r="FUR2493" s="60"/>
      <c r="FUS2493" s="59"/>
      <c r="FUT2493" s="61"/>
      <c r="FUU2493" s="59"/>
      <c r="FUV2493" s="59"/>
      <c r="FUW2493" s="59"/>
      <c r="FUX2493" s="60"/>
      <c r="FUY2493" s="60"/>
      <c r="FUZ2493" s="60"/>
      <c r="FVA2493" s="59"/>
      <c r="FVB2493" s="61"/>
      <c r="FVC2493" s="59"/>
      <c r="FVD2493" s="59"/>
      <c r="FVE2493" s="59"/>
      <c r="FVF2493" s="60"/>
      <c r="FVG2493" s="60"/>
      <c r="FVH2493" s="60"/>
      <c r="FVI2493" s="59"/>
      <c r="FVJ2493" s="61"/>
      <c r="FVK2493" s="59"/>
      <c r="FVL2493" s="59"/>
      <c r="FVM2493" s="59"/>
      <c r="FVN2493" s="60"/>
      <c r="FVO2493" s="60"/>
      <c r="FVP2493" s="60"/>
      <c r="FVQ2493" s="59"/>
      <c r="FVR2493" s="61"/>
      <c r="FVS2493" s="59"/>
      <c r="FVT2493" s="59"/>
      <c r="FVU2493" s="59"/>
      <c r="FVV2493" s="60"/>
      <c r="FVW2493" s="60"/>
      <c r="FVX2493" s="60"/>
      <c r="FVY2493" s="59"/>
      <c r="FVZ2493" s="61"/>
      <c r="FWA2493" s="59"/>
      <c r="FWB2493" s="59"/>
      <c r="FWC2493" s="59"/>
      <c r="FWD2493" s="60"/>
      <c r="FWE2493" s="60"/>
      <c r="FWF2493" s="60"/>
      <c r="FWG2493" s="59"/>
      <c r="FWH2493" s="61"/>
      <c r="FWI2493" s="59"/>
      <c r="FWJ2493" s="59"/>
      <c r="FWK2493" s="59"/>
      <c r="FWL2493" s="60"/>
      <c r="FWM2493" s="60"/>
      <c r="FWN2493" s="60"/>
      <c r="FWO2493" s="59"/>
      <c r="FWP2493" s="61"/>
      <c r="FWQ2493" s="59"/>
      <c r="FWR2493" s="59"/>
      <c r="FWS2493" s="59"/>
      <c r="FWT2493" s="60"/>
      <c r="FWU2493" s="60"/>
      <c r="FWV2493" s="60"/>
      <c r="FWW2493" s="59"/>
      <c r="FWX2493" s="61"/>
      <c r="FWY2493" s="59"/>
      <c r="FWZ2493" s="59"/>
      <c r="FXA2493" s="59"/>
      <c r="FXB2493" s="60"/>
      <c r="FXC2493" s="60"/>
      <c r="FXD2493" s="60"/>
      <c r="FXE2493" s="59"/>
      <c r="FXF2493" s="61"/>
      <c r="FXG2493" s="59"/>
      <c r="FXH2493" s="59"/>
      <c r="FXI2493" s="59"/>
      <c r="FXJ2493" s="60"/>
      <c r="FXK2493" s="60"/>
      <c r="FXL2493" s="60"/>
      <c r="FXM2493" s="59"/>
      <c r="FXN2493" s="61"/>
      <c r="FXO2493" s="59"/>
      <c r="FXP2493" s="59"/>
      <c r="FXQ2493" s="59"/>
      <c r="FXR2493" s="60"/>
      <c r="FXS2493" s="60"/>
      <c r="FXT2493" s="60"/>
      <c r="FXU2493" s="59"/>
      <c r="FXV2493" s="61"/>
      <c r="FXW2493" s="59"/>
      <c r="FXX2493" s="59"/>
      <c r="FXY2493" s="59"/>
      <c r="FXZ2493" s="60"/>
      <c r="FYA2493" s="60"/>
      <c r="FYB2493" s="60"/>
      <c r="FYC2493" s="59"/>
      <c r="FYD2493" s="61"/>
      <c r="FYE2493" s="59"/>
      <c r="FYF2493" s="59"/>
      <c r="FYG2493" s="59"/>
      <c r="FYH2493" s="60"/>
      <c r="FYI2493" s="60"/>
      <c r="FYJ2493" s="60"/>
      <c r="FYK2493" s="59"/>
      <c r="FYL2493" s="61"/>
      <c r="FYM2493" s="59"/>
      <c r="FYN2493" s="59"/>
      <c r="FYO2493" s="59"/>
      <c r="FYP2493" s="60"/>
      <c r="FYQ2493" s="60"/>
      <c r="FYR2493" s="60"/>
      <c r="FYS2493" s="59"/>
      <c r="FYT2493" s="61"/>
      <c r="FYU2493" s="59"/>
      <c r="FYV2493" s="59"/>
      <c r="FYW2493" s="59"/>
      <c r="FYX2493" s="60"/>
      <c r="FYY2493" s="60"/>
      <c r="FYZ2493" s="60"/>
      <c r="FZA2493" s="59"/>
      <c r="FZB2493" s="61"/>
      <c r="FZC2493" s="59"/>
      <c r="FZD2493" s="59"/>
      <c r="FZE2493" s="59"/>
      <c r="FZF2493" s="60"/>
      <c r="FZG2493" s="60"/>
      <c r="FZH2493" s="60"/>
      <c r="FZI2493" s="59"/>
      <c r="FZJ2493" s="61"/>
      <c r="FZK2493" s="59"/>
      <c r="FZL2493" s="59"/>
      <c r="FZM2493" s="59"/>
      <c r="FZN2493" s="60"/>
      <c r="FZO2493" s="60"/>
      <c r="FZP2493" s="60"/>
      <c r="FZQ2493" s="59"/>
      <c r="FZR2493" s="61"/>
      <c r="FZS2493" s="59"/>
      <c r="FZT2493" s="59"/>
      <c r="FZU2493" s="59"/>
      <c r="FZV2493" s="60"/>
      <c r="FZW2493" s="60"/>
      <c r="FZX2493" s="60"/>
      <c r="FZY2493" s="59"/>
      <c r="FZZ2493" s="61"/>
      <c r="GAA2493" s="59"/>
      <c r="GAB2493" s="59"/>
      <c r="GAC2493" s="59"/>
      <c r="GAD2493" s="60"/>
      <c r="GAE2493" s="60"/>
      <c r="GAF2493" s="60"/>
      <c r="GAG2493" s="59"/>
      <c r="GAH2493" s="61"/>
      <c r="GAI2493" s="59"/>
      <c r="GAJ2493" s="59"/>
      <c r="GAK2493" s="59"/>
      <c r="GAL2493" s="60"/>
      <c r="GAM2493" s="60"/>
      <c r="GAN2493" s="60"/>
      <c r="GAO2493" s="59"/>
      <c r="GAP2493" s="61"/>
      <c r="GAQ2493" s="59"/>
      <c r="GAR2493" s="59"/>
      <c r="GAS2493" s="59"/>
      <c r="GAT2493" s="60"/>
      <c r="GAU2493" s="60"/>
      <c r="GAV2493" s="60"/>
      <c r="GAW2493" s="59"/>
      <c r="GAX2493" s="61"/>
      <c r="GAY2493" s="59"/>
      <c r="GAZ2493" s="59"/>
      <c r="GBA2493" s="59"/>
      <c r="GBB2493" s="60"/>
      <c r="GBC2493" s="60"/>
      <c r="GBD2493" s="60"/>
      <c r="GBE2493" s="59"/>
      <c r="GBF2493" s="61"/>
      <c r="GBG2493" s="59"/>
      <c r="GBH2493" s="59"/>
      <c r="GBI2493" s="59"/>
      <c r="GBJ2493" s="60"/>
      <c r="GBK2493" s="60"/>
      <c r="GBL2493" s="60"/>
      <c r="GBM2493" s="59"/>
      <c r="GBN2493" s="61"/>
      <c r="GBO2493" s="59"/>
      <c r="GBP2493" s="59"/>
      <c r="GBQ2493" s="59"/>
      <c r="GBR2493" s="60"/>
      <c r="GBS2493" s="60"/>
      <c r="GBT2493" s="60"/>
      <c r="GBU2493" s="59"/>
      <c r="GBV2493" s="61"/>
      <c r="GBW2493" s="59"/>
      <c r="GBX2493" s="59"/>
      <c r="GBY2493" s="59"/>
      <c r="GBZ2493" s="60"/>
      <c r="GCA2493" s="60"/>
      <c r="GCB2493" s="60"/>
      <c r="GCC2493" s="59"/>
      <c r="GCD2493" s="61"/>
      <c r="GCE2493" s="59"/>
      <c r="GCF2493" s="59"/>
      <c r="GCG2493" s="59"/>
      <c r="GCH2493" s="60"/>
      <c r="GCI2493" s="60"/>
      <c r="GCJ2493" s="60"/>
      <c r="GCK2493" s="59"/>
      <c r="GCL2493" s="61"/>
      <c r="GCM2493" s="59"/>
      <c r="GCN2493" s="59"/>
      <c r="GCO2493" s="59"/>
      <c r="GCP2493" s="60"/>
      <c r="GCQ2493" s="60"/>
      <c r="GCR2493" s="60"/>
      <c r="GCS2493" s="59"/>
      <c r="GCT2493" s="61"/>
      <c r="GCU2493" s="59"/>
      <c r="GCV2493" s="59"/>
      <c r="GCW2493" s="59"/>
      <c r="GCX2493" s="60"/>
      <c r="GCY2493" s="60"/>
      <c r="GCZ2493" s="60"/>
      <c r="GDA2493" s="59"/>
      <c r="GDB2493" s="61"/>
      <c r="GDC2493" s="59"/>
      <c r="GDD2493" s="59"/>
      <c r="GDE2493" s="59"/>
      <c r="GDF2493" s="60"/>
      <c r="GDG2493" s="60"/>
      <c r="GDH2493" s="60"/>
      <c r="GDI2493" s="59"/>
      <c r="GDJ2493" s="61"/>
      <c r="GDK2493" s="59"/>
      <c r="GDL2493" s="59"/>
      <c r="GDM2493" s="59"/>
      <c r="GDN2493" s="60"/>
      <c r="GDO2493" s="60"/>
      <c r="GDP2493" s="60"/>
      <c r="GDQ2493" s="59"/>
      <c r="GDR2493" s="61"/>
      <c r="GDS2493" s="59"/>
      <c r="GDT2493" s="59"/>
      <c r="GDU2493" s="59"/>
      <c r="GDV2493" s="60"/>
      <c r="GDW2493" s="60"/>
      <c r="GDX2493" s="60"/>
      <c r="GDY2493" s="59"/>
      <c r="GDZ2493" s="61"/>
      <c r="GEA2493" s="59"/>
      <c r="GEB2493" s="59"/>
      <c r="GEC2493" s="59"/>
      <c r="GED2493" s="60"/>
      <c r="GEE2493" s="60"/>
      <c r="GEF2493" s="60"/>
      <c r="GEG2493" s="59"/>
      <c r="GEH2493" s="61"/>
      <c r="GEI2493" s="59"/>
      <c r="GEJ2493" s="59"/>
      <c r="GEK2493" s="59"/>
      <c r="GEL2493" s="60"/>
      <c r="GEM2493" s="60"/>
      <c r="GEN2493" s="60"/>
      <c r="GEO2493" s="59"/>
      <c r="GEP2493" s="61"/>
      <c r="GEQ2493" s="59"/>
      <c r="GER2493" s="59"/>
      <c r="GES2493" s="59"/>
      <c r="GET2493" s="60"/>
      <c r="GEU2493" s="60"/>
      <c r="GEV2493" s="60"/>
      <c r="GEW2493" s="59"/>
      <c r="GEX2493" s="61"/>
      <c r="GEY2493" s="59"/>
      <c r="GEZ2493" s="59"/>
      <c r="GFA2493" s="59"/>
      <c r="GFB2493" s="60"/>
      <c r="GFC2493" s="60"/>
      <c r="GFD2493" s="60"/>
      <c r="GFE2493" s="59"/>
      <c r="GFF2493" s="61"/>
      <c r="GFG2493" s="59"/>
      <c r="GFH2493" s="59"/>
      <c r="GFI2493" s="59"/>
      <c r="GFJ2493" s="60"/>
      <c r="GFK2493" s="60"/>
      <c r="GFL2493" s="60"/>
      <c r="GFM2493" s="59"/>
      <c r="GFN2493" s="61"/>
      <c r="GFO2493" s="59"/>
      <c r="GFP2493" s="59"/>
      <c r="GFQ2493" s="59"/>
      <c r="GFR2493" s="60"/>
      <c r="GFS2493" s="60"/>
      <c r="GFT2493" s="60"/>
      <c r="GFU2493" s="59"/>
      <c r="GFV2493" s="61"/>
      <c r="GFW2493" s="59"/>
      <c r="GFX2493" s="59"/>
      <c r="GFY2493" s="59"/>
      <c r="GFZ2493" s="60"/>
      <c r="GGA2493" s="60"/>
      <c r="GGB2493" s="60"/>
      <c r="GGC2493" s="59"/>
      <c r="GGD2493" s="61"/>
      <c r="GGE2493" s="59"/>
      <c r="GGF2493" s="59"/>
      <c r="GGG2493" s="59"/>
      <c r="GGH2493" s="60"/>
      <c r="GGI2493" s="60"/>
      <c r="GGJ2493" s="60"/>
      <c r="GGK2493" s="59"/>
      <c r="GGL2493" s="61"/>
      <c r="GGM2493" s="59"/>
      <c r="GGN2493" s="59"/>
      <c r="GGO2493" s="59"/>
      <c r="GGP2493" s="60"/>
      <c r="GGQ2493" s="60"/>
      <c r="GGR2493" s="60"/>
      <c r="GGS2493" s="59"/>
      <c r="GGT2493" s="61"/>
      <c r="GGU2493" s="59"/>
      <c r="GGV2493" s="59"/>
      <c r="GGW2493" s="59"/>
      <c r="GGX2493" s="60"/>
      <c r="GGY2493" s="60"/>
      <c r="GGZ2493" s="60"/>
      <c r="GHA2493" s="59"/>
      <c r="GHB2493" s="61"/>
      <c r="GHC2493" s="59"/>
      <c r="GHD2493" s="59"/>
      <c r="GHE2493" s="59"/>
      <c r="GHF2493" s="60"/>
      <c r="GHG2493" s="60"/>
      <c r="GHH2493" s="60"/>
      <c r="GHI2493" s="59"/>
      <c r="GHJ2493" s="61"/>
      <c r="GHK2493" s="59"/>
      <c r="GHL2493" s="59"/>
      <c r="GHM2493" s="59"/>
      <c r="GHN2493" s="60"/>
      <c r="GHO2493" s="60"/>
      <c r="GHP2493" s="60"/>
      <c r="GHQ2493" s="59"/>
      <c r="GHR2493" s="61"/>
      <c r="GHS2493" s="59"/>
      <c r="GHT2493" s="59"/>
      <c r="GHU2493" s="59"/>
      <c r="GHV2493" s="60"/>
      <c r="GHW2493" s="60"/>
      <c r="GHX2493" s="60"/>
      <c r="GHY2493" s="59"/>
      <c r="GHZ2493" s="61"/>
      <c r="GIA2493" s="59"/>
      <c r="GIB2493" s="59"/>
      <c r="GIC2493" s="59"/>
      <c r="GID2493" s="60"/>
      <c r="GIE2493" s="60"/>
      <c r="GIF2493" s="60"/>
      <c r="GIG2493" s="59"/>
      <c r="GIH2493" s="61"/>
      <c r="GII2493" s="59"/>
      <c r="GIJ2493" s="59"/>
      <c r="GIK2493" s="59"/>
      <c r="GIL2493" s="60"/>
      <c r="GIM2493" s="60"/>
      <c r="GIN2493" s="60"/>
      <c r="GIO2493" s="59"/>
      <c r="GIP2493" s="61"/>
      <c r="GIQ2493" s="59"/>
      <c r="GIR2493" s="59"/>
      <c r="GIS2493" s="59"/>
      <c r="GIT2493" s="60"/>
      <c r="GIU2493" s="60"/>
      <c r="GIV2493" s="60"/>
      <c r="GIW2493" s="59"/>
      <c r="GIX2493" s="61"/>
      <c r="GIY2493" s="59"/>
      <c r="GIZ2493" s="59"/>
      <c r="GJA2493" s="59"/>
      <c r="GJB2493" s="60"/>
      <c r="GJC2493" s="60"/>
      <c r="GJD2493" s="60"/>
      <c r="GJE2493" s="59"/>
      <c r="GJF2493" s="61"/>
      <c r="GJG2493" s="59"/>
      <c r="GJH2493" s="59"/>
      <c r="GJI2493" s="59"/>
      <c r="GJJ2493" s="60"/>
      <c r="GJK2493" s="60"/>
      <c r="GJL2493" s="60"/>
      <c r="GJM2493" s="59"/>
      <c r="GJN2493" s="61"/>
      <c r="GJO2493" s="59"/>
      <c r="GJP2493" s="59"/>
      <c r="GJQ2493" s="59"/>
      <c r="GJR2493" s="60"/>
      <c r="GJS2493" s="60"/>
      <c r="GJT2493" s="60"/>
      <c r="GJU2493" s="59"/>
      <c r="GJV2493" s="61"/>
      <c r="GJW2493" s="59"/>
      <c r="GJX2493" s="59"/>
      <c r="GJY2493" s="59"/>
      <c r="GJZ2493" s="60"/>
      <c r="GKA2493" s="60"/>
      <c r="GKB2493" s="60"/>
      <c r="GKC2493" s="59"/>
      <c r="GKD2493" s="61"/>
      <c r="GKE2493" s="59"/>
      <c r="GKF2493" s="59"/>
      <c r="GKG2493" s="59"/>
      <c r="GKH2493" s="60"/>
      <c r="GKI2493" s="60"/>
      <c r="GKJ2493" s="60"/>
      <c r="GKK2493" s="59"/>
      <c r="GKL2493" s="61"/>
      <c r="GKM2493" s="59"/>
      <c r="GKN2493" s="59"/>
      <c r="GKO2493" s="59"/>
      <c r="GKP2493" s="60"/>
      <c r="GKQ2493" s="60"/>
      <c r="GKR2493" s="60"/>
      <c r="GKS2493" s="59"/>
      <c r="GKT2493" s="61"/>
      <c r="GKU2493" s="59"/>
      <c r="GKV2493" s="59"/>
      <c r="GKW2493" s="59"/>
      <c r="GKX2493" s="60"/>
      <c r="GKY2493" s="60"/>
      <c r="GKZ2493" s="60"/>
      <c r="GLA2493" s="59"/>
      <c r="GLB2493" s="61"/>
      <c r="GLC2493" s="59"/>
      <c r="GLD2493" s="59"/>
      <c r="GLE2493" s="59"/>
      <c r="GLF2493" s="60"/>
      <c r="GLG2493" s="60"/>
      <c r="GLH2493" s="60"/>
      <c r="GLI2493" s="59"/>
      <c r="GLJ2493" s="61"/>
      <c r="GLK2493" s="59"/>
      <c r="GLL2493" s="59"/>
      <c r="GLM2493" s="59"/>
      <c r="GLN2493" s="60"/>
      <c r="GLO2493" s="60"/>
      <c r="GLP2493" s="60"/>
      <c r="GLQ2493" s="59"/>
      <c r="GLR2493" s="61"/>
      <c r="GLS2493" s="59"/>
      <c r="GLT2493" s="59"/>
      <c r="GLU2493" s="59"/>
      <c r="GLV2493" s="60"/>
      <c r="GLW2493" s="60"/>
      <c r="GLX2493" s="60"/>
      <c r="GLY2493" s="59"/>
      <c r="GLZ2493" s="61"/>
      <c r="GMA2493" s="59"/>
      <c r="GMB2493" s="59"/>
      <c r="GMC2493" s="59"/>
      <c r="GMD2493" s="60"/>
      <c r="GME2493" s="60"/>
      <c r="GMF2493" s="60"/>
      <c r="GMG2493" s="59"/>
      <c r="GMH2493" s="61"/>
      <c r="GMI2493" s="59"/>
      <c r="GMJ2493" s="59"/>
      <c r="GMK2493" s="59"/>
      <c r="GML2493" s="60"/>
      <c r="GMM2493" s="60"/>
      <c r="GMN2493" s="60"/>
      <c r="GMO2493" s="59"/>
      <c r="GMP2493" s="61"/>
      <c r="GMQ2493" s="59"/>
      <c r="GMR2493" s="59"/>
      <c r="GMS2493" s="59"/>
      <c r="GMT2493" s="60"/>
      <c r="GMU2493" s="60"/>
      <c r="GMV2493" s="60"/>
      <c r="GMW2493" s="59"/>
      <c r="GMX2493" s="61"/>
      <c r="GMY2493" s="59"/>
      <c r="GMZ2493" s="59"/>
      <c r="GNA2493" s="59"/>
      <c r="GNB2493" s="60"/>
      <c r="GNC2493" s="60"/>
      <c r="GND2493" s="60"/>
      <c r="GNE2493" s="59"/>
      <c r="GNF2493" s="61"/>
      <c r="GNG2493" s="59"/>
      <c r="GNH2493" s="59"/>
      <c r="GNI2493" s="59"/>
      <c r="GNJ2493" s="60"/>
      <c r="GNK2493" s="60"/>
      <c r="GNL2493" s="60"/>
      <c r="GNM2493" s="59"/>
      <c r="GNN2493" s="61"/>
      <c r="GNO2493" s="59"/>
      <c r="GNP2493" s="59"/>
      <c r="GNQ2493" s="59"/>
      <c r="GNR2493" s="60"/>
      <c r="GNS2493" s="60"/>
      <c r="GNT2493" s="60"/>
      <c r="GNU2493" s="59"/>
      <c r="GNV2493" s="61"/>
      <c r="GNW2493" s="59"/>
      <c r="GNX2493" s="59"/>
      <c r="GNY2493" s="59"/>
      <c r="GNZ2493" s="60"/>
      <c r="GOA2493" s="60"/>
      <c r="GOB2493" s="60"/>
      <c r="GOC2493" s="59"/>
      <c r="GOD2493" s="61"/>
      <c r="GOE2493" s="59"/>
      <c r="GOF2493" s="59"/>
      <c r="GOG2493" s="59"/>
      <c r="GOH2493" s="60"/>
      <c r="GOI2493" s="60"/>
      <c r="GOJ2493" s="60"/>
      <c r="GOK2493" s="59"/>
      <c r="GOL2493" s="61"/>
      <c r="GOM2493" s="59"/>
      <c r="GON2493" s="59"/>
      <c r="GOO2493" s="59"/>
      <c r="GOP2493" s="60"/>
      <c r="GOQ2493" s="60"/>
      <c r="GOR2493" s="60"/>
      <c r="GOS2493" s="59"/>
      <c r="GOT2493" s="61"/>
      <c r="GOU2493" s="59"/>
      <c r="GOV2493" s="59"/>
      <c r="GOW2493" s="59"/>
      <c r="GOX2493" s="60"/>
      <c r="GOY2493" s="60"/>
      <c r="GOZ2493" s="60"/>
      <c r="GPA2493" s="59"/>
      <c r="GPB2493" s="61"/>
      <c r="GPC2493" s="59"/>
      <c r="GPD2493" s="59"/>
      <c r="GPE2493" s="59"/>
      <c r="GPF2493" s="60"/>
      <c r="GPG2493" s="60"/>
      <c r="GPH2493" s="60"/>
      <c r="GPI2493" s="59"/>
      <c r="GPJ2493" s="61"/>
      <c r="GPK2493" s="59"/>
      <c r="GPL2493" s="59"/>
      <c r="GPM2493" s="59"/>
      <c r="GPN2493" s="60"/>
      <c r="GPO2493" s="60"/>
      <c r="GPP2493" s="60"/>
      <c r="GPQ2493" s="59"/>
      <c r="GPR2493" s="61"/>
      <c r="GPS2493" s="59"/>
      <c r="GPT2493" s="59"/>
      <c r="GPU2493" s="59"/>
      <c r="GPV2493" s="60"/>
      <c r="GPW2493" s="60"/>
      <c r="GPX2493" s="60"/>
      <c r="GPY2493" s="59"/>
      <c r="GPZ2493" s="61"/>
      <c r="GQA2493" s="59"/>
      <c r="GQB2493" s="59"/>
      <c r="GQC2493" s="59"/>
      <c r="GQD2493" s="60"/>
      <c r="GQE2493" s="60"/>
      <c r="GQF2493" s="60"/>
      <c r="GQG2493" s="59"/>
      <c r="GQH2493" s="61"/>
      <c r="GQI2493" s="59"/>
      <c r="GQJ2493" s="59"/>
      <c r="GQK2493" s="59"/>
      <c r="GQL2493" s="60"/>
      <c r="GQM2493" s="60"/>
      <c r="GQN2493" s="60"/>
      <c r="GQO2493" s="59"/>
      <c r="GQP2493" s="61"/>
      <c r="GQQ2493" s="59"/>
      <c r="GQR2493" s="59"/>
      <c r="GQS2493" s="59"/>
      <c r="GQT2493" s="60"/>
      <c r="GQU2493" s="60"/>
      <c r="GQV2493" s="60"/>
      <c r="GQW2493" s="59"/>
      <c r="GQX2493" s="61"/>
      <c r="GQY2493" s="59"/>
      <c r="GQZ2493" s="59"/>
      <c r="GRA2493" s="59"/>
      <c r="GRB2493" s="60"/>
      <c r="GRC2493" s="60"/>
      <c r="GRD2493" s="60"/>
      <c r="GRE2493" s="59"/>
      <c r="GRF2493" s="61"/>
      <c r="GRG2493" s="59"/>
      <c r="GRH2493" s="59"/>
      <c r="GRI2493" s="59"/>
      <c r="GRJ2493" s="60"/>
      <c r="GRK2493" s="60"/>
      <c r="GRL2493" s="60"/>
      <c r="GRM2493" s="59"/>
      <c r="GRN2493" s="61"/>
      <c r="GRO2493" s="59"/>
      <c r="GRP2493" s="59"/>
      <c r="GRQ2493" s="59"/>
      <c r="GRR2493" s="60"/>
      <c r="GRS2493" s="60"/>
      <c r="GRT2493" s="60"/>
      <c r="GRU2493" s="59"/>
      <c r="GRV2493" s="61"/>
      <c r="GRW2493" s="59"/>
      <c r="GRX2493" s="59"/>
      <c r="GRY2493" s="59"/>
      <c r="GRZ2493" s="60"/>
      <c r="GSA2493" s="60"/>
      <c r="GSB2493" s="60"/>
      <c r="GSC2493" s="59"/>
      <c r="GSD2493" s="61"/>
      <c r="GSE2493" s="59"/>
      <c r="GSF2493" s="59"/>
      <c r="GSG2493" s="59"/>
      <c r="GSH2493" s="60"/>
      <c r="GSI2493" s="60"/>
      <c r="GSJ2493" s="60"/>
      <c r="GSK2493" s="59"/>
      <c r="GSL2493" s="61"/>
      <c r="GSM2493" s="59"/>
      <c r="GSN2493" s="59"/>
      <c r="GSO2493" s="59"/>
      <c r="GSP2493" s="60"/>
      <c r="GSQ2493" s="60"/>
      <c r="GSR2493" s="60"/>
      <c r="GSS2493" s="59"/>
      <c r="GST2493" s="61"/>
      <c r="GSU2493" s="59"/>
      <c r="GSV2493" s="59"/>
      <c r="GSW2493" s="59"/>
      <c r="GSX2493" s="60"/>
      <c r="GSY2493" s="60"/>
      <c r="GSZ2493" s="60"/>
      <c r="GTA2493" s="59"/>
      <c r="GTB2493" s="61"/>
      <c r="GTC2493" s="59"/>
      <c r="GTD2493" s="59"/>
      <c r="GTE2493" s="59"/>
      <c r="GTF2493" s="60"/>
      <c r="GTG2493" s="60"/>
      <c r="GTH2493" s="60"/>
      <c r="GTI2493" s="59"/>
      <c r="GTJ2493" s="61"/>
      <c r="GTK2493" s="59"/>
      <c r="GTL2493" s="59"/>
      <c r="GTM2493" s="59"/>
      <c r="GTN2493" s="60"/>
      <c r="GTO2493" s="60"/>
      <c r="GTP2493" s="60"/>
      <c r="GTQ2493" s="59"/>
      <c r="GTR2493" s="61"/>
      <c r="GTS2493" s="59"/>
      <c r="GTT2493" s="59"/>
      <c r="GTU2493" s="59"/>
      <c r="GTV2493" s="60"/>
      <c r="GTW2493" s="60"/>
      <c r="GTX2493" s="60"/>
      <c r="GTY2493" s="59"/>
      <c r="GTZ2493" s="61"/>
      <c r="GUA2493" s="59"/>
      <c r="GUB2493" s="59"/>
      <c r="GUC2493" s="59"/>
      <c r="GUD2493" s="60"/>
      <c r="GUE2493" s="60"/>
      <c r="GUF2493" s="60"/>
      <c r="GUG2493" s="59"/>
      <c r="GUH2493" s="61"/>
      <c r="GUI2493" s="59"/>
      <c r="GUJ2493" s="59"/>
      <c r="GUK2493" s="59"/>
      <c r="GUL2493" s="60"/>
      <c r="GUM2493" s="60"/>
      <c r="GUN2493" s="60"/>
      <c r="GUO2493" s="59"/>
      <c r="GUP2493" s="61"/>
      <c r="GUQ2493" s="59"/>
      <c r="GUR2493" s="59"/>
      <c r="GUS2493" s="59"/>
      <c r="GUT2493" s="60"/>
      <c r="GUU2493" s="60"/>
      <c r="GUV2493" s="60"/>
      <c r="GUW2493" s="59"/>
      <c r="GUX2493" s="61"/>
      <c r="GUY2493" s="59"/>
      <c r="GUZ2493" s="59"/>
      <c r="GVA2493" s="59"/>
      <c r="GVB2493" s="60"/>
      <c r="GVC2493" s="60"/>
      <c r="GVD2493" s="60"/>
      <c r="GVE2493" s="59"/>
      <c r="GVF2493" s="61"/>
      <c r="GVG2493" s="59"/>
      <c r="GVH2493" s="59"/>
      <c r="GVI2493" s="59"/>
      <c r="GVJ2493" s="60"/>
      <c r="GVK2493" s="60"/>
      <c r="GVL2493" s="60"/>
      <c r="GVM2493" s="59"/>
      <c r="GVN2493" s="61"/>
      <c r="GVO2493" s="59"/>
      <c r="GVP2493" s="59"/>
      <c r="GVQ2493" s="59"/>
      <c r="GVR2493" s="60"/>
      <c r="GVS2493" s="60"/>
      <c r="GVT2493" s="60"/>
      <c r="GVU2493" s="59"/>
      <c r="GVV2493" s="61"/>
      <c r="GVW2493" s="59"/>
      <c r="GVX2493" s="59"/>
      <c r="GVY2493" s="59"/>
      <c r="GVZ2493" s="60"/>
      <c r="GWA2493" s="60"/>
      <c r="GWB2493" s="60"/>
      <c r="GWC2493" s="59"/>
      <c r="GWD2493" s="61"/>
      <c r="GWE2493" s="59"/>
      <c r="GWF2493" s="59"/>
      <c r="GWG2493" s="59"/>
      <c r="GWH2493" s="60"/>
      <c r="GWI2493" s="60"/>
      <c r="GWJ2493" s="60"/>
      <c r="GWK2493" s="59"/>
      <c r="GWL2493" s="61"/>
      <c r="GWM2493" s="59"/>
      <c r="GWN2493" s="59"/>
      <c r="GWO2493" s="59"/>
      <c r="GWP2493" s="60"/>
      <c r="GWQ2493" s="60"/>
      <c r="GWR2493" s="60"/>
      <c r="GWS2493" s="59"/>
      <c r="GWT2493" s="61"/>
      <c r="GWU2493" s="59"/>
      <c r="GWV2493" s="59"/>
      <c r="GWW2493" s="59"/>
      <c r="GWX2493" s="60"/>
      <c r="GWY2493" s="60"/>
      <c r="GWZ2493" s="60"/>
      <c r="GXA2493" s="59"/>
      <c r="GXB2493" s="61"/>
      <c r="GXC2493" s="59"/>
      <c r="GXD2493" s="59"/>
      <c r="GXE2493" s="59"/>
      <c r="GXF2493" s="60"/>
      <c r="GXG2493" s="60"/>
      <c r="GXH2493" s="60"/>
      <c r="GXI2493" s="59"/>
      <c r="GXJ2493" s="61"/>
      <c r="GXK2493" s="59"/>
      <c r="GXL2493" s="59"/>
      <c r="GXM2493" s="59"/>
      <c r="GXN2493" s="60"/>
      <c r="GXO2493" s="60"/>
      <c r="GXP2493" s="60"/>
      <c r="GXQ2493" s="59"/>
      <c r="GXR2493" s="61"/>
      <c r="GXS2493" s="59"/>
      <c r="GXT2493" s="59"/>
      <c r="GXU2493" s="59"/>
      <c r="GXV2493" s="60"/>
      <c r="GXW2493" s="60"/>
      <c r="GXX2493" s="60"/>
      <c r="GXY2493" s="59"/>
      <c r="GXZ2493" s="61"/>
      <c r="GYA2493" s="59"/>
      <c r="GYB2493" s="59"/>
      <c r="GYC2493" s="59"/>
      <c r="GYD2493" s="60"/>
      <c r="GYE2493" s="60"/>
      <c r="GYF2493" s="60"/>
      <c r="GYG2493" s="59"/>
      <c r="GYH2493" s="61"/>
      <c r="GYI2493" s="59"/>
      <c r="GYJ2493" s="59"/>
      <c r="GYK2493" s="59"/>
      <c r="GYL2493" s="60"/>
      <c r="GYM2493" s="60"/>
      <c r="GYN2493" s="60"/>
      <c r="GYO2493" s="59"/>
      <c r="GYP2493" s="61"/>
      <c r="GYQ2493" s="59"/>
      <c r="GYR2493" s="59"/>
      <c r="GYS2493" s="59"/>
      <c r="GYT2493" s="60"/>
      <c r="GYU2493" s="60"/>
      <c r="GYV2493" s="60"/>
      <c r="GYW2493" s="59"/>
      <c r="GYX2493" s="61"/>
      <c r="GYY2493" s="59"/>
      <c r="GYZ2493" s="59"/>
      <c r="GZA2493" s="59"/>
      <c r="GZB2493" s="60"/>
      <c r="GZC2493" s="60"/>
      <c r="GZD2493" s="60"/>
      <c r="GZE2493" s="59"/>
      <c r="GZF2493" s="61"/>
      <c r="GZG2493" s="59"/>
      <c r="GZH2493" s="59"/>
      <c r="GZI2493" s="59"/>
      <c r="GZJ2493" s="60"/>
      <c r="GZK2493" s="60"/>
      <c r="GZL2493" s="60"/>
      <c r="GZM2493" s="59"/>
      <c r="GZN2493" s="61"/>
      <c r="GZO2493" s="59"/>
      <c r="GZP2493" s="59"/>
      <c r="GZQ2493" s="59"/>
      <c r="GZR2493" s="60"/>
      <c r="GZS2493" s="60"/>
      <c r="GZT2493" s="60"/>
      <c r="GZU2493" s="59"/>
      <c r="GZV2493" s="61"/>
      <c r="GZW2493" s="59"/>
      <c r="GZX2493" s="59"/>
      <c r="GZY2493" s="59"/>
      <c r="GZZ2493" s="60"/>
      <c r="HAA2493" s="60"/>
      <c r="HAB2493" s="60"/>
      <c r="HAC2493" s="59"/>
      <c r="HAD2493" s="61"/>
      <c r="HAE2493" s="59"/>
      <c r="HAF2493" s="59"/>
      <c r="HAG2493" s="59"/>
      <c r="HAH2493" s="60"/>
      <c r="HAI2493" s="60"/>
      <c r="HAJ2493" s="60"/>
      <c r="HAK2493" s="59"/>
      <c r="HAL2493" s="61"/>
      <c r="HAM2493" s="59"/>
      <c r="HAN2493" s="59"/>
      <c r="HAO2493" s="59"/>
      <c r="HAP2493" s="60"/>
      <c r="HAQ2493" s="60"/>
      <c r="HAR2493" s="60"/>
      <c r="HAS2493" s="59"/>
      <c r="HAT2493" s="61"/>
      <c r="HAU2493" s="59"/>
      <c r="HAV2493" s="59"/>
      <c r="HAW2493" s="59"/>
      <c r="HAX2493" s="60"/>
      <c r="HAY2493" s="60"/>
      <c r="HAZ2493" s="60"/>
      <c r="HBA2493" s="59"/>
      <c r="HBB2493" s="61"/>
      <c r="HBC2493" s="59"/>
      <c r="HBD2493" s="59"/>
      <c r="HBE2493" s="59"/>
      <c r="HBF2493" s="60"/>
      <c r="HBG2493" s="60"/>
      <c r="HBH2493" s="60"/>
      <c r="HBI2493" s="59"/>
      <c r="HBJ2493" s="61"/>
      <c r="HBK2493" s="59"/>
      <c r="HBL2493" s="59"/>
      <c r="HBM2493" s="59"/>
      <c r="HBN2493" s="60"/>
      <c r="HBO2493" s="60"/>
      <c r="HBP2493" s="60"/>
      <c r="HBQ2493" s="59"/>
      <c r="HBR2493" s="61"/>
      <c r="HBS2493" s="59"/>
      <c r="HBT2493" s="59"/>
      <c r="HBU2493" s="59"/>
      <c r="HBV2493" s="60"/>
      <c r="HBW2493" s="60"/>
      <c r="HBX2493" s="60"/>
      <c r="HBY2493" s="59"/>
      <c r="HBZ2493" s="61"/>
      <c r="HCA2493" s="59"/>
      <c r="HCB2493" s="59"/>
      <c r="HCC2493" s="59"/>
      <c r="HCD2493" s="60"/>
      <c r="HCE2493" s="60"/>
      <c r="HCF2493" s="60"/>
      <c r="HCG2493" s="59"/>
      <c r="HCH2493" s="61"/>
      <c r="HCI2493" s="59"/>
      <c r="HCJ2493" s="59"/>
      <c r="HCK2493" s="59"/>
      <c r="HCL2493" s="60"/>
      <c r="HCM2493" s="60"/>
      <c r="HCN2493" s="60"/>
      <c r="HCO2493" s="59"/>
      <c r="HCP2493" s="61"/>
      <c r="HCQ2493" s="59"/>
      <c r="HCR2493" s="59"/>
      <c r="HCS2493" s="59"/>
      <c r="HCT2493" s="60"/>
      <c r="HCU2493" s="60"/>
      <c r="HCV2493" s="60"/>
      <c r="HCW2493" s="59"/>
      <c r="HCX2493" s="61"/>
      <c r="HCY2493" s="59"/>
      <c r="HCZ2493" s="59"/>
      <c r="HDA2493" s="59"/>
      <c r="HDB2493" s="60"/>
      <c r="HDC2493" s="60"/>
      <c r="HDD2493" s="60"/>
      <c r="HDE2493" s="59"/>
      <c r="HDF2493" s="61"/>
      <c r="HDG2493" s="59"/>
      <c r="HDH2493" s="59"/>
      <c r="HDI2493" s="59"/>
      <c r="HDJ2493" s="60"/>
      <c r="HDK2493" s="60"/>
      <c r="HDL2493" s="60"/>
      <c r="HDM2493" s="59"/>
      <c r="HDN2493" s="61"/>
      <c r="HDO2493" s="59"/>
      <c r="HDP2493" s="59"/>
      <c r="HDQ2493" s="59"/>
      <c r="HDR2493" s="60"/>
      <c r="HDS2493" s="60"/>
      <c r="HDT2493" s="60"/>
      <c r="HDU2493" s="59"/>
      <c r="HDV2493" s="61"/>
      <c r="HDW2493" s="59"/>
      <c r="HDX2493" s="59"/>
      <c r="HDY2493" s="59"/>
      <c r="HDZ2493" s="60"/>
      <c r="HEA2493" s="60"/>
      <c r="HEB2493" s="60"/>
      <c r="HEC2493" s="59"/>
      <c r="HED2493" s="61"/>
      <c r="HEE2493" s="59"/>
      <c r="HEF2493" s="59"/>
      <c r="HEG2493" s="59"/>
      <c r="HEH2493" s="60"/>
      <c r="HEI2493" s="60"/>
      <c r="HEJ2493" s="60"/>
      <c r="HEK2493" s="59"/>
      <c r="HEL2493" s="61"/>
      <c r="HEM2493" s="59"/>
      <c r="HEN2493" s="59"/>
      <c r="HEO2493" s="59"/>
      <c r="HEP2493" s="60"/>
      <c r="HEQ2493" s="60"/>
      <c r="HER2493" s="60"/>
      <c r="HES2493" s="59"/>
      <c r="HET2493" s="61"/>
      <c r="HEU2493" s="59"/>
      <c r="HEV2493" s="59"/>
      <c r="HEW2493" s="59"/>
      <c r="HEX2493" s="60"/>
      <c r="HEY2493" s="60"/>
      <c r="HEZ2493" s="60"/>
      <c r="HFA2493" s="59"/>
      <c r="HFB2493" s="61"/>
      <c r="HFC2493" s="59"/>
      <c r="HFD2493" s="59"/>
      <c r="HFE2493" s="59"/>
      <c r="HFF2493" s="60"/>
      <c r="HFG2493" s="60"/>
      <c r="HFH2493" s="60"/>
      <c r="HFI2493" s="59"/>
      <c r="HFJ2493" s="61"/>
      <c r="HFK2493" s="59"/>
      <c r="HFL2493" s="59"/>
      <c r="HFM2493" s="59"/>
      <c r="HFN2493" s="60"/>
      <c r="HFO2493" s="60"/>
      <c r="HFP2493" s="60"/>
      <c r="HFQ2493" s="59"/>
      <c r="HFR2493" s="61"/>
      <c r="HFS2493" s="59"/>
      <c r="HFT2493" s="59"/>
      <c r="HFU2493" s="59"/>
      <c r="HFV2493" s="60"/>
      <c r="HFW2493" s="60"/>
      <c r="HFX2493" s="60"/>
      <c r="HFY2493" s="59"/>
      <c r="HFZ2493" s="61"/>
      <c r="HGA2493" s="59"/>
      <c r="HGB2493" s="59"/>
      <c r="HGC2493" s="59"/>
      <c r="HGD2493" s="60"/>
      <c r="HGE2493" s="60"/>
      <c r="HGF2493" s="60"/>
      <c r="HGG2493" s="59"/>
      <c r="HGH2493" s="61"/>
      <c r="HGI2493" s="59"/>
      <c r="HGJ2493" s="59"/>
      <c r="HGK2493" s="59"/>
      <c r="HGL2493" s="60"/>
      <c r="HGM2493" s="60"/>
      <c r="HGN2493" s="60"/>
      <c r="HGO2493" s="59"/>
      <c r="HGP2493" s="61"/>
      <c r="HGQ2493" s="59"/>
      <c r="HGR2493" s="59"/>
      <c r="HGS2493" s="59"/>
      <c r="HGT2493" s="60"/>
      <c r="HGU2493" s="60"/>
      <c r="HGV2493" s="60"/>
      <c r="HGW2493" s="59"/>
      <c r="HGX2493" s="61"/>
      <c r="HGY2493" s="59"/>
      <c r="HGZ2493" s="59"/>
      <c r="HHA2493" s="59"/>
      <c r="HHB2493" s="60"/>
      <c r="HHC2493" s="60"/>
      <c r="HHD2493" s="60"/>
      <c r="HHE2493" s="59"/>
      <c r="HHF2493" s="61"/>
      <c r="HHG2493" s="59"/>
      <c r="HHH2493" s="59"/>
      <c r="HHI2493" s="59"/>
      <c r="HHJ2493" s="60"/>
      <c r="HHK2493" s="60"/>
      <c r="HHL2493" s="60"/>
      <c r="HHM2493" s="59"/>
      <c r="HHN2493" s="61"/>
      <c r="HHO2493" s="59"/>
      <c r="HHP2493" s="59"/>
      <c r="HHQ2493" s="59"/>
      <c r="HHR2493" s="60"/>
      <c r="HHS2493" s="60"/>
      <c r="HHT2493" s="60"/>
      <c r="HHU2493" s="59"/>
      <c r="HHV2493" s="61"/>
      <c r="HHW2493" s="59"/>
      <c r="HHX2493" s="59"/>
      <c r="HHY2493" s="59"/>
      <c r="HHZ2493" s="60"/>
      <c r="HIA2493" s="60"/>
      <c r="HIB2493" s="60"/>
      <c r="HIC2493" s="59"/>
      <c r="HID2493" s="61"/>
      <c r="HIE2493" s="59"/>
      <c r="HIF2493" s="59"/>
      <c r="HIG2493" s="59"/>
      <c r="HIH2493" s="60"/>
      <c r="HII2493" s="60"/>
      <c r="HIJ2493" s="60"/>
      <c r="HIK2493" s="59"/>
      <c r="HIL2493" s="61"/>
      <c r="HIM2493" s="59"/>
      <c r="HIN2493" s="59"/>
      <c r="HIO2493" s="59"/>
      <c r="HIP2493" s="60"/>
      <c r="HIQ2493" s="60"/>
      <c r="HIR2493" s="60"/>
      <c r="HIS2493" s="59"/>
      <c r="HIT2493" s="61"/>
      <c r="HIU2493" s="59"/>
      <c r="HIV2493" s="59"/>
      <c r="HIW2493" s="59"/>
      <c r="HIX2493" s="60"/>
      <c r="HIY2493" s="60"/>
      <c r="HIZ2493" s="60"/>
      <c r="HJA2493" s="59"/>
      <c r="HJB2493" s="61"/>
      <c r="HJC2493" s="59"/>
      <c r="HJD2493" s="59"/>
      <c r="HJE2493" s="59"/>
      <c r="HJF2493" s="60"/>
      <c r="HJG2493" s="60"/>
      <c r="HJH2493" s="60"/>
      <c r="HJI2493" s="59"/>
      <c r="HJJ2493" s="61"/>
      <c r="HJK2493" s="59"/>
      <c r="HJL2493" s="59"/>
      <c r="HJM2493" s="59"/>
      <c r="HJN2493" s="60"/>
      <c r="HJO2493" s="60"/>
      <c r="HJP2493" s="60"/>
      <c r="HJQ2493" s="59"/>
      <c r="HJR2493" s="61"/>
      <c r="HJS2493" s="59"/>
      <c r="HJT2493" s="59"/>
      <c r="HJU2493" s="59"/>
      <c r="HJV2493" s="60"/>
      <c r="HJW2493" s="60"/>
      <c r="HJX2493" s="60"/>
      <c r="HJY2493" s="59"/>
      <c r="HJZ2493" s="61"/>
      <c r="HKA2493" s="59"/>
      <c r="HKB2493" s="59"/>
      <c r="HKC2493" s="59"/>
      <c r="HKD2493" s="60"/>
      <c r="HKE2493" s="60"/>
      <c r="HKF2493" s="60"/>
      <c r="HKG2493" s="59"/>
      <c r="HKH2493" s="61"/>
      <c r="HKI2493" s="59"/>
      <c r="HKJ2493" s="59"/>
      <c r="HKK2493" s="59"/>
      <c r="HKL2493" s="60"/>
      <c r="HKM2493" s="60"/>
      <c r="HKN2493" s="60"/>
      <c r="HKO2493" s="59"/>
      <c r="HKP2493" s="61"/>
      <c r="HKQ2493" s="59"/>
      <c r="HKR2493" s="59"/>
      <c r="HKS2493" s="59"/>
      <c r="HKT2493" s="60"/>
      <c r="HKU2493" s="60"/>
      <c r="HKV2493" s="60"/>
      <c r="HKW2493" s="59"/>
      <c r="HKX2493" s="61"/>
      <c r="HKY2493" s="59"/>
      <c r="HKZ2493" s="59"/>
      <c r="HLA2493" s="59"/>
      <c r="HLB2493" s="60"/>
      <c r="HLC2493" s="60"/>
      <c r="HLD2493" s="60"/>
      <c r="HLE2493" s="59"/>
      <c r="HLF2493" s="61"/>
      <c r="HLG2493" s="59"/>
      <c r="HLH2493" s="59"/>
      <c r="HLI2493" s="59"/>
      <c r="HLJ2493" s="60"/>
      <c r="HLK2493" s="60"/>
      <c r="HLL2493" s="60"/>
      <c r="HLM2493" s="59"/>
      <c r="HLN2493" s="61"/>
      <c r="HLO2493" s="59"/>
      <c r="HLP2493" s="59"/>
      <c r="HLQ2493" s="59"/>
      <c r="HLR2493" s="60"/>
      <c r="HLS2493" s="60"/>
      <c r="HLT2493" s="60"/>
      <c r="HLU2493" s="59"/>
      <c r="HLV2493" s="61"/>
      <c r="HLW2493" s="59"/>
      <c r="HLX2493" s="59"/>
      <c r="HLY2493" s="59"/>
      <c r="HLZ2493" s="60"/>
      <c r="HMA2493" s="60"/>
      <c r="HMB2493" s="60"/>
      <c r="HMC2493" s="59"/>
      <c r="HMD2493" s="61"/>
      <c r="HME2493" s="59"/>
      <c r="HMF2493" s="59"/>
      <c r="HMG2493" s="59"/>
      <c r="HMH2493" s="60"/>
      <c r="HMI2493" s="60"/>
      <c r="HMJ2493" s="60"/>
      <c r="HMK2493" s="59"/>
      <c r="HML2493" s="61"/>
      <c r="HMM2493" s="59"/>
      <c r="HMN2493" s="59"/>
      <c r="HMO2493" s="59"/>
      <c r="HMP2493" s="60"/>
      <c r="HMQ2493" s="60"/>
      <c r="HMR2493" s="60"/>
      <c r="HMS2493" s="59"/>
      <c r="HMT2493" s="61"/>
      <c r="HMU2493" s="59"/>
      <c r="HMV2493" s="59"/>
      <c r="HMW2493" s="59"/>
      <c r="HMX2493" s="60"/>
      <c r="HMY2493" s="60"/>
      <c r="HMZ2493" s="60"/>
      <c r="HNA2493" s="59"/>
      <c r="HNB2493" s="61"/>
      <c r="HNC2493" s="59"/>
      <c r="HND2493" s="59"/>
      <c r="HNE2493" s="59"/>
      <c r="HNF2493" s="60"/>
      <c r="HNG2493" s="60"/>
      <c r="HNH2493" s="60"/>
      <c r="HNI2493" s="59"/>
      <c r="HNJ2493" s="61"/>
      <c r="HNK2493" s="59"/>
      <c r="HNL2493" s="59"/>
      <c r="HNM2493" s="59"/>
      <c r="HNN2493" s="60"/>
      <c r="HNO2493" s="60"/>
      <c r="HNP2493" s="60"/>
      <c r="HNQ2493" s="59"/>
      <c r="HNR2493" s="61"/>
      <c r="HNS2493" s="59"/>
      <c r="HNT2493" s="59"/>
      <c r="HNU2493" s="59"/>
      <c r="HNV2493" s="60"/>
      <c r="HNW2493" s="60"/>
      <c r="HNX2493" s="60"/>
      <c r="HNY2493" s="59"/>
      <c r="HNZ2493" s="61"/>
      <c r="HOA2493" s="59"/>
      <c r="HOB2493" s="59"/>
      <c r="HOC2493" s="59"/>
      <c r="HOD2493" s="60"/>
      <c r="HOE2493" s="60"/>
      <c r="HOF2493" s="60"/>
      <c r="HOG2493" s="59"/>
      <c r="HOH2493" s="61"/>
      <c r="HOI2493" s="59"/>
      <c r="HOJ2493" s="59"/>
      <c r="HOK2493" s="59"/>
      <c r="HOL2493" s="60"/>
      <c r="HOM2493" s="60"/>
      <c r="HON2493" s="60"/>
      <c r="HOO2493" s="59"/>
      <c r="HOP2493" s="61"/>
      <c r="HOQ2493" s="59"/>
      <c r="HOR2493" s="59"/>
      <c r="HOS2493" s="59"/>
      <c r="HOT2493" s="60"/>
      <c r="HOU2493" s="60"/>
      <c r="HOV2493" s="60"/>
      <c r="HOW2493" s="59"/>
      <c r="HOX2493" s="61"/>
      <c r="HOY2493" s="59"/>
      <c r="HOZ2493" s="59"/>
      <c r="HPA2493" s="59"/>
      <c r="HPB2493" s="60"/>
      <c r="HPC2493" s="60"/>
      <c r="HPD2493" s="60"/>
      <c r="HPE2493" s="59"/>
      <c r="HPF2493" s="61"/>
      <c r="HPG2493" s="59"/>
      <c r="HPH2493" s="59"/>
      <c r="HPI2493" s="59"/>
      <c r="HPJ2493" s="60"/>
      <c r="HPK2493" s="60"/>
      <c r="HPL2493" s="60"/>
      <c r="HPM2493" s="59"/>
      <c r="HPN2493" s="61"/>
      <c r="HPO2493" s="59"/>
      <c r="HPP2493" s="59"/>
      <c r="HPQ2493" s="59"/>
      <c r="HPR2493" s="60"/>
      <c r="HPS2493" s="60"/>
      <c r="HPT2493" s="60"/>
      <c r="HPU2493" s="59"/>
      <c r="HPV2493" s="61"/>
      <c r="HPW2493" s="59"/>
      <c r="HPX2493" s="59"/>
      <c r="HPY2493" s="59"/>
      <c r="HPZ2493" s="60"/>
      <c r="HQA2493" s="60"/>
      <c r="HQB2493" s="60"/>
      <c r="HQC2493" s="59"/>
      <c r="HQD2493" s="61"/>
      <c r="HQE2493" s="59"/>
      <c r="HQF2493" s="59"/>
      <c r="HQG2493" s="59"/>
      <c r="HQH2493" s="60"/>
      <c r="HQI2493" s="60"/>
      <c r="HQJ2493" s="60"/>
      <c r="HQK2493" s="59"/>
      <c r="HQL2493" s="61"/>
      <c r="HQM2493" s="59"/>
      <c r="HQN2493" s="59"/>
      <c r="HQO2493" s="59"/>
      <c r="HQP2493" s="60"/>
      <c r="HQQ2493" s="60"/>
      <c r="HQR2493" s="60"/>
      <c r="HQS2493" s="59"/>
      <c r="HQT2493" s="61"/>
      <c r="HQU2493" s="59"/>
      <c r="HQV2493" s="59"/>
      <c r="HQW2493" s="59"/>
      <c r="HQX2493" s="60"/>
      <c r="HQY2493" s="60"/>
      <c r="HQZ2493" s="60"/>
      <c r="HRA2493" s="59"/>
      <c r="HRB2493" s="61"/>
      <c r="HRC2493" s="59"/>
      <c r="HRD2493" s="59"/>
      <c r="HRE2493" s="59"/>
      <c r="HRF2493" s="60"/>
      <c r="HRG2493" s="60"/>
      <c r="HRH2493" s="60"/>
      <c r="HRI2493" s="59"/>
      <c r="HRJ2493" s="61"/>
      <c r="HRK2493" s="59"/>
      <c r="HRL2493" s="59"/>
      <c r="HRM2493" s="59"/>
      <c r="HRN2493" s="60"/>
      <c r="HRO2493" s="60"/>
      <c r="HRP2493" s="60"/>
      <c r="HRQ2493" s="59"/>
      <c r="HRR2493" s="61"/>
      <c r="HRS2493" s="59"/>
      <c r="HRT2493" s="59"/>
      <c r="HRU2493" s="59"/>
      <c r="HRV2493" s="60"/>
      <c r="HRW2493" s="60"/>
      <c r="HRX2493" s="60"/>
      <c r="HRY2493" s="59"/>
      <c r="HRZ2493" s="61"/>
      <c r="HSA2493" s="59"/>
      <c r="HSB2493" s="59"/>
      <c r="HSC2493" s="59"/>
      <c r="HSD2493" s="60"/>
      <c r="HSE2493" s="60"/>
      <c r="HSF2493" s="60"/>
      <c r="HSG2493" s="59"/>
      <c r="HSH2493" s="61"/>
      <c r="HSI2493" s="59"/>
      <c r="HSJ2493" s="59"/>
      <c r="HSK2493" s="59"/>
      <c r="HSL2493" s="60"/>
      <c r="HSM2493" s="60"/>
      <c r="HSN2493" s="60"/>
      <c r="HSO2493" s="59"/>
      <c r="HSP2493" s="61"/>
      <c r="HSQ2493" s="59"/>
      <c r="HSR2493" s="59"/>
      <c r="HSS2493" s="59"/>
      <c r="HST2493" s="60"/>
      <c r="HSU2493" s="60"/>
      <c r="HSV2493" s="60"/>
      <c r="HSW2493" s="59"/>
      <c r="HSX2493" s="61"/>
      <c r="HSY2493" s="59"/>
      <c r="HSZ2493" s="59"/>
      <c r="HTA2493" s="59"/>
      <c r="HTB2493" s="60"/>
      <c r="HTC2493" s="60"/>
      <c r="HTD2493" s="60"/>
      <c r="HTE2493" s="59"/>
      <c r="HTF2493" s="61"/>
      <c r="HTG2493" s="59"/>
      <c r="HTH2493" s="59"/>
      <c r="HTI2493" s="59"/>
      <c r="HTJ2493" s="60"/>
      <c r="HTK2493" s="60"/>
      <c r="HTL2493" s="60"/>
      <c r="HTM2493" s="59"/>
      <c r="HTN2493" s="61"/>
      <c r="HTO2493" s="59"/>
      <c r="HTP2493" s="59"/>
      <c r="HTQ2493" s="59"/>
      <c r="HTR2493" s="60"/>
      <c r="HTS2493" s="60"/>
      <c r="HTT2493" s="60"/>
      <c r="HTU2493" s="59"/>
      <c r="HTV2493" s="61"/>
      <c r="HTW2493" s="59"/>
      <c r="HTX2493" s="59"/>
      <c r="HTY2493" s="59"/>
      <c r="HTZ2493" s="60"/>
      <c r="HUA2493" s="60"/>
      <c r="HUB2493" s="60"/>
      <c r="HUC2493" s="59"/>
      <c r="HUD2493" s="61"/>
      <c r="HUE2493" s="59"/>
      <c r="HUF2493" s="59"/>
      <c r="HUG2493" s="59"/>
      <c r="HUH2493" s="60"/>
      <c r="HUI2493" s="60"/>
      <c r="HUJ2493" s="60"/>
      <c r="HUK2493" s="59"/>
      <c r="HUL2493" s="61"/>
      <c r="HUM2493" s="59"/>
      <c r="HUN2493" s="59"/>
      <c r="HUO2493" s="59"/>
      <c r="HUP2493" s="60"/>
      <c r="HUQ2493" s="60"/>
      <c r="HUR2493" s="60"/>
      <c r="HUS2493" s="59"/>
      <c r="HUT2493" s="61"/>
      <c r="HUU2493" s="59"/>
      <c r="HUV2493" s="59"/>
      <c r="HUW2493" s="59"/>
      <c r="HUX2493" s="60"/>
      <c r="HUY2493" s="60"/>
      <c r="HUZ2493" s="60"/>
      <c r="HVA2493" s="59"/>
      <c r="HVB2493" s="61"/>
      <c r="HVC2493" s="59"/>
      <c r="HVD2493" s="59"/>
      <c r="HVE2493" s="59"/>
      <c r="HVF2493" s="60"/>
      <c r="HVG2493" s="60"/>
      <c r="HVH2493" s="60"/>
      <c r="HVI2493" s="59"/>
      <c r="HVJ2493" s="61"/>
      <c r="HVK2493" s="59"/>
      <c r="HVL2493" s="59"/>
      <c r="HVM2493" s="59"/>
      <c r="HVN2493" s="60"/>
      <c r="HVO2493" s="60"/>
      <c r="HVP2493" s="60"/>
      <c r="HVQ2493" s="59"/>
      <c r="HVR2493" s="61"/>
      <c r="HVS2493" s="59"/>
      <c r="HVT2493" s="59"/>
      <c r="HVU2493" s="59"/>
      <c r="HVV2493" s="60"/>
      <c r="HVW2493" s="60"/>
      <c r="HVX2493" s="60"/>
      <c r="HVY2493" s="59"/>
      <c r="HVZ2493" s="61"/>
      <c r="HWA2493" s="59"/>
      <c r="HWB2493" s="59"/>
      <c r="HWC2493" s="59"/>
      <c r="HWD2493" s="60"/>
      <c r="HWE2493" s="60"/>
      <c r="HWF2493" s="60"/>
      <c r="HWG2493" s="59"/>
      <c r="HWH2493" s="61"/>
      <c r="HWI2493" s="59"/>
      <c r="HWJ2493" s="59"/>
      <c r="HWK2493" s="59"/>
      <c r="HWL2493" s="60"/>
      <c r="HWM2493" s="60"/>
      <c r="HWN2493" s="60"/>
      <c r="HWO2493" s="59"/>
      <c r="HWP2493" s="61"/>
      <c r="HWQ2493" s="59"/>
      <c r="HWR2493" s="59"/>
      <c r="HWS2493" s="59"/>
      <c r="HWT2493" s="60"/>
      <c r="HWU2493" s="60"/>
      <c r="HWV2493" s="60"/>
      <c r="HWW2493" s="59"/>
      <c r="HWX2493" s="61"/>
      <c r="HWY2493" s="59"/>
      <c r="HWZ2493" s="59"/>
      <c r="HXA2493" s="59"/>
      <c r="HXB2493" s="60"/>
      <c r="HXC2493" s="60"/>
      <c r="HXD2493" s="60"/>
      <c r="HXE2493" s="59"/>
      <c r="HXF2493" s="61"/>
      <c r="HXG2493" s="59"/>
      <c r="HXH2493" s="59"/>
      <c r="HXI2493" s="59"/>
      <c r="HXJ2493" s="60"/>
      <c r="HXK2493" s="60"/>
      <c r="HXL2493" s="60"/>
      <c r="HXM2493" s="59"/>
      <c r="HXN2493" s="61"/>
      <c r="HXO2493" s="59"/>
      <c r="HXP2493" s="59"/>
      <c r="HXQ2493" s="59"/>
      <c r="HXR2493" s="60"/>
      <c r="HXS2493" s="60"/>
      <c r="HXT2493" s="60"/>
      <c r="HXU2493" s="59"/>
      <c r="HXV2493" s="61"/>
      <c r="HXW2493" s="59"/>
      <c r="HXX2493" s="59"/>
      <c r="HXY2493" s="59"/>
      <c r="HXZ2493" s="60"/>
      <c r="HYA2493" s="60"/>
      <c r="HYB2493" s="60"/>
      <c r="HYC2493" s="59"/>
      <c r="HYD2493" s="61"/>
      <c r="HYE2493" s="59"/>
      <c r="HYF2493" s="59"/>
      <c r="HYG2493" s="59"/>
      <c r="HYH2493" s="60"/>
      <c r="HYI2493" s="60"/>
      <c r="HYJ2493" s="60"/>
      <c r="HYK2493" s="59"/>
      <c r="HYL2493" s="61"/>
      <c r="HYM2493" s="59"/>
      <c r="HYN2493" s="59"/>
      <c r="HYO2493" s="59"/>
      <c r="HYP2493" s="60"/>
      <c r="HYQ2493" s="60"/>
      <c r="HYR2493" s="60"/>
      <c r="HYS2493" s="59"/>
      <c r="HYT2493" s="61"/>
      <c r="HYU2493" s="59"/>
      <c r="HYV2493" s="59"/>
      <c r="HYW2493" s="59"/>
      <c r="HYX2493" s="60"/>
      <c r="HYY2493" s="60"/>
      <c r="HYZ2493" s="60"/>
      <c r="HZA2493" s="59"/>
      <c r="HZB2493" s="61"/>
      <c r="HZC2493" s="59"/>
      <c r="HZD2493" s="59"/>
      <c r="HZE2493" s="59"/>
      <c r="HZF2493" s="60"/>
      <c r="HZG2493" s="60"/>
      <c r="HZH2493" s="60"/>
      <c r="HZI2493" s="59"/>
      <c r="HZJ2493" s="61"/>
      <c r="HZK2493" s="59"/>
      <c r="HZL2493" s="59"/>
      <c r="HZM2493" s="59"/>
      <c r="HZN2493" s="60"/>
      <c r="HZO2493" s="60"/>
      <c r="HZP2493" s="60"/>
      <c r="HZQ2493" s="59"/>
      <c r="HZR2493" s="61"/>
      <c r="HZS2493" s="59"/>
      <c r="HZT2493" s="59"/>
      <c r="HZU2493" s="59"/>
      <c r="HZV2493" s="60"/>
      <c r="HZW2493" s="60"/>
      <c r="HZX2493" s="60"/>
      <c r="HZY2493" s="59"/>
      <c r="HZZ2493" s="61"/>
      <c r="IAA2493" s="59"/>
      <c r="IAB2493" s="59"/>
      <c r="IAC2493" s="59"/>
      <c r="IAD2493" s="60"/>
      <c r="IAE2493" s="60"/>
      <c r="IAF2493" s="60"/>
      <c r="IAG2493" s="59"/>
      <c r="IAH2493" s="61"/>
      <c r="IAI2493" s="59"/>
      <c r="IAJ2493" s="59"/>
      <c r="IAK2493" s="59"/>
      <c r="IAL2493" s="60"/>
      <c r="IAM2493" s="60"/>
      <c r="IAN2493" s="60"/>
      <c r="IAO2493" s="59"/>
      <c r="IAP2493" s="61"/>
      <c r="IAQ2493" s="59"/>
      <c r="IAR2493" s="59"/>
      <c r="IAS2493" s="59"/>
      <c r="IAT2493" s="60"/>
      <c r="IAU2493" s="60"/>
      <c r="IAV2493" s="60"/>
      <c r="IAW2493" s="59"/>
      <c r="IAX2493" s="61"/>
      <c r="IAY2493" s="59"/>
      <c r="IAZ2493" s="59"/>
      <c r="IBA2493" s="59"/>
      <c r="IBB2493" s="60"/>
      <c r="IBC2493" s="60"/>
      <c r="IBD2493" s="60"/>
      <c r="IBE2493" s="59"/>
      <c r="IBF2493" s="61"/>
      <c r="IBG2493" s="59"/>
      <c r="IBH2493" s="59"/>
      <c r="IBI2493" s="59"/>
      <c r="IBJ2493" s="60"/>
      <c r="IBK2493" s="60"/>
      <c r="IBL2493" s="60"/>
      <c r="IBM2493" s="59"/>
      <c r="IBN2493" s="61"/>
      <c r="IBO2493" s="59"/>
      <c r="IBP2493" s="59"/>
      <c r="IBQ2493" s="59"/>
      <c r="IBR2493" s="60"/>
      <c r="IBS2493" s="60"/>
      <c r="IBT2493" s="60"/>
      <c r="IBU2493" s="59"/>
      <c r="IBV2493" s="61"/>
      <c r="IBW2493" s="59"/>
      <c r="IBX2493" s="59"/>
      <c r="IBY2493" s="59"/>
      <c r="IBZ2493" s="60"/>
      <c r="ICA2493" s="60"/>
      <c r="ICB2493" s="60"/>
      <c r="ICC2493" s="59"/>
      <c r="ICD2493" s="61"/>
      <c r="ICE2493" s="59"/>
      <c r="ICF2493" s="59"/>
      <c r="ICG2493" s="59"/>
      <c r="ICH2493" s="60"/>
      <c r="ICI2493" s="60"/>
      <c r="ICJ2493" s="60"/>
      <c r="ICK2493" s="59"/>
      <c r="ICL2493" s="61"/>
      <c r="ICM2493" s="59"/>
      <c r="ICN2493" s="59"/>
      <c r="ICO2493" s="59"/>
      <c r="ICP2493" s="60"/>
      <c r="ICQ2493" s="60"/>
      <c r="ICR2493" s="60"/>
      <c r="ICS2493" s="59"/>
      <c r="ICT2493" s="61"/>
      <c r="ICU2493" s="59"/>
      <c r="ICV2493" s="59"/>
      <c r="ICW2493" s="59"/>
      <c r="ICX2493" s="60"/>
      <c r="ICY2493" s="60"/>
      <c r="ICZ2493" s="60"/>
      <c r="IDA2493" s="59"/>
      <c r="IDB2493" s="61"/>
      <c r="IDC2493" s="59"/>
      <c r="IDD2493" s="59"/>
      <c r="IDE2493" s="59"/>
      <c r="IDF2493" s="60"/>
      <c r="IDG2493" s="60"/>
      <c r="IDH2493" s="60"/>
      <c r="IDI2493" s="59"/>
      <c r="IDJ2493" s="61"/>
      <c r="IDK2493" s="59"/>
      <c r="IDL2493" s="59"/>
      <c r="IDM2493" s="59"/>
      <c r="IDN2493" s="60"/>
      <c r="IDO2493" s="60"/>
      <c r="IDP2493" s="60"/>
      <c r="IDQ2493" s="59"/>
      <c r="IDR2493" s="61"/>
      <c r="IDS2493" s="59"/>
      <c r="IDT2493" s="59"/>
      <c r="IDU2493" s="59"/>
      <c r="IDV2493" s="60"/>
      <c r="IDW2493" s="60"/>
      <c r="IDX2493" s="60"/>
      <c r="IDY2493" s="59"/>
      <c r="IDZ2493" s="61"/>
      <c r="IEA2493" s="59"/>
      <c r="IEB2493" s="59"/>
      <c r="IEC2493" s="59"/>
      <c r="IED2493" s="60"/>
      <c r="IEE2493" s="60"/>
      <c r="IEF2493" s="60"/>
      <c r="IEG2493" s="59"/>
      <c r="IEH2493" s="61"/>
      <c r="IEI2493" s="59"/>
      <c r="IEJ2493" s="59"/>
      <c r="IEK2493" s="59"/>
      <c r="IEL2493" s="60"/>
      <c r="IEM2493" s="60"/>
      <c r="IEN2493" s="60"/>
      <c r="IEO2493" s="59"/>
      <c r="IEP2493" s="61"/>
      <c r="IEQ2493" s="59"/>
      <c r="IER2493" s="59"/>
      <c r="IES2493" s="59"/>
      <c r="IET2493" s="60"/>
      <c r="IEU2493" s="60"/>
      <c r="IEV2493" s="60"/>
      <c r="IEW2493" s="59"/>
      <c r="IEX2493" s="61"/>
      <c r="IEY2493" s="59"/>
      <c r="IEZ2493" s="59"/>
      <c r="IFA2493" s="59"/>
      <c r="IFB2493" s="60"/>
      <c r="IFC2493" s="60"/>
      <c r="IFD2493" s="60"/>
      <c r="IFE2493" s="59"/>
      <c r="IFF2493" s="61"/>
      <c r="IFG2493" s="59"/>
      <c r="IFH2493" s="59"/>
      <c r="IFI2493" s="59"/>
      <c r="IFJ2493" s="60"/>
      <c r="IFK2493" s="60"/>
      <c r="IFL2493" s="60"/>
      <c r="IFM2493" s="59"/>
      <c r="IFN2493" s="61"/>
      <c r="IFO2493" s="59"/>
      <c r="IFP2493" s="59"/>
      <c r="IFQ2493" s="59"/>
      <c r="IFR2493" s="60"/>
      <c r="IFS2493" s="60"/>
      <c r="IFT2493" s="60"/>
      <c r="IFU2493" s="59"/>
      <c r="IFV2493" s="61"/>
      <c r="IFW2493" s="59"/>
      <c r="IFX2493" s="59"/>
      <c r="IFY2493" s="59"/>
      <c r="IFZ2493" s="60"/>
      <c r="IGA2493" s="60"/>
      <c r="IGB2493" s="60"/>
      <c r="IGC2493" s="59"/>
      <c r="IGD2493" s="61"/>
      <c r="IGE2493" s="59"/>
      <c r="IGF2493" s="59"/>
      <c r="IGG2493" s="59"/>
      <c r="IGH2493" s="60"/>
      <c r="IGI2493" s="60"/>
      <c r="IGJ2493" s="60"/>
      <c r="IGK2493" s="59"/>
      <c r="IGL2493" s="61"/>
      <c r="IGM2493" s="59"/>
      <c r="IGN2493" s="59"/>
      <c r="IGO2493" s="59"/>
      <c r="IGP2493" s="60"/>
      <c r="IGQ2493" s="60"/>
      <c r="IGR2493" s="60"/>
      <c r="IGS2493" s="59"/>
      <c r="IGT2493" s="61"/>
      <c r="IGU2493" s="59"/>
      <c r="IGV2493" s="59"/>
      <c r="IGW2493" s="59"/>
      <c r="IGX2493" s="60"/>
      <c r="IGY2493" s="60"/>
      <c r="IGZ2493" s="60"/>
      <c r="IHA2493" s="59"/>
      <c r="IHB2493" s="61"/>
      <c r="IHC2493" s="59"/>
      <c r="IHD2493" s="59"/>
      <c r="IHE2493" s="59"/>
      <c r="IHF2493" s="60"/>
      <c r="IHG2493" s="60"/>
      <c r="IHH2493" s="60"/>
      <c r="IHI2493" s="59"/>
      <c r="IHJ2493" s="61"/>
      <c r="IHK2493" s="59"/>
      <c r="IHL2493" s="59"/>
      <c r="IHM2493" s="59"/>
      <c r="IHN2493" s="60"/>
      <c r="IHO2493" s="60"/>
      <c r="IHP2493" s="60"/>
      <c r="IHQ2493" s="59"/>
      <c r="IHR2493" s="61"/>
      <c r="IHS2493" s="59"/>
      <c r="IHT2493" s="59"/>
      <c r="IHU2493" s="59"/>
      <c r="IHV2493" s="60"/>
      <c r="IHW2493" s="60"/>
      <c r="IHX2493" s="60"/>
      <c r="IHY2493" s="59"/>
      <c r="IHZ2493" s="61"/>
      <c r="IIA2493" s="59"/>
      <c r="IIB2493" s="59"/>
      <c r="IIC2493" s="59"/>
      <c r="IID2493" s="60"/>
      <c r="IIE2493" s="60"/>
      <c r="IIF2493" s="60"/>
      <c r="IIG2493" s="59"/>
      <c r="IIH2493" s="61"/>
      <c r="III2493" s="59"/>
      <c r="IIJ2493" s="59"/>
      <c r="IIK2493" s="59"/>
      <c r="IIL2493" s="60"/>
      <c r="IIM2493" s="60"/>
      <c r="IIN2493" s="60"/>
      <c r="IIO2493" s="59"/>
      <c r="IIP2493" s="61"/>
      <c r="IIQ2493" s="59"/>
      <c r="IIR2493" s="59"/>
      <c r="IIS2493" s="59"/>
      <c r="IIT2493" s="60"/>
      <c r="IIU2493" s="60"/>
      <c r="IIV2493" s="60"/>
      <c r="IIW2493" s="59"/>
      <c r="IIX2493" s="61"/>
      <c r="IIY2493" s="59"/>
      <c r="IIZ2493" s="59"/>
      <c r="IJA2493" s="59"/>
      <c r="IJB2493" s="60"/>
      <c r="IJC2493" s="60"/>
      <c r="IJD2493" s="60"/>
      <c r="IJE2493" s="59"/>
      <c r="IJF2493" s="61"/>
      <c r="IJG2493" s="59"/>
      <c r="IJH2493" s="59"/>
      <c r="IJI2493" s="59"/>
      <c r="IJJ2493" s="60"/>
      <c r="IJK2493" s="60"/>
      <c r="IJL2493" s="60"/>
      <c r="IJM2493" s="59"/>
      <c r="IJN2493" s="61"/>
      <c r="IJO2493" s="59"/>
      <c r="IJP2493" s="59"/>
      <c r="IJQ2493" s="59"/>
      <c r="IJR2493" s="60"/>
      <c r="IJS2493" s="60"/>
      <c r="IJT2493" s="60"/>
      <c r="IJU2493" s="59"/>
      <c r="IJV2493" s="61"/>
      <c r="IJW2493" s="59"/>
      <c r="IJX2493" s="59"/>
      <c r="IJY2493" s="59"/>
      <c r="IJZ2493" s="60"/>
      <c r="IKA2493" s="60"/>
      <c r="IKB2493" s="60"/>
      <c r="IKC2493" s="59"/>
      <c r="IKD2493" s="61"/>
      <c r="IKE2493" s="59"/>
      <c r="IKF2493" s="59"/>
      <c r="IKG2493" s="59"/>
      <c r="IKH2493" s="60"/>
      <c r="IKI2493" s="60"/>
      <c r="IKJ2493" s="60"/>
      <c r="IKK2493" s="59"/>
      <c r="IKL2493" s="61"/>
      <c r="IKM2493" s="59"/>
      <c r="IKN2493" s="59"/>
      <c r="IKO2493" s="59"/>
      <c r="IKP2493" s="60"/>
      <c r="IKQ2493" s="60"/>
      <c r="IKR2493" s="60"/>
      <c r="IKS2493" s="59"/>
      <c r="IKT2493" s="61"/>
      <c r="IKU2493" s="59"/>
      <c r="IKV2493" s="59"/>
      <c r="IKW2493" s="59"/>
      <c r="IKX2493" s="60"/>
      <c r="IKY2493" s="60"/>
      <c r="IKZ2493" s="60"/>
      <c r="ILA2493" s="59"/>
      <c r="ILB2493" s="61"/>
      <c r="ILC2493" s="59"/>
      <c r="ILD2493" s="59"/>
      <c r="ILE2493" s="59"/>
      <c r="ILF2493" s="60"/>
      <c r="ILG2493" s="60"/>
      <c r="ILH2493" s="60"/>
      <c r="ILI2493" s="59"/>
      <c r="ILJ2493" s="61"/>
      <c r="ILK2493" s="59"/>
      <c r="ILL2493" s="59"/>
      <c r="ILM2493" s="59"/>
      <c r="ILN2493" s="60"/>
      <c r="ILO2493" s="60"/>
      <c r="ILP2493" s="60"/>
      <c r="ILQ2493" s="59"/>
      <c r="ILR2493" s="61"/>
      <c r="ILS2493" s="59"/>
      <c r="ILT2493" s="59"/>
      <c r="ILU2493" s="59"/>
      <c r="ILV2493" s="60"/>
      <c r="ILW2493" s="60"/>
      <c r="ILX2493" s="60"/>
      <c r="ILY2493" s="59"/>
      <c r="ILZ2493" s="61"/>
      <c r="IMA2493" s="59"/>
      <c r="IMB2493" s="59"/>
      <c r="IMC2493" s="59"/>
      <c r="IMD2493" s="60"/>
      <c r="IME2493" s="60"/>
      <c r="IMF2493" s="60"/>
      <c r="IMG2493" s="59"/>
      <c r="IMH2493" s="61"/>
      <c r="IMI2493" s="59"/>
      <c r="IMJ2493" s="59"/>
      <c r="IMK2493" s="59"/>
      <c r="IML2493" s="60"/>
      <c r="IMM2493" s="60"/>
      <c r="IMN2493" s="60"/>
      <c r="IMO2493" s="59"/>
      <c r="IMP2493" s="61"/>
      <c r="IMQ2493" s="59"/>
      <c r="IMR2493" s="59"/>
      <c r="IMS2493" s="59"/>
      <c r="IMT2493" s="60"/>
      <c r="IMU2493" s="60"/>
      <c r="IMV2493" s="60"/>
      <c r="IMW2493" s="59"/>
      <c r="IMX2493" s="61"/>
      <c r="IMY2493" s="59"/>
      <c r="IMZ2493" s="59"/>
      <c r="INA2493" s="59"/>
      <c r="INB2493" s="60"/>
      <c r="INC2493" s="60"/>
      <c r="IND2493" s="60"/>
      <c r="INE2493" s="59"/>
      <c r="INF2493" s="61"/>
      <c r="ING2493" s="59"/>
      <c r="INH2493" s="59"/>
      <c r="INI2493" s="59"/>
      <c r="INJ2493" s="60"/>
      <c r="INK2493" s="60"/>
      <c r="INL2493" s="60"/>
      <c r="INM2493" s="59"/>
      <c r="INN2493" s="61"/>
      <c r="INO2493" s="59"/>
      <c r="INP2493" s="59"/>
      <c r="INQ2493" s="59"/>
      <c r="INR2493" s="60"/>
      <c r="INS2493" s="60"/>
      <c r="INT2493" s="60"/>
      <c r="INU2493" s="59"/>
      <c r="INV2493" s="61"/>
      <c r="INW2493" s="59"/>
      <c r="INX2493" s="59"/>
      <c r="INY2493" s="59"/>
      <c r="INZ2493" s="60"/>
      <c r="IOA2493" s="60"/>
      <c r="IOB2493" s="60"/>
      <c r="IOC2493" s="59"/>
      <c r="IOD2493" s="61"/>
      <c r="IOE2493" s="59"/>
      <c r="IOF2493" s="59"/>
      <c r="IOG2493" s="59"/>
      <c r="IOH2493" s="60"/>
      <c r="IOI2493" s="60"/>
      <c r="IOJ2493" s="60"/>
      <c r="IOK2493" s="59"/>
      <c r="IOL2493" s="61"/>
      <c r="IOM2493" s="59"/>
      <c r="ION2493" s="59"/>
      <c r="IOO2493" s="59"/>
      <c r="IOP2493" s="60"/>
      <c r="IOQ2493" s="60"/>
      <c r="IOR2493" s="60"/>
      <c r="IOS2493" s="59"/>
      <c r="IOT2493" s="61"/>
      <c r="IOU2493" s="59"/>
      <c r="IOV2493" s="59"/>
      <c r="IOW2493" s="59"/>
      <c r="IOX2493" s="60"/>
      <c r="IOY2493" s="60"/>
      <c r="IOZ2493" s="60"/>
      <c r="IPA2493" s="59"/>
      <c r="IPB2493" s="61"/>
      <c r="IPC2493" s="59"/>
      <c r="IPD2493" s="59"/>
      <c r="IPE2493" s="59"/>
      <c r="IPF2493" s="60"/>
      <c r="IPG2493" s="60"/>
      <c r="IPH2493" s="60"/>
      <c r="IPI2493" s="59"/>
      <c r="IPJ2493" s="61"/>
      <c r="IPK2493" s="59"/>
      <c r="IPL2493" s="59"/>
      <c r="IPM2493" s="59"/>
      <c r="IPN2493" s="60"/>
      <c r="IPO2493" s="60"/>
      <c r="IPP2493" s="60"/>
      <c r="IPQ2493" s="59"/>
      <c r="IPR2493" s="61"/>
      <c r="IPS2493" s="59"/>
      <c r="IPT2493" s="59"/>
      <c r="IPU2493" s="59"/>
      <c r="IPV2493" s="60"/>
      <c r="IPW2493" s="60"/>
      <c r="IPX2493" s="60"/>
      <c r="IPY2493" s="59"/>
      <c r="IPZ2493" s="61"/>
      <c r="IQA2493" s="59"/>
      <c r="IQB2493" s="59"/>
      <c r="IQC2493" s="59"/>
      <c r="IQD2493" s="60"/>
      <c r="IQE2493" s="60"/>
      <c r="IQF2493" s="60"/>
      <c r="IQG2493" s="59"/>
      <c r="IQH2493" s="61"/>
      <c r="IQI2493" s="59"/>
      <c r="IQJ2493" s="59"/>
      <c r="IQK2493" s="59"/>
      <c r="IQL2493" s="60"/>
      <c r="IQM2493" s="60"/>
      <c r="IQN2493" s="60"/>
      <c r="IQO2493" s="59"/>
      <c r="IQP2493" s="61"/>
      <c r="IQQ2493" s="59"/>
      <c r="IQR2493" s="59"/>
      <c r="IQS2493" s="59"/>
      <c r="IQT2493" s="60"/>
      <c r="IQU2493" s="60"/>
      <c r="IQV2493" s="60"/>
      <c r="IQW2493" s="59"/>
      <c r="IQX2493" s="61"/>
      <c r="IQY2493" s="59"/>
      <c r="IQZ2493" s="59"/>
      <c r="IRA2493" s="59"/>
      <c r="IRB2493" s="60"/>
      <c r="IRC2493" s="60"/>
      <c r="IRD2493" s="60"/>
      <c r="IRE2493" s="59"/>
      <c r="IRF2493" s="61"/>
      <c r="IRG2493" s="59"/>
      <c r="IRH2493" s="59"/>
      <c r="IRI2493" s="59"/>
      <c r="IRJ2493" s="60"/>
      <c r="IRK2493" s="60"/>
      <c r="IRL2493" s="60"/>
      <c r="IRM2493" s="59"/>
      <c r="IRN2493" s="61"/>
      <c r="IRO2493" s="59"/>
      <c r="IRP2493" s="59"/>
      <c r="IRQ2493" s="59"/>
      <c r="IRR2493" s="60"/>
      <c r="IRS2493" s="60"/>
      <c r="IRT2493" s="60"/>
      <c r="IRU2493" s="59"/>
      <c r="IRV2493" s="61"/>
      <c r="IRW2493" s="59"/>
      <c r="IRX2493" s="59"/>
      <c r="IRY2493" s="59"/>
      <c r="IRZ2493" s="60"/>
      <c r="ISA2493" s="60"/>
      <c r="ISB2493" s="60"/>
      <c r="ISC2493" s="59"/>
      <c r="ISD2493" s="61"/>
      <c r="ISE2493" s="59"/>
      <c r="ISF2493" s="59"/>
      <c r="ISG2493" s="59"/>
      <c r="ISH2493" s="60"/>
      <c r="ISI2493" s="60"/>
      <c r="ISJ2493" s="60"/>
      <c r="ISK2493" s="59"/>
      <c r="ISL2493" s="61"/>
      <c r="ISM2493" s="59"/>
      <c r="ISN2493" s="59"/>
      <c r="ISO2493" s="59"/>
      <c r="ISP2493" s="60"/>
      <c r="ISQ2493" s="60"/>
      <c r="ISR2493" s="60"/>
      <c r="ISS2493" s="59"/>
      <c r="IST2493" s="61"/>
      <c r="ISU2493" s="59"/>
      <c r="ISV2493" s="59"/>
      <c r="ISW2493" s="59"/>
      <c r="ISX2493" s="60"/>
      <c r="ISY2493" s="60"/>
      <c r="ISZ2493" s="60"/>
      <c r="ITA2493" s="59"/>
      <c r="ITB2493" s="61"/>
      <c r="ITC2493" s="59"/>
      <c r="ITD2493" s="59"/>
      <c r="ITE2493" s="59"/>
      <c r="ITF2493" s="60"/>
      <c r="ITG2493" s="60"/>
      <c r="ITH2493" s="60"/>
      <c r="ITI2493" s="59"/>
      <c r="ITJ2493" s="61"/>
      <c r="ITK2493" s="59"/>
      <c r="ITL2493" s="59"/>
      <c r="ITM2493" s="59"/>
      <c r="ITN2493" s="60"/>
      <c r="ITO2493" s="60"/>
      <c r="ITP2493" s="60"/>
      <c r="ITQ2493" s="59"/>
      <c r="ITR2493" s="61"/>
      <c r="ITS2493" s="59"/>
      <c r="ITT2493" s="59"/>
      <c r="ITU2493" s="59"/>
      <c r="ITV2493" s="60"/>
      <c r="ITW2493" s="60"/>
      <c r="ITX2493" s="60"/>
      <c r="ITY2493" s="59"/>
      <c r="ITZ2493" s="61"/>
      <c r="IUA2493" s="59"/>
      <c r="IUB2493" s="59"/>
      <c r="IUC2493" s="59"/>
      <c r="IUD2493" s="60"/>
      <c r="IUE2493" s="60"/>
      <c r="IUF2493" s="60"/>
      <c r="IUG2493" s="59"/>
      <c r="IUH2493" s="61"/>
      <c r="IUI2493" s="59"/>
      <c r="IUJ2493" s="59"/>
      <c r="IUK2493" s="59"/>
      <c r="IUL2493" s="60"/>
      <c r="IUM2493" s="60"/>
      <c r="IUN2493" s="60"/>
      <c r="IUO2493" s="59"/>
      <c r="IUP2493" s="61"/>
      <c r="IUQ2493" s="59"/>
      <c r="IUR2493" s="59"/>
      <c r="IUS2493" s="59"/>
      <c r="IUT2493" s="60"/>
      <c r="IUU2493" s="60"/>
      <c r="IUV2493" s="60"/>
      <c r="IUW2493" s="59"/>
      <c r="IUX2493" s="61"/>
      <c r="IUY2493" s="59"/>
      <c r="IUZ2493" s="59"/>
      <c r="IVA2493" s="59"/>
      <c r="IVB2493" s="60"/>
      <c r="IVC2493" s="60"/>
      <c r="IVD2493" s="60"/>
      <c r="IVE2493" s="59"/>
      <c r="IVF2493" s="61"/>
      <c r="IVG2493" s="59"/>
      <c r="IVH2493" s="59"/>
      <c r="IVI2493" s="59"/>
      <c r="IVJ2493" s="60"/>
      <c r="IVK2493" s="60"/>
      <c r="IVL2493" s="60"/>
      <c r="IVM2493" s="59"/>
      <c r="IVN2493" s="61"/>
      <c r="IVO2493" s="59"/>
      <c r="IVP2493" s="59"/>
      <c r="IVQ2493" s="59"/>
      <c r="IVR2493" s="60"/>
      <c r="IVS2493" s="60"/>
      <c r="IVT2493" s="60"/>
      <c r="IVU2493" s="59"/>
      <c r="IVV2493" s="61"/>
      <c r="IVW2493" s="59"/>
      <c r="IVX2493" s="59"/>
      <c r="IVY2493" s="59"/>
      <c r="IVZ2493" s="60"/>
      <c r="IWA2493" s="60"/>
      <c r="IWB2493" s="60"/>
      <c r="IWC2493" s="59"/>
      <c r="IWD2493" s="61"/>
      <c r="IWE2493" s="59"/>
      <c r="IWF2493" s="59"/>
      <c r="IWG2493" s="59"/>
      <c r="IWH2493" s="60"/>
      <c r="IWI2493" s="60"/>
      <c r="IWJ2493" s="60"/>
      <c r="IWK2493" s="59"/>
      <c r="IWL2493" s="61"/>
      <c r="IWM2493" s="59"/>
      <c r="IWN2493" s="59"/>
      <c r="IWO2493" s="59"/>
      <c r="IWP2493" s="60"/>
      <c r="IWQ2493" s="60"/>
      <c r="IWR2493" s="60"/>
      <c r="IWS2493" s="59"/>
      <c r="IWT2493" s="61"/>
      <c r="IWU2493" s="59"/>
      <c r="IWV2493" s="59"/>
      <c r="IWW2493" s="59"/>
      <c r="IWX2493" s="60"/>
      <c r="IWY2493" s="60"/>
      <c r="IWZ2493" s="60"/>
      <c r="IXA2493" s="59"/>
      <c r="IXB2493" s="61"/>
      <c r="IXC2493" s="59"/>
      <c r="IXD2493" s="59"/>
      <c r="IXE2493" s="59"/>
      <c r="IXF2493" s="60"/>
      <c r="IXG2493" s="60"/>
      <c r="IXH2493" s="60"/>
      <c r="IXI2493" s="59"/>
      <c r="IXJ2493" s="61"/>
      <c r="IXK2493" s="59"/>
      <c r="IXL2493" s="59"/>
      <c r="IXM2493" s="59"/>
      <c r="IXN2493" s="60"/>
      <c r="IXO2493" s="60"/>
      <c r="IXP2493" s="60"/>
      <c r="IXQ2493" s="59"/>
      <c r="IXR2493" s="61"/>
      <c r="IXS2493" s="59"/>
      <c r="IXT2493" s="59"/>
      <c r="IXU2493" s="59"/>
      <c r="IXV2493" s="60"/>
      <c r="IXW2493" s="60"/>
      <c r="IXX2493" s="60"/>
      <c r="IXY2493" s="59"/>
      <c r="IXZ2493" s="61"/>
      <c r="IYA2493" s="59"/>
      <c r="IYB2493" s="59"/>
      <c r="IYC2493" s="59"/>
      <c r="IYD2493" s="60"/>
      <c r="IYE2493" s="60"/>
      <c r="IYF2493" s="60"/>
      <c r="IYG2493" s="59"/>
      <c r="IYH2493" s="61"/>
      <c r="IYI2493" s="59"/>
      <c r="IYJ2493" s="59"/>
      <c r="IYK2493" s="59"/>
      <c r="IYL2493" s="60"/>
      <c r="IYM2493" s="60"/>
      <c r="IYN2493" s="60"/>
      <c r="IYO2493" s="59"/>
      <c r="IYP2493" s="61"/>
      <c r="IYQ2493" s="59"/>
      <c r="IYR2493" s="59"/>
      <c r="IYS2493" s="59"/>
      <c r="IYT2493" s="60"/>
      <c r="IYU2493" s="60"/>
      <c r="IYV2493" s="60"/>
      <c r="IYW2493" s="59"/>
      <c r="IYX2493" s="61"/>
      <c r="IYY2493" s="59"/>
      <c r="IYZ2493" s="59"/>
      <c r="IZA2493" s="59"/>
      <c r="IZB2493" s="60"/>
      <c r="IZC2493" s="60"/>
      <c r="IZD2493" s="60"/>
      <c r="IZE2493" s="59"/>
      <c r="IZF2493" s="61"/>
      <c r="IZG2493" s="59"/>
      <c r="IZH2493" s="59"/>
      <c r="IZI2493" s="59"/>
      <c r="IZJ2493" s="60"/>
      <c r="IZK2493" s="60"/>
      <c r="IZL2493" s="60"/>
      <c r="IZM2493" s="59"/>
      <c r="IZN2493" s="61"/>
      <c r="IZO2493" s="59"/>
      <c r="IZP2493" s="59"/>
      <c r="IZQ2493" s="59"/>
      <c r="IZR2493" s="60"/>
      <c r="IZS2493" s="60"/>
      <c r="IZT2493" s="60"/>
      <c r="IZU2493" s="59"/>
      <c r="IZV2493" s="61"/>
      <c r="IZW2493" s="59"/>
      <c r="IZX2493" s="59"/>
      <c r="IZY2493" s="59"/>
      <c r="IZZ2493" s="60"/>
      <c r="JAA2493" s="60"/>
      <c r="JAB2493" s="60"/>
      <c r="JAC2493" s="59"/>
      <c r="JAD2493" s="61"/>
      <c r="JAE2493" s="59"/>
      <c r="JAF2493" s="59"/>
      <c r="JAG2493" s="59"/>
      <c r="JAH2493" s="60"/>
      <c r="JAI2493" s="60"/>
      <c r="JAJ2493" s="60"/>
      <c r="JAK2493" s="59"/>
      <c r="JAL2493" s="61"/>
      <c r="JAM2493" s="59"/>
      <c r="JAN2493" s="59"/>
      <c r="JAO2493" s="59"/>
      <c r="JAP2493" s="60"/>
      <c r="JAQ2493" s="60"/>
      <c r="JAR2493" s="60"/>
      <c r="JAS2493" s="59"/>
      <c r="JAT2493" s="61"/>
      <c r="JAU2493" s="59"/>
      <c r="JAV2493" s="59"/>
      <c r="JAW2493" s="59"/>
      <c r="JAX2493" s="60"/>
      <c r="JAY2493" s="60"/>
      <c r="JAZ2493" s="60"/>
      <c r="JBA2493" s="59"/>
      <c r="JBB2493" s="61"/>
      <c r="JBC2493" s="59"/>
      <c r="JBD2493" s="59"/>
      <c r="JBE2493" s="59"/>
      <c r="JBF2493" s="60"/>
      <c r="JBG2493" s="60"/>
      <c r="JBH2493" s="60"/>
      <c r="JBI2493" s="59"/>
      <c r="JBJ2493" s="61"/>
      <c r="JBK2493" s="59"/>
      <c r="JBL2493" s="59"/>
      <c r="JBM2493" s="59"/>
      <c r="JBN2493" s="60"/>
      <c r="JBO2493" s="60"/>
      <c r="JBP2493" s="60"/>
      <c r="JBQ2493" s="59"/>
      <c r="JBR2493" s="61"/>
      <c r="JBS2493" s="59"/>
      <c r="JBT2493" s="59"/>
      <c r="JBU2493" s="59"/>
      <c r="JBV2493" s="60"/>
      <c r="JBW2493" s="60"/>
      <c r="JBX2493" s="60"/>
      <c r="JBY2493" s="59"/>
      <c r="JBZ2493" s="61"/>
      <c r="JCA2493" s="59"/>
      <c r="JCB2493" s="59"/>
      <c r="JCC2493" s="59"/>
      <c r="JCD2493" s="60"/>
      <c r="JCE2493" s="60"/>
      <c r="JCF2493" s="60"/>
      <c r="JCG2493" s="59"/>
      <c r="JCH2493" s="61"/>
      <c r="JCI2493" s="59"/>
      <c r="JCJ2493" s="59"/>
      <c r="JCK2493" s="59"/>
      <c r="JCL2493" s="60"/>
      <c r="JCM2493" s="60"/>
      <c r="JCN2493" s="60"/>
      <c r="JCO2493" s="59"/>
      <c r="JCP2493" s="61"/>
      <c r="JCQ2493" s="59"/>
      <c r="JCR2493" s="59"/>
      <c r="JCS2493" s="59"/>
      <c r="JCT2493" s="60"/>
      <c r="JCU2493" s="60"/>
      <c r="JCV2493" s="60"/>
      <c r="JCW2493" s="59"/>
      <c r="JCX2493" s="61"/>
      <c r="JCY2493" s="59"/>
      <c r="JCZ2493" s="59"/>
      <c r="JDA2493" s="59"/>
      <c r="JDB2493" s="60"/>
      <c r="JDC2493" s="60"/>
      <c r="JDD2493" s="60"/>
      <c r="JDE2493" s="59"/>
      <c r="JDF2493" s="61"/>
      <c r="JDG2493" s="59"/>
      <c r="JDH2493" s="59"/>
      <c r="JDI2493" s="59"/>
      <c r="JDJ2493" s="60"/>
      <c r="JDK2493" s="60"/>
      <c r="JDL2493" s="60"/>
      <c r="JDM2493" s="59"/>
      <c r="JDN2493" s="61"/>
      <c r="JDO2493" s="59"/>
      <c r="JDP2493" s="59"/>
      <c r="JDQ2493" s="59"/>
      <c r="JDR2493" s="60"/>
      <c r="JDS2493" s="60"/>
      <c r="JDT2493" s="60"/>
      <c r="JDU2493" s="59"/>
      <c r="JDV2493" s="61"/>
      <c r="JDW2493" s="59"/>
      <c r="JDX2493" s="59"/>
      <c r="JDY2493" s="59"/>
      <c r="JDZ2493" s="60"/>
      <c r="JEA2493" s="60"/>
      <c r="JEB2493" s="60"/>
      <c r="JEC2493" s="59"/>
      <c r="JED2493" s="61"/>
      <c r="JEE2493" s="59"/>
      <c r="JEF2493" s="59"/>
      <c r="JEG2493" s="59"/>
      <c r="JEH2493" s="60"/>
      <c r="JEI2493" s="60"/>
      <c r="JEJ2493" s="60"/>
      <c r="JEK2493" s="59"/>
      <c r="JEL2493" s="61"/>
      <c r="JEM2493" s="59"/>
      <c r="JEN2493" s="59"/>
      <c r="JEO2493" s="59"/>
      <c r="JEP2493" s="60"/>
      <c r="JEQ2493" s="60"/>
      <c r="JER2493" s="60"/>
      <c r="JES2493" s="59"/>
      <c r="JET2493" s="61"/>
      <c r="JEU2493" s="59"/>
      <c r="JEV2493" s="59"/>
      <c r="JEW2493" s="59"/>
      <c r="JEX2493" s="60"/>
      <c r="JEY2493" s="60"/>
      <c r="JEZ2493" s="60"/>
      <c r="JFA2493" s="59"/>
      <c r="JFB2493" s="61"/>
      <c r="JFC2493" s="59"/>
      <c r="JFD2493" s="59"/>
      <c r="JFE2493" s="59"/>
      <c r="JFF2493" s="60"/>
      <c r="JFG2493" s="60"/>
      <c r="JFH2493" s="60"/>
      <c r="JFI2493" s="59"/>
      <c r="JFJ2493" s="61"/>
      <c r="JFK2493" s="59"/>
      <c r="JFL2493" s="59"/>
      <c r="JFM2493" s="59"/>
      <c r="JFN2493" s="60"/>
      <c r="JFO2493" s="60"/>
      <c r="JFP2493" s="60"/>
      <c r="JFQ2493" s="59"/>
      <c r="JFR2493" s="61"/>
      <c r="JFS2493" s="59"/>
      <c r="JFT2493" s="59"/>
      <c r="JFU2493" s="59"/>
      <c r="JFV2493" s="60"/>
      <c r="JFW2493" s="60"/>
      <c r="JFX2493" s="60"/>
      <c r="JFY2493" s="59"/>
      <c r="JFZ2493" s="61"/>
      <c r="JGA2493" s="59"/>
      <c r="JGB2493" s="59"/>
      <c r="JGC2493" s="59"/>
      <c r="JGD2493" s="60"/>
      <c r="JGE2493" s="60"/>
      <c r="JGF2493" s="60"/>
      <c r="JGG2493" s="59"/>
      <c r="JGH2493" s="61"/>
      <c r="JGI2493" s="59"/>
      <c r="JGJ2493" s="59"/>
      <c r="JGK2493" s="59"/>
      <c r="JGL2493" s="60"/>
      <c r="JGM2493" s="60"/>
      <c r="JGN2493" s="60"/>
      <c r="JGO2493" s="59"/>
      <c r="JGP2493" s="61"/>
      <c r="JGQ2493" s="59"/>
      <c r="JGR2493" s="59"/>
      <c r="JGS2493" s="59"/>
      <c r="JGT2493" s="60"/>
      <c r="JGU2493" s="60"/>
      <c r="JGV2493" s="60"/>
      <c r="JGW2493" s="59"/>
      <c r="JGX2493" s="61"/>
      <c r="JGY2493" s="59"/>
      <c r="JGZ2493" s="59"/>
      <c r="JHA2493" s="59"/>
      <c r="JHB2493" s="60"/>
      <c r="JHC2493" s="60"/>
      <c r="JHD2493" s="60"/>
      <c r="JHE2493" s="59"/>
      <c r="JHF2493" s="61"/>
      <c r="JHG2493" s="59"/>
      <c r="JHH2493" s="59"/>
      <c r="JHI2493" s="59"/>
      <c r="JHJ2493" s="60"/>
      <c r="JHK2493" s="60"/>
      <c r="JHL2493" s="60"/>
      <c r="JHM2493" s="59"/>
      <c r="JHN2493" s="61"/>
      <c r="JHO2493" s="59"/>
      <c r="JHP2493" s="59"/>
      <c r="JHQ2493" s="59"/>
      <c r="JHR2493" s="60"/>
      <c r="JHS2493" s="60"/>
      <c r="JHT2493" s="60"/>
      <c r="JHU2493" s="59"/>
      <c r="JHV2493" s="61"/>
      <c r="JHW2493" s="59"/>
      <c r="JHX2493" s="59"/>
      <c r="JHY2493" s="59"/>
      <c r="JHZ2493" s="60"/>
      <c r="JIA2493" s="60"/>
      <c r="JIB2493" s="60"/>
      <c r="JIC2493" s="59"/>
      <c r="JID2493" s="61"/>
      <c r="JIE2493" s="59"/>
      <c r="JIF2493" s="59"/>
      <c r="JIG2493" s="59"/>
      <c r="JIH2493" s="60"/>
      <c r="JII2493" s="60"/>
      <c r="JIJ2493" s="60"/>
      <c r="JIK2493" s="59"/>
      <c r="JIL2493" s="61"/>
      <c r="JIM2493" s="59"/>
      <c r="JIN2493" s="59"/>
      <c r="JIO2493" s="59"/>
      <c r="JIP2493" s="60"/>
      <c r="JIQ2493" s="60"/>
      <c r="JIR2493" s="60"/>
      <c r="JIS2493" s="59"/>
      <c r="JIT2493" s="61"/>
      <c r="JIU2493" s="59"/>
      <c r="JIV2493" s="59"/>
      <c r="JIW2493" s="59"/>
      <c r="JIX2493" s="60"/>
      <c r="JIY2493" s="60"/>
      <c r="JIZ2493" s="60"/>
      <c r="JJA2493" s="59"/>
      <c r="JJB2493" s="61"/>
      <c r="JJC2493" s="59"/>
      <c r="JJD2493" s="59"/>
      <c r="JJE2493" s="59"/>
      <c r="JJF2493" s="60"/>
      <c r="JJG2493" s="60"/>
      <c r="JJH2493" s="60"/>
      <c r="JJI2493" s="59"/>
      <c r="JJJ2493" s="61"/>
      <c r="JJK2493" s="59"/>
      <c r="JJL2493" s="59"/>
      <c r="JJM2493" s="59"/>
      <c r="JJN2493" s="60"/>
      <c r="JJO2493" s="60"/>
      <c r="JJP2493" s="60"/>
      <c r="JJQ2493" s="59"/>
      <c r="JJR2493" s="61"/>
      <c r="JJS2493" s="59"/>
      <c r="JJT2493" s="59"/>
      <c r="JJU2493" s="59"/>
      <c r="JJV2493" s="60"/>
      <c r="JJW2493" s="60"/>
      <c r="JJX2493" s="60"/>
      <c r="JJY2493" s="59"/>
      <c r="JJZ2493" s="61"/>
      <c r="JKA2493" s="59"/>
      <c r="JKB2493" s="59"/>
      <c r="JKC2493" s="59"/>
      <c r="JKD2493" s="60"/>
      <c r="JKE2493" s="60"/>
      <c r="JKF2493" s="60"/>
      <c r="JKG2493" s="59"/>
      <c r="JKH2493" s="61"/>
      <c r="JKI2493" s="59"/>
      <c r="JKJ2493" s="59"/>
      <c r="JKK2493" s="59"/>
      <c r="JKL2493" s="60"/>
      <c r="JKM2493" s="60"/>
      <c r="JKN2493" s="60"/>
      <c r="JKO2493" s="59"/>
      <c r="JKP2493" s="61"/>
      <c r="JKQ2493" s="59"/>
      <c r="JKR2493" s="59"/>
      <c r="JKS2493" s="59"/>
      <c r="JKT2493" s="60"/>
      <c r="JKU2493" s="60"/>
      <c r="JKV2493" s="60"/>
      <c r="JKW2493" s="59"/>
      <c r="JKX2493" s="61"/>
      <c r="JKY2493" s="59"/>
      <c r="JKZ2493" s="59"/>
      <c r="JLA2493" s="59"/>
      <c r="JLB2493" s="60"/>
      <c r="JLC2493" s="60"/>
      <c r="JLD2493" s="60"/>
      <c r="JLE2493" s="59"/>
      <c r="JLF2493" s="61"/>
      <c r="JLG2493" s="59"/>
      <c r="JLH2493" s="59"/>
      <c r="JLI2493" s="59"/>
      <c r="JLJ2493" s="60"/>
      <c r="JLK2493" s="60"/>
      <c r="JLL2493" s="60"/>
      <c r="JLM2493" s="59"/>
      <c r="JLN2493" s="61"/>
      <c r="JLO2493" s="59"/>
      <c r="JLP2493" s="59"/>
      <c r="JLQ2493" s="59"/>
      <c r="JLR2493" s="60"/>
      <c r="JLS2493" s="60"/>
      <c r="JLT2493" s="60"/>
      <c r="JLU2493" s="59"/>
      <c r="JLV2493" s="61"/>
      <c r="JLW2493" s="59"/>
      <c r="JLX2493" s="59"/>
      <c r="JLY2493" s="59"/>
      <c r="JLZ2493" s="60"/>
      <c r="JMA2493" s="60"/>
      <c r="JMB2493" s="60"/>
      <c r="JMC2493" s="59"/>
      <c r="JMD2493" s="61"/>
      <c r="JME2493" s="59"/>
      <c r="JMF2493" s="59"/>
      <c r="JMG2493" s="59"/>
      <c r="JMH2493" s="60"/>
      <c r="JMI2493" s="60"/>
      <c r="JMJ2493" s="60"/>
      <c r="JMK2493" s="59"/>
      <c r="JML2493" s="61"/>
      <c r="JMM2493" s="59"/>
      <c r="JMN2493" s="59"/>
      <c r="JMO2493" s="59"/>
      <c r="JMP2493" s="60"/>
      <c r="JMQ2493" s="60"/>
      <c r="JMR2493" s="60"/>
      <c r="JMS2493" s="59"/>
      <c r="JMT2493" s="61"/>
      <c r="JMU2493" s="59"/>
      <c r="JMV2493" s="59"/>
      <c r="JMW2493" s="59"/>
      <c r="JMX2493" s="60"/>
      <c r="JMY2493" s="60"/>
      <c r="JMZ2493" s="60"/>
      <c r="JNA2493" s="59"/>
      <c r="JNB2493" s="61"/>
      <c r="JNC2493" s="59"/>
      <c r="JND2493" s="59"/>
      <c r="JNE2493" s="59"/>
      <c r="JNF2493" s="60"/>
      <c r="JNG2493" s="60"/>
      <c r="JNH2493" s="60"/>
      <c r="JNI2493" s="59"/>
      <c r="JNJ2493" s="61"/>
      <c r="JNK2493" s="59"/>
      <c r="JNL2493" s="59"/>
      <c r="JNM2493" s="59"/>
      <c r="JNN2493" s="60"/>
      <c r="JNO2493" s="60"/>
      <c r="JNP2493" s="60"/>
      <c r="JNQ2493" s="59"/>
      <c r="JNR2493" s="61"/>
      <c r="JNS2493" s="59"/>
      <c r="JNT2493" s="59"/>
      <c r="JNU2493" s="59"/>
      <c r="JNV2493" s="60"/>
      <c r="JNW2493" s="60"/>
      <c r="JNX2493" s="60"/>
      <c r="JNY2493" s="59"/>
      <c r="JNZ2493" s="61"/>
      <c r="JOA2493" s="59"/>
      <c r="JOB2493" s="59"/>
      <c r="JOC2493" s="59"/>
      <c r="JOD2493" s="60"/>
      <c r="JOE2493" s="60"/>
      <c r="JOF2493" s="60"/>
      <c r="JOG2493" s="59"/>
      <c r="JOH2493" s="61"/>
      <c r="JOI2493" s="59"/>
      <c r="JOJ2493" s="59"/>
      <c r="JOK2493" s="59"/>
      <c r="JOL2493" s="60"/>
      <c r="JOM2493" s="60"/>
      <c r="JON2493" s="60"/>
      <c r="JOO2493" s="59"/>
      <c r="JOP2493" s="61"/>
      <c r="JOQ2493" s="59"/>
      <c r="JOR2493" s="59"/>
      <c r="JOS2493" s="59"/>
      <c r="JOT2493" s="60"/>
      <c r="JOU2493" s="60"/>
      <c r="JOV2493" s="60"/>
      <c r="JOW2493" s="59"/>
      <c r="JOX2493" s="61"/>
      <c r="JOY2493" s="59"/>
      <c r="JOZ2493" s="59"/>
      <c r="JPA2493" s="59"/>
      <c r="JPB2493" s="60"/>
      <c r="JPC2493" s="60"/>
      <c r="JPD2493" s="60"/>
      <c r="JPE2493" s="59"/>
      <c r="JPF2493" s="61"/>
      <c r="JPG2493" s="59"/>
      <c r="JPH2493" s="59"/>
      <c r="JPI2493" s="59"/>
      <c r="JPJ2493" s="60"/>
      <c r="JPK2493" s="60"/>
      <c r="JPL2493" s="60"/>
      <c r="JPM2493" s="59"/>
      <c r="JPN2493" s="61"/>
      <c r="JPO2493" s="59"/>
      <c r="JPP2493" s="59"/>
      <c r="JPQ2493" s="59"/>
      <c r="JPR2493" s="60"/>
      <c r="JPS2493" s="60"/>
      <c r="JPT2493" s="60"/>
      <c r="JPU2493" s="59"/>
      <c r="JPV2493" s="61"/>
      <c r="JPW2493" s="59"/>
      <c r="JPX2493" s="59"/>
      <c r="JPY2493" s="59"/>
      <c r="JPZ2493" s="60"/>
      <c r="JQA2493" s="60"/>
      <c r="JQB2493" s="60"/>
      <c r="JQC2493" s="59"/>
      <c r="JQD2493" s="61"/>
      <c r="JQE2493" s="59"/>
      <c r="JQF2493" s="59"/>
      <c r="JQG2493" s="59"/>
      <c r="JQH2493" s="60"/>
      <c r="JQI2493" s="60"/>
      <c r="JQJ2493" s="60"/>
      <c r="JQK2493" s="59"/>
      <c r="JQL2493" s="61"/>
      <c r="JQM2493" s="59"/>
      <c r="JQN2493" s="59"/>
      <c r="JQO2493" s="59"/>
      <c r="JQP2493" s="60"/>
      <c r="JQQ2493" s="60"/>
      <c r="JQR2493" s="60"/>
      <c r="JQS2493" s="59"/>
      <c r="JQT2493" s="61"/>
      <c r="JQU2493" s="59"/>
      <c r="JQV2493" s="59"/>
      <c r="JQW2493" s="59"/>
      <c r="JQX2493" s="60"/>
      <c r="JQY2493" s="60"/>
      <c r="JQZ2493" s="60"/>
      <c r="JRA2493" s="59"/>
      <c r="JRB2493" s="61"/>
      <c r="JRC2493" s="59"/>
      <c r="JRD2493" s="59"/>
      <c r="JRE2493" s="59"/>
      <c r="JRF2493" s="60"/>
      <c r="JRG2493" s="60"/>
      <c r="JRH2493" s="60"/>
      <c r="JRI2493" s="59"/>
      <c r="JRJ2493" s="61"/>
      <c r="JRK2493" s="59"/>
      <c r="JRL2493" s="59"/>
      <c r="JRM2493" s="59"/>
      <c r="JRN2493" s="60"/>
      <c r="JRO2493" s="60"/>
      <c r="JRP2493" s="60"/>
      <c r="JRQ2493" s="59"/>
      <c r="JRR2493" s="61"/>
      <c r="JRS2493" s="59"/>
      <c r="JRT2493" s="59"/>
      <c r="JRU2493" s="59"/>
      <c r="JRV2493" s="60"/>
      <c r="JRW2493" s="60"/>
      <c r="JRX2493" s="60"/>
      <c r="JRY2493" s="59"/>
      <c r="JRZ2493" s="61"/>
      <c r="JSA2493" s="59"/>
      <c r="JSB2493" s="59"/>
      <c r="JSC2493" s="59"/>
      <c r="JSD2493" s="60"/>
      <c r="JSE2493" s="60"/>
      <c r="JSF2493" s="60"/>
      <c r="JSG2493" s="59"/>
      <c r="JSH2493" s="61"/>
      <c r="JSI2493" s="59"/>
      <c r="JSJ2493" s="59"/>
      <c r="JSK2493" s="59"/>
      <c r="JSL2493" s="60"/>
      <c r="JSM2493" s="60"/>
      <c r="JSN2493" s="60"/>
      <c r="JSO2493" s="59"/>
      <c r="JSP2493" s="61"/>
      <c r="JSQ2493" s="59"/>
      <c r="JSR2493" s="59"/>
      <c r="JSS2493" s="59"/>
      <c r="JST2493" s="60"/>
      <c r="JSU2493" s="60"/>
      <c r="JSV2493" s="60"/>
      <c r="JSW2493" s="59"/>
      <c r="JSX2493" s="61"/>
      <c r="JSY2493" s="59"/>
      <c r="JSZ2493" s="59"/>
      <c r="JTA2493" s="59"/>
      <c r="JTB2493" s="60"/>
      <c r="JTC2493" s="60"/>
      <c r="JTD2493" s="60"/>
      <c r="JTE2493" s="59"/>
      <c r="JTF2493" s="61"/>
      <c r="JTG2493" s="59"/>
      <c r="JTH2493" s="59"/>
      <c r="JTI2493" s="59"/>
      <c r="JTJ2493" s="60"/>
      <c r="JTK2493" s="60"/>
      <c r="JTL2493" s="60"/>
      <c r="JTM2493" s="59"/>
      <c r="JTN2493" s="61"/>
      <c r="JTO2493" s="59"/>
      <c r="JTP2493" s="59"/>
      <c r="JTQ2493" s="59"/>
      <c r="JTR2493" s="60"/>
      <c r="JTS2493" s="60"/>
      <c r="JTT2493" s="60"/>
      <c r="JTU2493" s="59"/>
      <c r="JTV2493" s="61"/>
      <c r="JTW2493" s="59"/>
      <c r="JTX2493" s="59"/>
      <c r="JTY2493" s="59"/>
      <c r="JTZ2493" s="60"/>
      <c r="JUA2493" s="60"/>
      <c r="JUB2493" s="60"/>
      <c r="JUC2493" s="59"/>
      <c r="JUD2493" s="61"/>
      <c r="JUE2493" s="59"/>
      <c r="JUF2493" s="59"/>
      <c r="JUG2493" s="59"/>
      <c r="JUH2493" s="60"/>
      <c r="JUI2493" s="60"/>
      <c r="JUJ2493" s="60"/>
      <c r="JUK2493" s="59"/>
      <c r="JUL2493" s="61"/>
      <c r="JUM2493" s="59"/>
      <c r="JUN2493" s="59"/>
      <c r="JUO2493" s="59"/>
      <c r="JUP2493" s="60"/>
      <c r="JUQ2493" s="60"/>
      <c r="JUR2493" s="60"/>
      <c r="JUS2493" s="59"/>
      <c r="JUT2493" s="61"/>
      <c r="JUU2493" s="59"/>
      <c r="JUV2493" s="59"/>
      <c r="JUW2493" s="59"/>
      <c r="JUX2493" s="60"/>
      <c r="JUY2493" s="60"/>
      <c r="JUZ2493" s="60"/>
      <c r="JVA2493" s="59"/>
      <c r="JVB2493" s="61"/>
      <c r="JVC2493" s="59"/>
      <c r="JVD2493" s="59"/>
      <c r="JVE2493" s="59"/>
      <c r="JVF2493" s="60"/>
      <c r="JVG2493" s="60"/>
      <c r="JVH2493" s="60"/>
      <c r="JVI2493" s="59"/>
      <c r="JVJ2493" s="61"/>
      <c r="JVK2493" s="59"/>
      <c r="JVL2493" s="59"/>
      <c r="JVM2493" s="59"/>
      <c r="JVN2493" s="60"/>
      <c r="JVO2493" s="60"/>
      <c r="JVP2493" s="60"/>
      <c r="JVQ2493" s="59"/>
      <c r="JVR2493" s="61"/>
      <c r="JVS2493" s="59"/>
      <c r="JVT2493" s="59"/>
      <c r="JVU2493" s="59"/>
      <c r="JVV2493" s="60"/>
      <c r="JVW2493" s="60"/>
      <c r="JVX2493" s="60"/>
      <c r="JVY2493" s="59"/>
      <c r="JVZ2493" s="61"/>
      <c r="JWA2493" s="59"/>
      <c r="JWB2493" s="59"/>
      <c r="JWC2493" s="59"/>
      <c r="JWD2493" s="60"/>
      <c r="JWE2493" s="60"/>
      <c r="JWF2493" s="60"/>
      <c r="JWG2493" s="59"/>
      <c r="JWH2493" s="61"/>
      <c r="JWI2493" s="59"/>
      <c r="JWJ2493" s="59"/>
      <c r="JWK2493" s="59"/>
      <c r="JWL2493" s="60"/>
      <c r="JWM2493" s="60"/>
      <c r="JWN2493" s="60"/>
      <c r="JWO2493" s="59"/>
      <c r="JWP2493" s="61"/>
      <c r="JWQ2493" s="59"/>
      <c r="JWR2493" s="59"/>
      <c r="JWS2493" s="59"/>
      <c r="JWT2493" s="60"/>
      <c r="JWU2493" s="60"/>
      <c r="JWV2493" s="60"/>
      <c r="JWW2493" s="59"/>
      <c r="JWX2493" s="61"/>
      <c r="JWY2493" s="59"/>
      <c r="JWZ2493" s="59"/>
      <c r="JXA2493" s="59"/>
      <c r="JXB2493" s="60"/>
      <c r="JXC2493" s="60"/>
      <c r="JXD2493" s="60"/>
      <c r="JXE2493" s="59"/>
      <c r="JXF2493" s="61"/>
      <c r="JXG2493" s="59"/>
      <c r="JXH2493" s="59"/>
      <c r="JXI2493" s="59"/>
      <c r="JXJ2493" s="60"/>
      <c r="JXK2493" s="60"/>
      <c r="JXL2493" s="60"/>
      <c r="JXM2493" s="59"/>
      <c r="JXN2493" s="61"/>
      <c r="JXO2493" s="59"/>
      <c r="JXP2493" s="59"/>
      <c r="JXQ2493" s="59"/>
      <c r="JXR2493" s="60"/>
      <c r="JXS2493" s="60"/>
      <c r="JXT2493" s="60"/>
      <c r="JXU2493" s="59"/>
      <c r="JXV2493" s="61"/>
      <c r="JXW2493" s="59"/>
      <c r="JXX2493" s="59"/>
      <c r="JXY2493" s="59"/>
      <c r="JXZ2493" s="60"/>
      <c r="JYA2493" s="60"/>
      <c r="JYB2493" s="60"/>
      <c r="JYC2493" s="59"/>
      <c r="JYD2493" s="61"/>
      <c r="JYE2493" s="59"/>
      <c r="JYF2493" s="59"/>
      <c r="JYG2493" s="59"/>
      <c r="JYH2493" s="60"/>
      <c r="JYI2493" s="60"/>
      <c r="JYJ2493" s="60"/>
      <c r="JYK2493" s="59"/>
      <c r="JYL2493" s="61"/>
      <c r="JYM2493" s="59"/>
      <c r="JYN2493" s="59"/>
      <c r="JYO2493" s="59"/>
      <c r="JYP2493" s="60"/>
      <c r="JYQ2493" s="60"/>
      <c r="JYR2493" s="60"/>
      <c r="JYS2493" s="59"/>
      <c r="JYT2493" s="61"/>
      <c r="JYU2493" s="59"/>
      <c r="JYV2493" s="59"/>
      <c r="JYW2493" s="59"/>
      <c r="JYX2493" s="60"/>
      <c r="JYY2493" s="60"/>
      <c r="JYZ2493" s="60"/>
      <c r="JZA2493" s="59"/>
      <c r="JZB2493" s="61"/>
      <c r="JZC2493" s="59"/>
      <c r="JZD2493" s="59"/>
      <c r="JZE2493" s="59"/>
      <c r="JZF2493" s="60"/>
      <c r="JZG2493" s="60"/>
      <c r="JZH2493" s="60"/>
      <c r="JZI2493" s="59"/>
      <c r="JZJ2493" s="61"/>
      <c r="JZK2493" s="59"/>
      <c r="JZL2493" s="59"/>
      <c r="JZM2493" s="59"/>
      <c r="JZN2493" s="60"/>
      <c r="JZO2493" s="60"/>
      <c r="JZP2493" s="60"/>
      <c r="JZQ2493" s="59"/>
      <c r="JZR2493" s="61"/>
      <c r="JZS2493" s="59"/>
      <c r="JZT2493" s="59"/>
      <c r="JZU2493" s="59"/>
      <c r="JZV2493" s="60"/>
      <c r="JZW2493" s="60"/>
      <c r="JZX2493" s="60"/>
      <c r="JZY2493" s="59"/>
      <c r="JZZ2493" s="61"/>
      <c r="KAA2493" s="59"/>
      <c r="KAB2493" s="59"/>
      <c r="KAC2493" s="59"/>
      <c r="KAD2493" s="60"/>
      <c r="KAE2493" s="60"/>
      <c r="KAF2493" s="60"/>
      <c r="KAG2493" s="59"/>
      <c r="KAH2493" s="61"/>
      <c r="KAI2493" s="59"/>
      <c r="KAJ2493" s="59"/>
      <c r="KAK2493" s="59"/>
      <c r="KAL2493" s="60"/>
      <c r="KAM2493" s="60"/>
      <c r="KAN2493" s="60"/>
      <c r="KAO2493" s="59"/>
      <c r="KAP2493" s="61"/>
      <c r="KAQ2493" s="59"/>
      <c r="KAR2493" s="59"/>
      <c r="KAS2493" s="59"/>
      <c r="KAT2493" s="60"/>
      <c r="KAU2493" s="60"/>
      <c r="KAV2493" s="60"/>
      <c r="KAW2493" s="59"/>
      <c r="KAX2493" s="61"/>
      <c r="KAY2493" s="59"/>
      <c r="KAZ2493" s="59"/>
      <c r="KBA2493" s="59"/>
      <c r="KBB2493" s="60"/>
      <c r="KBC2493" s="60"/>
      <c r="KBD2493" s="60"/>
      <c r="KBE2493" s="59"/>
      <c r="KBF2493" s="61"/>
      <c r="KBG2493" s="59"/>
      <c r="KBH2493" s="59"/>
      <c r="KBI2493" s="59"/>
      <c r="KBJ2493" s="60"/>
      <c r="KBK2493" s="60"/>
      <c r="KBL2493" s="60"/>
      <c r="KBM2493" s="59"/>
      <c r="KBN2493" s="61"/>
      <c r="KBO2493" s="59"/>
      <c r="KBP2493" s="59"/>
      <c r="KBQ2493" s="59"/>
      <c r="KBR2493" s="60"/>
      <c r="KBS2493" s="60"/>
      <c r="KBT2493" s="60"/>
      <c r="KBU2493" s="59"/>
      <c r="KBV2493" s="61"/>
      <c r="KBW2493" s="59"/>
      <c r="KBX2493" s="59"/>
      <c r="KBY2493" s="59"/>
      <c r="KBZ2493" s="60"/>
      <c r="KCA2493" s="60"/>
      <c r="KCB2493" s="60"/>
      <c r="KCC2493" s="59"/>
      <c r="KCD2493" s="61"/>
      <c r="KCE2493" s="59"/>
      <c r="KCF2493" s="59"/>
      <c r="KCG2493" s="59"/>
      <c r="KCH2493" s="60"/>
      <c r="KCI2493" s="60"/>
      <c r="KCJ2493" s="60"/>
      <c r="KCK2493" s="59"/>
      <c r="KCL2493" s="61"/>
      <c r="KCM2493" s="59"/>
      <c r="KCN2493" s="59"/>
      <c r="KCO2493" s="59"/>
      <c r="KCP2493" s="60"/>
      <c r="KCQ2493" s="60"/>
      <c r="KCR2493" s="60"/>
      <c r="KCS2493" s="59"/>
      <c r="KCT2493" s="61"/>
      <c r="KCU2493" s="59"/>
      <c r="KCV2493" s="59"/>
      <c r="KCW2493" s="59"/>
      <c r="KCX2493" s="60"/>
      <c r="KCY2493" s="60"/>
      <c r="KCZ2493" s="60"/>
      <c r="KDA2493" s="59"/>
      <c r="KDB2493" s="61"/>
      <c r="KDC2493" s="59"/>
      <c r="KDD2493" s="59"/>
      <c r="KDE2493" s="59"/>
      <c r="KDF2493" s="60"/>
      <c r="KDG2493" s="60"/>
      <c r="KDH2493" s="60"/>
      <c r="KDI2493" s="59"/>
      <c r="KDJ2493" s="61"/>
      <c r="KDK2493" s="59"/>
      <c r="KDL2493" s="59"/>
      <c r="KDM2493" s="59"/>
      <c r="KDN2493" s="60"/>
      <c r="KDO2493" s="60"/>
      <c r="KDP2493" s="60"/>
      <c r="KDQ2493" s="59"/>
      <c r="KDR2493" s="61"/>
      <c r="KDS2493" s="59"/>
      <c r="KDT2493" s="59"/>
      <c r="KDU2493" s="59"/>
      <c r="KDV2493" s="60"/>
      <c r="KDW2493" s="60"/>
      <c r="KDX2493" s="60"/>
      <c r="KDY2493" s="59"/>
      <c r="KDZ2493" s="61"/>
      <c r="KEA2493" s="59"/>
      <c r="KEB2493" s="59"/>
      <c r="KEC2493" s="59"/>
      <c r="KED2493" s="60"/>
      <c r="KEE2493" s="60"/>
      <c r="KEF2493" s="60"/>
      <c r="KEG2493" s="59"/>
      <c r="KEH2493" s="61"/>
      <c r="KEI2493" s="59"/>
      <c r="KEJ2493" s="59"/>
      <c r="KEK2493" s="59"/>
      <c r="KEL2493" s="60"/>
      <c r="KEM2493" s="60"/>
      <c r="KEN2493" s="60"/>
      <c r="KEO2493" s="59"/>
      <c r="KEP2493" s="61"/>
      <c r="KEQ2493" s="59"/>
      <c r="KER2493" s="59"/>
      <c r="KES2493" s="59"/>
      <c r="KET2493" s="60"/>
      <c r="KEU2493" s="60"/>
      <c r="KEV2493" s="60"/>
      <c r="KEW2493" s="59"/>
      <c r="KEX2493" s="61"/>
      <c r="KEY2493" s="59"/>
      <c r="KEZ2493" s="59"/>
      <c r="KFA2493" s="59"/>
      <c r="KFB2493" s="60"/>
      <c r="KFC2493" s="60"/>
      <c r="KFD2493" s="60"/>
      <c r="KFE2493" s="59"/>
      <c r="KFF2493" s="61"/>
      <c r="KFG2493" s="59"/>
      <c r="KFH2493" s="59"/>
      <c r="KFI2493" s="59"/>
      <c r="KFJ2493" s="60"/>
      <c r="KFK2493" s="60"/>
      <c r="KFL2493" s="60"/>
      <c r="KFM2493" s="59"/>
      <c r="KFN2493" s="61"/>
      <c r="KFO2493" s="59"/>
      <c r="KFP2493" s="59"/>
      <c r="KFQ2493" s="59"/>
      <c r="KFR2493" s="60"/>
      <c r="KFS2493" s="60"/>
      <c r="KFT2493" s="60"/>
      <c r="KFU2493" s="59"/>
      <c r="KFV2493" s="61"/>
      <c r="KFW2493" s="59"/>
      <c r="KFX2493" s="59"/>
      <c r="KFY2493" s="59"/>
      <c r="KFZ2493" s="60"/>
      <c r="KGA2493" s="60"/>
      <c r="KGB2493" s="60"/>
      <c r="KGC2493" s="59"/>
      <c r="KGD2493" s="61"/>
      <c r="KGE2493" s="59"/>
      <c r="KGF2493" s="59"/>
      <c r="KGG2493" s="59"/>
      <c r="KGH2493" s="60"/>
      <c r="KGI2493" s="60"/>
      <c r="KGJ2493" s="60"/>
      <c r="KGK2493" s="59"/>
      <c r="KGL2493" s="61"/>
      <c r="KGM2493" s="59"/>
      <c r="KGN2493" s="59"/>
      <c r="KGO2493" s="59"/>
      <c r="KGP2493" s="60"/>
      <c r="KGQ2493" s="60"/>
      <c r="KGR2493" s="60"/>
      <c r="KGS2493" s="59"/>
      <c r="KGT2493" s="61"/>
      <c r="KGU2493" s="59"/>
      <c r="KGV2493" s="59"/>
      <c r="KGW2493" s="59"/>
      <c r="KGX2493" s="60"/>
      <c r="KGY2493" s="60"/>
      <c r="KGZ2493" s="60"/>
      <c r="KHA2493" s="59"/>
      <c r="KHB2493" s="61"/>
      <c r="KHC2493" s="59"/>
      <c r="KHD2493" s="59"/>
      <c r="KHE2493" s="59"/>
      <c r="KHF2493" s="60"/>
      <c r="KHG2493" s="60"/>
      <c r="KHH2493" s="60"/>
      <c r="KHI2493" s="59"/>
      <c r="KHJ2493" s="61"/>
      <c r="KHK2493" s="59"/>
      <c r="KHL2493" s="59"/>
      <c r="KHM2493" s="59"/>
      <c r="KHN2493" s="60"/>
      <c r="KHO2493" s="60"/>
      <c r="KHP2493" s="60"/>
      <c r="KHQ2493" s="59"/>
      <c r="KHR2493" s="61"/>
      <c r="KHS2493" s="59"/>
      <c r="KHT2493" s="59"/>
      <c r="KHU2493" s="59"/>
      <c r="KHV2493" s="60"/>
      <c r="KHW2493" s="60"/>
      <c r="KHX2493" s="60"/>
      <c r="KHY2493" s="59"/>
      <c r="KHZ2493" s="61"/>
      <c r="KIA2493" s="59"/>
      <c r="KIB2493" s="59"/>
      <c r="KIC2493" s="59"/>
      <c r="KID2493" s="60"/>
      <c r="KIE2493" s="60"/>
      <c r="KIF2493" s="60"/>
      <c r="KIG2493" s="59"/>
      <c r="KIH2493" s="61"/>
      <c r="KII2493" s="59"/>
      <c r="KIJ2493" s="59"/>
      <c r="KIK2493" s="59"/>
      <c r="KIL2493" s="60"/>
      <c r="KIM2493" s="60"/>
      <c r="KIN2493" s="60"/>
      <c r="KIO2493" s="59"/>
      <c r="KIP2493" s="61"/>
      <c r="KIQ2493" s="59"/>
      <c r="KIR2493" s="59"/>
      <c r="KIS2493" s="59"/>
      <c r="KIT2493" s="60"/>
      <c r="KIU2493" s="60"/>
      <c r="KIV2493" s="60"/>
      <c r="KIW2493" s="59"/>
      <c r="KIX2493" s="61"/>
      <c r="KIY2493" s="59"/>
      <c r="KIZ2493" s="59"/>
      <c r="KJA2493" s="59"/>
      <c r="KJB2493" s="60"/>
      <c r="KJC2493" s="60"/>
      <c r="KJD2493" s="60"/>
      <c r="KJE2493" s="59"/>
      <c r="KJF2493" s="61"/>
      <c r="KJG2493" s="59"/>
      <c r="KJH2493" s="59"/>
      <c r="KJI2493" s="59"/>
      <c r="KJJ2493" s="60"/>
      <c r="KJK2493" s="60"/>
      <c r="KJL2493" s="60"/>
      <c r="KJM2493" s="59"/>
      <c r="KJN2493" s="61"/>
      <c r="KJO2493" s="59"/>
      <c r="KJP2493" s="59"/>
      <c r="KJQ2493" s="59"/>
      <c r="KJR2493" s="60"/>
      <c r="KJS2493" s="60"/>
      <c r="KJT2493" s="60"/>
      <c r="KJU2493" s="59"/>
      <c r="KJV2493" s="61"/>
      <c r="KJW2493" s="59"/>
      <c r="KJX2493" s="59"/>
      <c r="KJY2493" s="59"/>
      <c r="KJZ2493" s="60"/>
      <c r="KKA2493" s="60"/>
      <c r="KKB2493" s="60"/>
      <c r="KKC2493" s="59"/>
      <c r="KKD2493" s="61"/>
      <c r="KKE2493" s="59"/>
      <c r="KKF2493" s="59"/>
      <c r="KKG2493" s="59"/>
      <c r="KKH2493" s="60"/>
      <c r="KKI2493" s="60"/>
      <c r="KKJ2493" s="60"/>
      <c r="KKK2493" s="59"/>
      <c r="KKL2493" s="61"/>
      <c r="KKM2493" s="59"/>
      <c r="KKN2493" s="59"/>
      <c r="KKO2493" s="59"/>
      <c r="KKP2493" s="60"/>
      <c r="KKQ2493" s="60"/>
      <c r="KKR2493" s="60"/>
      <c r="KKS2493" s="59"/>
      <c r="KKT2493" s="61"/>
      <c r="KKU2493" s="59"/>
      <c r="KKV2493" s="59"/>
      <c r="KKW2493" s="59"/>
      <c r="KKX2493" s="60"/>
      <c r="KKY2493" s="60"/>
      <c r="KKZ2493" s="60"/>
      <c r="KLA2493" s="59"/>
      <c r="KLB2493" s="61"/>
      <c r="KLC2493" s="59"/>
      <c r="KLD2493" s="59"/>
      <c r="KLE2493" s="59"/>
      <c r="KLF2493" s="60"/>
      <c r="KLG2493" s="60"/>
      <c r="KLH2493" s="60"/>
      <c r="KLI2493" s="59"/>
      <c r="KLJ2493" s="61"/>
      <c r="KLK2493" s="59"/>
      <c r="KLL2493" s="59"/>
      <c r="KLM2493" s="59"/>
      <c r="KLN2493" s="60"/>
      <c r="KLO2493" s="60"/>
      <c r="KLP2493" s="60"/>
      <c r="KLQ2493" s="59"/>
      <c r="KLR2493" s="61"/>
      <c r="KLS2493" s="59"/>
      <c r="KLT2493" s="59"/>
      <c r="KLU2493" s="59"/>
      <c r="KLV2493" s="60"/>
      <c r="KLW2493" s="60"/>
      <c r="KLX2493" s="60"/>
      <c r="KLY2493" s="59"/>
      <c r="KLZ2493" s="61"/>
      <c r="KMA2493" s="59"/>
      <c r="KMB2493" s="59"/>
      <c r="KMC2493" s="59"/>
      <c r="KMD2493" s="60"/>
      <c r="KME2493" s="60"/>
      <c r="KMF2493" s="60"/>
      <c r="KMG2493" s="59"/>
      <c r="KMH2493" s="61"/>
      <c r="KMI2493" s="59"/>
      <c r="KMJ2493" s="59"/>
      <c r="KMK2493" s="59"/>
      <c r="KML2493" s="60"/>
      <c r="KMM2493" s="60"/>
      <c r="KMN2493" s="60"/>
      <c r="KMO2493" s="59"/>
      <c r="KMP2493" s="61"/>
      <c r="KMQ2493" s="59"/>
      <c r="KMR2493" s="59"/>
      <c r="KMS2493" s="59"/>
      <c r="KMT2493" s="60"/>
      <c r="KMU2493" s="60"/>
      <c r="KMV2493" s="60"/>
      <c r="KMW2493" s="59"/>
      <c r="KMX2493" s="61"/>
      <c r="KMY2493" s="59"/>
      <c r="KMZ2493" s="59"/>
      <c r="KNA2493" s="59"/>
      <c r="KNB2493" s="60"/>
      <c r="KNC2493" s="60"/>
      <c r="KND2493" s="60"/>
      <c r="KNE2493" s="59"/>
      <c r="KNF2493" s="61"/>
      <c r="KNG2493" s="59"/>
      <c r="KNH2493" s="59"/>
      <c r="KNI2493" s="59"/>
      <c r="KNJ2493" s="60"/>
      <c r="KNK2493" s="60"/>
      <c r="KNL2493" s="60"/>
      <c r="KNM2493" s="59"/>
      <c r="KNN2493" s="61"/>
      <c r="KNO2493" s="59"/>
      <c r="KNP2493" s="59"/>
      <c r="KNQ2493" s="59"/>
      <c r="KNR2493" s="60"/>
      <c r="KNS2493" s="60"/>
      <c r="KNT2493" s="60"/>
      <c r="KNU2493" s="59"/>
      <c r="KNV2493" s="61"/>
      <c r="KNW2493" s="59"/>
      <c r="KNX2493" s="59"/>
      <c r="KNY2493" s="59"/>
      <c r="KNZ2493" s="60"/>
      <c r="KOA2493" s="60"/>
      <c r="KOB2493" s="60"/>
      <c r="KOC2493" s="59"/>
      <c r="KOD2493" s="61"/>
      <c r="KOE2493" s="59"/>
      <c r="KOF2493" s="59"/>
      <c r="KOG2493" s="59"/>
      <c r="KOH2493" s="60"/>
      <c r="KOI2493" s="60"/>
      <c r="KOJ2493" s="60"/>
      <c r="KOK2493" s="59"/>
      <c r="KOL2493" s="61"/>
      <c r="KOM2493" s="59"/>
      <c r="KON2493" s="59"/>
      <c r="KOO2493" s="59"/>
      <c r="KOP2493" s="60"/>
      <c r="KOQ2493" s="60"/>
      <c r="KOR2493" s="60"/>
      <c r="KOS2493" s="59"/>
      <c r="KOT2493" s="61"/>
      <c r="KOU2493" s="59"/>
      <c r="KOV2493" s="59"/>
      <c r="KOW2493" s="59"/>
      <c r="KOX2493" s="60"/>
      <c r="KOY2493" s="60"/>
      <c r="KOZ2493" s="60"/>
      <c r="KPA2493" s="59"/>
      <c r="KPB2493" s="61"/>
      <c r="KPC2493" s="59"/>
      <c r="KPD2493" s="59"/>
      <c r="KPE2493" s="59"/>
      <c r="KPF2493" s="60"/>
      <c r="KPG2493" s="60"/>
      <c r="KPH2493" s="60"/>
      <c r="KPI2493" s="59"/>
      <c r="KPJ2493" s="61"/>
      <c r="KPK2493" s="59"/>
      <c r="KPL2493" s="59"/>
      <c r="KPM2493" s="59"/>
      <c r="KPN2493" s="60"/>
      <c r="KPO2493" s="60"/>
      <c r="KPP2493" s="60"/>
      <c r="KPQ2493" s="59"/>
      <c r="KPR2493" s="61"/>
      <c r="KPS2493" s="59"/>
      <c r="KPT2493" s="59"/>
      <c r="KPU2493" s="59"/>
      <c r="KPV2493" s="60"/>
      <c r="KPW2493" s="60"/>
      <c r="KPX2493" s="60"/>
      <c r="KPY2493" s="59"/>
      <c r="KPZ2493" s="61"/>
      <c r="KQA2493" s="59"/>
      <c r="KQB2493" s="59"/>
      <c r="KQC2493" s="59"/>
      <c r="KQD2493" s="60"/>
      <c r="KQE2493" s="60"/>
      <c r="KQF2493" s="60"/>
      <c r="KQG2493" s="59"/>
      <c r="KQH2493" s="61"/>
      <c r="KQI2493" s="59"/>
      <c r="KQJ2493" s="59"/>
      <c r="KQK2493" s="59"/>
      <c r="KQL2493" s="60"/>
      <c r="KQM2493" s="60"/>
      <c r="KQN2493" s="60"/>
      <c r="KQO2493" s="59"/>
      <c r="KQP2493" s="61"/>
      <c r="KQQ2493" s="59"/>
      <c r="KQR2493" s="59"/>
      <c r="KQS2493" s="59"/>
      <c r="KQT2493" s="60"/>
      <c r="KQU2493" s="60"/>
      <c r="KQV2493" s="60"/>
      <c r="KQW2493" s="59"/>
      <c r="KQX2493" s="61"/>
      <c r="KQY2493" s="59"/>
      <c r="KQZ2493" s="59"/>
      <c r="KRA2493" s="59"/>
      <c r="KRB2493" s="60"/>
      <c r="KRC2493" s="60"/>
      <c r="KRD2493" s="60"/>
      <c r="KRE2493" s="59"/>
      <c r="KRF2493" s="61"/>
      <c r="KRG2493" s="59"/>
      <c r="KRH2493" s="59"/>
      <c r="KRI2493" s="59"/>
      <c r="KRJ2493" s="60"/>
      <c r="KRK2493" s="60"/>
      <c r="KRL2493" s="60"/>
      <c r="KRM2493" s="59"/>
      <c r="KRN2493" s="61"/>
      <c r="KRO2493" s="59"/>
      <c r="KRP2493" s="59"/>
      <c r="KRQ2493" s="59"/>
      <c r="KRR2493" s="60"/>
      <c r="KRS2493" s="60"/>
      <c r="KRT2493" s="60"/>
      <c r="KRU2493" s="59"/>
      <c r="KRV2493" s="61"/>
      <c r="KRW2493" s="59"/>
      <c r="KRX2493" s="59"/>
      <c r="KRY2493" s="59"/>
      <c r="KRZ2493" s="60"/>
      <c r="KSA2493" s="60"/>
      <c r="KSB2493" s="60"/>
      <c r="KSC2493" s="59"/>
      <c r="KSD2493" s="61"/>
      <c r="KSE2493" s="59"/>
      <c r="KSF2493" s="59"/>
      <c r="KSG2493" s="59"/>
      <c r="KSH2493" s="60"/>
      <c r="KSI2493" s="60"/>
      <c r="KSJ2493" s="60"/>
      <c r="KSK2493" s="59"/>
      <c r="KSL2493" s="61"/>
      <c r="KSM2493" s="59"/>
      <c r="KSN2493" s="59"/>
      <c r="KSO2493" s="59"/>
      <c r="KSP2493" s="60"/>
      <c r="KSQ2493" s="60"/>
      <c r="KSR2493" s="60"/>
      <c r="KSS2493" s="59"/>
      <c r="KST2493" s="61"/>
      <c r="KSU2493" s="59"/>
      <c r="KSV2493" s="59"/>
      <c r="KSW2493" s="59"/>
      <c r="KSX2493" s="60"/>
      <c r="KSY2493" s="60"/>
      <c r="KSZ2493" s="60"/>
      <c r="KTA2493" s="59"/>
      <c r="KTB2493" s="61"/>
      <c r="KTC2493" s="59"/>
      <c r="KTD2493" s="59"/>
      <c r="KTE2493" s="59"/>
      <c r="KTF2493" s="60"/>
      <c r="KTG2493" s="60"/>
      <c r="KTH2493" s="60"/>
      <c r="KTI2493" s="59"/>
      <c r="KTJ2493" s="61"/>
      <c r="KTK2493" s="59"/>
      <c r="KTL2493" s="59"/>
      <c r="KTM2493" s="59"/>
      <c r="KTN2493" s="60"/>
      <c r="KTO2493" s="60"/>
      <c r="KTP2493" s="60"/>
      <c r="KTQ2493" s="59"/>
      <c r="KTR2493" s="61"/>
      <c r="KTS2493" s="59"/>
      <c r="KTT2493" s="59"/>
      <c r="KTU2493" s="59"/>
      <c r="KTV2493" s="60"/>
      <c r="KTW2493" s="60"/>
      <c r="KTX2493" s="60"/>
      <c r="KTY2493" s="59"/>
      <c r="KTZ2493" s="61"/>
      <c r="KUA2493" s="59"/>
      <c r="KUB2493" s="59"/>
      <c r="KUC2493" s="59"/>
      <c r="KUD2493" s="60"/>
      <c r="KUE2493" s="60"/>
      <c r="KUF2493" s="60"/>
      <c r="KUG2493" s="59"/>
      <c r="KUH2493" s="61"/>
      <c r="KUI2493" s="59"/>
      <c r="KUJ2493" s="59"/>
      <c r="KUK2493" s="59"/>
      <c r="KUL2493" s="60"/>
      <c r="KUM2493" s="60"/>
      <c r="KUN2493" s="60"/>
      <c r="KUO2493" s="59"/>
      <c r="KUP2493" s="61"/>
      <c r="KUQ2493" s="59"/>
      <c r="KUR2493" s="59"/>
      <c r="KUS2493" s="59"/>
      <c r="KUT2493" s="60"/>
      <c r="KUU2493" s="60"/>
      <c r="KUV2493" s="60"/>
      <c r="KUW2493" s="59"/>
      <c r="KUX2493" s="61"/>
      <c r="KUY2493" s="59"/>
      <c r="KUZ2493" s="59"/>
      <c r="KVA2493" s="59"/>
      <c r="KVB2493" s="60"/>
      <c r="KVC2493" s="60"/>
      <c r="KVD2493" s="60"/>
      <c r="KVE2493" s="59"/>
      <c r="KVF2493" s="61"/>
      <c r="KVG2493" s="59"/>
      <c r="KVH2493" s="59"/>
      <c r="KVI2493" s="59"/>
      <c r="KVJ2493" s="60"/>
      <c r="KVK2493" s="60"/>
      <c r="KVL2493" s="60"/>
      <c r="KVM2493" s="59"/>
      <c r="KVN2493" s="61"/>
      <c r="KVO2493" s="59"/>
      <c r="KVP2493" s="59"/>
      <c r="KVQ2493" s="59"/>
      <c r="KVR2493" s="60"/>
      <c r="KVS2493" s="60"/>
      <c r="KVT2493" s="60"/>
      <c r="KVU2493" s="59"/>
      <c r="KVV2493" s="61"/>
      <c r="KVW2493" s="59"/>
      <c r="KVX2493" s="59"/>
      <c r="KVY2493" s="59"/>
      <c r="KVZ2493" s="60"/>
      <c r="KWA2493" s="60"/>
      <c r="KWB2493" s="60"/>
      <c r="KWC2493" s="59"/>
      <c r="KWD2493" s="61"/>
      <c r="KWE2493" s="59"/>
      <c r="KWF2493" s="59"/>
      <c r="KWG2493" s="59"/>
      <c r="KWH2493" s="60"/>
      <c r="KWI2493" s="60"/>
      <c r="KWJ2493" s="60"/>
      <c r="KWK2493" s="59"/>
      <c r="KWL2493" s="61"/>
      <c r="KWM2493" s="59"/>
      <c r="KWN2493" s="59"/>
      <c r="KWO2493" s="59"/>
      <c r="KWP2493" s="60"/>
      <c r="KWQ2493" s="60"/>
      <c r="KWR2493" s="60"/>
      <c r="KWS2493" s="59"/>
      <c r="KWT2493" s="61"/>
      <c r="KWU2493" s="59"/>
      <c r="KWV2493" s="59"/>
      <c r="KWW2493" s="59"/>
      <c r="KWX2493" s="60"/>
      <c r="KWY2493" s="60"/>
      <c r="KWZ2493" s="60"/>
      <c r="KXA2493" s="59"/>
      <c r="KXB2493" s="61"/>
      <c r="KXC2493" s="59"/>
      <c r="KXD2493" s="59"/>
      <c r="KXE2493" s="59"/>
      <c r="KXF2493" s="60"/>
      <c r="KXG2493" s="60"/>
      <c r="KXH2493" s="60"/>
      <c r="KXI2493" s="59"/>
      <c r="KXJ2493" s="61"/>
      <c r="KXK2493" s="59"/>
      <c r="KXL2493" s="59"/>
      <c r="KXM2493" s="59"/>
      <c r="KXN2493" s="60"/>
      <c r="KXO2493" s="60"/>
      <c r="KXP2493" s="60"/>
      <c r="KXQ2493" s="59"/>
      <c r="KXR2493" s="61"/>
      <c r="KXS2493" s="59"/>
      <c r="KXT2493" s="59"/>
      <c r="KXU2493" s="59"/>
      <c r="KXV2493" s="60"/>
      <c r="KXW2493" s="60"/>
      <c r="KXX2493" s="60"/>
      <c r="KXY2493" s="59"/>
      <c r="KXZ2493" s="61"/>
      <c r="KYA2493" s="59"/>
      <c r="KYB2493" s="59"/>
      <c r="KYC2493" s="59"/>
      <c r="KYD2493" s="60"/>
      <c r="KYE2493" s="60"/>
      <c r="KYF2493" s="60"/>
      <c r="KYG2493" s="59"/>
      <c r="KYH2493" s="61"/>
      <c r="KYI2493" s="59"/>
      <c r="KYJ2493" s="59"/>
      <c r="KYK2493" s="59"/>
      <c r="KYL2493" s="60"/>
      <c r="KYM2493" s="60"/>
      <c r="KYN2493" s="60"/>
      <c r="KYO2493" s="59"/>
      <c r="KYP2493" s="61"/>
      <c r="KYQ2493" s="59"/>
      <c r="KYR2493" s="59"/>
      <c r="KYS2493" s="59"/>
      <c r="KYT2493" s="60"/>
      <c r="KYU2493" s="60"/>
      <c r="KYV2493" s="60"/>
      <c r="KYW2493" s="59"/>
      <c r="KYX2493" s="61"/>
      <c r="KYY2493" s="59"/>
      <c r="KYZ2493" s="59"/>
      <c r="KZA2493" s="59"/>
      <c r="KZB2493" s="60"/>
      <c r="KZC2493" s="60"/>
      <c r="KZD2493" s="60"/>
      <c r="KZE2493" s="59"/>
      <c r="KZF2493" s="61"/>
      <c r="KZG2493" s="59"/>
      <c r="KZH2493" s="59"/>
      <c r="KZI2493" s="59"/>
      <c r="KZJ2493" s="60"/>
      <c r="KZK2493" s="60"/>
      <c r="KZL2493" s="60"/>
      <c r="KZM2493" s="59"/>
      <c r="KZN2493" s="61"/>
      <c r="KZO2493" s="59"/>
      <c r="KZP2493" s="59"/>
      <c r="KZQ2493" s="59"/>
      <c r="KZR2493" s="60"/>
      <c r="KZS2493" s="60"/>
      <c r="KZT2493" s="60"/>
      <c r="KZU2493" s="59"/>
      <c r="KZV2493" s="61"/>
      <c r="KZW2493" s="59"/>
      <c r="KZX2493" s="59"/>
      <c r="KZY2493" s="59"/>
      <c r="KZZ2493" s="60"/>
      <c r="LAA2493" s="60"/>
      <c r="LAB2493" s="60"/>
      <c r="LAC2493" s="59"/>
      <c r="LAD2493" s="61"/>
      <c r="LAE2493" s="59"/>
      <c r="LAF2493" s="59"/>
      <c r="LAG2493" s="59"/>
      <c r="LAH2493" s="60"/>
      <c r="LAI2493" s="60"/>
      <c r="LAJ2493" s="60"/>
      <c r="LAK2493" s="59"/>
      <c r="LAL2493" s="61"/>
      <c r="LAM2493" s="59"/>
      <c r="LAN2493" s="59"/>
      <c r="LAO2493" s="59"/>
      <c r="LAP2493" s="60"/>
      <c r="LAQ2493" s="60"/>
      <c r="LAR2493" s="60"/>
      <c r="LAS2493" s="59"/>
      <c r="LAT2493" s="61"/>
      <c r="LAU2493" s="59"/>
      <c r="LAV2493" s="59"/>
      <c r="LAW2493" s="59"/>
      <c r="LAX2493" s="60"/>
      <c r="LAY2493" s="60"/>
      <c r="LAZ2493" s="60"/>
      <c r="LBA2493" s="59"/>
      <c r="LBB2493" s="61"/>
      <c r="LBC2493" s="59"/>
      <c r="LBD2493" s="59"/>
      <c r="LBE2493" s="59"/>
      <c r="LBF2493" s="60"/>
      <c r="LBG2493" s="60"/>
      <c r="LBH2493" s="60"/>
      <c r="LBI2493" s="59"/>
      <c r="LBJ2493" s="61"/>
      <c r="LBK2493" s="59"/>
      <c r="LBL2493" s="59"/>
      <c r="LBM2493" s="59"/>
      <c r="LBN2493" s="60"/>
      <c r="LBO2493" s="60"/>
      <c r="LBP2493" s="60"/>
      <c r="LBQ2493" s="59"/>
      <c r="LBR2493" s="61"/>
      <c r="LBS2493" s="59"/>
      <c r="LBT2493" s="59"/>
      <c r="LBU2493" s="59"/>
      <c r="LBV2493" s="60"/>
      <c r="LBW2493" s="60"/>
      <c r="LBX2493" s="60"/>
      <c r="LBY2493" s="59"/>
      <c r="LBZ2493" s="61"/>
      <c r="LCA2493" s="59"/>
      <c r="LCB2493" s="59"/>
      <c r="LCC2493" s="59"/>
      <c r="LCD2493" s="60"/>
      <c r="LCE2493" s="60"/>
      <c r="LCF2493" s="60"/>
      <c r="LCG2493" s="59"/>
      <c r="LCH2493" s="61"/>
      <c r="LCI2493" s="59"/>
      <c r="LCJ2493" s="59"/>
      <c r="LCK2493" s="59"/>
      <c r="LCL2493" s="60"/>
      <c r="LCM2493" s="60"/>
      <c r="LCN2493" s="60"/>
      <c r="LCO2493" s="59"/>
      <c r="LCP2493" s="61"/>
      <c r="LCQ2493" s="59"/>
      <c r="LCR2493" s="59"/>
      <c r="LCS2493" s="59"/>
      <c r="LCT2493" s="60"/>
      <c r="LCU2493" s="60"/>
      <c r="LCV2493" s="60"/>
      <c r="LCW2493" s="59"/>
      <c r="LCX2493" s="61"/>
      <c r="LCY2493" s="59"/>
      <c r="LCZ2493" s="59"/>
      <c r="LDA2493" s="59"/>
      <c r="LDB2493" s="60"/>
      <c r="LDC2493" s="60"/>
      <c r="LDD2493" s="60"/>
      <c r="LDE2493" s="59"/>
      <c r="LDF2493" s="61"/>
      <c r="LDG2493" s="59"/>
      <c r="LDH2493" s="59"/>
      <c r="LDI2493" s="59"/>
      <c r="LDJ2493" s="60"/>
      <c r="LDK2493" s="60"/>
      <c r="LDL2493" s="60"/>
      <c r="LDM2493" s="59"/>
      <c r="LDN2493" s="61"/>
      <c r="LDO2493" s="59"/>
      <c r="LDP2493" s="59"/>
      <c r="LDQ2493" s="59"/>
      <c r="LDR2493" s="60"/>
      <c r="LDS2493" s="60"/>
      <c r="LDT2493" s="60"/>
      <c r="LDU2493" s="59"/>
      <c r="LDV2493" s="61"/>
      <c r="LDW2493" s="59"/>
      <c r="LDX2493" s="59"/>
      <c r="LDY2493" s="59"/>
      <c r="LDZ2493" s="60"/>
      <c r="LEA2493" s="60"/>
      <c r="LEB2493" s="60"/>
      <c r="LEC2493" s="59"/>
      <c r="LED2493" s="61"/>
      <c r="LEE2493" s="59"/>
      <c r="LEF2493" s="59"/>
      <c r="LEG2493" s="59"/>
      <c r="LEH2493" s="60"/>
      <c r="LEI2493" s="60"/>
      <c r="LEJ2493" s="60"/>
      <c r="LEK2493" s="59"/>
      <c r="LEL2493" s="61"/>
      <c r="LEM2493" s="59"/>
      <c r="LEN2493" s="59"/>
      <c r="LEO2493" s="59"/>
      <c r="LEP2493" s="60"/>
      <c r="LEQ2493" s="60"/>
      <c r="LER2493" s="60"/>
      <c r="LES2493" s="59"/>
      <c r="LET2493" s="61"/>
      <c r="LEU2493" s="59"/>
      <c r="LEV2493" s="59"/>
      <c r="LEW2493" s="59"/>
      <c r="LEX2493" s="60"/>
      <c r="LEY2493" s="60"/>
      <c r="LEZ2493" s="60"/>
      <c r="LFA2493" s="59"/>
      <c r="LFB2493" s="61"/>
      <c r="LFC2493" s="59"/>
      <c r="LFD2493" s="59"/>
      <c r="LFE2493" s="59"/>
      <c r="LFF2493" s="60"/>
      <c r="LFG2493" s="60"/>
      <c r="LFH2493" s="60"/>
      <c r="LFI2493" s="59"/>
      <c r="LFJ2493" s="61"/>
      <c r="LFK2493" s="59"/>
      <c r="LFL2493" s="59"/>
      <c r="LFM2493" s="59"/>
      <c r="LFN2493" s="60"/>
      <c r="LFO2493" s="60"/>
      <c r="LFP2493" s="60"/>
      <c r="LFQ2493" s="59"/>
      <c r="LFR2493" s="61"/>
      <c r="LFS2493" s="59"/>
      <c r="LFT2493" s="59"/>
      <c r="LFU2493" s="59"/>
      <c r="LFV2493" s="60"/>
      <c r="LFW2493" s="60"/>
      <c r="LFX2493" s="60"/>
      <c r="LFY2493" s="59"/>
      <c r="LFZ2493" s="61"/>
      <c r="LGA2493" s="59"/>
      <c r="LGB2493" s="59"/>
      <c r="LGC2493" s="59"/>
      <c r="LGD2493" s="60"/>
      <c r="LGE2493" s="60"/>
      <c r="LGF2493" s="60"/>
      <c r="LGG2493" s="59"/>
      <c r="LGH2493" s="61"/>
      <c r="LGI2493" s="59"/>
      <c r="LGJ2493" s="59"/>
      <c r="LGK2493" s="59"/>
      <c r="LGL2493" s="60"/>
      <c r="LGM2493" s="60"/>
      <c r="LGN2493" s="60"/>
      <c r="LGO2493" s="59"/>
      <c r="LGP2493" s="61"/>
      <c r="LGQ2493" s="59"/>
      <c r="LGR2493" s="59"/>
      <c r="LGS2493" s="59"/>
      <c r="LGT2493" s="60"/>
      <c r="LGU2493" s="60"/>
      <c r="LGV2493" s="60"/>
      <c r="LGW2493" s="59"/>
      <c r="LGX2493" s="61"/>
      <c r="LGY2493" s="59"/>
      <c r="LGZ2493" s="59"/>
      <c r="LHA2493" s="59"/>
      <c r="LHB2493" s="60"/>
      <c r="LHC2493" s="60"/>
      <c r="LHD2493" s="60"/>
      <c r="LHE2493" s="59"/>
      <c r="LHF2493" s="61"/>
      <c r="LHG2493" s="59"/>
      <c r="LHH2493" s="59"/>
      <c r="LHI2493" s="59"/>
      <c r="LHJ2493" s="60"/>
      <c r="LHK2493" s="60"/>
      <c r="LHL2493" s="60"/>
      <c r="LHM2493" s="59"/>
      <c r="LHN2493" s="61"/>
      <c r="LHO2493" s="59"/>
      <c r="LHP2493" s="59"/>
      <c r="LHQ2493" s="59"/>
      <c r="LHR2493" s="60"/>
      <c r="LHS2493" s="60"/>
      <c r="LHT2493" s="60"/>
      <c r="LHU2493" s="59"/>
      <c r="LHV2493" s="61"/>
      <c r="LHW2493" s="59"/>
      <c r="LHX2493" s="59"/>
      <c r="LHY2493" s="59"/>
      <c r="LHZ2493" s="60"/>
      <c r="LIA2493" s="60"/>
      <c r="LIB2493" s="60"/>
      <c r="LIC2493" s="59"/>
      <c r="LID2493" s="61"/>
      <c r="LIE2493" s="59"/>
      <c r="LIF2493" s="59"/>
      <c r="LIG2493" s="59"/>
      <c r="LIH2493" s="60"/>
      <c r="LII2493" s="60"/>
      <c r="LIJ2493" s="60"/>
      <c r="LIK2493" s="59"/>
      <c r="LIL2493" s="61"/>
      <c r="LIM2493" s="59"/>
      <c r="LIN2493" s="59"/>
      <c r="LIO2493" s="59"/>
      <c r="LIP2493" s="60"/>
      <c r="LIQ2493" s="60"/>
      <c r="LIR2493" s="60"/>
      <c r="LIS2493" s="59"/>
      <c r="LIT2493" s="61"/>
      <c r="LIU2493" s="59"/>
      <c r="LIV2493" s="59"/>
      <c r="LIW2493" s="59"/>
      <c r="LIX2493" s="60"/>
      <c r="LIY2493" s="60"/>
      <c r="LIZ2493" s="60"/>
      <c r="LJA2493" s="59"/>
      <c r="LJB2493" s="61"/>
      <c r="LJC2493" s="59"/>
      <c r="LJD2493" s="59"/>
      <c r="LJE2493" s="59"/>
      <c r="LJF2493" s="60"/>
      <c r="LJG2493" s="60"/>
      <c r="LJH2493" s="60"/>
      <c r="LJI2493" s="59"/>
      <c r="LJJ2493" s="61"/>
      <c r="LJK2493" s="59"/>
      <c r="LJL2493" s="59"/>
      <c r="LJM2493" s="59"/>
      <c r="LJN2493" s="60"/>
      <c r="LJO2493" s="60"/>
      <c r="LJP2493" s="60"/>
      <c r="LJQ2493" s="59"/>
      <c r="LJR2493" s="61"/>
      <c r="LJS2493" s="59"/>
      <c r="LJT2493" s="59"/>
      <c r="LJU2493" s="59"/>
      <c r="LJV2493" s="60"/>
      <c r="LJW2493" s="60"/>
      <c r="LJX2493" s="60"/>
      <c r="LJY2493" s="59"/>
      <c r="LJZ2493" s="61"/>
      <c r="LKA2493" s="59"/>
      <c r="LKB2493" s="59"/>
      <c r="LKC2493" s="59"/>
      <c r="LKD2493" s="60"/>
      <c r="LKE2493" s="60"/>
      <c r="LKF2493" s="60"/>
      <c r="LKG2493" s="59"/>
      <c r="LKH2493" s="61"/>
      <c r="LKI2493" s="59"/>
      <c r="LKJ2493" s="59"/>
      <c r="LKK2493" s="59"/>
      <c r="LKL2493" s="60"/>
      <c r="LKM2493" s="60"/>
      <c r="LKN2493" s="60"/>
      <c r="LKO2493" s="59"/>
      <c r="LKP2493" s="61"/>
      <c r="LKQ2493" s="59"/>
      <c r="LKR2493" s="59"/>
      <c r="LKS2493" s="59"/>
      <c r="LKT2493" s="60"/>
      <c r="LKU2493" s="60"/>
      <c r="LKV2493" s="60"/>
      <c r="LKW2493" s="59"/>
      <c r="LKX2493" s="61"/>
      <c r="LKY2493" s="59"/>
      <c r="LKZ2493" s="59"/>
      <c r="LLA2493" s="59"/>
      <c r="LLB2493" s="60"/>
      <c r="LLC2493" s="60"/>
      <c r="LLD2493" s="60"/>
      <c r="LLE2493" s="59"/>
      <c r="LLF2493" s="61"/>
      <c r="LLG2493" s="59"/>
      <c r="LLH2493" s="59"/>
      <c r="LLI2493" s="59"/>
      <c r="LLJ2493" s="60"/>
      <c r="LLK2493" s="60"/>
      <c r="LLL2493" s="60"/>
      <c r="LLM2493" s="59"/>
      <c r="LLN2493" s="61"/>
      <c r="LLO2493" s="59"/>
      <c r="LLP2493" s="59"/>
      <c r="LLQ2493" s="59"/>
      <c r="LLR2493" s="60"/>
      <c r="LLS2493" s="60"/>
      <c r="LLT2493" s="60"/>
      <c r="LLU2493" s="59"/>
      <c r="LLV2493" s="61"/>
      <c r="LLW2493" s="59"/>
      <c r="LLX2493" s="59"/>
      <c r="LLY2493" s="59"/>
      <c r="LLZ2493" s="60"/>
      <c r="LMA2493" s="60"/>
      <c r="LMB2493" s="60"/>
      <c r="LMC2493" s="59"/>
      <c r="LMD2493" s="61"/>
      <c r="LME2493" s="59"/>
      <c r="LMF2493" s="59"/>
      <c r="LMG2493" s="59"/>
      <c r="LMH2493" s="60"/>
      <c r="LMI2493" s="60"/>
      <c r="LMJ2493" s="60"/>
      <c r="LMK2493" s="59"/>
      <c r="LML2493" s="61"/>
      <c r="LMM2493" s="59"/>
      <c r="LMN2493" s="59"/>
      <c r="LMO2493" s="59"/>
      <c r="LMP2493" s="60"/>
      <c r="LMQ2493" s="60"/>
      <c r="LMR2493" s="60"/>
      <c r="LMS2493" s="59"/>
      <c r="LMT2493" s="61"/>
      <c r="LMU2493" s="59"/>
      <c r="LMV2493" s="59"/>
      <c r="LMW2493" s="59"/>
      <c r="LMX2493" s="60"/>
      <c r="LMY2493" s="60"/>
      <c r="LMZ2493" s="60"/>
      <c r="LNA2493" s="59"/>
      <c r="LNB2493" s="61"/>
      <c r="LNC2493" s="59"/>
      <c r="LND2493" s="59"/>
      <c r="LNE2493" s="59"/>
      <c r="LNF2493" s="60"/>
      <c r="LNG2493" s="60"/>
      <c r="LNH2493" s="60"/>
      <c r="LNI2493" s="59"/>
      <c r="LNJ2493" s="61"/>
      <c r="LNK2493" s="59"/>
      <c r="LNL2493" s="59"/>
      <c r="LNM2493" s="59"/>
      <c r="LNN2493" s="60"/>
      <c r="LNO2493" s="60"/>
      <c r="LNP2493" s="60"/>
      <c r="LNQ2493" s="59"/>
      <c r="LNR2493" s="61"/>
      <c r="LNS2493" s="59"/>
      <c r="LNT2493" s="59"/>
      <c r="LNU2493" s="59"/>
      <c r="LNV2493" s="60"/>
      <c r="LNW2493" s="60"/>
      <c r="LNX2493" s="60"/>
      <c r="LNY2493" s="59"/>
      <c r="LNZ2493" s="61"/>
      <c r="LOA2493" s="59"/>
      <c r="LOB2493" s="59"/>
      <c r="LOC2493" s="59"/>
      <c r="LOD2493" s="60"/>
      <c r="LOE2493" s="60"/>
      <c r="LOF2493" s="60"/>
      <c r="LOG2493" s="59"/>
      <c r="LOH2493" s="61"/>
      <c r="LOI2493" s="59"/>
      <c r="LOJ2493" s="59"/>
      <c r="LOK2493" s="59"/>
      <c r="LOL2493" s="60"/>
      <c r="LOM2493" s="60"/>
      <c r="LON2493" s="60"/>
      <c r="LOO2493" s="59"/>
      <c r="LOP2493" s="61"/>
      <c r="LOQ2493" s="59"/>
      <c r="LOR2493" s="59"/>
      <c r="LOS2493" s="59"/>
      <c r="LOT2493" s="60"/>
      <c r="LOU2493" s="60"/>
      <c r="LOV2493" s="60"/>
      <c r="LOW2493" s="59"/>
      <c r="LOX2493" s="61"/>
      <c r="LOY2493" s="59"/>
      <c r="LOZ2493" s="59"/>
      <c r="LPA2493" s="59"/>
      <c r="LPB2493" s="60"/>
      <c r="LPC2493" s="60"/>
      <c r="LPD2493" s="60"/>
      <c r="LPE2493" s="59"/>
      <c r="LPF2493" s="61"/>
      <c r="LPG2493" s="59"/>
      <c r="LPH2493" s="59"/>
      <c r="LPI2493" s="59"/>
      <c r="LPJ2493" s="60"/>
      <c r="LPK2493" s="60"/>
      <c r="LPL2493" s="60"/>
      <c r="LPM2493" s="59"/>
      <c r="LPN2493" s="61"/>
      <c r="LPO2493" s="59"/>
      <c r="LPP2493" s="59"/>
      <c r="LPQ2493" s="59"/>
      <c r="LPR2493" s="60"/>
      <c r="LPS2493" s="60"/>
      <c r="LPT2493" s="60"/>
      <c r="LPU2493" s="59"/>
      <c r="LPV2493" s="61"/>
      <c r="LPW2493" s="59"/>
      <c r="LPX2493" s="59"/>
      <c r="LPY2493" s="59"/>
      <c r="LPZ2493" s="60"/>
      <c r="LQA2493" s="60"/>
      <c r="LQB2493" s="60"/>
      <c r="LQC2493" s="59"/>
      <c r="LQD2493" s="61"/>
      <c r="LQE2493" s="59"/>
      <c r="LQF2493" s="59"/>
      <c r="LQG2493" s="59"/>
      <c r="LQH2493" s="60"/>
      <c r="LQI2493" s="60"/>
      <c r="LQJ2493" s="60"/>
      <c r="LQK2493" s="59"/>
      <c r="LQL2493" s="61"/>
      <c r="LQM2493" s="59"/>
      <c r="LQN2493" s="59"/>
      <c r="LQO2493" s="59"/>
      <c r="LQP2493" s="60"/>
      <c r="LQQ2493" s="60"/>
      <c r="LQR2493" s="60"/>
      <c r="LQS2493" s="59"/>
      <c r="LQT2493" s="61"/>
      <c r="LQU2493" s="59"/>
      <c r="LQV2493" s="59"/>
      <c r="LQW2493" s="59"/>
      <c r="LQX2493" s="60"/>
      <c r="LQY2493" s="60"/>
      <c r="LQZ2493" s="60"/>
      <c r="LRA2493" s="59"/>
      <c r="LRB2493" s="61"/>
      <c r="LRC2493" s="59"/>
      <c r="LRD2493" s="59"/>
      <c r="LRE2493" s="59"/>
      <c r="LRF2493" s="60"/>
      <c r="LRG2493" s="60"/>
      <c r="LRH2493" s="60"/>
      <c r="LRI2493" s="59"/>
      <c r="LRJ2493" s="61"/>
      <c r="LRK2493" s="59"/>
      <c r="LRL2493" s="59"/>
      <c r="LRM2493" s="59"/>
      <c r="LRN2493" s="60"/>
      <c r="LRO2493" s="60"/>
      <c r="LRP2493" s="60"/>
      <c r="LRQ2493" s="59"/>
      <c r="LRR2493" s="61"/>
      <c r="LRS2493" s="59"/>
      <c r="LRT2493" s="59"/>
      <c r="LRU2493" s="59"/>
      <c r="LRV2493" s="60"/>
      <c r="LRW2493" s="60"/>
      <c r="LRX2493" s="60"/>
      <c r="LRY2493" s="59"/>
      <c r="LRZ2493" s="61"/>
      <c r="LSA2493" s="59"/>
      <c r="LSB2493" s="59"/>
      <c r="LSC2493" s="59"/>
      <c r="LSD2493" s="60"/>
      <c r="LSE2493" s="60"/>
      <c r="LSF2493" s="60"/>
      <c r="LSG2493" s="59"/>
      <c r="LSH2493" s="61"/>
      <c r="LSI2493" s="59"/>
      <c r="LSJ2493" s="59"/>
      <c r="LSK2493" s="59"/>
      <c r="LSL2493" s="60"/>
      <c r="LSM2493" s="60"/>
      <c r="LSN2493" s="60"/>
      <c r="LSO2493" s="59"/>
      <c r="LSP2493" s="61"/>
      <c r="LSQ2493" s="59"/>
      <c r="LSR2493" s="59"/>
      <c r="LSS2493" s="59"/>
      <c r="LST2493" s="60"/>
      <c r="LSU2493" s="60"/>
      <c r="LSV2493" s="60"/>
      <c r="LSW2493" s="59"/>
      <c r="LSX2493" s="61"/>
      <c r="LSY2493" s="59"/>
      <c r="LSZ2493" s="59"/>
      <c r="LTA2493" s="59"/>
      <c r="LTB2493" s="60"/>
      <c r="LTC2493" s="60"/>
      <c r="LTD2493" s="60"/>
      <c r="LTE2493" s="59"/>
      <c r="LTF2493" s="61"/>
      <c r="LTG2493" s="59"/>
      <c r="LTH2493" s="59"/>
      <c r="LTI2493" s="59"/>
      <c r="LTJ2493" s="60"/>
      <c r="LTK2493" s="60"/>
      <c r="LTL2493" s="60"/>
      <c r="LTM2493" s="59"/>
      <c r="LTN2493" s="61"/>
      <c r="LTO2493" s="59"/>
      <c r="LTP2493" s="59"/>
      <c r="LTQ2493" s="59"/>
      <c r="LTR2493" s="60"/>
      <c r="LTS2493" s="60"/>
      <c r="LTT2493" s="60"/>
      <c r="LTU2493" s="59"/>
      <c r="LTV2493" s="61"/>
      <c r="LTW2493" s="59"/>
      <c r="LTX2493" s="59"/>
      <c r="LTY2493" s="59"/>
      <c r="LTZ2493" s="60"/>
      <c r="LUA2493" s="60"/>
      <c r="LUB2493" s="60"/>
      <c r="LUC2493" s="59"/>
      <c r="LUD2493" s="61"/>
      <c r="LUE2493" s="59"/>
      <c r="LUF2493" s="59"/>
      <c r="LUG2493" s="59"/>
      <c r="LUH2493" s="60"/>
      <c r="LUI2493" s="60"/>
      <c r="LUJ2493" s="60"/>
      <c r="LUK2493" s="59"/>
      <c r="LUL2493" s="61"/>
      <c r="LUM2493" s="59"/>
      <c r="LUN2493" s="59"/>
      <c r="LUO2493" s="59"/>
      <c r="LUP2493" s="60"/>
      <c r="LUQ2493" s="60"/>
      <c r="LUR2493" s="60"/>
      <c r="LUS2493" s="59"/>
      <c r="LUT2493" s="61"/>
      <c r="LUU2493" s="59"/>
      <c r="LUV2493" s="59"/>
      <c r="LUW2493" s="59"/>
      <c r="LUX2493" s="60"/>
      <c r="LUY2493" s="60"/>
      <c r="LUZ2493" s="60"/>
      <c r="LVA2493" s="59"/>
      <c r="LVB2493" s="61"/>
      <c r="LVC2493" s="59"/>
      <c r="LVD2493" s="59"/>
      <c r="LVE2493" s="59"/>
      <c r="LVF2493" s="60"/>
      <c r="LVG2493" s="60"/>
      <c r="LVH2493" s="60"/>
      <c r="LVI2493" s="59"/>
      <c r="LVJ2493" s="61"/>
      <c r="LVK2493" s="59"/>
      <c r="LVL2493" s="59"/>
      <c r="LVM2493" s="59"/>
      <c r="LVN2493" s="60"/>
      <c r="LVO2493" s="60"/>
      <c r="LVP2493" s="60"/>
      <c r="LVQ2493" s="59"/>
      <c r="LVR2493" s="61"/>
      <c r="LVS2493" s="59"/>
      <c r="LVT2493" s="59"/>
      <c r="LVU2493" s="59"/>
      <c r="LVV2493" s="60"/>
      <c r="LVW2493" s="60"/>
      <c r="LVX2493" s="60"/>
      <c r="LVY2493" s="59"/>
      <c r="LVZ2493" s="61"/>
      <c r="LWA2493" s="59"/>
      <c r="LWB2493" s="59"/>
      <c r="LWC2493" s="59"/>
      <c r="LWD2493" s="60"/>
      <c r="LWE2493" s="60"/>
      <c r="LWF2493" s="60"/>
      <c r="LWG2493" s="59"/>
      <c r="LWH2493" s="61"/>
      <c r="LWI2493" s="59"/>
      <c r="LWJ2493" s="59"/>
      <c r="LWK2493" s="59"/>
      <c r="LWL2493" s="60"/>
      <c r="LWM2493" s="60"/>
      <c r="LWN2493" s="60"/>
      <c r="LWO2493" s="59"/>
      <c r="LWP2493" s="61"/>
      <c r="LWQ2493" s="59"/>
      <c r="LWR2493" s="59"/>
      <c r="LWS2493" s="59"/>
      <c r="LWT2493" s="60"/>
      <c r="LWU2493" s="60"/>
      <c r="LWV2493" s="60"/>
      <c r="LWW2493" s="59"/>
      <c r="LWX2493" s="61"/>
      <c r="LWY2493" s="59"/>
      <c r="LWZ2493" s="59"/>
      <c r="LXA2493" s="59"/>
      <c r="LXB2493" s="60"/>
      <c r="LXC2493" s="60"/>
      <c r="LXD2493" s="60"/>
      <c r="LXE2493" s="59"/>
      <c r="LXF2493" s="61"/>
      <c r="LXG2493" s="59"/>
      <c r="LXH2493" s="59"/>
      <c r="LXI2493" s="59"/>
      <c r="LXJ2493" s="60"/>
      <c r="LXK2493" s="60"/>
      <c r="LXL2493" s="60"/>
      <c r="LXM2493" s="59"/>
      <c r="LXN2493" s="61"/>
      <c r="LXO2493" s="59"/>
      <c r="LXP2493" s="59"/>
      <c r="LXQ2493" s="59"/>
      <c r="LXR2493" s="60"/>
      <c r="LXS2493" s="60"/>
      <c r="LXT2493" s="60"/>
      <c r="LXU2493" s="59"/>
      <c r="LXV2493" s="61"/>
      <c r="LXW2493" s="59"/>
      <c r="LXX2493" s="59"/>
      <c r="LXY2493" s="59"/>
      <c r="LXZ2493" s="60"/>
      <c r="LYA2493" s="60"/>
      <c r="LYB2493" s="60"/>
      <c r="LYC2493" s="59"/>
      <c r="LYD2493" s="61"/>
      <c r="LYE2493" s="59"/>
      <c r="LYF2493" s="59"/>
      <c r="LYG2493" s="59"/>
      <c r="LYH2493" s="60"/>
      <c r="LYI2493" s="60"/>
      <c r="LYJ2493" s="60"/>
      <c r="LYK2493" s="59"/>
      <c r="LYL2493" s="61"/>
      <c r="LYM2493" s="59"/>
      <c r="LYN2493" s="59"/>
      <c r="LYO2493" s="59"/>
      <c r="LYP2493" s="60"/>
      <c r="LYQ2493" s="60"/>
      <c r="LYR2493" s="60"/>
      <c r="LYS2493" s="59"/>
      <c r="LYT2493" s="61"/>
      <c r="LYU2493" s="59"/>
      <c r="LYV2493" s="59"/>
      <c r="LYW2493" s="59"/>
      <c r="LYX2493" s="60"/>
      <c r="LYY2493" s="60"/>
      <c r="LYZ2493" s="60"/>
      <c r="LZA2493" s="59"/>
      <c r="LZB2493" s="61"/>
      <c r="LZC2493" s="59"/>
      <c r="LZD2493" s="59"/>
      <c r="LZE2493" s="59"/>
      <c r="LZF2493" s="60"/>
      <c r="LZG2493" s="60"/>
      <c r="LZH2493" s="60"/>
      <c r="LZI2493" s="59"/>
      <c r="LZJ2493" s="61"/>
      <c r="LZK2493" s="59"/>
      <c r="LZL2493" s="59"/>
      <c r="LZM2493" s="59"/>
      <c r="LZN2493" s="60"/>
      <c r="LZO2493" s="60"/>
      <c r="LZP2493" s="60"/>
      <c r="LZQ2493" s="59"/>
      <c r="LZR2493" s="61"/>
      <c r="LZS2493" s="59"/>
      <c r="LZT2493" s="59"/>
      <c r="LZU2493" s="59"/>
      <c r="LZV2493" s="60"/>
      <c r="LZW2493" s="60"/>
      <c r="LZX2493" s="60"/>
      <c r="LZY2493" s="59"/>
      <c r="LZZ2493" s="61"/>
      <c r="MAA2493" s="59"/>
      <c r="MAB2493" s="59"/>
      <c r="MAC2493" s="59"/>
      <c r="MAD2493" s="60"/>
      <c r="MAE2493" s="60"/>
      <c r="MAF2493" s="60"/>
      <c r="MAG2493" s="59"/>
      <c r="MAH2493" s="61"/>
      <c r="MAI2493" s="59"/>
      <c r="MAJ2493" s="59"/>
      <c r="MAK2493" s="59"/>
      <c r="MAL2493" s="60"/>
      <c r="MAM2493" s="60"/>
      <c r="MAN2493" s="60"/>
      <c r="MAO2493" s="59"/>
      <c r="MAP2493" s="61"/>
      <c r="MAQ2493" s="59"/>
      <c r="MAR2493" s="59"/>
      <c r="MAS2493" s="59"/>
      <c r="MAT2493" s="60"/>
      <c r="MAU2493" s="60"/>
      <c r="MAV2493" s="60"/>
      <c r="MAW2493" s="59"/>
      <c r="MAX2493" s="61"/>
      <c r="MAY2493" s="59"/>
      <c r="MAZ2493" s="59"/>
      <c r="MBA2493" s="59"/>
      <c r="MBB2493" s="60"/>
      <c r="MBC2493" s="60"/>
      <c r="MBD2493" s="60"/>
      <c r="MBE2493" s="59"/>
      <c r="MBF2493" s="61"/>
      <c r="MBG2493" s="59"/>
      <c r="MBH2493" s="59"/>
      <c r="MBI2493" s="59"/>
      <c r="MBJ2493" s="60"/>
      <c r="MBK2493" s="60"/>
      <c r="MBL2493" s="60"/>
      <c r="MBM2493" s="59"/>
      <c r="MBN2493" s="61"/>
      <c r="MBO2493" s="59"/>
      <c r="MBP2493" s="59"/>
      <c r="MBQ2493" s="59"/>
      <c r="MBR2493" s="60"/>
      <c r="MBS2493" s="60"/>
      <c r="MBT2493" s="60"/>
      <c r="MBU2493" s="59"/>
      <c r="MBV2493" s="61"/>
      <c r="MBW2493" s="59"/>
      <c r="MBX2493" s="59"/>
      <c r="MBY2493" s="59"/>
      <c r="MBZ2493" s="60"/>
      <c r="MCA2493" s="60"/>
      <c r="MCB2493" s="60"/>
      <c r="MCC2493" s="59"/>
      <c r="MCD2493" s="61"/>
      <c r="MCE2493" s="59"/>
      <c r="MCF2493" s="59"/>
      <c r="MCG2493" s="59"/>
      <c r="MCH2493" s="60"/>
      <c r="MCI2493" s="60"/>
      <c r="MCJ2493" s="60"/>
      <c r="MCK2493" s="59"/>
      <c r="MCL2493" s="61"/>
      <c r="MCM2493" s="59"/>
      <c r="MCN2493" s="59"/>
      <c r="MCO2493" s="59"/>
      <c r="MCP2493" s="60"/>
      <c r="MCQ2493" s="60"/>
      <c r="MCR2493" s="60"/>
      <c r="MCS2493" s="59"/>
      <c r="MCT2493" s="61"/>
      <c r="MCU2493" s="59"/>
      <c r="MCV2493" s="59"/>
      <c r="MCW2493" s="59"/>
      <c r="MCX2493" s="60"/>
      <c r="MCY2493" s="60"/>
      <c r="MCZ2493" s="60"/>
      <c r="MDA2493" s="59"/>
      <c r="MDB2493" s="61"/>
      <c r="MDC2493" s="59"/>
      <c r="MDD2493" s="59"/>
      <c r="MDE2493" s="59"/>
      <c r="MDF2493" s="60"/>
      <c r="MDG2493" s="60"/>
      <c r="MDH2493" s="60"/>
      <c r="MDI2493" s="59"/>
      <c r="MDJ2493" s="61"/>
      <c r="MDK2493" s="59"/>
      <c r="MDL2493" s="59"/>
      <c r="MDM2493" s="59"/>
      <c r="MDN2493" s="60"/>
      <c r="MDO2493" s="60"/>
      <c r="MDP2493" s="60"/>
      <c r="MDQ2493" s="59"/>
      <c r="MDR2493" s="61"/>
      <c r="MDS2493" s="59"/>
      <c r="MDT2493" s="59"/>
      <c r="MDU2493" s="59"/>
      <c r="MDV2493" s="60"/>
      <c r="MDW2493" s="60"/>
      <c r="MDX2493" s="60"/>
      <c r="MDY2493" s="59"/>
      <c r="MDZ2493" s="61"/>
      <c r="MEA2493" s="59"/>
      <c r="MEB2493" s="59"/>
      <c r="MEC2493" s="59"/>
      <c r="MED2493" s="60"/>
      <c r="MEE2493" s="60"/>
      <c r="MEF2493" s="60"/>
      <c r="MEG2493" s="59"/>
      <c r="MEH2493" s="61"/>
      <c r="MEI2493" s="59"/>
      <c r="MEJ2493" s="59"/>
      <c r="MEK2493" s="59"/>
      <c r="MEL2493" s="60"/>
      <c r="MEM2493" s="60"/>
      <c r="MEN2493" s="60"/>
      <c r="MEO2493" s="59"/>
      <c r="MEP2493" s="61"/>
      <c r="MEQ2493" s="59"/>
      <c r="MER2493" s="59"/>
      <c r="MES2493" s="59"/>
      <c r="MET2493" s="60"/>
      <c r="MEU2493" s="60"/>
      <c r="MEV2493" s="60"/>
      <c r="MEW2493" s="59"/>
      <c r="MEX2493" s="61"/>
      <c r="MEY2493" s="59"/>
      <c r="MEZ2493" s="59"/>
      <c r="MFA2493" s="59"/>
      <c r="MFB2493" s="60"/>
      <c r="MFC2493" s="60"/>
      <c r="MFD2493" s="60"/>
      <c r="MFE2493" s="59"/>
      <c r="MFF2493" s="61"/>
      <c r="MFG2493" s="59"/>
      <c r="MFH2493" s="59"/>
      <c r="MFI2493" s="59"/>
      <c r="MFJ2493" s="60"/>
      <c r="MFK2493" s="60"/>
      <c r="MFL2493" s="60"/>
      <c r="MFM2493" s="59"/>
      <c r="MFN2493" s="61"/>
      <c r="MFO2493" s="59"/>
      <c r="MFP2493" s="59"/>
      <c r="MFQ2493" s="59"/>
      <c r="MFR2493" s="60"/>
      <c r="MFS2493" s="60"/>
      <c r="MFT2493" s="60"/>
      <c r="MFU2493" s="59"/>
      <c r="MFV2493" s="61"/>
      <c r="MFW2493" s="59"/>
      <c r="MFX2493" s="59"/>
      <c r="MFY2493" s="59"/>
      <c r="MFZ2493" s="60"/>
      <c r="MGA2493" s="60"/>
      <c r="MGB2493" s="60"/>
      <c r="MGC2493" s="59"/>
      <c r="MGD2493" s="61"/>
      <c r="MGE2493" s="59"/>
      <c r="MGF2493" s="59"/>
      <c r="MGG2493" s="59"/>
      <c r="MGH2493" s="60"/>
      <c r="MGI2493" s="60"/>
      <c r="MGJ2493" s="60"/>
      <c r="MGK2493" s="59"/>
      <c r="MGL2493" s="61"/>
      <c r="MGM2493" s="59"/>
      <c r="MGN2493" s="59"/>
      <c r="MGO2493" s="59"/>
      <c r="MGP2493" s="60"/>
      <c r="MGQ2493" s="60"/>
      <c r="MGR2493" s="60"/>
      <c r="MGS2493" s="59"/>
      <c r="MGT2493" s="61"/>
      <c r="MGU2493" s="59"/>
      <c r="MGV2493" s="59"/>
      <c r="MGW2493" s="59"/>
      <c r="MGX2493" s="60"/>
      <c r="MGY2493" s="60"/>
      <c r="MGZ2493" s="60"/>
      <c r="MHA2493" s="59"/>
      <c r="MHB2493" s="61"/>
      <c r="MHC2493" s="59"/>
      <c r="MHD2493" s="59"/>
      <c r="MHE2493" s="59"/>
      <c r="MHF2493" s="60"/>
      <c r="MHG2493" s="60"/>
      <c r="MHH2493" s="60"/>
      <c r="MHI2493" s="59"/>
      <c r="MHJ2493" s="61"/>
      <c r="MHK2493" s="59"/>
      <c r="MHL2493" s="59"/>
      <c r="MHM2493" s="59"/>
      <c r="MHN2493" s="60"/>
      <c r="MHO2493" s="60"/>
      <c r="MHP2493" s="60"/>
      <c r="MHQ2493" s="59"/>
      <c r="MHR2493" s="61"/>
      <c r="MHS2493" s="59"/>
      <c r="MHT2493" s="59"/>
      <c r="MHU2493" s="59"/>
      <c r="MHV2493" s="60"/>
      <c r="MHW2493" s="60"/>
      <c r="MHX2493" s="60"/>
      <c r="MHY2493" s="59"/>
      <c r="MHZ2493" s="61"/>
      <c r="MIA2493" s="59"/>
      <c r="MIB2493" s="59"/>
      <c r="MIC2493" s="59"/>
      <c r="MID2493" s="60"/>
      <c r="MIE2493" s="60"/>
      <c r="MIF2493" s="60"/>
      <c r="MIG2493" s="59"/>
      <c r="MIH2493" s="61"/>
      <c r="MII2493" s="59"/>
      <c r="MIJ2493" s="59"/>
      <c r="MIK2493" s="59"/>
      <c r="MIL2493" s="60"/>
      <c r="MIM2493" s="60"/>
      <c r="MIN2493" s="60"/>
      <c r="MIO2493" s="59"/>
      <c r="MIP2493" s="61"/>
      <c r="MIQ2493" s="59"/>
      <c r="MIR2493" s="59"/>
      <c r="MIS2493" s="59"/>
      <c r="MIT2493" s="60"/>
      <c r="MIU2493" s="60"/>
      <c r="MIV2493" s="60"/>
      <c r="MIW2493" s="59"/>
      <c r="MIX2493" s="61"/>
      <c r="MIY2493" s="59"/>
      <c r="MIZ2493" s="59"/>
      <c r="MJA2493" s="59"/>
      <c r="MJB2493" s="60"/>
      <c r="MJC2493" s="60"/>
      <c r="MJD2493" s="60"/>
      <c r="MJE2493" s="59"/>
      <c r="MJF2493" s="61"/>
      <c r="MJG2493" s="59"/>
      <c r="MJH2493" s="59"/>
      <c r="MJI2493" s="59"/>
      <c r="MJJ2493" s="60"/>
      <c r="MJK2493" s="60"/>
      <c r="MJL2493" s="60"/>
      <c r="MJM2493" s="59"/>
      <c r="MJN2493" s="61"/>
      <c r="MJO2493" s="59"/>
      <c r="MJP2493" s="59"/>
      <c r="MJQ2493" s="59"/>
      <c r="MJR2493" s="60"/>
      <c r="MJS2493" s="60"/>
      <c r="MJT2493" s="60"/>
      <c r="MJU2493" s="59"/>
      <c r="MJV2493" s="61"/>
      <c r="MJW2493" s="59"/>
      <c r="MJX2493" s="59"/>
      <c r="MJY2493" s="59"/>
      <c r="MJZ2493" s="60"/>
      <c r="MKA2493" s="60"/>
      <c r="MKB2493" s="60"/>
      <c r="MKC2493" s="59"/>
      <c r="MKD2493" s="61"/>
      <c r="MKE2493" s="59"/>
      <c r="MKF2493" s="59"/>
      <c r="MKG2493" s="59"/>
      <c r="MKH2493" s="60"/>
      <c r="MKI2493" s="60"/>
      <c r="MKJ2493" s="60"/>
      <c r="MKK2493" s="59"/>
      <c r="MKL2493" s="61"/>
      <c r="MKM2493" s="59"/>
      <c r="MKN2493" s="59"/>
      <c r="MKO2493" s="59"/>
      <c r="MKP2493" s="60"/>
      <c r="MKQ2493" s="60"/>
      <c r="MKR2493" s="60"/>
      <c r="MKS2493" s="59"/>
      <c r="MKT2493" s="61"/>
      <c r="MKU2493" s="59"/>
      <c r="MKV2493" s="59"/>
      <c r="MKW2493" s="59"/>
      <c r="MKX2493" s="60"/>
      <c r="MKY2493" s="60"/>
      <c r="MKZ2493" s="60"/>
      <c r="MLA2493" s="59"/>
      <c r="MLB2493" s="61"/>
      <c r="MLC2493" s="59"/>
      <c r="MLD2493" s="59"/>
      <c r="MLE2493" s="59"/>
      <c r="MLF2493" s="60"/>
      <c r="MLG2493" s="60"/>
      <c r="MLH2493" s="60"/>
      <c r="MLI2493" s="59"/>
      <c r="MLJ2493" s="61"/>
      <c r="MLK2493" s="59"/>
      <c r="MLL2493" s="59"/>
      <c r="MLM2493" s="59"/>
      <c r="MLN2493" s="60"/>
      <c r="MLO2493" s="60"/>
      <c r="MLP2493" s="60"/>
      <c r="MLQ2493" s="59"/>
      <c r="MLR2493" s="61"/>
      <c r="MLS2493" s="59"/>
      <c r="MLT2493" s="59"/>
      <c r="MLU2493" s="59"/>
      <c r="MLV2493" s="60"/>
      <c r="MLW2493" s="60"/>
      <c r="MLX2493" s="60"/>
      <c r="MLY2493" s="59"/>
      <c r="MLZ2493" s="61"/>
      <c r="MMA2493" s="59"/>
      <c r="MMB2493" s="59"/>
      <c r="MMC2493" s="59"/>
      <c r="MMD2493" s="60"/>
      <c r="MME2493" s="60"/>
      <c r="MMF2493" s="60"/>
      <c r="MMG2493" s="59"/>
      <c r="MMH2493" s="61"/>
      <c r="MMI2493" s="59"/>
      <c r="MMJ2493" s="59"/>
      <c r="MMK2493" s="59"/>
      <c r="MML2493" s="60"/>
      <c r="MMM2493" s="60"/>
      <c r="MMN2493" s="60"/>
      <c r="MMO2493" s="59"/>
      <c r="MMP2493" s="61"/>
      <c r="MMQ2493" s="59"/>
      <c r="MMR2493" s="59"/>
      <c r="MMS2493" s="59"/>
      <c r="MMT2493" s="60"/>
      <c r="MMU2493" s="60"/>
      <c r="MMV2493" s="60"/>
      <c r="MMW2493" s="59"/>
      <c r="MMX2493" s="61"/>
      <c r="MMY2493" s="59"/>
      <c r="MMZ2493" s="59"/>
      <c r="MNA2493" s="59"/>
      <c r="MNB2493" s="60"/>
      <c r="MNC2493" s="60"/>
      <c r="MND2493" s="60"/>
      <c r="MNE2493" s="59"/>
      <c r="MNF2493" s="61"/>
      <c r="MNG2493" s="59"/>
      <c r="MNH2493" s="59"/>
      <c r="MNI2493" s="59"/>
      <c r="MNJ2493" s="60"/>
      <c r="MNK2493" s="60"/>
      <c r="MNL2493" s="60"/>
      <c r="MNM2493" s="59"/>
      <c r="MNN2493" s="61"/>
      <c r="MNO2493" s="59"/>
      <c r="MNP2493" s="59"/>
      <c r="MNQ2493" s="59"/>
      <c r="MNR2493" s="60"/>
      <c r="MNS2493" s="60"/>
      <c r="MNT2493" s="60"/>
      <c r="MNU2493" s="59"/>
      <c r="MNV2493" s="61"/>
      <c r="MNW2493" s="59"/>
      <c r="MNX2493" s="59"/>
      <c r="MNY2493" s="59"/>
      <c r="MNZ2493" s="60"/>
      <c r="MOA2493" s="60"/>
      <c r="MOB2493" s="60"/>
      <c r="MOC2493" s="59"/>
      <c r="MOD2493" s="61"/>
      <c r="MOE2493" s="59"/>
      <c r="MOF2493" s="59"/>
      <c r="MOG2493" s="59"/>
      <c r="MOH2493" s="60"/>
      <c r="MOI2493" s="60"/>
      <c r="MOJ2493" s="60"/>
      <c r="MOK2493" s="59"/>
      <c r="MOL2493" s="61"/>
      <c r="MOM2493" s="59"/>
      <c r="MON2493" s="59"/>
      <c r="MOO2493" s="59"/>
      <c r="MOP2493" s="60"/>
      <c r="MOQ2493" s="60"/>
      <c r="MOR2493" s="60"/>
      <c r="MOS2493" s="59"/>
      <c r="MOT2493" s="61"/>
      <c r="MOU2493" s="59"/>
      <c r="MOV2493" s="59"/>
      <c r="MOW2493" s="59"/>
      <c r="MOX2493" s="60"/>
      <c r="MOY2493" s="60"/>
      <c r="MOZ2493" s="60"/>
      <c r="MPA2493" s="59"/>
      <c r="MPB2493" s="61"/>
      <c r="MPC2493" s="59"/>
      <c r="MPD2493" s="59"/>
      <c r="MPE2493" s="59"/>
      <c r="MPF2493" s="60"/>
      <c r="MPG2493" s="60"/>
      <c r="MPH2493" s="60"/>
      <c r="MPI2493" s="59"/>
      <c r="MPJ2493" s="61"/>
      <c r="MPK2493" s="59"/>
      <c r="MPL2493" s="59"/>
      <c r="MPM2493" s="59"/>
      <c r="MPN2493" s="60"/>
      <c r="MPO2493" s="60"/>
      <c r="MPP2493" s="60"/>
      <c r="MPQ2493" s="59"/>
      <c r="MPR2493" s="61"/>
      <c r="MPS2493" s="59"/>
      <c r="MPT2493" s="59"/>
      <c r="MPU2493" s="59"/>
      <c r="MPV2493" s="60"/>
      <c r="MPW2493" s="60"/>
      <c r="MPX2493" s="60"/>
      <c r="MPY2493" s="59"/>
      <c r="MPZ2493" s="61"/>
      <c r="MQA2493" s="59"/>
      <c r="MQB2493" s="59"/>
      <c r="MQC2493" s="59"/>
      <c r="MQD2493" s="60"/>
      <c r="MQE2493" s="60"/>
      <c r="MQF2493" s="60"/>
      <c r="MQG2493" s="59"/>
      <c r="MQH2493" s="61"/>
      <c r="MQI2493" s="59"/>
      <c r="MQJ2493" s="59"/>
      <c r="MQK2493" s="59"/>
      <c r="MQL2493" s="60"/>
      <c r="MQM2493" s="60"/>
      <c r="MQN2493" s="60"/>
      <c r="MQO2493" s="59"/>
      <c r="MQP2493" s="61"/>
      <c r="MQQ2493" s="59"/>
      <c r="MQR2493" s="59"/>
      <c r="MQS2493" s="59"/>
      <c r="MQT2493" s="60"/>
      <c r="MQU2493" s="60"/>
      <c r="MQV2493" s="60"/>
      <c r="MQW2493" s="59"/>
      <c r="MQX2493" s="61"/>
      <c r="MQY2493" s="59"/>
      <c r="MQZ2493" s="59"/>
      <c r="MRA2493" s="59"/>
      <c r="MRB2493" s="60"/>
      <c r="MRC2493" s="60"/>
      <c r="MRD2493" s="60"/>
      <c r="MRE2493" s="59"/>
      <c r="MRF2493" s="61"/>
      <c r="MRG2493" s="59"/>
      <c r="MRH2493" s="59"/>
      <c r="MRI2493" s="59"/>
      <c r="MRJ2493" s="60"/>
      <c r="MRK2493" s="60"/>
      <c r="MRL2493" s="60"/>
      <c r="MRM2493" s="59"/>
      <c r="MRN2493" s="61"/>
      <c r="MRO2493" s="59"/>
      <c r="MRP2493" s="59"/>
      <c r="MRQ2493" s="59"/>
      <c r="MRR2493" s="60"/>
      <c r="MRS2493" s="60"/>
      <c r="MRT2493" s="60"/>
      <c r="MRU2493" s="59"/>
      <c r="MRV2493" s="61"/>
      <c r="MRW2493" s="59"/>
      <c r="MRX2493" s="59"/>
      <c r="MRY2493" s="59"/>
      <c r="MRZ2493" s="60"/>
      <c r="MSA2493" s="60"/>
      <c r="MSB2493" s="60"/>
      <c r="MSC2493" s="59"/>
      <c r="MSD2493" s="61"/>
      <c r="MSE2493" s="59"/>
      <c r="MSF2493" s="59"/>
      <c r="MSG2493" s="59"/>
      <c r="MSH2493" s="60"/>
      <c r="MSI2493" s="60"/>
      <c r="MSJ2493" s="60"/>
      <c r="MSK2493" s="59"/>
      <c r="MSL2493" s="61"/>
      <c r="MSM2493" s="59"/>
      <c r="MSN2493" s="59"/>
      <c r="MSO2493" s="59"/>
      <c r="MSP2493" s="60"/>
      <c r="MSQ2493" s="60"/>
      <c r="MSR2493" s="60"/>
      <c r="MSS2493" s="59"/>
      <c r="MST2493" s="61"/>
      <c r="MSU2493" s="59"/>
      <c r="MSV2493" s="59"/>
      <c r="MSW2493" s="59"/>
      <c r="MSX2493" s="60"/>
      <c r="MSY2493" s="60"/>
      <c r="MSZ2493" s="60"/>
      <c r="MTA2493" s="59"/>
      <c r="MTB2493" s="61"/>
      <c r="MTC2493" s="59"/>
      <c r="MTD2493" s="59"/>
      <c r="MTE2493" s="59"/>
      <c r="MTF2493" s="60"/>
      <c r="MTG2493" s="60"/>
      <c r="MTH2493" s="60"/>
      <c r="MTI2493" s="59"/>
      <c r="MTJ2493" s="61"/>
      <c r="MTK2493" s="59"/>
      <c r="MTL2493" s="59"/>
      <c r="MTM2493" s="59"/>
      <c r="MTN2493" s="60"/>
      <c r="MTO2493" s="60"/>
      <c r="MTP2493" s="60"/>
      <c r="MTQ2493" s="59"/>
      <c r="MTR2493" s="61"/>
      <c r="MTS2493" s="59"/>
      <c r="MTT2493" s="59"/>
      <c r="MTU2493" s="59"/>
      <c r="MTV2493" s="60"/>
      <c r="MTW2493" s="60"/>
      <c r="MTX2493" s="60"/>
      <c r="MTY2493" s="59"/>
      <c r="MTZ2493" s="61"/>
      <c r="MUA2493" s="59"/>
      <c r="MUB2493" s="59"/>
      <c r="MUC2493" s="59"/>
      <c r="MUD2493" s="60"/>
      <c r="MUE2493" s="60"/>
      <c r="MUF2493" s="60"/>
      <c r="MUG2493" s="59"/>
      <c r="MUH2493" s="61"/>
      <c r="MUI2493" s="59"/>
      <c r="MUJ2493" s="59"/>
      <c r="MUK2493" s="59"/>
      <c r="MUL2493" s="60"/>
      <c r="MUM2493" s="60"/>
      <c r="MUN2493" s="60"/>
      <c r="MUO2493" s="59"/>
      <c r="MUP2493" s="61"/>
      <c r="MUQ2493" s="59"/>
      <c r="MUR2493" s="59"/>
      <c r="MUS2493" s="59"/>
      <c r="MUT2493" s="60"/>
      <c r="MUU2493" s="60"/>
      <c r="MUV2493" s="60"/>
      <c r="MUW2493" s="59"/>
      <c r="MUX2493" s="61"/>
      <c r="MUY2493" s="59"/>
      <c r="MUZ2493" s="59"/>
      <c r="MVA2493" s="59"/>
      <c r="MVB2493" s="60"/>
      <c r="MVC2493" s="60"/>
      <c r="MVD2493" s="60"/>
      <c r="MVE2493" s="59"/>
      <c r="MVF2493" s="61"/>
      <c r="MVG2493" s="59"/>
      <c r="MVH2493" s="59"/>
      <c r="MVI2493" s="59"/>
      <c r="MVJ2493" s="60"/>
      <c r="MVK2493" s="60"/>
      <c r="MVL2493" s="60"/>
      <c r="MVM2493" s="59"/>
      <c r="MVN2493" s="61"/>
      <c r="MVO2493" s="59"/>
      <c r="MVP2493" s="59"/>
      <c r="MVQ2493" s="59"/>
      <c r="MVR2493" s="60"/>
      <c r="MVS2493" s="60"/>
      <c r="MVT2493" s="60"/>
      <c r="MVU2493" s="59"/>
      <c r="MVV2493" s="61"/>
      <c r="MVW2493" s="59"/>
      <c r="MVX2493" s="59"/>
      <c r="MVY2493" s="59"/>
      <c r="MVZ2493" s="60"/>
      <c r="MWA2493" s="60"/>
      <c r="MWB2493" s="60"/>
      <c r="MWC2493" s="59"/>
      <c r="MWD2493" s="61"/>
      <c r="MWE2493" s="59"/>
      <c r="MWF2493" s="59"/>
      <c r="MWG2493" s="59"/>
      <c r="MWH2493" s="60"/>
      <c r="MWI2493" s="60"/>
      <c r="MWJ2493" s="60"/>
      <c r="MWK2493" s="59"/>
      <c r="MWL2493" s="61"/>
      <c r="MWM2493" s="59"/>
      <c r="MWN2493" s="59"/>
      <c r="MWO2493" s="59"/>
      <c r="MWP2493" s="60"/>
      <c r="MWQ2493" s="60"/>
      <c r="MWR2493" s="60"/>
      <c r="MWS2493" s="59"/>
      <c r="MWT2493" s="61"/>
      <c r="MWU2493" s="59"/>
      <c r="MWV2493" s="59"/>
      <c r="MWW2493" s="59"/>
      <c r="MWX2493" s="60"/>
      <c r="MWY2493" s="60"/>
      <c r="MWZ2493" s="60"/>
      <c r="MXA2493" s="59"/>
      <c r="MXB2493" s="61"/>
      <c r="MXC2493" s="59"/>
      <c r="MXD2493" s="59"/>
      <c r="MXE2493" s="59"/>
      <c r="MXF2493" s="60"/>
      <c r="MXG2493" s="60"/>
      <c r="MXH2493" s="60"/>
      <c r="MXI2493" s="59"/>
      <c r="MXJ2493" s="61"/>
      <c r="MXK2493" s="59"/>
      <c r="MXL2493" s="59"/>
      <c r="MXM2493" s="59"/>
      <c r="MXN2493" s="60"/>
      <c r="MXO2493" s="60"/>
      <c r="MXP2493" s="60"/>
      <c r="MXQ2493" s="59"/>
      <c r="MXR2493" s="61"/>
      <c r="MXS2493" s="59"/>
      <c r="MXT2493" s="59"/>
      <c r="MXU2493" s="59"/>
      <c r="MXV2493" s="60"/>
      <c r="MXW2493" s="60"/>
      <c r="MXX2493" s="60"/>
      <c r="MXY2493" s="59"/>
      <c r="MXZ2493" s="61"/>
      <c r="MYA2493" s="59"/>
      <c r="MYB2493" s="59"/>
      <c r="MYC2493" s="59"/>
      <c r="MYD2493" s="60"/>
      <c r="MYE2493" s="60"/>
      <c r="MYF2493" s="60"/>
      <c r="MYG2493" s="59"/>
      <c r="MYH2493" s="61"/>
      <c r="MYI2493" s="59"/>
      <c r="MYJ2493" s="59"/>
      <c r="MYK2493" s="59"/>
      <c r="MYL2493" s="60"/>
      <c r="MYM2493" s="60"/>
      <c r="MYN2493" s="60"/>
      <c r="MYO2493" s="59"/>
      <c r="MYP2493" s="61"/>
      <c r="MYQ2493" s="59"/>
      <c r="MYR2493" s="59"/>
      <c r="MYS2493" s="59"/>
      <c r="MYT2493" s="60"/>
      <c r="MYU2493" s="60"/>
      <c r="MYV2493" s="60"/>
      <c r="MYW2493" s="59"/>
      <c r="MYX2493" s="61"/>
      <c r="MYY2493" s="59"/>
      <c r="MYZ2493" s="59"/>
      <c r="MZA2493" s="59"/>
      <c r="MZB2493" s="60"/>
      <c r="MZC2493" s="60"/>
      <c r="MZD2493" s="60"/>
      <c r="MZE2493" s="59"/>
      <c r="MZF2493" s="61"/>
      <c r="MZG2493" s="59"/>
      <c r="MZH2493" s="59"/>
      <c r="MZI2493" s="59"/>
      <c r="MZJ2493" s="60"/>
      <c r="MZK2493" s="60"/>
      <c r="MZL2493" s="60"/>
      <c r="MZM2493" s="59"/>
      <c r="MZN2493" s="61"/>
      <c r="MZO2493" s="59"/>
      <c r="MZP2493" s="59"/>
      <c r="MZQ2493" s="59"/>
      <c r="MZR2493" s="60"/>
      <c r="MZS2493" s="60"/>
      <c r="MZT2493" s="60"/>
      <c r="MZU2493" s="59"/>
      <c r="MZV2493" s="61"/>
      <c r="MZW2493" s="59"/>
      <c r="MZX2493" s="59"/>
      <c r="MZY2493" s="59"/>
      <c r="MZZ2493" s="60"/>
      <c r="NAA2493" s="60"/>
      <c r="NAB2493" s="60"/>
      <c r="NAC2493" s="59"/>
      <c r="NAD2493" s="61"/>
      <c r="NAE2493" s="59"/>
      <c r="NAF2493" s="59"/>
      <c r="NAG2493" s="59"/>
      <c r="NAH2493" s="60"/>
      <c r="NAI2493" s="60"/>
      <c r="NAJ2493" s="60"/>
      <c r="NAK2493" s="59"/>
      <c r="NAL2493" s="61"/>
      <c r="NAM2493" s="59"/>
      <c r="NAN2493" s="59"/>
      <c r="NAO2493" s="59"/>
      <c r="NAP2493" s="60"/>
      <c r="NAQ2493" s="60"/>
      <c r="NAR2493" s="60"/>
      <c r="NAS2493" s="59"/>
      <c r="NAT2493" s="61"/>
      <c r="NAU2493" s="59"/>
      <c r="NAV2493" s="59"/>
      <c r="NAW2493" s="59"/>
      <c r="NAX2493" s="60"/>
      <c r="NAY2493" s="60"/>
      <c r="NAZ2493" s="60"/>
      <c r="NBA2493" s="59"/>
      <c r="NBB2493" s="61"/>
      <c r="NBC2493" s="59"/>
      <c r="NBD2493" s="59"/>
      <c r="NBE2493" s="59"/>
      <c r="NBF2493" s="60"/>
      <c r="NBG2493" s="60"/>
      <c r="NBH2493" s="60"/>
      <c r="NBI2493" s="59"/>
      <c r="NBJ2493" s="61"/>
      <c r="NBK2493" s="59"/>
      <c r="NBL2493" s="59"/>
      <c r="NBM2493" s="59"/>
      <c r="NBN2493" s="60"/>
      <c r="NBO2493" s="60"/>
      <c r="NBP2493" s="60"/>
      <c r="NBQ2493" s="59"/>
      <c r="NBR2493" s="61"/>
      <c r="NBS2493" s="59"/>
      <c r="NBT2493" s="59"/>
      <c r="NBU2493" s="59"/>
      <c r="NBV2493" s="60"/>
      <c r="NBW2493" s="60"/>
      <c r="NBX2493" s="60"/>
      <c r="NBY2493" s="59"/>
      <c r="NBZ2493" s="61"/>
      <c r="NCA2493" s="59"/>
      <c r="NCB2493" s="59"/>
      <c r="NCC2493" s="59"/>
      <c r="NCD2493" s="60"/>
      <c r="NCE2493" s="60"/>
      <c r="NCF2493" s="60"/>
      <c r="NCG2493" s="59"/>
      <c r="NCH2493" s="61"/>
      <c r="NCI2493" s="59"/>
      <c r="NCJ2493" s="59"/>
      <c r="NCK2493" s="59"/>
      <c r="NCL2493" s="60"/>
      <c r="NCM2493" s="60"/>
      <c r="NCN2493" s="60"/>
      <c r="NCO2493" s="59"/>
      <c r="NCP2493" s="61"/>
      <c r="NCQ2493" s="59"/>
      <c r="NCR2493" s="59"/>
      <c r="NCS2493" s="59"/>
      <c r="NCT2493" s="60"/>
      <c r="NCU2493" s="60"/>
      <c r="NCV2493" s="60"/>
      <c r="NCW2493" s="59"/>
      <c r="NCX2493" s="61"/>
      <c r="NCY2493" s="59"/>
      <c r="NCZ2493" s="59"/>
      <c r="NDA2493" s="59"/>
      <c r="NDB2493" s="60"/>
      <c r="NDC2493" s="60"/>
      <c r="NDD2493" s="60"/>
      <c r="NDE2493" s="59"/>
      <c r="NDF2493" s="61"/>
      <c r="NDG2493" s="59"/>
      <c r="NDH2493" s="59"/>
      <c r="NDI2493" s="59"/>
      <c r="NDJ2493" s="60"/>
      <c r="NDK2493" s="60"/>
      <c r="NDL2493" s="60"/>
      <c r="NDM2493" s="59"/>
      <c r="NDN2493" s="61"/>
      <c r="NDO2493" s="59"/>
      <c r="NDP2493" s="59"/>
      <c r="NDQ2493" s="59"/>
      <c r="NDR2493" s="60"/>
      <c r="NDS2493" s="60"/>
      <c r="NDT2493" s="60"/>
      <c r="NDU2493" s="59"/>
      <c r="NDV2493" s="61"/>
      <c r="NDW2493" s="59"/>
      <c r="NDX2493" s="59"/>
      <c r="NDY2493" s="59"/>
      <c r="NDZ2493" s="60"/>
      <c r="NEA2493" s="60"/>
      <c r="NEB2493" s="60"/>
      <c r="NEC2493" s="59"/>
      <c r="NED2493" s="61"/>
      <c r="NEE2493" s="59"/>
      <c r="NEF2493" s="59"/>
      <c r="NEG2493" s="59"/>
      <c r="NEH2493" s="60"/>
      <c r="NEI2493" s="60"/>
      <c r="NEJ2493" s="60"/>
      <c r="NEK2493" s="59"/>
      <c r="NEL2493" s="61"/>
      <c r="NEM2493" s="59"/>
      <c r="NEN2493" s="59"/>
      <c r="NEO2493" s="59"/>
      <c r="NEP2493" s="60"/>
      <c r="NEQ2493" s="60"/>
      <c r="NER2493" s="60"/>
      <c r="NES2493" s="59"/>
      <c r="NET2493" s="61"/>
      <c r="NEU2493" s="59"/>
      <c r="NEV2493" s="59"/>
      <c r="NEW2493" s="59"/>
      <c r="NEX2493" s="60"/>
      <c r="NEY2493" s="60"/>
      <c r="NEZ2493" s="60"/>
      <c r="NFA2493" s="59"/>
      <c r="NFB2493" s="61"/>
      <c r="NFC2493" s="59"/>
      <c r="NFD2493" s="59"/>
      <c r="NFE2493" s="59"/>
      <c r="NFF2493" s="60"/>
      <c r="NFG2493" s="60"/>
      <c r="NFH2493" s="60"/>
      <c r="NFI2493" s="59"/>
      <c r="NFJ2493" s="61"/>
      <c r="NFK2493" s="59"/>
      <c r="NFL2493" s="59"/>
      <c r="NFM2493" s="59"/>
      <c r="NFN2493" s="60"/>
      <c r="NFO2493" s="60"/>
      <c r="NFP2493" s="60"/>
      <c r="NFQ2493" s="59"/>
      <c r="NFR2493" s="61"/>
      <c r="NFS2493" s="59"/>
      <c r="NFT2493" s="59"/>
      <c r="NFU2493" s="59"/>
      <c r="NFV2493" s="60"/>
      <c r="NFW2493" s="60"/>
      <c r="NFX2493" s="60"/>
      <c r="NFY2493" s="59"/>
      <c r="NFZ2493" s="61"/>
      <c r="NGA2493" s="59"/>
      <c r="NGB2493" s="59"/>
      <c r="NGC2493" s="59"/>
      <c r="NGD2493" s="60"/>
      <c r="NGE2493" s="60"/>
      <c r="NGF2493" s="60"/>
      <c r="NGG2493" s="59"/>
      <c r="NGH2493" s="61"/>
      <c r="NGI2493" s="59"/>
      <c r="NGJ2493" s="59"/>
      <c r="NGK2493" s="59"/>
      <c r="NGL2493" s="60"/>
      <c r="NGM2493" s="60"/>
      <c r="NGN2493" s="60"/>
      <c r="NGO2493" s="59"/>
      <c r="NGP2493" s="61"/>
      <c r="NGQ2493" s="59"/>
      <c r="NGR2493" s="59"/>
      <c r="NGS2493" s="59"/>
      <c r="NGT2493" s="60"/>
      <c r="NGU2493" s="60"/>
      <c r="NGV2493" s="60"/>
      <c r="NGW2493" s="59"/>
      <c r="NGX2493" s="61"/>
      <c r="NGY2493" s="59"/>
      <c r="NGZ2493" s="59"/>
      <c r="NHA2493" s="59"/>
      <c r="NHB2493" s="60"/>
      <c r="NHC2493" s="60"/>
      <c r="NHD2493" s="60"/>
      <c r="NHE2493" s="59"/>
      <c r="NHF2493" s="61"/>
      <c r="NHG2493" s="59"/>
      <c r="NHH2493" s="59"/>
      <c r="NHI2493" s="59"/>
      <c r="NHJ2493" s="60"/>
      <c r="NHK2493" s="60"/>
      <c r="NHL2493" s="60"/>
      <c r="NHM2493" s="59"/>
      <c r="NHN2493" s="61"/>
      <c r="NHO2493" s="59"/>
      <c r="NHP2493" s="59"/>
      <c r="NHQ2493" s="59"/>
      <c r="NHR2493" s="60"/>
      <c r="NHS2493" s="60"/>
      <c r="NHT2493" s="60"/>
      <c r="NHU2493" s="59"/>
      <c r="NHV2493" s="61"/>
      <c r="NHW2493" s="59"/>
      <c r="NHX2493" s="59"/>
      <c r="NHY2493" s="59"/>
      <c r="NHZ2493" s="60"/>
      <c r="NIA2493" s="60"/>
      <c r="NIB2493" s="60"/>
      <c r="NIC2493" s="59"/>
      <c r="NID2493" s="61"/>
      <c r="NIE2493" s="59"/>
      <c r="NIF2493" s="59"/>
      <c r="NIG2493" s="59"/>
      <c r="NIH2493" s="60"/>
      <c r="NII2493" s="60"/>
      <c r="NIJ2493" s="60"/>
      <c r="NIK2493" s="59"/>
      <c r="NIL2493" s="61"/>
      <c r="NIM2493" s="59"/>
      <c r="NIN2493" s="59"/>
      <c r="NIO2493" s="59"/>
      <c r="NIP2493" s="60"/>
      <c r="NIQ2493" s="60"/>
      <c r="NIR2493" s="60"/>
      <c r="NIS2493" s="59"/>
      <c r="NIT2493" s="61"/>
      <c r="NIU2493" s="59"/>
      <c r="NIV2493" s="59"/>
      <c r="NIW2493" s="59"/>
      <c r="NIX2493" s="60"/>
      <c r="NIY2493" s="60"/>
      <c r="NIZ2493" s="60"/>
      <c r="NJA2493" s="59"/>
      <c r="NJB2493" s="61"/>
      <c r="NJC2493" s="59"/>
      <c r="NJD2493" s="59"/>
      <c r="NJE2493" s="59"/>
      <c r="NJF2493" s="60"/>
      <c r="NJG2493" s="60"/>
      <c r="NJH2493" s="60"/>
      <c r="NJI2493" s="59"/>
      <c r="NJJ2493" s="61"/>
      <c r="NJK2493" s="59"/>
      <c r="NJL2493" s="59"/>
      <c r="NJM2493" s="59"/>
      <c r="NJN2493" s="60"/>
      <c r="NJO2493" s="60"/>
      <c r="NJP2493" s="60"/>
      <c r="NJQ2493" s="59"/>
      <c r="NJR2493" s="61"/>
      <c r="NJS2493" s="59"/>
      <c r="NJT2493" s="59"/>
      <c r="NJU2493" s="59"/>
      <c r="NJV2493" s="60"/>
      <c r="NJW2493" s="60"/>
      <c r="NJX2493" s="60"/>
      <c r="NJY2493" s="59"/>
      <c r="NJZ2493" s="61"/>
      <c r="NKA2493" s="59"/>
      <c r="NKB2493" s="59"/>
      <c r="NKC2493" s="59"/>
      <c r="NKD2493" s="60"/>
      <c r="NKE2493" s="60"/>
      <c r="NKF2493" s="60"/>
      <c r="NKG2493" s="59"/>
      <c r="NKH2493" s="61"/>
      <c r="NKI2493" s="59"/>
      <c r="NKJ2493" s="59"/>
      <c r="NKK2493" s="59"/>
      <c r="NKL2493" s="60"/>
      <c r="NKM2493" s="60"/>
      <c r="NKN2493" s="60"/>
      <c r="NKO2493" s="59"/>
      <c r="NKP2493" s="61"/>
      <c r="NKQ2493" s="59"/>
      <c r="NKR2493" s="59"/>
      <c r="NKS2493" s="59"/>
      <c r="NKT2493" s="60"/>
      <c r="NKU2493" s="60"/>
      <c r="NKV2493" s="60"/>
      <c r="NKW2493" s="59"/>
      <c r="NKX2493" s="61"/>
      <c r="NKY2493" s="59"/>
      <c r="NKZ2493" s="59"/>
      <c r="NLA2493" s="59"/>
      <c r="NLB2493" s="60"/>
      <c r="NLC2493" s="60"/>
      <c r="NLD2493" s="60"/>
      <c r="NLE2493" s="59"/>
      <c r="NLF2493" s="61"/>
      <c r="NLG2493" s="59"/>
      <c r="NLH2493" s="59"/>
      <c r="NLI2493" s="59"/>
      <c r="NLJ2493" s="60"/>
      <c r="NLK2493" s="60"/>
      <c r="NLL2493" s="60"/>
      <c r="NLM2493" s="59"/>
      <c r="NLN2493" s="61"/>
      <c r="NLO2493" s="59"/>
      <c r="NLP2493" s="59"/>
      <c r="NLQ2493" s="59"/>
      <c r="NLR2493" s="60"/>
      <c r="NLS2493" s="60"/>
      <c r="NLT2493" s="60"/>
      <c r="NLU2493" s="59"/>
      <c r="NLV2493" s="61"/>
      <c r="NLW2493" s="59"/>
      <c r="NLX2493" s="59"/>
      <c r="NLY2493" s="59"/>
      <c r="NLZ2493" s="60"/>
      <c r="NMA2493" s="60"/>
      <c r="NMB2493" s="60"/>
      <c r="NMC2493" s="59"/>
      <c r="NMD2493" s="61"/>
      <c r="NME2493" s="59"/>
      <c r="NMF2493" s="59"/>
      <c r="NMG2493" s="59"/>
      <c r="NMH2493" s="60"/>
      <c r="NMI2493" s="60"/>
      <c r="NMJ2493" s="60"/>
      <c r="NMK2493" s="59"/>
      <c r="NML2493" s="61"/>
      <c r="NMM2493" s="59"/>
      <c r="NMN2493" s="59"/>
      <c r="NMO2493" s="59"/>
      <c r="NMP2493" s="60"/>
      <c r="NMQ2493" s="60"/>
      <c r="NMR2493" s="60"/>
      <c r="NMS2493" s="59"/>
      <c r="NMT2493" s="61"/>
      <c r="NMU2493" s="59"/>
      <c r="NMV2493" s="59"/>
      <c r="NMW2493" s="59"/>
      <c r="NMX2493" s="60"/>
      <c r="NMY2493" s="60"/>
      <c r="NMZ2493" s="60"/>
      <c r="NNA2493" s="59"/>
      <c r="NNB2493" s="61"/>
      <c r="NNC2493" s="59"/>
      <c r="NND2493" s="59"/>
      <c r="NNE2493" s="59"/>
      <c r="NNF2493" s="60"/>
      <c r="NNG2493" s="60"/>
      <c r="NNH2493" s="60"/>
      <c r="NNI2493" s="59"/>
      <c r="NNJ2493" s="61"/>
      <c r="NNK2493" s="59"/>
      <c r="NNL2493" s="59"/>
      <c r="NNM2493" s="59"/>
      <c r="NNN2493" s="60"/>
      <c r="NNO2493" s="60"/>
      <c r="NNP2493" s="60"/>
      <c r="NNQ2493" s="59"/>
      <c r="NNR2493" s="61"/>
      <c r="NNS2493" s="59"/>
      <c r="NNT2493" s="59"/>
      <c r="NNU2493" s="59"/>
      <c r="NNV2493" s="60"/>
      <c r="NNW2493" s="60"/>
      <c r="NNX2493" s="60"/>
      <c r="NNY2493" s="59"/>
      <c r="NNZ2493" s="61"/>
      <c r="NOA2493" s="59"/>
      <c r="NOB2493" s="59"/>
      <c r="NOC2493" s="59"/>
      <c r="NOD2493" s="60"/>
      <c r="NOE2493" s="60"/>
      <c r="NOF2493" s="60"/>
      <c r="NOG2493" s="59"/>
      <c r="NOH2493" s="61"/>
      <c r="NOI2493" s="59"/>
      <c r="NOJ2493" s="59"/>
      <c r="NOK2493" s="59"/>
      <c r="NOL2493" s="60"/>
      <c r="NOM2493" s="60"/>
      <c r="NON2493" s="60"/>
      <c r="NOO2493" s="59"/>
      <c r="NOP2493" s="61"/>
      <c r="NOQ2493" s="59"/>
      <c r="NOR2493" s="59"/>
      <c r="NOS2493" s="59"/>
      <c r="NOT2493" s="60"/>
      <c r="NOU2493" s="60"/>
      <c r="NOV2493" s="60"/>
      <c r="NOW2493" s="59"/>
      <c r="NOX2493" s="61"/>
      <c r="NOY2493" s="59"/>
      <c r="NOZ2493" s="59"/>
      <c r="NPA2493" s="59"/>
      <c r="NPB2493" s="60"/>
      <c r="NPC2493" s="60"/>
      <c r="NPD2493" s="60"/>
      <c r="NPE2493" s="59"/>
      <c r="NPF2493" s="61"/>
      <c r="NPG2493" s="59"/>
      <c r="NPH2493" s="59"/>
      <c r="NPI2493" s="59"/>
      <c r="NPJ2493" s="60"/>
      <c r="NPK2493" s="60"/>
      <c r="NPL2493" s="60"/>
      <c r="NPM2493" s="59"/>
      <c r="NPN2493" s="61"/>
      <c r="NPO2493" s="59"/>
      <c r="NPP2493" s="59"/>
      <c r="NPQ2493" s="59"/>
      <c r="NPR2493" s="60"/>
      <c r="NPS2493" s="60"/>
      <c r="NPT2493" s="60"/>
      <c r="NPU2493" s="59"/>
      <c r="NPV2493" s="61"/>
      <c r="NPW2493" s="59"/>
      <c r="NPX2493" s="59"/>
      <c r="NPY2493" s="59"/>
      <c r="NPZ2493" s="60"/>
      <c r="NQA2493" s="60"/>
      <c r="NQB2493" s="60"/>
      <c r="NQC2493" s="59"/>
      <c r="NQD2493" s="61"/>
      <c r="NQE2493" s="59"/>
      <c r="NQF2493" s="59"/>
      <c r="NQG2493" s="59"/>
      <c r="NQH2493" s="60"/>
      <c r="NQI2493" s="60"/>
      <c r="NQJ2493" s="60"/>
      <c r="NQK2493" s="59"/>
      <c r="NQL2493" s="61"/>
      <c r="NQM2493" s="59"/>
      <c r="NQN2493" s="59"/>
      <c r="NQO2493" s="59"/>
      <c r="NQP2493" s="60"/>
      <c r="NQQ2493" s="60"/>
      <c r="NQR2493" s="60"/>
      <c r="NQS2493" s="59"/>
      <c r="NQT2493" s="61"/>
      <c r="NQU2493" s="59"/>
      <c r="NQV2493" s="59"/>
      <c r="NQW2493" s="59"/>
      <c r="NQX2493" s="60"/>
      <c r="NQY2493" s="60"/>
      <c r="NQZ2493" s="60"/>
      <c r="NRA2493" s="59"/>
      <c r="NRB2493" s="61"/>
      <c r="NRC2493" s="59"/>
      <c r="NRD2493" s="59"/>
      <c r="NRE2493" s="59"/>
      <c r="NRF2493" s="60"/>
      <c r="NRG2493" s="60"/>
      <c r="NRH2493" s="60"/>
      <c r="NRI2493" s="59"/>
      <c r="NRJ2493" s="61"/>
      <c r="NRK2493" s="59"/>
      <c r="NRL2493" s="59"/>
      <c r="NRM2493" s="59"/>
      <c r="NRN2493" s="60"/>
      <c r="NRO2493" s="60"/>
      <c r="NRP2493" s="60"/>
      <c r="NRQ2493" s="59"/>
      <c r="NRR2493" s="61"/>
      <c r="NRS2493" s="59"/>
      <c r="NRT2493" s="59"/>
      <c r="NRU2493" s="59"/>
      <c r="NRV2493" s="60"/>
      <c r="NRW2493" s="60"/>
      <c r="NRX2493" s="60"/>
      <c r="NRY2493" s="59"/>
      <c r="NRZ2493" s="61"/>
      <c r="NSA2493" s="59"/>
      <c r="NSB2493" s="59"/>
      <c r="NSC2493" s="59"/>
      <c r="NSD2493" s="60"/>
      <c r="NSE2493" s="60"/>
      <c r="NSF2493" s="60"/>
      <c r="NSG2493" s="59"/>
      <c r="NSH2493" s="61"/>
      <c r="NSI2493" s="59"/>
      <c r="NSJ2493" s="59"/>
      <c r="NSK2493" s="59"/>
      <c r="NSL2493" s="60"/>
      <c r="NSM2493" s="60"/>
      <c r="NSN2493" s="60"/>
      <c r="NSO2493" s="59"/>
      <c r="NSP2493" s="61"/>
      <c r="NSQ2493" s="59"/>
      <c r="NSR2493" s="59"/>
      <c r="NSS2493" s="59"/>
      <c r="NST2493" s="60"/>
      <c r="NSU2493" s="60"/>
      <c r="NSV2493" s="60"/>
      <c r="NSW2493" s="59"/>
      <c r="NSX2493" s="61"/>
      <c r="NSY2493" s="59"/>
      <c r="NSZ2493" s="59"/>
      <c r="NTA2493" s="59"/>
      <c r="NTB2493" s="60"/>
      <c r="NTC2493" s="60"/>
      <c r="NTD2493" s="60"/>
      <c r="NTE2493" s="59"/>
      <c r="NTF2493" s="61"/>
      <c r="NTG2493" s="59"/>
      <c r="NTH2493" s="59"/>
      <c r="NTI2493" s="59"/>
      <c r="NTJ2493" s="60"/>
      <c r="NTK2493" s="60"/>
      <c r="NTL2493" s="60"/>
      <c r="NTM2493" s="59"/>
      <c r="NTN2493" s="61"/>
      <c r="NTO2493" s="59"/>
      <c r="NTP2493" s="59"/>
      <c r="NTQ2493" s="59"/>
      <c r="NTR2493" s="60"/>
      <c r="NTS2493" s="60"/>
      <c r="NTT2493" s="60"/>
      <c r="NTU2493" s="59"/>
      <c r="NTV2493" s="61"/>
      <c r="NTW2493" s="59"/>
      <c r="NTX2493" s="59"/>
      <c r="NTY2493" s="59"/>
      <c r="NTZ2493" s="60"/>
      <c r="NUA2493" s="60"/>
      <c r="NUB2493" s="60"/>
      <c r="NUC2493" s="59"/>
      <c r="NUD2493" s="61"/>
      <c r="NUE2493" s="59"/>
      <c r="NUF2493" s="59"/>
      <c r="NUG2493" s="59"/>
      <c r="NUH2493" s="60"/>
      <c r="NUI2493" s="60"/>
      <c r="NUJ2493" s="60"/>
      <c r="NUK2493" s="59"/>
      <c r="NUL2493" s="61"/>
      <c r="NUM2493" s="59"/>
      <c r="NUN2493" s="59"/>
      <c r="NUO2493" s="59"/>
      <c r="NUP2493" s="60"/>
      <c r="NUQ2493" s="60"/>
      <c r="NUR2493" s="60"/>
      <c r="NUS2493" s="59"/>
      <c r="NUT2493" s="61"/>
      <c r="NUU2493" s="59"/>
      <c r="NUV2493" s="59"/>
      <c r="NUW2493" s="59"/>
      <c r="NUX2493" s="60"/>
      <c r="NUY2493" s="60"/>
      <c r="NUZ2493" s="60"/>
      <c r="NVA2493" s="59"/>
      <c r="NVB2493" s="61"/>
      <c r="NVC2493" s="59"/>
      <c r="NVD2493" s="59"/>
      <c r="NVE2493" s="59"/>
      <c r="NVF2493" s="60"/>
      <c r="NVG2493" s="60"/>
      <c r="NVH2493" s="60"/>
      <c r="NVI2493" s="59"/>
      <c r="NVJ2493" s="61"/>
      <c r="NVK2493" s="59"/>
      <c r="NVL2493" s="59"/>
      <c r="NVM2493" s="59"/>
      <c r="NVN2493" s="60"/>
      <c r="NVO2493" s="60"/>
      <c r="NVP2493" s="60"/>
      <c r="NVQ2493" s="59"/>
      <c r="NVR2493" s="61"/>
      <c r="NVS2493" s="59"/>
      <c r="NVT2493" s="59"/>
      <c r="NVU2493" s="59"/>
      <c r="NVV2493" s="60"/>
      <c r="NVW2493" s="60"/>
      <c r="NVX2493" s="60"/>
      <c r="NVY2493" s="59"/>
      <c r="NVZ2493" s="61"/>
      <c r="NWA2493" s="59"/>
      <c r="NWB2493" s="59"/>
      <c r="NWC2493" s="59"/>
      <c r="NWD2493" s="60"/>
      <c r="NWE2493" s="60"/>
      <c r="NWF2493" s="60"/>
      <c r="NWG2493" s="59"/>
      <c r="NWH2493" s="61"/>
      <c r="NWI2493" s="59"/>
      <c r="NWJ2493" s="59"/>
      <c r="NWK2493" s="59"/>
      <c r="NWL2493" s="60"/>
      <c r="NWM2493" s="60"/>
      <c r="NWN2493" s="60"/>
      <c r="NWO2493" s="59"/>
      <c r="NWP2493" s="61"/>
      <c r="NWQ2493" s="59"/>
      <c r="NWR2493" s="59"/>
      <c r="NWS2493" s="59"/>
      <c r="NWT2493" s="60"/>
      <c r="NWU2493" s="60"/>
      <c r="NWV2493" s="60"/>
      <c r="NWW2493" s="59"/>
      <c r="NWX2493" s="61"/>
      <c r="NWY2493" s="59"/>
      <c r="NWZ2493" s="59"/>
      <c r="NXA2493" s="59"/>
      <c r="NXB2493" s="60"/>
      <c r="NXC2493" s="60"/>
      <c r="NXD2493" s="60"/>
      <c r="NXE2493" s="59"/>
      <c r="NXF2493" s="61"/>
      <c r="NXG2493" s="59"/>
      <c r="NXH2493" s="59"/>
      <c r="NXI2493" s="59"/>
      <c r="NXJ2493" s="60"/>
      <c r="NXK2493" s="60"/>
      <c r="NXL2493" s="60"/>
      <c r="NXM2493" s="59"/>
      <c r="NXN2493" s="61"/>
      <c r="NXO2493" s="59"/>
      <c r="NXP2493" s="59"/>
      <c r="NXQ2493" s="59"/>
      <c r="NXR2493" s="60"/>
      <c r="NXS2493" s="60"/>
      <c r="NXT2493" s="60"/>
      <c r="NXU2493" s="59"/>
      <c r="NXV2493" s="61"/>
      <c r="NXW2493" s="59"/>
      <c r="NXX2493" s="59"/>
      <c r="NXY2493" s="59"/>
      <c r="NXZ2493" s="60"/>
      <c r="NYA2493" s="60"/>
      <c r="NYB2493" s="60"/>
      <c r="NYC2493" s="59"/>
      <c r="NYD2493" s="61"/>
      <c r="NYE2493" s="59"/>
      <c r="NYF2493" s="59"/>
      <c r="NYG2493" s="59"/>
      <c r="NYH2493" s="60"/>
      <c r="NYI2493" s="60"/>
      <c r="NYJ2493" s="60"/>
      <c r="NYK2493" s="59"/>
      <c r="NYL2493" s="61"/>
      <c r="NYM2493" s="59"/>
      <c r="NYN2493" s="59"/>
      <c r="NYO2493" s="59"/>
      <c r="NYP2493" s="60"/>
      <c r="NYQ2493" s="60"/>
      <c r="NYR2493" s="60"/>
      <c r="NYS2493" s="59"/>
      <c r="NYT2493" s="61"/>
      <c r="NYU2493" s="59"/>
      <c r="NYV2493" s="59"/>
      <c r="NYW2493" s="59"/>
      <c r="NYX2493" s="60"/>
      <c r="NYY2493" s="60"/>
      <c r="NYZ2493" s="60"/>
      <c r="NZA2493" s="59"/>
      <c r="NZB2493" s="61"/>
      <c r="NZC2493" s="59"/>
      <c r="NZD2493" s="59"/>
      <c r="NZE2493" s="59"/>
      <c r="NZF2493" s="60"/>
      <c r="NZG2493" s="60"/>
      <c r="NZH2493" s="60"/>
      <c r="NZI2493" s="59"/>
      <c r="NZJ2493" s="61"/>
      <c r="NZK2493" s="59"/>
      <c r="NZL2493" s="59"/>
      <c r="NZM2493" s="59"/>
      <c r="NZN2493" s="60"/>
      <c r="NZO2493" s="60"/>
      <c r="NZP2493" s="60"/>
      <c r="NZQ2493" s="59"/>
      <c r="NZR2493" s="61"/>
      <c r="NZS2493" s="59"/>
      <c r="NZT2493" s="59"/>
      <c r="NZU2493" s="59"/>
      <c r="NZV2493" s="60"/>
      <c r="NZW2493" s="60"/>
      <c r="NZX2493" s="60"/>
      <c r="NZY2493" s="59"/>
      <c r="NZZ2493" s="61"/>
      <c r="OAA2493" s="59"/>
      <c r="OAB2493" s="59"/>
      <c r="OAC2493" s="59"/>
      <c r="OAD2493" s="60"/>
      <c r="OAE2493" s="60"/>
      <c r="OAF2493" s="60"/>
      <c r="OAG2493" s="59"/>
      <c r="OAH2493" s="61"/>
      <c r="OAI2493" s="59"/>
      <c r="OAJ2493" s="59"/>
      <c r="OAK2493" s="59"/>
      <c r="OAL2493" s="60"/>
      <c r="OAM2493" s="60"/>
      <c r="OAN2493" s="60"/>
      <c r="OAO2493" s="59"/>
      <c r="OAP2493" s="61"/>
      <c r="OAQ2493" s="59"/>
      <c r="OAR2493" s="59"/>
      <c r="OAS2493" s="59"/>
      <c r="OAT2493" s="60"/>
      <c r="OAU2493" s="60"/>
      <c r="OAV2493" s="60"/>
      <c r="OAW2493" s="59"/>
      <c r="OAX2493" s="61"/>
      <c r="OAY2493" s="59"/>
      <c r="OAZ2493" s="59"/>
      <c r="OBA2493" s="59"/>
      <c r="OBB2493" s="60"/>
      <c r="OBC2493" s="60"/>
      <c r="OBD2493" s="60"/>
      <c r="OBE2493" s="59"/>
      <c r="OBF2493" s="61"/>
      <c r="OBG2493" s="59"/>
      <c r="OBH2493" s="59"/>
      <c r="OBI2493" s="59"/>
      <c r="OBJ2493" s="60"/>
      <c r="OBK2493" s="60"/>
      <c r="OBL2493" s="60"/>
      <c r="OBM2493" s="59"/>
      <c r="OBN2493" s="61"/>
      <c r="OBO2493" s="59"/>
      <c r="OBP2493" s="59"/>
      <c r="OBQ2493" s="59"/>
      <c r="OBR2493" s="60"/>
      <c r="OBS2493" s="60"/>
      <c r="OBT2493" s="60"/>
      <c r="OBU2493" s="59"/>
      <c r="OBV2493" s="61"/>
      <c r="OBW2493" s="59"/>
      <c r="OBX2493" s="59"/>
      <c r="OBY2493" s="59"/>
      <c r="OBZ2493" s="60"/>
      <c r="OCA2493" s="60"/>
      <c r="OCB2493" s="60"/>
      <c r="OCC2493" s="59"/>
      <c r="OCD2493" s="61"/>
      <c r="OCE2493" s="59"/>
      <c r="OCF2493" s="59"/>
      <c r="OCG2493" s="59"/>
      <c r="OCH2493" s="60"/>
      <c r="OCI2493" s="60"/>
      <c r="OCJ2493" s="60"/>
      <c r="OCK2493" s="59"/>
      <c r="OCL2493" s="61"/>
      <c r="OCM2493" s="59"/>
      <c r="OCN2493" s="59"/>
      <c r="OCO2493" s="59"/>
      <c r="OCP2493" s="60"/>
      <c r="OCQ2493" s="60"/>
      <c r="OCR2493" s="60"/>
      <c r="OCS2493" s="59"/>
      <c r="OCT2493" s="61"/>
      <c r="OCU2493" s="59"/>
      <c r="OCV2493" s="59"/>
      <c r="OCW2493" s="59"/>
      <c r="OCX2493" s="60"/>
      <c r="OCY2493" s="60"/>
      <c r="OCZ2493" s="60"/>
      <c r="ODA2493" s="59"/>
      <c r="ODB2493" s="61"/>
      <c r="ODC2493" s="59"/>
      <c r="ODD2493" s="59"/>
      <c r="ODE2493" s="59"/>
      <c r="ODF2493" s="60"/>
      <c r="ODG2493" s="60"/>
      <c r="ODH2493" s="60"/>
      <c r="ODI2493" s="59"/>
      <c r="ODJ2493" s="61"/>
      <c r="ODK2493" s="59"/>
      <c r="ODL2493" s="59"/>
      <c r="ODM2493" s="59"/>
      <c r="ODN2493" s="60"/>
      <c r="ODO2493" s="60"/>
      <c r="ODP2493" s="60"/>
      <c r="ODQ2493" s="59"/>
      <c r="ODR2493" s="61"/>
      <c r="ODS2493" s="59"/>
      <c r="ODT2493" s="59"/>
      <c r="ODU2493" s="59"/>
      <c r="ODV2493" s="60"/>
      <c r="ODW2493" s="60"/>
      <c r="ODX2493" s="60"/>
      <c r="ODY2493" s="59"/>
      <c r="ODZ2493" s="61"/>
      <c r="OEA2493" s="59"/>
      <c r="OEB2493" s="59"/>
      <c r="OEC2493" s="59"/>
      <c r="OED2493" s="60"/>
      <c r="OEE2493" s="60"/>
      <c r="OEF2493" s="60"/>
      <c r="OEG2493" s="59"/>
      <c r="OEH2493" s="61"/>
      <c r="OEI2493" s="59"/>
      <c r="OEJ2493" s="59"/>
      <c r="OEK2493" s="59"/>
      <c r="OEL2493" s="60"/>
      <c r="OEM2493" s="60"/>
      <c r="OEN2493" s="60"/>
      <c r="OEO2493" s="59"/>
      <c r="OEP2493" s="61"/>
      <c r="OEQ2493" s="59"/>
      <c r="OER2493" s="59"/>
      <c r="OES2493" s="59"/>
      <c r="OET2493" s="60"/>
      <c r="OEU2493" s="60"/>
      <c r="OEV2493" s="60"/>
      <c r="OEW2493" s="59"/>
      <c r="OEX2493" s="61"/>
      <c r="OEY2493" s="59"/>
      <c r="OEZ2493" s="59"/>
      <c r="OFA2493" s="59"/>
      <c r="OFB2493" s="60"/>
      <c r="OFC2493" s="60"/>
      <c r="OFD2493" s="60"/>
      <c r="OFE2493" s="59"/>
      <c r="OFF2493" s="61"/>
      <c r="OFG2493" s="59"/>
      <c r="OFH2493" s="59"/>
      <c r="OFI2493" s="59"/>
      <c r="OFJ2493" s="60"/>
      <c r="OFK2493" s="60"/>
      <c r="OFL2493" s="60"/>
      <c r="OFM2493" s="59"/>
      <c r="OFN2493" s="61"/>
      <c r="OFO2493" s="59"/>
      <c r="OFP2493" s="59"/>
      <c r="OFQ2493" s="59"/>
      <c r="OFR2493" s="60"/>
      <c r="OFS2493" s="60"/>
      <c r="OFT2493" s="60"/>
      <c r="OFU2493" s="59"/>
      <c r="OFV2493" s="61"/>
      <c r="OFW2493" s="59"/>
      <c r="OFX2493" s="59"/>
      <c r="OFY2493" s="59"/>
      <c r="OFZ2493" s="60"/>
      <c r="OGA2493" s="60"/>
      <c r="OGB2493" s="60"/>
      <c r="OGC2493" s="59"/>
      <c r="OGD2493" s="61"/>
      <c r="OGE2493" s="59"/>
      <c r="OGF2493" s="59"/>
      <c r="OGG2493" s="59"/>
      <c r="OGH2493" s="60"/>
      <c r="OGI2493" s="60"/>
      <c r="OGJ2493" s="60"/>
      <c r="OGK2493" s="59"/>
      <c r="OGL2493" s="61"/>
      <c r="OGM2493" s="59"/>
      <c r="OGN2493" s="59"/>
      <c r="OGO2493" s="59"/>
      <c r="OGP2493" s="60"/>
      <c r="OGQ2493" s="60"/>
      <c r="OGR2493" s="60"/>
      <c r="OGS2493" s="59"/>
      <c r="OGT2493" s="61"/>
      <c r="OGU2493" s="59"/>
      <c r="OGV2493" s="59"/>
      <c r="OGW2493" s="59"/>
      <c r="OGX2493" s="60"/>
      <c r="OGY2493" s="60"/>
      <c r="OGZ2493" s="60"/>
      <c r="OHA2493" s="59"/>
      <c r="OHB2493" s="61"/>
      <c r="OHC2493" s="59"/>
      <c r="OHD2493" s="59"/>
      <c r="OHE2493" s="59"/>
      <c r="OHF2493" s="60"/>
      <c r="OHG2493" s="60"/>
      <c r="OHH2493" s="60"/>
      <c r="OHI2493" s="59"/>
      <c r="OHJ2493" s="61"/>
      <c r="OHK2493" s="59"/>
      <c r="OHL2493" s="59"/>
      <c r="OHM2493" s="59"/>
      <c r="OHN2493" s="60"/>
      <c r="OHO2493" s="60"/>
      <c r="OHP2493" s="60"/>
      <c r="OHQ2493" s="59"/>
      <c r="OHR2493" s="61"/>
      <c r="OHS2493" s="59"/>
      <c r="OHT2493" s="59"/>
      <c r="OHU2493" s="59"/>
      <c r="OHV2493" s="60"/>
      <c r="OHW2493" s="60"/>
      <c r="OHX2493" s="60"/>
      <c r="OHY2493" s="59"/>
      <c r="OHZ2493" s="61"/>
      <c r="OIA2493" s="59"/>
      <c r="OIB2493" s="59"/>
      <c r="OIC2493" s="59"/>
      <c r="OID2493" s="60"/>
      <c r="OIE2493" s="60"/>
      <c r="OIF2493" s="60"/>
      <c r="OIG2493" s="59"/>
      <c r="OIH2493" s="61"/>
      <c r="OII2493" s="59"/>
      <c r="OIJ2493" s="59"/>
      <c r="OIK2493" s="59"/>
      <c r="OIL2493" s="60"/>
      <c r="OIM2493" s="60"/>
      <c r="OIN2493" s="60"/>
      <c r="OIO2493" s="59"/>
      <c r="OIP2493" s="61"/>
      <c r="OIQ2493" s="59"/>
      <c r="OIR2493" s="59"/>
      <c r="OIS2493" s="59"/>
      <c r="OIT2493" s="60"/>
      <c r="OIU2493" s="60"/>
      <c r="OIV2493" s="60"/>
      <c r="OIW2493" s="59"/>
      <c r="OIX2493" s="61"/>
      <c r="OIY2493" s="59"/>
      <c r="OIZ2493" s="59"/>
      <c r="OJA2493" s="59"/>
      <c r="OJB2493" s="60"/>
      <c r="OJC2493" s="60"/>
      <c r="OJD2493" s="60"/>
      <c r="OJE2493" s="59"/>
      <c r="OJF2493" s="61"/>
      <c r="OJG2493" s="59"/>
      <c r="OJH2493" s="59"/>
      <c r="OJI2493" s="59"/>
      <c r="OJJ2493" s="60"/>
      <c r="OJK2493" s="60"/>
      <c r="OJL2493" s="60"/>
      <c r="OJM2493" s="59"/>
      <c r="OJN2493" s="61"/>
      <c r="OJO2493" s="59"/>
      <c r="OJP2493" s="59"/>
      <c r="OJQ2493" s="59"/>
      <c r="OJR2493" s="60"/>
      <c r="OJS2493" s="60"/>
      <c r="OJT2493" s="60"/>
      <c r="OJU2493" s="59"/>
      <c r="OJV2493" s="61"/>
      <c r="OJW2493" s="59"/>
      <c r="OJX2493" s="59"/>
      <c r="OJY2493" s="59"/>
      <c r="OJZ2493" s="60"/>
      <c r="OKA2493" s="60"/>
      <c r="OKB2493" s="60"/>
      <c r="OKC2493" s="59"/>
      <c r="OKD2493" s="61"/>
      <c r="OKE2493" s="59"/>
      <c r="OKF2493" s="59"/>
      <c r="OKG2493" s="59"/>
      <c r="OKH2493" s="60"/>
      <c r="OKI2493" s="60"/>
      <c r="OKJ2493" s="60"/>
      <c r="OKK2493" s="59"/>
      <c r="OKL2493" s="61"/>
      <c r="OKM2493" s="59"/>
      <c r="OKN2493" s="59"/>
      <c r="OKO2493" s="59"/>
      <c r="OKP2493" s="60"/>
      <c r="OKQ2493" s="60"/>
      <c r="OKR2493" s="60"/>
      <c r="OKS2493" s="59"/>
      <c r="OKT2493" s="61"/>
      <c r="OKU2493" s="59"/>
      <c r="OKV2493" s="59"/>
      <c r="OKW2493" s="59"/>
      <c r="OKX2493" s="60"/>
      <c r="OKY2493" s="60"/>
      <c r="OKZ2493" s="60"/>
      <c r="OLA2493" s="59"/>
      <c r="OLB2493" s="61"/>
      <c r="OLC2493" s="59"/>
      <c r="OLD2493" s="59"/>
      <c r="OLE2493" s="59"/>
      <c r="OLF2493" s="60"/>
      <c r="OLG2493" s="60"/>
      <c r="OLH2493" s="60"/>
      <c r="OLI2493" s="59"/>
      <c r="OLJ2493" s="61"/>
      <c r="OLK2493" s="59"/>
      <c r="OLL2493" s="59"/>
      <c r="OLM2493" s="59"/>
      <c r="OLN2493" s="60"/>
      <c r="OLO2493" s="60"/>
      <c r="OLP2493" s="60"/>
      <c r="OLQ2493" s="59"/>
      <c r="OLR2493" s="61"/>
      <c r="OLS2493" s="59"/>
      <c r="OLT2493" s="59"/>
      <c r="OLU2493" s="59"/>
      <c r="OLV2493" s="60"/>
      <c r="OLW2493" s="60"/>
      <c r="OLX2493" s="60"/>
      <c r="OLY2493" s="59"/>
      <c r="OLZ2493" s="61"/>
      <c r="OMA2493" s="59"/>
      <c r="OMB2493" s="59"/>
      <c r="OMC2493" s="59"/>
      <c r="OMD2493" s="60"/>
      <c r="OME2493" s="60"/>
      <c r="OMF2493" s="60"/>
      <c r="OMG2493" s="59"/>
      <c r="OMH2493" s="61"/>
      <c r="OMI2493" s="59"/>
      <c r="OMJ2493" s="59"/>
      <c r="OMK2493" s="59"/>
      <c r="OML2493" s="60"/>
      <c r="OMM2493" s="60"/>
      <c r="OMN2493" s="60"/>
      <c r="OMO2493" s="59"/>
      <c r="OMP2493" s="61"/>
      <c r="OMQ2493" s="59"/>
      <c r="OMR2493" s="59"/>
      <c r="OMS2493" s="59"/>
      <c r="OMT2493" s="60"/>
      <c r="OMU2493" s="60"/>
      <c r="OMV2493" s="60"/>
      <c r="OMW2493" s="59"/>
      <c r="OMX2493" s="61"/>
      <c r="OMY2493" s="59"/>
      <c r="OMZ2493" s="59"/>
      <c r="ONA2493" s="59"/>
      <c r="ONB2493" s="60"/>
      <c r="ONC2493" s="60"/>
      <c r="OND2493" s="60"/>
      <c r="ONE2493" s="59"/>
      <c r="ONF2493" s="61"/>
      <c r="ONG2493" s="59"/>
      <c r="ONH2493" s="59"/>
      <c r="ONI2493" s="59"/>
      <c r="ONJ2493" s="60"/>
      <c r="ONK2493" s="60"/>
      <c r="ONL2493" s="60"/>
      <c r="ONM2493" s="59"/>
      <c r="ONN2493" s="61"/>
      <c r="ONO2493" s="59"/>
      <c r="ONP2493" s="59"/>
      <c r="ONQ2493" s="59"/>
      <c r="ONR2493" s="60"/>
      <c r="ONS2493" s="60"/>
      <c r="ONT2493" s="60"/>
      <c r="ONU2493" s="59"/>
      <c r="ONV2493" s="61"/>
      <c r="ONW2493" s="59"/>
      <c r="ONX2493" s="59"/>
      <c r="ONY2493" s="59"/>
      <c r="ONZ2493" s="60"/>
      <c r="OOA2493" s="60"/>
      <c r="OOB2493" s="60"/>
      <c r="OOC2493" s="59"/>
      <c r="OOD2493" s="61"/>
      <c r="OOE2493" s="59"/>
      <c r="OOF2493" s="59"/>
      <c r="OOG2493" s="59"/>
      <c r="OOH2493" s="60"/>
      <c r="OOI2493" s="60"/>
      <c r="OOJ2493" s="60"/>
      <c r="OOK2493" s="59"/>
      <c r="OOL2493" s="61"/>
      <c r="OOM2493" s="59"/>
      <c r="OON2493" s="59"/>
      <c r="OOO2493" s="59"/>
      <c r="OOP2493" s="60"/>
      <c r="OOQ2493" s="60"/>
      <c r="OOR2493" s="60"/>
      <c r="OOS2493" s="59"/>
      <c r="OOT2493" s="61"/>
      <c r="OOU2493" s="59"/>
      <c r="OOV2493" s="59"/>
      <c r="OOW2493" s="59"/>
      <c r="OOX2493" s="60"/>
      <c r="OOY2493" s="60"/>
      <c r="OOZ2493" s="60"/>
      <c r="OPA2493" s="59"/>
      <c r="OPB2493" s="61"/>
      <c r="OPC2493" s="59"/>
      <c r="OPD2493" s="59"/>
      <c r="OPE2493" s="59"/>
      <c r="OPF2493" s="60"/>
      <c r="OPG2493" s="60"/>
      <c r="OPH2493" s="60"/>
      <c r="OPI2493" s="59"/>
      <c r="OPJ2493" s="61"/>
      <c r="OPK2493" s="59"/>
      <c r="OPL2493" s="59"/>
      <c r="OPM2493" s="59"/>
      <c r="OPN2493" s="60"/>
      <c r="OPO2493" s="60"/>
      <c r="OPP2493" s="60"/>
      <c r="OPQ2493" s="59"/>
      <c r="OPR2493" s="61"/>
      <c r="OPS2493" s="59"/>
      <c r="OPT2493" s="59"/>
      <c r="OPU2493" s="59"/>
      <c r="OPV2493" s="60"/>
      <c r="OPW2493" s="60"/>
      <c r="OPX2493" s="60"/>
      <c r="OPY2493" s="59"/>
      <c r="OPZ2493" s="61"/>
      <c r="OQA2493" s="59"/>
      <c r="OQB2493" s="59"/>
      <c r="OQC2493" s="59"/>
      <c r="OQD2493" s="60"/>
      <c r="OQE2493" s="60"/>
      <c r="OQF2493" s="60"/>
      <c r="OQG2493" s="59"/>
      <c r="OQH2493" s="61"/>
      <c r="OQI2493" s="59"/>
      <c r="OQJ2493" s="59"/>
      <c r="OQK2493" s="59"/>
      <c r="OQL2493" s="60"/>
      <c r="OQM2493" s="60"/>
      <c r="OQN2493" s="60"/>
      <c r="OQO2493" s="59"/>
      <c r="OQP2493" s="61"/>
      <c r="OQQ2493" s="59"/>
      <c r="OQR2493" s="59"/>
      <c r="OQS2493" s="59"/>
      <c r="OQT2493" s="60"/>
      <c r="OQU2493" s="60"/>
      <c r="OQV2493" s="60"/>
      <c r="OQW2493" s="59"/>
      <c r="OQX2493" s="61"/>
      <c r="OQY2493" s="59"/>
      <c r="OQZ2493" s="59"/>
      <c r="ORA2493" s="59"/>
      <c r="ORB2493" s="60"/>
      <c r="ORC2493" s="60"/>
      <c r="ORD2493" s="60"/>
      <c r="ORE2493" s="59"/>
      <c r="ORF2493" s="61"/>
      <c r="ORG2493" s="59"/>
      <c r="ORH2493" s="59"/>
      <c r="ORI2493" s="59"/>
      <c r="ORJ2493" s="60"/>
      <c r="ORK2493" s="60"/>
      <c r="ORL2493" s="60"/>
      <c r="ORM2493" s="59"/>
      <c r="ORN2493" s="61"/>
      <c r="ORO2493" s="59"/>
      <c r="ORP2493" s="59"/>
      <c r="ORQ2493" s="59"/>
      <c r="ORR2493" s="60"/>
      <c r="ORS2493" s="60"/>
      <c r="ORT2493" s="60"/>
      <c r="ORU2493" s="59"/>
      <c r="ORV2493" s="61"/>
      <c r="ORW2493" s="59"/>
      <c r="ORX2493" s="59"/>
      <c r="ORY2493" s="59"/>
      <c r="ORZ2493" s="60"/>
      <c r="OSA2493" s="60"/>
      <c r="OSB2493" s="60"/>
      <c r="OSC2493" s="59"/>
      <c r="OSD2493" s="61"/>
      <c r="OSE2493" s="59"/>
      <c r="OSF2493" s="59"/>
      <c r="OSG2493" s="59"/>
      <c r="OSH2493" s="60"/>
      <c r="OSI2493" s="60"/>
      <c r="OSJ2493" s="60"/>
      <c r="OSK2493" s="59"/>
      <c r="OSL2493" s="61"/>
      <c r="OSM2493" s="59"/>
      <c r="OSN2493" s="59"/>
      <c r="OSO2493" s="59"/>
      <c r="OSP2493" s="60"/>
      <c r="OSQ2493" s="60"/>
      <c r="OSR2493" s="60"/>
      <c r="OSS2493" s="59"/>
      <c r="OST2493" s="61"/>
      <c r="OSU2493" s="59"/>
      <c r="OSV2493" s="59"/>
      <c r="OSW2493" s="59"/>
      <c r="OSX2493" s="60"/>
      <c r="OSY2493" s="60"/>
      <c r="OSZ2493" s="60"/>
      <c r="OTA2493" s="59"/>
      <c r="OTB2493" s="61"/>
      <c r="OTC2493" s="59"/>
      <c r="OTD2493" s="59"/>
      <c r="OTE2493" s="59"/>
      <c r="OTF2493" s="60"/>
      <c r="OTG2493" s="60"/>
      <c r="OTH2493" s="60"/>
      <c r="OTI2493" s="59"/>
      <c r="OTJ2493" s="61"/>
      <c r="OTK2493" s="59"/>
      <c r="OTL2493" s="59"/>
      <c r="OTM2493" s="59"/>
      <c r="OTN2493" s="60"/>
      <c r="OTO2493" s="60"/>
      <c r="OTP2493" s="60"/>
      <c r="OTQ2493" s="59"/>
      <c r="OTR2493" s="61"/>
      <c r="OTS2493" s="59"/>
      <c r="OTT2493" s="59"/>
      <c r="OTU2493" s="59"/>
      <c r="OTV2493" s="60"/>
      <c r="OTW2493" s="60"/>
      <c r="OTX2493" s="60"/>
      <c r="OTY2493" s="59"/>
      <c r="OTZ2493" s="61"/>
      <c r="OUA2493" s="59"/>
      <c r="OUB2493" s="59"/>
      <c r="OUC2493" s="59"/>
      <c r="OUD2493" s="60"/>
      <c r="OUE2493" s="60"/>
      <c r="OUF2493" s="60"/>
      <c r="OUG2493" s="59"/>
      <c r="OUH2493" s="61"/>
      <c r="OUI2493" s="59"/>
      <c r="OUJ2493" s="59"/>
      <c r="OUK2493" s="59"/>
      <c r="OUL2493" s="60"/>
      <c r="OUM2493" s="60"/>
      <c r="OUN2493" s="60"/>
      <c r="OUO2493" s="59"/>
      <c r="OUP2493" s="61"/>
      <c r="OUQ2493" s="59"/>
      <c r="OUR2493" s="59"/>
      <c r="OUS2493" s="59"/>
      <c r="OUT2493" s="60"/>
      <c r="OUU2493" s="60"/>
      <c r="OUV2493" s="60"/>
      <c r="OUW2493" s="59"/>
      <c r="OUX2493" s="61"/>
      <c r="OUY2493" s="59"/>
      <c r="OUZ2493" s="59"/>
      <c r="OVA2493" s="59"/>
      <c r="OVB2493" s="60"/>
      <c r="OVC2493" s="60"/>
      <c r="OVD2493" s="60"/>
      <c r="OVE2493" s="59"/>
      <c r="OVF2493" s="61"/>
      <c r="OVG2493" s="59"/>
      <c r="OVH2493" s="59"/>
      <c r="OVI2493" s="59"/>
      <c r="OVJ2493" s="60"/>
      <c r="OVK2493" s="60"/>
      <c r="OVL2493" s="60"/>
      <c r="OVM2493" s="59"/>
      <c r="OVN2493" s="61"/>
      <c r="OVO2493" s="59"/>
      <c r="OVP2493" s="59"/>
      <c r="OVQ2493" s="59"/>
      <c r="OVR2493" s="60"/>
      <c r="OVS2493" s="60"/>
      <c r="OVT2493" s="60"/>
      <c r="OVU2493" s="59"/>
      <c r="OVV2493" s="61"/>
      <c r="OVW2493" s="59"/>
      <c r="OVX2493" s="59"/>
      <c r="OVY2493" s="59"/>
      <c r="OVZ2493" s="60"/>
      <c r="OWA2493" s="60"/>
      <c r="OWB2493" s="60"/>
      <c r="OWC2493" s="59"/>
      <c r="OWD2493" s="61"/>
      <c r="OWE2493" s="59"/>
      <c r="OWF2493" s="59"/>
      <c r="OWG2493" s="59"/>
      <c r="OWH2493" s="60"/>
      <c r="OWI2493" s="60"/>
      <c r="OWJ2493" s="60"/>
      <c r="OWK2493" s="59"/>
      <c r="OWL2493" s="61"/>
      <c r="OWM2493" s="59"/>
      <c r="OWN2493" s="59"/>
      <c r="OWO2493" s="59"/>
      <c r="OWP2493" s="60"/>
      <c r="OWQ2493" s="60"/>
      <c r="OWR2493" s="60"/>
      <c r="OWS2493" s="59"/>
      <c r="OWT2493" s="61"/>
      <c r="OWU2493" s="59"/>
      <c r="OWV2493" s="59"/>
      <c r="OWW2493" s="59"/>
      <c r="OWX2493" s="60"/>
      <c r="OWY2493" s="60"/>
      <c r="OWZ2493" s="60"/>
      <c r="OXA2493" s="59"/>
      <c r="OXB2493" s="61"/>
      <c r="OXC2493" s="59"/>
      <c r="OXD2493" s="59"/>
      <c r="OXE2493" s="59"/>
      <c r="OXF2493" s="60"/>
      <c r="OXG2493" s="60"/>
      <c r="OXH2493" s="60"/>
      <c r="OXI2493" s="59"/>
      <c r="OXJ2493" s="61"/>
      <c r="OXK2493" s="59"/>
      <c r="OXL2493" s="59"/>
      <c r="OXM2493" s="59"/>
      <c r="OXN2493" s="60"/>
      <c r="OXO2493" s="60"/>
      <c r="OXP2493" s="60"/>
      <c r="OXQ2493" s="59"/>
      <c r="OXR2493" s="61"/>
      <c r="OXS2493" s="59"/>
      <c r="OXT2493" s="59"/>
      <c r="OXU2493" s="59"/>
      <c r="OXV2493" s="60"/>
      <c r="OXW2493" s="60"/>
      <c r="OXX2493" s="60"/>
      <c r="OXY2493" s="59"/>
      <c r="OXZ2493" s="61"/>
      <c r="OYA2493" s="59"/>
      <c r="OYB2493" s="59"/>
      <c r="OYC2493" s="59"/>
      <c r="OYD2493" s="60"/>
      <c r="OYE2493" s="60"/>
      <c r="OYF2493" s="60"/>
      <c r="OYG2493" s="59"/>
      <c r="OYH2493" s="61"/>
      <c r="OYI2493" s="59"/>
      <c r="OYJ2493" s="59"/>
      <c r="OYK2493" s="59"/>
      <c r="OYL2493" s="60"/>
      <c r="OYM2493" s="60"/>
      <c r="OYN2493" s="60"/>
      <c r="OYO2493" s="59"/>
      <c r="OYP2493" s="61"/>
      <c r="OYQ2493" s="59"/>
      <c r="OYR2493" s="59"/>
      <c r="OYS2493" s="59"/>
      <c r="OYT2493" s="60"/>
      <c r="OYU2493" s="60"/>
      <c r="OYV2493" s="60"/>
      <c r="OYW2493" s="59"/>
      <c r="OYX2493" s="61"/>
      <c r="OYY2493" s="59"/>
      <c r="OYZ2493" s="59"/>
      <c r="OZA2493" s="59"/>
      <c r="OZB2493" s="60"/>
      <c r="OZC2493" s="60"/>
      <c r="OZD2493" s="60"/>
      <c r="OZE2493" s="59"/>
      <c r="OZF2493" s="61"/>
      <c r="OZG2493" s="59"/>
      <c r="OZH2493" s="59"/>
      <c r="OZI2493" s="59"/>
      <c r="OZJ2493" s="60"/>
      <c r="OZK2493" s="60"/>
      <c r="OZL2493" s="60"/>
      <c r="OZM2493" s="59"/>
      <c r="OZN2493" s="61"/>
      <c r="OZO2493" s="59"/>
      <c r="OZP2493" s="59"/>
      <c r="OZQ2493" s="59"/>
      <c r="OZR2493" s="60"/>
      <c r="OZS2493" s="60"/>
      <c r="OZT2493" s="60"/>
      <c r="OZU2493" s="59"/>
      <c r="OZV2493" s="61"/>
      <c r="OZW2493" s="59"/>
      <c r="OZX2493" s="59"/>
      <c r="OZY2493" s="59"/>
      <c r="OZZ2493" s="60"/>
      <c r="PAA2493" s="60"/>
      <c r="PAB2493" s="60"/>
      <c r="PAC2493" s="59"/>
      <c r="PAD2493" s="61"/>
      <c r="PAE2493" s="59"/>
      <c r="PAF2493" s="59"/>
      <c r="PAG2493" s="59"/>
      <c r="PAH2493" s="60"/>
      <c r="PAI2493" s="60"/>
      <c r="PAJ2493" s="60"/>
      <c r="PAK2493" s="59"/>
      <c r="PAL2493" s="61"/>
      <c r="PAM2493" s="59"/>
      <c r="PAN2493" s="59"/>
      <c r="PAO2493" s="59"/>
      <c r="PAP2493" s="60"/>
      <c r="PAQ2493" s="60"/>
      <c r="PAR2493" s="60"/>
      <c r="PAS2493" s="59"/>
      <c r="PAT2493" s="61"/>
      <c r="PAU2493" s="59"/>
      <c r="PAV2493" s="59"/>
      <c r="PAW2493" s="59"/>
      <c r="PAX2493" s="60"/>
      <c r="PAY2493" s="60"/>
      <c r="PAZ2493" s="60"/>
      <c r="PBA2493" s="59"/>
      <c r="PBB2493" s="61"/>
      <c r="PBC2493" s="59"/>
      <c r="PBD2493" s="59"/>
      <c r="PBE2493" s="59"/>
      <c r="PBF2493" s="60"/>
      <c r="PBG2493" s="60"/>
      <c r="PBH2493" s="60"/>
      <c r="PBI2493" s="59"/>
      <c r="PBJ2493" s="61"/>
      <c r="PBK2493" s="59"/>
      <c r="PBL2493" s="59"/>
      <c r="PBM2493" s="59"/>
      <c r="PBN2493" s="60"/>
      <c r="PBO2493" s="60"/>
      <c r="PBP2493" s="60"/>
      <c r="PBQ2493" s="59"/>
      <c r="PBR2493" s="61"/>
      <c r="PBS2493" s="59"/>
      <c r="PBT2493" s="59"/>
      <c r="PBU2493" s="59"/>
      <c r="PBV2493" s="60"/>
      <c r="PBW2493" s="60"/>
      <c r="PBX2493" s="60"/>
      <c r="PBY2493" s="59"/>
      <c r="PBZ2493" s="61"/>
      <c r="PCA2493" s="59"/>
      <c r="PCB2493" s="59"/>
      <c r="PCC2493" s="59"/>
      <c r="PCD2493" s="60"/>
      <c r="PCE2493" s="60"/>
      <c r="PCF2493" s="60"/>
      <c r="PCG2493" s="59"/>
      <c r="PCH2493" s="61"/>
      <c r="PCI2493" s="59"/>
      <c r="PCJ2493" s="59"/>
      <c r="PCK2493" s="59"/>
      <c r="PCL2493" s="60"/>
      <c r="PCM2493" s="60"/>
      <c r="PCN2493" s="60"/>
      <c r="PCO2493" s="59"/>
      <c r="PCP2493" s="61"/>
      <c r="PCQ2493" s="59"/>
      <c r="PCR2493" s="59"/>
      <c r="PCS2493" s="59"/>
      <c r="PCT2493" s="60"/>
      <c r="PCU2493" s="60"/>
      <c r="PCV2493" s="60"/>
      <c r="PCW2493" s="59"/>
      <c r="PCX2493" s="61"/>
      <c r="PCY2493" s="59"/>
      <c r="PCZ2493" s="59"/>
      <c r="PDA2493" s="59"/>
      <c r="PDB2493" s="60"/>
      <c r="PDC2493" s="60"/>
      <c r="PDD2493" s="60"/>
      <c r="PDE2493" s="59"/>
      <c r="PDF2493" s="61"/>
      <c r="PDG2493" s="59"/>
      <c r="PDH2493" s="59"/>
      <c r="PDI2493" s="59"/>
      <c r="PDJ2493" s="60"/>
      <c r="PDK2493" s="60"/>
      <c r="PDL2493" s="60"/>
      <c r="PDM2493" s="59"/>
      <c r="PDN2493" s="61"/>
      <c r="PDO2493" s="59"/>
      <c r="PDP2493" s="59"/>
      <c r="PDQ2493" s="59"/>
      <c r="PDR2493" s="60"/>
      <c r="PDS2493" s="60"/>
      <c r="PDT2493" s="60"/>
      <c r="PDU2493" s="59"/>
      <c r="PDV2493" s="61"/>
      <c r="PDW2493" s="59"/>
      <c r="PDX2493" s="59"/>
      <c r="PDY2493" s="59"/>
      <c r="PDZ2493" s="60"/>
      <c r="PEA2493" s="60"/>
      <c r="PEB2493" s="60"/>
      <c r="PEC2493" s="59"/>
      <c r="PED2493" s="61"/>
      <c r="PEE2493" s="59"/>
      <c r="PEF2493" s="59"/>
      <c r="PEG2493" s="59"/>
      <c r="PEH2493" s="60"/>
      <c r="PEI2493" s="60"/>
      <c r="PEJ2493" s="60"/>
      <c r="PEK2493" s="59"/>
      <c r="PEL2493" s="61"/>
      <c r="PEM2493" s="59"/>
      <c r="PEN2493" s="59"/>
      <c r="PEO2493" s="59"/>
      <c r="PEP2493" s="60"/>
      <c r="PEQ2493" s="60"/>
      <c r="PER2493" s="60"/>
      <c r="PES2493" s="59"/>
      <c r="PET2493" s="61"/>
      <c r="PEU2493" s="59"/>
      <c r="PEV2493" s="59"/>
      <c r="PEW2493" s="59"/>
      <c r="PEX2493" s="60"/>
      <c r="PEY2493" s="60"/>
      <c r="PEZ2493" s="60"/>
      <c r="PFA2493" s="59"/>
      <c r="PFB2493" s="61"/>
      <c r="PFC2493" s="59"/>
      <c r="PFD2493" s="59"/>
      <c r="PFE2493" s="59"/>
      <c r="PFF2493" s="60"/>
      <c r="PFG2493" s="60"/>
      <c r="PFH2493" s="60"/>
      <c r="PFI2493" s="59"/>
      <c r="PFJ2493" s="61"/>
      <c r="PFK2493" s="59"/>
      <c r="PFL2493" s="59"/>
      <c r="PFM2493" s="59"/>
      <c r="PFN2493" s="60"/>
      <c r="PFO2493" s="60"/>
      <c r="PFP2493" s="60"/>
      <c r="PFQ2493" s="59"/>
      <c r="PFR2493" s="61"/>
      <c r="PFS2493" s="59"/>
      <c r="PFT2493" s="59"/>
      <c r="PFU2493" s="59"/>
      <c r="PFV2493" s="60"/>
      <c r="PFW2493" s="60"/>
      <c r="PFX2493" s="60"/>
      <c r="PFY2493" s="59"/>
      <c r="PFZ2493" s="61"/>
      <c r="PGA2493" s="59"/>
      <c r="PGB2493" s="59"/>
      <c r="PGC2493" s="59"/>
      <c r="PGD2493" s="60"/>
      <c r="PGE2493" s="60"/>
      <c r="PGF2493" s="60"/>
      <c r="PGG2493" s="59"/>
      <c r="PGH2493" s="61"/>
      <c r="PGI2493" s="59"/>
      <c r="PGJ2493" s="59"/>
      <c r="PGK2493" s="59"/>
      <c r="PGL2493" s="60"/>
      <c r="PGM2493" s="60"/>
      <c r="PGN2493" s="60"/>
      <c r="PGO2493" s="59"/>
      <c r="PGP2493" s="61"/>
      <c r="PGQ2493" s="59"/>
      <c r="PGR2493" s="59"/>
      <c r="PGS2493" s="59"/>
      <c r="PGT2493" s="60"/>
      <c r="PGU2493" s="60"/>
      <c r="PGV2493" s="60"/>
      <c r="PGW2493" s="59"/>
      <c r="PGX2493" s="61"/>
      <c r="PGY2493" s="59"/>
      <c r="PGZ2493" s="59"/>
      <c r="PHA2493" s="59"/>
      <c r="PHB2493" s="60"/>
      <c r="PHC2493" s="60"/>
      <c r="PHD2493" s="60"/>
      <c r="PHE2493" s="59"/>
      <c r="PHF2493" s="61"/>
      <c r="PHG2493" s="59"/>
      <c r="PHH2493" s="59"/>
      <c r="PHI2493" s="59"/>
      <c r="PHJ2493" s="60"/>
      <c r="PHK2493" s="60"/>
      <c r="PHL2493" s="60"/>
      <c r="PHM2493" s="59"/>
      <c r="PHN2493" s="61"/>
      <c r="PHO2493" s="59"/>
      <c r="PHP2493" s="59"/>
      <c r="PHQ2493" s="59"/>
      <c r="PHR2493" s="60"/>
      <c r="PHS2493" s="60"/>
      <c r="PHT2493" s="60"/>
      <c r="PHU2493" s="59"/>
      <c r="PHV2493" s="61"/>
      <c r="PHW2493" s="59"/>
      <c r="PHX2493" s="59"/>
      <c r="PHY2493" s="59"/>
      <c r="PHZ2493" s="60"/>
      <c r="PIA2493" s="60"/>
      <c r="PIB2493" s="60"/>
      <c r="PIC2493" s="59"/>
      <c r="PID2493" s="61"/>
      <c r="PIE2493" s="59"/>
      <c r="PIF2493" s="59"/>
      <c r="PIG2493" s="59"/>
      <c r="PIH2493" s="60"/>
      <c r="PII2493" s="60"/>
      <c r="PIJ2493" s="60"/>
      <c r="PIK2493" s="59"/>
      <c r="PIL2493" s="61"/>
      <c r="PIM2493" s="59"/>
      <c r="PIN2493" s="59"/>
      <c r="PIO2493" s="59"/>
      <c r="PIP2493" s="60"/>
      <c r="PIQ2493" s="60"/>
      <c r="PIR2493" s="60"/>
      <c r="PIS2493" s="59"/>
      <c r="PIT2493" s="61"/>
      <c r="PIU2493" s="59"/>
      <c r="PIV2493" s="59"/>
      <c r="PIW2493" s="59"/>
      <c r="PIX2493" s="60"/>
      <c r="PIY2493" s="60"/>
      <c r="PIZ2493" s="60"/>
      <c r="PJA2493" s="59"/>
      <c r="PJB2493" s="61"/>
      <c r="PJC2493" s="59"/>
      <c r="PJD2493" s="59"/>
      <c r="PJE2493" s="59"/>
      <c r="PJF2493" s="60"/>
      <c r="PJG2493" s="60"/>
      <c r="PJH2493" s="60"/>
      <c r="PJI2493" s="59"/>
      <c r="PJJ2493" s="61"/>
      <c r="PJK2493" s="59"/>
      <c r="PJL2493" s="59"/>
      <c r="PJM2493" s="59"/>
      <c r="PJN2493" s="60"/>
      <c r="PJO2493" s="60"/>
      <c r="PJP2493" s="60"/>
      <c r="PJQ2493" s="59"/>
      <c r="PJR2493" s="61"/>
      <c r="PJS2493" s="59"/>
      <c r="PJT2493" s="59"/>
      <c r="PJU2493" s="59"/>
      <c r="PJV2493" s="60"/>
      <c r="PJW2493" s="60"/>
      <c r="PJX2493" s="60"/>
      <c r="PJY2493" s="59"/>
      <c r="PJZ2493" s="61"/>
      <c r="PKA2493" s="59"/>
      <c r="PKB2493" s="59"/>
      <c r="PKC2493" s="59"/>
      <c r="PKD2493" s="60"/>
      <c r="PKE2493" s="60"/>
      <c r="PKF2493" s="60"/>
      <c r="PKG2493" s="59"/>
      <c r="PKH2493" s="61"/>
      <c r="PKI2493" s="59"/>
      <c r="PKJ2493" s="59"/>
      <c r="PKK2493" s="59"/>
      <c r="PKL2493" s="60"/>
      <c r="PKM2493" s="60"/>
      <c r="PKN2493" s="60"/>
      <c r="PKO2493" s="59"/>
      <c r="PKP2493" s="61"/>
      <c r="PKQ2493" s="59"/>
      <c r="PKR2493" s="59"/>
      <c r="PKS2493" s="59"/>
      <c r="PKT2493" s="60"/>
      <c r="PKU2493" s="60"/>
      <c r="PKV2493" s="60"/>
      <c r="PKW2493" s="59"/>
      <c r="PKX2493" s="61"/>
      <c r="PKY2493" s="59"/>
      <c r="PKZ2493" s="59"/>
      <c r="PLA2493" s="59"/>
      <c r="PLB2493" s="60"/>
      <c r="PLC2493" s="60"/>
      <c r="PLD2493" s="60"/>
      <c r="PLE2493" s="59"/>
      <c r="PLF2493" s="61"/>
      <c r="PLG2493" s="59"/>
      <c r="PLH2493" s="59"/>
      <c r="PLI2493" s="59"/>
      <c r="PLJ2493" s="60"/>
      <c r="PLK2493" s="60"/>
      <c r="PLL2493" s="60"/>
      <c r="PLM2493" s="59"/>
      <c r="PLN2493" s="61"/>
      <c r="PLO2493" s="59"/>
      <c r="PLP2493" s="59"/>
      <c r="PLQ2493" s="59"/>
      <c r="PLR2493" s="60"/>
      <c r="PLS2493" s="60"/>
      <c r="PLT2493" s="60"/>
      <c r="PLU2493" s="59"/>
      <c r="PLV2493" s="61"/>
      <c r="PLW2493" s="59"/>
      <c r="PLX2493" s="59"/>
      <c r="PLY2493" s="59"/>
      <c r="PLZ2493" s="60"/>
      <c r="PMA2493" s="60"/>
      <c r="PMB2493" s="60"/>
      <c r="PMC2493" s="59"/>
      <c r="PMD2493" s="61"/>
      <c r="PME2493" s="59"/>
      <c r="PMF2493" s="59"/>
      <c r="PMG2493" s="59"/>
      <c r="PMH2493" s="60"/>
      <c r="PMI2493" s="60"/>
      <c r="PMJ2493" s="60"/>
      <c r="PMK2493" s="59"/>
      <c r="PML2493" s="61"/>
      <c r="PMM2493" s="59"/>
      <c r="PMN2493" s="59"/>
      <c r="PMO2493" s="59"/>
      <c r="PMP2493" s="60"/>
      <c r="PMQ2493" s="60"/>
      <c r="PMR2493" s="60"/>
      <c r="PMS2493" s="59"/>
      <c r="PMT2493" s="61"/>
      <c r="PMU2493" s="59"/>
      <c r="PMV2493" s="59"/>
      <c r="PMW2493" s="59"/>
      <c r="PMX2493" s="60"/>
      <c r="PMY2493" s="60"/>
      <c r="PMZ2493" s="60"/>
      <c r="PNA2493" s="59"/>
      <c r="PNB2493" s="61"/>
      <c r="PNC2493" s="59"/>
      <c r="PND2493" s="59"/>
      <c r="PNE2493" s="59"/>
      <c r="PNF2493" s="60"/>
      <c r="PNG2493" s="60"/>
      <c r="PNH2493" s="60"/>
      <c r="PNI2493" s="59"/>
      <c r="PNJ2493" s="61"/>
      <c r="PNK2493" s="59"/>
      <c r="PNL2493" s="59"/>
      <c r="PNM2493" s="59"/>
      <c r="PNN2493" s="60"/>
      <c r="PNO2493" s="60"/>
      <c r="PNP2493" s="60"/>
      <c r="PNQ2493" s="59"/>
      <c r="PNR2493" s="61"/>
      <c r="PNS2493" s="59"/>
      <c r="PNT2493" s="59"/>
      <c r="PNU2493" s="59"/>
      <c r="PNV2493" s="60"/>
      <c r="PNW2493" s="60"/>
      <c r="PNX2493" s="60"/>
      <c r="PNY2493" s="59"/>
      <c r="PNZ2493" s="61"/>
      <c r="POA2493" s="59"/>
      <c r="POB2493" s="59"/>
      <c r="POC2493" s="59"/>
      <c r="POD2493" s="60"/>
      <c r="POE2493" s="60"/>
      <c r="POF2493" s="60"/>
      <c r="POG2493" s="59"/>
      <c r="POH2493" s="61"/>
      <c r="POI2493" s="59"/>
      <c r="POJ2493" s="59"/>
      <c r="POK2493" s="59"/>
      <c r="POL2493" s="60"/>
      <c r="POM2493" s="60"/>
      <c r="PON2493" s="60"/>
      <c r="POO2493" s="59"/>
      <c r="POP2493" s="61"/>
      <c r="POQ2493" s="59"/>
      <c r="POR2493" s="59"/>
      <c r="POS2493" s="59"/>
      <c r="POT2493" s="60"/>
      <c r="POU2493" s="60"/>
      <c r="POV2493" s="60"/>
      <c r="POW2493" s="59"/>
      <c r="POX2493" s="61"/>
      <c r="POY2493" s="59"/>
      <c r="POZ2493" s="59"/>
      <c r="PPA2493" s="59"/>
      <c r="PPB2493" s="60"/>
      <c r="PPC2493" s="60"/>
      <c r="PPD2493" s="60"/>
      <c r="PPE2493" s="59"/>
      <c r="PPF2493" s="61"/>
      <c r="PPG2493" s="59"/>
      <c r="PPH2493" s="59"/>
      <c r="PPI2493" s="59"/>
      <c r="PPJ2493" s="60"/>
      <c r="PPK2493" s="60"/>
      <c r="PPL2493" s="60"/>
      <c r="PPM2493" s="59"/>
      <c r="PPN2493" s="61"/>
      <c r="PPO2493" s="59"/>
      <c r="PPP2493" s="59"/>
      <c r="PPQ2493" s="59"/>
      <c r="PPR2493" s="60"/>
      <c r="PPS2493" s="60"/>
      <c r="PPT2493" s="60"/>
      <c r="PPU2493" s="59"/>
      <c r="PPV2493" s="61"/>
      <c r="PPW2493" s="59"/>
      <c r="PPX2493" s="59"/>
      <c r="PPY2493" s="59"/>
      <c r="PPZ2493" s="60"/>
      <c r="PQA2493" s="60"/>
      <c r="PQB2493" s="60"/>
      <c r="PQC2493" s="59"/>
      <c r="PQD2493" s="61"/>
      <c r="PQE2493" s="59"/>
      <c r="PQF2493" s="59"/>
      <c r="PQG2493" s="59"/>
      <c r="PQH2493" s="60"/>
      <c r="PQI2493" s="60"/>
      <c r="PQJ2493" s="60"/>
      <c r="PQK2493" s="59"/>
      <c r="PQL2493" s="61"/>
      <c r="PQM2493" s="59"/>
      <c r="PQN2493" s="59"/>
      <c r="PQO2493" s="59"/>
      <c r="PQP2493" s="60"/>
      <c r="PQQ2493" s="60"/>
      <c r="PQR2493" s="60"/>
      <c r="PQS2493" s="59"/>
      <c r="PQT2493" s="61"/>
      <c r="PQU2493" s="59"/>
      <c r="PQV2493" s="59"/>
      <c r="PQW2493" s="59"/>
      <c r="PQX2493" s="60"/>
      <c r="PQY2493" s="60"/>
      <c r="PQZ2493" s="60"/>
      <c r="PRA2493" s="59"/>
      <c r="PRB2493" s="61"/>
      <c r="PRC2493" s="59"/>
      <c r="PRD2493" s="59"/>
      <c r="PRE2493" s="59"/>
      <c r="PRF2493" s="60"/>
      <c r="PRG2493" s="60"/>
      <c r="PRH2493" s="60"/>
      <c r="PRI2493" s="59"/>
      <c r="PRJ2493" s="61"/>
      <c r="PRK2493" s="59"/>
      <c r="PRL2493" s="59"/>
      <c r="PRM2493" s="59"/>
      <c r="PRN2493" s="60"/>
      <c r="PRO2493" s="60"/>
      <c r="PRP2493" s="60"/>
      <c r="PRQ2493" s="59"/>
      <c r="PRR2493" s="61"/>
      <c r="PRS2493" s="59"/>
      <c r="PRT2493" s="59"/>
      <c r="PRU2493" s="59"/>
      <c r="PRV2493" s="60"/>
      <c r="PRW2493" s="60"/>
      <c r="PRX2493" s="60"/>
      <c r="PRY2493" s="59"/>
      <c r="PRZ2493" s="61"/>
      <c r="PSA2493" s="59"/>
      <c r="PSB2493" s="59"/>
      <c r="PSC2493" s="59"/>
      <c r="PSD2493" s="60"/>
      <c r="PSE2493" s="60"/>
      <c r="PSF2493" s="60"/>
      <c r="PSG2493" s="59"/>
      <c r="PSH2493" s="61"/>
      <c r="PSI2493" s="59"/>
      <c r="PSJ2493" s="59"/>
      <c r="PSK2493" s="59"/>
      <c r="PSL2493" s="60"/>
      <c r="PSM2493" s="60"/>
      <c r="PSN2493" s="60"/>
      <c r="PSO2493" s="59"/>
      <c r="PSP2493" s="61"/>
      <c r="PSQ2493" s="59"/>
      <c r="PSR2493" s="59"/>
      <c r="PSS2493" s="59"/>
      <c r="PST2493" s="60"/>
      <c r="PSU2493" s="60"/>
      <c r="PSV2493" s="60"/>
      <c r="PSW2493" s="59"/>
      <c r="PSX2493" s="61"/>
      <c r="PSY2493" s="59"/>
      <c r="PSZ2493" s="59"/>
      <c r="PTA2493" s="59"/>
      <c r="PTB2493" s="60"/>
      <c r="PTC2493" s="60"/>
      <c r="PTD2493" s="60"/>
      <c r="PTE2493" s="59"/>
      <c r="PTF2493" s="61"/>
      <c r="PTG2493" s="59"/>
      <c r="PTH2493" s="59"/>
      <c r="PTI2493" s="59"/>
      <c r="PTJ2493" s="60"/>
      <c r="PTK2493" s="60"/>
      <c r="PTL2493" s="60"/>
      <c r="PTM2493" s="59"/>
      <c r="PTN2493" s="61"/>
      <c r="PTO2493" s="59"/>
      <c r="PTP2493" s="59"/>
      <c r="PTQ2493" s="59"/>
      <c r="PTR2493" s="60"/>
      <c r="PTS2493" s="60"/>
      <c r="PTT2493" s="60"/>
      <c r="PTU2493" s="59"/>
      <c r="PTV2493" s="61"/>
      <c r="PTW2493" s="59"/>
      <c r="PTX2493" s="59"/>
      <c r="PTY2493" s="59"/>
      <c r="PTZ2493" s="60"/>
      <c r="PUA2493" s="60"/>
      <c r="PUB2493" s="60"/>
      <c r="PUC2493" s="59"/>
      <c r="PUD2493" s="61"/>
      <c r="PUE2493" s="59"/>
      <c r="PUF2493" s="59"/>
      <c r="PUG2493" s="59"/>
      <c r="PUH2493" s="60"/>
      <c r="PUI2493" s="60"/>
      <c r="PUJ2493" s="60"/>
      <c r="PUK2493" s="59"/>
      <c r="PUL2493" s="61"/>
      <c r="PUM2493" s="59"/>
      <c r="PUN2493" s="59"/>
      <c r="PUO2493" s="59"/>
      <c r="PUP2493" s="60"/>
      <c r="PUQ2493" s="60"/>
      <c r="PUR2493" s="60"/>
      <c r="PUS2493" s="59"/>
      <c r="PUT2493" s="61"/>
      <c r="PUU2493" s="59"/>
      <c r="PUV2493" s="59"/>
      <c r="PUW2493" s="59"/>
      <c r="PUX2493" s="60"/>
      <c r="PUY2493" s="60"/>
      <c r="PUZ2493" s="60"/>
      <c r="PVA2493" s="59"/>
      <c r="PVB2493" s="61"/>
      <c r="PVC2493" s="59"/>
      <c r="PVD2493" s="59"/>
      <c r="PVE2493" s="59"/>
      <c r="PVF2493" s="60"/>
      <c r="PVG2493" s="60"/>
      <c r="PVH2493" s="60"/>
      <c r="PVI2493" s="59"/>
      <c r="PVJ2493" s="61"/>
      <c r="PVK2493" s="59"/>
      <c r="PVL2493" s="59"/>
      <c r="PVM2493" s="59"/>
      <c r="PVN2493" s="60"/>
      <c r="PVO2493" s="60"/>
      <c r="PVP2493" s="60"/>
      <c r="PVQ2493" s="59"/>
      <c r="PVR2493" s="61"/>
      <c r="PVS2493" s="59"/>
      <c r="PVT2493" s="59"/>
      <c r="PVU2493" s="59"/>
      <c r="PVV2493" s="60"/>
      <c r="PVW2493" s="60"/>
      <c r="PVX2493" s="60"/>
      <c r="PVY2493" s="59"/>
      <c r="PVZ2493" s="61"/>
      <c r="PWA2493" s="59"/>
      <c r="PWB2493" s="59"/>
      <c r="PWC2493" s="59"/>
      <c r="PWD2493" s="60"/>
      <c r="PWE2493" s="60"/>
      <c r="PWF2493" s="60"/>
      <c r="PWG2493" s="59"/>
      <c r="PWH2493" s="61"/>
      <c r="PWI2493" s="59"/>
      <c r="PWJ2493" s="59"/>
      <c r="PWK2493" s="59"/>
      <c r="PWL2493" s="60"/>
      <c r="PWM2493" s="60"/>
      <c r="PWN2493" s="60"/>
      <c r="PWO2493" s="59"/>
      <c r="PWP2493" s="61"/>
      <c r="PWQ2493" s="59"/>
      <c r="PWR2493" s="59"/>
      <c r="PWS2493" s="59"/>
      <c r="PWT2493" s="60"/>
      <c r="PWU2493" s="60"/>
      <c r="PWV2493" s="60"/>
      <c r="PWW2493" s="59"/>
      <c r="PWX2493" s="61"/>
      <c r="PWY2493" s="59"/>
      <c r="PWZ2493" s="59"/>
      <c r="PXA2493" s="59"/>
      <c r="PXB2493" s="60"/>
      <c r="PXC2493" s="60"/>
      <c r="PXD2493" s="60"/>
      <c r="PXE2493" s="59"/>
      <c r="PXF2493" s="61"/>
      <c r="PXG2493" s="59"/>
      <c r="PXH2493" s="59"/>
      <c r="PXI2493" s="59"/>
      <c r="PXJ2493" s="60"/>
      <c r="PXK2493" s="60"/>
      <c r="PXL2493" s="60"/>
      <c r="PXM2493" s="59"/>
      <c r="PXN2493" s="61"/>
      <c r="PXO2493" s="59"/>
      <c r="PXP2493" s="59"/>
      <c r="PXQ2493" s="59"/>
      <c r="PXR2493" s="60"/>
      <c r="PXS2493" s="60"/>
      <c r="PXT2493" s="60"/>
      <c r="PXU2493" s="59"/>
      <c r="PXV2493" s="61"/>
      <c r="PXW2493" s="59"/>
      <c r="PXX2493" s="59"/>
      <c r="PXY2493" s="59"/>
      <c r="PXZ2493" s="60"/>
      <c r="PYA2493" s="60"/>
      <c r="PYB2493" s="60"/>
      <c r="PYC2493" s="59"/>
      <c r="PYD2493" s="61"/>
      <c r="PYE2493" s="59"/>
      <c r="PYF2493" s="59"/>
      <c r="PYG2493" s="59"/>
      <c r="PYH2493" s="60"/>
      <c r="PYI2493" s="60"/>
      <c r="PYJ2493" s="60"/>
      <c r="PYK2493" s="59"/>
      <c r="PYL2493" s="61"/>
      <c r="PYM2493" s="59"/>
      <c r="PYN2493" s="59"/>
      <c r="PYO2493" s="59"/>
      <c r="PYP2493" s="60"/>
      <c r="PYQ2493" s="60"/>
      <c r="PYR2493" s="60"/>
      <c r="PYS2493" s="59"/>
      <c r="PYT2493" s="61"/>
      <c r="PYU2493" s="59"/>
      <c r="PYV2493" s="59"/>
      <c r="PYW2493" s="59"/>
      <c r="PYX2493" s="60"/>
      <c r="PYY2493" s="60"/>
      <c r="PYZ2493" s="60"/>
      <c r="PZA2493" s="59"/>
      <c r="PZB2493" s="61"/>
      <c r="PZC2493" s="59"/>
      <c r="PZD2493" s="59"/>
      <c r="PZE2493" s="59"/>
      <c r="PZF2493" s="60"/>
      <c r="PZG2493" s="60"/>
      <c r="PZH2493" s="60"/>
      <c r="PZI2493" s="59"/>
      <c r="PZJ2493" s="61"/>
      <c r="PZK2493" s="59"/>
      <c r="PZL2493" s="59"/>
      <c r="PZM2493" s="59"/>
      <c r="PZN2493" s="60"/>
      <c r="PZO2493" s="60"/>
      <c r="PZP2493" s="60"/>
      <c r="PZQ2493" s="59"/>
      <c r="PZR2493" s="61"/>
      <c r="PZS2493" s="59"/>
      <c r="PZT2493" s="59"/>
      <c r="PZU2493" s="59"/>
      <c r="PZV2493" s="60"/>
      <c r="PZW2493" s="60"/>
      <c r="PZX2493" s="60"/>
      <c r="PZY2493" s="59"/>
      <c r="PZZ2493" s="61"/>
      <c r="QAA2493" s="59"/>
      <c r="QAB2493" s="59"/>
      <c r="QAC2493" s="59"/>
      <c r="QAD2493" s="60"/>
      <c r="QAE2493" s="60"/>
      <c r="QAF2493" s="60"/>
      <c r="QAG2493" s="59"/>
      <c r="QAH2493" s="61"/>
      <c r="QAI2493" s="59"/>
      <c r="QAJ2493" s="59"/>
      <c r="QAK2493" s="59"/>
      <c r="QAL2493" s="60"/>
      <c r="QAM2493" s="60"/>
      <c r="QAN2493" s="60"/>
      <c r="QAO2493" s="59"/>
      <c r="QAP2493" s="61"/>
      <c r="QAQ2493" s="59"/>
      <c r="QAR2493" s="59"/>
      <c r="QAS2493" s="59"/>
      <c r="QAT2493" s="60"/>
      <c r="QAU2493" s="60"/>
      <c r="QAV2493" s="60"/>
      <c r="QAW2493" s="59"/>
      <c r="QAX2493" s="61"/>
      <c r="QAY2493" s="59"/>
      <c r="QAZ2493" s="59"/>
      <c r="QBA2493" s="59"/>
      <c r="QBB2493" s="60"/>
      <c r="QBC2493" s="60"/>
      <c r="QBD2493" s="60"/>
      <c r="QBE2493" s="59"/>
      <c r="QBF2493" s="61"/>
      <c r="QBG2493" s="59"/>
      <c r="QBH2493" s="59"/>
      <c r="QBI2493" s="59"/>
      <c r="QBJ2493" s="60"/>
      <c r="QBK2493" s="60"/>
      <c r="QBL2493" s="60"/>
      <c r="QBM2493" s="59"/>
      <c r="QBN2493" s="61"/>
      <c r="QBO2493" s="59"/>
      <c r="QBP2493" s="59"/>
      <c r="QBQ2493" s="59"/>
      <c r="QBR2493" s="60"/>
      <c r="QBS2493" s="60"/>
      <c r="QBT2493" s="60"/>
      <c r="QBU2493" s="59"/>
      <c r="QBV2493" s="61"/>
      <c r="QBW2493" s="59"/>
      <c r="QBX2493" s="59"/>
      <c r="QBY2493" s="59"/>
      <c r="QBZ2493" s="60"/>
      <c r="QCA2493" s="60"/>
      <c r="QCB2493" s="60"/>
      <c r="QCC2493" s="59"/>
      <c r="QCD2493" s="61"/>
      <c r="QCE2493" s="59"/>
      <c r="QCF2493" s="59"/>
      <c r="QCG2493" s="59"/>
      <c r="QCH2493" s="60"/>
      <c r="QCI2493" s="60"/>
      <c r="QCJ2493" s="60"/>
      <c r="QCK2493" s="59"/>
      <c r="QCL2493" s="61"/>
      <c r="QCM2493" s="59"/>
      <c r="QCN2493" s="59"/>
      <c r="QCO2493" s="59"/>
      <c r="QCP2493" s="60"/>
      <c r="QCQ2493" s="60"/>
      <c r="QCR2493" s="60"/>
      <c r="QCS2493" s="59"/>
      <c r="QCT2493" s="61"/>
      <c r="QCU2493" s="59"/>
      <c r="QCV2493" s="59"/>
      <c r="QCW2493" s="59"/>
      <c r="QCX2493" s="60"/>
      <c r="QCY2493" s="60"/>
      <c r="QCZ2493" s="60"/>
      <c r="QDA2493" s="59"/>
      <c r="QDB2493" s="61"/>
      <c r="QDC2493" s="59"/>
      <c r="QDD2493" s="59"/>
      <c r="QDE2493" s="59"/>
      <c r="QDF2493" s="60"/>
      <c r="QDG2493" s="60"/>
      <c r="QDH2493" s="60"/>
      <c r="QDI2493" s="59"/>
      <c r="QDJ2493" s="61"/>
      <c r="QDK2493" s="59"/>
      <c r="QDL2493" s="59"/>
      <c r="QDM2493" s="59"/>
      <c r="QDN2493" s="60"/>
      <c r="QDO2493" s="60"/>
      <c r="QDP2493" s="60"/>
      <c r="QDQ2493" s="59"/>
      <c r="QDR2493" s="61"/>
      <c r="QDS2493" s="59"/>
      <c r="QDT2493" s="59"/>
      <c r="QDU2493" s="59"/>
      <c r="QDV2493" s="60"/>
      <c r="QDW2493" s="60"/>
      <c r="QDX2493" s="60"/>
      <c r="QDY2493" s="59"/>
      <c r="QDZ2493" s="61"/>
      <c r="QEA2493" s="59"/>
      <c r="QEB2493" s="59"/>
      <c r="QEC2493" s="59"/>
      <c r="QED2493" s="60"/>
      <c r="QEE2493" s="60"/>
      <c r="QEF2493" s="60"/>
      <c r="QEG2493" s="59"/>
      <c r="QEH2493" s="61"/>
      <c r="QEI2493" s="59"/>
      <c r="QEJ2493" s="59"/>
      <c r="QEK2493" s="59"/>
      <c r="QEL2493" s="60"/>
      <c r="QEM2493" s="60"/>
      <c r="QEN2493" s="60"/>
      <c r="QEO2493" s="59"/>
      <c r="QEP2493" s="61"/>
      <c r="QEQ2493" s="59"/>
      <c r="QER2493" s="59"/>
      <c r="QES2493" s="59"/>
      <c r="QET2493" s="60"/>
      <c r="QEU2493" s="60"/>
      <c r="QEV2493" s="60"/>
      <c r="QEW2493" s="59"/>
      <c r="QEX2493" s="61"/>
      <c r="QEY2493" s="59"/>
      <c r="QEZ2493" s="59"/>
      <c r="QFA2493" s="59"/>
      <c r="QFB2493" s="60"/>
      <c r="QFC2493" s="60"/>
      <c r="QFD2493" s="60"/>
      <c r="QFE2493" s="59"/>
      <c r="QFF2493" s="61"/>
      <c r="QFG2493" s="59"/>
      <c r="QFH2493" s="59"/>
      <c r="QFI2493" s="59"/>
      <c r="QFJ2493" s="60"/>
      <c r="QFK2493" s="60"/>
      <c r="QFL2493" s="60"/>
      <c r="QFM2493" s="59"/>
      <c r="QFN2493" s="61"/>
      <c r="QFO2493" s="59"/>
      <c r="QFP2493" s="59"/>
      <c r="QFQ2493" s="59"/>
      <c r="QFR2493" s="60"/>
      <c r="QFS2493" s="60"/>
      <c r="QFT2493" s="60"/>
      <c r="QFU2493" s="59"/>
      <c r="QFV2493" s="61"/>
      <c r="QFW2493" s="59"/>
      <c r="QFX2493" s="59"/>
      <c r="QFY2493" s="59"/>
      <c r="QFZ2493" s="60"/>
      <c r="QGA2493" s="60"/>
      <c r="QGB2493" s="60"/>
      <c r="QGC2493" s="59"/>
      <c r="QGD2493" s="61"/>
      <c r="QGE2493" s="59"/>
      <c r="QGF2493" s="59"/>
      <c r="QGG2493" s="59"/>
      <c r="QGH2493" s="60"/>
      <c r="QGI2493" s="60"/>
      <c r="QGJ2493" s="60"/>
      <c r="QGK2493" s="59"/>
      <c r="QGL2493" s="61"/>
      <c r="QGM2493" s="59"/>
      <c r="QGN2493" s="59"/>
      <c r="QGO2493" s="59"/>
      <c r="QGP2493" s="60"/>
      <c r="QGQ2493" s="60"/>
      <c r="QGR2493" s="60"/>
      <c r="QGS2493" s="59"/>
      <c r="QGT2493" s="61"/>
      <c r="QGU2493" s="59"/>
      <c r="QGV2493" s="59"/>
      <c r="QGW2493" s="59"/>
      <c r="QGX2493" s="60"/>
      <c r="QGY2493" s="60"/>
      <c r="QGZ2493" s="60"/>
      <c r="QHA2493" s="59"/>
      <c r="QHB2493" s="61"/>
      <c r="QHC2493" s="59"/>
      <c r="QHD2493" s="59"/>
      <c r="QHE2493" s="59"/>
      <c r="QHF2493" s="60"/>
      <c r="QHG2493" s="60"/>
      <c r="QHH2493" s="60"/>
      <c r="QHI2493" s="59"/>
      <c r="QHJ2493" s="61"/>
      <c r="QHK2493" s="59"/>
      <c r="QHL2493" s="59"/>
      <c r="QHM2493" s="59"/>
      <c r="QHN2493" s="60"/>
      <c r="QHO2493" s="60"/>
      <c r="QHP2493" s="60"/>
      <c r="QHQ2493" s="59"/>
      <c r="QHR2493" s="61"/>
      <c r="QHS2493" s="59"/>
      <c r="QHT2493" s="59"/>
      <c r="QHU2493" s="59"/>
      <c r="QHV2493" s="60"/>
      <c r="QHW2493" s="60"/>
      <c r="QHX2493" s="60"/>
      <c r="QHY2493" s="59"/>
      <c r="QHZ2493" s="61"/>
      <c r="QIA2493" s="59"/>
      <c r="QIB2493" s="59"/>
      <c r="QIC2493" s="59"/>
      <c r="QID2493" s="60"/>
      <c r="QIE2493" s="60"/>
      <c r="QIF2493" s="60"/>
      <c r="QIG2493" s="59"/>
      <c r="QIH2493" s="61"/>
      <c r="QII2493" s="59"/>
      <c r="QIJ2493" s="59"/>
      <c r="QIK2493" s="59"/>
      <c r="QIL2493" s="60"/>
      <c r="QIM2493" s="60"/>
      <c r="QIN2493" s="60"/>
      <c r="QIO2493" s="59"/>
      <c r="QIP2493" s="61"/>
      <c r="QIQ2493" s="59"/>
      <c r="QIR2493" s="59"/>
      <c r="QIS2493" s="59"/>
      <c r="QIT2493" s="60"/>
      <c r="QIU2493" s="60"/>
      <c r="QIV2493" s="60"/>
      <c r="QIW2493" s="59"/>
      <c r="QIX2493" s="61"/>
      <c r="QIY2493" s="59"/>
      <c r="QIZ2493" s="59"/>
      <c r="QJA2493" s="59"/>
      <c r="QJB2493" s="60"/>
      <c r="QJC2493" s="60"/>
      <c r="QJD2493" s="60"/>
      <c r="QJE2493" s="59"/>
      <c r="QJF2493" s="61"/>
      <c r="QJG2493" s="59"/>
      <c r="QJH2493" s="59"/>
      <c r="QJI2493" s="59"/>
      <c r="QJJ2493" s="60"/>
      <c r="QJK2493" s="60"/>
      <c r="QJL2493" s="60"/>
      <c r="QJM2493" s="59"/>
      <c r="QJN2493" s="61"/>
      <c r="QJO2493" s="59"/>
      <c r="QJP2493" s="59"/>
      <c r="QJQ2493" s="59"/>
      <c r="QJR2493" s="60"/>
      <c r="QJS2493" s="60"/>
      <c r="QJT2493" s="60"/>
      <c r="QJU2493" s="59"/>
      <c r="QJV2493" s="61"/>
      <c r="QJW2493" s="59"/>
      <c r="QJX2493" s="59"/>
      <c r="QJY2493" s="59"/>
      <c r="QJZ2493" s="60"/>
      <c r="QKA2493" s="60"/>
      <c r="QKB2493" s="60"/>
      <c r="QKC2493" s="59"/>
      <c r="QKD2493" s="61"/>
      <c r="QKE2493" s="59"/>
      <c r="QKF2493" s="59"/>
      <c r="QKG2493" s="59"/>
      <c r="QKH2493" s="60"/>
      <c r="QKI2493" s="60"/>
      <c r="QKJ2493" s="60"/>
      <c r="QKK2493" s="59"/>
      <c r="QKL2493" s="61"/>
      <c r="QKM2493" s="59"/>
      <c r="QKN2493" s="59"/>
      <c r="QKO2493" s="59"/>
      <c r="QKP2493" s="60"/>
      <c r="QKQ2493" s="60"/>
      <c r="QKR2493" s="60"/>
      <c r="QKS2493" s="59"/>
      <c r="QKT2493" s="61"/>
      <c r="QKU2493" s="59"/>
      <c r="QKV2493" s="59"/>
      <c r="QKW2493" s="59"/>
      <c r="QKX2493" s="60"/>
      <c r="QKY2493" s="60"/>
      <c r="QKZ2493" s="60"/>
      <c r="QLA2493" s="59"/>
      <c r="QLB2493" s="61"/>
      <c r="QLC2493" s="59"/>
      <c r="QLD2493" s="59"/>
      <c r="QLE2493" s="59"/>
      <c r="QLF2493" s="60"/>
      <c r="QLG2493" s="60"/>
      <c r="QLH2493" s="60"/>
      <c r="QLI2493" s="59"/>
      <c r="QLJ2493" s="61"/>
      <c r="QLK2493" s="59"/>
      <c r="QLL2493" s="59"/>
      <c r="QLM2493" s="59"/>
      <c r="QLN2493" s="60"/>
      <c r="QLO2493" s="60"/>
      <c r="QLP2493" s="60"/>
      <c r="QLQ2493" s="59"/>
      <c r="QLR2493" s="61"/>
      <c r="QLS2493" s="59"/>
      <c r="QLT2493" s="59"/>
      <c r="QLU2493" s="59"/>
      <c r="QLV2493" s="60"/>
      <c r="QLW2493" s="60"/>
      <c r="QLX2493" s="60"/>
      <c r="QLY2493" s="59"/>
      <c r="QLZ2493" s="61"/>
      <c r="QMA2493" s="59"/>
      <c r="QMB2493" s="59"/>
      <c r="QMC2493" s="59"/>
      <c r="QMD2493" s="60"/>
      <c r="QME2493" s="60"/>
      <c r="QMF2493" s="60"/>
      <c r="QMG2493" s="59"/>
      <c r="QMH2493" s="61"/>
      <c r="QMI2493" s="59"/>
      <c r="QMJ2493" s="59"/>
      <c r="QMK2493" s="59"/>
      <c r="QML2493" s="60"/>
      <c r="QMM2493" s="60"/>
      <c r="QMN2493" s="60"/>
      <c r="QMO2493" s="59"/>
      <c r="QMP2493" s="61"/>
      <c r="QMQ2493" s="59"/>
      <c r="QMR2493" s="59"/>
      <c r="QMS2493" s="59"/>
      <c r="QMT2493" s="60"/>
      <c r="QMU2493" s="60"/>
      <c r="QMV2493" s="60"/>
      <c r="QMW2493" s="59"/>
      <c r="QMX2493" s="61"/>
      <c r="QMY2493" s="59"/>
      <c r="QMZ2493" s="59"/>
      <c r="QNA2493" s="59"/>
      <c r="QNB2493" s="60"/>
      <c r="QNC2493" s="60"/>
      <c r="QND2493" s="60"/>
      <c r="QNE2493" s="59"/>
      <c r="QNF2493" s="61"/>
      <c r="QNG2493" s="59"/>
      <c r="QNH2493" s="59"/>
      <c r="QNI2493" s="59"/>
      <c r="QNJ2493" s="60"/>
      <c r="QNK2493" s="60"/>
      <c r="QNL2493" s="60"/>
      <c r="QNM2493" s="59"/>
      <c r="QNN2493" s="61"/>
      <c r="QNO2493" s="59"/>
      <c r="QNP2493" s="59"/>
      <c r="QNQ2493" s="59"/>
      <c r="QNR2493" s="60"/>
      <c r="QNS2493" s="60"/>
      <c r="QNT2493" s="60"/>
      <c r="QNU2493" s="59"/>
      <c r="QNV2493" s="61"/>
      <c r="QNW2493" s="59"/>
      <c r="QNX2493" s="59"/>
      <c r="QNY2493" s="59"/>
      <c r="QNZ2493" s="60"/>
      <c r="QOA2493" s="60"/>
      <c r="QOB2493" s="60"/>
      <c r="QOC2493" s="59"/>
      <c r="QOD2493" s="61"/>
      <c r="QOE2493" s="59"/>
      <c r="QOF2493" s="59"/>
      <c r="QOG2493" s="59"/>
      <c r="QOH2493" s="60"/>
      <c r="QOI2493" s="60"/>
      <c r="QOJ2493" s="60"/>
      <c r="QOK2493" s="59"/>
      <c r="QOL2493" s="61"/>
      <c r="QOM2493" s="59"/>
      <c r="QON2493" s="59"/>
      <c r="QOO2493" s="59"/>
      <c r="QOP2493" s="60"/>
      <c r="QOQ2493" s="60"/>
      <c r="QOR2493" s="60"/>
      <c r="QOS2493" s="59"/>
      <c r="QOT2493" s="61"/>
      <c r="QOU2493" s="59"/>
      <c r="QOV2493" s="59"/>
      <c r="QOW2493" s="59"/>
      <c r="QOX2493" s="60"/>
      <c r="QOY2493" s="60"/>
      <c r="QOZ2493" s="60"/>
      <c r="QPA2493" s="59"/>
      <c r="QPB2493" s="61"/>
      <c r="QPC2493" s="59"/>
      <c r="QPD2493" s="59"/>
      <c r="QPE2493" s="59"/>
      <c r="QPF2493" s="60"/>
      <c r="QPG2493" s="60"/>
      <c r="QPH2493" s="60"/>
      <c r="QPI2493" s="59"/>
      <c r="QPJ2493" s="61"/>
      <c r="QPK2493" s="59"/>
      <c r="QPL2493" s="59"/>
      <c r="QPM2493" s="59"/>
      <c r="QPN2493" s="60"/>
      <c r="QPO2493" s="60"/>
      <c r="QPP2493" s="60"/>
      <c r="QPQ2493" s="59"/>
      <c r="QPR2493" s="61"/>
      <c r="QPS2493" s="59"/>
      <c r="QPT2493" s="59"/>
      <c r="QPU2493" s="59"/>
      <c r="QPV2493" s="60"/>
      <c r="QPW2493" s="60"/>
      <c r="QPX2493" s="60"/>
      <c r="QPY2493" s="59"/>
      <c r="QPZ2493" s="61"/>
      <c r="QQA2493" s="59"/>
      <c r="QQB2493" s="59"/>
      <c r="QQC2493" s="59"/>
      <c r="QQD2493" s="60"/>
      <c r="QQE2493" s="60"/>
      <c r="QQF2493" s="60"/>
      <c r="QQG2493" s="59"/>
      <c r="QQH2493" s="61"/>
      <c r="QQI2493" s="59"/>
      <c r="QQJ2493" s="59"/>
      <c r="QQK2493" s="59"/>
      <c r="QQL2493" s="60"/>
      <c r="QQM2493" s="60"/>
      <c r="QQN2493" s="60"/>
      <c r="QQO2493" s="59"/>
      <c r="QQP2493" s="61"/>
      <c r="QQQ2493" s="59"/>
      <c r="QQR2493" s="59"/>
      <c r="QQS2493" s="59"/>
      <c r="QQT2493" s="60"/>
      <c r="QQU2493" s="60"/>
      <c r="QQV2493" s="60"/>
      <c r="QQW2493" s="59"/>
      <c r="QQX2493" s="61"/>
      <c r="QQY2493" s="59"/>
      <c r="QQZ2493" s="59"/>
      <c r="QRA2493" s="59"/>
      <c r="QRB2493" s="60"/>
      <c r="QRC2493" s="60"/>
      <c r="QRD2493" s="60"/>
      <c r="QRE2493" s="59"/>
      <c r="QRF2493" s="61"/>
      <c r="QRG2493" s="59"/>
      <c r="QRH2493" s="59"/>
      <c r="QRI2493" s="59"/>
      <c r="QRJ2493" s="60"/>
      <c r="QRK2493" s="60"/>
      <c r="QRL2493" s="60"/>
      <c r="QRM2493" s="59"/>
      <c r="QRN2493" s="61"/>
      <c r="QRO2493" s="59"/>
      <c r="QRP2493" s="59"/>
      <c r="QRQ2493" s="59"/>
      <c r="QRR2493" s="60"/>
      <c r="QRS2493" s="60"/>
      <c r="QRT2493" s="60"/>
      <c r="QRU2493" s="59"/>
      <c r="QRV2493" s="61"/>
      <c r="QRW2493" s="59"/>
      <c r="QRX2493" s="59"/>
      <c r="QRY2493" s="59"/>
      <c r="QRZ2493" s="60"/>
      <c r="QSA2493" s="60"/>
      <c r="QSB2493" s="60"/>
      <c r="QSC2493" s="59"/>
      <c r="QSD2493" s="61"/>
      <c r="QSE2493" s="59"/>
      <c r="QSF2493" s="59"/>
      <c r="QSG2493" s="59"/>
      <c r="QSH2493" s="60"/>
      <c r="QSI2493" s="60"/>
      <c r="QSJ2493" s="60"/>
      <c r="QSK2493" s="59"/>
      <c r="QSL2493" s="61"/>
      <c r="QSM2493" s="59"/>
      <c r="QSN2493" s="59"/>
      <c r="QSO2493" s="59"/>
      <c r="QSP2493" s="60"/>
      <c r="QSQ2493" s="60"/>
      <c r="QSR2493" s="60"/>
      <c r="QSS2493" s="59"/>
      <c r="QST2493" s="61"/>
      <c r="QSU2493" s="59"/>
      <c r="QSV2493" s="59"/>
      <c r="QSW2493" s="59"/>
      <c r="QSX2493" s="60"/>
      <c r="QSY2493" s="60"/>
      <c r="QSZ2493" s="60"/>
      <c r="QTA2493" s="59"/>
      <c r="QTB2493" s="61"/>
      <c r="QTC2493" s="59"/>
      <c r="QTD2493" s="59"/>
      <c r="QTE2493" s="59"/>
      <c r="QTF2493" s="60"/>
      <c r="QTG2493" s="60"/>
      <c r="QTH2493" s="60"/>
      <c r="QTI2493" s="59"/>
      <c r="QTJ2493" s="61"/>
      <c r="QTK2493" s="59"/>
      <c r="QTL2493" s="59"/>
      <c r="QTM2493" s="59"/>
      <c r="QTN2493" s="60"/>
      <c r="QTO2493" s="60"/>
      <c r="QTP2493" s="60"/>
      <c r="QTQ2493" s="59"/>
      <c r="QTR2493" s="61"/>
      <c r="QTS2493" s="59"/>
      <c r="QTT2493" s="59"/>
      <c r="QTU2493" s="59"/>
      <c r="QTV2493" s="60"/>
      <c r="QTW2493" s="60"/>
      <c r="QTX2493" s="60"/>
      <c r="QTY2493" s="59"/>
      <c r="QTZ2493" s="61"/>
      <c r="QUA2493" s="59"/>
      <c r="QUB2493" s="59"/>
      <c r="QUC2493" s="59"/>
      <c r="QUD2493" s="60"/>
      <c r="QUE2493" s="60"/>
      <c r="QUF2493" s="60"/>
      <c r="QUG2493" s="59"/>
      <c r="QUH2493" s="61"/>
      <c r="QUI2493" s="59"/>
      <c r="QUJ2493" s="59"/>
      <c r="QUK2493" s="59"/>
      <c r="QUL2493" s="60"/>
      <c r="QUM2493" s="60"/>
      <c r="QUN2493" s="60"/>
      <c r="QUO2493" s="59"/>
      <c r="QUP2493" s="61"/>
      <c r="QUQ2493" s="59"/>
      <c r="QUR2493" s="59"/>
      <c r="QUS2493" s="59"/>
      <c r="QUT2493" s="60"/>
      <c r="QUU2493" s="60"/>
      <c r="QUV2493" s="60"/>
      <c r="QUW2493" s="59"/>
      <c r="QUX2493" s="61"/>
      <c r="QUY2493" s="59"/>
      <c r="QUZ2493" s="59"/>
      <c r="QVA2493" s="59"/>
      <c r="QVB2493" s="60"/>
      <c r="QVC2493" s="60"/>
      <c r="QVD2493" s="60"/>
      <c r="QVE2493" s="59"/>
      <c r="QVF2493" s="61"/>
      <c r="QVG2493" s="59"/>
      <c r="QVH2493" s="59"/>
      <c r="QVI2493" s="59"/>
      <c r="QVJ2493" s="60"/>
      <c r="QVK2493" s="60"/>
      <c r="QVL2493" s="60"/>
      <c r="QVM2493" s="59"/>
      <c r="QVN2493" s="61"/>
      <c r="QVO2493" s="59"/>
      <c r="QVP2493" s="59"/>
      <c r="QVQ2493" s="59"/>
      <c r="QVR2493" s="60"/>
      <c r="QVS2493" s="60"/>
      <c r="QVT2493" s="60"/>
      <c r="QVU2493" s="59"/>
      <c r="QVV2493" s="61"/>
      <c r="QVW2493" s="59"/>
      <c r="QVX2493" s="59"/>
      <c r="QVY2493" s="59"/>
      <c r="QVZ2493" s="60"/>
      <c r="QWA2493" s="60"/>
      <c r="QWB2493" s="60"/>
      <c r="QWC2493" s="59"/>
      <c r="QWD2493" s="61"/>
      <c r="QWE2493" s="59"/>
      <c r="QWF2493" s="59"/>
      <c r="QWG2493" s="59"/>
      <c r="QWH2493" s="60"/>
      <c r="QWI2493" s="60"/>
      <c r="QWJ2493" s="60"/>
      <c r="QWK2493" s="59"/>
      <c r="QWL2493" s="61"/>
      <c r="QWM2493" s="59"/>
      <c r="QWN2493" s="59"/>
      <c r="QWO2493" s="59"/>
      <c r="QWP2493" s="60"/>
      <c r="QWQ2493" s="60"/>
      <c r="QWR2493" s="60"/>
      <c r="QWS2493" s="59"/>
      <c r="QWT2493" s="61"/>
      <c r="QWU2493" s="59"/>
      <c r="QWV2493" s="59"/>
      <c r="QWW2493" s="59"/>
      <c r="QWX2493" s="60"/>
      <c r="QWY2493" s="60"/>
      <c r="QWZ2493" s="60"/>
      <c r="QXA2493" s="59"/>
      <c r="QXB2493" s="61"/>
      <c r="QXC2493" s="59"/>
      <c r="QXD2493" s="59"/>
      <c r="QXE2493" s="59"/>
      <c r="QXF2493" s="60"/>
      <c r="QXG2493" s="60"/>
      <c r="QXH2493" s="60"/>
      <c r="QXI2493" s="59"/>
      <c r="QXJ2493" s="61"/>
      <c r="QXK2493" s="59"/>
      <c r="QXL2493" s="59"/>
      <c r="QXM2493" s="59"/>
      <c r="QXN2493" s="60"/>
      <c r="QXO2493" s="60"/>
      <c r="QXP2493" s="60"/>
      <c r="QXQ2493" s="59"/>
      <c r="QXR2493" s="61"/>
      <c r="QXS2493" s="59"/>
      <c r="QXT2493" s="59"/>
      <c r="QXU2493" s="59"/>
      <c r="QXV2493" s="60"/>
      <c r="QXW2493" s="60"/>
      <c r="QXX2493" s="60"/>
      <c r="QXY2493" s="59"/>
      <c r="QXZ2493" s="61"/>
      <c r="QYA2493" s="59"/>
      <c r="QYB2493" s="59"/>
      <c r="QYC2493" s="59"/>
      <c r="QYD2493" s="60"/>
      <c r="QYE2493" s="60"/>
      <c r="QYF2493" s="60"/>
      <c r="QYG2493" s="59"/>
      <c r="QYH2493" s="61"/>
      <c r="QYI2493" s="59"/>
      <c r="QYJ2493" s="59"/>
      <c r="QYK2493" s="59"/>
      <c r="QYL2493" s="60"/>
      <c r="QYM2493" s="60"/>
      <c r="QYN2493" s="60"/>
      <c r="QYO2493" s="59"/>
      <c r="QYP2493" s="61"/>
      <c r="QYQ2493" s="59"/>
      <c r="QYR2493" s="59"/>
      <c r="QYS2493" s="59"/>
      <c r="QYT2493" s="60"/>
      <c r="QYU2493" s="60"/>
      <c r="QYV2493" s="60"/>
      <c r="QYW2493" s="59"/>
      <c r="QYX2493" s="61"/>
      <c r="QYY2493" s="59"/>
      <c r="QYZ2493" s="59"/>
      <c r="QZA2493" s="59"/>
      <c r="QZB2493" s="60"/>
      <c r="QZC2493" s="60"/>
      <c r="QZD2493" s="60"/>
      <c r="QZE2493" s="59"/>
      <c r="QZF2493" s="61"/>
      <c r="QZG2493" s="59"/>
      <c r="QZH2493" s="59"/>
      <c r="QZI2493" s="59"/>
      <c r="QZJ2493" s="60"/>
      <c r="QZK2493" s="60"/>
      <c r="QZL2493" s="60"/>
      <c r="QZM2493" s="59"/>
      <c r="QZN2493" s="61"/>
      <c r="QZO2493" s="59"/>
      <c r="QZP2493" s="59"/>
      <c r="QZQ2493" s="59"/>
      <c r="QZR2493" s="60"/>
      <c r="QZS2493" s="60"/>
      <c r="QZT2493" s="60"/>
      <c r="QZU2493" s="59"/>
      <c r="QZV2493" s="61"/>
      <c r="QZW2493" s="59"/>
      <c r="QZX2493" s="59"/>
      <c r="QZY2493" s="59"/>
      <c r="QZZ2493" s="60"/>
      <c r="RAA2493" s="60"/>
      <c r="RAB2493" s="60"/>
      <c r="RAC2493" s="59"/>
      <c r="RAD2493" s="61"/>
      <c r="RAE2493" s="59"/>
      <c r="RAF2493" s="59"/>
      <c r="RAG2493" s="59"/>
      <c r="RAH2493" s="60"/>
      <c r="RAI2493" s="60"/>
      <c r="RAJ2493" s="60"/>
      <c r="RAK2493" s="59"/>
      <c r="RAL2493" s="61"/>
      <c r="RAM2493" s="59"/>
      <c r="RAN2493" s="59"/>
      <c r="RAO2493" s="59"/>
      <c r="RAP2493" s="60"/>
      <c r="RAQ2493" s="60"/>
      <c r="RAR2493" s="60"/>
      <c r="RAS2493" s="59"/>
      <c r="RAT2493" s="61"/>
      <c r="RAU2493" s="59"/>
      <c r="RAV2493" s="59"/>
      <c r="RAW2493" s="59"/>
      <c r="RAX2493" s="60"/>
      <c r="RAY2493" s="60"/>
      <c r="RAZ2493" s="60"/>
      <c r="RBA2493" s="59"/>
      <c r="RBB2493" s="61"/>
      <c r="RBC2493" s="59"/>
      <c r="RBD2493" s="59"/>
      <c r="RBE2493" s="59"/>
      <c r="RBF2493" s="60"/>
      <c r="RBG2493" s="60"/>
      <c r="RBH2493" s="60"/>
      <c r="RBI2493" s="59"/>
      <c r="RBJ2493" s="61"/>
      <c r="RBK2493" s="59"/>
      <c r="RBL2493" s="59"/>
      <c r="RBM2493" s="59"/>
      <c r="RBN2493" s="60"/>
      <c r="RBO2493" s="60"/>
      <c r="RBP2493" s="60"/>
      <c r="RBQ2493" s="59"/>
      <c r="RBR2493" s="61"/>
      <c r="RBS2493" s="59"/>
      <c r="RBT2493" s="59"/>
      <c r="RBU2493" s="59"/>
      <c r="RBV2493" s="60"/>
      <c r="RBW2493" s="60"/>
      <c r="RBX2493" s="60"/>
      <c r="RBY2493" s="59"/>
      <c r="RBZ2493" s="61"/>
      <c r="RCA2493" s="59"/>
      <c r="RCB2493" s="59"/>
      <c r="RCC2493" s="59"/>
      <c r="RCD2493" s="60"/>
      <c r="RCE2493" s="60"/>
      <c r="RCF2493" s="60"/>
      <c r="RCG2493" s="59"/>
      <c r="RCH2493" s="61"/>
      <c r="RCI2493" s="59"/>
      <c r="RCJ2493" s="59"/>
      <c r="RCK2493" s="59"/>
      <c r="RCL2493" s="60"/>
      <c r="RCM2493" s="60"/>
      <c r="RCN2493" s="60"/>
      <c r="RCO2493" s="59"/>
      <c r="RCP2493" s="61"/>
      <c r="RCQ2493" s="59"/>
      <c r="RCR2493" s="59"/>
      <c r="RCS2493" s="59"/>
      <c r="RCT2493" s="60"/>
      <c r="RCU2493" s="60"/>
      <c r="RCV2493" s="60"/>
      <c r="RCW2493" s="59"/>
      <c r="RCX2493" s="61"/>
      <c r="RCY2493" s="59"/>
      <c r="RCZ2493" s="59"/>
      <c r="RDA2493" s="59"/>
      <c r="RDB2493" s="60"/>
      <c r="RDC2493" s="60"/>
      <c r="RDD2493" s="60"/>
      <c r="RDE2493" s="59"/>
      <c r="RDF2493" s="61"/>
      <c r="RDG2493" s="59"/>
      <c r="RDH2493" s="59"/>
      <c r="RDI2493" s="59"/>
      <c r="RDJ2493" s="60"/>
      <c r="RDK2493" s="60"/>
      <c r="RDL2493" s="60"/>
      <c r="RDM2493" s="59"/>
      <c r="RDN2493" s="61"/>
      <c r="RDO2493" s="59"/>
      <c r="RDP2493" s="59"/>
      <c r="RDQ2493" s="59"/>
      <c r="RDR2493" s="60"/>
      <c r="RDS2493" s="60"/>
      <c r="RDT2493" s="60"/>
      <c r="RDU2493" s="59"/>
      <c r="RDV2493" s="61"/>
      <c r="RDW2493" s="59"/>
      <c r="RDX2493" s="59"/>
      <c r="RDY2493" s="59"/>
      <c r="RDZ2493" s="60"/>
      <c r="REA2493" s="60"/>
      <c r="REB2493" s="60"/>
      <c r="REC2493" s="59"/>
      <c r="RED2493" s="61"/>
      <c r="REE2493" s="59"/>
      <c r="REF2493" s="59"/>
      <c r="REG2493" s="59"/>
      <c r="REH2493" s="60"/>
      <c r="REI2493" s="60"/>
      <c r="REJ2493" s="60"/>
      <c r="REK2493" s="59"/>
      <c r="REL2493" s="61"/>
      <c r="REM2493" s="59"/>
      <c r="REN2493" s="59"/>
      <c r="REO2493" s="59"/>
      <c r="REP2493" s="60"/>
      <c r="REQ2493" s="60"/>
      <c r="RER2493" s="60"/>
      <c r="RES2493" s="59"/>
      <c r="RET2493" s="61"/>
      <c r="REU2493" s="59"/>
      <c r="REV2493" s="59"/>
      <c r="REW2493" s="59"/>
      <c r="REX2493" s="60"/>
      <c r="REY2493" s="60"/>
      <c r="REZ2493" s="60"/>
      <c r="RFA2493" s="59"/>
      <c r="RFB2493" s="61"/>
      <c r="RFC2493" s="59"/>
      <c r="RFD2493" s="59"/>
      <c r="RFE2493" s="59"/>
      <c r="RFF2493" s="60"/>
      <c r="RFG2493" s="60"/>
      <c r="RFH2493" s="60"/>
      <c r="RFI2493" s="59"/>
      <c r="RFJ2493" s="61"/>
      <c r="RFK2493" s="59"/>
      <c r="RFL2493" s="59"/>
      <c r="RFM2493" s="59"/>
      <c r="RFN2493" s="60"/>
      <c r="RFO2493" s="60"/>
      <c r="RFP2493" s="60"/>
      <c r="RFQ2493" s="59"/>
      <c r="RFR2493" s="61"/>
      <c r="RFS2493" s="59"/>
      <c r="RFT2493" s="59"/>
      <c r="RFU2493" s="59"/>
      <c r="RFV2493" s="60"/>
      <c r="RFW2493" s="60"/>
      <c r="RFX2493" s="60"/>
      <c r="RFY2493" s="59"/>
      <c r="RFZ2493" s="61"/>
      <c r="RGA2493" s="59"/>
      <c r="RGB2493" s="59"/>
      <c r="RGC2493" s="59"/>
      <c r="RGD2493" s="60"/>
      <c r="RGE2493" s="60"/>
      <c r="RGF2493" s="60"/>
      <c r="RGG2493" s="59"/>
      <c r="RGH2493" s="61"/>
      <c r="RGI2493" s="59"/>
      <c r="RGJ2493" s="59"/>
      <c r="RGK2493" s="59"/>
      <c r="RGL2493" s="60"/>
      <c r="RGM2493" s="60"/>
      <c r="RGN2493" s="60"/>
      <c r="RGO2493" s="59"/>
      <c r="RGP2493" s="61"/>
      <c r="RGQ2493" s="59"/>
      <c r="RGR2493" s="59"/>
      <c r="RGS2493" s="59"/>
      <c r="RGT2493" s="60"/>
      <c r="RGU2493" s="60"/>
      <c r="RGV2493" s="60"/>
      <c r="RGW2493" s="59"/>
      <c r="RGX2493" s="61"/>
      <c r="RGY2493" s="59"/>
      <c r="RGZ2493" s="59"/>
      <c r="RHA2493" s="59"/>
      <c r="RHB2493" s="60"/>
      <c r="RHC2493" s="60"/>
      <c r="RHD2493" s="60"/>
      <c r="RHE2493" s="59"/>
      <c r="RHF2493" s="61"/>
      <c r="RHG2493" s="59"/>
      <c r="RHH2493" s="59"/>
      <c r="RHI2493" s="59"/>
      <c r="RHJ2493" s="60"/>
      <c r="RHK2493" s="60"/>
      <c r="RHL2493" s="60"/>
      <c r="RHM2493" s="59"/>
      <c r="RHN2493" s="61"/>
      <c r="RHO2493" s="59"/>
      <c r="RHP2493" s="59"/>
      <c r="RHQ2493" s="59"/>
      <c r="RHR2493" s="60"/>
      <c r="RHS2493" s="60"/>
      <c r="RHT2493" s="60"/>
      <c r="RHU2493" s="59"/>
      <c r="RHV2493" s="61"/>
      <c r="RHW2493" s="59"/>
      <c r="RHX2493" s="59"/>
      <c r="RHY2493" s="59"/>
      <c r="RHZ2493" s="60"/>
      <c r="RIA2493" s="60"/>
      <c r="RIB2493" s="60"/>
      <c r="RIC2493" s="59"/>
      <c r="RID2493" s="61"/>
      <c r="RIE2493" s="59"/>
      <c r="RIF2493" s="59"/>
      <c r="RIG2493" s="59"/>
      <c r="RIH2493" s="60"/>
      <c r="RII2493" s="60"/>
      <c r="RIJ2493" s="60"/>
      <c r="RIK2493" s="59"/>
      <c r="RIL2493" s="61"/>
      <c r="RIM2493" s="59"/>
      <c r="RIN2493" s="59"/>
      <c r="RIO2493" s="59"/>
      <c r="RIP2493" s="60"/>
      <c r="RIQ2493" s="60"/>
      <c r="RIR2493" s="60"/>
      <c r="RIS2493" s="59"/>
      <c r="RIT2493" s="61"/>
      <c r="RIU2493" s="59"/>
      <c r="RIV2493" s="59"/>
      <c r="RIW2493" s="59"/>
      <c r="RIX2493" s="60"/>
      <c r="RIY2493" s="60"/>
      <c r="RIZ2493" s="60"/>
      <c r="RJA2493" s="59"/>
      <c r="RJB2493" s="61"/>
      <c r="RJC2493" s="59"/>
      <c r="RJD2493" s="59"/>
      <c r="RJE2493" s="59"/>
      <c r="RJF2493" s="60"/>
      <c r="RJG2493" s="60"/>
      <c r="RJH2493" s="60"/>
      <c r="RJI2493" s="59"/>
      <c r="RJJ2493" s="61"/>
      <c r="RJK2493" s="59"/>
      <c r="RJL2493" s="59"/>
      <c r="RJM2493" s="59"/>
      <c r="RJN2493" s="60"/>
      <c r="RJO2493" s="60"/>
      <c r="RJP2493" s="60"/>
      <c r="RJQ2493" s="59"/>
      <c r="RJR2493" s="61"/>
      <c r="RJS2493" s="59"/>
      <c r="RJT2493" s="59"/>
      <c r="RJU2493" s="59"/>
      <c r="RJV2493" s="60"/>
      <c r="RJW2493" s="60"/>
      <c r="RJX2493" s="60"/>
      <c r="RJY2493" s="59"/>
      <c r="RJZ2493" s="61"/>
      <c r="RKA2493" s="59"/>
      <c r="RKB2493" s="59"/>
      <c r="RKC2493" s="59"/>
      <c r="RKD2493" s="60"/>
      <c r="RKE2493" s="60"/>
      <c r="RKF2493" s="60"/>
      <c r="RKG2493" s="59"/>
      <c r="RKH2493" s="61"/>
      <c r="RKI2493" s="59"/>
      <c r="RKJ2493" s="59"/>
      <c r="RKK2493" s="59"/>
      <c r="RKL2493" s="60"/>
      <c r="RKM2493" s="60"/>
      <c r="RKN2493" s="60"/>
      <c r="RKO2493" s="59"/>
      <c r="RKP2493" s="61"/>
      <c r="RKQ2493" s="59"/>
      <c r="RKR2493" s="59"/>
      <c r="RKS2493" s="59"/>
      <c r="RKT2493" s="60"/>
      <c r="RKU2493" s="60"/>
      <c r="RKV2493" s="60"/>
      <c r="RKW2493" s="59"/>
      <c r="RKX2493" s="61"/>
      <c r="RKY2493" s="59"/>
      <c r="RKZ2493" s="59"/>
      <c r="RLA2493" s="59"/>
      <c r="RLB2493" s="60"/>
      <c r="RLC2493" s="60"/>
      <c r="RLD2493" s="60"/>
      <c r="RLE2493" s="59"/>
      <c r="RLF2493" s="61"/>
      <c r="RLG2493" s="59"/>
      <c r="RLH2493" s="59"/>
      <c r="RLI2493" s="59"/>
      <c r="RLJ2493" s="60"/>
      <c r="RLK2493" s="60"/>
      <c r="RLL2493" s="60"/>
      <c r="RLM2493" s="59"/>
      <c r="RLN2493" s="61"/>
      <c r="RLO2493" s="59"/>
      <c r="RLP2493" s="59"/>
      <c r="RLQ2493" s="59"/>
      <c r="RLR2493" s="60"/>
      <c r="RLS2493" s="60"/>
      <c r="RLT2493" s="60"/>
      <c r="RLU2493" s="59"/>
      <c r="RLV2493" s="61"/>
      <c r="RLW2493" s="59"/>
      <c r="RLX2493" s="59"/>
      <c r="RLY2493" s="59"/>
      <c r="RLZ2493" s="60"/>
      <c r="RMA2493" s="60"/>
      <c r="RMB2493" s="60"/>
      <c r="RMC2493" s="59"/>
      <c r="RMD2493" s="61"/>
      <c r="RME2493" s="59"/>
      <c r="RMF2493" s="59"/>
      <c r="RMG2493" s="59"/>
      <c r="RMH2493" s="60"/>
      <c r="RMI2493" s="60"/>
      <c r="RMJ2493" s="60"/>
      <c r="RMK2493" s="59"/>
      <c r="RML2493" s="61"/>
      <c r="RMM2493" s="59"/>
      <c r="RMN2493" s="59"/>
      <c r="RMO2493" s="59"/>
      <c r="RMP2493" s="60"/>
      <c r="RMQ2493" s="60"/>
      <c r="RMR2493" s="60"/>
      <c r="RMS2493" s="59"/>
      <c r="RMT2493" s="61"/>
      <c r="RMU2493" s="59"/>
      <c r="RMV2493" s="59"/>
      <c r="RMW2493" s="59"/>
      <c r="RMX2493" s="60"/>
      <c r="RMY2493" s="60"/>
      <c r="RMZ2493" s="60"/>
      <c r="RNA2493" s="59"/>
      <c r="RNB2493" s="61"/>
      <c r="RNC2493" s="59"/>
      <c r="RND2493" s="59"/>
      <c r="RNE2493" s="59"/>
      <c r="RNF2493" s="60"/>
      <c r="RNG2493" s="60"/>
      <c r="RNH2493" s="60"/>
      <c r="RNI2493" s="59"/>
      <c r="RNJ2493" s="61"/>
      <c r="RNK2493" s="59"/>
      <c r="RNL2493" s="59"/>
      <c r="RNM2493" s="59"/>
      <c r="RNN2493" s="60"/>
      <c r="RNO2493" s="60"/>
      <c r="RNP2493" s="60"/>
      <c r="RNQ2493" s="59"/>
      <c r="RNR2493" s="61"/>
      <c r="RNS2493" s="59"/>
      <c r="RNT2493" s="59"/>
      <c r="RNU2493" s="59"/>
      <c r="RNV2493" s="60"/>
      <c r="RNW2493" s="60"/>
      <c r="RNX2493" s="60"/>
      <c r="RNY2493" s="59"/>
      <c r="RNZ2493" s="61"/>
      <c r="ROA2493" s="59"/>
      <c r="ROB2493" s="59"/>
      <c r="ROC2493" s="59"/>
      <c r="ROD2493" s="60"/>
      <c r="ROE2493" s="60"/>
      <c r="ROF2493" s="60"/>
      <c r="ROG2493" s="59"/>
      <c r="ROH2493" s="61"/>
      <c r="ROI2493" s="59"/>
      <c r="ROJ2493" s="59"/>
      <c r="ROK2493" s="59"/>
      <c r="ROL2493" s="60"/>
      <c r="ROM2493" s="60"/>
      <c r="RON2493" s="60"/>
      <c r="ROO2493" s="59"/>
      <c r="ROP2493" s="61"/>
      <c r="ROQ2493" s="59"/>
      <c r="ROR2493" s="59"/>
      <c r="ROS2493" s="59"/>
      <c r="ROT2493" s="60"/>
      <c r="ROU2493" s="60"/>
      <c r="ROV2493" s="60"/>
      <c r="ROW2493" s="59"/>
      <c r="ROX2493" s="61"/>
      <c r="ROY2493" s="59"/>
      <c r="ROZ2493" s="59"/>
      <c r="RPA2493" s="59"/>
      <c r="RPB2493" s="60"/>
      <c r="RPC2493" s="60"/>
      <c r="RPD2493" s="60"/>
      <c r="RPE2493" s="59"/>
      <c r="RPF2493" s="61"/>
      <c r="RPG2493" s="59"/>
      <c r="RPH2493" s="59"/>
      <c r="RPI2493" s="59"/>
      <c r="RPJ2493" s="60"/>
      <c r="RPK2493" s="60"/>
      <c r="RPL2493" s="60"/>
      <c r="RPM2493" s="59"/>
      <c r="RPN2493" s="61"/>
      <c r="RPO2493" s="59"/>
      <c r="RPP2493" s="59"/>
      <c r="RPQ2493" s="59"/>
      <c r="RPR2493" s="60"/>
      <c r="RPS2493" s="60"/>
      <c r="RPT2493" s="60"/>
      <c r="RPU2493" s="59"/>
      <c r="RPV2493" s="61"/>
      <c r="RPW2493" s="59"/>
      <c r="RPX2493" s="59"/>
      <c r="RPY2493" s="59"/>
      <c r="RPZ2493" s="60"/>
      <c r="RQA2493" s="60"/>
      <c r="RQB2493" s="60"/>
      <c r="RQC2493" s="59"/>
      <c r="RQD2493" s="61"/>
      <c r="RQE2493" s="59"/>
      <c r="RQF2493" s="59"/>
      <c r="RQG2493" s="59"/>
      <c r="RQH2493" s="60"/>
      <c r="RQI2493" s="60"/>
      <c r="RQJ2493" s="60"/>
      <c r="RQK2493" s="59"/>
      <c r="RQL2493" s="61"/>
      <c r="RQM2493" s="59"/>
      <c r="RQN2493" s="59"/>
      <c r="RQO2493" s="59"/>
      <c r="RQP2493" s="60"/>
      <c r="RQQ2493" s="60"/>
      <c r="RQR2493" s="60"/>
      <c r="RQS2493" s="59"/>
      <c r="RQT2493" s="61"/>
      <c r="RQU2493" s="59"/>
      <c r="RQV2493" s="59"/>
      <c r="RQW2493" s="59"/>
      <c r="RQX2493" s="60"/>
      <c r="RQY2493" s="60"/>
      <c r="RQZ2493" s="60"/>
      <c r="RRA2493" s="59"/>
      <c r="RRB2493" s="61"/>
      <c r="RRC2493" s="59"/>
      <c r="RRD2493" s="59"/>
      <c r="RRE2493" s="59"/>
      <c r="RRF2493" s="60"/>
      <c r="RRG2493" s="60"/>
      <c r="RRH2493" s="60"/>
      <c r="RRI2493" s="59"/>
      <c r="RRJ2493" s="61"/>
      <c r="RRK2493" s="59"/>
      <c r="RRL2493" s="59"/>
      <c r="RRM2493" s="59"/>
      <c r="RRN2493" s="60"/>
      <c r="RRO2493" s="60"/>
      <c r="RRP2493" s="60"/>
      <c r="RRQ2493" s="59"/>
      <c r="RRR2493" s="61"/>
      <c r="RRS2493" s="59"/>
      <c r="RRT2493" s="59"/>
      <c r="RRU2493" s="59"/>
      <c r="RRV2493" s="60"/>
      <c r="RRW2493" s="60"/>
      <c r="RRX2493" s="60"/>
      <c r="RRY2493" s="59"/>
      <c r="RRZ2493" s="61"/>
      <c r="RSA2493" s="59"/>
      <c r="RSB2493" s="59"/>
      <c r="RSC2493" s="59"/>
      <c r="RSD2493" s="60"/>
      <c r="RSE2493" s="60"/>
      <c r="RSF2493" s="60"/>
      <c r="RSG2493" s="59"/>
      <c r="RSH2493" s="61"/>
      <c r="RSI2493" s="59"/>
      <c r="RSJ2493" s="59"/>
      <c r="RSK2493" s="59"/>
      <c r="RSL2493" s="60"/>
      <c r="RSM2493" s="60"/>
      <c r="RSN2493" s="60"/>
      <c r="RSO2493" s="59"/>
      <c r="RSP2493" s="61"/>
      <c r="RSQ2493" s="59"/>
      <c r="RSR2493" s="59"/>
      <c r="RSS2493" s="59"/>
      <c r="RST2493" s="60"/>
      <c r="RSU2493" s="60"/>
      <c r="RSV2493" s="60"/>
      <c r="RSW2493" s="59"/>
      <c r="RSX2493" s="61"/>
      <c r="RSY2493" s="59"/>
      <c r="RSZ2493" s="59"/>
      <c r="RTA2493" s="59"/>
      <c r="RTB2493" s="60"/>
      <c r="RTC2493" s="60"/>
      <c r="RTD2493" s="60"/>
      <c r="RTE2493" s="59"/>
      <c r="RTF2493" s="61"/>
      <c r="RTG2493" s="59"/>
      <c r="RTH2493" s="59"/>
      <c r="RTI2493" s="59"/>
      <c r="RTJ2493" s="60"/>
      <c r="RTK2493" s="60"/>
      <c r="RTL2493" s="60"/>
      <c r="RTM2493" s="59"/>
      <c r="RTN2493" s="61"/>
      <c r="RTO2493" s="59"/>
      <c r="RTP2493" s="59"/>
      <c r="RTQ2493" s="59"/>
      <c r="RTR2493" s="60"/>
      <c r="RTS2493" s="60"/>
      <c r="RTT2493" s="60"/>
      <c r="RTU2493" s="59"/>
      <c r="RTV2493" s="61"/>
      <c r="RTW2493" s="59"/>
      <c r="RTX2493" s="59"/>
      <c r="RTY2493" s="59"/>
      <c r="RTZ2493" s="60"/>
      <c r="RUA2493" s="60"/>
      <c r="RUB2493" s="60"/>
      <c r="RUC2493" s="59"/>
      <c r="RUD2493" s="61"/>
      <c r="RUE2493" s="59"/>
      <c r="RUF2493" s="59"/>
      <c r="RUG2493" s="59"/>
      <c r="RUH2493" s="60"/>
      <c r="RUI2493" s="60"/>
      <c r="RUJ2493" s="60"/>
      <c r="RUK2493" s="59"/>
      <c r="RUL2493" s="61"/>
      <c r="RUM2493" s="59"/>
      <c r="RUN2493" s="59"/>
      <c r="RUO2493" s="59"/>
      <c r="RUP2493" s="60"/>
      <c r="RUQ2493" s="60"/>
      <c r="RUR2493" s="60"/>
      <c r="RUS2493" s="59"/>
      <c r="RUT2493" s="61"/>
      <c r="RUU2493" s="59"/>
      <c r="RUV2493" s="59"/>
      <c r="RUW2493" s="59"/>
      <c r="RUX2493" s="60"/>
      <c r="RUY2493" s="60"/>
      <c r="RUZ2493" s="60"/>
      <c r="RVA2493" s="59"/>
      <c r="RVB2493" s="61"/>
      <c r="RVC2493" s="59"/>
      <c r="RVD2493" s="59"/>
      <c r="RVE2493" s="59"/>
      <c r="RVF2493" s="60"/>
      <c r="RVG2493" s="60"/>
      <c r="RVH2493" s="60"/>
      <c r="RVI2493" s="59"/>
      <c r="RVJ2493" s="61"/>
      <c r="RVK2493" s="59"/>
      <c r="RVL2493" s="59"/>
      <c r="RVM2493" s="59"/>
      <c r="RVN2493" s="60"/>
      <c r="RVO2493" s="60"/>
      <c r="RVP2493" s="60"/>
      <c r="RVQ2493" s="59"/>
      <c r="RVR2493" s="61"/>
      <c r="RVS2493" s="59"/>
      <c r="RVT2493" s="59"/>
      <c r="RVU2493" s="59"/>
      <c r="RVV2493" s="60"/>
      <c r="RVW2493" s="60"/>
      <c r="RVX2493" s="60"/>
      <c r="RVY2493" s="59"/>
      <c r="RVZ2493" s="61"/>
      <c r="RWA2493" s="59"/>
      <c r="RWB2493" s="59"/>
      <c r="RWC2493" s="59"/>
      <c r="RWD2493" s="60"/>
      <c r="RWE2493" s="60"/>
      <c r="RWF2493" s="60"/>
      <c r="RWG2493" s="59"/>
      <c r="RWH2493" s="61"/>
      <c r="RWI2493" s="59"/>
      <c r="RWJ2493" s="59"/>
      <c r="RWK2493" s="59"/>
      <c r="RWL2493" s="60"/>
      <c r="RWM2493" s="60"/>
      <c r="RWN2493" s="60"/>
      <c r="RWO2493" s="59"/>
      <c r="RWP2493" s="61"/>
      <c r="RWQ2493" s="59"/>
      <c r="RWR2493" s="59"/>
      <c r="RWS2493" s="59"/>
      <c r="RWT2493" s="60"/>
      <c r="RWU2493" s="60"/>
      <c r="RWV2493" s="60"/>
      <c r="RWW2493" s="59"/>
      <c r="RWX2493" s="61"/>
      <c r="RWY2493" s="59"/>
      <c r="RWZ2493" s="59"/>
      <c r="RXA2493" s="59"/>
      <c r="RXB2493" s="60"/>
      <c r="RXC2493" s="60"/>
      <c r="RXD2493" s="60"/>
      <c r="RXE2493" s="59"/>
      <c r="RXF2493" s="61"/>
      <c r="RXG2493" s="59"/>
      <c r="RXH2493" s="59"/>
      <c r="RXI2493" s="59"/>
      <c r="RXJ2493" s="60"/>
      <c r="RXK2493" s="60"/>
      <c r="RXL2493" s="60"/>
      <c r="RXM2493" s="59"/>
      <c r="RXN2493" s="61"/>
      <c r="RXO2493" s="59"/>
      <c r="RXP2493" s="59"/>
      <c r="RXQ2493" s="59"/>
      <c r="RXR2493" s="60"/>
      <c r="RXS2493" s="60"/>
      <c r="RXT2493" s="60"/>
      <c r="RXU2493" s="59"/>
      <c r="RXV2493" s="61"/>
      <c r="RXW2493" s="59"/>
      <c r="RXX2493" s="59"/>
      <c r="RXY2493" s="59"/>
      <c r="RXZ2493" s="60"/>
      <c r="RYA2493" s="60"/>
      <c r="RYB2493" s="60"/>
      <c r="RYC2493" s="59"/>
      <c r="RYD2493" s="61"/>
      <c r="RYE2493" s="59"/>
      <c r="RYF2493" s="59"/>
      <c r="RYG2493" s="59"/>
      <c r="RYH2493" s="60"/>
      <c r="RYI2493" s="60"/>
      <c r="RYJ2493" s="60"/>
      <c r="RYK2493" s="59"/>
      <c r="RYL2493" s="61"/>
      <c r="RYM2493" s="59"/>
      <c r="RYN2493" s="59"/>
      <c r="RYO2493" s="59"/>
      <c r="RYP2493" s="60"/>
      <c r="RYQ2493" s="60"/>
      <c r="RYR2493" s="60"/>
      <c r="RYS2493" s="59"/>
      <c r="RYT2493" s="61"/>
      <c r="RYU2493" s="59"/>
      <c r="RYV2493" s="59"/>
      <c r="RYW2493" s="59"/>
      <c r="RYX2493" s="60"/>
      <c r="RYY2493" s="60"/>
      <c r="RYZ2493" s="60"/>
      <c r="RZA2493" s="59"/>
      <c r="RZB2493" s="61"/>
      <c r="RZC2493" s="59"/>
      <c r="RZD2493" s="59"/>
      <c r="RZE2493" s="59"/>
      <c r="RZF2493" s="60"/>
      <c r="RZG2493" s="60"/>
      <c r="RZH2493" s="60"/>
      <c r="RZI2493" s="59"/>
      <c r="RZJ2493" s="61"/>
      <c r="RZK2493" s="59"/>
      <c r="RZL2493" s="59"/>
      <c r="RZM2493" s="59"/>
      <c r="RZN2493" s="60"/>
      <c r="RZO2493" s="60"/>
      <c r="RZP2493" s="60"/>
      <c r="RZQ2493" s="59"/>
      <c r="RZR2493" s="61"/>
      <c r="RZS2493" s="59"/>
      <c r="RZT2493" s="59"/>
      <c r="RZU2493" s="59"/>
      <c r="RZV2493" s="60"/>
      <c r="RZW2493" s="60"/>
      <c r="RZX2493" s="60"/>
      <c r="RZY2493" s="59"/>
      <c r="RZZ2493" s="61"/>
      <c r="SAA2493" s="59"/>
      <c r="SAB2493" s="59"/>
      <c r="SAC2493" s="59"/>
      <c r="SAD2493" s="60"/>
      <c r="SAE2493" s="60"/>
      <c r="SAF2493" s="60"/>
      <c r="SAG2493" s="59"/>
      <c r="SAH2493" s="61"/>
      <c r="SAI2493" s="59"/>
      <c r="SAJ2493" s="59"/>
      <c r="SAK2493" s="59"/>
      <c r="SAL2493" s="60"/>
      <c r="SAM2493" s="60"/>
      <c r="SAN2493" s="60"/>
      <c r="SAO2493" s="59"/>
      <c r="SAP2493" s="61"/>
      <c r="SAQ2493" s="59"/>
      <c r="SAR2493" s="59"/>
      <c r="SAS2493" s="59"/>
      <c r="SAT2493" s="60"/>
      <c r="SAU2493" s="60"/>
      <c r="SAV2493" s="60"/>
      <c r="SAW2493" s="59"/>
      <c r="SAX2493" s="61"/>
      <c r="SAY2493" s="59"/>
      <c r="SAZ2493" s="59"/>
      <c r="SBA2493" s="59"/>
      <c r="SBB2493" s="60"/>
      <c r="SBC2493" s="60"/>
      <c r="SBD2493" s="60"/>
      <c r="SBE2493" s="59"/>
      <c r="SBF2493" s="61"/>
      <c r="SBG2493" s="59"/>
      <c r="SBH2493" s="59"/>
      <c r="SBI2493" s="59"/>
      <c r="SBJ2493" s="60"/>
      <c r="SBK2493" s="60"/>
      <c r="SBL2493" s="60"/>
      <c r="SBM2493" s="59"/>
      <c r="SBN2493" s="61"/>
      <c r="SBO2493" s="59"/>
      <c r="SBP2493" s="59"/>
      <c r="SBQ2493" s="59"/>
      <c r="SBR2493" s="60"/>
      <c r="SBS2493" s="60"/>
      <c r="SBT2493" s="60"/>
      <c r="SBU2493" s="59"/>
      <c r="SBV2493" s="61"/>
      <c r="SBW2493" s="59"/>
      <c r="SBX2493" s="59"/>
      <c r="SBY2493" s="59"/>
      <c r="SBZ2493" s="60"/>
      <c r="SCA2493" s="60"/>
      <c r="SCB2493" s="60"/>
      <c r="SCC2493" s="59"/>
      <c r="SCD2493" s="61"/>
      <c r="SCE2493" s="59"/>
      <c r="SCF2493" s="59"/>
      <c r="SCG2493" s="59"/>
      <c r="SCH2493" s="60"/>
      <c r="SCI2493" s="60"/>
      <c r="SCJ2493" s="60"/>
      <c r="SCK2493" s="59"/>
      <c r="SCL2493" s="61"/>
      <c r="SCM2493" s="59"/>
      <c r="SCN2493" s="59"/>
      <c r="SCO2493" s="59"/>
      <c r="SCP2493" s="60"/>
      <c r="SCQ2493" s="60"/>
      <c r="SCR2493" s="60"/>
      <c r="SCS2493" s="59"/>
      <c r="SCT2493" s="61"/>
      <c r="SCU2493" s="59"/>
      <c r="SCV2493" s="59"/>
      <c r="SCW2493" s="59"/>
      <c r="SCX2493" s="60"/>
      <c r="SCY2493" s="60"/>
      <c r="SCZ2493" s="60"/>
      <c r="SDA2493" s="59"/>
      <c r="SDB2493" s="61"/>
      <c r="SDC2493" s="59"/>
      <c r="SDD2493" s="59"/>
      <c r="SDE2493" s="59"/>
      <c r="SDF2493" s="60"/>
      <c r="SDG2493" s="60"/>
      <c r="SDH2493" s="60"/>
      <c r="SDI2493" s="59"/>
      <c r="SDJ2493" s="61"/>
      <c r="SDK2493" s="59"/>
      <c r="SDL2493" s="59"/>
      <c r="SDM2493" s="59"/>
      <c r="SDN2493" s="60"/>
      <c r="SDO2493" s="60"/>
      <c r="SDP2493" s="60"/>
      <c r="SDQ2493" s="59"/>
      <c r="SDR2493" s="61"/>
      <c r="SDS2493" s="59"/>
      <c r="SDT2493" s="59"/>
      <c r="SDU2493" s="59"/>
      <c r="SDV2493" s="60"/>
      <c r="SDW2493" s="60"/>
      <c r="SDX2493" s="60"/>
      <c r="SDY2493" s="59"/>
      <c r="SDZ2493" s="61"/>
      <c r="SEA2493" s="59"/>
      <c r="SEB2493" s="59"/>
      <c r="SEC2493" s="59"/>
      <c r="SED2493" s="60"/>
      <c r="SEE2493" s="60"/>
      <c r="SEF2493" s="60"/>
      <c r="SEG2493" s="59"/>
      <c r="SEH2493" s="61"/>
      <c r="SEI2493" s="59"/>
      <c r="SEJ2493" s="59"/>
      <c r="SEK2493" s="59"/>
      <c r="SEL2493" s="60"/>
      <c r="SEM2493" s="60"/>
      <c r="SEN2493" s="60"/>
      <c r="SEO2493" s="59"/>
      <c r="SEP2493" s="61"/>
      <c r="SEQ2493" s="59"/>
      <c r="SER2493" s="59"/>
      <c r="SES2493" s="59"/>
      <c r="SET2493" s="60"/>
      <c r="SEU2493" s="60"/>
      <c r="SEV2493" s="60"/>
      <c r="SEW2493" s="59"/>
      <c r="SEX2493" s="61"/>
      <c r="SEY2493" s="59"/>
      <c r="SEZ2493" s="59"/>
      <c r="SFA2493" s="59"/>
      <c r="SFB2493" s="60"/>
      <c r="SFC2493" s="60"/>
      <c r="SFD2493" s="60"/>
      <c r="SFE2493" s="59"/>
      <c r="SFF2493" s="61"/>
      <c r="SFG2493" s="59"/>
      <c r="SFH2493" s="59"/>
      <c r="SFI2493" s="59"/>
      <c r="SFJ2493" s="60"/>
      <c r="SFK2493" s="60"/>
      <c r="SFL2493" s="60"/>
      <c r="SFM2493" s="59"/>
      <c r="SFN2493" s="61"/>
      <c r="SFO2493" s="59"/>
      <c r="SFP2493" s="59"/>
      <c r="SFQ2493" s="59"/>
      <c r="SFR2493" s="60"/>
      <c r="SFS2493" s="60"/>
      <c r="SFT2493" s="60"/>
      <c r="SFU2493" s="59"/>
      <c r="SFV2493" s="61"/>
      <c r="SFW2493" s="59"/>
      <c r="SFX2493" s="59"/>
      <c r="SFY2493" s="59"/>
      <c r="SFZ2493" s="60"/>
      <c r="SGA2493" s="60"/>
      <c r="SGB2493" s="60"/>
      <c r="SGC2493" s="59"/>
      <c r="SGD2493" s="61"/>
      <c r="SGE2493" s="59"/>
      <c r="SGF2493" s="59"/>
      <c r="SGG2493" s="59"/>
      <c r="SGH2493" s="60"/>
      <c r="SGI2493" s="60"/>
      <c r="SGJ2493" s="60"/>
      <c r="SGK2493" s="59"/>
      <c r="SGL2493" s="61"/>
      <c r="SGM2493" s="59"/>
      <c r="SGN2493" s="59"/>
      <c r="SGO2493" s="59"/>
      <c r="SGP2493" s="60"/>
      <c r="SGQ2493" s="60"/>
      <c r="SGR2493" s="60"/>
      <c r="SGS2493" s="59"/>
      <c r="SGT2493" s="61"/>
      <c r="SGU2493" s="59"/>
      <c r="SGV2493" s="59"/>
      <c r="SGW2493" s="59"/>
      <c r="SGX2493" s="60"/>
      <c r="SGY2493" s="60"/>
      <c r="SGZ2493" s="60"/>
      <c r="SHA2493" s="59"/>
      <c r="SHB2493" s="61"/>
      <c r="SHC2493" s="59"/>
      <c r="SHD2493" s="59"/>
      <c r="SHE2493" s="59"/>
      <c r="SHF2493" s="60"/>
      <c r="SHG2493" s="60"/>
      <c r="SHH2493" s="60"/>
      <c r="SHI2493" s="59"/>
      <c r="SHJ2493" s="61"/>
      <c r="SHK2493" s="59"/>
      <c r="SHL2493" s="59"/>
      <c r="SHM2493" s="59"/>
      <c r="SHN2493" s="60"/>
      <c r="SHO2493" s="60"/>
      <c r="SHP2493" s="60"/>
      <c r="SHQ2493" s="59"/>
      <c r="SHR2493" s="61"/>
      <c r="SHS2493" s="59"/>
      <c r="SHT2493" s="59"/>
      <c r="SHU2493" s="59"/>
      <c r="SHV2493" s="60"/>
      <c r="SHW2493" s="60"/>
      <c r="SHX2493" s="60"/>
      <c r="SHY2493" s="59"/>
      <c r="SHZ2493" s="61"/>
      <c r="SIA2493" s="59"/>
      <c r="SIB2493" s="59"/>
      <c r="SIC2493" s="59"/>
      <c r="SID2493" s="60"/>
      <c r="SIE2493" s="60"/>
      <c r="SIF2493" s="60"/>
      <c r="SIG2493" s="59"/>
      <c r="SIH2493" s="61"/>
      <c r="SII2493" s="59"/>
      <c r="SIJ2493" s="59"/>
      <c r="SIK2493" s="59"/>
      <c r="SIL2493" s="60"/>
      <c r="SIM2493" s="60"/>
      <c r="SIN2493" s="60"/>
      <c r="SIO2493" s="59"/>
      <c r="SIP2493" s="61"/>
      <c r="SIQ2493" s="59"/>
      <c r="SIR2493" s="59"/>
      <c r="SIS2493" s="59"/>
      <c r="SIT2493" s="60"/>
      <c r="SIU2493" s="60"/>
      <c r="SIV2493" s="60"/>
      <c r="SIW2493" s="59"/>
      <c r="SIX2493" s="61"/>
      <c r="SIY2493" s="59"/>
      <c r="SIZ2493" s="59"/>
      <c r="SJA2493" s="59"/>
      <c r="SJB2493" s="60"/>
      <c r="SJC2493" s="60"/>
      <c r="SJD2493" s="60"/>
      <c r="SJE2493" s="59"/>
      <c r="SJF2493" s="61"/>
      <c r="SJG2493" s="59"/>
      <c r="SJH2493" s="59"/>
      <c r="SJI2493" s="59"/>
      <c r="SJJ2493" s="60"/>
      <c r="SJK2493" s="60"/>
      <c r="SJL2493" s="60"/>
      <c r="SJM2493" s="59"/>
      <c r="SJN2493" s="61"/>
      <c r="SJO2493" s="59"/>
      <c r="SJP2493" s="59"/>
      <c r="SJQ2493" s="59"/>
      <c r="SJR2493" s="60"/>
      <c r="SJS2493" s="60"/>
      <c r="SJT2493" s="60"/>
      <c r="SJU2493" s="59"/>
      <c r="SJV2493" s="61"/>
      <c r="SJW2493" s="59"/>
      <c r="SJX2493" s="59"/>
      <c r="SJY2493" s="59"/>
      <c r="SJZ2493" s="60"/>
      <c r="SKA2493" s="60"/>
      <c r="SKB2493" s="60"/>
      <c r="SKC2493" s="59"/>
      <c r="SKD2493" s="61"/>
      <c r="SKE2493" s="59"/>
      <c r="SKF2493" s="59"/>
      <c r="SKG2493" s="59"/>
      <c r="SKH2493" s="60"/>
      <c r="SKI2493" s="60"/>
      <c r="SKJ2493" s="60"/>
      <c r="SKK2493" s="59"/>
      <c r="SKL2493" s="61"/>
      <c r="SKM2493" s="59"/>
      <c r="SKN2493" s="59"/>
      <c r="SKO2493" s="59"/>
      <c r="SKP2493" s="60"/>
      <c r="SKQ2493" s="60"/>
      <c r="SKR2493" s="60"/>
      <c r="SKS2493" s="59"/>
      <c r="SKT2493" s="61"/>
      <c r="SKU2493" s="59"/>
      <c r="SKV2493" s="59"/>
      <c r="SKW2493" s="59"/>
      <c r="SKX2493" s="60"/>
      <c r="SKY2493" s="60"/>
      <c r="SKZ2493" s="60"/>
      <c r="SLA2493" s="59"/>
      <c r="SLB2493" s="61"/>
      <c r="SLC2493" s="59"/>
      <c r="SLD2493" s="59"/>
      <c r="SLE2493" s="59"/>
      <c r="SLF2493" s="60"/>
      <c r="SLG2493" s="60"/>
      <c r="SLH2493" s="60"/>
      <c r="SLI2493" s="59"/>
      <c r="SLJ2493" s="61"/>
      <c r="SLK2493" s="59"/>
      <c r="SLL2493" s="59"/>
      <c r="SLM2493" s="59"/>
      <c r="SLN2493" s="60"/>
      <c r="SLO2493" s="60"/>
      <c r="SLP2493" s="60"/>
      <c r="SLQ2493" s="59"/>
      <c r="SLR2493" s="61"/>
      <c r="SLS2493" s="59"/>
      <c r="SLT2493" s="59"/>
      <c r="SLU2493" s="59"/>
      <c r="SLV2493" s="60"/>
      <c r="SLW2493" s="60"/>
      <c r="SLX2493" s="60"/>
      <c r="SLY2493" s="59"/>
      <c r="SLZ2493" s="61"/>
      <c r="SMA2493" s="59"/>
      <c r="SMB2493" s="59"/>
      <c r="SMC2493" s="59"/>
      <c r="SMD2493" s="60"/>
      <c r="SME2493" s="60"/>
      <c r="SMF2493" s="60"/>
      <c r="SMG2493" s="59"/>
      <c r="SMH2493" s="61"/>
      <c r="SMI2493" s="59"/>
      <c r="SMJ2493" s="59"/>
      <c r="SMK2493" s="59"/>
      <c r="SML2493" s="60"/>
      <c r="SMM2493" s="60"/>
      <c r="SMN2493" s="60"/>
      <c r="SMO2493" s="59"/>
      <c r="SMP2493" s="61"/>
      <c r="SMQ2493" s="59"/>
      <c r="SMR2493" s="59"/>
      <c r="SMS2493" s="59"/>
      <c r="SMT2493" s="60"/>
      <c r="SMU2493" s="60"/>
      <c r="SMV2493" s="60"/>
      <c r="SMW2493" s="59"/>
      <c r="SMX2493" s="61"/>
      <c r="SMY2493" s="59"/>
      <c r="SMZ2493" s="59"/>
      <c r="SNA2493" s="59"/>
      <c r="SNB2493" s="60"/>
      <c r="SNC2493" s="60"/>
      <c r="SND2493" s="60"/>
      <c r="SNE2493" s="59"/>
      <c r="SNF2493" s="61"/>
      <c r="SNG2493" s="59"/>
      <c r="SNH2493" s="59"/>
      <c r="SNI2493" s="59"/>
      <c r="SNJ2493" s="60"/>
      <c r="SNK2493" s="60"/>
      <c r="SNL2493" s="60"/>
      <c r="SNM2493" s="59"/>
      <c r="SNN2493" s="61"/>
      <c r="SNO2493" s="59"/>
      <c r="SNP2493" s="59"/>
      <c r="SNQ2493" s="59"/>
      <c r="SNR2493" s="60"/>
      <c r="SNS2493" s="60"/>
      <c r="SNT2493" s="60"/>
      <c r="SNU2493" s="59"/>
      <c r="SNV2493" s="61"/>
      <c r="SNW2493" s="59"/>
      <c r="SNX2493" s="59"/>
      <c r="SNY2493" s="59"/>
      <c r="SNZ2493" s="60"/>
      <c r="SOA2493" s="60"/>
      <c r="SOB2493" s="60"/>
      <c r="SOC2493" s="59"/>
      <c r="SOD2493" s="61"/>
      <c r="SOE2493" s="59"/>
      <c r="SOF2493" s="59"/>
      <c r="SOG2493" s="59"/>
      <c r="SOH2493" s="60"/>
      <c r="SOI2493" s="60"/>
      <c r="SOJ2493" s="60"/>
      <c r="SOK2493" s="59"/>
      <c r="SOL2493" s="61"/>
      <c r="SOM2493" s="59"/>
      <c r="SON2493" s="59"/>
      <c r="SOO2493" s="59"/>
      <c r="SOP2493" s="60"/>
      <c r="SOQ2493" s="60"/>
      <c r="SOR2493" s="60"/>
      <c r="SOS2493" s="59"/>
      <c r="SOT2493" s="61"/>
      <c r="SOU2493" s="59"/>
      <c r="SOV2493" s="59"/>
      <c r="SOW2493" s="59"/>
      <c r="SOX2493" s="60"/>
      <c r="SOY2493" s="60"/>
      <c r="SOZ2493" s="60"/>
      <c r="SPA2493" s="59"/>
      <c r="SPB2493" s="61"/>
      <c r="SPC2493" s="59"/>
      <c r="SPD2493" s="59"/>
      <c r="SPE2493" s="59"/>
      <c r="SPF2493" s="60"/>
      <c r="SPG2493" s="60"/>
      <c r="SPH2493" s="60"/>
      <c r="SPI2493" s="59"/>
      <c r="SPJ2493" s="61"/>
      <c r="SPK2493" s="59"/>
      <c r="SPL2493" s="59"/>
      <c r="SPM2493" s="59"/>
      <c r="SPN2493" s="60"/>
      <c r="SPO2493" s="60"/>
      <c r="SPP2493" s="60"/>
      <c r="SPQ2493" s="59"/>
      <c r="SPR2493" s="61"/>
      <c r="SPS2493" s="59"/>
      <c r="SPT2493" s="59"/>
      <c r="SPU2493" s="59"/>
      <c r="SPV2493" s="60"/>
      <c r="SPW2493" s="60"/>
      <c r="SPX2493" s="60"/>
      <c r="SPY2493" s="59"/>
      <c r="SPZ2493" s="61"/>
      <c r="SQA2493" s="59"/>
      <c r="SQB2493" s="59"/>
      <c r="SQC2493" s="59"/>
      <c r="SQD2493" s="60"/>
      <c r="SQE2493" s="60"/>
      <c r="SQF2493" s="60"/>
      <c r="SQG2493" s="59"/>
      <c r="SQH2493" s="61"/>
      <c r="SQI2493" s="59"/>
      <c r="SQJ2493" s="59"/>
      <c r="SQK2493" s="59"/>
      <c r="SQL2493" s="60"/>
      <c r="SQM2493" s="60"/>
      <c r="SQN2493" s="60"/>
      <c r="SQO2493" s="59"/>
      <c r="SQP2493" s="61"/>
      <c r="SQQ2493" s="59"/>
      <c r="SQR2493" s="59"/>
      <c r="SQS2493" s="59"/>
      <c r="SQT2493" s="60"/>
      <c r="SQU2493" s="60"/>
      <c r="SQV2493" s="60"/>
      <c r="SQW2493" s="59"/>
      <c r="SQX2493" s="61"/>
      <c r="SQY2493" s="59"/>
      <c r="SQZ2493" s="59"/>
      <c r="SRA2493" s="59"/>
      <c r="SRB2493" s="60"/>
      <c r="SRC2493" s="60"/>
      <c r="SRD2493" s="60"/>
      <c r="SRE2493" s="59"/>
      <c r="SRF2493" s="61"/>
      <c r="SRG2493" s="59"/>
      <c r="SRH2493" s="59"/>
      <c r="SRI2493" s="59"/>
      <c r="SRJ2493" s="60"/>
      <c r="SRK2493" s="60"/>
      <c r="SRL2493" s="60"/>
      <c r="SRM2493" s="59"/>
      <c r="SRN2493" s="61"/>
      <c r="SRO2493" s="59"/>
      <c r="SRP2493" s="59"/>
      <c r="SRQ2493" s="59"/>
      <c r="SRR2493" s="60"/>
      <c r="SRS2493" s="60"/>
      <c r="SRT2493" s="60"/>
      <c r="SRU2493" s="59"/>
      <c r="SRV2493" s="61"/>
      <c r="SRW2493" s="59"/>
      <c r="SRX2493" s="59"/>
      <c r="SRY2493" s="59"/>
      <c r="SRZ2493" s="60"/>
      <c r="SSA2493" s="60"/>
      <c r="SSB2493" s="60"/>
      <c r="SSC2493" s="59"/>
      <c r="SSD2493" s="61"/>
      <c r="SSE2493" s="59"/>
      <c r="SSF2493" s="59"/>
      <c r="SSG2493" s="59"/>
      <c r="SSH2493" s="60"/>
      <c r="SSI2493" s="60"/>
      <c r="SSJ2493" s="60"/>
      <c r="SSK2493" s="59"/>
      <c r="SSL2493" s="61"/>
      <c r="SSM2493" s="59"/>
      <c r="SSN2493" s="59"/>
      <c r="SSO2493" s="59"/>
      <c r="SSP2493" s="60"/>
      <c r="SSQ2493" s="60"/>
      <c r="SSR2493" s="60"/>
      <c r="SSS2493" s="59"/>
      <c r="SST2493" s="61"/>
      <c r="SSU2493" s="59"/>
      <c r="SSV2493" s="59"/>
      <c r="SSW2493" s="59"/>
      <c r="SSX2493" s="60"/>
      <c r="SSY2493" s="60"/>
      <c r="SSZ2493" s="60"/>
      <c r="STA2493" s="59"/>
      <c r="STB2493" s="61"/>
      <c r="STC2493" s="59"/>
      <c r="STD2493" s="59"/>
      <c r="STE2493" s="59"/>
      <c r="STF2493" s="60"/>
      <c r="STG2493" s="60"/>
      <c r="STH2493" s="60"/>
      <c r="STI2493" s="59"/>
      <c r="STJ2493" s="61"/>
      <c r="STK2493" s="59"/>
      <c r="STL2493" s="59"/>
      <c r="STM2493" s="59"/>
      <c r="STN2493" s="60"/>
      <c r="STO2493" s="60"/>
      <c r="STP2493" s="60"/>
      <c r="STQ2493" s="59"/>
      <c r="STR2493" s="61"/>
      <c r="STS2493" s="59"/>
      <c r="STT2493" s="59"/>
      <c r="STU2493" s="59"/>
      <c r="STV2493" s="60"/>
      <c r="STW2493" s="60"/>
      <c r="STX2493" s="60"/>
      <c r="STY2493" s="59"/>
      <c r="STZ2493" s="61"/>
      <c r="SUA2493" s="59"/>
      <c r="SUB2493" s="59"/>
      <c r="SUC2493" s="59"/>
      <c r="SUD2493" s="60"/>
      <c r="SUE2493" s="60"/>
      <c r="SUF2493" s="60"/>
      <c r="SUG2493" s="59"/>
      <c r="SUH2493" s="61"/>
      <c r="SUI2493" s="59"/>
      <c r="SUJ2493" s="59"/>
      <c r="SUK2493" s="59"/>
      <c r="SUL2493" s="60"/>
      <c r="SUM2493" s="60"/>
      <c r="SUN2493" s="60"/>
      <c r="SUO2493" s="59"/>
      <c r="SUP2493" s="61"/>
      <c r="SUQ2493" s="59"/>
      <c r="SUR2493" s="59"/>
      <c r="SUS2493" s="59"/>
      <c r="SUT2493" s="60"/>
      <c r="SUU2493" s="60"/>
      <c r="SUV2493" s="60"/>
      <c r="SUW2493" s="59"/>
      <c r="SUX2493" s="61"/>
      <c r="SUY2493" s="59"/>
      <c r="SUZ2493" s="59"/>
      <c r="SVA2493" s="59"/>
      <c r="SVB2493" s="60"/>
      <c r="SVC2493" s="60"/>
      <c r="SVD2493" s="60"/>
      <c r="SVE2493" s="59"/>
      <c r="SVF2493" s="61"/>
      <c r="SVG2493" s="59"/>
      <c r="SVH2493" s="59"/>
      <c r="SVI2493" s="59"/>
      <c r="SVJ2493" s="60"/>
      <c r="SVK2493" s="60"/>
      <c r="SVL2493" s="60"/>
      <c r="SVM2493" s="59"/>
      <c r="SVN2493" s="61"/>
      <c r="SVO2493" s="59"/>
      <c r="SVP2493" s="59"/>
      <c r="SVQ2493" s="59"/>
      <c r="SVR2493" s="60"/>
      <c r="SVS2493" s="60"/>
      <c r="SVT2493" s="60"/>
      <c r="SVU2493" s="59"/>
      <c r="SVV2493" s="61"/>
      <c r="SVW2493" s="59"/>
      <c r="SVX2493" s="59"/>
      <c r="SVY2493" s="59"/>
      <c r="SVZ2493" s="60"/>
      <c r="SWA2493" s="60"/>
      <c r="SWB2493" s="60"/>
      <c r="SWC2493" s="59"/>
      <c r="SWD2493" s="61"/>
      <c r="SWE2493" s="59"/>
      <c r="SWF2493" s="59"/>
      <c r="SWG2493" s="59"/>
      <c r="SWH2493" s="60"/>
      <c r="SWI2493" s="60"/>
      <c r="SWJ2493" s="60"/>
      <c r="SWK2493" s="59"/>
      <c r="SWL2493" s="61"/>
      <c r="SWM2493" s="59"/>
      <c r="SWN2493" s="59"/>
      <c r="SWO2493" s="59"/>
      <c r="SWP2493" s="60"/>
      <c r="SWQ2493" s="60"/>
      <c r="SWR2493" s="60"/>
      <c r="SWS2493" s="59"/>
      <c r="SWT2493" s="61"/>
      <c r="SWU2493" s="59"/>
      <c r="SWV2493" s="59"/>
      <c r="SWW2493" s="59"/>
      <c r="SWX2493" s="60"/>
      <c r="SWY2493" s="60"/>
      <c r="SWZ2493" s="60"/>
      <c r="SXA2493" s="59"/>
      <c r="SXB2493" s="61"/>
      <c r="SXC2493" s="59"/>
      <c r="SXD2493" s="59"/>
      <c r="SXE2493" s="59"/>
      <c r="SXF2493" s="60"/>
      <c r="SXG2493" s="60"/>
      <c r="SXH2493" s="60"/>
      <c r="SXI2493" s="59"/>
      <c r="SXJ2493" s="61"/>
      <c r="SXK2493" s="59"/>
      <c r="SXL2493" s="59"/>
      <c r="SXM2493" s="59"/>
      <c r="SXN2493" s="60"/>
      <c r="SXO2493" s="60"/>
      <c r="SXP2493" s="60"/>
      <c r="SXQ2493" s="59"/>
      <c r="SXR2493" s="61"/>
      <c r="SXS2493" s="59"/>
      <c r="SXT2493" s="59"/>
      <c r="SXU2493" s="59"/>
      <c r="SXV2493" s="60"/>
      <c r="SXW2493" s="60"/>
      <c r="SXX2493" s="60"/>
      <c r="SXY2493" s="59"/>
      <c r="SXZ2493" s="61"/>
      <c r="SYA2493" s="59"/>
      <c r="SYB2493" s="59"/>
      <c r="SYC2493" s="59"/>
      <c r="SYD2493" s="60"/>
      <c r="SYE2493" s="60"/>
      <c r="SYF2493" s="60"/>
      <c r="SYG2493" s="59"/>
      <c r="SYH2493" s="61"/>
      <c r="SYI2493" s="59"/>
      <c r="SYJ2493" s="59"/>
      <c r="SYK2493" s="59"/>
      <c r="SYL2493" s="60"/>
      <c r="SYM2493" s="60"/>
      <c r="SYN2493" s="60"/>
      <c r="SYO2493" s="59"/>
      <c r="SYP2493" s="61"/>
      <c r="SYQ2493" s="59"/>
      <c r="SYR2493" s="59"/>
      <c r="SYS2493" s="59"/>
      <c r="SYT2493" s="60"/>
      <c r="SYU2493" s="60"/>
      <c r="SYV2493" s="60"/>
      <c r="SYW2493" s="59"/>
      <c r="SYX2493" s="61"/>
      <c r="SYY2493" s="59"/>
      <c r="SYZ2493" s="59"/>
      <c r="SZA2493" s="59"/>
      <c r="SZB2493" s="60"/>
      <c r="SZC2493" s="60"/>
      <c r="SZD2493" s="60"/>
      <c r="SZE2493" s="59"/>
      <c r="SZF2493" s="61"/>
      <c r="SZG2493" s="59"/>
      <c r="SZH2493" s="59"/>
      <c r="SZI2493" s="59"/>
      <c r="SZJ2493" s="60"/>
      <c r="SZK2493" s="60"/>
      <c r="SZL2493" s="60"/>
      <c r="SZM2493" s="59"/>
      <c r="SZN2493" s="61"/>
      <c r="SZO2493" s="59"/>
      <c r="SZP2493" s="59"/>
      <c r="SZQ2493" s="59"/>
      <c r="SZR2493" s="60"/>
      <c r="SZS2493" s="60"/>
      <c r="SZT2493" s="60"/>
      <c r="SZU2493" s="59"/>
      <c r="SZV2493" s="61"/>
      <c r="SZW2493" s="59"/>
      <c r="SZX2493" s="59"/>
      <c r="SZY2493" s="59"/>
      <c r="SZZ2493" s="60"/>
      <c r="TAA2493" s="60"/>
      <c r="TAB2493" s="60"/>
      <c r="TAC2493" s="59"/>
      <c r="TAD2493" s="61"/>
      <c r="TAE2493" s="59"/>
      <c r="TAF2493" s="59"/>
      <c r="TAG2493" s="59"/>
      <c r="TAH2493" s="60"/>
      <c r="TAI2493" s="60"/>
      <c r="TAJ2493" s="60"/>
      <c r="TAK2493" s="59"/>
      <c r="TAL2493" s="61"/>
      <c r="TAM2493" s="59"/>
      <c r="TAN2493" s="59"/>
      <c r="TAO2493" s="59"/>
      <c r="TAP2493" s="60"/>
      <c r="TAQ2493" s="60"/>
      <c r="TAR2493" s="60"/>
      <c r="TAS2493" s="59"/>
      <c r="TAT2493" s="61"/>
      <c r="TAU2493" s="59"/>
      <c r="TAV2493" s="59"/>
      <c r="TAW2493" s="59"/>
      <c r="TAX2493" s="60"/>
      <c r="TAY2493" s="60"/>
      <c r="TAZ2493" s="60"/>
      <c r="TBA2493" s="59"/>
      <c r="TBB2493" s="61"/>
      <c r="TBC2493" s="59"/>
      <c r="TBD2493" s="59"/>
      <c r="TBE2493" s="59"/>
      <c r="TBF2493" s="60"/>
      <c r="TBG2493" s="60"/>
      <c r="TBH2493" s="60"/>
      <c r="TBI2493" s="59"/>
      <c r="TBJ2493" s="61"/>
      <c r="TBK2493" s="59"/>
      <c r="TBL2493" s="59"/>
      <c r="TBM2493" s="59"/>
      <c r="TBN2493" s="60"/>
      <c r="TBO2493" s="60"/>
      <c r="TBP2493" s="60"/>
      <c r="TBQ2493" s="59"/>
      <c r="TBR2493" s="61"/>
      <c r="TBS2493" s="59"/>
      <c r="TBT2493" s="59"/>
      <c r="TBU2493" s="59"/>
      <c r="TBV2493" s="60"/>
      <c r="TBW2493" s="60"/>
      <c r="TBX2493" s="60"/>
      <c r="TBY2493" s="59"/>
      <c r="TBZ2493" s="61"/>
      <c r="TCA2493" s="59"/>
      <c r="TCB2493" s="59"/>
      <c r="TCC2493" s="59"/>
      <c r="TCD2493" s="60"/>
      <c r="TCE2493" s="60"/>
      <c r="TCF2493" s="60"/>
      <c r="TCG2493" s="59"/>
      <c r="TCH2493" s="61"/>
      <c r="TCI2493" s="59"/>
      <c r="TCJ2493" s="59"/>
      <c r="TCK2493" s="59"/>
      <c r="TCL2493" s="60"/>
      <c r="TCM2493" s="60"/>
      <c r="TCN2493" s="60"/>
      <c r="TCO2493" s="59"/>
      <c r="TCP2493" s="61"/>
      <c r="TCQ2493" s="59"/>
      <c r="TCR2493" s="59"/>
      <c r="TCS2493" s="59"/>
      <c r="TCT2493" s="60"/>
      <c r="TCU2493" s="60"/>
      <c r="TCV2493" s="60"/>
      <c r="TCW2493" s="59"/>
      <c r="TCX2493" s="61"/>
      <c r="TCY2493" s="59"/>
      <c r="TCZ2493" s="59"/>
      <c r="TDA2493" s="59"/>
      <c r="TDB2493" s="60"/>
      <c r="TDC2493" s="60"/>
      <c r="TDD2493" s="60"/>
      <c r="TDE2493" s="59"/>
      <c r="TDF2493" s="61"/>
      <c r="TDG2493" s="59"/>
      <c r="TDH2493" s="59"/>
      <c r="TDI2493" s="59"/>
      <c r="TDJ2493" s="60"/>
      <c r="TDK2493" s="60"/>
      <c r="TDL2493" s="60"/>
      <c r="TDM2493" s="59"/>
      <c r="TDN2493" s="61"/>
      <c r="TDO2493" s="59"/>
      <c r="TDP2493" s="59"/>
      <c r="TDQ2493" s="59"/>
      <c r="TDR2493" s="60"/>
      <c r="TDS2493" s="60"/>
      <c r="TDT2493" s="60"/>
      <c r="TDU2493" s="59"/>
      <c r="TDV2493" s="61"/>
      <c r="TDW2493" s="59"/>
      <c r="TDX2493" s="59"/>
      <c r="TDY2493" s="59"/>
      <c r="TDZ2493" s="60"/>
      <c r="TEA2493" s="60"/>
      <c r="TEB2493" s="60"/>
      <c r="TEC2493" s="59"/>
      <c r="TED2493" s="61"/>
      <c r="TEE2493" s="59"/>
      <c r="TEF2493" s="59"/>
      <c r="TEG2493" s="59"/>
      <c r="TEH2493" s="60"/>
      <c r="TEI2493" s="60"/>
      <c r="TEJ2493" s="60"/>
      <c r="TEK2493" s="59"/>
      <c r="TEL2493" s="61"/>
      <c r="TEM2493" s="59"/>
      <c r="TEN2493" s="59"/>
      <c r="TEO2493" s="59"/>
      <c r="TEP2493" s="60"/>
      <c r="TEQ2493" s="60"/>
      <c r="TER2493" s="60"/>
      <c r="TES2493" s="59"/>
      <c r="TET2493" s="61"/>
      <c r="TEU2493" s="59"/>
      <c r="TEV2493" s="59"/>
      <c r="TEW2493" s="59"/>
      <c r="TEX2493" s="60"/>
      <c r="TEY2493" s="60"/>
      <c r="TEZ2493" s="60"/>
      <c r="TFA2493" s="59"/>
      <c r="TFB2493" s="61"/>
      <c r="TFC2493" s="59"/>
      <c r="TFD2493" s="59"/>
      <c r="TFE2493" s="59"/>
      <c r="TFF2493" s="60"/>
      <c r="TFG2493" s="60"/>
      <c r="TFH2493" s="60"/>
      <c r="TFI2493" s="59"/>
      <c r="TFJ2493" s="61"/>
      <c r="TFK2493" s="59"/>
      <c r="TFL2493" s="59"/>
      <c r="TFM2493" s="59"/>
      <c r="TFN2493" s="60"/>
      <c r="TFO2493" s="60"/>
      <c r="TFP2493" s="60"/>
      <c r="TFQ2493" s="59"/>
      <c r="TFR2493" s="61"/>
      <c r="TFS2493" s="59"/>
      <c r="TFT2493" s="59"/>
      <c r="TFU2493" s="59"/>
      <c r="TFV2493" s="60"/>
      <c r="TFW2493" s="60"/>
      <c r="TFX2493" s="60"/>
      <c r="TFY2493" s="59"/>
      <c r="TFZ2493" s="61"/>
      <c r="TGA2493" s="59"/>
      <c r="TGB2493" s="59"/>
      <c r="TGC2493" s="59"/>
      <c r="TGD2493" s="60"/>
      <c r="TGE2493" s="60"/>
      <c r="TGF2493" s="60"/>
      <c r="TGG2493" s="59"/>
      <c r="TGH2493" s="61"/>
      <c r="TGI2493" s="59"/>
      <c r="TGJ2493" s="59"/>
      <c r="TGK2493" s="59"/>
      <c r="TGL2493" s="60"/>
      <c r="TGM2493" s="60"/>
      <c r="TGN2493" s="60"/>
      <c r="TGO2493" s="59"/>
      <c r="TGP2493" s="61"/>
      <c r="TGQ2493" s="59"/>
      <c r="TGR2493" s="59"/>
      <c r="TGS2493" s="59"/>
      <c r="TGT2493" s="60"/>
      <c r="TGU2493" s="60"/>
      <c r="TGV2493" s="60"/>
      <c r="TGW2493" s="59"/>
      <c r="TGX2493" s="61"/>
      <c r="TGY2493" s="59"/>
      <c r="TGZ2493" s="59"/>
      <c r="THA2493" s="59"/>
      <c r="THB2493" s="60"/>
      <c r="THC2493" s="60"/>
      <c r="THD2493" s="60"/>
      <c r="THE2493" s="59"/>
      <c r="THF2493" s="61"/>
      <c r="THG2493" s="59"/>
      <c r="THH2493" s="59"/>
      <c r="THI2493" s="59"/>
      <c r="THJ2493" s="60"/>
      <c r="THK2493" s="60"/>
      <c r="THL2493" s="60"/>
      <c r="THM2493" s="59"/>
      <c r="THN2493" s="61"/>
      <c r="THO2493" s="59"/>
      <c r="THP2493" s="59"/>
      <c r="THQ2493" s="59"/>
      <c r="THR2493" s="60"/>
      <c r="THS2493" s="60"/>
      <c r="THT2493" s="60"/>
      <c r="THU2493" s="59"/>
      <c r="THV2493" s="61"/>
      <c r="THW2493" s="59"/>
      <c r="THX2493" s="59"/>
      <c r="THY2493" s="59"/>
      <c r="THZ2493" s="60"/>
      <c r="TIA2493" s="60"/>
      <c r="TIB2493" s="60"/>
      <c r="TIC2493" s="59"/>
      <c r="TID2493" s="61"/>
      <c r="TIE2493" s="59"/>
      <c r="TIF2493" s="59"/>
      <c r="TIG2493" s="59"/>
      <c r="TIH2493" s="60"/>
      <c r="TII2493" s="60"/>
      <c r="TIJ2493" s="60"/>
      <c r="TIK2493" s="59"/>
      <c r="TIL2493" s="61"/>
      <c r="TIM2493" s="59"/>
      <c r="TIN2493" s="59"/>
      <c r="TIO2493" s="59"/>
      <c r="TIP2493" s="60"/>
      <c r="TIQ2493" s="60"/>
      <c r="TIR2493" s="60"/>
      <c r="TIS2493" s="59"/>
      <c r="TIT2493" s="61"/>
      <c r="TIU2493" s="59"/>
      <c r="TIV2493" s="59"/>
      <c r="TIW2493" s="59"/>
      <c r="TIX2493" s="60"/>
      <c r="TIY2493" s="60"/>
      <c r="TIZ2493" s="60"/>
      <c r="TJA2493" s="59"/>
      <c r="TJB2493" s="61"/>
      <c r="TJC2493" s="59"/>
      <c r="TJD2493" s="59"/>
      <c r="TJE2493" s="59"/>
      <c r="TJF2493" s="60"/>
      <c r="TJG2493" s="60"/>
      <c r="TJH2493" s="60"/>
      <c r="TJI2493" s="59"/>
      <c r="TJJ2493" s="61"/>
      <c r="TJK2493" s="59"/>
      <c r="TJL2493" s="59"/>
      <c r="TJM2493" s="59"/>
      <c r="TJN2493" s="60"/>
      <c r="TJO2493" s="60"/>
      <c r="TJP2493" s="60"/>
      <c r="TJQ2493" s="59"/>
      <c r="TJR2493" s="61"/>
      <c r="TJS2493" s="59"/>
      <c r="TJT2493" s="59"/>
      <c r="TJU2493" s="59"/>
      <c r="TJV2493" s="60"/>
      <c r="TJW2493" s="60"/>
      <c r="TJX2493" s="60"/>
      <c r="TJY2493" s="59"/>
      <c r="TJZ2493" s="61"/>
      <c r="TKA2493" s="59"/>
      <c r="TKB2493" s="59"/>
      <c r="TKC2493" s="59"/>
      <c r="TKD2493" s="60"/>
      <c r="TKE2493" s="60"/>
      <c r="TKF2493" s="60"/>
      <c r="TKG2493" s="59"/>
      <c r="TKH2493" s="61"/>
      <c r="TKI2493" s="59"/>
      <c r="TKJ2493" s="59"/>
      <c r="TKK2493" s="59"/>
      <c r="TKL2493" s="60"/>
      <c r="TKM2493" s="60"/>
      <c r="TKN2493" s="60"/>
      <c r="TKO2493" s="59"/>
      <c r="TKP2493" s="61"/>
      <c r="TKQ2493" s="59"/>
      <c r="TKR2493" s="59"/>
      <c r="TKS2493" s="59"/>
      <c r="TKT2493" s="60"/>
      <c r="TKU2493" s="60"/>
      <c r="TKV2493" s="60"/>
      <c r="TKW2493" s="59"/>
      <c r="TKX2493" s="61"/>
      <c r="TKY2493" s="59"/>
      <c r="TKZ2493" s="59"/>
      <c r="TLA2493" s="59"/>
      <c r="TLB2493" s="60"/>
      <c r="TLC2493" s="60"/>
      <c r="TLD2493" s="60"/>
      <c r="TLE2493" s="59"/>
      <c r="TLF2493" s="61"/>
      <c r="TLG2493" s="59"/>
      <c r="TLH2493" s="59"/>
      <c r="TLI2493" s="59"/>
      <c r="TLJ2493" s="60"/>
      <c r="TLK2493" s="60"/>
      <c r="TLL2493" s="60"/>
      <c r="TLM2493" s="59"/>
      <c r="TLN2493" s="61"/>
      <c r="TLO2493" s="59"/>
      <c r="TLP2493" s="59"/>
      <c r="TLQ2493" s="59"/>
      <c r="TLR2493" s="60"/>
      <c r="TLS2493" s="60"/>
      <c r="TLT2493" s="60"/>
      <c r="TLU2493" s="59"/>
      <c r="TLV2493" s="61"/>
      <c r="TLW2493" s="59"/>
      <c r="TLX2493" s="59"/>
      <c r="TLY2493" s="59"/>
      <c r="TLZ2493" s="60"/>
      <c r="TMA2493" s="60"/>
      <c r="TMB2493" s="60"/>
      <c r="TMC2493" s="59"/>
      <c r="TMD2493" s="61"/>
      <c r="TME2493" s="59"/>
      <c r="TMF2493" s="59"/>
      <c r="TMG2493" s="59"/>
      <c r="TMH2493" s="60"/>
      <c r="TMI2493" s="60"/>
      <c r="TMJ2493" s="60"/>
      <c r="TMK2493" s="59"/>
      <c r="TML2493" s="61"/>
      <c r="TMM2493" s="59"/>
      <c r="TMN2493" s="59"/>
      <c r="TMO2493" s="59"/>
      <c r="TMP2493" s="60"/>
      <c r="TMQ2493" s="60"/>
      <c r="TMR2493" s="60"/>
      <c r="TMS2493" s="59"/>
      <c r="TMT2493" s="61"/>
      <c r="TMU2493" s="59"/>
      <c r="TMV2493" s="59"/>
      <c r="TMW2493" s="59"/>
      <c r="TMX2493" s="60"/>
      <c r="TMY2493" s="60"/>
      <c r="TMZ2493" s="60"/>
      <c r="TNA2493" s="59"/>
      <c r="TNB2493" s="61"/>
      <c r="TNC2493" s="59"/>
      <c r="TND2493" s="59"/>
      <c r="TNE2493" s="59"/>
      <c r="TNF2493" s="60"/>
      <c r="TNG2493" s="60"/>
      <c r="TNH2493" s="60"/>
      <c r="TNI2493" s="59"/>
      <c r="TNJ2493" s="61"/>
      <c r="TNK2493" s="59"/>
      <c r="TNL2493" s="59"/>
      <c r="TNM2493" s="59"/>
      <c r="TNN2493" s="60"/>
      <c r="TNO2493" s="60"/>
      <c r="TNP2493" s="60"/>
      <c r="TNQ2493" s="59"/>
      <c r="TNR2493" s="61"/>
      <c r="TNS2493" s="59"/>
      <c r="TNT2493" s="59"/>
      <c r="TNU2493" s="59"/>
      <c r="TNV2493" s="60"/>
      <c r="TNW2493" s="60"/>
      <c r="TNX2493" s="60"/>
      <c r="TNY2493" s="59"/>
      <c r="TNZ2493" s="61"/>
      <c r="TOA2493" s="59"/>
      <c r="TOB2493" s="59"/>
      <c r="TOC2493" s="59"/>
      <c r="TOD2493" s="60"/>
      <c r="TOE2493" s="60"/>
      <c r="TOF2493" s="60"/>
      <c r="TOG2493" s="59"/>
      <c r="TOH2493" s="61"/>
      <c r="TOI2493" s="59"/>
      <c r="TOJ2493" s="59"/>
      <c r="TOK2493" s="59"/>
      <c r="TOL2493" s="60"/>
      <c r="TOM2493" s="60"/>
      <c r="TON2493" s="60"/>
      <c r="TOO2493" s="59"/>
      <c r="TOP2493" s="61"/>
      <c r="TOQ2493" s="59"/>
      <c r="TOR2493" s="59"/>
      <c r="TOS2493" s="59"/>
      <c r="TOT2493" s="60"/>
      <c r="TOU2493" s="60"/>
      <c r="TOV2493" s="60"/>
      <c r="TOW2493" s="59"/>
      <c r="TOX2493" s="61"/>
      <c r="TOY2493" s="59"/>
      <c r="TOZ2493" s="59"/>
      <c r="TPA2493" s="59"/>
      <c r="TPB2493" s="60"/>
      <c r="TPC2493" s="60"/>
      <c r="TPD2493" s="60"/>
      <c r="TPE2493" s="59"/>
      <c r="TPF2493" s="61"/>
      <c r="TPG2493" s="59"/>
      <c r="TPH2493" s="59"/>
      <c r="TPI2493" s="59"/>
      <c r="TPJ2493" s="60"/>
      <c r="TPK2493" s="60"/>
      <c r="TPL2493" s="60"/>
      <c r="TPM2493" s="59"/>
      <c r="TPN2493" s="61"/>
      <c r="TPO2493" s="59"/>
      <c r="TPP2493" s="59"/>
      <c r="TPQ2493" s="59"/>
      <c r="TPR2493" s="60"/>
      <c r="TPS2493" s="60"/>
      <c r="TPT2493" s="60"/>
      <c r="TPU2493" s="59"/>
      <c r="TPV2493" s="61"/>
      <c r="TPW2493" s="59"/>
      <c r="TPX2493" s="59"/>
      <c r="TPY2493" s="59"/>
      <c r="TPZ2493" s="60"/>
      <c r="TQA2493" s="60"/>
      <c r="TQB2493" s="60"/>
      <c r="TQC2493" s="59"/>
      <c r="TQD2493" s="61"/>
      <c r="TQE2493" s="59"/>
      <c r="TQF2493" s="59"/>
      <c r="TQG2493" s="59"/>
      <c r="TQH2493" s="60"/>
      <c r="TQI2493" s="60"/>
      <c r="TQJ2493" s="60"/>
      <c r="TQK2493" s="59"/>
      <c r="TQL2493" s="61"/>
      <c r="TQM2493" s="59"/>
      <c r="TQN2493" s="59"/>
      <c r="TQO2493" s="59"/>
      <c r="TQP2493" s="60"/>
      <c r="TQQ2493" s="60"/>
      <c r="TQR2493" s="60"/>
      <c r="TQS2493" s="59"/>
      <c r="TQT2493" s="61"/>
      <c r="TQU2493" s="59"/>
      <c r="TQV2493" s="59"/>
      <c r="TQW2493" s="59"/>
      <c r="TQX2493" s="60"/>
      <c r="TQY2493" s="60"/>
      <c r="TQZ2493" s="60"/>
      <c r="TRA2493" s="59"/>
      <c r="TRB2493" s="61"/>
      <c r="TRC2493" s="59"/>
      <c r="TRD2493" s="59"/>
      <c r="TRE2493" s="59"/>
      <c r="TRF2493" s="60"/>
      <c r="TRG2493" s="60"/>
      <c r="TRH2493" s="60"/>
      <c r="TRI2493" s="59"/>
      <c r="TRJ2493" s="61"/>
      <c r="TRK2493" s="59"/>
      <c r="TRL2493" s="59"/>
      <c r="TRM2493" s="59"/>
      <c r="TRN2493" s="60"/>
      <c r="TRO2493" s="60"/>
      <c r="TRP2493" s="60"/>
      <c r="TRQ2493" s="59"/>
      <c r="TRR2493" s="61"/>
      <c r="TRS2493" s="59"/>
      <c r="TRT2493" s="59"/>
      <c r="TRU2493" s="59"/>
      <c r="TRV2493" s="60"/>
      <c r="TRW2493" s="60"/>
      <c r="TRX2493" s="60"/>
      <c r="TRY2493" s="59"/>
      <c r="TRZ2493" s="61"/>
      <c r="TSA2493" s="59"/>
      <c r="TSB2493" s="59"/>
      <c r="TSC2493" s="59"/>
      <c r="TSD2493" s="60"/>
      <c r="TSE2493" s="60"/>
      <c r="TSF2493" s="60"/>
      <c r="TSG2493" s="59"/>
      <c r="TSH2493" s="61"/>
      <c r="TSI2493" s="59"/>
      <c r="TSJ2493" s="59"/>
      <c r="TSK2493" s="59"/>
      <c r="TSL2493" s="60"/>
      <c r="TSM2493" s="60"/>
      <c r="TSN2493" s="60"/>
      <c r="TSO2493" s="59"/>
      <c r="TSP2493" s="61"/>
      <c r="TSQ2493" s="59"/>
      <c r="TSR2493" s="59"/>
      <c r="TSS2493" s="59"/>
      <c r="TST2493" s="60"/>
      <c r="TSU2493" s="60"/>
      <c r="TSV2493" s="60"/>
      <c r="TSW2493" s="59"/>
      <c r="TSX2493" s="61"/>
      <c r="TSY2493" s="59"/>
      <c r="TSZ2493" s="59"/>
      <c r="TTA2493" s="59"/>
      <c r="TTB2493" s="60"/>
      <c r="TTC2493" s="60"/>
      <c r="TTD2493" s="60"/>
      <c r="TTE2493" s="59"/>
      <c r="TTF2493" s="61"/>
      <c r="TTG2493" s="59"/>
      <c r="TTH2493" s="59"/>
      <c r="TTI2493" s="59"/>
      <c r="TTJ2493" s="60"/>
      <c r="TTK2493" s="60"/>
      <c r="TTL2493" s="60"/>
      <c r="TTM2493" s="59"/>
      <c r="TTN2493" s="61"/>
      <c r="TTO2493" s="59"/>
      <c r="TTP2493" s="59"/>
      <c r="TTQ2493" s="59"/>
      <c r="TTR2493" s="60"/>
      <c r="TTS2493" s="60"/>
      <c r="TTT2493" s="60"/>
      <c r="TTU2493" s="59"/>
      <c r="TTV2493" s="61"/>
      <c r="TTW2493" s="59"/>
      <c r="TTX2493" s="59"/>
      <c r="TTY2493" s="59"/>
      <c r="TTZ2493" s="60"/>
      <c r="TUA2493" s="60"/>
      <c r="TUB2493" s="60"/>
      <c r="TUC2493" s="59"/>
      <c r="TUD2493" s="61"/>
      <c r="TUE2493" s="59"/>
      <c r="TUF2493" s="59"/>
      <c r="TUG2493" s="59"/>
      <c r="TUH2493" s="60"/>
      <c r="TUI2493" s="60"/>
      <c r="TUJ2493" s="60"/>
      <c r="TUK2493" s="59"/>
      <c r="TUL2493" s="61"/>
      <c r="TUM2493" s="59"/>
      <c r="TUN2493" s="59"/>
      <c r="TUO2493" s="59"/>
      <c r="TUP2493" s="60"/>
      <c r="TUQ2493" s="60"/>
      <c r="TUR2493" s="60"/>
      <c r="TUS2493" s="59"/>
      <c r="TUT2493" s="61"/>
      <c r="TUU2493" s="59"/>
      <c r="TUV2493" s="59"/>
      <c r="TUW2493" s="59"/>
      <c r="TUX2493" s="60"/>
      <c r="TUY2493" s="60"/>
      <c r="TUZ2493" s="60"/>
      <c r="TVA2493" s="59"/>
      <c r="TVB2493" s="61"/>
      <c r="TVC2493" s="59"/>
      <c r="TVD2493" s="59"/>
      <c r="TVE2493" s="59"/>
      <c r="TVF2493" s="60"/>
      <c r="TVG2493" s="60"/>
      <c r="TVH2493" s="60"/>
      <c r="TVI2493" s="59"/>
      <c r="TVJ2493" s="61"/>
      <c r="TVK2493" s="59"/>
      <c r="TVL2493" s="59"/>
      <c r="TVM2493" s="59"/>
      <c r="TVN2493" s="60"/>
      <c r="TVO2493" s="60"/>
      <c r="TVP2493" s="60"/>
      <c r="TVQ2493" s="59"/>
      <c r="TVR2493" s="61"/>
      <c r="TVS2493" s="59"/>
      <c r="TVT2493" s="59"/>
      <c r="TVU2493" s="59"/>
      <c r="TVV2493" s="60"/>
      <c r="TVW2493" s="60"/>
      <c r="TVX2493" s="60"/>
      <c r="TVY2493" s="59"/>
      <c r="TVZ2493" s="61"/>
      <c r="TWA2493" s="59"/>
      <c r="TWB2493" s="59"/>
      <c r="TWC2493" s="59"/>
      <c r="TWD2493" s="60"/>
      <c r="TWE2493" s="60"/>
      <c r="TWF2493" s="60"/>
      <c r="TWG2493" s="59"/>
      <c r="TWH2493" s="61"/>
      <c r="TWI2493" s="59"/>
      <c r="TWJ2493" s="59"/>
      <c r="TWK2493" s="59"/>
      <c r="TWL2493" s="60"/>
      <c r="TWM2493" s="60"/>
      <c r="TWN2493" s="60"/>
      <c r="TWO2493" s="59"/>
      <c r="TWP2493" s="61"/>
      <c r="TWQ2493" s="59"/>
      <c r="TWR2493" s="59"/>
      <c r="TWS2493" s="59"/>
      <c r="TWT2493" s="60"/>
      <c r="TWU2493" s="60"/>
      <c r="TWV2493" s="60"/>
      <c r="TWW2493" s="59"/>
      <c r="TWX2493" s="61"/>
      <c r="TWY2493" s="59"/>
      <c r="TWZ2493" s="59"/>
      <c r="TXA2493" s="59"/>
      <c r="TXB2493" s="60"/>
      <c r="TXC2493" s="60"/>
      <c r="TXD2493" s="60"/>
      <c r="TXE2493" s="59"/>
      <c r="TXF2493" s="61"/>
      <c r="TXG2493" s="59"/>
      <c r="TXH2493" s="59"/>
      <c r="TXI2493" s="59"/>
      <c r="TXJ2493" s="60"/>
      <c r="TXK2493" s="60"/>
      <c r="TXL2493" s="60"/>
      <c r="TXM2493" s="59"/>
      <c r="TXN2493" s="61"/>
      <c r="TXO2493" s="59"/>
      <c r="TXP2493" s="59"/>
      <c r="TXQ2493" s="59"/>
      <c r="TXR2493" s="60"/>
      <c r="TXS2493" s="60"/>
      <c r="TXT2493" s="60"/>
      <c r="TXU2493" s="59"/>
      <c r="TXV2493" s="61"/>
      <c r="TXW2493" s="59"/>
      <c r="TXX2493" s="59"/>
      <c r="TXY2493" s="59"/>
      <c r="TXZ2493" s="60"/>
      <c r="TYA2493" s="60"/>
      <c r="TYB2493" s="60"/>
      <c r="TYC2493" s="59"/>
      <c r="TYD2493" s="61"/>
      <c r="TYE2493" s="59"/>
      <c r="TYF2493" s="59"/>
      <c r="TYG2493" s="59"/>
      <c r="TYH2493" s="60"/>
      <c r="TYI2493" s="60"/>
      <c r="TYJ2493" s="60"/>
      <c r="TYK2493" s="59"/>
      <c r="TYL2493" s="61"/>
      <c r="TYM2493" s="59"/>
      <c r="TYN2493" s="59"/>
      <c r="TYO2493" s="59"/>
      <c r="TYP2493" s="60"/>
      <c r="TYQ2493" s="60"/>
      <c r="TYR2493" s="60"/>
      <c r="TYS2493" s="59"/>
      <c r="TYT2493" s="61"/>
      <c r="TYU2493" s="59"/>
      <c r="TYV2493" s="59"/>
      <c r="TYW2493" s="59"/>
      <c r="TYX2493" s="60"/>
      <c r="TYY2493" s="60"/>
      <c r="TYZ2493" s="60"/>
      <c r="TZA2493" s="59"/>
      <c r="TZB2493" s="61"/>
      <c r="TZC2493" s="59"/>
      <c r="TZD2493" s="59"/>
      <c r="TZE2493" s="59"/>
      <c r="TZF2493" s="60"/>
      <c r="TZG2493" s="60"/>
      <c r="TZH2493" s="60"/>
      <c r="TZI2493" s="59"/>
      <c r="TZJ2493" s="61"/>
      <c r="TZK2493" s="59"/>
      <c r="TZL2493" s="59"/>
      <c r="TZM2493" s="59"/>
      <c r="TZN2493" s="60"/>
      <c r="TZO2493" s="60"/>
      <c r="TZP2493" s="60"/>
      <c r="TZQ2493" s="59"/>
      <c r="TZR2493" s="61"/>
      <c r="TZS2493" s="59"/>
      <c r="TZT2493" s="59"/>
      <c r="TZU2493" s="59"/>
      <c r="TZV2493" s="60"/>
      <c r="TZW2493" s="60"/>
      <c r="TZX2493" s="60"/>
      <c r="TZY2493" s="59"/>
      <c r="TZZ2493" s="61"/>
      <c r="UAA2493" s="59"/>
      <c r="UAB2493" s="59"/>
      <c r="UAC2493" s="59"/>
      <c r="UAD2493" s="60"/>
      <c r="UAE2493" s="60"/>
      <c r="UAF2493" s="60"/>
      <c r="UAG2493" s="59"/>
      <c r="UAH2493" s="61"/>
      <c r="UAI2493" s="59"/>
      <c r="UAJ2493" s="59"/>
      <c r="UAK2493" s="59"/>
      <c r="UAL2493" s="60"/>
      <c r="UAM2493" s="60"/>
      <c r="UAN2493" s="60"/>
      <c r="UAO2493" s="59"/>
      <c r="UAP2493" s="61"/>
      <c r="UAQ2493" s="59"/>
      <c r="UAR2493" s="59"/>
      <c r="UAS2493" s="59"/>
      <c r="UAT2493" s="60"/>
      <c r="UAU2493" s="60"/>
      <c r="UAV2493" s="60"/>
      <c r="UAW2493" s="59"/>
      <c r="UAX2493" s="61"/>
      <c r="UAY2493" s="59"/>
      <c r="UAZ2493" s="59"/>
      <c r="UBA2493" s="59"/>
      <c r="UBB2493" s="60"/>
      <c r="UBC2493" s="60"/>
      <c r="UBD2493" s="60"/>
      <c r="UBE2493" s="59"/>
      <c r="UBF2493" s="61"/>
      <c r="UBG2493" s="59"/>
      <c r="UBH2493" s="59"/>
      <c r="UBI2493" s="59"/>
      <c r="UBJ2493" s="60"/>
      <c r="UBK2493" s="60"/>
      <c r="UBL2493" s="60"/>
      <c r="UBM2493" s="59"/>
      <c r="UBN2493" s="61"/>
      <c r="UBO2493" s="59"/>
      <c r="UBP2493" s="59"/>
      <c r="UBQ2493" s="59"/>
      <c r="UBR2493" s="60"/>
      <c r="UBS2493" s="60"/>
      <c r="UBT2493" s="60"/>
      <c r="UBU2493" s="59"/>
      <c r="UBV2493" s="61"/>
      <c r="UBW2493" s="59"/>
      <c r="UBX2493" s="59"/>
      <c r="UBY2493" s="59"/>
      <c r="UBZ2493" s="60"/>
      <c r="UCA2493" s="60"/>
      <c r="UCB2493" s="60"/>
      <c r="UCC2493" s="59"/>
      <c r="UCD2493" s="61"/>
      <c r="UCE2493" s="59"/>
      <c r="UCF2493" s="59"/>
      <c r="UCG2493" s="59"/>
      <c r="UCH2493" s="60"/>
      <c r="UCI2493" s="60"/>
      <c r="UCJ2493" s="60"/>
      <c r="UCK2493" s="59"/>
      <c r="UCL2493" s="61"/>
      <c r="UCM2493" s="59"/>
      <c r="UCN2493" s="59"/>
      <c r="UCO2493" s="59"/>
      <c r="UCP2493" s="60"/>
      <c r="UCQ2493" s="60"/>
      <c r="UCR2493" s="60"/>
      <c r="UCS2493" s="59"/>
      <c r="UCT2493" s="61"/>
      <c r="UCU2493" s="59"/>
      <c r="UCV2493" s="59"/>
      <c r="UCW2493" s="59"/>
      <c r="UCX2493" s="60"/>
      <c r="UCY2493" s="60"/>
      <c r="UCZ2493" s="60"/>
      <c r="UDA2493" s="59"/>
      <c r="UDB2493" s="61"/>
      <c r="UDC2493" s="59"/>
      <c r="UDD2493" s="59"/>
      <c r="UDE2493" s="59"/>
      <c r="UDF2493" s="60"/>
      <c r="UDG2493" s="60"/>
      <c r="UDH2493" s="60"/>
      <c r="UDI2493" s="59"/>
      <c r="UDJ2493" s="61"/>
      <c r="UDK2493" s="59"/>
      <c r="UDL2493" s="59"/>
      <c r="UDM2493" s="59"/>
      <c r="UDN2493" s="60"/>
      <c r="UDO2493" s="60"/>
      <c r="UDP2493" s="60"/>
      <c r="UDQ2493" s="59"/>
      <c r="UDR2493" s="61"/>
      <c r="UDS2493" s="59"/>
      <c r="UDT2493" s="59"/>
      <c r="UDU2493" s="59"/>
      <c r="UDV2493" s="60"/>
      <c r="UDW2493" s="60"/>
      <c r="UDX2493" s="60"/>
      <c r="UDY2493" s="59"/>
      <c r="UDZ2493" s="61"/>
      <c r="UEA2493" s="59"/>
      <c r="UEB2493" s="59"/>
      <c r="UEC2493" s="59"/>
      <c r="UED2493" s="60"/>
      <c r="UEE2493" s="60"/>
      <c r="UEF2493" s="60"/>
      <c r="UEG2493" s="59"/>
      <c r="UEH2493" s="61"/>
      <c r="UEI2493" s="59"/>
      <c r="UEJ2493" s="59"/>
      <c r="UEK2493" s="59"/>
      <c r="UEL2493" s="60"/>
      <c r="UEM2493" s="60"/>
      <c r="UEN2493" s="60"/>
      <c r="UEO2493" s="59"/>
      <c r="UEP2493" s="61"/>
      <c r="UEQ2493" s="59"/>
      <c r="UER2493" s="59"/>
      <c r="UES2493" s="59"/>
      <c r="UET2493" s="60"/>
      <c r="UEU2493" s="60"/>
      <c r="UEV2493" s="60"/>
      <c r="UEW2493" s="59"/>
      <c r="UEX2493" s="61"/>
      <c r="UEY2493" s="59"/>
      <c r="UEZ2493" s="59"/>
      <c r="UFA2493" s="59"/>
      <c r="UFB2493" s="60"/>
      <c r="UFC2493" s="60"/>
      <c r="UFD2493" s="60"/>
      <c r="UFE2493" s="59"/>
      <c r="UFF2493" s="61"/>
      <c r="UFG2493" s="59"/>
      <c r="UFH2493" s="59"/>
      <c r="UFI2493" s="59"/>
      <c r="UFJ2493" s="60"/>
      <c r="UFK2493" s="60"/>
      <c r="UFL2493" s="60"/>
      <c r="UFM2493" s="59"/>
      <c r="UFN2493" s="61"/>
      <c r="UFO2493" s="59"/>
      <c r="UFP2493" s="59"/>
      <c r="UFQ2493" s="59"/>
      <c r="UFR2493" s="60"/>
      <c r="UFS2493" s="60"/>
      <c r="UFT2493" s="60"/>
      <c r="UFU2493" s="59"/>
      <c r="UFV2493" s="61"/>
      <c r="UFW2493" s="59"/>
      <c r="UFX2493" s="59"/>
      <c r="UFY2493" s="59"/>
      <c r="UFZ2493" s="60"/>
      <c r="UGA2493" s="60"/>
      <c r="UGB2493" s="60"/>
      <c r="UGC2493" s="59"/>
      <c r="UGD2493" s="61"/>
      <c r="UGE2493" s="59"/>
      <c r="UGF2493" s="59"/>
      <c r="UGG2493" s="59"/>
      <c r="UGH2493" s="60"/>
      <c r="UGI2493" s="60"/>
      <c r="UGJ2493" s="60"/>
      <c r="UGK2493" s="59"/>
      <c r="UGL2493" s="61"/>
      <c r="UGM2493" s="59"/>
      <c r="UGN2493" s="59"/>
      <c r="UGO2493" s="59"/>
      <c r="UGP2493" s="60"/>
      <c r="UGQ2493" s="60"/>
      <c r="UGR2493" s="60"/>
      <c r="UGS2493" s="59"/>
      <c r="UGT2493" s="61"/>
      <c r="UGU2493" s="59"/>
      <c r="UGV2493" s="59"/>
      <c r="UGW2493" s="59"/>
      <c r="UGX2493" s="60"/>
      <c r="UGY2493" s="60"/>
      <c r="UGZ2493" s="60"/>
      <c r="UHA2493" s="59"/>
      <c r="UHB2493" s="61"/>
      <c r="UHC2493" s="59"/>
      <c r="UHD2493" s="59"/>
      <c r="UHE2493" s="59"/>
      <c r="UHF2493" s="60"/>
      <c r="UHG2493" s="60"/>
      <c r="UHH2493" s="60"/>
      <c r="UHI2493" s="59"/>
      <c r="UHJ2493" s="61"/>
      <c r="UHK2493" s="59"/>
      <c r="UHL2493" s="59"/>
      <c r="UHM2493" s="59"/>
      <c r="UHN2493" s="60"/>
      <c r="UHO2493" s="60"/>
      <c r="UHP2493" s="60"/>
      <c r="UHQ2493" s="59"/>
      <c r="UHR2493" s="61"/>
      <c r="UHS2493" s="59"/>
      <c r="UHT2493" s="59"/>
      <c r="UHU2493" s="59"/>
      <c r="UHV2493" s="60"/>
      <c r="UHW2493" s="60"/>
      <c r="UHX2493" s="60"/>
      <c r="UHY2493" s="59"/>
      <c r="UHZ2493" s="61"/>
      <c r="UIA2493" s="59"/>
      <c r="UIB2493" s="59"/>
      <c r="UIC2493" s="59"/>
      <c r="UID2493" s="60"/>
      <c r="UIE2493" s="60"/>
      <c r="UIF2493" s="60"/>
      <c r="UIG2493" s="59"/>
      <c r="UIH2493" s="61"/>
      <c r="UII2493" s="59"/>
      <c r="UIJ2493" s="59"/>
      <c r="UIK2493" s="59"/>
      <c r="UIL2493" s="60"/>
      <c r="UIM2493" s="60"/>
      <c r="UIN2493" s="60"/>
      <c r="UIO2493" s="59"/>
      <c r="UIP2493" s="61"/>
      <c r="UIQ2493" s="59"/>
      <c r="UIR2493" s="59"/>
      <c r="UIS2493" s="59"/>
      <c r="UIT2493" s="60"/>
      <c r="UIU2493" s="60"/>
      <c r="UIV2493" s="60"/>
      <c r="UIW2493" s="59"/>
      <c r="UIX2493" s="61"/>
      <c r="UIY2493" s="59"/>
      <c r="UIZ2493" s="59"/>
      <c r="UJA2493" s="59"/>
      <c r="UJB2493" s="60"/>
      <c r="UJC2493" s="60"/>
      <c r="UJD2493" s="60"/>
      <c r="UJE2493" s="59"/>
      <c r="UJF2493" s="61"/>
      <c r="UJG2493" s="59"/>
      <c r="UJH2493" s="59"/>
      <c r="UJI2493" s="59"/>
      <c r="UJJ2493" s="60"/>
      <c r="UJK2493" s="60"/>
      <c r="UJL2493" s="60"/>
      <c r="UJM2493" s="59"/>
      <c r="UJN2493" s="61"/>
      <c r="UJO2493" s="59"/>
      <c r="UJP2493" s="59"/>
      <c r="UJQ2493" s="59"/>
      <c r="UJR2493" s="60"/>
      <c r="UJS2493" s="60"/>
      <c r="UJT2493" s="60"/>
      <c r="UJU2493" s="59"/>
      <c r="UJV2493" s="61"/>
      <c r="UJW2493" s="59"/>
      <c r="UJX2493" s="59"/>
      <c r="UJY2493" s="59"/>
      <c r="UJZ2493" s="60"/>
      <c r="UKA2493" s="60"/>
      <c r="UKB2493" s="60"/>
      <c r="UKC2493" s="59"/>
      <c r="UKD2493" s="61"/>
      <c r="UKE2493" s="59"/>
      <c r="UKF2493" s="59"/>
      <c r="UKG2493" s="59"/>
      <c r="UKH2493" s="60"/>
      <c r="UKI2493" s="60"/>
      <c r="UKJ2493" s="60"/>
      <c r="UKK2493" s="59"/>
      <c r="UKL2493" s="61"/>
      <c r="UKM2493" s="59"/>
      <c r="UKN2493" s="59"/>
      <c r="UKO2493" s="59"/>
      <c r="UKP2493" s="60"/>
      <c r="UKQ2493" s="60"/>
      <c r="UKR2493" s="60"/>
      <c r="UKS2493" s="59"/>
      <c r="UKT2493" s="61"/>
      <c r="UKU2493" s="59"/>
      <c r="UKV2493" s="59"/>
      <c r="UKW2493" s="59"/>
      <c r="UKX2493" s="60"/>
      <c r="UKY2493" s="60"/>
      <c r="UKZ2493" s="60"/>
      <c r="ULA2493" s="59"/>
      <c r="ULB2493" s="61"/>
      <c r="ULC2493" s="59"/>
      <c r="ULD2493" s="59"/>
      <c r="ULE2493" s="59"/>
      <c r="ULF2493" s="60"/>
      <c r="ULG2493" s="60"/>
      <c r="ULH2493" s="60"/>
      <c r="ULI2493" s="59"/>
      <c r="ULJ2493" s="61"/>
      <c r="ULK2493" s="59"/>
      <c r="ULL2493" s="59"/>
      <c r="ULM2493" s="59"/>
      <c r="ULN2493" s="60"/>
      <c r="ULO2493" s="60"/>
      <c r="ULP2493" s="60"/>
      <c r="ULQ2493" s="59"/>
      <c r="ULR2493" s="61"/>
      <c r="ULS2493" s="59"/>
      <c r="ULT2493" s="59"/>
      <c r="ULU2493" s="59"/>
      <c r="ULV2493" s="60"/>
      <c r="ULW2493" s="60"/>
      <c r="ULX2493" s="60"/>
      <c r="ULY2493" s="59"/>
      <c r="ULZ2493" s="61"/>
      <c r="UMA2493" s="59"/>
      <c r="UMB2493" s="59"/>
      <c r="UMC2493" s="59"/>
      <c r="UMD2493" s="60"/>
      <c r="UME2493" s="60"/>
      <c r="UMF2493" s="60"/>
      <c r="UMG2493" s="59"/>
      <c r="UMH2493" s="61"/>
      <c r="UMI2493" s="59"/>
      <c r="UMJ2493" s="59"/>
      <c r="UMK2493" s="59"/>
      <c r="UML2493" s="60"/>
      <c r="UMM2493" s="60"/>
      <c r="UMN2493" s="60"/>
      <c r="UMO2493" s="59"/>
      <c r="UMP2493" s="61"/>
      <c r="UMQ2493" s="59"/>
      <c r="UMR2493" s="59"/>
      <c r="UMS2493" s="59"/>
      <c r="UMT2493" s="60"/>
      <c r="UMU2493" s="60"/>
      <c r="UMV2493" s="60"/>
      <c r="UMW2493" s="59"/>
      <c r="UMX2493" s="61"/>
      <c r="UMY2493" s="59"/>
      <c r="UMZ2493" s="59"/>
      <c r="UNA2493" s="59"/>
      <c r="UNB2493" s="60"/>
      <c r="UNC2493" s="60"/>
      <c r="UND2493" s="60"/>
      <c r="UNE2493" s="59"/>
      <c r="UNF2493" s="61"/>
      <c r="UNG2493" s="59"/>
      <c r="UNH2493" s="59"/>
      <c r="UNI2493" s="59"/>
      <c r="UNJ2493" s="60"/>
      <c r="UNK2493" s="60"/>
      <c r="UNL2493" s="60"/>
      <c r="UNM2493" s="59"/>
      <c r="UNN2493" s="61"/>
      <c r="UNO2493" s="59"/>
      <c r="UNP2493" s="59"/>
      <c r="UNQ2493" s="59"/>
      <c r="UNR2493" s="60"/>
      <c r="UNS2493" s="60"/>
      <c r="UNT2493" s="60"/>
      <c r="UNU2493" s="59"/>
      <c r="UNV2493" s="61"/>
      <c r="UNW2493" s="59"/>
      <c r="UNX2493" s="59"/>
      <c r="UNY2493" s="59"/>
      <c r="UNZ2493" s="60"/>
      <c r="UOA2493" s="60"/>
      <c r="UOB2493" s="60"/>
      <c r="UOC2493" s="59"/>
      <c r="UOD2493" s="61"/>
      <c r="UOE2493" s="59"/>
      <c r="UOF2493" s="59"/>
      <c r="UOG2493" s="59"/>
      <c r="UOH2493" s="60"/>
      <c r="UOI2493" s="60"/>
      <c r="UOJ2493" s="60"/>
      <c r="UOK2493" s="59"/>
      <c r="UOL2493" s="61"/>
      <c r="UOM2493" s="59"/>
      <c r="UON2493" s="59"/>
      <c r="UOO2493" s="59"/>
      <c r="UOP2493" s="60"/>
      <c r="UOQ2493" s="60"/>
      <c r="UOR2493" s="60"/>
      <c r="UOS2493" s="59"/>
      <c r="UOT2493" s="61"/>
      <c r="UOU2493" s="59"/>
      <c r="UOV2493" s="59"/>
      <c r="UOW2493" s="59"/>
      <c r="UOX2493" s="60"/>
      <c r="UOY2493" s="60"/>
      <c r="UOZ2493" s="60"/>
      <c r="UPA2493" s="59"/>
      <c r="UPB2493" s="61"/>
      <c r="UPC2493" s="59"/>
      <c r="UPD2493" s="59"/>
      <c r="UPE2493" s="59"/>
      <c r="UPF2493" s="60"/>
      <c r="UPG2493" s="60"/>
      <c r="UPH2493" s="60"/>
      <c r="UPI2493" s="59"/>
      <c r="UPJ2493" s="61"/>
      <c r="UPK2493" s="59"/>
      <c r="UPL2493" s="59"/>
      <c r="UPM2493" s="59"/>
      <c r="UPN2493" s="60"/>
      <c r="UPO2493" s="60"/>
      <c r="UPP2493" s="60"/>
      <c r="UPQ2493" s="59"/>
      <c r="UPR2493" s="61"/>
      <c r="UPS2493" s="59"/>
      <c r="UPT2493" s="59"/>
      <c r="UPU2493" s="59"/>
      <c r="UPV2493" s="60"/>
      <c r="UPW2493" s="60"/>
      <c r="UPX2493" s="60"/>
      <c r="UPY2493" s="59"/>
      <c r="UPZ2493" s="61"/>
      <c r="UQA2493" s="59"/>
      <c r="UQB2493" s="59"/>
      <c r="UQC2493" s="59"/>
      <c r="UQD2493" s="60"/>
      <c r="UQE2493" s="60"/>
      <c r="UQF2493" s="60"/>
      <c r="UQG2493" s="59"/>
      <c r="UQH2493" s="61"/>
      <c r="UQI2493" s="59"/>
      <c r="UQJ2493" s="59"/>
      <c r="UQK2493" s="59"/>
      <c r="UQL2493" s="60"/>
      <c r="UQM2493" s="60"/>
      <c r="UQN2493" s="60"/>
      <c r="UQO2493" s="59"/>
      <c r="UQP2493" s="61"/>
      <c r="UQQ2493" s="59"/>
      <c r="UQR2493" s="59"/>
      <c r="UQS2493" s="59"/>
      <c r="UQT2493" s="60"/>
      <c r="UQU2493" s="60"/>
      <c r="UQV2493" s="60"/>
      <c r="UQW2493" s="59"/>
      <c r="UQX2493" s="61"/>
      <c r="UQY2493" s="59"/>
      <c r="UQZ2493" s="59"/>
      <c r="URA2493" s="59"/>
      <c r="URB2493" s="60"/>
      <c r="URC2493" s="60"/>
      <c r="URD2493" s="60"/>
      <c r="URE2493" s="59"/>
      <c r="URF2493" s="61"/>
      <c r="URG2493" s="59"/>
      <c r="URH2493" s="59"/>
      <c r="URI2493" s="59"/>
      <c r="URJ2493" s="60"/>
      <c r="URK2493" s="60"/>
      <c r="URL2493" s="60"/>
      <c r="URM2493" s="59"/>
      <c r="URN2493" s="61"/>
      <c r="URO2493" s="59"/>
      <c r="URP2493" s="59"/>
      <c r="URQ2493" s="59"/>
      <c r="URR2493" s="60"/>
      <c r="URS2493" s="60"/>
      <c r="URT2493" s="60"/>
      <c r="URU2493" s="59"/>
      <c r="URV2493" s="61"/>
      <c r="URW2493" s="59"/>
      <c r="URX2493" s="59"/>
      <c r="URY2493" s="59"/>
      <c r="URZ2493" s="60"/>
      <c r="USA2493" s="60"/>
      <c r="USB2493" s="60"/>
      <c r="USC2493" s="59"/>
      <c r="USD2493" s="61"/>
      <c r="USE2493" s="59"/>
      <c r="USF2493" s="59"/>
      <c r="USG2493" s="59"/>
      <c r="USH2493" s="60"/>
      <c r="USI2493" s="60"/>
      <c r="USJ2493" s="60"/>
      <c r="USK2493" s="59"/>
      <c r="USL2493" s="61"/>
      <c r="USM2493" s="59"/>
      <c r="USN2493" s="59"/>
      <c r="USO2493" s="59"/>
      <c r="USP2493" s="60"/>
      <c r="USQ2493" s="60"/>
      <c r="USR2493" s="60"/>
      <c r="USS2493" s="59"/>
      <c r="UST2493" s="61"/>
      <c r="USU2493" s="59"/>
      <c r="USV2493" s="59"/>
      <c r="USW2493" s="59"/>
      <c r="USX2493" s="60"/>
      <c r="USY2493" s="60"/>
      <c r="USZ2493" s="60"/>
      <c r="UTA2493" s="59"/>
      <c r="UTB2493" s="61"/>
      <c r="UTC2493" s="59"/>
      <c r="UTD2493" s="59"/>
      <c r="UTE2493" s="59"/>
      <c r="UTF2493" s="60"/>
      <c r="UTG2493" s="60"/>
      <c r="UTH2493" s="60"/>
      <c r="UTI2493" s="59"/>
      <c r="UTJ2493" s="61"/>
      <c r="UTK2493" s="59"/>
      <c r="UTL2493" s="59"/>
      <c r="UTM2493" s="59"/>
      <c r="UTN2493" s="60"/>
      <c r="UTO2493" s="60"/>
      <c r="UTP2493" s="60"/>
      <c r="UTQ2493" s="59"/>
      <c r="UTR2493" s="61"/>
      <c r="UTS2493" s="59"/>
      <c r="UTT2493" s="59"/>
      <c r="UTU2493" s="59"/>
      <c r="UTV2493" s="60"/>
      <c r="UTW2493" s="60"/>
      <c r="UTX2493" s="60"/>
      <c r="UTY2493" s="59"/>
      <c r="UTZ2493" s="61"/>
      <c r="UUA2493" s="59"/>
      <c r="UUB2493" s="59"/>
      <c r="UUC2493" s="59"/>
      <c r="UUD2493" s="60"/>
      <c r="UUE2493" s="60"/>
      <c r="UUF2493" s="60"/>
      <c r="UUG2493" s="59"/>
      <c r="UUH2493" s="61"/>
      <c r="UUI2493" s="59"/>
      <c r="UUJ2493" s="59"/>
      <c r="UUK2493" s="59"/>
      <c r="UUL2493" s="60"/>
      <c r="UUM2493" s="60"/>
      <c r="UUN2493" s="60"/>
      <c r="UUO2493" s="59"/>
      <c r="UUP2493" s="61"/>
      <c r="UUQ2493" s="59"/>
      <c r="UUR2493" s="59"/>
      <c r="UUS2493" s="59"/>
      <c r="UUT2493" s="60"/>
      <c r="UUU2493" s="60"/>
      <c r="UUV2493" s="60"/>
      <c r="UUW2493" s="59"/>
      <c r="UUX2493" s="61"/>
      <c r="UUY2493" s="59"/>
      <c r="UUZ2493" s="59"/>
      <c r="UVA2493" s="59"/>
      <c r="UVB2493" s="60"/>
      <c r="UVC2493" s="60"/>
      <c r="UVD2493" s="60"/>
      <c r="UVE2493" s="59"/>
      <c r="UVF2493" s="61"/>
      <c r="UVG2493" s="59"/>
      <c r="UVH2493" s="59"/>
      <c r="UVI2493" s="59"/>
      <c r="UVJ2493" s="60"/>
      <c r="UVK2493" s="60"/>
      <c r="UVL2493" s="60"/>
      <c r="UVM2493" s="59"/>
      <c r="UVN2493" s="61"/>
      <c r="UVO2493" s="59"/>
      <c r="UVP2493" s="59"/>
      <c r="UVQ2493" s="59"/>
      <c r="UVR2493" s="60"/>
      <c r="UVS2493" s="60"/>
      <c r="UVT2493" s="60"/>
      <c r="UVU2493" s="59"/>
      <c r="UVV2493" s="61"/>
      <c r="UVW2493" s="59"/>
      <c r="UVX2493" s="59"/>
      <c r="UVY2493" s="59"/>
      <c r="UVZ2493" s="60"/>
      <c r="UWA2493" s="60"/>
      <c r="UWB2493" s="60"/>
      <c r="UWC2493" s="59"/>
      <c r="UWD2493" s="61"/>
      <c r="UWE2493" s="59"/>
      <c r="UWF2493" s="59"/>
      <c r="UWG2493" s="59"/>
      <c r="UWH2493" s="60"/>
      <c r="UWI2493" s="60"/>
      <c r="UWJ2493" s="60"/>
      <c r="UWK2493" s="59"/>
      <c r="UWL2493" s="61"/>
      <c r="UWM2493" s="59"/>
      <c r="UWN2493" s="59"/>
      <c r="UWO2493" s="59"/>
      <c r="UWP2493" s="60"/>
      <c r="UWQ2493" s="60"/>
      <c r="UWR2493" s="60"/>
      <c r="UWS2493" s="59"/>
      <c r="UWT2493" s="61"/>
      <c r="UWU2493" s="59"/>
      <c r="UWV2493" s="59"/>
      <c r="UWW2493" s="59"/>
      <c r="UWX2493" s="60"/>
      <c r="UWY2493" s="60"/>
      <c r="UWZ2493" s="60"/>
      <c r="UXA2493" s="59"/>
      <c r="UXB2493" s="61"/>
      <c r="UXC2493" s="59"/>
      <c r="UXD2493" s="59"/>
      <c r="UXE2493" s="59"/>
      <c r="UXF2493" s="60"/>
      <c r="UXG2493" s="60"/>
      <c r="UXH2493" s="60"/>
      <c r="UXI2493" s="59"/>
      <c r="UXJ2493" s="61"/>
      <c r="UXK2493" s="59"/>
      <c r="UXL2493" s="59"/>
      <c r="UXM2493" s="59"/>
      <c r="UXN2493" s="60"/>
      <c r="UXO2493" s="60"/>
      <c r="UXP2493" s="60"/>
      <c r="UXQ2493" s="59"/>
      <c r="UXR2493" s="61"/>
      <c r="UXS2493" s="59"/>
      <c r="UXT2493" s="59"/>
      <c r="UXU2493" s="59"/>
      <c r="UXV2493" s="60"/>
      <c r="UXW2493" s="60"/>
      <c r="UXX2493" s="60"/>
      <c r="UXY2493" s="59"/>
      <c r="UXZ2493" s="61"/>
      <c r="UYA2493" s="59"/>
      <c r="UYB2493" s="59"/>
      <c r="UYC2493" s="59"/>
      <c r="UYD2493" s="60"/>
      <c r="UYE2493" s="60"/>
      <c r="UYF2493" s="60"/>
      <c r="UYG2493" s="59"/>
      <c r="UYH2493" s="61"/>
      <c r="UYI2493" s="59"/>
      <c r="UYJ2493" s="59"/>
      <c r="UYK2493" s="59"/>
      <c r="UYL2493" s="60"/>
      <c r="UYM2493" s="60"/>
      <c r="UYN2493" s="60"/>
      <c r="UYO2493" s="59"/>
      <c r="UYP2493" s="61"/>
      <c r="UYQ2493" s="59"/>
      <c r="UYR2493" s="59"/>
      <c r="UYS2493" s="59"/>
      <c r="UYT2493" s="60"/>
      <c r="UYU2493" s="60"/>
      <c r="UYV2493" s="60"/>
      <c r="UYW2493" s="59"/>
      <c r="UYX2493" s="61"/>
      <c r="UYY2493" s="59"/>
      <c r="UYZ2493" s="59"/>
      <c r="UZA2493" s="59"/>
      <c r="UZB2493" s="60"/>
      <c r="UZC2493" s="60"/>
      <c r="UZD2493" s="60"/>
      <c r="UZE2493" s="59"/>
      <c r="UZF2493" s="61"/>
      <c r="UZG2493" s="59"/>
      <c r="UZH2493" s="59"/>
      <c r="UZI2493" s="59"/>
      <c r="UZJ2493" s="60"/>
      <c r="UZK2493" s="60"/>
      <c r="UZL2493" s="60"/>
      <c r="UZM2493" s="59"/>
      <c r="UZN2493" s="61"/>
      <c r="UZO2493" s="59"/>
      <c r="UZP2493" s="59"/>
      <c r="UZQ2493" s="59"/>
      <c r="UZR2493" s="60"/>
      <c r="UZS2493" s="60"/>
      <c r="UZT2493" s="60"/>
      <c r="UZU2493" s="59"/>
      <c r="UZV2493" s="61"/>
      <c r="UZW2493" s="59"/>
      <c r="UZX2493" s="59"/>
      <c r="UZY2493" s="59"/>
      <c r="UZZ2493" s="60"/>
      <c r="VAA2493" s="60"/>
      <c r="VAB2493" s="60"/>
      <c r="VAC2493" s="59"/>
      <c r="VAD2493" s="61"/>
      <c r="VAE2493" s="59"/>
      <c r="VAF2493" s="59"/>
      <c r="VAG2493" s="59"/>
      <c r="VAH2493" s="60"/>
      <c r="VAI2493" s="60"/>
      <c r="VAJ2493" s="60"/>
      <c r="VAK2493" s="59"/>
      <c r="VAL2493" s="61"/>
      <c r="VAM2493" s="59"/>
      <c r="VAN2493" s="59"/>
      <c r="VAO2493" s="59"/>
      <c r="VAP2493" s="60"/>
      <c r="VAQ2493" s="60"/>
      <c r="VAR2493" s="60"/>
      <c r="VAS2493" s="59"/>
      <c r="VAT2493" s="61"/>
      <c r="VAU2493" s="59"/>
      <c r="VAV2493" s="59"/>
      <c r="VAW2493" s="59"/>
      <c r="VAX2493" s="60"/>
      <c r="VAY2493" s="60"/>
      <c r="VAZ2493" s="60"/>
      <c r="VBA2493" s="59"/>
      <c r="VBB2493" s="61"/>
      <c r="VBC2493" s="59"/>
      <c r="VBD2493" s="59"/>
      <c r="VBE2493" s="59"/>
      <c r="VBF2493" s="60"/>
      <c r="VBG2493" s="60"/>
      <c r="VBH2493" s="60"/>
      <c r="VBI2493" s="59"/>
      <c r="VBJ2493" s="61"/>
      <c r="VBK2493" s="59"/>
      <c r="VBL2493" s="59"/>
      <c r="VBM2493" s="59"/>
      <c r="VBN2493" s="60"/>
      <c r="VBO2493" s="60"/>
      <c r="VBP2493" s="60"/>
      <c r="VBQ2493" s="59"/>
      <c r="VBR2493" s="61"/>
      <c r="VBS2493" s="59"/>
      <c r="VBT2493" s="59"/>
      <c r="VBU2493" s="59"/>
      <c r="VBV2493" s="60"/>
      <c r="VBW2493" s="60"/>
      <c r="VBX2493" s="60"/>
      <c r="VBY2493" s="59"/>
      <c r="VBZ2493" s="61"/>
      <c r="VCA2493" s="59"/>
      <c r="VCB2493" s="59"/>
      <c r="VCC2493" s="59"/>
      <c r="VCD2493" s="60"/>
      <c r="VCE2493" s="60"/>
      <c r="VCF2493" s="60"/>
      <c r="VCG2493" s="59"/>
      <c r="VCH2493" s="61"/>
      <c r="VCI2493" s="59"/>
      <c r="VCJ2493" s="59"/>
      <c r="VCK2493" s="59"/>
      <c r="VCL2493" s="60"/>
      <c r="VCM2493" s="60"/>
      <c r="VCN2493" s="60"/>
      <c r="VCO2493" s="59"/>
      <c r="VCP2493" s="61"/>
      <c r="VCQ2493" s="59"/>
      <c r="VCR2493" s="59"/>
      <c r="VCS2493" s="59"/>
      <c r="VCT2493" s="60"/>
      <c r="VCU2493" s="60"/>
      <c r="VCV2493" s="60"/>
      <c r="VCW2493" s="59"/>
      <c r="VCX2493" s="61"/>
      <c r="VCY2493" s="59"/>
      <c r="VCZ2493" s="59"/>
      <c r="VDA2493" s="59"/>
      <c r="VDB2493" s="60"/>
      <c r="VDC2493" s="60"/>
      <c r="VDD2493" s="60"/>
      <c r="VDE2493" s="59"/>
      <c r="VDF2493" s="61"/>
      <c r="VDG2493" s="59"/>
      <c r="VDH2493" s="59"/>
      <c r="VDI2493" s="59"/>
      <c r="VDJ2493" s="60"/>
      <c r="VDK2493" s="60"/>
      <c r="VDL2493" s="60"/>
      <c r="VDM2493" s="59"/>
      <c r="VDN2493" s="61"/>
      <c r="VDO2493" s="59"/>
      <c r="VDP2493" s="59"/>
      <c r="VDQ2493" s="59"/>
      <c r="VDR2493" s="60"/>
      <c r="VDS2493" s="60"/>
      <c r="VDT2493" s="60"/>
      <c r="VDU2493" s="59"/>
      <c r="VDV2493" s="61"/>
      <c r="VDW2493" s="59"/>
      <c r="VDX2493" s="59"/>
      <c r="VDY2493" s="59"/>
      <c r="VDZ2493" s="60"/>
      <c r="VEA2493" s="60"/>
      <c r="VEB2493" s="60"/>
      <c r="VEC2493" s="59"/>
      <c r="VED2493" s="61"/>
      <c r="VEE2493" s="59"/>
      <c r="VEF2493" s="59"/>
      <c r="VEG2493" s="59"/>
      <c r="VEH2493" s="60"/>
      <c r="VEI2493" s="60"/>
      <c r="VEJ2493" s="60"/>
      <c r="VEK2493" s="59"/>
      <c r="VEL2493" s="61"/>
      <c r="VEM2493" s="59"/>
      <c r="VEN2493" s="59"/>
      <c r="VEO2493" s="59"/>
      <c r="VEP2493" s="60"/>
      <c r="VEQ2493" s="60"/>
      <c r="VER2493" s="60"/>
      <c r="VES2493" s="59"/>
      <c r="VET2493" s="61"/>
      <c r="VEU2493" s="59"/>
      <c r="VEV2493" s="59"/>
      <c r="VEW2493" s="59"/>
      <c r="VEX2493" s="60"/>
      <c r="VEY2493" s="60"/>
      <c r="VEZ2493" s="60"/>
      <c r="VFA2493" s="59"/>
      <c r="VFB2493" s="61"/>
      <c r="VFC2493" s="59"/>
      <c r="VFD2493" s="59"/>
      <c r="VFE2493" s="59"/>
      <c r="VFF2493" s="60"/>
      <c r="VFG2493" s="60"/>
      <c r="VFH2493" s="60"/>
      <c r="VFI2493" s="59"/>
      <c r="VFJ2493" s="61"/>
      <c r="VFK2493" s="59"/>
      <c r="VFL2493" s="59"/>
      <c r="VFM2493" s="59"/>
      <c r="VFN2493" s="60"/>
      <c r="VFO2493" s="60"/>
      <c r="VFP2493" s="60"/>
      <c r="VFQ2493" s="59"/>
      <c r="VFR2493" s="61"/>
      <c r="VFS2493" s="59"/>
      <c r="VFT2493" s="59"/>
      <c r="VFU2493" s="59"/>
      <c r="VFV2493" s="60"/>
      <c r="VFW2493" s="60"/>
      <c r="VFX2493" s="60"/>
      <c r="VFY2493" s="59"/>
      <c r="VFZ2493" s="61"/>
      <c r="VGA2493" s="59"/>
      <c r="VGB2493" s="59"/>
      <c r="VGC2493" s="59"/>
      <c r="VGD2493" s="60"/>
      <c r="VGE2493" s="60"/>
      <c r="VGF2493" s="60"/>
      <c r="VGG2493" s="59"/>
      <c r="VGH2493" s="61"/>
      <c r="VGI2493" s="59"/>
      <c r="VGJ2493" s="59"/>
      <c r="VGK2493" s="59"/>
      <c r="VGL2493" s="60"/>
      <c r="VGM2493" s="60"/>
      <c r="VGN2493" s="60"/>
      <c r="VGO2493" s="59"/>
      <c r="VGP2493" s="61"/>
      <c r="VGQ2493" s="59"/>
      <c r="VGR2493" s="59"/>
      <c r="VGS2493" s="59"/>
      <c r="VGT2493" s="60"/>
      <c r="VGU2493" s="60"/>
      <c r="VGV2493" s="60"/>
      <c r="VGW2493" s="59"/>
      <c r="VGX2493" s="61"/>
      <c r="VGY2493" s="59"/>
      <c r="VGZ2493" s="59"/>
      <c r="VHA2493" s="59"/>
      <c r="VHB2493" s="60"/>
      <c r="VHC2493" s="60"/>
      <c r="VHD2493" s="60"/>
      <c r="VHE2493" s="59"/>
      <c r="VHF2493" s="61"/>
      <c r="VHG2493" s="59"/>
      <c r="VHH2493" s="59"/>
      <c r="VHI2493" s="59"/>
      <c r="VHJ2493" s="60"/>
      <c r="VHK2493" s="60"/>
      <c r="VHL2493" s="60"/>
      <c r="VHM2493" s="59"/>
      <c r="VHN2493" s="61"/>
      <c r="VHO2493" s="59"/>
      <c r="VHP2493" s="59"/>
      <c r="VHQ2493" s="59"/>
      <c r="VHR2493" s="60"/>
      <c r="VHS2493" s="60"/>
      <c r="VHT2493" s="60"/>
      <c r="VHU2493" s="59"/>
      <c r="VHV2493" s="61"/>
      <c r="VHW2493" s="59"/>
      <c r="VHX2493" s="59"/>
      <c r="VHY2493" s="59"/>
      <c r="VHZ2493" s="60"/>
      <c r="VIA2493" s="60"/>
      <c r="VIB2493" s="60"/>
      <c r="VIC2493" s="59"/>
      <c r="VID2493" s="61"/>
      <c r="VIE2493" s="59"/>
      <c r="VIF2493" s="59"/>
      <c r="VIG2493" s="59"/>
      <c r="VIH2493" s="60"/>
      <c r="VII2493" s="60"/>
      <c r="VIJ2493" s="60"/>
      <c r="VIK2493" s="59"/>
      <c r="VIL2493" s="61"/>
      <c r="VIM2493" s="59"/>
      <c r="VIN2493" s="59"/>
      <c r="VIO2493" s="59"/>
      <c r="VIP2493" s="60"/>
      <c r="VIQ2493" s="60"/>
      <c r="VIR2493" s="60"/>
      <c r="VIS2493" s="59"/>
      <c r="VIT2493" s="61"/>
      <c r="VIU2493" s="59"/>
      <c r="VIV2493" s="59"/>
      <c r="VIW2493" s="59"/>
      <c r="VIX2493" s="60"/>
      <c r="VIY2493" s="60"/>
      <c r="VIZ2493" s="60"/>
      <c r="VJA2493" s="59"/>
      <c r="VJB2493" s="61"/>
      <c r="VJC2493" s="59"/>
      <c r="VJD2493" s="59"/>
      <c r="VJE2493" s="59"/>
      <c r="VJF2493" s="60"/>
      <c r="VJG2493" s="60"/>
      <c r="VJH2493" s="60"/>
      <c r="VJI2493" s="59"/>
      <c r="VJJ2493" s="61"/>
      <c r="VJK2493" s="59"/>
      <c r="VJL2493" s="59"/>
      <c r="VJM2493" s="59"/>
      <c r="VJN2493" s="60"/>
      <c r="VJO2493" s="60"/>
      <c r="VJP2493" s="60"/>
      <c r="VJQ2493" s="59"/>
      <c r="VJR2493" s="61"/>
      <c r="VJS2493" s="59"/>
      <c r="VJT2493" s="59"/>
      <c r="VJU2493" s="59"/>
      <c r="VJV2493" s="60"/>
      <c r="VJW2493" s="60"/>
      <c r="VJX2493" s="60"/>
      <c r="VJY2493" s="59"/>
      <c r="VJZ2493" s="61"/>
      <c r="VKA2493" s="59"/>
      <c r="VKB2493" s="59"/>
      <c r="VKC2493" s="59"/>
      <c r="VKD2493" s="60"/>
      <c r="VKE2493" s="60"/>
      <c r="VKF2493" s="60"/>
      <c r="VKG2493" s="59"/>
      <c r="VKH2493" s="61"/>
      <c r="VKI2493" s="59"/>
      <c r="VKJ2493" s="59"/>
      <c r="VKK2493" s="59"/>
      <c r="VKL2493" s="60"/>
      <c r="VKM2493" s="60"/>
      <c r="VKN2493" s="60"/>
      <c r="VKO2493" s="59"/>
      <c r="VKP2493" s="61"/>
      <c r="VKQ2493" s="59"/>
      <c r="VKR2493" s="59"/>
      <c r="VKS2493" s="59"/>
      <c r="VKT2493" s="60"/>
      <c r="VKU2493" s="60"/>
      <c r="VKV2493" s="60"/>
      <c r="VKW2493" s="59"/>
      <c r="VKX2493" s="61"/>
      <c r="VKY2493" s="59"/>
      <c r="VKZ2493" s="59"/>
      <c r="VLA2493" s="59"/>
      <c r="VLB2493" s="60"/>
      <c r="VLC2493" s="60"/>
      <c r="VLD2493" s="60"/>
      <c r="VLE2493" s="59"/>
      <c r="VLF2493" s="61"/>
      <c r="VLG2493" s="59"/>
      <c r="VLH2493" s="59"/>
      <c r="VLI2493" s="59"/>
      <c r="VLJ2493" s="60"/>
      <c r="VLK2493" s="60"/>
      <c r="VLL2493" s="60"/>
      <c r="VLM2493" s="59"/>
      <c r="VLN2493" s="61"/>
      <c r="VLO2493" s="59"/>
      <c r="VLP2493" s="59"/>
      <c r="VLQ2493" s="59"/>
      <c r="VLR2493" s="60"/>
      <c r="VLS2493" s="60"/>
      <c r="VLT2493" s="60"/>
      <c r="VLU2493" s="59"/>
      <c r="VLV2493" s="61"/>
      <c r="VLW2493" s="59"/>
      <c r="VLX2493" s="59"/>
      <c r="VLY2493" s="59"/>
      <c r="VLZ2493" s="60"/>
      <c r="VMA2493" s="60"/>
      <c r="VMB2493" s="60"/>
      <c r="VMC2493" s="59"/>
      <c r="VMD2493" s="61"/>
      <c r="VME2493" s="59"/>
      <c r="VMF2493" s="59"/>
      <c r="VMG2493" s="59"/>
      <c r="VMH2493" s="60"/>
      <c r="VMI2493" s="60"/>
      <c r="VMJ2493" s="60"/>
      <c r="VMK2493" s="59"/>
      <c r="VML2493" s="61"/>
      <c r="VMM2493" s="59"/>
      <c r="VMN2493" s="59"/>
      <c r="VMO2493" s="59"/>
      <c r="VMP2493" s="60"/>
      <c r="VMQ2493" s="60"/>
      <c r="VMR2493" s="60"/>
      <c r="VMS2493" s="59"/>
      <c r="VMT2493" s="61"/>
      <c r="VMU2493" s="59"/>
      <c r="VMV2493" s="59"/>
      <c r="VMW2493" s="59"/>
      <c r="VMX2493" s="60"/>
      <c r="VMY2493" s="60"/>
      <c r="VMZ2493" s="60"/>
      <c r="VNA2493" s="59"/>
      <c r="VNB2493" s="61"/>
      <c r="VNC2493" s="59"/>
      <c r="VND2493" s="59"/>
      <c r="VNE2493" s="59"/>
      <c r="VNF2493" s="60"/>
      <c r="VNG2493" s="60"/>
      <c r="VNH2493" s="60"/>
      <c r="VNI2493" s="59"/>
      <c r="VNJ2493" s="61"/>
      <c r="VNK2493" s="59"/>
      <c r="VNL2493" s="59"/>
      <c r="VNM2493" s="59"/>
      <c r="VNN2493" s="60"/>
      <c r="VNO2493" s="60"/>
      <c r="VNP2493" s="60"/>
      <c r="VNQ2493" s="59"/>
      <c r="VNR2493" s="61"/>
      <c r="VNS2493" s="59"/>
      <c r="VNT2493" s="59"/>
      <c r="VNU2493" s="59"/>
      <c r="VNV2493" s="60"/>
      <c r="VNW2493" s="60"/>
      <c r="VNX2493" s="60"/>
      <c r="VNY2493" s="59"/>
      <c r="VNZ2493" s="61"/>
      <c r="VOA2493" s="59"/>
      <c r="VOB2493" s="59"/>
      <c r="VOC2493" s="59"/>
      <c r="VOD2493" s="60"/>
      <c r="VOE2493" s="60"/>
      <c r="VOF2493" s="60"/>
      <c r="VOG2493" s="59"/>
      <c r="VOH2493" s="61"/>
      <c r="VOI2493" s="59"/>
      <c r="VOJ2493" s="59"/>
      <c r="VOK2493" s="59"/>
      <c r="VOL2493" s="60"/>
      <c r="VOM2493" s="60"/>
      <c r="VON2493" s="60"/>
      <c r="VOO2493" s="59"/>
      <c r="VOP2493" s="61"/>
      <c r="VOQ2493" s="59"/>
      <c r="VOR2493" s="59"/>
      <c r="VOS2493" s="59"/>
      <c r="VOT2493" s="60"/>
      <c r="VOU2493" s="60"/>
      <c r="VOV2493" s="60"/>
      <c r="VOW2493" s="59"/>
      <c r="VOX2493" s="61"/>
      <c r="VOY2493" s="59"/>
      <c r="VOZ2493" s="59"/>
      <c r="VPA2493" s="59"/>
      <c r="VPB2493" s="60"/>
      <c r="VPC2493" s="60"/>
      <c r="VPD2493" s="60"/>
      <c r="VPE2493" s="59"/>
      <c r="VPF2493" s="61"/>
      <c r="VPG2493" s="59"/>
      <c r="VPH2493" s="59"/>
      <c r="VPI2493" s="59"/>
      <c r="VPJ2493" s="60"/>
      <c r="VPK2493" s="60"/>
      <c r="VPL2493" s="60"/>
      <c r="VPM2493" s="59"/>
      <c r="VPN2493" s="61"/>
      <c r="VPO2493" s="59"/>
      <c r="VPP2493" s="59"/>
      <c r="VPQ2493" s="59"/>
      <c r="VPR2493" s="60"/>
      <c r="VPS2493" s="60"/>
      <c r="VPT2493" s="60"/>
      <c r="VPU2493" s="59"/>
      <c r="VPV2493" s="61"/>
      <c r="VPW2493" s="59"/>
      <c r="VPX2493" s="59"/>
      <c r="VPY2493" s="59"/>
      <c r="VPZ2493" s="60"/>
      <c r="VQA2493" s="60"/>
      <c r="VQB2493" s="60"/>
      <c r="VQC2493" s="59"/>
      <c r="VQD2493" s="61"/>
      <c r="VQE2493" s="59"/>
      <c r="VQF2493" s="59"/>
      <c r="VQG2493" s="59"/>
      <c r="VQH2493" s="60"/>
      <c r="VQI2493" s="60"/>
      <c r="VQJ2493" s="60"/>
      <c r="VQK2493" s="59"/>
      <c r="VQL2493" s="61"/>
      <c r="VQM2493" s="59"/>
      <c r="VQN2493" s="59"/>
      <c r="VQO2493" s="59"/>
      <c r="VQP2493" s="60"/>
      <c r="VQQ2493" s="60"/>
      <c r="VQR2493" s="60"/>
      <c r="VQS2493" s="59"/>
      <c r="VQT2493" s="61"/>
      <c r="VQU2493" s="59"/>
      <c r="VQV2493" s="59"/>
      <c r="VQW2493" s="59"/>
      <c r="VQX2493" s="60"/>
      <c r="VQY2493" s="60"/>
      <c r="VQZ2493" s="60"/>
      <c r="VRA2493" s="59"/>
      <c r="VRB2493" s="61"/>
      <c r="VRC2493" s="59"/>
      <c r="VRD2493" s="59"/>
      <c r="VRE2493" s="59"/>
      <c r="VRF2493" s="60"/>
      <c r="VRG2493" s="60"/>
      <c r="VRH2493" s="60"/>
      <c r="VRI2493" s="59"/>
      <c r="VRJ2493" s="61"/>
      <c r="VRK2493" s="59"/>
      <c r="VRL2493" s="59"/>
      <c r="VRM2493" s="59"/>
      <c r="VRN2493" s="60"/>
      <c r="VRO2493" s="60"/>
      <c r="VRP2493" s="60"/>
      <c r="VRQ2493" s="59"/>
      <c r="VRR2493" s="61"/>
      <c r="VRS2493" s="59"/>
      <c r="VRT2493" s="59"/>
      <c r="VRU2493" s="59"/>
      <c r="VRV2493" s="60"/>
      <c r="VRW2493" s="60"/>
      <c r="VRX2493" s="60"/>
      <c r="VRY2493" s="59"/>
      <c r="VRZ2493" s="61"/>
      <c r="VSA2493" s="59"/>
      <c r="VSB2493" s="59"/>
      <c r="VSC2493" s="59"/>
      <c r="VSD2493" s="60"/>
      <c r="VSE2493" s="60"/>
      <c r="VSF2493" s="60"/>
      <c r="VSG2493" s="59"/>
      <c r="VSH2493" s="61"/>
      <c r="VSI2493" s="59"/>
      <c r="VSJ2493" s="59"/>
      <c r="VSK2493" s="59"/>
      <c r="VSL2493" s="60"/>
      <c r="VSM2493" s="60"/>
      <c r="VSN2493" s="60"/>
      <c r="VSO2493" s="59"/>
      <c r="VSP2493" s="61"/>
      <c r="VSQ2493" s="59"/>
      <c r="VSR2493" s="59"/>
      <c r="VSS2493" s="59"/>
      <c r="VST2493" s="60"/>
      <c r="VSU2493" s="60"/>
      <c r="VSV2493" s="60"/>
      <c r="VSW2493" s="59"/>
      <c r="VSX2493" s="61"/>
      <c r="VSY2493" s="59"/>
      <c r="VSZ2493" s="59"/>
      <c r="VTA2493" s="59"/>
      <c r="VTB2493" s="60"/>
      <c r="VTC2493" s="60"/>
      <c r="VTD2493" s="60"/>
      <c r="VTE2493" s="59"/>
      <c r="VTF2493" s="61"/>
      <c r="VTG2493" s="59"/>
      <c r="VTH2493" s="59"/>
      <c r="VTI2493" s="59"/>
      <c r="VTJ2493" s="60"/>
      <c r="VTK2493" s="60"/>
      <c r="VTL2493" s="60"/>
      <c r="VTM2493" s="59"/>
      <c r="VTN2493" s="61"/>
      <c r="VTO2493" s="59"/>
      <c r="VTP2493" s="59"/>
      <c r="VTQ2493" s="59"/>
      <c r="VTR2493" s="60"/>
      <c r="VTS2493" s="60"/>
      <c r="VTT2493" s="60"/>
      <c r="VTU2493" s="59"/>
      <c r="VTV2493" s="61"/>
      <c r="VTW2493" s="59"/>
      <c r="VTX2493" s="59"/>
      <c r="VTY2493" s="59"/>
      <c r="VTZ2493" s="60"/>
      <c r="VUA2493" s="60"/>
      <c r="VUB2493" s="60"/>
      <c r="VUC2493" s="59"/>
      <c r="VUD2493" s="61"/>
      <c r="VUE2493" s="59"/>
      <c r="VUF2493" s="59"/>
      <c r="VUG2493" s="59"/>
      <c r="VUH2493" s="60"/>
      <c r="VUI2493" s="60"/>
      <c r="VUJ2493" s="60"/>
      <c r="VUK2493" s="59"/>
      <c r="VUL2493" s="61"/>
      <c r="VUM2493" s="59"/>
      <c r="VUN2493" s="59"/>
      <c r="VUO2493" s="59"/>
      <c r="VUP2493" s="60"/>
      <c r="VUQ2493" s="60"/>
      <c r="VUR2493" s="60"/>
      <c r="VUS2493" s="59"/>
      <c r="VUT2493" s="61"/>
      <c r="VUU2493" s="59"/>
      <c r="VUV2493" s="59"/>
      <c r="VUW2493" s="59"/>
      <c r="VUX2493" s="60"/>
      <c r="VUY2493" s="60"/>
      <c r="VUZ2493" s="60"/>
      <c r="VVA2493" s="59"/>
      <c r="VVB2493" s="61"/>
      <c r="VVC2493" s="59"/>
      <c r="VVD2493" s="59"/>
      <c r="VVE2493" s="59"/>
      <c r="VVF2493" s="60"/>
      <c r="VVG2493" s="60"/>
      <c r="VVH2493" s="60"/>
      <c r="VVI2493" s="59"/>
      <c r="VVJ2493" s="61"/>
      <c r="VVK2493" s="59"/>
      <c r="VVL2493" s="59"/>
      <c r="VVM2493" s="59"/>
      <c r="VVN2493" s="60"/>
      <c r="VVO2493" s="60"/>
      <c r="VVP2493" s="60"/>
      <c r="VVQ2493" s="59"/>
      <c r="VVR2493" s="61"/>
      <c r="VVS2493" s="59"/>
      <c r="VVT2493" s="59"/>
      <c r="VVU2493" s="59"/>
      <c r="VVV2493" s="60"/>
      <c r="VVW2493" s="60"/>
      <c r="VVX2493" s="60"/>
      <c r="VVY2493" s="59"/>
      <c r="VVZ2493" s="61"/>
      <c r="VWA2493" s="59"/>
      <c r="VWB2493" s="59"/>
      <c r="VWC2493" s="59"/>
      <c r="VWD2493" s="60"/>
      <c r="VWE2493" s="60"/>
      <c r="VWF2493" s="60"/>
      <c r="VWG2493" s="59"/>
      <c r="VWH2493" s="61"/>
      <c r="VWI2493" s="59"/>
      <c r="VWJ2493" s="59"/>
      <c r="VWK2493" s="59"/>
      <c r="VWL2493" s="60"/>
      <c r="VWM2493" s="60"/>
      <c r="VWN2493" s="60"/>
      <c r="VWO2493" s="59"/>
      <c r="VWP2493" s="61"/>
      <c r="VWQ2493" s="59"/>
      <c r="VWR2493" s="59"/>
      <c r="VWS2493" s="59"/>
      <c r="VWT2493" s="60"/>
      <c r="VWU2493" s="60"/>
      <c r="VWV2493" s="60"/>
      <c r="VWW2493" s="59"/>
      <c r="VWX2493" s="61"/>
      <c r="VWY2493" s="59"/>
      <c r="VWZ2493" s="59"/>
      <c r="VXA2493" s="59"/>
      <c r="VXB2493" s="60"/>
      <c r="VXC2493" s="60"/>
      <c r="VXD2493" s="60"/>
      <c r="VXE2493" s="59"/>
      <c r="VXF2493" s="61"/>
      <c r="VXG2493" s="59"/>
      <c r="VXH2493" s="59"/>
      <c r="VXI2493" s="59"/>
      <c r="VXJ2493" s="60"/>
      <c r="VXK2493" s="60"/>
      <c r="VXL2493" s="60"/>
      <c r="VXM2493" s="59"/>
      <c r="VXN2493" s="61"/>
      <c r="VXO2493" s="59"/>
      <c r="VXP2493" s="59"/>
      <c r="VXQ2493" s="59"/>
      <c r="VXR2493" s="60"/>
      <c r="VXS2493" s="60"/>
      <c r="VXT2493" s="60"/>
      <c r="VXU2493" s="59"/>
      <c r="VXV2493" s="61"/>
      <c r="VXW2493" s="59"/>
      <c r="VXX2493" s="59"/>
      <c r="VXY2493" s="59"/>
      <c r="VXZ2493" s="60"/>
      <c r="VYA2493" s="60"/>
      <c r="VYB2493" s="60"/>
      <c r="VYC2493" s="59"/>
      <c r="VYD2493" s="61"/>
      <c r="VYE2493" s="59"/>
      <c r="VYF2493" s="59"/>
      <c r="VYG2493" s="59"/>
      <c r="VYH2493" s="60"/>
      <c r="VYI2493" s="60"/>
      <c r="VYJ2493" s="60"/>
      <c r="VYK2493" s="59"/>
      <c r="VYL2493" s="61"/>
      <c r="VYM2493" s="59"/>
      <c r="VYN2493" s="59"/>
      <c r="VYO2493" s="59"/>
      <c r="VYP2493" s="60"/>
      <c r="VYQ2493" s="60"/>
      <c r="VYR2493" s="60"/>
      <c r="VYS2493" s="59"/>
      <c r="VYT2493" s="61"/>
      <c r="VYU2493" s="59"/>
      <c r="VYV2493" s="59"/>
      <c r="VYW2493" s="59"/>
      <c r="VYX2493" s="60"/>
      <c r="VYY2493" s="60"/>
      <c r="VYZ2493" s="60"/>
      <c r="VZA2493" s="59"/>
      <c r="VZB2493" s="61"/>
      <c r="VZC2493" s="59"/>
      <c r="VZD2493" s="59"/>
      <c r="VZE2493" s="59"/>
      <c r="VZF2493" s="60"/>
      <c r="VZG2493" s="60"/>
      <c r="VZH2493" s="60"/>
      <c r="VZI2493" s="59"/>
      <c r="VZJ2493" s="61"/>
      <c r="VZK2493" s="59"/>
      <c r="VZL2493" s="59"/>
      <c r="VZM2493" s="59"/>
      <c r="VZN2493" s="60"/>
      <c r="VZO2493" s="60"/>
      <c r="VZP2493" s="60"/>
      <c r="VZQ2493" s="59"/>
      <c r="VZR2493" s="61"/>
      <c r="VZS2493" s="59"/>
      <c r="VZT2493" s="59"/>
      <c r="VZU2493" s="59"/>
      <c r="VZV2493" s="60"/>
      <c r="VZW2493" s="60"/>
      <c r="VZX2493" s="60"/>
      <c r="VZY2493" s="59"/>
      <c r="VZZ2493" s="61"/>
      <c r="WAA2493" s="59"/>
      <c r="WAB2493" s="59"/>
      <c r="WAC2493" s="59"/>
      <c r="WAD2493" s="60"/>
      <c r="WAE2493" s="60"/>
      <c r="WAF2493" s="60"/>
      <c r="WAG2493" s="59"/>
      <c r="WAH2493" s="61"/>
      <c r="WAI2493" s="59"/>
      <c r="WAJ2493" s="59"/>
      <c r="WAK2493" s="59"/>
      <c r="WAL2493" s="60"/>
      <c r="WAM2493" s="60"/>
      <c r="WAN2493" s="60"/>
      <c r="WAO2493" s="59"/>
      <c r="WAP2493" s="61"/>
      <c r="WAQ2493" s="59"/>
      <c r="WAR2493" s="59"/>
      <c r="WAS2493" s="59"/>
      <c r="WAT2493" s="60"/>
      <c r="WAU2493" s="60"/>
      <c r="WAV2493" s="60"/>
      <c r="WAW2493" s="59"/>
      <c r="WAX2493" s="61"/>
      <c r="WAY2493" s="59"/>
      <c r="WAZ2493" s="59"/>
      <c r="WBA2493" s="59"/>
      <c r="WBB2493" s="60"/>
      <c r="WBC2493" s="60"/>
      <c r="WBD2493" s="60"/>
      <c r="WBE2493" s="59"/>
      <c r="WBF2493" s="61"/>
      <c r="WBG2493" s="59"/>
      <c r="WBH2493" s="59"/>
      <c r="WBI2493" s="59"/>
      <c r="WBJ2493" s="60"/>
      <c r="WBK2493" s="60"/>
      <c r="WBL2493" s="60"/>
      <c r="WBM2493" s="59"/>
      <c r="WBN2493" s="61"/>
      <c r="WBO2493" s="59"/>
      <c r="WBP2493" s="59"/>
      <c r="WBQ2493" s="59"/>
      <c r="WBR2493" s="60"/>
      <c r="WBS2493" s="60"/>
      <c r="WBT2493" s="60"/>
      <c r="WBU2493" s="59"/>
      <c r="WBV2493" s="61"/>
      <c r="WBW2493" s="59"/>
      <c r="WBX2493" s="59"/>
      <c r="WBY2493" s="59"/>
      <c r="WBZ2493" s="60"/>
      <c r="WCA2493" s="60"/>
      <c r="WCB2493" s="60"/>
      <c r="WCC2493" s="59"/>
      <c r="WCD2493" s="61"/>
      <c r="WCE2493" s="59"/>
      <c r="WCF2493" s="59"/>
      <c r="WCG2493" s="59"/>
      <c r="WCH2493" s="60"/>
      <c r="WCI2493" s="60"/>
      <c r="WCJ2493" s="60"/>
      <c r="WCK2493" s="59"/>
      <c r="WCL2493" s="61"/>
      <c r="WCM2493" s="59"/>
      <c r="WCN2493" s="59"/>
      <c r="WCO2493" s="59"/>
      <c r="WCP2493" s="60"/>
      <c r="WCQ2493" s="60"/>
      <c r="WCR2493" s="60"/>
      <c r="WCS2493" s="59"/>
      <c r="WCT2493" s="61"/>
      <c r="WCU2493" s="59"/>
      <c r="WCV2493" s="59"/>
      <c r="WCW2493" s="59"/>
      <c r="WCX2493" s="60"/>
      <c r="WCY2493" s="60"/>
      <c r="WCZ2493" s="60"/>
      <c r="WDA2493" s="59"/>
      <c r="WDB2493" s="61"/>
      <c r="WDC2493" s="59"/>
      <c r="WDD2493" s="59"/>
      <c r="WDE2493" s="59"/>
      <c r="WDF2493" s="60"/>
      <c r="WDG2493" s="60"/>
      <c r="WDH2493" s="60"/>
      <c r="WDI2493" s="59"/>
      <c r="WDJ2493" s="61"/>
      <c r="WDK2493" s="59"/>
      <c r="WDL2493" s="59"/>
      <c r="WDM2493" s="59"/>
      <c r="WDN2493" s="60"/>
      <c r="WDO2493" s="60"/>
      <c r="WDP2493" s="60"/>
      <c r="WDQ2493" s="59"/>
      <c r="WDR2493" s="61"/>
      <c r="WDS2493" s="59"/>
      <c r="WDT2493" s="59"/>
      <c r="WDU2493" s="59"/>
      <c r="WDV2493" s="60"/>
      <c r="WDW2493" s="60"/>
      <c r="WDX2493" s="60"/>
      <c r="WDY2493" s="59"/>
      <c r="WDZ2493" s="61"/>
      <c r="WEA2493" s="59"/>
      <c r="WEB2493" s="59"/>
      <c r="WEC2493" s="59"/>
      <c r="WED2493" s="60"/>
      <c r="WEE2493" s="60"/>
      <c r="WEF2493" s="60"/>
      <c r="WEG2493" s="59"/>
      <c r="WEH2493" s="61"/>
      <c r="WEI2493" s="59"/>
      <c r="WEJ2493" s="59"/>
      <c r="WEK2493" s="59"/>
      <c r="WEL2493" s="60"/>
      <c r="WEM2493" s="60"/>
      <c r="WEN2493" s="60"/>
      <c r="WEO2493" s="59"/>
      <c r="WEP2493" s="61"/>
      <c r="WEQ2493" s="59"/>
      <c r="WER2493" s="59"/>
      <c r="WES2493" s="59"/>
      <c r="WET2493" s="60"/>
      <c r="WEU2493" s="60"/>
      <c r="WEV2493" s="60"/>
      <c r="WEW2493" s="59"/>
      <c r="WEX2493" s="61"/>
      <c r="WEY2493" s="59"/>
      <c r="WEZ2493" s="59"/>
      <c r="WFA2493" s="59"/>
      <c r="WFB2493" s="60"/>
      <c r="WFC2493" s="60"/>
      <c r="WFD2493" s="60"/>
      <c r="WFE2493" s="59"/>
      <c r="WFF2493" s="61"/>
      <c r="WFG2493" s="59"/>
      <c r="WFH2493" s="59"/>
      <c r="WFI2493" s="59"/>
      <c r="WFJ2493" s="60"/>
      <c r="WFK2493" s="60"/>
      <c r="WFL2493" s="60"/>
      <c r="WFM2493" s="59"/>
      <c r="WFN2493" s="61"/>
      <c r="WFO2493" s="59"/>
      <c r="WFP2493" s="59"/>
      <c r="WFQ2493" s="59"/>
      <c r="WFR2493" s="60"/>
      <c r="WFS2493" s="60"/>
      <c r="WFT2493" s="60"/>
      <c r="WFU2493" s="59"/>
      <c r="WFV2493" s="61"/>
      <c r="WFW2493" s="59"/>
      <c r="WFX2493" s="59"/>
      <c r="WFY2493" s="59"/>
      <c r="WFZ2493" s="60"/>
      <c r="WGA2493" s="60"/>
      <c r="WGB2493" s="60"/>
      <c r="WGC2493" s="59"/>
      <c r="WGD2493" s="61"/>
      <c r="WGE2493" s="59"/>
      <c r="WGF2493" s="59"/>
      <c r="WGG2493" s="59"/>
      <c r="WGH2493" s="60"/>
      <c r="WGI2493" s="60"/>
      <c r="WGJ2493" s="60"/>
      <c r="WGK2493" s="59"/>
      <c r="WGL2493" s="61"/>
      <c r="WGM2493" s="59"/>
      <c r="WGN2493" s="59"/>
      <c r="WGO2493" s="59"/>
      <c r="WGP2493" s="60"/>
      <c r="WGQ2493" s="60"/>
      <c r="WGR2493" s="60"/>
      <c r="WGS2493" s="59"/>
      <c r="WGT2493" s="61"/>
      <c r="WGU2493" s="59"/>
      <c r="WGV2493" s="59"/>
      <c r="WGW2493" s="59"/>
      <c r="WGX2493" s="60"/>
      <c r="WGY2493" s="60"/>
      <c r="WGZ2493" s="60"/>
      <c r="WHA2493" s="59"/>
      <c r="WHB2493" s="61"/>
      <c r="WHC2493" s="59"/>
      <c r="WHD2493" s="59"/>
      <c r="WHE2493" s="59"/>
      <c r="WHF2493" s="60"/>
      <c r="WHG2493" s="60"/>
      <c r="WHH2493" s="60"/>
      <c r="WHI2493" s="59"/>
      <c r="WHJ2493" s="61"/>
      <c r="WHK2493" s="59"/>
      <c r="WHL2493" s="59"/>
      <c r="WHM2493" s="59"/>
      <c r="WHN2493" s="60"/>
      <c r="WHO2493" s="60"/>
      <c r="WHP2493" s="60"/>
      <c r="WHQ2493" s="59"/>
      <c r="WHR2493" s="61"/>
      <c r="WHS2493" s="59"/>
      <c r="WHT2493" s="59"/>
      <c r="WHU2493" s="59"/>
      <c r="WHV2493" s="60"/>
      <c r="WHW2493" s="60"/>
      <c r="WHX2493" s="60"/>
      <c r="WHY2493" s="59"/>
      <c r="WHZ2493" s="61"/>
      <c r="WIA2493" s="59"/>
      <c r="WIB2493" s="59"/>
      <c r="WIC2493" s="59"/>
      <c r="WID2493" s="60"/>
      <c r="WIE2493" s="60"/>
      <c r="WIF2493" s="60"/>
      <c r="WIG2493" s="59"/>
      <c r="WIH2493" s="61"/>
      <c r="WII2493" s="59"/>
      <c r="WIJ2493" s="59"/>
      <c r="WIK2493" s="59"/>
      <c r="WIL2493" s="60"/>
      <c r="WIM2493" s="60"/>
      <c r="WIN2493" s="60"/>
      <c r="WIO2493" s="59"/>
      <c r="WIP2493" s="61"/>
      <c r="WIQ2493" s="59"/>
      <c r="WIR2493" s="59"/>
      <c r="WIS2493" s="59"/>
      <c r="WIT2493" s="60"/>
      <c r="WIU2493" s="60"/>
      <c r="WIV2493" s="60"/>
      <c r="WIW2493" s="59"/>
      <c r="WIX2493" s="61"/>
      <c r="WIY2493" s="59"/>
      <c r="WIZ2493" s="59"/>
      <c r="WJA2493" s="59"/>
      <c r="WJB2493" s="60"/>
      <c r="WJC2493" s="60"/>
      <c r="WJD2493" s="60"/>
      <c r="WJE2493" s="59"/>
      <c r="WJF2493" s="61"/>
      <c r="WJG2493" s="59"/>
      <c r="WJH2493" s="59"/>
      <c r="WJI2493" s="59"/>
      <c r="WJJ2493" s="60"/>
      <c r="WJK2493" s="60"/>
      <c r="WJL2493" s="60"/>
      <c r="WJM2493" s="59"/>
      <c r="WJN2493" s="61"/>
      <c r="WJO2493" s="59"/>
      <c r="WJP2493" s="59"/>
      <c r="WJQ2493" s="59"/>
      <c r="WJR2493" s="60"/>
      <c r="WJS2493" s="60"/>
      <c r="WJT2493" s="60"/>
      <c r="WJU2493" s="59"/>
      <c r="WJV2493" s="61"/>
      <c r="WJW2493" s="59"/>
      <c r="WJX2493" s="59"/>
      <c r="WJY2493" s="59"/>
      <c r="WJZ2493" s="60"/>
      <c r="WKA2493" s="60"/>
      <c r="WKB2493" s="60"/>
      <c r="WKC2493" s="59"/>
      <c r="WKD2493" s="61"/>
      <c r="WKE2493" s="59"/>
      <c r="WKF2493" s="59"/>
      <c r="WKG2493" s="59"/>
      <c r="WKH2493" s="60"/>
      <c r="WKI2493" s="60"/>
      <c r="WKJ2493" s="60"/>
      <c r="WKK2493" s="59"/>
      <c r="WKL2493" s="61"/>
      <c r="WKM2493" s="59"/>
      <c r="WKN2493" s="59"/>
      <c r="WKO2493" s="59"/>
      <c r="WKP2493" s="60"/>
      <c r="WKQ2493" s="60"/>
      <c r="WKR2493" s="60"/>
      <c r="WKS2493" s="59"/>
      <c r="WKT2493" s="61"/>
      <c r="WKU2493" s="59"/>
      <c r="WKV2493" s="59"/>
      <c r="WKW2493" s="59"/>
      <c r="WKX2493" s="60"/>
      <c r="WKY2493" s="60"/>
      <c r="WKZ2493" s="60"/>
      <c r="WLA2493" s="59"/>
      <c r="WLB2493" s="61"/>
      <c r="WLC2493" s="59"/>
      <c r="WLD2493" s="59"/>
      <c r="WLE2493" s="59"/>
      <c r="WLF2493" s="60"/>
      <c r="WLG2493" s="60"/>
      <c r="WLH2493" s="60"/>
      <c r="WLI2493" s="59"/>
      <c r="WLJ2493" s="61"/>
      <c r="WLK2493" s="59"/>
      <c r="WLL2493" s="59"/>
      <c r="WLM2493" s="59"/>
      <c r="WLN2493" s="60"/>
      <c r="WLO2493" s="60"/>
      <c r="WLP2493" s="60"/>
      <c r="WLQ2493" s="59"/>
      <c r="WLR2493" s="61"/>
      <c r="WLS2493" s="59"/>
      <c r="WLT2493" s="59"/>
      <c r="WLU2493" s="59"/>
      <c r="WLV2493" s="60"/>
      <c r="WLW2493" s="60"/>
      <c r="WLX2493" s="60"/>
      <c r="WLY2493" s="59"/>
      <c r="WLZ2493" s="61"/>
      <c r="WMA2493" s="59"/>
      <c r="WMB2493" s="59"/>
      <c r="WMC2493" s="59"/>
      <c r="WMD2493" s="60"/>
      <c r="WME2493" s="60"/>
      <c r="WMF2493" s="60"/>
      <c r="WMG2493" s="59"/>
      <c r="WMH2493" s="61"/>
      <c r="WMI2493" s="59"/>
      <c r="WMJ2493" s="59"/>
      <c r="WMK2493" s="59"/>
      <c r="WML2493" s="60"/>
      <c r="WMM2493" s="60"/>
      <c r="WMN2493" s="60"/>
      <c r="WMO2493" s="59"/>
      <c r="WMP2493" s="61"/>
      <c r="WMQ2493" s="59"/>
      <c r="WMR2493" s="59"/>
      <c r="WMS2493" s="59"/>
      <c r="WMT2493" s="60"/>
      <c r="WMU2493" s="60"/>
      <c r="WMV2493" s="60"/>
      <c r="WMW2493" s="59"/>
      <c r="WMX2493" s="61"/>
      <c r="WMY2493" s="59"/>
      <c r="WMZ2493" s="59"/>
      <c r="WNA2493" s="59"/>
      <c r="WNB2493" s="60"/>
      <c r="WNC2493" s="60"/>
      <c r="WND2493" s="60"/>
      <c r="WNE2493" s="59"/>
      <c r="WNF2493" s="61"/>
      <c r="WNG2493" s="59"/>
      <c r="WNH2493" s="59"/>
      <c r="WNI2493" s="59"/>
      <c r="WNJ2493" s="60"/>
      <c r="WNK2493" s="60"/>
      <c r="WNL2493" s="60"/>
      <c r="WNM2493" s="59"/>
      <c r="WNN2493" s="61"/>
      <c r="WNO2493" s="59"/>
      <c r="WNP2493" s="59"/>
      <c r="WNQ2493" s="59"/>
      <c r="WNR2493" s="60"/>
      <c r="WNS2493" s="60"/>
      <c r="WNT2493" s="60"/>
      <c r="WNU2493" s="59"/>
      <c r="WNV2493" s="61"/>
      <c r="WNW2493" s="59"/>
      <c r="WNX2493" s="59"/>
      <c r="WNY2493" s="59"/>
      <c r="WNZ2493" s="60"/>
      <c r="WOA2493" s="60"/>
      <c r="WOB2493" s="60"/>
      <c r="WOC2493" s="59"/>
      <c r="WOD2493" s="61"/>
      <c r="WOE2493" s="59"/>
      <c r="WOF2493" s="59"/>
      <c r="WOG2493" s="59"/>
      <c r="WOH2493" s="60"/>
      <c r="WOI2493" s="60"/>
      <c r="WOJ2493" s="60"/>
      <c r="WOK2493" s="59"/>
      <c r="WOL2493" s="61"/>
      <c r="WOM2493" s="59"/>
      <c r="WON2493" s="59"/>
      <c r="WOO2493" s="59"/>
      <c r="WOP2493" s="60"/>
      <c r="WOQ2493" s="60"/>
      <c r="WOR2493" s="60"/>
      <c r="WOS2493" s="59"/>
      <c r="WOT2493" s="61"/>
      <c r="WOU2493" s="59"/>
      <c r="WOV2493" s="59"/>
      <c r="WOW2493" s="59"/>
      <c r="WOX2493" s="60"/>
      <c r="WOY2493" s="60"/>
      <c r="WOZ2493" s="60"/>
      <c r="WPA2493" s="59"/>
      <c r="WPB2493" s="61"/>
      <c r="WPC2493" s="59"/>
      <c r="WPD2493" s="59"/>
      <c r="WPE2493" s="59"/>
      <c r="WPF2493" s="60"/>
      <c r="WPG2493" s="60"/>
      <c r="WPH2493" s="60"/>
      <c r="WPI2493" s="59"/>
      <c r="WPJ2493" s="61"/>
      <c r="WPK2493" s="59"/>
      <c r="WPL2493" s="59"/>
      <c r="WPM2493" s="59"/>
      <c r="WPN2493" s="60"/>
      <c r="WPO2493" s="60"/>
      <c r="WPP2493" s="60"/>
      <c r="WPQ2493" s="59"/>
      <c r="WPR2493" s="61"/>
      <c r="WPS2493" s="59"/>
      <c r="WPT2493" s="59"/>
      <c r="WPU2493" s="59"/>
      <c r="WPV2493" s="60"/>
      <c r="WPW2493" s="60"/>
      <c r="WPX2493" s="60"/>
      <c r="WPY2493" s="59"/>
      <c r="WPZ2493" s="61"/>
      <c r="WQA2493" s="59"/>
      <c r="WQB2493" s="59"/>
      <c r="WQC2493" s="59"/>
      <c r="WQD2493" s="60"/>
      <c r="WQE2493" s="60"/>
      <c r="WQF2493" s="60"/>
      <c r="WQG2493" s="59"/>
      <c r="WQH2493" s="61"/>
      <c r="WQI2493" s="59"/>
      <c r="WQJ2493" s="59"/>
      <c r="WQK2493" s="59"/>
      <c r="WQL2493" s="60"/>
      <c r="WQM2493" s="60"/>
      <c r="WQN2493" s="60"/>
      <c r="WQO2493" s="59"/>
      <c r="WQP2493" s="61"/>
      <c r="WQQ2493" s="59"/>
      <c r="WQR2493" s="59"/>
      <c r="WQS2493" s="59"/>
      <c r="WQT2493" s="60"/>
      <c r="WQU2493" s="60"/>
      <c r="WQV2493" s="60"/>
      <c r="WQW2493" s="59"/>
      <c r="WQX2493" s="61"/>
      <c r="WQY2493" s="59"/>
      <c r="WQZ2493" s="59"/>
      <c r="WRA2493" s="59"/>
      <c r="WRB2493" s="60"/>
      <c r="WRC2493" s="60"/>
      <c r="WRD2493" s="60"/>
      <c r="WRE2493" s="59"/>
      <c r="WRF2493" s="61"/>
      <c r="WRG2493" s="59"/>
      <c r="WRH2493" s="59"/>
      <c r="WRI2493" s="59"/>
      <c r="WRJ2493" s="60"/>
      <c r="WRK2493" s="60"/>
      <c r="WRL2493" s="60"/>
      <c r="WRM2493" s="59"/>
      <c r="WRN2493" s="61"/>
      <c r="WRO2493" s="59"/>
      <c r="WRP2493" s="59"/>
      <c r="WRQ2493" s="59"/>
      <c r="WRR2493" s="60"/>
      <c r="WRS2493" s="60"/>
      <c r="WRT2493" s="60"/>
      <c r="WRU2493" s="59"/>
      <c r="WRV2493" s="61"/>
      <c r="WRW2493" s="59"/>
      <c r="WRX2493" s="59"/>
      <c r="WRY2493" s="59"/>
      <c r="WRZ2493" s="60"/>
      <c r="WSA2493" s="60"/>
      <c r="WSB2493" s="60"/>
      <c r="WSC2493" s="59"/>
      <c r="WSD2493" s="61"/>
      <c r="WSE2493" s="59"/>
      <c r="WSF2493" s="59"/>
      <c r="WSG2493" s="59"/>
      <c r="WSH2493" s="60"/>
      <c r="WSI2493" s="60"/>
      <c r="WSJ2493" s="60"/>
      <c r="WSK2493" s="59"/>
      <c r="WSL2493" s="61"/>
      <c r="WSM2493" s="59"/>
      <c r="WSN2493" s="59"/>
      <c r="WSO2493" s="59"/>
      <c r="WSP2493" s="60"/>
      <c r="WSQ2493" s="60"/>
      <c r="WSR2493" s="60"/>
      <c r="WSS2493" s="59"/>
      <c r="WST2493" s="61"/>
      <c r="WSU2493" s="59"/>
      <c r="WSV2493" s="59"/>
      <c r="WSW2493" s="59"/>
      <c r="WSX2493" s="60"/>
      <c r="WSY2493" s="60"/>
      <c r="WSZ2493" s="60"/>
      <c r="WTA2493" s="59"/>
      <c r="WTB2493" s="61"/>
      <c r="WTC2493" s="59"/>
      <c r="WTD2493" s="59"/>
      <c r="WTE2493" s="59"/>
      <c r="WTF2493" s="60"/>
      <c r="WTG2493" s="60"/>
      <c r="WTH2493" s="60"/>
      <c r="WTI2493" s="59"/>
      <c r="WTJ2493" s="61"/>
      <c r="WTK2493" s="59"/>
      <c r="WTL2493" s="59"/>
      <c r="WTM2493" s="59"/>
      <c r="WTN2493" s="60"/>
      <c r="WTO2493" s="60"/>
      <c r="WTP2493" s="60"/>
      <c r="WTQ2493" s="59"/>
      <c r="WTR2493" s="61"/>
      <c r="WTS2493" s="59"/>
      <c r="WTT2493" s="59"/>
      <c r="WTU2493" s="59"/>
      <c r="WTV2493" s="60"/>
      <c r="WTW2493" s="60"/>
      <c r="WTX2493" s="60"/>
      <c r="WTY2493" s="59"/>
      <c r="WTZ2493" s="61"/>
      <c r="WUA2493" s="59"/>
      <c r="WUB2493" s="59"/>
      <c r="WUC2493" s="59"/>
      <c r="WUD2493" s="60"/>
      <c r="WUE2493" s="60"/>
      <c r="WUF2493" s="60"/>
      <c r="WUG2493" s="59"/>
      <c r="WUH2493" s="61"/>
      <c r="WUI2493" s="59"/>
      <c r="WUJ2493" s="59"/>
      <c r="WUK2493" s="59"/>
      <c r="WUL2493" s="60"/>
      <c r="WUM2493" s="60"/>
      <c r="WUN2493" s="60"/>
      <c r="WUO2493" s="59"/>
      <c r="WUP2493" s="61"/>
      <c r="WUQ2493" s="59"/>
      <c r="WUR2493" s="59"/>
      <c r="WUS2493" s="59"/>
      <c r="WUT2493" s="60"/>
      <c r="WUU2493" s="60"/>
      <c r="WUV2493" s="60"/>
      <c r="WUW2493" s="59"/>
      <c r="WUX2493" s="61"/>
      <c r="WUY2493" s="59"/>
      <c r="WUZ2493" s="59"/>
      <c r="WVA2493" s="59"/>
      <c r="WVB2493" s="60"/>
      <c r="WVC2493" s="60"/>
      <c r="WVD2493" s="60"/>
      <c r="WVE2493" s="59"/>
      <c r="WVF2493" s="61"/>
      <c r="WVG2493" s="59"/>
      <c r="WVH2493" s="59"/>
      <c r="WVI2493" s="59"/>
      <c r="WVJ2493" s="60"/>
      <c r="WVK2493" s="60"/>
      <c r="WVL2493" s="60"/>
      <c r="WVM2493" s="59"/>
      <c r="WVN2493" s="61"/>
      <c r="WVO2493" s="59"/>
      <c r="WVP2493" s="59"/>
      <c r="WVQ2493" s="59"/>
      <c r="WVR2493" s="60"/>
      <c r="WVS2493" s="60"/>
      <c r="WVT2493" s="60"/>
      <c r="WVU2493" s="59"/>
      <c r="WVV2493" s="61"/>
      <c r="WVW2493" s="59"/>
      <c r="WVX2493" s="59"/>
      <c r="WVY2493" s="59"/>
      <c r="WVZ2493" s="60"/>
      <c r="WWA2493" s="60"/>
      <c r="WWB2493" s="60"/>
      <c r="WWC2493" s="59"/>
      <c r="WWD2493" s="61"/>
      <c r="WWE2493" s="59"/>
      <c r="WWF2493" s="59"/>
      <c r="WWG2493" s="59"/>
      <c r="WWH2493" s="60"/>
      <c r="WWI2493" s="60"/>
      <c r="WWJ2493" s="60"/>
      <c r="WWK2493" s="59"/>
      <c r="WWL2493" s="61"/>
      <c r="WWM2493" s="59"/>
      <c r="WWN2493" s="59"/>
      <c r="WWO2493" s="59"/>
      <c r="WWP2493" s="60"/>
      <c r="WWQ2493" s="60"/>
      <c r="WWR2493" s="60"/>
      <c r="WWS2493" s="59"/>
      <c r="WWT2493" s="61"/>
      <c r="WWU2493" s="59"/>
      <c r="WWV2493" s="59"/>
      <c r="WWW2493" s="59"/>
      <c r="WWX2493" s="60"/>
      <c r="WWY2493" s="60"/>
      <c r="WWZ2493" s="60"/>
      <c r="WXA2493" s="59"/>
      <c r="WXB2493" s="61"/>
      <c r="WXC2493" s="59"/>
      <c r="WXD2493" s="59"/>
      <c r="WXE2493" s="59"/>
      <c r="WXF2493" s="60"/>
      <c r="WXG2493" s="60"/>
      <c r="WXH2493" s="60"/>
      <c r="WXI2493" s="59"/>
      <c r="WXJ2493" s="61"/>
      <c r="WXK2493" s="59"/>
      <c r="WXL2493" s="59"/>
      <c r="WXM2493" s="59"/>
      <c r="WXN2493" s="60"/>
      <c r="WXO2493" s="60"/>
      <c r="WXP2493" s="60"/>
      <c r="WXQ2493" s="59"/>
      <c r="WXR2493" s="61"/>
      <c r="WXS2493" s="59"/>
      <c r="WXT2493" s="59"/>
      <c r="WXU2493" s="59"/>
      <c r="WXV2493" s="60"/>
      <c r="WXW2493" s="60"/>
      <c r="WXX2493" s="60"/>
      <c r="WXY2493" s="59"/>
      <c r="WXZ2493" s="61"/>
      <c r="WYA2493" s="59"/>
      <c r="WYB2493" s="59"/>
      <c r="WYC2493" s="59"/>
      <c r="WYD2493" s="60"/>
      <c r="WYE2493" s="60"/>
      <c r="WYF2493" s="60"/>
      <c r="WYG2493" s="59"/>
      <c r="WYH2493" s="61"/>
      <c r="WYI2493" s="59"/>
      <c r="WYJ2493" s="59"/>
      <c r="WYK2493" s="59"/>
      <c r="WYL2493" s="60"/>
      <c r="WYM2493" s="60"/>
      <c r="WYN2493" s="60"/>
      <c r="WYO2493" s="59"/>
      <c r="WYP2493" s="61"/>
      <c r="WYQ2493" s="59"/>
      <c r="WYR2493" s="59"/>
      <c r="WYS2493" s="59"/>
      <c r="WYT2493" s="60"/>
      <c r="WYU2493" s="60"/>
      <c r="WYV2493" s="60"/>
      <c r="WYW2493" s="59"/>
      <c r="WYX2493" s="61"/>
      <c r="WYY2493" s="59"/>
      <c r="WYZ2493" s="59"/>
      <c r="WZA2493" s="59"/>
      <c r="WZB2493" s="60"/>
      <c r="WZC2493" s="60"/>
      <c r="WZD2493" s="60"/>
      <c r="WZE2493" s="59"/>
      <c r="WZF2493" s="61"/>
      <c r="WZG2493" s="59"/>
      <c r="WZH2493" s="59"/>
      <c r="WZI2493" s="59"/>
      <c r="WZJ2493" s="60"/>
      <c r="WZK2493" s="60"/>
      <c r="WZL2493" s="60"/>
      <c r="WZM2493" s="59"/>
      <c r="WZN2493" s="61"/>
      <c r="WZO2493" s="59"/>
      <c r="WZP2493" s="59"/>
      <c r="WZQ2493" s="59"/>
      <c r="WZR2493" s="60"/>
      <c r="WZS2493" s="60"/>
      <c r="WZT2493" s="60"/>
      <c r="WZU2493" s="59"/>
      <c r="WZV2493" s="61"/>
      <c r="WZW2493" s="59"/>
      <c r="WZX2493" s="59"/>
      <c r="WZY2493" s="59"/>
      <c r="WZZ2493" s="60"/>
      <c r="XAA2493" s="60"/>
      <c r="XAB2493" s="60"/>
      <c r="XAC2493" s="59"/>
      <c r="XAD2493" s="61"/>
      <c r="XAE2493" s="59"/>
      <c r="XAF2493" s="59"/>
      <c r="XAG2493" s="59"/>
      <c r="XAH2493" s="60"/>
      <c r="XAI2493" s="60"/>
      <c r="XAJ2493" s="60"/>
      <c r="XAK2493" s="59"/>
      <c r="XAL2493" s="61"/>
      <c r="XAM2493" s="59"/>
      <c r="XAN2493" s="59"/>
      <c r="XAO2493" s="59"/>
      <c r="XAP2493" s="60"/>
      <c r="XAQ2493" s="60"/>
      <c r="XAR2493" s="60"/>
      <c r="XAS2493" s="59"/>
      <c r="XAT2493" s="61"/>
      <c r="XAU2493" s="59"/>
      <c r="XAV2493" s="59"/>
      <c r="XAW2493" s="59"/>
      <c r="XAX2493" s="60"/>
      <c r="XAY2493" s="60"/>
      <c r="XAZ2493" s="60"/>
      <c r="XBA2493" s="59"/>
      <c r="XBB2493" s="61"/>
      <c r="XBC2493" s="59"/>
      <c r="XBD2493" s="59"/>
      <c r="XBE2493" s="59"/>
      <c r="XBF2493" s="60"/>
      <c r="XBG2493" s="60"/>
      <c r="XBH2493" s="60"/>
      <c r="XBI2493" s="59"/>
      <c r="XBJ2493" s="61"/>
      <c r="XBK2493" s="59"/>
      <c r="XBL2493" s="59"/>
      <c r="XBM2493" s="59"/>
      <c r="XBN2493" s="60"/>
      <c r="XBO2493" s="60"/>
      <c r="XBP2493" s="60"/>
      <c r="XBQ2493" s="59"/>
      <c r="XBR2493" s="61"/>
      <c r="XBS2493" s="59"/>
      <c r="XBT2493" s="59"/>
      <c r="XBU2493" s="59"/>
      <c r="XBV2493" s="60"/>
      <c r="XBW2493" s="60"/>
      <c r="XBX2493" s="60"/>
      <c r="XBY2493" s="59"/>
      <c r="XBZ2493" s="61"/>
      <c r="XCA2493" s="59"/>
      <c r="XCB2493" s="59"/>
      <c r="XCC2493" s="59"/>
      <c r="XCD2493" s="60"/>
      <c r="XCE2493" s="60"/>
      <c r="XCF2493" s="60"/>
      <c r="XCG2493" s="59"/>
      <c r="XCH2493" s="61"/>
      <c r="XCI2493" s="59"/>
      <c r="XCJ2493" s="59"/>
      <c r="XCK2493" s="59"/>
      <c r="XCL2493" s="60"/>
      <c r="XCM2493" s="60"/>
      <c r="XCN2493" s="60"/>
      <c r="XCO2493" s="59"/>
      <c r="XCP2493" s="61"/>
      <c r="XCQ2493" s="59"/>
      <c r="XCR2493" s="59"/>
      <c r="XCS2493" s="59"/>
      <c r="XCT2493" s="60"/>
      <c r="XCU2493" s="60"/>
      <c r="XCV2493" s="60"/>
      <c r="XCW2493" s="59"/>
      <c r="XCX2493" s="61"/>
      <c r="XCY2493" s="59"/>
      <c r="XCZ2493" s="59"/>
      <c r="XDA2493" s="59"/>
      <c r="XDB2493" s="60"/>
      <c r="XDC2493" s="60"/>
      <c r="XDD2493" s="60"/>
      <c r="XDE2493" s="59"/>
      <c r="XDF2493" s="61"/>
      <c r="XDG2493" s="59"/>
      <c r="XDH2493" s="59"/>
      <c r="XDI2493" s="59"/>
      <c r="XDJ2493" s="60"/>
      <c r="XDK2493" s="60"/>
      <c r="XDL2493" s="60"/>
      <c r="XDM2493" s="59"/>
      <c r="XDN2493" s="61"/>
      <c r="XDO2493" s="59"/>
      <c r="XDP2493" s="59"/>
      <c r="XDQ2493" s="59"/>
      <c r="XDR2493" s="60"/>
      <c r="XDS2493" s="60"/>
      <c r="XDT2493" s="60"/>
      <c r="XDU2493" s="59"/>
      <c r="XDV2493" s="61"/>
      <c r="XDW2493" s="59"/>
      <c r="XDX2493" s="59"/>
      <c r="XDY2493" s="59"/>
      <c r="XDZ2493" s="60"/>
      <c r="XEA2493" s="60"/>
      <c r="XEB2493" s="60"/>
      <c r="XEC2493" s="59"/>
      <c r="XED2493" s="61"/>
      <c r="XEE2493" s="59"/>
      <c r="XEF2493" s="59"/>
      <c r="XEG2493" s="59"/>
      <c r="XEH2493" s="60"/>
      <c r="XEI2493" s="60"/>
      <c r="XEJ2493" s="60"/>
      <c r="XEK2493" s="59"/>
      <c r="XEL2493" s="61"/>
      <c r="XEM2493" s="59"/>
      <c r="XEN2493" s="59"/>
      <c r="XEO2493" s="59"/>
      <c r="XEP2493" s="60"/>
      <c r="XEQ2493" s="60"/>
      <c r="XER2493" s="60"/>
      <c r="XES2493" s="59"/>
      <c r="XET2493" s="61"/>
      <c r="XEU2493" s="59"/>
      <c r="XEV2493" s="59"/>
      <c r="XEW2493" s="59"/>
    </row>
    <row r="2494" ht="18" customHeight="1" spans="1:16377">
      <c r="A2494" s="6" t="s">
        <v>8209</v>
      </c>
      <c r="B2494" s="6" t="s">
        <v>8808</v>
      </c>
      <c r="C2494" s="6" t="s">
        <v>16435</v>
      </c>
      <c r="D2494" s="5" t="s">
        <v>16379</v>
      </c>
      <c r="E2494" s="6" t="s">
        <v>16436</v>
      </c>
      <c r="F2494" s="7" t="s">
        <v>11535</v>
      </c>
      <c r="G2494" s="59"/>
      <c r="H2494" s="59"/>
      <c r="I2494" s="59"/>
      <c r="J2494" s="60"/>
      <c r="K2494" s="60"/>
      <c r="L2494" s="60"/>
      <c r="M2494" s="59"/>
      <c r="N2494" s="61"/>
      <c r="O2494" s="59"/>
      <c r="P2494" s="59"/>
      <c r="Q2494" s="59"/>
      <c r="R2494" s="60"/>
      <c r="S2494" s="60"/>
      <c r="T2494" s="60"/>
      <c r="U2494" s="59"/>
      <c r="V2494" s="61"/>
      <c r="W2494" s="59"/>
      <c r="X2494" s="59"/>
      <c r="Y2494" s="59"/>
      <c r="Z2494" s="60"/>
      <c r="AA2494" s="60"/>
      <c r="AB2494" s="60"/>
      <c r="AC2494" s="59"/>
      <c r="AD2494" s="61"/>
      <c r="AE2494" s="59"/>
      <c r="AF2494" s="59"/>
      <c r="AG2494" s="59"/>
      <c r="AH2494" s="60"/>
      <c r="AI2494" s="60"/>
      <c r="AJ2494" s="60"/>
      <c r="AK2494" s="59"/>
      <c r="AL2494" s="61"/>
      <c r="AM2494" s="59"/>
      <c r="AN2494" s="59"/>
      <c r="AO2494" s="59"/>
      <c r="AP2494" s="60"/>
      <c r="AQ2494" s="60"/>
      <c r="AR2494" s="60"/>
      <c r="AS2494" s="59"/>
      <c r="AT2494" s="61"/>
      <c r="AU2494" s="59"/>
      <c r="AV2494" s="59"/>
      <c r="AW2494" s="59"/>
      <c r="AX2494" s="60"/>
      <c r="AY2494" s="60"/>
      <c r="AZ2494" s="60"/>
      <c r="BA2494" s="59"/>
      <c r="BB2494" s="61"/>
      <c r="BC2494" s="59"/>
      <c r="BD2494" s="59"/>
      <c r="BE2494" s="59"/>
      <c r="BF2494" s="60"/>
      <c r="BG2494" s="60"/>
      <c r="BH2494" s="60"/>
      <c r="BI2494" s="59"/>
      <c r="BJ2494" s="61"/>
      <c r="BK2494" s="59"/>
      <c r="BL2494" s="59"/>
      <c r="BM2494" s="59"/>
      <c r="BN2494" s="60"/>
      <c r="BO2494" s="60"/>
      <c r="BP2494" s="60"/>
      <c r="BQ2494" s="59"/>
      <c r="BR2494" s="61"/>
      <c r="BS2494" s="59"/>
      <c r="BT2494" s="59"/>
      <c r="BU2494" s="59"/>
      <c r="BV2494" s="60"/>
      <c r="BW2494" s="60"/>
      <c r="BX2494" s="60"/>
      <c r="BY2494" s="59"/>
      <c r="BZ2494" s="61"/>
      <c r="CA2494" s="59"/>
      <c r="CB2494" s="59"/>
      <c r="CC2494" s="59"/>
      <c r="CD2494" s="60"/>
      <c r="CE2494" s="60"/>
      <c r="CF2494" s="60"/>
      <c r="CG2494" s="59"/>
      <c r="CH2494" s="61"/>
      <c r="CI2494" s="59"/>
      <c r="CJ2494" s="59"/>
      <c r="CK2494" s="59"/>
      <c r="CL2494" s="60"/>
      <c r="CM2494" s="60"/>
      <c r="CN2494" s="60"/>
      <c r="CO2494" s="59"/>
      <c r="CP2494" s="61"/>
      <c r="CQ2494" s="59"/>
      <c r="CR2494" s="59"/>
      <c r="CS2494" s="59"/>
      <c r="CT2494" s="60"/>
      <c r="CU2494" s="60"/>
      <c r="CV2494" s="60"/>
      <c r="CW2494" s="59"/>
      <c r="CX2494" s="61"/>
      <c r="CY2494" s="59"/>
      <c r="CZ2494" s="59"/>
      <c r="DA2494" s="59"/>
      <c r="DB2494" s="60"/>
      <c r="DC2494" s="60"/>
      <c r="DD2494" s="60"/>
      <c r="DE2494" s="59"/>
      <c r="DF2494" s="61"/>
      <c r="DG2494" s="59"/>
      <c r="DH2494" s="59"/>
      <c r="DI2494" s="59"/>
      <c r="DJ2494" s="60"/>
      <c r="DK2494" s="60"/>
      <c r="DL2494" s="60"/>
      <c r="DM2494" s="59"/>
      <c r="DN2494" s="61"/>
      <c r="DO2494" s="59"/>
      <c r="DP2494" s="59"/>
      <c r="DQ2494" s="59"/>
      <c r="DR2494" s="60"/>
      <c r="DS2494" s="60"/>
      <c r="DT2494" s="60"/>
      <c r="DU2494" s="59"/>
      <c r="DV2494" s="61"/>
      <c r="DW2494" s="59"/>
      <c r="DX2494" s="59"/>
      <c r="DY2494" s="59"/>
      <c r="DZ2494" s="60"/>
      <c r="EA2494" s="60"/>
      <c r="EB2494" s="60"/>
      <c r="EC2494" s="59"/>
      <c r="ED2494" s="61"/>
      <c r="EE2494" s="59"/>
      <c r="EF2494" s="59"/>
      <c r="EG2494" s="59"/>
      <c r="EH2494" s="60"/>
      <c r="EI2494" s="60"/>
      <c r="EJ2494" s="60"/>
      <c r="EK2494" s="59"/>
      <c r="EL2494" s="61"/>
      <c r="EM2494" s="59"/>
      <c r="EN2494" s="59"/>
      <c r="EO2494" s="59"/>
      <c r="EP2494" s="60"/>
      <c r="EQ2494" s="60"/>
      <c r="ER2494" s="60"/>
      <c r="ES2494" s="59"/>
      <c r="ET2494" s="61"/>
      <c r="EU2494" s="59"/>
      <c r="EV2494" s="59"/>
      <c r="EW2494" s="59"/>
      <c r="EX2494" s="60"/>
      <c r="EY2494" s="60"/>
      <c r="EZ2494" s="60"/>
      <c r="FA2494" s="59"/>
      <c r="FB2494" s="61"/>
      <c r="FC2494" s="59"/>
      <c r="FD2494" s="59"/>
      <c r="FE2494" s="59"/>
      <c r="FF2494" s="60"/>
      <c r="FG2494" s="60"/>
      <c r="FH2494" s="60"/>
      <c r="FI2494" s="59"/>
      <c r="FJ2494" s="61"/>
      <c r="FK2494" s="59"/>
      <c r="FL2494" s="59"/>
      <c r="FM2494" s="59"/>
      <c r="FN2494" s="60"/>
      <c r="FO2494" s="60"/>
      <c r="FP2494" s="60"/>
      <c r="FQ2494" s="59"/>
      <c r="FR2494" s="61"/>
      <c r="FS2494" s="59"/>
      <c r="FT2494" s="59"/>
      <c r="FU2494" s="59"/>
      <c r="FV2494" s="60"/>
      <c r="FW2494" s="60"/>
      <c r="FX2494" s="60"/>
      <c r="FY2494" s="59"/>
      <c r="FZ2494" s="61"/>
      <c r="GA2494" s="59"/>
      <c r="GB2494" s="59"/>
      <c r="GC2494" s="59"/>
      <c r="GD2494" s="60"/>
      <c r="GE2494" s="60"/>
      <c r="GF2494" s="60"/>
      <c r="GG2494" s="59"/>
      <c r="GH2494" s="61"/>
      <c r="GI2494" s="59"/>
      <c r="GJ2494" s="59"/>
      <c r="GK2494" s="59"/>
      <c r="GL2494" s="60"/>
      <c r="GM2494" s="60"/>
      <c r="GN2494" s="60"/>
      <c r="GO2494" s="59"/>
      <c r="GP2494" s="61"/>
      <c r="GQ2494" s="59"/>
      <c r="GR2494" s="59"/>
      <c r="GS2494" s="59"/>
      <c r="GT2494" s="60"/>
      <c r="GU2494" s="60"/>
      <c r="GV2494" s="60"/>
      <c r="GW2494" s="59"/>
      <c r="GX2494" s="61"/>
      <c r="GY2494" s="59"/>
      <c r="GZ2494" s="59"/>
      <c r="HA2494" s="59"/>
      <c r="HB2494" s="60"/>
      <c r="HC2494" s="60"/>
      <c r="HD2494" s="60"/>
      <c r="HE2494" s="59"/>
      <c r="HF2494" s="61"/>
      <c r="HG2494" s="59"/>
      <c r="HH2494" s="59"/>
      <c r="HI2494" s="59"/>
      <c r="HJ2494" s="60"/>
      <c r="HK2494" s="60"/>
      <c r="HL2494" s="60"/>
      <c r="HM2494" s="59"/>
      <c r="HN2494" s="61"/>
      <c r="HO2494" s="59"/>
      <c r="HP2494" s="59"/>
      <c r="HQ2494" s="59"/>
      <c r="HR2494" s="60"/>
      <c r="HS2494" s="60"/>
      <c r="HT2494" s="60"/>
      <c r="HU2494" s="59"/>
      <c r="HV2494" s="61"/>
      <c r="HW2494" s="59"/>
      <c r="HX2494" s="59"/>
      <c r="HY2494" s="59"/>
      <c r="HZ2494" s="60"/>
      <c r="IA2494" s="60"/>
      <c r="IB2494" s="60"/>
      <c r="IC2494" s="59"/>
      <c r="ID2494" s="61"/>
      <c r="IE2494" s="59"/>
      <c r="IF2494" s="59"/>
      <c r="IG2494" s="59"/>
      <c r="IH2494" s="60"/>
      <c r="II2494" s="60"/>
      <c r="IJ2494" s="60"/>
      <c r="IK2494" s="59"/>
      <c r="IL2494" s="61"/>
      <c r="IM2494" s="59"/>
      <c r="IN2494" s="59"/>
      <c r="IO2494" s="59"/>
      <c r="IP2494" s="60"/>
      <c r="IQ2494" s="60"/>
      <c r="IR2494" s="60"/>
      <c r="IS2494" s="59"/>
      <c r="IT2494" s="61"/>
      <c r="IU2494" s="59"/>
      <c r="IV2494" s="59"/>
      <c r="IW2494" s="59"/>
      <c r="IX2494" s="60"/>
      <c r="IY2494" s="60"/>
      <c r="IZ2494" s="60"/>
      <c r="JA2494" s="59"/>
      <c r="JB2494" s="61"/>
      <c r="JC2494" s="59"/>
      <c r="JD2494" s="59"/>
      <c r="JE2494" s="59"/>
      <c r="JF2494" s="60"/>
      <c r="JG2494" s="60"/>
      <c r="JH2494" s="60"/>
      <c r="JI2494" s="59"/>
      <c r="JJ2494" s="61"/>
      <c r="JK2494" s="59"/>
      <c r="JL2494" s="59"/>
      <c r="JM2494" s="59"/>
      <c r="JN2494" s="60"/>
      <c r="JO2494" s="60"/>
      <c r="JP2494" s="60"/>
      <c r="JQ2494" s="59"/>
      <c r="JR2494" s="61"/>
      <c r="JS2494" s="59"/>
      <c r="JT2494" s="59"/>
      <c r="JU2494" s="59"/>
      <c r="JV2494" s="60"/>
      <c r="JW2494" s="60"/>
      <c r="JX2494" s="60"/>
      <c r="JY2494" s="59"/>
      <c r="JZ2494" s="61"/>
      <c r="KA2494" s="59"/>
      <c r="KB2494" s="59"/>
      <c r="KC2494" s="59"/>
      <c r="KD2494" s="60"/>
      <c r="KE2494" s="60"/>
      <c r="KF2494" s="60"/>
      <c r="KG2494" s="59"/>
      <c r="KH2494" s="61"/>
      <c r="KI2494" s="59"/>
      <c r="KJ2494" s="59"/>
      <c r="KK2494" s="59"/>
      <c r="KL2494" s="60"/>
      <c r="KM2494" s="60"/>
      <c r="KN2494" s="60"/>
      <c r="KO2494" s="59"/>
      <c r="KP2494" s="61"/>
      <c r="KQ2494" s="59"/>
      <c r="KR2494" s="59"/>
      <c r="KS2494" s="59"/>
      <c r="KT2494" s="60"/>
      <c r="KU2494" s="60"/>
      <c r="KV2494" s="60"/>
      <c r="KW2494" s="59"/>
      <c r="KX2494" s="61"/>
      <c r="KY2494" s="59"/>
      <c r="KZ2494" s="59"/>
      <c r="LA2494" s="59"/>
      <c r="LB2494" s="60"/>
      <c r="LC2494" s="60"/>
      <c r="LD2494" s="60"/>
      <c r="LE2494" s="59"/>
      <c r="LF2494" s="61"/>
      <c r="LG2494" s="59"/>
      <c r="LH2494" s="59"/>
      <c r="LI2494" s="59"/>
      <c r="LJ2494" s="60"/>
      <c r="LK2494" s="60"/>
      <c r="LL2494" s="60"/>
      <c r="LM2494" s="59"/>
      <c r="LN2494" s="61"/>
      <c r="LO2494" s="59"/>
      <c r="LP2494" s="59"/>
      <c r="LQ2494" s="59"/>
      <c r="LR2494" s="60"/>
      <c r="LS2494" s="60"/>
      <c r="LT2494" s="60"/>
      <c r="LU2494" s="59"/>
      <c r="LV2494" s="61"/>
      <c r="LW2494" s="59"/>
      <c r="LX2494" s="59"/>
      <c r="LY2494" s="59"/>
      <c r="LZ2494" s="60"/>
      <c r="MA2494" s="60"/>
      <c r="MB2494" s="60"/>
      <c r="MC2494" s="59"/>
      <c r="MD2494" s="61"/>
      <c r="ME2494" s="59"/>
      <c r="MF2494" s="59"/>
      <c r="MG2494" s="59"/>
      <c r="MH2494" s="60"/>
      <c r="MI2494" s="60"/>
      <c r="MJ2494" s="60"/>
      <c r="MK2494" s="59"/>
      <c r="ML2494" s="61"/>
      <c r="MM2494" s="59"/>
      <c r="MN2494" s="59"/>
      <c r="MO2494" s="59"/>
      <c r="MP2494" s="60"/>
      <c r="MQ2494" s="60"/>
      <c r="MR2494" s="60"/>
      <c r="MS2494" s="59"/>
      <c r="MT2494" s="61"/>
      <c r="MU2494" s="59"/>
      <c r="MV2494" s="59"/>
      <c r="MW2494" s="59"/>
      <c r="MX2494" s="60"/>
      <c r="MY2494" s="60"/>
      <c r="MZ2494" s="60"/>
      <c r="NA2494" s="59"/>
      <c r="NB2494" s="61"/>
      <c r="NC2494" s="59"/>
      <c r="ND2494" s="59"/>
      <c r="NE2494" s="59"/>
      <c r="NF2494" s="60"/>
      <c r="NG2494" s="60"/>
      <c r="NH2494" s="60"/>
      <c r="NI2494" s="59"/>
      <c r="NJ2494" s="61"/>
      <c r="NK2494" s="59"/>
      <c r="NL2494" s="59"/>
      <c r="NM2494" s="59"/>
      <c r="NN2494" s="60"/>
      <c r="NO2494" s="60"/>
      <c r="NP2494" s="60"/>
      <c r="NQ2494" s="59"/>
      <c r="NR2494" s="61"/>
      <c r="NS2494" s="59"/>
      <c r="NT2494" s="59"/>
      <c r="NU2494" s="59"/>
      <c r="NV2494" s="60"/>
      <c r="NW2494" s="60"/>
      <c r="NX2494" s="60"/>
      <c r="NY2494" s="59"/>
      <c r="NZ2494" s="61"/>
      <c r="OA2494" s="59"/>
      <c r="OB2494" s="59"/>
      <c r="OC2494" s="59"/>
      <c r="OD2494" s="60"/>
      <c r="OE2494" s="60"/>
      <c r="OF2494" s="60"/>
      <c r="OG2494" s="59"/>
      <c r="OH2494" s="61"/>
      <c r="OI2494" s="59"/>
      <c r="OJ2494" s="59"/>
      <c r="OK2494" s="59"/>
      <c r="OL2494" s="60"/>
      <c r="OM2494" s="60"/>
      <c r="ON2494" s="60"/>
      <c r="OO2494" s="59"/>
      <c r="OP2494" s="61"/>
      <c r="OQ2494" s="59"/>
      <c r="OR2494" s="59"/>
      <c r="OS2494" s="59"/>
      <c r="OT2494" s="60"/>
      <c r="OU2494" s="60"/>
      <c r="OV2494" s="60"/>
      <c r="OW2494" s="59"/>
      <c r="OX2494" s="61"/>
      <c r="OY2494" s="59"/>
      <c r="OZ2494" s="59"/>
      <c r="PA2494" s="59"/>
      <c r="PB2494" s="60"/>
      <c r="PC2494" s="60"/>
      <c r="PD2494" s="60"/>
      <c r="PE2494" s="59"/>
      <c r="PF2494" s="61"/>
      <c r="PG2494" s="59"/>
      <c r="PH2494" s="59"/>
      <c r="PI2494" s="59"/>
      <c r="PJ2494" s="60"/>
      <c r="PK2494" s="60"/>
      <c r="PL2494" s="60"/>
      <c r="PM2494" s="59"/>
      <c r="PN2494" s="61"/>
      <c r="PO2494" s="59"/>
      <c r="PP2494" s="59"/>
      <c r="PQ2494" s="59"/>
      <c r="PR2494" s="60"/>
      <c r="PS2494" s="60"/>
      <c r="PT2494" s="60"/>
      <c r="PU2494" s="59"/>
      <c r="PV2494" s="61"/>
      <c r="PW2494" s="59"/>
      <c r="PX2494" s="59"/>
      <c r="PY2494" s="59"/>
      <c r="PZ2494" s="60"/>
      <c r="QA2494" s="60"/>
      <c r="QB2494" s="60"/>
      <c r="QC2494" s="59"/>
      <c r="QD2494" s="61"/>
      <c r="QE2494" s="59"/>
      <c r="QF2494" s="59"/>
      <c r="QG2494" s="59"/>
      <c r="QH2494" s="60"/>
      <c r="QI2494" s="60"/>
      <c r="QJ2494" s="60"/>
      <c r="QK2494" s="59"/>
      <c r="QL2494" s="61"/>
      <c r="QM2494" s="59"/>
      <c r="QN2494" s="59"/>
      <c r="QO2494" s="59"/>
      <c r="QP2494" s="60"/>
      <c r="QQ2494" s="60"/>
      <c r="QR2494" s="60"/>
      <c r="QS2494" s="59"/>
      <c r="QT2494" s="61"/>
      <c r="QU2494" s="59"/>
      <c r="QV2494" s="59"/>
      <c r="QW2494" s="59"/>
      <c r="QX2494" s="60"/>
      <c r="QY2494" s="60"/>
      <c r="QZ2494" s="60"/>
      <c r="RA2494" s="59"/>
      <c r="RB2494" s="61"/>
      <c r="RC2494" s="59"/>
      <c r="RD2494" s="59"/>
      <c r="RE2494" s="59"/>
      <c r="RF2494" s="60"/>
      <c r="RG2494" s="60"/>
      <c r="RH2494" s="60"/>
      <c r="RI2494" s="59"/>
      <c r="RJ2494" s="61"/>
      <c r="RK2494" s="59"/>
      <c r="RL2494" s="59"/>
      <c r="RM2494" s="59"/>
      <c r="RN2494" s="60"/>
      <c r="RO2494" s="60"/>
      <c r="RP2494" s="60"/>
      <c r="RQ2494" s="59"/>
      <c r="RR2494" s="61"/>
      <c r="RS2494" s="59"/>
      <c r="RT2494" s="59"/>
      <c r="RU2494" s="59"/>
      <c r="RV2494" s="60"/>
      <c r="RW2494" s="60"/>
      <c r="RX2494" s="60"/>
      <c r="RY2494" s="59"/>
      <c r="RZ2494" s="61"/>
      <c r="SA2494" s="59"/>
      <c r="SB2494" s="59"/>
      <c r="SC2494" s="59"/>
      <c r="SD2494" s="60"/>
      <c r="SE2494" s="60"/>
      <c r="SF2494" s="60"/>
      <c r="SG2494" s="59"/>
      <c r="SH2494" s="61"/>
      <c r="SI2494" s="59"/>
      <c r="SJ2494" s="59"/>
      <c r="SK2494" s="59"/>
      <c r="SL2494" s="60"/>
      <c r="SM2494" s="60"/>
      <c r="SN2494" s="60"/>
      <c r="SO2494" s="59"/>
      <c r="SP2494" s="61"/>
      <c r="SQ2494" s="59"/>
      <c r="SR2494" s="59"/>
      <c r="SS2494" s="59"/>
      <c r="ST2494" s="60"/>
      <c r="SU2494" s="60"/>
      <c r="SV2494" s="60"/>
      <c r="SW2494" s="59"/>
      <c r="SX2494" s="61"/>
      <c r="SY2494" s="59"/>
      <c r="SZ2494" s="59"/>
      <c r="TA2494" s="59"/>
      <c r="TB2494" s="60"/>
      <c r="TC2494" s="60"/>
      <c r="TD2494" s="60"/>
      <c r="TE2494" s="59"/>
      <c r="TF2494" s="61"/>
      <c r="TG2494" s="59"/>
      <c r="TH2494" s="59"/>
      <c r="TI2494" s="59"/>
      <c r="TJ2494" s="60"/>
      <c r="TK2494" s="60"/>
      <c r="TL2494" s="60"/>
      <c r="TM2494" s="59"/>
      <c r="TN2494" s="61"/>
      <c r="TO2494" s="59"/>
      <c r="TP2494" s="59"/>
      <c r="TQ2494" s="59"/>
      <c r="TR2494" s="60"/>
      <c r="TS2494" s="60"/>
      <c r="TT2494" s="60"/>
      <c r="TU2494" s="59"/>
      <c r="TV2494" s="61"/>
      <c r="TW2494" s="59"/>
      <c r="TX2494" s="59"/>
      <c r="TY2494" s="59"/>
      <c r="TZ2494" s="60"/>
      <c r="UA2494" s="60"/>
      <c r="UB2494" s="60"/>
      <c r="UC2494" s="59"/>
      <c r="UD2494" s="61"/>
      <c r="UE2494" s="59"/>
      <c r="UF2494" s="59"/>
      <c r="UG2494" s="59"/>
      <c r="UH2494" s="60"/>
      <c r="UI2494" s="60"/>
      <c r="UJ2494" s="60"/>
      <c r="UK2494" s="59"/>
      <c r="UL2494" s="61"/>
      <c r="UM2494" s="59"/>
      <c r="UN2494" s="59"/>
      <c r="UO2494" s="59"/>
      <c r="UP2494" s="60"/>
      <c r="UQ2494" s="60"/>
      <c r="UR2494" s="60"/>
      <c r="US2494" s="59"/>
      <c r="UT2494" s="61"/>
      <c r="UU2494" s="59"/>
      <c r="UV2494" s="59"/>
      <c r="UW2494" s="59"/>
      <c r="UX2494" s="60"/>
      <c r="UY2494" s="60"/>
      <c r="UZ2494" s="60"/>
      <c r="VA2494" s="59"/>
      <c r="VB2494" s="61"/>
      <c r="VC2494" s="59"/>
      <c r="VD2494" s="59"/>
      <c r="VE2494" s="59"/>
      <c r="VF2494" s="60"/>
      <c r="VG2494" s="60"/>
      <c r="VH2494" s="60"/>
      <c r="VI2494" s="59"/>
      <c r="VJ2494" s="61"/>
      <c r="VK2494" s="59"/>
      <c r="VL2494" s="59"/>
      <c r="VM2494" s="59"/>
      <c r="VN2494" s="60"/>
      <c r="VO2494" s="60"/>
      <c r="VP2494" s="60"/>
      <c r="VQ2494" s="59"/>
      <c r="VR2494" s="61"/>
      <c r="VS2494" s="59"/>
      <c r="VT2494" s="59"/>
      <c r="VU2494" s="59"/>
      <c r="VV2494" s="60"/>
      <c r="VW2494" s="60"/>
      <c r="VX2494" s="60"/>
      <c r="VY2494" s="59"/>
      <c r="VZ2494" s="61"/>
      <c r="WA2494" s="59"/>
      <c r="WB2494" s="59"/>
      <c r="WC2494" s="59"/>
      <c r="WD2494" s="60"/>
      <c r="WE2494" s="60"/>
      <c r="WF2494" s="60"/>
      <c r="WG2494" s="59"/>
      <c r="WH2494" s="61"/>
      <c r="WI2494" s="59"/>
      <c r="WJ2494" s="59"/>
      <c r="WK2494" s="59"/>
      <c r="WL2494" s="60"/>
      <c r="WM2494" s="60"/>
      <c r="WN2494" s="60"/>
      <c r="WO2494" s="59"/>
      <c r="WP2494" s="61"/>
      <c r="WQ2494" s="59"/>
      <c r="WR2494" s="59"/>
      <c r="WS2494" s="59"/>
      <c r="WT2494" s="60"/>
      <c r="WU2494" s="60"/>
      <c r="WV2494" s="60"/>
      <c r="WW2494" s="59"/>
      <c r="WX2494" s="61"/>
      <c r="WY2494" s="59"/>
      <c r="WZ2494" s="59"/>
      <c r="XA2494" s="59"/>
      <c r="XB2494" s="60"/>
      <c r="XC2494" s="60"/>
      <c r="XD2494" s="60"/>
      <c r="XE2494" s="59"/>
      <c r="XF2494" s="61"/>
      <c r="XG2494" s="59"/>
      <c r="XH2494" s="59"/>
      <c r="XI2494" s="59"/>
      <c r="XJ2494" s="60"/>
      <c r="XK2494" s="60"/>
      <c r="XL2494" s="60"/>
      <c r="XM2494" s="59"/>
      <c r="XN2494" s="61"/>
      <c r="XO2494" s="59"/>
      <c r="XP2494" s="59"/>
      <c r="XQ2494" s="59"/>
      <c r="XR2494" s="60"/>
      <c r="XS2494" s="60"/>
      <c r="XT2494" s="60"/>
      <c r="XU2494" s="59"/>
      <c r="XV2494" s="61"/>
      <c r="XW2494" s="59"/>
      <c r="XX2494" s="59"/>
      <c r="XY2494" s="59"/>
      <c r="XZ2494" s="60"/>
      <c r="YA2494" s="60"/>
      <c r="YB2494" s="60"/>
      <c r="YC2494" s="59"/>
      <c r="YD2494" s="61"/>
      <c r="YE2494" s="59"/>
      <c r="YF2494" s="59"/>
      <c r="YG2494" s="59"/>
      <c r="YH2494" s="60"/>
      <c r="YI2494" s="60"/>
      <c r="YJ2494" s="60"/>
      <c r="YK2494" s="59"/>
      <c r="YL2494" s="61"/>
      <c r="YM2494" s="59"/>
      <c r="YN2494" s="59"/>
      <c r="YO2494" s="59"/>
      <c r="YP2494" s="60"/>
      <c r="YQ2494" s="60"/>
      <c r="YR2494" s="60"/>
      <c r="YS2494" s="59"/>
      <c r="YT2494" s="61"/>
      <c r="YU2494" s="59"/>
      <c r="YV2494" s="59"/>
      <c r="YW2494" s="59"/>
      <c r="YX2494" s="60"/>
      <c r="YY2494" s="60"/>
      <c r="YZ2494" s="60"/>
      <c r="ZA2494" s="59"/>
      <c r="ZB2494" s="61"/>
      <c r="ZC2494" s="59"/>
      <c r="ZD2494" s="59"/>
      <c r="ZE2494" s="59"/>
      <c r="ZF2494" s="60"/>
      <c r="ZG2494" s="60"/>
      <c r="ZH2494" s="60"/>
      <c r="ZI2494" s="59"/>
      <c r="ZJ2494" s="61"/>
      <c r="ZK2494" s="59"/>
      <c r="ZL2494" s="59"/>
      <c r="ZM2494" s="59"/>
      <c r="ZN2494" s="60"/>
      <c r="ZO2494" s="60"/>
      <c r="ZP2494" s="60"/>
      <c r="ZQ2494" s="59"/>
      <c r="ZR2494" s="61"/>
      <c r="ZS2494" s="59"/>
      <c r="ZT2494" s="59"/>
      <c r="ZU2494" s="59"/>
      <c r="ZV2494" s="60"/>
      <c r="ZW2494" s="60"/>
      <c r="ZX2494" s="60"/>
      <c r="ZY2494" s="59"/>
      <c r="ZZ2494" s="61"/>
      <c r="AAA2494" s="59"/>
      <c r="AAB2494" s="59"/>
      <c r="AAC2494" s="59"/>
      <c r="AAD2494" s="60"/>
      <c r="AAE2494" s="60"/>
      <c r="AAF2494" s="60"/>
      <c r="AAG2494" s="59"/>
      <c r="AAH2494" s="61"/>
      <c r="AAI2494" s="59"/>
      <c r="AAJ2494" s="59"/>
      <c r="AAK2494" s="59"/>
      <c r="AAL2494" s="60"/>
      <c r="AAM2494" s="60"/>
      <c r="AAN2494" s="60"/>
      <c r="AAO2494" s="59"/>
      <c r="AAP2494" s="61"/>
      <c r="AAQ2494" s="59"/>
      <c r="AAR2494" s="59"/>
      <c r="AAS2494" s="59"/>
      <c r="AAT2494" s="60"/>
      <c r="AAU2494" s="60"/>
      <c r="AAV2494" s="60"/>
      <c r="AAW2494" s="59"/>
      <c r="AAX2494" s="61"/>
      <c r="AAY2494" s="59"/>
      <c r="AAZ2494" s="59"/>
      <c r="ABA2494" s="59"/>
      <c r="ABB2494" s="60"/>
      <c r="ABC2494" s="60"/>
      <c r="ABD2494" s="60"/>
      <c r="ABE2494" s="59"/>
      <c r="ABF2494" s="61"/>
      <c r="ABG2494" s="59"/>
      <c r="ABH2494" s="59"/>
      <c r="ABI2494" s="59"/>
      <c r="ABJ2494" s="60"/>
      <c r="ABK2494" s="60"/>
      <c r="ABL2494" s="60"/>
      <c r="ABM2494" s="59"/>
      <c r="ABN2494" s="61"/>
      <c r="ABO2494" s="59"/>
      <c r="ABP2494" s="59"/>
      <c r="ABQ2494" s="59"/>
      <c r="ABR2494" s="60"/>
      <c r="ABS2494" s="60"/>
      <c r="ABT2494" s="60"/>
      <c r="ABU2494" s="59"/>
      <c r="ABV2494" s="61"/>
      <c r="ABW2494" s="59"/>
      <c r="ABX2494" s="59"/>
      <c r="ABY2494" s="59"/>
      <c r="ABZ2494" s="60"/>
      <c r="ACA2494" s="60"/>
      <c r="ACB2494" s="60"/>
      <c r="ACC2494" s="59"/>
      <c r="ACD2494" s="61"/>
      <c r="ACE2494" s="59"/>
      <c r="ACF2494" s="59"/>
      <c r="ACG2494" s="59"/>
      <c r="ACH2494" s="60"/>
      <c r="ACI2494" s="60"/>
      <c r="ACJ2494" s="60"/>
      <c r="ACK2494" s="59"/>
      <c r="ACL2494" s="61"/>
      <c r="ACM2494" s="59"/>
      <c r="ACN2494" s="59"/>
      <c r="ACO2494" s="59"/>
      <c r="ACP2494" s="60"/>
      <c r="ACQ2494" s="60"/>
      <c r="ACR2494" s="60"/>
      <c r="ACS2494" s="59"/>
      <c r="ACT2494" s="61"/>
      <c r="ACU2494" s="59"/>
      <c r="ACV2494" s="59"/>
      <c r="ACW2494" s="59"/>
      <c r="ACX2494" s="60"/>
      <c r="ACY2494" s="60"/>
      <c r="ACZ2494" s="60"/>
      <c r="ADA2494" s="59"/>
      <c r="ADB2494" s="61"/>
      <c r="ADC2494" s="59"/>
      <c r="ADD2494" s="59"/>
      <c r="ADE2494" s="59"/>
      <c r="ADF2494" s="60"/>
      <c r="ADG2494" s="60"/>
      <c r="ADH2494" s="60"/>
      <c r="ADI2494" s="59"/>
      <c r="ADJ2494" s="61"/>
      <c r="ADK2494" s="59"/>
      <c r="ADL2494" s="59"/>
      <c r="ADM2494" s="59"/>
      <c r="ADN2494" s="60"/>
      <c r="ADO2494" s="60"/>
      <c r="ADP2494" s="60"/>
      <c r="ADQ2494" s="59"/>
      <c r="ADR2494" s="61"/>
      <c r="ADS2494" s="59"/>
      <c r="ADT2494" s="59"/>
      <c r="ADU2494" s="59"/>
      <c r="ADV2494" s="60"/>
      <c r="ADW2494" s="60"/>
      <c r="ADX2494" s="60"/>
      <c r="ADY2494" s="59"/>
      <c r="ADZ2494" s="61"/>
      <c r="AEA2494" s="59"/>
      <c r="AEB2494" s="59"/>
      <c r="AEC2494" s="59"/>
      <c r="AED2494" s="60"/>
      <c r="AEE2494" s="60"/>
      <c r="AEF2494" s="60"/>
      <c r="AEG2494" s="59"/>
      <c r="AEH2494" s="61"/>
      <c r="AEI2494" s="59"/>
      <c r="AEJ2494" s="59"/>
      <c r="AEK2494" s="59"/>
      <c r="AEL2494" s="60"/>
      <c r="AEM2494" s="60"/>
      <c r="AEN2494" s="60"/>
      <c r="AEO2494" s="59"/>
      <c r="AEP2494" s="61"/>
      <c r="AEQ2494" s="59"/>
      <c r="AER2494" s="59"/>
      <c r="AES2494" s="59"/>
      <c r="AET2494" s="60"/>
      <c r="AEU2494" s="60"/>
      <c r="AEV2494" s="60"/>
      <c r="AEW2494" s="59"/>
      <c r="AEX2494" s="61"/>
      <c r="AEY2494" s="59"/>
      <c r="AEZ2494" s="59"/>
      <c r="AFA2494" s="59"/>
      <c r="AFB2494" s="60"/>
      <c r="AFC2494" s="60"/>
      <c r="AFD2494" s="60"/>
      <c r="AFE2494" s="59"/>
      <c r="AFF2494" s="61"/>
      <c r="AFG2494" s="59"/>
      <c r="AFH2494" s="59"/>
      <c r="AFI2494" s="59"/>
      <c r="AFJ2494" s="60"/>
      <c r="AFK2494" s="60"/>
      <c r="AFL2494" s="60"/>
      <c r="AFM2494" s="59"/>
      <c r="AFN2494" s="61"/>
      <c r="AFO2494" s="59"/>
      <c r="AFP2494" s="59"/>
      <c r="AFQ2494" s="59"/>
      <c r="AFR2494" s="60"/>
      <c r="AFS2494" s="60"/>
      <c r="AFT2494" s="60"/>
      <c r="AFU2494" s="59"/>
      <c r="AFV2494" s="61"/>
      <c r="AFW2494" s="59"/>
      <c r="AFX2494" s="59"/>
      <c r="AFY2494" s="59"/>
      <c r="AFZ2494" s="60"/>
      <c r="AGA2494" s="60"/>
      <c r="AGB2494" s="60"/>
      <c r="AGC2494" s="59"/>
      <c r="AGD2494" s="61"/>
      <c r="AGE2494" s="59"/>
      <c r="AGF2494" s="59"/>
      <c r="AGG2494" s="59"/>
      <c r="AGH2494" s="60"/>
      <c r="AGI2494" s="60"/>
      <c r="AGJ2494" s="60"/>
      <c r="AGK2494" s="59"/>
      <c r="AGL2494" s="61"/>
      <c r="AGM2494" s="59"/>
      <c r="AGN2494" s="59"/>
      <c r="AGO2494" s="59"/>
      <c r="AGP2494" s="60"/>
      <c r="AGQ2494" s="60"/>
      <c r="AGR2494" s="60"/>
      <c r="AGS2494" s="59"/>
      <c r="AGT2494" s="61"/>
      <c r="AGU2494" s="59"/>
      <c r="AGV2494" s="59"/>
      <c r="AGW2494" s="59"/>
      <c r="AGX2494" s="60"/>
      <c r="AGY2494" s="60"/>
      <c r="AGZ2494" s="60"/>
      <c r="AHA2494" s="59"/>
      <c r="AHB2494" s="61"/>
      <c r="AHC2494" s="59"/>
      <c r="AHD2494" s="59"/>
      <c r="AHE2494" s="59"/>
      <c r="AHF2494" s="60"/>
      <c r="AHG2494" s="60"/>
      <c r="AHH2494" s="60"/>
      <c r="AHI2494" s="59"/>
      <c r="AHJ2494" s="61"/>
      <c r="AHK2494" s="59"/>
      <c r="AHL2494" s="59"/>
      <c r="AHM2494" s="59"/>
      <c r="AHN2494" s="60"/>
      <c r="AHO2494" s="60"/>
      <c r="AHP2494" s="60"/>
      <c r="AHQ2494" s="59"/>
      <c r="AHR2494" s="61"/>
      <c r="AHS2494" s="59"/>
      <c r="AHT2494" s="59"/>
      <c r="AHU2494" s="59"/>
      <c r="AHV2494" s="60"/>
      <c r="AHW2494" s="60"/>
      <c r="AHX2494" s="60"/>
      <c r="AHY2494" s="59"/>
      <c r="AHZ2494" s="61"/>
      <c r="AIA2494" s="59"/>
      <c r="AIB2494" s="59"/>
      <c r="AIC2494" s="59"/>
      <c r="AID2494" s="60"/>
      <c r="AIE2494" s="60"/>
      <c r="AIF2494" s="60"/>
      <c r="AIG2494" s="59"/>
      <c r="AIH2494" s="61"/>
      <c r="AII2494" s="59"/>
      <c r="AIJ2494" s="59"/>
      <c r="AIK2494" s="59"/>
      <c r="AIL2494" s="60"/>
      <c r="AIM2494" s="60"/>
      <c r="AIN2494" s="60"/>
      <c r="AIO2494" s="59"/>
      <c r="AIP2494" s="61"/>
      <c r="AIQ2494" s="59"/>
      <c r="AIR2494" s="59"/>
      <c r="AIS2494" s="59"/>
      <c r="AIT2494" s="60"/>
      <c r="AIU2494" s="60"/>
      <c r="AIV2494" s="60"/>
      <c r="AIW2494" s="59"/>
      <c r="AIX2494" s="61"/>
      <c r="AIY2494" s="59"/>
      <c r="AIZ2494" s="59"/>
      <c r="AJA2494" s="59"/>
      <c r="AJB2494" s="60"/>
      <c r="AJC2494" s="60"/>
      <c r="AJD2494" s="60"/>
      <c r="AJE2494" s="59"/>
      <c r="AJF2494" s="61"/>
      <c r="AJG2494" s="59"/>
      <c r="AJH2494" s="59"/>
      <c r="AJI2494" s="59"/>
      <c r="AJJ2494" s="60"/>
      <c r="AJK2494" s="60"/>
      <c r="AJL2494" s="60"/>
      <c r="AJM2494" s="59"/>
      <c r="AJN2494" s="61"/>
      <c r="AJO2494" s="59"/>
      <c r="AJP2494" s="59"/>
      <c r="AJQ2494" s="59"/>
      <c r="AJR2494" s="60"/>
      <c r="AJS2494" s="60"/>
      <c r="AJT2494" s="60"/>
      <c r="AJU2494" s="59"/>
      <c r="AJV2494" s="61"/>
      <c r="AJW2494" s="59"/>
      <c r="AJX2494" s="59"/>
      <c r="AJY2494" s="59"/>
      <c r="AJZ2494" s="60"/>
      <c r="AKA2494" s="60"/>
      <c r="AKB2494" s="60"/>
      <c r="AKC2494" s="59"/>
      <c r="AKD2494" s="61"/>
      <c r="AKE2494" s="59"/>
      <c r="AKF2494" s="59"/>
      <c r="AKG2494" s="59"/>
      <c r="AKH2494" s="60"/>
      <c r="AKI2494" s="60"/>
      <c r="AKJ2494" s="60"/>
      <c r="AKK2494" s="59"/>
      <c r="AKL2494" s="61"/>
      <c r="AKM2494" s="59"/>
      <c r="AKN2494" s="59"/>
      <c r="AKO2494" s="59"/>
      <c r="AKP2494" s="60"/>
      <c r="AKQ2494" s="60"/>
      <c r="AKR2494" s="60"/>
      <c r="AKS2494" s="59"/>
      <c r="AKT2494" s="61"/>
      <c r="AKU2494" s="59"/>
      <c r="AKV2494" s="59"/>
      <c r="AKW2494" s="59"/>
      <c r="AKX2494" s="60"/>
      <c r="AKY2494" s="60"/>
      <c r="AKZ2494" s="60"/>
      <c r="ALA2494" s="59"/>
      <c r="ALB2494" s="61"/>
      <c r="ALC2494" s="59"/>
      <c r="ALD2494" s="59"/>
      <c r="ALE2494" s="59"/>
      <c r="ALF2494" s="60"/>
      <c r="ALG2494" s="60"/>
      <c r="ALH2494" s="60"/>
      <c r="ALI2494" s="59"/>
      <c r="ALJ2494" s="61"/>
      <c r="ALK2494" s="59"/>
      <c r="ALL2494" s="59"/>
      <c r="ALM2494" s="59"/>
      <c r="ALN2494" s="60"/>
      <c r="ALO2494" s="60"/>
      <c r="ALP2494" s="60"/>
      <c r="ALQ2494" s="59"/>
      <c r="ALR2494" s="61"/>
      <c r="ALS2494" s="59"/>
      <c r="ALT2494" s="59"/>
      <c r="ALU2494" s="59"/>
      <c r="ALV2494" s="60"/>
      <c r="ALW2494" s="60"/>
      <c r="ALX2494" s="60"/>
      <c r="ALY2494" s="59"/>
      <c r="ALZ2494" s="61"/>
      <c r="AMA2494" s="59"/>
      <c r="AMB2494" s="59"/>
      <c r="AMC2494" s="59"/>
      <c r="AMD2494" s="60"/>
      <c r="AME2494" s="60"/>
      <c r="AMF2494" s="60"/>
      <c r="AMG2494" s="59"/>
      <c r="AMH2494" s="61"/>
      <c r="AMI2494" s="59"/>
      <c r="AMJ2494" s="59"/>
      <c r="AMK2494" s="59"/>
      <c r="AML2494" s="60"/>
      <c r="AMM2494" s="60"/>
      <c r="AMN2494" s="60"/>
      <c r="AMO2494" s="59"/>
      <c r="AMP2494" s="61"/>
      <c r="AMQ2494" s="59"/>
      <c r="AMR2494" s="59"/>
      <c r="AMS2494" s="59"/>
      <c r="AMT2494" s="60"/>
      <c r="AMU2494" s="60"/>
      <c r="AMV2494" s="60"/>
      <c r="AMW2494" s="59"/>
      <c r="AMX2494" s="61"/>
      <c r="AMY2494" s="59"/>
      <c r="AMZ2494" s="59"/>
      <c r="ANA2494" s="59"/>
      <c r="ANB2494" s="60"/>
      <c r="ANC2494" s="60"/>
      <c r="AND2494" s="60"/>
      <c r="ANE2494" s="59"/>
      <c r="ANF2494" s="61"/>
      <c r="ANG2494" s="59"/>
      <c r="ANH2494" s="59"/>
      <c r="ANI2494" s="59"/>
      <c r="ANJ2494" s="60"/>
      <c r="ANK2494" s="60"/>
      <c r="ANL2494" s="60"/>
      <c r="ANM2494" s="59"/>
      <c r="ANN2494" s="61"/>
      <c r="ANO2494" s="59"/>
      <c r="ANP2494" s="59"/>
      <c r="ANQ2494" s="59"/>
      <c r="ANR2494" s="60"/>
      <c r="ANS2494" s="60"/>
      <c r="ANT2494" s="60"/>
      <c r="ANU2494" s="59"/>
      <c r="ANV2494" s="61"/>
      <c r="ANW2494" s="59"/>
      <c r="ANX2494" s="59"/>
      <c r="ANY2494" s="59"/>
      <c r="ANZ2494" s="60"/>
      <c r="AOA2494" s="60"/>
      <c r="AOB2494" s="60"/>
      <c r="AOC2494" s="59"/>
      <c r="AOD2494" s="61"/>
      <c r="AOE2494" s="59"/>
      <c r="AOF2494" s="59"/>
      <c r="AOG2494" s="59"/>
      <c r="AOH2494" s="60"/>
      <c r="AOI2494" s="60"/>
      <c r="AOJ2494" s="60"/>
      <c r="AOK2494" s="59"/>
      <c r="AOL2494" s="61"/>
      <c r="AOM2494" s="59"/>
      <c r="AON2494" s="59"/>
      <c r="AOO2494" s="59"/>
      <c r="AOP2494" s="60"/>
      <c r="AOQ2494" s="60"/>
      <c r="AOR2494" s="60"/>
      <c r="AOS2494" s="59"/>
      <c r="AOT2494" s="61"/>
      <c r="AOU2494" s="59"/>
      <c r="AOV2494" s="59"/>
      <c r="AOW2494" s="59"/>
      <c r="AOX2494" s="60"/>
      <c r="AOY2494" s="60"/>
      <c r="AOZ2494" s="60"/>
      <c r="APA2494" s="59"/>
      <c r="APB2494" s="61"/>
      <c r="APC2494" s="59"/>
      <c r="APD2494" s="59"/>
      <c r="APE2494" s="59"/>
      <c r="APF2494" s="60"/>
      <c r="APG2494" s="60"/>
      <c r="APH2494" s="60"/>
      <c r="API2494" s="59"/>
      <c r="APJ2494" s="61"/>
      <c r="APK2494" s="59"/>
      <c r="APL2494" s="59"/>
      <c r="APM2494" s="59"/>
      <c r="APN2494" s="60"/>
      <c r="APO2494" s="60"/>
      <c r="APP2494" s="60"/>
      <c r="APQ2494" s="59"/>
      <c r="APR2494" s="61"/>
      <c r="APS2494" s="59"/>
      <c r="APT2494" s="59"/>
      <c r="APU2494" s="59"/>
      <c r="APV2494" s="60"/>
      <c r="APW2494" s="60"/>
      <c r="APX2494" s="60"/>
      <c r="APY2494" s="59"/>
      <c r="APZ2494" s="61"/>
      <c r="AQA2494" s="59"/>
      <c r="AQB2494" s="59"/>
      <c r="AQC2494" s="59"/>
      <c r="AQD2494" s="60"/>
      <c r="AQE2494" s="60"/>
      <c r="AQF2494" s="60"/>
      <c r="AQG2494" s="59"/>
      <c r="AQH2494" s="61"/>
      <c r="AQI2494" s="59"/>
      <c r="AQJ2494" s="59"/>
      <c r="AQK2494" s="59"/>
      <c r="AQL2494" s="60"/>
      <c r="AQM2494" s="60"/>
      <c r="AQN2494" s="60"/>
      <c r="AQO2494" s="59"/>
      <c r="AQP2494" s="61"/>
      <c r="AQQ2494" s="59"/>
      <c r="AQR2494" s="59"/>
      <c r="AQS2494" s="59"/>
      <c r="AQT2494" s="60"/>
      <c r="AQU2494" s="60"/>
      <c r="AQV2494" s="60"/>
      <c r="AQW2494" s="59"/>
      <c r="AQX2494" s="61"/>
      <c r="AQY2494" s="59"/>
      <c r="AQZ2494" s="59"/>
      <c r="ARA2494" s="59"/>
      <c r="ARB2494" s="60"/>
      <c r="ARC2494" s="60"/>
      <c r="ARD2494" s="60"/>
      <c r="ARE2494" s="59"/>
      <c r="ARF2494" s="61"/>
      <c r="ARG2494" s="59"/>
      <c r="ARH2494" s="59"/>
      <c r="ARI2494" s="59"/>
      <c r="ARJ2494" s="60"/>
      <c r="ARK2494" s="60"/>
      <c r="ARL2494" s="60"/>
      <c r="ARM2494" s="59"/>
      <c r="ARN2494" s="61"/>
      <c r="ARO2494" s="59"/>
      <c r="ARP2494" s="59"/>
      <c r="ARQ2494" s="59"/>
      <c r="ARR2494" s="60"/>
      <c r="ARS2494" s="60"/>
      <c r="ART2494" s="60"/>
      <c r="ARU2494" s="59"/>
      <c r="ARV2494" s="61"/>
      <c r="ARW2494" s="59"/>
      <c r="ARX2494" s="59"/>
      <c r="ARY2494" s="59"/>
      <c r="ARZ2494" s="60"/>
      <c r="ASA2494" s="60"/>
      <c r="ASB2494" s="60"/>
      <c r="ASC2494" s="59"/>
      <c r="ASD2494" s="61"/>
      <c r="ASE2494" s="59"/>
      <c r="ASF2494" s="59"/>
      <c r="ASG2494" s="59"/>
      <c r="ASH2494" s="60"/>
      <c r="ASI2494" s="60"/>
      <c r="ASJ2494" s="60"/>
      <c r="ASK2494" s="59"/>
      <c r="ASL2494" s="61"/>
      <c r="ASM2494" s="59"/>
      <c r="ASN2494" s="59"/>
      <c r="ASO2494" s="59"/>
      <c r="ASP2494" s="60"/>
      <c r="ASQ2494" s="60"/>
      <c r="ASR2494" s="60"/>
      <c r="ASS2494" s="59"/>
      <c r="AST2494" s="61"/>
      <c r="ASU2494" s="59"/>
      <c r="ASV2494" s="59"/>
      <c r="ASW2494" s="59"/>
      <c r="ASX2494" s="60"/>
      <c r="ASY2494" s="60"/>
      <c r="ASZ2494" s="60"/>
      <c r="ATA2494" s="59"/>
      <c r="ATB2494" s="61"/>
      <c r="ATC2494" s="59"/>
      <c r="ATD2494" s="59"/>
      <c r="ATE2494" s="59"/>
      <c r="ATF2494" s="60"/>
      <c r="ATG2494" s="60"/>
      <c r="ATH2494" s="60"/>
      <c r="ATI2494" s="59"/>
      <c r="ATJ2494" s="61"/>
      <c r="ATK2494" s="59"/>
      <c r="ATL2494" s="59"/>
      <c r="ATM2494" s="59"/>
      <c r="ATN2494" s="60"/>
      <c r="ATO2494" s="60"/>
      <c r="ATP2494" s="60"/>
      <c r="ATQ2494" s="59"/>
      <c r="ATR2494" s="61"/>
      <c r="ATS2494" s="59"/>
      <c r="ATT2494" s="59"/>
      <c r="ATU2494" s="59"/>
      <c r="ATV2494" s="60"/>
      <c r="ATW2494" s="60"/>
      <c r="ATX2494" s="60"/>
      <c r="ATY2494" s="59"/>
      <c r="ATZ2494" s="61"/>
      <c r="AUA2494" s="59"/>
      <c r="AUB2494" s="59"/>
      <c r="AUC2494" s="59"/>
      <c r="AUD2494" s="60"/>
      <c r="AUE2494" s="60"/>
      <c r="AUF2494" s="60"/>
      <c r="AUG2494" s="59"/>
      <c r="AUH2494" s="61"/>
      <c r="AUI2494" s="59"/>
      <c r="AUJ2494" s="59"/>
      <c r="AUK2494" s="59"/>
      <c r="AUL2494" s="60"/>
      <c r="AUM2494" s="60"/>
      <c r="AUN2494" s="60"/>
      <c r="AUO2494" s="59"/>
      <c r="AUP2494" s="61"/>
      <c r="AUQ2494" s="59"/>
      <c r="AUR2494" s="59"/>
      <c r="AUS2494" s="59"/>
      <c r="AUT2494" s="60"/>
      <c r="AUU2494" s="60"/>
      <c r="AUV2494" s="60"/>
      <c r="AUW2494" s="59"/>
      <c r="AUX2494" s="61"/>
      <c r="AUY2494" s="59"/>
      <c r="AUZ2494" s="59"/>
      <c r="AVA2494" s="59"/>
      <c r="AVB2494" s="60"/>
      <c r="AVC2494" s="60"/>
      <c r="AVD2494" s="60"/>
      <c r="AVE2494" s="59"/>
      <c r="AVF2494" s="61"/>
      <c r="AVG2494" s="59"/>
      <c r="AVH2494" s="59"/>
      <c r="AVI2494" s="59"/>
      <c r="AVJ2494" s="60"/>
      <c r="AVK2494" s="60"/>
      <c r="AVL2494" s="60"/>
      <c r="AVM2494" s="59"/>
      <c r="AVN2494" s="61"/>
      <c r="AVO2494" s="59"/>
      <c r="AVP2494" s="59"/>
      <c r="AVQ2494" s="59"/>
      <c r="AVR2494" s="60"/>
      <c r="AVS2494" s="60"/>
      <c r="AVT2494" s="60"/>
      <c r="AVU2494" s="59"/>
      <c r="AVV2494" s="61"/>
      <c r="AVW2494" s="59"/>
      <c r="AVX2494" s="59"/>
      <c r="AVY2494" s="59"/>
      <c r="AVZ2494" s="60"/>
      <c r="AWA2494" s="60"/>
      <c r="AWB2494" s="60"/>
      <c r="AWC2494" s="59"/>
      <c r="AWD2494" s="61"/>
      <c r="AWE2494" s="59"/>
      <c r="AWF2494" s="59"/>
      <c r="AWG2494" s="59"/>
      <c r="AWH2494" s="60"/>
      <c r="AWI2494" s="60"/>
      <c r="AWJ2494" s="60"/>
      <c r="AWK2494" s="59"/>
      <c r="AWL2494" s="61"/>
      <c r="AWM2494" s="59"/>
      <c r="AWN2494" s="59"/>
      <c r="AWO2494" s="59"/>
      <c r="AWP2494" s="60"/>
      <c r="AWQ2494" s="60"/>
      <c r="AWR2494" s="60"/>
      <c r="AWS2494" s="59"/>
      <c r="AWT2494" s="61"/>
      <c r="AWU2494" s="59"/>
      <c r="AWV2494" s="59"/>
      <c r="AWW2494" s="59"/>
      <c r="AWX2494" s="60"/>
      <c r="AWY2494" s="60"/>
      <c r="AWZ2494" s="60"/>
      <c r="AXA2494" s="59"/>
      <c r="AXB2494" s="61"/>
      <c r="AXC2494" s="59"/>
      <c r="AXD2494" s="59"/>
      <c r="AXE2494" s="59"/>
      <c r="AXF2494" s="60"/>
      <c r="AXG2494" s="60"/>
      <c r="AXH2494" s="60"/>
      <c r="AXI2494" s="59"/>
      <c r="AXJ2494" s="61"/>
      <c r="AXK2494" s="59"/>
      <c r="AXL2494" s="59"/>
      <c r="AXM2494" s="59"/>
      <c r="AXN2494" s="60"/>
      <c r="AXO2494" s="60"/>
      <c r="AXP2494" s="60"/>
      <c r="AXQ2494" s="59"/>
      <c r="AXR2494" s="61"/>
      <c r="AXS2494" s="59"/>
      <c r="AXT2494" s="59"/>
      <c r="AXU2494" s="59"/>
      <c r="AXV2494" s="60"/>
      <c r="AXW2494" s="60"/>
      <c r="AXX2494" s="60"/>
      <c r="AXY2494" s="59"/>
      <c r="AXZ2494" s="61"/>
      <c r="AYA2494" s="59"/>
      <c r="AYB2494" s="59"/>
      <c r="AYC2494" s="59"/>
      <c r="AYD2494" s="60"/>
      <c r="AYE2494" s="60"/>
      <c r="AYF2494" s="60"/>
      <c r="AYG2494" s="59"/>
      <c r="AYH2494" s="61"/>
      <c r="AYI2494" s="59"/>
      <c r="AYJ2494" s="59"/>
      <c r="AYK2494" s="59"/>
      <c r="AYL2494" s="60"/>
      <c r="AYM2494" s="60"/>
      <c r="AYN2494" s="60"/>
      <c r="AYO2494" s="59"/>
      <c r="AYP2494" s="61"/>
      <c r="AYQ2494" s="59"/>
      <c r="AYR2494" s="59"/>
      <c r="AYS2494" s="59"/>
      <c r="AYT2494" s="60"/>
      <c r="AYU2494" s="60"/>
      <c r="AYV2494" s="60"/>
      <c r="AYW2494" s="59"/>
      <c r="AYX2494" s="61"/>
      <c r="AYY2494" s="59"/>
      <c r="AYZ2494" s="59"/>
      <c r="AZA2494" s="59"/>
      <c r="AZB2494" s="60"/>
      <c r="AZC2494" s="60"/>
      <c r="AZD2494" s="60"/>
      <c r="AZE2494" s="59"/>
      <c r="AZF2494" s="61"/>
      <c r="AZG2494" s="59"/>
      <c r="AZH2494" s="59"/>
      <c r="AZI2494" s="59"/>
      <c r="AZJ2494" s="60"/>
      <c r="AZK2494" s="60"/>
      <c r="AZL2494" s="60"/>
      <c r="AZM2494" s="59"/>
      <c r="AZN2494" s="61"/>
      <c r="AZO2494" s="59"/>
      <c r="AZP2494" s="59"/>
      <c r="AZQ2494" s="59"/>
      <c r="AZR2494" s="60"/>
      <c r="AZS2494" s="60"/>
      <c r="AZT2494" s="60"/>
      <c r="AZU2494" s="59"/>
      <c r="AZV2494" s="61"/>
      <c r="AZW2494" s="59"/>
      <c r="AZX2494" s="59"/>
      <c r="AZY2494" s="59"/>
      <c r="AZZ2494" s="60"/>
      <c r="BAA2494" s="60"/>
      <c r="BAB2494" s="60"/>
      <c r="BAC2494" s="59"/>
      <c r="BAD2494" s="61"/>
      <c r="BAE2494" s="59"/>
      <c r="BAF2494" s="59"/>
      <c r="BAG2494" s="59"/>
      <c r="BAH2494" s="60"/>
      <c r="BAI2494" s="60"/>
      <c r="BAJ2494" s="60"/>
      <c r="BAK2494" s="59"/>
      <c r="BAL2494" s="61"/>
      <c r="BAM2494" s="59"/>
      <c r="BAN2494" s="59"/>
      <c r="BAO2494" s="59"/>
      <c r="BAP2494" s="60"/>
      <c r="BAQ2494" s="60"/>
      <c r="BAR2494" s="60"/>
      <c r="BAS2494" s="59"/>
      <c r="BAT2494" s="61"/>
      <c r="BAU2494" s="59"/>
      <c r="BAV2494" s="59"/>
      <c r="BAW2494" s="59"/>
      <c r="BAX2494" s="60"/>
      <c r="BAY2494" s="60"/>
      <c r="BAZ2494" s="60"/>
      <c r="BBA2494" s="59"/>
      <c r="BBB2494" s="61"/>
      <c r="BBC2494" s="59"/>
      <c r="BBD2494" s="59"/>
      <c r="BBE2494" s="59"/>
      <c r="BBF2494" s="60"/>
      <c r="BBG2494" s="60"/>
      <c r="BBH2494" s="60"/>
      <c r="BBI2494" s="59"/>
      <c r="BBJ2494" s="61"/>
      <c r="BBK2494" s="59"/>
      <c r="BBL2494" s="59"/>
      <c r="BBM2494" s="59"/>
      <c r="BBN2494" s="60"/>
      <c r="BBO2494" s="60"/>
      <c r="BBP2494" s="60"/>
      <c r="BBQ2494" s="59"/>
      <c r="BBR2494" s="61"/>
      <c r="BBS2494" s="59"/>
      <c r="BBT2494" s="59"/>
      <c r="BBU2494" s="59"/>
      <c r="BBV2494" s="60"/>
      <c r="BBW2494" s="60"/>
      <c r="BBX2494" s="60"/>
      <c r="BBY2494" s="59"/>
      <c r="BBZ2494" s="61"/>
      <c r="BCA2494" s="59"/>
      <c r="BCB2494" s="59"/>
      <c r="BCC2494" s="59"/>
      <c r="BCD2494" s="60"/>
      <c r="BCE2494" s="60"/>
      <c r="BCF2494" s="60"/>
      <c r="BCG2494" s="59"/>
      <c r="BCH2494" s="61"/>
      <c r="BCI2494" s="59"/>
      <c r="BCJ2494" s="59"/>
      <c r="BCK2494" s="59"/>
      <c r="BCL2494" s="60"/>
      <c r="BCM2494" s="60"/>
      <c r="BCN2494" s="60"/>
      <c r="BCO2494" s="59"/>
      <c r="BCP2494" s="61"/>
      <c r="BCQ2494" s="59"/>
      <c r="BCR2494" s="59"/>
      <c r="BCS2494" s="59"/>
      <c r="BCT2494" s="60"/>
      <c r="BCU2494" s="60"/>
      <c r="BCV2494" s="60"/>
      <c r="BCW2494" s="59"/>
      <c r="BCX2494" s="61"/>
      <c r="BCY2494" s="59"/>
      <c r="BCZ2494" s="59"/>
      <c r="BDA2494" s="59"/>
      <c r="BDB2494" s="60"/>
      <c r="BDC2494" s="60"/>
      <c r="BDD2494" s="60"/>
      <c r="BDE2494" s="59"/>
      <c r="BDF2494" s="61"/>
      <c r="BDG2494" s="59"/>
      <c r="BDH2494" s="59"/>
      <c r="BDI2494" s="59"/>
      <c r="BDJ2494" s="60"/>
      <c r="BDK2494" s="60"/>
      <c r="BDL2494" s="60"/>
      <c r="BDM2494" s="59"/>
      <c r="BDN2494" s="61"/>
      <c r="BDO2494" s="59"/>
      <c r="BDP2494" s="59"/>
      <c r="BDQ2494" s="59"/>
      <c r="BDR2494" s="60"/>
      <c r="BDS2494" s="60"/>
      <c r="BDT2494" s="60"/>
      <c r="BDU2494" s="59"/>
      <c r="BDV2494" s="61"/>
      <c r="BDW2494" s="59"/>
      <c r="BDX2494" s="59"/>
      <c r="BDY2494" s="59"/>
      <c r="BDZ2494" s="60"/>
      <c r="BEA2494" s="60"/>
      <c r="BEB2494" s="60"/>
      <c r="BEC2494" s="59"/>
      <c r="BED2494" s="61"/>
      <c r="BEE2494" s="59"/>
      <c r="BEF2494" s="59"/>
      <c r="BEG2494" s="59"/>
      <c r="BEH2494" s="60"/>
      <c r="BEI2494" s="60"/>
      <c r="BEJ2494" s="60"/>
      <c r="BEK2494" s="59"/>
      <c r="BEL2494" s="61"/>
      <c r="BEM2494" s="59"/>
      <c r="BEN2494" s="59"/>
      <c r="BEO2494" s="59"/>
      <c r="BEP2494" s="60"/>
      <c r="BEQ2494" s="60"/>
      <c r="BER2494" s="60"/>
      <c r="BES2494" s="59"/>
      <c r="BET2494" s="61"/>
      <c r="BEU2494" s="59"/>
      <c r="BEV2494" s="59"/>
      <c r="BEW2494" s="59"/>
      <c r="BEX2494" s="60"/>
      <c r="BEY2494" s="60"/>
      <c r="BEZ2494" s="60"/>
      <c r="BFA2494" s="59"/>
      <c r="BFB2494" s="61"/>
      <c r="BFC2494" s="59"/>
      <c r="BFD2494" s="59"/>
      <c r="BFE2494" s="59"/>
      <c r="BFF2494" s="60"/>
      <c r="BFG2494" s="60"/>
      <c r="BFH2494" s="60"/>
      <c r="BFI2494" s="59"/>
      <c r="BFJ2494" s="61"/>
      <c r="BFK2494" s="59"/>
      <c r="BFL2494" s="59"/>
      <c r="BFM2494" s="59"/>
      <c r="BFN2494" s="60"/>
      <c r="BFO2494" s="60"/>
      <c r="BFP2494" s="60"/>
      <c r="BFQ2494" s="59"/>
      <c r="BFR2494" s="61"/>
      <c r="BFS2494" s="59"/>
      <c r="BFT2494" s="59"/>
      <c r="BFU2494" s="59"/>
      <c r="BFV2494" s="60"/>
      <c r="BFW2494" s="60"/>
      <c r="BFX2494" s="60"/>
      <c r="BFY2494" s="59"/>
      <c r="BFZ2494" s="61"/>
      <c r="BGA2494" s="59"/>
      <c r="BGB2494" s="59"/>
      <c r="BGC2494" s="59"/>
      <c r="BGD2494" s="60"/>
      <c r="BGE2494" s="60"/>
      <c r="BGF2494" s="60"/>
      <c r="BGG2494" s="59"/>
      <c r="BGH2494" s="61"/>
      <c r="BGI2494" s="59"/>
      <c r="BGJ2494" s="59"/>
      <c r="BGK2494" s="59"/>
      <c r="BGL2494" s="60"/>
      <c r="BGM2494" s="60"/>
      <c r="BGN2494" s="60"/>
      <c r="BGO2494" s="59"/>
      <c r="BGP2494" s="61"/>
      <c r="BGQ2494" s="59"/>
      <c r="BGR2494" s="59"/>
      <c r="BGS2494" s="59"/>
      <c r="BGT2494" s="60"/>
      <c r="BGU2494" s="60"/>
      <c r="BGV2494" s="60"/>
      <c r="BGW2494" s="59"/>
      <c r="BGX2494" s="61"/>
      <c r="BGY2494" s="59"/>
      <c r="BGZ2494" s="59"/>
      <c r="BHA2494" s="59"/>
      <c r="BHB2494" s="60"/>
      <c r="BHC2494" s="60"/>
      <c r="BHD2494" s="60"/>
      <c r="BHE2494" s="59"/>
      <c r="BHF2494" s="61"/>
      <c r="BHG2494" s="59"/>
      <c r="BHH2494" s="59"/>
      <c r="BHI2494" s="59"/>
      <c r="BHJ2494" s="60"/>
      <c r="BHK2494" s="60"/>
      <c r="BHL2494" s="60"/>
      <c r="BHM2494" s="59"/>
      <c r="BHN2494" s="61"/>
      <c r="BHO2494" s="59"/>
      <c r="BHP2494" s="59"/>
      <c r="BHQ2494" s="59"/>
      <c r="BHR2494" s="60"/>
      <c r="BHS2494" s="60"/>
      <c r="BHT2494" s="60"/>
      <c r="BHU2494" s="59"/>
      <c r="BHV2494" s="61"/>
      <c r="BHW2494" s="59"/>
      <c r="BHX2494" s="59"/>
      <c r="BHY2494" s="59"/>
      <c r="BHZ2494" s="60"/>
      <c r="BIA2494" s="60"/>
      <c r="BIB2494" s="60"/>
      <c r="BIC2494" s="59"/>
      <c r="BID2494" s="61"/>
      <c r="BIE2494" s="59"/>
      <c r="BIF2494" s="59"/>
      <c r="BIG2494" s="59"/>
      <c r="BIH2494" s="60"/>
      <c r="BII2494" s="60"/>
      <c r="BIJ2494" s="60"/>
      <c r="BIK2494" s="59"/>
      <c r="BIL2494" s="61"/>
      <c r="BIM2494" s="59"/>
      <c r="BIN2494" s="59"/>
      <c r="BIO2494" s="59"/>
      <c r="BIP2494" s="60"/>
      <c r="BIQ2494" s="60"/>
      <c r="BIR2494" s="60"/>
      <c r="BIS2494" s="59"/>
      <c r="BIT2494" s="61"/>
      <c r="BIU2494" s="59"/>
      <c r="BIV2494" s="59"/>
      <c r="BIW2494" s="59"/>
      <c r="BIX2494" s="60"/>
      <c r="BIY2494" s="60"/>
      <c r="BIZ2494" s="60"/>
      <c r="BJA2494" s="59"/>
      <c r="BJB2494" s="61"/>
      <c r="BJC2494" s="59"/>
      <c r="BJD2494" s="59"/>
      <c r="BJE2494" s="59"/>
      <c r="BJF2494" s="60"/>
      <c r="BJG2494" s="60"/>
      <c r="BJH2494" s="60"/>
      <c r="BJI2494" s="59"/>
      <c r="BJJ2494" s="61"/>
      <c r="BJK2494" s="59"/>
      <c r="BJL2494" s="59"/>
      <c r="BJM2494" s="59"/>
      <c r="BJN2494" s="60"/>
      <c r="BJO2494" s="60"/>
      <c r="BJP2494" s="60"/>
      <c r="BJQ2494" s="59"/>
      <c r="BJR2494" s="61"/>
      <c r="BJS2494" s="59"/>
      <c r="BJT2494" s="59"/>
      <c r="BJU2494" s="59"/>
      <c r="BJV2494" s="60"/>
      <c r="BJW2494" s="60"/>
      <c r="BJX2494" s="60"/>
      <c r="BJY2494" s="59"/>
      <c r="BJZ2494" s="61"/>
      <c r="BKA2494" s="59"/>
      <c r="BKB2494" s="59"/>
      <c r="BKC2494" s="59"/>
      <c r="BKD2494" s="60"/>
      <c r="BKE2494" s="60"/>
      <c r="BKF2494" s="60"/>
      <c r="BKG2494" s="59"/>
      <c r="BKH2494" s="61"/>
      <c r="BKI2494" s="59"/>
      <c r="BKJ2494" s="59"/>
      <c r="BKK2494" s="59"/>
      <c r="BKL2494" s="60"/>
      <c r="BKM2494" s="60"/>
      <c r="BKN2494" s="60"/>
      <c r="BKO2494" s="59"/>
      <c r="BKP2494" s="61"/>
      <c r="BKQ2494" s="59"/>
      <c r="BKR2494" s="59"/>
      <c r="BKS2494" s="59"/>
      <c r="BKT2494" s="60"/>
      <c r="BKU2494" s="60"/>
      <c r="BKV2494" s="60"/>
      <c r="BKW2494" s="59"/>
      <c r="BKX2494" s="61"/>
      <c r="BKY2494" s="59"/>
      <c r="BKZ2494" s="59"/>
      <c r="BLA2494" s="59"/>
      <c r="BLB2494" s="60"/>
      <c r="BLC2494" s="60"/>
      <c r="BLD2494" s="60"/>
      <c r="BLE2494" s="59"/>
      <c r="BLF2494" s="61"/>
      <c r="BLG2494" s="59"/>
      <c r="BLH2494" s="59"/>
      <c r="BLI2494" s="59"/>
      <c r="BLJ2494" s="60"/>
      <c r="BLK2494" s="60"/>
      <c r="BLL2494" s="60"/>
      <c r="BLM2494" s="59"/>
      <c r="BLN2494" s="61"/>
      <c r="BLO2494" s="59"/>
      <c r="BLP2494" s="59"/>
      <c r="BLQ2494" s="59"/>
      <c r="BLR2494" s="60"/>
      <c r="BLS2494" s="60"/>
      <c r="BLT2494" s="60"/>
      <c r="BLU2494" s="59"/>
      <c r="BLV2494" s="61"/>
      <c r="BLW2494" s="59"/>
      <c r="BLX2494" s="59"/>
      <c r="BLY2494" s="59"/>
      <c r="BLZ2494" s="60"/>
      <c r="BMA2494" s="60"/>
      <c r="BMB2494" s="60"/>
      <c r="BMC2494" s="59"/>
      <c r="BMD2494" s="61"/>
      <c r="BME2494" s="59"/>
      <c r="BMF2494" s="59"/>
      <c r="BMG2494" s="59"/>
      <c r="BMH2494" s="60"/>
      <c r="BMI2494" s="60"/>
      <c r="BMJ2494" s="60"/>
      <c r="BMK2494" s="59"/>
      <c r="BML2494" s="61"/>
      <c r="BMM2494" s="59"/>
      <c r="BMN2494" s="59"/>
      <c r="BMO2494" s="59"/>
      <c r="BMP2494" s="60"/>
      <c r="BMQ2494" s="60"/>
      <c r="BMR2494" s="60"/>
      <c r="BMS2494" s="59"/>
      <c r="BMT2494" s="61"/>
      <c r="BMU2494" s="59"/>
      <c r="BMV2494" s="59"/>
      <c r="BMW2494" s="59"/>
      <c r="BMX2494" s="60"/>
      <c r="BMY2494" s="60"/>
      <c r="BMZ2494" s="60"/>
      <c r="BNA2494" s="59"/>
      <c r="BNB2494" s="61"/>
      <c r="BNC2494" s="59"/>
      <c r="BND2494" s="59"/>
      <c r="BNE2494" s="59"/>
      <c r="BNF2494" s="60"/>
      <c r="BNG2494" s="60"/>
      <c r="BNH2494" s="60"/>
      <c r="BNI2494" s="59"/>
      <c r="BNJ2494" s="61"/>
      <c r="BNK2494" s="59"/>
      <c r="BNL2494" s="59"/>
      <c r="BNM2494" s="59"/>
      <c r="BNN2494" s="60"/>
      <c r="BNO2494" s="60"/>
      <c r="BNP2494" s="60"/>
      <c r="BNQ2494" s="59"/>
      <c r="BNR2494" s="61"/>
      <c r="BNS2494" s="59"/>
      <c r="BNT2494" s="59"/>
      <c r="BNU2494" s="59"/>
      <c r="BNV2494" s="60"/>
      <c r="BNW2494" s="60"/>
      <c r="BNX2494" s="60"/>
      <c r="BNY2494" s="59"/>
      <c r="BNZ2494" s="61"/>
      <c r="BOA2494" s="59"/>
      <c r="BOB2494" s="59"/>
      <c r="BOC2494" s="59"/>
      <c r="BOD2494" s="60"/>
      <c r="BOE2494" s="60"/>
      <c r="BOF2494" s="60"/>
      <c r="BOG2494" s="59"/>
      <c r="BOH2494" s="61"/>
      <c r="BOI2494" s="59"/>
      <c r="BOJ2494" s="59"/>
      <c r="BOK2494" s="59"/>
      <c r="BOL2494" s="60"/>
      <c r="BOM2494" s="60"/>
      <c r="BON2494" s="60"/>
      <c r="BOO2494" s="59"/>
      <c r="BOP2494" s="61"/>
      <c r="BOQ2494" s="59"/>
      <c r="BOR2494" s="59"/>
      <c r="BOS2494" s="59"/>
      <c r="BOT2494" s="60"/>
      <c r="BOU2494" s="60"/>
      <c r="BOV2494" s="60"/>
      <c r="BOW2494" s="59"/>
      <c r="BOX2494" s="61"/>
      <c r="BOY2494" s="59"/>
      <c r="BOZ2494" s="59"/>
      <c r="BPA2494" s="59"/>
      <c r="BPB2494" s="60"/>
      <c r="BPC2494" s="60"/>
      <c r="BPD2494" s="60"/>
      <c r="BPE2494" s="59"/>
      <c r="BPF2494" s="61"/>
      <c r="BPG2494" s="59"/>
      <c r="BPH2494" s="59"/>
      <c r="BPI2494" s="59"/>
      <c r="BPJ2494" s="60"/>
      <c r="BPK2494" s="60"/>
      <c r="BPL2494" s="60"/>
      <c r="BPM2494" s="59"/>
      <c r="BPN2494" s="61"/>
      <c r="BPO2494" s="59"/>
      <c r="BPP2494" s="59"/>
      <c r="BPQ2494" s="59"/>
      <c r="BPR2494" s="60"/>
      <c r="BPS2494" s="60"/>
      <c r="BPT2494" s="60"/>
      <c r="BPU2494" s="59"/>
      <c r="BPV2494" s="61"/>
      <c r="BPW2494" s="59"/>
      <c r="BPX2494" s="59"/>
      <c r="BPY2494" s="59"/>
      <c r="BPZ2494" s="60"/>
      <c r="BQA2494" s="60"/>
      <c r="BQB2494" s="60"/>
      <c r="BQC2494" s="59"/>
      <c r="BQD2494" s="61"/>
      <c r="BQE2494" s="59"/>
      <c r="BQF2494" s="59"/>
      <c r="BQG2494" s="59"/>
      <c r="BQH2494" s="60"/>
      <c r="BQI2494" s="60"/>
      <c r="BQJ2494" s="60"/>
      <c r="BQK2494" s="59"/>
      <c r="BQL2494" s="61"/>
      <c r="BQM2494" s="59"/>
      <c r="BQN2494" s="59"/>
      <c r="BQO2494" s="59"/>
      <c r="BQP2494" s="60"/>
      <c r="BQQ2494" s="60"/>
      <c r="BQR2494" s="60"/>
      <c r="BQS2494" s="59"/>
      <c r="BQT2494" s="61"/>
      <c r="BQU2494" s="59"/>
      <c r="BQV2494" s="59"/>
      <c r="BQW2494" s="59"/>
      <c r="BQX2494" s="60"/>
      <c r="BQY2494" s="60"/>
      <c r="BQZ2494" s="60"/>
      <c r="BRA2494" s="59"/>
      <c r="BRB2494" s="61"/>
      <c r="BRC2494" s="59"/>
      <c r="BRD2494" s="59"/>
      <c r="BRE2494" s="59"/>
      <c r="BRF2494" s="60"/>
      <c r="BRG2494" s="60"/>
      <c r="BRH2494" s="60"/>
      <c r="BRI2494" s="59"/>
      <c r="BRJ2494" s="61"/>
      <c r="BRK2494" s="59"/>
      <c r="BRL2494" s="59"/>
      <c r="BRM2494" s="59"/>
      <c r="BRN2494" s="60"/>
      <c r="BRO2494" s="60"/>
      <c r="BRP2494" s="60"/>
      <c r="BRQ2494" s="59"/>
      <c r="BRR2494" s="61"/>
      <c r="BRS2494" s="59"/>
      <c r="BRT2494" s="59"/>
      <c r="BRU2494" s="59"/>
      <c r="BRV2494" s="60"/>
      <c r="BRW2494" s="60"/>
      <c r="BRX2494" s="60"/>
      <c r="BRY2494" s="59"/>
      <c r="BRZ2494" s="61"/>
      <c r="BSA2494" s="59"/>
      <c r="BSB2494" s="59"/>
      <c r="BSC2494" s="59"/>
      <c r="BSD2494" s="60"/>
      <c r="BSE2494" s="60"/>
      <c r="BSF2494" s="60"/>
      <c r="BSG2494" s="59"/>
      <c r="BSH2494" s="61"/>
      <c r="BSI2494" s="59"/>
      <c r="BSJ2494" s="59"/>
      <c r="BSK2494" s="59"/>
      <c r="BSL2494" s="60"/>
      <c r="BSM2494" s="60"/>
      <c r="BSN2494" s="60"/>
      <c r="BSO2494" s="59"/>
      <c r="BSP2494" s="61"/>
      <c r="BSQ2494" s="59"/>
      <c r="BSR2494" s="59"/>
      <c r="BSS2494" s="59"/>
      <c r="BST2494" s="60"/>
      <c r="BSU2494" s="60"/>
      <c r="BSV2494" s="60"/>
      <c r="BSW2494" s="59"/>
      <c r="BSX2494" s="61"/>
      <c r="BSY2494" s="59"/>
      <c r="BSZ2494" s="59"/>
      <c r="BTA2494" s="59"/>
      <c r="BTB2494" s="60"/>
      <c r="BTC2494" s="60"/>
      <c r="BTD2494" s="60"/>
      <c r="BTE2494" s="59"/>
      <c r="BTF2494" s="61"/>
      <c r="BTG2494" s="59"/>
      <c r="BTH2494" s="59"/>
      <c r="BTI2494" s="59"/>
      <c r="BTJ2494" s="60"/>
      <c r="BTK2494" s="60"/>
      <c r="BTL2494" s="60"/>
      <c r="BTM2494" s="59"/>
      <c r="BTN2494" s="61"/>
      <c r="BTO2494" s="59"/>
      <c r="BTP2494" s="59"/>
      <c r="BTQ2494" s="59"/>
      <c r="BTR2494" s="60"/>
      <c r="BTS2494" s="60"/>
      <c r="BTT2494" s="60"/>
      <c r="BTU2494" s="59"/>
      <c r="BTV2494" s="61"/>
      <c r="BTW2494" s="59"/>
      <c r="BTX2494" s="59"/>
      <c r="BTY2494" s="59"/>
      <c r="BTZ2494" s="60"/>
      <c r="BUA2494" s="60"/>
      <c r="BUB2494" s="60"/>
      <c r="BUC2494" s="59"/>
      <c r="BUD2494" s="61"/>
      <c r="BUE2494" s="59"/>
      <c r="BUF2494" s="59"/>
      <c r="BUG2494" s="59"/>
      <c r="BUH2494" s="60"/>
      <c r="BUI2494" s="60"/>
      <c r="BUJ2494" s="60"/>
      <c r="BUK2494" s="59"/>
      <c r="BUL2494" s="61"/>
      <c r="BUM2494" s="59"/>
      <c r="BUN2494" s="59"/>
      <c r="BUO2494" s="59"/>
      <c r="BUP2494" s="60"/>
      <c r="BUQ2494" s="60"/>
      <c r="BUR2494" s="60"/>
      <c r="BUS2494" s="59"/>
      <c r="BUT2494" s="61"/>
      <c r="BUU2494" s="59"/>
      <c r="BUV2494" s="59"/>
      <c r="BUW2494" s="59"/>
      <c r="BUX2494" s="60"/>
      <c r="BUY2494" s="60"/>
      <c r="BUZ2494" s="60"/>
      <c r="BVA2494" s="59"/>
      <c r="BVB2494" s="61"/>
      <c r="BVC2494" s="59"/>
      <c r="BVD2494" s="59"/>
      <c r="BVE2494" s="59"/>
      <c r="BVF2494" s="60"/>
      <c r="BVG2494" s="60"/>
      <c r="BVH2494" s="60"/>
      <c r="BVI2494" s="59"/>
      <c r="BVJ2494" s="61"/>
      <c r="BVK2494" s="59"/>
      <c r="BVL2494" s="59"/>
      <c r="BVM2494" s="59"/>
      <c r="BVN2494" s="60"/>
      <c r="BVO2494" s="60"/>
      <c r="BVP2494" s="60"/>
      <c r="BVQ2494" s="59"/>
      <c r="BVR2494" s="61"/>
      <c r="BVS2494" s="59"/>
      <c r="BVT2494" s="59"/>
      <c r="BVU2494" s="59"/>
      <c r="BVV2494" s="60"/>
      <c r="BVW2494" s="60"/>
      <c r="BVX2494" s="60"/>
      <c r="BVY2494" s="59"/>
      <c r="BVZ2494" s="61"/>
      <c r="BWA2494" s="59"/>
      <c r="BWB2494" s="59"/>
      <c r="BWC2494" s="59"/>
      <c r="BWD2494" s="60"/>
      <c r="BWE2494" s="60"/>
      <c r="BWF2494" s="60"/>
      <c r="BWG2494" s="59"/>
      <c r="BWH2494" s="61"/>
      <c r="BWI2494" s="59"/>
      <c r="BWJ2494" s="59"/>
      <c r="BWK2494" s="59"/>
      <c r="BWL2494" s="60"/>
      <c r="BWM2494" s="60"/>
      <c r="BWN2494" s="60"/>
      <c r="BWO2494" s="59"/>
      <c r="BWP2494" s="61"/>
      <c r="BWQ2494" s="59"/>
      <c r="BWR2494" s="59"/>
      <c r="BWS2494" s="59"/>
      <c r="BWT2494" s="60"/>
      <c r="BWU2494" s="60"/>
      <c r="BWV2494" s="60"/>
      <c r="BWW2494" s="59"/>
      <c r="BWX2494" s="61"/>
      <c r="BWY2494" s="59"/>
      <c r="BWZ2494" s="59"/>
      <c r="BXA2494" s="59"/>
      <c r="BXB2494" s="60"/>
      <c r="BXC2494" s="60"/>
      <c r="BXD2494" s="60"/>
      <c r="BXE2494" s="59"/>
      <c r="BXF2494" s="61"/>
      <c r="BXG2494" s="59"/>
      <c r="BXH2494" s="59"/>
      <c r="BXI2494" s="59"/>
      <c r="BXJ2494" s="60"/>
      <c r="BXK2494" s="60"/>
      <c r="BXL2494" s="60"/>
      <c r="BXM2494" s="59"/>
      <c r="BXN2494" s="61"/>
      <c r="BXO2494" s="59"/>
      <c r="BXP2494" s="59"/>
      <c r="BXQ2494" s="59"/>
      <c r="BXR2494" s="60"/>
      <c r="BXS2494" s="60"/>
      <c r="BXT2494" s="60"/>
      <c r="BXU2494" s="59"/>
      <c r="BXV2494" s="61"/>
      <c r="BXW2494" s="59"/>
      <c r="BXX2494" s="59"/>
      <c r="BXY2494" s="59"/>
      <c r="BXZ2494" s="60"/>
      <c r="BYA2494" s="60"/>
      <c r="BYB2494" s="60"/>
      <c r="BYC2494" s="59"/>
      <c r="BYD2494" s="61"/>
      <c r="BYE2494" s="59"/>
      <c r="BYF2494" s="59"/>
      <c r="BYG2494" s="59"/>
      <c r="BYH2494" s="60"/>
      <c r="BYI2494" s="60"/>
      <c r="BYJ2494" s="60"/>
      <c r="BYK2494" s="59"/>
      <c r="BYL2494" s="61"/>
      <c r="BYM2494" s="59"/>
      <c r="BYN2494" s="59"/>
      <c r="BYO2494" s="59"/>
      <c r="BYP2494" s="60"/>
      <c r="BYQ2494" s="60"/>
      <c r="BYR2494" s="60"/>
      <c r="BYS2494" s="59"/>
      <c r="BYT2494" s="61"/>
      <c r="BYU2494" s="59"/>
      <c r="BYV2494" s="59"/>
      <c r="BYW2494" s="59"/>
      <c r="BYX2494" s="60"/>
      <c r="BYY2494" s="60"/>
      <c r="BYZ2494" s="60"/>
      <c r="BZA2494" s="59"/>
      <c r="BZB2494" s="61"/>
      <c r="BZC2494" s="59"/>
      <c r="BZD2494" s="59"/>
      <c r="BZE2494" s="59"/>
      <c r="BZF2494" s="60"/>
      <c r="BZG2494" s="60"/>
      <c r="BZH2494" s="60"/>
      <c r="BZI2494" s="59"/>
      <c r="BZJ2494" s="61"/>
      <c r="BZK2494" s="59"/>
      <c r="BZL2494" s="59"/>
      <c r="BZM2494" s="59"/>
      <c r="BZN2494" s="60"/>
      <c r="BZO2494" s="60"/>
      <c r="BZP2494" s="60"/>
      <c r="BZQ2494" s="59"/>
      <c r="BZR2494" s="61"/>
      <c r="BZS2494" s="59"/>
      <c r="BZT2494" s="59"/>
      <c r="BZU2494" s="59"/>
      <c r="BZV2494" s="60"/>
      <c r="BZW2494" s="60"/>
      <c r="BZX2494" s="60"/>
      <c r="BZY2494" s="59"/>
      <c r="BZZ2494" s="61"/>
      <c r="CAA2494" s="59"/>
      <c r="CAB2494" s="59"/>
      <c r="CAC2494" s="59"/>
      <c r="CAD2494" s="60"/>
      <c r="CAE2494" s="60"/>
      <c r="CAF2494" s="60"/>
      <c r="CAG2494" s="59"/>
      <c r="CAH2494" s="61"/>
      <c r="CAI2494" s="59"/>
      <c r="CAJ2494" s="59"/>
      <c r="CAK2494" s="59"/>
      <c r="CAL2494" s="60"/>
      <c r="CAM2494" s="60"/>
      <c r="CAN2494" s="60"/>
      <c r="CAO2494" s="59"/>
      <c r="CAP2494" s="61"/>
      <c r="CAQ2494" s="59"/>
      <c r="CAR2494" s="59"/>
      <c r="CAS2494" s="59"/>
      <c r="CAT2494" s="60"/>
      <c r="CAU2494" s="60"/>
      <c r="CAV2494" s="60"/>
      <c r="CAW2494" s="59"/>
      <c r="CAX2494" s="61"/>
      <c r="CAY2494" s="59"/>
      <c r="CAZ2494" s="59"/>
      <c r="CBA2494" s="59"/>
      <c r="CBB2494" s="60"/>
      <c r="CBC2494" s="60"/>
      <c r="CBD2494" s="60"/>
      <c r="CBE2494" s="59"/>
      <c r="CBF2494" s="61"/>
      <c r="CBG2494" s="59"/>
      <c r="CBH2494" s="59"/>
      <c r="CBI2494" s="59"/>
      <c r="CBJ2494" s="60"/>
      <c r="CBK2494" s="60"/>
      <c r="CBL2494" s="60"/>
      <c r="CBM2494" s="59"/>
      <c r="CBN2494" s="61"/>
      <c r="CBO2494" s="59"/>
      <c r="CBP2494" s="59"/>
      <c r="CBQ2494" s="59"/>
      <c r="CBR2494" s="60"/>
      <c r="CBS2494" s="60"/>
      <c r="CBT2494" s="60"/>
      <c r="CBU2494" s="59"/>
      <c r="CBV2494" s="61"/>
      <c r="CBW2494" s="59"/>
      <c r="CBX2494" s="59"/>
      <c r="CBY2494" s="59"/>
      <c r="CBZ2494" s="60"/>
      <c r="CCA2494" s="60"/>
      <c r="CCB2494" s="60"/>
      <c r="CCC2494" s="59"/>
      <c r="CCD2494" s="61"/>
      <c r="CCE2494" s="59"/>
      <c r="CCF2494" s="59"/>
      <c r="CCG2494" s="59"/>
      <c r="CCH2494" s="60"/>
      <c r="CCI2494" s="60"/>
      <c r="CCJ2494" s="60"/>
      <c r="CCK2494" s="59"/>
      <c r="CCL2494" s="61"/>
      <c r="CCM2494" s="59"/>
      <c r="CCN2494" s="59"/>
      <c r="CCO2494" s="59"/>
      <c r="CCP2494" s="60"/>
      <c r="CCQ2494" s="60"/>
      <c r="CCR2494" s="60"/>
      <c r="CCS2494" s="59"/>
      <c r="CCT2494" s="61"/>
      <c r="CCU2494" s="59"/>
      <c r="CCV2494" s="59"/>
      <c r="CCW2494" s="59"/>
      <c r="CCX2494" s="60"/>
      <c r="CCY2494" s="60"/>
      <c r="CCZ2494" s="60"/>
      <c r="CDA2494" s="59"/>
      <c r="CDB2494" s="61"/>
      <c r="CDC2494" s="59"/>
      <c r="CDD2494" s="59"/>
      <c r="CDE2494" s="59"/>
      <c r="CDF2494" s="60"/>
      <c r="CDG2494" s="60"/>
      <c r="CDH2494" s="60"/>
      <c r="CDI2494" s="59"/>
      <c r="CDJ2494" s="61"/>
      <c r="CDK2494" s="59"/>
      <c r="CDL2494" s="59"/>
      <c r="CDM2494" s="59"/>
      <c r="CDN2494" s="60"/>
      <c r="CDO2494" s="60"/>
      <c r="CDP2494" s="60"/>
      <c r="CDQ2494" s="59"/>
      <c r="CDR2494" s="61"/>
      <c r="CDS2494" s="59"/>
      <c r="CDT2494" s="59"/>
      <c r="CDU2494" s="59"/>
      <c r="CDV2494" s="60"/>
      <c r="CDW2494" s="60"/>
      <c r="CDX2494" s="60"/>
      <c r="CDY2494" s="59"/>
      <c r="CDZ2494" s="61"/>
      <c r="CEA2494" s="59"/>
      <c r="CEB2494" s="59"/>
      <c r="CEC2494" s="59"/>
      <c r="CED2494" s="60"/>
      <c r="CEE2494" s="60"/>
      <c r="CEF2494" s="60"/>
      <c r="CEG2494" s="59"/>
      <c r="CEH2494" s="61"/>
      <c r="CEI2494" s="59"/>
      <c r="CEJ2494" s="59"/>
      <c r="CEK2494" s="59"/>
      <c r="CEL2494" s="60"/>
      <c r="CEM2494" s="60"/>
      <c r="CEN2494" s="60"/>
      <c r="CEO2494" s="59"/>
      <c r="CEP2494" s="61"/>
      <c r="CEQ2494" s="59"/>
      <c r="CER2494" s="59"/>
      <c r="CES2494" s="59"/>
      <c r="CET2494" s="60"/>
      <c r="CEU2494" s="60"/>
      <c r="CEV2494" s="60"/>
      <c r="CEW2494" s="59"/>
      <c r="CEX2494" s="61"/>
      <c r="CEY2494" s="59"/>
      <c r="CEZ2494" s="59"/>
      <c r="CFA2494" s="59"/>
      <c r="CFB2494" s="60"/>
      <c r="CFC2494" s="60"/>
      <c r="CFD2494" s="60"/>
      <c r="CFE2494" s="59"/>
      <c r="CFF2494" s="61"/>
      <c r="CFG2494" s="59"/>
      <c r="CFH2494" s="59"/>
      <c r="CFI2494" s="59"/>
      <c r="CFJ2494" s="60"/>
      <c r="CFK2494" s="60"/>
      <c r="CFL2494" s="60"/>
      <c r="CFM2494" s="59"/>
      <c r="CFN2494" s="61"/>
      <c r="CFO2494" s="59"/>
      <c r="CFP2494" s="59"/>
      <c r="CFQ2494" s="59"/>
      <c r="CFR2494" s="60"/>
      <c r="CFS2494" s="60"/>
      <c r="CFT2494" s="60"/>
      <c r="CFU2494" s="59"/>
      <c r="CFV2494" s="61"/>
      <c r="CFW2494" s="59"/>
      <c r="CFX2494" s="59"/>
      <c r="CFY2494" s="59"/>
      <c r="CFZ2494" s="60"/>
      <c r="CGA2494" s="60"/>
      <c r="CGB2494" s="60"/>
      <c r="CGC2494" s="59"/>
      <c r="CGD2494" s="61"/>
      <c r="CGE2494" s="59"/>
      <c r="CGF2494" s="59"/>
      <c r="CGG2494" s="59"/>
      <c r="CGH2494" s="60"/>
      <c r="CGI2494" s="60"/>
      <c r="CGJ2494" s="60"/>
      <c r="CGK2494" s="59"/>
      <c r="CGL2494" s="61"/>
      <c r="CGM2494" s="59"/>
      <c r="CGN2494" s="59"/>
      <c r="CGO2494" s="59"/>
      <c r="CGP2494" s="60"/>
      <c r="CGQ2494" s="60"/>
      <c r="CGR2494" s="60"/>
      <c r="CGS2494" s="59"/>
      <c r="CGT2494" s="61"/>
      <c r="CGU2494" s="59"/>
      <c r="CGV2494" s="59"/>
      <c r="CGW2494" s="59"/>
      <c r="CGX2494" s="60"/>
      <c r="CGY2494" s="60"/>
      <c r="CGZ2494" s="60"/>
      <c r="CHA2494" s="59"/>
      <c r="CHB2494" s="61"/>
      <c r="CHC2494" s="59"/>
      <c r="CHD2494" s="59"/>
      <c r="CHE2494" s="59"/>
      <c r="CHF2494" s="60"/>
      <c r="CHG2494" s="60"/>
      <c r="CHH2494" s="60"/>
      <c r="CHI2494" s="59"/>
      <c r="CHJ2494" s="61"/>
      <c r="CHK2494" s="59"/>
      <c r="CHL2494" s="59"/>
      <c r="CHM2494" s="59"/>
      <c r="CHN2494" s="60"/>
      <c r="CHO2494" s="60"/>
      <c r="CHP2494" s="60"/>
      <c r="CHQ2494" s="59"/>
      <c r="CHR2494" s="61"/>
      <c r="CHS2494" s="59"/>
      <c r="CHT2494" s="59"/>
      <c r="CHU2494" s="59"/>
      <c r="CHV2494" s="60"/>
      <c r="CHW2494" s="60"/>
      <c r="CHX2494" s="60"/>
      <c r="CHY2494" s="59"/>
      <c r="CHZ2494" s="61"/>
      <c r="CIA2494" s="59"/>
      <c r="CIB2494" s="59"/>
      <c r="CIC2494" s="59"/>
      <c r="CID2494" s="60"/>
      <c r="CIE2494" s="60"/>
      <c r="CIF2494" s="60"/>
      <c r="CIG2494" s="59"/>
      <c r="CIH2494" s="61"/>
      <c r="CII2494" s="59"/>
      <c r="CIJ2494" s="59"/>
      <c r="CIK2494" s="59"/>
      <c r="CIL2494" s="60"/>
      <c r="CIM2494" s="60"/>
      <c r="CIN2494" s="60"/>
      <c r="CIO2494" s="59"/>
      <c r="CIP2494" s="61"/>
      <c r="CIQ2494" s="59"/>
      <c r="CIR2494" s="59"/>
      <c r="CIS2494" s="59"/>
      <c r="CIT2494" s="60"/>
      <c r="CIU2494" s="60"/>
      <c r="CIV2494" s="60"/>
      <c r="CIW2494" s="59"/>
      <c r="CIX2494" s="61"/>
      <c r="CIY2494" s="59"/>
      <c r="CIZ2494" s="59"/>
      <c r="CJA2494" s="59"/>
      <c r="CJB2494" s="60"/>
      <c r="CJC2494" s="60"/>
      <c r="CJD2494" s="60"/>
      <c r="CJE2494" s="59"/>
      <c r="CJF2494" s="61"/>
      <c r="CJG2494" s="59"/>
      <c r="CJH2494" s="59"/>
      <c r="CJI2494" s="59"/>
      <c r="CJJ2494" s="60"/>
      <c r="CJK2494" s="60"/>
      <c r="CJL2494" s="60"/>
      <c r="CJM2494" s="59"/>
      <c r="CJN2494" s="61"/>
      <c r="CJO2494" s="59"/>
      <c r="CJP2494" s="59"/>
      <c r="CJQ2494" s="59"/>
      <c r="CJR2494" s="60"/>
      <c r="CJS2494" s="60"/>
      <c r="CJT2494" s="60"/>
      <c r="CJU2494" s="59"/>
      <c r="CJV2494" s="61"/>
      <c r="CJW2494" s="59"/>
      <c r="CJX2494" s="59"/>
      <c r="CJY2494" s="59"/>
      <c r="CJZ2494" s="60"/>
      <c r="CKA2494" s="60"/>
      <c r="CKB2494" s="60"/>
      <c r="CKC2494" s="59"/>
      <c r="CKD2494" s="61"/>
      <c r="CKE2494" s="59"/>
      <c r="CKF2494" s="59"/>
      <c r="CKG2494" s="59"/>
      <c r="CKH2494" s="60"/>
      <c r="CKI2494" s="60"/>
      <c r="CKJ2494" s="60"/>
      <c r="CKK2494" s="59"/>
      <c r="CKL2494" s="61"/>
      <c r="CKM2494" s="59"/>
      <c r="CKN2494" s="59"/>
      <c r="CKO2494" s="59"/>
      <c r="CKP2494" s="60"/>
      <c r="CKQ2494" s="60"/>
      <c r="CKR2494" s="60"/>
      <c r="CKS2494" s="59"/>
      <c r="CKT2494" s="61"/>
      <c r="CKU2494" s="59"/>
      <c r="CKV2494" s="59"/>
      <c r="CKW2494" s="59"/>
      <c r="CKX2494" s="60"/>
      <c r="CKY2494" s="60"/>
      <c r="CKZ2494" s="60"/>
      <c r="CLA2494" s="59"/>
      <c r="CLB2494" s="61"/>
      <c r="CLC2494" s="59"/>
      <c r="CLD2494" s="59"/>
      <c r="CLE2494" s="59"/>
      <c r="CLF2494" s="60"/>
      <c r="CLG2494" s="60"/>
      <c r="CLH2494" s="60"/>
      <c r="CLI2494" s="59"/>
      <c r="CLJ2494" s="61"/>
      <c r="CLK2494" s="59"/>
      <c r="CLL2494" s="59"/>
      <c r="CLM2494" s="59"/>
      <c r="CLN2494" s="60"/>
      <c r="CLO2494" s="60"/>
      <c r="CLP2494" s="60"/>
      <c r="CLQ2494" s="59"/>
      <c r="CLR2494" s="61"/>
      <c r="CLS2494" s="59"/>
      <c r="CLT2494" s="59"/>
      <c r="CLU2494" s="59"/>
      <c r="CLV2494" s="60"/>
      <c r="CLW2494" s="60"/>
      <c r="CLX2494" s="60"/>
      <c r="CLY2494" s="59"/>
      <c r="CLZ2494" s="61"/>
      <c r="CMA2494" s="59"/>
      <c r="CMB2494" s="59"/>
      <c r="CMC2494" s="59"/>
      <c r="CMD2494" s="60"/>
      <c r="CME2494" s="60"/>
      <c r="CMF2494" s="60"/>
      <c r="CMG2494" s="59"/>
      <c r="CMH2494" s="61"/>
      <c r="CMI2494" s="59"/>
      <c r="CMJ2494" s="59"/>
      <c r="CMK2494" s="59"/>
      <c r="CML2494" s="60"/>
      <c r="CMM2494" s="60"/>
      <c r="CMN2494" s="60"/>
      <c r="CMO2494" s="59"/>
      <c r="CMP2494" s="61"/>
      <c r="CMQ2494" s="59"/>
      <c r="CMR2494" s="59"/>
      <c r="CMS2494" s="59"/>
      <c r="CMT2494" s="60"/>
      <c r="CMU2494" s="60"/>
      <c r="CMV2494" s="60"/>
      <c r="CMW2494" s="59"/>
      <c r="CMX2494" s="61"/>
      <c r="CMY2494" s="59"/>
      <c r="CMZ2494" s="59"/>
      <c r="CNA2494" s="59"/>
      <c r="CNB2494" s="60"/>
      <c r="CNC2494" s="60"/>
      <c r="CND2494" s="60"/>
      <c r="CNE2494" s="59"/>
      <c r="CNF2494" s="61"/>
      <c r="CNG2494" s="59"/>
      <c r="CNH2494" s="59"/>
      <c r="CNI2494" s="59"/>
      <c r="CNJ2494" s="60"/>
      <c r="CNK2494" s="60"/>
      <c r="CNL2494" s="60"/>
      <c r="CNM2494" s="59"/>
      <c r="CNN2494" s="61"/>
      <c r="CNO2494" s="59"/>
      <c r="CNP2494" s="59"/>
      <c r="CNQ2494" s="59"/>
      <c r="CNR2494" s="60"/>
      <c r="CNS2494" s="60"/>
      <c r="CNT2494" s="60"/>
      <c r="CNU2494" s="59"/>
      <c r="CNV2494" s="61"/>
      <c r="CNW2494" s="59"/>
      <c r="CNX2494" s="59"/>
      <c r="CNY2494" s="59"/>
      <c r="CNZ2494" s="60"/>
      <c r="COA2494" s="60"/>
      <c r="COB2494" s="60"/>
      <c r="COC2494" s="59"/>
      <c r="COD2494" s="61"/>
      <c r="COE2494" s="59"/>
      <c r="COF2494" s="59"/>
      <c r="COG2494" s="59"/>
      <c r="COH2494" s="60"/>
      <c r="COI2494" s="60"/>
      <c r="COJ2494" s="60"/>
      <c r="COK2494" s="59"/>
      <c r="COL2494" s="61"/>
      <c r="COM2494" s="59"/>
      <c r="CON2494" s="59"/>
      <c r="COO2494" s="59"/>
      <c r="COP2494" s="60"/>
      <c r="COQ2494" s="60"/>
      <c r="COR2494" s="60"/>
      <c r="COS2494" s="59"/>
      <c r="COT2494" s="61"/>
      <c r="COU2494" s="59"/>
      <c r="COV2494" s="59"/>
      <c r="COW2494" s="59"/>
      <c r="COX2494" s="60"/>
      <c r="COY2494" s="60"/>
      <c r="COZ2494" s="60"/>
      <c r="CPA2494" s="59"/>
      <c r="CPB2494" s="61"/>
      <c r="CPC2494" s="59"/>
      <c r="CPD2494" s="59"/>
      <c r="CPE2494" s="59"/>
      <c r="CPF2494" s="60"/>
      <c r="CPG2494" s="60"/>
      <c r="CPH2494" s="60"/>
      <c r="CPI2494" s="59"/>
      <c r="CPJ2494" s="61"/>
      <c r="CPK2494" s="59"/>
      <c r="CPL2494" s="59"/>
      <c r="CPM2494" s="59"/>
      <c r="CPN2494" s="60"/>
      <c r="CPO2494" s="60"/>
      <c r="CPP2494" s="60"/>
      <c r="CPQ2494" s="59"/>
      <c r="CPR2494" s="61"/>
      <c r="CPS2494" s="59"/>
      <c r="CPT2494" s="59"/>
      <c r="CPU2494" s="59"/>
      <c r="CPV2494" s="60"/>
      <c r="CPW2494" s="60"/>
      <c r="CPX2494" s="60"/>
      <c r="CPY2494" s="59"/>
      <c r="CPZ2494" s="61"/>
      <c r="CQA2494" s="59"/>
      <c r="CQB2494" s="59"/>
      <c r="CQC2494" s="59"/>
      <c r="CQD2494" s="60"/>
      <c r="CQE2494" s="60"/>
      <c r="CQF2494" s="60"/>
      <c r="CQG2494" s="59"/>
      <c r="CQH2494" s="61"/>
      <c r="CQI2494" s="59"/>
      <c r="CQJ2494" s="59"/>
      <c r="CQK2494" s="59"/>
      <c r="CQL2494" s="60"/>
      <c r="CQM2494" s="60"/>
      <c r="CQN2494" s="60"/>
      <c r="CQO2494" s="59"/>
      <c r="CQP2494" s="61"/>
      <c r="CQQ2494" s="59"/>
      <c r="CQR2494" s="59"/>
      <c r="CQS2494" s="59"/>
      <c r="CQT2494" s="60"/>
      <c r="CQU2494" s="60"/>
      <c r="CQV2494" s="60"/>
      <c r="CQW2494" s="59"/>
      <c r="CQX2494" s="61"/>
      <c r="CQY2494" s="59"/>
      <c r="CQZ2494" s="59"/>
      <c r="CRA2494" s="59"/>
      <c r="CRB2494" s="60"/>
      <c r="CRC2494" s="60"/>
      <c r="CRD2494" s="60"/>
      <c r="CRE2494" s="59"/>
      <c r="CRF2494" s="61"/>
      <c r="CRG2494" s="59"/>
      <c r="CRH2494" s="59"/>
      <c r="CRI2494" s="59"/>
      <c r="CRJ2494" s="60"/>
      <c r="CRK2494" s="60"/>
      <c r="CRL2494" s="60"/>
      <c r="CRM2494" s="59"/>
      <c r="CRN2494" s="61"/>
      <c r="CRO2494" s="59"/>
      <c r="CRP2494" s="59"/>
      <c r="CRQ2494" s="59"/>
      <c r="CRR2494" s="60"/>
      <c r="CRS2494" s="60"/>
      <c r="CRT2494" s="60"/>
      <c r="CRU2494" s="59"/>
      <c r="CRV2494" s="61"/>
      <c r="CRW2494" s="59"/>
      <c r="CRX2494" s="59"/>
      <c r="CRY2494" s="59"/>
      <c r="CRZ2494" s="60"/>
      <c r="CSA2494" s="60"/>
      <c r="CSB2494" s="60"/>
      <c r="CSC2494" s="59"/>
      <c r="CSD2494" s="61"/>
      <c r="CSE2494" s="59"/>
      <c r="CSF2494" s="59"/>
      <c r="CSG2494" s="59"/>
      <c r="CSH2494" s="60"/>
      <c r="CSI2494" s="60"/>
      <c r="CSJ2494" s="60"/>
      <c r="CSK2494" s="59"/>
      <c r="CSL2494" s="61"/>
      <c r="CSM2494" s="59"/>
      <c r="CSN2494" s="59"/>
      <c r="CSO2494" s="59"/>
      <c r="CSP2494" s="60"/>
      <c r="CSQ2494" s="60"/>
      <c r="CSR2494" s="60"/>
      <c r="CSS2494" s="59"/>
      <c r="CST2494" s="61"/>
      <c r="CSU2494" s="59"/>
      <c r="CSV2494" s="59"/>
      <c r="CSW2494" s="59"/>
      <c r="CSX2494" s="60"/>
      <c r="CSY2494" s="60"/>
      <c r="CSZ2494" s="60"/>
      <c r="CTA2494" s="59"/>
      <c r="CTB2494" s="61"/>
      <c r="CTC2494" s="59"/>
      <c r="CTD2494" s="59"/>
      <c r="CTE2494" s="59"/>
      <c r="CTF2494" s="60"/>
      <c r="CTG2494" s="60"/>
      <c r="CTH2494" s="60"/>
      <c r="CTI2494" s="59"/>
      <c r="CTJ2494" s="61"/>
      <c r="CTK2494" s="59"/>
      <c r="CTL2494" s="59"/>
      <c r="CTM2494" s="59"/>
      <c r="CTN2494" s="60"/>
      <c r="CTO2494" s="60"/>
      <c r="CTP2494" s="60"/>
      <c r="CTQ2494" s="59"/>
      <c r="CTR2494" s="61"/>
      <c r="CTS2494" s="59"/>
      <c r="CTT2494" s="59"/>
      <c r="CTU2494" s="59"/>
      <c r="CTV2494" s="60"/>
      <c r="CTW2494" s="60"/>
      <c r="CTX2494" s="60"/>
      <c r="CTY2494" s="59"/>
      <c r="CTZ2494" s="61"/>
      <c r="CUA2494" s="59"/>
      <c r="CUB2494" s="59"/>
      <c r="CUC2494" s="59"/>
      <c r="CUD2494" s="60"/>
      <c r="CUE2494" s="60"/>
      <c r="CUF2494" s="60"/>
      <c r="CUG2494" s="59"/>
      <c r="CUH2494" s="61"/>
      <c r="CUI2494" s="59"/>
      <c r="CUJ2494" s="59"/>
      <c r="CUK2494" s="59"/>
      <c r="CUL2494" s="60"/>
      <c r="CUM2494" s="60"/>
      <c r="CUN2494" s="60"/>
      <c r="CUO2494" s="59"/>
      <c r="CUP2494" s="61"/>
      <c r="CUQ2494" s="59"/>
      <c r="CUR2494" s="59"/>
      <c r="CUS2494" s="59"/>
      <c r="CUT2494" s="60"/>
      <c r="CUU2494" s="60"/>
      <c r="CUV2494" s="60"/>
      <c r="CUW2494" s="59"/>
      <c r="CUX2494" s="61"/>
      <c r="CUY2494" s="59"/>
      <c r="CUZ2494" s="59"/>
      <c r="CVA2494" s="59"/>
      <c r="CVB2494" s="60"/>
      <c r="CVC2494" s="60"/>
      <c r="CVD2494" s="60"/>
      <c r="CVE2494" s="59"/>
      <c r="CVF2494" s="61"/>
      <c r="CVG2494" s="59"/>
      <c r="CVH2494" s="59"/>
      <c r="CVI2494" s="59"/>
      <c r="CVJ2494" s="60"/>
      <c r="CVK2494" s="60"/>
      <c r="CVL2494" s="60"/>
      <c r="CVM2494" s="59"/>
      <c r="CVN2494" s="61"/>
      <c r="CVO2494" s="59"/>
      <c r="CVP2494" s="59"/>
      <c r="CVQ2494" s="59"/>
      <c r="CVR2494" s="60"/>
      <c r="CVS2494" s="60"/>
      <c r="CVT2494" s="60"/>
      <c r="CVU2494" s="59"/>
      <c r="CVV2494" s="61"/>
      <c r="CVW2494" s="59"/>
      <c r="CVX2494" s="59"/>
      <c r="CVY2494" s="59"/>
      <c r="CVZ2494" s="60"/>
      <c r="CWA2494" s="60"/>
      <c r="CWB2494" s="60"/>
      <c r="CWC2494" s="59"/>
      <c r="CWD2494" s="61"/>
      <c r="CWE2494" s="59"/>
      <c r="CWF2494" s="59"/>
      <c r="CWG2494" s="59"/>
      <c r="CWH2494" s="60"/>
      <c r="CWI2494" s="60"/>
      <c r="CWJ2494" s="60"/>
      <c r="CWK2494" s="59"/>
      <c r="CWL2494" s="61"/>
      <c r="CWM2494" s="59"/>
      <c r="CWN2494" s="59"/>
      <c r="CWO2494" s="59"/>
      <c r="CWP2494" s="60"/>
      <c r="CWQ2494" s="60"/>
      <c r="CWR2494" s="60"/>
      <c r="CWS2494" s="59"/>
      <c r="CWT2494" s="61"/>
      <c r="CWU2494" s="59"/>
      <c r="CWV2494" s="59"/>
      <c r="CWW2494" s="59"/>
      <c r="CWX2494" s="60"/>
      <c r="CWY2494" s="60"/>
      <c r="CWZ2494" s="60"/>
      <c r="CXA2494" s="59"/>
      <c r="CXB2494" s="61"/>
      <c r="CXC2494" s="59"/>
      <c r="CXD2494" s="59"/>
      <c r="CXE2494" s="59"/>
      <c r="CXF2494" s="60"/>
      <c r="CXG2494" s="60"/>
      <c r="CXH2494" s="60"/>
      <c r="CXI2494" s="59"/>
      <c r="CXJ2494" s="61"/>
      <c r="CXK2494" s="59"/>
      <c r="CXL2494" s="59"/>
      <c r="CXM2494" s="59"/>
      <c r="CXN2494" s="60"/>
      <c r="CXO2494" s="60"/>
      <c r="CXP2494" s="60"/>
      <c r="CXQ2494" s="59"/>
      <c r="CXR2494" s="61"/>
      <c r="CXS2494" s="59"/>
      <c r="CXT2494" s="59"/>
      <c r="CXU2494" s="59"/>
      <c r="CXV2494" s="60"/>
      <c r="CXW2494" s="60"/>
      <c r="CXX2494" s="60"/>
      <c r="CXY2494" s="59"/>
      <c r="CXZ2494" s="61"/>
      <c r="CYA2494" s="59"/>
      <c r="CYB2494" s="59"/>
      <c r="CYC2494" s="59"/>
      <c r="CYD2494" s="60"/>
      <c r="CYE2494" s="60"/>
      <c r="CYF2494" s="60"/>
      <c r="CYG2494" s="59"/>
      <c r="CYH2494" s="61"/>
      <c r="CYI2494" s="59"/>
      <c r="CYJ2494" s="59"/>
      <c r="CYK2494" s="59"/>
      <c r="CYL2494" s="60"/>
      <c r="CYM2494" s="60"/>
      <c r="CYN2494" s="60"/>
      <c r="CYO2494" s="59"/>
      <c r="CYP2494" s="61"/>
      <c r="CYQ2494" s="59"/>
      <c r="CYR2494" s="59"/>
      <c r="CYS2494" s="59"/>
      <c r="CYT2494" s="60"/>
      <c r="CYU2494" s="60"/>
      <c r="CYV2494" s="60"/>
      <c r="CYW2494" s="59"/>
      <c r="CYX2494" s="61"/>
      <c r="CYY2494" s="59"/>
      <c r="CYZ2494" s="59"/>
      <c r="CZA2494" s="59"/>
      <c r="CZB2494" s="60"/>
      <c r="CZC2494" s="60"/>
      <c r="CZD2494" s="60"/>
      <c r="CZE2494" s="59"/>
      <c r="CZF2494" s="61"/>
      <c r="CZG2494" s="59"/>
      <c r="CZH2494" s="59"/>
      <c r="CZI2494" s="59"/>
      <c r="CZJ2494" s="60"/>
      <c r="CZK2494" s="60"/>
      <c r="CZL2494" s="60"/>
      <c r="CZM2494" s="59"/>
      <c r="CZN2494" s="61"/>
      <c r="CZO2494" s="59"/>
      <c r="CZP2494" s="59"/>
      <c r="CZQ2494" s="59"/>
      <c r="CZR2494" s="60"/>
      <c r="CZS2494" s="60"/>
      <c r="CZT2494" s="60"/>
      <c r="CZU2494" s="59"/>
      <c r="CZV2494" s="61"/>
      <c r="CZW2494" s="59"/>
      <c r="CZX2494" s="59"/>
      <c r="CZY2494" s="59"/>
      <c r="CZZ2494" s="60"/>
      <c r="DAA2494" s="60"/>
      <c r="DAB2494" s="60"/>
      <c r="DAC2494" s="59"/>
      <c r="DAD2494" s="61"/>
      <c r="DAE2494" s="59"/>
      <c r="DAF2494" s="59"/>
      <c r="DAG2494" s="59"/>
      <c r="DAH2494" s="60"/>
      <c r="DAI2494" s="60"/>
      <c r="DAJ2494" s="60"/>
      <c r="DAK2494" s="59"/>
      <c r="DAL2494" s="61"/>
      <c r="DAM2494" s="59"/>
      <c r="DAN2494" s="59"/>
      <c r="DAO2494" s="59"/>
      <c r="DAP2494" s="60"/>
      <c r="DAQ2494" s="60"/>
      <c r="DAR2494" s="60"/>
      <c r="DAS2494" s="59"/>
      <c r="DAT2494" s="61"/>
      <c r="DAU2494" s="59"/>
      <c r="DAV2494" s="59"/>
      <c r="DAW2494" s="59"/>
      <c r="DAX2494" s="60"/>
      <c r="DAY2494" s="60"/>
      <c r="DAZ2494" s="60"/>
      <c r="DBA2494" s="59"/>
      <c r="DBB2494" s="61"/>
      <c r="DBC2494" s="59"/>
      <c r="DBD2494" s="59"/>
      <c r="DBE2494" s="59"/>
      <c r="DBF2494" s="60"/>
      <c r="DBG2494" s="60"/>
      <c r="DBH2494" s="60"/>
      <c r="DBI2494" s="59"/>
      <c r="DBJ2494" s="61"/>
      <c r="DBK2494" s="59"/>
      <c r="DBL2494" s="59"/>
      <c r="DBM2494" s="59"/>
      <c r="DBN2494" s="60"/>
      <c r="DBO2494" s="60"/>
      <c r="DBP2494" s="60"/>
      <c r="DBQ2494" s="59"/>
      <c r="DBR2494" s="61"/>
      <c r="DBS2494" s="59"/>
      <c r="DBT2494" s="59"/>
      <c r="DBU2494" s="59"/>
      <c r="DBV2494" s="60"/>
      <c r="DBW2494" s="60"/>
      <c r="DBX2494" s="60"/>
      <c r="DBY2494" s="59"/>
      <c r="DBZ2494" s="61"/>
      <c r="DCA2494" s="59"/>
      <c r="DCB2494" s="59"/>
      <c r="DCC2494" s="59"/>
      <c r="DCD2494" s="60"/>
      <c r="DCE2494" s="60"/>
      <c r="DCF2494" s="60"/>
      <c r="DCG2494" s="59"/>
      <c r="DCH2494" s="61"/>
      <c r="DCI2494" s="59"/>
      <c r="DCJ2494" s="59"/>
      <c r="DCK2494" s="59"/>
      <c r="DCL2494" s="60"/>
      <c r="DCM2494" s="60"/>
      <c r="DCN2494" s="60"/>
      <c r="DCO2494" s="59"/>
      <c r="DCP2494" s="61"/>
      <c r="DCQ2494" s="59"/>
      <c r="DCR2494" s="59"/>
      <c r="DCS2494" s="59"/>
      <c r="DCT2494" s="60"/>
      <c r="DCU2494" s="60"/>
      <c r="DCV2494" s="60"/>
      <c r="DCW2494" s="59"/>
      <c r="DCX2494" s="61"/>
      <c r="DCY2494" s="59"/>
      <c r="DCZ2494" s="59"/>
      <c r="DDA2494" s="59"/>
      <c r="DDB2494" s="60"/>
      <c r="DDC2494" s="60"/>
      <c r="DDD2494" s="60"/>
      <c r="DDE2494" s="59"/>
      <c r="DDF2494" s="61"/>
      <c r="DDG2494" s="59"/>
      <c r="DDH2494" s="59"/>
      <c r="DDI2494" s="59"/>
      <c r="DDJ2494" s="60"/>
      <c r="DDK2494" s="60"/>
      <c r="DDL2494" s="60"/>
      <c r="DDM2494" s="59"/>
      <c r="DDN2494" s="61"/>
      <c r="DDO2494" s="59"/>
      <c r="DDP2494" s="59"/>
      <c r="DDQ2494" s="59"/>
      <c r="DDR2494" s="60"/>
      <c r="DDS2494" s="60"/>
      <c r="DDT2494" s="60"/>
      <c r="DDU2494" s="59"/>
      <c r="DDV2494" s="61"/>
      <c r="DDW2494" s="59"/>
      <c r="DDX2494" s="59"/>
      <c r="DDY2494" s="59"/>
      <c r="DDZ2494" s="60"/>
      <c r="DEA2494" s="60"/>
      <c r="DEB2494" s="60"/>
      <c r="DEC2494" s="59"/>
      <c r="DED2494" s="61"/>
      <c r="DEE2494" s="59"/>
      <c r="DEF2494" s="59"/>
      <c r="DEG2494" s="59"/>
      <c r="DEH2494" s="60"/>
      <c r="DEI2494" s="60"/>
      <c r="DEJ2494" s="60"/>
      <c r="DEK2494" s="59"/>
      <c r="DEL2494" s="61"/>
      <c r="DEM2494" s="59"/>
      <c r="DEN2494" s="59"/>
      <c r="DEO2494" s="59"/>
      <c r="DEP2494" s="60"/>
      <c r="DEQ2494" s="60"/>
      <c r="DER2494" s="60"/>
      <c r="DES2494" s="59"/>
      <c r="DET2494" s="61"/>
      <c r="DEU2494" s="59"/>
      <c r="DEV2494" s="59"/>
      <c r="DEW2494" s="59"/>
      <c r="DEX2494" s="60"/>
      <c r="DEY2494" s="60"/>
      <c r="DEZ2494" s="60"/>
      <c r="DFA2494" s="59"/>
      <c r="DFB2494" s="61"/>
      <c r="DFC2494" s="59"/>
      <c r="DFD2494" s="59"/>
      <c r="DFE2494" s="59"/>
      <c r="DFF2494" s="60"/>
      <c r="DFG2494" s="60"/>
      <c r="DFH2494" s="60"/>
      <c r="DFI2494" s="59"/>
      <c r="DFJ2494" s="61"/>
      <c r="DFK2494" s="59"/>
      <c r="DFL2494" s="59"/>
      <c r="DFM2494" s="59"/>
      <c r="DFN2494" s="60"/>
      <c r="DFO2494" s="60"/>
      <c r="DFP2494" s="60"/>
      <c r="DFQ2494" s="59"/>
      <c r="DFR2494" s="61"/>
      <c r="DFS2494" s="59"/>
      <c r="DFT2494" s="59"/>
      <c r="DFU2494" s="59"/>
      <c r="DFV2494" s="60"/>
      <c r="DFW2494" s="60"/>
      <c r="DFX2494" s="60"/>
      <c r="DFY2494" s="59"/>
      <c r="DFZ2494" s="61"/>
      <c r="DGA2494" s="59"/>
      <c r="DGB2494" s="59"/>
      <c r="DGC2494" s="59"/>
      <c r="DGD2494" s="60"/>
      <c r="DGE2494" s="60"/>
      <c r="DGF2494" s="60"/>
      <c r="DGG2494" s="59"/>
      <c r="DGH2494" s="61"/>
      <c r="DGI2494" s="59"/>
      <c r="DGJ2494" s="59"/>
      <c r="DGK2494" s="59"/>
      <c r="DGL2494" s="60"/>
      <c r="DGM2494" s="60"/>
      <c r="DGN2494" s="60"/>
      <c r="DGO2494" s="59"/>
      <c r="DGP2494" s="61"/>
      <c r="DGQ2494" s="59"/>
      <c r="DGR2494" s="59"/>
      <c r="DGS2494" s="59"/>
      <c r="DGT2494" s="60"/>
      <c r="DGU2494" s="60"/>
      <c r="DGV2494" s="60"/>
      <c r="DGW2494" s="59"/>
      <c r="DGX2494" s="61"/>
      <c r="DGY2494" s="59"/>
      <c r="DGZ2494" s="59"/>
      <c r="DHA2494" s="59"/>
      <c r="DHB2494" s="60"/>
      <c r="DHC2494" s="60"/>
      <c r="DHD2494" s="60"/>
      <c r="DHE2494" s="59"/>
      <c r="DHF2494" s="61"/>
      <c r="DHG2494" s="59"/>
      <c r="DHH2494" s="59"/>
      <c r="DHI2494" s="59"/>
      <c r="DHJ2494" s="60"/>
      <c r="DHK2494" s="60"/>
      <c r="DHL2494" s="60"/>
      <c r="DHM2494" s="59"/>
      <c r="DHN2494" s="61"/>
      <c r="DHO2494" s="59"/>
      <c r="DHP2494" s="59"/>
      <c r="DHQ2494" s="59"/>
      <c r="DHR2494" s="60"/>
      <c r="DHS2494" s="60"/>
      <c r="DHT2494" s="60"/>
      <c r="DHU2494" s="59"/>
      <c r="DHV2494" s="61"/>
      <c r="DHW2494" s="59"/>
      <c r="DHX2494" s="59"/>
      <c r="DHY2494" s="59"/>
      <c r="DHZ2494" s="60"/>
      <c r="DIA2494" s="60"/>
      <c r="DIB2494" s="60"/>
      <c r="DIC2494" s="59"/>
      <c r="DID2494" s="61"/>
      <c r="DIE2494" s="59"/>
      <c r="DIF2494" s="59"/>
      <c r="DIG2494" s="59"/>
      <c r="DIH2494" s="60"/>
      <c r="DII2494" s="60"/>
      <c r="DIJ2494" s="60"/>
      <c r="DIK2494" s="59"/>
      <c r="DIL2494" s="61"/>
      <c r="DIM2494" s="59"/>
      <c r="DIN2494" s="59"/>
      <c r="DIO2494" s="59"/>
      <c r="DIP2494" s="60"/>
      <c r="DIQ2494" s="60"/>
      <c r="DIR2494" s="60"/>
      <c r="DIS2494" s="59"/>
      <c r="DIT2494" s="61"/>
      <c r="DIU2494" s="59"/>
      <c r="DIV2494" s="59"/>
      <c r="DIW2494" s="59"/>
      <c r="DIX2494" s="60"/>
      <c r="DIY2494" s="60"/>
      <c r="DIZ2494" s="60"/>
      <c r="DJA2494" s="59"/>
      <c r="DJB2494" s="61"/>
      <c r="DJC2494" s="59"/>
      <c r="DJD2494" s="59"/>
      <c r="DJE2494" s="59"/>
      <c r="DJF2494" s="60"/>
      <c r="DJG2494" s="60"/>
      <c r="DJH2494" s="60"/>
      <c r="DJI2494" s="59"/>
      <c r="DJJ2494" s="61"/>
      <c r="DJK2494" s="59"/>
      <c r="DJL2494" s="59"/>
      <c r="DJM2494" s="59"/>
      <c r="DJN2494" s="60"/>
      <c r="DJO2494" s="60"/>
      <c r="DJP2494" s="60"/>
      <c r="DJQ2494" s="59"/>
      <c r="DJR2494" s="61"/>
      <c r="DJS2494" s="59"/>
      <c r="DJT2494" s="59"/>
      <c r="DJU2494" s="59"/>
      <c r="DJV2494" s="60"/>
      <c r="DJW2494" s="60"/>
      <c r="DJX2494" s="60"/>
      <c r="DJY2494" s="59"/>
      <c r="DJZ2494" s="61"/>
      <c r="DKA2494" s="59"/>
      <c r="DKB2494" s="59"/>
      <c r="DKC2494" s="59"/>
      <c r="DKD2494" s="60"/>
      <c r="DKE2494" s="60"/>
      <c r="DKF2494" s="60"/>
      <c r="DKG2494" s="59"/>
      <c r="DKH2494" s="61"/>
      <c r="DKI2494" s="59"/>
      <c r="DKJ2494" s="59"/>
      <c r="DKK2494" s="59"/>
      <c r="DKL2494" s="60"/>
      <c r="DKM2494" s="60"/>
      <c r="DKN2494" s="60"/>
      <c r="DKO2494" s="59"/>
      <c r="DKP2494" s="61"/>
      <c r="DKQ2494" s="59"/>
      <c r="DKR2494" s="59"/>
      <c r="DKS2494" s="59"/>
      <c r="DKT2494" s="60"/>
      <c r="DKU2494" s="60"/>
      <c r="DKV2494" s="60"/>
      <c r="DKW2494" s="59"/>
      <c r="DKX2494" s="61"/>
      <c r="DKY2494" s="59"/>
      <c r="DKZ2494" s="59"/>
      <c r="DLA2494" s="59"/>
      <c r="DLB2494" s="60"/>
      <c r="DLC2494" s="60"/>
      <c r="DLD2494" s="60"/>
      <c r="DLE2494" s="59"/>
      <c r="DLF2494" s="61"/>
      <c r="DLG2494" s="59"/>
      <c r="DLH2494" s="59"/>
      <c r="DLI2494" s="59"/>
      <c r="DLJ2494" s="60"/>
      <c r="DLK2494" s="60"/>
      <c r="DLL2494" s="60"/>
      <c r="DLM2494" s="59"/>
      <c r="DLN2494" s="61"/>
      <c r="DLO2494" s="59"/>
      <c r="DLP2494" s="59"/>
      <c r="DLQ2494" s="59"/>
      <c r="DLR2494" s="60"/>
      <c r="DLS2494" s="60"/>
      <c r="DLT2494" s="60"/>
      <c r="DLU2494" s="59"/>
      <c r="DLV2494" s="61"/>
      <c r="DLW2494" s="59"/>
      <c r="DLX2494" s="59"/>
      <c r="DLY2494" s="59"/>
      <c r="DLZ2494" s="60"/>
      <c r="DMA2494" s="60"/>
      <c r="DMB2494" s="60"/>
      <c r="DMC2494" s="59"/>
      <c r="DMD2494" s="61"/>
      <c r="DME2494" s="59"/>
      <c r="DMF2494" s="59"/>
      <c r="DMG2494" s="59"/>
      <c r="DMH2494" s="60"/>
      <c r="DMI2494" s="60"/>
      <c r="DMJ2494" s="60"/>
      <c r="DMK2494" s="59"/>
      <c r="DML2494" s="61"/>
      <c r="DMM2494" s="59"/>
      <c r="DMN2494" s="59"/>
      <c r="DMO2494" s="59"/>
      <c r="DMP2494" s="60"/>
      <c r="DMQ2494" s="60"/>
      <c r="DMR2494" s="60"/>
      <c r="DMS2494" s="59"/>
      <c r="DMT2494" s="61"/>
      <c r="DMU2494" s="59"/>
      <c r="DMV2494" s="59"/>
      <c r="DMW2494" s="59"/>
      <c r="DMX2494" s="60"/>
      <c r="DMY2494" s="60"/>
      <c r="DMZ2494" s="60"/>
      <c r="DNA2494" s="59"/>
      <c r="DNB2494" s="61"/>
      <c r="DNC2494" s="59"/>
      <c r="DND2494" s="59"/>
      <c r="DNE2494" s="59"/>
      <c r="DNF2494" s="60"/>
      <c r="DNG2494" s="60"/>
      <c r="DNH2494" s="60"/>
      <c r="DNI2494" s="59"/>
      <c r="DNJ2494" s="61"/>
      <c r="DNK2494" s="59"/>
      <c r="DNL2494" s="59"/>
      <c r="DNM2494" s="59"/>
      <c r="DNN2494" s="60"/>
      <c r="DNO2494" s="60"/>
      <c r="DNP2494" s="60"/>
      <c r="DNQ2494" s="59"/>
      <c r="DNR2494" s="61"/>
      <c r="DNS2494" s="59"/>
      <c r="DNT2494" s="59"/>
      <c r="DNU2494" s="59"/>
      <c r="DNV2494" s="60"/>
      <c r="DNW2494" s="60"/>
      <c r="DNX2494" s="60"/>
      <c r="DNY2494" s="59"/>
      <c r="DNZ2494" s="61"/>
      <c r="DOA2494" s="59"/>
      <c r="DOB2494" s="59"/>
      <c r="DOC2494" s="59"/>
      <c r="DOD2494" s="60"/>
      <c r="DOE2494" s="60"/>
      <c r="DOF2494" s="60"/>
      <c r="DOG2494" s="59"/>
      <c r="DOH2494" s="61"/>
      <c r="DOI2494" s="59"/>
      <c r="DOJ2494" s="59"/>
      <c r="DOK2494" s="59"/>
      <c r="DOL2494" s="60"/>
      <c r="DOM2494" s="60"/>
      <c r="DON2494" s="60"/>
      <c r="DOO2494" s="59"/>
      <c r="DOP2494" s="61"/>
      <c r="DOQ2494" s="59"/>
      <c r="DOR2494" s="59"/>
      <c r="DOS2494" s="59"/>
      <c r="DOT2494" s="60"/>
      <c r="DOU2494" s="60"/>
      <c r="DOV2494" s="60"/>
      <c r="DOW2494" s="59"/>
      <c r="DOX2494" s="61"/>
      <c r="DOY2494" s="59"/>
      <c r="DOZ2494" s="59"/>
      <c r="DPA2494" s="59"/>
      <c r="DPB2494" s="60"/>
      <c r="DPC2494" s="60"/>
      <c r="DPD2494" s="60"/>
      <c r="DPE2494" s="59"/>
      <c r="DPF2494" s="61"/>
      <c r="DPG2494" s="59"/>
      <c r="DPH2494" s="59"/>
      <c r="DPI2494" s="59"/>
      <c r="DPJ2494" s="60"/>
      <c r="DPK2494" s="60"/>
      <c r="DPL2494" s="60"/>
      <c r="DPM2494" s="59"/>
      <c r="DPN2494" s="61"/>
      <c r="DPO2494" s="59"/>
      <c r="DPP2494" s="59"/>
      <c r="DPQ2494" s="59"/>
      <c r="DPR2494" s="60"/>
      <c r="DPS2494" s="60"/>
      <c r="DPT2494" s="60"/>
      <c r="DPU2494" s="59"/>
      <c r="DPV2494" s="61"/>
      <c r="DPW2494" s="59"/>
      <c r="DPX2494" s="59"/>
      <c r="DPY2494" s="59"/>
      <c r="DPZ2494" s="60"/>
      <c r="DQA2494" s="60"/>
      <c r="DQB2494" s="60"/>
      <c r="DQC2494" s="59"/>
      <c r="DQD2494" s="61"/>
      <c r="DQE2494" s="59"/>
      <c r="DQF2494" s="59"/>
      <c r="DQG2494" s="59"/>
      <c r="DQH2494" s="60"/>
      <c r="DQI2494" s="60"/>
      <c r="DQJ2494" s="60"/>
      <c r="DQK2494" s="59"/>
      <c r="DQL2494" s="61"/>
      <c r="DQM2494" s="59"/>
      <c r="DQN2494" s="59"/>
      <c r="DQO2494" s="59"/>
      <c r="DQP2494" s="60"/>
      <c r="DQQ2494" s="60"/>
      <c r="DQR2494" s="60"/>
      <c r="DQS2494" s="59"/>
      <c r="DQT2494" s="61"/>
      <c r="DQU2494" s="59"/>
      <c r="DQV2494" s="59"/>
      <c r="DQW2494" s="59"/>
      <c r="DQX2494" s="60"/>
      <c r="DQY2494" s="60"/>
      <c r="DQZ2494" s="60"/>
      <c r="DRA2494" s="59"/>
      <c r="DRB2494" s="61"/>
      <c r="DRC2494" s="59"/>
      <c r="DRD2494" s="59"/>
      <c r="DRE2494" s="59"/>
      <c r="DRF2494" s="60"/>
      <c r="DRG2494" s="60"/>
      <c r="DRH2494" s="60"/>
      <c r="DRI2494" s="59"/>
      <c r="DRJ2494" s="61"/>
      <c r="DRK2494" s="59"/>
      <c r="DRL2494" s="59"/>
      <c r="DRM2494" s="59"/>
      <c r="DRN2494" s="60"/>
      <c r="DRO2494" s="60"/>
      <c r="DRP2494" s="60"/>
      <c r="DRQ2494" s="59"/>
      <c r="DRR2494" s="61"/>
      <c r="DRS2494" s="59"/>
      <c r="DRT2494" s="59"/>
      <c r="DRU2494" s="59"/>
      <c r="DRV2494" s="60"/>
      <c r="DRW2494" s="60"/>
      <c r="DRX2494" s="60"/>
      <c r="DRY2494" s="59"/>
      <c r="DRZ2494" s="61"/>
      <c r="DSA2494" s="59"/>
      <c r="DSB2494" s="59"/>
      <c r="DSC2494" s="59"/>
      <c r="DSD2494" s="60"/>
      <c r="DSE2494" s="60"/>
      <c r="DSF2494" s="60"/>
      <c r="DSG2494" s="59"/>
      <c r="DSH2494" s="61"/>
      <c r="DSI2494" s="59"/>
      <c r="DSJ2494" s="59"/>
      <c r="DSK2494" s="59"/>
      <c r="DSL2494" s="60"/>
      <c r="DSM2494" s="60"/>
      <c r="DSN2494" s="60"/>
      <c r="DSO2494" s="59"/>
      <c r="DSP2494" s="61"/>
      <c r="DSQ2494" s="59"/>
      <c r="DSR2494" s="59"/>
      <c r="DSS2494" s="59"/>
      <c r="DST2494" s="60"/>
      <c r="DSU2494" s="60"/>
      <c r="DSV2494" s="60"/>
      <c r="DSW2494" s="59"/>
      <c r="DSX2494" s="61"/>
      <c r="DSY2494" s="59"/>
      <c r="DSZ2494" s="59"/>
      <c r="DTA2494" s="59"/>
      <c r="DTB2494" s="60"/>
      <c r="DTC2494" s="60"/>
      <c r="DTD2494" s="60"/>
      <c r="DTE2494" s="59"/>
      <c r="DTF2494" s="61"/>
      <c r="DTG2494" s="59"/>
      <c r="DTH2494" s="59"/>
      <c r="DTI2494" s="59"/>
      <c r="DTJ2494" s="60"/>
      <c r="DTK2494" s="60"/>
      <c r="DTL2494" s="60"/>
      <c r="DTM2494" s="59"/>
      <c r="DTN2494" s="61"/>
      <c r="DTO2494" s="59"/>
      <c r="DTP2494" s="59"/>
      <c r="DTQ2494" s="59"/>
      <c r="DTR2494" s="60"/>
      <c r="DTS2494" s="60"/>
      <c r="DTT2494" s="60"/>
      <c r="DTU2494" s="59"/>
      <c r="DTV2494" s="61"/>
      <c r="DTW2494" s="59"/>
      <c r="DTX2494" s="59"/>
      <c r="DTY2494" s="59"/>
      <c r="DTZ2494" s="60"/>
      <c r="DUA2494" s="60"/>
      <c r="DUB2494" s="60"/>
      <c r="DUC2494" s="59"/>
      <c r="DUD2494" s="61"/>
      <c r="DUE2494" s="59"/>
      <c r="DUF2494" s="59"/>
      <c r="DUG2494" s="59"/>
      <c r="DUH2494" s="60"/>
      <c r="DUI2494" s="60"/>
      <c r="DUJ2494" s="60"/>
      <c r="DUK2494" s="59"/>
      <c r="DUL2494" s="61"/>
      <c r="DUM2494" s="59"/>
      <c r="DUN2494" s="59"/>
      <c r="DUO2494" s="59"/>
      <c r="DUP2494" s="60"/>
      <c r="DUQ2494" s="60"/>
      <c r="DUR2494" s="60"/>
      <c r="DUS2494" s="59"/>
      <c r="DUT2494" s="61"/>
      <c r="DUU2494" s="59"/>
      <c r="DUV2494" s="59"/>
      <c r="DUW2494" s="59"/>
      <c r="DUX2494" s="60"/>
      <c r="DUY2494" s="60"/>
      <c r="DUZ2494" s="60"/>
      <c r="DVA2494" s="59"/>
      <c r="DVB2494" s="61"/>
      <c r="DVC2494" s="59"/>
      <c r="DVD2494" s="59"/>
      <c r="DVE2494" s="59"/>
      <c r="DVF2494" s="60"/>
      <c r="DVG2494" s="60"/>
      <c r="DVH2494" s="60"/>
      <c r="DVI2494" s="59"/>
      <c r="DVJ2494" s="61"/>
      <c r="DVK2494" s="59"/>
      <c r="DVL2494" s="59"/>
      <c r="DVM2494" s="59"/>
      <c r="DVN2494" s="60"/>
      <c r="DVO2494" s="60"/>
      <c r="DVP2494" s="60"/>
      <c r="DVQ2494" s="59"/>
      <c r="DVR2494" s="61"/>
      <c r="DVS2494" s="59"/>
      <c r="DVT2494" s="59"/>
      <c r="DVU2494" s="59"/>
      <c r="DVV2494" s="60"/>
      <c r="DVW2494" s="60"/>
      <c r="DVX2494" s="60"/>
      <c r="DVY2494" s="59"/>
      <c r="DVZ2494" s="61"/>
      <c r="DWA2494" s="59"/>
      <c r="DWB2494" s="59"/>
      <c r="DWC2494" s="59"/>
      <c r="DWD2494" s="60"/>
      <c r="DWE2494" s="60"/>
      <c r="DWF2494" s="60"/>
      <c r="DWG2494" s="59"/>
      <c r="DWH2494" s="61"/>
      <c r="DWI2494" s="59"/>
      <c r="DWJ2494" s="59"/>
      <c r="DWK2494" s="59"/>
      <c r="DWL2494" s="60"/>
      <c r="DWM2494" s="60"/>
      <c r="DWN2494" s="60"/>
      <c r="DWO2494" s="59"/>
      <c r="DWP2494" s="61"/>
      <c r="DWQ2494" s="59"/>
      <c r="DWR2494" s="59"/>
      <c r="DWS2494" s="59"/>
      <c r="DWT2494" s="60"/>
      <c r="DWU2494" s="60"/>
      <c r="DWV2494" s="60"/>
      <c r="DWW2494" s="59"/>
      <c r="DWX2494" s="61"/>
      <c r="DWY2494" s="59"/>
      <c r="DWZ2494" s="59"/>
      <c r="DXA2494" s="59"/>
      <c r="DXB2494" s="60"/>
      <c r="DXC2494" s="60"/>
      <c r="DXD2494" s="60"/>
      <c r="DXE2494" s="59"/>
      <c r="DXF2494" s="61"/>
      <c r="DXG2494" s="59"/>
      <c r="DXH2494" s="59"/>
      <c r="DXI2494" s="59"/>
      <c r="DXJ2494" s="60"/>
      <c r="DXK2494" s="60"/>
      <c r="DXL2494" s="60"/>
      <c r="DXM2494" s="59"/>
      <c r="DXN2494" s="61"/>
      <c r="DXO2494" s="59"/>
      <c r="DXP2494" s="59"/>
      <c r="DXQ2494" s="59"/>
      <c r="DXR2494" s="60"/>
      <c r="DXS2494" s="60"/>
      <c r="DXT2494" s="60"/>
      <c r="DXU2494" s="59"/>
      <c r="DXV2494" s="61"/>
      <c r="DXW2494" s="59"/>
      <c r="DXX2494" s="59"/>
      <c r="DXY2494" s="59"/>
      <c r="DXZ2494" s="60"/>
      <c r="DYA2494" s="60"/>
      <c r="DYB2494" s="60"/>
      <c r="DYC2494" s="59"/>
      <c r="DYD2494" s="61"/>
      <c r="DYE2494" s="59"/>
      <c r="DYF2494" s="59"/>
      <c r="DYG2494" s="59"/>
      <c r="DYH2494" s="60"/>
      <c r="DYI2494" s="60"/>
      <c r="DYJ2494" s="60"/>
      <c r="DYK2494" s="59"/>
      <c r="DYL2494" s="61"/>
      <c r="DYM2494" s="59"/>
      <c r="DYN2494" s="59"/>
      <c r="DYO2494" s="59"/>
      <c r="DYP2494" s="60"/>
      <c r="DYQ2494" s="60"/>
      <c r="DYR2494" s="60"/>
      <c r="DYS2494" s="59"/>
      <c r="DYT2494" s="61"/>
      <c r="DYU2494" s="59"/>
      <c r="DYV2494" s="59"/>
      <c r="DYW2494" s="59"/>
      <c r="DYX2494" s="60"/>
      <c r="DYY2494" s="60"/>
      <c r="DYZ2494" s="60"/>
      <c r="DZA2494" s="59"/>
      <c r="DZB2494" s="61"/>
      <c r="DZC2494" s="59"/>
      <c r="DZD2494" s="59"/>
      <c r="DZE2494" s="59"/>
      <c r="DZF2494" s="60"/>
      <c r="DZG2494" s="60"/>
      <c r="DZH2494" s="60"/>
      <c r="DZI2494" s="59"/>
      <c r="DZJ2494" s="61"/>
      <c r="DZK2494" s="59"/>
      <c r="DZL2494" s="59"/>
      <c r="DZM2494" s="59"/>
      <c r="DZN2494" s="60"/>
      <c r="DZO2494" s="60"/>
      <c r="DZP2494" s="60"/>
      <c r="DZQ2494" s="59"/>
      <c r="DZR2494" s="61"/>
      <c r="DZS2494" s="59"/>
      <c r="DZT2494" s="59"/>
      <c r="DZU2494" s="59"/>
      <c r="DZV2494" s="60"/>
      <c r="DZW2494" s="60"/>
      <c r="DZX2494" s="60"/>
      <c r="DZY2494" s="59"/>
      <c r="DZZ2494" s="61"/>
      <c r="EAA2494" s="59"/>
      <c r="EAB2494" s="59"/>
      <c r="EAC2494" s="59"/>
      <c r="EAD2494" s="60"/>
      <c r="EAE2494" s="60"/>
      <c r="EAF2494" s="60"/>
      <c r="EAG2494" s="59"/>
      <c r="EAH2494" s="61"/>
      <c r="EAI2494" s="59"/>
      <c r="EAJ2494" s="59"/>
      <c r="EAK2494" s="59"/>
      <c r="EAL2494" s="60"/>
      <c r="EAM2494" s="60"/>
      <c r="EAN2494" s="60"/>
      <c r="EAO2494" s="59"/>
      <c r="EAP2494" s="61"/>
      <c r="EAQ2494" s="59"/>
      <c r="EAR2494" s="59"/>
      <c r="EAS2494" s="59"/>
      <c r="EAT2494" s="60"/>
      <c r="EAU2494" s="60"/>
      <c r="EAV2494" s="60"/>
      <c r="EAW2494" s="59"/>
      <c r="EAX2494" s="61"/>
      <c r="EAY2494" s="59"/>
      <c r="EAZ2494" s="59"/>
      <c r="EBA2494" s="59"/>
      <c r="EBB2494" s="60"/>
      <c r="EBC2494" s="60"/>
      <c r="EBD2494" s="60"/>
      <c r="EBE2494" s="59"/>
      <c r="EBF2494" s="61"/>
      <c r="EBG2494" s="59"/>
      <c r="EBH2494" s="59"/>
      <c r="EBI2494" s="59"/>
      <c r="EBJ2494" s="60"/>
      <c r="EBK2494" s="60"/>
      <c r="EBL2494" s="60"/>
      <c r="EBM2494" s="59"/>
      <c r="EBN2494" s="61"/>
      <c r="EBO2494" s="59"/>
      <c r="EBP2494" s="59"/>
      <c r="EBQ2494" s="59"/>
      <c r="EBR2494" s="60"/>
      <c r="EBS2494" s="60"/>
      <c r="EBT2494" s="60"/>
      <c r="EBU2494" s="59"/>
      <c r="EBV2494" s="61"/>
      <c r="EBW2494" s="59"/>
      <c r="EBX2494" s="59"/>
      <c r="EBY2494" s="59"/>
      <c r="EBZ2494" s="60"/>
      <c r="ECA2494" s="60"/>
      <c r="ECB2494" s="60"/>
      <c r="ECC2494" s="59"/>
      <c r="ECD2494" s="61"/>
      <c r="ECE2494" s="59"/>
      <c r="ECF2494" s="59"/>
      <c r="ECG2494" s="59"/>
      <c r="ECH2494" s="60"/>
      <c r="ECI2494" s="60"/>
      <c r="ECJ2494" s="60"/>
      <c r="ECK2494" s="59"/>
      <c r="ECL2494" s="61"/>
      <c r="ECM2494" s="59"/>
      <c r="ECN2494" s="59"/>
      <c r="ECO2494" s="59"/>
      <c r="ECP2494" s="60"/>
      <c r="ECQ2494" s="60"/>
      <c r="ECR2494" s="60"/>
      <c r="ECS2494" s="59"/>
      <c r="ECT2494" s="61"/>
      <c r="ECU2494" s="59"/>
      <c r="ECV2494" s="59"/>
      <c r="ECW2494" s="59"/>
      <c r="ECX2494" s="60"/>
      <c r="ECY2494" s="60"/>
      <c r="ECZ2494" s="60"/>
      <c r="EDA2494" s="59"/>
      <c r="EDB2494" s="61"/>
      <c r="EDC2494" s="59"/>
      <c r="EDD2494" s="59"/>
      <c r="EDE2494" s="59"/>
      <c r="EDF2494" s="60"/>
      <c r="EDG2494" s="60"/>
      <c r="EDH2494" s="60"/>
      <c r="EDI2494" s="59"/>
      <c r="EDJ2494" s="61"/>
      <c r="EDK2494" s="59"/>
      <c r="EDL2494" s="59"/>
      <c r="EDM2494" s="59"/>
      <c r="EDN2494" s="60"/>
      <c r="EDO2494" s="60"/>
      <c r="EDP2494" s="60"/>
      <c r="EDQ2494" s="59"/>
      <c r="EDR2494" s="61"/>
      <c r="EDS2494" s="59"/>
      <c r="EDT2494" s="59"/>
      <c r="EDU2494" s="59"/>
      <c r="EDV2494" s="60"/>
      <c r="EDW2494" s="60"/>
      <c r="EDX2494" s="60"/>
      <c r="EDY2494" s="59"/>
      <c r="EDZ2494" s="61"/>
      <c r="EEA2494" s="59"/>
      <c r="EEB2494" s="59"/>
      <c r="EEC2494" s="59"/>
      <c r="EED2494" s="60"/>
      <c r="EEE2494" s="60"/>
      <c r="EEF2494" s="60"/>
      <c r="EEG2494" s="59"/>
      <c r="EEH2494" s="61"/>
      <c r="EEI2494" s="59"/>
      <c r="EEJ2494" s="59"/>
      <c r="EEK2494" s="59"/>
      <c r="EEL2494" s="60"/>
      <c r="EEM2494" s="60"/>
      <c r="EEN2494" s="60"/>
      <c r="EEO2494" s="59"/>
      <c r="EEP2494" s="61"/>
      <c r="EEQ2494" s="59"/>
      <c r="EER2494" s="59"/>
      <c r="EES2494" s="59"/>
      <c r="EET2494" s="60"/>
      <c r="EEU2494" s="60"/>
      <c r="EEV2494" s="60"/>
      <c r="EEW2494" s="59"/>
      <c r="EEX2494" s="61"/>
      <c r="EEY2494" s="59"/>
      <c r="EEZ2494" s="59"/>
      <c r="EFA2494" s="59"/>
      <c r="EFB2494" s="60"/>
      <c r="EFC2494" s="60"/>
      <c r="EFD2494" s="60"/>
      <c r="EFE2494" s="59"/>
      <c r="EFF2494" s="61"/>
      <c r="EFG2494" s="59"/>
      <c r="EFH2494" s="59"/>
      <c r="EFI2494" s="59"/>
      <c r="EFJ2494" s="60"/>
      <c r="EFK2494" s="60"/>
      <c r="EFL2494" s="60"/>
      <c r="EFM2494" s="59"/>
      <c r="EFN2494" s="61"/>
      <c r="EFO2494" s="59"/>
      <c r="EFP2494" s="59"/>
      <c r="EFQ2494" s="59"/>
      <c r="EFR2494" s="60"/>
      <c r="EFS2494" s="60"/>
      <c r="EFT2494" s="60"/>
      <c r="EFU2494" s="59"/>
      <c r="EFV2494" s="61"/>
      <c r="EFW2494" s="59"/>
      <c r="EFX2494" s="59"/>
      <c r="EFY2494" s="59"/>
      <c r="EFZ2494" s="60"/>
      <c r="EGA2494" s="60"/>
      <c r="EGB2494" s="60"/>
      <c r="EGC2494" s="59"/>
      <c r="EGD2494" s="61"/>
      <c r="EGE2494" s="59"/>
      <c r="EGF2494" s="59"/>
      <c r="EGG2494" s="59"/>
      <c r="EGH2494" s="60"/>
      <c r="EGI2494" s="60"/>
      <c r="EGJ2494" s="60"/>
      <c r="EGK2494" s="59"/>
      <c r="EGL2494" s="61"/>
      <c r="EGM2494" s="59"/>
      <c r="EGN2494" s="59"/>
      <c r="EGO2494" s="59"/>
      <c r="EGP2494" s="60"/>
      <c r="EGQ2494" s="60"/>
      <c r="EGR2494" s="60"/>
      <c r="EGS2494" s="59"/>
      <c r="EGT2494" s="61"/>
      <c r="EGU2494" s="59"/>
      <c r="EGV2494" s="59"/>
      <c r="EGW2494" s="59"/>
      <c r="EGX2494" s="60"/>
      <c r="EGY2494" s="60"/>
      <c r="EGZ2494" s="60"/>
      <c r="EHA2494" s="59"/>
      <c r="EHB2494" s="61"/>
      <c r="EHC2494" s="59"/>
      <c r="EHD2494" s="59"/>
      <c r="EHE2494" s="59"/>
      <c r="EHF2494" s="60"/>
      <c r="EHG2494" s="60"/>
      <c r="EHH2494" s="60"/>
      <c r="EHI2494" s="59"/>
      <c r="EHJ2494" s="61"/>
      <c r="EHK2494" s="59"/>
      <c r="EHL2494" s="59"/>
      <c r="EHM2494" s="59"/>
      <c r="EHN2494" s="60"/>
      <c r="EHO2494" s="60"/>
      <c r="EHP2494" s="60"/>
      <c r="EHQ2494" s="59"/>
      <c r="EHR2494" s="61"/>
      <c r="EHS2494" s="59"/>
      <c r="EHT2494" s="59"/>
      <c r="EHU2494" s="59"/>
      <c r="EHV2494" s="60"/>
      <c r="EHW2494" s="60"/>
      <c r="EHX2494" s="60"/>
      <c r="EHY2494" s="59"/>
      <c r="EHZ2494" s="61"/>
      <c r="EIA2494" s="59"/>
      <c r="EIB2494" s="59"/>
      <c r="EIC2494" s="59"/>
      <c r="EID2494" s="60"/>
      <c r="EIE2494" s="60"/>
      <c r="EIF2494" s="60"/>
      <c r="EIG2494" s="59"/>
      <c r="EIH2494" s="61"/>
      <c r="EII2494" s="59"/>
      <c r="EIJ2494" s="59"/>
      <c r="EIK2494" s="59"/>
      <c r="EIL2494" s="60"/>
      <c r="EIM2494" s="60"/>
      <c r="EIN2494" s="60"/>
      <c r="EIO2494" s="59"/>
      <c r="EIP2494" s="61"/>
      <c r="EIQ2494" s="59"/>
      <c r="EIR2494" s="59"/>
      <c r="EIS2494" s="59"/>
      <c r="EIT2494" s="60"/>
      <c r="EIU2494" s="60"/>
      <c r="EIV2494" s="60"/>
      <c r="EIW2494" s="59"/>
      <c r="EIX2494" s="61"/>
      <c r="EIY2494" s="59"/>
      <c r="EIZ2494" s="59"/>
      <c r="EJA2494" s="59"/>
      <c r="EJB2494" s="60"/>
      <c r="EJC2494" s="60"/>
      <c r="EJD2494" s="60"/>
      <c r="EJE2494" s="59"/>
      <c r="EJF2494" s="61"/>
      <c r="EJG2494" s="59"/>
      <c r="EJH2494" s="59"/>
      <c r="EJI2494" s="59"/>
      <c r="EJJ2494" s="60"/>
      <c r="EJK2494" s="60"/>
      <c r="EJL2494" s="60"/>
      <c r="EJM2494" s="59"/>
      <c r="EJN2494" s="61"/>
      <c r="EJO2494" s="59"/>
      <c r="EJP2494" s="59"/>
      <c r="EJQ2494" s="59"/>
      <c r="EJR2494" s="60"/>
      <c r="EJS2494" s="60"/>
      <c r="EJT2494" s="60"/>
      <c r="EJU2494" s="59"/>
      <c r="EJV2494" s="61"/>
      <c r="EJW2494" s="59"/>
      <c r="EJX2494" s="59"/>
      <c r="EJY2494" s="59"/>
      <c r="EJZ2494" s="60"/>
      <c r="EKA2494" s="60"/>
      <c r="EKB2494" s="60"/>
      <c r="EKC2494" s="59"/>
      <c r="EKD2494" s="61"/>
      <c r="EKE2494" s="59"/>
      <c r="EKF2494" s="59"/>
      <c r="EKG2494" s="59"/>
      <c r="EKH2494" s="60"/>
      <c r="EKI2494" s="60"/>
      <c r="EKJ2494" s="60"/>
      <c r="EKK2494" s="59"/>
      <c r="EKL2494" s="61"/>
      <c r="EKM2494" s="59"/>
      <c r="EKN2494" s="59"/>
      <c r="EKO2494" s="59"/>
      <c r="EKP2494" s="60"/>
      <c r="EKQ2494" s="60"/>
      <c r="EKR2494" s="60"/>
      <c r="EKS2494" s="59"/>
      <c r="EKT2494" s="61"/>
      <c r="EKU2494" s="59"/>
      <c r="EKV2494" s="59"/>
      <c r="EKW2494" s="59"/>
      <c r="EKX2494" s="60"/>
      <c r="EKY2494" s="60"/>
      <c r="EKZ2494" s="60"/>
      <c r="ELA2494" s="59"/>
      <c r="ELB2494" s="61"/>
      <c r="ELC2494" s="59"/>
      <c r="ELD2494" s="59"/>
      <c r="ELE2494" s="59"/>
      <c r="ELF2494" s="60"/>
      <c r="ELG2494" s="60"/>
      <c r="ELH2494" s="60"/>
      <c r="ELI2494" s="59"/>
      <c r="ELJ2494" s="61"/>
      <c r="ELK2494" s="59"/>
      <c r="ELL2494" s="59"/>
      <c r="ELM2494" s="59"/>
      <c r="ELN2494" s="60"/>
      <c r="ELO2494" s="60"/>
      <c r="ELP2494" s="60"/>
      <c r="ELQ2494" s="59"/>
      <c r="ELR2494" s="61"/>
      <c r="ELS2494" s="59"/>
      <c r="ELT2494" s="59"/>
      <c r="ELU2494" s="59"/>
      <c r="ELV2494" s="60"/>
      <c r="ELW2494" s="60"/>
      <c r="ELX2494" s="60"/>
      <c r="ELY2494" s="59"/>
      <c r="ELZ2494" s="61"/>
      <c r="EMA2494" s="59"/>
      <c r="EMB2494" s="59"/>
      <c r="EMC2494" s="59"/>
      <c r="EMD2494" s="60"/>
      <c r="EME2494" s="60"/>
      <c r="EMF2494" s="60"/>
      <c r="EMG2494" s="59"/>
      <c r="EMH2494" s="61"/>
      <c r="EMI2494" s="59"/>
      <c r="EMJ2494" s="59"/>
      <c r="EMK2494" s="59"/>
      <c r="EML2494" s="60"/>
      <c r="EMM2494" s="60"/>
      <c r="EMN2494" s="60"/>
      <c r="EMO2494" s="59"/>
      <c r="EMP2494" s="61"/>
      <c r="EMQ2494" s="59"/>
      <c r="EMR2494" s="59"/>
      <c r="EMS2494" s="59"/>
      <c r="EMT2494" s="60"/>
      <c r="EMU2494" s="60"/>
      <c r="EMV2494" s="60"/>
      <c r="EMW2494" s="59"/>
      <c r="EMX2494" s="61"/>
      <c r="EMY2494" s="59"/>
      <c r="EMZ2494" s="59"/>
      <c r="ENA2494" s="59"/>
      <c r="ENB2494" s="60"/>
      <c r="ENC2494" s="60"/>
      <c r="END2494" s="60"/>
      <c r="ENE2494" s="59"/>
      <c r="ENF2494" s="61"/>
      <c r="ENG2494" s="59"/>
      <c r="ENH2494" s="59"/>
      <c r="ENI2494" s="59"/>
      <c r="ENJ2494" s="60"/>
      <c r="ENK2494" s="60"/>
      <c r="ENL2494" s="60"/>
      <c r="ENM2494" s="59"/>
      <c r="ENN2494" s="61"/>
      <c r="ENO2494" s="59"/>
      <c r="ENP2494" s="59"/>
      <c r="ENQ2494" s="59"/>
      <c r="ENR2494" s="60"/>
      <c r="ENS2494" s="60"/>
      <c r="ENT2494" s="60"/>
      <c r="ENU2494" s="59"/>
      <c r="ENV2494" s="61"/>
      <c r="ENW2494" s="59"/>
      <c r="ENX2494" s="59"/>
      <c r="ENY2494" s="59"/>
      <c r="ENZ2494" s="60"/>
      <c r="EOA2494" s="60"/>
      <c r="EOB2494" s="60"/>
      <c r="EOC2494" s="59"/>
      <c r="EOD2494" s="61"/>
      <c r="EOE2494" s="59"/>
      <c r="EOF2494" s="59"/>
      <c r="EOG2494" s="59"/>
      <c r="EOH2494" s="60"/>
      <c r="EOI2494" s="60"/>
      <c r="EOJ2494" s="60"/>
      <c r="EOK2494" s="59"/>
      <c r="EOL2494" s="61"/>
      <c r="EOM2494" s="59"/>
      <c r="EON2494" s="59"/>
      <c r="EOO2494" s="59"/>
      <c r="EOP2494" s="60"/>
      <c r="EOQ2494" s="60"/>
      <c r="EOR2494" s="60"/>
      <c r="EOS2494" s="59"/>
      <c r="EOT2494" s="61"/>
      <c r="EOU2494" s="59"/>
      <c r="EOV2494" s="59"/>
      <c r="EOW2494" s="59"/>
      <c r="EOX2494" s="60"/>
      <c r="EOY2494" s="60"/>
      <c r="EOZ2494" s="60"/>
      <c r="EPA2494" s="59"/>
      <c r="EPB2494" s="61"/>
      <c r="EPC2494" s="59"/>
      <c r="EPD2494" s="59"/>
      <c r="EPE2494" s="59"/>
      <c r="EPF2494" s="60"/>
      <c r="EPG2494" s="60"/>
      <c r="EPH2494" s="60"/>
      <c r="EPI2494" s="59"/>
      <c r="EPJ2494" s="61"/>
      <c r="EPK2494" s="59"/>
      <c r="EPL2494" s="59"/>
      <c r="EPM2494" s="59"/>
      <c r="EPN2494" s="60"/>
      <c r="EPO2494" s="60"/>
      <c r="EPP2494" s="60"/>
      <c r="EPQ2494" s="59"/>
      <c r="EPR2494" s="61"/>
      <c r="EPS2494" s="59"/>
      <c r="EPT2494" s="59"/>
      <c r="EPU2494" s="59"/>
      <c r="EPV2494" s="60"/>
      <c r="EPW2494" s="60"/>
      <c r="EPX2494" s="60"/>
      <c r="EPY2494" s="59"/>
      <c r="EPZ2494" s="61"/>
      <c r="EQA2494" s="59"/>
      <c r="EQB2494" s="59"/>
      <c r="EQC2494" s="59"/>
      <c r="EQD2494" s="60"/>
      <c r="EQE2494" s="60"/>
      <c r="EQF2494" s="60"/>
      <c r="EQG2494" s="59"/>
      <c r="EQH2494" s="61"/>
      <c r="EQI2494" s="59"/>
      <c r="EQJ2494" s="59"/>
      <c r="EQK2494" s="59"/>
      <c r="EQL2494" s="60"/>
      <c r="EQM2494" s="60"/>
      <c r="EQN2494" s="60"/>
      <c r="EQO2494" s="59"/>
      <c r="EQP2494" s="61"/>
      <c r="EQQ2494" s="59"/>
      <c r="EQR2494" s="59"/>
      <c r="EQS2494" s="59"/>
      <c r="EQT2494" s="60"/>
      <c r="EQU2494" s="60"/>
      <c r="EQV2494" s="60"/>
      <c r="EQW2494" s="59"/>
      <c r="EQX2494" s="61"/>
      <c r="EQY2494" s="59"/>
      <c r="EQZ2494" s="59"/>
      <c r="ERA2494" s="59"/>
      <c r="ERB2494" s="60"/>
      <c r="ERC2494" s="60"/>
      <c r="ERD2494" s="60"/>
      <c r="ERE2494" s="59"/>
      <c r="ERF2494" s="61"/>
      <c r="ERG2494" s="59"/>
      <c r="ERH2494" s="59"/>
      <c r="ERI2494" s="59"/>
      <c r="ERJ2494" s="60"/>
      <c r="ERK2494" s="60"/>
      <c r="ERL2494" s="60"/>
      <c r="ERM2494" s="59"/>
      <c r="ERN2494" s="61"/>
      <c r="ERO2494" s="59"/>
      <c r="ERP2494" s="59"/>
      <c r="ERQ2494" s="59"/>
      <c r="ERR2494" s="60"/>
      <c r="ERS2494" s="60"/>
      <c r="ERT2494" s="60"/>
      <c r="ERU2494" s="59"/>
      <c r="ERV2494" s="61"/>
      <c r="ERW2494" s="59"/>
      <c r="ERX2494" s="59"/>
      <c r="ERY2494" s="59"/>
      <c r="ERZ2494" s="60"/>
      <c r="ESA2494" s="60"/>
      <c r="ESB2494" s="60"/>
      <c r="ESC2494" s="59"/>
      <c r="ESD2494" s="61"/>
      <c r="ESE2494" s="59"/>
      <c r="ESF2494" s="59"/>
      <c r="ESG2494" s="59"/>
      <c r="ESH2494" s="60"/>
      <c r="ESI2494" s="60"/>
      <c r="ESJ2494" s="60"/>
      <c r="ESK2494" s="59"/>
      <c r="ESL2494" s="61"/>
      <c r="ESM2494" s="59"/>
      <c r="ESN2494" s="59"/>
      <c r="ESO2494" s="59"/>
      <c r="ESP2494" s="60"/>
      <c r="ESQ2494" s="60"/>
      <c r="ESR2494" s="60"/>
      <c r="ESS2494" s="59"/>
      <c r="EST2494" s="61"/>
      <c r="ESU2494" s="59"/>
      <c r="ESV2494" s="59"/>
      <c r="ESW2494" s="59"/>
      <c r="ESX2494" s="60"/>
      <c r="ESY2494" s="60"/>
      <c r="ESZ2494" s="60"/>
      <c r="ETA2494" s="59"/>
      <c r="ETB2494" s="61"/>
      <c r="ETC2494" s="59"/>
      <c r="ETD2494" s="59"/>
      <c r="ETE2494" s="59"/>
      <c r="ETF2494" s="60"/>
      <c r="ETG2494" s="60"/>
      <c r="ETH2494" s="60"/>
      <c r="ETI2494" s="59"/>
      <c r="ETJ2494" s="61"/>
      <c r="ETK2494" s="59"/>
      <c r="ETL2494" s="59"/>
      <c r="ETM2494" s="59"/>
      <c r="ETN2494" s="60"/>
      <c r="ETO2494" s="60"/>
      <c r="ETP2494" s="60"/>
      <c r="ETQ2494" s="59"/>
      <c r="ETR2494" s="61"/>
      <c r="ETS2494" s="59"/>
      <c r="ETT2494" s="59"/>
      <c r="ETU2494" s="59"/>
      <c r="ETV2494" s="60"/>
      <c r="ETW2494" s="60"/>
      <c r="ETX2494" s="60"/>
      <c r="ETY2494" s="59"/>
      <c r="ETZ2494" s="61"/>
      <c r="EUA2494" s="59"/>
      <c r="EUB2494" s="59"/>
      <c r="EUC2494" s="59"/>
      <c r="EUD2494" s="60"/>
      <c r="EUE2494" s="60"/>
      <c r="EUF2494" s="60"/>
      <c r="EUG2494" s="59"/>
      <c r="EUH2494" s="61"/>
      <c r="EUI2494" s="59"/>
      <c r="EUJ2494" s="59"/>
      <c r="EUK2494" s="59"/>
      <c r="EUL2494" s="60"/>
      <c r="EUM2494" s="60"/>
      <c r="EUN2494" s="60"/>
      <c r="EUO2494" s="59"/>
      <c r="EUP2494" s="61"/>
      <c r="EUQ2494" s="59"/>
      <c r="EUR2494" s="59"/>
      <c r="EUS2494" s="59"/>
      <c r="EUT2494" s="60"/>
      <c r="EUU2494" s="60"/>
      <c r="EUV2494" s="60"/>
      <c r="EUW2494" s="59"/>
      <c r="EUX2494" s="61"/>
      <c r="EUY2494" s="59"/>
      <c r="EUZ2494" s="59"/>
      <c r="EVA2494" s="59"/>
      <c r="EVB2494" s="60"/>
      <c r="EVC2494" s="60"/>
      <c r="EVD2494" s="60"/>
      <c r="EVE2494" s="59"/>
      <c r="EVF2494" s="61"/>
      <c r="EVG2494" s="59"/>
      <c r="EVH2494" s="59"/>
      <c r="EVI2494" s="59"/>
      <c r="EVJ2494" s="60"/>
      <c r="EVK2494" s="60"/>
      <c r="EVL2494" s="60"/>
      <c r="EVM2494" s="59"/>
      <c r="EVN2494" s="61"/>
      <c r="EVO2494" s="59"/>
      <c r="EVP2494" s="59"/>
      <c r="EVQ2494" s="59"/>
      <c r="EVR2494" s="60"/>
      <c r="EVS2494" s="60"/>
      <c r="EVT2494" s="60"/>
      <c r="EVU2494" s="59"/>
      <c r="EVV2494" s="61"/>
      <c r="EVW2494" s="59"/>
      <c r="EVX2494" s="59"/>
      <c r="EVY2494" s="59"/>
      <c r="EVZ2494" s="60"/>
      <c r="EWA2494" s="60"/>
      <c r="EWB2494" s="60"/>
      <c r="EWC2494" s="59"/>
      <c r="EWD2494" s="61"/>
      <c r="EWE2494" s="59"/>
      <c r="EWF2494" s="59"/>
      <c r="EWG2494" s="59"/>
      <c r="EWH2494" s="60"/>
      <c r="EWI2494" s="60"/>
      <c r="EWJ2494" s="60"/>
      <c r="EWK2494" s="59"/>
      <c r="EWL2494" s="61"/>
      <c r="EWM2494" s="59"/>
      <c r="EWN2494" s="59"/>
      <c r="EWO2494" s="59"/>
      <c r="EWP2494" s="60"/>
      <c r="EWQ2494" s="60"/>
      <c r="EWR2494" s="60"/>
      <c r="EWS2494" s="59"/>
      <c r="EWT2494" s="61"/>
      <c r="EWU2494" s="59"/>
      <c r="EWV2494" s="59"/>
      <c r="EWW2494" s="59"/>
      <c r="EWX2494" s="60"/>
      <c r="EWY2494" s="60"/>
      <c r="EWZ2494" s="60"/>
      <c r="EXA2494" s="59"/>
      <c r="EXB2494" s="61"/>
      <c r="EXC2494" s="59"/>
      <c r="EXD2494" s="59"/>
      <c r="EXE2494" s="59"/>
      <c r="EXF2494" s="60"/>
      <c r="EXG2494" s="60"/>
      <c r="EXH2494" s="60"/>
      <c r="EXI2494" s="59"/>
      <c r="EXJ2494" s="61"/>
      <c r="EXK2494" s="59"/>
      <c r="EXL2494" s="59"/>
      <c r="EXM2494" s="59"/>
      <c r="EXN2494" s="60"/>
      <c r="EXO2494" s="60"/>
      <c r="EXP2494" s="60"/>
      <c r="EXQ2494" s="59"/>
      <c r="EXR2494" s="61"/>
      <c r="EXS2494" s="59"/>
      <c r="EXT2494" s="59"/>
      <c r="EXU2494" s="59"/>
      <c r="EXV2494" s="60"/>
      <c r="EXW2494" s="60"/>
      <c r="EXX2494" s="60"/>
      <c r="EXY2494" s="59"/>
      <c r="EXZ2494" s="61"/>
      <c r="EYA2494" s="59"/>
      <c r="EYB2494" s="59"/>
      <c r="EYC2494" s="59"/>
      <c r="EYD2494" s="60"/>
      <c r="EYE2494" s="60"/>
      <c r="EYF2494" s="60"/>
      <c r="EYG2494" s="59"/>
      <c r="EYH2494" s="61"/>
      <c r="EYI2494" s="59"/>
      <c r="EYJ2494" s="59"/>
      <c r="EYK2494" s="59"/>
      <c r="EYL2494" s="60"/>
      <c r="EYM2494" s="60"/>
      <c r="EYN2494" s="60"/>
      <c r="EYO2494" s="59"/>
      <c r="EYP2494" s="61"/>
      <c r="EYQ2494" s="59"/>
      <c r="EYR2494" s="59"/>
      <c r="EYS2494" s="59"/>
      <c r="EYT2494" s="60"/>
      <c r="EYU2494" s="60"/>
      <c r="EYV2494" s="60"/>
      <c r="EYW2494" s="59"/>
      <c r="EYX2494" s="61"/>
      <c r="EYY2494" s="59"/>
      <c r="EYZ2494" s="59"/>
      <c r="EZA2494" s="59"/>
      <c r="EZB2494" s="60"/>
      <c r="EZC2494" s="60"/>
      <c r="EZD2494" s="60"/>
      <c r="EZE2494" s="59"/>
      <c r="EZF2494" s="61"/>
      <c r="EZG2494" s="59"/>
      <c r="EZH2494" s="59"/>
      <c r="EZI2494" s="59"/>
      <c r="EZJ2494" s="60"/>
      <c r="EZK2494" s="60"/>
      <c r="EZL2494" s="60"/>
      <c r="EZM2494" s="59"/>
      <c r="EZN2494" s="61"/>
      <c r="EZO2494" s="59"/>
      <c r="EZP2494" s="59"/>
      <c r="EZQ2494" s="59"/>
      <c r="EZR2494" s="60"/>
      <c r="EZS2494" s="60"/>
      <c r="EZT2494" s="60"/>
      <c r="EZU2494" s="59"/>
      <c r="EZV2494" s="61"/>
      <c r="EZW2494" s="59"/>
      <c r="EZX2494" s="59"/>
      <c r="EZY2494" s="59"/>
      <c r="EZZ2494" s="60"/>
      <c r="FAA2494" s="60"/>
      <c r="FAB2494" s="60"/>
      <c r="FAC2494" s="59"/>
      <c r="FAD2494" s="61"/>
      <c r="FAE2494" s="59"/>
      <c r="FAF2494" s="59"/>
      <c r="FAG2494" s="59"/>
      <c r="FAH2494" s="60"/>
      <c r="FAI2494" s="60"/>
      <c r="FAJ2494" s="60"/>
      <c r="FAK2494" s="59"/>
      <c r="FAL2494" s="61"/>
      <c r="FAM2494" s="59"/>
      <c r="FAN2494" s="59"/>
      <c r="FAO2494" s="59"/>
      <c r="FAP2494" s="60"/>
      <c r="FAQ2494" s="60"/>
      <c r="FAR2494" s="60"/>
      <c r="FAS2494" s="59"/>
      <c r="FAT2494" s="61"/>
      <c r="FAU2494" s="59"/>
      <c r="FAV2494" s="59"/>
      <c r="FAW2494" s="59"/>
      <c r="FAX2494" s="60"/>
      <c r="FAY2494" s="60"/>
      <c r="FAZ2494" s="60"/>
      <c r="FBA2494" s="59"/>
      <c r="FBB2494" s="61"/>
      <c r="FBC2494" s="59"/>
      <c r="FBD2494" s="59"/>
      <c r="FBE2494" s="59"/>
      <c r="FBF2494" s="60"/>
      <c r="FBG2494" s="60"/>
      <c r="FBH2494" s="60"/>
      <c r="FBI2494" s="59"/>
      <c r="FBJ2494" s="61"/>
      <c r="FBK2494" s="59"/>
      <c r="FBL2494" s="59"/>
      <c r="FBM2494" s="59"/>
      <c r="FBN2494" s="60"/>
      <c r="FBO2494" s="60"/>
      <c r="FBP2494" s="60"/>
      <c r="FBQ2494" s="59"/>
      <c r="FBR2494" s="61"/>
      <c r="FBS2494" s="59"/>
      <c r="FBT2494" s="59"/>
      <c r="FBU2494" s="59"/>
      <c r="FBV2494" s="60"/>
      <c r="FBW2494" s="60"/>
      <c r="FBX2494" s="60"/>
      <c r="FBY2494" s="59"/>
      <c r="FBZ2494" s="61"/>
      <c r="FCA2494" s="59"/>
      <c r="FCB2494" s="59"/>
      <c r="FCC2494" s="59"/>
      <c r="FCD2494" s="60"/>
      <c r="FCE2494" s="60"/>
      <c r="FCF2494" s="60"/>
      <c r="FCG2494" s="59"/>
      <c r="FCH2494" s="61"/>
      <c r="FCI2494" s="59"/>
      <c r="FCJ2494" s="59"/>
      <c r="FCK2494" s="59"/>
      <c r="FCL2494" s="60"/>
      <c r="FCM2494" s="60"/>
      <c r="FCN2494" s="60"/>
      <c r="FCO2494" s="59"/>
      <c r="FCP2494" s="61"/>
      <c r="FCQ2494" s="59"/>
      <c r="FCR2494" s="59"/>
      <c r="FCS2494" s="59"/>
      <c r="FCT2494" s="60"/>
      <c r="FCU2494" s="60"/>
      <c r="FCV2494" s="60"/>
      <c r="FCW2494" s="59"/>
      <c r="FCX2494" s="61"/>
      <c r="FCY2494" s="59"/>
      <c r="FCZ2494" s="59"/>
      <c r="FDA2494" s="59"/>
      <c r="FDB2494" s="60"/>
      <c r="FDC2494" s="60"/>
      <c r="FDD2494" s="60"/>
      <c r="FDE2494" s="59"/>
      <c r="FDF2494" s="61"/>
      <c r="FDG2494" s="59"/>
      <c r="FDH2494" s="59"/>
      <c r="FDI2494" s="59"/>
      <c r="FDJ2494" s="60"/>
      <c r="FDK2494" s="60"/>
      <c r="FDL2494" s="60"/>
      <c r="FDM2494" s="59"/>
      <c r="FDN2494" s="61"/>
      <c r="FDO2494" s="59"/>
      <c r="FDP2494" s="59"/>
      <c r="FDQ2494" s="59"/>
      <c r="FDR2494" s="60"/>
      <c r="FDS2494" s="60"/>
      <c r="FDT2494" s="60"/>
      <c r="FDU2494" s="59"/>
      <c r="FDV2494" s="61"/>
      <c r="FDW2494" s="59"/>
      <c r="FDX2494" s="59"/>
      <c r="FDY2494" s="59"/>
      <c r="FDZ2494" s="60"/>
      <c r="FEA2494" s="60"/>
      <c r="FEB2494" s="60"/>
      <c r="FEC2494" s="59"/>
      <c r="FED2494" s="61"/>
      <c r="FEE2494" s="59"/>
      <c r="FEF2494" s="59"/>
      <c r="FEG2494" s="59"/>
      <c r="FEH2494" s="60"/>
      <c r="FEI2494" s="60"/>
      <c r="FEJ2494" s="60"/>
      <c r="FEK2494" s="59"/>
      <c r="FEL2494" s="61"/>
      <c r="FEM2494" s="59"/>
      <c r="FEN2494" s="59"/>
      <c r="FEO2494" s="59"/>
      <c r="FEP2494" s="60"/>
      <c r="FEQ2494" s="60"/>
      <c r="FER2494" s="60"/>
      <c r="FES2494" s="59"/>
      <c r="FET2494" s="61"/>
      <c r="FEU2494" s="59"/>
      <c r="FEV2494" s="59"/>
      <c r="FEW2494" s="59"/>
      <c r="FEX2494" s="60"/>
      <c r="FEY2494" s="60"/>
      <c r="FEZ2494" s="60"/>
      <c r="FFA2494" s="59"/>
      <c r="FFB2494" s="61"/>
      <c r="FFC2494" s="59"/>
      <c r="FFD2494" s="59"/>
      <c r="FFE2494" s="59"/>
      <c r="FFF2494" s="60"/>
      <c r="FFG2494" s="60"/>
      <c r="FFH2494" s="60"/>
      <c r="FFI2494" s="59"/>
      <c r="FFJ2494" s="61"/>
      <c r="FFK2494" s="59"/>
      <c r="FFL2494" s="59"/>
      <c r="FFM2494" s="59"/>
      <c r="FFN2494" s="60"/>
      <c r="FFO2494" s="60"/>
      <c r="FFP2494" s="60"/>
      <c r="FFQ2494" s="59"/>
      <c r="FFR2494" s="61"/>
      <c r="FFS2494" s="59"/>
      <c r="FFT2494" s="59"/>
      <c r="FFU2494" s="59"/>
      <c r="FFV2494" s="60"/>
      <c r="FFW2494" s="60"/>
      <c r="FFX2494" s="60"/>
      <c r="FFY2494" s="59"/>
      <c r="FFZ2494" s="61"/>
      <c r="FGA2494" s="59"/>
      <c r="FGB2494" s="59"/>
      <c r="FGC2494" s="59"/>
      <c r="FGD2494" s="60"/>
      <c r="FGE2494" s="60"/>
      <c r="FGF2494" s="60"/>
      <c r="FGG2494" s="59"/>
      <c r="FGH2494" s="61"/>
      <c r="FGI2494" s="59"/>
      <c r="FGJ2494" s="59"/>
      <c r="FGK2494" s="59"/>
      <c r="FGL2494" s="60"/>
      <c r="FGM2494" s="60"/>
      <c r="FGN2494" s="60"/>
      <c r="FGO2494" s="59"/>
      <c r="FGP2494" s="61"/>
      <c r="FGQ2494" s="59"/>
      <c r="FGR2494" s="59"/>
      <c r="FGS2494" s="59"/>
      <c r="FGT2494" s="60"/>
      <c r="FGU2494" s="60"/>
      <c r="FGV2494" s="60"/>
      <c r="FGW2494" s="59"/>
      <c r="FGX2494" s="61"/>
      <c r="FGY2494" s="59"/>
      <c r="FGZ2494" s="59"/>
      <c r="FHA2494" s="59"/>
      <c r="FHB2494" s="60"/>
      <c r="FHC2494" s="60"/>
      <c r="FHD2494" s="60"/>
      <c r="FHE2494" s="59"/>
      <c r="FHF2494" s="61"/>
      <c r="FHG2494" s="59"/>
      <c r="FHH2494" s="59"/>
      <c r="FHI2494" s="59"/>
      <c r="FHJ2494" s="60"/>
      <c r="FHK2494" s="60"/>
      <c r="FHL2494" s="60"/>
      <c r="FHM2494" s="59"/>
      <c r="FHN2494" s="61"/>
      <c r="FHO2494" s="59"/>
      <c r="FHP2494" s="59"/>
      <c r="FHQ2494" s="59"/>
      <c r="FHR2494" s="60"/>
      <c r="FHS2494" s="60"/>
      <c r="FHT2494" s="60"/>
      <c r="FHU2494" s="59"/>
      <c r="FHV2494" s="61"/>
      <c r="FHW2494" s="59"/>
      <c r="FHX2494" s="59"/>
      <c r="FHY2494" s="59"/>
      <c r="FHZ2494" s="60"/>
      <c r="FIA2494" s="60"/>
      <c r="FIB2494" s="60"/>
      <c r="FIC2494" s="59"/>
      <c r="FID2494" s="61"/>
      <c r="FIE2494" s="59"/>
      <c r="FIF2494" s="59"/>
      <c r="FIG2494" s="59"/>
      <c r="FIH2494" s="60"/>
      <c r="FII2494" s="60"/>
      <c r="FIJ2494" s="60"/>
      <c r="FIK2494" s="59"/>
      <c r="FIL2494" s="61"/>
      <c r="FIM2494" s="59"/>
      <c r="FIN2494" s="59"/>
      <c r="FIO2494" s="59"/>
      <c r="FIP2494" s="60"/>
      <c r="FIQ2494" s="60"/>
      <c r="FIR2494" s="60"/>
      <c r="FIS2494" s="59"/>
      <c r="FIT2494" s="61"/>
      <c r="FIU2494" s="59"/>
      <c r="FIV2494" s="59"/>
      <c r="FIW2494" s="59"/>
      <c r="FIX2494" s="60"/>
      <c r="FIY2494" s="60"/>
      <c r="FIZ2494" s="60"/>
      <c r="FJA2494" s="59"/>
      <c r="FJB2494" s="61"/>
      <c r="FJC2494" s="59"/>
      <c r="FJD2494" s="59"/>
      <c r="FJE2494" s="59"/>
      <c r="FJF2494" s="60"/>
      <c r="FJG2494" s="60"/>
      <c r="FJH2494" s="60"/>
      <c r="FJI2494" s="59"/>
      <c r="FJJ2494" s="61"/>
      <c r="FJK2494" s="59"/>
      <c r="FJL2494" s="59"/>
      <c r="FJM2494" s="59"/>
      <c r="FJN2494" s="60"/>
      <c r="FJO2494" s="60"/>
      <c r="FJP2494" s="60"/>
      <c r="FJQ2494" s="59"/>
      <c r="FJR2494" s="61"/>
      <c r="FJS2494" s="59"/>
      <c r="FJT2494" s="59"/>
      <c r="FJU2494" s="59"/>
      <c r="FJV2494" s="60"/>
      <c r="FJW2494" s="60"/>
      <c r="FJX2494" s="60"/>
      <c r="FJY2494" s="59"/>
      <c r="FJZ2494" s="61"/>
      <c r="FKA2494" s="59"/>
      <c r="FKB2494" s="59"/>
      <c r="FKC2494" s="59"/>
      <c r="FKD2494" s="60"/>
      <c r="FKE2494" s="60"/>
      <c r="FKF2494" s="60"/>
      <c r="FKG2494" s="59"/>
      <c r="FKH2494" s="61"/>
      <c r="FKI2494" s="59"/>
      <c r="FKJ2494" s="59"/>
      <c r="FKK2494" s="59"/>
      <c r="FKL2494" s="60"/>
      <c r="FKM2494" s="60"/>
      <c r="FKN2494" s="60"/>
      <c r="FKO2494" s="59"/>
      <c r="FKP2494" s="61"/>
      <c r="FKQ2494" s="59"/>
      <c r="FKR2494" s="59"/>
      <c r="FKS2494" s="59"/>
      <c r="FKT2494" s="60"/>
      <c r="FKU2494" s="60"/>
      <c r="FKV2494" s="60"/>
      <c r="FKW2494" s="59"/>
      <c r="FKX2494" s="61"/>
      <c r="FKY2494" s="59"/>
      <c r="FKZ2494" s="59"/>
      <c r="FLA2494" s="59"/>
      <c r="FLB2494" s="60"/>
      <c r="FLC2494" s="60"/>
      <c r="FLD2494" s="60"/>
      <c r="FLE2494" s="59"/>
      <c r="FLF2494" s="61"/>
      <c r="FLG2494" s="59"/>
      <c r="FLH2494" s="59"/>
      <c r="FLI2494" s="59"/>
      <c r="FLJ2494" s="60"/>
      <c r="FLK2494" s="60"/>
      <c r="FLL2494" s="60"/>
      <c r="FLM2494" s="59"/>
      <c r="FLN2494" s="61"/>
      <c r="FLO2494" s="59"/>
      <c r="FLP2494" s="59"/>
      <c r="FLQ2494" s="59"/>
      <c r="FLR2494" s="60"/>
      <c r="FLS2494" s="60"/>
      <c r="FLT2494" s="60"/>
      <c r="FLU2494" s="59"/>
      <c r="FLV2494" s="61"/>
      <c r="FLW2494" s="59"/>
      <c r="FLX2494" s="59"/>
      <c r="FLY2494" s="59"/>
      <c r="FLZ2494" s="60"/>
      <c r="FMA2494" s="60"/>
      <c r="FMB2494" s="60"/>
      <c r="FMC2494" s="59"/>
      <c r="FMD2494" s="61"/>
      <c r="FME2494" s="59"/>
      <c r="FMF2494" s="59"/>
      <c r="FMG2494" s="59"/>
      <c r="FMH2494" s="60"/>
      <c r="FMI2494" s="60"/>
      <c r="FMJ2494" s="60"/>
      <c r="FMK2494" s="59"/>
      <c r="FML2494" s="61"/>
      <c r="FMM2494" s="59"/>
      <c r="FMN2494" s="59"/>
      <c r="FMO2494" s="59"/>
      <c r="FMP2494" s="60"/>
      <c r="FMQ2494" s="60"/>
      <c r="FMR2494" s="60"/>
      <c r="FMS2494" s="59"/>
      <c r="FMT2494" s="61"/>
      <c r="FMU2494" s="59"/>
      <c r="FMV2494" s="59"/>
      <c r="FMW2494" s="59"/>
      <c r="FMX2494" s="60"/>
      <c r="FMY2494" s="60"/>
      <c r="FMZ2494" s="60"/>
      <c r="FNA2494" s="59"/>
      <c r="FNB2494" s="61"/>
      <c r="FNC2494" s="59"/>
      <c r="FND2494" s="59"/>
      <c r="FNE2494" s="59"/>
      <c r="FNF2494" s="60"/>
      <c r="FNG2494" s="60"/>
      <c r="FNH2494" s="60"/>
      <c r="FNI2494" s="59"/>
      <c r="FNJ2494" s="61"/>
      <c r="FNK2494" s="59"/>
      <c r="FNL2494" s="59"/>
      <c r="FNM2494" s="59"/>
      <c r="FNN2494" s="60"/>
      <c r="FNO2494" s="60"/>
      <c r="FNP2494" s="60"/>
      <c r="FNQ2494" s="59"/>
      <c r="FNR2494" s="61"/>
      <c r="FNS2494" s="59"/>
      <c r="FNT2494" s="59"/>
      <c r="FNU2494" s="59"/>
      <c r="FNV2494" s="60"/>
      <c r="FNW2494" s="60"/>
      <c r="FNX2494" s="60"/>
      <c r="FNY2494" s="59"/>
      <c r="FNZ2494" s="61"/>
      <c r="FOA2494" s="59"/>
      <c r="FOB2494" s="59"/>
      <c r="FOC2494" s="59"/>
      <c r="FOD2494" s="60"/>
      <c r="FOE2494" s="60"/>
      <c r="FOF2494" s="60"/>
      <c r="FOG2494" s="59"/>
      <c r="FOH2494" s="61"/>
      <c r="FOI2494" s="59"/>
      <c r="FOJ2494" s="59"/>
      <c r="FOK2494" s="59"/>
      <c r="FOL2494" s="60"/>
      <c r="FOM2494" s="60"/>
      <c r="FON2494" s="60"/>
      <c r="FOO2494" s="59"/>
      <c r="FOP2494" s="61"/>
      <c r="FOQ2494" s="59"/>
      <c r="FOR2494" s="59"/>
      <c r="FOS2494" s="59"/>
      <c r="FOT2494" s="60"/>
      <c r="FOU2494" s="60"/>
      <c r="FOV2494" s="60"/>
      <c r="FOW2494" s="59"/>
      <c r="FOX2494" s="61"/>
      <c r="FOY2494" s="59"/>
      <c r="FOZ2494" s="59"/>
      <c r="FPA2494" s="59"/>
      <c r="FPB2494" s="60"/>
      <c r="FPC2494" s="60"/>
      <c r="FPD2494" s="60"/>
      <c r="FPE2494" s="59"/>
      <c r="FPF2494" s="61"/>
      <c r="FPG2494" s="59"/>
      <c r="FPH2494" s="59"/>
      <c r="FPI2494" s="59"/>
      <c r="FPJ2494" s="60"/>
      <c r="FPK2494" s="60"/>
      <c r="FPL2494" s="60"/>
      <c r="FPM2494" s="59"/>
      <c r="FPN2494" s="61"/>
      <c r="FPO2494" s="59"/>
      <c r="FPP2494" s="59"/>
      <c r="FPQ2494" s="59"/>
      <c r="FPR2494" s="60"/>
      <c r="FPS2494" s="60"/>
      <c r="FPT2494" s="60"/>
      <c r="FPU2494" s="59"/>
      <c r="FPV2494" s="61"/>
      <c r="FPW2494" s="59"/>
      <c r="FPX2494" s="59"/>
      <c r="FPY2494" s="59"/>
      <c r="FPZ2494" s="60"/>
      <c r="FQA2494" s="60"/>
      <c r="FQB2494" s="60"/>
      <c r="FQC2494" s="59"/>
      <c r="FQD2494" s="61"/>
      <c r="FQE2494" s="59"/>
      <c r="FQF2494" s="59"/>
      <c r="FQG2494" s="59"/>
      <c r="FQH2494" s="60"/>
      <c r="FQI2494" s="60"/>
      <c r="FQJ2494" s="60"/>
      <c r="FQK2494" s="59"/>
      <c r="FQL2494" s="61"/>
      <c r="FQM2494" s="59"/>
      <c r="FQN2494" s="59"/>
      <c r="FQO2494" s="59"/>
      <c r="FQP2494" s="60"/>
      <c r="FQQ2494" s="60"/>
      <c r="FQR2494" s="60"/>
      <c r="FQS2494" s="59"/>
      <c r="FQT2494" s="61"/>
      <c r="FQU2494" s="59"/>
      <c r="FQV2494" s="59"/>
      <c r="FQW2494" s="59"/>
      <c r="FQX2494" s="60"/>
      <c r="FQY2494" s="60"/>
      <c r="FQZ2494" s="60"/>
      <c r="FRA2494" s="59"/>
      <c r="FRB2494" s="61"/>
      <c r="FRC2494" s="59"/>
      <c r="FRD2494" s="59"/>
      <c r="FRE2494" s="59"/>
      <c r="FRF2494" s="60"/>
      <c r="FRG2494" s="60"/>
      <c r="FRH2494" s="60"/>
      <c r="FRI2494" s="59"/>
      <c r="FRJ2494" s="61"/>
      <c r="FRK2494" s="59"/>
      <c r="FRL2494" s="59"/>
      <c r="FRM2494" s="59"/>
      <c r="FRN2494" s="60"/>
      <c r="FRO2494" s="60"/>
      <c r="FRP2494" s="60"/>
      <c r="FRQ2494" s="59"/>
      <c r="FRR2494" s="61"/>
      <c r="FRS2494" s="59"/>
      <c r="FRT2494" s="59"/>
      <c r="FRU2494" s="59"/>
      <c r="FRV2494" s="60"/>
      <c r="FRW2494" s="60"/>
      <c r="FRX2494" s="60"/>
      <c r="FRY2494" s="59"/>
      <c r="FRZ2494" s="61"/>
      <c r="FSA2494" s="59"/>
      <c r="FSB2494" s="59"/>
      <c r="FSC2494" s="59"/>
      <c r="FSD2494" s="60"/>
      <c r="FSE2494" s="60"/>
      <c r="FSF2494" s="60"/>
      <c r="FSG2494" s="59"/>
      <c r="FSH2494" s="61"/>
      <c r="FSI2494" s="59"/>
      <c r="FSJ2494" s="59"/>
      <c r="FSK2494" s="59"/>
      <c r="FSL2494" s="60"/>
      <c r="FSM2494" s="60"/>
      <c r="FSN2494" s="60"/>
      <c r="FSO2494" s="59"/>
      <c r="FSP2494" s="61"/>
      <c r="FSQ2494" s="59"/>
      <c r="FSR2494" s="59"/>
      <c r="FSS2494" s="59"/>
      <c r="FST2494" s="60"/>
      <c r="FSU2494" s="60"/>
      <c r="FSV2494" s="60"/>
      <c r="FSW2494" s="59"/>
      <c r="FSX2494" s="61"/>
      <c r="FSY2494" s="59"/>
      <c r="FSZ2494" s="59"/>
      <c r="FTA2494" s="59"/>
      <c r="FTB2494" s="60"/>
      <c r="FTC2494" s="60"/>
      <c r="FTD2494" s="60"/>
      <c r="FTE2494" s="59"/>
      <c r="FTF2494" s="61"/>
      <c r="FTG2494" s="59"/>
      <c r="FTH2494" s="59"/>
      <c r="FTI2494" s="59"/>
      <c r="FTJ2494" s="60"/>
      <c r="FTK2494" s="60"/>
      <c r="FTL2494" s="60"/>
      <c r="FTM2494" s="59"/>
      <c r="FTN2494" s="61"/>
      <c r="FTO2494" s="59"/>
      <c r="FTP2494" s="59"/>
      <c r="FTQ2494" s="59"/>
      <c r="FTR2494" s="60"/>
      <c r="FTS2494" s="60"/>
      <c r="FTT2494" s="60"/>
      <c r="FTU2494" s="59"/>
      <c r="FTV2494" s="61"/>
      <c r="FTW2494" s="59"/>
      <c r="FTX2494" s="59"/>
      <c r="FTY2494" s="59"/>
      <c r="FTZ2494" s="60"/>
      <c r="FUA2494" s="60"/>
      <c r="FUB2494" s="60"/>
      <c r="FUC2494" s="59"/>
      <c r="FUD2494" s="61"/>
      <c r="FUE2494" s="59"/>
      <c r="FUF2494" s="59"/>
      <c r="FUG2494" s="59"/>
      <c r="FUH2494" s="60"/>
      <c r="FUI2494" s="60"/>
      <c r="FUJ2494" s="60"/>
      <c r="FUK2494" s="59"/>
      <c r="FUL2494" s="61"/>
      <c r="FUM2494" s="59"/>
      <c r="FUN2494" s="59"/>
      <c r="FUO2494" s="59"/>
      <c r="FUP2494" s="60"/>
      <c r="FUQ2494" s="60"/>
      <c r="FUR2494" s="60"/>
      <c r="FUS2494" s="59"/>
      <c r="FUT2494" s="61"/>
      <c r="FUU2494" s="59"/>
      <c r="FUV2494" s="59"/>
      <c r="FUW2494" s="59"/>
      <c r="FUX2494" s="60"/>
      <c r="FUY2494" s="60"/>
      <c r="FUZ2494" s="60"/>
      <c r="FVA2494" s="59"/>
      <c r="FVB2494" s="61"/>
      <c r="FVC2494" s="59"/>
      <c r="FVD2494" s="59"/>
      <c r="FVE2494" s="59"/>
      <c r="FVF2494" s="60"/>
      <c r="FVG2494" s="60"/>
      <c r="FVH2494" s="60"/>
      <c r="FVI2494" s="59"/>
      <c r="FVJ2494" s="61"/>
      <c r="FVK2494" s="59"/>
      <c r="FVL2494" s="59"/>
      <c r="FVM2494" s="59"/>
      <c r="FVN2494" s="60"/>
      <c r="FVO2494" s="60"/>
      <c r="FVP2494" s="60"/>
      <c r="FVQ2494" s="59"/>
      <c r="FVR2494" s="61"/>
      <c r="FVS2494" s="59"/>
      <c r="FVT2494" s="59"/>
      <c r="FVU2494" s="59"/>
      <c r="FVV2494" s="60"/>
      <c r="FVW2494" s="60"/>
      <c r="FVX2494" s="60"/>
      <c r="FVY2494" s="59"/>
      <c r="FVZ2494" s="61"/>
      <c r="FWA2494" s="59"/>
      <c r="FWB2494" s="59"/>
      <c r="FWC2494" s="59"/>
      <c r="FWD2494" s="60"/>
      <c r="FWE2494" s="60"/>
      <c r="FWF2494" s="60"/>
      <c r="FWG2494" s="59"/>
      <c r="FWH2494" s="61"/>
      <c r="FWI2494" s="59"/>
      <c r="FWJ2494" s="59"/>
      <c r="FWK2494" s="59"/>
      <c r="FWL2494" s="60"/>
      <c r="FWM2494" s="60"/>
      <c r="FWN2494" s="60"/>
      <c r="FWO2494" s="59"/>
      <c r="FWP2494" s="61"/>
      <c r="FWQ2494" s="59"/>
      <c r="FWR2494" s="59"/>
      <c r="FWS2494" s="59"/>
      <c r="FWT2494" s="60"/>
      <c r="FWU2494" s="60"/>
      <c r="FWV2494" s="60"/>
      <c r="FWW2494" s="59"/>
      <c r="FWX2494" s="61"/>
      <c r="FWY2494" s="59"/>
      <c r="FWZ2494" s="59"/>
      <c r="FXA2494" s="59"/>
      <c r="FXB2494" s="60"/>
      <c r="FXC2494" s="60"/>
      <c r="FXD2494" s="60"/>
      <c r="FXE2494" s="59"/>
      <c r="FXF2494" s="61"/>
      <c r="FXG2494" s="59"/>
      <c r="FXH2494" s="59"/>
      <c r="FXI2494" s="59"/>
      <c r="FXJ2494" s="60"/>
      <c r="FXK2494" s="60"/>
      <c r="FXL2494" s="60"/>
      <c r="FXM2494" s="59"/>
      <c r="FXN2494" s="61"/>
      <c r="FXO2494" s="59"/>
      <c r="FXP2494" s="59"/>
      <c r="FXQ2494" s="59"/>
      <c r="FXR2494" s="60"/>
      <c r="FXS2494" s="60"/>
      <c r="FXT2494" s="60"/>
      <c r="FXU2494" s="59"/>
      <c r="FXV2494" s="61"/>
      <c r="FXW2494" s="59"/>
      <c r="FXX2494" s="59"/>
      <c r="FXY2494" s="59"/>
      <c r="FXZ2494" s="60"/>
      <c r="FYA2494" s="60"/>
      <c r="FYB2494" s="60"/>
      <c r="FYC2494" s="59"/>
      <c r="FYD2494" s="61"/>
      <c r="FYE2494" s="59"/>
      <c r="FYF2494" s="59"/>
      <c r="FYG2494" s="59"/>
      <c r="FYH2494" s="60"/>
      <c r="FYI2494" s="60"/>
      <c r="FYJ2494" s="60"/>
      <c r="FYK2494" s="59"/>
      <c r="FYL2494" s="61"/>
      <c r="FYM2494" s="59"/>
      <c r="FYN2494" s="59"/>
      <c r="FYO2494" s="59"/>
      <c r="FYP2494" s="60"/>
      <c r="FYQ2494" s="60"/>
      <c r="FYR2494" s="60"/>
      <c r="FYS2494" s="59"/>
      <c r="FYT2494" s="61"/>
      <c r="FYU2494" s="59"/>
      <c r="FYV2494" s="59"/>
      <c r="FYW2494" s="59"/>
      <c r="FYX2494" s="60"/>
      <c r="FYY2494" s="60"/>
      <c r="FYZ2494" s="60"/>
      <c r="FZA2494" s="59"/>
      <c r="FZB2494" s="61"/>
      <c r="FZC2494" s="59"/>
      <c r="FZD2494" s="59"/>
      <c r="FZE2494" s="59"/>
      <c r="FZF2494" s="60"/>
      <c r="FZG2494" s="60"/>
      <c r="FZH2494" s="60"/>
      <c r="FZI2494" s="59"/>
      <c r="FZJ2494" s="61"/>
      <c r="FZK2494" s="59"/>
      <c r="FZL2494" s="59"/>
      <c r="FZM2494" s="59"/>
      <c r="FZN2494" s="60"/>
      <c r="FZO2494" s="60"/>
      <c r="FZP2494" s="60"/>
      <c r="FZQ2494" s="59"/>
      <c r="FZR2494" s="61"/>
      <c r="FZS2494" s="59"/>
      <c r="FZT2494" s="59"/>
      <c r="FZU2494" s="59"/>
      <c r="FZV2494" s="60"/>
      <c r="FZW2494" s="60"/>
      <c r="FZX2494" s="60"/>
      <c r="FZY2494" s="59"/>
      <c r="FZZ2494" s="61"/>
      <c r="GAA2494" s="59"/>
      <c r="GAB2494" s="59"/>
      <c r="GAC2494" s="59"/>
      <c r="GAD2494" s="60"/>
      <c r="GAE2494" s="60"/>
      <c r="GAF2494" s="60"/>
      <c r="GAG2494" s="59"/>
      <c r="GAH2494" s="61"/>
      <c r="GAI2494" s="59"/>
      <c r="GAJ2494" s="59"/>
      <c r="GAK2494" s="59"/>
      <c r="GAL2494" s="60"/>
      <c r="GAM2494" s="60"/>
      <c r="GAN2494" s="60"/>
      <c r="GAO2494" s="59"/>
      <c r="GAP2494" s="61"/>
      <c r="GAQ2494" s="59"/>
      <c r="GAR2494" s="59"/>
      <c r="GAS2494" s="59"/>
      <c r="GAT2494" s="60"/>
      <c r="GAU2494" s="60"/>
      <c r="GAV2494" s="60"/>
      <c r="GAW2494" s="59"/>
      <c r="GAX2494" s="61"/>
      <c r="GAY2494" s="59"/>
      <c r="GAZ2494" s="59"/>
      <c r="GBA2494" s="59"/>
      <c r="GBB2494" s="60"/>
      <c r="GBC2494" s="60"/>
      <c r="GBD2494" s="60"/>
      <c r="GBE2494" s="59"/>
      <c r="GBF2494" s="61"/>
      <c r="GBG2494" s="59"/>
      <c r="GBH2494" s="59"/>
      <c r="GBI2494" s="59"/>
      <c r="GBJ2494" s="60"/>
      <c r="GBK2494" s="60"/>
      <c r="GBL2494" s="60"/>
      <c r="GBM2494" s="59"/>
      <c r="GBN2494" s="61"/>
      <c r="GBO2494" s="59"/>
      <c r="GBP2494" s="59"/>
      <c r="GBQ2494" s="59"/>
      <c r="GBR2494" s="60"/>
      <c r="GBS2494" s="60"/>
      <c r="GBT2494" s="60"/>
      <c r="GBU2494" s="59"/>
      <c r="GBV2494" s="61"/>
      <c r="GBW2494" s="59"/>
      <c r="GBX2494" s="59"/>
      <c r="GBY2494" s="59"/>
      <c r="GBZ2494" s="60"/>
      <c r="GCA2494" s="60"/>
      <c r="GCB2494" s="60"/>
      <c r="GCC2494" s="59"/>
      <c r="GCD2494" s="61"/>
      <c r="GCE2494" s="59"/>
      <c r="GCF2494" s="59"/>
      <c r="GCG2494" s="59"/>
      <c r="GCH2494" s="60"/>
      <c r="GCI2494" s="60"/>
      <c r="GCJ2494" s="60"/>
      <c r="GCK2494" s="59"/>
      <c r="GCL2494" s="61"/>
      <c r="GCM2494" s="59"/>
      <c r="GCN2494" s="59"/>
      <c r="GCO2494" s="59"/>
      <c r="GCP2494" s="60"/>
      <c r="GCQ2494" s="60"/>
      <c r="GCR2494" s="60"/>
      <c r="GCS2494" s="59"/>
      <c r="GCT2494" s="61"/>
      <c r="GCU2494" s="59"/>
      <c r="GCV2494" s="59"/>
      <c r="GCW2494" s="59"/>
      <c r="GCX2494" s="60"/>
      <c r="GCY2494" s="60"/>
      <c r="GCZ2494" s="60"/>
      <c r="GDA2494" s="59"/>
      <c r="GDB2494" s="61"/>
      <c r="GDC2494" s="59"/>
      <c r="GDD2494" s="59"/>
      <c r="GDE2494" s="59"/>
      <c r="GDF2494" s="60"/>
      <c r="GDG2494" s="60"/>
      <c r="GDH2494" s="60"/>
      <c r="GDI2494" s="59"/>
      <c r="GDJ2494" s="61"/>
      <c r="GDK2494" s="59"/>
      <c r="GDL2494" s="59"/>
      <c r="GDM2494" s="59"/>
      <c r="GDN2494" s="60"/>
      <c r="GDO2494" s="60"/>
      <c r="GDP2494" s="60"/>
      <c r="GDQ2494" s="59"/>
      <c r="GDR2494" s="61"/>
      <c r="GDS2494" s="59"/>
      <c r="GDT2494" s="59"/>
      <c r="GDU2494" s="59"/>
      <c r="GDV2494" s="60"/>
      <c r="GDW2494" s="60"/>
      <c r="GDX2494" s="60"/>
      <c r="GDY2494" s="59"/>
      <c r="GDZ2494" s="61"/>
      <c r="GEA2494" s="59"/>
      <c r="GEB2494" s="59"/>
      <c r="GEC2494" s="59"/>
      <c r="GED2494" s="60"/>
      <c r="GEE2494" s="60"/>
      <c r="GEF2494" s="60"/>
      <c r="GEG2494" s="59"/>
      <c r="GEH2494" s="61"/>
      <c r="GEI2494" s="59"/>
      <c r="GEJ2494" s="59"/>
      <c r="GEK2494" s="59"/>
      <c r="GEL2494" s="60"/>
      <c r="GEM2494" s="60"/>
      <c r="GEN2494" s="60"/>
      <c r="GEO2494" s="59"/>
      <c r="GEP2494" s="61"/>
      <c r="GEQ2494" s="59"/>
      <c r="GER2494" s="59"/>
      <c r="GES2494" s="59"/>
      <c r="GET2494" s="60"/>
      <c r="GEU2494" s="60"/>
      <c r="GEV2494" s="60"/>
      <c r="GEW2494" s="59"/>
      <c r="GEX2494" s="61"/>
      <c r="GEY2494" s="59"/>
      <c r="GEZ2494" s="59"/>
      <c r="GFA2494" s="59"/>
      <c r="GFB2494" s="60"/>
      <c r="GFC2494" s="60"/>
      <c r="GFD2494" s="60"/>
      <c r="GFE2494" s="59"/>
      <c r="GFF2494" s="61"/>
      <c r="GFG2494" s="59"/>
      <c r="GFH2494" s="59"/>
      <c r="GFI2494" s="59"/>
      <c r="GFJ2494" s="60"/>
      <c r="GFK2494" s="60"/>
      <c r="GFL2494" s="60"/>
      <c r="GFM2494" s="59"/>
      <c r="GFN2494" s="61"/>
      <c r="GFO2494" s="59"/>
      <c r="GFP2494" s="59"/>
      <c r="GFQ2494" s="59"/>
      <c r="GFR2494" s="60"/>
      <c r="GFS2494" s="60"/>
      <c r="GFT2494" s="60"/>
      <c r="GFU2494" s="59"/>
      <c r="GFV2494" s="61"/>
      <c r="GFW2494" s="59"/>
      <c r="GFX2494" s="59"/>
      <c r="GFY2494" s="59"/>
      <c r="GFZ2494" s="60"/>
      <c r="GGA2494" s="60"/>
      <c r="GGB2494" s="60"/>
      <c r="GGC2494" s="59"/>
      <c r="GGD2494" s="61"/>
      <c r="GGE2494" s="59"/>
      <c r="GGF2494" s="59"/>
      <c r="GGG2494" s="59"/>
      <c r="GGH2494" s="60"/>
      <c r="GGI2494" s="60"/>
      <c r="GGJ2494" s="60"/>
      <c r="GGK2494" s="59"/>
      <c r="GGL2494" s="61"/>
      <c r="GGM2494" s="59"/>
      <c r="GGN2494" s="59"/>
      <c r="GGO2494" s="59"/>
      <c r="GGP2494" s="60"/>
      <c r="GGQ2494" s="60"/>
      <c r="GGR2494" s="60"/>
      <c r="GGS2494" s="59"/>
      <c r="GGT2494" s="61"/>
      <c r="GGU2494" s="59"/>
      <c r="GGV2494" s="59"/>
      <c r="GGW2494" s="59"/>
      <c r="GGX2494" s="60"/>
      <c r="GGY2494" s="60"/>
      <c r="GGZ2494" s="60"/>
      <c r="GHA2494" s="59"/>
      <c r="GHB2494" s="61"/>
      <c r="GHC2494" s="59"/>
      <c r="GHD2494" s="59"/>
      <c r="GHE2494" s="59"/>
      <c r="GHF2494" s="60"/>
      <c r="GHG2494" s="60"/>
      <c r="GHH2494" s="60"/>
      <c r="GHI2494" s="59"/>
      <c r="GHJ2494" s="61"/>
      <c r="GHK2494" s="59"/>
      <c r="GHL2494" s="59"/>
      <c r="GHM2494" s="59"/>
      <c r="GHN2494" s="60"/>
      <c r="GHO2494" s="60"/>
      <c r="GHP2494" s="60"/>
      <c r="GHQ2494" s="59"/>
      <c r="GHR2494" s="61"/>
      <c r="GHS2494" s="59"/>
      <c r="GHT2494" s="59"/>
      <c r="GHU2494" s="59"/>
      <c r="GHV2494" s="60"/>
      <c r="GHW2494" s="60"/>
      <c r="GHX2494" s="60"/>
      <c r="GHY2494" s="59"/>
      <c r="GHZ2494" s="61"/>
      <c r="GIA2494" s="59"/>
      <c r="GIB2494" s="59"/>
      <c r="GIC2494" s="59"/>
      <c r="GID2494" s="60"/>
      <c r="GIE2494" s="60"/>
      <c r="GIF2494" s="60"/>
      <c r="GIG2494" s="59"/>
      <c r="GIH2494" s="61"/>
      <c r="GII2494" s="59"/>
      <c r="GIJ2494" s="59"/>
      <c r="GIK2494" s="59"/>
      <c r="GIL2494" s="60"/>
      <c r="GIM2494" s="60"/>
      <c r="GIN2494" s="60"/>
      <c r="GIO2494" s="59"/>
      <c r="GIP2494" s="61"/>
      <c r="GIQ2494" s="59"/>
      <c r="GIR2494" s="59"/>
      <c r="GIS2494" s="59"/>
      <c r="GIT2494" s="60"/>
      <c r="GIU2494" s="60"/>
      <c r="GIV2494" s="60"/>
      <c r="GIW2494" s="59"/>
      <c r="GIX2494" s="61"/>
      <c r="GIY2494" s="59"/>
      <c r="GIZ2494" s="59"/>
      <c r="GJA2494" s="59"/>
      <c r="GJB2494" s="60"/>
      <c r="GJC2494" s="60"/>
      <c r="GJD2494" s="60"/>
      <c r="GJE2494" s="59"/>
      <c r="GJF2494" s="61"/>
      <c r="GJG2494" s="59"/>
      <c r="GJH2494" s="59"/>
      <c r="GJI2494" s="59"/>
      <c r="GJJ2494" s="60"/>
      <c r="GJK2494" s="60"/>
      <c r="GJL2494" s="60"/>
      <c r="GJM2494" s="59"/>
      <c r="GJN2494" s="61"/>
      <c r="GJO2494" s="59"/>
      <c r="GJP2494" s="59"/>
      <c r="GJQ2494" s="59"/>
      <c r="GJR2494" s="60"/>
      <c r="GJS2494" s="60"/>
      <c r="GJT2494" s="60"/>
      <c r="GJU2494" s="59"/>
      <c r="GJV2494" s="61"/>
      <c r="GJW2494" s="59"/>
      <c r="GJX2494" s="59"/>
      <c r="GJY2494" s="59"/>
      <c r="GJZ2494" s="60"/>
      <c r="GKA2494" s="60"/>
      <c r="GKB2494" s="60"/>
      <c r="GKC2494" s="59"/>
      <c r="GKD2494" s="61"/>
      <c r="GKE2494" s="59"/>
      <c r="GKF2494" s="59"/>
      <c r="GKG2494" s="59"/>
      <c r="GKH2494" s="60"/>
      <c r="GKI2494" s="60"/>
      <c r="GKJ2494" s="60"/>
      <c r="GKK2494" s="59"/>
      <c r="GKL2494" s="61"/>
      <c r="GKM2494" s="59"/>
      <c r="GKN2494" s="59"/>
      <c r="GKO2494" s="59"/>
      <c r="GKP2494" s="60"/>
      <c r="GKQ2494" s="60"/>
      <c r="GKR2494" s="60"/>
      <c r="GKS2494" s="59"/>
      <c r="GKT2494" s="61"/>
      <c r="GKU2494" s="59"/>
      <c r="GKV2494" s="59"/>
      <c r="GKW2494" s="59"/>
      <c r="GKX2494" s="60"/>
      <c r="GKY2494" s="60"/>
      <c r="GKZ2494" s="60"/>
      <c r="GLA2494" s="59"/>
      <c r="GLB2494" s="61"/>
      <c r="GLC2494" s="59"/>
      <c r="GLD2494" s="59"/>
      <c r="GLE2494" s="59"/>
      <c r="GLF2494" s="60"/>
      <c r="GLG2494" s="60"/>
      <c r="GLH2494" s="60"/>
      <c r="GLI2494" s="59"/>
      <c r="GLJ2494" s="61"/>
      <c r="GLK2494" s="59"/>
      <c r="GLL2494" s="59"/>
      <c r="GLM2494" s="59"/>
      <c r="GLN2494" s="60"/>
      <c r="GLO2494" s="60"/>
      <c r="GLP2494" s="60"/>
      <c r="GLQ2494" s="59"/>
      <c r="GLR2494" s="61"/>
      <c r="GLS2494" s="59"/>
      <c r="GLT2494" s="59"/>
      <c r="GLU2494" s="59"/>
      <c r="GLV2494" s="60"/>
      <c r="GLW2494" s="60"/>
      <c r="GLX2494" s="60"/>
      <c r="GLY2494" s="59"/>
      <c r="GLZ2494" s="61"/>
      <c r="GMA2494" s="59"/>
      <c r="GMB2494" s="59"/>
      <c r="GMC2494" s="59"/>
      <c r="GMD2494" s="60"/>
      <c r="GME2494" s="60"/>
      <c r="GMF2494" s="60"/>
      <c r="GMG2494" s="59"/>
      <c r="GMH2494" s="61"/>
      <c r="GMI2494" s="59"/>
      <c r="GMJ2494" s="59"/>
      <c r="GMK2494" s="59"/>
      <c r="GML2494" s="60"/>
      <c r="GMM2494" s="60"/>
      <c r="GMN2494" s="60"/>
      <c r="GMO2494" s="59"/>
      <c r="GMP2494" s="61"/>
      <c r="GMQ2494" s="59"/>
      <c r="GMR2494" s="59"/>
      <c r="GMS2494" s="59"/>
      <c r="GMT2494" s="60"/>
      <c r="GMU2494" s="60"/>
      <c r="GMV2494" s="60"/>
      <c r="GMW2494" s="59"/>
      <c r="GMX2494" s="61"/>
      <c r="GMY2494" s="59"/>
      <c r="GMZ2494" s="59"/>
      <c r="GNA2494" s="59"/>
      <c r="GNB2494" s="60"/>
      <c r="GNC2494" s="60"/>
      <c r="GND2494" s="60"/>
      <c r="GNE2494" s="59"/>
      <c r="GNF2494" s="61"/>
      <c r="GNG2494" s="59"/>
      <c r="GNH2494" s="59"/>
      <c r="GNI2494" s="59"/>
      <c r="GNJ2494" s="60"/>
      <c r="GNK2494" s="60"/>
      <c r="GNL2494" s="60"/>
      <c r="GNM2494" s="59"/>
      <c r="GNN2494" s="61"/>
      <c r="GNO2494" s="59"/>
      <c r="GNP2494" s="59"/>
      <c r="GNQ2494" s="59"/>
      <c r="GNR2494" s="60"/>
      <c r="GNS2494" s="60"/>
      <c r="GNT2494" s="60"/>
      <c r="GNU2494" s="59"/>
      <c r="GNV2494" s="61"/>
      <c r="GNW2494" s="59"/>
      <c r="GNX2494" s="59"/>
      <c r="GNY2494" s="59"/>
      <c r="GNZ2494" s="60"/>
      <c r="GOA2494" s="60"/>
      <c r="GOB2494" s="60"/>
      <c r="GOC2494" s="59"/>
      <c r="GOD2494" s="61"/>
      <c r="GOE2494" s="59"/>
      <c r="GOF2494" s="59"/>
      <c r="GOG2494" s="59"/>
      <c r="GOH2494" s="60"/>
      <c r="GOI2494" s="60"/>
      <c r="GOJ2494" s="60"/>
      <c r="GOK2494" s="59"/>
      <c r="GOL2494" s="61"/>
      <c r="GOM2494" s="59"/>
      <c r="GON2494" s="59"/>
      <c r="GOO2494" s="59"/>
      <c r="GOP2494" s="60"/>
      <c r="GOQ2494" s="60"/>
      <c r="GOR2494" s="60"/>
      <c r="GOS2494" s="59"/>
      <c r="GOT2494" s="61"/>
      <c r="GOU2494" s="59"/>
      <c r="GOV2494" s="59"/>
      <c r="GOW2494" s="59"/>
      <c r="GOX2494" s="60"/>
      <c r="GOY2494" s="60"/>
      <c r="GOZ2494" s="60"/>
      <c r="GPA2494" s="59"/>
      <c r="GPB2494" s="61"/>
      <c r="GPC2494" s="59"/>
      <c r="GPD2494" s="59"/>
      <c r="GPE2494" s="59"/>
      <c r="GPF2494" s="60"/>
      <c r="GPG2494" s="60"/>
      <c r="GPH2494" s="60"/>
      <c r="GPI2494" s="59"/>
      <c r="GPJ2494" s="61"/>
      <c r="GPK2494" s="59"/>
      <c r="GPL2494" s="59"/>
      <c r="GPM2494" s="59"/>
      <c r="GPN2494" s="60"/>
      <c r="GPO2494" s="60"/>
      <c r="GPP2494" s="60"/>
      <c r="GPQ2494" s="59"/>
      <c r="GPR2494" s="61"/>
      <c r="GPS2494" s="59"/>
      <c r="GPT2494" s="59"/>
      <c r="GPU2494" s="59"/>
      <c r="GPV2494" s="60"/>
      <c r="GPW2494" s="60"/>
      <c r="GPX2494" s="60"/>
      <c r="GPY2494" s="59"/>
      <c r="GPZ2494" s="61"/>
      <c r="GQA2494" s="59"/>
      <c r="GQB2494" s="59"/>
      <c r="GQC2494" s="59"/>
      <c r="GQD2494" s="60"/>
      <c r="GQE2494" s="60"/>
      <c r="GQF2494" s="60"/>
      <c r="GQG2494" s="59"/>
      <c r="GQH2494" s="61"/>
      <c r="GQI2494" s="59"/>
      <c r="GQJ2494" s="59"/>
      <c r="GQK2494" s="59"/>
      <c r="GQL2494" s="60"/>
      <c r="GQM2494" s="60"/>
      <c r="GQN2494" s="60"/>
      <c r="GQO2494" s="59"/>
      <c r="GQP2494" s="61"/>
      <c r="GQQ2494" s="59"/>
      <c r="GQR2494" s="59"/>
      <c r="GQS2494" s="59"/>
      <c r="GQT2494" s="60"/>
      <c r="GQU2494" s="60"/>
      <c r="GQV2494" s="60"/>
      <c r="GQW2494" s="59"/>
      <c r="GQX2494" s="61"/>
      <c r="GQY2494" s="59"/>
      <c r="GQZ2494" s="59"/>
      <c r="GRA2494" s="59"/>
      <c r="GRB2494" s="60"/>
      <c r="GRC2494" s="60"/>
      <c r="GRD2494" s="60"/>
      <c r="GRE2494" s="59"/>
      <c r="GRF2494" s="61"/>
      <c r="GRG2494" s="59"/>
      <c r="GRH2494" s="59"/>
      <c r="GRI2494" s="59"/>
      <c r="GRJ2494" s="60"/>
      <c r="GRK2494" s="60"/>
      <c r="GRL2494" s="60"/>
      <c r="GRM2494" s="59"/>
      <c r="GRN2494" s="61"/>
      <c r="GRO2494" s="59"/>
      <c r="GRP2494" s="59"/>
      <c r="GRQ2494" s="59"/>
      <c r="GRR2494" s="60"/>
      <c r="GRS2494" s="60"/>
      <c r="GRT2494" s="60"/>
      <c r="GRU2494" s="59"/>
      <c r="GRV2494" s="61"/>
      <c r="GRW2494" s="59"/>
      <c r="GRX2494" s="59"/>
      <c r="GRY2494" s="59"/>
      <c r="GRZ2494" s="60"/>
      <c r="GSA2494" s="60"/>
      <c r="GSB2494" s="60"/>
      <c r="GSC2494" s="59"/>
      <c r="GSD2494" s="61"/>
      <c r="GSE2494" s="59"/>
      <c r="GSF2494" s="59"/>
      <c r="GSG2494" s="59"/>
      <c r="GSH2494" s="60"/>
      <c r="GSI2494" s="60"/>
      <c r="GSJ2494" s="60"/>
      <c r="GSK2494" s="59"/>
      <c r="GSL2494" s="61"/>
      <c r="GSM2494" s="59"/>
      <c r="GSN2494" s="59"/>
      <c r="GSO2494" s="59"/>
      <c r="GSP2494" s="60"/>
      <c r="GSQ2494" s="60"/>
      <c r="GSR2494" s="60"/>
      <c r="GSS2494" s="59"/>
      <c r="GST2494" s="61"/>
      <c r="GSU2494" s="59"/>
      <c r="GSV2494" s="59"/>
      <c r="GSW2494" s="59"/>
      <c r="GSX2494" s="60"/>
      <c r="GSY2494" s="60"/>
      <c r="GSZ2494" s="60"/>
      <c r="GTA2494" s="59"/>
      <c r="GTB2494" s="61"/>
      <c r="GTC2494" s="59"/>
      <c r="GTD2494" s="59"/>
      <c r="GTE2494" s="59"/>
      <c r="GTF2494" s="60"/>
      <c r="GTG2494" s="60"/>
      <c r="GTH2494" s="60"/>
      <c r="GTI2494" s="59"/>
      <c r="GTJ2494" s="61"/>
      <c r="GTK2494" s="59"/>
      <c r="GTL2494" s="59"/>
      <c r="GTM2494" s="59"/>
      <c r="GTN2494" s="60"/>
      <c r="GTO2494" s="60"/>
      <c r="GTP2494" s="60"/>
      <c r="GTQ2494" s="59"/>
      <c r="GTR2494" s="61"/>
      <c r="GTS2494" s="59"/>
      <c r="GTT2494" s="59"/>
      <c r="GTU2494" s="59"/>
      <c r="GTV2494" s="60"/>
      <c r="GTW2494" s="60"/>
      <c r="GTX2494" s="60"/>
      <c r="GTY2494" s="59"/>
      <c r="GTZ2494" s="61"/>
      <c r="GUA2494" s="59"/>
      <c r="GUB2494" s="59"/>
      <c r="GUC2494" s="59"/>
      <c r="GUD2494" s="60"/>
      <c r="GUE2494" s="60"/>
      <c r="GUF2494" s="60"/>
      <c r="GUG2494" s="59"/>
      <c r="GUH2494" s="61"/>
      <c r="GUI2494" s="59"/>
      <c r="GUJ2494" s="59"/>
      <c r="GUK2494" s="59"/>
      <c r="GUL2494" s="60"/>
      <c r="GUM2494" s="60"/>
      <c r="GUN2494" s="60"/>
      <c r="GUO2494" s="59"/>
      <c r="GUP2494" s="61"/>
      <c r="GUQ2494" s="59"/>
      <c r="GUR2494" s="59"/>
      <c r="GUS2494" s="59"/>
      <c r="GUT2494" s="60"/>
      <c r="GUU2494" s="60"/>
      <c r="GUV2494" s="60"/>
      <c r="GUW2494" s="59"/>
      <c r="GUX2494" s="61"/>
      <c r="GUY2494" s="59"/>
      <c r="GUZ2494" s="59"/>
      <c r="GVA2494" s="59"/>
      <c r="GVB2494" s="60"/>
      <c r="GVC2494" s="60"/>
      <c r="GVD2494" s="60"/>
      <c r="GVE2494" s="59"/>
      <c r="GVF2494" s="61"/>
      <c r="GVG2494" s="59"/>
      <c r="GVH2494" s="59"/>
      <c r="GVI2494" s="59"/>
      <c r="GVJ2494" s="60"/>
      <c r="GVK2494" s="60"/>
      <c r="GVL2494" s="60"/>
      <c r="GVM2494" s="59"/>
      <c r="GVN2494" s="61"/>
      <c r="GVO2494" s="59"/>
      <c r="GVP2494" s="59"/>
      <c r="GVQ2494" s="59"/>
      <c r="GVR2494" s="60"/>
      <c r="GVS2494" s="60"/>
      <c r="GVT2494" s="60"/>
      <c r="GVU2494" s="59"/>
      <c r="GVV2494" s="61"/>
      <c r="GVW2494" s="59"/>
      <c r="GVX2494" s="59"/>
      <c r="GVY2494" s="59"/>
      <c r="GVZ2494" s="60"/>
      <c r="GWA2494" s="60"/>
      <c r="GWB2494" s="60"/>
      <c r="GWC2494" s="59"/>
      <c r="GWD2494" s="61"/>
      <c r="GWE2494" s="59"/>
      <c r="GWF2494" s="59"/>
      <c r="GWG2494" s="59"/>
      <c r="GWH2494" s="60"/>
      <c r="GWI2494" s="60"/>
      <c r="GWJ2494" s="60"/>
      <c r="GWK2494" s="59"/>
      <c r="GWL2494" s="61"/>
      <c r="GWM2494" s="59"/>
      <c r="GWN2494" s="59"/>
      <c r="GWO2494" s="59"/>
      <c r="GWP2494" s="60"/>
      <c r="GWQ2494" s="60"/>
      <c r="GWR2494" s="60"/>
      <c r="GWS2494" s="59"/>
      <c r="GWT2494" s="61"/>
      <c r="GWU2494" s="59"/>
      <c r="GWV2494" s="59"/>
      <c r="GWW2494" s="59"/>
      <c r="GWX2494" s="60"/>
      <c r="GWY2494" s="60"/>
      <c r="GWZ2494" s="60"/>
      <c r="GXA2494" s="59"/>
      <c r="GXB2494" s="61"/>
      <c r="GXC2494" s="59"/>
      <c r="GXD2494" s="59"/>
      <c r="GXE2494" s="59"/>
      <c r="GXF2494" s="60"/>
      <c r="GXG2494" s="60"/>
      <c r="GXH2494" s="60"/>
      <c r="GXI2494" s="59"/>
      <c r="GXJ2494" s="61"/>
      <c r="GXK2494" s="59"/>
      <c r="GXL2494" s="59"/>
      <c r="GXM2494" s="59"/>
      <c r="GXN2494" s="60"/>
      <c r="GXO2494" s="60"/>
      <c r="GXP2494" s="60"/>
      <c r="GXQ2494" s="59"/>
      <c r="GXR2494" s="61"/>
      <c r="GXS2494" s="59"/>
      <c r="GXT2494" s="59"/>
      <c r="GXU2494" s="59"/>
      <c r="GXV2494" s="60"/>
      <c r="GXW2494" s="60"/>
      <c r="GXX2494" s="60"/>
      <c r="GXY2494" s="59"/>
      <c r="GXZ2494" s="61"/>
      <c r="GYA2494" s="59"/>
      <c r="GYB2494" s="59"/>
      <c r="GYC2494" s="59"/>
      <c r="GYD2494" s="60"/>
      <c r="GYE2494" s="60"/>
      <c r="GYF2494" s="60"/>
      <c r="GYG2494" s="59"/>
      <c r="GYH2494" s="61"/>
      <c r="GYI2494" s="59"/>
      <c r="GYJ2494" s="59"/>
      <c r="GYK2494" s="59"/>
      <c r="GYL2494" s="60"/>
      <c r="GYM2494" s="60"/>
      <c r="GYN2494" s="60"/>
      <c r="GYO2494" s="59"/>
      <c r="GYP2494" s="61"/>
      <c r="GYQ2494" s="59"/>
      <c r="GYR2494" s="59"/>
      <c r="GYS2494" s="59"/>
      <c r="GYT2494" s="60"/>
      <c r="GYU2494" s="60"/>
      <c r="GYV2494" s="60"/>
      <c r="GYW2494" s="59"/>
      <c r="GYX2494" s="61"/>
      <c r="GYY2494" s="59"/>
      <c r="GYZ2494" s="59"/>
      <c r="GZA2494" s="59"/>
      <c r="GZB2494" s="60"/>
      <c r="GZC2494" s="60"/>
      <c r="GZD2494" s="60"/>
      <c r="GZE2494" s="59"/>
      <c r="GZF2494" s="61"/>
      <c r="GZG2494" s="59"/>
      <c r="GZH2494" s="59"/>
      <c r="GZI2494" s="59"/>
      <c r="GZJ2494" s="60"/>
      <c r="GZK2494" s="60"/>
      <c r="GZL2494" s="60"/>
      <c r="GZM2494" s="59"/>
      <c r="GZN2494" s="61"/>
      <c r="GZO2494" s="59"/>
      <c r="GZP2494" s="59"/>
      <c r="GZQ2494" s="59"/>
      <c r="GZR2494" s="60"/>
      <c r="GZS2494" s="60"/>
      <c r="GZT2494" s="60"/>
      <c r="GZU2494" s="59"/>
      <c r="GZV2494" s="61"/>
      <c r="GZW2494" s="59"/>
      <c r="GZX2494" s="59"/>
      <c r="GZY2494" s="59"/>
      <c r="GZZ2494" s="60"/>
      <c r="HAA2494" s="60"/>
      <c r="HAB2494" s="60"/>
      <c r="HAC2494" s="59"/>
      <c r="HAD2494" s="61"/>
      <c r="HAE2494" s="59"/>
      <c r="HAF2494" s="59"/>
      <c r="HAG2494" s="59"/>
      <c r="HAH2494" s="60"/>
      <c r="HAI2494" s="60"/>
      <c r="HAJ2494" s="60"/>
      <c r="HAK2494" s="59"/>
      <c r="HAL2494" s="61"/>
      <c r="HAM2494" s="59"/>
      <c r="HAN2494" s="59"/>
      <c r="HAO2494" s="59"/>
      <c r="HAP2494" s="60"/>
      <c r="HAQ2494" s="60"/>
      <c r="HAR2494" s="60"/>
      <c r="HAS2494" s="59"/>
      <c r="HAT2494" s="61"/>
      <c r="HAU2494" s="59"/>
      <c r="HAV2494" s="59"/>
      <c r="HAW2494" s="59"/>
      <c r="HAX2494" s="60"/>
      <c r="HAY2494" s="60"/>
      <c r="HAZ2494" s="60"/>
      <c r="HBA2494" s="59"/>
      <c r="HBB2494" s="61"/>
      <c r="HBC2494" s="59"/>
      <c r="HBD2494" s="59"/>
      <c r="HBE2494" s="59"/>
      <c r="HBF2494" s="60"/>
      <c r="HBG2494" s="60"/>
      <c r="HBH2494" s="60"/>
      <c r="HBI2494" s="59"/>
      <c r="HBJ2494" s="61"/>
      <c r="HBK2494" s="59"/>
      <c r="HBL2494" s="59"/>
      <c r="HBM2494" s="59"/>
      <c r="HBN2494" s="60"/>
      <c r="HBO2494" s="60"/>
      <c r="HBP2494" s="60"/>
      <c r="HBQ2494" s="59"/>
      <c r="HBR2494" s="61"/>
      <c r="HBS2494" s="59"/>
      <c r="HBT2494" s="59"/>
      <c r="HBU2494" s="59"/>
      <c r="HBV2494" s="60"/>
      <c r="HBW2494" s="60"/>
      <c r="HBX2494" s="60"/>
      <c r="HBY2494" s="59"/>
      <c r="HBZ2494" s="61"/>
      <c r="HCA2494" s="59"/>
      <c r="HCB2494" s="59"/>
      <c r="HCC2494" s="59"/>
      <c r="HCD2494" s="60"/>
      <c r="HCE2494" s="60"/>
      <c r="HCF2494" s="60"/>
      <c r="HCG2494" s="59"/>
      <c r="HCH2494" s="61"/>
      <c r="HCI2494" s="59"/>
      <c r="HCJ2494" s="59"/>
      <c r="HCK2494" s="59"/>
      <c r="HCL2494" s="60"/>
      <c r="HCM2494" s="60"/>
      <c r="HCN2494" s="60"/>
      <c r="HCO2494" s="59"/>
      <c r="HCP2494" s="61"/>
      <c r="HCQ2494" s="59"/>
      <c r="HCR2494" s="59"/>
      <c r="HCS2494" s="59"/>
      <c r="HCT2494" s="60"/>
      <c r="HCU2494" s="60"/>
      <c r="HCV2494" s="60"/>
      <c r="HCW2494" s="59"/>
      <c r="HCX2494" s="61"/>
      <c r="HCY2494" s="59"/>
      <c r="HCZ2494" s="59"/>
      <c r="HDA2494" s="59"/>
      <c r="HDB2494" s="60"/>
      <c r="HDC2494" s="60"/>
      <c r="HDD2494" s="60"/>
      <c r="HDE2494" s="59"/>
      <c r="HDF2494" s="61"/>
      <c r="HDG2494" s="59"/>
      <c r="HDH2494" s="59"/>
      <c r="HDI2494" s="59"/>
      <c r="HDJ2494" s="60"/>
      <c r="HDK2494" s="60"/>
      <c r="HDL2494" s="60"/>
      <c r="HDM2494" s="59"/>
      <c r="HDN2494" s="61"/>
      <c r="HDO2494" s="59"/>
      <c r="HDP2494" s="59"/>
      <c r="HDQ2494" s="59"/>
      <c r="HDR2494" s="60"/>
      <c r="HDS2494" s="60"/>
      <c r="HDT2494" s="60"/>
      <c r="HDU2494" s="59"/>
      <c r="HDV2494" s="61"/>
      <c r="HDW2494" s="59"/>
      <c r="HDX2494" s="59"/>
      <c r="HDY2494" s="59"/>
      <c r="HDZ2494" s="60"/>
      <c r="HEA2494" s="60"/>
      <c r="HEB2494" s="60"/>
      <c r="HEC2494" s="59"/>
      <c r="HED2494" s="61"/>
      <c r="HEE2494" s="59"/>
      <c r="HEF2494" s="59"/>
      <c r="HEG2494" s="59"/>
      <c r="HEH2494" s="60"/>
      <c r="HEI2494" s="60"/>
      <c r="HEJ2494" s="60"/>
      <c r="HEK2494" s="59"/>
      <c r="HEL2494" s="61"/>
      <c r="HEM2494" s="59"/>
      <c r="HEN2494" s="59"/>
      <c r="HEO2494" s="59"/>
      <c r="HEP2494" s="60"/>
      <c r="HEQ2494" s="60"/>
      <c r="HER2494" s="60"/>
      <c r="HES2494" s="59"/>
      <c r="HET2494" s="61"/>
      <c r="HEU2494" s="59"/>
      <c r="HEV2494" s="59"/>
      <c r="HEW2494" s="59"/>
      <c r="HEX2494" s="60"/>
      <c r="HEY2494" s="60"/>
      <c r="HEZ2494" s="60"/>
      <c r="HFA2494" s="59"/>
      <c r="HFB2494" s="61"/>
      <c r="HFC2494" s="59"/>
      <c r="HFD2494" s="59"/>
      <c r="HFE2494" s="59"/>
      <c r="HFF2494" s="60"/>
      <c r="HFG2494" s="60"/>
      <c r="HFH2494" s="60"/>
      <c r="HFI2494" s="59"/>
      <c r="HFJ2494" s="61"/>
      <c r="HFK2494" s="59"/>
      <c r="HFL2494" s="59"/>
      <c r="HFM2494" s="59"/>
      <c r="HFN2494" s="60"/>
      <c r="HFO2494" s="60"/>
      <c r="HFP2494" s="60"/>
      <c r="HFQ2494" s="59"/>
      <c r="HFR2494" s="61"/>
      <c r="HFS2494" s="59"/>
      <c r="HFT2494" s="59"/>
      <c r="HFU2494" s="59"/>
      <c r="HFV2494" s="60"/>
      <c r="HFW2494" s="60"/>
      <c r="HFX2494" s="60"/>
      <c r="HFY2494" s="59"/>
      <c r="HFZ2494" s="61"/>
      <c r="HGA2494" s="59"/>
      <c r="HGB2494" s="59"/>
      <c r="HGC2494" s="59"/>
      <c r="HGD2494" s="60"/>
      <c r="HGE2494" s="60"/>
      <c r="HGF2494" s="60"/>
      <c r="HGG2494" s="59"/>
      <c r="HGH2494" s="61"/>
      <c r="HGI2494" s="59"/>
      <c r="HGJ2494" s="59"/>
      <c r="HGK2494" s="59"/>
      <c r="HGL2494" s="60"/>
      <c r="HGM2494" s="60"/>
      <c r="HGN2494" s="60"/>
      <c r="HGO2494" s="59"/>
      <c r="HGP2494" s="61"/>
      <c r="HGQ2494" s="59"/>
      <c r="HGR2494" s="59"/>
      <c r="HGS2494" s="59"/>
      <c r="HGT2494" s="60"/>
      <c r="HGU2494" s="60"/>
      <c r="HGV2494" s="60"/>
      <c r="HGW2494" s="59"/>
      <c r="HGX2494" s="61"/>
      <c r="HGY2494" s="59"/>
      <c r="HGZ2494" s="59"/>
      <c r="HHA2494" s="59"/>
      <c r="HHB2494" s="60"/>
      <c r="HHC2494" s="60"/>
      <c r="HHD2494" s="60"/>
      <c r="HHE2494" s="59"/>
      <c r="HHF2494" s="61"/>
      <c r="HHG2494" s="59"/>
      <c r="HHH2494" s="59"/>
      <c r="HHI2494" s="59"/>
      <c r="HHJ2494" s="60"/>
      <c r="HHK2494" s="60"/>
      <c r="HHL2494" s="60"/>
      <c r="HHM2494" s="59"/>
      <c r="HHN2494" s="61"/>
      <c r="HHO2494" s="59"/>
      <c r="HHP2494" s="59"/>
      <c r="HHQ2494" s="59"/>
      <c r="HHR2494" s="60"/>
      <c r="HHS2494" s="60"/>
      <c r="HHT2494" s="60"/>
      <c r="HHU2494" s="59"/>
      <c r="HHV2494" s="61"/>
      <c r="HHW2494" s="59"/>
      <c r="HHX2494" s="59"/>
      <c r="HHY2494" s="59"/>
      <c r="HHZ2494" s="60"/>
      <c r="HIA2494" s="60"/>
      <c r="HIB2494" s="60"/>
      <c r="HIC2494" s="59"/>
      <c r="HID2494" s="61"/>
      <c r="HIE2494" s="59"/>
      <c r="HIF2494" s="59"/>
      <c r="HIG2494" s="59"/>
      <c r="HIH2494" s="60"/>
      <c r="HII2494" s="60"/>
      <c r="HIJ2494" s="60"/>
      <c r="HIK2494" s="59"/>
      <c r="HIL2494" s="61"/>
      <c r="HIM2494" s="59"/>
      <c r="HIN2494" s="59"/>
      <c r="HIO2494" s="59"/>
      <c r="HIP2494" s="60"/>
      <c r="HIQ2494" s="60"/>
      <c r="HIR2494" s="60"/>
      <c r="HIS2494" s="59"/>
      <c r="HIT2494" s="61"/>
      <c r="HIU2494" s="59"/>
      <c r="HIV2494" s="59"/>
      <c r="HIW2494" s="59"/>
      <c r="HIX2494" s="60"/>
      <c r="HIY2494" s="60"/>
      <c r="HIZ2494" s="60"/>
      <c r="HJA2494" s="59"/>
      <c r="HJB2494" s="61"/>
      <c r="HJC2494" s="59"/>
      <c r="HJD2494" s="59"/>
      <c r="HJE2494" s="59"/>
      <c r="HJF2494" s="60"/>
      <c r="HJG2494" s="60"/>
      <c r="HJH2494" s="60"/>
      <c r="HJI2494" s="59"/>
      <c r="HJJ2494" s="61"/>
      <c r="HJK2494" s="59"/>
      <c r="HJL2494" s="59"/>
      <c r="HJM2494" s="59"/>
      <c r="HJN2494" s="60"/>
      <c r="HJO2494" s="60"/>
      <c r="HJP2494" s="60"/>
      <c r="HJQ2494" s="59"/>
      <c r="HJR2494" s="61"/>
      <c r="HJS2494" s="59"/>
      <c r="HJT2494" s="59"/>
      <c r="HJU2494" s="59"/>
      <c r="HJV2494" s="60"/>
      <c r="HJW2494" s="60"/>
      <c r="HJX2494" s="60"/>
      <c r="HJY2494" s="59"/>
      <c r="HJZ2494" s="61"/>
      <c r="HKA2494" s="59"/>
      <c r="HKB2494" s="59"/>
      <c r="HKC2494" s="59"/>
      <c r="HKD2494" s="60"/>
      <c r="HKE2494" s="60"/>
      <c r="HKF2494" s="60"/>
      <c r="HKG2494" s="59"/>
      <c r="HKH2494" s="61"/>
      <c r="HKI2494" s="59"/>
      <c r="HKJ2494" s="59"/>
      <c r="HKK2494" s="59"/>
      <c r="HKL2494" s="60"/>
      <c r="HKM2494" s="60"/>
      <c r="HKN2494" s="60"/>
      <c r="HKO2494" s="59"/>
      <c r="HKP2494" s="61"/>
      <c r="HKQ2494" s="59"/>
      <c r="HKR2494" s="59"/>
      <c r="HKS2494" s="59"/>
      <c r="HKT2494" s="60"/>
      <c r="HKU2494" s="60"/>
      <c r="HKV2494" s="60"/>
      <c r="HKW2494" s="59"/>
      <c r="HKX2494" s="61"/>
      <c r="HKY2494" s="59"/>
      <c r="HKZ2494" s="59"/>
      <c r="HLA2494" s="59"/>
      <c r="HLB2494" s="60"/>
      <c r="HLC2494" s="60"/>
      <c r="HLD2494" s="60"/>
      <c r="HLE2494" s="59"/>
      <c r="HLF2494" s="61"/>
      <c r="HLG2494" s="59"/>
      <c r="HLH2494" s="59"/>
      <c r="HLI2494" s="59"/>
      <c r="HLJ2494" s="60"/>
      <c r="HLK2494" s="60"/>
      <c r="HLL2494" s="60"/>
      <c r="HLM2494" s="59"/>
      <c r="HLN2494" s="61"/>
      <c r="HLO2494" s="59"/>
      <c r="HLP2494" s="59"/>
      <c r="HLQ2494" s="59"/>
      <c r="HLR2494" s="60"/>
      <c r="HLS2494" s="60"/>
      <c r="HLT2494" s="60"/>
      <c r="HLU2494" s="59"/>
      <c r="HLV2494" s="61"/>
      <c r="HLW2494" s="59"/>
      <c r="HLX2494" s="59"/>
      <c r="HLY2494" s="59"/>
      <c r="HLZ2494" s="60"/>
      <c r="HMA2494" s="60"/>
      <c r="HMB2494" s="60"/>
      <c r="HMC2494" s="59"/>
      <c r="HMD2494" s="61"/>
      <c r="HME2494" s="59"/>
      <c r="HMF2494" s="59"/>
      <c r="HMG2494" s="59"/>
      <c r="HMH2494" s="60"/>
      <c r="HMI2494" s="60"/>
      <c r="HMJ2494" s="60"/>
      <c r="HMK2494" s="59"/>
      <c r="HML2494" s="61"/>
      <c r="HMM2494" s="59"/>
      <c r="HMN2494" s="59"/>
      <c r="HMO2494" s="59"/>
      <c r="HMP2494" s="60"/>
      <c r="HMQ2494" s="60"/>
      <c r="HMR2494" s="60"/>
      <c r="HMS2494" s="59"/>
      <c r="HMT2494" s="61"/>
      <c r="HMU2494" s="59"/>
      <c r="HMV2494" s="59"/>
      <c r="HMW2494" s="59"/>
      <c r="HMX2494" s="60"/>
      <c r="HMY2494" s="60"/>
      <c r="HMZ2494" s="60"/>
      <c r="HNA2494" s="59"/>
      <c r="HNB2494" s="61"/>
      <c r="HNC2494" s="59"/>
      <c r="HND2494" s="59"/>
      <c r="HNE2494" s="59"/>
      <c r="HNF2494" s="60"/>
      <c r="HNG2494" s="60"/>
      <c r="HNH2494" s="60"/>
      <c r="HNI2494" s="59"/>
      <c r="HNJ2494" s="61"/>
      <c r="HNK2494" s="59"/>
      <c r="HNL2494" s="59"/>
      <c r="HNM2494" s="59"/>
      <c r="HNN2494" s="60"/>
      <c r="HNO2494" s="60"/>
      <c r="HNP2494" s="60"/>
      <c r="HNQ2494" s="59"/>
      <c r="HNR2494" s="61"/>
      <c r="HNS2494" s="59"/>
      <c r="HNT2494" s="59"/>
      <c r="HNU2494" s="59"/>
      <c r="HNV2494" s="60"/>
      <c r="HNW2494" s="60"/>
      <c r="HNX2494" s="60"/>
      <c r="HNY2494" s="59"/>
      <c r="HNZ2494" s="61"/>
      <c r="HOA2494" s="59"/>
      <c r="HOB2494" s="59"/>
      <c r="HOC2494" s="59"/>
      <c r="HOD2494" s="60"/>
      <c r="HOE2494" s="60"/>
      <c r="HOF2494" s="60"/>
      <c r="HOG2494" s="59"/>
      <c r="HOH2494" s="61"/>
      <c r="HOI2494" s="59"/>
      <c r="HOJ2494" s="59"/>
      <c r="HOK2494" s="59"/>
      <c r="HOL2494" s="60"/>
      <c r="HOM2494" s="60"/>
      <c r="HON2494" s="60"/>
      <c r="HOO2494" s="59"/>
      <c r="HOP2494" s="61"/>
      <c r="HOQ2494" s="59"/>
      <c r="HOR2494" s="59"/>
      <c r="HOS2494" s="59"/>
      <c r="HOT2494" s="60"/>
      <c r="HOU2494" s="60"/>
      <c r="HOV2494" s="60"/>
      <c r="HOW2494" s="59"/>
      <c r="HOX2494" s="61"/>
      <c r="HOY2494" s="59"/>
      <c r="HOZ2494" s="59"/>
      <c r="HPA2494" s="59"/>
      <c r="HPB2494" s="60"/>
      <c r="HPC2494" s="60"/>
      <c r="HPD2494" s="60"/>
      <c r="HPE2494" s="59"/>
      <c r="HPF2494" s="61"/>
      <c r="HPG2494" s="59"/>
      <c r="HPH2494" s="59"/>
      <c r="HPI2494" s="59"/>
      <c r="HPJ2494" s="60"/>
      <c r="HPK2494" s="60"/>
      <c r="HPL2494" s="60"/>
      <c r="HPM2494" s="59"/>
      <c r="HPN2494" s="61"/>
      <c r="HPO2494" s="59"/>
      <c r="HPP2494" s="59"/>
      <c r="HPQ2494" s="59"/>
      <c r="HPR2494" s="60"/>
      <c r="HPS2494" s="60"/>
      <c r="HPT2494" s="60"/>
      <c r="HPU2494" s="59"/>
      <c r="HPV2494" s="61"/>
      <c r="HPW2494" s="59"/>
      <c r="HPX2494" s="59"/>
      <c r="HPY2494" s="59"/>
      <c r="HPZ2494" s="60"/>
      <c r="HQA2494" s="60"/>
      <c r="HQB2494" s="60"/>
      <c r="HQC2494" s="59"/>
      <c r="HQD2494" s="61"/>
      <c r="HQE2494" s="59"/>
      <c r="HQF2494" s="59"/>
      <c r="HQG2494" s="59"/>
      <c r="HQH2494" s="60"/>
      <c r="HQI2494" s="60"/>
      <c r="HQJ2494" s="60"/>
      <c r="HQK2494" s="59"/>
      <c r="HQL2494" s="61"/>
      <c r="HQM2494" s="59"/>
      <c r="HQN2494" s="59"/>
      <c r="HQO2494" s="59"/>
      <c r="HQP2494" s="60"/>
      <c r="HQQ2494" s="60"/>
      <c r="HQR2494" s="60"/>
      <c r="HQS2494" s="59"/>
      <c r="HQT2494" s="61"/>
      <c r="HQU2494" s="59"/>
      <c r="HQV2494" s="59"/>
      <c r="HQW2494" s="59"/>
      <c r="HQX2494" s="60"/>
      <c r="HQY2494" s="60"/>
      <c r="HQZ2494" s="60"/>
      <c r="HRA2494" s="59"/>
      <c r="HRB2494" s="61"/>
      <c r="HRC2494" s="59"/>
      <c r="HRD2494" s="59"/>
      <c r="HRE2494" s="59"/>
      <c r="HRF2494" s="60"/>
      <c r="HRG2494" s="60"/>
      <c r="HRH2494" s="60"/>
      <c r="HRI2494" s="59"/>
      <c r="HRJ2494" s="61"/>
      <c r="HRK2494" s="59"/>
      <c r="HRL2494" s="59"/>
      <c r="HRM2494" s="59"/>
      <c r="HRN2494" s="60"/>
      <c r="HRO2494" s="60"/>
      <c r="HRP2494" s="60"/>
      <c r="HRQ2494" s="59"/>
      <c r="HRR2494" s="61"/>
      <c r="HRS2494" s="59"/>
      <c r="HRT2494" s="59"/>
      <c r="HRU2494" s="59"/>
      <c r="HRV2494" s="60"/>
      <c r="HRW2494" s="60"/>
      <c r="HRX2494" s="60"/>
      <c r="HRY2494" s="59"/>
      <c r="HRZ2494" s="61"/>
      <c r="HSA2494" s="59"/>
      <c r="HSB2494" s="59"/>
      <c r="HSC2494" s="59"/>
      <c r="HSD2494" s="60"/>
      <c r="HSE2494" s="60"/>
      <c r="HSF2494" s="60"/>
      <c r="HSG2494" s="59"/>
      <c r="HSH2494" s="61"/>
      <c r="HSI2494" s="59"/>
      <c r="HSJ2494" s="59"/>
      <c r="HSK2494" s="59"/>
      <c r="HSL2494" s="60"/>
      <c r="HSM2494" s="60"/>
      <c r="HSN2494" s="60"/>
      <c r="HSO2494" s="59"/>
      <c r="HSP2494" s="61"/>
      <c r="HSQ2494" s="59"/>
      <c r="HSR2494" s="59"/>
      <c r="HSS2494" s="59"/>
      <c r="HST2494" s="60"/>
      <c r="HSU2494" s="60"/>
      <c r="HSV2494" s="60"/>
      <c r="HSW2494" s="59"/>
      <c r="HSX2494" s="61"/>
      <c r="HSY2494" s="59"/>
      <c r="HSZ2494" s="59"/>
      <c r="HTA2494" s="59"/>
      <c r="HTB2494" s="60"/>
      <c r="HTC2494" s="60"/>
      <c r="HTD2494" s="60"/>
      <c r="HTE2494" s="59"/>
      <c r="HTF2494" s="61"/>
      <c r="HTG2494" s="59"/>
      <c r="HTH2494" s="59"/>
      <c r="HTI2494" s="59"/>
      <c r="HTJ2494" s="60"/>
      <c r="HTK2494" s="60"/>
      <c r="HTL2494" s="60"/>
      <c r="HTM2494" s="59"/>
      <c r="HTN2494" s="61"/>
      <c r="HTO2494" s="59"/>
      <c r="HTP2494" s="59"/>
      <c r="HTQ2494" s="59"/>
      <c r="HTR2494" s="60"/>
      <c r="HTS2494" s="60"/>
      <c r="HTT2494" s="60"/>
      <c r="HTU2494" s="59"/>
      <c r="HTV2494" s="61"/>
      <c r="HTW2494" s="59"/>
      <c r="HTX2494" s="59"/>
      <c r="HTY2494" s="59"/>
      <c r="HTZ2494" s="60"/>
      <c r="HUA2494" s="60"/>
      <c r="HUB2494" s="60"/>
      <c r="HUC2494" s="59"/>
      <c r="HUD2494" s="61"/>
      <c r="HUE2494" s="59"/>
      <c r="HUF2494" s="59"/>
      <c r="HUG2494" s="59"/>
      <c r="HUH2494" s="60"/>
      <c r="HUI2494" s="60"/>
      <c r="HUJ2494" s="60"/>
      <c r="HUK2494" s="59"/>
      <c r="HUL2494" s="61"/>
      <c r="HUM2494" s="59"/>
      <c r="HUN2494" s="59"/>
      <c r="HUO2494" s="59"/>
      <c r="HUP2494" s="60"/>
      <c r="HUQ2494" s="60"/>
      <c r="HUR2494" s="60"/>
      <c r="HUS2494" s="59"/>
      <c r="HUT2494" s="61"/>
      <c r="HUU2494" s="59"/>
      <c r="HUV2494" s="59"/>
      <c r="HUW2494" s="59"/>
      <c r="HUX2494" s="60"/>
      <c r="HUY2494" s="60"/>
      <c r="HUZ2494" s="60"/>
      <c r="HVA2494" s="59"/>
      <c r="HVB2494" s="61"/>
      <c r="HVC2494" s="59"/>
      <c r="HVD2494" s="59"/>
      <c r="HVE2494" s="59"/>
      <c r="HVF2494" s="60"/>
      <c r="HVG2494" s="60"/>
      <c r="HVH2494" s="60"/>
      <c r="HVI2494" s="59"/>
      <c r="HVJ2494" s="61"/>
      <c r="HVK2494" s="59"/>
      <c r="HVL2494" s="59"/>
      <c r="HVM2494" s="59"/>
      <c r="HVN2494" s="60"/>
      <c r="HVO2494" s="60"/>
      <c r="HVP2494" s="60"/>
      <c r="HVQ2494" s="59"/>
      <c r="HVR2494" s="61"/>
      <c r="HVS2494" s="59"/>
      <c r="HVT2494" s="59"/>
      <c r="HVU2494" s="59"/>
      <c r="HVV2494" s="60"/>
      <c r="HVW2494" s="60"/>
      <c r="HVX2494" s="60"/>
      <c r="HVY2494" s="59"/>
      <c r="HVZ2494" s="61"/>
      <c r="HWA2494" s="59"/>
      <c r="HWB2494" s="59"/>
      <c r="HWC2494" s="59"/>
      <c r="HWD2494" s="60"/>
      <c r="HWE2494" s="60"/>
      <c r="HWF2494" s="60"/>
      <c r="HWG2494" s="59"/>
      <c r="HWH2494" s="61"/>
      <c r="HWI2494" s="59"/>
      <c r="HWJ2494" s="59"/>
      <c r="HWK2494" s="59"/>
      <c r="HWL2494" s="60"/>
      <c r="HWM2494" s="60"/>
      <c r="HWN2494" s="60"/>
      <c r="HWO2494" s="59"/>
      <c r="HWP2494" s="61"/>
      <c r="HWQ2494" s="59"/>
      <c r="HWR2494" s="59"/>
      <c r="HWS2494" s="59"/>
      <c r="HWT2494" s="60"/>
      <c r="HWU2494" s="60"/>
      <c r="HWV2494" s="60"/>
      <c r="HWW2494" s="59"/>
      <c r="HWX2494" s="61"/>
      <c r="HWY2494" s="59"/>
      <c r="HWZ2494" s="59"/>
      <c r="HXA2494" s="59"/>
      <c r="HXB2494" s="60"/>
      <c r="HXC2494" s="60"/>
      <c r="HXD2494" s="60"/>
      <c r="HXE2494" s="59"/>
      <c r="HXF2494" s="61"/>
      <c r="HXG2494" s="59"/>
      <c r="HXH2494" s="59"/>
      <c r="HXI2494" s="59"/>
      <c r="HXJ2494" s="60"/>
      <c r="HXK2494" s="60"/>
      <c r="HXL2494" s="60"/>
      <c r="HXM2494" s="59"/>
      <c r="HXN2494" s="61"/>
      <c r="HXO2494" s="59"/>
      <c r="HXP2494" s="59"/>
      <c r="HXQ2494" s="59"/>
      <c r="HXR2494" s="60"/>
      <c r="HXS2494" s="60"/>
      <c r="HXT2494" s="60"/>
      <c r="HXU2494" s="59"/>
      <c r="HXV2494" s="61"/>
      <c r="HXW2494" s="59"/>
      <c r="HXX2494" s="59"/>
      <c r="HXY2494" s="59"/>
      <c r="HXZ2494" s="60"/>
      <c r="HYA2494" s="60"/>
      <c r="HYB2494" s="60"/>
      <c r="HYC2494" s="59"/>
      <c r="HYD2494" s="61"/>
      <c r="HYE2494" s="59"/>
      <c r="HYF2494" s="59"/>
      <c r="HYG2494" s="59"/>
      <c r="HYH2494" s="60"/>
      <c r="HYI2494" s="60"/>
      <c r="HYJ2494" s="60"/>
      <c r="HYK2494" s="59"/>
      <c r="HYL2494" s="61"/>
      <c r="HYM2494" s="59"/>
      <c r="HYN2494" s="59"/>
      <c r="HYO2494" s="59"/>
      <c r="HYP2494" s="60"/>
      <c r="HYQ2494" s="60"/>
      <c r="HYR2494" s="60"/>
      <c r="HYS2494" s="59"/>
      <c r="HYT2494" s="61"/>
      <c r="HYU2494" s="59"/>
      <c r="HYV2494" s="59"/>
      <c r="HYW2494" s="59"/>
      <c r="HYX2494" s="60"/>
      <c r="HYY2494" s="60"/>
      <c r="HYZ2494" s="60"/>
      <c r="HZA2494" s="59"/>
      <c r="HZB2494" s="61"/>
      <c r="HZC2494" s="59"/>
      <c r="HZD2494" s="59"/>
      <c r="HZE2494" s="59"/>
      <c r="HZF2494" s="60"/>
      <c r="HZG2494" s="60"/>
      <c r="HZH2494" s="60"/>
      <c r="HZI2494" s="59"/>
      <c r="HZJ2494" s="61"/>
      <c r="HZK2494" s="59"/>
      <c r="HZL2494" s="59"/>
      <c r="HZM2494" s="59"/>
      <c r="HZN2494" s="60"/>
      <c r="HZO2494" s="60"/>
      <c r="HZP2494" s="60"/>
      <c r="HZQ2494" s="59"/>
      <c r="HZR2494" s="61"/>
      <c r="HZS2494" s="59"/>
      <c r="HZT2494" s="59"/>
      <c r="HZU2494" s="59"/>
      <c r="HZV2494" s="60"/>
      <c r="HZW2494" s="60"/>
      <c r="HZX2494" s="60"/>
      <c r="HZY2494" s="59"/>
      <c r="HZZ2494" s="61"/>
      <c r="IAA2494" s="59"/>
      <c r="IAB2494" s="59"/>
      <c r="IAC2494" s="59"/>
      <c r="IAD2494" s="60"/>
      <c r="IAE2494" s="60"/>
      <c r="IAF2494" s="60"/>
      <c r="IAG2494" s="59"/>
      <c r="IAH2494" s="61"/>
      <c r="IAI2494" s="59"/>
      <c r="IAJ2494" s="59"/>
      <c r="IAK2494" s="59"/>
      <c r="IAL2494" s="60"/>
      <c r="IAM2494" s="60"/>
      <c r="IAN2494" s="60"/>
      <c r="IAO2494" s="59"/>
      <c r="IAP2494" s="61"/>
      <c r="IAQ2494" s="59"/>
      <c r="IAR2494" s="59"/>
      <c r="IAS2494" s="59"/>
      <c r="IAT2494" s="60"/>
      <c r="IAU2494" s="60"/>
      <c r="IAV2494" s="60"/>
      <c r="IAW2494" s="59"/>
      <c r="IAX2494" s="61"/>
      <c r="IAY2494" s="59"/>
      <c r="IAZ2494" s="59"/>
      <c r="IBA2494" s="59"/>
      <c r="IBB2494" s="60"/>
      <c r="IBC2494" s="60"/>
      <c r="IBD2494" s="60"/>
      <c r="IBE2494" s="59"/>
      <c r="IBF2494" s="61"/>
      <c r="IBG2494" s="59"/>
      <c r="IBH2494" s="59"/>
      <c r="IBI2494" s="59"/>
      <c r="IBJ2494" s="60"/>
      <c r="IBK2494" s="60"/>
      <c r="IBL2494" s="60"/>
      <c r="IBM2494" s="59"/>
      <c r="IBN2494" s="61"/>
      <c r="IBO2494" s="59"/>
      <c r="IBP2494" s="59"/>
      <c r="IBQ2494" s="59"/>
      <c r="IBR2494" s="60"/>
      <c r="IBS2494" s="60"/>
      <c r="IBT2494" s="60"/>
      <c r="IBU2494" s="59"/>
      <c r="IBV2494" s="61"/>
      <c r="IBW2494" s="59"/>
      <c r="IBX2494" s="59"/>
      <c r="IBY2494" s="59"/>
      <c r="IBZ2494" s="60"/>
      <c r="ICA2494" s="60"/>
      <c r="ICB2494" s="60"/>
      <c r="ICC2494" s="59"/>
      <c r="ICD2494" s="61"/>
      <c r="ICE2494" s="59"/>
      <c r="ICF2494" s="59"/>
      <c r="ICG2494" s="59"/>
      <c r="ICH2494" s="60"/>
      <c r="ICI2494" s="60"/>
      <c r="ICJ2494" s="60"/>
      <c r="ICK2494" s="59"/>
      <c r="ICL2494" s="61"/>
      <c r="ICM2494" s="59"/>
      <c r="ICN2494" s="59"/>
      <c r="ICO2494" s="59"/>
      <c r="ICP2494" s="60"/>
      <c r="ICQ2494" s="60"/>
      <c r="ICR2494" s="60"/>
      <c r="ICS2494" s="59"/>
      <c r="ICT2494" s="61"/>
      <c r="ICU2494" s="59"/>
      <c r="ICV2494" s="59"/>
      <c r="ICW2494" s="59"/>
      <c r="ICX2494" s="60"/>
      <c r="ICY2494" s="60"/>
      <c r="ICZ2494" s="60"/>
      <c r="IDA2494" s="59"/>
      <c r="IDB2494" s="61"/>
      <c r="IDC2494" s="59"/>
      <c r="IDD2494" s="59"/>
      <c r="IDE2494" s="59"/>
      <c r="IDF2494" s="60"/>
      <c r="IDG2494" s="60"/>
      <c r="IDH2494" s="60"/>
      <c r="IDI2494" s="59"/>
      <c r="IDJ2494" s="61"/>
      <c r="IDK2494" s="59"/>
      <c r="IDL2494" s="59"/>
      <c r="IDM2494" s="59"/>
      <c r="IDN2494" s="60"/>
      <c r="IDO2494" s="60"/>
      <c r="IDP2494" s="60"/>
      <c r="IDQ2494" s="59"/>
      <c r="IDR2494" s="61"/>
      <c r="IDS2494" s="59"/>
      <c r="IDT2494" s="59"/>
      <c r="IDU2494" s="59"/>
      <c r="IDV2494" s="60"/>
      <c r="IDW2494" s="60"/>
      <c r="IDX2494" s="60"/>
      <c r="IDY2494" s="59"/>
      <c r="IDZ2494" s="61"/>
      <c r="IEA2494" s="59"/>
      <c r="IEB2494" s="59"/>
      <c r="IEC2494" s="59"/>
      <c r="IED2494" s="60"/>
      <c r="IEE2494" s="60"/>
      <c r="IEF2494" s="60"/>
      <c r="IEG2494" s="59"/>
      <c r="IEH2494" s="61"/>
      <c r="IEI2494" s="59"/>
      <c r="IEJ2494" s="59"/>
      <c r="IEK2494" s="59"/>
      <c r="IEL2494" s="60"/>
      <c r="IEM2494" s="60"/>
      <c r="IEN2494" s="60"/>
      <c r="IEO2494" s="59"/>
      <c r="IEP2494" s="61"/>
      <c r="IEQ2494" s="59"/>
      <c r="IER2494" s="59"/>
      <c r="IES2494" s="59"/>
      <c r="IET2494" s="60"/>
      <c r="IEU2494" s="60"/>
      <c r="IEV2494" s="60"/>
      <c r="IEW2494" s="59"/>
      <c r="IEX2494" s="61"/>
      <c r="IEY2494" s="59"/>
      <c r="IEZ2494" s="59"/>
      <c r="IFA2494" s="59"/>
      <c r="IFB2494" s="60"/>
      <c r="IFC2494" s="60"/>
      <c r="IFD2494" s="60"/>
      <c r="IFE2494" s="59"/>
      <c r="IFF2494" s="61"/>
      <c r="IFG2494" s="59"/>
      <c r="IFH2494" s="59"/>
      <c r="IFI2494" s="59"/>
      <c r="IFJ2494" s="60"/>
      <c r="IFK2494" s="60"/>
      <c r="IFL2494" s="60"/>
      <c r="IFM2494" s="59"/>
      <c r="IFN2494" s="61"/>
      <c r="IFO2494" s="59"/>
      <c r="IFP2494" s="59"/>
      <c r="IFQ2494" s="59"/>
      <c r="IFR2494" s="60"/>
      <c r="IFS2494" s="60"/>
      <c r="IFT2494" s="60"/>
      <c r="IFU2494" s="59"/>
      <c r="IFV2494" s="61"/>
      <c r="IFW2494" s="59"/>
      <c r="IFX2494" s="59"/>
      <c r="IFY2494" s="59"/>
      <c r="IFZ2494" s="60"/>
      <c r="IGA2494" s="60"/>
      <c r="IGB2494" s="60"/>
      <c r="IGC2494" s="59"/>
      <c r="IGD2494" s="61"/>
      <c r="IGE2494" s="59"/>
      <c r="IGF2494" s="59"/>
      <c r="IGG2494" s="59"/>
      <c r="IGH2494" s="60"/>
      <c r="IGI2494" s="60"/>
      <c r="IGJ2494" s="60"/>
      <c r="IGK2494" s="59"/>
      <c r="IGL2494" s="61"/>
      <c r="IGM2494" s="59"/>
      <c r="IGN2494" s="59"/>
      <c r="IGO2494" s="59"/>
      <c r="IGP2494" s="60"/>
      <c r="IGQ2494" s="60"/>
      <c r="IGR2494" s="60"/>
      <c r="IGS2494" s="59"/>
      <c r="IGT2494" s="61"/>
      <c r="IGU2494" s="59"/>
      <c r="IGV2494" s="59"/>
      <c r="IGW2494" s="59"/>
      <c r="IGX2494" s="60"/>
      <c r="IGY2494" s="60"/>
      <c r="IGZ2494" s="60"/>
      <c r="IHA2494" s="59"/>
      <c r="IHB2494" s="61"/>
      <c r="IHC2494" s="59"/>
      <c r="IHD2494" s="59"/>
      <c r="IHE2494" s="59"/>
      <c r="IHF2494" s="60"/>
      <c r="IHG2494" s="60"/>
      <c r="IHH2494" s="60"/>
      <c r="IHI2494" s="59"/>
      <c r="IHJ2494" s="61"/>
      <c r="IHK2494" s="59"/>
      <c r="IHL2494" s="59"/>
      <c r="IHM2494" s="59"/>
      <c r="IHN2494" s="60"/>
      <c r="IHO2494" s="60"/>
      <c r="IHP2494" s="60"/>
      <c r="IHQ2494" s="59"/>
      <c r="IHR2494" s="61"/>
      <c r="IHS2494" s="59"/>
      <c r="IHT2494" s="59"/>
      <c r="IHU2494" s="59"/>
      <c r="IHV2494" s="60"/>
      <c r="IHW2494" s="60"/>
      <c r="IHX2494" s="60"/>
      <c r="IHY2494" s="59"/>
      <c r="IHZ2494" s="61"/>
      <c r="IIA2494" s="59"/>
      <c r="IIB2494" s="59"/>
      <c r="IIC2494" s="59"/>
      <c r="IID2494" s="60"/>
      <c r="IIE2494" s="60"/>
      <c r="IIF2494" s="60"/>
      <c r="IIG2494" s="59"/>
      <c r="IIH2494" s="61"/>
      <c r="III2494" s="59"/>
      <c r="IIJ2494" s="59"/>
      <c r="IIK2494" s="59"/>
      <c r="IIL2494" s="60"/>
      <c r="IIM2494" s="60"/>
      <c r="IIN2494" s="60"/>
      <c r="IIO2494" s="59"/>
      <c r="IIP2494" s="61"/>
      <c r="IIQ2494" s="59"/>
      <c r="IIR2494" s="59"/>
      <c r="IIS2494" s="59"/>
      <c r="IIT2494" s="60"/>
      <c r="IIU2494" s="60"/>
      <c r="IIV2494" s="60"/>
      <c r="IIW2494" s="59"/>
      <c r="IIX2494" s="61"/>
      <c r="IIY2494" s="59"/>
      <c r="IIZ2494" s="59"/>
      <c r="IJA2494" s="59"/>
      <c r="IJB2494" s="60"/>
      <c r="IJC2494" s="60"/>
      <c r="IJD2494" s="60"/>
      <c r="IJE2494" s="59"/>
      <c r="IJF2494" s="61"/>
      <c r="IJG2494" s="59"/>
      <c r="IJH2494" s="59"/>
      <c r="IJI2494" s="59"/>
      <c r="IJJ2494" s="60"/>
      <c r="IJK2494" s="60"/>
      <c r="IJL2494" s="60"/>
      <c r="IJM2494" s="59"/>
      <c r="IJN2494" s="61"/>
      <c r="IJO2494" s="59"/>
      <c r="IJP2494" s="59"/>
      <c r="IJQ2494" s="59"/>
      <c r="IJR2494" s="60"/>
      <c r="IJS2494" s="60"/>
      <c r="IJT2494" s="60"/>
      <c r="IJU2494" s="59"/>
      <c r="IJV2494" s="61"/>
      <c r="IJW2494" s="59"/>
      <c r="IJX2494" s="59"/>
      <c r="IJY2494" s="59"/>
      <c r="IJZ2494" s="60"/>
      <c r="IKA2494" s="60"/>
      <c r="IKB2494" s="60"/>
      <c r="IKC2494" s="59"/>
      <c r="IKD2494" s="61"/>
      <c r="IKE2494" s="59"/>
      <c r="IKF2494" s="59"/>
      <c r="IKG2494" s="59"/>
      <c r="IKH2494" s="60"/>
      <c r="IKI2494" s="60"/>
      <c r="IKJ2494" s="60"/>
      <c r="IKK2494" s="59"/>
      <c r="IKL2494" s="61"/>
      <c r="IKM2494" s="59"/>
      <c r="IKN2494" s="59"/>
      <c r="IKO2494" s="59"/>
      <c r="IKP2494" s="60"/>
      <c r="IKQ2494" s="60"/>
      <c r="IKR2494" s="60"/>
      <c r="IKS2494" s="59"/>
      <c r="IKT2494" s="61"/>
      <c r="IKU2494" s="59"/>
      <c r="IKV2494" s="59"/>
      <c r="IKW2494" s="59"/>
      <c r="IKX2494" s="60"/>
      <c r="IKY2494" s="60"/>
      <c r="IKZ2494" s="60"/>
      <c r="ILA2494" s="59"/>
      <c r="ILB2494" s="61"/>
      <c r="ILC2494" s="59"/>
      <c r="ILD2494" s="59"/>
      <c r="ILE2494" s="59"/>
      <c r="ILF2494" s="60"/>
      <c r="ILG2494" s="60"/>
      <c r="ILH2494" s="60"/>
      <c r="ILI2494" s="59"/>
      <c r="ILJ2494" s="61"/>
      <c r="ILK2494" s="59"/>
      <c r="ILL2494" s="59"/>
      <c r="ILM2494" s="59"/>
      <c r="ILN2494" s="60"/>
      <c r="ILO2494" s="60"/>
      <c r="ILP2494" s="60"/>
      <c r="ILQ2494" s="59"/>
      <c r="ILR2494" s="61"/>
      <c r="ILS2494" s="59"/>
      <c r="ILT2494" s="59"/>
      <c r="ILU2494" s="59"/>
      <c r="ILV2494" s="60"/>
      <c r="ILW2494" s="60"/>
      <c r="ILX2494" s="60"/>
      <c r="ILY2494" s="59"/>
      <c r="ILZ2494" s="61"/>
      <c r="IMA2494" s="59"/>
      <c r="IMB2494" s="59"/>
      <c r="IMC2494" s="59"/>
      <c r="IMD2494" s="60"/>
      <c r="IME2494" s="60"/>
      <c r="IMF2494" s="60"/>
      <c r="IMG2494" s="59"/>
      <c r="IMH2494" s="61"/>
      <c r="IMI2494" s="59"/>
      <c r="IMJ2494" s="59"/>
      <c r="IMK2494" s="59"/>
      <c r="IML2494" s="60"/>
      <c r="IMM2494" s="60"/>
      <c r="IMN2494" s="60"/>
      <c r="IMO2494" s="59"/>
      <c r="IMP2494" s="61"/>
      <c r="IMQ2494" s="59"/>
      <c r="IMR2494" s="59"/>
      <c r="IMS2494" s="59"/>
      <c r="IMT2494" s="60"/>
      <c r="IMU2494" s="60"/>
      <c r="IMV2494" s="60"/>
      <c r="IMW2494" s="59"/>
      <c r="IMX2494" s="61"/>
      <c r="IMY2494" s="59"/>
      <c r="IMZ2494" s="59"/>
      <c r="INA2494" s="59"/>
      <c r="INB2494" s="60"/>
      <c r="INC2494" s="60"/>
      <c r="IND2494" s="60"/>
      <c r="INE2494" s="59"/>
      <c r="INF2494" s="61"/>
      <c r="ING2494" s="59"/>
      <c r="INH2494" s="59"/>
      <c r="INI2494" s="59"/>
      <c r="INJ2494" s="60"/>
      <c r="INK2494" s="60"/>
      <c r="INL2494" s="60"/>
      <c r="INM2494" s="59"/>
      <c r="INN2494" s="61"/>
      <c r="INO2494" s="59"/>
      <c r="INP2494" s="59"/>
      <c r="INQ2494" s="59"/>
      <c r="INR2494" s="60"/>
      <c r="INS2494" s="60"/>
      <c r="INT2494" s="60"/>
      <c r="INU2494" s="59"/>
      <c r="INV2494" s="61"/>
      <c r="INW2494" s="59"/>
      <c r="INX2494" s="59"/>
      <c r="INY2494" s="59"/>
      <c r="INZ2494" s="60"/>
      <c r="IOA2494" s="60"/>
      <c r="IOB2494" s="60"/>
      <c r="IOC2494" s="59"/>
      <c r="IOD2494" s="61"/>
      <c r="IOE2494" s="59"/>
      <c r="IOF2494" s="59"/>
      <c r="IOG2494" s="59"/>
      <c r="IOH2494" s="60"/>
      <c r="IOI2494" s="60"/>
      <c r="IOJ2494" s="60"/>
      <c r="IOK2494" s="59"/>
      <c r="IOL2494" s="61"/>
      <c r="IOM2494" s="59"/>
      <c r="ION2494" s="59"/>
      <c r="IOO2494" s="59"/>
      <c r="IOP2494" s="60"/>
      <c r="IOQ2494" s="60"/>
      <c r="IOR2494" s="60"/>
      <c r="IOS2494" s="59"/>
      <c r="IOT2494" s="61"/>
      <c r="IOU2494" s="59"/>
      <c r="IOV2494" s="59"/>
      <c r="IOW2494" s="59"/>
      <c r="IOX2494" s="60"/>
      <c r="IOY2494" s="60"/>
      <c r="IOZ2494" s="60"/>
      <c r="IPA2494" s="59"/>
      <c r="IPB2494" s="61"/>
      <c r="IPC2494" s="59"/>
      <c r="IPD2494" s="59"/>
      <c r="IPE2494" s="59"/>
      <c r="IPF2494" s="60"/>
      <c r="IPG2494" s="60"/>
      <c r="IPH2494" s="60"/>
      <c r="IPI2494" s="59"/>
      <c r="IPJ2494" s="61"/>
      <c r="IPK2494" s="59"/>
      <c r="IPL2494" s="59"/>
      <c r="IPM2494" s="59"/>
      <c r="IPN2494" s="60"/>
      <c r="IPO2494" s="60"/>
      <c r="IPP2494" s="60"/>
      <c r="IPQ2494" s="59"/>
      <c r="IPR2494" s="61"/>
      <c r="IPS2494" s="59"/>
      <c r="IPT2494" s="59"/>
      <c r="IPU2494" s="59"/>
      <c r="IPV2494" s="60"/>
      <c r="IPW2494" s="60"/>
      <c r="IPX2494" s="60"/>
      <c r="IPY2494" s="59"/>
      <c r="IPZ2494" s="61"/>
      <c r="IQA2494" s="59"/>
      <c r="IQB2494" s="59"/>
      <c r="IQC2494" s="59"/>
      <c r="IQD2494" s="60"/>
      <c r="IQE2494" s="60"/>
      <c r="IQF2494" s="60"/>
      <c r="IQG2494" s="59"/>
      <c r="IQH2494" s="61"/>
      <c r="IQI2494" s="59"/>
      <c r="IQJ2494" s="59"/>
      <c r="IQK2494" s="59"/>
      <c r="IQL2494" s="60"/>
      <c r="IQM2494" s="60"/>
      <c r="IQN2494" s="60"/>
      <c r="IQO2494" s="59"/>
      <c r="IQP2494" s="61"/>
      <c r="IQQ2494" s="59"/>
      <c r="IQR2494" s="59"/>
      <c r="IQS2494" s="59"/>
      <c r="IQT2494" s="60"/>
      <c r="IQU2494" s="60"/>
      <c r="IQV2494" s="60"/>
      <c r="IQW2494" s="59"/>
      <c r="IQX2494" s="61"/>
      <c r="IQY2494" s="59"/>
      <c r="IQZ2494" s="59"/>
      <c r="IRA2494" s="59"/>
      <c r="IRB2494" s="60"/>
      <c r="IRC2494" s="60"/>
      <c r="IRD2494" s="60"/>
      <c r="IRE2494" s="59"/>
      <c r="IRF2494" s="61"/>
      <c r="IRG2494" s="59"/>
      <c r="IRH2494" s="59"/>
      <c r="IRI2494" s="59"/>
      <c r="IRJ2494" s="60"/>
      <c r="IRK2494" s="60"/>
      <c r="IRL2494" s="60"/>
      <c r="IRM2494" s="59"/>
      <c r="IRN2494" s="61"/>
      <c r="IRO2494" s="59"/>
      <c r="IRP2494" s="59"/>
      <c r="IRQ2494" s="59"/>
      <c r="IRR2494" s="60"/>
      <c r="IRS2494" s="60"/>
      <c r="IRT2494" s="60"/>
      <c r="IRU2494" s="59"/>
      <c r="IRV2494" s="61"/>
      <c r="IRW2494" s="59"/>
      <c r="IRX2494" s="59"/>
      <c r="IRY2494" s="59"/>
      <c r="IRZ2494" s="60"/>
      <c r="ISA2494" s="60"/>
      <c r="ISB2494" s="60"/>
      <c r="ISC2494" s="59"/>
      <c r="ISD2494" s="61"/>
      <c r="ISE2494" s="59"/>
      <c r="ISF2494" s="59"/>
      <c r="ISG2494" s="59"/>
      <c r="ISH2494" s="60"/>
      <c r="ISI2494" s="60"/>
      <c r="ISJ2494" s="60"/>
      <c r="ISK2494" s="59"/>
      <c r="ISL2494" s="61"/>
      <c r="ISM2494" s="59"/>
      <c r="ISN2494" s="59"/>
      <c r="ISO2494" s="59"/>
      <c r="ISP2494" s="60"/>
      <c r="ISQ2494" s="60"/>
      <c r="ISR2494" s="60"/>
      <c r="ISS2494" s="59"/>
      <c r="IST2494" s="61"/>
      <c r="ISU2494" s="59"/>
      <c r="ISV2494" s="59"/>
      <c r="ISW2494" s="59"/>
      <c r="ISX2494" s="60"/>
      <c r="ISY2494" s="60"/>
      <c r="ISZ2494" s="60"/>
      <c r="ITA2494" s="59"/>
      <c r="ITB2494" s="61"/>
      <c r="ITC2494" s="59"/>
      <c r="ITD2494" s="59"/>
      <c r="ITE2494" s="59"/>
      <c r="ITF2494" s="60"/>
      <c r="ITG2494" s="60"/>
      <c r="ITH2494" s="60"/>
      <c r="ITI2494" s="59"/>
      <c r="ITJ2494" s="61"/>
      <c r="ITK2494" s="59"/>
      <c r="ITL2494" s="59"/>
      <c r="ITM2494" s="59"/>
      <c r="ITN2494" s="60"/>
      <c r="ITO2494" s="60"/>
      <c r="ITP2494" s="60"/>
      <c r="ITQ2494" s="59"/>
      <c r="ITR2494" s="61"/>
      <c r="ITS2494" s="59"/>
      <c r="ITT2494" s="59"/>
      <c r="ITU2494" s="59"/>
      <c r="ITV2494" s="60"/>
      <c r="ITW2494" s="60"/>
      <c r="ITX2494" s="60"/>
      <c r="ITY2494" s="59"/>
      <c r="ITZ2494" s="61"/>
      <c r="IUA2494" s="59"/>
      <c r="IUB2494" s="59"/>
      <c r="IUC2494" s="59"/>
      <c r="IUD2494" s="60"/>
      <c r="IUE2494" s="60"/>
      <c r="IUF2494" s="60"/>
      <c r="IUG2494" s="59"/>
      <c r="IUH2494" s="61"/>
      <c r="IUI2494" s="59"/>
      <c r="IUJ2494" s="59"/>
      <c r="IUK2494" s="59"/>
      <c r="IUL2494" s="60"/>
      <c r="IUM2494" s="60"/>
      <c r="IUN2494" s="60"/>
      <c r="IUO2494" s="59"/>
      <c r="IUP2494" s="61"/>
      <c r="IUQ2494" s="59"/>
      <c r="IUR2494" s="59"/>
      <c r="IUS2494" s="59"/>
      <c r="IUT2494" s="60"/>
      <c r="IUU2494" s="60"/>
      <c r="IUV2494" s="60"/>
      <c r="IUW2494" s="59"/>
      <c r="IUX2494" s="61"/>
      <c r="IUY2494" s="59"/>
      <c r="IUZ2494" s="59"/>
      <c r="IVA2494" s="59"/>
      <c r="IVB2494" s="60"/>
      <c r="IVC2494" s="60"/>
      <c r="IVD2494" s="60"/>
      <c r="IVE2494" s="59"/>
      <c r="IVF2494" s="61"/>
      <c r="IVG2494" s="59"/>
      <c r="IVH2494" s="59"/>
      <c r="IVI2494" s="59"/>
      <c r="IVJ2494" s="60"/>
      <c r="IVK2494" s="60"/>
      <c r="IVL2494" s="60"/>
      <c r="IVM2494" s="59"/>
      <c r="IVN2494" s="61"/>
      <c r="IVO2494" s="59"/>
      <c r="IVP2494" s="59"/>
      <c r="IVQ2494" s="59"/>
      <c r="IVR2494" s="60"/>
      <c r="IVS2494" s="60"/>
      <c r="IVT2494" s="60"/>
      <c r="IVU2494" s="59"/>
      <c r="IVV2494" s="61"/>
      <c r="IVW2494" s="59"/>
      <c r="IVX2494" s="59"/>
      <c r="IVY2494" s="59"/>
      <c r="IVZ2494" s="60"/>
      <c r="IWA2494" s="60"/>
      <c r="IWB2494" s="60"/>
      <c r="IWC2494" s="59"/>
      <c r="IWD2494" s="61"/>
      <c r="IWE2494" s="59"/>
      <c r="IWF2494" s="59"/>
      <c r="IWG2494" s="59"/>
      <c r="IWH2494" s="60"/>
      <c r="IWI2494" s="60"/>
      <c r="IWJ2494" s="60"/>
      <c r="IWK2494" s="59"/>
      <c r="IWL2494" s="61"/>
      <c r="IWM2494" s="59"/>
      <c r="IWN2494" s="59"/>
      <c r="IWO2494" s="59"/>
      <c r="IWP2494" s="60"/>
      <c r="IWQ2494" s="60"/>
      <c r="IWR2494" s="60"/>
      <c r="IWS2494" s="59"/>
      <c r="IWT2494" s="61"/>
      <c r="IWU2494" s="59"/>
      <c r="IWV2494" s="59"/>
      <c r="IWW2494" s="59"/>
      <c r="IWX2494" s="60"/>
      <c r="IWY2494" s="60"/>
      <c r="IWZ2494" s="60"/>
      <c r="IXA2494" s="59"/>
      <c r="IXB2494" s="61"/>
      <c r="IXC2494" s="59"/>
      <c r="IXD2494" s="59"/>
      <c r="IXE2494" s="59"/>
      <c r="IXF2494" s="60"/>
      <c r="IXG2494" s="60"/>
      <c r="IXH2494" s="60"/>
      <c r="IXI2494" s="59"/>
      <c r="IXJ2494" s="61"/>
      <c r="IXK2494" s="59"/>
      <c r="IXL2494" s="59"/>
      <c r="IXM2494" s="59"/>
      <c r="IXN2494" s="60"/>
      <c r="IXO2494" s="60"/>
      <c r="IXP2494" s="60"/>
      <c r="IXQ2494" s="59"/>
      <c r="IXR2494" s="61"/>
      <c r="IXS2494" s="59"/>
      <c r="IXT2494" s="59"/>
      <c r="IXU2494" s="59"/>
      <c r="IXV2494" s="60"/>
      <c r="IXW2494" s="60"/>
      <c r="IXX2494" s="60"/>
      <c r="IXY2494" s="59"/>
      <c r="IXZ2494" s="61"/>
      <c r="IYA2494" s="59"/>
      <c r="IYB2494" s="59"/>
      <c r="IYC2494" s="59"/>
      <c r="IYD2494" s="60"/>
      <c r="IYE2494" s="60"/>
      <c r="IYF2494" s="60"/>
      <c r="IYG2494" s="59"/>
      <c r="IYH2494" s="61"/>
      <c r="IYI2494" s="59"/>
      <c r="IYJ2494" s="59"/>
      <c r="IYK2494" s="59"/>
      <c r="IYL2494" s="60"/>
      <c r="IYM2494" s="60"/>
      <c r="IYN2494" s="60"/>
      <c r="IYO2494" s="59"/>
      <c r="IYP2494" s="61"/>
      <c r="IYQ2494" s="59"/>
      <c r="IYR2494" s="59"/>
      <c r="IYS2494" s="59"/>
      <c r="IYT2494" s="60"/>
      <c r="IYU2494" s="60"/>
      <c r="IYV2494" s="60"/>
      <c r="IYW2494" s="59"/>
      <c r="IYX2494" s="61"/>
      <c r="IYY2494" s="59"/>
      <c r="IYZ2494" s="59"/>
      <c r="IZA2494" s="59"/>
      <c r="IZB2494" s="60"/>
      <c r="IZC2494" s="60"/>
      <c r="IZD2494" s="60"/>
      <c r="IZE2494" s="59"/>
      <c r="IZF2494" s="61"/>
      <c r="IZG2494" s="59"/>
      <c r="IZH2494" s="59"/>
      <c r="IZI2494" s="59"/>
      <c r="IZJ2494" s="60"/>
      <c r="IZK2494" s="60"/>
      <c r="IZL2494" s="60"/>
      <c r="IZM2494" s="59"/>
      <c r="IZN2494" s="61"/>
      <c r="IZO2494" s="59"/>
      <c r="IZP2494" s="59"/>
      <c r="IZQ2494" s="59"/>
      <c r="IZR2494" s="60"/>
      <c r="IZS2494" s="60"/>
      <c r="IZT2494" s="60"/>
      <c r="IZU2494" s="59"/>
      <c r="IZV2494" s="61"/>
      <c r="IZW2494" s="59"/>
      <c r="IZX2494" s="59"/>
      <c r="IZY2494" s="59"/>
      <c r="IZZ2494" s="60"/>
      <c r="JAA2494" s="60"/>
      <c r="JAB2494" s="60"/>
      <c r="JAC2494" s="59"/>
      <c r="JAD2494" s="61"/>
      <c r="JAE2494" s="59"/>
      <c r="JAF2494" s="59"/>
      <c r="JAG2494" s="59"/>
      <c r="JAH2494" s="60"/>
      <c r="JAI2494" s="60"/>
      <c r="JAJ2494" s="60"/>
      <c r="JAK2494" s="59"/>
      <c r="JAL2494" s="61"/>
      <c r="JAM2494" s="59"/>
      <c r="JAN2494" s="59"/>
      <c r="JAO2494" s="59"/>
      <c r="JAP2494" s="60"/>
      <c r="JAQ2494" s="60"/>
      <c r="JAR2494" s="60"/>
      <c r="JAS2494" s="59"/>
      <c r="JAT2494" s="61"/>
      <c r="JAU2494" s="59"/>
      <c r="JAV2494" s="59"/>
      <c r="JAW2494" s="59"/>
      <c r="JAX2494" s="60"/>
      <c r="JAY2494" s="60"/>
      <c r="JAZ2494" s="60"/>
      <c r="JBA2494" s="59"/>
      <c r="JBB2494" s="61"/>
      <c r="JBC2494" s="59"/>
      <c r="JBD2494" s="59"/>
      <c r="JBE2494" s="59"/>
      <c r="JBF2494" s="60"/>
      <c r="JBG2494" s="60"/>
      <c r="JBH2494" s="60"/>
      <c r="JBI2494" s="59"/>
      <c r="JBJ2494" s="61"/>
      <c r="JBK2494" s="59"/>
      <c r="JBL2494" s="59"/>
      <c r="JBM2494" s="59"/>
      <c r="JBN2494" s="60"/>
      <c r="JBO2494" s="60"/>
      <c r="JBP2494" s="60"/>
      <c r="JBQ2494" s="59"/>
      <c r="JBR2494" s="61"/>
      <c r="JBS2494" s="59"/>
      <c r="JBT2494" s="59"/>
      <c r="JBU2494" s="59"/>
      <c r="JBV2494" s="60"/>
      <c r="JBW2494" s="60"/>
      <c r="JBX2494" s="60"/>
      <c r="JBY2494" s="59"/>
      <c r="JBZ2494" s="61"/>
      <c r="JCA2494" s="59"/>
      <c r="JCB2494" s="59"/>
      <c r="JCC2494" s="59"/>
      <c r="JCD2494" s="60"/>
      <c r="JCE2494" s="60"/>
      <c r="JCF2494" s="60"/>
      <c r="JCG2494" s="59"/>
      <c r="JCH2494" s="61"/>
      <c r="JCI2494" s="59"/>
      <c r="JCJ2494" s="59"/>
      <c r="JCK2494" s="59"/>
      <c r="JCL2494" s="60"/>
      <c r="JCM2494" s="60"/>
      <c r="JCN2494" s="60"/>
      <c r="JCO2494" s="59"/>
      <c r="JCP2494" s="61"/>
      <c r="JCQ2494" s="59"/>
      <c r="JCR2494" s="59"/>
      <c r="JCS2494" s="59"/>
      <c r="JCT2494" s="60"/>
      <c r="JCU2494" s="60"/>
      <c r="JCV2494" s="60"/>
      <c r="JCW2494" s="59"/>
      <c r="JCX2494" s="61"/>
      <c r="JCY2494" s="59"/>
      <c r="JCZ2494" s="59"/>
      <c r="JDA2494" s="59"/>
      <c r="JDB2494" s="60"/>
      <c r="JDC2494" s="60"/>
      <c r="JDD2494" s="60"/>
      <c r="JDE2494" s="59"/>
      <c r="JDF2494" s="61"/>
      <c r="JDG2494" s="59"/>
      <c r="JDH2494" s="59"/>
      <c r="JDI2494" s="59"/>
      <c r="JDJ2494" s="60"/>
      <c r="JDK2494" s="60"/>
      <c r="JDL2494" s="60"/>
      <c r="JDM2494" s="59"/>
      <c r="JDN2494" s="61"/>
      <c r="JDO2494" s="59"/>
      <c r="JDP2494" s="59"/>
      <c r="JDQ2494" s="59"/>
      <c r="JDR2494" s="60"/>
      <c r="JDS2494" s="60"/>
      <c r="JDT2494" s="60"/>
      <c r="JDU2494" s="59"/>
      <c r="JDV2494" s="61"/>
      <c r="JDW2494" s="59"/>
      <c r="JDX2494" s="59"/>
      <c r="JDY2494" s="59"/>
      <c r="JDZ2494" s="60"/>
      <c r="JEA2494" s="60"/>
      <c r="JEB2494" s="60"/>
      <c r="JEC2494" s="59"/>
      <c r="JED2494" s="61"/>
      <c r="JEE2494" s="59"/>
      <c r="JEF2494" s="59"/>
      <c r="JEG2494" s="59"/>
      <c r="JEH2494" s="60"/>
      <c r="JEI2494" s="60"/>
      <c r="JEJ2494" s="60"/>
      <c r="JEK2494" s="59"/>
      <c r="JEL2494" s="61"/>
      <c r="JEM2494" s="59"/>
      <c r="JEN2494" s="59"/>
      <c r="JEO2494" s="59"/>
      <c r="JEP2494" s="60"/>
      <c r="JEQ2494" s="60"/>
      <c r="JER2494" s="60"/>
      <c r="JES2494" s="59"/>
      <c r="JET2494" s="61"/>
      <c r="JEU2494" s="59"/>
      <c r="JEV2494" s="59"/>
      <c r="JEW2494" s="59"/>
      <c r="JEX2494" s="60"/>
      <c r="JEY2494" s="60"/>
      <c r="JEZ2494" s="60"/>
      <c r="JFA2494" s="59"/>
      <c r="JFB2494" s="61"/>
      <c r="JFC2494" s="59"/>
      <c r="JFD2494" s="59"/>
      <c r="JFE2494" s="59"/>
      <c r="JFF2494" s="60"/>
      <c r="JFG2494" s="60"/>
      <c r="JFH2494" s="60"/>
      <c r="JFI2494" s="59"/>
      <c r="JFJ2494" s="61"/>
      <c r="JFK2494" s="59"/>
      <c r="JFL2494" s="59"/>
      <c r="JFM2494" s="59"/>
      <c r="JFN2494" s="60"/>
      <c r="JFO2494" s="60"/>
      <c r="JFP2494" s="60"/>
      <c r="JFQ2494" s="59"/>
      <c r="JFR2494" s="61"/>
      <c r="JFS2494" s="59"/>
      <c r="JFT2494" s="59"/>
      <c r="JFU2494" s="59"/>
      <c r="JFV2494" s="60"/>
      <c r="JFW2494" s="60"/>
      <c r="JFX2494" s="60"/>
      <c r="JFY2494" s="59"/>
      <c r="JFZ2494" s="61"/>
      <c r="JGA2494" s="59"/>
      <c r="JGB2494" s="59"/>
      <c r="JGC2494" s="59"/>
      <c r="JGD2494" s="60"/>
      <c r="JGE2494" s="60"/>
      <c r="JGF2494" s="60"/>
      <c r="JGG2494" s="59"/>
      <c r="JGH2494" s="61"/>
      <c r="JGI2494" s="59"/>
      <c r="JGJ2494" s="59"/>
      <c r="JGK2494" s="59"/>
      <c r="JGL2494" s="60"/>
      <c r="JGM2494" s="60"/>
      <c r="JGN2494" s="60"/>
      <c r="JGO2494" s="59"/>
      <c r="JGP2494" s="61"/>
      <c r="JGQ2494" s="59"/>
      <c r="JGR2494" s="59"/>
      <c r="JGS2494" s="59"/>
      <c r="JGT2494" s="60"/>
      <c r="JGU2494" s="60"/>
      <c r="JGV2494" s="60"/>
      <c r="JGW2494" s="59"/>
      <c r="JGX2494" s="61"/>
      <c r="JGY2494" s="59"/>
      <c r="JGZ2494" s="59"/>
      <c r="JHA2494" s="59"/>
      <c r="JHB2494" s="60"/>
      <c r="JHC2494" s="60"/>
      <c r="JHD2494" s="60"/>
      <c r="JHE2494" s="59"/>
      <c r="JHF2494" s="61"/>
      <c r="JHG2494" s="59"/>
      <c r="JHH2494" s="59"/>
      <c r="JHI2494" s="59"/>
      <c r="JHJ2494" s="60"/>
      <c r="JHK2494" s="60"/>
      <c r="JHL2494" s="60"/>
      <c r="JHM2494" s="59"/>
      <c r="JHN2494" s="61"/>
      <c r="JHO2494" s="59"/>
      <c r="JHP2494" s="59"/>
      <c r="JHQ2494" s="59"/>
      <c r="JHR2494" s="60"/>
      <c r="JHS2494" s="60"/>
      <c r="JHT2494" s="60"/>
      <c r="JHU2494" s="59"/>
      <c r="JHV2494" s="61"/>
      <c r="JHW2494" s="59"/>
      <c r="JHX2494" s="59"/>
      <c r="JHY2494" s="59"/>
      <c r="JHZ2494" s="60"/>
      <c r="JIA2494" s="60"/>
      <c r="JIB2494" s="60"/>
      <c r="JIC2494" s="59"/>
      <c r="JID2494" s="61"/>
      <c r="JIE2494" s="59"/>
      <c r="JIF2494" s="59"/>
      <c r="JIG2494" s="59"/>
      <c r="JIH2494" s="60"/>
      <c r="JII2494" s="60"/>
      <c r="JIJ2494" s="60"/>
      <c r="JIK2494" s="59"/>
      <c r="JIL2494" s="61"/>
      <c r="JIM2494" s="59"/>
      <c r="JIN2494" s="59"/>
      <c r="JIO2494" s="59"/>
      <c r="JIP2494" s="60"/>
      <c r="JIQ2494" s="60"/>
      <c r="JIR2494" s="60"/>
      <c r="JIS2494" s="59"/>
      <c r="JIT2494" s="61"/>
      <c r="JIU2494" s="59"/>
      <c r="JIV2494" s="59"/>
      <c r="JIW2494" s="59"/>
      <c r="JIX2494" s="60"/>
      <c r="JIY2494" s="60"/>
      <c r="JIZ2494" s="60"/>
      <c r="JJA2494" s="59"/>
      <c r="JJB2494" s="61"/>
      <c r="JJC2494" s="59"/>
      <c r="JJD2494" s="59"/>
      <c r="JJE2494" s="59"/>
      <c r="JJF2494" s="60"/>
      <c r="JJG2494" s="60"/>
      <c r="JJH2494" s="60"/>
      <c r="JJI2494" s="59"/>
      <c r="JJJ2494" s="61"/>
      <c r="JJK2494" s="59"/>
      <c r="JJL2494" s="59"/>
      <c r="JJM2494" s="59"/>
      <c r="JJN2494" s="60"/>
      <c r="JJO2494" s="60"/>
      <c r="JJP2494" s="60"/>
      <c r="JJQ2494" s="59"/>
      <c r="JJR2494" s="61"/>
      <c r="JJS2494" s="59"/>
      <c r="JJT2494" s="59"/>
      <c r="JJU2494" s="59"/>
      <c r="JJV2494" s="60"/>
      <c r="JJW2494" s="60"/>
      <c r="JJX2494" s="60"/>
      <c r="JJY2494" s="59"/>
      <c r="JJZ2494" s="61"/>
      <c r="JKA2494" s="59"/>
      <c r="JKB2494" s="59"/>
      <c r="JKC2494" s="59"/>
      <c r="JKD2494" s="60"/>
      <c r="JKE2494" s="60"/>
      <c r="JKF2494" s="60"/>
      <c r="JKG2494" s="59"/>
      <c r="JKH2494" s="61"/>
      <c r="JKI2494" s="59"/>
      <c r="JKJ2494" s="59"/>
      <c r="JKK2494" s="59"/>
      <c r="JKL2494" s="60"/>
      <c r="JKM2494" s="60"/>
      <c r="JKN2494" s="60"/>
      <c r="JKO2494" s="59"/>
      <c r="JKP2494" s="61"/>
      <c r="JKQ2494" s="59"/>
      <c r="JKR2494" s="59"/>
      <c r="JKS2494" s="59"/>
      <c r="JKT2494" s="60"/>
      <c r="JKU2494" s="60"/>
      <c r="JKV2494" s="60"/>
      <c r="JKW2494" s="59"/>
      <c r="JKX2494" s="61"/>
      <c r="JKY2494" s="59"/>
      <c r="JKZ2494" s="59"/>
      <c r="JLA2494" s="59"/>
      <c r="JLB2494" s="60"/>
      <c r="JLC2494" s="60"/>
      <c r="JLD2494" s="60"/>
      <c r="JLE2494" s="59"/>
      <c r="JLF2494" s="61"/>
      <c r="JLG2494" s="59"/>
      <c r="JLH2494" s="59"/>
      <c r="JLI2494" s="59"/>
      <c r="JLJ2494" s="60"/>
      <c r="JLK2494" s="60"/>
      <c r="JLL2494" s="60"/>
      <c r="JLM2494" s="59"/>
      <c r="JLN2494" s="61"/>
      <c r="JLO2494" s="59"/>
      <c r="JLP2494" s="59"/>
      <c r="JLQ2494" s="59"/>
      <c r="JLR2494" s="60"/>
      <c r="JLS2494" s="60"/>
      <c r="JLT2494" s="60"/>
      <c r="JLU2494" s="59"/>
      <c r="JLV2494" s="61"/>
      <c r="JLW2494" s="59"/>
      <c r="JLX2494" s="59"/>
      <c r="JLY2494" s="59"/>
      <c r="JLZ2494" s="60"/>
      <c r="JMA2494" s="60"/>
      <c r="JMB2494" s="60"/>
      <c r="JMC2494" s="59"/>
      <c r="JMD2494" s="61"/>
      <c r="JME2494" s="59"/>
      <c r="JMF2494" s="59"/>
      <c r="JMG2494" s="59"/>
      <c r="JMH2494" s="60"/>
      <c r="JMI2494" s="60"/>
      <c r="JMJ2494" s="60"/>
      <c r="JMK2494" s="59"/>
      <c r="JML2494" s="61"/>
      <c r="JMM2494" s="59"/>
      <c r="JMN2494" s="59"/>
      <c r="JMO2494" s="59"/>
      <c r="JMP2494" s="60"/>
      <c r="JMQ2494" s="60"/>
      <c r="JMR2494" s="60"/>
      <c r="JMS2494" s="59"/>
      <c r="JMT2494" s="61"/>
      <c r="JMU2494" s="59"/>
      <c r="JMV2494" s="59"/>
      <c r="JMW2494" s="59"/>
      <c r="JMX2494" s="60"/>
      <c r="JMY2494" s="60"/>
      <c r="JMZ2494" s="60"/>
      <c r="JNA2494" s="59"/>
      <c r="JNB2494" s="61"/>
      <c r="JNC2494" s="59"/>
      <c r="JND2494" s="59"/>
      <c r="JNE2494" s="59"/>
      <c r="JNF2494" s="60"/>
      <c r="JNG2494" s="60"/>
      <c r="JNH2494" s="60"/>
      <c r="JNI2494" s="59"/>
      <c r="JNJ2494" s="61"/>
      <c r="JNK2494" s="59"/>
      <c r="JNL2494" s="59"/>
      <c r="JNM2494" s="59"/>
      <c r="JNN2494" s="60"/>
      <c r="JNO2494" s="60"/>
      <c r="JNP2494" s="60"/>
      <c r="JNQ2494" s="59"/>
      <c r="JNR2494" s="61"/>
      <c r="JNS2494" s="59"/>
      <c r="JNT2494" s="59"/>
      <c r="JNU2494" s="59"/>
      <c r="JNV2494" s="60"/>
      <c r="JNW2494" s="60"/>
      <c r="JNX2494" s="60"/>
      <c r="JNY2494" s="59"/>
      <c r="JNZ2494" s="61"/>
      <c r="JOA2494" s="59"/>
      <c r="JOB2494" s="59"/>
      <c r="JOC2494" s="59"/>
      <c r="JOD2494" s="60"/>
      <c r="JOE2494" s="60"/>
      <c r="JOF2494" s="60"/>
      <c r="JOG2494" s="59"/>
      <c r="JOH2494" s="61"/>
      <c r="JOI2494" s="59"/>
      <c r="JOJ2494" s="59"/>
      <c r="JOK2494" s="59"/>
      <c r="JOL2494" s="60"/>
      <c r="JOM2494" s="60"/>
      <c r="JON2494" s="60"/>
      <c r="JOO2494" s="59"/>
      <c r="JOP2494" s="61"/>
      <c r="JOQ2494" s="59"/>
      <c r="JOR2494" s="59"/>
      <c r="JOS2494" s="59"/>
      <c r="JOT2494" s="60"/>
      <c r="JOU2494" s="60"/>
      <c r="JOV2494" s="60"/>
      <c r="JOW2494" s="59"/>
      <c r="JOX2494" s="61"/>
      <c r="JOY2494" s="59"/>
      <c r="JOZ2494" s="59"/>
      <c r="JPA2494" s="59"/>
      <c r="JPB2494" s="60"/>
      <c r="JPC2494" s="60"/>
      <c r="JPD2494" s="60"/>
      <c r="JPE2494" s="59"/>
      <c r="JPF2494" s="61"/>
      <c r="JPG2494" s="59"/>
      <c r="JPH2494" s="59"/>
      <c r="JPI2494" s="59"/>
      <c r="JPJ2494" s="60"/>
      <c r="JPK2494" s="60"/>
      <c r="JPL2494" s="60"/>
      <c r="JPM2494" s="59"/>
      <c r="JPN2494" s="61"/>
      <c r="JPO2494" s="59"/>
      <c r="JPP2494" s="59"/>
      <c r="JPQ2494" s="59"/>
      <c r="JPR2494" s="60"/>
      <c r="JPS2494" s="60"/>
      <c r="JPT2494" s="60"/>
      <c r="JPU2494" s="59"/>
      <c r="JPV2494" s="61"/>
      <c r="JPW2494" s="59"/>
      <c r="JPX2494" s="59"/>
      <c r="JPY2494" s="59"/>
      <c r="JPZ2494" s="60"/>
      <c r="JQA2494" s="60"/>
      <c r="JQB2494" s="60"/>
      <c r="JQC2494" s="59"/>
      <c r="JQD2494" s="61"/>
      <c r="JQE2494" s="59"/>
      <c r="JQF2494" s="59"/>
      <c r="JQG2494" s="59"/>
      <c r="JQH2494" s="60"/>
      <c r="JQI2494" s="60"/>
      <c r="JQJ2494" s="60"/>
      <c r="JQK2494" s="59"/>
      <c r="JQL2494" s="61"/>
      <c r="JQM2494" s="59"/>
      <c r="JQN2494" s="59"/>
      <c r="JQO2494" s="59"/>
      <c r="JQP2494" s="60"/>
      <c r="JQQ2494" s="60"/>
      <c r="JQR2494" s="60"/>
      <c r="JQS2494" s="59"/>
      <c r="JQT2494" s="61"/>
      <c r="JQU2494" s="59"/>
      <c r="JQV2494" s="59"/>
      <c r="JQW2494" s="59"/>
      <c r="JQX2494" s="60"/>
      <c r="JQY2494" s="60"/>
      <c r="JQZ2494" s="60"/>
      <c r="JRA2494" s="59"/>
      <c r="JRB2494" s="61"/>
      <c r="JRC2494" s="59"/>
      <c r="JRD2494" s="59"/>
      <c r="JRE2494" s="59"/>
      <c r="JRF2494" s="60"/>
      <c r="JRG2494" s="60"/>
      <c r="JRH2494" s="60"/>
      <c r="JRI2494" s="59"/>
      <c r="JRJ2494" s="61"/>
      <c r="JRK2494" s="59"/>
      <c r="JRL2494" s="59"/>
      <c r="JRM2494" s="59"/>
      <c r="JRN2494" s="60"/>
      <c r="JRO2494" s="60"/>
      <c r="JRP2494" s="60"/>
      <c r="JRQ2494" s="59"/>
      <c r="JRR2494" s="61"/>
      <c r="JRS2494" s="59"/>
      <c r="JRT2494" s="59"/>
      <c r="JRU2494" s="59"/>
      <c r="JRV2494" s="60"/>
      <c r="JRW2494" s="60"/>
      <c r="JRX2494" s="60"/>
      <c r="JRY2494" s="59"/>
      <c r="JRZ2494" s="61"/>
      <c r="JSA2494" s="59"/>
      <c r="JSB2494" s="59"/>
      <c r="JSC2494" s="59"/>
      <c r="JSD2494" s="60"/>
      <c r="JSE2494" s="60"/>
      <c r="JSF2494" s="60"/>
      <c r="JSG2494" s="59"/>
      <c r="JSH2494" s="61"/>
      <c r="JSI2494" s="59"/>
      <c r="JSJ2494" s="59"/>
      <c r="JSK2494" s="59"/>
      <c r="JSL2494" s="60"/>
      <c r="JSM2494" s="60"/>
      <c r="JSN2494" s="60"/>
      <c r="JSO2494" s="59"/>
      <c r="JSP2494" s="61"/>
      <c r="JSQ2494" s="59"/>
      <c r="JSR2494" s="59"/>
      <c r="JSS2494" s="59"/>
      <c r="JST2494" s="60"/>
      <c r="JSU2494" s="60"/>
      <c r="JSV2494" s="60"/>
      <c r="JSW2494" s="59"/>
      <c r="JSX2494" s="61"/>
      <c r="JSY2494" s="59"/>
      <c r="JSZ2494" s="59"/>
      <c r="JTA2494" s="59"/>
      <c r="JTB2494" s="60"/>
      <c r="JTC2494" s="60"/>
      <c r="JTD2494" s="60"/>
      <c r="JTE2494" s="59"/>
      <c r="JTF2494" s="61"/>
      <c r="JTG2494" s="59"/>
      <c r="JTH2494" s="59"/>
      <c r="JTI2494" s="59"/>
      <c r="JTJ2494" s="60"/>
      <c r="JTK2494" s="60"/>
      <c r="JTL2494" s="60"/>
      <c r="JTM2494" s="59"/>
      <c r="JTN2494" s="61"/>
      <c r="JTO2494" s="59"/>
      <c r="JTP2494" s="59"/>
      <c r="JTQ2494" s="59"/>
      <c r="JTR2494" s="60"/>
      <c r="JTS2494" s="60"/>
      <c r="JTT2494" s="60"/>
      <c r="JTU2494" s="59"/>
      <c r="JTV2494" s="61"/>
      <c r="JTW2494" s="59"/>
      <c r="JTX2494" s="59"/>
      <c r="JTY2494" s="59"/>
      <c r="JTZ2494" s="60"/>
      <c r="JUA2494" s="60"/>
      <c r="JUB2494" s="60"/>
      <c r="JUC2494" s="59"/>
      <c r="JUD2494" s="61"/>
      <c r="JUE2494" s="59"/>
      <c r="JUF2494" s="59"/>
      <c r="JUG2494" s="59"/>
      <c r="JUH2494" s="60"/>
      <c r="JUI2494" s="60"/>
      <c r="JUJ2494" s="60"/>
      <c r="JUK2494" s="59"/>
      <c r="JUL2494" s="61"/>
      <c r="JUM2494" s="59"/>
      <c r="JUN2494" s="59"/>
      <c r="JUO2494" s="59"/>
      <c r="JUP2494" s="60"/>
      <c r="JUQ2494" s="60"/>
      <c r="JUR2494" s="60"/>
      <c r="JUS2494" s="59"/>
      <c r="JUT2494" s="61"/>
      <c r="JUU2494" s="59"/>
      <c r="JUV2494" s="59"/>
      <c r="JUW2494" s="59"/>
      <c r="JUX2494" s="60"/>
      <c r="JUY2494" s="60"/>
      <c r="JUZ2494" s="60"/>
      <c r="JVA2494" s="59"/>
      <c r="JVB2494" s="61"/>
      <c r="JVC2494" s="59"/>
      <c r="JVD2494" s="59"/>
      <c r="JVE2494" s="59"/>
      <c r="JVF2494" s="60"/>
      <c r="JVG2494" s="60"/>
      <c r="JVH2494" s="60"/>
      <c r="JVI2494" s="59"/>
      <c r="JVJ2494" s="61"/>
      <c r="JVK2494" s="59"/>
      <c r="JVL2494" s="59"/>
      <c r="JVM2494" s="59"/>
      <c r="JVN2494" s="60"/>
      <c r="JVO2494" s="60"/>
      <c r="JVP2494" s="60"/>
      <c r="JVQ2494" s="59"/>
      <c r="JVR2494" s="61"/>
      <c r="JVS2494" s="59"/>
      <c r="JVT2494" s="59"/>
      <c r="JVU2494" s="59"/>
      <c r="JVV2494" s="60"/>
      <c r="JVW2494" s="60"/>
      <c r="JVX2494" s="60"/>
      <c r="JVY2494" s="59"/>
      <c r="JVZ2494" s="61"/>
      <c r="JWA2494" s="59"/>
      <c r="JWB2494" s="59"/>
      <c r="JWC2494" s="59"/>
      <c r="JWD2494" s="60"/>
      <c r="JWE2494" s="60"/>
      <c r="JWF2494" s="60"/>
      <c r="JWG2494" s="59"/>
      <c r="JWH2494" s="61"/>
      <c r="JWI2494" s="59"/>
      <c r="JWJ2494" s="59"/>
      <c r="JWK2494" s="59"/>
      <c r="JWL2494" s="60"/>
      <c r="JWM2494" s="60"/>
      <c r="JWN2494" s="60"/>
      <c r="JWO2494" s="59"/>
      <c r="JWP2494" s="61"/>
      <c r="JWQ2494" s="59"/>
      <c r="JWR2494" s="59"/>
      <c r="JWS2494" s="59"/>
      <c r="JWT2494" s="60"/>
      <c r="JWU2494" s="60"/>
      <c r="JWV2494" s="60"/>
      <c r="JWW2494" s="59"/>
      <c r="JWX2494" s="61"/>
      <c r="JWY2494" s="59"/>
      <c r="JWZ2494" s="59"/>
      <c r="JXA2494" s="59"/>
      <c r="JXB2494" s="60"/>
      <c r="JXC2494" s="60"/>
      <c r="JXD2494" s="60"/>
      <c r="JXE2494" s="59"/>
      <c r="JXF2494" s="61"/>
      <c r="JXG2494" s="59"/>
      <c r="JXH2494" s="59"/>
      <c r="JXI2494" s="59"/>
      <c r="JXJ2494" s="60"/>
      <c r="JXK2494" s="60"/>
      <c r="JXL2494" s="60"/>
      <c r="JXM2494" s="59"/>
      <c r="JXN2494" s="61"/>
      <c r="JXO2494" s="59"/>
      <c r="JXP2494" s="59"/>
      <c r="JXQ2494" s="59"/>
      <c r="JXR2494" s="60"/>
      <c r="JXS2494" s="60"/>
      <c r="JXT2494" s="60"/>
      <c r="JXU2494" s="59"/>
      <c r="JXV2494" s="61"/>
      <c r="JXW2494" s="59"/>
      <c r="JXX2494" s="59"/>
      <c r="JXY2494" s="59"/>
      <c r="JXZ2494" s="60"/>
      <c r="JYA2494" s="60"/>
      <c r="JYB2494" s="60"/>
      <c r="JYC2494" s="59"/>
      <c r="JYD2494" s="61"/>
      <c r="JYE2494" s="59"/>
      <c r="JYF2494" s="59"/>
      <c r="JYG2494" s="59"/>
      <c r="JYH2494" s="60"/>
      <c r="JYI2494" s="60"/>
      <c r="JYJ2494" s="60"/>
      <c r="JYK2494" s="59"/>
      <c r="JYL2494" s="61"/>
      <c r="JYM2494" s="59"/>
      <c r="JYN2494" s="59"/>
      <c r="JYO2494" s="59"/>
      <c r="JYP2494" s="60"/>
      <c r="JYQ2494" s="60"/>
      <c r="JYR2494" s="60"/>
      <c r="JYS2494" s="59"/>
      <c r="JYT2494" s="61"/>
      <c r="JYU2494" s="59"/>
      <c r="JYV2494" s="59"/>
      <c r="JYW2494" s="59"/>
      <c r="JYX2494" s="60"/>
      <c r="JYY2494" s="60"/>
      <c r="JYZ2494" s="60"/>
      <c r="JZA2494" s="59"/>
      <c r="JZB2494" s="61"/>
      <c r="JZC2494" s="59"/>
      <c r="JZD2494" s="59"/>
      <c r="JZE2494" s="59"/>
      <c r="JZF2494" s="60"/>
      <c r="JZG2494" s="60"/>
      <c r="JZH2494" s="60"/>
      <c r="JZI2494" s="59"/>
      <c r="JZJ2494" s="61"/>
      <c r="JZK2494" s="59"/>
      <c r="JZL2494" s="59"/>
      <c r="JZM2494" s="59"/>
      <c r="JZN2494" s="60"/>
      <c r="JZO2494" s="60"/>
      <c r="JZP2494" s="60"/>
      <c r="JZQ2494" s="59"/>
      <c r="JZR2494" s="61"/>
      <c r="JZS2494" s="59"/>
      <c r="JZT2494" s="59"/>
      <c r="JZU2494" s="59"/>
      <c r="JZV2494" s="60"/>
      <c r="JZW2494" s="60"/>
      <c r="JZX2494" s="60"/>
      <c r="JZY2494" s="59"/>
      <c r="JZZ2494" s="61"/>
      <c r="KAA2494" s="59"/>
      <c r="KAB2494" s="59"/>
      <c r="KAC2494" s="59"/>
      <c r="KAD2494" s="60"/>
      <c r="KAE2494" s="60"/>
      <c r="KAF2494" s="60"/>
      <c r="KAG2494" s="59"/>
      <c r="KAH2494" s="61"/>
      <c r="KAI2494" s="59"/>
      <c r="KAJ2494" s="59"/>
      <c r="KAK2494" s="59"/>
      <c r="KAL2494" s="60"/>
      <c r="KAM2494" s="60"/>
      <c r="KAN2494" s="60"/>
      <c r="KAO2494" s="59"/>
      <c r="KAP2494" s="61"/>
      <c r="KAQ2494" s="59"/>
      <c r="KAR2494" s="59"/>
      <c r="KAS2494" s="59"/>
      <c r="KAT2494" s="60"/>
      <c r="KAU2494" s="60"/>
      <c r="KAV2494" s="60"/>
      <c r="KAW2494" s="59"/>
      <c r="KAX2494" s="61"/>
      <c r="KAY2494" s="59"/>
      <c r="KAZ2494" s="59"/>
      <c r="KBA2494" s="59"/>
      <c r="KBB2494" s="60"/>
      <c r="KBC2494" s="60"/>
      <c r="KBD2494" s="60"/>
      <c r="KBE2494" s="59"/>
      <c r="KBF2494" s="61"/>
      <c r="KBG2494" s="59"/>
      <c r="KBH2494" s="59"/>
      <c r="KBI2494" s="59"/>
      <c r="KBJ2494" s="60"/>
      <c r="KBK2494" s="60"/>
      <c r="KBL2494" s="60"/>
      <c r="KBM2494" s="59"/>
      <c r="KBN2494" s="61"/>
      <c r="KBO2494" s="59"/>
      <c r="KBP2494" s="59"/>
      <c r="KBQ2494" s="59"/>
      <c r="KBR2494" s="60"/>
      <c r="KBS2494" s="60"/>
      <c r="KBT2494" s="60"/>
      <c r="KBU2494" s="59"/>
      <c r="KBV2494" s="61"/>
      <c r="KBW2494" s="59"/>
      <c r="KBX2494" s="59"/>
      <c r="KBY2494" s="59"/>
      <c r="KBZ2494" s="60"/>
      <c r="KCA2494" s="60"/>
      <c r="KCB2494" s="60"/>
      <c r="KCC2494" s="59"/>
      <c r="KCD2494" s="61"/>
      <c r="KCE2494" s="59"/>
      <c r="KCF2494" s="59"/>
      <c r="KCG2494" s="59"/>
      <c r="KCH2494" s="60"/>
      <c r="KCI2494" s="60"/>
      <c r="KCJ2494" s="60"/>
      <c r="KCK2494" s="59"/>
      <c r="KCL2494" s="61"/>
      <c r="KCM2494" s="59"/>
      <c r="KCN2494" s="59"/>
      <c r="KCO2494" s="59"/>
      <c r="KCP2494" s="60"/>
      <c r="KCQ2494" s="60"/>
      <c r="KCR2494" s="60"/>
      <c r="KCS2494" s="59"/>
      <c r="KCT2494" s="61"/>
      <c r="KCU2494" s="59"/>
      <c r="KCV2494" s="59"/>
      <c r="KCW2494" s="59"/>
      <c r="KCX2494" s="60"/>
      <c r="KCY2494" s="60"/>
      <c r="KCZ2494" s="60"/>
      <c r="KDA2494" s="59"/>
      <c r="KDB2494" s="61"/>
      <c r="KDC2494" s="59"/>
      <c r="KDD2494" s="59"/>
      <c r="KDE2494" s="59"/>
      <c r="KDF2494" s="60"/>
      <c r="KDG2494" s="60"/>
      <c r="KDH2494" s="60"/>
      <c r="KDI2494" s="59"/>
      <c r="KDJ2494" s="61"/>
      <c r="KDK2494" s="59"/>
      <c r="KDL2494" s="59"/>
      <c r="KDM2494" s="59"/>
      <c r="KDN2494" s="60"/>
      <c r="KDO2494" s="60"/>
      <c r="KDP2494" s="60"/>
      <c r="KDQ2494" s="59"/>
      <c r="KDR2494" s="61"/>
      <c r="KDS2494" s="59"/>
      <c r="KDT2494" s="59"/>
      <c r="KDU2494" s="59"/>
      <c r="KDV2494" s="60"/>
      <c r="KDW2494" s="60"/>
      <c r="KDX2494" s="60"/>
      <c r="KDY2494" s="59"/>
      <c r="KDZ2494" s="61"/>
      <c r="KEA2494" s="59"/>
      <c r="KEB2494" s="59"/>
      <c r="KEC2494" s="59"/>
      <c r="KED2494" s="60"/>
      <c r="KEE2494" s="60"/>
      <c r="KEF2494" s="60"/>
      <c r="KEG2494" s="59"/>
      <c r="KEH2494" s="61"/>
      <c r="KEI2494" s="59"/>
      <c r="KEJ2494" s="59"/>
      <c r="KEK2494" s="59"/>
      <c r="KEL2494" s="60"/>
      <c r="KEM2494" s="60"/>
      <c r="KEN2494" s="60"/>
      <c r="KEO2494" s="59"/>
      <c r="KEP2494" s="61"/>
      <c r="KEQ2494" s="59"/>
      <c r="KER2494" s="59"/>
      <c r="KES2494" s="59"/>
      <c r="KET2494" s="60"/>
      <c r="KEU2494" s="60"/>
      <c r="KEV2494" s="60"/>
      <c r="KEW2494" s="59"/>
      <c r="KEX2494" s="61"/>
      <c r="KEY2494" s="59"/>
      <c r="KEZ2494" s="59"/>
      <c r="KFA2494" s="59"/>
      <c r="KFB2494" s="60"/>
      <c r="KFC2494" s="60"/>
      <c r="KFD2494" s="60"/>
      <c r="KFE2494" s="59"/>
      <c r="KFF2494" s="61"/>
      <c r="KFG2494" s="59"/>
      <c r="KFH2494" s="59"/>
      <c r="KFI2494" s="59"/>
      <c r="KFJ2494" s="60"/>
      <c r="KFK2494" s="60"/>
      <c r="KFL2494" s="60"/>
      <c r="KFM2494" s="59"/>
      <c r="KFN2494" s="61"/>
      <c r="KFO2494" s="59"/>
      <c r="KFP2494" s="59"/>
      <c r="KFQ2494" s="59"/>
      <c r="KFR2494" s="60"/>
      <c r="KFS2494" s="60"/>
      <c r="KFT2494" s="60"/>
      <c r="KFU2494" s="59"/>
      <c r="KFV2494" s="61"/>
      <c r="KFW2494" s="59"/>
      <c r="KFX2494" s="59"/>
      <c r="KFY2494" s="59"/>
      <c r="KFZ2494" s="60"/>
      <c r="KGA2494" s="60"/>
      <c r="KGB2494" s="60"/>
      <c r="KGC2494" s="59"/>
      <c r="KGD2494" s="61"/>
      <c r="KGE2494" s="59"/>
      <c r="KGF2494" s="59"/>
      <c r="KGG2494" s="59"/>
      <c r="KGH2494" s="60"/>
      <c r="KGI2494" s="60"/>
      <c r="KGJ2494" s="60"/>
      <c r="KGK2494" s="59"/>
      <c r="KGL2494" s="61"/>
      <c r="KGM2494" s="59"/>
      <c r="KGN2494" s="59"/>
      <c r="KGO2494" s="59"/>
      <c r="KGP2494" s="60"/>
      <c r="KGQ2494" s="60"/>
      <c r="KGR2494" s="60"/>
      <c r="KGS2494" s="59"/>
      <c r="KGT2494" s="61"/>
      <c r="KGU2494" s="59"/>
      <c r="KGV2494" s="59"/>
      <c r="KGW2494" s="59"/>
      <c r="KGX2494" s="60"/>
      <c r="KGY2494" s="60"/>
      <c r="KGZ2494" s="60"/>
      <c r="KHA2494" s="59"/>
      <c r="KHB2494" s="61"/>
      <c r="KHC2494" s="59"/>
      <c r="KHD2494" s="59"/>
      <c r="KHE2494" s="59"/>
      <c r="KHF2494" s="60"/>
      <c r="KHG2494" s="60"/>
      <c r="KHH2494" s="60"/>
      <c r="KHI2494" s="59"/>
      <c r="KHJ2494" s="61"/>
      <c r="KHK2494" s="59"/>
      <c r="KHL2494" s="59"/>
      <c r="KHM2494" s="59"/>
      <c r="KHN2494" s="60"/>
      <c r="KHO2494" s="60"/>
      <c r="KHP2494" s="60"/>
      <c r="KHQ2494" s="59"/>
      <c r="KHR2494" s="61"/>
      <c r="KHS2494" s="59"/>
      <c r="KHT2494" s="59"/>
      <c r="KHU2494" s="59"/>
      <c r="KHV2494" s="60"/>
      <c r="KHW2494" s="60"/>
      <c r="KHX2494" s="60"/>
      <c r="KHY2494" s="59"/>
      <c r="KHZ2494" s="61"/>
      <c r="KIA2494" s="59"/>
      <c r="KIB2494" s="59"/>
      <c r="KIC2494" s="59"/>
      <c r="KID2494" s="60"/>
      <c r="KIE2494" s="60"/>
      <c r="KIF2494" s="60"/>
      <c r="KIG2494" s="59"/>
      <c r="KIH2494" s="61"/>
      <c r="KII2494" s="59"/>
      <c r="KIJ2494" s="59"/>
      <c r="KIK2494" s="59"/>
      <c r="KIL2494" s="60"/>
      <c r="KIM2494" s="60"/>
      <c r="KIN2494" s="60"/>
      <c r="KIO2494" s="59"/>
      <c r="KIP2494" s="61"/>
      <c r="KIQ2494" s="59"/>
      <c r="KIR2494" s="59"/>
      <c r="KIS2494" s="59"/>
      <c r="KIT2494" s="60"/>
      <c r="KIU2494" s="60"/>
      <c r="KIV2494" s="60"/>
      <c r="KIW2494" s="59"/>
      <c r="KIX2494" s="61"/>
      <c r="KIY2494" s="59"/>
      <c r="KIZ2494" s="59"/>
      <c r="KJA2494" s="59"/>
      <c r="KJB2494" s="60"/>
      <c r="KJC2494" s="60"/>
      <c r="KJD2494" s="60"/>
      <c r="KJE2494" s="59"/>
      <c r="KJF2494" s="61"/>
      <c r="KJG2494" s="59"/>
      <c r="KJH2494" s="59"/>
      <c r="KJI2494" s="59"/>
      <c r="KJJ2494" s="60"/>
      <c r="KJK2494" s="60"/>
      <c r="KJL2494" s="60"/>
      <c r="KJM2494" s="59"/>
      <c r="KJN2494" s="61"/>
      <c r="KJO2494" s="59"/>
      <c r="KJP2494" s="59"/>
      <c r="KJQ2494" s="59"/>
      <c r="KJR2494" s="60"/>
      <c r="KJS2494" s="60"/>
      <c r="KJT2494" s="60"/>
      <c r="KJU2494" s="59"/>
      <c r="KJV2494" s="61"/>
      <c r="KJW2494" s="59"/>
      <c r="KJX2494" s="59"/>
      <c r="KJY2494" s="59"/>
      <c r="KJZ2494" s="60"/>
      <c r="KKA2494" s="60"/>
      <c r="KKB2494" s="60"/>
      <c r="KKC2494" s="59"/>
      <c r="KKD2494" s="61"/>
      <c r="KKE2494" s="59"/>
      <c r="KKF2494" s="59"/>
      <c r="KKG2494" s="59"/>
      <c r="KKH2494" s="60"/>
      <c r="KKI2494" s="60"/>
      <c r="KKJ2494" s="60"/>
      <c r="KKK2494" s="59"/>
      <c r="KKL2494" s="61"/>
      <c r="KKM2494" s="59"/>
      <c r="KKN2494" s="59"/>
      <c r="KKO2494" s="59"/>
      <c r="KKP2494" s="60"/>
      <c r="KKQ2494" s="60"/>
      <c r="KKR2494" s="60"/>
      <c r="KKS2494" s="59"/>
      <c r="KKT2494" s="61"/>
      <c r="KKU2494" s="59"/>
      <c r="KKV2494" s="59"/>
      <c r="KKW2494" s="59"/>
      <c r="KKX2494" s="60"/>
      <c r="KKY2494" s="60"/>
      <c r="KKZ2494" s="60"/>
      <c r="KLA2494" s="59"/>
      <c r="KLB2494" s="61"/>
      <c r="KLC2494" s="59"/>
      <c r="KLD2494" s="59"/>
      <c r="KLE2494" s="59"/>
      <c r="KLF2494" s="60"/>
      <c r="KLG2494" s="60"/>
      <c r="KLH2494" s="60"/>
      <c r="KLI2494" s="59"/>
      <c r="KLJ2494" s="61"/>
      <c r="KLK2494" s="59"/>
      <c r="KLL2494" s="59"/>
      <c r="KLM2494" s="59"/>
      <c r="KLN2494" s="60"/>
      <c r="KLO2494" s="60"/>
      <c r="KLP2494" s="60"/>
      <c r="KLQ2494" s="59"/>
      <c r="KLR2494" s="61"/>
      <c r="KLS2494" s="59"/>
      <c r="KLT2494" s="59"/>
      <c r="KLU2494" s="59"/>
      <c r="KLV2494" s="60"/>
      <c r="KLW2494" s="60"/>
      <c r="KLX2494" s="60"/>
      <c r="KLY2494" s="59"/>
      <c r="KLZ2494" s="61"/>
      <c r="KMA2494" s="59"/>
      <c r="KMB2494" s="59"/>
      <c r="KMC2494" s="59"/>
      <c r="KMD2494" s="60"/>
      <c r="KME2494" s="60"/>
      <c r="KMF2494" s="60"/>
      <c r="KMG2494" s="59"/>
      <c r="KMH2494" s="61"/>
      <c r="KMI2494" s="59"/>
      <c r="KMJ2494" s="59"/>
      <c r="KMK2494" s="59"/>
      <c r="KML2494" s="60"/>
      <c r="KMM2494" s="60"/>
      <c r="KMN2494" s="60"/>
      <c r="KMO2494" s="59"/>
      <c r="KMP2494" s="61"/>
      <c r="KMQ2494" s="59"/>
      <c r="KMR2494" s="59"/>
      <c r="KMS2494" s="59"/>
      <c r="KMT2494" s="60"/>
      <c r="KMU2494" s="60"/>
      <c r="KMV2494" s="60"/>
      <c r="KMW2494" s="59"/>
      <c r="KMX2494" s="61"/>
      <c r="KMY2494" s="59"/>
      <c r="KMZ2494" s="59"/>
      <c r="KNA2494" s="59"/>
      <c r="KNB2494" s="60"/>
      <c r="KNC2494" s="60"/>
      <c r="KND2494" s="60"/>
      <c r="KNE2494" s="59"/>
      <c r="KNF2494" s="61"/>
      <c r="KNG2494" s="59"/>
      <c r="KNH2494" s="59"/>
      <c r="KNI2494" s="59"/>
      <c r="KNJ2494" s="60"/>
      <c r="KNK2494" s="60"/>
      <c r="KNL2494" s="60"/>
      <c r="KNM2494" s="59"/>
      <c r="KNN2494" s="61"/>
      <c r="KNO2494" s="59"/>
      <c r="KNP2494" s="59"/>
      <c r="KNQ2494" s="59"/>
      <c r="KNR2494" s="60"/>
      <c r="KNS2494" s="60"/>
      <c r="KNT2494" s="60"/>
      <c r="KNU2494" s="59"/>
      <c r="KNV2494" s="61"/>
      <c r="KNW2494" s="59"/>
      <c r="KNX2494" s="59"/>
      <c r="KNY2494" s="59"/>
      <c r="KNZ2494" s="60"/>
      <c r="KOA2494" s="60"/>
      <c r="KOB2494" s="60"/>
      <c r="KOC2494" s="59"/>
      <c r="KOD2494" s="61"/>
      <c r="KOE2494" s="59"/>
      <c r="KOF2494" s="59"/>
      <c r="KOG2494" s="59"/>
      <c r="KOH2494" s="60"/>
      <c r="KOI2494" s="60"/>
      <c r="KOJ2494" s="60"/>
      <c r="KOK2494" s="59"/>
      <c r="KOL2494" s="61"/>
      <c r="KOM2494" s="59"/>
      <c r="KON2494" s="59"/>
      <c r="KOO2494" s="59"/>
      <c r="KOP2494" s="60"/>
      <c r="KOQ2494" s="60"/>
      <c r="KOR2494" s="60"/>
      <c r="KOS2494" s="59"/>
      <c r="KOT2494" s="61"/>
      <c r="KOU2494" s="59"/>
      <c r="KOV2494" s="59"/>
      <c r="KOW2494" s="59"/>
      <c r="KOX2494" s="60"/>
      <c r="KOY2494" s="60"/>
      <c r="KOZ2494" s="60"/>
      <c r="KPA2494" s="59"/>
      <c r="KPB2494" s="61"/>
      <c r="KPC2494" s="59"/>
      <c r="KPD2494" s="59"/>
      <c r="KPE2494" s="59"/>
      <c r="KPF2494" s="60"/>
      <c r="KPG2494" s="60"/>
      <c r="KPH2494" s="60"/>
      <c r="KPI2494" s="59"/>
      <c r="KPJ2494" s="61"/>
      <c r="KPK2494" s="59"/>
      <c r="KPL2494" s="59"/>
      <c r="KPM2494" s="59"/>
      <c r="KPN2494" s="60"/>
      <c r="KPO2494" s="60"/>
      <c r="KPP2494" s="60"/>
      <c r="KPQ2494" s="59"/>
      <c r="KPR2494" s="61"/>
      <c r="KPS2494" s="59"/>
      <c r="KPT2494" s="59"/>
      <c r="KPU2494" s="59"/>
      <c r="KPV2494" s="60"/>
      <c r="KPW2494" s="60"/>
      <c r="KPX2494" s="60"/>
      <c r="KPY2494" s="59"/>
      <c r="KPZ2494" s="61"/>
      <c r="KQA2494" s="59"/>
      <c r="KQB2494" s="59"/>
      <c r="KQC2494" s="59"/>
      <c r="KQD2494" s="60"/>
      <c r="KQE2494" s="60"/>
      <c r="KQF2494" s="60"/>
      <c r="KQG2494" s="59"/>
      <c r="KQH2494" s="61"/>
      <c r="KQI2494" s="59"/>
      <c r="KQJ2494" s="59"/>
      <c r="KQK2494" s="59"/>
      <c r="KQL2494" s="60"/>
      <c r="KQM2494" s="60"/>
      <c r="KQN2494" s="60"/>
      <c r="KQO2494" s="59"/>
      <c r="KQP2494" s="61"/>
      <c r="KQQ2494" s="59"/>
      <c r="KQR2494" s="59"/>
      <c r="KQS2494" s="59"/>
      <c r="KQT2494" s="60"/>
      <c r="KQU2494" s="60"/>
      <c r="KQV2494" s="60"/>
      <c r="KQW2494" s="59"/>
      <c r="KQX2494" s="61"/>
      <c r="KQY2494" s="59"/>
      <c r="KQZ2494" s="59"/>
      <c r="KRA2494" s="59"/>
      <c r="KRB2494" s="60"/>
      <c r="KRC2494" s="60"/>
      <c r="KRD2494" s="60"/>
      <c r="KRE2494" s="59"/>
      <c r="KRF2494" s="61"/>
      <c r="KRG2494" s="59"/>
      <c r="KRH2494" s="59"/>
      <c r="KRI2494" s="59"/>
      <c r="KRJ2494" s="60"/>
      <c r="KRK2494" s="60"/>
      <c r="KRL2494" s="60"/>
      <c r="KRM2494" s="59"/>
      <c r="KRN2494" s="61"/>
      <c r="KRO2494" s="59"/>
      <c r="KRP2494" s="59"/>
      <c r="KRQ2494" s="59"/>
      <c r="KRR2494" s="60"/>
      <c r="KRS2494" s="60"/>
      <c r="KRT2494" s="60"/>
      <c r="KRU2494" s="59"/>
      <c r="KRV2494" s="61"/>
      <c r="KRW2494" s="59"/>
      <c r="KRX2494" s="59"/>
      <c r="KRY2494" s="59"/>
      <c r="KRZ2494" s="60"/>
      <c r="KSA2494" s="60"/>
      <c r="KSB2494" s="60"/>
      <c r="KSC2494" s="59"/>
      <c r="KSD2494" s="61"/>
      <c r="KSE2494" s="59"/>
      <c r="KSF2494" s="59"/>
      <c r="KSG2494" s="59"/>
      <c r="KSH2494" s="60"/>
      <c r="KSI2494" s="60"/>
      <c r="KSJ2494" s="60"/>
      <c r="KSK2494" s="59"/>
      <c r="KSL2494" s="61"/>
      <c r="KSM2494" s="59"/>
      <c r="KSN2494" s="59"/>
      <c r="KSO2494" s="59"/>
      <c r="KSP2494" s="60"/>
      <c r="KSQ2494" s="60"/>
      <c r="KSR2494" s="60"/>
      <c r="KSS2494" s="59"/>
      <c r="KST2494" s="61"/>
      <c r="KSU2494" s="59"/>
      <c r="KSV2494" s="59"/>
      <c r="KSW2494" s="59"/>
      <c r="KSX2494" s="60"/>
      <c r="KSY2494" s="60"/>
      <c r="KSZ2494" s="60"/>
      <c r="KTA2494" s="59"/>
      <c r="KTB2494" s="61"/>
      <c r="KTC2494" s="59"/>
      <c r="KTD2494" s="59"/>
      <c r="KTE2494" s="59"/>
      <c r="KTF2494" s="60"/>
      <c r="KTG2494" s="60"/>
      <c r="KTH2494" s="60"/>
      <c r="KTI2494" s="59"/>
      <c r="KTJ2494" s="61"/>
      <c r="KTK2494" s="59"/>
      <c r="KTL2494" s="59"/>
      <c r="KTM2494" s="59"/>
      <c r="KTN2494" s="60"/>
      <c r="KTO2494" s="60"/>
      <c r="KTP2494" s="60"/>
      <c r="KTQ2494" s="59"/>
      <c r="KTR2494" s="61"/>
      <c r="KTS2494" s="59"/>
      <c r="KTT2494" s="59"/>
      <c r="KTU2494" s="59"/>
      <c r="KTV2494" s="60"/>
      <c r="KTW2494" s="60"/>
      <c r="KTX2494" s="60"/>
      <c r="KTY2494" s="59"/>
      <c r="KTZ2494" s="61"/>
      <c r="KUA2494" s="59"/>
      <c r="KUB2494" s="59"/>
      <c r="KUC2494" s="59"/>
      <c r="KUD2494" s="60"/>
      <c r="KUE2494" s="60"/>
      <c r="KUF2494" s="60"/>
      <c r="KUG2494" s="59"/>
      <c r="KUH2494" s="61"/>
      <c r="KUI2494" s="59"/>
      <c r="KUJ2494" s="59"/>
      <c r="KUK2494" s="59"/>
      <c r="KUL2494" s="60"/>
      <c r="KUM2494" s="60"/>
      <c r="KUN2494" s="60"/>
      <c r="KUO2494" s="59"/>
      <c r="KUP2494" s="61"/>
      <c r="KUQ2494" s="59"/>
      <c r="KUR2494" s="59"/>
      <c r="KUS2494" s="59"/>
      <c r="KUT2494" s="60"/>
      <c r="KUU2494" s="60"/>
      <c r="KUV2494" s="60"/>
      <c r="KUW2494" s="59"/>
      <c r="KUX2494" s="61"/>
      <c r="KUY2494" s="59"/>
      <c r="KUZ2494" s="59"/>
      <c r="KVA2494" s="59"/>
      <c r="KVB2494" s="60"/>
      <c r="KVC2494" s="60"/>
      <c r="KVD2494" s="60"/>
      <c r="KVE2494" s="59"/>
      <c r="KVF2494" s="61"/>
      <c r="KVG2494" s="59"/>
      <c r="KVH2494" s="59"/>
      <c r="KVI2494" s="59"/>
      <c r="KVJ2494" s="60"/>
      <c r="KVK2494" s="60"/>
      <c r="KVL2494" s="60"/>
      <c r="KVM2494" s="59"/>
      <c r="KVN2494" s="61"/>
      <c r="KVO2494" s="59"/>
      <c r="KVP2494" s="59"/>
      <c r="KVQ2494" s="59"/>
      <c r="KVR2494" s="60"/>
      <c r="KVS2494" s="60"/>
      <c r="KVT2494" s="60"/>
      <c r="KVU2494" s="59"/>
      <c r="KVV2494" s="61"/>
      <c r="KVW2494" s="59"/>
      <c r="KVX2494" s="59"/>
      <c r="KVY2494" s="59"/>
      <c r="KVZ2494" s="60"/>
      <c r="KWA2494" s="60"/>
      <c r="KWB2494" s="60"/>
      <c r="KWC2494" s="59"/>
      <c r="KWD2494" s="61"/>
      <c r="KWE2494" s="59"/>
      <c r="KWF2494" s="59"/>
      <c r="KWG2494" s="59"/>
      <c r="KWH2494" s="60"/>
      <c r="KWI2494" s="60"/>
      <c r="KWJ2494" s="60"/>
      <c r="KWK2494" s="59"/>
      <c r="KWL2494" s="61"/>
      <c r="KWM2494" s="59"/>
      <c r="KWN2494" s="59"/>
      <c r="KWO2494" s="59"/>
      <c r="KWP2494" s="60"/>
      <c r="KWQ2494" s="60"/>
      <c r="KWR2494" s="60"/>
      <c r="KWS2494" s="59"/>
      <c r="KWT2494" s="61"/>
      <c r="KWU2494" s="59"/>
      <c r="KWV2494" s="59"/>
      <c r="KWW2494" s="59"/>
      <c r="KWX2494" s="60"/>
      <c r="KWY2494" s="60"/>
      <c r="KWZ2494" s="60"/>
      <c r="KXA2494" s="59"/>
      <c r="KXB2494" s="61"/>
      <c r="KXC2494" s="59"/>
      <c r="KXD2494" s="59"/>
      <c r="KXE2494" s="59"/>
      <c r="KXF2494" s="60"/>
      <c r="KXG2494" s="60"/>
      <c r="KXH2494" s="60"/>
      <c r="KXI2494" s="59"/>
      <c r="KXJ2494" s="61"/>
      <c r="KXK2494" s="59"/>
      <c r="KXL2494" s="59"/>
      <c r="KXM2494" s="59"/>
      <c r="KXN2494" s="60"/>
      <c r="KXO2494" s="60"/>
      <c r="KXP2494" s="60"/>
      <c r="KXQ2494" s="59"/>
      <c r="KXR2494" s="61"/>
      <c r="KXS2494" s="59"/>
      <c r="KXT2494" s="59"/>
      <c r="KXU2494" s="59"/>
      <c r="KXV2494" s="60"/>
      <c r="KXW2494" s="60"/>
      <c r="KXX2494" s="60"/>
      <c r="KXY2494" s="59"/>
      <c r="KXZ2494" s="61"/>
      <c r="KYA2494" s="59"/>
      <c r="KYB2494" s="59"/>
      <c r="KYC2494" s="59"/>
      <c r="KYD2494" s="60"/>
      <c r="KYE2494" s="60"/>
      <c r="KYF2494" s="60"/>
      <c r="KYG2494" s="59"/>
      <c r="KYH2494" s="61"/>
      <c r="KYI2494" s="59"/>
      <c r="KYJ2494" s="59"/>
      <c r="KYK2494" s="59"/>
      <c r="KYL2494" s="60"/>
      <c r="KYM2494" s="60"/>
      <c r="KYN2494" s="60"/>
      <c r="KYO2494" s="59"/>
      <c r="KYP2494" s="61"/>
      <c r="KYQ2494" s="59"/>
      <c r="KYR2494" s="59"/>
      <c r="KYS2494" s="59"/>
      <c r="KYT2494" s="60"/>
      <c r="KYU2494" s="60"/>
      <c r="KYV2494" s="60"/>
      <c r="KYW2494" s="59"/>
      <c r="KYX2494" s="61"/>
      <c r="KYY2494" s="59"/>
      <c r="KYZ2494" s="59"/>
      <c r="KZA2494" s="59"/>
      <c r="KZB2494" s="60"/>
      <c r="KZC2494" s="60"/>
      <c r="KZD2494" s="60"/>
      <c r="KZE2494" s="59"/>
      <c r="KZF2494" s="61"/>
      <c r="KZG2494" s="59"/>
      <c r="KZH2494" s="59"/>
      <c r="KZI2494" s="59"/>
      <c r="KZJ2494" s="60"/>
      <c r="KZK2494" s="60"/>
      <c r="KZL2494" s="60"/>
      <c r="KZM2494" s="59"/>
      <c r="KZN2494" s="61"/>
      <c r="KZO2494" s="59"/>
      <c r="KZP2494" s="59"/>
      <c r="KZQ2494" s="59"/>
      <c r="KZR2494" s="60"/>
      <c r="KZS2494" s="60"/>
      <c r="KZT2494" s="60"/>
      <c r="KZU2494" s="59"/>
      <c r="KZV2494" s="61"/>
      <c r="KZW2494" s="59"/>
      <c r="KZX2494" s="59"/>
      <c r="KZY2494" s="59"/>
      <c r="KZZ2494" s="60"/>
      <c r="LAA2494" s="60"/>
      <c r="LAB2494" s="60"/>
      <c r="LAC2494" s="59"/>
      <c r="LAD2494" s="61"/>
      <c r="LAE2494" s="59"/>
      <c r="LAF2494" s="59"/>
      <c r="LAG2494" s="59"/>
      <c r="LAH2494" s="60"/>
      <c r="LAI2494" s="60"/>
      <c r="LAJ2494" s="60"/>
      <c r="LAK2494" s="59"/>
      <c r="LAL2494" s="61"/>
      <c r="LAM2494" s="59"/>
      <c r="LAN2494" s="59"/>
      <c r="LAO2494" s="59"/>
      <c r="LAP2494" s="60"/>
      <c r="LAQ2494" s="60"/>
      <c r="LAR2494" s="60"/>
      <c r="LAS2494" s="59"/>
      <c r="LAT2494" s="61"/>
      <c r="LAU2494" s="59"/>
      <c r="LAV2494" s="59"/>
      <c r="LAW2494" s="59"/>
      <c r="LAX2494" s="60"/>
      <c r="LAY2494" s="60"/>
      <c r="LAZ2494" s="60"/>
      <c r="LBA2494" s="59"/>
      <c r="LBB2494" s="61"/>
      <c r="LBC2494" s="59"/>
      <c r="LBD2494" s="59"/>
      <c r="LBE2494" s="59"/>
      <c r="LBF2494" s="60"/>
      <c r="LBG2494" s="60"/>
      <c r="LBH2494" s="60"/>
      <c r="LBI2494" s="59"/>
      <c r="LBJ2494" s="61"/>
      <c r="LBK2494" s="59"/>
      <c r="LBL2494" s="59"/>
      <c r="LBM2494" s="59"/>
      <c r="LBN2494" s="60"/>
      <c r="LBO2494" s="60"/>
      <c r="LBP2494" s="60"/>
      <c r="LBQ2494" s="59"/>
      <c r="LBR2494" s="61"/>
      <c r="LBS2494" s="59"/>
      <c r="LBT2494" s="59"/>
      <c r="LBU2494" s="59"/>
      <c r="LBV2494" s="60"/>
      <c r="LBW2494" s="60"/>
      <c r="LBX2494" s="60"/>
      <c r="LBY2494" s="59"/>
      <c r="LBZ2494" s="61"/>
      <c r="LCA2494" s="59"/>
      <c r="LCB2494" s="59"/>
      <c r="LCC2494" s="59"/>
      <c r="LCD2494" s="60"/>
      <c r="LCE2494" s="60"/>
      <c r="LCF2494" s="60"/>
      <c r="LCG2494" s="59"/>
      <c r="LCH2494" s="61"/>
      <c r="LCI2494" s="59"/>
      <c r="LCJ2494" s="59"/>
      <c r="LCK2494" s="59"/>
      <c r="LCL2494" s="60"/>
      <c r="LCM2494" s="60"/>
      <c r="LCN2494" s="60"/>
      <c r="LCO2494" s="59"/>
      <c r="LCP2494" s="61"/>
      <c r="LCQ2494" s="59"/>
      <c r="LCR2494" s="59"/>
      <c r="LCS2494" s="59"/>
      <c r="LCT2494" s="60"/>
      <c r="LCU2494" s="60"/>
      <c r="LCV2494" s="60"/>
      <c r="LCW2494" s="59"/>
      <c r="LCX2494" s="61"/>
      <c r="LCY2494" s="59"/>
      <c r="LCZ2494" s="59"/>
      <c r="LDA2494" s="59"/>
      <c r="LDB2494" s="60"/>
      <c r="LDC2494" s="60"/>
      <c r="LDD2494" s="60"/>
      <c r="LDE2494" s="59"/>
      <c r="LDF2494" s="61"/>
      <c r="LDG2494" s="59"/>
      <c r="LDH2494" s="59"/>
      <c r="LDI2494" s="59"/>
      <c r="LDJ2494" s="60"/>
      <c r="LDK2494" s="60"/>
      <c r="LDL2494" s="60"/>
      <c r="LDM2494" s="59"/>
      <c r="LDN2494" s="61"/>
      <c r="LDO2494" s="59"/>
      <c r="LDP2494" s="59"/>
      <c r="LDQ2494" s="59"/>
      <c r="LDR2494" s="60"/>
      <c r="LDS2494" s="60"/>
      <c r="LDT2494" s="60"/>
      <c r="LDU2494" s="59"/>
      <c r="LDV2494" s="61"/>
      <c r="LDW2494" s="59"/>
      <c r="LDX2494" s="59"/>
      <c r="LDY2494" s="59"/>
      <c r="LDZ2494" s="60"/>
      <c r="LEA2494" s="60"/>
      <c r="LEB2494" s="60"/>
      <c r="LEC2494" s="59"/>
      <c r="LED2494" s="61"/>
      <c r="LEE2494" s="59"/>
      <c r="LEF2494" s="59"/>
      <c r="LEG2494" s="59"/>
      <c r="LEH2494" s="60"/>
      <c r="LEI2494" s="60"/>
      <c r="LEJ2494" s="60"/>
      <c r="LEK2494" s="59"/>
      <c r="LEL2494" s="61"/>
      <c r="LEM2494" s="59"/>
      <c r="LEN2494" s="59"/>
      <c r="LEO2494" s="59"/>
      <c r="LEP2494" s="60"/>
      <c r="LEQ2494" s="60"/>
      <c r="LER2494" s="60"/>
      <c r="LES2494" s="59"/>
      <c r="LET2494" s="61"/>
      <c r="LEU2494" s="59"/>
      <c r="LEV2494" s="59"/>
      <c r="LEW2494" s="59"/>
      <c r="LEX2494" s="60"/>
      <c r="LEY2494" s="60"/>
      <c r="LEZ2494" s="60"/>
      <c r="LFA2494" s="59"/>
      <c r="LFB2494" s="61"/>
      <c r="LFC2494" s="59"/>
      <c r="LFD2494" s="59"/>
      <c r="LFE2494" s="59"/>
      <c r="LFF2494" s="60"/>
      <c r="LFG2494" s="60"/>
      <c r="LFH2494" s="60"/>
      <c r="LFI2494" s="59"/>
      <c r="LFJ2494" s="61"/>
      <c r="LFK2494" s="59"/>
      <c r="LFL2494" s="59"/>
      <c r="LFM2494" s="59"/>
      <c r="LFN2494" s="60"/>
      <c r="LFO2494" s="60"/>
      <c r="LFP2494" s="60"/>
      <c r="LFQ2494" s="59"/>
      <c r="LFR2494" s="61"/>
      <c r="LFS2494" s="59"/>
      <c r="LFT2494" s="59"/>
      <c r="LFU2494" s="59"/>
      <c r="LFV2494" s="60"/>
      <c r="LFW2494" s="60"/>
      <c r="LFX2494" s="60"/>
      <c r="LFY2494" s="59"/>
      <c r="LFZ2494" s="61"/>
      <c r="LGA2494" s="59"/>
      <c r="LGB2494" s="59"/>
      <c r="LGC2494" s="59"/>
      <c r="LGD2494" s="60"/>
      <c r="LGE2494" s="60"/>
      <c r="LGF2494" s="60"/>
      <c r="LGG2494" s="59"/>
      <c r="LGH2494" s="61"/>
      <c r="LGI2494" s="59"/>
      <c r="LGJ2494" s="59"/>
      <c r="LGK2494" s="59"/>
      <c r="LGL2494" s="60"/>
      <c r="LGM2494" s="60"/>
      <c r="LGN2494" s="60"/>
      <c r="LGO2494" s="59"/>
      <c r="LGP2494" s="61"/>
      <c r="LGQ2494" s="59"/>
      <c r="LGR2494" s="59"/>
      <c r="LGS2494" s="59"/>
      <c r="LGT2494" s="60"/>
      <c r="LGU2494" s="60"/>
      <c r="LGV2494" s="60"/>
      <c r="LGW2494" s="59"/>
      <c r="LGX2494" s="61"/>
      <c r="LGY2494" s="59"/>
      <c r="LGZ2494" s="59"/>
      <c r="LHA2494" s="59"/>
      <c r="LHB2494" s="60"/>
      <c r="LHC2494" s="60"/>
      <c r="LHD2494" s="60"/>
      <c r="LHE2494" s="59"/>
      <c r="LHF2494" s="61"/>
      <c r="LHG2494" s="59"/>
      <c r="LHH2494" s="59"/>
      <c r="LHI2494" s="59"/>
      <c r="LHJ2494" s="60"/>
      <c r="LHK2494" s="60"/>
      <c r="LHL2494" s="60"/>
      <c r="LHM2494" s="59"/>
      <c r="LHN2494" s="61"/>
      <c r="LHO2494" s="59"/>
      <c r="LHP2494" s="59"/>
      <c r="LHQ2494" s="59"/>
      <c r="LHR2494" s="60"/>
      <c r="LHS2494" s="60"/>
      <c r="LHT2494" s="60"/>
      <c r="LHU2494" s="59"/>
      <c r="LHV2494" s="61"/>
      <c r="LHW2494" s="59"/>
      <c r="LHX2494" s="59"/>
      <c r="LHY2494" s="59"/>
      <c r="LHZ2494" s="60"/>
      <c r="LIA2494" s="60"/>
      <c r="LIB2494" s="60"/>
      <c r="LIC2494" s="59"/>
      <c r="LID2494" s="61"/>
      <c r="LIE2494" s="59"/>
      <c r="LIF2494" s="59"/>
      <c r="LIG2494" s="59"/>
      <c r="LIH2494" s="60"/>
      <c r="LII2494" s="60"/>
      <c r="LIJ2494" s="60"/>
      <c r="LIK2494" s="59"/>
      <c r="LIL2494" s="61"/>
      <c r="LIM2494" s="59"/>
      <c r="LIN2494" s="59"/>
      <c r="LIO2494" s="59"/>
      <c r="LIP2494" s="60"/>
      <c r="LIQ2494" s="60"/>
      <c r="LIR2494" s="60"/>
      <c r="LIS2494" s="59"/>
      <c r="LIT2494" s="61"/>
      <c r="LIU2494" s="59"/>
      <c r="LIV2494" s="59"/>
      <c r="LIW2494" s="59"/>
      <c r="LIX2494" s="60"/>
      <c r="LIY2494" s="60"/>
      <c r="LIZ2494" s="60"/>
      <c r="LJA2494" s="59"/>
      <c r="LJB2494" s="61"/>
      <c r="LJC2494" s="59"/>
      <c r="LJD2494" s="59"/>
      <c r="LJE2494" s="59"/>
      <c r="LJF2494" s="60"/>
      <c r="LJG2494" s="60"/>
      <c r="LJH2494" s="60"/>
      <c r="LJI2494" s="59"/>
      <c r="LJJ2494" s="61"/>
      <c r="LJK2494" s="59"/>
      <c r="LJL2494" s="59"/>
      <c r="LJM2494" s="59"/>
      <c r="LJN2494" s="60"/>
      <c r="LJO2494" s="60"/>
      <c r="LJP2494" s="60"/>
      <c r="LJQ2494" s="59"/>
      <c r="LJR2494" s="61"/>
      <c r="LJS2494" s="59"/>
      <c r="LJT2494" s="59"/>
      <c r="LJU2494" s="59"/>
      <c r="LJV2494" s="60"/>
      <c r="LJW2494" s="60"/>
      <c r="LJX2494" s="60"/>
      <c r="LJY2494" s="59"/>
      <c r="LJZ2494" s="61"/>
      <c r="LKA2494" s="59"/>
      <c r="LKB2494" s="59"/>
      <c r="LKC2494" s="59"/>
      <c r="LKD2494" s="60"/>
      <c r="LKE2494" s="60"/>
      <c r="LKF2494" s="60"/>
      <c r="LKG2494" s="59"/>
      <c r="LKH2494" s="61"/>
      <c r="LKI2494" s="59"/>
      <c r="LKJ2494" s="59"/>
      <c r="LKK2494" s="59"/>
      <c r="LKL2494" s="60"/>
      <c r="LKM2494" s="60"/>
      <c r="LKN2494" s="60"/>
      <c r="LKO2494" s="59"/>
      <c r="LKP2494" s="61"/>
      <c r="LKQ2494" s="59"/>
      <c r="LKR2494" s="59"/>
      <c r="LKS2494" s="59"/>
      <c r="LKT2494" s="60"/>
      <c r="LKU2494" s="60"/>
      <c r="LKV2494" s="60"/>
      <c r="LKW2494" s="59"/>
      <c r="LKX2494" s="61"/>
      <c r="LKY2494" s="59"/>
      <c r="LKZ2494" s="59"/>
      <c r="LLA2494" s="59"/>
      <c r="LLB2494" s="60"/>
      <c r="LLC2494" s="60"/>
      <c r="LLD2494" s="60"/>
      <c r="LLE2494" s="59"/>
      <c r="LLF2494" s="61"/>
      <c r="LLG2494" s="59"/>
      <c r="LLH2494" s="59"/>
      <c r="LLI2494" s="59"/>
      <c r="LLJ2494" s="60"/>
      <c r="LLK2494" s="60"/>
      <c r="LLL2494" s="60"/>
      <c r="LLM2494" s="59"/>
      <c r="LLN2494" s="61"/>
      <c r="LLO2494" s="59"/>
      <c r="LLP2494" s="59"/>
      <c r="LLQ2494" s="59"/>
      <c r="LLR2494" s="60"/>
      <c r="LLS2494" s="60"/>
      <c r="LLT2494" s="60"/>
      <c r="LLU2494" s="59"/>
      <c r="LLV2494" s="61"/>
      <c r="LLW2494" s="59"/>
      <c r="LLX2494" s="59"/>
      <c r="LLY2494" s="59"/>
      <c r="LLZ2494" s="60"/>
      <c r="LMA2494" s="60"/>
      <c r="LMB2494" s="60"/>
      <c r="LMC2494" s="59"/>
      <c r="LMD2494" s="61"/>
      <c r="LME2494" s="59"/>
      <c r="LMF2494" s="59"/>
      <c r="LMG2494" s="59"/>
      <c r="LMH2494" s="60"/>
      <c r="LMI2494" s="60"/>
      <c r="LMJ2494" s="60"/>
      <c r="LMK2494" s="59"/>
      <c r="LML2494" s="61"/>
      <c r="LMM2494" s="59"/>
      <c r="LMN2494" s="59"/>
      <c r="LMO2494" s="59"/>
      <c r="LMP2494" s="60"/>
      <c r="LMQ2494" s="60"/>
      <c r="LMR2494" s="60"/>
      <c r="LMS2494" s="59"/>
      <c r="LMT2494" s="61"/>
      <c r="LMU2494" s="59"/>
      <c r="LMV2494" s="59"/>
      <c r="LMW2494" s="59"/>
      <c r="LMX2494" s="60"/>
      <c r="LMY2494" s="60"/>
      <c r="LMZ2494" s="60"/>
      <c r="LNA2494" s="59"/>
      <c r="LNB2494" s="61"/>
      <c r="LNC2494" s="59"/>
      <c r="LND2494" s="59"/>
      <c r="LNE2494" s="59"/>
      <c r="LNF2494" s="60"/>
      <c r="LNG2494" s="60"/>
      <c r="LNH2494" s="60"/>
      <c r="LNI2494" s="59"/>
      <c r="LNJ2494" s="61"/>
      <c r="LNK2494" s="59"/>
      <c r="LNL2494" s="59"/>
      <c r="LNM2494" s="59"/>
      <c r="LNN2494" s="60"/>
      <c r="LNO2494" s="60"/>
      <c r="LNP2494" s="60"/>
      <c r="LNQ2494" s="59"/>
      <c r="LNR2494" s="61"/>
      <c r="LNS2494" s="59"/>
      <c r="LNT2494" s="59"/>
      <c r="LNU2494" s="59"/>
      <c r="LNV2494" s="60"/>
      <c r="LNW2494" s="60"/>
      <c r="LNX2494" s="60"/>
      <c r="LNY2494" s="59"/>
      <c r="LNZ2494" s="61"/>
      <c r="LOA2494" s="59"/>
      <c r="LOB2494" s="59"/>
      <c r="LOC2494" s="59"/>
      <c r="LOD2494" s="60"/>
      <c r="LOE2494" s="60"/>
      <c r="LOF2494" s="60"/>
      <c r="LOG2494" s="59"/>
      <c r="LOH2494" s="61"/>
      <c r="LOI2494" s="59"/>
      <c r="LOJ2494" s="59"/>
      <c r="LOK2494" s="59"/>
      <c r="LOL2494" s="60"/>
      <c r="LOM2494" s="60"/>
      <c r="LON2494" s="60"/>
      <c r="LOO2494" s="59"/>
      <c r="LOP2494" s="61"/>
      <c r="LOQ2494" s="59"/>
      <c r="LOR2494" s="59"/>
      <c r="LOS2494" s="59"/>
      <c r="LOT2494" s="60"/>
      <c r="LOU2494" s="60"/>
      <c r="LOV2494" s="60"/>
      <c r="LOW2494" s="59"/>
      <c r="LOX2494" s="61"/>
      <c r="LOY2494" s="59"/>
      <c r="LOZ2494" s="59"/>
      <c r="LPA2494" s="59"/>
      <c r="LPB2494" s="60"/>
      <c r="LPC2494" s="60"/>
      <c r="LPD2494" s="60"/>
      <c r="LPE2494" s="59"/>
      <c r="LPF2494" s="61"/>
      <c r="LPG2494" s="59"/>
      <c r="LPH2494" s="59"/>
      <c r="LPI2494" s="59"/>
      <c r="LPJ2494" s="60"/>
      <c r="LPK2494" s="60"/>
      <c r="LPL2494" s="60"/>
      <c r="LPM2494" s="59"/>
      <c r="LPN2494" s="61"/>
      <c r="LPO2494" s="59"/>
      <c r="LPP2494" s="59"/>
      <c r="LPQ2494" s="59"/>
      <c r="LPR2494" s="60"/>
      <c r="LPS2494" s="60"/>
      <c r="LPT2494" s="60"/>
      <c r="LPU2494" s="59"/>
      <c r="LPV2494" s="61"/>
      <c r="LPW2494" s="59"/>
      <c r="LPX2494" s="59"/>
      <c r="LPY2494" s="59"/>
      <c r="LPZ2494" s="60"/>
      <c r="LQA2494" s="60"/>
      <c r="LQB2494" s="60"/>
      <c r="LQC2494" s="59"/>
      <c r="LQD2494" s="61"/>
      <c r="LQE2494" s="59"/>
      <c r="LQF2494" s="59"/>
      <c r="LQG2494" s="59"/>
      <c r="LQH2494" s="60"/>
      <c r="LQI2494" s="60"/>
      <c r="LQJ2494" s="60"/>
      <c r="LQK2494" s="59"/>
      <c r="LQL2494" s="61"/>
      <c r="LQM2494" s="59"/>
      <c r="LQN2494" s="59"/>
      <c r="LQO2494" s="59"/>
      <c r="LQP2494" s="60"/>
      <c r="LQQ2494" s="60"/>
      <c r="LQR2494" s="60"/>
      <c r="LQS2494" s="59"/>
      <c r="LQT2494" s="61"/>
      <c r="LQU2494" s="59"/>
      <c r="LQV2494" s="59"/>
      <c r="LQW2494" s="59"/>
      <c r="LQX2494" s="60"/>
      <c r="LQY2494" s="60"/>
      <c r="LQZ2494" s="60"/>
      <c r="LRA2494" s="59"/>
      <c r="LRB2494" s="61"/>
      <c r="LRC2494" s="59"/>
      <c r="LRD2494" s="59"/>
      <c r="LRE2494" s="59"/>
      <c r="LRF2494" s="60"/>
      <c r="LRG2494" s="60"/>
      <c r="LRH2494" s="60"/>
      <c r="LRI2494" s="59"/>
      <c r="LRJ2494" s="61"/>
      <c r="LRK2494" s="59"/>
      <c r="LRL2494" s="59"/>
      <c r="LRM2494" s="59"/>
      <c r="LRN2494" s="60"/>
      <c r="LRO2494" s="60"/>
      <c r="LRP2494" s="60"/>
      <c r="LRQ2494" s="59"/>
      <c r="LRR2494" s="61"/>
      <c r="LRS2494" s="59"/>
      <c r="LRT2494" s="59"/>
      <c r="LRU2494" s="59"/>
      <c r="LRV2494" s="60"/>
      <c r="LRW2494" s="60"/>
      <c r="LRX2494" s="60"/>
      <c r="LRY2494" s="59"/>
      <c r="LRZ2494" s="61"/>
      <c r="LSA2494" s="59"/>
      <c r="LSB2494" s="59"/>
      <c r="LSC2494" s="59"/>
      <c r="LSD2494" s="60"/>
      <c r="LSE2494" s="60"/>
      <c r="LSF2494" s="60"/>
      <c r="LSG2494" s="59"/>
      <c r="LSH2494" s="61"/>
      <c r="LSI2494" s="59"/>
      <c r="LSJ2494" s="59"/>
      <c r="LSK2494" s="59"/>
      <c r="LSL2494" s="60"/>
      <c r="LSM2494" s="60"/>
      <c r="LSN2494" s="60"/>
      <c r="LSO2494" s="59"/>
      <c r="LSP2494" s="61"/>
      <c r="LSQ2494" s="59"/>
      <c r="LSR2494" s="59"/>
      <c r="LSS2494" s="59"/>
      <c r="LST2494" s="60"/>
      <c r="LSU2494" s="60"/>
      <c r="LSV2494" s="60"/>
      <c r="LSW2494" s="59"/>
      <c r="LSX2494" s="61"/>
      <c r="LSY2494" s="59"/>
      <c r="LSZ2494" s="59"/>
      <c r="LTA2494" s="59"/>
      <c r="LTB2494" s="60"/>
      <c r="LTC2494" s="60"/>
      <c r="LTD2494" s="60"/>
      <c r="LTE2494" s="59"/>
      <c r="LTF2494" s="61"/>
      <c r="LTG2494" s="59"/>
      <c r="LTH2494" s="59"/>
      <c r="LTI2494" s="59"/>
      <c r="LTJ2494" s="60"/>
      <c r="LTK2494" s="60"/>
      <c r="LTL2494" s="60"/>
      <c r="LTM2494" s="59"/>
      <c r="LTN2494" s="61"/>
      <c r="LTO2494" s="59"/>
      <c r="LTP2494" s="59"/>
      <c r="LTQ2494" s="59"/>
      <c r="LTR2494" s="60"/>
      <c r="LTS2494" s="60"/>
      <c r="LTT2494" s="60"/>
      <c r="LTU2494" s="59"/>
      <c r="LTV2494" s="61"/>
      <c r="LTW2494" s="59"/>
      <c r="LTX2494" s="59"/>
      <c r="LTY2494" s="59"/>
      <c r="LTZ2494" s="60"/>
      <c r="LUA2494" s="60"/>
      <c r="LUB2494" s="60"/>
      <c r="LUC2494" s="59"/>
      <c r="LUD2494" s="61"/>
      <c r="LUE2494" s="59"/>
      <c r="LUF2494" s="59"/>
      <c r="LUG2494" s="59"/>
      <c r="LUH2494" s="60"/>
      <c r="LUI2494" s="60"/>
      <c r="LUJ2494" s="60"/>
      <c r="LUK2494" s="59"/>
      <c r="LUL2494" s="61"/>
      <c r="LUM2494" s="59"/>
      <c r="LUN2494" s="59"/>
      <c r="LUO2494" s="59"/>
      <c r="LUP2494" s="60"/>
      <c r="LUQ2494" s="60"/>
      <c r="LUR2494" s="60"/>
      <c r="LUS2494" s="59"/>
      <c r="LUT2494" s="61"/>
      <c r="LUU2494" s="59"/>
      <c r="LUV2494" s="59"/>
      <c r="LUW2494" s="59"/>
      <c r="LUX2494" s="60"/>
      <c r="LUY2494" s="60"/>
      <c r="LUZ2494" s="60"/>
      <c r="LVA2494" s="59"/>
      <c r="LVB2494" s="61"/>
      <c r="LVC2494" s="59"/>
      <c r="LVD2494" s="59"/>
      <c r="LVE2494" s="59"/>
      <c r="LVF2494" s="60"/>
      <c r="LVG2494" s="60"/>
      <c r="LVH2494" s="60"/>
      <c r="LVI2494" s="59"/>
      <c r="LVJ2494" s="61"/>
      <c r="LVK2494" s="59"/>
      <c r="LVL2494" s="59"/>
      <c r="LVM2494" s="59"/>
      <c r="LVN2494" s="60"/>
      <c r="LVO2494" s="60"/>
      <c r="LVP2494" s="60"/>
      <c r="LVQ2494" s="59"/>
      <c r="LVR2494" s="61"/>
      <c r="LVS2494" s="59"/>
      <c r="LVT2494" s="59"/>
      <c r="LVU2494" s="59"/>
      <c r="LVV2494" s="60"/>
      <c r="LVW2494" s="60"/>
      <c r="LVX2494" s="60"/>
      <c r="LVY2494" s="59"/>
      <c r="LVZ2494" s="61"/>
      <c r="LWA2494" s="59"/>
      <c r="LWB2494" s="59"/>
      <c r="LWC2494" s="59"/>
      <c r="LWD2494" s="60"/>
      <c r="LWE2494" s="60"/>
      <c r="LWF2494" s="60"/>
      <c r="LWG2494" s="59"/>
      <c r="LWH2494" s="61"/>
      <c r="LWI2494" s="59"/>
      <c r="LWJ2494" s="59"/>
      <c r="LWK2494" s="59"/>
      <c r="LWL2494" s="60"/>
      <c r="LWM2494" s="60"/>
      <c r="LWN2494" s="60"/>
      <c r="LWO2494" s="59"/>
      <c r="LWP2494" s="61"/>
      <c r="LWQ2494" s="59"/>
      <c r="LWR2494" s="59"/>
      <c r="LWS2494" s="59"/>
      <c r="LWT2494" s="60"/>
      <c r="LWU2494" s="60"/>
      <c r="LWV2494" s="60"/>
      <c r="LWW2494" s="59"/>
      <c r="LWX2494" s="61"/>
      <c r="LWY2494" s="59"/>
      <c r="LWZ2494" s="59"/>
      <c r="LXA2494" s="59"/>
      <c r="LXB2494" s="60"/>
      <c r="LXC2494" s="60"/>
      <c r="LXD2494" s="60"/>
      <c r="LXE2494" s="59"/>
      <c r="LXF2494" s="61"/>
      <c r="LXG2494" s="59"/>
      <c r="LXH2494" s="59"/>
      <c r="LXI2494" s="59"/>
      <c r="LXJ2494" s="60"/>
      <c r="LXK2494" s="60"/>
      <c r="LXL2494" s="60"/>
      <c r="LXM2494" s="59"/>
      <c r="LXN2494" s="61"/>
      <c r="LXO2494" s="59"/>
      <c r="LXP2494" s="59"/>
      <c r="LXQ2494" s="59"/>
      <c r="LXR2494" s="60"/>
      <c r="LXS2494" s="60"/>
      <c r="LXT2494" s="60"/>
      <c r="LXU2494" s="59"/>
      <c r="LXV2494" s="61"/>
      <c r="LXW2494" s="59"/>
      <c r="LXX2494" s="59"/>
      <c r="LXY2494" s="59"/>
      <c r="LXZ2494" s="60"/>
      <c r="LYA2494" s="60"/>
      <c r="LYB2494" s="60"/>
      <c r="LYC2494" s="59"/>
      <c r="LYD2494" s="61"/>
      <c r="LYE2494" s="59"/>
      <c r="LYF2494" s="59"/>
      <c r="LYG2494" s="59"/>
      <c r="LYH2494" s="60"/>
      <c r="LYI2494" s="60"/>
      <c r="LYJ2494" s="60"/>
      <c r="LYK2494" s="59"/>
      <c r="LYL2494" s="61"/>
      <c r="LYM2494" s="59"/>
      <c r="LYN2494" s="59"/>
      <c r="LYO2494" s="59"/>
      <c r="LYP2494" s="60"/>
      <c r="LYQ2494" s="60"/>
      <c r="LYR2494" s="60"/>
      <c r="LYS2494" s="59"/>
      <c r="LYT2494" s="61"/>
      <c r="LYU2494" s="59"/>
      <c r="LYV2494" s="59"/>
      <c r="LYW2494" s="59"/>
      <c r="LYX2494" s="60"/>
      <c r="LYY2494" s="60"/>
      <c r="LYZ2494" s="60"/>
      <c r="LZA2494" s="59"/>
      <c r="LZB2494" s="61"/>
      <c r="LZC2494" s="59"/>
      <c r="LZD2494" s="59"/>
      <c r="LZE2494" s="59"/>
      <c r="LZF2494" s="60"/>
      <c r="LZG2494" s="60"/>
      <c r="LZH2494" s="60"/>
      <c r="LZI2494" s="59"/>
      <c r="LZJ2494" s="61"/>
      <c r="LZK2494" s="59"/>
      <c r="LZL2494" s="59"/>
      <c r="LZM2494" s="59"/>
      <c r="LZN2494" s="60"/>
      <c r="LZO2494" s="60"/>
      <c r="LZP2494" s="60"/>
      <c r="LZQ2494" s="59"/>
      <c r="LZR2494" s="61"/>
      <c r="LZS2494" s="59"/>
      <c r="LZT2494" s="59"/>
      <c r="LZU2494" s="59"/>
      <c r="LZV2494" s="60"/>
      <c r="LZW2494" s="60"/>
      <c r="LZX2494" s="60"/>
      <c r="LZY2494" s="59"/>
      <c r="LZZ2494" s="61"/>
      <c r="MAA2494" s="59"/>
      <c r="MAB2494" s="59"/>
      <c r="MAC2494" s="59"/>
      <c r="MAD2494" s="60"/>
      <c r="MAE2494" s="60"/>
      <c r="MAF2494" s="60"/>
      <c r="MAG2494" s="59"/>
      <c r="MAH2494" s="61"/>
      <c r="MAI2494" s="59"/>
      <c r="MAJ2494" s="59"/>
      <c r="MAK2494" s="59"/>
      <c r="MAL2494" s="60"/>
      <c r="MAM2494" s="60"/>
      <c r="MAN2494" s="60"/>
      <c r="MAO2494" s="59"/>
      <c r="MAP2494" s="61"/>
      <c r="MAQ2494" s="59"/>
      <c r="MAR2494" s="59"/>
      <c r="MAS2494" s="59"/>
      <c r="MAT2494" s="60"/>
      <c r="MAU2494" s="60"/>
      <c r="MAV2494" s="60"/>
      <c r="MAW2494" s="59"/>
      <c r="MAX2494" s="61"/>
      <c r="MAY2494" s="59"/>
      <c r="MAZ2494" s="59"/>
      <c r="MBA2494" s="59"/>
      <c r="MBB2494" s="60"/>
      <c r="MBC2494" s="60"/>
      <c r="MBD2494" s="60"/>
      <c r="MBE2494" s="59"/>
      <c r="MBF2494" s="61"/>
      <c r="MBG2494" s="59"/>
      <c r="MBH2494" s="59"/>
      <c r="MBI2494" s="59"/>
      <c r="MBJ2494" s="60"/>
      <c r="MBK2494" s="60"/>
      <c r="MBL2494" s="60"/>
      <c r="MBM2494" s="59"/>
      <c r="MBN2494" s="61"/>
      <c r="MBO2494" s="59"/>
      <c r="MBP2494" s="59"/>
      <c r="MBQ2494" s="59"/>
      <c r="MBR2494" s="60"/>
      <c r="MBS2494" s="60"/>
      <c r="MBT2494" s="60"/>
      <c r="MBU2494" s="59"/>
      <c r="MBV2494" s="61"/>
      <c r="MBW2494" s="59"/>
      <c r="MBX2494" s="59"/>
      <c r="MBY2494" s="59"/>
      <c r="MBZ2494" s="60"/>
      <c r="MCA2494" s="60"/>
      <c r="MCB2494" s="60"/>
      <c r="MCC2494" s="59"/>
      <c r="MCD2494" s="61"/>
      <c r="MCE2494" s="59"/>
      <c r="MCF2494" s="59"/>
      <c r="MCG2494" s="59"/>
      <c r="MCH2494" s="60"/>
      <c r="MCI2494" s="60"/>
      <c r="MCJ2494" s="60"/>
      <c r="MCK2494" s="59"/>
      <c r="MCL2494" s="61"/>
      <c r="MCM2494" s="59"/>
      <c r="MCN2494" s="59"/>
      <c r="MCO2494" s="59"/>
      <c r="MCP2494" s="60"/>
      <c r="MCQ2494" s="60"/>
      <c r="MCR2494" s="60"/>
      <c r="MCS2494" s="59"/>
      <c r="MCT2494" s="61"/>
      <c r="MCU2494" s="59"/>
      <c r="MCV2494" s="59"/>
      <c r="MCW2494" s="59"/>
      <c r="MCX2494" s="60"/>
      <c r="MCY2494" s="60"/>
      <c r="MCZ2494" s="60"/>
      <c r="MDA2494" s="59"/>
      <c r="MDB2494" s="61"/>
      <c r="MDC2494" s="59"/>
      <c r="MDD2494" s="59"/>
      <c r="MDE2494" s="59"/>
      <c r="MDF2494" s="60"/>
      <c r="MDG2494" s="60"/>
      <c r="MDH2494" s="60"/>
      <c r="MDI2494" s="59"/>
      <c r="MDJ2494" s="61"/>
      <c r="MDK2494" s="59"/>
      <c r="MDL2494" s="59"/>
      <c r="MDM2494" s="59"/>
      <c r="MDN2494" s="60"/>
      <c r="MDO2494" s="60"/>
      <c r="MDP2494" s="60"/>
      <c r="MDQ2494" s="59"/>
      <c r="MDR2494" s="61"/>
      <c r="MDS2494" s="59"/>
      <c r="MDT2494" s="59"/>
      <c r="MDU2494" s="59"/>
      <c r="MDV2494" s="60"/>
      <c r="MDW2494" s="60"/>
      <c r="MDX2494" s="60"/>
      <c r="MDY2494" s="59"/>
      <c r="MDZ2494" s="61"/>
      <c r="MEA2494" s="59"/>
      <c r="MEB2494" s="59"/>
      <c r="MEC2494" s="59"/>
      <c r="MED2494" s="60"/>
      <c r="MEE2494" s="60"/>
      <c r="MEF2494" s="60"/>
      <c r="MEG2494" s="59"/>
      <c r="MEH2494" s="61"/>
      <c r="MEI2494" s="59"/>
      <c r="MEJ2494" s="59"/>
      <c r="MEK2494" s="59"/>
      <c r="MEL2494" s="60"/>
      <c r="MEM2494" s="60"/>
      <c r="MEN2494" s="60"/>
      <c r="MEO2494" s="59"/>
      <c r="MEP2494" s="61"/>
      <c r="MEQ2494" s="59"/>
      <c r="MER2494" s="59"/>
      <c r="MES2494" s="59"/>
      <c r="MET2494" s="60"/>
      <c r="MEU2494" s="60"/>
      <c r="MEV2494" s="60"/>
      <c r="MEW2494" s="59"/>
      <c r="MEX2494" s="61"/>
      <c r="MEY2494" s="59"/>
      <c r="MEZ2494" s="59"/>
      <c r="MFA2494" s="59"/>
      <c r="MFB2494" s="60"/>
      <c r="MFC2494" s="60"/>
      <c r="MFD2494" s="60"/>
      <c r="MFE2494" s="59"/>
      <c r="MFF2494" s="61"/>
      <c r="MFG2494" s="59"/>
      <c r="MFH2494" s="59"/>
      <c r="MFI2494" s="59"/>
      <c r="MFJ2494" s="60"/>
      <c r="MFK2494" s="60"/>
      <c r="MFL2494" s="60"/>
      <c r="MFM2494" s="59"/>
      <c r="MFN2494" s="61"/>
      <c r="MFO2494" s="59"/>
      <c r="MFP2494" s="59"/>
      <c r="MFQ2494" s="59"/>
      <c r="MFR2494" s="60"/>
      <c r="MFS2494" s="60"/>
      <c r="MFT2494" s="60"/>
      <c r="MFU2494" s="59"/>
      <c r="MFV2494" s="61"/>
      <c r="MFW2494" s="59"/>
      <c r="MFX2494" s="59"/>
      <c r="MFY2494" s="59"/>
      <c r="MFZ2494" s="60"/>
      <c r="MGA2494" s="60"/>
      <c r="MGB2494" s="60"/>
      <c r="MGC2494" s="59"/>
      <c r="MGD2494" s="61"/>
      <c r="MGE2494" s="59"/>
      <c r="MGF2494" s="59"/>
      <c r="MGG2494" s="59"/>
      <c r="MGH2494" s="60"/>
      <c r="MGI2494" s="60"/>
      <c r="MGJ2494" s="60"/>
      <c r="MGK2494" s="59"/>
      <c r="MGL2494" s="61"/>
      <c r="MGM2494" s="59"/>
      <c r="MGN2494" s="59"/>
      <c r="MGO2494" s="59"/>
      <c r="MGP2494" s="60"/>
      <c r="MGQ2494" s="60"/>
      <c r="MGR2494" s="60"/>
      <c r="MGS2494" s="59"/>
      <c r="MGT2494" s="61"/>
      <c r="MGU2494" s="59"/>
      <c r="MGV2494" s="59"/>
      <c r="MGW2494" s="59"/>
      <c r="MGX2494" s="60"/>
      <c r="MGY2494" s="60"/>
      <c r="MGZ2494" s="60"/>
      <c r="MHA2494" s="59"/>
      <c r="MHB2494" s="61"/>
      <c r="MHC2494" s="59"/>
      <c r="MHD2494" s="59"/>
      <c r="MHE2494" s="59"/>
      <c r="MHF2494" s="60"/>
      <c r="MHG2494" s="60"/>
      <c r="MHH2494" s="60"/>
      <c r="MHI2494" s="59"/>
      <c r="MHJ2494" s="61"/>
      <c r="MHK2494" s="59"/>
      <c r="MHL2494" s="59"/>
      <c r="MHM2494" s="59"/>
      <c r="MHN2494" s="60"/>
      <c r="MHO2494" s="60"/>
      <c r="MHP2494" s="60"/>
      <c r="MHQ2494" s="59"/>
      <c r="MHR2494" s="61"/>
      <c r="MHS2494" s="59"/>
      <c r="MHT2494" s="59"/>
      <c r="MHU2494" s="59"/>
      <c r="MHV2494" s="60"/>
      <c r="MHW2494" s="60"/>
      <c r="MHX2494" s="60"/>
      <c r="MHY2494" s="59"/>
      <c r="MHZ2494" s="61"/>
      <c r="MIA2494" s="59"/>
      <c r="MIB2494" s="59"/>
      <c r="MIC2494" s="59"/>
      <c r="MID2494" s="60"/>
      <c r="MIE2494" s="60"/>
      <c r="MIF2494" s="60"/>
      <c r="MIG2494" s="59"/>
      <c r="MIH2494" s="61"/>
      <c r="MII2494" s="59"/>
      <c r="MIJ2494" s="59"/>
      <c r="MIK2494" s="59"/>
      <c r="MIL2494" s="60"/>
      <c r="MIM2494" s="60"/>
      <c r="MIN2494" s="60"/>
      <c r="MIO2494" s="59"/>
      <c r="MIP2494" s="61"/>
      <c r="MIQ2494" s="59"/>
      <c r="MIR2494" s="59"/>
      <c r="MIS2494" s="59"/>
      <c r="MIT2494" s="60"/>
      <c r="MIU2494" s="60"/>
      <c r="MIV2494" s="60"/>
      <c r="MIW2494" s="59"/>
      <c r="MIX2494" s="61"/>
      <c r="MIY2494" s="59"/>
      <c r="MIZ2494" s="59"/>
      <c r="MJA2494" s="59"/>
      <c r="MJB2494" s="60"/>
      <c r="MJC2494" s="60"/>
      <c r="MJD2494" s="60"/>
      <c r="MJE2494" s="59"/>
      <c r="MJF2494" s="61"/>
      <c r="MJG2494" s="59"/>
      <c r="MJH2494" s="59"/>
      <c r="MJI2494" s="59"/>
      <c r="MJJ2494" s="60"/>
      <c r="MJK2494" s="60"/>
      <c r="MJL2494" s="60"/>
      <c r="MJM2494" s="59"/>
      <c r="MJN2494" s="61"/>
      <c r="MJO2494" s="59"/>
      <c r="MJP2494" s="59"/>
      <c r="MJQ2494" s="59"/>
      <c r="MJR2494" s="60"/>
      <c r="MJS2494" s="60"/>
      <c r="MJT2494" s="60"/>
      <c r="MJU2494" s="59"/>
      <c r="MJV2494" s="61"/>
      <c r="MJW2494" s="59"/>
      <c r="MJX2494" s="59"/>
      <c r="MJY2494" s="59"/>
      <c r="MJZ2494" s="60"/>
      <c r="MKA2494" s="60"/>
      <c r="MKB2494" s="60"/>
      <c r="MKC2494" s="59"/>
      <c r="MKD2494" s="61"/>
      <c r="MKE2494" s="59"/>
      <c r="MKF2494" s="59"/>
      <c r="MKG2494" s="59"/>
      <c r="MKH2494" s="60"/>
      <c r="MKI2494" s="60"/>
      <c r="MKJ2494" s="60"/>
      <c r="MKK2494" s="59"/>
      <c r="MKL2494" s="61"/>
      <c r="MKM2494" s="59"/>
      <c r="MKN2494" s="59"/>
      <c r="MKO2494" s="59"/>
      <c r="MKP2494" s="60"/>
      <c r="MKQ2494" s="60"/>
      <c r="MKR2494" s="60"/>
      <c r="MKS2494" s="59"/>
      <c r="MKT2494" s="61"/>
      <c r="MKU2494" s="59"/>
      <c r="MKV2494" s="59"/>
      <c r="MKW2494" s="59"/>
      <c r="MKX2494" s="60"/>
      <c r="MKY2494" s="60"/>
      <c r="MKZ2494" s="60"/>
      <c r="MLA2494" s="59"/>
      <c r="MLB2494" s="61"/>
      <c r="MLC2494" s="59"/>
      <c r="MLD2494" s="59"/>
      <c r="MLE2494" s="59"/>
      <c r="MLF2494" s="60"/>
      <c r="MLG2494" s="60"/>
      <c r="MLH2494" s="60"/>
      <c r="MLI2494" s="59"/>
      <c r="MLJ2494" s="61"/>
      <c r="MLK2494" s="59"/>
      <c r="MLL2494" s="59"/>
      <c r="MLM2494" s="59"/>
      <c r="MLN2494" s="60"/>
      <c r="MLO2494" s="60"/>
      <c r="MLP2494" s="60"/>
      <c r="MLQ2494" s="59"/>
      <c r="MLR2494" s="61"/>
      <c r="MLS2494" s="59"/>
      <c r="MLT2494" s="59"/>
      <c r="MLU2494" s="59"/>
      <c r="MLV2494" s="60"/>
      <c r="MLW2494" s="60"/>
      <c r="MLX2494" s="60"/>
      <c r="MLY2494" s="59"/>
      <c r="MLZ2494" s="61"/>
      <c r="MMA2494" s="59"/>
      <c r="MMB2494" s="59"/>
      <c r="MMC2494" s="59"/>
      <c r="MMD2494" s="60"/>
      <c r="MME2494" s="60"/>
      <c r="MMF2494" s="60"/>
      <c r="MMG2494" s="59"/>
      <c r="MMH2494" s="61"/>
      <c r="MMI2494" s="59"/>
      <c r="MMJ2494" s="59"/>
      <c r="MMK2494" s="59"/>
      <c r="MML2494" s="60"/>
      <c r="MMM2494" s="60"/>
      <c r="MMN2494" s="60"/>
      <c r="MMO2494" s="59"/>
      <c r="MMP2494" s="61"/>
      <c r="MMQ2494" s="59"/>
      <c r="MMR2494" s="59"/>
      <c r="MMS2494" s="59"/>
      <c r="MMT2494" s="60"/>
      <c r="MMU2494" s="60"/>
      <c r="MMV2494" s="60"/>
      <c r="MMW2494" s="59"/>
      <c r="MMX2494" s="61"/>
      <c r="MMY2494" s="59"/>
      <c r="MMZ2494" s="59"/>
      <c r="MNA2494" s="59"/>
      <c r="MNB2494" s="60"/>
      <c r="MNC2494" s="60"/>
      <c r="MND2494" s="60"/>
      <c r="MNE2494" s="59"/>
      <c r="MNF2494" s="61"/>
      <c r="MNG2494" s="59"/>
      <c r="MNH2494" s="59"/>
      <c r="MNI2494" s="59"/>
      <c r="MNJ2494" s="60"/>
      <c r="MNK2494" s="60"/>
      <c r="MNL2494" s="60"/>
      <c r="MNM2494" s="59"/>
      <c r="MNN2494" s="61"/>
      <c r="MNO2494" s="59"/>
      <c r="MNP2494" s="59"/>
      <c r="MNQ2494" s="59"/>
      <c r="MNR2494" s="60"/>
      <c r="MNS2494" s="60"/>
      <c r="MNT2494" s="60"/>
      <c r="MNU2494" s="59"/>
      <c r="MNV2494" s="61"/>
      <c r="MNW2494" s="59"/>
      <c r="MNX2494" s="59"/>
      <c r="MNY2494" s="59"/>
      <c r="MNZ2494" s="60"/>
      <c r="MOA2494" s="60"/>
      <c r="MOB2494" s="60"/>
      <c r="MOC2494" s="59"/>
      <c r="MOD2494" s="61"/>
      <c r="MOE2494" s="59"/>
      <c r="MOF2494" s="59"/>
      <c r="MOG2494" s="59"/>
      <c r="MOH2494" s="60"/>
      <c r="MOI2494" s="60"/>
      <c r="MOJ2494" s="60"/>
      <c r="MOK2494" s="59"/>
      <c r="MOL2494" s="61"/>
      <c r="MOM2494" s="59"/>
      <c r="MON2494" s="59"/>
      <c r="MOO2494" s="59"/>
      <c r="MOP2494" s="60"/>
      <c r="MOQ2494" s="60"/>
      <c r="MOR2494" s="60"/>
      <c r="MOS2494" s="59"/>
      <c r="MOT2494" s="61"/>
      <c r="MOU2494" s="59"/>
      <c r="MOV2494" s="59"/>
      <c r="MOW2494" s="59"/>
      <c r="MOX2494" s="60"/>
      <c r="MOY2494" s="60"/>
      <c r="MOZ2494" s="60"/>
      <c r="MPA2494" s="59"/>
      <c r="MPB2494" s="61"/>
      <c r="MPC2494" s="59"/>
      <c r="MPD2494" s="59"/>
      <c r="MPE2494" s="59"/>
      <c r="MPF2494" s="60"/>
      <c r="MPG2494" s="60"/>
      <c r="MPH2494" s="60"/>
      <c r="MPI2494" s="59"/>
      <c r="MPJ2494" s="61"/>
      <c r="MPK2494" s="59"/>
      <c r="MPL2494" s="59"/>
      <c r="MPM2494" s="59"/>
      <c r="MPN2494" s="60"/>
      <c r="MPO2494" s="60"/>
      <c r="MPP2494" s="60"/>
      <c r="MPQ2494" s="59"/>
      <c r="MPR2494" s="61"/>
      <c r="MPS2494" s="59"/>
      <c r="MPT2494" s="59"/>
      <c r="MPU2494" s="59"/>
      <c r="MPV2494" s="60"/>
      <c r="MPW2494" s="60"/>
      <c r="MPX2494" s="60"/>
      <c r="MPY2494" s="59"/>
      <c r="MPZ2494" s="61"/>
      <c r="MQA2494" s="59"/>
      <c r="MQB2494" s="59"/>
      <c r="MQC2494" s="59"/>
      <c r="MQD2494" s="60"/>
      <c r="MQE2494" s="60"/>
      <c r="MQF2494" s="60"/>
      <c r="MQG2494" s="59"/>
      <c r="MQH2494" s="61"/>
      <c r="MQI2494" s="59"/>
      <c r="MQJ2494" s="59"/>
      <c r="MQK2494" s="59"/>
      <c r="MQL2494" s="60"/>
      <c r="MQM2494" s="60"/>
      <c r="MQN2494" s="60"/>
      <c r="MQO2494" s="59"/>
      <c r="MQP2494" s="61"/>
      <c r="MQQ2494" s="59"/>
      <c r="MQR2494" s="59"/>
      <c r="MQS2494" s="59"/>
      <c r="MQT2494" s="60"/>
      <c r="MQU2494" s="60"/>
      <c r="MQV2494" s="60"/>
      <c r="MQW2494" s="59"/>
      <c r="MQX2494" s="61"/>
      <c r="MQY2494" s="59"/>
      <c r="MQZ2494" s="59"/>
      <c r="MRA2494" s="59"/>
      <c r="MRB2494" s="60"/>
      <c r="MRC2494" s="60"/>
      <c r="MRD2494" s="60"/>
      <c r="MRE2494" s="59"/>
      <c r="MRF2494" s="61"/>
      <c r="MRG2494" s="59"/>
      <c r="MRH2494" s="59"/>
      <c r="MRI2494" s="59"/>
      <c r="MRJ2494" s="60"/>
      <c r="MRK2494" s="60"/>
      <c r="MRL2494" s="60"/>
      <c r="MRM2494" s="59"/>
      <c r="MRN2494" s="61"/>
      <c r="MRO2494" s="59"/>
      <c r="MRP2494" s="59"/>
      <c r="MRQ2494" s="59"/>
      <c r="MRR2494" s="60"/>
      <c r="MRS2494" s="60"/>
      <c r="MRT2494" s="60"/>
      <c r="MRU2494" s="59"/>
      <c r="MRV2494" s="61"/>
      <c r="MRW2494" s="59"/>
      <c r="MRX2494" s="59"/>
      <c r="MRY2494" s="59"/>
      <c r="MRZ2494" s="60"/>
      <c r="MSA2494" s="60"/>
      <c r="MSB2494" s="60"/>
      <c r="MSC2494" s="59"/>
      <c r="MSD2494" s="61"/>
      <c r="MSE2494" s="59"/>
      <c r="MSF2494" s="59"/>
      <c r="MSG2494" s="59"/>
      <c r="MSH2494" s="60"/>
      <c r="MSI2494" s="60"/>
      <c r="MSJ2494" s="60"/>
      <c r="MSK2494" s="59"/>
      <c r="MSL2494" s="61"/>
      <c r="MSM2494" s="59"/>
      <c r="MSN2494" s="59"/>
      <c r="MSO2494" s="59"/>
      <c r="MSP2494" s="60"/>
      <c r="MSQ2494" s="60"/>
      <c r="MSR2494" s="60"/>
      <c r="MSS2494" s="59"/>
      <c r="MST2494" s="61"/>
      <c r="MSU2494" s="59"/>
      <c r="MSV2494" s="59"/>
      <c r="MSW2494" s="59"/>
      <c r="MSX2494" s="60"/>
      <c r="MSY2494" s="60"/>
      <c r="MSZ2494" s="60"/>
      <c r="MTA2494" s="59"/>
      <c r="MTB2494" s="61"/>
      <c r="MTC2494" s="59"/>
      <c r="MTD2494" s="59"/>
      <c r="MTE2494" s="59"/>
      <c r="MTF2494" s="60"/>
      <c r="MTG2494" s="60"/>
      <c r="MTH2494" s="60"/>
      <c r="MTI2494" s="59"/>
      <c r="MTJ2494" s="61"/>
      <c r="MTK2494" s="59"/>
      <c r="MTL2494" s="59"/>
      <c r="MTM2494" s="59"/>
      <c r="MTN2494" s="60"/>
      <c r="MTO2494" s="60"/>
      <c r="MTP2494" s="60"/>
      <c r="MTQ2494" s="59"/>
      <c r="MTR2494" s="61"/>
      <c r="MTS2494" s="59"/>
      <c r="MTT2494" s="59"/>
      <c r="MTU2494" s="59"/>
      <c r="MTV2494" s="60"/>
      <c r="MTW2494" s="60"/>
      <c r="MTX2494" s="60"/>
      <c r="MTY2494" s="59"/>
      <c r="MTZ2494" s="61"/>
      <c r="MUA2494" s="59"/>
      <c r="MUB2494" s="59"/>
      <c r="MUC2494" s="59"/>
      <c r="MUD2494" s="60"/>
      <c r="MUE2494" s="60"/>
      <c r="MUF2494" s="60"/>
      <c r="MUG2494" s="59"/>
      <c r="MUH2494" s="61"/>
      <c r="MUI2494" s="59"/>
      <c r="MUJ2494" s="59"/>
      <c r="MUK2494" s="59"/>
      <c r="MUL2494" s="60"/>
      <c r="MUM2494" s="60"/>
      <c r="MUN2494" s="60"/>
      <c r="MUO2494" s="59"/>
      <c r="MUP2494" s="61"/>
      <c r="MUQ2494" s="59"/>
      <c r="MUR2494" s="59"/>
      <c r="MUS2494" s="59"/>
      <c r="MUT2494" s="60"/>
      <c r="MUU2494" s="60"/>
      <c r="MUV2494" s="60"/>
      <c r="MUW2494" s="59"/>
      <c r="MUX2494" s="61"/>
      <c r="MUY2494" s="59"/>
      <c r="MUZ2494" s="59"/>
      <c r="MVA2494" s="59"/>
      <c r="MVB2494" s="60"/>
      <c r="MVC2494" s="60"/>
      <c r="MVD2494" s="60"/>
      <c r="MVE2494" s="59"/>
      <c r="MVF2494" s="61"/>
      <c r="MVG2494" s="59"/>
      <c r="MVH2494" s="59"/>
      <c r="MVI2494" s="59"/>
      <c r="MVJ2494" s="60"/>
      <c r="MVK2494" s="60"/>
      <c r="MVL2494" s="60"/>
      <c r="MVM2494" s="59"/>
      <c r="MVN2494" s="61"/>
      <c r="MVO2494" s="59"/>
      <c r="MVP2494" s="59"/>
      <c r="MVQ2494" s="59"/>
      <c r="MVR2494" s="60"/>
      <c r="MVS2494" s="60"/>
      <c r="MVT2494" s="60"/>
      <c r="MVU2494" s="59"/>
      <c r="MVV2494" s="61"/>
      <c r="MVW2494" s="59"/>
      <c r="MVX2494" s="59"/>
      <c r="MVY2494" s="59"/>
      <c r="MVZ2494" s="60"/>
      <c r="MWA2494" s="60"/>
      <c r="MWB2494" s="60"/>
      <c r="MWC2494" s="59"/>
      <c r="MWD2494" s="61"/>
      <c r="MWE2494" s="59"/>
      <c r="MWF2494" s="59"/>
      <c r="MWG2494" s="59"/>
      <c r="MWH2494" s="60"/>
      <c r="MWI2494" s="60"/>
      <c r="MWJ2494" s="60"/>
      <c r="MWK2494" s="59"/>
      <c r="MWL2494" s="61"/>
      <c r="MWM2494" s="59"/>
      <c r="MWN2494" s="59"/>
      <c r="MWO2494" s="59"/>
      <c r="MWP2494" s="60"/>
      <c r="MWQ2494" s="60"/>
      <c r="MWR2494" s="60"/>
      <c r="MWS2494" s="59"/>
      <c r="MWT2494" s="61"/>
      <c r="MWU2494" s="59"/>
      <c r="MWV2494" s="59"/>
      <c r="MWW2494" s="59"/>
      <c r="MWX2494" s="60"/>
      <c r="MWY2494" s="60"/>
      <c r="MWZ2494" s="60"/>
      <c r="MXA2494" s="59"/>
      <c r="MXB2494" s="61"/>
      <c r="MXC2494" s="59"/>
      <c r="MXD2494" s="59"/>
      <c r="MXE2494" s="59"/>
      <c r="MXF2494" s="60"/>
      <c r="MXG2494" s="60"/>
      <c r="MXH2494" s="60"/>
      <c r="MXI2494" s="59"/>
      <c r="MXJ2494" s="61"/>
      <c r="MXK2494" s="59"/>
      <c r="MXL2494" s="59"/>
      <c r="MXM2494" s="59"/>
      <c r="MXN2494" s="60"/>
      <c r="MXO2494" s="60"/>
      <c r="MXP2494" s="60"/>
      <c r="MXQ2494" s="59"/>
      <c r="MXR2494" s="61"/>
      <c r="MXS2494" s="59"/>
      <c r="MXT2494" s="59"/>
      <c r="MXU2494" s="59"/>
      <c r="MXV2494" s="60"/>
      <c r="MXW2494" s="60"/>
      <c r="MXX2494" s="60"/>
      <c r="MXY2494" s="59"/>
      <c r="MXZ2494" s="61"/>
      <c r="MYA2494" s="59"/>
      <c r="MYB2494" s="59"/>
      <c r="MYC2494" s="59"/>
      <c r="MYD2494" s="60"/>
      <c r="MYE2494" s="60"/>
      <c r="MYF2494" s="60"/>
      <c r="MYG2494" s="59"/>
      <c r="MYH2494" s="61"/>
      <c r="MYI2494" s="59"/>
      <c r="MYJ2494" s="59"/>
      <c r="MYK2494" s="59"/>
      <c r="MYL2494" s="60"/>
      <c r="MYM2494" s="60"/>
      <c r="MYN2494" s="60"/>
      <c r="MYO2494" s="59"/>
      <c r="MYP2494" s="61"/>
      <c r="MYQ2494" s="59"/>
      <c r="MYR2494" s="59"/>
      <c r="MYS2494" s="59"/>
      <c r="MYT2494" s="60"/>
      <c r="MYU2494" s="60"/>
      <c r="MYV2494" s="60"/>
      <c r="MYW2494" s="59"/>
      <c r="MYX2494" s="61"/>
      <c r="MYY2494" s="59"/>
      <c r="MYZ2494" s="59"/>
      <c r="MZA2494" s="59"/>
      <c r="MZB2494" s="60"/>
      <c r="MZC2494" s="60"/>
      <c r="MZD2494" s="60"/>
      <c r="MZE2494" s="59"/>
      <c r="MZF2494" s="61"/>
      <c r="MZG2494" s="59"/>
      <c r="MZH2494" s="59"/>
      <c r="MZI2494" s="59"/>
      <c r="MZJ2494" s="60"/>
      <c r="MZK2494" s="60"/>
      <c r="MZL2494" s="60"/>
      <c r="MZM2494" s="59"/>
      <c r="MZN2494" s="61"/>
      <c r="MZO2494" s="59"/>
      <c r="MZP2494" s="59"/>
      <c r="MZQ2494" s="59"/>
      <c r="MZR2494" s="60"/>
      <c r="MZS2494" s="60"/>
      <c r="MZT2494" s="60"/>
      <c r="MZU2494" s="59"/>
      <c r="MZV2494" s="61"/>
      <c r="MZW2494" s="59"/>
      <c r="MZX2494" s="59"/>
      <c r="MZY2494" s="59"/>
      <c r="MZZ2494" s="60"/>
      <c r="NAA2494" s="60"/>
      <c r="NAB2494" s="60"/>
      <c r="NAC2494" s="59"/>
      <c r="NAD2494" s="61"/>
      <c r="NAE2494" s="59"/>
      <c r="NAF2494" s="59"/>
      <c r="NAG2494" s="59"/>
      <c r="NAH2494" s="60"/>
      <c r="NAI2494" s="60"/>
      <c r="NAJ2494" s="60"/>
      <c r="NAK2494" s="59"/>
      <c r="NAL2494" s="61"/>
      <c r="NAM2494" s="59"/>
      <c r="NAN2494" s="59"/>
      <c r="NAO2494" s="59"/>
      <c r="NAP2494" s="60"/>
      <c r="NAQ2494" s="60"/>
      <c r="NAR2494" s="60"/>
      <c r="NAS2494" s="59"/>
      <c r="NAT2494" s="61"/>
      <c r="NAU2494" s="59"/>
      <c r="NAV2494" s="59"/>
      <c r="NAW2494" s="59"/>
      <c r="NAX2494" s="60"/>
      <c r="NAY2494" s="60"/>
      <c r="NAZ2494" s="60"/>
      <c r="NBA2494" s="59"/>
      <c r="NBB2494" s="61"/>
      <c r="NBC2494" s="59"/>
      <c r="NBD2494" s="59"/>
      <c r="NBE2494" s="59"/>
      <c r="NBF2494" s="60"/>
      <c r="NBG2494" s="60"/>
      <c r="NBH2494" s="60"/>
      <c r="NBI2494" s="59"/>
      <c r="NBJ2494" s="61"/>
      <c r="NBK2494" s="59"/>
      <c r="NBL2494" s="59"/>
      <c r="NBM2494" s="59"/>
      <c r="NBN2494" s="60"/>
      <c r="NBO2494" s="60"/>
      <c r="NBP2494" s="60"/>
      <c r="NBQ2494" s="59"/>
      <c r="NBR2494" s="61"/>
      <c r="NBS2494" s="59"/>
      <c r="NBT2494" s="59"/>
      <c r="NBU2494" s="59"/>
      <c r="NBV2494" s="60"/>
      <c r="NBW2494" s="60"/>
      <c r="NBX2494" s="60"/>
      <c r="NBY2494" s="59"/>
      <c r="NBZ2494" s="61"/>
      <c r="NCA2494" s="59"/>
      <c r="NCB2494" s="59"/>
      <c r="NCC2494" s="59"/>
      <c r="NCD2494" s="60"/>
      <c r="NCE2494" s="60"/>
      <c r="NCF2494" s="60"/>
      <c r="NCG2494" s="59"/>
      <c r="NCH2494" s="61"/>
      <c r="NCI2494" s="59"/>
      <c r="NCJ2494" s="59"/>
      <c r="NCK2494" s="59"/>
      <c r="NCL2494" s="60"/>
      <c r="NCM2494" s="60"/>
      <c r="NCN2494" s="60"/>
      <c r="NCO2494" s="59"/>
      <c r="NCP2494" s="61"/>
      <c r="NCQ2494" s="59"/>
      <c r="NCR2494" s="59"/>
      <c r="NCS2494" s="59"/>
      <c r="NCT2494" s="60"/>
      <c r="NCU2494" s="60"/>
      <c r="NCV2494" s="60"/>
      <c r="NCW2494" s="59"/>
      <c r="NCX2494" s="61"/>
      <c r="NCY2494" s="59"/>
      <c r="NCZ2494" s="59"/>
      <c r="NDA2494" s="59"/>
      <c r="NDB2494" s="60"/>
      <c r="NDC2494" s="60"/>
      <c r="NDD2494" s="60"/>
      <c r="NDE2494" s="59"/>
      <c r="NDF2494" s="61"/>
      <c r="NDG2494" s="59"/>
      <c r="NDH2494" s="59"/>
      <c r="NDI2494" s="59"/>
      <c r="NDJ2494" s="60"/>
      <c r="NDK2494" s="60"/>
      <c r="NDL2494" s="60"/>
      <c r="NDM2494" s="59"/>
      <c r="NDN2494" s="61"/>
      <c r="NDO2494" s="59"/>
      <c r="NDP2494" s="59"/>
      <c r="NDQ2494" s="59"/>
      <c r="NDR2494" s="60"/>
      <c r="NDS2494" s="60"/>
      <c r="NDT2494" s="60"/>
      <c r="NDU2494" s="59"/>
      <c r="NDV2494" s="61"/>
      <c r="NDW2494" s="59"/>
      <c r="NDX2494" s="59"/>
      <c r="NDY2494" s="59"/>
      <c r="NDZ2494" s="60"/>
      <c r="NEA2494" s="60"/>
      <c r="NEB2494" s="60"/>
      <c r="NEC2494" s="59"/>
      <c r="NED2494" s="61"/>
      <c r="NEE2494" s="59"/>
      <c r="NEF2494" s="59"/>
      <c r="NEG2494" s="59"/>
      <c r="NEH2494" s="60"/>
      <c r="NEI2494" s="60"/>
      <c r="NEJ2494" s="60"/>
      <c r="NEK2494" s="59"/>
      <c r="NEL2494" s="61"/>
      <c r="NEM2494" s="59"/>
      <c r="NEN2494" s="59"/>
      <c r="NEO2494" s="59"/>
      <c r="NEP2494" s="60"/>
      <c r="NEQ2494" s="60"/>
      <c r="NER2494" s="60"/>
      <c r="NES2494" s="59"/>
      <c r="NET2494" s="61"/>
      <c r="NEU2494" s="59"/>
      <c r="NEV2494" s="59"/>
      <c r="NEW2494" s="59"/>
      <c r="NEX2494" s="60"/>
      <c r="NEY2494" s="60"/>
      <c r="NEZ2494" s="60"/>
      <c r="NFA2494" s="59"/>
      <c r="NFB2494" s="61"/>
      <c r="NFC2494" s="59"/>
      <c r="NFD2494" s="59"/>
      <c r="NFE2494" s="59"/>
      <c r="NFF2494" s="60"/>
      <c r="NFG2494" s="60"/>
      <c r="NFH2494" s="60"/>
      <c r="NFI2494" s="59"/>
      <c r="NFJ2494" s="61"/>
      <c r="NFK2494" s="59"/>
      <c r="NFL2494" s="59"/>
      <c r="NFM2494" s="59"/>
      <c r="NFN2494" s="60"/>
      <c r="NFO2494" s="60"/>
      <c r="NFP2494" s="60"/>
      <c r="NFQ2494" s="59"/>
      <c r="NFR2494" s="61"/>
      <c r="NFS2494" s="59"/>
      <c r="NFT2494" s="59"/>
      <c r="NFU2494" s="59"/>
      <c r="NFV2494" s="60"/>
      <c r="NFW2494" s="60"/>
      <c r="NFX2494" s="60"/>
      <c r="NFY2494" s="59"/>
      <c r="NFZ2494" s="61"/>
      <c r="NGA2494" s="59"/>
      <c r="NGB2494" s="59"/>
      <c r="NGC2494" s="59"/>
      <c r="NGD2494" s="60"/>
      <c r="NGE2494" s="60"/>
      <c r="NGF2494" s="60"/>
      <c r="NGG2494" s="59"/>
      <c r="NGH2494" s="61"/>
      <c r="NGI2494" s="59"/>
      <c r="NGJ2494" s="59"/>
      <c r="NGK2494" s="59"/>
      <c r="NGL2494" s="60"/>
      <c r="NGM2494" s="60"/>
      <c r="NGN2494" s="60"/>
      <c r="NGO2494" s="59"/>
      <c r="NGP2494" s="61"/>
      <c r="NGQ2494" s="59"/>
      <c r="NGR2494" s="59"/>
      <c r="NGS2494" s="59"/>
      <c r="NGT2494" s="60"/>
      <c r="NGU2494" s="60"/>
      <c r="NGV2494" s="60"/>
      <c r="NGW2494" s="59"/>
      <c r="NGX2494" s="61"/>
      <c r="NGY2494" s="59"/>
      <c r="NGZ2494" s="59"/>
      <c r="NHA2494" s="59"/>
      <c r="NHB2494" s="60"/>
      <c r="NHC2494" s="60"/>
      <c r="NHD2494" s="60"/>
      <c r="NHE2494" s="59"/>
      <c r="NHF2494" s="61"/>
      <c r="NHG2494" s="59"/>
      <c r="NHH2494" s="59"/>
      <c r="NHI2494" s="59"/>
      <c r="NHJ2494" s="60"/>
      <c r="NHK2494" s="60"/>
      <c r="NHL2494" s="60"/>
      <c r="NHM2494" s="59"/>
      <c r="NHN2494" s="61"/>
      <c r="NHO2494" s="59"/>
      <c r="NHP2494" s="59"/>
      <c r="NHQ2494" s="59"/>
      <c r="NHR2494" s="60"/>
      <c r="NHS2494" s="60"/>
      <c r="NHT2494" s="60"/>
      <c r="NHU2494" s="59"/>
      <c r="NHV2494" s="61"/>
      <c r="NHW2494" s="59"/>
      <c r="NHX2494" s="59"/>
      <c r="NHY2494" s="59"/>
      <c r="NHZ2494" s="60"/>
      <c r="NIA2494" s="60"/>
      <c r="NIB2494" s="60"/>
      <c r="NIC2494" s="59"/>
      <c r="NID2494" s="61"/>
      <c r="NIE2494" s="59"/>
      <c r="NIF2494" s="59"/>
      <c r="NIG2494" s="59"/>
      <c r="NIH2494" s="60"/>
      <c r="NII2494" s="60"/>
      <c r="NIJ2494" s="60"/>
      <c r="NIK2494" s="59"/>
      <c r="NIL2494" s="61"/>
      <c r="NIM2494" s="59"/>
      <c r="NIN2494" s="59"/>
      <c r="NIO2494" s="59"/>
      <c r="NIP2494" s="60"/>
      <c r="NIQ2494" s="60"/>
      <c r="NIR2494" s="60"/>
      <c r="NIS2494" s="59"/>
      <c r="NIT2494" s="61"/>
      <c r="NIU2494" s="59"/>
      <c r="NIV2494" s="59"/>
      <c r="NIW2494" s="59"/>
      <c r="NIX2494" s="60"/>
      <c r="NIY2494" s="60"/>
      <c r="NIZ2494" s="60"/>
      <c r="NJA2494" s="59"/>
      <c r="NJB2494" s="61"/>
      <c r="NJC2494" s="59"/>
      <c r="NJD2494" s="59"/>
      <c r="NJE2494" s="59"/>
      <c r="NJF2494" s="60"/>
      <c r="NJG2494" s="60"/>
      <c r="NJH2494" s="60"/>
      <c r="NJI2494" s="59"/>
      <c r="NJJ2494" s="61"/>
      <c r="NJK2494" s="59"/>
      <c r="NJL2494" s="59"/>
      <c r="NJM2494" s="59"/>
      <c r="NJN2494" s="60"/>
      <c r="NJO2494" s="60"/>
      <c r="NJP2494" s="60"/>
      <c r="NJQ2494" s="59"/>
      <c r="NJR2494" s="61"/>
      <c r="NJS2494" s="59"/>
      <c r="NJT2494" s="59"/>
      <c r="NJU2494" s="59"/>
      <c r="NJV2494" s="60"/>
      <c r="NJW2494" s="60"/>
      <c r="NJX2494" s="60"/>
      <c r="NJY2494" s="59"/>
      <c r="NJZ2494" s="61"/>
      <c r="NKA2494" s="59"/>
      <c r="NKB2494" s="59"/>
      <c r="NKC2494" s="59"/>
      <c r="NKD2494" s="60"/>
      <c r="NKE2494" s="60"/>
      <c r="NKF2494" s="60"/>
      <c r="NKG2494" s="59"/>
      <c r="NKH2494" s="61"/>
      <c r="NKI2494" s="59"/>
      <c r="NKJ2494" s="59"/>
      <c r="NKK2494" s="59"/>
      <c r="NKL2494" s="60"/>
      <c r="NKM2494" s="60"/>
      <c r="NKN2494" s="60"/>
      <c r="NKO2494" s="59"/>
      <c r="NKP2494" s="61"/>
      <c r="NKQ2494" s="59"/>
      <c r="NKR2494" s="59"/>
      <c r="NKS2494" s="59"/>
      <c r="NKT2494" s="60"/>
      <c r="NKU2494" s="60"/>
      <c r="NKV2494" s="60"/>
      <c r="NKW2494" s="59"/>
      <c r="NKX2494" s="61"/>
      <c r="NKY2494" s="59"/>
      <c r="NKZ2494" s="59"/>
      <c r="NLA2494" s="59"/>
      <c r="NLB2494" s="60"/>
      <c r="NLC2494" s="60"/>
      <c r="NLD2494" s="60"/>
      <c r="NLE2494" s="59"/>
      <c r="NLF2494" s="61"/>
      <c r="NLG2494" s="59"/>
      <c r="NLH2494" s="59"/>
      <c r="NLI2494" s="59"/>
      <c r="NLJ2494" s="60"/>
      <c r="NLK2494" s="60"/>
      <c r="NLL2494" s="60"/>
      <c r="NLM2494" s="59"/>
      <c r="NLN2494" s="61"/>
      <c r="NLO2494" s="59"/>
      <c r="NLP2494" s="59"/>
      <c r="NLQ2494" s="59"/>
      <c r="NLR2494" s="60"/>
      <c r="NLS2494" s="60"/>
      <c r="NLT2494" s="60"/>
      <c r="NLU2494" s="59"/>
      <c r="NLV2494" s="61"/>
      <c r="NLW2494" s="59"/>
      <c r="NLX2494" s="59"/>
      <c r="NLY2494" s="59"/>
      <c r="NLZ2494" s="60"/>
      <c r="NMA2494" s="60"/>
      <c r="NMB2494" s="60"/>
      <c r="NMC2494" s="59"/>
      <c r="NMD2494" s="61"/>
      <c r="NME2494" s="59"/>
      <c r="NMF2494" s="59"/>
      <c r="NMG2494" s="59"/>
      <c r="NMH2494" s="60"/>
      <c r="NMI2494" s="60"/>
      <c r="NMJ2494" s="60"/>
      <c r="NMK2494" s="59"/>
      <c r="NML2494" s="61"/>
      <c r="NMM2494" s="59"/>
      <c r="NMN2494" s="59"/>
      <c r="NMO2494" s="59"/>
      <c r="NMP2494" s="60"/>
      <c r="NMQ2494" s="60"/>
      <c r="NMR2494" s="60"/>
      <c r="NMS2494" s="59"/>
      <c r="NMT2494" s="61"/>
      <c r="NMU2494" s="59"/>
      <c r="NMV2494" s="59"/>
      <c r="NMW2494" s="59"/>
      <c r="NMX2494" s="60"/>
      <c r="NMY2494" s="60"/>
      <c r="NMZ2494" s="60"/>
      <c r="NNA2494" s="59"/>
      <c r="NNB2494" s="61"/>
      <c r="NNC2494" s="59"/>
      <c r="NND2494" s="59"/>
      <c r="NNE2494" s="59"/>
      <c r="NNF2494" s="60"/>
      <c r="NNG2494" s="60"/>
      <c r="NNH2494" s="60"/>
      <c r="NNI2494" s="59"/>
      <c r="NNJ2494" s="61"/>
      <c r="NNK2494" s="59"/>
      <c r="NNL2494" s="59"/>
      <c r="NNM2494" s="59"/>
      <c r="NNN2494" s="60"/>
      <c r="NNO2494" s="60"/>
      <c r="NNP2494" s="60"/>
      <c r="NNQ2494" s="59"/>
      <c r="NNR2494" s="61"/>
      <c r="NNS2494" s="59"/>
      <c r="NNT2494" s="59"/>
      <c r="NNU2494" s="59"/>
      <c r="NNV2494" s="60"/>
      <c r="NNW2494" s="60"/>
      <c r="NNX2494" s="60"/>
      <c r="NNY2494" s="59"/>
      <c r="NNZ2494" s="61"/>
      <c r="NOA2494" s="59"/>
      <c r="NOB2494" s="59"/>
      <c r="NOC2494" s="59"/>
      <c r="NOD2494" s="60"/>
      <c r="NOE2494" s="60"/>
      <c r="NOF2494" s="60"/>
      <c r="NOG2494" s="59"/>
      <c r="NOH2494" s="61"/>
      <c r="NOI2494" s="59"/>
      <c r="NOJ2494" s="59"/>
      <c r="NOK2494" s="59"/>
      <c r="NOL2494" s="60"/>
      <c r="NOM2494" s="60"/>
      <c r="NON2494" s="60"/>
      <c r="NOO2494" s="59"/>
      <c r="NOP2494" s="61"/>
      <c r="NOQ2494" s="59"/>
      <c r="NOR2494" s="59"/>
      <c r="NOS2494" s="59"/>
      <c r="NOT2494" s="60"/>
      <c r="NOU2494" s="60"/>
      <c r="NOV2494" s="60"/>
      <c r="NOW2494" s="59"/>
      <c r="NOX2494" s="61"/>
      <c r="NOY2494" s="59"/>
      <c r="NOZ2494" s="59"/>
      <c r="NPA2494" s="59"/>
      <c r="NPB2494" s="60"/>
      <c r="NPC2494" s="60"/>
      <c r="NPD2494" s="60"/>
      <c r="NPE2494" s="59"/>
      <c r="NPF2494" s="61"/>
      <c r="NPG2494" s="59"/>
      <c r="NPH2494" s="59"/>
      <c r="NPI2494" s="59"/>
      <c r="NPJ2494" s="60"/>
      <c r="NPK2494" s="60"/>
      <c r="NPL2494" s="60"/>
      <c r="NPM2494" s="59"/>
      <c r="NPN2494" s="61"/>
      <c r="NPO2494" s="59"/>
      <c r="NPP2494" s="59"/>
      <c r="NPQ2494" s="59"/>
      <c r="NPR2494" s="60"/>
      <c r="NPS2494" s="60"/>
      <c r="NPT2494" s="60"/>
      <c r="NPU2494" s="59"/>
      <c r="NPV2494" s="61"/>
      <c r="NPW2494" s="59"/>
      <c r="NPX2494" s="59"/>
      <c r="NPY2494" s="59"/>
      <c r="NPZ2494" s="60"/>
      <c r="NQA2494" s="60"/>
      <c r="NQB2494" s="60"/>
      <c r="NQC2494" s="59"/>
      <c r="NQD2494" s="61"/>
      <c r="NQE2494" s="59"/>
      <c r="NQF2494" s="59"/>
      <c r="NQG2494" s="59"/>
      <c r="NQH2494" s="60"/>
      <c r="NQI2494" s="60"/>
      <c r="NQJ2494" s="60"/>
      <c r="NQK2494" s="59"/>
      <c r="NQL2494" s="61"/>
      <c r="NQM2494" s="59"/>
      <c r="NQN2494" s="59"/>
      <c r="NQO2494" s="59"/>
      <c r="NQP2494" s="60"/>
      <c r="NQQ2494" s="60"/>
      <c r="NQR2494" s="60"/>
      <c r="NQS2494" s="59"/>
      <c r="NQT2494" s="61"/>
      <c r="NQU2494" s="59"/>
      <c r="NQV2494" s="59"/>
      <c r="NQW2494" s="59"/>
      <c r="NQX2494" s="60"/>
      <c r="NQY2494" s="60"/>
      <c r="NQZ2494" s="60"/>
      <c r="NRA2494" s="59"/>
      <c r="NRB2494" s="61"/>
      <c r="NRC2494" s="59"/>
      <c r="NRD2494" s="59"/>
      <c r="NRE2494" s="59"/>
      <c r="NRF2494" s="60"/>
      <c r="NRG2494" s="60"/>
      <c r="NRH2494" s="60"/>
      <c r="NRI2494" s="59"/>
      <c r="NRJ2494" s="61"/>
      <c r="NRK2494" s="59"/>
      <c r="NRL2494" s="59"/>
      <c r="NRM2494" s="59"/>
      <c r="NRN2494" s="60"/>
      <c r="NRO2494" s="60"/>
      <c r="NRP2494" s="60"/>
      <c r="NRQ2494" s="59"/>
      <c r="NRR2494" s="61"/>
      <c r="NRS2494" s="59"/>
      <c r="NRT2494" s="59"/>
      <c r="NRU2494" s="59"/>
      <c r="NRV2494" s="60"/>
      <c r="NRW2494" s="60"/>
      <c r="NRX2494" s="60"/>
      <c r="NRY2494" s="59"/>
      <c r="NRZ2494" s="61"/>
      <c r="NSA2494" s="59"/>
      <c r="NSB2494" s="59"/>
      <c r="NSC2494" s="59"/>
      <c r="NSD2494" s="60"/>
      <c r="NSE2494" s="60"/>
      <c r="NSF2494" s="60"/>
      <c r="NSG2494" s="59"/>
      <c r="NSH2494" s="61"/>
      <c r="NSI2494" s="59"/>
      <c r="NSJ2494" s="59"/>
      <c r="NSK2494" s="59"/>
      <c r="NSL2494" s="60"/>
      <c r="NSM2494" s="60"/>
      <c r="NSN2494" s="60"/>
      <c r="NSO2494" s="59"/>
      <c r="NSP2494" s="61"/>
      <c r="NSQ2494" s="59"/>
      <c r="NSR2494" s="59"/>
      <c r="NSS2494" s="59"/>
      <c r="NST2494" s="60"/>
      <c r="NSU2494" s="60"/>
      <c r="NSV2494" s="60"/>
      <c r="NSW2494" s="59"/>
      <c r="NSX2494" s="61"/>
      <c r="NSY2494" s="59"/>
      <c r="NSZ2494" s="59"/>
      <c r="NTA2494" s="59"/>
      <c r="NTB2494" s="60"/>
      <c r="NTC2494" s="60"/>
      <c r="NTD2494" s="60"/>
      <c r="NTE2494" s="59"/>
      <c r="NTF2494" s="61"/>
      <c r="NTG2494" s="59"/>
      <c r="NTH2494" s="59"/>
      <c r="NTI2494" s="59"/>
      <c r="NTJ2494" s="60"/>
      <c r="NTK2494" s="60"/>
      <c r="NTL2494" s="60"/>
      <c r="NTM2494" s="59"/>
      <c r="NTN2494" s="61"/>
      <c r="NTO2494" s="59"/>
      <c r="NTP2494" s="59"/>
      <c r="NTQ2494" s="59"/>
      <c r="NTR2494" s="60"/>
      <c r="NTS2494" s="60"/>
      <c r="NTT2494" s="60"/>
      <c r="NTU2494" s="59"/>
      <c r="NTV2494" s="61"/>
      <c r="NTW2494" s="59"/>
      <c r="NTX2494" s="59"/>
      <c r="NTY2494" s="59"/>
      <c r="NTZ2494" s="60"/>
      <c r="NUA2494" s="60"/>
      <c r="NUB2494" s="60"/>
      <c r="NUC2494" s="59"/>
      <c r="NUD2494" s="61"/>
      <c r="NUE2494" s="59"/>
      <c r="NUF2494" s="59"/>
      <c r="NUG2494" s="59"/>
      <c r="NUH2494" s="60"/>
      <c r="NUI2494" s="60"/>
      <c r="NUJ2494" s="60"/>
      <c r="NUK2494" s="59"/>
      <c r="NUL2494" s="61"/>
      <c r="NUM2494" s="59"/>
      <c r="NUN2494" s="59"/>
      <c r="NUO2494" s="59"/>
      <c r="NUP2494" s="60"/>
      <c r="NUQ2494" s="60"/>
      <c r="NUR2494" s="60"/>
      <c r="NUS2494" s="59"/>
      <c r="NUT2494" s="61"/>
      <c r="NUU2494" s="59"/>
      <c r="NUV2494" s="59"/>
      <c r="NUW2494" s="59"/>
      <c r="NUX2494" s="60"/>
      <c r="NUY2494" s="60"/>
      <c r="NUZ2494" s="60"/>
      <c r="NVA2494" s="59"/>
      <c r="NVB2494" s="61"/>
      <c r="NVC2494" s="59"/>
      <c r="NVD2494" s="59"/>
      <c r="NVE2494" s="59"/>
      <c r="NVF2494" s="60"/>
      <c r="NVG2494" s="60"/>
      <c r="NVH2494" s="60"/>
      <c r="NVI2494" s="59"/>
      <c r="NVJ2494" s="61"/>
      <c r="NVK2494" s="59"/>
      <c r="NVL2494" s="59"/>
      <c r="NVM2494" s="59"/>
      <c r="NVN2494" s="60"/>
      <c r="NVO2494" s="60"/>
      <c r="NVP2494" s="60"/>
      <c r="NVQ2494" s="59"/>
      <c r="NVR2494" s="61"/>
      <c r="NVS2494" s="59"/>
      <c r="NVT2494" s="59"/>
      <c r="NVU2494" s="59"/>
      <c r="NVV2494" s="60"/>
      <c r="NVW2494" s="60"/>
      <c r="NVX2494" s="60"/>
      <c r="NVY2494" s="59"/>
      <c r="NVZ2494" s="61"/>
      <c r="NWA2494" s="59"/>
      <c r="NWB2494" s="59"/>
      <c r="NWC2494" s="59"/>
      <c r="NWD2494" s="60"/>
      <c r="NWE2494" s="60"/>
      <c r="NWF2494" s="60"/>
      <c r="NWG2494" s="59"/>
      <c r="NWH2494" s="61"/>
      <c r="NWI2494" s="59"/>
      <c r="NWJ2494" s="59"/>
      <c r="NWK2494" s="59"/>
      <c r="NWL2494" s="60"/>
      <c r="NWM2494" s="60"/>
      <c r="NWN2494" s="60"/>
      <c r="NWO2494" s="59"/>
      <c r="NWP2494" s="61"/>
      <c r="NWQ2494" s="59"/>
      <c r="NWR2494" s="59"/>
      <c r="NWS2494" s="59"/>
      <c r="NWT2494" s="60"/>
      <c r="NWU2494" s="60"/>
      <c r="NWV2494" s="60"/>
      <c r="NWW2494" s="59"/>
      <c r="NWX2494" s="61"/>
      <c r="NWY2494" s="59"/>
      <c r="NWZ2494" s="59"/>
      <c r="NXA2494" s="59"/>
      <c r="NXB2494" s="60"/>
      <c r="NXC2494" s="60"/>
      <c r="NXD2494" s="60"/>
      <c r="NXE2494" s="59"/>
      <c r="NXF2494" s="61"/>
      <c r="NXG2494" s="59"/>
      <c r="NXH2494" s="59"/>
      <c r="NXI2494" s="59"/>
      <c r="NXJ2494" s="60"/>
      <c r="NXK2494" s="60"/>
      <c r="NXL2494" s="60"/>
      <c r="NXM2494" s="59"/>
      <c r="NXN2494" s="61"/>
      <c r="NXO2494" s="59"/>
      <c r="NXP2494" s="59"/>
      <c r="NXQ2494" s="59"/>
      <c r="NXR2494" s="60"/>
      <c r="NXS2494" s="60"/>
      <c r="NXT2494" s="60"/>
      <c r="NXU2494" s="59"/>
      <c r="NXV2494" s="61"/>
      <c r="NXW2494" s="59"/>
      <c r="NXX2494" s="59"/>
      <c r="NXY2494" s="59"/>
      <c r="NXZ2494" s="60"/>
      <c r="NYA2494" s="60"/>
      <c r="NYB2494" s="60"/>
      <c r="NYC2494" s="59"/>
      <c r="NYD2494" s="61"/>
      <c r="NYE2494" s="59"/>
      <c r="NYF2494" s="59"/>
      <c r="NYG2494" s="59"/>
      <c r="NYH2494" s="60"/>
      <c r="NYI2494" s="60"/>
      <c r="NYJ2494" s="60"/>
      <c r="NYK2494" s="59"/>
      <c r="NYL2494" s="61"/>
      <c r="NYM2494" s="59"/>
      <c r="NYN2494" s="59"/>
      <c r="NYO2494" s="59"/>
      <c r="NYP2494" s="60"/>
      <c r="NYQ2494" s="60"/>
      <c r="NYR2494" s="60"/>
      <c r="NYS2494" s="59"/>
      <c r="NYT2494" s="61"/>
      <c r="NYU2494" s="59"/>
      <c r="NYV2494" s="59"/>
      <c r="NYW2494" s="59"/>
      <c r="NYX2494" s="60"/>
      <c r="NYY2494" s="60"/>
      <c r="NYZ2494" s="60"/>
      <c r="NZA2494" s="59"/>
      <c r="NZB2494" s="61"/>
      <c r="NZC2494" s="59"/>
      <c r="NZD2494" s="59"/>
      <c r="NZE2494" s="59"/>
      <c r="NZF2494" s="60"/>
      <c r="NZG2494" s="60"/>
      <c r="NZH2494" s="60"/>
      <c r="NZI2494" s="59"/>
      <c r="NZJ2494" s="61"/>
      <c r="NZK2494" s="59"/>
      <c r="NZL2494" s="59"/>
      <c r="NZM2494" s="59"/>
      <c r="NZN2494" s="60"/>
      <c r="NZO2494" s="60"/>
      <c r="NZP2494" s="60"/>
      <c r="NZQ2494" s="59"/>
      <c r="NZR2494" s="61"/>
      <c r="NZS2494" s="59"/>
      <c r="NZT2494" s="59"/>
      <c r="NZU2494" s="59"/>
      <c r="NZV2494" s="60"/>
      <c r="NZW2494" s="60"/>
      <c r="NZX2494" s="60"/>
      <c r="NZY2494" s="59"/>
      <c r="NZZ2494" s="61"/>
      <c r="OAA2494" s="59"/>
      <c r="OAB2494" s="59"/>
      <c r="OAC2494" s="59"/>
      <c r="OAD2494" s="60"/>
      <c r="OAE2494" s="60"/>
      <c r="OAF2494" s="60"/>
      <c r="OAG2494" s="59"/>
      <c r="OAH2494" s="61"/>
      <c r="OAI2494" s="59"/>
      <c r="OAJ2494" s="59"/>
      <c r="OAK2494" s="59"/>
      <c r="OAL2494" s="60"/>
      <c r="OAM2494" s="60"/>
      <c r="OAN2494" s="60"/>
      <c r="OAO2494" s="59"/>
      <c r="OAP2494" s="61"/>
      <c r="OAQ2494" s="59"/>
      <c r="OAR2494" s="59"/>
      <c r="OAS2494" s="59"/>
      <c r="OAT2494" s="60"/>
      <c r="OAU2494" s="60"/>
      <c r="OAV2494" s="60"/>
      <c r="OAW2494" s="59"/>
      <c r="OAX2494" s="61"/>
      <c r="OAY2494" s="59"/>
      <c r="OAZ2494" s="59"/>
      <c r="OBA2494" s="59"/>
      <c r="OBB2494" s="60"/>
      <c r="OBC2494" s="60"/>
      <c r="OBD2494" s="60"/>
      <c r="OBE2494" s="59"/>
      <c r="OBF2494" s="61"/>
      <c r="OBG2494" s="59"/>
      <c r="OBH2494" s="59"/>
      <c r="OBI2494" s="59"/>
      <c r="OBJ2494" s="60"/>
      <c r="OBK2494" s="60"/>
      <c r="OBL2494" s="60"/>
      <c r="OBM2494" s="59"/>
      <c r="OBN2494" s="61"/>
      <c r="OBO2494" s="59"/>
      <c r="OBP2494" s="59"/>
      <c r="OBQ2494" s="59"/>
      <c r="OBR2494" s="60"/>
      <c r="OBS2494" s="60"/>
      <c r="OBT2494" s="60"/>
      <c r="OBU2494" s="59"/>
      <c r="OBV2494" s="61"/>
      <c r="OBW2494" s="59"/>
      <c r="OBX2494" s="59"/>
      <c r="OBY2494" s="59"/>
      <c r="OBZ2494" s="60"/>
      <c r="OCA2494" s="60"/>
      <c r="OCB2494" s="60"/>
      <c r="OCC2494" s="59"/>
      <c r="OCD2494" s="61"/>
      <c r="OCE2494" s="59"/>
      <c r="OCF2494" s="59"/>
      <c r="OCG2494" s="59"/>
      <c r="OCH2494" s="60"/>
      <c r="OCI2494" s="60"/>
      <c r="OCJ2494" s="60"/>
      <c r="OCK2494" s="59"/>
      <c r="OCL2494" s="61"/>
      <c r="OCM2494" s="59"/>
      <c r="OCN2494" s="59"/>
      <c r="OCO2494" s="59"/>
      <c r="OCP2494" s="60"/>
      <c r="OCQ2494" s="60"/>
      <c r="OCR2494" s="60"/>
      <c r="OCS2494" s="59"/>
      <c r="OCT2494" s="61"/>
      <c r="OCU2494" s="59"/>
      <c r="OCV2494" s="59"/>
      <c r="OCW2494" s="59"/>
      <c r="OCX2494" s="60"/>
      <c r="OCY2494" s="60"/>
      <c r="OCZ2494" s="60"/>
      <c r="ODA2494" s="59"/>
      <c r="ODB2494" s="61"/>
      <c r="ODC2494" s="59"/>
      <c r="ODD2494" s="59"/>
      <c r="ODE2494" s="59"/>
      <c r="ODF2494" s="60"/>
      <c r="ODG2494" s="60"/>
      <c r="ODH2494" s="60"/>
      <c r="ODI2494" s="59"/>
      <c r="ODJ2494" s="61"/>
      <c r="ODK2494" s="59"/>
      <c r="ODL2494" s="59"/>
      <c r="ODM2494" s="59"/>
      <c r="ODN2494" s="60"/>
      <c r="ODO2494" s="60"/>
      <c r="ODP2494" s="60"/>
      <c r="ODQ2494" s="59"/>
      <c r="ODR2494" s="61"/>
      <c r="ODS2494" s="59"/>
      <c r="ODT2494" s="59"/>
      <c r="ODU2494" s="59"/>
      <c r="ODV2494" s="60"/>
      <c r="ODW2494" s="60"/>
      <c r="ODX2494" s="60"/>
      <c r="ODY2494" s="59"/>
      <c r="ODZ2494" s="61"/>
      <c r="OEA2494" s="59"/>
      <c r="OEB2494" s="59"/>
      <c r="OEC2494" s="59"/>
      <c r="OED2494" s="60"/>
      <c r="OEE2494" s="60"/>
      <c r="OEF2494" s="60"/>
      <c r="OEG2494" s="59"/>
      <c r="OEH2494" s="61"/>
      <c r="OEI2494" s="59"/>
      <c r="OEJ2494" s="59"/>
      <c r="OEK2494" s="59"/>
      <c r="OEL2494" s="60"/>
      <c r="OEM2494" s="60"/>
      <c r="OEN2494" s="60"/>
      <c r="OEO2494" s="59"/>
      <c r="OEP2494" s="61"/>
      <c r="OEQ2494" s="59"/>
      <c r="OER2494" s="59"/>
      <c r="OES2494" s="59"/>
      <c r="OET2494" s="60"/>
      <c r="OEU2494" s="60"/>
      <c r="OEV2494" s="60"/>
      <c r="OEW2494" s="59"/>
      <c r="OEX2494" s="61"/>
      <c r="OEY2494" s="59"/>
      <c r="OEZ2494" s="59"/>
      <c r="OFA2494" s="59"/>
      <c r="OFB2494" s="60"/>
      <c r="OFC2494" s="60"/>
      <c r="OFD2494" s="60"/>
      <c r="OFE2494" s="59"/>
      <c r="OFF2494" s="61"/>
      <c r="OFG2494" s="59"/>
      <c r="OFH2494" s="59"/>
      <c r="OFI2494" s="59"/>
      <c r="OFJ2494" s="60"/>
      <c r="OFK2494" s="60"/>
      <c r="OFL2494" s="60"/>
      <c r="OFM2494" s="59"/>
      <c r="OFN2494" s="61"/>
      <c r="OFO2494" s="59"/>
      <c r="OFP2494" s="59"/>
      <c r="OFQ2494" s="59"/>
      <c r="OFR2494" s="60"/>
      <c r="OFS2494" s="60"/>
      <c r="OFT2494" s="60"/>
      <c r="OFU2494" s="59"/>
      <c r="OFV2494" s="61"/>
      <c r="OFW2494" s="59"/>
      <c r="OFX2494" s="59"/>
      <c r="OFY2494" s="59"/>
      <c r="OFZ2494" s="60"/>
      <c r="OGA2494" s="60"/>
      <c r="OGB2494" s="60"/>
      <c r="OGC2494" s="59"/>
      <c r="OGD2494" s="61"/>
      <c r="OGE2494" s="59"/>
      <c r="OGF2494" s="59"/>
      <c r="OGG2494" s="59"/>
      <c r="OGH2494" s="60"/>
      <c r="OGI2494" s="60"/>
      <c r="OGJ2494" s="60"/>
      <c r="OGK2494" s="59"/>
      <c r="OGL2494" s="61"/>
      <c r="OGM2494" s="59"/>
      <c r="OGN2494" s="59"/>
      <c r="OGO2494" s="59"/>
      <c r="OGP2494" s="60"/>
      <c r="OGQ2494" s="60"/>
      <c r="OGR2494" s="60"/>
      <c r="OGS2494" s="59"/>
      <c r="OGT2494" s="61"/>
      <c r="OGU2494" s="59"/>
      <c r="OGV2494" s="59"/>
      <c r="OGW2494" s="59"/>
      <c r="OGX2494" s="60"/>
      <c r="OGY2494" s="60"/>
      <c r="OGZ2494" s="60"/>
      <c r="OHA2494" s="59"/>
      <c r="OHB2494" s="61"/>
      <c r="OHC2494" s="59"/>
      <c r="OHD2494" s="59"/>
      <c r="OHE2494" s="59"/>
      <c r="OHF2494" s="60"/>
      <c r="OHG2494" s="60"/>
      <c r="OHH2494" s="60"/>
      <c r="OHI2494" s="59"/>
      <c r="OHJ2494" s="61"/>
      <c r="OHK2494" s="59"/>
      <c r="OHL2494" s="59"/>
      <c r="OHM2494" s="59"/>
      <c r="OHN2494" s="60"/>
      <c r="OHO2494" s="60"/>
      <c r="OHP2494" s="60"/>
      <c r="OHQ2494" s="59"/>
      <c r="OHR2494" s="61"/>
      <c r="OHS2494" s="59"/>
      <c r="OHT2494" s="59"/>
      <c r="OHU2494" s="59"/>
      <c r="OHV2494" s="60"/>
      <c r="OHW2494" s="60"/>
      <c r="OHX2494" s="60"/>
      <c r="OHY2494" s="59"/>
      <c r="OHZ2494" s="61"/>
      <c r="OIA2494" s="59"/>
      <c r="OIB2494" s="59"/>
      <c r="OIC2494" s="59"/>
      <c r="OID2494" s="60"/>
      <c r="OIE2494" s="60"/>
      <c r="OIF2494" s="60"/>
      <c r="OIG2494" s="59"/>
      <c r="OIH2494" s="61"/>
      <c r="OII2494" s="59"/>
      <c r="OIJ2494" s="59"/>
      <c r="OIK2494" s="59"/>
      <c r="OIL2494" s="60"/>
      <c r="OIM2494" s="60"/>
      <c r="OIN2494" s="60"/>
      <c r="OIO2494" s="59"/>
      <c r="OIP2494" s="61"/>
      <c r="OIQ2494" s="59"/>
      <c r="OIR2494" s="59"/>
      <c r="OIS2494" s="59"/>
      <c r="OIT2494" s="60"/>
      <c r="OIU2494" s="60"/>
      <c r="OIV2494" s="60"/>
      <c r="OIW2494" s="59"/>
      <c r="OIX2494" s="61"/>
      <c r="OIY2494" s="59"/>
      <c r="OIZ2494" s="59"/>
      <c r="OJA2494" s="59"/>
      <c r="OJB2494" s="60"/>
      <c r="OJC2494" s="60"/>
      <c r="OJD2494" s="60"/>
      <c r="OJE2494" s="59"/>
      <c r="OJF2494" s="61"/>
      <c r="OJG2494" s="59"/>
      <c r="OJH2494" s="59"/>
      <c r="OJI2494" s="59"/>
      <c r="OJJ2494" s="60"/>
      <c r="OJK2494" s="60"/>
      <c r="OJL2494" s="60"/>
      <c r="OJM2494" s="59"/>
      <c r="OJN2494" s="61"/>
      <c r="OJO2494" s="59"/>
      <c r="OJP2494" s="59"/>
      <c r="OJQ2494" s="59"/>
      <c r="OJR2494" s="60"/>
      <c r="OJS2494" s="60"/>
      <c r="OJT2494" s="60"/>
      <c r="OJU2494" s="59"/>
      <c r="OJV2494" s="61"/>
      <c r="OJW2494" s="59"/>
      <c r="OJX2494" s="59"/>
      <c r="OJY2494" s="59"/>
      <c r="OJZ2494" s="60"/>
      <c r="OKA2494" s="60"/>
      <c r="OKB2494" s="60"/>
      <c r="OKC2494" s="59"/>
      <c r="OKD2494" s="61"/>
      <c r="OKE2494" s="59"/>
      <c r="OKF2494" s="59"/>
      <c r="OKG2494" s="59"/>
      <c r="OKH2494" s="60"/>
      <c r="OKI2494" s="60"/>
      <c r="OKJ2494" s="60"/>
      <c r="OKK2494" s="59"/>
      <c r="OKL2494" s="61"/>
      <c r="OKM2494" s="59"/>
      <c r="OKN2494" s="59"/>
      <c r="OKO2494" s="59"/>
      <c r="OKP2494" s="60"/>
      <c r="OKQ2494" s="60"/>
      <c r="OKR2494" s="60"/>
      <c r="OKS2494" s="59"/>
      <c r="OKT2494" s="61"/>
      <c r="OKU2494" s="59"/>
      <c r="OKV2494" s="59"/>
      <c r="OKW2494" s="59"/>
      <c r="OKX2494" s="60"/>
      <c r="OKY2494" s="60"/>
      <c r="OKZ2494" s="60"/>
      <c r="OLA2494" s="59"/>
      <c r="OLB2494" s="61"/>
      <c r="OLC2494" s="59"/>
      <c r="OLD2494" s="59"/>
      <c r="OLE2494" s="59"/>
      <c r="OLF2494" s="60"/>
      <c r="OLG2494" s="60"/>
      <c r="OLH2494" s="60"/>
      <c r="OLI2494" s="59"/>
      <c r="OLJ2494" s="61"/>
      <c r="OLK2494" s="59"/>
      <c r="OLL2494" s="59"/>
      <c r="OLM2494" s="59"/>
      <c r="OLN2494" s="60"/>
      <c r="OLO2494" s="60"/>
      <c r="OLP2494" s="60"/>
      <c r="OLQ2494" s="59"/>
      <c r="OLR2494" s="61"/>
      <c r="OLS2494" s="59"/>
      <c r="OLT2494" s="59"/>
      <c r="OLU2494" s="59"/>
      <c r="OLV2494" s="60"/>
      <c r="OLW2494" s="60"/>
      <c r="OLX2494" s="60"/>
      <c r="OLY2494" s="59"/>
      <c r="OLZ2494" s="61"/>
      <c r="OMA2494" s="59"/>
      <c r="OMB2494" s="59"/>
      <c r="OMC2494" s="59"/>
      <c r="OMD2494" s="60"/>
      <c r="OME2494" s="60"/>
      <c r="OMF2494" s="60"/>
      <c r="OMG2494" s="59"/>
      <c r="OMH2494" s="61"/>
      <c r="OMI2494" s="59"/>
      <c r="OMJ2494" s="59"/>
      <c r="OMK2494" s="59"/>
      <c r="OML2494" s="60"/>
      <c r="OMM2494" s="60"/>
      <c r="OMN2494" s="60"/>
      <c r="OMO2494" s="59"/>
      <c r="OMP2494" s="61"/>
      <c r="OMQ2494" s="59"/>
      <c r="OMR2494" s="59"/>
      <c r="OMS2494" s="59"/>
      <c r="OMT2494" s="60"/>
      <c r="OMU2494" s="60"/>
      <c r="OMV2494" s="60"/>
      <c r="OMW2494" s="59"/>
      <c r="OMX2494" s="61"/>
      <c r="OMY2494" s="59"/>
      <c r="OMZ2494" s="59"/>
      <c r="ONA2494" s="59"/>
      <c r="ONB2494" s="60"/>
      <c r="ONC2494" s="60"/>
      <c r="OND2494" s="60"/>
      <c r="ONE2494" s="59"/>
      <c r="ONF2494" s="61"/>
      <c r="ONG2494" s="59"/>
      <c r="ONH2494" s="59"/>
      <c r="ONI2494" s="59"/>
      <c r="ONJ2494" s="60"/>
      <c r="ONK2494" s="60"/>
      <c r="ONL2494" s="60"/>
      <c r="ONM2494" s="59"/>
      <c r="ONN2494" s="61"/>
      <c r="ONO2494" s="59"/>
      <c r="ONP2494" s="59"/>
      <c r="ONQ2494" s="59"/>
      <c r="ONR2494" s="60"/>
      <c r="ONS2494" s="60"/>
      <c r="ONT2494" s="60"/>
      <c r="ONU2494" s="59"/>
      <c r="ONV2494" s="61"/>
      <c r="ONW2494" s="59"/>
      <c r="ONX2494" s="59"/>
      <c r="ONY2494" s="59"/>
      <c r="ONZ2494" s="60"/>
      <c r="OOA2494" s="60"/>
      <c r="OOB2494" s="60"/>
      <c r="OOC2494" s="59"/>
      <c r="OOD2494" s="61"/>
      <c r="OOE2494" s="59"/>
      <c r="OOF2494" s="59"/>
      <c r="OOG2494" s="59"/>
      <c r="OOH2494" s="60"/>
      <c r="OOI2494" s="60"/>
      <c r="OOJ2494" s="60"/>
      <c r="OOK2494" s="59"/>
      <c r="OOL2494" s="61"/>
      <c r="OOM2494" s="59"/>
      <c r="OON2494" s="59"/>
      <c r="OOO2494" s="59"/>
      <c r="OOP2494" s="60"/>
      <c r="OOQ2494" s="60"/>
      <c r="OOR2494" s="60"/>
      <c r="OOS2494" s="59"/>
      <c r="OOT2494" s="61"/>
      <c r="OOU2494" s="59"/>
      <c r="OOV2494" s="59"/>
      <c r="OOW2494" s="59"/>
      <c r="OOX2494" s="60"/>
      <c r="OOY2494" s="60"/>
      <c r="OOZ2494" s="60"/>
      <c r="OPA2494" s="59"/>
      <c r="OPB2494" s="61"/>
      <c r="OPC2494" s="59"/>
      <c r="OPD2494" s="59"/>
      <c r="OPE2494" s="59"/>
      <c r="OPF2494" s="60"/>
      <c r="OPG2494" s="60"/>
      <c r="OPH2494" s="60"/>
      <c r="OPI2494" s="59"/>
      <c r="OPJ2494" s="61"/>
      <c r="OPK2494" s="59"/>
      <c r="OPL2494" s="59"/>
      <c r="OPM2494" s="59"/>
      <c r="OPN2494" s="60"/>
      <c r="OPO2494" s="60"/>
      <c r="OPP2494" s="60"/>
      <c r="OPQ2494" s="59"/>
      <c r="OPR2494" s="61"/>
      <c r="OPS2494" s="59"/>
      <c r="OPT2494" s="59"/>
      <c r="OPU2494" s="59"/>
      <c r="OPV2494" s="60"/>
      <c r="OPW2494" s="60"/>
      <c r="OPX2494" s="60"/>
      <c r="OPY2494" s="59"/>
      <c r="OPZ2494" s="61"/>
      <c r="OQA2494" s="59"/>
      <c r="OQB2494" s="59"/>
      <c r="OQC2494" s="59"/>
      <c r="OQD2494" s="60"/>
      <c r="OQE2494" s="60"/>
      <c r="OQF2494" s="60"/>
      <c r="OQG2494" s="59"/>
      <c r="OQH2494" s="61"/>
      <c r="OQI2494" s="59"/>
      <c r="OQJ2494" s="59"/>
      <c r="OQK2494" s="59"/>
      <c r="OQL2494" s="60"/>
      <c r="OQM2494" s="60"/>
      <c r="OQN2494" s="60"/>
      <c r="OQO2494" s="59"/>
      <c r="OQP2494" s="61"/>
      <c r="OQQ2494" s="59"/>
      <c r="OQR2494" s="59"/>
      <c r="OQS2494" s="59"/>
      <c r="OQT2494" s="60"/>
      <c r="OQU2494" s="60"/>
      <c r="OQV2494" s="60"/>
      <c r="OQW2494" s="59"/>
      <c r="OQX2494" s="61"/>
      <c r="OQY2494" s="59"/>
      <c r="OQZ2494" s="59"/>
      <c r="ORA2494" s="59"/>
      <c r="ORB2494" s="60"/>
      <c r="ORC2494" s="60"/>
      <c r="ORD2494" s="60"/>
      <c r="ORE2494" s="59"/>
      <c r="ORF2494" s="61"/>
      <c r="ORG2494" s="59"/>
      <c r="ORH2494" s="59"/>
      <c r="ORI2494" s="59"/>
      <c r="ORJ2494" s="60"/>
      <c r="ORK2494" s="60"/>
      <c r="ORL2494" s="60"/>
      <c r="ORM2494" s="59"/>
      <c r="ORN2494" s="61"/>
      <c r="ORO2494" s="59"/>
      <c r="ORP2494" s="59"/>
      <c r="ORQ2494" s="59"/>
      <c r="ORR2494" s="60"/>
      <c r="ORS2494" s="60"/>
      <c r="ORT2494" s="60"/>
      <c r="ORU2494" s="59"/>
      <c r="ORV2494" s="61"/>
      <c r="ORW2494" s="59"/>
      <c r="ORX2494" s="59"/>
      <c r="ORY2494" s="59"/>
      <c r="ORZ2494" s="60"/>
      <c r="OSA2494" s="60"/>
      <c r="OSB2494" s="60"/>
      <c r="OSC2494" s="59"/>
      <c r="OSD2494" s="61"/>
      <c r="OSE2494" s="59"/>
      <c r="OSF2494" s="59"/>
      <c r="OSG2494" s="59"/>
      <c r="OSH2494" s="60"/>
      <c r="OSI2494" s="60"/>
      <c r="OSJ2494" s="60"/>
      <c r="OSK2494" s="59"/>
      <c r="OSL2494" s="61"/>
      <c r="OSM2494" s="59"/>
      <c r="OSN2494" s="59"/>
      <c r="OSO2494" s="59"/>
      <c r="OSP2494" s="60"/>
      <c r="OSQ2494" s="60"/>
      <c r="OSR2494" s="60"/>
      <c r="OSS2494" s="59"/>
      <c r="OST2494" s="61"/>
      <c r="OSU2494" s="59"/>
      <c r="OSV2494" s="59"/>
      <c r="OSW2494" s="59"/>
      <c r="OSX2494" s="60"/>
      <c r="OSY2494" s="60"/>
      <c r="OSZ2494" s="60"/>
      <c r="OTA2494" s="59"/>
      <c r="OTB2494" s="61"/>
      <c r="OTC2494" s="59"/>
      <c r="OTD2494" s="59"/>
      <c r="OTE2494" s="59"/>
      <c r="OTF2494" s="60"/>
      <c r="OTG2494" s="60"/>
      <c r="OTH2494" s="60"/>
      <c r="OTI2494" s="59"/>
      <c r="OTJ2494" s="61"/>
      <c r="OTK2494" s="59"/>
      <c r="OTL2494" s="59"/>
      <c r="OTM2494" s="59"/>
      <c r="OTN2494" s="60"/>
      <c r="OTO2494" s="60"/>
      <c r="OTP2494" s="60"/>
      <c r="OTQ2494" s="59"/>
      <c r="OTR2494" s="61"/>
      <c r="OTS2494" s="59"/>
      <c r="OTT2494" s="59"/>
      <c r="OTU2494" s="59"/>
      <c r="OTV2494" s="60"/>
      <c r="OTW2494" s="60"/>
      <c r="OTX2494" s="60"/>
      <c r="OTY2494" s="59"/>
      <c r="OTZ2494" s="61"/>
      <c r="OUA2494" s="59"/>
      <c r="OUB2494" s="59"/>
      <c r="OUC2494" s="59"/>
      <c r="OUD2494" s="60"/>
      <c r="OUE2494" s="60"/>
      <c r="OUF2494" s="60"/>
      <c r="OUG2494" s="59"/>
      <c r="OUH2494" s="61"/>
      <c r="OUI2494" s="59"/>
      <c r="OUJ2494" s="59"/>
      <c r="OUK2494" s="59"/>
      <c r="OUL2494" s="60"/>
      <c r="OUM2494" s="60"/>
      <c r="OUN2494" s="60"/>
      <c r="OUO2494" s="59"/>
      <c r="OUP2494" s="61"/>
      <c r="OUQ2494" s="59"/>
      <c r="OUR2494" s="59"/>
      <c r="OUS2494" s="59"/>
      <c r="OUT2494" s="60"/>
      <c r="OUU2494" s="60"/>
      <c r="OUV2494" s="60"/>
      <c r="OUW2494" s="59"/>
      <c r="OUX2494" s="61"/>
      <c r="OUY2494" s="59"/>
      <c r="OUZ2494" s="59"/>
      <c r="OVA2494" s="59"/>
      <c r="OVB2494" s="60"/>
      <c r="OVC2494" s="60"/>
      <c r="OVD2494" s="60"/>
      <c r="OVE2494" s="59"/>
      <c r="OVF2494" s="61"/>
      <c r="OVG2494" s="59"/>
      <c r="OVH2494" s="59"/>
      <c r="OVI2494" s="59"/>
      <c r="OVJ2494" s="60"/>
      <c r="OVK2494" s="60"/>
      <c r="OVL2494" s="60"/>
      <c r="OVM2494" s="59"/>
      <c r="OVN2494" s="61"/>
      <c r="OVO2494" s="59"/>
      <c r="OVP2494" s="59"/>
      <c r="OVQ2494" s="59"/>
      <c r="OVR2494" s="60"/>
      <c r="OVS2494" s="60"/>
      <c r="OVT2494" s="60"/>
      <c r="OVU2494" s="59"/>
      <c r="OVV2494" s="61"/>
      <c r="OVW2494" s="59"/>
      <c r="OVX2494" s="59"/>
      <c r="OVY2494" s="59"/>
      <c r="OVZ2494" s="60"/>
      <c r="OWA2494" s="60"/>
      <c r="OWB2494" s="60"/>
      <c r="OWC2494" s="59"/>
      <c r="OWD2494" s="61"/>
      <c r="OWE2494" s="59"/>
      <c r="OWF2494" s="59"/>
      <c r="OWG2494" s="59"/>
      <c r="OWH2494" s="60"/>
      <c r="OWI2494" s="60"/>
      <c r="OWJ2494" s="60"/>
      <c r="OWK2494" s="59"/>
      <c r="OWL2494" s="61"/>
      <c r="OWM2494" s="59"/>
      <c r="OWN2494" s="59"/>
      <c r="OWO2494" s="59"/>
      <c r="OWP2494" s="60"/>
      <c r="OWQ2494" s="60"/>
      <c r="OWR2494" s="60"/>
      <c r="OWS2494" s="59"/>
      <c r="OWT2494" s="61"/>
      <c r="OWU2494" s="59"/>
      <c r="OWV2494" s="59"/>
      <c r="OWW2494" s="59"/>
      <c r="OWX2494" s="60"/>
      <c r="OWY2494" s="60"/>
      <c r="OWZ2494" s="60"/>
      <c r="OXA2494" s="59"/>
      <c r="OXB2494" s="61"/>
      <c r="OXC2494" s="59"/>
      <c r="OXD2494" s="59"/>
      <c r="OXE2494" s="59"/>
      <c r="OXF2494" s="60"/>
      <c r="OXG2494" s="60"/>
      <c r="OXH2494" s="60"/>
      <c r="OXI2494" s="59"/>
      <c r="OXJ2494" s="61"/>
      <c r="OXK2494" s="59"/>
      <c r="OXL2494" s="59"/>
      <c r="OXM2494" s="59"/>
      <c r="OXN2494" s="60"/>
      <c r="OXO2494" s="60"/>
      <c r="OXP2494" s="60"/>
      <c r="OXQ2494" s="59"/>
      <c r="OXR2494" s="61"/>
      <c r="OXS2494" s="59"/>
      <c r="OXT2494" s="59"/>
      <c r="OXU2494" s="59"/>
      <c r="OXV2494" s="60"/>
      <c r="OXW2494" s="60"/>
      <c r="OXX2494" s="60"/>
      <c r="OXY2494" s="59"/>
      <c r="OXZ2494" s="61"/>
      <c r="OYA2494" s="59"/>
      <c r="OYB2494" s="59"/>
      <c r="OYC2494" s="59"/>
      <c r="OYD2494" s="60"/>
      <c r="OYE2494" s="60"/>
      <c r="OYF2494" s="60"/>
      <c r="OYG2494" s="59"/>
      <c r="OYH2494" s="61"/>
      <c r="OYI2494" s="59"/>
      <c r="OYJ2494" s="59"/>
      <c r="OYK2494" s="59"/>
      <c r="OYL2494" s="60"/>
      <c r="OYM2494" s="60"/>
      <c r="OYN2494" s="60"/>
      <c r="OYO2494" s="59"/>
      <c r="OYP2494" s="61"/>
      <c r="OYQ2494" s="59"/>
      <c r="OYR2494" s="59"/>
      <c r="OYS2494" s="59"/>
      <c r="OYT2494" s="60"/>
      <c r="OYU2494" s="60"/>
      <c r="OYV2494" s="60"/>
      <c r="OYW2494" s="59"/>
      <c r="OYX2494" s="61"/>
      <c r="OYY2494" s="59"/>
      <c r="OYZ2494" s="59"/>
      <c r="OZA2494" s="59"/>
      <c r="OZB2494" s="60"/>
      <c r="OZC2494" s="60"/>
      <c r="OZD2494" s="60"/>
      <c r="OZE2494" s="59"/>
      <c r="OZF2494" s="61"/>
      <c r="OZG2494" s="59"/>
      <c r="OZH2494" s="59"/>
      <c r="OZI2494" s="59"/>
      <c r="OZJ2494" s="60"/>
      <c r="OZK2494" s="60"/>
      <c r="OZL2494" s="60"/>
      <c r="OZM2494" s="59"/>
      <c r="OZN2494" s="61"/>
      <c r="OZO2494" s="59"/>
      <c r="OZP2494" s="59"/>
      <c r="OZQ2494" s="59"/>
      <c r="OZR2494" s="60"/>
      <c r="OZS2494" s="60"/>
      <c r="OZT2494" s="60"/>
      <c r="OZU2494" s="59"/>
      <c r="OZV2494" s="61"/>
      <c r="OZW2494" s="59"/>
      <c r="OZX2494" s="59"/>
      <c r="OZY2494" s="59"/>
      <c r="OZZ2494" s="60"/>
      <c r="PAA2494" s="60"/>
      <c r="PAB2494" s="60"/>
      <c r="PAC2494" s="59"/>
      <c r="PAD2494" s="61"/>
      <c r="PAE2494" s="59"/>
      <c r="PAF2494" s="59"/>
      <c r="PAG2494" s="59"/>
      <c r="PAH2494" s="60"/>
      <c r="PAI2494" s="60"/>
      <c r="PAJ2494" s="60"/>
      <c r="PAK2494" s="59"/>
      <c r="PAL2494" s="61"/>
      <c r="PAM2494" s="59"/>
      <c r="PAN2494" s="59"/>
      <c r="PAO2494" s="59"/>
      <c r="PAP2494" s="60"/>
      <c r="PAQ2494" s="60"/>
      <c r="PAR2494" s="60"/>
      <c r="PAS2494" s="59"/>
      <c r="PAT2494" s="61"/>
      <c r="PAU2494" s="59"/>
      <c r="PAV2494" s="59"/>
      <c r="PAW2494" s="59"/>
      <c r="PAX2494" s="60"/>
      <c r="PAY2494" s="60"/>
      <c r="PAZ2494" s="60"/>
      <c r="PBA2494" s="59"/>
      <c r="PBB2494" s="61"/>
      <c r="PBC2494" s="59"/>
      <c r="PBD2494" s="59"/>
      <c r="PBE2494" s="59"/>
      <c r="PBF2494" s="60"/>
      <c r="PBG2494" s="60"/>
      <c r="PBH2494" s="60"/>
      <c r="PBI2494" s="59"/>
      <c r="PBJ2494" s="61"/>
      <c r="PBK2494" s="59"/>
      <c r="PBL2494" s="59"/>
      <c r="PBM2494" s="59"/>
      <c r="PBN2494" s="60"/>
      <c r="PBO2494" s="60"/>
      <c r="PBP2494" s="60"/>
      <c r="PBQ2494" s="59"/>
      <c r="PBR2494" s="61"/>
      <c r="PBS2494" s="59"/>
      <c r="PBT2494" s="59"/>
      <c r="PBU2494" s="59"/>
      <c r="PBV2494" s="60"/>
      <c r="PBW2494" s="60"/>
      <c r="PBX2494" s="60"/>
      <c r="PBY2494" s="59"/>
      <c r="PBZ2494" s="61"/>
      <c r="PCA2494" s="59"/>
      <c r="PCB2494" s="59"/>
      <c r="PCC2494" s="59"/>
      <c r="PCD2494" s="60"/>
      <c r="PCE2494" s="60"/>
      <c r="PCF2494" s="60"/>
      <c r="PCG2494" s="59"/>
      <c r="PCH2494" s="61"/>
      <c r="PCI2494" s="59"/>
      <c r="PCJ2494" s="59"/>
      <c r="PCK2494" s="59"/>
      <c r="PCL2494" s="60"/>
      <c r="PCM2494" s="60"/>
      <c r="PCN2494" s="60"/>
      <c r="PCO2494" s="59"/>
      <c r="PCP2494" s="61"/>
      <c r="PCQ2494" s="59"/>
      <c r="PCR2494" s="59"/>
      <c r="PCS2494" s="59"/>
      <c r="PCT2494" s="60"/>
      <c r="PCU2494" s="60"/>
      <c r="PCV2494" s="60"/>
      <c r="PCW2494" s="59"/>
      <c r="PCX2494" s="61"/>
      <c r="PCY2494" s="59"/>
      <c r="PCZ2494" s="59"/>
      <c r="PDA2494" s="59"/>
      <c r="PDB2494" s="60"/>
      <c r="PDC2494" s="60"/>
      <c r="PDD2494" s="60"/>
      <c r="PDE2494" s="59"/>
      <c r="PDF2494" s="61"/>
      <c r="PDG2494" s="59"/>
      <c r="PDH2494" s="59"/>
      <c r="PDI2494" s="59"/>
      <c r="PDJ2494" s="60"/>
      <c r="PDK2494" s="60"/>
      <c r="PDL2494" s="60"/>
      <c r="PDM2494" s="59"/>
      <c r="PDN2494" s="61"/>
      <c r="PDO2494" s="59"/>
      <c r="PDP2494" s="59"/>
      <c r="PDQ2494" s="59"/>
      <c r="PDR2494" s="60"/>
      <c r="PDS2494" s="60"/>
      <c r="PDT2494" s="60"/>
      <c r="PDU2494" s="59"/>
      <c r="PDV2494" s="61"/>
      <c r="PDW2494" s="59"/>
      <c r="PDX2494" s="59"/>
      <c r="PDY2494" s="59"/>
      <c r="PDZ2494" s="60"/>
      <c r="PEA2494" s="60"/>
      <c r="PEB2494" s="60"/>
      <c r="PEC2494" s="59"/>
      <c r="PED2494" s="61"/>
      <c r="PEE2494" s="59"/>
      <c r="PEF2494" s="59"/>
      <c r="PEG2494" s="59"/>
      <c r="PEH2494" s="60"/>
      <c r="PEI2494" s="60"/>
      <c r="PEJ2494" s="60"/>
      <c r="PEK2494" s="59"/>
      <c r="PEL2494" s="61"/>
      <c r="PEM2494" s="59"/>
      <c r="PEN2494" s="59"/>
      <c r="PEO2494" s="59"/>
      <c r="PEP2494" s="60"/>
      <c r="PEQ2494" s="60"/>
      <c r="PER2494" s="60"/>
      <c r="PES2494" s="59"/>
      <c r="PET2494" s="61"/>
      <c r="PEU2494" s="59"/>
      <c r="PEV2494" s="59"/>
      <c r="PEW2494" s="59"/>
      <c r="PEX2494" s="60"/>
      <c r="PEY2494" s="60"/>
      <c r="PEZ2494" s="60"/>
      <c r="PFA2494" s="59"/>
      <c r="PFB2494" s="61"/>
      <c r="PFC2494" s="59"/>
      <c r="PFD2494" s="59"/>
      <c r="PFE2494" s="59"/>
      <c r="PFF2494" s="60"/>
      <c r="PFG2494" s="60"/>
      <c r="PFH2494" s="60"/>
      <c r="PFI2494" s="59"/>
      <c r="PFJ2494" s="61"/>
      <c r="PFK2494" s="59"/>
      <c r="PFL2494" s="59"/>
      <c r="PFM2494" s="59"/>
      <c r="PFN2494" s="60"/>
      <c r="PFO2494" s="60"/>
      <c r="PFP2494" s="60"/>
      <c r="PFQ2494" s="59"/>
      <c r="PFR2494" s="61"/>
      <c r="PFS2494" s="59"/>
      <c r="PFT2494" s="59"/>
      <c r="PFU2494" s="59"/>
      <c r="PFV2494" s="60"/>
      <c r="PFW2494" s="60"/>
      <c r="PFX2494" s="60"/>
      <c r="PFY2494" s="59"/>
      <c r="PFZ2494" s="61"/>
      <c r="PGA2494" s="59"/>
      <c r="PGB2494" s="59"/>
      <c r="PGC2494" s="59"/>
      <c r="PGD2494" s="60"/>
      <c r="PGE2494" s="60"/>
      <c r="PGF2494" s="60"/>
      <c r="PGG2494" s="59"/>
      <c r="PGH2494" s="61"/>
      <c r="PGI2494" s="59"/>
      <c r="PGJ2494" s="59"/>
      <c r="PGK2494" s="59"/>
      <c r="PGL2494" s="60"/>
      <c r="PGM2494" s="60"/>
      <c r="PGN2494" s="60"/>
      <c r="PGO2494" s="59"/>
      <c r="PGP2494" s="61"/>
      <c r="PGQ2494" s="59"/>
      <c r="PGR2494" s="59"/>
      <c r="PGS2494" s="59"/>
      <c r="PGT2494" s="60"/>
      <c r="PGU2494" s="60"/>
      <c r="PGV2494" s="60"/>
      <c r="PGW2494" s="59"/>
      <c r="PGX2494" s="61"/>
      <c r="PGY2494" s="59"/>
      <c r="PGZ2494" s="59"/>
      <c r="PHA2494" s="59"/>
      <c r="PHB2494" s="60"/>
      <c r="PHC2494" s="60"/>
      <c r="PHD2494" s="60"/>
      <c r="PHE2494" s="59"/>
      <c r="PHF2494" s="61"/>
      <c r="PHG2494" s="59"/>
      <c r="PHH2494" s="59"/>
      <c r="PHI2494" s="59"/>
      <c r="PHJ2494" s="60"/>
      <c r="PHK2494" s="60"/>
      <c r="PHL2494" s="60"/>
      <c r="PHM2494" s="59"/>
      <c r="PHN2494" s="61"/>
      <c r="PHO2494" s="59"/>
      <c r="PHP2494" s="59"/>
      <c r="PHQ2494" s="59"/>
      <c r="PHR2494" s="60"/>
      <c r="PHS2494" s="60"/>
      <c r="PHT2494" s="60"/>
      <c r="PHU2494" s="59"/>
      <c r="PHV2494" s="61"/>
      <c r="PHW2494" s="59"/>
      <c r="PHX2494" s="59"/>
      <c r="PHY2494" s="59"/>
      <c r="PHZ2494" s="60"/>
      <c r="PIA2494" s="60"/>
      <c r="PIB2494" s="60"/>
      <c r="PIC2494" s="59"/>
      <c r="PID2494" s="61"/>
      <c r="PIE2494" s="59"/>
      <c r="PIF2494" s="59"/>
      <c r="PIG2494" s="59"/>
      <c r="PIH2494" s="60"/>
      <c r="PII2494" s="60"/>
      <c r="PIJ2494" s="60"/>
      <c r="PIK2494" s="59"/>
      <c r="PIL2494" s="61"/>
      <c r="PIM2494" s="59"/>
      <c r="PIN2494" s="59"/>
      <c r="PIO2494" s="59"/>
      <c r="PIP2494" s="60"/>
      <c r="PIQ2494" s="60"/>
      <c r="PIR2494" s="60"/>
      <c r="PIS2494" s="59"/>
      <c r="PIT2494" s="61"/>
      <c r="PIU2494" s="59"/>
      <c r="PIV2494" s="59"/>
      <c r="PIW2494" s="59"/>
      <c r="PIX2494" s="60"/>
      <c r="PIY2494" s="60"/>
      <c r="PIZ2494" s="60"/>
      <c r="PJA2494" s="59"/>
      <c r="PJB2494" s="61"/>
      <c r="PJC2494" s="59"/>
      <c r="PJD2494" s="59"/>
      <c r="PJE2494" s="59"/>
      <c r="PJF2494" s="60"/>
      <c r="PJG2494" s="60"/>
      <c r="PJH2494" s="60"/>
      <c r="PJI2494" s="59"/>
      <c r="PJJ2494" s="61"/>
      <c r="PJK2494" s="59"/>
      <c r="PJL2494" s="59"/>
      <c r="PJM2494" s="59"/>
      <c r="PJN2494" s="60"/>
      <c r="PJO2494" s="60"/>
      <c r="PJP2494" s="60"/>
      <c r="PJQ2494" s="59"/>
      <c r="PJR2494" s="61"/>
      <c r="PJS2494" s="59"/>
      <c r="PJT2494" s="59"/>
      <c r="PJU2494" s="59"/>
      <c r="PJV2494" s="60"/>
      <c r="PJW2494" s="60"/>
      <c r="PJX2494" s="60"/>
      <c r="PJY2494" s="59"/>
      <c r="PJZ2494" s="61"/>
      <c r="PKA2494" s="59"/>
      <c r="PKB2494" s="59"/>
      <c r="PKC2494" s="59"/>
      <c r="PKD2494" s="60"/>
      <c r="PKE2494" s="60"/>
      <c r="PKF2494" s="60"/>
      <c r="PKG2494" s="59"/>
      <c r="PKH2494" s="61"/>
      <c r="PKI2494" s="59"/>
      <c r="PKJ2494" s="59"/>
      <c r="PKK2494" s="59"/>
      <c r="PKL2494" s="60"/>
      <c r="PKM2494" s="60"/>
      <c r="PKN2494" s="60"/>
      <c r="PKO2494" s="59"/>
      <c r="PKP2494" s="61"/>
      <c r="PKQ2494" s="59"/>
      <c r="PKR2494" s="59"/>
      <c r="PKS2494" s="59"/>
      <c r="PKT2494" s="60"/>
      <c r="PKU2494" s="60"/>
      <c r="PKV2494" s="60"/>
      <c r="PKW2494" s="59"/>
      <c r="PKX2494" s="61"/>
      <c r="PKY2494" s="59"/>
      <c r="PKZ2494" s="59"/>
      <c r="PLA2494" s="59"/>
      <c r="PLB2494" s="60"/>
      <c r="PLC2494" s="60"/>
      <c r="PLD2494" s="60"/>
      <c r="PLE2494" s="59"/>
      <c r="PLF2494" s="61"/>
      <c r="PLG2494" s="59"/>
      <c r="PLH2494" s="59"/>
      <c r="PLI2494" s="59"/>
      <c r="PLJ2494" s="60"/>
      <c r="PLK2494" s="60"/>
      <c r="PLL2494" s="60"/>
      <c r="PLM2494" s="59"/>
      <c r="PLN2494" s="61"/>
      <c r="PLO2494" s="59"/>
      <c r="PLP2494" s="59"/>
      <c r="PLQ2494" s="59"/>
      <c r="PLR2494" s="60"/>
      <c r="PLS2494" s="60"/>
      <c r="PLT2494" s="60"/>
      <c r="PLU2494" s="59"/>
      <c r="PLV2494" s="61"/>
      <c r="PLW2494" s="59"/>
      <c r="PLX2494" s="59"/>
      <c r="PLY2494" s="59"/>
      <c r="PLZ2494" s="60"/>
      <c r="PMA2494" s="60"/>
      <c r="PMB2494" s="60"/>
      <c r="PMC2494" s="59"/>
      <c r="PMD2494" s="61"/>
      <c r="PME2494" s="59"/>
      <c r="PMF2494" s="59"/>
      <c r="PMG2494" s="59"/>
      <c r="PMH2494" s="60"/>
      <c r="PMI2494" s="60"/>
      <c r="PMJ2494" s="60"/>
      <c r="PMK2494" s="59"/>
      <c r="PML2494" s="61"/>
      <c r="PMM2494" s="59"/>
      <c r="PMN2494" s="59"/>
      <c r="PMO2494" s="59"/>
      <c r="PMP2494" s="60"/>
      <c r="PMQ2494" s="60"/>
      <c r="PMR2494" s="60"/>
      <c r="PMS2494" s="59"/>
      <c r="PMT2494" s="61"/>
      <c r="PMU2494" s="59"/>
      <c r="PMV2494" s="59"/>
      <c r="PMW2494" s="59"/>
      <c r="PMX2494" s="60"/>
      <c r="PMY2494" s="60"/>
      <c r="PMZ2494" s="60"/>
      <c r="PNA2494" s="59"/>
      <c r="PNB2494" s="61"/>
      <c r="PNC2494" s="59"/>
      <c r="PND2494" s="59"/>
      <c r="PNE2494" s="59"/>
      <c r="PNF2494" s="60"/>
      <c r="PNG2494" s="60"/>
      <c r="PNH2494" s="60"/>
      <c r="PNI2494" s="59"/>
      <c r="PNJ2494" s="61"/>
      <c r="PNK2494" s="59"/>
      <c r="PNL2494" s="59"/>
      <c r="PNM2494" s="59"/>
      <c r="PNN2494" s="60"/>
      <c r="PNO2494" s="60"/>
      <c r="PNP2494" s="60"/>
      <c r="PNQ2494" s="59"/>
      <c r="PNR2494" s="61"/>
      <c r="PNS2494" s="59"/>
      <c r="PNT2494" s="59"/>
      <c r="PNU2494" s="59"/>
      <c r="PNV2494" s="60"/>
      <c r="PNW2494" s="60"/>
      <c r="PNX2494" s="60"/>
      <c r="PNY2494" s="59"/>
      <c r="PNZ2494" s="61"/>
      <c r="POA2494" s="59"/>
      <c r="POB2494" s="59"/>
      <c r="POC2494" s="59"/>
      <c r="POD2494" s="60"/>
      <c r="POE2494" s="60"/>
      <c r="POF2494" s="60"/>
      <c r="POG2494" s="59"/>
      <c r="POH2494" s="61"/>
      <c r="POI2494" s="59"/>
      <c r="POJ2494" s="59"/>
      <c r="POK2494" s="59"/>
      <c r="POL2494" s="60"/>
      <c r="POM2494" s="60"/>
      <c r="PON2494" s="60"/>
      <c r="POO2494" s="59"/>
      <c r="POP2494" s="61"/>
      <c r="POQ2494" s="59"/>
      <c r="POR2494" s="59"/>
      <c r="POS2494" s="59"/>
      <c r="POT2494" s="60"/>
      <c r="POU2494" s="60"/>
      <c r="POV2494" s="60"/>
      <c r="POW2494" s="59"/>
      <c r="POX2494" s="61"/>
      <c r="POY2494" s="59"/>
      <c r="POZ2494" s="59"/>
      <c r="PPA2494" s="59"/>
      <c r="PPB2494" s="60"/>
      <c r="PPC2494" s="60"/>
      <c r="PPD2494" s="60"/>
      <c r="PPE2494" s="59"/>
      <c r="PPF2494" s="61"/>
      <c r="PPG2494" s="59"/>
      <c r="PPH2494" s="59"/>
      <c r="PPI2494" s="59"/>
      <c r="PPJ2494" s="60"/>
      <c r="PPK2494" s="60"/>
      <c r="PPL2494" s="60"/>
      <c r="PPM2494" s="59"/>
      <c r="PPN2494" s="61"/>
      <c r="PPO2494" s="59"/>
      <c r="PPP2494" s="59"/>
      <c r="PPQ2494" s="59"/>
      <c r="PPR2494" s="60"/>
      <c r="PPS2494" s="60"/>
      <c r="PPT2494" s="60"/>
      <c r="PPU2494" s="59"/>
      <c r="PPV2494" s="61"/>
      <c r="PPW2494" s="59"/>
      <c r="PPX2494" s="59"/>
      <c r="PPY2494" s="59"/>
      <c r="PPZ2494" s="60"/>
      <c r="PQA2494" s="60"/>
      <c r="PQB2494" s="60"/>
      <c r="PQC2494" s="59"/>
      <c r="PQD2494" s="61"/>
      <c r="PQE2494" s="59"/>
      <c r="PQF2494" s="59"/>
      <c r="PQG2494" s="59"/>
      <c r="PQH2494" s="60"/>
      <c r="PQI2494" s="60"/>
      <c r="PQJ2494" s="60"/>
      <c r="PQK2494" s="59"/>
      <c r="PQL2494" s="61"/>
      <c r="PQM2494" s="59"/>
      <c r="PQN2494" s="59"/>
      <c r="PQO2494" s="59"/>
      <c r="PQP2494" s="60"/>
      <c r="PQQ2494" s="60"/>
      <c r="PQR2494" s="60"/>
      <c r="PQS2494" s="59"/>
      <c r="PQT2494" s="61"/>
      <c r="PQU2494" s="59"/>
      <c r="PQV2494" s="59"/>
      <c r="PQW2494" s="59"/>
      <c r="PQX2494" s="60"/>
      <c r="PQY2494" s="60"/>
      <c r="PQZ2494" s="60"/>
      <c r="PRA2494" s="59"/>
      <c r="PRB2494" s="61"/>
      <c r="PRC2494" s="59"/>
      <c r="PRD2494" s="59"/>
      <c r="PRE2494" s="59"/>
      <c r="PRF2494" s="60"/>
      <c r="PRG2494" s="60"/>
      <c r="PRH2494" s="60"/>
      <c r="PRI2494" s="59"/>
      <c r="PRJ2494" s="61"/>
      <c r="PRK2494" s="59"/>
      <c r="PRL2494" s="59"/>
      <c r="PRM2494" s="59"/>
      <c r="PRN2494" s="60"/>
      <c r="PRO2494" s="60"/>
      <c r="PRP2494" s="60"/>
      <c r="PRQ2494" s="59"/>
      <c r="PRR2494" s="61"/>
      <c r="PRS2494" s="59"/>
      <c r="PRT2494" s="59"/>
      <c r="PRU2494" s="59"/>
      <c r="PRV2494" s="60"/>
      <c r="PRW2494" s="60"/>
      <c r="PRX2494" s="60"/>
      <c r="PRY2494" s="59"/>
      <c r="PRZ2494" s="61"/>
      <c r="PSA2494" s="59"/>
      <c r="PSB2494" s="59"/>
      <c r="PSC2494" s="59"/>
      <c r="PSD2494" s="60"/>
      <c r="PSE2494" s="60"/>
      <c r="PSF2494" s="60"/>
      <c r="PSG2494" s="59"/>
      <c r="PSH2494" s="61"/>
      <c r="PSI2494" s="59"/>
      <c r="PSJ2494" s="59"/>
      <c r="PSK2494" s="59"/>
      <c r="PSL2494" s="60"/>
      <c r="PSM2494" s="60"/>
      <c r="PSN2494" s="60"/>
      <c r="PSO2494" s="59"/>
      <c r="PSP2494" s="61"/>
      <c r="PSQ2494" s="59"/>
      <c r="PSR2494" s="59"/>
      <c r="PSS2494" s="59"/>
      <c r="PST2494" s="60"/>
      <c r="PSU2494" s="60"/>
      <c r="PSV2494" s="60"/>
      <c r="PSW2494" s="59"/>
      <c r="PSX2494" s="61"/>
      <c r="PSY2494" s="59"/>
      <c r="PSZ2494" s="59"/>
      <c r="PTA2494" s="59"/>
      <c r="PTB2494" s="60"/>
      <c r="PTC2494" s="60"/>
      <c r="PTD2494" s="60"/>
      <c r="PTE2494" s="59"/>
      <c r="PTF2494" s="61"/>
      <c r="PTG2494" s="59"/>
      <c r="PTH2494" s="59"/>
      <c r="PTI2494" s="59"/>
      <c r="PTJ2494" s="60"/>
      <c r="PTK2494" s="60"/>
      <c r="PTL2494" s="60"/>
      <c r="PTM2494" s="59"/>
      <c r="PTN2494" s="61"/>
      <c r="PTO2494" s="59"/>
      <c r="PTP2494" s="59"/>
      <c r="PTQ2494" s="59"/>
      <c r="PTR2494" s="60"/>
      <c r="PTS2494" s="60"/>
      <c r="PTT2494" s="60"/>
      <c r="PTU2494" s="59"/>
      <c r="PTV2494" s="61"/>
      <c r="PTW2494" s="59"/>
      <c r="PTX2494" s="59"/>
      <c r="PTY2494" s="59"/>
      <c r="PTZ2494" s="60"/>
      <c r="PUA2494" s="60"/>
      <c r="PUB2494" s="60"/>
      <c r="PUC2494" s="59"/>
      <c r="PUD2494" s="61"/>
      <c r="PUE2494" s="59"/>
      <c r="PUF2494" s="59"/>
      <c r="PUG2494" s="59"/>
      <c r="PUH2494" s="60"/>
      <c r="PUI2494" s="60"/>
      <c r="PUJ2494" s="60"/>
      <c r="PUK2494" s="59"/>
      <c r="PUL2494" s="61"/>
      <c r="PUM2494" s="59"/>
      <c r="PUN2494" s="59"/>
      <c r="PUO2494" s="59"/>
      <c r="PUP2494" s="60"/>
      <c r="PUQ2494" s="60"/>
      <c r="PUR2494" s="60"/>
      <c r="PUS2494" s="59"/>
      <c r="PUT2494" s="61"/>
      <c r="PUU2494" s="59"/>
      <c r="PUV2494" s="59"/>
      <c r="PUW2494" s="59"/>
      <c r="PUX2494" s="60"/>
      <c r="PUY2494" s="60"/>
      <c r="PUZ2494" s="60"/>
      <c r="PVA2494" s="59"/>
      <c r="PVB2494" s="61"/>
      <c r="PVC2494" s="59"/>
      <c r="PVD2494" s="59"/>
      <c r="PVE2494" s="59"/>
      <c r="PVF2494" s="60"/>
      <c r="PVG2494" s="60"/>
      <c r="PVH2494" s="60"/>
      <c r="PVI2494" s="59"/>
      <c r="PVJ2494" s="61"/>
      <c r="PVK2494" s="59"/>
      <c r="PVL2494" s="59"/>
      <c r="PVM2494" s="59"/>
      <c r="PVN2494" s="60"/>
      <c r="PVO2494" s="60"/>
      <c r="PVP2494" s="60"/>
      <c r="PVQ2494" s="59"/>
      <c r="PVR2494" s="61"/>
      <c r="PVS2494" s="59"/>
      <c r="PVT2494" s="59"/>
      <c r="PVU2494" s="59"/>
      <c r="PVV2494" s="60"/>
      <c r="PVW2494" s="60"/>
      <c r="PVX2494" s="60"/>
      <c r="PVY2494" s="59"/>
      <c r="PVZ2494" s="61"/>
      <c r="PWA2494" s="59"/>
      <c r="PWB2494" s="59"/>
      <c r="PWC2494" s="59"/>
      <c r="PWD2494" s="60"/>
      <c r="PWE2494" s="60"/>
      <c r="PWF2494" s="60"/>
      <c r="PWG2494" s="59"/>
      <c r="PWH2494" s="61"/>
      <c r="PWI2494" s="59"/>
      <c r="PWJ2494" s="59"/>
      <c r="PWK2494" s="59"/>
      <c r="PWL2494" s="60"/>
      <c r="PWM2494" s="60"/>
      <c r="PWN2494" s="60"/>
      <c r="PWO2494" s="59"/>
      <c r="PWP2494" s="61"/>
      <c r="PWQ2494" s="59"/>
      <c r="PWR2494" s="59"/>
      <c r="PWS2494" s="59"/>
      <c r="PWT2494" s="60"/>
      <c r="PWU2494" s="60"/>
      <c r="PWV2494" s="60"/>
      <c r="PWW2494" s="59"/>
      <c r="PWX2494" s="61"/>
      <c r="PWY2494" s="59"/>
      <c r="PWZ2494" s="59"/>
      <c r="PXA2494" s="59"/>
      <c r="PXB2494" s="60"/>
      <c r="PXC2494" s="60"/>
      <c r="PXD2494" s="60"/>
      <c r="PXE2494" s="59"/>
      <c r="PXF2494" s="61"/>
      <c r="PXG2494" s="59"/>
      <c r="PXH2494" s="59"/>
      <c r="PXI2494" s="59"/>
      <c r="PXJ2494" s="60"/>
      <c r="PXK2494" s="60"/>
      <c r="PXL2494" s="60"/>
      <c r="PXM2494" s="59"/>
      <c r="PXN2494" s="61"/>
      <c r="PXO2494" s="59"/>
      <c r="PXP2494" s="59"/>
      <c r="PXQ2494" s="59"/>
      <c r="PXR2494" s="60"/>
      <c r="PXS2494" s="60"/>
      <c r="PXT2494" s="60"/>
      <c r="PXU2494" s="59"/>
      <c r="PXV2494" s="61"/>
      <c r="PXW2494" s="59"/>
      <c r="PXX2494" s="59"/>
      <c r="PXY2494" s="59"/>
      <c r="PXZ2494" s="60"/>
      <c r="PYA2494" s="60"/>
      <c r="PYB2494" s="60"/>
      <c r="PYC2494" s="59"/>
      <c r="PYD2494" s="61"/>
      <c r="PYE2494" s="59"/>
      <c r="PYF2494" s="59"/>
      <c r="PYG2494" s="59"/>
      <c r="PYH2494" s="60"/>
      <c r="PYI2494" s="60"/>
      <c r="PYJ2494" s="60"/>
      <c r="PYK2494" s="59"/>
      <c r="PYL2494" s="61"/>
      <c r="PYM2494" s="59"/>
      <c r="PYN2494" s="59"/>
      <c r="PYO2494" s="59"/>
      <c r="PYP2494" s="60"/>
      <c r="PYQ2494" s="60"/>
      <c r="PYR2494" s="60"/>
      <c r="PYS2494" s="59"/>
      <c r="PYT2494" s="61"/>
      <c r="PYU2494" s="59"/>
      <c r="PYV2494" s="59"/>
      <c r="PYW2494" s="59"/>
      <c r="PYX2494" s="60"/>
      <c r="PYY2494" s="60"/>
      <c r="PYZ2494" s="60"/>
      <c r="PZA2494" s="59"/>
      <c r="PZB2494" s="61"/>
      <c r="PZC2494" s="59"/>
      <c r="PZD2494" s="59"/>
      <c r="PZE2494" s="59"/>
      <c r="PZF2494" s="60"/>
      <c r="PZG2494" s="60"/>
      <c r="PZH2494" s="60"/>
      <c r="PZI2494" s="59"/>
      <c r="PZJ2494" s="61"/>
      <c r="PZK2494" s="59"/>
      <c r="PZL2494" s="59"/>
      <c r="PZM2494" s="59"/>
      <c r="PZN2494" s="60"/>
      <c r="PZO2494" s="60"/>
      <c r="PZP2494" s="60"/>
      <c r="PZQ2494" s="59"/>
      <c r="PZR2494" s="61"/>
      <c r="PZS2494" s="59"/>
      <c r="PZT2494" s="59"/>
      <c r="PZU2494" s="59"/>
      <c r="PZV2494" s="60"/>
      <c r="PZW2494" s="60"/>
      <c r="PZX2494" s="60"/>
      <c r="PZY2494" s="59"/>
      <c r="PZZ2494" s="61"/>
      <c r="QAA2494" s="59"/>
      <c r="QAB2494" s="59"/>
      <c r="QAC2494" s="59"/>
      <c r="QAD2494" s="60"/>
      <c r="QAE2494" s="60"/>
      <c r="QAF2494" s="60"/>
      <c r="QAG2494" s="59"/>
      <c r="QAH2494" s="61"/>
      <c r="QAI2494" s="59"/>
      <c r="QAJ2494" s="59"/>
      <c r="QAK2494" s="59"/>
      <c r="QAL2494" s="60"/>
      <c r="QAM2494" s="60"/>
      <c r="QAN2494" s="60"/>
      <c r="QAO2494" s="59"/>
      <c r="QAP2494" s="61"/>
      <c r="QAQ2494" s="59"/>
      <c r="QAR2494" s="59"/>
      <c r="QAS2494" s="59"/>
      <c r="QAT2494" s="60"/>
      <c r="QAU2494" s="60"/>
      <c r="QAV2494" s="60"/>
      <c r="QAW2494" s="59"/>
      <c r="QAX2494" s="61"/>
      <c r="QAY2494" s="59"/>
      <c r="QAZ2494" s="59"/>
      <c r="QBA2494" s="59"/>
      <c r="QBB2494" s="60"/>
      <c r="QBC2494" s="60"/>
      <c r="QBD2494" s="60"/>
      <c r="QBE2494" s="59"/>
      <c r="QBF2494" s="61"/>
      <c r="QBG2494" s="59"/>
      <c r="QBH2494" s="59"/>
      <c r="QBI2494" s="59"/>
      <c r="QBJ2494" s="60"/>
      <c r="QBK2494" s="60"/>
      <c r="QBL2494" s="60"/>
      <c r="QBM2494" s="59"/>
      <c r="QBN2494" s="61"/>
      <c r="QBO2494" s="59"/>
      <c r="QBP2494" s="59"/>
      <c r="QBQ2494" s="59"/>
      <c r="QBR2494" s="60"/>
      <c r="QBS2494" s="60"/>
      <c r="QBT2494" s="60"/>
      <c r="QBU2494" s="59"/>
      <c r="QBV2494" s="61"/>
      <c r="QBW2494" s="59"/>
      <c r="QBX2494" s="59"/>
      <c r="QBY2494" s="59"/>
      <c r="QBZ2494" s="60"/>
      <c r="QCA2494" s="60"/>
      <c r="QCB2494" s="60"/>
      <c r="QCC2494" s="59"/>
      <c r="QCD2494" s="61"/>
      <c r="QCE2494" s="59"/>
      <c r="QCF2494" s="59"/>
      <c r="QCG2494" s="59"/>
      <c r="QCH2494" s="60"/>
      <c r="QCI2494" s="60"/>
      <c r="QCJ2494" s="60"/>
      <c r="QCK2494" s="59"/>
      <c r="QCL2494" s="61"/>
      <c r="QCM2494" s="59"/>
      <c r="QCN2494" s="59"/>
      <c r="QCO2494" s="59"/>
      <c r="QCP2494" s="60"/>
      <c r="QCQ2494" s="60"/>
      <c r="QCR2494" s="60"/>
      <c r="QCS2494" s="59"/>
      <c r="QCT2494" s="61"/>
      <c r="QCU2494" s="59"/>
      <c r="QCV2494" s="59"/>
      <c r="QCW2494" s="59"/>
      <c r="QCX2494" s="60"/>
      <c r="QCY2494" s="60"/>
      <c r="QCZ2494" s="60"/>
      <c r="QDA2494" s="59"/>
      <c r="QDB2494" s="61"/>
      <c r="QDC2494" s="59"/>
      <c r="QDD2494" s="59"/>
      <c r="QDE2494" s="59"/>
      <c r="QDF2494" s="60"/>
      <c r="QDG2494" s="60"/>
      <c r="QDH2494" s="60"/>
      <c r="QDI2494" s="59"/>
      <c r="QDJ2494" s="61"/>
      <c r="QDK2494" s="59"/>
      <c r="QDL2494" s="59"/>
      <c r="QDM2494" s="59"/>
      <c r="QDN2494" s="60"/>
      <c r="QDO2494" s="60"/>
      <c r="QDP2494" s="60"/>
      <c r="QDQ2494" s="59"/>
      <c r="QDR2494" s="61"/>
      <c r="QDS2494" s="59"/>
      <c r="QDT2494" s="59"/>
      <c r="QDU2494" s="59"/>
      <c r="QDV2494" s="60"/>
      <c r="QDW2494" s="60"/>
      <c r="QDX2494" s="60"/>
      <c r="QDY2494" s="59"/>
      <c r="QDZ2494" s="61"/>
      <c r="QEA2494" s="59"/>
      <c r="QEB2494" s="59"/>
      <c r="QEC2494" s="59"/>
      <c r="QED2494" s="60"/>
      <c r="QEE2494" s="60"/>
      <c r="QEF2494" s="60"/>
      <c r="QEG2494" s="59"/>
      <c r="QEH2494" s="61"/>
      <c r="QEI2494" s="59"/>
      <c r="QEJ2494" s="59"/>
      <c r="QEK2494" s="59"/>
      <c r="QEL2494" s="60"/>
      <c r="QEM2494" s="60"/>
      <c r="QEN2494" s="60"/>
      <c r="QEO2494" s="59"/>
      <c r="QEP2494" s="61"/>
      <c r="QEQ2494" s="59"/>
      <c r="QER2494" s="59"/>
      <c r="QES2494" s="59"/>
      <c r="QET2494" s="60"/>
      <c r="QEU2494" s="60"/>
      <c r="QEV2494" s="60"/>
      <c r="QEW2494" s="59"/>
      <c r="QEX2494" s="61"/>
      <c r="QEY2494" s="59"/>
      <c r="QEZ2494" s="59"/>
      <c r="QFA2494" s="59"/>
      <c r="QFB2494" s="60"/>
      <c r="QFC2494" s="60"/>
      <c r="QFD2494" s="60"/>
      <c r="QFE2494" s="59"/>
      <c r="QFF2494" s="61"/>
      <c r="QFG2494" s="59"/>
      <c r="QFH2494" s="59"/>
      <c r="QFI2494" s="59"/>
      <c r="QFJ2494" s="60"/>
      <c r="QFK2494" s="60"/>
      <c r="QFL2494" s="60"/>
      <c r="QFM2494" s="59"/>
      <c r="QFN2494" s="61"/>
      <c r="QFO2494" s="59"/>
      <c r="QFP2494" s="59"/>
      <c r="QFQ2494" s="59"/>
      <c r="QFR2494" s="60"/>
      <c r="QFS2494" s="60"/>
      <c r="QFT2494" s="60"/>
      <c r="QFU2494" s="59"/>
      <c r="QFV2494" s="61"/>
      <c r="QFW2494" s="59"/>
      <c r="QFX2494" s="59"/>
      <c r="QFY2494" s="59"/>
      <c r="QFZ2494" s="60"/>
      <c r="QGA2494" s="60"/>
      <c r="QGB2494" s="60"/>
      <c r="QGC2494" s="59"/>
      <c r="QGD2494" s="61"/>
      <c r="QGE2494" s="59"/>
      <c r="QGF2494" s="59"/>
      <c r="QGG2494" s="59"/>
      <c r="QGH2494" s="60"/>
      <c r="QGI2494" s="60"/>
      <c r="QGJ2494" s="60"/>
      <c r="QGK2494" s="59"/>
      <c r="QGL2494" s="61"/>
      <c r="QGM2494" s="59"/>
      <c r="QGN2494" s="59"/>
      <c r="QGO2494" s="59"/>
      <c r="QGP2494" s="60"/>
      <c r="QGQ2494" s="60"/>
      <c r="QGR2494" s="60"/>
      <c r="QGS2494" s="59"/>
      <c r="QGT2494" s="61"/>
      <c r="QGU2494" s="59"/>
      <c r="QGV2494" s="59"/>
      <c r="QGW2494" s="59"/>
      <c r="QGX2494" s="60"/>
      <c r="QGY2494" s="60"/>
      <c r="QGZ2494" s="60"/>
      <c r="QHA2494" s="59"/>
      <c r="QHB2494" s="61"/>
      <c r="QHC2494" s="59"/>
      <c r="QHD2494" s="59"/>
      <c r="QHE2494" s="59"/>
      <c r="QHF2494" s="60"/>
      <c r="QHG2494" s="60"/>
      <c r="QHH2494" s="60"/>
      <c r="QHI2494" s="59"/>
      <c r="QHJ2494" s="61"/>
      <c r="QHK2494" s="59"/>
      <c r="QHL2494" s="59"/>
      <c r="QHM2494" s="59"/>
      <c r="QHN2494" s="60"/>
      <c r="QHO2494" s="60"/>
      <c r="QHP2494" s="60"/>
      <c r="QHQ2494" s="59"/>
      <c r="QHR2494" s="61"/>
      <c r="QHS2494" s="59"/>
      <c r="QHT2494" s="59"/>
      <c r="QHU2494" s="59"/>
      <c r="QHV2494" s="60"/>
      <c r="QHW2494" s="60"/>
      <c r="QHX2494" s="60"/>
      <c r="QHY2494" s="59"/>
      <c r="QHZ2494" s="61"/>
      <c r="QIA2494" s="59"/>
      <c r="QIB2494" s="59"/>
      <c r="QIC2494" s="59"/>
      <c r="QID2494" s="60"/>
      <c r="QIE2494" s="60"/>
      <c r="QIF2494" s="60"/>
      <c r="QIG2494" s="59"/>
      <c r="QIH2494" s="61"/>
      <c r="QII2494" s="59"/>
      <c r="QIJ2494" s="59"/>
      <c r="QIK2494" s="59"/>
      <c r="QIL2494" s="60"/>
      <c r="QIM2494" s="60"/>
      <c r="QIN2494" s="60"/>
      <c r="QIO2494" s="59"/>
      <c r="QIP2494" s="61"/>
      <c r="QIQ2494" s="59"/>
      <c r="QIR2494" s="59"/>
      <c r="QIS2494" s="59"/>
      <c r="QIT2494" s="60"/>
      <c r="QIU2494" s="60"/>
      <c r="QIV2494" s="60"/>
      <c r="QIW2494" s="59"/>
      <c r="QIX2494" s="61"/>
      <c r="QIY2494" s="59"/>
      <c r="QIZ2494" s="59"/>
      <c r="QJA2494" s="59"/>
      <c r="QJB2494" s="60"/>
      <c r="QJC2494" s="60"/>
      <c r="QJD2494" s="60"/>
      <c r="QJE2494" s="59"/>
      <c r="QJF2494" s="61"/>
      <c r="QJG2494" s="59"/>
      <c r="QJH2494" s="59"/>
      <c r="QJI2494" s="59"/>
      <c r="QJJ2494" s="60"/>
      <c r="QJK2494" s="60"/>
      <c r="QJL2494" s="60"/>
      <c r="QJM2494" s="59"/>
      <c r="QJN2494" s="61"/>
      <c r="QJO2494" s="59"/>
      <c r="QJP2494" s="59"/>
      <c r="QJQ2494" s="59"/>
      <c r="QJR2494" s="60"/>
      <c r="QJS2494" s="60"/>
      <c r="QJT2494" s="60"/>
      <c r="QJU2494" s="59"/>
      <c r="QJV2494" s="61"/>
      <c r="QJW2494" s="59"/>
      <c r="QJX2494" s="59"/>
      <c r="QJY2494" s="59"/>
      <c r="QJZ2494" s="60"/>
      <c r="QKA2494" s="60"/>
      <c r="QKB2494" s="60"/>
      <c r="QKC2494" s="59"/>
      <c r="QKD2494" s="61"/>
      <c r="QKE2494" s="59"/>
      <c r="QKF2494" s="59"/>
      <c r="QKG2494" s="59"/>
      <c r="QKH2494" s="60"/>
      <c r="QKI2494" s="60"/>
      <c r="QKJ2494" s="60"/>
      <c r="QKK2494" s="59"/>
      <c r="QKL2494" s="61"/>
      <c r="QKM2494" s="59"/>
      <c r="QKN2494" s="59"/>
      <c r="QKO2494" s="59"/>
      <c r="QKP2494" s="60"/>
      <c r="QKQ2494" s="60"/>
      <c r="QKR2494" s="60"/>
      <c r="QKS2494" s="59"/>
      <c r="QKT2494" s="61"/>
      <c r="QKU2494" s="59"/>
      <c r="QKV2494" s="59"/>
      <c r="QKW2494" s="59"/>
      <c r="QKX2494" s="60"/>
      <c r="QKY2494" s="60"/>
      <c r="QKZ2494" s="60"/>
      <c r="QLA2494" s="59"/>
      <c r="QLB2494" s="61"/>
      <c r="QLC2494" s="59"/>
      <c r="QLD2494" s="59"/>
      <c r="QLE2494" s="59"/>
      <c r="QLF2494" s="60"/>
      <c r="QLG2494" s="60"/>
      <c r="QLH2494" s="60"/>
      <c r="QLI2494" s="59"/>
      <c r="QLJ2494" s="61"/>
      <c r="QLK2494" s="59"/>
      <c r="QLL2494" s="59"/>
      <c r="QLM2494" s="59"/>
      <c r="QLN2494" s="60"/>
      <c r="QLO2494" s="60"/>
      <c r="QLP2494" s="60"/>
      <c r="QLQ2494" s="59"/>
      <c r="QLR2494" s="61"/>
      <c r="QLS2494" s="59"/>
      <c r="QLT2494" s="59"/>
      <c r="QLU2494" s="59"/>
      <c r="QLV2494" s="60"/>
      <c r="QLW2494" s="60"/>
      <c r="QLX2494" s="60"/>
      <c r="QLY2494" s="59"/>
      <c r="QLZ2494" s="61"/>
      <c r="QMA2494" s="59"/>
      <c r="QMB2494" s="59"/>
      <c r="QMC2494" s="59"/>
      <c r="QMD2494" s="60"/>
      <c r="QME2494" s="60"/>
      <c r="QMF2494" s="60"/>
      <c r="QMG2494" s="59"/>
      <c r="QMH2494" s="61"/>
      <c r="QMI2494" s="59"/>
      <c r="QMJ2494" s="59"/>
      <c r="QMK2494" s="59"/>
      <c r="QML2494" s="60"/>
      <c r="QMM2494" s="60"/>
      <c r="QMN2494" s="60"/>
      <c r="QMO2494" s="59"/>
      <c r="QMP2494" s="61"/>
      <c r="QMQ2494" s="59"/>
      <c r="QMR2494" s="59"/>
      <c r="QMS2494" s="59"/>
      <c r="QMT2494" s="60"/>
      <c r="QMU2494" s="60"/>
      <c r="QMV2494" s="60"/>
      <c r="QMW2494" s="59"/>
      <c r="QMX2494" s="61"/>
      <c r="QMY2494" s="59"/>
      <c r="QMZ2494" s="59"/>
      <c r="QNA2494" s="59"/>
      <c r="QNB2494" s="60"/>
      <c r="QNC2494" s="60"/>
      <c r="QND2494" s="60"/>
      <c r="QNE2494" s="59"/>
      <c r="QNF2494" s="61"/>
      <c r="QNG2494" s="59"/>
      <c r="QNH2494" s="59"/>
      <c r="QNI2494" s="59"/>
      <c r="QNJ2494" s="60"/>
      <c r="QNK2494" s="60"/>
      <c r="QNL2494" s="60"/>
      <c r="QNM2494" s="59"/>
      <c r="QNN2494" s="61"/>
      <c r="QNO2494" s="59"/>
      <c r="QNP2494" s="59"/>
      <c r="QNQ2494" s="59"/>
      <c r="QNR2494" s="60"/>
      <c r="QNS2494" s="60"/>
      <c r="QNT2494" s="60"/>
      <c r="QNU2494" s="59"/>
      <c r="QNV2494" s="61"/>
      <c r="QNW2494" s="59"/>
      <c r="QNX2494" s="59"/>
      <c r="QNY2494" s="59"/>
      <c r="QNZ2494" s="60"/>
      <c r="QOA2494" s="60"/>
      <c r="QOB2494" s="60"/>
      <c r="QOC2494" s="59"/>
      <c r="QOD2494" s="61"/>
      <c r="QOE2494" s="59"/>
      <c r="QOF2494" s="59"/>
      <c r="QOG2494" s="59"/>
      <c r="QOH2494" s="60"/>
      <c r="QOI2494" s="60"/>
      <c r="QOJ2494" s="60"/>
      <c r="QOK2494" s="59"/>
      <c r="QOL2494" s="61"/>
      <c r="QOM2494" s="59"/>
      <c r="QON2494" s="59"/>
      <c r="QOO2494" s="59"/>
      <c r="QOP2494" s="60"/>
      <c r="QOQ2494" s="60"/>
      <c r="QOR2494" s="60"/>
      <c r="QOS2494" s="59"/>
      <c r="QOT2494" s="61"/>
      <c r="QOU2494" s="59"/>
      <c r="QOV2494" s="59"/>
      <c r="QOW2494" s="59"/>
      <c r="QOX2494" s="60"/>
      <c r="QOY2494" s="60"/>
      <c r="QOZ2494" s="60"/>
      <c r="QPA2494" s="59"/>
      <c r="QPB2494" s="61"/>
      <c r="QPC2494" s="59"/>
      <c r="QPD2494" s="59"/>
      <c r="QPE2494" s="59"/>
      <c r="QPF2494" s="60"/>
      <c r="QPG2494" s="60"/>
      <c r="QPH2494" s="60"/>
      <c r="QPI2494" s="59"/>
      <c r="QPJ2494" s="61"/>
      <c r="QPK2494" s="59"/>
      <c r="QPL2494" s="59"/>
      <c r="QPM2494" s="59"/>
      <c r="QPN2494" s="60"/>
      <c r="QPO2494" s="60"/>
      <c r="QPP2494" s="60"/>
      <c r="QPQ2494" s="59"/>
      <c r="QPR2494" s="61"/>
      <c r="QPS2494" s="59"/>
      <c r="QPT2494" s="59"/>
      <c r="QPU2494" s="59"/>
      <c r="QPV2494" s="60"/>
      <c r="QPW2494" s="60"/>
      <c r="QPX2494" s="60"/>
      <c r="QPY2494" s="59"/>
      <c r="QPZ2494" s="61"/>
      <c r="QQA2494" s="59"/>
      <c r="QQB2494" s="59"/>
      <c r="QQC2494" s="59"/>
      <c r="QQD2494" s="60"/>
      <c r="QQE2494" s="60"/>
      <c r="QQF2494" s="60"/>
      <c r="QQG2494" s="59"/>
      <c r="QQH2494" s="61"/>
      <c r="QQI2494" s="59"/>
      <c r="QQJ2494" s="59"/>
      <c r="QQK2494" s="59"/>
      <c r="QQL2494" s="60"/>
      <c r="QQM2494" s="60"/>
      <c r="QQN2494" s="60"/>
      <c r="QQO2494" s="59"/>
      <c r="QQP2494" s="61"/>
      <c r="QQQ2494" s="59"/>
      <c r="QQR2494" s="59"/>
      <c r="QQS2494" s="59"/>
      <c r="QQT2494" s="60"/>
      <c r="QQU2494" s="60"/>
      <c r="QQV2494" s="60"/>
      <c r="QQW2494" s="59"/>
      <c r="QQX2494" s="61"/>
      <c r="QQY2494" s="59"/>
      <c r="QQZ2494" s="59"/>
      <c r="QRA2494" s="59"/>
      <c r="QRB2494" s="60"/>
      <c r="QRC2494" s="60"/>
      <c r="QRD2494" s="60"/>
      <c r="QRE2494" s="59"/>
      <c r="QRF2494" s="61"/>
      <c r="QRG2494" s="59"/>
      <c r="QRH2494" s="59"/>
      <c r="QRI2494" s="59"/>
      <c r="QRJ2494" s="60"/>
      <c r="QRK2494" s="60"/>
      <c r="QRL2494" s="60"/>
      <c r="QRM2494" s="59"/>
      <c r="QRN2494" s="61"/>
      <c r="QRO2494" s="59"/>
      <c r="QRP2494" s="59"/>
      <c r="QRQ2494" s="59"/>
      <c r="QRR2494" s="60"/>
      <c r="QRS2494" s="60"/>
      <c r="QRT2494" s="60"/>
      <c r="QRU2494" s="59"/>
      <c r="QRV2494" s="61"/>
      <c r="QRW2494" s="59"/>
      <c r="QRX2494" s="59"/>
      <c r="QRY2494" s="59"/>
      <c r="QRZ2494" s="60"/>
      <c r="QSA2494" s="60"/>
      <c r="QSB2494" s="60"/>
      <c r="QSC2494" s="59"/>
      <c r="QSD2494" s="61"/>
      <c r="QSE2494" s="59"/>
      <c r="QSF2494" s="59"/>
      <c r="QSG2494" s="59"/>
      <c r="QSH2494" s="60"/>
      <c r="QSI2494" s="60"/>
      <c r="QSJ2494" s="60"/>
      <c r="QSK2494" s="59"/>
      <c r="QSL2494" s="61"/>
      <c r="QSM2494" s="59"/>
      <c r="QSN2494" s="59"/>
      <c r="QSO2494" s="59"/>
      <c r="QSP2494" s="60"/>
      <c r="QSQ2494" s="60"/>
      <c r="QSR2494" s="60"/>
      <c r="QSS2494" s="59"/>
      <c r="QST2494" s="61"/>
      <c r="QSU2494" s="59"/>
      <c r="QSV2494" s="59"/>
      <c r="QSW2494" s="59"/>
      <c r="QSX2494" s="60"/>
      <c r="QSY2494" s="60"/>
      <c r="QSZ2494" s="60"/>
      <c r="QTA2494" s="59"/>
      <c r="QTB2494" s="61"/>
      <c r="QTC2494" s="59"/>
      <c r="QTD2494" s="59"/>
      <c r="QTE2494" s="59"/>
      <c r="QTF2494" s="60"/>
      <c r="QTG2494" s="60"/>
      <c r="QTH2494" s="60"/>
      <c r="QTI2494" s="59"/>
      <c r="QTJ2494" s="61"/>
      <c r="QTK2494" s="59"/>
      <c r="QTL2494" s="59"/>
      <c r="QTM2494" s="59"/>
      <c r="QTN2494" s="60"/>
      <c r="QTO2494" s="60"/>
      <c r="QTP2494" s="60"/>
      <c r="QTQ2494" s="59"/>
      <c r="QTR2494" s="61"/>
      <c r="QTS2494" s="59"/>
      <c r="QTT2494" s="59"/>
      <c r="QTU2494" s="59"/>
      <c r="QTV2494" s="60"/>
      <c r="QTW2494" s="60"/>
      <c r="QTX2494" s="60"/>
      <c r="QTY2494" s="59"/>
      <c r="QTZ2494" s="61"/>
      <c r="QUA2494" s="59"/>
      <c r="QUB2494" s="59"/>
      <c r="QUC2494" s="59"/>
      <c r="QUD2494" s="60"/>
      <c r="QUE2494" s="60"/>
      <c r="QUF2494" s="60"/>
      <c r="QUG2494" s="59"/>
      <c r="QUH2494" s="61"/>
      <c r="QUI2494" s="59"/>
      <c r="QUJ2494" s="59"/>
      <c r="QUK2494" s="59"/>
      <c r="QUL2494" s="60"/>
      <c r="QUM2494" s="60"/>
      <c r="QUN2494" s="60"/>
      <c r="QUO2494" s="59"/>
      <c r="QUP2494" s="61"/>
      <c r="QUQ2494" s="59"/>
      <c r="QUR2494" s="59"/>
      <c r="QUS2494" s="59"/>
      <c r="QUT2494" s="60"/>
      <c r="QUU2494" s="60"/>
      <c r="QUV2494" s="60"/>
      <c r="QUW2494" s="59"/>
      <c r="QUX2494" s="61"/>
      <c r="QUY2494" s="59"/>
      <c r="QUZ2494" s="59"/>
      <c r="QVA2494" s="59"/>
      <c r="QVB2494" s="60"/>
      <c r="QVC2494" s="60"/>
      <c r="QVD2494" s="60"/>
      <c r="QVE2494" s="59"/>
      <c r="QVF2494" s="61"/>
      <c r="QVG2494" s="59"/>
      <c r="QVH2494" s="59"/>
      <c r="QVI2494" s="59"/>
      <c r="QVJ2494" s="60"/>
      <c r="QVK2494" s="60"/>
      <c r="QVL2494" s="60"/>
      <c r="QVM2494" s="59"/>
      <c r="QVN2494" s="61"/>
      <c r="QVO2494" s="59"/>
      <c r="QVP2494" s="59"/>
      <c r="QVQ2494" s="59"/>
      <c r="QVR2494" s="60"/>
      <c r="QVS2494" s="60"/>
      <c r="QVT2494" s="60"/>
      <c r="QVU2494" s="59"/>
      <c r="QVV2494" s="61"/>
      <c r="QVW2494" s="59"/>
      <c r="QVX2494" s="59"/>
      <c r="QVY2494" s="59"/>
      <c r="QVZ2494" s="60"/>
      <c r="QWA2494" s="60"/>
      <c r="QWB2494" s="60"/>
      <c r="QWC2494" s="59"/>
      <c r="QWD2494" s="61"/>
      <c r="QWE2494" s="59"/>
      <c r="QWF2494" s="59"/>
      <c r="QWG2494" s="59"/>
      <c r="QWH2494" s="60"/>
      <c r="QWI2494" s="60"/>
      <c r="QWJ2494" s="60"/>
      <c r="QWK2494" s="59"/>
      <c r="QWL2494" s="61"/>
      <c r="QWM2494" s="59"/>
      <c r="QWN2494" s="59"/>
      <c r="QWO2494" s="59"/>
      <c r="QWP2494" s="60"/>
      <c r="QWQ2494" s="60"/>
      <c r="QWR2494" s="60"/>
      <c r="QWS2494" s="59"/>
      <c r="QWT2494" s="61"/>
      <c r="QWU2494" s="59"/>
      <c r="QWV2494" s="59"/>
      <c r="QWW2494" s="59"/>
      <c r="QWX2494" s="60"/>
      <c r="QWY2494" s="60"/>
      <c r="QWZ2494" s="60"/>
      <c r="QXA2494" s="59"/>
      <c r="QXB2494" s="61"/>
      <c r="QXC2494" s="59"/>
      <c r="QXD2494" s="59"/>
      <c r="QXE2494" s="59"/>
      <c r="QXF2494" s="60"/>
      <c r="QXG2494" s="60"/>
      <c r="QXH2494" s="60"/>
      <c r="QXI2494" s="59"/>
      <c r="QXJ2494" s="61"/>
      <c r="QXK2494" s="59"/>
      <c r="QXL2494" s="59"/>
      <c r="QXM2494" s="59"/>
      <c r="QXN2494" s="60"/>
      <c r="QXO2494" s="60"/>
      <c r="QXP2494" s="60"/>
      <c r="QXQ2494" s="59"/>
      <c r="QXR2494" s="61"/>
      <c r="QXS2494" s="59"/>
      <c r="QXT2494" s="59"/>
      <c r="QXU2494" s="59"/>
      <c r="QXV2494" s="60"/>
      <c r="QXW2494" s="60"/>
      <c r="QXX2494" s="60"/>
      <c r="QXY2494" s="59"/>
      <c r="QXZ2494" s="61"/>
      <c r="QYA2494" s="59"/>
      <c r="QYB2494" s="59"/>
      <c r="QYC2494" s="59"/>
      <c r="QYD2494" s="60"/>
      <c r="QYE2494" s="60"/>
      <c r="QYF2494" s="60"/>
      <c r="QYG2494" s="59"/>
      <c r="QYH2494" s="61"/>
      <c r="QYI2494" s="59"/>
      <c r="QYJ2494" s="59"/>
      <c r="QYK2494" s="59"/>
      <c r="QYL2494" s="60"/>
      <c r="QYM2494" s="60"/>
      <c r="QYN2494" s="60"/>
      <c r="QYO2494" s="59"/>
      <c r="QYP2494" s="61"/>
      <c r="QYQ2494" s="59"/>
      <c r="QYR2494" s="59"/>
      <c r="QYS2494" s="59"/>
      <c r="QYT2494" s="60"/>
      <c r="QYU2494" s="60"/>
      <c r="QYV2494" s="60"/>
      <c r="QYW2494" s="59"/>
      <c r="QYX2494" s="61"/>
      <c r="QYY2494" s="59"/>
      <c r="QYZ2494" s="59"/>
      <c r="QZA2494" s="59"/>
      <c r="QZB2494" s="60"/>
      <c r="QZC2494" s="60"/>
      <c r="QZD2494" s="60"/>
      <c r="QZE2494" s="59"/>
      <c r="QZF2494" s="61"/>
      <c r="QZG2494" s="59"/>
      <c r="QZH2494" s="59"/>
      <c r="QZI2494" s="59"/>
      <c r="QZJ2494" s="60"/>
      <c r="QZK2494" s="60"/>
      <c r="QZL2494" s="60"/>
      <c r="QZM2494" s="59"/>
      <c r="QZN2494" s="61"/>
      <c r="QZO2494" s="59"/>
      <c r="QZP2494" s="59"/>
      <c r="QZQ2494" s="59"/>
      <c r="QZR2494" s="60"/>
      <c r="QZS2494" s="60"/>
      <c r="QZT2494" s="60"/>
      <c r="QZU2494" s="59"/>
      <c r="QZV2494" s="61"/>
      <c r="QZW2494" s="59"/>
      <c r="QZX2494" s="59"/>
      <c r="QZY2494" s="59"/>
      <c r="QZZ2494" s="60"/>
      <c r="RAA2494" s="60"/>
      <c r="RAB2494" s="60"/>
      <c r="RAC2494" s="59"/>
      <c r="RAD2494" s="61"/>
      <c r="RAE2494" s="59"/>
      <c r="RAF2494" s="59"/>
      <c r="RAG2494" s="59"/>
      <c r="RAH2494" s="60"/>
      <c r="RAI2494" s="60"/>
      <c r="RAJ2494" s="60"/>
      <c r="RAK2494" s="59"/>
      <c r="RAL2494" s="61"/>
      <c r="RAM2494" s="59"/>
      <c r="RAN2494" s="59"/>
      <c r="RAO2494" s="59"/>
      <c r="RAP2494" s="60"/>
      <c r="RAQ2494" s="60"/>
      <c r="RAR2494" s="60"/>
      <c r="RAS2494" s="59"/>
      <c r="RAT2494" s="61"/>
      <c r="RAU2494" s="59"/>
      <c r="RAV2494" s="59"/>
      <c r="RAW2494" s="59"/>
      <c r="RAX2494" s="60"/>
      <c r="RAY2494" s="60"/>
      <c r="RAZ2494" s="60"/>
      <c r="RBA2494" s="59"/>
      <c r="RBB2494" s="61"/>
      <c r="RBC2494" s="59"/>
      <c r="RBD2494" s="59"/>
      <c r="RBE2494" s="59"/>
      <c r="RBF2494" s="60"/>
      <c r="RBG2494" s="60"/>
      <c r="RBH2494" s="60"/>
      <c r="RBI2494" s="59"/>
      <c r="RBJ2494" s="61"/>
      <c r="RBK2494" s="59"/>
      <c r="RBL2494" s="59"/>
      <c r="RBM2494" s="59"/>
      <c r="RBN2494" s="60"/>
      <c r="RBO2494" s="60"/>
      <c r="RBP2494" s="60"/>
      <c r="RBQ2494" s="59"/>
      <c r="RBR2494" s="61"/>
      <c r="RBS2494" s="59"/>
      <c r="RBT2494" s="59"/>
      <c r="RBU2494" s="59"/>
      <c r="RBV2494" s="60"/>
      <c r="RBW2494" s="60"/>
      <c r="RBX2494" s="60"/>
      <c r="RBY2494" s="59"/>
      <c r="RBZ2494" s="61"/>
      <c r="RCA2494" s="59"/>
      <c r="RCB2494" s="59"/>
      <c r="RCC2494" s="59"/>
      <c r="RCD2494" s="60"/>
      <c r="RCE2494" s="60"/>
      <c r="RCF2494" s="60"/>
      <c r="RCG2494" s="59"/>
      <c r="RCH2494" s="61"/>
      <c r="RCI2494" s="59"/>
      <c r="RCJ2494" s="59"/>
      <c r="RCK2494" s="59"/>
      <c r="RCL2494" s="60"/>
      <c r="RCM2494" s="60"/>
      <c r="RCN2494" s="60"/>
      <c r="RCO2494" s="59"/>
      <c r="RCP2494" s="61"/>
      <c r="RCQ2494" s="59"/>
      <c r="RCR2494" s="59"/>
      <c r="RCS2494" s="59"/>
      <c r="RCT2494" s="60"/>
      <c r="RCU2494" s="60"/>
      <c r="RCV2494" s="60"/>
      <c r="RCW2494" s="59"/>
      <c r="RCX2494" s="61"/>
      <c r="RCY2494" s="59"/>
      <c r="RCZ2494" s="59"/>
      <c r="RDA2494" s="59"/>
      <c r="RDB2494" s="60"/>
      <c r="RDC2494" s="60"/>
      <c r="RDD2494" s="60"/>
      <c r="RDE2494" s="59"/>
      <c r="RDF2494" s="61"/>
      <c r="RDG2494" s="59"/>
      <c r="RDH2494" s="59"/>
      <c r="RDI2494" s="59"/>
      <c r="RDJ2494" s="60"/>
      <c r="RDK2494" s="60"/>
      <c r="RDL2494" s="60"/>
      <c r="RDM2494" s="59"/>
      <c r="RDN2494" s="61"/>
      <c r="RDO2494" s="59"/>
      <c r="RDP2494" s="59"/>
      <c r="RDQ2494" s="59"/>
      <c r="RDR2494" s="60"/>
      <c r="RDS2494" s="60"/>
      <c r="RDT2494" s="60"/>
      <c r="RDU2494" s="59"/>
      <c r="RDV2494" s="61"/>
      <c r="RDW2494" s="59"/>
      <c r="RDX2494" s="59"/>
      <c r="RDY2494" s="59"/>
      <c r="RDZ2494" s="60"/>
      <c r="REA2494" s="60"/>
      <c r="REB2494" s="60"/>
      <c r="REC2494" s="59"/>
      <c r="RED2494" s="61"/>
      <c r="REE2494" s="59"/>
      <c r="REF2494" s="59"/>
      <c r="REG2494" s="59"/>
      <c r="REH2494" s="60"/>
      <c r="REI2494" s="60"/>
      <c r="REJ2494" s="60"/>
      <c r="REK2494" s="59"/>
      <c r="REL2494" s="61"/>
      <c r="REM2494" s="59"/>
      <c r="REN2494" s="59"/>
      <c r="REO2494" s="59"/>
      <c r="REP2494" s="60"/>
      <c r="REQ2494" s="60"/>
      <c r="RER2494" s="60"/>
      <c r="RES2494" s="59"/>
      <c r="RET2494" s="61"/>
      <c r="REU2494" s="59"/>
      <c r="REV2494" s="59"/>
      <c r="REW2494" s="59"/>
      <c r="REX2494" s="60"/>
      <c r="REY2494" s="60"/>
      <c r="REZ2494" s="60"/>
      <c r="RFA2494" s="59"/>
      <c r="RFB2494" s="61"/>
      <c r="RFC2494" s="59"/>
      <c r="RFD2494" s="59"/>
      <c r="RFE2494" s="59"/>
      <c r="RFF2494" s="60"/>
      <c r="RFG2494" s="60"/>
      <c r="RFH2494" s="60"/>
      <c r="RFI2494" s="59"/>
      <c r="RFJ2494" s="61"/>
      <c r="RFK2494" s="59"/>
      <c r="RFL2494" s="59"/>
      <c r="RFM2494" s="59"/>
      <c r="RFN2494" s="60"/>
      <c r="RFO2494" s="60"/>
      <c r="RFP2494" s="60"/>
      <c r="RFQ2494" s="59"/>
      <c r="RFR2494" s="61"/>
      <c r="RFS2494" s="59"/>
      <c r="RFT2494" s="59"/>
      <c r="RFU2494" s="59"/>
      <c r="RFV2494" s="60"/>
      <c r="RFW2494" s="60"/>
      <c r="RFX2494" s="60"/>
      <c r="RFY2494" s="59"/>
      <c r="RFZ2494" s="61"/>
      <c r="RGA2494" s="59"/>
      <c r="RGB2494" s="59"/>
      <c r="RGC2494" s="59"/>
      <c r="RGD2494" s="60"/>
      <c r="RGE2494" s="60"/>
      <c r="RGF2494" s="60"/>
      <c r="RGG2494" s="59"/>
      <c r="RGH2494" s="61"/>
      <c r="RGI2494" s="59"/>
      <c r="RGJ2494" s="59"/>
      <c r="RGK2494" s="59"/>
      <c r="RGL2494" s="60"/>
      <c r="RGM2494" s="60"/>
      <c r="RGN2494" s="60"/>
      <c r="RGO2494" s="59"/>
      <c r="RGP2494" s="61"/>
      <c r="RGQ2494" s="59"/>
      <c r="RGR2494" s="59"/>
      <c r="RGS2494" s="59"/>
      <c r="RGT2494" s="60"/>
      <c r="RGU2494" s="60"/>
      <c r="RGV2494" s="60"/>
      <c r="RGW2494" s="59"/>
      <c r="RGX2494" s="61"/>
      <c r="RGY2494" s="59"/>
      <c r="RGZ2494" s="59"/>
      <c r="RHA2494" s="59"/>
      <c r="RHB2494" s="60"/>
      <c r="RHC2494" s="60"/>
      <c r="RHD2494" s="60"/>
      <c r="RHE2494" s="59"/>
      <c r="RHF2494" s="61"/>
      <c r="RHG2494" s="59"/>
      <c r="RHH2494" s="59"/>
      <c r="RHI2494" s="59"/>
      <c r="RHJ2494" s="60"/>
      <c r="RHK2494" s="60"/>
      <c r="RHL2494" s="60"/>
      <c r="RHM2494" s="59"/>
      <c r="RHN2494" s="61"/>
      <c r="RHO2494" s="59"/>
      <c r="RHP2494" s="59"/>
      <c r="RHQ2494" s="59"/>
      <c r="RHR2494" s="60"/>
      <c r="RHS2494" s="60"/>
      <c r="RHT2494" s="60"/>
      <c r="RHU2494" s="59"/>
      <c r="RHV2494" s="61"/>
      <c r="RHW2494" s="59"/>
      <c r="RHX2494" s="59"/>
      <c r="RHY2494" s="59"/>
      <c r="RHZ2494" s="60"/>
      <c r="RIA2494" s="60"/>
      <c r="RIB2494" s="60"/>
      <c r="RIC2494" s="59"/>
      <c r="RID2494" s="61"/>
      <c r="RIE2494" s="59"/>
      <c r="RIF2494" s="59"/>
      <c r="RIG2494" s="59"/>
      <c r="RIH2494" s="60"/>
      <c r="RII2494" s="60"/>
      <c r="RIJ2494" s="60"/>
      <c r="RIK2494" s="59"/>
      <c r="RIL2494" s="61"/>
      <c r="RIM2494" s="59"/>
      <c r="RIN2494" s="59"/>
      <c r="RIO2494" s="59"/>
      <c r="RIP2494" s="60"/>
      <c r="RIQ2494" s="60"/>
      <c r="RIR2494" s="60"/>
      <c r="RIS2494" s="59"/>
      <c r="RIT2494" s="61"/>
      <c r="RIU2494" s="59"/>
      <c r="RIV2494" s="59"/>
      <c r="RIW2494" s="59"/>
      <c r="RIX2494" s="60"/>
      <c r="RIY2494" s="60"/>
      <c r="RIZ2494" s="60"/>
      <c r="RJA2494" s="59"/>
      <c r="RJB2494" s="61"/>
      <c r="RJC2494" s="59"/>
      <c r="RJD2494" s="59"/>
      <c r="RJE2494" s="59"/>
      <c r="RJF2494" s="60"/>
      <c r="RJG2494" s="60"/>
      <c r="RJH2494" s="60"/>
      <c r="RJI2494" s="59"/>
      <c r="RJJ2494" s="61"/>
      <c r="RJK2494" s="59"/>
      <c r="RJL2494" s="59"/>
      <c r="RJM2494" s="59"/>
      <c r="RJN2494" s="60"/>
      <c r="RJO2494" s="60"/>
      <c r="RJP2494" s="60"/>
      <c r="RJQ2494" s="59"/>
      <c r="RJR2494" s="61"/>
      <c r="RJS2494" s="59"/>
      <c r="RJT2494" s="59"/>
      <c r="RJU2494" s="59"/>
      <c r="RJV2494" s="60"/>
      <c r="RJW2494" s="60"/>
      <c r="RJX2494" s="60"/>
      <c r="RJY2494" s="59"/>
      <c r="RJZ2494" s="61"/>
      <c r="RKA2494" s="59"/>
      <c r="RKB2494" s="59"/>
      <c r="RKC2494" s="59"/>
      <c r="RKD2494" s="60"/>
      <c r="RKE2494" s="60"/>
      <c r="RKF2494" s="60"/>
      <c r="RKG2494" s="59"/>
      <c r="RKH2494" s="61"/>
      <c r="RKI2494" s="59"/>
      <c r="RKJ2494" s="59"/>
      <c r="RKK2494" s="59"/>
      <c r="RKL2494" s="60"/>
      <c r="RKM2494" s="60"/>
      <c r="RKN2494" s="60"/>
      <c r="RKO2494" s="59"/>
      <c r="RKP2494" s="61"/>
      <c r="RKQ2494" s="59"/>
      <c r="RKR2494" s="59"/>
      <c r="RKS2494" s="59"/>
      <c r="RKT2494" s="60"/>
      <c r="RKU2494" s="60"/>
      <c r="RKV2494" s="60"/>
      <c r="RKW2494" s="59"/>
      <c r="RKX2494" s="61"/>
      <c r="RKY2494" s="59"/>
      <c r="RKZ2494" s="59"/>
      <c r="RLA2494" s="59"/>
      <c r="RLB2494" s="60"/>
      <c r="RLC2494" s="60"/>
      <c r="RLD2494" s="60"/>
      <c r="RLE2494" s="59"/>
      <c r="RLF2494" s="61"/>
      <c r="RLG2494" s="59"/>
      <c r="RLH2494" s="59"/>
      <c r="RLI2494" s="59"/>
      <c r="RLJ2494" s="60"/>
      <c r="RLK2494" s="60"/>
      <c r="RLL2494" s="60"/>
      <c r="RLM2494" s="59"/>
      <c r="RLN2494" s="61"/>
      <c r="RLO2494" s="59"/>
      <c r="RLP2494" s="59"/>
      <c r="RLQ2494" s="59"/>
      <c r="RLR2494" s="60"/>
      <c r="RLS2494" s="60"/>
      <c r="RLT2494" s="60"/>
      <c r="RLU2494" s="59"/>
      <c r="RLV2494" s="61"/>
      <c r="RLW2494" s="59"/>
      <c r="RLX2494" s="59"/>
      <c r="RLY2494" s="59"/>
      <c r="RLZ2494" s="60"/>
      <c r="RMA2494" s="60"/>
      <c r="RMB2494" s="60"/>
      <c r="RMC2494" s="59"/>
      <c r="RMD2494" s="61"/>
      <c r="RME2494" s="59"/>
      <c r="RMF2494" s="59"/>
      <c r="RMG2494" s="59"/>
      <c r="RMH2494" s="60"/>
      <c r="RMI2494" s="60"/>
      <c r="RMJ2494" s="60"/>
      <c r="RMK2494" s="59"/>
      <c r="RML2494" s="61"/>
      <c r="RMM2494" s="59"/>
      <c r="RMN2494" s="59"/>
      <c r="RMO2494" s="59"/>
      <c r="RMP2494" s="60"/>
      <c r="RMQ2494" s="60"/>
      <c r="RMR2494" s="60"/>
      <c r="RMS2494" s="59"/>
      <c r="RMT2494" s="61"/>
      <c r="RMU2494" s="59"/>
      <c r="RMV2494" s="59"/>
      <c r="RMW2494" s="59"/>
      <c r="RMX2494" s="60"/>
      <c r="RMY2494" s="60"/>
      <c r="RMZ2494" s="60"/>
      <c r="RNA2494" s="59"/>
      <c r="RNB2494" s="61"/>
      <c r="RNC2494" s="59"/>
      <c r="RND2494" s="59"/>
      <c r="RNE2494" s="59"/>
      <c r="RNF2494" s="60"/>
      <c r="RNG2494" s="60"/>
      <c r="RNH2494" s="60"/>
      <c r="RNI2494" s="59"/>
      <c r="RNJ2494" s="61"/>
      <c r="RNK2494" s="59"/>
      <c r="RNL2494" s="59"/>
      <c r="RNM2494" s="59"/>
      <c r="RNN2494" s="60"/>
      <c r="RNO2494" s="60"/>
      <c r="RNP2494" s="60"/>
      <c r="RNQ2494" s="59"/>
      <c r="RNR2494" s="61"/>
      <c r="RNS2494" s="59"/>
      <c r="RNT2494" s="59"/>
      <c r="RNU2494" s="59"/>
      <c r="RNV2494" s="60"/>
      <c r="RNW2494" s="60"/>
      <c r="RNX2494" s="60"/>
      <c r="RNY2494" s="59"/>
      <c r="RNZ2494" s="61"/>
      <c r="ROA2494" s="59"/>
      <c r="ROB2494" s="59"/>
      <c r="ROC2494" s="59"/>
      <c r="ROD2494" s="60"/>
      <c r="ROE2494" s="60"/>
      <c r="ROF2494" s="60"/>
      <c r="ROG2494" s="59"/>
      <c r="ROH2494" s="61"/>
      <c r="ROI2494" s="59"/>
      <c r="ROJ2494" s="59"/>
      <c r="ROK2494" s="59"/>
      <c r="ROL2494" s="60"/>
      <c r="ROM2494" s="60"/>
      <c r="RON2494" s="60"/>
      <c r="ROO2494" s="59"/>
      <c r="ROP2494" s="61"/>
      <c r="ROQ2494" s="59"/>
      <c r="ROR2494" s="59"/>
      <c r="ROS2494" s="59"/>
      <c r="ROT2494" s="60"/>
      <c r="ROU2494" s="60"/>
      <c r="ROV2494" s="60"/>
      <c r="ROW2494" s="59"/>
      <c r="ROX2494" s="61"/>
      <c r="ROY2494" s="59"/>
      <c r="ROZ2494" s="59"/>
      <c r="RPA2494" s="59"/>
      <c r="RPB2494" s="60"/>
      <c r="RPC2494" s="60"/>
      <c r="RPD2494" s="60"/>
      <c r="RPE2494" s="59"/>
      <c r="RPF2494" s="61"/>
      <c r="RPG2494" s="59"/>
      <c r="RPH2494" s="59"/>
      <c r="RPI2494" s="59"/>
      <c r="RPJ2494" s="60"/>
      <c r="RPK2494" s="60"/>
      <c r="RPL2494" s="60"/>
      <c r="RPM2494" s="59"/>
      <c r="RPN2494" s="61"/>
      <c r="RPO2494" s="59"/>
      <c r="RPP2494" s="59"/>
      <c r="RPQ2494" s="59"/>
      <c r="RPR2494" s="60"/>
      <c r="RPS2494" s="60"/>
      <c r="RPT2494" s="60"/>
      <c r="RPU2494" s="59"/>
      <c r="RPV2494" s="61"/>
      <c r="RPW2494" s="59"/>
      <c r="RPX2494" s="59"/>
      <c r="RPY2494" s="59"/>
      <c r="RPZ2494" s="60"/>
      <c r="RQA2494" s="60"/>
      <c r="RQB2494" s="60"/>
      <c r="RQC2494" s="59"/>
      <c r="RQD2494" s="61"/>
      <c r="RQE2494" s="59"/>
      <c r="RQF2494" s="59"/>
      <c r="RQG2494" s="59"/>
      <c r="RQH2494" s="60"/>
      <c r="RQI2494" s="60"/>
      <c r="RQJ2494" s="60"/>
      <c r="RQK2494" s="59"/>
      <c r="RQL2494" s="61"/>
      <c r="RQM2494" s="59"/>
      <c r="RQN2494" s="59"/>
      <c r="RQO2494" s="59"/>
      <c r="RQP2494" s="60"/>
      <c r="RQQ2494" s="60"/>
      <c r="RQR2494" s="60"/>
      <c r="RQS2494" s="59"/>
      <c r="RQT2494" s="61"/>
      <c r="RQU2494" s="59"/>
      <c r="RQV2494" s="59"/>
      <c r="RQW2494" s="59"/>
      <c r="RQX2494" s="60"/>
      <c r="RQY2494" s="60"/>
      <c r="RQZ2494" s="60"/>
      <c r="RRA2494" s="59"/>
      <c r="RRB2494" s="61"/>
      <c r="RRC2494" s="59"/>
      <c r="RRD2494" s="59"/>
      <c r="RRE2494" s="59"/>
      <c r="RRF2494" s="60"/>
      <c r="RRG2494" s="60"/>
      <c r="RRH2494" s="60"/>
      <c r="RRI2494" s="59"/>
      <c r="RRJ2494" s="61"/>
      <c r="RRK2494" s="59"/>
      <c r="RRL2494" s="59"/>
      <c r="RRM2494" s="59"/>
      <c r="RRN2494" s="60"/>
      <c r="RRO2494" s="60"/>
      <c r="RRP2494" s="60"/>
      <c r="RRQ2494" s="59"/>
      <c r="RRR2494" s="61"/>
      <c r="RRS2494" s="59"/>
      <c r="RRT2494" s="59"/>
      <c r="RRU2494" s="59"/>
      <c r="RRV2494" s="60"/>
      <c r="RRW2494" s="60"/>
      <c r="RRX2494" s="60"/>
      <c r="RRY2494" s="59"/>
      <c r="RRZ2494" s="61"/>
      <c r="RSA2494" s="59"/>
      <c r="RSB2494" s="59"/>
      <c r="RSC2494" s="59"/>
      <c r="RSD2494" s="60"/>
      <c r="RSE2494" s="60"/>
      <c r="RSF2494" s="60"/>
      <c r="RSG2494" s="59"/>
      <c r="RSH2494" s="61"/>
      <c r="RSI2494" s="59"/>
      <c r="RSJ2494" s="59"/>
      <c r="RSK2494" s="59"/>
      <c r="RSL2494" s="60"/>
      <c r="RSM2494" s="60"/>
      <c r="RSN2494" s="60"/>
      <c r="RSO2494" s="59"/>
      <c r="RSP2494" s="61"/>
      <c r="RSQ2494" s="59"/>
      <c r="RSR2494" s="59"/>
      <c r="RSS2494" s="59"/>
      <c r="RST2494" s="60"/>
      <c r="RSU2494" s="60"/>
      <c r="RSV2494" s="60"/>
      <c r="RSW2494" s="59"/>
      <c r="RSX2494" s="61"/>
      <c r="RSY2494" s="59"/>
      <c r="RSZ2494" s="59"/>
      <c r="RTA2494" s="59"/>
      <c r="RTB2494" s="60"/>
      <c r="RTC2494" s="60"/>
      <c r="RTD2494" s="60"/>
      <c r="RTE2494" s="59"/>
      <c r="RTF2494" s="61"/>
      <c r="RTG2494" s="59"/>
      <c r="RTH2494" s="59"/>
      <c r="RTI2494" s="59"/>
      <c r="RTJ2494" s="60"/>
      <c r="RTK2494" s="60"/>
      <c r="RTL2494" s="60"/>
      <c r="RTM2494" s="59"/>
      <c r="RTN2494" s="61"/>
      <c r="RTO2494" s="59"/>
      <c r="RTP2494" s="59"/>
      <c r="RTQ2494" s="59"/>
      <c r="RTR2494" s="60"/>
      <c r="RTS2494" s="60"/>
      <c r="RTT2494" s="60"/>
      <c r="RTU2494" s="59"/>
      <c r="RTV2494" s="61"/>
      <c r="RTW2494" s="59"/>
      <c r="RTX2494" s="59"/>
      <c r="RTY2494" s="59"/>
      <c r="RTZ2494" s="60"/>
      <c r="RUA2494" s="60"/>
      <c r="RUB2494" s="60"/>
      <c r="RUC2494" s="59"/>
      <c r="RUD2494" s="61"/>
      <c r="RUE2494" s="59"/>
      <c r="RUF2494" s="59"/>
      <c r="RUG2494" s="59"/>
      <c r="RUH2494" s="60"/>
      <c r="RUI2494" s="60"/>
      <c r="RUJ2494" s="60"/>
      <c r="RUK2494" s="59"/>
      <c r="RUL2494" s="61"/>
      <c r="RUM2494" s="59"/>
      <c r="RUN2494" s="59"/>
      <c r="RUO2494" s="59"/>
      <c r="RUP2494" s="60"/>
      <c r="RUQ2494" s="60"/>
      <c r="RUR2494" s="60"/>
      <c r="RUS2494" s="59"/>
      <c r="RUT2494" s="61"/>
      <c r="RUU2494" s="59"/>
      <c r="RUV2494" s="59"/>
      <c r="RUW2494" s="59"/>
      <c r="RUX2494" s="60"/>
      <c r="RUY2494" s="60"/>
      <c r="RUZ2494" s="60"/>
      <c r="RVA2494" s="59"/>
      <c r="RVB2494" s="61"/>
      <c r="RVC2494" s="59"/>
      <c r="RVD2494" s="59"/>
      <c r="RVE2494" s="59"/>
      <c r="RVF2494" s="60"/>
      <c r="RVG2494" s="60"/>
      <c r="RVH2494" s="60"/>
      <c r="RVI2494" s="59"/>
      <c r="RVJ2494" s="61"/>
      <c r="RVK2494" s="59"/>
      <c r="RVL2494" s="59"/>
      <c r="RVM2494" s="59"/>
      <c r="RVN2494" s="60"/>
      <c r="RVO2494" s="60"/>
      <c r="RVP2494" s="60"/>
      <c r="RVQ2494" s="59"/>
      <c r="RVR2494" s="61"/>
      <c r="RVS2494" s="59"/>
      <c r="RVT2494" s="59"/>
      <c r="RVU2494" s="59"/>
      <c r="RVV2494" s="60"/>
      <c r="RVW2494" s="60"/>
      <c r="RVX2494" s="60"/>
      <c r="RVY2494" s="59"/>
      <c r="RVZ2494" s="61"/>
      <c r="RWA2494" s="59"/>
      <c r="RWB2494" s="59"/>
      <c r="RWC2494" s="59"/>
      <c r="RWD2494" s="60"/>
      <c r="RWE2494" s="60"/>
      <c r="RWF2494" s="60"/>
      <c r="RWG2494" s="59"/>
      <c r="RWH2494" s="61"/>
      <c r="RWI2494" s="59"/>
      <c r="RWJ2494" s="59"/>
      <c r="RWK2494" s="59"/>
      <c r="RWL2494" s="60"/>
      <c r="RWM2494" s="60"/>
      <c r="RWN2494" s="60"/>
      <c r="RWO2494" s="59"/>
      <c r="RWP2494" s="61"/>
      <c r="RWQ2494" s="59"/>
      <c r="RWR2494" s="59"/>
      <c r="RWS2494" s="59"/>
      <c r="RWT2494" s="60"/>
      <c r="RWU2494" s="60"/>
      <c r="RWV2494" s="60"/>
      <c r="RWW2494" s="59"/>
      <c r="RWX2494" s="61"/>
      <c r="RWY2494" s="59"/>
      <c r="RWZ2494" s="59"/>
      <c r="RXA2494" s="59"/>
      <c r="RXB2494" s="60"/>
      <c r="RXC2494" s="60"/>
      <c r="RXD2494" s="60"/>
      <c r="RXE2494" s="59"/>
      <c r="RXF2494" s="61"/>
      <c r="RXG2494" s="59"/>
      <c r="RXH2494" s="59"/>
      <c r="RXI2494" s="59"/>
      <c r="RXJ2494" s="60"/>
      <c r="RXK2494" s="60"/>
      <c r="RXL2494" s="60"/>
      <c r="RXM2494" s="59"/>
      <c r="RXN2494" s="61"/>
      <c r="RXO2494" s="59"/>
      <c r="RXP2494" s="59"/>
      <c r="RXQ2494" s="59"/>
      <c r="RXR2494" s="60"/>
      <c r="RXS2494" s="60"/>
      <c r="RXT2494" s="60"/>
      <c r="RXU2494" s="59"/>
      <c r="RXV2494" s="61"/>
      <c r="RXW2494" s="59"/>
      <c r="RXX2494" s="59"/>
      <c r="RXY2494" s="59"/>
      <c r="RXZ2494" s="60"/>
      <c r="RYA2494" s="60"/>
      <c r="RYB2494" s="60"/>
      <c r="RYC2494" s="59"/>
      <c r="RYD2494" s="61"/>
      <c r="RYE2494" s="59"/>
      <c r="RYF2494" s="59"/>
      <c r="RYG2494" s="59"/>
      <c r="RYH2494" s="60"/>
      <c r="RYI2494" s="60"/>
      <c r="RYJ2494" s="60"/>
      <c r="RYK2494" s="59"/>
      <c r="RYL2494" s="61"/>
      <c r="RYM2494" s="59"/>
      <c r="RYN2494" s="59"/>
      <c r="RYO2494" s="59"/>
      <c r="RYP2494" s="60"/>
      <c r="RYQ2494" s="60"/>
      <c r="RYR2494" s="60"/>
      <c r="RYS2494" s="59"/>
      <c r="RYT2494" s="61"/>
      <c r="RYU2494" s="59"/>
      <c r="RYV2494" s="59"/>
      <c r="RYW2494" s="59"/>
      <c r="RYX2494" s="60"/>
      <c r="RYY2494" s="60"/>
      <c r="RYZ2494" s="60"/>
      <c r="RZA2494" s="59"/>
      <c r="RZB2494" s="61"/>
      <c r="RZC2494" s="59"/>
      <c r="RZD2494" s="59"/>
      <c r="RZE2494" s="59"/>
      <c r="RZF2494" s="60"/>
      <c r="RZG2494" s="60"/>
      <c r="RZH2494" s="60"/>
      <c r="RZI2494" s="59"/>
      <c r="RZJ2494" s="61"/>
      <c r="RZK2494" s="59"/>
      <c r="RZL2494" s="59"/>
      <c r="RZM2494" s="59"/>
      <c r="RZN2494" s="60"/>
      <c r="RZO2494" s="60"/>
      <c r="RZP2494" s="60"/>
      <c r="RZQ2494" s="59"/>
      <c r="RZR2494" s="61"/>
      <c r="RZS2494" s="59"/>
      <c r="RZT2494" s="59"/>
      <c r="RZU2494" s="59"/>
      <c r="RZV2494" s="60"/>
      <c r="RZW2494" s="60"/>
      <c r="RZX2494" s="60"/>
      <c r="RZY2494" s="59"/>
      <c r="RZZ2494" s="61"/>
      <c r="SAA2494" s="59"/>
      <c r="SAB2494" s="59"/>
      <c r="SAC2494" s="59"/>
      <c r="SAD2494" s="60"/>
      <c r="SAE2494" s="60"/>
      <c r="SAF2494" s="60"/>
      <c r="SAG2494" s="59"/>
      <c r="SAH2494" s="61"/>
      <c r="SAI2494" s="59"/>
      <c r="SAJ2494" s="59"/>
      <c r="SAK2494" s="59"/>
      <c r="SAL2494" s="60"/>
      <c r="SAM2494" s="60"/>
      <c r="SAN2494" s="60"/>
      <c r="SAO2494" s="59"/>
      <c r="SAP2494" s="61"/>
      <c r="SAQ2494" s="59"/>
      <c r="SAR2494" s="59"/>
      <c r="SAS2494" s="59"/>
      <c r="SAT2494" s="60"/>
      <c r="SAU2494" s="60"/>
      <c r="SAV2494" s="60"/>
      <c r="SAW2494" s="59"/>
      <c r="SAX2494" s="61"/>
      <c r="SAY2494" s="59"/>
      <c r="SAZ2494" s="59"/>
      <c r="SBA2494" s="59"/>
      <c r="SBB2494" s="60"/>
      <c r="SBC2494" s="60"/>
      <c r="SBD2494" s="60"/>
      <c r="SBE2494" s="59"/>
      <c r="SBF2494" s="61"/>
      <c r="SBG2494" s="59"/>
      <c r="SBH2494" s="59"/>
      <c r="SBI2494" s="59"/>
      <c r="SBJ2494" s="60"/>
      <c r="SBK2494" s="60"/>
      <c r="SBL2494" s="60"/>
      <c r="SBM2494" s="59"/>
      <c r="SBN2494" s="61"/>
      <c r="SBO2494" s="59"/>
      <c r="SBP2494" s="59"/>
      <c r="SBQ2494" s="59"/>
      <c r="SBR2494" s="60"/>
      <c r="SBS2494" s="60"/>
      <c r="SBT2494" s="60"/>
      <c r="SBU2494" s="59"/>
      <c r="SBV2494" s="61"/>
      <c r="SBW2494" s="59"/>
      <c r="SBX2494" s="59"/>
      <c r="SBY2494" s="59"/>
      <c r="SBZ2494" s="60"/>
      <c r="SCA2494" s="60"/>
      <c r="SCB2494" s="60"/>
      <c r="SCC2494" s="59"/>
      <c r="SCD2494" s="61"/>
      <c r="SCE2494" s="59"/>
      <c r="SCF2494" s="59"/>
      <c r="SCG2494" s="59"/>
      <c r="SCH2494" s="60"/>
      <c r="SCI2494" s="60"/>
      <c r="SCJ2494" s="60"/>
      <c r="SCK2494" s="59"/>
      <c r="SCL2494" s="61"/>
      <c r="SCM2494" s="59"/>
      <c r="SCN2494" s="59"/>
      <c r="SCO2494" s="59"/>
      <c r="SCP2494" s="60"/>
      <c r="SCQ2494" s="60"/>
      <c r="SCR2494" s="60"/>
      <c r="SCS2494" s="59"/>
      <c r="SCT2494" s="61"/>
      <c r="SCU2494" s="59"/>
      <c r="SCV2494" s="59"/>
      <c r="SCW2494" s="59"/>
      <c r="SCX2494" s="60"/>
      <c r="SCY2494" s="60"/>
      <c r="SCZ2494" s="60"/>
      <c r="SDA2494" s="59"/>
      <c r="SDB2494" s="61"/>
      <c r="SDC2494" s="59"/>
      <c r="SDD2494" s="59"/>
      <c r="SDE2494" s="59"/>
      <c r="SDF2494" s="60"/>
      <c r="SDG2494" s="60"/>
      <c r="SDH2494" s="60"/>
      <c r="SDI2494" s="59"/>
      <c r="SDJ2494" s="61"/>
      <c r="SDK2494" s="59"/>
      <c r="SDL2494" s="59"/>
      <c r="SDM2494" s="59"/>
      <c r="SDN2494" s="60"/>
      <c r="SDO2494" s="60"/>
      <c r="SDP2494" s="60"/>
      <c r="SDQ2494" s="59"/>
      <c r="SDR2494" s="61"/>
      <c r="SDS2494" s="59"/>
      <c r="SDT2494" s="59"/>
      <c r="SDU2494" s="59"/>
      <c r="SDV2494" s="60"/>
      <c r="SDW2494" s="60"/>
      <c r="SDX2494" s="60"/>
      <c r="SDY2494" s="59"/>
      <c r="SDZ2494" s="61"/>
      <c r="SEA2494" s="59"/>
      <c r="SEB2494" s="59"/>
      <c r="SEC2494" s="59"/>
      <c r="SED2494" s="60"/>
      <c r="SEE2494" s="60"/>
      <c r="SEF2494" s="60"/>
      <c r="SEG2494" s="59"/>
      <c r="SEH2494" s="61"/>
      <c r="SEI2494" s="59"/>
      <c r="SEJ2494" s="59"/>
      <c r="SEK2494" s="59"/>
      <c r="SEL2494" s="60"/>
      <c r="SEM2494" s="60"/>
      <c r="SEN2494" s="60"/>
      <c r="SEO2494" s="59"/>
      <c r="SEP2494" s="61"/>
      <c r="SEQ2494" s="59"/>
      <c r="SER2494" s="59"/>
      <c r="SES2494" s="59"/>
      <c r="SET2494" s="60"/>
      <c r="SEU2494" s="60"/>
      <c r="SEV2494" s="60"/>
      <c r="SEW2494" s="59"/>
      <c r="SEX2494" s="61"/>
      <c r="SEY2494" s="59"/>
      <c r="SEZ2494" s="59"/>
      <c r="SFA2494" s="59"/>
      <c r="SFB2494" s="60"/>
      <c r="SFC2494" s="60"/>
      <c r="SFD2494" s="60"/>
      <c r="SFE2494" s="59"/>
      <c r="SFF2494" s="61"/>
      <c r="SFG2494" s="59"/>
      <c r="SFH2494" s="59"/>
      <c r="SFI2494" s="59"/>
      <c r="SFJ2494" s="60"/>
      <c r="SFK2494" s="60"/>
      <c r="SFL2494" s="60"/>
      <c r="SFM2494" s="59"/>
      <c r="SFN2494" s="61"/>
      <c r="SFO2494" s="59"/>
      <c r="SFP2494" s="59"/>
      <c r="SFQ2494" s="59"/>
      <c r="SFR2494" s="60"/>
      <c r="SFS2494" s="60"/>
      <c r="SFT2494" s="60"/>
      <c r="SFU2494" s="59"/>
      <c r="SFV2494" s="61"/>
      <c r="SFW2494" s="59"/>
      <c r="SFX2494" s="59"/>
      <c r="SFY2494" s="59"/>
      <c r="SFZ2494" s="60"/>
      <c r="SGA2494" s="60"/>
      <c r="SGB2494" s="60"/>
      <c r="SGC2494" s="59"/>
      <c r="SGD2494" s="61"/>
      <c r="SGE2494" s="59"/>
      <c r="SGF2494" s="59"/>
      <c r="SGG2494" s="59"/>
      <c r="SGH2494" s="60"/>
      <c r="SGI2494" s="60"/>
      <c r="SGJ2494" s="60"/>
      <c r="SGK2494" s="59"/>
      <c r="SGL2494" s="61"/>
      <c r="SGM2494" s="59"/>
      <c r="SGN2494" s="59"/>
      <c r="SGO2494" s="59"/>
      <c r="SGP2494" s="60"/>
      <c r="SGQ2494" s="60"/>
      <c r="SGR2494" s="60"/>
      <c r="SGS2494" s="59"/>
      <c r="SGT2494" s="61"/>
      <c r="SGU2494" s="59"/>
      <c r="SGV2494" s="59"/>
      <c r="SGW2494" s="59"/>
      <c r="SGX2494" s="60"/>
      <c r="SGY2494" s="60"/>
      <c r="SGZ2494" s="60"/>
      <c r="SHA2494" s="59"/>
      <c r="SHB2494" s="61"/>
      <c r="SHC2494" s="59"/>
      <c r="SHD2494" s="59"/>
      <c r="SHE2494" s="59"/>
      <c r="SHF2494" s="60"/>
      <c r="SHG2494" s="60"/>
      <c r="SHH2494" s="60"/>
      <c r="SHI2494" s="59"/>
      <c r="SHJ2494" s="61"/>
      <c r="SHK2494" s="59"/>
      <c r="SHL2494" s="59"/>
      <c r="SHM2494" s="59"/>
      <c r="SHN2494" s="60"/>
      <c r="SHO2494" s="60"/>
      <c r="SHP2494" s="60"/>
      <c r="SHQ2494" s="59"/>
      <c r="SHR2494" s="61"/>
      <c r="SHS2494" s="59"/>
      <c r="SHT2494" s="59"/>
      <c r="SHU2494" s="59"/>
      <c r="SHV2494" s="60"/>
      <c r="SHW2494" s="60"/>
      <c r="SHX2494" s="60"/>
      <c r="SHY2494" s="59"/>
      <c r="SHZ2494" s="61"/>
      <c r="SIA2494" s="59"/>
      <c r="SIB2494" s="59"/>
      <c r="SIC2494" s="59"/>
      <c r="SID2494" s="60"/>
      <c r="SIE2494" s="60"/>
      <c r="SIF2494" s="60"/>
      <c r="SIG2494" s="59"/>
      <c r="SIH2494" s="61"/>
      <c r="SII2494" s="59"/>
      <c r="SIJ2494" s="59"/>
      <c r="SIK2494" s="59"/>
      <c r="SIL2494" s="60"/>
      <c r="SIM2494" s="60"/>
      <c r="SIN2494" s="60"/>
      <c r="SIO2494" s="59"/>
      <c r="SIP2494" s="61"/>
      <c r="SIQ2494" s="59"/>
      <c r="SIR2494" s="59"/>
      <c r="SIS2494" s="59"/>
      <c r="SIT2494" s="60"/>
      <c r="SIU2494" s="60"/>
      <c r="SIV2494" s="60"/>
      <c r="SIW2494" s="59"/>
      <c r="SIX2494" s="61"/>
      <c r="SIY2494" s="59"/>
      <c r="SIZ2494" s="59"/>
      <c r="SJA2494" s="59"/>
      <c r="SJB2494" s="60"/>
      <c r="SJC2494" s="60"/>
      <c r="SJD2494" s="60"/>
      <c r="SJE2494" s="59"/>
      <c r="SJF2494" s="61"/>
      <c r="SJG2494" s="59"/>
      <c r="SJH2494" s="59"/>
      <c r="SJI2494" s="59"/>
      <c r="SJJ2494" s="60"/>
      <c r="SJK2494" s="60"/>
      <c r="SJL2494" s="60"/>
      <c r="SJM2494" s="59"/>
      <c r="SJN2494" s="61"/>
      <c r="SJO2494" s="59"/>
      <c r="SJP2494" s="59"/>
      <c r="SJQ2494" s="59"/>
      <c r="SJR2494" s="60"/>
      <c r="SJS2494" s="60"/>
      <c r="SJT2494" s="60"/>
      <c r="SJU2494" s="59"/>
      <c r="SJV2494" s="61"/>
      <c r="SJW2494" s="59"/>
      <c r="SJX2494" s="59"/>
      <c r="SJY2494" s="59"/>
      <c r="SJZ2494" s="60"/>
      <c r="SKA2494" s="60"/>
      <c r="SKB2494" s="60"/>
      <c r="SKC2494" s="59"/>
      <c r="SKD2494" s="61"/>
      <c r="SKE2494" s="59"/>
      <c r="SKF2494" s="59"/>
      <c r="SKG2494" s="59"/>
      <c r="SKH2494" s="60"/>
      <c r="SKI2494" s="60"/>
      <c r="SKJ2494" s="60"/>
      <c r="SKK2494" s="59"/>
      <c r="SKL2494" s="61"/>
      <c r="SKM2494" s="59"/>
      <c r="SKN2494" s="59"/>
      <c r="SKO2494" s="59"/>
      <c r="SKP2494" s="60"/>
      <c r="SKQ2494" s="60"/>
      <c r="SKR2494" s="60"/>
      <c r="SKS2494" s="59"/>
      <c r="SKT2494" s="61"/>
      <c r="SKU2494" s="59"/>
      <c r="SKV2494" s="59"/>
      <c r="SKW2494" s="59"/>
      <c r="SKX2494" s="60"/>
      <c r="SKY2494" s="60"/>
      <c r="SKZ2494" s="60"/>
      <c r="SLA2494" s="59"/>
      <c r="SLB2494" s="61"/>
      <c r="SLC2494" s="59"/>
      <c r="SLD2494" s="59"/>
      <c r="SLE2494" s="59"/>
      <c r="SLF2494" s="60"/>
      <c r="SLG2494" s="60"/>
      <c r="SLH2494" s="60"/>
      <c r="SLI2494" s="59"/>
      <c r="SLJ2494" s="61"/>
      <c r="SLK2494" s="59"/>
      <c r="SLL2494" s="59"/>
      <c r="SLM2494" s="59"/>
      <c r="SLN2494" s="60"/>
      <c r="SLO2494" s="60"/>
      <c r="SLP2494" s="60"/>
      <c r="SLQ2494" s="59"/>
      <c r="SLR2494" s="61"/>
      <c r="SLS2494" s="59"/>
      <c r="SLT2494" s="59"/>
      <c r="SLU2494" s="59"/>
      <c r="SLV2494" s="60"/>
      <c r="SLW2494" s="60"/>
      <c r="SLX2494" s="60"/>
      <c r="SLY2494" s="59"/>
      <c r="SLZ2494" s="61"/>
      <c r="SMA2494" s="59"/>
      <c r="SMB2494" s="59"/>
      <c r="SMC2494" s="59"/>
      <c r="SMD2494" s="60"/>
      <c r="SME2494" s="60"/>
      <c r="SMF2494" s="60"/>
      <c r="SMG2494" s="59"/>
      <c r="SMH2494" s="61"/>
      <c r="SMI2494" s="59"/>
      <c r="SMJ2494" s="59"/>
      <c r="SMK2494" s="59"/>
      <c r="SML2494" s="60"/>
      <c r="SMM2494" s="60"/>
      <c r="SMN2494" s="60"/>
      <c r="SMO2494" s="59"/>
      <c r="SMP2494" s="61"/>
      <c r="SMQ2494" s="59"/>
      <c r="SMR2494" s="59"/>
      <c r="SMS2494" s="59"/>
      <c r="SMT2494" s="60"/>
      <c r="SMU2494" s="60"/>
      <c r="SMV2494" s="60"/>
      <c r="SMW2494" s="59"/>
      <c r="SMX2494" s="61"/>
      <c r="SMY2494" s="59"/>
      <c r="SMZ2494" s="59"/>
      <c r="SNA2494" s="59"/>
      <c r="SNB2494" s="60"/>
      <c r="SNC2494" s="60"/>
      <c r="SND2494" s="60"/>
      <c r="SNE2494" s="59"/>
      <c r="SNF2494" s="61"/>
      <c r="SNG2494" s="59"/>
      <c r="SNH2494" s="59"/>
      <c r="SNI2494" s="59"/>
      <c r="SNJ2494" s="60"/>
      <c r="SNK2494" s="60"/>
      <c r="SNL2494" s="60"/>
      <c r="SNM2494" s="59"/>
      <c r="SNN2494" s="61"/>
      <c r="SNO2494" s="59"/>
      <c r="SNP2494" s="59"/>
      <c r="SNQ2494" s="59"/>
      <c r="SNR2494" s="60"/>
      <c r="SNS2494" s="60"/>
      <c r="SNT2494" s="60"/>
      <c r="SNU2494" s="59"/>
      <c r="SNV2494" s="61"/>
      <c r="SNW2494" s="59"/>
      <c r="SNX2494" s="59"/>
      <c r="SNY2494" s="59"/>
      <c r="SNZ2494" s="60"/>
      <c r="SOA2494" s="60"/>
      <c r="SOB2494" s="60"/>
      <c r="SOC2494" s="59"/>
      <c r="SOD2494" s="61"/>
      <c r="SOE2494" s="59"/>
      <c r="SOF2494" s="59"/>
      <c r="SOG2494" s="59"/>
      <c r="SOH2494" s="60"/>
      <c r="SOI2494" s="60"/>
      <c r="SOJ2494" s="60"/>
      <c r="SOK2494" s="59"/>
      <c r="SOL2494" s="61"/>
      <c r="SOM2494" s="59"/>
      <c r="SON2494" s="59"/>
      <c r="SOO2494" s="59"/>
      <c r="SOP2494" s="60"/>
      <c r="SOQ2494" s="60"/>
      <c r="SOR2494" s="60"/>
      <c r="SOS2494" s="59"/>
      <c r="SOT2494" s="61"/>
      <c r="SOU2494" s="59"/>
      <c r="SOV2494" s="59"/>
      <c r="SOW2494" s="59"/>
      <c r="SOX2494" s="60"/>
      <c r="SOY2494" s="60"/>
      <c r="SOZ2494" s="60"/>
      <c r="SPA2494" s="59"/>
      <c r="SPB2494" s="61"/>
      <c r="SPC2494" s="59"/>
      <c r="SPD2494" s="59"/>
      <c r="SPE2494" s="59"/>
      <c r="SPF2494" s="60"/>
      <c r="SPG2494" s="60"/>
      <c r="SPH2494" s="60"/>
      <c r="SPI2494" s="59"/>
      <c r="SPJ2494" s="61"/>
      <c r="SPK2494" s="59"/>
      <c r="SPL2494" s="59"/>
      <c r="SPM2494" s="59"/>
      <c r="SPN2494" s="60"/>
      <c r="SPO2494" s="60"/>
      <c r="SPP2494" s="60"/>
      <c r="SPQ2494" s="59"/>
      <c r="SPR2494" s="61"/>
      <c r="SPS2494" s="59"/>
      <c r="SPT2494" s="59"/>
      <c r="SPU2494" s="59"/>
      <c r="SPV2494" s="60"/>
      <c r="SPW2494" s="60"/>
      <c r="SPX2494" s="60"/>
      <c r="SPY2494" s="59"/>
      <c r="SPZ2494" s="61"/>
      <c r="SQA2494" s="59"/>
      <c r="SQB2494" s="59"/>
      <c r="SQC2494" s="59"/>
      <c r="SQD2494" s="60"/>
      <c r="SQE2494" s="60"/>
      <c r="SQF2494" s="60"/>
      <c r="SQG2494" s="59"/>
      <c r="SQH2494" s="61"/>
      <c r="SQI2494" s="59"/>
      <c r="SQJ2494" s="59"/>
      <c r="SQK2494" s="59"/>
      <c r="SQL2494" s="60"/>
      <c r="SQM2494" s="60"/>
      <c r="SQN2494" s="60"/>
      <c r="SQO2494" s="59"/>
      <c r="SQP2494" s="61"/>
      <c r="SQQ2494" s="59"/>
      <c r="SQR2494" s="59"/>
      <c r="SQS2494" s="59"/>
      <c r="SQT2494" s="60"/>
      <c r="SQU2494" s="60"/>
      <c r="SQV2494" s="60"/>
      <c r="SQW2494" s="59"/>
      <c r="SQX2494" s="61"/>
      <c r="SQY2494" s="59"/>
      <c r="SQZ2494" s="59"/>
      <c r="SRA2494" s="59"/>
      <c r="SRB2494" s="60"/>
      <c r="SRC2494" s="60"/>
      <c r="SRD2494" s="60"/>
      <c r="SRE2494" s="59"/>
      <c r="SRF2494" s="61"/>
      <c r="SRG2494" s="59"/>
      <c r="SRH2494" s="59"/>
      <c r="SRI2494" s="59"/>
      <c r="SRJ2494" s="60"/>
      <c r="SRK2494" s="60"/>
      <c r="SRL2494" s="60"/>
      <c r="SRM2494" s="59"/>
      <c r="SRN2494" s="61"/>
      <c r="SRO2494" s="59"/>
      <c r="SRP2494" s="59"/>
      <c r="SRQ2494" s="59"/>
      <c r="SRR2494" s="60"/>
      <c r="SRS2494" s="60"/>
      <c r="SRT2494" s="60"/>
      <c r="SRU2494" s="59"/>
      <c r="SRV2494" s="61"/>
      <c r="SRW2494" s="59"/>
      <c r="SRX2494" s="59"/>
      <c r="SRY2494" s="59"/>
      <c r="SRZ2494" s="60"/>
      <c r="SSA2494" s="60"/>
      <c r="SSB2494" s="60"/>
      <c r="SSC2494" s="59"/>
      <c r="SSD2494" s="61"/>
      <c r="SSE2494" s="59"/>
      <c r="SSF2494" s="59"/>
      <c r="SSG2494" s="59"/>
      <c r="SSH2494" s="60"/>
      <c r="SSI2494" s="60"/>
      <c r="SSJ2494" s="60"/>
      <c r="SSK2494" s="59"/>
      <c r="SSL2494" s="61"/>
      <c r="SSM2494" s="59"/>
      <c r="SSN2494" s="59"/>
      <c r="SSO2494" s="59"/>
      <c r="SSP2494" s="60"/>
      <c r="SSQ2494" s="60"/>
      <c r="SSR2494" s="60"/>
      <c r="SSS2494" s="59"/>
      <c r="SST2494" s="61"/>
      <c r="SSU2494" s="59"/>
      <c r="SSV2494" s="59"/>
      <c r="SSW2494" s="59"/>
      <c r="SSX2494" s="60"/>
      <c r="SSY2494" s="60"/>
      <c r="SSZ2494" s="60"/>
      <c r="STA2494" s="59"/>
      <c r="STB2494" s="61"/>
      <c r="STC2494" s="59"/>
      <c r="STD2494" s="59"/>
      <c r="STE2494" s="59"/>
      <c r="STF2494" s="60"/>
      <c r="STG2494" s="60"/>
      <c r="STH2494" s="60"/>
      <c r="STI2494" s="59"/>
      <c r="STJ2494" s="61"/>
      <c r="STK2494" s="59"/>
      <c r="STL2494" s="59"/>
      <c r="STM2494" s="59"/>
      <c r="STN2494" s="60"/>
      <c r="STO2494" s="60"/>
      <c r="STP2494" s="60"/>
      <c r="STQ2494" s="59"/>
      <c r="STR2494" s="61"/>
      <c r="STS2494" s="59"/>
      <c r="STT2494" s="59"/>
      <c r="STU2494" s="59"/>
      <c r="STV2494" s="60"/>
      <c r="STW2494" s="60"/>
      <c r="STX2494" s="60"/>
      <c r="STY2494" s="59"/>
      <c r="STZ2494" s="61"/>
      <c r="SUA2494" s="59"/>
      <c r="SUB2494" s="59"/>
      <c r="SUC2494" s="59"/>
      <c r="SUD2494" s="60"/>
      <c r="SUE2494" s="60"/>
      <c r="SUF2494" s="60"/>
      <c r="SUG2494" s="59"/>
      <c r="SUH2494" s="61"/>
      <c r="SUI2494" s="59"/>
      <c r="SUJ2494" s="59"/>
      <c r="SUK2494" s="59"/>
      <c r="SUL2494" s="60"/>
      <c r="SUM2494" s="60"/>
      <c r="SUN2494" s="60"/>
      <c r="SUO2494" s="59"/>
      <c r="SUP2494" s="61"/>
      <c r="SUQ2494" s="59"/>
      <c r="SUR2494" s="59"/>
      <c r="SUS2494" s="59"/>
      <c r="SUT2494" s="60"/>
      <c r="SUU2494" s="60"/>
      <c r="SUV2494" s="60"/>
      <c r="SUW2494" s="59"/>
      <c r="SUX2494" s="61"/>
      <c r="SUY2494" s="59"/>
      <c r="SUZ2494" s="59"/>
      <c r="SVA2494" s="59"/>
      <c r="SVB2494" s="60"/>
      <c r="SVC2494" s="60"/>
      <c r="SVD2494" s="60"/>
      <c r="SVE2494" s="59"/>
      <c r="SVF2494" s="61"/>
      <c r="SVG2494" s="59"/>
      <c r="SVH2494" s="59"/>
      <c r="SVI2494" s="59"/>
      <c r="SVJ2494" s="60"/>
      <c r="SVK2494" s="60"/>
      <c r="SVL2494" s="60"/>
      <c r="SVM2494" s="59"/>
      <c r="SVN2494" s="61"/>
      <c r="SVO2494" s="59"/>
      <c r="SVP2494" s="59"/>
      <c r="SVQ2494" s="59"/>
      <c r="SVR2494" s="60"/>
      <c r="SVS2494" s="60"/>
      <c r="SVT2494" s="60"/>
      <c r="SVU2494" s="59"/>
      <c r="SVV2494" s="61"/>
      <c r="SVW2494" s="59"/>
      <c r="SVX2494" s="59"/>
      <c r="SVY2494" s="59"/>
      <c r="SVZ2494" s="60"/>
      <c r="SWA2494" s="60"/>
      <c r="SWB2494" s="60"/>
      <c r="SWC2494" s="59"/>
      <c r="SWD2494" s="61"/>
      <c r="SWE2494" s="59"/>
      <c r="SWF2494" s="59"/>
      <c r="SWG2494" s="59"/>
      <c r="SWH2494" s="60"/>
      <c r="SWI2494" s="60"/>
      <c r="SWJ2494" s="60"/>
      <c r="SWK2494" s="59"/>
      <c r="SWL2494" s="61"/>
      <c r="SWM2494" s="59"/>
      <c r="SWN2494" s="59"/>
      <c r="SWO2494" s="59"/>
      <c r="SWP2494" s="60"/>
      <c r="SWQ2494" s="60"/>
      <c r="SWR2494" s="60"/>
      <c r="SWS2494" s="59"/>
      <c r="SWT2494" s="61"/>
      <c r="SWU2494" s="59"/>
      <c r="SWV2494" s="59"/>
      <c r="SWW2494" s="59"/>
      <c r="SWX2494" s="60"/>
      <c r="SWY2494" s="60"/>
      <c r="SWZ2494" s="60"/>
      <c r="SXA2494" s="59"/>
      <c r="SXB2494" s="61"/>
      <c r="SXC2494" s="59"/>
      <c r="SXD2494" s="59"/>
      <c r="SXE2494" s="59"/>
      <c r="SXF2494" s="60"/>
      <c r="SXG2494" s="60"/>
      <c r="SXH2494" s="60"/>
      <c r="SXI2494" s="59"/>
      <c r="SXJ2494" s="61"/>
      <c r="SXK2494" s="59"/>
      <c r="SXL2494" s="59"/>
      <c r="SXM2494" s="59"/>
      <c r="SXN2494" s="60"/>
      <c r="SXO2494" s="60"/>
      <c r="SXP2494" s="60"/>
      <c r="SXQ2494" s="59"/>
      <c r="SXR2494" s="61"/>
      <c r="SXS2494" s="59"/>
      <c r="SXT2494" s="59"/>
      <c r="SXU2494" s="59"/>
      <c r="SXV2494" s="60"/>
      <c r="SXW2494" s="60"/>
      <c r="SXX2494" s="60"/>
      <c r="SXY2494" s="59"/>
      <c r="SXZ2494" s="61"/>
      <c r="SYA2494" s="59"/>
      <c r="SYB2494" s="59"/>
      <c r="SYC2494" s="59"/>
      <c r="SYD2494" s="60"/>
      <c r="SYE2494" s="60"/>
      <c r="SYF2494" s="60"/>
      <c r="SYG2494" s="59"/>
      <c r="SYH2494" s="61"/>
      <c r="SYI2494" s="59"/>
      <c r="SYJ2494" s="59"/>
      <c r="SYK2494" s="59"/>
      <c r="SYL2494" s="60"/>
      <c r="SYM2494" s="60"/>
      <c r="SYN2494" s="60"/>
      <c r="SYO2494" s="59"/>
      <c r="SYP2494" s="61"/>
      <c r="SYQ2494" s="59"/>
      <c r="SYR2494" s="59"/>
      <c r="SYS2494" s="59"/>
      <c r="SYT2494" s="60"/>
      <c r="SYU2494" s="60"/>
      <c r="SYV2494" s="60"/>
      <c r="SYW2494" s="59"/>
      <c r="SYX2494" s="61"/>
      <c r="SYY2494" s="59"/>
      <c r="SYZ2494" s="59"/>
      <c r="SZA2494" s="59"/>
      <c r="SZB2494" s="60"/>
      <c r="SZC2494" s="60"/>
      <c r="SZD2494" s="60"/>
      <c r="SZE2494" s="59"/>
      <c r="SZF2494" s="61"/>
      <c r="SZG2494" s="59"/>
      <c r="SZH2494" s="59"/>
      <c r="SZI2494" s="59"/>
      <c r="SZJ2494" s="60"/>
      <c r="SZK2494" s="60"/>
      <c r="SZL2494" s="60"/>
      <c r="SZM2494" s="59"/>
      <c r="SZN2494" s="61"/>
      <c r="SZO2494" s="59"/>
      <c r="SZP2494" s="59"/>
      <c r="SZQ2494" s="59"/>
      <c r="SZR2494" s="60"/>
      <c r="SZS2494" s="60"/>
      <c r="SZT2494" s="60"/>
      <c r="SZU2494" s="59"/>
      <c r="SZV2494" s="61"/>
      <c r="SZW2494" s="59"/>
      <c r="SZX2494" s="59"/>
      <c r="SZY2494" s="59"/>
      <c r="SZZ2494" s="60"/>
      <c r="TAA2494" s="60"/>
      <c r="TAB2494" s="60"/>
      <c r="TAC2494" s="59"/>
      <c r="TAD2494" s="61"/>
      <c r="TAE2494" s="59"/>
      <c r="TAF2494" s="59"/>
      <c r="TAG2494" s="59"/>
      <c r="TAH2494" s="60"/>
      <c r="TAI2494" s="60"/>
      <c r="TAJ2494" s="60"/>
      <c r="TAK2494" s="59"/>
      <c r="TAL2494" s="61"/>
      <c r="TAM2494" s="59"/>
      <c r="TAN2494" s="59"/>
      <c r="TAO2494" s="59"/>
      <c r="TAP2494" s="60"/>
      <c r="TAQ2494" s="60"/>
      <c r="TAR2494" s="60"/>
      <c r="TAS2494" s="59"/>
      <c r="TAT2494" s="61"/>
      <c r="TAU2494" s="59"/>
      <c r="TAV2494" s="59"/>
      <c r="TAW2494" s="59"/>
      <c r="TAX2494" s="60"/>
      <c r="TAY2494" s="60"/>
      <c r="TAZ2494" s="60"/>
      <c r="TBA2494" s="59"/>
      <c r="TBB2494" s="61"/>
      <c r="TBC2494" s="59"/>
      <c r="TBD2494" s="59"/>
      <c r="TBE2494" s="59"/>
      <c r="TBF2494" s="60"/>
      <c r="TBG2494" s="60"/>
      <c r="TBH2494" s="60"/>
      <c r="TBI2494" s="59"/>
      <c r="TBJ2494" s="61"/>
      <c r="TBK2494" s="59"/>
      <c r="TBL2494" s="59"/>
      <c r="TBM2494" s="59"/>
      <c r="TBN2494" s="60"/>
      <c r="TBO2494" s="60"/>
      <c r="TBP2494" s="60"/>
      <c r="TBQ2494" s="59"/>
      <c r="TBR2494" s="61"/>
      <c r="TBS2494" s="59"/>
      <c r="TBT2494" s="59"/>
      <c r="TBU2494" s="59"/>
      <c r="TBV2494" s="60"/>
      <c r="TBW2494" s="60"/>
      <c r="TBX2494" s="60"/>
      <c r="TBY2494" s="59"/>
      <c r="TBZ2494" s="61"/>
      <c r="TCA2494" s="59"/>
      <c r="TCB2494" s="59"/>
      <c r="TCC2494" s="59"/>
      <c r="TCD2494" s="60"/>
      <c r="TCE2494" s="60"/>
      <c r="TCF2494" s="60"/>
      <c r="TCG2494" s="59"/>
      <c r="TCH2494" s="61"/>
      <c r="TCI2494" s="59"/>
      <c r="TCJ2494" s="59"/>
      <c r="TCK2494" s="59"/>
      <c r="TCL2494" s="60"/>
      <c r="TCM2494" s="60"/>
      <c r="TCN2494" s="60"/>
      <c r="TCO2494" s="59"/>
      <c r="TCP2494" s="61"/>
      <c r="TCQ2494" s="59"/>
      <c r="TCR2494" s="59"/>
      <c r="TCS2494" s="59"/>
      <c r="TCT2494" s="60"/>
      <c r="TCU2494" s="60"/>
      <c r="TCV2494" s="60"/>
      <c r="TCW2494" s="59"/>
      <c r="TCX2494" s="61"/>
      <c r="TCY2494" s="59"/>
      <c r="TCZ2494" s="59"/>
      <c r="TDA2494" s="59"/>
      <c r="TDB2494" s="60"/>
      <c r="TDC2494" s="60"/>
      <c r="TDD2494" s="60"/>
      <c r="TDE2494" s="59"/>
      <c r="TDF2494" s="61"/>
      <c r="TDG2494" s="59"/>
      <c r="TDH2494" s="59"/>
      <c r="TDI2494" s="59"/>
      <c r="TDJ2494" s="60"/>
      <c r="TDK2494" s="60"/>
      <c r="TDL2494" s="60"/>
      <c r="TDM2494" s="59"/>
      <c r="TDN2494" s="61"/>
      <c r="TDO2494" s="59"/>
      <c r="TDP2494" s="59"/>
      <c r="TDQ2494" s="59"/>
      <c r="TDR2494" s="60"/>
      <c r="TDS2494" s="60"/>
      <c r="TDT2494" s="60"/>
      <c r="TDU2494" s="59"/>
      <c r="TDV2494" s="61"/>
      <c r="TDW2494" s="59"/>
      <c r="TDX2494" s="59"/>
      <c r="TDY2494" s="59"/>
      <c r="TDZ2494" s="60"/>
      <c r="TEA2494" s="60"/>
      <c r="TEB2494" s="60"/>
      <c r="TEC2494" s="59"/>
      <c r="TED2494" s="61"/>
      <c r="TEE2494" s="59"/>
      <c r="TEF2494" s="59"/>
      <c r="TEG2494" s="59"/>
      <c r="TEH2494" s="60"/>
      <c r="TEI2494" s="60"/>
      <c r="TEJ2494" s="60"/>
      <c r="TEK2494" s="59"/>
      <c r="TEL2494" s="61"/>
      <c r="TEM2494" s="59"/>
      <c r="TEN2494" s="59"/>
      <c r="TEO2494" s="59"/>
      <c r="TEP2494" s="60"/>
      <c r="TEQ2494" s="60"/>
      <c r="TER2494" s="60"/>
      <c r="TES2494" s="59"/>
      <c r="TET2494" s="61"/>
      <c r="TEU2494" s="59"/>
      <c r="TEV2494" s="59"/>
      <c r="TEW2494" s="59"/>
      <c r="TEX2494" s="60"/>
      <c r="TEY2494" s="60"/>
      <c r="TEZ2494" s="60"/>
      <c r="TFA2494" s="59"/>
      <c r="TFB2494" s="61"/>
      <c r="TFC2494" s="59"/>
      <c r="TFD2494" s="59"/>
      <c r="TFE2494" s="59"/>
      <c r="TFF2494" s="60"/>
      <c r="TFG2494" s="60"/>
      <c r="TFH2494" s="60"/>
      <c r="TFI2494" s="59"/>
      <c r="TFJ2494" s="61"/>
      <c r="TFK2494" s="59"/>
      <c r="TFL2494" s="59"/>
      <c r="TFM2494" s="59"/>
      <c r="TFN2494" s="60"/>
      <c r="TFO2494" s="60"/>
      <c r="TFP2494" s="60"/>
      <c r="TFQ2494" s="59"/>
      <c r="TFR2494" s="61"/>
      <c r="TFS2494" s="59"/>
      <c r="TFT2494" s="59"/>
      <c r="TFU2494" s="59"/>
      <c r="TFV2494" s="60"/>
      <c r="TFW2494" s="60"/>
      <c r="TFX2494" s="60"/>
      <c r="TFY2494" s="59"/>
      <c r="TFZ2494" s="61"/>
      <c r="TGA2494" s="59"/>
      <c r="TGB2494" s="59"/>
      <c r="TGC2494" s="59"/>
      <c r="TGD2494" s="60"/>
      <c r="TGE2494" s="60"/>
      <c r="TGF2494" s="60"/>
      <c r="TGG2494" s="59"/>
      <c r="TGH2494" s="61"/>
      <c r="TGI2494" s="59"/>
      <c r="TGJ2494" s="59"/>
      <c r="TGK2494" s="59"/>
      <c r="TGL2494" s="60"/>
      <c r="TGM2494" s="60"/>
      <c r="TGN2494" s="60"/>
      <c r="TGO2494" s="59"/>
      <c r="TGP2494" s="61"/>
      <c r="TGQ2494" s="59"/>
      <c r="TGR2494" s="59"/>
      <c r="TGS2494" s="59"/>
      <c r="TGT2494" s="60"/>
      <c r="TGU2494" s="60"/>
      <c r="TGV2494" s="60"/>
      <c r="TGW2494" s="59"/>
      <c r="TGX2494" s="61"/>
      <c r="TGY2494" s="59"/>
      <c r="TGZ2494" s="59"/>
      <c r="THA2494" s="59"/>
      <c r="THB2494" s="60"/>
      <c r="THC2494" s="60"/>
      <c r="THD2494" s="60"/>
      <c r="THE2494" s="59"/>
      <c r="THF2494" s="61"/>
      <c r="THG2494" s="59"/>
      <c r="THH2494" s="59"/>
      <c r="THI2494" s="59"/>
      <c r="THJ2494" s="60"/>
      <c r="THK2494" s="60"/>
      <c r="THL2494" s="60"/>
      <c r="THM2494" s="59"/>
      <c r="THN2494" s="61"/>
      <c r="THO2494" s="59"/>
      <c r="THP2494" s="59"/>
      <c r="THQ2494" s="59"/>
      <c r="THR2494" s="60"/>
      <c r="THS2494" s="60"/>
      <c r="THT2494" s="60"/>
      <c r="THU2494" s="59"/>
      <c r="THV2494" s="61"/>
      <c r="THW2494" s="59"/>
      <c r="THX2494" s="59"/>
      <c r="THY2494" s="59"/>
      <c r="THZ2494" s="60"/>
      <c r="TIA2494" s="60"/>
      <c r="TIB2494" s="60"/>
      <c r="TIC2494" s="59"/>
      <c r="TID2494" s="61"/>
      <c r="TIE2494" s="59"/>
      <c r="TIF2494" s="59"/>
      <c r="TIG2494" s="59"/>
      <c r="TIH2494" s="60"/>
      <c r="TII2494" s="60"/>
      <c r="TIJ2494" s="60"/>
      <c r="TIK2494" s="59"/>
      <c r="TIL2494" s="61"/>
      <c r="TIM2494" s="59"/>
      <c r="TIN2494" s="59"/>
      <c r="TIO2494" s="59"/>
      <c r="TIP2494" s="60"/>
      <c r="TIQ2494" s="60"/>
      <c r="TIR2494" s="60"/>
      <c r="TIS2494" s="59"/>
      <c r="TIT2494" s="61"/>
      <c r="TIU2494" s="59"/>
      <c r="TIV2494" s="59"/>
      <c r="TIW2494" s="59"/>
      <c r="TIX2494" s="60"/>
      <c r="TIY2494" s="60"/>
      <c r="TIZ2494" s="60"/>
      <c r="TJA2494" s="59"/>
      <c r="TJB2494" s="61"/>
      <c r="TJC2494" s="59"/>
      <c r="TJD2494" s="59"/>
      <c r="TJE2494" s="59"/>
      <c r="TJF2494" s="60"/>
      <c r="TJG2494" s="60"/>
      <c r="TJH2494" s="60"/>
      <c r="TJI2494" s="59"/>
      <c r="TJJ2494" s="61"/>
      <c r="TJK2494" s="59"/>
      <c r="TJL2494" s="59"/>
      <c r="TJM2494" s="59"/>
      <c r="TJN2494" s="60"/>
      <c r="TJO2494" s="60"/>
      <c r="TJP2494" s="60"/>
      <c r="TJQ2494" s="59"/>
      <c r="TJR2494" s="61"/>
      <c r="TJS2494" s="59"/>
      <c r="TJT2494" s="59"/>
      <c r="TJU2494" s="59"/>
      <c r="TJV2494" s="60"/>
      <c r="TJW2494" s="60"/>
      <c r="TJX2494" s="60"/>
      <c r="TJY2494" s="59"/>
      <c r="TJZ2494" s="61"/>
      <c r="TKA2494" s="59"/>
      <c r="TKB2494" s="59"/>
      <c r="TKC2494" s="59"/>
      <c r="TKD2494" s="60"/>
      <c r="TKE2494" s="60"/>
      <c r="TKF2494" s="60"/>
      <c r="TKG2494" s="59"/>
      <c r="TKH2494" s="61"/>
      <c r="TKI2494" s="59"/>
      <c r="TKJ2494" s="59"/>
      <c r="TKK2494" s="59"/>
      <c r="TKL2494" s="60"/>
      <c r="TKM2494" s="60"/>
      <c r="TKN2494" s="60"/>
      <c r="TKO2494" s="59"/>
      <c r="TKP2494" s="61"/>
      <c r="TKQ2494" s="59"/>
      <c r="TKR2494" s="59"/>
      <c r="TKS2494" s="59"/>
      <c r="TKT2494" s="60"/>
      <c r="TKU2494" s="60"/>
      <c r="TKV2494" s="60"/>
      <c r="TKW2494" s="59"/>
      <c r="TKX2494" s="61"/>
      <c r="TKY2494" s="59"/>
      <c r="TKZ2494" s="59"/>
      <c r="TLA2494" s="59"/>
      <c r="TLB2494" s="60"/>
      <c r="TLC2494" s="60"/>
      <c r="TLD2494" s="60"/>
      <c r="TLE2494" s="59"/>
      <c r="TLF2494" s="61"/>
      <c r="TLG2494" s="59"/>
      <c r="TLH2494" s="59"/>
      <c r="TLI2494" s="59"/>
      <c r="TLJ2494" s="60"/>
      <c r="TLK2494" s="60"/>
      <c r="TLL2494" s="60"/>
      <c r="TLM2494" s="59"/>
      <c r="TLN2494" s="61"/>
      <c r="TLO2494" s="59"/>
      <c r="TLP2494" s="59"/>
      <c r="TLQ2494" s="59"/>
      <c r="TLR2494" s="60"/>
      <c r="TLS2494" s="60"/>
      <c r="TLT2494" s="60"/>
      <c r="TLU2494" s="59"/>
      <c r="TLV2494" s="61"/>
      <c r="TLW2494" s="59"/>
      <c r="TLX2494" s="59"/>
      <c r="TLY2494" s="59"/>
      <c r="TLZ2494" s="60"/>
      <c r="TMA2494" s="60"/>
      <c r="TMB2494" s="60"/>
      <c r="TMC2494" s="59"/>
      <c r="TMD2494" s="61"/>
      <c r="TME2494" s="59"/>
      <c r="TMF2494" s="59"/>
      <c r="TMG2494" s="59"/>
      <c r="TMH2494" s="60"/>
      <c r="TMI2494" s="60"/>
      <c r="TMJ2494" s="60"/>
      <c r="TMK2494" s="59"/>
      <c r="TML2494" s="61"/>
      <c r="TMM2494" s="59"/>
      <c r="TMN2494" s="59"/>
      <c r="TMO2494" s="59"/>
      <c r="TMP2494" s="60"/>
      <c r="TMQ2494" s="60"/>
      <c r="TMR2494" s="60"/>
      <c r="TMS2494" s="59"/>
      <c r="TMT2494" s="61"/>
      <c r="TMU2494" s="59"/>
      <c r="TMV2494" s="59"/>
      <c r="TMW2494" s="59"/>
      <c r="TMX2494" s="60"/>
      <c r="TMY2494" s="60"/>
      <c r="TMZ2494" s="60"/>
      <c r="TNA2494" s="59"/>
      <c r="TNB2494" s="61"/>
      <c r="TNC2494" s="59"/>
      <c r="TND2494" s="59"/>
      <c r="TNE2494" s="59"/>
      <c r="TNF2494" s="60"/>
      <c r="TNG2494" s="60"/>
      <c r="TNH2494" s="60"/>
      <c r="TNI2494" s="59"/>
      <c r="TNJ2494" s="61"/>
      <c r="TNK2494" s="59"/>
      <c r="TNL2494" s="59"/>
      <c r="TNM2494" s="59"/>
      <c r="TNN2494" s="60"/>
      <c r="TNO2494" s="60"/>
      <c r="TNP2494" s="60"/>
      <c r="TNQ2494" s="59"/>
      <c r="TNR2494" s="61"/>
      <c r="TNS2494" s="59"/>
      <c r="TNT2494" s="59"/>
      <c r="TNU2494" s="59"/>
      <c r="TNV2494" s="60"/>
      <c r="TNW2494" s="60"/>
      <c r="TNX2494" s="60"/>
      <c r="TNY2494" s="59"/>
      <c r="TNZ2494" s="61"/>
      <c r="TOA2494" s="59"/>
      <c r="TOB2494" s="59"/>
      <c r="TOC2494" s="59"/>
      <c r="TOD2494" s="60"/>
      <c r="TOE2494" s="60"/>
      <c r="TOF2494" s="60"/>
      <c r="TOG2494" s="59"/>
      <c r="TOH2494" s="61"/>
      <c r="TOI2494" s="59"/>
      <c r="TOJ2494" s="59"/>
      <c r="TOK2494" s="59"/>
      <c r="TOL2494" s="60"/>
      <c r="TOM2494" s="60"/>
      <c r="TON2494" s="60"/>
      <c r="TOO2494" s="59"/>
      <c r="TOP2494" s="61"/>
      <c r="TOQ2494" s="59"/>
      <c r="TOR2494" s="59"/>
      <c r="TOS2494" s="59"/>
      <c r="TOT2494" s="60"/>
      <c r="TOU2494" s="60"/>
      <c r="TOV2494" s="60"/>
      <c r="TOW2494" s="59"/>
      <c r="TOX2494" s="61"/>
      <c r="TOY2494" s="59"/>
      <c r="TOZ2494" s="59"/>
      <c r="TPA2494" s="59"/>
      <c r="TPB2494" s="60"/>
      <c r="TPC2494" s="60"/>
      <c r="TPD2494" s="60"/>
      <c r="TPE2494" s="59"/>
      <c r="TPF2494" s="61"/>
      <c r="TPG2494" s="59"/>
      <c r="TPH2494" s="59"/>
      <c r="TPI2494" s="59"/>
      <c r="TPJ2494" s="60"/>
      <c r="TPK2494" s="60"/>
      <c r="TPL2494" s="60"/>
      <c r="TPM2494" s="59"/>
      <c r="TPN2494" s="61"/>
      <c r="TPO2494" s="59"/>
      <c r="TPP2494" s="59"/>
      <c r="TPQ2494" s="59"/>
      <c r="TPR2494" s="60"/>
      <c r="TPS2494" s="60"/>
      <c r="TPT2494" s="60"/>
      <c r="TPU2494" s="59"/>
      <c r="TPV2494" s="61"/>
      <c r="TPW2494" s="59"/>
      <c r="TPX2494" s="59"/>
      <c r="TPY2494" s="59"/>
      <c r="TPZ2494" s="60"/>
      <c r="TQA2494" s="60"/>
      <c r="TQB2494" s="60"/>
      <c r="TQC2494" s="59"/>
      <c r="TQD2494" s="61"/>
      <c r="TQE2494" s="59"/>
      <c r="TQF2494" s="59"/>
      <c r="TQG2494" s="59"/>
      <c r="TQH2494" s="60"/>
      <c r="TQI2494" s="60"/>
      <c r="TQJ2494" s="60"/>
      <c r="TQK2494" s="59"/>
      <c r="TQL2494" s="61"/>
      <c r="TQM2494" s="59"/>
      <c r="TQN2494" s="59"/>
      <c r="TQO2494" s="59"/>
      <c r="TQP2494" s="60"/>
      <c r="TQQ2494" s="60"/>
      <c r="TQR2494" s="60"/>
      <c r="TQS2494" s="59"/>
      <c r="TQT2494" s="61"/>
      <c r="TQU2494" s="59"/>
      <c r="TQV2494" s="59"/>
      <c r="TQW2494" s="59"/>
      <c r="TQX2494" s="60"/>
      <c r="TQY2494" s="60"/>
      <c r="TQZ2494" s="60"/>
      <c r="TRA2494" s="59"/>
      <c r="TRB2494" s="61"/>
      <c r="TRC2494" s="59"/>
      <c r="TRD2494" s="59"/>
      <c r="TRE2494" s="59"/>
      <c r="TRF2494" s="60"/>
      <c r="TRG2494" s="60"/>
      <c r="TRH2494" s="60"/>
      <c r="TRI2494" s="59"/>
      <c r="TRJ2494" s="61"/>
      <c r="TRK2494" s="59"/>
      <c r="TRL2494" s="59"/>
      <c r="TRM2494" s="59"/>
      <c r="TRN2494" s="60"/>
      <c r="TRO2494" s="60"/>
      <c r="TRP2494" s="60"/>
      <c r="TRQ2494" s="59"/>
      <c r="TRR2494" s="61"/>
      <c r="TRS2494" s="59"/>
      <c r="TRT2494" s="59"/>
      <c r="TRU2494" s="59"/>
      <c r="TRV2494" s="60"/>
      <c r="TRW2494" s="60"/>
      <c r="TRX2494" s="60"/>
      <c r="TRY2494" s="59"/>
      <c r="TRZ2494" s="61"/>
      <c r="TSA2494" s="59"/>
      <c r="TSB2494" s="59"/>
      <c r="TSC2494" s="59"/>
      <c r="TSD2494" s="60"/>
      <c r="TSE2494" s="60"/>
      <c r="TSF2494" s="60"/>
      <c r="TSG2494" s="59"/>
      <c r="TSH2494" s="61"/>
      <c r="TSI2494" s="59"/>
      <c r="TSJ2494" s="59"/>
      <c r="TSK2494" s="59"/>
      <c r="TSL2494" s="60"/>
      <c r="TSM2494" s="60"/>
      <c r="TSN2494" s="60"/>
      <c r="TSO2494" s="59"/>
      <c r="TSP2494" s="61"/>
      <c r="TSQ2494" s="59"/>
      <c r="TSR2494" s="59"/>
      <c r="TSS2494" s="59"/>
      <c r="TST2494" s="60"/>
      <c r="TSU2494" s="60"/>
      <c r="TSV2494" s="60"/>
      <c r="TSW2494" s="59"/>
      <c r="TSX2494" s="61"/>
      <c r="TSY2494" s="59"/>
      <c r="TSZ2494" s="59"/>
      <c r="TTA2494" s="59"/>
      <c r="TTB2494" s="60"/>
      <c r="TTC2494" s="60"/>
      <c r="TTD2494" s="60"/>
      <c r="TTE2494" s="59"/>
      <c r="TTF2494" s="61"/>
      <c r="TTG2494" s="59"/>
      <c r="TTH2494" s="59"/>
      <c r="TTI2494" s="59"/>
      <c r="TTJ2494" s="60"/>
      <c r="TTK2494" s="60"/>
      <c r="TTL2494" s="60"/>
      <c r="TTM2494" s="59"/>
      <c r="TTN2494" s="61"/>
      <c r="TTO2494" s="59"/>
      <c r="TTP2494" s="59"/>
      <c r="TTQ2494" s="59"/>
      <c r="TTR2494" s="60"/>
      <c r="TTS2494" s="60"/>
      <c r="TTT2494" s="60"/>
      <c r="TTU2494" s="59"/>
      <c r="TTV2494" s="61"/>
      <c r="TTW2494" s="59"/>
      <c r="TTX2494" s="59"/>
      <c r="TTY2494" s="59"/>
      <c r="TTZ2494" s="60"/>
      <c r="TUA2494" s="60"/>
      <c r="TUB2494" s="60"/>
      <c r="TUC2494" s="59"/>
      <c r="TUD2494" s="61"/>
      <c r="TUE2494" s="59"/>
      <c r="TUF2494" s="59"/>
      <c r="TUG2494" s="59"/>
      <c r="TUH2494" s="60"/>
      <c r="TUI2494" s="60"/>
      <c r="TUJ2494" s="60"/>
      <c r="TUK2494" s="59"/>
      <c r="TUL2494" s="61"/>
      <c r="TUM2494" s="59"/>
      <c r="TUN2494" s="59"/>
      <c r="TUO2494" s="59"/>
      <c r="TUP2494" s="60"/>
      <c r="TUQ2494" s="60"/>
      <c r="TUR2494" s="60"/>
      <c r="TUS2494" s="59"/>
      <c r="TUT2494" s="61"/>
      <c r="TUU2494" s="59"/>
      <c r="TUV2494" s="59"/>
      <c r="TUW2494" s="59"/>
      <c r="TUX2494" s="60"/>
      <c r="TUY2494" s="60"/>
      <c r="TUZ2494" s="60"/>
      <c r="TVA2494" s="59"/>
      <c r="TVB2494" s="61"/>
      <c r="TVC2494" s="59"/>
      <c r="TVD2494" s="59"/>
      <c r="TVE2494" s="59"/>
      <c r="TVF2494" s="60"/>
      <c r="TVG2494" s="60"/>
      <c r="TVH2494" s="60"/>
      <c r="TVI2494" s="59"/>
      <c r="TVJ2494" s="61"/>
      <c r="TVK2494" s="59"/>
      <c r="TVL2494" s="59"/>
      <c r="TVM2494" s="59"/>
      <c r="TVN2494" s="60"/>
      <c r="TVO2494" s="60"/>
      <c r="TVP2494" s="60"/>
      <c r="TVQ2494" s="59"/>
      <c r="TVR2494" s="61"/>
      <c r="TVS2494" s="59"/>
      <c r="TVT2494" s="59"/>
      <c r="TVU2494" s="59"/>
      <c r="TVV2494" s="60"/>
      <c r="TVW2494" s="60"/>
      <c r="TVX2494" s="60"/>
      <c r="TVY2494" s="59"/>
      <c r="TVZ2494" s="61"/>
      <c r="TWA2494" s="59"/>
      <c r="TWB2494" s="59"/>
      <c r="TWC2494" s="59"/>
      <c r="TWD2494" s="60"/>
      <c r="TWE2494" s="60"/>
      <c r="TWF2494" s="60"/>
      <c r="TWG2494" s="59"/>
      <c r="TWH2494" s="61"/>
      <c r="TWI2494" s="59"/>
      <c r="TWJ2494" s="59"/>
      <c r="TWK2494" s="59"/>
      <c r="TWL2494" s="60"/>
      <c r="TWM2494" s="60"/>
      <c r="TWN2494" s="60"/>
      <c r="TWO2494" s="59"/>
      <c r="TWP2494" s="61"/>
      <c r="TWQ2494" s="59"/>
      <c r="TWR2494" s="59"/>
      <c r="TWS2494" s="59"/>
      <c r="TWT2494" s="60"/>
      <c r="TWU2494" s="60"/>
      <c r="TWV2494" s="60"/>
      <c r="TWW2494" s="59"/>
      <c r="TWX2494" s="61"/>
      <c r="TWY2494" s="59"/>
      <c r="TWZ2494" s="59"/>
      <c r="TXA2494" s="59"/>
      <c r="TXB2494" s="60"/>
      <c r="TXC2494" s="60"/>
      <c r="TXD2494" s="60"/>
      <c r="TXE2494" s="59"/>
      <c r="TXF2494" s="61"/>
      <c r="TXG2494" s="59"/>
      <c r="TXH2494" s="59"/>
      <c r="TXI2494" s="59"/>
      <c r="TXJ2494" s="60"/>
      <c r="TXK2494" s="60"/>
      <c r="TXL2494" s="60"/>
      <c r="TXM2494" s="59"/>
      <c r="TXN2494" s="61"/>
      <c r="TXO2494" s="59"/>
      <c r="TXP2494" s="59"/>
      <c r="TXQ2494" s="59"/>
      <c r="TXR2494" s="60"/>
      <c r="TXS2494" s="60"/>
      <c r="TXT2494" s="60"/>
      <c r="TXU2494" s="59"/>
      <c r="TXV2494" s="61"/>
      <c r="TXW2494" s="59"/>
      <c r="TXX2494" s="59"/>
      <c r="TXY2494" s="59"/>
      <c r="TXZ2494" s="60"/>
      <c r="TYA2494" s="60"/>
      <c r="TYB2494" s="60"/>
      <c r="TYC2494" s="59"/>
      <c r="TYD2494" s="61"/>
      <c r="TYE2494" s="59"/>
      <c r="TYF2494" s="59"/>
      <c r="TYG2494" s="59"/>
      <c r="TYH2494" s="60"/>
      <c r="TYI2494" s="60"/>
      <c r="TYJ2494" s="60"/>
      <c r="TYK2494" s="59"/>
      <c r="TYL2494" s="61"/>
      <c r="TYM2494" s="59"/>
      <c r="TYN2494" s="59"/>
      <c r="TYO2494" s="59"/>
      <c r="TYP2494" s="60"/>
      <c r="TYQ2494" s="60"/>
      <c r="TYR2494" s="60"/>
      <c r="TYS2494" s="59"/>
      <c r="TYT2494" s="61"/>
      <c r="TYU2494" s="59"/>
      <c r="TYV2494" s="59"/>
      <c r="TYW2494" s="59"/>
      <c r="TYX2494" s="60"/>
      <c r="TYY2494" s="60"/>
      <c r="TYZ2494" s="60"/>
      <c r="TZA2494" s="59"/>
      <c r="TZB2494" s="61"/>
      <c r="TZC2494" s="59"/>
      <c r="TZD2494" s="59"/>
      <c r="TZE2494" s="59"/>
      <c r="TZF2494" s="60"/>
      <c r="TZG2494" s="60"/>
      <c r="TZH2494" s="60"/>
      <c r="TZI2494" s="59"/>
      <c r="TZJ2494" s="61"/>
      <c r="TZK2494" s="59"/>
      <c r="TZL2494" s="59"/>
      <c r="TZM2494" s="59"/>
      <c r="TZN2494" s="60"/>
      <c r="TZO2494" s="60"/>
      <c r="TZP2494" s="60"/>
      <c r="TZQ2494" s="59"/>
      <c r="TZR2494" s="61"/>
      <c r="TZS2494" s="59"/>
      <c r="TZT2494" s="59"/>
      <c r="TZU2494" s="59"/>
      <c r="TZV2494" s="60"/>
      <c r="TZW2494" s="60"/>
      <c r="TZX2494" s="60"/>
      <c r="TZY2494" s="59"/>
      <c r="TZZ2494" s="61"/>
      <c r="UAA2494" s="59"/>
      <c r="UAB2494" s="59"/>
      <c r="UAC2494" s="59"/>
      <c r="UAD2494" s="60"/>
      <c r="UAE2494" s="60"/>
      <c r="UAF2494" s="60"/>
      <c r="UAG2494" s="59"/>
      <c r="UAH2494" s="61"/>
      <c r="UAI2494" s="59"/>
      <c r="UAJ2494" s="59"/>
      <c r="UAK2494" s="59"/>
      <c r="UAL2494" s="60"/>
      <c r="UAM2494" s="60"/>
      <c r="UAN2494" s="60"/>
      <c r="UAO2494" s="59"/>
      <c r="UAP2494" s="61"/>
      <c r="UAQ2494" s="59"/>
      <c r="UAR2494" s="59"/>
      <c r="UAS2494" s="59"/>
      <c r="UAT2494" s="60"/>
      <c r="UAU2494" s="60"/>
      <c r="UAV2494" s="60"/>
      <c r="UAW2494" s="59"/>
      <c r="UAX2494" s="61"/>
      <c r="UAY2494" s="59"/>
      <c r="UAZ2494" s="59"/>
      <c r="UBA2494" s="59"/>
      <c r="UBB2494" s="60"/>
      <c r="UBC2494" s="60"/>
      <c r="UBD2494" s="60"/>
      <c r="UBE2494" s="59"/>
      <c r="UBF2494" s="61"/>
      <c r="UBG2494" s="59"/>
      <c r="UBH2494" s="59"/>
      <c r="UBI2494" s="59"/>
      <c r="UBJ2494" s="60"/>
      <c r="UBK2494" s="60"/>
      <c r="UBL2494" s="60"/>
      <c r="UBM2494" s="59"/>
      <c r="UBN2494" s="61"/>
      <c r="UBO2494" s="59"/>
      <c r="UBP2494" s="59"/>
      <c r="UBQ2494" s="59"/>
      <c r="UBR2494" s="60"/>
      <c r="UBS2494" s="60"/>
      <c r="UBT2494" s="60"/>
      <c r="UBU2494" s="59"/>
      <c r="UBV2494" s="61"/>
      <c r="UBW2494" s="59"/>
      <c r="UBX2494" s="59"/>
      <c r="UBY2494" s="59"/>
      <c r="UBZ2494" s="60"/>
      <c r="UCA2494" s="60"/>
      <c r="UCB2494" s="60"/>
      <c r="UCC2494" s="59"/>
      <c r="UCD2494" s="61"/>
      <c r="UCE2494" s="59"/>
      <c r="UCF2494" s="59"/>
      <c r="UCG2494" s="59"/>
      <c r="UCH2494" s="60"/>
      <c r="UCI2494" s="60"/>
      <c r="UCJ2494" s="60"/>
      <c r="UCK2494" s="59"/>
      <c r="UCL2494" s="61"/>
      <c r="UCM2494" s="59"/>
      <c r="UCN2494" s="59"/>
      <c r="UCO2494" s="59"/>
      <c r="UCP2494" s="60"/>
      <c r="UCQ2494" s="60"/>
      <c r="UCR2494" s="60"/>
      <c r="UCS2494" s="59"/>
      <c r="UCT2494" s="61"/>
      <c r="UCU2494" s="59"/>
      <c r="UCV2494" s="59"/>
      <c r="UCW2494" s="59"/>
      <c r="UCX2494" s="60"/>
      <c r="UCY2494" s="60"/>
      <c r="UCZ2494" s="60"/>
      <c r="UDA2494" s="59"/>
      <c r="UDB2494" s="61"/>
      <c r="UDC2494" s="59"/>
      <c r="UDD2494" s="59"/>
      <c r="UDE2494" s="59"/>
      <c r="UDF2494" s="60"/>
      <c r="UDG2494" s="60"/>
      <c r="UDH2494" s="60"/>
      <c r="UDI2494" s="59"/>
      <c r="UDJ2494" s="61"/>
      <c r="UDK2494" s="59"/>
      <c r="UDL2494" s="59"/>
      <c r="UDM2494" s="59"/>
      <c r="UDN2494" s="60"/>
      <c r="UDO2494" s="60"/>
      <c r="UDP2494" s="60"/>
      <c r="UDQ2494" s="59"/>
      <c r="UDR2494" s="61"/>
      <c r="UDS2494" s="59"/>
      <c r="UDT2494" s="59"/>
      <c r="UDU2494" s="59"/>
      <c r="UDV2494" s="60"/>
      <c r="UDW2494" s="60"/>
      <c r="UDX2494" s="60"/>
      <c r="UDY2494" s="59"/>
      <c r="UDZ2494" s="61"/>
      <c r="UEA2494" s="59"/>
      <c r="UEB2494" s="59"/>
      <c r="UEC2494" s="59"/>
      <c r="UED2494" s="60"/>
      <c r="UEE2494" s="60"/>
      <c r="UEF2494" s="60"/>
      <c r="UEG2494" s="59"/>
      <c r="UEH2494" s="61"/>
      <c r="UEI2494" s="59"/>
      <c r="UEJ2494" s="59"/>
      <c r="UEK2494" s="59"/>
      <c r="UEL2494" s="60"/>
      <c r="UEM2494" s="60"/>
      <c r="UEN2494" s="60"/>
      <c r="UEO2494" s="59"/>
      <c r="UEP2494" s="61"/>
      <c r="UEQ2494" s="59"/>
      <c r="UER2494" s="59"/>
      <c r="UES2494" s="59"/>
      <c r="UET2494" s="60"/>
      <c r="UEU2494" s="60"/>
      <c r="UEV2494" s="60"/>
      <c r="UEW2494" s="59"/>
      <c r="UEX2494" s="61"/>
      <c r="UEY2494" s="59"/>
      <c r="UEZ2494" s="59"/>
      <c r="UFA2494" s="59"/>
      <c r="UFB2494" s="60"/>
      <c r="UFC2494" s="60"/>
      <c r="UFD2494" s="60"/>
      <c r="UFE2494" s="59"/>
      <c r="UFF2494" s="61"/>
      <c r="UFG2494" s="59"/>
      <c r="UFH2494" s="59"/>
      <c r="UFI2494" s="59"/>
      <c r="UFJ2494" s="60"/>
      <c r="UFK2494" s="60"/>
      <c r="UFL2494" s="60"/>
      <c r="UFM2494" s="59"/>
      <c r="UFN2494" s="61"/>
      <c r="UFO2494" s="59"/>
      <c r="UFP2494" s="59"/>
      <c r="UFQ2494" s="59"/>
      <c r="UFR2494" s="60"/>
      <c r="UFS2494" s="60"/>
      <c r="UFT2494" s="60"/>
      <c r="UFU2494" s="59"/>
      <c r="UFV2494" s="61"/>
      <c r="UFW2494" s="59"/>
      <c r="UFX2494" s="59"/>
      <c r="UFY2494" s="59"/>
      <c r="UFZ2494" s="60"/>
      <c r="UGA2494" s="60"/>
      <c r="UGB2494" s="60"/>
      <c r="UGC2494" s="59"/>
      <c r="UGD2494" s="61"/>
      <c r="UGE2494" s="59"/>
      <c r="UGF2494" s="59"/>
      <c r="UGG2494" s="59"/>
      <c r="UGH2494" s="60"/>
      <c r="UGI2494" s="60"/>
      <c r="UGJ2494" s="60"/>
      <c r="UGK2494" s="59"/>
      <c r="UGL2494" s="61"/>
      <c r="UGM2494" s="59"/>
      <c r="UGN2494" s="59"/>
      <c r="UGO2494" s="59"/>
      <c r="UGP2494" s="60"/>
      <c r="UGQ2494" s="60"/>
      <c r="UGR2494" s="60"/>
      <c r="UGS2494" s="59"/>
      <c r="UGT2494" s="61"/>
      <c r="UGU2494" s="59"/>
      <c r="UGV2494" s="59"/>
      <c r="UGW2494" s="59"/>
      <c r="UGX2494" s="60"/>
      <c r="UGY2494" s="60"/>
      <c r="UGZ2494" s="60"/>
      <c r="UHA2494" s="59"/>
      <c r="UHB2494" s="61"/>
      <c r="UHC2494" s="59"/>
      <c r="UHD2494" s="59"/>
      <c r="UHE2494" s="59"/>
      <c r="UHF2494" s="60"/>
      <c r="UHG2494" s="60"/>
      <c r="UHH2494" s="60"/>
      <c r="UHI2494" s="59"/>
      <c r="UHJ2494" s="61"/>
      <c r="UHK2494" s="59"/>
      <c r="UHL2494" s="59"/>
      <c r="UHM2494" s="59"/>
      <c r="UHN2494" s="60"/>
      <c r="UHO2494" s="60"/>
      <c r="UHP2494" s="60"/>
      <c r="UHQ2494" s="59"/>
      <c r="UHR2494" s="61"/>
      <c r="UHS2494" s="59"/>
      <c r="UHT2494" s="59"/>
      <c r="UHU2494" s="59"/>
      <c r="UHV2494" s="60"/>
      <c r="UHW2494" s="60"/>
      <c r="UHX2494" s="60"/>
      <c r="UHY2494" s="59"/>
      <c r="UHZ2494" s="61"/>
      <c r="UIA2494" s="59"/>
      <c r="UIB2494" s="59"/>
      <c r="UIC2494" s="59"/>
      <c r="UID2494" s="60"/>
      <c r="UIE2494" s="60"/>
      <c r="UIF2494" s="60"/>
      <c r="UIG2494" s="59"/>
      <c r="UIH2494" s="61"/>
      <c r="UII2494" s="59"/>
      <c r="UIJ2494" s="59"/>
      <c r="UIK2494" s="59"/>
      <c r="UIL2494" s="60"/>
      <c r="UIM2494" s="60"/>
      <c r="UIN2494" s="60"/>
      <c r="UIO2494" s="59"/>
      <c r="UIP2494" s="61"/>
      <c r="UIQ2494" s="59"/>
      <c r="UIR2494" s="59"/>
      <c r="UIS2494" s="59"/>
      <c r="UIT2494" s="60"/>
      <c r="UIU2494" s="60"/>
      <c r="UIV2494" s="60"/>
      <c r="UIW2494" s="59"/>
      <c r="UIX2494" s="61"/>
      <c r="UIY2494" s="59"/>
      <c r="UIZ2494" s="59"/>
      <c r="UJA2494" s="59"/>
      <c r="UJB2494" s="60"/>
      <c r="UJC2494" s="60"/>
      <c r="UJD2494" s="60"/>
      <c r="UJE2494" s="59"/>
      <c r="UJF2494" s="61"/>
      <c r="UJG2494" s="59"/>
      <c r="UJH2494" s="59"/>
      <c r="UJI2494" s="59"/>
      <c r="UJJ2494" s="60"/>
      <c r="UJK2494" s="60"/>
      <c r="UJL2494" s="60"/>
      <c r="UJM2494" s="59"/>
      <c r="UJN2494" s="61"/>
      <c r="UJO2494" s="59"/>
      <c r="UJP2494" s="59"/>
      <c r="UJQ2494" s="59"/>
      <c r="UJR2494" s="60"/>
      <c r="UJS2494" s="60"/>
      <c r="UJT2494" s="60"/>
      <c r="UJU2494" s="59"/>
      <c r="UJV2494" s="61"/>
      <c r="UJW2494" s="59"/>
      <c r="UJX2494" s="59"/>
      <c r="UJY2494" s="59"/>
      <c r="UJZ2494" s="60"/>
      <c r="UKA2494" s="60"/>
      <c r="UKB2494" s="60"/>
      <c r="UKC2494" s="59"/>
      <c r="UKD2494" s="61"/>
      <c r="UKE2494" s="59"/>
      <c r="UKF2494" s="59"/>
      <c r="UKG2494" s="59"/>
      <c r="UKH2494" s="60"/>
      <c r="UKI2494" s="60"/>
      <c r="UKJ2494" s="60"/>
      <c r="UKK2494" s="59"/>
      <c r="UKL2494" s="61"/>
      <c r="UKM2494" s="59"/>
      <c r="UKN2494" s="59"/>
      <c r="UKO2494" s="59"/>
      <c r="UKP2494" s="60"/>
      <c r="UKQ2494" s="60"/>
      <c r="UKR2494" s="60"/>
      <c r="UKS2494" s="59"/>
      <c r="UKT2494" s="61"/>
      <c r="UKU2494" s="59"/>
      <c r="UKV2494" s="59"/>
      <c r="UKW2494" s="59"/>
      <c r="UKX2494" s="60"/>
      <c r="UKY2494" s="60"/>
      <c r="UKZ2494" s="60"/>
      <c r="ULA2494" s="59"/>
      <c r="ULB2494" s="61"/>
      <c r="ULC2494" s="59"/>
      <c r="ULD2494" s="59"/>
      <c r="ULE2494" s="59"/>
      <c r="ULF2494" s="60"/>
      <c r="ULG2494" s="60"/>
      <c r="ULH2494" s="60"/>
      <c r="ULI2494" s="59"/>
      <c r="ULJ2494" s="61"/>
      <c r="ULK2494" s="59"/>
      <c r="ULL2494" s="59"/>
      <c r="ULM2494" s="59"/>
      <c r="ULN2494" s="60"/>
      <c r="ULO2494" s="60"/>
      <c r="ULP2494" s="60"/>
      <c r="ULQ2494" s="59"/>
      <c r="ULR2494" s="61"/>
      <c r="ULS2494" s="59"/>
      <c r="ULT2494" s="59"/>
      <c r="ULU2494" s="59"/>
      <c r="ULV2494" s="60"/>
      <c r="ULW2494" s="60"/>
      <c r="ULX2494" s="60"/>
      <c r="ULY2494" s="59"/>
      <c r="ULZ2494" s="61"/>
      <c r="UMA2494" s="59"/>
      <c r="UMB2494" s="59"/>
      <c r="UMC2494" s="59"/>
      <c r="UMD2494" s="60"/>
      <c r="UME2494" s="60"/>
      <c r="UMF2494" s="60"/>
      <c r="UMG2494" s="59"/>
      <c r="UMH2494" s="61"/>
      <c r="UMI2494" s="59"/>
      <c r="UMJ2494" s="59"/>
      <c r="UMK2494" s="59"/>
      <c r="UML2494" s="60"/>
      <c r="UMM2494" s="60"/>
      <c r="UMN2494" s="60"/>
      <c r="UMO2494" s="59"/>
      <c r="UMP2494" s="61"/>
      <c r="UMQ2494" s="59"/>
      <c r="UMR2494" s="59"/>
      <c r="UMS2494" s="59"/>
      <c r="UMT2494" s="60"/>
      <c r="UMU2494" s="60"/>
      <c r="UMV2494" s="60"/>
      <c r="UMW2494" s="59"/>
      <c r="UMX2494" s="61"/>
      <c r="UMY2494" s="59"/>
      <c r="UMZ2494" s="59"/>
      <c r="UNA2494" s="59"/>
      <c r="UNB2494" s="60"/>
      <c r="UNC2494" s="60"/>
      <c r="UND2494" s="60"/>
      <c r="UNE2494" s="59"/>
      <c r="UNF2494" s="61"/>
      <c r="UNG2494" s="59"/>
      <c r="UNH2494" s="59"/>
      <c r="UNI2494" s="59"/>
      <c r="UNJ2494" s="60"/>
      <c r="UNK2494" s="60"/>
      <c r="UNL2494" s="60"/>
      <c r="UNM2494" s="59"/>
      <c r="UNN2494" s="61"/>
      <c r="UNO2494" s="59"/>
      <c r="UNP2494" s="59"/>
      <c r="UNQ2494" s="59"/>
      <c r="UNR2494" s="60"/>
      <c r="UNS2494" s="60"/>
      <c r="UNT2494" s="60"/>
      <c r="UNU2494" s="59"/>
      <c r="UNV2494" s="61"/>
      <c r="UNW2494" s="59"/>
      <c r="UNX2494" s="59"/>
      <c r="UNY2494" s="59"/>
      <c r="UNZ2494" s="60"/>
      <c r="UOA2494" s="60"/>
      <c r="UOB2494" s="60"/>
      <c r="UOC2494" s="59"/>
      <c r="UOD2494" s="61"/>
      <c r="UOE2494" s="59"/>
      <c r="UOF2494" s="59"/>
      <c r="UOG2494" s="59"/>
      <c r="UOH2494" s="60"/>
      <c r="UOI2494" s="60"/>
      <c r="UOJ2494" s="60"/>
      <c r="UOK2494" s="59"/>
      <c r="UOL2494" s="61"/>
      <c r="UOM2494" s="59"/>
      <c r="UON2494" s="59"/>
      <c r="UOO2494" s="59"/>
      <c r="UOP2494" s="60"/>
      <c r="UOQ2494" s="60"/>
      <c r="UOR2494" s="60"/>
      <c r="UOS2494" s="59"/>
      <c r="UOT2494" s="61"/>
      <c r="UOU2494" s="59"/>
      <c r="UOV2494" s="59"/>
      <c r="UOW2494" s="59"/>
      <c r="UOX2494" s="60"/>
      <c r="UOY2494" s="60"/>
      <c r="UOZ2494" s="60"/>
      <c r="UPA2494" s="59"/>
      <c r="UPB2494" s="61"/>
      <c r="UPC2494" s="59"/>
      <c r="UPD2494" s="59"/>
      <c r="UPE2494" s="59"/>
      <c r="UPF2494" s="60"/>
      <c r="UPG2494" s="60"/>
      <c r="UPH2494" s="60"/>
      <c r="UPI2494" s="59"/>
      <c r="UPJ2494" s="61"/>
      <c r="UPK2494" s="59"/>
      <c r="UPL2494" s="59"/>
      <c r="UPM2494" s="59"/>
      <c r="UPN2494" s="60"/>
      <c r="UPO2494" s="60"/>
      <c r="UPP2494" s="60"/>
      <c r="UPQ2494" s="59"/>
      <c r="UPR2494" s="61"/>
      <c r="UPS2494" s="59"/>
      <c r="UPT2494" s="59"/>
      <c r="UPU2494" s="59"/>
      <c r="UPV2494" s="60"/>
      <c r="UPW2494" s="60"/>
      <c r="UPX2494" s="60"/>
      <c r="UPY2494" s="59"/>
      <c r="UPZ2494" s="61"/>
      <c r="UQA2494" s="59"/>
      <c r="UQB2494" s="59"/>
      <c r="UQC2494" s="59"/>
      <c r="UQD2494" s="60"/>
      <c r="UQE2494" s="60"/>
      <c r="UQF2494" s="60"/>
      <c r="UQG2494" s="59"/>
      <c r="UQH2494" s="61"/>
      <c r="UQI2494" s="59"/>
      <c r="UQJ2494" s="59"/>
      <c r="UQK2494" s="59"/>
      <c r="UQL2494" s="60"/>
      <c r="UQM2494" s="60"/>
      <c r="UQN2494" s="60"/>
      <c r="UQO2494" s="59"/>
      <c r="UQP2494" s="61"/>
      <c r="UQQ2494" s="59"/>
      <c r="UQR2494" s="59"/>
      <c r="UQS2494" s="59"/>
      <c r="UQT2494" s="60"/>
      <c r="UQU2494" s="60"/>
      <c r="UQV2494" s="60"/>
      <c r="UQW2494" s="59"/>
      <c r="UQX2494" s="61"/>
      <c r="UQY2494" s="59"/>
      <c r="UQZ2494" s="59"/>
      <c r="URA2494" s="59"/>
      <c r="URB2494" s="60"/>
      <c r="URC2494" s="60"/>
      <c r="URD2494" s="60"/>
      <c r="URE2494" s="59"/>
      <c r="URF2494" s="61"/>
      <c r="URG2494" s="59"/>
      <c r="URH2494" s="59"/>
      <c r="URI2494" s="59"/>
      <c r="URJ2494" s="60"/>
      <c r="URK2494" s="60"/>
      <c r="URL2494" s="60"/>
      <c r="URM2494" s="59"/>
      <c r="URN2494" s="61"/>
      <c r="URO2494" s="59"/>
      <c r="URP2494" s="59"/>
      <c r="URQ2494" s="59"/>
      <c r="URR2494" s="60"/>
      <c r="URS2494" s="60"/>
      <c r="URT2494" s="60"/>
      <c r="URU2494" s="59"/>
      <c r="URV2494" s="61"/>
      <c r="URW2494" s="59"/>
      <c r="URX2494" s="59"/>
      <c r="URY2494" s="59"/>
      <c r="URZ2494" s="60"/>
      <c r="USA2494" s="60"/>
      <c r="USB2494" s="60"/>
      <c r="USC2494" s="59"/>
      <c r="USD2494" s="61"/>
      <c r="USE2494" s="59"/>
      <c r="USF2494" s="59"/>
      <c r="USG2494" s="59"/>
      <c r="USH2494" s="60"/>
      <c r="USI2494" s="60"/>
      <c r="USJ2494" s="60"/>
      <c r="USK2494" s="59"/>
      <c r="USL2494" s="61"/>
      <c r="USM2494" s="59"/>
      <c r="USN2494" s="59"/>
      <c r="USO2494" s="59"/>
      <c r="USP2494" s="60"/>
      <c r="USQ2494" s="60"/>
      <c r="USR2494" s="60"/>
      <c r="USS2494" s="59"/>
      <c r="UST2494" s="61"/>
      <c r="USU2494" s="59"/>
      <c r="USV2494" s="59"/>
      <c r="USW2494" s="59"/>
      <c r="USX2494" s="60"/>
      <c r="USY2494" s="60"/>
      <c r="USZ2494" s="60"/>
      <c r="UTA2494" s="59"/>
      <c r="UTB2494" s="61"/>
      <c r="UTC2494" s="59"/>
      <c r="UTD2494" s="59"/>
      <c r="UTE2494" s="59"/>
      <c r="UTF2494" s="60"/>
      <c r="UTG2494" s="60"/>
      <c r="UTH2494" s="60"/>
      <c r="UTI2494" s="59"/>
      <c r="UTJ2494" s="61"/>
      <c r="UTK2494" s="59"/>
      <c r="UTL2494" s="59"/>
      <c r="UTM2494" s="59"/>
      <c r="UTN2494" s="60"/>
      <c r="UTO2494" s="60"/>
      <c r="UTP2494" s="60"/>
      <c r="UTQ2494" s="59"/>
      <c r="UTR2494" s="61"/>
      <c r="UTS2494" s="59"/>
      <c r="UTT2494" s="59"/>
      <c r="UTU2494" s="59"/>
      <c r="UTV2494" s="60"/>
      <c r="UTW2494" s="60"/>
      <c r="UTX2494" s="60"/>
      <c r="UTY2494" s="59"/>
      <c r="UTZ2494" s="61"/>
      <c r="UUA2494" s="59"/>
      <c r="UUB2494" s="59"/>
      <c r="UUC2494" s="59"/>
      <c r="UUD2494" s="60"/>
      <c r="UUE2494" s="60"/>
      <c r="UUF2494" s="60"/>
      <c r="UUG2494" s="59"/>
      <c r="UUH2494" s="61"/>
      <c r="UUI2494" s="59"/>
      <c r="UUJ2494" s="59"/>
      <c r="UUK2494" s="59"/>
      <c r="UUL2494" s="60"/>
      <c r="UUM2494" s="60"/>
      <c r="UUN2494" s="60"/>
      <c r="UUO2494" s="59"/>
      <c r="UUP2494" s="61"/>
      <c r="UUQ2494" s="59"/>
      <c r="UUR2494" s="59"/>
      <c r="UUS2494" s="59"/>
      <c r="UUT2494" s="60"/>
      <c r="UUU2494" s="60"/>
      <c r="UUV2494" s="60"/>
      <c r="UUW2494" s="59"/>
      <c r="UUX2494" s="61"/>
      <c r="UUY2494" s="59"/>
      <c r="UUZ2494" s="59"/>
      <c r="UVA2494" s="59"/>
      <c r="UVB2494" s="60"/>
      <c r="UVC2494" s="60"/>
      <c r="UVD2494" s="60"/>
      <c r="UVE2494" s="59"/>
      <c r="UVF2494" s="61"/>
      <c r="UVG2494" s="59"/>
      <c r="UVH2494" s="59"/>
      <c r="UVI2494" s="59"/>
      <c r="UVJ2494" s="60"/>
      <c r="UVK2494" s="60"/>
      <c r="UVL2494" s="60"/>
      <c r="UVM2494" s="59"/>
      <c r="UVN2494" s="61"/>
      <c r="UVO2494" s="59"/>
      <c r="UVP2494" s="59"/>
      <c r="UVQ2494" s="59"/>
      <c r="UVR2494" s="60"/>
      <c r="UVS2494" s="60"/>
      <c r="UVT2494" s="60"/>
      <c r="UVU2494" s="59"/>
      <c r="UVV2494" s="61"/>
      <c r="UVW2494" s="59"/>
      <c r="UVX2494" s="59"/>
      <c r="UVY2494" s="59"/>
      <c r="UVZ2494" s="60"/>
      <c r="UWA2494" s="60"/>
      <c r="UWB2494" s="60"/>
      <c r="UWC2494" s="59"/>
      <c r="UWD2494" s="61"/>
      <c r="UWE2494" s="59"/>
      <c r="UWF2494" s="59"/>
      <c r="UWG2494" s="59"/>
      <c r="UWH2494" s="60"/>
      <c r="UWI2494" s="60"/>
      <c r="UWJ2494" s="60"/>
      <c r="UWK2494" s="59"/>
      <c r="UWL2494" s="61"/>
      <c r="UWM2494" s="59"/>
      <c r="UWN2494" s="59"/>
      <c r="UWO2494" s="59"/>
      <c r="UWP2494" s="60"/>
      <c r="UWQ2494" s="60"/>
      <c r="UWR2494" s="60"/>
      <c r="UWS2494" s="59"/>
      <c r="UWT2494" s="61"/>
      <c r="UWU2494" s="59"/>
      <c r="UWV2494" s="59"/>
      <c r="UWW2494" s="59"/>
      <c r="UWX2494" s="60"/>
      <c r="UWY2494" s="60"/>
      <c r="UWZ2494" s="60"/>
      <c r="UXA2494" s="59"/>
      <c r="UXB2494" s="61"/>
      <c r="UXC2494" s="59"/>
      <c r="UXD2494" s="59"/>
      <c r="UXE2494" s="59"/>
      <c r="UXF2494" s="60"/>
      <c r="UXG2494" s="60"/>
      <c r="UXH2494" s="60"/>
      <c r="UXI2494" s="59"/>
      <c r="UXJ2494" s="61"/>
      <c r="UXK2494" s="59"/>
      <c r="UXL2494" s="59"/>
      <c r="UXM2494" s="59"/>
      <c r="UXN2494" s="60"/>
      <c r="UXO2494" s="60"/>
      <c r="UXP2494" s="60"/>
      <c r="UXQ2494" s="59"/>
      <c r="UXR2494" s="61"/>
      <c r="UXS2494" s="59"/>
      <c r="UXT2494" s="59"/>
      <c r="UXU2494" s="59"/>
      <c r="UXV2494" s="60"/>
      <c r="UXW2494" s="60"/>
      <c r="UXX2494" s="60"/>
      <c r="UXY2494" s="59"/>
      <c r="UXZ2494" s="61"/>
      <c r="UYA2494" s="59"/>
      <c r="UYB2494" s="59"/>
      <c r="UYC2494" s="59"/>
      <c r="UYD2494" s="60"/>
      <c r="UYE2494" s="60"/>
      <c r="UYF2494" s="60"/>
      <c r="UYG2494" s="59"/>
      <c r="UYH2494" s="61"/>
      <c r="UYI2494" s="59"/>
      <c r="UYJ2494" s="59"/>
      <c r="UYK2494" s="59"/>
      <c r="UYL2494" s="60"/>
      <c r="UYM2494" s="60"/>
      <c r="UYN2494" s="60"/>
      <c r="UYO2494" s="59"/>
      <c r="UYP2494" s="61"/>
      <c r="UYQ2494" s="59"/>
      <c r="UYR2494" s="59"/>
      <c r="UYS2494" s="59"/>
      <c r="UYT2494" s="60"/>
      <c r="UYU2494" s="60"/>
      <c r="UYV2494" s="60"/>
      <c r="UYW2494" s="59"/>
      <c r="UYX2494" s="61"/>
      <c r="UYY2494" s="59"/>
      <c r="UYZ2494" s="59"/>
      <c r="UZA2494" s="59"/>
      <c r="UZB2494" s="60"/>
      <c r="UZC2494" s="60"/>
      <c r="UZD2494" s="60"/>
      <c r="UZE2494" s="59"/>
      <c r="UZF2494" s="61"/>
      <c r="UZG2494" s="59"/>
      <c r="UZH2494" s="59"/>
      <c r="UZI2494" s="59"/>
      <c r="UZJ2494" s="60"/>
      <c r="UZK2494" s="60"/>
      <c r="UZL2494" s="60"/>
      <c r="UZM2494" s="59"/>
      <c r="UZN2494" s="61"/>
      <c r="UZO2494" s="59"/>
      <c r="UZP2494" s="59"/>
      <c r="UZQ2494" s="59"/>
      <c r="UZR2494" s="60"/>
      <c r="UZS2494" s="60"/>
      <c r="UZT2494" s="60"/>
      <c r="UZU2494" s="59"/>
      <c r="UZV2494" s="61"/>
      <c r="UZW2494" s="59"/>
      <c r="UZX2494" s="59"/>
      <c r="UZY2494" s="59"/>
      <c r="UZZ2494" s="60"/>
      <c r="VAA2494" s="60"/>
      <c r="VAB2494" s="60"/>
      <c r="VAC2494" s="59"/>
      <c r="VAD2494" s="61"/>
      <c r="VAE2494" s="59"/>
      <c r="VAF2494" s="59"/>
      <c r="VAG2494" s="59"/>
      <c r="VAH2494" s="60"/>
      <c r="VAI2494" s="60"/>
      <c r="VAJ2494" s="60"/>
      <c r="VAK2494" s="59"/>
      <c r="VAL2494" s="61"/>
      <c r="VAM2494" s="59"/>
      <c r="VAN2494" s="59"/>
      <c r="VAO2494" s="59"/>
      <c r="VAP2494" s="60"/>
      <c r="VAQ2494" s="60"/>
      <c r="VAR2494" s="60"/>
      <c r="VAS2494" s="59"/>
      <c r="VAT2494" s="61"/>
      <c r="VAU2494" s="59"/>
      <c r="VAV2494" s="59"/>
      <c r="VAW2494" s="59"/>
      <c r="VAX2494" s="60"/>
      <c r="VAY2494" s="60"/>
      <c r="VAZ2494" s="60"/>
      <c r="VBA2494" s="59"/>
      <c r="VBB2494" s="61"/>
      <c r="VBC2494" s="59"/>
      <c r="VBD2494" s="59"/>
      <c r="VBE2494" s="59"/>
      <c r="VBF2494" s="60"/>
      <c r="VBG2494" s="60"/>
      <c r="VBH2494" s="60"/>
      <c r="VBI2494" s="59"/>
      <c r="VBJ2494" s="61"/>
      <c r="VBK2494" s="59"/>
      <c r="VBL2494" s="59"/>
      <c r="VBM2494" s="59"/>
      <c r="VBN2494" s="60"/>
      <c r="VBO2494" s="60"/>
      <c r="VBP2494" s="60"/>
      <c r="VBQ2494" s="59"/>
      <c r="VBR2494" s="61"/>
      <c r="VBS2494" s="59"/>
      <c r="VBT2494" s="59"/>
      <c r="VBU2494" s="59"/>
      <c r="VBV2494" s="60"/>
      <c r="VBW2494" s="60"/>
      <c r="VBX2494" s="60"/>
      <c r="VBY2494" s="59"/>
      <c r="VBZ2494" s="61"/>
      <c r="VCA2494" s="59"/>
      <c r="VCB2494" s="59"/>
      <c r="VCC2494" s="59"/>
      <c r="VCD2494" s="60"/>
      <c r="VCE2494" s="60"/>
      <c r="VCF2494" s="60"/>
      <c r="VCG2494" s="59"/>
      <c r="VCH2494" s="61"/>
      <c r="VCI2494" s="59"/>
      <c r="VCJ2494" s="59"/>
      <c r="VCK2494" s="59"/>
      <c r="VCL2494" s="60"/>
      <c r="VCM2494" s="60"/>
      <c r="VCN2494" s="60"/>
      <c r="VCO2494" s="59"/>
      <c r="VCP2494" s="61"/>
      <c r="VCQ2494" s="59"/>
      <c r="VCR2494" s="59"/>
      <c r="VCS2494" s="59"/>
      <c r="VCT2494" s="60"/>
      <c r="VCU2494" s="60"/>
      <c r="VCV2494" s="60"/>
      <c r="VCW2494" s="59"/>
      <c r="VCX2494" s="61"/>
      <c r="VCY2494" s="59"/>
      <c r="VCZ2494" s="59"/>
      <c r="VDA2494" s="59"/>
      <c r="VDB2494" s="60"/>
      <c r="VDC2494" s="60"/>
      <c r="VDD2494" s="60"/>
      <c r="VDE2494" s="59"/>
      <c r="VDF2494" s="61"/>
      <c r="VDG2494" s="59"/>
      <c r="VDH2494" s="59"/>
      <c r="VDI2494" s="59"/>
      <c r="VDJ2494" s="60"/>
      <c r="VDK2494" s="60"/>
      <c r="VDL2494" s="60"/>
      <c r="VDM2494" s="59"/>
      <c r="VDN2494" s="61"/>
      <c r="VDO2494" s="59"/>
      <c r="VDP2494" s="59"/>
      <c r="VDQ2494" s="59"/>
      <c r="VDR2494" s="60"/>
      <c r="VDS2494" s="60"/>
      <c r="VDT2494" s="60"/>
      <c r="VDU2494" s="59"/>
      <c r="VDV2494" s="61"/>
      <c r="VDW2494" s="59"/>
      <c r="VDX2494" s="59"/>
      <c r="VDY2494" s="59"/>
      <c r="VDZ2494" s="60"/>
      <c r="VEA2494" s="60"/>
      <c r="VEB2494" s="60"/>
      <c r="VEC2494" s="59"/>
      <c r="VED2494" s="61"/>
      <c r="VEE2494" s="59"/>
      <c r="VEF2494" s="59"/>
      <c r="VEG2494" s="59"/>
      <c r="VEH2494" s="60"/>
      <c r="VEI2494" s="60"/>
      <c r="VEJ2494" s="60"/>
      <c r="VEK2494" s="59"/>
      <c r="VEL2494" s="61"/>
      <c r="VEM2494" s="59"/>
      <c r="VEN2494" s="59"/>
      <c r="VEO2494" s="59"/>
      <c r="VEP2494" s="60"/>
      <c r="VEQ2494" s="60"/>
      <c r="VER2494" s="60"/>
      <c r="VES2494" s="59"/>
      <c r="VET2494" s="61"/>
      <c r="VEU2494" s="59"/>
      <c r="VEV2494" s="59"/>
      <c r="VEW2494" s="59"/>
      <c r="VEX2494" s="60"/>
      <c r="VEY2494" s="60"/>
      <c r="VEZ2494" s="60"/>
      <c r="VFA2494" s="59"/>
      <c r="VFB2494" s="61"/>
      <c r="VFC2494" s="59"/>
      <c r="VFD2494" s="59"/>
      <c r="VFE2494" s="59"/>
      <c r="VFF2494" s="60"/>
      <c r="VFG2494" s="60"/>
      <c r="VFH2494" s="60"/>
      <c r="VFI2494" s="59"/>
      <c r="VFJ2494" s="61"/>
      <c r="VFK2494" s="59"/>
      <c r="VFL2494" s="59"/>
      <c r="VFM2494" s="59"/>
      <c r="VFN2494" s="60"/>
      <c r="VFO2494" s="60"/>
      <c r="VFP2494" s="60"/>
      <c r="VFQ2494" s="59"/>
      <c r="VFR2494" s="61"/>
      <c r="VFS2494" s="59"/>
      <c r="VFT2494" s="59"/>
      <c r="VFU2494" s="59"/>
      <c r="VFV2494" s="60"/>
      <c r="VFW2494" s="60"/>
      <c r="VFX2494" s="60"/>
      <c r="VFY2494" s="59"/>
      <c r="VFZ2494" s="61"/>
      <c r="VGA2494" s="59"/>
      <c r="VGB2494" s="59"/>
      <c r="VGC2494" s="59"/>
      <c r="VGD2494" s="60"/>
      <c r="VGE2494" s="60"/>
      <c r="VGF2494" s="60"/>
      <c r="VGG2494" s="59"/>
      <c r="VGH2494" s="61"/>
      <c r="VGI2494" s="59"/>
      <c r="VGJ2494" s="59"/>
      <c r="VGK2494" s="59"/>
      <c r="VGL2494" s="60"/>
      <c r="VGM2494" s="60"/>
      <c r="VGN2494" s="60"/>
      <c r="VGO2494" s="59"/>
      <c r="VGP2494" s="61"/>
      <c r="VGQ2494" s="59"/>
      <c r="VGR2494" s="59"/>
      <c r="VGS2494" s="59"/>
      <c r="VGT2494" s="60"/>
      <c r="VGU2494" s="60"/>
      <c r="VGV2494" s="60"/>
      <c r="VGW2494" s="59"/>
      <c r="VGX2494" s="61"/>
      <c r="VGY2494" s="59"/>
      <c r="VGZ2494" s="59"/>
      <c r="VHA2494" s="59"/>
      <c r="VHB2494" s="60"/>
      <c r="VHC2494" s="60"/>
      <c r="VHD2494" s="60"/>
      <c r="VHE2494" s="59"/>
      <c r="VHF2494" s="61"/>
      <c r="VHG2494" s="59"/>
      <c r="VHH2494" s="59"/>
      <c r="VHI2494" s="59"/>
      <c r="VHJ2494" s="60"/>
      <c r="VHK2494" s="60"/>
      <c r="VHL2494" s="60"/>
      <c r="VHM2494" s="59"/>
      <c r="VHN2494" s="61"/>
      <c r="VHO2494" s="59"/>
      <c r="VHP2494" s="59"/>
      <c r="VHQ2494" s="59"/>
      <c r="VHR2494" s="60"/>
      <c r="VHS2494" s="60"/>
      <c r="VHT2494" s="60"/>
      <c r="VHU2494" s="59"/>
      <c r="VHV2494" s="61"/>
      <c r="VHW2494" s="59"/>
      <c r="VHX2494" s="59"/>
      <c r="VHY2494" s="59"/>
      <c r="VHZ2494" s="60"/>
      <c r="VIA2494" s="60"/>
      <c r="VIB2494" s="60"/>
      <c r="VIC2494" s="59"/>
      <c r="VID2494" s="61"/>
      <c r="VIE2494" s="59"/>
      <c r="VIF2494" s="59"/>
      <c r="VIG2494" s="59"/>
      <c r="VIH2494" s="60"/>
      <c r="VII2494" s="60"/>
      <c r="VIJ2494" s="60"/>
      <c r="VIK2494" s="59"/>
      <c r="VIL2494" s="61"/>
      <c r="VIM2494" s="59"/>
      <c r="VIN2494" s="59"/>
      <c r="VIO2494" s="59"/>
      <c r="VIP2494" s="60"/>
      <c r="VIQ2494" s="60"/>
      <c r="VIR2494" s="60"/>
      <c r="VIS2494" s="59"/>
      <c r="VIT2494" s="61"/>
      <c r="VIU2494" s="59"/>
      <c r="VIV2494" s="59"/>
      <c r="VIW2494" s="59"/>
      <c r="VIX2494" s="60"/>
      <c r="VIY2494" s="60"/>
      <c r="VIZ2494" s="60"/>
      <c r="VJA2494" s="59"/>
      <c r="VJB2494" s="61"/>
      <c r="VJC2494" s="59"/>
      <c r="VJD2494" s="59"/>
      <c r="VJE2494" s="59"/>
      <c r="VJF2494" s="60"/>
      <c r="VJG2494" s="60"/>
      <c r="VJH2494" s="60"/>
      <c r="VJI2494" s="59"/>
      <c r="VJJ2494" s="61"/>
      <c r="VJK2494" s="59"/>
      <c r="VJL2494" s="59"/>
      <c r="VJM2494" s="59"/>
      <c r="VJN2494" s="60"/>
      <c r="VJO2494" s="60"/>
      <c r="VJP2494" s="60"/>
      <c r="VJQ2494" s="59"/>
      <c r="VJR2494" s="61"/>
      <c r="VJS2494" s="59"/>
      <c r="VJT2494" s="59"/>
      <c r="VJU2494" s="59"/>
      <c r="VJV2494" s="60"/>
      <c r="VJW2494" s="60"/>
      <c r="VJX2494" s="60"/>
      <c r="VJY2494" s="59"/>
      <c r="VJZ2494" s="61"/>
      <c r="VKA2494" s="59"/>
      <c r="VKB2494" s="59"/>
      <c r="VKC2494" s="59"/>
      <c r="VKD2494" s="60"/>
      <c r="VKE2494" s="60"/>
      <c r="VKF2494" s="60"/>
      <c r="VKG2494" s="59"/>
      <c r="VKH2494" s="61"/>
      <c r="VKI2494" s="59"/>
      <c r="VKJ2494" s="59"/>
      <c r="VKK2494" s="59"/>
      <c r="VKL2494" s="60"/>
      <c r="VKM2494" s="60"/>
      <c r="VKN2494" s="60"/>
      <c r="VKO2494" s="59"/>
      <c r="VKP2494" s="61"/>
      <c r="VKQ2494" s="59"/>
      <c r="VKR2494" s="59"/>
      <c r="VKS2494" s="59"/>
      <c r="VKT2494" s="60"/>
      <c r="VKU2494" s="60"/>
      <c r="VKV2494" s="60"/>
      <c r="VKW2494" s="59"/>
      <c r="VKX2494" s="61"/>
      <c r="VKY2494" s="59"/>
      <c r="VKZ2494" s="59"/>
      <c r="VLA2494" s="59"/>
      <c r="VLB2494" s="60"/>
      <c r="VLC2494" s="60"/>
      <c r="VLD2494" s="60"/>
      <c r="VLE2494" s="59"/>
      <c r="VLF2494" s="61"/>
      <c r="VLG2494" s="59"/>
      <c r="VLH2494" s="59"/>
      <c r="VLI2494" s="59"/>
      <c r="VLJ2494" s="60"/>
      <c r="VLK2494" s="60"/>
      <c r="VLL2494" s="60"/>
      <c r="VLM2494" s="59"/>
      <c r="VLN2494" s="61"/>
      <c r="VLO2494" s="59"/>
      <c r="VLP2494" s="59"/>
      <c r="VLQ2494" s="59"/>
      <c r="VLR2494" s="60"/>
      <c r="VLS2494" s="60"/>
      <c r="VLT2494" s="60"/>
      <c r="VLU2494" s="59"/>
      <c r="VLV2494" s="61"/>
      <c r="VLW2494" s="59"/>
      <c r="VLX2494" s="59"/>
      <c r="VLY2494" s="59"/>
      <c r="VLZ2494" s="60"/>
      <c r="VMA2494" s="60"/>
      <c r="VMB2494" s="60"/>
      <c r="VMC2494" s="59"/>
      <c r="VMD2494" s="61"/>
      <c r="VME2494" s="59"/>
      <c r="VMF2494" s="59"/>
      <c r="VMG2494" s="59"/>
      <c r="VMH2494" s="60"/>
      <c r="VMI2494" s="60"/>
      <c r="VMJ2494" s="60"/>
      <c r="VMK2494" s="59"/>
      <c r="VML2494" s="61"/>
      <c r="VMM2494" s="59"/>
      <c r="VMN2494" s="59"/>
      <c r="VMO2494" s="59"/>
      <c r="VMP2494" s="60"/>
      <c r="VMQ2494" s="60"/>
      <c r="VMR2494" s="60"/>
      <c r="VMS2494" s="59"/>
      <c r="VMT2494" s="61"/>
      <c r="VMU2494" s="59"/>
      <c r="VMV2494" s="59"/>
      <c r="VMW2494" s="59"/>
      <c r="VMX2494" s="60"/>
      <c r="VMY2494" s="60"/>
      <c r="VMZ2494" s="60"/>
      <c r="VNA2494" s="59"/>
      <c r="VNB2494" s="61"/>
      <c r="VNC2494" s="59"/>
      <c r="VND2494" s="59"/>
      <c r="VNE2494" s="59"/>
      <c r="VNF2494" s="60"/>
      <c r="VNG2494" s="60"/>
      <c r="VNH2494" s="60"/>
      <c r="VNI2494" s="59"/>
      <c r="VNJ2494" s="61"/>
      <c r="VNK2494" s="59"/>
      <c r="VNL2494" s="59"/>
      <c r="VNM2494" s="59"/>
      <c r="VNN2494" s="60"/>
      <c r="VNO2494" s="60"/>
      <c r="VNP2494" s="60"/>
      <c r="VNQ2494" s="59"/>
      <c r="VNR2494" s="61"/>
      <c r="VNS2494" s="59"/>
      <c r="VNT2494" s="59"/>
      <c r="VNU2494" s="59"/>
      <c r="VNV2494" s="60"/>
      <c r="VNW2494" s="60"/>
      <c r="VNX2494" s="60"/>
      <c r="VNY2494" s="59"/>
      <c r="VNZ2494" s="61"/>
      <c r="VOA2494" s="59"/>
      <c r="VOB2494" s="59"/>
      <c r="VOC2494" s="59"/>
      <c r="VOD2494" s="60"/>
      <c r="VOE2494" s="60"/>
      <c r="VOF2494" s="60"/>
      <c r="VOG2494" s="59"/>
      <c r="VOH2494" s="61"/>
      <c r="VOI2494" s="59"/>
      <c r="VOJ2494" s="59"/>
      <c r="VOK2494" s="59"/>
      <c r="VOL2494" s="60"/>
      <c r="VOM2494" s="60"/>
      <c r="VON2494" s="60"/>
      <c r="VOO2494" s="59"/>
      <c r="VOP2494" s="61"/>
      <c r="VOQ2494" s="59"/>
      <c r="VOR2494" s="59"/>
      <c r="VOS2494" s="59"/>
      <c r="VOT2494" s="60"/>
      <c r="VOU2494" s="60"/>
      <c r="VOV2494" s="60"/>
      <c r="VOW2494" s="59"/>
      <c r="VOX2494" s="61"/>
      <c r="VOY2494" s="59"/>
      <c r="VOZ2494" s="59"/>
      <c r="VPA2494" s="59"/>
      <c r="VPB2494" s="60"/>
      <c r="VPC2494" s="60"/>
      <c r="VPD2494" s="60"/>
      <c r="VPE2494" s="59"/>
      <c r="VPF2494" s="61"/>
      <c r="VPG2494" s="59"/>
      <c r="VPH2494" s="59"/>
      <c r="VPI2494" s="59"/>
      <c r="VPJ2494" s="60"/>
      <c r="VPK2494" s="60"/>
      <c r="VPL2494" s="60"/>
      <c r="VPM2494" s="59"/>
      <c r="VPN2494" s="61"/>
      <c r="VPO2494" s="59"/>
      <c r="VPP2494" s="59"/>
      <c r="VPQ2494" s="59"/>
      <c r="VPR2494" s="60"/>
      <c r="VPS2494" s="60"/>
      <c r="VPT2494" s="60"/>
      <c r="VPU2494" s="59"/>
      <c r="VPV2494" s="61"/>
      <c r="VPW2494" s="59"/>
      <c r="VPX2494" s="59"/>
      <c r="VPY2494" s="59"/>
      <c r="VPZ2494" s="60"/>
      <c r="VQA2494" s="60"/>
      <c r="VQB2494" s="60"/>
      <c r="VQC2494" s="59"/>
      <c r="VQD2494" s="61"/>
      <c r="VQE2494" s="59"/>
      <c r="VQF2494" s="59"/>
      <c r="VQG2494" s="59"/>
      <c r="VQH2494" s="60"/>
      <c r="VQI2494" s="60"/>
      <c r="VQJ2494" s="60"/>
      <c r="VQK2494" s="59"/>
      <c r="VQL2494" s="61"/>
      <c r="VQM2494" s="59"/>
      <c r="VQN2494" s="59"/>
      <c r="VQO2494" s="59"/>
      <c r="VQP2494" s="60"/>
      <c r="VQQ2494" s="60"/>
      <c r="VQR2494" s="60"/>
      <c r="VQS2494" s="59"/>
      <c r="VQT2494" s="61"/>
      <c r="VQU2494" s="59"/>
      <c r="VQV2494" s="59"/>
      <c r="VQW2494" s="59"/>
      <c r="VQX2494" s="60"/>
      <c r="VQY2494" s="60"/>
      <c r="VQZ2494" s="60"/>
      <c r="VRA2494" s="59"/>
      <c r="VRB2494" s="61"/>
      <c r="VRC2494" s="59"/>
      <c r="VRD2494" s="59"/>
      <c r="VRE2494" s="59"/>
      <c r="VRF2494" s="60"/>
      <c r="VRG2494" s="60"/>
      <c r="VRH2494" s="60"/>
      <c r="VRI2494" s="59"/>
      <c r="VRJ2494" s="61"/>
      <c r="VRK2494" s="59"/>
      <c r="VRL2494" s="59"/>
      <c r="VRM2494" s="59"/>
      <c r="VRN2494" s="60"/>
      <c r="VRO2494" s="60"/>
      <c r="VRP2494" s="60"/>
      <c r="VRQ2494" s="59"/>
      <c r="VRR2494" s="61"/>
      <c r="VRS2494" s="59"/>
      <c r="VRT2494" s="59"/>
      <c r="VRU2494" s="59"/>
      <c r="VRV2494" s="60"/>
      <c r="VRW2494" s="60"/>
      <c r="VRX2494" s="60"/>
      <c r="VRY2494" s="59"/>
      <c r="VRZ2494" s="61"/>
      <c r="VSA2494" s="59"/>
      <c r="VSB2494" s="59"/>
      <c r="VSC2494" s="59"/>
      <c r="VSD2494" s="60"/>
      <c r="VSE2494" s="60"/>
      <c r="VSF2494" s="60"/>
      <c r="VSG2494" s="59"/>
      <c r="VSH2494" s="61"/>
      <c r="VSI2494" s="59"/>
      <c r="VSJ2494" s="59"/>
      <c r="VSK2494" s="59"/>
      <c r="VSL2494" s="60"/>
      <c r="VSM2494" s="60"/>
      <c r="VSN2494" s="60"/>
      <c r="VSO2494" s="59"/>
      <c r="VSP2494" s="61"/>
      <c r="VSQ2494" s="59"/>
      <c r="VSR2494" s="59"/>
      <c r="VSS2494" s="59"/>
      <c r="VST2494" s="60"/>
      <c r="VSU2494" s="60"/>
      <c r="VSV2494" s="60"/>
      <c r="VSW2494" s="59"/>
      <c r="VSX2494" s="61"/>
      <c r="VSY2494" s="59"/>
      <c r="VSZ2494" s="59"/>
      <c r="VTA2494" s="59"/>
      <c r="VTB2494" s="60"/>
      <c r="VTC2494" s="60"/>
      <c r="VTD2494" s="60"/>
      <c r="VTE2494" s="59"/>
      <c r="VTF2494" s="61"/>
      <c r="VTG2494" s="59"/>
      <c r="VTH2494" s="59"/>
      <c r="VTI2494" s="59"/>
      <c r="VTJ2494" s="60"/>
      <c r="VTK2494" s="60"/>
      <c r="VTL2494" s="60"/>
      <c r="VTM2494" s="59"/>
      <c r="VTN2494" s="61"/>
      <c r="VTO2494" s="59"/>
      <c r="VTP2494" s="59"/>
      <c r="VTQ2494" s="59"/>
      <c r="VTR2494" s="60"/>
      <c r="VTS2494" s="60"/>
      <c r="VTT2494" s="60"/>
      <c r="VTU2494" s="59"/>
      <c r="VTV2494" s="61"/>
      <c r="VTW2494" s="59"/>
      <c r="VTX2494" s="59"/>
      <c r="VTY2494" s="59"/>
      <c r="VTZ2494" s="60"/>
      <c r="VUA2494" s="60"/>
      <c r="VUB2494" s="60"/>
      <c r="VUC2494" s="59"/>
      <c r="VUD2494" s="61"/>
      <c r="VUE2494" s="59"/>
      <c r="VUF2494" s="59"/>
      <c r="VUG2494" s="59"/>
      <c r="VUH2494" s="60"/>
      <c r="VUI2494" s="60"/>
      <c r="VUJ2494" s="60"/>
      <c r="VUK2494" s="59"/>
      <c r="VUL2494" s="61"/>
      <c r="VUM2494" s="59"/>
      <c r="VUN2494" s="59"/>
      <c r="VUO2494" s="59"/>
      <c r="VUP2494" s="60"/>
      <c r="VUQ2494" s="60"/>
      <c r="VUR2494" s="60"/>
      <c r="VUS2494" s="59"/>
      <c r="VUT2494" s="61"/>
      <c r="VUU2494" s="59"/>
      <c r="VUV2494" s="59"/>
      <c r="VUW2494" s="59"/>
      <c r="VUX2494" s="60"/>
      <c r="VUY2494" s="60"/>
      <c r="VUZ2494" s="60"/>
      <c r="VVA2494" s="59"/>
      <c r="VVB2494" s="61"/>
      <c r="VVC2494" s="59"/>
      <c r="VVD2494" s="59"/>
      <c r="VVE2494" s="59"/>
      <c r="VVF2494" s="60"/>
      <c r="VVG2494" s="60"/>
      <c r="VVH2494" s="60"/>
      <c r="VVI2494" s="59"/>
      <c r="VVJ2494" s="61"/>
      <c r="VVK2494" s="59"/>
      <c r="VVL2494" s="59"/>
      <c r="VVM2494" s="59"/>
      <c r="VVN2494" s="60"/>
      <c r="VVO2494" s="60"/>
      <c r="VVP2494" s="60"/>
      <c r="VVQ2494" s="59"/>
      <c r="VVR2494" s="61"/>
      <c r="VVS2494" s="59"/>
      <c r="VVT2494" s="59"/>
      <c r="VVU2494" s="59"/>
      <c r="VVV2494" s="60"/>
      <c r="VVW2494" s="60"/>
      <c r="VVX2494" s="60"/>
      <c r="VVY2494" s="59"/>
      <c r="VVZ2494" s="61"/>
      <c r="VWA2494" s="59"/>
      <c r="VWB2494" s="59"/>
      <c r="VWC2494" s="59"/>
      <c r="VWD2494" s="60"/>
      <c r="VWE2494" s="60"/>
      <c r="VWF2494" s="60"/>
      <c r="VWG2494" s="59"/>
      <c r="VWH2494" s="61"/>
      <c r="VWI2494" s="59"/>
      <c r="VWJ2494" s="59"/>
      <c r="VWK2494" s="59"/>
      <c r="VWL2494" s="60"/>
      <c r="VWM2494" s="60"/>
      <c r="VWN2494" s="60"/>
      <c r="VWO2494" s="59"/>
      <c r="VWP2494" s="61"/>
      <c r="VWQ2494" s="59"/>
      <c r="VWR2494" s="59"/>
      <c r="VWS2494" s="59"/>
      <c r="VWT2494" s="60"/>
      <c r="VWU2494" s="60"/>
      <c r="VWV2494" s="60"/>
      <c r="VWW2494" s="59"/>
      <c r="VWX2494" s="61"/>
      <c r="VWY2494" s="59"/>
      <c r="VWZ2494" s="59"/>
      <c r="VXA2494" s="59"/>
      <c r="VXB2494" s="60"/>
      <c r="VXC2494" s="60"/>
      <c r="VXD2494" s="60"/>
      <c r="VXE2494" s="59"/>
      <c r="VXF2494" s="61"/>
      <c r="VXG2494" s="59"/>
      <c r="VXH2494" s="59"/>
      <c r="VXI2494" s="59"/>
      <c r="VXJ2494" s="60"/>
      <c r="VXK2494" s="60"/>
      <c r="VXL2494" s="60"/>
      <c r="VXM2494" s="59"/>
      <c r="VXN2494" s="61"/>
      <c r="VXO2494" s="59"/>
      <c r="VXP2494" s="59"/>
      <c r="VXQ2494" s="59"/>
      <c r="VXR2494" s="60"/>
      <c r="VXS2494" s="60"/>
      <c r="VXT2494" s="60"/>
      <c r="VXU2494" s="59"/>
      <c r="VXV2494" s="61"/>
      <c r="VXW2494" s="59"/>
      <c r="VXX2494" s="59"/>
      <c r="VXY2494" s="59"/>
      <c r="VXZ2494" s="60"/>
      <c r="VYA2494" s="60"/>
      <c r="VYB2494" s="60"/>
      <c r="VYC2494" s="59"/>
      <c r="VYD2494" s="61"/>
      <c r="VYE2494" s="59"/>
      <c r="VYF2494" s="59"/>
      <c r="VYG2494" s="59"/>
      <c r="VYH2494" s="60"/>
      <c r="VYI2494" s="60"/>
      <c r="VYJ2494" s="60"/>
      <c r="VYK2494" s="59"/>
      <c r="VYL2494" s="61"/>
      <c r="VYM2494" s="59"/>
      <c r="VYN2494" s="59"/>
      <c r="VYO2494" s="59"/>
      <c r="VYP2494" s="60"/>
      <c r="VYQ2494" s="60"/>
      <c r="VYR2494" s="60"/>
      <c r="VYS2494" s="59"/>
      <c r="VYT2494" s="61"/>
      <c r="VYU2494" s="59"/>
      <c r="VYV2494" s="59"/>
      <c r="VYW2494" s="59"/>
      <c r="VYX2494" s="60"/>
      <c r="VYY2494" s="60"/>
      <c r="VYZ2494" s="60"/>
      <c r="VZA2494" s="59"/>
      <c r="VZB2494" s="61"/>
      <c r="VZC2494" s="59"/>
      <c r="VZD2494" s="59"/>
      <c r="VZE2494" s="59"/>
      <c r="VZF2494" s="60"/>
      <c r="VZG2494" s="60"/>
      <c r="VZH2494" s="60"/>
      <c r="VZI2494" s="59"/>
      <c r="VZJ2494" s="61"/>
      <c r="VZK2494" s="59"/>
      <c r="VZL2494" s="59"/>
      <c r="VZM2494" s="59"/>
      <c r="VZN2494" s="60"/>
      <c r="VZO2494" s="60"/>
      <c r="VZP2494" s="60"/>
      <c r="VZQ2494" s="59"/>
      <c r="VZR2494" s="61"/>
      <c r="VZS2494" s="59"/>
      <c r="VZT2494" s="59"/>
      <c r="VZU2494" s="59"/>
      <c r="VZV2494" s="60"/>
      <c r="VZW2494" s="60"/>
      <c r="VZX2494" s="60"/>
      <c r="VZY2494" s="59"/>
      <c r="VZZ2494" s="61"/>
      <c r="WAA2494" s="59"/>
      <c r="WAB2494" s="59"/>
      <c r="WAC2494" s="59"/>
      <c r="WAD2494" s="60"/>
      <c r="WAE2494" s="60"/>
      <c r="WAF2494" s="60"/>
      <c r="WAG2494" s="59"/>
      <c r="WAH2494" s="61"/>
      <c r="WAI2494" s="59"/>
      <c r="WAJ2494" s="59"/>
      <c r="WAK2494" s="59"/>
      <c r="WAL2494" s="60"/>
      <c r="WAM2494" s="60"/>
      <c r="WAN2494" s="60"/>
      <c r="WAO2494" s="59"/>
      <c r="WAP2494" s="61"/>
      <c r="WAQ2494" s="59"/>
      <c r="WAR2494" s="59"/>
      <c r="WAS2494" s="59"/>
      <c r="WAT2494" s="60"/>
      <c r="WAU2494" s="60"/>
      <c r="WAV2494" s="60"/>
      <c r="WAW2494" s="59"/>
      <c r="WAX2494" s="61"/>
      <c r="WAY2494" s="59"/>
      <c r="WAZ2494" s="59"/>
      <c r="WBA2494" s="59"/>
      <c r="WBB2494" s="60"/>
      <c r="WBC2494" s="60"/>
      <c r="WBD2494" s="60"/>
      <c r="WBE2494" s="59"/>
      <c r="WBF2494" s="61"/>
      <c r="WBG2494" s="59"/>
      <c r="WBH2494" s="59"/>
      <c r="WBI2494" s="59"/>
      <c r="WBJ2494" s="60"/>
      <c r="WBK2494" s="60"/>
      <c r="WBL2494" s="60"/>
      <c r="WBM2494" s="59"/>
      <c r="WBN2494" s="61"/>
      <c r="WBO2494" s="59"/>
      <c r="WBP2494" s="59"/>
      <c r="WBQ2494" s="59"/>
      <c r="WBR2494" s="60"/>
      <c r="WBS2494" s="60"/>
      <c r="WBT2494" s="60"/>
      <c r="WBU2494" s="59"/>
      <c r="WBV2494" s="61"/>
      <c r="WBW2494" s="59"/>
      <c r="WBX2494" s="59"/>
      <c r="WBY2494" s="59"/>
      <c r="WBZ2494" s="60"/>
      <c r="WCA2494" s="60"/>
      <c r="WCB2494" s="60"/>
      <c r="WCC2494" s="59"/>
      <c r="WCD2494" s="61"/>
      <c r="WCE2494" s="59"/>
      <c r="WCF2494" s="59"/>
      <c r="WCG2494" s="59"/>
      <c r="WCH2494" s="60"/>
      <c r="WCI2494" s="60"/>
      <c r="WCJ2494" s="60"/>
      <c r="WCK2494" s="59"/>
      <c r="WCL2494" s="61"/>
      <c r="WCM2494" s="59"/>
      <c r="WCN2494" s="59"/>
      <c r="WCO2494" s="59"/>
      <c r="WCP2494" s="60"/>
      <c r="WCQ2494" s="60"/>
      <c r="WCR2494" s="60"/>
      <c r="WCS2494" s="59"/>
      <c r="WCT2494" s="61"/>
      <c r="WCU2494" s="59"/>
      <c r="WCV2494" s="59"/>
      <c r="WCW2494" s="59"/>
      <c r="WCX2494" s="60"/>
      <c r="WCY2494" s="60"/>
      <c r="WCZ2494" s="60"/>
      <c r="WDA2494" s="59"/>
      <c r="WDB2494" s="61"/>
      <c r="WDC2494" s="59"/>
      <c r="WDD2494" s="59"/>
      <c r="WDE2494" s="59"/>
      <c r="WDF2494" s="60"/>
      <c r="WDG2494" s="60"/>
      <c r="WDH2494" s="60"/>
      <c r="WDI2494" s="59"/>
      <c r="WDJ2494" s="61"/>
      <c r="WDK2494" s="59"/>
      <c r="WDL2494" s="59"/>
      <c r="WDM2494" s="59"/>
      <c r="WDN2494" s="60"/>
      <c r="WDO2494" s="60"/>
      <c r="WDP2494" s="60"/>
      <c r="WDQ2494" s="59"/>
      <c r="WDR2494" s="61"/>
      <c r="WDS2494" s="59"/>
      <c r="WDT2494" s="59"/>
      <c r="WDU2494" s="59"/>
      <c r="WDV2494" s="60"/>
      <c r="WDW2494" s="60"/>
      <c r="WDX2494" s="60"/>
      <c r="WDY2494" s="59"/>
      <c r="WDZ2494" s="61"/>
      <c r="WEA2494" s="59"/>
      <c r="WEB2494" s="59"/>
      <c r="WEC2494" s="59"/>
      <c r="WED2494" s="60"/>
      <c r="WEE2494" s="60"/>
      <c r="WEF2494" s="60"/>
      <c r="WEG2494" s="59"/>
      <c r="WEH2494" s="61"/>
      <c r="WEI2494" s="59"/>
      <c r="WEJ2494" s="59"/>
      <c r="WEK2494" s="59"/>
      <c r="WEL2494" s="60"/>
      <c r="WEM2494" s="60"/>
      <c r="WEN2494" s="60"/>
      <c r="WEO2494" s="59"/>
      <c r="WEP2494" s="61"/>
      <c r="WEQ2494" s="59"/>
      <c r="WER2494" s="59"/>
      <c r="WES2494" s="59"/>
      <c r="WET2494" s="60"/>
      <c r="WEU2494" s="60"/>
      <c r="WEV2494" s="60"/>
      <c r="WEW2494" s="59"/>
      <c r="WEX2494" s="61"/>
      <c r="WEY2494" s="59"/>
      <c r="WEZ2494" s="59"/>
      <c r="WFA2494" s="59"/>
      <c r="WFB2494" s="60"/>
      <c r="WFC2494" s="60"/>
      <c r="WFD2494" s="60"/>
      <c r="WFE2494" s="59"/>
      <c r="WFF2494" s="61"/>
      <c r="WFG2494" s="59"/>
      <c r="WFH2494" s="59"/>
      <c r="WFI2494" s="59"/>
      <c r="WFJ2494" s="60"/>
      <c r="WFK2494" s="60"/>
      <c r="WFL2494" s="60"/>
      <c r="WFM2494" s="59"/>
      <c r="WFN2494" s="61"/>
      <c r="WFO2494" s="59"/>
      <c r="WFP2494" s="59"/>
      <c r="WFQ2494" s="59"/>
      <c r="WFR2494" s="60"/>
      <c r="WFS2494" s="60"/>
      <c r="WFT2494" s="60"/>
      <c r="WFU2494" s="59"/>
      <c r="WFV2494" s="61"/>
      <c r="WFW2494" s="59"/>
      <c r="WFX2494" s="59"/>
      <c r="WFY2494" s="59"/>
      <c r="WFZ2494" s="60"/>
      <c r="WGA2494" s="60"/>
      <c r="WGB2494" s="60"/>
      <c r="WGC2494" s="59"/>
      <c r="WGD2494" s="61"/>
      <c r="WGE2494" s="59"/>
      <c r="WGF2494" s="59"/>
      <c r="WGG2494" s="59"/>
      <c r="WGH2494" s="60"/>
      <c r="WGI2494" s="60"/>
      <c r="WGJ2494" s="60"/>
      <c r="WGK2494" s="59"/>
      <c r="WGL2494" s="61"/>
      <c r="WGM2494" s="59"/>
      <c r="WGN2494" s="59"/>
      <c r="WGO2494" s="59"/>
      <c r="WGP2494" s="60"/>
      <c r="WGQ2494" s="60"/>
      <c r="WGR2494" s="60"/>
      <c r="WGS2494" s="59"/>
      <c r="WGT2494" s="61"/>
      <c r="WGU2494" s="59"/>
      <c r="WGV2494" s="59"/>
      <c r="WGW2494" s="59"/>
      <c r="WGX2494" s="60"/>
      <c r="WGY2494" s="60"/>
      <c r="WGZ2494" s="60"/>
      <c r="WHA2494" s="59"/>
      <c r="WHB2494" s="61"/>
      <c r="WHC2494" s="59"/>
      <c r="WHD2494" s="59"/>
      <c r="WHE2494" s="59"/>
      <c r="WHF2494" s="60"/>
      <c r="WHG2494" s="60"/>
      <c r="WHH2494" s="60"/>
      <c r="WHI2494" s="59"/>
      <c r="WHJ2494" s="61"/>
      <c r="WHK2494" s="59"/>
      <c r="WHL2494" s="59"/>
      <c r="WHM2494" s="59"/>
      <c r="WHN2494" s="60"/>
      <c r="WHO2494" s="60"/>
      <c r="WHP2494" s="60"/>
      <c r="WHQ2494" s="59"/>
      <c r="WHR2494" s="61"/>
      <c r="WHS2494" s="59"/>
      <c r="WHT2494" s="59"/>
      <c r="WHU2494" s="59"/>
      <c r="WHV2494" s="60"/>
      <c r="WHW2494" s="60"/>
      <c r="WHX2494" s="60"/>
      <c r="WHY2494" s="59"/>
      <c r="WHZ2494" s="61"/>
      <c r="WIA2494" s="59"/>
      <c r="WIB2494" s="59"/>
      <c r="WIC2494" s="59"/>
      <c r="WID2494" s="60"/>
      <c r="WIE2494" s="60"/>
      <c r="WIF2494" s="60"/>
      <c r="WIG2494" s="59"/>
      <c r="WIH2494" s="61"/>
      <c r="WII2494" s="59"/>
      <c r="WIJ2494" s="59"/>
      <c r="WIK2494" s="59"/>
      <c r="WIL2494" s="60"/>
      <c r="WIM2494" s="60"/>
      <c r="WIN2494" s="60"/>
      <c r="WIO2494" s="59"/>
      <c r="WIP2494" s="61"/>
      <c r="WIQ2494" s="59"/>
      <c r="WIR2494" s="59"/>
      <c r="WIS2494" s="59"/>
      <c r="WIT2494" s="60"/>
      <c r="WIU2494" s="60"/>
      <c r="WIV2494" s="60"/>
      <c r="WIW2494" s="59"/>
      <c r="WIX2494" s="61"/>
      <c r="WIY2494" s="59"/>
      <c r="WIZ2494" s="59"/>
      <c r="WJA2494" s="59"/>
      <c r="WJB2494" s="60"/>
      <c r="WJC2494" s="60"/>
      <c r="WJD2494" s="60"/>
      <c r="WJE2494" s="59"/>
      <c r="WJF2494" s="61"/>
      <c r="WJG2494" s="59"/>
      <c r="WJH2494" s="59"/>
      <c r="WJI2494" s="59"/>
      <c r="WJJ2494" s="60"/>
      <c r="WJK2494" s="60"/>
      <c r="WJL2494" s="60"/>
      <c r="WJM2494" s="59"/>
      <c r="WJN2494" s="61"/>
      <c r="WJO2494" s="59"/>
      <c r="WJP2494" s="59"/>
      <c r="WJQ2494" s="59"/>
      <c r="WJR2494" s="60"/>
      <c r="WJS2494" s="60"/>
      <c r="WJT2494" s="60"/>
      <c r="WJU2494" s="59"/>
      <c r="WJV2494" s="61"/>
      <c r="WJW2494" s="59"/>
      <c r="WJX2494" s="59"/>
      <c r="WJY2494" s="59"/>
      <c r="WJZ2494" s="60"/>
      <c r="WKA2494" s="60"/>
      <c r="WKB2494" s="60"/>
      <c r="WKC2494" s="59"/>
      <c r="WKD2494" s="61"/>
      <c r="WKE2494" s="59"/>
      <c r="WKF2494" s="59"/>
      <c r="WKG2494" s="59"/>
      <c r="WKH2494" s="60"/>
      <c r="WKI2494" s="60"/>
      <c r="WKJ2494" s="60"/>
      <c r="WKK2494" s="59"/>
      <c r="WKL2494" s="61"/>
      <c r="WKM2494" s="59"/>
      <c r="WKN2494" s="59"/>
      <c r="WKO2494" s="59"/>
      <c r="WKP2494" s="60"/>
      <c r="WKQ2494" s="60"/>
      <c r="WKR2494" s="60"/>
      <c r="WKS2494" s="59"/>
      <c r="WKT2494" s="61"/>
      <c r="WKU2494" s="59"/>
      <c r="WKV2494" s="59"/>
      <c r="WKW2494" s="59"/>
      <c r="WKX2494" s="60"/>
      <c r="WKY2494" s="60"/>
      <c r="WKZ2494" s="60"/>
      <c r="WLA2494" s="59"/>
      <c r="WLB2494" s="61"/>
      <c r="WLC2494" s="59"/>
      <c r="WLD2494" s="59"/>
      <c r="WLE2494" s="59"/>
      <c r="WLF2494" s="60"/>
      <c r="WLG2494" s="60"/>
      <c r="WLH2494" s="60"/>
      <c r="WLI2494" s="59"/>
      <c r="WLJ2494" s="61"/>
      <c r="WLK2494" s="59"/>
      <c r="WLL2494" s="59"/>
      <c r="WLM2494" s="59"/>
      <c r="WLN2494" s="60"/>
      <c r="WLO2494" s="60"/>
      <c r="WLP2494" s="60"/>
      <c r="WLQ2494" s="59"/>
      <c r="WLR2494" s="61"/>
      <c r="WLS2494" s="59"/>
      <c r="WLT2494" s="59"/>
      <c r="WLU2494" s="59"/>
      <c r="WLV2494" s="60"/>
      <c r="WLW2494" s="60"/>
      <c r="WLX2494" s="60"/>
      <c r="WLY2494" s="59"/>
      <c r="WLZ2494" s="61"/>
      <c r="WMA2494" s="59"/>
      <c r="WMB2494" s="59"/>
      <c r="WMC2494" s="59"/>
      <c r="WMD2494" s="60"/>
      <c r="WME2494" s="60"/>
      <c r="WMF2494" s="60"/>
      <c r="WMG2494" s="59"/>
      <c r="WMH2494" s="61"/>
      <c r="WMI2494" s="59"/>
      <c r="WMJ2494" s="59"/>
      <c r="WMK2494" s="59"/>
      <c r="WML2494" s="60"/>
      <c r="WMM2494" s="60"/>
      <c r="WMN2494" s="60"/>
      <c r="WMO2494" s="59"/>
      <c r="WMP2494" s="61"/>
      <c r="WMQ2494" s="59"/>
      <c r="WMR2494" s="59"/>
      <c r="WMS2494" s="59"/>
      <c r="WMT2494" s="60"/>
      <c r="WMU2494" s="60"/>
      <c r="WMV2494" s="60"/>
      <c r="WMW2494" s="59"/>
      <c r="WMX2494" s="61"/>
      <c r="WMY2494" s="59"/>
      <c r="WMZ2494" s="59"/>
      <c r="WNA2494" s="59"/>
      <c r="WNB2494" s="60"/>
      <c r="WNC2494" s="60"/>
      <c r="WND2494" s="60"/>
      <c r="WNE2494" s="59"/>
      <c r="WNF2494" s="61"/>
      <c r="WNG2494" s="59"/>
      <c r="WNH2494" s="59"/>
      <c r="WNI2494" s="59"/>
      <c r="WNJ2494" s="60"/>
      <c r="WNK2494" s="60"/>
      <c r="WNL2494" s="60"/>
      <c r="WNM2494" s="59"/>
      <c r="WNN2494" s="61"/>
      <c r="WNO2494" s="59"/>
      <c r="WNP2494" s="59"/>
      <c r="WNQ2494" s="59"/>
      <c r="WNR2494" s="60"/>
      <c r="WNS2494" s="60"/>
      <c r="WNT2494" s="60"/>
      <c r="WNU2494" s="59"/>
      <c r="WNV2494" s="61"/>
      <c r="WNW2494" s="59"/>
      <c r="WNX2494" s="59"/>
      <c r="WNY2494" s="59"/>
      <c r="WNZ2494" s="60"/>
      <c r="WOA2494" s="60"/>
      <c r="WOB2494" s="60"/>
      <c r="WOC2494" s="59"/>
      <c r="WOD2494" s="61"/>
      <c r="WOE2494" s="59"/>
      <c r="WOF2494" s="59"/>
      <c r="WOG2494" s="59"/>
      <c r="WOH2494" s="60"/>
      <c r="WOI2494" s="60"/>
      <c r="WOJ2494" s="60"/>
      <c r="WOK2494" s="59"/>
      <c r="WOL2494" s="61"/>
      <c r="WOM2494" s="59"/>
      <c r="WON2494" s="59"/>
      <c r="WOO2494" s="59"/>
      <c r="WOP2494" s="60"/>
      <c r="WOQ2494" s="60"/>
      <c r="WOR2494" s="60"/>
      <c r="WOS2494" s="59"/>
      <c r="WOT2494" s="61"/>
      <c r="WOU2494" s="59"/>
      <c r="WOV2494" s="59"/>
      <c r="WOW2494" s="59"/>
      <c r="WOX2494" s="60"/>
      <c r="WOY2494" s="60"/>
      <c r="WOZ2494" s="60"/>
      <c r="WPA2494" s="59"/>
      <c r="WPB2494" s="61"/>
      <c r="WPC2494" s="59"/>
      <c r="WPD2494" s="59"/>
      <c r="WPE2494" s="59"/>
      <c r="WPF2494" s="60"/>
      <c r="WPG2494" s="60"/>
      <c r="WPH2494" s="60"/>
      <c r="WPI2494" s="59"/>
      <c r="WPJ2494" s="61"/>
      <c r="WPK2494" s="59"/>
      <c r="WPL2494" s="59"/>
      <c r="WPM2494" s="59"/>
      <c r="WPN2494" s="60"/>
      <c r="WPO2494" s="60"/>
      <c r="WPP2494" s="60"/>
      <c r="WPQ2494" s="59"/>
      <c r="WPR2494" s="61"/>
      <c r="WPS2494" s="59"/>
      <c r="WPT2494" s="59"/>
      <c r="WPU2494" s="59"/>
      <c r="WPV2494" s="60"/>
      <c r="WPW2494" s="60"/>
      <c r="WPX2494" s="60"/>
      <c r="WPY2494" s="59"/>
      <c r="WPZ2494" s="61"/>
      <c r="WQA2494" s="59"/>
      <c r="WQB2494" s="59"/>
      <c r="WQC2494" s="59"/>
      <c r="WQD2494" s="60"/>
      <c r="WQE2494" s="60"/>
      <c r="WQF2494" s="60"/>
      <c r="WQG2494" s="59"/>
      <c r="WQH2494" s="61"/>
      <c r="WQI2494" s="59"/>
      <c r="WQJ2494" s="59"/>
      <c r="WQK2494" s="59"/>
      <c r="WQL2494" s="60"/>
      <c r="WQM2494" s="60"/>
      <c r="WQN2494" s="60"/>
      <c r="WQO2494" s="59"/>
      <c r="WQP2494" s="61"/>
      <c r="WQQ2494" s="59"/>
      <c r="WQR2494" s="59"/>
      <c r="WQS2494" s="59"/>
      <c r="WQT2494" s="60"/>
      <c r="WQU2494" s="60"/>
      <c r="WQV2494" s="60"/>
      <c r="WQW2494" s="59"/>
      <c r="WQX2494" s="61"/>
      <c r="WQY2494" s="59"/>
      <c r="WQZ2494" s="59"/>
      <c r="WRA2494" s="59"/>
      <c r="WRB2494" s="60"/>
      <c r="WRC2494" s="60"/>
      <c r="WRD2494" s="60"/>
      <c r="WRE2494" s="59"/>
      <c r="WRF2494" s="61"/>
      <c r="WRG2494" s="59"/>
      <c r="WRH2494" s="59"/>
      <c r="WRI2494" s="59"/>
      <c r="WRJ2494" s="60"/>
      <c r="WRK2494" s="60"/>
      <c r="WRL2494" s="60"/>
      <c r="WRM2494" s="59"/>
      <c r="WRN2494" s="61"/>
      <c r="WRO2494" s="59"/>
      <c r="WRP2494" s="59"/>
      <c r="WRQ2494" s="59"/>
      <c r="WRR2494" s="60"/>
      <c r="WRS2494" s="60"/>
      <c r="WRT2494" s="60"/>
      <c r="WRU2494" s="59"/>
      <c r="WRV2494" s="61"/>
      <c r="WRW2494" s="59"/>
      <c r="WRX2494" s="59"/>
      <c r="WRY2494" s="59"/>
      <c r="WRZ2494" s="60"/>
      <c r="WSA2494" s="60"/>
      <c r="WSB2494" s="60"/>
      <c r="WSC2494" s="59"/>
      <c r="WSD2494" s="61"/>
      <c r="WSE2494" s="59"/>
      <c r="WSF2494" s="59"/>
      <c r="WSG2494" s="59"/>
      <c r="WSH2494" s="60"/>
      <c r="WSI2494" s="60"/>
      <c r="WSJ2494" s="60"/>
      <c r="WSK2494" s="59"/>
      <c r="WSL2494" s="61"/>
      <c r="WSM2494" s="59"/>
      <c r="WSN2494" s="59"/>
      <c r="WSO2494" s="59"/>
      <c r="WSP2494" s="60"/>
      <c r="WSQ2494" s="60"/>
      <c r="WSR2494" s="60"/>
      <c r="WSS2494" s="59"/>
      <c r="WST2494" s="61"/>
      <c r="WSU2494" s="59"/>
      <c r="WSV2494" s="59"/>
      <c r="WSW2494" s="59"/>
      <c r="WSX2494" s="60"/>
      <c r="WSY2494" s="60"/>
      <c r="WSZ2494" s="60"/>
      <c r="WTA2494" s="59"/>
      <c r="WTB2494" s="61"/>
      <c r="WTC2494" s="59"/>
      <c r="WTD2494" s="59"/>
      <c r="WTE2494" s="59"/>
      <c r="WTF2494" s="60"/>
      <c r="WTG2494" s="60"/>
      <c r="WTH2494" s="60"/>
      <c r="WTI2494" s="59"/>
      <c r="WTJ2494" s="61"/>
      <c r="WTK2494" s="59"/>
      <c r="WTL2494" s="59"/>
      <c r="WTM2494" s="59"/>
      <c r="WTN2494" s="60"/>
      <c r="WTO2494" s="60"/>
      <c r="WTP2494" s="60"/>
      <c r="WTQ2494" s="59"/>
      <c r="WTR2494" s="61"/>
      <c r="WTS2494" s="59"/>
      <c r="WTT2494" s="59"/>
      <c r="WTU2494" s="59"/>
      <c r="WTV2494" s="60"/>
      <c r="WTW2494" s="60"/>
      <c r="WTX2494" s="60"/>
      <c r="WTY2494" s="59"/>
      <c r="WTZ2494" s="61"/>
      <c r="WUA2494" s="59"/>
      <c r="WUB2494" s="59"/>
      <c r="WUC2494" s="59"/>
      <c r="WUD2494" s="60"/>
      <c r="WUE2494" s="60"/>
      <c r="WUF2494" s="60"/>
      <c r="WUG2494" s="59"/>
      <c r="WUH2494" s="61"/>
      <c r="WUI2494" s="59"/>
      <c r="WUJ2494" s="59"/>
      <c r="WUK2494" s="59"/>
      <c r="WUL2494" s="60"/>
      <c r="WUM2494" s="60"/>
      <c r="WUN2494" s="60"/>
      <c r="WUO2494" s="59"/>
      <c r="WUP2494" s="61"/>
      <c r="WUQ2494" s="59"/>
      <c r="WUR2494" s="59"/>
      <c r="WUS2494" s="59"/>
      <c r="WUT2494" s="60"/>
      <c r="WUU2494" s="60"/>
      <c r="WUV2494" s="60"/>
      <c r="WUW2494" s="59"/>
      <c r="WUX2494" s="61"/>
      <c r="WUY2494" s="59"/>
      <c r="WUZ2494" s="59"/>
      <c r="WVA2494" s="59"/>
      <c r="WVB2494" s="60"/>
      <c r="WVC2494" s="60"/>
      <c r="WVD2494" s="60"/>
      <c r="WVE2494" s="59"/>
      <c r="WVF2494" s="61"/>
      <c r="WVG2494" s="59"/>
      <c r="WVH2494" s="59"/>
      <c r="WVI2494" s="59"/>
      <c r="WVJ2494" s="60"/>
      <c r="WVK2494" s="60"/>
      <c r="WVL2494" s="60"/>
      <c r="WVM2494" s="59"/>
      <c r="WVN2494" s="61"/>
      <c r="WVO2494" s="59"/>
      <c r="WVP2494" s="59"/>
      <c r="WVQ2494" s="59"/>
      <c r="WVR2494" s="60"/>
      <c r="WVS2494" s="60"/>
      <c r="WVT2494" s="60"/>
      <c r="WVU2494" s="59"/>
      <c r="WVV2494" s="61"/>
      <c r="WVW2494" s="59"/>
      <c r="WVX2494" s="59"/>
      <c r="WVY2494" s="59"/>
      <c r="WVZ2494" s="60"/>
      <c r="WWA2494" s="60"/>
      <c r="WWB2494" s="60"/>
      <c r="WWC2494" s="59"/>
      <c r="WWD2494" s="61"/>
      <c r="WWE2494" s="59"/>
      <c r="WWF2494" s="59"/>
      <c r="WWG2494" s="59"/>
      <c r="WWH2494" s="60"/>
      <c r="WWI2494" s="60"/>
      <c r="WWJ2494" s="60"/>
      <c r="WWK2494" s="59"/>
      <c r="WWL2494" s="61"/>
      <c r="WWM2494" s="59"/>
      <c r="WWN2494" s="59"/>
      <c r="WWO2494" s="59"/>
      <c r="WWP2494" s="60"/>
      <c r="WWQ2494" s="60"/>
      <c r="WWR2494" s="60"/>
      <c r="WWS2494" s="59"/>
      <c r="WWT2494" s="61"/>
      <c r="WWU2494" s="59"/>
      <c r="WWV2494" s="59"/>
      <c r="WWW2494" s="59"/>
      <c r="WWX2494" s="60"/>
      <c r="WWY2494" s="60"/>
      <c r="WWZ2494" s="60"/>
      <c r="WXA2494" s="59"/>
      <c r="WXB2494" s="61"/>
      <c r="WXC2494" s="59"/>
      <c r="WXD2494" s="59"/>
      <c r="WXE2494" s="59"/>
      <c r="WXF2494" s="60"/>
      <c r="WXG2494" s="60"/>
      <c r="WXH2494" s="60"/>
      <c r="WXI2494" s="59"/>
      <c r="WXJ2494" s="61"/>
      <c r="WXK2494" s="59"/>
      <c r="WXL2494" s="59"/>
      <c r="WXM2494" s="59"/>
      <c r="WXN2494" s="60"/>
      <c r="WXO2494" s="60"/>
      <c r="WXP2494" s="60"/>
      <c r="WXQ2494" s="59"/>
      <c r="WXR2494" s="61"/>
      <c r="WXS2494" s="59"/>
      <c r="WXT2494" s="59"/>
      <c r="WXU2494" s="59"/>
      <c r="WXV2494" s="60"/>
      <c r="WXW2494" s="60"/>
      <c r="WXX2494" s="60"/>
      <c r="WXY2494" s="59"/>
      <c r="WXZ2494" s="61"/>
      <c r="WYA2494" s="59"/>
      <c r="WYB2494" s="59"/>
      <c r="WYC2494" s="59"/>
      <c r="WYD2494" s="60"/>
      <c r="WYE2494" s="60"/>
      <c r="WYF2494" s="60"/>
      <c r="WYG2494" s="59"/>
      <c r="WYH2494" s="61"/>
      <c r="WYI2494" s="59"/>
      <c r="WYJ2494" s="59"/>
      <c r="WYK2494" s="59"/>
      <c r="WYL2494" s="60"/>
      <c r="WYM2494" s="60"/>
      <c r="WYN2494" s="60"/>
      <c r="WYO2494" s="59"/>
      <c r="WYP2494" s="61"/>
      <c r="WYQ2494" s="59"/>
      <c r="WYR2494" s="59"/>
      <c r="WYS2494" s="59"/>
      <c r="WYT2494" s="60"/>
      <c r="WYU2494" s="60"/>
      <c r="WYV2494" s="60"/>
      <c r="WYW2494" s="59"/>
      <c r="WYX2494" s="61"/>
      <c r="WYY2494" s="59"/>
      <c r="WYZ2494" s="59"/>
      <c r="WZA2494" s="59"/>
      <c r="WZB2494" s="60"/>
      <c r="WZC2494" s="60"/>
      <c r="WZD2494" s="60"/>
      <c r="WZE2494" s="59"/>
      <c r="WZF2494" s="61"/>
      <c r="WZG2494" s="59"/>
      <c r="WZH2494" s="59"/>
      <c r="WZI2494" s="59"/>
      <c r="WZJ2494" s="60"/>
      <c r="WZK2494" s="60"/>
      <c r="WZL2494" s="60"/>
      <c r="WZM2494" s="59"/>
      <c r="WZN2494" s="61"/>
      <c r="WZO2494" s="59"/>
      <c r="WZP2494" s="59"/>
      <c r="WZQ2494" s="59"/>
      <c r="WZR2494" s="60"/>
      <c r="WZS2494" s="60"/>
      <c r="WZT2494" s="60"/>
      <c r="WZU2494" s="59"/>
      <c r="WZV2494" s="61"/>
      <c r="WZW2494" s="59"/>
      <c r="WZX2494" s="59"/>
      <c r="WZY2494" s="59"/>
      <c r="WZZ2494" s="60"/>
      <c r="XAA2494" s="60"/>
      <c r="XAB2494" s="60"/>
      <c r="XAC2494" s="59"/>
      <c r="XAD2494" s="61"/>
      <c r="XAE2494" s="59"/>
      <c r="XAF2494" s="59"/>
      <c r="XAG2494" s="59"/>
      <c r="XAH2494" s="60"/>
      <c r="XAI2494" s="60"/>
      <c r="XAJ2494" s="60"/>
      <c r="XAK2494" s="59"/>
      <c r="XAL2494" s="61"/>
      <c r="XAM2494" s="59"/>
      <c r="XAN2494" s="59"/>
      <c r="XAO2494" s="59"/>
      <c r="XAP2494" s="60"/>
      <c r="XAQ2494" s="60"/>
      <c r="XAR2494" s="60"/>
      <c r="XAS2494" s="59"/>
      <c r="XAT2494" s="61"/>
      <c r="XAU2494" s="59"/>
      <c r="XAV2494" s="59"/>
      <c r="XAW2494" s="59"/>
      <c r="XAX2494" s="60"/>
      <c r="XAY2494" s="60"/>
      <c r="XAZ2494" s="60"/>
      <c r="XBA2494" s="59"/>
      <c r="XBB2494" s="61"/>
      <c r="XBC2494" s="59"/>
      <c r="XBD2494" s="59"/>
      <c r="XBE2494" s="59"/>
      <c r="XBF2494" s="60"/>
      <c r="XBG2494" s="60"/>
      <c r="XBH2494" s="60"/>
      <c r="XBI2494" s="59"/>
      <c r="XBJ2494" s="61"/>
      <c r="XBK2494" s="59"/>
      <c r="XBL2494" s="59"/>
      <c r="XBM2494" s="59"/>
      <c r="XBN2494" s="60"/>
      <c r="XBO2494" s="60"/>
      <c r="XBP2494" s="60"/>
      <c r="XBQ2494" s="59"/>
      <c r="XBR2494" s="61"/>
      <c r="XBS2494" s="59"/>
      <c r="XBT2494" s="59"/>
      <c r="XBU2494" s="59"/>
      <c r="XBV2494" s="60"/>
      <c r="XBW2494" s="60"/>
      <c r="XBX2494" s="60"/>
      <c r="XBY2494" s="59"/>
      <c r="XBZ2494" s="61"/>
      <c r="XCA2494" s="59"/>
      <c r="XCB2494" s="59"/>
      <c r="XCC2494" s="59"/>
      <c r="XCD2494" s="60"/>
      <c r="XCE2494" s="60"/>
      <c r="XCF2494" s="60"/>
      <c r="XCG2494" s="59"/>
      <c r="XCH2494" s="61"/>
      <c r="XCI2494" s="59"/>
      <c r="XCJ2494" s="59"/>
      <c r="XCK2494" s="59"/>
      <c r="XCL2494" s="60"/>
      <c r="XCM2494" s="60"/>
      <c r="XCN2494" s="60"/>
      <c r="XCO2494" s="59"/>
      <c r="XCP2494" s="61"/>
      <c r="XCQ2494" s="59"/>
      <c r="XCR2494" s="59"/>
      <c r="XCS2494" s="59"/>
      <c r="XCT2494" s="60"/>
      <c r="XCU2494" s="60"/>
      <c r="XCV2494" s="60"/>
      <c r="XCW2494" s="59"/>
      <c r="XCX2494" s="61"/>
      <c r="XCY2494" s="59"/>
      <c r="XCZ2494" s="59"/>
      <c r="XDA2494" s="59"/>
      <c r="XDB2494" s="60"/>
      <c r="XDC2494" s="60"/>
      <c r="XDD2494" s="60"/>
      <c r="XDE2494" s="59"/>
      <c r="XDF2494" s="61"/>
      <c r="XDG2494" s="59"/>
      <c r="XDH2494" s="59"/>
      <c r="XDI2494" s="59"/>
      <c r="XDJ2494" s="60"/>
      <c r="XDK2494" s="60"/>
      <c r="XDL2494" s="60"/>
      <c r="XDM2494" s="59"/>
      <c r="XDN2494" s="61"/>
      <c r="XDO2494" s="59"/>
      <c r="XDP2494" s="59"/>
      <c r="XDQ2494" s="59"/>
      <c r="XDR2494" s="60"/>
      <c r="XDS2494" s="60"/>
      <c r="XDT2494" s="60"/>
      <c r="XDU2494" s="59"/>
      <c r="XDV2494" s="61"/>
      <c r="XDW2494" s="59"/>
      <c r="XDX2494" s="59"/>
      <c r="XDY2494" s="59"/>
      <c r="XDZ2494" s="60"/>
      <c r="XEA2494" s="60"/>
      <c r="XEB2494" s="60"/>
      <c r="XEC2494" s="59"/>
      <c r="XED2494" s="61"/>
      <c r="XEE2494" s="59"/>
      <c r="XEF2494" s="59"/>
      <c r="XEG2494" s="59"/>
      <c r="XEH2494" s="60"/>
      <c r="XEI2494" s="60"/>
      <c r="XEJ2494" s="60"/>
      <c r="XEK2494" s="59"/>
      <c r="XEL2494" s="61"/>
      <c r="XEM2494" s="59"/>
      <c r="XEN2494" s="59"/>
      <c r="XEO2494" s="59"/>
      <c r="XEP2494" s="60"/>
      <c r="XEQ2494" s="60"/>
      <c r="XER2494" s="60"/>
      <c r="XES2494" s="59"/>
      <c r="XET2494" s="61"/>
      <c r="XEU2494" s="59"/>
      <c r="XEV2494" s="59"/>
      <c r="XEW2494" s="59"/>
    </row>
    <row r="2495" ht="18" customHeight="1" spans="1:6">
      <c r="A2495" s="13" t="s">
        <v>8844</v>
      </c>
      <c r="B2495" s="13"/>
      <c r="C2495" s="13">
        <v>105</v>
      </c>
      <c r="D2495" s="13">
        <v>395</v>
      </c>
      <c r="E2495" s="13"/>
      <c r="F2495" s="5"/>
    </row>
    <row r="2496" ht="18" customHeight="1" spans="1:6">
      <c r="A2496" s="5" t="s">
        <v>8845</v>
      </c>
      <c r="B2496" s="5" t="s">
        <v>16437</v>
      </c>
      <c r="C2496" s="5" t="s">
        <v>16438</v>
      </c>
      <c r="D2496" s="5">
        <v>5</v>
      </c>
      <c r="E2496" s="8" t="s">
        <v>16439</v>
      </c>
      <c r="F2496" s="7" t="s">
        <v>11535</v>
      </c>
    </row>
    <row r="2497" ht="18" customHeight="1" spans="1:6">
      <c r="A2497" s="5" t="s">
        <v>8845</v>
      </c>
      <c r="B2497" s="5" t="s">
        <v>16440</v>
      </c>
      <c r="C2497" s="5" t="s">
        <v>16441</v>
      </c>
      <c r="D2497" s="5">
        <v>5</v>
      </c>
      <c r="E2497" s="8" t="s">
        <v>16442</v>
      </c>
      <c r="F2497" s="7" t="s">
        <v>11535</v>
      </c>
    </row>
    <row r="2498" ht="18" customHeight="1" spans="1:6">
      <c r="A2498" s="5" t="s">
        <v>8845</v>
      </c>
      <c r="B2498" s="5" t="s">
        <v>16443</v>
      </c>
      <c r="C2498" s="8" t="s">
        <v>16444</v>
      </c>
      <c r="D2498" s="9">
        <v>2</v>
      </c>
      <c r="E2498" s="8" t="s">
        <v>16445</v>
      </c>
      <c r="F2498" s="7" t="s">
        <v>11535</v>
      </c>
    </row>
    <row r="2499" ht="18" customHeight="1" spans="1:6">
      <c r="A2499" s="5" t="s">
        <v>8845</v>
      </c>
      <c r="B2499" s="5" t="s">
        <v>16446</v>
      </c>
      <c r="C2499" s="8" t="s">
        <v>16447</v>
      </c>
      <c r="D2499" s="9">
        <v>3</v>
      </c>
      <c r="E2499" s="8" t="s">
        <v>16448</v>
      </c>
      <c r="F2499" s="7" t="s">
        <v>11535</v>
      </c>
    </row>
    <row r="2500" ht="18" customHeight="1" spans="1:6">
      <c r="A2500" s="5" t="s">
        <v>8845</v>
      </c>
      <c r="B2500" s="5" t="s">
        <v>16449</v>
      </c>
      <c r="C2500" s="8" t="s">
        <v>16450</v>
      </c>
      <c r="D2500" s="9">
        <v>2</v>
      </c>
      <c r="E2500" s="8" t="s">
        <v>16451</v>
      </c>
      <c r="F2500" s="7" t="s">
        <v>11535</v>
      </c>
    </row>
    <row r="2501" ht="18" customHeight="1" spans="1:6">
      <c r="A2501" s="5" t="s">
        <v>8845</v>
      </c>
      <c r="B2501" s="5" t="s">
        <v>16446</v>
      </c>
      <c r="C2501" s="8" t="s">
        <v>16452</v>
      </c>
      <c r="D2501" s="9">
        <v>3</v>
      </c>
      <c r="E2501" s="8" t="s">
        <v>16453</v>
      </c>
      <c r="F2501" s="7" t="s">
        <v>11535</v>
      </c>
    </row>
    <row r="2502" ht="18" customHeight="1" spans="1:6">
      <c r="A2502" s="5" t="s">
        <v>8845</v>
      </c>
      <c r="B2502" s="5" t="s">
        <v>16454</v>
      </c>
      <c r="C2502" s="8" t="s">
        <v>16455</v>
      </c>
      <c r="D2502" s="9">
        <v>4</v>
      </c>
      <c r="E2502" s="8" t="s">
        <v>16456</v>
      </c>
      <c r="F2502" s="7" t="s">
        <v>11535</v>
      </c>
    </row>
    <row r="2503" ht="18" customHeight="1" spans="1:6">
      <c r="A2503" s="5" t="s">
        <v>8845</v>
      </c>
      <c r="B2503" s="5" t="s">
        <v>8857</v>
      </c>
      <c r="C2503" s="68" t="s">
        <v>16457</v>
      </c>
      <c r="D2503" s="5">
        <v>4</v>
      </c>
      <c r="E2503" s="5" t="s">
        <v>16458</v>
      </c>
      <c r="F2503" s="7" t="s">
        <v>11535</v>
      </c>
    </row>
    <row r="2504" ht="18" customHeight="1" spans="1:6">
      <c r="A2504" s="5" t="s">
        <v>8845</v>
      </c>
      <c r="B2504" s="5" t="s">
        <v>8857</v>
      </c>
      <c r="C2504" s="69" t="s">
        <v>16459</v>
      </c>
      <c r="D2504" s="5">
        <v>2</v>
      </c>
      <c r="E2504" s="70" t="s">
        <v>16460</v>
      </c>
      <c r="F2504" s="7" t="s">
        <v>11535</v>
      </c>
    </row>
    <row r="2505" ht="18" customHeight="1" spans="1:6">
      <c r="A2505" s="5" t="s">
        <v>8845</v>
      </c>
      <c r="B2505" s="5" t="s">
        <v>8857</v>
      </c>
      <c r="C2505" s="68" t="s">
        <v>16461</v>
      </c>
      <c r="D2505" s="5">
        <v>3</v>
      </c>
      <c r="E2505" s="5" t="s">
        <v>16462</v>
      </c>
      <c r="F2505" s="7" t="s">
        <v>11535</v>
      </c>
    </row>
    <row r="2506" ht="18" customHeight="1" spans="1:6">
      <c r="A2506" s="5" t="s">
        <v>8845</v>
      </c>
      <c r="B2506" s="5" t="s">
        <v>8857</v>
      </c>
      <c r="C2506" s="68" t="s">
        <v>16463</v>
      </c>
      <c r="D2506" s="5">
        <v>3</v>
      </c>
      <c r="E2506" s="5" t="s">
        <v>16464</v>
      </c>
      <c r="F2506" s="7" t="s">
        <v>11535</v>
      </c>
    </row>
    <row r="2507" ht="18" customHeight="1" spans="1:6">
      <c r="A2507" s="5" t="s">
        <v>8845</v>
      </c>
      <c r="B2507" s="5" t="s">
        <v>8857</v>
      </c>
      <c r="C2507" s="69" t="s">
        <v>16465</v>
      </c>
      <c r="D2507" s="5">
        <v>4</v>
      </c>
      <c r="E2507" s="71" t="s">
        <v>16466</v>
      </c>
      <c r="F2507" s="7" t="s">
        <v>11535</v>
      </c>
    </row>
    <row r="2508" ht="18" customHeight="1" spans="1:6">
      <c r="A2508" s="5" t="s">
        <v>8845</v>
      </c>
      <c r="B2508" s="5" t="s">
        <v>8857</v>
      </c>
      <c r="C2508" s="69" t="s">
        <v>16467</v>
      </c>
      <c r="D2508" s="5">
        <v>4</v>
      </c>
      <c r="E2508" s="70" t="s">
        <v>16468</v>
      </c>
      <c r="F2508" s="7" t="s">
        <v>11535</v>
      </c>
    </row>
    <row r="2509" ht="18" customHeight="1" spans="1:6">
      <c r="A2509" s="5" t="s">
        <v>8845</v>
      </c>
      <c r="B2509" s="5" t="s">
        <v>8857</v>
      </c>
      <c r="C2509" s="72" t="s">
        <v>16469</v>
      </c>
      <c r="D2509" s="73" t="s">
        <v>2043</v>
      </c>
      <c r="E2509" s="73" t="s">
        <v>16470</v>
      </c>
      <c r="F2509" s="7" t="s">
        <v>11535</v>
      </c>
    </row>
    <row r="2510" ht="18" customHeight="1" spans="1:6">
      <c r="A2510" s="5" t="s">
        <v>8845</v>
      </c>
      <c r="B2510" s="5" t="s">
        <v>8857</v>
      </c>
      <c r="C2510" s="68" t="s">
        <v>16471</v>
      </c>
      <c r="D2510" s="68">
        <v>3</v>
      </c>
      <c r="E2510" s="74" t="s">
        <v>16472</v>
      </c>
      <c r="F2510" s="7" t="s">
        <v>11535</v>
      </c>
    </row>
    <row r="2511" ht="18" customHeight="1" spans="1:6">
      <c r="A2511" s="5" t="s">
        <v>8845</v>
      </c>
      <c r="B2511" s="5" t="s">
        <v>8857</v>
      </c>
      <c r="C2511" s="68" t="s">
        <v>16473</v>
      </c>
      <c r="D2511" s="68">
        <v>4</v>
      </c>
      <c r="E2511" s="74" t="s">
        <v>16474</v>
      </c>
      <c r="F2511" s="7" t="s">
        <v>11535</v>
      </c>
    </row>
    <row r="2512" ht="18" customHeight="1" spans="1:6">
      <c r="A2512" s="5" t="s">
        <v>8845</v>
      </c>
      <c r="B2512" s="5" t="s">
        <v>8857</v>
      </c>
      <c r="C2512" s="68" t="s">
        <v>16475</v>
      </c>
      <c r="D2512" s="68">
        <v>3</v>
      </c>
      <c r="E2512" s="74" t="s">
        <v>16476</v>
      </c>
      <c r="F2512" s="7" t="s">
        <v>11535</v>
      </c>
    </row>
    <row r="2513" ht="18" customHeight="1" spans="1:6">
      <c r="A2513" s="5" t="s">
        <v>8845</v>
      </c>
      <c r="B2513" s="5" t="s">
        <v>8857</v>
      </c>
      <c r="C2513" s="68" t="s">
        <v>16477</v>
      </c>
      <c r="D2513" s="68">
        <v>4</v>
      </c>
      <c r="E2513" s="74" t="s">
        <v>16478</v>
      </c>
      <c r="F2513" s="7" t="s">
        <v>11535</v>
      </c>
    </row>
    <row r="2514" ht="18" customHeight="1" spans="1:6">
      <c r="A2514" s="5" t="s">
        <v>8845</v>
      </c>
      <c r="B2514" s="5" t="s">
        <v>8876</v>
      </c>
      <c r="C2514" s="5" t="s">
        <v>16479</v>
      </c>
      <c r="D2514" s="5">
        <v>3</v>
      </c>
      <c r="E2514" s="5" t="s">
        <v>16480</v>
      </c>
      <c r="F2514" s="7" t="s">
        <v>11535</v>
      </c>
    </row>
    <row r="2515" ht="18" customHeight="1" spans="1:6">
      <c r="A2515" s="5" t="s">
        <v>8845</v>
      </c>
      <c r="B2515" s="5" t="s">
        <v>8876</v>
      </c>
      <c r="C2515" s="5" t="s">
        <v>16481</v>
      </c>
      <c r="D2515" s="5">
        <v>5</v>
      </c>
      <c r="E2515" s="5" t="s">
        <v>16482</v>
      </c>
      <c r="F2515" s="7" t="s">
        <v>11535</v>
      </c>
    </row>
    <row r="2516" ht="18" customHeight="1" spans="1:6">
      <c r="A2516" s="5" t="s">
        <v>8845</v>
      </c>
      <c r="B2516" s="5" t="s">
        <v>8876</v>
      </c>
      <c r="C2516" s="5" t="s">
        <v>16483</v>
      </c>
      <c r="D2516" s="5">
        <v>2</v>
      </c>
      <c r="E2516" s="5" t="s">
        <v>16484</v>
      </c>
      <c r="F2516" s="7" t="s">
        <v>11535</v>
      </c>
    </row>
    <row r="2517" ht="18" customHeight="1" spans="1:6">
      <c r="A2517" s="5" t="s">
        <v>8845</v>
      </c>
      <c r="B2517" s="5" t="s">
        <v>8876</v>
      </c>
      <c r="C2517" s="5" t="s">
        <v>16485</v>
      </c>
      <c r="D2517" s="5">
        <v>4</v>
      </c>
      <c r="E2517" s="5" t="s">
        <v>16486</v>
      </c>
      <c r="F2517" s="7" t="s">
        <v>11535</v>
      </c>
    </row>
    <row r="2518" ht="18" customHeight="1" spans="1:6">
      <c r="A2518" s="5" t="s">
        <v>8845</v>
      </c>
      <c r="B2518" s="5" t="s">
        <v>8884</v>
      </c>
      <c r="C2518" s="5" t="s">
        <v>16487</v>
      </c>
      <c r="D2518" s="5">
        <v>1</v>
      </c>
      <c r="E2518" s="5" t="s">
        <v>16488</v>
      </c>
      <c r="F2518" s="7" t="s">
        <v>11535</v>
      </c>
    </row>
    <row r="2519" ht="18" customHeight="1" spans="1:6">
      <c r="A2519" s="5" t="s">
        <v>8845</v>
      </c>
      <c r="B2519" s="5" t="s">
        <v>8884</v>
      </c>
      <c r="C2519" s="5" t="s">
        <v>16489</v>
      </c>
      <c r="D2519" s="5">
        <v>1</v>
      </c>
      <c r="E2519" s="5" t="s">
        <v>16490</v>
      </c>
      <c r="F2519" s="7" t="s">
        <v>11535</v>
      </c>
    </row>
    <row r="2520" ht="18" customHeight="1" spans="1:6">
      <c r="A2520" s="5" t="s">
        <v>8845</v>
      </c>
      <c r="B2520" s="5" t="s">
        <v>8884</v>
      </c>
      <c r="C2520" s="5" t="s">
        <v>16491</v>
      </c>
      <c r="D2520" s="5">
        <v>1</v>
      </c>
      <c r="E2520" s="5" t="s">
        <v>16492</v>
      </c>
      <c r="F2520" s="7" t="s">
        <v>11535</v>
      </c>
    </row>
    <row r="2521" ht="18" customHeight="1" spans="1:6">
      <c r="A2521" s="5" t="s">
        <v>8845</v>
      </c>
      <c r="B2521" s="5" t="s">
        <v>8884</v>
      </c>
      <c r="C2521" s="5" t="s">
        <v>16493</v>
      </c>
      <c r="D2521" s="5">
        <v>2</v>
      </c>
      <c r="E2521" s="5" t="s">
        <v>16494</v>
      </c>
      <c r="F2521" s="7" t="s">
        <v>11535</v>
      </c>
    </row>
    <row r="2522" ht="18" customHeight="1" spans="1:6">
      <c r="A2522" s="5" t="s">
        <v>8845</v>
      </c>
      <c r="B2522" s="5" t="s">
        <v>8884</v>
      </c>
      <c r="C2522" s="5" t="s">
        <v>16495</v>
      </c>
      <c r="D2522" s="5">
        <v>4</v>
      </c>
      <c r="E2522" s="5" t="s">
        <v>16496</v>
      </c>
      <c r="F2522" s="7" t="s">
        <v>11535</v>
      </c>
    </row>
    <row r="2523" ht="18" customHeight="1" spans="1:6">
      <c r="A2523" s="5" t="s">
        <v>8845</v>
      </c>
      <c r="B2523" s="5" t="s">
        <v>8884</v>
      </c>
      <c r="C2523" s="5" t="s">
        <v>16497</v>
      </c>
      <c r="D2523" s="5">
        <v>4</v>
      </c>
      <c r="E2523" s="5" t="s">
        <v>16498</v>
      </c>
      <c r="F2523" s="7" t="s">
        <v>11535</v>
      </c>
    </row>
    <row r="2524" ht="18" customHeight="1" spans="1:6">
      <c r="A2524" s="5" t="s">
        <v>8845</v>
      </c>
      <c r="B2524" s="5" t="s">
        <v>8884</v>
      </c>
      <c r="C2524" s="5" t="s">
        <v>16499</v>
      </c>
      <c r="D2524" s="5">
        <v>3</v>
      </c>
      <c r="E2524" s="5" t="s">
        <v>16500</v>
      </c>
      <c r="F2524" s="7" t="s">
        <v>11535</v>
      </c>
    </row>
    <row r="2525" ht="18" customHeight="1" spans="1:6">
      <c r="A2525" s="5" t="s">
        <v>8845</v>
      </c>
      <c r="B2525" s="5" t="s">
        <v>8884</v>
      </c>
      <c r="C2525" s="5" t="s">
        <v>16501</v>
      </c>
      <c r="D2525" s="5">
        <v>2</v>
      </c>
      <c r="E2525" s="5" t="s">
        <v>16502</v>
      </c>
      <c r="F2525" s="7" t="s">
        <v>11535</v>
      </c>
    </row>
    <row r="2526" ht="18" customHeight="1" spans="1:6">
      <c r="A2526" s="5" t="s">
        <v>8845</v>
      </c>
      <c r="B2526" s="5" t="s">
        <v>8884</v>
      </c>
      <c r="C2526" s="5" t="s">
        <v>2245</v>
      </c>
      <c r="D2526" s="5">
        <v>2</v>
      </c>
      <c r="E2526" s="5" t="s">
        <v>16503</v>
      </c>
      <c r="F2526" s="7" t="s">
        <v>11535</v>
      </c>
    </row>
    <row r="2527" ht="18" customHeight="1" spans="1:6">
      <c r="A2527" s="5" t="s">
        <v>8845</v>
      </c>
      <c r="B2527" s="5" t="s">
        <v>8884</v>
      </c>
      <c r="C2527" s="5" t="s">
        <v>10415</v>
      </c>
      <c r="D2527" s="5">
        <v>2</v>
      </c>
      <c r="E2527" s="5" t="s">
        <v>16504</v>
      </c>
      <c r="F2527" s="7" t="s">
        <v>11535</v>
      </c>
    </row>
    <row r="2528" ht="18" customHeight="1" spans="1:6">
      <c r="A2528" s="5" t="s">
        <v>8845</v>
      </c>
      <c r="B2528" s="5" t="s">
        <v>8884</v>
      </c>
      <c r="C2528" s="5" t="s">
        <v>16505</v>
      </c>
      <c r="D2528" s="5">
        <v>2</v>
      </c>
      <c r="E2528" s="5" t="s">
        <v>16506</v>
      </c>
      <c r="F2528" s="7" t="s">
        <v>11535</v>
      </c>
    </row>
    <row r="2529" ht="18" customHeight="1" spans="1:6">
      <c r="A2529" s="5" t="s">
        <v>8845</v>
      </c>
      <c r="B2529" s="5" t="s">
        <v>8884</v>
      </c>
      <c r="C2529" s="5" t="s">
        <v>16507</v>
      </c>
      <c r="D2529" s="5">
        <v>1</v>
      </c>
      <c r="E2529" s="5" t="s">
        <v>16508</v>
      </c>
      <c r="F2529" s="7" t="s">
        <v>11535</v>
      </c>
    </row>
    <row r="2530" ht="18" customHeight="1" spans="1:6">
      <c r="A2530" s="5" t="s">
        <v>8845</v>
      </c>
      <c r="B2530" s="5" t="s">
        <v>8884</v>
      </c>
      <c r="C2530" s="5" t="s">
        <v>16509</v>
      </c>
      <c r="D2530" s="5">
        <v>6</v>
      </c>
      <c r="E2530" s="5" t="s">
        <v>16510</v>
      </c>
      <c r="F2530" s="7" t="s">
        <v>11535</v>
      </c>
    </row>
    <row r="2531" ht="18" customHeight="1" spans="1:6">
      <c r="A2531" s="5" t="s">
        <v>8845</v>
      </c>
      <c r="B2531" s="5" t="s">
        <v>8884</v>
      </c>
      <c r="C2531" s="5" t="s">
        <v>16511</v>
      </c>
      <c r="D2531" s="5">
        <v>6</v>
      </c>
      <c r="E2531" s="5" t="s">
        <v>16512</v>
      </c>
      <c r="F2531" s="7" t="s">
        <v>11535</v>
      </c>
    </row>
    <row r="2532" ht="18" customHeight="1" spans="1:6">
      <c r="A2532" s="5" t="s">
        <v>8845</v>
      </c>
      <c r="B2532" s="5" t="s">
        <v>8884</v>
      </c>
      <c r="C2532" s="5" t="s">
        <v>16513</v>
      </c>
      <c r="D2532" s="5">
        <v>3</v>
      </c>
      <c r="E2532" s="5" t="s">
        <v>16514</v>
      </c>
      <c r="F2532" s="7" t="s">
        <v>11535</v>
      </c>
    </row>
    <row r="2533" ht="18" customHeight="1" spans="1:6">
      <c r="A2533" s="5" t="s">
        <v>8845</v>
      </c>
      <c r="B2533" s="5" t="s">
        <v>8884</v>
      </c>
      <c r="C2533" s="5" t="s">
        <v>16515</v>
      </c>
      <c r="D2533" s="5">
        <v>5</v>
      </c>
      <c r="E2533" s="5" t="s">
        <v>16516</v>
      </c>
      <c r="F2533" s="7" t="s">
        <v>11535</v>
      </c>
    </row>
    <row r="2534" ht="18" customHeight="1" spans="1:6">
      <c r="A2534" s="5" t="s">
        <v>8845</v>
      </c>
      <c r="B2534" s="5" t="s">
        <v>8884</v>
      </c>
      <c r="C2534" s="5" t="s">
        <v>16517</v>
      </c>
      <c r="D2534" s="5">
        <v>2</v>
      </c>
      <c r="E2534" s="5" t="s">
        <v>16518</v>
      </c>
      <c r="F2534" s="7" t="s">
        <v>11535</v>
      </c>
    </row>
    <row r="2535" ht="18" customHeight="1" spans="1:6">
      <c r="A2535" s="5" t="s">
        <v>8845</v>
      </c>
      <c r="B2535" s="5" t="s">
        <v>16519</v>
      </c>
      <c r="C2535" s="5" t="s">
        <v>16520</v>
      </c>
      <c r="D2535" s="5">
        <v>4</v>
      </c>
      <c r="E2535" s="5" t="s">
        <v>16521</v>
      </c>
      <c r="F2535" s="7" t="s">
        <v>11535</v>
      </c>
    </row>
    <row r="2536" ht="18" customHeight="1" spans="1:6">
      <c r="A2536" s="5" t="s">
        <v>8845</v>
      </c>
      <c r="B2536" s="5" t="s">
        <v>16522</v>
      </c>
      <c r="C2536" s="5" t="s">
        <v>16523</v>
      </c>
      <c r="D2536" s="5">
        <v>2</v>
      </c>
      <c r="E2536" s="5" t="s">
        <v>16524</v>
      </c>
      <c r="F2536" s="7" t="s">
        <v>11535</v>
      </c>
    </row>
    <row r="2537" ht="18" customHeight="1" spans="1:6">
      <c r="A2537" s="5" t="s">
        <v>8845</v>
      </c>
      <c r="B2537" s="5" t="s">
        <v>16519</v>
      </c>
      <c r="C2537" s="5" t="s">
        <v>16525</v>
      </c>
      <c r="D2537" s="5">
        <v>3</v>
      </c>
      <c r="E2537" s="5" t="s">
        <v>16526</v>
      </c>
      <c r="F2537" s="7" t="s">
        <v>11535</v>
      </c>
    </row>
    <row r="2538" ht="18" customHeight="1" spans="1:6">
      <c r="A2538" s="5" t="s">
        <v>8845</v>
      </c>
      <c r="B2538" s="5" t="s">
        <v>16519</v>
      </c>
      <c r="C2538" s="5" t="s">
        <v>16527</v>
      </c>
      <c r="D2538" s="5">
        <v>2</v>
      </c>
      <c r="E2538" s="5" t="s">
        <v>16528</v>
      </c>
      <c r="F2538" s="7" t="s">
        <v>11535</v>
      </c>
    </row>
    <row r="2539" ht="18" customHeight="1" spans="1:6">
      <c r="A2539" s="5" t="s">
        <v>8845</v>
      </c>
      <c r="B2539" s="5" t="s">
        <v>16522</v>
      </c>
      <c r="C2539" s="5" t="s">
        <v>16529</v>
      </c>
      <c r="D2539" s="5">
        <v>4</v>
      </c>
      <c r="E2539" s="5" t="s">
        <v>16530</v>
      </c>
      <c r="F2539" s="7" t="s">
        <v>11535</v>
      </c>
    </row>
    <row r="2540" ht="18" customHeight="1" spans="1:6">
      <c r="A2540" s="5" t="s">
        <v>8845</v>
      </c>
      <c r="B2540" s="5" t="s">
        <v>16522</v>
      </c>
      <c r="C2540" s="5" t="s">
        <v>16531</v>
      </c>
      <c r="D2540" s="5">
        <v>4</v>
      </c>
      <c r="E2540" s="5" t="s">
        <v>16532</v>
      </c>
      <c r="F2540" s="7" t="s">
        <v>11535</v>
      </c>
    </row>
    <row r="2541" ht="18" customHeight="1" spans="1:6">
      <c r="A2541" s="5" t="s">
        <v>8845</v>
      </c>
      <c r="B2541" s="5" t="s">
        <v>16519</v>
      </c>
      <c r="C2541" s="5" t="s">
        <v>16533</v>
      </c>
      <c r="D2541" s="5">
        <v>6</v>
      </c>
      <c r="E2541" s="5" t="s">
        <v>16534</v>
      </c>
      <c r="F2541" s="7" t="s">
        <v>11535</v>
      </c>
    </row>
    <row r="2542" ht="18" customHeight="1" spans="1:6">
      <c r="A2542" s="5" t="s">
        <v>8845</v>
      </c>
      <c r="B2542" s="5" t="s">
        <v>16519</v>
      </c>
      <c r="C2542" s="5" t="s">
        <v>16535</v>
      </c>
      <c r="D2542" s="5">
        <v>3</v>
      </c>
      <c r="E2542" s="5" t="s">
        <v>16536</v>
      </c>
      <c r="F2542" s="7" t="s">
        <v>11535</v>
      </c>
    </row>
    <row r="2543" ht="18" customHeight="1" spans="1:6">
      <c r="A2543" s="5" t="s">
        <v>8845</v>
      </c>
      <c r="B2543" s="5" t="s">
        <v>16522</v>
      </c>
      <c r="C2543" s="5" t="s">
        <v>16537</v>
      </c>
      <c r="D2543" s="5">
        <v>4</v>
      </c>
      <c r="E2543" s="5" t="s">
        <v>16538</v>
      </c>
      <c r="F2543" s="7" t="s">
        <v>11535</v>
      </c>
    </row>
    <row r="2544" ht="18" customHeight="1" spans="1:6">
      <c r="A2544" s="5" t="s">
        <v>8845</v>
      </c>
      <c r="B2544" s="5" t="s">
        <v>16539</v>
      </c>
      <c r="C2544" s="5" t="s">
        <v>16540</v>
      </c>
      <c r="D2544" s="5">
        <v>4</v>
      </c>
      <c r="E2544" s="5" t="s">
        <v>16541</v>
      </c>
      <c r="F2544" s="7" t="s">
        <v>11535</v>
      </c>
    </row>
    <row r="2545" ht="18" customHeight="1" spans="1:6">
      <c r="A2545" s="5" t="s">
        <v>8845</v>
      </c>
      <c r="B2545" s="5" t="s">
        <v>16522</v>
      </c>
      <c r="C2545" s="5" t="s">
        <v>16542</v>
      </c>
      <c r="D2545" s="5">
        <v>4</v>
      </c>
      <c r="E2545" s="5" t="s">
        <v>16543</v>
      </c>
      <c r="F2545" s="7" t="s">
        <v>11535</v>
      </c>
    </row>
    <row r="2546" ht="18" customHeight="1" spans="1:6">
      <c r="A2546" s="5" t="s">
        <v>8845</v>
      </c>
      <c r="B2546" s="5" t="s">
        <v>16519</v>
      </c>
      <c r="C2546" s="5" t="s">
        <v>16544</v>
      </c>
      <c r="D2546" s="5">
        <v>4</v>
      </c>
      <c r="E2546" s="5" t="s">
        <v>16545</v>
      </c>
      <c r="F2546" s="7" t="s">
        <v>11535</v>
      </c>
    </row>
    <row r="2547" ht="18" customHeight="1" spans="1:6">
      <c r="A2547" s="5" t="s">
        <v>8845</v>
      </c>
      <c r="B2547" s="5" t="s">
        <v>16522</v>
      </c>
      <c r="C2547" s="5" t="s">
        <v>16546</v>
      </c>
      <c r="D2547" s="5">
        <v>3</v>
      </c>
      <c r="E2547" s="5" t="s">
        <v>16547</v>
      </c>
      <c r="F2547" s="7" t="s">
        <v>11535</v>
      </c>
    </row>
    <row r="2548" ht="18" customHeight="1" spans="1:6">
      <c r="A2548" s="5" t="s">
        <v>8845</v>
      </c>
      <c r="B2548" s="5" t="s">
        <v>16548</v>
      </c>
      <c r="C2548" s="5" t="s">
        <v>16549</v>
      </c>
      <c r="D2548" s="5">
        <v>3</v>
      </c>
      <c r="E2548" s="5" t="s">
        <v>16550</v>
      </c>
      <c r="F2548" s="7" t="s">
        <v>11535</v>
      </c>
    </row>
    <row r="2549" ht="18" customHeight="1" spans="1:6">
      <c r="A2549" s="5" t="s">
        <v>8845</v>
      </c>
      <c r="B2549" s="5" t="s">
        <v>16522</v>
      </c>
      <c r="C2549" s="5" t="s">
        <v>16551</v>
      </c>
      <c r="D2549" s="5">
        <v>5</v>
      </c>
      <c r="E2549" s="5" t="s">
        <v>16552</v>
      </c>
      <c r="F2549" s="7" t="s">
        <v>11535</v>
      </c>
    </row>
    <row r="2550" ht="18" customHeight="1" spans="1:6">
      <c r="A2550" s="5" t="s">
        <v>8845</v>
      </c>
      <c r="B2550" s="5" t="s">
        <v>16522</v>
      </c>
      <c r="C2550" s="5" t="s">
        <v>16553</v>
      </c>
      <c r="D2550" s="5">
        <v>2</v>
      </c>
      <c r="E2550" s="5" t="s">
        <v>16554</v>
      </c>
      <c r="F2550" s="7" t="s">
        <v>11535</v>
      </c>
    </row>
    <row r="2551" ht="18" customHeight="1" spans="1:6">
      <c r="A2551" s="5" t="s">
        <v>8845</v>
      </c>
      <c r="B2551" s="5" t="s">
        <v>16522</v>
      </c>
      <c r="C2551" s="5" t="s">
        <v>16555</v>
      </c>
      <c r="D2551" s="5">
        <v>3</v>
      </c>
      <c r="E2551" s="5" t="s">
        <v>16556</v>
      </c>
      <c r="F2551" s="7" t="s">
        <v>11535</v>
      </c>
    </row>
    <row r="2552" ht="18" customHeight="1" spans="1:6">
      <c r="A2552" s="5" t="s">
        <v>8845</v>
      </c>
      <c r="B2552" s="5" t="s">
        <v>16522</v>
      </c>
      <c r="C2552" s="5" t="s">
        <v>16557</v>
      </c>
      <c r="D2552" s="5">
        <v>4</v>
      </c>
      <c r="E2552" s="5" t="s">
        <v>16558</v>
      </c>
      <c r="F2552" s="7" t="s">
        <v>11535</v>
      </c>
    </row>
    <row r="2553" ht="18" customHeight="1" spans="1:6">
      <c r="A2553" s="5" t="s">
        <v>8845</v>
      </c>
      <c r="B2553" s="5" t="s">
        <v>16522</v>
      </c>
      <c r="C2553" s="5" t="s">
        <v>16559</v>
      </c>
      <c r="D2553" s="5">
        <v>7</v>
      </c>
      <c r="E2553" s="5" t="s">
        <v>16560</v>
      </c>
      <c r="F2553" s="7" t="s">
        <v>11535</v>
      </c>
    </row>
    <row r="2554" ht="18" customHeight="1" spans="1:6">
      <c r="A2554" s="5" t="s">
        <v>8845</v>
      </c>
      <c r="B2554" s="5" t="s">
        <v>16522</v>
      </c>
      <c r="C2554" s="5" t="s">
        <v>16561</v>
      </c>
      <c r="D2554" s="5">
        <v>3</v>
      </c>
      <c r="E2554" s="5" t="s">
        <v>16562</v>
      </c>
      <c r="F2554" s="7" t="s">
        <v>11535</v>
      </c>
    </row>
    <row r="2555" ht="18" customHeight="1" spans="1:6">
      <c r="A2555" s="5" t="s">
        <v>8845</v>
      </c>
      <c r="B2555" s="5" t="s">
        <v>16519</v>
      </c>
      <c r="C2555" s="5" t="s">
        <v>16563</v>
      </c>
      <c r="D2555" s="5">
        <v>3</v>
      </c>
      <c r="E2555" s="5" t="s">
        <v>16564</v>
      </c>
      <c r="F2555" s="7" t="s">
        <v>11535</v>
      </c>
    </row>
    <row r="2556" ht="18" customHeight="1" spans="1:6">
      <c r="A2556" s="5" t="s">
        <v>8845</v>
      </c>
      <c r="B2556" s="5" t="s">
        <v>16565</v>
      </c>
      <c r="C2556" s="5" t="s">
        <v>16566</v>
      </c>
      <c r="D2556" s="5">
        <v>4</v>
      </c>
      <c r="E2556" s="5" t="s">
        <v>16567</v>
      </c>
      <c r="F2556" s="7" t="s">
        <v>11535</v>
      </c>
    </row>
    <row r="2557" ht="18" customHeight="1" spans="1:6">
      <c r="A2557" s="5" t="s">
        <v>8845</v>
      </c>
      <c r="B2557" s="5" t="s">
        <v>16519</v>
      </c>
      <c r="C2557" s="5" t="s">
        <v>16568</v>
      </c>
      <c r="D2557" s="5">
        <v>1</v>
      </c>
      <c r="E2557" s="5" t="s">
        <v>16569</v>
      </c>
      <c r="F2557" s="7" t="s">
        <v>11535</v>
      </c>
    </row>
    <row r="2558" ht="18" customHeight="1" spans="1:6">
      <c r="A2558" s="5" t="s">
        <v>8845</v>
      </c>
      <c r="B2558" s="5" t="s">
        <v>16570</v>
      </c>
      <c r="C2558" s="5" t="s">
        <v>14631</v>
      </c>
      <c r="D2558" s="5">
        <v>2</v>
      </c>
      <c r="E2558" s="5" t="s">
        <v>16571</v>
      </c>
      <c r="F2558" s="7" t="s">
        <v>11535</v>
      </c>
    </row>
    <row r="2559" ht="18" customHeight="1" spans="1:6">
      <c r="A2559" s="5" t="s">
        <v>8845</v>
      </c>
      <c r="B2559" s="5" t="s">
        <v>16572</v>
      </c>
      <c r="C2559" s="5" t="s">
        <v>16573</v>
      </c>
      <c r="D2559" s="5" t="s">
        <v>2056</v>
      </c>
      <c r="E2559" s="23" t="s">
        <v>16574</v>
      </c>
      <c r="F2559" s="7" t="s">
        <v>11535</v>
      </c>
    </row>
    <row r="2560" ht="18" customHeight="1" spans="1:6">
      <c r="A2560" s="5" t="s">
        <v>8845</v>
      </c>
      <c r="B2560" s="5" t="s">
        <v>16572</v>
      </c>
      <c r="C2560" s="5" t="s">
        <v>16575</v>
      </c>
      <c r="D2560" s="5" t="s">
        <v>2053</v>
      </c>
      <c r="E2560" s="23" t="s">
        <v>16576</v>
      </c>
      <c r="F2560" s="7" t="s">
        <v>11535</v>
      </c>
    </row>
    <row r="2561" ht="18" customHeight="1" spans="1:6">
      <c r="A2561" s="5" t="s">
        <v>8845</v>
      </c>
      <c r="B2561" s="5" t="s">
        <v>16572</v>
      </c>
      <c r="C2561" s="5" t="s">
        <v>16577</v>
      </c>
      <c r="D2561" s="5" t="s">
        <v>2043</v>
      </c>
      <c r="E2561" s="23" t="s">
        <v>16578</v>
      </c>
      <c r="F2561" s="7" t="s">
        <v>11535</v>
      </c>
    </row>
    <row r="2562" ht="18" customHeight="1" spans="1:6">
      <c r="A2562" s="5" t="s">
        <v>8845</v>
      </c>
      <c r="B2562" s="5" t="s">
        <v>16579</v>
      </c>
      <c r="C2562" s="5" t="s">
        <v>16580</v>
      </c>
      <c r="D2562" s="5" t="s">
        <v>2053</v>
      </c>
      <c r="E2562" s="23" t="s">
        <v>16581</v>
      </c>
      <c r="F2562" s="7" t="s">
        <v>11535</v>
      </c>
    </row>
    <row r="2563" ht="18" customHeight="1" spans="1:6">
      <c r="A2563" s="5" t="s">
        <v>8845</v>
      </c>
      <c r="B2563" s="5" t="s">
        <v>16579</v>
      </c>
      <c r="C2563" s="5" t="s">
        <v>16582</v>
      </c>
      <c r="D2563" s="5" t="s">
        <v>2043</v>
      </c>
      <c r="E2563" s="23" t="s">
        <v>16583</v>
      </c>
      <c r="F2563" s="7" t="s">
        <v>11535</v>
      </c>
    </row>
    <row r="2564" ht="18" customHeight="1" spans="1:6">
      <c r="A2564" s="5" t="s">
        <v>8845</v>
      </c>
      <c r="B2564" s="5" t="s">
        <v>16572</v>
      </c>
      <c r="C2564" s="5" t="s">
        <v>16584</v>
      </c>
      <c r="D2564" s="5" t="s">
        <v>2056</v>
      </c>
      <c r="E2564" s="23" t="s">
        <v>16585</v>
      </c>
      <c r="F2564" s="7" t="s">
        <v>11535</v>
      </c>
    </row>
    <row r="2565" ht="18" customHeight="1" spans="1:6">
      <c r="A2565" s="5" t="s">
        <v>8845</v>
      </c>
      <c r="B2565" s="5" t="s">
        <v>16572</v>
      </c>
      <c r="C2565" s="5" t="s">
        <v>16586</v>
      </c>
      <c r="D2565" s="5">
        <v>3</v>
      </c>
      <c r="E2565" s="23" t="str">
        <f>LEFT("422626197801256419",19)</f>
        <v>422626197801256419</v>
      </c>
      <c r="F2565" s="7" t="s">
        <v>11535</v>
      </c>
    </row>
    <row r="2566" ht="18" customHeight="1" spans="1:6">
      <c r="A2566" s="5" t="s">
        <v>8845</v>
      </c>
      <c r="B2566" s="5" t="s">
        <v>16572</v>
      </c>
      <c r="C2566" s="5" t="s">
        <v>16587</v>
      </c>
      <c r="D2566" s="5" t="s">
        <v>2065</v>
      </c>
      <c r="E2566" s="23" t="s">
        <v>16588</v>
      </c>
      <c r="F2566" s="7" t="s">
        <v>11535</v>
      </c>
    </row>
    <row r="2567" ht="18" customHeight="1" spans="1:6">
      <c r="A2567" s="5" t="s">
        <v>8845</v>
      </c>
      <c r="B2567" s="5" t="s">
        <v>16579</v>
      </c>
      <c r="C2567" s="5" t="s">
        <v>16589</v>
      </c>
      <c r="D2567" s="5" t="s">
        <v>2043</v>
      </c>
      <c r="E2567" s="23" t="str">
        <f>LEFT("422626196611191138",19)</f>
        <v>422626196611191138</v>
      </c>
      <c r="F2567" s="7" t="s">
        <v>11535</v>
      </c>
    </row>
    <row r="2568" ht="18" customHeight="1" spans="1:6">
      <c r="A2568" s="5" t="s">
        <v>8845</v>
      </c>
      <c r="B2568" s="5" t="s">
        <v>16590</v>
      </c>
      <c r="C2568" s="5" t="s">
        <v>16591</v>
      </c>
      <c r="D2568" s="5" t="s">
        <v>2053</v>
      </c>
      <c r="E2568" s="23" t="s">
        <v>16592</v>
      </c>
      <c r="F2568" s="7" t="s">
        <v>11535</v>
      </c>
    </row>
    <row r="2569" ht="18" customHeight="1" spans="1:6">
      <c r="A2569" s="5" t="s">
        <v>8845</v>
      </c>
      <c r="B2569" s="5" t="s">
        <v>16572</v>
      </c>
      <c r="C2569" s="5" t="s">
        <v>9129</v>
      </c>
      <c r="D2569" s="5" t="s">
        <v>2053</v>
      </c>
      <c r="E2569" s="23" t="s">
        <v>16593</v>
      </c>
      <c r="F2569" s="7" t="s">
        <v>11535</v>
      </c>
    </row>
    <row r="2570" ht="18" customHeight="1" spans="1:6">
      <c r="A2570" s="5" t="s">
        <v>8845</v>
      </c>
      <c r="B2570" s="5" t="s">
        <v>16590</v>
      </c>
      <c r="C2570" s="5" t="s">
        <v>16594</v>
      </c>
      <c r="D2570" s="5" t="s">
        <v>2065</v>
      </c>
      <c r="E2570" s="23" t="s">
        <v>16595</v>
      </c>
      <c r="F2570" s="7" t="s">
        <v>11535</v>
      </c>
    </row>
    <row r="2571" ht="18" customHeight="1" spans="1:6">
      <c r="A2571" s="5" t="s">
        <v>8845</v>
      </c>
      <c r="B2571" s="5" t="s">
        <v>16579</v>
      </c>
      <c r="C2571" s="5" t="s">
        <v>16596</v>
      </c>
      <c r="D2571" s="5" t="s">
        <v>2065</v>
      </c>
      <c r="E2571" s="23" t="s">
        <v>16597</v>
      </c>
      <c r="F2571" s="7" t="s">
        <v>11535</v>
      </c>
    </row>
    <row r="2572" ht="18" customHeight="1" spans="1:6">
      <c r="A2572" s="5" t="s">
        <v>8845</v>
      </c>
      <c r="B2572" s="5" t="s">
        <v>16590</v>
      </c>
      <c r="C2572" s="5" t="s">
        <v>16598</v>
      </c>
      <c r="D2572" s="5" t="s">
        <v>2053</v>
      </c>
      <c r="E2572" s="5" t="s">
        <v>16599</v>
      </c>
      <c r="F2572" s="7" t="s">
        <v>11535</v>
      </c>
    </row>
    <row r="2573" ht="18" customHeight="1" spans="1:6">
      <c r="A2573" s="5" t="s">
        <v>8845</v>
      </c>
      <c r="B2573" s="5" t="s">
        <v>16590</v>
      </c>
      <c r="C2573" s="5" t="s">
        <v>16600</v>
      </c>
      <c r="D2573" s="5" t="s">
        <v>2043</v>
      </c>
      <c r="E2573" s="23" t="s">
        <v>16601</v>
      </c>
      <c r="F2573" s="7" t="s">
        <v>11535</v>
      </c>
    </row>
    <row r="2574" ht="18" customHeight="1" spans="1:6">
      <c r="A2574" s="5" t="s">
        <v>8845</v>
      </c>
      <c r="B2574" s="5" t="s">
        <v>16579</v>
      </c>
      <c r="C2574" s="5" t="s">
        <v>16602</v>
      </c>
      <c r="D2574" s="5" t="s">
        <v>2046</v>
      </c>
      <c r="E2574" s="23" t="s">
        <v>16603</v>
      </c>
      <c r="F2574" s="7" t="s">
        <v>11535</v>
      </c>
    </row>
    <row r="2575" ht="18" customHeight="1" spans="1:6">
      <c r="A2575" s="5" t="s">
        <v>8845</v>
      </c>
      <c r="B2575" s="5" t="s">
        <v>16590</v>
      </c>
      <c r="C2575" s="5" t="s">
        <v>16604</v>
      </c>
      <c r="D2575" s="5" t="s">
        <v>2065</v>
      </c>
      <c r="E2575" s="23" t="s">
        <v>16605</v>
      </c>
      <c r="F2575" s="7" t="s">
        <v>11535</v>
      </c>
    </row>
    <row r="2576" ht="18" customHeight="1" spans="1:6">
      <c r="A2576" s="5" t="s">
        <v>8845</v>
      </c>
      <c r="B2576" s="5" t="s">
        <v>16590</v>
      </c>
      <c r="C2576" s="5" t="s">
        <v>16606</v>
      </c>
      <c r="D2576" s="5" t="s">
        <v>2065</v>
      </c>
      <c r="E2576" s="23" t="s">
        <v>16607</v>
      </c>
      <c r="F2576" s="7" t="s">
        <v>11535</v>
      </c>
    </row>
    <row r="2577" ht="18" customHeight="1" spans="1:6">
      <c r="A2577" s="5" t="s">
        <v>8845</v>
      </c>
      <c r="B2577" s="5" t="s">
        <v>16590</v>
      </c>
      <c r="C2577" s="5" t="s">
        <v>16608</v>
      </c>
      <c r="D2577" s="5" t="s">
        <v>2065</v>
      </c>
      <c r="E2577" s="23" t="s">
        <v>16609</v>
      </c>
      <c r="F2577" s="7" t="s">
        <v>11535</v>
      </c>
    </row>
    <row r="2578" ht="18" customHeight="1" spans="1:6">
      <c r="A2578" s="5" t="s">
        <v>8845</v>
      </c>
      <c r="B2578" s="5" t="s">
        <v>16579</v>
      </c>
      <c r="C2578" s="5" t="s">
        <v>16610</v>
      </c>
      <c r="D2578" s="5" t="s">
        <v>2056</v>
      </c>
      <c r="E2578" s="23" t="s">
        <v>16611</v>
      </c>
      <c r="F2578" s="7" t="s">
        <v>11535</v>
      </c>
    </row>
    <row r="2579" ht="18" customHeight="1" spans="1:6">
      <c r="A2579" s="5" t="s">
        <v>8845</v>
      </c>
      <c r="B2579" s="5" t="s">
        <v>16590</v>
      </c>
      <c r="C2579" s="5" t="s">
        <v>16612</v>
      </c>
      <c r="D2579" s="5" t="s">
        <v>2046</v>
      </c>
      <c r="E2579" s="23" t="s">
        <v>16613</v>
      </c>
      <c r="F2579" s="7" t="s">
        <v>11535</v>
      </c>
    </row>
    <row r="2580" ht="18" customHeight="1" spans="1:6">
      <c r="A2580" s="5" t="s">
        <v>8845</v>
      </c>
      <c r="B2580" s="5" t="s">
        <v>16579</v>
      </c>
      <c r="C2580" s="5" t="s">
        <v>16614</v>
      </c>
      <c r="D2580" s="5" t="s">
        <v>2043</v>
      </c>
      <c r="E2580" s="23" t="s">
        <v>16615</v>
      </c>
      <c r="F2580" s="7" t="s">
        <v>11535</v>
      </c>
    </row>
    <row r="2581" ht="18" customHeight="1" spans="1:6">
      <c r="A2581" s="5" t="s">
        <v>8845</v>
      </c>
      <c r="B2581" s="5" t="s">
        <v>16579</v>
      </c>
      <c r="C2581" s="5" t="s">
        <v>16616</v>
      </c>
      <c r="D2581" s="5" t="s">
        <v>2065</v>
      </c>
      <c r="E2581" s="23" t="s">
        <v>16617</v>
      </c>
      <c r="F2581" s="7" t="s">
        <v>11535</v>
      </c>
    </row>
    <row r="2582" ht="18" customHeight="1" spans="1:6">
      <c r="A2582" s="5" t="s">
        <v>8845</v>
      </c>
      <c r="B2582" s="5" t="s">
        <v>16579</v>
      </c>
      <c r="C2582" s="5" t="s">
        <v>7047</v>
      </c>
      <c r="D2582" s="5" t="s">
        <v>2043</v>
      </c>
      <c r="E2582" s="23" t="s">
        <v>16618</v>
      </c>
      <c r="F2582" s="7" t="s">
        <v>11535</v>
      </c>
    </row>
    <row r="2583" ht="18" customHeight="1" spans="1:6">
      <c r="A2583" s="5" t="s">
        <v>8845</v>
      </c>
      <c r="B2583" s="5" t="s">
        <v>16572</v>
      </c>
      <c r="C2583" s="5" t="s">
        <v>16619</v>
      </c>
      <c r="D2583" s="5" t="s">
        <v>2043</v>
      </c>
      <c r="E2583" s="23" t="s">
        <v>16620</v>
      </c>
      <c r="F2583" s="7" t="s">
        <v>11535</v>
      </c>
    </row>
    <row r="2584" ht="18" customHeight="1" spans="1:6">
      <c r="A2584" s="5" t="s">
        <v>8845</v>
      </c>
      <c r="B2584" s="5" t="s">
        <v>16590</v>
      </c>
      <c r="C2584" s="5" t="s">
        <v>16621</v>
      </c>
      <c r="D2584" s="5" t="s">
        <v>2046</v>
      </c>
      <c r="E2584" s="23" t="s">
        <v>16622</v>
      </c>
      <c r="F2584" s="7" t="s">
        <v>11535</v>
      </c>
    </row>
    <row r="2585" ht="18" customHeight="1" spans="1:6">
      <c r="A2585" s="5" t="s">
        <v>8845</v>
      </c>
      <c r="B2585" s="5" t="s">
        <v>16579</v>
      </c>
      <c r="C2585" s="5" t="s">
        <v>16623</v>
      </c>
      <c r="D2585" s="5" t="s">
        <v>2053</v>
      </c>
      <c r="E2585" s="23" t="s">
        <v>16624</v>
      </c>
      <c r="F2585" s="7" t="s">
        <v>11535</v>
      </c>
    </row>
    <row r="2586" ht="18" customHeight="1" spans="1:6">
      <c r="A2586" s="5" t="s">
        <v>8845</v>
      </c>
      <c r="B2586" s="5" t="s">
        <v>16590</v>
      </c>
      <c r="C2586" s="5" t="s">
        <v>16625</v>
      </c>
      <c r="D2586" s="5" t="s">
        <v>2053</v>
      </c>
      <c r="E2586" s="23" t="s">
        <v>16626</v>
      </c>
      <c r="F2586" s="7" t="s">
        <v>11535</v>
      </c>
    </row>
    <row r="2587" ht="18" customHeight="1" spans="1:6">
      <c r="A2587" s="5" t="s">
        <v>8845</v>
      </c>
      <c r="B2587" s="5" t="s">
        <v>16572</v>
      </c>
      <c r="C2587" s="5" t="s">
        <v>7660</v>
      </c>
      <c r="D2587" s="5" t="s">
        <v>2065</v>
      </c>
      <c r="E2587" s="23" t="s">
        <v>16627</v>
      </c>
      <c r="F2587" s="7" t="s">
        <v>11535</v>
      </c>
    </row>
    <row r="2588" ht="18" customHeight="1" spans="1:6">
      <c r="A2588" s="5" t="s">
        <v>8845</v>
      </c>
      <c r="B2588" s="5" t="s">
        <v>16579</v>
      </c>
      <c r="C2588" s="5" t="s">
        <v>16628</v>
      </c>
      <c r="D2588" s="5" t="s">
        <v>2053</v>
      </c>
      <c r="E2588" s="23" t="s">
        <v>16629</v>
      </c>
      <c r="F2588" s="7" t="s">
        <v>11535</v>
      </c>
    </row>
    <row r="2589" ht="18" customHeight="1" spans="1:6">
      <c r="A2589" s="5" t="s">
        <v>8845</v>
      </c>
      <c r="B2589" s="5" t="s">
        <v>16572</v>
      </c>
      <c r="C2589" s="5" t="s">
        <v>16630</v>
      </c>
      <c r="D2589" s="5" t="s">
        <v>2053</v>
      </c>
      <c r="E2589" s="23" t="s">
        <v>16631</v>
      </c>
      <c r="F2589" s="7" t="s">
        <v>11535</v>
      </c>
    </row>
    <row r="2590" ht="18" customHeight="1" spans="1:6">
      <c r="A2590" s="5" t="s">
        <v>8845</v>
      </c>
      <c r="B2590" s="5" t="s">
        <v>16579</v>
      </c>
      <c r="C2590" s="5" t="s">
        <v>16632</v>
      </c>
      <c r="D2590" s="5" t="s">
        <v>2065</v>
      </c>
      <c r="E2590" s="23" t="s">
        <v>16633</v>
      </c>
      <c r="F2590" s="7" t="s">
        <v>11535</v>
      </c>
    </row>
    <row r="2591" ht="18" customHeight="1" spans="1:6">
      <c r="A2591" s="5" t="s">
        <v>8845</v>
      </c>
      <c r="B2591" s="5" t="s">
        <v>16572</v>
      </c>
      <c r="C2591" s="5" t="s">
        <v>16634</v>
      </c>
      <c r="D2591" s="5" t="s">
        <v>2043</v>
      </c>
      <c r="E2591" s="23" t="s">
        <v>16635</v>
      </c>
      <c r="F2591" s="7" t="s">
        <v>11535</v>
      </c>
    </row>
    <row r="2592" ht="18" customHeight="1" spans="1:6">
      <c r="A2592" s="5" t="s">
        <v>8845</v>
      </c>
      <c r="B2592" s="5" t="s">
        <v>16572</v>
      </c>
      <c r="C2592" s="5" t="s">
        <v>16636</v>
      </c>
      <c r="D2592" s="5" t="s">
        <v>2043</v>
      </c>
      <c r="E2592" s="23" t="s">
        <v>16637</v>
      </c>
      <c r="F2592" s="7" t="s">
        <v>11535</v>
      </c>
    </row>
    <row r="2593" ht="18" customHeight="1" spans="1:6">
      <c r="A2593" s="5" t="s">
        <v>8845</v>
      </c>
      <c r="B2593" s="5" t="s">
        <v>16579</v>
      </c>
      <c r="C2593" s="5" t="s">
        <v>16638</v>
      </c>
      <c r="D2593" s="5" t="s">
        <v>2053</v>
      </c>
      <c r="E2593" s="23" t="s">
        <v>16639</v>
      </c>
      <c r="F2593" s="7" t="s">
        <v>11535</v>
      </c>
    </row>
    <row r="2594" ht="18" customHeight="1" spans="1:6">
      <c r="A2594" s="5" t="s">
        <v>8845</v>
      </c>
      <c r="B2594" s="5" t="s">
        <v>16579</v>
      </c>
      <c r="C2594" s="5" t="s">
        <v>16640</v>
      </c>
      <c r="D2594" s="5" t="s">
        <v>2053</v>
      </c>
      <c r="E2594" s="23" t="s">
        <v>16641</v>
      </c>
      <c r="F2594" s="7" t="s">
        <v>11535</v>
      </c>
    </row>
    <row r="2595" ht="18" customHeight="1" spans="1:6">
      <c r="A2595" s="5" t="s">
        <v>8845</v>
      </c>
      <c r="B2595" s="5" t="s">
        <v>8923</v>
      </c>
      <c r="C2595" s="6" t="s">
        <v>16642</v>
      </c>
      <c r="D2595" s="6">
        <v>2</v>
      </c>
      <c r="E2595" s="6" t="s">
        <v>16643</v>
      </c>
      <c r="F2595" s="7" t="s">
        <v>11535</v>
      </c>
    </row>
    <row r="2596" ht="18" customHeight="1" spans="1:6">
      <c r="A2596" s="5" t="s">
        <v>8845</v>
      </c>
      <c r="B2596" s="5" t="s">
        <v>8923</v>
      </c>
      <c r="C2596" s="6" t="s">
        <v>16644</v>
      </c>
      <c r="D2596" s="6">
        <v>3</v>
      </c>
      <c r="E2596" s="6" t="s">
        <v>16645</v>
      </c>
      <c r="F2596" s="7" t="s">
        <v>11535</v>
      </c>
    </row>
    <row r="2597" ht="18" customHeight="1" spans="1:6">
      <c r="A2597" s="5" t="s">
        <v>8845</v>
      </c>
      <c r="B2597" s="5" t="s">
        <v>8923</v>
      </c>
      <c r="C2597" s="6" t="s">
        <v>16646</v>
      </c>
      <c r="D2597" s="6">
        <v>3</v>
      </c>
      <c r="E2597" s="6" t="s">
        <v>16647</v>
      </c>
      <c r="F2597" s="7" t="s">
        <v>11535</v>
      </c>
    </row>
    <row r="2598" ht="18" customHeight="1" spans="1:6">
      <c r="A2598" s="5" t="s">
        <v>8845</v>
      </c>
      <c r="B2598" s="5" t="s">
        <v>8923</v>
      </c>
      <c r="C2598" s="6" t="s">
        <v>16648</v>
      </c>
      <c r="D2598" s="6">
        <v>3</v>
      </c>
      <c r="E2598" s="5" t="s">
        <v>16649</v>
      </c>
      <c r="F2598" s="7" t="s">
        <v>11535</v>
      </c>
    </row>
    <row r="2599" ht="18" customHeight="1" spans="1:6">
      <c r="A2599" s="5" t="s">
        <v>8845</v>
      </c>
      <c r="B2599" s="5" t="s">
        <v>8923</v>
      </c>
      <c r="C2599" s="6" t="s">
        <v>16650</v>
      </c>
      <c r="D2599" s="6">
        <v>4</v>
      </c>
      <c r="E2599" s="6" t="s">
        <v>16651</v>
      </c>
      <c r="F2599" s="7" t="s">
        <v>11535</v>
      </c>
    </row>
    <row r="2600" ht="18" customHeight="1" spans="1:6">
      <c r="A2600" s="5" t="s">
        <v>8845</v>
      </c>
      <c r="B2600" s="5" t="s">
        <v>8923</v>
      </c>
      <c r="C2600" s="6" t="s">
        <v>16652</v>
      </c>
      <c r="D2600" s="6">
        <v>3</v>
      </c>
      <c r="E2600" s="5" t="s">
        <v>16653</v>
      </c>
      <c r="F2600" s="7" t="s">
        <v>11535</v>
      </c>
    </row>
    <row r="2601" ht="18" customHeight="1" spans="1:6">
      <c r="A2601" s="5" t="s">
        <v>8845</v>
      </c>
      <c r="B2601" s="5" t="s">
        <v>8923</v>
      </c>
      <c r="C2601" s="6" t="s">
        <v>16654</v>
      </c>
      <c r="D2601" s="6">
        <v>3</v>
      </c>
      <c r="E2601" s="5" t="s">
        <v>16655</v>
      </c>
      <c r="F2601" s="7" t="s">
        <v>11535</v>
      </c>
    </row>
    <row r="2602" ht="18" customHeight="1" spans="1:6">
      <c r="A2602" s="5" t="s">
        <v>8845</v>
      </c>
      <c r="B2602" s="5" t="s">
        <v>16656</v>
      </c>
      <c r="C2602" s="8" t="s">
        <v>16657</v>
      </c>
      <c r="D2602" s="8">
        <v>2</v>
      </c>
      <c r="E2602" s="8" t="s">
        <v>16658</v>
      </c>
      <c r="F2602" s="7" t="s">
        <v>11535</v>
      </c>
    </row>
    <row r="2603" ht="18" customHeight="1" spans="1:6">
      <c r="A2603" s="5" t="s">
        <v>8845</v>
      </c>
      <c r="B2603" s="5" t="s">
        <v>16659</v>
      </c>
      <c r="C2603" s="8" t="s">
        <v>16660</v>
      </c>
      <c r="D2603" s="8">
        <v>3</v>
      </c>
      <c r="E2603" s="194" t="s">
        <v>16661</v>
      </c>
      <c r="F2603" s="7" t="s">
        <v>11535</v>
      </c>
    </row>
    <row r="2604" ht="18" customHeight="1" spans="1:6">
      <c r="A2604" s="5" t="s">
        <v>8845</v>
      </c>
      <c r="B2604" s="5" t="s">
        <v>16656</v>
      </c>
      <c r="C2604" s="8" t="s">
        <v>16662</v>
      </c>
      <c r="D2604" s="8">
        <v>2</v>
      </c>
      <c r="E2604" s="8" t="s">
        <v>16663</v>
      </c>
      <c r="F2604" s="7" t="s">
        <v>11535</v>
      </c>
    </row>
    <row r="2605" ht="18" customHeight="1" spans="1:6">
      <c r="A2605" s="5" t="s">
        <v>8845</v>
      </c>
      <c r="B2605" s="5" t="s">
        <v>16656</v>
      </c>
      <c r="C2605" s="8" t="s">
        <v>16664</v>
      </c>
      <c r="D2605" s="8">
        <v>5</v>
      </c>
      <c r="E2605" s="8" t="s">
        <v>16665</v>
      </c>
      <c r="F2605" s="7" t="s">
        <v>11535</v>
      </c>
    </row>
    <row r="2606" ht="18" customHeight="1" spans="1:6">
      <c r="A2606" s="5" t="s">
        <v>8845</v>
      </c>
      <c r="B2606" s="5" t="s">
        <v>16656</v>
      </c>
      <c r="C2606" s="8" t="s">
        <v>16666</v>
      </c>
      <c r="D2606" s="8">
        <v>3</v>
      </c>
      <c r="E2606" s="8" t="s">
        <v>16667</v>
      </c>
      <c r="F2606" s="7" t="s">
        <v>11535</v>
      </c>
    </row>
    <row r="2607" ht="18" customHeight="1" spans="1:6">
      <c r="A2607" s="5" t="s">
        <v>8845</v>
      </c>
      <c r="B2607" s="5" t="s">
        <v>16656</v>
      </c>
      <c r="C2607" s="8" t="s">
        <v>16668</v>
      </c>
      <c r="D2607" s="8">
        <v>2</v>
      </c>
      <c r="E2607" s="8" t="s">
        <v>16669</v>
      </c>
      <c r="F2607" s="7" t="s">
        <v>11535</v>
      </c>
    </row>
    <row r="2608" ht="18" customHeight="1" spans="1:6">
      <c r="A2608" s="5" t="s">
        <v>8845</v>
      </c>
      <c r="B2608" s="5" t="s">
        <v>16670</v>
      </c>
      <c r="C2608" s="8" t="s">
        <v>16671</v>
      </c>
      <c r="D2608" s="8">
        <v>3</v>
      </c>
      <c r="E2608" s="8" t="s">
        <v>16672</v>
      </c>
      <c r="F2608" s="7" t="s">
        <v>11535</v>
      </c>
    </row>
    <row r="2609" ht="18" customHeight="1" spans="1:6">
      <c r="A2609" s="5" t="s">
        <v>8845</v>
      </c>
      <c r="B2609" s="5" t="s">
        <v>16656</v>
      </c>
      <c r="C2609" s="8" t="s">
        <v>16673</v>
      </c>
      <c r="D2609" s="8">
        <v>2</v>
      </c>
      <c r="E2609" s="8" t="s">
        <v>16674</v>
      </c>
      <c r="F2609" s="7" t="s">
        <v>11535</v>
      </c>
    </row>
    <row r="2610" ht="18" customHeight="1" spans="1:6">
      <c r="A2610" s="5" t="s">
        <v>8845</v>
      </c>
      <c r="B2610" s="5" t="s">
        <v>16659</v>
      </c>
      <c r="C2610" s="8" t="s">
        <v>16675</v>
      </c>
      <c r="D2610" s="8">
        <v>3</v>
      </c>
      <c r="E2610" s="8" t="s">
        <v>16676</v>
      </c>
      <c r="F2610" s="7" t="s">
        <v>11535</v>
      </c>
    </row>
    <row r="2611" ht="18" customHeight="1" spans="1:6">
      <c r="A2611" s="5" t="s">
        <v>8845</v>
      </c>
      <c r="B2611" s="5" t="s">
        <v>16656</v>
      </c>
      <c r="C2611" s="8" t="s">
        <v>16677</v>
      </c>
      <c r="D2611" s="8">
        <v>2</v>
      </c>
      <c r="E2611" s="8" t="s">
        <v>16678</v>
      </c>
      <c r="F2611" s="7" t="s">
        <v>11535</v>
      </c>
    </row>
    <row r="2612" ht="18" customHeight="1" spans="1:6">
      <c r="A2612" s="5" t="s">
        <v>8845</v>
      </c>
      <c r="B2612" s="5" t="s">
        <v>16656</v>
      </c>
      <c r="C2612" s="8" t="s">
        <v>16679</v>
      </c>
      <c r="D2612" s="8">
        <v>3</v>
      </c>
      <c r="E2612" s="8" t="s">
        <v>16680</v>
      </c>
      <c r="F2612" s="7" t="s">
        <v>11535</v>
      </c>
    </row>
    <row r="2613" ht="18" customHeight="1" spans="1:6">
      <c r="A2613" s="5" t="s">
        <v>8845</v>
      </c>
      <c r="B2613" s="5" t="s">
        <v>16659</v>
      </c>
      <c r="C2613" s="8" t="s">
        <v>16681</v>
      </c>
      <c r="D2613" s="8">
        <v>4</v>
      </c>
      <c r="E2613" s="8" t="s">
        <v>16682</v>
      </c>
      <c r="F2613" s="7" t="s">
        <v>11535</v>
      </c>
    </row>
    <row r="2614" ht="18" customHeight="1" spans="1:6">
      <c r="A2614" s="5" t="s">
        <v>8845</v>
      </c>
      <c r="B2614" s="5" t="s">
        <v>16683</v>
      </c>
      <c r="C2614" s="8" t="s">
        <v>16684</v>
      </c>
      <c r="D2614" s="8">
        <v>5</v>
      </c>
      <c r="E2614" s="8" t="s">
        <v>16685</v>
      </c>
      <c r="F2614" s="7" t="s">
        <v>11535</v>
      </c>
    </row>
    <row r="2615" ht="18" customHeight="1" spans="1:6">
      <c r="A2615" s="5" t="s">
        <v>8845</v>
      </c>
      <c r="B2615" s="5" t="s">
        <v>16670</v>
      </c>
      <c r="C2615" s="8" t="s">
        <v>16686</v>
      </c>
      <c r="D2615" s="8">
        <v>4</v>
      </c>
      <c r="E2615" s="8" t="s">
        <v>16687</v>
      </c>
      <c r="F2615" s="7" t="s">
        <v>11535</v>
      </c>
    </row>
    <row r="2616" ht="18" customHeight="1" spans="1:6">
      <c r="A2616" s="5" t="s">
        <v>8845</v>
      </c>
      <c r="B2616" s="5" t="s">
        <v>16659</v>
      </c>
      <c r="C2616" s="8" t="s">
        <v>16688</v>
      </c>
      <c r="D2616" s="8">
        <v>4</v>
      </c>
      <c r="E2616" s="8" t="s">
        <v>16689</v>
      </c>
      <c r="F2616" s="7" t="s">
        <v>11535</v>
      </c>
    </row>
    <row r="2617" ht="18" customHeight="1" spans="1:6">
      <c r="A2617" s="5" t="s">
        <v>8845</v>
      </c>
      <c r="B2617" s="5" t="s">
        <v>16683</v>
      </c>
      <c r="C2617" s="8" t="s">
        <v>16690</v>
      </c>
      <c r="D2617" s="8">
        <v>4</v>
      </c>
      <c r="E2617" s="8" t="s">
        <v>16691</v>
      </c>
      <c r="F2617" s="7" t="s">
        <v>11535</v>
      </c>
    </row>
    <row r="2618" ht="18" customHeight="1" spans="1:6">
      <c r="A2618" s="5" t="s">
        <v>8845</v>
      </c>
      <c r="B2618" s="5" t="s">
        <v>16670</v>
      </c>
      <c r="C2618" s="8" t="s">
        <v>16692</v>
      </c>
      <c r="D2618" s="8">
        <v>3</v>
      </c>
      <c r="E2618" s="8" t="s">
        <v>16693</v>
      </c>
      <c r="F2618" s="7" t="s">
        <v>11535</v>
      </c>
    </row>
    <row r="2619" ht="18" customHeight="1" spans="1:6">
      <c r="A2619" s="5" t="s">
        <v>8845</v>
      </c>
      <c r="B2619" s="5" t="s">
        <v>16659</v>
      </c>
      <c r="C2619" s="8" t="s">
        <v>16694</v>
      </c>
      <c r="D2619" s="8">
        <v>4</v>
      </c>
      <c r="E2619" s="8" t="s">
        <v>16695</v>
      </c>
      <c r="F2619" s="7" t="s">
        <v>11535</v>
      </c>
    </row>
    <row r="2620" ht="18" customHeight="1" spans="1:6">
      <c r="A2620" s="5" t="s">
        <v>8845</v>
      </c>
      <c r="B2620" s="5" t="s">
        <v>16656</v>
      </c>
      <c r="C2620" s="8" t="s">
        <v>16696</v>
      </c>
      <c r="D2620" s="8">
        <v>2</v>
      </c>
      <c r="E2620" s="8" t="s">
        <v>16697</v>
      </c>
      <c r="F2620" s="7" t="s">
        <v>11535</v>
      </c>
    </row>
    <row r="2621" ht="18" customHeight="1" spans="1:6">
      <c r="A2621" s="5" t="s">
        <v>8845</v>
      </c>
      <c r="B2621" s="5" t="s">
        <v>16683</v>
      </c>
      <c r="C2621" s="8" t="s">
        <v>16698</v>
      </c>
      <c r="D2621" s="8">
        <v>1</v>
      </c>
      <c r="E2621" s="8" t="s">
        <v>16699</v>
      </c>
      <c r="F2621" s="7" t="s">
        <v>11535</v>
      </c>
    </row>
    <row r="2622" ht="18" customHeight="1" spans="1:6">
      <c r="A2622" s="5" t="s">
        <v>8845</v>
      </c>
      <c r="B2622" s="5" t="s">
        <v>16670</v>
      </c>
      <c r="C2622" s="8" t="s">
        <v>16700</v>
      </c>
      <c r="D2622" s="8">
        <v>3</v>
      </c>
      <c r="E2622" s="8" t="s">
        <v>16701</v>
      </c>
      <c r="F2622" s="7" t="s">
        <v>11535</v>
      </c>
    </row>
    <row r="2623" ht="18" customHeight="1" spans="1:6">
      <c r="A2623" s="5" t="s">
        <v>8845</v>
      </c>
      <c r="B2623" s="5" t="s">
        <v>16659</v>
      </c>
      <c r="C2623" s="8" t="s">
        <v>16702</v>
      </c>
      <c r="D2623" s="8">
        <v>3</v>
      </c>
      <c r="E2623" s="194" t="s">
        <v>16703</v>
      </c>
      <c r="F2623" s="7" t="s">
        <v>11535</v>
      </c>
    </row>
    <row r="2624" ht="18" customHeight="1" spans="1:6">
      <c r="A2624" s="5" t="s">
        <v>8845</v>
      </c>
      <c r="B2624" s="5" t="s">
        <v>16659</v>
      </c>
      <c r="C2624" s="8" t="s">
        <v>16704</v>
      </c>
      <c r="D2624" s="8">
        <v>4</v>
      </c>
      <c r="E2624" s="8" t="s">
        <v>16705</v>
      </c>
      <c r="F2624" s="7" t="s">
        <v>11535</v>
      </c>
    </row>
    <row r="2625" ht="18" customHeight="1" spans="1:6">
      <c r="A2625" s="5" t="s">
        <v>8845</v>
      </c>
      <c r="B2625" s="5" t="s">
        <v>16659</v>
      </c>
      <c r="C2625" s="8" t="s">
        <v>16706</v>
      </c>
      <c r="D2625" s="8">
        <v>1</v>
      </c>
      <c r="E2625" s="8" t="s">
        <v>16707</v>
      </c>
      <c r="F2625" s="7" t="s">
        <v>11535</v>
      </c>
    </row>
    <row r="2626" ht="18" customHeight="1" spans="1:6">
      <c r="A2626" s="5" t="s">
        <v>8845</v>
      </c>
      <c r="B2626" s="5" t="s">
        <v>16670</v>
      </c>
      <c r="C2626" s="5" t="s">
        <v>16708</v>
      </c>
      <c r="D2626" s="5">
        <v>4</v>
      </c>
      <c r="E2626" s="178" t="s">
        <v>16709</v>
      </c>
      <c r="F2626" s="7" t="s">
        <v>11535</v>
      </c>
    </row>
    <row r="2627" ht="18" customHeight="1" spans="1:6">
      <c r="A2627" s="5" t="s">
        <v>8845</v>
      </c>
      <c r="B2627" s="5" t="s">
        <v>16659</v>
      </c>
      <c r="C2627" s="5" t="s">
        <v>16710</v>
      </c>
      <c r="D2627" s="5">
        <v>5</v>
      </c>
      <c r="E2627" s="178" t="s">
        <v>16711</v>
      </c>
      <c r="F2627" s="7" t="s">
        <v>11535</v>
      </c>
    </row>
    <row r="2628" ht="18" customHeight="1" spans="1:6">
      <c r="A2628" s="5" t="s">
        <v>8845</v>
      </c>
      <c r="B2628" s="5" t="s">
        <v>8998</v>
      </c>
      <c r="C2628" s="5" t="s">
        <v>16712</v>
      </c>
      <c r="D2628" s="5" t="s">
        <v>2043</v>
      </c>
      <c r="E2628" s="5" t="s">
        <v>16713</v>
      </c>
      <c r="F2628" s="7" t="s">
        <v>11535</v>
      </c>
    </row>
    <row r="2629" ht="18" customHeight="1" spans="1:6">
      <c r="A2629" s="5" t="s">
        <v>8845</v>
      </c>
      <c r="B2629" s="5" t="s">
        <v>8998</v>
      </c>
      <c r="C2629" s="5" t="s">
        <v>16714</v>
      </c>
      <c r="D2629" s="5">
        <v>5</v>
      </c>
      <c r="E2629" s="178" t="s">
        <v>16715</v>
      </c>
      <c r="F2629" s="7" t="s">
        <v>11535</v>
      </c>
    </row>
    <row r="2630" ht="18" customHeight="1" spans="1:6">
      <c r="A2630" s="5" t="s">
        <v>8845</v>
      </c>
      <c r="B2630" s="5" t="s">
        <v>8998</v>
      </c>
      <c r="C2630" s="5" t="s">
        <v>16716</v>
      </c>
      <c r="D2630" s="5">
        <v>4</v>
      </c>
      <c r="E2630" s="178" t="s">
        <v>16717</v>
      </c>
      <c r="F2630" s="7" t="s">
        <v>11535</v>
      </c>
    </row>
    <row r="2631" ht="18" customHeight="1" spans="1:6">
      <c r="A2631" s="5" t="s">
        <v>8845</v>
      </c>
      <c r="B2631" s="5" t="s">
        <v>8998</v>
      </c>
      <c r="C2631" s="5" t="s">
        <v>16718</v>
      </c>
      <c r="D2631" s="5">
        <v>4</v>
      </c>
      <c r="E2631" s="178" t="s">
        <v>16719</v>
      </c>
      <c r="F2631" s="7" t="s">
        <v>11535</v>
      </c>
    </row>
    <row r="2632" ht="18" customHeight="1" spans="1:6">
      <c r="A2632" s="5" t="s">
        <v>8845</v>
      </c>
      <c r="B2632" s="5" t="s">
        <v>8998</v>
      </c>
      <c r="C2632" s="5" t="s">
        <v>16720</v>
      </c>
      <c r="D2632" s="5">
        <v>2</v>
      </c>
      <c r="E2632" s="178" t="s">
        <v>16721</v>
      </c>
      <c r="F2632" s="7" t="s">
        <v>11535</v>
      </c>
    </row>
    <row r="2633" ht="18" customHeight="1" spans="1:6">
      <c r="A2633" s="5" t="s">
        <v>8845</v>
      </c>
      <c r="B2633" s="5" t="s">
        <v>8998</v>
      </c>
      <c r="C2633" s="5" t="s">
        <v>16722</v>
      </c>
      <c r="D2633" s="5">
        <v>4</v>
      </c>
      <c r="E2633" s="178" t="s">
        <v>16723</v>
      </c>
      <c r="F2633" s="7" t="s">
        <v>11535</v>
      </c>
    </row>
    <row r="2634" ht="18" customHeight="1" spans="1:6">
      <c r="A2634" s="5" t="s">
        <v>8845</v>
      </c>
      <c r="B2634" s="5" t="s">
        <v>8998</v>
      </c>
      <c r="C2634" s="5" t="s">
        <v>16724</v>
      </c>
      <c r="D2634" s="5">
        <v>2</v>
      </c>
      <c r="E2634" s="178" t="s">
        <v>16725</v>
      </c>
      <c r="F2634" s="7" t="s">
        <v>11535</v>
      </c>
    </row>
    <row r="2635" ht="18" customHeight="1" spans="1:6">
      <c r="A2635" s="5" t="s">
        <v>8845</v>
      </c>
      <c r="B2635" s="5" t="s">
        <v>8998</v>
      </c>
      <c r="C2635" s="5" t="s">
        <v>16726</v>
      </c>
      <c r="D2635" s="5">
        <v>2</v>
      </c>
      <c r="E2635" s="178" t="s">
        <v>16727</v>
      </c>
      <c r="F2635" s="7" t="s">
        <v>11535</v>
      </c>
    </row>
    <row r="2636" ht="18" customHeight="1" spans="1:6">
      <c r="A2636" s="5" t="s">
        <v>8845</v>
      </c>
      <c r="B2636" s="5" t="s">
        <v>8998</v>
      </c>
      <c r="C2636" s="5" t="s">
        <v>16728</v>
      </c>
      <c r="D2636" s="5">
        <v>1</v>
      </c>
      <c r="E2636" s="178" t="s">
        <v>16729</v>
      </c>
      <c r="F2636" s="7" t="s">
        <v>11535</v>
      </c>
    </row>
    <row r="2637" ht="18" customHeight="1" spans="1:6">
      <c r="A2637" s="5" t="s">
        <v>8845</v>
      </c>
      <c r="B2637" s="5" t="s">
        <v>8998</v>
      </c>
      <c r="C2637" s="5" t="s">
        <v>16730</v>
      </c>
      <c r="D2637" s="5">
        <v>3</v>
      </c>
      <c r="E2637" s="178" t="s">
        <v>16731</v>
      </c>
      <c r="F2637" s="7" t="s">
        <v>11535</v>
      </c>
    </row>
    <row r="2638" ht="18" customHeight="1" spans="1:6">
      <c r="A2638" s="5" t="s">
        <v>8845</v>
      </c>
      <c r="B2638" s="5" t="s">
        <v>8998</v>
      </c>
      <c r="C2638" s="5" t="s">
        <v>16732</v>
      </c>
      <c r="D2638" s="5">
        <v>1</v>
      </c>
      <c r="E2638" s="10" t="s">
        <v>16733</v>
      </c>
      <c r="F2638" s="7" t="s">
        <v>11535</v>
      </c>
    </row>
    <row r="2639" ht="18" customHeight="1" spans="1:6">
      <c r="A2639" s="5" t="s">
        <v>8845</v>
      </c>
      <c r="B2639" s="5" t="s">
        <v>8998</v>
      </c>
      <c r="C2639" s="5" t="s">
        <v>16734</v>
      </c>
      <c r="D2639" s="5">
        <v>2</v>
      </c>
      <c r="E2639" s="10" t="s">
        <v>16735</v>
      </c>
      <c r="F2639" s="7" t="s">
        <v>11535</v>
      </c>
    </row>
    <row r="2640" ht="18" customHeight="1" spans="1:6">
      <c r="A2640" s="5" t="s">
        <v>8845</v>
      </c>
      <c r="B2640" s="5" t="s">
        <v>8998</v>
      </c>
      <c r="C2640" s="5" t="s">
        <v>16736</v>
      </c>
      <c r="D2640" s="5">
        <v>1</v>
      </c>
      <c r="E2640" s="10" t="s">
        <v>16737</v>
      </c>
      <c r="F2640" s="7" t="s">
        <v>11535</v>
      </c>
    </row>
    <row r="2641" ht="18" customHeight="1" spans="1:6">
      <c r="A2641" s="5" t="s">
        <v>8845</v>
      </c>
      <c r="B2641" s="5" t="s">
        <v>8998</v>
      </c>
      <c r="C2641" s="5" t="s">
        <v>16738</v>
      </c>
      <c r="D2641" s="5">
        <v>2</v>
      </c>
      <c r="E2641" s="10" t="s">
        <v>16739</v>
      </c>
      <c r="F2641" s="7" t="s">
        <v>11535</v>
      </c>
    </row>
    <row r="2642" ht="18" customHeight="1" spans="1:6">
      <c r="A2642" s="5" t="s">
        <v>8845</v>
      </c>
      <c r="B2642" s="5" t="s">
        <v>8998</v>
      </c>
      <c r="C2642" s="5" t="s">
        <v>16740</v>
      </c>
      <c r="D2642" s="5">
        <v>1</v>
      </c>
      <c r="E2642" s="10" t="s">
        <v>16741</v>
      </c>
      <c r="F2642" s="7" t="s">
        <v>11535</v>
      </c>
    </row>
    <row r="2643" ht="18" customHeight="1" spans="1:6">
      <c r="A2643" s="5" t="s">
        <v>8845</v>
      </c>
      <c r="B2643" s="5" t="s">
        <v>8998</v>
      </c>
      <c r="C2643" s="5" t="s">
        <v>16742</v>
      </c>
      <c r="D2643" s="5">
        <v>2</v>
      </c>
      <c r="E2643" s="10" t="s">
        <v>16743</v>
      </c>
      <c r="F2643" s="7" t="s">
        <v>11535</v>
      </c>
    </row>
    <row r="2644" ht="18" customHeight="1" spans="1:6">
      <c r="A2644" s="13" t="s">
        <v>8845</v>
      </c>
      <c r="B2644" s="13" t="s">
        <v>8998</v>
      </c>
      <c r="C2644" s="13" t="s">
        <v>16744</v>
      </c>
      <c r="D2644" s="13">
        <v>3</v>
      </c>
      <c r="E2644" s="10" t="s">
        <v>16745</v>
      </c>
      <c r="F2644" s="7" t="s">
        <v>11535</v>
      </c>
    </row>
    <row r="2645" ht="18" customHeight="1" spans="1:6">
      <c r="A2645" s="13" t="s">
        <v>8845</v>
      </c>
      <c r="B2645" s="13" t="s">
        <v>16746</v>
      </c>
      <c r="C2645" s="13" t="s">
        <v>16747</v>
      </c>
      <c r="D2645" s="11">
        <v>5</v>
      </c>
      <c r="E2645" s="10" t="s">
        <v>16748</v>
      </c>
      <c r="F2645" s="7" t="s">
        <v>11535</v>
      </c>
    </row>
    <row r="2646" ht="18" customHeight="1" spans="1:6">
      <c r="A2646" s="13" t="s">
        <v>8845</v>
      </c>
      <c r="B2646" s="13" t="s">
        <v>16746</v>
      </c>
      <c r="C2646" s="13" t="s">
        <v>16749</v>
      </c>
      <c r="D2646" s="11">
        <v>3</v>
      </c>
      <c r="E2646" s="10" t="s">
        <v>16750</v>
      </c>
      <c r="F2646" s="7" t="s">
        <v>11535</v>
      </c>
    </row>
    <row r="2647" ht="18" customHeight="1" spans="1:6">
      <c r="A2647" s="13" t="s">
        <v>8845</v>
      </c>
      <c r="B2647" s="13" t="s">
        <v>16751</v>
      </c>
      <c r="C2647" s="13" t="s">
        <v>16752</v>
      </c>
      <c r="D2647" s="13">
        <v>2</v>
      </c>
      <c r="E2647" s="75">
        <v>4.22626193602061e+17</v>
      </c>
      <c r="F2647" s="7" t="s">
        <v>11535</v>
      </c>
    </row>
    <row r="2648" ht="18" customHeight="1" spans="1:6">
      <c r="A2648" s="13" t="s">
        <v>8845</v>
      </c>
      <c r="B2648" s="13" t="s">
        <v>9035</v>
      </c>
      <c r="C2648" s="13" t="s">
        <v>16753</v>
      </c>
      <c r="D2648" s="13">
        <v>3</v>
      </c>
      <c r="E2648" s="5" t="s">
        <v>16754</v>
      </c>
      <c r="F2648" s="7" t="s">
        <v>11535</v>
      </c>
    </row>
    <row r="2649" ht="18" customHeight="1" spans="1:6">
      <c r="A2649" s="13" t="s">
        <v>8845</v>
      </c>
      <c r="B2649" s="13" t="s">
        <v>9035</v>
      </c>
      <c r="C2649" s="13" t="s">
        <v>16755</v>
      </c>
      <c r="D2649" s="13">
        <v>3</v>
      </c>
      <c r="E2649" s="5" t="s">
        <v>16756</v>
      </c>
      <c r="F2649" s="7" t="s">
        <v>11535</v>
      </c>
    </row>
    <row r="2650" ht="18" customHeight="1" spans="1:6">
      <c r="A2650" s="13" t="s">
        <v>8845</v>
      </c>
      <c r="B2650" s="13" t="s">
        <v>9035</v>
      </c>
      <c r="C2650" s="13" t="s">
        <v>10421</v>
      </c>
      <c r="D2650" s="13">
        <v>4</v>
      </c>
      <c r="E2650" s="76" t="s">
        <v>16757</v>
      </c>
      <c r="F2650" s="7" t="s">
        <v>11535</v>
      </c>
    </row>
    <row r="2651" ht="18" customHeight="1" spans="1:6">
      <c r="A2651" s="13" t="s">
        <v>8845</v>
      </c>
      <c r="B2651" s="13" t="s">
        <v>9035</v>
      </c>
      <c r="C2651" s="13" t="s">
        <v>16758</v>
      </c>
      <c r="D2651" s="13">
        <v>1</v>
      </c>
      <c r="E2651" s="76" t="s">
        <v>16759</v>
      </c>
      <c r="F2651" s="7" t="s">
        <v>11535</v>
      </c>
    </row>
    <row r="2652" ht="18" customHeight="1" spans="1:6">
      <c r="A2652" s="13" t="s">
        <v>8845</v>
      </c>
      <c r="B2652" s="13" t="s">
        <v>9035</v>
      </c>
      <c r="C2652" s="13" t="s">
        <v>3869</v>
      </c>
      <c r="D2652" s="13">
        <v>2</v>
      </c>
      <c r="E2652" s="5" t="s">
        <v>16760</v>
      </c>
      <c r="F2652" s="7" t="s">
        <v>11535</v>
      </c>
    </row>
    <row r="2653" ht="18" customHeight="1" spans="1:6">
      <c r="A2653" s="13" t="s">
        <v>8845</v>
      </c>
      <c r="B2653" s="13" t="s">
        <v>9035</v>
      </c>
      <c r="C2653" s="13" t="s">
        <v>16761</v>
      </c>
      <c r="D2653" s="13">
        <v>4</v>
      </c>
      <c r="E2653" s="5" t="s">
        <v>16762</v>
      </c>
      <c r="F2653" s="7" t="s">
        <v>11535</v>
      </c>
    </row>
    <row r="2654" ht="18" customHeight="1" spans="1:6">
      <c r="A2654" s="13" t="s">
        <v>8845</v>
      </c>
      <c r="B2654" s="13" t="s">
        <v>9035</v>
      </c>
      <c r="C2654" s="13" t="s">
        <v>16763</v>
      </c>
      <c r="D2654" s="13">
        <v>3</v>
      </c>
      <c r="E2654" s="5" t="s">
        <v>16764</v>
      </c>
      <c r="F2654" s="7" t="s">
        <v>11535</v>
      </c>
    </row>
    <row r="2655" ht="18" customHeight="1" spans="1:6">
      <c r="A2655" s="13" t="s">
        <v>8845</v>
      </c>
      <c r="B2655" s="13" t="s">
        <v>9035</v>
      </c>
      <c r="C2655" s="13" t="s">
        <v>16765</v>
      </c>
      <c r="D2655" s="13">
        <v>2</v>
      </c>
      <c r="E2655" s="5" t="s">
        <v>16766</v>
      </c>
      <c r="F2655" s="7" t="s">
        <v>11535</v>
      </c>
    </row>
    <row r="2656" ht="18" customHeight="1" spans="1:6">
      <c r="A2656" s="13" t="s">
        <v>8845</v>
      </c>
      <c r="B2656" s="13" t="s">
        <v>9035</v>
      </c>
      <c r="C2656" s="13" t="s">
        <v>16767</v>
      </c>
      <c r="D2656" s="13">
        <v>3</v>
      </c>
      <c r="E2656" s="5" t="s">
        <v>16768</v>
      </c>
      <c r="F2656" s="7" t="s">
        <v>11535</v>
      </c>
    </row>
    <row r="2657" ht="18" customHeight="1" spans="1:6">
      <c r="A2657" s="13" t="s">
        <v>8845</v>
      </c>
      <c r="B2657" s="13" t="s">
        <v>9035</v>
      </c>
      <c r="C2657" s="13" t="s">
        <v>16769</v>
      </c>
      <c r="D2657" s="13">
        <v>4</v>
      </c>
      <c r="E2657" s="5" t="s">
        <v>16770</v>
      </c>
      <c r="F2657" s="7" t="s">
        <v>11535</v>
      </c>
    </row>
    <row r="2658" ht="18" customHeight="1" spans="1:6">
      <c r="A2658" s="13" t="s">
        <v>8845</v>
      </c>
      <c r="B2658" s="13" t="s">
        <v>9035</v>
      </c>
      <c r="C2658" s="13" t="s">
        <v>16771</v>
      </c>
      <c r="D2658" s="13">
        <v>1</v>
      </c>
      <c r="E2658" s="76" t="s">
        <v>16772</v>
      </c>
      <c r="F2658" s="7" t="s">
        <v>11535</v>
      </c>
    </row>
    <row r="2659" ht="18" customHeight="1" spans="1:6">
      <c r="A2659" s="13" t="s">
        <v>8845</v>
      </c>
      <c r="B2659" s="13" t="s">
        <v>9035</v>
      </c>
      <c r="C2659" s="13" t="s">
        <v>16773</v>
      </c>
      <c r="D2659" s="13">
        <v>3</v>
      </c>
      <c r="E2659" s="76" t="s">
        <v>16774</v>
      </c>
      <c r="F2659" s="7" t="s">
        <v>11535</v>
      </c>
    </row>
    <row r="2660" ht="18" customHeight="1" spans="1:6">
      <c r="A2660" s="13" t="s">
        <v>8845</v>
      </c>
      <c r="B2660" s="13" t="s">
        <v>9035</v>
      </c>
      <c r="C2660" s="13" t="s">
        <v>16775</v>
      </c>
      <c r="D2660" s="13">
        <v>1</v>
      </c>
      <c r="E2660" s="5" t="s">
        <v>16776</v>
      </c>
      <c r="F2660" s="7" t="s">
        <v>11535</v>
      </c>
    </row>
    <row r="2661" ht="18" customHeight="1" spans="1:6">
      <c r="A2661" s="13" t="s">
        <v>8845</v>
      </c>
      <c r="B2661" s="13" t="s">
        <v>9035</v>
      </c>
      <c r="C2661" s="13" t="s">
        <v>16777</v>
      </c>
      <c r="D2661" s="13">
        <v>5</v>
      </c>
      <c r="E2661" s="5" t="s">
        <v>16778</v>
      </c>
      <c r="F2661" s="7" t="s">
        <v>11535</v>
      </c>
    </row>
    <row r="2662" ht="18" customHeight="1" spans="1:6">
      <c r="A2662" s="13" t="s">
        <v>8845</v>
      </c>
      <c r="B2662" s="13" t="s">
        <v>9035</v>
      </c>
      <c r="C2662" s="13" t="s">
        <v>16779</v>
      </c>
      <c r="D2662" s="13">
        <v>2</v>
      </c>
      <c r="E2662" s="5" t="s">
        <v>16780</v>
      </c>
      <c r="F2662" s="7" t="s">
        <v>11535</v>
      </c>
    </row>
    <row r="2663" ht="18" customHeight="1" spans="1:6">
      <c r="A2663" s="13" t="s">
        <v>8845</v>
      </c>
      <c r="B2663" s="13" t="s">
        <v>9035</v>
      </c>
      <c r="C2663" s="13" t="s">
        <v>16781</v>
      </c>
      <c r="D2663" s="13">
        <v>5</v>
      </c>
      <c r="E2663" s="5" t="s">
        <v>16782</v>
      </c>
      <c r="F2663" s="7" t="s">
        <v>11535</v>
      </c>
    </row>
    <row r="2664" ht="18" customHeight="1" spans="1:6">
      <c r="A2664" s="13" t="s">
        <v>8845</v>
      </c>
      <c r="B2664" s="13" t="s">
        <v>9035</v>
      </c>
      <c r="C2664" s="13" t="s">
        <v>16783</v>
      </c>
      <c r="D2664" s="13">
        <v>2</v>
      </c>
      <c r="E2664" s="5" t="s">
        <v>16784</v>
      </c>
      <c r="F2664" s="7" t="s">
        <v>11535</v>
      </c>
    </row>
    <row r="2665" ht="18" customHeight="1" spans="1:6">
      <c r="A2665" s="13" t="s">
        <v>8845</v>
      </c>
      <c r="B2665" s="13" t="s">
        <v>9035</v>
      </c>
      <c r="C2665" s="13" t="s">
        <v>16785</v>
      </c>
      <c r="D2665" s="13">
        <v>1</v>
      </c>
      <c r="E2665" s="5" t="s">
        <v>16786</v>
      </c>
      <c r="F2665" s="7" t="s">
        <v>11535</v>
      </c>
    </row>
    <row r="2666" ht="18" customHeight="1" spans="1:6">
      <c r="A2666" s="13" t="s">
        <v>8845</v>
      </c>
      <c r="B2666" s="13" t="s">
        <v>9035</v>
      </c>
      <c r="C2666" s="13" t="s">
        <v>16787</v>
      </c>
      <c r="D2666" s="13">
        <v>2</v>
      </c>
      <c r="E2666" s="5" t="s">
        <v>16788</v>
      </c>
      <c r="F2666" s="7" t="s">
        <v>11535</v>
      </c>
    </row>
    <row r="2667" ht="18" customHeight="1" spans="1:6">
      <c r="A2667" s="13" t="s">
        <v>8845</v>
      </c>
      <c r="B2667" s="13" t="s">
        <v>9035</v>
      </c>
      <c r="C2667" s="13" t="s">
        <v>16789</v>
      </c>
      <c r="D2667" s="13">
        <v>5</v>
      </c>
      <c r="E2667" s="76" t="s">
        <v>16790</v>
      </c>
      <c r="F2667" s="7" t="s">
        <v>11535</v>
      </c>
    </row>
    <row r="2668" ht="18" customHeight="1" spans="1:6">
      <c r="A2668" s="13" t="s">
        <v>8845</v>
      </c>
      <c r="B2668" s="13" t="s">
        <v>9035</v>
      </c>
      <c r="C2668" s="13" t="s">
        <v>16791</v>
      </c>
      <c r="D2668" s="13">
        <v>3</v>
      </c>
      <c r="E2668" s="77" t="s">
        <v>16792</v>
      </c>
      <c r="F2668" s="7" t="s">
        <v>11535</v>
      </c>
    </row>
    <row r="2669" ht="18" customHeight="1" spans="1:6">
      <c r="A2669" s="13" t="s">
        <v>8845</v>
      </c>
      <c r="B2669" s="13" t="s">
        <v>9035</v>
      </c>
      <c r="C2669" s="13" t="s">
        <v>16793</v>
      </c>
      <c r="D2669" s="13">
        <v>4</v>
      </c>
      <c r="E2669" s="77" t="s">
        <v>16794</v>
      </c>
      <c r="F2669" s="7" t="s">
        <v>11535</v>
      </c>
    </row>
    <row r="2670" ht="18" customHeight="1" spans="1:6">
      <c r="A2670" s="13" t="s">
        <v>8845</v>
      </c>
      <c r="B2670" s="13" t="s">
        <v>9035</v>
      </c>
      <c r="C2670" s="13" t="s">
        <v>10415</v>
      </c>
      <c r="D2670" s="13">
        <v>3</v>
      </c>
      <c r="E2670" s="5" t="s">
        <v>16795</v>
      </c>
      <c r="F2670" s="7" t="s">
        <v>11535</v>
      </c>
    </row>
    <row r="2671" ht="18" customHeight="1" spans="1:6">
      <c r="A2671" s="13" t="s">
        <v>8845</v>
      </c>
      <c r="B2671" s="13" t="s">
        <v>9035</v>
      </c>
      <c r="C2671" s="13" t="s">
        <v>16796</v>
      </c>
      <c r="D2671" s="13">
        <v>4</v>
      </c>
      <c r="E2671" s="5" t="s">
        <v>16797</v>
      </c>
      <c r="F2671" s="7" t="s">
        <v>11535</v>
      </c>
    </row>
    <row r="2672" ht="18" customHeight="1" spans="1:6">
      <c r="A2672" s="13" t="s">
        <v>8845</v>
      </c>
      <c r="B2672" s="13" t="s">
        <v>9035</v>
      </c>
      <c r="C2672" s="13" t="s">
        <v>16798</v>
      </c>
      <c r="D2672" s="13">
        <v>2</v>
      </c>
      <c r="E2672" s="5" t="s">
        <v>16799</v>
      </c>
      <c r="F2672" s="7" t="s">
        <v>11535</v>
      </c>
    </row>
    <row r="2673" ht="18" customHeight="1" spans="1:6">
      <c r="A2673" s="13" t="s">
        <v>8845</v>
      </c>
      <c r="B2673" s="13" t="s">
        <v>9035</v>
      </c>
      <c r="C2673" s="13" t="s">
        <v>16800</v>
      </c>
      <c r="D2673" s="13">
        <v>2</v>
      </c>
      <c r="E2673" s="5" t="s">
        <v>16801</v>
      </c>
      <c r="F2673" s="7" t="s">
        <v>11535</v>
      </c>
    </row>
    <row r="2674" ht="18" customHeight="1" spans="1:6">
      <c r="A2674" s="13" t="s">
        <v>8845</v>
      </c>
      <c r="B2674" s="13" t="s">
        <v>16802</v>
      </c>
      <c r="C2674" s="13" t="s">
        <v>16803</v>
      </c>
      <c r="D2674" s="13">
        <v>2</v>
      </c>
      <c r="E2674" s="179" t="s">
        <v>16804</v>
      </c>
      <c r="F2674" s="7" t="s">
        <v>11535</v>
      </c>
    </row>
    <row r="2675" ht="18" customHeight="1" spans="1:6">
      <c r="A2675" s="13" t="s">
        <v>8845</v>
      </c>
      <c r="B2675" s="13" t="s">
        <v>16802</v>
      </c>
      <c r="C2675" s="13" t="s">
        <v>16805</v>
      </c>
      <c r="D2675" s="13">
        <v>3</v>
      </c>
      <c r="E2675" s="13" t="s">
        <v>16806</v>
      </c>
      <c r="F2675" s="7" t="s">
        <v>11535</v>
      </c>
    </row>
    <row r="2676" ht="18" customHeight="1" spans="1:6">
      <c r="A2676" s="20" t="s">
        <v>8845</v>
      </c>
      <c r="B2676" s="78" t="s">
        <v>16807</v>
      </c>
      <c r="C2676" s="78" t="s">
        <v>16808</v>
      </c>
      <c r="D2676" s="78">
        <v>2</v>
      </c>
      <c r="E2676" s="78" t="s">
        <v>16809</v>
      </c>
      <c r="F2676" s="7" t="s">
        <v>11535</v>
      </c>
    </row>
    <row r="2677" ht="18" customHeight="1" spans="1:6">
      <c r="A2677" s="20" t="s">
        <v>8845</v>
      </c>
      <c r="B2677" s="78" t="s">
        <v>16810</v>
      </c>
      <c r="C2677" s="78" t="s">
        <v>16811</v>
      </c>
      <c r="D2677" s="78">
        <v>2</v>
      </c>
      <c r="E2677" s="78" t="s">
        <v>16812</v>
      </c>
      <c r="F2677" s="7" t="s">
        <v>11535</v>
      </c>
    </row>
    <row r="2678" ht="18" customHeight="1" spans="1:6">
      <c r="A2678" s="20" t="s">
        <v>8845</v>
      </c>
      <c r="B2678" s="78" t="s">
        <v>16813</v>
      </c>
      <c r="C2678" s="78" t="s">
        <v>16814</v>
      </c>
      <c r="D2678" s="78">
        <v>3</v>
      </c>
      <c r="E2678" s="78" t="s">
        <v>16815</v>
      </c>
      <c r="F2678" s="7" t="s">
        <v>11535</v>
      </c>
    </row>
    <row r="2679" ht="18" customHeight="1" spans="1:6">
      <c r="A2679" s="20" t="s">
        <v>8845</v>
      </c>
      <c r="B2679" s="78" t="s">
        <v>16816</v>
      </c>
      <c r="C2679" s="78" t="s">
        <v>16817</v>
      </c>
      <c r="D2679" s="78">
        <v>3</v>
      </c>
      <c r="E2679" s="78" t="s">
        <v>16818</v>
      </c>
      <c r="F2679" s="7" t="s">
        <v>11535</v>
      </c>
    </row>
    <row r="2680" ht="18" customHeight="1" spans="1:6">
      <c r="A2680" s="20" t="s">
        <v>8845</v>
      </c>
      <c r="B2680" s="78" t="s">
        <v>16819</v>
      </c>
      <c r="C2680" s="78" t="s">
        <v>16820</v>
      </c>
      <c r="D2680" s="78">
        <v>3</v>
      </c>
      <c r="E2680" s="78" t="s">
        <v>16821</v>
      </c>
      <c r="F2680" s="7" t="s">
        <v>11535</v>
      </c>
    </row>
    <row r="2681" ht="18" customHeight="1" spans="1:6">
      <c r="A2681" s="20" t="s">
        <v>8845</v>
      </c>
      <c r="B2681" s="78" t="s">
        <v>16819</v>
      </c>
      <c r="C2681" s="78" t="s">
        <v>16822</v>
      </c>
      <c r="D2681" s="78">
        <v>4</v>
      </c>
      <c r="E2681" s="78" t="s">
        <v>16823</v>
      </c>
      <c r="F2681" s="7" t="s">
        <v>11535</v>
      </c>
    </row>
    <row r="2682" ht="18" customHeight="1" spans="1:6">
      <c r="A2682" s="13" t="s">
        <v>9219</v>
      </c>
      <c r="B2682" s="13"/>
      <c r="C2682" s="13">
        <v>186</v>
      </c>
      <c r="D2682" s="13">
        <v>453</v>
      </c>
      <c r="E2682" s="13"/>
      <c r="F2682" s="5"/>
    </row>
    <row r="2683" ht="18" customHeight="1" spans="1:6">
      <c r="A2683" s="13" t="s">
        <v>9220</v>
      </c>
      <c r="B2683" s="13" t="s">
        <v>9221</v>
      </c>
      <c r="C2683" s="13" t="s">
        <v>16824</v>
      </c>
      <c r="D2683" s="13">
        <v>4</v>
      </c>
      <c r="E2683" s="179" t="s">
        <v>16825</v>
      </c>
      <c r="F2683" s="7" t="s">
        <v>11535</v>
      </c>
    </row>
    <row r="2684" ht="18" customHeight="1" spans="1:6">
      <c r="A2684" s="13" t="s">
        <v>9220</v>
      </c>
      <c r="B2684" s="13" t="s">
        <v>9221</v>
      </c>
      <c r="C2684" s="13" t="s">
        <v>16826</v>
      </c>
      <c r="D2684" s="13">
        <v>3</v>
      </c>
      <c r="E2684" s="179" t="s">
        <v>16827</v>
      </c>
      <c r="F2684" s="7" t="s">
        <v>11535</v>
      </c>
    </row>
    <row r="2685" ht="18" customHeight="1" spans="1:6">
      <c r="A2685" s="13" t="s">
        <v>9220</v>
      </c>
      <c r="B2685" s="13" t="s">
        <v>9221</v>
      </c>
      <c r="C2685" s="13" t="s">
        <v>16828</v>
      </c>
      <c r="D2685" s="13">
        <v>3</v>
      </c>
      <c r="E2685" s="179" t="s">
        <v>16829</v>
      </c>
      <c r="F2685" s="7" t="s">
        <v>11535</v>
      </c>
    </row>
    <row r="2686" ht="18" customHeight="1" spans="1:6">
      <c r="A2686" s="13" t="s">
        <v>9220</v>
      </c>
      <c r="B2686" s="13" t="s">
        <v>9221</v>
      </c>
      <c r="C2686" s="13" t="s">
        <v>16830</v>
      </c>
      <c r="D2686" s="13">
        <v>5</v>
      </c>
      <c r="E2686" s="179" t="s">
        <v>16831</v>
      </c>
      <c r="F2686" s="7" t="s">
        <v>11535</v>
      </c>
    </row>
    <row r="2687" ht="18" customHeight="1" spans="1:6">
      <c r="A2687" s="13" t="s">
        <v>9220</v>
      </c>
      <c r="B2687" s="13" t="s">
        <v>9221</v>
      </c>
      <c r="C2687" s="13" t="s">
        <v>16832</v>
      </c>
      <c r="D2687" s="13">
        <v>3</v>
      </c>
      <c r="E2687" s="179" t="s">
        <v>16833</v>
      </c>
      <c r="F2687" s="7" t="s">
        <v>11535</v>
      </c>
    </row>
    <row r="2688" ht="18" customHeight="1" spans="1:6">
      <c r="A2688" s="13" t="s">
        <v>9220</v>
      </c>
      <c r="B2688" s="13" t="s">
        <v>9221</v>
      </c>
      <c r="C2688" s="13" t="s">
        <v>16834</v>
      </c>
      <c r="D2688" s="13">
        <v>4</v>
      </c>
      <c r="E2688" s="179" t="s">
        <v>16835</v>
      </c>
      <c r="F2688" s="7" t="s">
        <v>11535</v>
      </c>
    </row>
    <row r="2689" ht="18" customHeight="1" spans="1:6">
      <c r="A2689" s="13" t="s">
        <v>9220</v>
      </c>
      <c r="B2689" s="13" t="s">
        <v>9221</v>
      </c>
      <c r="C2689" s="13" t="s">
        <v>16836</v>
      </c>
      <c r="D2689" s="13">
        <v>4</v>
      </c>
      <c r="E2689" s="179" t="s">
        <v>16837</v>
      </c>
      <c r="F2689" s="7" t="s">
        <v>11535</v>
      </c>
    </row>
    <row r="2690" ht="18" customHeight="1" spans="1:6">
      <c r="A2690" s="13" t="s">
        <v>9220</v>
      </c>
      <c r="B2690" s="13" t="s">
        <v>9221</v>
      </c>
      <c r="C2690" s="13" t="s">
        <v>16838</v>
      </c>
      <c r="D2690" s="13">
        <v>2</v>
      </c>
      <c r="E2690" s="179" t="s">
        <v>16839</v>
      </c>
      <c r="F2690" s="7" t="s">
        <v>11535</v>
      </c>
    </row>
    <row r="2691" ht="18" customHeight="1" spans="1:6">
      <c r="A2691" s="13" t="s">
        <v>9220</v>
      </c>
      <c r="B2691" s="13" t="s">
        <v>9221</v>
      </c>
      <c r="C2691" s="13" t="s">
        <v>9294</v>
      </c>
      <c r="D2691" s="13">
        <v>4</v>
      </c>
      <c r="E2691" s="179" t="s">
        <v>16840</v>
      </c>
      <c r="F2691" s="7" t="s">
        <v>11535</v>
      </c>
    </row>
    <row r="2692" ht="18" customHeight="1" spans="1:6">
      <c r="A2692" s="13" t="s">
        <v>9220</v>
      </c>
      <c r="B2692" s="13" t="s">
        <v>9221</v>
      </c>
      <c r="C2692" s="13" t="s">
        <v>16841</v>
      </c>
      <c r="D2692" s="13">
        <v>5</v>
      </c>
      <c r="E2692" s="13" t="s">
        <v>16842</v>
      </c>
      <c r="F2692" s="7" t="s">
        <v>11535</v>
      </c>
    </row>
    <row r="2693" ht="18" customHeight="1" spans="1:6">
      <c r="A2693" s="13" t="s">
        <v>9220</v>
      </c>
      <c r="B2693" s="13" t="s">
        <v>9221</v>
      </c>
      <c r="C2693" s="13" t="s">
        <v>16843</v>
      </c>
      <c r="D2693" s="13">
        <v>7</v>
      </c>
      <c r="E2693" s="179" t="s">
        <v>16844</v>
      </c>
      <c r="F2693" s="7" t="s">
        <v>11535</v>
      </c>
    </row>
    <row r="2694" ht="18" customHeight="1" spans="1:6">
      <c r="A2694" s="13" t="s">
        <v>9220</v>
      </c>
      <c r="B2694" s="13" t="s">
        <v>9221</v>
      </c>
      <c r="C2694" s="13" t="s">
        <v>16845</v>
      </c>
      <c r="D2694" s="13">
        <v>3</v>
      </c>
      <c r="E2694" s="179" t="s">
        <v>16846</v>
      </c>
      <c r="F2694" s="7" t="s">
        <v>11535</v>
      </c>
    </row>
    <row r="2695" ht="18" customHeight="1" spans="1:6">
      <c r="A2695" s="13" t="s">
        <v>9220</v>
      </c>
      <c r="B2695" s="13" t="s">
        <v>9221</v>
      </c>
      <c r="C2695" s="13" t="s">
        <v>16847</v>
      </c>
      <c r="D2695" s="13">
        <v>4</v>
      </c>
      <c r="E2695" s="179" t="s">
        <v>16848</v>
      </c>
      <c r="F2695" s="7" t="s">
        <v>11535</v>
      </c>
    </row>
    <row r="2696" ht="18" customHeight="1" spans="1:6">
      <c r="A2696" s="13" t="s">
        <v>9220</v>
      </c>
      <c r="B2696" s="13" t="s">
        <v>9221</v>
      </c>
      <c r="C2696" s="13" t="s">
        <v>16849</v>
      </c>
      <c r="D2696" s="13">
        <v>3</v>
      </c>
      <c r="E2696" s="179" t="s">
        <v>16850</v>
      </c>
      <c r="F2696" s="7" t="s">
        <v>11535</v>
      </c>
    </row>
    <row r="2697" ht="18" customHeight="1" spans="1:6">
      <c r="A2697" s="13" t="s">
        <v>9220</v>
      </c>
      <c r="B2697" s="13" t="s">
        <v>9221</v>
      </c>
      <c r="C2697" s="13" t="s">
        <v>16851</v>
      </c>
      <c r="D2697" s="13">
        <v>4</v>
      </c>
      <c r="E2697" s="179" t="s">
        <v>16852</v>
      </c>
      <c r="F2697" s="7" t="s">
        <v>11535</v>
      </c>
    </row>
    <row r="2698" ht="18" customHeight="1" spans="1:6">
      <c r="A2698" s="13" t="s">
        <v>9220</v>
      </c>
      <c r="B2698" s="13" t="s">
        <v>9221</v>
      </c>
      <c r="C2698" s="13" t="s">
        <v>16853</v>
      </c>
      <c r="D2698" s="13">
        <v>4</v>
      </c>
      <c r="E2698" s="179" t="s">
        <v>16854</v>
      </c>
      <c r="F2698" s="7" t="s">
        <v>11535</v>
      </c>
    </row>
    <row r="2699" ht="18" customHeight="1" spans="1:6">
      <c r="A2699" s="13" t="s">
        <v>9220</v>
      </c>
      <c r="B2699" s="13" t="s">
        <v>9221</v>
      </c>
      <c r="C2699" s="13" t="s">
        <v>16855</v>
      </c>
      <c r="D2699" s="13">
        <v>4</v>
      </c>
      <c r="E2699" s="179" t="s">
        <v>16856</v>
      </c>
      <c r="F2699" s="7" t="s">
        <v>11535</v>
      </c>
    </row>
    <row r="2700" ht="18" customHeight="1" spans="1:6">
      <c r="A2700" s="13" t="s">
        <v>9220</v>
      </c>
      <c r="B2700" s="13" t="s">
        <v>9221</v>
      </c>
      <c r="C2700" s="13" t="s">
        <v>16857</v>
      </c>
      <c r="D2700" s="13">
        <v>1</v>
      </c>
      <c r="E2700" s="179" t="s">
        <v>16858</v>
      </c>
      <c r="F2700" s="7" t="s">
        <v>11535</v>
      </c>
    </row>
    <row r="2701" ht="18" customHeight="1" spans="1:6">
      <c r="A2701" s="13" t="s">
        <v>9220</v>
      </c>
      <c r="B2701" s="13" t="s">
        <v>9221</v>
      </c>
      <c r="C2701" s="13" t="s">
        <v>16859</v>
      </c>
      <c r="D2701" s="13">
        <v>7</v>
      </c>
      <c r="E2701" s="13" t="s">
        <v>16860</v>
      </c>
      <c r="F2701" s="7" t="s">
        <v>11535</v>
      </c>
    </row>
    <row r="2702" ht="18" customHeight="1" spans="1:6">
      <c r="A2702" s="13" t="s">
        <v>9220</v>
      </c>
      <c r="B2702" s="13" t="s">
        <v>9221</v>
      </c>
      <c r="C2702" s="13" t="s">
        <v>16861</v>
      </c>
      <c r="D2702" s="13">
        <v>4</v>
      </c>
      <c r="E2702" s="179" t="s">
        <v>16862</v>
      </c>
      <c r="F2702" s="7" t="s">
        <v>11535</v>
      </c>
    </row>
    <row r="2703" ht="18" customHeight="1" spans="1:6">
      <c r="A2703" s="13" t="s">
        <v>9220</v>
      </c>
      <c r="B2703" s="13" t="s">
        <v>9221</v>
      </c>
      <c r="C2703" s="13" t="s">
        <v>16863</v>
      </c>
      <c r="D2703" s="13">
        <v>1</v>
      </c>
      <c r="E2703" s="179" t="s">
        <v>16864</v>
      </c>
      <c r="F2703" s="7" t="s">
        <v>11535</v>
      </c>
    </row>
    <row r="2704" ht="18" customHeight="1" spans="1:6">
      <c r="A2704" s="13" t="s">
        <v>9220</v>
      </c>
      <c r="B2704" s="13" t="s">
        <v>9221</v>
      </c>
      <c r="C2704" s="13" t="s">
        <v>16865</v>
      </c>
      <c r="D2704" s="13">
        <v>2</v>
      </c>
      <c r="E2704" s="179" t="s">
        <v>16866</v>
      </c>
      <c r="F2704" s="7" t="s">
        <v>11535</v>
      </c>
    </row>
    <row r="2705" ht="18" customHeight="1" spans="1:6">
      <c r="A2705" s="13" t="s">
        <v>9220</v>
      </c>
      <c r="B2705" s="13" t="s">
        <v>9221</v>
      </c>
      <c r="C2705" s="13" t="s">
        <v>16867</v>
      </c>
      <c r="D2705" s="13">
        <v>1</v>
      </c>
      <c r="E2705" s="179" t="s">
        <v>16868</v>
      </c>
      <c r="F2705" s="7" t="s">
        <v>11535</v>
      </c>
    </row>
    <row r="2706" ht="18" customHeight="1" spans="1:6">
      <c r="A2706" s="13" t="s">
        <v>9220</v>
      </c>
      <c r="B2706" s="13" t="s">
        <v>9221</v>
      </c>
      <c r="C2706" s="13" t="s">
        <v>16869</v>
      </c>
      <c r="D2706" s="13">
        <v>1</v>
      </c>
      <c r="E2706" s="179" t="s">
        <v>16870</v>
      </c>
      <c r="F2706" s="7" t="s">
        <v>11535</v>
      </c>
    </row>
    <row r="2707" ht="18" customHeight="1" spans="1:6">
      <c r="A2707" s="13" t="s">
        <v>9220</v>
      </c>
      <c r="B2707" s="13" t="s">
        <v>9221</v>
      </c>
      <c r="C2707" s="13" t="s">
        <v>16871</v>
      </c>
      <c r="D2707" s="13">
        <v>1</v>
      </c>
      <c r="E2707" s="179" t="s">
        <v>16872</v>
      </c>
      <c r="F2707" s="7" t="s">
        <v>11535</v>
      </c>
    </row>
    <row r="2708" ht="18" customHeight="1" spans="1:6">
      <c r="A2708" s="13" t="s">
        <v>9220</v>
      </c>
      <c r="B2708" s="13" t="s">
        <v>9221</v>
      </c>
      <c r="C2708" s="13" t="s">
        <v>16873</v>
      </c>
      <c r="D2708" s="13">
        <v>5</v>
      </c>
      <c r="E2708" s="13" t="s">
        <v>16874</v>
      </c>
      <c r="F2708" s="7" t="s">
        <v>11535</v>
      </c>
    </row>
    <row r="2709" ht="18" customHeight="1" spans="1:6">
      <c r="A2709" s="13" t="s">
        <v>9220</v>
      </c>
      <c r="B2709" s="13" t="s">
        <v>9221</v>
      </c>
      <c r="C2709" s="13" t="s">
        <v>16875</v>
      </c>
      <c r="D2709" s="13">
        <v>1</v>
      </c>
      <c r="E2709" s="179" t="s">
        <v>16876</v>
      </c>
      <c r="F2709" s="7" t="s">
        <v>11535</v>
      </c>
    </row>
    <row r="2710" ht="18" customHeight="1" spans="1:6">
      <c r="A2710" s="13" t="s">
        <v>9220</v>
      </c>
      <c r="B2710" s="13" t="s">
        <v>9221</v>
      </c>
      <c r="C2710" s="13" t="s">
        <v>16877</v>
      </c>
      <c r="D2710" s="13">
        <v>1</v>
      </c>
      <c r="E2710" s="179" t="s">
        <v>16878</v>
      </c>
      <c r="F2710" s="7" t="s">
        <v>11535</v>
      </c>
    </row>
    <row r="2711" ht="18" customHeight="1" spans="1:6">
      <c r="A2711" s="13" t="s">
        <v>9220</v>
      </c>
      <c r="B2711" s="13" t="s">
        <v>9221</v>
      </c>
      <c r="C2711" s="13" t="s">
        <v>16879</v>
      </c>
      <c r="D2711" s="13">
        <v>1</v>
      </c>
      <c r="E2711" s="179" t="s">
        <v>16880</v>
      </c>
      <c r="F2711" s="7" t="s">
        <v>11535</v>
      </c>
    </row>
    <row r="2712" ht="18" customHeight="1" spans="1:6">
      <c r="A2712" s="13" t="s">
        <v>9220</v>
      </c>
      <c r="B2712" s="13" t="s">
        <v>9221</v>
      </c>
      <c r="C2712" s="13" t="s">
        <v>16881</v>
      </c>
      <c r="D2712" s="13">
        <v>1</v>
      </c>
      <c r="E2712" s="179" t="s">
        <v>16882</v>
      </c>
      <c r="F2712" s="7" t="s">
        <v>11535</v>
      </c>
    </row>
    <row r="2713" ht="18" customHeight="1" spans="1:6">
      <c r="A2713" s="13" t="s">
        <v>9220</v>
      </c>
      <c r="B2713" s="13" t="s">
        <v>9221</v>
      </c>
      <c r="C2713" s="13" t="s">
        <v>16883</v>
      </c>
      <c r="D2713" s="13">
        <v>4</v>
      </c>
      <c r="E2713" s="197" t="s">
        <v>16884</v>
      </c>
      <c r="F2713" s="7" t="s">
        <v>11535</v>
      </c>
    </row>
    <row r="2714" ht="18" customHeight="1" spans="1:6">
      <c r="A2714" s="13" t="s">
        <v>9220</v>
      </c>
      <c r="B2714" s="13" t="s">
        <v>9254</v>
      </c>
      <c r="C2714" s="13" t="s">
        <v>16885</v>
      </c>
      <c r="D2714" s="13">
        <v>1</v>
      </c>
      <c r="E2714" s="179" t="s">
        <v>16886</v>
      </c>
      <c r="F2714" s="7" t="s">
        <v>11535</v>
      </c>
    </row>
    <row r="2715" ht="18" customHeight="1" spans="1:6">
      <c r="A2715" s="13" t="s">
        <v>9220</v>
      </c>
      <c r="B2715" s="13" t="s">
        <v>9254</v>
      </c>
      <c r="C2715" s="13" t="s">
        <v>16887</v>
      </c>
      <c r="D2715" s="13">
        <v>6</v>
      </c>
      <c r="E2715" s="179" t="s">
        <v>16888</v>
      </c>
      <c r="F2715" s="7" t="s">
        <v>11535</v>
      </c>
    </row>
    <row r="2716" ht="18" customHeight="1" spans="1:6">
      <c r="A2716" s="13" t="s">
        <v>9220</v>
      </c>
      <c r="B2716" s="13" t="s">
        <v>9254</v>
      </c>
      <c r="C2716" s="13" t="s">
        <v>14739</v>
      </c>
      <c r="D2716" s="13">
        <v>4</v>
      </c>
      <c r="E2716" s="179" t="s">
        <v>16889</v>
      </c>
      <c r="F2716" s="7" t="s">
        <v>11535</v>
      </c>
    </row>
    <row r="2717" ht="18" customHeight="1" spans="1:6">
      <c r="A2717" s="13" t="s">
        <v>9220</v>
      </c>
      <c r="B2717" s="13" t="s">
        <v>9271</v>
      </c>
      <c r="C2717" s="5" t="s">
        <v>16890</v>
      </c>
      <c r="D2717" s="5">
        <v>1</v>
      </c>
      <c r="E2717" s="5" t="s">
        <v>16891</v>
      </c>
      <c r="F2717" s="7" t="s">
        <v>11535</v>
      </c>
    </row>
    <row r="2718" ht="18" customHeight="1" spans="1:6">
      <c r="A2718" s="13" t="s">
        <v>9220</v>
      </c>
      <c r="B2718" s="13" t="s">
        <v>9271</v>
      </c>
      <c r="C2718" s="5" t="s">
        <v>16892</v>
      </c>
      <c r="D2718" s="5">
        <v>2</v>
      </c>
      <c r="E2718" s="5" t="s">
        <v>16893</v>
      </c>
      <c r="F2718" s="7" t="s">
        <v>11535</v>
      </c>
    </row>
    <row r="2719" ht="18" customHeight="1" spans="1:6">
      <c r="A2719" s="13" t="s">
        <v>9220</v>
      </c>
      <c r="B2719" s="13" t="s">
        <v>9271</v>
      </c>
      <c r="C2719" s="5" t="s">
        <v>12013</v>
      </c>
      <c r="D2719" s="5">
        <v>1</v>
      </c>
      <c r="E2719" s="179" t="s">
        <v>16894</v>
      </c>
      <c r="F2719" s="7" t="s">
        <v>11535</v>
      </c>
    </row>
    <row r="2720" ht="18" customHeight="1" spans="1:6">
      <c r="A2720" s="13" t="s">
        <v>9220</v>
      </c>
      <c r="B2720" s="13" t="s">
        <v>9271</v>
      </c>
      <c r="C2720" s="5" t="s">
        <v>16895</v>
      </c>
      <c r="D2720" s="5">
        <v>5</v>
      </c>
      <c r="E2720" s="5" t="s">
        <v>16896</v>
      </c>
      <c r="F2720" s="7" t="s">
        <v>11535</v>
      </c>
    </row>
    <row r="2721" ht="18" customHeight="1" spans="1:6">
      <c r="A2721" s="13" t="s">
        <v>9220</v>
      </c>
      <c r="B2721" s="13" t="s">
        <v>9271</v>
      </c>
      <c r="C2721" s="5" t="s">
        <v>16897</v>
      </c>
      <c r="D2721" s="5">
        <v>3</v>
      </c>
      <c r="E2721" s="5" t="s">
        <v>16898</v>
      </c>
      <c r="F2721" s="7" t="s">
        <v>11535</v>
      </c>
    </row>
    <row r="2722" ht="18" customHeight="1" spans="1:6">
      <c r="A2722" s="13" t="s">
        <v>9220</v>
      </c>
      <c r="B2722" s="13" t="s">
        <v>9271</v>
      </c>
      <c r="C2722" s="13" t="s">
        <v>16899</v>
      </c>
      <c r="D2722" s="15">
        <v>5</v>
      </c>
      <c r="E2722" s="8" t="s">
        <v>16900</v>
      </c>
      <c r="F2722" s="7" t="s">
        <v>11535</v>
      </c>
    </row>
    <row r="2723" ht="18" customHeight="1" spans="1:6">
      <c r="A2723" s="13" t="s">
        <v>9220</v>
      </c>
      <c r="B2723" s="13" t="s">
        <v>9271</v>
      </c>
      <c r="C2723" s="13" t="s">
        <v>16901</v>
      </c>
      <c r="D2723" s="15">
        <v>5</v>
      </c>
      <c r="E2723" s="179" t="s">
        <v>16902</v>
      </c>
      <c r="F2723" s="7" t="s">
        <v>11535</v>
      </c>
    </row>
    <row r="2724" ht="18" customHeight="1" spans="1:6">
      <c r="A2724" s="13" t="s">
        <v>9220</v>
      </c>
      <c r="B2724" s="13" t="s">
        <v>9271</v>
      </c>
      <c r="C2724" s="13" t="s">
        <v>16903</v>
      </c>
      <c r="D2724" s="15">
        <v>4</v>
      </c>
      <c r="E2724" s="179" t="s">
        <v>16904</v>
      </c>
      <c r="F2724" s="7" t="s">
        <v>11535</v>
      </c>
    </row>
    <row r="2725" ht="18" customHeight="1" spans="1:6">
      <c r="A2725" s="13" t="s">
        <v>9220</v>
      </c>
      <c r="B2725" s="13" t="s">
        <v>9271</v>
      </c>
      <c r="C2725" s="13" t="s">
        <v>16905</v>
      </c>
      <c r="D2725" s="15">
        <v>4</v>
      </c>
      <c r="E2725" s="179" t="s">
        <v>16906</v>
      </c>
      <c r="F2725" s="7" t="s">
        <v>11535</v>
      </c>
    </row>
    <row r="2726" ht="18" customHeight="1" spans="1:6">
      <c r="A2726" s="13" t="s">
        <v>9220</v>
      </c>
      <c r="B2726" s="13" t="s">
        <v>9271</v>
      </c>
      <c r="C2726" s="13" t="s">
        <v>16907</v>
      </c>
      <c r="D2726" s="15">
        <v>3</v>
      </c>
      <c r="E2726" s="179" t="s">
        <v>16908</v>
      </c>
      <c r="F2726" s="7" t="s">
        <v>11535</v>
      </c>
    </row>
    <row r="2727" ht="18" customHeight="1" spans="1:6">
      <c r="A2727" s="13" t="s">
        <v>9220</v>
      </c>
      <c r="B2727" s="13" t="s">
        <v>9271</v>
      </c>
      <c r="C2727" s="13" t="s">
        <v>6101</v>
      </c>
      <c r="D2727" s="15">
        <v>5</v>
      </c>
      <c r="E2727" s="179" t="s">
        <v>16909</v>
      </c>
      <c r="F2727" s="7" t="s">
        <v>11535</v>
      </c>
    </row>
    <row r="2728" ht="18" customHeight="1" spans="1:6">
      <c r="A2728" s="13" t="s">
        <v>9220</v>
      </c>
      <c r="B2728" s="13" t="s">
        <v>9271</v>
      </c>
      <c r="C2728" s="13" t="s">
        <v>16910</v>
      </c>
      <c r="D2728" s="15">
        <v>2</v>
      </c>
      <c r="E2728" s="179" t="s">
        <v>16911</v>
      </c>
      <c r="F2728" s="7" t="s">
        <v>11535</v>
      </c>
    </row>
    <row r="2729" ht="18" customHeight="1" spans="1:6">
      <c r="A2729" s="13" t="s">
        <v>9220</v>
      </c>
      <c r="B2729" s="13" t="s">
        <v>9271</v>
      </c>
      <c r="C2729" s="13" t="s">
        <v>16912</v>
      </c>
      <c r="D2729" s="15">
        <v>5</v>
      </c>
      <c r="E2729" s="179" t="s">
        <v>16913</v>
      </c>
      <c r="F2729" s="7" t="s">
        <v>11535</v>
      </c>
    </row>
    <row r="2730" ht="18" customHeight="1" spans="1:6">
      <c r="A2730" s="13" t="s">
        <v>9220</v>
      </c>
      <c r="B2730" s="13" t="s">
        <v>9271</v>
      </c>
      <c r="C2730" s="13" t="s">
        <v>16914</v>
      </c>
      <c r="D2730" s="15">
        <v>4</v>
      </c>
      <c r="E2730" s="179" t="s">
        <v>16915</v>
      </c>
      <c r="F2730" s="7" t="s">
        <v>11535</v>
      </c>
    </row>
    <row r="2731" ht="18" customHeight="1" spans="1:6">
      <c r="A2731" s="13" t="s">
        <v>9220</v>
      </c>
      <c r="B2731" s="13" t="s">
        <v>9271</v>
      </c>
      <c r="C2731" s="13" t="s">
        <v>16916</v>
      </c>
      <c r="D2731" s="15">
        <v>3</v>
      </c>
      <c r="E2731" s="13" t="s">
        <v>16917</v>
      </c>
      <c r="F2731" s="7" t="s">
        <v>11535</v>
      </c>
    </row>
    <row r="2732" ht="18" customHeight="1" spans="1:6">
      <c r="A2732" s="13" t="s">
        <v>9220</v>
      </c>
      <c r="B2732" s="13" t="s">
        <v>9271</v>
      </c>
      <c r="C2732" s="13" t="s">
        <v>16918</v>
      </c>
      <c r="D2732" s="15">
        <v>4</v>
      </c>
      <c r="E2732" s="179" t="s">
        <v>16919</v>
      </c>
      <c r="F2732" s="7" t="s">
        <v>11535</v>
      </c>
    </row>
    <row r="2733" ht="18" customHeight="1" spans="1:6">
      <c r="A2733" s="13" t="s">
        <v>9220</v>
      </c>
      <c r="B2733" s="13" t="s">
        <v>9271</v>
      </c>
      <c r="C2733" s="13" t="s">
        <v>16920</v>
      </c>
      <c r="D2733" s="15">
        <v>4</v>
      </c>
      <c r="E2733" s="179" t="s">
        <v>16921</v>
      </c>
      <c r="F2733" s="7" t="s">
        <v>11535</v>
      </c>
    </row>
    <row r="2734" ht="18" customHeight="1" spans="1:6">
      <c r="A2734" s="13" t="s">
        <v>9220</v>
      </c>
      <c r="B2734" s="13" t="s">
        <v>9271</v>
      </c>
      <c r="C2734" s="13" t="s">
        <v>16922</v>
      </c>
      <c r="D2734" s="15">
        <v>2</v>
      </c>
      <c r="E2734" s="179" t="s">
        <v>16923</v>
      </c>
      <c r="F2734" s="7" t="s">
        <v>11535</v>
      </c>
    </row>
    <row r="2735" ht="18" customHeight="1" spans="1:6">
      <c r="A2735" s="13" t="s">
        <v>9220</v>
      </c>
      <c r="B2735" s="13" t="s">
        <v>9271</v>
      </c>
      <c r="C2735" s="19" t="s">
        <v>16924</v>
      </c>
      <c r="D2735" s="15">
        <v>4</v>
      </c>
      <c r="E2735" s="216" t="s">
        <v>16925</v>
      </c>
      <c r="F2735" s="7" t="s">
        <v>11535</v>
      </c>
    </row>
    <row r="2736" ht="18" customHeight="1" spans="1:6">
      <c r="A2736" s="13" t="s">
        <v>9220</v>
      </c>
      <c r="B2736" s="13" t="s">
        <v>9271</v>
      </c>
      <c r="C2736" s="19" t="s">
        <v>16926</v>
      </c>
      <c r="D2736" s="15">
        <v>6</v>
      </c>
      <c r="E2736" s="216" t="s">
        <v>16927</v>
      </c>
      <c r="F2736" s="7" t="s">
        <v>11535</v>
      </c>
    </row>
    <row r="2737" ht="18" customHeight="1" spans="1:6">
      <c r="A2737" s="13" t="s">
        <v>9220</v>
      </c>
      <c r="B2737" s="13" t="s">
        <v>9271</v>
      </c>
      <c r="C2737" s="19" t="s">
        <v>16928</v>
      </c>
      <c r="D2737" s="13">
        <v>6</v>
      </c>
      <c r="E2737" s="216" t="s">
        <v>16929</v>
      </c>
      <c r="F2737" s="7" t="s">
        <v>11535</v>
      </c>
    </row>
    <row r="2738" ht="18" customHeight="1" spans="1:6">
      <c r="A2738" s="13" t="s">
        <v>9220</v>
      </c>
      <c r="B2738" s="13" t="s">
        <v>9271</v>
      </c>
      <c r="C2738" s="13" t="s">
        <v>16930</v>
      </c>
      <c r="D2738" s="13">
        <v>3</v>
      </c>
      <c r="E2738" s="179" t="s">
        <v>16931</v>
      </c>
      <c r="F2738" s="7" t="s">
        <v>11535</v>
      </c>
    </row>
    <row r="2739" ht="18" customHeight="1" spans="1:6">
      <c r="A2739" s="13" t="s">
        <v>9220</v>
      </c>
      <c r="B2739" s="13" t="s">
        <v>9271</v>
      </c>
      <c r="C2739" s="13" t="s">
        <v>16932</v>
      </c>
      <c r="D2739" s="13">
        <v>5</v>
      </c>
      <c r="E2739" s="179" t="s">
        <v>16933</v>
      </c>
      <c r="F2739" s="7" t="s">
        <v>11535</v>
      </c>
    </row>
    <row r="2740" ht="18" customHeight="1" spans="1:6">
      <c r="A2740" s="13" t="s">
        <v>9220</v>
      </c>
      <c r="B2740" s="13" t="s">
        <v>9271</v>
      </c>
      <c r="C2740" s="13" t="s">
        <v>6961</v>
      </c>
      <c r="D2740" s="13">
        <v>4</v>
      </c>
      <c r="E2740" s="179" t="s">
        <v>16934</v>
      </c>
      <c r="F2740" s="7" t="s">
        <v>11535</v>
      </c>
    </row>
    <row r="2741" ht="18" customHeight="1" spans="1:6">
      <c r="A2741" s="13" t="s">
        <v>9220</v>
      </c>
      <c r="B2741" s="13" t="s">
        <v>9271</v>
      </c>
      <c r="C2741" s="13" t="s">
        <v>16935</v>
      </c>
      <c r="D2741" s="13">
        <v>5</v>
      </c>
      <c r="E2741" s="13" t="s">
        <v>16936</v>
      </c>
      <c r="F2741" s="7" t="s">
        <v>11535</v>
      </c>
    </row>
    <row r="2742" ht="18" customHeight="1" spans="1:6">
      <c r="A2742" s="13" t="s">
        <v>9220</v>
      </c>
      <c r="B2742" s="13" t="s">
        <v>9271</v>
      </c>
      <c r="C2742" s="13" t="s">
        <v>16937</v>
      </c>
      <c r="D2742" s="13">
        <v>5</v>
      </c>
      <c r="E2742" s="13" t="s">
        <v>16938</v>
      </c>
      <c r="F2742" s="7" t="s">
        <v>11535</v>
      </c>
    </row>
    <row r="2743" ht="18" customHeight="1" spans="1:6">
      <c r="A2743" s="13" t="s">
        <v>9220</v>
      </c>
      <c r="B2743" s="13" t="s">
        <v>9271</v>
      </c>
      <c r="C2743" s="13" t="s">
        <v>16939</v>
      </c>
      <c r="D2743" s="13">
        <v>3</v>
      </c>
      <c r="E2743" s="179" t="s">
        <v>16940</v>
      </c>
      <c r="F2743" s="7" t="s">
        <v>11535</v>
      </c>
    </row>
    <row r="2744" ht="18" customHeight="1" spans="1:6">
      <c r="A2744" s="13" t="s">
        <v>9220</v>
      </c>
      <c r="B2744" s="13" t="s">
        <v>9271</v>
      </c>
      <c r="C2744" s="13" t="s">
        <v>16941</v>
      </c>
      <c r="D2744" s="13">
        <v>3</v>
      </c>
      <c r="E2744" s="179" t="s">
        <v>16942</v>
      </c>
      <c r="F2744" s="7" t="s">
        <v>11535</v>
      </c>
    </row>
    <row r="2745" ht="18" customHeight="1" spans="1:6">
      <c r="A2745" s="13" t="s">
        <v>9220</v>
      </c>
      <c r="B2745" s="13" t="s">
        <v>9271</v>
      </c>
      <c r="C2745" s="13" t="s">
        <v>16943</v>
      </c>
      <c r="D2745" s="13">
        <v>4</v>
      </c>
      <c r="E2745" s="179" t="s">
        <v>16944</v>
      </c>
      <c r="F2745" s="7" t="s">
        <v>11535</v>
      </c>
    </row>
    <row r="2746" ht="18" customHeight="1" spans="1:6">
      <c r="A2746" s="13" t="s">
        <v>9220</v>
      </c>
      <c r="B2746" s="13" t="s">
        <v>9271</v>
      </c>
      <c r="C2746" s="13" t="s">
        <v>16945</v>
      </c>
      <c r="D2746" s="13">
        <v>6</v>
      </c>
      <c r="E2746" s="179" t="s">
        <v>16946</v>
      </c>
      <c r="F2746" s="7" t="s">
        <v>11535</v>
      </c>
    </row>
    <row r="2747" ht="18" customHeight="1" spans="1:6">
      <c r="A2747" s="13" t="s">
        <v>9220</v>
      </c>
      <c r="B2747" s="13" t="s">
        <v>9271</v>
      </c>
      <c r="C2747" s="13" t="s">
        <v>16947</v>
      </c>
      <c r="D2747" s="13">
        <v>6</v>
      </c>
      <c r="E2747" s="179" t="s">
        <v>16948</v>
      </c>
      <c r="F2747" s="7" t="s">
        <v>11535</v>
      </c>
    </row>
    <row r="2748" ht="18" customHeight="1" spans="1:6">
      <c r="A2748" s="13" t="s">
        <v>9220</v>
      </c>
      <c r="B2748" s="13" t="s">
        <v>9271</v>
      </c>
      <c r="C2748" s="13" t="s">
        <v>16949</v>
      </c>
      <c r="D2748" s="13">
        <v>5</v>
      </c>
      <c r="E2748" s="179" t="s">
        <v>16950</v>
      </c>
      <c r="F2748" s="7" t="s">
        <v>11535</v>
      </c>
    </row>
    <row r="2749" ht="18" customHeight="1" spans="1:6">
      <c r="A2749" s="13" t="s">
        <v>9220</v>
      </c>
      <c r="B2749" s="13" t="s">
        <v>9271</v>
      </c>
      <c r="C2749" s="13" t="s">
        <v>16951</v>
      </c>
      <c r="D2749" s="13">
        <v>4</v>
      </c>
      <c r="E2749" s="179" t="s">
        <v>16952</v>
      </c>
      <c r="F2749" s="7" t="s">
        <v>11535</v>
      </c>
    </row>
    <row r="2750" ht="18" customHeight="1" spans="1:6">
      <c r="A2750" s="13" t="s">
        <v>9220</v>
      </c>
      <c r="B2750" s="13" t="s">
        <v>9271</v>
      </c>
      <c r="C2750" s="13" t="s">
        <v>16953</v>
      </c>
      <c r="D2750" s="13">
        <v>4</v>
      </c>
      <c r="E2750" s="179" t="s">
        <v>16954</v>
      </c>
      <c r="F2750" s="7" t="s">
        <v>11535</v>
      </c>
    </row>
    <row r="2751" ht="18" customHeight="1" spans="1:6">
      <c r="A2751" s="13" t="s">
        <v>9220</v>
      </c>
      <c r="B2751" s="13" t="s">
        <v>9271</v>
      </c>
      <c r="C2751" s="13" t="s">
        <v>16955</v>
      </c>
      <c r="D2751" s="13">
        <v>5</v>
      </c>
      <c r="E2751" s="179" t="s">
        <v>16956</v>
      </c>
      <c r="F2751" s="7" t="s">
        <v>11535</v>
      </c>
    </row>
    <row r="2752" ht="18" customHeight="1" spans="1:6">
      <c r="A2752" s="13" t="s">
        <v>9220</v>
      </c>
      <c r="B2752" s="13" t="s">
        <v>9271</v>
      </c>
      <c r="C2752" s="13" t="s">
        <v>16957</v>
      </c>
      <c r="D2752" s="13">
        <v>3</v>
      </c>
      <c r="E2752" s="179" t="s">
        <v>16958</v>
      </c>
      <c r="F2752" s="7" t="s">
        <v>11535</v>
      </c>
    </row>
    <row r="2753" ht="18" customHeight="1" spans="1:6">
      <c r="A2753" s="13" t="s">
        <v>9220</v>
      </c>
      <c r="B2753" s="13" t="s">
        <v>9271</v>
      </c>
      <c r="C2753" s="13" t="s">
        <v>16959</v>
      </c>
      <c r="D2753" s="13">
        <v>3</v>
      </c>
      <c r="E2753" s="179" t="s">
        <v>16960</v>
      </c>
      <c r="F2753" s="7" t="s">
        <v>11535</v>
      </c>
    </row>
    <row r="2754" ht="18" customHeight="1" spans="1:6">
      <c r="A2754" s="13" t="s">
        <v>9220</v>
      </c>
      <c r="B2754" s="13" t="s">
        <v>9271</v>
      </c>
      <c r="C2754" s="13" t="s">
        <v>2252</v>
      </c>
      <c r="D2754" s="13">
        <v>1</v>
      </c>
      <c r="E2754" s="179" t="s">
        <v>16961</v>
      </c>
      <c r="F2754" s="7" t="s">
        <v>11535</v>
      </c>
    </row>
    <row r="2755" ht="18" customHeight="1" spans="1:6">
      <c r="A2755" s="13" t="s">
        <v>9220</v>
      </c>
      <c r="B2755" s="13" t="s">
        <v>9271</v>
      </c>
      <c r="C2755" s="13" t="s">
        <v>16962</v>
      </c>
      <c r="D2755" s="13">
        <v>2</v>
      </c>
      <c r="E2755" s="179" t="s">
        <v>16963</v>
      </c>
      <c r="F2755" s="7" t="s">
        <v>11535</v>
      </c>
    </row>
    <row r="2756" ht="18" customHeight="1" spans="1:6">
      <c r="A2756" s="13" t="s">
        <v>9220</v>
      </c>
      <c r="B2756" s="13" t="s">
        <v>9271</v>
      </c>
      <c r="C2756" s="13" t="s">
        <v>13202</v>
      </c>
      <c r="D2756" s="13">
        <v>5</v>
      </c>
      <c r="E2756" s="179" t="s">
        <v>16964</v>
      </c>
      <c r="F2756" s="7" t="s">
        <v>11535</v>
      </c>
    </row>
    <row r="2757" ht="18" customHeight="1" spans="1:6">
      <c r="A2757" s="13" t="s">
        <v>9220</v>
      </c>
      <c r="B2757" s="13" t="s">
        <v>9271</v>
      </c>
      <c r="C2757" s="13" t="s">
        <v>16965</v>
      </c>
      <c r="D2757" s="13">
        <v>6</v>
      </c>
      <c r="E2757" s="179" t="s">
        <v>16966</v>
      </c>
      <c r="F2757" s="7" t="s">
        <v>11535</v>
      </c>
    </row>
    <row r="2758" ht="18" customHeight="1" spans="1:6">
      <c r="A2758" s="13" t="s">
        <v>9220</v>
      </c>
      <c r="B2758" s="13" t="s">
        <v>9271</v>
      </c>
      <c r="C2758" s="13" t="s">
        <v>16967</v>
      </c>
      <c r="D2758" s="13">
        <v>6</v>
      </c>
      <c r="E2758" s="179" t="s">
        <v>16968</v>
      </c>
      <c r="F2758" s="7" t="s">
        <v>11535</v>
      </c>
    </row>
    <row r="2759" ht="18" customHeight="1" spans="1:6">
      <c r="A2759" s="13" t="s">
        <v>9220</v>
      </c>
      <c r="B2759" s="13" t="s">
        <v>9271</v>
      </c>
      <c r="C2759" s="13" t="s">
        <v>16969</v>
      </c>
      <c r="D2759" s="13">
        <v>1</v>
      </c>
      <c r="E2759" s="79" t="str">
        <f>LEFT("42262619690104673X",19)</f>
        <v>42262619690104673X</v>
      </c>
      <c r="F2759" s="7" t="s">
        <v>11535</v>
      </c>
    </row>
    <row r="2760" ht="18" customHeight="1" spans="1:6">
      <c r="A2760" s="13" t="s">
        <v>9220</v>
      </c>
      <c r="B2760" s="13" t="s">
        <v>9271</v>
      </c>
      <c r="C2760" s="13" t="s">
        <v>16970</v>
      </c>
      <c r="D2760" s="13">
        <v>3</v>
      </c>
      <c r="E2760" s="79" t="str">
        <f>LEFT("422626197803316729",19)</f>
        <v>422626197803316729</v>
      </c>
      <c r="F2760" s="7" t="s">
        <v>11535</v>
      </c>
    </row>
    <row r="2761" ht="18" customHeight="1" spans="1:6">
      <c r="A2761" s="13" t="s">
        <v>9220</v>
      </c>
      <c r="B2761" s="13" t="s">
        <v>9271</v>
      </c>
      <c r="C2761" s="13" t="s">
        <v>16971</v>
      </c>
      <c r="D2761" s="13">
        <v>3</v>
      </c>
      <c r="E2761" s="79" t="str">
        <f>LEFT("422626195012156715",19)</f>
        <v>422626195012156715</v>
      </c>
      <c r="F2761" s="7" t="s">
        <v>11535</v>
      </c>
    </row>
    <row r="2762" ht="18" customHeight="1" spans="1:6">
      <c r="A2762" s="13" t="s">
        <v>9220</v>
      </c>
      <c r="B2762" s="13" t="s">
        <v>9271</v>
      </c>
      <c r="C2762" s="13" t="s">
        <v>16972</v>
      </c>
      <c r="D2762" s="13">
        <v>4</v>
      </c>
      <c r="E2762" s="79" t="str">
        <f>LEFT("422626193101166713",19)</f>
        <v>422626193101166713</v>
      </c>
      <c r="F2762" s="7" t="s">
        <v>11535</v>
      </c>
    </row>
    <row r="2763" ht="18" customHeight="1" spans="1:6">
      <c r="A2763" s="13" t="s">
        <v>9220</v>
      </c>
      <c r="B2763" s="13" t="s">
        <v>9271</v>
      </c>
      <c r="C2763" s="13" t="s">
        <v>16973</v>
      </c>
      <c r="D2763" s="13">
        <v>5</v>
      </c>
      <c r="E2763" s="79" t="str">
        <f>LEFT("422626196612296716",19)</f>
        <v>422626196612296716</v>
      </c>
      <c r="F2763" s="7" t="s">
        <v>11535</v>
      </c>
    </row>
    <row r="2764" ht="18" customHeight="1" spans="1:6">
      <c r="A2764" s="13" t="s">
        <v>9220</v>
      </c>
      <c r="B2764" s="13" t="s">
        <v>9271</v>
      </c>
      <c r="C2764" s="13" t="s">
        <v>16974</v>
      </c>
      <c r="D2764" s="13">
        <v>3</v>
      </c>
      <c r="E2764" s="79" t="str">
        <f>LEFT("422626196603086733",19)</f>
        <v>422626196603086733</v>
      </c>
      <c r="F2764" s="7" t="s">
        <v>11535</v>
      </c>
    </row>
    <row r="2765" ht="18" customHeight="1" spans="1:6">
      <c r="A2765" s="13" t="s">
        <v>9220</v>
      </c>
      <c r="B2765" s="13" t="s">
        <v>9271</v>
      </c>
      <c r="C2765" s="13" t="s">
        <v>10029</v>
      </c>
      <c r="D2765" s="13">
        <v>5</v>
      </c>
      <c r="E2765" s="79" t="str">
        <f>LEFT("422626196806166717",19)</f>
        <v>422626196806166717</v>
      </c>
      <c r="F2765" s="7" t="s">
        <v>11535</v>
      </c>
    </row>
    <row r="2766" ht="18" customHeight="1" spans="1:6">
      <c r="A2766" s="13" t="s">
        <v>9220</v>
      </c>
      <c r="B2766" s="13" t="s">
        <v>9271</v>
      </c>
      <c r="C2766" s="13" t="s">
        <v>16975</v>
      </c>
      <c r="D2766" s="13">
        <v>5</v>
      </c>
      <c r="E2766" s="79" t="str">
        <f>LEFT("422626196508176714",19)</f>
        <v>422626196508176714</v>
      </c>
      <c r="F2766" s="7" t="s">
        <v>11535</v>
      </c>
    </row>
    <row r="2767" ht="18" customHeight="1" spans="1:6">
      <c r="A2767" s="13" t="s">
        <v>9220</v>
      </c>
      <c r="B2767" s="13" t="s">
        <v>9271</v>
      </c>
      <c r="C2767" s="13" t="s">
        <v>16976</v>
      </c>
      <c r="D2767" s="13">
        <v>5</v>
      </c>
      <c r="E2767" s="79" t="str">
        <f>LEFT("420325197202046714",19)</f>
        <v>420325197202046714</v>
      </c>
      <c r="F2767" s="7" t="s">
        <v>11535</v>
      </c>
    </row>
    <row r="2768" ht="18" customHeight="1" spans="1:6">
      <c r="A2768" s="13" t="s">
        <v>9220</v>
      </c>
      <c r="B2768" s="13" t="s">
        <v>9271</v>
      </c>
      <c r="C2768" s="13" t="s">
        <v>16977</v>
      </c>
      <c r="D2768" s="13">
        <v>5</v>
      </c>
      <c r="E2768" s="79" t="str">
        <f>LEFT("422626197310146717",19)</f>
        <v>422626197310146717</v>
      </c>
      <c r="F2768" s="7" t="s">
        <v>11535</v>
      </c>
    </row>
    <row r="2769" ht="18" customHeight="1" spans="1:6">
      <c r="A2769" s="13" t="s">
        <v>9220</v>
      </c>
      <c r="B2769" s="13" t="s">
        <v>9271</v>
      </c>
      <c r="C2769" s="13" t="s">
        <v>16978</v>
      </c>
      <c r="D2769" s="13">
        <v>3</v>
      </c>
      <c r="E2769" s="79" t="str">
        <f>LEFT("422626194302196710",19)</f>
        <v>422626194302196710</v>
      </c>
      <c r="F2769" s="7" t="s">
        <v>11535</v>
      </c>
    </row>
    <row r="2770" ht="18" customHeight="1" spans="1:6">
      <c r="A2770" s="13" t="s">
        <v>9220</v>
      </c>
      <c r="B2770" s="13" t="s">
        <v>9271</v>
      </c>
      <c r="C2770" s="13" t="s">
        <v>16979</v>
      </c>
      <c r="D2770" s="13">
        <v>3</v>
      </c>
      <c r="E2770" s="79" t="str">
        <f>LEFT("420325197711086714",19)</f>
        <v>420325197711086714</v>
      </c>
      <c r="F2770" s="7" t="s">
        <v>11535</v>
      </c>
    </row>
    <row r="2771" ht="18" customHeight="1" spans="1:6">
      <c r="A2771" s="13" t="s">
        <v>9220</v>
      </c>
      <c r="B2771" s="13" t="s">
        <v>9271</v>
      </c>
      <c r="C2771" s="13" t="s">
        <v>16980</v>
      </c>
      <c r="D2771" s="13">
        <v>4</v>
      </c>
      <c r="E2771" s="79" t="str">
        <f>LEFT("42262619600618671X",19)</f>
        <v>42262619600618671X</v>
      </c>
      <c r="F2771" s="7" t="s">
        <v>11535</v>
      </c>
    </row>
    <row r="2772" ht="18" customHeight="1" spans="1:6">
      <c r="A2772" s="13" t="s">
        <v>9220</v>
      </c>
      <c r="B2772" s="13" t="s">
        <v>9271</v>
      </c>
      <c r="C2772" s="13" t="s">
        <v>16981</v>
      </c>
      <c r="D2772" s="13">
        <v>4</v>
      </c>
      <c r="E2772" s="79" t="str">
        <f>LEFT("422626197511026711",19)</f>
        <v>422626197511026711</v>
      </c>
      <c r="F2772" s="7" t="s">
        <v>11535</v>
      </c>
    </row>
    <row r="2773" ht="18" customHeight="1" spans="1:6">
      <c r="A2773" s="13" t="s">
        <v>9220</v>
      </c>
      <c r="B2773" s="13" t="s">
        <v>9271</v>
      </c>
      <c r="C2773" s="13" t="s">
        <v>16982</v>
      </c>
      <c r="D2773" s="13">
        <v>3</v>
      </c>
      <c r="E2773" s="79" t="str">
        <f>LEFT("422626197305176719",19)</f>
        <v>422626197305176719</v>
      </c>
      <c r="F2773" s="7" t="s">
        <v>11535</v>
      </c>
    </row>
    <row r="2774" ht="18" customHeight="1" spans="1:6">
      <c r="A2774" s="13" t="s">
        <v>9220</v>
      </c>
      <c r="B2774" s="13" t="s">
        <v>9271</v>
      </c>
      <c r="C2774" s="13" t="s">
        <v>16983</v>
      </c>
      <c r="D2774" s="13">
        <v>3</v>
      </c>
      <c r="E2774" s="79" t="str">
        <f>LEFT("422626195111046714",19)</f>
        <v>422626195111046714</v>
      </c>
      <c r="F2774" s="7" t="s">
        <v>11535</v>
      </c>
    </row>
    <row r="2775" ht="18" customHeight="1" spans="1:6">
      <c r="A2775" s="13" t="s">
        <v>9220</v>
      </c>
      <c r="B2775" s="13" t="s">
        <v>9271</v>
      </c>
      <c r="C2775" s="13" t="s">
        <v>16984</v>
      </c>
      <c r="D2775" s="13">
        <v>5</v>
      </c>
      <c r="E2775" s="79" t="str">
        <f>LEFT("42262619550104671X",19)</f>
        <v>42262619550104671X</v>
      </c>
      <c r="F2775" s="7" t="s">
        <v>11535</v>
      </c>
    </row>
    <row r="2776" ht="18" customHeight="1" spans="1:6">
      <c r="A2776" s="13" t="s">
        <v>9220</v>
      </c>
      <c r="B2776" s="13" t="s">
        <v>9311</v>
      </c>
      <c r="C2776" s="24" t="s">
        <v>16985</v>
      </c>
      <c r="D2776" s="26">
        <v>3</v>
      </c>
      <c r="E2776" s="24" t="s">
        <v>16986</v>
      </c>
      <c r="F2776" s="7" t="s">
        <v>11535</v>
      </c>
    </row>
    <row r="2777" ht="18" customHeight="1" spans="1:6">
      <c r="A2777" s="13" t="s">
        <v>9220</v>
      </c>
      <c r="B2777" s="13" t="s">
        <v>9311</v>
      </c>
      <c r="C2777" s="24" t="s">
        <v>16987</v>
      </c>
      <c r="D2777" s="26">
        <v>4</v>
      </c>
      <c r="E2777" s="24" t="s">
        <v>16988</v>
      </c>
      <c r="F2777" s="7" t="s">
        <v>11535</v>
      </c>
    </row>
    <row r="2778" ht="18" customHeight="1" spans="1:6">
      <c r="A2778" s="13" t="s">
        <v>9220</v>
      </c>
      <c r="B2778" s="13" t="s">
        <v>9311</v>
      </c>
      <c r="C2778" s="24" t="s">
        <v>16989</v>
      </c>
      <c r="D2778" s="26">
        <v>2</v>
      </c>
      <c r="E2778" s="24" t="s">
        <v>16990</v>
      </c>
      <c r="F2778" s="7" t="s">
        <v>11535</v>
      </c>
    </row>
    <row r="2779" ht="18" customHeight="1" spans="1:6">
      <c r="A2779" s="13" t="s">
        <v>9220</v>
      </c>
      <c r="B2779" s="13" t="s">
        <v>9311</v>
      </c>
      <c r="C2779" s="24" t="s">
        <v>16991</v>
      </c>
      <c r="D2779" s="26">
        <v>6</v>
      </c>
      <c r="E2779" s="24" t="s">
        <v>16992</v>
      </c>
      <c r="F2779" s="7" t="s">
        <v>11535</v>
      </c>
    </row>
    <row r="2780" ht="18" customHeight="1" spans="1:6">
      <c r="A2780" s="13" t="s">
        <v>9220</v>
      </c>
      <c r="B2780" s="13" t="s">
        <v>9311</v>
      </c>
      <c r="C2780" s="24" t="s">
        <v>16993</v>
      </c>
      <c r="D2780" s="26">
        <v>5</v>
      </c>
      <c r="E2780" s="24" t="s">
        <v>16994</v>
      </c>
      <c r="F2780" s="7" t="s">
        <v>11535</v>
      </c>
    </row>
    <row r="2781" ht="18" customHeight="1" spans="1:6">
      <c r="A2781" s="13" t="s">
        <v>9220</v>
      </c>
      <c r="B2781" s="13" t="s">
        <v>9311</v>
      </c>
      <c r="C2781" s="24" t="s">
        <v>8436</v>
      </c>
      <c r="D2781" s="26">
        <v>6</v>
      </c>
      <c r="E2781" s="24" t="s">
        <v>16995</v>
      </c>
      <c r="F2781" s="7" t="s">
        <v>11535</v>
      </c>
    </row>
    <row r="2782" ht="18" customHeight="1" spans="1:6">
      <c r="A2782" s="13" t="s">
        <v>9220</v>
      </c>
      <c r="B2782" s="13" t="s">
        <v>9311</v>
      </c>
      <c r="C2782" s="24" t="s">
        <v>16996</v>
      </c>
      <c r="D2782" s="26">
        <v>6</v>
      </c>
      <c r="E2782" s="24" t="s">
        <v>16997</v>
      </c>
      <c r="F2782" s="7" t="s">
        <v>11535</v>
      </c>
    </row>
    <row r="2783" ht="18" customHeight="1" spans="1:6">
      <c r="A2783" s="13" t="s">
        <v>9220</v>
      </c>
      <c r="B2783" s="13" t="s">
        <v>9311</v>
      </c>
      <c r="C2783" s="24" t="s">
        <v>16998</v>
      </c>
      <c r="D2783" s="26">
        <v>4</v>
      </c>
      <c r="E2783" s="24" t="s">
        <v>16999</v>
      </c>
      <c r="F2783" s="7" t="s">
        <v>11535</v>
      </c>
    </row>
    <row r="2784" ht="18" customHeight="1" spans="1:6">
      <c r="A2784" s="13" t="s">
        <v>9220</v>
      </c>
      <c r="B2784" s="13" t="s">
        <v>9311</v>
      </c>
      <c r="C2784" s="24" t="s">
        <v>15756</v>
      </c>
      <c r="D2784" s="26">
        <v>4</v>
      </c>
      <c r="E2784" s="24" t="s">
        <v>17000</v>
      </c>
      <c r="F2784" s="7" t="s">
        <v>11535</v>
      </c>
    </row>
    <row r="2785" ht="18" customHeight="1" spans="1:6">
      <c r="A2785" s="13" t="s">
        <v>9220</v>
      </c>
      <c r="B2785" s="13" t="s">
        <v>9311</v>
      </c>
      <c r="C2785" s="24" t="s">
        <v>17001</v>
      </c>
      <c r="D2785" s="26">
        <v>3</v>
      </c>
      <c r="E2785" s="24" t="s">
        <v>17002</v>
      </c>
      <c r="F2785" s="7" t="s">
        <v>11535</v>
      </c>
    </row>
    <row r="2786" ht="18" customHeight="1" spans="1:6">
      <c r="A2786" s="13" t="s">
        <v>9220</v>
      </c>
      <c r="B2786" s="13" t="s">
        <v>9311</v>
      </c>
      <c r="C2786" s="24" t="s">
        <v>17003</v>
      </c>
      <c r="D2786" s="26">
        <v>4</v>
      </c>
      <c r="E2786" s="24" t="s">
        <v>17004</v>
      </c>
      <c r="F2786" s="7" t="s">
        <v>11535</v>
      </c>
    </row>
    <row r="2787" ht="18" customHeight="1" spans="1:6">
      <c r="A2787" s="13" t="s">
        <v>9220</v>
      </c>
      <c r="B2787" s="13" t="s">
        <v>9311</v>
      </c>
      <c r="C2787" s="24" t="s">
        <v>17005</v>
      </c>
      <c r="D2787" s="26">
        <v>5</v>
      </c>
      <c r="E2787" s="24" t="s">
        <v>17006</v>
      </c>
      <c r="F2787" s="7" t="s">
        <v>11535</v>
      </c>
    </row>
    <row r="2788" ht="18" customHeight="1" spans="1:6">
      <c r="A2788" s="13" t="s">
        <v>9220</v>
      </c>
      <c r="B2788" s="13" t="s">
        <v>9311</v>
      </c>
      <c r="C2788" s="24" t="s">
        <v>17007</v>
      </c>
      <c r="D2788" s="26">
        <v>3</v>
      </c>
      <c r="E2788" s="24" t="s">
        <v>17008</v>
      </c>
      <c r="F2788" s="7" t="s">
        <v>11535</v>
      </c>
    </row>
    <row r="2789" ht="18" customHeight="1" spans="1:6">
      <c r="A2789" s="13" t="s">
        <v>9220</v>
      </c>
      <c r="B2789" s="13" t="s">
        <v>9311</v>
      </c>
      <c r="C2789" s="24" t="s">
        <v>17009</v>
      </c>
      <c r="D2789" s="26">
        <v>3</v>
      </c>
      <c r="E2789" s="24" t="s">
        <v>17010</v>
      </c>
      <c r="F2789" s="7" t="s">
        <v>11535</v>
      </c>
    </row>
    <row r="2790" ht="18" customHeight="1" spans="1:6">
      <c r="A2790" s="13" t="s">
        <v>9220</v>
      </c>
      <c r="B2790" s="13" t="s">
        <v>9311</v>
      </c>
      <c r="C2790" s="24" t="s">
        <v>17011</v>
      </c>
      <c r="D2790" s="26">
        <v>4</v>
      </c>
      <c r="E2790" s="24" t="s">
        <v>17012</v>
      </c>
      <c r="F2790" s="7" t="s">
        <v>11535</v>
      </c>
    </row>
    <row r="2791" ht="18" customHeight="1" spans="1:6">
      <c r="A2791" s="13" t="s">
        <v>9220</v>
      </c>
      <c r="B2791" s="13" t="s">
        <v>9311</v>
      </c>
      <c r="C2791" s="24" t="s">
        <v>17013</v>
      </c>
      <c r="D2791" s="26">
        <v>4</v>
      </c>
      <c r="E2791" s="24" t="s">
        <v>17014</v>
      </c>
      <c r="F2791" s="7" t="s">
        <v>11535</v>
      </c>
    </row>
    <row r="2792" ht="18" customHeight="1" spans="1:6">
      <c r="A2792" s="13" t="s">
        <v>9220</v>
      </c>
      <c r="B2792" s="13" t="s">
        <v>9311</v>
      </c>
      <c r="C2792" s="19" t="s">
        <v>17015</v>
      </c>
      <c r="D2792" s="19">
        <v>4</v>
      </c>
      <c r="E2792" s="80" t="s">
        <v>17016</v>
      </c>
      <c r="F2792" s="7" t="s">
        <v>11535</v>
      </c>
    </row>
    <row r="2793" ht="18" customHeight="1" spans="1:6">
      <c r="A2793" s="13" t="s">
        <v>9220</v>
      </c>
      <c r="B2793" s="13" t="s">
        <v>9311</v>
      </c>
      <c r="C2793" s="13" t="s">
        <v>17017</v>
      </c>
      <c r="D2793" s="13">
        <v>4</v>
      </c>
      <c r="E2793" s="14" t="s">
        <v>17018</v>
      </c>
      <c r="F2793" s="7" t="s">
        <v>11535</v>
      </c>
    </row>
    <row r="2794" ht="18" customHeight="1" spans="1:6">
      <c r="A2794" s="13" t="s">
        <v>9220</v>
      </c>
      <c r="B2794" s="13" t="s">
        <v>9311</v>
      </c>
      <c r="C2794" s="13" t="s">
        <v>17019</v>
      </c>
      <c r="D2794" s="13">
        <v>3</v>
      </c>
      <c r="E2794" s="14" t="s">
        <v>17020</v>
      </c>
      <c r="F2794" s="7" t="s">
        <v>11535</v>
      </c>
    </row>
    <row r="2795" ht="18" customHeight="1" spans="1:6">
      <c r="A2795" s="13" t="s">
        <v>9220</v>
      </c>
      <c r="B2795" s="13" t="s">
        <v>9311</v>
      </c>
      <c r="C2795" s="13" t="s">
        <v>17021</v>
      </c>
      <c r="D2795" s="13">
        <v>3</v>
      </c>
      <c r="E2795" s="14" t="s">
        <v>17022</v>
      </c>
      <c r="F2795" s="7" t="s">
        <v>11535</v>
      </c>
    </row>
    <row r="2796" ht="18" customHeight="1" spans="1:6">
      <c r="A2796" s="13" t="s">
        <v>9220</v>
      </c>
      <c r="B2796" s="13" t="s">
        <v>9311</v>
      </c>
      <c r="C2796" s="13" t="s">
        <v>17023</v>
      </c>
      <c r="D2796" s="13">
        <v>3</v>
      </c>
      <c r="E2796" s="14" t="s">
        <v>17024</v>
      </c>
      <c r="F2796" s="7" t="s">
        <v>11535</v>
      </c>
    </row>
    <row r="2797" ht="18" customHeight="1" spans="1:6">
      <c r="A2797" s="13" t="s">
        <v>9220</v>
      </c>
      <c r="B2797" s="13" t="s">
        <v>9311</v>
      </c>
      <c r="C2797" s="13" t="s">
        <v>17025</v>
      </c>
      <c r="D2797" s="13">
        <v>2</v>
      </c>
      <c r="E2797" s="14" t="s">
        <v>17026</v>
      </c>
      <c r="F2797" s="7" t="s">
        <v>11535</v>
      </c>
    </row>
    <row r="2798" ht="18" customHeight="1" spans="1:6">
      <c r="A2798" s="13" t="s">
        <v>9220</v>
      </c>
      <c r="B2798" s="13" t="s">
        <v>9311</v>
      </c>
      <c r="C2798" s="13" t="s">
        <v>17027</v>
      </c>
      <c r="D2798" s="13">
        <v>3</v>
      </c>
      <c r="E2798" s="14" t="s">
        <v>17028</v>
      </c>
      <c r="F2798" s="7" t="s">
        <v>11535</v>
      </c>
    </row>
    <row r="2799" ht="18" customHeight="1" spans="1:6">
      <c r="A2799" s="13" t="s">
        <v>9220</v>
      </c>
      <c r="B2799" s="13" t="s">
        <v>9311</v>
      </c>
      <c r="C2799" s="13" t="s">
        <v>17029</v>
      </c>
      <c r="D2799" s="13">
        <v>4</v>
      </c>
      <c r="E2799" s="14" t="s">
        <v>17030</v>
      </c>
      <c r="F2799" s="7" t="s">
        <v>11535</v>
      </c>
    </row>
    <row r="2800" ht="18" customHeight="1" spans="1:6">
      <c r="A2800" s="13" t="s">
        <v>9220</v>
      </c>
      <c r="B2800" s="13" t="s">
        <v>9311</v>
      </c>
      <c r="C2800" s="13" t="s">
        <v>17031</v>
      </c>
      <c r="D2800" s="13">
        <v>6</v>
      </c>
      <c r="E2800" s="14" t="s">
        <v>17032</v>
      </c>
      <c r="F2800" s="7" t="s">
        <v>11535</v>
      </c>
    </row>
    <row r="2801" ht="18" customHeight="1" spans="1:6">
      <c r="A2801" s="13" t="s">
        <v>9220</v>
      </c>
      <c r="B2801" s="13" t="s">
        <v>9311</v>
      </c>
      <c r="C2801" s="13" t="s">
        <v>17033</v>
      </c>
      <c r="D2801" s="13">
        <v>5</v>
      </c>
      <c r="E2801" s="14" t="s">
        <v>17034</v>
      </c>
      <c r="F2801" s="7" t="s">
        <v>11535</v>
      </c>
    </row>
    <row r="2802" ht="18" customHeight="1" spans="1:6">
      <c r="A2802" s="13" t="s">
        <v>9220</v>
      </c>
      <c r="B2802" s="13" t="s">
        <v>17035</v>
      </c>
      <c r="C2802" s="13" t="s">
        <v>17036</v>
      </c>
      <c r="D2802" s="13">
        <v>3</v>
      </c>
      <c r="E2802" s="14" t="s">
        <v>17037</v>
      </c>
      <c r="F2802" s="7" t="s">
        <v>11535</v>
      </c>
    </row>
    <row r="2803" ht="18" customHeight="1" spans="1:6">
      <c r="A2803" s="13" t="s">
        <v>9220</v>
      </c>
      <c r="B2803" s="13" t="s">
        <v>17035</v>
      </c>
      <c r="C2803" s="13" t="s">
        <v>17038</v>
      </c>
      <c r="D2803" s="13">
        <v>4</v>
      </c>
      <c r="E2803" s="14" t="s">
        <v>17039</v>
      </c>
      <c r="F2803" s="7" t="s">
        <v>11535</v>
      </c>
    </row>
    <row r="2804" ht="18" customHeight="1" spans="1:6">
      <c r="A2804" s="13" t="s">
        <v>9220</v>
      </c>
      <c r="B2804" s="13" t="s">
        <v>17035</v>
      </c>
      <c r="C2804" s="13" t="s">
        <v>17040</v>
      </c>
      <c r="D2804" s="13">
        <v>4</v>
      </c>
      <c r="E2804" s="14" t="s">
        <v>17041</v>
      </c>
      <c r="F2804" s="7" t="s">
        <v>11535</v>
      </c>
    </row>
    <row r="2805" ht="18" customHeight="1" spans="1:6">
      <c r="A2805" s="13" t="s">
        <v>9220</v>
      </c>
      <c r="B2805" s="13" t="s">
        <v>17035</v>
      </c>
      <c r="C2805" s="13" t="s">
        <v>17042</v>
      </c>
      <c r="D2805" s="13">
        <v>5</v>
      </c>
      <c r="E2805" s="14" t="s">
        <v>17043</v>
      </c>
      <c r="F2805" s="7" t="s">
        <v>11535</v>
      </c>
    </row>
    <row r="2806" ht="18" customHeight="1" spans="1:6">
      <c r="A2806" s="13" t="s">
        <v>9220</v>
      </c>
      <c r="B2806" s="13" t="s">
        <v>17035</v>
      </c>
      <c r="C2806" s="13" t="s">
        <v>2613</v>
      </c>
      <c r="D2806" s="13">
        <v>4</v>
      </c>
      <c r="E2806" s="14" t="s">
        <v>17044</v>
      </c>
      <c r="F2806" s="7" t="s">
        <v>11535</v>
      </c>
    </row>
    <row r="2807" ht="18" customHeight="1" spans="1:6">
      <c r="A2807" s="13" t="s">
        <v>9220</v>
      </c>
      <c r="B2807" s="13" t="s">
        <v>17045</v>
      </c>
      <c r="C2807" s="13" t="s">
        <v>17046</v>
      </c>
      <c r="D2807" s="14">
        <v>4</v>
      </c>
      <c r="E2807" s="13" t="s">
        <v>17047</v>
      </c>
      <c r="F2807" s="7" t="s">
        <v>11535</v>
      </c>
    </row>
    <row r="2808" ht="18" customHeight="1" spans="1:6">
      <c r="A2808" s="13" t="s">
        <v>9220</v>
      </c>
      <c r="B2808" s="13" t="s">
        <v>17045</v>
      </c>
      <c r="C2808" s="13" t="s">
        <v>17048</v>
      </c>
      <c r="D2808" s="14">
        <v>2</v>
      </c>
      <c r="E2808" s="13" t="s">
        <v>17049</v>
      </c>
      <c r="F2808" s="7" t="s">
        <v>11535</v>
      </c>
    </row>
    <row r="2809" ht="18" customHeight="1" spans="1:6">
      <c r="A2809" s="13" t="s">
        <v>9220</v>
      </c>
      <c r="B2809" s="13" t="s">
        <v>17045</v>
      </c>
      <c r="C2809" s="13" t="s">
        <v>17050</v>
      </c>
      <c r="D2809" s="14">
        <v>6</v>
      </c>
      <c r="E2809" s="13" t="s">
        <v>17051</v>
      </c>
      <c r="F2809" s="7" t="s">
        <v>11535</v>
      </c>
    </row>
    <row r="2810" ht="18" customHeight="1" spans="1:6">
      <c r="A2810" s="13" t="s">
        <v>9220</v>
      </c>
      <c r="B2810" s="13" t="s">
        <v>17045</v>
      </c>
      <c r="C2810" s="13" t="s">
        <v>17052</v>
      </c>
      <c r="D2810" s="14">
        <v>4</v>
      </c>
      <c r="E2810" s="13" t="s">
        <v>17053</v>
      </c>
      <c r="F2810" s="7" t="s">
        <v>11535</v>
      </c>
    </row>
    <row r="2811" ht="18" customHeight="1" spans="1:6">
      <c r="A2811" s="13" t="s">
        <v>9220</v>
      </c>
      <c r="B2811" s="13" t="s">
        <v>17045</v>
      </c>
      <c r="C2811" s="13" t="s">
        <v>17054</v>
      </c>
      <c r="D2811" s="14">
        <v>4</v>
      </c>
      <c r="E2811" s="13" t="s">
        <v>17055</v>
      </c>
      <c r="F2811" s="7" t="s">
        <v>11535</v>
      </c>
    </row>
    <row r="2812" ht="18" customHeight="1" spans="1:6">
      <c r="A2812" s="13" t="s">
        <v>9220</v>
      </c>
      <c r="B2812" s="13" t="s">
        <v>17045</v>
      </c>
      <c r="C2812" s="13" t="s">
        <v>17056</v>
      </c>
      <c r="D2812" s="14">
        <v>4</v>
      </c>
      <c r="E2812" s="13" t="s">
        <v>17057</v>
      </c>
      <c r="F2812" s="7" t="s">
        <v>11535</v>
      </c>
    </row>
    <row r="2813" ht="18" customHeight="1" spans="1:6">
      <c r="A2813" s="13" t="s">
        <v>9220</v>
      </c>
      <c r="B2813" s="13" t="s">
        <v>17045</v>
      </c>
      <c r="C2813" s="13" t="s">
        <v>17058</v>
      </c>
      <c r="D2813" s="14">
        <v>5</v>
      </c>
      <c r="E2813" s="13" t="s">
        <v>17059</v>
      </c>
      <c r="F2813" s="7" t="s">
        <v>11535</v>
      </c>
    </row>
    <row r="2814" ht="18" customHeight="1" spans="1:6">
      <c r="A2814" s="13" t="s">
        <v>9220</v>
      </c>
      <c r="B2814" s="13" t="s">
        <v>17045</v>
      </c>
      <c r="C2814" s="13" t="s">
        <v>17060</v>
      </c>
      <c r="D2814" s="14">
        <v>3</v>
      </c>
      <c r="E2814" s="13" t="s">
        <v>17061</v>
      </c>
      <c r="F2814" s="7" t="s">
        <v>11535</v>
      </c>
    </row>
    <row r="2815" ht="18" customHeight="1" spans="1:6">
      <c r="A2815" s="13" t="s">
        <v>9220</v>
      </c>
      <c r="B2815" s="13" t="s">
        <v>17045</v>
      </c>
      <c r="C2815" s="13" t="s">
        <v>8102</v>
      </c>
      <c r="D2815" s="14">
        <v>2</v>
      </c>
      <c r="E2815" s="13" t="s">
        <v>17062</v>
      </c>
      <c r="F2815" s="7" t="s">
        <v>11535</v>
      </c>
    </row>
    <row r="2816" ht="18" customHeight="1" spans="1:6">
      <c r="A2816" s="13" t="s">
        <v>9220</v>
      </c>
      <c r="B2816" s="13" t="s">
        <v>17045</v>
      </c>
      <c r="C2816" s="13" t="s">
        <v>17063</v>
      </c>
      <c r="D2816" s="14">
        <v>4</v>
      </c>
      <c r="E2816" s="13" t="s">
        <v>17064</v>
      </c>
      <c r="F2816" s="7" t="s">
        <v>11535</v>
      </c>
    </row>
    <row r="2817" ht="18" customHeight="1" spans="1:6">
      <c r="A2817" s="13" t="s">
        <v>9220</v>
      </c>
      <c r="B2817" s="13" t="s">
        <v>17045</v>
      </c>
      <c r="C2817" s="13" t="s">
        <v>17065</v>
      </c>
      <c r="D2817" s="14">
        <v>4</v>
      </c>
      <c r="E2817" s="13" t="s">
        <v>17066</v>
      </c>
      <c r="F2817" s="7" t="s">
        <v>11535</v>
      </c>
    </row>
    <row r="2818" ht="18" customHeight="1" spans="1:6">
      <c r="A2818" s="13" t="s">
        <v>9220</v>
      </c>
      <c r="B2818" s="13" t="s">
        <v>17045</v>
      </c>
      <c r="C2818" s="13" t="s">
        <v>17067</v>
      </c>
      <c r="D2818" s="14">
        <v>5</v>
      </c>
      <c r="E2818" s="13" t="s">
        <v>17068</v>
      </c>
      <c r="F2818" s="7" t="s">
        <v>11535</v>
      </c>
    </row>
    <row r="2819" ht="18" customHeight="1" spans="1:6">
      <c r="A2819" s="13" t="s">
        <v>9220</v>
      </c>
      <c r="B2819" s="13" t="s">
        <v>17045</v>
      </c>
      <c r="C2819" s="13" t="s">
        <v>17069</v>
      </c>
      <c r="D2819" s="14">
        <v>3</v>
      </c>
      <c r="E2819" s="13" t="s">
        <v>17070</v>
      </c>
      <c r="F2819" s="7" t="s">
        <v>11535</v>
      </c>
    </row>
    <row r="2820" ht="18" customHeight="1" spans="1:6">
      <c r="A2820" s="13" t="s">
        <v>9220</v>
      </c>
      <c r="B2820" s="13" t="s">
        <v>17045</v>
      </c>
      <c r="C2820" s="13" t="s">
        <v>17071</v>
      </c>
      <c r="D2820" s="13">
        <v>3</v>
      </c>
      <c r="E2820" s="8" t="s">
        <v>17072</v>
      </c>
      <c r="F2820" s="7" t="s">
        <v>11535</v>
      </c>
    </row>
    <row r="2821" ht="18" customHeight="1" spans="1:6">
      <c r="A2821" s="13" t="s">
        <v>9220</v>
      </c>
      <c r="B2821" s="13" t="s">
        <v>17045</v>
      </c>
      <c r="C2821" s="13" t="s">
        <v>17073</v>
      </c>
      <c r="D2821" s="13">
        <v>3</v>
      </c>
      <c r="E2821" s="8" t="s">
        <v>17074</v>
      </c>
      <c r="F2821" s="7" t="s">
        <v>11535</v>
      </c>
    </row>
    <row r="2822" ht="18" customHeight="1" spans="1:6">
      <c r="A2822" s="13" t="s">
        <v>9220</v>
      </c>
      <c r="B2822" s="13" t="s">
        <v>17045</v>
      </c>
      <c r="C2822" s="13" t="s">
        <v>17075</v>
      </c>
      <c r="D2822" s="13">
        <v>2</v>
      </c>
      <c r="E2822" s="8" t="s">
        <v>17076</v>
      </c>
      <c r="F2822" s="7" t="s">
        <v>11535</v>
      </c>
    </row>
    <row r="2823" ht="18" customHeight="1" spans="1:6">
      <c r="A2823" s="13" t="s">
        <v>9220</v>
      </c>
      <c r="B2823" s="13" t="s">
        <v>17045</v>
      </c>
      <c r="C2823" s="13" t="s">
        <v>17077</v>
      </c>
      <c r="D2823" s="13">
        <v>5</v>
      </c>
      <c r="E2823" s="8" t="s">
        <v>17078</v>
      </c>
      <c r="F2823" s="7" t="s">
        <v>11535</v>
      </c>
    </row>
    <row r="2824" ht="18" customHeight="1" spans="1:6">
      <c r="A2824" s="13" t="s">
        <v>9220</v>
      </c>
      <c r="B2824" s="13" t="s">
        <v>17045</v>
      </c>
      <c r="C2824" s="13" t="s">
        <v>17079</v>
      </c>
      <c r="D2824" s="13">
        <v>4</v>
      </c>
      <c r="E2824" s="8" t="s">
        <v>17080</v>
      </c>
      <c r="F2824" s="7" t="s">
        <v>11535</v>
      </c>
    </row>
    <row r="2825" ht="18" customHeight="1" spans="1:6">
      <c r="A2825" s="13" t="s">
        <v>9220</v>
      </c>
      <c r="B2825" s="13" t="s">
        <v>17045</v>
      </c>
      <c r="C2825" s="13" t="s">
        <v>17081</v>
      </c>
      <c r="D2825" s="13">
        <v>3</v>
      </c>
      <c r="E2825" s="8" t="s">
        <v>17082</v>
      </c>
      <c r="F2825" s="7" t="s">
        <v>11535</v>
      </c>
    </row>
    <row r="2826" ht="18" customHeight="1" spans="1:6">
      <c r="A2826" s="13" t="s">
        <v>9220</v>
      </c>
      <c r="B2826" s="13" t="s">
        <v>17045</v>
      </c>
      <c r="C2826" s="13" t="s">
        <v>17083</v>
      </c>
      <c r="D2826" s="13">
        <v>3</v>
      </c>
      <c r="E2826" s="8" t="s">
        <v>17084</v>
      </c>
      <c r="F2826" s="7" t="s">
        <v>11535</v>
      </c>
    </row>
    <row r="2827" ht="18" customHeight="1" spans="1:6">
      <c r="A2827" s="13" t="s">
        <v>9220</v>
      </c>
      <c r="B2827" s="13" t="s">
        <v>17045</v>
      </c>
      <c r="C2827" s="13" t="s">
        <v>17085</v>
      </c>
      <c r="D2827" s="13">
        <v>4</v>
      </c>
      <c r="E2827" s="8" t="s">
        <v>17086</v>
      </c>
      <c r="F2827" s="7" t="s">
        <v>11535</v>
      </c>
    </row>
    <row r="2828" ht="18" customHeight="1" spans="1:6">
      <c r="A2828" s="13" t="s">
        <v>9220</v>
      </c>
      <c r="B2828" s="13" t="s">
        <v>17045</v>
      </c>
      <c r="C2828" s="13" t="s">
        <v>17087</v>
      </c>
      <c r="D2828" s="13">
        <v>3</v>
      </c>
      <c r="E2828" s="8" t="s">
        <v>17088</v>
      </c>
      <c r="F2828" s="7" t="s">
        <v>11535</v>
      </c>
    </row>
    <row r="2829" ht="18" customHeight="1" spans="1:6">
      <c r="A2829" s="13" t="s">
        <v>9220</v>
      </c>
      <c r="B2829" s="13" t="s">
        <v>17045</v>
      </c>
      <c r="C2829" s="13" t="s">
        <v>17089</v>
      </c>
      <c r="D2829" s="13">
        <v>4</v>
      </c>
      <c r="E2829" s="8" t="s">
        <v>17090</v>
      </c>
      <c r="F2829" s="7" t="s">
        <v>11535</v>
      </c>
    </row>
    <row r="2830" ht="18" customHeight="1" spans="1:6">
      <c r="A2830" s="13" t="s">
        <v>9220</v>
      </c>
      <c r="B2830" s="13" t="s">
        <v>17045</v>
      </c>
      <c r="C2830" s="13" t="s">
        <v>11181</v>
      </c>
      <c r="D2830" s="13">
        <v>3</v>
      </c>
      <c r="E2830" s="5" t="str">
        <f>LEFT("422626197302016410",19)</f>
        <v>422626197302016410</v>
      </c>
      <c r="F2830" s="7" t="s">
        <v>11535</v>
      </c>
    </row>
    <row r="2831" ht="18" customHeight="1" spans="1:6">
      <c r="A2831" s="13" t="s">
        <v>9220</v>
      </c>
      <c r="B2831" s="13" t="s">
        <v>17045</v>
      </c>
      <c r="C2831" s="13" t="s">
        <v>17091</v>
      </c>
      <c r="D2831" s="13">
        <v>3</v>
      </c>
      <c r="E2831" s="8" t="s">
        <v>17092</v>
      </c>
      <c r="F2831" s="7" t="s">
        <v>11535</v>
      </c>
    </row>
    <row r="2832" ht="18" customHeight="1" spans="1:6">
      <c r="A2832" s="13" t="s">
        <v>9220</v>
      </c>
      <c r="B2832" s="13" t="s">
        <v>17045</v>
      </c>
      <c r="C2832" s="13" t="s">
        <v>17093</v>
      </c>
      <c r="D2832" s="13">
        <v>1</v>
      </c>
      <c r="E2832" s="8" t="s">
        <v>17094</v>
      </c>
      <c r="F2832" s="7" t="s">
        <v>11535</v>
      </c>
    </row>
    <row r="2833" ht="18" customHeight="1" spans="1:6">
      <c r="A2833" s="13" t="s">
        <v>9220</v>
      </c>
      <c r="B2833" s="13" t="s">
        <v>17045</v>
      </c>
      <c r="C2833" s="13" t="s">
        <v>17095</v>
      </c>
      <c r="D2833" s="13">
        <v>6</v>
      </c>
      <c r="E2833" s="8" t="s">
        <v>17096</v>
      </c>
      <c r="F2833" s="7" t="s">
        <v>11535</v>
      </c>
    </row>
    <row r="2834" ht="18" customHeight="1" spans="1:6">
      <c r="A2834" s="13" t="s">
        <v>9220</v>
      </c>
      <c r="B2834" s="13" t="s">
        <v>17045</v>
      </c>
      <c r="C2834" s="8" t="s">
        <v>17097</v>
      </c>
      <c r="D2834" s="13">
        <v>2</v>
      </c>
      <c r="E2834" s="8" t="s">
        <v>17098</v>
      </c>
      <c r="F2834" s="7" t="s">
        <v>11535</v>
      </c>
    </row>
    <row r="2835" ht="18" customHeight="1" spans="1:6">
      <c r="A2835" s="13" t="s">
        <v>9220</v>
      </c>
      <c r="B2835" s="13" t="s">
        <v>17045</v>
      </c>
      <c r="C2835" s="8" t="s">
        <v>17099</v>
      </c>
      <c r="D2835" s="13">
        <v>1</v>
      </c>
      <c r="E2835" s="8" t="s">
        <v>17100</v>
      </c>
      <c r="F2835" s="7" t="s">
        <v>11535</v>
      </c>
    </row>
    <row r="2836" ht="18" customHeight="1" spans="1:6">
      <c r="A2836" s="13" t="s">
        <v>9220</v>
      </c>
      <c r="B2836" s="13" t="s">
        <v>17045</v>
      </c>
      <c r="C2836" s="8" t="s">
        <v>17101</v>
      </c>
      <c r="D2836" s="13">
        <v>1</v>
      </c>
      <c r="E2836" s="8" t="s">
        <v>17102</v>
      </c>
      <c r="F2836" s="7" t="s">
        <v>11535</v>
      </c>
    </row>
    <row r="2837" ht="18" customHeight="1" spans="1:6">
      <c r="A2837" s="13" t="s">
        <v>9220</v>
      </c>
      <c r="B2837" s="13" t="s">
        <v>17045</v>
      </c>
      <c r="C2837" s="8" t="s">
        <v>17103</v>
      </c>
      <c r="D2837" s="13">
        <v>4</v>
      </c>
      <c r="E2837" s="8" t="s">
        <v>17104</v>
      </c>
      <c r="F2837" s="7" t="s">
        <v>11535</v>
      </c>
    </row>
    <row r="2838" ht="18" customHeight="1" spans="1:6">
      <c r="A2838" s="13" t="s">
        <v>9220</v>
      </c>
      <c r="B2838" s="13" t="s">
        <v>17045</v>
      </c>
      <c r="C2838" s="8" t="s">
        <v>17105</v>
      </c>
      <c r="D2838" s="13">
        <v>1</v>
      </c>
      <c r="E2838" s="8" t="s">
        <v>17106</v>
      </c>
      <c r="F2838" s="7" t="s">
        <v>11535</v>
      </c>
    </row>
    <row r="2839" ht="18" customHeight="1" spans="1:6">
      <c r="A2839" s="13" t="s">
        <v>9220</v>
      </c>
      <c r="B2839" s="13" t="s">
        <v>17045</v>
      </c>
      <c r="C2839" s="8" t="s">
        <v>17107</v>
      </c>
      <c r="D2839" s="13">
        <v>1</v>
      </c>
      <c r="E2839" s="8" t="s">
        <v>17108</v>
      </c>
      <c r="F2839" s="7" t="s">
        <v>11535</v>
      </c>
    </row>
    <row r="2840" ht="18" customHeight="1" spans="1:6">
      <c r="A2840" s="13" t="s">
        <v>9220</v>
      </c>
      <c r="B2840" s="13" t="s">
        <v>17045</v>
      </c>
      <c r="C2840" s="8" t="s">
        <v>17109</v>
      </c>
      <c r="D2840" s="13">
        <v>1</v>
      </c>
      <c r="E2840" s="8" t="s">
        <v>17110</v>
      </c>
      <c r="F2840" s="7" t="s">
        <v>11535</v>
      </c>
    </row>
    <row r="2841" ht="18" customHeight="1" spans="1:6">
      <c r="A2841" s="13" t="s">
        <v>9220</v>
      </c>
      <c r="B2841" s="13" t="s">
        <v>17045</v>
      </c>
      <c r="C2841" s="8" t="s">
        <v>2984</v>
      </c>
      <c r="D2841" s="13">
        <v>1</v>
      </c>
      <c r="E2841" s="8" t="s">
        <v>17111</v>
      </c>
      <c r="F2841" s="7" t="s">
        <v>11535</v>
      </c>
    </row>
    <row r="2842" ht="18" customHeight="1" spans="1:6">
      <c r="A2842" s="13" t="s">
        <v>9220</v>
      </c>
      <c r="B2842" s="13" t="s">
        <v>17045</v>
      </c>
      <c r="C2842" s="8" t="s">
        <v>17112</v>
      </c>
      <c r="D2842" s="13">
        <v>1</v>
      </c>
      <c r="E2842" s="8" t="s">
        <v>17113</v>
      </c>
      <c r="F2842" s="7" t="s">
        <v>11535</v>
      </c>
    </row>
    <row r="2843" ht="18" customHeight="1" spans="1:6">
      <c r="A2843" s="13" t="s">
        <v>9220</v>
      </c>
      <c r="B2843" s="13" t="s">
        <v>17045</v>
      </c>
      <c r="C2843" s="8" t="s">
        <v>17114</v>
      </c>
      <c r="D2843" s="13">
        <v>1</v>
      </c>
      <c r="E2843" s="8" t="s">
        <v>17115</v>
      </c>
      <c r="F2843" s="7" t="s">
        <v>11535</v>
      </c>
    </row>
    <row r="2844" ht="18" customHeight="1" spans="1:6">
      <c r="A2844" s="13" t="s">
        <v>9220</v>
      </c>
      <c r="B2844" s="13" t="s">
        <v>17045</v>
      </c>
      <c r="C2844" s="8" t="s">
        <v>17116</v>
      </c>
      <c r="D2844" s="13">
        <v>2</v>
      </c>
      <c r="E2844" s="8" t="s">
        <v>17117</v>
      </c>
      <c r="F2844" s="7" t="s">
        <v>11535</v>
      </c>
    </row>
    <row r="2845" ht="18" customHeight="1" spans="1:6">
      <c r="A2845" s="13" t="s">
        <v>9220</v>
      </c>
      <c r="B2845" s="13" t="s">
        <v>17045</v>
      </c>
      <c r="C2845" s="8" t="s">
        <v>17118</v>
      </c>
      <c r="D2845" s="13">
        <v>3</v>
      </c>
      <c r="E2845" s="8" t="s">
        <v>17119</v>
      </c>
      <c r="F2845" s="7" t="s">
        <v>11535</v>
      </c>
    </row>
    <row r="2846" ht="18" customHeight="1" spans="1:6">
      <c r="A2846" s="13" t="s">
        <v>9220</v>
      </c>
      <c r="B2846" s="13" t="s">
        <v>17045</v>
      </c>
      <c r="C2846" s="8" t="s">
        <v>17120</v>
      </c>
      <c r="D2846" s="13">
        <v>4</v>
      </c>
      <c r="E2846" s="8" t="s">
        <v>17121</v>
      </c>
      <c r="F2846" s="7" t="s">
        <v>11535</v>
      </c>
    </row>
    <row r="2847" ht="18" customHeight="1" spans="1:6">
      <c r="A2847" s="13" t="s">
        <v>9220</v>
      </c>
      <c r="B2847" s="13" t="s">
        <v>17045</v>
      </c>
      <c r="C2847" s="8" t="s">
        <v>17122</v>
      </c>
      <c r="D2847" s="13">
        <v>2</v>
      </c>
      <c r="E2847" s="8" t="s">
        <v>17123</v>
      </c>
      <c r="F2847" s="7" t="s">
        <v>11535</v>
      </c>
    </row>
    <row r="2848" ht="18" customHeight="1" spans="1:6">
      <c r="A2848" s="13" t="s">
        <v>9220</v>
      </c>
      <c r="B2848" s="13" t="s">
        <v>17045</v>
      </c>
      <c r="C2848" s="8" t="s">
        <v>17124</v>
      </c>
      <c r="D2848" s="13">
        <v>2</v>
      </c>
      <c r="E2848" s="8" t="s">
        <v>17125</v>
      </c>
      <c r="F2848" s="7" t="s">
        <v>11535</v>
      </c>
    </row>
    <row r="2849" ht="18" customHeight="1" spans="1:6">
      <c r="A2849" s="13" t="s">
        <v>9220</v>
      </c>
      <c r="B2849" s="13" t="s">
        <v>17045</v>
      </c>
      <c r="C2849" s="8" t="s">
        <v>17126</v>
      </c>
      <c r="D2849" s="13">
        <v>4</v>
      </c>
      <c r="E2849" s="8" t="s">
        <v>17127</v>
      </c>
      <c r="F2849" s="7" t="s">
        <v>11535</v>
      </c>
    </row>
    <row r="2850" ht="18" customHeight="1" spans="1:6">
      <c r="A2850" s="13" t="s">
        <v>9220</v>
      </c>
      <c r="B2850" s="13" t="s">
        <v>17045</v>
      </c>
      <c r="C2850" s="5" t="s">
        <v>17128</v>
      </c>
      <c r="D2850" s="13">
        <v>1</v>
      </c>
      <c r="E2850" s="8" t="s">
        <v>17129</v>
      </c>
      <c r="F2850" s="7" t="s">
        <v>11535</v>
      </c>
    </row>
    <row r="2851" ht="18" customHeight="1" spans="1:6">
      <c r="A2851" s="13" t="s">
        <v>9220</v>
      </c>
      <c r="B2851" s="13" t="s">
        <v>17045</v>
      </c>
      <c r="C2851" s="8" t="s">
        <v>17130</v>
      </c>
      <c r="D2851" s="13">
        <v>2</v>
      </c>
      <c r="E2851" s="8" t="s">
        <v>17131</v>
      </c>
      <c r="F2851" s="7" t="s">
        <v>11535</v>
      </c>
    </row>
    <row r="2852" ht="18" customHeight="1" spans="1:6">
      <c r="A2852" s="13" t="s">
        <v>9220</v>
      </c>
      <c r="B2852" s="13" t="s">
        <v>17045</v>
      </c>
      <c r="C2852" s="5" t="s">
        <v>17132</v>
      </c>
      <c r="D2852" s="13">
        <v>1</v>
      </c>
      <c r="E2852" s="8" t="s">
        <v>17133</v>
      </c>
      <c r="F2852" s="7" t="s">
        <v>11535</v>
      </c>
    </row>
    <row r="2853" ht="18" customHeight="1" spans="1:6">
      <c r="A2853" s="13" t="s">
        <v>9220</v>
      </c>
      <c r="B2853" s="13" t="s">
        <v>17045</v>
      </c>
      <c r="C2853" s="8" t="s">
        <v>17134</v>
      </c>
      <c r="D2853" s="13">
        <v>1</v>
      </c>
      <c r="E2853" s="8" t="s">
        <v>17135</v>
      </c>
      <c r="F2853" s="7" t="s">
        <v>11535</v>
      </c>
    </row>
    <row r="2854" ht="18" customHeight="1" spans="1:6">
      <c r="A2854" s="13" t="s">
        <v>9220</v>
      </c>
      <c r="B2854" s="13" t="s">
        <v>17136</v>
      </c>
      <c r="C2854" s="6" t="s">
        <v>17137</v>
      </c>
      <c r="D2854" s="6">
        <v>4</v>
      </c>
      <c r="E2854" s="13" t="s">
        <v>17138</v>
      </c>
      <c r="F2854" s="7" t="s">
        <v>11535</v>
      </c>
    </row>
    <row r="2855" ht="18" customHeight="1" spans="1:6">
      <c r="A2855" s="13" t="s">
        <v>9220</v>
      </c>
      <c r="B2855" s="13" t="s">
        <v>17136</v>
      </c>
      <c r="C2855" s="6" t="s">
        <v>17139</v>
      </c>
      <c r="D2855" s="6">
        <v>1</v>
      </c>
      <c r="E2855" s="13" t="s">
        <v>17140</v>
      </c>
      <c r="F2855" s="7" t="s">
        <v>11535</v>
      </c>
    </row>
    <row r="2856" ht="18" customHeight="1" spans="1:6">
      <c r="A2856" s="13" t="s">
        <v>9220</v>
      </c>
      <c r="B2856" s="13" t="s">
        <v>17136</v>
      </c>
      <c r="C2856" s="6" t="s">
        <v>17141</v>
      </c>
      <c r="D2856" s="6">
        <v>1</v>
      </c>
      <c r="E2856" s="13" t="s">
        <v>17142</v>
      </c>
      <c r="F2856" s="7" t="s">
        <v>11535</v>
      </c>
    </row>
    <row r="2857" ht="18" customHeight="1" spans="1:6">
      <c r="A2857" s="13" t="s">
        <v>9220</v>
      </c>
      <c r="B2857" s="13" t="s">
        <v>17136</v>
      </c>
      <c r="C2857" s="6" t="s">
        <v>17143</v>
      </c>
      <c r="D2857" s="6">
        <v>1</v>
      </c>
      <c r="E2857" s="13" t="s">
        <v>17144</v>
      </c>
      <c r="F2857" s="7" t="s">
        <v>11535</v>
      </c>
    </row>
    <row r="2858" ht="18" customHeight="1" spans="1:6">
      <c r="A2858" s="13" t="s">
        <v>9220</v>
      </c>
      <c r="B2858" s="13" t="s">
        <v>17136</v>
      </c>
      <c r="C2858" s="6" t="s">
        <v>17145</v>
      </c>
      <c r="D2858" s="6">
        <v>2</v>
      </c>
      <c r="E2858" s="13" t="s">
        <v>17146</v>
      </c>
      <c r="F2858" s="7" t="s">
        <v>11535</v>
      </c>
    </row>
    <row r="2859" ht="18" customHeight="1" spans="1:6">
      <c r="A2859" s="13" t="s">
        <v>9220</v>
      </c>
      <c r="B2859" s="13" t="s">
        <v>17136</v>
      </c>
      <c r="C2859" s="6" t="s">
        <v>7204</v>
      </c>
      <c r="D2859" s="6">
        <v>2</v>
      </c>
      <c r="E2859" s="13" t="s">
        <v>17147</v>
      </c>
      <c r="F2859" s="7" t="s">
        <v>11535</v>
      </c>
    </row>
    <row r="2860" ht="18" customHeight="1" spans="1:6">
      <c r="A2860" s="13" t="s">
        <v>9220</v>
      </c>
      <c r="B2860" s="13" t="s">
        <v>17136</v>
      </c>
      <c r="C2860" s="6" t="s">
        <v>17148</v>
      </c>
      <c r="D2860" s="6">
        <v>1</v>
      </c>
      <c r="E2860" s="13" t="s">
        <v>17149</v>
      </c>
      <c r="F2860" s="7" t="s">
        <v>11535</v>
      </c>
    </row>
    <row r="2861" ht="18" customHeight="1" spans="1:6">
      <c r="A2861" s="13" t="s">
        <v>9220</v>
      </c>
      <c r="B2861" s="13" t="s">
        <v>17136</v>
      </c>
      <c r="C2861" s="6" t="s">
        <v>17150</v>
      </c>
      <c r="D2861" s="6">
        <v>4</v>
      </c>
      <c r="E2861" s="13" t="s">
        <v>17151</v>
      </c>
      <c r="F2861" s="7" t="s">
        <v>11535</v>
      </c>
    </row>
    <row r="2862" ht="18" customHeight="1" spans="1:6">
      <c r="A2862" s="13" t="s">
        <v>9220</v>
      </c>
      <c r="B2862" s="13" t="s">
        <v>17136</v>
      </c>
      <c r="C2862" s="6" t="s">
        <v>17152</v>
      </c>
      <c r="D2862" s="6">
        <v>1</v>
      </c>
      <c r="E2862" s="13" t="s">
        <v>17153</v>
      </c>
      <c r="F2862" s="7" t="s">
        <v>11535</v>
      </c>
    </row>
    <row r="2863" ht="18" customHeight="1" spans="1:6">
      <c r="A2863" s="13" t="s">
        <v>9220</v>
      </c>
      <c r="B2863" s="13" t="s">
        <v>17136</v>
      </c>
      <c r="C2863" s="6" t="s">
        <v>17154</v>
      </c>
      <c r="D2863" s="6">
        <v>1</v>
      </c>
      <c r="E2863" s="13" t="s">
        <v>17155</v>
      </c>
      <c r="F2863" s="7" t="s">
        <v>11535</v>
      </c>
    </row>
    <row r="2864" ht="18" customHeight="1" spans="1:6">
      <c r="A2864" s="13" t="s">
        <v>9220</v>
      </c>
      <c r="B2864" s="13" t="s">
        <v>17136</v>
      </c>
      <c r="C2864" s="6" t="s">
        <v>17156</v>
      </c>
      <c r="D2864" s="6">
        <v>1</v>
      </c>
      <c r="E2864" s="13" t="s">
        <v>17157</v>
      </c>
      <c r="F2864" s="7" t="s">
        <v>11535</v>
      </c>
    </row>
    <row r="2865" ht="18" customHeight="1" spans="1:6">
      <c r="A2865" s="13" t="s">
        <v>9220</v>
      </c>
      <c r="B2865" s="13" t="s">
        <v>9432</v>
      </c>
      <c r="C2865" s="13" t="s">
        <v>17158</v>
      </c>
      <c r="D2865" s="13">
        <v>3</v>
      </c>
      <c r="E2865" s="8" t="s">
        <v>17159</v>
      </c>
      <c r="F2865" s="7" t="s">
        <v>11535</v>
      </c>
    </row>
    <row r="2866" ht="18" customHeight="1" spans="1:6">
      <c r="A2866" s="13" t="s">
        <v>9220</v>
      </c>
      <c r="B2866" s="13" t="s">
        <v>9432</v>
      </c>
      <c r="C2866" s="13" t="s">
        <v>17160</v>
      </c>
      <c r="D2866" s="13">
        <v>4</v>
      </c>
      <c r="E2866" s="8" t="s">
        <v>17161</v>
      </c>
      <c r="F2866" s="7" t="s">
        <v>11535</v>
      </c>
    </row>
    <row r="2867" ht="18" customHeight="1" spans="1:6">
      <c r="A2867" s="13" t="s">
        <v>9220</v>
      </c>
      <c r="B2867" s="13" t="s">
        <v>9432</v>
      </c>
      <c r="C2867" s="13" t="s">
        <v>17162</v>
      </c>
      <c r="D2867" s="13">
        <v>4</v>
      </c>
      <c r="E2867" s="8" t="s">
        <v>17163</v>
      </c>
      <c r="F2867" s="7" t="s">
        <v>11535</v>
      </c>
    </row>
    <row r="2868" ht="18" customHeight="1" spans="1:6">
      <c r="A2868" s="13" t="s">
        <v>9220</v>
      </c>
      <c r="B2868" s="13" t="s">
        <v>9432</v>
      </c>
      <c r="C2868" s="13" t="s">
        <v>17164</v>
      </c>
      <c r="D2868" s="13">
        <v>4</v>
      </c>
      <c r="E2868" s="8" t="s">
        <v>17165</v>
      </c>
      <c r="F2868" s="7" t="s">
        <v>11535</v>
      </c>
    </row>
    <row r="2869" ht="18" customHeight="1" spans="1:6">
      <c r="A2869" s="13" t="s">
        <v>9220</v>
      </c>
      <c r="B2869" s="13" t="s">
        <v>9432</v>
      </c>
      <c r="C2869" s="13" t="s">
        <v>17166</v>
      </c>
      <c r="D2869" s="13">
        <v>5</v>
      </c>
      <c r="E2869" s="8" t="s">
        <v>17167</v>
      </c>
      <c r="F2869" s="7" t="s">
        <v>11535</v>
      </c>
    </row>
    <row r="2870" ht="18" customHeight="1" spans="1:6">
      <c r="A2870" s="13" t="s">
        <v>9220</v>
      </c>
      <c r="B2870" s="13" t="s">
        <v>9432</v>
      </c>
      <c r="C2870" s="13" t="s">
        <v>17168</v>
      </c>
      <c r="D2870" s="13">
        <v>3</v>
      </c>
      <c r="E2870" s="194" t="s">
        <v>17169</v>
      </c>
      <c r="F2870" s="7" t="s">
        <v>11535</v>
      </c>
    </row>
    <row r="2871" ht="18" customHeight="1" spans="1:6">
      <c r="A2871" s="13" t="s">
        <v>9220</v>
      </c>
      <c r="B2871" s="13" t="s">
        <v>9432</v>
      </c>
      <c r="C2871" s="13" t="s">
        <v>17170</v>
      </c>
      <c r="D2871" s="13">
        <v>3</v>
      </c>
      <c r="E2871" s="8" t="s">
        <v>17171</v>
      </c>
      <c r="F2871" s="7" t="s">
        <v>11535</v>
      </c>
    </row>
    <row r="2872" ht="18" customHeight="1" spans="1:6">
      <c r="A2872" s="13" t="s">
        <v>9220</v>
      </c>
      <c r="B2872" s="13" t="s">
        <v>9432</v>
      </c>
      <c r="C2872" s="13" t="s">
        <v>17172</v>
      </c>
      <c r="D2872" s="13">
        <v>6</v>
      </c>
      <c r="E2872" s="8" t="s">
        <v>17173</v>
      </c>
      <c r="F2872" s="7" t="s">
        <v>11535</v>
      </c>
    </row>
    <row r="2873" ht="18" customHeight="1" spans="1:6">
      <c r="A2873" s="13" t="s">
        <v>9220</v>
      </c>
      <c r="B2873" s="13" t="s">
        <v>9493</v>
      </c>
      <c r="C2873" s="8" t="s">
        <v>17174</v>
      </c>
      <c r="D2873" s="13">
        <v>5</v>
      </c>
      <c r="E2873" s="8" t="s">
        <v>17175</v>
      </c>
      <c r="F2873" s="7" t="s">
        <v>11535</v>
      </c>
    </row>
    <row r="2874" ht="18" customHeight="1" spans="1:6">
      <c r="A2874" s="13" t="s">
        <v>9220</v>
      </c>
      <c r="B2874" s="13" t="s">
        <v>9500</v>
      </c>
      <c r="C2874" s="13" t="s">
        <v>9710</v>
      </c>
      <c r="D2874" s="13">
        <v>6</v>
      </c>
      <c r="E2874" s="8" t="s">
        <v>17176</v>
      </c>
      <c r="F2874" s="7" t="s">
        <v>11535</v>
      </c>
    </row>
    <row r="2875" ht="18" customHeight="1" spans="1:6">
      <c r="A2875" s="13" t="s">
        <v>9220</v>
      </c>
      <c r="B2875" s="13" t="s">
        <v>9500</v>
      </c>
      <c r="C2875" s="13" t="s">
        <v>17177</v>
      </c>
      <c r="D2875" s="13">
        <v>5</v>
      </c>
      <c r="E2875" s="79" t="str">
        <f>LEFT("422626196609116710",19)</f>
        <v>422626196609116710</v>
      </c>
      <c r="F2875" s="7" t="s">
        <v>11535</v>
      </c>
    </row>
    <row r="2876" ht="18" customHeight="1" spans="1:6">
      <c r="A2876" s="13" t="s">
        <v>9220</v>
      </c>
      <c r="B2876" s="13" t="s">
        <v>9500</v>
      </c>
      <c r="C2876" s="13" t="s">
        <v>17178</v>
      </c>
      <c r="D2876" s="13">
        <v>2</v>
      </c>
      <c r="E2876" s="79" t="str">
        <f>LEFT("422626196304156711",19)</f>
        <v>422626196304156711</v>
      </c>
      <c r="F2876" s="7" t="s">
        <v>11535</v>
      </c>
    </row>
    <row r="2877" ht="18" customHeight="1" spans="1:6">
      <c r="A2877" s="13" t="s">
        <v>9220</v>
      </c>
      <c r="B2877" s="13" t="s">
        <v>9500</v>
      </c>
      <c r="C2877" s="13" t="s">
        <v>17179</v>
      </c>
      <c r="D2877" s="13">
        <v>5</v>
      </c>
      <c r="E2877" s="8" t="s">
        <v>17180</v>
      </c>
      <c r="F2877" s="7" t="s">
        <v>11535</v>
      </c>
    </row>
    <row r="2878" ht="18" customHeight="1" spans="1:6">
      <c r="A2878" s="13" t="s">
        <v>9220</v>
      </c>
      <c r="B2878" s="13" t="s">
        <v>9500</v>
      </c>
      <c r="C2878" s="13" t="s">
        <v>17181</v>
      </c>
      <c r="D2878" s="13">
        <v>4</v>
      </c>
      <c r="E2878" s="79" t="str">
        <f>LEFT("422626196803026735",19)</f>
        <v>422626196803026735</v>
      </c>
      <c r="F2878" s="7" t="s">
        <v>11535</v>
      </c>
    </row>
    <row r="2879" ht="18" customHeight="1" spans="1:6">
      <c r="A2879" s="13" t="s">
        <v>9220</v>
      </c>
      <c r="B2879" s="13" t="s">
        <v>9500</v>
      </c>
      <c r="C2879" s="13" t="s">
        <v>17182</v>
      </c>
      <c r="D2879" s="13">
        <v>3</v>
      </c>
      <c r="E2879" s="8" t="s">
        <v>17183</v>
      </c>
      <c r="F2879" s="7" t="s">
        <v>11535</v>
      </c>
    </row>
    <row r="2880" ht="18" customHeight="1" spans="1:6">
      <c r="A2880" s="13" t="s">
        <v>9220</v>
      </c>
      <c r="B2880" s="13" t="s">
        <v>9500</v>
      </c>
      <c r="C2880" s="13" t="s">
        <v>17184</v>
      </c>
      <c r="D2880" s="13">
        <v>2</v>
      </c>
      <c r="E2880" s="8" t="s">
        <v>17185</v>
      </c>
      <c r="F2880" s="7" t="s">
        <v>11535</v>
      </c>
    </row>
    <row r="2881" ht="18" customHeight="1" spans="1:6">
      <c r="A2881" s="13" t="s">
        <v>9220</v>
      </c>
      <c r="B2881" s="13" t="s">
        <v>9500</v>
      </c>
      <c r="C2881" s="13" t="s">
        <v>17186</v>
      </c>
      <c r="D2881" s="13">
        <v>5</v>
      </c>
      <c r="E2881" s="8" t="s">
        <v>17187</v>
      </c>
      <c r="F2881" s="7" t="s">
        <v>11535</v>
      </c>
    </row>
    <row r="2882" ht="18" customHeight="1" spans="1:6">
      <c r="A2882" s="13" t="s">
        <v>9220</v>
      </c>
      <c r="B2882" s="13" t="s">
        <v>9500</v>
      </c>
      <c r="C2882" s="13" t="s">
        <v>17188</v>
      </c>
      <c r="D2882" s="13">
        <v>2</v>
      </c>
      <c r="E2882" s="8" t="s">
        <v>17189</v>
      </c>
      <c r="F2882" s="7" t="s">
        <v>11535</v>
      </c>
    </row>
    <row r="2883" ht="18" customHeight="1" spans="1:6">
      <c r="A2883" s="13" t="s">
        <v>9220</v>
      </c>
      <c r="B2883" s="13" t="s">
        <v>9500</v>
      </c>
      <c r="C2883" s="13" t="s">
        <v>17190</v>
      </c>
      <c r="D2883" s="13">
        <v>4</v>
      </c>
      <c r="E2883" s="8" t="s">
        <v>17191</v>
      </c>
      <c r="F2883" s="7" t="s">
        <v>11535</v>
      </c>
    </row>
    <row r="2884" ht="18" customHeight="1" spans="1:6">
      <c r="A2884" s="13" t="s">
        <v>9220</v>
      </c>
      <c r="B2884" s="13" t="s">
        <v>9500</v>
      </c>
      <c r="C2884" s="13" t="s">
        <v>17192</v>
      </c>
      <c r="D2884" s="13">
        <v>5</v>
      </c>
      <c r="E2884" s="8" t="s">
        <v>17193</v>
      </c>
      <c r="F2884" s="7" t="s">
        <v>11535</v>
      </c>
    </row>
    <row r="2885" ht="18" customHeight="1" spans="1:6">
      <c r="A2885" s="13" t="s">
        <v>9220</v>
      </c>
      <c r="B2885" s="13" t="s">
        <v>9500</v>
      </c>
      <c r="C2885" s="13" t="s">
        <v>17194</v>
      </c>
      <c r="D2885" s="13">
        <v>6</v>
      </c>
      <c r="E2885" s="8" t="s">
        <v>17195</v>
      </c>
      <c r="F2885" s="7" t="s">
        <v>11535</v>
      </c>
    </row>
    <row r="2886" ht="18" customHeight="1" spans="1:6">
      <c r="A2886" s="13" t="s">
        <v>9220</v>
      </c>
      <c r="B2886" s="13" t="s">
        <v>9500</v>
      </c>
      <c r="C2886" s="13" t="s">
        <v>17196</v>
      </c>
      <c r="D2886" s="13">
        <v>3</v>
      </c>
      <c r="E2886" s="8" t="s">
        <v>17197</v>
      </c>
      <c r="F2886" s="7" t="s">
        <v>11535</v>
      </c>
    </row>
    <row r="2887" ht="18" customHeight="1" spans="1:6">
      <c r="A2887" s="13" t="s">
        <v>9220</v>
      </c>
      <c r="B2887" s="13" t="s">
        <v>9500</v>
      </c>
      <c r="C2887" s="13" t="s">
        <v>17198</v>
      </c>
      <c r="D2887" s="13">
        <v>4</v>
      </c>
      <c r="E2887" s="8" t="s">
        <v>17199</v>
      </c>
      <c r="F2887" s="7" t="s">
        <v>11535</v>
      </c>
    </row>
    <row r="2888" ht="18" customHeight="1" spans="1:6">
      <c r="A2888" s="13" t="s">
        <v>9220</v>
      </c>
      <c r="B2888" s="13" t="s">
        <v>9500</v>
      </c>
      <c r="C2888" s="13" t="s">
        <v>17200</v>
      </c>
      <c r="D2888" s="13">
        <v>4</v>
      </c>
      <c r="E2888" s="8" t="s">
        <v>17201</v>
      </c>
      <c r="F2888" s="7" t="s">
        <v>11535</v>
      </c>
    </row>
    <row r="2889" ht="18" customHeight="1" spans="1:6">
      <c r="A2889" s="13" t="s">
        <v>9220</v>
      </c>
      <c r="B2889" s="13" t="s">
        <v>9500</v>
      </c>
      <c r="C2889" s="13" t="s">
        <v>17202</v>
      </c>
      <c r="D2889" s="13">
        <v>4</v>
      </c>
      <c r="E2889" s="8" t="s">
        <v>17203</v>
      </c>
      <c r="F2889" s="7" t="s">
        <v>11535</v>
      </c>
    </row>
    <row r="2890" ht="18" customHeight="1" spans="1:6">
      <c r="A2890" s="13" t="s">
        <v>9220</v>
      </c>
      <c r="B2890" s="13" t="s">
        <v>9500</v>
      </c>
      <c r="C2890" s="13" t="s">
        <v>17204</v>
      </c>
      <c r="D2890" s="13">
        <v>5</v>
      </c>
      <c r="E2890" s="8" t="s">
        <v>17205</v>
      </c>
      <c r="F2890" s="7" t="s">
        <v>11535</v>
      </c>
    </row>
    <row r="2891" ht="18" customHeight="1" spans="1:6">
      <c r="A2891" s="13" t="s">
        <v>9220</v>
      </c>
      <c r="B2891" s="13" t="s">
        <v>9500</v>
      </c>
      <c r="C2891" s="13" t="s">
        <v>17206</v>
      </c>
      <c r="D2891" s="13">
        <v>4</v>
      </c>
      <c r="E2891" s="8" t="s">
        <v>17207</v>
      </c>
      <c r="F2891" s="7" t="s">
        <v>11535</v>
      </c>
    </row>
    <row r="2892" ht="18" customHeight="1" spans="1:6">
      <c r="A2892" s="13" t="s">
        <v>9220</v>
      </c>
      <c r="B2892" s="13" t="s">
        <v>9500</v>
      </c>
      <c r="C2892" s="13" t="s">
        <v>17208</v>
      </c>
      <c r="D2892" s="13">
        <v>3</v>
      </c>
      <c r="E2892" s="8" t="s">
        <v>17209</v>
      </c>
      <c r="F2892" s="7" t="s">
        <v>11535</v>
      </c>
    </row>
    <row r="2893" ht="18" customHeight="1" spans="1:6">
      <c r="A2893" s="13" t="s">
        <v>9220</v>
      </c>
      <c r="B2893" s="13" t="s">
        <v>9500</v>
      </c>
      <c r="C2893" s="13" t="s">
        <v>17210</v>
      </c>
      <c r="D2893" s="13">
        <v>3</v>
      </c>
      <c r="E2893" s="8" t="s">
        <v>17211</v>
      </c>
      <c r="F2893" s="7" t="s">
        <v>11535</v>
      </c>
    </row>
    <row r="2894" ht="18" customHeight="1" spans="1:6">
      <c r="A2894" s="13" t="s">
        <v>9220</v>
      </c>
      <c r="B2894" s="13" t="s">
        <v>9500</v>
      </c>
      <c r="C2894" s="13" t="s">
        <v>17212</v>
      </c>
      <c r="D2894" s="13">
        <v>5</v>
      </c>
      <c r="E2894" s="8" t="s">
        <v>17213</v>
      </c>
      <c r="F2894" s="7" t="s">
        <v>11535</v>
      </c>
    </row>
    <row r="2895" ht="18" customHeight="1" spans="1:6">
      <c r="A2895" s="13" t="s">
        <v>9220</v>
      </c>
      <c r="B2895" s="13" t="s">
        <v>9500</v>
      </c>
      <c r="C2895" s="13" t="s">
        <v>17214</v>
      </c>
      <c r="D2895" s="13">
        <v>1</v>
      </c>
      <c r="E2895" s="8" t="s">
        <v>17215</v>
      </c>
      <c r="F2895" s="7" t="s">
        <v>11535</v>
      </c>
    </row>
    <row r="2896" ht="18" customHeight="1" spans="1:6">
      <c r="A2896" s="13" t="s">
        <v>9220</v>
      </c>
      <c r="B2896" s="13" t="s">
        <v>9500</v>
      </c>
      <c r="C2896" s="13" t="s">
        <v>17216</v>
      </c>
      <c r="D2896" s="13">
        <v>4</v>
      </c>
      <c r="E2896" s="79" t="str">
        <f>LEFT("422626195105236714",19)</f>
        <v>422626195105236714</v>
      </c>
      <c r="F2896" s="7" t="s">
        <v>11535</v>
      </c>
    </row>
    <row r="2897" ht="18" customHeight="1" spans="1:6">
      <c r="A2897" s="13" t="s">
        <v>9220</v>
      </c>
      <c r="B2897" s="13" t="s">
        <v>9500</v>
      </c>
      <c r="C2897" s="13" t="s">
        <v>17217</v>
      </c>
      <c r="D2897" s="13">
        <v>1</v>
      </c>
      <c r="E2897" s="8" t="s">
        <v>17218</v>
      </c>
      <c r="F2897" s="7" t="s">
        <v>11535</v>
      </c>
    </row>
    <row r="2898" ht="18" customHeight="1" spans="1:6">
      <c r="A2898" s="13" t="s">
        <v>9220</v>
      </c>
      <c r="B2898" s="13" t="s">
        <v>9500</v>
      </c>
      <c r="C2898" s="13" t="s">
        <v>17219</v>
      </c>
      <c r="D2898" s="13">
        <v>3</v>
      </c>
      <c r="E2898" s="8" t="s">
        <v>17220</v>
      </c>
      <c r="F2898" s="7" t="s">
        <v>11535</v>
      </c>
    </row>
    <row r="2899" ht="18" customHeight="1" spans="1:6">
      <c r="A2899" s="13" t="s">
        <v>9220</v>
      </c>
      <c r="B2899" s="13" t="s">
        <v>9500</v>
      </c>
      <c r="C2899" s="13" t="s">
        <v>17221</v>
      </c>
      <c r="D2899" s="13">
        <v>5</v>
      </c>
      <c r="E2899" s="8" t="s">
        <v>17222</v>
      </c>
      <c r="F2899" s="7" t="s">
        <v>11535</v>
      </c>
    </row>
    <row r="2900" ht="18" customHeight="1" spans="1:6">
      <c r="A2900" s="13" t="s">
        <v>9220</v>
      </c>
      <c r="B2900" s="13" t="s">
        <v>9500</v>
      </c>
      <c r="C2900" s="13" t="s">
        <v>17223</v>
      </c>
      <c r="D2900" s="13">
        <v>3</v>
      </c>
      <c r="E2900" s="8" t="s">
        <v>17224</v>
      </c>
      <c r="F2900" s="7" t="s">
        <v>11535</v>
      </c>
    </row>
    <row r="2901" ht="18" customHeight="1" spans="1:6">
      <c r="A2901" s="13" t="s">
        <v>9220</v>
      </c>
      <c r="B2901" s="13" t="s">
        <v>9500</v>
      </c>
      <c r="C2901" s="13" t="s">
        <v>17225</v>
      </c>
      <c r="D2901" s="13">
        <v>3</v>
      </c>
      <c r="E2901" s="8" t="s">
        <v>17226</v>
      </c>
      <c r="F2901" s="7" t="s">
        <v>11535</v>
      </c>
    </row>
    <row r="2902" ht="18" customHeight="1" spans="1:6">
      <c r="A2902" s="13" t="s">
        <v>9220</v>
      </c>
      <c r="B2902" s="13" t="s">
        <v>9500</v>
      </c>
      <c r="C2902" s="13" t="s">
        <v>17227</v>
      </c>
      <c r="D2902" s="13">
        <v>4</v>
      </c>
      <c r="E2902" s="8" t="s">
        <v>17228</v>
      </c>
      <c r="F2902" s="7" t="s">
        <v>11535</v>
      </c>
    </row>
    <row r="2903" ht="18" customHeight="1" spans="1:6">
      <c r="A2903" s="13" t="s">
        <v>9220</v>
      </c>
      <c r="B2903" s="13" t="s">
        <v>9500</v>
      </c>
      <c r="C2903" s="13" t="s">
        <v>17229</v>
      </c>
      <c r="D2903" s="13">
        <v>2</v>
      </c>
      <c r="E2903" s="8" t="s">
        <v>17230</v>
      </c>
      <c r="F2903" s="7" t="s">
        <v>11535</v>
      </c>
    </row>
    <row r="2904" ht="18" customHeight="1" spans="1:6">
      <c r="A2904" s="13" t="s">
        <v>9220</v>
      </c>
      <c r="B2904" s="13" t="s">
        <v>9500</v>
      </c>
      <c r="C2904" s="13" t="s">
        <v>17231</v>
      </c>
      <c r="D2904" s="13">
        <v>1</v>
      </c>
      <c r="E2904" s="8" t="s">
        <v>17232</v>
      </c>
      <c r="F2904" s="7" t="s">
        <v>11535</v>
      </c>
    </row>
    <row r="2905" ht="18" customHeight="1" spans="1:6">
      <c r="A2905" s="13" t="s">
        <v>9220</v>
      </c>
      <c r="B2905" s="13" t="s">
        <v>9500</v>
      </c>
      <c r="C2905" s="13" t="s">
        <v>17233</v>
      </c>
      <c r="D2905" s="13">
        <v>3</v>
      </c>
      <c r="E2905" s="8" t="s">
        <v>17234</v>
      </c>
      <c r="F2905" s="7" t="s">
        <v>11535</v>
      </c>
    </row>
    <row r="2906" ht="18" customHeight="1" spans="1:6">
      <c r="A2906" s="13" t="s">
        <v>9220</v>
      </c>
      <c r="B2906" s="13" t="s">
        <v>9500</v>
      </c>
      <c r="C2906" s="13" t="s">
        <v>17235</v>
      </c>
      <c r="D2906" s="13">
        <v>2</v>
      </c>
      <c r="E2906" s="8" t="s">
        <v>17236</v>
      </c>
      <c r="F2906" s="7" t="s">
        <v>11535</v>
      </c>
    </row>
    <row r="2907" ht="18" customHeight="1" spans="1:6">
      <c r="A2907" s="13" t="s">
        <v>9220</v>
      </c>
      <c r="B2907" s="13" t="s">
        <v>9500</v>
      </c>
      <c r="C2907" s="13" t="s">
        <v>7470</v>
      </c>
      <c r="D2907" s="13">
        <v>1</v>
      </c>
      <c r="E2907" s="8" t="s">
        <v>17237</v>
      </c>
      <c r="F2907" s="7" t="s">
        <v>11535</v>
      </c>
    </row>
    <row r="2908" ht="18" customHeight="1" spans="1:6">
      <c r="A2908" s="13" t="s">
        <v>9220</v>
      </c>
      <c r="B2908" s="13" t="s">
        <v>9500</v>
      </c>
      <c r="C2908" s="13" t="s">
        <v>17238</v>
      </c>
      <c r="D2908" s="13">
        <v>3</v>
      </c>
      <c r="E2908" s="79" t="str">
        <f>LEFT("422626197202266711",19)</f>
        <v>422626197202266711</v>
      </c>
      <c r="F2908" s="7" t="s">
        <v>11535</v>
      </c>
    </row>
    <row r="2909" ht="18" customHeight="1" spans="1:6">
      <c r="A2909" s="13" t="s">
        <v>9220</v>
      </c>
      <c r="B2909" s="13" t="s">
        <v>9500</v>
      </c>
      <c r="C2909" s="13" t="s">
        <v>17239</v>
      </c>
      <c r="D2909" s="13">
        <v>1</v>
      </c>
      <c r="E2909" s="79" t="str">
        <f>LEFT("422626195507146738",19)</f>
        <v>422626195507146738</v>
      </c>
      <c r="F2909" s="7" t="s">
        <v>11535</v>
      </c>
    </row>
    <row r="2910" ht="18" customHeight="1" spans="1:6">
      <c r="A2910" s="13" t="s">
        <v>9220</v>
      </c>
      <c r="B2910" s="13" t="s">
        <v>9500</v>
      </c>
      <c r="C2910" s="13" t="s">
        <v>17240</v>
      </c>
      <c r="D2910" s="13">
        <v>4</v>
      </c>
      <c r="E2910" s="79" t="str">
        <f>LEFT("422626195105236714",19)</f>
        <v>422626195105236714</v>
      </c>
      <c r="F2910" s="7" t="s">
        <v>11535</v>
      </c>
    </row>
    <row r="2911" ht="18" customHeight="1" spans="1:6">
      <c r="A2911" s="13" t="s">
        <v>9220</v>
      </c>
      <c r="B2911" s="13" t="s">
        <v>9500</v>
      </c>
      <c r="C2911" s="13" t="s">
        <v>17241</v>
      </c>
      <c r="D2911" s="13">
        <v>1</v>
      </c>
      <c r="E2911" s="79" t="str">
        <f>LEFT("422626196612316713",19)</f>
        <v>422626196612316713</v>
      </c>
      <c r="F2911" s="7" t="s">
        <v>11535</v>
      </c>
    </row>
    <row r="2912" ht="18" customHeight="1" spans="1:6">
      <c r="A2912" s="13" t="s">
        <v>9220</v>
      </c>
      <c r="B2912" s="13" t="s">
        <v>9500</v>
      </c>
      <c r="C2912" s="13" t="s">
        <v>17188</v>
      </c>
      <c r="D2912" s="13">
        <v>2</v>
      </c>
      <c r="E2912" s="79" t="str">
        <f>LEFT("422626195009136748",19)</f>
        <v>422626195009136748</v>
      </c>
      <c r="F2912" s="7" t="s">
        <v>11535</v>
      </c>
    </row>
    <row r="2913" ht="18" customHeight="1" spans="1:6">
      <c r="A2913" s="13" t="s">
        <v>9220</v>
      </c>
      <c r="B2913" s="13" t="s">
        <v>9500</v>
      </c>
      <c r="C2913" s="13" t="s">
        <v>9503</v>
      </c>
      <c r="D2913" s="13">
        <v>5</v>
      </c>
      <c r="E2913" s="79" t="str">
        <f>LEFT("422626196202086716",19)</f>
        <v>422626196202086716</v>
      </c>
      <c r="F2913" s="7" t="s">
        <v>11535</v>
      </c>
    </row>
    <row r="2914" ht="18" customHeight="1" spans="1:6">
      <c r="A2914" s="13" t="s">
        <v>9220</v>
      </c>
      <c r="B2914" s="13" t="s">
        <v>9500</v>
      </c>
      <c r="C2914" s="13" t="s">
        <v>17242</v>
      </c>
      <c r="D2914" s="13">
        <v>3</v>
      </c>
      <c r="E2914" s="79" t="str">
        <f>LEFT("422626197203086712",19)</f>
        <v>422626197203086712</v>
      </c>
      <c r="F2914" s="7" t="s">
        <v>11535</v>
      </c>
    </row>
    <row r="2915" ht="18" customHeight="1" spans="1:6">
      <c r="A2915" s="13" t="s">
        <v>9220</v>
      </c>
      <c r="B2915" s="13" t="s">
        <v>9500</v>
      </c>
      <c r="C2915" s="13" t="s">
        <v>17243</v>
      </c>
      <c r="D2915" s="13">
        <v>2</v>
      </c>
      <c r="E2915" s="8" t="s">
        <v>17244</v>
      </c>
      <c r="F2915" s="7" t="s">
        <v>11535</v>
      </c>
    </row>
    <row r="2916" ht="18" customHeight="1" spans="1:6">
      <c r="A2916" s="13" t="s">
        <v>9220</v>
      </c>
      <c r="B2916" s="13" t="s">
        <v>9500</v>
      </c>
      <c r="C2916" s="13" t="s">
        <v>17245</v>
      </c>
      <c r="D2916" s="13">
        <v>3</v>
      </c>
      <c r="E2916" s="8" t="s">
        <v>17246</v>
      </c>
      <c r="F2916" s="7" t="s">
        <v>11535</v>
      </c>
    </row>
    <row r="2917" ht="18" customHeight="1" spans="1:6">
      <c r="A2917" s="13" t="s">
        <v>9220</v>
      </c>
      <c r="B2917" s="13" t="s">
        <v>4335</v>
      </c>
      <c r="C2917" s="13" t="s">
        <v>17247</v>
      </c>
      <c r="D2917" s="14">
        <v>4</v>
      </c>
      <c r="E2917" s="13" t="s">
        <v>17138</v>
      </c>
      <c r="F2917" s="7" t="s">
        <v>11535</v>
      </c>
    </row>
    <row r="2918" ht="18" customHeight="1" spans="1:6">
      <c r="A2918" s="13" t="s">
        <v>9220</v>
      </c>
      <c r="B2918" s="13" t="s">
        <v>4335</v>
      </c>
      <c r="C2918" s="13" t="s">
        <v>6847</v>
      </c>
      <c r="D2918" s="14">
        <v>3</v>
      </c>
      <c r="E2918" s="13" t="s">
        <v>17140</v>
      </c>
      <c r="F2918" s="7" t="s">
        <v>11535</v>
      </c>
    </row>
    <row r="2919" ht="18" customHeight="1" spans="1:6">
      <c r="A2919" s="13" t="s">
        <v>9220</v>
      </c>
      <c r="B2919" s="13" t="s">
        <v>4335</v>
      </c>
      <c r="C2919" s="13" t="s">
        <v>17248</v>
      </c>
      <c r="D2919" s="14">
        <v>3</v>
      </c>
      <c r="E2919" s="13" t="s">
        <v>17142</v>
      </c>
      <c r="F2919" s="7" t="s">
        <v>11535</v>
      </c>
    </row>
    <row r="2920" ht="18" customHeight="1" spans="1:6">
      <c r="A2920" s="13" t="s">
        <v>9220</v>
      </c>
      <c r="B2920" s="13" t="s">
        <v>4335</v>
      </c>
      <c r="C2920" s="13" t="s">
        <v>17249</v>
      </c>
      <c r="D2920" s="14">
        <v>3</v>
      </c>
      <c r="E2920" s="13" t="s">
        <v>17144</v>
      </c>
      <c r="F2920" s="7" t="s">
        <v>11535</v>
      </c>
    </row>
    <row r="2921" ht="18" customHeight="1" spans="1:6">
      <c r="A2921" s="13" t="s">
        <v>9220</v>
      </c>
      <c r="B2921" s="13" t="s">
        <v>4335</v>
      </c>
      <c r="C2921" s="13" t="s">
        <v>17250</v>
      </c>
      <c r="D2921" s="14">
        <v>4</v>
      </c>
      <c r="E2921" s="13" t="s">
        <v>17146</v>
      </c>
      <c r="F2921" s="7" t="s">
        <v>11535</v>
      </c>
    </row>
    <row r="2922" ht="18" customHeight="1" spans="1:6">
      <c r="A2922" s="13" t="s">
        <v>9220</v>
      </c>
      <c r="B2922" s="13" t="s">
        <v>4335</v>
      </c>
      <c r="C2922" s="13" t="s">
        <v>17251</v>
      </c>
      <c r="D2922" s="14">
        <v>3</v>
      </c>
      <c r="E2922" s="13" t="s">
        <v>17147</v>
      </c>
      <c r="F2922" s="7" t="s">
        <v>11535</v>
      </c>
    </row>
    <row r="2923" ht="18" customHeight="1" spans="1:6">
      <c r="A2923" s="13" t="s">
        <v>9220</v>
      </c>
      <c r="B2923" s="13" t="s">
        <v>4335</v>
      </c>
      <c r="C2923" s="13" t="s">
        <v>17252</v>
      </c>
      <c r="D2923" s="14">
        <v>3</v>
      </c>
      <c r="E2923" s="13" t="s">
        <v>17149</v>
      </c>
      <c r="F2923" s="7" t="s">
        <v>11535</v>
      </c>
    </row>
    <row r="2924" ht="18" customHeight="1" spans="1:6">
      <c r="A2924" s="13" t="s">
        <v>9220</v>
      </c>
      <c r="B2924" s="13" t="s">
        <v>4335</v>
      </c>
      <c r="C2924" s="13" t="s">
        <v>10682</v>
      </c>
      <c r="D2924" s="14">
        <v>4</v>
      </c>
      <c r="E2924" s="13" t="s">
        <v>17151</v>
      </c>
      <c r="F2924" s="7" t="s">
        <v>11535</v>
      </c>
    </row>
    <row r="2925" ht="18" customHeight="1" spans="1:6">
      <c r="A2925" s="13" t="s">
        <v>9220</v>
      </c>
      <c r="B2925" s="13" t="s">
        <v>4335</v>
      </c>
      <c r="C2925" s="13" t="s">
        <v>17253</v>
      </c>
      <c r="D2925" s="14">
        <v>3</v>
      </c>
      <c r="E2925" s="13" t="s">
        <v>17153</v>
      </c>
      <c r="F2925" s="7" t="s">
        <v>11535</v>
      </c>
    </row>
    <row r="2926" ht="18" customHeight="1" spans="1:6">
      <c r="A2926" s="13" t="s">
        <v>9220</v>
      </c>
      <c r="B2926" s="13" t="s">
        <v>4335</v>
      </c>
      <c r="C2926" s="13" t="s">
        <v>17254</v>
      </c>
      <c r="D2926" s="14">
        <v>4</v>
      </c>
      <c r="E2926" s="13" t="s">
        <v>17155</v>
      </c>
      <c r="F2926" s="7" t="s">
        <v>11535</v>
      </c>
    </row>
    <row r="2927" ht="18" customHeight="1" spans="1:6">
      <c r="A2927" s="13" t="s">
        <v>9220</v>
      </c>
      <c r="B2927" s="13" t="s">
        <v>4335</v>
      </c>
      <c r="C2927" s="13" t="s">
        <v>17255</v>
      </c>
      <c r="D2927" s="14">
        <v>6</v>
      </c>
      <c r="E2927" s="13" t="s">
        <v>17157</v>
      </c>
      <c r="F2927" s="7" t="s">
        <v>11535</v>
      </c>
    </row>
    <row r="2928" ht="18" customHeight="1" spans="1:6">
      <c r="A2928" s="13" t="s">
        <v>9220</v>
      </c>
      <c r="B2928" s="13" t="s">
        <v>4335</v>
      </c>
      <c r="C2928" s="13" t="s">
        <v>17256</v>
      </c>
      <c r="D2928" s="14">
        <v>3</v>
      </c>
      <c r="E2928" s="13" t="s">
        <v>17257</v>
      </c>
      <c r="F2928" s="7" t="s">
        <v>11535</v>
      </c>
    </row>
    <row r="2929" ht="18" customHeight="1" spans="1:6">
      <c r="A2929" s="13" t="s">
        <v>9220</v>
      </c>
      <c r="B2929" s="13" t="s">
        <v>4335</v>
      </c>
      <c r="C2929" s="13" t="s">
        <v>17258</v>
      </c>
      <c r="D2929" s="14">
        <v>3</v>
      </c>
      <c r="E2929" s="13" t="s">
        <v>17259</v>
      </c>
      <c r="F2929" s="7" t="s">
        <v>11535</v>
      </c>
    </row>
    <row r="2930" ht="18" customHeight="1" spans="1:6">
      <c r="A2930" s="13" t="s">
        <v>9220</v>
      </c>
      <c r="B2930" s="13" t="s">
        <v>4335</v>
      </c>
      <c r="C2930" s="13" t="s">
        <v>17260</v>
      </c>
      <c r="D2930" s="14">
        <v>4</v>
      </c>
      <c r="E2930" s="13" t="s">
        <v>17261</v>
      </c>
      <c r="F2930" s="7" t="s">
        <v>11535</v>
      </c>
    </row>
    <row r="2931" ht="18" customHeight="1" spans="1:6">
      <c r="A2931" s="13" t="s">
        <v>9220</v>
      </c>
      <c r="B2931" s="13" t="s">
        <v>4335</v>
      </c>
      <c r="C2931" s="13" t="s">
        <v>17262</v>
      </c>
      <c r="D2931" s="14">
        <v>4</v>
      </c>
      <c r="E2931" s="13" t="s">
        <v>17263</v>
      </c>
      <c r="F2931" s="7" t="s">
        <v>11535</v>
      </c>
    </row>
    <row r="2932" ht="18" customHeight="1" spans="1:6">
      <c r="A2932" s="13" t="s">
        <v>9220</v>
      </c>
      <c r="B2932" s="13" t="s">
        <v>4335</v>
      </c>
      <c r="C2932" s="13" t="s">
        <v>17264</v>
      </c>
      <c r="D2932" s="14">
        <v>2</v>
      </c>
      <c r="E2932" s="13" t="s">
        <v>17265</v>
      </c>
      <c r="F2932" s="7" t="s">
        <v>11535</v>
      </c>
    </row>
    <row r="2933" ht="18" customHeight="1" spans="1:6">
      <c r="A2933" s="13" t="s">
        <v>9220</v>
      </c>
      <c r="B2933" s="13" t="s">
        <v>4335</v>
      </c>
      <c r="C2933" s="13" t="s">
        <v>17266</v>
      </c>
      <c r="D2933" s="14">
        <v>5</v>
      </c>
      <c r="E2933" s="13" t="s">
        <v>17267</v>
      </c>
      <c r="F2933" s="7" t="s">
        <v>11535</v>
      </c>
    </row>
    <row r="2934" ht="18" customHeight="1" spans="1:6">
      <c r="A2934" s="13" t="s">
        <v>9220</v>
      </c>
      <c r="B2934" s="13" t="s">
        <v>4335</v>
      </c>
      <c r="C2934" s="13" t="s">
        <v>17268</v>
      </c>
      <c r="D2934" s="14">
        <v>2</v>
      </c>
      <c r="E2934" s="13" t="s">
        <v>17269</v>
      </c>
      <c r="F2934" s="7" t="s">
        <v>11535</v>
      </c>
    </row>
    <row r="2935" ht="18" customHeight="1" spans="1:6">
      <c r="A2935" s="13" t="s">
        <v>9220</v>
      </c>
      <c r="B2935" s="13" t="s">
        <v>4335</v>
      </c>
      <c r="C2935" s="13" t="s">
        <v>17270</v>
      </c>
      <c r="D2935" s="14">
        <v>4</v>
      </c>
      <c r="E2935" s="13" t="s">
        <v>17271</v>
      </c>
      <c r="F2935" s="7" t="s">
        <v>11535</v>
      </c>
    </row>
    <row r="2936" ht="18" customHeight="1" spans="1:6">
      <c r="A2936" s="13" t="s">
        <v>9220</v>
      </c>
      <c r="B2936" s="13" t="s">
        <v>4335</v>
      </c>
      <c r="C2936" s="13" t="s">
        <v>17272</v>
      </c>
      <c r="D2936" s="14">
        <v>4</v>
      </c>
      <c r="E2936" s="13" t="s">
        <v>17273</v>
      </c>
      <c r="F2936" s="7" t="s">
        <v>11535</v>
      </c>
    </row>
    <row r="2937" ht="18" customHeight="1" spans="1:6">
      <c r="A2937" s="13" t="s">
        <v>9220</v>
      </c>
      <c r="B2937" s="13" t="s">
        <v>4335</v>
      </c>
      <c r="C2937" s="13" t="s">
        <v>17274</v>
      </c>
      <c r="D2937" s="14">
        <v>4</v>
      </c>
      <c r="E2937" s="13" t="s">
        <v>17275</v>
      </c>
      <c r="F2937" s="7" t="s">
        <v>11535</v>
      </c>
    </row>
    <row r="2938" ht="18" customHeight="1" spans="1:6">
      <c r="A2938" s="13" t="s">
        <v>9220</v>
      </c>
      <c r="B2938" s="13" t="s">
        <v>4335</v>
      </c>
      <c r="C2938" s="13" t="s">
        <v>17276</v>
      </c>
      <c r="D2938" s="14">
        <v>2</v>
      </c>
      <c r="E2938" s="13" t="s">
        <v>17277</v>
      </c>
      <c r="F2938" s="7" t="s">
        <v>11535</v>
      </c>
    </row>
    <row r="2939" ht="18" customHeight="1" spans="1:6">
      <c r="A2939" s="13" t="s">
        <v>9220</v>
      </c>
      <c r="B2939" s="13" t="s">
        <v>4335</v>
      </c>
      <c r="C2939" s="13" t="s">
        <v>17278</v>
      </c>
      <c r="D2939" s="14">
        <v>3</v>
      </c>
      <c r="E2939" s="13" t="s">
        <v>17279</v>
      </c>
      <c r="F2939" s="7" t="s">
        <v>11535</v>
      </c>
    </row>
    <row r="2940" ht="18" customHeight="1" spans="1:6">
      <c r="A2940" s="13" t="s">
        <v>9220</v>
      </c>
      <c r="B2940" s="13" t="s">
        <v>4335</v>
      </c>
      <c r="C2940" s="13" t="s">
        <v>17280</v>
      </c>
      <c r="D2940" s="14">
        <v>5</v>
      </c>
      <c r="E2940" s="13" t="s">
        <v>17281</v>
      </c>
      <c r="F2940" s="7" t="s">
        <v>11535</v>
      </c>
    </row>
    <row r="2941" ht="18" customHeight="1" spans="1:6">
      <c r="A2941" s="13" t="s">
        <v>9220</v>
      </c>
      <c r="B2941" s="13" t="s">
        <v>4335</v>
      </c>
      <c r="C2941" s="13" t="s">
        <v>17282</v>
      </c>
      <c r="D2941" s="14">
        <v>4</v>
      </c>
      <c r="E2941" s="13" t="s">
        <v>17283</v>
      </c>
      <c r="F2941" s="7" t="s">
        <v>11535</v>
      </c>
    </row>
    <row r="2942" ht="18" customHeight="1" spans="1:6">
      <c r="A2942" s="13" t="s">
        <v>9220</v>
      </c>
      <c r="B2942" s="13" t="s">
        <v>4335</v>
      </c>
      <c r="C2942" s="13" t="s">
        <v>17284</v>
      </c>
      <c r="D2942" s="14">
        <v>3</v>
      </c>
      <c r="E2942" s="13" t="s">
        <v>17285</v>
      </c>
      <c r="F2942" s="7" t="s">
        <v>11535</v>
      </c>
    </row>
    <row r="2943" ht="18" customHeight="1" spans="1:6">
      <c r="A2943" s="13" t="s">
        <v>9220</v>
      </c>
      <c r="B2943" s="13" t="s">
        <v>4335</v>
      </c>
      <c r="C2943" s="13" t="s">
        <v>17286</v>
      </c>
      <c r="D2943" s="14">
        <v>4</v>
      </c>
      <c r="E2943" s="13" t="s">
        <v>17287</v>
      </c>
      <c r="F2943" s="7" t="s">
        <v>11535</v>
      </c>
    </row>
    <row r="2944" ht="18" customHeight="1" spans="1:6">
      <c r="A2944" s="13" t="s">
        <v>9220</v>
      </c>
      <c r="B2944" s="13" t="s">
        <v>4335</v>
      </c>
      <c r="C2944" s="13" t="s">
        <v>17288</v>
      </c>
      <c r="D2944" s="14">
        <v>5</v>
      </c>
      <c r="E2944" s="13" t="s">
        <v>17289</v>
      </c>
      <c r="F2944" s="7" t="s">
        <v>11535</v>
      </c>
    </row>
    <row r="2945" ht="18" customHeight="1" spans="1:6">
      <c r="A2945" s="13" t="s">
        <v>9220</v>
      </c>
      <c r="B2945" s="13" t="s">
        <v>4335</v>
      </c>
      <c r="C2945" s="13" t="s">
        <v>17290</v>
      </c>
      <c r="D2945" s="14">
        <v>4</v>
      </c>
      <c r="E2945" s="13" t="s">
        <v>17291</v>
      </c>
      <c r="F2945" s="7" t="s">
        <v>11535</v>
      </c>
    </row>
    <row r="2946" ht="18" customHeight="1" spans="1:6">
      <c r="A2946" s="13" t="s">
        <v>9220</v>
      </c>
      <c r="B2946" s="13" t="s">
        <v>4335</v>
      </c>
      <c r="C2946" s="13" t="s">
        <v>17223</v>
      </c>
      <c r="D2946" s="14">
        <v>4</v>
      </c>
      <c r="E2946" s="13" t="s">
        <v>17292</v>
      </c>
      <c r="F2946" s="7" t="s">
        <v>11535</v>
      </c>
    </row>
    <row r="2947" ht="18" customHeight="1" spans="1:6">
      <c r="A2947" s="13" t="s">
        <v>9220</v>
      </c>
      <c r="B2947" s="13" t="s">
        <v>4335</v>
      </c>
      <c r="C2947" s="13" t="s">
        <v>17293</v>
      </c>
      <c r="D2947" s="14">
        <v>5</v>
      </c>
      <c r="E2947" s="13" t="s">
        <v>17294</v>
      </c>
      <c r="F2947" s="7" t="s">
        <v>11535</v>
      </c>
    </row>
    <row r="2948" ht="18" customHeight="1" spans="1:6">
      <c r="A2948" s="13" t="s">
        <v>9220</v>
      </c>
      <c r="B2948" s="13" t="s">
        <v>4335</v>
      </c>
      <c r="C2948" s="13" t="s">
        <v>17295</v>
      </c>
      <c r="D2948" s="14">
        <v>3</v>
      </c>
      <c r="E2948" s="13" t="s">
        <v>17296</v>
      </c>
      <c r="F2948" s="7" t="s">
        <v>11535</v>
      </c>
    </row>
    <row r="2949" ht="18" customHeight="1" spans="1:6">
      <c r="A2949" s="13" t="s">
        <v>9220</v>
      </c>
      <c r="B2949" s="13" t="s">
        <v>4335</v>
      </c>
      <c r="C2949" s="13" t="s">
        <v>17297</v>
      </c>
      <c r="D2949" s="14">
        <v>4</v>
      </c>
      <c r="E2949" s="13" t="s">
        <v>17298</v>
      </c>
      <c r="F2949" s="7" t="s">
        <v>11535</v>
      </c>
    </row>
    <row r="2950" ht="18" customHeight="1" spans="1:6">
      <c r="A2950" s="13" t="s">
        <v>9220</v>
      </c>
      <c r="B2950" s="13" t="s">
        <v>4335</v>
      </c>
      <c r="C2950" s="13" t="s">
        <v>17299</v>
      </c>
      <c r="D2950" s="14">
        <v>3</v>
      </c>
      <c r="E2950" s="13" t="s">
        <v>17300</v>
      </c>
      <c r="F2950" s="7" t="s">
        <v>11535</v>
      </c>
    </row>
    <row r="2951" ht="18" customHeight="1" spans="1:6">
      <c r="A2951" s="13" t="s">
        <v>9220</v>
      </c>
      <c r="B2951" s="13" t="s">
        <v>4335</v>
      </c>
      <c r="C2951" s="13" t="s">
        <v>17301</v>
      </c>
      <c r="D2951" s="14">
        <v>3</v>
      </c>
      <c r="E2951" s="13" t="s">
        <v>17302</v>
      </c>
      <c r="F2951" s="7" t="s">
        <v>11535</v>
      </c>
    </row>
    <row r="2952" ht="18" customHeight="1" spans="1:6">
      <c r="A2952" s="13" t="s">
        <v>9220</v>
      </c>
      <c r="B2952" s="13" t="s">
        <v>4335</v>
      </c>
      <c r="C2952" s="13" t="s">
        <v>17303</v>
      </c>
      <c r="D2952" s="14">
        <v>4</v>
      </c>
      <c r="E2952" s="13" t="s">
        <v>17304</v>
      </c>
      <c r="F2952" s="7" t="s">
        <v>11535</v>
      </c>
    </row>
    <row r="2953" ht="18" customHeight="1" spans="1:6">
      <c r="A2953" s="13" t="s">
        <v>9220</v>
      </c>
      <c r="B2953" s="13" t="s">
        <v>4335</v>
      </c>
      <c r="C2953" s="13" t="s">
        <v>17305</v>
      </c>
      <c r="D2953" s="14">
        <v>3</v>
      </c>
      <c r="E2953" s="13" t="s">
        <v>17306</v>
      </c>
      <c r="F2953" s="7" t="s">
        <v>11535</v>
      </c>
    </row>
    <row r="2954" ht="18" customHeight="1" spans="1:6">
      <c r="A2954" s="13" t="s">
        <v>9220</v>
      </c>
      <c r="B2954" s="13" t="s">
        <v>4335</v>
      </c>
      <c r="C2954" s="13" t="s">
        <v>17307</v>
      </c>
      <c r="D2954" s="14">
        <v>3</v>
      </c>
      <c r="E2954" s="13" t="s">
        <v>17308</v>
      </c>
      <c r="F2954" s="7" t="s">
        <v>11535</v>
      </c>
    </row>
    <row r="2955" ht="18" customHeight="1" spans="1:6">
      <c r="A2955" s="13" t="s">
        <v>9220</v>
      </c>
      <c r="B2955" s="13" t="s">
        <v>4335</v>
      </c>
      <c r="C2955" s="13" t="s">
        <v>17309</v>
      </c>
      <c r="D2955" s="14">
        <v>4</v>
      </c>
      <c r="E2955" s="13" t="s">
        <v>17310</v>
      </c>
      <c r="F2955" s="7" t="s">
        <v>11535</v>
      </c>
    </row>
    <row r="2956" ht="18" customHeight="1" spans="1:6">
      <c r="A2956" s="13" t="s">
        <v>9220</v>
      </c>
      <c r="B2956" s="13" t="s">
        <v>4335</v>
      </c>
      <c r="C2956" s="13" t="s">
        <v>9095</v>
      </c>
      <c r="D2956" s="14">
        <v>3</v>
      </c>
      <c r="E2956" s="13" t="s">
        <v>17311</v>
      </c>
      <c r="F2956" s="7" t="s">
        <v>11535</v>
      </c>
    </row>
    <row r="2957" ht="18" customHeight="1" spans="1:6">
      <c r="A2957" s="13" t="s">
        <v>9220</v>
      </c>
      <c r="B2957" s="13" t="s">
        <v>4335</v>
      </c>
      <c r="C2957" s="13" t="s">
        <v>1708</v>
      </c>
      <c r="D2957" s="14">
        <v>5</v>
      </c>
      <c r="E2957" s="13" t="s">
        <v>17312</v>
      </c>
      <c r="F2957" s="7" t="s">
        <v>11535</v>
      </c>
    </row>
    <row r="2958" ht="18" customHeight="1" spans="1:6">
      <c r="A2958" s="13" t="s">
        <v>9220</v>
      </c>
      <c r="B2958" s="13" t="s">
        <v>4335</v>
      </c>
      <c r="C2958" s="13" t="s">
        <v>17313</v>
      </c>
      <c r="D2958" s="14">
        <v>4</v>
      </c>
      <c r="E2958" s="14" t="s">
        <v>17314</v>
      </c>
      <c r="F2958" s="7" t="s">
        <v>11535</v>
      </c>
    </row>
    <row r="2959" ht="18" customHeight="1" spans="1:6">
      <c r="A2959" s="13" t="s">
        <v>9220</v>
      </c>
      <c r="B2959" s="13" t="s">
        <v>4335</v>
      </c>
      <c r="C2959" s="13" t="s">
        <v>17315</v>
      </c>
      <c r="D2959" s="14">
        <v>4</v>
      </c>
      <c r="E2959" s="14" t="s">
        <v>17316</v>
      </c>
      <c r="F2959" s="7" t="s">
        <v>11535</v>
      </c>
    </row>
    <row r="2960" ht="18" customHeight="1" spans="1:6">
      <c r="A2960" s="13" t="s">
        <v>9220</v>
      </c>
      <c r="B2960" s="13" t="s">
        <v>4335</v>
      </c>
      <c r="C2960" s="13" t="s">
        <v>17317</v>
      </c>
      <c r="D2960" s="14">
        <v>3</v>
      </c>
      <c r="E2960" s="13" t="s">
        <v>17318</v>
      </c>
      <c r="F2960" s="7" t="s">
        <v>11535</v>
      </c>
    </row>
    <row r="2961" ht="18" customHeight="1" spans="1:6">
      <c r="A2961" s="13" t="s">
        <v>9220</v>
      </c>
      <c r="B2961" s="13" t="s">
        <v>4335</v>
      </c>
      <c r="C2961" s="13" t="s">
        <v>17319</v>
      </c>
      <c r="D2961" s="14">
        <v>3</v>
      </c>
      <c r="E2961" s="13" t="s">
        <v>17320</v>
      </c>
      <c r="F2961" s="7" t="s">
        <v>11535</v>
      </c>
    </row>
    <row r="2962" ht="18" customHeight="1" spans="1:6">
      <c r="A2962" s="13" t="s">
        <v>9220</v>
      </c>
      <c r="B2962" s="13" t="s">
        <v>4335</v>
      </c>
      <c r="C2962" s="13" t="s">
        <v>17321</v>
      </c>
      <c r="D2962" s="14">
        <v>3</v>
      </c>
      <c r="E2962" s="13" t="s">
        <v>17322</v>
      </c>
      <c r="F2962" s="7" t="s">
        <v>11535</v>
      </c>
    </row>
    <row r="2963" ht="18" customHeight="1" spans="1:6">
      <c r="A2963" s="13" t="s">
        <v>9220</v>
      </c>
      <c r="B2963" s="13" t="s">
        <v>4335</v>
      </c>
      <c r="C2963" s="13" t="s">
        <v>17323</v>
      </c>
      <c r="D2963" s="14">
        <v>6</v>
      </c>
      <c r="E2963" s="13" t="s">
        <v>17324</v>
      </c>
      <c r="F2963" s="7" t="s">
        <v>11535</v>
      </c>
    </row>
    <row r="2964" ht="18" customHeight="1" spans="1:6">
      <c r="A2964" s="13" t="s">
        <v>9220</v>
      </c>
      <c r="B2964" s="13" t="s">
        <v>4335</v>
      </c>
      <c r="C2964" s="19" t="s">
        <v>17325</v>
      </c>
      <c r="D2964" s="19">
        <v>3</v>
      </c>
      <c r="E2964" s="9" t="s">
        <v>17326</v>
      </c>
      <c r="F2964" s="7" t="s">
        <v>11535</v>
      </c>
    </row>
    <row r="2965" ht="18" customHeight="1" spans="1:6">
      <c r="A2965" s="13" t="s">
        <v>9220</v>
      </c>
      <c r="B2965" s="13" t="s">
        <v>17327</v>
      </c>
      <c r="C2965" s="13" t="s">
        <v>17328</v>
      </c>
      <c r="D2965" s="14">
        <v>2</v>
      </c>
      <c r="E2965" s="13" t="s">
        <v>17329</v>
      </c>
      <c r="F2965" s="7" t="s">
        <v>11535</v>
      </c>
    </row>
    <row r="2966" ht="18" customHeight="1" spans="1:6">
      <c r="A2966" s="13" t="s">
        <v>9220</v>
      </c>
      <c r="B2966" s="13" t="s">
        <v>17327</v>
      </c>
      <c r="C2966" s="13" t="s">
        <v>17330</v>
      </c>
      <c r="D2966" s="14">
        <v>4</v>
      </c>
      <c r="E2966" s="13" t="s">
        <v>17331</v>
      </c>
      <c r="F2966" s="7" t="s">
        <v>11535</v>
      </c>
    </row>
    <row r="2967" ht="18" customHeight="1" spans="1:6">
      <c r="A2967" s="13" t="s">
        <v>9220</v>
      </c>
      <c r="B2967" s="13" t="s">
        <v>17327</v>
      </c>
      <c r="C2967" s="13" t="s">
        <v>17332</v>
      </c>
      <c r="D2967" s="14">
        <v>4</v>
      </c>
      <c r="E2967" s="13" t="s">
        <v>17333</v>
      </c>
      <c r="F2967" s="7" t="s">
        <v>11535</v>
      </c>
    </row>
    <row r="2968" ht="18" customHeight="1" spans="1:6">
      <c r="A2968" s="13" t="s">
        <v>9220</v>
      </c>
      <c r="B2968" s="13" t="s">
        <v>17327</v>
      </c>
      <c r="C2968" s="13" t="s">
        <v>17334</v>
      </c>
      <c r="D2968" s="14">
        <v>3</v>
      </c>
      <c r="E2968" s="13" t="s">
        <v>17335</v>
      </c>
      <c r="F2968" s="7" t="s">
        <v>11535</v>
      </c>
    </row>
    <row r="2969" ht="18" customHeight="1" spans="1:6">
      <c r="A2969" s="13" t="s">
        <v>9220</v>
      </c>
      <c r="B2969" s="13" t="s">
        <v>17327</v>
      </c>
      <c r="C2969" s="13" t="s">
        <v>17336</v>
      </c>
      <c r="D2969" s="14">
        <v>3</v>
      </c>
      <c r="E2969" s="13" t="s">
        <v>17337</v>
      </c>
      <c r="F2969" s="7" t="s">
        <v>11535</v>
      </c>
    </row>
    <row r="2970" ht="18" customHeight="1" spans="1:6">
      <c r="A2970" s="13" t="s">
        <v>9220</v>
      </c>
      <c r="B2970" s="13" t="s">
        <v>17327</v>
      </c>
      <c r="C2970" s="13" t="s">
        <v>17338</v>
      </c>
      <c r="D2970" s="14">
        <v>6</v>
      </c>
      <c r="E2970" s="13" t="s">
        <v>17339</v>
      </c>
      <c r="F2970" s="7" t="s">
        <v>11535</v>
      </c>
    </row>
    <row r="2971" ht="18" customHeight="1" spans="1:6">
      <c r="A2971" s="13" t="s">
        <v>9220</v>
      </c>
      <c r="B2971" s="13" t="s">
        <v>17327</v>
      </c>
      <c r="C2971" s="13" t="s">
        <v>17340</v>
      </c>
      <c r="D2971" s="14">
        <v>4</v>
      </c>
      <c r="E2971" s="13" t="s">
        <v>17341</v>
      </c>
      <c r="F2971" s="7" t="s">
        <v>11535</v>
      </c>
    </row>
    <row r="2972" ht="18" customHeight="1" spans="1:6">
      <c r="A2972" s="13" t="s">
        <v>9220</v>
      </c>
      <c r="B2972" s="13" t="s">
        <v>17327</v>
      </c>
      <c r="C2972" s="13" t="s">
        <v>10316</v>
      </c>
      <c r="D2972" s="14">
        <v>4</v>
      </c>
      <c r="E2972" s="13" t="s">
        <v>17342</v>
      </c>
      <c r="F2972" s="7" t="s">
        <v>11535</v>
      </c>
    </row>
    <row r="2973" ht="18" customHeight="1" spans="1:6">
      <c r="A2973" s="13" t="s">
        <v>9220</v>
      </c>
      <c r="B2973" s="13" t="s">
        <v>17327</v>
      </c>
      <c r="C2973" s="13" t="s">
        <v>17343</v>
      </c>
      <c r="D2973" s="14">
        <v>6</v>
      </c>
      <c r="E2973" s="13" t="s">
        <v>17344</v>
      </c>
      <c r="F2973" s="7" t="s">
        <v>11535</v>
      </c>
    </row>
    <row r="2974" ht="18" customHeight="1" spans="1:6">
      <c r="A2974" s="13" t="s">
        <v>9220</v>
      </c>
      <c r="B2974" s="13" t="s">
        <v>17327</v>
      </c>
      <c r="C2974" s="13" t="s">
        <v>17345</v>
      </c>
      <c r="D2974" s="14">
        <v>3</v>
      </c>
      <c r="E2974" s="13" t="s">
        <v>17346</v>
      </c>
      <c r="F2974" s="7" t="s">
        <v>11535</v>
      </c>
    </row>
    <row r="2975" ht="18" customHeight="1" spans="1:6">
      <c r="A2975" s="13" t="s">
        <v>9220</v>
      </c>
      <c r="B2975" s="13" t="s">
        <v>17327</v>
      </c>
      <c r="C2975" s="13" t="s">
        <v>17347</v>
      </c>
      <c r="D2975" s="14">
        <v>4</v>
      </c>
      <c r="E2975" s="13" t="s">
        <v>17348</v>
      </c>
      <c r="F2975" s="7" t="s">
        <v>11535</v>
      </c>
    </row>
    <row r="2976" ht="18" customHeight="1" spans="1:6">
      <c r="A2976" s="13" t="s">
        <v>9220</v>
      </c>
      <c r="B2976" s="13" t="s">
        <v>17327</v>
      </c>
      <c r="C2976" s="13" t="s">
        <v>17349</v>
      </c>
      <c r="D2976" s="14">
        <v>3</v>
      </c>
      <c r="E2976" s="13" t="s">
        <v>17350</v>
      </c>
      <c r="F2976" s="7" t="s">
        <v>11535</v>
      </c>
    </row>
    <row r="2977" ht="18" customHeight="1" spans="1:6">
      <c r="A2977" s="13" t="s">
        <v>9220</v>
      </c>
      <c r="B2977" s="13" t="s">
        <v>17327</v>
      </c>
      <c r="C2977" s="13" t="s">
        <v>15013</v>
      </c>
      <c r="D2977" s="14">
        <v>1</v>
      </c>
      <c r="E2977" s="13" t="s">
        <v>17351</v>
      </c>
      <c r="F2977" s="7" t="s">
        <v>11535</v>
      </c>
    </row>
    <row r="2978" ht="18" customHeight="1" spans="1:6">
      <c r="A2978" s="13" t="s">
        <v>9220</v>
      </c>
      <c r="B2978" s="13" t="s">
        <v>17327</v>
      </c>
      <c r="C2978" s="13" t="s">
        <v>17352</v>
      </c>
      <c r="D2978" s="14">
        <v>5</v>
      </c>
      <c r="E2978" s="13" t="s">
        <v>17353</v>
      </c>
      <c r="F2978" s="7" t="s">
        <v>11535</v>
      </c>
    </row>
    <row r="2979" ht="18" customHeight="1" spans="1:6">
      <c r="A2979" s="13" t="s">
        <v>9220</v>
      </c>
      <c r="B2979" s="13" t="s">
        <v>17327</v>
      </c>
      <c r="C2979" s="13" t="s">
        <v>17354</v>
      </c>
      <c r="D2979" s="14">
        <v>5</v>
      </c>
      <c r="E2979" s="13" t="s">
        <v>17355</v>
      </c>
      <c r="F2979" s="7" t="s">
        <v>11535</v>
      </c>
    </row>
    <row r="2980" ht="18" customHeight="1" spans="1:6">
      <c r="A2980" s="13" t="s">
        <v>9220</v>
      </c>
      <c r="B2980" s="13" t="s">
        <v>17327</v>
      </c>
      <c r="C2980" s="13" t="s">
        <v>17356</v>
      </c>
      <c r="D2980" s="14">
        <v>3</v>
      </c>
      <c r="E2980" s="13" t="s">
        <v>17357</v>
      </c>
      <c r="F2980" s="7" t="s">
        <v>11535</v>
      </c>
    </row>
    <row r="2981" ht="18" customHeight="1" spans="1:6">
      <c r="A2981" s="13" t="s">
        <v>9220</v>
      </c>
      <c r="B2981" s="13" t="s">
        <v>17327</v>
      </c>
      <c r="C2981" s="13" t="s">
        <v>17358</v>
      </c>
      <c r="D2981" s="14">
        <v>2</v>
      </c>
      <c r="E2981" s="13" t="s">
        <v>17359</v>
      </c>
      <c r="F2981" s="7" t="s">
        <v>11535</v>
      </c>
    </row>
    <row r="2982" ht="18" customHeight="1" spans="1:6">
      <c r="A2982" s="13" t="s">
        <v>9220</v>
      </c>
      <c r="B2982" s="13" t="s">
        <v>17327</v>
      </c>
      <c r="C2982" s="13" t="s">
        <v>17360</v>
      </c>
      <c r="D2982" s="14">
        <v>4</v>
      </c>
      <c r="E2982" s="13" t="s">
        <v>17361</v>
      </c>
      <c r="F2982" s="7" t="s">
        <v>11535</v>
      </c>
    </row>
    <row r="2983" ht="18" customHeight="1" spans="1:6">
      <c r="A2983" s="13" t="s">
        <v>9220</v>
      </c>
      <c r="B2983" s="13" t="s">
        <v>17327</v>
      </c>
      <c r="C2983" s="13" t="s">
        <v>17362</v>
      </c>
      <c r="D2983" s="14">
        <v>4</v>
      </c>
      <c r="E2983" s="13" t="s">
        <v>17363</v>
      </c>
      <c r="F2983" s="7" t="s">
        <v>11535</v>
      </c>
    </row>
    <row r="2984" ht="18" customHeight="1" spans="1:6">
      <c r="A2984" s="13" t="s">
        <v>9220</v>
      </c>
      <c r="B2984" s="13" t="s">
        <v>17327</v>
      </c>
      <c r="C2984" s="19" t="s">
        <v>17364</v>
      </c>
      <c r="D2984" s="15">
        <v>4</v>
      </c>
      <c r="E2984" s="216" t="s">
        <v>17365</v>
      </c>
      <c r="F2984" s="7" t="s">
        <v>11535</v>
      </c>
    </row>
    <row r="2985" ht="18" customHeight="1" spans="1:6">
      <c r="A2985" s="13" t="s">
        <v>9220</v>
      </c>
      <c r="B2985" s="13" t="s">
        <v>17327</v>
      </c>
      <c r="C2985" s="19" t="s">
        <v>10636</v>
      </c>
      <c r="D2985" s="15">
        <v>3</v>
      </c>
      <c r="E2985" s="216" t="s">
        <v>17366</v>
      </c>
      <c r="F2985" s="7" t="s">
        <v>11535</v>
      </c>
    </row>
    <row r="2986" ht="18" customHeight="1" spans="1:6">
      <c r="A2986" s="13" t="s">
        <v>9220</v>
      </c>
      <c r="B2986" s="13" t="s">
        <v>17327</v>
      </c>
      <c r="C2986" s="19" t="s">
        <v>11106</v>
      </c>
      <c r="D2986" s="13">
        <v>4</v>
      </c>
      <c r="E2986" s="216" t="s">
        <v>17367</v>
      </c>
      <c r="F2986" s="7" t="s">
        <v>11535</v>
      </c>
    </row>
    <row r="2987" ht="18" customHeight="1" spans="1:6">
      <c r="A2987" s="13" t="s">
        <v>9220</v>
      </c>
      <c r="B2987" s="13" t="s">
        <v>17327</v>
      </c>
      <c r="C2987" s="9" t="s">
        <v>17368</v>
      </c>
      <c r="D2987" s="13">
        <v>1</v>
      </c>
      <c r="E2987" s="9" t="s">
        <v>17369</v>
      </c>
      <c r="F2987" s="7" t="s">
        <v>11535</v>
      </c>
    </row>
    <row r="2988" ht="18" customHeight="1" spans="1:6">
      <c r="A2988" s="13" t="s">
        <v>9220</v>
      </c>
      <c r="B2988" s="13" t="s">
        <v>17327</v>
      </c>
      <c r="C2988" s="8" t="s">
        <v>17370</v>
      </c>
      <c r="D2988" s="13">
        <v>2</v>
      </c>
      <c r="E2988" s="8" t="s">
        <v>17371</v>
      </c>
      <c r="F2988" s="7" t="s">
        <v>11535</v>
      </c>
    </row>
    <row r="2989" ht="18" customHeight="1" spans="1:6">
      <c r="A2989" s="13" t="s">
        <v>9220</v>
      </c>
      <c r="B2989" s="13" t="s">
        <v>17372</v>
      </c>
      <c r="C2989" s="13" t="s">
        <v>17373</v>
      </c>
      <c r="D2989" s="15">
        <v>2</v>
      </c>
      <c r="E2989" s="179" t="s">
        <v>17374</v>
      </c>
      <c r="F2989" s="7" t="s">
        <v>11535</v>
      </c>
    </row>
    <row r="2990" ht="18" customHeight="1" spans="1:6">
      <c r="A2990" s="13" t="s">
        <v>9220</v>
      </c>
      <c r="B2990" s="13" t="s">
        <v>17372</v>
      </c>
      <c r="C2990" s="13" t="s">
        <v>17375</v>
      </c>
      <c r="D2990" s="15">
        <v>1</v>
      </c>
      <c r="E2990" s="179" t="s">
        <v>17376</v>
      </c>
      <c r="F2990" s="7" t="s">
        <v>11535</v>
      </c>
    </row>
    <row r="2991" ht="18" customHeight="1" spans="1:6">
      <c r="A2991" s="13" t="s">
        <v>9220</v>
      </c>
      <c r="B2991" s="13" t="s">
        <v>17372</v>
      </c>
      <c r="C2991" s="13" t="s">
        <v>17377</v>
      </c>
      <c r="D2991" s="15">
        <v>2</v>
      </c>
      <c r="E2991" s="179" t="s">
        <v>17378</v>
      </c>
      <c r="F2991" s="7" t="s">
        <v>11535</v>
      </c>
    </row>
    <row r="2992" ht="18" customHeight="1" spans="1:6">
      <c r="A2992" s="13" t="s">
        <v>9220</v>
      </c>
      <c r="B2992" s="13" t="s">
        <v>17372</v>
      </c>
      <c r="C2992" s="13" t="s">
        <v>17379</v>
      </c>
      <c r="D2992" s="15">
        <v>1</v>
      </c>
      <c r="E2992" s="179" t="s">
        <v>17380</v>
      </c>
      <c r="F2992" s="7" t="s">
        <v>11535</v>
      </c>
    </row>
    <row r="2993" ht="18" customHeight="1" spans="1:6">
      <c r="A2993" s="13" t="s">
        <v>9220</v>
      </c>
      <c r="B2993" s="13" t="s">
        <v>17372</v>
      </c>
      <c r="C2993" s="13" t="s">
        <v>17381</v>
      </c>
      <c r="D2993" s="15">
        <v>1</v>
      </c>
      <c r="E2993" s="179" t="s">
        <v>17382</v>
      </c>
      <c r="F2993" s="7" t="s">
        <v>11535</v>
      </c>
    </row>
    <row r="2994" ht="18" customHeight="1" spans="1:6">
      <c r="A2994" s="13" t="s">
        <v>9220</v>
      </c>
      <c r="B2994" s="13" t="s">
        <v>17372</v>
      </c>
      <c r="C2994" s="13" t="s">
        <v>17383</v>
      </c>
      <c r="D2994" s="15">
        <v>1</v>
      </c>
      <c r="E2994" s="179" t="s">
        <v>17384</v>
      </c>
      <c r="F2994" s="7" t="s">
        <v>11535</v>
      </c>
    </row>
    <row r="2995" ht="18" customHeight="1" spans="1:6">
      <c r="A2995" s="13" t="s">
        <v>9220</v>
      </c>
      <c r="B2995" s="13" t="s">
        <v>17372</v>
      </c>
      <c r="C2995" s="13" t="s">
        <v>17385</v>
      </c>
      <c r="D2995" s="15">
        <v>1</v>
      </c>
      <c r="E2995" s="179" t="s">
        <v>17386</v>
      </c>
      <c r="F2995" s="7" t="s">
        <v>11535</v>
      </c>
    </row>
    <row r="2996" ht="18" customHeight="1" spans="1:6">
      <c r="A2996" s="13" t="s">
        <v>9220</v>
      </c>
      <c r="B2996" s="13" t="s">
        <v>17372</v>
      </c>
      <c r="C2996" s="13" t="s">
        <v>17387</v>
      </c>
      <c r="D2996" s="15">
        <v>1</v>
      </c>
      <c r="E2996" s="179" t="s">
        <v>17388</v>
      </c>
      <c r="F2996" s="7" t="s">
        <v>11535</v>
      </c>
    </row>
    <row r="2997" ht="18" customHeight="1" spans="1:6">
      <c r="A2997" s="13" t="s">
        <v>9220</v>
      </c>
      <c r="B2997" s="13" t="s">
        <v>17372</v>
      </c>
      <c r="C2997" s="13" t="s">
        <v>17389</v>
      </c>
      <c r="D2997" s="15">
        <v>6</v>
      </c>
      <c r="E2997" s="179" t="s">
        <v>17390</v>
      </c>
      <c r="F2997" s="7" t="s">
        <v>11535</v>
      </c>
    </row>
    <row r="2998" ht="18" customHeight="1" spans="1:6">
      <c r="A2998" s="13" t="s">
        <v>9220</v>
      </c>
      <c r="B2998" s="13" t="s">
        <v>17372</v>
      </c>
      <c r="C2998" s="13" t="s">
        <v>16671</v>
      </c>
      <c r="D2998" s="15">
        <v>3</v>
      </c>
      <c r="E2998" s="179" t="s">
        <v>17391</v>
      </c>
      <c r="F2998" s="7" t="s">
        <v>11535</v>
      </c>
    </row>
    <row r="2999" ht="18" customHeight="1" spans="1:6">
      <c r="A2999" s="13" t="s">
        <v>9220</v>
      </c>
      <c r="B2999" s="13" t="s">
        <v>17372</v>
      </c>
      <c r="C2999" s="13" t="s">
        <v>17392</v>
      </c>
      <c r="D2999" s="15">
        <v>1</v>
      </c>
      <c r="E2999" s="179" t="s">
        <v>17393</v>
      </c>
      <c r="F2999" s="7" t="s">
        <v>11535</v>
      </c>
    </row>
    <row r="3000" ht="18" customHeight="1" spans="1:6">
      <c r="A3000" s="13" t="s">
        <v>9220</v>
      </c>
      <c r="B3000" s="13" t="s">
        <v>17372</v>
      </c>
      <c r="C3000" s="13" t="s">
        <v>17394</v>
      </c>
      <c r="D3000" s="15">
        <v>3</v>
      </c>
      <c r="E3000" s="179" t="s">
        <v>17395</v>
      </c>
      <c r="F3000" s="7" t="s">
        <v>11535</v>
      </c>
    </row>
    <row r="3001" ht="18" customHeight="1" spans="1:6">
      <c r="A3001" s="13" t="s">
        <v>9220</v>
      </c>
      <c r="B3001" s="13" t="s">
        <v>17372</v>
      </c>
      <c r="C3001" s="13" t="s">
        <v>17396</v>
      </c>
      <c r="D3001" s="15">
        <v>2</v>
      </c>
      <c r="E3001" s="179" t="s">
        <v>17397</v>
      </c>
      <c r="F3001" s="7" t="s">
        <v>11535</v>
      </c>
    </row>
    <row r="3002" ht="18" customHeight="1" spans="1:6">
      <c r="A3002" s="13" t="s">
        <v>9220</v>
      </c>
      <c r="B3002" s="13" t="s">
        <v>17372</v>
      </c>
      <c r="C3002" s="13" t="s">
        <v>17398</v>
      </c>
      <c r="D3002" s="15">
        <v>2</v>
      </c>
      <c r="E3002" s="179" t="s">
        <v>17399</v>
      </c>
      <c r="F3002" s="7" t="s">
        <v>11535</v>
      </c>
    </row>
    <row r="3003" ht="18" customHeight="1" spans="1:6">
      <c r="A3003" s="13" t="s">
        <v>9220</v>
      </c>
      <c r="B3003" s="13" t="s">
        <v>17372</v>
      </c>
      <c r="C3003" s="13" t="s">
        <v>17400</v>
      </c>
      <c r="D3003" s="15">
        <v>1</v>
      </c>
      <c r="E3003" s="179" t="s">
        <v>17401</v>
      </c>
      <c r="F3003" s="7" t="s">
        <v>11535</v>
      </c>
    </row>
    <row r="3004" ht="18" customHeight="1" spans="1:6">
      <c r="A3004" s="13" t="s">
        <v>9220</v>
      </c>
      <c r="B3004" s="13" t="s">
        <v>17372</v>
      </c>
      <c r="C3004" s="13" t="s">
        <v>17402</v>
      </c>
      <c r="D3004" s="15">
        <v>4</v>
      </c>
      <c r="E3004" s="179" t="s">
        <v>17403</v>
      </c>
      <c r="F3004" s="7" t="s">
        <v>11535</v>
      </c>
    </row>
    <row r="3005" ht="18" customHeight="1" spans="1:6">
      <c r="A3005" s="13" t="s">
        <v>9220</v>
      </c>
      <c r="B3005" s="13" t="s">
        <v>17372</v>
      </c>
      <c r="C3005" s="13" t="s">
        <v>17404</v>
      </c>
      <c r="D3005" s="15">
        <v>2</v>
      </c>
      <c r="E3005" s="179" t="s">
        <v>17405</v>
      </c>
      <c r="F3005" s="7" t="s">
        <v>11535</v>
      </c>
    </row>
    <row r="3006" ht="18" customHeight="1" spans="1:6">
      <c r="A3006" s="13" t="s">
        <v>9220</v>
      </c>
      <c r="B3006" s="13" t="s">
        <v>17372</v>
      </c>
      <c r="C3006" s="13" t="s">
        <v>17406</v>
      </c>
      <c r="D3006" s="15">
        <v>6</v>
      </c>
      <c r="E3006" s="179" t="s">
        <v>17407</v>
      </c>
      <c r="F3006" s="7" t="s">
        <v>11535</v>
      </c>
    </row>
    <row r="3007" ht="18" customHeight="1" spans="1:6">
      <c r="A3007" s="13" t="s">
        <v>9220</v>
      </c>
      <c r="B3007" s="13" t="s">
        <v>17372</v>
      </c>
      <c r="C3007" s="13" t="s">
        <v>17408</v>
      </c>
      <c r="D3007" s="15">
        <v>3</v>
      </c>
      <c r="E3007" s="179" t="s">
        <v>17409</v>
      </c>
      <c r="F3007" s="7" t="s">
        <v>11535</v>
      </c>
    </row>
    <row r="3008" ht="18" customHeight="1" spans="1:6">
      <c r="A3008" s="13" t="s">
        <v>9220</v>
      </c>
      <c r="B3008" s="13" t="s">
        <v>17372</v>
      </c>
      <c r="C3008" s="13" t="s">
        <v>17410</v>
      </c>
      <c r="D3008" s="15">
        <v>3</v>
      </c>
      <c r="E3008" s="179" t="s">
        <v>17411</v>
      </c>
      <c r="F3008" s="7" t="s">
        <v>11535</v>
      </c>
    </row>
    <row r="3009" ht="18" customHeight="1" spans="1:6">
      <c r="A3009" s="13" t="s">
        <v>9220</v>
      </c>
      <c r="B3009" s="13" t="s">
        <v>17372</v>
      </c>
      <c r="C3009" s="13" t="s">
        <v>17412</v>
      </c>
      <c r="D3009" s="15">
        <v>5</v>
      </c>
      <c r="E3009" s="179" t="s">
        <v>17413</v>
      </c>
      <c r="F3009" s="7" t="s">
        <v>11535</v>
      </c>
    </row>
    <row r="3010" ht="18" customHeight="1" spans="1:6">
      <c r="A3010" s="13" t="s">
        <v>9220</v>
      </c>
      <c r="B3010" s="13" t="s">
        <v>17372</v>
      </c>
      <c r="C3010" s="13" t="s">
        <v>17414</v>
      </c>
      <c r="D3010" s="15">
        <v>4</v>
      </c>
      <c r="E3010" s="179" t="s">
        <v>17415</v>
      </c>
      <c r="F3010" s="7" t="s">
        <v>11535</v>
      </c>
    </row>
    <row r="3011" ht="18" customHeight="1" spans="1:6">
      <c r="A3011" s="13" t="s">
        <v>9220</v>
      </c>
      <c r="B3011" s="13" t="s">
        <v>17372</v>
      </c>
      <c r="C3011" s="13" t="s">
        <v>17416</v>
      </c>
      <c r="D3011" s="15">
        <v>1</v>
      </c>
      <c r="E3011" s="179" t="s">
        <v>17417</v>
      </c>
      <c r="F3011" s="7" t="s">
        <v>11535</v>
      </c>
    </row>
    <row r="3012" ht="18" customHeight="1" spans="1:6">
      <c r="A3012" s="13" t="s">
        <v>9220</v>
      </c>
      <c r="B3012" s="13" t="s">
        <v>17372</v>
      </c>
      <c r="C3012" s="13" t="s">
        <v>17418</v>
      </c>
      <c r="D3012" s="15">
        <v>4</v>
      </c>
      <c r="E3012" s="179" t="s">
        <v>17419</v>
      </c>
      <c r="F3012" s="7" t="s">
        <v>11535</v>
      </c>
    </row>
    <row r="3013" ht="18" customHeight="1" spans="1:6">
      <c r="A3013" s="13" t="s">
        <v>9220</v>
      </c>
      <c r="B3013" s="13" t="s">
        <v>17372</v>
      </c>
      <c r="C3013" s="13" t="s">
        <v>17420</v>
      </c>
      <c r="D3013" s="15">
        <v>3</v>
      </c>
      <c r="E3013" s="179" t="s">
        <v>17421</v>
      </c>
      <c r="F3013" s="7" t="s">
        <v>11535</v>
      </c>
    </row>
    <row r="3014" ht="18" customHeight="1" spans="1:6">
      <c r="A3014" s="13" t="s">
        <v>9220</v>
      </c>
      <c r="B3014" s="13" t="s">
        <v>17372</v>
      </c>
      <c r="C3014" s="13" t="s">
        <v>17422</v>
      </c>
      <c r="D3014" s="15">
        <v>3</v>
      </c>
      <c r="E3014" s="179" t="s">
        <v>17423</v>
      </c>
      <c r="F3014" s="7" t="s">
        <v>11535</v>
      </c>
    </row>
    <row r="3015" ht="18" customHeight="1" spans="1:6">
      <c r="A3015" s="13" t="s">
        <v>9220</v>
      </c>
      <c r="B3015" s="13" t="s">
        <v>17372</v>
      </c>
      <c r="C3015" s="13" t="s">
        <v>17424</v>
      </c>
      <c r="D3015" s="15">
        <v>4</v>
      </c>
      <c r="E3015" s="179" t="s">
        <v>17425</v>
      </c>
      <c r="F3015" s="7" t="s">
        <v>11535</v>
      </c>
    </row>
    <row r="3016" ht="18" customHeight="1" spans="1:6">
      <c r="A3016" s="13" t="s">
        <v>9220</v>
      </c>
      <c r="B3016" s="13" t="s">
        <v>17372</v>
      </c>
      <c r="C3016" s="13" t="s">
        <v>17426</v>
      </c>
      <c r="D3016" s="15">
        <v>4</v>
      </c>
      <c r="E3016" s="179" t="s">
        <v>17427</v>
      </c>
      <c r="F3016" s="7" t="s">
        <v>11535</v>
      </c>
    </row>
    <row r="3017" ht="18" customHeight="1" spans="1:6">
      <c r="A3017" s="13" t="s">
        <v>9220</v>
      </c>
      <c r="B3017" s="13" t="s">
        <v>17372</v>
      </c>
      <c r="C3017" s="19" t="s">
        <v>17428</v>
      </c>
      <c r="D3017" s="15">
        <v>5</v>
      </c>
      <c r="E3017" s="216" t="s">
        <v>17429</v>
      </c>
      <c r="F3017" s="7" t="s">
        <v>11535</v>
      </c>
    </row>
    <row r="3018" ht="18" customHeight="1" spans="1:6">
      <c r="A3018" s="13" t="s">
        <v>9220</v>
      </c>
      <c r="B3018" s="13" t="s">
        <v>17372</v>
      </c>
      <c r="C3018" s="19" t="s">
        <v>17430</v>
      </c>
      <c r="D3018" s="15">
        <v>4</v>
      </c>
      <c r="E3018" s="216" t="s">
        <v>17431</v>
      </c>
      <c r="F3018" s="7" t="s">
        <v>11535</v>
      </c>
    </row>
    <row r="3019" ht="18" customHeight="1" spans="1:6">
      <c r="A3019" s="13" t="s">
        <v>9220</v>
      </c>
      <c r="B3019" s="13" t="s">
        <v>17372</v>
      </c>
      <c r="C3019" s="19" t="s">
        <v>17432</v>
      </c>
      <c r="D3019" s="15">
        <v>3</v>
      </c>
      <c r="E3019" s="216" t="s">
        <v>17433</v>
      </c>
      <c r="F3019" s="7" t="s">
        <v>11535</v>
      </c>
    </row>
    <row r="3020" ht="18" customHeight="1" spans="1:6">
      <c r="A3020" s="13" t="s">
        <v>9220</v>
      </c>
      <c r="B3020" s="13" t="s">
        <v>17372</v>
      </c>
      <c r="C3020" s="19" t="s">
        <v>17434</v>
      </c>
      <c r="D3020" s="15">
        <v>2</v>
      </c>
      <c r="E3020" s="216" t="s">
        <v>17435</v>
      </c>
      <c r="F3020" s="7" t="s">
        <v>11535</v>
      </c>
    </row>
    <row r="3021" ht="18" customHeight="1" spans="1:6">
      <c r="A3021" s="13" t="s">
        <v>9220</v>
      </c>
      <c r="B3021" s="13" t="s">
        <v>17372</v>
      </c>
      <c r="C3021" s="19" t="s">
        <v>17436</v>
      </c>
      <c r="D3021" s="15">
        <v>1</v>
      </c>
      <c r="E3021" s="216" t="s">
        <v>17437</v>
      </c>
      <c r="F3021" s="7" t="s">
        <v>11535</v>
      </c>
    </row>
    <row r="3022" ht="18" customHeight="1" spans="1:6">
      <c r="A3022" s="13" t="s">
        <v>9220</v>
      </c>
      <c r="B3022" s="13" t="s">
        <v>17372</v>
      </c>
      <c r="C3022" s="19" t="s">
        <v>17438</v>
      </c>
      <c r="D3022" s="15">
        <v>1</v>
      </c>
      <c r="E3022" s="80" t="s">
        <v>17439</v>
      </c>
      <c r="F3022" s="7" t="s">
        <v>11535</v>
      </c>
    </row>
    <row r="3023" ht="18" customHeight="1" spans="1:6">
      <c r="A3023" s="13" t="s">
        <v>9220</v>
      </c>
      <c r="B3023" s="13" t="s">
        <v>17372</v>
      </c>
      <c r="C3023" s="19" t="s">
        <v>17440</v>
      </c>
      <c r="D3023" s="15">
        <v>1</v>
      </c>
      <c r="E3023" s="216" t="s">
        <v>17441</v>
      </c>
      <c r="F3023" s="7" t="s">
        <v>11535</v>
      </c>
    </row>
    <row r="3024" ht="18" customHeight="1" spans="1:6">
      <c r="A3024" s="13" t="s">
        <v>9220</v>
      </c>
      <c r="B3024" s="13" t="s">
        <v>17372</v>
      </c>
      <c r="C3024" s="19" t="s">
        <v>17442</v>
      </c>
      <c r="D3024" s="15">
        <v>1</v>
      </c>
      <c r="E3024" s="80" t="s">
        <v>17443</v>
      </c>
      <c r="F3024" s="7" t="s">
        <v>11535</v>
      </c>
    </row>
    <row r="3025" ht="18" customHeight="1" spans="1:6">
      <c r="A3025" s="13" t="s">
        <v>9220</v>
      </c>
      <c r="B3025" s="13" t="s">
        <v>17372</v>
      </c>
      <c r="C3025" s="19" t="s">
        <v>17444</v>
      </c>
      <c r="D3025" s="15">
        <v>2</v>
      </c>
      <c r="E3025" s="216" t="s">
        <v>17445</v>
      </c>
      <c r="F3025" s="7" t="s">
        <v>11535</v>
      </c>
    </row>
    <row r="3026" ht="18" customHeight="1" spans="1:6">
      <c r="A3026" s="13" t="s">
        <v>9220</v>
      </c>
      <c r="B3026" s="13" t="s">
        <v>17372</v>
      </c>
      <c r="C3026" s="19" t="s">
        <v>17446</v>
      </c>
      <c r="D3026" s="15">
        <v>1</v>
      </c>
      <c r="E3026" s="216" t="s">
        <v>17447</v>
      </c>
      <c r="F3026" s="7" t="s">
        <v>11535</v>
      </c>
    </row>
    <row r="3027" ht="18" customHeight="1" spans="1:6">
      <c r="A3027" s="13" t="s">
        <v>9220</v>
      </c>
      <c r="B3027" s="19" t="s">
        <v>9623</v>
      </c>
      <c r="C3027" s="19" t="s">
        <v>17448</v>
      </c>
      <c r="D3027" s="19">
        <v>4</v>
      </c>
      <c r="E3027" s="80" t="s">
        <v>17449</v>
      </c>
      <c r="F3027" s="7" t="s">
        <v>11535</v>
      </c>
    </row>
    <row r="3028" ht="18" customHeight="1" spans="1:6">
      <c r="A3028" s="13" t="s">
        <v>9220</v>
      </c>
      <c r="B3028" s="19" t="s">
        <v>9623</v>
      </c>
      <c r="C3028" s="19" t="s">
        <v>17450</v>
      </c>
      <c r="D3028" s="19">
        <v>4</v>
      </c>
      <c r="E3028" s="80" t="s">
        <v>17451</v>
      </c>
      <c r="F3028" s="7" t="s">
        <v>11535</v>
      </c>
    </row>
    <row r="3029" ht="18" customHeight="1" spans="1:6">
      <c r="A3029" s="13" t="s">
        <v>9220</v>
      </c>
      <c r="B3029" s="19" t="s">
        <v>9623</v>
      </c>
      <c r="C3029" s="19" t="s">
        <v>17452</v>
      </c>
      <c r="D3029" s="19">
        <v>4</v>
      </c>
      <c r="E3029" s="80" t="s">
        <v>17453</v>
      </c>
      <c r="F3029" s="7" t="s">
        <v>11535</v>
      </c>
    </row>
    <row r="3030" ht="18" customHeight="1" spans="1:6">
      <c r="A3030" s="13" t="s">
        <v>9220</v>
      </c>
      <c r="B3030" s="19" t="s">
        <v>9623</v>
      </c>
      <c r="C3030" s="19" t="s">
        <v>17454</v>
      </c>
      <c r="D3030" s="19">
        <v>4</v>
      </c>
      <c r="E3030" s="80" t="s">
        <v>17455</v>
      </c>
      <c r="F3030" s="7" t="s">
        <v>11535</v>
      </c>
    </row>
    <row r="3031" ht="18" customHeight="1" spans="1:6">
      <c r="A3031" s="13" t="s">
        <v>9220</v>
      </c>
      <c r="B3031" s="19" t="s">
        <v>9623</v>
      </c>
      <c r="C3031" s="19" t="s">
        <v>17456</v>
      </c>
      <c r="D3031" s="19">
        <v>4</v>
      </c>
      <c r="E3031" s="80" t="s">
        <v>17457</v>
      </c>
      <c r="F3031" s="7" t="s">
        <v>11535</v>
      </c>
    </row>
    <row r="3032" ht="18" customHeight="1" spans="1:6">
      <c r="A3032" s="13" t="s">
        <v>9220</v>
      </c>
      <c r="B3032" s="19" t="s">
        <v>9623</v>
      </c>
      <c r="C3032" s="19" t="s">
        <v>17458</v>
      </c>
      <c r="D3032" s="19">
        <v>4</v>
      </c>
      <c r="E3032" s="80" t="s">
        <v>17459</v>
      </c>
      <c r="F3032" s="7" t="s">
        <v>11535</v>
      </c>
    </row>
    <row r="3033" ht="18" customHeight="1" spans="1:6">
      <c r="A3033" s="13" t="s">
        <v>9220</v>
      </c>
      <c r="B3033" s="19" t="s">
        <v>9623</v>
      </c>
      <c r="C3033" s="19" t="s">
        <v>17460</v>
      </c>
      <c r="D3033" s="19">
        <v>4</v>
      </c>
      <c r="E3033" s="80" t="s">
        <v>17461</v>
      </c>
      <c r="F3033" s="7" t="s">
        <v>11535</v>
      </c>
    </row>
    <row r="3034" ht="18" customHeight="1" spans="1:6">
      <c r="A3034" s="13" t="s">
        <v>9220</v>
      </c>
      <c r="B3034" s="19" t="s">
        <v>9623</v>
      </c>
      <c r="C3034" s="19" t="s">
        <v>17462</v>
      </c>
      <c r="D3034" s="19">
        <v>4</v>
      </c>
      <c r="E3034" s="80" t="s">
        <v>17463</v>
      </c>
      <c r="F3034" s="7" t="s">
        <v>11535</v>
      </c>
    </row>
    <row r="3035" ht="18" customHeight="1" spans="1:6">
      <c r="A3035" s="13" t="s">
        <v>9220</v>
      </c>
      <c r="B3035" s="19" t="s">
        <v>9623</v>
      </c>
      <c r="C3035" s="19" t="s">
        <v>17464</v>
      </c>
      <c r="D3035" s="19">
        <v>4</v>
      </c>
      <c r="E3035" s="80" t="s">
        <v>17465</v>
      </c>
      <c r="F3035" s="7" t="s">
        <v>11535</v>
      </c>
    </row>
    <row r="3036" ht="18" customHeight="1" spans="1:6">
      <c r="A3036" s="13" t="s">
        <v>9220</v>
      </c>
      <c r="B3036" s="19" t="s">
        <v>9623</v>
      </c>
      <c r="C3036" s="19" t="s">
        <v>17466</v>
      </c>
      <c r="D3036" s="19">
        <v>4</v>
      </c>
      <c r="E3036" s="80" t="s">
        <v>17467</v>
      </c>
      <c r="F3036" s="7" t="s">
        <v>11535</v>
      </c>
    </row>
    <row r="3037" ht="18" customHeight="1" spans="1:6">
      <c r="A3037" s="13" t="s">
        <v>9220</v>
      </c>
      <c r="B3037" s="19" t="s">
        <v>9623</v>
      </c>
      <c r="C3037" s="19" t="s">
        <v>17468</v>
      </c>
      <c r="D3037" s="19">
        <v>4</v>
      </c>
      <c r="E3037" s="80" t="s">
        <v>17469</v>
      </c>
      <c r="F3037" s="7" t="s">
        <v>11535</v>
      </c>
    </row>
    <row r="3038" ht="18" customHeight="1" spans="1:6">
      <c r="A3038" s="13" t="s">
        <v>9220</v>
      </c>
      <c r="B3038" s="19" t="s">
        <v>9623</v>
      </c>
      <c r="C3038" s="9" t="s">
        <v>17470</v>
      </c>
      <c r="D3038" s="19">
        <v>1</v>
      </c>
      <c r="E3038" s="14" t="s">
        <v>17471</v>
      </c>
      <c r="F3038" s="7" t="s">
        <v>11535</v>
      </c>
    </row>
    <row r="3039" ht="18" customHeight="1" spans="1:6">
      <c r="A3039" s="13" t="s">
        <v>9220</v>
      </c>
      <c r="B3039" s="19" t="s">
        <v>9623</v>
      </c>
      <c r="C3039" s="9" t="s">
        <v>17472</v>
      </c>
      <c r="D3039" s="13">
        <v>2</v>
      </c>
      <c r="E3039" s="14" t="s">
        <v>17473</v>
      </c>
      <c r="F3039" s="7" t="s">
        <v>11535</v>
      </c>
    </row>
    <row r="3040" ht="18" customHeight="1" spans="1:6">
      <c r="A3040" s="13" t="s">
        <v>9220</v>
      </c>
      <c r="B3040" s="19" t="s">
        <v>9623</v>
      </c>
      <c r="C3040" s="9" t="s">
        <v>17474</v>
      </c>
      <c r="D3040" s="13">
        <v>5</v>
      </c>
      <c r="E3040" s="14" t="s">
        <v>17475</v>
      </c>
      <c r="F3040" s="7" t="s">
        <v>11535</v>
      </c>
    </row>
    <row r="3041" ht="18" customHeight="1" spans="1:6">
      <c r="A3041" s="13" t="s">
        <v>9220</v>
      </c>
      <c r="B3041" s="19" t="s">
        <v>9623</v>
      </c>
      <c r="C3041" s="9" t="s">
        <v>17476</v>
      </c>
      <c r="D3041" s="13">
        <v>3</v>
      </c>
      <c r="E3041" s="14" t="s">
        <v>17477</v>
      </c>
      <c r="F3041" s="7" t="s">
        <v>11535</v>
      </c>
    </row>
    <row r="3042" ht="18" customHeight="1" spans="1:6">
      <c r="A3042" s="13" t="s">
        <v>9220</v>
      </c>
      <c r="B3042" s="19" t="s">
        <v>9623</v>
      </c>
      <c r="C3042" s="9" t="s">
        <v>7472</v>
      </c>
      <c r="D3042" s="13">
        <v>3</v>
      </c>
      <c r="E3042" s="14" t="s">
        <v>17478</v>
      </c>
      <c r="F3042" s="7" t="s">
        <v>11535</v>
      </c>
    </row>
    <row r="3043" ht="18" customHeight="1" spans="1:6">
      <c r="A3043" s="13" t="s">
        <v>9220</v>
      </c>
      <c r="B3043" s="19" t="s">
        <v>9623</v>
      </c>
      <c r="C3043" s="9" t="s">
        <v>17479</v>
      </c>
      <c r="D3043" s="13">
        <v>4</v>
      </c>
      <c r="E3043" s="14" t="s">
        <v>17480</v>
      </c>
      <c r="F3043" s="7" t="s">
        <v>11535</v>
      </c>
    </row>
    <row r="3044" ht="18" customHeight="1" spans="1:6">
      <c r="A3044" s="13" t="s">
        <v>9220</v>
      </c>
      <c r="B3044" s="5" t="s">
        <v>9656</v>
      </c>
      <c r="C3044" s="5" t="s">
        <v>17481</v>
      </c>
      <c r="D3044" s="5">
        <v>5</v>
      </c>
      <c r="E3044" s="12" t="s">
        <v>17482</v>
      </c>
      <c r="F3044" s="7" t="s">
        <v>11535</v>
      </c>
    </row>
    <row r="3045" ht="18" customHeight="1" spans="1:6">
      <c r="A3045" s="13" t="s">
        <v>9220</v>
      </c>
      <c r="B3045" s="5" t="s">
        <v>9656</v>
      </c>
      <c r="C3045" s="5" t="s">
        <v>17483</v>
      </c>
      <c r="D3045" s="5">
        <v>3</v>
      </c>
      <c r="E3045" s="12" t="s">
        <v>17484</v>
      </c>
      <c r="F3045" s="7" t="s">
        <v>11535</v>
      </c>
    </row>
    <row r="3046" ht="18" customHeight="1" spans="1:6">
      <c r="A3046" s="13" t="s">
        <v>9220</v>
      </c>
      <c r="B3046" s="5" t="s">
        <v>9656</v>
      </c>
      <c r="C3046" s="5" t="s">
        <v>17485</v>
      </c>
      <c r="D3046" s="5">
        <v>6</v>
      </c>
      <c r="E3046" s="12" t="s">
        <v>17486</v>
      </c>
      <c r="F3046" s="7" t="s">
        <v>11535</v>
      </c>
    </row>
    <row r="3047" ht="18" customHeight="1" spans="1:6">
      <c r="A3047" s="13" t="s">
        <v>9220</v>
      </c>
      <c r="B3047" s="5" t="s">
        <v>9656</v>
      </c>
      <c r="C3047" s="5" t="s">
        <v>17487</v>
      </c>
      <c r="D3047" s="5">
        <v>3</v>
      </c>
      <c r="E3047" s="12" t="s">
        <v>17488</v>
      </c>
      <c r="F3047" s="7" t="s">
        <v>11535</v>
      </c>
    </row>
    <row r="3048" ht="18" customHeight="1" spans="1:6">
      <c r="A3048" s="13" t="s">
        <v>9220</v>
      </c>
      <c r="B3048" s="5" t="s">
        <v>9656</v>
      </c>
      <c r="C3048" s="5" t="s">
        <v>17489</v>
      </c>
      <c r="D3048" s="5">
        <v>3</v>
      </c>
      <c r="E3048" s="12" t="s">
        <v>17490</v>
      </c>
      <c r="F3048" s="7" t="s">
        <v>11535</v>
      </c>
    </row>
    <row r="3049" ht="18" customHeight="1" spans="1:6">
      <c r="A3049" s="13" t="s">
        <v>9220</v>
      </c>
      <c r="B3049" s="5" t="s">
        <v>9656</v>
      </c>
      <c r="C3049" s="5" t="s">
        <v>17491</v>
      </c>
      <c r="D3049" s="5">
        <v>4</v>
      </c>
      <c r="E3049" s="12" t="s">
        <v>17492</v>
      </c>
      <c r="F3049" s="7" t="s">
        <v>11535</v>
      </c>
    </row>
    <row r="3050" ht="18" customHeight="1" spans="1:6">
      <c r="A3050" s="13" t="s">
        <v>9220</v>
      </c>
      <c r="B3050" s="5" t="s">
        <v>9656</v>
      </c>
      <c r="C3050" s="5" t="s">
        <v>17493</v>
      </c>
      <c r="D3050" s="5">
        <v>3</v>
      </c>
      <c r="E3050" s="12" t="s">
        <v>17494</v>
      </c>
      <c r="F3050" s="7" t="s">
        <v>11535</v>
      </c>
    </row>
    <row r="3051" ht="18" customHeight="1" spans="1:6">
      <c r="A3051" s="13" t="s">
        <v>9220</v>
      </c>
      <c r="B3051" s="5" t="s">
        <v>9656</v>
      </c>
      <c r="C3051" s="5" t="s">
        <v>17495</v>
      </c>
      <c r="D3051" s="5">
        <v>4</v>
      </c>
      <c r="E3051" s="12" t="s">
        <v>17496</v>
      </c>
      <c r="F3051" s="7" t="s">
        <v>11535</v>
      </c>
    </row>
    <row r="3052" ht="18" customHeight="1" spans="1:6">
      <c r="A3052" s="13" t="s">
        <v>9220</v>
      </c>
      <c r="B3052" s="5" t="s">
        <v>9656</v>
      </c>
      <c r="C3052" s="5" t="s">
        <v>17497</v>
      </c>
      <c r="D3052" s="5">
        <v>3</v>
      </c>
      <c r="E3052" s="12" t="s">
        <v>17498</v>
      </c>
      <c r="F3052" s="7" t="s">
        <v>11535</v>
      </c>
    </row>
    <row r="3053" ht="18" customHeight="1" spans="1:6">
      <c r="A3053" s="13" t="s">
        <v>9220</v>
      </c>
      <c r="B3053" s="5" t="s">
        <v>9656</v>
      </c>
      <c r="C3053" s="5" t="s">
        <v>17499</v>
      </c>
      <c r="D3053" s="5">
        <v>3</v>
      </c>
      <c r="E3053" s="12" t="s">
        <v>17500</v>
      </c>
      <c r="F3053" s="7" t="s">
        <v>11535</v>
      </c>
    </row>
    <row r="3054" ht="18" customHeight="1" spans="1:6">
      <c r="A3054" s="13" t="s">
        <v>9220</v>
      </c>
      <c r="B3054" s="5" t="s">
        <v>9656</v>
      </c>
      <c r="C3054" s="5" t="s">
        <v>17501</v>
      </c>
      <c r="D3054" s="5">
        <v>7</v>
      </c>
      <c r="E3054" s="12" t="s">
        <v>17502</v>
      </c>
      <c r="F3054" s="7" t="s">
        <v>11535</v>
      </c>
    </row>
    <row r="3055" ht="18" customHeight="1" spans="1:6">
      <c r="A3055" s="13" t="s">
        <v>9220</v>
      </c>
      <c r="B3055" s="5" t="s">
        <v>9656</v>
      </c>
      <c r="C3055" s="5" t="s">
        <v>17503</v>
      </c>
      <c r="D3055" s="5">
        <v>2</v>
      </c>
      <c r="E3055" s="12" t="s">
        <v>17504</v>
      </c>
      <c r="F3055" s="7" t="s">
        <v>11535</v>
      </c>
    </row>
    <row r="3056" ht="18" customHeight="1" spans="1:6">
      <c r="A3056" s="13" t="s">
        <v>9220</v>
      </c>
      <c r="B3056" s="5" t="s">
        <v>9656</v>
      </c>
      <c r="C3056" s="5" t="s">
        <v>17505</v>
      </c>
      <c r="D3056" s="5">
        <v>4</v>
      </c>
      <c r="E3056" s="12" t="s">
        <v>17506</v>
      </c>
      <c r="F3056" s="7" t="s">
        <v>11535</v>
      </c>
    </row>
    <row r="3057" ht="18" customHeight="1" spans="1:6">
      <c r="A3057" s="13" t="s">
        <v>9220</v>
      </c>
      <c r="B3057" s="5" t="s">
        <v>9656</v>
      </c>
      <c r="C3057" s="5" t="s">
        <v>17507</v>
      </c>
      <c r="D3057" s="5">
        <v>2</v>
      </c>
      <c r="E3057" s="12" t="s">
        <v>17508</v>
      </c>
      <c r="F3057" s="7" t="s">
        <v>11535</v>
      </c>
    </row>
    <row r="3058" ht="18" customHeight="1" spans="1:6">
      <c r="A3058" s="13" t="s">
        <v>9220</v>
      </c>
      <c r="B3058" s="5" t="s">
        <v>9656</v>
      </c>
      <c r="C3058" s="5" t="s">
        <v>17509</v>
      </c>
      <c r="D3058" s="5">
        <v>4</v>
      </c>
      <c r="E3058" s="12" t="s">
        <v>17510</v>
      </c>
      <c r="F3058" s="7" t="s">
        <v>11535</v>
      </c>
    </row>
    <row r="3059" ht="18" customHeight="1" spans="1:6">
      <c r="A3059" s="13" t="s">
        <v>9220</v>
      </c>
      <c r="B3059" s="5" t="s">
        <v>9656</v>
      </c>
      <c r="C3059" s="5" t="s">
        <v>15392</v>
      </c>
      <c r="D3059" s="5">
        <v>4</v>
      </c>
      <c r="E3059" s="12" t="s">
        <v>17511</v>
      </c>
      <c r="F3059" s="7" t="s">
        <v>11535</v>
      </c>
    </row>
    <row r="3060" ht="18" customHeight="1" spans="1:6">
      <c r="A3060" s="13" t="s">
        <v>9220</v>
      </c>
      <c r="B3060" s="5" t="s">
        <v>9656</v>
      </c>
      <c r="C3060" s="5" t="s">
        <v>17512</v>
      </c>
      <c r="D3060" s="5">
        <v>4</v>
      </c>
      <c r="E3060" s="12" t="s">
        <v>17513</v>
      </c>
      <c r="F3060" s="7" t="s">
        <v>11535</v>
      </c>
    </row>
    <row r="3061" ht="18" customHeight="1" spans="1:6">
      <c r="A3061" s="13" t="s">
        <v>9220</v>
      </c>
      <c r="B3061" s="5" t="s">
        <v>9656</v>
      </c>
      <c r="C3061" s="5" t="s">
        <v>17514</v>
      </c>
      <c r="D3061" s="5">
        <v>4</v>
      </c>
      <c r="E3061" s="12" t="s">
        <v>17515</v>
      </c>
      <c r="F3061" s="7" t="s">
        <v>11535</v>
      </c>
    </row>
    <row r="3062" ht="18" customHeight="1" spans="1:6">
      <c r="A3062" s="13" t="s">
        <v>9220</v>
      </c>
      <c r="B3062" s="5" t="s">
        <v>9656</v>
      </c>
      <c r="C3062" s="5" t="s">
        <v>17516</v>
      </c>
      <c r="D3062" s="5">
        <v>5</v>
      </c>
      <c r="E3062" s="12" t="s">
        <v>17517</v>
      </c>
      <c r="F3062" s="7" t="s">
        <v>11535</v>
      </c>
    </row>
    <row r="3063" ht="18" customHeight="1" spans="1:6">
      <c r="A3063" s="13" t="s">
        <v>9220</v>
      </c>
      <c r="B3063" s="5" t="s">
        <v>9656</v>
      </c>
      <c r="C3063" s="5" t="s">
        <v>17518</v>
      </c>
      <c r="D3063" s="5">
        <v>3</v>
      </c>
      <c r="E3063" s="12" t="s">
        <v>17519</v>
      </c>
      <c r="F3063" s="7" t="s">
        <v>11535</v>
      </c>
    </row>
    <row r="3064" ht="18" customHeight="1" spans="1:6">
      <c r="A3064" s="13" t="s">
        <v>9220</v>
      </c>
      <c r="B3064" s="5" t="s">
        <v>9656</v>
      </c>
      <c r="C3064" s="5" t="s">
        <v>17520</v>
      </c>
      <c r="D3064" s="5">
        <v>4</v>
      </c>
      <c r="E3064" s="12" t="s">
        <v>17521</v>
      </c>
      <c r="F3064" s="7" t="s">
        <v>11535</v>
      </c>
    </row>
    <row r="3065" ht="18" customHeight="1" spans="1:6">
      <c r="A3065" s="13" t="s">
        <v>9220</v>
      </c>
      <c r="B3065" s="5" t="s">
        <v>9656</v>
      </c>
      <c r="C3065" s="5" t="s">
        <v>17522</v>
      </c>
      <c r="D3065" s="5">
        <v>4</v>
      </c>
      <c r="E3065" s="12" t="s">
        <v>17523</v>
      </c>
      <c r="F3065" s="7" t="s">
        <v>11535</v>
      </c>
    </row>
    <row r="3066" ht="18" customHeight="1" spans="1:6">
      <c r="A3066" s="13" t="s">
        <v>9220</v>
      </c>
      <c r="B3066" s="5" t="s">
        <v>9656</v>
      </c>
      <c r="C3066" s="5" t="s">
        <v>17524</v>
      </c>
      <c r="D3066" s="5">
        <v>3</v>
      </c>
      <c r="E3066" s="12" t="s">
        <v>17525</v>
      </c>
      <c r="F3066" s="7" t="s">
        <v>11535</v>
      </c>
    </row>
    <row r="3067" ht="18" customHeight="1" spans="1:6">
      <c r="A3067" s="13" t="s">
        <v>9220</v>
      </c>
      <c r="B3067" s="5" t="s">
        <v>9656</v>
      </c>
      <c r="C3067" s="5" t="s">
        <v>17526</v>
      </c>
      <c r="D3067" s="5">
        <v>3</v>
      </c>
      <c r="E3067" s="12" t="s">
        <v>17527</v>
      </c>
      <c r="F3067" s="7" t="s">
        <v>11535</v>
      </c>
    </row>
    <row r="3068" ht="18" customHeight="1" spans="1:6">
      <c r="A3068" s="13" t="s">
        <v>9220</v>
      </c>
      <c r="B3068" s="5" t="s">
        <v>9656</v>
      </c>
      <c r="C3068" s="5" t="s">
        <v>17528</v>
      </c>
      <c r="D3068" s="5">
        <v>2</v>
      </c>
      <c r="E3068" s="12" t="s">
        <v>17529</v>
      </c>
      <c r="F3068" s="7" t="s">
        <v>11535</v>
      </c>
    </row>
    <row r="3069" ht="18" customHeight="1" spans="1:6">
      <c r="A3069" s="13" t="s">
        <v>9220</v>
      </c>
      <c r="B3069" s="5" t="s">
        <v>9656</v>
      </c>
      <c r="C3069" s="5" t="s">
        <v>17530</v>
      </c>
      <c r="D3069" s="5">
        <v>1</v>
      </c>
      <c r="E3069" s="12" t="s">
        <v>17531</v>
      </c>
      <c r="F3069" s="7" t="s">
        <v>11535</v>
      </c>
    </row>
    <row r="3070" ht="18" customHeight="1" spans="1:6">
      <c r="A3070" s="13" t="s">
        <v>9220</v>
      </c>
      <c r="B3070" s="5" t="s">
        <v>9656</v>
      </c>
      <c r="C3070" s="5" t="s">
        <v>17532</v>
      </c>
      <c r="D3070" s="5">
        <v>1</v>
      </c>
      <c r="E3070" s="12" t="s">
        <v>17533</v>
      </c>
      <c r="F3070" s="7" t="s">
        <v>11535</v>
      </c>
    </row>
    <row r="3071" ht="18" customHeight="1" spans="1:6">
      <c r="A3071" s="13" t="s">
        <v>9220</v>
      </c>
      <c r="B3071" s="5" t="s">
        <v>9656</v>
      </c>
      <c r="C3071" s="5" t="s">
        <v>9506</v>
      </c>
      <c r="D3071" s="5">
        <v>1</v>
      </c>
      <c r="E3071" s="12" t="s">
        <v>17534</v>
      </c>
      <c r="F3071" s="7" t="s">
        <v>11535</v>
      </c>
    </row>
    <row r="3072" ht="18" customHeight="1" spans="1:6">
      <c r="A3072" s="13" t="s">
        <v>9220</v>
      </c>
      <c r="B3072" s="5" t="s">
        <v>9656</v>
      </c>
      <c r="C3072" s="9" t="s">
        <v>17535</v>
      </c>
      <c r="D3072" s="5">
        <v>4</v>
      </c>
      <c r="E3072" s="12" t="s">
        <v>17536</v>
      </c>
      <c r="F3072" s="7" t="s">
        <v>11535</v>
      </c>
    </row>
    <row r="3073" ht="18" customHeight="1" spans="1:6">
      <c r="A3073" s="13" t="s">
        <v>9220</v>
      </c>
      <c r="B3073" s="5" t="s">
        <v>9656</v>
      </c>
      <c r="C3073" s="9" t="s">
        <v>17537</v>
      </c>
      <c r="D3073" s="5">
        <v>1</v>
      </c>
      <c r="E3073" s="12" t="s">
        <v>17538</v>
      </c>
      <c r="F3073" s="7" t="s">
        <v>11535</v>
      </c>
    </row>
    <row r="3074" ht="18" customHeight="1" spans="1:6">
      <c r="A3074" s="13" t="s">
        <v>9220</v>
      </c>
      <c r="B3074" s="5" t="s">
        <v>9656</v>
      </c>
      <c r="C3074" s="9" t="s">
        <v>17539</v>
      </c>
      <c r="D3074" s="5">
        <v>2</v>
      </c>
      <c r="E3074" s="12" t="s">
        <v>17540</v>
      </c>
      <c r="F3074" s="7" t="s">
        <v>11535</v>
      </c>
    </row>
    <row r="3075" ht="18" customHeight="1" spans="1:6">
      <c r="A3075" s="13" t="s">
        <v>9220</v>
      </c>
      <c r="B3075" s="5" t="s">
        <v>9656</v>
      </c>
      <c r="C3075" s="9" t="s">
        <v>17541</v>
      </c>
      <c r="D3075" s="5">
        <v>4</v>
      </c>
      <c r="E3075" s="12" t="s">
        <v>17542</v>
      </c>
      <c r="F3075" s="7" t="s">
        <v>11535</v>
      </c>
    </row>
    <row r="3076" ht="18" customHeight="1" spans="1:6">
      <c r="A3076" s="13" t="s">
        <v>9220</v>
      </c>
      <c r="B3076" s="81" t="s">
        <v>17045</v>
      </c>
      <c r="C3076" s="81" t="s">
        <v>17543</v>
      </c>
      <c r="D3076" s="13">
        <v>3</v>
      </c>
      <c r="E3076" s="81" t="s">
        <v>17544</v>
      </c>
      <c r="F3076" s="7" t="s">
        <v>11535</v>
      </c>
    </row>
    <row r="3077" ht="18" customHeight="1" spans="1:6">
      <c r="A3077" s="13" t="s">
        <v>9220</v>
      </c>
      <c r="B3077" s="81" t="s">
        <v>17045</v>
      </c>
      <c r="C3077" s="81" t="s">
        <v>17545</v>
      </c>
      <c r="D3077" s="13">
        <v>3</v>
      </c>
      <c r="E3077" s="81" t="s">
        <v>17546</v>
      </c>
      <c r="F3077" s="7" t="s">
        <v>11535</v>
      </c>
    </row>
    <row r="3078" ht="18" customHeight="1" spans="1:6">
      <c r="A3078" s="13" t="s">
        <v>9220</v>
      </c>
      <c r="B3078" s="13" t="s">
        <v>4335</v>
      </c>
      <c r="C3078" s="81" t="s">
        <v>17547</v>
      </c>
      <c r="D3078" s="13">
        <v>2</v>
      </c>
      <c r="E3078" s="13" t="s">
        <v>17548</v>
      </c>
      <c r="F3078" s="7" t="s">
        <v>11535</v>
      </c>
    </row>
    <row r="3079" ht="18" customHeight="1" spans="1:6">
      <c r="A3079" s="13" t="s">
        <v>9760</v>
      </c>
      <c r="B3079" s="13"/>
      <c r="C3079" s="13">
        <v>396</v>
      </c>
      <c r="D3079" s="13">
        <v>1321</v>
      </c>
      <c r="E3079" s="13"/>
      <c r="F3079" s="5"/>
    </row>
    <row r="3080" ht="18" customHeight="1" spans="1:6">
      <c r="A3080" s="13" t="s">
        <v>9761</v>
      </c>
      <c r="B3080" s="5" t="s">
        <v>9767</v>
      </c>
      <c r="C3080" s="13" t="s">
        <v>17549</v>
      </c>
      <c r="D3080" s="15">
        <v>5</v>
      </c>
      <c r="E3080" s="13" t="s">
        <v>17550</v>
      </c>
      <c r="F3080" s="7" t="s">
        <v>11535</v>
      </c>
    </row>
    <row r="3081" ht="18" customHeight="1" spans="1:6">
      <c r="A3081" s="13" t="s">
        <v>9761</v>
      </c>
      <c r="B3081" s="13" t="s">
        <v>9767</v>
      </c>
      <c r="C3081" s="13" t="s">
        <v>17551</v>
      </c>
      <c r="D3081" s="13">
        <v>5</v>
      </c>
      <c r="E3081" s="13" t="s">
        <v>17552</v>
      </c>
      <c r="F3081" s="7" t="s">
        <v>11535</v>
      </c>
    </row>
    <row r="3082" ht="18" customHeight="1" spans="1:6">
      <c r="A3082" s="13" t="s">
        <v>9761</v>
      </c>
      <c r="B3082" s="13" t="s">
        <v>9767</v>
      </c>
      <c r="C3082" s="13" t="s">
        <v>17553</v>
      </c>
      <c r="D3082" s="13">
        <v>4</v>
      </c>
      <c r="E3082" s="13" t="s">
        <v>17554</v>
      </c>
      <c r="F3082" s="7" t="s">
        <v>11535</v>
      </c>
    </row>
    <row r="3083" ht="18" customHeight="1" spans="1:6">
      <c r="A3083" s="13" t="s">
        <v>9761</v>
      </c>
      <c r="B3083" s="13" t="s">
        <v>9767</v>
      </c>
      <c r="C3083" s="13" t="s">
        <v>17555</v>
      </c>
      <c r="D3083" s="13">
        <v>5</v>
      </c>
      <c r="E3083" s="13" t="s">
        <v>17556</v>
      </c>
      <c r="F3083" s="7" t="s">
        <v>11535</v>
      </c>
    </row>
    <row r="3084" ht="18" customHeight="1" spans="1:6">
      <c r="A3084" s="13" t="s">
        <v>9761</v>
      </c>
      <c r="B3084" s="13" t="s">
        <v>9767</v>
      </c>
      <c r="C3084" s="13" t="s">
        <v>10805</v>
      </c>
      <c r="D3084" s="13">
        <v>6</v>
      </c>
      <c r="E3084" s="13" t="s">
        <v>17557</v>
      </c>
      <c r="F3084" s="7" t="s">
        <v>11535</v>
      </c>
    </row>
    <row r="3085" ht="18" customHeight="1" spans="1:6">
      <c r="A3085" s="13" t="s">
        <v>9761</v>
      </c>
      <c r="B3085" s="13" t="s">
        <v>9767</v>
      </c>
      <c r="C3085" s="13" t="s">
        <v>17558</v>
      </c>
      <c r="D3085" s="13">
        <v>4</v>
      </c>
      <c r="E3085" s="13" t="s">
        <v>17559</v>
      </c>
      <c r="F3085" s="7" t="s">
        <v>11535</v>
      </c>
    </row>
    <row r="3086" ht="18" customHeight="1" spans="1:6">
      <c r="A3086" s="13" t="s">
        <v>9761</v>
      </c>
      <c r="B3086" s="5" t="s">
        <v>9762</v>
      </c>
      <c r="C3086" s="13" t="s">
        <v>17560</v>
      </c>
      <c r="D3086" s="13">
        <v>4</v>
      </c>
      <c r="E3086" s="14" t="s">
        <v>17561</v>
      </c>
      <c r="F3086" s="7" t="s">
        <v>11535</v>
      </c>
    </row>
    <row r="3087" ht="18" customHeight="1" spans="1:6">
      <c r="A3087" s="13" t="s">
        <v>9761</v>
      </c>
      <c r="B3087" s="5" t="s">
        <v>9762</v>
      </c>
      <c r="C3087" s="13" t="s">
        <v>2435</v>
      </c>
      <c r="D3087" s="13">
        <v>5</v>
      </c>
      <c r="E3087" s="14" t="s">
        <v>17562</v>
      </c>
      <c r="F3087" s="7" t="s">
        <v>11535</v>
      </c>
    </row>
    <row r="3088" ht="18" customHeight="1" spans="1:6">
      <c r="A3088" s="13" t="s">
        <v>9761</v>
      </c>
      <c r="B3088" s="5" t="s">
        <v>9762</v>
      </c>
      <c r="C3088" s="13" t="s">
        <v>17563</v>
      </c>
      <c r="D3088" s="13">
        <v>2</v>
      </c>
      <c r="E3088" s="14" t="s">
        <v>17564</v>
      </c>
      <c r="F3088" s="7" t="s">
        <v>11535</v>
      </c>
    </row>
    <row r="3089" ht="18" customHeight="1" spans="1:6">
      <c r="A3089" s="13" t="s">
        <v>9761</v>
      </c>
      <c r="B3089" s="5" t="s">
        <v>9762</v>
      </c>
      <c r="C3089" s="13" t="s">
        <v>17565</v>
      </c>
      <c r="D3089" s="13">
        <v>3</v>
      </c>
      <c r="E3089" s="13" t="s">
        <v>17566</v>
      </c>
      <c r="F3089" s="7" t="s">
        <v>11535</v>
      </c>
    </row>
    <row r="3090" ht="18" customHeight="1" spans="1:6">
      <c r="A3090" s="13" t="s">
        <v>9761</v>
      </c>
      <c r="B3090" s="5" t="s">
        <v>9762</v>
      </c>
      <c r="C3090" s="13" t="s">
        <v>17567</v>
      </c>
      <c r="D3090" s="13">
        <v>2</v>
      </c>
      <c r="E3090" s="14" t="s">
        <v>17568</v>
      </c>
      <c r="F3090" s="7" t="s">
        <v>11535</v>
      </c>
    </row>
    <row r="3091" ht="18" customHeight="1" spans="1:6">
      <c r="A3091" s="13" t="s">
        <v>9761</v>
      </c>
      <c r="B3091" s="5" t="s">
        <v>9762</v>
      </c>
      <c r="C3091" s="13" t="s">
        <v>17569</v>
      </c>
      <c r="D3091" s="13">
        <v>2</v>
      </c>
      <c r="E3091" s="14" t="s">
        <v>17570</v>
      </c>
      <c r="F3091" s="7" t="s">
        <v>11535</v>
      </c>
    </row>
    <row r="3092" ht="18" customHeight="1" spans="1:6">
      <c r="A3092" s="13" t="s">
        <v>9761</v>
      </c>
      <c r="B3092" s="5" t="s">
        <v>9762</v>
      </c>
      <c r="C3092" s="13" t="s">
        <v>17571</v>
      </c>
      <c r="D3092" s="13">
        <v>2</v>
      </c>
      <c r="E3092" s="14" t="s">
        <v>17572</v>
      </c>
      <c r="F3092" s="7" t="s">
        <v>11535</v>
      </c>
    </row>
    <row r="3093" ht="18" customHeight="1" spans="1:6">
      <c r="A3093" s="13" t="s">
        <v>9761</v>
      </c>
      <c r="B3093" s="5" t="s">
        <v>9762</v>
      </c>
      <c r="C3093" s="13" t="s">
        <v>17573</v>
      </c>
      <c r="D3093" s="13">
        <v>1</v>
      </c>
      <c r="E3093" s="14" t="s">
        <v>17574</v>
      </c>
      <c r="F3093" s="7" t="s">
        <v>11535</v>
      </c>
    </row>
    <row r="3094" ht="18" customHeight="1" spans="1:6">
      <c r="A3094" s="13" t="s">
        <v>9761</v>
      </c>
      <c r="B3094" s="5" t="s">
        <v>9762</v>
      </c>
      <c r="C3094" s="13" t="s">
        <v>17575</v>
      </c>
      <c r="D3094" s="13">
        <v>2</v>
      </c>
      <c r="E3094" s="14" t="s">
        <v>17576</v>
      </c>
      <c r="F3094" s="7" t="s">
        <v>11535</v>
      </c>
    </row>
    <row r="3095" ht="18" customHeight="1" spans="1:6">
      <c r="A3095" s="13" t="s">
        <v>9761</v>
      </c>
      <c r="B3095" s="5" t="s">
        <v>9762</v>
      </c>
      <c r="C3095" s="13" t="s">
        <v>17577</v>
      </c>
      <c r="D3095" s="13">
        <v>3</v>
      </c>
      <c r="E3095" s="14" t="s">
        <v>17578</v>
      </c>
      <c r="F3095" s="7" t="s">
        <v>11535</v>
      </c>
    </row>
    <row r="3096" ht="18" customHeight="1" spans="1:6">
      <c r="A3096" s="13" t="s">
        <v>9761</v>
      </c>
      <c r="B3096" s="5" t="s">
        <v>9762</v>
      </c>
      <c r="C3096" s="13" t="s">
        <v>17579</v>
      </c>
      <c r="D3096" s="13">
        <v>2</v>
      </c>
      <c r="E3096" s="14" t="s">
        <v>17580</v>
      </c>
      <c r="F3096" s="7" t="s">
        <v>11535</v>
      </c>
    </row>
    <row r="3097" ht="18" customHeight="1" spans="1:6">
      <c r="A3097" s="13" t="s">
        <v>9761</v>
      </c>
      <c r="B3097" s="5" t="s">
        <v>9762</v>
      </c>
      <c r="C3097" s="13" t="s">
        <v>17581</v>
      </c>
      <c r="D3097" s="13">
        <v>5</v>
      </c>
      <c r="E3097" s="14" t="s">
        <v>17582</v>
      </c>
      <c r="F3097" s="7" t="s">
        <v>11535</v>
      </c>
    </row>
    <row r="3098" ht="18" customHeight="1" spans="1:6">
      <c r="A3098" s="13" t="s">
        <v>9761</v>
      </c>
      <c r="B3098" s="5" t="s">
        <v>9762</v>
      </c>
      <c r="C3098" s="13" t="s">
        <v>17583</v>
      </c>
      <c r="D3098" s="13">
        <v>4</v>
      </c>
      <c r="E3098" s="14" t="s">
        <v>17584</v>
      </c>
      <c r="F3098" s="7" t="s">
        <v>11535</v>
      </c>
    </row>
    <row r="3099" ht="18" customHeight="1" spans="1:6">
      <c r="A3099" s="13" t="s">
        <v>9761</v>
      </c>
      <c r="B3099" s="5" t="s">
        <v>9762</v>
      </c>
      <c r="C3099" s="13" t="s">
        <v>17585</v>
      </c>
      <c r="D3099" s="13">
        <v>2</v>
      </c>
      <c r="E3099" s="14" t="s">
        <v>17586</v>
      </c>
      <c r="F3099" s="7" t="s">
        <v>11535</v>
      </c>
    </row>
    <row r="3100" ht="18" customHeight="1" spans="1:6">
      <c r="A3100" s="13" t="s">
        <v>9761</v>
      </c>
      <c r="B3100" s="5" t="s">
        <v>9762</v>
      </c>
      <c r="C3100" s="13" t="s">
        <v>17587</v>
      </c>
      <c r="D3100" s="13">
        <v>1</v>
      </c>
      <c r="E3100" s="14" t="s">
        <v>17588</v>
      </c>
      <c r="F3100" s="7" t="s">
        <v>11535</v>
      </c>
    </row>
    <row r="3101" ht="18" customHeight="1" spans="1:6">
      <c r="A3101" s="13" t="s">
        <v>9761</v>
      </c>
      <c r="B3101" s="5" t="s">
        <v>9762</v>
      </c>
      <c r="C3101" s="13" t="s">
        <v>17589</v>
      </c>
      <c r="D3101" s="13">
        <v>2</v>
      </c>
      <c r="E3101" s="14" t="s">
        <v>17590</v>
      </c>
      <c r="F3101" s="7" t="s">
        <v>11535</v>
      </c>
    </row>
    <row r="3102" ht="18" customHeight="1" spans="1:6">
      <c r="A3102" s="13" t="s">
        <v>9761</v>
      </c>
      <c r="B3102" s="5" t="s">
        <v>9762</v>
      </c>
      <c r="C3102" s="13" t="s">
        <v>17591</v>
      </c>
      <c r="D3102" s="13">
        <v>3</v>
      </c>
      <c r="E3102" s="14" t="s">
        <v>17592</v>
      </c>
      <c r="F3102" s="7" t="s">
        <v>11535</v>
      </c>
    </row>
    <row r="3103" ht="18" customHeight="1" spans="1:6">
      <c r="A3103" s="13" t="s">
        <v>9761</v>
      </c>
      <c r="B3103" s="5" t="s">
        <v>9769</v>
      </c>
      <c r="C3103" s="5" t="s">
        <v>17593</v>
      </c>
      <c r="D3103" s="5">
        <v>5</v>
      </c>
      <c r="E3103" s="5" t="s">
        <v>17594</v>
      </c>
      <c r="F3103" s="7" t="s">
        <v>11535</v>
      </c>
    </row>
    <row r="3104" ht="18" customHeight="1" spans="1:6">
      <c r="A3104" s="13" t="s">
        <v>9761</v>
      </c>
      <c r="B3104" s="5" t="s">
        <v>9769</v>
      </c>
      <c r="C3104" s="5" t="s">
        <v>17595</v>
      </c>
      <c r="D3104" s="5">
        <v>4</v>
      </c>
      <c r="E3104" s="5" t="s">
        <v>17596</v>
      </c>
      <c r="F3104" s="7" t="s">
        <v>11535</v>
      </c>
    </row>
    <row r="3105" ht="18" customHeight="1" spans="1:6">
      <c r="A3105" s="13" t="s">
        <v>9761</v>
      </c>
      <c r="B3105" s="5" t="s">
        <v>9762</v>
      </c>
      <c r="C3105" s="13" t="s">
        <v>17597</v>
      </c>
      <c r="D3105" s="13">
        <v>2</v>
      </c>
      <c r="E3105" s="14" t="s">
        <v>17598</v>
      </c>
      <c r="F3105" s="7" t="s">
        <v>11535</v>
      </c>
    </row>
    <row r="3106" ht="18" customHeight="1" spans="1:6">
      <c r="A3106" s="13" t="s">
        <v>9761</v>
      </c>
      <c r="B3106" s="5" t="s">
        <v>9762</v>
      </c>
      <c r="C3106" s="13" t="s">
        <v>17599</v>
      </c>
      <c r="D3106" s="5">
        <v>8</v>
      </c>
      <c r="E3106" s="14" t="s">
        <v>17600</v>
      </c>
      <c r="F3106" s="7" t="s">
        <v>11535</v>
      </c>
    </row>
    <row r="3107" ht="18" customHeight="1" spans="1:6">
      <c r="A3107" s="13" t="s">
        <v>9761</v>
      </c>
      <c r="B3107" s="5" t="s">
        <v>9762</v>
      </c>
      <c r="C3107" s="13" t="s">
        <v>17601</v>
      </c>
      <c r="D3107" s="13">
        <v>3</v>
      </c>
      <c r="E3107" s="14" t="s">
        <v>17602</v>
      </c>
      <c r="F3107" s="7" t="s">
        <v>11535</v>
      </c>
    </row>
    <row r="3108" ht="18" customHeight="1" spans="1:6">
      <c r="A3108" s="13" t="s">
        <v>9761</v>
      </c>
      <c r="B3108" s="5" t="s">
        <v>9762</v>
      </c>
      <c r="C3108" s="13" t="s">
        <v>17603</v>
      </c>
      <c r="D3108" s="13">
        <v>3</v>
      </c>
      <c r="E3108" s="14" t="s">
        <v>17604</v>
      </c>
      <c r="F3108" s="7" t="s">
        <v>11535</v>
      </c>
    </row>
    <row r="3109" ht="18" customHeight="1" spans="1:6">
      <c r="A3109" s="13" t="s">
        <v>9761</v>
      </c>
      <c r="B3109" s="5" t="s">
        <v>9762</v>
      </c>
      <c r="C3109" s="13" t="s">
        <v>17605</v>
      </c>
      <c r="D3109" s="13">
        <v>2</v>
      </c>
      <c r="E3109" s="14" t="s">
        <v>17606</v>
      </c>
      <c r="F3109" s="7" t="s">
        <v>11535</v>
      </c>
    </row>
    <row r="3110" ht="18" customHeight="1" spans="1:6">
      <c r="A3110" s="13" t="s">
        <v>9761</v>
      </c>
      <c r="B3110" s="5" t="s">
        <v>9762</v>
      </c>
      <c r="C3110" s="13" t="s">
        <v>17607</v>
      </c>
      <c r="D3110" s="13">
        <v>2</v>
      </c>
      <c r="E3110" s="14" t="s">
        <v>17608</v>
      </c>
      <c r="F3110" s="7" t="s">
        <v>11535</v>
      </c>
    </row>
    <row r="3111" ht="18" customHeight="1" spans="1:6">
      <c r="A3111" s="13" t="s">
        <v>9761</v>
      </c>
      <c r="B3111" s="5" t="s">
        <v>9762</v>
      </c>
      <c r="C3111" s="13" t="s">
        <v>17609</v>
      </c>
      <c r="D3111" s="13">
        <v>6</v>
      </c>
      <c r="E3111" s="14" t="s">
        <v>17610</v>
      </c>
      <c r="F3111" s="7" t="s">
        <v>11535</v>
      </c>
    </row>
    <row r="3112" ht="18" customHeight="1" spans="1:6">
      <c r="A3112" s="13" t="s">
        <v>9761</v>
      </c>
      <c r="B3112" s="5" t="s">
        <v>9762</v>
      </c>
      <c r="C3112" s="13" t="s">
        <v>17611</v>
      </c>
      <c r="D3112" s="13">
        <v>3</v>
      </c>
      <c r="E3112" s="14" t="s">
        <v>17612</v>
      </c>
      <c r="F3112" s="7" t="s">
        <v>11535</v>
      </c>
    </row>
    <row r="3113" ht="18" customHeight="1" spans="1:6">
      <c r="A3113" s="13" t="s">
        <v>9761</v>
      </c>
      <c r="B3113" s="5" t="s">
        <v>9769</v>
      </c>
      <c r="C3113" s="13" t="s">
        <v>17613</v>
      </c>
      <c r="D3113" s="13">
        <v>3</v>
      </c>
      <c r="E3113" s="14" t="s">
        <v>17614</v>
      </c>
      <c r="F3113" s="7" t="s">
        <v>11535</v>
      </c>
    </row>
    <row r="3114" ht="18" customHeight="1" spans="1:6">
      <c r="A3114" s="13" t="s">
        <v>9761</v>
      </c>
      <c r="B3114" s="5" t="s">
        <v>9769</v>
      </c>
      <c r="C3114" s="13" t="s">
        <v>17615</v>
      </c>
      <c r="D3114" s="13">
        <v>1</v>
      </c>
      <c r="E3114" s="14" t="s">
        <v>17616</v>
      </c>
      <c r="F3114" s="7" t="s">
        <v>11535</v>
      </c>
    </row>
    <row r="3115" ht="18" customHeight="1" spans="1:6">
      <c r="A3115" s="13" t="s">
        <v>9761</v>
      </c>
      <c r="B3115" s="5" t="s">
        <v>9767</v>
      </c>
      <c r="C3115" s="13" t="s">
        <v>17617</v>
      </c>
      <c r="D3115" s="13">
        <v>4</v>
      </c>
      <c r="E3115" s="14" t="s">
        <v>17618</v>
      </c>
      <c r="F3115" s="7" t="s">
        <v>11535</v>
      </c>
    </row>
    <row r="3116" ht="18" customHeight="1" spans="1:6">
      <c r="A3116" s="13" t="s">
        <v>9761</v>
      </c>
      <c r="B3116" s="5" t="s">
        <v>9767</v>
      </c>
      <c r="C3116" s="13" t="s">
        <v>17619</v>
      </c>
      <c r="D3116" s="13">
        <v>5</v>
      </c>
      <c r="E3116" s="14" t="s">
        <v>17620</v>
      </c>
      <c r="F3116" s="7" t="s">
        <v>11535</v>
      </c>
    </row>
    <row r="3117" ht="18" customHeight="1" spans="1:6">
      <c r="A3117" s="13" t="s">
        <v>9761</v>
      </c>
      <c r="B3117" s="5" t="s">
        <v>9785</v>
      </c>
      <c r="C3117" s="13" t="s">
        <v>7618</v>
      </c>
      <c r="D3117" s="13">
        <v>4</v>
      </c>
      <c r="E3117" s="14" t="s">
        <v>17621</v>
      </c>
      <c r="F3117" s="7" t="s">
        <v>11535</v>
      </c>
    </row>
    <row r="3118" ht="18" customHeight="1" spans="1:6">
      <c r="A3118" s="13" t="s">
        <v>9761</v>
      </c>
      <c r="B3118" s="5" t="s">
        <v>9798</v>
      </c>
      <c r="C3118" s="13" t="s">
        <v>17622</v>
      </c>
      <c r="D3118" s="13">
        <v>4</v>
      </c>
      <c r="E3118" s="5" t="str">
        <f>LEFT("422626197502257024",19)</f>
        <v>422626197502257024</v>
      </c>
      <c r="F3118" s="7" t="s">
        <v>11535</v>
      </c>
    </row>
    <row r="3119" ht="18" customHeight="1" spans="1:6">
      <c r="A3119" s="13" t="s">
        <v>9761</v>
      </c>
      <c r="B3119" s="5" t="s">
        <v>9814</v>
      </c>
      <c r="C3119" s="5" t="s">
        <v>17623</v>
      </c>
      <c r="D3119" s="5">
        <v>7</v>
      </c>
      <c r="E3119" s="5" t="s">
        <v>17624</v>
      </c>
      <c r="F3119" s="7" t="s">
        <v>11535</v>
      </c>
    </row>
    <row r="3120" ht="18" customHeight="1" spans="1:6">
      <c r="A3120" s="13" t="s">
        <v>9761</v>
      </c>
      <c r="B3120" s="5" t="s">
        <v>9821</v>
      </c>
      <c r="C3120" s="5" t="s">
        <v>1273</v>
      </c>
      <c r="D3120" s="5">
        <v>4</v>
      </c>
      <c r="E3120" s="5" t="s">
        <v>17625</v>
      </c>
      <c r="F3120" s="7" t="s">
        <v>11535</v>
      </c>
    </row>
    <row r="3121" ht="18" customHeight="1" spans="1:6">
      <c r="A3121" s="13" t="s">
        <v>9761</v>
      </c>
      <c r="B3121" s="13" t="s">
        <v>9824</v>
      </c>
      <c r="C3121" s="5" t="s">
        <v>17626</v>
      </c>
      <c r="D3121" s="5">
        <v>2</v>
      </c>
      <c r="E3121" s="5" t="s">
        <v>17627</v>
      </c>
      <c r="F3121" s="7" t="s">
        <v>11535</v>
      </c>
    </row>
    <row r="3122" ht="18" customHeight="1" spans="1:6">
      <c r="A3122" s="13" t="s">
        <v>9761</v>
      </c>
      <c r="B3122" s="5" t="s">
        <v>9865</v>
      </c>
      <c r="C3122" s="5" t="s">
        <v>17628</v>
      </c>
      <c r="D3122" s="5">
        <v>4</v>
      </c>
      <c r="E3122" s="8" t="s">
        <v>17629</v>
      </c>
      <c r="F3122" s="7" t="s">
        <v>11535</v>
      </c>
    </row>
    <row r="3123" ht="18" customHeight="1" spans="1:6">
      <c r="A3123" s="13" t="s">
        <v>9761</v>
      </c>
      <c r="B3123" s="5" t="s">
        <v>9865</v>
      </c>
      <c r="C3123" s="5" t="s">
        <v>17630</v>
      </c>
      <c r="D3123" s="5">
        <v>3</v>
      </c>
      <c r="E3123" s="8" t="s">
        <v>17631</v>
      </c>
      <c r="F3123" s="7" t="s">
        <v>11535</v>
      </c>
    </row>
    <row r="3124" ht="18" customHeight="1" spans="1:6">
      <c r="A3124" s="13" t="s">
        <v>9761</v>
      </c>
      <c r="B3124" s="5" t="s">
        <v>9865</v>
      </c>
      <c r="C3124" s="5" t="s">
        <v>17632</v>
      </c>
      <c r="D3124" s="5">
        <v>2</v>
      </c>
      <c r="E3124" s="8" t="s">
        <v>17633</v>
      </c>
      <c r="F3124" s="7" t="s">
        <v>11535</v>
      </c>
    </row>
    <row r="3125" ht="18" customHeight="1" spans="1:6">
      <c r="A3125" s="13" t="s">
        <v>9761</v>
      </c>
      <c r="B3125" s="5" t="s">
        <v>9865</v>
      </c>
      <c r="C3125" s="13" t="s">
        <v>17634</v>
      </c>
      <c r="D3125" s="13">
        <v>2</v>
      </c>
      <c r="E3125" s="8" t="s">
        <v>17635</v>
      </c>
      <c r="F3125" s="7" t="s">
        <v>11535</v>
      </c>
    </row>
    <row r="3126" ht="18" customHeight="1" spans="1:6">
      <c r="A3126" s="13" t="s">
        <v>9761</v>
      </c>
      <c r="B3126" s="8" t="s">
        <v>17636</v>
      </c>
      <c r="C3126" s="8" t="s">
        <v>17637</v>
      </c>
      <c r="D3126" s="8">
        <v>4</v>
      </c>
      <c r="E3126" s="8" t="s">
        <v>17638</v>
      </c>
      <c r="F3126" s="7" t="s">
        <v>11535</v>
      </c>
    </row>
    <row r="3127" ht="18" customHeight="1" spans="1:6">
      <c r="A3127" s="13" t="s">
        <v>9761</v>
      </c>
      <c r="B3127" s="8" t="s">
        <v>17636</v>
      </c>
      <c r="C3127" s="8" t="s">
        <v>17639</v>
      </c>
      <c r="D3127" s="8">
        <v>4</v>
      </c>
      <c r="E3127" s="8" t="s">
        <v>17640</v>
      </c>
      <c r="F3127" s="7" t="s">
        <v>11535</v>
      </c>
    </row>
    <row r="3128" ht="18" customHeight="1" spans="1:6">
      <c r="A3128" s="13" t="s">
        <v>9761</v>
      </c>
      <c r="B3128" s="8" t="s">
        <v>17641</v>
      </c>
      <c r="C3128" s="8" t="s">
        <v>17642</v>
      </c>
      <c r="D3128" s="8">
        <v>3</v>
      </c>
      <c r="E3128" s="8" t="s">
        <v>17643</v>
      </c>
      <c r="F3128" s="7" t="s">
        <v>11535</v>
      </c>
    </row>
    <row r="3129" ht="18" customHeight="1" spans="1:6">
      <c r="A3129" s="13" t="s">
        <v>9761</v>
      </c>
      <c r="B3129" s="8" t="s">
        <v>9955</v>
      </c>
      <c r="C3129" s="8" t="s">
        <v>7740</v>
      </c>
      <c r="D3129" s="8">
        <v>2</v>
      </c>
      <c r="E3129" s="8" t="s">
        <v>17644</v>
      </c>
      <c r="F3129" s="7" t="s">
        <v>11535</v>
      </c>
    </row>
    <row r="3130" ht="18" customHeight="1" spans="1:6">
      <c r="A3130" s="13" t="s">
        <v>9761</v>
      </c>
      <c r="B3130" s="8" t="s">
        <v>17641</v>
      </c>
      <c r="C3130" s="8" t="s">
        <v>17645</v>
      </c>
      <c r="D3130" s="8">
        <v>2</v>
      </c>
      <c r="E3130" s="8" t="s">
        <v>17646</v>
      </c>
      <c r="F3130" s="7" t="s">
        <v>11535</v>
      </c>
    </row>
    <row r="3131" ht="18" customHeight="1" spans="1:6">
      <c r="A3131" s="13" t="s">
        <v>9761</v>
      </c>
      <c r="B3131" s="8" t="s">
        <v>17641</v>
      </c>
      <c r="C3131" s="8" t="s">
        <v>17647</v>
      </c>
      <c r="D3131" s="8">
        <v>5</v>
      </c>
      <c r="E3131" s="8" t="s">
        <v>17648</v>
      </c>
      <c r="F3131" s="7" t="s">
        <v>11535</v>
      </c>
    </row>
    <row r="3132" ht="18" customHeight="1" spans="1:6">
      <c r="A3132" s="13" t="s">
        <v>9761</v>
      </c>
      <c r="B3132" s="8" t="s">
        <v>17649</v>
      </c>
      <c r="C3132" s="8" t="s">
        <v>17650</v>
      </c>
      <c r="D3132" s="8">
        <v>2</v>
      </c>
      <c r="E3132" s="8" t="s">
        <v>17651</v>
      </c>
      <c r="F3132" s="7" t="s">
        <v>11535</v>
      </c>
    </row>
    <row r="3133" ht="18" customHeight="1" spans="1:6">
      <c r="A3133" s="13" t="s">
        <v>9761</v>
      </c>
      <c r="B3133" s="8" t="s">
        <v>9955</v>
      </c>
      <c r="C3133" s="8" t="s">
        <v>17652</v>
      </c>
      <c r="D3133" s="8">
        <v>4</v>
      </c>
      <c r="E3133" s="8" t="s">
        <v>17653</v>
      </c>
      <c r="F3133" s="7" t="s">
        <v>11535</v>
      </c>
    </row>
    <row r="3134" ht="18" customHeight="1" spans="1:6">
      <c r="A3134" s="13" t="s">
        <v>9761</v>
      </c>
      <c r="B3134" s="8" t="s">
        <v>17636</v>
      </c>
      <c r="C3134" s="8" t="s">
        <v>17654</v>
      </c>
      <c r="D3134" s="8">
        <v>4</v>
      </c>
      <c r="E3134" s="8" t="s">
        <v>17655</v>
      </c>
      <c r="F3134" s="7" t="s">
        <v>11535</v>
      </c>
    </row>
    <row r="3135" ht="18" customHeight="1" spans="1:6">
      <c r="A3135" s="13" t="s">
        <v>9761</v>
      </c>
      <c r="B3135" s="8" t="s">
        <v>17656</v>
      </c>
      <c r="C3135" s="8" t="s">
        <v>17657</v>
      </c>
      <c r="D3135" s="8">
        <v>3</v>
      </c>
      <c r="E3135" s="8" t="s">
        <v>17658</v>
      </c>
      <c r="F3135" s="7" t="s">
        <v>11535</v>
      </c>
    </row>
    <row r="3136" ht="18" customHeight="1" spans="1:6">
      <c r="A3136" s="13" t="s">
        <v>9761</v>
      </c>
      <c r="B3136" s="8" t="s">
        <v>17659</v>
      </c>
      <c r="C3136" s="8" t="s">
        <v>17660</v>
      </c>
      <c r="D3136" s="8">
        <v>5</v>
      </c>
      <c r="E3136" s="8" t="s">
        <v>17661</v>
      </c>
      <c r="F3136" s="7" t="s">
        <v>11535</v>
      </c>
    </row>
    <row r="3137" ht="18" customHeight="1" spans="1:6">
      <c r="A3137" s="13" t="s">
        <v>9761</v>
      </c>
      <c r="B3137" s="8" t="s">
        <v>17662</v>
      </c>
      <c r="C3137" s="8" t="s">
        <v>17663</v>
      </c>
      <c r="D3137" s="8">
        <v>3</v>
      </c>
      <c r="E3137" s="8" t="s">
        <v>17664</v>
      </c>
      <c r="F3137" s="7" t="s">
        <v>11535</v>
      </c>
    </row>
    <row r="3138" ht="18" customHeight="1" spans="1:6">
      <c r="A3138" s="13" t="s">
        <v>9761</v>
      </c>
      <c r="B3138" s="8" t="s">
        <v>17649</v>
      </c>
      <c r="C3138" s="8" t="s">
        <v>17665</v>
      </c>
      <c r="D3138" s="8">
        <v>3</v>
      </c>
      <c r="E3138" s="8" t="s">
        <v>17666</v>
      </c>
      <c r="F3138" s="7" t="s">
        <v>11535</v>
      </c>
    </row>
    <row r="3139" ht="18" customHeight="1" spans="1:6">
      <c r="A3139" s="13" t="s">
        <v>9761</v>
      </c>
      <c r="B3139" s="8" t="s">
        <v>9955</v>
      </c>
      <c r="C3139" s="8" t="s">
        <v>17667</v>
      </c>
      <c r="D3139" s="8">
        <v>4</v>
      </c>
      <c r="E3139" s="8" t="s">
        <v>17668</v>
      </c>
      <c r="F3139" s="7" t="s">
        <v>11535</v>
      </c>
    </row>
    <row r="3140" ht="18" customHeight="1" spans="1:6">
      <c r="A3140" s="13" t="s">
        <v>9761</v>
      </c>
      <c r="B3140" s="8" t="s">
        <v>17641</v>
      </c>
      <c r="C3140" s="8" t="s">
        <v>17669</v>
      </c>
      <c r="D3140" s="8">
        <v>4</v>
      </c>
      <c r="E3140" s="8" t="s">
        <v>17670</v>
      </c>
      <c r="F3140" s="7" t="s">
        <v>11535</v>
      </c>
    </row>
    <row r="3141" ht="18" customHeight="1" spans="1:6">
      <c r="A3141" s="13" t="s">
        <v>9761</v>
      </c>
      <c r="B3141" s="8" t="s">
        <v>17671</v>
      </c>
      <c r="C3141" s="8" t="s">
        <v>17672</v>
      </c>
      <c r="D3141" s="8">
        <v>2</v>
      </c>
      <c r="E3141" s="8" t="s">
        <v>17673</v>
      </c>
      <c r="F3141" s="7" t="s">
        <v>11535</v>
      </c>
    </row>
    <row r="3142" ht="18" customHeight="1" spans="1:6">
      <c r="A3142" s="13" t="s">
        <v>9761</v>
      </c>
      <c r="B3142" s="8" t="s">
        <v>17656</v>
      </c>
      <c r="C3142" s="8" t="s">
        <v>17674</v>
      </c>
      <c r="D3142" s="8">
        <v>3</v>
      </c>
      <c r="E3142" s="8" t="s">
        <v>17675</v>
      </c>
      <c r="F3142" s="7" t="s">
        <v>11535</v>
      </c>
    </row>
    <row r="3143" ht="18" customHeight="1" spans="1:6">
      <c r="A3143" s="13" t="s">
        <v>9761</v>
      </c>
      <c r="B3143" s="8" t="s">
        <v>17649</v>
      </c>
      <c r="C3143" s="8" t="s">
        <v>17676</v>
      </c>
      <c r="D3143" s="8">
        <v>1</v>
      </c>
      <c r="E3143" s="8" t="s">
        <v>17677</v>
      </c>
      <c r="F3143" s="7" t="s">
        <v>11535</v>
      </c>
    </row>
    <row r="3144" ht="18" customHeight="1" spans="1:6">
      <c r="A3144" s="13" t="s">
        <v>9761</v>
      </c>
      <c r="B3144" s="8" t="s">
        <v>17636</v>
      </c>
      <c r="C3144" s="8" t="s">
        <v>17678</v>
      </c>
      <c r="D3144" s="8">
        <v>3</v>
      </c>
      <c r="E3144" s="8" t="s">
        <v>17679</v>
      </c>
      <c r="F3144" s="7" t="s">
        <v>11535</v>
      </c>
    </row>
    <row r="3145" ht="18" customHeight="1" spans="1:6">
      <c r="A3145" s="13" t="s">
        <v>9761</v>
      </c>
      <c r="B3145" s="8" t="s">
        <v>17671</v>
      </c>
      <c r="C3145" s="8" t="s">
        <v>17680</v>
      </c>
      <c r="D3145" s="8">
        <v>6</v>
      </c>
      <c r="E3145" s="8" t="s">
        <v>17681</v>
      </c>
      <c r="F3145" s="7" t="s">
        <v>11535</v>
      </c>
    </row>
    <row r="3146" ht="18" customHeight="1" spans="1:6">
      <c r="A3146" s="13" t="s">
        <v>9761</v>
      </c>
      <c r="B3146" s="8" t="s">
        <v>17641</v>
      </c>
      <c r="C3146" s="8" t="s">
        <v>17682</v>
      </c>
      <c r="D3146" s="8">
        <v>3</v>
      </c>
      <c r="E3146" s="8" t="s">
        <v>17683</v>
      </c>
      <c r="F3146" s="7" t="s">
        <v>11535</v>
      </c>
    </row>
    <row r="3147" ht="18" customHeight="1" spans="1:6">
      <c r="A3147" s="13" t="s">
        <v>9761</v>
      </c>
      <c r="B3147" s="8" t="s">
        <v>9955</v>
      </c>
      <c r="C3147" s="8" t="s">
        <v>17684</v>
      </c>
      <c r="D3147" s="8">
        <v>1</v>
      </c>
      <c r="E3147" s="8" t="s">
        <v>17685</v>
      </c>
      <c r="F3147" s="7" t="s">
        <v>11535</v>
      </c>
    </row>
    <row r="3148" ht="18" customHeight="1" spans="1:6">
      <c r="A3148" s="13" t="s">
        <v>9761</v>
      </c>
      <c r="B3148" s="8" t="s">
        <v>17656</v>
      </c>
      <c r="C3148" s="8" t="s">
        <v>17686</v>
      </c>
      <c r="D3148" s="8">
        <v>4</v>
      </c>
      <c r="E3148" s="8" t="s">
        <v>17687</v>
      </c>
      <c r="F3148" s="7" t="s">
        <v>11535</v>
      </c>
    </row>
    <row r="3149" ht="18" customHeight="1" spans="1:6">
      <c r="A3149" s="13" t="s">
        <v>9761</v>
      </c>
      <c r="B3149" s="8" t="s">
        <v>17656</v>
      </c>
      <c r="C3149" s="8" t="s">
        <v>17688</v>
      </c>
      <c r="D3149" s="8">
        <v>1</v>
      </c>
      <c r="E3149" s="8" t="s">
        <v>17689</v>
      </c>
      <c r="F3149" s="7" t="s">
        <v>11535</v>
      </c>
    </row>
    <row r="3150" ht="18" customHeight="1" spans="1:6">
      <c r="A3150" s="13" t="s">
        <v>9761</v>
      </c>
      <c r="B3150" s="5" t="s">
        <v>9985</v>
      </c>
      <c r="C3150" s="5" t="s">
        <v>17690</v>
      </c>
      <c r="D3150" s="5">
        <v>4</v>
      </c>
      <c r="E3150" s="82" t="s">
        <v>17691</v>
      </c>
      <c r="F3150" s="7" t="s">
        <v>11535</v>
      </c>
    </row>
    <row r="3151" ht="18" customHeight="1" spans="1:6">
      <c r="A3151" s="13" t="s">
        <v>9761</v>
      </c>
      <c r="B3151" s="5" t="s">
        <v>9985</v>
      </c>
      <c r="C3151" s="5" t="s">
        <v>17692</v>
      </c>
      <c r="D3151" s="5">
        <v>5</v>
      </c>
      <c r="E3151" s="82" t="s">
        <v>17693</v>
      </c>
      <c r="F3151" s="7" t="s">
        <v>11535</v>
      </c>
    </row>
    <row r="3152" ht="18" customHeight="1" spans="1:6">
      <c r="A3152" s="13" t="s">
        <v>9761</v>
      </c>
      <c r="B3152" s="5" t="s">
        <v>17694</v>
      </c>
      <c r="C3152" s="5" t="s">
        <v>17695</v>
      </c>
      <c r="D3152" s="5">
        <v>4</v>
      </c>
      <c r="E3152" s="82" t="s">
        <v>17696</v>
      </c>
      <c r="F3152" s="7" t="s">
        <v>11535</v>
      </c>
    </row>
    <row r="3153" ht="18" customHeight="1" spans="1:6">
      <c r="A3153" s="13" t="s">
        <v>9761</v>
      </c>
      <c r="B3153" s="5" t="s">
        <v>9977</v>
      </c>
      <c r="C3153" s="5" t="s">
        <v>17697</v>
      </c>
      <c r="D3153" s="5">
        <v>5</v>
      </c>
      <c r="E3153" s="82" t="s">
        <v>17698</v>
      </c>
      <c r="F3153" s="7" t="s">
        <v>11535</v>
      </c>
    </row>
    <row r="3154" ht="18" customHeight="1" spans="1:6">
      <c r="A3154" s="13" t="s">
        <v>9761</v>
      </c>
      <c r="B3154" s="5" t="s">
        <v>17699</v>
      </c>
      <c r="C3154" s="5" t="s">
        <v>17700</v>
      </c>
      <c r="D3154" s="5">
        <v>3</v>
      </c>
      <c r="E3154" s="82" t="s">
        <v>17701</v>
      </c>
      <c r="F3154" s="7" t="s">
        <v>11535</v>
      </c>
    </row>
    <row r="3155" ht="18" customHeight="1" spans="1:6">
      <c r="A3155" s="13" t="s">
        <v>9761</v>
      </c>
      <c r="B3155" s="5" t="s">
        <v>9987</v>
      </c>
      <c r="C3155" s="5" t="s">
        <v>2811</v>
      </c>
      <c r="D3155" s="5">
        <v>3</v>
      </c>
      <c r="E3155" s="82" t="s">
        <v>17702</v>
      </c>
      <c r="F3155" s="7" t="s">
        <v>11535</v>
      </c>
    </row>
    <row r="3156" ht="18" customHeight="1" spans="1:6">
      <c r="A3156" s="13" t="s">
        <v>9761</v>
      </c>
      <c r="B3156" s="5" t="s">
        <v>9985</v>
      </c>
      <c r="C3156" s="5" t="s">
        <v>17703</v>
      </c>
      <c r="D3156" s="5">
        <v>6</v>
      </c>
      <c r="E3156" s="82" t="s">
        <v>17704</v>
      </c>
      <c r="F3156" s="7" t="s">
        <v>11535</v>
      </c>
    </row>
    <row r="3157" ht="18" customHeight="1" spans="1:6">
      <c r="A3157" s="13" t="s">
        <v>9761</v>
      </c>
      <c r="B3157" s="83" t="s">
        <v>9995</v>
      </c>
      <c r="C3157" s="83" t="s">
        <v>17705</v>
      </c>
      <c r="D3157" s="83">
        <v>4</v>
      </c>
      <c r="E3157" s="5" t="s">
        <v>17706</v>
      </c>
      <c r="F3157" s="7" t="s">
        <v>11535</v>
      </c>
    </row>
    <row r="3158" ht="18" customHeight="1" spans="1:6">
      <c r="A3158" s="13" t="s">
        <v>9761</v>
      </c>
      <c r="B3158" s="83" t="s">
        <v>9995</v>
      </c>
      <c r="C3158" s="13" t="s">
        <v>17707</v>
      </c>
      <c r="D3158" s="13">
        <v>4</v>
      </c>
      <c r="E3158" s="5" t="s">
        <v>17708</v>
      </c>
      <c r="F3158" s="7" t="s">
        <v>11535</v>
      </c>
    </row>
    <row r="3159" ht="18" customHeight="1" spans="1:6">
      <c r="A3159" s="13" t="s">
        <v>9761</v>
      </c>
      <c r="B3159" s="83" t="s">
        <v>9995</v>
      </c>
      <c r="C3159" s="13" t="s">
        <v>17709</v>
      </c>
      <c r="D3159" s="13">
        <v>7</v>
      </c>
      <c r="E3159" s="5" t="s">
        <v>17710</v>
      </c>
      <c r="F3159" s="7" t="s">
        <v>11535</v>
      </c>
    </row>
    <row r="3160" ht="18" customHeight="1" spans="1:6">
      <c r="A3160" s="13" t="s">
        <v>9761</v>
      </c>
      <c r="B3160" s="83" t="s">
        <v>9995</v>
      </c>
      <c r="C3160" s="13" t="s">
        <v>17711</v>
      </c>
      <c r="D3160" s="13">
        <v>4</v>
      </c>
      <c r="E3160" s="5" t="s">
        <v>17712</v>
      </c>
      <c r="F3160" s="7" t="s">
        <v>11535</v>
      </c>
    </row>
    <row r="3161" ht="18" customHeight="1" spans="1:6">
      <c r="A3161" s="13" t="s">
        <v>9761</v>
      </c>
      <c r="B3161" s="5" t="s">
        <v>10000</v>
      </c>
      <c r="C3161" s="13" t="s">
        <v>17713</v>
      </c>
      <c r="D3161" s="13">
        <v>1</v>
      </c>
      <c r="E3161" s="5" t="s">
        <v>17714</v>
      </c>
      <c r="F3161" s="7" t="s">
        <v>11535</v>
      </c>
    </row>
    <row r="3162" ht="18" customHeight="1" spans="1:6">
      <c r="A3162" s="13" t="s">
        <v>9761</v>
      </c>
      <c r="B3162" s="5" t="s">
        <v>10000</v>
      </c>
      <c r="C3162" s="13" t="s">
        <v>17715</v>
      </c>
      <c r="D3162" s="13">
        <v>1</v>
      </c>
      <c r="E3162" s="5" t="s">
        <v>17716</v>
      </c>
      <c r="F3162" s="7" t="s">
        <v>11535</v>
      </c>
    </row>
    <row r="3163" ht="18" customHeight="1" spans="1:6">
      <c r="A3163" s="13" t="s">
        <v>9761</v>
      </c>
      <c r="B3163" s="5" t="s">
        <v>10000</v>
      </c>
      <c r="C3163" s="13" t="s">
        <v>17717</v>
      </c>
      <c r="D3163" s="13">
        <v>1</v>
      </c>
      <c r="E3163" s="5" t="s">
        <v>17718</v>
      </c>
      <c r="F3163" s="7" t="s">
        <v>11535</v>
      </c>
    </row>
    <row r="3164" ht="18" customHeight="1" spans="1:6">
      <c r="A3164" s="13" t="s">
        <v>9761</v>
      </c>
      <c r="B3164" s="5" t="s">
        <v>10000</v>
      </c>
      <c r="C3164" s="13" t="s">
        <v>17719</v>
      </c>
      <c r="D3164" s="13">
        <v>1</v>
      </c>
      <c r="E3164" s="5" t="s">
        <v>17720</v>
      </c>
      <c r="F3164" s="7" t="s">
        <v>11535</v>
      </c>
    </row>
    <row r="3165" ht="18" customHeight="1" spans="1:6">
      <c r="A3165" s="13" t="s">
        <v>9761</v>
      </c>
      <c r="B3165" s="5" t="s">
        <v>10000</v>
      </c>
      <c r="C3165" s="13" t="s">
        <v>17721</v>
      </c>
      <c r="D3165" s="13">
        <v>1</v>
      </c>
      <c r="E3165" s="5" t="s">
        <v>17722</v>
      </c>
      <c r="F3165" s="7" t="s">
        <v>11535</v>
      </c>
    </row>
    <row r="3166" ht="18" customHeight="1" spans="1:6">
      <c r="A3166" s="13" t="s">
        <v>9761</v>
      </c>
      <c r="B3166" s="5" t="s">
        <v>10000</v>
      </c>
      <c r="C3166" s="13" t="s">
        <v>17723</v>
      </c>
      <c r="D3166" s="13">
        <v>3</v>
      </c>
      <c r="E3166" s="5" t="s">
        <v>17724</v>
      </c>
      <c r="F3166" s="7" t="s">
        <v>11535</v>
      </c>
    </row>
    <row r="3167" ht="18" customHeight="1" spans="1:6">
      <c r="A3167" s="13" t="s">
        <v>9761</v>
      </c>
      <c r="B3167" s="5" t="s">
        <v>10000</v>
      </c>
      <c r="C3167" s="13" t="s">
        <v>17725</v>
      </c>
      <c r="D3167" s="13">
        <v>4</v>
      </c>
      <c r="E3167" s="5" t="s">
        <v>17726</v>
      </c>
      <c r="F3167" s="7" t="s">
        <v>11535</v>
      </c>
    </row>
    <row r="3168" ht="18" customHeight="1" spans="1:6">
      <c r="A3168" s="13" t="s">
        <v>9761</v>
      </c>
      <c r="B3168" s="5" t="s">
        <v>10000</v>
      </c>
      <c r="C3168" s="13" t="s">
        <v>17727</v>
      </c>
      <c r="D3168" s="13">
        <v>6</v>
      </c>
      <c r="E3168" s="5" t="s">
        <v>17728</v>
      </c>
      <c r="F3168" s="7" t="s">
        <v>11535</v>
      </c>
    </row>
    <row r="3169" ht="18" customHeight="1" spans="1:6">
      <c r="A3169" s="13" t="s">
        <v>9761</v>
      </c>
      <c r="B3169" s="5" t="s">
        <v>10000</v>
      </c>
      <c r="C3169" s="13" t="s">
        <v>17729</v>
      </c>
      <c r="D3169" s="13">
        <v>4</v>
      </c>
      <c r="E3169" s="5" t="s">
        <v>17730</v>
      </c>
      <c r="F3169" s="7" t="s">
        <v>11535</v>
      </c>
    </row>
    <row r="3170" ht="18" customHeight="1" spans="1:6">
      <c r="A3170" s="13" t="s">
        <v>9761</v>
      </c>
      <c r="B3170" s="5" t="s">
        <v>10000</v>
      </c>
      <c r="C3170" s="13" t="s">
        <v>17731</v>
      </c>
      <c r="D3170" s="13">
        <v>3</v>
      </c>
      <c r="E3170" s="5" t="s">
        <v>17732</v>
      </c>
      <c r="F3170" s="7" t="s">
        <v>11535</v>
      </c>
    </row>
    <row r="3171" ht="18" customHeight="1" spans="1:6">
      <c r="A3171" s="13" t="s">
        <v>9761</v>
      </c>
      <c r="B3171" s="5" t="s">
        <v>10000</v>
      </c>
      <c r="C3171" s="13" t="s">
        <v>17733</v>
      </c>
      <c r="D3171" s="13">
        <v>6</v>
      </c>
      <c r="E3171" s="5" t="s">
        <v>17734</v>
      </c>
      <c r="F3171" s="7" t="s">
        <v>11535</v>
      </c>
    </row>
    <row r="3172" ht="18" customHeight="1" spans="1:6">
      <c r="A3172" s="13" t="s">
        <v>9761</v>
      </c>
      <c r="B3172" s="5" t="s">
        <v>10000</v>
      </c>
      <c r="C3172" s="13" t="s">
        <v>17735</v>
      </c>
      <c r="D3172" s="13">
        <v>4</v>
      </c>
      <c r="E3172" s="5" t="s">
        <v>17736</v>
      </c>
      <c r="F3172" s="7" t="s">
        <v>11535</v>
      </c>
    </row>
    <row r="3173" ht="18" customHeight="1" spans="1:6">
      <c r="A3173" s="13" t="s">
        <v>9761</v>
      </c>
      <c r="B3173" s="5" t="s">
        <v>10000</v>
      </c>
      <c r="C3173" s="13" t="s">
        <v>17737</v>
      </c>
      <c r="D3173" s="13">
        <v>4</v>
      </c>
      <c r="E3173" s="5" t="s">
        <v>17738</v>
      </c>
      <c r="F3173" s="7" t="s">
        <v>11535</v>
      </c>
    </row>
    <row r="3174" ht="18" customHeight="1" spans="1:6">
      <c r="A3174" s="13" t="s">
        <v>9761</v>
      </c>
      <c r="B3174" s="5" t="s">
        <v>10000</v>
      </c>
      <c r="C3174" s="13" t="s">
        <v>17739</v>
      </c>
      <c r="D3174" s="13">
        <v>3</v>
      </c>
      <c r="E3174" s="5" t="s">
        <v>17740</v>
      </c>
      <c r="F3174" s="7" t="s">
        <v>11535</v>
      </c>
    </row>
    <row r="3175" ht="18" customHeight="1" spans="1:6">
      <c r="A3175" s="13" t="s">
        <v>9761</v>
      </c>
      <c r="B3175" s="5" t="s">
        <v>10000</v>
      </c>
      <c r="C3175" s="13" t="s">
        <v>17741</v>
      </c>
      <c r="D3175" s="13">
        <v>5</v>
      </c>
      <c r="E3175" s="5" t="s">
        <v>17742</v>
      </c>
      <c r="F3175" s="7" t="s">
        <v>11535</v>
      </c>
    </row>
    <row r="3176" ht="18" customHeight="1" spans="1:6">
      <c r="A3176" s="13" t="s">
        <v>9761</v>
      </c>
      <c r="B3176" s="5" t="s">
        <v>10006</v>
      </c>
      <c r="C3176" s="13" t="s">
        <v>17743</v>
      </c>
      <c r="D3176" s="13">
        <v>4</v>
      </c>
      <c r="E3176" s="5" t="s">
        <v>17744</v>
      </c>
      <c r="F3176" s="7" t="s">
        <v>11535</v>
      </c>
    </row>
    <row r="3177" ht="18" customHeight="1" spans="1:6">
      <c r="A3177" s="13" t="s">
        <v>9761</v>
      </c>
      <c r="B3177" s="5" t="s">
        <v>10006</v>
      </c>
      <c r="C3177" s="13" t="s">
        <v>17745</v>
      </c>
      <c r="D3177" s="13">
        <v>5</v>
      </c>
      <c r="E3177" s="5" t="s">
        <v>17746</v>
      </c>
      <c r="F3177" s="7" t="s">
        <v>11535</v>
      </c>
    </row>
    <row r="3178" ht="18" customHeight="1" spans="1:6">
      <c r="A3178" s="13" t="s">
        <v>9761</v>
      </c>
      <c r="B3178" s="5" t="s">
        <v>10006</v>
      </c>
      <c r="C3178" s="13" t="s">
        <v>17747</v>
      </c>
      <c r="D3178" s="13">
        <v>3</v>
      </c>
      <c r="E3178" s="5" t="s">
        <v>17748</v>
      </c>
      <c r="F3178" s="7" t="s">
        <v>11535</v>
      </c>
    </row>
    <row r="3179" ht="18" customHeight="1" spans="1:6">
      <c r="A3179" s="13" t="s">
        <v>9761</v>
      </c>
      <c r="B3179" s="5" t="s">
        <v>10006</v>
      </c>
      <c r="C3179" s="13" t="s">
        <v>17749</v>
      </c>
      <c r="D3179" s="13">
        <v>5</v>
      </c>
      <c r="E3179" s="5" t="s">
        <v>17750</v>
      </c>
      <c r="F3179" s="7" t="s">
        <v>11535</v>
      </c>
    </row>
    <row r="3180" ht="18" customHeight="1" spans="1:6">
      <c r="A3180" s="13" t="s">
        <v>9761</v>
      </c>
      <c r="B3180" s="5" t="s">
        <v>10006</v>
      </c>
      <c r="C3180" s="13" t="s">
        <v>13352</v>
      </c>
      <c r="D3180" s="13">
        <v>4</v>
      </c>
      <c r="E3180" s="5" t="s">
        <v>17751</v>
      </c>
      <c r="F3180" s="7" t="s">
        <v>11535</v>
      </c>
    </row>
    <row r="3181" ht="18" customHeight="1" spans="1:6">
      <c r="A3181" s="13" t="s">
        <v>9761</v>
      </c>
      <c r="B3181" s="5" t="s">
        <v>10006</v>
      </c>
      <c r="C3181" s="13" t="s">
        <v>17752</v>
      </c>
      <c r="D3181" s="13">
        <v>3</v>
      </c>
      <c r="E3181" s="5" t="s">
        <v>17753</v>
      </c>
      <c r="F3181" s="7" t="s">
        <v>11535</v>
      </c>
    </row>
    <row r="3182" ht="18" customHeight="1" spans="1:6">
      <c r="A3182" s="13" t="s">
        <v>9761</v>
      </c>
      <c r="B3182" s="5" t="s">
        <v>10006</v>
      </c>
      <c r="C3182" s="13" t="s">
        <v>17754</v>
      </c>
      <c r="D3182" s="13">
        <v>5</v>
      </c>
      <c r="E3182" s="5" t="s">
        <v>17755</v>
      </c>
      <c r="F3182" s="7" t="s">
        <v>11535</v>
      </c>
    </row>
    <row r="3183" ht="18" customHeight="1" spans="1:6">
      <c r="A3183" s="13" t="s">
        <v>9761</v>
      </c>
      <c r="B3183" s="5" t="s">
        <v>10006</v>
      </c>
      <c r="C3183" s="13" t="s">
        <v>17756</v>
      </c>
      <c r="D3183" s="13">
        <v>2</v>
      </c>
      <c r="E3183" s="5" t="s">
        <v>17757</v>
      </c>
      <c r="F3183" s="7" t="s">
        <v>11535</v>
      </c>
    </row>
    <row r="3184" ht="18" customHeight="1" spans="1:6">
      <c r="A3184" s="13" t="s">
        <v>9761</v>
      </c>
      <c r="B3184" s="5" t="s">
        <v>10006</v>
      </c>
      <c r="C3184" s="13" t="s">
        <v>17758</v>
      </c>
      <c r="D3184" s="13">
        <v>4</v>
      </c>
      <c r="E3184" s="5" t="s">
        <v>17759</v>
      </c>
      <c r="F3184" s="7" t="s">
        <v>11535</v>
      </c>
    </row>
    <row r="3185" ht="18" customHeight="1" spans="1:6">
      <c r="A3185" s="13" t="s">
        <v>9761</v>
      </c>
      <c r="B3185" s="5" t="s">
        <v>10006</v>
      </c>
      <c r="C3185" s="13" t="s">
        <v>17760</v>
      </c>
      <c r="D3185" s="13">
        <v>4</v>
      </c>
      <c r="E3185" s="5" t="s">
        <v>17761</v>
      </c>
      <c r="F3185" s="7" t="s">
        <v>11535</v>
      </c>
    </row>
    <row r="3186" ht="18" customHeight="1" spans="1:6">
      <c r="A3186" s="13" t="s">
        <v>9761</v>
      </c>
      <c r="B3186" s="5" t="s">
        <v>10006</v>
      </c>
      <c r="C3186" s="13" t="s">
        <v>17762</v>
      </c>
      <c r="D3186" s="13">
        <v>3</v>
      </c>
      <c r="E3186" s="5" t="s">
        <v>17763</v>
      </c>
      <c r="F3186" s="7" t="s">
        <v>11535</v>
      </c>
    </row>
    <row r="3187" ht="18" customHeight="1" spans="1:6">
      <c r="A3187" s="13" t="s">
        <v>9761</v>
      </c>
      <c r="B3187" s="5" t="s">
        <v>10006</v>
      </c>
      <c r="C3187" s="13" t="s">
        <v>17764</v>
      </c>
      <c r="D3187" s="13">
        <v>2</v>
      </c>
      <c r="E3187" s="5" t="s">
        <v>17765</v>
      </c>
      <c r="F3187" s="7" t="s">
        <v>11535</v>
      </c>
    </row>
    <row r="3188" ht="18" customHeight="1" spans="1:6">
      <c r="A3188" s="13" t="s">
        <v>9761</v>
      </c>
      <c r="B3188" s="5" t="s">
        <v>10006</v>
      </c>
      <c r="C3188" s="13" t="s">
        <v>17766</v>
      </c>
      <c r="D3188" s="13">
        <v>4</v>
      </c>
      <c r="E3188" s="5" t="s">
        <v>17767</v>
      </c>
      <c r="F3188" s="7" t="s">
        <v>11535</v>
      </c>
    </row>
    <row r="3189" ht="18" customHeight="1" spans="1:6">
      <c r="A3189" s="13" t="s">
        <v>9761</v>
      </c>
      <c r="B3189" s="5" t="s">
        <v>10006</v>
      </c>
      <c r="C3189" s="13" t="s">
        <v>17768</v>
      </c>
      <c r="D3189" s="13">
        <v>5</v>
      </c>
      <c r="E3189" s="5" t="s">
        <v>17769</v>
      </c>
      <c r="F3189" s="7" t="s">
        <v>11535</v>
      </c>
    </row>
    <row r="3190" ht="18" customHeight="1" spans="1:6">
      <c r="A3190" s="13" t="s">
        <v>9761</v>
      </c>
      <c r="B3190" s="5" t="s">
        <v>10006</v>
      </c>
      <c r="C3190" s="13" t="s">
        <v>17770</v>
      </c>
      <c r="D3190" s="13">
        <v>1</v>
      </c>
      <c r="E3190" s="5" t="s">
        <v>17771</v>
      </c>
      <c r="F3190" s="7" t="s">
        <v>11535</v>
      </c>
    </row>
    <row r="3191" ht="18" customHeight="1" spans="1:6">
      <c r="A3191" s="13" t="s">
        <v>9761</v>
      </c>
      <c r="B3191" s="5" t="s">
        <v>10006</v>
      </c>
      <c r="C3191" s="13" t="s">
        <v>17772</v>
      </c>
      <c r="D3191" s="13">
        <v>1</v>
      </c>
      <c r="E3191" s="5" t="s">
        <v>17773</v>
      </c>
      <c r="F3191" s="7" t="s">
        <v>11535</v>
      </c>
    </row>
    <row r="3192" ht="18" customHeight="1" spans="1:6">
      <c r="A3192" s="13" t="s">
        <v>9761</v>
      </c>
      <c r="B3192" s="5" t="s">
        <v>10006</v>
      </c>
      <c r="C3192" s="13" t="s">
        <v>17774</v>
      </c>
      <c r="D3192" s="13">
        <v>1</v>
      </c>
      <c r="E3192" s="5" t="s">
        <v>17775</v>
      </c>
      <c r="F3192" s="7" t="s">
        <v>11535</v>
      </c>
    </row>
    <row r="3193" ht="18" customHeight="1" spans="1:6">
      <c r="A3193" s="13" t="s">
        <v>9761</v>
      </c>
      <c r="B3193" s="5" t="s">
        <v>10006</v>
      </c>
      <c r="C3193" s="13" t="s">
        <v>17776</v>
      </c>
      <c r="D3193" s="13">
        <v>3</v>
      </c>
      <c r="E3193" s="5" t="s">
        <v>17777</v>
      </c>
      <c r="F3193" s="7" t="s">
        <v>11535</v>
      </c>
    </row>
    <row r="3194" ht="18" customHeight="1" spans="1:6">
      <c r="A3194" s="13" t="s">
        <v>9761</v>
      </c>
      <c r="B3194" s="5" t="s">
        <v>10006</v>
      </c>
      <c r="C3194" s="13" t="s">
        <v>17778</v>
      </c>
      <c r="D3194" s="13">
        <v>5</v>
      </c>
      <c r="E3194" s="5" t="s">
        <v>17779</v>
      </c>
      <c r="F3194" s="7" t="s">
        <v>11535</v>
      </c>
    </row>
    <row r="3195" ht="18" customHeight="1" spans="1:6">
      <c r="A3195" s="13" t="s">
        <v>9761</v>
      </c>
      <c r="B3195" s="5" t="s">
        <v>10006</v>
      </c>
      <c r="C3195" s="13" t="s">
        <v>17780</v>
      </c>
      <c r="D3195" s="13">
        <v>5</v>
      </c>
      <c r="E3195" s="5" t="s">
        <v>17781</v>
      </c>
      <c r="F3195" s="7" t="s">
        <v>11535</v>
      </c>
    </row>
    <row r="3196" ht="18" customHeight="1" spans="1:6">
      <c r="A3196" s="13" t="s">
        <v>9761</v>
      </c>
      <c r="B3196" s="5" t="s">
        <v>10015</v>
      </c>
      <c r="C3196" s="13" t="s">
        <v>17782</v>
      </c>
      <c r="D3196" s="13">
        <v>2</v>
      </c>
      <c r="E3196" s="5" t="s">
        <v>17783</v>
      </c>
      <c r="F3196" s="7" t="s">
        <v>11535</v>
      </c>
    </row>
    <row r="3197" ht="18" customHeight="1" spans="1:6">
      <c r="A3197" s="13" t="s">
        <v>9761</v>
      </c>
      <c r="B3197" s="5" t="s">
        <v>10015</v>
      </c>
      <c r="C3197" s="13" t="s">
        <v>17784</v>
      </c>
      <c r="D3197" s="13">
        <v>4</v>
      </c>
      <c r="E3197" s="5" t="s">
        <v>17785</v>
      </c>
      <c r="F3197" s="7" t="s">
        <v>11535</v>
      </c>
    </row>
    <row r="3198" ht="18" customHeight="1" spans="1:6">
      <c r="A3198" s="13" t="s">
        <v>9761</v>
      </c>
      <c r="B3198" s="5" t="s">
        <v>10015</v>
      </c>
      <c r="C3198" s="13" t="s">
        <v>17786</v>
      </c>
      <c r="D3198" s="13">
        <v>4</v>
      </c>
      <c r="E3198" s="5" t="s">
        <v>17787</v>
      </c>
      <c r="F3198" s="7" t="s">
        <v>11535</v>
      </c>
    </row>
    <row r="3199" ht="18" customHeight="1" spans="1:6">
      <c r="A3199" s="13" t="s">
        <v>9761</v>
      </c>
      <c r="B3199" s="5" t="s">
        <v>10015</v>
      </c>
      <c r="C3199" s="13" t="s">
        <v>17788</v>
      </c>
      <c r="D3199" s="13">
        <v>3</v>
      </c>
      <c r="E3199" s="5" t="s">
        <v>17789</v>
      </c>
      <c r="F3199" s="7" t="s">
        <v>11535</v>
      </c>
    </row>
    <row r="3200" ht="18" customHeight="1" spans="1:6">
      <c r="A3200" s="13" t="s">
        <v>9761</v>
      </c>
      <c r="B3200" s="5" t="s">
        <v>10015</v>
      </c>
      <c r="C3200" s="13" t="s">
        <v>17790</v>
      </c>
      <c r="D3200" s="13">
        <v>3</v>
      </c>
      <c r="E3200" s="5" t="s">
        <v>17791</v>
      </c>
      <c r="F3200" s="7" t="s">
        <v>11535</v>
      </c>
    </row>
    <row r="3201" ht="18" customHeight="1" spans="1:6">
      <c r="A3201" s="13" t="s">
        <v>9761</v>
      </c>
      <c r="B3201" s="5" t="s">
        <v>10015</v>
      </c>
      <c r="C3201" s="13" t="s">
        <v>17792</v>
      </c>
      <c r="D3201" s="13">
        <v>4</v>
      </c>
      <c r="E3201" s="5" t="s">
        <v>17793</v>
      </c>
      <c r="F3201" s="7" t="s">
        <v>11535</v>
      </c>
    </row>
    <row r="3202" ht="18" customHeight="1" spans="1:6">
      <c r="A3202" s="13" t="s">
        <v>9761</v>
      </c>
      <c r="B3202" s="5" t="s">
        <v>10015</v>
      </c>
      <c r="C3202" s="13" t="s">
        <v>17794</v>
      </c>
      <c r="D3202" s="13">
        <v>3</v>
      </c>
      <c r="E3202" s="5" t="s">
        <v>17795</v>
      </c>
      <c r="F3202" s="7" t="s">
        <v>11535</v>
      </c>
    </row>
    <row r="3203" ht="18" customHeight="1" spans="1:6">
      <c r="A3203" s="13" t="s">
        <v>9761</v>
      </c>
      <c r="B3203" s="5" t="s">
        <v>10015</v>
      </c>
      <c r="C3203" s="13" t="s">
        <v>17796</v>
      </c>
      <c r="D3203" s="13">
        <v>2</v>
      </c>
      <c r="E3203" s="5" t="s">
        <v>17797</v>
      </c>
      <c r="F3203" s="7" t="s">
        <v>11535</v>
      </c>
    </row>
    <row r="3204" ht="18" customHeight="1" spans="1:6">
      <c r="A3204" s="13" t="s">
        <v>9761</v>
      </c>
      <c r="B3204" s="5" t="s">
        <v>10015</v>
      </c>
      <c r="C3204" s="13" t="s">
        <v>17798</v>
      </c>
      <c r="D3204" s="13">
        <v>5</v>
      </c>
      <c r="E3204" s="5" t="s">
        <v>17799</v>
      </c>
      <c r="F3204" s="7" t="s">
        <v>11535</v>
      </c>
    </row>
    <row r="3205" ht="18" customHeight="1" spans="1:6">
      <c r="A3205" s="13" t="s">
        <v>9761</v>
      </c>
      <c r="B3205" s="5" t="s">
        <v>10015</v>
      </c>
      <c r="C3205" s="13" t="s">
        <v>17800</v>
      </c>
      <c r="D3205" s="13">
        <v>4</v>
      </c>
      <c r="E3205" s="5" t="s">
        <v>17801</v>
      </c>
      <c r="F3205" s="7" t="s">
        <v>11535</v>
      </c>
    </row>
    <row r="3206" ht="18" customHeight="1" spans="1:6">
      <c r="A3206" s="13" t="s">
        <v>9761</v>
      </c>
      <c r="B3206" s="5" t="s">
        <v>10015</v>
      </c>
      <c r="C3206" s="13" t="s">
        <v>17802</v>
      </c>
      <c r="D3206" s="13">
        <v>3</v>
      </c>
      <c r="E3206" s="5" t="s">
        <v>17803</v>
      </c>
      <c r="F3206" s="7" t="s">
        <v>11535</v>
      </c>
    </row>
    <row r="3207" ht="18" customHeight="1" spans="1:6">
      <c r="A3207" s="13" t="s">
        <v>9761</v>
      </c>
      <c r="B3207" s="5" t="s">
        <v>10015</v>
      </c>
      <c r="C3207" s="13" t="s">
        <v>17804</v>
      </c>
      <c r="D3207" s="13">
        <v>6</v>
      </c>
      <c r="E3207" s="5" t="s">
        <v>17805</v>
      </c>
      <c r="F3207" s="7" t="s">
        <v>11535</v>
      </c>
    </row>
    <row r="3208" ht="18" customHeight="1" spans="1:6">
      <c r="A3208" s="13" t="s">
        <v>9761</v>
      </c>
      <c r="B3208" s="5" t="s">
        <v>10015</v>
      </c>
      <c r="C3208" s="13" t="s">
        <v>17806</v>
      </c>
      <c r="D3208" s="13">
        <v>6</v>
      </c>
      <c r="E3208" s="5" t="s">
        <v>17807</v>
      </c>
      <c r="F3208" s="7" t="s">
        <v>11535</v>
      </c>
    </row>
    <row r="3209" ht="18" customHeight="1" spans="1:6">
      <c r="A3209" s="13" t="s">
        <v>9761</v>
      </c>
      <c r="B3209" s="5" t="s">
        <v>10015</v>
      </c>
      <c r="C3209" s="13" t="s">
        <v>17808</v>
      </c>
      <c r="D3209" s="13">
        <v>4</v>
      </c>
      <c r="E3209" s="5" t="s">
        <v>17809</v>
      </c>
      <c r="F3209" s="7" t="s">
        <v>11535</v>
      </c>
    </row>
    <row r="3210" ht="18" customHeight="1" spans="1:6">
      <c r="A3210" s="13" t="s">
        <v>9761</v>
      </c>
      <c r="B3210" s="5" t="s">
        <v>10015</v>
      </c>
      <c r="C3210" s="13" t="s">
        <v>17810</v>
      </c>
      <c r="D3210" s="13">
        <v>1</v>
      </c>
      <c r="E3210" s="5" t="s">
        <v>17811</v>
      </c>
      <c r="F3210" s="7" t="s">
        <v>11535</v>
      </c>
    </row>
    <row r="3211" ht="18" customHeight="1" spans="1:6">
      <c r="A3211" s="13" t="s">
        <v>9761</v>
      </c>
      <c r="B3211" s="5" t="s">
        <v>10015</v>
      </c>
      <c r="C3211" s="13" t="s">
        <v>17812</v>
      </c>
      <c r="D3211" s="13">
        <v>3</v>
      </c>
      <c r="E3211" s="5" t="s">
        <v>17813</v>
      </c>
      <c r="F3211" s="7" t="s">
        <v>11535</v>
      </c>
    </row>
    <row r="3212" ht="18" customHeight="1" spans="1:6">
      <c r="A3212" s="13" t="s">
        <v>9761</v>
      </c>
      <c r="B3212" s="5" t="s">
        <v>10015</v>
      </c>
      <c r="C3212" s="13" t="s">
        <v>17814</v>
      </c>
      <c r="D3212" s="13">
        <v>3</v>
      </c>
      <c r="E3212" s="5" t="s">
        <v>17815</v>
      </c>
      <c r="F3212" s="7" t="s">
        <v>11535</v>
      </c>
    </row>
    <row r="3213" ht="18" customHeight="1" spans="1:6">
      <c r="A3213" s="13" t="s">
        <v>9761</v>
      </c>
      <c r="B3213" s="5" t="s">
        <v>10015</v>
      </c>
      <c r="C3213" s="13" t="s">
        <v>17816</v>
      </c>
      <c r="D3213" s="13">
        <v>3</v>
      </c>
      <c r="E3213" s="5" t="s">
        <v>17817</v>
      </c>
      <c r="F3213" s="7" t="s">
        <v>11535</v>
      </c>
    </row>
    <row r="3214" ht="18" customHeight="1" spans="1:6">
      <c r="A3214" s="13" t="s">
        <v>9761</v>
      </c>
      <c r="B3214" s="5" t="s">
        <v>10015</v>
      </c>
      <c r="C3214" s="13" t="s">
        <v>17818</v>
      </c>
      <c r="D3214" s="13">
        <v>2</v>
      </c>
      <c r="E3214" s="5" t="s">
        <v>17819</v>
      </c>
      <c r="F3214" s="7" t="s">
        <v>11535</v>
      </c>
    </row>
    <row r="3215" ht="18" customHeight="1" spans="1:6">
      <c r="A3215" s="13" t="s">
        <v>9761</v>
      </c>
      <c r="B3215" s="5" t="s">
        <v>10015</v>
      </c>
      <c r="C3215" s="13" t="s">
        <v>17820</v>
      </c>
      <c r="D3215" s="13">
        <v>6</v>
      </c>
      <c r="E3215" s="5" t="s">
        <v>17821</v>
      </c>
      <c r="F3215" s="7" t="s">
        <v>11535</v>
      </c>
    </row>
    <row r="3216" ht="18" customHeight="1" spans="1:6">
      <c r="A3216" s="13" t="s">
        <v>9761</v>
      </c>
      <c r="B3216" s="5" t="s">
        <v>10015</v>
      </c>
      <c r="C3216" s="13" t="s">
        <v>17822</v>
      </c>
      <c r="D3216" s="13">
        <v>3</v>
      </c>
      <c r="E3216" s="5" t="s">
        <v>17823</v>
      </c>
      <c r="F3216" s="7" t="s">
        <v>11535</v>
      </c>
    </row>
    <row r="3217" ht="18" customHeight="1" spans="1:6">
      <c r="A3217" s="13" t="s">
        <v>9761</v>
      </c>
      <c r="B3217" s="5" t="s">
        <v>17824</v>
      </c>
      <c r="C3217" s="13" t="s">
        <v>17825</v>
      </c>
      <c r="D3217" s="13">
        <v>1</v>
      </c>
      <c r="E3217" s="8" t="s">
        <v>17826</v>
      </c>
      <c r="F3217" s="7" t="s">
        <v>11535</v>
      </c>
    </row>
    <row r="3218" ht="18" customHeight="1" spans="1:6">
      <c r="A3218" s="13" t="s">
        <v>9761</v>
      </c>
      <c r="B3218" s="5" t="s">
        <v>17824</v>
      </c>
      <c r="C3218" s="13" t="s">
        <v>17827</v>
      </c>
      <c r="D3218" s="13">
        <v>2</v>
      </c>
      <c r="E3218" s="8" t="s">
        <v>17828</v>
      </c>
      <c r="F3218" s="7" t="s">
        <v>11535</v>
      </c>
    </row>
    <row r="3219" ht="18" customHeight="1" spans="1:6">
      <c r="A3219" s="13" t="s">
        <v>9761</v>
      </c>
      <c r="B3219" s="5" t="s">
        <v>17824</v>
      </c>
      <c r="C3219" s="13" t="s">
        <v>17829</v>
      </c>
      <c r="D3219" s="13">
        <v>3</v>
      </c>
      <c r="E3219" s="8" t="s">
        <v>17830</v>
      </c>
      <c r="F3219" s="7" t="s">
        <v>11535</v>
      </c>
    </row>
    <row r="3220" ht="18" customHeight="1" spans="1:6">
      <c r="A3220" s="13" t="s">
        <v>9761</v>
      </c>
      <c r="B3220" s="5" t="s">
        <v>17824</v>
      </c>
      <c r="C3220" s="13" t="s">
        <v>17831</v>
      </c>
      <c r="D3220" s="13">
        <v>4</v>
      </c>
      <c r="E3220" s="8" t="s">
        <v>17832</v>
      </c>
      <c r="F3220" s="7" t="s">
        <v>11535</v>
      </c>
    </row>
    <row r="3221" ht="18" customHeight="1" spans="1:6">
      <c r="A3221" s="13" t="s">
        <v>9761</v>
      </c>
      <c r="B3221" s="5" t="s">
        <v>17824</v>
      </c>
      <c r="C3221" s="13" t="s">
        <v>12071</v>
      </c>
      <c r="D3221" s="13">
        <v>4</v>
      </c>
      <c r="E3221" s="8" t="s">
        <v>17833</v>
      </c>
      <c r="F3221" s="7" t="s">
        <v>11535</v>
      </c>
    </row>
    <row r="3222" ht="18" customHeight="1" spans="1:6">
      <c r="A3222" s="13" t="s">
        <v>9761</v>
      </c>
      <c r="B3222" s="5" t="s">
        <v>17824</v>
      </c>
      <c r="C3222" s="13" t="s">
        <v>17834</v>
      </c>
      <c r="D3222" s="13">
        <v>3</v>
      </c>
      <c r="E3222" s="8" t="s">
        <v>17835</v>
      </c>
      <c r="F3222" s="7" t="s">
        <v>11535</v>
      </c>
    </row>
    <row r="3223" ht="18" customHeight="1" spans="1:6">
      <c r="A3223" s="13" t="s">
        <v>9761</v>
      </c>
      <c r="B3223" s="5" t="s">
        <v>10044</v>
      </c>
      <c r="C3223" s="13" t="s">
        <v>17836</v>
      </c>
      <c r="D3223" s="13">
        <v>2</v>
      </c>
      <c r="E3223" s="8" t="s">
        <v>17837</v>
      </c>
      <c r="F3223" s="7" t="s">
        <v>11535</v>
      </c>
    </row>
    <row r="3224" ht="18" customHeight="1" spans="1:6">
      <c r="A3224" s="13" t="s">
        <v>9761</v>
      </c>
      <c r="B3224" s="5" t="s">
        <v>10044</v>
      </c>
      <c r="C3224" s="13" t="s">
        <v>17838</v>
      </c>
      <c r="D3224" s="13">
        <v>2</v>
      </c>
      <c r="E3224" s="8" t="s">
        <v>17839</v>
      </c>
      <c r="F3224" s="7" t="s">
        <v>11535</v>
      </c>
    </row>
    <row r="3225" ht="18" customHeight="1" spans="1:6">
      <c r="A3225" s="13" t="s">
        <v>9761</v>
      </c>
      <c r="B3225" s="5" t="s">
        <v>10044</v>
      </c>
      <c r="C3225" s="13" t="s">
        <v>17840</v>
      </c>
      <c r="D3225" s="13">
        <v>5</v>
      </c>
      <c r="E3225" s="8" t="s">
        <v>17841</v>
      </c>
      <c r="F3225" s="7" t="s">
        <v>11535</v>
      </c>
    </row>
    <row r="3226" ht="18" customHeight="1" spans="1:6">
      <c r="A3226" s="13" t="s">
        <v>9761</v>
      </c>
      <c r="B3226" s="5" t="s">
        <v>10044</v>
      </c>
      <c r="C3226" s="13" t="s">
        <v>17842</v>
      </c>
      <c r="D3226" s="13">
        <v>3</v>
      </c>
      <c r="E3226" s="8" t="s">
        <v>17843</v>
      </c>
      <c r="F3226" s="7" t="s">
        <v>11535</v>
      </c>
    </row>
    <row r="3227" ht="18" customHeight="1" spans="1:6">
      <c r="A3227" s="13" t="s">
        <v>9761</v>
      </c>
      <c r="B3227" s="5" t="s">
        <v>10031</v>
      </c>
      <c r="C3227" s="13" t="s">
        <v>17844</v>
      </c>
      <c r="D3227" s="13">
        <v>3</v>
      </c>
      <c r="E3227" s="8" t="s">
        <v>17845</v>
      </c>
      <c r="F3227" s="7" t="s">
        <v>11535</v>
      </c>
    </row>
    <row r="3228" ht="18" customHeight="1" spans="1:6">
      <c r="A3228" s="13" t="s">
        <v>9761</v>
      </c>
      <c r="B3228" s="5" t="s">
        <v>10031</v>
      </c>
      <c r="C3228" s="13" t="s">
        <v>17846</v>
      </c>
      <c r="D3228" s="13">
        <v>2</v>
      </c>
      <c r="E3228" s="8" t="s">
        <v>17847</v>
      </c>
      <c r="F3228" s="7" t="s">
        <v>11535</v>
      </c>
    </row>
    <row r="3229" ht="18" customHeight="1" spans="1:6">
      <c r="A3229" s="13" t="s">
        <v>9761</v>
      </c>
      <c r="B3229" s="5" t="s">
        <v>10031</v>
      </c>
      <c r="C3229" s="13" t="s">
        <v>17848</v>
      </c>
      <c r="D3229" s="13">
        <v>3</v>
      </c>
      <c r="E3229" s="8" t="s">
        <v>17849</v>
      </c>
      <c r="F3229" s="7" t="s">
        <v>11535</v>
      </c>
    </row>
    <row r="3230" ht="18" customHeight="1" spans="1:6">
      <c r="A3230" s="13" t="s">
        <v>9761</v>
      </c>
      <c r="B3230" s="5" t="s">
        <v>10028</v>
      </c>
      <c r="C3230" s="13" t="s">
        <v>17850</v>
      </c>
      <c r="D3230" s="13">
        <v>1</v>
      </c>
      <c r="E3230" s="8" t="s">
        <v>17851</v>
      </c>
      <c r="F3230" s="7" t="s">
        <v>11535</v>
      </c>
    </row>
    <row r="3231" ht="18" customHeight="1" spans="1:6">
      <c r="A3231" s="13" t="s">
        <v>9761</v>
      </c>
      <c r="B3231" s="5" t="s">
        <v>10031</v>
      </c>
      <c r="C3231" s="13" t="s">
        <v>12375</v>
      </c>
      <c r="D3231" s="13">
        <v>2</v>
      </c>
      <c r="E3231" s="8" t="s">
        <v>17852</v>
      </c>
      <c r="F3231" s="7" t="s">
        <v>11535</v>
      </c>
    </row>
    <row r="3232" ht="18" customHeight="1" spans="1:6">
      <c r="A3232" s="13" t="s">
        <v>9761</v>
      </c>
      <c r="B3232" s="5" t="s">
        <v>10031</v>
      </c>
      <c r="C3232" s="13" t="s">
        <v>17853</v>
      </c>
      <c r="D3232" s="13">
        <v>3</v>
      </c>
      <c r="E3232" s="8" t="s">
        <v>17854</v>
      </c>
      <c r="F3232" s="7" t="s">
        <v>11535</v>
      </c>
    </row>
    <row r="3233" ht="18" customHeight="1" spans="1:6">
      <c r="A3233" s="13" t="s">
        <v>9761</v>
      </c>
      <c r="B3233" s="5" t="s">
        <v>10031</v>
      </c>
      <c r="C3233" s="13" t="s">
        <v>17855</v>
      </c>
      <c r="D3233" s="13">
        <v>2</v>
      </c>
      <c r="E3233" s="8" t="s">
        <v>17856</v>
      </c>
      <c r="F3233" s="7" t="s">
        <v>11535</v>
      </c>
    </row>
    <row r="3234" ht="18" customHeight="1" spans="1:6">
      <c r="A3234" s="13" t="s">
        <v>9761</v>
      </c>
      <c r="B3234" s="5" t="s">
        <v>10031</v>
      </c>
      <c r="C3234" s="13" t="s">
        <v>17857</v>
      </c>
      <c r="D3234" s="13">
        <v>2</v>
      </c>
      <c r="E3234" s="8" t="s">
        <v>17858</v>
      </c>
      <c r="F3234" s="7" t="s">
        <v>11535</v>
      </c>
    </row>
    <row r="3235" ht="18" customHeight="1" spans="1:6">
      <c r="A3235" s="13" t="s">
        <v>9761</v>
      </c>
      <c r="B3235" s="5" t="s">
        <v>10028</v>
      </c>
      <c r="C3235" s="13" t="s">
        <v>17859</v>
      </c>
      <c r="D3235" s="13">
        <v>3</v>
      </c>
      <c r="E3235" s="8" t="s">
        <v>17860</v>
      </c>
      <c r="F3235" s="7" t="s">
        <v>11535</v>
      </c>
    </row>
    <row r="3236" ht="18" customHeight="1" spans="1:6">
      <c r="A3236" s="13" t="s">
        <v>9761</v>
      </c>
      <c r="B3236" s="5" t="s">
        <v>10041</v>
      </c>
      <c r="C3236" s="13" t="s">
        <v>17861</v>
      </c>
      <c r="D3236" s="13">
        <v>3</v>
      </c>
      <c r="E3236" s="8" t="s">
        <v>17862</v>
      </c>
      <c r="F3236" s="7" t="s">
        <v>11535</v>
      </c>
    </row>
    <row r="3237" ht="18" customHeight="1" spans="1:6">
      <c r="A3237" s="13" t="s">
        <v>9761</v>
      </c>
      <c r="B3237" s="5" t="s">
        <v>10044</v>
      </c>
      <c r="C3237" s="13" t="s">
        <v>17863</v>
      </c>
      <c r="D3237" s="13">
        <v>5</v>
      </c>
      <c r="E3237" s="8" t="s">
        <v>17864</v>
      </c>
      <c r="F3237" s="7" t="s">
        <v>11535</v>
      </c>
    </row>
    <row r="3238" ht="18" customHeight="1" spans="1:6">
      <c r="A3238" s="13" t="s">
        <v>9761</v>
      </c>
      <c r="B3238" s="5" t="s">
        <v>10041</v>
      </c>
      <c r="C3238" s="13" t="s">
        <v>17865</v>
      </c>
      <c r="D3238" s="13">
        <v>4</v>
      </c>
      <c r="E3238" s="8" t="s">
        <v>17866</v>
      </c>
      <c r="F3238" s="7" t="s">
        <v>11535</v>
      </c>
    </row>
    <row r="3239" ht="18" customHeight="1" spans="1:6">
      <c r="A3239" s="13" t="s">
        <v>9761</v>
      </c>
      <c r="B3239" s="5" t="s">
        <v>10041</v>
      </c>
      <c r="C3239" s="13" t="s">
        <v>17867</v>
      </c>
      <c r="D3239" s="13">
        <v>5</v>
      </c>
      <c r="E3239" s="8" t="s">
        <v>17868</v>
      </c>
      <c r="F3239" s="7" t="s">
        <v>11535</v>
      </c>
    </row>
    <row r="3240" ht="18" customHeight="1" spans="1:6">
      <c r="A3240" s="13" t="s">
        <v>9761</v>
      </c>
      <c r="B3240" s="5" t="s">
        <v>10028</v>
      </c>
      <c r="C3240" s="13" t="s">
        <v>17848</v>
      </c>
      <c r="D3240" s="13">
        <v>1</v>
      </c>
      <c r="E3240" s="8" t="s">
        <v>17869</v>
      </c>
      <c r="F3240" s="7" t="s">
        <v>11535</v>
      </c>
    </row>
    <row r="3241" ht="18" customHeight="1" spans="1:6">
      <c r="A3241" s="13" t="s">
        <v>9761</v>
      </c>
      <c r="B3241" s="5" t="s">
        <v>10041</v>
      </c>
      <c r="C3241" s="13" t="s">
        <v>17870</v>
      </c>
      <c r="D3241" s="13">
        <v>4</v>
      </c>
      <c r="E3241" s="8" t="s">
        <v>17871</v>
      </c>
      <c r="F3241" s="7" t="s">
        <v>11535</v>
      </c>
    </row>
    <row r="3242" ht="18" customHeight="1" spans="1:6">
      <c r="A3242" s="13" t="s">
        <v>9761</v>
      </c>
      <c r="B3242" s="5" t="s">
        <v>10044</v>
      </c>
      <c r="C3242" s="13" t="s">
        <v>17872</v>
      </c>
      <c r="D3242" s="13">
        <v>1</v>
      </c>
      <c r="E3242" s="8" t="s">
        <v>17873</v>
      </c>
      <c r="F3242" s="7" t="s">
        <v>11535</v>
      </c>
    </row>
    <row r="3243" ht="18" customHeight="1" spans="1:6">
      <c r="A3243" s="13" t="s">
        <v>9761</v>
      </c>
      <c r="B3243" s="5" t="s">
        <v>17824</v>
      </c>
      <c r="C3243" s="13" t="s">
        <v>17874</v>
      </c>
      <c r="D3243" s="13">
        <v>6</v>
      </c>
      <c r="E3243" s="8" t="s">
        <v>17875</v>
      </c>
      <c r="F3243" s="7" t="s">
        <v>11535</v>
      </c>
    </row>
    <row r="3244" ht="18" customHeight="1" spans="1:6">
      <c r="A3244" s="13" t="s">
        <v>9761</v>
      </c>
      <c r="B3244" s="5" t="s">
        <v>17824</v>
      </c>
      <c r="C3244" s="13" t="s">
        <v>17876</v>
      </c>
      <c r="D3244" s="13">
        <v>6</v>
      </c>
      <c r="E3244" s="8" t="s">
        <v>17877</v>
      </c>
      <c r="F3244" s="7" t="s">
        <v>11535</v>
      </c>
    </row>
    <row r="3245" ht="18" customHeight="1" spans="1:6">
      <c r="A3245" s="13" t="s">
        <v>9761</v>
      </c>
      <c r="B3245" s="5" t="s">
        <v>17824</v>
      </c>
      <c r="C3245" s="13" t="s">
        <v>17878</v>
      </c>
      <c r="D3245" s="13">
        <v>5</v>
      </c>
      <c r="E3245" s="8" t="s">
        <v>17879</v>
      </c>
      <c r="F3245" s="7" t="s">
        <v>11535</v>
      </c>
    </row>
    <row r="3246" ht="18" customHeight="1" spans="1:6">
      <c r="A3246" s="13" t="s">
        <v>9761</v>
      </c>
      <c r="B3246" s="5" t="s">
        <v>17824</v>
      </c>
      <c r="C3246" s="13" t="s">
        <v>10510</v>
      </c>
      <c r="D3246" s="13">
        <v>4</v>
      </c>
      <c r="E3246" s="8" t="s">
        <v>17880</v>
      </c>
      <c r="F3246" s="7" t="s">
        <v>11535</v>
      </c>
    </row>
    <row r="3247" ht="18" customHeight="1" spans="1:6">
      <c r="A3247" s="13" t="s">
        <v>9761</v>
      </c>
      <c r="B3247" s="5" t="s">
        <v>17824</v>
      </c>
      <c r="C3247" s="13" t="s">
        <v>17881</v>
      </c>
      <c r="D3247" s="13">
        <v>5</v>
      </c>
      <c r="E3247" s="8" t="s">
        <v>17882</v>
      </c>
      <c r="F3247" s="7" t="s">
        <v>11535</v>
      </c>
    </row>
    <row r="3248" ht="18" customHeight="1" spans="1:6">
      <c r="A3248" s="13" t="s">
        <v>9761</v>
      </c>
      <c r="B3248" s="5" t="s">
        <v>17824</v>
      </c>
      <c r="C3248" s="13" t="s">
        <v>17883</v>
      </c>
      <c r="D3248" s="13">
        <v>4</v>
      </c>
      <c r="E3248" s="8" t="s">
        <v>17884</v>
      </c>
      <c r="F3248" s="7" t="s">
        <v>11535</v>
      </c>
    </row>
    <row r="3249" ht="18" customHeight="1" spans="1:6">
      <c r="A3249" s="13" t="s">
        <v>9761</v>
      </c>
      <c r="B3249" s="5" t="s">
        <v>17824</v>
      </c>
      <c r="C3249" s="13" t="s">
        <v>17885</v>
      </c>
      <c r="D3249" s="13">
        <v>5</v>
      </c>
      <c r="E3249" s="8" t="s">
        <v>17886</v>
      </c>
      <c r="F3249" s="7" t="s">
        <v>11535</v>
      </c>
    </row>
    <row r="3250" ht="18" customHeight="1" spans="1:6">
      <c r="A3250" s="13" t="s">
        <v>9761</v>
      </c>
      <c r="B3250" s="5" t="s">
        <v>17824</v>
      </c>
      <c r="C3250" s="13" t="s">
        <v>17887</v>
      </c>
      <c r="D3250" s="13">
        <v>5</v>
      </c>
      <c r="E3250" s="8" t="s">
        <v>17888</v>
      </c>
      <c r="F3250" s="7" t="s">
        <v>11535</v>
      </c>
    </row>
    <row r="3251" ht="18" customHeight="1" spans="1:6">
      <c r="A3251" s="13" t="s">
        <v>9761</v>
      </c>
      <c r="B3251" s="5" t="s">
        <v>10028</v>
      </c>
      <c r="C3251" s="13" t="s">
        <v>17889</v>
      </c>
      <c r="D3251" s="13">
        <v>5</v>
      </c>
      <c r="E3251" s="8" t="s">
        <v>17890</v>
      </c>
      <c r="F3251" s="7" t="s">
        <v>11535</v>
      </c>
    </row>
    <row r="3252" ht="18" customHeight="1" spans="1:6">
      <c r="A3252" s="13" t="s">
        <v>9761</v>
      </c>
      <c r="B3252" s="5" t="s">
        <v>10028</v>
      </c>
      <c r="C3252" s="13" t="s">
        <v>17891</v>
      </c>
      <c r="D3252" s="13">
        <v>3</v>
      </c>
      <c r="E3252" s="8" t="s">
        <v>17892</v>
      </c>
      <c r="F3252" s="7" t="s">
        <v>11535</v>
      </c>
    </row>
    <row r="3253" ht="18" customHeight="1" spans="1:6">
      <c r="A3253" s="13" t="s">
        <v>9761</v>
      </c>
      <c r="B3253" s="5" t="s">
        <v>10028</v>
      </c>
      <c r="C3253" s="13" t="s">
        <v>17893</v>
      </c>
      <c r="D3253" s="13">
        <v>3</v>
      </c>
      <c r="E3253" s="8" t="s">
        <v>17894</v>
      </c>
      <c r="F3253" s="7" t="s">
        <v>11535</v>
      </c>
    </row>
    <row r="3254" ht="18" customHeight="1" spans="1:6">
      <c r="A3254" s="13" t="s">
        <v>9761</v>
      </c>
      <c r="B3254" s="5" t="s">
        <v>10028</v>
      </c>
      <c r="C3254" s="13" t="s">
        <v>17895</v>
      </c>
      <c r="D3254" s="13">
        <v>5</v>
      </c>
      <c r="E3254" s="8" t="s">
        <v>17896</v>
      </c>
      <c r="F3254" s="7" t="s">
        <v>11535</v>
      </c>
    </row>
    <row r="3255" ht="18" customHeight="1" spans="1:6">
      <c r="A3255" s="13" t="s">
        <v>9761</v>
      </c>
      <c r="B3255" s="5" t="s">
        <v>10028</v>
      </c>
      <c r="C3255" s="13" t="s">
        <v>17897</v>
      </c>
      <c r="D3255" s="13">
        <v>4</v>
      </c>
      <c r="E3255" s="8" t="s">
        <v>17898</v>
      </c>
      <c r="F3255" s="7" t="s">
        <v>11535</v>
      </c>
    </row>
    <row r="3256" ht="18" customHeight="1" spans="1:6">
      <c r="A3256" s="13" t="s">
        <v>9761</v>
      </c>
      <c r="B3256" s="5" t="s">
        <v>10031</v>
      </c>
      <c r="C3256" s="13" t="s">
        <v>17899</v>
      </c>
      <c r="D3256" s="13">
        <v>3</v>
      </c>
      <c r="E3256" s="8" t="s">
        <v>17900</v>
      </c>
      <c r="F3256" s="7" t="s">
        <v>11535</v>
      </c>
    </row>
    <row r="3257" ht="18" customHeight="1" spans="1:6">
      <c r="A3257" s="13" t="s">
        <v>9761</v>
      </c>
      <c r="B3257" s="5" t="s">
        <v>10031</v>
      </c>
      <c r="C3257" s="13" t="s">
        <v>17901</v>
      </c>
      <c r="D3257" s="13">
        <v>6</v>
      </c>
      <c r="E3257" s="8" t="s">
        <v>17902</v>
      </c>
      <c r="F3257" s="7" t="s">
        <v>11535</v>
      </c>
    </row>
    <row r="3258" ht="18" customHeight="1" spans="1:6">
      <c r="A3258" s="13" t="s">
        <v>9761</v>
      </c>
      <c r="B3258" s="5" t="s">
        <v>10044</v>
      </c>
      <c r="C3258" s="13" t="s">
        <v>17903</v>
      </c>
      <c r="D3258" s="13">
        <v>5</v>
      </c>
      <c r="E3258" s="8" t="s">
        <v>17904</v>
      </c>
      <c r="F3258" s="7" t="s">
        <v>11535</v>
      </c>
    </row>
    <row r="3259" ht="18" customHeight="1" spans="1:6">
      <c r="A3259" s="13" t="s">
        <v>9761</v>
      </c>
      <c r="B3259" s="5" t="s">
        <v>10044</v>
      </c>
      <c r="C3259" s="13" t="s">
        <v>17905</v>
      </c>
      <c r="D3259" s="13">
        <v>5</v>
      </c>
      <c r="E3259" s="8" t="s">
        <v>17906</v>
      </c>
      <c r="F3259" s="7" t="s">
        <v>11535</v>
      </c>
    </row>
    <row r="3260" ht="18" customHeight="1" spans="1:6">
      <c r="A3260" s="13" t="s">
        <v>9761</v>
      </c>
      <c r="B3260" s="5" t="s">
        <v>10034</v>
      </c>
      <c r="C3260" s="13" t="s">
        <v>17907</v>
      </c>
      <c r="D3260" s="13">
        <v>1</v>
      </c>
      <c r="E3260" s="8" t="s">
        <v>17908</v>
      </c>
      <c r="F3260" s="7" t="s">
        <v>11535</v>
      </c>
    </row>
    <row r="3261" ht="18" customHeight="1" spans="1:6">
      <c r="A3261" s="13" t="s">
        <v>9761</v>
      </c>
      <c r="B3261" s="5" t="s">
        <v>10028</v>
      </c>
      <c r="C3261" s="13" t="s">
        <v>17909</v>
      </c>
      <c r="D3261" s="13">
        <v>3</v>
      </c>
      <c r="E3261" s="8" t="s">
        <v>17910</v>
      </c>
      <c r="F3261" s="7" t="s">
        <v>11535</v>
      </c>
    </row>
    <row r="3262" ht="18" customHeight="1" spans="1:6">
      <c r="A3262" s="13" t="s">
        <v>9761</v>
      </c>
      <c r="B3262" s="5" t="s">
        <v>10028</v>
      </c>
      <c r="C3262" s="13" t="s">
        <v>17911</v>
      </c>
      <c r="D3262" s="13">
        <v>5</v>
      </c>
      <c r="E3262" s="8" t="s">
        <v>17912</v>
      </c>
      <c r="F3262" s="7" t="s">
        <v>11535</v>
      </c>
    </row>
    <row r="3263" ht="18" customHeight="1" spans="1:6">
      <c r="A3263" s="13" t="s">
        <v>9761</v>
      </c>
      <c r="B3263" s="5" t="s">
        <v>10034</v>
      </c>
      <c r="C3263" s="13" t="s">
        <v>17913</v>
      </c>
      <c r="D3263" s="13">
        <v>3</v>
      </c>
      <c r="E3263" s="8" t="s">
        <v>17914</v>
      </c>
      <c r="F3263" s="7" t="s">
        <v>11535</v>
      </c>
    </row>
    <row r="3264" ht="18" customHeight="1" spans="1:6">
      <c r="A3264" s="13" t="s">
        <v>9761</v>
      </c>
      <c r="B3264" s="5" t="s">
        <v>17824</v>
      </c>
      <c r="C3264" s="13" t="s">
        <v>17915</v>
      </c>
      <c r="D3264" s="5">
        <v>5</v>
      </c>
      <c r="E3264" s="13" t="s">
        <v>17916</v>
      </c>
      <c r="F3264" s="7" t="s">
        <v>11535</v>
      </c>
    </row>
    <row r="3265" ht="18" customHeight="1" spans="1:6">
      <c r="A3265" s="13" t="s">
        <v>9761</v>
      </c>
      <c r="B3265" s="5" t="s">
        <v>10044</v>
      </c>
      <c r="C3265" s="5" t="s">
        <v>17917</v>
      </c>
      <c r="D3265" s="5">
        <v>3</v>
      </c>
      <c r="E3265" s="13" t="s">
        <v>17918</v>
      </c>
      <c r="F3265" s="7" t="s">
        <v>11535</v>
      </c>
    </row>
    <row r="3266" ht="18" customHeight="1" spans="1:6">
      <c r="A3266" s="13" t="s">
        <v>9761</v>
      </c>
      <c r="B3266" s="5" t="s">
        <v>10044</v>
      </c>
      <c r="C3266" s="5" t="s">
        <v>17919</v>
      </c>
      <c r="D3266" s="5">
        <v>3</v>
      </c>
      <c r="E3266" s="13" t="s">
        <v>17920</v>
      </c>
      <c r="F3266" s="7" t="s">
        <v>11535</v>
      </c>
    </row>
    <row r="3267" ht="18" customHeight="1" spans="1:6">
      <c r="A3267" s="13" t="s">
        <v>9761</v>
      </c>
      <c r="B3267" s="5" t="s">
        <v>10044</v>
      </c>
      <c r="C3267" s="13" t="s">
        <v>17921</v>
      </c>
      <c r="D3267" s="5">
        <v>2</v>
      </c>
      <c r="E3267" s="13" t="s">
        <v>17922</v>
      </c>
      <c r="F3267" s="7" t="s">
        <v>11535</v>
      </c>
    </row>
    <row r="3268" ht="18" customHeight="1" spans="1:6">
      <c r="A3268" s="13" t="s">
        <v>9761</v>
      </c>
      <c r="B3268" s="5" t="s">
        <v>10044</v>
      </c>
      <c r="C3268" s="5" t="s">
        <v>17923</v>
      </c>
      <c r="D3268" s="5">
        <v>5</v>
      </c>
      <c r="E3268" s="13" t="s">
        <v>17924</v>
      </c>
      <c r="F3268" s="7" t="s">
        <v>11535</v>
      </c>
    </row>
    <row r="3269" ht="18" customHeight="1" spans="1:6">
      <c r="A3269" s="13" t="s">
        <v>9761</v>
      </c>
      <c r="B3269" s="5" t="s">
        <v>10044</v>
      </c>
      <c r="C3269" s="5" t="s">
        <v>17925</v>
      </c>
      <c r="D3269" s="5">
        <v>6</v>
      </c>
      <c r="E3269" s="13" t="s">
        <v>17926</v>
      </c>
      <c r="F3269" s="7" t="s">
        <v>11535</v>
      </c>
    </row>
    <row r="3270" ht="18" customHeight="1" spans="1:6">
      <c r="A3270" s="13" t="s">
        <v>9761</v>
      </c>
      <c r="B3270" s="5" t="s">
        <v>10044</v>
      </c>
      <c r="C3270" s="5" t="s">
        <v>17927</v>
      </c>
      <c r="D3270" s="5">
        <v>5</v>
      </c>
      <c r="E3270" s="13" t="s">
        <v>17928</v>
      </c>
      <c r="F3270" s="7" t="s">
        <v>11535</v>
      </c>
    </row>
    <row r="3271" ht="18" customHeight="1" spans="1:6">
      <c r="A3271" s="13" t="s">
        <v>9761</v>
      </c>
      <c r="B3271" s="5" t="s">
        <v>10044</v>
      </c>
      <c r="C3271" s="5" t="s">
        <v>17929</v>
      </c>
      <c r="D3271" s="5">
        <v>5</v>
      </c>
      <c r="E3271" s="13" t="s">
        <v>17930</v>
      </c>
      <c r="F3271" s="7" t="s">
        <v>11535</v>
      </c>
    </row>
    <row r="3272" ht="18" customHeight="1" spans="1:6">
      <c r="A3272" s="13" t="s">
        <v>9761</v>
      </c>
      <c r="B3272" s="5" t="s">
        <v>10044</v>
      </c>
      <c r="C3272" s="5" t="s">
        <v>17931</v>
      </c>
      <c r="D3272" s="5">
        <v>5</v>
      </c>
      <c r="E3272" s="13" t="s">
        <v>17932</v>
      </c>
      <c r="F3272" s="7" t="s">
        <v>11535</v>
      </c>
    </row>
    <row r="3273" ht="18" customHeight="1" spans="1:6">
      <c r="A3273" s="13" t="s">
        <v>9761</v>
      </c>
      <c r="B3273" s="5" t="s">
        <v>10031</v>
      </c>
      <c r="C3273" s="13" t="s">
        <v>17933</v>
      </c>
      <c r="D3273" s="5">
        <v>4</v>
      </c>
      <c r="E3273" s="13" t="s">
        <v>17934</v>
      </c>
      <c r="F3273" s="7" t="s">
        <v>11535</v>
      </c>
    </row>
    <row r="3274" ht="18" customHeight="1" spans="1:6">
      <c r="A3274" s="13" t="s">
        <v>9761</v>
      </c>
      <c r="B3274" s="5" t="s">
        <v>10041</v>
      </c>
      <c r="C3274" s="5" t="s">
        <v>17935</v>
      </c>
      <c r="D3274" s="5">
        <v>6</v>
      </c>
      <c r="E3274" s="13" t="s">
        <v>17936</v>
      </c>
      <c r="F3274" s="7" t="s">
        <v>11535</v>
      </c>
    </row>
    <row r="3275" ht="18" customHeight="1" spans="1:6">
      <c r="A3275" s="13" t="s">
        <v>9761</v>
      </c>
      <c r="B3275" s="5" t="s">
        <v>10041</v>
      </c>
      <c r="C3275" s="5" t="s">
        <v>17937</v>
      </c>
      <c r="D3275" s="5">
        <v>3</v>
      </c>
      <c r="E3275" s="13" t="s">
        <v>17938</v>
      </c>
      <c r="F3275" s="7" t="s">
        <v>11535</v>
      </c>
    </row>
    <row r="3276" ht="18" customHeight="1" spans="1:6">
      <c r="A3276" s="13" t="s">
        <v>9761</v>
      </c>
      <c r="B3276" s="5" t="s">
        <v>10041</v>
      </c>
      <c r="C3276" s="5" t="s">
        <v>17939</v>
      </c>
      <c r="D3276" s="5">
        <v>4</v>
      </c>
      <c r="E3276" s="13" t="s">
        <v>17940</v>
      </c>
      <c r="F3276" s="7" t="s">
        <v>11535</v>
      </c>
    </row>
    <row r="3277" ht="18" customHeight="1" spans="1:6">
      <c r="A3277" s="13" t="s">
        <v>9761</v>
      </c>
      <c r="B3277" s="5" t="s">
        <v>10041</v>
      </c>
      <c r="C3277" s="5" t="s">
        <v>17870</v>
      </c>
      <c r="D3277" s="5">
        <v>4</v>
      </c>
      <c r="E3277" s="13" t="s">
        <v>17871</v>
      </c>
      <c r="F3277" s="7" t="s">
        <v>11535</v>
      </c>
    </row>
    <row r="3278" ht="18" customHeight="1" spans="1:6">
      <c r="A3278" s="13" t="s">
        <v>9761</v>
      </c>
      <c r="B3278" s="5" t="s">
        <v>10041</v>
      </c>
      <c r="C3278" s="5" t="s">
        <v>17885</v>
      </c>
      <c r="D3278" s="5">
        <v>5</v>
      </c>
      <c r="E3278" s="13" t="s">
        <v>17941</v>
      </c>
      <c r="F3278" s="7" t="s">
        <v>11535</v>
      </c>
    </row>
    <row r="3279" ht="18" customHeight="1" spans="1:6">
      <c r="A3279" s="13" t="s">
        <v>9761</v>
      </c>
      <c r="B3279" s="5" t="s">
        <v>10041</v>
      </c>
      <c r="C3279" s="5" t="s">
        <v>17942</v>
      </c>
      <c r="D3279" s="5">
        <v>4</v>
      </c>
      <c r="E3279" s="13" t="s">
        <v>17943</v>
      </c>
      <c r="F3279" s="7" t="s">
        <v>11535</v>
      </c>
    </row>
    <row r="3280" ht="18" customHeight="1" spans="1:6">
      <c r="A3280" s="13" t="s">
        <v>9761</v>
      </c>
      <c r="B3280" s="5" t="s">
        <v>10041</v>
      </c>
      <c r="C3280" s="5" t="s">
        <v>17944</v>
      </c>
      <c r="D3280" s="5">
        <v>5</v>
      </c>
      <c r="E3280" s="13" t="s">
        <v>17945</v>
      </c>
      <c r="F3280" s="7" t="s">
        <v>11535</v>
      </c>
    </row>
    <row r="3281" ht="18" customHeight="1" spans="1:6">
      <c r="A3281" s="13" t="s">
        <v>9761</v>
      </c>
      <c r="B3281" s="5" t="s">
        <v>10041</v>
      </c>
      <c r="C3281" s="5" t="s">
        <v>17946</v>
      </c>
      <c r="D3281" s="5">
        <v>6</v>
      </c>
      <c r="E3281" s="13" t="s">
        <v>17947</v>
      </c>
      <c r="F3281" s="7" t="s">
        <v>11535</v>
      </c>
    </row>
    <row r="3282" ht="18" customHeight="1" spans="1:6">
      <c r="A3282" s="13" t="s">
        <v>9761</v>
      </c>
      <c r="B3282" s="5" t="s">
        <v>10041</v>
      </c>
      <c r="C3282" s="5" t="s">
        <v>17948</v>
      </c>
      <c r="D3282" s="5">
        <v>3</v>
      </c>
      <c r="E3282" s="13" t="s">
        <v>17949</v>
      </c>
      <c r="F3282" s="7" t="s">
        <v>11535</v>
      </c>
    </row>
    <row r="3283" ht="18" customHeight="1" spans="1:6">
      <c r="A3283" s="13" t="s">
        <v>9761</v>
      </c>
      <c r="B3283" s="5" t="s">
        <v>10041</v>
      </c>
      <c r="C3283" s="5" t="s">
        <v>17950</v>
      </c>
      <c r="D3283" s="5">
        <v>6</v>
      </c>
      <c r="E3283" s="13" t="s">
        <v>17951</v>
      </c>
      <c r="F3283" s="7" t="s">
        <v>11535</v>
      </c>
    </row>
    <row r="3284" ht="18" customHeight="1" spans="1:6">
      <c r="A3284" s="13" t="s">
        <v>9761</v>
      </c>
      <c r="B3284" s="5" t="s">
        <v>17824</v>
      </c>
      <c r="C3284" s="5" t="s">
        <v>17952</v>
      </c>
      <c r="D3284" s="5">
        <v>4</v>
      </c>
      <c r="E3284" s="13" t="s">
        <v>17953</v>
      </c>
      <c r="F3284" s="7" t="s">
        <v>11535</v>
      </c>
    </row>
    <row r="3285" ht="18" customHeight="1" spans="1:6">
      <c r="A3285" s="13" t="s">
        <v>9761</v>
      </c>
      <c r="B3285" s="5" t="s">
        <v>10031</v>
      </c>
      <c r="C3285" s="13" t="s">
        <v>17954</v>
      </c>
      <c r="D3285" s="15">
        <v>4</v>
      </c>
      <c r="E3285" s="13" t="s">
        <v>17955</v>
      </c>
      <c r="F3285" s="7" t="s">
        <v>11535</v>
      </c>
    </row>
    <row r="3286" ht="18" customHeight="1" spans="1:6">
      <c r="A3286" s="13" t="s">
        <v>9761</v>
      </c>
      <c r="B3286" s="5" t="s">
        <v>10028</v>
      </c>
      <c r="C3286" s="13" t="s">
        <v>17956</v>
      </c>
      <c r="D3286" s="15">
        <v>4</v>
      </c>
      <c r="E3286" s="13" t="s">
        <v>17957</v>
      </c>
      <c r="F3286" s="7" t="s">
        <v>11535</v>
      </c>
    </row>
    <row r="3287" ht="18" customHeight="1" spans="1:6">
      <c r="A3287" s="13" t="s">
        <v>9761</v>
      </c>
      <c r="B3287" s="5" t="s">
        <v>10041</v>
      </c>
      <c r="C3287" s="5" t="s">
        <v>17958</v>
      </c>
      <c r="D3287" s="5">
        <v>4</v>
      </c>
      <c r="E3287" s="5" t="s">
        <v>17959</v>
      </c>
      <c r="F3287" s="7" t="s">
        <v>11535</v>
      </c>
    </row>
    <row r="3288" ht="18" customHeight="1" spans="1:6">
      <c r="A3288" s="13" t="s">
        <v>9761</v>
      </c>
      <c r="B3288" s="5" t="s">
        <v>10041</v>
      </c>
      <c r="C3288" s="13" t="s">
        <v>17960</v>
      </c>
      <c r="D3288" s="15">
        <v>6</v>
      </c>
      <c r="E3288" s="13" t="s">
        <v>17961</v>
      </c>
      <c r="F3288" s="7" t="s">
        <v>11535</v>
      </c>
    </row>
    <row r="3289" ht="18" customHeight="1" spans="1:6">
      <c r="A3289" s="13" t="s">
        <v>9761</v>
      </c>
      <c r="B3289" s="5" t="s">
        <v>10044</v>
      </c>
      <c r="C3289" s="5" t="s">
        <v>17962</v>
      </c>
      <c r="D3289" s="15">
        <v>3</v>
      </c>
      <c r="E3289" s="13" t="s">
        <v>17963</v>
      </c>
      <c r="F3289" s="7" t="s">
        <v>11535</v>
      </c>
    </row>
    <row r="3290" ht="18" customHeight="1" spans="1:6">
      <c r="A3290" s="13" t="s">
        <v>9761</v>
      </c>
      <c r="B3290" s="5" t="s">
        <v>10031</v>
      </c>
      <c r="C3290" s="13" t="s">
        <v>13849</v>
      </c>
      <c r="D3290" s="13">
        <v>4</v>
      </c>
      <c r="E3290" s="8" t="s">
        <v>17964</v>
      </c>
      <c r="F3290" s="7" t="s">
        <v>11535</v>
      </c>
    </row>
    <row r="3291" ht="18" customHeight="1" spans="1:6">
      <c r="A3291" s="13" t="s">
        <v>9761</v>
      </c>
      <c r="B3291" s="5" t="s">
        <v>10041</v>
      </c>
      <c r="C3291" s="5" t="s">
        <v>17965</v>
      </c>
      <c r="D3291" s="13">
        <v>6</v>
      </c>
      <c r="E3291" s="8" t="s">
        <v>17966</v>
      </c>
      <c r="F3291" s="7" t="s">
        <v>11535</v>
      </c>
    </row>
    <row r="3292" ht="18" customHeight="1" spans="1:6">
      <c r="A3292" s="13" t="s">
        <v>9761</v>
      </c>
      <c r="B3292" s="5" t="s">
        <v>10044</v>
      </c>
      <c r="C3292" s="5" t="s">
        <v>17967</v>
      </c>
      <c r="D3292" s="13">
        <v>1</v>
      </c>
      <c r="E3292" s="8" t="s">
        <v>17968</v>
      </c>
      <c r="F3292" s="7" t="s">
        <v>11535</v>
      </c>
    </row>
    <row r="3293" ht="18" customHeight="1" spans="1:6">
      <c r="A3293" s="13" t="s">
        <v>9761</v>
      </c>
      <c r="B3293" s="5" t="s">
        <v>10028</v>
      </c>
      <c r="C3293" s="5" t="s">
        <v>12724</v>
      </c>
      <c r="D3293" s="13">
        <v>5</v>
      </c>
      <c r="E3293" s="8" t="s">
        <v>17969</v>
      </c>
      <c r="F3293" s="7" t="s">
        <v>11535</v>
      </c>
    </row>
    <row r="3294" ht="18" customHeight="1" spans="1:6">
      <c r="A3294" s="13" t="s">
        <v>9761</v>
      </c>
      <c r="B3294" s="5" t="s">
        <v>10028</v>
      </c>
      <c r="C3294" s="5" t="s">
        <v>17970</v>
      </c>
      <c r="D3294" s="13">
        <v>1</v>
      </c>
      <c r="E3294" s="8" t="s">
        <v>17971</v>
      </c>
      <c r="F3294" s="7" t="s">
        <v>11535</v>
      </c>
    </row>
    <row r="3295" ht="18" customHeight="1" spans="1:6">
      <c r="A3295" s="13" t="s">
        <v>9761</v>
      </c>
      <c r="B3295" s="5" t="s">
        <v>10034</v>
      </c>
      <c r="C3295" s="5" t="s">
        <v>17972</v>
      </c>
      <c r="D3295" s="13">
        <v>4</v>
      </c>
      <c r="E3295" s="8" t="s">
        <v>17973</v>
      </c>
      <c r="F3295" s="7" t="s">
        <v>11535</v>
      </c>
    </row>
    <row r="3296" ht="18" customHeight="1" spans="1:6">
      <c r="A3296" s="13" t="s">
        <v>9761</v>
      </c>
      <c r="B3296" s="5" t="s">
        <v>10044</v>
      </c>
      <c r="C3296" s="5" t="s">
        <v>3488</v>
      </c>
      <c r="D3296" s="13">
        <v>3</v>
      </c>
      <c r="E3296" s="8" t="s">
        <v>17974</v>
      </c>
      <c r="F3296" s="7" t="s">
        <v>11535</v>
      </c>
    </row>
    <row r="3297" ht="18" customHeight="1" spans="1:6">
      <c r="A3297" s="13" t="s">
        <v>9761</v>
      </c>
      <c r="B3297" s="5" t="s">
        <v>10034</v>
      </c>
      <c r="C3297" s="13" t="s">
        <v>17975</v>
      </c>
      <c r="D3297" s="13">
        <v>5</v>
      </c>
      <c r="E3297" s="8" t="s">
        <v>17976</v>
      </c>
      <c r="F3297" s="7" t="s">
        <v>11535</v>
      </c>
    </row>
    <row r="3298" ht="18" customHeight="1" spans="1:6">
      <c r="A3298" s="13" t="s">
        <v>9761</v>
      </c>
      <c r="B3298" s="14" t="s">
        <v>10057</v>
      </c>
      <c r="C3298" s="5" t="s">
        <v>17977</v>
      </c>
      <c r="D3298" s="15">
        <v>3</v>
      </c>
      <c r="E3298" s="12" t="s">
        <v>17978</v>
      </c>
      <c r="F3298" s="7" t="s">
        <v>11535</v>
      </c>
    </row>
    <row r="3299" ht="18" customHeight="1" spans="1:6">
      <c r="A3299" s="13" t="s">
        <v>9761</v>
      </c>
      <c r="B3299" s="14" t="s">
        <v>10057</v>
      </c>
      <c r="C3299" s="14" t="s">
        <v>17979</v>
      </c>
      <c r="D3299" s="15">
        <v>3</v>
      </c>
      <c r="E3299" s="5" t="s">
        <v>17980</v>
      </c>
      <c r="F3299" s="7" t="s">
        <v>11535</v>
      </c>
    </row>
    <row r="3300" ht="18" customHeight="1" spans="1:6">
      <c r="A3300" s="13" t="s">
        <v>9761</v>
      </c>
      <c r="B3300" s="14" t="s">
        <v>10057</v>
      </c>
      <c r="C3300" s="14" t="s">
        <v>17981</v>
      </c>
      <c r="D3300" s="15">
        <v>6</v>
      </c>
      <c r="E3300" s="5" t="s">
        <v>17982</v>
      </c>
      <c r="F3300" s="7" t="s">
        <v>11535</v>
      </c>
    </row>
    <row r="3301" ht="18" customHeight="1" spans="1:6">
      <c r="A3301" s="13" t="s">
        <v>9761</v>
      </c>
      <c r="B3301" s="14" t="s">
        <v>10057</v>
      </c>
      <c r="C3301" s="14" t="s">
        <v>17983</v>
      </c>
      <c r="D3301" s="15">
        <v>4</v>
      </c>
      <c r="E3301" s="5" t="s">
        <v>17984</v>
      </c>
      <c r="F3301" s="7" t="s">
        <v>11535</v>
      </c>
    </row>
    <row r="3302" ht="18" customHeight="1" spans="1:6">
      <c r="A3302" s="13" t="s">
        <v>9761</v>
      </c>
      <c r="B3302" s="14" t="s">
        <v>10057</v>
      </c>
      <c r="C3302" s="14" t="s">
        <v>17985</v>
      </c>
      <c r="D3302" s="15">
        <v>4</v>
      </c>
      <c r="E3302" s="5" t="s">
        <v>17986</v>
      </c>
      <c r="F3302" s="7" t="s">
        <v>11535</v>
      </c>
    </row>
    <row r="3303" ht="18" customHeight="1" spans="1:6">
      <c r="A3303" s="13" t="s">
        <v>9761</v>
      </c>
      <c r="B3303" s="14" t="s">
        <v>10057</v>
      </c>
      <c r="C3303" s="14" t="s">
        <v>17987</v>
      </c>
      <c r="D3303" s="15">
        <v>5</v>
      </c>
      <c r="E3303" s="5" t="s">
        <v>17988</v>
      </c>
      <c r="F3303" s="7" t="s">
        <v>11535</v>
      </c>
    </row>
    <row r="3304" ht="18" customHeight="1" spans="1:6">
      <c r="A3304" s="13" t="s">
        <v>9761</v>
      </c>
      <c r="B3304" s="14" t="s">
        <v>10057</v>
      </c>
      <c r="C3304" s="14" t="s">
        <v>17989</v>
      </c>
      <c r="D3304" s="15">
        <v>2</v>
      </c>
      <c r="E3304" s="5" t="s">
        <v>17990</v>
      </c>
      <c r="F3304" s="7" t="s">
        <v>11535</v>
      </c>
    </row>
    <row r="3305" ht="18" customHeight="1" spans="1:6">
      <c r="A3305" s="13" t="s">
        <v>9761</v>
      </c>
      <c r="B3305" s="14" t="s">
        <v>10057</v>
      </c>
      <c r="C3305" s="14" t="s">
        <v>17991</v>
      </c>
      <c r="D3305" s="15">
        <v>4</v>
      </c>
      <c r="E3305" s="5" t="s">
        <v>17992</v>
      </c>
      <c r="F3305" s="7" t="s">
        <v>11535</v>
      </c>
    </row>
    <row r="3306" ht="18" customHeight="1" spans="1:6">
      <c r="A3306" s="13" t="s">
        <v>9761</v>
      </c>
      <c r="B3306" s="14" t="s">
        <v>10057</v>
      </c>
      <c r="C3306" s="14" t="s">
        <v>17993</v>
      </c>
      <c r="D3306" s="15">
        <v>4</v>
      </c>
      <c r="E3306" s="5" t="s">
        <v>17994</v>
      </c>
      <c r="F3306" s="7" t="s">
        <v>11535</v>
      </c>
    </row>
    <row r="3307" ht="18" customHeight="1" spans="1:6">
      <c r="A3307" s="13" t="s">
        <v>9761</v>
      </c>
      <c r="B3307" s="14" t="s">
        <v>10057</v>
      </c>
      <c r="C3307" s="8" t="s">
        <v>17995</v>
      </c>
      <c r="D3307" s="15">
        <v>5</v>
      </c>
      <c r="E3307" s="8" t="s">
        <v>17996</v>
      </c>
      <c r="F3307" s="7" t="s">
        <v>11535</v>
      </c>
    </row>
    <row r="3308" ht="18" customHeight="1" spans="1:6">
      <c r="A3308" s="13" t="s">
        <v>9761</v>
      </c>
      <c r="B3308" s="14" t="s">
        <v>10057</v>
      </c>
      <c r="C3308" s="8" t="s">
        <v>17997</v>
      </c>
      <c r="D3308" s="9">
        <v>1</v>
      </c>
      <c r="E3308" s="8" t="s">
        <v>17998</v>
      </c>
      <c r="F3308" s="7" t="s">
        <v>11535</v>
      </c>
    </row>
    <row r="3309" ht="18" customHeight="1" spans="1:6">
      <c r="A3309" s="13" t="s">
        <v>9761</v>
      </c>
      <c r="B3309" s="13" t="s">
        <v>17999</v>
      </c>
      <c r="C3309" s="13" t="s">
        <v>17253</v>
      </c>
      <c r="D3309" s="13">
        <v>4</v>
      </c>
      <c r="E3309" s="5" t="s">
        <v>18000</v>
      </c>
      <c r="F3309" s="7" t="s">
        <v>11535</v>
      </c>
    </row>
    <row r="3310" ht="18" customHeight="1" spans="1:6">
      <c r="A3310" s="13" t="s">
        <v>9761</v>
      </c>
      <c r="B3310" s="83" t="s">
        <v>10158</v>
      </c>
      <c r="C3310" s="83" t="s">
        <v>10159</v>
      </c>
      <c r="D3310" s="83">
        <v>3</v>
      </c>
      <c r="E3310" s="84" t="s">
        <v>10160</v>
      </c>
      <c r="F3310" s="7" t="s">
        <v>11535</v>
      </c>
    </row>
    <row r="3311" ht="18" customHeight="1" spans="1:6">
      <c r="A3311" s="13" t="s">
        <v>9761</v>
      </c>
      <c r="B3311" s="83" t="s">
        <v>10158</v>
      </c>
      <c r="C3311" s="83" t="s">
        <v>18001</v>
      </c>
      <c r="D3311" s="83">
        <v>5</v>
      </c>
      <c r="E3311" s="84" t="s">
        <v>18002</v>
      </c>
      <c r="F3311" s="7" t="s">
        <v>11535</v>
      </c>
    </row>
    <row r="3312" ht="18" customHeight="1" spans="1:6">
      <c r="A3312" s="13" t="s">
        <v>9761</v>
      </c>
      <c r="B3312" s="83" t="s">
        <v>10158</v>
      </c>
      <c r="C3312" s="83" t="s">
        <v>18003</v>
      </c>
      <c r="D3312" s="83">
        <v>2</v>
      </c>
      <c r="E3312" s="84" t="s">
        <v>18004</v>
      </c>
      <c r="F3312" s="7" t="s">
        <v>11535</v>
      </c>
    </row>
    <row r="3313" ht="18" customHeight="1" spans="1:6">
      <c r="A3313" s="13" t="s">
        <v>9761</v>
      </c>
      <c r="B3313" s="83" t="s">
        <v>10158</v>
      </c>
      <c r="C3313" s="83" t="s">
        <v>18005</v>
      </c>
      <c r="D3313" s="83">
        <v>2</v>
      </c>
      <c r="E3313" s="84" t="s">
        <v>18006</v>
      </c>
      <c r="F3313" s="7" t="s">
        <v>11535</v>
      </c>
    </row>
    <row r="3314" ht="18" customHeight="1" spans="1:6">
      <c r="A3314" s="13" t="s">
        <v>9761</v>
      </c>
      <c r="B3314" s="83" t="s">
        <v>10161</v>
      </c>
      <c r="C3314" s="83" t="s">
        <v>18007</v>
      </c>
      <c r="D3314" s="83">
        <v>3</v>
      </c>
      <c r="E3314" s="84" t="s">
        <v>18008</v>
      </c>
      <c r="F3314" s="7" t="s">
        <v>11535</v>
      </c>
    </row>
    <row r="3315" ht="18" customHeight="1" spans="1:6">
      <c r="A3315" s="13" t="s">
        <v>9761</v>
      </c>
      <c r="B3315" s="83" t="s">
        <v>10161</v>
      </c>
      <c r="C3315" s="85" t="s">
        <v>18009</v>
      </c>
      <c r="D3315" s="13">
        <v>5</v>
      </c>
      <c r="E3315" s="86" t="s">
        <v>18010</v>
      </c>
      <c r="F3315" s="7" t="s">
        <v>11535</v>
      </c>
    </row>
    <row r="3316" ht="18" customHeight="1" spans="1:6">
      <c r="A3316" s="13" t="s">
        <v>9761</v>
      </c>
      <c r="B3316" s="83" t="s">
        <v>10161</v>
      </c>
      <c r="C3316" s="13" t="s">
        <v>18011</v>
      </c>
      <c r="D3316" s="13">
        <v>3</v>
      </c>
      <c r="E3316" s="14" t="s">
        <v>18012</v>
      </c>
      <c r="F3316" s="7" t="s">
        <v>11535</v>
      </c>
    </row>
    <row r="3317" ht="18" customHeight="1" spans="1:6">
      <c r="A3317" s="13" t="s">
        <v>9761</v>
      </c>
      <c r="B3317" s="83" t="s">
        <v>10161</v>
      </c>
      <c r="C3317" s="85" t="s">
        <v>18013</v>
      </c>
      <c r="D3317" s="13">
        <v>5</v>
      </c>
      <c r="E3317" s="84" t="s">
        <v>18014</v>
      </c>
      <c r="F3317" s="7" t="s">
        <v>11535</v>
      </c>
    </row>
    <row r="3318" ht="18" customHeight="1" spans="1:6">
      <c r="A3318" s="13" t="s">
        <v>9761</v>
      </c>
      <c r="B3318" s="83" t="s">
        <v>10164</v>
      </c>
      <c r="C3318" s="83" t="s">
        <v>18015</v>
      </c>
      <c r="D3318" s="83">
        <v>3</v>
      </c>
      <c r="E3318" s="84" t="s">
        <v>18016</v>
      </c>
      <c r="F3318" s="7" t="s">
        <v>11535</v>
      </c>
    </row>
    <row r="3319" ht="18" customHeight="1" spans="1:6">
      <c r="A3319" s="13" t="s">
        <v>9761</v>
      </c>
      <c r="B3319" s="83" t="s">
        <v>10164</v>
      </c>
      <c r="C3319" s="13" t="s">
        <v>18017</v>
      </c>
      <c r="D3319" s="13">
        <v>6</v>
      </c>
      <c r="E3319" s="14" t="s">
        <v>18018</v>
      </c>
      <c r="F3319" s="7" t="s">
        <v>11535</v>
      </c>
    </row>
    <row r="3320" ht="18" customHeight="1" spans="1:6">
      <c r="A3320" s="13" t="s">
        <v>9761</v>
      </c>
      <c r="B3320" s="83" t="s">
        <v>10164</v>
      </c>
      <c r="C3320" s="13" t="s">
        <v>18019</v>
      </c>
      <c r="D3320" s="13">
        <v>5</v>
      </c>
      <c r="E3320" s="14" t="s">
        <v>18020</v>
      </c>
      <c r="F3320" s="7" t="s">
        <v>11535</v>
      </c>
    </row>
    <row r="3321" ht="18" customHeight="1" spans="1:6">
      <c r="A3321" s="13" t="s">
        <v>9761</v>
      </c>
      <c r="B3321" s="83" t="s">
        <v>10164</v>
      </c>
      <c r="C3321" s="13" t="s">
        <v>18021</v>
      </c>
      <c r="D3321" s="13">
        <v>1</v>
      </c>
      <c r="E3321" s="14" t="s">
        <v>18022</v>
      </c>
      <c r="F3321" s="7" t="s">
        <v>11535</v>
      </c>
    </row>
    <row r="3322" ht="18" customHeight="1" spans="1:6">
      <c r="A3322" s="13" t="s">
        <v>9761</v>
      </c>
      <c r="B3322" s="83" t="s">
        <v>10164</v>
      </c>
      <c r="C3322" s="85" t="s">
        <v>18023</v>
      </c>
      <c r="D3322" s="85">
        <v>1</v>
      </c>
      <c r="E3322" s="86" t="s">
        <v>18024</v>
      </c>
      <c r="F3322" s="7" t="s">
        <v>11535</v>
      </c>
    </row>
    <row r="3323" ht="18" customHeight="1" spans="1:6">
      <c r="A3323" s="13" t="s">
        <v>9761</v>
      </c>
      <c r="B3323" s="83" t="s">
        <v>10164</v>
      </c>
      <c r="C3323" s="85" t="s">
        <v>18025</v>
      </c>
      <c r="D3323" s="85">
        <v>3</v>
      </c>
      <c r="E3323" s="84" t="s">
        <v>18026</v>
      </c>
      <c r="F3323" s="7" t="s">
        <v>11535</v>
      </c>
    </row>
    <row r="3324" ht="18" customHeight="1" spans="1:6">
      <c r="A3324" s="13" t="s">
        <v>9761</v>
      </c>
      <c r="B3324" s="83" t="s">
        <v>10169</v>
      </c>
      <c r="C3324" s="83" t="s">
        <v>18027</v>
      </c>
      <c r="D3324" s="83">
        <v>4</v>
      </c>
      <c r="E3324" s="84" t="s">
        <v>18028</v>
      </c>
      <c r="F3324" s="7" t="s">
        <v>11535</v>
      </c>
    </row>
    <row r="3325" ht="18" customHeight="1" spans="1:6">
      <c r="A3325" s="13" t="s">
        <v>9761</v>
      </c>
      <c r="B3325" s="83" t="s">
        <v>10169</v>
      </c>
      <c r="C3325" s="83" t="s">
        <v>18029</v>
      </c>
      <c r="D3325" s="83">
        <v>3</v>
      </c>
      <c r="E3325" s="84" t="s">
        <v>18030</v>
      </c>
      <c r="F3325" s="7" t="s">
        <v>11535</v>
      </c>
    </row>
    <row r="3326" ht="18" customHeight="1" spans="1:6">
      <c r="A3326" s="13" t="s">
        <v>9761</v>
      </c>
      <c r="B3326" s="83" t="s">
        <v>10187</v>
      </c>
      <c r="C3326" s="83" t="s">
        <v>18031</v>
      </c>
      <c r="D3326" s="83">
        <v>5</v>
      </c>
      <c r="E3326" s="84" t="s">
        <v>18032</v>
      </c>
      <c r="F3326" s="7" t="s">
        <v>11535</v>
      </c>
    </row>
    <row r="3327" ht="18" customHeight="1" spans="1:6">
      <c r="A3327" s="13" t="s">
        <v>9761</v>
      </c>
      <c r="B3327" s="83" t="s">
        <v>10187</v>
      </c>
      <c r="C3327" s="13" t="s">
        <v>18033</v>
      </c>
      <c r="D3327" s="13">
        <v>3</v>
      </c>
      <c r="E3327" s="14" t="s">
        <v>18034</v>
      </c>
      <c r="F3327" s="7" t="s">
        <v>11535</v>
      </c>
    </row>
    <row r="3328" ht="18" customHeight="1" spans="1:6">
      <c r="A3328" s="13" t="s">
        <v>9761</v>
      </c>
      <c r="B3328" s="83" t="s">
        <v>10187</v>
      </c>
      <c r="C3328" s="85" t="s">
        <v>18035</v>
      </c>
      <c r="D3328" s="85">
        <v>4</v>
      </c>
      <c r="E3328" s="84" t="s">
        <v>18036</v>
      </c>
      <c r="F3328" s="7" t="s">
        <v>11535</v>
      </c>
    </row>
    <row r="3329" ht="18" customHeight="1" spans="1:6">
      <c r="A3329" s="13" t="s">
        <v>9761</v>
      </c>
      <c r="B3329" s="83" t="s">
        <v>10194</v>
      </c>
      <c r="C3329" s="85" t="s">
        <v>18037</v>
      </c>
      <c r="D3329" s="13">
        <v>3</v>
      </c>
      <c r="E3329" s="84" t="s">
        <v>18038</v>
      </c>
      <c r="F3329" s="7" t="s">
        <v>11535</v>
      </c>
    </row>
    <row r="3330" ht="18" customHeight="1" spans="1:6">
      <c r="A3330" s="13" t="s">
        <v>9761</v>
      </c>
      <c r="B3330" s="83" t="s">
        <v>10197</v>
      </c>
      <c r="C3330" s="13" t="s">
        <v>18039</v>
      </c>
      <c r="D3330" s="13">
        <v>4</v>
      </c>
      <c r="E3330" s="14" t="s">
        <v>18040</v>
      </c>
      <c r="F3330" s="7" t="s">
        <v>11535</v>
      </c>
    </row>
    <row r="3331" ht="18" customHeight="1" spans="1:6">
      <c r="A3331" s="13" t="s">
        <v>9761</v>
      </c>
      <c r="B3331" s="83" t="s">
        <v>10197</v>
      </c>
      <c r="C3331" s="13" t="s">
        <v>18041</v>
      </c>
      <c r="D3331" s="13">
        <v>4</v>
      </c>
      <c r="E3331" s="14" t="s">
        <v>18042</v>
      </c>
      <c r="F3331" s="7" t="s">
        <v>11535</v>
      </c>
    </row>
    <row r="3332" ht="18" customHeight="1" spans="1:6">
      <c r="A3332" s="13" t="s">
        <v>9761</v>
      </c>
      <c r="B3332" s="12" t="s">
        <v>10213</v>
      </c>
      <c r="C3332" s="12" t="s">
        <v>10220</v>
      </c>
      <c r="D3332" s="6">
        <v>4</v>
      </c>
      <c r="E3332" s="87" t="s">
        <v>10221</v>
      </c>
      <c r="F3332" s="7" t="s">
        <v>11535</v>
      </c>
    </row>
    <row r="3333" ht="18" customHeight="1" spans="1:6">
      <c r="A3333" s="13" t="s">
        <v>9761</v>
      </c>
      <c r="B3333" s="12" t="s">
        <v>10213</v>
      </c>
      <c r="C3333" s="12" t="s">
        <v>18043</v>
      </c>
      <c r="D3333" s="6">
        <v>4</v>
      </c>
      <c r="E3333" s="88" t="s">
        <v>18044</v>
      </c>
      <c r="F3333" s="7" t="s">
        <v>11535</v>
      </c>
    </row>
    <row r="3334" ht="18" customHeight="1" spans="1:6">
      <c r="A3334" s="13" t="s">
        <v>9761</v>
      </c>
      <c r="B3334" s="12" t="s">
        <v>10213</v>
      </c>
      <c r="C3334" s="12" t="s">
        <v>18045</v>
      </c>
      <c r="D3334" s="6">
        <v>3</v>
      </c>
      <c r="E3334" s="14" t="s">
        <v>18044</v>
      </c>
      <c r="F3334" s="7" t="s">
        <v>11535</v>
      </c>
    </row>
    <row r="3335" ht="18" customHeight="1" spans="1:6">
      <c r="A3335" s="13" t="s">
        <v>9761</v>
      </c>
      <c r="B3335" s="12" t="s">
        <v>10213</v>
      </c>
      <c r="C3335" s="12" t="s">
        <v>10214</v>
      </c>
      <c r="D3335" s="6">
        <v>2</v>
      </c>
      <c r="E3335" s="89" t="s">
        <v>10215</v>
      </c>
      <c r="F3335" s="7" t="s">
        <v>11535</v>
      </c>
    </row>
    <row r="3336" ht="18" customHeight="1" spans="1:6">
      <c r="A3336" s="13" t="s">
        <v>9761</v>
      </c>
      <c r="B3336" s="12" t="s">
        <v>10213</v>
      </c>
      <c r="C3336" s="12" t="s">
        <v>18046</v>
      </c>
      <c r="D3336" s="6">
        <v>4</v>
      </c>
      <c r="E3336" s="90" t="s">
        <v>18047</v>
      </c>
      <c r="F3336" s="7" t="s">
        <v>11535</v>
      </c>
    </row>
    <row r="3337" ht="18" customHeight="1" spans="1:6">
      <c r="A3337" s="13" t="s">
        <v>9761</v>
      </c>
      <c r="B3337" s="12" t="s">
        <v>10213</v>
      </c>
      <c r="C3337" s="12" t="s">
        <v>18048</v>
      </c>
      <c r="D3337" s="6">
        <v>6</v>
      </c>
      <c r="E3337" s="91" t="s">
        <v>18049</v>
      </c>
      <c r="F3337" s="7" t="s">
        <v>11535</v>
      </c>
    </row>
    <row r="3338" ht="18" customHeight="1" spans="1:6">
      <c r="A3338" s="13" t="s">
        <v>9761</v>
      </c>
      <c r="B3338" s="12" t="s">
        <v>10207</v>
      </c>
      <c r="C3338" s="12" t="s">
        <v>18050</v>
      </c>
      <c r="D3338" s="6">
        <v>4</v>
      </c>
      <c r="E3338" s="92" t="s">
        <v>18051</v>
      </c>
      <c r="F3338" s="7" t="s">
        <v>11535</v>
      </c>
    </row>
    <row r="3339" ht="18" customHeight="1" spans="1:6">
      <c r="A3339" s="13" t="s">
        <v>9761</v>
      </c>
      <c r="B3339" s="12" t="s">
        <v>10207</v>
      </c>
      <c r="C3339" s="12" t="s">
        <v>18052</v>
      </c>
      <c r="D3339" s="6">
        <v>5</v>
      </c>
      <c r="E3339" s="93" t="s">
        <v>18053</v>
      </c>
      <c r="F3339" s="7" t="s">
        <v>11535</v>
      </c>
    </row>
    <row r="3340" ht="18" customHeight="1" spans="1:6">
      <c r="A3340" s="13" t="s">
        <v>9761</v>
      </c>
      <c r="B3340" s="12" t="s">
        <v>10207</v>
      </c>
      <c r="C3340" s="12" t="s">
        <v>12478</v>
      </c>
      <c r="D3340" s="6">
        <v>3</v>
      </c>
      <c r="E3340" s="94" t="s">
        <v>18054</v>
      </c>
      <c r="F3340" s="7" t="s">
        <v>11535</v>
      </c>
    </row>
    <row r="3341" ht="18" customHeight="1" spans="1:6">
      <c r="A3341" s="13" t="s">
        <v>9761</v>
      </c>
      <c r="B3341" s="12" t="s">
        <v>10207</v>
      </c>
      <c r="C3341" s="12" t="s">
        <v>10208</v>
      </c>
      <c r="D3341" s="6">
        <v>3</v>
      </c>
      <c r="E3341" s="95" t="s">
        <v>10209</v>
      </c>
      <c r="F3341" s="7" t="s">
        <v>11535</v>
      </c>
    </row>
    <row r="3342" ht="18" customHeight="1" spans="1:6">
      <c r="A3342" s="13" t="s">
        <v>9761</v>
      </c>
      <c r="B3342" s="12" t="s">
        <v>10207</v>
      </c>
      <c r="C3342" s="12" t="s">
        <v>18055</v>
      </c>
      <c r="D3342" s="6">
        <v>4</v>
      </c>
      <c r="E3342" s="96" t="s">
        <v>18056</v>
      </c>
      <c r="F3342" s="7" t="s">
        <v>11535</v>
      </c>
    </row>
    <row r="3343" ht="18" customHeight="1" spans="1:6">
      <c r="A3343" s="13" t="s">
        <v>9761</v>
      </c>
      <c r="B3343" s="12" t="s">
        <v>10207</v>
      </c>
      <c r="C3343" s="12" t="s">
        <v>18057</v>
      </c>
      <c r="D3343" s="6">
        <v>3</v>
      </c>
      <c r="E3343" s="97" t="s">
        <v>18058</v>
      </c>
      <c r="F3343" s="7" t="s">
        <v>11535</v>
      </c>
    </row>
    <row r="3344" ht="18" customHeight="1" spans="1:6">
      <c r="A3344" s="13" t="s">
        <v>9761</v>
      </c>
      <c r="B3344" s="12" t="s">
        <v>10207</v>
      </c>
      <c r="C3344" s="12" t="s">
        <v>18059</v>
      </c>
      <c r="D3344" s="6">
        <v>5</v>
      </c>
      <c r="E3344" s="86" t="s">
        <v>18060</v>
      </c>
      <c r="F3344" s="7" t="s">
        <v>11535</v>
      </c>
    </row>
    <row r="3345" ht="18" customHeight="1" spans="1:6">
      <c r="A3345" s="13" t="s">
        <v>9761</v>
      </c>
      <c r="B3345" s="12" t="s">
        <v>10207</v>
      </c>
      <c r="C3345" s="12" t="s">
        <v>18061</v>
      </c>
      <c r="D3345" s="6">
        <v>4</v>
      </c>
      <c r="E3345" s="12" t="s">
        <v>18062</v>
      </c>
      <c r="F3345" s="7" t="s">
        <v>11535</v>
      </c>
    </row>
    <row r="3346" ht="18" customHeight="1" spans="1:6">
      <c r="A3346" s="13" t="s">
        <v>9761</v>
      </c>
      <c r="B3346" s="12" t="s">
        <v>10210</v>
      </c>
      <c r="C3346" s="12" t="s">
        <v>10216</v>
      </c>
      <c r="D3346" s="6">
        <v>6</v>
      </c>
      <c r="E3346" s="12" t="s">
        <v>10217</v>
      </c>
      <c r="F3346" s="7" t="s">
        <v>11535</v>
      </c>
    </row>
    <row r="3347" ht="18" customHeight="1" spans="1:6">
      <c r="A3347" s="13" t="s">
        <v>9761</v>
      </c>
      <c r="B3347" s="12" t="s">
        <v>10210</v>
      </c>
      <c r="C3347" s="12" t="s">
        <v>18063</v>
      </c>
      <c r="D3347" s="6">
        <v>3</v>
      </c>
      <c r="E3347" s="12" t="s">
        <v>18064</v>
      </c>
      <c r="F3347" s="7" t="s">
        <v>11535</v>
      </c>
    </row>
    <row r="3348" ht="18" customHeight="1" spans="1:6">
      <c r="A3348" s="13" t="s">
        <v>9761</v>
      </c>
      <c r="B3348" s="12" t="s">
        <v>10210</v>
      </c>
      <c r="C3348" s="12" t="s">
        <v>18065</v>
      </c>
      <c r="D3348" s="6">
        <v>4</v>
      </c>
      <c r="E3348" s="12" t="s">
        <v>18066</v>
      </c>
      <c r="F3348" s="7" t="s">
        <v>11535</v>
      </c>
    </row>
    <row r="3349" ht="18" customHeight="1" spans="1:6">
      <c r="A3349" s="13" t="s">
        <v>9761</v>
      </c>
      <c r="B3349" s="12" t="s">
        <v>10210</v>
      </c>
      <c r="C3349" s="12" t="s">
        <v>10211</v>
      </c>
      <c r="D3349" s="6">
        <v>3</v>
      </c>
      <c r="E3349" s="12" t="s">
        <v>10212</v>
      </c>
      <c r="F3349" s="7" t="s">
        <v>11535</v>
      </c>
    </row>
    <row r="3350" ht="18" customHeight="1" spans="1:6">
      <c r="A3350" s="13" t="s">
        <v>9761</v>
      </c>
      <c r="B3350" s="12" t="s">
        <v>10279</v>
      </c>
      <c r="C3350" s="12" t="s">
        <v>18067</v>
      </c>
      <c r="D3350" s="6">
        <v>3</v>
      </c>
      <c r="E3350" s="12" t="s">
        <v>18068</v>
      </c>
      <c r="F3350" s="7" t="s">
        <v>11535</v>
      </c>
    </row>
    <row r="3351" ht="18" customHeight="1" spans="1:6">
      <c r="A3351" s="13" t="s">
        <v>9761</v>
      </c>
      <c r="B3351" s="8" t="s">
        <v>10299</v>
      </c>
      <c r="C3351" s="8" t="s">
        <v>18069</v>
      </c>
      <c r="D3351" s="8">
        <v>2</v>
      </c>
      <c r="E3351" s="8" t="s">
        <v>18070</v>
      </c>
      <c r="F3351" s="7" t="s">
        <v>11535</v>
      </c>
    </row>
    <row r="3352" ht="18" customHeight="1" spans="1:6">
      <c r="A3352" s="13" t="s">
        <v>9761</v>
      </c>
      <c r="B3352" s="8" t="s">
        <v>10299</v>
      </c>
      <c r="C3352" s="8" t="s">
        <v>9794</v>
      </c>
      <c r="D3352" s="8">
        <v>4</v>
      </c>
      <c r="E3352" s="8" t="s">
        <v>18071</v>
      </c>
      <c r="F3352" s="7" t="s">
        <v>11535</v>
      </c>
    </row>
    <row r="3353" ht="18" customHeight="1" spans="1:6">
      <c r="A3353" s="13" t="s">
        <v>9761</v>
      </c>
      <c r="B3353" s="8" t="s">
        <v>10299</v>
      </c>
      <c r="C3353" s="8" t="s">
        <v>18072</v>
      </c>
      <c r="D3353" s="8">
        <v>5</v>
      </c>
      <c r="E3353" s="8" t="s">
        <v>18073</v>
      </c>
      <c r="F3353" s="7" t="s">
        <v>11535</v>
      </c>
    </row>
    <row r="3354" ht="18" customHeight="1" spans="1:6">
      <c r="A3354" s="13" t="s">
        <v>9761</v>
      </c>
      <c r="B3354" s="8" t="s">
        <v>10299</v>
      </c>
      <c r="C3354" s="8" t="s">
        <v>18074</v>
      </c>
      <c r="D3354" s="8">
        <v>4</v>
      </c>
      <c r="E3354" s="8" t="s">
        <v>18075</v>
      </c>
      <c r="F3354" s="7" t="s">
        <v>11535</v>
      </c>
    </row>
    <row r="3355" ht="18" customHeight="1" spans="1:6">
      <c r="A3355" s="13" t="s">
        <v>9761</v>
      </c>
      <c r="B3355" s="8" t="s">
        <v>10299</v>
      </c>
      <c r="C3355" s="8" t="s">
        <v>18076</v>
      </c>
      <c r="D3355" s="8">
        <v>4</v>
      </c>
      <c r="E3355" s="8" t="s">
        <v>18077</v>
      </c>
      <c r="F3355" s="7" t="s">
        <v>11535</v>
      </c>
    </row>
    <row r="3356" ht="18" customHeight="1" spans="1:6">
      <c r="A3356" s="13" t="s">
        <v>9761</v>
      </c>
      <c r="B3356" s="8" t="s">
        <v>10299</v>
      </c>
      <c r="C3356" s="8" t="s">
        <v>18078</v>
      </c>
      <c r="D3356" s="8">
        <v>3</v>
      </c>
      <c r="E3356" s="8" t="s">
        <v>18079</v>
      </c>
      <c r="F3356" s="7" t="s">
        <v>11535</v>
      </c>
    </row>
    <row r="3357" ht="18" customHeight="1" spans="1:6">
      <c r="A3357" s="13" t="s">
        <v>9761</v>
      </c>
      <c r="B3357" s="8" t="s">
        <v>10299</v>
      </c>
      <c r="C3357" s="8" t="s">
        <v>18080</v>
      </c>
      <c r="D3357" s="8">
        <v>4</v>
      </c>
      <c r="E3357" s="8" t="s">
        <v>18081</v>
      </c>
      <c r="F3357" s="7" t="s">
        <v>11535</v>
      </c>
    </row>
    <row r="3358" ht="18" customHeight="1" spans="1:6">
      <c r="A3358" s="13" t="s">
        <v>9761</v>
      </c>
      <c r="B3358" s="8" t="s">
        <v>10306</v>
      </c>
      <c r="C3358" s="8" t="s">
        <v>18082</v>
      </c>
      <c r="D3358" s="8">
        <v>2</v>
      </c>
      <c r="E3358" s="8" t="s">
        <v>18083</v>
      </c>
      <c r="F3358" s="7" t="s">
        <v>11535</v>
      </c>
    </row>
    <row r="3359" ht="18" customHeight="1" spans="1:6">
      <c r="A3359" s="13" t="s">
        <v>9761</v>
      </c>
      <c r="B3359" s="8" t="s">
        <v>10306</v>
      </c>
      <c r="C3359" s="8" t="s">
        <v>18084</v>
      </c>
      <c r="D3359" s="8">
        <v>6</v>
      </c>
      <c r="E3359" s="8" t="s">
        <v>18085</v>
      </c>
      <c r="F3359" s="7" t="s">
        <v>11535</v>
      </c>
    </row>
    <row r="3360" ht="18" customHeight="1" spans="1:6">
      <c r="A3360" s="13" t="s">
        <v>9761</v>
      </c>
      <c r="B3360" s="8" t="s">
        <v>10306</v>
      </c>
      <c r="C3360" s="8" t="s">
        <v>18086</v>
      </c>
      <c r="D3360" s="8">
        <v>3</v>
      </c>
      <c r="E3360" s="8" t="s">
        <v>18087</v>
      </c>
      <c r="F3360" s="7" t="s">
        <v>11535</v>
      </c>
    </row>
    <row r="3361" ht="18" customHeight="1" spans="1:6">
      <c r="A3361" s="13" t="s">
        <v>9761</v>
      </c>
      <c r="B3361" s="8" t="s">
        <v>10345</v>
      </c>
      <c r="C3361" s="8" t="s">
        <v>18088</v>
      </c>
      <c r="D3361" s="8">
        <v>3</v>
      </c>
      <c r="E3361" s="8" t="s">
        <v>18089</v>
      </c>
      <c r="F3361" s="7" t="s">
        <v>11535</v>
      </c>
    </row>
    <row r="3362" ht="18" customHeight="1" spans="1:6">
      <c r="A3362" s="13" t="s">
        <v>9761</v>
      </c>
      <c r="B3362" s="8" t="s">
        <v>10345</v>
      </c>
      <c r="C3362" s="8" t="s">
        <v>18090</v>
      </c>
      <c r="D3362" s="8">
        <v>4</v>
      </c>
      <c r="E3362" s="8" t="s">
        <v>18091</v>
      </c>
      <c r="F3362" s="7" t="s">
        <v>11535</v>
      </c>
    </row>
    <row r="3363" ht="18" customHeight="1" spans="1:6">
      <c r="A3363" s="13" t="s">
        <v>9761</v>
      </c>
      <c r="B3363" s="8" t="s">
        <v>10345</v>
      </c>
      <c r="C3363" s="8" t="s">
        <v>18092</v>
      </c>
      <c r="D3363" s="8">
        <v>3</v>
      </c>
      <c r="E3363" s="8" t="s">
        <v>18093</v>
      </c>
      <c r="F3363" s="7" t="s">
        <v>11535</v>
      </c>
    </row>
    <row r="3364" ht="18" customHeight="1" spans="1:6">
      <c r="A3364" s="13" t="s">
        <v>9761</v>
      </c>
      <c r="B3364" s="8" t="s">
        <v>10345</v>
      </c>
      <c r="C3364" s="8" t="s">
        <v>18094</v>
      </c>
      <c r="D3364" s="8">
        <v>3</v>
      </c>
      <c r="E3364" s="8" t="s">
        <v>18095</v>
      </c>
      <c r="F3364" s="7" t="s">
        <v>11535</v>
      </c>
    </row>
    <row r="3365" ht="18" customHeight="1" spans="1:6">
      <c r="A3365" s="13" t="s">
        <v>9761</v>
      </c>
      <c r="B3365" s="8" t="s">
        <v>10296</v>
      </c>
      <c r="C3365" s="8" t="s">
        <v>18096</v>
      </c>
      <c r="D3365" s="8">
        <v>3</v>
      </c>
      <c r="E3365" s="8" t="s">
        <v>18097</v>
      </c>
      <c r="F3365" s="7" t="s">
        <v>11535</v>
      </c>
    </row>
    <row r="3366" ht="18" customHeight="1" spans="1:6">
      <c r="A3366" s="13" t="s">
        <v>9761</v>
      </c>
      <c r="B3366" s="8" t="s">
        <v>10296</v>
      </c>
      <c r="C3366" s="8" t="s">
        <v>18098</v>
      </c>
      <c r="D3366" s="8">
        <v>6</v>
      </c>
      <c r="E3366" s="8" t="s">
        <v>18099</v>
      </c>
      <c r="F3366" s="7" t="s">
        <v>11535</v>
      </c>
    </row>
    <row r="3367" ht="18" customHeight="1" spans="1:6">
      <c r="A3367" s="13" t="s">
        <v>9761</v>
      </c>
      <c r="B3367" s="8" t="s">
        <v>10299</v>
      </c>
      <c r="C3367" s="8" t="s">
        <v>18100</v>
      </c>
      <c r="D3367" s="8">
        <v>3</v>
      </c>
      <c r="E3367" s="8" t="s">
        <v>18101</v>
      </c>
      <c r="F3367" s="7" t="s">
        <v>11535</v>
      </c>
    </row>
    <row r="3368" ht="18" customHeight="1" spans="1:6">
      <c r="A3368" s="13" t="s">
        <v>9761</v>
      </c>
      <c r="B3368" s="5" t="s">
        <v>10412</v>
      </c>
      <c r="C3368" s="5" t="s">
        <v>10560</v>
      </c>
      <c r="D3368" s="98">
        <v>2</v>
      </c>
      <c r="E3368" s="99" t="s">
        <v>10561</v>
      </c>
      <c r="F3368" s="7" t="s">
        <v>11535</v>
      </c>
    </row>
    <row r="3369" ht="18" customHeight="1" spans="1:6">
      <c r="A3369" s="13" t="s">
        <v>9761</v>
      </c>
      <c r="B3369" s="5" t="s">
        <v>10412</v>
      </c>
      <c r="C3369" s="13" t="s">
        <v>10566</v>
      </c>
      <c r="D3369" s="13">
        <v>4</v>
      </c>
      <c r="E3369" s="14" t="s">
        <v>10567</v>
      </c>
      <c r="F3369" s="7" t="s">
        <v>11535</v>
      </c>
    </row>
    <row r="3370" ht="18" customHeight="1" spans="1:6">
      <c r="A3370" s="13" t="s">
        <v>9761</v>
      </c>
      <c r="B3370" s="5" t="s">
        <v>10412</v>
      </c>
      <c r="C3370" s="13" t="s">
        <v>10672</v>
      </c>
      <c r="D3370" s="13">
        <v>3</v>
      </c>
      <c r="E3370" s="14" t="s">
        <v>10611</v>
      </c>
      <c r="F3370" s="7" t="s">
        <v>11535</v>
      </c>
    </row>
    <row r="3371" ht="18" customHeight="1" spans="1:6">
      <c r="A3371" s="13" t="s">
        <v>9761</v>
      </c>
      <c r="B3371" s="5" t="s">
        <v>10412</v>
      </c>
      <c r="C3371" s="13" t="s">
        <v>10578</v>
      </c>
      <c r="D3371" s="13">
        <v>5</v>
      </c>
      <c r="E3371" s="14" t="s">
        <v>10579</v>
      </c>
      <c r="F3371" s="7" t="s">
        <v>11535</v>
      </c>
    </row>
    <row r="3372" ht="18" customHeight="1" spans="1:6">
      <c r="A3372" s="13" t="s">
        <v>9761</v>
      </c>
      <c r="B3372" s="5" t="s">
        <v>10412</v>
      </c>
      <c r="C3372" s="13" t="s">
        <v>10580</v>
      </c>
      <c r="D3372" s="13">
        <v>5</v>
      </c>
      <c r="E3372" s="14" t="s">
        <v>10581</v>
      </c>
      <c r="F3372" s="7" t="s">
        <v>11535</v>
      </c>
    </row>
    <row r="3373" ht="18" customHeight="1" spans="1:6">
      <c r="A3373" s="13" t="s">
        <v>9761</v>
      </c>
      <c r="B3373" s="5" t="s">
        <v>10423</v>
      </c>
      <c r="C3373" s="13" t="s">
        <v>18102</v>
      </c>
      <c r="D3373" s="13">
        <v>2</v>
      </c>
      <c r="E3373" s="14" t="s">
        <v>18103</v>
      </c>
      <c r="F3373" s="7" t="s">
        <v>11535</v>
      </c>
    </row>
    <row r="3374" ht="18" customHeight="1" spans="1:6">
      <c r="A3374" s="13" t="s">
        <v>9761</v>
      </c>
      <c r="B3374" s="5" t="s">
        <v>10078</v>
      </c>
      <c r="C3374" s="5" t="s">
        <v>18104</v>
      </c>
      <c r="D3374" s="5">
        <v>4</v>
      </c>
      <c r="E3374" s="5" t="s">
        <v>18105</v>
      </c>
      <c r="F3374" s="7" t="s">
        <v>11535</v>
      </c>
    </row>
    <row r="3375" ht="18" customHeight="1" spans="1:6">
      <c r="A3375" s="13" t="s">
        <v>9761</v>
      </c>
      <c r="B3375" s="5" t="s">
        <v>10105</v>
      </c>
      <c r="C3375" s="5" t="s">
        <v>18106</v>
      </c>
      <c r="D3375" s="5">
        <v>3</v>
      </c>
      <c r="E3375" s="5" t="s">
        <v>18107</v>
      </c>
      <c r="F3375" s="7" t="s">
        <v>11535</v>
      </c>
    </row>
    <row r="3376" ht="18" customHeight="1" spans="1:6">
      <c r="A3376" s="13" t="s">
        <v>9761</v>
      </c>
      <c r="B3376" s="5" t="s">
        <v>10105</v>
      </c>
      <c r="C3376" s="5" t="s">
        <v>18108</v>
      </c>
      <c r="D3376" s="5">
        <v>1</v>
      </c>
      <c r="E3376" s="5" t="s">
        <v>18109</v>
      </c>
      <c r="F3376" s="7" t="s">
        <v>11535</v>
      </c>
    </row>
    <row r="3377" ht="18" customHeight="1" spans="1:6">
      <c r="A3377" s="13" t="s">
        <v>9761</v>
      </c>
      <c r="B3377" s="5" t="s">
        <v>10105</v>
      </c>
      <c r="C3377" s="5" t="s">
        <v>18110</v>
      </c>
      <c r="D3377" s="5">
        <v>1</v>
      </c>
      <c r="E3377" s="5" t="s">
        <v>18111</v>
      </c>
      <c r="F3377" s="7" t="s">
        <v>11535</v>
      </c>
    </row>
    <row r="3378" ht="18" customHeight="1" spans="1:6">
      <c r="A3378" s="13" t="s">
        <v>9761</v>
      </c>
      <c r="B3378" s="5" t="s">
        <v>10105</v>
      </c>
      <c r="C3378" s="5" t="s">
        <v>18112</v>
      </c>
      <c r="D3378" s="5">
        <v>1</v>
      </c>
      <c r="E3378" s="5" t="s">
        <v>18113</v>
      </c>
      <c r="F3378" s="7" t="s">
        <v>11535</v>
      </c>
    </row>
    <row r="3379" ht="18" customHeight="1" spans="1:6">
      <c r="A3379" s="13" t="s">
        <v>9761</v>
      </c>
      <c r="B3379" s="5" t="s">
        <v>10105</v>
      </c>
      <c r="C3379" s="5" t="s">
        <v>18114</v>
      </c>
      <c r="D3379" s="5">
        <v>1</v>
      </c>
      <c r="E3379" s="5" t="s">
        <v>18115</v>
      </c>
      <c r="F3379" s="7" t="s">
        <v>11535</v>
      </c>
    </row>
    <row r="3380" ht="18" customHeight="1" spans="1:6">
      <c r="A3380" s="13" t="s">
        <v>9761</v>
      </c>
      <c r="B3380" s="5" t="s">
        <v>10105</v>
      </c>
      <c r="C3380" s="5" t="s">
        <v>18116</v>
      </c>
      <c r="D3380" s="5">
        <v>5</v>
      </c>
      <c r="E3380" s="5" t="s">
        <v>18117</v>
      </c>
      <c r="F3380" s="7" t="s">
        <v>11535</v>
      </c>
    </row>
    <row r="3381" ht="18" customHeight="1" spans="1:6">
      <c r="A3381" s="13" t="s">
        <v>9761</v>
      </c>
      <c r="B3381" s="5" t="s">
        <v>2596</v>
      </c>
      <c r="C3381" s="5" t="s">
        <v>18118</v>
      </c>
      <c r="D3381" s="5">
        <v>2</v>
      </c>
      <c r="E3381" s="5" t="s">
        <v>18119</v>
      </c>
      <c r="F3381" s="7" t="s">
        <v>11535</v>
      </c>
    </row>
    <row r="3382" ht="18" customHeight="1" spans="1:6">
      <c r="A3382" s="13" t="s">
        <v>9761</v>
      </c>
      <c r="B3382" s="5" t="s">
        <v>2596</v>
      </c>
      <c r="C3382" s="5" t="s">
        <v>18120</v>
      </c>
      <c r="D3382" s="5">
        <v>2</v>
      </c>
      <c r="E3382" s="5" t="s">
        <v>18121</v>
      </c>
      <c r="F3382" s="7" t="s">
        <v>11535</v>
      </c>
    </row>
    <row r="3383" ht="18" customHeight="1" spans="1:6">
      <c r="A3383" s="13" t="s">
        <v>10711</v>
      </c>
      <c r="B3383" s="13"/>
      <c r="C3383" s="13">
        <v>303</v>
      </c>
      <c r="D3383" s="13">
        <v>1077</v>
      </c>
      <c r="E3383" s="13"/>
      <c r="F3383" s="5"/>
    </row>
    <row r="3384" ht="18" customHeight="1" spans="1:6">
      <c r="A3384" s="13" t="s">
        <v>10712</v>
      </c>
      <c r="B3384" s="13" t="s">
        <v>18122</v>
      </c>
      <c r="C3384" s="13" t="s">
        <v>18123</v>
      </c>
      <c r="D3384" s="13">
        <v>3</v>
      </c>
      <c r="E3384" s="179" t="s">
        <v>18124</v>
      </c>
      <c r="F3384" s="7" t="s">
        <v>11535</v>
      </c>
    </row>
    <row r="3385" ht="18" customHeight="1" spans="1:6">
      <c r="A3385" s="13" t="s">
        <v>10712</v>
      </c>
      <c r="B3385" s="13" t="s">
        <v>18122</v>
      </c>
      <c r="C3385" s="13" t="s">
        <v>18125</v>
      </c>
      <c r="D3385" s="13">
        <v>4</v>
      </c>
      <c r="E3385" s="10" t="s">
        <v>18126</v>
      </c>
      <c r="F3385" s="7" t="s">
        <v>11535</v>
      </c>
    </row>
    <row r="3386" ht="18" customHeight="1" spans="1:6">
      <c r="A3386" s="13" t="s">
        <v>10712</v>
      </c>
      <c r="B3386" s="13" t="s">
        <v>18122</v>
      </c>
      <c r="C3386" s="13" t="s">
        <v>18127</v>
      </c>
      <c r="D3386" s="13">
        <v>4</v>
      </c>
      <c r="E3386" s="179" t="s">
        <v>18128</v>
      </c>
      <c r="F3386" s="7" t="s">
        <v>11535</v>
      </c>
    </row>
    <row r="3387" ht="18" customHeight="1" spans="1:6">
      <c r="A3387" s="13" t="s">
        <v>10712</v>
      </c>
      <c r="B3387" s="13" t="s">
        <v>18129</v>
      </c>
      <c r="C3387" s="13" t="s">
        <v>18130</v>
      </c>
      <c r="D3387" s="13">
        <v>6</v>
      </c>
      <c r="E3387" s="13" t="s">
        <v>18131</v>
      </c>
      <c r="F3387" s="7" t="s">
        <v>11535</v>
      </c>
    </row>
    <row r="3388" ht="18" customHeight="1" spans="1:6">
      <c r="A3388" s="13" t="s">
        <v>10712</v>
      </c>
      <c r="B3388" s="13" t="s">
        <v>18129</v>
      </c>
      <c r="C3388" s="13" t="s">
        <v>18132</v>
      </c>
      <c r="D3388" s="13">
        <v>6</v>
      </c>
      <c r="E3388" s="13" t="s">
        <v>18133</v>
      </c>
      <c r="F3388" s="7" t="s">
        <v>11535</v>
      </c>
    </row>
    <row r="3389" ht="18" customHeight="1" spans="1:6">
      <c r="A3389" s="13" t="s">
        <v>10712</v>
      </c>
      <c r="B3389" s="13" t="s">
        <v>18129</v>
      </c>
      <c r="C3389" s="13" t="s">
        <v>18134</v>
      </c>
      <c r="D3389" s="13">
        <v>6</v>
      </c>
      <c r="E3389" s="13" t="s">
        <v>18135</v>
      </c>
      <c r="F3389" s="7" t="s">
        <v>11535</v>
      </c>
    </row>
    <row r="3390" ht="18" customHeight="1" spans="1:6">
      <c r="A3390" s="13" t="s">
        <v>10712</v>
      </c>
      <c r="B3390" s="13" t="s">
        <v>18129</v>
      </c>
      <c r="C3390" s="13" t="s">
        <v>18136</v>
      </c>
      <c r="D3390" s="13">
        <v>4</v>
      </c>
      <c r="E3390" s="13" t="s">
        <v>18137</v>
      </c>
      <c r="F3390" s="7" t="s">
        <v>11535</v>
      </c>
    </row>
    <row r="3391" ht="18" customHeight="1" spans="1:6">
      <c r="A3391" s="13" t="s">
        <v>10712</v>
      </c>
      <c r="B3391" s="13" t="s">
        <v>18129</v>
      </c>
      <c r="C3391" s="13" t="s">
        <v>18138</v>
      </c>
      <c r="D3391" s="13">
        <v>8</v>
      </c>
      <c r="E3391" s="13" t="s">
        <v>18139</v>
      </c>
      <c r="F3391" s="7" t="s">
        <v>11535</v>
      </c>
    </row>
    <row r="3392" ht="18" customHeight="1" spans="1:6">
      <c r="A3392" s="13" t="s">
        <v>10712</v>
      </c>
      <c r="B3392" s="13" t="s">
        <v>18129</v>
      </c>
      <c r="C3392" s="13" t="s">
        <v>18140</v>
      </c>
      <c r="D3392" s="13">
        <v>6</v>
      </c>
      <c r="E3392" s="13" t="s">
        <v>18141</v>
      </c>
      <c r="F3392" s="7" t="s">
        <v>11535</v>
      </c>
    </row>
    <row r="3393" ht="18" customHeight="1" spans="1:6">
      <c r="A3393" s="13" t="s">
        <v>10712</v>
      </c>
      <c r="B3393" s="13" t="s">
        <v>18129</v>
      </c>
      <c r="C3393" s="13" t="s">
        <v>18142</v>
      </c>
      <c r="D3393" s="13">
        <v>6</v>
      </c>
      <c r="E3393" s="13" t="s">
        <v>18143</v>
      </c>
      <c r="F3393" s="7" t="s">
        <v>11535</v>
      </c>
    </row>
    <row r="3394" ht="18" customHeight="1" spans="1:6">
      <c r="A3394" s="13" t="s">
        <v>10712</v>
      </c>
      <c r="B3394" s="13" t="s">
        <v>18129</v>
      </c>
      <c r="C3394" s="13" t="s">
        <v>18144</v>
      </c>
      <c r="D3394" s="13">
        <v>6</v>
      </c>
      <c r="E3394" s="13" t="s">
        <v>18145</v>
      </c>
      <c r="F3394" s="7" t="s">
        <v>11535</v>
      </c>
    </row>
    <row r="3395" ht="18" customHeight="1" spans="1:6">
      <c r="A3395" s="13" t="s">
        <v>10712</v>
      </c>
      <c r="B3395" s="13" t="s">
        <v>18129</v>
      </c>
      <c r="C3395" s="13" t="s">
        <v>18146</v>
      </c>
      <c r="D3395" s="13">
        <v>4</v>
      </c>
      <c r="E3395" s="13" t="s">
        <v>18147</v>
      </c>
      <c r="F3395" s="7" t="s">
        <v>11535</v>
      </c>
    </row>
    <row r="3396" ht="18" customHeight="1" spans="1:6">
      <c r="A3396" s="13" t="s">
        <v>10712</v>
      </c>
      <c r="B3396" s="13" t="s">
        <v>18129</v>
      </c>
      <c r="C3396" s="13" t="s">
        <v>18148</v>
      </c>
      <c r="D3396" s="13">
        <v>5</v>
      </c>
      <c r="E3396" s="179" t="s">
        <v>18149</v>
      </c>
      <c r="F3396" s="7" t="s">
        <v>11535</v>
      </c>
    </row>
    <row r="3397" ht="18" customHeight="1" spans="1:6">
      <c r="A3397" s="13" t="s">
        <v>10712</v>
      </c>
      <c r="B3397" s="13" t="s">
        <v>18150</v>
      </c>
      <c r="C3397" s="13" t="s">
        <v>18151</v>
      </c>
      <c r="D3397" s="13">
        <v>3</v>
      </c>
      <c r="E3397" s="13" t="s">
        <v>18152</v>
      </c>
      <c r="F3397" s="7" t="s">
        <v>11535</v>
      </c>
    </row>
    <row r="3398" ht="18" customHeight="1" spans="1:6">
      <c r="A3398" s="13" t="s">
        <v>10712</v>
      </c>
      <c r="B3398" s="13" t="s">
        <v>18150</v>
      </c>
      <c r="C3398" s="13" t="s">
        <v>11293</v>
      </c>
      <c r="D3398" s="13">
        <v>3</v>
      </c>
      <c r="E3398" s="13" t="s">
        <v>18153</v>
      </c>
      <c r="F3398" s="7" t="s">
        <v>11535</v>
      </c>
    </row>
    <row r="3399" ht="18" customHeight="1" spans="1:6">
      <c r="A3399" s="13" t="s">
        <v>10712</v>
      </c>
      <c r="B3399" s="13" t="s">
        <v>18150</v>
      </c>
      <c r="C3399" s="13" t="s">
        <v>18154</v>
      </c>
      <c r="D3399" s="13">
        <v>4</v>
      </c>
      <c r="E3399" s="13" t="s">
        <v>18155</v>
      </c>
      <c r="F3399" s="7" t="s">
        <v>11535</v>
      </c>
    </row>
    <row r="3400" ht="18" customHeight="1" spans="1:6">
      <c r="A3400" s="13" t="s">
        <v>10712</v>
      </c>
      <c r="B3400" s="13" t="s">
        <v>18150</v>
      </c>
      <c r="C3400" s="13" t="s">
        <v>18156</v>
      </c>
      <c r="D3400" s="13">
        <v>4</v>
      </c>
      <c r="E3400" s="13" t="s">
        <v>18157</v>
      </c>
      <c r="F3400" s="7" t="s">
        <v>11535</v>
      </c>
    </row>
    <row r="3401" ht="18" customHeight="1" spans="1:6">
      <c r="A3401" s="13" t="s">
        <v>10712</v>
      </c>
      <c r="B3401" s="13" t="s">
        <v>18150</v>
      </c>
      <c r="C3401" s="13" t="s">
        <v>18158</v>
      </c>
      <c r="D3401" s="13">
        <v>2</v>
      </c>
      <c r="E3401" s="13" t="s">
        <v>18159</v>
      </c>
      <c r="F3401" s="7" t="s">
        <v>11535</v>
      </c>
    </row>
    <row r="3402" ht="18" customHeight="1" spans="1:6">
      <c r="A3402" s="13" t="s">
        <v>10712</v>
      </c>
      <c r="B3402" s="13" t="s">
        <v>18150</v>
      </c>
      <c r="C3402" s="13" t="s">
        <v>18160</v>
      </c>
      <c r="D3402" s="13">
        <v>6</v>
      </c>
      <c r="E3402" s="13" t="s">
        <v>18161</v>
      </c>
      <c r="F3402" s="7" t="s">
        <v>11535</v>
      </c>
    </row>
    <row r="3403" ht="18" customHeight="1" spans="1:6">
      <c r="A3403" s="13" t="s">
        <v>10712</v>
      </c>
      <c r="B3403" s="13" t="s">
        <v>18150</v>
      </c>
      <c r="C3403" s="13" t="s">
        <v>10752</v>
      </c>
      <c r="D3403" s="13">
        <v>4</v>
      </c>
      <c r="E3403" s="13" t="s">
        <v>18162</v>
      </c>
      <c r="F3403" s="7" t="s">
        <v>11535</v>
      </c>
    </row>
    <row r="3404" ht="18" customHeight="1" spans="1:6">
      <c r="A3404" s="13" t="s">
        <v>10712</v>
      </c>
      <c r="B3404" s="13" t="s">
        <v>18150</v>
      </c>
      <c r="C3404" s="13" t="s">
        <v>18163</v>
      </c>
      <c r="D3404" s="13">
        <v>5</v>
      </c>
      <c r="E3404" s="13" t="s">
        <v>18164</v>
      </c>
      <c r="F3404" s="7" t="s">
        <v>11535</v>
      </c>
    </row>
    <row r="3405" ht="18" customHeight="1" spans="1:6">
      <c r="A3405" s="13" t="s">
        <v>10712</v>
      </c>
      <c r="B3405" s="13" t="s">
        <v>18150</v>
      </c>
      <c r="C3405" s="13" t="s">
        <v>18165</v>
      </c>
      <c r="D3405" s="13">
        <v>3</v>
      </c>
      <c r="E3405" s="13" t="s">
        <v>18166</v>
      </c>
      <c r="F3405" s="7" t="s">
        <v>11535</v>
      </c>
    </row>
    <row r="3406" ht="18" customHeight="1" spans="1:6">
      <c r="A3406" s="13" t="s">
        <v>10712</v>
      </c>
      <c r="B3406" s="13" t="s">
        <v>18150</v>
      </c>
      <c r="C3406" s="13" t="s">
        <v>11118</v>
      </c>
      <c r="D3406" s="13">
        <v>5</v>
      </c>
      <c r="E3406" s="13" t="s">
        <v>18167</v>
      </c>
      <c r="F3406" s="7" t="s">
        <v>11535</v>
      </c>
    </row>
    <row r="3407" ht="18" customHeight="1" spans="1:6">
      <c r="A3407" s="13" t="s">
        <v>10712</v>
      </c>
      <c r="B3407" s="13" t="s">
        <v>18150</v>
      </c>
      <c r="C3407" s="13" t="s">
        <v>18168</v>
      </c>
      <c r="D3407" s="13">
        <v>3</v>
      </c>
      <c r="E3407" s="13" t="s">
        <v>18169</v>
      </c>
      <c r="F3407" s="7" t="s">
        <v>11535</v>
      </c>
    </row>
    <row r="3408" ht="18" customHeight="1" spans="1:6">
      <c r="A3408" s="13" t="s">
        <v>10712</v>
      </c>
      <c r="B3408" s="13" t="s">
        <v>18150</v>
      </c>
      <c r="C3408" s="13" t="s">
        <v>18170</v>
      </c>
      <c r="D3408" s="13">
        <v>4</v>
      </c>
      <c r="E3408" s="13" t="s">
        <v>18171</v>
      </c>
      <c r="F3408" s="7" t="s">
        <v>11535</v>
      </c>
    </row>
    <row r="3409" ht="18" customHeight="1" spans="1:6">
      <c r="A3409" s="13" t="s">
        <v>10712</v>
      </c>
      <c r="B3409" s="13" t="s">
        <v>18150</v>
      </c>
      <c r="C3409" s="13" t="s">
        <v>18172</v>
      </c>
      <c r="D3409" s="13">
        <v>3</v>
      </c>
      <c r="E3409" s="13" t="s">
        <v>18173</v>
      </c>
      <c r="F3409" s="7" t="s">
        <v>11535</v>
      </c>
    </row>
    <row r="3410" ht="18" customHeight="1" spans="1:6">
      <c r="A3410" s="13" t="s">
        <v>10712</v>
      </c>
      <c r="B3410" s="13" t="s">
        <v>18150</v>
      </c>
      <c r="C3410" s="13" t="s">
        <v>18174</v>
      </c>
      <c r="D3410" s="13">
        <v>4</v>
      </c>
      <c r="E3410" s="13" t="s">
        <v>18175</v>
      </c>
      <c r="F3410" s="7" t="s">
        <v>11535</v>
      </c>
    </row>
    <row r="3411" ht="18" customHeight="1" spans="1:6">
      <c r="A3411" s="13" t="s">
        <v>10712</v>
      </c>
      <c r="B3411" s="13" t="s">
        <v>18150</v>
      </c>
      <c r="C3411" s="13" t="s">
        <v>2085</v>
      </c>
      <c r="D3411" s="13">
        <v>5</v>
      </c>
      <c r="E3411" s="13" t="s">
        <v>18176</v>
      </c>
      <c r="F3411" s="7" t="s">
        <v>11535</v>
      </c>
    </row>
    <row r="3412" ht="18" customHeight="1" spans="1:6">
      <c r="A3412" s="13" t="s">
        <v>10712</v>
      </c>
      <c r="B3412" s="13" t="s">
        <v>18150</v>
      </c>
      <c r="C3412" s="13" t="s">
        <v>18177</v>
      </c>
      <c r="D3412" s="13">
        <v>2</v>
      </c>
      <c r="E3412" s="13" t="s">
        <v>18178</v>
      </c>
      <c r="F3412" s="7" t="s">
        <v>11535</v>
      </c>
    </row>
    <row r="3413" ht="18" customHeight="1" spans="1:6">
      <c r="A3413" s="13" t="s">
        <v>10712</v>
      </c>
      <c r="B3413" s="13" t="s">
        <v>18150</v>
      </c>
      <c r="C3413" s="13" t="s">
        <v>18179</v>
      </c>
      <c r="D3413" s="13">
        <v>2</v>
      </c>
      <c r="E3413" s="13" t="s">
        <v>18180</v>
      </c>
      <c r="F3413" s="7" t="s">
        <v>11535</v>
      </c>
    </row>
    <row r="3414" ht="18" customHeight="1" spans="1:6">
      <c r="A3414" s="13" t="s">
        <v>10712</v>
      </c>
      <c r="B3414" s="13" t="s">
        <v>18150</v>
      </c>
      <c r="C3414" s="13" t="s">
        <v>18181</v>
      </c>
      <c r="D3414" s="13">
        <v>3</v>
      </c>
      <c r="E3414" s="13" t="s">
        <v>18182</v>
      </c>
      <c r="F3414" s="7" t="s">
        <v>11535</v>
      </c>
    </row>
    <row r="3415" ht="18" customHeight="1" spans="1:6">
      <c r="A3415" s="13" t="s">
        <v>10712</v>
      </c>
      <c r="B3415" s="13" t="s">
        <v>18150</v>
      </c>
      <c r="C3415" s="13" t="s">
        <v>6101</v>
      </c>
      <c r="D3415" s="13">
        <v>4</v>
      </c>
      <c r="E3415" s="13" t="s">
        <v>18183</v>
      </c>
      <c r="F3415" s="7" t="s">
        <v>11535</v>
      </c>
    </row>
    <row r="3416" ht="18" customHeight="1" spans="1:6">
      <c r="A3416" s="13" t="s">
        <v>10712</v>
      </c>
      <c r="B3416" s="13" t="s">
        <v>18150</v>
      </c>
      <c r="C3416" s="13" t="s">
        <v>18184</v>
      </c>
      <c r="D3416" s="13">
        <v>5</v>
      </c>
      <c r="E3416" s="13" t="s">
        <v>18185</v>
      </c>
      <c r="F3416" s="7" t="s">
        <v>11535</v>
      </c>
    </row>
    <row r="3417" ht="18" customHeight="1" spans="1:6">
      <c r="A3417" s="13" t="s">
        <v>10712</v>
      </c>
      <c r="B3417" s="13" t="s">
        <v>18150</v>
      </c>
      <c r="C3417" s="13" t="s">
        <v>18186</v>
      </c>
      <c r="D3417" s="13">
        <v>3</v>
      </c>
      <c r="E3417" s="13" t="s">
        <v>18187</v>
      </c>
      <c r="F3417" s="7" t="s">
        <v>11535</v>
      </c>
    </row>
    <row r="3418" ht="18" customHeight="1" spans="1:6">
      <c r="A3418" s="13" t="s">
        <v>10712</v>
      </c>
      <c r="B3418" s="13" t="s">
        <v>18150</v>
      </c>
      <c r="C3418" s="13" t="s">
        <v>7681</v>
      </c>
      <c r="D3418" s="13">
        <v>7</v>
      </c>
      <c r="E3418" s="179" t="s">
        <v>18188</v>
      </c>
      <c r="F3418" s="7" t="s">
        <v>11535</v>
      </c>
    </row>
    <row r="3419" ht="18" customHeight="1" spans="1:6">
      <c r="A3419" s="13" t="s">
        <v>10712</v>
      </c>
      <c r="B3419" s="13" t="s">
        <v>18150</v>
      </c>
      <c r="C3419" s="13" t="s">
        <v>18189</v>
      </c>
      <c r="D3419" s="13">
        <v>7</v>
      </c>
      <c r="E3419" s="179" t="s">
        <v>18190</v>
      </c>
      <c r="F3419" s="7" t="s">
        <v>11535</v>
      </c>
    </row>
    <row r="3420" ht="18" customHeight="1" spans="1:6">
      <c r="A3420" s="13" t="s">
        <v>10712</v>
      </c>
      <c r="B3420" s="13" t="s">
        <v>18150</v>
      </c>
      <c r="C3420" s="13" t="s">
        <v>18191</v>
      </c>
      <c r="D3420" s="13">
        <v>5</v>
      </c>
      <c r="E3420" s="179" t="s">
        <v>18192</v>
      </c>
      <c r="F3420" s="7" t="s">
        <v>11535</v>
      </c>
    </row>
    <row r="3421" ht="18" customHeight="1" spans="1:6">
      <c r="A3421" s="13" t="s">
        <v>10712</v>
      </c>
      <c r="B3421" s="13" t="s">
        <v>18150</v>
      </c>
      <c r="C3421" s="13" t="s">
        <v>18193</v>
      </c>
      <c r="D3421" s="13">
        <v>6</v>
      </c>
      <c r="E3421" s="179" t="s">
        <v>18194</v>
      </c>
      <c r="F3421" s="7" t="s">
        <v>11535</v>
      </c>
    </row>
    <row r="3422" ht="18" customHeight="1" spans="1:6">
      <c r="A3422" s="13" t="s">
        <v>10712</v>
      </c>
      <c r="B3422" s="13" t="s">
        <v>18150</v>
      </c>
      <c r="C3422" s="13" t="s">
        <v>18195</v>
      </c>
      <c r="D3422" s="13">
        <v>5</v>
      </c>
      <c r="E3422" s="13" t="s">
        <v>18196</v>
      </c>
      <c r="F3422" s="7" t="s">
        <v>11535</v>
      </c>
    </row>
    <row r="3423" ht="18" customHeight="1" spans="1:6">
      <c r="A3423" s="13" t="s">
        <v>10712</v>
      </c>
      <c r="B3423" s="13" t="s">
        <v>18150</v>
      </c>
      <c r="C3423" s="13" t="s">
        <v>18197</v>
      </c>
      <c r="D3423" s="13">
        <v>3</v>
      </c>
      <c r="E3423" s="13" t="s">
        <v>18198</v>
      </c>
      <c r="F3423" s="7" t="s">
        <v>11535</v>
      </c>
    </row>
    <row r="3424" ht="18" customHeight="1" spans="1:6">
      <c r="A3424" s="13" t="s">
        <v>10712</v>
      </c>
      <c r="B3424" s="13" t="s">
        <v>18150</v>
      </c>
      <c r="C3424" s="13" t="s">
        <v>18199</v>
      </c>
      <c r="D3424" s="13">
        <v>4</v>
      </c>
      <c r="E3424" s="13" t="s">
        <v>18200</v>
      </c>
      <c r="F3424" s="7" t="s">
        <v>11535</v>
      </c>
    </row>
    <row r="3425" ht="18" customHeight="1" spans="1:6">
      <c r="A3425" s="13" t="s">
        <v>10712</v>
      </c>
      <c r="B3425" s="13" t="s">
        <v>18201</v>
      </c>
      <c r="C3425" s="13" t="s">
        <v>18202</v>
      </c>
      <c r="D3425" s="13">
        <v>3</v>
      </c>
      <c r="E3425" s="13" t="str">
        <f>LEFT("422626196903287617",19)</f>
        <v>422626196903287617</v>
      </c>
      <c r="F3425" s="7" t="s">
        <v>11535</v>
      </c>
    </row>
    <row r="3426" ht="18" customHeight="1" spans="1:6">
      <c r="A3426" s="13" t="s">
        <v>10712</v>
      </c>
      <c r="B3426" s="13" t="s">
        <v>18203</v>
      </c>
      <c r="C3426" s="13" t="s">
        <v>18204</v>
      </c>
      <c r="D3426" s="13">
        <v>4</v>
      </c>
      <c r="E3426" s="13" t="s">
        <v>18205</v>
      </c>
      <c r="F3426" s="7" t="s">
        <v>11535</v>
      </c>
    </row>
    <row r="3427" ht="18" customHeight="1" spans="1:6">
      <c r="A3427" s="13" t="s">
        <v>10712</v>
      </c>
      <c r="B3427" s="13" t="s">
        <v>18203</v>
      </c>
      <c r="C3427" s="13" t="s">
        <v>18206</v>
      </c>
      <c r="D3427" s="13">
        <v>2</v>
      </c>
      <c r="E3427" s="13" t="s">
        <v>18207</v>
      </c>
      <c r="F3427" s="7" t="s">
        <v>11535</v>
      </c>
    </row>
    <row r="3428" ht="18" customHeight="1" spans="1:6">
      <c r="A3428" s="13" t="s">
        <v>10712</v>
      </c>
      <c r="B3428" s="13" t="s">
        <v>18203</v>
      </c>
      <c r="C3428" s="13" t="s">
        <v>18208</v>
      </c>
      <c r="D3428" s="13">
        <v>1</v>
      </c>
      <c r="E3428" s="13" t="s">
        <v>18209</v>
      </c>
      <c r="F3428" s="7" t="s">
        <v>11535</v>
      </c>
    </row>
    <row r="3429" ht="18" customHeight="1" spans="1:6">
      <c r="A3429" s="13" t="s">
        <v>10712</v>
      </c>
      <c r="B3429" s="13" t="s">
        <v>18203</v>
      </c>
      <c r="C3429" s="13" t="s">
        <v>18210</v>
      </c>
      <c r="D3429" s="13">
        <v>1</v>
      </c>
      <c r="E3429" s="13" t="s">
        <v>18211</v>
      </c>
      <c r="F3429" s="7" t="s">
        <v>11535</v>
      </c>
    </row>
    <row r="3430" ht="18" customHeight="1" spans="1:6">
      <c r="A3430" s="13" t="s">
        <v>10712</v>
      </c>
      <c r="B3430" s="13" t="s">
        <v>18203</v>
      </c>
      <c r="C3430" s="13" t="s">
        <v>10053</v>
      </c>
      <c r="D3430" s="13">
        <v>3</v>
      </c>
      <c r="E3430" s="13" t="s">
        <v>18212</v>
      </c>
      <c r="F3430" s="7" t="s">
        <v>11535</v>
      </c>
    </row>
    <row r="3431" ht="18" customHeight="1" spans="1:6">
      <c r="A3431" s="13" t="s">
        <v>10712</v>
      </c>
      <c r="B3431" s="13" t="s">
        <v>18203</v>
      </c>
      <c r="C3431" s="13" t="s">
        <v>18213</v>
      </c>
      <c r="D3431" s="13">
        <v>3</v>
      </c>
      <c r="E3431" s="13" t="s">
        <v>18214</v>
      </c>
      <c r="F3431" s="7" t="s">
        <v>11535</v>
      </c>
    </row>
    <row r="3432" ht="18" customHeight="1" spans="1:6">
      <c r="A3432" s="13" t="s">
        <v>10712</v>
      </c>
      <c r="B3432" s="13" t="s">
        <v>18203</v>
      </c>
      <c r="C3432" s="13" t="s">
        <v>18215</v>
      </c>
      <c r="D3432" s="13">
        <v>5</v>
      </c>
      <c r="E3432" s="13" t="s">
        <v>18216</v>
      </c>
      <c r="F3432" s="7" t="s">
        <v>11535</v>
      </c>
    </row>
    <row r="3433" ht="18" customHeight="1" spans="1:6">
      <c r="A3433" s="13" t="s">
        <v>10712</v>
      </c>
      <c r="B3433" s="13" t="s">
        <v>18203</v>
      </c>
      <c r="C3433" s="13" t="s">
        <v>18217</v>
      </c>
      <c r="D3433" s="13">
        <v>3</v>
      </c>
      <c r="E3433" s="13" t="str">
        <f>LEFT("422626196804287611",19)</f>
        <v>422626196804287611</v>
      </c>
      <c r="F3433" s="7" t="s">
        <v>11535</v>
      </c>
    </row>
    <row r="3434" ht="18" customHeight="1" spans="1:6">
      <c r="A3434" s="13" t="s">
        <v>10712</v>
      </c>
      <c r="B3434" s="13" t="s">
        <v>18203</v>
      </c>
      <c r="C3434" s="13" t="s">
        <v>18218</v>
      </c>
      <c r="D3434" s="13">
        <v>5</v>
      </c>
      <c r="E3434" s="13" t="s">
        <v>18219</v>
      </c>
      <c r="F3434" s="7" t="s">
        <v>11535</v>
      </c>
    </row>
    <row r="3435" ht="18" customHeight="1" spans="1:6">
      <c r="A3435" s="13" t="s">
        <v>10712</v>
      </c>
      <c r="B3435" s="13" t="s">
        <v>18203</v>
      </c>
      <c r="C3435" s="13" t="s">
        <v>18220</v>
      </c>
      <c r="D3435" s="13">
        <v>3</v>
      </c>
      <c r="E3435" s="13" t="s">
        <v>18221</v>
      </c>
      <c r="F3435" s="7" t="s">
        <v>11535</v>
      </c>
    </row>
    <row r="3436" ht="18" customHeight="1" spans="1:6">
      <c r="A3436" s="13" t="s">
        <v>10712</v>
      </c>
      <c r="B3436" s="13" t="s">
        <v>18222</v>
      </c>
      <c r="C3436" s="13" t="s">
        <v>18223</v>
      </c>
      <c r="D3436" s="13">
        <v>1</v>
      </c>
      <c r="E3436" s="179" t="s">
        <v>18224</v>
      </c>
      <c r="F3436" s="7" t="s">
        <v>11535</v>
      </c>
    </row>
    <row r="3437" ht="18" customHeight="1" spans="1:6">
      <c r="A3437" s="13" t="s">
        <v>10712</v>
      </c>
      <c r="B3437" s="13" t="s">
        <v>18222</v>
      </c>
      <c r="C3437" s="13" t="s">
        <v>18225</v>
      </c>
      <c r="D3437" s="13">
        <v>4</v>
      </c>
      <c r="E3437" s="179" t="s">
        <v>18226</v>
      </c>
      <c r="F3437" s="7" t="s">
        <v>11535</v>
      </c>
    </row>
    <row r="3438" ht="18" customHeight="1" spans="1:6">
      <c r="A3438" s="13" t="s">
        <v>10712</v>
      </c>
      <c r="B3438" s="13" t="s">
        <v>11136</v>
      </c>
      <c r="C3438" s="13" t="s">
        <v>18227</v>
      </c>
      <c r="D3438" s="13">
        <v>6</v>
      </c>
      <c r="E3438" s="13" t="s">
        <v>18228</v>
      </c>
      <c r="F3438" s="7" t="s">
        <v>11535</v>
      </c>
    </row>
    <row r="3439" ht="18" customHeight="1" spans="1:6">
      <c r="A3439" s="13" t="s">
        <v>10712</v>
      </c>
      <c r="B3439" s="13" t="s">
        <v>11136</v>
      </c>
      <c r="C3439" s="13" t="s">
        <v>18229</v>
      </c>
      <c r="D3439" s="13">
        <v>7</v>
      </c>
      <c r="E3439" s="13" t="s">
        <v>18230</v>
      </c>
      <c r="F3439" s="7" t="s">
        <v>11535</v>
      </c>
    </row>
    <row r="3440" ht="18" customHeight="1" spans="1:6">
      <c r="A3440" s="13" t="s">
        <v>10712</v>
      </c>
      <c r="B3440" s="13" t="s">
        <v>11136</v>
      </c>
      <c r="C3440" s="13" t="s">
        <v>1493</v>
      </c>
      <c r="D3440" s="13">
        <v>4</v>
      </c>
      <c r="E3440" s="13" t="s">
        <v>18231</v>
      </c>
      <c r="F3440" s="7" t="s">
        <v>11535</v>
      </c>
    </row>
    <row r="3441" ht="18" customHeight="1" spans="1:6">
      <c r="A3441" s="13" t="s">
        <v>10712</v>
      </c>
      <c r="B3441" s="13" t="s">
        <v>11136</v>
      </c>
      <c r="C3441" s="13" t="s">
        <v>18232</v>
      </c>
      <c r="D3441" s="13">
        <v>5</v>
      </c>
      <c r="E3441" s="13" t="s">
        <v>18233</v>
      </c>
      <c r="F3441" s="7" t="s">
        <v>11535</v>
      </c>
    </row>
    <row r="3442" ht="18" customHeight="1" spans="1:6">
      <c r="A3442" s="13" t="s">
        <v>10712</v>
      </c>
      <c r="B3442" s="13" t="s">
        <v>11136</v>
      </c>
      <c r="C3442" s="13" t="s">
        <v>18234</v>
      </c>
      <c r="D3442" s="13">
        <v>5</v>
      </c>
      <c r="E3442" s="13" t="s">
        <v>18235</v>
      </c>
      <c r="F3442" s="7" t="s">
        <v>11535</v>
      </c>
    </row>
    <row r="3443" ht="18" customHeight="1" spans="1:6">
      <c r="A3443" s="13" t="s">
        <v>10712</v>
      </c>
      <c r="B3443" s="13" t="s">
        <v>11136</v>
      </c>
      <c r="C3443" s="13" t="s">
        <v>18236</v>
      </c>
      <c r="D3443" s="13">
        <v>3</v>
      </c>
      <c r="E3443" s="13" t="s">
        <v>18237</v>
      </c>
      <c r="F3443" s="7" t="s">
        <v>11535</v>
      </c>
    </row>
    <row r="3444" ht="18" customHeight="1" spans="1:6">
      <c r="A3444" s="13" t="s">
        <v>10712</v>
      </c>
      <c r="B3444" s="13" t="s">
        <v>11136</v>
      </c>
      <c r="C3444" s="13" t="s">
        <v>11108</v>
      </c>
      <c r="D3444" s="13">
        <v>6</v>
      </c>
      <c r="E3444" s="13" t="s">
        <v>18238</v>
      </c>
      <c r="F3444" s="7" t="s">
        <v>11535</v>
      </c>
    </row>
    <row r="3445" ht="18" customHeight="1" spans="1:6">
      <c r="A3445" s="13" t="s">
        <v>10712</v>
      </c>
      <c r="B3445" s="13" t="s">
        <v>11136</v>
      </c>
      <c r="C3445" s="13" t="s">
        <v>18239</v>
      </c>
      <c r="D3445" s="13">
        <v>5</v>
      </c>
      <c r="E3445" s="13" t="s">
        <v>18240</v>
      </c>
      <c r="F3445" s="7" t="s">
        <v>11535</v>
      </c>
    </row>
    <row r="3446" ht="18" customHeight="1" spans="1:6">
      <c r="A3446" s="13" t="s">
        <v>10712</v>
      </c>
      <c r="B3446" s="13" t="s">
        <v>11136</v>
      </c>
      <c r="C3446" s="13" t="s">
        <v>18241</v>
      </c>
      <c r="D3446" s="13">
        <v>2</v>
      </c>
      <c r="E3446" s="13" t="str">
        <f>LEFT("422626195401077615",19)</f>
        <v>422626195401077615</v>
      </c>
      <c r="F3446" s="7" t="s">
        <v>11535</v>
      </c>
    </row>
    <row r="3447" ht="18" customHeight="1" spans="1:6">
      <c r="A3447" s="13" t="s">
        <v>10712</v>
      </c>
      <c r="B3447" s="13" t="s">
        <v>11136</v>
      </c>
      <c r="C3447" s="13" t="s">
        <v>18242</v>
      </c>
      <c r="D3447" s="13">
        <v>2</v>
      </c>
      <c r="E3447" s="13" t="str">
        <f>LEFT("420325198404277638",19)</f>
        <v>420325198404277638</v>
      </c>
      <c r="F3447" s="7" t="s">
        <v>11535</v>
      </c>
    </row>
    <row r="3448" ht="18" customHeight="1" spans="1:6">
      <c r="A3448" s="13" t="s">
        <v>10712</v>
      </c>
      <c r="B3448" s="13" t="s">
        <v>11136</v>
      </c>
      <c r="C3448" s="13" t="s">
        <v>18243</v>
      </c>
      <c r="D3448" s="13">
        <v>6</v>
      </c>
      <c r="E3448" s="13" t="str">
        <f>LEFT("422626194501067612",19)</f>
        <v>422626194501067612</v>
      </c>
      <c r="F3448" s="7" t="s">
        <v>11535</v>
      </c>
    </row>
    <row r="3449" ht="18" customHeight="1" spans="1:6">
      <c r="A3449" s="13" t="s">
        <v>10712</v>
      </c>
      <c r="B3449" s="13" t="s">
        <v>11241</v>
      </c>
      <c r="C3449" s="13" t="s">
        <v>18244</v>
      </c>
      <c r="D3449" s="13">
        <v>4</v>
      </c>
      <c r="E3449" s="13" t="s">
        <v>18245</v>
      </c>
      <c r="F3449" s="7" t="s">
        <v>11535</v>
      </c>
    </row>
    <row r="3450" ht="18" customHeight="1" spans="1:6">
      <c r="A3450" s="13" t="s">
        <v>10712</v>
      </c>
      <c r="B3450" s="13" t="s">
        <v>11241</v>
      </c>
      <c r="C3450" s="13" t="s">
        <v>18246</v>
      </c>
      <c r="D3450" s="13">
        <v>3</v>
      </c>
      <c r="E3450" s="13" t="s">
        <v>18247</v>
      </c>
      <c r="F3450" s="7" t="s">
        <v>11535</v>
      </c>
    </row>
    <row r="3451" ht="18" customHeight="1" spans="1:6">
      <c r="A3451" s="13" t="s">
        <v>10712</v>
      </c>
      <c r="B3451" s="13" t="s">
        <v>11241</v>
      </c>
      <c r="C3451" s="13" t="s">
        <v>18248</v>
      </c>
      <c r="D3451" s="13">
        <v>4</v>
      </c>
      <c r="E3451" s="13" t="s">
        <v>18249</v>
      </c>
      <c r="F3451" s="7" t="s">
        <v>11535</v>
      </c>
    </row>
    <row r="3452" ht="18" customHeight="1" spans="1:6">
      <c r="A3452" s="13" t="s">
        <v>10712</v>
      </c>
      <c r="B3452" s="13" t="s">
        <v>11241</v>
      </c>
      <c r="C3452" s="13" t="s">
        <v>18250</v>
      </c>
      <c r="D3452" s="13">
        <v>5</v>
      </c>
      <c r="E3452" s="13" t="s">
        <v>18251</v>
      </c>
      <c r="F3452" s="7" t="s">
        <v>11535</v>
      </c>
    </row>
    <row r="3453" ht="18" customHeight="1" spans="1:6">
      <c r="A3453" s="13" t="s">
        <v>10712</v>
      </c>
      <c r="B3453" s="13" t="s">
        <v>11241</v>
      </c>
      <c r="C3453" s="13" t="s">
        <v>16055</v>
      </c>
      <c r="D3453" s="13">
        <v>4</v>
      </c>
      <c r="E3453" s="13" t="s">
        <v>18252</v>
      </c>
      <c r="F3453" s="7" t="s">
        <v>11535</v>
      </c>
    </row>
    <row r="3454" ht="18" customHeight="1" spans="1:6">
      <c r="A3454" s="13" t="s">
        <v>10712</v>
      </c>
      <c r="B3454" s="13" t="s">
        <v>11241</v>
      </c>
      <c r="C3454" s="13" t="s">
        <v>13216</v>
      </c>
      <c r="D3454" s="13">
        <v>2</v>
      </c>
      <c r="E3454" s="13" t="s">
        <v>18253</v>
      </c>
      <c r="F3454" s="7" t="s">
        <v>11535</v>
      </c>
    </row>
    <row r="3455" ht="18" customHeight="1" spans="1:6">
      <c r="A3455" s="13" t="s">
        <v>10712</v>
      </c>
      <c r="B3455" s="13" t="s">
        <v>11241</v>
      </c>
      <c r="C3455" s="13" t="s">
        <v>18254</v>
      </c>
      <c r="D3455" s="13">
        <v>5</v>
      </c>
      <c r="E3455" s="13" t="s">
        <v>18255</v>
      </c>
      <c r="F3455" s="7" t="s">
        <v>11535</v>
      </c>
    </row>
    <row r="3456" ht="18" customHeight="1" spans="1:6">
      <c r="A3456" s="13" t="s">
        <v>10712</v>
      </c>
      <c r="B3456" s="13" t="s">
        <v>11241</v>
      </c>
      <c r="C3456" s="13" t="s">
        <v>18256</v>
      </c>
      <c r="D3456" s="13">
        <v>3</v>
      </c>
      <c r="E3456" s="13" t="s">
        <v>18257</v>
      </c>
      <c r="F3456" s="7" t="s">
        <v>11535</v>
      </c>
    </row>
    <row r="3457" ht="18" customHeight="1" spans="1:6">
      <c r="A3457" s="13" t="s">
        <v>10712</v>
      </c>
      <c r="B3457" s="13" t="s">
        <v>11241</v>
      </c>
      <c r="C3457" s="13" t="s">
        <v>18258</v>
      </c>
      <c r="D3457" s="13">
        <v>4</v>
      </c>
      <c r="E3457" s="13" t="s">
        <v>18259</v>
      </c>
      <c r="F3457" s="7" t="s">
        <v>11535</v>
      </c>
    </row>
    <row r="3458" ht="18" customHeight="1" spans="1:6">
      <c r="A3458" s="13" t="s">
        <v>10712</v>
      </c>
      <c r="B3458" s="13" t="s">
        <v>11241</v>
      </c>
      <c r="C3458" s="13" t="s">
        <v>18260</v>
      </c>
      <c r="D3458" s="13">
        <v>5</v>
      </c>
      <c r="E3458" s="13" t="s">
        <v>18261</v>
      </c>
      <c r="F3458" s="7" t="s">
        <v>11535</v>
      </c>
    </row>
    <row r="3459" ht="18" customHeight="1" spans="1:6">
      <c r="A3459" s="13" t="s">
        <v>10712</v>
      </c>
      <c r="B3459" s="13" t="s">
        <v>11241</v>
      </c>
      <c r="C3459" s="13" t="s">
        <v>18262</v>
      </c>
      <c r="D3459" s="13">
        <v>3</v>
      </c>
      <c r="E3459" s="13" t="s">
        <v>18263</v>
      </c>
      <c r="F3459" s="7" t="s">
        <v>11535</v>
      </c>
    </row>
    <row r="3460" ht="18" customHeight="1" spans="1:6">
      <c r="A3460" s="13" t="s">
        <v>10712</v>
      </c>
      <c r="B3460" s="13" t="s">
        <v>11241</v>
      </c>
      <c r="C3460" s="13" t="s">
        <v>18264</v>
      </c>
      <c r="D3460" s="13">
        <v>5</v>
      </c>
      <c r="E3460" s="13" t="s">
        <v>18265</v>
      </c>
      <c r="F3460" s="7" t="s">
        <v>11535</v>
      </c>
    </row>
    <row r="3461" ht="18" customHeight="1" spans="1:6">
      <c r="A3461" s="13" t="s">
        <v>10712</v>
      </c>
      <c r="B3461" s="13" t="s">
        <v>11241</v>
      </c>
      <c r="C3461" s="13" t="s">
        <v>18266</v>
      </c>
      <c r="D3461" s="13">
        <v>5</v>
      </c>
      <c r="E3461" s="13" t="s">
        <v>18267</v>
      </c>
      <c r="F3461" s="7" t="s">
        <v>11535</v>
      </c>
    </row>
    <row r="3462" ht="18" customHeight="1" spans="1:6">
      <c r="A3462" s="13" t="s">
        <v>10712</v>
      </c>
      <c r="B3462" s="13" t="s">
        <v>11241</v>
      </c>
      <c r="C3462" s="13" t="s">
        <v>18268</v>
      </c>
      <c r="D3462" s="13">
        <v>3</v>
      </c>
      <c r="E3462" s="13" t="s">
        <v>18269</v>
      </c>
      <c r="F3462" s="7" t="s">
        <v>11535</v>
      </c>
    </row>
    <row r="3463" ht="18" customHeight="1" spans="1:6">
      <c r="A3463" s="13" t="s">
        <v>10712</v>
      </c>
      <c r="B3463" s="13" t="s">
        <v>11241</v>
      </c>
      <c r="C3463" s="13" t="s">
        <v>18270</v>
      </c>
      <c r="D3463" s="13">
        <v>6</v>
      </c>
      <c r="E3463" s="13" t="s">
        <v>18271</v>
      </c>
      <c r="F3463" s="7" t="s">
        <v>11535</v>
      </c>
    </row>
    <row r="3464" ht="18" customHeight="1" spans="1:6">
      <c r="A3464" s="13" t="s">
        <v>10712</v>
      </c>
      <c r="B3464" s="13" t="s">
        <v>11241</v>
      </c>
      <c r="C3464" s="13" t="s">
        <v>18272</v>
      </c>
      <c r="D3464" s="13">
        <v>4</v>
      </c>
      <c r="E3464" s="13" t="s">
        <v>18273</v>
      </c>
      <c r="F3464" s="7" t="s">
        <v>11535</v>
      </c>
    </row>
    <row r="3465" ht="18" customHeight="1" spans="1:6">
      <c r="A3465" s="13" t="s">
        <v>10712</v>
      </c>
      <c r="B3465" s="13" t="s">
        <v>11241</v>
      </c>
      <c r="C3465" s="13" t="s">
        <v>18274</v>
      </c>
      <c r="D3465" s="13">
        <v>2</v>
      </c>
      <c r="E3465" s="13" t="s">
        <v>18275</v>
      </c>
      <c r="F3465" s="7" t="s">
        <v>11535</v>
      </c>
    </row>
    <row r="3466" ht="18" customHeight="1" spans="1:6">
      <c r="A3466" s="13" t="s">
        <v>10712</v>
      </c>
      <c r="B3466" s="13" t="s">
        <v>11241</v>
      </c>
      <c r="C3466" s="13" t="s">
        <v>18276</v>
      </c>
      <c r="D3466" s="13">
        <v>4</v>
      </c>
      <c r="E3466" s="13" t="s">
        <v>18277</v>
      </c>
      <c r="F3466" s="7" t="s">
        <v>11535</v>
      </c>
    </row>
    <row r="3467" ht="18" customHeight="1" spans="1:6">
      <c r="A3467" s="13" t="s">
        <v>10712</v>
      </c>
      <c r="B3467" s="13" t="s">
        <v>11241</v>
      </c>
      <c r="C3467" s="13" t="s">
        <v>18278</v>
      </c>
      <c r="D3467" s="13">
        <v>4</v>
      </c>
      <c r="E3467" s="13" t="s">
        <v>18279</v>
      </c>
      <c r="F3467" s="7" t="s">
        <v>11535</v>
      </c>
    </row>
    <row r="3468" ht="18" customHeight="1" spans="1:6">
      <c r="A3468" s="13" t="s">
        <v>10712</v>
      </c>
      <c r="B3468" s="13" t="s">
        <v>11241</v>
      </c>
      <c r="C3468" s="13" t="s">
        <v>18280</v>
      </c>
      <c r="D3468" s="13">
        <v>4</v>
      </c>
      <c r="E3468" s="13" t="s">
        <v>18281</v>
      </c>
      <c r="F3468" s="7" t="s">
        <v>11535</v>
      </c>
    </row>
    <row r="3469" ht="18" customHeight="1" spans="1:6">
      <c r="A3469" s="13" t="s">
        <v>10712</v>
      </c>
      <c r="B3469" s="13" t="s">
        <v>11241</v>
      </c>
      <c r="C3469" s="13" t="s">
        <v>18282</v>
      </c>
      <c r="D3469" s="13">
        <v>5</v>
      </c>
      <c r="E3469" s="13" t="s">
        <v>18283</v>
      </c>
      <c r="F3469" s="7" t="s">
        <v>11535</v>
      </c>
    </row>
    <row r="3470" ht="18" customHeight="1" spans="1:6">
      <c r="A3470" s="13" t="s">
        <v>10712</v>
      </c>
      <c r="B3470" s="13" t="s">
        <v>11241</v>
      </c>
      <c r="C3470" s="13" t="s">
        <v>18284</v>
      </c>
      <c r="D3470" s="13">
        <v>5</v>
      </c>
      <c r="E3470" s="13" t="s">
        <v>18285</v>
      </c>
      <c r="F3470" s="7" t="s">
        <v>11535</v>
      </c>
    </row>
    <row r="3471" ht="18" customHeight="1" spans="1:6">
      <c r="A3471" s="13" t="s">
        <v>10712</v>
      </c>
      <c r="B3471" s="13" t="s">
        <v>11241</v>
      </c>
      <c r="C3471" s="13" t="s">
        <v>18286</v>
      </c>
      <c r="D3471" s="13">
        <v>5</v>
      </c>
      <c r="E3471" s="13" t="s">
        <v>18287</v>
      </c>
      <c r="F3471" s="7" t="s">
        <v>11535</v>
      </c>
    </row>
    <row r="3472" ht="18" customHeight="1" spans="1:6">
      <c r="A3472" s="13" t="s">
        <v>10712</v>
      </c>
      <c r="B3472" s="13" t="s">
        <v>11241</v>
      </c>
      <c r="C3472" s="13" t="s">
        <v>18288</v>
      </c>
      <c r="D3472" s="13">
        <v>3</v>
      </c>
      <c r="E3472" s="13" t="s">
        <v>18289</v>
      </c>
      <c r="F3472" s="7" t="s">
        <v>11535</v>
      </c>
    </row>
    <row r="3473" ht="18" customHeight="1" spans="1:6">
      <c r="A3473" s="13" t="s">
        <v>10712</v>
      </c>
      <c r="B3473" s="13" t="s">
        <v>11241</v>
      </c>
      <c r="C3473" s="13" t="s">
        <v>2686</v>
      </c>
      <c r="D3473" s="13">
        <v>3</v>
      </c>
      <c r="E3473" s="13" t="s">
        <v>18290</v>
      </c>
      <c r="F3473" s="7" t="s">
        <v>11535</v>
      </c>
    </row>
    <row r="3474" ht="18" customHeight="1" spans="1:6">
      <c r="A3474" s="13" t="s">
        <v>10712</v>
      </c>
      <c r="B3474" s="13" t="s">
        <v>11241</v>
      </c>
      <c r="C3474" s="13" t="s">
        <v>18291</v>
      </c>
      <c r="D3474" s="13">
        <v>3</v>
      </c>
      <c r="E3474" s="13" t="s">
        <v>18292</v>
      </c>
      <c r="F3474" s="7" t="s">
        <v>11535</v>
      </c>
    </row>
    <row r="3475" ht="18" customHeight="1" spans="1:6">
      <c r="A3475" s="13" t="s">
        <v>10712</v>
      </c>
      <c r="B3475" s="13" t="s">
        <v>11241</v>
      </c>
      <c r="C3475" s="13" t="s">
        <v>18293</v>
      </c>
      <c r="D3475" s="13">
        <v>5</v>
      </c>
      <c r="E3475" s="13" t="s">
        <v>18294</v>
      </c>
      <c r="F3475" s="7" t="s">
        <v>11535</v>
      </c>
    </row>
    <row r="3476" ht="18" customHeight="1" spans="1:6">
      <c r="A3476" s="13" t="s">
        <v>10712</v>
      </c>
      <c r="B3476" s="13" t="s">
        <v>11241</v>
      </c>
      <c r="C3476" s="13" t="s">
        <v>18295</v>
      </c>
      <c r="D3476" s="13">
        <v>4</v>
      </c>
      <c r="E3476" s="13" t="s">
        <v>18296</v>
      </c>
      <c r="F3476" s="7" t="s">
        <v>11535</v>
      </c>
    </row>
    <row r="3477" ht="18" customHeight="1" spans="1:6">
      <c r="A3477" s="13" t="s">
        <v>10712</v>
      </c>
      <c r="B3477" s="13" t="s">
        <v>11241</v>
      </c>
      <c r="C3477" s="13" t="s">
        <v>13494</v>
      </c>
      <c r="D3477" s="13">
        <v>4</v>
      </c>
      <c r="E3477" s="13" t="s">
        <v>18297</v>
      </c>
      <c r="F3477" s="7" t="s">
        <v>11535</v>
      </c>
    </row>
    <row r="3478" ht="18" customHeight="1" spans="1:6">
      <c r="A3478" s="13" t="s">
        <v>10712</v>
      </c>
      <c r="B3478" s="13" t="s">
        <v>11241</v>
      </c>
      <c r="C3478" s="13" t="s">
        <v>18298</v>
      </c>
      <c r="D3478" s="13">
        <v>4</v>
      </c>
      <c r="E3478" s="13" t="s">
        <v>18299</v>
      </c>
      <c r="F3478" s="7" t="s">
        <v>11535</v>
      </c>
    </row>
    <row r="3479" ht="18" customHeight="1" spans="1:6">
      <c r="A3479" s="13" t="s">
        <v>10712</v>
      </c>
      <c r="B3479" s="13" t="s">
        <v>11241</v>
      </c>
      <c r="C3479" s="13" t="s">
        <v>18300</v>
      </c>
      <c r="D3479" s="13">
        <v>5</v>
      </c>
      <c r="E3479" s="13" t="s">
        <v>18301</v>
      </c>
      <c r="F3479" s="7" t="s">
        <v>11535</v>
      </c>
    </row>
    <row r="3480" ht="18" customHeight="1" spans="1:6">
      <c r="A3480" s="13" t="s">
        <v>10712</v>
      </c>
      <c r="B3480" s="13" t="s">
        <v>11241</v>
      </c>
      <c r="C3480" s="13" t="s">
        <v>18302</v>
      </c>
      <c r="D3480" s="13">
        <v>3</v>
      </c>
      <c r="E3480" s="13" t="s">
        <v>18303</v>
      </c>
      <c r="F3480" s="7" t="s">
        <v>11535</v>
      </c>
    </row>
    <row r="3481" ht="18" customHeight="1" spans="1:6">
      <c r="A3481" s="13" t="s">
        <v>10712</v>
      </c>
      <c r="B3481" s="13" t="s">
        <v>11241</v>
      </c>
      <c r="C3481" s="13" t="s">
        <v>18304</v>
      </c>
      <c r="D3481" s="13">
        <v>2</v>
      </c>
      <c r="E3481" s="13" t="s">
        <v>18305</v>
      </c>
      <c r="F3481" s="7" t="s">
        <v>11535</v>
      </c>
    </row>
    <row r="3482" ht="18" customHeight="1" spans="1:6">
      <c r="A3482" s="13" t="s">
        <v>10712</v>
      </c>
      <c r="B3482" s="13" t="s">
        <v>11241</v>
      </c>
      <c r="C3482" s="13" t="s">
        <v>18306</v>
      </c>
      <c r="D3482" s="13">
        <v>3</v>
      </c>
      <c r="E3482" s="13" t="s">
        <v>18307</v>
      </c>
      <c r="F3482" s="7" t="s">
        <v>11535</v>
      </c>
    </row>
    <row r="3483" ht="18" customHeight="1" spans="1:6">
      <c r="A3483" s="13" t="s">
        <v>10712</v>
      </c>
      <c r="B3483" s="13" t="s">
        <v>11241</v>
      </c>
      <c r="C3483" s="13" t="s">
        <v>18308</v>
      </c>
      <c r="D3483" s="13">
        <v>5</v>
      </c>
      <c r="E3483" s="13" t="s">
        <v>18309</v>
      </c>
      <c r="F3483" s="7" t="s">
        <v>11535</v>
      </c>
    </row>
    <row r="3484" ht="18" customHeight="1" spans="1:6">
      <c r="A3484" s="13" t="s">
        <v>10712</v>
      </c>
      <c r="B3484" s="13" t="s">
        <v>11241</v>
      </c>
      <c r="C3484" s="13" t="s">
        <v>18310</v>
      </c>
      <c r="D3484" s="13">
        <v>3</v>
      </c>
      <c r="E3484" s="13" t="s">
        <v>18311</v>
      </c>
      <c r="F3484" s="7" t="s">
        <v>11535</v>
      </c>
    </row>
    <row r="3485" ht="18" customHeight="1" spans="1:6">
      <c r="A3485" s="13" t="s">
        <v>10712</v>
      </c>
      <c r="B3485" s="13" t="s">
        <v>11241</v>
      </c>
      <c r="C3485" s="13" t="s">
        <v>18312</v>
      </c>
      <c r="D3485" s="13">
        <v>5</v>
      </c>
      <c r="E3485" s="13" t="s">
        <v>18313</v>
      </c>
      <c r="F3485" s="7" t="s">
        <v>11535</v>
      </c>
    </row>
    <row r="3486" ht="18" customHeight="1" spans="1:6">
      <c r="A3486" s="13" t="s">
        <v>10712</v>
      </c>
      <c r="B3486" s="13" t="s">
        <v>11241</v>
      </c>
      <c r="C3486" s="13" t="s">
        <v>18314</v>
      </c>
      <c r="D3486" s="13">
        <v>2</v>
      </c>
      <c r="E3486" s="13" t="s">
        <v>18315</v>
      </c>
      <c r="F3486" s="7" t="s">
        <v>11535</v>
      </c>
    </row>
    <row r="3487" ht="18" customHeight="1" spans="1:6">
      <c r="A3487" s="13" t="s">
        <v>10712</v>
      </c>
      <c r="B3487" s="13" t="s">
        <v>11241</v>
      </c>
      <c r="C3487" s="13" t="s">
        <v>18316</v>
      </c>
      <c r="D3487" s="13">
        <v>4</v>
      </c>
      <c r="E3487" s="13" t="s">
        <v>18317</v>
      </c>
      <c r="F3487" s="7" t="s">
        <v>11535</v>
      </c>
    </row>
    <row r="3488" ht="18" customHeight="1" spans="1:6">
      <c r="A3488" s="13" t="s">
        <v>10712</v>
      </c>
      <c r="B3488" s="13" t="s">
        <v>11241</v>
      </c>
      <c r="C3488" s="13" t="s">
        <v>18318</v>
      </c>
      <c r="D3488" s="13">
        <v>4</v>
      </c>
      <c r="E3488" s="13" t="s">
        <v>18319</v>
      </c>
      <c r="F3488" s="7" t="s">
        <v>11535</v>
      </c>
    </row>
    <row r="3489" ht="18" customHeight="1" spans="1:6">
      <c r="A3489" s="13" t="s">
        <v>10712</v>
      </c>
      <c r="B3489" s="13" t="s">
        <v>11241</v>
      </c>
      <c r="C3489" s="13" t="s">
        <v>18320</v>
      </c>
      <c r="D3489" s="13">
        <v>4</v>
      </c>
      <c r="E3489" s="13" t="s">
        <v>18321</v>
      </c>
      <c r="F3489" s="7" t="s">
        <v>11535</v>
      </c>
    </row>
    <row r="3490" ht="18" customHeight="1" spans="1:6">
      <c r="A3490" s="13" t="s">
        <v>10712</v>
      </c>
      <c r="B3490" s="13" t="s">
        <v>11241</v>
      </c>
      <c r="C3490" s="13" t="s">
        <v>18322</v>
      </c>
      <c r="D3490" s="13">
        <v>4</v>
      </c>
      <c r="E3490" s="13" t="s">
        <v>18323</v>
      </c>
      <c r="F3490" s="7" t="s">
        <v>11535</v>
      </c>
    </row>
    <row r="3491" ht="18" customHeight="1" spans="1:6">
      <c r="A3491" s="13" t="s">
        <v>10712</v>
      </c>
      <c r="B3491" s="13" t="s">
        <v>18324</v>
      </c>
      <c r="C3491" s="13" t="s">
        <v>18325</v>
      </c>
      <c r="D3491" s="13">
        <v>3</v>
      </c>
      <c r="E3491" s="13" t="s">
        <v>18326</v>
      </c>
      <c r="F3491" s="7" t="s">
        <v>11535</v>
      </c>
    </row>
    <row r="3492" ht="18" customHeight="1" spans="1:6">
      <c r="A3492" s="13" t="s">
        <v>10712</v>
      </c>
      <c r="B3492" s="13" t="s">
        <v>18324</v>
      </c>
      <c r="C3492" s="13" t="s">
        <v>18327</v>
      </c>
      <c r="D3492" s="13">
        <v>5</v>
      </c>
      <c r="E3492" s="13" t="s">
        <v>18328</v>
      </c>
      <c r="F3492" s="7" t="s">
        <v>11535</v>
      </c>
    </row>
    <row r="3493" ht="18" customHeight="1" spans="1:6">
      <c r="A3493" s="13" t="s">
        <v>10712</v>
      </c>
      <c r="B3493" s="13" t="s">
        <v>18324</v>
      </c>
      <c r="C3493" s="13" t="s">
        <v>18329</v>
      </c>
      <c r="D3493" s="13">
        <v>2</v>
      </c>
      <c r="E3493" s="13" t="s">
        <v>18330</v>
      </c>
      <c r="F3493" s="7" t="s">
        <v>11535</v>
      </c>
    </row>
    <row r="3494" ht="18" customHeight="1" spans="1:6">
      <c r="A3494" s="13" t="s">
        <v>10712</v>
      </c>
      <c r="B3494" s="13" t="s">
        <v>18324</v>
      </c>
      <c r="C3494" s="13" t="s">
        <v>17808</v>
      </c>
      <c r="D3494" s="13">
        <v>4</v>
      </c>
      <c r="E3494" s="13" t="s">
        <v>18331</v>
      </c>
      <c r="F3494" s="7" t="s">
        <v>11535</v>
      </c>
    </row>
    <row r="3495" ht="18" customHeight="1" spans="1:6">
      <c r="A3495" s="13" t="s">
        <v>10712</v>
      </c>
      <c r="B3495" s="13" t="s">
        <v>18324</v>
      </c>
      <c r="C3495" s="13" t="s">
        <v>18332</v>
      </c>
      <c r="D3495" s="13">
        <v>4</v>
      </c>
      <c r="E3495" s="13" t="s">
        <v>18333</v>
      </c>
      <c r="F3495" s="7" t="s">
        <v>11535</v>
      </c>
    </row>
    <row r="3496" ht="18" customHeight="1" spans="1:6">
      <c r="A3496" s="13" t="s">
        <v>10712</v>
      </c>
      <c r="B3496" s="13" t="s">
        <v>18324</v>
      </c>
      <c r="C3496" s="13" t="s">
        <v>18334</v>
      </c>
      <c r="D3496" s="13">
        <v>4</v>
      </c>
      <c r="E3496" s="13" t="s">
        <v>18335</v>
      </c>
      <c r="F3496" s="7" t="s">
        <v>11535</v>
      </c>
    </row>
    <row r="3497" ht="18" customHeight="1" spans="1:6">
      <c r="A3497" s="13" t="s">
        <v>10712</v>
      </c>
      <c r="B3497" s="13" t="s">
        <v>18324</v>
      </c>
      <c r="C3497" s="13" t="s">
        <v>18336</v>
      </c>
      <c r="D3497" s="13">
        <v>6</v>
      </c>
      <c r="E3497" s="13" t="s">
        <v>18337</v>
      </c>
      <c r="F3497" s="7" t="s">
        <v>11535</v>
      </c>
    </row>
    <row r="3498" ht="18" customHeight="1" spans="1:6">
      <c r="A3498" s="13" t="s">
        <v>10712</v>
      </c>
      <c r="B3498" s="13" t="s">
        <v>18324</v>
      </c>
      <c r="C3498" s="13" t="s">
        <v>18338</v>
      </c>
      <c r="D3498" s="13">
        <v>3</v>
      </c>
      <c r="E3498" s="13" t="s">
        <v>18339</v>
      </c>
      <c r="F3498" s="7" t="s">
        <v>11535</v>
      </c>
    </row>
    <row r="3499" ht="18" customHeight="1" spans="1:6">
      <c r="A3499" s="13" t="s">
        <v>10712</v>
      </c>
      <c r="B3499" s="13" t="s">
        <v>18324</v>
      </c>
      <c r="C3499" s="13" t="s">
        <v>18340</v>
      </c>
      <c r="D3499" s="13">
        <v>4</v>
      </c>
      <c r="E3499" s="13" t="s">
        <v>18341</v>
      </c>
      <c r="F3499" s="7" t="s">
        <v>11535</v>
      </c>
    </row>
    <row r="3500" ht="18" customHeight="1" spans="1:6">
      <c r="A3500" s="13" t="s">
        <v>10712</v>
      </c>
      <c r="B3500" s="13" t="s">
        <v>18324</v>
      </c>
      <c r="C3500" s="13" t="s">
        <v>18342</v>
      </c>
      <c r="D3500" s="13">
        <v>4</v>
      </c>
      <c r="E3500" s="13" t="s">
        <v>18343</v>
      </c>
      <c r="F3500" s="7" t="s">
        <v>11535</v>
      </c>
    </row>
    <row r="3501" ht="18" customHeight="1" spans="1:6">
      <c r="A3501" s="13" t="s">
        <v>10712</v>
      </c>
      <c r="B3501" s="13" t="s">
        <v>18324</v>
      </c>
      <c r="C3501" s="13" t="s">
        <v>18344</v>
      </c>
      <c r="D3501" s="13">
        <v>2</v>
      </c>
      <c r="E3501" s="13" t="s">
        <v>18345</v>
      </c>
      <c r="F3501" s="7" t="s">
        <v>11535</v>
      </c>
    </row>
    <row r="3502" ht="18" customHeight="1" spans="1:6">
      <c r="A3502" s="13" t="s">
        <v>10712</v>
      </c>
      <c r="B3502" s="13" t="s">
        <v>18324</v>
      </c>
      <c r="C3502" s="13" t="s">
        <v>18346</v>
      </c>
      <c r="D3502" s="13">
        <v>4</v>
      </c>
      <c r="E3502" s="13" t="s">
        <v>18347</v>
      </c>
      <c r="F3502" s="7" t="s">
        <v>11535</v>
      </c>
    </row>
    <row r="3503" ht="18" customHeight="1" spans="1:6">
      <c r="A3503" s="13" t="s">
        <v>10712</v>
      </c>
      <c r="B3503" s="13" t="s">
        <v>18324</v>
      </c>
      <c r="C3503" s="13" t="s">
        <v>18348</v>
      </c>
      <c r="D3503" s="13">
        <v>2</v>
      </c>
      <c r="E3503" s="13" t="s">
        <v>18349</v>
      </c>
      <c r="F3503" s="7" t="s">
        <v>11535</v>
      </c>
    </row>
    <row r="3504" ht="18" customHeight="1" spans="1:6">
      <c r="A3504" s="13" t="s">
        <v>10712</v>
      </c>
      <c r="B3504" s="13" t="s">
        <v>18324</v>
      </c>
      <c r="C3504" s="13" t="s">
        <v>18350</v>
      </c>
      <c r="D3504" s="13">
        <v>6</v>
      </c>
      <c r="E3504" s="13" t="s">
        <v>18351</v>
      </c>
      <c r="F3504" s="7" t="s">
        <v>11535</v>
      </c>
    </row>
    <row r="3505" ht="18" customHeight="1" spans="1:6">
      <c r="A3505" s="13" t="s">
        <v>10712</v>
      </c>
      <c r="B3505" s="13" t="s">
        <v>18324</v>
      </c>
      <c r="C3505" s="13" t="s">
        <v>18352</v>
      </c>
      <c r="D3505" s="13">
        <v>5</v>
      </c>
      <c r="E3505" s="179" t="s">
        <v>18353</v>
      </c>
      <c r="F3505" s="7" t="s">
        <v>11535</v>
      </c>
    </row>
    <row r="3506" ht="18" customHeight="1" spans="1:6">
      <c r="A3506" s="13" t="s">
        <v>10712</v>
      </c>
      <c r="B3506" s="13" t="s">
        <v>18324</v>
      </c>
      <c r="C3506" s="13" t="s">
        <v>18354</v>
      </c>
      <c r="D3506" s="13">
        <v>5</v>
      </c>
      <c r="E3506" s="13" t="s">
        <v>18355</v>
      </c>
      <c r="F3506" s="7" t="s">
        <v>11535</v>
      </c>
    </row>
    <row r="3507" ht="18" customHeight="1" spans="1:6">
      <c r="A3507" s="13" t="s">
        <v>10712</v>
      </c>
      <c r="B3507" s="13" t="s">
        <v>18324</v>
      </c>
      <c r="C3507" s="13" t="s">
        <v>18356</v>
      </c>
      <c r="D3507" s="13">
        <v>1</v>
      </c>
      <c r="E3507" s="13" t="s">
        <v>18357</v>
      </c>
      <c r="F3507" s="7" t="s">
        <v>11535</v>
      </c>
    </row>
    <row r="3508" ht="18" customHeight="1" spans="1:6">
      <c r="A3508" s="13" t="s">
        <v>10712</v>
      </c>
      <c r="B3508" s="13" t="s">
        <v>18324</v>
      </c>
      <c r="C3508" s="13" t="s">
        <v>18358</v>
      </c>
      <c r="D3508" s="13">
        <v>6</v>
      </c>
      <c r="E3508" s="13" t="s">
        <v>18359</v>
      </c>
      <c r="F3508" s="7" t="s">
        <v>11535</v>
      </c>
    </row>
    <row r="3509" ht="18" customHeight="1" spans="1:6">
      <c r="A3509" s="13" t="s">
        <v>10712</v>
      </c>
      <c r="B3509" s="13" t="s">
        <v>10868</v>
      </c>
      <c r="C3509" s="13" t="s">
        <v>18360</v>
      </c>
      <c r="D3509" s="13">
        <v>3</v>
      </c>
      <c r="E3509" s="13" t="str">
        <f>LEFT("422626195503117657",19)</f>
        <v>422626195503117657</v>
      </c>
      <c r="F3509" s="7" t="s">
        <v>11535</v>
      </c>
    </row>
    <row r="3510" ht="18" customHeight="1" spans="1:6">
      <c r="A3510" s="13" t="s">
        <v>10712</v>
      </c>
      <c r="B3510" s="13" t="s">
        <v>11204</v>
      </c>
      <c r="C3510" s="13" t="s">
        <v>18361</v>
      </c>
      <c r="D3510" s="13">
        <v>5</v>
      </c>
      <c r="E3510" s="179" t="s">
        <v>18362</v>
      </c>
      <c r="F3510" s="7" t="s">
        <v>11535</v>
      </c>
    </row>
    <row r="3511" ht="18" customHeight="1" spans="1:6">
      <c r="A3511" s="13" t="s">
        <v>10712</v>
      </c>
      <c r="B3511" s="13" t="s">
        <v>11204</v>
      </c>
      <c r="C3511" s="13" t="s">
        <v>18363</v>
      </c>
      <c r="D3511" s="13">
        <v>4</v>
      </c>
      <c r="E3511" s="13" t="s">
        <v>18364</v>
      </c>
      <c r="F3511" s="7" t="s">
        <v>11535</v>
      </c>
    </row>
    <row r="3512" ht="18" customHeight="1" spans="1:6">
      <c r="A3512" s="13" t="s">
        <v>10712</v>
      </c>
      <c r="B3512" s="13" t="s">
        <v>11204</v>
      </c>
      <c r="C3512" s="13" t="s">
        <v>18365</v>
      </c>
      <c r="D3512" s="13">
        <v>6</v>
      </c>
      <c r="E3512" s="13" t="s">
        <v>18366</v>
      </c>
      <c r="F3512" s="7" t="s">
        <v>11535</v>
      </c>
    </row>
    <row r="3513" ht="18" customHeight="1" spans="1:6">
      <c r="A3513" s="13" t="s">
        <v>10712</v>
      </c>
      <c r="B3513" s="13" t="s">
        <v>11204</v>
      </c>
      <c r="C3513" s="13" t="s">
        <v>18367</v>
      </c>
      <c r="D3513" s="13">
        <v>5</v>
      </c>
      <c r="E3513" s="13" t="s">
        <v>18368</v>
      </c>
      <c r="F3513" s="7" t="s">
        <v>11535</v>
      </c>
    </row>
    <row r="3514" ht="18" customHeight="1" spans="1:6">
      <c r="A3514" s="13" t="s">
        <v>10712</v>
      </c>
      <c r="B3514" s="13" t="s">
        <v>11204</v>
      </c>
      <c r="C3514" s="13" t="s">
        <v>18369</v>
      </c>
      <c r="D3514" s="13">
        <v>3</v>
      </c>
      <c r="E3514" s="13" t="s">
        <v>18370</v>
      </c>
      <c r="F3514" s="7" t="s">
        <v>11535</v>
      </c>
    </row>
    <row r="3515" ht="18" customHeight="1" spans="1:6">
      <c r="A3515" s="13" t="s">
        <v>10712</v>
      </c>
      <c r="B3515" s="13" t="s">
        <v>11204</v>
      </c>
      <c r="C3515" s="13" t="s">
        <v>18371</v>
      </c>
      <c r="D3515" s="15">
        <v>4</v>
      </c>
      <c r="E3515" s="179" t="s">
        <v>18372</v>
      </c>
      <c r="F3515" s="7" t="s">
        <v>11535</v>
      </c>
    </row>
    <row r="3516" ht="18" customHeight="1" spans="1:6">
      <c r="A3516" s="13" t="s">
        <v>10712</v>
      </c>
      <c r="B3516" s="13" t="s">
        <v>11140</v>
      </c>
      <c r="C3516" s="13" t="s">
        <v>18373</v>
      </c>
      <c r="D3516" s="13">
        <v>5</v>
      </c>
      <c r="E3516" s="179" t="s">
        <v>18374</v>
      </c>
      <c r="F3516" s="7" t="s">
        <v>11535</v>
      </c>
    </row>
    <row r="3517" ht="18" customHeight="1" spans="1:6">
      <c r="A3517" s="13" t="s">
        <v>10712</v>
      </c>
      <c r="B3517" s="13" t="s">
        <v>18375</v>
      </c>
      <c r="C3517" s="13" t="s">
        <v>18376</v>
      </c>
      <c r="D3517" s="13">
        <v>5</v>
      </c>
      <c r="E3517" s="179" t="s">
        <v>18377</v>
      </c>
      <c r="F3517" s="7" t="s">
        <v>11535</v>
      </c>
    </row>
    <row r="3518" ht="18" customHeight="1" spans="1:6">
      <c r="A3518" s="13" t="s">
        <v>10712</v>
      </c>
      <c r="B3518" s="13" t="s">
        <v>18375</v>
      </c>
      <c r="C3518" s="13" t="s">
        <v>18094</v>
      </c>
      <c r="D3518" s="13">
        <v>6</v>
      </c>
      <c r="E3518" s="179" t="s">
        <v>18378</v>
      </c>
      <c r="F3518" s="7" t="s">
        <v>11535</v>
      </c>
    </row>
    <row r="3519" ht="18" customHeight="1" spans="1:6">
      <c r="A3519" s="13" t="s">
        <v>10712</v>
      </c>
      <c r="B3519" s="13" t="s">
        <v>18375</v>
      </c>
      <c r="C3519" s="13" t="s">
        <v>18379</v>
      </c>
      <c r="D3519" s="13">
        <v>4</v>
      </c>
      <c r="E3519" s="13" t="s">
        <v>18380</v>
      </c>
      <c r="F3519" s="7" t="s">
        <v>11535</v>
      </c>
    </row>
    <row r="3520" ht="18" customHeight="1" spans="1:6">
      <c r="A3520" s="13" t="s">
        <v>10712</v>
      </c>
      <c r="B3520" s="13" t="s">
        <v>18375</v>
      </c>
      <c r="C3520" s="13" t="s">
        <v>18381</v>
      </c>
      <c r="D3520" s="13">
        <v>4</v>
      </c>
      <c r="E3520" s="179" t="s">
        <v>18382</v>
      </c>
      <c r="F3520" s="7" t="s">
        <v>11535</v>
      </c>
    </row>
    <row r="3521" ht="18" customHeight="1" spans="1:6">
      <c r="A3521" s="13" t="s">
        <v>10712</v>
      </c>
      <c r="B3521" s="13" t="s">
        <v>18375</v>
      </c>
      <c r="C3521" s="13" t="s">
        <v>18383</v>
      </c>
      <c r="D3521" s="13">
        <v>2</v>
      </c>
      <c r="E3521" s="179" t="s">
        <v>18384</v>
      </c>
      <c r="F3521" s="7" t="s">
        <v>11535</v>
      </c>
    </row>
    <row r="3522" ht="18" customHeight="1" spans="1:6">
      <c r="A3522" s="13" t="s">
        <v>10712</v>
      </c>
      <c r="B3522" s="13" t="s">
        <v>18375</v>
      </c>
      <c r="C3522" s="13" t="s">
        <v>18385</v>
      </c>
      <c r="D3522" s="13">
        <v>4</v>
      </c>
      <c r="E3522" s="179" t="s">
        <v>18386</v>
      </c>
      <c r="F3522" s="7" t="s">
        <v>11535</v>
      </c>
    </row>
    <row r="3523" ht="18" customHeight="1" spans="1:6">
      <c r="A3523" s="13" t="s">
        <v>10712</v>
      </c>
      <c r="B3523" s="13" t="s">
        <v>18375</v>
      </c>
      <c r="C3523" s="13" t="s">
        <v>18387</v>
      </c>
      <c r="D3523" s="13">
        <v>5</v>
      </c>
      <c r="E3523" s="179" t="s">
        <v>18388</v>
      </c>
      <c r="F3523" s="7" t="s">
        <v>11535</v>
      </c>
    </row>
    <row r="3524" ht="18" customHeight="1" spans="1:6">
      <c r="A3524" s="13" t="s">
        <v>10712</v>
      </c>
      <c r="B3524" s="13" t="s">
        <v>18375</v>
      </c>
      <c r="C3524" s="13" t="s">
        <v>18223</v>
      </c>
      <c r="D3524" s="13">
        <v>5</v>
      </c>
      <c r="E3524" s="179" t="s">
        <v>18389</v>
      </c>
      <c r="F3524" s="7" t="s">
        <v>11535</v>
      </c>
    </row>
    <row r="3525" ht="18" customHeight="1" spans="1:6">
      <c r="A3525" s="13" t="s">
        <v>10712</v>
      </c>
      <c r="B3525" s="13" t="s">
        <v>18375</v>
      </c>
      <c r="C3525" s="13" t="s">
        <v>18390</v>
      </c>
      <c r="D3525" s="13">
        <v>5</v>
      </c>
      <c r="E3525" s="179" t="s">
        <v>18391</v>
      </c>
      <c r="F3525" s="7" t="s">
        <v>11535</v>
      </c>
    </row>
    <row r="3526" ht="18" customHeight="1" spans="1:6">
      <c r="A3526" s="13" t="s">
        <v>10712</v>
      </c>
      <c r="B3526" s="13" t="s">
        <v>18375</v>
      </c>
      <c r="C3526" s="13" t="s">
        <v>18392</v>
      </c>
      <c r="D3526" s="13">
        <v>4</v>
      </c>
      <c r="E3526" s="179" t="s">
        <v>18393</v>
      </c>
      <c r="F3526" s="7" t="s">
        <v>11535</v>
      </c>
    </row>
    <row r="3527" ht="18" customHeight="1" spans="1:6">
      <c r="A3527" s="13" t="s">
        <v>10712</v>
      </c>
      <c r="B3527" s="13" t="s">
        <v>18375</v>
      </c>
      <c r="C3527" s="13" t="s">
        <v>18394</v>
      </c>
      <c r="D3527" s="13">
        <v>6</v>
      </c>
      <c r="E3527" s="179" t="s">
        <v>18395</v>
      </c>
      <c r="F3527" s="7" t="s">
        <v>11535</v>
      </c>
    </row>
    <row r="3528" ht="18" customHeight="1" spans="1:6">
      <c r="A3528" s="13" t="s">
        <v>10712</v>
      </c>
      <c r="B3528" s="13" t="s">
        <v>18222</v>
      </c>
      <c r="C3528" s="13" t="s">
        <v>18396</v>
      </c>
      <c r="D3528" s="15">
        <v>6</v>
      </c>
      <c r="E3528" s="13" t="s">
        <v>18397</v>
      </c>
      <c r="F3528" s="7" t="s">
        <v>11535</v>
      </c>
    </row>
    <row r="3529" ht="18" customHeight="1" spans="1:6">
      <c r="A3529" s="13" t="s">
        <v>10712</v>
      </c>
      <c r="B3529" s="13" t="s">
        <v>18222</v>
      </c>
      <c r="C3529" s="13" t="s">
        <v>18398</v>
      </c>
      <c r="D3529" s="15">
        <v>5</v>
      </c>
      <c r="E3529" s="13" t="s">
        <v>18399</v>
      </c>
      <c r="F3529" s="7" t="s">
        <v>11535</v>
      </c>
    </row>
    <row r="3530" ht="18" customHeight="1" spans="1:6">
      <c r="A3530" s="13" t="s">
        <v>10712</v>
      </c>
      <c r="B3530" s="13" t="s">
        <v>18222</v>
      </c>
      <c r="C3530" s="13" t="s">
        <v>18400</v>
      </c>
      <c r="D3530" s="15">
        <v>1</v>
      </c>
      <c r="E3530" s="13" t="s">
        <v>18401</v>
      </c>
      <c r="F3530" s="7" t="s">
        <v>11535</v>
      </c>
    </row>
    <row r="3531" ht="18" customHeight="1" spans="1:6">
      <c r="A3531" s="13" t="s">
        <v>10712</v>
      </c>
      <c r="B3531" s="13" t="s">
        <v>18222</v>
      </c>
      <c r="C3531" s="13" t="s">
        <v>18402</v>
      </c>
      <c r="D3531" s="15">
        <v>6</v>
      </c>
      <c r="E3531" s="13" t="s">
        <v>18403</v>
      </c>
      <c r="F3531" s="7" t="s">
        <v>11535</v>
      </c>
    </row>
    <row r="3532" ht="18" customHeight="1" spans="1:6">
      <c r="A3532" s="13" t="s">
        <v>10712</v>
      </c>
      <c r="B3532" s="13" t="s">
        <v>18222</v>
      </c>
      <c r="C3532" s="13" t="s">
        <v>18404</v>
      </c>
      <c r="D3532" s="15">
        <v>5</v>
      </c>
      <c r="E3532" s="13" t="s">
        <v>18405</v>
      </c>
      <c r="F3532" s="7" t="s">
        <v>11535</v>
      </c>
    </row>
    <row r="3533" ht="18" customHeight="1" spans="1:6">
      <c r="A3533" s="13" t="s">
        <v>10712</v>
      </c>
      <c r="B3533" s="13" t="s">
        <v>18222</v>
      </c>
      <c r="C3533" s="13" t="s">
        <v>18406</v>
      </c>
      <c r="D3533" s="15">
        <v>7</v>
      </c>
      <c r="E3533" s="13" t="s">
        <v>18407</v>
      </c>
      <c r="F3533" s="7" t="s">
        <v>11535</v>
      </c>
    </row>
    <row r="3534" ht="18" customHeight="1" spans="1:6">
      <c r="A3534" s="13" t="s">
        <v>10712</v>
      </c>
      <c r="B3534" s="13" t="s">
        <v>18222</v>
      </c>
      <c r="C3534" s="13" t="s">
        <v>18408</v>
      </c>
      <c r="D3534" s="15">
        <v>4</v>
      </c>
      <c r="E3534" s="13" t="s">
        <v>18409</v>
      </c>
      <c r="F3534" s="7" t="s">
        <v>11535</v>
      </c>
    </row>
    <row r="3535" ht="18" customHeight="1" spans="1:6">
      <c r="A3535" s="13" t="s">
        <v>10712</v>
      </c>
      <c r="B3535" s="13" t="s">
        <v>18222</v>
      </c>
      <c r="C3535" s="13" t="s">
        <v>18410</v>
      </c>
      <c r="D3535" s="15">
        <v>1</v>
      </c>
      <c r="E3535" s="13" t="s">
        <v>18411</v>
      </c>
      <c r="F3535" s="7" t="s">
        <v>11535</v>
      </c>
    </row>
    <row r="3536" ht="18" customHeight="1" spans="1:6">
      <c r="A3536" s="13" t="s">
        <v>10712</v>
      </c>
      <c r="B3536" s="13" t="s">
        <v>18222</v>
      </c>
      <c r="C3536" s="13" t="s">
        <v>18412</v>
      </c>
      <c r="D3536" s="15">
        <v>1</v>
      </c>
      <c r="E3536" s="13" t="s">
        <v>18413</v>
      </c>
      <c r="F3536" s="7" t="s">
        <v>11535</v>
      </c>
    </row>
    <row r="3537" ht="18" customHeight="1" spans="1:6">
      <c r="A3537" s="13" t="s">
        <v>10712</v>
      </c>
      <c r="B3537" s="13" t="s">
        <v>18222</v>
      </c>
      <c r="C3537" s="13" t="s">
        <v>18414</v>
      </c>
      <c r="D3537" s="15">
        <v>1</v>
      </c>
      <c r="E3537" s="13" t="s">
        <v>18415</v>
      </c>
      <c r="F3537" s="7" t="s">
        <v>11535</v>
      </c>
    </row>
    <row r="3538" ht="18" customHeight="1" spans="1:6">
      <c r="A3538" s="13" t="s">
        <v>10712</v>
      </c>
      <c r="B3538" s="13" t="s">
        <v>18222</v>
      </c>
      <c r="C3538" s="13" t="s">
        <v>18416</v>
      </c>
      <c r="D3538" s="15">
        <v>1</v>
      </c>
      <c r="E3538" s="13" t="s">
        <v>18417</v>
      </c>
      <c r="F3538" s="7" t="s">
        <v>11535</v>
      </c>
    </row>
    <row r="3539" ht="18" customHeight="1" spans="1:6">
      <c r="A3539" s="13" t="s">
        <v>10712</v>
      </c>
      <c r="B3539" s="13" t="s">
        <v>18222</v>
      </c>
      <c r="C3539" s="13" t="s">
        <v>18418</v>
      </c>
      <c r="D3539" s="15">
        <v>1</v>
      </c>
      <c r="E3539" s="13" t="s">
        <v>18419</v>
      </c>
      <c r="F3539" s="7" t="s">
        <v>11535</v>
      </c>
    </row>
    <row r="3540" ht="18" customHeight="1" spans="1:6">
      <c r="A3540" s="13" t="s">
        <v>10712</v>
      </c>
      <c r="B3540" s="13" t="s">
        <v>18222</v>
      </c>
      <c r="C3540" s="13" t="s">
        <v>18420</v>
      </c>
      <c r="D3540" s="15">
        <v>2</v>
      </c>
      <c r="E3540" s="13" t="s">
        <v>18421</v>
      </c>
      <c r="F3540" s="7" t="s">
        <v>11535</v>
      </c>
    </row>
    <row r="3541" ht="18" customHeight="1" spans="1:6">
      <c r="A3541" s="13" t="s">
        <v>10712</v>
      </c>
      <c r="B3541" s="13" t="s">
        <v>18222</v>
      </c>
      <c r="C3541" s="13" t="s">
        <v>18422</v>
      </c>
      <c r="D3541" s="15">
        <v>2</v>
      </c>
      <c r="E3541" s="13" t="s">
        <v>18423</v>
      </c>
      <c r="F3541" s="7" t="s">
        <v>11535</v>
      </c>
    </row>
    <row r="3542" ht="18" customHeight="1" spans="1:6">
      <c r="A3542" s="13" t="s">
        <v>10712</v>
      </c>
      <c r="B3542" s="13" t="s">
        <v>18222</v>
      </c>
      <c r="C3542" s="13" t="s">
        <v>18424</v>
      </c>
      <c r="D3542" s="15">
        <v>1</v>
      </c>
      <c r="E3542" s="13" t="s">
        <v>18425</v>
      </c>
      <c r="F3542" s="7" t="s">
        <v>11535</v>
      </c>
    </row>
    <row r="3543" ht="18" customHeight="1" spans="1:6">
      <c r="A3543" s="13" t="s">
        <v>10712</v>
      </c>
      <c r="B3543" s="13" t="s">
        <v>18222</v>
      </c>
      <c r="C3543" s="13" t="s">
        <v>18426</v>
      </c>
      <c r="D3543" s="15">
        <v>1</v>
      </c>
      <c r="E3543" s="13" t="s">
        <v>18427</v>
      </c>
      <c r="F3543" s="7" t="s">
        <v>11535</v>
      </c>
    </row>
    <row r="3544" ht="18" customHeight="1" spans="1:6">
      <c r="A3544" s="13" t="s">
        <v>10712</v>
      </c>
      <c r="B3544" s="13" t="s">
        <v>18222</v>
      </c>
      <c r="C3544" s="13" t="s">
        <v>18428</v>
      </c>
      <c r="D3544" s="15">
        <v>1</v>
      </c>
      <c r="E3544" s="13" t="s">
        <v>18429</v>
      </c>
      <c r="F3544" s="7" t="s">
        <v>11535</v>
      </c>
    </row>
    <row r="3545" ht="18" customHeight="1" spans="1:6">
      <c r="A3545" s="13" t="s">
        <v>10712</v>
      </c>
      <c r="B3545" s="13" t="s">
        <v>18222</v>
      </c>
      <c r="C3545" s="13" t="s">
        <v>18430</v>
      </c>
      <c r="D3545" s="15">
        <v>1</v>
      </c>
      <c r="E3545" s="13" t="s">
        <v>18431</v>
      </c>
      <c r="F3545" s="7" t="s">
        <v>11535</v>
      </c>
    </row>
    <row r="3546" ht="18" customHeight="1" spans="1:6">
      <c r="A3546" s="13" t="s">
        <v>10712</v>
      </c>
      <c r="B3546" s="13" t="s">
        <v>18222</v>
      </c>
      <c r="C3546" s="13" t="s">
        <v>18432</v>
      </c>
      <c r="D3546" s="15">
        <v>1</v>
      </c>
      <c r="E3546" s="13" t="s">
        <v>18433</v>
      </c>
      <c r="F3546" s="7" t="s">
        <v>11535</v>
      </c>
    </row>
    <row r="3547" ht="18" customHeight="1" spans="1:6">
      <c r="A3547" s="13" t="s">
        <v>10712</v>
      </c>
      <c r="B3547" s="13" t="s">
        <v>18222</v>
      </c>
      <c r="C3547" s="13" t="s">
        <v>18434</v>
      </c>
      <c r="D3547" s="15">
        <v>1</v>
      </c>
      <c r="E3547" s="13" t="s">
        <v>18435</v>
      </c>
      <c r="F3547" s="7" t="s">
        <v>11535</v>
      </c>
    </row>
    <row r="3548" ht="18" customHeight="1" spans="1:6">
      <c r="A3548" s="13" t="s">
        <v>10712</v>
      </c>
      <c r="B3548" s="13" t="s">
        <v>11201</v>
      </c>
      <c r="C3548" s="13" t="s">
        <v>18436</v>
      </c>
      <c r="D3548" s="13">
        <v>4</v>
      </c>
      <c r="E3548" s="13" t="str">
        <f>LEFT("422626196702087635",19)</f>
        <v>422626196702087635</v>
      </c>
      <c r="F3548" s="7" t="s">
        <v>11535</v>
      </c>
    </row>
    <row r="3549" ht="18" customHeight="1" spans="1:6">
      <c r="A3549" s="13" t="s">
        <v>10712</v>
      </c>
      <c r="B3549" s="13" t="s">
        <v>11201</v>
      </c>
      <c r="C3549" s="13" t="s">
        <v>18437</v>
      </c>
      <c r="D3549" s="13">
        <v>3</v>
      </c>
      <c r="E3549" s="13" t="str">
        <f>LEFT("42262619511030761X",19)</f>
        <v>42262619511030761X</v>
      </c>
      <c r="F3549" s="7" t="s">
        <v>11535</v>
      </c>
    </row>
    <row r="3550" ht="18" customHeight="1" spans="1:6">
      <c r="A3550" s="13" t="s">
        <v>10712</v>
      </c>
      <c r="B3550" s="13" t="s">
        <v>11201</v>
      </c>
      <c r="C3550" s="13" t="s">
        <v>18438</v>
      </c>
      <c r="D3550" s="13">
        <v>3</v>
      </c>
      <c r="E3550" s="13" t="str">
        <f>LEFT("422626196703077615",19)</f>
        <v>422626196703077615</v>
      </c>
      <c r="F3550" s="7" t="s">
        <v>11535</v>
      </c>
    </row>
    <row r="3551" ht="18" customHeight="1" spans="1:6">
      <c r="A3551" s="13" t="s">
        <v>10712</v>
      </c>
      <c r="B3551" s="13" t="s">
        <v>11201</v>
      </c>
      <c r="C3551" s="13" t="s">
        <v>18439</v>
      </c>
      <c r="D3551" s="13">
        <v>5</v>
      </c>
      <c r="E3551" s="13" t="str">
        <f>LEFT("422626195011057619",19)</f>
        <v>422626195011057619</v>
      </c>
      <c r="F3551" s="7" t="s">
        <v>11535</v>
      </c>
    </row>
    <row r="3552" ht="18" customHeight="1" spans="1:6">
      <c r="A3552" s="13" t="s">
        <v>10712</v>
      </c>
      <c r="B3552" s="13" t="s">
        <v>11201</v>
      </c>
      <c r="C3552" s="13" t="s">
        <v>18440</v>
      </c>
      <c r="D3552" s="13">
        <v>12</v>
      </c>
      <c r="E3552" s="13" t="str">
        <f>LEFT("422626194904247618",19)</f>
        <v>422626194904247618</v>
      </c>
      <c r="F3552" s="7" t="s">
        <v>11535</v>
      </c>
    </row>
    <row r="3553" ht="18" customHeight="1" spans="1:6">
      <c r="A3553" s="13" t="s">
        <v>10712</v>
      </c>
      <c r="B3553" s="13" t="s">
        <v>11201</v>
      </c>
      <c r="C3553" s="13" t="s">
        <v>18441</v>
      </c>
      <c r="D3553" s="13">
        <v>4</v>
      </c>
      <c r="E3553" s="179" t="s">
        <v>18442</v>
      </c>
      <c r="F3553" s="7" t="s">
        <v>11535</v>
      </c>
    </row>
    <row r="3554" ht="18" customHeight="1" spans="1:6">
      <c r="A3554" s="13" t="s">
        <v>10712</v>
      </c>
      <c r="B3554" s="13" t="s">
        <v>11201</v>
      </c>
      <c r="C3554" s="13" t="s">
        <v>18443</v>
      </c>
      <c r="D3554" s="13">
        <v>6</v>
      </c>
      <c r="E3554" s="13" t="str">
        <f>LEFT("420325198202027614",19)</f>
        <v>420325198202027614</v>
      </c>
      <c r="F3554" s="7" t="s">
        <v>11535</v>
      </c>
    </row>
    <row r="3555" ht="18" customHeight="1" spans="1:6">
      <c r="A3555" s="13" t="s">
        <v>10712</v>
      </c>
      <c r="B3555" s="13" t="s">
        <v>11201</v>
      </c>
      <c r="C3555" s="13" t="s">
        <v>18444</v>
      </c>
      <c r="D3555" s="13">
        <v>4</v>
      </c>
      <c r="E3555" s="13" t="s">
        <v>18445</v>
      </c>
      <c r="F3555" s="7" t="s">
        <v>11535</v>
      </c>
    </row>
    <row r="3556" ht="18" customHeight="1" spans="1:6">
      <c r="A3556" s="13" t="s">
        <v>10712</v>
      </c>
      <c r="B3556" s="13" t="s">
        <v>11201</v>
      </c>
      <c r="C3556" s="13" t="s">
        <v>18446</v>
      </c>
      <c r="D3556" s="13">
        <v>5</v>
      </c>
      <c r="E3556" s="13" t="str">
        <f>LEFT("422626196906207619",19)</f>
        <v>422626196906207619</v>
      </c>
      <c r="F3556" s="7" t="s">
        <v>11535</v>
      </c>
    </row>
    <row r="3557" ht="18" customHeight="1" spans="1:6">
      <c r="A3557" s="13" t="s">
        <v>10712</v>
      </c>
      <c r="B3557" s="13" t="s">
        <v>11201</v>
      </c>
      <c r="C3557" s="13" t="s">
        <v>18447</v>
      </c>
      <c r="D3557" s="13">
        <v>1</v>
      </c>
      <c r="E3557" s="13" t="s">
        <v>18448</v>
      </c>
      <c r="F3557" s="7" t="s">
        <v>11535</v>
      </c>
    </row>
    <row r="3558" ht="18" customHeight="1" spans="1:6">
      <c r="A3558" s="13" t="s">
        <v>10712</v>
      </c>
      <c r="B3558" s="13" t="s">
        <v>11201</v>
      </c>
      <c r="C3558" s="13" t="s">
        <v>18449</v>
      </c>
      <c r="D3558" s="13">
        <v>4</v>
      </c>
      <c r="E3558" s="13" t="str">
        <f>LEFT("422626195611157613",19)</f>
        <v>422626195611157613</v>
      </c>
      <c r="F3558" s="7" t="s">
        <v>11535</v>
      </c>
    </row>
    <row r="3559" ht="18" customHeight="1" spans="1:6">
      <c r="A3559" s="13" t="s">
        <v>10712</v>
      </c>
      <c r="B3559" s="13" t="s">
        <v>11201</v>
      </c>
      <c r="C3559" s="13" t="s">
        <v>18450</v>
      </c>
      <c r="D3559" s="13">
        <v>5</v>
      </c>
      <c r="E3559" s="13" t="str">
        <f>LEFT("422626194407297614",19)</f>
        <v>422626194407297614</v>
      </c>
      <c r="F3559" s="7" t="s">
        <v>11535</v>
      </c>
    </row>
    <row r="3560" ht="18" customHeight="1" spans="1:6">
      <c r="A3560" s="13" t="s">
        <v>10712</v>
      </c>
      <c r="B3560" s="13" t="s">
        <v>11201</v>
      </c>
      <c r="C3560" s="13" t="s">
        <v>18451</v>
      </c>
      <c r="D3560" s="13">
        <v>2</v>
      </c>
      <c r="E3560" s="13" t="str">
        <f>LEFT("422626196205157612",19)</f>
        <v>422626196205157612</v>
      </c>
      <c r="F3560" s="7" t="s">
        <v>11535</v>
      </c>
    </row>
    <row r="3561" ht="18" customHeight="1" spans="1:6">
      <c r="A3561" s="13" t="s">
        <v>10712</v>
      </c>
      <c r="B3561" s="13" t="s">
        <v>11201</v>
      </c>
      <c r="C3561" s="13" t="s">
        <v>18158</v>
      </c>
      <c r="D3561" s="13">
        <v>4</v>
      </c>
      <c r="E3561" s="13" t="str">
        <f>LEFT("420325196807177616",19)</f>
        <v>420325196807177616</v>
      </c>
      <c r="F3561" s="7" t="s">
        <v>11535</v>
      </c>
    </row>
    <row r="3562" ht="18" customHeight="1" spans="1:6">
      <c r="A3562" s="13" t="s">
        <v>10712</v>
      </c>
      <c r="B3562" s="13" t="s">
        <v>11201</v>
      </c>
      <c r="C3562" s="13" t="s">
        <v>1617</v>
      </c>
      <c r="D3562" s="13">
        <v>6</v>
      </c>
      <c r="E3562" s="13" t="str">
        <f>LEFT("422626195603257614",19)</f>
        <v>422626195603257614</v>
      </c>
      <c r="F3562" s="7" t="s">
        <v>11535</v>
      </c>
    </row>
    <row r="3563" ht="18" customHeight="1" spans="1:6">
      <c r="A3563" s="13" t="s">
        <v>10712</v>
      </c>
      <c r="B3563" s="13" t="s">
        <v>11201</v>
      </c>
      <c r="C3563" s="13" t="s">
        <v>18452</v>
      </c>
      <c r="D3563" s="13">
        <v>4</v>
      </c>
      <c r="E3563" s="13" t="str">
        <f>LEFT("422626196002027623",19)</f>
        <v>422626196002027623</v>
      </c>
      <c r="F3563" s="7" t="s">
        <v>11535</v>
      </c>
    </row>
    <row r="3564" ht="18" customHeight="1" spans="1:6">
      <c r="A3564" s="13" t="s">
        <v>10712</v>
      </c>
      <c r="B3564" s="13" t="s">
        <v>11201</v>
      </c>
      <c r="C3564" s="13" t="s">
        <v>18453</v>
      </c>
      <c r="D3564" s="13">
        <v>4</v>
      </c>
      <c r="E3564" s="13" t="str">
        <f>LEFT("422626197008317618",19)</f>
        <v>422626197008317618</v>
      </c>
      <c r="F3564" s="7" t="s">
        <v>11535</v>
      </c>
    </row>
    <row r="3565" ht="18" customHeight="1" spans="1:6">
      <c r="A3565" s="13" t="s">
        <v>10712</v>
      </c>
      <c r="B3565" s="13" t="s">
        <v>11201</v>
      </c>
      <c r="C3565" s="13" t="s">
        <v>18454</v>
      </c>
      <c r="D3565" s="13">
        <v>4</v>
      </c>
      <c r="E3565" s="13" t="str">
        <f>LEFT("422626196310057613",19)</f>
        <v>422626196310057613</v>
      </c>
      <c r="F3565" s="7" t="s">
        <v>11535</v>
      </c>
    </row>
    <row r="3566" ht="18" customHeight="1" spans="1:6">
      <c r="A3566" s="13" t="s">
        <v>10712</v>
      </c>
      <c r="B3566" s="13" t="s">
        <v>11201</v>
      </c>
      <c r="C3566" s="13" t="s">
        <v>18455</v>
      </c>
      <c r="D3566" s="13">
        <v>4</v>
      </c>
      <c r="E3566" s="13" t="str">
        <f>LEFT("420325197802287618",19)</f>
        <v>420325197802287618</v>
      </c>
      <c r="F3566" s="7" t="s">
        <v>11535</v>
      </c>
    </row>
    <row r="3567" ht="18" customHeight="1" spans="1:6">
      <c r="A3567" s="13" t="s">
        <v>10712</v>
      </c>
      <c r="B3567" s="13" t="s">
        <v>11201</v>
      </c>
      <c r="C3567" s="13" t="s">
        <v>18456</v>
      </c>
      <c r="D3567" s="13">
        <v>7</v>
      </c>
      <c r="E3567" s="179" t="s">
        <v>18457</v>
      </c>
      <c r="F3567" s="7" t="s">
        <v>11535</v>
      </c>
    </row>
    <row r="3568" ht="18" customHeight="1" spans="1:6">
      <c r="A3568" s="13" t="s">
        <v>10712</v>
      </c>
      <c r="B3568" s="13" t="s">
        <v>11201</v>
      </c>
      <c r="C3568" s="13" t="s">
        <v>18424</v>
      </c>
      <c r="D3568" s="13">
        <v>6</v>
      </c>
      <c r="E3568" s="13" t="str">
        <f>LEFT("422626195004087617",19)</f>
        <v>422626195004087617</v>
      </c>
      <c r="F3568" s="7" t="s">
        <v>11535</v>
      </c>
    </row>
    <row r="3569" ht="18" customHeight="1" spans="1:6">
      <c r="A3569" s="13" t="s">
        <v>10712</v>
      </c>
      <c r="B3569" s="13" t="s">
        <v>11201</v>
      </c>
      <c r="C3569" s="13" t="s">
        <v>18458</v>
      </c>
      <c r="D3569" s="13">
        <v>4</v>
      </c>
      <c r="E3569" s="13" t="str">
        <f>LEFT("422626197003107611",19)</f>
        <v>422626197003107611</v>
      </c>
      <c r="F3569" s="7" t="s">
        <v>11535</v>
      </c>
    </row>
    <row r="3570" ht="18" customHeight="1" spans="1:6">
      <c r="A3570" s="13" t="s">
        <v>10712</v>
      </c>
      <c r="B3570" s="13" t="s">
        <v>11201</v>
      </c>
      <c r="C3570" s="13" t="s">
        <v>18459</v>
      </c>
      <c r="D3570" s="13">
        <v>3</v>
      </c>
      <c r="E3570" s="13" t="str">
        <f>LEFT("422626195712287628",19)</f>
        <v>422626195712287628</v>
      </c>
      <c r="F3570" s="7" t="s">
        <v>11535</v>
      </c>
    </row>
    <row r="3571" ht="18" customHeight="1" spans="1:6">
      <c r="A3571" s="13" t="s">
        <v>10712</v>
      </c>
      <c r="B3571" s="13" t="s">
        <v>11201</v>
      </c>
      <c r="C3571" s="13" t="s">
        <v>18460</v>
      </c>
      <c r="D3571" s="13">
        <v>6</v>
      </c>
      <c r="E3571" s="13" t="str">
        <f>LEFT("422626195011147614",19)</f>
        <v>422626195011147614</v>
      </c>
      <c r="F3571" s="7" t="s">
        <v>11535</v>
      </c>
    </row>
    <row r="3572" ht="18" customHeight="1" spans="1:6">
      <c r="A3572" s="13" t="s">
        <v>10712</v>
      </c>
      <c r="B3572" s="13" t="s">
        <v>11201</v>
      </c>
      <c r="C3572" s="13" t="s">
        <v>18461</v>
      </c>
      <c r="D3572" s="13">
        <v>3</v>
      </c>
      <c r="E3572" s="13" t="str">
        <f>LEFT("422626196608317617",19)</f>
        <v>422626196608317617</v>
      </c>
      <c r="F3572" s="7" t="s">
        <v>11535</v>
      </c>
    </row>
    <row r="3573" ht="18" customHeight="1" spans="1:6">
      <c r="A3573" s="13" t="s">
        <v>10712</v>
      </c>
      <c r="B3573" s="13" t="s">
        <v>11201</v>
      </c>
      <c r="C3573" s="13" t="s">
        <v>18462</v>
      </c>
      <c r="D3573" s="13">
        <v>1</v>
      </c>
      <c r="E3573" s="13" t="str">
        <f>LEFT("420325195401117651",19)</f>
        <v>420325195401117651</v>
      </c>
      <c r="F3573" s="7" t="s">
        <v>11535</v>
      </c>
    </row>
    <row r="3574" ht="18" customHeight="1" spans="1:6">
      <c r="A3574" s="13" t="s">
        <v>10712</v>
      </c>
      <c r="B3574" s="13" t="s">
        <v>11201</v>
      </c>
      <c r="C3574" s="13" t="s">
        <v>18463</v>
      </c>
      <c r="D3574" s="13">
        <v>5</v>
      </c>
      <c r="E3574" s="13" t="str">
        <f>LEFT("420325195306287652",19)</f>
        <v>420325195306287652</v>
      </c>
      <c r="F3574" s="7" t="s">
        <v>11535</v>
      </c>
    </row>
    <row r="3575" ht="18" customHeight="1" spans="1:6">
      <c r="A3575" s="13" t="s">
        <v>10712</v>
      </c>
      <c r="B3575" s="13" t="s">
        <v>11201</v>
      </c>
      <c r="C3575" s="13" t="s">
        <v>18464</v>
      </c>
      <c r="D3575" s="13">
        <v>1</v>
      </c>
      <c r="E3575" s="13" t="s">
        <v>18465</v>
      </c>
      <c r="F3575" s="7" t="s">
        <v>11535</v>
      </c>
    </row>
    <row r="3576" ht="18" customHeight="1" spans="1:6">
      <c r="A3576" s="13" t="s">
        <v>10712</v>
      </c>
      <c r="B3576" s="13" t="s">
        <v>11201</v>
      </c>
      <c r="C3576" s="13" t="s">
        <v>11060</v>
      </c>
      <c r="D3576" s="13">
        <v>1</v>
      </c>
      <c r="E3576" s="13" t="s">
        <v>18466</v>
      </c>
      <c r="F3576" s="7" t="s">
        <v>11535</v>
      </c>
    </row>
    <row r="3577" ht="18" customHeight="1" spans="1:6">
      <c r="A3577" s="13" t="s">
        <v>10712</v>
      </c>
      <c r="B3577" s="13" t="s">
        <v>18467</v>
      </c>
      <c r="C3577" s="13" t="s">
        <v>18468</v>
      </c>
      <c r="D3577" s="13">
        <v>7</v>
      </c>
      <c r="E3577" s="179" t="s">
        <v>18469</v>
      </c>
      <c r="F3577" s="7" t="s">
        <v>11535</v>
      </c>
    </row>
    <row r="3578" ht="18" customHeight="1" spans="1:6">
      <c r="A3578" s="13" t="s">
        <v>11311</v>
      </c>
      <c r="B3578" s="13"/>
      <c r="C3578" s="13">
        <v>194</v>
      </c>
      <c r="D3578" s="13">
        <v>767</v>
      </c>
      <c r="E3578" s="13"/>
      <c r="F3578" s="5"/>
    </row>
    <row r="3579" ht="18" customHeight="1" spans="1:6">
      <c r="A3579" s="13" t="s">
        <v>11312</v>
      </c>
      <c r="B3579" s="13" t="s">
        <v>18470</v>
      </c>
      <c r="C3579" s="100" t="s">
        <v>18471</v>
      </c>
      <c r="D3579" s="13">
        <v>2</v>
      </c>
      <c r="E3579" s="100" t="s">
        <v>18472</v>
      </c>
      <c r="F3579" s="7" t="s">
        <v>11535</v>
      </c>
    </row>
    <row r="3580" ht="18" customHeight="1" spans="1:6">
      <c r="A3580" s="13" t="s">
        <v>11312</v>
      </c>
      <c r="B3580" s="13" t="s">
        <v>18470</v>
      </c>
      <c r="C3580" s="100" t="s">
        <v>18473</v>
      </c>
      <c r="D3580" s="13">
        <v>3</v>
      </c>
      <c r="E3580" s="100" t="s">
        <v>18474</v>
      </c>
      <c r="F3580" s="7" t="s">
        <v>11535</v>
      </c>
    </row>
    <row r="3581" ht="18" customHeight="1" spans="1:6">
      <c r="A3581" s="13" t="s">
        <v>11312</v>
      </c>
      <c r="B3581" s="13" t="s">
        <v>18470</v>
      </c>
      <c r="C3581" s="100" t="s">
        <v>18475</v>
      </c>
      <c r="D3581" s="13">
        <v>4</v>
      </c>
      <c r="E3581" s="100" t="s">
        <v>18476</v>
      </c>
      <c r="F3581" s="7" t="s">
        <v>11535</v>
      </c>
    </row>
    <row r="3582" ht="18" customHeight="1" spans="1:6">
      <c r="A3582" s="13" t="s">
        <v>11312</v>
      </c>
      <c r="B3582" s="13" t="s">
        <v>18470</v>
      </c>
      <c r="C3582" s="100" t="s">
        <v>18477</v>
      </c>
      <c r="D3582" s="13">
        <v>5</v>
      </c>
      <c r="E3582" s="100" t="s">
        <v>18478</v>
      </c>
      <c r="F3582" s="7" t="s">
        <v>11535</v>
      </c>
    </row>
    <row r="3583" ht="18" customHeight="1" spans="1:6">
      <c r="A3583" s="13" t="s">
        <v>11312</v>
      </c>
      <c r="B3583" s="13" t="s">
        <v>18470</v>
      </c>
      <c r="C3583" s="100" t="s">
        <v>18479</v>
      </c>
      <c r="D3583" s="13">
        <v>3</v>
      </c>
      <c r="E3583" s="100" t="s">
        <v>18480</v>
      </c>
      <c r="F3583" s="7" t="s">
        <v>11535</v>
      </c>
    </row>
    <row r="3584" ht="18" customHeight="1" spans="1:6">
      <c r="A3584" s="13" t="s">
        <v>11312</v>
      </c>
      <c r="B3584" s="13" t="s">
        <v>18470</v>
      </c>
      <c r="C3584" s="100" t="s">
        <v>18481</v>
      </c>
      <c r="D3584" s="13">
        <v>5</v>
      </c>
      <c r="E3584" s="100" t="s">
        <v>18482</v>
      </c>
      <c r="F3584" s="7" t="s">
        <v>11535</v>
      </c>
    </row>
    <row r="3585" ht="18" customHeight="1" spans="1:6">
      <c r="A3585" s="13" t="s">
        <v>11312</v>
      </c>
      <c r="B3585" s="13" t="s">
        <v>18470</v>
      </c>
      <c r="C3585" s="100" t="s">
        <v>18483</v>
      </c>
      <c r="D3585" s="13">
        <v>3</v>
      </c>
      <c r="E3585" s="100" t="s">
        <v>18484</v>
      </c>
      <c r="F3585" s="7" t="s">
        <v>11535</v>
      </c>
    </row>
    <row r="3586" ht="18" customHeight="1" spans="1:6">
      <c r="A3586" s="13" t="s">
        <v>11312</v>
      </c>
      <c r="B3586" s="13" t="s">
        <v>18470</v>
      </c>
      <c r="C3586" s="100" t="s">
        <v>12367</v>
      </c>
      <c r="D3586" s="13">
        <v>2</v>
      </c>
      <c r="E3586" s="100" t="s">
        <v>18485</v>
      </c>
      <c r="F3586" s="7" t="s">
        <v>11535</v>
      </c>
    </row>
    <row r="3587" ht="18" customHeight="1" spans="1:6">
      <c r="A3587" s="13" t="s">
        <v>11312</v>
      </c>
      <c r="B3587" s="13" t="s">
        <v>18470</v>
      </c>
      <c r="C3587" s="100" t="s">
        <v>18486</v>
      </c>
      <c r="D3587" s="13">
        <v>2</v>
      </c>
      <c r="E3587" s="100" t="s">
        <v>18487</v>
      </c>
      <c r="F3587" s="7" t="s">
        <v>11535</v>
      </c>
    </row>
    <row r="3588" ht="18" customHeight="1" spans="1:6">
      <c r="A3588" s="13" t="s">
        <v>11312</v>
      </c>
      <c r="B3588" s="13" t="s">
        <v>18470</v>
      </c>
      <c r="C3588" s="100" t="s">
        <v>18488</v>
      </c>
      <c r="D3588" s="13">
        <v>5</v>
      </c>
      <c r="E3588" s="100" t="s">
        <v>18489</v>
      </c>
      <c r="F3588" s="7" t="s">
        <v>11535</v>
      </c>
    </row>
    <row r="3589" ht="18" customHeight="1" spans="1:6">
      <c r="A3589" s="13" t="s">
        <v>11312</v>
      </c>
      <c r="B3589" s="13" t="s">
        <v>18470</v>
      </c>
      <c r="C3589" s="100" t="s">
        <v>18490</v>
      </c>
      <c r="D3589" s="13">
        <v>4</v>
      </c>
      <c r="E3589" s="100" t="s">
        <v>18491</v>
      </c>
      <c r="F3589" s="7" t="s">
        <v>11535</v>
      </c>
    </row>
    <row r="3590" ht="18" customHeight="1" spans="1:6">
      <c r="A3590" s="13" t="s">
        <v>11312</v>
      </c>
      <c r="B3590" s="13" t="s">
        <v>18470</v>
      </c>
      <c r="C3590" s="100" t="s">
        <v>18492</v>
      </c>
      <c r="D3590" s="13">
        <v>7</v>
      </c>
      <c r="E3590" s="100" t="s">
        <v>18493</v>
      </c>
      <c r="F3590" s="7" t="s">
        <v>11535</v>
      </c>
    </row>
    <row r="3591" ht="18" customHeight="1" spans="1:6">
      <c r="A3591" s="13" t="s">
        <v>11312</v>
      </c>
      <c r="B3591" s="13" t="s">
        <v>11348</v>
      </c>
      <c r="C3591" s="100" t="s">
        <v>18494</v>
      </c>
      <c r="D3591" s="13">
        <v>1</v>
      </c>
      <c r="E3591" s="100" t="s">
        <v>18495</v>
      </c>
      <c r="F3591" s="7" t="s">
        <v>11535</v>
      </c>
    </row>
    <row r="3592" ht="18" customHeight="1" spans="1:6">
      <c r="A3592" s="13" t="s">
        <v>11312</v>
      </c>
      <c r="B3592" s="13" t="s">
        <v>11348</v>
      </c>
      <c r="C3592" s="100" t="s">
        <v>18496</v>
      </c>
      <c r="D3592" s="13">
        <v>3</v>
      </c>
      <c r="E3592" s="100" t="s">
        <v>18497</v>
      </c>
      <c r="F3592" s="7" t="s">
        <v>11535</v>
      </c>
    </row>
    <row r="3593" ht="18" customHeight="1" spans="1:6">
      <c r="A3593" s="13" t="s">
        <v>11312</v>
      </c>
      <c r="B3593" s="13" t="s">
        <v>11348</v>
      </c>
      <c r="C3593" s="100" t="s">
        <v>3975</v>
      </c>
      <c r="D3593" s="13">
        <v>3</v>
      </c>
      <c r="E3593" s="100" t="s">
        <v>18498</v>
      </c>
      <c r="F3593" s="7" t="s">
        <v>11535</v>
      </c>
    </row>
    <row r="3594" ht="18" customHeight="1" spans="1:6">
      <c r="A3594" s="13" t="s">
        <v>11312</v>
      </c>
      <c r="B3594" s="13" t="s">
        <v>11348</v>
      </c>
      <c r="C3594" s="100" t="s">
        <v>18499</v>
      </c>
      <c r="D3594" s="13">
        <v>1</v>
      </c>
      <c r="E3594" s="100" t="s">
        <v>18500</v>
      </c>
      <c r="F3594" s="7" t="s">
        <v>11535</v>
      </c>
    </row>
    <row r="3595" ht="18" customHeight="1" spans="1:6">
      <c r="A3595" s="13" t="s">
        <v>11312</v>
      </c>
      <c r="B3595" s="13" t="s">
        <v>11348</v>
      </c>
      <c r="C3595" s="100" t="s">
        <v>18501</v>
      </c>
      <c r="D3595" s="13">
        <v>3</v>
      </c>
      <c r="E3595" s="100" t="s">
        <v>18502</v>
      </c>
      <c r="F3595" s="7" t="s">
        <v>11535</v>
      </c>
    </row>
    <row r="3596" ht="18" customHeight="1" spans="1:6">
      <c r="A3596" s="13" t="s">
        <v>11312</v>
      </c>
      <c r="B3596" s="13" t="s">
        <v>11348</v>
      </c>
      <c r="C3596" s="100" t="s">
        <v>18503</v>
      </c>
      <c r="D3596" s="13">
        <v>2</v>
      </c>
      <c r="E3596" s="100" t="s">
        <v>18504</v>
      </c>
      <c r="F3596" s="7" t="s">
        <v>11535</v>
      </c>
    </row>
    <row r="3597" ht="18" customHeight="1" spans="1:6">
      <c r="A3597" s="13" t="s">
        <v>11312</v>
      </c>
      <c r="B3597" s="13" t="s">
        <v>11348</v>
      </c>
      <c r="C3597" s="100" t="s">
        <v>18505</v>
      </c>
      <c r="D3597" s="13">
        <v>4</v>
      </c>
      <c r="E3597" s="100" t="s">
        <v>18506</v>
      </c>
      <c r="F3597" s="7" t="s">
        <v>11535</v>
      </c>
    </row>
    <row r="3598" ht="18" customHeight="1" spans="1:6">
      <c r="A3598" s="13" t="s">
        <v>11312</v>
      </c>
      <c r="B3598" s="13" t="s">
        <v>11348</v>
      </c>
      <c r="C3598" s="100" t="s">
        <v>18507</v>
      </c>
      <c r="D3598" s="13">
        <v>5</v>
      </c>
      <c r="E3598" s="100" t="s">
        <v>18508</v>
      </c>
      <c r="F3598" s="7" t="s">
        <v>11535</v>
      </c>
    </row>
    <row r="3599" ht="18" customHeight="1" spans="1:6">
      <c r="A3599" s="13" t="s">
        <v>11312</v>
      </c>
      <c r="B3599" s="13" t="s">
        <v>11348</v>
      </c>
      <c r="C3599" s="100" t="s">
        <v>18509</v>
      </c>
      <c r="D3599" s="13">
        <v>6</v>
      </c>
      <c r="E3599" s="100" t="s">
        <v>18510</v>
      </c>
      <c r="F3599" s="7" t="s">
        <v>11535</v>
      </c>
    </row>
    <row r="3600" ht="18" customHeight="1" spans="1:6">
      <c r="A3600" s="13" t="s">
        <v>11312</v>
      </c>
      <c r="B3600" s="13" t="s">
        <v>11348</v>
      </c>
      <c r="C3600" s="100" t="s">
        <v>18511</v>
      </c>
      <c r="D3600" s="13">
        <v>4</v>
      </c>
      <c r="E3600" s="100" t="s">
        <v>18512</v>
      </c>
      <c r="F3600" s="7" t="s">
        <v>11535</v>
      </c>
    </row>
    <row r="3601" ht="18" customHeight="1" spans="1:6">
      <c r="A3601" s="13" t="s">
        <v>11312</v>
      </c>
      <c r="B3601" s="13" t="s">
        <v>11348</v>
      </c>
      <c r="C3601" s="100" t="s">
        <v>18513</v>
      </c>
      <c r="D3601" s="13">
        <v>3</v>
      </c>
      <c r="E3601" s="100" t="s">
        <v>18514</v>
      </c>
      <c r="F3601" s="7" t="s">
        <v>11535</v>
      </c>
    </row>
    <row r="3602" ht="18" customHeight="1" spans="1:6">
      <c r="A3602" s="13" t="s">
        <v>11312</v>
      </c>
      <c r="B3602" s="13" t="s">
        <v>11348</v>
      </c>
      <c r="C3602" s="100" t="s">
        <v>18515</v>
      </c>
      <c r="D3602" s="13">
        <v>2</v>
      </c>
      <c r="E3602" s="100" t="s">
        <v>18516</v>
      </c>
      <c r="F3602" s="7" t="s">
        <v>11535</v>
      </c>
    </row>
    <row r="3603" ht="18" customHeight="1" spans="1:6">
      <c r="A3603" s="13" t="s">
        <v>11312</v>
      </c>
      <c r="B3603" s="13" t="s">
        <v>11348</v>
      </c>
      <c r="C3603" s="100" t="s">
        <v>18517</v>
      </c>
      <c r="D3603" s="13">
        <v>2</v>
      </c>
      <c r="E3603" s="100" t="s">
        <v>18518</v>
      </c>
      <c r="F3603" s="7" t="s">
        <v>11535</v>
      </c>
    </row>
    <row r="3604" ht="18" customHeight="1" spans="1:6">
      <c r="A3604" s="13" t="s">
        <v>11312</v>
      </c>
      <c r="B3604" s="13" t="s">
        <v>11348</v>
      </c>
      <c r="C3604" s="100" t="s">
        <v>18519</v>
      </c>
      <c r="D3604" s="13">
        <v>3</v>
      </c>
      <c r="E3604" s="100" t="s">
        <v>18520</v>
      </c>
      <c r="F3604" s="7" t="s">
        <v>11535</v>
      </c>
    </row>
    <row r="3605" ht="18" customHeight="1" spans="1:6">
      <c r="A3605" s="13" t="s">
        <v>11312</v>
      </c>
      <c r="B3605" s="13" t="s">
        <v>11348</v>
      </c>
      <c r="C3605" s="100" t="s">
        <v>18521</v>
      </c>
      <c r="D3605" s="13">
        <v>1</v>
      </c>
      <c r="E3605" s="100" t="s">
        <v>18522</v>
      </c>
      <c r="F3605" s="7" t="s">
        <v>11535</v>
      </c>
    </row>
    <row r="3606" ht="18" customHeight="1" spans="1:6">
      <c r="A3606" s="13" t="s">
        <v>11312</v>
      </c>
      <c r="B3606" s="13" t="s">
        <v>11348</v>
      </c>
      <c r="C3606" s="100" t="s">
        <v>18523</v>
      </c>
      <c r="D3606" s="13">
        <v>6</v>
      </c>
      <c r="E3606" s="100" t="s">
        <v>18524</v>
      </c>
      <c r="F3606" s="7" t="s">
        <v>11535</v>
      </c>
    </row>
    <row r="3607" ht="18" customHeight="1" spans="1:6">
      <c r="A3607" s="13" t="s">
        <v>11312</v>
      </c>
      <c r="B3607" s="13" t="s">
        <v>11348</v>
      </c>
      <c r="C3607" s="100" t="s">
        <v>18525</v>
      </c>
      <c r="D3607" s="13">
        <v>3</v>
      </c>
      <c r="E3607" s="100" t="s">
        <v>18526</v>
      </c>
      <c r="F3607" s="7" t="s">
        <v>11535</v>
      </c>
    </row>
    <row r="3608" ht="18" customHeight="1" spans="1:6">
      <c r="A3608" s="13" t="s">
        <v>11312</v>
      </c>
      <c r="B3608" s="13" t="s">
        <v>11348</v>
      </c>
      <c r="C3608" s="100" t="s">
        <v>18527</v>
      </c>
      <c r="D3608" s="13">
        <v>1</v>
      </c>
      <c r="E3608" s="100" t="s">
        <v>18528</v>
      </c>
      <c r="F3608" s="7" t="s">
        <v>11535</v>
      </c>
    </row>
    <row r="3609" ht="18" customHeight="1" spans="1:6">
      <c r="A3609" s="13" t="s">
        <v>11312</v>
      </c>
      <c r="B3609" s="13" t="s">
        <v>11348</v>
      </c>
      <c r="C3609" s="100" t="s">
        <v>18529</v>
      </c>
      <c r="D3609" s="13">
        <v>1</v>
      </c>
      <c r="E3609" s="100" t="s">
        <v>18530</v>
      </c>
      <c r="F3609" s="7" t="s">
        <v>11535</v>
      </c>
    </row>
    <row r="3610" ht="18" customHeight="1" spans="1:6">
      <c r="A3610" s="13" t="s">
        <v>11312</v>
      </c>
      <c r="B3610" s="13" t="s">
        <v>11348</v>
      </c>
      <c r="C3610" s="100" t="s">
        <v>18531</v>
      </c>
      <c r="D3610" s="13">
        <v>3</v>
      </c>
      <c r="E3610" s="100" t="s">
        <v>18532</v>
      </c>
      <c r="F3610" s="7" t="s">
        <v>11535</v>
      </c>
    </row>
    <row r="3611" ht="18" customHeight="1" spans="1:6">
      <c r="A3611" s="13" t="s">
        <v>11312</v>
      </c>
      <c r="B3611" s="13" t="s">
        <v>11348</v>
      </c>
      <c r="C3611" s="100" t="s">
        <v>18533</v>
      </c>
      <c r="D3611" s="13">
        <v>7</v>
      </c>
      <c r="E3611" s="100" t="s">
        <v>18534</v>
      </c>
      <c r="F3611" s="7" t="s">
        <v>11535</v>
      </c>
    </row>
    <row r="3612" ht="18" customHeight="1" spans="1:6">
      <c r="A3612" s="13" t="s">
        <v>11312</v>
      </c>
      <c r="B3612" s="13" t="s">
        <v>11348</v>
      </c>
      <c r="C3612" s="100" t="s">
        <v>18535</v>
      </c>
      <c r="D3612" s="13">
        <v>3</v>
      </c>
      <c r="E3612" s="100" t="s">
        <v>18536</v>
      </c>
      <c r="F3612" s="7" t="s">
        <v>11535</v>
      </c>
    </row>
    <row r="3613" ht="18" customHeight="1" spans="1:6">
      <c r="A3613" s="13" t="s">
        <v>11312</v>
      </c>
      <c r="B3613" s="13" t="s">
        <v>11348</v>
      </c>
      <c r="C3613" s="100" t="s">
        <v>18537</v>
      </c>
      <c r="D3613" s="13">
        <v>2</v>
      </c>
      <c r="E3613" s="100" t="s">
        <v>18538</v>
      </c>
      <c r="F3613" s="7" t="s">
        <v>11535</v>
      </c>
    </row>
    <row r="3614" ht="18" customHeight="1" spans="1:6">
      <c r="A3614" s="13" t="s">
        <v>11312</v>
      </c>
      <c r="B3614" s="13" t="s">
        <v>11348</v>
      </c>
      <c r="C3614" s="100" t="s">
        <v>18539</v>
      </c>
      <c r="D3614" s="13">
        <v>3</v>
      </c>
      <c r="E3614" s="100" t="s">
        <v>18540</v>
      </c>
      <c r="F3614" s="7" t="s">
        <v>11535</v>
      </c>
    </row>
    <row r="3615" ht="18" customHeight="1" spans="1:6">
      <c r="A3615" s="13" t="s">
        <v>11312</v>
      </c>
      <c r="B3615" s="13" t="s">
        <v>11348</v>
      </c>
      <c r="C3615" s="100" t="s">
        <v>18541</v>
      </c>
      <c r="D3615" s="13">
        <v>4</v>
      </c>
      <c r="E3615" s="100" t="s">
        <v>18542</v>
      </c>
      <c r="F3615" s="7" t="s">
        <v>11535</v>
      </c>
    </row>
    <row r="3616" ht="18" customHeight="1" spans="1:6">
      <c r="A3616" s="13" t="s">
        <v>11312</v>
      </c>
      <c r="B3616" s="13" t="s">
        <v>11348</v>
      </c>
      <c r="C3616" s="100" t="s">
        <v>18543</v>
      </c>
      <c r="D3616" s="13">
        <v>5</v>
      </c>
      <c r="E3616" s="100" t="s">
        <v>18544</v>
      </c>
      <c r="F3616" s="7" t="s">
        <v>11535</v>
      </c>
    </row>
    <row r="3617" ht="18" customHeight="1" spans="1:6">
      <c r="A3617" s="13" t="s">
        <v>11312</v>
      </c>
      <c r="B3617" s="13" t="s">
        <v>11348</v>
      </c>
      <c r="C3617" s="100" t="s">
        <v>18545</v>
      </c>
      <c r="D3617" s="13">
        <v>2</v>
      </c>
      <c r="E3617" s="100" t="s">
        <v>18546</v>
      </c>
      <c r="F3617" s="7" t="s">
        <v>11535</v>
      </c>
    </row>
    <row r="3618" ht="18" customHeight="1" spans="1:6">
      <c r="A3618" s="13" t="s">
        <v>11312</v>
      </c>
      <c r="B3618" s="13" t="s">
        <v>11356</v>
      </c>
      <c r="C3618" s="100" t="s">
        <v>18547</v>
      </c>
      <c r="D3618" s="101">
        <v>1</v>
      </c>
      <c r="E3618" s="100" t="s">
        <v>18548</v>
      </c>
      <c r="F3618" s="7" t="s">
        <v>11535</v>
      </c>
    </row>
    <row r="3619" ht="18" customHeight="1" spans="1:6">
      <c r="A3619" s="13" t="s">
        <v>11312</v>
      </c>
      <c r="B3619" s="13" t="s">
        <v>18549</v>
      </c>
      <c r="C3619" s="100" t="s">
        <v>18550</v>
      </c>
      <c r="D3619" s="101">
        <v>2</v>
      </c>
      <c r="E3619" s="100" t="s">
        <v>18551</v>
      </c>
      <c r="F3619" s="7" t="s">
        <v>11535</v>
      </c>
    </row>
    <row r="3620" ht="18" customHeight="1" spans="1:6">
      <c r="A3620" s="13" t="s">
        <v>11312</v>
      </c>
      <c r="B3620" s="13" t="s">
        <v>11356</v>
      </c>
      <c r="C3620" s="100" t="s">
        <v>18552</v>
      </c>
      <c r="D3620" s="101">
        <v>2</v>
      </c>
      <c r="E3620" s="100" t="s">
        <v>18553</v>
      </c>
      <c r="F3620" s="7" t="s">
        <v>11535</v>
      </c>
    </row>
    <row r="3621" ht="18" customHeight="1" spans="1:6">
      <c r="A3621" s="13" t="s">
        <v>11312</v>
      </c>
      <c r="B3621" s="13" t="s">
        <v>11356</v>
      </c>
      <c r="C3621" s="100" t="s">
        <v>18554</v>
      </c>
      <c r="D3621" s="101">
        <v>4</v>
      </c>
      <c r="E3621" s="100" t="s">
        <v>18555</v>
      </c>
      <c r="F3621" s="7" t="s">
        <v>11535</v>
      </c>
    </row>
    <row r="3622" ht="18" customHeight="1" spans="1:6">
      <c r="A3622" s="13" t="s">
        <v>11312</v>
      </c>
      <c r="B3622" s="13" t="s">
        <v>11353</v>
      </c>
      <c r="C3622" s="100" t="s">
        <v>18556</v>
      </c>
      <c r="D3622" s="101">
        <v>3</v>
      </c>
      <c r="E3622" s="100" t="s">
        <v>18557</v>
      </c>
      <c r="F3622" s="7" t="s">
        <v>11535</v>
      </c>
    </row>
    <row r="3623" ht="18" customHeight="1" spans="1:6">
      <c r="A3623" s="13" t="s">
        <v>11312</v>
      </c>
      <c r="B3623" s="13" t="s">
        <v>11356</v>
      </c>
      <c r="C3623" s="100" t="s">
        <v>18558</v>
      </c>
      <c r="D3623" s="101">
        <v>4</v>
      </c>
      <c r="E3623" s="100" t="s">
        <v>18559</v>
      </c>
      <c r="F3623" s="7" t="s">
        <v>11535</v>
      </c>
    </row>
    <row r="3624" ht="18" customHeight="1" spans="1:6">
      <c r="A3624" s="13" t="s">
        <v>11312</v>
      </c>
      <c r="B3624" s="13" t="s">
        <v>11353</v>
      </c>
      <c r="C3624" s="100" t="s">
        <v>18560</v>
      </c>
      <c r="D3624" s="101">
        <v>3</v>
      </c>
      <c r="E3624" s="100" t="s">
        <v>18561</v>
      </c>
      <c r="F3624" s="7" t="s">
        <v>11535</v>
      </c>
    </row>
    <row r="3625" ht="18" customHeight="1" spans="1:6">
      <c r="A3625" s="13" t="s">
        <v>11312</v>
      </c>
      <c r="B3625" s="13" t="s">
        <v>18549</v>
      </c>
      <c r="C3625" s="100" t="s">
        <v>4540</v>
      </c>
      <c r="D3625" s="13">
        <v>7</v>
      </c>
      <c r="E3625" s="100" t="s">
        <v>18562</v>
      </c>
      <c r="F3625" s="7" t="s">
        <v>11535</v>
      </c>
    </row>
    <row r="3626" ht="18" customHeight="1" spans="1:6">
      <c r="A3626" s="13" t="s">
        <v>11312</v>
      </c>
      <c r="B3626" s="13" t="s">
        <v>11353</v>
      </c>
      <c r="C3626" s="100" t="s">
        <v>18563</v>
      </c>
      <c r="D3626" s="100">
        <v>4</v>
      </c>
      <c r="E3626" s="100" t="s">
        <v>18564</v>
      </c>
      <c r="F3626" s="7" t="s">
        <v>11535</v>
      </c>
    </row>
    <row r="3627" ht="18" customHeight="1" spans="1:6">
      <c r="A3627" s="13" t="s">
        <v>11312</v>
      </c>
      <c r="B3627" s="13" t="s">
        <v>11353</v>
      </c>
      <c r="C3627" s="100" t="s">
        <v>18565</v>
      </c>
      <c r="D3627" s="100">
        <v>4</v>
      </c>
      <c r="E3627" s="100" t="s">
        <v>18566</v>
      </c>
      <c r="F3627" s="7" t="s">
        <v>11535</v>
      </c>
    </row>
    <row r="3628" ht="18" customHeight="1" spans="1:6">
      <c r="A3628" s="13" t="s">
        <v>11312</v>
      </c>
      <c r="B3628" s="13" t="s">
        <v>11353</v>
      </c>
      <c r="C3628" s="100" t="s">
        <v>18567</v>
      </c>
      <c r="D3628" s="101">
        <v>2</v>
      </c>
      <c r="E3628" s="100" t="s">
        <v>18568</v>
      </c>
      <c r="F3628" s="7" t="s">
        <v>11535</v>
      </c>
    </row>
    <row r="3629" ht="18" customHeight="1" spans="1:6">
      <c r="A3629" s="13" t="s">
        <v>11312</v>
      </c>
      <c r="B3629" s="13" t="s">
        <v>11356</v>
      </c>
      <c r="C3629" s="100" t="s">
        <v>18569</v>
      </c>
      <c r="D3629" s="101">
        <v>1</v>
      </c>
      <c r="E3629" s="100" t="s">
        <v>18570</v>
      </c>
      <c r="F3629" s="7" t="s">
        <v>11535</v>
      </c>
    </row>
    <row r="3630" ht="18" customHeight="1" spans="1:6">
      <c r="A3630" s="13" t="s">
        <v>11312</v>
      </c>
      <c r="B3630" s="13" t="s">
        <v>11356</v>
      </c>
      <c r="C3630" s="100" t="s">
        <v>18571</v>
      </c>
      <c r="D3630" s="100">
        <v>3</v>
      </c>
      <c r="E3630" s="100" t="s">
        <v>18572</v>
      </c>
      <c r="F3630" s="7" t="s">
        <v>11535</v>
      </c>
    </row>
    <row r="3631" ht="18" customHeight="1" spans="1:6">
      <c r="A3631" s="13" t="s">
        <v>11312</v>
      </c>
      <c r="B3631" s="13" t="s">
        <v>11356</v>
      </c>
      <c r="C3631" s="100" t="s">
        <v>18573</v>
      </c>
      <c r="D3631" s="101">
        <v>2</v>
      </c>
      <c r="E3631" s="100" t="s">
        <v>18574</v>
      </c>
      <c r="F3631" s="7" t="s">
        <v>11535</v>
      </c>
    </row>
    <row r="3632" ht="18" customHeight="1" spans="1:6">
      <c r="A3632" s="13" t="s">
        <v>11312</v>
      </c>
      <c r="B3632" s="13" t="s">
        <v>18549</v>
      </c>
      <c r="C3632" s="100" t="s">
        <v>18575</v>
      </c>
      <c r="D3632" s="101">
        <v>4</v>
      </c>
      <c r="E3632" s="100" t="s">
        <v>18576</v>
      </c>
      <c r="F3632" s="7" t="s">
        <v>11535</v>
      </c>
    </row>
    <row r="3633" ht="18" customHeight="1" spans="1:6">
      <c r="A3633" s="13" t="s">
        <v>11312</v>
      </c>
      <c r="B3633" s="13" t="s">
        <v>11356</v>
      </c>
      <c r="C3633" s="100" t="s">
        <v>6522</v>
      </c>
      <c r="D3633" s="101">
        <v>3</v>
      </c>
      <c r="E3633" s="100" t="s">
        <v>18577</v>
      </c>
      <c r="F3633" s="7" t="s">
        <v>11535</v>
      </c>
    </row>
    <row r="3634" ht="18" customHeight="1" spans="1:6">
      <c r="A3634" s="13" t="s">
        <v>11312</v>
      </c>
      <c r="B3634" s="13" t="s">
        <v>18549</v>
      </c>
      <c r="C3634" s="100" t="s">
        <v>18578</v>
      </c>
      <c r="D3634" s="101">
        <v>1</v>
      </c>
      <c r="E3634" s="100" t="s">
        <v>18579</v>
      </c>
      <c r="F3634" s="7" t="s">
        <v>11535</v>
      </c>
    </row>
    <row r="3635" ht="18" customHeight="1" spans="1:6">
      <c r="A3635" s="13" t="s">
        <v>11312</v>
      </c>
      <c r="B3635" s="13" t="s">
        <v>18549</v>
      </c>
      <c r="C3635" s="100" t="s">
        <v>18580</v>
      </c>
      <c r="D3635" s="101">
        <v>4</v>
      </c>
      <c r="E3635" s="100" t="s">
        <v>18581</v>
      </c>
      <c r="F3635" s="7" t="s">
        <v>11535</v>
      </c>
    </row>
    <row r="3636" ht="18" customHeight="1" spans="1:6">
      <c r="A3636" s="13" t="s">
        <v>11312</v>
      </c>
      <c r="B3636" s="13" t="s">
        <v>11356</v>
      </c>
      <c r="C3636" s="100" t="s">
        <v>18582</v>
      </c>
      <c r="D3636" s="101">
        <v>4</v>
      </c>
      <c r="E3636" s="100" t="s">
        <v>18583</v>
      </c>
      <c r="F3636" s="7" t="s">
        <v>11535</v>
      </c>
    </row>
    <row r="3637" ht="18" customHeight="1" spans="1:6">
      <c r="A3637" s="13" t="s">
        <v>11312</v>
      </c>
      <c r="B3637" s="13" t="s">
        <v>18549</v>
      </c>
      <c r="C3637" s="100" t="s">
        <v>18584</v>
      </c>
      <c r="D3637" s="101">
        <v>6</v>
      </c>
      <c r="E3637" s="100" t="s">
        <v>18585</v>
      </c>
      <c r="F3637" s="7" t="s">
        <v>11535</v>
      </c>
    </row>
    <row r="3638" ht="18" customHeight="1" spans="1:6">
      <c r="A3638" s="13" t="s">
        <v>11312</v>
      </c>
      <c r="B3638" s="13" t="s">
        <v>11356</v>
      </c>
      <c r="C3638" s="100" t="s">
        <v>18586</v>
      </c>
      <c r="D3638" s="101">
        <v>3</v>
      </c>
      <c r="E3638" s="100" t="s">
        <v>18587</v>
      </c>
      <c r="F3638" s="7" t="s">
        <v>11535</v>
      </c>
    </row>
    <row r="3639" ht="18" customHeight="1" spans="1:6">
      <c r="A3639" s="13" t="s">
        <v>11312</v>
      </c>
      <c r="B3639" s="13" t="s">
        <v>11356</v>
      </c>
      <c r="C3639" s="100" t="s">
        <v>18588</v>
      </c>
      <c r="D3639" s="101">
        <v>4</v>
      </c>
      <c r="E3639" s="100" t="s">
        <v>18589</v>
      </c>
      <c r="F3639" s="7" t="s">
        <v>11535</v>
      </c>
    </row>
    <row r="3640" ht="18" customHeight="1" spans="1:6">
      <c r="A3640" s="13" t="s">
        <v>11312</v>
      </c>
      <c r="B3640" s="13" t="s">
        <v>11356</v>
      </c>
      <c r="C3640" s="100" t="s">
        <v>2634</v>
      </c>
      <c r="D3640" s="101">
        <v>3</v>
      </c>
      <c r="E3640" s="100" t="s">
        <v>18590</v>
      </c>
      <c r="F3640" s="7" t="s">
        <v>11535</v>
      </c>
    </row>
    <row r="3641" ht="18" customHeight="1" spans="1:6">
      <c r="A3641" s="13" t="s">
        <v>11312</v>
      </c>
      <c r="B3641" s="13" t="s">
        <v>11356</v>
      </c>
      <c r="C3641" s="100" t="s">
        <v>18591</v>
      </c>
      <c r="D3641" s="101">
        <v>4</v>
      </c>
      <c r="E3641" s="100" t="s">
        <v>18592</v>
      </c>
      <c r="F3641" s="7" t="s">
        <v>11535</v>
      </c>
    </row>
    <row r="3642" ht="18" customHeight="1" spans="1:6">
      <c r="A3642" s="13" t="s">
        <v>11312</v>
      </c>
      <c r="B3642" s="13" t="s">
        <v>18549</v>
      </c>
      <c r="C3642" s="100" t="s">
        <v>18593</v>
      </c>
      <c r="D3642" s="101">
        <v>3</v>
      </c>
      <c r="E3642" s="100" t="s">
        <v>18594</v>
      </c>
      <c r="F3642" s="7" t="s">
        <v>11535</v>
      </c>
    </row>
    <row r="3643" ht="18" customHeight="1" spans="1:6">
      <c r="A3643" s="13" t="s">
        <v>11312</v>
      </c>
      <c r="B3643" s="13" t="s">
        <v>18549</v>
      </c>
      <c r="C3643" s="100" t="s">
        <v>18595</v>
      </c>
      <c r="D3643" s="101">
        <v>5</v>
      </c>
      <c r="E3643" s="100" t="s">
        <v>18596</v>
      </c>
      <c r="F3643" s="7" t="s">
        <v>11535</v>
      </c>
    </row>
    <row r="3644" ht="18" customHeight="1" spans="1:6">
      <c r="A3644" s="13" t="s">
        <v>11312</v>
      </c>
      <c r="B3644" s="13" t="s">
        <v>11353</v>
      </c>
      <c r="C3644" s="100" t="s">
        <v>18597</v>
      </c>
      <c r="D3644" s="101">
        <v>5</v>
      </c>
      <c r="E3644" s="100" t="s">
        <v>18598</v>
      </c>
      <c r="F3644" s="7" t="s">
        <v>11535</v>
      </c>
    </row>
    <row r="3645" ht="18" customHeight="1" spans="1:6">
      <c r="A3645" s="13" t="s">
        <v>11312</v>
      </c>
      <c r="B3645" s="13" t="s">
        <v>11356</v>
      </c>
      <c r="C3645" s="100" t="s">
        <v>18599</v>
      </c>
      <c r="D3645" s="101">
        <v>3</v>
      </c>
      <c r="E3645" s="100" t="s">
        <v>18600</v>
      </c>
      <c r="F3645" s="7" t="s">
        <v>11535</v>
      </c>
    </row>
    <row r="3646" ht="18" customHeight="1" spans="1:6">
      <c r="A3646" s="13" t="s">
        <v>11312</v>
      </c>
      <c r="B3646" s="13" t="s">
        <v>11353</v>
      </c>
      <c r="C3646" s="100" t="s">
        <v>12757</v>
      </c>
      <c r="D3646" s="101">
        <v>4</v>
      </c>
      <c r="E3646" s="100" t="s">
        <v>18601</v>
      </c>
      <c r="F3646" s="7" t="s">
        <v>11535</v>
      </c>
    </row>
    <row r="3647" ht="18" customHeight="1" spans="1:6">
      <c r="A3647" s="13" t="s">
        <v>11312</v>
      </c>
      <c r="B3647" s="13" t="s">
        <v>11353</v>
      </c>
      <c r="C3647" s="100" t="s">
        <v>18602</v>
      </c>
      <c r="D3647" s="101">
        <v>6</v>
      </c>
      <c r="E3647" s="100" t="s">
        <v>18603</v>
      </c>
      <c r="F3647" s="7" t="s">
        <v>11535</v>
      </c>
    </row>
    <row r="3648" ht="18" customHeight="1" spans="1:6">
      <c r="A3648" s="13" t="s">
        <v>11312</v>
      </c>
      <c r="B3648" s="13" t="s">
        <v>11356</v>
      </c>
      <c r="C3648" s="100" t="s">
        <v>18604</v>
      </c>
      <c r="D3648" s="101">
        <v>4</v>
      </c>
      <c r="E3648" s="100" t="s">
        <v>18605</v>
      </c>
      <c r="F3648" s="7" t="s">
        <v>11535</v>
      </c>
    </row>
    <row r="3649" ht="18" customHeight="1" spans="1:6">
      <c r="A3649" s="13" t="s">
        <v>11312</v>
      </c>
      <c r="B3649" s="13" t="s">
        <v>18549</v>
      </c>
      <c r="C3649" s="100" t="s">
        <v>18606</v>
      </c>
      <c r="D3649" s="101">
        <v>5</v>
      </c>
      <c r="E3649" s="100" t="s">
        <v>18607</v>
      </c>
      <c r="F3649" s="7" t="s">
        <v>11535</v>
      </c>
    </row>
    <row r="3650" ht="18" customHeight="1" spans="1:6">
      <c r="A3650" s="13" t="s">
        <v>11312</v>
      </c>
      <c r="B3650" s="13" t="s">
        <v>18549</v>
      </c>
      <c r="C3650" s="100" t="s">
        <v>18608</v>
      </c>
      <c r="D3650" s="101">
        <v>5</v>
      </c>
      <c r="E3650" s="100" t="s">
        <v>18609</v>
      </c>
      <c r="F3650" s="7" t="s">
        <v>11535</v>
      </c>
    </row>
    <row r="3651" ht="18" customHeight="1" spans="1:6">
      <c r="A3651" s="13" t="s">
        <v>11312</v>
      </c>
      <c r="B3651" s="13" t="s">
        <v>11353</v>
      </c>
      <c r="C3651" s="23" t="s">
        <v>18610</v>
      </c>
      <c r="D3651" s="101">
        <v>3</v>
      </c>
      <c r="E3651" s="100" t="s">
        <v>18611</v>
      </c>
      <c r="F3651" s="7" t="s">
        <v>11535</v>
      </c>
    </row>
    <row r="3652" ht="18" customHeight="1" spans="1:6">
      <c r="A3652" s="13" t="s">
        <v>11312</v>
      </c>
      <c r="B3652" s="13" t="s">
        <v>18549</v>
      </c>
      <c r="C3652" s="100" t="s">
        <v>18612</v>
      </c>
      <c r="D3652" s="101">
        <v>3</v>
      </c>
      <c r="E3652" s="100" t="s">
        <v>18613</v>
      </c>
      <c r="F3652" s="7" t="s">
        <v>11535</v>
      </c>
    </row>
    <row r="3653" ht="18" customHeight="1" spans="1:6">
      <c r="A3653" s="13" t="s">
        <v>11312</v>
      </c>
      <c r="B3653" s="13" t="s">
        <v>18549</v>
      </c>
      <c r="C3653" s="100" t="s">
        <v>12228</v>
      </c>
      <c r="D3653" s="101">
        <v>2</v>
      </c>
      <c r="E3653" s="100" t="s">
        <v>18614</v>
      </c>
      <c r="F3653" s="7" t="s">
        <v>11535</v>
      </c>
    </row>
    <row r="3654" ht="18" customHeight="1" spans="1:6">
      <c r="A3654" s="13" t="s">
        <v>11312</v>
      </c>
      <c r="B3654" s="13" t="s">
        <v>18549</v>
      </c>
      <c r="C3654" s="100" t="s">
        <v>18615</v>
      </c>
      <c r="D3654" s="101">
        <v>1</v>
      </c>
      <c r="E3654" s="100" t="s">
        <v>18616</v>
      </c>
      <c r="F3654" s="7" t="s">
        <v>11535</v>
      </c>
    </row>
    <row r="3655" ht="18" customHeight="1" spans="1:6">
      <c r="A3655" s="13" t="s">
        <v>11312</v>
      </c>
      <c r="B3655" s="13" t="s">
        <v>11353</v>
      </c>
      <c r="C3655" s="100" t="s">
        <v>18617</v>
      </c>
      <c r="D3655" s="101">
        <v>2</v>
      </c>
      <c r="E3655" s="100" t="s">
        <v>18618</v>
      </c>
      <c r="F3655" s="7" t="s">
        <v>11535</v>
      </c>
    </row>
    <row r="3656" ht="18" customHeight="1" spans="1:6">
      <c r="A3656" s="13" t="s">
        <v>11312</v>
      </c>
      <c r="B3656" s="13" t="s">
        <v>18549</v>
      </c>
      <c r="C3656" s="100" t="s">
        <v>18619</v>
      </c>
      <c r="D3656" s="101">
        <v>4</v>
      </c>
      <c r="E3656" s="100" t="s">
        <v>18620</v>
      </c>
      <c r="F3656" s="7" t="s">
        <v>11535</v>
      </c>
    </row>
    <row r="3657" ht="18" customHeight="1" spans="1:6">
      <c r="A3657" s="13" t="s">
        <v>11312</v>
      </c>
      <c r="B3657" s="13" t="s">
        <v>11356</v>
      </c>
      <c r="C3657" s="100" t="s">
        <v>18621</v>
      </c>
      <c r="D3657" s="101">
        <v>2</v>
      </c>
      <c r="E3657" s="100" t="s">
        <v>18622</v>
      </c>
      <c r="F3657" s="7" t="s">
        <v>11535</v>
      </c>
    </row>
    <row r="3658" ht="18" customHeight="1" spans="1:6">
      <c r="A3658" s="13" t="s">
        <v>11312</v>
      </c>
      <c r="B3658" s="13" t="s">
        <v>11356</v>
      </c>
      <c r="C3658" s="100" t="s">
        <v>18623</v>
      </c>
      <c r="D3658" s="101">
        <v>2</v>
      </c>
      <c r="E3658" s="100" t="s">
        <v>18624</v>
      </c>
      <c r="F3658" s="7" t="s">
        <v>11535</v>
      </c>
    </row>
    <row r="3659" ht="18" customHeight="1" spans="1:6">
      <c r="A3659" s="13" t="s">
        <v>11312</v>
      </c>
      <c r="B3659" s="13" t="s">
        <v>11353</v>
      </c>
      <c r="C3659" s="100" t="s">
        <v>18625</v>
      </c>
      <c r="D3659" s="101">
        <v>4</v>
      </c>
      <c r="E3659" s="100" t="s">
        <v>18626</v>
      </c>
      <c r="F3659" s="7" t="s">
        <v>11535</v>
      </c>
    </row>
    <row r="3660" ht="18" customHeight="1" spans="1:6">
      <c r="A3660" s="13" t="s">
        <v>11312</v>
      </c>
      <c r="B3660" s="13" t="s">
        <v>18549</v>
      </c>
      <c r="C3660" s="100" t="s">
        <v>18627</v>
      </c>
      <c r="D3660" s="101">
        <v>3</v>
      </c>
      <c r="E3660" s="100" t="s">
        <v>18628</v>
      </c>
      <c r="F3660" s="7" t="s">
        <v>11535</v>
      </c>
    </row>
    <row r="3661" ht="18" customHeight="1" spans="1:6">
      <c r="A3661" s="13" t="s">
        <v>11312</v>
      </c>
      <c r="B3661" s="13" t="s">
        <v>11353</v>
      </c>
      <c r="C3661" s="100" t="s">
        <v>18629</v>
      </c>
      <c r="D3661" s="101">
        <v>6</v>
      </c>
      <c r="E3661" s="100" t="s">
        <v>18630</v>
      </c>
      <c r="F3661" s="7" t="s">
        <v>11535</v>
      </c>
    </row>
    <row r="3662" ht="18" customHeight="1" spans="1:6">
      <c r="A3662" s="13" t="s">
        <v>11312</v>
      </c>
      <c r="B3662" s="13" t="s">
        <v>18549</v>
      </c>
      <c r="C3662" s="100" t="s">
        <v>18631</v>
      </c>
      <c r="D3662" s="101">
        <v>1</v>
      </c>
      <c r="E3662" s="100" t="s">
        <v>18632</v>
      </c>
      <c r="F3662" s="7" t="s">
        <v>11535</v>
      </c>
    </row>
    <row r="3663" ht="18" customHeight="1" spans="1:6">
      <c r="A3663" s="13" t="s">
        <v>11312</v>
      </c>
      <c r="B3663" s="13" t="s">
        <v>18549</v>
      </c>
      <c r="C3663" s="100" t="s">
        <v>18633</v>
      </c>
      <c r="D3663" s="101">
        <v>4</v>
      </c>
      <c r="E3663" s="100" t="s">
        <v>18634</v>
      </c>
      <c r="F3663" s="7" t="s">
        <v>11535</v>
      </c>
    </row>
    <row r="3664" ht="18" customHeight="1" spans="1:6">
      <c r="A3664" s="13" t="s">
        <v>11312</v>
      </c>
      <c r="B3664" s="13" t="s">
        <v>18549</v>
      </c>
      <c r="C3664" s="100" t="s">
        <v>18635</v>
      </c>
      <c r="D3664" s="101">
        <v>3</v>
      </c>
      <c r="E3664" s="100" t="s">
        <v>18636</v>
      </c>
      <c r="F3664" s="7" t="s">
        <v>11535</v>
      </c>
    </row>
    <row r="3665" ht="18" customHeight="1" spans="1:6">
      <c r="A3665" s="13" t="s">
        <v>11312</v>
      </c>
      <c r="B3665" s="13" t="s">
        <v>11356</v>
      </c>
      <c r="C3665" s="100" t="s">
        <v>18637</v>
      </c>
      <c r="D3665" s="101">
        <v>3</v>
      </c>
      <c r="E3665" s="100" t="s">
        <v>18638</v>
      </c>
      <c r="F3665" s="7" t="s">
        <v>11535</v>
      </c>
    </row>
    <row r="3666" ht="18" customHeight="1" spans="1:6">
      <c r="A3666" s="13" t="s">
        <v>11312</v>
      </c>
      <c r="B3666" s="13" t="s">
        <v>11353</v>
      </c>
      <c r="C3666" s="100" t="s">
        <v>18639</v>
      </c>
      <c r="D3666" s="101">
        <v>2</v>
      </c>
      <c r="E3666" s="100" t="s">
        <v>18640</v>
      </c>
      <c r="F3666" s="7" t="s">
        <v>11535</v>
      </c>
    </row>
    <row r="3667" ht="18" customHeight="1" spans="1:6">
      <c r="A3667" s="13" t="s">
        <v>11312</v>
      </c>
      <c r="B3667" s="13" t="s">
        <v>18549</v>
      </c>
      <c r="C3667" s="100" t="s">
        <v>18641</v>
      </c>
      <c r="D3667" s="101">
        <v>4</v>
      </c>
      <c r="E3667" s="100" t="s">
        <v>18642</v>
      </c>
      <c r="F3667" s="7" t="s">
        <v>11535</v>
      </c>
    </row>
    <row r="3668" ht="18" customHeight="1" spans="1:6">
      <c r="A3668" s="13" t="s">
        <v>11312</v>
      </c>
      <c r="B3668" s="13" t="s">
        <v>18549</v>
      </c>
      <c r="C3668" s="100" t="s">
        <v>18643</v>
      </c>
      <c r="D3668" s="101">
        <v>3</v>
      </c>
      <c r="E3668" s="100" t="s">
        <v>18644</v>
      </c>
      <c r="F3668" s="7" t="s">
        <v>11535</v>
      </c>
    </row>
    <row r="3669" ht="18" customHeight="1" spans="1:6">
      <c r="A3669" s="13" t="s">
        <v>11312</v>
      </c>
      <c r="B3669" s="13" t="s">
        <v>18549</v>
      </c>
      <c r="C3669" s="100" t="s">
        <v>18645</v>
      </c>
      <c r="D3669" s="101">
        <v>3</v>
      </c>
      <c r="E3669" s="100" t="s">
        <v>18646</v>
      </c>
      <c r="F3669" s="7" t="s">
        <v>11535</v>
      </c>
    </row>
    <row r="3670" ht="18" customHeight="1" spans="1:6">
      <c r="A3670" s="13" t="s">
        <v>11312</v>
      </c>
      <c r="B3670" s="13" t="s">
        <v>11356</v>
      </c>
      <c r="C3670" s="100" t="s">
        <v>14233</v>
      </c>
      <c r="D3670" s="101">
        <v>3</v>
      </c>
      <c r="E3670" s="100" t="s">
        <v>18647</v>
      </c>
      <c r="F3670" s="7" t="s">
        <v>11535</v>
      </c>
    </row>
    <row r="3671" ht="18" customHeight="1" spans="1:6">
      <c r="A3671" s="13" t="s">
        <v>11312</v>
      </c>
      <c r="B3671" s="13" t="s">
        <v>18549</v>
      </c>
      <c r="C3671" s="100" t="s">
        <v>18648</v>
      </c>
      <c r="D3671" s="101">
        <v>4</v>
      </c>
      <c r="E3671" s="100" t="s">
        <v>18649</v>
      </c>
      <c r="F3671" s="7" t="s">
        <v>11535</v>
      </c>
    </row>
    <row r="3672" ht="18" customHeight="1" spans="1:6">
      <c r="A3672" s="13" t="s">
        <v>11312</v>
      </c>
      <c r="B3672" s="13" t="s">
        <v>11356</v>
      </c>
      <c r="C3672" s="100" t="s">
        <v>18650</v>
      </c>
      <c r="D3672" s="101">
        <v>4</v>
      </c>
      <c r="E3672" s="100" t="s">
        <v>18651</v>
      </c>
      <c r="F3672" s="7" t="s">
        <v>11535</v>
      </c>
    </row>
    <row r="3673" ht="18" customHeight="1" spans="1:6">
      <c r="A3673" s="13" t="s">
        <v>11312</v>
      </c>
      <c r="B3673" s="13" t="s">
        <v>11356</v>
      </c>
      <c r="C3673" s="100" t="s">
        <v>18652</v>
      </c>
      <c r="D3673" s="101">
        <v>3</v>
      </c>
      <c r="E3673" s="100" t="s">
        <v>18653</v>
      </c>
      <c r="F3673" s="7" t="s">
        <v>11535</v>
      </c>
    </row>
    <row r="3674" ht="18" customHeight="1" spans="1:6">
      <c r="A3674" s="13" t="s">
        <v>11312</v>
      </c>
      <c r="B3674" s="13" t="s">
        <v>18549</v>
      </c>
      <c r="C3674" s="100" t="s">
        <v>18654</v>
      </c>
      <c r="D3674" s="101">
        <v>3</v>
      </c>
      <c r="E3674" s="100" t="s">
        <v>18655</v>
      </c>
      <c r="F3674" s="7" t="s">
        <v>11535</v>
      </c>
    </row>
    <row r="3675" ht="18" customHeight="1" spans="1:6">
      <c r="A3675" s="13" t="s">
        <v>11312</v>
      </c>
      <c r="B3675" s="13" t="s">
        <v>11356</v>
      </c>
      <c r="C3675" s="100" t="s">
        <v>6266</v>
      </c>
      <c r="D3675" s="101">
        <v>4</v>
      </c>
      <c r="E3675" s="100" t="s">
        <v>18656</v>
      </c>
      <c r="F3675" s="7" t="s">
        <v>11535</v>
      </c>
    </row>
    <row r="3676" ht="18" customHeight="1" spans="1:6">
      <c r="A3676" s="13" t="s">
        <v>11312</v>
      </c>
      <c r="B3676" s="13" t="s">
        <v>11353</v>
      </c>
      <c r="C3676" s="100" t="s">
        <v>18657</v>
      </c>
      <c r="D3676" s="101">
        <v>4</v>
      </c>
      <c r="E3676" s="100" t="s">
        <v>18658</v>
      </c>
      <c r="F3676" s="7" t="s">
        <v>11535</v>
      </c>
    </row>
    <row r="3677" ht="18" customHeight="1" spans="1:6">
      <c r="A3677" s="13" t="s">
        <v>11312</v>
      </c>
      <c r="B3677" s="13" t="s">
        <v>18549</v>
      </c>
      <c r="C3677" s="100" t="s">
        <v>18659</v>
      </c>
      <c r="D3677" s="101">
        <v>4</v>
      </c>
      <c r="E3677" s="100" t="s">
        <v>18660</v>
      </c>
      <c r="F3677" s="7" t="s">
        <v>11535</v>
      </c>
    </row>
    <row r="3678" ht="18" customHeight="1" spans="1:6">
      <c r="A3678" s="13" t="s">
        <v>11312</v>
      </c>
      <c r="B3678" s="13" t="s">
        <v>18549</v>
      </c>
      <c r="C3678" s="100" t="s">
        <v>4472</v>
      </c>
      <c r="D3678" s="101">
        <v>2</v>
      </c>
      <c r="E3678" s="100" t="s">
        <v>18661</v>
      </c>
      <c r="F3678" s="7" t="s">
        <v>11535</v>
      </c>
    </row>
    <row r="3679" ht="18" customHeight="1" spans="1:6">
      <c r="A3679" s="13" t="s">
        <v>11312</v>
      </c>
      <c r="B3679" s="13" t="s">
        <v>11356</v>
      </c>
      <c r="C3679" s="100" t="s">
        <v>18662</v>
      </c>
      <c r="D3679" s="101">
        <v>4</v>
      </c>
      <c r="E3679" s="100" t="s">
        <v>18663</v>
      </c>
      <c r="F3679" s="7" t="s">
        <v>11535</v>
      </c>
    </row>
    <row r="3680" ht="18" customHeight="1" spans="1:6">
      <c r="A3680" s="13" t="s">
        <v>11312</v>
      </c>
      <c r="B3680" s="13" t="s">
        <v>18549</v>
      </c>
      <c r="C3680" s="100" t="s">
        <v>18664</v>
      </c>
      <c r="D3680" s="101">
        <v>4</v>
      </c>
      <c r="E3680" s="100" t="s">
        <v>18665</v>
      </c>
      <c r="F3680" s="7" t="s">
        <v>11535</v>
      </c>
    </row>
    <row r="3681" ht="18" customHeight="1" spans="1:6">
      <c r="A3681" s="13" t="s">
        <v>11312</v>
      </c>
      <c r="B3681" s="13" t="s">
        <v>11356</v>
      </c>
      <c r="C3681" s="100" t="s">
        <v>18666</v>
      </c>
      <c r="D3681" s="101">
        <v>5</v>
      </c>
      <c r="E3681" s="100" t="s">
        <v>18667</v>
      </c>
      <c r="F3681" s="7" t="s">
        <v>11535</v>
      </c>
    </row>
    <row r="3682" ht="18" customHeight="1" spans="1:6">
      <c r="A3682" s="13" t="s">
        <v>11312</v>
      </c>
      <c r="B3682" s="13" t="s">
        <v>11356</v>
      </c>
      <c r="C3682" s="100" t="s">
        <v>18668</v>
      </c>
      <c r="D3682" s="101">
        <v>3</v>
      </c>
      <c r="E3682" s="100" t="s">
        <v>18669</v>
      </c>
      <c r="F3682" s="7" t="s">
        <v>11535</v>
      </c>
    </row>
    <row r="3683" ht="18" customHeight="1" spans="1:6">
      <c r="A3683" s="13" t="s">
        <v>11312</v>
      </c>
      <c r="B3683" s="13" t="s">
        <v>11353</v>
      </c>
      <c r="C3683" s="100" t="s">
        <v>18670</v>
      </c>
      <c r="D3683" s="101">
        <v>4</v>
      </c>
      <c r="E3683" s="100" t="s">
        <v>18671</v>
      </c>
      <c r="F3683" s="7" t="s">
        <v>11535</v>
      </c>
    </row>
    <row r="3684" ht="18" customHeight="1" spans="1:6">
      <c r="A3684" s="13" t="s">
        <v>11312</v>
      </c>
      <c r="B3684" s="13" t="s">
        <v>18549</v>
      </c>
      <c r="C3684" s="100" t="s">
        <v>18672</v>
      </c>
      <c r="D3684" s="101">
        <v>2</v>
      </c>
      <c r="E3684" s="100" t="s">
        <v>18673</v>
      </c>
      <c r="F3684" s="7" t="s">
        <v>11535</v>
      </c>
    </row>
    <row r="3685" ht="18" customHeight="1" spans="1:6">
      <c r="A3685" s="13" t="s">
        <v>11312</v>
      </c>
      <c r="B3685" s="13" t="s">
        <v>11356</v>
      </c>
      <c r="C3685" s="100" t="s">
        <v>15949</v>
      </c>
      <c r="D3685" s="101">
        <v>2</v>
      </c>
      <c r="E3685" s="100" t="s">
        <v>18674</v>
      </c>
      <c r="F3685" s="7" t="s">
        <v>11535</v>
      </c>
    </row>
    <row r="3686" ht="18" customHeight="1" spans="1:6">
      <c r="A3686" s="13" t="s">
        <v>11312</v>
      </c>
      <c r="B3686" s="13" t="s">
        <v>11356</v>
      </c>
      <c r="C3686" s="100" t="s">
        <v>18675</v>
      </c>
      <c r="D3686" s="101">
        <v>3</v>
      </c>
      <c r="E3686" s="100" t="s">
        <v>18676</v>
      </c>
      <c r="F3686" s="7" t="s">
        <v>11535</v>
      </c>
    </row>
    <row r="3687" ht="18" customHeight="1" spans="1:6">
      <c r="A3687" s="13" t="s">
        <v>11312</v>
      </c>
      <c r="B3687" s="13" t="s">
        <v>11359</v>
      </c>
      <c r="C3687" s="102" t="s">
        <v>18677</v>
      </c>
      <c r="D3687" s="103">
        <v>4</v>
      </c>
      <c r="E3687" s="102" t="s">
        <v>18678</v>
      </c>
      <c r="F3687" s="7" t="s">
        <v>11535</v>
      </c>
    </row>
    <row r="3688" ht="18" customHeight="1" spans="1:6">
      <c r="A3688" s="13" t="s">
        <v>11312</v>
      </c>
      <c r="B3688" s="13" t="s">
        <v>11359</v>
      </c>
      <c r="C3688" s="102" t="s">
        <v>18679</v>
      </c>
      <c r="D3688" s="103">
        <v>2</v>
      </c>
      <c r="E3688" s="102" t="s">
        <v>18680</v>
      </c>
      <c r="F3688" s="7" t="s">
        <v>11535</v>
      </c>
    </row>
    <row r="3689" ht="18" customHeight="1" spans="1:6">
      <c r="A3689" s="13" t="s">
        <v>11312</v>
      </c>
      <c r="B3689" s="13" t="s">
        <v>11359</v>
      </c>
      <c r="C3689" s="102" t="s">
        <v>18681</v>
      </c>
      <c r="D3689" s="103">
        <v>5</v>
      </c>
      <c r="E3689" s="102" t="s">
        <v>18682</v>
      </c>
      <c r="F3689" s="7" t="s">
        <v>11535</v>
      </c>
    </row>
    <row r="3690" ht="18" customHeight="1" spans="1:6">
      <c r="A3690" s="13" t="s">
        <v>11312</v>
      </c>
      <c r="B3690" s="13" t="s">
        <v>11359</v>
      </c>
      <c r="C3690" s="102" t="s">
        <v>18683</v>
      </c>
      <c r="D3690" s="103">
        <v>3</v>
      </c>
      <c r="E3690" s="102" t="s">
        <v>18684</v>
      </c>
      <c r="F3690" s="7" t="s">
        <v>11535</v>
      </c>
    </row>
    <row r="3691" ht="18" customHeight="1" spans="1:6">
      <c r="A3691" s="13" t="s">
        <v>11312</v>
      </c>
      <c r="B3691" s="13" t="s">
        <v>11359</v>
      </c>
      <c r="C3691" s="102" t="s">
        <v>18685</v>
      </c>
      <c r="D3691" s="103">
        <v>4</v>
      </c>
      <c r="E3691" s="102" t="s">
        <v>18686</v>
      </c>
      <c r="F3691" s="7" t="s">
        <v>11535</v>
      </c>
    </row>
    <row r="3692" ht="18" customHeight="1" spans="1:6">
      <c r="A3692" s="13" t="s">
        <v>11312</v>
      </c>
      <c r="B3692" s="13" t="s">
        <v>11359</v>
      </c>
      <c r="C3692" s="102" t="s">
        <v>18687</v>
      </c>
      <c r="D3692" s="103">
        <v>5</v>
      </c>
      <c r="E3692" s="102" t="s">
        <v>18688</v>
      </c>
      <c r="F3692" s="7" t="s">
        <v>11535</v>
      </c>
    </row>
    <row r="3693" ht="18" customHeight="1" spans="1:6">
      <c r="A3693" s="13" t="s">
        <v>11312</v>
      </c>
      <c r="B3693" s="13" t="s">
        <v>11359</v>
      </c>
      <c r="C3693" s="102" t="s">
        <v>18689</v>
      </c>
      <c r="D3693" s="103">
        <v>1</v>
      </c>
      <c r="E3693" s="102" t="s">
        <v>18690</v>
      </c>
      <c r="F3693" s="7" t="s">
        <v>11535</v>
      </c>
    </row>
    <row r="3694" ht="18" customHeight="1" spans="1:6">
      <c r="A3694" s="13" t="s">
        <v>11312</v>
      </c>
      <c r="B3694" s="13" t="s">
        <v>11359</v>
      </c>
      <c r="C3694" s="102" t="s">
        <v>18691</v>
      </c>
      <c r="D3694" s="103">
        <v>4</v>
      </c>
      <c r="E3694" s="102" t="s">
        <v>18692</v>
      </c>
      <c r="F3694" s="7" t="s">
        <v>11535</v>
      </c>
    </row>
    <row r="3695" ht="18" customHeight="1" spans="1:6">
      <c r="A3695" s="13" t="s">
        <v>11312</v>
      </c>
      <c r="B3695" s="13" t="s">
        <v>11359</v>
      </c>
      <c r="C3695" s="102" t="s">
        <v>18693</v>
      </c>
      <c r="D3695" s="103">
        <v>5</v>
      </c>
      <c r="E3695" s="102" t="s">
        <v>18694</v>
      </c>
      <c r="F3695" s="7" t="s">
        <v>11535</v>
      </c>
    </row>
    <row r="3696" ht="18" customHeight="1" spans="1:6">
      <c r="A3696" s="13" t="s">
        <v>11312</v>
      </c>
      <c r="B3696" s="13" t="s">
        <v>11359</v>
      </c>
      <c r="C3696" s="102" t="s">
        <v>18695</v>
      </c>
      <c r="D3696" s="103">
        <v>3</v>
      </c>
      <c r="E3696" s="102" t="s">
        <v>18696</v>
      </c>
      <c r="F3696" s="7" t="s">
        <v>11535</v>
      </c>
    </row>
    <row r="3697" ht="18" customHeight="1" spans="1:6">
      <c r="A3697" s="13" t="s">
        <v>11312</v>
      </c>
      <c r="B3697" s="13" t="s">
        <v>11359</v>
      </c>
      <c r="C3697" s="102" t="s">
        <v>18697</v>
      </c>
      <c r="D3697" s="103">
        <v>2</v>
      </c>
      <c r="E3697" s="102" t="s">
        <v>18698</v>
      </c>
      <c r="F3697" s="7" t="s">
        <v>11535</v>
      </c>
    </row>
    <row r="3698" ht="18" customHeight="1" spans="1:6">
      <c r="A3698" s="13" t="s">
        <v>11312</v>
      </c>
      <c r="B3698" s="13" t="s">
        <v>11359</v>
      </c>
      <c r="C3698" s="102" t="s">
        <v>12282</v>
      </c>
      <c r="D3698" s="103">
        <v>4</v>
      </c>
      <c r="E3698" s="102" t="s">
        <v>18699</v>
      </c>
      <c r="F3698" s="7" t="s">
        <v>11535</v>
      </c>
    </row>
    <row r="3699" ht="18" customHeight="1" spans="1:6">
      <c r="A3699" s="13" t="s">
        <v>11312</v>
      </c>
      <c r="B3699" s="13" t="s">
        <v>11359</v>
      </c>
      <c r="C3699" s="102" t="s">
        <v>18700</v>
      </c>
      <c r="D3699" s="103">
        <v>6</v>
      </c>
      <c r="E3699" s="102" t="s">
        <v>18701</v>
      </c>
      <c r="F3699" s="7" t="s">
        <v>11535</v>
      </c>
    </row>
    <row r="3700" ht="18" customHeight="1" spans="1:6">
      <c r="A3700" s="13" t="s">
        <v>11312</v>
      </c>
      <c r="B3700" s="13" t="s">
        <v>11359</v>
      </c>
      <c r="C3700" s="102" t="s">
        <v>12019</v>
      </c>
      <c r="D3700" s="103">
        <v>4</v>
      </c>
      <c r="E3700" s="102" t="s">
        <v>18702</v>
      </c>
      <c r="F3700" s="7" t="s">
        <v>11535</v>
      </c>
    </row>
    <row r="3701" ht="18" customHeight="1" spans="1:6">
      <c r="A3701" s="13" t="s">
        <v>11312</v>
      </c>
      <c r="B3701" s="13" t="s">
        <v>11359</v>
      </c>
      <c r="C3701" s="102" t="s">
        <v>8098</v>
      </c>
      <c r="D3701" s="103">
        <v>4</v>
      </c>
      <c r="E3701" s="102" t="s">
        <v>18703</v>
      </c>
      <c r="F3701" s="7" t="s">
        <v>11535</v>
      </c>
    </row>
    <row r="3702" ht="18" customHeight="1" spans="1:6">
      <c r="A3702" s="13" t="s">
        <v>11312</v>
      </c>
      <c r="B3702" s="13" t="s">
        <v>11359</v>
      </c>
      <c r="C3702" s="102" t="s">
        <v>18704</v>
      </c>
      <c r="D3702" s="103">
        <v>2</v>
      </c>
      <c r="E3702" s="102" t="s">
        <v>18705</v>
      </c>
      <c r="F3702" s="7" t="s">
        <v>11535</v>
      </c>
    </row>
    <row r="3703" ht="18" customHeight="1" spans="1:6">
      <c r="A3703" s="13" t="s">
        <v>11312</v>
      </c>
      <c r="B3703" s="13" t="s">
        <v>11359</v>
      </c>
      <c r="C3703" s="102" t="s">
        <v>18706</v>
      </c>
      <c r="D3703" s="103">
        <v>2</v>
      </c>
      <c r="E3703" s="102" t="s">
        <v>18707</v>
      </c>
      <c r="F3703" s="7" t="s">
        <v>11535</v>
      </c>
    </row>
    <row r="3704" ht="18" customHeight="1" spans="1:6">
      <c r="A3704" s="13" t="s">
        <v>11312</v>
      </c>
      <c r="B3704" s="13" t="s">
        <v>11359</v>
      </c>
      <c r="C3704" s="102" t="s">
        <v>18708</v>
      </c>
      <c r="D3704" s="103">
        <v>6</v>
      </c>
      <c r="E3704" s="102" t="s">
        <v>18709</v>
      </c>
      <c r="F3704" s="7" t="s">
        <v>11535</v>
      </c>
    </row>
    <row r="3705" ht="18" customHeight="1" spans="1:6">
      <c r="A3705" s="13" t="s">
        <v>11312</v>
      </c>
      <c r="B3705" s="13" t="s">
        <v>11359</v>
      </c>
      <c r="C3705" s="102" t="s">
        <v>18710</v>
      </c>
      <c r="D3705" s="103">
        <v>2</v>
      </c>
      <c r="E3705" s="102" t="s">
        <v>18711</v>
      </c>
      <c r="F3705" s="7" t="s">
        <v>11535</v>
      </c>
    </row>
    <row r="3706" ht="18" customHeight="1" spans="1:6">
      <c r="A3706" s="13" t="s">
        <v>11312</v>
      </c>
      <c r="B3706" s="13" t="s">
        <v>11359</v>
      </c>
      <c r="C3706" s="102" t="s">
        <v>18712</v>
      </c>
      <c r="D3706" s="103">
        <v>6</v>
      </c>
      <c r="E3706" s="102" t="s">
        <v>18713</v>
      </c>
      <c r="F3706" s="7" t="s">
        <v>11535</v>
      </c>
    </row>
    <row r="3707" ht="18" customHeight="1" spans="1:6">
      <c r="A3707" s="13" t="s">
        <v>11312</v>
      </c>
      <c r="B3707" s="13" t="s">
        <v>11359</v>
      </c>
      <c r="C3707" s="102" t="s">
        <v>1353</v>
      </c>
      <c r="D3707" s="103">
        <v>5</v>
      </c>
      <c r="E3707" s="102" t="s">
        <v>18714</v>
      </c>
      <c r="F3707" s="7" t="s">
        <v>11535</v>
      </c>
    </row>
    <row r="3708" ht="18" customHeight="1" spans="1:6">
      <c r="A3708" s="13" t="s">
        <v>11312</v>
      </c>
      <c r="B3708" s="13" t="s">
        <v>11359</v>
      </c>
      <c r="C3708" s="102" t="s">
        <v>18715</v>
      </c>
      <c r="D3708" s="103">
        <v>4</v>
      </c>
      <c r="E3708" s="102" t="s">
        <v>18716</v>
      </c>
      <c r="F3708" s="7" t="s">
        <v>11535</v>
      </c>
    </row>
    <row r="3709" ht="18" customHeight="1" spans="1:6">
      <c r="A3709" s="13" t="s">
        <v>11312</v>
      </c>
      <c r="B3709" s="13" t="s">
        <v>11359</v>
      </c>
      <c r="C3709" s="102" t="s">
        <v>18717</v>
      </c>
      <c r="D3709" s="103">
        <v>6</v>
      </c>
      <c r="E3709" s="102" t="s">
        <v>18718</v>
      </c>
      <c r="F3709" s="7" t="s">
        <v>11535</v>
      </c>
    </row>
    <row r="3710" ht="18" customHeight="1" spans="1:6">
      <c r="A3710" s="13" t="s">
        <v>11312</v>
      </c>
      <c r="B3710" s="13" t="s">
        <v>11359</v>
      </c>
      <c r="C3710" s="102" t="s">
        <v>18719</v>
      </c>
      <c r="D3710" s="103">
        <v>4</v>
      </c>
      <c r="E3710" s="102" t="s">
        <v>18720</v>
      </c>
      <c r="F3710" s="7" t="s">
        <v>11535</v>
      </c>
    </row>
    <row r="3711" ht="18" customHeight="1" spans="1:6">
      <c r="A3711" s="13" t="s">
        <v>11312</v>
      </c>
      <c r="B3711" s="13" t="s">
        <v>11359</v>
      </c>
      <c r="C3711" s="102" t="s">
        <v>18721</v>
      </c>
      <c r="D3711" s="103">
        <v>1</v>
      </c>
      <c r="E3711" s="102" t="s">
        <v>18722</v>
      </c>
      <c r="F3711" s="7" t="s">
        <v>11535</v>
      </c>
    </row>
    <row r="3712" ht="18" customHeight="1" spans="1:6">
      <c r="A3712" s="13" t="s">
        <v>11312</v>
      </c>
      <c r="B3712" s="13" t="s">
        <v>11359</v>
      </c>
      <c r="C3712" s="102" t="s">
        <v>12232</v>
      </c>
      <c r="D3712" s="103">
        <v>4</v>
      </c>
      <c r="E3712" s="102" t="s">
        <v>18723</v>
      </c>
      <c r="F3712" s="7" t="s">
        <v>11535</v>
      </c>
    </row>
    <row r="3713" ht="18" customHeight="1" spans="1:6">
      <c r="A3713" s="13" t="s">
        <v>11312</v>
      </c>
      <c r="B3713" s="13" t="s">
        <v>11359</v>
      </c>
      <c r="C3713" s="102" t="s">
        <v>18724</v>
      </c>
      <c r="D3713" s="103">
        <v>5</v>
      </c>
      <c r="E3713" s="102" t="s">
        <v>18725</v>
      </c>
      <c r="F3713" s="7" t="s">
        <v>11535</v>
      </c>
    </row>
    <row r="3714" ht="18" customHeight="1" spans="1:6">
      <c r="A3714" s="13" t="s">
        <v>11312</v>
      </c>
      <c r="B3714" s="13" t="s">
        <v>11359</v>
      </c>
      <c r="C3714" s="102" t="s">
        <v>18726</v>
      </c>
      <c r="D3714" s="103">
        <v>9</v>
      </c>
      <c r="E3714" s="102" t="s">
        <v>18727</v>
      </c>
      <c r="F3714" s="7" t="s">
        <v>11535</v>
      </c>
    </row>
    <row r="3715" ht="18" customHeight="1" spans="1:6">
      <c r="A3715" s="13" t="s">
        <v>11312</v>
      </c>
      <c r="B3715" s="13" t="s">
        <v>11359</v>
      </c>
      <c r="C3715" s="102" t="s">
        <v>18728</v>
      </c>
      <c r="D3715" s="103">
        <v>2</v>
      </c>
      <c r="E3715" s="102" t="s">
        <v>18729</v>
      </c>
      <c r="F3715" s="7" t="s">
        <v>11535</v>
      </c>
    </row>
    <row r="3716" ht="18" customHeight="1" spans="1:6">
      <c r="A3716" s="13" t="s">
        <v>11312</v>
      </c>
      <c r="B3716" s="13" t="s">
        <v>11359</v>
      </c>
      <c r="C3716" s="102" t="s">
        <v>18730</v>
      </c>
      <c r="D3716" s="103">
        <v>6</v>
      </c>
      <c r="E3716" s="102" t="s">
        <v>18731</v>
      </c>
      <c r="F3716" s="7" t="s">
        <v>11535</v>
      </c>
    </row>
    <row r="3717" ht="18" customHeight="1" spans="1:6">
      <c r="A3717" s="13" t="s">
        <v>11312</v>
      </c>
      <c r="B3717" s="13" t="s">
        <v>11359</v>
      </c>
      <c r="C3717" s="102" t="s">
        <v>18732</v>
      </c>
      <c r="D3717" s="103">
        <v>6</v>
      </c>
      <c r="E3717" s="102" t="s">
        <v>18733</v>
      </c>
      <c r="F3717" s="7" t="s">
        <v>11535</v>
      </c>
    </row>
    <row r="3718" ht="18" customHeight="1" spans="1:6">
      <c r="A3718" s="13" t="s">
        <v>11312</v>
      </c>
      <c r="B3718" s="13" t="s">
        <v>11359</v>
      </c>
      <c r="C3718" s="102" t="s">
        <v>18734</v>
      </c>
      <c r="D3718" s="103">
        <v>4</v>
      </c>
      <c r="E3718" s="102" t="s">
        <v>18735</v>
      </c>
      <c r="F3718" s="7" t="s">
        <v>11535</v>
      </c>
    </row>
    <row r="3719" ht="18" customHeight="1" spans="1:6">
      <c r="A3719" s="13" t="s">
        <v>11312</v>
      </c>
      <c r="B3719" s="13" t="s">
        <v>11359</v>
      </c>
      <c r="C3719" s="102" t="s">
        <v>12332</v>
      </c>
      <c r="D3719" s="103">
        <v>3</v>
      </c>
      <c r="E3719" s="102" t="s">
        <v>18736</v>
      </c>
      <c r="F3719" s="7" t="s">
        <v>11535</v>
      </c>
    </row>
    <row r="3720" ht="18" customHeight="1" spans="1:6">
      <c r="A3720" s="13" t="s">
        <v>11312</v>
      </c>
      <c r="B3720" s="13" t="s">
        <v>11359</v>
      </c>
      <c r="C3720" s="102" t="s">
        <v>2553</v>
      </c>
      <c r="D3720" s="103">
        <v>6</v>
      </c>
      <c r="E3720" s="102" t="s">
        <v>18737</v>
      </c>
      <c r="F3720" s="7" t="s">
        <v>11535</v>
      </c>
    </row>
    <row r="3721" ht="18" customHeight="1" spans="1:6">
      <c r="A3721" s="13" t="s">
        <v>11312</v>
      </c>
      <c r="B3721" s="13" t="s">
        <v>11359</v>
      </c>
      <c r="C3721" s="102" t="s">
        <v>18738</v>
      </c>
      <c r="D3721" s="103">
        <v>7</v>
      </c>
      <c r="E3721" s="102" t="s">
        <v>18739</v>
      </c>
      <c r="F3721" s="7" t="s">
        <v>11535</v>
      </c>
    </row>
    <row r="3722" ht="18" customHeight="1" spans="1:6">
      <c r="A3722" s="13" t="s">
        <v>11312</v>
      </c>
      <c r="B3722" s="13" t="s">
        <v>11359</v>
      </c>
      <c r="C3722" s="102" t="s">
        <v>2634</v>
      </c>
      <c r="D3722" s="103">
        <v>3</v>
      </c>
      <c r="E3722" s="102" t="s">
        <v>18590</v>
      </c>
      <c r="F3722" s="7" t="s">
        <v>11535</v>
      </c>
    </row>
    <row r="3723" ht="18" customHeight="1" spans="1:6">
      <c r="A3723" s="13" t="s">
        <v>11312</v>
      </c>
      <c r="B3723" s="13" t="s">
        <v>11359</v>
      </c>
      <c r="C3723" s="102" t="s">
        <v>9542</v>
      </c>
      <c r="D3723" s="103">
        <v>2</v>
      </c>
      <c r="E3723" s="102" t="s">
        <v>18740</v>
      </c>
      <c r="F3723" s="7" t="s">
        <v>11535</v>
      </c>
    </row>
    <row r="3724" ht="18" customHeight="1" spans="1:6">
      <c r="A3724" s="13" t="s">
        <v>11312</v>
      </c>
      <c r="B3724" s="13" t="s">
        <v>11359</v>
      </c>
      <c r="C3724" s="102" t="s">
        <v>18741</v>
      </c>
      <c r="D3724" s="103">
        <v>4</v>
      </c>
      <c r="E3724" s="102" t="s">
        <v>18742</v>
      </c>
      <c r="F3724" s="7" t="s">
        <v>11535</v>
      </c>
    </row>
    <row r="3725" ht="18" customHeight="1" spans="1:6">
      <c r="A3725" s="13" t="s">
        <v>11312</v>
      </c>
      <c r="B3725" s="13" t="s">
        <v>11359</v>
      </c>
      <c r="C3725" s="102" t="s">
        <v>18743</v>
      </c>
      <c r="D3725" s="103">
        <v>4</v>
      </c>
      <c r="E3725" s="102" t="s">
        <v>18744</v>
      </c>
      <c r="F3725" s="7" t="s">
        <v>11535</v>
      </c>
    </row>
    <row r="3726" ht="18" customHeight="1" spans="1:6">
      <c r="A3726" s="13" t="s">
        <v>11312</v>
      </c>
      <c r="B3726" s="13" t="s">
        <v>11359</v>
      </c>
      <c r="C3726" s="102" t="s">
        <v>18745</v>
      </c>
      <c r="D3726" s="103">
        <v>1</v>
      </c>
      <c r="E3726" s="102" t="s">
        <v>18746</v>
      </c>
      <c r="F3726" s="7" t="s">
        <v>11535</v>
      </c>
    </row>
    <row r="3727" ht="18" customHeight="1" spans="1:6">
      <c r="A3727" s="13" t="s">
        <v>11312</v>
      </c>
      <c r="B3727" s="13" t="s">
        <v>11359</v>
      </c>
      <c r="C3727" s="102" t="s">
        <v>18747</v>
      </c>
      <c r="D3727" s="103">
        <v>4</v>
      </c>
      <c r="E3727" s="102" t="s">
        <v>18748</v>
      </c>
      <c r="F3727" s="7" t="s">
        <v>11535</v>
      </c>
    </row>
    <row r="3728" ht="18" customHeight="1" spans="1:6">
      <c r="A3728" s="13" t="s">
        <v>11312</v>
      </c>
      <c r="B3728" s="13" t="s">
        <v>11359</v>
      </c>
      <c r="C3728" s="102" t="s">
        <v>18749</v>
      </c>
      <c r="D3728" s="103">
        <v>9</v>
      </c>
      <c r="E3728" s="102" t="s">
        <v>18750</v>
      </c>
      <c r="F3728" s="7" t="s">
        <v>11535</v>
      </c>
    </row>
    <row r="3729" ht="18" customHeight="1" spans="1:6">
      <c r="A3729" s="13" t="s">
        <v>11312</v>
      </c>
      <c r="B3729" s="13" t="s">
        <v>11359</v>
      </c>
      <c r="C3729" s="102" t="s">
        <v>5933</v>
      </c>
      <c r="D3729" s="103">
        <v>5</v>
      </c>
      <c r="E3729" s="102" t="s">
        <v>18751</v>
      </c>
      <c r="F3729" s="7" t="s">
        <v>11535</v>
      </c>
    </row>
    <row r="3730" ht="18" customHeight="1" spans="1:6">
      <c r="A3730" s="13" t="s">
        <v>11312</v>
      </c>
      <c r="B3730" s="13" t="s">
        <v>11359</v>
      </c>
      <c r="C3730" s="102" t="s">
        <v>18752</v>
      </c>
      <c r="D3730" s="103">
        <v>3</v>
      </c>
      <c r="E3730" s="102" t="s">
        <v>18753</v>
      </c>
      <c r="F3730" s="7" t="s">
        <v>11535</v>
      </c>
    </row>
    <row r="3731" ht="18" customHeight="1" spans="1:6">
      <c r="A3731" s="13" t="s">
        <v>11312</v>
      </c>
      <c r="B3731" s="13" t="s">
        <v>11359</v>
      </c>
      <c r="C3731" s="102" t="s">
        <v>1400</v>
      </c>
      <c r="D3731" s="103">
        <v>5</v>
      </c>
      <c r="E3731" s="102" t="s">
        <v>18754</v>
      </c>
      <c r="F3731" s="7" t="s">
        <v>11535</v>
      </c>
    </row>
    <row r="3732" ht="18" customHeight="1" spans="1:6">
      <c r="A3732" s="13" t="s">
        <v>11312</v>
      </c>
      <c r="B3732" s="13" t="s">
        <v>11359</v>
      </c>
      <c r="C3732" s="102" t="s">
        <v>18755</v>
      </c>
      <c r="D3732" s="103">
        <v>4</v>
      </c>
      <c r="E3732" s="102" t="s">
        <v>18756</v>
      </c>
      <c r="F3732" s="7" t="s">
        <v>11535</v>
      </c>
    </row>
    <row r="3733" ht="18" customHeight="1" spans="1:6">
      <c r="A3733" s="13" t="s">
        <v>11312</v>
      </c>
      <c r="B3733" s="13" t="s">
        <v>11359</v>
      </c>
      <c r="C3733" s="102" t="s">
        <v>18757</v>
      </c>
      <c r="D3733" s="103">
        <v>2</v>
      </c>
      <c r="E3733" s="102" t="s">
        <v>18758</v>
      </c>
      <c r="F3733" s="7" t="s">
        <v>11535</v>
      </c>
    </row>
    <row r="3734" ht="18" customHeight="1" spans="1:6">
      <c r="A3734" s="13" t="s">
        <v>11312</v>
      </c>
      <c r="B3734" s="13" t="s">
        <v>11359</v>
      </c>
      <c r="C3734" s="102" t="s">
        <v>18759</v>
      </c>
      <c r="D3734" s="103">
        <v>3</v>
      </c>
      <c r="E3734" s="102" t="s">
        <v>18760</v>
      </c>
      <c r="F3734" s="7" t="s">
        <v>11535</v>
      </c>
    </row>
    <row r="3735" ht="18" customHeight="1" spans="1:6">
      <c r="A3735" s="13" t="s">
        <v>11312</v>
      </c>
      <c r="B3735" s="13" t="s">
        <v>11359</v>
      </c>
      <c r="C3735" s="102" t="s">
        <v>18761</v>
      </c>
      <c r="D3735" s="103">
        <v>3</v>
      </c>
      <c r="E3735" s="102" t="s">
        <v>18762</v>
      </c>
      <c r="F3735" s="7" t="s">
        <v>11535</v>
      </c>
    </row>
    <row r="3736" ht="18" customHeight="1" spans="1:6">
      <c r="A3736" s="13" t="s">
        <v>11312</v>
      </c>
      <c r="B3736" s="13" t="s">
        <v>11359</v>
      </c>
      <c r="C3736" s="102" t="s">
        <v>2273</v>
      </c>
      <c r="D3736" s="103">
        <v>4</v>
      </c>
      <c r="E3736" s="102" t="s">
        <v>18763</v>
      </c>
      <c r="F3736" s="7" t="s">
        <v>11535</v>
      </c>
    </row>
    <row r="3737" ht="18" customHeight="1" spans="1:6">
      <c r="A3737" s="13" t="s">
        <v>11312</v>
      </c>
      <c r="B3737" s="13" t="s">
        <v>11359</v>
      </c>
      <c r="C3737" s="102" t="s">
        <v>18764</v>
      </c>
      <c r="D3737" s="103">
        <v>5</v>
      </c>
      <c r="E3737" s="102" t="s">
        <v>18765</v>
      </c>
      <c r="F3737" s="7" t="s">
        <v>11535</v>
      </c>
    </row>
    <row r="3738" ht="18" customHeight="1" spans="1:6">
      <c r="A3738" s="13" t="s">
        <v>11312</v>
      </c>
      <c r="B3738" s="13" t="s">
        <v>11359</v>
      </c>
      <c r="C3738" s="102" t="s">
        <v>18766</v>
      </c>
      <c r="D3738" s="103">
        <v>3</v>
      </c>
      <c r="E3738" s="102" t="s">
        <v>18767</v>
      </c>
      <c r="F3738" s="7" t="s">
        <v>11535</v>
      </c>
    </row>
    <row r="3739" ht="18" customHeight="1" spans="1:6">
      <c r="A3739" s="13" t="s">
        <v>11312</v>
      </c>
      <c r="B3739" s="13" t="s">
        <v>11359</v>
      </c>
      <c r="C3739" s="102" t="s">
        <v>18768</v>
      </c>
      <c r="D3739" s="103">
        <v>5</v>
      </c>
      <c r="E3739" s="102" t="s">
        <v>18769</v>
      </c>
      <c r="F3739" s="7" t="s">
        <v>11535</v>
      </c>
    </row>
    <row r="3740" ht="18" customHeight="1" spans="1:6">
      <c r="A3740" s="13" t="s">
        <v>11312</v>
      </c>
      <c r="B3740" s="13" t="s">
        <v>11359</v>
      </c>
      <c r="C3740" s="102" t="s">
        <v>18770</v>
      </c>
      <c r="D3740" s="103">
        <v>4</v>
      </c>
      <c r="E3740" s="102" t="s">
        <v>18771</v>
      </c>
      <c r="F3740" s="7" t="s">
        <v>11535</v>
      </c>
    </row>
    <row r="3741" ht="18" customHeight="1" spans="1:6">
      <c r="A3741" s="13" t="s">
        <v>11312</v>
      </c>
      <c r="B3741" s="13" t="s">
        <v>11359</v>
      </c>
      <c r="C3741" s="102" t="s">
        <v>18772</v>
      </c>
      <c r="D3741" s="103">
        <v>8</v>
      </c>
      <c r="E3741" s="102" t="s">
        <v>18773</v>
      </c>
      <c r="F3741" s="7" t="s">
        <v>11535</v>
      </c>
    </row>
    <row r="3742" ht="18" customHeight="1" spans="1:6">
      <c r="A3742" s="13" t="s">
        <v>11312</v>
      </c>
      <c r="B3742" s="13" t="s">
        <v>11359</v>
      </c>
      <c r="C3742" s="102" t="s">
        <v>2634</v>
      </c>
      <c r="D3742" s="103">
        <v>4</v>
      </c>
      <c r="E3742" s="102" t="s">
        <v>18774</v>
      </c>
      <c r="F3742" s="7" t="s">
        <v>11535</v>
      </c>
    </row>
    <row r="3743" ht="18" customHeight="1" spans="1:6">
      <c r="A3743" s="13" t="s">
        <v>11312</v>
      </c>
      <c r="B3743" s="13" t="s">
        <v>11359</v>
      </c>
      <c r="C3743" s="102" t="s">
        <v>18775</v>
      </c>
      <c r="D3743" s="103">
        <v>4</v>
      </c>
      <c r="E3743" s="102" t="s">
        <v>18776</v>
      </c>
      <c r="F3743" s="7" t="s">
        <v>11535</v>
      </c>
    </row>
    <row r="3744" ht="18" customHeight="1" spans="1:6">
      <c r="A3744" s="13" t="s">
        <v>11312</v>
      </c>
      <c r="B3744" s="13" t="s">
        <v>11359</v>
      </c>
      <c r="C3744" s="102" t="s">
        <v>18777</v>
      </c>
      <c r="D3744" s="103">
        <v>6</v>
      </c>
      <c r="E3744" s="102" t="s">
        <v>18778</v>
      </c>
      <c r="F3744" s="7" t="s">
        <v>11535</v>
      </c>
    </row>
    <row r="3745" ht="18" customHeight="1" spans="1:6">
      <c r="A3745" s="13" t="s">
        <v>11312</v>
      </c>
      <c r="B3745" s="13" t="s">
        <v>11359</v>
      </c>
      <c r="C3745" s="102" t="s">
        <v>18779</v>
      </c>
      <c r="D3745" s="103">
        <v>4</v>
      </c>
      <c r="E3745" s="102" t="s">
        <v>18780</v>
      </c>
      <c r="F3745" s="7" t="s">
        <v>11535</v>
      </c>
    </row>
    <row r="3746" ht="18" customHeight="1" spans="1:6">
      <c r="A3746" s="13" t="s">
        <v>11312</v>
      </c>
      <c r="B3746" s="13" t="s">
        <v>11359</v>
      </c>
      <c r="C3746" s="102" t="s">
        <v>18781</v>
      </c>
      <c r="D3746" s="103">
        <v>4</v>
      </c>
      <c r="E3746" s="102" t="s">
        <v>18782</v>
      </c>
      <c r="F3746" s="7" t="s">
        <v>11535</v>
      </c>
    </row>
    <row r="3747" ht="18" customHeight="1" spans="1:6">
      <c r="A3747" s="13" t="s">
        <v>11312</v>
      </c>
      <c r="B3747" s="13" t="s">
        <v>11359</v>
      </c>
      <c r="C3747" s="102" t="s">
        <v>18783</v>
      </c>
      <c r="D3747" s="103">
        <v>4</v>
      </c>
      <c r="E3747" s="102" t="s">
        <v>18784</v>
      </c>
      <c r="F3747" s="7" t="s">
        <v>11535</v>
      </c>
    </row>
    <row r="3748" ht="18" customHeight="1" spans="1:6">
      <c r="A3748" s="13" t="s">
        <v>11312</v>
      </c>
      <c r="B3748" s="13" t="s">
        <v>11359</v>
      </c>
      <c r="C3748" s="102" t="s">
        <v>18785</v>
      </c>
      <c r="D3748" s="103">
        <v>4</v>
      </c>
      <c r="E3748" s="102" t="s">
        <v>18786</v>
      </c>
      <c r="F3748" s="7" t="s">
        <v>11535</v>
      </c>
    </row>
    <row r="3749" ht="18" customHeight="1" spans="1:6">
      <c r="A3749" s="13" t="s">
        <v>11312</v>
      </c>
      <c r="B3749" s="13" t="s">
        <v>11359</v>
      </c>
      <c r="C3749" s="102" t="s">
        <v>1202</v>
      </c>
      <c r="D3749" s="103">
        <v>4</v>
      </c>
      <c r="E3749" s="102" t="s">
        <v>18787</v>
      </c>
      <c r="F3749" s="7" t="s">
        <v>11535</v>
      </c>
    </row>
    <row r="3750" ht="18" customHeight="1" spans="1:6">
      <c r="A3750" s="13" t="s">
        <v>11312</v>
      </c>
      <c r="B3750" s="13" t="s">
        <v>11359</v>
      </c>
      <c r="C3750" s="102" t="s">
        <v>18788</v>
      </c>
      <c r="D3750" s="103">
        <v>3</v>
      </c>
      <c r="E3750" s="102" t="s">
        <v>18789</v>
      </c>
      <c r="F3750" s="7" t="s">
        <v>11535</v>
      </c>
    </row>
    <row r="3751" ht="18" customHeight="1" spans="1:6">
      <c r="A3751" s="13" t="s">
        <v>11312</v>
      </c>
      <c r="B3751" s="13" t="s">
        <v>11359</v>
      </c>
      <c r="C3751" s="102" t="s">
        <v>18790</v>
      </c>
      <c r="D3751" s="103">
        <v>4</v>
      </c>
      <c r="E3751" s="102" t="s">
        <v>18791</v>
      </c>
      <c r="F3751" s="7" t="s">
        <v>11535</v>
      </c>
    </row>
    <row r="3752" ht="18" customHeight="1" spans="1:6">
      <c r="A3752" s="13" t="s">
        <v>11312</v>
      </c>
      <c r="B3752" s="13" t="s">
        <v>11359</v>
      </c>
      <c r="C3752" s="102" t="s">
        <v>18792</v>
      </c>
      <c r="D3752" s="103">
        <v>6</v>
      </c>
      <c r="E3752" s="102" t="s">
        <v>18793</v>
      </c>
      <c r="F3752" s="7" t="s">
        <v>11535</v>
      </c>
    </row>
    <row r="3753" ht="18" customHeight="1" spans="1:6">
      <c r="A3753" s="13" t="s">
        <v>11312</v>
      </c>
      <c r="B3753" s="13" t="s">
        <v>11359</v>
      </c>
      <c r="C3753" s="102" t="s">
        <v>18794</v>
      </c>
      <c r="D3753" s="103">
        <v>6</v>
      </c>
      <c r="E3753" s="102" t="s">
        <v>18795</v>
      </c>
      <c r="F3753" s="7" t="s">
        <v>11535</v>
      </c>
    </row>
    <row r="3754" ht="18" customHeight="1" spans="1:6">
      <c r="A3754" s="13" t="s">
        <v>11312</v>
      </c>
      <c r="B3754" s="13" t="s">
        <v>11359</v>
      </c>
      <c r="C3754" s="102" t="s">
        <v>18796</v>
      </c>
      <c r="D3754" s="103">
        <v>6</v>
      </c>
      <c r="E3754" s="102" t="s">
        <v>18797</v>
      </c>
      <c r="F3754" s="7" t="s">
        <v>11535</v>
      </c>
    </row>
    <row r="3755" ht="18" customHeight="1" spans="1:6">
      <c r="A3755" s="13" t="s">
        <v>11312</v>
      </c>
      <c r="B3755" s="13" t="s">
        <v>11359</v>
      </c>
      <c r="C3755" s="102" t="s">
        <v>18798</v>
      </c>
      <c r="D3755" s="103">
        <v>6</v>
      </c>
      <c r="E3755" s="102" t="s">
        <v>18799</v>
      </c>
      <c r="F3755" s="7" t="s">
        <v>11535</v>
      </c>
    </row>
    <row r="3756" ht="18" customHeight="1" spans="1:6">
      <c r="A3756" s="13" t="s">
        <v>11312</v>
      </c>
      <c r="B3756" s="13" t="s">
        <v>11359</v>
      </c>
      <c r="C3756" s="102" t="s">
        <v>18800</v>
      </c>
      <c r="D3756" s="103">
        <v>4</v>
      </c>
      <c r="E3756" s="102" t="s">
        <v>18801</v>
      </c>
      <c r="F3756" s="7" t="s">
        <v>11535</v>
      </c>
    </row>
    <row r="3757" ht="18" customHeight="1" spans="1:6">
      <c r="A3757" s="13" t="s">
        <v>11312</v>
      </c>
      <c r="B3757" s="13" t="s">
        <v>11359</v>
      </c>
      <c r="C3757" s="102" t="s">
        <v>18802</v>
      </c>
      <c r="D3757" s="103">
        <v>3</v>
      </c>
      <c r="E3757" s="102" t="s">
        <v>18803</v>
      </c>
      <c r="F3757" s="7" t="s">
        <v>11535</v>
      </c>
    </row>
    <row r="3758" ht="18" customHeight="1" spans="1:6">
      <c r="A3758" s="13" t="s">
        <v>11312</v>
      </c>
      <c r="B3758" s="13" t="s">
        <v>11359</v>
      </c>
      <c r="C3758" s="102" t="s">
        <v>18804</v>
      </c>
      <c r="D3758" s="103">
        <v>4</v>
      </c>
      <c r="E3758" s="102" t="s">
        <v>18805</v>
      </c>
      <c r="F3758" s="7" t="s">
        <v>11535</v>
      </c>
    </row>
    <row r="3759" ht="18" customHeight="1" spans="1:6">
      <c r="A3759" s="13" t="s">
        <v>11312</v>
      </c>
      <c r="B3759" s="13" t="s">
        <v>11359</v>
      </c>
      <c r="C3759" s="102" t="s">
        <v>18806</v>
      </c>
      <c r="D3759" s="103">
        <v>6</v>
      </c>
      <c r="E3759" s="102" t="s">
        <v>18807</v>
      </c>
      <c r="F3759" s="7" t="s">
        <v>11535</v>
      </c>
    </row>
    <row r="3760" ht="18" customHeight="1" spans="1:6">
      <c r="A3760" s="13" t="s">
        <v>11312</v>
      </c>
      <c r="B3760" s="13" t="s">
        <v>11359</v>
      </c>
      <c r="C3760" s="102" t="s">
        <v>18808</v>
      </c>
      <c r="D3760" s="103">
        <v>1</v>
      </c>
      <c r="E3760" s="102" t="s">
        <v>18809</v>
      </c>
      <c r="F3760" s="7" t="s">
        <v>11535</v>
      </c>
    </row>
    <row r="3761" ht="18" customHeight="1" spans="1:6">
      <c r="A3761" s="13" t="s">
        <v>11312</v>
      </c>
      <c r="B3761" s="13" t="s">
        <v>11359</v>
      </c>
      <c r="C3761" s="102" t="s">
        <v>14233</v>
      </c>
      <c r="D3761" s="103">
        <v>3</v>
      </c>
      <c r="E3761" s="102" t="s">
        <v>18647</v>
      </c>
      <c r="F3761" s="7" t="s">
        <v>11535</v>
      </c>
    </row>
    <row r="3762" ht="18" customHeight="1" spans="1:6">
      <c r="A3762" s="13" t="s">
        <v>11312</v>
      </c>
      <c r="B3762" s="13" t="s">
        <v>11359</v>
      </c>
      <c r="C3762" s="102" t="s">
        <v>18810</v>
      </c>
      <c r="D3762" s="103">
        <v>2</v>
      </c>
      <c r="E3762" s="102" t="s">
        <v>18811</v>
      </c>
      <c r="F3762" s="7" t="s">
        <v>11535</v>
      </c>
    </row>
    <row r="3763" ht="18" customHeight="1" spans="1:6">
      <c r="A3763" s="13" t="s">
        <v>11312</v>
      </c>
      <c r="B3763" s="13" t="s">
        <v>11359</v>
      </c>
      <c r="C3763" s="102" t="s">
        <v>18812</v>
      </c>
      <c r="D3763" s="103">
        <v>3</v>
      </c>
      <c r="E3763" s="102" t="s">
        <v>18813</v>
      </c>
      <c r="F3763" s="7" t="s">
        <v>11535</v>
      </c>
    </row>
    <row r="3764" ht="18" customHeight="1" spans="1:6">
      <c r="A3764" s="13" t="s">
        <v>11312</v>
      </c>
      <c r="B3764" s="13" t="s">
        <v>11359</v>
      </c>
      <c r="C3764" s="102" t="s">
        <v>18814</v>
      </c>
      <c r="D3764" s="103">
        <v>3</v>
      </c>
      <c r="E3764" s="102" t="s">
        <v>18815</v>
      </c>
      <c r="F3764" s="7" t="s">
        <v>11535</v>
      </c>
    </row>
    <row r="3765" ht="18" customHeight="1" spans="1:6">
      <c r="A3765" s="13" t="s">
        <v>11312</v>
      </c>
      <c r="B3765" s="13" t="s">
        <v>11359</v>
      </c>
      <c r="C3765" s="102" t="s">
        <v>18816</v>
      </c>
      <c r="D3765" s="103">
        <v>3</v>
      </c>
      <c r="E3765" s="102" t="s">
        <v>18817</v>
      </c>
      <c r="F3765" s="7" t="s">
        <v>11535</v>
      </c>
    </row>
    <row r="3766" ht="18" customHeight="1" spans="1:6">
      <c r="A3766" s="13" t="s">
        <v>11312</v>
      </c>
      <c r="B3766" s="13" t="s">
        <v>11359</v>
      </c>
      <c r="C3766" s="102" t="s">
        <v>18818</v>
      </c>
      <c r="D3766" s="103">
        <v>4</v>
      </c>
      <c r="E3766" s="102" t="s">
        <v>18819</v>
      </c>
      <c r="F3766" s="7" t="s">
        <v>11535</v>
      </c>
    </row>
    <row r="3767" ht="18" customHeight="1" spans="1:6">
      <c r="A3767" s="13" t="s">
        <v>11312</v>
      </c>
      <c r="B3767" s="13" t="s">
        <v>11359</v>
      </c>
      <c r="C3767" s="102" t="s">
        <v>18820</v>
      </c>
      <c r="D3767" s="103">
        <v>6</v>
      </c>
      <c r="E3767" s="102" t="s">
        <v>18821</v>
      </c>
      <c r="F3767" s="7" t="s">
        <v>11535</v>
      </c>
    </row>
    <row r="3768" ht="18" customHeight="1" spans="1:6">
      <c r="A3768" s="13" t="s">
        <v>11312</v>
      </c>
      <c r="B3768" s="13" t="s">
        <v>11359</v>
      </c>
      <c r="C3768" s="102" t="s">
        <v>18822</v>
      </c>
      <c r="D3768" s="103">
        <v>2</v>
      </c>
      <c r="E3768" s="102" t="s">
        <v>18823</v>
      </c>
      <c r="F3768" s="7" t="s">
        <v>11535</v>
      </c>
    </row>
    <row r="3769" ht="18" customHeight="1" spans="1:6">
      <c r="A3769" s="13" t="s">
        <v>11312</v>
      </c>
      <c r="B3769" s="13" t="s">
        <v>11359</v>
      </c>
      <c r="C3769" s="102" t="s">
        <v>18824</v>
      </c>
      <c r="D3769" s="103">
        <v>4</v>
      </c>
      <c r="E3769" s="102" t="s">
        <v>18825</v>
      </c>
      <c r="F3769" s="7" t="s">
        <v>11535</v>
      </c>
    </row>
    <row r="3770" ht="18" customHeight="1" spans="1:6">
      <c r="A3770" s="13" t="s">
        <v>11312</v>
      </c>
      <c r="B3770" s="13" t="s">
        <v>11359</v>
      </c>
      <c r="C3770" s="102" t="s">
        <v>18826</v>
      </c>
      <c r="D3770" s="103">
        <v>5</v>
      </c>
      <c r="E3770" s="102" t="s">
        <v>18827</v>
      </c>
      <c r="F3770" s="7" t="s">
        <v>11535</v>
      </c>
    </row>
    <row r="3771" ht="18" customHeight="1" spans="1:6">
      <c r="A3771" s="13" t="s">
        <v>11312</v>
      </c>
      <c r="B3771" s="13" t="s">
        <v>11359</v>
      </c>
      <c r="C3771" s="102" t="s">
        <v>18828</v>
      </c>
      <c r="D3771" s="103">
        <v>5</v>
      </c>
      <c r="E3771" s="102" t="s">
        <v>18829</v>
      </c>
      <c r="F3771" s="7" t="s">
        <v>11535</v>
      </c>
    </row>
    <row r="3772" ht="18" customHeight="1" spans="1:6">
      <c r="A3772" s="13" t="s">
        <v>11312</v>
      </c>
      <c r="B3772" s="13" t="s">
        <v>11359</v>
      </c>
      <c r="C3772" s="102" t="s">
        <v>18830</v>
      </c>
      <c r="D3772" s="103">
        <v>6</v>
      </c>
      <c r="E3772" s="102" t="s">
        <v>18831</v>
      </c>
      <c r="F3772" s="7" t="s">
        <v>11535</v>
      </c>
    </row>
    <row r="3773" ht="18" customHeight="1" spans="1:6">
      <c r="A3773" s="13" t="s">
        <v>11312</v>
      </c>
      <c r="B3773" s="13" t="s">
        <v>11359</v>
      </c>
      <c r="C3773" s="102" t="s">
        <v>18832</v>
      </c>
      <c r="D3773" s="103">
        <v>2</v>
      </c>
      <c r="E3773" s="102" t="s">
        <v>18833</v>
      </c>
      <c r="F3773" s="7" t="s">
        <v>11535</v>
      </c>
    </row>
    <row r="3774" ht="18" customHeight="1" spans="1:6">
      <c r="A3774" s="13" t="s">
        <v>11312</v>
      </c>
      <c r="B3774" s="13" t="s">
        <v>11359</v>
      </c>
      <c r="C3774" s="102" t="s">
        <v>18834</v>
      </c>
      <c r="D3774" s="103">
        <v>3</v>
      </c>
      <c r="E3774" s="102" t="s">
        <v>18835</v>
      </c>
      <c r="F3774" s="7" t="s">
        <v>11535</v>
      </c>
    </row>
    <row r="3775" ht="18" customHeight="1" spans="1:6">
      <c r="A3775" s="13" t="s">
        <v>11312</v>
      </c>
      <c r="B3775" s="13" t="s">
        <v>11359</v>
      </c>
      <c r="C3775" s="102" t="s">
        <v>11769</v>
      </c>
      <c r="D3775" s="103">
        <v>4</v>
      </c>
      <c r="E3775" s="102" t="s">
        <v>18836</v>
      </c>
      <c r="F3775" s="7" t="s">
        <v>11535</v>
      </c>
    </row>
    <row r="3776" ht="18" customHeight="1" spans="1:6">
      <c r="A3776" s="13" t="s">
        <v>11312</v>
      </c>
      <c r="B3776" s="13" t="s">
        <v>11359</v>
      </c>
      <c r="C3776" s="102" t="s">
        <v>18837</v>
      </c>
      <c r="D3776" s="103">
        <v>4</v>
      </c>
      <c r="E3776" s="102" t="s">
        <v>18838</v>
      </c>
      <c r="F3776" s="7" t="s">
        <v>11535</v>
      </c>
    </row>
    <row r="3777" ht="18" customHeight="1" spans="1:6">
      <c r="A3777" s="13" t="s">
        <v>11312</v>
      </c>
      <c r="B3777" s="13" t="s">
        <v>11359</v>
      </c>
      <c r="C3777" s="102" t="s">
        <v>18839</v>
      </c>
      <c r="D3777" s="103">
        <v>2</v>
      </c>
      <c r="E3777" s="102" t="s">
        <v>18840</v>
      </c>
      <c r="F3777" s="7" t="s">
        <v>11535</v>
      </c>
    </row>
    <row r="3778" ht="18" customHeight="1" spans="1:6">
      <c r="A3778" s="13" t="s">
        <v>11312</v>
      </c>
      <c r="B3778" s="13" t="s">
        <v>11359</v>
      </c>
      <c r="C3778" s="102" t="s">
        <v>18841</v>
      </c>
      <c r="D3778" s="103">
        <v>3</v>
      </c>
      <c r="E3778" s="102" t="s">
        <v>18842</v>
      </c>
      <c r="F3778" s="7" t="s">
        <v>11535</v>
      </c>
    </row>
    <row r="3779" ht="18" customHeight="1" spans="1:6">
      <c r="A3779" s="13" t="s">
        <v>11312</v>
      </c>
      <c r="B3779" s="13" t="s">
        <v>11359</v>
      </c>
      <c r="C3779" s="102" t="s">
        <v>18843</v>
      </c>
      <c r="D3779" s="103">
        <v>4</v>
      </c>
      <c r="E3779" s="102" t="s">
        <v>18844</v>
      </c>
      <c r="F3779" s="7" t="s">
        <v>11535</v>
      </c>
    </row>
    <row r="3780" ht="18" customHeight="1" spans="1:6">
      <c r="A3780" s="13" t="s">
        <v>11312</v>
      </c>
      <c r="B3780" s="13" t="s">
        <v>11359</v>
      </c>
      <c r="C3780" s="102" t="s">
        <v>18845</v>
      </c>
      <c r="D3780" s="103">
        <v>1</v>
      </c>
      <c r="E3780" s="102" t="s">
        <v>18846</v>
      </c>
      <c r="F3780" s="7" t="s">
        <v>11535</v>
      </c>
    </row>
    <row r="3781" ht="18" customHeight="1" spans="1:6">
      <c r="A3781" s="13" t="s">
        <v>11312</v>
      </c>
      <c r="B3781" s="13" t="s">
        <v>11359</v>
      </c>
      <c r="C3781" s="102" t="s">
        <v>18847</v>
      </c>
      <c r="D3781" s="103">
        <v>1</v>
      </c>
      <c r="E3781" s="102" t="s">
        <v>18848</v>
      </c>
      <c r="F3781" s="7" t="s">
        <v>11535</v>
      </c>
    </row>
    <row r="3782" ht="18" customHeight="1" spans="1:6">
      <c r="A3782" s="13" t="s">
        <v>11312</v>
      </c>
      <c r="B3782" s="13" t="s">
        <v>11359</v>
      </c>
      <c r="C3782" s="102" t="s">
        <v>18849</v>
      </c>
      <c r="D3782" s="103">
        <v>3</v>
      </c>
      <c r="E3782" s="102" t="s">
        <v>18850</v>
      </c>
      <c r="F3782" s="7" t="s">
        <v>11535</v>
      </c>
    </row>
    <row r="3783" ht="18" customHeight="1" spans="1:6">
      <c r="A3783" s="13" t="s">
        <v>11312</v>
      </c>
      <c r="B3783" s="13" t="s">
        <v>11359</v>
      </c>
      <c r="C3783" s="102" t="s">
        <v>18851</v>
      </c>
      <c r="D3783" s="103">
        <v>3</v>
      </c>
      <c r="E3783" s="102" t="s">
        <v>18852</v>
      </c>
      <c r="F3783" s="7" t="s">
        <v>11535</v>
      </c>
    </row>
    <row r="3784" ht="18" customHeight="1" spans="1:6">
      <c r="A3784" s="13" t="s">
        <v>11312</v>
      </c>
      <c r="B3784" s="13" t="s">
        <v>11359</v>
      </c>
      <c r="C3784" s="102" t="s">
        <v>18853</v>
      </c>
      <c r="D3784" s="103">
        <v>2</v>
      </c>
      <c r="E3784" s="102" t="s">
        <v>18854</v>
      </c>
      <c r="F3784" s="7" t="s">
        <v>11535</v>
      </c>
    </row>
    <row r="3785" ht="18" customHeight="1" spans="1:6">
      <c r="A3785" s="13" t="s">
        <v>11312</v>
      </c>
      <c r="B3785" s="13" t="s">
        <v>11359</v>
      </c>
      <c r="C3785" s="102" t="s">
        <v>18855</v>
      </c>
      <c r="D3785" s="103">
        <v>1</v>
      </c>
      <c r="E3785" s="102" t="s">
        <v>18856</v>
      </c>
      <c r="F3785" s="7" t="s">
        <v>11535</v>
      </c>
    </row>
    <row r="3786" ht="18" customHeight="1" spans="1:6">
      <c r="A3786" s="13" t="s">
        <v>11312</v>
      </c>
      <c r="B3786" s="13" t="s">
        <v>11359</v>
      </c>
      <c r="C3786" s="102" t="s">
        <v>18857</v>
      </c>
      <c r="D3786" s="103">
        <v>5</v>
      </c>
      <c r="E3786" s="102" t="s">
        <v>18858</v>
      </c>
      <c r="F3786" s="7" t="s">
        <v>11535</v>
      </c>
    </row>
    <row r="3787" ht="18" customHeight="1" spans="1:6">
      <c r="A3787" s="13" t="s">
        <v>11312</v>
      </c>
      <c r="B3787" s="13" t="s">
        <v>11359</v>
      </c>
      <c r="C3787" s="102" t="s">
        <v>18859</v>
      </c>
      <c r="D3787" s="103">
        <v>2</v>
      </c>
      <c r="E3787" s="102" t="s">
        <v>18860</v>
      </c>
      <c r="F3787" s="7" t="s">
        <v>11535</v>
      </c>
    </row>
    <row r="3788" ht="18" customHeight="1" spans="1:6">
      <c r="A3788" s="13" t="s">
        <v>11312</v>
      </c>
      <c r="B3788" s="13" t="s">
        <v>11359</v>
      </c>
      <c r="C3788" s="102" t="s">
        <v>18861</v>
      </c>
      <c r="D3788" s="103">
        <v>2</v>
      </c>
      <c r="E3788" s="102" t="s">
        <v>18862</v>
      </c>
      <c r="F3788" s="7" t="s">
        <v>11535</v>
      </c>
    </row>
    <row r="3789" ht="18" customHeight="1" spans="1:6">
      <c r="A3789" s="13" t="s">
        <v>11312</v>
      </c>
      <c r="B3789" s="13" t="s">
        <v>11359</v>
      </c>
      <c r="C3789" s="102" t="s">
        <v>18863</v>
      </c>
      <c r="D3789" s="103">
        <v>5</v>
      </c>
      <c r="E3789" s="102" t="s">
        <v>18864</v>
      </c>
      <c r="F3789" s="7" t="s">
        <v>11535</v>
      </c>
    </row>
    <row r="3790" ht="18" customHeight="1" spans="1:6">
      <c r="A3790" s="13" t="s">
        <v>11312</v>
      </c>
      <c r="B3790" s="13" t="s">
        <v>11359</v>
      </c>
      <c r="C3790" s="102" t="s">
        <v>18865</v>
      </c>
      <c r="D3790" s="103">
        <v>7</v>
      </c>
      <c r="E3790" s="102" t="s">
        <v>18866</v>
      </c>
      <c r="F3790" s="7" t="s">
        <v>11535</v>
      </c>
    </row>
    <row r="3791" ht="18" customHeight="1" spans="1:6">
      <c r="A3791" s="13" t="s">
        <v>11312</v>
      </c>
      <c r="B3791" s="13" t="s">
        <v>11359</v>
      </c>
      <c r="C3791" s="102" t="s">
        <v>18867</v>
      </c>
      <c r="D3791" s="103">
        <v>4</v>
      </c>
      <c r="E3791" s="102" t="s">
        <v>18868</v>
      </c>
      <c r="F3791" s="7" t="s">
        <v>11535</v>
      </c>
    </row>
    <row r="3792" ht="18" customHeight="1" spans="1:6">
      <c r="A3792" s="13" t="s">
        <v>11312</v>
      </c>
      <c r="B3792" s="13" t="s">
        <v>11359</v>
      </c>
      <c r="C3792" s="102" t="s">
        <v>18869</v>
      </c>
      <c r="D3792" s="103">
        <v>3</v>
      </c>
      <c r="E3792" s="102" t="s">
        <v>18870</v>
      </c>
      <c r="F3792" s="7" t="s">
        <v>11535</v>
      </c>
    </row>
    <row r="3793" ht="18" customHeight="1" spans="1:6">
      <c r="A3793" s="13" t="s">
        <v>11312</v>
      </c>
      <c r="B3793" s="13" t="s">
        <v>11359</v>
      </c>
      <c r="C3793" s="102" t="s">
        <v>18871</v>
      </c>
      <c r="D3793" s="103">
        <v>2</v>
      </c>
      <c r="E3793" s="102" t="s">
        <v>18872</v>
      </c>
      <c r="F3793" s="7" t="s">
        <v>11535</v>
      </c>
    </row>
    <row r="3794" ht="18" customHeight="1" spans="1:6">
      <c r="A3794" s="13" t="s">
        <v>11312</v>
      </c>
      <c r="B3794" s="13" t="s">
        <v>11359</v>
      </c>
      <c r="C3794" s="102" t="s">
        <v>18873</v>
      </c>
      <c r="D3794" s="103">
        <v>4</v>
      </c>
      <c r="E3794" s="102" t="s">
        <v>18874</v>
      </c>
      <c r="F3794" s="7" t="s">
        <v>11535</v>
      </c>
    </row>
    <row r="3795" ht="18" customHeight="1" spans="1:6">
      <c r="A3795" s="13" t="s">
        <v>11312</v>
      </c>
      <c r="B3795" s="13" t="s">
        <v>11359</v>
      </c>
      <c r="C3795" s="102" t="s">
        <v>18875</v>
      </c>
      <c r="D3795" s="103">
        <v>7</v>
      </c>
      <c r="E3795" s="102" t="s">
        <v>18876</v>
      </c>
      <c r="F3795" s="7" t="s">
        <v>11535</v>
      </c>
    </row>
    <row r="3796" ht="18" customHeight="1" spans="1:6">
      <c r="A3796" s="13" t="s">
        <v>11312</v>
      </c>
      <c r="B3796" s="13" t="s">
        <v>11359</v>
      </c>
      <c r="C3796" s="102" t="s">
        <v>18877</v>
      </c>
      <c r="D3796" s="103">
        <v>3</v>
      </c>
      <c r="E3796" s="102" t="s">
        <v>18878</v>
      </c>
      <c r="F3796" s="7" t="s">
        <v>11535</v>
      </c>
    </row>
    <row r="3797" ht="18" customHeight="1" spans="1:6">
      <c r="A3797" s="13" t="s">
        <v>11312</v>
      </c>
      <c r="B3797" s="13" t="s">
        <v>11359</v>
      </c>
      <c r="C3797" s="102" t="s">
        <v>18879</v>
      </c>
      <c r="D3797" s="103">
        <v>5</v>
      </c>
      <c r="E3797" s="102" t="s">
        <v>18880</v>
      </c>
      <c r="F3797" s="7" t="s">
        <v>11535</v>
      </c>
    </row>
    <row r="3798" ht="18" customHeight="1" spans="1:6">
      <c r="A3798" s="13" t="s">
        <v>11312</v>
      </c>
      <c r="B3798" s="13" t="s">
        <v>11359</v>
      </c>
      <c r="C3798" s="102" t="s">
        <v>18881</v>
      </c>
      <c r="D3798" s="103">
        <v>4</v>
      </c>
      <c r="E3798" s="102" t="s">
        <v>18882</v>
      </c>
      <c r="F3798" s="7" t="s">
        <v>11535</v>
      </c>
    </row>
    <row r="3799" ht="18" customHeight="1" spans="1:6">
      <c r="A3799" s="13" t="s">
        <v>11312</v>
      </c>
      <c r="B3799" s="13" t="s">
        <v>11359</v>
      </c>
      <c r="C3799" s="102" t="s">
        <v>18883</v>
      </c>
      <c r="D3799" s="103">
        <v>1</v>
      </c>
      <c r="E3799" s="102" t="s">
        <v>18884</v>
      </c>
      <c r="F3799" s="7" t="s">
        <v>11535</v>
      </c>
    </row>
    <row r="3800" ht="18" customHeight="1" spans="1:6">
      <c r="A3800" s="13" t="s">
        <v>11312</v>
      </c>
      <c r="B3800" s="13" t="s">
        <v>11359</v>
      </c>
      <c r="C3800" s="102" t="s">
        <v>18687</v>
      </c>
      <c r="D3800" s="103">
        <v>5</v>
      </c>
      <c r="E3800" s="102" t="s">
        <v>18885</v>
      </c>
      <c r="F3800" s="7" t="s">
        <v>11535</v>
      </c>
    </row>
    <row r="3801" ht="18" customHeight="1" spans="1:6">
      <c r="A3801" s="13" t="s">
        <v>11312</v>
      </c>
      <c r="B3801" s="13" t="s">
        <v>11359</v>
      </c>
      <c r="C3801" s="102" t="s">
        <v>18886</v>
      </c>
      <c r="D3801" s="103">
        <v>5</v>
      </c>
      <c r="E3801" s="102" t="s">
        <v>18887</v>
      </c>
      <c r="F3801" s="7" t="s">
        <v>11535</v>
      </c>
    </row>
    <row r="3802" ht="18" customHeight="1" spans="1:6">
      <c r="A3802" s="13" t="s">
        <v>11312</v>
      </c>
      <c r="B3802" s="13" t="s">
        <v>11359</v>
      </c>
      <c r="C3802" s="102" t="s">
        <v>13248</v>
      </c>
      <c r="D3802" s="103">
        <v>5</v>
      </c>
      <c r="E3802" s="102" t="s">
        <v>18888</v>
      </c>
      <c r="F3802" s="7" t="s">
        <v>11535</v>
      </c>
    </row>
    <row r="3803" ht="18" customHeight="1" spans="1:6">
      <c r="A3803" s="13" t="s">
        <v>11312</v>
      </c>
      <c r="B3803" s="13" t="s">
        <v>11359</v>
      </c>
      <c r="C3803" s="102" t="s">
        <v>18889</v>
      </c>
      <c r="D3803" s="103">
        <v>5</v>
      </c>
      <c r="E3803" s="102" t="s">
        <v>18890</v>
      </c>
      <c r="F3803" s="7" t="s">
        <v>11535</v>
      </c>
    </row>
    <row r="3804" ht="18" customHeight="1" spans="1:6">
      <c r="A3804" s="13" t="s">
        <v>11312</v>
      </c>
      <c r="B3804" s="13" t="s">
        <v>18891</v>
      </c>
      <c r="C3804" s="100" t="s">
        <v>18892</v>
      </c>
      <c r="D3804" s="13">
        <v>1</v>
      </c>
      <c r="E3804" s="100" t="s">
        <v>18893</v>
      </c>
      <c r="F3804" s="7" t="s">
        <v>11535</v>
      </c>
    </row>
    <row r="3805" ht="18" customHeight="1" spans="1:6">
      <c r="A3805" s="13" t="s">
        <v>11312</v>
      </c>
      <c r="B3805" s="13" t="s">
        <v>18891</v>
      </c>
      <c r="C3805" s="100" t="s">
        <v>18894</v>
      </c>
      <c r="D3805" s="13">
        <v>1</v>
      </c>
      <c r="E3805" s="100" t="s">
        <v>18895</v>
      </c>
      <c r="F3805" s="7" t="s">
        <v>11535</v>
      </c>
    </row>
    <row r="3806" ht="18" customHeight="1" spans="1:6">
      <c r="A3806" s="13" t="s">
        <v>11312</v>
      </c>
      <c r="B3806" s="13" t="s">
        <v>18891</v>
      </c>
      <c r="C3806" s="100" t="s">
        <v>1809</v>
      </c>
      <c r="D3806" s="13">
        <v>3</v>
      </c>
      <c r="E3806" s="100" t="s">
        <v>18896</v>
      </c>
      <c r="F3806" s="7" t="s">
        <v>11535</v>
      </c>
    </row>
    <row r="3807" ht="18" customHeight="1" spans="1:6">
      <c r="A3807" s="13" t="s">
        <v>11312</v>
      </c>
      <c r="B3807" s="13" t="s">
        <v>18891</v>
      </c>
      <c r="C3807" s="100" t="s">
        <v>18897</v>
      </c>
      <c r="D3807" s="13">
        <v>1</v>
      </c>
      <c r="E3807" s="100" t="s">
        <v>18898</v>
      </c>
      <c r="F3807" s="7" t="s">
        <v>11535</v>
      </c>
    </row>
    <row r="3808" ht="18" customHeight="1" spans="1:6">
      <c r="A3808" s="13" t="s">
        <v>11312</v>
      </c>
      <c r="B3808" s="13" t="s">
        <v>18891</v>
      </c>
      <c r="C3808" s="100" t="s">
        <v>18899</v>
      </c>
      <c r="D3808" s="13">
        <v>6</v>
      </c>
      <c r="E3808" s="100" t="s">
        <v>18900</v>
      </c>
      <c r="F3808" s="7" t="s">
        <v>11535</v>
      </c>
    </row>
    <row r="3809" ht="18" customHeight="1" spans="1:6">
      <c r="A3809" s="13" t="s">
        <v>11312</v>
      </c>
      <c r="B3809" s="13" t="s">
        <v>18891</v>
      </c>
      <c r="C3809" s="100" t="s">
        <v>18747</v>
      </c>
      <c r="D3809" s="13">
        <v>4</v>
      </c>
      <c r="E3809" s="100" t="s">
        <v>18748</v>
      </c>
      <c r="F3809" s="7" t="s">
        <v>11535</v>
      </c>
    </row>
    <row r="3810" ht="18" customHeight="1" spans="1:6">
      <c r="A3810" s="13" t="s">
        <v>11312</v>
      </c>
      <c r="B3810" s="13" t="s">
        <v>18891</v>
      </c>
      <c r="C3810" s="100" t="s">
        <v>18901</v>
      </c>
      <c r="D3810" s="13">
        <v>4</v>
      </c>
      <c r="E3810" s="100" t="s">
        <v>18902</v>
      </c>
      <c r="F3810" s="7" t="s">
        <v>11535</v>
      </c>
    </row>
    <row r="3811" ht="18" customHeight="1" spans="1:6">
      <c r="A3811" s="13" t="s">
        <v>11312</v>
      </c>
      <c r="B3811" s="13" t="s">
        <v>18891</v>
      </c>
      <c r="C3811" s="100" t="s">
        <v>18903</v>
      </c>
      <c r="D3811" s="13">
        <v>4</v>
      </c>
      <c r="E3811" s="100" t="s">
        <v>18904</v>
      </c>
      <c r="F3811" s="7" t="s">
        <v>11535</v>
      </c>
    </row>
    <row r="3812" ht="18" customHeight="1" spans="1:6">
      <c r="A3812" s="13" t="s">
        <v>11312</v>
      </c>
      <c r="B3812" s="13" t="s">
        <v>18891</v>
      </c>
      <c r="C3812" s="100" t="s">
        <v>18905</v>
      </c>
      <c r="D3812" s="13">
        <v>1</v>
      </c>
      <c r="E3812" s="100" t="s">
        <v>18906</v>
      </c>
      <c r="F3812" s="7" t="s">
        <v>11535</v>
      </c>
    </row>
    <row r="3813" ht="18" customHeight="1" spans="1:6">
      <c r="A3813" s="13" t="s">
        <v>11312</v>
      </c>
      <c r="B3813" s="13" t="s">
        <v>18891</v>
      </c>
      <c r="C3813" s="100" t="s">
        <v>18907</v>
      </c>
      <c r="D3813" s="13">
        <v>1</v>
      </c>
      <c r="E3813" s="100" t="s">
        <v>18908</v>
      </c>
      <c r="F3813" s="7" t="s">
        <v>11535</v>
      </c>
    </row>
    <row r="3814" ht="18" customHeight="1" spans="1:6">
      <c r="A3814" s="13" t="s">
        <v>11312</v>
      </c>
      <c r="B3814" s="13" t="s">
        <v>18891</v>
      </c>
      <c r="C3814" s="100" t="s">
        <v>18909</v>
      </c>
      <c r="D3814" s="13">
        <v>2</v>
      </c>
      <c r="E3814" s="100" t="s">
        <v>18910</v>
      </c>
      <c r="F3814" s="7" t="s">
        <v>11535</v>
      </c>
    </row>
    <row r="3815" ht="18" customHeight="1" spans="1:6">
      <c r="A3815" s="13" t="s">
        <v>11312</v>
      </c>
      <c r="B3815" s="13" t="s">
        <v>18891</v>
      </c>
      <c r="C3815" s="100" t="s">
        <v>18911</v>
      </c>
      <c r="D3815" s="13">
        <v>1</v>
      </c>
      <c r="E3815" s="100" t="s">
        <v>18912</v>
      </c>
      <c r="F3815" s="7" t="s">
        <v>11535</v>
      </c>
    </row>
    <row r="3816" ht="18" customHeight="1" spans="1:6">
      <c r="A3816" s="13" t="s">
        <v>11312</v>
      </c>
      <c r="B3816" s="13" t="s">
        <v>18891</v>
      </c>
      <c r="C3816" s="100" t="s">
        <v>18913</v>
      </c>
      <c r="D3816" s="13">
        <v>3</v>
      </c>
      <c r="E3816" s="100" t="s">
        <v>18914</v>
      </c>
      <c r="F3816" s="7" t="s">
        <v>11535</v>
      </c>
    </row>
    <row r="3817" ht="18" customHeight="1" spans="1:6">
      <c r="A3817" s="13" t="s">
        <v>11312</v>
      </c>
      <c r="B3817" s="13" t="s">
        <v>18891</v>
      </c>
      <c r="C3817" s="23" t="s">
        <v>18915</v>
      </c>
      <c r="D3817" s="13">
        <v>4</v>
      </c>
      <c r="E3817" s="217" t="s">
        <v>18916</v>
      </c>
      <c r="F3817" s="7" t="s">
        <v>11535</v>
      </c>
    </row>
    <row r="3818" ht="18" customHeight="1" spans="1:6">
      <c r="A3818" s="13" t="s">
        <v>11312</v>
      </c>
      <c r="B3818" s="13" t="s">
        <v>18917</v>
      </c>
      <c r="C3818" s="13" t="s">
        <v>18918</v>
      </c>
      <c r="D3818" s="13">
        <v>2</v>
      </c>
      <c r="E3818" s="179" t="s">
        <v>18919</v>
      </c>
      <c r="F3818" s="7" t="s">
        <v>11535</v>
      </c>
    </row>
    <row r="3819" ht="18" customHeight="1" spans="1:6">
      <c r="A3819" s="13" t="s">
        <v>11312</v>
      </c>
      <c r="B3819" s="13" t="s">
        <v>18917</v>
      </c>
      <c r="C3819" s="13" t="s">
        <v>18920</v>
      </c>
      <c r="D3819" s="13">
        <v>1</v>
      </c>
      <c r="E3819" s="179" t="s">
        <v>18921</v>
      </c>
      <c r="F3819" s="7" t="s">
        <v>11535</v>
      </c>
    </row>
    <row r="3820" ht="18" customHeight="1" spans="1:6">
      <c r="A3820" s="13" t="s">
        <v>11312</v>
      </c>
      <c r="B3820" s="13" t="s">
        <v>18917</v>
      </c>
      <c r="C3820" s="13" t="s">
        <v>18922</v>
      </c>
      <c r="D3820" s="13">
        <v>5</v>
      </c>
      <c r="E3820" s="179" t="s">
        <v>18923</v>
      </c>
      <c r="F3820" s="7" t="s">
        <v>11535</v>
      </c>
    </row>
    <row r="3821" ht="18" customHeight="1" spans="1:6">
      <c r="A3821" s="13" t="s">
        <v>11312</v>
      </c>
      <c r="B3821" s="13" t="s">
        <v>18917</v>
      </c>
      <c r="C3821" s="13" t="s">
        <v>4144</v>
      </c>
      <c r="D3821" s="13">
        <v>2</v>
      </c>
      <c r="E3821" s="13" t="s">
        <v>18924</v>
      </c>
      <c r="F3821" s="7" t="s">
        <v>11535</v>
      </c>
    </row>
    <row r="3822" ht="18" customHeight="1" spans="1:6">
      <c r="A3822" s="13" t="s">
        <v>11388</v>
      </c>
      <c r="B3822" s="13"/>
      <c r="C3822" s="13">
        <v>243</v>
      </c>
      <c r="D3822" s="13">
        <v>868</v>
      </c>
      <c r="E3822" s="13"/>
      <c r="F3822" s="5"/>
    </row>
    <row r="3823" ht="18" customHeight="1" spans="1:6">
      <c r="A3823" s="13" t="s">
        <v>11389</v>
      </c>
      <c r="B3823" s="13" t="s">
        <v>11405</v>
      </c>
      <c r="C3823" s="13" t="s">
        <v>18925</v>
      </c>
      <c r="D3823" s="13">
        <v>4</v>
      </c>
      <c r="E3823" s="179" t="s">
        <v>18926</v>
      </c>
      <c r="F3823" s="7" t="s">
        <v>11535</v>
      </c>
    </row>
    <row r="3824" ht="18" customHeight="1" spans="1:6">
      <c r="A3824" s="13" t="s">
        <v>11389</v>
      </c>
      <c r="B3824" s="13" t="s">
        <v>11405</v>
      </c>
      <c r="C3824" s="13" t="s">
        <v>18927</v>
      </c>
      <c r="D3824" s="13">
        <v>4</v>
      </c>
      <c r="E3824" s="179" t="s">
        <v>18928</v>
      </c>
      <c r="F3824" s="7" t="s">
        <v>11535</v>
      </c>
    </row>
    <row r="3825" ht="18" customHeight="1" spans="1:6">
      <c r="A3825" s="13" t="s">
        <v>11389</v>
      </c>
      <c r="B3825" s="13" t="s">
        <v>11405</v>
      </c>
      <c r="C3825" s="13" t="s">
        <v>18929</v>
      </c>
      <c r="D3825" s="13">
        <v>4</v>
      </c>
      <c r="E3825" s="13" t="s">
        <v>18930</v>
      </c>
      <c r="F3825" s="7" t="s">
        <v>11535</v>
      </c>
    </row>
    <row r="3826" ht="18" customHeight="1" spans="1:6">
      <c r="A3826" s="13" t="s">
        <v>11389</v>
      </c>
      <c r="B3826" s="5" t="s">
        <v>11412</v>
      </c>
      <c r="C3826" s="13" t="s">
        <v>18931</v>
      </c>
      <c r="D3826" s="13">
        <v>1</v>
      </c>
      <c r="E3826" s="14" t="s">
        <v>18932</v>
      </c>
      <c r="F3826" s="7" t="s">
        <v>11535</v>
      </c>
    </row>
    <row r="3827" ht="18" customHeight="1" spans="1:6">
      <c r="A3827" s="13" t="s">
        <v>11389</v>
      </c>
      <c r="B3827" s="13" t="s">
        <v>18933</v>
      </c>
      <c r="C3827" s="13" t="s">
        <v>18934</v>
      </c>
      <c r="D3827" s="13">
        <v>6</v>
      </c>
      <c r="E3827" s="14" t="s">
        <v>18935</v>
      </c>
      <c r="F3827" s="7" t="s">
        <v>11535</v>
      </c>
    </row>
    <row r="3828" ht="18" customHeight="1" spans="1:6">
      <c r="A3828" s="13" t="s">
        <v>11389</v>
      </c>
      <c r="B3828" s="13" t="s">
        <v>18933</v>
      </c>
      <c r="C3828" s="13" t="s">
        <v>18936</v>
      </c>
      <c r="D3828" s="13">
        <v>4</v>
      </c>
      <c r="E3828" s="14" t="s">
        <v>18937</v>
      </c>
      <c r="F3828" s="7" t="s">
        <v>11535</v>
      </c>
    </row>
    <row r="3829" ht="18" customHeight="1" spans="1:6">
      <c r="A3829" s="13" t="s">
        <v>11389</v>
      </c>
      <c r="B3829" s="13" t="s">
        <v>18933</v>
      </c>
      <c r="C3829" s="13" t="s">
        <v>18938</v>
      </c>
      <c r="D3829" s="13">
        <v>2</v>
      </c>
      <c r="E3829" s="14" t="s">
        <v>18939</v>
      </c>
      <c r="F3829" s="7" t="s">
        <v>11535</v>
      </c>
    </row>
    <row r="3830" ht="18" customHeight="1" spans="1:6">
      <c r="A3830" s="13" t="s">
        <v>11389</v>
      </c>
      <c r="B3830" s="13" t="s">
        <v>18933</v>
      </c>
      <c r="C3830" s="13" t="s">
        <v>18940</v>
      </c>
      <c r="D3830" s="13">
        <v>1</v>
      </c>
      <c r="E3830" s="14" t="s">
        <v>18941</v>
      </c>
      <c r="F3830" s="7" t="s">
        <v>11535</v>
      </c>
    </row>
    <row r="3831" ht="18" customHeight="1" spans="1:6">
      <c r="A3831" s="13" t="s">
        <v>11389</v>
      </c>
      <c r="B3831" s="13" t="s">
        <v>18933</v>
      </c>
      <c r="C3831" s="13" t="s">
        <v>18942</v>
      </c>
      <c r="D3831" s="13">
        <v>4</v>
      </c>
      <c r="E3831" s="14" t="s">
        <v>18943</v>
      </c>
      <c r="F3831" s="7" t="s">
        <v>11535</v>
      </c>
    </row>
    <row r="3832" ht="18" customHeight="1" spans="1:6">
      <c r="A3832" s="13" t="s">
        <v>11389</v>
      </c>
      <c r="B3832" s="13" t="s">
        <v>18933</v>
      </c>
      <c r="C3832" s="13" t="s">
        <v>18944</v>
      </c>
      <c r="D3832" s="13">
        <v>3</v>
      </c>
      <c r="E3832" s="14" t="s">
        <v>18945</v>
      </c>
      <c r="F3832" s="7" t="s">
        <v>11535</v>
      </c>
    </row>
    <row r="3833" ht="18" customHeight="1" spans="1:6">
      <c r="A3833" s="13" t="s">
        <v>11389</v>
      </c>
      <c r="B3833" s="13" t="s">
        <v>18933</v>
      </c>
      <c r="C3833" s="13" t="s">
        <v>18946</v>
      </c>
      <c r="D3833" s="13">
        <v>2</v>
      </c>
      <c r="E3833" s="14" t="s">
        <v>18947</v>
      </c>
      <c r="F3833" s="7" t="s">
        <v>11535</v>
      </c>
    </row>
    <row r="3834" ht="18" customHeight="1" spans="1:6">
      <c r="A3834" s="13" t="s">
        <v>11389</v>
      </c>
      <c r="B3834" s="13" t="s">
        <v>18933</v>
      </c>
      <c r="C3834" s="13" t="s">
        <v>18948</v>
      </c>
      <c r="D3834" s="13">
        <v>3</v>
      </c>
      <c r="E3834" s="14" t="s">
        <v>18949</v>
      </c>
      <c r="F3834" s="7" t="s">
        <v>11535</v>
      </c>
    </row>
    <row r="3835" ht="18" customHeight="1" spans="1:6">
      <c r="A3835" s="13" t="s">
        <v>11389</v>
      </c>
      <c r="B3835" s="13" t="s">
        <v>18933</v>
      </c>
      <c r="C3835" s="13" t="s">
        <v>18950</v>
      </c>
      <c r="D3835" s="13">
        <v>1</v>
      </c>
      <c r="E3835" s="14" t="s">
        <v>18951</v>
      </c>
      <c r="F3835" s="7" t="s">
        <v>11535</v>
      </c>
    </row>
    <row r="3836" ht="18" customHeight="1" spans="1:6">
      <c r="A3836" s="13" t="s">
        <v>11389</v>
      </c>
      <c r="B3836" s="13" t="s">
        <v>18952</v>
      </c>
      <c r="C3836" s="14" t="s">
        <v>18953</v>
      </c>
      <c r="D3836" s="13">
        <v>2</v>
      </c>
      <c r="E3836" s="14" t="s">
        <v>18954</v>
      </c>
      <c r="F3836" s="7" t="s">
        <v>11535</v>
      </c>
    </row>
    <row r="3837" ht="18" customHeight="1" spans="1:6">
      <c r="A3837" s="13" t="s">
        <v>11389</v>
      </c>
      <c r="B3837" s="13" t="s">
        <v>18952</v>
      </c>
      <c r="C3837" s="13" t="s">
        <v>18955</v>
      </c>
      <c r="D3837" s="13">
        <v>1</v>
      </c>
      <c r="E3837" s="14" t="s">
        <v>18956</v>
      </c>
      <c r="F3837" s="7" t="s">
        <v>11535</v>
      </c>
    </row>
    <row r="3838" ht="18" customHeight="1" spans="1:6">
      <c r="A3838" s="13" t="s">
        <v>11389</v>
      </c>
      <c r="B3838" s="13" t="s">
        <v>18952</v>
      </c>
      <c r="C3838" s="13" t="s">
        <v>18957</v>
      </c>
      <c r="D3838" s="13">
        <v>1</v>
      </c>
      <c r="E3838" s="14" t="s">
        <v>18958</v>
      </c>
      <c r="F3838" s="7" t="s">
        <v>11535</v>
      </c>
    </row>
    <row r="3839" ht="18" customHeight="1" spans="1:6">
      <c r="A3839" s="13" t="s">
        <v>11389</v>
      </c>
      <c r="B3839" s="13" t="s">
        <v>18952</v>
      </c>
      <c r="C3839" s="13" t="s">
        <v>18959</v>
      </c>
      <c r="D3839" s="13">
        <v>2</v>
      </c>
      <c r="E3839" s="14" t="s">
        <v>18960</v>
      </c>
      <c r="F3839" s="7" t="s">
        <v>11535</v>
      </c>
    </row>
    <row r="3840" ht="18" customHeight="1" spans="1:6">
      <c r="A3840" s="13" t="s">
        <v>11389</v>
      </c>
      <c r="B3840" s="13" t="s">
        <v>18952</v>
      </c>
      <c r="C3840" s="13" t="s">
        <v>18961</v>
      </c>
      <c r="D3840" s="13">
        <v>1</v>
      </c>
      <c r="E3840" s="14" t="s">
        <v>18962</v>
      </c>
      <c r="F3840" s="7" t="s">
        <v>11535</v>
      </c>
    </row>
    <row r="3841" ht="18" customHeight="1" spans="1:6">
      <c r="A3841" s="13" t="s">
        <v>11389</v>
      </c>
      <c r="B3841" s="13" t="s">
        <v>18952</v>
      </c>
      <c r="C3841" s="13" t="s">
        <v>18963</v>
      </c>
      <c r="D3841" s="13">
        <v>1</v>
      </c>
      <c r="E3841" s="14" t="s">
        <v>18964</v>
      </c>
      <c r="F3841" s="7" t="s">
        <v>11535</v>
      </c>
    </row>
    <row r="3842" ht="18" customHeight="1" spans="1:6">
      <c r="A3842" s="13" t="s">
        <v>11389</v>
      </c>
      <c r="B3842" s="13" t="s">
        <v>18952</v>
      </c>
      <c r="C3842" s="13" t="s">
        <v>18965</v>
      </c>
      <c r="D3842" s="13">
        <v>1</v>
      </c>
      <c r="E3842" s="14" t="s">
        <v>18966</v>
      </c>
      <c r="F3842" s="7" t="s">
        <v>11535</v>
      </c>
    </row>
    <row r="3843" ht="18" customHeight="1" spans="1:6">
      <c r="A3843" s="13" t="s">
        <v>11389</v>
      </c>
      <c r="B3843" s="13" t="s">
        <v>18952</v>
      </c>
      <c r="C3843" s="13" t="s">
        <v>18967</v>
      </c>
      <c r="D3843" s="13">
        <v>1</v>
      </c>
      <c r="E3843" s="14" t="s">
        <v>18968</v>
      </c>
      <c r="F3843" s="7" t="s">
        <v>11535</v>
      </c>
    </row>
    <row r="3844" ht="18" customHeight="1" spans="1:6">
      <c r="A3844" s="13" t="s">
        <v>11389</v>
      </c>
      <c r="B3844" s="13" t="s">
        <v>18952</v>
      </c>
      <c r="C3844" s="13" t="s">
        <v>18969</v>
      </c>
      <c r="D3844" s="13">
        <v>1</v>
      </c>
      <c r="E3844" s="14" t="s">
        <v>18970</v>
      </c>
      <c r="F3844" s="7" t="s">
        <v>11535</v>
      </c>
    </row>
    <row r="3845" ht="18" customHeight="1" spans="1:6">
      <c r="A3845" s="13" t="s">
        <v>11389</v>
      </c>
      <c r="B3845" s="13" t="s">
        <v>18952</v>
      </c>
      <c r="C3845" s="13" t="s">
        <v>18971</v>
      </c>
      <c r="D3845" s="13">
        <v>1</v>
      </c>
      <c r="E3845" s="14" t="s">
        <v>18972</v>
      </c>
      <c r="F3845" s="7" t="s">
        <v>11535</v>
      </c>
    </row>
    <row r="3846" ht="18" customHeight="1" spans="1:6">
      <c r="A3846" s="13" t="s">
        <v>11389</v>
      </c>
      <c r="B3846" s="13" t="s">
        <v>18952</v>
      </c>
      <c r="C3846" s="13" t="s">
        <v>18973</v>
      </c>
      <c r="D3846" s="13">
        <v>4</v>
      </c>
      <c r="E3846" s="14" t="s">
        <v>18974</v>
      </c>
      <c r="F3846" s="7" t="s">
        <v>11535</v>
      </c>
    </row>
    <row r="3847" ht="15" customHeight="1" spans="1:6">
      <c r="A3847" s="13" t="s">
        <v>11389</v>
      </c>
      <c r="B3847" s="13" t="s">
        <v>11412</v>
      </c>
      <c r="C3847" s="13" t="s">
        <v>18975</v>
      </c>
      <c r="D3847" s="13">
        <v>1</v>
      </c>
      <c r="E3847" s="14" t="s">
        <v>18976</v>
      </c>
      <c r="F3847" s="7" t="s">
        <v>11535</v>
      </c>
    </row>
    <row r="3848" ht="16" customHeight="1" spans="1:6">
      <c r="A3848" s="13" t="s">
        <v>11389</v>
      </c>
      <c r="B3848" s="13" t="s">
        <v>18933</v>
      </c>
      <c r="C3848" s="13" t="s">
        <v>18977</v>
      </c>
      <c r="D3848" s="13">
        <v>3</v>
      </c>
      <c r="E3848" s="14" t="s">
        <v>18978</v>
      </c>
      <c r="F3848" s="7" t="s">
        <v>11535</v>
      </c>
    </row>
    <row r="3849" ht="16" customHeight="1" spans="1:6">
      <c r="A3849" s="13" t="s">
        <v>11389</v>
      </c>
      <c r="B3849" s="13" t="s">
        <v>18952</v>
      </c>
      <c r="C3849" s="13" t="s">
        <v>18979</v>
      </c>
      <c r="D3849" s="13">
        <v>2</v>
      </c>
      <c r="E3849" s="14" t="s">
        <v>18980</v>
      </c>
      <c r="F3849" s="7" t="s">
        <v>11535</v>
      </c>
    </row>
    <row r="3850" ht="16" customHeight="1" spans="1:6">
      <c r="A3850" s="13" t="s">
        <v>11389</v>
      </c>
      <c r="B3850" s="13" t="s">
        <v>18933</v>
      </c>
      <c r="C3850" s="13" t="s">
        <v>18981</v>
      </c>
      <c r="D3850" s="13">
        <v>2</v>
      </c>
      <c r="E3850" s="14" t="s">
        <v>18982</v>
      </c>
      <c r="F3850" s="7" t="s">
        <v>11535</v>
      </c>
    </row>
    <row r="3851" ht="16" customHeight="1" spans="1:6">
      <c r="A3851" s="13" t="s">
        <v>11389</v>
      </c>
      <c r="B3851" s="13" t="s">
        <v>18983</v>
      </c>
      <c r="C3851" s="13" t="s">
        <v>18984</v>
      </c>
      <c r="D3851" s="13">
        <v>2</v>
      </c>
      <c r="E3851" s="14" t="s">
        <v>18985</v>
      </c>
      <c r="F3851" s="7" t="s">
        <v>11535</v>
      </c>
    </row>
    <row r="3852" ht="17" customHeight="1" spans="1:6">
      <c r="A3852" s="13" t="s">
        <v>11389</v>
      </c>
      <c r="B3852" s="13" t="s">
        <v>18983</v>
      </c>
      <c r="C3852" s="13" t="s">
        <v>16619</v>
      </c>
      <c r="D3852" s="13">
        <v>2</v>
      </c>
      <c r="E3852" s="14" t="s">
        <v>18986</v>
      </c>
      <c r="F3852" s="7" t="s">
        <v>11535</v>
      </c>
    </row>
    <row r="3853" ht="15" customHeight="1" spans="1:6">
      <c r="A3853" s="13" t="s">
        <v>11389</v>
      </c>
      <c r="B3853" s="13" t="s">
        <v>11434</v>
      </c>
      <c r="C3853" s="13" t="s">
        <v>18987</v>
      </c>
      <c r="D3853" s="13">
        <v>4</v>
      </c>
      <c r="E3853" s="10" t="s">
        <v>18988</v>
      </c>
      <c r="F3853" s="7" t="s">
        <v>11535</v>
      </c>
    </row>
    <row r="3854" ht="15" customHeight="1" spans="1:6">
      <c r="A3854" s="13" t="s">
        <v>11533</v>
      </c>
      <c r="B3854" s="13"/>
      <c r="C3854" s="13">
        <v>31</v>
      </c>
      <c r="D3854" s="13">
        <v>71</v>
      </c>
      <c r="E3854" s="13"/>
      <c r="F3854" s="13"/>
    </row>
  </sheetData>
  <mergeCells count="1">
    <mergeCell ref="A1:F1"/>
  </mergeCells>
  <conditionalFormatting sqref="C211">
    <cfRule type="duplicateValues" dxfId="3" priority="225"/>
  </conditionalFormatting>
  <conditionalFormatting sqref="C212">
    <cfRule type="duplicateValues" dxfId="3" priority="224"/>
  </conditionalFormatting>
  <conditionalFormatting sqref="C213">
    <cfRule type="duplicateValues" dxfId="3" priority="223"/>
  </conditionalFormatting>
  <conditionalFormatting sqref="C214">
    <cfRule type="duplicateValues" dxfId="3" priority="222"/>
  </conditionalFormatting>
  <conditionalFormatting sqref="C215">
    <cfRule type="duplicateValues" dxfId="3" priority="221"/>
  </conditionalFormatting>
  <conditionalFormatting sqref="C216">
    <cfRule type="duplicateValues" dxfId="3" priority="220"/>
  </conditionalFormatting>
  <conditionalFormatting sqref="C217">
    <cfRule type="duplicateValues" dxfId="3" priority="219"/>
  </conditionalFormatting>
  <conditionalFormatting sqref="C218">
    <cfRule type="duplicateValues" dxfId="3" priority="218"/>
  </conditionalFormatting>
  <conditionalFormatting sqref="C219">
    <cfRule type="duplicateValues" dxfId="3" priority="217"/>
  </conditionalFormatting>
  <conditionalFormatting sqref="C220">
    <cfRule type="duplicateValues" dxfId="3" priority="216"/>
  </conditionalFormatting>
  <conditionalFormatting sqref="C221">
    <cfRule type="duplicateValues" dxfId="3" priority="215"/>
  </conditionalFormatting>
  <conditionalFormatting sqref="C222">
    <cfRule type="duplicateValues" dxfId="3" priority="214"/>
  </conditionalFormatting>
  <conditionalFormatting sqref="C223">
    <cfRule type="duplicateValues" dxfId="3" priority="213"/>
  </conditionalFormatting>
  <conditionalFormatting sqref="C224">
    <cfRule type="duplicateValues" dxfId="3" priority="212"/>
  </conditionalFormatting>
  <conditionalFormatting sqref="C225">
    <cfRule type="duplicateValues" dxfId="3" priority="211"/>
  </conditionalFormatting>
  <conditionalFormatting sqref="C226">
    <cfRule type="duplicateValues" dxfId="3" priority="210"/>
  </conditionalFormatting>
  <conditionalFormatting sqref="C227">
    <cfRule type="duplicateValues" dxfId="3" priority="209"/>
  </conditionalFormatting>
  <conditionalFormatting sqref="C228">
    <cfRule type="duplicateValues" dxfId="3" priority="208"/>
  </conditionalFormatting>
  <conditionalFormatting sqref="C229">
    <cfRule type="duplicateValues" dxfId="3" priority="207"/>
  </conditionalFormatting>
  <conditionalFormatting sqref="C230">
    <cfRule type="duplicateValues" dxfId="3" priority="206"/>
  </conditionalFormatting>
  <conditionalFormatting sqref="C231">
    <cfRule type="duplicateValues" dxfId="3" priority="205"/>
  </conditionalFormatting>
  <conditionalFormatting sqref="C232">
    <cfRule type="duplicateValues" dxfId="3" priority="204"/>
  </conditionalFormatting>
  <conditionalFormatting sqref="C235">
    <cfRule type="duplicateValues" dxfId="4" priority="203"/>
  </conditionalFormatting>
  <conditionalFormatting sqref="C292">
    <cfRule type="duplicateValues" dxfId="1" priority="46"/>
    <cfRule type="duplicateValues" dxfId="1" priority="47"/>
  </conditionalFormatting>
  <conditionalFormatting sqref="C293">
    <cfRule type="duplicateValues" dxfId="1" priority="44"/>
    <cfRule type="duplicateValues" dxfId="1" priority="45"/>
  </conditionalFormatting>
  <conditionalFormatting sqref="C305">
    <cfRule type="duplicateValues" dxfId="1" priority="42"/>
  </conditionalFormatting>
  <conditionalFormatting sqref="C309">
    <cfRule type="duplicateValues" dxfId="1" priority="41"/>
  </conditionalFormatting>
  <conditionalFormatting sqref="C315">
    <cfRule type="duplicateValues" dxfId="1" priority="37"/>
  </conditionalFormatting>
  <conditionalFormatting sqref="E315">
    <cfRule type="duplicateValues" dxfId="1" priority="36"/>
  </conditionalFormatting>
  <conditionalFormatting sqref="C322">
    <cfRule type="duplicateValues" dxfId="0" priority="197"/>
    <cfRule type="duplicateValues" dxfId="0" priority="198"/>
    <cfRule type="duplicateValues" dxfId="0" priority="199"/>
  </conditionalFormatting>
  <conditionalFormatting sqref="C323">
    <cfRule type="duplicateValues" dxfId="0" priority="194"/>
    <cfRule type="duplicateValues" dxfId="0" priority="195"/>
    <cfRule type="duplicateValues" dxfId="0" priority="196"/>
  </conditionalFormatting>
  <conditionalFormatting sqref="C324">
    <cfRule type="duplicateValues" dxfId="0" priority="191"/>
    <cfRule type="duplicateValues" dxfId="0" priority="192"/>
    <cfRule type="duplicateValues" dxfId="0" priority="193"/>
  </conditionalFormatting>
  <conditionalFormatting sqref="C325">
    <cfRule type="duplicateValues" dxfId="0" priority="188"/>
    <cfRule type="duplicateValues" dxfId="0" priority="189"/>
    <cfRule type="duplicateValues" dxfId="0" priority="190"/>
  </conditionalFormatting>
  <conditionalFormatting sqref="C326">
    <cfRule type="duplicateValues" dxfId="0" priority="185"/>
    <cfRule type="duplicateValues" dxfId="0" priority="186"/>
    <cfRule type="duplicateValues" dxfId="0" priority="187"/>
  </conditionalFormatting>
  <conditionalFormatting sqref="C327">
    <cfRule type="duplicateValues" dxfId="0" priority="181"/>
    <cfRule type="duplicateValues" dxfId="0" priority="182"/>
    <cfRule type="duplicateValues" dxfId="0" priority="183"/>
    <cfRule type="duplicateValues" dxfId="4" priority="184"/>
  </conditionalFormatting>
  <conditionalFormatting sqref="C333">
    <cfRule type="duplicateValues" dxfId="4" priority="177"/>
  </conditionalFormatting>
  <conditionalFormatting sqref="C336">
    <cfRule type="duplicateValues" dxfId="0" priority="151"/>
    <cfRule type="duplicateValues" dxfId="0" priority="157"/>
    <cfRule type="duplicateValues" dxfId="0" priority="163"/>
    <cfRule type="duplicateValues" dxfId="4" priority="169"/>
  </conditionalFormatting>
  <conditionalFormatting sqref="C337">
    <cfRule type="duplicateValues" dxfId="0" priority="150"/>
    <cfRule type="duplicateValues" dxfId="0" priority="156"/>
    <cfRule type="duplicateValues" dxfId="0" priority="162"/>
    <cfRule type="duplicateValues" dxfId="4" priority="168"/>
  </conditionalFormatting>
  <conditionalFormatting sqref="C338">
    <cfRule type="duplicateValues" dxfId="0" priority="149"/>
    <cfRule type="duplicateValues" dxfId="0" priority="155"/>
    <cfRule type="duplicateValues" dxfId="0" priority="161"/>
    <cfRule type="duplicateValues" dxfId="4" priority="167"/>
  </conditionalFormatting>
  <conditionalFormatting sqref="C339">
    <cfRule type="duplicateValues" dxfId="0" priority="148"/>
    <cfRule type="duplicateValues" dxfId="0" priority="154"/>
    <cfRule type="duplicateValues" dxfId="0" priority="160"/>
    <cfRule type="duplicateValues" dxfId="4" priority="166"/>
  </conditionalFormatting>
  <conditionalFormatting sqref="C340">
    <cfRule type="duplicateValues" dxfId="0" priority="147"/>
    <cfRule type="duplicateValues" dxfId="0" priority="153"/>
    <cfRule type="duplicateValues" dxfId="0" priority="159"/>
    <cfRule type="duplicateValues" dxfId="4" priority="165"/>
  </conditionalFormatting>
  <conditionalFormatting sqref="C341">
    <cfRule type="duplicateValues" dxfId="0" priority="146"/>
    <cfRule type="duplicateValues" dxfId="0" priority="152"/>
    <cfRule type="duplicateValues" dxfId="0" priority="158"/>
    <cfRule type="duplicateValues" dxfId="4" priority="164"/>
  </conditionalFormatting>
  <conditionalFormatting sqref="C346">
    <cfRule type="duplicateValues" dxfId="0" priority="144"/>
  </conditionalFormatting>
  <conditionalFormatting sqref="C352">
    <cfRule type="duplicateValues" dxfId="0" priority="143"/>
  </conditionalFormatting>
  <conditionalFormatting sqref="C353">
    <cfRule type="duplicateValues" dxfId="0" priority="142"/>
  </conditionalFormatting>
  <conditionalFormatting sqref="C354">
    <cfRule type="duplicateValues" dxfId="0" priority="141"/>
  </conditionalFormatting>
  <conditionalFormatting sqref="C355">
    <cfRule type="duplicateValues" dxfId="0" priority="140"/>
  </conditionalFormatting>
  <conditionalFormatting sqref="C356">
    <cfRule type="duplicateValues" dxfId="0" priority="134"/>
    <cfRule type="duplicateValues" dxfId="0" priority="135"/>
    <cfRule type="duplicateValues" dxfId="0" priority="136"/>
    <cfRule type="duplicateValues" dxfId="4" priority="137"/>
    <cfRule type="duplicateValues" priority="138"/>
    <cfRule type="duplicateValues" dxfId="4" priority="139"/>
  </conditionalFormatting>
  <conditionalFormatting sqref="C357">
    <cfRule type="duplicateValues" dxfId="0" priority="108"/>
    <cfRule type="duplicateValues" dxfId="0" priority="113"/>
    <cfRule type="duplicateValues" dxfId="0" priority="118"/>
    <cfRule type="duplicateValues" dxfId="4" priority="123"/>
    <cfRule type="duplicateValues" priority="128"/>
    <cfRule type="duplicateValues" dxfId="4" priority="133"/>
  </conditionalFormatting>
  <conditionalFormatting sqref="C358">
    <cfRule type="duplicateValues" dxfId="0" priority="107"/>
    <cfRule type="duplicateValues" dxfId="0" priority="112"/>
    <cfRule type="duplicateValues" dxfId="0" priority="117"/>
    <cfRule type="duplicateValues" dxfId="4" priority="122"/>
    <cfRule type="duplicateValues" priority="127"/>
    <cfRule type="duplicateValues" dxfId="4" priority="132"/>
  </conditionalFormatting>
  <conditionalFormatting sqref="C359">
    <cfRule type="duplicateValues" dxfId="0" priority="106"/>
    <cfRule type="duplicateValues" dxfId="0" priority="111"/>
    <cfRule type="duplicateValues" dxfId="0" priority="116"/>
    <cfRule type="duplicateValues" dxfId="4" priority="121"/>
    <cfRule type="duplicateValues" priority="126"/>
    <cfRule type="duplicateValues" dxfId="4" priority="131"/>
  </conditionalFormatting>
  <conditionalFormatting sqref="C360">
    <cfRule type="duplicateValues" dxfId="0" priority="105"/>
    <cfRule type="duplicateValues" dxfId="0" priority="110"/>
    <cfRule type="duplicateValues" dxfId="0" priority="115"/>
    <cfRule type="duplicateValues" dxfId="4" priority="120"/>
    <cfRule type="duplicateValues" priority="125"/>
    <cfRule type="duplicateValues" dxfId="4" priority="130"/>
  </conditionalFormatting>
  <conditionalFormatting sqref="C361">
    <cfRule type="duplicateValues" dxfId="0" priority="104"/>
    <cfRule type="duplicateValues" dxfId="0" priority="109"/>
    <cfRule type="duplicateValues" dxfId="0" priority="114"/>
    <cfRule type="duplicateValues" dxfId="4" priority="119"/>
    <cfRule type="duplicateValues" priority="124"/>
    <cfRule type="duplicateValues" dxfId="4" priority="129"/>
  </conditionalFormatting>
  <conditionalFormatting sqref="C394">
    <cfRule type="duplicateValues" dxfId="1" priority="101"/>
    <cfRule type="duplicateValues" dxfId="1" priority="102"/>
    <cfRule type="duplicateValues" dxfId="1" priority="103"/>
  </conditionalFormatting>
  <conditionalFormatting sqref="C395">
    <cfRule type="duplicateValues" dxfId="1" priority="86"/>
    <cfRule type="duplicateValues" dxfId="1" priority="87"/>
    <cfRule type="duplicateValues" dxfId="1" priority="88"/>
  </conditionalFormatting>
  <conditionalFormatting sqref="C397">
    <cfRule type="duplicateValues" dxfId="1" priority="95"/>
    <cfRule type="duplicateValues" dxfId="1" priority="96"/>
    <cfRule type="duplicateValues" dxfId="1" priority="97"/>
  </conditionalFormatting>
  <conditionalFormatting sqref="C401">
    <cfRule type="duplicateValues" dxfId="1" priority="89"/>
    <cfRule type="duplicateValues" dxfId="1" priority="90"/>
    <cfRule type="duplicateValues" dxfId="1" priority="91"/>
  </conditionalFormatting>
  <conditionalFormatting sqref="C565">
    <cfRule type="duplicateValues" dxfId="4" priority="80"/>
    <cfRule type="duplicateValues" priority="81"/>
    <cfRule type="duplicateValues" dxfId="4" priority="82"/>
  </conditionalFormatting>
  <conditionalFormatting sqref="C567">
    <cfRule type="duplicateValues" dxfId="0" priority="71"/>
    <cfRule type="duplicateValues" dxfId="0" priority="72"/>
    <cfRule type="duplicateValues" dxfId="0" priority="73"/>
  </conditionalFormatting>
  <conditionalFormatting sqref="C570">
    <cfRule type="duplicateValues" dxfId="0" priority="57"/>
    <cfRule type="duplicateValues" dxfId="0" priority="58"/>
    <cfRule type="duplicateValues" dxfId="0" priority="59"/>
  </conditionalFormatting>
  <conditionalFormatting sqref="C575">
    <cfRule type="duplicateValues" dxfId="4" priority="70"/>
  </conditionalFormatting>
  <conditionalFormatting sqref="C576">
    <cfRule type="duplicateValues" dxfId="4" priority="66"/>
  </conditionalFormatting>
  <conditionalFormatting sqref="C577">
    <cfRule type="duplicateValues" dxfId="4" priority="65"/>
  </conditionalFormatting>
  <conditionalFormatting sqref="C578">
    <cfRule type="duplicateValues" dxfId="4" priority="64"/>
  </conditionalFormatting>
  <conditionalFormatting sqref="C579">
    <cfRule type="duplicateValues" dxfId="4" priority="63"/>
  </conditionalFormatting>
  <conditionalFormatting sqref="C2304">
    <cfRule type="duplicateValues" dxfId="5" priority="13"/>
  </conditionalFormatting>
  <conditionalFormatting sqref="E2304">
    <cfRule type="duplicateValues" dxfId="5" priority="12"/>
  </conditionalFormatting>
  <conditionalFormatting sqref="C2352">
    <cfRule type="duplicateValues" dxfId="5" priority="15"/>
  </conditionalFormatting>
  <conditionalFormatting sqref="E2352">
    <cfRule type="duplicateValues" dxfId="5" priority="14"/>
  </conditionalFormatting>
  <conditionalFormatting sqref="C3038">
    <cfRule type="duplicateValues" dxfId="5" priority="8"/>
  </conditionalFormatting>
  <conditionalFormatting sqref="C3039">
    <cfRule type="duplicateValues" dxfId="5" priority="7"/>
  </conditionalFormatting>
  <conditionalFormatting sqref="C3040">
    <cfRule type="duplicateValues" dxfId="5" priority="6"/>
  </conditionalFormatting>
  <conditionalFormatting sqref="C3041">
    <cfRule type="duplicateValues" dxfId="5" priority="5"/>
  </conditionalFormatting>
  <conditionalFormatting sqref="C3042">
    <cfRule type="duplicateValues" dxfId="5" priority="4"/>
  </conditionalFormatting>
  <conditionalFormatting sqref="C3043">
    <cfRule type="duplicateValues" dxfId="5" priority="3"/>
  </conditionalFormatting>
  <conditionalFormatting sqref="C3308:E3308">
    <cfRule type="duplicateValues" dxfId="5" priority="1"/>
  </conditionalFormatting>
  <conditionalFormatting sqref="C233:C235">
    <cfRule type="duplicateValues" dxfId="0" priority="200"/>
    <cfRule type="duplicateValues" dxfId="0" priority="201"/>
    <cfRule type="duplicateValues" dxfId="0" priority="202"/>
  </conditionalFormatting>
  <conditionalFormatting sqref="C290:C291">
    <cfRule type="duplicateValues" dxfId="1" priority="48"/>
    <cfRule type="duplicateValues" dxfId="1" priority="49"/>
  </conditionalFormatting>
  <conditionalFormatting sqref="C313:C314">
    <cfRule type="duplicateValues" dxfId="1" priority="39"/>
  </conditionalFormatting>
  <conditionalFormatting sqref="C328:C330">
    <cfRule type="duplicateValues" dxfId="4" priority="178"/>
    <cfRule type="duplicateValues" priority="179"/>
    <cfRule type="duplicateValues" dxfId="4" priority="180"/>
  </conditionalFormatting>
  <conditionalFormatting sqref="C328:C333">
    <cfRule type="duplicateValues" dxfId="0" priority="174"/>
    <cfRule type="duplicateValues" dxfId="0" priority="175"/>
    <cfRule type="duplicateValues" dxfId="0" priority="176"/>
  </conditionalFormatting>
  <conditionalFormatting sqref="C334:C335">
    <cfRule type="duplicateValues" dxfId="0" priority="170"/>
    <cfRule type="duplicateValues" dxfId="0" priority="171"/>
    <cfRule type="duplicateValues" dxfId="0" priority="172"/>
    <cfRule type="duplicateValues" dxfId="4" priority="173"/>
  </conditionalFormatting>
  <conditionalFormatting sqref="C507:C511">
    <cfRule type="duplicateValues" dxfId="4" priority="54"/>
    <cfRule type="duplicateValues" priority="55"/>
    <cfRule type="duplicateValues" dxfId="4" priority="56"/>
  </conditionalFormatting>
  <conditionalFormatting sqref="C507:C519">
    <cfRule type="duplicateValues" dxfId="0" priority="50"/>
    <cfRule type="duplicateValues" dxfId="0" priority="51"/>
    <cfRule type="duplicateValues" dxfId="0" priority="52"/>
  </conditionalFormatting>
  <conditionalFormatting sqref="C513:C519">
    <cfRule type="duplicateValues" dxfId="4" priority="53"/>
  </conditionalFormatting>
  <conditionalFormatting sqref="C556:C565">
    <cfRule type="duplicateValues" dxfId="0" priority="77"/>
    <cfRule type="duplicateValues" dxfId="0" priority="78"/>
    <cfRule type="duplicateValues" dxfId="0" priority="79"/>
  </conditionalFormatting>
  <conditionalFormatting sqref="C562:C564">
    <cfRule type="duplicateValues" dxfId="4" priority="83"/>
    <cfRule type="duplicateValues" priority="84"/>
    <cfRule type="duplicateValues" dxfId="4" priority="85"/>
  </conditionalFormatting>
  <conditionalFormatting sqref="C573:C575">
    <cfRule type="duplicateValues" dxfId="0" priority="67"/>
    <cfRule type="duplicateValues" dxfId="0" priority="68"/>
    <cfRule type="duplicateValues" dxfId="0" priority="69"/>
  </conditionalFormatting>
  <conditionalFormatting sqref="C576:C579">
    <cfRule type="duplicateValues" dxfId="0" priority="60"/>
    <cfRule type="duplicateValues" dxfId="0" priority="61"/>
    <cfRule type="duplicateValues" dxfId="0" priority="62"/>
  </conditionalFormatting>
  <conditionalFormatting sqref="C642:C650">
    <cfRule type="expression" dxfId="6" priority="35" stopIfTrue="1">
      <formula>AND(COUNTIF($B$36:$B$107,C642)&gt;1,NOT(ISBLANK(C642)))</formula>
    </cfRule>
  </conditionalFormatting>
  <conditionalFormatting sqref="C667:C669">
    <cfRule type="duplicateValues" dxfId="5" priority="33"/>
  </conditionalFormatting>
  <conditionalFormatting sqref="C714:C717">
    <cfRule type="duplicateValues" dxfId="5" priority="31"/>
  </conditionalFormatting>
  <conditionalFormatting sqref="C720:C729">
    <cfRule type="duplicateValues" dxfId="5" priority="29"/>
  </conditionalFormatting>
  <conditionalFormatting sqref="C733:C738">
    <cfRule type="duplicateValues" dxfId="5" priority="28"/>
  </conditionalFormatting>
  <conditionalFormatting sqref="C1468:C1565">
    <cfRule type="duplicateValues" dxfId="5" priority="19"/>
  </conditionalFormatting>
  <conditionalFormatting sqref="C2290:C2291">
    <cfRule type="duplicateValues" dxfId="5" priority="18"/>
  </conditionalFormatting>
  <conditionalFormatting sqref="C2717:C2775">
    <cfRule type="duplicateValues" dxfId="5" priority="10"/>
  </conditionalFormatting>
  <conditionalFormatting sqref="C2917:C2964">
    <cfRule type="duplicateValues" dxfId="5" priority="9"/>
  </conditionalFormatting>
  <conditionalFormatting sqref="C3072:C3075">
    <cfRule type="duplicateValues" dxfId="5" priority="2"/>
  </conditionalFormatting>
  <conditionalFormatting sqref="D2290:D2291">
    <cfRule type="duplicateValues" dxfId="5" priority="16"/>
  </conditionalFormatting>
  <conditionalFormatting sqref="E300:E312">
    <cfRule type="duplicateValues" dxfId="1" priority="40"/>
  </conditionalFormatting>
  <conditionalFormatting sqref="E313:E314">
    <cfRule type="duplicateValues" dxfId="1" priority="38"/>
  </conditionalFormatting>
  <conditionalFormatting sqref="E667:E669">
    <cfRule type="duplicateValues" dxfId="5" priority="32"/>
  </conditionalFormatting>
  <conditionalFormatting sqref="E714:E717">
    <cfRule type="duplicateValues" dxfId="5" priority="30"/>
  </conditionalFormatting>
  <conditionalFormatting sqref="E2290:E2291">
    <cfRule type="duplicateValues" dxfId="5" priority="17"/>
  </conditionalFormatting>
  <conditionalFormatting sqref="C300:C304 C310:C312 C306:C308">
    <cfRule type="duplicateValues" dxfId="1" priority="43"/>
  </conditionalFormatting>
  <conditionalFormatting sqref="C342:C345 C347:C351">
    <cfRule type="duplicateValues" dxfId="0" priority="145"/>
  </conditionalFormatting>
  <conditionalFormatting sqref="C393 C396">
    <cfRule type="duplicateValues" dxfId="1" priority="98"/>
    <cfRule type="duplicateValues" dxfId="1" priority="99"/>
    <cfRule type="duplicateValues" dxfId="1" priority="100"/>
  </conditionalFormatting>
  <conditionalFormatting sqref="C398:C400 C402">
    <cfRule type="duplicateValues" dxfId="1" priority="92"/>
    <cfRule type="duplicateValues" dxfId="1" priority="93"/>
    <cfRule type="duplicateValues" dxfId="1" priority="94"/>
  </conditionalFormatting>
  <conditionalFormatting sqref="C566 C571:C572 C568:C569">
    <cfRule type="duplicateValues" dxfId="0" priority="74"/>
    <cfRule type="duplicateValues" dxfId="0" priority="75"/>
    <cfRule type="duplicateValues" dxfId="0" priority="76"/>
  </conditionalFormatting>
  <conditionalFormatting sqref="E642:E643 E645:E650">
    <cfRule type="expression" dxfId="6" priority="34" stopIfTrue="1">
      <formula>AND(COUNTIF($B$36:$B$107,E642)&gt;1,NOT(ISBLANK(E642)))</formula>
    </cfRule>
  </conditionalFormatting>
  <conditionalFormatting sqref="C2292 E2292">
    <cfRule type="duplicateValues" dxfId="5" priority="11"/>
  </conditionalFormatting>
  <hyperlinks>
    <hyperlink ref="C1148" r:id="rId3" display="陆兴义" tooltip="http://cpadisc4.cpad.gov.cn/cpad/javascript:void(0)"/>
    <hyperlink ref="C2316" r:id="rId3" display="万启发" tooltip="http://cpadisc4.cpad.gov.cn/cpad/javascript:void(0)"/>
  </hyperlinks>
  <pageMargins left="0.75" right="0.707638888888889" top="1" bottom="1" header="0.511805555555556" footer="0.511805555555556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新纳入</vt:lpstr>
      <vt:lpstr>调出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2016-11-08T06:52:00Z</dcterms:created>
  <dcterms:modified xsi:type="dcterms:W3CDTF">2017-08-31T02:39:01Z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2052-10.1.0.6749</vt:lpwstr>
  </property>
</Properties>
</file>